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nielsen\Downloads\"/>
    </mc:Choice>
  </mc:AlternateContent>
  <xr:revisionPtr revIDLastSave="0" documentId="8_{715250ED-EB48-49E5-9848-D98452E7023D}" xr6:coauthVersionLast="47" xr6:coauthVersionMax="47" xr10:uidLastSave="{00000000-0000-0000-0000-000000000000}"/>
  <bookViews>
    <workbookView xWindow="28680" yWindow="-120" windowWidth="29040" windowHeight="15840" activeTab="1" xr2:uid="{6341E24C-CFAA-4F73-8C32-0C28DA804989}"/>
  </bookViews>
  <sheets>
    <sheet name="GC_TCD" sheetId="1" r:id="rId1"/>
    <sheet name="Summary" sheetId="12" r:id="rId2"/>
    <sheet name="Plots" sheetId="19" r:id="rId3"/>
    <sheet name="Pre-Summary" sheetId="9" r:id="rId4"/>
    <sheet name="Sheet2" sheetId="22" r:id="rId5"/>
    <sheet name="Sheet1" sheetId="21" r:id="rId6"/>
    <sheet name="SRT.HRT" sheetId="11" r:id="rId7"/>
    <sheet name="Biomass Sample" sheetId="4" r:id="rId8"/>
    <sheet name="DNA Extractions" sheetId="20" r:id="rId9"/>
    <sheet name="Ammonia" sheetId="15" r:id="rId10"/>
    <sheet name="Library" sheetId="18" r:id="rId11"/>
    <sheet name="CO2 Delivery" sheetId="13" r:id="rId12"/>
    <sheet name="TSS_VSS" sheetId="5" r:id="rId13"/>
    <sheet name="H2 Delivery" sheetId="10" r:id="rId14"/>
    <sheet name="VFA" sheetId="2" r:id="rId15"/>
    <sheet name="COD" sheetId="17" r:id="rId16"/>
    <sheet name="TOC_TIC" sheetId="3" r:id="rId17"/>
    <sheet name="Liquid Volume" sheetId="14" r:id="rId18"/>
    <sheet name="Operational Phases" sheetId="16" r:id="rId19"/>
  </sheets>
  <definedNames>
    <definedName name="_xlnm._FilterDatabase" localSheetId="1" hidden="1">Summary!#REF!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4" i="12" l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/>
  <c r="F353" i="12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F581" i="12" s="1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F647" i="12" s="1"/>
  <c r="F648" i="12" s="1"/>
  <c r="F649" i="12" s="1"/>
  <c r="F650" i="12" s="1"/>
  <c r="F651" i="12" s="1"/>
  <c r="F652" i="12" s="1"/>
  <c r="F653" i="12" s="1"/>
  <c r="F654" i="12" s="1"/>
  <c r="F655" i="12" s="1"/>
  <c r="F656" i="12" s="1"/>
  <c r="F657" i="12" s="1"/>
  <c r="F658" i="12" s="1"/>
  <c r="F659" i="12" s="1"/>
  <c r="F660" i="12" s="1"/>
  <c r="F661" i="12" s="1"/>
  <c r="F662" i="12" s="1"/>
  <c r="F663" i="12" s="1"/>
  <c r="F664" i="12" s="1"/>
  <c r="F665" i="12" s="1"/>
  <c r="F666" i="12" s="1"/>
  <c r="F667" i="12" s="1"/>
  <c r="F668" i="12" s="1"/>
  <c r="F669" i="12" s="1"/>
  <c r="F670" i="12" s="1"/>
  <c r="F671" i="12" s="1"/>
  <c r="F672" i="12" s="1"/>
  <c r="F673" i="12" s="1"/>
  <c r="F674" i="12" s="1"/>
  <c r="F675" i="12" s="1"/>
  <c r="F676" i="12" s="1"/>
  <c r="F677" i="12" s="1"/>
  <c r="F678" i="12" s="1"/>
  <c r="F679" i="12" s="1"/>
  <c r="F680" i="12" s="1"/>
  <c r="F681" i="12" s="1"/>
  <c r="F682" i="12" s="1"/>
  <c r="F683" i="12" s="1"/>
  <c r="F684" i="12" s="1"/>
  <c r="F685" i="12" s="1"/>
  <c r="F686" i="12" s="1"/>
  <c r="F687" i="12" s="1"/>
  <c r="F688" i="12" s="1"/>
  <c r="F689" i="12" s="1"/>
  <c r="F690" i="12" s="1"/>
  <c r="F691" i="12" s="1"/>
  <c r="F692" i="12" s="1"/>
  <c r="F693" i="12" s="1"/>
  <c r="F694" i="12" s="1"/>
  <c r="F695" i="12" s="1"/>
  <c r="F696" i="12" s="1"/>
  <c r="F697" i="12" s="1"/>
  <c r="F698" i="12" s="1"/>
  <c r="F699" i="12" s="1"/>
  <c r="F700" i="12" s="1"/>
  <c r="F701" i="12" s="1"/>
  <c r="F702" i="12" s="1"/>
  <c r="F703" i="12" s="1"/>
  <c r="F704" i="12" s="1"/>
  <c r="F705" i="12" s="1"/>
  <c r="F706" i="12" s="1"/>
  <c r="F707" i="12" s="1"/>
  <c r="F708" i="12" s="1"/>
  <c r="F709" i="12" s="1"/>
  <c r="F710" i="12" s="1"/>
  <c r="F711" i="12" s="1"/>
  <c r="F712" i="12" s="1"/>
  <c r="F713" i="12" s="1"/>
  <c r="F714" i="12" s="1"/>
  <c r="F715" i="12" s="1"/>
  <c r="F716" i="12" s="1"/>
  <c r="F717" i="12" s="1"/>
  <c r="F718" i="12" s="1"/>
  <c r="F719" i="12" s="1"/>
  <c r="F720" i="12" s="1"/>
  <c r="F721" i="12" s="1"/>
  <c r="F722" i="12" s="1"/>
  <c r="F723" i="12" s="1"/>
  <c r="F724" i="12" s="1"/>
  <c r="F725" i="12" s="1"/>
  <c r="F726" i="12" s="1"/>
  <c r="F727" i="12" s="1"/>
  <c r="F728" i="12" s="1"/>
  <c r="F729" i="12" s="1"/>
  <c r="F730" i="12" s="1"/>
  <c r="F731" i="12" s="1"/>
  <c r="F732" i="12" s="1"/>
  <c r="F733" i="12" s="1"/>
  <c r="F734" i="12" s="1"/>
  <c r="F735" i="12" s="1"/>
  <c r="F736" i="12" s="1"/>
  <c r="F737" i="12" s="1"/>
  <c r="F738" i="12" s="1"/>
  <c r="F739" i="12" s="1"/>
  <c r="F740" i="12" s="1"/>
  <c r="F741" i="12" s="1"/>
  <c r="F742" i="12" s="1"/>
  <c r="F743" i="12" s="1"/>
  <c r="F744" i="12" s="1"/>
  <c r="F745" i="12" s="1"/>
  <c r="F746" i="12" s="1"/>
  <c r="F747" i="12" s="1"/>
  <c r="F748" i="12" s="1"/>
  <c r="F749" i="12" s="1"/>
  <c r="F750" i="12" s="1"/>
  <c r="F751" i="12" s="1"/>
  <c r="F752" i="12" s="1"/>
  <c r="F753" i="12" s="1"/>
  <c r="F754" i="12" s="1"/>
  <c r="F755" i="12" s="1"/>
  <c r="F756" i="12" s="1"/>
  <c r="F757" i="12" s="1"/>
  <c r="F758" i="12" s="1"/>
  <c r="F759" i="12" s="1"/>
  <c r="F760" i="12" s="1"/>
  <c r="F761" i="12" s="1"/>
  <c r="F762" i="12" s="1"/>
  <c r="F763" i="12" s="1"/>
  <c r="F764" i="12" s="1"/>
  <c r="F765" i="12" s="1"/>
  <c r="F766" i="12" s="1"/>
  <c r="F767" i="12" s="1"/>
  <c r="F768" i="12" s="1"/>
  <c r="F769" i="12" s="1"/>
  <c r="F770" i="12" s="1"/>
  <c r="F771" i="12" s="1"/>
  <c r="F772" i="12" s="1"/>
  <c r="F773" i="12" s="1"/>
  <c r="F774" i="12" s="1"/>
  <c r="F775" i="12" s="1"/>
  <c r="F776" i="12" s="1"/>
  <c r="F777" i="12" s="1"/>
  <c r="F778" i="12" s="1"/>
  <c r="F779" i="12" s="1"/>
  <c r="F780" i="12" s="1"/>
  <c r="F781" i="12" s="1"/>
  <c r="F782" i="12" s="1"/>
  <c r="F783" i="12" s="1"/>
  <c r="F784" i="12" s="1"/>
  <c r="F785" i="12" s="1"/>
  <c r="F786" i="12" s="1"/>
  <c r="F787" i="12" s="1"/>
  <c r="F788" i="12" s="1"/>
  <c r="F789" i="12" s="1"/>
  <c r="F790" i="12" s="1"/>
  <c r="F791" i="12" s="1"/>
  <c r="F792" i="12" s="1"/>
  <c r="F793" i="12" s="1"/>
  <c r="F794" i="12" s="1"/>
  <c r="F795" i="12" s="1"/>
  <c r="F796" i="12" s="1"/>
  <c r="F797" i="12" s="1"/>
  <c r="F798" i="12" s="1"/>
  <c r="F799" i="12" s="1"/>
  <c r="F800" i="12" s="1"/>
  <c r="F801" i="12" s="1"/>
  <c r="F802" i="12" s="1"/>
  <c r="F803" i="12" s="1"/>
  <c r="F804" i="12" s="1"/>
  <c r="F805" i="12" s="1"/>
  <c r="F806" i="12" s="1"/>
  <c r="F807" i="12" s="1"/>
  <c r="F808" i="12" s="1"/>
  <c r="F809" i="12" s="1"/>
  <c r="F810" i="12" s="1"/>
  <c r="F811" i="12" s="1"/>
  <c r="F812" i="12" s="1"/>
  <c r="F813" i="12" s="1"/>
  <c r="F814" i="12" s="1"/>
  <c r="F815" i="12" s="1"/>
  <c r="F816" i="12" s="1"/>
  <c r="F817" i="12" s="1"/>
  <c r="F818" i="12" s="1"/>
  <c r="F819" i="12" s="1"/>
  <c r="F820" i="12" s="1"/>
  <c r="F821" i="12" s="1"/>
  <c r="F822" i="12" s="1"/>
  <c r="F823" i="12" s="1"/>
  <c r="F824" i="12" s="1"/>
  <c r="F825" i="12" s="1"/>
  <c r="F826" i="12" s="1"/>
  <c r="F827" i="12" s="1"/>
  <c r="F828" i="12" s="1"/>
  <c r="F829" i="12" s="1"/>
  <c r="F830" i="12" s="1"/>
  <c r="F831" i="12" s="1"/>
  <c r="F832" i="12" s="1"/>
  <c r="F833" i="12" s="1"/>
  <c r="F834" i="12" s="1"/>
  <c r="F835" i="12" s="1"/>
  <c r="F836" i="12" s="1"/>
  <c r="F837" i="12" s="1"/>
  <c r="F838" i="12" s="1"/>
  <c r="F839" i="12" s="1"/>
  <c r="F840" i="12" s="1"/>
  <c r="F841" i="12" s="1"/>
  <c r="F842" i="12" s="1"/>
  <c r="F843" i="12" s="1"/>
  <c r="F844" i="12" s="1"/>
  <c r="F845" i="12" s="1"/>
  <c r="F846" i="12" s="1"/>
  <c r="F847" i="12" s="1"/>
  <c r="F848" i="12" s="1"/>
  <c r="F849" i="12" s="1"/>
  <c r="F850" i="12" s="1"/>
  <c r="F851" i="12" s="1"/>
  <c r="F852" i="12" s="1"/>
  <c r="F853" i="12" s="1"/>
  <c r="F854" i="12" s="1"/>
  <c r="F855" i="12" s="1"/>
  <c r="F856" i="12" s="1"/>
  <c r="F857" i="12" s="1"/>
  <c r="F858" i="12" s="1"/>
  <c r="F859" i="12" s="1"/>
  <c r="F860" i="12" s="1"/>
  <c r="F861" i="12" s="1"/>
  <c r="F862" i="12" s="1"/>
  <c r="F863" i="12" s="1"/>
  <c r="F864" i="12" s="1"/>
  <c r="F865" i="12" s="1"/>
  <c r="F866" i="12" s="1"/>
  <c r="F867" i="12" s="1"/>
  <c r="F868" i="12" s="1"/>
  <c r="F869" i="12" s="1"/>
  <c r="F870" i="12" s="1"/>
  <c r="F871" i="12" s="1"/>
  <c r="F872" i="12" s="1"/>
  <c r="F873" i="12" s="1"/>
  <c r="F874" i="12" s="1"/>
  <c r="F875" i="12" s="1"/>
  <c r="F876" i="12" s="1"/>
  <c r="F877" i="12" s="1"/>
  <c r="F878" i="12" s="1"/>
  <c r="F879" i="12" s="1"/>
  <c r="F880" i="12" s="1"/>
  <c r="F881" i="12" s="1"/>
  <c r="F882" i="12" s="1"/>
  <c r="F883" i="12" s="1"/>
  <c r="F884" i="12" s="1"/>
  <c r="F885" i="12" s="1"/>
  <c r="F886" i="12" s="1"/>
  <c r="F887" i="12" s="1"/>
  <c r="F888" i="12" s="1"/>
  <c r="F889" i="12" s="1"/>
  <c r="F890" i="12" s="1"/>
  <c r="F891" i="12" s="1"/>
  <c r="F892" i="12" s="1"/>
  <c r="F893" i="12" s="1"/>
  <c r="F894" i="12" s="1"/>
  <c r="F895" i="12" s="1"/>
  <c r="F896" i="12" s="1"/>
  <c r="F897" i="12" s="1"/>
  <c r="F898" i="12" s="1"/>
  <c r="F899" i="12" s="1"/>
  <c r="F900" i="12" s="1"/>
  <c r="F901" i="12" s="1"/>
  <c r="F902" i="12" s="1"/>
  <c r="F903" i="12" s="1"/>
  <c r="F904" i="12" s="1"/>
  <c r="F905" i="12" s="1"/>
  <c r="F906" i="12" s="1"/>
  <c r="F907" i="12" s="1"/>
  <c r="F908" i="12" s="1"/>
  <c r="F909" i="12" s="1"/>
  <c r="F910" i="12" s="1"/>
  <c r="F911" i="12" s="1"/>
  <c r="F912" i="12" s="1"/>
  <c r="F913" i="12" s="1"/>
  <c r="F914" i="12" s="1"/>
  <c r="F915" i="12" s="1"/>
  <c r="F916" i="12" s="1"/>
  <c r="F917" i="12" s="1"/>
  <c r="F918" i="12" s="1"/>
  <c r="F919" i="12" s="1"/>
  <c r="F920" i="12" s="1"/>
  <c r="F921" i="12" s="1"/>
  <c r="F922" i="12" s="1"/>
  <c r="F923" i="12" s="1"/>
  <c r="F924" i="12" s="1"/>
  <c r="F925" i="12" s="1"/>
  <c r="F926" i="12" s="1"/>
  <c r="F927" i="12" s="1"/>
  <c r="F928" i="12" s="1"/>
  <c r="F929" i="12" s="1"/>
  <c r="F930" i="12" s="1"/>
  <c r="F931" i="12" s="1"/>
  <c r="F932" i="12" s="1"/>
  <c r="F933" i="12" s="1"/>
  <c r="F934" i="12" s="1"/>
  <c r="F935" i="12" s="1"/>
  <c r="F936" i="12" s="1"/>
  <c r="F937" i="12" s="1"/>
  <c r="F938" i="12" s="1"/>
  <c r="F939" i="12" s="1"/>
  <c r="F940" i="12" s="1"/>
  <c r="F941" i="12" s="1"/>
  <c r="F942" i="12" s="1"/>
  <c r="F943" i="12" s="1"/>
  <c r="F944" i="12" s="1"/>
  <c r="F945" i="12" s="1"/>
  <c r="F946" i="12" s="1"/>
  <c r="F947" i="12" s="1"/>
  <c r="F948" i="12" s="1"/>
  <c r="F949" i="12" s="1"/>
  <c r="F950" i="12" s="1"/>
  <c r="F951" i="12" s="1"/>
  <c r="F952" i="12" s="1"/>
  <c r="F953" i="12" s="1"/>
  <c r="F954" i="12" s="1"/>
  <c r="F955" i="12" s="1"/>
  <c r="F956" i="12" s="1"/>
  <c r="F957" i="12" s="1"/>
  <c r="F958" i="12" s="1"/>
  <c r="F959" i="12" s="1"/>
  <c r="F960" i="12" s="1"/>
  <c r="F961" i="12" s="1"/>
  <c r="F962" i="12" s="1"/>
  <c r="F963" i="12" s="1"/>
  <c r="F964" i="12" s="1"/>
  <c r="F965" i="12" s="1"/>
  <c r="F966" i="12" s="1"/>
  <c r="F967" i="12" s="1"/>
  <c r="F968" i="12" s="1"/>
  <c r="F969" i="12" s="1"/>
  <c r="F970" i="12" s="1"/>
  <c r="F971" i="12" s="1"/>
  <c r="F972" i="12" s="1"/>
  <c r="F973" i="12" s="1"/>
  <c r="F974" i="12" s="1"/>
  <c r="F975" i="12" s="1"/>
  <c r="F976" i="12" s="1"/>
  <c r="F977" i="12" s="1"/>
  <c r="F978" i="12" s="1"/>
  <c r="F979" i="12" s="1"/>
  <c r="F980" i="12" s="1"/>
  <c r="F981" i="12" s="1"/>
  <c r="F982" i="12" s="1"/>
  <c r="F983" i="12" s="1"/>
  <c r="F984" i="12" s="1"/>
  <c r="F985" i="12" s="1"/>
  <c r="F986" i="12" s="1"/>
  <c r="F987" i="12" s="1"/>
  <c r="F988" i="12" s="1"/>
  <c r="F989" i="12" s="1"/>
  <c r="F990" i="12" s="1"/>
  <c r="F991" i="12" s="1"/>
  <c r="F992" i="12" s="1"/>
  <c r="F993" i="12" s="1"/>
  <c r="F994" i="12" s="1"/>
  <c r="F995" i="12" s="1"/>
  <c r="F996" i="12" s="1"/>
  <c r="F997" i="12" s="1"/>
  <c r="F998" i="12" s="1"/>
  <c r="F999" i="12" s="1"/>
  <c r="F1000" i="12" s="1"/>
  <c r="F1001" i="12" s="1"/>
  <c r="F1002" i="12" s="1"/>
  <c r="F1003" i="12" s="1"/>
  <c r="F1004" i="12" s="1"/>
  <c r="F1005" i="12" s="1"/>
  <c r="F1006" i="12" s="1"/>
  <c r="F1007" i="12" s="1"/>
  <c r="F1008" i="12" s="1"/>
  <c r="F1009" i="12" s="1"/>
  <c r="F1010" i="12" s="1"/>
  <c r="F1011" i="12" s="1"/>
  <c r="F1012" i="12" s="1"/>
  <c r="F1013" i="12" s="1"/>
  <c r="F1014" i="12" s="1"/>
  <c r="F1015" i="12" s="1"/>
  <c r="F1016" i="12" s="1"/>
  <c r="F1017" i="12" s="1"/>
  <c r="F1018" i="12" s="1"/>
  <c r="F1019" i="12" s="1"/>
  <c r="F1020" i="12" s="1"/>
  <c r="F1021" i="12" s="1"/>
  <c r="F1022" i="12" s="1"/>
  <c r="F1023" i="12" s="1"/>
  <c r="F1024" i="12" s="1"/>
  <c r="F1025" i="12" s="1"/>
  <c r="F1026" i="12" s="1"/>
  <c r="F1027" i="12" s="1"/>
  <c r="F1028" i="12" s="1"/>
  <c r="F1029" i="12" s="1"/>
  <c r="F1030" i="12" s="1"/>
  <c r="F1031" i="12" s="1"/>
  <c r="F1032" i="12" s="1"/>
  <c r="F1033" i="12" s="1"/>
  <c r="F1034" i="12" s="1"/>
  <c r="F1035" i="12" s="1"/>
  <c r="F1036" i="12" s="1"/>
  <c r="F1037" i="12" s="1"/>
  <c r="F1038" i="12" s="1"/>
  <c r="F1039" i="12" s="1"/>
  <c r="F1040" i="12" s="1"/>
  <c r="F1041" i="12" s="1"/>
  <c r="F1042" i="12" s="1"/>
  <c r="F1043" i="12" s="1"/>
  <c r="F1044" i="12" s="1"/>
  <c r="F1045" i="12" s="1"/>
  <c r="F1046" i="12" s="1"/>
  <c r="F1047" i="12" s="1"/>
  <c r="F1048" i="12" s="1"/>
  <c r="F1049" i="12" s="1"/>
  <c r="F1050" i="12" s="1"/>
  <c r="F1051" i="12" s="1"/>
  <c r="F1052" i="12" s="1"/>
  <c r="F1053" i="12" s="1"/>
  <c r="F1054" i="12" s="1"/>
  <c r="F1055" i="12" s="1"/>
  <c r="F1056" i="12" s="1"/>
  <c r="F1057" i="12" s="1"/>
  <c r="F1058" i="12" s="1"/>
  <c r="F1059" i="12" s="1"/>
  <c r="F1060" i="12" s="1"/>
  <c r="F1061" i="12" s="1"/>
  <c r="F1062" i="12" s="1"/>
  <c r="F1063" i="12" s="1"/>
  <c r="F1064" i="12" s="1"/>
  <c r="F1065" i="12" s="1"/>
  <c r="F1066" i="12" s="1"/>
  <c r="F1067" i="12" s="1"/>
  <c r="F1068" i="12" s="1"/>
  <c r="F1069" i="12" s="1"/>
  <c r="F1070" i="12" s="1"/>
  <c r="F1071" i="12" s="1"/>
  <c r="F1072" i="12" s="1"/>
  <c r="F1073" i="12" s="1"/>
  <c r="F1074" i="12" s="1"/>
  <c r="F1075" i="12"/>
  <c r="F1076" i="12" s="1"/>
  <c r="F1077" i="12" s="1"/>
  <c r="F1078" i="12" s="1"/>
  <c r="F1079" i="12" s="1"/>
  <c r="F1080" i="12" s="1"/>
  <c r="F1081" i="12" s="1"/>
  <c r="F1082" i="12" s="1"/>
  <c r="F1083" i="12"/>
  <c r="F1084" i="12" s="1"/>
  <c r="F1085" i="12" s="1"/>
  <c r="F1086" i="12" s="1"/>
  <c r="F1087" i="12" s="1"/>
  <c r="F1088" i="12" s="1"/>
  <c r="F1089" i="12" s="1"/>
  <c r="F1090" i="12" s="1"/>
  <c r="F1091" i="12" s="1"/>
  <c r="F1092" i="12" s="1"/>
  <c r="F1093" i="12" s="1"/>
  <c r="F1094" i="12" s="1"/>
  <c r="F1095" i="12" s="1"/>
  <c r="F1096" i="12" s="1"/>
  <c r="F1097" i="12" s="1"/>
  <c r="F1098" i="12" s="1"/>
  <c r="F1099" i="12" s="1"/>
  <c r="F1100" i="12" s="1"/>
  <c r="F1101" i="12" s="1"/>
  <c r="F1102" i="12" s="1"/>
  <c r="F1103" i="12" s="1"/>
  <c r="F1104" i="12" s="1"/>
  <c r="F1105" i="12" s="1"/>
  <c r="F1106" i="12" s="1"/>
  <c r="F1107" i="12" s="1"/>
  <c r="F1108" i="12" s="1"/>
  <c r="F1109" i="12" s="1"/>
  <c r="F1110" i="12" s="1"/>
  <c r="F1111" i="12" s="1"/>
  <c r="F1112" i="12" s="1"/>
  <c r="F1113" i="12" s="1"/>
  <c r="F1114" i="12" s="1"/>
  <c r="F1115" i="12" s="1"/>
  <c r="F1116" i="12" s="1"/>
  <c r="F1117" i="12" s="1"/>
  <c r="F1118" i="12" s="1"/>
  <c r="F1119" i="12" s="1"/>
  <c r="F1120" i="12" s="1"/>
  <c r="F1121" i="12" s="1"/>
  <c r="F1122" i="12" s="1"/>
  <c r="F1123" i="12" s="1"/>
  <c r="F1124" i="12" s="1"/>
  <c r="F1125" i="12" s="1"/>
  <c r="F1126" i="12" s="1"/>
  <c r="F1127" i="12" s="1"/>
  <c r="F1128" i="12" s="1"/>
  <c r="F1129" i="12" s="1"/>
  <c r="F1130" i="12" s="1"/>
  <c r="F1131" i="12" s="1"/>
  <c r="F1132" i="12" s="1"/>
  <c r="F1133" i="12" s="1"/>
  <c r="F1134" i="12" s="1"/>
  <c r="F1135" i="12" s="1"/>
  <c r="F1136" i="12" s="1"/>
  <c r="F1137" i="12" s="1"/>
  <c r="F1138" i="12" s="1"/>
  <c r="F1139" i="12" s="1"/>
  <c r="F1140" i="12" s="1"/>
  <c r="F1141" i="12" s="1"/>
  <c r="F1142" i="12" s="1"/>
  <c r="F1143" i="12" s="1"/>
  <c r="F1144" i="12" s="1"/>
  <c r="F1145" i="12" s="1"/>
  <c r="F1146" i="12" s="1"/>
  <c r="F1147" i="12" s="1"/>
  <c r="F1148" i="12" s="1"/>
  <c r="F1149" i="12" s="1"/>
  <c r="F1150" i="12" s="1"/>
  <c r="F1151" i="12" s="1"/>
  <c r="F1152" i="12" s="1"/>
  <c r="F1153" i="12" s="1"/>
  <c r="F1154" i="12" s="1"/>
  <c r="F1155" i="12" s="1"/>
  <c r="F1156" i="12" s="1"/>
  <c r="F1157" i="12" s="1"/>
  <c r="F1158" i="12" s="1"/>
  <c r="F1159" i="12" s="1"/>
  <c r="F1160" i="12" s="1"/>
  <c r="F1161" i="12" s="1"/>
  <c r="F1162" i="12" s="1"/>
  <c r="F1163" i="12" s="1"/>
  <c r="F1164" i="12" s="1"/>
  <c r="F1165" i="12" s="1"/>
  <c r="F1166" i="12" s="1"/>
  <c r="F1167" i="12" s="1"/>
  <c r="F1168" i="12" s="1"/>
  <c r="F1169" i="12" s="1"/>
  <c r="F1170" i="12" s="1"/>
  <c r="F1171" i="12" s="1"/>
  <c r="F1172" i="12" s="1"/>
  <c r="F1173" i="12" s="1"/>
  <c r="F1174" i="12" s="1"/>
  <c r="F1175" i="12" s="1"/>
  <c r="F1176" i="12" s="1"/>
  <c r="F1177" i="12" s="1"/>
  <c r="F1178" i="12" s="1"/>
  <c r="F1179" i="12" s="1"/>
  <c r="F1180" i="12" s="1"/>
  <c r="F1181" i="12" s="1"/>
  <c r="F1182" i="12" s="1"/>
  <c r="F1183" i="12" s="1"/>
  <c r="F1184" i="12" s="1"/>
  <c r="F1185" i="12" s="1"/>
  <c r="F1186" i="12" s="1"/>
  <c r="F1187" i="12" s="1"/>
  <c r="F1188" i="12" s="1"/>
  <c r="F1189" i="12" s="1"/>
  <c r="F1190" i="12" s="1"/>
  <c r="F1191" i="12" s="1"/>
  <c r="F1192" i="12" s="1"/>
  <c r="F1193" i="12" s="1"/>
  <c r="F1194" i="12" s="1"/>
  <c r="F1195" i="12" s="1"/>
  <c r="F1196" i="12" s="1"/>
  <c r="F1197" i="12" s="1"/>
  <c r="F1198" i="12" s="1"/>
  <c r="F1199" i="12" s="1"/>
  <c r="F1200" i="12" s="1"/>
  <c r="F1201" i="12" s="1"/>
  <c r="F1202" i="12" s="1"/>
  <c r="F1203" i="12" s="1"/>
  <c r="F1204" i="12" s="1"/>
  <c r="F1205" i="12" s="1"/>
  <c r="F1206" i="12" s="1"/>
  <c r="F1207" i="12" s="1"/>
  <c r="F1208" i="12" s="1"/>
  <c r="F1209" i="12" s="1"/>
  <c r="F1210" i="12" s="1"/>
  <c r="F1211" i="12" s="1"/>
  <c r="F1212" i="12" s="1"/>
  <c r="F1213" i="12" s="1"/>
  <c r="F1214" i="12" s="1"/>
  <c r="F1215" i="12" s="1"/>
  <c r="F1216" i="12" s="1"/>
  <c r="F1217" i="12" s="1"/>
  <c r="F1218" i="12" s="1"/>
  <c r="F1219" i="12" s="1"/>
  <c r="F1220" i="12" s="1"/>
  <c r="F1221" i="12" s="1"/>
  <c r="F1222" i="12" s="1"/>
  <c r="F1223" i="12" s="1"/>
  <c r="F1224" i="12" s="1"/>
  <c r="F1225" i="12" s="1"/>
  <c r="F1226" i="12" s="1"/>
  <c r="F1227" i="12" s="1"/>
  <c r="F1228" i="12" s="1"/>
  <c r="F1229" i="12" s="1"/>
  <c r="F1230" i="12" s="1"/>
  <c r="F1231" i="12" s="1"/>
  <c r="F1232" i="12" s="1"/>
  <c r="F1233" i="12" s="1"/>
  <c r="F1234" i="12" s="1"/>
  <c r="F1235" i="12" s="1"/>
  <c r="F1236" i="12" s="1"/>
  <c r="F1237" i="12" s="1"/>
  <c r="F1238" i="12" s="1"/>
  <c r="F1239" i="12" s="1"/>
  <c r="F1240" i="12" s="1"/>
  <c r="F1241" i="12" s="1"/>
  <c r="F1242" i="12" s="1"/>
  <c r="F1243" i="12" s="1"/>
  <c r="F1244" i="12" s="1"/>
  <c r="F1245" i="12" s="1"/>
  <c r="F1246" i="12" s="1"/>
  <c r="F1247" i="12" s="1"/>
  <c r="F1248" i="12" s="1"/>
  <c r="F1249" i="12" s="1"/>
  <c r="F1250" i="12" s="1"/>
  <c r="F1251" i="12" s="1"/>
  <c r="F1252" i="12" s="1"/>
  <c r="F1253" i="12" s="1"/>
  <c r="F1254" i="12" s="1"/>
  <c r="F1255" i="12" s="1"/>
  <c r="F1256" i="12" s="1"/>
  <c r="F1257" i="12" s="1"/>
  <c r="F1258" i="12" s="1"/>
  <c r="F1259" i="12" s="1"/>
  <c r="F1260" i="12" s="1"/>
  <c r="F1261" i="12" s="1"/>
  <c r="F1262" i="12" s="1"/>
  <c r="F1263" i="12" s="1"/>
  <c r="F1264" i="12" s="1"/>
  <c r="F1265" i="12" s="1"/>
  <c r="F1266" i="12" s="1"/>
  <c r="F1267" i="12" s="1"/>
  <c r="F1268" i="12" s="1"/>
  <c r="F1269" i="12" s="1"/>
  <c r="F1270" i="12" s="1"/>
  <c r="F1271" i="12" s="1"/>
  <c r="F1272" i="12" s="1"/>
  <c r="F1273" i="12" s="1"/>
  <c r="F1274" i="12" s="1"/>
  <c r="F1275" i="12" s="1"/>
  <c r="F1276" i="12" s="1"/>
  <c r="F1277" i="12" s="1"/>
  <c r="F1278" i="12" s="1"/>
  <c r="F1279" i="12" s="1"/>
  <c r="F1280" i="12" s="1"/>
  <c r="F1281" i="12" s="1"/>
  <c r="F1282" i="12" s="1"/>
  <c r="F1283" i="12" s="1"/>
  <c r="F1284" i="12" s="1"/>
  <c r="F1285" i="12" s="1"/>
  <c r="F1286" i="12" s="1"/>
  <c r="F1287" i="12" s="1"/>
  <c r="F1288" i="12" s="1"/>
  <c r="F1289" i="12" s="1"/>
  <c r="F1290" i="12" s="1"/>
  <c r="F1291" i="12" s="1"/>
  <c r="F1292" i="12" s="1"/>
  <c r="F1293" i="12" s="1"/>
  <c r="F1294" i="12" s="1"/>
  <c r="F1295" i="12" s="1"/>
  <c r="F1296" i="12" s="1"/>
  <c r="F1297" i="12" s="1"/>
  <c r="F1298" i="12" s="1"/>
  <c r="F1299" i="12" s="1"/>
  <c r="F1300" i="12" s="1"/>
  <c r="F1301" i="12" s="1"/>
  <c r="F1302" i="12" s="1"/>
  <c r="F1303" i="12" s="1"/>
  <c r="F1304" i="12" s="1"/>
  <c r="F1305" i="12" s="1"/>
  <c r="F1306" i="12" s="1"/>
  <c r="F1307" i="12" s="1"/>
  <c r="F1308" i="12" s="1"/>
  <c r="F1309" i="12" s="1"/>
  <c r="F1310" i="12" s="1"/>
  <c r="F1311" i="12" s="1"/>
  <c r="F1312" i="12" s="1"/>
  <c r="F1313" i="12" s="1"/>
  <c r="F1314" i="12" s="1"/>
  <c r="F1315" i="12" s="1"/>
  <c r="F1316" i="12" s="1"/>
  <c r="F1317" i="12" s="1"/>
  <c r="F1318" i="12" s="1"/>
  <c r="F1319" i="12" s="1"/>
  <c r="F1320" i="12" s="1"/>
  <c r="F1321" i="12" s="1"/>
  <c r="F1322" i="12" s="1"/>
  <c r="F1323" i="12" s="1"/>
  <c r="F1324" i="12" s="1"/>
  <c r="F1325" i="12" s="1"/>
  <c r="F1326" i="12" s="1"/>
  <c r="F1327" i="12" s="1"/>
  <c r="F1328" i="12" s="1"/>
  <c r="F1329" i="12" s="1"/>
  <c r="F1330" i="12" s="1"/>
  <c r="F1331" i="12" s="1"/>
  <c r="F1332" i="12" s="1"/>
  <c r="F1333" i="12" s="1"/>
  <c r="F1334" i="12" s="1"/>
  <c r="F1335" i="12" s="1"/>
  <c r="F1336" i="12" s="1"/>
  <c r="F1337" i="12" s="1"/>
  <c r="F1338" i="12" s="1"/>
  <c r="F1339" i="12" s="1"/>
  <c r="F1340" i="12" s="1"/>
  <c r="F1341" i="12" s="1"/>
  <c r="F1342" i="12" s="1"/>
  <c r="F1343" i="12" s="1"/>
  <c r="F1344" i="12" s="1"/>
  <c r="F1345" i="12" s="1"/>
  <c r="F1346" i="12" s="1"/>
  <c r="F1347" i="12" s="1"/>
  <c r="F1348" i="12" s="1"/>
  <c r="F1349" i="12" s="1"/>
  <c r="F1350" i="12" s="1"/>
  <c r="F1351" i="12" s="1"/>
  <c r="F1352" i="12" s="1"/>
  <c r="F1353" i="12"/>
  <c r="F1354" i="12" s="1"/>
  <c r="F1355" i="12" s="1"/>
  <c r="F1356" i="12" s="1"/>
  <c r="F1357" i="12" s="1"/>
  <c r="F1358" i="12" s="1"/>
  <c r="F1359" i="12" s="1"/>
  <c r="F1360" i="12" s="1"/>
  <c r="F1361" i="12" s="1"/>
  <c r="F1362" i="12" s="1"/>
  <c r="F1363" i="12" s="1"/>
  <c r="F1364" i="12" s="1"/>
  <c r="F1365" i="12" s="1"/>
  <c r="F1366" i="12" s="1"/>
  <c r="F1367" i="12" s="1"/>
  <c r="F1368" i="12" s="1"/>
  <c r="F1369" i="12" s="1"/>
  <c r="F1370" i="12" s="1"/>
  <c r="F1371" i="12" s="1"/>
  <c r="F1372" i="12" s="1"/>
  <c r="F1373" i="12" s="1"/>
  <c r="F1374" i="12" s="1"/>
  <c r="F1375" i="12" s="1"/>
  <c r="F1376" i="12" s="1"/>
  <c r="F1377" i="12" s="1"/>
  <c r="F1378" i="12" s="1"/>
  <c r="F1379" i="12" s="1"/>
  <c r="F1380" i="12" s="1"/>
  <c r="F1381" i="12" s="1"/>
  <c r="F1382" i="12" s="1"/>
  <c r="F1383" i="12" s="1"/>
  <c r="F1384" i="12" s="1"/>
  <c r="F1385" i="12" s="1"/>
  <c r="F1386" i="12" s="1"/>
  <c r="F1387" i="12" s="1"/>
  <c r="F1388" i="12" s="1"/>
  <c r="F1389" i="12" s="1"/>
  <c r="F1390" i="12" s="1"/>
  <c r="F1391" i="12" s="1"/>
  <c r="F1392" i="12" s="1"/>
  <c r="F1393" i="12" s="1"/>
  <c r="F1394" i="12" s="1"/>
  <c r="F1395" i="12" s="1"/>
  <c r="F1396" i="12" s="1"/>
  <c r="F1397" i="12" s="1"/>
  <c r="F1398" i="12" s="1"/>
  <c r="F1399" i="12" s="1"/>
  <c r="F1400" i="12" s="1"/>
  <c r="F1401" i="12" s="1"/>
  <c r="F1402" i="12" s="1"/>
  <c r="F1403" i="12" s="1"/>
  <c r="F1404" i="12" s="1"/>
  <c r="F1405" i="12" s="1"/>
  <c r="F1406" i="12" s="1"/>
  <c r="F1407" i="12" s="1"/>
  <c r="F1408" i="12" s="1"/>
  <c r="F1409" i="12" s="1"/>
  <c r="F1410" i="12" s="1"/>
  <c r="F1411" i="12" s="1"/>
  <c r="F1412" i="12" s="1"/>
  <c r="F1413" i="12" s="1"/>
  <c r="F1414" i="12" s="1"/>
  <c r="F1415" i="12" s="1"/>
  <c r="F1416" i="12" s="1"/>
  <c r="F1417" i="12" s="1"/>
  <c r="F1418" i="12" s="1"/>
  <c r="F1419" i="12" s="1"/>
  <c r="F1420" i="12" s="1"/>
  <c r="F1421" i="12" s="1"/>
  <c r="F1422" i="12" s="1"/>
  <c r="F1423" i="12" s="1"/>
  <c r="F1424" i="12" s="1"/>
  <c r="F1425" i="12" s="1"/>
  <c r="F1426" i="12" s="1"/>
  <c r="F1427" i="12" s="1"/>
  <c r="F1428" i="12" s="1"/>
  <c r="F1429" i="12" s="1"/>
  <c r="F1430" i="12" s="1"/>
  <c r="F1431" i="12" s="1"/>
  <c r="F1432" i="12" s="1"/>
  <c r="F1433" i="12" s="1"/>
  <c r="F1434" i="12" s="1"/>
  <c r="F1435" i="12" s="1"/>
  <c r="F1436" i="12" s="1"/>
  <c r="F1437" i="12" s="1"/>
  <c r="F1438" i="12" s="1"/>
  <c r="F1439" i="12" s="1"/>
  <c r="F1440" i="12" s="1"/>
  <c r="F1441" i="12" s="1"/>
  <c r="F1442" i="12" s="1"/>
  <c r="F1443" i="12" s="1"/>
  <c r="F1444" i="12" s="1"/>
  <c r="F1445" i="12" s="1"/>
  <c r="F1446" i="12" s="1"/>
  <c r="F1447" i="12" s="1"/>
  <c r="F1448" i="12" s="1"/>
  <c r="F1449" i="12" s="1"/>
  <c r="F1450" i="12" s="1"/>
  <c r="F1451" i="12" s="1"/>
  <c r="F1452" i="12" s="1"/>
  <c r="F1453" i="12" s="1"/>
  <c r="F1454" i="12" s="1"/>
  <c r="F1455" i="12" s="1"/>
  <c r="F1456" i="12" s="1"/>
  <c r="F1457" i="12" s="1"/>
  <c r="F1458" i="12" s="1"/>
  <c r="F1459" i="12" s="1"/>
  <c r="F1460" i="12" s="1"/>
  <c r="F1461" i="12" s="1"/>
  <c r="F1462" i="12" s="1"/>
  <c r="F1463" i="12" s="1"/>
  <c r="F1464" i="12" s="1"/>
  <c r="F1465" i="12" s="1"/>
  <c r="F1466" i="12" s="1"/>
  <c r="F1467" i="12" s="1"/>
  <c r="F1468" i="12" s="1"/>
  <c r="F1469" i="12" s="1"/>
  <c r="F1470" i="12" s="1"/>
  <c r="F1471" i="12" s="1"/>
  <c r="F1472" i="12" s="1"/>
  <c r="F1473" i="12" s="1"/>
  <c r="F1474" i="12" s="1"/>
  <c r="F1475" i="12" s="1"/>
  <c r="F1476" i="12" s="1"/>
  <c r="F1477" i="12" s="1"/>
  <c r="F1478" i="12" s="1"/>
  <c r="F1479" i="12" s="1"/>
  <c r="F1480" i="12" s="1"/>
  <c r="F1481" i="12" s="1"/>
  <c r="F1482" i="12" s="1"/>
  <c r="F1483" i="12" s="1"/>
  <c r="F1484" i="12" s="1"/>
  <c r="F1485" i="12" s="1"/>
  <c r="F1486" i="12" s="1"/>
  <c r="F1487" i="12" s="1"/>
  <c r="F1488" i="12" s="1"/>
  <c r="F1489" i="12" s="1"/>
  <c r="F1490" i="12" s="1"/>
  <c r="F1491" i="12" s="1"/>
  <c r="F1492" i="12" s="1"/>
  <c r="F1493" i="12" s="1"/>
  <c r="F1494" i="12" s="1"/>
  <c r="F1495" i="12" s="1"/>
  <c r="F1496" i="12" s="1"/>
  <c r="F1497" i="12" s="1"/>
  <c r="F1498" i="12" s="1"/>
  <c r="F1499" i="12" s="1"/>
  <c r="F1500" i="12" s="1"/>
  <c r="F1501" i="12" s="1"/>
  <c r="F1502" i="12" s="1"/>
  <c r="F1503" i="12" s="1"/>
  <c r="F1504" i="12" s="1"/>
  <c r="F1505" i="12" s="1"/>
  <c r="F1506" i="12" s="1"/>
  <c r="F1507" i="12" s="1"/>
  <c r="F1508" i="12" s="1"/>
  <c r="F1509" i="12" s="1"/>
  <c r="F1510" i="12" s="1"/>
  <c r="F1511" i="12" s="1"/>
  <c r="F1512" i="12" s="1"/>
  <c r="F1513" i="12" s="1"/>
  <c r="F1514" i="12" s="1"/>
  <c r="F1515" i="12" s="1"/>
  <c r="F1516" i="12" s="1"/>
  <c r="F1517" i="12" s="1"/>
  <c r="F1518" i="12" s="1"/>
  <c r="F1519" i="12" s="1"/>
  <c r="F1520" i="12" s="1"/>
  <c r="F1521" i="12" s="1"/>
  <c r="F1522" i="12" s="1"/>
  <c r="F1523" i="12" s="1"/>
  <c r="F1524" i="12" s="1"/>
  <c r="F1525" i="12" s="1"/>
  <c r="F1526" i="12" s="1"/>
  <c r="F1527" i="12" s="1"/>
  <c r="F1528" i="12" s="1"/>
  <c r="F1529" i="12" s="1"/>
  <c r="F1530" i="12" s="1"/>
  <c r="F1531" i="12" s="1"/>
  <c r="F1532" i="12" s="1"/>
  <c r="F1533" i="12" s="1"/>
  <c r="F1534" i="12" s="1"/>
  <c r="F1535" i="12" s="1"/>
  <c r="F1536" i="12" s="1"/>
  <c r="F1537" i="12" s="1"/>
  <c r="F1538" i="12" s="1"/>
  <c r="F1539" i="12" s="1"/>
  <c r="F1540" i="12" s="1"/>
  <c r="F1541" i="12" s="1"/>
  <c r="F1542" i="12" s="1"/>
  <c r="F1543" i="12"/>
  <c r="F1544" i="12" s="1"/>
  <c r="F1545" i="12" s="1"/>
  <c r="F1546" i="12" s="1"/>
  <c r="F1547" i="12" s="1"/>
  <c r="F1548" i="12" s="1"/>
  <c r="F1549" i="12" s="1"/>
  <c r="F1550" i="12" s="1"/>
  <c r="F1551" i="12" s="1"/>
  <c r="F1552" i="12" s="1"/>
  <c r="F1553" i="12" s="1"/>
  <c r="F1554" i="12" s="1"/>
  <c r="F1555" i="12" s="1"/>
  <c r="F1556" i="12" s="1"/>
  <c r="F1557" i="12" s="1"/>
  <c r="F1558" i="12" s="1"/>
  <c r="F1559" i="12" s="1"/>
  <c r="F1560" i="12" s="1"/>
  <c r="F1561" i="12" s="1"/>
  <c r="F1562" i="12" s="1"/>
  <c r="F1563" i="12" s="1"/>
  <c r="F1564" i="12" s="1"/>
  <c r="F1565" i="12" s="1"/>
  <c r="F1566" i="12" s="1"/>
  <c r="F1567" i="12" s="1"/>
  <c r="F1568" i="12" s="1"/>
  <c r="F1569" i="12" s="1"/>
  <c r="F1570" i="12" s="1"/>
  <c r="F1571" i="12" s="1"/>
  <c r="F1572" i="12" s="1"/>
  <c r="F1573" i="12" s="1"/>
  <c r="F1574" i="12" s="1"/>
  <c r="F1575" i="12" s="1"/>
  <c r="F1576" i="12" s="1"/>
  <c r="F1577" i="12" s="1"/>
  <c r="F1578" i="12" s="1"/>
  <c r="F1579" i="12" s="1"/>
  <c r="F1580" i="12" s="1"/>
  <c r="F1581" i="12" s="1"/>
  <c r="F1582" i="12" s="1"/>
  <c r="F1583" i="12" s="1"/>
  <c r="F1584" i="12" s="1"/>
  <c r="F1585" i="12" s="1"/>
  <c r="F1586" i="12" s="1"/>
  <c r="F1587" i="12" s="1"/>
  <c r="F1588" i="12" s="1"/>
  <c r="F1589" i="12" s="1"/>
  <c r="F1590" i="12" s="1"/>
  <c r="F1591" i="12" s="1"/>
  <c r="F1592" i="12" s="1"/>
  <c r="F1593" i="12" s="1"/>
  <c r="F1594" i="12" s="1"/>
  <c r="F1595" i="12" s="1"/>
  <c r="F1596" i="12" s="1"/>
  <c r="F1597" i="12" s="1"/>
  <c r="F1598" i="12" s="1"/>
  <c r="F1599" i="12" s="1"/>
  <c r="F1600" i="12" s="1"/>
  <c r="F1601" i="12" s="1"/>
  <c r="F1602" i="12" s="1"/>
  <c r="F1603" i="12" s="1"/>
  <c r="F1604" i="12" s="1"/>
  <c r="F1605" i="12" s="1"/>
  <c r="F1606" i="12" s="1"/>
  <c r="F1607" i="12" s="1"/>
  <c r="F1608" i="12" s="1"/>
  <c r="F1609" i="12" s="1"/>
  <c r="F1610" i="12" s="1"/>
  <c r="F1611" i="12" s="1"/>
  <c r="F1612" i="12" s="1"/>
  <c r="F1613" i="12" s="1"/>
  <c r="F1614" i="12" s="1"/>
  <c r="F1615" i="12" s="1"/>
  <c r="F1616" i="12" s="1"/>
  <c r="F1617" i="12" s="1"/>
  <c r="F1618" i="12" s="1"/>
  <c r="F1619" i="12" s="1"/>
  <c r="F1620" i="12" s="1"/>
  <c r="F1621" i="12" s="1"/>
  <c r="F1622" i="12" s="1"/>
  <c r="F1623" i="12" s="1"/>
  <c r="F1624" i="12" s="1"/>
  <c r="F1625" i="12" s="1"/>
  <c r="F1626" i="12" s="1"/>
  <c r="F1627" i="12" s="1"/>
  <c r="F1628" i="12" s="1"/>
  <c r="F1629" i="12" s="1"/>
  <c r="F1630" i="12" s="1"/>
  <c r="F1631" i="12" s="1"/>
  <c r="F1632" i="12" s="1"/>
  <c r="F1633" i="12" s="1"/>
  <c r="F1634" i="12" s="1"/>
  <c r="F1635" i="12" s="1"/>
  <c r="F1636" i="12" s="1"/>
  <c r="F1637" i="12" s="1"/>
  <c r="F1638" i="12" s="1"/>
  <c r="F1639" i="12" s="1"/>
  <c r="F1640" i="12" s="1"/>
  <c r="F1641" i="12" s="1"/>
  <c r="F1642" i="12" s="1"/>
  <c r="F1643" i="12" s="1"/>
  <c r="F1644" i="12" s="1"/>
  <c r="F1645" i="12" s="1"/>
  <c r="F1646" i="12" s="1"/>
  <c r="F1647" i="12" s="1"/>
  <c r="F1648" i="12" s="1"/>
  <c r="F1649" i="12" s="1"/>
  <c r="F1650" i="12" s="1"/>
  <c r="F1651" i="12" s="1"/>
  <c r="F1652" i="12" s="1"/>
  <c r="F1653" i="12" s="1"/>
  <c r="F1654" i="12" s="1"/>
  <c r="F1655" i="12" s="1"/>
  <c r="F1656" i="12" s="1"/>
  <c r="F1657" i="12" s="1"/>
  <c r="F1658" i="12" s="1"/>
  <c r="F1659" i="12" s="1"/>
  <c r="F1660" i="12" s="1"/>
  <c r="F1661" i="12" s="1"/>
  <c r="F1662" i="12" s="1"/>
  <c r="F1663" i="12" s="1"/>
  <c r="F1664" i="12" s="1"/>
  <c r="F1665" i="12" s="1"/>
  <c r="F1666" i="12" s="1"/>
  <c r="F1667" i="12" s="1"/>
  <c r="F1668" i="12" s="1"/>
  <c r="F1669" i="12" s="1"/>
  <c r="F1670" i="12" s="1"/>
  <c r="F1671" i="12" s="1"/>
  <c r="F1672" i="12" s="1"/>
  <c r="F1673" i="12" s="1"/>
  <c r="F1674" i="12" s="1"/>
  <c r="F1675" i="12" s="1"/>
  <c r="F1676" i="12" s="1"/>
  <c r="F1677" i="12" s="1"/>
  <c r="F1678" i="12" s="1"/>
  <c r="F1679" i="12" s="1"/>
  <c r="F1680" i="12" s="1"/>
  <c r="F1681" i="12" s="1"/>
  <c r="F1682" i="12" s="1"/>
  <c r="F1683" i="12" s="1"/>
  <c r="F1684" i="12" s="1"/>
  <c r="F1685" i="12" s="1"/>
  <c r="F1686" i="12" s="1"/>
  <c r="F1687" i="12" s="1"/>
  <c r="F1688" i="12" s="1"/>
  <c r="F1689" i="12" s="1"/>
  <c r="F1690" i="12" s="1"/>
  <c r="F1691" i="12" s="1"/>
  <c r="F1692" i="12" s="1"/>
  <c r="F1693" i="12" s="1"/>
  <c r="F1694" i="12" s="1"/>
  <c r="F1695" i="12" s="1"/>
  <c r="F1696" i="12" s="1"/>
  <c r="F1697" i="12" s="1"/>
  <c r="F1698" i="12" s="1"/>
  <c r="F1699" i="12" s="1"/>
  <c r="F1700" i="12" s="1"/>
  <c r="F1701" i="12" s="1"/>
  <c r="F1702" i="12" s="1"/>
  <c r="F1703" i="12" s="1"/>
  <c r="F1704" i="12" s="1"/>
  <c r="F1705" i="12" s="1"/>
  <c r="F1706" i="12" s="1"/>
  <c r="F1707" i="12" s="1"/>
  <c r="F1708" i="12" s="1"/>
  <c r="F1709" i="12" s="1"/>
  <c r="F1710" i="12" s="1"/>
  <c r="F1711" i="12" s="1"/>
  <c r="F1712" i="12" s="1"/>
  <c r="F1713" i="12" s="1"/>
  <c r="F1714" i="12" s="1"/>
  <c r="F1715" i="12" s="1"/>
  <c r="F1716" i="12" s="1"/>
  <c r="F1717" i="12" s="1"/>
  <c r="F1718" i="12" s="1"/>
  <c r="F1719" i="12" s="1"/>
  <c r="F1720" i="12" s="1"/>
  <c r="F1721" i="12" s="1"/>
  <c r="F1722" i="12" s="1"/>
  <c r="F1723" i="12" s="1"/>
  <c r="F1724" i="12" s="1"/>
  <c r="F1725" i="12" s="1"/>
  <c r="F1726" i="12" s="1"/>
  <c r="F1727" i="12" s="1"/>
  <c r="F1728" i="12" s="1"/>
  <c r="F1729" i="12" s="1"/>
  <c r="F1730" i="12" s="1"/>
  <c r="F1731" i="12" s="1"/>
  <c r="F1732" i="12" s="1"/>
  <c r="F1733" i="12" s="1"/>
  <c r="F1734" i="12" s="1"/>
  <c r="F1735" i="12" s="1"/>
  <c r="F1736" i="12" s="1"/>
  <c r="F1737" i="12" s="1"/>
  <c r="F1738" i="12" s="1"/>
  <c r="F1739" i="12" s="1"/>
  <c r="F1740" i="12" s="1"/>
  <c r="F1741" i="12" s="1"/>
  <c r="F1742" i="12" s="1"/>
  <c r="F1743" i="12" s="1"/>
  <c r="F1744" i="12" s="1"/>
  <c r="F1745" i="12" s="1"/>
  <c r="F1746" i="12" s="1"/>
  <c r="F1747" i="12" s="1"/>
  <c r="F1748" i="12" s="1"/>
  <c r="F1749" i="12" s="1"/>
  <c r="F1750" i="12" s="1"/>
  <c r="F1751" i="12" s="1"/>
  <c r="F1752" i="12" s="1"/>
  <c r="F1753" i="12" s="1"/>
  <c r="F1754" i="12" s="1"/>
  <c r="F1755" i="12" s="1"/>
  <c r="F1756" i="12" s="1"/>
  <c r="F1757" i="12" s="1"/>
  <c r="F1758" i="12" s="1"/>
  <c r="F1759" i="12" s="1"/>
  <c r="F1760" i="12" s="1"/>
  <c r="F1761" i="12" s="1"/>
  <c r="F1762" i="12" s="1"/>
  <c r="F1763" i="12" s="1"/>
  <c r="F1764" i="12" s="1"/>
  <c r="F1765" i="12" s="1"/>
  <c r="F1766" i="12" s="1"/>
  <c r="F1767" i="12" s="1"/>
  <c r="F1768" i="12" s="1"/>
  <c r="F1769" i="12" s="1"/>
  <c r="F1770" i="12" s="1"/>
  <c r="F1771" i="12" s="1"/>
  <c r="F1772" i="12" s="1"/>
  <c r="F1773" i="12" s="1"/>
  <c r="F1774" i="12" s="1"/>
  <c r="F1775" i="12" s="1"/>
  <c r="F1776" i="12" s="1"/>
  <c r="F1777" i="12" s="1"/>
  <c r="F1778" i="12" s="1"/>
  <c r="F1779" i="12" s="1"/>
  <c r="F1780" i="12" s="1"/>
  <c r="F1781" i="12" s="1"/>
  <c r="F1782" i="12" s="1"/>
  <c r="F1783" i="12" s="1"/>
  <c r="F1784" i="12" s="1"/>
  <c r="F1785" i="12" s="1"/>
  <c r="F1786" i="12" s="1"/>
  <c r="F1787" i="12" s="1"/>
  <c r="F1788" i="12" s="1"/>
  <c r="F1789" i="12" s="1"/>
  <c r="F1790" i="12" s="1"/>
  <c r="F1791" i="12" s="1"/>
  <c r="F1792" i="12" s="1"/>
  <c r="F1793" i="12" s="1"/>
  <c r="F1794" i="12" s="1"/>
  <c r="F1795" i="12" s="1"/>
  <c r="F1796" i="12" s="1"/>
  <c r="F1797" i="12" s="1"/>
  <c r="F1798" i="12" s="1"/>
  <c r="F1799" i="12" s="1"/>
  <c r="F1800" i="12" s="1"/>
  <c r="F1801" i="12" s="1"/>
  <c r="F1802" i="12" s="1"/>
  <c r="F1803" i="12" s="1"/>
  <c r="F1804" i="12" s="1"/>
  <c r="F1805" i="12" s="1"/>
  <c r="F1806" i="12" s="1"/>
  <c r="F1807" i="12" s="1"/>
  <c r="F1808" i="12" s="1"/>
  <c r="F1809" i="12" s="1"/>
  <c r="F1810" i="12" s="1"/>
  <c r="F1811" i="12" s="1"/>
  <c r="F1812" i="12" s="1"/>
  <c r="F1813" i="12" s="1"/>
  <c r="F1814" i="12" s="1"/>
  <c r="F1815" i="12" s="1"/>
  <c r="F1816" i="12" s="1"/>
  <c r="F1817" i="12" s="1"/>
  <c r="F1818" i="12" s="1"/>
  <c r="F1819" i="12" s="1"/>
  <c r="F1820" i="12" s="1"/>
  <c r="F1821" i="12" s="1"/>
  <c r="F1822" i="12" s="1"/>
  <c r="F1823" i="12" s="1"/>
  <c r="F1824" i="12" s="1"/>
  <c r="F1825" i="12" s="1"/>
  <c r="F1826" i="12" s="1"/>
  <c r="F1827" i="12" s="1"/>
  <c r="F1828" i="12" s="1"/>
  <c r="F1829" i="12" s="1"/>
  <c r="F1830" i="12" s="1"/>
  <c r="F1831" i="12" s="1"/>
  <c r="F1832" i="12" s="1"/>
  <c r="F1833" i="12" s="1"/>
  <c r="F1834" i="12" s="1"/>
  <c r="F1835" i="12" s="1"/>
  <c r="F1836" i="12" s="1"/>
  <c r="F1837" i="12" s="1"/>
  <c r="F1838" i="12" s="1"/>
  <c r="F1839" i="12" s="1"/>
  <c r="F1840" i="12" s="1"/>
  <c r="F1841" i="12" s="1"/>
  <c r="F1842" i="12" s="1"/>
  <c r="F1843" i="12" s="1"/>
  <c r="F1844" i="12" s="1"/>
  <c r="F1845" i="12" s="1"/>
  <c r="F1846" i="12" s="1"/>
  <c r="F1847" i="12" s="1"/>
  <c r="F1848" i="12" s="1"/>
  <c r="F1849" i="12" s="1"/>
  <c r="F1850" i="12" s="1"/>
  <c r="F1851" i="12" s="1"/>
  <c r="F1852" i="12" s="1"/>
  <c r="F1853" i="12" s="1"/>
  <c r="F1854" i="12" s="1"/>
  <c r="F1855" i="12" s="1"/>
  <c r="F1856" i="12" s="1"/>
  <c r="F1857" i="12" s="1"/>
  <c r="F1858" i="12" s="1"/>
  <c r="F1859" i="12" s="1"/>
  <c r="F1860" i="12" s="1"/>
  <c r="F1861" i="12" s="1"/>
  <c r="F1862" i="12" s="1"/>
  <c r="F1863" i="12" s="1"/>
  <c r="F1864" i="12" s="1"/>
  <c r="F1865" i="12" s="1"/>
  <c r="F1866" i="12" s="1"/>
  <c r="F1867" i="12" s="1"/>
  <c r="F1868" i="12" s="1"/>
  <c r="F1869" i="12" s="1"/>
  <c r="F1870" i="12" s="1"/>
  <c r="F1871" i="12" s="1"/>
  <c r="F1872" i="12" s="1"/>
  <c r="F1873" i="12" s="1"/>
  <c r="F1874" i="12" s="1"/>
  <c r="F1875" i="12" s="1"/>
  <c r="F1876" i="12" s="1"/>
  <c r="F1877" i="12" s="1"/>
  <c r="F1878" i="12" s="1"/>
  <c r="F1879" i="12" s="1"/>
  <c r="F1880" i="12" s="1"/>
  <c r="F1881" i="12" s="1"/>
  <c r="F1882" i="12" s="1"/>
  <c r="F1883" i="12" s="1"/>
  <c r="F1884" i="12" s="1"/>
  <c r="F1885" i="12" s="1"/>
  <c r="F1886" i="12" s="1"/>
  <c r="F1887" i="12" s="1"/>
  <c r="F1888" i="12" s="1"/>
  <c r="F1889" i="12" s="1"/>
  <c r="F1890" i="12" s="1"/>
  <c r="F1891" i="12" s="1"/>
  <c r="F1892" i="12" s="1"/>
  <c r="F1893" i="12" s="1"/>
  <c r="F1894" i="12" s="1"/>
  <c r="F1895" i="12" s="1"/>
  <c r="F1896" i="12" s="1"/>
  <c r="F1897" i="12" s="1"/>
  <c r="F1898" i="12" s="1"/>
  <c r="F1899" i="12" s="1"/>
  <c r="F1900" i="12" s="1"/>
  <c r="F1901" i="12" s="1"/>
  <c r="F1902" i="12" s="1"/>
  <c r="F1903" i="12" s="1"/>
  <c r="F1904" i="12" s="1"/>
  <c r="F1905" i="12" s="1"/>
  <c r="F1906" i="12" s="1"/>
  <c r="F1907" i="12" s="1"/>
  <c r="F1908" i="12" s="1"/>
  <c r="F1909" i="12" s="1"/>
  <c r="F1910" i="12" s="1"/>
  <c r="F1911" i="12" s="1"/>
  <c r="F1912" i="12" s="1"/>
  <c r="F1913" i="12" s="1"/>
  <c r="F1914" i="12" s="1"/>
  <c r="F1915" i="12" s="1"/>
  <c r="F1916" i="12" s="1"/>
  <c r="F1917" i="12" s="1"/>
  <c r="F1918" i="12" s="1"/>
  <c r="F1919" i="12" s="1"/>
  <c r="F1920" i="12" s="1"/>
  <c r="F1921" i="12" s="1"/>
  <c r="F1922" i="12" s="1"/>
  <c r="F1923" i="12" s="1"/>
  <c r="F1924" i="12" s="1"/>
  <c r="F1925" i="12" s="1"/>
  <c r="F1926" i="12" s="1"/>
  <c r="F1927" i="12" s="1"/>
  <c r="F1928" i="12" s="1"/>
  <c r="F1929" i="12" s="1"/>
  <c r="F1930" i="12" s="1"/>
  <c r="F1931" i="12" s="1"/>
  <c r="F1932" i="12" s="1"/>
  <c r="F1933" i="12" s="1"/>
  <c r="F1934" i="12" s="1"/>
  <c r="F1935" i="12" s="1"/>
  <c r="F1936" i="12" s="1"/>
  <c r="F1937" i="12" s="1"/>
  <c r="F1938" i="12" s="1"/>
  <c r="F1939" i="12" s="1"/>
  <c r="F1940" i="12" s="1"/>
  <c r="F1941" i="12" s="1"/>
  <c r="F1942" i="12" s="1"/>
  <c r="F1943" i="12" s="1"/>
  <c r="F1944" i="12" s="1"/>
  <c r="F1945" i="12" s="1"/>
  <c r="F1946" i="12" s="1"/>
  <c r="F1947" i="12" s="1"/>
  <c r="F1948" i="12" s="1"/>
  <c r="F1949" i="12" s="1"/>
  <c r="F1950" i="12" s="1"/>
  <c r="F1951" i="12" s="1"/>
  <c r="F1952" i="12" s="1"/>
  <c r="F1953" i="12" s="1"/>
  <c r="F1954" i="12" s="1"/>
  <c r="F1955" i="12" s="1"/>
  <c r="F1956" i="12" s="1"/>
  <c r="F1957" i="12" s="1"/>
  <c r="F1958" i="12" s="1"/>
  <c r="F1959" i="12" s="1"/>
  <c r="F1960" i="12" s="1"/>
  <c r="F1961" i="12" s="1"/>
  <c r="F1962" i="12" s="1"/>
  <c r="F1963" i="12" s="1"/>
  <c r="F1964" i="12" s="1"/>
  <c r="F1965" i="12" s="1"/>
  <c r="F1966" i="12" s="1"/>
  <c r="F1967" i="12" s="1"/>
  <c r="F1968" i="12" s="1"/>
  <c r="F1969" i="12" s="1"/>
  <c r="F1970" i="12" s="1"/>
  <c r="F1971" i="12" s="1"/>
  <c r="F1972" i="12" s="1"/>
  <c r="F1973" i="12" s="1"/>
  <c r="F1974" i="12" s="1"/>
  <c r="F1975" i="12" s="1"/>
  <c r="F1976" i="12" s="1"/>
  <c r="F1977" i="12" s="1"/>
  <c r="F1978" i="12" s="1"/>
  <c r="F1979" i="12" s="1"/>
  <c r="F1980" i="12" s="1"/>
  <c r="F1981" i="12" s="1"/>
  <c r="F1982" i="12" s="1"/>
  <c r="F1983" i="12" s="1"/>
  <c r="F1984" i="12" s="1"/>
  <c r="F1985" i="12" s="1"/>
  <c r="F1986" i="12" s="1"/>
  <c r="F1987" i="12" s="1"/>
  <c r="F1988" i="12" s="1"/>
  <c r="F1989" i="12" s="1"/>
  <c r="F1990" i="12" s="1"/>
  <c r="F1991" i="12" s="1"/>
  <c r="F1992" i="12" s="1"/>
  <c r="F1993" i="12" s="1"/>
  <c r="F1994" i="12" s="1"/>
  <c r="F1995" i="12" s="1"/>
  <c r="F1996" i="12" s="1"/>
  <c r="F1997" i="12" s="1"/>
  <c r="F1998" i="12" s="1"/>
  <c r="F1999" i="12" s="1"/>
  <c r="F2000" i="12" s="1"/>
  <c r="F2001" i="12" s="1"/>
  <c r="F2002" i="12" s="1"/>
  <c r="F2003" i="12" s="1"/>
  <c r="F2004" i="12" s="1"/>
  <c r="F2005" i="12" s="1"/>
  <c r="F2006" i="12" s="1"/>
  <c r="F2007" i="12" s="1"/>
  <c r="F2008" i="12" s="1"/>
  <c r="F2009" i="12" s="1"/>
  <c r="F2010" i="12" s="1"/>
  <c r="F2011" i="12" s="1"/>
  <c r="F2012" i="12" s="1"/>
  <c r="F2013" i="12" s="1"/>
  <c r="F2014" i="12" s="1"/>
  <c r="F2015" i="12" s="1"/>
  <c r="F2016" i="12" s="1"/>
  <c r="F2017" i="12" s="1"/>
  <c r="F2018" i="12" s="1"/>
  <c r="F2019" i="12" s="1"/>
  <c r="F2020" i="12" s="1"/>
  <c r="F2021" i="12" s="1"/>
  <c r="F2022" i="12" s="1"/>
  <c r="F2023" i="12" s="1"/>
  <c r="F2024" i="12" s="1"/>
  <c r="F2025" i="12" s="1"/>
  <c r="F2026" i="12" s="1"/>
  <c r="F2027" i="12" s="1"/>
  <c r="F2028" i="12" s="1"/>
  <c r="F2029" i="12" s="1"/>
  <c r="F2030" i="12" s="1"/>
  <c r="F2031" i="12" s="1"/>
  <c r="F2032" i="12" s="1"/>
  <c r="F2033" i="12" s="1"/>
  <c r="F2034" i="12" s="1"/>
  <c r="F2035" i="12" s="1"/>
  <c r="F2036" i="12" s="1"/>
  <c r="F2037" i="12" s="1"/>
  <c r="F2038" i="12" s="1"/>
  <c r="F2039" i="12" s="1"/>
  <c r="F2040" i="12" s="1"/>
  <c r="F2041" i="12" s="1"/>
  <c r="F2042" i="12" s="1"/>
  <c r="F2043" i="12" s="1"/>
  <c r="F2044" i="12" s="1"/>
  <c r="F2045" i="12" s="1"/>
  <c r="F2046" i="12" s="1"/>
  <c r="F2047" i="12" s="1"/>
  <c r="F2048" i="12" s="1"/>
  <c r="F2049" i="12" s="1"/>
  <c r="F2050" i="12" s="1"/>
  <c r="F2051" i="12" s="1"/>
  <c r="F2052" i="12" s="1"/>
  <c r="F2053" i="12" s="1"/>
  <c r="F2054" i="12" s="1"/>
  <c r="F2055" i="12" s="1"/>
  <c r="F2056" i="12" s="1"/>
  <c r="F2057" i="12" s="1"/>
  <c r="F2058" i="12" s="1"/>
  <c r="F2059" i="12" s="1"/>
  <c r="F2060" i="12" s="1"/>
  <c r="F2061" i="12" s="1"/>
  <c r="F2062" i="12" s="1"/>
  <c r="F2063" i="12" s="1"/>
  <c r="F2064" i="12" s="1"/>
  <c r="F2065" i="12" s="1"/>
  <c r="F2066" i="12" s="1"/>
  <c r="F2067" i="12" s="1"/>
  <c r="F2068" i="12" s="1"/>
  <c r="F2069" i="12" s="1"/>
  <c r="F2070" i="12" s="1"/>
  <c r="F2071" i="12" s="1"/>
  <c r="F2072" i="12" s="1"/>
  <c r="F2073" i="12" s="1"/>
  <c r="F2074" i="12" s="1"/>
  <c r="F2075" i="12" s="1"/>
  <c r="F2076" i="12" s="1"/>
  <c r="F2077" i="12" s="1"/>
  <c r="F2078" i="12" s="1"/>
  <c r="F2079" i="12" s="1"/>
  <c r="F2080" i="12" s="1"/>
  <c r="F2081" i="12" s="1"/>
  <c r="F2082" i="12" s="1"/>
  <c r="F2083" i="12" s="1"/>
  <c r="F2084" i="12" s="1"/>
  <c r="F2085" i="12" s="1"/>
  <c r="F2086" i="12" s="1"/>
  <c r="F2087" i="12" s="1"/>
  <c r="F2088" i="12" s="1"/>
  <c r="F2089" i="12" s="1"/>
  <c r="F2090" i="12" s="1"/>
  <c r="F2091" i="12" s="1"/>
  <c r="F2092" i="12" s="1"/>
  <c r="F2093" i="12" s="1"/>
  <c r="F2094" i="12" s="1"/>
  <c r="F2095" i="12" s="1"/>
  <c r="F2096" i="12" s="1"/>
  <c r="F2097" i="12" s="1"/>
  <c r="F2098" i="12" s="1"/>
  <c r="F2099" i="12" s="1"/>
  <c r="F2100" i="12" s="1"/>
  <c r="F2101" i="12" s="1"/>
  <c r="F2102" i="12" s="1"/>
  <c r="F2103" i="12" s="1"/>
  <c r="F2104" i="12" s="1"/>
  <c r="F2105" i="12" s="1"/>
  <c r="F2106" i="12" s="1"/>
  <c r="F2107" i="12" s="1"/>
  <c r="F2108" i="12" s="1"/>
  <c r="F2109" i="12" s="1"/>
  <c r="F2110" i="12" s="1"/>
  <c r="F2111" i="12" s="1"/>
  <c r="F2112" i="12" s="1"/>
  <c r="F2113" i="12" s="1"/>
  <c r="F2114" i="12" s="1"/>
  <c r="F2115" i="12" s="1"/>
  <c r="F2116" i="12" s="1"/>
  <c r="F2117" i="12" s="1"/>
  <c r="F2118" i="12" s="1"/>
  <c r="F2119" i="12" s="1"/>
  <c r="F2120" i="12" s="1"/>
  <c r="F2121" i="12" s="1"/>
  <c r="F2122" i="12" s="1"/>
  <c r="F2123" i="12" s="1"/>
  <c r="F2124" i="12" s="1"/>
  <c r="F2125" i="12" s="1"/>
  <c r="F2126" i="12" s="1"/>
  <c r="F2127" i="12" s="1"/>
  <c r="F2128" i="12" s="1"/>
  <c r="F2129" i="12" s="1"/>
  <c r="F2130" i="12" s="1"/>
  <c r="F2131" i="12" s="1"/>
  <c r="F2132" i="12" s="1"/>
  <c r="F2133" i="12" s="1"/>
  <c r="F2134" i="12" s="1"/>
  <c r="F2135" i="12" s="1"/>
  <c r="F2136" i="12" s="1"/>
  <c r="F2137" i="12" s="1"/>
  <c r="F2138" i="12" s="1"/>
  <c r="F2139" i="12" s="1"/>
  <c r="F2140" i="12" s="1"/>
  <c r="F2141" i="12" s="1"/>
  <c r="F2142" i="12" s="1"/>
  <c r="F2143" i="12" s="1"/>
  <c r="F2144" i="12" s="1"/>
  <c r="F2145" i="12" s="1"/>
  <c r="F2146" i="12" s="1"/>
  <c r="F2147" i="12" s="1"/>
  <c r="F2148" i="12" s="1"/>
  <c r="F2149" i="12" s="1"/>
  <c r="F2150" i="12" s="1"/>
  <c r="F2151" i="12" s="1"/>
  <c r="F2152" i="12" s="1"/>
  <c r="F2153" i="12" s="1"/>
  <c r="F2154" i="12" s="1"/>
  <c r="F2155" i="12" s="1"/>
  <c r="F2156" i="12" s="1"/>
  <c r="F2157" i="12" s="1"/>
  <c r="F2158" i="12" s="1"/>
  <c r="F2159" i="12" s="1"/>
  <c r="F2160" i="12" s="1"/>
  <c r="F2161" i="12" s="1"/>
  <c r="F2162" i="12" s="1"/>
  <c r="F2163" i="12" s="1"/>
  <c r="F2164" i="12" s="1"/>
  <c r="F2165" i="12" s="1"/>
  <c r="F2166" i="12" s="1"/>
  <c r="F2167" i="12" s="1"/>
  <c r="F2168" i="12" s="1"/>
  <c r="F2169" i="12" s="1"/>
  <c r="F2170" i="12" s="1"/>
  <c r="F2171" i="12" s="1"/>
  <c r="F2172" i="12" s="1"/>
  <c r="F2173" i="12" s="1"/>
  <c r="F2174" i="12" s="1"/>
  <c r="F2175" i="12" s="1"/>
  <c r="F2176" i="12" s="1"/>
  <c r="F2177" i="12" s="1"/>
  <c r="F2178" i="12" s="1"/>
  <c r="F2179" i="12" s="1"/>
  <c r="F2180" i="12" s="1"/>
  <c r="F2181" i="12" s="1"/>
  <c r="F2182" i="12" s="1"/>
  <c r="F2183" i="12" s="1"/>
  <c r="F2184" i="12" s="1"/>
  <c r="F2185" i="12" s="1"/>
  <c r="F2186" i="12" s="1"/>
  <c r="F2187" i="12" s="1"/>
  <c r="F2188" i="12" s="1"/>
  <c r="F2189" i="12" s="1"/>
  <c r="F2190" i="12" s="1"/>
  <c r="F2191" i="12" s="1"/>
  <c r="F2192" i="12" s="1"/>
  <c r="F2193" i="12" s="1"/>
  <c r="F2194" i="12" s="1"/>
  <c r="F2195" i="12" s="1"/>
  <c r="F2196" i="12" s="1"/>
  <c r="F2197" i="12" s="1"/>
  <c r="F2198" i="12" s="1"/>
  <c r="F2199" i="12" s="1"/>
  <c r="F2200" i="12" s="1"/>
  <c r="F2201" i="12" s="1"/>
  <c r="F2202" i="12" s="1"/>
  <c r="F2203" i="12" s="1"/>
  <c r="F2204" i="12" s="1"/>
  <c r="F2205" i="12" s="1"/>
  <c r="F2206" i="12" s="1"/>
  <c r="F2207" i="12" s="1"/>
  <c r="F2208" i="12" s="1"/>
  <c r="F2209" i="12" s="1"/>
  <c r="F2210" i="12" s="1"/>
  <c r="F2211" i="12" s="1"/>
  <c r="F2212" i="12" s="1"/>
  <c r="F2213" i="12" s="1"/>
  <c r="F2214" i="12" s="1"/>
  <c r="F2215" i="12" s="1"/>
  <c r="F2216" i="12" s="1"/>
  <c r="F2217" i="12" s="1"/>
  <c r="F2218" i="12" s="1"/>
  <c r="F2219" i="12" s="1"/>
  <c r="F2220" i="12" s="1"/>
  <c r="F2221" i="12" s="1"/>
  <c r="F2222" i="12" s="1"/>
  <c r="F2223" i="12" s="1"/>
  <c r="F2224" i="12" s="1"/>
  <c r="F2225" i="12" s="1"/>
  <c r="F2226" i="12" s="1"/>
  <c r="F2227" i="12" s="1"/>
  <c r="F2228" i="12" s="1"/>
  <c r="F2229" i="12" s="1"/>
  <c r="F2230" i="12" s="1"/>
  <c r="F2231" i="12" s="1"/>
  <c r="F2232" i="12" s="1"/>
  <c r="F2233" i="12" s="1"/>
  <c r="F2234" i="12" s="1"/>
  <c r="F2235" i="12" s="1"/>
  <c r="F2236" i="12" s="1"/>
  <c r="F2237" i="12" s="1"/>
  <c r="F2238" i="12" s="1"/>
  <c r="F2239" i="12" s="1"/>
  <c r="F2240" i="12" s="1"/>
  <c r="F2241" i="12" s="1"/>
  <c r="F2242" i="12" s="1"/>
  <c r="F2243" i="12" s="1"/>
  <c r="F2244" i="12" s="1"/>
  <c r="F2245" i="12" s="1"/>
  <c r="F2246" i="12" s="1"/>
  <c r="F2247" i="12" s="1"/>
  <c r="F2248" i="12" s="1"/>
  <c r="F2249" i="12" s="1"/>
  <c r="F2250" i="12" s="1"/>
  <c r="F2251" i="12" s="1"/>
  <c r="F2252" i="12" s="1"/>
  <c r="F2253" i="12" s="1"/>
  <c r="F2254" i="12" s="1"/>
  <c r="F2255" i="12" s="1"/>
  <c r="F2256" i="12" s="1"/>
  <c r="F2257" i="12" s="1"/>
  <c r="F2258" i="12" s="1"/>
  <c r="F2259" i="12" s="1"/>
  <c r="F2260" i="12" s="1"/>
  <c r="F2261" i="12" s="1"/>
  <c r="F2262" i="12" s="1"/>
  <c r="F2263" i="12" s="1"/>
  <c r="F2264" i="12" s="1"/>
  <c r="F2265" i="12" s="1"/>
  <c r="F2266" i="12" s="1"/>
  <c r="F2267" i="12" s="1"/>
  <c r="F2268" i="12" s="1"/>
  <c r="F2269" i="12" s="1"/>
  <c r="F2270" i="12" s="1"/>
  <c r="F2271" i="12" s="1"/>
  <c r="F2272" i="12" s="1"/>
  <c r="F2273" i="12" s="1"/>
  <c r="F2274" i="12" s="1"/>
  <c r="F2275" i="12" s="1"/>
  <c r="F2276" i="12" s="1"/>
  <c r="F2277" i="12" s="1"/>
  <c r="F2278" i="12" s="1"/>
  <c r="F2279" i="12" s="1"/>
  <c r="F2280" i="12" s="1"/>
  <c r="F2281" i="12" s="1"/>
  <c r="F2282" i="12" s="1"/>
  <c r="F2283" i="12" s="1"/>
  <c r="F2284" i="12" s="1"/>
  <c r="F2285" i="12" s="1"/>
  <c r="F2286" i="12" s="1"/>
  <c r="F2287" i="12" s="1"/>
  <c r="F2288" i="12" s="1"/>
  <c r="F2289" i="12" s="1"/>
  <c r="F2290" i="12" s="1"/>
  <c r="F2291" i="12" s="1"/>
  <c r="F2292" i="12" s="1"/>
  <c r="F2293" i="12" s="1"/>
  <c r="F2294" i="12" s="1"/>
  <c r="F2295" i="12" s="1"/>
  <c r="F2296" i="12" s="1"/>
  <c r="F2297" i="12" s="1"/>
  <c r="F2298" i="12" s="1"/>
  <c r="F2299" i="12" s="1"/>
  <c r="F2300" i="12" s="1"/>
  <c r="F2301" i="12" s="1"/>
  <c r="F2302" i="12" s="1"/>
  <c r="F2303" i="12" s="1"/>
  <c r="F2304" i="12" s="1"/>
  <c r="F2305" i="12" s="1"/>
  <c r="F2306" i="12" s="1"/>
  <c r="F2307" i="12" s="1"/>
  <c r="F2308" i="12" s="1"/>
  <c r="F2309" i="12" s="1"/>
  <c r="F2310" i="12" s="1"/>
  <c r="F2311" i="12" s="1"/>
  <c r="F2312" i="12" s="1"/>
  <c r="F2313" i="12" s="1"/>
  <c r="F2314" i="12" s="1"/>
  <c r="F2315" i="12" s="1"/>
  <c r="F2316" i="12" s="1"/>
  <c r="F2317" i="12" s="1"/>
  <c r="F2318" i="12" s="1"/>
  <c r="F2319" i="12" s="1"/>
  <c r="F2320" i="12" s="1"/>
  <c r="F2321" i="12" s="1"/>
  <c r="F2322" i="12" s="1"/>
  <c r="F2323" i="12" s="1"/>
  <c r="F2324" i="12" s="1"/>
  <c r="F2325" i="12" s="1"/>
  <c r="F2326" i="12" s="1"/>
  <c r="F2327" i="12" s="1"/>
  <c r="F2328" i="12" s="1"/>
  <c r="F2329" i="12" s="1"/>
  <c r="F2330" i="12" s="1"/>
  <c r="F2331" i="12" s="1"/>
  <c r="F2332" i="12" s="1"/>
  <c r="F2333" i="12" s="1"/>
  <c r="F2334" i="12" s="1"/>
  <c r="F2335" i="12" s="1"/>
  <c r="F2336" i="12" s="1"/>
  <c r="F2337" i="12" s="1"/>
  <c r="F2338" i="12" s="1"/>
  <c r="F2339" i="12" s="1"/>
  <c r="F2340" i="12" s="1"/>
  <c r="F2341" i="12" s="1"/>
  <c r="F2342" i="12" s="1"/>
  <c r="F2343" i="12" s="1"/>
  <c r="F2344" i="12" s="1"/>
  <c r="F2345" i="12" s="1"/>
  <c r="F2346" i="12" s="1"/>
  <c r="F2347" i="12" s="1"/>
  <c r="F2348" i="12" s="1"/>
  <c r="F2349" i="12" s="1"/>
  <c r="F2350" i="12" s="1"/>
  <c r="F2351" i="12" s="1"/>
  <c r="F2352" i="12" s="1"/>
  <c r="F2353" i="12" s="1"/>
  <c r="F2354" i="12" s="1"/>
  <c r="F2355" i="12" s="1"/>
  <c r="F2356" i="12" s="1"/>
  <c r="F2357" i="12" s="1"/>
  <c r="F2358" i="12" s="1"/>
  <c r="F2359" i="12" s="1"/>
  <c r="F2360" i="12" s="1"/>
  <c r="F2361" i="12" s="1"/>
  <c r="F2362" i="12" s="1"/>
  <c r="F2363" i="12" s="1"/>
  <c r="F2364" i="12" s="1"/>
  <c r="F2365" i="12" s="1"/>
  <c r="F2366" i="12" s="1"/>
  <c r="F2367" i="12" s="1"/>
  <c r="F2368" i="12" s="1"/>
  <c r="F2369" i="12" s="1"/>
  <c r="F2370" i="12" s="1"/>
  <c r="F2371" i="12" s="1"/>
  <c r="F2372" i="12" s="1"/>
  <c r="F2373" i="12" s="1"/>
  <c r="F2374" i="12" s="1"/>
  <c r="F2375" i="12" s="1"/>
  <c r="F2376" i="12" s="1"/>
  <c r="F2377" i="12" s="1"/>
  <c r="F2378" i="12" s="1"/>
  <c r="F2379" i="12" s="1"/>
  <c r="F2380" i="12" s="1"/>
  <c r="F2381" i="12" s="1"/>
  <c r="F2382" i="12" s="1"/>
  <c r="F2383" i="12" s="1"/>
  <c r="F2384" i="12" s="1"/>
  <c r="F2385" i="12" s="1"/>
  <c r="F2386" i="12" s="1"/>
  <c r="F2387" i="12" s="1"/>
  <c r="F2388" i="12" s="1"/>
  <c r="F2389" i="12" s="1"/>
  <c r="F2390" i="12" s="1"/>
  <c r="F2391" i="12" s="1"/>
  <c r="F2392" i="12" s="1"/>
  <c r="F2393" i="12" s="1"/>
  <c r="F2394" i="12" s="1"/>
  <c r="F2395" i="12" s="1"/>
  <c r="F2396" i="12" s="1"/>
  <c r="F2397" i="12" s="1"/>
  <c r="F2398" i="12" s="1"/>
  <c r="F2399" i="12" s="1"/>
  <c r="F2400" i="12" s="1"/>
  <c r="F2401" i="12" s="1"/>
  <c r="F2402" i="12" s="1"/>
  <c r="F2403" i="12" s="1"/>
  <c r="F2404" i="12" s="1"/>
  <c r="F2405" i="12" s="1"/>
  <c r="F2406" i="12" s="1"/>
  <c r="F2407" i="12" s="1"/>
  <c r="F2408" i="12" s="1"/>
  <c r="F2409" i="12" s="1"/>
  <c r="F2410" i="12" s="1"/>
  <c r="F2411" i="12" s="1"/>
  <c r="F2412" i="12" s="1"/>
  <c r="F2413" i="12" s="1"/>
  <c r="F2414" i="12" s="1"/>
  <c r="F2415" i="12" s="1"/>
  <c r="F2416" i="12" s="1"/>
  <c r="F2417" i="12" s="1"/>
  <c r="F2418" i="12" s="1"/>
  <c r="F2419" i="12" s="1"/>
  <c r="F2420" i="12" s="1"/>
  <c r="F2421" i="12" s="1"/>
  <c r="F2422" i="12" s="1"/>
  <c r="F2423" i="12" s="1"/>
  <c r="F2424" i="12" s="1"/>
  <c r="F2425" i="12" s="1"/>
  <c r="F2426" i="12" s="1"/>
  <c r="F2427" i="12" s="1"/>
  <c r="F2428" i="12" s="1"/>
  <c r="F2429" i="12" s="1"/>
  <c r="F2430" i="12" s="1"/>
  <c r="F2431" i="12" s="1"/>
  <c r="F2432" i="12" s="1"/>
  <c r="F2433" i="12" s="1"/>
  <c r="F2434" i="12" s="1"/>
  <c r="F2435" i="12" s="1"/>
  <c r="F2436" i="12" s="1"/>
  <c r="F2437" i="12" s="1"/>
  <c r="F2438" i="12" s="1"/>
  <c r="F2439" i="12" s="1"/>
  <c r="F2440" i="12" s="1"/>
  <c r="F2441" i="12" s="1"/>
  <c r="F2442" i="12" s="1"/>
  <c r="F2443" i="12" s="1"/>
  <c r="F2444" i="12" s="1"/>
  <c r="F2445" i="12" s="1"/>
  <c r="F2446" i="12" s="1"/>
  <c r="F2447" i="12" s="1"/>
  <c r="F2448" i="12" s="1"/>
  <c r="F2449" i="12" s="1"/>
  <c r="F2450" i="12" s="1"/>
  <c r="F2451" i="12" s="1"/>
  <c r="F2452" i="12" s="1"/>
  <c r="F2453" i="12" s="1"/>
  <c r="F2454" i="12" s="1"/>
  <c r="F2455" i="12" s="1"/>
  <c r="F2456" i="12" s="1"/>
  <c r="F2457" i="12" s="1"/>
  <c r="F2458" i="12" s="1"/>
  <c r="F2459" i="12" s="1"/>
  <c r="F2460" i="12" s="1"/>
  <c r="F2461" i="12" s="1"/>
  <c r="F2462" i="12" s="1"/>
  <c r="F2463" i="12" s="1"/>
  <c r="F2464" i="12" s="1"/>
  <c r="F2465" i="12" s="1"/>
  <c r="F2466" i="12" s="1"/>
  <c r="F2467" i="12" s="1"/>
  <c r="F2468" i="12" s="1"/>
  <c r="F2469" i="12" s="1"/>
  <c r="F2470" i="12" s="1"/>
  <c r="F2471" i="12" s="1"/>
  <c r="F2472" i="12" s="1"/>
  <c r="F2473" i="12" s="1"/>
  <c r="F2474" i="12" s="1"/>
  <c r="F2475" i="12" s="1"/>
  <c r="F2476" i="12" s="1"/>
  <c r="F2477" i="12" s="1"/>
  <c r="F2478" i="12" s="1"/>
  <c r="F2479" i="12" s="1"/>
  <c r="F2480" i="12" s="1"/>
  <c r="F2481" i="12" s="1"/>
  <c r="F2482" i="12" s="1"/>
  <c r="F2483" i="12" s="1"/>
  <c r="F2484" i="12" s="1"/>
  <c r="F2485" i="12" s="1"/>
  <c r="F2486" i="12" s="1"/>
  <c r="F2487" i="12" s="1"/>
  <c r="F2488" i="12" s="1"/>
  <c r="F2489" i="12" s="1"/>
  <c r="F2490" i="12" s="1"/>
  <c r="F2491" i="12" s="1"/>
  <c r="F2492" i="12" s="1"/>
  <c r="F2493" i="12" s="1"/>
  <c r="F2494" i="12" s="1"/>
  <c r="F2495" i="12" s="1"/>
  <c r="F2496" i="12" s="1"/>
  <c r="F2497" i="12" s="1"/>
  <c r="F2498" i="12" s="1"/>
  <c r="F2499" i="12" s="1"/>
  <c r="F2500" i="12" s="1"/>
  <c r="F2501" i="12" s="1"/>
  <c r="F2502" i="12" s="1"/>
  <c r="F2503" i="12" s="1"/>
  <c r="F2504" i="12" s="1"/>
  <c r="F2505" i="12" s="1"/>
  <c r="F2506" i="12" s="1"/>
  <c r="F2507" i="12" s="1"/>
  <c r="F2508" i="12" s="1"/>
  <c r="F2509" i="12" s="1"/>
  <c r="F2510" i="12" s="1"/>
  <c r="F2511" i="12" s="1"/>
  <c r="F2512" i="12" s="1"/>
  <c r="F2513" i="12" s="1"/>
  <c r="F2514" i="12" s="1"/>
  <c r="F2515" i="12" s="1"/>
  <c r="F2516" i="12" s="1"/>
  <c r="F2517" i="12" s="1"/>
  <c r="F2518" i="12" s="1"/>
  <c r="F2519" i="12" s="1"/>
  <c r="F2520" i="12" s="1"/>
  <c r="F2521" i="12" s="1"/>
  <c r="F2522" i="12" s="1"/>
  <c r="F2523" i="12" s="1"/>
  <c r="F2524" i="12" s="1"/>
  <c r="F2525" i="12" s="1"/>
  <c r="F2526" i="12" s="1"/>
  <c r="F2527" i="12" s="1"/>
  <c r="F2528" i="12" s="1"/>
  <c r="F2529" i="12" s="1"/>
  <c r="F2530" i="12" s="1"/>
  <c r="F2531" i="12" s="1"/>
  <c r="F2532" i="12" s="1"/>
  <c r="F2533" i="12" s="1"/>
  <c r="F2534" i="12" s="1"/>
  <c r="F2535" i="12" s="1"/>
  <c r="F2536" i="12" s="1"/>
  <c r="F2537" i="12" s="1"/>
  <c r="F2538" i="12" s="1"/>
  <c r="F2539" i="12" s="1"/>
  <c r="F2540" i="12" s="1"/>
  <c r="F2541" i="12" s="1"/>
  <c r="F2542" i="12" s="1"/>
  <c r="F2543" i="12" s="1"/>
  <c r="F2544" i="12" s="1"/>
  <c r="F2545" i="12" s="1"/>
  <c r="F2546" i="12" s="1"/>
  <c r="F2547" i="12" s="1"/>
  <c r="F2548" i="12" s="1"/>
  <c r="F2549" i="12" s="1"/>
  <c r="F2550" i="12" s="1"/>
  <c r="F2551" i="12" s="1"/>
  <c r="F2552" i="12" s="1"/>
  <c r="F2553" i="12" s="1"/>
  <c r="F2554" i="12" s="1"/>
  <c r="F2555" i="12" s="1"/>
  <c r="F2556" i="12" s="1"/>
  <c r="F2557" i="12" s="1"/>
  <c r="F2558" i="12" s="1"/>
  <c r="F2559" i="12" s="1"/>
  <c r="F2560" i="12" s="1"/>
  <c r="F2561" i="12" s="1"/>
  <c r="F2562" i="12" s="1"/>
  <c r="F2563" i="12" s="1"/>
  <c r="F2564" i="12" s="1"/>
  <c r="F2565" i="12" s="1"/>
  <c r="F2566" i="12" s="1"/>
  <c r="F2567" i="12" s="1"/>
  <c r="F2568" i="12" s="1"/>
  <c r="F2569" i="12" s="1"/>
  <c r="F2570" i="12" s="1"/>
  <c r="F2571" i="12" s="1"/>
  <c r="F2572" i="12" s="1"/>
  <c r="F2573" i="12" s="1"/>
  <c r="F2574" i="12" s="1"/>
  <c r="F2575" i="12" s="1"/>
  <c r="F2576" i="12" s="1"/>
  <c r="F2577" i="12" s="1"/>
  <c r="F2578" i="12" s="1"/>
  <c r="F2579" i="12" s="1"/>
  <c r="F2580" i="12" s="1"/>
  <c r="F2581" i="12" s="1"/>
  <c r="F2582" i="12" s="1"/>
  <c r="F2583" i="12" s="1"/>
  <c r="F2584" i="12" s="1"/>
  <c r="F2585" i="12" s="1"/>
  <c r="F2586" i="12" s="1"/>
  <c r="F2587" i="12" s="1"/>
  <c r="F2588" i="12" s="1"/>
  <c r="F2589" i="12" s="1"/>
  <c r="F2590" i="12" s="1"/>
  <c r="F2591" i="12" s="1"/>
  <c r="F2592" i="12" s="1"/>
  <c r="F2593" i="12" s="1"/>
  <c r="F2594" i="12" s="1"/>
  <c r="F2595" i="12" s="1"/>
  <c r="F2596" i="12" s="1"/>
  <c r="F2597" i="12" s="1"/>
  <c r="F2598" i="12" s="1"/>
  <c r="F2599" i="12" s="1"/>
  <c r="F2600" i="12" s="1"/>
  <c r="F2601" i="12" s="1"/>
  <c r="F2602" i="12" s="1"/>
  <c r="F2603" i="12" s="1"/>
  <c r="F2604" i="12" s="1"/>
  <c r="F2605" i="12" s="1"/>
  <c r="F2606" i="12" s="1"/>
  <c r="F2607" i="12" s="1"/>
  <c r="F2608" i="12" s="1"/>
  <c r="F2609" i="12" s="1"/>
  <c r="F2610" i="12" s="1"/>
  <c r="F2611" i="12" s="1"/>
  <c r="F2612" i="12" s="1"/>
  <c r="F2613" i="12" s="1"/>
  <c r="F2614" i="12" s="1"/>
  <c r="F2615" i="12" s="1"/>
  <c r="F2616" i="12" s="1"/>
  <c r="F2617" i="12" s="1"/>
  <c r="F2618" i="12" s="1"/>
  <c r="F2619" i="12" s="1"/>
  <c r="F2620" i="12" s="1"/>
  <c r="F2621" i="12" s="1"/>
  <c r="F2622" i="12" s="1"/>
  <c r="F2623" i="12" s="1"/>
  <c r="F2624" i="12" s="1"/>
  <c r="F2625" i="12" s="1"/>
  <c r="F2626" i="12" s="1"/>
  <c r="F2627" i="12" s="1"/>
  <c r="F2628" i="12" s="1"/>
  <c r="F2629" i="12" s="1"/>
  <c r="F2630" i="12" s="1"/>
  <c r="F2631" i="12" s="1"/>
  <c r="F2632" i="12" s="1"/>
  <c r="F2633" i="12" s="1"/>
  <c r="F2634" i="12" s="1"/>
  <c r="F2635" i="12" s="1"/>
  <c r="F2636" i="12" s="1"/>
  <c r="F2637" i="12" s="1"/>
  <c r="F2638" i="12" s="1"/>
  <c r="F2639" i="12" s="1"/>
  <c r="F2640" i="12" s="1"/>
  <c r="F2641" i="12" s="1"/>
  <c r="F2642" i="12" s="1"/>
  <c r="F2643" i="12" s="1"/>
  <c r="F2644" i="12" s="1"/>
  <c r="F2645" i="12" s="1"/>
  <c r="F2646" i="12" s="1"/>
  <c r="F2647" i="12" s="1"/>
  <c r="F2648" i="12" s="1"/>
  <c r="F2649" i="12" s="1"/>
  <c r="F2650" i="12" s="1"/>
  <c r="F2651" i="12" s="1"/>
  <c r="F2652" i="12" s="1"/>
  <c r="F2653" i="12" s="1"/>
  <c r="F2654" i="12" s="1"/>
  <c r="F2655" i="12" s="1"/>
  <c r="F2656" i="12" s="1"/>
  <c r="F2657" i="12" s="1"/>
  <c r="F2658" i="12" s="1"/>
  <c r="F2659" i="12" s="1"/>
  <c r="F2660" i="12" s="1"/>
  <c r="F2661" i="12" s="1"/>
  <c r="F2662" i="12" s="1"/>
  <c r="F2663" i="12" s="1"/>
  <c r="F2664" i="12" s="1"/>
  <c r="F2665" i="12" s="1"/>
  <c r="F2666" i="12" s="1"/>
  <c r="F2667" i="12" s="1"/>
  <c r="F2668" i="12" s="1"/>
  <c r="F2669" i="12" s="1"/>
  <c r="F2670" i="12" s="1"/>
  <c r="F2671" i="12" s="1"/>
  <c r="F2672" i="12" s="1"/>
  <c r="F2673" i="12" s="1"/>
  <c r="F2674" i="12" s="1"/>
  <c r="F2675" i="12" s="1"/>
  <c r="F2676" i="12" s="1"/>
  <c r="F2677" i="12" s="1"/>
  <c r="F2678" i="12" s="1"/>
  <c r="F2679" i="12" s="1"/>
  <c r="F2680" i="12" s="1"/>
  <c r="F2681" i="12" s="1"/>
  <c r="F2682" i="12" s="1"/>
  <c r="F2683" i="12" s="1"/>
  <c r="F2684" i="12" s="1"/>
  <c r="F2685" i="12" s="1"/>
  <c r="F2686" i="12" s="1"/>
  <c r="F2687" i="12" s="1"/>
  <c r="F2688" i="12" s="1"/>
  <c r="F2689" i="12" s="1"/>
  <c r="F2690" i="12" s="1"/>
  <c r="F2691" i="12" s="1"/>
  <c r="F2692" i="12" s="1"/>
  <c r="F2693" i="12" s="1"/>
  <c r="F2694" i="12" s="1"/>
  <c r="F2695" i="12" s="1"/>
  <c r="F2696" i="12" s="1"/>
  <c r="F2697" i="12" s="1"/>
  <c r="F2698" i="12" s="1"/>
  <c r="F2699" i="12" s="1"/>
  <c r="F2700" i="12" s="1"/>
  <c r="F2701" i="12" s="1"/>
  <c r="F2702" i="12" s="1"/>
  <c r="F2703" i="12" s="1"/>
  <c r="F2704" i="12" s="1"/>
  <c r="F2705" i="12" s="1"/>
  <c r="F2706" i="12" s="1"/>
  <c r="F2707" i="12" s="1"/>
  <c r="F2708" i="12" s="1"/>
  <c r="F2709" i="12" s="1"/>
  <c r="F2710" i="12" s="1"/>
  <c r="F2711" i="12" s="1"/>
  <c r="F2712" i="12" s="1"/>
  <c r="F2713" i="12" s="1"/>
  <c r="F2714" i="12" s="1"/>
  <c r="F2715" i="12" s="1"/>
  <c r="F2716" i="12" s="1"/>
  <c r="F2717" i="12" s="1"/>
  <c r="F2718" i="12" s="1"/>
  <c r="F2719" i="12" s="1"/>
  <c r="F2720" i="12" s="1"/>
  <c r="F2721" i="12" s="1"/>
  <c r="F2722" i="12" s="1"/>
  <c r="F2723" i="12" s="1"/>
  <c r="F2724" i="12" s="1"/>
  <c r="F2725" i="12" s="1"/>
  <c r="F2726" i="12" s="1"/>
  <c r="F2727" i="12" s="1"/>
  <c r="F2728" i="12" s="1"/>
  <c r="F2729" i="12" s="1"/>
  <c r="F2730" i="12" s="1"/>
  <c r="F2731" i="12" s="1"/>
  <c r="F2732" i="12" s="1"/>
  <c r="F2733" i="12" s="1"/>
  <c r="F2734" i="12" s="1"/>
  <c r="F2735" i="12" s="1"/>
  <c r="F2736" i="12" s="1"/>
  <c r="F2737" i="12" s="1"/>
  <c r="F2738" i="12" s="1"/>
  <c r="F2739" i="12" s="1"/>
  <c r="F2740" i="12" s="1"/>
  <c r="F2741" i="12" s="1"/>
  <c r="F2742" i="12" s="1"/>
  <c r="F2743" i="12" s="1"/>
  <c r="F2744" i="12" s="1"/>
  <c r="F2745" i="12" s="1"/>
  <c r="F2746" i="12" s="1"/>
  <c r="F2747" i="12" s="1"/>
  <c r="F2748" i="12" s="1"/>
  <c r="F2749" i="12" s="1"/>
  <c r="F2750" i="12" s="1"/>
  <c r="F2751" i="12" s="1"/>
  <c r="F2752" i="12" s="1"/>
  <c r="F2753" i="12" s="1"/>
  <c r="F2754" i="12" s="1"/>
  <c r="F2755" i="12" s="1"/>
  <c r="F2756" i="12" s="1"/>
  <c r="F2757" i="12" s="1"/>
  <c r="F2758" i="12" s="1"/>
  <c r="F2759" i="12" s="1"/>
  <c r="F2760" i="12" s="1"/>
  <c r="F2761" i="12" s="1"/>
  <c r="F2762" i="12" s="1"/>
  <c r="F2763" i="12" s="1"/>
  <c r="F2764" i="12" s="1"/>
  <c r="F2765" i="12" s="1"/>
  <c r="F2766" i="12" s="1"/>
  <c r="F2767" i="12" s="1"/>
  <c r="F2768" i="12" s="1"/>
  <c r="F2769" i="12" s="1"/>
  <c r="F2770" i="12" s="1"/>
  <c r="F2771" i="12" s="1"/>
  <c r="F2772" i="12" s="1"/>
  <c r="F2773" i="12" s="1"/>
  <c r="F2774" i="12" s="1"/>
  <c r="F2775" i="12" s="1"/>
  <c r="F2776" i="12" s="1"/>
  <c r="F2777" i="12" s="1"/>
  <c r="F2778" i="12" s="1"/>
  <c r="F2779" i="12" s="1"/>
  <c r="F2780" i="12" s="1"/>
  <c r="F2781" i="12" s="1"/>
  <c r="F2782" i="12" s="1"/>
  <c r="F2783" i="12" s="1"/>
  <c r="F2784" i="12" s="1"/>
  <c r="F2785" i="12" s="1"/>
  <c r="F2786" i="12" s="1"/>
  <c r="F2787" i="12" s="1"/>
  <c r="F2788" i="12" s="1"/>
  <c r="F2789" i="12" s="1"/>
  <c r="F2790" i="12" s="1"/>
  <c r="F2791" i="12" s="1"/>
  <c r="F2792" i="12" s="1"/>
  <c r="F2793" i="12" s="1"/>
  <c r="F2794" i="12" s="1"/>
  <c r="F2795" i="12" s="1"/>
  <c r="F2796" i="12" s="1"/>
  <c r="F2797" i="12" s="1"/>
  <c r="F2798" i="12" s="1"/>
  <c r="F2799" i="12" s="1"/>
  <c r="F2800" i="12" s="1"/>
  <c r="F2801" i="12" s="1"/>
  <c r="F2802" i="12" s="1"/>
  <c r="F2803" i="12" s="1"/>
  <c r="F2804" i="12" s="1"/>
  <c r="F2805" i="12" s="1"/>
  <c r="F2806" i="12" s="1"/>
  <c r="F2807" i="12" s="1"/>
  <c r="F2808" i="12" s="1"/>
  <c r="F2809" i="12" s="1"/>
  <c r="F2810" i="12" s="1"/>
  <c r="F2811" i="12" s="1"/>
  <c r="F2812" i="12" s="1"/>
  <c r="F2813" i="12" s="1"/>
  <c r="F2814" i="12" s="1"/>
  <c r="F2815" i="12" s="1"/>
  <c r="F2816" i="12" s="1"/>
  <c r="F2817" i="12" s="1"/>
  <c r="F2818" i="12" s="1"/>
  <c r="F2819" i="12" s="1"/>
  <c r="F2820" i="12" s="1"/>
  <c r="F2821" i="12" s="1"/>
  <c r="F2822" i="12" s="1"/>
  <c r="F2823" i="12" s="1"/>
  <c r="F2824" i="12" s="1"/>
  <c r="F2825" i="12" s="1"/>
  <c r="F2826" i="12" s="1"/>
  <c r="F2827" i="12" s="1"/>
  <c r="F2828" i="12" s="1"/>
  <c r="F2829" i="12" s="1"/>
  <c r="F2830" i="12" s="1"/>
  <c r="F2831" i="12" s="1"/>
  <c r="F2832" i="12" s="1"/>
  <c r="F2833" i="12" s="1"/>
  <c r="F2834" i="12" s="1"/>
  <c r="F2835" i="12" s="1"/>
  <c r="F2836" i="12" s="1"/>
  <c r="F2837" i="12" s="1"/>
  <c r="F2838" i="12" s="1"/>
  <c r="F2839" i="12" s="1"/>
  <c r="F2840" i="12" s="1"/>
  <c r="F2841" i="12" s="1"/>
  <c r="F2842" i="12" s="1"/>
  <c r="F2843" i="12" s="1"/>
  <c r="F2844" i="12" s="1"/>
  <c r="F2845" i="12" s="1"/>
  <c r="F2846" i="12" s="1"/>
  <c r="F2847" i="12" s="1"/>
  <c r="F2848" i="12" s="1"/>
  <c r="F2849" i="12" s="1"/>
  <c r="F2850" i="12" s="1"/>
  <c r="F2851" i="12" s="1"/>
  <c r="F2852" i="12" s="1"/>
  <c r="F2853" i="12" s="1"/>
  <c r="F2854" i="12" s="1"/>
  <c r="F2855" i="12" s="1"/>
  <c r="F2856" i="12" s="1"/>
  <c r="F2857" i="12" s="1"/>
  <c r="F2858" i="12" s="1"/>
  <c r="F2859" i="12" s="1"/>
  <c r="F2860" i="12" s="1"/>
  <c r="F2861" i="12" s="1"/>
  <c r="F2862" i="12" s="1"/>
  <c r="F2863" i="12" s="1"/>
  <c r="F2864" i="12" s="1"/>
  <c r="F2865" i="12" s="1"/>
  <c r="F2866" i="12" s="1"/>
  <c r="F2867" i="12" s="1"/>
  <c r="F2868" i="12" s="1"/>
  <c r="F2869" i="12" s="1"/>
  <c r="F2870" i="12" s="1"/>
  <c r="F2871" i="12" s="1"/>
  <c r="F2872" i="12" s="1"/>
  <c r="F2873" i="12" s="1"/>
  <c r="F2874" i="12" s="1"/>
  <c r="F2875" i="12" s="1"/>
  <c r="F2876" i="12" s="1"/>
  <c r="F2877" i="12" s="1"/>
  <c r="F2878" i="12" s="1"/>
  <c r="F2879" i="12" s="1"/>
  <c r="F2880" i="12" s="1"/>
  <c r="F2881" i="12" s="1"/>
  <c r="F2882" i="12" s="1"/>
  <c r="F2883" i="12" s="1"/>
  <c r="F2884" i="12" s="1"/>
  <c r="F2885" i="12" s="1"/>
  <c r="F2886" i="12" s="1"/>
  <c r="F2887" i="12" s="1"/>
  <c r="F2888" i="12" s="1"/>
  <c r="F2889" i="12" s="1"/>
  <c r="F2890" i="12" s="1"/>
  <c r="F2891" i="12" s="1"/>
  <c r="F2892" i="12" s="1"/>
  <c r="F2893" i="12" s="1"/>
  <c r="F2894" i="12" s="1"/>
  <c r="F2895" i="12" s="1"/>
  <c r="F2896" i="12" s="1"/>
  <c r="F2897" i="12" s="1"/>
  <c r="F2898" i="12" s="1"/>
  <c r="F2899" i="12" s="1"/>
  <c r="F2900" i="12" s="1"/>
  <c r="F2901" i="12" s="1"/>
  <c r="F2902" i="12" s="1"/>
  <c r="F2903" i="12" s="1"/>
  <c r="F2904" i="12" s="1"/>
  <c r="F2905" i="12" s="1"/>
  <c r="F2906" i="12" s="1"/>
  <c r="F2907" i="12" s="1"/>
  <c r="F2908" i="12" s="1"/>
  <c r="F2909" i="12" s="1"/>
  <c r="F2910" i="12" s="1"/>
  <c r="F2911" i="12" s="1"/>
  <c r="F2912" i="12" s="1"/>
  <c r="F2913" i="12" s="1"/>
  <c r="F2914" i="12" s="1"/>
  <c r="F2915" i="12" s="1"/>
  <c r="F2916" i="12" s="1"/>
  <c r="F2917" i="12" s="1"/>
  <c r="F2918" i="12" s="1"/>
  <c r="F2919" i="12" s="1"/>
  <c r="F2920" i="12" s="1"/>
  <c r="F2921" i="12" s="1"/>
  <c r="F2922" i="12" s="1"/>
  <c r="F2923" i="12" s="1"/>
  <c r="F2924" i="12" s="1"/>
  <c r="F2925" i="12" s="1"/>
  <c r="F2926" i="12" s="1"/>
  <c r="F2927" i="12" s="1"/>
  <c r="F2928" i="12" s="1"/>
  <c r="F2929" i="12" s="1"/>
  <c r="F2930" i="12" s="1"/>
  <c r="F2931" i="12" s="1"/>
  <c r="F2932" i="12" s="1"/>
  <c r="F2933" i="12" s="1"/>
  <c r="F2934" i="12" s="1"/>
  <c r="F2935" i="12" s="1"/>
  <c r="F2936" i="12" s="1"/>
  <c r="F2937" i="12" s="1"/>
  <c r="F2938" i="12" s="1"/>
  <c r="F2939" i="12" s="1"/>
  <c r="F2940" i="12" s="1"/>
  <c r="F2941" i="12" s="1"/>
  <c r="F2942" i="12" s="1"/>
  <c r="F2943" i="12" s="1"/>
  <c r="F2944" i="12" s="1"/>
  <c r="F2945" i="12" s="1"/>
  <c r="F2946" i="12" s="1"/>
  <c r="F2947" i="12" s="1"/>
  <c r="F2948" i="12" s="1"/>
  <c r="F2949" i="12" s="1"/>
  <c r="F2950" i="12" s="1"/>
  <c r="F2951" i="12" s="1"/>
  <c r="F2952" i="12" s="1"/>
  <c r="F2953" i="12" s="1"/>
  <c r="F2954" i="12" s="1"/>
  <c r="F2955" i="12" s="1"/>
  <c r="F2956" i="12" s="1"/>
  <c r="F2957" i="12" s="1"/>
  <c r="F2958" i="12" s="1"/>
  <c r="F2959" i="12" s="1"/>
  <c r="F2960" i="12" s="1"/>
  <c r="F2961" i="12" s="1"/>
  <c r="F2962" i="12" s="1"/>
  <c r="F2963" i="12" s="1"/>
  <c r="F2964" i="12" s="1"/>
  <c r="F2965" i="12" s="1"/>
  <c r="F2966" i="12" s="1"/>
  <c r="F2967" i="12" s="1"/>
  <c r="F2968" i="12" s="1"/>
  <c r="F2969" i="12" s="1"/>
  <c r="F2970" i="12" s="1"/>
  <c r="F2971" i="12" s="1"/>
  <c r="F2972" i="12" s="1"/>
  <c r="F2973" i="12" s="1"/>
  <c r="F2974" i="12" s="1"/>
  <c r="F2975" i="12" s="1"/>
  <c r="F2976" i="12" s="1"/>
  <c r="F2977" i="12" s="1"/>
  <c r="F2978" i="12" s="1"/>
  <c r="F2979" i="12" s="1"/>
  <c r="F2980" i="12" s="1"/>
  <c r="F2981" i="12" s="1"/>
  <c r="F2982" i="12" s="1"/>
  <c r="F2983" i="12" s="1"/>
  <c r="F2984" i="12" s="1"/>
  <c r="F2985" i="12" s="1"/>
  <c r="F2986" i="12" s="1"/>
  <c r="F2987" i="12" s="1"/>
  <c r="F2988" i="12" s="1"/>
  <c r="F2989" i="12" s="1"/>
  <c r="F2990" i="12" s="1"/>
  <c r="F2991" i="12" s="1"/>
  <c r="F2992" i="12" s="1"/>
  <c r="F2993" i="12" s="1"/>
  <c r="F2994" i="12" s="1"/>
  <c r="F2995" i="12" s="1"/>
  <c r="F2996" i="12" s="1"/>
  <c r="F2997" i="12" s="1"/>
  <c r="F2998" i="12" s="1"/>
  <c r="F2999" i="12" s="1"/>
  <c r="F3000" i="12" s="1"/>
  <c r="F3001" i="12" s="1"/>
  <c r="F3002" i="12" s="1"/>
  <c r="F3003" i="12" s="1"/>
  <c r="F3004" i="12" s="1"/>
  <c r="F3005" i="12" s="1"/>
  <c r="F3006" i="12" s="1"/>
  <c r="F3007" i="12" s="1"/>
  <c r="F3008" i="12" s="1"/>
  <c r="F3009" i="12" s="1"/>
  <c r="F3010" i="12" s="1"/>
  <c r="F3011" i="12" s="1"/>
  <c r="F3012" i="12" s="1"/>
  <c r="F3013" i="12" s="1"/>
  <c r="F3014" i="12" s="1"/>
  <c r="F3015" i="12" s="1"/>
  <c r="F3016" i="12" s="1"/>
  <c r="F3017" i="12" s="1"/>
  <c r="F3018" i="12" s="1"/>
  <c r="F3019" i="12" s="1"/>
  <c r="F3020" i="12" s="1"/>
  <c r="F3021" i="12" s="1"/>
  <c r="F3022" i="12" s="1"/>
  <c r="F3023" i="12" s="1"/>
  <c r="F3024" i="12" s="1"/>
  <c r="F3025" i="12" s="1"/>
  <c r="F3026" i="12" s="1"/>
  <c r="F3027" i="12" s="1"/>
  <c r="F3028" i="12" s="1"/>
  <c r="F3029" i="12" s="1"/>
  <c r="F3030" i="12" s="1"/>
  <c r="F3031" i="12" s="1"/>
  <c r="F3032" i="12" s="1"/>
  <c r="F3033" i="12" s="1"/>
  <c r="F3034" i="12" s="1"/>
  <c r="F3035" i="12" s="1"/>
  <c r="F3036" i="12" s="1"/>
  <c r="F3037" i="12" s="1"/>
  <c r="F3038" i="12" s="1"/>
  <c r="F3039" i="12" s="1"/>
  <c r="F3040" i="12" s="1"/>
  <c r="F3041" i="12" s="1"/>
  <c r="F3042" i="12" s="1"/>
  <c r="F3043" i="12" s="1"/>
  <c r="F3044" i="12" s="1"/>
  <c r="F3045" i="12" s="1"/>
  <c r="F3046" i="12" s="1"/>
  <c r="F3047" i="12" s="1"/>
  <c r="F3048" i="12" s="1"/>
  <c r="F3049" i="12" s="1"/>
  <c r="F3050" i="12" s="1"/>
  <c r="F3051" i="12" s="1"/>
  <c r="F3052" i="12" s="1"/>
  <c r="F3053" i="12" s="1"/>
  <c r="F3054" i="12" s="1"/>
  <c r="F3055" i="12" s="1"/>
  <c r="F3056" i="12" s="1"/>
  <c r="F3057" i="12" s="1"/>
  <c r="F3058" i="12" s="1"/>
  <c r="F3059" i="12" s="1"/>
  <c r="F3060" i="12" s="1"/>
  <c r="F3061" i="12" s="1"/>
  <c r="F3062" i="12" s="1"/>
  <c r="F3063" i="12" s="1"/>
  <c r="F3064" i="12" s="1"/>
  <c r="F3065" i="12" s="1"/>
  <c r="F3066" i="12" s="1"/>
  <c r="F3067" i="12" s="1"/>
  <c r="F3068" i="12" s="1"/>
  <c r="F3069" i="12" s="1"/>
  <c r="F3070" i="12" s="1"/>
  <c r="F3071" i="12" s="1"/>
  <c r="F3072" i="12" s="1"/>
  <c r="F3073" i="12" s="1"/>
  <c r="F3074" i="12" s="1"/>
  <c r="F3075" i="12" s="1"/>
  <c r="F3076" i="12" s="1"/>
  <c r="F3077" i="12" s="1"/>
  <c r="F3078" i="12" s="1"/>
  <c r="F3079" i="12" s="1"/>
  <c r="F3080" i="12" s="1"/>
  <c r="F3081" i="12" s="1"/>
  <c r="F3082" i="12" s="1"/>
  <c r="F3083" i="12" s="1"/>
  <c r="F3084" i="12" s="1"/>
  <c r="F3085" i="12" s="1"/>
  <c r="F3086" i="12" s="1"/>
  <c r="F3087" i="12" s="1"/>
  <c r="F3088" i="12" s="1"/>
  <c r="F3089" i="12" s="1"/>
  <c r="F3090" i="12" s="1"/>
  <c r="F3091" i="12" s="1"/>
  <c r="F3092" i="12" s="1"/>
  <c r="F3093" i="12" s="1"/>
  <c r="F3094" i="12" s="1"/>
  <c r="F3095" i="12" s="1"/>
  <c r="F3096" i="12" s="1"/>
  <c r="F3097" i="12" s="1"/>
  <c r="F3098" i="12" s="1"/>
  <c r="F3099" i="12" s="1"/>
  <c r="F3100" i="12" s="1"/>
  <c r="F3101" i="12" s="1"/>
  <c r="F3102" i="12" s="1"/>
  <c r="F3103" i="12" s="1"/>
  <c r="F3104" i="12" s="1"/>
  <c r="F3105" i="12" s="1"/>
  <c r="F3106" i="12" s="1"/>
  <c r="F3107" i="12" s="1"/>
  <c r="F3108" i="12" s="1"/>
  <c r="F3109" i="12" s="1"/>
  <c r="F3110" i="12" s="1"/>
  <c r="F3111" i="12" s="1"/>
  <c r="F3112" i="12" s="1"/>
  <c r="F3113" i="12" s="1"/>
  <c r="F3114" i="12" s="1"/>
  <c r="F3115" i="12" s="1"/>
  <c r="F3116" i="12" s="1"/>
  <c r="F3117" i="12" s="1"/>
  <c r="F3118" i="12" s="1"/>
  <c r="F3119" i="12" s="1"/>
  <c r="F3120" i="12" s="1"/>
  <c r="F3121" i="12" s="1"/>
  <c r="F3122" i="12" s="1"/>
  <c r="F3123" i="12" s="1"/>
  <c r="F3124" i="12" s="1"/>
  <c r="F3125" i="12" s="1"/>
  <c r="F3126" i="12" s="1"/>
  <c r="F3127" i="12" s="1"/>
  <c r="F3128" i="12" s="1"/>
  <c r="F3129" i="12" s="1"/>
  <c r="F3130" i="12" s="1"/>
  <c r="F3131" i="12" s="1"/>
  <c r="F3132" i="12" s="1"/>
  <c r="F3133" i="12" s="1"/>
  <c r="F3134" i="12" s="1"/>
  <c r="F3135" i="12" s="1"/>
  <c r="F3136" i="12" s="1"/>
  <c r="F3137" i="12" s="1"/>
  <c r="F3138" i="12" s="1"/>
  <c r="F3139" i="12" s="1"/>
  <c r="F3140" i="12" s="1"/>
  <c r="F3141" i="12" s="1"/>
  <c r="F3142" i="12" s="1"/>
  <c r="F3143" i="12" s="1"/>
  <c r="F3144" i="12" s="1"/>
  <c r="F3145" i="12" s="1"/>
  <c r="F3146" i="12" s="1"/>
  <c r="F3147" i="12" s="1"/>
  <c r="F3148" i="12" s="1"/>
  <c r="F3149" i="12" s="1"/>
  <c r="F3150" i="12" s="1"/>
  <c r="F3151" i="12" s="1"/>
  <c r="F3152" i="12" s="1"/>
  <c r="F3153" i="12" s="1"/>
  <c r="F3154" i="12" s="1"/>
  <c r="F3155" i="12" s="1"/>
  <c r="F3156" i="12" s="1"/>
  <c r="F3157" i="12" s="1"/>
  <c r="F3158" i="12" s="1"/>
  <c r="F3159" i="12" s="1"/>
  <c r="F3160" i="12" s="1"/>
  <c r="F3161" i="12" s="1"/>
  <c r="F3162" i="12" s="1"/>
  <c r="F3163" i="12" s="1"/>
  <c r="F3164" i="12" s="1"/>
  <c r="F3165" i="12" s="1"/>
  <c r="F3166" i="12" s="1"/>
  <c r="F3167" i="12" s="1"/>
  <c r="F3168" i="12" s="1"/>
  <c r="F3169" i="12" s="1"/>
  <c r="F3170" i="12" s="1"/>
  <c r="F3171" i="12" s="1"/>
  <c r="F3172" i="12" s="1"/>
  <c r="F3173" i="12" s="1"/>
  <c r="F3174" i="12" s="1"/>
  <c r="F3175" i="12" s="1"/>
  <c r="F3176" i="12" s="1"/>
  <c r="F3177" i="12" s="1"/>
  <c r="F3178" i="12" s="1"/>
  <c r="F3179" i="12" s="1"/>
  <c r="F3180" i="12" s="1"/>
  <c r="F3181" i="12" s="1"/>
  <c r="F3182" i="12" s="1"/>
  <c r="F3183" i="12" s="1"/>
  <c r="F3184" i="12" s="1"/>
  <c r="F3185" i="12" s="1"/>
  <c r="F3186" i="12" s="1"/>
  <c r="F3187" i="12" s="1"/>
  <c r="F3188" i="12" s="1"/>
  <c r="F3189" i="12" s="1"/>
  <c r="F3190" i="12" s="1"/>
  <c r="F3191" i="12" s="1"/>
  <c r="F3192" i="12" s="1"/>
  <c r="F3193" i="12" s="1"/>
  <c r="F3194" i="12" s="1"/>
  <c r="F3195" i="12" s="1"/>
  <c r="F3196" i="12" s="1"/>
  <c r="F3197" i="12" s="1"/>
  <c r="F3198" i="12" s="1"/>
  <c r="F3199" i="12" s="1"/>
  <c r="F3200" i="12" s="1"/>
  <c r="F3201" i="12" s="1"/>
  <c r="F3202" i="12" s="1"/>
  <c r="F3203" i="12" s="1"/>
  <c r="F3204" i="12" s="1"/>
  <c r="F3205" i="12" s="1"/>
  <c r="F3206" i="12" s="1"/>
  <c r="F3207" i="12" s="1"/>
  <c r="F3208" i="12" s="1"/>
  <c r="F3209" i="12" s="1"/>
  <c r="F3210" i="12" s="1"/>
  <c r="F3211" i="12" s="1"/>
  <c r="F3212" i="12" s="1"/>
  <c r="F3213" i="12" s="1"/>
  <c r="F3214" i="12" s="1"/>
  <c r="F3215" i="12" s="1"/>
  <c r="F3216" i="12" s="1"/>
  <c r="F3217" i="12" s="1"/>
  <c r="F3218" i="12" s="1"/>
  <c r="F3219" i="12" s="1"/>
  <c r="F3220" i="12" s="1"/>
  <c r="F3221" i="12" s="1"/>
  <c r="F3222" i="12" s="1"/>
  <c r="F3223" i="12" s="1"/>
  <c r="F3224" i="12" s="1"/>
  <c r="F3225" i="12" s="1"/>
  <c r="F3226" i="12" s="1"/>
  <c r="F3227" i="12" s="1"/>
  <c r="F3228" i="12" s="1"/>
  <c r="F3229" i="12" s="1"/>
  <c r="F3230" i="12" s="1"/>
  <c r="F3231" i="12" s="1"/>
  <c r="F3232" i="12" s="1"/>
  <c r="F3233" i="12" s="1"/>
  <c r="F3234" i="12" s="1"/>
  <c r="F3235" i="12" s="1"/>
  <c r="F3236" i="12" s="1"/>
  <c r="F3237" i="12" s="1"/>
  <c r="F3238" i="12" s="1"/>
  <c r="F3239" i="12" s="1"/>
  <c r="F3240" i="12" s="1"/>
  <c r="F3241" i="12" s="1"/>
  <c r="F3242" i="12" s="1"/>
  <c r="F3243" i="12" s="1"/>
  <c r="F3244" i="12" s="1"/>
  <c r="F3245" i="12" s="1"/>
  <c r="F3246" i="12" s="1"/>
  <c r="F3247" i="12" s="1"/>
  <c r="F3248" i="12" s="1"/>
  <c r="F3249" i="12" s="1"/>
  <c r="F3250" i="12" s="1"/>
  <c r="F3251" i="12" s="1"/>
  <c r="F3252" i="12" s="1"/>
  <c r="F3253" i="12" s="1"/>
  <c r="F3254" i="12" s="1"/>
  <c r="F3255" i="12" s="1"/>
  <c r="F3256" i="12" s="1"/>
  <c r="F3257" i="12" s="1"/>
  <c r="F3258" i="12" s="1"/>
  <c r="F3259" i="12" s="1"/>
  <c r="F3260" i="12" s="1"/>
  <c r="F3261" i="12" s="1"/>
  <c r="F3262" i="12" s="1"/>
  <c r="F3263" i="12" s="1"/>
  <c r="F3264" i="12" s="1"/>
  <c r="F3265" i="12" s="1"/>
  <c r="F3266" i="12" s="1"/>
  <c r="F3267" i="12" s="1"/>
  <c r="F3268" i="12" s="1"/>
  <c r="F3269" i="12" s="1"/>
  <c r="F3270" i="12" s="1"/>
  <c r="F3271" i="12" s="1"/>
  <c r="F3272" i="12" s="1"/>
  <c r="F3273" i="12" s="1"/>
  <c r="F3274" i="12" s="1"/>
  <c r="F3275" i="12" s="1"/>
  <c r="F3276" i="12" s="1"/>
  <c r="F3277" i="12" s="1"/>
  <c r="F3278" i="12" s="1"/>
  <c r="F3279" i="12" s="1"/>
  <c r="F3280" i="12" s="1"/>
  <c r="F3281" i="12" s="1"/>
  <c r="F3282" i="12" s="1"/>
  <c r="F3283" i="12" s="1"/>
  <c r="F3284" i="12" s="1"/>
  <c r="F3285" i="12" s="1"/>
  <c r="F3286" i="12" s="1"/>
  <c r="F3287" i="12" s="1"/>
  <c r="F3288" i="12" s="1"/>
  <c r="F3289" i="12" s="1"/>
  <c r="F3290" i="12" s="1"/>
  <c r="F3291" i="12" s="1"/>
  <c r="F3292" i="12" s="1"/>
  <c r="F3293" i="12" s="1"/>
  <c r="F3294" i="12" s="1"/>
  <c r="F3295" i="12" s="1"/>
  <c r="F3296" i="12" s="1"/>
  <c r="F3297" i="12" s="1"/>
  <c r="F3298" i="12" s="1"/>
  <c r="F3299" i="12" s="1"/>
  <c r="F3300" i="12" s="1"/>
  <c r="F3301" i="12" s="1"/>
  <c r="F3302" i="12" s="1"/>
  <c r="F3303" i="12" s="1"/>
  <c r="F3304" i="12" s="1"/>
  <c r="F3305" i="12" s="1"/>
  <c r="F3306" i="12" s="1"/>
  <c r="F3307" i="12" s="1"/>
  <c r="F3308" i="12" s="1"/>
  <c r="F3309" i="12" s="1"/>
  <c r="F3310" i="12" s="1"/>
  <c r="F3311" i="12" s="1"/>
  <c r="F3312" i="12" s="1"/>
  <c r="F3313" i="12" s="1"/>
  <c r="F3" i="12"/>
  <c r="F4" i="12" s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AQ8" i="9"/>
  <c r="AQ9" i="9"/>
  <c r="AQ10" i="9"/>
  <c r="AQ11" i="9"/>
  <c r="AQ12" i="9"/>
  <c r="AQ13" i="9"/>
  <c r="AQ6" i="9"/>
  <c r="AR2" i="9"/>
  <c r="AR1" i="9"/>
  <c r="B7" i="22"/>
  <c r="B6" i="22"/>
  <c r="B5" i="22"/>
  <c r="AT7" i="9"/>
  <c r="AT9" i="9"/>
  <c r="AU7" i="9"/>
  <c r="AU8" i="9"/>
  <c r="AT8" i="9" s="1"/>
  <c r="AU9" i="9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Z271" i="12"/>
  <c r="Z272" i="12"/>
  <c r="Z273" i="12"/>
  <c r="Z274" i="12"/>
  <c r="Z275" i="12"/>
  <c r="Z276" i="12"/>
  <c r="Z277" i="12"/>
  <c r="Z278" i="12"/>
  <c r="Z279" i="12"/>
  <c r="Z280" i="12"/>
  <c r="Z281" i="12"/>
  <c r="Z282" i="12"/>
  <c r="Z283" i="12"/>
  <c r="Z284" i="12"/>
  <c r="Z285" i="12"/>
  <c r="Z286" i="12"/>
  <c r="Z287" i="12"/>
  <c r="Z288" i="12"/>
  <c r="Z289" i="12"/>
  <c r="Z290" i="12"/>
  <c r="Z291" i="12"/>
  <c r="Z292" i="12"/>
  <c r="Z293" i="12"/>
  <c r="Z294" i="12"/>
  <c r="Z295" i="12"/>
  <c r="Z296" i="12"/>
  <c r="Z297" i="12"/>
  <c r="Z298" i="12"/>
  <c r="Z299" i="12"/>
  <c r="Z300" i="12"/>
  <c r="Z301" i="12"/>
  <c r="Z302" i="12"/>
  <c r="Z303" i="12"/>
  <c r="Z304" i="12"/>
  <c r="Z305" i="12"/>
  <c r="Z306" i="12"/>
  <c r="Z307" i="12"/>
  <c r="Z308" i="12"/>
  <c r="Z309" i="12"/>
  <c r="Z310" i="12"/>
  <c r="Z311" i="12"/>
  <c r="Z312" i="12"/>
  <c r="Z313" i="12"/>
  <c r="Z314" i="12"/>
  <c r="Z315" i="12"/>
  <c r="Z316" i="12"/>
  <c r="Z317" i="12"/>
  <c r="Z318" i="12"/>
  <c r="Z319" i="12"/>
  <c r="Z320" i="12"/>
  <c r="Z321" i="12"/>
  <c r="Z322" i="12"/>
  <c r="Z323" i="12"/>
  <c r="Z324" i="12"/>
  <c r="Z325" i="12"/>
  <c r="Z326" i="12"/>
  <c r="Z327" i="12"/>
  <c r="Z328" i="12"/>
  <c r="Z329" i="12"/>
  <c r="Z330" i="12"/>
  <c r="Z331" i="12"/>
  <c r="Z332" i="12"/>
  <c r="Z333" i="12"/>
  <c r="Z334" i="12"/>
  <c r="Z335" i="12"/>
  <c r="Z336" i="12"/>
  <c r="Z337" i="12"/>
  <c r="Z338" i="12"/>
  <c r="Z339" i="12"/>
  <c r="Z340" i="12"/>
  <c r="Z341" i="12"/>
  <c r="Z342" i="12"/>
  <c r="Z343" i="12"/>
  <c r="Z344" i="12"/>
  <c r="Z345" i="12"/>
  <c r="Z346" i="12"/>
  <c r="Z347" i="12"/>
  <c r="Z348" i="12"/>
  <c r="Z349" i="12"/>
  <c r="Z350" i="12"/>
  <c r="Z351" i="12"/>
  <c r="Z352" i="12"/>
  <c r="Z353" i="12"/>
  <c r="Z354" i="12"/>
  <c r="Z355" i="12"/>
  <c r="Z356" i="12"/>
  <c r="Z357" i="12"/>
  <c r="Z358" i="12"/>
  <c r="Z359" i="12"/>
  <c r="Z360" i="12"/>
  <c r="Z361" i="12"/>
  <c r="Z362" i="12"/>
  <c r="Z363" i="12"/>
  <c r="Z364" i="12"/>
  <c r="Z365" i="12"/>
  <c r="Z366" i="12"/>
  <c r="Z367" i="12"/>
  <c r="Z368" i="12"/>
  <c r="Z369" i="12"/>
  <c r="Z370" i="12"/>
  <c r="Z371" i="12"/>
  <c r="Z372" i="12"/>
  <c r="Z373" i="12"/>
  <c r="Z374" i="12"/>
  <c r="Z375" i="12"/>
  <c r="Z376" i="12"/>
  <c r="Z377" i="12"/>
  <c r="Z378" i="12"/>
  <c r="Z379" i="12"/>
  <c r="Z380" i="12"/>
  <c r="Z381" i="12"/>
  <c r="Z382" i="12"/>
  <c r="Z383" i="12"/>
  <c r="Z384" i="12"/>
  <c r="Z385" i="12"/>
  <c r="Z386" i="12"/>
  <c r="Z387" i="12"/>
  <c r="Z388" i="12"/>
  <c r="Z389" i="12"/>
  <c r="Z390" i="12"/>
  <c r="Z391" i="12"/>
  <c r="Z392" i="12"/>
  <c r="Z393" i="12"/>
  <c r="Z394" i="12"/>
  <c r="Z395" i="12"/>
  <c r="Z396" i="12"/>
  <c r="Z397" i="12"/>
  <c r="Z398" i="12"/>
  <c r="Z399" i="12"/>
  <c r="Z400" i="12"/>
  <c r="Z401" i="12"/>
  <c r="Z402" i="12"/>
  <c r="Z403" i="12"/>
  <c r="Z404" i="12"/>
  <c r="Z405" i="12"/>
  <c r="Z406" i="12"/>
  <c r="Z407" i="12"/>
  <c r="Z408" i="12"/>
  <c r="Z409" i="12"/>
  <c r="Z410" i="12"/>
  <c r="Z411" i="12"/>
  <c r="Z412" i="12"/>
  <c r="Z413" i="12"/>
  <c r="Z414" i="12"/>
  <c r="Z415" i="12"/>
  <c r="Z416" i="12"/>
  <c r="Z417" i="12"/>
  <c r="Z418" i="12"/>
  <c r="Z419" i="12"/>
  <c r="Z420" i="12"/>
  <c r="Z421" i="12"/>
  <c r="Z422" i="12"/>
  <c r="Z423" i="12"/>
  <c r="Z424" i="12"/>
  <c r="Z425" i="12"/>
  <c r="Z426" i="12"/>
  <c r="Z427" i="12"/>
  <c r="Z428" i="12"/>
  <c r="Z429" i="12"/>
  <c r="Z430" i="12"/>
  <c r="Z431" i="12"/>
  <c r="Z432" i="12"/>
  <c r="Z433" i="12"/>
  <c r="Z434" i="12"/>
  <c r="Z435" i="12"/>
  <c r="Z436" i="12"/>
  <c r="Z437" i="12"/>
  <c r="Z438" i="12"/>
  <c r="Z439" i="12"/>
  <c r="Z440" i="12"/>
  <c r="Z441" i="12"/>
  <c r="Z442" i="12"/>
  <c r="Z443" i="12"/>
  <c r="Z444" i="12"/>
  <c r="Z445" i="12"/>
  <c r="Z446" i="12"/>
  <c r="Z447" i="12"/>
  <c r="Z448" i="12"/>
  <c r="Z449" i="12"/>
  <c r="Z450" i="12"/>
  <c r="Z451" i="12"/>
  <c r="Z452" i="12"/>
  <c r="Z453" i="12"/>
  <c r="Z454" i="12"/>
  <c r="Z455" i="12"/>
  <c r="Z456" i="12"/>
  <c r="Z457" i="12"/>
  <c r="Z458" i="12"/>
  <c r="Z459" i="12"/>
  <c r="Z460" i="12"/>
  <c r="Z461" i="12"/>
  <c r="Z462" i="12"/>
  <c r="Z463" i="12"/>
  <c r="Z464" i="12"/>
  <c r="Z465" i="12"/>
  <c r="Z466" i="12"/>
  <c r="Z467" i="12"/>
  <c r="Z468" i="12"/>
  <c r="Z469" i="12"/>
  <c r="Z470" i="12"/>
  <c r="Z471" i="12"/>
  <c r="Z472" i="12"/>
  <c r="Z473" i="12"/>
  <c r="Z474" i="12"/>
  <c r="Z475" i="12"/>
  <c r="Z476" i="12"/>
  <c r="Z477" i="12"/>
  <c r="Z478" i="12"/>
  <c r="Z479" i="12"/>
  <c r="Z480" i="12"/>
  <c r="Z481" i="12"/>
  <c r="Z482" i="12"/>
  <c r="Z483" i="12"/>
  <c r="Z484" i="12"/>
  <c r="Z485" i="12"/>
  <c r="Z486" i="12"/>
  <c r="Z487" i="12"/>
  <c r="Z488" i="12"/>
  <c r="Z489" i="12"/>
  <c r="Z490" i="12"/>
  <c r="Z491" i="12"/>
  <c r="Z492" i="12"/>
  <c r="Z493" i="12"/>
  <c r="Z494" i="12"/>
  <c r="Z495" i="12"/>
  <c r="Z496" i="12"/>
  <c r="Z497" i="12"/>
  <c r="Z498" i="12"/>
  <c r="Z499" i="12"/>
  <c r="Z500" i="12"/>
  <c r="Z501" i="12"/>
  <c r="Z502" i="12"/>
  <c r="Z503" i="12"/>
  <c r="Z504" i="12"/>
  <c r="Z505" i="12"/>
  <c r="Z506" i="12"/>
  <c r="Z507" i="12"/>
  <c r="Z508" i="12"/>
  <c r="Z509" i="12"/>
  <c r="Z510" i="12"/>
  <c r="Z511" i="12"/>
  <c r="Z512" i="12"/>
  <c r="Z513" i="12"/>
  <c r="Z514" i="12"/>
  <c r="Z515" i="12"/>
  <c r="Z516" i="12"/>
  <c r="Z517" i="12"/>
  <c r="Z518" i="12"/>
  <c r="Z519" i="12"/>
  <c r="Z520" i="12"/>
  <c r="Z521" i="12"/>
  <c r="Z522" i="12"/>
  <c r="Z523" i="12"/>
  <c r="Z524" i="12"/>
  <c r="Z525" i="12"/>
  <c r="Z526" i="12"/>
  <c r="Z527" i="12"/>
  <c r="Z528" i="12"/>
  <c r="Z529" i="12"/>
  <c r="Z530" i="12"/>
  <c r="Z531" i="12"/>
  <c r="Z532" i="12"/>
  <c r="Z533" i="12"/>
  <c r="Z534" i="12"/>
  <c r="Z535" i="12"/>
  <c r="Z536" i="12"/>
  <c r="Z537" i="12"/>
  <c r="Z538" i="12"/>
  <c r="Z539" i="12"/>
  <c r="Z540" i="12"/>
  <c r="Z541" i="12"/>
  <c r="Z542" i="12"/>
  <c r="Z543" i="12"/>
  <c r="Z544" i="12"/>
  <c r="Z545" i="12"/>
  <c r="Z546" i="12"/>
  <c r="Z547" i="12"/>
  <c r="Z548" i="12"/>
  <c r="Z549" i="12"/>
  <c r="Z550" i="12"/>
  <c r="Z551" i="12"/>
  <c r="Z552" i="12"/>
  <c r="Z553" i="12"/>
  <c r="Z554" i="12"/>
  <c r="Z555" i="12"/>
  <c r="Z556" i="12"/>
  <c r="Z557" i="12"/>
  <c r="Z558" i="12"/>
  <c r="Z559" i="12"/>
  <c r="Z560" i="12"/>
  <c r="Z561" i="12"/>
  <c r="Z562" i="12"/>
  <c r="Z563" i="12"/>
  <c r="Z564" i="12"/>
  <c r="Z565" i="12"/>
  <c r="Z566" i="12"/>
  <c r="Z567" i="12"/>
  <c r="Z568" i="12"/>
  <c r="Z569" i="12"/>
  <c r="Z570" i="12"/>
  <c r="Z571" i="12"/>
  <c r="Z572" i="12"/>
  <c r="Z573" i="12"/>
  <c r="Z574" i="12"/>
  <c r="Z575" i="12"/>
  <c r="Z576" i="12"/>
  <c r="Z577" i="12"/>
  <c r="Z578" i="12"/>
  <c r="Z579" i="12"/>
  <c r="Z580" i="12"/>
  <c r="Z581" i="12"/>
  <c r="Z582" i="12"/>
  <c r="Z583" i="12"/>
  <c r="Z584" i="12"/>
  <c r="Z585" i="12"/>
  <c r="Z586" i="12"/>
  <c r="Z587" i="12"/>
  <c r="Z588" i="12"/>
  <c r="Z589" i="12"/>
  <c r="Z590" i="12"/>
  <c r="Z591" i="12"/>
  <c r="Z592" i="12"/>
  <c r="Z593" i="12"/>
  <c r="Z594" i="12"/>
  <c r="Z595" i="12"/>
  <c r="Z596" i="12"/>
  <c r="Z597" i="12"/>
  <c r="Z598" i="12"/>
  <c r="Z599" i="12"/>
  <c r="Z600" i="12"/>
  <c r="Z601" i="12"/>
  <c r="Z602" i="12"/>
  <c r="Z603" i="12"/>
  <c r="Z604" i="12"/>
  <c r="Z605" i="12"/>
  <c r="Z606" i="12"/>
  <c r="Z607" i="12"/>
  <c r="Z608" i="12"/>
  <c r="Z609" i="12"/>
  <c r="Z610" i="12"/>
  <c r="Z611" i="12"/>
  <c r="Z612" i="12"/>
  <c r="Z613" i="12"/>
  <c r="Z614" i="12"/>
  <c r="Z615" i="12"/>
  <c r="Z616" i="12"/>
  <c r="Z617" i="12"/>
  <c r="Z618" i="12"/>
  <c r="Z619" i="12"/>
  <c r="Z620" i="12"/>
  <c r="Z621" i="12"/>
  <c r="Z622" i="12"/>
  <c r="Z623" i="12"/>
  <c r="Z624" i="12"/>
  <c r="Z625" i="12"/>
  <c r="Z626" i="12"/>
  <c r="Z627" i="12"/>
  <c r="Z628" i="12"/>
  <c r="Z629" i="12"/>
  <c r="Z630" i="12"/>
  <c r="Z631" i="12"/>
  <c r="Z632" i="12"/>
  <c r="Z633" i="12"/>
  <c r="Z634" i="12"/>
  <c r="Z635" i="12"/>
  <c r="Z636" i="12"/>
  <c r="Z637" i="12"/>
  <c r="Z638" i="12"/>
  <c r="Z639" i="12"/>
  <c r="Z640" i="12"/>
  <c r="Z641" i="12"/>
  <c r="Z642" i="12"/>
  <c r="Z643" i="12"/>
  <c r="Z644" i="12"/>
  <c r="Z645" i="12"/>
  <c r="Z646" i="12"/>
  <c r="Z647" i="12"/>
  <c r="Z648" i="12"/>
  <c r="Z649" i="12"/>
  <c r="Z650" i="12"/>
  <c r="Z651" i="12"/>
  <c r="Z652" i="12"/>
  <c r="Z653" i="12"/>
  <c r="Z654" i="12"/>
  <c r="Z655" i="12"/>
  <c r="Z656" i="12"/>
  <c r="Z657" i="12"/>
  <c r="Z658" i="12"/>
  <c r="Z659" i="12"/>
  <c r="Z660" i="12"/>
  <c r="Z661" i="12"/>
  <c r="Z662" i="12"/>
  <c r="Z663" i="12"/>
  <c r="Z664" i="12"/>
  <c r="Z665" i="12"/>
  <c r="Z666" i="12"/>
  <c r="Z667" i="12"/>
  <c r="Z668" i="12"/>
  <c r="Z669" i="12"/>
  <c r="Z670" i="12"/>
  <c r="Z671" i="12"/>
  <c r="Z672" i="12"/>
  <c r="Z673" i="12"/>
  <c r="Z674" i="12"/>
  <c r="Z675" i="12"/>
  <c r="Z676" i="12"/>
  <c r="Z677" i="12"/>
  <c r="Z678" i="12"/>
  <c r="Z679" i="12"/>
  <c r="Z680" i="12"/>
  <c r="Z681" i="12"/>
  <c r="Z682" i="12"/>
  <c r="Z683" i="12"/>
  <c r="Z684" i="12"/>
  <c r="Z685" i="12"/>
  <c r="Z686" i="12"/>
  <c r="Z687" i="12"/>
  <c r="Z688" i="12"/>
  <c r="Z689" i="12"/>
  <c r="Z690" i="12"/>
  <c r="Z691" i="12"/>
  <c r="Z692" i="12"/>
  <c r="Z693" i="12"/>
  <c r="Z694" i="12"/>
  <c r="Z695" i="12"/>
  <c r="Z696" i="12"/>
  <c r="Z697" i="12"/>
  <c r="Z698" i="12"/>
  <c r="Z699" i="12"/>
  <c r="Z700" i="12"/>
  <c r="Z701" i="12"/>
  <c r="Z702" i="12"/>
  <c r="Z703" i="12"/>
  <c r="Z704" i="12"/>
  <c r="Z705" i="12"/>
  <c r="Z706" i="12"/>
  <c r="Z707" i="12"/>
  <c r="Z708" i="12"/>
  <c r="Z709" i="12"/>
  <c r="Z710" i="12"/>
  <c r="Z711" i="12"/>
  <c r="Z712" i="12"/>
  <c r="Z713" i="12"/>
  <c r="Z714" i="12"/>
  <c r="Z715" i="12"/>
  <c r="Z716" i="12"/>
  <c r="Z717" i="12"/>
  <c r="Z718" i="12"/>
  <c r="Z719" i="12"/>
  <c r="Z720" i="12"/>
  <c r="Z721" i="12"/>
  <c r="Z722" i="12"/>
  <c r="Z723" i="12"/>
  <c r="Z724" i="12"/>
  <c r="Z725" i="12"/>
  <c r="Z726" i="12"/>
  <c r="Z727" i="12"/>
  <c r="Z728" i="12"/>
  <c r="Z729" i="12"/>
  <c r="Z730" i="12"/>
  <c r="Z731" i="12"/>
  <c r="Z732" i="12"/>
  <c r="Z733" i="12"/>
  <c r="Z734" i="12"/>
  <c r="Z735" i="12"/>
  <c r="Z736" i="12"/>
  <c r="Z737" i="12"/>
  <c r="Z738" i="12"/>
  <c r="Z739" i="12"/>
  <c r="Z740" i="12"/>
  <c r="Z741" i="12"/>
  <c r="Z742" i="12"/>
  <c r="Z743" i="12"/>
  <c r="Z744" i="12"/>
  <c r="Z745" i="12"/>
  <c r="Z746" i="12"/>
  <c r="Z747" i="12"/>
  <c r="Z748" i="12"/>
  <c r="Z749" i="12"/>
  <c r="Z750" i="12"/>
  <c r="Z751" i="12"/>
  <c r="Z752" i="12"/>
  <c r="Z753" i="12"/>
  <c r="Z754" i="12"/>
  <c r="Z755" i="12"/>
  <c r="Z756" i="12"/>
  <c r="Z757" i="12"/>
  <c r="Z758" i="12"/>
  <c r="Z759" i="12"/>
  <c r="Z760" i="12"/>
  <c r="Z761" i="12"/>
  <c r="Z762" i="12"/>
  <c r="Z763" i="12"/>
  <c r="Z764" i="12"/>
  <c r="Z765" i="12"/>
  <c r="Z766" i="12"/>
  <c r="Z767" i="12"/>
  <c r="Z768" i="12"/>
  <c r="Z769" i="12"/>
  <c r="Z770" i="12"/>
  <c r="Z771" i="12"/>
  <c r="Z772" i="12"/>
  <c r="Z773" i="12"/>
  <c r="Z774" i="12"/>
  <c r="Z775" i="12"/>
  <c r="Z776" i="12"/>
  <c r="Z777" i="12"/>
  <c r="Z778" i="12"/>
  <c r="Z779" i="12"/>
  <c r="Z780" i="12"/>
  <c r="Z781" i="12"/>
  <c r="Z782" i="12"/>
  <c r="Z783" i="12"/>
  <c r="Z784" i="12"/>
  <c r="Z785" i="12"/>
  <c r="Z786" i="12"/>
  <c r="Z787" i="12"/>
  <c r="Z788" i="12"/>
  <c r="Z789" i="12"/>
  <c r="Z790" i="12"/>
  <c r="Z791" i="12"/>
  <c r="Z792" i="12"/>
  <c r="Z793" i="12"/>
  <c r="Z794" i="12"/>
  <c r="Z795" i="12"/>
  <c r="Z796" i="12"/>
  <c r="Z797" i="12"/>
  <c r="Z798" i="12"/>
  <c r="Z799" i="12"/>
  <c r="Z800" i="12"/>
  <c r="Z801" i="12"/>
  <c r="Z802" i="12"/>
  <c r="Z803" i="12"/>
  <c r="Z804" i="12"/>
  <c r="Z805" i="12"/>
  <c r="Z806" i="12"/>
  <c r="Z807" i="12"/>
  <c r="Z808" i="12"/>
  <c r="Z809" i="12"/>
  <c r="Z810" i="12"/>
  <c r="Z811" i="12"/>
  <c r="Z812" i="12"/>
  <c r="Z813" i="12"/>
  <c r="Z814" i="12"/>
  <c r="Z815" i="12"/>
  <c r="Z816" i="12"/>
  <c r="Z817" i="12"/>
  <c r="Z818" i="12"/>
  <c r="Z819" i="12"/>
  <c r="Z820" i="12"/>
  <c r="Z821" i="12"/>
  <c r="Z822" i="12"/>
  <c r="Z823" i="12"/>
  <c r="Z824" i="12"/>
  <c r="Z825" i="12"/>
  <c r="Z826" i="12"/>
  <c r="Z827" i="12"/>
  <c r="Z828" i="12"/>
  <c r="Z829" i="12"/>
  <c r="Z830" i="12"/>
  <c r="Z831" i="12"/>
  <c r="Z832" i="12"/>
  <c r="Z833" i="12"/>
  <c r="Z834" i="12"/>
  <c r="Z835" i="12"/>
  <c r="Z836" i="12"/>
  <c r="Z837" i="12"/>
  <c r="Z838" i="12"/>
  <c r="Z839" i="12"/>
  <c r="Z840" i="12"/>
  <c r="Z841" i="12"/>
  <c r="Z842" i="12"/>
  <c r="Z843" i="12"/>
  <c r="Z844" i="12"/>
  <c r="Z845" i="12"/>
  <c r="Z846" i="12"/>
  <c r="Z847" i="12"/>
  <c r="Z848" i="12"/>
  <c r="Z849" i="12"/>
  <c r="Z850" i="12"/>
  <c r="Z851" i="12"/>
  <c r="Z852" i="12"/>
  <c r="Z853" i="12"/>
  <c r="Z854" i="12"/>
  <c r="Z855" i="12"/>
  <c r="Z856" i="12"/>
  <c r="Z857" i="12"/>
  <c r="Z858" i="12"/>
  <c r="Z859" i="12"/>
  <c r="Z860" i="12"/>
  <c r="Z861" i="12"/>
  <c r="Z862" i="12"/>
  <c r="Z863" i="12"/>
  <c r="Z864" i="12"/>
  <c r="Z865" i="12"/>
  <c r="Z866" i="12"/>
  <c r="Z867" i="12"/>
  <c r="Z868" i="12"/>
  <c r="Z869" i="12"/>
  <c r="Z870" i="12"/>
  <c r="Z871" i="12"/>
  <c r="Z872" i="12"/>
  <c r="Z873" i="12"/>
  <c r="Z874" i="12"/>
  <c r="Z875" i="12"/>
  <c r="Z876" i="12"/>
  <c r="Z877" i="12"/>
  <c r="Z878" i="12"/>
  <c r="Z879" i="12"/>
  <c r="Z880" i="12"/>
  <c r="Z881" i="12"/>
  <c r="Z882" i="12"/>
  <c r="Z883" i="12"/>
  <c r="Z884" i="12"/>
  <c r="Z885" i="12"/>
  <c r="Z886" i="12"/>
  <c r="Z887" i="12"/>
  <c r="Z888" i="12"/>
  <c r="Z889" i="12"/>
  <c r="Z890" i="12"/>
  <c r="Z891" i="12"/>
  <c r="Z892" i="12"/>
  <c r="Z893" i="12"/>
  <c r="Z894" i="12"/>
  <c r="Z895" i="12"/>
  <c r="Z896" i="12"/>
  <c r="Z897" i="12"/>
  <c r="Z898" i="12"/>
  <c r="Z899" i="12"/>
  <c r="Z900" i="12"/>
  <c r="Z901" i="12"/>
  <c r="Z902" i="12"/>
  <c r="Z903" i="12"/>
  <c r="Z904" i="12"/>
  <c r="Z905" i="12"/>
  <c r="Z906" i="12"/>
  <c r="Z907" i="12"/>
  <c r="Z908" i="12"/>
  <c r="Z909" i="12"/>
  <c r="Z910" i="12"/>
  <c r="Z911" i="12"/>
  <c r="Z912" i="12"/>
  <c r="Z913" i="12"/>
  <c r="Z914" i="12"/>
  <c r="Z915" i="12"/>
  <c r="Z916" i="12"/>
  <c r="Z917" i="12"/>
  <c r="Z918" i="12"/>
  <c r="Z919" i="12"/>
  <c r="Z920" i="12"/>
  <c r="Z921" i="12"/>
  <c r="Z922" i="12"/>
  <c r="Z923" i="12"/>
  <c r="Z924" i="12"/>
  <c r="Z925" i="12"/>
  <c r="Z926" i="12"/>
  <c r="Z927" i="12"/>
  <c r="Z928" i="12"/>
  <c r="Z929" i="12"/>
  <c r="Z930" i="12"/>
  <c r="Z931" i="12"/>
  <c r="Z932" i="12"/>
  <c r="Z933" i="12"/>
  <c r="Z934" i="12"/>
  <c r="Z935" i="12"/>
  <c r="Z936" i="12"/>
  <c r="Z937" i="12"/>
  <c r="Z938" i="12"/>
  <c r="Z939" i="12"/>
  <c r="Z940" i="12"/>
  <c r="Z941" i="12"/>
  <c r="Z942" i="12"/>
  <c r="Z943" i="12"/>
  <c r="Z944" i="12"/>
  <c r="Z945" i="12"/>
  <c r="Z946" i="12"/>
  <c r="Z947" i="12"/>
  <c r="Z948" i="12"/>
  <c r="Z949" i="12"/>
  <c r="Z950" i="12"/>
  <c r="Z951" i="12"/>
  <c r="Z952" i="12"/>
  <c r="Z953" i="12"/>
  <c r="Z954" i="12"/>
  <c r="Z955" i="12"/>
  <c r="Z956" i="12"/>
  <c r="Z957" i="12"/>
  <c r="Z958" i="12"/>
  <c r="Z959" i="12"/>
  <c r="Z960" i="12"/>
  <c r="Z961" i="12"/>
  <c r="Z962" i="12"/>
  <c r="Z963" i="12"/>
  <c r="Z964" i="12"/>
  <c r="Z965" i="12"/>
  <c r="Z966" i="12"/>
  <c r="Z967" i="12"/>
  <c r="Z968" i="12"/>
  <c r="Z969" i="12"/>
  <c r="Z970" i="12"/>
  <c r="Z971" i="12"/>
  <c r="Z972" i="12"/>
  <c r="Z973" i="12"/>
  <c r="Z974" i="12"/>
  <c r="Z975" i="12"/>
  <c r="Z976" i="12"/>
  <c r="Z977" i="12"/>
  <c r="Z978" i="12"/>
  <c r="Z979" i="12"/>
  <c r="Z980" i="12"/>
  <c r="Z981" i="12"/>
  <c r="Z982" i="12"/>
  <c r="Z983" i="12"/>
  <c r="Z984" i="12"/>
  <c r="Z985" i="12"/>
  <c r="Z986" i="12"/>
  <c r="Z987" i="12"/>
  <c r="Z988" i="12"/>
  <c r="Z989" i="12"/>
  <c r="Z990" i="12"/>
  <c r="Z991" i="12"/>
  <c r="Z992" i="12"/>
  <c r="Z993" i="12"/>
  <c r="Z994" i="12"/>
  <c r="Z995" i="12"/>
  <c r="Z996" i="12"/>
  <c r="Z997" i="12"/>
  <c r="Z998" i="12"/>
  <c r="Z999" i="12"/>
  <c r="Z1000" i="12"/>
  <c r="Z1001" i="12"/>
  <c r="Z1002" i="12"/>
  <c r="Z1003" i="12"/>
  <c r="Z1004" i="12"/>
  <c r="Z1005" i="12"/>
  <c r="Z1006" i="12"/>
  <c r="Z1007" i="12"/>
  <c r="Z1008" i="12"/>
  <c r="Z1009" i="12"/>
  <c r="Z1010" i="12"/>
  <c r="Z1011" i="12"/>
  <c r="Z1012" i="12"/>
  <c r="Z1013" i="12"/>
  <c r="Z1014" i="12"/>
  <c r="Z1015" i="12"/>
  <c r="Z1016" i="12"/>
  <c r="Z1017" i="12"/>
  <c r="Z1018" i="12"/>
  <c r="Z1019" i="12"/>
  <c r="Z1020" i="12"/>
  <c r="Z1021" i="12"/>
  <c r="Z1022" i="12"/>
  <c r="Z1023" i="12"/>
  <c r="Z1024" i="12"/>
  <c r="Z1025" i="12"/>
  <c r="Z1026" i="12"/>
  <c r="Z1027" i="12"/>
  <c r="Z1028" i="12"/>
  <c r="Z1029" i="12"/>
  <c r="Z1030" i="12"/>
  <c r="Z1031" i="12"/>
  <c r="Z1032" i="12"/>
  <c r="Z1033" i="12"/>
  <c r="Z1034" i="12"/>
  <c r="Z1035" i="12"/>
  <c r="Z1036" i="12"/>
  <c r="Z1037" i="12"/>
  <c r="Z1038" i="12"/>
  <c r="Z1039" i="12"/>
  <c r="Z1040" i="12"/>
  <c r="Z1041" i="12"/>
  <c r="Z1042" i="12"/>
  <c r="Z1043" i="12"/>
  <c r="Z1044" i="12"/>
  <c r="Z1045" i="12"/>
  <c r="Z1046" i="12"/>
  <c r="Z1047" i="12"/>
  <c r="Z1048" i="12"/>
  <c r="Z1049" i="12"/>
  <c r="Z1050" i="12"/>
  <c r="Z1051" i="12"/>
  <c r="Z1052" i="12"/>
  <c r="Z1053" i="12"/>
  <c r="Z1054" i="12"/>
  <c r="Z1055" i="12"/>
  <c r="Z1056" i="12"/>
  <c r="Z1057" i="12"/>
  <c r="Z1058" i="12"/>
  <c r="Z1059" i="12"/>
  <c r="Z1060" i="12"/>
  <c r="Z1061" i="12"/>
  <c r="Z1062" i="12"/>
  <c r="Z1063" i="12"/>
  <c r="Z1064" i="12"/>
  <c r="Z1065" i="12"/>
  <c r="Z1066" i="12"/>
  <c r="Z1067" i="12"/>
  <c r="Z1068" i="12"/>
  <c r="Z1069" i="12"/>
  <c r="Z1070" i="12"/>
  <c r="Z1071" i="12"/>
  <c r="Z1072" i="12"/>
  <c r="Z1073" i="12"/>
  <c r="Z1074" i="12"/>
  <c r="Z1075" i="12"/>
  <c r="Z1076" i="12"/>
  <c r="Z1077" i="12"/>
  <c r="Z1078" i="12"/>
  <c r="Z1079" i="12"/>
  <c r="Z1080" i="12"/>
  <c r="Z1081" i="12"/>
  <c r="Z1082" i="12"/>
  <c r="Z1083" i="12"/>
  <c r="Z1084" i="12"/>
  <c r="Z1085" i="12"/>
  <c r="Z1086" i="12"/>
  <c r="Z1087" i="12"/>
  <c r="Z1088" i="12"/>
  <c r="Z1089" i="12"/>
  <c r="Z1090" i="12"/>
  <c r="Z1091" i="12"/>
  <c r="Z1092" i="12"/>
  <c r="Z1093" i="12"/>
  <c r="Z1094" i="12"/>
  <c r="Z1095" i="12"/>
  <c r="Z1096" i="12"/>
  <c r="Z1097" i="12"/>
  <c r="Z1098" i="12"/>
  <c r="Z1099" i="12"/>
  <c r="Z1100" i="12"/>
  <c r="Z1101" i="12"/>
  <c r="Z1102" i="12"/>
  <c r="Z1103" i="12"/>
  <c r="Z1104" i="12"/>
  <c r="Z1105" i="12"/>
  <c r="Z1106" i="12"/>
  <c r="Z1107" i="12"/>
  <c r="Z1108" i="12"/>
  <c r="Z1109" i="12"/>
  <c r="Z1110" i="12"/>
  <c r="Z1111" i="12"/>
  <c r="Z1112" i="12"/>
  <c r="Z1113" i="12"/>
  <c r="Z1114" i="12"/>
  <c r="Z1115" i="12"/>
  <c r="Z1116" i="12"/>
  <c r="Z1117" i="12"/>
  <c r="Z1118" i="12"/>
  <c r="Z1119" i="12"/>
  <c r="Z1120" i="12"/>
  <c r="Z1121" i="12"/>
  <c r="Z1122" i="12"/>
  <c r="Z1123" i="12"/>
  <c r="Z1124" i="12"/>
  <c r="Z1125" i="12"/>
  <c r="Z1126" i="12"/>
  <c r="Z1127" i="12"/>
  <c r="Z1128" i="12"/>
  <c r="Z1129" i="12"/>
  <c r="Z1130" i="12"/>
  <c r="Z1131" i="12"/>
  <c r="Z1132" i="12"/>
  <c r="Z1133" i="12"/>
  <c r="Z1134" i="12"/>
  <c r="Z1135" i="12"/>
  <c r="Z1136" i="12"/>
  <c r="Z1137" i="12"/>
  <c r="Z1138" i="12"/>
  <c r="Z1139" i="12"/>
  <c r="Z1140" i="12"/>
  <c r="Z1141" i="12"/>
  <c r="Z1142" i="12"/>
  <c r="Z1143" i="12"/>
  <c r="Z1144" i="12"/>
  <c r="Z1145" i="12"/>
  <c r="Z1146" i="12"/>
  <c r="Z1147" i="12"/>
  <c r="Z1148" i="12"/>
  <c r="Z1149" i="12"/>
  <c r="Z1150" i="12"/>
  <c r="Z1151" i="12"/>
  <c r="Z1152" i="12"/>
  <c r="Z1153" i="12"/>
  <c r="Z1154" i="12"/>
  <c r="Z1155" i="12"/>
  <c r="Z1156" i="12"/>
  <c r="Z1157" i="12"/>
  <c r="Z1158" i="12"/>
  <c r="Z1159" i="12"/>
  <c r="Z1160" i="12"/>
  <c r="Z1161" i="12"/>
  <c r="Z1162" i="12"/>
  <c r="Z1163" i="12"/>
  <c r="Z1164" i="12"/>
  <c r="Z1165" i="12"/>
  <c r="Z1166" i="12"/>
  <c r="Z1167" i="12"/>
  <c r="Z1168" i="12"/>
  <c r="Z1169" i="12"/>
  <c r="Z1170" i="12"/>
  <c r="Z1171" i="12"/>
  <c r="Z1172" i="12"/>
  <c r="Z1173" i="12"/>
  <c r="Z1174" i="12"/>
  <c r="Z1175" i="12"/>
  <c r="Z1176" i="12"/>
  <c r="Z1177" i="12"/>
  <c r="Z1178" i="12"/>
  <c r="Z1179" i="12"/>
  <c r="Z1180" i="12"/>
  <c r="Z1181" i="12"/>
  <c r="Z1182" i="12"/>
  <c r="Z1183" i="12"/>
  <c r="Z1184" i="12"/>
  <c r="Z1185" i="12"/>
  <c r="Z1186" i="12"/>
  <c r="Z1187" i="12"/>
  <c r="Z1188" i="12"/>
  <c r="Z1189" i="12"/>
  <c r="Z1190" i="12"/>
  <c r="Z1191" i="12"/>
  <c r="Z1192" i="12"/>
  <c r="Z1193" i="12"/>
  <c r="Z1194" i="12"/>
  <c r="Z1195" i="12"/>
  <c r="Z1196" i="12"/>
  <c r="Z1197" i="12"/>
  <c r="Z1198" i="12"/>
  <c r="Z1199" i="12"/>
  <c r="Z1200" i="12"/>
  <c r="Z1201" i="12"/>
  <c r="Z1202" i="12"/>
  <c r="Z1203" i="12"/>
  <c r="Z1204" i="12"/>
  <c r="Z1205" i="12"/>
  <c r="Z1206" i="12"/>
  <c r="Z1207" i="12"/>
  <c r="Z1208" i="12"/>
  <c r="Z1209" i="12"/>
  <c r="Z1210" i="12"/>
  <c r="Z1211" i="12"/>
  <c r="Z1212" i="12"/>
  <c r="Z1213" i="12"/>
  <c r="Z1214" i="12"/>
  <c r="Z1215" i="12"/>
  <c r="Z1216" i="12"/>
  <c r="Z1217" i="12"/>
  <c r="Z1218" i="12"/>
  <c r="Z1219" i="12"/>
  <c r="Z1220" i="12"/>
  <c r="Z1221" i="12"/>
  <c r="Z1222" i="12"/>
  <c r="Z1223" i="12"/>
  <c r="Z1224" i="12"/>
  <c r="Z1225" i="12"/>
  <c r="Z1226" i="12"/>
  <c r="Z1227" i="12"/>
  <c r="Z1228" i="12"/>
  <c r="Z1229" i="12"/>
  <c r="Z1230" i="12"/>
  <c r="Z1231" i="12"/>
  <c r="Z1232" i="12"/>
  <c r="Z1233" i="12"/>
  <c r="Z1234" i="12"/>
  <c r="Z1235" i="12"/>
  <c r="Z1236" i="12"/>
  <c r="Z1237" i="12"/>
  <c r="Z1238" i="12"/>
  <c r="Z1239" i="12"/>
  <c r="Z1240" i="12"/>
  <c r="Z1241" i="12"/>
  <c r="Z1242" i="12"/>
  <c r="Z1243" i="12"/>
  <c r="Z1244" i="12"/>
  <c r="Z1245" i="12"/>
  <c r="Z1246" i="12"/>
  <c r="Z1247" i="12"/>
  <c r="Z1248" i="12"/>
  <c r="Z1249" i="12"/>
  <c r="Z1250" i="12"/>
  <c r="Z1251" i="12"/>
  <c r="Z1252" i="12"/>
  <c r="Z1253" i="12"/>
  <c r="Z1254" i="12"/>
  <c r="Z1255" i="12"/>
  <c r="Z1256" i="12"/>
  <c r="Z1257" i="12"/>
  <c r="Z1258" i="12"/>
  <c r="Z1259" i="12"/>
  <c r="Z1260" i="12"/>
  <c r="Z1261" i="12"/>
  <c r="Z1262" i="12"/>
  <c r="Z1263" i="12"/>
  <c r="Z1264" i="12"/>
  <c r="Z1265" i="12"/>
  <c r="Z1266" i="12"/>
  <c r="Z1267" i="12"/>
  <c r="Z1268" i="12"/>
  <c r="Z1269" i="12"/>
  <c r="Z1270" i="12"/>
  <c r="Z1271" i="12"/>
  <c r="Z1272" i="12"/>
  <c r="Z1273" i="12"/>
  <c r="Z1274" i="12"/>
  <c r="Z1275" i="12"/>
  <c r="Z1276" i="12"/>
  <c r="Z1277" i="12"/>
  <c r="Z1278" i="12"/>
  <c r="Z1279" i="12"/>
  <c r="Z1280" i="12"/>
  <c r="Z1281" i="12"/>
  <c r="Z1282" i="12"/>
  <c r="Z1283" i="12"/>
  <c r="Z1284" i="12"/>
  <c r="Z1285" i="12"/>
  <c r="Z1286" i="12"/>
  <c r="Z1287" i="12"/>
  <c r="Z1288" i="12"/>
  <c r="Z1289" i="12"/>
  <c r="Z1290" i="12"/>
  <c r="Z1291" i="12"/>
  <c r="Z1292" i="12"/>
  <c r="Z1293" i="12"/>
  <c r="Z1294" i="12"/>
  <c r="Z1295" i="12"/>
  <c r="Z1296" i="12"/>
  <c r="Z1297" i="12"/>
  <c r="Z1298" i="12"/>
  <c r="Z1299" i="12"/>
  <c r="Z1300" i="12"/>
  <c r="Z1301" i="12"/>
  <c r="Z1302" i="12"/>
  <c r="Z1303" i="12"/>
  <c r="Z1304" i="12"/>
  <c r="Z1305" i="12"/>
  <c r="Z1306" i="12"/>
  <c r="Z1307" i="12"/>
  <c r="Z1308" i="12"/>
  <c r="Z1309" i="12"/>
  <c r="Z1310" i="12"/>
  <c r="Z1311" i="12"/>
  <c r="Z1312" i="12"/>
  <c r="Z1313" i="12"/>
  <c r="Z1314" i="12"/>
  <c r="Z1315" i="12"/>
  <c r="Z1316" i="12"/>
  <c r="Z1317" i="12"/>
  <c r="Z1318" i="12"/>
  <c r="Z1319" i="12"/>
  <c r="Z1320" i="12"/>
  <c r="Z1321" i="12"/>
  <c r="Z1322" i="12"/>
  <c r="Z1323" i="12"/>
  <c r="Z1324" i="12"/>
  <c r="Z1325" i="12"/>
  <c r="Z1326" i="12"/>
  <c r="Z1327" i="12"/>
  <c r="Z1328" i="12"/>
  <c r="Z1329" i="12"/>
  <c r="Z1330" i="12"/>
  <c r="Z1331" i="12"/>
  <c r="Z1332" i="12"/>
  <c r="Z1333" i="12"/>
  <c r="Z1334" i="12"/>
  <c r="Z1335" i="12"/>
  <c r="Z1336" i="12"/>
  <c r="Z1337" i="12"/>
  <c r="Z1338" i="12"/>
  <c r="Z1339" i="12"/>
  <c r="Z1340" i="12"/>
  <c r="Z1341" i="12"/>
  <c r="Z1342" i="12"/>
  <c r="Z1343" i="12"/>
  <c r="Z1344" i="12"/>
  <c r="Z1345" i="12"/>
  <c r="Z1346" i="12"/>
  <c r="Z1347" i="12"/>
  <c r="Z1348" i="12"/>
  <c r="Z1349" i="12"/>
  <c r="Z1350" i="12"/>
  <c r="Z1351" i="12"/>
  <c r="Z1352" i="12"/>
  <c r="Z1353" i="12"/>
  <c r="Z1354" i="12"/>
  <c r="Z1355" i="12"/>
  <c r="Z1356" i="12"/>
  <c r="Z1357" i="12"/>
  <c r="Z1358" i="12"/>
  <c r="Z1359" i="12"/>
  <c r="Z1360" i="12"/>
  <c r="Z1361" i="12"/>
  <c r="Z1362" i="12"/>
  <c r="Z1363" i="12"/>
  <c r="Z1364" i="12"/>
  <c r="Z1365" i="12"/>
  <c r="Z1366" i="12"/>
  <c r="Z1367" i="12"/>
  <c r="Z1368" i="12"/>
  <c r="Z1369" i="12"/>
  <c r="Z1370" i="12"/>
  <c r="Z1371" i="12"/>
  <c r="Z1372" i="12"/>
  <c r="Z1373" i="12"/>
  <c r="Z1374" i="12"/>
  <c r="Z1375" i="12"/>
  <c r="Z1376" i="12"/>
  <c r="Z1377" i="12"/>
  <c r="Z1378" i="12"/>
  <c r="Z1379" i="12"/>
  <c r="Z1380" i="12"/>
  <c r="Z1381" i="12"/>
  <c r="Z1382" i="12"/>
  <c r="Z1383" i="12"/>
  <c r="Z1384" i="12"/>
  <c r="Z1385" i="12"/>
  <c r="Z1386" i="12"/>
  <c r="Z1387" i="12"/>
  <c r="Z1388" i="12"/>
  <c r="Z1389" i="12"/>
  <c r="Z1390" i="12"/>
  <c r="Z1391" i="12"/>
  <c r="Z1392" i="12"/>
  <c r="Z1393" i="12"/>
  <c r="Z1394" i="12"/>
  <c r="Z1395" i="12"/>
  <c r="Z1396" i="12"/>
  <c r="Z1397" i="12"/>
  <c r="Z1398" i="12"/>
  <c r="Z1399" i="12"/>
  <c r="Z1400" i="12"/>
  <c r="Z1401" i="12"/>
  <c r="Z1402" i="12"/>
  <c r="Z1403" i="12"/>
  <c r="Z1404" i="12"/>
  <c r="Z1405" i="12"/>
  <c r="Z1406" i="12"/>
  <c r="Z1407" i="12"/>
  <c r="Z1408" i="12"/>
  <c r="Z1409" i="12"/>
  <c r="Z1410" i="12"/>
  <c r="Z1411" i="12"/>
  <c r="Z1412" i="12"/>
  <c r="Z1413" i="12"/>
  <c r="Z1414" i="12"/>
  <c r="Z1415" i="12"/>
  <c r="Z1416" i="12"/>
  <c r="Z1417" i="12"/>
  <c r="Z1418" i="12"/>
  <c r="Z1419" i="12"/>
  <c r="Z1420" i="12"/>
  <c r="Z1421" i="12"/>
  <c r="Z1422" i="12"/>
  <c r="Z1423" i="12"/>
  <c r="Z1424" i="12"/>
  <c r="Z1425" i="12"/>
  <c r="Z1426" i="12"/>
  <c r="Z1427" i="12"/>
  <c r="Z1428" i="12"/>
  <c r="Z1429" i="12"/>
  <c r="Z1430" i="12"/>
  <c r="Z1431" i="12"/>
  <c r="Z1432" i="12"/>
  <c r="Z1433" i="12"/>
  <c r="Z1434" i="12"/>
  <c r="Z1435" i="12"/>
  <c r="Z1436" i="12"/>
  <c r="Z1437" i="12"/>
  <c r="Z1438" i="12"/>
  <c r="Z1439" i="12"/>
  <c r="Z1440" i="12"/>
  <c r="Z1441" i="12"/>
  <c r="Z1442" i="12"/>
  <c r="Z1443" i="12"/>
  <c r="Z1444" i="12"/>
  <c r="Z1445" i="12"/>
  <c r="Z1446" i="12"/>
  <c r="Z1447" i="12"/>
  <c r="Z1448" i="12"/>
  <c r="Z1449" i="12"/>
  <c r="Z1450" i="12"/>
  <c r="Z1451" i="12"/>
  <c r="Z1452" i="12"/>
  <c r="Z1453" i="12"/>
  <c r="Z1454" i="12"/>
  <c r="Z1455" i="12"/>
  <c r="Z1456" i="12"/>
  <c r="Z1457" i="12"/>
  <c r="Z1458" i="12"/>
  <c r="Z1459" i="12"/>
  <c r="Z1460" i="12"/>
  <c r="Z1461" i="12"/>
  <c r="Z1462" i="12"/>
  <c r="Z1463" i="12"/>
  <c r="Z1464" i="12"/>
  <c r="Z1465" i="12"/>
  <c r="Z1466" i="12"/>
  <c r="Z1467" i="12"/>
  <c r="Z1468" i="12"/>
  <c r="Z1469" i="12"/>
  <c r="Z1470" i="12"/>
  <c r="Z1471" i="12"/>
  <c r="Z1472" i="12"/>
  <c r="Z1473" i="12"/>
  <c r="Z1474" i="12"/>
  <c r="Z1475" i="12"/>
  <c r="Z1476" i="12"/>
  <c r="Z1477" i="12"/>
  <c r="Z1478" i="12"/>
  <c r="Z1479" i="12"/>
  <c r="Z1480" i="12"/>
  <c r="Z1481" i="12"/>
  <c r="Z1482" i="12"/>
  <c r="Z1483" i="12"/>
  <c r="Z1484" i="12"/>
  <c r="Z1485" i="12"/>
  <c r="Z1486" i="12"/>
  <c r="Z1487" i="12"/>
  <c r="Z1488" i="12"/>
  <c r="Z1489" i="12"/>
  <c r="Z1490" i="12"/>
  <c r="Z1491" i="12"/>
  <c r="Z1492" i="12"/>
  <c r="Z1493" i="12"/>
  <c r="Z1494" i="12"/>
  <c r="Z1495" i="12"/>
  <c r="Z1496" i="12"/>
  <c r="Z1497" i="12"/>
  <c r="Z1498" i="12"/>
  <c r="Z1499" i="12"/>
  <c r="Z1500" i="12"/>
  <c r="Z1501" i="12"/>
  <c r="Z1502" i="12"/>
  <c r="Z1503" i="12"/>
  <c r="Z1504" i="12"/>
  <c r="Z1505" i="12"/>
  <c r="Z1506" i="12"/>
  <c r="Z1507" i="12"/>
  <c r="Z1508" i="12"/>
  <c r="Z1509" i="12"/>
  <c r="Z1510" i="12"/>
  <c r="Z1511" i="12"/>
  <c r="Z1512" i="12"/>
  <c r="Z1513" i="12"/>
  <c r="Z1514" i="12"/>
  <c r="Z1515" i="12"/>
  <c r="Z1516" i="12"/>
  <c r="Z1517" i="12"/>
  <c r="Z1518" i="12"/>
  <c r="Z1519" i="12"/>
  <c r="Z1520" i="12"/>
  <c r="Z1521" i="12"/>
  <c r="Z1522" i="12"/>
  <c r="Z1523" i="12"/>
  <c r="Z1524" i="12"/>
  <c r="Z1525" i="12"/>
  <c r="Z1526" i="12"/>
  <c r="Z1527" i="12"/>
  <c r="Z1528" i="12"/>
  <c r="Z1529" i="12"/>
  <c r="Z1530" i="12"/>
  <c r="Z1531" i="12"/>
  <c r="Z1532" i="12"/>
  <c r="Z1533" i="12"/>
  <c r="Z1534" i="12"/>
  <c r="Z1535" i="12"/>
  <c r="Z1536" i="12"/>
  <c r="Z1537" i="12"/>
  <c r="Z1538" i="12"/>
  <c r="Z1539" i="12"/>
  <c r="Z1540" i="12"/>
  <c r="Z1541" i="12"/>
  <c r="Z1542" i="12"/>
  <c r="Z1543" i="12"/>
  <c r="Z1544" i="12"/>
  <c r="Z1545" i="12"/>
  <c r="Z1546" i="12"/>
  <c r="Z1547" i="12"/>
  <c r="Z1548" i="12"/>
  <c r="Z1549" i="12"/>
  <c r="Z1550" i="12"/>
  <c r="Z1551" i="12"/>
  <c r="Z1552" i="12"/>
  <c r="Z1553" i="12"/>
  <c r="Z1554" i="12"/>
  <c r="Z1555" i="12"/>
  <c r="Z1556" i="12"/>
  <c r="Z1557" i="12"/>
  <c r="Z1558" i="12"/>
  <c r="Z1559" i="12"/>
  <c r="Z1560" i="12"/>
  <c r="Z1561" i="12"/>
  <c r="Z1562" i="12"/>
  <c r="Z1563" i="12"/>
  <c r="Z1564" i="12"/>
  <c r="Z1565" i="12"/>
  <c r="Z1566" i="12"/>
  <c r="Z1567" i="12"/>
  <c r="Z1568" i="12"/>
  <c r="Z1569" i="12"/>
  <c r="Z1570" i="12"/>
  <c r="Z1571" i="12"/>
  <c r="Z1572" i="12"/>
  <c r="Z1573" i="12"/>
  <c r="Z1574" i="12"/>
  <c r="Z1575" i="12"/>
  <c r="Z1576" i="12"/>
  <c r="Z1577" i="12"/>
  <c r="Z1578" i="12"/>
  <c r="Z1579" i="12"/>
  <c r="Z1580" i="12"/>
  <c r="Z1581" i="12"/>
  <c r="Z1582" i="12"/>
  <c r="Z1583" i="12"/>
  <c r="Z1584" i="12"/>
  <c r="Z1585" i="12"/>
  <c r="Z1586" i="12"/>
  <c r="Z1587" i="12"/>
  <c r="Z1588" i="12"/>
  <c r="Z1589" i="12"/>
  <c r="Z1590" i="12"/>
  <c r="Z1591" i="12"/>
  <c r="Z1592" i="12"/>
  <c r="Z1593" i="12"/>
  <c r="Z1594" i="12"/>
  <c r="Z1595" i="12"/>
  <c r="Z1596" i="12"/>
  <c r="Z1597" i="12"/>
  <c r="Z1598" i="12"/>
  <c r="Z1599" i="12"/>
  <c r="Z1600" i="12"/>
  <c r="Z1601" i="12"/>
  <c r="Z1602" i="12"/>
  <c r="Z1603" i="12"/>
  <c r="Z1604" i="12"/>
  <c r="Z1605" i="12"/>
  <c r="Z1606" i="12"/>
  <c r="Z1607" i="12"/>
  <c r="Z1608" i="12"/>
  <c r="Z1609" i="12"/>
  <c r="Z1610" i="12"/>
  <c r="Z1611" i="12"/>
  <c r="Z1612" i="12"/>
  <c r="Z1613" i="12"/>
  <c r="Z1614" i="12"/>
  <c r="Z1615" i="12"/>
  <c r="Z1616" i="12"/>
  <c r="Z1617" i="12"/>
  <c r="Z1618" i="12"/>
  <c r="Z1619" i="12"/>
  <c r="Z1620" i="12"/>
  <c r="Z1621" i="12"/>
  <c r="Z1622" i="12"/>
  <c r="Z1623" i="12"/>
  <c r="Z1624" i="12"/>
  <c r="Z1625" i="12"/>
  <c r="Z1626" i="12"/>
  <c r="Z1627" i="12"/>
  <c r="Z1628" i="12"/>
  <c r="Z1629" i="12"/>
  <c r="Z1630" i="12"/>
  <c r="Z1631" i="12"/>
  <c r="Z1632" i="12"/>
  <c r="Z1633" i="12"/>
  <c r="Z1634" i="12"/>
  <c r="Z1635" i="12"/>
  <c r="Z1636" i="12"/>
  <c r="Z1637" i="12"/>
  <c r="Z1638" i="12"/>
  <c r="Z1639" i="12"/>
  <c r="Z1640" i="12"/>
  <c r="Z1641" i="12"/>
  <c r="Z1642" i="12"/>
  <c r="Z1643" i="12"/>
  <c r="Z1644" i="12"/>
  <c r="Z1645" i="12"/>
  <c r="Z1646" i="12"/>
  <c r="Z1647" i="12"/>
  <c r="Z1648" i="12"/>
  <c r="Z1649" i="12"/>
  <c r="Z1650" i="12"/>
  <c r="Z1651" i="12"/>
  <c r="Z1652" i="12"/>
  <c r="Z1653" i="12"/>
  <c r="Z1654" i="12"/>
  <c r="Z1655" i="12"/>
  <c r="Z1656" i="12"/>
  <c r="Z1657" i="12"/>
  <c r="Z1658" i="12"/>
  <c r="Z1659" i="12"/>
  <c r="Z1660" i="12"/>
  <c r="Z1661" i="12"/>
  <c r="Z1662" i="12"/>
  <c r="Z1663" i="12"/>
  <c r="Z1664" i="12"/>
  <c r="Z1665" i="12"/>
  <c r="Z1666" i="12"/>
  <c r="Z1667" i="12"/>
  <c r="Z1668" i="12"/>
  <c r="Z1669" i="12"/>
  <c r="Z1670" i="12"/>
  <c r="Z1671" i="12"/>
  <c r="Z1672" i="12"/>
  <c r="Z1673" i="12"/>
  <c r="Z1674" i="12"/>
  <c r="Z1675" i="12"/>
  <c r="Z1676" i="12"/>
  <c r="Z1677" i="12"/>
  <c r="Z1678" i="12"/>
  <c r="Z1679" i="12"/>
  <c r="Z1680" i="12"/>
  <c r="Z1681" i="12"/>
  <c r="Z1682" i="12"/>
  <c r="Z1683" i="12"/>
  <c r="Z1684" i="12"/>
  <c r="Z1685" i="12"/>
  <c r="Z1686" i="12"/>
  <c r="Z1687" i="12"/>
  <c r="Z1688" i="12"/>
  <c r="Z1689" i="12"/>
  <c r="Z1690" i="12"/>
  <c r="Z1691" i="12"/>
  <c r="Z1692" i="12"/>
  <c r="Z1693" i="12"/>
  <c r="Z1694" i="12"/>
  <c r="Z1695" i="12"/>
  <c r="Z1696" i="12"/>
  <c r="Z1697" i="12"/>
  <c r="Z1698" i="12"/>
  <c r="Z1699" i="12"/>
  <c r="Z1700" i="12"/>
  <c r="Z1701" i="12"/>
  <c r="Z1702" i="12"/>
  <c r="Z1703" i="12"/>
  <c r="Z1704" i="12"/>
  <c r="Z1705" i="12"/>
  <c r="Z1706" i="12"/>
  <c r="Z1707" i="12"/>
  <c r="Z1708" i="12"/>
  <c r="Z1709" i="12"/>
  <c r="Z1710" i="12"/>
  <c r="Z1711" i="12"/>
  <c r="Z1712" i="12"/>
  <c r="Z1713" i="12"/>
  <c r="Z1714" i="12"/>
  <c r="Z1715" i="12"/>
  <c r="Z1716" i="12"/>
  <c r="Z1717" i="12"/>
  <c r="Z1718" i="12"/>
  <c r="Z1719" i="12"/>
  <c r="Z1720" i="12"/>
  <c r="Z1721" i="12"/>
  <c r="Z1722" i="12"/>
  <c r="Z1723" i="12"/>
  <c r="Z1724" i="12"/>
  <c r="Z1725" i="12"/>
  <c r="Z1726" i="12"/>
  <c r="Z1727" i="12"/>
  <c r="Z1728" i="12"/>
  <c r="Z1729" i="12"/>
  <c r="Z1730" i="12"/>
  <c r="Z1731" i="12"/>
  <c r="Z1732" i="12"/>
  <c r="Z1733" i="12"/>
  <c r="Z1734" i="12"/>
  <c r="Z1735" i="12"/>
  <c r="Z1736" i="12"/>
  <c r="Z1737" i="12"/>
  <c r="Z1738" i="12"/>
  <c r="Z1739" i="12"/>
  <c r="Z1740" i="12"/>
  <c r="Z1741" i="12"/>
  <c r="Z1742" i="12"/>
  <c r="Z1743" i="12"/>
  <c r="Z1744" i="12"/>
  <c r="Z1745" i="12"/>
  <c r="Z1746" i="12"/>
  <c r="Z1747" i="12"/>
  <c r="Z1748" i="12"/>
  <c r="Z1749" i="12"/>
  <c r="Z1750" i="12"/>
  <c r="Z1751" i="12"/>
  <c r="Z1752" i="12"/>
  <c r="Z1753" i="12"/>
  <c r="Z1754" i="12"/>
  <c r="Z1755" i="12"/>
  <c r="Z1756" i="12"/>
  <c r="Z1757" i="12"/>
  <c r="Z1758" i="12"/>
  <c r="Z1759" i="12"/>
  <c r="Z1760" i="12"/>
  <c r="Z1761" i="12"/>
  <c r="Z1762" i="12"/>
  <c r="Z1763" i="12"/>
  <c r="Z1764" i="12"/>
  <c r="Z1765" i="12"/>
  <c r="Z1766" i="12"/>
  <c r="Z1767" i="12"/>
  <c r="Z1768" i="12"/>
  <c r="Z1769" i="12"/>
  <c r="Z1770" i="12"/>
  <c r="Z1771" i="12"/>
  <c r="Z1772" i="12"/>
  <c r="Z1773" i="12"/>
  <c r="Z1774" i="12"/>
  <c r="Z1775" i="12"/>
  <c r="Z1776" i="12"/>
  <c r="Z1777" i="12"/>
  <c r="Z1778" i="12"/>
  <c r="Z1779" i="12"/>
  <c r="Z1780" i="12"/>
  <c r="Z1781" i="12"/>
  <c r="Z1782" i="12"/>
  <c r="Z1783" i="12"/>
  <c r="Z1784" i="12"/>
  <c r="Z1785" i="12"/>
  <c r="Z1786" i="12"/>
  <c r="Z1787" i="12"/>
  <c r="Z1788" i="12"/>
  <c r="Z1789" i="12"/>
  <c r="Z1790" i="12"/>
  <c r="Z1791" i="12"/>
  <c r="Z1792" i="12"/>
  <c r="Z1793" i="12"/>
  <c r="Z1794" i="12"/>
  <c r="Z1795" i="12"/>
  <c r="Z1796" i="12"/>
  <c r="Z1797" i="12"/>
  <c r="Z1798" i="12"/>
  <c r="Z1799" i="12"/>
  <c r="Z1800" i="12"/>
  <c r="Z1801" i="12"/>
  <c r="Z1802" i="12"/>
  <c r="Z1803" i="12"/>
  <c r="Z1804" i="12"/>
  <c r="Z1805" i="12"/>
  <c r="Z1806" i="12"/>
  <c r="Z1807" i="12"/>
  <c r="Z1808" i="12"/>
  <c r="Z1809" i="12"/>
  <c r="Z1810" i="12"/>
  <c r="Z1811" i="12"/>
  <c r="Z1812" i="12"/>
  <c r="Z1813" i="12"/>
  <c r="Z1814" i="12"/>
  <c r="Z1815" i="12"/>
  <c r="Z1816" i="12"/>
  <c r="Z1817" i="12"/>
  <c r="Z1818" i="12"/>
  <c r="Z1819" i="12"/>
  <c r="Z1820" i="12"/>
  <c r="Z1821" i="12"/>
  <c r="Z1822" i="12"/>
  <c r="Z1823" i="12"/>
  <c r="Z1824" i="12"/>
  <c r="Z1825" i="12"/>
  <c r="Z1826" i="12"/>
  <c r="Z1827" i="12"/>
  <c r="Z1828" i="12"/>
  <c r="Z1829" i="12"/>
  <c r="Z1830" i="12"/>
  <c r="Z1831" i="12"/>
  <c r="Z1832" i="12"/>
  <c r="Z1833" i="12"/>
  <c r="Z1834" i="12"/>
  <c r="Z1835" i="12"/>
  <c r="Z1836" i="12"/>
  <c r="Z1837" i="12"/>
  <c r="Z1838" i="12"/>
  <c r="Z1839" i="12"/>
  <c r="Z1840" i="12"/>
  <c r="Z1841" i="12"/>
  <c r="Z1842" i="12"/>
  <c r="Z1843" i="12"/>
  <c r="Z1844" i="12"/>
  <c r="Z1845" i="12"/>
  <c r="Z1846" i="12"/>
  <c r="Z1847" i="12"/>
  <c r="Z1848" i="12"/>
  <c r="Z1849" i="12"/>
  <c r="Z1850" i="12"/>
  <c r="Z1851" i="12"/>
  <c r="Z1852" i="12"/>
  <c r="Z1853" i="12"/>
  <c r="Z1854" i="12"/>
  <c r="Z1855" i="12"/>
  <c r="Z1856" i="12"/>
  <c r="Z1857" i="12"/>
  <c r="Z1858" i="12"/>
  <c r="Z1859" i="12"/>
  <c r="Z1860" i="12"/>
  <c r="Z1861" i="12"/>
  <c r="Z1862" i="12"/>
  <c r="Z1863" i="12"/>
  <c r="Z1864" i="12"/>
  <c r="Z1865" i="12"/>
  <c r="Z1866" i="12"/>
  <c r="Z1867" i="12"/>
  <c r="Z1868" i="12"/>
  <c r="Z1869" i="12"/>
  <c r="Z1870" i="12"/>
  <c r="Z1871" i="12"/>
  <c r="Z1872" i="12"/>
  <c r="Z1873" i="12"/>
  <c r="Z1874" i="12"/>
  <c r="Z1875" i="12"/>
  <c r="Z1876" i="12"/>
  <c r="Z1877" i="12"/>
  <c r="Z1878" i="12"/>
  <c r="Z1879" i="12"/>
  <c r="Z1880" i="12"/>
  <c r="Z1881" i="12"/>
  <c r="Z1882" i="12"/>
  <c r="Z1883" i="12"/>
  <c r="Z1884" i="12"/>
  <c r="Z1885" i="12"/>
  <c r="Z1886" i="12"/>
  <c r="Z1887" i="12"/>
  <c r="Z1888" i="12"/>
  <c r="Z1889" i="12"/>
  <c r="Z1890" i="12"/>
  <c r="Z1891" i="12"/>
  <c r="Z1892" i="12"/>
  <c r="Z1893" i="12"/>
  <c r="Z1894" i="12"/>
  <c r="Z1895" i="12"/>
  <c r="Z1896" i="12"/>
  <c r="Z1897" i="12"/>
  <c r="Z1898" i="12"/>
  <c r="Z1899" i="12"/>
  <c r="Z1900" i="12"/>
  <c r="Z1901" i="12"/>
  <c r="Z1902" i="12"/>
  <c r="Z1903" i="12"/>
  <c r="Z1904" i="12"/>
  <c r="Z1905" i="12"/>
  <c r="Z1906" i="12"/>
  <c r="Z1907" i="12"/>
  <c r="Z1908" i="12"/>
  <c r="Z1909" i="12"/>
  <c r="Z1910" i="12"/>
  <c r="Z1911" i="12"/>
  <c r="Z1912" i="12"/>
  <c r="Z1913" i="12"/>
  <c r="Z1914" i="12"/>
  <c r="Z1915" i="12"/>
  <c r="Z1916" i="12"/>
  <c r="Z1917" i="12"/>
  <c r="Z1918" i="12"/>
  <c r="Z1919" i="12"/>
  <c r="Z1920" i="12"/>
  <c r="Z1921" i="12"/>
  <c r="Z1922" i="12"/>
  <c r="Z1923" i="12"/>
  <c r="Z1924" i="12"/>
  <c r="Z1925" i="12"/>
  <c r="Z1926" i="12"/>
  <c r="Z1927" i="12"/>
  <c r="Z1928" i="12"/>
  <c r="Z1929" i="12"/>
  <c r="Z1930" i="12"/>
  <c r="Z1931" i="12"/>
  <c r="Z1932" i="12"/>
  <c r="Z1933" i="12"/>
  <c r="Z1934" i="12"/>
  <c r="Z1935" i="12"/>
  <c r="Z1936" i="12"/>
  <c r="Z1937" i="12"/>
  <c r="Z1938" i="12"/>
  <c r="Z1939" i="12"/>
  <c r="Z1940" i="12"/>
  <c r="Z1941" i="12"/>
  <c r="Z1942" i="12"/>
  <c r="Z1943" i="12"/>
  <c r="Z1944" i="12"/>
  <c r="Z1945" i="12"/>
  <c r="Z1946" i="12"/>
  <c r="Z1947" i="12"/>
  <c r="Z1948" i="12"/>
  <c r="Z1949" i="12"/>
  <c r="Z1950" i="12"/>
  <c r="Z1951" i="12"/>
  <c r="Z1952" i="12"/>
  <c r="Z1953" i="12"/>
  <c r="Z1954" i="12"/>
  <c r="Z1955" i="12"/>
  <c r="Z1956" i="12"/>
  <c r="Z1957" i="12"/>
  <c r="Z1958" i="12"/>
  <c r="Z1959" i="12"/>
  <c r="Z1960" i="12"/>
  <c r="Z1961" i="12"/>
  <c r="Z1962" i="12"/>
  <c r="Z1963" i="12"/>
  <c r="Z1964" i="12"/>
  <c r="Z1965" i="12"/>
  <c r="Z1966" i="12"/>
  <c r="Z1967" i="12"/>
  <c r="Z1968" i="12"/>
  <c r="Z1969" i="12"/>
  <c r="Z1970" i="12"/>
  <c r="Z1971" i="12"/>
  <c r="Z1972" i="12"/>
  <c r="Z1973" i="12"/>
  <c r="Z1974" i="12"/>
  <c r="Z1975" i="12"/>
  <c r="Z1976" i="12"/>
  <c r="Z1977" i="12"/>
  <c r="Z1978" i="12"/>
  <c r="Z1979" i="12"/>
  <c r="Z1980" i="12"/>
  <c r="Z1981" i="12"/>
  <c r="Z1982" i="12"/>
  <c r="Z1983" i="12"/>
  <c r="Z1984" i="12"/>
  <c r="Z1985" i="12"/>
  <c r="Z1986" i="12"/>
  <c r="Z1987" i="12"/>
  <c r="Z1988" i="12"/>
  <c r="Z1989" i="12"/>
  <c r="Z1990" i="12"/>
  <c r="Z1991" i="12"/>
  <c r="Z1992" i="12"/>
  <c r="Z1993" i="12"/>
  <c r="Z1994" i="12"/>
  <c r="Z1995" i="12"/>
  <c r="Z1996" i="12"/>
  <c r="Z1997" i="12"/>
  <c r="Z1998" i="12"/>
  <c r="Z1999" i="12"/>
  <c r="Z2000" i="12"/>
  <c r="Z2001" i="12"/>
  <c r="Z2002" i="12"/>
  <c r="Z2003" i="12"/>
  <c r="Z2004" i="12"/>
  <c r="Z2005" i="12"/>
  <c r="Z2006" i="12"/>
  <c r="Z2007" i="12"/>
  <c r="Z2008" i="12"/>
  <c r="Z2009" i="12"/>
  <c r="Z2010" i="12"/>
  <c r="Z2011" i="12"/>
  <c r="Z2012" i="12"/>
  <c r="Z2013" i="12"/>
  <c r="Z2014" i="12"/>
  <c r="Z2015" i="12"/>
  <c r="Z2016" i="12"/>
  <c r="Z2017" i="12"/>
  <c r="Z2018" i="12"/>
  <c r="Z2019" i="12"/>
  <c r="Z2020" i="12"/>
  <c r="Z2021" i="12"/>
  <c r="Z2022" i="12"/>
  <c r="Z2023" i="12"/>
  <c r="Z2024" i="12"/>
  <c r="Z2025" i="12"/>
  <c r="Z2026" i="12"/>
  <c r="Z2027" i="12"/>
  <c r="Z2028" i="12"/>
  <c r="Z2029" i="12"/>
  <c r="Z2030" i="12"/>
  <c r="Z2031" i="12"/>
  <c r="Z2032" i="12"/>
  <c r="Z2033" i="12"/>
  <c r="Z2034" i="12"/>
  <c r="Z2035" i="12"/>
  <c r="Z2036" i="12"/>
  <c r="Z2037" i="12"/>
  <c r="Z2038" i="12"/>
  <c r="Z2039" i="12"/>
  <c r="Z2040" i="12"/>
  <c r="Z2041" i="12"/>
  <c r="Z2042" i="12"/>
  <c r="Z2043" i="12"/>
  <c r="Z2044" i="12"/>
  <c r="Z2045" i="12"/>
  <c r="Z2046" i="12"/>
  <c r="Z2047" i="12"/>
  <c r="Z2048" i="12"/>
  <c r="Z2049" i="12"/>
  <c r="Z2050" i="12"/>
  <c r="Z2051" i="12"/>
  <c r="Z2052" i="12"/>
  <c r="Z2053" i="12"/>
  <c r="Z2054" i="12"/>
  <c r="Z2055" i="12"/>
  <c r="Z2056" i="12"/>
  <c r="Z2057" i="12"/>
  <c r="Z2058" i="12"/>
  <c r="Z2059" i="12"/>
  <c r="Z2060" i="12"/>
  <c r="Z2061" i="12"/>
  <c r="Z2062" i="12"/>
  <c r="Z2063" i="12"/>
  <c r="Z2064" i="12"/>
  <c r="Z2065" i="12"/>
  <c r="Z2066" i="12"/>
  <c r="Z2067" i="12"/>
  <c r="Z2068" i="12"/>
  <c r="Z2069" i="12"/>
  <c r="Z2070" i="12"/>
  <c r="Z2071" i="12"/>
  <c r="Z2072" i="12"/>
  <c r="Z2073" i="12"/>
  <c r="Z2074" i="12"/>
  <c r="Z2075" i="12"/>
  <c r="Z2076" i="12"/>
  <c r="Z2077" i="12"/>
  <c r="Z2078" i="12"/>
  <c r="Z2079" i="12"/>
  <c r="Z2080" i="12"/>
  <c r="Z2081" i="12"/>
  <c r="Z2082" i="12"/>
  <c r="Z2083" i="12"/>
  <c r="Z2084" i="12"/>
  <c r="Z2085" i="12"/>
  <c r="Z2086" i="12"/>
  <c r="Z2087" i="12"/>
  <c r="Z2088" i="12"/>
  <c r="Z2089" i="12"/>
  <c r="Z2090" i="12"/>
  <c r="Z2091" i="12"/>
  <c r="Z2092" i="12"/>
  <c r="Z2093" i="12"/>
  <c r="Z2094" i="12"/>
  <c r="Z2095" i="12"/>
  <c r="Z2096" i="12"/>
  <c r="Z2097" i="12"/>
  <c r="Z2098" i="12"/>
  <c r="Z2099" i="12"/>
  <c r="Z2100" i="12"/>
  <c r="Z2101" i="12"/>
  <c r="Z2102" i="12"/>
  <c r="Z2103" i="12"/>
  <c r="Z2104" i="12"/>
  <c r="Z2105" i="12"/>
  <c r="Z2106" i="12"/>
  <c r="Z2107" i="12"/>
  <c r="Z2108" i="12"/>
  <c r="Z2109" i="12"/>
  <c r="Z2110" i="12"/>
  <c r="Z2111" i="12"/>
  <c r="Z2112" i="12"/>
  <c r="Z2113" i="12"/>
  <c r="Z2114" i="12"/>
  <c r="Z2115" i="12"/>
  <c r="Z2116" i="12"/>
  <c r="Z2117" i="12"/>
  <c r="Z2118" i="12"/>
  <c r="Z2119" i="12"/>
  <c r="Z2120" i="12"/>
  <c r="Z2121" i="12"/>
  <c r="Z2122" i="12"/>
  <c r="Z2123" i="12"/>
  <c r="Z2124" i="12"/>
  <c r="Z2125" i="12"/>
  <c r="Z2126" i="12"/>
  <c r="Z2127" i="12"/>
  <c r="Z2128" i="12"/>
  <c r="Z2129" i="12"/>
  <c r="Z2130" i="12"/>
  <c r="Z2131" i="12"/>
  <c r="Z2132" i="12"/>
  <c r="Z2133" i="12"/>
  <c r="Z2134" i="12"/>
  <c r="Z2135" i="12"/>
  <c r="Z2136" i="12"/>
  <c r="Z2137" i="12"/>
  <c r="Z2138" i="12"/>
  <c r="Z2139" i="12"/>
  <c r="Z2140" i="12"/>
  <c r="Z2141" i="12"/>
  <c r="Z2142" i="12"/>
  <c r="Z2143" i="12"/>
  <c r="Z2144" i="12"/>
  <c r="Z2145" i="12"/>
  <c r="Z2146" i="12"/>
  <c r="Z2147" i="12"/>
  <c r="Z2148" i="12"/>
  <c r="Z2149" i="12"/>
  <c r="Z2150" i="12"/>
  <c r="Z2151" i="12"/>
  <c r="Z2152" i="12"/>
  <c r="Z2153" i="12"/>
  <c r="Z2154" i="12"/>
  <c r="Z2155" i="12"/>
  <c r="Z2156" i="12"/>
  <c r="Z2157" i="12"/>
  <c r="Z2158" i="12"/>
  <c r="Z2159" i="12"/>
  <c r="Z2160" i="12"/>
  <c r="Z2161" i="12"/>
  <c r="Z2162" i="12"/>
  <c r="Z2163" i="12"/>
  <c r="Z2164" i="12"/>
  <c r="Z2165" i="12"/>
  <c r="Z2166" i="12"/>
  <c r="Z2167" i="12"/>
  <c r="Z2168" i="12"/>
  <c r="Z2169" i="12"/>
  <c r="Z2170" i="12"/>
  <c r="Z2171" i="12"/>
  <c r="Z2172" i="12"/>
  <c r="Z2173" i="12"/>
  <c r="Z2174" i="12"/>
  <c r="Z2175" i="12"/>
  <c r="Z2176" i="12"/>
  <c r="Z2177" i="12"/>
  <c r="Z2178" i="12"/>
  <c r="Z2179" i="12"/>
  <c r="Z2180" i="12"/>
  <c r="Z2181" i="12"/>
  <c r="Z2182" i="12"/>
  <c r="Z2183" i="12"/>
  <c r="Z2184" i="12"/>
  <c r="Z2185" i="12"/>
  <c r="Z2186" i="12"/>
  <c r="Z2187" i="12"/>
  <c r="Z2188" i="12"/>
  <c r="Z2189" i="12"/>
  <c r="Z2190" i="12"/>
  <c r="Z2191" i="12"/>
  <c r="Z2192" i="12"/>
  <c r="Z2193" i="12"/>
  <c r="Z2194" i="12"/>
  <c r="Z2195" i="12"/>
  <c r="Z2196" i="12"/>
  <c r="Z2197" i="12"/>
  <c r="Z2198" i="12"/>
  <c r="Z2199" i="12"/>
  <c r="Z2200" i="12"/>
  <c r="Z2201" i="12"/>
  <c r="Z2202" i="12"/>
  <c r="Z2203" i="12"/>
  <c r="Z2204" i="12"/>
  <c r="Z2205" i="12"/>
  <c r="Z2206" i="12"/>
  <c r="Z2207" i="12"/>
  <c r="Z2208" i="12"/>
  <c r="Z2209" i="12"/>
  <c r="Z2210" i="12"/>
  <c r="Z2211" i="12"/>
  <c r="Z2212" i="12"/>
  <c r="Z2213" i="12"/>
  <c r="Z2214" i="12"/>
  <c r="Z2215" i="12"/>
  <c r="Z2216" i="12"/>
  <c r="Z2217" i="12"/>
  <c r="Z2218" i="12"/>
  <c r="Z2219" i="12"/>
  <c r="Z2220" i="12"/>
  <c r="Z2221" i="12"/>
  <c r="Z2222" i="12"/>
  <c r="Z2223" i="12"/>
  <c r="Z2224" i="12"/>
  <c r="Z2225" i="12"/>
  <c r="Z2226" i="12"/>
  <c r="Z2227" i="12"/>
  <c r="Z2228" i="12"/>
  <c r="Z2229" i="12"/>
  <c r="Z2230" i="12"/>
  <c r="Z2231" i="12"/>
  <c r="Z2232" i="12"/>
  <c r="Z2233" i="12"/>
  <c r="Z2234" i="12"/>
  <c r="Z2235" i="12"/>
  <c r="Z2236" i="12"/>
  <c r="Z2237" i="12"/>
  <c r="Z2238" i="12"/>
  <c r="Z2239" i="12"/>
  <c r="Z2240" i="12"/>
  <c r="Z2241" i="12"/>
  <c r="Z2242" i="12"/>
  <c r="Z2243" i="12"/>
  <c r="Z2244" i="12"/>
  <c r="Z2245" i="12"/>
  <c r="Z2246" i="12"/>
  <c r="Z2247" i="12"/>
  <c r="Z2248" i="12"/>
  <c r="Z2249" i="12"/>
  <c r="Z2250" i="12"/>
  <c r="Z2251" i="12"/>
  <c r="Z2252" i="12"/>
  <c r="Z2253" i="12"/>
  <c r="Z2254" i="12"/>
  <c r="Z2255" i="12"/>
  <c r="Z2256" i="12"/>
  <c r="Z2257" i="12"/>
  <c r="Z2258" i="12"/>
  <c r="Z2259" i="12"/>
  <c r="Z2260" i="12"/>
  <c r="Z2261" i="12"/>
  <c r="Z2262" i="12"/>
  <c r="Z2263" i="12"/>
  <c r="Z2264" i="12"/>
  <c r="Z2265" i="12"/>
  <c r="Z2266" i="12"/>
  <c r="Z2267" i="12"/>
  <c r="Z2268" i="12"/>
  <c r="Z2269" i="12"/>
  <c r="Z2270" i="12"/>
  <c r="Z2271" i="12"/>
  <c r="Z2272" i="12"/>
  <c r="Z2273" i="12"/>
  <c r="Z2274" i="12"/>
  <c r="Z2275" i="12"/>
  <c r="Z2276" i="12"/>
  <c r="Z2277" i="12"/>
  <c r="Z2278" i="12"/>
  <c r="Z2279" i="12"/>
  <c r="Z2280" i="12"/>
  <c r="Z2281" i="12"/>
  <c r="Z2282" i="12"/>
  <c r="Z2283" i="12"/>
  <c r="Z2284" i="12"/>
  <c r="Z2285" i="12"/>
  <c r="Z2286" i="12"/>
  <c r="Z2287" i="12"/>
  <c r="Z2288" i="12"/>
  <c r="Z2289" i="12"/>
  <c r="Z2290" i="12"/>
  <c r="Z2291" i="12"/>
  <c r="Z2292" i="12"/>
  <c r="Z2293" i="12"/>
  <c r="Z2294" i="12"/>
  <c r="Z2295" i="12"/>
  <c r="Z2296" i="12"/>
  <c r="Z2297" i="12"/>
  <c r="Z2298" i="12"/>
  <c r="Z2299" i="12"/>
  <c r="Z2300" i="12"/>
  <c r="Z2301" i="12"/>
  <c r="Z2302" i="12"/>
  <c r="Z2303" i="12"/>
  <c r="Z2304" i="12"/>
  <c r="Z2305" i="12"/>
  <c r="Z2306" i="12"/>
  <c r="Z2307" i="12"/>
  <c r="Z2308" i="12"/>
  <c r="Z2309" i="12"/>
  <c r="Z2310" i="12"/>
  <c r="Z2311" i="12"/>
  <c r="Z2312" i="12"/>
  <c r="Z2313" i="12"/>
  <c r="Z2314" i="12"/>
  <c r="Z2315" i="12"/>
  <c r="Z2316" i="12"/>
  <c r="Z2317" i="12"/>
  <c r="Z2318" i="12"/>
  <c r="Z2319" i="12"/>
  <c r="Z2320" i="12"/>
  <c r="Z2321" i="12"/>
  <c r="Z2322" i="12"/>
  <c r="Z2323" i="12"/>
  <c r="Z2324" i="12"/>
  <c r="Z2325" i="12"/>
  <c r="Z2326" i="12"/>
  <c r="Z2327" i="12"/>
  <c r="Z2328" i="12"/>
  <c r="Z2329" i="12"/>
  <c r="Z2330" i="12"/>
  <c r="Z2331" i="12"/>
  <c r="Z2332" i="12"/>
  <c r="Z2333" i="12"/>
  <c r="Z2334" i="12"/>
  <c r="Z2335" i="12"/>
  <c r="Z2336" i="12"/>
  <c r="Z2337" i="12"/>
  <c r="Z2338" i="12"/>
  <c r="Z2339" i="12"/>
  <c r="Z2340" i="12"/>
  <c r="Z2341" i="12"/>
  <c r="Z2342" i="12"/>
  <c r="Z2343" i="12"/>
  <c r="Z2344" i="12"/>
  <c r="Z2345" i="12"/>
  <c r="Z2346" i="12"/>
  <c r="Z2347" i="12"/>
  <c r="Z2348" i="12"/>
  <c r="Z2349" i="12"/>
  <c r="Z2350" i="12"/>
  <c r="Z2351" i="12"/>
  <c r="Z2352" i="12"/>
  <c r="Z2353" i="12"/>
  <c r="Z2354" i="12"/>
  <c r="Z2355" i="12"/>
  <c r="Z2356" i="12"/>
  <c r="Z2357" i="12"/>
  <c r="Z2358" i="12"/>
  <c r="Z2359" i="12"/>
  <c r="Z2360" i="12"/>
  <c r="Z2361" i="12"/>
  <c r="Z2362" i="12"/>
  <c r="Z2363" i="12"/>
  <c r="Z2364" i="12"/>
  <c r="Z2365" i="12"/>
  <c r="Z2366" i="12"/>
  <c r="Z2367" i="12"/>
  <c r="Z2368" i="12"/>
  <c r="Z2369" i="12"/>
  <c r="Z2370" i="12"/>
  <c r="Z2371" i="12"/>
  <c r="Z2372" i="12"/>
  <c r="Z2373" i="12"/>
  <c r="Z2374" i="12"/>
  <c r="Z2375" i="12"/>
  <c r="Z2376" i="12"/>
  <c r="Z2377" i="12"/>
  <c r="Z2378" i="12"/>
  <c r="Z2379" i="12"/>
  <c r="Z2380" i="12"/>
  <c r="Z2381" i="12"/>
  <c r="Z2382" i="12"/>
  <c r="Z2383" i="12"/>
  <c r="Z2384" i="12"/>
  <c r="Z2385" i="12"/>
  <c r="Z2386" i="12"/>
  <c r="Z2387" i="12"/>
  <c r="Z2388" i="12"/>
  <c r="Z2389" i="12"/>
  <c r="Z2390" i="12"/>
  <c r="Z2391" i="12"/>
  <c r="Z2392" i="12"/>
  <c r="Z2393" i="12"/>
  <c r="Z2394" i="12"/>
  <c r="Z2395" i="12"/>
  <c r="Z2396" i="12"/>
  <c r="Z2397" i="12"/>
  <c r="Z2398" i="12"/>
  <c r="Z2399" i="12"/>
  <c r="Z2400" i="12"/>
  <c r="Z2401" i="12"/>
  <c r="Z2402" i="12"/>
  <c r="Z2403" i="12"/>
  <c r="Z2404" i="12"/>
  <c r="Z2405" i="12"/>
  <c r="Z2406" i="12"/>
  <c r="Z2407" i="12"/>
  <c r="Z2408" i="12"/>
  <c r="Z2409" i="12"/>
  <c r="Z2410" i="12"/>
  <c r="Z2411" i="12"/>
  <c r="Z2412" i="12"/>
  <c r="Z2413" i="12"/>
  <c r="Z2414" i="12"/>
  <c r="Z2415" i="12"/>
  <c r="Z2416" i="12"/>
  <c r="Z2417" i="12"/>
  <c r="Z2418" i="12"/>
  <c r="Z2419" i="12"/>
  <c r="Z2420" i="12"/>
  <c r="Z2421" i="12"/>
  <c r="Z2422" i="12"/>
  <c r="Z2423" i="12"/>
  <c r="Z2424" i="12"/>
  <c r="Z2425" i="12"/>
  <c r="Z2426" i="12"/>
  <c r="Z2427" i="12"/>
  <c r="Z2428" i="12"/>
  <c r="Z2429" i="12"/>
  <c r="Z2430" i="12"/>
  <c r="Z2431" i="12"/>
  <c r="Z2432" i="12"/>
  <c r="Z2433" i="12"/>
  <c r="Z2434" i="12"/>
  <c r="Z2435" i="12"/>
  <c r="Z2436" i="12"/>
  <c r="Z2437" i="12"/>
  <c r="Z2438" i="12"/>
  <c r="Z2439" i="12"/>
  <c r="Z2440" i="12"/>
  <c r="Z2441" i="12"/>
  <c r="Z2442" i="12"/>
  <c r="Z2443" i="12"/>
  <c r="Z2444" i="12"/>
  <c r="Z2445" i="12"/>
  <c r="Z2446" i="12"/>
  <c r="Z2447" i="12"/>
  <c r="Z2448" i="12"/>
  <c r="Z2449" i="12"/>
  <c r="Z2450" i="12"/>
  <c r="Z2451" i="12"/>
  <c r="Z2452" i="12"/>
  <c r="Z2453" i="12"/>
  <c r="Z2454" i="12"/>
  <c r="Z2455" i="12"/>
  <c r="Z2456" i="12"/>
  <c r="Z2457" i="12"/>
  <c r="Z2458" i="12"/>
  <c r="Z2459" i="12"/>
  <c r="Z2460" i="12"/>
  <c r="Z2461" i="12"/>
  <c r="Z2462" i="12"/>
  <c r="Z2463" i="12"/>
  <c r="Z2464" i="12"/>
  <c r="Z2465" i="12"/>
  <c r="Z2466" i="12"/>
  <c r="Z2467" i="12"/>
  <c r="Z2468" i="12"/>
  <c r="Z2469" i="12"/>
  <c r="Z2470" i="12"/>
  <c r="Z2471" i="12"/>
  <c r="Z2472" i="12"/>
  <c r="Z2473" i="12"/>
  <c r="Z2474" i="12"/>
  <c r="Z2475" i="12"/>
  <c r="Z2476" i="12"/>
  <c r="Z2477" i="12"/>
  <c r="Z2478" i="12"/>
  <c r="Z2479" i="12"/>
  <c r="Z2480" i="12"/>
  <c r="Z2481" i="12"/>
  <c r="Z2482" i="12"/>
  <c r="Z2483" i="12"/>
  <c r="Z2484" i="12"/>
  <c r="Z2485" i="12"/>
  <c r="Z2486" i="12"/>
  <c r="Z2487" i="12"/>
  <c r="Z2488" i="12"/>
  <c r="Z2489" i="12"/>
  <c r="Z2490" i="12"/>
  <c r="Z2491" i="12"/>
  <c r="Z2492" i="12"/>
  <c r="Z2493" i="12"/>
  <c r="Z2494" i="12"/>
  <c r="Z2495" i="12"/>
  <c r="Z2496" i="12"/>
  <c r="Z2497" i="12"/>
  <c r="Z2498" i="12"/>
  <c r="Z2499" i="12"/>
  <c r="Z2500" i="12"/>
  <c r="Z2501" i="12"/>
  <c r="Z2502" i="12"/>
  <c r="Z2503" i="12"/>
  <c r="Z2504" i="12"/>
  <c r="Z2505" i="12"/>
  <c r="Z2506" i="12"/>
  <c r="Z2507" i="12"/>
  <c r="Z2508" i="12"/>
  <c r="Z2509" i="12"/>
  <c r="Z2510" i="12"/>
  <c r="Z2511" i="12"/>
  <c r="Z2512" i="12"/>
  <c r="Z2513" i="12"/>
  <c r="Z2514" i="12"/>
  <c r="Z2515" i="12"/>
  <c r="Z2516" i="12"/>
  <c r="Z2517" i="12"/>
  <c r="Z2518" i="12"/>
  <c r="Z2519" i="12"/>
  <c r="Z2520" i="12"/>
  <c r="Z2521" i="12"/>
  <c r="Z2522" i="12"/>
  <c r="Z2523" i="12"/>
  <c r="Z2524" i="12"/>
  <c r="Z2525" i="12"/>
  <c r="Z2526" i="12"/>
  <c r="Z2527" i="12"/>
  <c r="Z2528" i="12"/>
  <c r="Z2529" i="12"/>
  <c r="Z2530" i="12"/>
  <c r="Z2531" i="12"/>
  <c r="Z2532" i="12"/>
  <c r="Z2533" i="12"/>
  <c r="Z2534" i="12"/>
  <c r="Z2535" i="12"/>
  <c r="Z2536" i="12"/>
  <c r="Z2537" i="12"/>
  <c r="Z2538" i="12"/>
  <c r="Z2539" i="12"/>
  <c r="Z2540" i="12"/>
  <c r="Z2541" i="12"/>
  <c r="Z2542" i="12"/>
  <c r="Z2543" i="12"/>
  <c r="Z2544" i="12"/>
  <c r="Z2545" i="12"/>
  <c r="Z2546" i="12"/>
  <c r="Z2547" i="12"/>
  <c r="Z2548" i="12"/>
  <c r="Z2549" i="12"/>
  <c r="Z2550" i="12"/>
  <c r="Z2551" i="12"/>
  <c r="Z2552" i="12"/>
  <c r="Z2553" i="12"/>
  <c r="Z2554" i="12"/>
  <c r="Z2555" i="12"/>
  <c r="Z2556" i="12"/>
  <c r="Z2557" i="12"/>
  <c r="Z2558" i="12"/>
  <c r="Z2559" i="12"/>
  <c r="Z2560" i="12"/>
  <c r="Z2561" i="12"/>
  <c r="Z2562" i="12"/>
  <c r="Z2563" i="12"/>
  <c r="Z2564" i="12"/>
  <c r="Z2565" i="12"/>
  <c r="Z2566" i="12"/>
  <c r="Z2567" i="12"/>
  <c r="Z2568" i="12"/>
  <c r="Z2569" i="12"/>
  <c r="Z2570" i="12"/>
  <c r="Z2571" i="12"/>
  <c r="Z2572" i="12"/>
  <c r="Z2573" i="12"/>
  <c r="Z2574" i="12"/>
  <c r="Z2575" i="12"/>
  <c r="Z2576" i="12"/>
  <c r="Z2577" i="12"/>
  <c r="Z2578" i="12"/>
  <c r="Z2579" i="12"/>
  <c r="Z2580" i="12"/>
  <c r="Z2581" i="12"/>
  <c r="Z2582" i="12"/>
  <c r="Z2583" i="12"/>
  <c r="Z2584" i="12"/>
  <c r="Z2585" i="12"/>
  <c r="Z2586" i="12"/>
  <c r="Z2587" i="12"/>
  <c r="Z2588" i="12"/>
  <c r="Z2589" i="12"/>
  <c r="Z2590" i="12"/>
  <c r="Z2591" i="12"/>
  <c r="Z2592" i="12"/>
  <c r="Z2593" i="12"/>
  <c r="Z2594" i="12"/>
  <c r="Z2595" i="12"/>
  <c r="Z2596" i="12"/>
  <c r="Z2597" i="12"/>
  <c r="Z2598" i="12"/>
  <c r="Z2599" i="12"/>
  <c r="Z2600" i="12"/>
  <c r="Z2601" i="12"/>
  <c r="Z2602" i="12"/>
  <c r="Z2603" i="12"/>
  <c r="Z2604" i="12"/>
  <c r="Z2605" i="12"/>
  <c r="Z2606" i="12"/>
  <c r="Z2607" i="12"/>
  <c r="Z2608" i="12"/>
  <c r="Z2609" i="12"/>
  <c r="Z2610" i="12"/>
  <c r="Z2611" i="12"/>
  <c r="Z2612" i="12"/>
  <c r="Z2613" i="12"/>
  <c r="Z2614" i="12"/>
  <c r="Z2615" i="12"/>
  <c r="Z2616" i="12"/>
  <c r="Z2617" i="12"/>
  <c r="Z2618" i="12"/>
  <c r="Z2619" i="12"/>
  <c r="Z2620" i="12"/>
  <c r="Z2621" i="12"/>
  <c r="Z2622" i="12"/>
  <c r="Z2623" i="12"/>
  <c r="Z2624" i="12"/>
  <c r="Z2625" i="12"/>
  <c r="Z2626" i="12"/>
  <c r="Z2627" i="12"/>
  <c r="Z2628" i="12"/>
  <c r="Z2629" i="12"/>
  <c r="Z2630" i="12"/>
  <c r="Z2631" i="12"/>
  <c r="Z2632" i="12"/>
  <c r="Z2633" i="12"/>
  <c r="Z2634" i="12"/>
  <c r="Z2635" i="12"/>
  <c r="Z2636" i="12"/>
  <c r="Z2637" i="12"/>
  <c r="Z2638" i="12"/>
  <c r="Z2639" i="12"/>
  <c r="Z2640" i="12"/>
  <c r="Z2641" i="12"/>
  <c r="Z2642" i="12"/>
  <c r="Z2643" i="12"/>
  <c r="Z2644" i="12"/>
  <c r="Z2645" i="12"/>
  <c r="Z2646" i="12"/>
  <c r="Z2647" i="12"/>
  <c r="Z2648" i="12"/>
  <c r="Z2649" i="12"/>
  <c r="Z2650" i="12"/>
  <c r="Z2651" i="12"/>
  <c r="Z2652" i="12"/>
  <c r="Z2653" i="12"/>
  <c r="Z2654" i="12"/>
  <c r="Z2655" i="12"/>
  <c r="Z2656" i="12"/>
  <c r="Z2657" i="12"/>
  <c r="Z2658" i="12"/>
  <c r="Z2659" i="12"/>
  <c r="Z2660" i="12"/>
  <c r="Z2661" i="12"/>
  <c r="Z2662" i="12"/>
  <c r="Z2663" i="12"/>
  <c r="Z2664" i="12"/>
  <c r="Z2665" i="12"/>
  <c r="Z2666" i="12"/>
  <c r="Z2667" i="12"/>
  <c r="Z2668" i="12"/>
  <c r="Z2669" i="12"/>
  <c r="Z2670" i="12"/>
  <c r="Z2671" i="12"/>
  <c r="Z2672" i="12"/>
  <c r="Z2673" i="12"/>
  <c r="Z2674" i="12"/>
  <c r="Z2675" i="12"/>
  <c r="Z2676" i="12"/>
  <c r="Z2677" i="12"/>
  <c r="Z2678" i="12"/>
  <c r="Z2679" i="12"/>
  <c r="Z2680" i="12"/>
  <c r="Z2681" i="12"/>
  <c r="Z2682" i="12"/>
  <c r="Z2683" i="12"/>
  <c r="Z2684" i="12"/>
  <c r="Z2685" i="12"/>
  <c r="Z2686" i="12"/>
  <c r="Z2687" i="12"/>
  <c r="Z2688" i="12"/>
  <c r="Z2689" i="12"/>
  <c r="Z2690" i="12"/>
  <c r="Z2691" i="12"/>
  <c r="Z2692" i="12"/>
  <c r="Z2693" i="12"/>
  <c r="Z2694" i="12"/>
  <c r="Z2695" i="12"/>
  <c r="Z2696" i="12"/>
  <c r="Z2697" i="12"/>
  <c r="Z2698" i="12"/>
  <c r="Z2699" i="12"/>
  <c r="Z2700" i="12"/>
  <c r="Z2701" i="12"/>
  <c r="Z2702" i="12"/>
  <c r="Z2703" i="12"/>
  <c r="Z2704" i="12"/>
  <c r="Z2705" i="12"/>
  <c r="Z2706" i="12"/>
  <c r="Z2707" i="12"/>
  <c r="Z2708" i="12"/>
  <c r="Z2709" i="12"/>
  <c r="Z2710" i="12"/>
  <c r="Z2711" i="12"/>
  <c r="Z2712" i="12"/>
  <c r="Z2713" i="12"/>
  <c r="Z2714" i="12"/>
  <c r="Z2715" i="12"/>
  <c r="Z2716" i="12"/>
  <c r="Z2717" i="12"/>
  <c r="Z2718" i="12"/>
  <c r="Z2719" i="12"/>
  <c r="Z2720" i="12"/>
  <c r="Z2721" i="12"/>
  <c r="Z2722" i="12"/>
  <c r="Z2723" i="12"/>
  <c r="Z2724" i="12"/>
  <c r="Z2725" i="12"/>
  <c r="Z2726" i="12"/>
  <c r="Z2727" i="12"/>
  <c r="Z2728" i="12"/>
  <c r="Z2729" i="12"/>
  <c r="Z2730" i="12"/>
  <c r="Z2731" i="12"/>
  <c r="Z2732" i="12"/>
  <c r="Z2733" i="12"/>
  <c r="Z2734" i="12"/>
  <c r="Z2735" i="12"/>
  <c r="Z2736" i="12"/>
  <c r="Z2737" i="12"/>
  <c r="Z2738" i="12"/>
  <c r="Z2739" i="12"/>
  <c r="Z2740" i="12"/>
  <c r="Z2741" i="12"/>
  <c r="Z2742" i="12"/>
  <c r="Z2743" i="12"/>
  <c r="Z2744" i="12"/>
  <c r="Z2745" i="12"/>
  <c r="Z2746" i="12"/>
  <c r="Z2747" i="12"/>
  <c r="Z2748" i="12"/>
  <c r="Z2749" i="12"/>
  <c r="Z2750" i="12"/>
  <c r="Z2751" i="12"/>
  <c r="Z2752" i="12"/>
  <c r="Z2753" i="12"/>
  <c r="Z2754" i="12"/>
  <c r="Z2755" i="12"/>
  <c r="Z2756" i="12"/>
  <c r="Z2757" i="12"/>
  <c r="Z2758" i="12"/>
  <c r="Z2759" i="12"/>
  <c r="Z2760" i="12"/>
  <c r="Z2761" i="12"/>
  <c r="Z2762" i="12"/>
  <c r="Z2763" i="12"/>
  <c r="Z2764" i="12"/>
  <c r="Z2765" i="12"/>
  <c r="Z2766" i="12"/>
  <c r="Z2767" i="12"/>
  <c r="Z2768" i="12"/>
  <c r="Z2769" i="12"/>
  <c r="Z2770" i="12"/>
  <c r="Z2771" i="12"/>
  <c r="Z2772" i="12"/>
  <c r="Z2773" i="12"/>
  <c r="Z2774" i="12"/>
  <c r="Z2775" i="12"/>
  <c r="Z2776" i="12"/>
  <c r="Z2777" i="12"/>
  <c r="Z2778" i="12"/>
  <c r="Z2779" i="12"/>
  <c r="Z2780" i="12"/>
  <c r="Z2781" i="12"/>
  <c r="Z2782" i="12"/>
  <c r="Z2783" i="12"/>
  <c r="Z2784" i="12"/>
  <c r="Z2785" i="12"/>
  <c r="Z2786" i="12"/>
  <c r="Z2787" i="12"/>
  <c r="Z2788" i="12"/>
  <c r="Z2789" i="12"/>
  <c r="Z2790" i="12"/>
  <c r="Z2791" i="12"/>
  <c r="Z2792" i="12"/>
  <c r="Z2793" i="12"/>
  <c r="Z2794" i="12"/>
  <c r="Z2795" i="12"/>
  <c r="Z2796" i="12"/>
  <c r="Z2797" i="12"/>
  <c r="Z2798" i="12"/>
  <c r="Z2799" i="12"/>
  <c r="Z2800" i="12"/>
  <c r="Z2801" i="12"/>
  <c r="Z2802" i="12"/>
  <c r="Z2803" i="12"/>
  <c r="Z2804" i="12"/>
  <c r="Z2805" i="12"/>
  <c r="Z2806" i="12"/>
  <c r="Z2807" i="12"/>
  <c r="Z2808" i="12"/>
  <c r="Z2809" i="12"/>
  <c r="Z2810" i="12"/>
  <c r="Z2811" i="12"/>
  <c r="Z2812" i="12"/>
  <c r="Z2813" i="12"/>
  <c r="Z2814" i="12"/>
  <c r="Z2815" i="12"/>
  <c r="Z2816" i="12"/>
  <c r="Z2817" i="12"/>
  <c r="Z2818" i="12"/>
  <c r="Z2819" i="12"/>
  <c r="Z2820" i="12"/>
  <c r="Z2821" i="12"/>
  <c r="Z2822" i="12"/>
  <c r="Z2823" i="12"/>
  <c r="Z2824" i="12"/>
  <c r="Z2825" i="12"/>
  <c r="Z2826" i="12"/>
  <c r="Z2827" i="12"/>
  <c r="Z2828" i="12"/>
  <c r="Z2829" i="12"/>
  <c r="Z2830" i="12"/>
  <c r="Z2831" i="12"/>
  <c r="Z2832" i="12"/>
  <c r="Z2833" i="12"/>
  <c r="Z2834" i="12"/>
  <c r="Z2835" i="12"/>
  <c r="Z2836" i="12"/>
  <c r="Z2837" i="12"/>
  <c r="Z2838" i="12"/>
  <c r="Z2839" i="12"/>
  <c r="Z2840" i="12"/>
  <c r="Z2841" i="12"/>
  <c r="Z2842" i="12"/>
  <c r="Z2843" i="12"/>
  <c r="Z2844" i="12"/>
  <c r="Z2845" i="12"/>
  <c r="Z2846" i="12"/>
  <c r="Z2847" i="12"/>
  <c r="Z2848" i="12"/>
  <c r="Z2849" i="12"/>
  <c r="Z2850" i="12"/>
  <c r="Z2851" i="12"/>
  <c r="Z2852" i="12"/>
  <c r="Z2853" i="12"/>
  <c r="Z2854" i="12"/>
  <c r="Z2855" i="12"/>
  <c r="Z2856" i="12"/>
  <c r="Z2857" i="12"/>
  <c r="Z2858" i="12"/>
  <c r="Z2859" i="12"/>
  <c r="Z2860" i="12"/>
  <c r="Z2861" i="12"/>
  <c r="Z2862" i="12"/>
  <c r="Z2863" i="12"/>
  <c r="Z2864" i="12"/>
  <c r="Z2865" i="12"/>
  <c r="Z2866" i="12"/>
  <c r="Z2867" i="12"/>
  <c r="Z2868" i="12"/>
  <c r="Z2869" i="12"/>
  <c r="Z2870" i="12"/>
  <c r="Z2871" i="12"/>
  <c r="Z2872" i="12"/>
  <c r="Z2873" i="12"/>
  <c r="Z2874" i="12"/>
  <c r="Z2875" i="12"/>
  <c r="Z2876" i="12"/>
  <c r="Z2877" i="12"/>
  <c r="Z2878" i="12"/>
  <c r="Z2879" i="12"/>
  <c r="Z2880" i="12"/>
  <c r="Z2881" i="12"/>
  <c r="Z2882" i="12"/>
  <c r="Z2883" i="12"/>
  <c r="Z2884" i="12"/>
  <c r="Z2885" i="12"/>
  <c r="Z2886" i="12"/>
  <c r="Z2887" i="12"/>
  <c r="Z2888" i="12"/>
  <c r="Z2889" i="12"/>
  <c r="Z2890" i="12"/>
  <c r="Z2891" i="12"/>
  <c r="Z2892" i="12"/>
  <c r="Z2893" i="12"/>
  <c r="Z2894" i="12"/>
  <c r="Z2895" i="12"/>
  <c r="Z2896" i="12"/>
  <c r="Z2897" i="12"/>
  <c r="Z2898" i="12"/>
  <c r="Z2899" i="12"/>
  <c r="Z2900" i="12"/>
  <c r="Z2901" i="12"/>
  <c r="Z2902" i="12"/>
  <c r="Z2903" i="12"/>
  <c r="Z2904" i="12"/>
  <c r="Z2905" i="12"/>
  <c r="Z2906" i="12"/>
  <c r="Z2907" i="12"/>
  <c r="Z2908" i="12"/>
  <c r="Z2909" i="12"/>
  <c r="Z2910" i="12"/>
  <c r="Z2911" i="12"/>
  <c r="Z2912" i="12"/>
  <c r="Z2913" i="12"/>
  <c r="Z2914" i="12"/>
  <c r="Z2915" i="12"/>
  <c r="Z2916" i="12"/>
  <c r="Z2917" i="12"/>
  <c r="Z2918" i="12"/>
  <c r="Z2919" i="12"/>
  <c r="Z2920" i="12"/>
  <c r="Z2921" i="12"/>
  <c r="Z2922" i="12"/>
  <c r="Z2923" i="12"/>
  <c r="Z2924" i="12"/>
  <c r="Z2925" i="12"/>
  <c r="Z2926" i="12"/>
  <c r="Z2927" i="12"/>
  <c r="Z2928" i="12"/>
  <c r="Z2929" i="12"/>
  <c r="Z2930" i="12"/>
  <c r="Z2931" i="12"/>
  <c r="Z2932" i="12"/>
  <c r="Z2933" i="12"/>
  <c r="Z2934" i="12"/>
  <c r="Z2935" i="12"/>
  <c r="Z2936" i="12"/>
  <c r="Z2937" i="12"/>
  <c r="Z2938" i="12"/>
  <c r="Z2939" i="12"/>
  <c r="Z2940" i="12"/>
  <c r="Z2941" i="12"/>
  <c r="Z2942" i="12"/>
  <c r="Z2943" i="12"/>
  <c r="Z2944" i="12"/>
  <c r="Z2945" i="12"/>
  <c r="Z2946" i="12"/>
  <c r="Z2947" i="12"/>
  <c r="Z2948" i="12"/>
  <c r="Z2949" i="12"/>
  <c r="Z2950" i="12"/>
  <c r="Z2951" i="12"/>
  <c r="Z2952" i="12"/>
  <c r="Z2953" i="12"/>
  <c r="Z2954" i="12"/>
  <c r="Z2955" i="12"/>
  <c r="Z2956" i="12"/>
  <c r="Z2957" i="12"/>
  <c r="Z2958" i="12"/>
  <c r="Z2959" i="12"/>
  <c r="Z2960" i="12"/>
  <c r="Z2961" i="12"/>
  <c r="Z2962" i="12"/>
  <c r="Z2963" i="12"/>
  <c r="Z2964" i="12"/>
  <c r="Z2965" i="12"/>
  <c r="Z2966" i="12"/>
  <c r="Z2967" i="12"/>
  <c r="Z2968" i="12"/>
  <c r="Z2969" i="12"/>
  <c r="Z2970" i="12"/>
  <c r="Z2971" i="12"/>
  <c r="Z2972" i="12"/>
  <c r="Z2973" i="12"/>
  <c r="Z2974" i="12"/>
  <c r="Z2975" i="12"/>
  <c r="Z2976" i="12"/>
  <c r="Z2977" i="12"/>
  <c r="Z2978" i="12"/>
  <c r="Z2979" i="12"/>
  <c r="Z2980" i="12"/>
  <c r="Z2981" i="12"/>
  <c r="Z2982" i="12"/>
  <c r="Z2983" i="12"/>
  <c r="Z2984" i="12"/>
  <c r="Z2985" i="12"/>
  <c r="Z2986" i="12"/>
  <c r="Z2987" i="12"/>
  <c r="Z2988" i="12"/>
  <c r="Z2989" i="12"/>
  <c r="Z2990" i="12"/>
  <c r="Z2991" i="12"/>
  <c r="Z2992" i="12"/>
  <c r="Z2993" i="12"/>
  <c r="Z2994" i="12"/>
  <c r="Z2995" i="12"/>
  <c r="Z2996" i="12"/>
  <c r="Z2997" i="12"/>
  <c r="Z2998" i="12"/>
  <c r="Z2999" i="12"/>
  <c r="Z3000" i="12"/>
  <c r="Z3001" i="12"/>
  <c r="Z3002" i="12"/>
  <c r="Z3003" i="12"/>
  <c r="Z3004" i="12"/>
  <c r="Z3005" i="12"/>
  <c r="Z3006" i="12"/>
  <c r="Z3007" i="12"/>
  <c r="Z3008" i="12"/>
  <c r="Z3009" i="12"/>
  <c r="Z3010" i="12"/>
  <c r="Z3011" i="12"/>
  <c r="Z3012" i="12"/>
  <c r="Z3013" i="12"/>
  <c r="Z3014" i="12"/>
  <c r="Z3015" i="12"/>
  <c r="Z3016" i="12"/>
  <c r="Z3017" i="12"/>
  <c r="Z3018" i="12"/>
  <c r="Z3019" i="12"/>
  <c r="Z3020" i="12"/>
  <c r="Z3021" i="12"/>
  <c r="Z3022" i="12"/>
  <c r="Z3023" i="12"/>
  <c r="Z3024" i="12"/>
  <c r="Z3025" i="12"/>
  <c r="Z3026" i="12"/>
  <c r="Z3027" i="12"/>
  <c r="Z3028" i="12"/>
  <c r="Z3029" i="12"/>
  <c r="Z3030" i="12"/>
  <c r="Z3031" i="12"/>
  <c r="Z3032" i="12"/>
  <c r="Z3033" i="12"/>
  <c r="Z3034" i="12"/>
  <c r="Z3035" i="12"/>
  <c r="Z3036" i="12"/>
  <c r="Z3037" i="12"/>
  <c r="Z3038" i="12"/>
  <c r="Z3039" i="12"/>
  <c r="Z3040" i="12"/>
  <c r="Z3041" i="12"/>
  <c r="Z3042" i="12"/>
  <c r="Z3043" i="12"/>
  <c r="Z3044" i="12"/>
  <c r="Z3045" i="12"/>
  <c r="Z3046" i="12"/>
  <c r="Z3047" i="12"/>
  <c r="Z3048" i="12"/>
  <c r="Z3049" i="12"/>
  <c r="Z3050" i="12"/>
  <c r="Z3051" i="12"/>
  <c r="Z3052" i="12"/>
  <c r="Z3053" i="12"/>
  <c r="Z3054" i="12"/>
  <c r="Z3055" i="12"/>
  <c r="Z3056" i="12"/>
  <c r="Z3057" i="12"/>
  <c r="Z3058" i="12"/>
  <c r="Z3059" i="12"/>
  <c r="Z3060" i="12"/>
  <c r="Z3061" i="12"/>
  <c r="Z3062" i="12"/>
  <c r="Z3063" i="12"/>
  <c r="Z3064" i="12"/>
  <c r="Z3065" i="12"/>
  <c r="Z3066" i="12"/>
  <c r="Z3067" i="12"/>
  <c r="Z3068" i="12"/>
  <c r="Z3069" i="12"/>
  <c r="Z3070" i="12"/>
  <c r="Z3071" i="12"/>
  <c r="Z3072" i="12"/>
  <c r="Z3073" i="12"/>
  <c r="Z3074" i="12"/>
  <c r="Z3075" i="12"/>
  <c r="Z3076" i="12"/>
  <c r="Z3077" i="12"/>
  <c r="Z3078" i="12"/>
  <c r="Z3079" i="12"/>
  <c r="Z3080" i="12"/>
  <c r="Z3081" i="12"/>
  <c r="Z3082" i="12"/>
  <c r="Z3083" i="12"/>
  <c r="Z3084" i="12"/>
  <c r="Z3085" i="12"/>
  <c r="Z3086" i="12"/>
  <c r="Z3087" i="12"/>
  <c r="Z3088" i="12"/>
  <c r="Z3089" i="12"/>
  <c r="Z3090" i="12"/>
  <c r="Z3091" i="12"/>
  <c r="Z3092" i="12"/>
  <c r="Z3093" i="12"/>
  <c r="Z3094" i="12"/>
  <c r="Z3095" i="12"/>
  <c r="Z3096" i="12"/>
  <c r="Z3097" i="12"/>
  <c r="Z3098" i="12"/>
  <c r="Z3099" i="12"/>
  <c r="Z3100" i="12"/>
  <c r="Z3101" i="12"/>
  <c r="Z3102" i="12"/>
  <c r="Z3103" i="12"/>
  <c r="Z3104" i="12"/>
  <c r="Z3105" i="12"/>
  <c r="Z3106" i="12"/>
  <c r="Z3107" i="12"/>
  <c r="Z3108" i="12"/>
  <c r="Z3109" i="12"/>
  <c r="Z3110" i="12"/>
  <c r="Z3111" i="12"/>
  <c r="Z3112" i="12"/>
  <c r="Z3113" i="12"/>
  <c r="Z3114" i="12"/>
  <c r="Z3115" i="12"/>
  <c r="Z3116" i="12"/>
  <c r="Z3117" i="12"/>
  <c r="Z3118" i="12"/>
  <c r="Z3119" i="12"/>
  <c r="Z3120" i="12"/>
  <c r="Z3121" i="12"/>
  <c r="Z3122" i="12"/>
  <c r="Z3123" i="12"/>
  <c r="Z3124" i="12"/>
  <c r="Z3125" i="12"/>
  <c r="Z3126" i="12"/>
  <c r="Z3127" i="12"/>
  <c r="Z3128" i="12"/>
  <c r="Z3129" i="12"/>
  <c r="Z3130" i="12"/>
  <c r="Z3131" i="12"/>
  <c r="Z3132" i="12"/>
  <c r="Z3133" i="12"/>
  <c r="Z3134" i="12"/>
  <c r="Z3135" i="12"/>
  <c r="Z3136" i="12"/>
  <c r="Z3137" i="12"/>
  <c r="Z3138" i="12"/>
  <c r="Z3139" i="12"/>
  <c r="Z3140" i="12"/>
  <c r="Z3141" i="12"/>
  <c r="Z3142" i="12"/>
  <c r="Z3143" i="12"/>
  <c r="Z3144" i="12"/>
  <c r="Z3145" i="12"/>
  <c r="Z3146" i="12"/>
  <c r="Z3147" i="12"/>
  <c r="Z3148" i="12"/>
  <c r="Z3149" i="12"/>
  <c r="Z3150" i="12"/>
  <c r="Z3151" i="12"/>
  <c r="Z3152" i="12"/>
  <c r="Z3153" i="12"/>
  <c r="Z3154" i="12"/>
  <c r="Z3155" i="12"/>
  <c r="Z3156" i="12"/>
  <c r="Z3157" i="12"/>
  <c r="Z3158" i="12"/>
  <c r="Z3159" i="12"/>
  <c r="Z3160" i="12"/>
  <c r="Z3161" i="12"/>
  <c r="Z3162" i="12"/>
  <c r="Z3163" i="12"/>
  <c r="Z3164" i="12"/>
  <c r="Z3165" i="12"/>
  <c r="Z3166" i="12"/>
  <c r="Z3167" i="12"/>
  <c r="Z3168" i="12"/>
  <c r="Z3169" i="12"/>
  <c r="Z3170" i="12"/>
  <c r="Z3171" i="12"/>
  <c r="Z3172" i="12"/>
  <c r="Z3173" i="12"/>
  <c r="Z3174" i="12"/>
  <c r="Z3175" i="12"/>
  <c r="Z3176" i="12"/>
  <c r="Z3177" i="12"/>
  <c r="Z3178" i="12"/>
  <c r="Z3179" i="12"/>
  <c r="Z3180" i="12"/>
  <c r="Z3181" i="12"/>
  <c r="Z3182" i="12"/>
  <c r="Z3183" i="12"/>
  <c r="Z3184" i="12"/>
  <c r="Z3185" i="12"/>
  <c r="Z3186" i="12"/>
  <c r="Z3187" i="12"/>
  <c r="Z3188" i="12"/>
  <c r="Z3189" i="12"/>
  <c r="Z3190" i="12"/>
  <c r="Z3191" i="12"/>
  <c r="Z3192" i="12"/>
  <c r="Z3193" i="12"/>
  <c r="Z3194" i="12"/>
  <c r="Z3195" i="12"/>
  <c r="Z3196" i="12"/>
  <c r="Z3197" i="12"/>
  <c r="Z3198" i="12"/>
  <c r="Z3199" i="12"/>
  <c r="Z3200" i="12"/>
  <c r="Z3201" i="12"/>
  <c r="Z3202" i="12"/>
  <c r="Z3203" i="12"/>
  <c r="Z3204" i="12"/>
  <c r="Z3205" i="12"/>
  <c r="Z3206" i="12"/>
  <c r="Z3207" i="12"/>
  <c r="Z3208" i="12"/>
  <c r="Z3209" i="12"/>
  <c r="Z3210" i="12"/>
  <c r="Z3211" i="12"/>
  <c r="Z3212" i="12"/>
  <c r="Z3213" i="12"/>
  <c r="Z3214" i="12"/>
  <c r="Z3215" i="12"/>
  <c r="Z3216" i="12"/>
  <c r="Z3217" i="12"/>
  <c r="Z3218" i="12"/>
  <c r="Z3219" i="12"/>
  <c r="Z3220" i="12"/>
  <c r="Z3221" i="12"/>
  <c r="Z3222" i="12"/>
  <c r="Z3223" i="12"/>
  <c r="Z3224" i="12"/>
  <c r="Z3225" i="12"/>
  <c r="Z3226" i="12"/>
  <c r="Z3227" i="12"/>
  <c r="Z3228" i="12"/>
  <c r="Z3229" i="12"/>
  <c r="Z3230" i="12"/>
  <c r="Z3231" i="12"/>
  <c r="Z3232" i="12"/>
  <c r="Z3233" i="12"/>
  <c r="Z3234" i="12"/>
  <c r="Z3235" i="12"/>
  <c r="Z3236" i="12"/>
  <c r="Z3237" i="12"/>
  <c r="Z3238" i="12"/>
  <c r="Z3239" i="12"/>
  <c r="Z3240" i="12"/>
  <c r="Z3241" i="12"/>
  <c r="Z3242" i="12"/>
  <c r="Z3243" i="12"/>
  <c r="Z3244" i="12"/>
  <c r="Z3245" i="12"/>
  <c r="Z3246" i="12"/>
  <c r="Z3247" i="12"/>
  <c r="Z3248" i="12"/>
  <c r="Z3249" i="12"/>
  <c r="Z3250" i="12"/>
  <c r="Z3251" i="12"/>
  <c r="Z3252" i="12"/>
  <c r="Z3253" i="12"/>
  <c r="Z3254" i="12"/>
  <c r="Z3255" i="12"/>
  <c r="Z3256" i="12"/>
  <c r="Z3257" i="12"/>
  <c r="Z3258" i="12"/>
  <c r="Z3259" i="12"/>
  <c r="Z3260" i="12"/>
  <c r="Z3261" i="12"/>
  <c r="Z3262" i="12"/>
  <c r="Z3263" i="12"/>
  <c r="Z3264" i="12"/>
  <c r="Z3265" i="12"/>
  <c r="Z3266" i="12"/>
  <c r="Z3267" i="12"/>
  <c r="Z3268" i="12"/>
  <c r="Z3269" i="12"/>
  <c r="Z3270" i="12"/>
  <c r="Z3271" i="12"/>
  <c r="Z3272" i="12"/>
  <c r="Z3273" i="12"/>
  <c r="Z3274" i="12"/>
  <c r="Z3275" i="12"/>
  <c r="Z3276" i="12"/>
  <c r="Z3277" i="12"/>
  <c r="Z3278" i="12"/>
  <c r="Z3279" i="12"/>
  <c r="Z3280" i="12"/>
  <c r="Z3281" i="12"/>
  <c r="Z3282" i="12"/>
  <c r="Z3283" i="12"/>
  <c r="Z3284" i="12"/>
  <c r="Z3285" i="12"/>
  <c r="Z3286" i="12"/>
  <c r="Z3287" i="12"/>
  <c r="Z3288" i="12"/>
  <c r="Z3289" i="12"/>
  <c r="Z3290" i="12"/>
  <c r="Z3291" i="12"/>
  <c r="Z3292" i="12"/>
  <c r="Z3293" i="12"/>
  <c r="Z3294" i="12"/>
  <c r="Z3295" i="12"/>
  <c r="Z3296" i="12"/>
  <c r="Z3297" i="12"/>
  <c r="Z3298" i="12"/>
  <c r="Z3299" i="12"/>
  <c r="Z3300" i="12"/>
  <c r="Z3301" i="12"/>
  <c r="Z3302" i="12"/>
  <c r="Z3303" i="12"/>
  <c r="Z3304" i="12"/>
  <c r="Z3305" i="12"/>
  <c r="Z3306" i="12"/>
  <c r="Z3307" i="12"/>
  <c r="Z3308" i="12"/>
  <c r="Z3309" i="12"/>
  <c r="Z3310" i="12"/>
  <c r="Z3311" i="12"/>
  <c r="Z3312" i="12"/>
  <c r="Z3313" i="12"/>
  <c r="Z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1916" i="12"/>
  <c r="N1917" i="12"/>
  <c r="N1918" i="12"/>
  <c r="N1919" i="12"/>
  <c r="N1920" i="12"/>
  <c r="N1921" i="12"/>
  <c r="N1922" i="12"/>
  <c r="N1923" i="12"/>
  <c r="N1924" i="12"/>
  <c r="N1925" i="12"/>
  <c r="N1926" i="12"/>
  <c r="N1927" i="12"/>
  <c r="N1928" i="12"/>
  <c r="N1929" i="12"/>
  <c r="N1930" i="12"/>
  <c r="N1931" i="12"/>
  <c r="N1932" i="12"/>
  <c r="N1933" i="12"/>
  <c r="N1934" i="12"/>
  <c r="N1935" i="12"/>
  <c r="N1936" i="12"/>
  <c r="N1937" i="12"/>
  <c r="N1938" i="12"/>
  <c r="N1939" i="12"/>
  <c r="N1940" i="12"/>
  <c r="N1941" i="12"/>
  <c r="N1942" i="12"/>
  <c r="N1943" i="12"/>
  <c r="N1944" i="12"/>
  <c r="N1945" i="12"/>
  <c r="N1946" i="12"/>
  <c r="N1947" i="12"/>
  <c r="N1948" i="12"/>
  <c r="N1949" i="12"/>
  <c r="N1950" i="12"/>
  <c r="N1951" i="12"/>
  <c r="N1952" i="12"/>
  <c r="N1953" i="12"/>
  <c r="N1954" i="12"/>
  <c r="N1955" i="12"/>
  <c r="N1956" i="12"/>
  <c r="N1957" i="12"/>
  <c r="N1958" i="12"/>
  <c r="N1959" i="12"/>
  <c r="N1960" i="12"/>
  <c r="N1961" i="12"/>
  <c r="N1962" i="12"/>
  <c r="N1963" i="12"/>
  <c r="N1964" i="12"/>
  <c r="N1965" i="12"/>
  <c r="N1966" i="12"/>
  <c r="N1967" i="12"/>
  <c r="N1968" i="12"/>
  <c r="N1969" i="12"/>
  <c r="N1970" i="12"/>
  <c r="N1971" i="12"/>
  <c r="N1972" i="12"/>
  <c r="N1973" i="12"/>
  <c r="N1974" i="12"/>
  <c r="N1975" i="12"/>
  <c r="N1976" i="12"/>
  <c r="N1977" i="12"/>
  <c r="N1978" i="12"/>
  <c r="N1979" i="12"/>
  <c r="N1980" i="12"/>
  <c r="N1981" i="12"/>
  <c r="N1982" i="12"/>
  <c r="N1983" i="12"/>
  <c r="N1984" i="12"/>
  <c r="N1985" i="12"/>
  <c r="N1986" i="12"/>
  <c r="N1987" i="12"/>
  <c r="N1988" i="12"/>
  <c r="N1989" i="12"/>
  <c r="N1990" i="12"/>
  <c r="N1991" i="12"/>
  <c r="N1992" i="12"/>
  <c r="N1993" i="12"/>
  <c r="N1994" i="12"/>
  <c r="N1995" i="12"/>
  <c r="N1996" i="12"/>
  <c r="N1997" i="12"/>
  <c r="N1998" i="12"/>
  <c r="N1999" i="12"/>
  <c r="N2000" i="12"/>
  <c r="N2001" i="12"/>
  <c r="N2002" i="12"/>
  <c r="N2003" i="12"/>
  <c r="N2004" i="12"/>
  <c r="N2005" i="12"/>
  <c r="N2006" i="12"/>
  <c r="N2007" i="12"/>
  <c r="N2008" i="12"/>
  <c r="N2009" i="12"/>
  <c r="N2010" i="12"/>
  <c r="N2011" i="12"/>
  <c r="N2012" i="12"/>
  <c r="N2013" i="12"/>
  <c r="N2014" i="12"/>
  <c r="N2015" i="12"/>
  <c r="N2016" i="12"/>
  <c r="N2017" i="12"/>
  <c r="N2018" i="12"/>
  <c r="N2019" i="12"/>
  <c r="N2020" i="12"/>
  <c r="N2021" i="12"/>
  <c r="N2022" i="12"/>
  <c r="N2023" i="12"/>
  <c r="N2024" i="12"/>
  <c r="N2025" i="12"/>
  <c r="N2026" i="12"/>
  <c r="N2027" i="12"/>
  <c r="N2028" i="12"/>
  <c r="N2029" i="12"/>
  <c r="N2030" i="12"/>
  <c r="N2031" i="12"/>
  <c r="N2032" i="12"/>
  <c r="N2033" i="12"/>
  <c r="N2034" i="12"/>
  <c r="N2035" i="12"/>
  <c r="N2036" i="12"/>
  <c r="N2037" i="12"/>
  <c r="N2038" i="12"/>
  <c r="N2039" i="12"/>
  <c r="N2040" i="12"/>
  <c r="N2041" i="12"/>
  <c r="N2042" i="12"/>
  <c r="N2043" i="12"/>
  <c r="N2044" i="12"/>
  <c r="N2045" i="12"/>
  <c r="N2046" i="12"/>
  <c r="N2047" i="12"/>
  <c r="N2048" i="12"/>
  <c r="N2049" i="12"/>
  <c r="N2050" i="12"/>
  <c r="N2051" i="12"/>
  <c r="N2052" i="12"/>
  <c r="N2053" i="12"/>
  <c r="N2054" i="12"/>
  <c r="N2055" i="12"/>
  <c r="N2056" i="12"/>
  <c r="N2057" i="12"/>
  <c r="N2058" i="12"/>
  <c r="N2059" i="12"/>
  <c r="N2060" i="12"/>
  <c r="N2061" i="12"/>
  <c r="N2062" i="12"/>
  <c r="N2063" i="12"/>
  <c r="N2064" i="12"/>
  <c r="N2065" i="12"/>
  <c r="N2066" i="12"/>
  <c r="N2067" i="12"/>
  <c r="N2068" i="12"/>
  <c r="N2069" i="12"/>
  <c r="N2070" i="12"/>
  <c r="N2071" i="12"/>
  <c r="N2072" i="12"/>
  <c r="N2073" i="12"/>
  <c r="N2074" i="12"/>
  <c r="N2075" i="12"/>
  <c r="N2076" i="12"/>
  <c r="N2077" i="12"/>
  <c r="N2078" i="12"/>
  <c r="N2079" i="12"/>
  <c r="N2080" i="12"/>
  <c r="N2081" i="12"/>
  <c r="N2082" i="12"/>
  <c r="N2083" i="12"/>
  <c r="N2084" i="12"/>
  <c r="N2085" i="12"/>
  <c r="N2086" i="12"/>
  <c r="N2087" i="12"/>
  <c r="N2088" i="12"/>
  <c r="N2089" i="12"/>
  <c r="N2090" i="12"/>
  <c r="N2091" i="12"/>
  <c r="N2092" i="12"/>
  <c r="N2093" i="12"/>
  <c r="N2094" i="12"/>
  <c r="N2095" i="12"/>
  <c r="N2096" i="12"/>
  <c r="N2097" i="12"/>
  <c r="N2098" i="12"/>
  <c r="N2099" i="12"/>
  <c r="N2100" i="12"/>
  <c r="N2101" i="12"/>
  <c r="N2102" i="12"/>
  <c r="N2103" i="12"/>
  <c r="N2104" i="12"/>
  <c r="N2105" i="12"/>
  <c r="N2106" i="12"/>
  <c r="N2107" i="12"/>
  <c r="N2108" i="12"/>
  <c r="N2109" i="12"/>
  <c r="N2110" i="12"/>
  <c r="N2111" i="12"/>
  <c r="N2112" i="12"/>
  <c r="N2113" i="12"/>
  <c r="N2114" i="12"/>
  <c r="N2115" i="12"/>
  <c r="N2116" i="12"/>
  <c r="N2117" i="12"/>
  <c r="N2118" i="12"/>
  <c r="N2119" i="12"/>
  <c r="N2120" i="12"/>
  <c r="N2121" i="12"/>
  <c r="N2122" i="12"/>
  <c r="N2123" i="12"/>
  <c r="N2124" i="12"/>
  <c r="N2125" i="12"/>
  <c r="N2126" i="12"/>
  <c r="N2127" i="12"/>
  <c r="N2128" i="12"/>
  <c r="N2129" i="12"/>
  <c r="N2130" i="12"/>
  <c r="N2131" i="12"/>
  <c r="N2132" i="12"/>
  <c r="N2133" i="12"/>
  <c r="N2134" i="12"/>
  <c r="N2135" i="12"/>
  <c r="N2136" i="12"/>
  <c r="N2137" i="12"/>
  <c r="N2138" i="12"/>
  <c r="N2139" i="12"/>
  <c r="N2140" i="12"/>
  <c r="N2141" i="12"/>
  <c r="N2142" i="12"/>
  <c r="N2143" i="12"/>
  <c r="N2144" i="12"/>
  <c r="N2145" i="12"/>
  <c r="N2146" i="12"/>
  <c r="N2147" i="12"/>
  <c r="N2148" i="12"/>
  <c r="N2149" i="12"/>
  <c r="N2150" i="12"/>
  <c r="N2151" i="12"/>
  <c r="N2152" i="12"/>
  <c r="N2153" i="12"/>
  <c r="N2154" i="12"/>
  <c r="N2155" i="12"/>
  <c r="N2156" i="12"/>
  <c r="N2157" i="12"/>
  <c r="N21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2170" i="12"/>
  <c r="N2171" i="12"/>
  <c r="N2172" i="12"/>
  <c r="N2173" i="12"/>
  <c r="N2174" i="12"/>
  <c r="N2175" i="12"/>
  <c r="N2176" i="12"/>
  <c r="N2177" i="12"/>
  <c r="N2178" i="12"/>
  <c r="N2179" i="12"/>
  <c r="N2180" i="12"/>
  <c r="N2181" i="12"/>
  <c r="N2182" i="12"/>
  <c r="N2183" i="12"/>
  <c r="N2184" i="12"/>
  <c r="N2185" i="12"/>
  <c r="N2186" i="12"/>
  <c r="N2187" i="12"/>
  <c r="N2188" i="12"/>
  <c r="N2189" i="12"/>
  <c r="N2190" i="12"/>
  <c r="N2191" i="12"/>
  <c r="N2192" i="12"/>
  <c r="N2193" i="12"/>
  <c r="N2194" i="12"/>
  <c r="N2195" i="12"/>
  <c r="N2196" i="12"/>
  <c r="N2197" i="12"/>
  <c r="N2198" i="12"/>
  <c r="N2199" i="12"/>
  <c r="N2200" i="12"/>
  <c r="N2201" i="12"/>
  <c r="N2202" i="12"/>
  <c r="N2203" i="12"/>
  <c r="N2204" i="12"/>
  <c r="N2205" i="12"/>
  <c r="N2206" i="12"/>
  <c r="N2207" i="12"/>
  <c r="N2208" i="12"/>
  <c r="N2209" i="12"/>
  <c r="N2210" i="12"/>
  <c r="N2211" i="12"/>
  <c r="N2212" i="12"/>
  <c r="N2213" i="12"/>
  <c r="N2214" i="12"/>
  <c r="N2215" i="12"/>
  <c r="N2216" i="12"/>
  <c r="N2217" i="12"/>
  <c r="N2218" i="12"/>
  <c r="N2219" i="12"/>
  <c r="N2220" i="12"/>
  <c r="N2221" i="12"/>
  <c r="N2222" i="12"/>
  <c r="N2223" i="12"/>
  <c r="N2224" i="12"/>
  <c r="N2225" i="12"/>
  <c r="N2226" i="12"/>
  <c r="N2227" i="12"/>
  <c r="N2228" i="12"/>
  <c r="N2229" i="12"/>
  <c r="N2230" i="12"/>
  <c r="N2231" i="12"/>
  <c r="N2232" i="12"/>
  <c r="N2233" i="12"/>
  <c r="N2234" i="12"/>
  <c r="N2235" i="12"/>
  <c r="N2236" i="12"/>
  <c r="N2237" i="12"/>
  <c r="N2238" i="12"/>
  <c r="N2239" i="12"/>
  <c r="N2240" i="12"/>
  <c r="N2241" i="12"/>
  <c r="N2242" i="12"/>
  <c r="N2243" i="12"/>
  <c r="N2244" i="12"/>
  <c r="N2245" i="12"/>
  <c r="N2246" i="12"/>
  <c r="N2247" i="12"/>
  <c r="N2248" i="12"/>
  <c r="N2249" i="12"/>
  <c r="N2250" i="12"/>
  <c r="N2251" i="12"/>
  <c r="N2252" i="12"/>
  <c r="N2253" i="12"/>
  <c r="N2254" i="12"/>
  <c r="N2255" i="12"/>
  <c r="N2256" i="12"/>
  <c r="N2257" i="12"/>
  <c r="N2258" i="12"/>
  <c r="N2259" i="12"/>
  <c r="N2260" i="12"/>
  <c r="N2261" i="12"/>
  <c r="N2262" i="12"/>
  <c r="N2263" i="12"/>
  <c r="N2264" i="12"/>
  <c r="N2265" i="12"/>
  <c r="N2266" i="12"/>
  <c r="N2267" i="12"/>
  <c r="N2268" i="12"/>
  <c r="N2269" i="12"/>
  <c r="N2270" i="12"/>
  <c r="N2271" i="12"/>
  <c r="N2272" i="12"/>
  <c r="N2273" i="12"/>
  <c r="N2274" i="12"/>
  <c r="N2275" i="12"/>
  <c r="N2276" i="12"/>
  <c r="N2277" i="12"/>
  <c r="N2278" i="12"/>
  <c r="N2279" i="12"/>
  <c r="N2280" i="12"/>
  <c r="N2281" i="12"/>
  <c r="N2282" i="12"/>
  <c r="N2283" i="12"/>
  <c r="N2284" i="12"/>
  <c r="N2285" i="12"/>
  <c r="N2286" i="12"/>
  <c r="N2287" i="12"/>
  <c r="N2288" i="12"/>
  <c r="N2289" i="12"/>
  <c r="N2290" i="12"/>
  <c r="N2291" i="12"/>
  <c r="N2292" i="12"/>
  <c r="N2293" i="12"/>
  <c r="N2294" i="12"/>
  <c r="N2295" i="12"/>
  <c r="N2296" i="12"/>
  <c r="N2297" i="12"/>
  <c r="N2298" i="12"/>
  <c r="N2299" i="12"/>
  <c r="N2300" i="12"/>
  <c r="N2301" i="12"/>
  <c r="N2302" i="12"/>
  <c r="N2303" i="12"/>
  <c r="N2304" i="12"/>
  <c r="N2305" i="12"/>
  <c r="N2306" i="12"/>
  <c r="N2307" i="12"/>
  <c r="N2308" i="12"/>
  <c r="N2309" i="12"/>
  <c r="N2310" i="12"/>
  <c r="N2311" i="12"/>
  <c r="N2312" i="12"/>
  <c r="N2313" i="12"/>
  <c r="N2314" i="12"/>
  <c r="N2315" i="12"/>
  <c r="N2316" i="12"/>
  <c r="N2317" i="12"/>
  <c r="N2318" i="12"/>
  <c r="N2319" i="12"/>
  <c r="N2320" i="12"/>
  <c r="N2321" i="12"/>
  <c r="N2322" i="12"/>
  <c r="N2323" i="12"/>
  <c r="N2324" i="12"/>
  <c r="N2325" i="12"/>
  <c r="N2326" i="12"/>
  <c r="N2327" i="12"/>
  <c r="N2328" i="12"/>
  <c r="N2329" i="12"/>
  <c r="N2330" i="12"/>
  <c r="N2331" i="12"/>
  <c r="N2332" i="12"/>
  <c r="N2333" i="12"/>
  <c r="N2334" i="12"/>
  <c r="N2335" i="12"/>
  <c r="N2336" i="12"/>
  <c r="N2337" i="12"/>
  <c r="N2338" i="12"/>
  <c r="N2339" i="12"/>
  <c r="N2340" i="12"/>
  <c r="N2341" i="12"/>
  <c r="N2342" i="12"/>
  <c r="N2343" i="12"/>
  <c r="N2344" i="12"/>
  <c r="N2345" i="12"/>
  <c r="N2346" i="12"/>
  <c r="N2347" i="12"/>
  <c r="N2348" i="12"/>
  <c r="N2349" i="12"/>
  <c r="N2350" i="12"/>
  <c r="N2351" i="12"/>
  <c r="N2352" i="12"/>
  <c r="N2353" i="12"/>
  <c r="N2354" i="12"/>
  <c r="N2355" i="12"/>
  <c r="N2356" i="12"/>
  <c r="N2357" i="12"/>
  <c r="N2358" i="12"/>
  <c r="N2359" i="12"/>
  <c r="N2360" i="12"/>
  <c r="N2361" i="12"/>
  <c r="N2362" i="12"/>
  <c r="N2363" i="12"/>
  <c r="N2364" i="12"/>
  <c r="N2365" i="12"/>
  <c r="N2366" i="12"/>
  <c r="N2367" i="12"/>
  <c r="N2368" i="12"/>
  <c r="N2369" i="12"/>
  <c r="N2370" i="12"/>
  <c r="N2371" i="12"/>
  <c r="N2372" i="12"/>
  <c r="N2373" i="12"/>
  <c r="N2374" i="12"/>
  <c r="N2375" i="12"/>
  <c r="N2376" i="12"/>
  <c r="N2377" i="12"/>
  <c r="N2378" i="12"/>
  <c r="N2379" i="12"/>
  <c r="N2380" i="12"/>
  <c r="N2381" i="12"/>
  <c r="N2382" i="12"/>
  <c r="N2383" i="12"/>
  <c r="N2384" i="12"/>
  <c r="N2385" i="12"/>
  <c r="N2386" i="12"/>
  <c r="N2387" i="12"/>
  <c r="N2388" i="12"/>
  <c r="N2389" i="12"/>
  <c r="N2390" i="12"/>
  <c r="N2391" i="12"/>
  <c r="N2392" i="12"/>
  <c r="N2393" i="12"/>
  <c r="N2394" i="12"/>
  <c r="N2395" i="12"/>
  <c r="N2396" i="12"/>
  <c r="N2397" i="12"/>
  <c r="N2398" i="12"/>
  <c r="N2399" i="12"/>
  <c r="N2400" i="12"/>
  <c r="N2401" i="12"/>
  <c r="N2402" i="12"/>
  <c r="N2403" i="12"/>
  <c r="N2404" i="12"/>
  <c r="N2405" i="12"/>
  <c r="N2406" i="12"/>
  <c r="N2407" i="12"/>
  <c r="N2408" i="12"/>
  <c r="N2409" i="12"/>
  <c r="N2410" i="12"/>
  <c r="N2411" i="12"/>
  <c r="N2412" i="12"/>
  <c r="N2413" i="12"/>
  <c r="N2414" i="12"/>
  <c r="N2415" i="12"/>
  <c r="N2416" i="12"/>
  <c r="N2417" i="12"/>
  <c r="N2418" i="12"/>
  <c r="N2419" i="12"/>
  <c r="N2420" i="12"/>
  <c r="N2421" i="12"/>
  <c r="N2422" i="12"/>
  <c r="N2423" i="12"/>
  <c r="N2424" i="12"/>
  <c r="N2425" i="12"/>
  <c r="N2426" i="12"/>
  <c r="N2427" i="12"/>
  <c r="N2428" i="12"/>
  <c r="N2429" i="12"/>
  <c r="N2430" i="12"/>
  <c r="N2431" i="12"/>
  <c r="N2432" i="12"/>
  <c r="N2433" i="12"/>
  <c r="N2434" i="12"/>
  <c r="N2435" i="12"/>
  <c r="N2436" i="12"/>
  <c r="N2437" i="12"/>
  <c r="N2438" i="12"/>
  <c r="N2439" i="12"/>
  <c r="N2440" i="12"/>
  <c r="N2441" i="12"/>
  <c r="N2442" i="12"/>
  <c r="N2443" i="12"/>
  <c r="N2444" i="12"/>
  <c r="N2445" i="12"/>
  <c r="N2446" i="12"/>
  <c r="N2447" i="12"/>
  <c r="N2448" i="12"/>
  <c r="N2449" i="12"/>
  <c r="N2450" i="12"/>
  <c r="N2451" i="12"/>
  <c r="N2452" i="12"/>
  <c r="N2453" i="12"/>
  <c r="N2454" i="12"/>
  <c r="N2455" i="12"/>
  <c r="N2456" i="12"/>
  <c r="N2457" i="12"/>
  <c r="N2458" i="12"/>
  <c r="N2459" i="12"/>
  <c r="N2460" i="12"/>
  <c r="N2461" i="12"/>
  <c r="N2462" i="12"/>
  <c r="N2463" i="12"/>
  <c r="N2464" i="12"/>
  <c r="N2465" i="12"/>
  <c r="N2466" i="12"/>
  <c r="N2467" i="12"/>
  <c r="N2468" i="12"/>
  <c r="N2469" i="12"/>
  <c r="N2470" i="12"/>
  <c r="N2471" i="12"/>
  <c r="N2472" i="12"/>
  <c r="N2473" i="12"/>
  <c r="N2474" i="12"/>
  <c r="N2475" i="12"/>
  <c r="N2476" i="12"/>
  <c r="N2477" i="12"/>
  <c r="N2478" i="12"/>
  <c r="N2479" i="12"/>
  <c r="N2480" i="12"/>
  <c r="N2481" i="12"/>
  <c r="N2482" i="12"/>
  <c r="N2483" i="12"/>
  <c r="N2484" i="12"/>
  <c r="N2485" i="12"/>
  <c r="N2486" i="12"/>
  <c r="N2487" i="12"/>
  <c r="N2488" i="12"/>
  <c r="N2489" i="12"/>
  <c r="N2490" i="12"/>
  <c r="N2491" i="12"/>
  <c r="N2492" i="12"/>
  <c r="N2493" i="12"/>
  <c r="N2494" i="12"/>
  <c r="N2495" i="12"/>
  <c r="N2496" i="12"/>
  <c r="N2497" i="12"/>
  <c r="N2498" i="12"/>
  <c r="N2499" i="12"/>
  <c r="N2500" i="12"/>
  <c r="N2501" i="12"/>
  <c r="N2502" i="12"/>
  <c r="N2503" i="12"/>
  <c r="N2504" i="12"/>
  <c r="N2505" i="12"/>
  <c r="N2506" i="12"/>
  <c r="N2507" i="12"/>
  <c r="N2508" i="12"/>
  <c r="N2509" i="12"/>
  <c r="N2510" i="12"/>
  <c r="N2511" i="12"/>
  <c r="N2512" i="12"/>
  <c r="N2513" i="12"/>
  <c r="N2514" i="12"/>
  <c r="N2515" i="12"/>
  <c r="N2516" i="12"/>
  <c r="N2517" i="12"/>
  <c r="N2518" i="12"/>
  <c r="N2519" i="12"/>
  <c r="N2520" i="12"/>
  <c r="N2521" i="12"/>
  <c r="N2522" i="12"/>
  <c r="N2523" i="12"/>
  <c r="N2524" i="12"/>
  <c r="N2525" i="12"/>
  <c r="N2526" i="12"/>
  <c r="N2527" i="12"/>
  <c r="N2528" i="12"/>
  <c r="N2529" i="12"/>
  <c r="N2530" i="12"/>
  <c r="N2531" i="12"/>
  <c r="N2532" i="12"/>
  <c r="N2533" i="12"/>
  <c r="N2534" i="12"/>
  <c r="N2535" i="12"/>
  <c r="N2536" i="12"/>
  <c r="N2537" i="12"/>
  <c r="N2538" i="12"/>
  <c r="N2539" i="12"/>
  <c r="N2540" i="12"/>
  <c r="N2541" i="12"/>
  <c r="N2542" i="12"/>
  <c r="N2543" i="12"/>
  <c r="N2544" i="12"/>
  <c r="N2545" i="12"/>
  <c r="N2546" i="12"/>
  <c r="N2547" i="12"/>
  <c r="N2548" i="12"/>
  <c r="N2549" i="12"/>
  <c r="N2550" i="12"/>
  <c r="N2551" i="12"/>
  <c r="N2552" i="12"/>
  <c r="N2553" i="12"/>
  <c r="N2554" i="12"/>
  <c r="N2555" i="12"/>
  <c r="N2556" i="12"/>
  <c r="N2557" i="12"/>
  <c r="N2558" i="12"/>
  <c r="N2559" i="12"/>
  <c r="N2560" i="12"/>
  <c r="N2561" i="12"/>
  <c r="N2562" i="12"/>
  <c r="N2563" i="12"/>
  <c r="N2564" i="12"/>
  <c r="N2565" i="12"/>
  <c r="N2566" i="12"/>
  <c r="N2567" i="12"/>
  <c r="N2568" i="12"/>
  <c r="N2569" i="12"/>
  <c r="N2570" i="12"/>
  <c r="N2571" i="12"/>
  <c r="N2572" i="12"/>
  <c r="N2573" i="12"/>
  <c r="N2574" i="12"/>
  <c r="N2575" i="12"/>
  <c r="N2576" i="12"/>
  <c r="N2577" i="12"/>
  <c r="N2578" i="12"/>
  <c r="N2579" i="12"/>
  <c r="N2580" i="12"/>
  <c r="N2581" i="12"/>
  <c r="N2582" i="12"/>
  <c r="N2583" i="12"/>
  <c r="N2584" i="12"/>
  <c r="N2585" i="12"/>
  <c r="N2586" i="12"/>
  <c r="N2587" i="12"/>
  <c r="N2588" i="12"/>
  <c r="N2589" i="12"/>
  <c r="N2590" i="12"/>
  <c r="N2591" i="12"/>
  <c r="N2592" i="12"/>
  <c r="N2593" i="12"/>
  <c r="N2594" i="12"/>
  <c r="N2595" i="12"/>
  <c r="N2596" i="12"/>
  <c r="N2597" i="12"/>
  <c r="N2598" i="12"/>
  <c r="N2599" i="12"/>
  <c r="N2600" i="12"/>
  <c r="N2601" i="12"/>
  <c r="N2602" i="12"/>
  <c r="N2603" i="12"/>
  <c r="N2604" i="12"/>
  <c r="N2605" i="12"/>
  <c r="N2606" i="12"/>
  <c r="N2607" i="12"/>
  <c r="N2608" i="12"/>
  <c r="N2609" i="12"/>
  <c r="N2610" i="12"/>
  <c r="N2611" i="12"/>
  <c r="N2612" i="12"/>
  <c r="N2613" i="12"/>
  <c r="N2614" i="12"/>
  <c r="N2615" i="12"/>
  <c r="N2616" i="12"/>
  <c r="N2617" i="12"/>
  <c r="N2618" i="12"/>
  <c r="N2619" i="12"/>
  <c r="N2620" i="12"/>
  <c r="N2621" i="12"/>
  <c r="N2622" i="12"/>
  <c r="N2623" i="12"/>
  <c r="N2624" i="12"/>
  <c r="N2625" i="12"/>
  <c r="N2626" i="12"/>
  <c r="N2627" i="12"/>
  <c r="N2628" i="12"/>
  <c r="N2629" i="12"/>
  <c r="N2630" i="12"/>
  <c r="N2631" i="12"/>
  <c r="N2632" i="12"/>
  <c r="N2633" i="12"/>
  <c r="N2634" i="12"/>
  <c r="N2635" i="12"/>
  <c r="N2636" i="12"/>
  <c r="N2637" i="12"/>
  <c r="N2638" i="12"/>
  <c r="N2639" i="12"/>
  <c r="N2640" i="12"/>
  <c r="N2641" i="12"/>
  <c r="N2642" i="12"/>
  <c r="N2643" i="12"/>
  <c r="N2644" i="12"/>
  <c r="N2645" i="12"/>
  <c r="N2646" i="12"/>
  <c r="N2647" i="12"/>
  <c r="N2648" i="12"/>
  <c r="N2649" i="12"/>
  <c r="N2650" i="12"/>
  <c r="N2651" i="12"/>
  <c r="N2652" i="12"/>
  <c r="N2653" i="12"/>
  <c r="N2654" i="12"/>
  <c r="N2655" i="12"/>
  <c r="N2656" i="12"/>
  <c r="N2657" i="12"/>
  <c r="N2658" i="12"/>
  <c r="N2659" i="12"/>
  <c r="N2660" i="12"/>
  <c r="N2661" i="12"/>
  <c r="N2662" i="12"/>
  <c r="N2663" i="12"/>
  <c r="N2664" i="12"/>
  <c r="N2665" i="12"/>
  <c r="N2666" i="12"/>
  <c r="N2667" i="12"/>
  <c r="N2668" i="12"/>
  <c r="N2669" i="12"/>
  <c r="N2670" i="12"/>
  <c r="N2671" i="12"/>
  <c r="N2672" i="12"/>
  <c r="N2673" i="12"/>
  <c r="N2674" i="12"/>
  <c r="N2675" i="12"/>
  <c r="N2676" i="12"/>
  <c r="N2677" i="12"/>
  <c r="N2678" i="12"/>
  <c r="N2679" i="12"/>
  <c r="N2680" i="12"/>
  <c r="N2681" i="12"/>
  <c r="N2682" i="12"/>
  <c r="N2683" i="12"/>
  <c r="N2684" i="12"/>
  <c r="N2685" i="12"/>
  <c r="N2686" i="12"/>
  <c r="N2687" i="12"/>
  <c r="N2688" i="12"/>
  <c r="N2689" i="12"/>
  <c r="N2690" i="12"/>
  <c r="N2691" i="12"/>
  <c r="N2692" i="12"/>
  <c r="N2693" i="12"/>
  <c r="N2694" i="12"/>
  <c r="N2695" i="12"/>
  <c r="N2696" i="12"/>
  <c r="N2697" i="12"/>
  <c r="N2698" i="12"/>
  <c r="N2699" i="12"/>
  <c r="N2700" i="12"/>
  <c r="N2701" i="12"/>
  <c r="N2702" i="12"/>
  <c r="N2703" i="12"/>
  <c r="N2704" i="12"/>
  <c r="N2705" i="12"/>
  <c r="N2706" i="12"/>
  <c r="N2707" i="12"/>
  <c r="N2708" i="12"/>
  <c r="N2709" i="12"/>
  <c r="N2710" i="12"/>
  <c r="N2711" i="12"/>
  <c r="N2712" i="12"/>
  <c r="N2713" i="12"/>
  <c r="N2714" i="12"/>
  <c r="N2715" i="12"/>
  <c r="N2716" i="12"/>
  <c r="N2717" i="12"/>
  <c r="N2718" i="12"/>
  <c r="N2719" i="12"/>
  <c r="N2720" i="12"/>
  <c r="N2721" i="12"/>
  <c r="N2722" i="12"/>
  <c r="N2723" i="12"/>
  <c r="N2724" i="12"/>
  <c r="N2725" i="12"/>
  <c r="N2726" i="12"/>
  <c r="N2727" i="12"/>
  <c r="N2728" i="12"/>
  <c r="N2729" i="12"/>
  <c r="N2730" i="12"/>
  <c r="N2731" i="12"/>
  <c r="N2732" i="12"/>
  <c r="N2733" i="12"/>
  <c r="N2734" i="12"/>
  <c r="N2735" i="12"/>
  <c r="N2736" i="12"/>
  <c r="N2737" i="12"/>
  <c r="N2738" i="12"/>
  <c r="N2739" i="12"/>
  <c r="N2740" i="12"/>
  <c r="N2741" i="12"/>
  <c r="N2742" i="12"/>
  <c r="N2743" i="12"/>
  <c r="N2744" i="12"/>
  <c r="N2745" i="12"/>
  <c r="N2746" i="12"/>
  <c r="N2747" i="12"/>
  <c r="N2748" i="12"/>
  <c r="N2749" i="12"/>
  <c r="N2750" i="12"/>
  <c r="N2751" i="12"/>
  <c r="N2752" i="12"/>
  <c r="N2753" i="12"/>
  <c r="N2754" i="12"/>
  <c r="N2755" i="12"/>
  <c r="N2756" i="12"/>
  <c r="N2757" i="12"/>
  <c r="N2758" i="12"/>
  <c r="N2759" i="12"/>
  <c r="N2760" i="12"/>
  <c r="N2761" i="12"/>
  <c r="N2762" i="12"/>
  <c r="N2763" i="12"/>
  <c r="N2764" i="12"/>
  <c r="N2765" i="12"/>
  <c r="N2766" i="12"/>
  <c r="N2767" i="12"/>
  <c r="N2768" i="12"/>
  <c r="N2769" i="12"/>
  <c r="N2770" i="12"/>
  <c r="N2771" i="12"/>
  <c r="N2772" i="12"/>
  <c r="N2773" i="12"/>
  <c r="N2774" i="12"/>
  <c r="N2775" i="12"/>
  <c r="N2776" i="12"/>
  <c r="N2777" i="12"/>
  <c r="N2778" i="12"/>
  <c r="N2779" i="12"/>
  <c r="N2780" i="12"/>
  <c r="N2781" i="12"/>
  <c r="N2782" i="12"/>
  <c r="N2783" i="12"/>
  <c r="N2784" i="12"/>
  <c r="N2785" i="12"/>
  <c r="N2786" i="12"/>
  <c r="N2787" i="12"/>
  <c r="N2788" i="12"/>
  <c r="N2789" i="12"/>
  <c r="N2790" i="12"/>
  <c r="N2791" i="12"/>
  <c r="N2792" i="12"/>
  <c r="N2793" i="12"/>
  <c r="N2794" i="12"/>
  <c r="N2795" i="12"/>
  <c r="N2796" i="12"/>
  <c r="N2797" i="12"/>
  <c r="N2798" i="12"/>
  <c r="N2799" i="12"/>
  <c r="N2800" i="12"/>
  <c r="N2801" i="12"/>
  <c r="N2802" i="12"/>
  <c r="N2803" i="12"/>
  <c r="N2804" i="12"/>
  <c r="N2805" i="12"/>
  <c r="N2806" i="12"/>
  <c r="N2807" i="12"/>
  <c r="N2808" i="12"/>
  <c r="N2809" i="12"/>
  <c r="N2810" i="12"/>
  <c r="N2811" i="12"/>
  <c r="N2812" i="12"/>
  <c r="N2813" i="12"/>
  <c r="N2814" i="12"/>
  <c r="N2815" i="12"/>
  <c r="N2816" i="12"/>
  <c r="N2817" i="12"/>
  <c r="N2818" i="12"/>
  <c r="N2819" i="12"/>
  <c r="N2820" i="12"/>
  <c r="N2821" i="12"/>
  <c r="N2822" i="12"/>
  <c r="N2823" i="12"/>
  <c r="N2824" i="12"/>
  <c r="N2825" i="12"/>
  <c r="N2826" i="12"/>
  <c r="N2827" i="12"/>
  <c r="N2828" i="12"/>
  <c r="N2829" i="12"/>
  <c r="N2830" i="12"/>
  <c r="N2831" i="12"/>
  <c r="N2832" i="12"/>
  <c r="N2833" i="12"/>
  <c r="N2834" i="12"/>
  <c r="N2835" i="12"/>
  <c r="N2836" i="12"/>
  <c r="N2837" i="12"/>
  <c r="N2838" i="12"/>
  <c r="N2839" i="12"/>
  <c r="N2840" i="12"/>
  <c r="N2841" i="12"/>
  <c r="N2842" i="12"/>
  <c r="N2843" i="12"/>
  <c r="N2844" i="12"/>
  <c r="N2845" i="12"/>
  <c r="N2846" i="12"/>
  <c r="N2847" i="12"/>
  <c r="N2848" i="12"/>
  <c r="N2849" i="12"/>
  <c r="N2850" i="12"/>
  <c r="N2851" i="12"/>
  <c r="N2852" i="12"/>
  <c r="N2853" i="12"/>
  <c r="N2854" i="12"/>
  <c r="N2855" i="12"/>
  <c r="N2856" i="12"/>
  <c r="N2857" i="12"/>
  <c r="N2858" i="12"/>
  <c r="N2859" i="12"/>
  <c r="N2860" i="12"/>
  <c r="N2861" i="12"/>
  <c r="N2862" i="12"/>
  <c r="N2863" i="12"/>
  <c r="N2864" i="12"/>
  <c r="N2865" i="12"/>
  <c r="N2866" i="12"/>
  <c r="N2867" i="12"/>
  <c r="N2868" i="12"/>
  <c r="N2869" i="12"/>
  <c r="N2870" i="12"/>
  <c r="N2871" i="12"/>
  <c r="N2872" i="12"/>
  <c r="N2873" i="12"/>
  <c r="N2874" i="12"/>
  <c r="N2875" i="12"/>
  <c r="N2876" i="12"/>
  <c r="N2877" i="12"/>
  <c r="N2878" i="12"/>
  <c r="N2879" i="12"/>
  <c r="N2880" i="12"/>
  <c r="N2881" i="12"/>
  <c r="N2882" i="12"/>
  <c r="N2883" i="12"/>
  <c r="N2884" i="12"/>
  <c r="N2885" i="12"/>
  <c r="N2886" i="12"/>
  <c r="N2887" i="12"/>
  <c r="N2888" i="12"/>
  <c r="N2889" i="12"/>
  <c r="N2890" i="12"/>
  <c r="N2891" i="12"/>
  <c r="N2892" i="12"/>
  <c r="N2893" i="12"/>
  <c r="N2894" i="12"/>
  <c r="N2895" i="12"/>
  <c r="N2896" i="12"/>
  <c r="N2897" i="12"/>
  <c r="N2898" i="12"/>
  <c r="N2899" i="12"/>
  <c r="N2900" i="12"/>
  <c r="N2901" i="12"/>
  <c r="N2902" i="12"/>
  <c r="N2903" i="12"/>
  <c r="N2904" i="12"/>
  <c r="N2905" i="12"/>
  <c r="N2906" i="12"/>
  <c r="N2907" i="12"/>
  <c r="N2908" i="12"/>
  <c r="N2909" i="12"/>
  <c r="N2910" i="12"/>
  <c r="N2911" i="12"/>
  <c r="N2912" i="12"/>
  <c r="N2913" i="12"/>
  <c r="N2914" i="12"/>
  <c r="N2915" i="12"/>
  <c r="N2916" i="12"/>
  <c r="N2917" i="12"/>
  <c r="N2918" i="12"/>
  <c r="N2919" i="12"/>
  <c r="N2920" i="12"/>
  <c r="N2921" i="12"/>
  <c r="N2922" i="12"/>
  <c r="N2923" i="12"/>
  <c r="N2924" i="12"/>
  <c r="N2925" i="12"/>
  <c r="N2926" i="12"/>
  <c r="N2927" i="12"/>
  <c r="N2928" i="12"/>
  <c r="N2929" i="12"/>
  <c r="N2930" i="12"/>
  <c r="N2931" i="12"/>
  <c r="N2932" i="12"/>
  <c r="N2933" i="12"/>
  <c r="N2934" i="12"/>
  <c r="N2935" i="12"/>
  <c r="N2936" i="12"/>
  <c r="N2937" i="12"/>
  <c r="N2938" i="12"/>
  <c r="N2939" i="12"/>
  <c r="N2940" i="12"/>
  <c r="N2941" i="12"/>
  <c r="N2942" i="12"/>
  <c r="N2943" i="12"/>
  <c r="N2944" i="12"/>
  <c r="N2945" i="12"/>
  <c r="N2946" i="12"/>
  <c r="N2947" i="12"/>
  <c r="N2948" i="12"/>
  <c r="N2949" i="12"/>
  <c r="N2950" i="12"/>
  <c r="N2951" i="12"/>
  <c r="N2952" i="12"/>
  <c r="N2953" i="12"/>
  <c r="N2954" i="12"/>
  <c r="N2955" i="12"/>
  <c r="N2956" i="12"/>
  <c r="N2957" i="12"/>
  <c r="N2958" i="12"/>
  <c r="N2959" i="12"/>
  <c r="N2960" i="12"/>
  <c r="N2961" i="12"/>
  <c r="N2962" i="12"/>
  <c r="N2963" i="12"/>
  <c r="N2964" i="12"/>
  <c r="N2965" i="12"/>
  <c r="N2966" i="12"/>
  <c r="N2967" i="12"/>
  <c r="N2968" i="12"/>
  <c r="N2969" i="12"/>
  <c r="N2970" i="12"/>
  <c r="N2971" i="12"/>
  <c r="N2972" i="12"/>
  <c r="N2973" i="12"/>
  <c r="N2974" i="12"/>
  <c r="N2975" i="12"/>
  <c r="N2976" i="12"/>
  <c r="N2977" i="12"/>
  <c r="N2978" i="12"/>
  <c r="N2979" i="12"/>
  <c r="N2980" i="12"/>
  <c r="N2981" i="12"/>
  <c r="N2982" i="12"/>
  <c r="N2983" i="12"/>
  <c r="N2984" i="12"/>
  <c r="N2985" i="12"/>
  <c r="N2986" i="12"/>
  <c r="N2987" i="12"/>
  <c r="N2988" i="12"/>
  <c r="N2989" i="12"/>
  <c r="N2990" i="12"/>
  <c r="N2991" i="12"/>
  <c r="N2992" i="12"/>
  <c r="N2993" i="12"/>
  <c r="N2994" i="12"/>
  <c r="N2995" i="12"/>
  <c r="N2996" i="12"/>
  <c r="N2997" i="12"/>
  <c r="N2998" i="12"/>
  <c r="N2999" i="12"/>
  <c r="N3000" i="12"/>
  <c r="N3001" i="12"/>
  <c r="N3002" i="12"/>
  <c r="N3003" i="12"/>
  <c r="N3004" i="12"/>
  <c r="N3005" i="12"/>
  <c r="N3006" i="12"/>
  <c r="N3007" i="12"/>
  <c r="N3008" i="12"/>
  <c r="N3009" i="12"/>
  <c r="N3010" i="12"/>
  <c r="N3011" i="12"/>
  <c r="N3012" i="12"/>
  <c r="N3013" i="12"/>
  <c r="N3014" i="12"/>
  <c r="N3015" i="12"/>
  <c r="N3016" i="12"/>
  <c r="N3017" i="12"/>
  <c r="N3018" i="12"/>
  <c r="N3019" i="12"/>
  <c r="N3020" i="12"/>
  <c r="N3021" i="12"/>
  <c r="N3022" i="12"/>
  <c r="N3023" i="12"/>
  <c r="N3024" i="12"/>
  <c r="N3025" i="12"/>
  <c r="N3026" i="12"/>
  <c r="N3027" i="12"/>
  <c r="N3028" i="12"/>
  <c r="N3029" i="12"/>
  <c r="N3030" i="12"/>
  <c r="N3031" i="12"/>
  <c r="N3032" i="12"/>
  <c r="N3033" i="12"/>
  <c r="N3034" i="12"/>
  <c r="N3035" i="12"/>
  <c r="N3036" i="12"/>
  <c r="N3037" i="12"/>
  <c r="N3038" i="12"/>
  <c r="N3039" i="12"/>
  <c r="N3040" i="12"/>
  <c r="N3041" i="12"/>
  <c r="N3042" i="12"/>
  <c r="N3043" i="12"/>
  <c r="N3044" i="12"/>
  <c r="N3045" i="12"/>
  <c r="N3046" i="12"/>
  <c r="N3047" i="12"/>
  <c r="N3048" i="12"/>
  <c r="N3049" i="12"/>
  <c r="N3050" i="12"/>
  <c r="N3051" i="12"/>
  <c r="N3052" i="12"/>
  <c r="N3053" i="12"/>
  <c r="N3054" i="12"/>
  <c r="N3055" i="12"/>
  <c r="N3056" i="12"/>
  <c r="N3057" i="12"/>
  <c r="N3058" i="12"/>
  <c r="N3059" i="12"/>
  <c r="N3060" i="12"/>
  <c r="N3061" i="12"/>
  <c r="N3062" i="12"/>
  <c r="N3063" i="12"/>
  <c r="N3064" i="12"/>
  <c r="N3065" i="12"/>
  <c r="N3066" i="12"/>
  <c r="N3067" i="12"/>
  <c r="N3068" i="12"/>
  <c r="N3069" i="12"/>
  <c r="N3070" i="12"/>
  <c r="N3071" i="12"/>
  <c r="N3072" i="12"/>
  <c r="N3073" i="12"/>
  <c r="N3074" i="12"/>
  <c r="N3075" i="12"/>
  <c r="N3076" i="12"/>
  <c r="N3077" i="12"/>
  <c r="N3078" i="12"/>
  <c r="N3079" i="12"/>
  <c r="N3080" i="12"/>
  <c r="N3081" i="12"/>
  <c r="N3082" i="12"/>
  <c r="N3083" i="12"/>
  <c r="N3084" i="12"/>
  <c r="N3085" i="12"/>
  <c r="N3086" i="12"/>
  <c r="N3087" i="12"/>
  <c r="N3088" i="12"/>
  <c r="N3089" i="12"/>
  <c r="N3090" i="12"/>
  <c r="N3091" i="12"/>
  <c r="N3092" i="12"/>
  <c r="N3093" i="12"/>
  <c r="N3094" i="12"/>
  <c r="N3095" i="12"/>
  <c r="N3096" i="12"/>
  <c r="N3097" i="12"/>
  <c r="N3098" i="12"/>
  <c r="N3099" i="12"/>
  <c r="N3100" i="12"/>
  <c r="N3101" i="12"/>
  <c r="N3102" i="12"/>
  <c r="N3103" i="12"/>
  <c r="N3104" i="12"/>
  <c r="N3105" i="12"/>
  <c r="N3106" i="12"/>
  <c r="N3107" i="12"/>
  <c r="N3108" i="12"/>
  <c r="N3109" i="12"/>
  <c r="N3110" i="12"/>
  <c r="N3111" i="12"/>
  <c r="N3112" i="12"/>
  <c r="N3113" i="12"/>
  <c r="N3114" i="12"/>
  <c r="N3115" i="12"/>
  <c r="N3116" i="12"/>
  <c r="N3117" i="12"/>
  <c r="N3118" i="12"/>
  <c r="N3119" i="12"/>
  <c r="N3120" i="12"/>
  <c r="N3121" i="12"/>
  <c r="N3122" i="12"/>
  <c r="N3123" i="12"/>
  <c r="N3124" i="12"/>
  <c r="N3125" i="12"/>
  <c r="N3126" i="12"/>
  <c r="N3127" i="12"/>
  <c r="N3128" i="12"/>
  <c r="N3129" i="12"/>
  <c r="N3130" i="12"/>
  <c r="N3131" i="12"/>
  <c r="N3132" i="12"/>
  <c r="N3133" i="12"/>
  <c r="N3134" i="12"/>
  <c r="N3135" i="12"/>
  <c r="N3136" i="12"/>
  <c r="N3137" i="12"/>
  <c r="N3138" i="12"/>
  <c r="N3139" i="12"/>
  <c r="N3140" i="12"/>
  <c r="N3141" i="12"/>
  <c r="N3142" i="12"/>
  <c r="N3143" i="12"/>
  <c r="N3144" i="12"/>
  <c r="N3145" i="12"/>
  <c r="N3146" i="12"/>
  <c r="N3147" i="12"/>
  <c r="N3148" i="12"/>
  <c r="N3149" i="12"/>
  <c r="N3150" i="12"/>
  <c r="N3151" i="12"/>
  <c r="N3152" i="12"/>
  <c r="N3153" i="12"/>
  <c r="N3154" i="12"/>
  <c r="N3155" i="12"/>
  <c r="N3156" i="12"/>
  <c r="N3157" i="12"/>
  <c r="N3158" i="12"/>
  <c r="N3159" i="12"/>
  <c r="N3160" i="12"/>
  <c r="N3161" i="12"/>
  <c r="N3162" i="12"/>
  <c r="N3163" i="12"/>
  <c r="N3164" i="12"/>
  <c r="N3165" i="12"/>
  <c r="N3166" i="12"/>
  <c r="N3167" i="12"/>
  <c r="N3168" i="12"/>
  <c r="N3169" i="12"/>
  <c r="N3170" i="12"/>
  <c r="N3171" i="12"/>
  <c r="N3172" i="12"/>
  <c r="N3173" i="12"/>
  <c r="N3174" i="12"/>
  <c r="N3175" i="12"/>
  <c r="N3176" i="12"/>
  <c r="N3177" i="12"/>
  <c r="N3178" i="12"/>
  <c r="N3179" i="12"/>
  <c r="N3180" i="12"/>
  <c r="N3181" i="12"/>
  <c r="N3182" i="12"/>
  <c r="N3183" i="12"/>
  <c r="N3184" i="12"/>
  <c r="N3185" i="12"/>
  <c r="N3186" i="12"/>
  <c r="N3187" i="12"/>
  <c r="N3188" i="12"/>
  <c r="N3189" i="12"/>
  <c r="N3190" i="12"/>
  <c r="N3191" i="12"/>
  <c r="N3192" i="12"/>
  <c r="N3193" i="12"/>
  <c r="N3194" i="12"/>
  <c r="N3195" i="12"/>
  <c r="N3196" i="12"/>
  <c r="N3197" i="12"/>
  <c r="N3198" i="12"/>
  <c r="N3199" i="12"/>
  <c r="N3200" i="12"/>
  <c r="N3201" i="12"/>
  <c r="N3202" i="12"/>
  <c r="N3203" i="12"/>
  <c r="N3204" i="12"/>
  <c r="N3205" i="12"/>
  <c r="N3206" i="12"/>
  <c r="N3207" i="12"/>
  <c r="N3208" i="12"/>
  <c r="N3209" i="12"/>
  <c r="N3210" i="12"/>
  <c r="N3211" i="12"/>
  <c r="N3212" i="12"/>
  <c r="N3213" i="12"/>
  <c r="N3214" i="12"/>
  <c r="N3215" i="12"/>
  <c r="N3216" i="12"/>
  <c r="N3217" i="12"/>
  <c r="N3218" i="12"/>
  <c r="N3219" i="12"/>
  <c r="N3220" i="12"/>
  <c r="N3221" i="12"/>
  <c r="N3222" i="12"/>
  <c r="N3223" i="12"/>
  <c r="N3224" i="12"/>
  <c r="N3225" i="12"/>
  <c r="N3226" i="12"/>
  <c r="N3227" i="12"/>
  <c r="N3228" i="12"/>
  <c r="N3229" i="12"/>
  <c r="N3230" i="12"/>
  <c r="N3231" i="12"/>
  <c r="N3232" i="12"/>
  <c r="N3233" i="12"/>
  <c r="N3234" i="12"/>
  <c r="N3235" i="12"/>
  <c r="N3236" i="12"/>
  <c r="N3237" i="12"/>
  <c r="N3238" i="12"/>
  <c r="N3239" i="12"/>
  <c r="N3240" i="12"/>
  <c r="N3241" i="12"/>
  <c r="N3242" i="12"/>
  <c r="N3243" i="12"/>
  <c r="N3244" i="12"/>
  <c r="N3245" i="12"/>
  <c r="N3246" i="12"/>
  <c r="N3247" i="12"/>
  <c r="N3248" i="12"/>
  <c r="N3249" i="12"/>
  <c r="N3250" i="12"/>
  <c r="N3251" i="12"/>
  <c r="N3252" i="12"/>
  <c r="N3253" i="12"/>
  <c r="N3254" i="12"/>
  <c r="N3255" i="12"/>
  <c r="N3256" i="12"/>
  <c r="N3257" i="12"/>
  <c r="N3258" i="12"/>
  <c r="N3259" i="12"/>
  <c r="N3260" i="12"/>
  <c r="N3261" i="12"/>
  <c r="N3262" i="12"/>
  <c r="N3263" i="12"/>
  <c r="N3264" i="12"/>
  <c r="N3265" i="12"/>
  <c r="N3266" i="12"/>
  <c r="N3267" i="12"/>
  <c r="N3268" i="12"/>
  <c r="N3269" i="12"/>
  <c r="N3270" i="12"/>
  <c r="N3271" i="12"/>
  <c r="N3272" i="12"/>
  <c r="N3273" i="12"/>
  <c r="N3274" i="12"/>
  <c r="N3275" i="12"/>
  <c r="N3276" i="12"/>
  <c r="N3277" i="12"/>
  <c r="N3278" i="12"/>
  <c r="N3279" i="12"/>
  <c r="N3280" i="12"/>
  <c r="N3281" i="12"/>
  <c r="N3282" i="12"/>
  <c r="N3283" i="12"/>
  <c r="N3284" i="12"/>
  <c r="N3285" i="12"/>
  <c r="N3286" i="12"/>
  <c r="N3287" i="12"/>
  <c r="N3288" i="12"/>
  <c r="N3289" i="12"/>
  <c r="N3290" i="12"/>
  <c r="N3291" i="12"/>
  <c r="N3292" i="12"/>
  <c r="N3293" i="12"/>
  <c r="N3294" i="12"/>
  <c r="N3295" i="12"/>
  <c r="N3296" i="12"/>
  <c r="N3297" i="12"/>
  <c r="N3298" i="12"/>
  <c r="N3299" i="12"/>
  <c r="N3300" i="12"/>
  <c r="N3301" i="12"/>
  <c r="N3302" i="12"/>
  <c r="N3303" i="12"/>
  <c r="N3304" i="12"/>
  <c r="N3305" i="12"/>
  <c r="N3306" i="12"/>
  <c r="N3307" i="12"/>
  <c r="N3308" i="12"/>
  <c r="N3309" i="12"/>
  <c r="N3310" i="12"/>
  <c r="N3311" i="12"/>
  <c r="N3312" i="12"/>
  <c r="N3313" i="12"/>
  <c r="N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2" i="12"/>
  <c r="AA283" i="12"/>
  <c r="AA284" i="12"/>
  <c r="AA285" i="12"/>
  <c r="AA286" i="12"/>
  <c r="AA287" i="12"/>
  <c r="AA288" i="12"/>
  <c r="AA289" i="12"/>
  <c r="AA290" i="12"/>
  <c r="AA291" i="12"/>
  <c r="AA292" i="12"/>
  <c r="AA293" i="12"/>
  <c r="AA294" i="12"/>
  <c r="AA295" i="12"/>
  <c r="AA296" i="12"/>
  <c r="AA297" i="12"/>
  <c r="AA298" i="12"/>
  <c r="AA299" i="12"/>
  <c r="AA300" i="12"/>
  <c r="AA301" i="12"/>
  <c r="AA302" i="12"/>
  <c r="AA303" i="12"/>
  <c r="AA304" i="12"/>
  <c r="AA305" i="12"/>
  <c r="AA306" i="12"/>
  <c r="AA307" i="12"/>
  <c r="AA308" i="12"/>
  <c r="AA309" i="12"/>
  <c r="AA310" i="12"/>
  <c r="AA311" i="12"/>
  <c r="AA312" i="12"/>
  <c r="AA313" i="12"/>
  <c r="AA314" i="12"/>
  <c r="AA315" i="12"/>
  <c r="AA316" i="12"/>
  <c r="AA317" i="12"/>
  <c r="AA318" i="12"/>
  <c r="AA319" i="12"/>
  <c r="AA320" i="12"/>
  <c r="AA321" i="12"/>
  <c r="AA322" i="12"/>
  <c r="AA323" i="12"/>
  <c r="AA324" i="12"/>
  <c r="AA325" i="12"/>
  <c r="AA326" i="12"/>
  <c r="AA327" i="12"/>
  <c r="AA328" i="12"/>
  <c r="AA329" i="12"/>
  <c r="AA330" i="12"/>
  <c r="AA331" i="12"/>
  <c r="AA332" i="12"/>
  <c r="AA333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AA467" i="12"/>
  <c r="AA468" i="12"/>
  <c r="AA469" i="12"/>
  <c r="AA470" i="12"/>
  <c r="AA471" i="12"/>
  <c r="AA472" i="12"/>
  <c r="AA473" i="12"/>
  <c r="AA474" i="12"/>
  <c r="AA475" i="12"/>
  <c r="AA476" i="12"/>
  <c r="AA477" i="12"/>
  <c r="AA478" i="12"/>
  <c r="AA479" i="12"/>
  <c r="AA480" i="12"/>
  <c r="AA481" i="12"/>
  <c r="AA482" i="12"/>
  <c r="AA483" i="12"/>
  <c r="AA484" i="12"/>
  <c r="AA485" i="12"/>
  <c r="AA486" i="12"/>
  <c r="AA487" i="12"/>
  <c r="AA488" i="12"/>
  <c r="AA489" i="12"/>
  <c r="AA490" i="12"/>
  <c r="AA491" i="12"/>
  <c r="AA492" i="12"/>
  <c r="AA493" i="12"/>
  <c r="AA494" i="12"/>
  <c r="AA495" i="12"/>
  <c r="AA496" i="12"/>
  <c r="AA497" i="12"/>
  <c r="AA498" i="12"/>
  <c r="AA499" i="12"/>
  <c r="AA500" i="12"/>
  <c r="AA501" i="12"/>
  <c r="AA502" i="12"/>
  <c r="AA503" i="12"/>
  <c r="AA504" i="12"/>
  <c r="AA505" i="12"/>
  <c r="AA506" i="12"/>
  <c r="AA507" i="12"/>
  <c r="AA508" i="12"/>
  <c r="AA509" i="12"/>
  <c r="AA510" i="12"/>
  <c r="AA511" i="12"/>
  <c r="AA512" i="12"/>
  <c r="AA513" i="12"/>
  <c r="AA514" i="12"/>
  <c r="AA515" i="12"/>
  <c r="AA516" i="12"/>
  <c r="AA517" i="12"/>
  <c r="AA518" i="12"/>
  <c r="AA519" i="12"/>
  <c r="AA520" i="12"/>
  <c r="AA521" i="12"/>
  <c r="AA522" i="12"/>
  <c r="AA523" i="12"/>
  <c r="AA524" i="12"/>
  <c r="AA525" i="12"/>
  <c r="AA526" i="12"/>
  <c r="AA527" i="12"/>
  <c r="AA528" i="12"/>
  <c r="AA529" i="12"/>
  <c r="AA530" i="12"/>
  <c r="AA531" i="12"/>
  <c r="AA532" i="12"/>
  <c r="AA533" i="12"/>
  <c r="AA534" i="12"/>
  <c r="AA535" i="12"/>
  <c r="AA536" i="12"/>
  <c r="AA537" i="12"/>
  <c r="AA538" i="12"/>
  <c r="AA539" i="12"/>
  <c r="AA540" i="12"/>
  <c r="AA541" i="12"/>
  <c r="AA542" i="12"/>
  <c r="AA543" i="12"/>
  <c r="AA544" i="12"/>
  <c r="AA545" i="12"/>
  <c r="AA546" i="12"/>
  <c r="AA547" i="12"/>
  <c r="AA548" i="12"/>
  <c r="AA549" i="12"/>
  <c r="AA550" i="12"/>
  <c r="AA551" i="12"/>
  <c r="AA552" i="12"/>
  <c r="AA553" i="12"/>
  <c r="AA554" i="12"/>
  <c r="AA555" i="12"/>
  <c r="AA556" i="12"/>
  <c r="AA557" i="12"/>
  <c r="AA558" i="12"/>
  <c r="AA559" i="12"/>
  <c r="AA560" i="12"/>
  <c r="AA561" i="12"/>
  <c r="AA562" i="12"/>
  <c r="AA563" i="12"/>
  <c r="AA564" i="12"/>
  <c r="AA565" i="12"/>
  <c r="AA566" i="12"/>
  <c r="AA567" i="12"/>
  <c r="AA568" i="12"/>
  <c r="AA569" i="12"/>
  <c r="AA570" i="12"/>
  <c r="AA571" i="12"/>
  <c r="AA572" i="12"/>
  <c r="AA573" i="12"/>
  <c r="AA574" i="12"/>
  <c r="AA575" i="12"/>
  <c r="AA576" i="12"/>
  <c r="AA577" i="12"/>
  <c r="AA578" i="12"/>
  <c r="AA579" i="12"/>
  <c r="AA580" i="12"/>
  <c r="AA581" i="12"/>
  <c r="AA582" i="12"/>
  <c r="AA583" i="12"/>
  <c r="AA584" i="12"/>
  <c r="AA585" i="12"/>
  <c r="AA586" i="12"/>
  <c r="AA587" i="12"/>
  <c r="AA588" i="12"/>
  <c r="AA589" i="12"/>
  <c r="AA590" i="12"/>
  <c r="AA591" i="12"/>
  <c r="AA592" i="12"/>
  <c r="AA593" i="12"/>
  <c r="AA594" i="12"/>
  <c r="AA595" i="12"/>
  <c r="AA596" i="12"/>
  <c r="AA597" i="12"/>
  <c r="AA598" i="12"/>
  <c r="AA599" i="12"/>
  <c r="AA600" i="12"/>
  <c r="AA601" i="12"/>
  <c r="AA602" i="12"/>
  <c r="AA603" i="12"/>
  <c r="AA604" i="12"/>
  <c r="AA605" i="12"/>
  <c r="AA606" i="12"/>
  <c r="AA607" i="12"/>
  <c r="AA608" i="12"/>
  <c r="AA609" i="12"/>
  <c r="AA610" i="12"/>
  <c r="AA611" i="12"/>
  <c r="AA612" i="12"/>
  <c r="AA613" i="12"/>
  <c r="AA614" i="12"/>
  <c r="AA615" i="12"/>
  <c r="AA616" i="12"/>
  <c r="AA617" i="12"/>
  <c r="AA618" i="12"/>
  <c r="AA619" i="12"/>
  <c r="AA620" i="12"/>
  <c r="AA621" i="12"/>
  <c r="AA622" i="12"/>
  <c r="AA623" i="12"/>
  <c r="AA624" i="12"/>
  <c r="AA625" i="12"/>
  <c r="AA626" i="12"/>
  <c r="AA627" i="12"/>
  <c r="AA628" i="12"/>
  <c r="AA629" i="12"/>
  <c r="AA630" i="12"/>
  <c r="AA631" i="12"/>
  <c r="AA632" i="12"/>
  <c r="AA633" i="12"/>
  <c r="AA634" i="12"/>
  <c r="AA635" i="12"/>
  <c r="AA636" i="12"/>
  <c r="AA637" i="12"/>
  <c r="AA638" i="12"/>
  <c r="AA639" i="12"/>
  <c r="AA640" i="12"/>
  <c r="AA641" i="12"/>
  <c r="AA642" i="12"/>
  <c r="AA643" i="12"/>
  <c r="AA644" i="12"/>
  <c r="AA645" i="12"/>
  <c r="AA646" i="12"/>
  <c r="AA647" i="12"/>
  <c r="AA648" i="12"/>
  <c r="AA649" i="12"/>
  <c r="AA650" i="12"/>
  <c r="AA651" i="12"/>
  <c r="AA652" i="12"/>
  <c r="AA653" i="12"/>
  <c r="AA654" i="12"/>
  <c r="AA655" i="12"/>
  <c r="AA656" i="12"/>
  <c r="AA657" i="12"/>
  <c r="AA658" i="12"/>
  <c r="AA659" i="12"/>
  <c r="AA660" i="12"/>
  <c r="AA661" i="12"/>
  <c r="AA662" i="12"/>
  <c r="AA663" i="12"/>
  <c r="AA664" i="12"/>
  <c r="AA665" i="12"/>
  <c r="AA666" i="12"/>
  <c r="AA667" i="12"/>
  <c r="AA668" i="12"/>
  <c r="AA669" i="12"/>
  <c r="AA670" i="12"/>
  <c r="AA671" i="12"/>
  <c r="AA672" i="12"/>
  <c r="AA673" i="12"/>
  <c r="AA674" i="12"/>
  <c r="AA675" i="12"/>
  <c r="AA676" i="12"/>
  <c r="AA677" i="12"/>
  <c r="AA678" i="12"/>
  <c r="AA679" i="12"/>
  <c r="AA680" i="12"/>
  <c r="AA681" i="12"/>
  <c r="AA682" i="12"/>
  <c r="AA683" i="12"/>
  <c r="AA684" i="12"/>
  <c r="AA685" i="12"/>
  <c r="AA686" i="12"/>
  <c r="AA687" i="12"/>
  <c r="AA688" i="12"/>
  <c r="AA689" i="12"/>
  <c r="AA690" i="12"/>
  <c r="AA691" i="12"/>
  <c r="AA692" i="12"/>
  <c r="AA693" i="12"/>
  <c r="AA694" i="12"/>
  <c r="AA695" i="12"/>
  <c r="AA696" i="12"/>
  <c r="AA697" i="12"/>
  <c r="AA698" i="12"/>
  <c r="AA699" i="12"/>
  <c r="AA700" i="12"/>
  <c r="AA701" i="12"/>
  <c r="AA702" i="12"/>
  <c r="AA703" i="12"/>
  <c r="AA704" i="12"/>
  <c r="AA705" i="12"/>
  <c r="AA706" i="12"/>
  <c r="AA707" i="12"/>
  <c r="AA708" i="12"/>
  <c r="AA709" i="12"/>
  <c r="AA710" i="12"/>
  <c r="AA711" i="12"/>
  <c r="AA712" i="12"/>
  <c r="AA713" i="12"/>
  <c r="AA714" i="12"/>
  <c r="AA715" i="12"/>
  <c r="AA716" i="12"/>
  <c r="AA717" i="12"/>
  <c r="AA718" i="12"/>
  <c r="AA719" i="12"/>
  <c r="AA720" i="12"/>
  <c r="AA721" i="12"/>
  <c r="AA722" i="12"/>
  <c r="AA723" i="12"/>
  <c r="AA724" i="12"/>
  <c r="AA725" i="12"/>
  <c r="AA726" i="12"/>
  <c r="AA727" i="12"/>
  <c r="AA728" i="12"/>
  <c r="AA729" i="12"/>
  <c r="AA730" i="12"/>
  <c r="AA731" i="12"/>
  <c r="AA732" i="12"/>
  <c r="AA733" i="12"/>
  <c r="AA734" i="12"/>
  <c r="AA735" i="12"/>
  <c r="AA736" i="12"/>
  <c r="AA737" i="12"/>
  <c r="AA738" i="12"/>
  <c r="AA739" i="12"/>
  <c r="AA740" i="12"/>
  <c r="AA741" i="12"/>
  <c r="AA742" i="12"/>
  <c r="AA743" i="12"/>
  <c r="AA744" i="12"/>
  <c r="AA745" i="12"/>
  <c r="AA746" i="12"/>
  <c r="AA747" i="12"/>
  <c r="AA748" i="12"/>
  <c r="AA749" i="12"/>
  <c r="AA750" i="12"/>
  <c r="AA751" i="12"/>
  <c r="AA752" i="12"/>
  <c r="AA753" i="12"/>
  <c r="AA754" i="12"/>
  <c r="AA755" i="12"/>
  <c r="AA756" i="12"/>
  <c r="AA757" i="12"/>
  <c r="AA758" i="12"/>
  <c r="AA759" i="12"/>
  <c r="AA760" i="12"/>
  <c r="AA761" i="12"/>
  <c r="AA762" i="12"/>
  <c r="AA763" i="12"/>
  <c r="AA764" i="12"/>
  <c r="AA765" i="12"/>
  <c r="AA766" i="12"/>
  <c r="AA767" i="12"/>
  <c r="AA768" i="12"/>
  <c r="AA769" i="12"/>
  <c r="AA770" i="12"/>
  <c r="AA771" i="12"/>
  <c r="AA772" i="12"/>
  <c r="AA773" i="12"/>
  <c r="AA774" i="12"/>
  <c r="AA775" i="12"/>
  <c r="AA776" i="12"/>
  <c r="AA777" i="12"/>
  <c r="AA778" i="12"/>
  <c r="AA779" i="12"/>
  <c r="AA780" i="12"/>
  <c r="AA781" i="12"/>
  <c r="AA782" i="12"/>
  <c r="AA783" i="12"/>
  <c r="AA784" i="12"/>
  <c r="AA785" i="12"/>
  <c r="AA786" i="12"/>
  <c r="AA787" i="12"/>
  <c r="AA788" i="12"/>
  <c r="AA789" i="12"/>
  <c r="AA790" i="12"/>
  <c r="AA791" i="12"/>
  <c r="AA792" i="12"/>
  <c r="AA793" i="12"/>
  <c r="AA794" i="12"/>
  <c r="AA795" i="12"/>
  <c r="AA796" i="12"/>
  <c r="AA797" i="12"/>
  <c r="AA798" i="12"/>
  <c r="AA799" i="12"/>
  <c r="AA800" i="12"/>
  <c r="AA801" i="12"/>
  <c r="AA802" i="12"/>
  <c r="AA803" i="12"/>
  <c r="AA804" i="12"/>
  <c r="AA805" i="12"/>
  <c r="AA806" i="12"/>
  <c r="AA807" i="12"/>
  <c r="AA808" i="12"/>
  <c r="AA809" i="12"/>
  <c r="AA810" i="12"/>
  <c r="AA811" i="12"/>
  <c r="AA812" i="12"/>
  <c r="AA813" i="12"/>
  <c r="AA814" i="12"/>
  <c r="AA815" i="12"/>
  <c r="AA816" i="12"/>
  <c r="AA817" i="12"/>
  <c r="AA818" i="12"/>
  <c r="AA819" i="12"/>
  <c r="AA820" i="12"/>
  <c r="AA821" i="12"/>
  <c r="AA822" i="12"/>
  <c r="AA823" i="12"/>
  <c r="AA824" i="12"/>
  <c r="AA825" i="12"/>
  <c r="AA826" i="12"/>
  <c r="AA827" i="12"/>
  <c r="AA828" i="12"/>
  <c r="AA829" i="12"/>
  <c r="AA830" i="12"/>
  <c r="AA831" i="12"/>
  <c r="AA832" i="12"/>
  <c r="AA833" i="12"/>
  <c r="AA834" i="12"/>
  <c r="AA835" i="12"/>
  <c r="AA836" i="12"/>
  <c r="AA837" i="12"/>
  <c r="AA838" i="12"/>
  <c r="AA839" i="12"/>
  <c r="AA840" i="12"/>
  <c r="AA841" i="12"/>
  <c r="AA842" i="12"/>
  <c r="AA843" i="12"/>
  <c r="AA844" i="12"/>
  <c r="AA845" i="12"/>
  <c r="AA846" i="12"/>
  <c r="AA847" i="12"/>
  <c r="AA848" i="12"/>
  <c r="AA849" i="12"/>
  <c r="AA850" i="12"/>
  <c r="AA851" i="12"/>
  <c r="AA852" i="12"/>
  <c r="AA853" i="12"/>
  <c r="AA854" i="12"/>
  <c r="AA855" i="12"/>
  <c r="AA856" i="12"/>
  <c r="AA857" i="12"/>
  <c r="AA858" i="12"/>
  <c r="AA859" i="12"/>
  <c r="AA860" i="12"/>
  <c r="AA861" i="12"/>
  <c r="AA862" i="12"/>
  <c r="AA863" i="12"/>
  <c r="AA864" i="12"/>
  <c r="AA865" i="12"/>
  <c r="AA866" i="12"/>
  <c r="AA867" i="12"/>
  <c r="AA868" i="12"/>
  <c r="AA869" i="12"/>
  <c r="AA870" i="12"/>
  <c r="AA871" i="12"/>
  <c r="AA872" i="12"/>
  <c r="AA873" i="12"/>
  <c r="AA874" i="12"/>
  <c r="AA875" i="12"/>
  <c r="AA876" i="12"/>
  <c r="AA877" i="12"/>
  <c r="AA878" i="12"/>
  <c r="AA879" i="12"/>
  <c r="AA880" i="12"/>
  <c r="AA881" i="12"/>
  <c r="AA882" i="12"/>
  <c r="AA883" i="12"/>
  <c r="AA884" i="12"/>
  <c r="AA885" i="12"/>
  <c r="AA886" i="12"/>
  <c r="AA887" i="12"/>
  <c r="AA888" i="12"/>
  <c r="AA889" i="12"/>
  <c r="AA890" i="12"/>
  <c r="AA891" i="12"/>
  <c r="AA892" i="12"/>
  <c r="AA893" i="12"/>
  <c r="AA894" i="12"/>
  <c r="AA895" i="12"/>
  <c r="AA896" i="12"/>
  <c r="AA897" i="12"/>
  <c r="AA898" i="12"/>
  <c r="AA899" i="12"/>
  <c r="AA900" i="12"/>
  <c r="AA901" i="12"/>
  <c r="AA902" i="12"/>
  <c r="AA903" i="12"/>
  <c r="AA904" i="12"/>
  <c r="AA905" i="12"/>
  <c r="AA906" i="12"/>
  <c r="AA907" i="12"/>
  <c r="AA908" i="12"/>
  <c r="AA909" i="12"/>
  <c r="AA910" i="12"/>
  <c r="AA911" i="12"/>
  <c r="AA912" i="12"/>
  <c r="AA913" i="12"/>
  <c r="AA914" i="12"/>
  <c r="AA915" i="12"/>
  <c r="AA916" i="12"/>
  <c r="AA917" i="12"/>
  <c r="AA918" i="12"/>
  <c r="AA919" i="12"/>
  <c r="AA920" i="12"/>
  <c r="AA921" i="12"/>
  <c r="AA922" i="12"/>
  <c r="AA923" i="12"/>
  <c r="AA924" i="12"/>
  <c r="AA925" i="12"/>
  <c r="AA926" i="12"/>
  <c r="AA927" i="12"/>
  <c r="AA928" i="12"/>
  <c r="AA929" i="12"/>
  <c r="AA930" i="12"/>
  <c r="AA931" i="12"/>
  <c r="AA932" i="12"/>
  <c r="AA933" i="12"/>
  <c r="AA934" i="12"/>
  <c r="AA935" i="12"/>
  <c r="AA936" i="12"/>
  <c r="AA937" i="12"/>
  <c r="AA938" i="12"/>
  <c r="AA939" i="12"/>
  <c r="AA940" i="12"/>
  <c r="AA941" i="12"/>
  <c r="AA942" i="12"/>
  <c r="AA943" i="12"/>
  <c r="AA944" i="12"/>
  <c r="AA945" i="12"/>
  <c r="AA946" i="12"/>
  <c r="AA947" i="12"/>
  <c r="AA948" i="12"/>
  <c r="AA949" i="12"/>
  <c r="AA950" i="12"/>
  <c r="AA951" i="12"/>
  <c r="AA952" i="12"/>
  <c r="AA953" i="12"/>
  <c r="AA954" i="12"/>
  <c r="AA955" i="12"/>
  <c r="AA956" i="12"/>
  <c r="AA957" i="12"/>
  <c r="AA958" i="12"/>
  <c r="AA959" i="12"/>
  <c r="AA960" i="12"/>
  <c r="AA961" i="12"/>
  <c r="AA962" i="12"/>
  <c r="AA963" i="12"/>
  <c r="AA964" i="12"/>
  <c r="AA965" i="12"/>
  <c r="AA966" i="12"/>
  <c r="AA967" i="12"/>
  <c r="AA968" i="12"/>
  <c r="AA969" i="12"/>
  <c r="AA970" i="12"/>
  <c r="AA971" i="12"/>
  <c r="AA972" i="12"/>
  <c r="AA973" i="12"/>
  <c r="AA974" i="12"/>
  <c r="AA975" i="12"/>
  <c r="AA976" i="12"/>
  <c r="AA977" i="12"/>
  <c r="AA978" i="12"/>
  <c r="AA979" i="12"/>
  <c r="AA980" i="12"/>
  <c r="AA981" i="12"/>
  <c r="AA982" i="12"/>
  <c r="AA983" i="12"/>
  <c r="AA984" i="12"/>
  <c r="AA985" i="12"/>
  <c r="AA986" i="12"/>
  <c r="AA987" i="12"/>
  <c r="AA988" i="12"/>
  <c r="AA989" i="12"/>
  <c r="AA990" i="12"/>
  <c r="AA991" i="12"/>
  <c r="AA992" i="12"/>
  <c r="AA993" i="12"/>
  <c r="AA994" i="12"/>
  <c r="AA995" i="12"/>
  <c r="AA996" i="12"/>
  <c r="AA997" i="12"/>
  <c r="AA998" i="12"/>
  <c r="AA999" i="12"/>
  <c r="AA1000" i="12"/>
  <c r="AA1001" i="12"/>
  <c r="AA1002" i="12"/>
  <c r="AA1003" i="12"/>
  <c r="AA1004" i="12"/>
  <c r="AA1005" i="12"/>
  <c r="AA1006" i="12"/>
  <c r="AA1007" i="12"/>
  <c r="AA1008" i="12"/>
  <c r="AA1009" i="12"/>
  <c r="AA1010" i="12"/>
  <c r="AA1011" i="12"/>
  <c r="AA1012" i="12"/>
  <c r="AA1013" i="12"/>
  <c r="AA1014" i="12"/>
  <c r="AA1015" i="12"/>
  <c r="AA1016" i="12"/>
  <c r="AA1017" i="12"/>
  <c r="AA1018" i="12"/>
  <c r="AA1019" i="12"/>
  <c r="AA1020" i="12"/>
  <c r="AA1021" i="12"/>
  <c r="AA1022" i="12"/>
  <c r="AA1023" i="12"/>
  <c r="AA1024" i="12"/>
  <c r="AA1025" i="12"/>
  <c r="AA1026" i="12"/>
  <c r="AA1027" i="12"/>
  <c r="AA1028" i="12"/>
  <c r="AA1029" i="12"/>
  <c r="AA1030" i="12"/>
  <c r="AA1031" i="12"/>
  <c r="AA1032" i="12"/>
  <c r="AA1033" i="12"/>
  <c r="AA1034" i="12"/>
  <c r="AA1035" i="12"/>
  <c r="AA1036" i="12"/>
  <c r="AA1037" i="12"/>
  <c r="AA1038" i="12"/>
  <c r="AA1039" i="12"/>
  <c r="AA1040" i="12"/>
  <c r="AA1041" i="12"/>
  <c r="AA1042" i="12"/>
  <c r="AA1043" i="12"/>
  <c r="AA1044" i="12"/>
  <c r="AA1045" i="12"/>
  <c r="AA1046" i="12"/>
  <c r="AA1047" i="12"/>
  <c r="AA1048" i="12"/>
  <c r="AA1049" i="12"/>
  <c r="AA1050" i="12"/>
  <c r="AA1051" i="12"/>
  <c r="AA1052" i="12"/>
  <c r="AA1053" i="12"/>
  <c r="AA1054" i="12"/>
  <c r="AA1055" i="12"/>
  <c r="AA1056" i="12"/>
  <c r="AA1057" i="12"/>
  <c r="AA1058" i="12"/>
  <c r="AA1059" i="12"/>
  <c r="AA1060" i="12"/>
  <c r="AA1061" i="12"/>
  <c r="AA1062" i="12"/>
  <c r="AA1063" i="12"/>
  <c r="AA1064" i="12"/>
  <c r="AA1065" i="12"/>
  <c r="AA1066" i="12"/>
  <c r="AA1067" i="12"/>
  <c r="AA1068" i="12"/>
  <c r="AA1069" i="12"/>
  <c r="AA1070" i="12"/>
  <c r="AA1071" i="12"/>
  <c r="AA1072" i="12"/>
  <c r="AA1073" i="12"/>
  <c r="AA1074" i="12"/>
  <c r="AA1075" i="12"/>
  <c r="AA1076" i="12"/>
  <c r="AA1077" i="12"/>
  <c r="AA1078" i="12"/>
  <c r="AA1079" i="12"/>
  <c r="AA1080" i="12"/>
  <c r="AA1081" i="12"/>
  <c r="AA1082" i="12"/>
  <c r="AA1083" i="12"/>
  <c r="AA1084" i="12"/>
  <c r="AA1085" i="12"/>
  <c r="AA1086" i="12"/>
  <c r="AA1087" i="12"/>
  <c r="AA1088" i="12"/>
  <c r="AA1089" i="12"/>
  <c r="AA1090" i="12"/>
  <c r="AA1091" i="12"/>
  <c r="AA1092" i="12"/>
  <c r="AA1093" i="12"/>
  <c r="AA1094" i="12"/>
  <c r="AA1095" i="12"/>
  <c r="AA1096" i="12"/>
  <c r="AA1097" i="12"/>
  <c r="AA1098" i="12"/>
  <c r="AA1099" i="12"/>
  <c r="AA1100" i="12"/>
  <c r="AA1101" i="12"/>
  <c r="AA1102" i="12"/>
  <c r="AA1103" i="12"/>
  <c r="AA1104" i="12"/>
  <c r="AA1105" i="12"/>
  <c r="AA1106" i="12"/>
  <c r="AA1107" i="12"/>
  <c r="AA1108" i="12"/>
  <c r="AA1109" i="12"/>
  <c r="AA1110" i="12"/>
  <c r="AA1111" i="12"/>
  <c r="AA1112" i="12"/>
  <c r="AA1113" i="12"/>
  <c r="AA1114" i="12"/>
  <c r="AA1115" i="12"/>
  <c r="AA1116" i="12"/>
  <c r="AA1117" i="12"/>
  <c r="AA1118" i="12"/>
  <c r="AA1119" i="12"/>
  <c r="AA1120" i="12"/>
  <c r="AA1121" i="12"/>
  <c r="AA1122" i="12"/>
  <c r="AA1123" i="12"/>
  <c r="AA1124" i="12"/>
  <c r="AA1125" i="12"/>
  <c r="AA1126" i="12"/>
  <c r="AA1127" i="12"/>
  <c r="AA1128" i="12"/>
  <c r="AA1129" i="12"/>
  <c r="AA1130" i="12"/>
  <c r="AA1131" i="12"/>
  <c r="AA1132" i="12"/>
  <c r="AA1133" i="12"/>
  <c r="AA1134" i="12"/>
  <c r="AA1135" i="12"/>
  <c r="AA1136" i="12"/>
  <c r="AA1137" i="12"/>
  <c r="AA1138" i="12"/>
  <c r="AA1139" i="12"/>
  <c r="AA1140" i="12"/>
  <c r="AA1141" i="12"/>
  <c r="AA1142" i="12"/>
  <c r="AA1143" i="12"/>
  <c r="AA1144" i="12"/>
  <c r="AA1145" i="12"/>
  <c r="AA1146" i="12"/>
  <c r="AA1147" i="12"/>
  <c r="AA1148" i="12"/>
  <c r="AA1149" i="12"/>
  <c r="AA1150" i="12"/>
  <c r="AA1151" i="12"/>
  <c r="AA1152" i="12"/>
  <c r="AA1153" i="12"/>
  <c r="AA1154" i="12"/>
  <c r="AA1155" i="12"/>
  <c r="AA1156" i="12"/>
  <c r="AA1157" i="12"/>
  <c r="AA1158" i="12"/>
  <c r="AA1159" i="12"/>
  <c r="AA1160" i="12"/>
  <c r="AA1161" i="12"/>
  <c r="AA1162" i="12"/>
  <c r="AA1163" i="12"/>
  <c r="AA1164" i="12"/>
  <c r="AA1165" i="12"/>
  <c r="AA1166" i="12"/>
  <c r="AA1167" i="12"/>
  <c r="AA1168" i="12"/>
  <c r="AA1169" i="12"/>
  <c r="AA1170" i="12"/>
  <c r="AA1171" i="12"/>
  <c r="AA1172" i="12"/>
  <c r="AA1173" i="12"/>
  <c r="AA1174" i="12"/>
  <c r="AA1175" i="12"/>
  <c r="AA1176" i="12"/>
  <c r="AA1177" i="12"/>
  <c r="AA1178" i="12"/>
  <c r="AA1179" i="12"/>
  <c r="AA1180" i="12"/>
  <c r="AA1181" i="12"/>
  <c r="AA1182" i="12"/>
  <c r="AA1183" i="12"/>
  <c r="AA1184" i="12"/>
  <c r="AA1185" i="12"/>
  <c r="AA1186" i="12"/>
  <c r="AA1187" i="12"/>
  <c r="AA1188" i="12"/>
  <c r="AA1189" i="12"/>
  <c r="AA1190" i="12"/>
  <c r="AA1191" i="12"/>
  <c r="AA1192" i="12"/>
  <c r="AA1193" i="12"/>
  <c r="AA1194" i="12"/>
  <c r="AA1195" i="12"/>
  <c r="AA1196" i="12"/>
  <c r="AA1197" i="12"/>
  <c r="AA1198" i="12"/>
  <c r="AA1199" i="12"/>
  <c r="AA1200" i="12"/>
  <c r="AA1201" i="12"/>
  <c r="AA1202" i="12"/>
  <c r="AA1203" i="12"/>
  <c r="AA1204" i="12"/>
  <c r="AA1205" i="12"/>
  <c r="AA1206" i="12"/>
  <c r="AA1207" i="12"/>
  <c r="AA1208" i="12"/>
  <c r="AA1209" i="12"/>
  <c r="AA1210" i="12"/>
  <c r="AA1211" i="12"/>
  <c r="AA1212" i="12"/>
  <c r="AA1213" i="12"/>
  <c r="AA1214" i="12"/>
  <c r="AA1215" i="12"/>
  <c r="AA1216" i="12"/>
  <c r="AA1217" i="12"/>
  <c r="AA1218" i="12"/>
  <c r="AA1219" i="12"/>
  <c r="AA1220" i="12"/>
  <c r="AA1221" i="12"/>
  <c r="AA1222" i="12"/>
  <c r="AA1223" i="12"/>
  <c r="AA1224" i="12"/>
  <c r="AA1225" i="12"/>
  <c r="AA1226" i="12"/>
  <c r="AA1227" i="12"/>
  <c r="AA1228" i="12"/>
  <c r="AA1229" i="12"/>
  <c r="AA1230" i="12"/>
  <c r="AA1231" i="12"/>
  <c r="AA1232" i="12"/>
  <c r="AA1233" i="12"/>
  <c r="AA1234" i="12"/>
  <c r="AA1235" i="12"/>
  <c r="AA1236" i="12"/>
  <c r="AA1237" i="12"/>
  <c r="AA1238" i="12"/>
  <c r="AA1239" i="12"/>
  <c r="AA1240" i="12"/>
  <c r="AA1241" i="12"/>
  <c r="AA1242" i="12"/>
  <c r="AA1243" i="12"/>
  <c r="AA1244" i="12"/>
  <c r="AA1245" i="12"/>
  <c r="AA1246" i="12"/>
  <c r="AA1247" i="12"/>
  <c r="AA1248" i="12"/>
  <c r="AA1249" i="12"/>
  <c r="AA1250" i="12"/>
  <c r="AA1251" i="12"/>
  <c r="AA1252" i="12"/>
  <c r="AA1253" i="12"/>
  <c r="AA1254" i="12"/>
  <c r="AA1255" i="12"/>
  <c r="AA1256" i="12"/>
  <c r="AA1257" i="12"/>
  <c r="AA1258" i="12"/>
  <c r="AA1259" i="12"/>
  <c r="AA1260" i="12"/>
  <c r="AA1261" i="12"/>
  <c r="AA1262" i="12"/>
  <c r="AA1263" i="12"/>
  <c r="AA1264" i="12"/>
  <c r="AA1265" i="12"/>
  <c r="AA1266" i="12"/>
  <c r="AA1267" i="12"/>
  <c r="AA1268" i="12"/>
  <c r="AA1269" i="12"/>
  <c r="AA1270" i="12"/>
  <c r="AA1271" i="12"/>
  <c r="AA1272" i="12"/>
  <c r="AA1273" i="12"/>
  <c r="AA1274" i="12"/>
  <c r="AA1275" i="12"/>
  <c r="AA1276" i="12"/>
  <c r="AA1277" i="12"/>
  <c r="AA1278" i="12"/>
  <c r="AA1279" i="12"/>
  <c r="AA1280" i="12"/>
  <c r="AA1281" i="12"/>
  <c r="AA1282" i="12"/>
  <c r="AA1283" i="12"/>
  <c r="AA1284" i="12"/>
  <c r="AA1285" i="12"/>
  <c r="AA1286" i="12"/>
  <c r="AA1287" i="12"/>
  <c r="AA1288" i="12"/>
  <c r="AA1289" i="12"/>
  <c r="AA1290" i="12"/>
  <c r="AA1291" i="12"/>
  <c r="AA1292" i="12"/>
  <c r="AA1293" i="12"/>
  <c r="AA1294" i="12"/>
  <c r="AA1295" i="12"/>
  <c r="AA1296" i="12"/>
  <c r="AA1297" i="12"/>
  <c r="AA1298" i="12"/>
  <c r="AA1299" i="12"/>
  <c r="AA1300" i="12"/>
  <c r="AA1301" i="12"/>
  <c r="AA1302" i="12"/>
  <c r="AA1303" i="12"/>
  <c r="AA1304" i="12"/>
  <c r="AA1305" i="12"/>
  <c r="AA1306" i="12"/>
  <c r="AA1307" i="12"/>
  <c r="AA1308" i="12"/>
  <c r="AA1309" i="12"/>
  <c r="AA1310" i="12"/>
  <c r="AA1311" i="12"/>
  <c r="AA1312" i="12"/>
  <c r="AA1313" i="12"/>
  <c r="AA1314" i="12"/>
  <c r="AA1315" i="12"/>
  <c r="AA1316" i="12"/>
  <c r="AA1317" i="12"/>
  <c r="AA1318" i="12"/>
  <c r="AA1319" i="12"/>
  <c r="AA1320" i="12"/>
  <c r="AA1321" i="12"/>
  <c r="AA1322" i="12"/>
  <c r="AA1323" i="12"/>
  <c r="AA1324" i="12"/>
  <c r="AA1325" i="12"/>
  <c r="AA1326" i="12"/>
  <c r="AA1327" i="12"/>
  <c r="AA1328" i="12"/>
  <c r="AA1329" i="12"/>
  <c r="AA1330" i="12"/>
  <c r="AA1331" i="12"/>
  <c r="AA1332" i="12"/>
  <c r="AA1333" i="12"/>
  <c r="AA1334" i="12"/>
  <c r="AA1335" i="12"/>
  <c r="AA1336" i="12"/>
  <c r="AA1337" i="12"/>
  <c r="AA1338" i="12"/>
  <c r="AA1339" i="12"/>
  <c r="AA1340" i="12"/>
  <c r="AA1341" i="12"/>
  <c r="AA1342" i="12"/>
  <c r="AA1343" i="12"/>
  <c r="AA1344" i="12"/>
  <c r="AA1345" i="12"/>
  <c r="AA1346" i="12"/>
  <c r="AA1347" i="12"/>
  <c r="AA1348" i="12"/>
  <c r="AA1349" i="12"/>
  <c r="AA1350" i="12"/>
  <c r="AA1351" i="12"/>
  <c r="AA1352" i="12"/>
  <c r="AA1353" i="12"/>
  <c r="AA1354" i="12"/>
  <c r="AA1355" i="12"/>
  <c r="AA1356" i="12"/>
  <c r="AA1357" i="12"/>
  <c r="AA1358" i="12"/>
  <c r="AA1359" i="12"/>
  <c r="AA1360" i="12"/>
  <c r="AA1361" i="12"/>
  <c r="AA1362" i="12"/>
  <c r="AA1363" i="12"/>
  <c r="AA1364" i="12"/>
  <c r="AA1365" i="12"/>
  <c r="AA1366" i="12"/>
  <c r="AA1367" i="12"/>
  <c r="AA1368" i="12"/>
  <c r="AA1369" i="12"/>
  <c r="AA1370" i="12"/>
  <c r="AA1371" i="12"/>
  <c r="AA1372" i="12"/>
  <c r="AA1373" i="12"/>
  <c r="AA1374" i="12"/>
  <c r="AA1375" i="12"/>
  <c r="AA1376" i="12"/>
  <c r="AA1377" i="12"/>
  <c r="AA1378" i="12"/>
  <c r="AA1379" i="12"/>
  <c r="AA1380" i="12"/>
  <c r="AA1381" i="12"/>
  <c r="AA1382" i="12"/>
  <c r="AA1383" i="12"/>
  <c r="AA1384" i="12"/>
  <c r="AA1385" i="12"/>
  <c r="AA1386" i="12"/>
  <c r="AA1387" i="12"/>
  <c r="AA1388" i="12"/>
  <c r="AA1389" i="12"/>
  <c r="AA1390" i="12"/>
  <c r="AA1391" i="12"/>
  <c r="AA1392" i="12"/>
  <c r="AA1393" i="12"/>
  <c r="AA1394" i="12"/>
  <c r="AA1395" i="12"/>
  <c r="AA1396" i="12"/>
  <c r="AA1397" i="12"/>
  <c r="AA1398" i="12"/>
  <c r="AA1399" i="12"/>
  <c r="AA1400" i="12"/>
  <c r="AA1401" i="12"/>
  <c r="AA1402" i="12"/>
  <c r="AA1403" i="12"/>
  <c r="AA1404" i="12"/>
  <c r="AA1405" i="12"/>
  <c r="AA1406" i="12"/>
  <c r="AA1407" i="12"/>
  <c r="AA1408" i="12"/>
  <c r="AA1409" i="12"/>
  <c r="AA1410" i="12"/>
  <c r="AA1411" i="12"/>
  <c r="AA1412" i="12"/>
  <c r="AA1413" i="12"/>
  <c r="AA1414" i="12"/>
  <c r="AA1415" i="12"/>
  <c r="AA1416" i="12"/>
  <c r="AA1417" i="12"/>
  <c r="AA1418" i="12"/>
  <c r="AA1419" i="12"/>
  <c r="AA1420" i="12"/>
  <c r="AA1421" i="12"/>
  <c r="AA1422" i="12"/>
  <c r="AA1423" i="12"/>
  <c r="AA1424" i="12"/>
  <c r="AA1425" i="12"/>
  <c r="AA1426" i="12"/>
  <c r="AA1427" i="12"/>
  <c r="AA1428" i="12"/>
  <c r="AA1429" i="12"/>
  <c r="AA1430" i="12"/>
  <c r="AA1431" i="12"/>
  <c r="AA1432" i="12"/>
  <c r="AA1433" i="12"/>
  <c r="AA1434" i="12"/>
  <c r="AA1435" i="12"/>
  <c r="AA1436" i="12"/>
  <c r="AA1437" i="12"/>
  <c r="AA1438" i="12"/>
  <c r="AA1439" i="12"/>
  <c r="AA1440" i="12"/>
  <c r="AA1441" i="12"/>
  <c r="AA1442" i="12"/>
  <c r="AA1443" i="12"/>
  <c r="AA1444" i="12"/>
  <c r="AA1445" i="12"/>
  <c r="AA1446" i="12"/>
  <c r="AA1447" i="12"/>
  <c r="AA1448" i="12"/>
  <c r="AA1449" i="12"/>
  <c r="AA1450" i="12"/>
  <c r="AA1451" i="12"/>
  <c r="AA1452" i="12"/>
  <c r="AA1453" i="12"/>
  <c r="AA1454" i="12"/>
  <c r="AA1455" i="12"/>
  <c r="AA1456" i="12"/>
  <c r="AA1457" i="12"/>
  <c r="AA1458" i="12"/>
  <c r="AA1459" i="12"/>
  <c r="AA1460" i="12"/>
  <c r="AA1461" i="12"/>
  <c r="AA1462" i="12"/>
  <c r="AA1463" i="12"/>
  <c r="AA1464" i="12"/>
  <c r="AA1465" i="12"/>
  <c r="AA1466" i="12"/>
  <c r="AA1467" i="12"/>
  <c r="AA1468" i="12"/>
  <c r="AA1469" i="12"/>
  <c r="AA1470" i="12"/>
  <c r="AA1471" i="12"/>
  <c r="AA1472" i="12"/>
  <c r="AA1473" i="12"/>
  <c r="AA1474" i="12"/>
  <c r="AA1475" i="12"/>
  <c r="AA1476" i="12"/>
  <c r="AA1477" i="12"/>
  <c r="AA1478" i="12"/>
  <c r="AA1479" i="12"/>
  <c r="AA1480" i="12"/>
  <c r="AA1481" i="12"/>
  <c r="AA1482" i="12"/>
  <c r="AA1483" i="12"/>
  <c r="AA1484" i="12"/>
  <c r="AA1485" i="12"/>
  <c r="AA1486" i="12"/>
  <c r="AA1487" i="12"/>
  <c r="AA1488" i="12"/>
  <c r="AA1489" i="12"/>
  <c r="AA1490" i="12"/>
  <c r="AA1491" i="12"/>
  <c r="AA1492" i="12"/>
  <c r="AA1493" i="12"/>
  <c r="AA1494" i="12"/>
  <c r="AA1495" i="12"/>
  <c r="AA1496" i="12"/>
  <c r="AA1497" i="12"/>
  <c r="AA1498" i="12"/>
  <c r="AA1499" i="12"/>
  <c r="AA1500" i="12"/>
  <c r="AA1501" i="12"/>
  <c r="AA1502" i="12"/>
  <c r="AA1503" i="12"/>
  <c r="AA1504" i="12"/>
  <c r="AA1505" i="12"/>
  <c r="AA1506" i="12"/>
  <c r="AA1507" i="12"/>
  <c r="AA1508" i="12"/>
  <c r="AA1509" i="12"/>
  <c r="AA1510" i="12"/>
  <c r="AA1511" i="12"/>
  <c r="AA1512" i="12"/>
  <c r="AA1513" i="12"/>
  <c r="AA1514" i="12"/>
  <c r="AA1515" i="12"/>
  <c r="AA1516" i="12"/>
  <c r="AA1517" i="12"/>
  <c r="AA1518" i="12"/>
  <c r="AA1519" i="12"/>
  <c r="AA1520" i="12"/>
  <c r="AA1521" i="12"/>
  <c r="AA1522" i="12"/>
  <c r="AA1523" i="12"/>
  <c r="AA1524" i="12"/>
  <c r="AA1525" i="12"/>
  <c r="AA1526" i="12"/>
  <c r="AA1527" i="12"/>
  <c r="AA1528" i="12"/>
  <c r="AA1529" i="12"/>
  <c r="AA1530" i="12"/>
  <c r="AA1531" i="12"/>
  <c r="AA1532" i="12"/>
  <c r="AA1533" i="12"/>
  <c r="AA1534" i="12"/>
  <c r="AA1535" i="12"/>
  <c r="AA1536" i="12"/>
  <c r="AA1537" i="12"/>
  <c r="AA1538" i="12"/>
  <c r="AA1539" i="12"/>
  <c r="AA1540" i="12"/>
  <c r="AA1541" i="12"/>
  <c r="AA1542" i="12"/>
  <c r="AA1543" i="12"/>
  <c r="AA1544" i="12"/>
  <c r="AA1545" i="12"/>
  <c r="AA1546" i="12"/>
  <c r="AA1547" i="12"/>
  <c r="AA1548" i="12"/>
  <c r="AA1549" i="12"/>
  <c r="AA1550" i="12"/>
  <c r="AA1551" i="12"/>
  <c r="AA1552" i="12"/>
  <c r="AA1553" i="12"/>
  <c r="AA1554" i="12"/>
  <c r="AA1555" i="12"/>
  <c r="AA1556" i="12"/>
  <c r="AA1557" i="12"/>
  <c r="AA1558" i="12"/>
  <c r="AA1559" i="12"/>
  <c r="AA1560" i="12"/>
  <c r="AA1561" i="12"/>
  <c r="AA1562" i="12"/>
  <c r="AA1563" i="12"/>
  <c r="AA1564" i="12"/>
  <c r="AA1565" i="12"/>
  <c r="AA1566" i="12"/>
  <c r="AA1567" i="12"/>
  <c r="AA1568" i="12"/>
  <c r="AA1569" i="12"/>
  <c r="AA1570" i="12"/>
  <c r="AA1571" i="12"/>
  <c r="AA1572" i="12"/>
  <c r="AA1573" i="12"/>
  <c r="AA1574" i="12"/>
  <c r="AA1575" i="12"/>
  <c r="AA1576" i="12"/>
  <c r="AA1577" i="12"/>
  <c r="AA1578" i="12"/>
  <c r="AA1579" i="12"/>
  <c r="AA1580" i="12"/>
  <c r="AA1581" i="12"/>
  <c r="AA1582" i="12"/>
  <c r="AA1583" i="12"/>
  <c r="AA1584" i="12"/>
  <c r="AA1585" i="12"/>
  <c r="AA1586" i="12"/>
  <c r="AA1587" i="12"/>
  <c r="AA1588" i="12"/>
  <c r="AA1589" i="12"/>
  <c r="AA1590" i="12"/>
  <c r="AA1591" i="12"/>
  <c r="AA1592" i="12"/>
  <c r="AA1593" i="12"/>
  <c r="AA1594" i="12"/>
  <c r="AA1595" i="12"/>
  <c r="AA1596" i="12"/>
  <c r="AA1597" i="12"/>
  <c r="AA1598" i="12"/>
  <c r="AA1599" i="12"/>
  <c r="AA1600" i="12"/>
  <c r="AA1601" i="12"/>
  <c r="AA1602" i="12"/>
  <c r="AA1603" i="12"/>
  <c r="AA1604" i="12"/>
  <c r="AA1605" i="12"/>
  <c r="AA1606" i="12"/>
  <c r="AA1607" i="12"/>
  <c r="AA1608" i="12"/>
  <c r="AA1609" i="12"/>
  <c r="AA1610" i="12"/>
  <c r="AA1611" i="12"/>
  <c r="AA1612" i="12"/>
  <c r="AA1613" i="12"/>
  <c r="AA1614" i="12"/>
  <c r="AA1615" i="12"/>
  <c r="AA1616" i="12"/>
  <c r="AA1617" i="12"/>
  <c r="AA1618" i="12"/>
  <c r="AA1619" i="12"/>
  <c r="AA1620" i="12"/>
  <c r="AA1621" i="12"/>
  <c r="AA1622" i="12"/>
  <c r="AA1623" i="12"/>
  <c r="AA1624" i="12"/>
  <c r="AA1625" i="12"/>
  <c r="AA1626" i="12"/>
  <c r="AA1627" i="12"/>
  <c r="AA1628" i="12"/>
  <c r="AA1629" i="12"/>
  <c r="AA1630" i="12"/>
  <c r="AA1631" i="12"/>
  <c r="AA1632" i="12"/>
  <c r="AA1633" i="12"/>
  <c r="AA1634" i="12"/>
  <c r="AA1635" i="12"/>
  <c r="AA1636" i="12"/>
  <c r="AA1637" i="12"/>
  <c r="AA1638" i="12"/>
  <c r="AA1639" i="12"/>
  <c r="AA1640" i="12"/>
  <c r="AA1641" i="12"/>
  <c r="AA1642" i="12"/>
  <c r="AA1643" i="12"/>
  <c r="AA1644" i="12"/>
  <c r="AA1645" i="12"/>
  <c r="AA1646" i="12"/>
  <c r="AA1647" i="12"/>
  <c r="AA1648" i="12"/>
  <c r="AA1649" i="12"/>
  <c r="AA1650" i="12"/>
  <c r="AA1651" i="12"/>
  <c r="AA1652" i="12"/>
  <c r="AA1653" i="12"/>
  <c r="AA1654" i="12"/>
  <c r="AA1655" i="12"/>
  <c r="AA1656" i="12"/>
  <c r="AA1657" i="12"/>
  <c r="AA1658" i="12"/>
  <c r="AA1659" i="12"/>
  <c r="AA1660" i="12"/>
  <c r="AA1661" i="12"/>
  <c r="AA1662" i="12"/>
  <c r="AA1663" i="12"/>
  <c r="AA1664" i="12"/>
  <c r="AA1665" i="12"/>
  <c r="AA1666" i="12"/>
  <c r="AA1667" i="12"/>
  <c r="AA1668" i="12"/>
  <c r="AA1669" i="12"/>
  <c r="AA1670" i="12"/>
  <c r="AA1671" i="12"/>
  <c r="AA1672" i="12"/>
  <c r="AA1673" i="12"/>
  <c r="AA1674" i="12"/>
  <c r="AA1675" i="12"/>
  <c r="AA1676" i="12"/>
  <c r="AA1677" i="12"/>
  <c r="AA1678" i="12"/>
  <c r="AA1679" i="12"/>
  <c r="AA1680" i="12"/>
  <c r="AA1681" i="12"/>
  <c r="AA1682" i="12"/>
  <c r="AA1683" i="12"/>
  <c r="AA1684" i="12"/>
  <c r="AA1685" i="12"/>
  <c r="AA1686" i="12"/>
  <c r="AA1687" i="12"/>
  <c r="AA1688" i="12"/>
  <c r="AA1689" i="12"/>
  <c r="AA1690" i="12"/>
  <c r="AA1691" i="12"/>
  <c r="AA1692" i="12"/>
  <c r="AA1693" i="12"/>
  <c r="AA1694" i="12"/>
  <c r="AA1695" i="12"/>
  <c r="AA1696" i="12"/>
  <c r="AA1697" i="12"/>
  <c r="AA1698" i="12"/>
  <c r="AA1699" i="12"/>
  <c r="AA1700" i="12"/>
  <c r="AA1701" i="12"/>
  <c r="AA1702" i="12"/>
  <c r="AA1703" i="12"/>
  <c r="AA1704" i="12"/>
  <c r="AA1705" i="12"/>
  <c r="AA1706" i="12"/>
  <c r="AA1707" i="12"/>
  <c r="AA1708" i="12"/>
  <c r="AA1709" i="12"/>
  <c r="AA1710" i="12"/>
  <c r="AA1711" i="12"/>
  <c r="AA1712" i="12"/>
  <c r="AA1713" i="12"/>
  <c r="AA1714" i="12"/>
  <c r="AA1715" i="12"/>
  <c r="AA1716" i="12"/>
  <c r="AA1717" i="12"/>
  <c r="AA1718" i="12"/>
  <c r="AA1719" i="12"/>
  <c r="AA1720" i="12"/>
  <c r="AA1721" i="12"/>
  <c r="AA1722" i="12"/>
  <c r="AA1723" i="12"/>
  <c r="AA1724" i="12"/>
  <c r="AA1725" i="12"/>
  <c r="AA1726" i="12"/>
  <c r="AA1727" i="12"/>
  <c r="AA1728" i="12"/>
  <c r="AA1729" i="12"/>
  <c r="AA1730" i="12"/>
  <c r="AA1731" i="12"/>
  <c r="AA1732" i="12"/>
  <c r="AA1733" i="12"/>
  <c r="AA1734" i="12"/>
  <c r="AA1735" i="12"/>
  <c r="AA1736" i="12"/>
  <c r="AA1737" i="12"/>
  <c r="AA1738" i="12"/>
  <c r="AA1739" i="12"/>
  <c r="AA1740" i="12"/>
  <c r="AA1741" i="12"/>
  <c r="AA1742" i="12"/>
  <c r="AA1743" i="12"/>
  <c r="AA1744" i="12"/>
  <c r="AA1745" i="12"/>
  <c r="AA1746" i="12"/>
  <c r="AA1747" i="12"/>
  <c r="AA1748" i="12"/>
  <c r="AA1749" i="12"/>
  <c r="AA1750" i="12"/>
  <c r="AA1751" i="12"/>
  <c r="AA1752" i="12"/>
  <c r="AA1753" i="12"/>
  <c r="AA1754" i="12"/>
  <c r="AA1755" i="12"/>
  <c r="AA1756" i="12"/>
  <c r="AA1757" i="12"/>
  <c r="AA1758" i="12"/>
  <c r="AA1759" i="12"/>
  <c r="AA1760" i="12"/>
  <c r="AA1761" i="12"/>
  <c r="AA1762" i="12"/>
  <c r="AA1763" i="12"/>
  <c r="AA1764" i="12"/>
  <c r="AA1765" i="12"/>
  <c r="AA1766" i="12"/>
  <c r="AA1767" i="12"/>
  <c r="AA1768" i="12"/>
  <c r="AA1769" i="12"/>
  <c r="AA1770" i="12"/>
  <c r="AA1771" i="12"/>
  <c r="AA1772" i="12"/>
  <c r="AA1773" i="12"/>
  <c r="AA1774" i="12"/>
  <c r="AA1775" i="12"/>
  <c r="AA1776" i="12"/>
  <c r="AA1777" i="12"/>
  <c r="AA1778" i="12"/>
  <c r="AA1779" i="12"/>
  <c r="AA1780" i="12"/>
  <c r="AA1781" i="12"/>
  <c r="AA1782" i="12"/>
  <c r="AA1783" i="12"/>
  <c r="AA1784" i="12"/>
  <c r="AA1785" i="12"/>
  <c r="AA1786" i="12"/>
  <c r="AA1787" i="12"/>
  <c r="AA1788" i="12"/>
  <c r="AA1789" i="12"/>
  <c r="AA1790" i="12"/>
  <c r="AA1791" i="12"/>
  <c r="AA1792" i="12"/>
  <c r="AA1793" i="12"/>
  <c r="AA1794" i="12"/>
  <c r="AA1795" i="12"/>
  <c r="AA1796" i="12"/>
  <c r="AA1797" i="12"/>
  <c r="AA1798" i="12"/>
  <c r="AA1799" i="12"/>
  <c r="AA1800" i="12"/>
  <c r="AA1801" i="12"/>
  <c r="AA1802" i="12"/>
  <c r="AA1803" i="12"/>
  <c r="AA1804" i="12"/>
  <c r="AA1805" i="12"/>
  <c r="AA1806" i="12"/>
  <c r="AA1807" i="12"/>
  <c r="AA1808" i="12"/>
  <c r="AA1809" i="12"/>
  <c r="AA1810" i="12"/>
  <c r="AA1811" i="12"/>
  <c r="AA1812" i="12"/>
  <c r="AA1813" i="12"/>
  <c r="AA1814" i="12"/>
  <c r="AA1815" i="12"/>
  <c r="AA1816" i="12"/>
  <c r="AA1817" i="12"/>
  <c r="AA1818" i="12"/>
  <c r="AA1819" i="12"/>
  <c r="AA1820" i="12"/>
  <c r="AA1821" i="12"/>
  <c r="AA1822" i="12"/>
  <c r="AA1823" i="12"/>
  <c r="AA1824" i="12"/>
  <c r="AA1825" i="12"/>
  <c r="AA1826" i="12"/>
  <c r="AA1827" i="12"/>
  <c r="AA1828" i="12"/>
  <c r="AA1829" i="12"/>
  <c r="AA1830" i="12"/>
  <c r="AA1831" i="12"/>
  <c r="AA1832" i="12"/>
  <c r="AA1833" i="12"/>
  <c r="AA1834" i="12"/>
  <c r="AA1835" i="12"/>
  <c r="AA1836" i="12"/>
  <c r="AA1837" i="12"/>
  <c r="AA1838" i="12"/>
  <c r="AA1839" i="12"/>
  <c r="AA1840" i="12"/>
  <c r="AA1841" i="12"/>
  <c r="AA1842" i="12"/>
  <c r="AA1843" i="12"/>
  <c r="AA1844" i="12"/>
  <c r="AA1845" i="12"/>
  <c r="AA1846" i="12"/>
  <c r="AA1847" i="12"/>
  <c r="AA1848" i="12"/>
  <c r="AA1849" i="12"/>
  <c r="AA1850" i="12"/>
  <c r="AA1851" i="12"/>
  <c r="AA1852" i="12"/>
  <c r="AA1853" i="12"/>
  <c r="AA1854" i="12"/>
  <c r="AA1855" i="12"/>
  <c r="AA1856" i="12"/>
  <c r="AA1857" i="12"/>
  <c r="AA1858" i="12"/>
  <c r="AA1859" i="12"/>
  <c r="AA1860" i="12"/>
  <c r="AA1861" i="12"/>
  <c r="AA1862" i="12"/>
  <c r="AA1863" i="12"/>
  <c r="AA1864" i="12"/>
  <c r="AA1865" i="12"/>
  <c r="AA1866" i="12"/>
  <c r="AA1867" i="12"/>
  <c r="AA1868" i="12"/>
  <c r="AA1869" i="12"/>
  <c r="AA1870" i="12"/>
  <c r="AA1871" i="12"/>
  <c r="AA1872" i="12"/>
  <c r="AA1873" i="12"/>
  <c r="AA1874" i="12"/>
  <c r="AA1875" i="12"/>
  <c r="AA1876" i="12"/>
  <c r="AA1877" i="12"/>
  <c r="AA1878" i="12"/>
  <c r="AA1879" i="12"/>
  <c r="AA1880" i="12"/>
  <c r="AA1881" i="12"/>
  <c r="AA1882" i="12"/>
  <c r="AA1883" i="12"/>
  <c r="AA1884" i="12"/>
  <c r="AA1885" i="12"/>
  <c r="AA1886" i="12"/>
  <c r="AA1887" i="12"/>
  <c r="AA1888" i="12"/>
  <c r="AA1889" i="12"/>
  <c r="AA1890" i="12"/>
  <c r="AA1891" i="12"/>
  <c r="AA1892" i="12"/>
  <c r="AA1893" i="12"/>
  <c r="AA1894" i="12"/>
  <c r="AA1895" i="12"/>
  <c r="AA1896" i="12"/>
  <c r="AA1897" i="12"/>
  <c r="AA1898" i="12"/>
  <c r="AA1899" i="12"/>
  <c r="AA1900" i="12"/>
  <c r="AA1901" i="12"/>
  <c r="AA1902" i="12"/>
  <c r="AA1903" i="12"/>
  <c r="AA1904" i="12"/>
  <c r="AA1905" i="12"/>
  <c r="AA1906" i="12"/>
  <c r="AA1907" i="12"/>
  <c r="AA1908" i="12"/>
  <c r="AA1909" i="12"/>
  <c r="AA1910" i="12"/>
  <c r="AA1911" i="12"/>
  <c r="AA1912" i="12"/>
  <c r="AA1913" i="12"/>
  <c r="AA1914" i="12"/>
  <c r="AA1915" i="12"/>
  <c r="AA1916" i="12"/>
  <c r="AA1917" i="12"/>
  <c r="AA1918" i="12"/>
  <c r="AA1919" i="12"/>
  <c r="AA1920" i="12"/>
  <c r="AA1921" i="12"/>
  <c r="AA1922" i="12"/>
  <c r="AA1923" i="12"/>
  <c r="AA1924" i="12"/>
  <c r="AA1925" i="12"/>
  <c r="AA1926" i="12"/>
  <c r="AA1927" i="12"/>
  <c r="AA1928" i="12"/>
  <c r="AA1929" i="12"/>
  <c r="AA1930" i="12"/>
  <c r="AA1931" i="12"/>
  <c r="AA1932" i="12"/>
  <c r="AA1933" i="12"/>
  <c r="AA1934" i="12"/>
  <c r="AA1935" i="12"/>
  <c r="AA1936" i="12"/>
  <c r="AA1937" i="12"/>
  <c r="AA1938" i="12"/>
  <c r="AA1939" i="12"/>
  <c r="AA1940" i="12"/>
  <c r="AA1941" i="12"/>
  <c r="AA1942" i="12"/>
  <c r="AA1943" i="12"/>
  <c r="AA1944" i="12"/>
  <c r="AA1945" i="12"/>
  <c r="AA1946" i="12"/>
  <c r="AA1947" i="12"/>
  <c r="AA1948" i="12"/>
  <c r="AA1949" i="12"/>
  <c r="AA1950" i="12"/>
  <c r="AA1951" i="12"/>
  <c r="AA1952" i="12"/>
  <c r="AA1953" i="12"/>
  <c r="AA1954" i="12"/>
  <c r="AA1955" i="12"/>
  <c r="AA1956" i="12"/>
  <c r="AA1957" i="12"/>
  <c r="AA1958" i="12"/>
  <c r="AA1959" i="12"/>
  <c r="AA1960" i="12"/>
  <c r="AA1961" i="12"/>
  <c r="AA1962" i="12"/>
  <c r="AA1963" i="12"/>
  <c r="AA1964" i="12"/>
  <c r="AA1965" i="12"/>
  <c r="AA1966" i="12"/>
  <c r="AA1967" i="12"/>
  <c r="AA1968" i="12"/>
  <c r="AA1969" i="12"/>
  <c r="AA1970" i="12"/>
  <c r="AA1971" i="12"/>
  <c r="AA1972" i="12"/>
  <c r="AA1973" i="12"/>
  <c r="AA1974" i="12"/>
  <c r="AA1975" i="12"/>
  <c r="AA1976" i="12"/>
  <c r="AA1977" i="12"/>
  <c r="AA1978" i="12"/>
  <c r="AA1979" i="12"/>
  <c r="AA1980" i="12"/>
  <c r="AA1981" i="12"/>
  <c r="AA1982" i="12"/>
  <c r="AA1983" i="12"/>
  <c r="AA1984" i="12"/>
  <c r="AA1985" i="12"/>
  <c r="AA1986" i="12"/>
  <c r="AA1987" i="12"/>
  <c r="AA1988" i="12"/>
  <c r="AA1989" i="12"/>
  <c r="AA1990" i="12"/>
  <c r="AA1991" i="12"/>
  <c r="AA1992" i="12"/>
  <c r="AA1993" i="12"/>
  <c r="AA1994" i="12"/>
  <c r="AA1995" i="12"/>
  <c r="AA1996" i="12"/>
  <c r="AA1997" i="12"/>
  <c r="AA1998" i="12"/>
  <c r="AA1999" i="12"/>
  <c r="AA2000" i="12"/>
  <c r="AA2001" i="12"/>
  <c r="AA2002" i="12"/>
  <c r="AA2003" i="12"/>
  <c r="AA2004" i="12"/>
  <c r="AA2005" i="12"/>
  <c r="AA2006" i="12"/>
  <c r="AA2007" i="12"/>
  <c r="AA2008" i="12"/>
  <c r="AA2009" i="12"/>
  <c r="AA2010" i="12"/>
  <c r="AA2011" i="12"/>
  <c r="AA2012" i="12"/>
  <c r="AA2013" i="12"/>
  <c r="AA2014" i="12"/>
  <c r="AA2015" i="12"/>
  <c r="AA2016" i="12"/>
  <c r="AA2017" i="12"/>
  <c r="AA2018" i="12"/>
  <c r="AA2019" i="12"/>
  <c r="AA2020" i="12"/>
  <c r="AA2021" i="12"/>
  <c r="AA2022" i="12"/>
  <c r="AA2023" i="12"/>
  <c r="AA2024" i="12"/>
  <c r="AA2025" i="12"/>
  <c r="AA2026" i="12"/>
  <c r="AA2027" i="12"/>
  <c r="AA2028" i="12"/>
  <c r="AA2029" i="12"/>
  <c r="AA2030" i="12"/>
  <c r="AA2031" i="12"/>
  <c r="AA2032" i="12"/>
  <c r="AA2033" i="12"/>
  <c r="AA2034" i="12"/>
  <c r="AA2035" i="12"/>
  <c r="AA2036" i="12"/>
  <c r="AA2037" i="12"/>
  <c r="AA2038" i="12"/>
  <c r="AA2039" i="12"/>
  <c r="AA2040" i="12"/>
  <c r="AA2041" i="12"/>
  <c r="AA2042" i="12"/>
  <c r="AA2043" i="12"/>
  <c r="AA2044" i="12"/>
  <c r="AA2045" i="12"/>
  <c r="AA2046" i="12"/>
  <c r="AA2047" i="12"/>
  <c r="AA2048" i="12"/>
  <c r="AA2049" i="12"/>
  <c r="AA2050" i="12"/>
  <c r="AA2051" i="12"/>
  <c r="AA2052" i="12"/>
  <c r="AA2053" i="12"/>
  <c r="AA2054" i="12"/>
  <c r="AA2055" i="12"/>
  <c r="AA2056" i="12"/>
  <c r="AA2057" i="12"/>
  <c r="AA2058" i="12"/>
  <c r="AA2059" i="12"/>
  <c r="AA2060" i="12"/>
  <c r="AA2061" i="12"/>
  <c r="AA2062" i="12"/>
  <c r="AA2063" i="12"/>
  <c r="AA2064" i="12"/>
  <c r="AA2065" i="12"/>
  <c r="AA2066" i="12"/>
  <c r="AA2067" i="12"/>
  <c r="AA2068" i="12"/>
  <c r="AA2069" i="12"/>
  <c r="AA2070" i="12"/>
  <c r="AA2071" i="12"/>
  <c r="AA2072" i="12"/>
  <c r="AA2073" i="12"/>
  <c r="AA2074" i="12"/>
  <c r="AA2075" i="12"/>
  <c r="AA2076" i="12"/>
  <c r="AA2077" i="12"/>
  <c r="AA2078" i="12"/>
  <c r="AA2079" i="12"/>
  <c r="AA2080" i="12"/>
  <c r="AA2081" i="12"/>
  <c r="AA2082" i="12"/>
  <c r="AA2083" i="12"/>
  <c r="AA2084" i="12"/>
  <c r="AA2085" i="12"/>
  <c r="AA2086" i="12"/>
  <c r="AA2087" i="12"/>
  <c r="AA2088" i="12"/>
  <c r="AA2089" i="12"/>
  <c r="AA2090" i="12"/>
  <c r="AA2091" i="12"/>
  <c r="AA2092" i="12"/>
  <c r="AA2093" i="12"/>
  <c r="AA2094" i="12"/>
  <c r="AA2095" i="12"/>
  <c r="AA2096" i="12"/>
  <c r="AA2097" i="12"/>
  <c r="AA2098" i="12"/>
  <c r="AA2099" i="12"/>
  <c r="AA2100" i="12"/>
  <c r="AA2101" i="12"/>
  <c r="AA2102" i="12"/>
  <c r="AA2103" i="12"/>
  <c r="AA2104" i="12"/>
  <c r="AA2105" i="12"/>
  <c r="AA2106" i="12"/>
  <c r="AA2107" i="12"/>
  <c r="AA2108" i="12"/>
  <c r="AA2109" i="12"/>
  <c r="AA2110" i="12"/>
  <c r="AA2111" i="12"/>
  <c r="AA2112" i="12"/>
  <c r="AA2113" i="12"/>
  <c r="AA2114" i="12"/>
  <c r="AA2115" i="12"/>
  <c r="AA2116" i="12"/>
  <c r="AA2117" i="12"/>
  <c r="AA2118" i="12"/>
  <c r="AA2119" i="12"/>
  <c r="AA2120" i="12"/>
  <c r="AA2121" i="12"/>
  <c r="AA2122" i="12"/>
  <c r="AA2123" i="12"/>
  <c r="AA2124" i="12"/>
  <c r="AA2125" i="12"/>
  <c r="AA2126" i="12"/>
  <c r="AA2127" i="12"/>
  <c r="AA2128" i="12"/>
  <c r="AA2129" i="12"/>
  <c r="AA2130" i="12"/>
  <c r="AA2131" i="12"/>
  <c r="AA2132" i="12"/>
  <c r="AA2133" i="12"/>
  <c r="AA2134" i="12"/>
  <c r="AA2135" i="12"/>
  <c r="AA2136" i="12"/>
  <c r="AA2137" i="12"/>
  <c r="AA2138" i="12"/>
  <c r="AA2139" i="12"/>
  <c r="AA2140" i="12"/>
  <c r="AA2141" i="12"/>
  <c r="AA2142" i="12"/>
  <c r="AA2143" i="12"/>
  <c r="AA2144" i="12"/>
  <c r="AA2145" i="12"/>
  <c r="AA2146" i="12"/>
  <c r="AA2147" i="12"/>
  <c r="AA2148" i="12"/>
  <c r="AA2149" i="12"/>
  <c r="AA2150" i="12"/>
  <c r="AA2151" i="12"/>
  <c r="AA2152" i="12"/>
  <c r="AA2153" i="12"/>
  <c r="AA2154" i="12"/>
  <c r="AA2155" i="12"/>
  <c r="AA2156" i="12"/>
  <c r="AA2157" i="12"/>
  <c r="AA2158" i="12"/>
  <c r="AA2159" i="12"/>
  <c r="AA2160" i="12"/>
  <c r="AA2161" i="12"/>
  <c r="AA2162" i="12"/>
  <c r="AA2163" i="12"/>
  <c r="AA2164" i="12"/>
  <c r="AA2165" i="12"/>
  <c r="AA2166" i="12"/>
  <c r="AA2167" i="12"/>
  <c r="AA2168" i="12"/>
  <c r="AA2169" i="12"/>
  <c r="AA2170" i="12"/>
  <c r="AA2171" i="12"/>
  <c r="AA2172" i="12"/>
  <c r="AA2173" i="12"/>
  <c r="AA2174" i="12"/>
  <c r="AA2175" i="12"/>
  <c r="AA2176" i="12"/>
  <c r="AA2177" i="12"/>
  <c r="AA2178" i="12"/>
  <c r="AA2179" i="12"/>
  <c r="AA2180" i="12"/>
  <c r="AA2181" i="12"/>
  <c r="AA2182" i="12"/>
  <c r="AA2183" i="12"/>
  <c r="AA2184" i="12"/>
  <c r="AA2185" i="12"/>
  <c r="AA2186" i="12"/>
  <c r="AA2187" i="12"/>
  <c r="AA2188" i="12"/>
  <c r="AA2189" i="12"/>
  <c r="AA2190" i="12"/>
  <c r="AA2191" i="12"/>
  <c r="AA2192" i="12"/>
  <c r="AA2193" i="12"/>
  <c r="AA2194" i="12"/>
  <c r="AA2195" i="12"/>
  <c r="AA2196" i="12"/>
  <c r="AA2197" i="12"/>
  <c r="AA2198" i="12"/>
  <c r="AA2199" i="12"/>
  <c r="AA2200" i="12"/>
  <c r="AA2201" i="12"/>
  <c r="AA2202" i="12"/>
  <c r="AA2203" i="12"/>
  <c r="AA2204" i="12"/>
  <c r="AA2205" i="12"/>
  <c r="AA2206" i="12"/>
  <c r="AA2207" i="12"/>
  <c r="AA2208" i="12"/>
  <c r="AA2209" i="12"/>
  <c r="AA2210" i="12"/>
  <c r="AA2211" i="12"/>
  <c r="AA2212" i="12"/>
  <c r="AA2213" i="12"/>
  <c r="AA2214" i="12"/>
  <c r="AA2215" i="12"/>
  <c r="AA2216" i="12"/>
  <c r="AA2217" i="12"/>
  <c r="AA2218" i="12"/>
  <c r="AA2219" i="12"/>
  <c r="AA2220" i="12"/>
  <c r="AA2221" i="12"/>
  <c r="AA2222" i="12"/>
  <c r="AA2223" i="12"/>
  <c r="AA2224" i="12"/>
  <c r="AA2225" i="12"/>
  <c r="AA2226" i="12"/>
  <c r="AA2227" i="12"/>
  <c r="AA2228" i="12"/>
  <c r="AA2229" i="12"/>
  <c r="AA2230" i="12"/>
  <c r="AA2231" i="12"/>
  <c r="AA2232" i="12"/>
  <c r="AA2233" i="12"/>
  <c r="AA2234" i="12"/>
  <c r="AA2235" i="12"/>
  <c r="AA2236" i="12"/>
  <c r="AA2237" i="12"/>
  <c r="AA2238" i="12"/>
  <c r="AA2239" i="12"/>
  <c r="AA2240" i="12"/>
  <c r="AA2241" i="12"/>
  <c r="AA2242" i="12"/>
  <c r="AA2243" i="12"/>
  <c r="AA2244" i="12"/>
  <c r="AA2245" i="12"/>
  <c r="AA2246" i="12"/>
  <c r="AA2247" i="12"/>
  <c r="AA2248" i="12"/>
  <c r="AA2249" i="12"/>
  <c r="AA2250" i="12"/>
  <c r="AA2251" i="12"/>
  <c r="AA2252" i="12"/>
  <c r="AA2253" i="12"/>
  <c r="AA2254" i="12"/>
  <c r="AA2255" i="12"/>
  <c r="AA2256" i="12"/>
  <c r="AA2257" i="12"/>
  <c r="AA2258" i="12"/>
  <c r="AA2259" i="12"/>
  <c r="AA2260" i="12"/>
  <c r="AA2261" i="12"/>
  <c r="AA2262" i="12"/>
  <c r="AA2263" i="12"/>
  <c r="AA2264" i="12"/>
  <c r="AA2265" i="12"/>
  <c r="AA2266" i="12"/>
  <c r="AA2267" i="12"/>
  <c r="AA2268" i="12"/>
  <c r="AA2269" i="12"/>
  <c r="AA2270" i="12"/>
  <c r="AA2271" i="12"/>
  <c r="AA2272" i="12"/>
  <c r="AA2273" i="12"/>
  <c r="AA2274" i="12"/>
  <c r="AA2275" i="12"/>
  <c r="AA2276" i="12"/>
  <c r="AA2277" i="12"/>
  <c r="AA2278" i="12"/>
  <c r="AA2279" i="12"/>
  <c r="AA2280" i="12"/>
  <c r="AA2281" i="12"/>
  <c r="AA2282" i="12"/>
  <c r="AA2283" i="12"/>
  <c r="AA2284" i="12"/>
  <c r="AA2285" i="12"/>
  <c r="AA2286" i="12"/>
  <c r="AA2287" i="12"/>
  <c r="AA2288" i="12"/>
  <c r="AA2289" i="12"/>
  <c r="AA2290" i="12"/>
  <c r="AA2291" i="12"/>
  <c r="AA2292" i="12"/>
  <c r="AA2293" i="12"/>
  <c r="AA2294" i="12"/>
  <c r="AA2295" i="12"/>
  <c r="AA2296" i="12"/>
  <c r="AA2297" i="12"/>
  <c r="AA2298" i="12"/>
  <c r="AA2299" i="12"/>
  <c r="AA2300" i="12"/>
  <c r="AA2301" i="12"/>
  <c r="AA2302" i="12"/>
  <c r="AA2303" i="12"/>
  <c r="AA2304" i="12"/>
  <c r="AA2305" i="12"/>
  <c r="AA2306" i="12"/>
  <c r="AA2307" i="12"/>
  <c r="AA2308" i="12"/>
  <c r="AA2309" i="12"/>
  <c r="AA2310" i="12"/>
  <c r="AA2311" i="12"/>
  <c r="AA2312" i="12"/>
  <c r="AA2313" i="12"/>
  <c r="AA2314" i="12"/>
  <c r="AA2315" i="12"/>
  <c r="AA2316" i="12"/>
  <c r="AA2317" i="12"/>
  <c r="AA2318" i="12"/>
  <c r="AA2319" i="12"/>
  <c r="AA2320" i="12"/>
  <c r="AA2321" i="12"/>
  <c r="AA2322" i="12"/>
  <c r="AA2323" i="12"/>
  <c r="AA2324" i="12"/>
  <c r="AA2325" i="12"/>
  <c r="AA2326" i="12"/>
  <c r="AA2327" i="12"/>
  <c r="AA2328" i="12"/>
  <c r="AA2329" i="12"/>
  <c r="AA2330" i="12"/>
  <c r="AA2331" i="12"/>
  <c r="AA2332" i="12"/>
  <c r="AA2333" i="12"/>
  <c r="AA2334" i="12"/>
  <c r="AA2335" i="12"/>
  <c r="AA2336" i="12"/>
  <c r="AA2337" i="12"/>
  <c r="AA2338" i="12"/>
  <c r="AA2339" i="12"/>
  <c r="AA2340" i="12"/>
  <c r="AA2341" i="12"/>
  <c r="AA2342" i="12"/>
  <c r="AA2343" i="12"/>
  <c r="AA2344" i="12"/>
  <c r="AA2345" i="12"/>
  <c r="AA2346" i="12"/>
  <c r="AA2347" i="12"/>
  <c r="AA2348" i="12"/>
  <c r="AA2349" i="12"/>
  <c r="AA2350" i="12"/>
  <c r="AA2351" i="12"/>
  <c r="AA2352" i="12"/>
  <c r="AA2353" i="12"/>
  <c r="AA2354" i="12"/>
  <c r="AA2355" i="12"/>
  <c r="AA2356" i="12"/>
  <c r="AA2357" i="12"/>
  <c r="AA2358" i="12"/>
  <c r="AA2359" i="12"/>
  <c r="AA2360" i="12"/>
  <c r="AA2361" i="12"/>
  <c r="AA2362" i="12"/>
  <c r="AA2363" i="12"/>
  <c r="AA2364" i="12"/>
  <c r="AA2365" i="12"/>
  <c r="AA2366" i="12"/>
  <c r="AA2367" i="12"/>
  <c r="AA2368" i="12"/>
  <c r="AA2369" i="12"/>
  <c r="AA2370" i="12"/>
  <c r="AA2371" i="12"/>
  <c r="AA2372" i="12"/>
  <c r="AA2373" i="12"/>
  <c r="AA2374" i="12"/>
  <c r="AA2375" i="12"/>
  <c r="AA2376" i="12"/>
  <c r="AA2377" i="12"/>
  <c r="AA2378" i="12"/>
  <c r="AA2379" i="12"/>
  <c r="AA2380" i="12"/>
  <c r="AA2381" i="12"/>
  <c r="AA2382" i="12"/>
  <c r="AA2383" i="12"/>
  <c r="AA2384" i="12"/>
  <c r="AA2385" i="12"/>
  <c r="AA2386" i="12"/>
  <c r="AA2387" i="12"/>
  <c r="AA2388" i="12"/>
  <c r="AA2389" i="12"/>
  <c r="AA2390" i="12"/>
  <c r="AA2391" i="12"/>
  <c r="AA2392" i="12"/>
  <c r="AA2393" i="12"/>
  <c r="AA2394" i="12"/>
  <c r="AA2395" i="12"/>
  <c r="AA2396" i="12"/>
  <c r="AA2397" i="12"/>
  <c r="AA2398" i="12"/>
  <c r="AA2399" i="12"/>
  <c r="AA2400" i="12"/>
  <c r="AA2401" i="12"/>
  <c r="AA2402" i="12"/>
  <c r="AA2403" i="12"/>
  <c r="AA2404" i="12"/>
  <c r="AA2405" i="12"/>
  <c r="AA2406" i="12"/>
  <c r="AA2407" i="12"/>
  <c r="AA2408" i="12"/>
  <c r="AA2409" i="12"/>
  <c r="AA2410" i="12"/>
  <c r="AA2411" i="12"/>
  <c r="AA2412" i="12"/>
  <c r="AA2413" i="12"/>
  <c r="AA2414" i="12"/>
  <c r="AA2415" i="12"/>
  <c r="AA2416" i="12"/>
  <c r="AA2417" i="12"/>
  <c r="AA2418" i="12"/>
  <c r="AA2419" i="12"/>
  <c r="AA2420" i="12"/>
  <c r="AA2421" i="12"/>
  <c r="AA2422" i="12"/>
  <c r="AA2423" i="12"/>
  <c r="AA2424" i="12"/>
  <c r="AA2425" i="12"/>
  <c r="AA2426" i="12"/>
  <c r="AA2427" i="12"/>
  <c r="AA2428" i="12"/>
  <c r="AA2429" i="12"/>
  <c r="AA2430" i="12"/>
  <c r="AA2431" i="12"/>
  <c r="AA2432" i="12"/>
  <c r="AA2433" i="12"/>
  <c r="AA2434" i="12"/>
  <c r="AA2435" i="12"/>
  <c r="AA2436" i="12"/>
  <c r="AA2437" i="12"/>
  <c r="AA2438" i="12"/>
  <c r="AA2439" i="12"/>
  <c r="AA2440" i="12"/>
  <c r="AA2441" i="12"/>
  <c r="AA2442" i="12"/>
  <c r="AA2443" i="12"/>
  <c r="AA2444" i="12"/>
  <c r="AA2445" i="12"/>
  <c r="AA2446" i="12"/>
  <c r="AA2447" i="12"/>
  <c r="AA2448" i="12"/>
  <c r="AA2449" i="12"/>
  <c r="AA2450" i="12"/>
  <c r="AA2451" i="12"/>
  <c r="AA2452" i="12"/>
  <c r="AA2453" i="12"/>
  <c r="AA2454" i="12"/>
  <c r="AA2455" i="12"/>
  <c r="AA2456" i="12"/>
  <c r="AA2457" i="12"/>
  <c r="AA2458" i="12"/>
  <c r="AA2459" i="12"/>
  <c r="AA2460" i="12"/>
  <c r="AA2461" i="12"/>
  <c r="AA2462" i="12"/>
  <c r="AA2463" i="12"/>
  <c r="AA2464" i="12"/>
  <c r="AA2465" i="12"/>
  <c r="AA2466" i="12"/>
  <c r="AA2467" i="12"/>
  <c r="AA2468" i="12"/>
  <c r="AA2469" i="12"/>
  <c r="AA2470" i="12"/>
  <c r="AA2471" i="12"/>
  <c r="AA2472" i="12"/>
  <c r="AA2473" i="12"/>
  <c r="AA2474" i="12"/>
  <c r="AA2475" i="12"/>
  <c r="AA2476" i="12"/>
  <c r="AA2477" i="12"/>
  <c r="AA2478" i="12"/>
  <c r="AA2479" i="12"/>
  <c r="AA2480" i="12"/>
  <c r="AA2481" i="12"/>
  <c r="AA2482" i="12"/>
  <c r="AA2483" i="12"/>
  <c r="AA2484" i="12"/>
  <c r="AA2485" i="12"/>
  <c r="AA2486" i="12"/>
  <c r="AA2487" i="12"/>
  <c r="AA2488" i="12"/>
  <c r="AA2489" i="12"/>
  <c r="AA2490" i="12"/>
  <c r="AA2491" i="12"/>
  <c r="AA2492" i="12"/>
  <c r="AA2493" i="12"/>
  <c r="AA2494" i="12"/>
  <c r="AA2495" i="12"/>
  <c r="AA2496" i="12"/>
  <c r="AA2497" i="12"/>
  <c r="AA2498" i="12"/>
  <c r="AA2499" i="12"/>
  <c r="AA2500" i="12"/>
  <c r="AA2501" i="12"/>
  <c r="AA2502" i="12"/>
  <c r="AA2503" i="12"/>
  <c r="AA2504" i="12"/>
  <c r="AA2505" i="12"/>
  <c r="AA2506" i="12"/>
  <c r="AA2507" i="12"/>
  <c r="AA2508" i="12"/>
  <c r="AA2509" i="12"/>
  <c r="AA2510" i="12"/>
  <c r="AA2511" i="12"/>
  <c r="AA2512" i="12"/>
  <c r="AA2513" i="12"/>
  <c r="AA2514" i="12"/>
  <c r="AA2515" i="12"/>
  <c r="AA2516" i="12"/>
  <c r="AA2517" i="12"/>
  <c r="AA2518" i="12"/>
  <c r="AA2519" i="12"/>
  <c r="AA2520" i="12"/>
  <c r="AA2521" i="12"/>
  <c r="AA2522" i="12"/>
  <c r="AA2523" i="12"/>
  <c r="AA2524" i="12"/>
  <c r="AA2525" i="12"/>
  <c r="AA2526" i="12"/>
  <c r="AA2527" i="12"/>
  <c r="AA2528" i="12"/>
  <c r="AA2529" i="12"/>
  <c r="AA2530" i="12"/>
  <c r="AA2531" i="12"/>
  <c r="AA2532" i="12"/>
  <c r="AA2533" i="12"/>
  <c r="AA2534" i="12"/>
  <c r="AA2535" i="12"/>
  <c r="AA2536" i="12"/>
  <c r="AA2537" i="12"/>
  <c r="AA2538" i="12"/>
  <c r="AA2539" i="12"/>
  <c r="AA2540" i="12"/>
  <c r="AA2541" i="12"/>
  <c r="AA2542" i="12"/>
  <c r="AA2543" i="12"/>
  <c r="AA2544" i="12"/>
  <c r="AA2545" i="12"/>
  <c r="AA2546" i="12"/>
  <c r="AA2547" i="12"/>
  <c r="AA2548" i="12"/>
  <c r="AA2549" i="12"/>
  <c r="AA2550" i="12"/>
  <c r="AA2551" i="12"/>
  <c r="AA2552" i="12"/>
  <c r="AA2553" i="12"/>
  <c r="AA2554" i="12"/>
  <c r="AA2555" i="12"/>
  <c r="AA2556" i="12"/>
  <c r="AA2557" i="12"/>
  <c r="AA2558" i="12"/>
  <c r="AA2559" i="12"/>
  <c r="AA2560" i="12"/>
  <c r="AA2561" i="12"/>
  <c r="AA2562" i="12"/>
  <c r="AA2563" i="12"/>
  <c r="AA2564" i="12"/>
  <c r="AA2565" i="12"/>
  <c r="AA2566" i="12"/>
  <c r="AA2567" i="12"/>
  <c r="AA2568" i="12"/>
  <c r="AA2569" i="12"/>
  <c r="AA2570" i="12"/>
  <c r="AA2571" i="12"/>
  <c r="AA2572" i="12"/>
  <c r="AA2573" i="12"/>
  <c r="AA2574" i="12"/>
  <c r="AA2575" i="12"/>
  <c r="AA2576" i="12"/>
  <c r="AA2577" i="12"/>
  <c r="AA2578" i="12"/>
  <c r="AA2579" i="12"/>
  <c r="AA2580" i="12"/>
  <c r="AA2581" i="12"/>
  <c r="AA2582" i="12"/>
  <c r="AA2583" i="12"/>
  <c r="AA2584" i="12"/>
  <c r="AA2585" i="12"/>
  <c r="AA2586" i="12"/>
  <c r="AA2587" i="12"/>
  <c r="AA2588" i="12"/>
  <c r="AA2589" i="12"/>
  <c r="AA2590" i="12"/>
  <c r="AA2591" i="12"/>
  <c r="AA2592" i="12"/>
  <c r="AA2593" i="12"/>
  <c r="AA2594" i="12"/>
  <c r="AA2595" i="12"/>
  <c r="AA2596" i="12"/>
  <c r="AA2597" i="12"/>
  <c r="AA2598" i="12"/>
  <c r="AA2599" i="12"/>
  <c r="AA2600" i="12"/>
  <c r="AA2601" i="12"/>
  <c r="AA2602" i="12"/>
  <c r="AA2603" i="12"/>
  <c r="AA2604" i="12"/>
  <c r="AA2605" i="12"/>
  <c r="AA2606" i="12"/>
  <c r="AA2607" i="12"/>
  <c r="AA2608" i="12"/>
  <c r="AA2609" i="12"/>
  <c r="AA2610" i="12"/>
  <c r="AA2611" i="12"/>
  <c r="AA2612" i="12"/>
  <c r="AA2613" i="12"/>
  <c r="AA2614" i="12"/>
  <c r="AA2615" i="12"/>
  <c r="AA2616" i="12"/>
  <c r="AA2617" i="12"/>
  <c r="AA2618" i="12"/>
  <c r="AA2619" i="12"/>
  <c r="AA2620" i="12"/>
  <c r="AA2621" i="12"/>
  <c r="AA2622" i="12"/>
  <c r="AA2623" i="12"/>
  <c r="AA2624" i="12"/>
  <c r="AA2625" i="12"/>
  <c r="AA2626" i="12"/>
  <c r="AA2627" i="12"/>
  <c r="AA2628" i="12"/>
  <c r="AA2629" i="12"/>
  <c r="AA2630" i="12"/>
  <c r="AA2631" i="12"/>
  <c r="AA2632" i="12"/>
  <c r="AA2633" i="12"/>
  <c r="AA2634" i="12"/>
  <c r="AA2635" i="12"/>
  <c r="AA2636" i="12"/>
  <c r="AA2637" i="12"/>
  <c r="AA2638" i="12"/>
  <c r="AA2639" i="12"/>
  <c r="AA2640" i="12"/>
  <c r="AA2641" i="12"/>
  <c r="AA2642" i="12"/>
  <c r="AA2643" i="12"/>
  <c r="AA2644" i="12"/>
  <c r="AA2645" i="12"/>
  <c r="AA2646" i="12"/>
  <c r="AA2647" i="12"/>
  <c r="AA2648" i="12"/>
  <c r="AA2649" i="12"/>
  <c r="AA2650" i="12"/>
  <c r="AA2651" i="12"/>
  <c r="AA2652" i="12"/>
  <c r="AA2653" i="12"/>
  <c r="AA2654" i="12"/>
  <c r="AA2655" i="12"/>
  <c r="AA2656" i="12"/>
  <c r="AA2657" i="12"/>
  <c r="AA2658" i="12"/>
  <c r="AA2659" i="12"/>
  <c r="AA2660" i="12"/>
  <c r="AA2661" i="12"/>
  <c r="AA2662" i="12"/>
  <c r="AA2663" i="12"/>
  <c r="AA2664" i="12"/>
  <c r="AA2665" i="12"/>
  <c r="AA2666" i="12"/>
  <c r="AA2667" i="12"/>
  <c r="AA2668" i="12"/>
  <c r="AA2669" i="12"/>
  <c r="AA2670" i="12"/>
  <c r="AA2671" i="12"/>
  <c r="AA2672" i="12"/>
  <c r="AA2673" i="12"/>
  <c r="AA2674" i="12"/>
  <c r="AA2675" i="12"/>
  <c r="AA2676" i="12"/>
  <c r="AA2677" i="12"/>
  <c r="AA2678" i="12"/>
  <c r="AA2679" i="12"/>
  <c r="AA2680" i="12"/>
  <c r="AA2681" i="12"/>
  <c r="AA2682" i="12"/>
  <c r="AA2683" i="12"/>
  <c r="AA2684" i="12"/>
  <c r="AA2685" i="12"/>
  <c r="AA2686" i="12"/>
  <c r="AA2687" i="12"/>
  <c r="AA2688" i="12"/>
  <c r="AA2689" i="12"/>
  <c r="AA2690" i="12"/>
  <c r="AA2691" i="12"/>
  <c r="AA2692" i="12"/>
  <c r="AA2693" i="12"/>
  <c r="AA2694" i="12"/>
  <c r="AA2695" i="12"/>
  <c r="AA2696" i="12"/>
  <c r="AA2697" i="12"/>
  <c r="AA2698" i="12"/>
  <c r="AA2699" i="12"/>
  <c r="AA2700" i="12"/>
  <c r="AA2701" i="12"/>
  <c r="AA2702" i="12"/>
  <c r="AA2703" i="12"/>
  <c r="AA2704" i="12"/>
  <c r="AA2705" i="12"/>
  <c r="AA2706" i="12"/>
  <c r="AA2707" i="12"/>
  <c r="AA2708" i="12"/>
  <c r="AA2709" i="12"/>
  <c r="AA2710" i="12"/>
  <c r="AA2711" i="12"/>
  <c r="AA2712" i="12"/>
  <c r="AA2713" i="12"/>
  <c r="AA2714" i="12"/>
  <c r="AA2715" i="12"/>
  <c r="AA2716" i="12"/>
  <c r="AA2717" i="12"/>
  <c r="AA2718" i="12"/>
  <c r="AA2719" i="12"/>
  <c r="AA2720" i="12"/>
  <c r="AA2721" i="12"/>
  <c r="AA2722" i="12"/>
  <c r="AA2723" i="12"/>
  <c r="AA2724" i="12"/>
  <c r="AA2725" i="12"/>
  <c r="AA2726" i="12"/>
  <c r="AA2727" i="12"/>
  <c r="AA2728" i="12"/>
  <c r="AA2729" i="12"/>
  <c r="AA2730" i="12"/>
  <c r="AA2731" i="12"/>
  <c r="AA2732" i="12"/>
  <c r="AA2733" i="12"/>
  <c r="AA2734" i="12"/>
  <c r="AA2735" i="12"/>
  <c r="AA2736" i="12"/>
  <c r="AA2737" i="12"/>
  <c r="AA2738" i="12"/>
  <c r="AA2739" i="12"/>
  <c r="AA2740" i="12"/>
  <c r="AA2741" i="12"/>
  <c r="AA2742" i="12"/>
  <c r="AA2743" i="12"/>
  <c r="AA2744" i="12"/>
  <c r="AA2745" i="12"/>
  <c r="AA2746" i="12"/>
  <c r="AA2747" i="12"/>
  <c r="AA2748" i="12"/>
  <c r="AA2749" i="12"/>
  <c r="AA2750" i="12"/>
  <c r="AA2751" i="12"/>
  <c r="AA2752" i="12"/>
  <c r="AA2753" i="12"/>
  <c r="AA2754" i="12"/>
  <c r="AA2755" i="12"/>
  <c r="AA2756" i="12"/>
  <c r="AA2757" i="12"/>
  <c r="AA2758" i="12"/>
  <c r="AA2759" i="12"/>
  <c r="AA2760" i="12"/>
  <c r="AA2761" i="12"/>
  <c r="AA2762" i="12"/>
  <c r="AA2763" i="12"/>
  <c r="AA2764" i="12"/>
  <c r="AA2765" i="12"/>
  <c r="AA2766" i="12"/>
  <c r="AA2767" i="12"/>
  <c r="AA2768" i="12"/>
  <c r="AA2769" i="12"/>
  <c r="AA2770" i="12"/>
  <c r="AA2771" i="12"/>
  <c r="AA2772" i="12"/>
  <c r="AA2773" i="12"/>
  <c r="AA2774" i="12"/>
  <c r="AA2775" i="12"/>
  <c r="AA2776" i="12"/>
  <c r="AA2777" i="12"/>
  <c r="AA2778" i="12"/>
  <c r="AA2779" i="12"/>
  <c r="AA2780" i="12"/>
  <c r="AA2781" i="12"/>
  <c r="AA2782" i="12"/>
  <c r="AA2783" i="12"/>
  <c r="AA2784" i="12"/>
  <c r="AA2785" i="12"/>
  <c r="AA2786" i="12"/>
  <c r="AA2787" i="12"/>
  <c r="AA2788" i="12"/>
  <c r="AA2789" i="12"/>
  <c r="AA2790" i="12"/>
  <c r="AA2791" i="12"/>
  <c r="AA2792" i="12"/>
  <c r="AA2793" i="12"/>
  <c r="AA2794" i="12"/>
  <c r="AA2795" i="12"/>
  <c r="AA2796" i="12"/>
  <c r="AA2797" i="12"/>
  <c r="AA2798" i="12"/>
  <c r="AA2799" i="12"/>
  <c r="AA2800" i="12"/>
  <c r="AA2801" i="12"/>
  <c r="AA2802" i="12"/>
  <c r="AA2803" i="12"/>
  <c r="AA2804" i="12"/>
  <c r="AA2805" i="12"/>
  <c r="AA2806" i="12"/>
  <c r="AA2807" i="12"/>
  <c r="AA2808" i="12"/>
  <c r="AA2809" i="12"/>
  <c r="AA2810" i="12"/>
  <c r="AA2811" i="12"/>
  <c r="AA2812" i="12"/>
  <c r="AA2813" i="12"/>
  <c r="AA2814" i="12"/>
  <c r="AA2815" i="12"/>
  <c r="AA2816" i="12"/>
  <c r="AA2817" i="12"/>
  <c r="AA2818" i="12"/>
  <c r="AA2819" i="12"/>
  <c r="AA2820" i="12"/>
  <c r="AA2821" i="12"/>
  <c r="AA2822" i="12"/>
  <c r="AA2823" i="12"/>
  <c r="AA2824" i="12"/>
  <c r="AA2825" i="12"/>
  <c r="AA2826" i="12"/>
  <c r="AA2827" i="12"/>
  <c r="AA2828" i="12"/>
  <c r="AA2829" i="12"/>
  <c r="AA2830" i="12"/>
  <c r="AA2831" i="12"/>
  <c r="AA2832" i="12"/>
  <c r="AA2833" i="12"/>
  <c r="AA2834" i="12"/>
  <c r="AA2835" i="12"/>
  <c r="AA2836" i="12"/>
  <c r="AA2837" i="12"/>
  <c r="AA2838" i="12"/>
  <c r="AA2839" i="12"/>
  <c r="AA2840" i="12"/>
  <c r="AA2841" i="12"/>
  <c r="AA2842" i="12"/>
  <c r="AA2843" i="12"/>
  <c r="AA2844" i="12"/>
  <c r="AA2845" i="12"/>
  <c r="AA2846" i="12"/>
  <c r="AA2847" i="12"/>
  <c r="AA2848" i="12"/>
  <c r="AA2849" i="12"/>
  <c r="AA2850" i="12"/>
  <c r="AA2851" i="12"/>
  <c r="AA2852" i="12"/>
  <c r="AA2853" i="12"/>
  <c r="AA2854" i="12"/>
  <c r="AA2855" i="12"/>
  <c r="AA2856" i="12"/>
  <c r="AA2857" i="12"/>
  <c r="AA2858" i="12"/>
  <c r="AA2859" i="12"/>
  <c r="AA2860" i="12"/>
  <c r="AA2861" i="12"/>
  <c r="AA2862" i="12"/>
  <c r="AA2863" i="12"/>
  <c r="AA2864" i="12"/>
  <c r="AA2865" i="12"/>
  <c r="AA2866" i="12"/>
  <c r="AA2867" i="12"/>
  <c r="AA2868" i="12"/>
  <c r="AA2869" i="12"/>
  <c r="AA2870" i="12"/>
  <c r="AA2871" i="12"/>
  <c r="AA2872" i="12"/>
  <c r="AA2873" i="12"/>
  <c r="AA2874" i="12"/>
  <c r="AA2875" i="12"/>
  <c r="AA2876" i="12"/>
  <c r="AA2877" i="12"/>
  <c r="AA2878" i="12"/>
  <c r="AA2879" i="12"/>
  <c r="AA2880" i="12"/>
  <c r="AA2881" i="12"/>
  <c r="AA2882" i="12"/>
  <c r="AA2883" i="12"/>
  <c r="AA2884" i="12"/>
  <c r="AA2885" i="12"/>
  <c r="AA2886" i="12"/>
  <c r="AA2887" i="12"/>
  <c r="AA2888" i="12"/>
  <c r="AA2889" i="12"/>
  <c r="AA2890" i="12"/>
  <c r="AA2891" i="12"/>
  <c r="AA2892" i="12"/>
  <c r="AA2893" i="12"/>
  <c r="AA2894" i="12"/>
  <c r="AA2895" i="12"/>
  <c r="AA2896" i="12"/>
  <c r="AA2897" i="12"/>
  <c r="AA2898" i="12"/>
  <c r="AA2899" i="12"/>
  <c r="AA2900" i="12"/>
  <c r="AA2901" i="12"/>
  <c r="AA2902" i="12"/>
  <c r="AA2903" i="12"/>
  <c r="AA2904" i="12"/>
  <c r="AA2905" i="12"/>
  <c r="AA2906" i="12"/>
  <c r="AA2907" i="12"/>
  <c r="AA2908" i="12"/>
  <c r="AA2909" i="12"/>
  <c r="AA2910" i="12"/>
  <c r="AA2911" i="12"/>
  <c r="AA2912" i="12"/>
  <c r="AA2913" i="12"/>
  <c r="AA2914" i="12"/>
  <c r="AA2915" i="12"/>
  <c r="AA2916" i="12"/>
  <c r="AA2917" i="12"/>
  <c r="AA2918" i="12"/>
  <c r="AA2919" i="12"/>
  <c r="AA2920" i="12"/>
  <c r="AA2921" i="12"/>
  <c r="AA2922" i="12"/>
  <c r="AA2923" i="12"/>
  <c r="AA2924" i="12"/>
  <c r="AA2925" i="12"/>
  <c r="AA2926" i="12"/>
  <c r="AA2927" i="12"/>
  <c r="AA2928" i="12"/>
  <c r="AA2929" i="12"/>
  <c r="AA2930" i="12"/>
  <c r="AA2931" i="12"/>
  <c r="AA2932" i="12"/>
  <c r="AA2933" i="12"/>
  <c r="AA2934" i="12"/>
  <c r="AA2935" i="12"/>
  <c r="AA2936" i="12"/>
  <c r="AA2937" i="12"/>
  <c r="AA2938" i="12"/>
  <c r="AA2939" i="12"/>
  <c r="AA2940" i="12"/>
  <c r="AA2941" i="12"/>
  <c r="AA2942" i="12"/>
  <c r="AA2943" i="12"/>
  <c r="AA2944" i="12"/>
  <c r="AA2945" i="12"/>
  <c r="AA2946" i="12"/>
  <c r="AA2947" i="12"/>
  <c r="AA2948" i="12"/>
  <c r="AA2949" i="12"/>
  <c r="AA2950" i="12"/>
  <c r="AA2951" i="12"/>
  <c r="AA2952" i="12"/>
  <c r="AA2953" i="12"/>
  <c r="AA2954" i="12"/>
  <c r="AA2955" i="12"/>
  <c r="AA2956" i="12"/>
  <c r="AA2957" i="12"/>
  <c r="AA2958" i="12"/>
  <c r="AA2959" i="12"/>
  <c r="AA2960" i="12"/>
  <c r="AA2961" i="12"/>
  <c r="AA2962" i="12"/>
  <c r="AA2963" i="12"/>
  <c r="AA2964" i="12"/>
  <c r="AA2965" i="12"/>
  <c r="AA2966" i="12"/>
  <c r="AA2967" i="12"/>
  <c r="AA2968" i="12"/>
  <c r="AA2969" i="12"/>
  <c r="AA2970" i="12"/>
  <c r="AA2971" i="12"/>
  <c r="AA2972" i="12"/>
  <c r="AA2973" i="12"/>
  <c r="AA2974" i="12"/>
  <c r="AA2975" i="12"/>
  <c r="AA2976" i="12"/>
  <c r="AA2977" i="12"/>
  <c r="AA2978" i="12"/>
  <c r="AA2979" i="12"/>
  <c r="AA2980" i="12"/>
  <c r="AA2981" i="12"/>
  <c r="AA2982" i="12"/>
  <c r="AA2983" i="12"/>
  <c r="AA2984" i="12"/>
  <c r="AA2985" i="12"/>
  <c r="AA2986" i="12"/>
  <c r="AA2987" i="12"/>
  <c r="AA2988" i="12"/>
  <c r="AA2989" i="12"/>
  <c r="AA2990" i="12"/>
  <c r="AA2991" i="12"/>
  <c r="AA2992" i="12"/>
  <c r="AA2993" i="12"/>
  <c r="AA2994" i="12"/>
  <c r="AA2995" i="12"/>
  <c r="AA2996" i="12"/>
  <c r="AA2997" i="12"/>
  <c r="AA2998" i="12"/>
  <c r="AA2999" i="12"/>
  <c r="AA3000" i="12"/>
  <c r="AA3001" i="12"/>
  <c r="AA3002" i="12"/>
  <c r="AA3003" i="12"/>
  <c r="AA3004" i="12"/>
  <c r="AA3005" i="12"/>
  <c r="AA3006" i="12"/>
  <c r="AA3007" i="12"/>
  <c r="AA3008" i="12"/>
  <c r="AA3009" i="12"/>
  <c r="AA3010" i="12"/>
  <c r="AA3011" i="12"/>
  <c r="AA3012" i="12"/>
  <c r="AA3013" i="12"/>
  <c r="AA3014" i="12"/>
  <c r="AA3015" i="12"/>
  <c r="AA3016" i="12"/>
  <c r="AA3017" i="12"/>
  <c r="AA3018" i="12"/>
  <c r="AA3019" i="12"/>
  <c r="AA3020" i="12"/>
  <c r="AA3021" i="12"/>
  <c r="AA3022" i="12"/>
  <c r="AA3023" i="12"/>
  <c r="AA3024" i="12"/>
  <c r="AA3025" i="12"/>
  <c r="AA3026" i="12"/>
  <c r="AA3027" i="12"/>
  <c r="AA3028" i="12"/>
  <c r="AA3029" i="12"/>
  <c r="AA3030" i="12"/>
  <c r="AA3031" i="12"/>
  <c r="AA3032" i="12"/>
  <c r="AA3033" i="12"/>
  <c r="AA3034" i="12"/>
  <c r="AA3035" i="12"/>
  <c r="AA3036" i="12"/>
  <c r="AA3037" i="12"/>
  <c r="AA3038" i="12"/>
  <c r="AA3039" i="12"/>
  <c r="AA3040" i="12"/>
  <c r="AA3041" i="12"/>
  <c r="AA3042" i="12"/>
  <c r="AA3043" i="12"/>
  <c r="AA3044" i="12"/>
  <c r="AA3045" i="12"/>
  <c r="AA3046" i="12"/>
  <c r="AA3047" i="12"/>
  <c r="AA3048" i="12"/>
  <c r="AA3049" i="12"/>
  <c r="AA3050" i="12"/>
  <c r="AA3051" i="12"/>
  <c r="AA3052" i="12"/>
  <c r="AA3053" i="12"/>
  <c r="AA3054" i="12"/>
  <c r="AA3055" i="12"/>
  <c r="AA3056" i="12"/>
  <c r="AA3057" i="12"/>
  <c r="AA3058" i="12"/>
  <c r="AA3059" i="12"/>
  <c r="AA3060" i="12"/>
  <c r="AA3061" i="12"/>
  <c r="AA3062" i="12"/>
  <c r="AA3063" i="12"/>
  <c r="AA3064" i="12"/>
  <c r="AA3065" i="12"/>
  <c r="AA3066" i="12"/>
  <c r="AA3067" i="12"/>
  <c r="AA3068" i="12"/>
  <c r="AA3069" i="12"/>
  <c r="AA3070" i="12"/>
  <c r="AA3071" i="12"/>
  <c r="AA3072" i="12"/>
  <c r="AA3073" i="12"/>
  <c r="AA3074" i="12"/>
  <c r="AA3075" i="12"/>
  <c r="AA3076" i="12"/>
  <c r="AA3077" i="12"/>
  <c r="AA3078" i="12"/>
  <c r="AA3079" i="12"/>
  <c r="AA3080" i="12"/>
  <c r="AA3081" i="12"/>
  <c r="AA3082" i="12"/>
  <c r="AA3083" i="12"/>
  <c r="AA3084" i="12"/>
  <c r="AA3085" i="12"/>
  <c r="AA3086" i="12"/>
  <c r="AA3087" i="12"/>
  <c r="AA3088" i="12"/>
  <c r="AA3089" i="12"/>
  <c r="AA3090" i="12"/>
  <c r="AA3091" i="12"/>
  <c r="AA3092" i="12"/>
  <c r="AA3093" i="12"/>
  <c r="AA3094" i="12"/>
  <c r="AA3095" i="12"/>
  <c r="AA3096" i="12"/>
  <c r="AA3097" i="12"/>
  <c r="AA3098" i="12"/>
  <c r="AA3099" i="12"/>
  <c r="AA3100" i="12"/>
  <c r="AA3101" i="12"/>
  <c r="AA3102" i="12"/>
  <c r="AA3103" i="12"/>
  <c r="AA3104" i="12"/>
  <c r="AA3105" i="12"/>
  <c r="AA3106" i="12"/>
  <c r="AA3107" i="12"/>
  <c r="AA3108" i="12"/>
  <c r="AA3109" i="12"/>
  <c r="AA3110" i="12"/>
  <c r="AA3111" i="12"/>
  <c r="AA3112" i="12"/>
  <c r="AA3113" i="12"/>
  <c r="AA3114" i="12"/>
  <c r="AA3115" i="12"/>
  <c r="AA3116" i="12"/>
  <c r="AA3117" i="12"/>
  <c r="AA3118" i="12"/>
  <c r="AA3119" i="12"/>
  <c r="AA3120" i="12"/>
  <c r="AA3121" i="12"/>
  <c r="AA3122" i="12"/>
  <c r="AA3123" i="12"/>
  <c r="AA3124" i="12"/>
  <c r="AA3125" i="12"/>
  <c r="AA3126" i="12"/>
  <c r="AA3127" i="12"/>
  <c r="AA3128" i="12"/>
  <c r="AA3129" i="12"/>
  <c r="AA3130" i="12"/>
  <c r="AA3131" i="12"/>
  <c r="AA3132" i="12"/>
  <c r="AA3133" i="12"/>
  <c r="AA3134" i="12"/>
  <c r="AA3135" i="12"/>
  <c r="AA3136" i="12"/>
  <c r="AA3137" i="12"/>
  <c r="AA3138" i="12"/>
  <c r="AA3139" i="12"/>
  <c r="AA3140" i="12"/>
  <c r="AA3141" i="12"/>
  <c r="AA3142" i="12"/>
  <c r="AA3143" i="12"/>
  <c r="AA3144" i="12"/>
  <c r="AA3145" i="12"/>
  <c r="AA3146" i="12"/>
  <c r="AA3147" i="12"/>
  <c r="AA3148" i="12"/>
  <c r="AA3149" i="12"/>
  <c r="AA3150" i="12"/>
  <c r="AA3151" i="12"/>
  <c r="AA3152" i="12"/>
  <c r="AA3153" i="12"/>
  <c r="AA3154" i="12"/>
  <c r="AA3155" i="12"/>
  <c r="AA3156" i="12"/>
  <c r="AA3157" i="12"/>
  <c r="AA3158" i="12"/>
  <c r="AA3159" i="12"/>
  <c r="AA3160" i="12"/>
  <c r="AA3161" i="12"/>
  <c r="AA3162" i="12"/>
  <c r="AA3163" i="12"/>
  <c r="AA3164" i="12"/>
  <c r="AA3165" i="12"/>
  <c r="AA3166" i="12"/>
  <c r="AA3167" i="12"/>
  <c r="AA3168" i="12"/>
  <c r="AA3169" i="12"/>
  <c r="AA3170" i="12"/>
  <c r="AA3171" i="12"/>
  <c r="AA3172" i="12"/>
  <c r="AA3173" i="12"/>
  <c r="AA3174" i="12"/>
  <c r="AA3175" i="12"/>
  <c r="AA3176" i="12"/>
  <c r="AA3177" i="12"/>
  <c r="AA3178" i="12"/>
  <c r="AA3179" i="12"/>
  <c r="AA3180" i="12"/>
  <c r="AA3181" i="12"/>
  <c r="AA3182" i="12"/>
  <c r="AA3183" i="12"/>
  <c r="AA3184" i="12"/>
  <c r="AA3185" i="12"/>
  <c r="AA3186" i="12"/>
  <c r="AA3187" i="12"/>
  <c r="AA3188" i="12"/>
  <c r="AA3189" i="12"/>
  <c r="AA3190" i="12"/>
  <c r="AA3191" i="12"/>
  <c r="AA3192" i="12"/>
  <c r="AA3193" i="12"/>
  <c r="AA3194" i="12"/>
  <c r="AA3195" i="12"/>
  <c r="AA3196" i="12"/>
  <c r="AA3197" i="12"/>
  <c r="AA3198" i="12"/>
  <c r="AA3199" i="12"/>
  <c r="AA3200" i="12"/>
  <c r="AA3201" i="12"/>
  <c r="AA3202" i="12"/>
  <c r="AA3203" i="12"/>
  <c r="AA3204" i="12"/>
  <c r="AA3205" i="12"/>
  <c r="AA3206" i="12"/>
  <c r="AA3207" i="12"/>
  <c r="AA3208" i="12"/>
  <c r="AA3209" i="12"/>
  <c r="AA3210" i="12"/>
  <c r="AA3211" i="12"/>
  <c r="AA3212" i="12"/>
  <c r="AA3213" i="12"/>
  <c r="AA3214" i="12"/>
  <c r="AA3215" i="12"/>
  <c r="AA3216" i="12"/>
  <c r="AA3217" i="12"/>
  <c r="AA3218" i="12"/>
  <c r="AA3219" i="12"/>
  <c r="AA3220" i="12"/>
  <c r="AA3221" i="12"/>
  <c r="AA3222" i="12"/>
  <c r="AA3223" i="12"/>
  <c r="AA3224" i="12"/>
  <c r="AA3225" i="12"/>
  <c r="AA3226" i="12"/>
  <c r="AA3227" i="12"/>
  <c r="AA3228" i="12"/>
  <c r="AA3229" i="12"/>
  <c r="AA3230" i="12"/>
  <c r="AA3231" i="12"/>
  <c r="AA3232" i="12"/>
  <c r="AA3233" i="12"/>
  <c r="AA3234" i="12"/>
  <c r="AA3235" i="12"/>
  <c r="AA3236" i="12"/>
  <c r="AA3237" i="12"/>
  <c r="AA3238" i="12"/>
  <c r="AA3239" i="12"/>
  <c r="AA3240" i="12"/>
  <c r="AA3241" i="12"/>
  <c r="AA3242" i="12"/>
  <c r="AA3243" i="12"/>
  <c r="AA3244" i="12"/>
  <c r="AA3245" i="12"/>
  <c r="AA3246" i="12"/>
  <c r="AA3247" i="12"/>
  <c r="AA3248" i="12"/>
  <c r="AA3249" i="12"/>
  <c r="AA3250" i="12"/>
  <c r="AA3251" i="12"/>
  <c r="AA3252" i="12"/>
  <c r="AA3253" i="12"/>
  <c r="AA3254" i="12"/>
  <c r="AA3255" i="12"/>
  <c r="AA3256" i="12"/>
  <c r="AA3257" i="12"/>
  <c r="AA3258" i="12"/>
  <c r="AA3259" i="12"/>
  <c r="AA3260" i="12"/>
  <c r="AA3261" i="12"/>
  <c r="AA3262" i="12"/>
  <c r="AA3263" i="12"/>
  <c r="AA3264" i="12"/>
  <c r="AA3265" i="12"/>
  <c r="AA3266" i="12"/>
  <c r="AA3267" i="12"/>
  <c r="AA3268" i="12"/>
  <c r="AA3269" i="12"/>
  <c r="AA3270" i="12"/>
  <c r="AA3271" i="12"/>
  <c r="AA3272" i="12"/>
  <c r="AA3273" i="12"/>
  <c r="AA3274" i="12"/>
  <c r="AA3275" i="12"/>
  <c r="AA3276" i="12"/>
  <c r="AA3277" i="12"/>
  <c r="AA3278" i="12"/>
  <c r="AA3279" i="12"/>
  <c r="AA3280" i="12"/>
  <c r="AA3281" i="12"/>
  <c r="AA3282" i="12"/>
  <c r="AA3283" i="12"/>
  <c r="AA3284" i="12"/>
  <c r="AA3285" i="12"/>
  <c r="AA3286" i="12"/>
  <c r="AA3287" i="12"/>
  <c r="AA3288" i="12"/>
  <c r="AA3289" i="12"/>
  <c r="AA3290" i="12"/>
  <c r="AA3291" i="12"/>
  <c r="AA3292" i="12"/>
  <c r="AA3293" i="12"/>
  <c r="AA3294" i="12"/>
  <c r="AA3295" i="12"/>
  <c r="AA3296" i="12"/>
  <c r="AA3297" i="12"/>
  <c r="AA3298" i="12"/>
  <c r="AA3299" i="12"/>
  <c r="AA3300" i="12"/>
  <c r="AA3301" i="12"/>
  <c r="AA3302" i="12"/>
  <c r="AA3303" i="12"/>
  <c r="AA3304" i="12"/>
  <c r="AA3305" i="12"/>
  <c r="AA3306" i="12"/>
  <c r="AA3307" i="12"/>
  <c r="AA3308" i="12"/>
  <c r="AA3309" i="12"/>
  <c r="AA3310" i="12"/>
  <c r="AA3311" i="12"/>
  <c r="AA3312" i="12"/>
  <c r="AA3313" i="12"/>
  <c r="AA3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X3001" i="12"/>
  <c r="X3002" i="12"/>
  <c r="X3003" i="12"/>
  <c r="X3004" i="12"/>
  <c r="X3005" i="12"/>
  <c r="X3006" i="12"/>
  <c r="X3007" i="12"/>
  <c r="X3008" i="12"/>
  <c r="X3009" i="12"/>
  <c r="X3010" i="12"/>
  <c r="X3011" i="12"/>
  <c r="X3012" i="12"/>
  <c r="X3013" i="12"/>
  <c r="X3014" i="12"/>
  <c r="X3015" i="12"/>
  <c r="X3016" i="12"/>
  <c r="X3017" i="12"/>
  <c r="X3018" i="12"/>
  <c r="X3019" i="12"/>
  <c r="X3020" i="12"/>
  <c r="X3021" i="12"/>
  <c r="X3022" i="12"/>
  <c r="X3023" i="12"/>
  <c r="X3024" i="12"/>
  <c r="X3025" i="12"/>
  <c r="X3026" i="12"/>
  <c r="X3027" i="12"/>
  <c r="X3028" i="12"/>
  <c r="X3029" i="12"/>
  <c r="X3030" i="12"/>
  <c r="X3031" i="12"/>
  <c r="X3032" i="12"/>
  <c r="X3033" i="12"/>
  <c r="X3034" i="12"/>
  <c r="X3035" i="12"/>
  <c r="X3036" i="12"/>
  <c r="X3037" i="12"/>
  <c r="X3038" i="12"/>
  <c r="X3039" i="12"/>
  <c r="X3040" i="12"/>
  <c r="X3041" i="12"/>
  <c r="X3042" i="12"/>
  <c r="X3043" i="12"/>
  <c r="X3044" i="12"/>
  <c r="X3045" i="12"/>
  <c r="X3046" i="12"/>
  <c r="X3047" i="12"/>
  <c r="X3048" i="12"/>
  <c r="X3049" i="12"/>
  <c r="X3050" i="12"/>
  <c r="X3051" i="12"/>
  <c r="X3052" i="12"/>
  <c r="X3053" i="12"/>
  <c r="X3054" i="12"/>
  <c r="X3055" i="12"/>
  <c r="X3056" i="12"/>
  <c r="X3057" i="12"/>
  <c r="X3058" i="12"/>
  <c r="X3059" i="12"/>
  <c r="X3060" i="12"/>
  <c r="X3061" i="12"/>
  <c r="X3062" i="12"/>
  <c r="X3063" i="12"/>
  <c r="X3064" i="12"/>
  <c r="X3065" i="12"/>
  <c r="X3066" i="12"/>
  <c r="X3067" i="12"/>
  <c r="X3068" i="12"/>
  <c r="X3069" i="12"/>
  <c r="X3070" i="12"/>
  <c r="X3071" i="12"/>
  <c r="X3072" i="12"/>
  <c r="X3073" i="12"/>
  <c r="X3074" i="12"/>
  <c r="X3075" i="12"/>
  <c r="X3076" i="12"/>
  <c r="X3077" i="12"/>
  <c r="X3078" i="12"/>
  <c r="X3079" i="12"/>
  <c r="X3080" i="12"/>
  <c r="X3081" i="12"/>
  <c r="X3082" i="12"/>
  <c r="X3083" i="12"/>
  <c r="X3084" i="12"/>
  <c r="X3085" i="12"/>
  <c r="X3086" i="12"/>
  <c r="X3087" i="12"/>
  <c r="X3088" i="12"/>
  <c r="X3089" i="12"/>
  <c r="X3090" i="12"/>
  <c r="X3091" i="12"/>
  <c r="X3092" i="12"/>
  <c r="X3093" i="12"/>
  <c r="X3094" i="12"/>
  <c r="X3095" i="12"/>
  <c r="X3096" i="12"/>
  <c r="X3097" i="12"/>
  <c r="X3098" i="12"/>
  <c r="X3099" i="12"/>
  <c r="X3100" i="12"/>
  <c r="X3101" i="12"/>
  <c r="X3102" i="12"/>
  <c r="X3103" i="12"/>
  <c r="X3104" i="12"/>
  <c r="X3105" i="12"/>
  <c r="X3106" i="12"/>
  <c r="X3107" i="12"/>
  <c r="X3108" i="12"/>
  <c r="X3109" i="12"/>
  <c r="X3110" i="12"/>
  <c r="X3111" i="12"/>
  <c r="X3112" i="12"/>
  <c r="X3113" i="12"/>
  <c r="AU15" i="9" l="1"/>
  <c r="AT15" i="9" s="1"/>
  <c r="AJ61" i="9" l="1"/>
  <c r="AJ65" i="9"/>
  <c r="AJ68" i="9"/>
  <c r="AJ69" i="9"/>
  <c r="AD30" i="9"/>
  <c r="X7" i="9"/>
  <c r="X57" i="9"/>
  <c r="X89" i="9"/>
  <c r="DJ7" i="9"/>
  <c r="DI7" i="9" s="1"/>
  <c r="DJ8" i="9"/>
  <c r="DI8" i="9" s="1"/>
  <c r="DJ9" i="9"/>
  <c r="DI9" i="9" s="1"/>
  <c r="DJ10" i="9"/>
  <c r="DI10" i="9" s="1"/>
  <c r="DJ11" i="9"/>
  <c r="DI11" i="9" s="1"/>
  <c r="DJ12" i="9"/>
  <c r="DI12" i="9" s="1"/>
  <c r="DJ13" i="9"/>
  <c r="DI13" i="9" s="1"/>
  <c r="DJ14" i="9"/>
  <c r="DI14" i="9" s="1"/>
  <c r="DJ15" i="9"/>
  <c r="DI15" i="9" s="1"/>
  <c r="DJ16" i="9"/>
  <c r="DI16" i="9" s="1"/>
  <c r="DJ17" i="9"/>
  <c r="DI17" i="9" s="1"/>
  <c r="DJ18" i="9"/>
  <c r="DI18" i="9" s="1"/>
  <c r="DJ19" i="9"/>
  <c r="DI19" i="9" s="1"/>
  <c r="DJ20" i="9"/>
  <c r="DI20" i="9" s="1"/>
  <c r="DJ21" i="9"/>
  <c r="DI21" i="9" s="1"/>
  <c r="DJ22" i="9"/>
  <c r="DI22" i="9" s="1"/>
  <c r="DJ23" i="9"/>
  <c r="DI23" i="9" s="1"/>
  <c r="DJ6" i="9"/>
  <c r="DI6" i="9" s="1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83" i="2"/>
  <c r="L4" i="2"/>
  <c r="L8" i="2"/>
  <c r="L10" i="2"/>
  <c r="L16" i="2"/>
  <c r="L17" i="2"/>
  <c r="L18" i="2"/>
  <c r="L19" i="2"/>
  <c r="L20" i="2"/>
  <c r="L21" i="2"/>
  <c r="L22" i="2"/>
  <c r="L23" i="2"/>
  <c r="L24" i="2"/>
  <c r="L25" i="2"/>
  <c r="L26" i="2"/>
  <c r="L27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K4" i="2"/>
  <c r="K5" i="2"/>
  <c r="K6" i="2"/>
  <c r="K7" i="2"/>
  <c r="K8" i="2"/>
  <c r="N8" i="2" s="1"/>
  <c r="X11" i="9" s="1"/>
  <c r="K9" i="2"/>
  <c r="K10" i="2"/>
  <c r="N10" i="2" s="1"/>
  <c r="X13" i="9" s="1"/>
  <c r="K11" i="2"/>
  <c r="K12" i="2"/>
  <c r="K13" i="2"/>
  <c r="K14" i="2"/>
  <c r="K15" i="2"/>
  <c r="K16" i="2"/>
  <c r="N16" i="2" s="1"/>
  <c r="X19" i="9" s="1"/>
  <c r="K17" i="2"/>
  <c r="N17" i="2" s="1"/>
  <c r="X20" i="9" s="1"/>
  <c r="K18" i="2"/>
  <c r="N18" i="2" s="1"/>
  <c r="X21" i="9" s="1"/>
  <c r="K19" i="2"/>
  <c r="N19" i="2" s="1"/>
  <c r="X22" i="9" s="1"/>
  <c r="K20" i="2"/>
  <c r="N20" i="2" s="1"/>
  <c r="X23" i="9" s="1"/>
  <c r="K21" i="2"/>
  <c r="N21" i="2" s="1"/>
  <c r="X24" i="9" s="1"/>
  <c r="K22" i="2"/>
  <c r="N22" i="2" s="1"/>
  <c r="X25" i="9" s="1"/>
  <c r="K23" i="2"/>
  <c r="N23" i="2" s="1"/>
  <c r="X26" i="9" s="1"/>
  <c r="K24" i="2"/>
  <c r="N24" i="2" s="1"/>
  <c r="X27" i="9" s="1"/>
  <c r="K25" i="2"/>
  <c r="N25" i="2" s="1"/>
  <c r="X28" i="9" s="1"/>
  <c r="K26" i="2"/>
  <c r="N26" i="2" s="1"/>
  <c r="X29" i="9" s="1"/>
  <c r="K27" i="2"/>
  <c r="N27" i="2" s="1"/>
  <c r="X30" i="9" s="1"/>
  <c r="K29" i="2"/>
  <c r="N29" i="2" s="1"/>
  <c r="X32" i="9" s="1"/>
  <c r="K30" i="2"/>
  <c r="N30" i="2" s="1"/>
  <c r="X33" i="9" s="1"/>
  <c r="K31" i="2"/>
  <c r="N31" i="2" s="1"/>
  <c r="X34" i="9" s="1"/>
  <c r="K32" i="2"/>
  <c r="N32" i="2" s="1"/>
  <c r="X35" i="9" s="1"/>
  <c r="K33" i="2"/>
  <c r="N33" i="2" s="1"/>
  <c r="X36" i="9" s="1"/>
  <c r="K34" i="2"/>
  <c r="N34" i="2" s="1"/>
  <c r="X37" i="9" s="1"/>
  <c r="K35" i="2"/>
  <c r="N35" i="2" s="1"/>
  <c r="X38" i="9" s="1"/>
  <c r="K36" i="2"/>
  <c r="N36" i="2" s="1"/>
  <c r="X39" i="9" s="1"/>
  <c r="K37" i="2"/>
  <c r="N37" i="2" s="1"/>
  <c r="X40" i="9" s="1"/>
  <c r="K38" i="2"/>
  <c r="N38" i="2" s="1"/>
  <c r="X41" i="9" s="1"/>
  <c r="K39" i="2"/>
  <c r="N39" i="2" s="1"/>
  <c r="X42" i="9" s="1"/>
  <c r="K40" i="2"/>
  <c r="N40" i="2" s="1"/>
  <c r="X43" i="9" s="1"/>
  <c r="K41" i="2"/>
  <c r="N41" i="2" s="1"/>
  <c r="X44" i="9" s="1"/>
  <c r="K42" i="2"/>
  <c r="N42" i="2" s="1"/>
  <c r="X45" i="9" s="1"/>
  <c r="K43" i="2"/>
  <c r="N43" i="2" s="1"/>
  <c r="X46" i="9" s="1"/>
  <c r="K44" i="2"/>
  <c r="N44" i="2" s="1"/>
  <c r="X47" i="9" s="1"/>
  <c r="K45" i="2"/>
  <c r="N45" i="2" s="1"/>
  <c r="X48" i="9" s="1"/>
  <c r="K46" i="2"/>
  <c r="N46" i="2" s="1"/>
  <c r="X49" i="9" s="1"/>
  <c r="K47" i="2"/>
  <c r="N47" i="2" s="1"/>
  <c r="X50" i="9" s="1"/>
  <c r="K48" i="2"/>
  <c r="N48" i="2" s="1"/>
  <c r="X51" i="9" s="1"/>
  <c r="K49" i="2"/>
  <c r="N49" i="2" s="1"/>
  <c r="X52" i="9" s="1"/>
  <c r="K50" i="2"/>
  <c r="N50" i="2" s="1"/>
  <c r="X53" i="9" s="1"/>
  <c r="K51" i="2"/>
  <c r="N51" i="2" s="1"/>
  <c r="X54" i="9" s="1"/>
  <c r="K52" i="2"/>
  <c r="N52" i="2" s="1"/>
  <c r="X55" i="9" s="1"/>
  <c r="K53" i="2"/>
  <c r="N53" i="2" s="1"/>
  <c r="X56" i="9" s="1"/>
  <c r="K54" i="2"/>
  <c r="K55" i="2"/>
  <c r="N55" i="2" s="1"/>
  <c r="X58" i="9" s="1"/>
  <c r="K56" i="2"/>
  <c r="N56" i="2" s="1"/>
  <c r="X59" i="9" s="1"/>
  <c r="K57" i="2"/>
  <c r="N57" i="2" s="1"/>
  <c r="X60" i="9" s="1"/>
  <c r="K58" i="2"/>
  <c r="N58" i="2" s="1"/>
  <c r="X61" i="9" s="1"/>
  <c r="K59" i="2"/>
  <c r="N59" i="2" s="1"/>
  <c r="X62" i="9" s="1"/>
  <c r="K60" i="2"/>
  <c r="N60" i="2" s="1"/>
  <c r="X63" i="9" s="1"/>
  <c r="K61" i="2"/>
  <c r="N61" i="2" s="1"/>
  <c r="X64" i="9" s="1"/>
  <c r="K62" i="2"/>
  <c r="N62" i="2" s="1"/>
  <c r="X65" i="9" s="1"/>
  <c r="K63" i="2"/>
  <c r="N63" i="2" s="1"/>
  <c r="X66" i="9" s="1"/>
  <c r="K64" i="2"/>
  <c r="N64" i="2" s="1"/>
  <c r="X67" i="9" s="1"/>
  <c r="K65" i="2"/>
  <c r="N65" i="2" s="1"/>
  <c r="X68" i="9" s="1"/>
  <c r="K66" i="2"/>
  <c r="N66" i="2" s="1"/>
  <c r="X69" i="9" s="1"/>
  <c r="K67" i="2"/>
  <c r="N67" i="2" s="1"/>
  <c r="X70" i="9" s="1"/>
  <c r="K68" i="2"/>
  <c r="N68" i="2" s="1"/>
  <c r="X71" i="9" s="1"/>
  <c r="K69" i="2"/>
  <c r="N69" i="2" s="1"/>
  <c r="X72" i="9" s="1"/>
  <c r="K70" i="2"/>
  <c r="N70" i="2" s="1"/>
  <c r="X73" i="9" s="1"/>
  <c r="K71" i="2"/>
  <c r="N71" i="2" s="1"/>
  <c r="X74" i="9" s="1"/>
  <c r="K72" i="2"/>
  <c r="N72" i="2" s="1"/>
  <c r="X75" i="9" s="1"/>
  <c r="K73" i="2"/>
  <c r="N73" i="2" s="1"/>
  <c r="X76" i="9" s="1"/>
  <c r="K74" i="2"/>
  <c r="N74" i="2" s="1"/>
  <c r="X77" i="9" s="1"/>
  <c r="K75" i="2"/>
  <c r="N75" i="2" s="1"/>
  <c r="X78" i="9" s="1"/>
  <c r="K76" i="2"/>
  <c r="N76" i="2" s="1"/>
  <c r="X79" i="9" s="1"/>
  <c r="K77" i="2"/>
  <c r="N77" i="2" s="1"/>
  <c r="X80" i="9" s="1"/>
  <c r="K78" i="2"/>
  <c r="N78" i="2" s="1"/>
  <c r="X81" i="9" s="1"/>
  <c r="K79" i="2"/>
  <c r="N79" i="2" s="1"/>
  <c r="X82" i="9" s="1"/>
  <c r="K80" i="2"/>
  <c r="N80" i="2" s="1"/>
  <c r="X83" i="9" s="1"/>
  <c r="K81" i="2"/>
  <c r="N81" i="2" s="1"/>
  <c r="X84" i="9" s="1"/>
  <c r="K82" i="2"/>
  <c r="N82" i="2" s="1"/>
  <c r="X85" i="9" s="1"/>
  <c r="K83" i="2"/>
  <c r="N83" i="2" s="1"/>
  <c r="X86" i="9" s="1"/>
  <c r="K84" i="2"/>
  <c r="N84" i="2" s="1"/>
  <c r="X87" i="9" s="1"/>
  <c r="K85" i="2"/>
  <c r="N85" i="2" s="1"/>
  <c r="X88" i="9" s="1"/>
  <c r="K86" i="2"/>
  <c r="K87" i="2"/>
  <c r="N87" i="2" s="1"/>
  <c r="X90" i="9" s="1"/>
  <c r="K88" i="2"/>
  <c r="N88" i="2" s="1"/>
  <c r="X91" i="9" s="1"/>
  <c r="K89" i="2"/>
  <c r="N89" i="2" s="1"/>
  <c r="X92" i="9" s="1"/>
  <c r="K90" i="2"/>
  <c r="N90" i="2" s="1"/>
  <c r="X93" i="9" s="1"/>
  <c r="K91" i="2"/>
  <c r="N91" i="2" s="1"/>
  <c r="X94" i="9" s="1"/>
  <c r="K92" i="2"/>
  <c r="N92" i="2" s="1"/>
  <c r="X95" i="9" s="1"/>
  <c r="K93" i="2"/>
  <c r="N93" i="2" s="1"/>
  <c r="X96" i="9" s="1"/>
  <c r="K94" i="2"/>
  <c r="N94" i="2" s="1"/>
  <c r="X97" i="9" s="1"/>
  <c r="K95" i="2"/>
  <c r="N95" i="2" s="1"/>
  <c r="X98" i="9" s="1"/>
  <c r="K96" i="2"/>
  <c r="N96" i="2" s="1"/>
  <c r="X99" i="9" s="1"/>
  <c r="K97" i="2"/>
  <c r="N97" i="2" s="1"/>
  <c r="X100" i="9" s="1"/>
  <c r="K98" i="2"/>
  <c r="N98" i="2" s="1"/>
  <c r="X101" i="9" s="1"/>
  <c r="K99" i="2"/>
  <c r="N99" i="2" s="1"/>
  <c r="X102" i="9" s="1"/>
  <c r="K100" i="2"/>
  <c r="N100" i="2" s="1"/>
  <c r="X103" i="9" s="1"/>
  <c r="K101" i="2"/>
  <c r="N101" i="2" s="1"/>
  <c r="X104" i="9" s="1"/>
  <c r="K102" i="2"/>
  <c r="N102" i="2" s="1"/>
  <c r="X105" i="9" s="1"/>
  <c r="K103" i="2"/>
  <c r="N103" i="2" s="1"/>
  <c r="X106" i="9" s="1"/>
  <c r="K104" i="2"/>
  <c r="N104" i="2" s="1"/>
  <c r="X107" i="9" s="1"/>
  <c r="K105" i="2"/>
  <c r="N105" i="2" s="1"/>
  <c r="X108" i="9" s="1"/>
  <c r="K106" i="2"/>
  <c r="N106" i="2" s="1"/>
  <c r="X109" i="9" s="1"/>
  <c r="K107" i="2"/>
  <c r="N107" i="2" s="1"/>
  <c r="X110" i="9" s="1"/>
  <c r="K108" i="2"/>
  <c r="N108" i="2" s="1"/>
  <c r="X111" i="9" s="1"/>
  <c r="K109" i="2"/>
  <c r="N109" i="2" s="1"/>
  <c r="X112" i="9" s="1"/>
  <c r="K110" i="2"/>
  <c r="N110" i="2" s="1"/>
  <c r="X113" i="9" s="1"/>
  <c r="K111" i="2"/>
  <c r="N111" i="2" s="1"/>
  <c r="X114" i="9" s="1"/>
  <c r="K112" i="2"/>
  <c r="N112" i="2" s="1"/>
  <c r="X115" i="9" s="1"/>
  <c r="K113" i="2"/>
  <c r="N113" i="2" s="1"/>
  <c r="X116" i="9" s="1"/>
  <c r="K114" i="2"/>
  <c r="N114" i="2" s="1"/>
  <c r="X117" i="9" s="1"/>
  <c r="K115" i="2"/>
  <c r="N115" i="2" s="1"/>
  <c r="X118" i="9" s="1"/>
  <c r="K116" i="2"/>
  <c r="N116" i="2" s="1"/>
  <c r="X119" i="9" s="1"/>
  <c r="K117" i="2"/>
  <c r="N117" i="2" s="1"/>
  <c r="X120" i="9" s="1"/>
  <c r="K118" i="2"/>
  <c r="N118" i="2" s="1"/>
  <c r="X121" i="9" s="1"/>
  <c r="K119" i="2"/>
  <c r="N119" i="2" s="1"/>
  <c r="X122" i="9" s="1"/>
  <c r="K120" i="2"/>
  <c r="N120" i="2" s="1"/>
  <c r="X123" i="9" s="1"/>
  <c r="K121" i="2"/>
  <c r="N121" i="2" s="1"/>
  <c r="X124" i="9" s="1"/>
  <c r="K122" i="2"/>
  <c r="N122" i="2" s="1"/>
  <c r="X125" i="9" s="1"/>
  <c r="K123" i="2"/>
  <c r="N123" i="2" s="1"/>
  <c r="X126" i="9" s="1"/>
  <c r="K124" i="2"/>
  <c r="N124" i="2" s="1"/>
  <c r="X127" i="9" s="1"/>
  <c r="K125" i="2"/>
  <c r="N125" i="2" s="1"/>
  <c r="X128" i="9" s="1"/>
  <c r="K126" i="2"/>
  <c r="N126" i="2" s="1"/>
  <c r="X129" i="9" s="1"/>
  <c r="K127" i="2"/>
  <c r="N127" i="2" s="1"/>
  <c r="X130" i="9" s="1"/>
  <c r="K128" i="2"/>
  <c r="N128" i="2" s="1"/>
  <c r="X131" i="9" s="1"/>
  <c r="K129" i="2"/>
  <c r="N129" i="2" s="1"/>
  <c r="X132" i="9" s="1"/>
  <c r="K130" i="2"/>
  <c r="N130" i="2" s="1"/>
  <c r="X133" i="9" s="1"/>
  <c r="K131" i="2"/>
  <c r="N131" i="2" s="1"/>
  <c r="X134" i="9" s="1"/>
  <c r="K132" i="2"/>
  <c r="N132" i="2" s="1"/>
  <c r="X135" i="9" s="1"/>
  <c r="K133" i="2"/>
  <c r="N133" i="2" s="1"/>
  <c r="X136" i="9" s="1"/>
  <c r="K134" i="2"/>
  <c r="N134" i="2" s="1"/>
  <c r="X137" i="9" s="1"/>
  <c r="K135" i="2"/>
  <c r="N135" i="2" s="1"/>
  <c r="X138" i="9" s="1"/>
  <c r="K136" i="2"/>
  <c r="N136" i="2" s="1"/>
  <c r="X139" i="9" s="1"/>
  <c r="K137" i="2"/>
  <c r="N137" i="2" s="1"/>
  <c r="X140" i="9" s="1"/>
  <c r="K138" i="2"/>
  <c r="N138" i="2" s="1"/>
  <c r="X141" i="9" s="1"/>
  <c r="K139" i="2"/>
  <c r="N139" i="2" s="1"/>
  <c r="X142" i="9" s="1"/>
  <c r="K140" i="2"/>
  <c r="N140" i="2" s="1"/>
  <c r="X143" i="9" s="1"/>
  <c r="K141" i="2"/>
  <c r="N141" i="2" s="1"/>
  <c r="X144" i="9" s="1"/>
  <c r="K142" i="2"/>
  <c r="N142" i="2" s="1"/>
  <c r="X145" i="9" s="1"/>
  <c r="K143" i="2"/>
  <c r="N143" i="2" s="1"/>
  <c r="X146" i="9" s="1"/>
  <c r="K144" i="2"/>
  <c r="N144" i="2" s="1"/>
  <c r="X147" i="9" s="1"/>
  <c r="K145" i="2"/>
  <c r="N145" i="2" s="1"/>
  <c r="X148" i="9" s="1"/>
  <c r="K146" i="2"/>
  <c r="N146" i="2" s="1"/>
  <c r="X149" i="9" s="1"/>
  <c r="K147" i="2"/>
  <c r="N147" i="2" s="1"/>
  <c r="X150" i="9" s="1"/>
  <c r="K148" i="2"/>
  <c r="N148" i="2" s="1"/>
  <c r="X151" i="9" s="1"/>
  <c r="K149" i="2"/>
  <c r="N149" i="2" s="1"/>
  <c r="X152" i="9" s="1"/>
  <c r="K150" i="2"/>
  <c r="N150" i="2" s="1"/>
  <c r="X153" i="9" s="1"/>
  <c r="K151" i="2"/>
  <c r="N151" i="2" s="1"/>
  <c r="X154" i="9" s="1"/>
  <c r="K152" i="2"/>
  <c r="N152" i="2" s="1"/>
  <c r="X155" i="9" s="1"/>
  <c r="K153" i="2"/>
  <c r="N153" i="2" s="1"/>
  <c r="X156" i="9" s="1"/>
  <c r="K154" i="2"/>
  <c r="N154" i="2" s="1"/>
  <c r="X157" i="9" s="1"/>
  <c r="K155" i="2"/>
  <c r="N155" i="2" s="1"/>
  <c r="X158" i="9" s="1"/>
  <c r="K156" i="2"/>
  <c r="N156" i="2" s="1"/>
  <c r="X159" i="9" s="1"/>
  <c r="K157" i="2"/>
  <c r="N157" i="2" s="1"/>
  <c r="X160" i="9" s="1"/>
  <c r="K158" i="2"/>
  <c r="N158" i="2" s="1"/>
  <c r="X161" i="9" s="1"/>
  <c r="K159" i="2"/>
  <c r="N159" i="2" s="1"/>
  <c r="X162" i="9" s="1"/>
  <c r="K160" i="2"/>
  <c r="N160" i="2" s="1"/>
  <c r="X163" i="9" s="1"/>
  <c r="K161" i="2"/>
  <c r="N161" i="2" s="1"/>
  <c r="X164" i="9" s="1"/>
  <c r="K162" i="2"/>
  <c r="N162" i="2" s="1"/>
  <c r="X165" i="9" s="1"/>
  <c r="K163" i="2"/>
  <c r="N163" i="2" s="1"/>
  <c r="X166" i="9" s="1"/>
  <c r="K164" i="2"/>
  <c r="N164" i="2" s="1"/>
  <c r="X167" i="9" s="1"/>
  <c r="K165" i="2"/>
  <c r="N165" i="2" s="1"/>
  <c r="X168" i="9" s="1"/>
  <c r="K166" i="2"/>
  <c r="N166" i="2" s="1"/>
  <c r="X169" i="9" s="1"/>
  <c r="K167" i="2"/>
  <c r="N167" i="2" s="1"/>
  <c r="X170" i="9" s="1"/>
  <c r="K168" i="2"/>
  <c r="N168" i="2" s="1"/>
  <c r="X171" i="9" s="1"/>
  <c r="K169" i="2"/>
  <c r="N169" i="2" s="1"/>
  <c r="X172" i="9" s="1"/>
  <c r="K170" i="2"/>
  <c r="N170" i="2" s="1"/>
  <c r="X173" i="9" s="1"/>
  <c r="K171" i="2"/>
  <c r="N171" i="2" s="1"/>
  <c r="X174" i="9" s="1"/>
  <c r="K172" i="2"/>
  <c r="N172" i="2" s="1"/>
  <c r="X175" i="9" s="1"/>
  <c r="K173" i="2"/>
  <c r="N173" i="2" s="1"/>
  <c r="X176" i="9" s="1"/>
  <c r="K174" i="2"/>
  <c r="N174" i="2" s="1"/>
  <c r="X177" i="9" s="1"/>
  <c r="K175" i="2"/>
  <c r="N175" i="2" s="1"/>
  <c r="X178" i="9" s="1"/>
  <c r="K176" i="2"/>
  <c r="N176" i="2" s="1"/>
  <c r="X179" i="9" s="1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41" i="2"/>
  <c r="W8" i="2"/>
  <c r="W10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V4" i="2"/>
  <c r="V5" i="2"/>
  <c r="V6" i="2"/>
  <c r="V7" i="2"/>
  <c r="V8" i="2"/>
  <c r="Y8" i="2" s="1"/>
  <c r="AD11" i="9" s="1"/>
  <c r="V9" i="2"/>
  <c r="V10" i="2"/>
  <c r="Y10" i="2" s="1"/>
  <c r="AD13" i="9" s="1"/>
  <c r="V11" i="2"/>
  <c r="V12" i="2"/>
  <c r="V13" i="2"/>
  <c r="V14" i="2"/>
  <c r="V15" i="2"/>
  <c r="V16" i="2"/>
  <c r="Y16" i="2" s="1"/>
  <c r="AD19" i="9" s="1"/>
  <c r="V17" i="2"/>
  <c r="Y17" i="2" s="1"/>
  <c r="AD20" i="9" s="1"/>
  <c r="V18" i="2"/>
  <c r="Y18" i="2" s="1"/>
  <c r="AD21" i="9" s="1"/>
  <c r="V19" i="2"/>
  <c r="Y19" i="2" s="1"/>
  <c r="AD22" i="9" s="1"/>
  <c r="V20" i="2"/>
  <c r="Y20" i="2" s="1"/>
  <c r="AD23" i="9" s="1"/>
  <c r="V21" i="2"/>
  <c r="Y21" i="2" s="1"/>
  <c r="AD24" i="9" s="1"/>
  <c r="V22" i="2"/>
  <c r="Y22" i="2" s="1"/>
  <c r="AD25" i="9" s="1"/>
  <c r="V23" i="2"/>
  <c r="Y23" i="2" s="1"/>
  <c r="AD26" i="9" s="1"/>
  <c r="V24" i="2"/>
  <c r="Y24" i="2" s="1"/>
  <c r="AD27" i="9" s="1"/>
  <c r="V25" i="2"/>
  <c r="Y25" i="2" s="1"/>
  <c r="AD28" i="9" s="1"/>
  <c r="V26" i="2"/>
  <c r="Y26" i="2" s="1"/>
  <c r="AD29" i="9" s="1"/>
  <c r="V27" i="2"/>
  <c r="V28" i="2"/>
  <c r="Y28" i="2" s="1"/>
  <c r="AD31" i="9" s="1"/>
  <c r="V29" i="2"/>
  <c r="Y29" i="2" s="1"/>
  <c r="AD32" i="9" s="1"/>
  <c r="V30" i="2"/>
  <c r="Y30" i="2" s="1"/>
  <c r="AD33" i="9" s="1"/>
  <c r="V31" i="2"/>
  <c r="Y31" i="2" s="1"/>
  <c r="AD34" i="9" s="1"/>
  <c r="V32" i="2"/>
  <c r="Y32" i="2" s="1"/>
  <c r="AD35" i="9" s="1"/>
  <c r="V33" i="2"/>
  <c r="Y33" i="2" s="1"/>
  <c r="AD36" i="9" s="1"/>
  <c r="V34" i="2"/>
  <c r="Y34" i="2" s="1"/>
  <c r="AD37" i="9" s="1"/>
  <c r="V35" i="2"/>
  <c r="Y35" i="2" s="1"/>
  <c r="AD38" i="9" s="1"/>
  <c r="V36" i="2"/>
  <c r="Y36" i="2" s="1"/>
  <c r="AD39" i="9" s="1"/>
  <c r="V37" i="2"/>
  <c r="Y37" i="2" s="1"/>
  <c r="AD40" i="9" s="1"/>
  <c r="V38" i="2"/>
  <c r="Y38" i="2" s="1"/>
  <c r="AD41" i="9" s="1"/>
  <c r="V39" i="2"/>
  <c r="Y39" i="2" s="1"/>
  <c r="AD42" i="9" s="1"/>
  <c r="V40" i="2"/>
  <c r="Y40" i="2" s="1"/>
  <c r="AD43" i="9" s="1"/>
  <c r="V41" i="2"/>
  <c r="Y41" i="2" s="1"/>
  <c r="AD44" i="9" s="1"/>
  <c r="V42" i="2"/>
  <c r="Y42" i="2" s="1"/>
  <c r="AD45" i="9" s="1"/>
  <c r="V43" i="2"/>
  <c r="Y43" i="2" s="1"/>
  <c r="AD46" i="9" s="1"/>
  <c r="V44" i="2"/>
  <c r="Y44" i="2" s="1"/>
  <c r="AD47" i="9" s="1"/>
  <c r="V45" i="2"/>
  <c r="Y45" i="2" s="1"/>
  <c r="AD48" i="9" s="1"/>
  <c r="V46" i="2"/>
  <c r="Y46" i="2" s="1"/>
  <c r="AD49" i="9" s="1"/>
  <c r="V47" i="2"/>
  <c r="Y47" i="2" s="1"/>
  <c r="AD50" i="9" s="1"/>
  <c r="V48" i="2"/>
  <c r="Y48" i="2" s="1"/>
  <c r="AD51" i="9" s="1"/>
  <c r="V49" i="2"/>
  <c r="Y49" i="2" s="1"/>
  <c r="AD52" i="9" s="1"/>
  <c r="V50" i="2"/>
  <c r="Y50" i="2" s="1"/>
  <c r="AD53" i="9" s="1"/>
  <c r="V51" i="2"/>
  <c r="Y51" i="2" s="1"/>
  <c r="AD54" i="9" s="1"/>
  <c r="V52" i="2"/>
  <c r="Y52" i="2" s="1"/>
  <c r="AD55" i="9" s="1"/>
  <c r="V53" i="2"/>
  <c r="Y53" i="2" s="1"/>
  <c r="AD56" i="9" s="1"/>
  <c r="V54" i="2"/>
  <c r="Y54" i="2" s="1"/>
  <c r="AD57" i="9" s="1"/>
  <c r="V55" i="2"/>
  <c r="Y55" i="2" s="1"/>
  <c r="AD58" i="9" s="1"/>
  <c r="V56" i="2"/>
  <c r="Y56" i="2" s="1"/>
  <c r="AD59" i="9" s="1"/>
  <c r="V57" i="2"/>
  <c r="Y57" i="2" s="1"/>
  <c r="AD60" i="9" s="1"/>
  <c r="V58" i="2"/>
  <c r="Y58" i="2" s="1"/>
  <c r="AD61" i="9" s="1"/>
  <c r="V59" i="2"/>
  <c r="Y59" i="2" s="1"/>
  <c r="AD62" i="9" s="1"/>
  <c r="V60" i="2"/>
  <c r="Y60" i="2" s="1"/>
  <c r="AD63" i="9" s="1"/>
  <c r="V61" i="2"/>
  <c r="Y61" i="2" s="1"/>
  <c r="AD64" i="9" s="1"/>
  <c r="V62" i="2"/>
  <c r="Y62" i="2" s="1"/>
  <c r="AD65" i="9" s="1"/>
  <c r="V63" i="2"/>
  <c r="Y63" i="2" s="1"/>
  <c r="AD66" i="9" s="1"/>
  <c r="V64" i="2"/>
  <c r="Y64" i="2" s="1"/>
  <c r="AD67" i="9" s="1"/>
  <c r="V65" i="2"/>
  <c r="Y65" i="2" s="1"/>
  <c r="AD68" i="9" s="1"/>
  <c r="V66" i="2"/>
  <c r="Y66" i="2" s="1"/>
  <c r="AD69" i="9" s="1"/>
  <c r="V67" i="2"/>
  <c r="Y67" i="2" s="1"/>
  <c r="AD70" i="9" s="1"/>
  <c r="V68" i="2"/>
  <c r="Y68" i="2" s="1"/>
  <c r="AD71" i="9" s="1"/>
  <c r="V69" i="2"/>
  <c r="Y69" i="2" s="1"/>
  <c r="AD72" i="9" s="1"/>
  <c r="V70" i="2"/>
  <c r="Y70" i="2" s="1"/>
  <c r="AD73" i="9" s="1"/>
  <c r="V71" i="2"/>
  <c r="Y71" i="2" s="1"/>
  <c r="AD74" i="9" s="1"/>
  <c r="V72" i="2"/>
  <c r="Y72" i="2" s="1"/>
  <c r="AD75" i="9" s="1"/>
  <c r="V73" i="2"/>
  <c r="Y73" i="2" s="1"/>
  <c r="AD76" i="9" s="1"/>
  <c r="V74" i="2"/>
  <c r="Y74" i="2" s="1"/>
  <c r="AD77" i="9" s="1"/>
  <c r="V75" i="2"/>
  <c r="Y75" i="2" s="1"/>
  <c r="AD78" i="9" s="1"/>
  <c r="V76" i="2"/>
  <c r="Y76" i="2" s="1"/>
  <c r="AD79" i="9" s="1"/>
  <c r="V77" i="2"/>
  <c r="Y77" i="2" s="1"/>
  <c r="AD80" i="9" s="1"/>
  <c r="V78" i="2"/>
  <c r="Y78" i="2" s="1"/>
  <c r="AD81" i="9" s="1"/>
  <c r="V79" i="2"/>
  <c r="Y79" i="2" s="1"/>
  <c r="AD82" i="9" s="1"/>
  <c r="V80" i="2"/>
  <c r="Y80" i="2" s="1"/>
  <c r="AD83" i="9" s="1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43" i="2"/>
  <c r="AH4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G4" i="2"/>
  <c r="AJ4" i="2" s="1"/>
  <c r="AJ7" i="9" s="1"/>
  <c r="AG5" i="2"/>
  <c r="AG6" i="2"/>
  <c r="AG7" i="2"/>
  <c r="AG8" i="2"/>
  <c r="AG9" i="2"/>
  <c r="AG10" i="2"/>
  <c r="AG11" i="2"/>
  <c r="AG12" i="2"/>
  <c r="AJ12" i="2" s="1"/>
  <c r="AJ15" i="9" s="1"/>
  <c r="AG13" i="2"/>
  <c r="AJ13" i="2" s="1"/>
  <c r="AJ16" i="9" s="1"/>
  <c r="AG14" i="2"/>
  <c r="AJ14" i="2" s="1"/>
  <c r="AJ17" i="9" s="1"/>
  <c r="AG15" i="2"/>
  <c r="AJ15" i="2" s="1"/>
  <c r="AJ18" i="9" s="1"/>
  <c r="AG16" i="2"/>
  <c r="AJ16" i="2" s="1"/>
  <c r="AJ19" i="9" s="1"/>
  <c r="AG17" i="2"/>
  <c r="AJ17" i="2" s="1"/>
  <c r="AJ20" i="9" s="1"/>
  <c r="AG18" i="2"/>
  <c r="AJ18" i="2" s="1"/>
  <c r="AJ21" i="9" s="1"/>
  <c r="AG19" i="2"/>
  <c r="AJ19" i="2" s="1"/>
  <c r="AJ22" i="9" s="1"/>
  <c r="AG20" i="2"/>
  <c r="AJ20" i="2" s="1"/>
  <c r="AJ23" i="9" s="1"/>
  <c r="AG21" i="2"/>
  <c r="AJ21" i="2" s="1"/>
  <c r="AJ24" i="9" s="1"/>
  <c r="AG22" i="2"/>
  <c r="AJ22" i="2" s="1"/>
  <c r="AJ25" i="9" s="1"/>
  <c r="AG23" i="2"/>
  <c r="AJ23" i="2" s="1"/>
  <c r="AJ26" i="9" s="1"/>
  <c r="AG24" i="2"/>
  <c r="AJ24" i="2" s="1"/>
  <c r="AJ27" i="9" s="1"/>
  <c r="AG25" i="2"/>
  <c r="AJ25" i="2" s="1"/>
  <c r="AJ28" i="9" s="1"/>
  <c r="AG26" i="2"/>
  <c r="AJ26" i="2" s="1"/>
  <c r="AJ29" i="9" s="1"/>
  <c r="AG27" i="2"/>
  <c r="AJ27" i="2" s="1"/>
  <c r="AJ30" i="9" s="1"/>
  <c r="AG28" i="2"/>
  <c r="AJ28" i="2" s="1"/>
  <c r="AJ31" i="9" s="1"/>
  <c r="AG29" i="2"/>
  <c r="AJ29" i="2" s="1"/>
  <c r="AJ32" i="9" s="1"/>
  <c r="AG30" i="2"/>
  <c r="AJ30" i="2" s="1"/>
  <c r="AJ33" i="9" s="1"/>
  <c r="AG31" i="2"/>
  <c r="AJ31" i="2" s="1"/>
  <c r="AJ34" i="9" s="1"/>
  <c r="AG32" i="2"/>
  <c r="AJ32" i="2" s="1"/>
  <c r="AJ35" i="9" s="1"/>
  <c r="AG33" i="2"/>
  <c r="AJ33" i="2" s="1"/>
  <c r="AJ36" i="9" s="1"/>
  <c r="AG34" i="2"/>
  <c r="AJ34" i="2" s="1"/>
  <c r="AJ37" i="9" s="1"/>
  <c r="AG35" i="2"/>
  <c r="AJ35" i="2" s="1"/>
  <c r="AJ38" i="9" s="1"/>
  <c r="AG36" i="2"/>
  <c r="AJ36" i="2" s="1"/>
  <c r="AJ39" i="9" s="1"/>
  <c r="AG37" i="2"/>
  <c r="AJ37" i="2" s="1"/>
  <c r="AJ40" i="9" s="1"/>
  <c r="AG38" i="2"/>
  <c r="AJ38" i="2" s="1"/>
  <c r="AJ41" i="9" s="1"/>
  <c r="AG39" i="2"/>
  <c r="AJ39" i="2" s="1"/>
  <c r="AJ42" i="9" s="1"/>
  <c r="AG40" i="2"/>
  <c r="AJ40" i="2" s="1"/>
  <c r="AJ43" i="9" s="1"/>
  <c r="AG41" i="2"/>
  <c r="AJ41" i="2" s="1"/>
  <c r="AJ44" i="9" s="1"/>
  <c r="AG42" i="2"/>
  <c r="AJ42" i="2" s="1"/>
  <c r="AJ45" i="9" s="1"/>
  <c r="AG43" i="2"/>
  <c r="AJ43" i="2" s="1"/>
  <c r="AJ46" i="9" s="1"/>
  <c r="AG44" i="2"/>
  <c r="AJ44" i="2" s="1"/>
  <c r="AJ47" i="9" s="1"/>
  <c r="AG45" i="2"/>
  <c r="AJ45" i="2" s="1"/>
  <c r="AJ48" i="9" s="1"/>
  <c r="AG46" i="2"/>
  <c r="AJ46" i="2" s="1"/>
  <c r="AJ49" i="9" s="1"/>
  <c r="AG47" i="2"/>
  <c r="AJ47" i="2" s="1"/>
  <c r="AJ50" i="9" s="1"/>
  <c r="AG48" i="2"/>
  <c r="AJ48" i="2" s="1"/>
  <c r="AJ51" i="9" s="1"/>
  <c r="AG49" i="2"/>
  <c r="AJ49" i="2" s="1"/>
  <c r="AJ52" i="9" s="1"/>
  <c r="AG50" i="2"/>
  <c r="AJ50" i="2" s="1"/>
  <c r="AJ53" i="9" s="1"/>
  <c r="AG51" i="2"/>
  <c r="AJ51" i="2" s="1"/>
  <c r="AJ54" i="9" s="1"/>
  <c r="AG52" i="2"/>
  <c r="AJ52" i="2" s="1"/>
  <c r="AJ55" i="9" s="1"/>
  <c r="AG53" i="2"/>
  <c r="AJ53" i="2" s="1"/>
  <c r="AJ56" i="9" s="1"/>
  <c r="AG54" i="2"/>
  <c r="AJ54" i="2" s="1"/>
  <c r="AJ57" i="9" s="1"/>
  <c r="AG55" i="2"/>
  <c r="AJ55" i="2" s="1"/>
  <c r="AJ58" i="9" s="1"/>
  <c r="AG56" i="2"/>
  <c r="AJ56" i="2" s="1"/>
  <c r="AJ59" i="9" s="1"/>
  <c r="AG57" i="2"/>
  <c r="AJ57" i="2" s="1"/>
  <c r="AJ60" i="9" s="1"/>
  <c r="AG58" i="2"/>
  <c r="AG59" i="2"/>
  <c r="AJ59" i="2" s="1"/>
  <c r="AJ62" i="9" s="1"/>
  <c r="AG60" i="2"/>
  <c r="AJ60" i="2" s="1"/>
  <c r="AJ63" i="9" s="1"/>
  <c r="AG61" i="2"/>
  <c r="AJ61" i="2" s="1"/>
  <c r="AJ64" i="9" s="1"/>
  <c r="AG62" i="2"/>
  <c r="AG63" i="2"/>
  <c r="AJ63" i="2" s="1"/>
  <c r="AJ66" i="9" s="1"/>
  <c r="AG64" i="2"/>
  <c r="AJ64" i="2" s="1"/>
  <c r="AJ67" i="9" s="1"/>
  <c r="AG65" i="2"/>
  <c r="AG66" i="2"/>
  <c r="AG67" i="2"/>
  <c r="AJ67" i="2" s="1"/>
  <c r="AJ70" i="9" s="1"/>
  <c r="AG68" i="2"/>
  <c r="AJ68" i="2" s="1"/>
  <c r="AJ71" i="9" s="1"/>
  <c r="AG69" i="2"/>
  <c r="AJ69" i="2" s="1"/>
  <c r="AJ72" i="9" s="1"/>
  <c r="AG70" i="2"/>
  <c r="AJ70" i="2" s="1"/>
  <c r="AJ73" i="9" s="1"/>
  <c r="AG71" i="2"/>
  <c r="AJ71" i="2" s="1"/>
  <c r="AJ74" i="9" s="1"/>
  <c r="AG72" i="2"/>
  <c r="AJ72" i="2" s="1"/>
  <c r="AJ75" i="9" s="1"/>
  <c r="AG73" i="2"/>
  <c r="AJ73" i="2" s="1"/>
  <c r="AJ76" i="9" s="1"/>
  <c r="AG74" i="2"/>
  <c r="AJ74" i="2" s="1"/>
  <c r="AJ77" i="9" s="1"/>
  <c r="AG75" i="2"/>
  <c r="AJ75" i="2" s="1"/>
  <c r="AJ78" i="9" s="1"/>
  <c r="AG76" i="2"/>
  <c r="AJ76" i="2" s="1"/>
  <c r="AJ79" i="9" s="1"/>
  <c r="AG77" i="2"/>
  <c r="AJ77" i="2" s="1"/>
  <c r="AJ80" i="9" s="1"/>
  <c r="AG78" i="2"/>
  <c r="AJ78" i="2" s="1"/>
  <c r="AJ81" i="9" s="1"/>
  <c r="AG79" i="2"/>
  <c r="AJ79" i="2" s="1"/>
  <c r="AJ82" i="9" s="1"/>
  <c r="AG80" i="2"/>
  <c r="AJ80" i="2" s="1"/>
  <c r="AJ83" i="9" s="1"/>
  <c r="AG81" i="2"/>
  <c r="AJ81" i="2" s="1"/>
  <c r="AJ84" i="9" s="1"/>
  <c r="AG82" i="2"/>
  <c r="AJ82" i="2" s="1"/>
  <c r="AJ85" i="9" s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3" i="12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BB39" i="9"/>
  <c r="BB40" i="9"/>
  <c r="BB41" i="9"/>
  <c r="BB42" i="9"/>
  <c r="BB43" i="9"/>
  <c r="BB44" i="9"/>
  <c r="BB45" i="9"/>
  <c r="BB46" i="9"/>
  <c r="BB6" i="9"/>
  <c r="B6" i="5"/>
  <c r="C6" i="5" s="1"/>
  <c r="J6" i="5"/>
  <c r="K6" i="5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B13" i="11"/>
  <c r="C4" i="12" l="1"/>
  <c r="C12" i="12"/>
  <c r="C20" i="12"/>
  <c r="C28" i="12"/>
  <c r="C36" i="12"/>
  <c r="C44" i="12"/>
  <c r="C52" i="12"/>
  <c r="C60" i="12"/>
  <c r="C68" i="12"/>
  <c r="C76" i="12"/>
  <c r="C84" i="12"/>
  <c r="C92" i="12"/>
  <c r="C100" i="12"/>
  <c r="C108" i="12"/>
  <c r="C116" i="12"/>
  <c r="C124" i="12"/>
  <c r="C132" i="12"/>
  <c r="C140" i="12"/>
  <c r="C148" i="12"/>
  <c r="C156" i="12"/>
  <c r="C164" i="12"/>
  <c r="C172" i="12"/>
  <c r="C180" i="12"/>
  <c r="C188" i="12"/>
  <c r="C196" i="12"/>
  <c r="C204" i="12"/>
  <c r="C212" i="12"/>
  <c r="C220" i="12"/>
  <c r="C228" i="12"/>
  <c r="C236" i="12"/>
  <c r="C244" i="12"/>
  <c r="C252" i="12"/>
  <c r="C260" i="12"/>
  <c r="C268" i="12"/>
  <c r="C276" i="12"/>
  <c r="C284" i="12"/>
  <c r="C292" i="12"/>
  <c r="C300" i="12"/>
  <c r="C308" i="12"/>
  <c r="C316" i="12"/>
  <c r="C324" i="12"/>
  <c r="C332" i="12"/>
  <c r="C340" i="12"/>
  <c r="C348" i="12"/>
  <c r="C356" i="12"/>
  <c r="C364" i="12"/>
  <c r="C372" i="12"/>
  <c r="C380" i="12"/>
  <c r="C388" i="12"/>
  <c r="C396" i="12"/>
  <c r="C404" i="12"/>
  <c r="C412" i="12"/>
  <c r="C420" i="12"/>
  <c r="C428" i="12"/>
  <c r="C436" i="12"/>
  <c r="C444" i="12"/>
  <c r="C452" i="12"/>
  <c r="C460" i="12"/>
  <c r="C468" i="12"/>
  <c r="C476" i="12"/>
  <c r="C484" i="12"/>
  <c r="C492" i="12"/>
  <c r="C500" i="12"/>
  <c r="C508" i="12"/>
  <c r="C516" i="12"/>
  <c r="C524" i="12"/>
  <c r="C532" i="12"/>
  <c r="C540" i="12"/>
  <c r="C548" i="12"/>
  <c r="C556" i="12"/>
  <c r="C564" i="12"/>
  <c r="C572" i="12"/>
  <c r="C580" i="12"/>
  <c r="C588" i="12"/>
  <c r="C596" i="12"/>
  <c r="C604" i="12"/>
  <c r="C612" i="12"/>
  <c r="C620" i="12"/>
  <c r="C628" i="12"/>
  <c r="C636" i="12"/>
  <c r="C644" i="12"/>
  <c r="C652" i="12"/>
  <c r="C660" i="12"/>
  <c r="C668" i="12"/>
  <c r="C676" i="12"/>
  <c r="C5" i="12"/>
  <c r="C13" i="12"/>
  <c r="C21" i="12"/>
  <c r="C29" i="12"/>
  <c r="C37" i="12"/>
  <c r="C45" i="12"/>
  <c r="C53" i="12"/>
  <c r="C61" i="12"/>
  <c r="C69" i="12"/>
  <c r="C77" i="12"/>
  <c r="C85" i="12"/>
  <c r="C93" i="12"/>
  <c r="C101" i="12"/>
  <c r="C109" i="12"/>
  <c r="C117" i="12"/>
  <c r="C125" i="12"/>
  <c r="C133" i="12"/>
  <c r="C141" i="12"/>
  <c r="C149" i="12"/>
  <c r="C157" i="12"/>
  <c r="C165" i="12"/>
  <c r="C173" i="12"/>
  <c r="C181" i="12"/>
  <c r="C189" i="12"/>
  <c r="C197" i="12"/>
  <c r="C205" i="12"/>
  <c r="C213" i="12"/>
  <c r="C221" i="12"/>
  <c r="C229" i="12"/>
  <c r="C237" i="12"/>
  <c r="C245" i="12"/>
  <c r="C253" i="12"/>
  <c r="C261" i="12"/>
  <c r="C269" i="12"/>
  <c r="C277" i="12"/>
  <c r="C285" i="12"/>
  <c r="C293" i="12"/>
  <c r="C301" i="12"/>
  <c r="C309" i="12"/>
  <c r="C317" i="12"/>
  <c r="C325" i="12"/>
  <c r="C333" i="12"/>
  <c r="C341" i="12"/>
  <c r="C349" i="12"/>
  <c r="C357" i="12"/>
  <c r="C365" i="12"/>
  <c r="C373" i="12"/>
  <c r="C381" i="12"/>
  <c r="C389" i="12"/>
  <c r="C397" i="12"/>
  <c r="C405" i="12"/>
  <c r="C413" i="12"/>
  <c r="C421" i="12"/>
  <c r="C429" i="12"/>
  <c r="C437" i="12"/>
  <c r="C445" i="12"/>
  <c r="C453" i="12"/>
  <c r="C461" i="12"/>
  <c r="C469" i="12"/>
  <c r="C477" i="12"/>
  <c r="C485" i="12"/>
  <c r="C493" i="12"/>
  <c r="C501" i="12"/>
  <c r="C509" i="12"/>
  <c r="C517" i="12"/>
  <c r="C525" i="12"/>
  <c r="C533" i="12"/>
  <c r="C541" i="12"/>
  <c r="C549" i="12"/>
  <c r="C557" i="12"/>
  <c r="C565" i="12"/>
  <c r="C573" i="12"/>
  <c r="C581" i="12"/>
  <c r="C589" i="12"/>
  <c r="C597" i="12"/>
  <c r="C605" i="12"/>
  <c r="C613" i="12"/>
  <c r="C621" i="12"/>
  <c r="C629" i="12"/>
  <c r="C637" i="12"/>
  <c r="C645" i="12"/>
  <c r="C653" i="12"/>
  <c r="C661" i="12"/>
  <c r="C669" i="12"/>
  <c r="C677" i="12"/>
  <c r="C6" i="12"/>
  <c r="C14" i="12"/>
  <c r="C22" i="12"/>
  <c r="C30" i="12"/>
  <c r="C38" i="12"/>
  <c r="C46" i="12"/>
  <c r="C54" i="12"/>
  <c r="C62" i="12"/>
  <c r="C70" i="12"/>
  <c r="C78" i="12"/>
  <c r="C86" i="12"/>
  <c r="C94" i="12"/>
  <c r="C102" i="12"/>
  <c r="C110" i="12"/>
  <c r="C118" i="12"/>
  <c r="C126" i="12"/>
  <c r="C134" i="12"/>
  <c r="C142" i="12"/>
  <c r="C150" i="12"/>
  <c r="C158" i="12"/>
  <c r="C166" i="12"/>
  <c r="C174" i="12"/>
  <c r="C182" i="12"/>
  <c r="C190" i="12"/>
  <c r="C198" i="12"/>
  <c r="C206" i="12"/>
  <c r="C214" i="12"/>
  <c r="C222" i="12"/>
  <c r="C230" i="12"/>
  <c r="C238" i="12"/>
  <c r="C246" i="12"/>
  <c r="C254" i="12"/>
  <c r="C262" i="12"/>
  <c r="C270" i="12"/>
  <c r="C278" i="12"/>
  <c r="C286" i="12"/>
  <c r="C294" i="12"/>
  <c r="C302" i="12"/>
  <c r="C310" i="12"/>
  <c r="C318" i="12"/>
  <c r="C326" i="12"/>
  <c r="C334" i="12"/>
  <c r="C342" i="12"/>
  <c r="C350" i="12"/>
  <c r="C358" i="12"/>
  <c r="C366" i="12"/>
  <c r="C374" i="12"/>
  <c r="C382" i="12"/>
  <c r="C390" i="12"/>
  <c r="C398" i="12"/>
  <c r="C406" i="12"/>
  <c r="C414" i="12"/>
  <c r="C422" i="12"/>
  <c r="C430" i="12"/>
  <c r="C438" i="12"/>
  <c r="C446" i="12"/>
  <c r="C454" i="12"/>
  <c r="C462" i="12"/>
  <c r="C470" i="12"/>
  <c r="C478" i="12"/>
  <c r="C486" i="12"/>
  <c r="C494" i="12"/>
  <c r="C502" i="12"/>
  <c r="C510" i="12"/>
  <c r="C518" i="12"/>
  <c r="C526" i="12"/>
  <c r="C534" i="12"/>
  <c r="C542" i="12"/>
  <c r="C550" i="12"/>
  <c r="C558" i="12"/>
  <c r="C566" i="12"/>
  <c r="C574" i="12"/>
  <c r="C582" i="12"/>
  <c r="C590" i="12"/>
  <c r="C598" i="12"/>
  <c r="C606" i="12"/>
  <c r="C614" i="12"/>
  <c r="C622" i="12"/>
  <c r="C630" i="12"/>
  <c r="C638" i="12"/>
  <c r="C646" i="12"/>
  <c r="C654" i="12"/>
  <c r="C662" i="12"/>
  <c r="C670" i="12"/>
  <c r="C678" i="12"/>
  <c r="C7" i="12"/>
  <c r="C15" i="12"/>
  <c r="C23" i="12"/>
  <c r="C31" i="12"/>
  <c r="C39" i="12"/>
  <c r="C47" i="12"/>
  <c r="C55" i="12"/>
  <c r="C63" i="12"/>
  <c r="C71" i="12"/>
  <c r="C79" i="12"/>
  <c r="C87" i="12"/>
  <c r="C95" i="12"/>
  <c r="C103" i="12"/>
  <c r="C111" i="12"/>
  <c r="C119" i="12"/>
  <c r="C127" i="12"/>
  <c r="C135" i="12"/>
  <c r="C143" i="12"/>
  <c r="C151" i="12"/>
  <c r="C159" i="12"/>
  <c r="C167" i="12"/>
  <c r="C175" i="12"/>
  <c r="C183" i="12"/>
  <c r="C191" i="12"/>
  <c r="C199" i="12"/>
  <c r="C207" i="12"/>
  <c r="C215" i="12"/>
  <c r="C223" i="12"/>
  <c r="C231" i="12"/>
  <c r="C239" i="12"/>
  <c r="C247" i="12"/>
  <c r="C255" i="12"/>
  <c r="C263" i="12"/>
  <c r="C271" i="12"/>
  <c r="C279" i="12"/>
  <c r="C287" i="12"/>
  <c r="C295" i="12"/>
  <c r="C303" i="12"/>
  <c r="C311" i="12"/>
  <c r="C319" i="12"/>
  <c r="C327" i="12"/>
  <c r="C335" i="12"/>
  <c r="C343" i="12"/>
  <c r="C351" i="12"/>
  <c r="C359" i="12"/>
  <c r="C367" i="12"/>
  <c r="C375" i="12"/>
  <c r="C383" i="12"/>
  <c r="C391" i="12"/>
  <c r="C399" i="12"/>
  <c r="C407" i="12"/>
  <c r="C415" i="12"/>
  <c r="C423" i="12"/>
  <c r="C431" i="12"/>
  <c r="C439" i="12"/>
  <c r="C447" i="12"/>
  <c r="C455" i="12"/>
  <c r="C463" i="12"/>
  <c r="C471" i="12"/>
  <c r="C479" i="12"/>
  <c r="C487" i="12"/>
  <c r="C495" i="12"/>
  <c r="C503" i="12"/>
  <c r="C511" i="12"/>
  <c r="C519" i="12"/>
  <c r="C527" i="12"/>
  <c r="C535" i="12"/>
  <c r="C543" i="12"/>
  <c r="C551" i="12"/>
  <c r="C559" i="12"/>
  <c r="C567" i="12"/>
  <c r="C575" i="12"/>
  <c r="C583" i="12"/>
  <c r="C591" i="12"/>
  <c r="C599" i="12"/>
  <c r="C607" i="12"/>
  <c r="C615" i="12"/>
  <c r="C623" i="12"/>
  <c r="C631" i="12"/>
  <c r="C639" i="12"/>
  <c r="C647" i="12"/>
  <c r="C655" i="12"/>
  <c r="C663" i="12"/>
  <c r="C671" i="12"/>
  <c r="C679" i="12"/>
  <c r="C8" i="12"/>
  <c r="C16" i="12"/>
  <c r="C24" i="12"/>
  <c r="C32" i="12"/>
  <c r="C40" i="12"/>
  <c r="C48" i="12"/>
  <c r="C56" i="12"/>
  <c r="C64" i="12"/>
  <c r="C72" i="12"/>
  <c r="C80" i="12"/>
  <c r="C88" i="12"/>
  <c r="C96" i="12"/>
  <c r="C104" i="12"/>
  <c r="C112" i="12"/>
  <c r="C120" i="12"/>
  <c r="C128" i="12"/>
  <c r="C136" i="12"/>
  <c r="C144" i="12"/>
  <c r="C152" i="12"/>
  <c r="C160" i="12"/>
  <c r="C168" i="12"/>
  <c r="C176" i="12"/>
  <c r="C184" i="12"/>
  <c r="C192" i="12"/>
  <c r="C200" i="12"/>
  <c r="C208" i="12"/>
  <c r="C216" i="12"/>
  <c r="C224" i="12"/>
  <c r="C232" i="12"/>
  <c r="C240" i="12"/>
  <c r="C248" i="12"/>
  <c r="C256" i="12"/>
  <c r="C264" i="12"/>
  <c r="C272" i="12"/>
  <c r="C280" i="12"/>
  <c r="C288" i="12"/>
  <c r="C296" i="12"/>
  <c r="C304" i="12"/>
  <c r="C312" i="12"/>
  <c r="C320" i="12"/>
  <c r="C328" i="12"/>
  <c r="C336" i="12"/>
  <c r="C344" i="12"/>
  <c r="C352" i="12"/>
  <c r="C360" i="12"/>
  <c r="C368" i="12"/>
  <c r="C376" i="12"/>
  <c r="C384" i="12"/>
  <c r="C392" i="12"/>
  <c r="C400" i="12"/>
  <c r="C408" i="12"/>
  <c r="C416" i="12"/>
  <c r="C424" i="12"/>
  <c r="C432" i="12"/>
  <c r="C440" i="12"/>
  <c r="C448" i="12"/>
  <c r="C456" i="12"/>
  <c r="C464" i="12"/>
  <c r="C472" i="12"/>
  <c r="C480" i="12"/>
  <c r="C488" i="12"/>
  <c r="C496" i="12"/>
  <c r="C504" i="12"/>
  <c r="C512" i="12"/>
  <c r="C520" i="12"/>
  <c r="C528" i="12"/>
  <c r="C536" i="12"/>
  <c r="C544" i="12"/>
  <c r="C552" i="12"/>
  <c r="C560" i="12"/>
  <c r="C568" i="12"/>
  <c r="C576" i="12"/>
  <c r="C584" i="12"/>
  <c r="C592" i="12"/>
  <c r="C600" i="12"/>
  <c r="C608" i="12"/>
  <c r="C616" i="12"/>
  <c r="C624" i="12"/>
  <c r="C632" i="12"/>
  <c r="C640" i="12"/>
  <c r="C648" i="12"/>
  <c r="C656" i="12"/>
  <c r="C664" i="12"/>
  <c r="C672" i="12"/>
  <c r="C680" i="12"/>
  <c r="C9" i="12"/>
  <c r="C17" i="12"/>
  <c r="C25" i="12"/>
  <c r="C33" i="12"/>
  <c r="C41" i="12"/>
  <c r="C49" i="12"/>
  <c r="C57" i="12"/>
  <c r="C65" i="12"/>
  <c r="C73" i="12"/>
  <c r="C81" i="12"/>
  <c r="C89" i="12"/>
  <c r="C97" i="12"/>
  <c r="C105" i="12"/>
  <c r="C113" i="12"/>
  <c r="C121" i="12"/>
  <c r="C129" i="12"/>
  <c r="C137" i="12"/>
  <c r="C145" i="12"/>
  <c r="C153" i="12"/>
  <c r="C161" i="12"/>
  <c r="C169" i="12"/>
  <c r="C177" i="12"/>
  <c r="C185" i="12"/>
  <c r="C193" i="12"/>
  <c r="C201" i="12"/>
  <c r="C209" i="12"/>
  <c r="C217" i="12"/>
  <c r="C225" i="12"/>
  <c r="C233" i="12"/>
  <c r="C241" i="12"/>
  <c r="C249" i="12"/>
  <c r="C257" i="12"/>
  <c r="C265" i="12"/>
  <c r="C273" i="12"/>
  <c r="C281" i="12"/>
  <c r="C289" i="12"/>
  <c r="C297" i="12"/>
  <c r="C305" i="12"/>
  <c r="C313" i="12"/>
  <c r="C321" i="12"/>
  <c r="C329" i="12"/>
  <c r="C337" i="12"/>
  <c r="C345" i="12"/>
  <c r="C353" i="12"/>
  <c r="C361" i="12"/>
  <c r="C369" i="12"/>
  <c r="C377" i="12"/>
  <c r="C385" i="12"/>
  <c r="C393" i="12"/>
  <c r="C401" i="12"/>
  <c r="C409" i="12"/>
  <c r="C417" i="12"/>
  <c r="C425" i="12"/>
  <c r="C433" i="12"/>
  <c r="C441" i="12"/>
  <c r="C449" i="12"/>
  <c r="C457" i="12"/>
  <c r="C465" i="12"/>
  <c r="C473" i="12"/>
  <c r="C481" i="12"/>
  <c r="C489" i="12"/>
  <c r="C497" i="12"/>
  <c r="C505" i="12"/>
  <c r="C513" i="12"/>
  <c r="C521" i="12"/>
  <c r="C529" i="12"/>
  <c r="C537" i="12"/>
  <c r="C545" i="12"/>
  <c r="C553" i="12"/>
  <c r="C561" i="12"/>
  <c r="C569" i="12"/>
  <c r="C577" i="12"/>
  <c r="C585" i="12"/>
  <c r="C593" i="12"/>
  <c r="C601" i="12"/>
  <c r="C609" i="12"/>
  <c r="C617" i="12"/>
  <c r="C625" i="12"/>
  <c r="C633" i="12"/>
  <c r="C641" i="12"/>
  <c r="C649" i="12"/>
  <c r="C657" i="12"/>
  <c r="C665" i="12"/>
  <c r="C673" i="12"/>
  <c r="C681" i="12"/>
  <c r="C10" i="12"/>
  <c r="C18" i="12"/>
  <c r="C26" i="12"/>
  <c r="C34" i="12"/>
  <c r="C42" i="12"/>
  <c r="C50" i="12"/>
  <c r="C58" i="12"/>
  <c r="C66" i="12"/>
  <c r="C74" i="12"/>
  <c r="C82" i="12"/>
  <c r="C90" i="12"/>
  <c r="C98" i="12"/>
  <c r="C106" i="12"/>
  <c r="C114" i="12"/>
  <c r="C122" i="12"/>
  <c r="C130" i="12"/>
  <c r="C138" i="12"/>
  <c r="C146" i="12"/>
  <c r="C154" i="12"/>
  <c r="C162" i="12"/>
  <c r="C170" i="12"/>
  <c r="C178" i="12"/>
  <c r="C186" i="12"/>
  <c r="C194" i="12"/>
  <c r="C202" i="12"/>
  <c r="C210" i="12"/>
  <c r="C218" i="12"/>
  <c r="C226" i="12"/>
  <c r="C234" i="12"/>
  <c r="C242" i="12"/>
  <c r="C250" i="12"/>
  <c r="C258" i="12"/>
  <c r="C266" i="12"/>
  <c r="C274" i="12"/>
  <c r="C282" i="12"/>
  <c r="C290" i="12"/>
  <c r="C298" i="12"/>
  <c r="C306" i="12"/>
  <c r="C314" i="12"/>
  <c r="C322" i="12"/>
  <c r="C330" i="12"/>
  <c r="C338" i="12"/>
  <c r="C346" i="12"/>
  <c r="C354" i="12"/>
  <c r="C362" i="12"/>
  <c r="C370" i="12"/>
  <c r="C378" i="12"/>
  <c r="C386" i="12"/>
  <c r="C394" i="12"/>
  <c r="C402" i="12"/>
  <c r="C410" i="12"/>
  <c r="C418" i="12"/>
  <c r="C426" i="12"/>
  <c r="C434" i="12"/>
  <c r="C442" i="12"/>
  <c r="C450" i="12"/>
  <c r="C458" i="12"/>
  <c r="C466" i="12"/>
  <c r="C474" i="12"/>
  <c r="C482" i="12"/>
  <c r="C490" i="12"/>
  <c r="C498" i="12"/>
  <c r="C506" i="12"/>
  <c r="C514" i="12"/>
  <c r="C522" i="12"/>
  <c r="C530" i="12"/>
  <c r="C538" i="12"/>
  <c r="C546" i="12"/>
  <c r="C554" i="12"/>
  <c r="C562" i="12"/>
  <c r="C570" i="12"/>
  <c r="C578" i="12"/>
  <c r="C586" i="12"/>
  <c r="C594" i="12"/>
  <c r="C602" i="12"/>
  <c r="C610" i="12"/>
  <c r="C618" i="12"/>
  <c r="C626" i="12"/>
  <c r="C634" i="12"/>
  <c r="C642" i="12"/>
  <c r="C650" i="12"/>
  <c r="C658" i="12"/>
  <c r="C666" i="12"/>
  <c r="C674" i="12"/>
  <c r="C682" i="12"/>
  <c r="C11" i="12"/>
  <c r="C19" i="12"/>
  <c r="C27" i="12"/>
  <c r="C35" i="12"/>
  <c r="C43" i="12"/>
  <c r="C51" i="12"/>
  <c r="C59" i="12"/>
  <c r="C67" i="12"/>
  <c r="C75" i="12"/>
  <c r="C83" i="12"/>
  <c r="C91" i="12"/>
  <c r="C99" i="12"/>
  <c r="C107" i="12"/>
  <c r="C115" i="12"/>
  <c r="C123" i="12"/>
  <c r="C131" i="12"/>
  <c r="C139" i="12"/>
  <c r="C147" i="12"/>
  <c r="C155" i="12"/>
  <c r="C163" i="12"/>
  <c r="C171" i="12"/>
  <c r="C179" i="12"/>
  <c r="C187" i="12"/>
  <c r="C195" i="12"/>
  <c r="C203" i="12"/>
  <c r="C211" i="12"/>
  <c r="C219" i="12"/>
  <c r="C227" i="12"/>
  <c r="C235" i="12"/>
  <c r="C243" i="12"/>
  <c r="C251" i="12"/>
  <c r="C259" i="12"/>
  <c r="C267" i="12"/>
  <c r="C275" i="12"/>
  <c r="C283" i="12"/>
  <c r="C291" i="12"/>
  <c r="C299" i="12"/>
  <c r="C307" i="12"/>
  <c r="C315" i="12"/>
  <c r="C323" i="12"/>
  <c r="C331" i="12"/>
  <c r="C339" i="12"/>
  <c r="C347" i="12"/>
  <c r="C355" i="12"/>
  <c r="C363" i="12"/>
  <c r="C371" i="12"/>
  <c r="C379" i="12"/>
  <c r="C387" i="12"/>
  <c r="C395" i="12"/>
  <c r="C403" i="12"/>
  <c r="C411" i="12"/>
  <c r="C419" i="12"/>
  <c r="C427" i="12"/>
  <c r="C435" i="12"/>
  <c r="C443" i="12"/>
  <c r="C451" i="12"/>
  <c r="C459" i="12"/>
  <c r="C467" i="12"/>
  <c r="C475" i="12"/>
  <c r="C483" i="12"/>
  <c r="C491" i="12"/>
  <c r="C499" i="12"/>
  <c r="C507" i="12"/>
  <c r="C515" i="12"/>
  <c r="C523" i="12"/>
  <c r="C531" i="12"/>
  <c r="C539" i="12"/>
  <c r="C547" i="12"/>
  <c r="C555" i="12"/>
  <c r="C563" i="12"/>
  <c r="C571" i="12"/>
  <c r="C579" i="12"/>
  <c r="C587" i="12"/>
  <c r="C595" i="12"/>
  <c r="C603" i="12"/>
  <c r="C611" i="12"/>
  <c r="C619" i="12"/>
  <c r="C627" i="12"/>
  <c r="C635" i="12"/>
  <c r="C643" i="12"/>
  <c r="C651" i="12"/>
  <c r="C659" i="12"/>
  <c r="C667" i="12"/>
  <c r="C675" i="12"/>
  <c r="C683" i="12"/>
  <c r="C684" i="12"/>
  <c r="C692" i="12"/>
  <c r="C700" i="12"/>
  <c r="C708" i="12"/>
  <c r="C716" i="12"/>
  <c r="C724" i="12"/>
  <c r="C732" i="12"/>
  <c r="C740" i="12"/>
  <c r="C748" i="12"/>
  <c r="C756" i="12"/>
  <c r="C764" i="12"/>
  <c r="C772" i="12"/>
  <c r="C780" i="12"/>
  <c r="C788" i="12"/>
  <c r="C796" i="12"/>
  <c r="C804" i="12"/>
  <c r="C812" i="12"/>
  <c r="C820" i="12"/>
  <c r="C828" i="12"/>
  <c r="C836" i="12"/>
  <c r="C844" i="12"/>
  <c r="C852" i="12"/>
  <c r="C860" i="12"/>
  <c r="C868" i="12"/>
  <c r="C876" i="12"/>
  <c r="C884" i="12"/>
  <c r="C892" i="12"/>
  <c r="C900" i="12"/>
  <c r="C908" i="12"/>
  <c r="C916" i="12"/>
  <c r="C924" i="12"/>
  <c r="C932" i="12"/>
  <c r="C940" i="12"/>
  <c r="C948" i="12"/>
  <c r="C956" i="12"/>
  <c r="C964" i="12"/>
  <c r="C972" i="12"/>
  <c r="C980" i="12"/>
  <c r="C988" i="12"/>
  <c r="C996" i="12"/>
  <c r="C1004" i="12"/>
  <c r="C1012" i="12"/>
  <c r="C1020" i="12"/>
  <c r="C1028" i="12"/>
  <c r="C1036" i="12"/>
  <c r="C1044" i="12"/>
  <c r="C1052" i="12"/>
  <c r="C1060" i="12"/>
  <c r="C1068" i="12"/>
  <c r="C1076" i="12"/>
  <c r="C1084" i="12"/>
  <c r="C1092" i="12"/>
  <c r="C1100" i="12"/>
  <c r="C1108" i="12"/>
  <c r="C1116" i="12"/>
  <c r="C1124" i="12"/>
  <c r="C1132" i="12"/>
  <c r="C1140" i="12"/>
  <c r="C1148" i="12"/>
  <c r="C1156" i="12"/>
  <c r="C1164" i="12"/>
  <c r="C1172" i="12"/>
  <c r="C1180" i="12"/>
  <c r="C1188" i="12"/>
  <c r="C1196" i="12"/>
  <c r="C1204" i="12"/>
  <c r="C1212" i="12"/>
  <c r="C1220" i="12"/>
  <c r="C1228" i="12"/>
  <c r="C1236" i="12"/>
  <c r="C1244" i="12"/>
  <c r="C1252" i="12"/>
  <c r="C1260" i="12"/>
  <c r="C1268" i="12"/>
  <c r="C1276" i="12"/>
  <c r="C1284" i="12"/>
  <c r="C1292" i="12"/>
  <c r="C1300" i="12"/>
  <c r="C1308" i="12"/>
  <c r="C1316" i="12"/>
  <c r="C1324" i="12"/>
  <c r="C1332" i="12"/>
  <c r="C1340" i="12"/>
  <c r="C1348" i="12"/>
  <c r="C1356" i="12"/>
  <c r="C1364" i="12"/>
  <c r="C685" i="12"/>
  <c r="C693" i="12"/>
  <c r="C701" i="12"/>
  <c r="C709" i="12"/>
  <c r="C717" i="12"/>
  <c r="C725" i="12"/>
  <c r="C733" i="12"/>
  <c r="C741" i="12"/>
  <c r="C749" i="12"/>
  <c r="C757" i="12"/>
  <c r="C765" i="12"/>
  <c r="C773" i="12"/>
  <c r="C781" i="12"/>
  <c r="C789" i="12"/>
  <c r="C797" i="12"/>
  <c r="C805" i="12"/>
  <c r="C813" i="12"/>
  <c r="C821" i="12"/>
  <c r="C829" i="12"/>
  <c r="C837" i="12"/>
  <c r="C845" i="12"/>
  <c r="C853" i="12"/>
  <c r="C861" i="12"/>
  <c r="C869" i="12"/>
  <c r="C877" i="12"/>
  <c r="C885" i="12"/>
  <c r="C893" i="12"/>
  <c r="C901" i="12"/>
  <c r="C909" i="12"/>
  <c r="C917" i="12"/>
  <c r="C925" i="12"/>
  <c r="C933" i="12"/>
  <c r="C941" i="12"/>
  <c r="C949" i="12"/>
  <c r="C957" i="12"/>
  <c r="C965" i="12"/>
  <c r="C973" i="12"/>
  <c r="C981" i="12"/>
  <c r="C989" i="12"/>
  <c r="C997" i="12"/>
  <c r="C1005" i="12"/>
  <c r="C1013" i="12"/>
  <c r="C1021" i="12"/>
  <c r="C1029" i="12"/>
  <c r="C1037" i="12"/>
  <c r="C1045" i="12"/>
  <c r="C1053" i="12"/>
  <c r="C1061" i="12"/>
  <c r="C1069" i="12"/>
  <c r="C1077" i="12"/>
  <c r="C1085" i="12"/>
  <c r="C1093" i="12"/>
  <c r="C1101" i="12"/>
  <c r="C1109" i="12"/>
  <c r="C1117" i="12"/>
  <c r="C1125" i="12"/>
  <c r="C1133" i="12"/>
  <c r="C1141" i="12"/>
  <c r="C1149" i="12"/>
  <c r="C1157" i="12"/>
  <c r="C1165" i="12"/>
  <c r="C1173" i="12"/>
  <c r="C1181" i="12"/>
  <c r="C1189" i="12"/>
  <c r="C1197" i="12"/>
  <c r="C1205" i="12"/>
  <c r="C1213" i="12"/>
  <c r="C1221" i="12"/>
  <c r="C1229" i="12"/>
  <c r="C1237" i="12"/>
  <c r="C1245" i="12"/>
  <c r="C1253" i="12"/>
  <c r="C1261" i="12"/>
  <c r="C1269" i="12"/>
  <c r="C1277" i="12"/>
  <c r="C1285" i="12"/>
  <c r="C1293" i="12"/>
  <c r="C1301" i="12"/>
  <c r="C1309" i="12"/>
  <c r="C1317" i="12"/>
  <c r="C1325" i="12"/>
  <c r="C1333" i="12"/>
  <c r="C1341" i="12"/>
  <c r="C1349" i="12"/>
  <c r="C1357" i="12"/>
  <c r="C686" i="12"/>
  <c r="C694" i="12"/>
  <c r="C702" i="12"/>
  <c r="C710" i="12"/>
  <c r="C718" i="12"/>
  <c r="C726" i="12"/>
  <c r="C734" i="12"/>
  <c r="C742" i="12"/>
  <c r="C750" i="12"/>
  <c r="C758" i="12"/>
  <c r="C766" i="12"/>
  <c r="C774" i="12"/>
  <c r="C782" i="12"/>
  <c r="C790" i="12"/>
  <c r="C798" i="12"/>
  <c r="C806" i="12"/>
  <c r="C814" i="12"/>
  <c r="C822" i="12"/>
  <c r="C830" i="12"/>
  <c r="C838" i="12"/>
  <c r="C846" i="12"/>
  <c r="C854" i="12"/>
  <c r="C862" i="12"/>
  <c r="C870" i="12"/>
  <c r="C878" i="12"/>
  <c r="C886" i="12"/>
  <c r="C894" i="12"/>
  <c r="C902" i="12"/>
  <c r="C910" i="12"/>
  <c r="C918" i="12"/>
  <c r="C926" i="12"/>
  <c r="C934" i="12"/>
  <c r="C942" i="12"/>
  <c r="C950" i="12"/>
  <c r="C958" i="12"/>
  <c r="C966" i="12"/>
  <c r="C974" i="12"/>
  <c r="C982" i="12"/>
  <c r="C990" i="12"/>
  <c r="C998" i="12"/>
  <c r="C1006" i="12"/>
  <c r="C1014" i="12"/>
  <c r="C1022" i="12"/>
  <c r="C1030" i="12"/>
  <c r="C1038" i="12"/>
  <c r="C1046" i="12"/>
  <c r="C1054" i="12"/>
  <c r="C1062" i="12"/>
  <c r="C1070" i="12"/>
  <c r="C1078" i="12"/>
  <c r="C1086" i="12"/>
  <c r="C1094" i="12"/>
  <c r="C1102" i="12"/>
  <c r="C1110" i="12"/>
  <c r="C1118" i="12"/>
  <c r="C1126" i="12"/>
  <c r="C1134" i="12"/>
  <c r="C1142" i="12"/>
  <c r="C1150" i="12"/>
  <c r="C1158" i="12"/>
  <c r="C1166" i="12"/>
  <c r="C1174" i="12"/>
  <c r="C1182" i="12"/>
  <c r="C1190" i="12"/>
  <c r="C1198" i="12"/>
  <c r="C1206" i="12"/>
  <c r="C1214" i="12"/>
  <c r="C1222" i="12"/>
  <c r="C1230" i="12"/>
  <c r="C1238" i="12"/>
  <c r="C1246" i="12"/>
  <c r="C1254" i="12"/>
  <c r="C1262" i="12"/>
  <c r="C1270" i="12"/>
  <c r="C1278" i="12"/>
  <c r="C1286" i="12"/>
  <c r="C1294" i="12"/>
  <c r="C1302" i="12"/>
  <c r="C1310" i="12"/>
  <c r="C1318" i="12"/>
  <c r="C1326" i="12"/>
  <c r="C1334" i="12"/>
  <c r="C1342" i="12"/>
  <c r="C1350" i="12"/>
  <c r="C1358" i="12"/>
  <c r="C687" i="12"/>
  <c r="C695" i="12"/>
  <c r="C703" i="12"/>
  <c r="C711" i="12"/>
  <c r="C719" i="12"/>
  <c r="C727" i="12"/>
  <c r="C735" i="12"/>
  <c r="C743" i="12"/>
  <c r="C751" i="12"/>
  <c r="C759" i="12"/>
  <c r="C767" i="12"/>
  <c r="C775" i="12"/>
  <c r="C783" i="12"/>
  <c r="C791" i="12"/>
  <c r="C799" i="12"/>
  <c r="C807" i="12"/>
  <c r="C815" i="12"/>
  <c r="C823" i="12"/>
  <c r="C831" i="12"/>
  <c r="C839" i="12"/>
  <c r="C847" i="12"/>
  <c r="C855" i="12"/>
  <c r="C863" i="12"/>
  <c r="C871" i="12"/>
  <c r="C879" i="12"/>
  <c r="C887" i="12"/>
  <c r="C895" i="12"/>
  <c r="C903" i="12"/>
  <c r="C911" i="12"/>
  <c r="C919" i="12"/>
  <c r="C927" i="12"/>
  <c r="C935" i="12"/>
  <c r="C943" i="12"/>
  <c r="C951" i="12"/>
  <c r="C959" i="12"/>
  <c r="C967" i="12"/>
  <c r="C975" i="12"/>
  <c r="C983" i="12"/>
  <c r="C991" i="12"/>
  <c r="C999" i="12"/>
  <c r="C1007" i="12"/>
  <c r="C1015" i="12"/>
  <c r="C1023" i="12"/>
  <c r="C1031" i="12"/>
  <c r="C1039" i="12"/>
  <c r="C1047" i="12"/>
  <c r="C1055" i="12"/>
  <c r="C1063" i="12"/>
  <c r="C1071" i="12"/>
  <c r="C1079" i="12"/>
  <c r="C1087" i="12"/>
  <c r="C1095" i="12"/>
  <c r="C1103" i="12"/>
  <c r="C1111" i="12"/>
  <c r="C1119" i="12"/>
  <c r="C1127" i="12"/>
  <c r="C1135" i="12"/>
  <c r="C1143" i="12"/>
  <c r="C1151" i="12"/>
  <c r="C1159" i="12"/>
  <c r="C1167" i="12"/>
  <c r="C1175" i="12"/>
  <c r="C1183" i="12"/>
  <c r="C1191" i="12"/>
  <c r="C1199" i="12"/>
  <c r="C1207" i="12"/>
  <c r="C1215" i="12"/>
  <c r="C1223" i="12"/>
  <c r="C1231" i="12"/>
  <c r="C1239" i="12"/>
  <c r="C1247" i="12"/>
  <c r="C1255" i="12"/>
  <c r="C1263" i="12"/>
  <c r="C1271" i="12"/>
  <c r="C1279" i="12"/>
  <c r="C1287" i="12"/>
  <c r="C1295" i="12"/>
  <c r="C1303" i="12"/>
  <c r="C1311" i="12"/>
  <c r="C1319" i="12"/>
  <c r="C1327" i="12"/>
  <c r="C1335" i="12"/>
  <c r="C1343" i="12"/>
  <c r="C1351" i="12"/>
  <c r="C1359" i="12"/>
  <c r="C688" i="12"/>
  <c r="C696" i="12"/>
  <c r="C704" i="12"/>
  <c r="C712" i="12"/>
  <c r="C720" i="12"/>
  <c r="C728" i="12"/>
  <c r="C736" i="12"/>
  <c r="C744" i="12"/>
  <c r="C752" i="12"/>
  <c r="C760" i="12"/>
  <c r="C768" i="12"/>
  <c r="C776" i="12"/>
  <c r="C784" i="12"/>
  <c r="C792" i="12"/>
  <c r="C800" i="12"/>
  <c r="C808" i="12"/>
  <c r="C816" i="12"/>
  <c r="C824" i="12"/>
  <c r="C832" i="12"/>
  <c r="C840" i="12"/>
  <c r="C848" i="12"/>
  <c r="C856" i="12"/>
  <c r="C864" i="12"/>
  <c r="C872" i="12"/>
  <c r="C880" i="12"/>
  <c r="C888" i="12"/>
  <c r="C896" i="12"/>
  <c r="C904" i="12"/>
  <c r="C912" i="12"/>
  <c r="C920" i="12"/>
  <c r="C928" i="12"/>
  <c r="C936" i="12"/>
  <c r="C944" i="12"/>
  <c r="C952" i="12"/>
  <c r="C960" i="12"/>
  <c r="C968" i="12"/>
  <c r="C976" i="12"/>
  <c r="C984" i="12"/>
  <c r="C992" i="12"/>
  <c r="C1000" i="12"/>
  <c r="C1008" i="12"/>
  <c r="C1016" i="12"/>
  <c r="C1024" i="12"/>
  <c r="C1032" i="12"/>
  <c r="C1040" i="12"/>
  <c r="C1048" i="12"/>
  <c r="C1056" i="12"/>
  <c r="C1064" i="12"/>
  <c r="C1072" i="12"/>
  <c r="C1080" i="12"/>
  <c r="C1088" i="12"/>
  <c r="C1096" i="12"/>
  <c r="C1104" i="12"/>
  <c r="C1112" i="12"/>
  <c r="C1120" i="12"/>
  <c r="C1128" i="12"/>
  <c r="C1136" i="12"/>
  <c r="C1144" i="12"/>
  <c r="C1152" i="12"/>
  <c r="C1160" i="12"/>
  <c r="C1168" i="12"/>
  <c r="C1176" i="12"/>
  <c r="C1184" i="12"/>
  <c r="C1192" i="12"/>
  <c r="C1200" i="12"/>
  <c r="C1208" i="12"/>
  <c r="C1216" i="12"/>
  <c r="C1224" i="12"/>
  <c r="C1232" i="12"/>
  <c r="C1240" i="12"/>
  <c r="C1248" i="12"/>
  <c r="C1256" i="12"/>
  <c r="C1264" i="12"/>
  <c r="C1272" i="12"/>
  <c r="C1280" i="12"/>
  <c r="C1288" i="12"/>
  <c r="C1296" i="12"/>
  <c r="C1304" i="12"/>
  <c r="C1312" i="12"/>
  <c r="C1320" i="12"/>
  <c r="C1328" i="12"/>
  <c r="C1336" i="12"/>
  <c r="C1344" i="12"/>
  <c r="C1352" i="12"/>
  <c r="C1360" i="12"/>
  <c r="C689" i="12"/>
  <c r="C697" i="12"/>
  <c r="C705" i="12"/>
  <c r="C713" i="12"/>
  <c r="C721" i="12"/>
  <c r="C729" i="12"/>
  <c r="C737" i="12"/>
  <c r="C745" i="12"/>
  <c r="C753" i="12"/>
  <c r="C761" i="12"/>
  <c r="C769" i="12"/>
  <c r="C777" i="12"/>
  <c r="C785" i="12"/>
  <c r="C793" i="12"/>
  <c r="C801" i="12"/>
  <c r="C809" i="12"/>
  <c r="C817" i="12"/>
  <c r="C825" i="12"/>
  <c r="C833" i="12"/>
  <c r="C841" i="12"/>
  <c r="C849" i="12"/>
  <c r="C857" i="12"/>
  <c r="C865" i="12"/>
  <c r="C873" i="12"/>
  <c r="C881" i="12"/>
  <c r="C889" i="12"/>
  <c r="C897" i="12"/>
  <c r="C905" i="12"/>
  <c r="C913" i="12"/>
  <c r="C921" i="12"/>
  <c r="C929" i="12"/>
  <c r="C937" i="12"/>
  <c r="C945" i="12"/>
  <c r="C953" i="12"/>
  <c r="C961" i="12"/>
  <c r="C969" i="12"/>
  <c r="C977" i="12"/>
  <c r="C985" i="12"/>
  <c r="C993" i="12"/>
  <c r="C1001" i="12"/>
  <c r="C1009" i="12"/>
  <c r="C1017" i="12"/>
  <c r="C1025" i="12"/>
  <c r="C1033" i="12"/>
  <c r="C1041" i="12"/>
  <c r="C1049" i="12"/>
  <c r="C1057" i="12"/>
  <c r="C1065" i="12"/>
  <c r="C1073" i="12"/>
  <c r="C1081" i="12"/>
  <c r="C1089" i="12"/>
  <c r="C1097" i="12"/>
  <c r="C1105" i="12"/>
  <c r="C1113" i="12"/>
  <c r="C1121" i="12"/>
  <c r="C1129" i="12"/>
  <c r="C1137" i="12"/>
  <c r="C1145" i="12"/>
  <c r="C1153" i="12"/>
  <c r="C1161" i="12"/>
  <c r="C1169" i="12"/>
  <c r="C1177" i="12"/>
  <c r="C1185" i="12"/>
  <c r="C1193" i="12"/>
  <c r="C1201" i="12"/>
  <c r="C1209" i="12"/>
  <c r="C1217" i="12"/>
  <c r="C1225" i="12"/>
  <c r="C1233" i="12"/>
  <c r="C1241" i="12"/>
  <c r="C1249" i="12"/>
  <c r="C1257" i="12"/>
  <c r="C1265" i="12"/>
  <c r="C1273" i="12"/>
  <c r="C1281" i="12"/>
  <c r="C1289" i="12"/>
  <c r="C1297" i="12"/>
  <c r="C1305" i="12"/>
  <c r="C1313" i="12"/>
  <c r="C1321" i="12"/>
  <c r="C1329" i="12"/>
  <c r="C1337" i="12"/>
  <c r="C1345" i="12"/>
  <c r="C1353" i="12"/>
  <c r="C1361" i="12"/>
  <c r="C690" i="12"/>
  <c r="C698" i="12"/>
  <c r="C706" i="12"/>
  <c r="C714" i="12"/>
  <c r="C722" i="12"/>
  <c r="C730" i="12"/>
  <c r="C738" i="12"/>
  <c r="C746" i="12"/>
  <c r="C754" i="12"/>
  <c r="C762" i="12"/>
  <c r="C770" i="12"/>
  <c r="C778" i="12"/>
  <c r="C786" i="12"/>
  <c r="C794" i="12"/>
  <c r="C802" i="12"/>
  <c r="C810" i="12"/>
  <c r="C818" i="12"/>
  <c r="C826" i="12"/>
  <c r="C834" i="12"/>
  <c r="C842" i="12"/>
  <c r="C850" i="12"/>
  <c r="C858" i="12"/>
  <c r="C866" i="12"/>
  <c r="C874" i="12"/>
  <c r="C882" i="12"/>
  <c r="C890" i="12"/>
  <c r="C898" i="12"/>
  <c r="C906" i="12"/>
  <c r="C914" i="12"/>
  <c r="C922" i="12"/>
  <c r="C930" i="12"/>
  <c r="C938" i="12"/>
  <c r="C946" i="12"/>
  <c r="C954" i="12"/>
  <c r="C962" i="12"/>
  <c r="C970" i="12"/>
  <c r="C978" i="12"/>
  <c r="C986" i="12"/>
  <c r="C994" i="12"/>
  <c r="C1002" i="12"/>
  <c r="C1010" i="12"/>
  <c r="C1018" i="12"/>
  <c r="C1026" i="12"/>
  <c r="C1034" i="12"/>
  <c r="C1042" i="12"/>
  <c r="C1050" i="12"/>
  <c r="C1058" i="12"/>
  <c r="C1066" i="12"/>
  <c r="C1074" i="12"/>
  <c r="C1082" i="12"/>
  <c r="C1090" i="12"/>
  <c r="C1098" i="12"/>
  <c r="C1106" i="12"/>
  <c r="C1114" i="12"/>
  <c r="C1122" i="12"/>
  <c r="C1130" i="12"/>
  <c r="C1138" i="12"/>
  <c r="C1146" i="12"/>
  <c r="C1154" i="12"/>
  <c r="C1162" i="12"/>
  <c r="C1170" i="12"/>
  <c r="C1178" i="12"/>
  <c r="C1186" i="12"/>
  <c r="C1194" i="12"/>
  <c r="C1202" i="12"/>
  <c r="C1210" i="12"/>
  <c r="C1218" i="12"/>
  <c r="C1226" i="12"/>
  <c r="C1234" i="12"/>
  <c r="C1242" i="12"/>
  <c r="C1250" i="12"/>
  <c r="C1258" i="12"/>
  <c r="C1266" i="12"/>
  <c r="C1274" i="12"/>
  <c r="C1282" i="12"/>
  <c r="C1290" i="12"/>
  <c r="C1298" i="12"/>
  <c r="C1306" i="12"/>
  <c r="C1314" i="12"/>
  <c r="C1322" i="12"/>
  <c r="C1330" i="12"/>
  <c r="C1338" i="12"/>
  <c r="C1346" i="12"/>
  <c r="C1354" i="12"/>
  <c r="C1362" i="12"/>
  <c r="C691" i="12"/>
  <c r="C699" i="12"/>
  <c r="C707" i="12"/>
  <c r="C715" i="12"/>
  <c r="C723" i="12"/>
  <c r="C731" i="12"/>
  <c r="C739" i="12"/>
  <c r="C747" i="12"/>
  <c r="C755" i="12"/>
  <c r="C763" i="12"/>
  <c r="C771" i="12"/>
  <c r="C779" i="12"/>
  <c r="C787" i="12"/>
  <c r="C795" i="12"/>
  <c r="C803" i="12"/>
  <c r="C811" i="12"/>
  <c r="C819" i="12"/>
  <c r="C827" i="12"/>
  <c r="C835" i="12"/>
  <c r="C843" i="12"/>
  <c r="C851" i="12"/>
  <c r="C859" i="12"/>
  <c r="C867" i="12"/>
  <c r="C875" i="12"/>
  <c r="C883" i="12"/>
  <c r="C891" i="12"/>
  <c r="C899" i="12"/>
  <c r="C907" i="12"/>
  <c r="C915" i="12"/>
  <c r="C923" i="12"/>
  <c r="C931" i="12"/>
  <c r="C939" i="12"/>
  <c r="C947" i="12"/>
  <c r="C955" i="12"/>
  <c r="C963" i="12"/>
  <c r="C971" i="12"/>
  <c r="C979" i="12"/>
  <c r="C987" i="12"/>
  <c r="C995" i="12"/>
  <c r="C1003" i="12"/>
  <c r="C1011" i="12"/>
  <c r="C1019" i="12"/>
  <c r="C1027" i="12"/>
  <c r="C1035" i="12"/>
  <c r="C1043" i="12"/>
  <c r="C1051" i="12"/>
  <c r="C1059" i="12"/>
  <c r="C1067" i="12"/>
  <c r="C1075" i="12"/>
  <c r="C1083" i="12"/>
  <c r="C1091" i="12"/>
  <c r="C1099" i="12"/>
  <c r="C1107" i="12"/>
  <c r="C1115" i="12"/>
  <c r="C1123" i="12"/>
  <c r="C1131" i="12"/>
  <c r="C1139" i="12"/>
  <c r="C1147" i="12"/>
  <c r="C1155" i="12"/>
  <c r="C1163" i="12"/>
  <c r="C1171" i="12"/>
  <c r="C1179" i="12"/>
  <c r="C1187" i="12"/>
  <c r="C1195" i="12"/>
  <c r="C1203" i="12"/>
  <c r="C1211" i="12"/>
  <c r="C1219" i="12"/>
  <c r="C1227" i="12"/>
  <c r="C1235" i="12"/>
  <c r="C1243" i="12"/>
  <c r="C1251" i="12"/>
  <c r="C1259" i="12"/>
  <c r="C1267" i="12"/>
  <c r="C1275" i="12"/>
  <c r="C1283" i="12"/>
  <c r="C1291" i="12"/>
  <c r="C1299" i="12"/>
  <c r="C1307" i="12"/>
  <c r="C1315" i="12"/>
  <c r="C1323" i="12"/>
  <c r="C1331" i="12"/>
  <c r="C1339" i="12"/>
  <c r="C1347" i="12"/>
  <c r="C1355" i="12"/>
  <c r="C1363" i="12"/>
  <c r="C1365" i="12"/>
  <c r="C1373" i="12"/>
  <c r="C1381" i="12"/>
  <c r="C1389" i="12"/>
  <c r="C1397" i="12"/>
  <c r="C1405" i="12"/>
  <c r="C1413" i="12"/>
  <c r="C1421" i="12"/>
  <c r="C1429" i="12"/>
  <c r="C1437" i="12"/>
  <c r="C1445" i="12"/>
  <c r="C1453" i="12"/>
  <c r="C1461" i="12"/>
  <c r="C1469" i="12"/>
  <c r="C1477" i="12"/>
  <c r="C1485" i="12"/>
  <c r="C1493" i="12"/>
  <c r="C1501" i="12"/>
  <c r="C1509" i="12"/>
  <c r="C1517" i="12"/>
  <c r="C1525" i="12"/>
  <c r="C1533" i="12"/>
  <c r="C1541" i="12"/>
  <c r="C1549" i="12"/>
  <c r="C1557" i="12"/>
  <c r="C1565" i="12"/>
  <c r="C1573" i="12"/>
  <c r="C1581" i="12"/>
  <c r="C1589" i="12"/>
  <c r="C1597" i="12"/>
  <c r="C1605" i="12"/>
  <c r="C1613" i="12"/>
  <c r="C1621" i="12"/>
  <c r="C1629" i="12"/>
  <c r="C1637" i="12"/>
  <c r="C1645" i="12"/>
  <c r="C1653" i="12"/>
  <c r="C1661" i="12"/>
  <c r="C1669" i="12"/>
  <c r="C1677" i="12"/>
  <c r="C1685" i="12"/>
  <c r="C1693" i="12"/>
  <c r="C1701" i="12"/>
  <c r="C1709" i="12"/>
  <c r="C1717" i="12"/>
  <c r="C1725" i="12"/>
  <c r="C1733" i="12"/>
  <c r="C1741" i="12"/>
  <c r="C1749" i="12"/>
  <c r="C1757" i="12"/>
  <c r="C1765" i="12"/>
  <c r="C1773" i="12"/>
  <c r="C1781" i="12"/>
  <c r="C1789" i="12"/>
  <c r="C1797" i="12"/>
  <c r="C1805" i="12"/>
  <c r="C1813" i="12"/>
  <c r="C1821" i="12"/>
  <c r="C1829" i="12"/>
  <c r="C1837" i="12"/>
  <c r="C1845" i="12"/>
  <c r="C1853" i="12"/>
  <c r="C1861" i="12"/>
  <c r="C1869" i="12"/>
  <c r="C1877" i="12"/>
  <c r="C1885" i="12"/>
  <c r="C1893" i="12"/>
  <c r="C1901" i="12"/>
  <c r="C1909" i="12"/>
  <c r="C1917" i="12"/>
  <c r="C1925" i="12"/>
  <c r="C1933" i="12"/>
  <c r="C1941" i="12"/>
  <c r="C1949" i="12"/>
  <c r="C1957" i="12"/>
  <c r="C1965" i="12"/>
  <c r="C1973" i="12"/>
  <c r="C1981" i="12"/>
  <c r="C1989" i="12"/>
  <c r="C1997" i="12"/>
  <c r="C2005" i="12"/>
  <c r="C2013" i="12"/>
  <c r="C2021" i="12"/>
  <c r="C2029" i="12"/>
  <c r="C2037" i="12"/>
  <c r="C2045" i="12"/>
  <c r="C1366" i="12"/>
  <c r="C1374" i="12"/>
  <c r="C1382" i="12"/>
  <c r="C1390" i="12"/>
  <c r="C1398" i="12"/>
  <c r="C1406" i="12"/>
  <c r="C1414" i="12"/>
  <c r="C1422" i="12"/>
  <c r="C1430" i="12"/>
  <c r="C1438" i="12"/>
  <c r="C1446" i="12"/>
  <c r="C1454" i="12"/>
  <c r="C1462" i="12"/>
  <c r="C1470" i="12"/>
  <c r="C1478" i="12"/>
  <c r="C1486" i="12"/>
  <c r="C1494" i="12"/>
  <c r="C1502" i="12"/>
  <c r="C1510" i="12"/>
  <c r="C1518" i="12"/>
  <c r="C1526" i="12"/>
  <c r="C1534" i="12"/>
  <c r="C1542" i="12"/>
  <c r="C1550" i="12"/>
  <c r="C1558" i="12"/>
  <c r="C1566" i="12"/>
  <c r="C1574" i="12"/>
  <c r="C1582" i="12"/>
  <c r="C1590" i="12"/>
  <c r="C1598" i="12"/>
  <c r="C1606" i="12"/>
  <c r="C1614" i="12"/>
  <c r="C1622" i="12"/>
  <c r="C1630" i="12"/>
  <c r="C1638" i="12"/>
  <c r="C1646" i="12"/>
  <c r="C1654" i="12"/>
  <c r="C1662" i="12"/>
  <c r="C1670" i="12"/>
  <c r="C1678" i="12"/>
  <c r="C1686" i="12"/>
  <c r="C1694" i="12"/>
  <c r="C1702" i="12"/>
  <c r="C1710" i="12"/>
  <c r="C1718" i="12"/>
  <c r="C1726" i="12"/>
  <c r="C1734" i="12"/>
  <c r="C1742" i="12"/>
  <c r="C1750" i="12"/>
  <c r="C1758" i="12"/>
  <c r="C1766" i="12"/>
  <c r="C1774" i="12"/>
  <c r="C1782" i="12"/>
  <c r="C1790" i="12"/>
  <c r="C1798" i="12"/>
  <c r="C1806" i="12"/>
  <c r="C1814" i="12"/>
  <c r="C1822" i="12"/>
  <c r="C1830" i="12"/>
  <c r="C1838" i="12"/>
  <c r="C1846" i="12"/>
  <c r="C1854" i="12"/>
  <c r="C1862" i="12"/>
  <c r="C1870" i="12"/>
  <c r="C1878" i="12"/>
  <c r="C1886" i="12"/>
  <c r="C1894" i="12"/>
  <c r="C1902" i="12"/>
  <c r="C1910" i="12"/>
  <c r="C1918" i="12"/>
  <c r="C1926" i="12"/>
  <c r="C1934" i="12"/>
  <c r="C1942" i="12"/>
  <c r="C1950" i="12"/>
  <c r="C1958" i="12"/>
  <c r="C1966" i="12"/>
  <c r="C1974" i="12"/>
  <c r="C1982" i="12"/>
  <c r="C1990" i="12"/>
  <c r="C1998" i="12"/>
  <c r="C2006" i="12"/>
  <c r="C2014" i="12"/>
  <c r="C2022" i="12"/>
  <c r="C2030" i="12"/>
  <c r="C2038" i="12"/>
  <c r="C2046" i="12"/>
  <c r="C1367" i="12"/>
  <c r="C1375" i="12"/>
  <c r="C1383" i="12"/>
  <c r="C1391" i="12"/>
  <c r="C1399" i="12"/>
  <c r="C1407" i="12"/>
  <c r="C1415" i="12"/>
  <c r="C1423" i="12"/>
  <c r="C1431" i="12"/>
  <c r="C1439" i="12"/>
  <c r="C1447" i="12"/>
  <c r="C1455" i="12"/>
  <c r="C1463" i="12"/>
  <c r="C1471" i="12"/>
  <c r="C1479" i="12"/>
  <c r="C1487" i="12"/>
  <c r="C1495" i="12"/>
  <c r="C1503" i="12"/>
  <c r="C1511" i="12"/>
  <c r="C1519" i="12"/>
  <c r="C1527" i="12"/>
  <c r="C1535" i="12"/>
  <c r="C1543" i="12"/>
  <c r="C1551" i="12"/>
  <c r="C1559" i="12"/>
  <c r="C1567" i="12"/>
  <c r="C1575" i="12"/>
  <c r="C1583" i="12"/>
  <c r="C1591" i="12"/>
  <c r="C1599" i="12"/>
  <c r="C1607" i="12"/>
  <c r="C1615" i="12"/>
  <c r="C1623" i="12"/>
  <c r="C1631" i="12"/>
  <c r="C1639" i="12"/>
  <c r="C1647" i="12"/>
  <c r="C1655" i="12"/>
  <c r="C1663" i="12"/>
  <c r="C1671" i="12"/>
  <c r="C1679" i="12"/>
  <c r="C1687" i="12"/>
  <c r="C1695" i="12"/>
  <c r="C1703" i="12"/>
  <c r="C1711" i="12"/>
  <c r="C1719" i="12"/>
  <c r="C1727" i="12"/>
  <c r="C1735" i="12"/>
  <c r="C1743" i="12"/>
  <c r="C1751" i="12"/>
  <c r="C1759" i="12"/>
  <c r="C1767" i="12"/>
  <c r="C1775" i="12"/>
  <c r="C1783" i="12"/>
  <c r="C1791" i="12"/>
  <c r="C1799" i="12"/>
  <c r="C1807" i="12"/>
  <c r="C1815" i="12"/>
  <c r="C1823" i="12"/>
  <c r="C1831" i="12"/>
  <c r="C1839" i="12"/>
  <c r="C1847" i="12"/>
  <c r="C1855" i="12"/>
  <c r="C1863" i="12"/>
  <c r="C1871" i="12"/>
  <c r="C1879" i="12"/>
  <c r="C1887" i="12"/>
  <c r="C1895" i="12"/>
  <c r="C1903" i="12"/>
  <c r="C1911" i="12"/>
  <c r="C1919" i="12"/>
  <c r="C1927" i="12"/>
  <c r="C1935" i="12"/>
  <c r="C1943" i="12"/>
  <c r="C1951" i="12"/>
  <c r="C1959" i="12"/>
  <c r="C1967" i="12"/>
  <c r="C1975" i="12"/>
  <c r="C1983" i="12"/>
  <c r="C1991" i="12"/>
  <c r="C1999" i="12"/>
  <c r="C2007" i="12"/>
  <c r="C2015" i="12"/>
  <c r="C2023" i="12"/>
  <c r="C2031" i="12"/>
  <c r="C2039" i="12"/>
  <c r="C1368" i="12"/>
  <c r="C1376" i="12"/>
  <c r="C1384" i="12"/>
  <c r="C1392" i="12"/>
  <c r="C1400" i="12"/>
  <c r="C1408" i="12"/>
  <c r="C1416" i="12"/>
  <c r="C1424" i="12"/>
  <c r="C1432" i="12"/>
  <c r="C1440" i="12"/>
  <c r="C1448" i="12"/>
  <c r="C1456" i="12"/>
  <c r="C1464" i="12"/>
  <c r="C1472" i="12"/>
  <c r="C1480" i="12"/>
  <c r="C1488" i="12"/>
  <c r="C1496" i="12"/>
  <c r="C1504" i="12"/>
  <c r="C1512" i="12"/>
  <c r="C1520" i="12"/>
  <c r="C1528" i="12"/>
  <c r="C1536" i="12"/>
  <c r="C1544" i="12"/>
  <c r="C1552" i="12"/>
  <c r="C1560" i="12"/>
  <c r="C1568" i="12"/>
  <c r="C1576" i="12"/>
  <c r="C1584" i="12"/>
  <c r="C1592" i="12"/>
  <c r="C1600" i="12"/>
  <c r="C1608" i="12"/>
  <c r="C1616" i="12"/>
  <c r="C1624" i="12"/>
  <c r="C1632" i="12"/>
  <c r="C1640" i="12"/>
  <c r="C1648" i="12"/>
  <c r="C1656" i="12"/>
  <c r="C1664" i="12"/>
  <c r="C1672" i="12"/>
  <c r="C1680" i="12"/>
  <c r="C1688" i="12"/>
  <c r="C1696" i="12"/>
  <c r="C1704" i="12"/>
  <c r="C1712" i="12"/>
  <c r="C1720" i="12"/>
  <c r="C1728" i="12"/>
  <c r="C1736" i="12"/>
  <c r="C1744" i="12"/>
  <c r="C1752" i="12"/>
  <c r="C1760" i="12"/>
  <c r="C1768" i="12"/>
  <c r="C1776" i="12"/>
  <c r="C1784" i="12"/>
  <c r="C1792" i="12"/>
  <c r="C1800" i="12"/>
  <c r="C1808" i="12"/>
  <c r="C1816" i="12"/>
  <c r="C1824" i="12"/>
  <c r="C1832" i="12"/>
  <c r="C1840" i="12"/>
  <c r="C1848" i="12"/>
  <c r="C1856" i="12"/>
  <c r="C1864" i="12"/>
  <c r="C1872" i="12"/>
  <c r="C1880" i="12"/>
  <c r="C1888" i="12"/>
  <c r="C1896" i="12"/>
  <c r="C1904" i="12"/>
  <c r="C1912" i="12"/>
  <c r="C1920" i="12"/>
  <c r="C1928" i="12"/>
  <c r="C1936" i="12"/>
  <c r="C1944" i="12"/>
  <c r="C1952" i="12"/>
  <c r="C1960" i="12"/>
  <c r="C1968" i="12"/>
  <c r="C1976" i="12"/>
  <c r="C1984" i="12"/>
  <c r="C1992" i="12"/>
  <c r="C2000" i="12"/>
  <c r="C2008" i="12"/>
  <c r="C2016" i="12"/>
  <c r="C2024" i="12"/>
  <c r="C2032" i="12"/>
  <c r="C2040" i="12"/>
  <c r="C1369" i="12"/>
  <c r="C1377" i="12"/>
  <c r="C1385" i="12"/>
  <c r="C1393" i="12"/>
  <c r="C1401" i="12"/>
  <c r="C1409" i="12"/>
  <c r="C1417" i="12"/>
  <c r="C1425" i="12"/>
  <c r="C1433" i="12"/>
  <c r="C1441" i="12"/>
  <c r="C1449" i="12"/>
  <c r="C1457" i="12"/>
  <c r="C1465" i="12"/>
  <c r="C1473" i="12"/>
  <c r="C1481" i="12"/>
  <c r="C1489" i="12"/>
  <c r="C1497" i="12"/>
  <c r="C1505" i="12"/>
  <c r="C1513" i="12"/>
  <c r="C1521" i="12"/>
  <c r="C1529" i="12"/>
  <c r="C1537" i="12"/>
  <c r="C1545" i="12"/>
  <c r="C1553" i="12"/>
  <c r="C1561" i="12"/>
  <c r="C1569" i="12"/>
  <c r="C1577" i="12"/>
  <c r="C1585" i="12"/>
  <c r="C1593" i="12"/>
  <c r="C1601" i="12"/>
  <c r="C1609" i="12"/>
  <c r="C1617" i="12"/>
  <c r="C1625" i="12"/>
  <c r="C1633" i="12"/>
  <c r="C1641" i="12"/>
  <c r="C1649" i="12"/>
  <c r="C1657" i="12"/>
  <c r="C1665" i="12"/>
  <c r="C1673" i="12"/>
  <c r="C1681" i="12"/>
  <c r="C1689" i="12"/>
  <c r="C1697" i="12"/>
  <c r="C1705" i="12"/>
  <c r="C1713" i="12"/>
  <c r="C1721" i="12"/>
  <c r="C1729" i="12"/>
  <c r="C1737" i="12"/>
  <c r="C1745" i="12"/>
  <c r="C1753" i="12"/>
  <c r="C1761" i="12"/>
  <c r="C1769" i="12"/>
  <c r="C1777" i="12"/>
  <c r="C1785" i="12"/>
  <c r="C1793" i="12"/>
  <c r="C1801" i="12"/>
  <c r="C1809" i="12"/>
  <c r="C1817" i="12"/>
  <c r="C1825" i="12"/>
  <c r="C1833" i="12"/>
  <c r="C1841" i="12"/>
  <c r="C1849" i="12"/>
  <c r="C1857" i="12"/>
  <c r="C1865" i="12"/>
  <c r="C1873" i="12"/>
  <c r="C1881" i="12"/>
  <c r="C1889" i="12"/>
  <c r="C1897" i="12"/>
  <c r="C1905" i="12"/>
  <c r="C1913" i="12"/>
  <c r="C1921" i="12"/>
  <c r="C1929" i="12"/>
  <c r="C1937" i="12"/>
  <c r="C1945" i="12"/>
  <c r="C1953" i="12"/>
  <c r="C1961" i="12"/>
  <c r="C1969" i="12"/>
  <c r="C1977" i="12"/>
  <c r="C1985" i="12"/>
  <c r="C1993" i="12"/>
  <c r="C2001" i="12"/>
  <c r="C2009" i="12"/>
  <c r="C2017" i="12"/>
  <c r="C2025" i="12"/>
  <c r="C2033" i="12"/>
  <c r="C2041" i="12"/>
  <c r="C1370" i="12"/>
  <c r="C1378" i="12"/>
  <c r="C1386" i="12"/>
  <c r="C1394" i="12"/>
  <c r="C1402" i="12"/>
  <c r="C1410" i="12"/>
  <c r="C1418" i="12"/>
  <c r="C1426" i="12"/>
  <c r="C1434" i="12"/>
  <c r="C1442" i="12"/>
  <c r="C1450" i="12"/>
  <c r="C1458" i="12"/>
  <c r="C1466" i="12"/>
  <c r="C1474" i="12"/>
  <c r="C1482" i="12"/>
  <c r="C1490" i="12"/>
  <c r="C1498" i="12"/>
  <c r="C1506" i="12"/>
  <c r="C1514" i="12"/>
  <c r="C1522" i="12"/>
  <c r="C1530" i="12"/>
  <c r="C1538" i="12"/>
  <c r="C1546" i="12"/>
  <c r="C1554" i="12"/>
  <c r="C1562" i="12"/>
  <c r="C1570" i="12"/>
  <c r="C1578" i="12"/>
  <c r="C1586" i="12"/>
  <c r="C1594" i="12"/>
  <c r="C1602" i="12"/>
  <c r="C1610" i="12"/>
  <c r="C1618" i="12"/>
  <c r="C1626" i="12"/>
  <c r="C1634" i="12"/>
  <c r="C1642" i="12"/>
  <c r="C1650" i="12"/>
  <c r="C1658" i="12"/>
  <c r="C1666" i="12"/>
  <c r="C1674" i="12"/>
  <c r="C1682" i="12"/>
  <c r="C1690" i="12"/>
  <c r="C1698" i="12"/>
  <c r="C1706" i="12"/>
  <c r="C1714" i="12"/>
  <c r="C1722" i="12"/>
  <c r="C1730" i="12"/>
  <c r="C1738" i="12"/>
  <c r="C1746" i="12"/>
  <c r="C1754" i="12"/>
  <c r="C1762" i="12"/>
  <c r="C1770" i="12"/>
  <c r="C1778" i="12"/>
  <c r="C1786" i="12"/>
  <c r="C1794" i="12"/>
  <c r="C1802" i="12"/>
  <c r="C1810" i="12"/>
  <c r="C1818" i="12"/>
  <c r="C1826" i="12"/>
  <c r="C1834" i="12"/>
  <c r="C1842" i="12"/>
  <c r="C1850" i="12"/>
  <c r="C1858" i="12"/>
  <c r="C1866" i="12"/>
  <c r="C1874" i="12"/>
  <c r="C1882" i="12"/>
  <c r="C1890" i="12"/>
  <c r="C1898" i="12"/>
  <c r="C1906" i="12"/>
  <c r="C1914" i="12"/>
  <c r="C1922" i="12"/>
  <c r="C1930" i="12"/>
  <c r="C1938" i="12"/>
  <c r="C1946" i="12"/>
  <c r="C1954" i="12"/>
  <c r="C1962" i="12"/>
  <c r="C1970" i="12"/>
  <c r="C1978" i="12"/>
  <c r="C1986" i="12"/>
  <c r="C1994" i="12"/>
  <c r="C2002" i="12"/>
  <c r="C2010" i="12"/>
  <c r="C2018" i="12"/>
  <c r="C2026" i="12"/>
  <c r="C2034" i="12"/>
  <c r="C2042" i="12"/>
  <c r="C1371" i="12"/>
  <c r="C1379" i="12"/>
  <c r="C1387" i="12"/>
  <c r="C1395" i="12"/>
  <c r="C1403" i="12"/>
  <c r="C1411" i="12"/>
  <c r="C1419" i="12"/>
  <c r="C1427" i="12"/>
  <c r="C1435" i="12"/>
  <c r="C1443" i="12"/>
  <c r="C1451" i="12"/>
  <c r="C1459" i="12"/>
  <c r="C1467" i="12"/>
  <c r="C1475" i="12"/>
  <c r="C1483" i="12"/>
  <c r="C1491" i="12"/>
  <c r="C1499" i="12"/>
  <c r="C1507" i="12"/>
  <c r="C1515" i="12"/>
  <c r="C1523" i="12"/>
  <c r="C1531" i="12"/>
  <c r="C1539" i="12"/>
  <c r="C1547" i="12"/>
  <c r="C1555" i="12"/>
  <c r="C1563" i="12"/>
  <c r="C1571" i="12"/>
  <c r="C1579" i="12"/>
  <c r="C1587" i="12"/>
  <c r="C1595" i="12"/>
  <c r="C1603" i="12"/>
  <c r="C1611" i="12"/>
  <c r="C1619" i="12"/>
  <c r="C1627" i="12"/>
  <c r="C1635" i="12"/>
  <c r="C1643" i="12"/>
  <c r="C1651" i="12"/>
  <c r="C1659" i="12"/>
  <c r="C1667" i="12"/>
  <c r="C1675" i="12"/>
  <c r="C1683" i="12"/>
  <c r="C1691" i="12"/>
  <c r="C1699" i="12"/>
  <c r="C1707" i="12"/>
  <c r="C1715" i="12"/>
  <c r="C1723" i="12"/>
  <c r="C1731" i="12"/>
  <c r="C1739" i="12"/>
  <c r="C1747" i="12"/>
  <c r="C1755" i="12"/>
  <c r="C1763" i="12"/>
  <c r="C1771" i="12"/>
  <c r="C1779" i="12"/>
  <c r="C1787" i="12"/>
  <c r="C1795" i="12"/>
  <c r="C1803" i="12"/>
  <c r="C1811" i="12"/>
  <c r="C1819" i="12"/>
  <c r="C1827" i="12"/>
  <c r="C1835" i="12"/>
  <c r="C1843" i="12"/>
  <c r="C1851" i="12"/>
  <c r="C1859" i="12"/>
  <c r="C1867" i="12"/>
  <c r="C1875" i="12"/>
  <c r="C1883" i="12"/>
  <c r="C1891" i="12"/>
  <c r="C1899" i="12"/>
  <c r="C1907" i="12"/>
  <c r="C1915" i="12"/>
  <c r="C1923" i="12"/>
  <c r="C1931" i="12"/>
  <c r="C1939" i="12"/>
  <c r="C1947" i="12"/>
  <c r="C1955" i="12"/>
  <c r="C1963" i="12"/>
  <c r="C1971" i="12"/>
  <c r="C1979" i="12"/>
  <c r="C1987" i="12"/>
  <c r="C1995" i="12"/>
  <c r="C2003" i="12"/>
  <c r="C2011" i="12"/>
  <c r="C2019" i="12"/>
  <c r="C2027" i="12"/>
  <c r="C2035" i="12"/>
  <c r="C2043" i="12"/>
  <c r="C1372" i="12"/>
  <c r="C1380" i="12"/>
  <c r="C1388" i="12"/>
  <c r="C1396" i="12"/>
  <c r="C1404" i="12"/>
  <c r="C1412" i="12"/>
  <c r="C1420" i="12"/>
  <c r="C1428" i="12"/>
  <c r="C1436" i="12"/>
  <c r="C1444" i="12"/>
  <c r="C1452" i="12"/>
  <c r="C1460" i="12"/>
  <c r="C1468" i="12"/>
  <c r="C1476" i="12"/>
  <c r="C1484" i="12"/>
  <c r="C1492" i="12"/>
  <c r="C1500" i="12"/>
  <c r="C1508" i="12"/>
  <c r="C1516" i="12"/>
  <c r="C1524" i="12"/>
  <c r="C1532" i="12"/>
  <c r="C1540" i="12"/>
  <c r="C1548" i="12"/>
  <c r="C1556" i="12"/>
  <c r="C1564" i="12"/>
  <c r="C1572" i="12"/>
  <c r="C1580" i="12"/>
  <c r="C1588" i="12"/>
  <c r="C1596" i="12"/>
  <c r="C1604" i="12"/>
  <c r="C1612" i="12"/>
  <c r="C1620" i="12"/>
  <c r="C1628" i="12"/>
  <c r="C1636" i="12"/>
  <c r="C1644" i="12"/>
  <c r="C1652" i="12"/>
  <c r="C1660" i="12"/>
  <c r="C1668" i="12"/>
  <c r="C1676" i="12"/>
  <c r="C1684" i="12"/>
  <c r="C1692" i="12"/>
  <c r="C1700" i="12"/>
  <c r="C1708" i="12"/>
  <c r="C1716" i="12"/>
  <c r="C1724" i="12"/>
  <c r="C1732" i="12"/>
  <c r="C1740" i="12"/>
  <c r="C1748" i="12"/>
  <c r="C1756" i="12"/>
  <c r="C1764" i="12"/>
  <c r="C1772" i="12"/>
  <c r="C1780" i="12"/>
  <c r="C1788" i="12"/>
  <c r="C1796" i="12"/>
  <c r="C1804" i="12"/>
  <c r="C1812" i="12"/>
  <c r="C1820" i="12"/>
  <c r="C1828" i="12"/>
  <c r="C1836" i="12"/>
  <c r="C1844" i="12"/>
  <c r="C1852" i="12"/>
  <c r="C1860" i="12"/>
  <c r="C1868" i="12"/>
  <c r="C1876" i="12"/>
  <c r="C1884" i="12"/>
  <c r="C1892" i="12"/>
  <c r="C1900" i="12"/>
  <c r="C1908" i="12"/>
  <c r="C1916" i="12"/>
  <c r="C1924" i="12"/>
  <c r="C1932" i="12"/>
  <c r="C1940" i="12"/>
  <c r="C1948" i="12"/>
  <c r="C1956" i="12"/>
  <c r="C1964" i="12"/>
  <c r="C1972" i="12"/>
  <c r="C1980" i="12"/>
  <c r="C1988" i="12"/>
  <c r="C1996" i="12"/>
  <c r="C2004" i="12"/>
  <c r="C2012" i="12"/>
  <c r="C2020" i="12"/>
  <c r="C2028" i="12"/>
  <c r="C2036" i="12"/>
  <c r="C2044" i="12"/>
  <c r="C2047" i="12"/>
  <c r="C2055" i="12"/>
  <c r="C2063" i="12"/>
  <c r="C2071" i="12"/>
  <c r="C2079" i="12"/>
  <c r="C2087" i="12"/>
  <c r="C2095" i="12"/>
  <c r="C2103" i="12"/>
  <c r="C2111" i="12"/>
  <c r="C2119" i="12"/>
  <c r="C2127" i="12"/>
  <c r="C2135" i="12"/>
  <c r="C2143" i="12"/>
  <c r="C2151" i="12"/>
  <c r="C2159" i="12"/>
  <c r="C2167" i="12"/>
  <c r="C2175" i="12"/>
  <c r="C2183" i="12"/>
  <c r="C2191" i="12"/>
  <c r="C2199" i="12"/>
  <c r="C2207" i="12"/>
  <c r="C2215" i="12"/>
  <c r="C2223" i="12"/>
  <c r="C2231" i="12"/>
  <c r="C2239" i="12"/>
  <c r="C2247" i="12"/>
  <c r="C2255" i="12"/>
  <c r="C2263" i="12"/>
  <c r="C2271" i="12"/>
  <c r="C2279" i="12"/>
  <c r="C2287" i="12"/>
  <c r="C2295" i="12"/>
  <c r="C2303" i="12"/>
  <c r="C2311" i="12"/>
  <c r="C2319" i="12"/>
  <c r="C2327" i="12"/>
  <c r="C2335" i="12"/>
  <c r="C2343" i="12"/>
  <c r="C2351" i="12"/>
  <c r="C2359" i="12"/>
  <c r="C2367" i="12"/>
  <c r="C2375" i="12"/>
  <c r="C2383" i="12"/>
  <c r="C2391" i="12"/>
  <c r="C2399" i="12"/>
  <c r="C2407" i="12"/>
  <c r="C2415" i="12"/>
  <c r="C2423" i="12"/>
  <c r="C2431" i="12"/>
  <c r="C2439" i="12"/>
  <c r="C2447" i="12"/>
  <c r="C2455" i="12"/>
  <c r="C2463" i="12"/>
  <c r="C2471" i="12"/>
  <c r="C2479" i="12"/>
  <c r="C2487" i="12"/>
  <c r="C2495" i="12"/>
  <c r="C2503" i="12"/>
  <c r="C2511" i="12"/>
  <c r="C2519" i="12"/>
  <c r="C2527" i="12"/>
  <c r="C2535" i="12"/>
  <c r="C2543" i="12"/>
  <c r="C2551" i="12"/>
  <c r="C2559" i="12"/>
  <c r="C2567" i="12"/>
  <c r="C2575" i="12"/>
  <c r="C2583" i="12"/>
  <c r="C2591" i="12"/>
  <c r="C2599" i="12"/>
  <c r="C2607" i="12"/>
  <c r="C2615" i="12"/>
  <c r="C2623" i="12"/>
  <c r="C2631" i="12"/>
  <c r="C2639" i="12"/>
  <c r="C2647" i="12"/>
  <c r="C2655" i="12"/>
  <c r="C2663" i="12"/>
  <c r="C2671" i="12"/>
  <c r="C2679" i="12"/>
  <c r="C2687" i="12"/>
  <c r="C2695" i="12"/>
  <c r="C2703" i="12"/>
  <c r="C2711" i="12"/>
  <c r="C2719" i="12"/>
  <c r="C2727" i="12"/>
  <c r="C2048" i="12"/>
  <c r="C2056" i="12"/>
  <c r="C2064" i="12"/>
  <c r="C2072" i="12"/>
  <c r="C2080" i="12"/>
  <c r="C2088" i="12"/>
  <c r="C2096" i="12"/>
  <c r="C2104" i="12"/>
  <c r="C2112" i="12"/>
  <c r="C2120" i="12"/>
  <c r="C2128" i="12"/>
  <c r="C2136" i="12"/>
  <c r="C2144" i="12"/>
  <c r="C2152" i="12"/>
  <c r="C2160" i="12"/>
  <c r="C2168" i="12"/>
  <c r="C2176" i="12"/>
  <c r="C2184" i="12"/>
  <c r="C2192" i="12"/>
  <c r="C2200" i="12"/>
  <c r="C2208" i="12"/>
  <c r="C2216" i="12"/>
  <c r="C2224" i="12"/>
  <c r="C2232" i="12"/>
  <c r="C2240" i="12"/>
  <c r="C2248" i="12"/>
  <c r="C2256" i="12"/>
  <c r="C2264" i="12"/>
  <c r="C2272" i="12"/>
  <c r="C2280" i="12"/>
  <c r="C2288" i="12"/>
  <c r="C2296" i="12"/>
  <c r="C2304" i="12"/>
  <c r="C2312" i="12"/>
  <c r="C2320" i="12"/>
  <c r="C2328" i="12"/>
  <c r="C2336" i="12"/>
  <c r="C2344" i="12"/>
  <c r="C2352" i="12"/>
  <c r="C2360" i="12"/>
  <c r="C2368" i="12"/>
  <c r="C2376" i="12"/>
  <c r="C2384" i="12"/>
  <c r="C2392" i="12"/>
  <c r="C2400" i="12"/>
  <c r="C2408" i="12"/>
  <c r="C2416" i="12"/>
  <c r="C2424" i="12"/>
  <c r="C2432" i="12"/>
  <c r="C2440" i="12"/>
  <c r="C2448" i="12"/>
  <c r="C2456" i="12"/>
  <c r="C2464" i="12"/>
  <c r="C2472" i="12"/>
  <c r="C2480" i="12"/>
  <c r="C2488" i="12"/>
  <c r="C2496" i="12"/>
  <c r="C2504" i="12"/>
  <c r="C2512" i="12"/>
  <c r="C2520" i="12"/>
  <c r="C2528" i="12"/>
  <c r="C2536" i="12"/>
  <c r="C2544" i="12"/>
  <c r="C2552" i="12"/>
  <c r="C2560" i="12"/>
  <c r="C2568" i="12"/>
  <c r="C2576" i="12"/>
  <c r="C2584" i="12"/>
  <c r="C2592" i="12"/>
  <c r="C2600" i="12"/>
  <c r="C2608" i="12"/>
  <c r="C2616" i="12"/>
  <c r="C2624" i="12"/>
  <c r="C2632" i="12"/>
  <c r="C2640" i="12"/>
  <c r="C2648" i="12"/>
  <c r="C2656" i="12"/>
  <c r="C2664" i="12"/>
  <c r="C2672" i="12"/>
  <c r="C2680" i="12"/>
  <c r="C2688" i="12"/>
  <c r="C2696" i="12"/>
  <c r="C2704" i="12"/>
  <c r="C2712" i="12"/>
  <c r="C2720" i="12"/>
  <c r="C2728" i="12"/>
  <c r="C2049" i="12"/>
  <c r="C2057" i="12"/>
  <c r="C2065" i="12"/>
  <c r="C2073" i="12"/>
  <c r="C2081" i="12"/>
  <c r="C2089" i="12"/>
  <c r="C2097" i="12"/>
  <c r="C2105" i="12"/>
  <c r="C2113" i="12"/>
  <c r="C2121" i="12"/>
  <c r="C2129" i="12"/>
  <c r="C2137" i="12"/>
  <c r="C2145" i="12"/>
  <c r="C2153" i="12"/>
  <c r="C2161" i="12"/>
  <c r="C2169" i="12"/>
  <c r="C2177" i="12"/>
  <c r="C2185" i="12"/>
  <c r="C2193" i="12"/>
  <c r="C2201" i="12"/>
  <c r="C2209" i="12"/>
  <c r="C2217" i="12"/>
  <c r="C2225" i="12"/>
  <c r="C2233" i="12"/>
  <c r="C2241" i="12"/>
  <c r="C2249" i="12"/>
  <c r="C2257" i="12"/>
  <c r="C2265" i="12"/>
  <c r="C2273" i="12"/>
  <c r="C2281" i="12"/>
  <c r="C2289" i="12"/>
  <c r="C2297" i="12"/>
  <c r="C2305" i="12"/>
  <c r="C2313" i="12"/>
  <c r="C2321" i="12"/>
  <c r="C2329" i="12"/>
  <c r="C2337" i="12"/>
  <c r="C2345" i="12"/>
  <c r="C2353" i="12"/>
  <c r="C2361" i="12"/>
  <c r="C2369" i="12"/>
  <c r="C2377" i="12"/>
  <c r="C2385" i="12"/>
  <c r="C2393" i="12"/>
  <c r="C2401" i="12"/>
  <c r="C2409" i="12"/>
  <c r="C2417" i="12"/>
  <c r="C2425" i="12"/>
  <c r="C2433" i="12"/>
  <c r="C2441" i="12"/>
  <c r="C2449" i="12"/>
  <c r="C2457" i="12"/>
  <c r="C2465" i="12"/>
  <c r="C2473" i="12"/>
  <c r="C2481" i="12"/>
  <c r="C2489" i="12"/>
  <c r="C2497" i="12"/>
  <c r="C2505" i="12"/>
  <c r="C2513" i="12"/>
  <c r="C2521" i="12"/>
  <c r="C2529" i="12"/>
  <c r="C2537" i="12"/>
  <c r="C2545" i="12"/>
  <c r="C2553" i="12"/>
  <c r="C2561" i="12"/>
  <c r="C2569" i="12"/>
  <c r="C2577" i="12"/>
  <c r="C2585" i="12"/>
  <c r="C2593" i="12"/>
  <c r="C2601" i="12"/>
  <c r="C2609" i="12"/>
  <c r="C2617" i="12"/>
  <c r="C2625" i="12"/>
  <c r="C2633" i="12"/>
  <c r="C2641" i="12"/>
  <c r="C2649" i="12"/>
  <c r="C2657" i="12"/>
  <c r="C2665" i="12"/>
  <c r="C2673" i="12"/>
  <c r="C2681" i="12"/>
  <c r="C2689" i="12"/>
  <c r="C2697" i="12"/>
  <c r="C2705" i="12"/>
  <c r="C2713" i="12"/>
  <c r="C2721" i="12"/>
  <c r="C2729" i="12"/>
  <c r="C2050" i="12"/>
  <c r="C2058" i="12"/>
  <c r="C2066" i="12"/>
  <c r="C2074" i="12"/>
  <c r="C2082" i="12"/>
  <c r="C2090" i="12"/>
  <c r="C2098" i="12"/>
  <c r="C2106" i="12"/>
  <c r="C2114" i="12"/>
  <c r="C2122" i="12"/>
  <c r="C2130" i="12"/>
  <c r="C2138" i="12"/>
  <c r="C2146" i="12"/>
  <c r="C2154" i="12"/>
  <c r="C2162" i="12"/>
  <c r="C2170" i="12"/>
  <c r="C2178" i="12"/>
  <c r="C2186" i="12"/>
  <c r="C2194" i="12"/>
  <c r="C2202" i="12"/>
  <c r="C2210" i="12"/>
  <c r="C2218" i="12"/>
  <c r="C2226" i="12"/>
  <c r="C2234" i="12"/>
  <c r="C2242" i="12"/>
  <c r="C2250" i="12"/>
  <c r="C2258" i="12"/>
  <c r="C2266" i="12"/>
  <c r="C2274" i="12"/>
  <c r="C2282" i="12"/>
  <c r="C2290" i="12"/>
  <c r="C2298" i="12"/>
  <c r="C2306" i="12"/>
  <c r="C2314" i="12"/>
  <c r="C2322" i="12"/>
  <c r="C2330" i="12"/>
  <c r="C2338" i="12"/>
  <c r="C2346" i="12"/>
  <c r="C2354" i="12"/>
  <c r="C2362" i="12"/>
  <c r="C2370" i="12"/>
  <c r="C2378" i="12"/>
  <c r="C2386" i="12"/>
  <c r="C2394" i="12"/>
  <c r="C2402" i="12"/>
  <c r="C2410" i="12"/>
  <c r="C2418" i="12"/>
  <c r="C2426" i="12"/>
  <c r="C2434" i="12"/>
  <c r="C2442" i="12"/>
  <c r="C2450" i="12"/>
  <c r="C2458" i="12"/>
  <c r="C2466" i="12"/>
  <c r="C2474" i="12"/>
  <c r="C2482" i="12"/>
  <c r="C2490" i="12"/>
  <c r="C2498" i="12"/>
  <c r="C2506" i="12"/>
  <c r="C2514" i="12"/>
  <c r="C2522" i="12"/>
  <c r="C2530" i="12"/>
  <c r="C2538" i="12"/>
  <c r="C2546" i="12"/>
  <c r="C2554" i="12"/>
  <c r="C2562" i="12"/>
  <c r="C2570" i="12"/>
  <c r="C2578" i="12"/>
  <c r="C2586" i="12"/>
  <c r="C2594" i="12"/>
  <c r="C2602" i="12"/>
  <c r="C2610" i="12"/>
  <c r="C2618" i="12"/>
  <c r="C2626" i="12"/>
  <c r="C2634" i="12"/>
  <c r="C2642" i="12"/>
  <c r="C2650" i="12"/>
  <c r="C2658" i="12"/>
  <c r="C2666" i="12"/>
  <c r="C2674" i="12"/>
  <c r="C2682" i="12"/>
  <c r="C2690" i="12"/>
  <c r="C2698" i="12"/>
  <c r="C2706" i="12"/>
  <c r="C2714" i="12"/>
  <c r="C2722" i="12"/>
  <c r="C2051" i="12"/>
  <c r="C2059" i="12"/>
  <c r="C2067" i="12"/>
  <c r="C2075" i="12"/>
  <c r="C2083" i="12"/>
  <c r="C2091" i="12"/>
  <c r="C2099" i="12"/>
  <c r="C2107" i="12"/>
  <c r="C2115" i="12"/>
  <c r="C2123" i="12"/>
  <c r="C2131" i="12"/>
  <c r="C2139" i="12"/>
  <c r="C2147" i="12"/>
  <c r="C2155" i="12"/>
  <c r="C2163" i="12"/>
  <c r="C2171" i="12"/>
  <c r="C2179" i="12"/>
  <c r="C2187" i="12"/>
  <c r="C2195" i="12"/>
  <c r="C2203" i="12"/>
  <c r="C2211" i="12"/>
  <c r="C2219" i="12"/>
  <c r="C2227" i="12"/>
  <c r="C2235" i="12"/>
  <c r="C2243" i="12"/>
  <c r="C2251" i="12"/>
  <c r="C2259" i="12"/>
  <c r="C2267" i="12"/>
  <c r="C2275" i="12"/>
  <c r="C2283" i="12"/>
  <c r="C2291" i="12"/>
  <c r="C2299" i="12"/>
  <c r="C2307" i="12"/>
  <c r="C2315" i="12"/>
  <c r="C2323" i="12"/>
  <c r="C2331" i="12"/>
  <c r="C2339" i="12"/>
  <c r="C2347" i="12"/>
  <c r="C2355" i="12"/>
  <c r="C2363" i="12"/>
  <c r="C2371" i="12"/>
  <c r="C2379" i="12"/>
  <c r="C2387" i="12"/>
  <c r="C2395" i="12"/>
  <c r="C2403" i="12"/>
  <c r="C2411" i="12"/>
  <c r="C2419" i="12"/>
  <c r="C2427" i="12"/>
  <c r="C2435" i="12"/>
  <c r="C2443" i="12"/>
  <c r="C2451" i="12"/>
  <c r="C2459" i="12"/>
  <c r="C2467" i="12"/>
  <c r="C2475" i="12"/>
  <c r="C2483" i="12"/>
  <c r="C2491" i="12"/>
  <c r="C2499" i="12"/>
  <c r="C2507" i="12"/>
  <c r="C2515" i="12"/>
  <c r="C2523" i="12"/>
  <c r="C2531" i="12"/>
  <c r="C2539" i="12"/>
  <c r="C2547" i="12"/>
  <c r="C2555" i="12"/>
  <c r="C2563" i="12"/>
  <c r="C2571" i="12"/>
  <c r="C2579" i="12"/>
  <c r="C2587" i="12"/>
  <c r="C2595" i="12"/>
  <c r="C2603" i="12"/>
  <c r="C2611" i="12"/>
  <c r="C2619" i="12"/>
  <c r="C2627" i="12"/>
  <c r="C2635" i="12"/>
  <c r="C2643" i="12"/>
  <c r="C2651" i="12"/>
  <c r="C2659" i="12"/>
  <c r="C2667" i="12"/>
  <c r="C2675" i="12"/>
  <c r="C2683" i="12"/>
  <c r="C2691" i="12"/>
  <c r="C2699" i="12"/>
  <c r="C2707" i="12"/>
  <c r="C2715" i="12"/>
  <c r="C2723" i="12"/>
  <c r="C2052" i="12"/>
  <c r="C2060" i="12"/>
  <c r="C2068" i="12"/>
  <c r="C2076" i="12"/>
  <c r="C2084" i="12"/>
  <c r="C2092" i="12"/>
  <c r="C2100" i="12"/>
  <c r="C2108" i="12"/>
  <c r="C2116" i="12"/>
  <c r="C2124" i="12"/>
  <c r="C2132" i="12"/>
  <c r="C2140" i="12"/>
  <c r="C2148" i="12"/>
  <c r="C2156" i="12"/>
  <c r="C2164" i="12"/>
  <c r="C2172" i="12"/>
  <c r="C2180" i="12"/>
  <c r="C2188" i="12"/>
  <c r="C2196" i="12"/>
  <c r="C2204" i="12"/>
  <c r="C2212" i="12"/>
  <c r="C2220" i="12"/>
  <c r="C2228" i="12"/>
  <c r="C2236" i="12"/>
  <c r="C2244" i="12"/>
  <c r="C2252" i="12"/>
  <c r="C2260" i="12"/>
  <c r="C2268" i="12"/>
  <c r="C2276" i="12"/>
  <c r="C2284" i="12"/>
  <c r="C2292" i="12"/>
  <c r="C2300" i="12"/>
  <c r="C2308" i="12"/>
  <c r="C2316" i="12"/>
  <c r="C2324" i="12"/>
  <c r="C2332" i="12"/>
  <c r="C2340" i="12"/>
  <c r="C2348" i="12"/>
  <c r="C2356" i="12"/>
  <c r="C2364" i="12"/>
  <c r="C2372" i="12"/>
  <c r="C2380" i="12"/>
  <c r="C2388" i="12"/>
  <c r="C2396" i="12"/>
  <c r="C2404" i="12"/>
  <c r="C2412" i="12"/>
  <c r="C2420" i="12"/>
  <c r="C2428" i="12"/>
  <c r="C2436" i="12"/>
  <c r="C2444" i="12"/>
  <c r="C2452" i="12"/>
  <c r="C2460" i="12"/>
  <c r="C2468" i="12"/>
  <c r="C2476" i="12"/>
  <c r="C2484" i="12"/>
  <c r="C2492" i="12"/>
  <c r="C2500" i="12"/>
  <c r="C2508" i="12"/>
  <c r="C2516" i="12"/>
  <c r="C2524" i="12"/>
  <c r="C2532" i="12"/>
  <c r="C2540" i="12"/>
  <c r="C2548" i="12"/>
  <c r="C2556" i="12"/>
  <c r="C2564" i="12"/>
  <c r="C2572" i="12"/>
  <c r="C2580" i="12"/>
  <c r="C2588" i="12"/>
  <c r="C2596" i="12"/>
  <c r="C2604" i="12"/>
  <c r="C2612" i="12"/>
  <c r="C2620" i="12"/>
  <c r="C2628" i="12"/>
  <c r="C2636" i="12"/>
  <c r="C2644" i="12"/>
  <c r="C2652" i="12"/>
  <c r="C2660" i="12"/>
  <c r="C2668" i="12"/>
  <c r="C2676" i="12"/>
  <c r="C2684" i="12"/>
  <c r="C2692" i="12"/>
  <c r="C2700" i="12"/>
  <c r="C2708" i="12"/>
  <c r="C2716" i="12"/>
  <c r="C2724" i="12"/>
  <c r="C2053" i="12"/>
  <c r="C2061" i="12"/>
  <c r="C2069" i="12"/>
  <c r="C2077" i="12"/>
  <c r="C2085" i="12"/>
  <c r="C2093" i="12"/>
  <c r="C2101" i="12"/>
  <c r="C2109" i="12"/>
  <c r="C2117" i="12"/>
  <c r="C2125" i="12"/>
  <c r="C2133" i="12"/>
  <c r="C2141" i="12"/>
  <c r="C2149" i="12"/>
  <c r="C2157" i="12"/>
  <c r="C2165" i="12"/>
  <c r="C2173" i="12"/>
  <c r="C2181" i="12"/>
  <c r="C2189" i="12"/>
  <c r="C2197" i="12"/>
  <c r="C2205" i="12"/>
  <c r="C2213" i="12"/>
  <c r="C2221" i="12"/>
  <c r="C2229" i="12"/>
  <c r="C2237" i="12"/>
  <c r="C2245" i="12"/>
  <c r="C2253" i="12"/>
  <c r="C2261" i="12"/>
  <c r="C2269" i="12"/>
  <c r="C2277" i="12"/>
  <c r="C2285" i="12"/>
  <c r="C2293" i="12"/>
  <c r="C2301" i="12"/>
  <c r="C2309" i="12"/>
  <c r="C2317" i="12"/>
  <c r="C2325" i="12"/>
  <c r="C2333" i="12"/>
  <c r="C2341" i="12"/>
  <c r="C2349" i="12"/>
  <c r="C2357" i="12"/>
  <c r="C2365" i="12"/>
  <c r="C2373" i="12"/>
  <c r="C2381" i="12"/>
  <c r="C2389" i="12"/>
  <c r="C2397" i="12"/>
  <c r="C2405" i="12"/>
  <c r="C2413" i="12"/>
  <c r="C2421" i="12"/>
  <c r="C2429" i="12"/>
  <c r="C2437" i="12"/>
  <c r="C2445" i="12"/>
  <c r="C2453" i="12"/>
  <c r="C2461" i="12"/>
  <c r="C2469" i="12"/>
  <c r="C2477" i="12"/>
  <c r="C2485" i="12"/>
  <c r="C2493" i="12"/>
  <c r="C2501" i="12"/>
  <c r="C2509" i="12"/>
  <c r="C2517" i="12"/>
  <c r="C2525" i="12"/>
  <c r="C2533" i="12"/>
  <c r="C2541" i="12"/>
  <c r="C2549" i="12"/>
  <c r="C2557" i="12"/>
  <c r="C2565" i="12"/>
  <c r="C2573" i="12"/>
  <c r="C2581" i="12"/>
  <c r="C2589" i="12"/>
  <c r="C2597" i="12"/>
  <c r="C2605" i="12"/>
  <c r="C2613" i="12"/>
  <c r="C2621" i="12"/>
  <c r="C2629" i="12"/>
  <c r="C2637" i="12"/>
  <c r="C2645" i="12"/>
  <c r="C2653" i="12"/>
  <c r="C2661" i="12"/>
  <c r="C2669" i="12"/>
  <c r="C2677" i="12"/>
  <c r="C2685" i="12"/>
  <c r="C2693" i="12"/>
  <c r="C2701" i="12"/>
  <c r="C2709" i="12"/>
  <c r="C2717" i="12"/>
  <c r="C2725" i="12"/>
  <c r="C2054" i="12"/>
  <c r="C2062" i="12"/>
  <c r="C2070" i="12"/>
  <c r="C2078" i="12"/>
  <c r="C2086" i="12"/>
  <c r="C2094" i="12"/>
  <c r="C2102" i="12"/>
  <c r="C2110" i="12"/>
  <c r="C2118" i="12"/>
  <c r="C2126" i="12"/>
  <c r="C2134" i="12"/>
  <c r="C2142" i="12"/>
  <c r="C2150" i="12"/>
  <c r="C2158" i="12"/>
  <c r="C2166" i="12"/>
  <c r="C2174" i="12"/>
  <c r="C2182" i="12"/>
  <c r="C2190" i="12"/>
  <c r="C2198" i="12"/>
  <c r="C2206" i="12"/>
  <c r="C2214" i="12"/>
  <c r="C2222" i="12"/>
  <c r="C2230" i="12"/>
  <c r="C2238" i="12"/>
  <c r="C2246" i="12"/>
  <c r="C2254" i="12"/>
  <c r="C2262" i="12"/>
  <c r="C2270" i="12"/>
  <c r="C2278" i="12"/>
  <c r="C2286" i="12"/>
  <c r="C2294" i="12"/>
  <c r="C2302" i="12"/>
  <c r="C2310" i="12"/>
  <c r="C2318" i="12"/>
  <c r="C2326" i="12"/>
  <c r="C2334" i="12"/>
  <c r="C2342" i="12"/>
  <c r="C2350" i="12"/>
  <c r="C2358" i="12"/>
  <c r="C2366" i="12"/>
  <c r="C2374" i="12"/>
  <c r="C2382" i="12"/>
  <c r="C2390" i="12"/>
  <c r="C2398" i="12"/>
  <c r="C2406" i="12"/>
  <c r="C2414" i="12"/>
  <c r="C2422" i="12"/>
  <c r="C2430" i="12"/>
  <c r="C2438" i="12"/>
  <c r="C2446" i="12"/>
  <c r="C2454" i="12"/>
  <c r="C2462" i="12"/>
  <c r="C2470" i="12"/>
  <c r="C2478" i="12"/>
  <c r="C2486" i="12"/>
  <c r="C2494" i="12"/>
  <c r="C2502" i="12"/>
  <c r="C2510" i="12"/>
  <c r="C2518" i="12"/>
  <c r="C2526" i="12"/>
  <c r="C2534" i="12"/>
  <c r="C2542" i="12"/>
  <c r="C2550" i="12"/>
  <c r="C2558" i="12"/>
  <c r="C2566" i="12"/>
  <c r="C2574" i="12"/>
  <c r="C2582" i="12"/>
  <c r="C2590" i="12"/>
  <c r="C2598" i="12"/>
  <c r="C2606" i="12"/>
  <c r="C2614" i="12"/>
  <c r="C2622" i="12"/>
  <c r="C2630" i="12"/>
  <c r="C2638" i="12"/>
  <c r="C2646" i="12"/>
  <c r="C2654" i="12"/>
  <c r="C2662" i="12"/>
  <c r="C2670" i="12"/>
  <c r="C2678" i="12"/>
  <c r="C2686" i="12"/>
  <c r="C2694" i="12"/>
  <c r="C2702" i="12"/>
  <c r="C2710" i="12"/>
  <c r="C2718" i="12"/>
  <c r="C2726" i="12"/>
  <c r="C2730" i="12"/>
  <c r="C2738" i="12"/>
  <c r="C2746" i="12"/>
  <c r="C2754" i="12"/>
  <c r="C2762" i="12"/>
  <c r="C2770" i="12"/>
  <c r="C2778" i="12"/>
  <c r="C2786" i="12"/>
  <c r="C2794" i="12"/>
  <c r="C2802" i="12"/>
  <c r="C2810" i="12"/>
  <c r="C2818" i="12"/>
  <c r="C2826" i="12"/>
  <c r="C2834" i="12"/>
  <c r="C2842" i="12"/>
  <c r="C2850" i="12"/>
  <c r="C2858" i="12"/>
  <c r="C2866" i="12"/>
  <c r="C2874" i="12"/>
  <c r="C2882" i="12"/>
  <c r="C2890" i="12"/>
  <c r="C2898" i="12"/>
  <c r="C2906" i="12"/>
  <c r="C2914" i="12"/>
  <c r="C2922" i="12"/>
  <c r="C2930" i="12"/>
  <c r="C2938" i="12"/>
  <c r="C2946" i="12"/>
  <c r="C2954" i="12"/>
  <c r="C2962" i="12"/>
  <c r="C2970" i="12"/>
  <c r="C2978" i="12"/>
  <c r="C2986" i="12"/>
  <c r="C2994" i="12"/>
  <c r="C3002" i="12"/>
  <c r="C3010" i="12"/>
  <c r="C3018" i="12"/>
  <c r="C3026" i="12"/>
  <c r="C3034" i="12"/>
  <c r="C3042" i="12"/>
  <c r="C3050" i="12"/>
  <c r="C3058" i="12"/>
  <c r="C3066" i="12"/>
  <c r="C3074" i="12"/>
  <c r="C3082" i="12"/>
  <c r="C3090" i="12"/>
  <c r="C3098" i="12"/>
  <c r="C3106" i="12"/>
  <c r="C3" i="12"/>
  <c r="C2731" i="12"/>
  <c r="C2739" i="12"/>
  <c r="C2747" i="12"/>
  <c r="C2755" i="12"/>
  <c r="C2763" i="12"/>
  <c r="C2771" i="12"/>
  <c r="C2779" i="12"/>
  <c r="C2787" i="12"/>
  <c r="C2795" i="12"/>
  <c r="C2803" i="12"/>
  <c r="C2811" i="12"/>
  <c r="C2819" i="12"/>
  <c r="C2827" i="12"/>
  <c r="C2835" i="12"/>
  <c r="C2843" i="12"/>
  <c r="C2851" i="12"/>
  <c r="C2859" i="12"/>
  <c r="C2867" i="12"/>
  <c r="C2875" i="12"/>
  <c r="C2883" i="12"/>
  <c r="C2891" i="12"/>
  <c r="C2899" i="12"/>
  <c r="C2907" i="12"/>
  <c r="C2915" i="12"/>
  <c r="C2923" i="12"/>
  <c r="C2931" i="12"/>
  <c r="C2939" i="12"/>
  <c r="C2947" i="12"/>
  <c r="C2955" i="12"/>
  <c r="C2963" i="12"/>
  <c r="C2971" i="12"/>
  <c r="C2979" i="12"/>
  <c r="C2987" i="12"/>
  <c r="C2995" i="12"/>
  <c r="C3003" i="12"/>
  <c r="C3011" i="12"/>
  <c r="C3019" i="12"/>
  <c r="C3027" i="12"/>
  <c r="C3035" i="12"/>
  <c r="C3043" i="12"/>
  <c r="C3051" i="12"/>
  <c r="C3059" i="12"/>
  <c r="C3067" i="12"/>
  <c r="C3075" i="12"/>
  <c r="C3083" i="12"/>
  <c r="C3091" i="12"/>
  <c r="C3099" i="12"/>
  <c r="C3107" i="12"/>
  <c r="C2732" i="12"/>
  <c r="C2740" i="12"/>
  <c r="C2748" i="12"/>
  <c r="C2756" i="12"/>
  <c r="C2764" i="12"/>
  <c r="C2772" i="12"/>
  <c r="C2780" i="12"/>
  <c r="C2788" i="12"/>
  <c r="C2796" i="12"/>
  <c r="C2804" i="12"/>
  <c r="C2812" i="12"/>
  <c r="C2820" i="12"/>
  <c r="C2828" i="12"/>
  <c r="C2836" i="12"/>
  <c r="C2844" i="12"/>
  <c r="C2852" i="12"/>
  <c r="C2860" i="12"/>
  <c r="C2868" i="12"/>
  <c r="C2876" i="12"/>
  <c r="C2884" i="12"/>
  <c r="C2892" i="12"/>
  <c r="C2900" i="12"/>
  <c r="C2908" i="12"/>
  <c r="C2916" i="12"/>
  <c r="C2924" i="12"/>
  <c r="C2932" i="12"/>
  <c r="C2940" i="12"/>
  <c r="C2948" i="12"/>
  <c r="C2956" i="12"/>
  <c r="C2964" i="12"/>
  <c r="C2972" i="12"/>
  <c r="C2980" i="12"/>
  <c r="C2988" i="12"/>
  <c r="C2996" i="12"/>
  <c r="C3004" i="12"/>
  <c r="C3012" i="12"/>
  <c r="C3020" i="12"/>
  <c r="C3028" i="12"/>
  <c r="C3036" i="12"/>
  <c r="C3044" i="12"/>
  <c r="C3052" i="12"/>
  <c r="C3060" i="12"/>
  <c r="C3068" i="12"/>
  <c r="C3076" i="12"/>
  <c r="C3084" i="12"/>
  <c r="C3092" i="12"/>
  <c r="C3100" i="12"/>
  <c r="C3108" i="12"/>
  <c r="C2733" i="12"/>
  <c r="C2741" i="12"/>
  <c r="C2749" i="12"/>
  <c r="C2757" i="12"/>
  <c r="C2765" i="12"/>
  <c r="C2773" i="12"/>
  <c r="C2781" i="12"/>
  <c r="C2789" i="12"/>
  <c r="C2797" i="12"/>
  <c r="C2805" i="12"/>
  <c r="C2813" i="12"/>
  <c r="C2821" i="12"/>
  <c r="C2829" i="12"/>
  <c r="C2837" i="12"/>
  <c r="C2845" i="12"/>
  <c r="C2853" i="12"/>
  <c r="C2861" i="12"/>
  <c r="C2869" i="12"/>
  <c r="C2877" i="12"/>
  <c r="C2885" i="12"/>
  <c r="C2893" i="12"/>
  <c r="C2901" i="12"/>
  <c r="C2909" i="12"/>
  <c r="C2917" i="12"/>
  <c r="C2925" i="12"/>
  <c r="C2933" i="12"/>
  <c r="C2941" i="12"/>
  <c r="C2949" i="12"/>
  <c r="C2957" i="12"/>
  <c r="C2965" i="12"/>
  <c r="C2973" i="12"/>
  <c r="C2981" i="12"/>
  <c r="C2989" i="12"/>
  <c r="C2997" i="12"/>
  <c r="C3005" i="12"/>
  <c r="C3013" i="12"/>
  <c r="C3021" i="12"/>
  <c r="C3029" i="12"/>
  <c r="C3037" i="12"/>
  <c r="C3045" i="12"/>
  <c r="C3053" i="12"/>
  <c r="C3061" i="12"/>
  <c r="C3069" i="12"/>
  <c r="C3077" i="12"/>
  <c r="C3085" i="12"/>
  <c r="C3093" i="12"/>
  <c r="C3101" i="12"/>
  <c r="C3109" i="12"/>
  <c r="C2734" i="12"/>
  <c r="C2742" i="12"/>
  <c r="C2750" i="12"/>
  <c r="C2758" i="12"/>
  <c r="C2766" i="12"/>
  <c r="C2774" i="12"/>
  <c r="C2782" i="12"/>
  <c r="C2790" i="12"/>
  <c r="C2798" i="12"/>
  <c r="C2806" i="12"/>
  <c r="C2814" i="12"/>
  <c r="C2822" i="12"/>
  <c r="C2830" i="12"/>
  <c r="C2838" i="12"/>
  <c r="C2846" i="12"/>
  <c r="C2854" i="12"/>
  <c r="C2862" i="12"/>
  <c r="C2870" i="12"/>
  <c r="C2878" i="12"/>
  <c r="C2886" i="12"/>
  <c r="C2894" i="12"/>
  <c r="C2902" i="12"/>
  <c r="C2910" i="12"/>
  <c r="C2918" i="12"/>
  <c r="C2926" i="12"/>
  <c r="C2934" i="12"/>
  <c r="C2942" i="12"/>
  <c r="C2950" i="12"/>
  <c r="C2958" i="12"/>
  <c r="C2966" i="12"/>
  <c r="C2974" i="12"/>
  <c r="C2982" i="12"/>
  <c r="C2990" i="12"/>
  <c r="C2998" i="12"/>
  <c r="C3006" i="12"/>
  <c r="C3014" i="12"/>
  <c r="C3022" i="12"/>
  <c r="C3030" i="12"/>
  <c r="C3038" i="12"/>
  <c r="C3046" i="12"/>
  <c r="C3054" i="12"/>
  <c r="C3062" i="12"/>
  <c r="C3070" i="12"/>
  <c r="C3078" i="12"/>
  <c r="C3086" i="12"/>
  <c r="C3094" i="12"/>
  <c r="C3102" i="12"/>
  <c r="C3110" i="12"/>
  <c r="C2735" i="12"/>
  <c r="C2743" i="12"/>
  <c r="C2751" i="12"/>
  <c r="C2759" i="12"/>
  <c r="C2767" i="12"/>
  <c r="C2775" i="12"/>
  <c r="C2783" i="12"/>
  <c r="C2791" i="12"/>
  <c r="C2799" i="12"/>
  <c r="C2807" i="12"/>
  <c r="C2815" i="12"/>
  <c r="C2823" i="12"/>
  <c r="C2831" i="12"/>
  <c r="C2839" i="12"/>
  <c r="C2847" i="12"/>
  <c r="C2855" i="12"/>
  <c r="C2863" i="12"/>
  <c r="C2871" i="12"/>
  <c r="C2879" i="12"/>
  <c r="C2887" i="12"/>
  <c r="C2895" i="12"/>
  <c r="C2903" i="12"/>
  <c r="C2911" i="12"/>
  <c r="C2919" i="12"/>
  <c r="C2927" i="12"/>
  <c r="C2935" i="12"/>
  <c r="C2943" i="12"/>
  <c r="C2951" i="12"/>
  <c r="C2959" i="12"/>
  <c r="C2967" i="12"/>
  <c r="C2975" i="12"/>
  <c r="C2983" i="12"/>
  <c r="C2991" i="12"/>
  <c r="C2999" i="12"/>
  <c r="C3007" i="12"/>
  <c r="C3015" i="12"/>
  <c r="C3023" i="12"/>
  <c r="C3031" i="12"/>
  <c r="C3039" i="12"/>
  <c r="C3047" i="12"/>
  <c r="C3055" i="12"/>
  <c r="C3063" i="12"/>
  <c r="C3071" i="12"/>
  <c r="C3079" i="12"/>
  <c r="C3087" i="12"/>
  <c r="C3095" i="12"/>
  <c r="C3103" i="12"/>
  <c r="C3111" i="12"/>
  <c r="C2736" i="12"/>
  <c r="C2744" i="12"/>
  <c r="C2752" i="12"/>
  <c r="C2760" i="12"/>
  <c r="C2768" i="12"/>
  <c r="C2776" i="12"/>
  <c r="C2784" i="12"/>
  <c r="C2792" i="12"/>
  <c r="C2800" i="12"/>
  <c r="C2808" i="12"/>
  <c r="C2816" i="12"/>
  <c r="C2824" i="12"/>
  <c r="C2832" i="12"/>
  <c r="C2840" i="12"/>
  <c r="C2848" i="12"/>
  <c r="C2856" i="12"/>
  <c r="C2864" i="12"/>
  <c r="C2872" i="12"/>
  <c r="C2880" i="12"/>
  <c r="C2888" i="12"/>
  <c r="C2896" i="12"/>
  <c r="C2904" i="12"/>
  <c r="C2912" i="12"/>
  <c r="C2920" i="12"/>
  <c r="C2928" i="12"/>
  <c r="C2936" i="12"/>
  <c r="C2944" i="12"/>
  <c r="C2952" i="12"/>
  <c r="C2960" i="12"/>
  <c r="C2968" i="12"/>
  <c r="C2976" i="12"/>
  <c r="C2984" i="12"/>
  <c r="C2992" i="12"/>
  <c r="C3000" i="12"/>
  <c r="C3008" i="12"/>
  <c r="C3016" i="12"/>
  <c r="C3024" i="12"/>
  <c r="C3032" i="12"/>
  <c r="C3040" i="12"/>
  <c r="C3048" i="12"/>
  <c r="C3056" i="12"/>
  <c r="C3064" i="12"/>
  <c r="C3072" i="12"/>
  <c r="C3080" i="12"/>
  <c r="C3088" i="12"/>
  <c r="C3096" i="12"/>
  <c r="C3104" i="12"/>
  <c r="C3112" i="12"/>
  <c r="C2737" i="12"/>
  <c r="C2745" i="12"/>
  <c r="C2753" i="12"/>
  <c r="C2761" i="12"/>
  <c r="C2769" i="12"/>
  <c r="C2777" i="12"/>
  <c r="C2785" i="12"/>
  <c r="C2793" i="12"/>
  <c r="C2801" i="12"/>
  <c r="C2809" i="12"/>
  <c r="C2817" i="12"/>
  <c r="C2825" i="12"/>
  <c r="C2833" i="12"/>
  <c r="C2841" i="12"/>
  <c r="C2849" i="12"/>
  <c r="C2857" i="12"/>
  <c r="C2865" i="12"/>
  <c r="C2873" i="12"/>
  <c r="C2881" i="12"/>
  <c r="C2889" i="12"/>
  <c r="C2897" i="12"/>
  <c r="C2905" i="12"/>
  <c r="C2913" i="12"/>
  <c r="C2921" i="12"/>
  <c r="C2929" i="12"/>
  <c r="C2937" i="12"/>
  <c r="C2945" i="12"/>
  <c r="C2953" i="12"/>
  <c r="C2961" i="12"/>
  <c r="C2969" i="12"/>
  <c r="C2977" i="12"/>
  <c r="C2985" i="12"/>
  <c r="C2993" i="12"/>
  <c r="C3001" i="12"/>
  <c r="C3009" i="12"/>
  <c r="C3017" i="12"/>
  <c r="C3025" i="12"/>
  <c r="C3033" i="12"/>
  <c r="C3041" i="12"/>
  <c r="C3049" i="12"/>
  <c r="C3057" i="12"/>
  <c r="C3065" i="12"/>
  <c r="C3073" i="12"/>
  <c r="C3081" i="12"/>
  <c r="C3089" i="12"/>
  <c r="C3097" i="12"/>
  <c r="C3105" i="12"/>
  <c r="C3113" i="12"/>
  <c r="CY10" i="9"/>
  <c r="CY8" i="9"/>
  <c r="CY6" i="9"/>
  <c r="AH7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6" i="9"/>
  <c r="V7" i="9"/>
  <c r="V11" i="9"/>
  <c r="V13" i="9"/>
  <c r="V19" i="9"/>
  <c r="V20" i="9"/>
  <c r="V21" i="9"/>
  <c r="V22" i="9"/>
  <c r="V23" i="9"/>
  <c r="V24" i="9"/>
  <c r="V25" i="9"/>
  <c r="V26" i="9"/>
  <c r="V27" i="9"/>
  <c r="V28" i="9"/>
  <c r="V29" i="9"/>
  <c r="V30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61" i="20"/>
  <c r="B32" i="20"/>
  <c r="F15" i="11"/>
  <c r="G15" i="11"/>
  <c r="H15" i="11"/>
  <c r="I15" i="11"/>
  <c r="J15" i="11"/>
  <c r="K15" i="11"/>
  <c r="AU10" i="9" l="1"/>
  <c r="AT10" i="9" s="1"/>
  <c r="AU11" i="9"/>
  <c r="AT11" i="9" s="1"/>
  <c r="AU12" i="9"/>
  <c r="AT12" i="9" s="1"/>
  <c r="AU13" i="9"/>
  <c r="AT13" i="9" s="1"/>
  <c r="AU14" i="9"/>
  <c r="AT14" i="9" s="1"/>
  <c r="AU6" i="9"/>
  <c r="AT6" i="9" s="1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20" i="9"/>
  <c r="BU21" i="9"/>
  <c r="BU22" i="9"/>
  <c r="BU23" i="9"/>
  <c r="BU24" i="9"/>
  <c r="BU25" i="9"/>
  <c r="BU26" i="9"/>
  <c r="BU27" i="9"/>
  <c r="BU28" i="9"/>
  <c r="BU29" i="9"/>
  <c r="BU30" i="9"/>
  <c r="BU31" i="9"/>
  <c r="BU32" i="9"/>
  <c r="BU33" i="9"/>
  <c r="BU34" i="9"/>
  <c r="BU35" i="9"/>
  <c r="BU6" i="9"/>
  <c r="BQ16" i="9"/>
  <c r="F38" i="10"/>
  <c r="BQ40" i="9" s="1"/>
  <c r="F39" i="10"/>
  <c r="BQ41" i="9" s="1"/>
  <c r="F40" i="10"/>
  <c r="BQ42" i="9" s="1"/>
  <c r="F41" i="10"/>
  <c r="BQ43" i="9" s="1"/>
  <c r="F42" i="10"/>
  <c r="BQ44" i="9" s="1"/>
  <c r="F43" i="10"/>
  <c r="BQ45" i="9" s="1"/>
  <c r="F44" i="10"/>
  <c r="BQ46" i="9" s="1"/>
  <c r="F45" i="10"/>
  <c r="BQ47" i="9" s="1"/>
  <c r="F46" i="10"/>
  <c r="BQ48" i="9" s="1"/>
  <c r="C38" i="10"/>
  <c r="C39" i="10"/>
  <c r="C40" i="10"/>
  <c r="C41" i="10"/>
  <c r="C42" i="10"/>
  <c r="C43" i="10"/>
  <c r="C44" i="10"/>
  <c r="C45" i="10"/>
  <c r="C46" i="10"/>
  <c r="F30" i="10"/>
  <c r="BQ32" i="9" s="1"/>
  <c r="F31" i="10"/>
  <c r="BQ33" i="9" s="1"/>
  <c r="F32" i="10"/>
  <c r="BQ34" i="9" s="1"/>
  <c r="F33" i="10"/>
  <c r="BQ35" i="9" s="1"/>
  <c r="F34" i="10"/>
  <c r="BQ36" i="9" s="1"/>
  <c r="F35" i="10"/>
  <c r="BQ37" i="9" s="1"/>
  <c r="F36" i="10"/>
  <c r="BQ38" i="9" s="1"/>
  <c r="F37" i="10"/>
  <c r="BQ39" i="9" s="1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F15" i="10"/>
  <c r="BQ17" i="9" s="1"/>
  <c r="F16" i="10"/>
  <c r="BQ18" i="9" s="1"/>
  <c r="F17" i="10"/>
  <c r="BQ19" i="9" s="1"/>
  <c r="F18" i="10"/>
  <c r="BQ20" i="9" s="1"/>
  <c r="F19" i="10"/>
  <c r="BQ21" i="9" s="1"/>
  <c r="F20" i="10"/>
  <c r="BQ22" i="9" s="1"/>
  <c r="F21" i="10"/>
  <c r="BQ23" i="9" s="1"/>
  <c r="F22" i="10"/>
  <c r="BQ24" i="9" s="1"/>
  <c r="F23" i="10"/>
  <c r="BQ25" i="9" s="1"/>
  <c r="F24" i="10"/>
  <c r="BQ26" i="9" s="1"/>
  <c r="F25" i="10"/>
  <c r="BQ27" i="9" s="1"/>
  <c r="F26" i="10"/>
  <c r="BQ28" i="9" s="1"/>
  <c r="F27" i="10"/>
  <c r="BQ29" i="9" s="1"/>
  <c r="F28" i="10"/>
  <c r="BQ30" i="9" s="1"/>
  <c r="F29" i="10"/>
  <c r="BQ31" i="9" s="1"/>
  <c r="F4" i="10"/>
  <c r="BQ6" i="9" s="1"/>
  <c r="C4" i="10"/>
  <c r="DE7" i="9"/>
  <c r="DE8" i="9"/>
  <c r="DE9" i="9"/>
  <c r="DE10" i="9"/>
  <c r="DE6" i="9"/>
  <c r="AP7" i="9"/>
  <c r="AP8" i="9"/>
  <c r="AP9" i="9"/>
  <c r="AP10" i="9"/>
  <c r="AP11" i="9"/>
  <c r="AP12" i="9"/>
  <c r="AP13" i="9"/>
  <c r="AP6" i="9"/>
  <c r="E4" i="12" l="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356" i="12"/>
  <c r="E364" i="12"/>
  <c r="E372" i="12"/>
  <c r="E380" i="12"/>
  <c r="E388" i="12"/>
  <c r="E396" i="12"/>
  <c r="E404" i="12"/>
  <c r="E412" i="12"/>
  <c r="E420" i="12"/>
  <c r="E428" i="12"/>
  <c r="E436" i="12"/>
  <c r="E444" i="12"/>
  <c r="E452" i="12"/>
  <c r="E460" i="12"/>
  <c r="E468" i="12"/>
  <c r="E476" i="12"/>
  <c r="E484" i="12"/>
  <c r="E492" i="12"/>
  <c r="E500" i="12"/>
  <c r="E508" i="12"/>
  <c r="E516" i="12"/>
  <c r="E524" i="12"/>
  <c r="E532" i="12"/>
  <c r="E540" i="12"/>
  <c r="E548" i="12"/>
  <c r="E556" i="12"/>
  <c r="E564" i="12"/>
  <c r="E572" i="12"/>
  <c r="E580" i="12"/>
  <c r="E588" i="12"/>
  <c r="E596" i="12"/>
  <c r="E604" i="12"/>
  <c r="E612" i="12"/>
  <c r="E620" i="12"/>
  <c r="E628" i="12"/>
  <c r="E636" i="12"/>
  <c r="E644" i="12"/>
  <c r="E652" i="12"/>
  <c r="E660" i="12"/>
  <c r="E668" i="12"/>
  <c r="E676" i="12"/>
  <c r="E5" i="12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350" i="12"/>
  <c r="E358" i="12"/>
  <c r="E366" i="12"/>
  <c r="E374" i="12"/>
  <c r="E382" i="12"/>
  <c r="E390" i="12"/>
  <c r="E398" i="12"/>
  <c r="E406" i="12"/>
  <c r="E414" i="12"/>
  <c r="E422" i="12"/>
  <c r="E430" i="12"/>
  <c r="E438" i="12"/>
  <c r="E446" i="12"/>
  <c r="E454" i="12"/>
  <c r="E462" i="12"/>
  <c r="E470" i="12"/>
  <c r="E478" i="12"/>
  <c r="E486" i="12"/>
  <c r="E494" i="12"/>
  <c r="E502" i="12"/>
  <c r="E510" i="12"/>
  <c r="E518" i="12"/>
  <c r="E526" i="12"/>
  <c r="E534" i="12"/>
  <c r="E542" i="12"/>
  <c r="E550" i="12"/>
  <c r="E558" i="12"/>
  <c r="E566" i="12"/>
  <c r="E574" i="12"/>
  <c r="E582" i="12"/>
  <c r="E590" i="12"/>
  <c r="E598" i="12"/>
  <c r="E606" i="12"/>
  <c r="E614" i="12"/>
  <c r="E622" i="12"/>
  <c r="E630" i="12"/>
  <c r="E638" i="12"/>
  <c r="E646" i="12"/>
  <c r="E654" i="12"/>
  <c r="E662" i="12"/>
  <c r="E670" i="12"/>
  <c r="E678" i="12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351" i="12"/>
  <c r="E359" i="12"/>
  <c r="E367" i="12"/>
  <c r="E375" i="12"/>
  <c r="E383" i="12"/>
  <c r="E391" i="12"/>
  <c r="E399" i="12"/>
  <c r="E407" i="12"/>
  <c r="E415" i="12"/>
  <c r="E423" i="12"/>
  <c r="E431" i="12"/>
  <c r="E439" i="12"/>
  <c r="E447" i="12"/>
  <c r="E455" i="12"/>
  <c r="E463" i="12"/>
  <c r="E471" i="12"/>
  <c r="E479" i="12"/>
  <c r="E487" i="12"/>
  <c r="E495" i="12"/>
  <c r="E503" i="12"/>
  <c r="E511" i="12"/>
  <c r="E519" i="12"/>
  <c r="E527" i="12"/>
  <c r="E535" i="12"/>
  <c r="E543" i="12"/>
  <c r="E551" i="12"/>
  <c r="E559" i="12"/>
  <c r="E567" i="12"/>
  <c r="E575" i="12"/>
  <c r="E583" i="12"/>
  <c r="E591" i="12"/>
  <c r="E599" i="12"/>
  <c r="E607" i="12"/>
  <c r="E615" i="12"/>
  <c r="E623" i="12"/>
  <c r="E631" i="12"/>
  <c r="E639" i="12"/>
  <c r="E647" i="12"/>
  <c r="E655" i="12"/>
  <c r="E663" i="12"/>
  <c r="E671" i="12"/>
  <c r="E679" i="12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352" i="12"/>
  <c r="E360" i="12"/>
  <c r="E368" i="12"/>
  <c r="E376" i="12"/>
  <c r="E384" i="12"/>
  <c r="E392" i="12"/>
  <c r="E400" i="12"/>
  <c r="E408" i="12"/>
  <c r="E416" i="12"/>
  <c r="E424" i="12"/>
  <c r="E432" i="12"/>
  <c r="E440" i="12"/>
  <c r="E448" i="12"/>
  <c r="E456" i="12"/>
  <c r="E464" i="12"/>
  <c r="E472" i="12"/>
  <c r="E480" i="12"/>
  <c r="E488" i="12"/>
  <c r="E496" i="12"/>
  <c r="E504" i="12"/>
  <c r="E512" i="12"/>
  <c r="E520" i="12"/>
  <c r="E528" i="12"/>
  <c r="E536" i="12"/>
  <c r="E544" i="12"/>
  <c r="E552" i="12"/>
  <c r="E560" i="12"/>
  <c r="E568" i="12"/>
  <c r="E576" i="12"/>
  <c r="E584" i="12"/>
  <c r="E592" i="12"/>
  <c r="E600" i="12"/>
  <c r="E608" i="12"/>
  <c r="E616" i="12"/>
  <c r="E624" i="12"/>
  <c r="E632" i="12"/>
  <c r="E640" i="12"/>
  <c r="E648" i="12"/>
  <c r="E656" i="12"/>
  <c r="E664" i="12"/>
  <c r="E672" i="12"/>
  <c r="E680" i="12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353" i="12"/>
  <c r="E361" i="12"/>
  <c r="E369" i="12"/>
  <c r="E377" i="12"/>
  <c r="E385" i="12"/>
  <c r="E393" i="12"/>
  <c r="E401" i="12"/>
  <c r="E409" i="12"/>
  <c r="E417" i="12"/>
  <c r="E425" i="12"/>
  <c r="E433" i="12"/>
  <c r="E441" i="12"/>
  <c r="E449" i="12"/>
  <c r="E457" i="12"/>
  <c r="E465" i="12"/>
  <c r="E473" i="12"/>
  <c r="E481" i="12"/>
  <c r="E489" i="12"/>
  <c r="E497" i="12"/>
  <c r="E505" i="12"/>
  <c r="E513" i="12"/>
  <c r="E521" i="12"/>
  <c r="E529" i="12"/>
  <c r="E537" i="12"/>
  <c r="E545" i="12"/>
  <c r="E553" i="12"/>
  <c r="E561" i="12"/>
  <c r="E569" i="12"/>
  <c r="E577" i="12"/>
  <c r="E585" i="12"/>
  <c r="E593" i="12"/>
  <c r="E601" i="12"/>
  <c r="E609" i="12"/>
  <c r="E617" i="12"/>
  <c r="E625" i="12"/>
  <c r="E633" i="12"/>
  <c r="E641" i="12"/>
  <c r="E649" i="12"/>
  <c r="E657" i="12"/>
  <c r="E665" i="12"/>
  <c r="E673" i="12"/>
  <c r="E681" i="12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354" i="12"/>
  <c r="E362" i="12"/>
  <c r="E370" i="12"/>
  <c r="E378" i="12"/>
  <c r="E386" i="12"/>
  <c r="E394" i="12"/>
  <c r="E402" i="12"/>
  <c r="E410" i="12"/>
  <c r="E418" i="12"/>
  <c r="E426" i="12"/>
  <c r="E434" i="12"/>
  <c r="E442" i="12"/>
  <c r="E450" i="12"/>
  <c r="E458" i="12"/>
  <c r="E466" i="12"/>
  <c r="E474" i="12"/>
  <c r="E482" i="12"/>
  <c r="E490" i="12"/>
  <c r="E498" i="12"/>
  <c r="E506" i="12"/>
  <c r="E514" i="12"/>
  <c r="E522" i="12"/>
  <c r="E530" i="12"/>
  <c r="E538" i="12"/>
  <c r="E546" i="12"/>
  <c r="E554" i="12"/>
  <c r="E562" i="12"/>
  <c r="E570" i="12"/>
  <c r="E578" i="12"/>
  <c r="E586" i="12"/>
  <c r="E594" i="12"/>
  <c r="E602" i="12"/>
  <c r="E610" i="12"/>
  <c r="E618" i="12"/>
  <c r="E626" i="12"/>
  <c r="E634" i="12"/>
  <c r="E642" i="12"/>
  <c r="E650" i="12"/>
  <c r="E658" i="12"/>
  <c r="E666" i="12"/>
  <c r="E674" i="12"/>
  <c r="E682" i="12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355" i="12"/>
  <c r="E363" i="12"/>
  <c r="E371" i="12"/>
  <c r="E379" i="12"/>
  <c r="E387" i="12"/>
  <c r="E395" i="12"/>
  <c r="E403" i="12"/>
  <c r="E411" i="12"/>
  <c r="E419" i="12"/>
  <c r="E427" i="12"/>
  <c r="E435" i="12"/>
  <c r="E443" i="12"/>
  <c r="E451" i="12"/>
  <c r="E459" i="12"/>
  <c r="E467" i="12"/>
  <c r="E475" i="12"/>
  <c r="E483" i="12"/>
  <c r="E491" i="12"/>
  <c r="E499" i="12"/>
  <c r="E507" i="12"/>
  <c r="E515" i="12"/>
  <c r="E523" i="12"/>
  <c r="E531" i="12"/>
  <c r="E539" i="12"/>
  <c r="E547" i="12"/>
  <c r="E555" i="12"/>
  <c r="E563" i="12"/>
  <c r="E571" i="12"/>
  <c r="E579" i="12"/>
  <c r="E587" i="12"/>
  <c r="E595" i="12"/>
  <c r="E603" i="12"/>
  <c r="E611" i="12"/>
  <c r="E619" i="12"/>
  <c r="E627" i="12"/>
  <c r="E635" i="12"/>
  <c r="E643" i="12"/>
  <c r="E651" i="12"/>
  <c r="E659" i="12"/>
  <c r="E667" i="12"/>
  <c r="E675" i="12"/>
  <c r="E683" i="12"/>
  <c r="E13" i="12"/>
  <c r="E77" i="12"/>
  <c r="E141" i="12"/>
  <c r="E205" i="12"/>
  <c r="E269" i="12"/>
  <c r="E333" i="12"/>
  <c r="E397" i="12"/>
  <c r="E461" i="12"/>
  <c r="E525" i="12"/>
  <c r="E589" i="12"/>
  <c r="E653" i="12"/>
  <c r="E688" i="12"/>
  <c r="E696" i="12"/>
  <c r="E704" i="12"/>
  <c r="E712" i="12"/>
  <c r="E720" i="12"/>
  <c r="E728" i="12"/>
  <c r="E736" i="12"/>
  <c r="E744" i="12"/>
  <c r="E752" i="12"/>
  <c r="E760" i="12"/>
  <c r="E768" i="12"/>
  <c r="E776" i="12"/>
  <c r="E784" i="12"/>
  <c r="E792" i="12"/>
  <c r="E800" i="12"/>
  <c r="E808" i="12"/>
  <c r="E816" i="12"/>
  <c r="E824" i="12"/>
  <c r="E832" i="12"/>
  <c r="E840" i="12"/>
  <c r="E848" i="12"/>
  <c r="E856" i="12"/>
  <c r="E864" i="12"/>
  <c r="E872" i="12"/>
  <c r="E880" i="12"/>
  <c r="E888" i="12"/>
  <c r="E896" i="12"/>
  <c r="E904" i="12"/>
  <c r="E912" i="12"/>
  <c r="E920" i="12"/>
  <c r="E928" i="12"/>
  <c r="E936" i="12"/>
  <c r="E944" i="12"/>
  <c r="E952" i="12"/>
  <c r="E960" i="12"/>
  <c r="E968" i="12"/>
  <c r="E976" i="12"/>
  <c r="E984" i="12"/>
  <c r="E992" i="12"/>
  <c r="E1000" i="12"/>
  <c r="E1008" i="12"/>
  <c r="E1016" i="12"/>
  <c r="E1024" i="12"/>
  <c r="E1032" i="12"/>
  <c r="E1040" i="12"/>
  <c r="E1048" i="12"/>
  <c r="E1056" i="12"/>
  <c r="E1064" i="12"/>
  <c r="E1072" i="12"/>
  <c r="E1080" i="12"/>
  <c r="E1088" i="12"/>
  <c r="E1096" i="12"/>
  <c r="E1104" i="12"/>
  <c r="E1112" i="12"/>
  <c r="E1120" i="12"/>
  <c r="E1128" i="12"/>
  <c r="E1136" i="12"/>
  <c r="E1144" i="12"/>
  <c r="E1152" i="12"/>
  <c r="E1160" i="12"/>
  <c r="E1168" i="12"/>
  <c r="E1176" i="12"/>
  <c r="E1184" i="12"/>
  <c r="E1192" i="12"/>
  <c r="E1200" i="12"/>
  <c r="E1208" i="12"/>
  <c r="E1216" i="12"/>
  <c r="E21" i="12"/>
  <c r="E85" i="12"/>
  <c r="E149" i="12"/>
  <c r="E213" i="12"/>
  <c r="E277" i="12"/>
  <c r="E341" i="12"/>
  <c r="E405" i="12"/>
  <c r="E469" i="12"/>
  <c r="E533" i="12"/>
  <c r="E597" i="12"/>
  <c r="E661" i="12"/>
  <c r="E689" i="12"/>
  <c r="E697" i="12"/>
  <c r="E705" i="12"/>
  <c r="E713" i="12"/>
  <c r="E721" i="12"/>
  <c r="E729" i="12"/>
  <c r="E737" i="12"/>
  <c r="E745" i="12"/>
  <c r="E753" i="12"/>
  <c r="E761" i="12"/>
  <c r="E769" i="12"/>
  <c r="E777" i="12"/>
  <c r="E785" i="12"/>
  <c r="E793" i="12"/>
  <c r="E801" i="12"/>
  <c r="E809" i="12"/>
  <c r="E817" i="12"/>
  <c r="E825" i="12"/>
  <c r="E833" i="12"/>
  <c r="E841" i="12"/>
  <c r="E849" i="12"/>
  <c r="E857" i="12"/>
  <c r="E865" i="12"/>
  <c r="E873" i="12"/>
  <c r="E881" i="12"/>
  <c r="E889" i="12"/>
  <c r="E897" i="12"/>
  <c r="E905" i="12"/>
  <c r="E913" i="12"/>
  <c r="E921" i="12"/>
  <c r="E929" i="12"/>
  <c r="E937" i="12"/>
  <c r="E945" i="12"/>
  <c r="E953" i="12"/>
  <c r="E961" i="12"/>
  <c r="E969" i="12"/>
  <c r="E977" i="12"/>
  <c r="E985" i="12"/>
  <c r="E993" i="12"/>
  <c r="E1001" i="12"/>
  <c r="E1009" i="12"/>
  <c r="E1017" i="12"/>
  <c r="E1025" i="12"/>
  <c r="E1033" i="12"/>
  <c r="E1041" i="12"/>
  <c r="E1049" i="12"/>
  <c r="E1057" i="12"/>
  <c r="E1065" i="12"/>
  <c r="E1073" i="12"/>
  <c r="E1081" i="12"/>
  <c r="E1089" i="12"/>
  <c r="E1097" i="12"/>
  <c r="E1105" i="12"/>
  <c r="E1113" i="12"/>
  <c r="E1121" i="12"/>
  <c r="E1129" i="12"/>
  <c r="E1137" i="12"/>
  <c r="E1145" i="12"/>
  <c r="E1153" i="12"/>
  <c r="E1161" i="12"/>
  <c r="E1169" i="12"/>
  <c r="E1177" i="12"/>
  <c r="E1185" i="12"/>
  <c r="E1193" i="12"/>
  <c r="E1201" i="12"/>
  <c r="E1209" i="12"/>
  <c r="E1217" i="12"/>
  <c r="E1225" i="12"/>
  <c r="E1233" i="12"/>
  <c r="E1241" i="12"/>
  <c r="E1249" i="12"/>
  <c r="E1257" i="12"/>
  <c r="E1265" i="12"/>
  <c r="E1273" i="12"/>
  <c r="E29" i="12"/>
  <c r="E93" i="12"/>
  <c r="E157" i="12"/>
  <c r="E221" i="12"/>
  <c r="E285" i="12"/>
  <c r="E349" i="12"/>
  <c r="E413" i="12"/>
  <c r="E37" i="12"/>
  <c r="E101" i="12"/>
  <c r="E165" i="12"/>
  <c r="E229" i="12"/>
  <c r="E293" i="12"/>
  <c r="E357" i="12"/>
  <c r="E421" i="12"/>
  <c r="E485" i="12"/>
  <c r="E549" i="12"/>
  <c r="E613" i="12"/>
  <c r="E677" i="12"/>
  <c r="E691" i="12"/>
  <c r="E699" i="12"/>
  <c r="E707" i="12"/>
  <c r="E715" i="12"/>
  <c r="E723" i="12"/>
  <c r="E731" i="12"/>
  <c r="E739" i="12"/>
  <c r="E747" i="12"/>
  <c r="E755" i="12"/>
  <c r="E763" i="12"/>
  <c r="E771" i="12"/>
  <c r="E779" i="12"/>
  <c r="E787" i="12"/>
  <c r="E795" i="12"/>
  <c r="E803" i="12"/>
  <c r="E811" i="12"/>
  <c r="E819" i="12"/>
  <c r="E827" i="12"/>
  <c r="E835" i="12"/>
  <c r="E843" i="12"/>
  <c r="E851" i="12"/>
  <c r="E859" i="12"/>
  <c r="E867" i="12"/>
  <c r="E875" i="12"/>
  <c r="E883" i="12"/>
  <c r="E891" i="12"/>
  <c r="E899" i="12"/>
  <c r="E907" i="12"/>
  <c r="E915" i="12"/>
  <c r="E923" i="12"/>
  <c r="E931" i="12"/>
  <c r="E939" i="12"/>
  <c r="E947" i="12"/>
  <c r="E955" i="12"/>
  <c r="E963" i="12"/>
  <c r="E971" i="12"/>
  <c r="E979" i="12"/>
  <c r="E987" i="12"/>
  <c r="E995" i="12"/>
  <c r="E1003" i="12"/>
  <c r="E1011" i="12"/>
  <c r="E1019" i="12"/>
  <c r="E1027" i="12"/>
  <c r="E1035" i="12"/>
  <c r="E1043" i="12"/>
  <c r="E1051" i="12"/>
  <c r="E1059" i="12"/>
  <c r="E1067" i="12"/>
  <c r="E1075" i="12"/>
  <c r="E1083" i="12"/>
  <c r="E1091" i="12"/>
  <c r="E1099" i="12"/>
  <c r="E1107" i="12"/>
  <c r="E1115" i="12"/>
  <c r="E1123" i="12"/>
  <c r="E1131" i="12"/>
  <c r="E1139" i="12"/>
  <c r="E1147" i="12"/>
  <c r="E1155" i="12"/>
  <c r="E1163" i="12"/>
  <c r="E1171" i="12"/>
  <c r="E1179" i="12"/>
  <c r="E1187" i="12"/>
  <c r="E1195" i="12"/>
  <c r="E1203" i="12"/>
  <c r="E1211" i="12"/>
  <c r="E1219" i="12"/>
  <c r="E1227" i="12"/>
  <c r="E1235" i="12"/>
  <c r="E1243" i="12"/>
  <c r="E45" i="12"/>
  <c r="E109" i="12"/>
  <c r="E173" i="12"/>
  <c r="E237" i="12"/>
  <c r="E301" i="12"/>
  <c r="E365" i="12"/>
  <c r="E429" i="12"/>
  <c r="E493" i="12"/>
  <c r="E557" i="12"/>
  <c r="E621" i="12"/>
  <c r="E684" i="12"/>
  <c r="E692" i="12"/>
  <c r="E700" i="12"/>
  <c r="E708" i="12"/>
  <c r="E716" i="12"/>
  <c r="E724" i="12"/>
  <c r="E732" i="12"/>
  <c r="E740" i="12"/>
  <c r="E748" i="12"/>
  <c r="E756" i="12"/>
  <c r="E764" i="12"/>
  <c r="E772" i="12"/>
  <c r="E780" i="12"/>
  <c r="E788" i="12"/>
  <c r="E796" i="12"/>
  <c r="E804" i="12"/>
  <c r="E812" i="12"/>
  <c r="E820" i="12"/>
  <c r="E828" i="12"/>
  <c r="E836" i="12"/>
  <c r="E844" i="12"/>
  <c r="E852" i="12"/>
  <c r="E860" i="12"/>
  <c r="E868" i="12"/>
  <c r="E876" i="12"/>
  <c r="E884" i="12"/>
  <c r="E892" i="12"/>
  <c r="E900" i="12"/>
  <c r="E908" i="12"/>
  <c r="E916" i="12"/>
  <c r="E924" i="12"/>
  <c r="E932" i="12"/>
  <c r="E940" i="12"/>
  <c r="E948" i="12"/>
  <c r="E956" i="12"/>
  <c r="E964" i="12"/>
  <c r="E972" i="12"/>
  <c r="E980" i="12"/>
  <c r="E988" i="12"/>
  <c r="E996" i="12"/>
  <c r="E1004" i="12"/>
  <c r="E1012" i="12"/>
  <c r="E1020" i="12"/>
  <c r="E1028" i="12"/>
  <c r="E1036" i="12"/>
  <c r="E1044" i="12"/>
  <c r="E1052" i="12"/>
  <c r="E1060" i="12"/>
  <c r="E1068" i="12"/>
  <c r="E1076" i="12"/>
  <c r="E1084" i="12"/>
  <c r="E1092" i="12"/>
  <c r="E1100" i="12"/>
  <c r="E1108" i="12"/>
  <c r="E1116" i="12"/>
  <c r="E1124" i="12"/>
  <c r="E1132" i="12"/>
  <c r="E1140" i="12"/>
  <c r="E1148" i="12"/>
  <c r="E1156" i="12"/>
  <c r="E1164" i="12"/>
  <c r="E1172" i="12"/>
  <c r="E1180" i="12"/>
  <c r="E1188" i="12"/>
  <c r="E1196" i="12"/>
  <c r="E1204" i="12"/>
  <c r="E1212" i="12"/>
  <c r="E1220" i="12"/>
  <c r="E1228" i="12"/>
  <c r="E1236" i="12"/>
  <c r="E1244" i="12"/>
  <c r="E1252" i="12"/>
  <c r="E1260" i="12"/>
  <c r="E1268" i="12"/>
  <c r="E1276" i="12"/>
  <c r="E53" i="12"/>
  <c r="E117" i="12"/>
  <c r="E181" i="12"/>
  <c r="E245" i="12"/>
  <c r="E309" i="12"/>
  <c r="E373" i="12"/>
  <c r="E437" i="12"/>
  <c r="E501" i="12"/>
  <c r="E565" i="12"/>
  <c r="E629" i="12"/>
  <c r="E685" i="12"/>
  <c r="E693" i="12"/>
  <c r="E701" i="12"/>
  <c r="E709" i="12"/>
  <c r="E717" i="12"/>
  <c r="E725" i="12"/>
  <c r="E733" i="12"/>
  <c r="E741" i="12"/>
  <c r="E749" i="12"/>
  <c r="E757" i="12"/>
  <c r="E765" i="12"/>
  <c r="E773" i="12"/>
  <c r="E781" i="12"/>
  <c r="E789" i="12"/>
  <c r="E797" i="12"/>
  <c r="E805" i="12"/>
  <c r="E813" i="12"/>
  <c r="E821" i="12"/>
  <c r="E829" i="12"/>
  <c r="E837" i="12"/>
  <c r="E845" i="12"/>
  <c r="E853" i="12"/>
  <c r="E861" i="12"/>
  <c r="E869" i="12"/>
  <c r="E877" i="12"/>
  <c r="E885" i="12"/>
  <c r="E893" i="12"/>
  <c r="E901" i="12"/>
  <c r="E909" i="12"/>
  <c r="E917" i="12"/>
  <c r="E925" i="12"/>
  <c r="E933" i="12"/>
  <c r="E941" i="12"/>
  <c r="E949" i="12"/>
  <c r="E957" i="12"/>
  <c r="E965" i="12"/>
  <c r="E973" i="12"/>
  <c r="E981" i="12"/>
  <c r="E989" i="12"/>
  <c r="E997" i="12"/>
  <c r="E1005" i="12"/>
  <c r="E1013" i="12"/>
  <c r="E1021" i="12"/>
  <c r="E1029" i="12"/>
  <c r="E1037" i="12"/>
  <c r="E1045" i="12"/>
  <c r="E1053" i="12"/>
  <c r="E1061" i="12"/>
  <c r="E1069" i="12"/>
  <c r="E1077" i="12"/>
  <c r="E1085" i="12"/>
  <c r="E1093" i="12"/>
  <c r="E1101" i="12"/>
  <c r="E1109" i="12"/>
  <c r="E1117" i="12"/>
  <c r="E1125" i="12"/>
  <c r="E1133" i="12"/>
  <c r="E61" i="12"/>
  <c r="E125" i="12"/>
  <c r="E189" i="12"/>
  <c r="E253" i="12"/>
  <c r="E317" i="12"/>
  <c r="E381" i="12"/>
  <c r="E445" i="12"/>
  <c r="E509" i="12"/>
  <c r="E573" i="12"/>
  <c r="E637" i="12"/>
  <c r="E686" i="12"/>
  <c r="E694" i="12"/>
  <c r="E702" i="12"/>
  <c r="E710" i="12"/>
  <c r="E718" i="12"/>
  <c r="E726" i="12"/>
  <c r="E734" i="12"/>
  <c r="E742" i="12"/>
  <c r="E750" i="12"/>
  <c r="E758" i="12"/>
  <c r="E766" i="12"/>
  <c r="E774" i="12"/>
  <c r="E782" i="12"/>
  <c r="E790" i="12"/>
  <c r="E798" i="12"/>
  <c r="E806" i="12"/>
  <c r="E814" i="12"/>
  <c r="E822" i="12"/>
  <c r="E830" i="12"/>
  <c r="E838" i="12"/>
  <c r="E846" i="12"/>
  <c r="E854" i="12"/>
  <c r="E862" i="12"/>
  <c r="E870" i="12"/>
  <c r="E878" i="12"/>
  <c r="E886" i="12"/>
  <c r="E894" i="12"/>
  <c r="E902" i="12"/>
  <c r="E910" i="12"/>
  <c r="E918" i="12"/>
  <c r="E926" i="12"/>
  <c r="E934" i="12"/>
  <c r="E942" i="12"/>
  <c r="E950" i="12"/>
  <c r="E958" i="12"/>
  <c r="E966" i="12"/>
  <c r="E974" i="12"/>
  <c r="E982" i="12"/>
  <c r="E990" i="12"/>
  <c r="E998" i="12"/>
  <c r="E1006" i="12"/>
  <c r="E1014" i="12"/>
  <c r="E1022" i="12"/>
  <c r="E1030" i="12"/>
  <c r="E1038" i="12"/>
  <c r="E1046" i="12"/>
  <c r="E1054" i="12"/>
  <c r="E1062" i="12"/>
  <c r="E1070" i="12"/>
  <c r="E1078" i="12"/>
  <c r="E1086" i="12"/>
  <c r="E1094" i="12"/>
  <c r="E1102" i="12"/>
  <c r="E1110" i="12"/>
  <c r="E1118" i="12"/>
  <c r="E1126" i="12"/>
  <c r="E1134" i="12"/>
  <c r="E1142" i="12"/>
  <c r="E1150" i="12"/>
  <c r="E1158" i="12"/>
  <c r="E1166" i="12"/>
  <c r="E1174" i="12"/>
  <c r="E1182" i="12"/>
  <c r="E1190" i="12"/>
  <c r="E1198" i="12"/>
  <c r="E1206" i="12"/>
  <c r="E1214" i="12"/>
  <c r="E1222" i="12"/>
  <c r="E1230" i="12"/>
  <c r="E1238" i="12"/>
  <c r="E1246" i="12"/>
  <c r="E69" i="12"/>
  <c r="E517" i="12"/>
  <c r="E695" i="12"/>
  <c r="E727" i="12"/>
  <c r="E759" i="12"/>
  <c r="E791" i="12"/>
  <c r="E823" i="12"/>
  <c r="E855" i="12"/>
  <c r="E887" i="12"/>
  <c r="E919" i="12"/>
  <c r="E951" i="12"/>
  <c r="E983" i="12"/>
  <c r="E1015" i="12"/>
  <c r="E1047" i="12"/>
  <c r="E1079" i="12"/>
  <c r="E1111" i="12"/>
  <c r="E1141" i="12"/>
  <c r="E1162" i="12"/>
  <c r="E1183" i="12"/>
  <c r="E1205" i="12"/>
  <c r="E1224" i="12"/>
  <c r="E1240" i="12"/>
  <c r="E1254" i="12"/>
  <c r="E1264" i="12"/>
  <c r="E1275" i="12"/>
  <c r="E1284" i="12"/>
  <c r="E1292" i="12"/>
  <c r="E1300" i="12"/>
  <c r="E1308" i="12"/>
  <c r="E1316" i="12"/>
  <c r="E1324" i="12"/>
  <c r="E1332" i="12"/>
  <c r="E1340" i="12"/>
  <c r="E1348" i="12"/>
  <c r="E1356" i="12"/>
  <c r="E1364" i="12"/>
  <c r="E1372" i="12"/>
  <c r="E1380" i="12"/>
  <c r="E1388" i="12"/>
  <c r="E1396" i="12"/>
  <c r="E1404" i="12"/>
  <c r="E1412" i="12"/>
  <c r="E1420" i="12"/>
  <c r="E1428" i="12"/>
  <c r="E1436" i="12"/>
  <c r="E1444" i="12"/>
  <c r="E1452" i="12"/>
  <c r="E1460" i="12"/>
  <c r="E1468" i="12"/>
  <c r="E1476" i="12"/>
  <c r="E1484" i="12"/>
  <c r="E1492" i="12"/>
  <c r="E1500" i="12"/>
  <c r="E1508" i="12"/>
  <c r="E1516" i="12"/>
  <c r="E1524" i="12"/>
  <c r="E1532" i="12"/>
  <c r="E1540" i="12"/>
  <c r="E1548" i="12"/>
  <c r="E1556" i="12"/>
  <c r="E1564" i="12"/>
  <c r="E1572" i="12"/>
  <c r="E1580" i="12"/>
  <c r="E1588" i="12"/>
  <c r="E1596" i="12"/>
  <c r="E1604" i="12"/>
  <c r="E1612" i="12"/>
  <c r="E1620" i="12"/>
  <c r="E1628" i="12"/>
  <c r="E1636" i="12"/>
  <c r="E1644" i="12"/>
  <c r="E1652" i="12"/>
  <c r="E1660" i="12"/>
  <c r="E1668" i="12"/>
  <c r="E1676" i="12"/>
  <c r="E1684" i="12"/>
  <c r="E1692" i="12"/>
  <c r="E1700" i="12"/>
  <c r="E1708" i="12"/>
  <c r="E1716" i="12"/>
  <c r="E1724" i="12"/>
  <c r="E1732" i="12"/>
  <c r="E1740" i="12"/>
  <c r="E1748" i="12"/>
  <c r="E1756" i="12"/>
  <c r="E1764" i="12"/>
  <c r="E1772" i="12"/>
  <c r="E1780" i="12"/>
  <c r="E1788" i="12"/>
  <c r="E1796" i="12"/>
  <c r="E1804" i="12"/>
  <c r="E1812" i="12"/>
  <c r="E1820" i="12"/>
  <c r="E1828" i="12"/>
  <c r="E1836" i="12"/>
  <c r="E1844" i="12"/>
  <c r="E1852" i="12"/>
  <c r="E1860" i="12"/>
  <c r="E1868" i="12"/>
  <c r="E1876" i="12"/>
  <c r="E1884" i="12"/>
  <c r="E1892" i="12"/>
  <c r="E1900" i="12"/>
  <c r="E1908" i="12"/>
  <c r="E1916" i="12"/>
  <c r="E1924" i="12"/>
  <c r="E1932" i="12"/>
  <c r="E1940" i="12"/>
  <c r="E1948" i="12"/>
  <c r="E1956" i="12"/>
  <c r="E1964" i="12"/>
  <c r="E1972" i="12"/>
  <c r="E1980" i="12"/>
  <c r="E1988" i="12"/>
  <c r="E1996" i="12"/>
  <c r="E2004" i="12"/>
  <c r="E2012" i="12"/>
  <c r="E2020" i="12"/>
  <c r="E2028" i="12"/>
  <c r="E2036" i="12"/>
  <c r="E2044" i="12"/>
  <c r="E2052" i="12"/>
  <c r="E2060" i="12"/>
  <c r="E2068" i="12"/>
  <c r="E2076" i="12"/>
  <c r="E2084" i="12"/>
  <c r="E2092" i="12"/>
  <c r="E2100" i="12"/>
  <c r="E2108" i="12"/>
  <c r="E2116" i="12"/>
  <c r="E2124" i="12"/>
  <c r="E2132" i="12"/>
  <c r="E2140" i="12"/>
  <c r="E2148" i="12"/>
  <c r="E2156" i="12"/>
  <c r="E2164" i="12"/>
  <c r="E2172" i="12"/>
  <c r="E2180" i="12"/>
  <c r="E2188" i="12"/>
  <c r="E2196" i="12"/>
  <c r="E2204" i="12"/>
  <c r="E2212" i="12"/>
  <c r="E2220" i="12"/>
  <c r="E2228" i="12"/>
  <c r="E2236" i="12"/>
  <c r="E2244" i="12"/>
  <c r="E2252" i="12"/>
  <c r="E2260" i="12"/>
  <c r="E2268" i="12"/>
  <c r="E2276" i="12"/>
  <c r="E2284" i="12"/>
  <c r="E2292" i="12"/>
  <c r="E2300" i="12"/>
  <c r="E2308" i="12"/>
  <c r="E2316" i="12"/>
  <c r="E2324" i="12"/>
  <c r="E2332" i="12"/>
  <c r="E2340" i="12"/>
  <c r="E2348" i="12"/>
  <c r="E2356" i="12"/>
  <c r="E2364" i="12"/>
  <c r="E2372" i="12"/>
  <c r="E2380" i="12"/>
  <c r="E2388" i="12"/>
  <c r="E2396" i="12"/>
  <c r="E2404" i="12"/>
  <c r="E2412" i="12"/>
  <c r="E2420" i="12"/>
  <c r="E2428" i="12"/>
  <c r="E2436" i="12"/>
  <c r="E133" i="12"/>
  <c r="E541" i="12"/>
  <c r="E698" i="12"/>
  <c r="E730" i="12"/>
  <c r="E762" i="12"/>
  <c r="E794" i="12"/>
  <c r="E826" i="12"/>
  <c r="E858" i="12"/>
  <c r="E890" i="12"/>
  <c r="E922" i="12"/>
  <c r="E954" i="12"/>
  <c r="E986" i="12"/>
  <c r="E1018" i="12"/>
  <c r="E1050" i="12"/>
  <c r="E1082" i="12"/>
  <c r="E1114" i="12"/>
  <c r="E1143" i="12"/>
  <c r="E1165" i="12"/>
  <c r="E1186" i="12"/>
  <c r="E1207" i="12"/>
  <c r="E1226" i="12"/>
  <c r="E1242" i="12"/>
  <c r="E1255" i="12"/>
  <c r="E1266" i="12"/>
  <c r="E1277" i="12"/>
  <c r="E1285" i="12"/>
  <c r="E1293" i="12"/>
  <c r="E1301" i="12"/>
  <c r="E1309" i="12"/>
  <c r="E1317" i="12"/>
  <c r="E1325" i="12"/>
  <c r="E1333" i="12"/>
  <c r="E1341" i="12"/>
  <c r="E1349" i="12"/>
  <c r="E1357" i="12"/>
  <c r="E1365" i="12"/>
  <c r="E1373" i="12"/>
  <c r="E1381" i="12"/>
  <c r="E1389" i="12"/>
  <c r="E1397" i="12"/>
  <c r="E1405" i="12"/>
  <c r="E1413" i="12"/>
  <c r="E1421" i="12"/>
  <c r="E1429" i="12"/>
  <c r="E1437" i="12"/>
  <c r="E1445" i="12"/>
  <c r="E1453" i="12"/>
  <c r="E1461" i="12"/>
  <c r="E1469" i="12"/>
  <c r="E1477" i="12"/>
  <c r="E1485" i="12"/>
  <c r="E1493" i="12"/>
  <c r="E1501" i="12"/>
  <c r="E1509" i="12"/>
  <c r="E1517" i="12"/>
  <c r="E1525" i="12"/>
  <c r="E1533" i="12"/>
  <c r="E1541" i="12"/>
  <c r="E1549" i="12"/>
  <c r="E1557" i="12"/>
  <c r="E1565" i="12"/>
  <c r="E1573" i="12"/>
  <c r="E1581" i="12"/>
  <c r="E1589" i="12"/>
  <c r="E1597" i="12"/>
  <c r="E1605" i="12"/>
  <c r="E1613" i="12"/>
  <c r="E1621" i="12"/>
  <c r="E1629" i="12"/>
  <c r="E1637" i="12"/>
  <c r="E1645" i="12"/>
  <c r="E1653" i="12"/>
  <c r="E1661" i="12"/>
  <c r="E1669" i="12"/>
  <c r="E1677" i="12"/>
  <c r="E1685" i="12"/>
  <c r="E1693" i="12"/>
  <c r="E1701" i="12"/>
  <c r="E1709" i="12"/>
  <c r="E1717" i="12"/>
  <c r="E1725" i="12"/>
  <c r="E1733" i="12"/>
  <c r="E1741" i="12"/>
  <c r="E1749" i="12"/>
  <c r="E1757" i="12"/>
  <c r="E1765" i="12"/>
  <c r="E1773" i="12"/>
  <c r="E1781" i="12"/>
  <c r="E1789" i="12"/>
  <c r="E1797" i="12"/>
  <c r="E1805" i="12"/>
  <c r="E1813" i="12"/>
  <c r="E1821" i="12"/>
  <c r="E1829" i="12"/>
  <c r="E1837" i="12"/>
  <c r="E1845" i="12"/>
  <c r="E1853" i="12"/>
  <c r="E1861" i="12"/>
  <c r="E1869" i="12"/>
  <c r="E1877" i="12"/>
  <c r="E1885" i="12"/>
  <c r="E1893" i="12"/>
  <c r="E1901" i="12"/>
  <c r="E1909" i="12"/>
  <c r="E1917" i="12"/>
  <c r="E1925" i="12"/>
  <c r="E1933" i="12"/>
  <c r="E1941" i="12"/>
  <c r="E1949" i="12"/>
  <c r="E1957" i="12"/>
  <c r="E1965" i="12"/>
  <c r="E1973" i="12"/>
  <c r="E1981" i="12"/>
  <c r="E1989" i="12"/>
  <c r="E1997" i="12"/>
  <c r="E2005" i="12"/>
  <c r="E2013" i="12"/>
  <c r="E2021" i="12"/>
  <c r="E2029" i="12"/>
  <c r="E2037" i="12"/>
  <c r="E2045" i="12"/>
  <c r="E2053" i="12"/>
  <c r="E2061" i="12"/>
  <c r="E2069" i="12"/>
  <c r="E2077" i="12"/>
  <c r="E2085" i="12"/>
  <c r="E2093" i="12"/>
  <c r="E2101" i="12"/>
  <c r="E2109" i="12"/>
  <c r="E2117" i="12"/>
  <c r="E2125" i="12"/>
  <c r="E2133" i="12"/>
  <c r="E2141" i="12"/>
  <c r="E2149" i="12"/>
  <c r="E2157" i="12"/>
  <c r="E2165" i="12"/>
  <c r="E2173" i="12"/>
  <c r="E2181" i="12"/>
  <c r="E2189" i="12"/>
  <c r="E2197" i="12"/>
  <c r="E2205" i="12"/>
  <c r="E2213" i="12"/>
  <c r="E2221" i="12"/>
  <c r="E2229" i="12"/>
  <c r="E2237" i="12"/>
  <c r="E2245" i="12"/>
  <c r="E2253" i="12"/>
  <c r="E2261" i="12"/>
  <c r="E2269" i="12"/>
  <c r="E2277" i="12"/>
  <c r="E2285" i="12"/>
  <c r="E2293" i="12"/>
  <c r="E2301" i="12"/>
  <c r="E2309" i="12"/>
  <c r="E2317" i="12"/>
  <c r="E2325" i="12"/>
  <c r="E2333" i="12"/>
  <c r="E2341" i="12"/>
  <c r="E2349" i="12"/>
  <c r="E2357" i="12"/>
  <c r="E2365" i="12"/>
  <c r="E2373" i="12"/>
  <c r="E2381" i="12"/>
  <c r="E2389" i="12"/>
  <c r="E2397" i="12"/>
  <c r="E2405" i="12"/>
  <c r="E2413" i="12"/>
  <c r="E197" i="12"/>
  <c r="E581" i="12"/>
  <c r="E703" i="12"/>
  <c r="E735" i="12"/>
  <c r="E767" i="12"/>
  <c r="E799" i="12"/>
  <c r="E831" i="12"/>
  <c r="E863" i="12"/>
  <c r="E895" i="12"/>
  <c r="E927" i="12"/>
  <c r="E959" i="12"/>
  <c r="E991" i="12"/>
  <c r="E1023" i="12"/>
  <c r="E1055" i="12"/>
  <c r="E1087" i="12"/>
  <c r="E1119" i="12"/>
  <c r="E1146" i="12"/>
  <c r="E1167" i="12"/>
  <c r="E1189" i="12"/>
  <c r="E1210" i="12"/>
  <c r="E1229" i="12"/>
  <c r="E1245" i="12"/>
  <c r="E1256" i="12"/>
  <c r="E1267" i="12"/>
  <c r="E1278" i="12"/>
  <c r="E1286" i="12"/>
  <c r="E1294" i="12"/>
  <c r="E1302" i="12"/>
  <c r="E1310" i="12"/>
  <c r="E1318" i="12"/>
  <c r="E1326" i="12"/>
  <c r="E1334" i="12"/>
  <c r="E1342" i="12"/>
  <c r="E1350" i="12"/>
  <c r="E1358" i="12"/>
  <c r="E1366" i="12"/>
  <c r="E1374" i="12"/>
  <c r="E1382" i="12"/>
  <c r="E1390" i="12"/>
  <c r="E1398" i="12"/>
  <c r="E1406" i="12"/>
  <c r="E1414" i="12"/>
  <c r="E1422" i="12"/>
  <c r="E1430" i="12"/>
  <c r="E1438" i="12"/>
  <c r="E1446" i="12"/>
  <c r="E1454" i="12"/>
  <c r="E1462" i="12"/>
  <c r="E1470" i="12"/>
  <c r="E1478" i="12"/>
  <c r="E1486" i="12"/>
  <c r="E1494" i="12"/>
  <c r="E1502" i="12"/>
  <c r="E1510" i="12"/>
  <c r="E1518" i="12"/>
  <c r="E1526" i="12"/>
  <c r="E1534" i="12"/>
  <c r="E1542" i="12"/>
  <c r="E1550" i="12"/>
  <c r="E1558" i="12"/>
  <c r="E1566" i="12"/>
  <c r="E1574" i="12"/>
  <c r="E1582" i="12"/>
  <c r="E1590" i="12"/>
  <c r="E1598" i="12"/>
  <c r="E1606" i="12"/>
  <c r="E1614" i="12"/>
  <c r="E1622" i="12"/>
  <c r="E1630" i="12"/>
  <c r="E1638" i="12"/>
  <c r="E1646" i="12"/>
  <c r="E1654" i="12"/>
  <c r="E1662" i="12"/>
  <c r="E1670" i="12"/>
  <c r="E1678" i="12"/>
  <c r="E1686" i="12"/>
  <c r="E1694" i="12"/>
  <c r="E1702" i="12"/>
  <c r="E1710" i="12"/>
  <c r="E1718" i="12"/>
  <c r="E1726" i="12"/>
  <c r="E1734" i="12"/>
  <c r="E1742" i="12"/>
  <c r="E1750" i="12"/>
  <c r="E1758" i="12"/>
  <c r="E1766" i="12"/>
  <c r="E1774" i="12"/>
  <c r="E1782" i="12"/>
  <c r="E1790" i="12"/>
  <c r="E1798" i="12"/>
  <c r="E1806" i="12"/>
  <c r="E1814" i="12"/>
  <c r="E1822" i="12"/>
  <c r="E1830" i="12"/>
  <c r="E1838" i="12"/>
  <c r="E1846" i="12"/>
  <c r="E1854" i="12"/>
  <c r="E1862" i="12"/>
  <c r="E1870" i="12"/>
  <c r="E1878" i="12"/>
  <c r="E1886" i="12"/>
  <c r="E1894" i="12"/>
  <c r="E1902" i="12"/>
  <c r="E1910" i="12"/>
  <c r="E1918" i="12"/>
  <c r="E1926" i="12"/>
  <c r="E1934" i="12"/>
  <c r="E1942" i="12"/>
  <c r="E1950" i="12"/>
  <c r="E1958" i="12"/>
  <c r="E1966" i="12"/>
  <c r="E1974" i="12"/>
  <c r="E1982" i="12"/>
  <c r="E1990" i="12"/>
  <c r="E1998" i="12"/>
  <c r="E2006" i="12"/>
  <c r="E2014" i="12"/>
  <c r="E2022" i="12"/>
  <c r="E2030" i="12"/>
  <c r="E2038" i="12"/>
  <c r="E2046" i="12"/>
  <c r="E2054" i="12"/>
  <c r="E2062" i="12"/>
  <c r="E2070" i="12"/>
  <c r="E2078" i="12"/>
  <c r="E2086" i="12"/>
  <c r="E2094" i="12"/>
  <c r="E261" i="12"/>
  <c r="E605" i="12"/>
  <c r="E325" i="12"/>
  <c r="E645" i="12"/>
  <c r="E711" i="12"/>
  <c r="E743" i="12"/>
  <c r="E775" i="12"/>
  <c r="E807" i="12"/>
  <c r="E839" i="12"/>
  <c r="E871" i="12"/>
  <c r="E903" i="12"/>
  <c r="E935" i="12"/>
  <c r="E967" i="12"/>
  <c r="E999" i="12"/>
  <c r="E1031" i="12"/>
  <c r="E1063" i="12"/>
  <c r="E1095" i="12"/>
  <c r="E1127" i="12"/>
  <c r="E1151" i="12"/>
  <c r="E1173" i="12"/>
  <c r="E1194" i="12"/>
  <c r="E1215" i="12"/>
  <c r="E1232" i="12"/>
  <c r="E1248" i="12"/>
  <c r="E1259" i="12"/>
  <c r="E1270" i="12"/>
  <c r="E1280" i="12"/>
  <c r="E1288" i="12"/>
  <c r="E1296" i="12"/>
  <c r="E1304" i="12"/>
  <c r="E1312" i="12"/>
  <c r="E1320" i="12"/>
  <c r="E1328" i="12"/>
  <c r="E1336" i="12"/>
  <c r="E1344" i="12"/>
  <c r="E1352" i="12"/>
  <c r="E1360" i="12"/>
  <c r="E1368" i="12"/>
  <c r="E1376" i="12"/>
  <c r="E1384" i="12"/>
  <c r="E1392" i="12"/>
  <c r="E1400" i="12"/>
  <c r="E1408" i="12"/>
  <c r="E1416" i="12"/>
  <c r="E1424" i="12"/>
  <c r="E1432" i="12"/>
  <c r="E1440" i="12"/>
  <c r="E1448" i="12"/>
  <c r="E1456" i="12"/>
  <c r="E1464" i="12"/>
  <c r="E1472" i="12"/>
  <c r="E1480" i="12"/>
  <c r="E1488" i="12"/>
  <c r="E1496" i="12"/>
  <c r="E1504" i="12"/>
  <c r="E1512" i="12"/>
  <c r="E1520" i="12"/>
  <c r="E1528" i="12"/>
  <c r="E1536" i="12"/>
  <c r="E1544" i="12"/>
  <c r="E1552" i="12"/>
  <c r="E1560" i="12"/>
  <c r="E1568" i="12"/>
  <c r="E1576" i="12"/>
  <c r="E1584" i="12"/>
  <c r="E1592" i="12"/>
  <c r="E1600" i="12"/>
  <c r="E1608" i="12"/>
  <c r="E1616" i="12"/>
  <c r="E1624" i="12"/>
  <c r="E1632" i="12"/>
  <c r="E1640" i="12"/>
  <c r="E1648" i="12"/>
  <c r="E1656" i="12"/>
  <c r="E1664" i="12"/>
  <c r="E1672" i="12"/>
  <c r="E1680" i="12"/>
  <c r="E1688" i="12"/>
  <c r="E1696" i="12"/>
  <c r="E1704" i="12"/>
  <c r="E1712" i="12"/>
  <c r="E1720" i="12"/>
  <c r="E1728" i="12"/>
  <c r="E1736" i="12"/>
  <c r="E1744" i="12"/>
  <c r="E1752" i="12"/>
  <c r="E1760" i="12"/>
  <c r="E1768" i="12"/>
  <c r="E1776" i="12"/>
  <c r="E1784" i="12"/>
  <c r="E1792" i="12"/>
  <c r="E1800" i="12"/>
  <c r="E1808" i="12"/>
  <c r="E1816" i="12"/>
  <c r="E1824" i="12"/>
  <c r="E1832" i="12"/>
  <c r="E1840" i="12"/>
  <c r="E1848" i="12"/>
  <c r="E1856" i="12"/>
  <c r="E1864" i="12"/>
  <c r="E1872" i="12"/>
  <c r="E1880" i="12"/>
  <c r="E1888" i="12"/>
  <c r="E1896" i="12"/>
  <c r="E1904" i="12"/>
  <c r="E1912" i="12"/>
  <c r="E1920" i="12"/>
  <c r="E1928" i="12"/>
  <c r="E1936" i="12"/>
  <c r="E1944" i="12"/>
  <c r="E1952" i="12"/>
  <c r="E1960" i="12"/>
  <c r="E1968" i="12"/>
  <c r="E1976" i="12"/>
  <c r="E389" i="12"/>
  <c r="E669" i="12"/>
  <c r="E714" i="12"/>
  <c r="E746" i="12"/>
  <c r="E778" i="12"/>
  <c r="E810" i="12"/>
  <c r="E842" i="12"/>
  <c r="E874" i="12"/>
  <c r="E906" i="12"/>
  <c r="E938" i="12"/>
  <c r="E970" i="12"/>
  <c r="E1002" i="12"/>
  <c r="E1034" i="12"/>
  <c r="E1066" i="12"/>
  <c r="E1098" i="12"/>
  <c r="E1130" i="12"/>
  <c r="E1154" i="12"/>
  <c r="E1175" i="12"/>
  <c r="E1197" i="12"/>
  <c r="E1218" i="12"/>
  <c r="E1234" i="12"/>
  <c r="E1250" i="12"/>
  <c r="E1261" i="12"/>
  <c r="E1271" i="12"/>
  <c r="E1281" i="12"/>
  <c r="E1289" i="12"/>
  <c r="E1297" i="12"/>
  <c r="E1305" i="12"/>
  <c r="E1313" i="12"/>
  <c r="E1321" i="12"/>
  <c r="E1329" i="12"/>
  <c r="E1337" i="12"/>
  <c r="E1345" i="12"/>
  <c r="E1353" i="12"/>
  <c r="E1361" i="12"/>
  <c r="E1369" i="12"/>
  <c r="E1377" i="12"/>
  <c r="E1385" i="12"/>
  <c r="E1393" i="12"/>
  <c r="E1401" i="12"/>
  <c r="E1409" i="12"/>
  <c r="E1417" i="12"/>
  <c r="E1425" i="12"/>
  <c r="E1433" i="12"/>
  <c r="E1441" i="12"/>
  <c r="E1449" i="12"/>
  <c r="E1457" i="12"/>
  <c r="E1465" i="12"/>
  <c r="E1473" i="12"/>
  <c r="E1481" i="12"/>
  <c r="E1489" i="12"/>
  <c r="E1497" i="12"/>
  <c r="E1505" i="12"/>
  <c r="E1513" i="12"/>
  <c r="E1521" i="12"/>
  <c r="E1529" i="12"/>
  <c r="E1537" i="12"/>
  <c r="E1545" i="12"/>
  <c r="E1553" i="12"/>
  <c r="E1561" i="12"/>
  <c r="E1569" i="12"/>
  <c r="E1577" i="12"/>
  <c r="E1585" i="12"/>
  <c r="E1593" i="12"/>
  <c r="E1601" i="12"/>
  <c r="E1609" i="12"/>
  <c r="E1617" i="12"/>
  <c r="E1625" i="12"/>
  <c r="E1633" i="12"/>
  <c r="E1641" i="12"/>
  <c r="E1649" i="12"/>
  <c r="E1657" i="12"/>
  <c r="E1665" i="12"/>
  <c r="E1673" i="12"/>
  <c r="E1681" i="12"/>
  <c r="E1689" i="12"/>
  <c r="E1697" i="12"/>
  <c r="E1705" i="12"/>
  <c r="E1713" i="12"/>
  <c r="E1721" i="12"/>
  <c r="E1729" i="12"/>
  <c r="E1737" i="12"/>
  <c r="E1745" i="12"/>
  <c r="E1753" i="12"/>
  <c r="E1761" i="12"/>
  <c r="E1769" i="12"/>
  <c r="E1777" i="12"/>
  <c r="E1785" i="12"/>
  <c r="E1793" i="12"/>
  <c r="E1801" i="12"/>
  <c r="E1809" i="12"/>
  <c r="E1817" i="12"/>
  <c r="E1825" i="12"/>
  <c r="E1833" i="12"/>
  <c r="E1841" i="12"/>
  <c r="E1849" i="12"/>
  <c r="E1857" i="12"/>
  <c r="E1865" i="12"/>
  <c r="E1873" i="12"/>
  <c r="E1881" i="12"/>
  <c r="E1889" i="12"/>
  <c r="E1897" i="12"/>
  <c r="E1905" i="12"/>
  <c r="E1913" i="12"/>
  <c r="E1921" i="12"/>
  <c r="E1929" i="12"/>
  <c r="E1937" i="12"/>
  <c r="E1945" i="12"/>
  <c r="E1953" i="12"/>
  <c r="E1961" i="12"/>
  <c r="E1969" i="12"/>
  <c r="E1977" i="12"/>
  <c r="E1985" i="12"/>
  <c r="E1993" i="12"/>
  <c r="E2001" i="12"/>
  <c r="E2009" i="12"/>
  <c r="E2017" i="12"/>
  <c r="E2025" i="12"/>
  <c r="E2033" i="12"/>
  <c r="E2041" i="12"/>
  <c r="E2049" i="12"/>
  <c r="E2057" i="12"/>
  <c r="E2065" i="12"/>
  <c r="E2073" i="12"/>
  <c r="E2081" i="12"/>
  <c r="E2089" i="12"/>
  <c r="E2097" i="12"/>
  <c r="E2105" i="12"/>
  <c r="E2113" i="12"/>
  <c r="E2121" i="12"/>
  <c r="E2129" i="12"/>
  <c r="E2137" i="12"/>
  <c r="E2145" i="12"/>
  <c r="E2153" i="12"/>
  <c r="E2161" i="12"/>
  <c r="E2169" i="12"/>
  <c r="E2177" i="12"/>
  <c r="E2185" i="12"/>
  <c r="E2193" i="12"/>
  <c r="E2201" i="12"/>
  <c r="E2209" i="12"/>
  <c r="E2217" i="12"/>
  <c r="E2225" i="12"/>
  <c r="E2233" i="12"/>
  <c r="E2241" i="12"/>
  <c r="E2249" i="12"/>
  <c r="E2257" i="12"/>
  <c r="E2265" i="12"/>
  <c r="E2273" i="12"/>
  <c r="E2281" i="12"/>
  <c r="E2289" i="12"/>
  <c r="E2297" i="12"/>
  <c r="E2305" i="12"/>
  <c r="E2313" i="12"/>
  <c r="E2321" i="12"/>
  <c r="E2329" i="12"/>
  <c r="E2337" i="12"/>
  <c r="E2345" i="12"/>
  <c r="E2353" i="12"/>
  <c r="E2361" i="12"/>
  <c r="E2369" i="12"/>
  <c r="E2377" i="12"/>
  <c r="E2385" i="12"/>
  <c r="E2393" i="12"/>
  <c r="E2401" i="12"/>
  <c r="E2409" i="12"/>
  <c r="E2417" i="12"/>
  <c r="E2425" i="12"/>
  <c r="E2433" i="12"/>
  <c r="E2441" i="12"/>
  <c r="E453" i="12"/>
  <c r="E751" i="12"/>
  <c r="E834" i="12"/>
  <c r="E914" i="12"/>
  <c r="E1007" i="12"/>
  <c r="E1090" i="12"/>
  <c r="E1159" i="12"/>
  <c r="E1221" i="12"/>
  <c r="E1258" i="12"/>
  <c r="E1283" i="12"/>
  <c r="E1306" i="12"/>
  <c r="E1327" i="12"/>
  <c r="E1347" i="12"/>
  <c r="E1370" i="12"/>
  <c r="E1391" i="12"/>
  <c r="E1411" i="12"/>
  <c r="E1434" i="12"/>
  <c r="E1455" i="12"/>
  <c r="E1475" i="12"/>
  <c r="E1498" i="12"/>
  <c r="E1519" i="12"/>
  <c r="E1539" i="12"/>
  <c r="E1562" i="12"/>
  <c r="E1583" i="12"/>
  <c r="E1603" i="12"/>
  <c r="E1626" i="12"/>
  <c r="E1647" i="12"/>
  <c r="E1667" i="12"/>
  <c r="E1690" i="12"/>
  <c r="E1711" i="12"/>
  <c r="E1731" i="12"/>
  <c r="E1754" i="12"/>
  <c r="E1775" i="12"/>
  <c r="E1795" i="12"/>
  <c r="E1818" i="12"/>
  <c r="E1839" i="12"/>
  <c r="E1859" i="12"/>
  <c r="E1882" i="12"/>
  <c r="E1903" i="12"/>
  <c r="E1923" i="12"/>
  <c r="E1946" i="12"/>
  <c r="E1967" i="12"/>
  <c r="E1986" i="12"/>
  <c r="E2002" i="12"/>
  <c r="E2018" i="12"/>
  <c r="E2034" i="12"/>
  <c r="E2050" i="12"/>
  <c r="E2066" i="12"/>
  <c r="E2082" i="12"/>
  <c r="E2098" i="12"/>
  <c r="E2111" i="12"/>
  <c r="E2123" i="12"/>
  <c r="E2136" i="12"/>
  <c r="E2150" i="12"/>
  <c r="E2162" i="12"/>
  <c r="E2175" i="12"/>
  <c r="E2187" i="12"/>
  <c r="E2200" i="12"/>
  <c r="E2214" i="12"/>
  <c r="E2226" i="12"/>
  <c r="E2239" i="12"/>
  <c r="E2251" i="12"/>
  <c r="E2264" i="12"/>
  <c r="E2278" i="12"/>
  <c r="E2290" i="12"/>
  <c r="E2303" i="12"/>
  <c r="E2315" i="12"/>
  <c r="E2328" i="12"/>
  <c r="E2342" i="12"/>
  <c r="E2354" i="12"/>
  <c r="E2367" i="12"/>
  <c r="E2379" i="12"/>
  <c r="E2392" i="12"/>
  <c r="E2406" i="12"/>
  <c r="E2418" i="12"/>
  <c r="E2429" i="12"/>
  <c r="E2439" i="12"/>
  <c r="E2448" i="12"/>
  <c r="E2456" i="12"/>
  <c r="E2464" i="12"/>
  <c r="E2472" i="12"/>
  <c r="E2480" i="12"/>
  <c r="E2488" i="12"/>
  <c r="E2496" i="12"/>
  <c r="E2504" i="12"/>
  <c r="E2512" i="12"/>
  <c r="E2520" i="12"/>
  <c r="E2528" i="12"/>
  <c r="E2536" i="12"/>
  <c r="E2544" i="12"/>
  <c r="E2552" i="12"/>
  <c r="E2560" i="12"/>
  <c r="E2568" i="12"/>
  <c r="E2576" i="12"/>
  <c r="E2584" i="12"/>
  <c r="E2592" i="12"/>
  <c r="E2600" i="12"/>
  <c r="E2608" i="12"/>
  <c r="E2616" i="12"/>
  <c r="E2624" i="12"/>
  <c r="E2632" i="12"/>
  <c r="E2640" i="12"/>
  <c r="E2648" i="12"/>
  <c r="E2656" i="12"/>
  <c r="E2664" i="12"/>
  <c r="E2672" i="12"/>
  <c r="E2680" i="12"/>
  <c r="E2688" i="12"/>
  <c r="E2696" i="12"/>
  <c r="E2704" i="12"/>
  <c r="E2712" i="12"/>
  <c r="E2720" i="12"/>
  <c r="E2728" i="12"/>
  <c r="E2736" i="12"/>
  <c r="E2744" i="12"/>
  <c r="E2752" i="12"/>
  <c r="E2760" i="12"/>
  <c r="E2768" i="12"/>
  <c r="E2776" i="12"/>
  <c r="E2784" i="12"/>
  <c r="E2792" i="12"/>
  <c r="E2800" i="12"/>
  <c r="E2808" i="12"/>
  <c r="E2816" i="12"/>
  <c r="E2824" i="12"/>
  <c r="E2832" i="12"/>
  <c r="E2840" i="12"/>
  <c r="E2848" i="12"/>
  <c r="E2856" i="12"/>
  <c r="E2864" i="12"/>
  <c r="E2872" i="12"/>
  <c r="E2880" i="12"/>
  <c r="E2888" i="12"/>
  <c r="E2896" i="12"/>
  <c r="E2904" i="12"/>
  <c r="E2912" i="12"/>
  <c r="E2920" i="12"/>
  <c r="E2928" i="12"/>
  <c r="E2936" i="12"/>
  <c r="E2944" i="12"/>
  <c r="E2952" i="12"/>
  <c r="E2960" i="12"/>
  <c r="E2968" i="12"/>
  <c r="E2976" i="12"/>
  <c r="E2984" i="12"/>
  <c r="E2992" i="12"/>
  <c r="E3000" i="12"/>
  <c r="E3008" i="12"/>
  <c r="E3016" i="12"/>
  <c r="E3024" i="12"/>
  <c r="E3032" i="12"/>
  <c r="E3040" i="12"/>
  <c r="E3048" i="12"/>
  <c r="E3056" i="12"/>
  <c r="E3064" i="12"/>
  <c r="E3072" i="12"/>
  <c r="E3080" i="12"/>
  <c r="E3088" i="12"/>
  <c r="E3096" i="12"/>
  <c r="E3104" i="12"/>
  <c r="E3112" i="12"/>
  <c r="E477" i="12"/>
  <c r="E754" i="12"/>
  <c r="E847" i="12"/>
  <c r="E930" i="12"/>
  <c r="E1010" i="12"/>
  <c r="E1103" i="12"/>
  <c r="E1170" i="12"/>
  <c r="E1223" i="12"/>
  <c r="E1262" i="12"/>
  <c r="E1287" i="12"/>
  <c r="E1307" i="12"/>
  <c r="E1330" i="12"/>
  <c r="E1351" i="12"/>
  <c r="E1371" i="12"/>
  <c r="E1394" i="12"/>
  <c r="E1415" i="12"/>
  <c r="E1435" i="12"/>
  <c r="E1458" i="12"/>
  <c r="E1479" i="12"/>
  <c r="E1499" i="12"/>
  <c r="E1522" i="12"/>
  <c r="E1543" i="12"/>
  <c r="E1563" i="12"/>
  <c r="E1586" i="12"/>
  <c r="E1607" i="12"/>
  <c r="E1627" i="12"/>
  <c r="E1650" i="12"/>
  <c r="E1671" i="12"/>
  <c r="E1691" i="12"/>
  <c r="E1714" i="12"/>
  <c r="E1735" i="12"/>
  <c r="E1755" i="12"/>
  <c r="E1778" i="12"/>
  <c r="E1799" i="12"/>
  <c r="E1819" i="12"/>
  <c r="E1842" i="12"/>
  <c r="E1863" i="12"/>
  <c r="E1883" i="12"/>
  <c r="E1906" i="12"/>
  <c r="E1927" i="12"/>
  <c r="E1947" i="12"/>
  <c r="E1970" i="12"/>
  <c r="E1987" i="12"/>
  <c r="E2003" i="12"/>
  <c r="E2019" i="12"/>
  <c r="E2035" i="12"/>
  <c r="E2051" i="12"/>
  <c r="E2067" i="12"/>
  <c r="E2083" i="12"/>
  <c r="E2099" i="12"/>
  <c r="E2112" i="12"/>
  <c r="E2126" i="12"/>
  <c r="E2138" i="12"/>
  <c r="E2151" i="12"/>
  <c r="E2163" i="12"/>
  <c r="E2176" i="12"/>
  <c r="E2190" i="12"/>
  <c r="E2202" i="12"/>
  <c r="E2215" i="12"/>
  <c r="E2227" i="12"/>
  <c r="E2240" i="12"/>
  <c r="E2254" i="12"/>
  <c r="E2266" i="12"/>
  <c r="E2279" i="12"/>
  <c r="E2291" i="12"/>
  <c r="E2304" i="12"/>
  <c r="E2318" i="12"/>
  <c r="E2330" i="12"/>
  <c r="E2343" i="12"/>
  <c r="E2355" i="12"/>
  <c r="E2368" i="12"/>
  <c r="E2382" i="12"/>
  <c r="E2394" i="12"/>
  <c r="E2407" i="12"/>
  <c r="E2419" i="12"/>
  <c r="E2430" i="12"/>
  <c r="E2440" i="12"/>
  <c r="E2449" i="12"/>
  <c r="E2457" i="12"/>
  <c r="E2465" i="12"/>
  <c r="E2473" i="12"/>
  <c r="E2481" i="12"/>
  <c r="E2489" i="12"/>
  <c r="E2497" i="12"/>
  <c r="E2505" i="12"/>
  <c r="E2513" i="12"/>
  <c r="E2521" i="12"/>
  <c r="E2529" i="12"/>
  <c r="E2537" i="12"/>
  <c r="E2545" i="12"/>
  <c r="E2553" i="12"/>
  <c r="E2561" i="12"/>
  <c r="E2569" i="12"/>
  <c r="E2577" i="12"/>
  <c r="E2585" i="12"/>
  <c r="E2593" i="12"/>
  <c r="E2601" i="12"/>
  <c r="E2609" i="12"/>
  <c r="E2617" i="12"/>
  <c r="E2625" i="12"/>
  <c r="E2633" i="12"/>
  <c r="E2641" i="12"/>
  <c r="E2649" i="12"/>
  <c r="E2657" i="12"/>
  <c r="E2665" i="12"/>
  <c r="E2673" i="12"/>
  <c r="E2681" i="12"/>
  <c r="E2689" i="12"/>
  <c r="E2697" i="12"/>
  <c r="E2705" i="12"/>
  <c r="E2713" i="12"/>
  <c r="E2721" i="12"/>
  <c r="E2729" i="12"/>
  <c r="E2737" i="12"/>
  <c r="E2745" i="12"/>
  <c r="E2753" i="12"/>
  <c r="E2761" i="12"/>
  <c r="E2769" i="12"/>
  <c r="E2777" i="12"/>
  <c r="E2785" i="12"/>
  <c r="E2793" i="12"/>
  <c r="E2801" i="12"/>
  <c r="E2809" i="12"/>
  <c r="E2817" i="12"/>
  <c r="E2825" i="12"/>
  <c r="E2833" i="12"/>
  <c r="E2841" i="12"/>
  <c r="E2849" i="12"/>
  <c r="E2857" i="12"/>
  <c r="E2865" i="12"/>
  <c r="E2873" i="12"/>
  <c r="E2881" i="12"/>
  <c r="E2889" i="12"/>
  <c r="E2897" i="12"/>
  <c r="E2905" i="12"/>
  <c r="E2913" i="12"/>
  <c r="E2921" i="12"/>
  <c r="E2929" i="12"/>
  <c r="E2937" i="12"/>
  <c r="E2945" i="12"/>
  <c r="E2953" i="12"/>
  <c r="E2961" i="12"/>
  <c r="E2969" i="12"/>
  <c r="E2977" i="12"/>
  <c r="E2985" i="12"/>
  <c r="E2993" i="12"/>
  <c r="E3001" i="12"/>
  <c r="E3009" i="12"/>
  <c r="E3017" i="12"/>
  <c r="E3025" i="12"/>
  <c r="E3033" i="12"/>
  <c r="E3041" i="12"/>
  <c r="E3049" i="12"/>
  <c r="E3057" i="12"/>
  <c r="E3065" i="12"/>
  <c r="E3073" i="12"/>
  <c r="E3081" i="12"/>
  <c r="E3089" i="12"/>
  <c r="E3097" i="12"/>
  <c r="E3105" i="12"/>
  <c r="E3113" i="12"/>
  <c r="E687" i="12"/>
  <c r="E770" i="12"/>
  <c r="E850" i="12"/>
  <c r="E943" i="12"/>
  <c r="E1026" i="12"/>
  <c r="E1106" i="12"/>
  <c r="E1178" i="12"/>
  <c r="E1231" i="12"/>
  <c r="E1263" i="12"/>
  <c r="E1290" i="12"/>
  <c r="E1311" i="12"/>
  <c r="E1331" i="12"/>
  <c r="E1354" i="12"/>
  <c r="E1375" i="12"/>
  <c r="E1395" i="12"/>
  <c r="E1418" i="12"/>
  <c r="E1439" i="12"/>
  <c r="E1459" i="12"/>
  <c r="E1482" i="12"/>
  <c r="E1503" i="12"/>
  <c r="E1523" i="12"/>
  <c r="E1546" i="12"/>
  <c r="E1567" i="12"/>
  <c r="E1587" i="12"/>
  <c r="E1610" i="12"/>
  <c r="E1631" i="12"/>
  <c r="E1651" i="12"/>
  <c r="E1674" i="12"/>
  <c r="E1695" i="12"/>
  <c r="E1715" i="12"/>
  <c r="E1738" i="12"/>
  <c r="E1759" i="12"/>
  <c r="E1779" i="12"/>
  <c r="E1802" i="12"/>
  <c r="E1823" i="12"/>
  <c r="E1843" i="12"/>
  <c r="E1866" i="12"/>
  <c r="E1887" i="12"/>
  <c r="E1907" i="12"/>
  <c r="E1930" i="12"/>
  <c r="E1951" i="12"/>
  <c r="E1971" i="12"/>
  <c r="E1991" i="12"/>
  <c r="E2007" i="12"/>
  <c r="E2023" i="12"/>
  <c r="E2039" i="12"/>
  <c r="E2055" i="12"/>
  <c r="E2071" i="12"/>
  <c r="E2087" i="12"/>
  <c r="E2102" i="12"/>
  <c r="E2114" i="12"/>
  <c r="E2127" i="12"/>
  <c r="E2139" i="12"/>
  <c r="E2152" i="12"/>
  <c r="E2166" i="12"/>
  <c r="E2178" i="12"/>
  <c r="E2191" i="12"/>
  <c r="E2203" i="12"/>
  <c r="E2216" i="12"/>
  <c r="E2230" i="12"/>
  <c r="E2242" i="12"/>
  <c r="E2255" i="12"/>
  <c r="E2267" i="12"/>
  <c r="E2280" i="12"/>
  <c r="E2294" i="12"/>
  <c r="E2306" i="12"/>
  <c r="E2319" i="12"/>
  <c r="E2331" i="12"/>
  <c r="E2344" i="12"/>
  <c r="E2358" i="12"/>
  <c r="E2370" i="12"/>
  <c r="E2383" i="12"/>
  <c r="E2395" i="12"/>
  <c r="E2408" i="12"/>
  <c r="E2421" i="12"/>
  <c r="E2431" i="12"/>
  <c r="E2442" i="12"/>
  <c r="E2450" i="12"/>
  <c r="E2458" i="12"/>
  <c r="E2466" i="12"/>
  <c r="E2474" i="12"/>
  <c r="E2482" i="12"/>
  <c r="E2490" i="12"/>
  <c r="E2498" i="12"/>
  <c r="E2506" i="12"/>
  <c r="E2514" i="12"/>
  <c r="E2522" i="12"/>
  <c r="E2530" i="12"/>
  <c r="E2538" i="12"/>
  <c r="E2546" i="12"/>
  <c r="E2554" i="12"/>
  <c r="E2562" i="12"/>
  <c r="E2570" i="12"/>
  <c r="E2578" i="12"/>
  <c r="E2586" i="12"/>
  <c r="E2594" i="12"/>
  <c r="E2602" i="12"/>
  <c r="E2610" i="12"/>
  <c r="E2618" i="12"/>
  <c r="E2626" i="12"/>
  <c r="E2634" i="12"/>
  <c r="E2642" i="12"/>
  <c r="E2650" i="12"/>
  <c r="E2658" i="12"/>
  <c r="E2666" i="12"/>
  <c r="E2674" i="12"/>
  <c r="E2682" i="12"/>
  <c r="E2690" i="12"/>
  <c r="E2698" i="12"/>
  <c r="E2706" i="12"/>
  <c r="E2714" i="12"/>
  <c r="E2722" i="12"/>
  <c r="E2730" i="12"/>
  <c r="E2738" i="12"/>
  <c r="E2746" i="12"/>
  <c r="E2754" i="12"/>
  <c r="E2762" i="12"/>
  <c r="E2770" i="12"/>
  <c r="E2778" i="12"/>
  <c r="E2786" i="12"/>
  <c r="E2794" i="12"/>
  <c r="E2802" i="12"/>
  <c r="E2810" i="12"/>
  <c r="E2818" i="12"/>
  <c r="E2826" i="12"/>
  <c r="E2834" i="12"/>
  <c r="E2842" i="12"/>
  <c r="E2850" i="12"/>
  <c r="E2858" i="12"/>
  <c r="E2866" i="12"/>
  <c r="E2874" i="12"/>
  <c r="E2882" i="12"/>
  <c r="E2890" i="12"/>
  <c r="E2898" i="12"/>
  <c r="E2906" i="12"/>
  <c r="E2914" i="12"/>
  <c r="E2922" i="12"/>
  <c r="E2930" i="12"/>
  <c r="E2938" i="12"/>
  <c r="E2946" i="12"/>
  <c r="E2954" i="12"/>
  <c r="E2962" i="12"/>
  <c r="E2970" i="12"/>
  <c r="E2978" i="12"/>
  <c r="E2986" i="12"/>
  <c r="E2994" i="12"/>
  <c r="E3002" i="12"/>
  <c r="E3010" i="12"/>
  <c r="E3018" i="12"/>
  <c r="E3026" i="12"/>
  <c r="E3034" i="12"/>
  <c r="E3042" i="12"/>
  <c r="E3050" i="12"/>
  <c r="E3058" i="12"/>
  <c r="E3066" i="12"/>
  <c r="E3074" i="12"/>
  <c r="E3082" i="12"/>
  <c r="E3090" i="12"/>
  <c r="E3098" i="12"/>
  <c r="E3106" i="12"/>
  <c r="E3" i="12"/>
  <c r="E690" i="12"/>
  <c r="E783" i="12"/>
  <c r="E866" i="12"/>
  <c r="E946" i="12"/>
  <c r="E1039" i="12"/>
  <c r="E1122" i="12"/>
  <c r="E1181" i="12"/>
  <c r="E1237" i="12"/>
  <c r="E1269" i="12"/>
  <c r="E1291" i="12"/>
  <c r="E1314" i="12"/>
  <c r="E1335" i="12"/>
  <c r="E1355" i="12"/>
  <c r="E1378" i="12"/>
  <c r="E1399" i="12"/>
  <c r="E1419" i="12"/>
  <c r="E1442" i="12"/>
  <c r="E1463" i="12"/>
  <c r="E1483" i="12"/>
  <c r="E1506" i="12"/>
  <c r="E1527" i="12"/>
  <c r="E1547" i="12"/>
  <c r="E1570" i="12"/>
  <c r="E1591" i="12"/>
  <c r="E1611" i="12"/>
  <c r="E1634" i="12"/>
  <c r="E1655" i="12"/>
  <c r="E1675" i="12"/>
  <c r="E1698" i="12"/>
  <c r="E1719" i="12"/>
  <c r="E1739" i="12"/>
  <c r="E1762" i="12"/>
  <c r="E1783" i="12"/>
  <c r="E1803" i="12"/>
  <c r="E1826" i="12"/>
  <c r="E1847" i="12"/>
  <c r="E1867" i="12"/>
  <c r="E1890" i="12"/>
  <c r="E1911" i="12"/>
  <c r="E1931" i="12"/>
  <c r="E1954" i="12"/>
  <c r="E1975" i="12"/>
  <c r="E1992" i="12"/>
  <c r="E2008" i="12"/>
  <c r="E2024" i="12"/>
  <c r="E2040" i="12"/>
  <c r="E2056" i="12"/>
  <c r="E2072" i="12"/>
  <c r="E2088" i="12"/>
  <c r="E2103" i="12"/>
  <c r="E2115" i="12"/>
  <c r="E2128" i="12"/>
  <c r="E2142" i="12"/>
  <c r="E2154" i="12"/>
  <c r="E2167" i="12"/>
  <c r="E2179" i="12"/>
  <c r="E2192" i="12"/>
  <c r="E2206" i="12"/>
  <c r="E2218" i="12"/>
  <c r="E2231" i="12"/>
  <c r="E2243" i="12"/>
  <c r="E2256" i="12"/>
  <c r="E2270" i="12"/>
  <c r="E2282" i="12"/>
  <c r="E2295" i="12"/>
  <c r="E2307" i="12"/>
  <c r="E2320" i="12"/>
  <c r="E2334" i="12"/>
  <c r="E2346" i="12"/>
  <c r="E2359" i="12"/>
  <c r="E2371" i="12"/>
  <c r="E2384" i="12"/>
  <c r="E2398" i="12"/>
  <c r="E2410" i="12"/>
  <c r="E2422" i="12"/>
  <c r="E2432" i="12"/>
  <c r="E2443" i="12"/>
  <c r="E2451" i="12"/>
  <c r="E2459" i="12"/>
  <c r="E2467" i="12"/>
  <c r="E2475" i="12"/>
  <c r="E2483" i="12"/>
  <c r="E2491" i="12"/>
  <c r="E2499" i="12"/>
  <c r="E2507" i="12"/>
  <c r="E2515" i="12"/>
  <c r="E2523" i="12"/>
  <c r="E2531" i="12"/>
  <c r="E2539" i="12"/>
  <c r="E2547" i="12"/>
  <c r="E2555" i="12"/>
  <c r="E2563" i="12"/>
  <c r="E2571" i="12"/>
  <c r="E2579" i="12"/>
  <c r="E2587" i="12"/>
  <c r="E2595" i="12"/>
  <c r="E2603" i="12"/>
  <c r="E2611" i="12"/>
  <c r="E2619" i="12"/>
  <c r="E2627" i="12"/>
  <c r="E2635" i="12"/>
  <c r="E2643" i="12"/>
  <c r="E2651" i="12"/>
  <c r="E2659" i="12"/>
  <c r="E2667" i="12"/>
  <c r="E2675" i="12"/>
  <c r="E2683" i="12"/>
  <c r="E2691" i="12"/>
  <c r="E2699" i="12"/>
  <c r="E2707" i="12"/>
  <c r="E2715" i="12"/>
  <c r="E2723" i="12"/>
  <c r="E2731" i="12"/>
  <c r="E2739" i="12"/>
  <c r="E2747" i="12"/>
  <c r="E2755" i="12"/>
  <c r="E2763" i="12"/>
  <c r="E2771" i="12"/>
  <c r="E2779" i="12"/>
  <c r="E2787" i="12"/>
  <c r="E2795" i="12"/>
  <c r="E2803" i="12"/>
  <c r="E2811" i="12"/>
  <c r="E2819" i="12"/>
  <c r="E2827" i="12"/>
  <c r="E2835" i="12"/>
  <c r="E2843" i="12"/>
  <c r="E2851" i="12"/>
  <c r="E2859" i="12"/>
  <c r="E2867" i="12"/>
  <c r="E2875" i="12"/>
  <c r="E2883" i="12"/>
  <c r="E2891" i="12"/>
  <c r="E2899" i="12"/>
  <c r="E2907" i="12"/>
  <c r="E2915" i="12"/>
  <c r="E2923" i="12"/>
  <c r="E2931" i="12"/>
  <c r="E2939" i="12"/>
  <c r="E2947" i="12"/>
  <c r="E2955" i="12"/>
  <c r="E2963" i="12"/>
  <c r="E2971" i="12"/>
  <c r="E2979" i="12"/>
  <c r="E2987" i="12"/>
  <c r="E2995" i="12"/>
  <c r="E3003" i="12"/>
  <c r="E3011" i="12"/>
  <c r="E3019" i="12"/>
  <c r="E3027" i="12"/>
  <c r="E3035" i="12"/>
  <c r="E3043" i="12"/>
  <c r="E3051" i="12"/>
  <c r="E3059" i="12"/>
  <c r="E3067" i="12"/>
  <c r="E3075" i="12"/>
  <c r="E3083" i="12"/>
  <c r="E3091" i="12"/>
  <c r="E3099" i="12"/>
  <c r="E3107" i="12"/>
  <c r="E706" i="12"/>
  <c r="E786" i="12"/>
  <c r="E879" i="12"/>
  <c r="E962" i="12"/>
  <c r="E1042" i="12"/>
  <c r="E1135" i="12"/>
  <c r="E1191" i="12"/>
  <c r="E1239" i="12"/>
  <c r="E1272" i="12"/>
  <c r="E1295" i="12"/>
  <c r="E1315" i="12"/>
  <c r="E1338" i="12"/>
  <c r="E1359" i="12"/>
  <c r="E1379" i="12"/>
  <c r="E1402" i="12"/>
  <c r="E1423" i="12"/>
  <c r="E1443" i="12"/>
  <c r="E1466" i="12"/>
  <c r="E1487" i="12"/>
  <c r="E1507" i="12"/>
  <c r="E1530" i="12"/>
  <c r="E1551" i="12"/>
  <c r="E1571" i="12"/>
  <c r="E1594" i="12"/>
  <c r="E1615" i="12"/>
  <c r="E1635" i="12"/>
  <c r="E1658" i="12"/>
  <c r="E1679" i="12"/>
  <c r="E1699" i="12"/>
  <c r="E1722" i="12"/>
  <c r="E1743" i="12"/>
  <c r="E1763" i="12"/>
  <c r="E1786" i="12"/>
  <c r="E1807" i="12"/>
  <c r="E1827" i="12"/>
  <c r="E1850" i="12"/>
  <c r="E1871" i="12"/>
  <c r="E1891" i="12"/>
  <c r="E1914" i="12"/>
  <c r="E1935" i="12"/>
  <c r="E1955" i="12"/>
  <c r="E1978" i="12"/>
  <c r="E1994" i="12"/>
  <c r="E2010" i="12"/>
  <c r="E2026" i="12"/>
  <c r="E2042" i="12"/>
  <c r="E2058" i="12"/>
  <c r="E2074" i="12"/>
  <c r="E2090" i="12"/>
  <c r="E2104" i="12"/>
  <c r="E2118" i="12"/>
  <c r="E2130" i="12"/>
  <c r="E2143" i="12"/>
  <c r="E2155" i="12"/>
  <c r="E2168" i="12"/>
  <c r="E2182" i="12"/>
  <c r="E2194" i="12"/>
  <c r="E2207" i="12"/>
  <c r="E2219" i="12"/>
  <c r="E2232" i="12"/>
  <c r="E2246" i="12"/>
  <c r="E2258" i="12"/>
  <c r="E2271" i="12"/>
  <c r="E2283" i="12"/>
  <c r="E2296" i="12"/>
  <c r="E2310" i="12"/>
  <c r="E2322" i="12"/>
  <c r="E2335" i="12"/>
  <c r="E2347" i="12"/>
  <c r="E2360" i="12"/>
  <c r="E2374" i="12"/>
  <c r="E2386" i="12"/>
  <c r="E2399" i="12"/>
  <c r="E2411" i="12"/>
  <c r="E2423" i="12"/>
  <c r="E2434" i="12"/>
  <c r="E2444" i="12"/>
  <c r="E2452" i="12"/>
  <c r="E2460" i="12"/>
  <c r="E2468" i="12"/>
  <c r="E2476" i="12"/>
  <c r="E2484" i="12"/>
  <c r="E2492" i="12"/>
  <c r="E2500" i="12"/>
  <c r="E2508" i="12"/>
  <c r="E2516" i="12"/>
  <c r="E2524" i="12"/>
  <c r="E2532" i="12"/>
  <c r="E2540" i="12"/>
  <c r="E2548" i="12"/>
  <c r="E2556" i="12"/>
  <c r="E2564" i="12"/>
  <c r="E2572" i="12"/>
  <c r="E2580" i="12"/>
  <c r="E2588" i="12"/>
  <c r="E2596" i="12"/>
  <c r="E2604" i="12"/>
  <c r="E2612" i="12"/>
  <c r="E2620" i="12"/>
  <c r="E2628" i="12"/>
  <c r="E2636" i="12"/>
  <c r="E2644" i="12"/>
  <c r="E2652" i="12"/>
  <c r="E2660" i="12"/>
  <c r="E2668" i="12"/>
  <c r="E2676" i="12"/>
  <c r="E2684" i="12"/>
  <c r="E2692" i="12"/>
  <c r="E2700" i="12"/>
  <c r="E2708" i="12"/>
  <c r="E2716" i="12"/>
  <c r="E2724" i="12"/>
  <c r="E2732" i="12"/>
  <c r="E2740" i="12"/>
  <c r="E2748" i="12"/>
  <c r="E2756" i="12"/>
  <c r="E2764" i="12"/>
  <c r="E2772" i="12"/>
  <c r="E2780" i="12"/>
  <c r="E2788" i="12"/>
  <c r="E2796" i="12"/>
  <c r="E2804" i="12"/>
  <c r="E2812" i="12"/>
  <c r="E2820" i="12"/>
  <c r="E2828" i="12"/>
  <c r="E2836" i="12"/>
  <c r="E2844" i="12"/>
  <c r="E2852" i="12"/>
  <c r="E2860" i="12"/>
  <c r="E2868" i="12"/>
  <c r="E2876" i="12"/>
  <c r="E2884" i="12"/>
  <c r="E2892" i="12"/>
  <c r="E2900" i="12"/>
  <c r="E2908" i="12"/>
  <c r="E2916" i="12"/>
  <c r="E2924" i="12"/>
  <c r="E2932" i="12"/>
  <c r="E2940" i="12"/>
  <c r="E2948" i="12"/>
  <c r="E2956" i="12"/>
  <c r="E2964" i="12"/>
  <c r="E2972" i="12"/>
  <c r="E2980" i="12"/>
  <c r="E2988" i="12"/>
  <c r="E2996" i="12"/>
  <c r="E3004" i="12"/>
  <c r="E3012" i="12"/>
  <c r="E3020" i="12"/>
  <c r="E3028" i="12"/>
  <c r="E3036" i="12"/>
  <c r="E3044" i="12"/>
  <c r="E3052" i="12"/>
  <c r="E3060" i="12"/>
  <c r="E3068" i="12"/>
  <c r="E3076" i="12"/>
  <c r="E3084" i="12"/>
  <c r="E3092" i="12"/>
  <c r="E3100" i="12"/>
  <c r="E3108" i="12"/>
  <c r="E719" i="12"/>
  <c r="E802" i="12"/>
  <c r="E882" i="12"/>
  <c r="E975" i="12"/>
  <c r="E1058" i="12"/>
  <c r="E1138" i="12"/>
  <c r="E1199" i="12"/>
  <c r="E1247" i="12"/>
  <c r="E1274" i="12"/>
  <c r="E1298" i="12"/>
  <c r="E1319" i="12"/>
  <c r="E1339" i="12"/>
  <c r="E1362" i="12"/>
  <c r="E1383" i="12"/>
  <c r="E1403" i="12"/>
  <c r="E1426" i="12"/>
  <c r="E1447" i="12"/>
  <c r="E1467" i="12"/>
  <c r="E1490" i="12"/>
  <c r="E1511" i="12"/>
  <c r="E1531" i="12"/>
  <c r="E1554" i="12"/>
  <c r="E1575" i="12"/>
  <c r="E1595" i="12"/>
  <c r="E1618" i="12"/>
  <c r="E1639" i="12"/>
  <c r="E1659" i="12"/>
  <c r="E1682" i="12"/>
  <c r="E1703" i="12"/>
  <c r="E1723" i="12"/>
  <c r="E1746" i="12"/>
  <c r="E1767" i="12"/>
  <c r="E1787" i="12"/>
  <c r="E1810" i="12"/>
  <c r="E1831" i="12"/>
  <c r="E1851" i="12"/>
  <c r="E1874" i="12"/>
  <c r="E1895" i="12"/>
  <c r="E1915" i="12"/>
  <c r="E1938" i="12"/>
  <c r="E1959" i="12"/>
  <c r="E1979" i="12"/>
  <c r="E1995" i="12"/>
  <c r="E2011" i="12"/>
  <c r="E2027" i="12"/>
  <c r="E2043" i="12"/>
  <c r="E2059" i="12"/>
  <c r="E2075" i="12"/>
  <c r="E2091" i="12"/>
  <c r="E2106" i="12"/>
  <c r="E2119" i="12"/>
  <c r="E2131" i="12"/>
  <c r="E2144" i="12"/>
  <c r="E2158" i="12"/>
  <c r="E2170" i="12"/>
  <c r="E2183" i="12"/>
  <c r="E2195" i="12"/>
  <c r="E2208" i="12"/>
  <c r="E2222" i="12"/>
  <c r="E2234" i="12"/>
  <c r="E2247" i="12"/>
  <c r="E2259" i="12"/>
  <c r="E2272" i="12"/>
  <c r="E2286" i="12"/>
  <c r="E2298" i="12"/>
  <c r="E2311" i="12"/>
  <c r="E2323" i="12"/>
  <c r="E2336" i="12"/>
  <c r="E2350" i="12"/>
  <c r="E2362" i="12"/>
  <c r="E2375" i="12"/>
  <c r="E2387" i="12"/>
  <c r="E2400" i="12"/>
  <c r="E2414" i="12"/>
  <c r="E2424" i="12"/>
  <c r="E2435" i="12"/>
  <c r="E2445" i="12"/>
  <c r="E2453" i="12"/>
  <c r="E2461" i="12"/>
  <c r="E2469" i="12"/>
  <c r="E2477" i="12"/>
  <c r="E2485" i="12"/>
  <c r="E2493" i="12"/>
  <c r="E2501" i="12"/>
  <c r="E2509" i="12"/>
  <c r="E2517" i="12"/>
  <c r="E2525" i="12"/>
  <c r="E2533" i="12"/>
  <c r="E2541" i="12"/>
  <c r="E2549" i="12"/>
  <c r="E2557" i="12"/>
  <c r="E2565" i="12"/>
  <c r="E2573" i="12"/>
  <c r="E2581" i="12"/>
  <c r="E2589" i="12"/>
  <c r="E2597" i="12"/>
  <c r="E2605" i="12"/>
  <c r="E2613" i="12"/>
  <c r="E2621" i="12"/>
  <c r="E2629" i="12"/>
  <c r="E2637" i="12"/>
  <c r="E2645" i="12"/>
  <c r="E2653" i="12"/>
  <c r="E2661" i="12"/>
  <c r="E2669" i="12"/>
  <c r="E2677" i="12"/>
  <c r="E2685" i="12"/>
  <c r="E2693" i="12"/>
  <c r="E2701" i="12"/>
  <c r="E2709" i="12"/>
  <c r="E2717" i="12"/>
  <c r="E2725" i="12"/>
  <c r="E2733" i="12"/>
  <c r="E2741" i="12"/>
  <c r="E2749" i="12"/>
  <c r="E2757" i="12"/>
  <c r="E2765" i="12"/>
  <c r="E2773" i="12"/>
  <c r="E2781" i="12"/>
  <c r="E2789" i="12"/>
  <c r="E2797" i="12"/>
  <c r="E2805" i="12"/>
  <c r="E2813" i="12"/>
  <c r="E2821" i="12"/>
  <c r="E2829" i="12"/>
  <c r="E2837" i="12"/>
  <c r="E2845" i="12"/>
  <c r="E2853" i="12"/>
  <c r="E2861" i="12"/>
  <c r="E2869" i="12"/>
  <c r="E2877" i="12"/>
  <c r="E2885" i="12"/>
  <c r="E2893" i="12"/>
  <c r="E2901" i="12"/>
  <c r="E2909" i="12"/>
  <c r="E2917" i="12"/>
  <c r="E2925" i="12"/>
  <c r="E2933" i="12"/>
  <c r="E2941" i="12"/>
  <c r="E2949" i="12"/>
  <c r="E2957" i="12"/>
  <c r="E2965" i="12"/>
  <c r="E2973" i="12"/>
  <c r="E2981" i="12"/>
  <c r="E2989" i="12"/>
  <c r="E2997" i="12"/>
  <c r="E3005" i="12"/>
  <c r="E3013" i="12"/>
  <c r="E3021" i="12"/>
  <c r="E3029" i="12"/>
  <c r="E3037" i="12"/>
  <c r="E3045" i="12"/>
  <c r="E3053" i="12"/>
  <c r="E3061" i="12"/>
  <c r="E3069" i="12"/>
  <c r="E3077" i="12"/>
  <c r="E3085" i="12"/>
  <c r="E3093" i="12"/>
  <c r="E3101" i="12"/>
  <c r="E3109" i="12"/>
  <c r="E722" i="12"/>
  <c r="E815" i="12"/>
  <c r="E898" i="12"/>
  <c r="E978" i="12"/>
  <c r="E1071" i="12"/>
  <c r="E1149" i="12"/>
  <c r="E1202" i="12"/>
  <c r="E1251" i="12"/>
  <c r="E1279" i="12"/>
  <c r="E1299" i="12"/>
  <c r="E1322" i="12"/>
  <c r="E1343" i="12"/>
  <c r="E1363" i="12"/>
  <c r="E1386" i="12"/>
  <c r="E1407" i="12"/>
  <c r="E1427" i="12"/>
  <c r="E1450" i="12"/>
  <c r="E1471" i="12"/>
  <c r="E1491" i="12"/>
  <c r="E1514" i="12"/>
  <c r="E1535" i="12"/>
  <c r="E1555" i="12"/>
  <c r="E1578" i="12"/>
  <c r="E1599" i="12"/>
  <c r="E1619" i="12"/>
  <c r="E1642" i="12"/>
  <c r="E1663" i="12"/>
  <c r="E1683" i="12"/>
  <c r="E1706" i="12"/>
  <c r="E1727" i="12"/>
  <c r="E1747" i="12"/>
  <c r="E1770" i="12"/>
  <c r="E1791" i="12"/>
  <c r="E1811" i="12"/>
  <c r="E1834" i="12"/>
  <c r="E1855" i="12"/>
  <c r="E1875" i="12"/>
  <c r="E1898" i="12"/>
  <c r="E1919" i="12"/>
  <c r="E1939" i="12"/>
  <c r="E1962" i="12"/>
  <c r="E1983" i="12"/>
  <c r="E1999" i="12"/>
  <c r="E2015" i="12"/>
  <c r="E2031" i="12"/>
  <c r="E2047" i="12"/>
  <c r="E2063" i="12"/>
  <c r="E2079" i="12"/>
  <c r="E2095" i="12"/>
  <c r="E2107" i="12"/>
  <c r="E2120" i="12"/>
  <c r="E2134" i="12"/>
  <c r="E2146" i="12"/>
  <c r="E2159" i="12"/>
  <c r="E2171" i="12"/>
  <c r="E2184" i="12"/>
  <c r="E2198" i="12"/>
  <c r="E2210" i="12"/>
  <c r="E2223" i="12"/>
  <c r="E2235" i="12"/>
  <c r="E2248" i="12"/>
  <c r="E2262" i="12"/>
  <c r="E2274" i="12"/>
  <c r="E2287" i="12"/>
  <c r="E2299" i="12"/>
  <c r="E2312" i="12"/>
  <c r="E2326" i="12"/>
  <c r="E2338" i="12"/>
  <c r="E2351" i="12"/>
  <c r="E2363" i="12"/>
  <c r="E2376" i="12"/>
  <c r="E2390" i="12"/>
  <c r="E2402" i="12"/>
  <c r="E2415" i="12"/>
  <c r="E2426" i="12"/>
  <c r="E2437" i="12"/>
  <c r="E2446" i="12"/>
  <c r="E2454" i="12"/>
  <c r="E2462" i="12"/>
  <c r="E2470" i="12"/>
  <c r="E2478" i="12"/>
  <c r="E2486" i="12"/>
  <c r="E2494" i="12"/>
  <c r="E2502" i="12"/>
  <c r="E2510" i="12"/>
  <c r="E2518" i="12"/>
  <c r="E2526" i="12"/>
  <c r="E2534" i="12"/>
  <c r="E2542" i="12"/>
  <c r="E2550" i="12"/>
  <c r="E2558" i="12"/>
  <c r="E2566" i="12"/>
  <c r="E2574" i="12"/>
  <c r="E2582" i="12"/>
  <c r="E2590" i="12"/>
  <c r="E2598" i="12"/>
  <c r="E2606" i="12"/>
  <c r="E2614" i="12"/>
  <c r="E2622" i="12"/>
  <c r="E2630" i="12"/>
  <c r="E2638" i="12"/>
  <c r="E2646" i="12"/>
  <c r="E2654" i="12"/>
  <c r="E2662" i="12"/>
  <c r="E2670" i="12"/>
  <c r="E2678" i="12"/>
  <c r="E2686" i="12"/>
  <c r="E2694" i="12"/>
  <c r="E2702" i="12"/>
  <c r="E2710" i="12"/>
  <c r="E2718" i="12"/>
  <c r="E2726" i="12"/>
  <c r="E2734" i="12"/>
  <c r="E2742" i="12"/>
  <c r="E2750" i="12"/>
  <c r="E2758" i="12"/>
  <c r="E2766" i="12"/>
  <c r="E2774" i="12"/>
  <c r="E2782" i="12"/>
  <c r="E2790" i="12"/>
  <c r="E2798" i="12"/>
  <c r="E2806" i="12"/>
  <c r="E2814" i="12"/>
  <c r="E2822" i="12"/>
  <c r="E2830" i="12"/>
  <c r="E2838" i="12"/>
  <c r="E2846" i="12"/>
  <c r="E2854" i="12"/>
  <c r="E2862" i="12"/>
  <c r="E2870" i="12"/>
  <c r="E2878" i="12"/>
  <c r="E2886" i="12"/>
  <c r="E2894" i="12"/>
  <c r="E2902" i="12"/>
  <c r="E2910" i="12"/>
  <c r="E2918" i="12"/>
  <c r="E2926" i="12"/>
  <c r="E2934" i="12"/>
  <c r="E2942" i="12"/>
  <c r="E2950" i="12"/>
  <c r="E2958" i="12"/>
  <c r="E2966" i="12"/>
  <c r="E2974" i="12"/>
  <c r="E2982" i="12"/>
  <c r="E2990" i="12"/>
  <c r="E2998" i="12"/>
  <c r="E3006" i="12"/>
  <c r="E3014" i="12"/>
  <c r="E3022" i="12"/>
  <c r="E3030" i="12"/>
  <c r="E3038" i="12"/>
  <c r="E3046" i="12"/>
  <c r="E3054" i="12"/>
  <c r="E3062" i="12"/>
  <c r="E3070" i="12"/>
  <c r="E3078" i="12"/>
  <c r="E3086" i="12"/>
  <c r="E3094" i="12"/>
  <c r="E3102" i="12"/>
  <c r="E3110" i="12"/>
  <c r="E738" i="12"/>
  <c r="E818" i="12"/>
  <c r="E911" i="12"/>
  <c r="E994" i="12"/>
  <c r="E1074" i="12"/>
  <c r="E1157" i="12"/>
  <c r="E1213" i="12"/>
  <c r="E1253" i="12"/>
  <c r="E1282" i="12"/>
  <c r="E1303" i="12"/>
  <c r="E1323" i="12"/>
  <c r="E1346" i="12"/>
  <c r="E1367" i="12"/>
  <c r="E1387" i="12"/>
  <c r="E1410" i="12"/>
  <c r="E1431" i="12"/>
  <c r="E1451" i="12"/>
  <c r="E1474" i="12"/>
  <c r="E1495" i="12"/>
  <c r="E1515" i="12"/>
  <c r="E1538" i="12"/>
  <c r="E1559" i="12"/>
  <c r="E1579" i="12"/>
  <c r="E1602" i="12"/>
  <c r="E1623" i="12"/>
  <c r="E1643" i="12"/>
  <c r="E1666" i="12"/>
  <c r="E1687" i="12"/>
  <c r="E1707" i="12"/>
  <c r="E1730" i="12"/>
  <c r="E1751" i="12"/>
  <c r="E1771" i="12"/>
  <c r="E1794" i="12"/>
  <c r="E1815" i="12"/>
  <c r="E1835" i="12"/>
  <c r="E1858" i="12"/>
  <c r="E1879" i="12"/>
  <c r="E1899" i="12"/>
  <c r="E1922" i="12"/>
  <c r="E1943" i="12"/>
  <c r="E1963" i="12"/>
  <c r="E1984" i="12"/>
  <c r="E2000" i="12"/>
  <c r="E2016" i="12"/>
  <c r="E2032" i="12"/>
  <c r="E2048" i="12"/>
  <c r="E2064" i="12"/>
  <c r="E2080" i="12"/>
  <c r="E2096" i="12"/>
  <c r="E2110" i="12"/>
  <c r="E2122" i="12"/>
  <c r="E2135" i="12"/>
  <c r="E2147" i="12"/>
  <c r="E2160" i="12"/>
  <c r="E2174" i="12"/>
  <c r="E2186" i="12"/>
  <c r="E2199" i="12"/>
  <c r="E2211" i="12"/>
  <c r="E2224" i="12"/>
  <c r="E2238" i="12"/>
  <c r="E2250" i="12"/>
  <c r="E2263" i="12"/>
  <c r="E2275" i="12"/>
  <c r="E2288" i="12"/>
  <c r="E2302" i="12"/>
  <c r="E2314" i="12"/>
  <c r="E2327" i="12"/>
  <c r="E2339" i="12"/>
  <c r="E2352" i="12"/>
  <c r="E2366" i="12"/>
  <c r="E2378" i="12"/>
  <c r="E2391" i="12"/>
  <c r="E2403" i="12"/>
  <c r="E2416" i="12"/>
  <c r="E2427" i="12"/>
  <c r="E2438" i="12"/>
  <c r="E2447" i="12"/>
  <c r="E2455" i="12"/>
  <c r="E2463" i="12"/>
  <c r="E2471" i="12"/>
  <c r="E2479" i="12"/>
  <c r="E2487" i="12"/>
  <c r="E2495" i="12"/>
  <c r="E2503" i="12"/>
  <c r="E2511" i="12"/>
  <c r="E2519" i="12"/>
  <c r="E2583" i="12"/>
  <c r="E2647" i="12"/>
  <c r="E2711" i="12"/>
  <c r="E2775" i="12"/>
  <c r="E2839" i="12"/>
  <c r="E2903" i="12"/>
  <c r="E2967" i="12"/>
  <c r="E3031" i="12"/>
  <c r="E3095" i="12"/>
  <c r="E2831" i="12"/>
  <c r="E2527" i="12"/>
  <c r="E2591" i="12"/>
  <c r="E2655" i="12"/>
  <c r="E2719" i="12"/>
  <c r="E2783" i="12"/>
  <c r="E2847" i="12"/>
  <c r="E2911" i="12"/>
  <c r="E2975" i="12"/>
  <c r="E3039" i="12"/>
  <c r="E3103" i="12"/>
  <c r="E2639" i="12"/>
  <c r="E2535" i="12"/>
  <c r="E2599" i="12"/>
  <c r="E2663" i="12"/>
  <c r="E2727" i="12"/>
  <c r="E2791" i="12"/>
  <c r="E2855" i="12"/>
  <c r="E2919" i="12"/>
  <c r="E2983" i="12"/>
  <c r="E3047" i="12"/>
  <c r="E3111" i="12"/>
  <c r="E2895" i="12"/>
  <c r="E2543" i="12"/>
  <c r="E2607" i="12"/>
  <c r="E2671" i="12"/>
  <c r="E2735" i="12"/>
  <c r="E2799" i="12"/>
  <c r="E2863" i="12"/>
  <c r="E2927" i="12"/>
  <c r="E2991" i="12"/>
  <c r="E3055" i="12"/>
  <c r="E2703" i="12"/>
  <c r="E2551" i="12"/>
  <c r="E2615" i="12"/>
  <c r="E2679" i="12"/>
  <c r="E2743" i="12"/>
  <c r="E2807" i="12"/>
  <c r="E2871" i="12"/>
  <c r="E2935" i="12"/>
  <c r="E2999" i="12"/>
  <c r="E3063" i="12"/>
  <c r="E2959" i="12"/>
  <c r="E3023" i="12"/>
  <c r="E2559" i="12"/>
  <c r="E2623" i="12"/>
  <c r="E2687" i="12"/>
  <c r="E2751" i="12"/>
  <c r="E2815" i="12"/>
  <c r="E2879" i="12"/>
  <c r="E2943" i="12"/>
  <c r="E3007" i="12"/>
  <c r="E3071" i="12"/>
  <c r="E2767" i="12"/>
  <c r="E3087" i="12"/>
  <c r="E2567" i="12"/>
  <c r="E2631" i="12"/>
  <c r="E2695" i="12"/>
  <c r="E2759" i="12"/>
  <c r="E2823" i="12"/>
  <c r="E2887" i="12"/>
  <c r="E2951" i="12"/>
  <c r="E3015" i="12"/>
  <c r="E3079" i="12"/>
  <c r="E2575" i="12"/>
  <c r="BP6" i="9"/>
  <c r="B4" i="10"/>
  <c r="BP39" i="9"/>
  <c r="B37" i="10"/>
  <c r="BP38" i="9"/>
  <c r="B36" i="10"/>
  <c r="BP37" i="9"/>
  <c r="B35" i="10"/>
  <c r="BP36" i="9"/>
  <c r="B34" i="10"/>
  <c r="BP35" i="9"/>
  <c r="B33" i="10"/>
  <c r="BP34" i="9"/>
  <c r="B32" i="10"/>
  <c r="BP33" i="9"/>
  <c r="B31" i="10"/>
  <c r="BP32" i="9"/>
  <c r="B30" i="10"/>
  <c r="BP31" i="9"/>
  <c r="B29" i="10"/>
  <c r="BP30" i="9"/>
  <c r="B28" i="10"/>
  <c r="BP29" i="9"/>
  <c r="B27" i="10"/>
  <c r="BP28" i="9"/>
  <c r="B26" i="10"/>
  <c r="BP27" i="9"/>
  <c r="B25" i="10"/>
  <c r="BP26" i="9"/>
  <c r="B24" i="10"/>
  <c r="BP25" i="9"/>
  <c r="B23" i="10"/>
  <c r="BP24" i="9"/>
  <c r="B22" i="10"/>
  <c r="BP23" i="9"/>
  <c r="B21" i="10"/>
  <c r="BP22" i="9"/>
  <c r="B20" i="10"/>
  <c r="BP21" i="9"/>
  <c r="B19" i="10"/>
  <c r="BP20" i="9"/>
  <c r="B18" i="10"/>
  <c r="BP19" i="9"/>
  <c r="B17" i="10"/>
  <c r="BP18" i="9"/>
  <c r="B16" i="10"/>
  <c r="BP17" i="9"/>
  <c r="B15" i="10"/>
  <c r="BP16" i="9"/>
  <c r="B14" i="10"/>
  <c r="BP15" i="9"/>
  <c r="B13" i="10"/>
  <c r="BP14" i="9"/>
  <c r="B12" i="10"/>
  <c r="BP13" i="9"/>
  <c r="B11" i="10"/>
  <c r="BP12" i="9"/>
  <c r="B10" i="10"/>
  <c r="BP11" i="9"/>
  <c r="B9" i="10"/>
  <c r="BP10" i="9"/>
  <c r="B8" i="10"/>
  <c r="BP9" i="9"/>
  <c r="B7" i="10"/>
  <c r="BP8" i="9"/>
  <c r="B6" i="10"/>
  <c r="BP7" i="9"/>
  <c r="B5" i="10"/>
  <c r="B46" i="10"/>
  <c r="BP48" i="9"/>
  <c r="B45" i="10"/>
  <c r="BP47" i="9"/>
  <c r="B44" i="10"/>
  <c r="BP46" i="9"/>
  <c r="B43" i="10"/>
  <c r="BP45" i="9"/>
  <c r="B42" i="10"/>
  <c r="BP44" i="9"/>
  <c r="B41" i="10"/>
  <c r="BP43" i="9"/>
  <c r="B40" i="10"/>
  <c r="BP42" i="9"/>
  <c r="B39" i="10"/>
  <c r="BP41" i="9"/>
  <c r="B38" i="10"/>
  <c r="BP40" i="9"/>
  <c r="D942" i="12"/>
  <c r="D943" i="12" s="1"/>
  <c r="D944" i="12" s="1"/>
  <c r="D945" i="12" s="1"/>
  <c r="D946" i="12" s="1"/>
  <c r="D947" i="12" s="1"/>
  <c r="D948" i="12" s="1"/>
  <c r="D949" i="12" s="1"/>
  <c r="D950" i="12" s="1"/>
  <c r="D951" i="12" s="1"/>
  <c r="D952" i="12" s="1"/>
  <c r="D953" i="12" s="1"/>
  <c r="D954" i="12" s="1"/>
  <c r="D955" i="12" s="1"/>
  <c r="D956" i="12" s="1"/>
  <c r="D957" i="12" s="1"/>
  <c r="D958" i="12" s="1"/>
  <c r="D959" i="12" s="1"/>
  <c r="D960" i="12" s="1"/>
  <c r="D961" i="12" s="1"/>
  <c r="D962" i="12" s="1"/>
  <c r="D963" i="12" s="1"/>
  <c r="D964" i="12" s="1"/>
  <c r="D965" i="12" s="1"/>
  <c r="D966" i="12" s="1"/>
  <c r="D967" i="12" s="1"/>
  <c r="D968" i="12" s="1"/>
  <c r="D969" i="12" s="1"/>
  <c r="D970" i="12" s="1"/>
  <c r="D971" i="12" s="1"/>
  <c r="D972" i="12" s="1"/>
  <c r="D973" i="12" s="1"/>
  <c r="D974" i="12" s="1"/>
  <c r="D975" i="12" s="1"/>
  <c r="D976" i="12" s="1"/>
  <c r="D977" i="12" s="1"/>
  <c r="D978" i="12" s="1"/>
  <c r="D979" i="12" s="1"/>
  <c r="D980" i="12" s="1"/>
  <c r="D981" i="12" s="1"/>
  <c r="D982" i="12" s="1"/>
  <c r="D983" i="12" s="1"/>
  <c r="D984" i="12" s="1"/>
  <c r="D985" i="12" s="1"/>
  <c r="D986" i="12" s="1"/>
  <c r="D987" i="12" s="1"/>
  <c r="D988" i="12" s="1"/>
  <c r="D989" i="12" s="1"/>
  <c r="D990" i="12" s="1"/>
  <c r="D991" i="12" s="1"/>
  <c r="D992" i="12" s="1"/>
  <c r="D993" i="12" s="1"/>
  <c r="D994" i="12" s="1"/>
  <c r="D995" i="12" s="1"/>
  <c r="D996" i="12" s="1"/>
  <c r="D997" i="12" s="1"/>
  <c r="D998" i="12" s="1"/>
  <c r="D999" i="12" s="1"/>
  <c r="D1000" i="12" s="1"/>
  <c r="D1001" i="12" s="1"/>
  <c r="D1002" i="12" s="1"/>
  <c r="D1003" i="12" s="1"/>
  <c r="D1004" i="12" s="1"/>
  <c r="D1005" i="12" s="1"/>
  <c r="D1006" i="12" s="1"/>
  <c r="D1007" i="12" s="1"/>
  <c r="D1008" i="12" s="1"/>
  <c r="D1009" i="12" s="1"/>
  <c r="D1010" i="12" s="1"/>
  <c r="D1011" i="12" s="1"/>
  <c r="D1012" i="12" s="1"/>
  <c r="D1013" i="12" s="1"/>
  <c r="D1014" i="12" s="1"/>
  <c r="D1015" i="12" s="1"/>
  <c r="D1016" i="12" s="1"/>
  <c r="D1017" i="12" s="1"/>
  <c r="D1018" i="12" s="1"/>
  <c r="D1019" i="12" s="1"/>
  <c r="D1020" i="12" s="1"/>
  <c r="D1021" i="12" s="1"/>
  <c r="D1022" i="12" s="1"/>
  <c r="D1023" i="12" s="1"/>
  <c r="D1024" i="12" s="1"/>
  <c r="D1025" i="12" s="1"/>
  <c r="D1026" i="12" s="1"/>
  <c r="D1027" i="12" s="1"/>
  <c r="D1028" i="12" s="1"/>
  <c r="D1029" i="12" s="1"/>
  <c r="D1030" i="12" s="1"/>
  <c r="D1031" i="12" s="1"/>
  <c r="D1032" i="12" s="1"/>
  <c r="D1033" i="12" s="1"/>
  <c r="D1034" i="12" s="1"/>
  <c r="D1035" i="12" s="1"/>
  <c r="D1036" i="12" s="1"/>
  <c r="D1037" i="12" s="1"/>
  <c r="D1038" i="12" s="1"/>
  <c r="D1039" i="12" s="1"/>
  <c r="D1040" i="12" s="1"/>
  <c r="D1041" i="12" s="1"/>
  <c r="D1042" i="12" s="1"/>
  <c r="D1043" i="12" s="1"/>
  <c r="D1044" i="12" s="1"/>
  <c r="D1045" i="12" s="1"/>
  <c r="D1046" i="12" s="1"/>
  <c r="D1047" i="12" s="1"/>
  <c r="D1048" i="12" s="1"/>
  <c r="D1049" i="12" s="1"/>
  <c r="D1050" i="12" s="1"/>
  <c r="D1051" i="12" s="1"/>
  <c r="D1052" i="12" s="1"/>
  <c r="D1053" i="12" s="1"/>
  <c r="D1054" i="12" s="1"/>
  <c r="D1055" i="12" s="1"/>
  <c r="D1056" i="12" s="1"/>
  <c r="D1057" i="12" s="1"/>
  <c r="D1058" i="12" s="1"/>
  <c r="D1059" i="12" s="1"/>
  <c r="D1060" i="12" s="1"/>
  <c r="D1061" i="12" s="1"/>
  <c r="D1062" i="12" s="1"/>
  <c r="D1063" i="12" s="1"/>
  <c r="D1064" i="12" s="1"/>
  <c r="D1065" i="12" s="1"/>
  <c r="D1066" i="12" s="1"/>
  <c r="D1067" i="12" s="1"/>
  <c r="D1068" i="12" s="1"/>
  <c r="D1069" i="12" s="1"/>
  <c r="D1070" i="12" s="1"/>
  <c r="D1071" i="12" s="1"/>
  <c r="D1072" i="12" s="1"/>
  <c r="D1073" i="12" s="1"/>
  <c r="D1074" i="12" s="1"/>
  <c r="D1075" i="12" s="1"/>
  <c r="D1076" i="12" s="1"/>
  <c r="D1077" i="12" s="1"/>
  <c r="D1078" i="12" s="1"/>
  <c r="D1079" i="12" s="1"/>
  <c r="D1080" i="12" s="1"/>
  <c r="D1081" i="12" s="1"/>
  <c r="D1082" i="12" s="1"/>
  <c r="D1255" i="12"/>
  <c r="D1256" i="12" s="1"/>
  <c r="D1257" i="12" s="1"/>
  <c r="D1258" i="12" s="1"/>
  <c r="D1259" i="12" s="1"/>
  <c r="D1260" i="12" s="1"/>
  <c r="D1261" i="12" s="1"/>
  <c r="D1262" i="12" s="1"/>
  <c r="D1263" i="12" s="1"/>
  <c r="D1264" i="12" s="1"/>
  <c r="D1265" i="12" s="1"/>
  <c r="D1266" i="12" s="1"/>
  <c r="D1267" i="12" s="1"/>
  <c r="D1268" i="12" s="1"/>
  <c r="D1269" i="12" s="1"/>
  <c r="D1270" i="12" s="1"/>
  <c r="D1271" i="12" s="1"/>
  <c r="D1272" i="12" s="1"/>
  <c r="D1273" i="12" s="1"/>
  <c r="D1274" i="12" s="1"/>
  <c r="D1275" i="12" s="1"/>
  <c r="D1276" i="12" s="1"/>
  <c r="D1277" i="12" s="1"/>
  <c r="D1278" i="12" s="1"/>
  <c r="D1279" i="12" s="1"/>
  <c r="D1280" i="12" s="1"/>
  <c r="D1281" i="12" s="1"/>
  <c r="D1282" i="12" s="1"/>
  <c r="D1283" i="12" s="1"/>
  <c r="D1284" i="12" s="1"/>
  <c r="D1285" i="12" s="1"/>
  <c r="D1286" i="12" s="1"/>
  <c r="D1287" i="12" s="1"/>
  <c r="D1288" i="12" s="1"/>
  <c r="D1289" i="12" s="1"/>
  <c r="D1290" i="12" s="1"/>
  <c r="D1291" i="12" s="1"/>
  <c r="D1292" i="12" s="1"/>
  <c r="D1293" i="12" s="1"/>
  <c r="D1294" i="12" s="1"/>
  <c r="D1295" i="12" s="1"/>
  <c r="D1296" i="12" s="1"/>
  <c r="D1297" i="12" s="1"/>
  <c r="D1298" i="12" s="1"/>
  <c r="D1299" i="12" s="1"/>
  <c r="D1300" i="12" s="1"/>
  <c r="D1301" i="12" s="1"/>
  <c r="D1302" i="12" s="1"/>
  <c r="D1303" i="12" s="1"/>
  <c r="D1304" i="12" s="1"/>
  <c r="D1305" i="12" s="1"/>
  <c r="D1306" i="12" s="1"/>
  <c r="D1307" i="12" s="1"/>
  <c r="D1308" i="12" s="1"/>
  <c r="D1309" i="12" s="1"/>
  <c r="D1310" i="12" s="1"/>
  <c r="D1311" i="12" s="1"/>
  <c r="D1312" i="12" s="1"/>
  <c r="D1313" i="12" s="1"/>
  <c r="D1314" i="12" s="1"/>
  <c r="D1315" i="12" s="1"/>
  <c r="D1316" i="12" s="1"/>
  <c r="D1317" i="12" s="1"/>
  <c r="D1318" i="12" s="1"/>
  <c r="D1319" i="12" s="1"/>
  <c r="D1320" i="12" s="1"/>
  <c r="D1321" i="12" s="1"/>
  <c r="D1322" i="12" s="1"/>
  <c r="D1323" i="12" s="1"/>
  <c r="D1324" i="12" s="1"/>
  <c r="D1325" i="12" s="1"/>
  <c r="D1326" i="12" s="1"/>
  <c r="D1327" i="12" s="1"/>
  <c r="D1328" i="12" s="1"/>
  <c r="D1329" i="12" s="1"/>
  <c r="D1330" i="12" s="1"/>
  <c r="D1331" i="12" s="1"/>
  <c r="D1332" i="12" s="1"/>
  <c r="D1333" i="12" s="1"/>
  <c r="D1334" i="12" s="1"/>
  <c r="D1335" i="12" s="1"/>
  <c r="D1336" i="12" s="1"/>
  <c r="D1337" i="12" s="1"/>
  <c r="D1338" i="12" s="1"/>
  <c r="D1339" i="12" s="1"/>
  <c r="D1340" i="12" s="1"/>
  <c r="D1341" i="12" s="1"/>
  <c r="D1342" i="12" s="1"/>
  <c r="D1343" i="12" s="1"/>
  <c r="D1344" i="12" s="1"/>
  <c r="D1345" i="12" s="1"/>
  <c r="D1346" i="12" s="1"/>
  <c r="D1347" i="12" s="1"/>
  <c r="D1083" i="12"/>
  <c r="D1084" i="12" s="1"/>
  <c r="D1085" i="12" s="1"/>
  <c r="D1086" i="12" s="1"/>
  <c r="D1087" i="12" s="1"/>
  <c r="D1088" i="12" s="1"/>
  <c r="D1089" i="12" s="1"/>
  <c r="D1090" i="12" s="1"/>
  <c r="D1091" i="12" s="1"/>
  <c r="D1092" i="12" s="1"/>
  <c r="D1093" i="12" s="1"/>
  <c r="D1094" i="12" s="1"/>
  <c r="D1095" i="12" s="1"/>
  <c r="D1096" i="12" s="1"/>
  <c r="D1097" i="12" s="1"/>
  <c r="D1098" i="12" s="1"/>
  <c r="D1099" i="12" s="1"/>
  <c r="D1100" i="12" s="1"/>
  <c r="D1101" i="12" s="1"/>
  <c r="D1102" i="12" s="1"/>
  <c r="D1103" i="12" s="1"/>
  <c r="D1104" i="12" s="1"/>
  <c r="D1105" i="12" s="1"/>
  <c r="D1106" i="12" s="1"/>
  <c r="D1107" i="12" s="1"/>
  <c r="D1108" i="12" s="1"/>
  <c r="D1109" i="12" s="1"/>
  <c r="D1110" i="12" s="1"/>
  <c r="D1111" i="12" s="1"/>
  <c r="D1112" i="12" s="1"/>
  <c r="D1113" i="12" s="1"/>
  <c r="D1114" i="12" s="1"/>
  <c r="D1115" i="12" s="1"/>
  <c r="D1116" i="12" s="1"/>
  <c r="D1117" i="12" s="1"/>
  <c r="D1118" i="12" s="1"/>
  <c r="D1119" i="12" s="1"/>
  <c r="D1120" i="12" s="1"/>
  <c r="D1121" i="12" s="1"/>
  <c r="D1122" i="12" s="1"/>
  <c r="D1123" i="12" s="1"/>
  <c r="D1124" i="12" s="1"/>
  <c r="D1125" i="12" s="1"/>
  <c r="D1126" i="12" s="1"/>
  <c r="D1127" i="12" s="1"/>
  <c r="D1128" i="12" s="1"/>
  <c r="D11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142" i="12" s="1"/>
  <c r="D1143" i="12" s="1"/>
  <c r="D1144" i="12" s="1"/>
  <c r="D1145" i="12" s="1"/>
  <c r="D1146" i="12" s="1"/>
  <c r="D1147" i="12" s="1"/>
  <c r="D1148" i="12" s="1"/>
  <c r="D1149" i="12" s="1"/>
  <c r="D1150" i="12" s="1"/>
  <c r="D1151" i="12" s="1"/>
  <c r="D1152" i="12" s="1"/>
  <c r="D1153" i="12" s="1"/>
  <c r="D1154" i="12" s="1"/>
  <c r="D1155" i="12" s="1"/>
  <c r="D1156" i="12" s="1"/>
  <c r="D1157" i="12" s="1"/>
  <c r="D1158" i="12" s="1"/>
  <c r="D1159" i="12" s="1"/>
  <c r="D1160" i="12" s="1"/>
  <c r="D1161" i="12" s="1"/>
  <c r="D1162" i="12" s="1"/>
  <c r="D1163" i="12" s="1"/>
  <c r="D1164" i="12" s="1"/>
  <c r="D1165" i="12" s="1"/>
  <c r="D1166" i="12" s="1"/>
  <c r="D1167" i="12" s="1"/>
  <c r="D1168" i="12" s="1"/>
  <c r="D1169" i="12" s="1"/>
  <c r="D1170" i="12" s="1"/>
  <c r="D1171" i="12" s="1"/>
  <c r="D1172" i="12" s="1"/>
  <c r="D1173" i="12" s="1"/>
  <c r="D1174" i="12" s="1"/>
  <c r="D1175" i="12" s="1"/>
  <c r="D1176" i="12" s="1"/>
  <c r="D1177" i="12" s="1"/>
  <c r="D1178" i="12" s="1"/>
  <c r="D1179" i="12" s="1"/>
  <c r="D1180" i="12" s="1"/>
  <c r="D1181" i="12" s="1"/>
  <c r="D1182" i="12" s="1"/>
  <c r="D1183" i="12" s="1"/>
  <c r="D1184" i="12" s="1"/>
  <c r="D1185" i="12" s="1"/>
  <c r="D1186" i="12" s="1"/>
  <c r="D1187" i="12" s="1"/>
  <c r="D1188" i="12" s="1"/>
  <c r="D1189" i="12" s="1"/>
  <c r="D1190" i="12" s="1"/>
  <c r="D1191" i="12" s="1"/>
  <c r="D1192" i="12" s="1"/>
  <c r="D1193" i="12" s="1"/>
  <c r="D1194" i="12" s="1"/>
  <c r="D1195" i="12" s="1"/>
  <c r="D1196" i="12" s="1"/>
  <c r="D1197" i="12" s="1"/>
  <c r="D1198" i="12" s="1"/>
  <c r="D1199" i="12" s="1"/>
  <c r="D1200" i="12" s="1"/>
  <c r="D1201" i="12" s="1"/>
  <c r="D1202" i="12" s="1"/>
  <c r="D1203" i="12" s="1"/>
  <c r="D1204" i="12" s="1"/>
  <c r="D1205" i="12" s="1"/>
  <c r="D1206" i="12" s="1"/>
  <c r="D1207" i="12" s="1"/>
  <c r="D1208" i="12" s="1"/>
  <c r="D1209" i="12" s="1"/>
  <c r="D1210" i="12" s="1"/>
  <c r="D1211" i="12" s="1"/>
  <c r="D1212" i="12" s="1"/>
  <c r="D1213" i="12" s="1"/>
  <c r="D1214" i="12" s="1"/>
  <c r="D1215" i="12" s="1"/>
  <c r="D1216" i="12" s="1"/>
  <c r="D1217" i="12" s="1"/>
  <c r="D1218" i="12" s="1"/>
  <c r="D1219" i="12" s="1"/>
  <c r="D1220" i="12" s="1"/>
  <c r="D1221" i="12" s="1"/>
  <c r="D1222" i="12" s="1"/>
  <c r="D1223" i="12" s="1"/>
  <c r="D1224" i="12" s="1"/>
  <c r="D1225" i="12" s="1"/>
  <c r="D1226" i="12" s="1"/>
  <c r="D1227" i="12" s="1"/>
  <c r="D1228" i="12" s="1"/>
  <c r="D1229" i="12" s="1"/>
  <c r="D1230" i="12" s="1"/>
  <c r="D1231" i="12" s="1"/>
  <c r="D1232" i="12" s="1"/>
  <c r="D1233" i="12" s="1"/>
  <c r="D1234" i="12" s="1"/>
  <c r="D1235" i="12" s="1"/>
  <c r="D1236" i="12" s="1"/>
  <c r="D1237" i="12" s="1"/>
  <c r="D1238" i="12" s="1"/>
  <c r="D1239" i="12" s="1"/>
  <c r="D1240" i="12" s="1"/>
  <c r="D1241" i="12" s="1"/>
  <c r="D1242" i="12" s="1"/>
  <c r="D1243" i="12" s="1"/>
  <c r="D1244" i="12" s="1"/>
  <c r="D1245" i="12" s="1"/>
  <c r="D1246" i="12" s="1"/>
  <c r="D1247" i="12" s="1"/>
  <c r="D1248" i="12" s="1"/>
  <c r="D1249" i="12" s="1"/>
  <c r="D1250" i="12" s="1"/>
  <c r="D1251" i="12" s="1"/>
  <c r="D1252" i="12" s="1"/>
  <c r="D1253" i="12" s="1"/>
  <c r="D1254" i="12" s="1"/>
  <c r="D1348" i="12"/>
  <c r="D1349" i="12" s="1"/>
  <c r="D1350" i="12" s="1"/>
  <c r="D1351" i="12" s="1"/>
  <c r="D1352" i="12" s="1"/>
  <c r="D1353" i="12" s="1"/>
  <c r="D1354" i="12" s="1"/>
  <c r="D1355" i="12" s="1"/>
  <c r="D1356" i="12" s="1"/>
  <c r="D1357" i="12" s="1"/>
  <c r="D1358" i="12" s="1"/>
  <c r="D1359" i="12" s="1"/>
  <c r="D1360" i="12" s="1"/>
  <c r="D1361" i="12" s="1"/>
  <c r="D1362" i="12" s="1"/>
  <c r="D1363" i="12" s="1"/>
  <c r="D1364" i="12" s="1"/>
  <c r="D1365" i="12" s="1"/>
  <c r="D1366" i="12" s="1"/>
  <c r="D1367" i="12" s="1"/>
  <c r="D1368" i="12" s="1"/>
  <c r="D1369" i="12" s="1"/>
  <c r="D1370" i="12" s="1"/>
  <c r="D1371" i="12" s="1"/>
  <c r="D1372" i="12" s="1"/>
  <c r="D1373" i="12" s="1"/>
  <c r="D1374" i="12" s="1"/>
  <c r="D1375" i="12" s="1"/>
  <c r="D1376" i="12" s="1"/>
  <c r="D1377" i="12" s="1"/>
  <c r="D1378" i="12" s="1"/>
  <c r="D1379" i="12" s="1"/>
  <c r="D1380" i="12" s="1"/>
  <c r="D1381" i="12" s="1"/>
  <c r="D1382" i="12" s="1"/>
  <c r="D1383" i="12" s="1"/>
  <c r="D1384" i="12" s="1"/>
  <c r="D1385" i="12" s="1"/>
  <c r="D1386" i="12" s="1"/>
  <c r="D1387" i="12" s="1"/>
  <c r="D1388" i="12" s="1"/>
  <c r="D1389" i="12" s="1"/>
  <c r="D1390" i="12" s="1"/>
  <c r="D1391" i="12" s="1"/>
  <c r="D1392" i="12" s="1"/>
  <c r="D1393" i="12" s="1"/>
  <c r="D1394" i="12" s="1"/>
  <c r="D1395" i="12" s="1"/>
  <c r="D1396" i="12" s="1"/>
  <c r="D1397" i="12" s="1"/>
  <c r="D1398" i="12" s="1"/>
  <c r="D1399" i="12" s="1"/>
  <c r="D1400" i="12" s="1"/>
  <c r="D1401" i="12" s="1"/>
  <c r="D1402" i="12" s="1"/>
  <c r="D1403" i="12" s="1"/>
  <c r="D1404" i="12" s="1"/>
  <c r="D1405" i="12" s="1"/>
  <c r="D1406" i="12" s="1"/>
  <c r="D1407" i="12" s="1"/>
  <c r="D1408" i="12" s="1"/>
  <c r="D1409" i="12" s="1"/>
  <c r="D1410" i="12" s="1"/>
  <c r="D1411" i="12" s="1"/>
  <c r="D1412" i="12" s="1"/>
  <c r="D1413" i="12" s="1"/>
  <c r="D1414" i="12" s="1"/>
  <c r="D1415" i="12" s="1"/>
  <c r="D1416" i="12" s="1"/>
  <c r="D1417" i="12" s="1"/>
  <c r="D1418" i="12" s="1"/>
  <c r="D1419" i="12" s="1"/>
  <c r="D1420" i="12" s="1"/>
  <c r="D1421" i="12" s="1"/>
  <c r="D1422" i="12" s="1"/>
  <c r="D1423" i="12" s="1"/>
  <c r="D1424" i="12" s="1"/>
  <c r="D1425" i="12" s="1"/>
  <c r="D1426" i="12" s="1"/>
  <c r="D1427" i="12" s="1"/>
  <c r="D1428" i="12" s="1"/>
  <c r="D1429" i="12" s="1"/>
  <c r="D1430" i="12" s="1"/>
  <c r="D1431" i="12" s="1"/>
  <c r="D1432" i="12" s="1"/>
  <c r="D1433" i="12" s="1"/>
  <c r="D1434" i="12" s="1"/>
  <c r="D1435" i="12" s="1"/>
  <c r="D1436" i="12" s="1"/>
  <c r="D1437" i="12" s="1"/>
  <c r="D1438" i="12" s="1"/>
  <c r="D1439" i="12" s="1"/>
  <c r="D1440" i="12" s="1"/>
  <c r="D1441" i="12" s="1"/>
  <c r="D1442" i="12" s="1"/>
  <c r="D1443" i="12" s="1"/>
  <c r="D1444" i="12" s="1"/>
  <c r="D1445" i="12" s="1"/>
  <c r="D1446" i="12" s="1"/>
  <c r="D1447" i="12" s="1"/>
  <c r="D1448" i="12" s="1"/>
  <c r="D1449" i="12" s="1"/>
  <c r="D1450" i="12" s="1"/>
  <c r="D1451" i="12" s="1"/>
  <c r="D1452" i="12" s="1"/>
  <c r="D1453" i="12" s="1"/>
  <c r="D1454" i="12" s="1"/>
  <c r="D1455" i="12" s="1"/>
  <c r="D1456" i="12" s="1"/>
  <c r="D1457" i="12" s="1"/>
  <c r="D1458" i="12" s="1"/>
  <c r="D1459" i="12" s="1"/>
  <c r="D1460" i="12" s="1"/>
  <c r="D385" i="12"/>
  <c r="D386" i="12" s="1"/>
  <c r="D387" i="12" s="1"/>
  <c r="D388" i="12" s="1"/>
  <c r="D389" i="12" s="1"/>
  <c r="D390" i="12" s="1"/>
  <c r="D391" i="12" s="1"/>
  <c r="D392" i="12" s="1"/>
  <c r="D393" i="12" s="1"/>
  <c r="D394" i="12" s="1"/>
  <c r="D395" i="12" s="1"/>
  <c r="D396" i="12" s="1"/>
  <c r="D397" i="12" s="1"/>
  <c r="D398" i="12" s="1"/>
  <c r="D399" i="12" s="1"/>
  <c r="D400" i="12" s="1"/>
  <c r="D401" i="12" s="1"/>
  <c r="D402" i="12" s="1"/>
  <c r="D403" i="12" s="1"/>
  <c r="D404" i="12" s="1"/>
  <c r="D405" i="12" s="1"/>
  <c r="D406" i="12" s="1"/>
  <c r="D407" i="12" s="1"/>
  <c r="D408" i="12" s="1"/>
  <c r="D409" i="12" s="1"/>
  <c r="D410" i="12" s="1"/>
  <c r="D411" i="12" s="1"/>
  <c r="D412" i="12" s="1"/>
  <c r="D413" i="12" s="1"/>
  <c r="D414" i="12" s="1"/>
  <c r="D415" i="12" s="1"/>
  <c r="D416" i="12" s="1"/>
  <c r="D417" i="12" s="1"/>
  <c r="D418" i="12" s="1"/>
  <c r="D419" i="12" s="1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 s="1"/>
  <c r="D431" i="12" s="1"/>
  <c r="D432" i="12" s="1"/>
  <c r="D433" i="12" s="1"/>
  <c r="D434" i="12" s="1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 s="1"/>
  <c r="D446" i="12" s="1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 s="1"/>
  <c r="D457" i="12" s="1"/>
  <c r="D458" i="12" s="1"/>
  <c r="D459" i="12" s="1"/>
  <c r="D460" i="12" s="1"/>
  <c r="D461" i="12" s="1"/>
  <c r="D462" i="12" s="1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 s="1"/>
  <c r="D495" i="12" s="1"/>
  <c r="D496" i="12" s="1"/>
  <c r="D497" i="12" s="1"/>
  <c r="D498" i="12" s="1"/>
  <c r="D499" i="12" s="1"/>
  <c r="D500" i="12" s="1"/>
  <c r="D501" i="12" s="1"/>
  <c r="D502" i="12" s="1"/>
  <c r="D503" i="12" s="1"/>
  <c r="D504" i="12" s="1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 s="1"/>
  <c r="D516" i="12" s="1"/>
  <c r="D517" i="12" s="1"/>
  <c r="D518" i="12" s="1"/>
  <c r="D519" i="12" s="1"/>
  <c r="D520" i="12" s="1"/>
  <c r="D521" i="12" s="1"/>
  <c r="D522" i="12" s="1"/>
  <c r="D523" i="12" s="1"/>
  <c r="D524" i="12" s="1"/>
  <c r="D525" i="12" s="1"/>
  <c r="D526" i="12" s="1"/>
  <c r="D527" i="12" s="1"/>
  <c r="D528" i="12" s="1"/>
  <c r="D529" i="12" s="1"/>
  <c r="D530" i="12" s="1"/>
  <c r="D531" i="12" s="1"/>
  <c r="D532" i="12" s="1"/>
  <c r="D533" i="12" s="1"/>
  <c r="D534" i="12" s="1"/>
  <c r="D535" i="12" s="1"/>
  <c r="D536" i="12" s="1"/>
  <c r="D537" i="12" s="1"/>
  <c r="D538" i="12" s="1"/>
  <c r="D539" i="12" s="1"/>
  <c r="D540" i="12" s="1"/>
  <c r="D541" i="12" s="1"/>
  <c r="D542" i="12" s="1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 s="1"/>
  <c r="D580" i="12" s="1"/>
  <c r="D581" i="12" s="1"/>
  <c r="D582" i="12" s="1"/>
  <c r="D583" i="12" s="1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 s="1"/>
  <c r="D595" i="12" s="1"/>
  <c r="D596" i="12" s="1"/>
  <c r="D597" i="12" s="1"/>
  <c r="D598" i="12" s="1"/>
  <c r="D599" i="12" s="1"/>
  <c r="D600" i="12" s="1"/>
  <c r="D601" i="12" s="1"/>
  <c r="D602" i="12" s="1"/>
  <c r="D603" i="12" s="1"/>
  <c r="D604" i="12" s="1"/>
  <c r="D605" i="12" s="1"/>
  <c r="D606" i="12" s="1"/>
  <c r="D607" i="12" s="1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 s="1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 s="1"/>
  <c r="D655" i="12" s="1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D688" i="12" s="1"/>
  <c r="D689" i="12" s="1"/>
  <c r="D690" i="12" s="1"/>
  <c r="D691" i="12" s="1"/>
  <c r="D692" i="12" s="1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 s="1"/>
  <c r="D703" i="12" s="1"/>
  <c r="D704" i="12" s="1"/>
  <c r="D705" i="12" s="1"/>
  <c r="D706" i="12" s="1"/>
  <c r="D707" i="12" s="1"/>
  <c r="D708" i="12" s="1"/>
  <c r="D709" i="12" s="1"/>
  <c r="D710" i="12" s="1"/>
  <c r="D711" i="12" s="1"/>
  <c r="D712" i="12" s="1"/>
  <c r="D713" i="12" s="1"/>
  <c r="D714" i="12" s="1"/>
  <c r="D715" i="12" s="1"/>
  <c r="D716" i="12" s="1"/>
  <c r="D717" i="12" s="1"/>
  <c r="D718" i="12" s="1"/>
  <c r="D719" i="12" s="1"/>
  <c r="D720" i="12" s="1"/>
  <c r="D721" i="12" s="1"/>
  <c r="D722" i="12" s="1"/>
  <c r="D723" i="12" s="1"/>
  <c r="D724" i="12" s="1"/>
  <c r="D725" i="12" s="1"/>
  <c r="D726" i="12" s="1"/>
  <c r="D727" i="12" s="1"/>
  <c r="D728" i="12" s="1"/>
  <c r="D729" i="12" s="1"/>
  <c r="D730" i="12" s="1"/>
  <c r="D731" i="12" s="1"/>
  <c r="D732" i="12" s="1"/>
  <c r="D733" i="12" s="1"/>
  <c r="D734" i="12" s="1"/>
  <c r="D735" i="12" s="1"/>
  <c r="D736" i="12" s="1"/>
  <c r="D737" i="12" s="1"/>
  <c r="D738" i="12" s="1"/>
  <c r="D739" i="12" s="1"/>
  <c r="D740" i="12" s="1"/>
  <c r="D741" i="12" s="1"/>
  <c r="D742" i="12" s="1"/>
  <c r="D743" i="12" s="1"/>
  <c r="D744" i="12" s="1"/>
  <c r="D745" i="12" s="1"/>
  <c r="D746" i="12" s="1"/>
  <c r="D747" i="12" s="1"/>
  <c r="D748" i="12" s="1"/>
  <c r="D749" i="12" s="1"/>
  <c r="D750" i="12" s="1"/>
  <c r="D751" i="12" s="1"/>
  <c r="D752" i="12" s="1"/>
  <c r="D753" i="12" s="1"/>
  <c r="D754" i="12" s="1"/>
  <c r="D755" i="12" s="1"/>
  <c r="D756" i="12" s="1"/>
  <c r="D757" i="12" s="1"/>
  <c r="D758" i="12" s="1"/>
  <c r="D759" i="12" s="1"/>
  <c r="D760" i="12" s="1"/>
  <c r="D761" i="12" s="1"/>
  <c r="D762" i="12" s="1"/>
  <c r="D763" i="12" s="1"/>
  <c r="D764" i="12" s="1"/>
  <c r="D765" i="12" s="1"/>
  <c r="D766" i="12" s="1"/>
  <c r="D767" i="12" s="1"/>
  <c r="D768" i="12" s="1"/>
  <c r="D769" i="12" s="1"/>
  <c r="D770" i="12" s="1"/>
  <c r="D771" i="12" s="1"/>
  <c r="D772" i="12" s="1"/>
  <c r="D773" i="12" s="1"/>
  <c r="D774" i="12" s="1"/>
  <c r="D775" i="12" s="1"/>
  <c r="D776" i="12" s="1"/>
  <c r="D777" i="12" s="1"/>
  <c r="D778" i="12" s="1"/>
  <c r="D779" i="12" s="1"/>
  <c r="D780" i="12" s="1"/>
  <c r="D781" i="12" s="1"/>
  <c r="D782" i="12" s="1"/>
  <c r="D783" i="12" s="1"/>
  <c r="D784" i="12" s="1"/>
  <c r="D785" i="12" s="1"/>
  <c r="D786" i="12" s="1"/>
  <c r="D787" i="12" s="1"/>
  <c r="D788" i="12" s="1"/>
  <c r="D789" i="12" s="1"/>
  <c r="D790" i="12" s="1"/>
  <c r="D791" i="12" s="1"/>
  <c r="D792" i="12" s="1"/>
  <c r="D793" i="12" s="1"/>
  <c r="D794" i="12" s="1"/>
  <c r="D795" i="12" s="1"/>
  <c r="D796" i="12" s="1"/>
  <c r="D797" i="12" s="1"/>
  <c r="D798" i="12" s="1"/>
  <c r="D799" i="12" s="1"/>
  <c r="D800" i="12" s="1"/>
  <c r="D801" i="12" s="1"/>
  <c r="D802" i="12" s="1"/>
  <c r="D803" i="12" s="1"/>
  <c r="D804" i="12" s="1"/>
  <c r="D805" i="12" s="1"/>
  <c r="D806" i="12" s="1"/>
  <c r="D807" i="12" s="1"/>
  <c r="D808" i="12" s="1"/>
  <c r="D809" i="12" s="1"/>
  <c r="D810" i="12" s="1"/>
  <c r="D811" i="12" s="1"/>
  <c r="D812" i="12" s="1"/>
  <c r="D813" i="12" s="1"/>
  <c r="D814" i="12" s="1"/>
  <c r="D815" i="12" s="1"/>
  <c r="D816" i="12" s="1"/>
  <c r="D817" i="12" s="1"/>
  <c r="D818" i="12" s="1"/>
  <c r="D819" i="12" s="1"/>
  <c r="D820" i="12" s="1"/>
  <c r="D821" i="12" s="1"/>
  <c r="D822" i="12" s="1"/>
  <c r="D823" i="12" s="1"/>
  <c r="D824" i="12" s="1"/>
  <c r="D825" i="12" s="1"/>
  <c r="D826" i="12" s="1"/>
  <c r="D827" i="12" s="1"/>
  <c r="D828" i="12" s="1"/>
  <c r="D829" i="12" s="1"/>
  <c r="D830" i="12" s="1"/>
  <c r="D831" i="12" s="1"/>
  <c r="D832" i="12" s="1"/>
  <c r="D833" i="12" s="1"/>
  <c r="D834" i="12" s="1"/>
  <c r="D835" i="12" s="1"/>
  <c r="D836" i="12" s="1"/>
  <c r="D837" i="12" s="1"/>
  <c r="D838" i="12" s="1"/>
  <c r="D839" i="12" s="1"/>
  <c r="D840" i="12" s="1"/>
  <c r="D841" i="12" s="1"/>
  <c r="D842" i="12" s="1"/>
  <c r="D843" i="12" s="1"/>
  <c r="D844" i="12" s="1"/>
  <c r="D845" i="12" s="1"/>
  <c r="D846" i="12" s="1"/>
  <c r="D847" i="12" s="1"/>
  <c r="D848" i="12" s="1"/>
  <c r="D849" i="12" s="1"/>
  <c r="D850" i="12" s="1"/>
  <c r="D851" i="12" s="1"/>
  <c r="D852" i="12" s="1"/>
  <c r="D853" i="12" s="1"/>
  <c r="D854" i="12" s="1"/>
  <c r="D855" i="12" s="1"/>
  <c r="D856" i="12" s="1"/>
  <c r="D857" i="12" s="1"/>
  <c r="D858" i="12" s="1"/>
  <c r="D859" i="12" s="1"/>
  <c r="D860" i="12" s="1"/>
  <c r="D861" i="12" s="1"/>
  <c r="D862" i="12" s="1"/>
  <c r="D863" i="12" s="1"/>
  <c r="D864" i="12" s="1"/>
  <c r="D865" i="12" s="1"/>
  <c r="D866" i="12" s="1"/>
  <c r="D867" i="12" s="1"/>
  <c r="D868" i="12" s="1"/>
  <c r="D869" i="12" s="1"/>
  <c r="D870" i="12" s="1"/>
  <c r="D871" i="12" s="1"/>
  <c r="D872" i="12" s="1"/>
  <c r="D873" i="12" s="1"/>
  <c r="D874" i="12" s="1"/>
  <c r="D875" i="12" s="1"/>
  <c r="D876" i="12" s="1"/>
  <c r="D877" i="12" s="1"/>
  <c r="D878" i="12" s="1"/>
  <c r="D879" i="12" s="1"/>
  <c r="D880" i="12" s="1"/>
  <c r="D881" i="12" s="1"/>
  <c r="D882" i="12" s="1"/>
  <c r="D883" i="12" s="1"/>
  <c r="D884" i="12" s="1"/>
  <c r="D885" i="12" s="1"/>
  <c r="D886" i="12" s="1"/>
  <c r="D887" i="12" s="1"/>
  <c r="D888" i="12" s="1"/>
  <c r="D889" i="12" s="1"/>
  <c r="D890" i="12" s="1"/>
  <c r="D891" i="12" s="1"/>
  <c r="D892" i="12" s="1"/>
  <c r="D893" i="12" s="1"/>
  <c r="D894" i="12" s="1"/>
  <c r="D895" i="12" s="1"/>
  <c r="D896" i="12" s="1"/>
  <c r="D897" i="12" s="1"/>
  <c r="D898" i="12" s="1"/>
  <c r="D899" i="12" s="1"/>
  <c r="D900" i="12" s="1"/>
  <c r="D901" i="12" s="1"/>
  <c r="D902" i="12" s="1"/>
  <c r="D903" i="12" s="1"/>
  <c r="D904" i="12" s="1"/>
  <c r="D905" i="12" s="1"/>
  <c r="D906" i="12" s="1"/>
  <c r="D907" i="12" s="1"/>
  <c r="D908" i="12" s="1"/>
  <c r="D909" i="12" s="1"/>
  <c r="D910" i="12" s="1"/>
  <c r="D911" i="12" s="1"/>
  <c r="D912" i="12" s="1"/>
  <c r="D913" i="12" s="1"/>
  <c r="D914" i="12" s="1"/>
  <c r="D915" i="12" s="1"/>
  <c r="D916" i="12" s="1"/>
  <c r="D917" i="12" s="1"/>
  <c r="D918" i="12" s="1"/>
  <c r="D919" i="12" s="1"/>
  <c r="D920" i="12" s="1"/>
  <c r="D921" i="12" s="1"/>
  <c r="D922" i="12" s="1"/>
  <c r="D923" i="12" s="1"/>
  <c r="D924" i="12" s="1"/>
  <c r="D925" i="12" s="1"/>
  <c r="D926" i="12" s="1"/>
  <c r="D927" i="12" s="1"/>
  <c r="D928" i="12" s="1"/>
  <c r="D929" i="12" s="1"/>
  <c r="D930" i="12" s="1"/>
  <c r="D931" i="12" s="1"/>
  <c r="D932" i="12" s="1"/>
  <c r="D933" i="12" s="1"/>
  <c r="D934" i="12" s="1"/>
  <c r="D935" i="12" s="1"/>
  <c r="D936" i="12" s="1"/>
  <c r="D937" i="12" s="1"/>
  <c r="D938" i="12" s="1"/>
  <c r="D939" i="12" s="1"/>
  <c r="D940" i="12" s="1"/>
  <c r="D941" i="12" s="1"/>
  <c r="D1461" i="12"/>
  <c r="D1462" i="12" s="1"/>
  <c r="D1463" i="12" s="1"/>
  <c r="D1464" i="12" s="1"/>
  <c r="D1465" i="12" s="1"/>
  <c r="D1466" i="12" s="1"/>
  <c r="D1467" i="12" s="1"/>
  <c r="D1468" i="12" s="1"/>
  <c r="D1469" i="12" s="1"/>
  <c r="D1470" i="12" s="1"/>
  <c r="D1471" i="12" s="1"/>
  <c r="D1472" i="12" s="1"/>
  <c r="D1473" i="12" s="1"/>
  <c r="D1474" i="12" s="1"/>
  <c r="D1475" i="12" s="1"/>
  <c r="D1476" i="12" s="1"/>
  <c r="D1477" i="12" s="1"/>
  <c r="D1478" i="12" s="1"/>
  <c r="D1479" i="12" s="1"/>
  <c r="D1480" i="12" s="1"/>
  <c r="D1481" i="12" s="1"/>
  <c r="D1482" i="12" s="1"/>
  <c r="D1483" i="12" s="1"/>
  <c r="D1484" i="12" s="1"/>
  <c r="D1485" i="12" s="1"/>
  <c r="D1486" i="12" s="1"/>
  <c r="D1487" i="12" s="1"/>
  <c r="D1488" i="12" s="1"/>
  <c r="D1489" i="12" s="1"/>
  <c r="D1490" i="12" s="1"/>
  <c r="D1491" i="12" s="1"/>
  <c r="D1492" i="12" s="1"/>
  <c r="D1493" i="12" s="1"/>
  <c r="D1494" i="12" s="1"/>
  <c r="D1495" i="12" s="1"/>
  <c r="D1496" i="12" s="1"/>
  <c r="D1497" i="12" s="1"/>
  <c r="D1498" i="12" s="1"/>
  <c r="D1499" i="12" s="1"/>
  <c r="D1500" i="12" s="1"/>
  <c r="D1501" i="12" s="1"/>
  <c r="D3" i="12"/>
  <c r="D4" i="12" s="1"/>
  <c r="D5" i="12" s="1"/>
  <c r="D6" i="12" s="1"/>
  <c r="D7" i="12" s="1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D251" i="12" s="1"/>
  <c r="D252" i="12" s="1"/>
  <c r="D253" i="12" s="1"/>
  <c r="D254" i="12" s="1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 s="1"/>
  <c r="D265" i="12" s="1"/>
  <c r="D266" i="12" s="1"/>
  <c r="D267" i="12" s="1"/>
  <c r="D268" i="12" s="1"/>
  <c r="D269" i="12" s="1"/>
  <c r="D270" i="12" s="1"/>
  <c r="D271" i="12" s="1"/>
  <c r="D272" i="12" s="1"/>
  <c r="D273" i="12" s="1"/>
  <c r="D274" i="12" s="1"/>
  <c r="D275" i="12" s="1"/>
  <c r="D276" i="12" s="1"/>
  <c r="D277" i="12" s="1"/>
  <c r="D278" i="12" s="1"/>
  <c r="D279" i="12" s="1"/>
  <c r="D280" i="12" s="1"/>
  <c r="D281" i="12" s="1"/>
  <c r="D282" i="12" s="1"/>
  <c r="D283" i="12" s="1"/>
  <c r="D284" i="12" s="1"/>
  <c r="D285" i="12" s="1"/>
  <c r="D286" i="12" s="1"/>
  <c r="D287" i="12" s="1"/>
  <c r="D288" i="12" s="1"/>
  <c r="D289" i="12" s="1"/>
  <c r="D290" i="12" s="1"/>
  <c r="D291" i="12" s="1"/>
  <c r="D292" i="12" s="1"/>
  <c r="D293" i="12" s="1"/>
  <c r="D294" i="12" s="1"/>
  <c r="D295" i="12" s="1"/>
  <c r="D296" i="12" s="1"/>
  <c r="D297" i="12" s="1"/>
  <c r="D298" i="12" s="1"/>
  <c r="D299" i="12" s="1"/>
  <c r="D300" i="12" s="1"/>
  <c r="D301" i="12" s="1"/>
  <c r="D302" i="12" s="1"/>
  <c r="D303" i="12" s="1"/>
  <c r="D304" i="12" s="1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 s="1"/>
  <c r="D316" i="12" s="1"/>
  <c r="D317" i="12" s="1"/>
  <c r="D318" i="12" s="1"/>
  <c r="D319" i="12" s="1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 s="1"/>
  <c r="D331" i="12" s="1"/>
  <c r="D332" i="12" s="1"/>
  <c r="D333" i="12" s="1"/>
  <c r="D334" i="12" s="1"/>
  <c r="D335" i="12" s="1"/>
  <c r="D336" i="12" s="1"/>
  <c r="D337" i="12" s="1"/>
  <c r="D338" i="12" s="1"/>
  <c r="D339" i="12" s="1"/>
  <c r="D340" i="12" s="1"/>
  <c r="D341" i="12" s="1"/>
  <c r="D342" i="12" s="1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 s="1"/>
  <c r="D380" i="12" s="1"/>
  <c r="D381" i="12" s="1"/>
  <c r="D382" i="12" s="1"/>
  <c r="D383" i="12" s="1"/>
  <c r="D384" i="12" s="1"/>
  <c r="D1502" i="12"/>
  <c r="D1503" i="12" s="1"/>
  <c r="D1504" i="12" s="1"/>
  <c r="D1505" i="12" s="1"/>
  <c r="D1506" i="12" s="1"/>
  <c r="D1507" i="12" s="1"/>
  <c r="D1508" i="12" s="1"/>
  <c r="D1509" i="12" s="1"/>
  <c r="D1510" i="12" s="1"/>
  <c r="D1511" i="12" s="1"/>
  <c r="D1512" i="12" s="1"/>
  <c r="D1513" i="12" s="1"/>
  <c r="D1514" i="12" s="1"/>
  <c r="D1515" i="12" s="1"/>
  <c r="D1516" i="12" s="1"/>
  <c r="D1517" i="12" s="1"/>
  <c r="D1518" i="12" s="1"/>
  <c r="D1519" i="12" s="1"/>
  <c r="D1520" i="12" s="1"/>
  <c r="D1521" i="12" s="1"/>
  <c r="D1522" i="12" s="1"/>
  <c r="D1523" i="12" s="1"/>
  <c r="D1524" i="12" s="1"/>
  <c r="D1525" i="12" s="1"/>
  <c r="D1526" i="12" s="1"/>
  <c r="D1527" i="12" s="1"/>
  <c r="D1528" i="12" s="1"/>
  <c r="D1529" i="12" s="1"/>
  <c r="D1530" i="12" s="1"/>
  <c r="D1531" i="12" s="1"/>
  <c r="D1532" i="12" s="1"/>
  <c r="D1533" i="12" s="1"/>
  <c r="D1534" i="12" s="1"/>
  <c r="D1535" i="12" s="1"/>
  <c r="D1536" i="12" s="1"/>
  <c r="D1537" i="12" s="1"/>
  <c r="D1538" i="12" s="1"/>
  <c r="D1539" i="12" s="1"/>
  <c r="D1540" i="12" s="1"/>
  <c r="D1541" i="12" s="1"/>
  <c r="D1542" i="12" s="1"/>
  <c r="D1543" i="12" s="1"/>
  <c r="D1544" i="12" s="1"/>
  <c r="D1545" i="12" s="1"/>
  <c r="D1546" i="12" s="1"/>
  <c r="D1547" i="12" s="1"/>
  <c r="D1548" i="12" s="1"/>
  <c r="D1549" i="12" s="1"/>
  <c r="D1550" i="12" s="1"/>
  <c r="D1551" i="12" s="1"/>
  <c r="D1552" i="12" s="1"/>
  <c r="D1553" i="12" s="1"/>
  <c r="D1554" i="12" s="1"/>
  <c r="D1555" i="12" s="1"/>
  <c r="D1556" i="12" s="1"/>
  <c r="D1557" i="12" s="1"/>
  <c r="D1558" i="12" s="1"/>
  <c r="D1559" i="12" s="1"/>
  <c r="D1560" i="12" s="1"/>
  <c r="D1561" i="12" s="1"/>
  <c r="D1562" i="12" s="1"/>
  <c r="D1563" i="12" s="1"/>
  <c r="D1564" i="12" s="1"/>
  <c r="D1565" i="12" s="1"/>
  <c r="D1566" i="12" s="1"/>
  <c r="D1567" i="12" s="1"/>
  <c r="D1568" i="12" s="1"/>
  <c r="D1569" i="12" s="1"/>
  <c r="D1570" i="12" s="1"/>
  <c r="D1571" i="12" s="1"/>
  <c r="D1572" i="12" s="1"/>
  <c r="D1573" i="12" s="1"/>
  <c r="D1574" i="12" s="1"/>
  <c r="D1575" i="12" s="1"/>
  <c r="D1576" i="12" s="1"/>
  <c r="D1577" i="12" s="1"/>
  <c r="D1578" i="12" s="1"/>
  <c r="D1579" i="12" s="1"/>
  <c r="D1580" i="12" s="1"/>
  <c r="D1581" i="12" s="1"/>
  <c r="D1582" i="12" s="1"/>
  <c r="D1583" i="12" s="1"/>
  <c r="D1584" i="12" s="1"/>
  <c r="D1585" i="12" s="1"/>
  <c r="D1586" i="12" s="1"/>
  <c r="D1587" i="12" s="1"/>
  <c r="D1588" i="12" s="1"/>
  <c r="D1589" i="12" s="1"/>
  <c r="D1590" i="12" s="1"/>
  <c r="D1591" i="12" s="1"/>
  <c r="D1592" i="12" s="1"/>
  <c r="D1593" i="12" s="1"/>
  <c r="D1594" i="12" s="1"/>
  <c r="D1595" i="12" s="1"/>
  <c r="D1596" i="12" s="1"/>
  <c r="D1597" i="12" s="1"/>
  <c r="D1598" i="12" s="1"/>
  <c r="D1599" i="12" s="1"/>
  <c r="D1600" i="12" s="1"/>
  <c r="D1601" i="12" s="1"/>
  <c r="D1602" i="12" s="1"/>
  <c r="D1603" i="12" s="1"/>
  <c r="D1604" i="12" s="1"/>
  <c r="D1605" i="12" s="1"/>
  <c r="D1606" i="12" s="1"/>
  <c r="D1607" i="12" s="1"/>
  <c r="D1608" i="12" s="1"/>
  <c r="D1609" i="12" s="1"/>
  <c r="D1610" i="12" s="1"/>
  <c r="D1611" i="12" s="1"/>
  <c r="D1612" i="12" s="1"/>
  <c r="D1613" i="12" s="1"/>
  <c r="D1614" i="12" s="1"/>
  <c r="D1615" i="12" s="1"/>
  <c r="D1616" i="12" s="1"/>
  <c r="D1617" i="12" s="1"/>
  <c r="D1618" i="12" s="1"/>
  <c r="D1619" i="12" s="1"/>
  <c r="D1620" i="12" s="1"/>
  <c r="D1621" i="12" s="1"/>
  <c r="D1622" i="12" s="1"/>
  <c r="D1623" i="12" s="1"/>
  <c r="D1624" i="12" s="1"/>
  <c r="D1625" i="12" s="1"/>
  <c r="D1626" i="12" s="1"/>
  <c r="D1627" i="12" s="1"/>
  <c r="D1628" i="12" s="1"/>
  <c r="D1629" i="12" s="1"/>
  <c r="D1630" i="12" s="1"/>
  <c r="D1631" i="12" s="1"/>
  <c r="D1632" i="12" s="1"/>
  <c r="D1633" i="12" s="1"/>
  <c r="D1634" i="12" s="1"/>
  <c r="D1635" i="12" s="1"/>
  <c r="D1636" i="12" s="1"/>
  <c r="D1637" i="12" s="1"/>
  <c r="D1638" i="12" s="1"/>
  <c r="D1639" i="12" s="1"/>
  <c r="D1640" i="12" s="1"/>
  <c r="D1641" i="12" s="1"/>
  <c r="D1642" i="12" s="1"/>
  <c r="D1643" i="12" s="1"/>
  <c r="D1644" i="12" s="1"/>
  <c r="D1645" i="12" s="1"/>
  <c r="D1646" i="12" s="1"/>
  <c r="D1647" i="12" s="1"/>
  <c r="D1648" i="12" s="1"/>
  <c r="D1649" i="12" s="1"/>
  <c r="D1650" i="12" s="1"/>
  <c r="D1651" i="12" s="1"/>
  <c r="D1652" i="12" s="1"/>
  <c r="D1653" i="12" s="1"/>
  <c r="D1654" i="12" s="1"/>
  <c r="D1655" i="12" s="1"/>
  <c r="D1656" i="12" s="1"/>
  <c r="D1657" i="12" s="1"/>
  <c r="D1658" i="12" s="1"/>
  <c r="D1659" i="12" s="1"/>
  <c r="D1660" i="12" s="1"/>
  <c r="D1661" i="12" s="1"/>
  <c r="D1662" i="12" s="1"/>
  <c r="D1663" i="12" s="1"/>
  <c r="D1664" i="12" s="1"/>
  <c r="D1665" i="12" s="1"/>
  <c r="D1666" i="12" s="1"/>
  <c r="D1667" i="12" s="1"/>
  <c r="D1668" i="12" s="1"/>
  <c r="D1669" i="12" s="1"/>
  <c r="D1670" i="12" s="1"/>
  <c r="D1671" i="12" s="1"/>
  <c r="D1672" i="12" s="1"/>
  <c r="D1673" i="12" s="1"/>
  <c r="D1674" i="12" s="1"/>
  <c r="D1675" i="12" s="1"/>
  <c r="D1676" i="12" s="1"/>
  <c r="D1677" i="12" s="1"/>
  <c r="D1678" i="12" s="1"/>
  <c r="D1679" i="12" s="1"/>
  <c r="D1680" i="12" s="1"/>
  <c r="D1681" i="12" s="1"/>
  <c r="D1682" i="12" s="1"/>
  <c r="D1683" i="12" s="1"/>
  <c r="D1684" i="12" s="1"/>
  <c r="D1685" i="12" s="1"/>
  <c r="D1686" i="12" s="1"/>
  <c r="D1687" i="12" s="1"/>
  <c r="D1688" i="12" s="1"/>
  <c r="D1689" i="12" s="1"/>
  <c r="D1690" i="12" s="1"/>
  <c r="D1691" i="12" s="1"/>
  <c r="D1692" i="12" s="1"/>
  <c r="D1693" i="12" s="1"/>
  <c r="D1694" i="12" s="1"/>
  <c r="D1695" i="12" s="1"/>
  <c r="D1696" i="12" s="1"/>
  <c r="D1697" i="12" s="1"/>
  <c r="D1698" i="12" s="1"/>
  <c r="D1699" i="12" s="1"/>
  <c r="D1700" i="12" s="1"/>
  <c r="D1701" i="12" s="1"/>
  <c r="D1702" i="12" s="1"/>
  <c r="D1703" i="12" s="1"/>
  <c r="D1704" i="12" s="1"/>
  <c r="D1705" i="12" s="1"/>
  <c r="D1706" i="12" s="1"/>
  <c r="D1707" i="12" s="1"/>
  <c r="D1708" i="12" s="1"/>
  <c r="D1709" i="12" s="1"/>
  <c r="D1710" i="12" s="1"/>
  <c r="D1711" i="12" s="1"/>
  <c r="D1712" i="12" s="1"/>
  <c r="D1713" i="12" s="1"/>
  <c r="D1714" i="12" s="1"/>
  <c r="D1715" i="12" s="1"/>
  <c r="D1716" i="12" s="1"/>
  <c r="D1717" i="12" s="1"/>
  <c r="D1718" i="12" s="1"/>
  <c r="D1719" i="12" s="1"/>
  <c r="D1720" i="12" s="1"/>
  <c r="D1721" i="12" s="1"/>
  <c r="D1722" i="12" s="1"/>
  <c r="D1723" i="12" s="1"/>
  <c r="D1724" i="12" s="1"/>
  <c r="D1725" i="12" s="1"/>
  <c r="D1726" i="12" s="1"/>
  <c r="D1727" i="12" s="1"/>
  <c r="D1728" i="12" s="1"/>
  <c r="D1729" i="12" s="1"/>
  <c r="D1730" i="12" s="1"/>
  <c r="D1731" i="12" s="1"/>
  <c r="D1732" i="12" s="1"/>
  <c r="D1733" i="12" s="1"/>
  <c r="D1734" i="12" s="1"/>
  <c r="D1735" i="12" s="1"/>
  <c r="D1736" i="12" s="1"/>
  <c r="D1737" i="12" s="1"/>
  <c r="D1738" i="12" s="1"/>
  <c r="D1739" i="12" s="1"/>
  <c r="D1740" i="12" s="1"/>
  <c r="D1741" i="12" s="1"/>
  <c r="D1742" i="12" s="1"/>
  <c r="D1743" i="12" s="1"/>
  <c r="D1744" i="12" s="1"/>
  <c r="D1745" i="12" s="1"/>
  <c r="D1746" i="12" s="1"/>
  <c r="D1747" i="12" s="1"/>
  <c r="D1748" i="12" s="1"/>
  <c r="D1749" i="12" s="1"/>
  <c r="D1750" i="12" s="1"/>
  <c r="D1751" i="12" s="1"/>
  <c r="D1752" i="12" s="1"/>
  <c r="D1753" i="12" s="1"/>
  <c r="D1754" i="12" s="1"/>
  <c r="D1755" i="12" s="1"/>
  <c r="D1756" i="12" s="1"/>
  <c r="D1757" i="12" s="1"/>
  <c r="D1758" i="12" s="1"/>
  <c r="D1759" i="12" s="1"/>
  <c r="D1760" i="12" s="1"/>
  <c r="D1761" i="12" s="1"/>
  <c r="D1762" i="12" s="1"/>
  <c r="D1763" i="12" s="1"/>
  <c r="D1764" i="12" s="1"/>
  <c r="D1765" i="12" s="1"/>
  <c r="D1766" i="12" s="1"/>
  <c r="D1767" i="12" s="1"/>
  <c r="D1768" i="12" s="1"/>
  <c r="D1769" i="12" s="1"/>
  <c r="D1770" i="12" s="1"/>
  <c r="D1771" i="12" s="1"/>
  <c r="D1772" i="12" s="1"/>
  <c r="D1773" i="12" s="1"/>
  <c r="D1774" i="12" s="1"/>
  <c r="D1775" i="12" s="1"/>
  <c r="D1776" i="12" s="1"/>
  <c r="D1777" i="12" s="1"/>
  <c r="D1778" i="12" s="1"/>
  <c r="D1779" i="12" s="1"/>
  <c r="D1780" i="12" s="1"/>
  <c r="D1781" i="12" s="1"/>
  <c r="D1782" i="12" s="1"/>
  <c r="D1783" i="12" s="1"/>
  <c r="D1784" i="12" s="1"/>
  <c r="D1785" i="12" s="1"/>
  <c r="D1786" i="12" s="1"/>
  <c r="D1787" i="12" s="1"/>
  <c r="D1788" i="12" s="1"/>
  <c r="D1789" i="12" s="1"/>
  <c r="D1790" i="12" s="1"/>
  <c r="D1791" i="12" s="1"/>
  <c r="D1792" i="12" s="1"/>
  <c r="D1793" i="12" s="1"/>
  <c r="D1794" i="12" s="1"/>
  <c r="D1795" i="12" s="1"/>
  <c r="D1796" i="12" s="1"/>
  <c r="D1797" i="12" s="1"/>
  <c r="D1798" i="12" s="1"/>
  <c r="D1799" i="12" s="1"/>
  <c r="D1800" i="12" s="1"/>
  <c r="D1801" i="12" s="1"/>
  <c r="D1802" i="12" s="1"/>
  <c r="D1803" i="12" s="1"/>
  <c r="D1804" i="12" s="1"/>
  <c r="D1805" i="12" s="1"/>
  <c r="D1806" i="12" s="1"/>
  <c r="D1807" i="12" s="1"/>
  <c r="D1808" i="12" s="1"/>
  <c r="D1809" i="12" s="1"/>
  <c r="D1810" i="12" s="1"/>
  <c r="D1811" i="12" s="1"/>
  <c r="D1812" i="12" s="1"/>
  <c r="D1813" i="12" s="1"/>
  <c r="D1814" i="12" s="1"/>
  <c r="D1815" i="12" s="1"/>
  <c r="D1816" i="12" s="1"/>
  <c r="D1817" i="12" s="1"/>
  <c r="D1818" i="12" s="1"/>
  <c r="D1819" i="12" s="1"/>
  <c r="D1820" i="12" s="1"/>
  <c r="D1821" i="12" s="1"/>
  <c r="D1822" i="12" s="1"/>
  <c r="D1823" i="12" s="1"/>
  <c r="D1824" i="12" s="1"/>
  <c r="D1825" i="12" s="1"/>
  <c r="D1826" i="12" s="1"/>
  <c r="D1827" i="12" s="1"/>
  <c r="D1828" i="12" s="1"/>
  <c r="D1829" i="12" s="1"/>
  <c r="D1830" i="12" s="1"/>
  <c r="D1831" i="12" s="1"/>
  <c r="D1832" i="12" s="1"/>
  <c r="D1833" i="12" s="1"/>
  <c r="D1834" i="12" s="1"/>
  <c r="D1835" i="12" s="1"/>
  <c r="D1836" i="12" s="1"/>
  <c r="D1837" i="12" s="1"/>
  <c r="D1838" i="12" s="1"/>
  <c r="D1839" i="12" s="1"/>
  <c r="D1840" i="12" s="1"/>
  <c r="D1841" i="12" s="1"/>
  <c r="D1842" i="12" s="1"/>
  <c r="D1843" i="12" s="1"/>
  <c r="D1844" i="12" s="1"/>
  <c r="D1845" i="12" s="1"/>
  <c r="D1846" i="12" s="1"/>
  <c r="D1847" i="12" s="1"/>
  <c r="D1848" i="12" s="1"/>
  <c r="D1849" i="12" s="1"/>
  <c r="D1850" i="12" s="1"/>
  <c r="D1851" i="12" s="1"/>
  <c r="D1852" i="12" s="1"/>
  <c r="D1853" i="12" s="1"/>
  <c r="D1854" i="12" s="1"/>
  <c r="D1855" i="12" s="1"/>
  <c r="D1856" i="12" s="1"/>
  <c r="D1857" i="12" s="1"/>
  <c r="D1858" i="12" s="1"/>
  <c r="D1859" i="12" s="1"/>
  <c r="D1860" i="12" s="1"/>
  <c r="D1861" i="12" s="1"/>
  <c r="D1862" i="12" s="1"/>
  <c r="D1863" i="12" s="1"/>
  <c r="D1864" i="12" s="1"/>
  <c r="D1865" i="12" s="1"/>
  <c r="D1866" i="12" s="1"/>
  <c r="D1867" i="12" s="1"/>
  <c r="D1868" i="12" s="1"/>
  <c r="D1869" i="12" s="1"/>
  <c r="D1870" i="12" s="1"/>
  <c r="D1871" i="12" s="1"/>
  <c r="D1872" i="12" s="1"/>
  <c r="D1873" i="12" s="1"/>
  <c r="D1874" i="12" s="1"/>
  <c r="D1875" i="12" s="1"/>
  <c r="D1876" i="12" s="1"/>
  <c r="D1877" i="12" s="1"/>
  <c r="D1878" i="12" s="1"/>
  <c r="D1879" i="12" s="1"/>
  <c r="D1880" i="12" s="1"/>
  <c r="D1881" i="12" s="1"/>
  <c r="D1882" i="12" s="1"/>
  <c r="D1883" i="12" s="1"/>
  <c r="D1884" i="12" s="1"/>
  <c r="D1885" i="12" s="1"/>
  <c r="D1886" i="12" s="1"/>
  <c r="D1887" i="12" s="1"/>
  <c r="D1888" i="12" s="1"/>
  <c r="D1889" i="12" s="1"/>
  <c r="D1890" i="12" s="1"/>
  <c r="D1891" i="12" s="1"/>
  <c r="D1892" i="12" s="1"/>
  <c r="D1893" i="12" s="1"/>
  <c r="D1894" i="12" s="1"/>
  <c r="D1895" i="12" s="1"/>
  <c r="D1896" i="12" s="1"/>
  <c r="D1897" i="12" s="1"/>
  <c r="D1898" i="12" s="1"/>
  <c r="D1899" i="12" s="1"/>
  <c r="D1900" i="12" s="1"/>
  <c r="D1901" i="12" s="1"/>
  <c r="D1902" i="12" s="1"/>
  <c r="D1903" i="12" s="1"/>
  <c r="D1904" i="12" s="1"/>
  <c r="D1905" i="12" s="1"/>
  <c r="D1906" i="12" s="1"/>
  <c r="D1907" i="12" s="1"/>
  <c r="D1908" i="12" s="1"/>
  <c r="D1909" i="12" s="1"/>
  <c r="D1910" i="12" s="1"/>
  <c r="D1911" i="12" s="1"/>
  <c r="D1912" i="12" s="1"/>
  <c r="D1913" i="12" s="1"/>
  <c r="D1914" i="12" s="1"/>
  <c r="D1915" i="12" s="1"/>
  <c r="D1916" i="12" s="1"/>
  <c r="D1917" i="12" s="1"/>
  <c r="D1918" i="12" s="1"/>
  <c r="D1919" i="12" s="1"/>
  <c r="D1920" i="12" s="1"/>
  <c r="D1921" i="12" s="1"/>
  <c r="D1922" i="12" s="1"/>
  <c r="D1923" i="12" s="1"/>
  <c r="D1924" i="12" s="1"/>
  <c r="D1925" i="12" s="1"/>
  <c r="D1926" i="12" s="1"/>
  <c r="D1927" i="12" s="1"/>
  <c r="D1928" i="12" s="1"/>
  <c r="D1929" i="12" s="1"/>
  <c r="D1930" i="12" s="1"/>
  <c r="D1931" i="12" s="1"/>
  <c r="D1932" i="12" s="1"/>
  <c r="D1933" i="12" s="1"/>
  <c r="D1934" i="12" s="1"/>
  <c r="D1935" i="12" s="1"/>
  <c r="D1936" i="12" s="1"/>
  <c r="D1937" i="12" s="1"/>
  <c r="D1938" i="12" s="1"/>
  <c r="D1939" i="12" s="1"/>
  <c r="D1940" i="12" s="1"/>
  <c r="D1941" i="12" s="1"/>
  <c r="D1942" i="12" s="1"/>
  <c r="D1943" i="12" s="1"/>
  <c r="D1944" i="12" s="1"/>
  <c r="D1945" i="12" s="1"/>
  <c r="D1946" i="12" s="1"/>
  <c r="D1947" i="12" s="1"/>
  <c r="D1948" i="12" s="1"/>
  <c r="D1949" i="12" s="1"/>
  <c r="D1950" i="12" s="1"/>
  <c r="D1951" i="12" s="1"/>
  <c r="D1952" i="12" s="1"/>
  <c r="D1953" i="12" s="1"/>
  <c r="D1954" i="12" s="1"/>
  <c r="D1955" i="12" s="1"/>
  <c r="D1956" i="12" s="1"/>
  <c r="D1957" i="12" s="1"/>
  <c r="D1958" i="12" s="1"/>
  <c r="D1959" i="12" s="1"/>
  <c r="D1960" i="12" s="1"/>
  <c r="D1961" i="12" s="1"/>
  <c r="D1962" i="12" s="1"/>
  <c r="D1963" i="12" s="1"/>
  <c r="D1964" i="12" s="1"/>
  <c r="D1965" i="12" s="1"/>
  <c r="D1966" i="12" s="1"/>
  <c r="D1967" i="12" s="1"/>
  <c r="D1968" i="12" s="1"/>
  <c r="D1969" i="12" s="1"/>
  <c r="D1970" i="12" s="1"/>
  <c r="D1971" i="12" s="1"/>
  <c r="D1972" i="12" s="1"/>
  <c r="D1973" i="12" s="1"/>
  <c r="D1974" i="12" s="1"/>
  <c r="D1975" i="12" s="1"/>
  <c r="D1976" i="12" s="1"/>
  <c r="D1977" i="12" s="1"/>
  <c r="D1978" i="12" s="1"/>
  <c r="D1979" i="12" s="1"/>
  <c r="D1980" i="12" s="1"/>
  <c r="D1981" i="12" s="1"/>
  <c r="D1982" i="12" s="1"/>
  <c r="D1983" i="12" s="1"/>
  <c r="D1984" i="12" s="1"/>
  <c r="D1985" i="12" s="1"/>
  <c r="D1986" i="12" s="1"/>
  <c r="D1987" i="12" s="1"/>
  <c r="D1988" i="12" s="1"/>
  <c r="D1989" i="12" s="1"/>
  <c r="D1990" i="12" s="1"/>
  <c r="D1991" i="12" s="1"/>
  <c r="D1992" i="12" s="1"/>
  <c r="D1993" i="12" s="1"/>
  <c r="D1994" i="12" s="1"/>
  <c r="D1995" i="12" s="1"/>
  <c r="D1996" i="12" s="1"/>
  <c r="D1997" i="12" s="1"/>
  <c r="D1998" i="12" s="1"/>
  <c r="D1999" i="12" s="1"/>
  <c r="D2000" i="12" s="1"/>
  <c r="D2001" i="12" s="1"/>
  <c r="D2002" i="12" s="1"/>
  <c r="D2003" i="12" s="1"/>
  <c r="D2004" i="12" s="1"/>
  <c r="D2005" i="12" s="1"/>
  <c r="D2006" i="12" s="1"/>
  <c r="D2007" i="12" s="1"/>
  <c r="D2008" i="12" s="1"/>
  <c r="D2009" i="12" s="1"/>
  <c r="D2010" i="12" s="1"/>
  <c r="D2011" i="12" s="1"/>
  <c r="D2012" i="12" s="1"/>
  <c r="D2013" i="12" s="1"/>
  <c r="D2014" i="12" s="1"/>
  <c r="D2015" i="12" s="1"/>
  <c r="D2016" i="12" s="1"/>
  <c r="D2017" i="12" s="1"/>
  <c r="D2018" i="12" s="1"/>
  <c r="D2019" i="12" s="1"/>
  <c r="D2020" i="12" s="1"/>
  <c r="D2021" i="12" s="1"/>
  <c r="D2022" i="12" s="1"/>
  <c r="D2023" i="12" s="1"/>
  <c r="D2024" i="12" s="1"/>
  <c r="D2025" i="12" s="1"/>
  <c r="D2026" i="12" s="1"/>
  <c r="D2027" i="12" s="1"/>
  <c r="D2028" i="12" s="1"/>
  <c r="D2029" i="12" s="1"/>
  <c r="D2030" i="12" s="1"/>
  <c r="D2031" i="12" s="1"/>
  <c r="D2032" i="12" s="1"/>
  <c r="D2033" i="12" s="1"/>
  <c r="D2034" i="12" s="1"/>
  <c r="D2035" i="12" s="1"/>
  <c r="D2036" i="12" s="1"/>
  <c r="D2037" i="12" s="1"/>
  <c r="D2038" i="12" s="1"/>
  <c r="D2039" i="12" s="1"/>
  <c r="D2040" i="12" s="1"/>
  <c r="D2041" i="12" s="1"/>
  <c r="D2042" i="12" s="1"/>
  <c r="D2043" i="12" s="1"/>
  <c r="D2044" i="12" s="1"/>
  <c r="D2045" i="12" s="1"/>
  <c r="D2046" i="12" s="1"/>
  <c r="D2047" i="12" s="1"/>
  <c r="D2048" i="12" s="1"/>
  <c r="D2049" i="12" s="1"/>
  <c r="D2050" i="12" s="1"/>
  <c r="D2051" i="12" s="1"/>
  <c r="D2052" i="12" s="1"/>
  <c r="D2053" i="12" s="1"/>
  <c r="D2054" i="12" s="1"/>
  <c r="D2055" i="12" s="1"/>
  <c r="D2056" i="12" s="1"/>
  <c r="D2057" i="12" s="1"/>
  <c r="D2058" i="12" s="1"/>
  <c r="D2059" i="12" s="1"/>
  <c r="D2060" i="12" s="1"/>
  <c r="D2061" i="12" s="1"/>
  <c r="D2062" i="12" s="1"/>
  <c r="D2063" i="12" s="1"/>
  <c r="D2064" i="12" s="1"/>
  <c r="D2065" i="12" s="1"/>
  <c r="D2066" i="12" s="1"/>
  <c r="D2067" i="12" s="1"/>
  <c r="D2068" i="12" s="1"/>
  <c r="D2069" i="12" s="1"/>
  <c r="D2070" i="12" s="1"/>
  <c r="D2071" i="12" s="1"/>
  <c r="D2072" i="12" s="1"/>
  <c r="D2073" i="12" s="1"/>
  <c r="D2074" i="12" s="1"/>
  <c r="D2075" i="12" s="1"/>
  <c r="D2076" i="12" s="1"/>
  <c r="D2077" i="12" s="1"/>
  <c r="D2078" i="12" s="1"/>
  <c r="D2079" i="12" s="1"/>
  <c r="D2080" i="12" s="1"/>
  <c r="D2081" i="12" s="1"/>
  <c r="D2082" i="12" s="1"/>
  <c r="D2083" i="12" s="1"/>
  <c r="D2084" i="12" s="1"/>
  <c r="D2085" i="12" s="1"/>
  <c r="D2086" i="12" s="1"/>
  <c r="D2087" i="12" s="1"/>
  <c r="D2088" i="12" s="1"/>
  <c r="D2089" i="12" s="1"/>
  <c r="D2090" i="12" s="1"/>
  <c r="D2091" i="12" s="1"/>
  <c r="D2092" i="12" s="1"/>
  <c r="D2093" i="12" s="1"/>
  <c r="D2094" i="12" s="1"/>
  <c r="D2095" i="12" s="1"/>
  <c r="D2096" i="12" s="1"/>
  <c r="D2097" i="12" s="1"/>
  <c r="D2098" i="12" s="1"/>
  <c r="D2099" i="12" s="1"/>
  <c r="D2100" i="12" s="1"/>
  <c r="D2101" i="12" s="1"/>
  <c r="D2102" i="12" s="1"/>
  <c r="D2103" i="12" s="1"/>
  <c r="D2104" i="12" s="1"/>
  <c r="D2105" i="12" s="1"/>
  <c r="D2106" i="12" s="1"/>
  <c r="D2107" i="12" s="1"/>
  <c r="D2108" i="12" s="1"/>
  <c r="D2109" i="12" s="1"/>
  <c r="D2110" i="12" s="1"/>
  <c r="D2111" i="12" s="1"/>
  <c r="D2112" i="12" s="1"/>
  <c r="D2113" i="12" s="1"/>
  <c r="D2114" i="12" s="1"/>
  <c r="D2115" i="12" s="1"/>
  <c r="D2116" i="12" s="1"/>
  <c r="D2117" i="12" s="1"/>
  <c r="D2118" i="12" s="1"/>
  <c r="D2119" i="12" s="1"/>
  <c r="D2120" i="12" s="1"/>
  <c r="D2121" i="12" s="1"/>
  <c r="D2122" i="12" s="1"/>
  <c r="D2123" i="12" s="1"/>
  <c r="D2124" i="12" s="1"/>
  <c r="D2125" i="12" s="1"/>
  <c r="D2126" i="12" s="1"/>
  <c r="D2127" i="12" s="1"/>
  <c r="D2128" i="12" s="1"/>
  <c r="D2129" i="12" s="1"/>
  <c r="D2130" i="12" s="1"/>
  <c r="D2131" i="12" s="1"/>
  <c r="D2132" i="12" s="1"/>
  <c r="D2133" i="12" s="1"/>
  <c r="D2134" i="12" s="1"/>
  <c r="D2135" i="12" s="1"/>
  <c r="D2136" i="12" s="1"/>
  <c r="D2137" i="12" s="1"/>
  <c r="D2138" i="12" s="1"/>
  <c r="D2139" i="12" s="1"/>
  <c r="D2140" i="12" s="1"/>
  <c r="D2141" i="12" s="1"/>
  <c r="D2142" i="12" s="1"/>
  <c r="D2143" i="12" s="1"/>
  <c r="D2144" i="12" s="1"/>
  <c r="D2145" i="12" s="1"/>
  <c r="D2146" i="12" s="1"/>
  <c r="D2147" i="12" s="1"/>
  <c r="D2148" i="12" s="1"/>
  <c r="D2149" i="12" s="1"/>
  <c r="D2150" i="12" s="1"/>
  <c r="D2151" i="12" s="1"/>
  <c r="D2152" i="12" s="1"/>
  <c r="D2153" i="12" s="1"/>
  <c r="D2154" i="12" s="1"/>
  <c r="D2155" i="12" s="1"/>
  <c r="D2156" i="12" s="1"/>
  <c r="D2157" i="12" s="1"/>
  <c r="D2158" i="12" s="1"/>
  <c r="D2159" i="12" s="1"/>
  <c r="D2160" i="12" s="1"/>
  <c r="D2161" i="12" s="1"/>
  <c r="D2162" i="12" s="1"/>
  <c r="D2163" i="12" s="1"/>
  <c r="D2164" i="12" s="1"/>
  <c r="D2165" i="12" s="1"/>
  <c r="D2166" i="12" s="1"/>
  <c r="D2167" i="12" s="1"/>
  <c r="D2168" i="12" s="1"/>
  <c r="D2169" i="12" s="1"/>
  <c r="D2170" i="12" s="1"/>
  <c r="D2171" i="12" s="1"/>
  <c r="D2172" i="12" s="1"/>
  <c r="D2173" i="12" s="1"/>
  <c r="D2174" i="12" s="1"/>
  <c r="D2175" i="12" s="1"/>
  <c r="D2176" i="12" s="1"/>
  <c r="D2177" i="12" s="1"/>
  <c r="D2178" i="12" s="1"/>
  <c r="D2179" i="12" s="1"/>
  <c r="D2180" i="12" s="1"/>
  <c r="D2181" i="12" s="1"/>
  <c r="D2182" i="12" s="1"/>
  <c r="D2183" i="12" s="1"/>
  <c r="D2184" i="12" s="1"/>
  <c r="D2185" i="12" s="1"/>
  <c r="D2186" i="12" s="1"/>
  <c r="D2187" i="12" s="1"/>
  <c r="D2188" i="12" s="1"/>
  <c r="D2189" i="12" s="1"/>
  <c r="D2190" i="12" s="1"/>
  <c r="D2191" i="12" s="1"/>
  <c r="D2192" i="12" s="1"/>
  <c r="D2193" i="12" s="1"/>
  <c r="D2194" i="12" s="1"/>
  <c r="D2195" i="12" s="1"/>
  <c r="D2196" i="12" s="1"/>
  <c r="D2197" i="12" s="1"/>
  <c r="D2198" i="12" s="1"/>
  <c r="D2199" i="12" s="1"/>
  <c r="D2200" i="12" s="1"/>
  <c r="D2201" i="12" s="1"/>
  <c r="D2202" i="12" s="1"/>
  <c r="D2203" i="12" s="1"/>
  <c r="D2204" i="12" s="1"/>
  <c r="D2205" i="12" s="1"/>
  <c r="D2206" i="12" s="1"/>
  <c r="D2207" i="12" s="1"/>
  <c r="D2208" i="12" s="1"/>
  <c r="D2209" i="12" s="1"/>
  <c r="D2210" i="12" s="1"/>
  <c r="D2211" i="12" s="1"/>
  <c r="D2212" i="12" s="1"/>
  <c r="D2213" i="12" s="1"/>
  <c r="D2214" i="12" s="1"/>
  <c r="D2215" i="12" s="1"/>
  <c r="D2216" i="12" s="1"/>
  <c r="D2217" i="12" s="1"/>
  <c r="D2218" i="12" s="1"/>
  <c r="D2219" i="12" s="1"/>
  <c r="D2220" i="12" s="1"/>
  <c r="D2221" i="12" s="1"/>
  <c r="D2222" i="12" s="1"/>
  <c r="D2223" i="12" s="1"/>
  <c r="D2224" i="12" s="1"/>
  <c r="D2225" i="12" s="1"/>
  <c r="D2226" i="12" s="1"/>
  <c r="D2227" i="12" s="1"/>
  <c r="D2228" i="12" s="1"/>
  <c r="D2229" i="12" s="1"/>
  <c r="D2230" i="12" s="1"/>
  <c r="D2231" i="12" s="1"/>
  <c r="D2232" i="12" s="1"/>
  <c r="D2233" i="12" s="1"/>
  <c r="D2234" i="12" s="1"/>
  <c r="D2235" i="12" s="1"/>
  <c r="D2236" i="12" s="1"/>
  <c r="D2237" i="12" s="1"/>
  <c r="D2238" i="12" s="1"/>
  <c r="D2239" i="12" s="1"/>
  <c r="D2240" i="12" s="1"/>
  <c r="D2241" i="12" s="1"/>
  <c r="D2242" i="12" s="1"/>
  <c r="D2243" i="12" s="1"/>
  <c r="D2244" i="12" s="1"/>
  <c r="D2245" i="12" s="1"/>
  <c r="D2246" i="12" s="1"/>
  <c r="D2247" i="12" s="1"/>
  <c r="D2248" i="12" s="1"/>
  <c r="D2249" i="12" s="1"/>
  <c r="D2250" i="12" s="1"/>
  <c r="D2251" i="12" s="1"/>
  <c r="D2252" i="12" s="1"/>
  <c r="D2253" i="12" s="1"/>
  <c r="D2254" i="12" s="1"/>
  <c r="D2255" i="12" s="1"/>
  <c r="D2256" i="12" s="1"/>
  <c r="D2257" i="12" s="1"/>
  <c r="D2258" i="12" s="1"/>
  <c r="D2259" i="12" s="1"/>
  <c r="D2260" i="12" s="1"/>
  <c r="D2261" i="12" s="1"/>
  <c r="D2262" i="12" s="1"/>
  <c r="D2263" i="12" s="1"/>
  <c r="D2264" i="12" s="1"/>
  <c r="D2265" i="12" s="1"/>
  <c r="D2266" i="12" s="1"/>
  <c r="D2267" i="12" s="1"/>
  <c r="D2268" i="12" s="1"/>
  <c r="D2269" i="12" s="1"/>
  <c r="D2270" i="12" s="1"/>
  <c r="D2271" i="12" s="1"/>
  <c r="D2272" i="12" s="1"/>
  <c r="D2273" i="12" s="1"/>
  <c r="D2274" i="12" s="1"/>
  <c r="D2275" i="12" s="1"/>
  <c r="D2276" i="12" s="1"/>
  <c r="D2277" i="12" s="1"/>
  <c r="D2278" i="12" s="1"/>
  <c r="D2279" i="12" s="1"/>
  <c r="D2280" i="12" s="1"/>
  <c r="D2281" i="12" s="1"/>
  <c r="D2282" i="12" s="1"/>
  <c r="D2283" i="12" s="1"/>
  <c r="D2284" i="12" s="1"/>
  <c r="D2285" i="12" s="1"/>
  <c r="D2286" i="12" s="1"/>
  <c r="D2287" i="12" s="1"/>
  <c r="D2288" i="12" s="1"/>
  <c r="D2289" i="12" s="1"/>
  <c r="D2290" i="12" s="1"/>
  <c r="D2291" i="12" s="1"/>
  <c r="D2292" i="12" s="1"/>
  <c r="D2293" i="12" s="1"/>
  <c r="D2294" i="12" s="1"/>
  <c r="D2295" i="12" s="1"/>
  <c r="D2296" i="12" s="1"/>
  <c r="D2297" i="12" s="1"/>
  <c r="D2298" i="12" s="1"/>
  <c r="D2299" i="12" s="1"/>
  <c r="D2300" i="12" s="1"/>
  <c r="D2301" i="12" s="1"/>
  <c r="D2302" i="12" s="1"/>
  <c r="D2303" i="12" s="1"/>
  <c r="D2304" i="12" s="1"/>
  <c r="D2305" i="12" s="1"/>
  <c r="D2306" i="12" s="1"/>
  <c r="D2307" i="12" s="1"/>
  <c r="D2308" i="12" s="1"/>
  <c r="D2309" i="12" s="1"/>
  <c r="D2310" i="12" s="1"/>
  <c r="D2311" i="12" s="1"/>
  <c r="D2312" i="12" s="1"/>
  <c r="D2313" i="12" s="1"/>
  <c r="D2314" i="12" s="1"/>
  <c r="D2315" i="12" s="1"/>
  <c r="D2316" i="12" s="1"/>
  <c r="D2317" i="12" s="1"/>
  <c r="D2318" i="12" s="1"/>
  <c r="D2319" i="12" s="1"/>
  <c r="D2320" i="12" s="1"/>
  <c r="D2321" i="12" s="1"/>
  <c r="D2322" i="12" s="1"/>
  <c r="D2323" i="12" s="1"/>
  <c r="D2324" i="12" s="1"/>
  <c r="D2325" i="12" s="1"/>
  <c r="D2326" i="12" s="1"/>
  <c r="D2327" i="12" s="1"/>
  <c r="D2328" i="12" s="1"/>
  <c r="D2329" i="12" s="1"/>
  <c r="D2330" i="12" s="1"/>
  <c r="D2331" i="12" s="1"/>
  <c r="D2332" i="12" s="1"/>
  <c r="D2333" i="12" s="1"/>
  <c r="D2334" i="12" s="1"/>
  <c r="D2335" i="12" s="1"/>
  <c r="D2336" i="12" s="1"/>
  <c r="D2337" i="12" s="1"/>
  <c r="D2338" i="12" s="1"/>
  <c r="D2339" i="12" s="1"/>
  <c r="D2340" i="12" s="1"/>
  <c r="D2341" i="12" s="1"/>
  <c r="D2342" i="12" s="1"/>
  <c r="D2343" i="12" s="1"/>
  <c r="D2344" i="12" s="1"/>
  <c r="D2345" i="12" s="1"/>
  <c r="D2346" i="12" s="1"/>
  <c r="D2347" i="12" s="1"/>
  <c r="D2348" i="12" s="1"/>
  <c r="D2349" i="12" s="1"/>
  <c r="D2350" i="12" s="1"/>
  <c r="D2351" i="12" s="1"/>
  <c r="D2352" i="12" s="1"/>
  <c r="D2353" i="12" s="1"/>
  <c r="D2354" i="12" s="1"/>
  <c r="D2355" i="12" s="1"/>
  <c r="D2356" i="12" s="1"/>
  <c r="D2357" i="12" s="1"/>
  <c r="D2358" i="12" s="1"/>
  <c r="D2359" i="12" s="1"/>
  <c r="D2360" i="12" s="1"/>
  <c r="D2361" i="12" s="1"/>
  <c r="D2362" i="12" s="1"/>
  <c r="D2363" i="12" s="1"/>
  <c r="D2364" i="12" s="1"/>
  <c r="D2365" i="12" s="1"/>
  <c r="D2366" i="12" s="1"/>
  <c r="D2367" i="12" s="1"/>
  <c r="D2368" i="12" s="1"/>
  <c r="D2369" i="12" s="1"/>
  <c r="D2370" i="12" s="1"/>
  <c r="D2371" i="12" s="1"/>
  <c r="D2372" i="12" s="1"/>
  <c r="D2373" i="12" s="1"/>
  <c r="D2374" i="12" s="1"/>
  <c r="D2375" i="12" s="1"/>
  <c r="D2376" i="12" s="1"/>
  <c r="D2377" i="12" s="1"/>
  <c r="D2378" i="12" s="1"/>
  <c r="D2379" i="12" s="1"/>
  <c r="D2380" i="12" s="1"/>
  <c r="D2381" i="12" s="1"/>
  <c r="D2382" i="12" s="1"/>
  <c r="D2383" i="12" s="1"/>
  <c r="D2384" i="12" s="1"/>
  <c r="D2385" i="12" s="1"/>
  <c r="D2386" i="12" s="1"/>
  <c r="D2387" i="12" s="1"/>
  <c r="D2388" i="12" s="1"/>
  <c r="D2389" i="12" s="1"/>
  <c r="D2390" i="12" s="1"/>
  <c r="D2391" i="12" s="1"/>
  <c r="D2392" i="12" s="1"/>
  <c r="D2393" i="12" s="1"/>
  <c r="D2394" i="12" s="1"/>
  <c r="D2395" i="12" s="1"/>
  <c r="D2396" i="12" s="1"/>
  <c r="D2397" i="12" s="1"/>
  <c r="D2398" i="12" s="1"/>
  <c r="D2399" i="12" s="1"/>
  <c r="D2400" i="12" s="1"/>
  <c r="D2401" i="12" s="1"/>
  <c r="D2402" i="12" s="1"/>
  <c r="D2403" i="12" s="1"/>
  <c r="D2404" i="12" s="1"/>
  <c r="D2405" i="12" s="1"/>
  <c r="D2406" i="12" s="1"/>
  <c r="D2407" i="12" s="1"/>
  <c r="D2408" i="12" s="1"/>
  <c r="D2409" i="12" s="1"/>
  <c r="D2410" i="12" s="1"/>
  <c r="D2411" i="12" s="1"/>
  <c r="D2412" i="12" s="1"/>
  <c r="D2413" i="12" s="1"/>
  <c r="D2414" i="12" s="1"/>
  <c r="D2415" i="12" s="1"/>
  <c r="D2416" i="12" s="1"/>
  <c r="D2417" i="12" s="1"/>
  <c r="D2418" i="12" s="1"/>
  <c r="D2419" i="12" s="1"/>
  <c r="D2420" i="12" s="1"/>
  <c r="D2421" i="12" s="1"/>
  <c r="D2422" i="12" s="1"/>
  <c r="D2423" i="12" s="1"/>
  <c r="D2424" i="12" s="1"/>
  <c r="D2425" i="12" s="1"/>
  <c r="D2426" i="12" s="1"/>
  <c r="D2427" i="12" s="1"/>
  <c r="D2428" i="12" s="1"/>
  <c r="D2429" i="12" s="1"/>
  <c r="D2430" i="12" s="1"/>
  <c r="D2431" i="12" s="1"/>
  <c r="D2432" i="12" s="1"/>
  <c r="D2433" i="12" s="1"/>
  <c r="D2434" i="12" s="1"/>
  <c r="D2435" i="12" s="1"/>
  <c r="D2436" i="12" s="1"/>
  <c r="D2437" i="12" s="1"/>
  <c r="D2438" i="12" s="1"/>
  <c r="D2439" i="12" s="1"/>
  <c r="D2440" i="12" s="1"/>
  <c r="D2441" i="12" s="1"/>
  <c r="D2442" i="12" s="1"/>
  <c r="D2443" i="12" s="1"/>
  <c r="D2444" i="12" s="1"/>
  <c r="D2445" i="12" s="1"/>
  <c r="D2446" i="12" s="1"/>
  <c r="D2447" i="12" s="1"/>
  <c r="D2448" i="12" s="1"/>
  <c r="D2449" i="12" s="1"/>
  <c r="D2450" i="12" s="1"/>
  <c r="D2451" i="12" s="1"/>
  <c r="D2452" i="12" s="1"/>
  <c r="D2453" i="12" s="1"/>
  <c r="D2454" i="12" s="1"/>
  <c r="D2455" i="12" s="1"/>
  <c r="D2456" i="12" s="1"/>
  <c r="D2457" i="12" s="1"/>
  <c r="D2458" i="12" s="1"/>
  <c r="D2459" i="12" s="1"/>
  <c r="D2460" i="12" s="1"/>
  <c r="D2461" i="12" s="1"/>
  <c r="D2462" i="12" s="1"/>
  <c r="D2463" i="12" s="1"/>
  <c r="D2464" i="12" s="1"/>
  <c r="D2465" i="12" s="1"/>
  <c r="D2466" i="12" s="1"/>
  <c r="D2467" i="12" s="1"/>
  <c r="D2468" i="12" s="1"/>
  <c r="D2469" i="12" s="1"/>
  <c r="D2470" i="12" s="1"/>
  <c r="D2471" i="12" s="1"/>
  <c r="D2472" i="12" s="1"/>
  <c r="D2473" i="12" s="1"/>
  <c r="D2474" i="12" s="1"/>
  <c r="D2475" i="12" s="1"/>
  <c r="D2476" i="12" s="1"/>
  <c r="D2477" i="12" s="1"/>
  <c r="D2478" i="12" s="1"/>
  <c r="D2479" i="12" s="1"/>
  <c r="D2480" i="12" s="1"/>
  <c r="D2481" i="12" s="1"/>
  <c r="D2482" i="12" s="1"/>
  <c r="D2483" i="12" s="1"/>
  <c r="D2484" i="12" s="1"/>
  <c r="D2485" i="12" s="1"/>
  <c r="D2486" i="12" s="1"/>
  <c r="D2487" i="12" s="1"/>
  <c r="D2488" i="12" s="1"/>
  <c r="D2489" i="12" s="1"/>
  <c r="D2490" i="12" s="1"/>
  <c r="D2491" i="12" s="1"/>
  <c r="D2492" i="12" s="1"/>
  <c r="D2493" i="12" s="1"/>
  <c r="D2494" i="12" s="1"/>
  <c r="D2495" i="12" s="1"/>
  <c r="D2496" i="12" s="1"/>
  <c r="D2497" i="12" s="1"/>
  <c r="D2498" i="12" s="1"/>
  <c r="D2499" i="12" s="1"/>
  <c r="D2500" i="12" s="1"/>
  <c r="D2501" i="12" s="1"/>
  <c r="D2502" i="12" s="1"/>
  <c r="D2503" i="12" s="1"/>
  <c r="D2504" i="12" s="1"/>
  <c r="D2505" i="12" s="1"/>
  <c r="D2506" i="12" s="1"/>
  <c r="D2507" i="12" s="1"/>
  <c r="D2508" i="12" s="1"/>
  <c r="D2509" i="12" s="1"/>
  <c r="D2510" i="12" s="1"/>
  <c r="D2511" i="12" s="1"/>
  <c r="D2512" i="12" s="1"/>
  <c r="D2513" i="12" s="1"/>
  <c r="D2514" i="12" s="1"/>
  <c r="D2515" i="12" s="1"/>
  <c r="D2516" i="12" s="1"/>
  <c r="D2517" i="12" s="1"/>
  <c r="D2518" i="12" s="1"/>
  <c r="D2519" i="12" s="1"/>
  <c r="D2520" i="12" s="1"/>
  <c r="D2521" i="12" s="1"/>
  <c r="D2522" i="12" s="1"/>
  <c r="D2523" i="12" s="1"/>
  <c r="D2524" i="12" s="1"/>
  <c r="D2525" i="12" s="1"/>
  <c r="D2526" i="12" s="1"/>
  <c r="D2527" i="12" s="1"/>
  <c r="D2528" i="12" s="1"/>
  <c r="D2529" i="12" s="1"/>
  <c r="D2530" i="12" s="1"/>
  <c r="D2531" i="12" s="1"/>
  <c r="D2532" i="12" s="1"/>
  <c r="D2533" i="12" s="1"/>
  <c r="D2534" i="12" s="1"/>
  <c r="D2535" i="12" s="1"/>
  <c r="D2536" i="12" s="1"/>
  <c r="D2537" i="12" s="1"/>
  <c r="D2538" i="12" s="1"/>
  <c r="D2539" i="12" s="1"/>
  <c r="D2540" i="12" s="1"/>
  <c r="D2541" i="12" s="1"/>
  <c r="D2542" i="12" s="1"/>
  <c r="D2543" i="12" s="1"/>
  <c r="D2544" i="12" s="1"/>
  <c r="D2545" i="12" s="1"/>
  <c r="D2546" i="12" s="1"/>
  <c r="D2547" i="12" s="1"/>
  <c r="D2548" i="12" s="1"/>
  <c r="D2549" i="12" s="1"/>
  <c r="D2550" i="12" s="1"/>
  <c r="D2551" i="12" s="1"/>
  <c r="D2552" i="12" s="1"/>
  <c r="D2553" i="12" s="1"/>
  <c r="D2554" i="12" s="1"/>
  <c r="D2555" i="12" s="1"/>
  <c r="D2556" i="12" s="1"/>
  <c r="D2557" i="12" s="1"/>
  <c r="D2558" i="12" s="1"/>
  <c r="D2559" i="12" s="1"/>
  <c r="D2560" i="12" s="1"/>
  <c r="D2561" i="12" s="1"/>
  <c r="D2562" i="12" s="1"/>
  <c r="D2563" i="12" s="1"/>
  <c r="D2564" i="12" s="1"/>
  <c r="D2565" i="12" s="1"/>
  <c r="D2566" i="12" s="1"/>
  <c r="D2567" i="12" s="1"/>
  <c r="D2568" i="12" s="1"/>
  <c r="D2569" i="12" s="1"/>
  <c r="D2570" i="12" s="1"/>
  <c r="D2571" i="12" s="1"/>
  <c r="D2572" i="12" s="1"/>
  <c r="D2573" i="12" s="1"/>
  <c r="D2574" i="12" s="1"/>
  <c r="D2575" i="12" s="1"/>
  <c r="D2576" i="12" s="1"/>
  <c r="D2577" i="12" s="1"/>
  <c r="D2578" i="12" s="1"/>
  <c r="D2579" i="12" s="1"/>
  <c r="D2580" i="12" s="1"/>
  <c r="D2581" i="12" s="1"/>
  <c r="D2582" i="12" s="1"/>
  <c r="D2583" i="12" s="1"/>
  <c r="D2584" i="12" s="1"/>
  <c r="D2585" i="12" s="1"/>
  <c r="D2586" i="12" s="1"/>
  <c r="D2587" i="12" s="1"/>
  <c r="D2588" i="12" s="1"/>
  <c r="D2589" i="12" s="1"/>
  <c r="D2590" i="12" s="1"/>
  <c r="D2591" i="12" s="1"/>
  <c r="D2592" i="12" s="1"/>
  <c r="D2593" i="12" s="1"/>
  <c r="D2594" i="12" s="1"/>
  <c r="D2595" i="12" s="1"/>
  <c r="D2596" i="12" s="1"/>
  <c r="D2597" i="12" s="1"/>
  <c r="D2598" i="12" s="1"/>
  <c r="D2599" i="12" s="1"/>
  <c r="D2600" i="12" s="1"/>
  <c r="D2601" i="12" s="1"/>
  <c r="D2602" i="12" s="1"/>
  <c r="D2603" i="12" s="1"/>
  <c r="D2604" i="12" s="1"/>
  <c r="D2605" i="12" s="1"/>
  <c r="D2606" i="12" s="1"/>
  <c r="D2607" i="12" s="1"/>
  <c r="D2608" i="12" s="1"/>
  <c r="D2609" i="12" s="1"/>
  <c r="D2610" i="12" s="1"/>
  <c r="D2611" i="12" s="1"/>
  <c r="D2612" i="12" s="1"/>
  <c r="D2613" i="12" s="1"/>
  <c r="D2614" i="12" s="1"/>
  <c r="D2615" i="12" s="1"/>
  <c r="D2616" i="12" s="1"/>
  <c r="D2617" i="12" s="1"/>
  <c r="D2618" i="12" s="1"/>
  <c r="D2619" i="12" s="1"/>
  <c r="D2620" i="12" s="1"/>
  <c r="D2621" i="12" s="1"/>
  <c r="D2622" i="12" s="1"/>
  <c r="D2623" i="12" s="1"/>
  <c r="D2624" i="12" s="1"/>
  <c r="D2625" i="12" s="1"/>
  <c r="D2626" i="12" s="1"/>
  <c r="D2627" i="12" s="1"/>
  <c r="D2628" i="12" s="1"/>
  <c r="D2629" i="12" s="1"/>
  <c r="D2630" i="12" s="1"/>
  <c r="D2631" i="12" s="1"/>
  <c r="D2632" i="12" s="1"/>
  <c r="D2633" i="12" s="1"/>
  <c r="D2634" i="12" s="1"/>
  <c r="D2635" i="12" s="1"/>
  <c r="D2636" i="12" s="1"/>
  <c r="D2637" i="12" s="1"/>
  <c r="D2638" i="12" s="1"/>
  <c r="D2639" i="12" s="1"/>
  <c r="D2640" i="12" s="1"/>
  <c r="D2641" i="12" s="1"/>
  <c r="D2642" i="12" s="1"/>
  <c r="D2643" i="12" s="1"/>
  <c r="D2644" i="12" s="1"/>
  <c r="D2645" i="12" s="1"/>
  <c r="D2646" i="12" s="1"/>
  <c r="D2647" i="12" s="1"/>
  <c r="D2648" i="12" s="1"/>
  <c r="D2649" i="12" s="1"/>
  <c r="D2650" i="12" s="1"/>
  <c r="D2651" i="12" s="1"/>
  <c r="D2652" i="12" s="1"/>
  <c r="D2653" i="12" s="1"/>
  <c r="D2654" i="12" s="1"/>
  <c r="D2655" i="12" s="1"/>
  <c r="D2656" i="12" s="1"/>
  <c r="D2657" i="12" s="1"/>
  <c r="D2658" i="12" s="1"/>
  <c r="D2659" i="12" s="1"/>
  <c r="D2660" i="12" s="1"/>
  <c r="D2661" i="12" s="1"/>
  <c r="D2662" i="12" s="1"/>
  <c r="D2663" i="12" s="1"/>
  <c r="D2664" i="12" s="1"/>
  <c r="D2665" i="12" s="1"/>
  <c r="D2666" i="12" s="1"/>
  <c r="D2667" i="12" s="1"/>
  <c r="D2668" i="12" s="1"/>
  <c r="D2669" i="12" s="1"/>
  <c r="D2670" i="12" s="1"/>
  <c r="D2671" i="12" s="1"/>
  <c r="D2672" i="12" s="1"/>
  <c r="D2673" i="12" s="1"/>
  <c r="D2674" i="12" s="1"/>
  <c r="D2675" i="12" s="1"/>
  <c r="D2676" i="12" s="1"/>
  <c r="D2677" i="12" s="1"/>
  <c r="D2678" i="12" s="1"/>
  <c r="D2679" i="12" s="1"/>
  <c r="D2680" i="12" s="1"/>
  <c r="D2681" i="12" s="1"/>
  <c r="D2682" i="12" s="1"/>
  <c r="D2683" i="12" s="1"/>
  <c r="D2684" i="12" s="1"/>
  <c r="D2685" i="12" s="1"/>
  <c r="D2686" i="12" s="1"/>
  <c r="D2687" i="12" s="1"/>
  <c r="D2688" i="12" s="1"/>
  <c r="D2689" i="12" s="1"/>
  <c r="D2690" i="12" s="1"/>
  <c r="D2691" i="12" s="1"/>
  <c r="D2692" i="12" s="1"/>
  <c r="D2693" i="12" s="1"/>
  <c r="D2694" i="12" s="1"/>
  <c r="D2695" i="12" s="1"/>
  <c r="D2696" i="12" s="1"/>
  <c r="D2697" i="12" s="1"/>
  <c r="D2698" i="12" s="1"/>
  <c r="D2699" i="12" s="1"/>
  <c r="D2700" i="12" s="1"/>
  <c r="D2701" i="12" s="1"/>
  <c r="D2702" i="12" s="1"/>
  <c r="D2703" i="12" s="1"/>
  <c r="D2704" i="12" s="1"/>
  <c r="D2705" i="12" s="1"/>
  <c r="D2706" i="12" s="1"/>
  <c r="D2707" i="12" s="1"/>
  <c r="D2708" i="12" s="1"/>
  <c r="D2709" i="12" s="1"/>
  <c r="D2710" i="12" s="1"/>
  <c r="D2711" i="12" s="1"/>
  <c r="D2712" i="12" s="1"/>
  <c r="D2713" i="12" s="1"/>
  <c r="D2714" i="12" s="1"/>
  <c r="D2715" i="12" s="1"/>
  <c r="D2716" i="12" s="1"/>
  <c r="D2717" i="12" s="1"/>
  <c r="D2718" i="12" s="1"/>
  <c r="D2719" i="12" s="1"/>
  <c r="D2720" i="12" s="1"/>
  <c r="D2721" i="12" s="1"/>
  <c r="D2722" i="12" s="1"/>
  <c r="D2723" i="12" s="1"/>
  <c r="D2724" i="12" s="1"/>
  <c r="D2725" i="12" s="1"/>
  <c r="D2726" i="12" s="1"/>
  <c r="D2727" i="12" s="1"/>
  <c r="D2728" i="12" s="1"/>
  <c r="D2729" i="12" s="1"/>
  <c r="D2730" i="12" s="1"/>
  <c r="D2731" i="12" s="1"/>
  <c r="D2732" i="12" s="1"/>
  <c r="D2733" i="12" s="1"/>
  <c r="D2734" i="12" s="1"/>
  <c r="D2735" i="12" s="1"/>
  <c r="D2736" i="12" s="1"/>
  <c r="D2737" i="12" s="1"/>
  <c r="D2738" i="12" s="1"/>
  <c r="D2739" i="12" s="1"/>
  <c r="D2740" i="12" s="1"/>
  <c r="D2741" i="12" s="1"/>
  <c r="D2742" i="12" s="1"/>
  <c r="D2743" i="12" s="1"/>
  <c r="D2744" i="12" s="1"/>
  <c r="D2745" i="12" s="1"/>
  <c r="D2746" i="12" s="1"/>
  <c r="D2747" i="12" s="1"/>
  <c r="D2748" i="12" s="1"/>
  <c r="D2749" i="12" s="1"/>
  <c r="D2750" i="12" s="1"/>
  <c r="D2751" i="12" s="1"/>
  <c r="D2752" i="12" s="1"/>
  <c r="D2753" i="12" s="1"/>
  <c r="D2754" i="12" s="1"/>
  <c r="D2755" i="12" s="1"/>
  <c r="D2756" i="12" s="1"/>
  <c r="D2757" i="12" s="1"/>
  <c r="D2758" i="12" s="1"/>
  <c r="D2759" i="12" s="1"/>
  <c r="D2760" i="12" s="1"/>
  <c r="D2761" i="12" s="1"/>
  <c r="D2762" i="12" s="1"/>
  <c r="D2763" i="12" s="1"/>
  <c r="D2764" i="12" s="1"/>
  <c r="D2765" i="12" s="1"/>
  <c r="D2766" i="12" s="1"/>
  <c r="D2767" i="12" s="1"/>
  <c r="D2768" i="12" s="1"/>
  <c r="D2769" i="12" s="1"/>
  <c r="D2770" i="12" s="1"/>
  <c r="D2771" i="12" s="1"/>
  <c r="D2772" i="12" s="1"/>
  <c r="D2773" i="12" s="1"/>
  <c r="D2774" i="12" s="1"/>
  <c r="D2775" i="12" s="1"/>
  <c r="D2776" i="12" s="1"/>
  <c r="D2777" i="12" s="1"/>
  <c r="D2778" i="12" s="1"/>
  <c r="D2779" i="12" s="1"/>
  <c r="D2780" i="12" s="1"/>
  <c r="D2781" i="12" s="1"/>
  <c r="D2782" i="12" s="1"/>
  <c r="D2783" i="12" s="1"/>
  <c r="D2784" i="12" s="1"/>
  <c r="D2785" i="12" s="1"/>
  <c r="D2786" i="12" s="1"/>
  <c r="D2787" i="12" s="1"/>
  <c r="D2788" i="12" s="1"/>
  <c r="D2789" i="12" s="1"/>
  <c r="D2790" i="12" s="1"/>
  <c r="D2791" i="12" s="1"/>
  <c r="D2792" i="12" s="1"/>
  <c r="D2793" i="12" s="1"/>
  <c r="D2794" i="12" s="1"/>
  <c r="D2795" i="12" s="1"/>
  <c r="D2796" i="12" s="1"/>
  <c r="D2797" i="12" s="1"/>
  <c r="D2798" i="12" s="1"/>
  <c r="D2799" i="12" s="1"/>
  <c r="D2800" i="12" s="1"/>
  <c r="D2801" i="12" s="1"/>
  <c r="D2802" i="12" s="1"/>
  <c r="D2803" i="12" s="1"/>
  <c r="D2804" i="12" s="1"/>
  <c r="D2805" i="12" s="1"/>
  <c r="D2806" i="12" s="1"/>
  <c r="D2807" i="12" s="1"/>
  <c r="D2808" i="12" s="1"/>
  <c r="D2809" i="12" s="1"/>
  <c r="D2810" i="12" s="1"/>
  <c r="D2811" i="12" s="1"/>
  <c r="D2812" i="12" s="1"/>
  <c r="D2813" i="12" s="1"/>
  <c r="D2814" i="12" s="1"/>
  <c r="D2815" i="12" s="1"/>
  <c r="D2816" i="12" s="1"/>
  <c r="D2817" i="12" s="1"/>
  <c r="D2818" i="12" s="1"/>
  <c r="D2819" i="12" s="1"/>
  <c r="D2820" i="12" s="1"/>
  <c r="D2821" i="12" s="1"/>
  <c r="D2822" i="12" s="1"/>
  <c r="D2823" i="12" s="1"/>
  <c r="D2824" i="12" s="1"/>
  <c r="D2825" i="12" s="1"/>
  <c r="D2826" i="12" s="1"/>
  <c r="D2827" i="12" s="1"/>
  <c r="D2828" i="12" s="1"/>
  <c r="D2829" i="12" s="1"/>
  <c r="D2830" i="12" s="1"/>
  <c r="D2831" i="12" s="1"/>
  <c r="D2832" i="12" s="1"/>
  <c r="D2833" i="12" s="1"/>
  <c r="D2834" i="12" s="1"/>
  <c r="D2835" i="12" s="1"/>
  <c r="D2836" i="12" s="1"/>
  <c r="D2837" i="12" s="1"/>
  <c r="D2838" i="12" s="1"/>
  <c r="D2839" i="12" s="1"/>
  <c r="D2840" i="12" s="1"/>
  <c r="D2841" i="12" s="1"/>
  <c r="D2842" i="12" s="1"/>
  <c r="D2843" i="12" s="1"/>
  <c r="D2844" i="12" s="1"/>
  <c r="D2845" i="12" s="1"/>
  <c r="D2846" i="12" s="1"/>
  <c r="D2847" i="12" s="1"/>
  <c r="D2848" i="12" s="1"/>
  <c r="D2849" i="12" s="1"/>
  <c r="D2850" i="12" s="1"/>
  <c r="D2851" i="12" s="1"/>
  <c r="D2852" i="12" s="1"/>
  <c r="D2853" i="12" s="1"/>
  <c r="D2854" i="12" s="1"/>
  <c r="D2855" i="12" s="1"/>
  <c r="D2856" i="12" s="1"/>
  <c r="D2857" i="12" s="1"/>
  <c r="D2858" i="12" s="1"/>
  <c r="D2859" i="12" s="1"/>
  <c r="D2860" i="12" s="1"/>
  <c r="D2861" i="12" s="1"/>
  <c r="D2862" i="12" s="1"/>
  <c r="D2863" i="12" s="1"/>
  <c r="D2864" i="12" s="1"/>
  <c r="D2865" i="12" s="1"/>
  <c r="D2866" i="12" s="1"/>
  <c r="D2867" i="12" s="1"/>
  <c r="D2868" i="12" s="1"/>
  <c r="D2869" i="12" s="1"/>
  <c r="D2870" i="12" s="1"/>
  <c r="D2871" i="12" s="1"/>
  <c r="D2872" i="12" s="1"/>
  <c r="D2873" i="12" s="1"/>
  <c r="D2874" i="12" s="1"/>
  <c r="D2875" i="12" s="1"/>
  <c r="D2876" i="12" s="1"/>
  <c r="D2877" i="12" s="1"/>
  <c r="D2878" i="12" s="1"/>
  <c r="D2879" i="12" s="1"/>
  <c r="D2880" i="12" s="1"/>
  <c r="D2881" i="12" s="1"/>
  <c r="D2882" i="12" s="1"/>
  <c r="D2883" i="12" s="1"/>
  <c r="D2884" i="12" s="1"/>
  <c r="D2885" i="12" s="1"/>
  <c r="D2886" i="12" s="1"/>
  <c r="D2887" i="12" s="1"/>
  <c r="D2888" i="12" s="1"/>
  <c r="D2889" i="12" s="1"/>
  <c r="D2890" i="12" s="1"/>
  <c r="D2891" i="12" s="1"/>
  <c r="D2892" i="12" s="1"/>
  <c r="D2893" i="12" s="1"/>
  <c r="D2894" i="12" s="1"/>
  <c r="D2895" i="12" s="1"/>
  <c r="D2896" i="12" s="1"/>
  <c r="D2897" i="12" s="1"/>
  <c r="D2898" i="12" s="1"/>
  <c r="D2899" i="12" s="1"/>
  <c r="D2900" i="12" s="1"/>
  <c r="D2901" i="12" s="1"/>
  <c r="D2902" i="12" s="1"/>
  <c r="D2903" i="12" s="1"/>
  <c r="D2904" i="12" s="1"/>
  <c r="D2905" i="12" s="1"/>
  <c r="D2906" i="12" s="1"/>
  <c r="D2907" i="12" s="1"/>
  <c r="D2908" i="12" s="1"/>
  <c r="D2909" i="12" s="1"/>
  <c r="D2910" i="12" s="1"/>
  <c r="D2911" i="12" s="1"/>
  <c r="D2912" i="12" s="1"/>
  <c r="D2913" i="12" s="1"/>
  <c r="D2914" i="12" s="1"/>
  <c r="D2915" i="12" s="1"/>
  <c r="D2916" i="12" s="1"/>
  <c r="D2917" i="12" s="1"/>
  <c r="D2918" i="12" s="1"/>
  <c r="D2919" i="12" s="1"/>
  <c r="D2920" i="12" s="1"/>
  <c r="D2921" i="12" s="1"/>
  <c r="D2922" i="12" s="1"/>
  <c r="D2923" i="12" s="1"/>
  <c r="D2924" i="12" s="1"/>
  <c r="D2925" i="12" s="1"/>
  <c r="D2926" i="12" s="1"/>
  <c r="D2927" i="12" s="1"/>
  <c r="D2928" i="12" s="1"/>
  <c r="D2929" i="12" s="1"/>
  <c r="D2930" i="12" s="1"/>
  <c r="D2931" i="12" s="1"/>
  <c r="D2932" i="12" s="1"/>
  <c r="D2933" i="12" s="1"/>
  <c r="D2934" i="12" s="1"/>
  <c r="D2935" i="12" s="1"/>
  <c r="D2936" i="12" s="1"/>
  <c r="D2937" i="12" s="1"/>
  <c r="D2938" i="12" s="1"/>
  <c r="D2939" i="12" s="1"/>
  <c r="D2940" i="12" s="1"/>
  <c r="D2941" i="12" s="1"/>
  <c r="D2942" i="12" s="1"/>
  <c r="D2943" i="12" s="1"/>
  <c r="D2944" i="12" s="1"/>
  <c r="D2945" i="12" s="1"/>
  <c r="D2946" i="12" s="1"/>
  <c r="D2947" i="12" s="1"/>
  <c r="D2948" i="12" s="1"/>
  <c r="D2949" i="12" s="1"/>
  <c r="D2950" i="12" s="1"/>
  <c r="D2951" i="12" s="1"/>
  <c r="D2952" i="12" s="1"/>
  <c r="D2953" i="12" s="1"/>
  <c r="D2954" i="12" s="1"/>
  <c r="D2955" i="12" s="1"/>
  <c r="D2956" i="12" s="1"/>
  <c r="D2957" i="12" s="1"/>
  <c r="D2958" i="12" s="1"/>
  <c r="D2959" i="12" s="1"/>
  <c r="D2960" i="12" s="1"/>
  <c r="D2961" i="12" s="1"/>
  <c r="D2962" i="12" s="1"/>
  <c r="D2963" i="12" s="1"/>
  <c r="D2964" i="12" s="1"/>
  <c r="D2965" i="12" s="1"/>
  <c r="D2966" i="12" s="1"/>
  <c r="D2967" i="12" s="1"/>
  <c r="D2968" i="12" s="1"/>
  <c r="D2969" i="12" s="1"/>
  <c r="D2970" i="12" s="1"/>
  <c r="D2971" i="12" s="1"/>
  <c r="D2972" i="12" s="1"/>
  <c r="D2973" i="12" s="1"/>
  <c r="D2974" i="12" s="1"/>
  <c r="D2975" i="12" s="1"/>
  <c r="D2976" i="12" s="1"/>
  <c r="D2977" i="12" s="1"/>
  <c r="D2978" i="12" s="1"/>
  <c r="D2979" i="12" s="1"/>
  <c r="D2980" i="12" s="1"/>
  <c r="D2981" i="12" s="1"/>
  <c r="D2982" i="12" s="1"/>
  <c r="D2983" i="12" s="1"/>
  <c r="D2984" i="12" s="1"/>
  <c r="D2985" i="12" s="1"/>
  <c r="D2986" i="12" s="1"/>
  <c r="D2987" i="12" s="1"/>
  <c r="D2988" i="12" s="1"/>
  <c r="D2989" i="12" s="1"/>
  <c r="D2990" i="12" s="1"/>
  <c r="D2991" i="12" s="1"/>
  <c r="D2992" i="12" s="1"/>
  <c r="D2993" i="12" s="1"/>
  <c r="D2994" i="12" s="1"/>
  <c r="D2995" i="12" s="1"/>
  <c r="D2996" i="12" s="1"/>
  <c r="D2997" i="12" s="1"/>
  <c r="D2998" i="12" s="1"/>
  <c r="D2999" i="12" s="1"/>
  <c r="D3000" i="12" s="1"/>
  <c r="D3001" i="12" s="1"/>
  <c r="D3002" i="12" s="1"/>
  <c r="D3003" i="12" s="1"/>
  <c r="D3004" i="12" s="1"/>
  <c r="D3005" i="12" s="1"/>
  <c r="D3006" i="12" s="1"/>
  <c r="D3007" i="12" s="1"/>
  <c r="D3008" i="12" s="1"/>
  <c r="D3009" i="12" s="1"/>
  <c r="D3010" i="12" s="1"/>
  <c r="D3011" i="12" s="1"/>
  <c r="D3012" i="12" s="1"/>
  <c r="D3013" i="12" s="1"/>
  <c r="D3014" i="12" s="1"/>
  <c r="D3015" i="12" s="1"/>
  <c r="D3016" i="12" s="1"/>
  <c r="D3017" i="12" s="1"/>
  <c r="D3018" i="12" s="1"/>
  <c r="D3019" i="12" s="1"/>
  <c r="D3020" i="12" s="1"/>
  <c r="D3021" i="12" s="1"/>
  <c r="D3022" i="12" s="1"/>
  <c r="D3023" i="12" s="1"/>
  <c r="D3024" i="12" s="1"/>
  <c r="D3025" i="12" s="1"/>
  <c r="D3026" i="12" s="1"/>
  <c r="D3027" i="12" s="1"/>
  <c r="D3028" i="12" s="1"/>
  <c r="D3029" i="12" s="1"/>
  <c r="D3030" i="12" s="1"/>
  <c r="D3031" i="12" s="1"/>
  <c r="D3032" i="12" s="1"/>
  <c r="D3033" i="12" s="1"/>
  <c r="D3034" i="12" s="1"/>
  <c r="D3035" i="12" s="1"/>
  <c r="D3036" i="12" s="1"/>
  <c r="D3037" i="12" s="1"/>
  <c r="D3038" i="12" s="1"/>
  <c r="D3039" i="12" s="1"/>
  <c r="D3040" i="12" s="1"/>
  <c r="D3041" i="12" s="1"/>
  <c r="D3042" i="12" s="1"/>
  <c r="D3043" i="12" s="1"/>
  <c r="D3044" i="12" s="1"/>
  <c r="D3045" i="12" s="1"/>
  <c r="D3046" i="12" s="1"/>
  <c r="D3047" i="12" s="1"/>
  <c r="D3048" i="12" s="1"/>
  <c r="D3049" i="12" s="1"/>
  <c r="D3050" i="12" s="1"/>
  <c r="D3051" i="12" s="1"/>
  <c r="D3052" i="12" s="1"/>
  <c r="D3053" i="12" s="1"/>
  <c r="D3054" i="12" s="1"/>
  <c r="D3055" i="12" s="1"/>
  <c r="D3056" i="12" s="1"/>
  <c r="D3057" i="12" s="1"/>
  <c r="D3058" i="12" s="1"/>
  <c r="D3059" i="12" s="1"/>
  <c r="D3060" i="12" s="1"/>
  <c r="D3061" i="12" s="1"/>
  <c r="D3062" i="12" s="1"/>
  <c r="D3063" i="12" s="1"/>
  <c r="D3064" i="12" s="1"/>
  <c r="D3065" i="12" s="1"/>
  <c r="D3066" i="12" s="1"/>
  <c r="D3067" i="12" s="1"/>
  <c r="D3068" i="12" s="1"/>
  <c r="D3069" i="12" s="1"/>
  <c r="D3070" i="12" s="1"/>
  <c r="D3071" i="12" s="1"/>
  <c r="D3072" i="12" s="1"/>
  <c r="D3073" i="12" s="1"/>
  <c r="D3074" i="12" s="1"/>
  <c r="D3075" i="12" s="1"/>
  <c r="D3076" i="12" s="1"/>
  <c r="D3077" i="12" s="1"/>
  <c r="D3078" i="12" s="1"/>
  <c r="D3079" i="12" s="1"/>
  <c r="D3080" i="12" s="1"/>
  <c r="D3081" i="12" s="1"/>
  <c r="D3082" i="12" s="1"/>
  <c r="D3083" i="12" s="1"/>
  <c r="D3084" i="12" s="1"/>
  <c r="D3085" i="12" s="1"/>
  <c r="D3086" i="12" s="1"/>
  <c r="D3087" i="12" s="1"/>
  <c r="D3088" i="12" s="1"/>
  <c r="D3089" i="12" s="1"/>
  <c r="D3090" i="12" s="1"/>
  <c r="D3091" i="12" s="1"/>
  <c r="D3092" i="12" s="1"/>
  <c r="D3093" i="12" s="1"/>
  <c r="D3094" i="12" s="1"/>
  <c r="D3095" i="12" s="1"/>
  <c r="D3096" i="12" s="1"/>
  <c r="D3097" i="12" s="1"/>
  <c r="D3098" i="12" s="1"/>
  <c r="D3099" i="12" s="1"/>
  <c r="D3100" i="12" s="1"/>
  <c r="D3101" i="12" s="1"/>
  <c r="D3102" i="12" s="1"/>
  <c r="D3103" i="12" s="1"/>
  <c r="D3104" i="12" s="1"/>
  <c r="D3105" i="12" s="1"/>
  <c r="D3106" i="12" s="1"/>
  <c r="D3107" i="12" s="1"/>
  <c r="D3108" i="12" s="1"/>
  <c r="D3109" i="12" s="1"/>
  <c r="D3110" i="12" s="1"/>
  <c r="D3111" i="12" s="1"/>
  <c r="D3112" i="12" s="1"/>
  <c r="D3113" i="12" s="1"/>
  <c r="AM7" i="9"/>
  <c r="AL7" i="9" s="1"/>
  <c r="AM8" i="9"/>
  <c r="AL8" i="9" s="1"/>
  <c r="AM9" i="9"/>
  <c r="AL9" i="9" s="1"/>
  <c r="AM10" i="9"/>
  <c r="AL10" i="9" s="1"/>
  <c r="AM11" i="9"/>
  <c r="AL11" i="9" s="1"/>
  <c r="AM12" i="9"/>
  <c r="AL12" i="9" s="1"/>
  <c r="AM13" i="9"/>
  <c r="AL13" i="9" s="1"/>
  <c r="AN6" i="9"/>
  <c r="AM6" i="9" s="1"/>
  <c r="AL6" i="9" s="1"/>
  <c r="E24" i="9"/>
  <c r="E25" i="9"/>
  <c r="E26" i="9"/>
  <c r="H24" i="9"/>
  <c r="H25" i="9"/>
  <c r="H26" i="9"/>
  <c r="G24" i="9"/>
  <c r="G25" i="9"/>
  <c r="G26" i="9"/>
  <c r="F24" i="9"/>
  <c r="F25" i="9"/>
  <c r="F26" i="9"/>
  <c r="D24" i="9"/>
  <c r="D25" i="9"/>
  <c r="D26" i="9"/>
  <c r="C24" i="9"/>
  <c r="C25" i="9"/>
  <c r="C26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A82" i="9"/>
  <c r="AB82" i="9"/>
  <c r="AC82" i="9"/>
  <c r="AA83" i="9"/>
  <c r="AB83" i="9"/>
  <c r="AC83" i="9"/>
  <c r="S3" i="2"/>
  <c r="V3" i="2" s="1"/>
  <c r="F176" i="2"/>
  <c r="T179" i="9" s="1"/>
  <c r="S179" i="9" s="1"/>
  <c r="F175" i="2"/>
  <c r="T178" i="9" s="1"/>
  <c r="S178" i="9" s="1"/>
  <c r="Q77" i="2"/>
  <c r="Z80" i="9" s="1"/>
  <c r="Y80" i="9" s="1"/>
  <c r="Q78" i="2"/>
  <c r="Z81" i="9" s="1"/>
  <c r="Y81" i="9" s="1"/>
  <c r="Q79" i="2"/>
  <c r="Z82" i="9" s="1"/>
  <c r="Y82" i="9" s="1"/>
  <c r="Q80" i="2"/>
  <c r="Z83" i="9" s="1"/>
  <c r="Y83" i="9" s="1"/>
  <c r="F174" i="2"/>
  <c r="T177" i="9" s="1"/>
  <c r="S177" i="9" s="1"/>
  <c r="F173" i="2"/>
  <c r="T176" i="9" s="1"/>
  <c r="S176" i="9" s="1"/>
  <c r="F172" i="2"/>
  <c r="T175" i="9" s="1"/>
  <c r="S175" i="9" s="1"/>
  <c r="F171" i="2"/>
  <c r="T174" i="9" s="1"/>
  <c r="S174" i="9" s="1"/>
  <c r="F170" i="2"/>
  <c r="T173" i="9" s="1"/>
  <c r="S173" i="9" s="1"/>
  <c r="F169" i="2"/>
  <c r="T172" i="9" s="1"/>
  <c r="S172" i="9" s="1"/>
  <c r="AB75" i="2"/>
  <c r="AB76" i="2"/>
  <c r="AB77" i="2"/>
  <c r="AB78" i="2"/>
  <c r="AF81" i="9" s="1"/>
  <c r="AE81" i="9" s="1"/>
  <c r="AB79" i="2"/>
  <c r="AF82" i="9" s="1"/>
  <c r="AE82" i="9" s="1"/>
  <c r="AB80" i="2"/>
  <c r="AF83" i="9" s="1"/>
  <c r="AE83" i="9" s="1"/>
  <c r="AB81" i="2"/>
  <c r="AF84" i="9" s="1"/>
  <c r="AE84" i="9" s="1"/>
  <c r="AB82" i="2"/>
  <c r="AF85" i="9" s="1"/>
  <c r="AE85" i="9" s="1"/>
  <c r="F168" i="2"/>
  <c r="T171" i="9" s="1"/>
  <c r="S171" i="9" s="1"/>
  <c r="F167" i="2"/>
  <c r="T170" i="9" s="1"/>
  <c r="S170" i="9" s="1"/>
  <c r="AB74" i="2"/>
  <c r="AB73" i="2"/>
  <c r="F166" i="2"/>
  <c r="T169" i="9" s="1"/>
  <c r="S169" i="9" s="1"/>
  <c r="F165" i="2"/>
  <c r="T168" i="9" s="1"/>
  <c r="S168" i="9" s="1"/>
  <c r="F164" i="2"/>
  <c r="T167" i="9" s="1"/>
  <c r="S167" i="9" s="1"/>
  <c r="F163" i="2"/>
  <c r="T166" i="9" s="1"/>
  <c r="S166" i="9" s="1"/>
  <c r="F162" i="2"/>
  <c r="T165" i="9" s="1"/>
  <c r="S165" i="9" s="1"/>
  <c r="F161" i="2"/>
  <c r="T164" i="9" s="1"/>
  <c r="S164" i="9" s="1"/>
  <c r="AB72" i="2"/>
  <c r="AB71" i="2"/>
  <c r="F160" i="2"/>
  <c r="T163" i="9" s="1"/>
  <c r="S163" i="9" s="1"/>
  <c r="F159" i="2"/>
  <c r="T162" i="9" s="1"/>
  <c r="S162" i="9" s="1"/>
  <c r="Q69" i="2"/>
  <c r="Z72" i="9" s="1"/>
  <c r="Y72" i="9" s="1"/>
  <c r="Q70" i="2"/>
  <c r="Z73" i="9" s="1"/>
  <c r="Y73" i="9" s="1"/>
  <c r="Q71" i="2"/>
  <c r="Z74" i="9" s="1"/>
  <c r="Y74" i="9" s="1"/>
  <c r="Q72" i="2"/>
  <c r="Z75" i="9" s="1"/>
  <c r="Y75" i="9" s="1"/>
  <c r="Q73" i="2"/>
  <c r="Z76" i="9" s="1"/>
  <c r="Y76" i="9" s="1"/>
  <c r="Q74" i="2"/>
  <c r="Z77" i="9" s="1"/>
  <c r="Y77" i="9" s="1"/>
  <c r="Q75" i="2"/>
  <c r="Z78" i="9" s="1"/>
  <c r="Y78" i="9" s="1"/>
  <c r="Q76" i="2"/>
  <c r="Z79" i="9" s="1"/>
  <c r="Y79" i="9" s="1"/>
  <c r="F158" i="2"/>
  <c r="T161" i="9" s="1"/>
  <c r="S161" i="9" s="1"/>
  <c r="F157" i="2"/>
  <c r="T160" i="9" s="1"/>
  <c r="S160" i="9" s="1"/>
  <c r="F156" i="2"/>
  <c r="T159" i="9" s="1"/>
  <c r="S159" i="9" s="1"/>
  <c r="AB70" i="2"/>
  <c r="I56" i="17"/>
  <c r="DA63" i="9" s="1"/>
  <c r="J56" i="17"/>
  <c r="I55" i="17"/>
  <c r="DA62" i="9" s="1"/>
  <c r="J55" i="17"/>
  <c r="I54" i="17"/>
  <c r="DA61" i="9" s="1"/>
  <c r="J54" i="17"/>
  <c r="AE10" i="17"/>
  <c r="F176" i="1"/>
  <c r="F132" i="1"/>
  <c r="F110" i="1"/>
  <c r="F107" i="1"/>
  <c r="F37" i="1"/>
  <c r="AK2" i="17"/>
  <c r="M3" i="19" s="1"/>
  <c r="N6" i="19" l="1"/>
  <c r="DG6" i="9" s="1"/>
  <c r="K3" i="12" s="1"/>
  <c r="N13" i="19"/>
  <c r="N12" i="19"/>
  <c r="N11" i="19"/>
  <c r="N10" i="19"/>
  <c r="N9" i="19"/>
  <c r="DG10" i="9" s="1"/>
  <c r="K953" i="12" s="1"/>
  <c r="N8" i="19"/>
  <c r="N15" i="19"/>
  <c r="N7" i="19"/>
  <c r="DG8" i="9" s="1"/>
  <c r="N14" i="19"/>
  <c r="DG9" i="9" l="1"/>
  <c r="K943" i="12" s="1"/>
  <c r="K393" i="12"/>
  <c r="DG11" i="9"/>
  <c r="DG7" i="9"/>
  <c r="K383" i="12" s="1"/>
  <c r="AF73" i="9" l="1"/>
  <c r="AE73" i="9" s="1"/>
  <c r="AF74" i="9"/>
  <c r="AE74" i="9" s="1"/>
  <c r="AF75" i="9"/>
  <c r="AE75" i="9" s="1"/>
  <c r="AF76" i="9"/>
  <c r="AE76" i="9" s="1"/>
  <c r="AF77" i="9"/>
  <c r="AE77" i="9" s="1"/>
  <c r="AF78" i="9"/>
  <c r="AE78" i="9" s="1"/>
  <c r="AF79" i="9"/>
  <c r="AE79" i="9" s="1"/>
  <c r="AF80" i="9"/>
  <c r="AE80" i="9" s="1"/>
  <c r="AA73" i="9"/>
  <c r="AB73" i="9"/>
  <c r="AC73" i="9"/>
  <c r="AA74" i="9"/>
  <c r="AB74" i="9"/>
  <c r="AC74" i="9"/>
  <c r="AA75" i="9"/>
  <c r="AB75" i="9"/>
  <c r="AC75" i="9"/>
  <c r="AA76" i="9"/>
  <c r="AB76" i="9"/>
  <c r="AC76" i="9"/>
  <c r="AA77" i="9"/>
  <c r="AB77" i="9"/>
  <c r="AC77" i="9"/>
  <c r="AA78" i="9"/>
  <c r="AB78" i="9"/>
  <c r="AC78" i="9"/>
  <c r="AA79" i="9"/>
  <c r="AB79" i="9"/>
  <c r="AC79" i="9"/>
  <c r="AA80" i="9"/>
  <c r="AB80" i="9"/>
  <c r="AC80" i="9"/>
  <c r="AA81" i="9"/>
  <c r="AB81" i="9"/>
  <c r="AC81" i="9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I14" i="11"/>
  <c r="J14" i="11"/>
  <c r="K14" i="11"/>
  <c r="I16" i="11"/>
  <c r="J16" i="11"/>
  <c r="K16" i="11"/>
  <c r="I17" i="11"/>
  <c r="J17" i="11"/>
  <c r="K17" i="11"/>
  <c r="I18" i="11"/>
  <c r="J18" i="11"/>
  <c r="K18" i="11"/>
  <c r="I19" i="11"/>
  <c r="J19" i="11"/>
  <c r="K19" i="11"/>
  <c r="I20" i="11"/>
  <c r="J20" i="11"/>
  <c r="K20" i="11"/>
  <c r="I21" i="11"/>
  <c r="J21" i="11"/>
  <c r="K21" i="11"/>
  <c r="I22" i="11"/>
  <c r="J22" i="11"/>
  <c r="K22" i="11"/>
  <c r="I23" i="11"/>
  <c r="J23" i="11"/>
  <c r="K23" i="11"/>
  <c r="I24" i="11"/>
  <c r="J24" i="11"/>
  <c r="K24" i="11"/>
  <c r="I25" i="11"/>
  <c r="J25" i="11"/>
  <c r="K25" i="11"/>
  <c r="I26" i="11"/>
  <c r="J26" i="11"/>
  <c r="K26" i="11"/>
  <c r="I27" i="11"/>
  <c r="J27" i="11"/>
  <c r="K27" i="11"/>
  <c r="I28" i="11"/>
  <c r="J28" i="11"/>
  <c r="K28" i="11"/>
  <c r="I29" i="11"/>
  <c r="J29" i="11"/>
  <c r="K29" i="11"/>
  <c r="I30" i="11"/>
  <c r="J30" i="11"/>
  <c r="K30" i="11"/>
  <c r="I31" i="11"/>
  <c r="J31" i="11"/>
  <c r="K31" i="11"/>
  <c r="I32" i="11"/>
  <c r="J32" i="11"/>
  <c r="K32" i="11"/>
  <c r="I33" i="11"/>
  <c r="J33" i="11"/>
  <c r="K33" i="11"/>
  <c r="I34" i="11"/>
  <c r="J34" i="11"/>
  <c r="K34" i="11"/>
  <c r="I35" i="11"/>
  <c r="J35" i="11"/>
  <c r="K35" i="11"/>
  <c r="I36" i="11"/>
  <c r="J36" i="11"/>
  <c r="K36" i="11"/>
  <c r="I37" i="11"/>
  <c r="J37" i="11"/>
  <c r="K37" i="11"/>
  <c r="I38" i="11"/>
  <c r="J38" i="11"/>
  <c r="K38" i="11"/>
  <c r="I39" i="11"/>
  <c r="J39" i="11"/>
  <c r="K39" i="11"/>
  <c r="I40" i="11"/>
  <c r="J40" i="11"/>
  <c r="K40" i="11"/>
  <c r="I41" i="11"/>
  <c r="J41" i="11"/>
  <c r="K41" i="11"/>
  <c r="I42" i="11"/>
  <c r="J42" i="11"/>
  <c r="K42" i="11"/>
  <c r="I43" i="11"/>
  <c r="J43" i="11"/>
  <c r="K43" i="11"/>
  <c r="I44" i="11"/>
  <c r="J44" i="11"/>
  <c r="K44" i="11"/>
  <c r="I45" i="11"/>
  <c r="J45" i="11"/>
  <c r="K45" i="11"/>
  <c r="I46" i="11"/>
  <c r="J46" i="11"/>
  <c r="K46" i="11"/>
  <c r="I47" i="11"/>
  <c r="J47" i="11"/>
  <c r="K47" i="11"/>
  <c r="I48" i="11"/>
  <c r="J48" i="11"/>
  <c r="K48" i="11"/>
  <c r="I49" i="11"/>
  <c r="J49" i="11"/>
  <c r="K49" i="11"/>
  <c r="I50" i="11"/>
  <c r="J50" i="11"/>
  <c r="K50" i="11"/>
  <c r="I51" i="11"/>
  <c r="J51" i="11"/>
  <c r="K51" i="11"/>
  <c r="I52" i="11"/>
  <c r="J52" i="11"/>
  <c r="K52" i="11"/>
  <c r="H14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G14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F14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N16" i="11"/>
  <c r="N26" i="11"/>
  <c r="N34" i="11"/>
  <c r="N37" i="11"/>
  <c r="N41" i="11"/>
  <c r="N42" i="11"/>
  <c r="N49" i="11"/>
  <c r="N50" i="11"/>
  <c r="N51" i="11"/>
  <c r="B36" i="5"/>
  <c r="BA35" i="9" s="1"/>
  <c r="B37" i="5"/>
  <c r="BA36" i="9" s="1"/>
  <c r="B38" i="5"/>
  <c r="BA37" i="9" s="1"/>
  <c r="B39" i="5"/>
  <c r="BA38" i="9" s="1"/>
  <c r="B40" i="5"/>
  <c r="BA39" i="9" s="1"/>
  <c r="B41" i="5"/>
  <c r="BA40" i="9" s="1"/>
  <c r="B42" i="5"/>
  <c r="BA41" i="9" s="1"/>
  <c r="B43" i="5"/>
  <c r="BA42" i="9" s="1"/>
  <c r="B44" i="5"/>
  <c r="BA43" i="9" s="1"/>
  <c r="B45" i="5"/>
  <c r="BA44" i="9" s="1"/>
  <c r="B46" i="5"/>
  <c r="BA45" i="9" s="1"/>
  <c r="B47" i="5"/>
  <c r="BA46" i="9" s="1"/>
  <c r="B48" i="5"/>
  <c r="B49" i="5"/>
  <c r="B50" i="5"/>
  <c r="B51" i="5"/>
  <c r="L46" i="5"/>
  <c r="L47" i="5"/>
  <c r="L48" i="5"/>
  <c r="L49" i="5"/>
  <c r="L50" i="5"/>
  <c r="J46" i="5"/>
  <c r="BD45" i="9" s="1"/>
  <c r="K46" i="5"/>
  <c r="BE45" i="9" s="1"/>
  <c r="J47" i="5"/>
  <c r="BD46" i="9" s="1"/>
  <c r="K47" i="5"/>
  <c r="BE46" i="9" s="1"/>
  <c r="J48" i="5"/>
  <c r="K48" i="5"/>
  <c r="J49" i="5"/>
  <c r="K49" i="5"/>
  <c r="J50" i="5"/>
  <c r="K50" i="5"/>
  <c r="J51" i="5"/>
  <c r="K51" i="5"/>
  <c r="J1" i="1"/>
  <c r="U175" i="1"/>
  <c r="C172" i="9" s="1"/>
  <c r="V175" i="1"/>
  <c r="D172" i="9" s="1"/>
  <c r="W175" i="1"/>
  <c r="E172" i="9" s="1"/>
  <c r="X175" i="1"/>
  <c r="F172" i="9" s="1"/>
  <c r="Y175" i="1"/>
  <c r="G172" i="9" s="1"/>
  <c r="Z175" i="1"/>
  <c r="H172" i="9" s="1"/>
  <c r="U176" i="1"/>
  <c r="C173" i="9" s="1"/>
  <c r="V176" i="1"/>
  <c r="D173" i="9" s="1"/>
  <c r="W176" i="1"/>
  <c r="E173" i="9" s="1"/>
  <c r="X176" i="1"/>
  <c r="F173" i="9" s="1"/>
  <c r="Y176" i="1"/>
  <c r="G173" i="9" s="1"/>
  <c r="Z176" i="1"/>
  <c r="H173" i="9" s="1"/>
  <c r="U177" i="1"/>
  <c r="C174" i="9" s="1"/>
  <c r="V177" i="1"/>
  <c r="D174" i="9" s="1"/>
  <c r="W177" i="1"/>
  <c r="E174" i="9" s="1"/>
  <c r="X177" i="1"/>
  <c r="F174" i="9" s="1"/>
  <c r="Y177" i="1"/>
  <c r="G174" i="9" s="1"/>
  <c r="Z177" i="1"/>
  <c r="H174" i="9" s="1"/>
  <c r="U178" i="1"/>
  <c r="C175" i="9" s="1"/>
  <c r="V178" i="1"/>
  <c r="D175" i="9" s="1"/>
  <c r="W178" i="1"/>
  <c r="E175" i="9" s="1"/>
  <c r="X178" i="1"/>
  <c r="F175" i="9" s="1"/>
  <c r="Y178" i="1"/>
  <c r="G175" i="9" s="1"/>
  <c r="Z178" i="1"/>
  <c r="H175" i="9" s="1"/>
  <c r="U179" i="1"/>
  <c r="C176" i="9" s="1"/>
  <c r="V179" i="1"/>
  <c r="D176" i="9" s="1"/>
  <c r="W179" i="1"/>
  <c r="E176" i="9" s="1"/>
  <c r="X179" i="1"/>
  <c r="F176" i="9" s="1"/>
  <c r="Y179" i="1"/>
  <c r="G176" i="9" s="1"/>
  <c r="Z179" i="1"/>
  <c r="H176" i="9" s="1"/>
  <c r="U180" i="1"/>
  <c r="C177" i="9" s="1"/>
  <c r="V180" i="1"/>
  <c r="D177" i="9" s="1"/>
  <c r="W180" i="1"/>
  <c r="E177" i="9" s="1"/>
  <c r="X180" i="1"/>
  <c r="F177" i="9" s="1"/>
  <c r="Y180" i="1"/>
  <c r="G177" i="9" s="1"/>
  <c r="Z180" i="1"/>
  <c r="H177" i="9" s="1"/>
  <c r="U181" i="1"/>
  <c r="C178" i="9" s="1"/>
  <c r="V181" i="1"/>
  <c r="D178" i="9" s="1"/>
  <c r="W181" i="1"/>
  <c r="E178" i="9" s="1"/>
  <c r="X181" i="1"/>
  <c r="F178" i="9" s="1"/>
  <c r="Y181" i="1"/>
  <c r="G178" i="9" s="1"/>
  <c r="Z181" i="1"/>
  <c r="H178" i="9" s="1"/>
  <c r="G175" i="1"/>
  <c r="B172" i="9" s="1"/>
  <c r="A172" i="9" s="1"/>
  <c r="G176" i="1"/>
  <c r="B173" i="9" s="1"/>
  <c r="A173" i="9" s="1"/>
  <c r="G177" i="1"/>
  <c r="B174" i="9" s="1"/>
  <c r="A174" i="9" s="1"/>
  <c r="G178" i="1"/>
  <c r="B175" i="9" s="1"/>
  <c r="A175" i="9" s="1"/>
  <c r="G179" i="1"/>
  <c r="B176" i="9" s="1"/>
  <c r="A176" i="9" s="1"/>
  <c r="G180" i="1"/>
  <c r="B177" i="9" s="1"/>
  <c r="A177" i="9" s="1"/>
  <c r="G181" i="1"/>
  <c r="B178" i="9" s="1"/>
  <c r="A178" i="9" s="1"/>
  <c r="AZ43" i="9" l="1"/>
  <c r="B48" i="11"/>
  <c r="B46" i="11"/>
  <c r="BH38" i="9" s="1"/>
  <c r="BG38" i="9" s="1"/>
  <c r="AZ40" i="9"/>
  <c r="B45" i="11"/>
  <c r="BH37" i="9" s="1"/>
  <c r="BG37" i="9" s="1"/>
  <c r="B52" i="11"/>
  <c r="BH44" i="9" s="1"/>
  <c r="BG44" i="9" s="1"/>
  <c r="AZ39" i="9"/>
  <c r="B44" i="11"/>
  <c r="BH36" i="9" s="1"/>
  <c r="BG36" i="9" s="1"/>
  <c r="AZ42" i="9"/>
  <c r="B47" i="11"/>
  <c r="AZ46" i="9"/>
  <c r="B51" i="11"/>
  <c r="B43" i="11"/>
  <c r="AZ38" i="9"/>
  <c r="AZ45" i="9"/>
  <c r="B50" i="11"/>
  <c r="BH42" i="9" s="1"/>
  <c r="BG42" i="9" s="1"/>
  <c r="AZ37" i="9"/>
  <c r="B42" i="11"/>
  <c r="AZ44" i="9"/>
  <c r="B49" i="11"/>
  <c r="BH41" i="9" s="1"/>
  <c r="BG41" i="9" s="1"/>
  <c r="AZ36" i="9"/>
  <c r="B41" i="11"/>
  <c r="BH33" i="9" s="1"/>
  <c r="BG33" i="9" s="1"/>
  <c r="BH43" i="9"/>
  <c r="BG43" i="9" s="1"/>
  <c r="AZ41" i="9"/>
  <c r="N33" i="11"/>
  <c r="N15" i="11"/>
  <c r="N14" i="11"/>
  <c r="N43" i="11"/>
  <c r="N35" i="11"/>
  <c r="N27" i="11"/>
  <c r="N36" i="11"/>
  <c r="BH39" i="9"/>
  <c r="BG39" i="9" s="1"/>
  <c r="BH35" i="9"/>
  <c r="BG35" i="9" s="1"/>
  <c r="BH34" i="9"/>
  <c r="BG34" i="9" s="1"/>
  <c r="BH40" i="9"/>
  <c r="BG40" i="9" s="1"/>
  <c r="N48" i="11"/>
  <c r="N40" i="11"/>
  <c r="N46" i="11"/>
  <c r="N38" i="11"/>
  <c r="N52" i="11"/>
  <c r="N44" i="11"/>
  <c r="N28" i="11"/>
  <c r="N47" i="11"/>
  <c r="N39" i="11"/>
  <c r="N45" i="11"/>
  <c r="N29" i="11"/>
  <c r="J63" i="1"/>
  <c r="K63" i="1" s="1"/>
  <c r="I60" i="9" s="1"/>
  <c r="J9" i="1"/>
  <c r="K9" i="1" s="1"/>
  <c r="I7" i="9" s="1"/>
  <c r="J10" i="1"/>
  <c r="K10" i="1" s="1"/>
  <c r="I8" i="9" s="1"/>
  <c r="J11" i="1"/>
  <c r="K11" i="1" s="1"/>
  <c r="I9" i="9" s="1"/>
  <c r="J12" i="1"/>
  <c r="K12" i="1" s="1"/>
  <c r="I10" i="9" s="1"/>
  <c r="J13" i="1"/>
  <c r="K13" i="1" s="1"/>
  <c r="I11" i="9" s="1"/>
  <c r="J14" i="1"/>
  <c r="K14" i="1" s="1"/>
  <c r="I12" i="9" s="1"/>
  <c r="J15" i="1"/>
  <c r="K15" i="1" s="1"/>
  <c r="I13" i="9" s="1"/>
  <c r="J16" i="1"/>
  <c r="K16" i="1" s="1"/>
  <c r="I14" i="9" s="1"/>
  <c r="J17" i="1"/>
  <c r="K17" i="1" s="1"/>
  <c r="I15" i="9" s="1"/>
  <c r="J18" i="1"/>
  <c r="K18" i="1" s="1"/>
  <c r="J19" i="1"/>
  <c r="K19" i="1" s="1"/>
  <c r="I16" i="9" s="1"/>
  <c r="J20" i="1"/>
  <c r="K20" i="1" s="1"/>
  <c r="I17" i="9" s="1"/>
  <c r="J21" i="1"/>
  <c r="K21" i="1" s="1"/>
  <c r="I18" i="9" s="1"/>
  <c r="J22" i="1"/>
  <c r="K22" i="1" s="1"/>
  <c r="I19" i="9" s="1"/>
  <c r="J23" i="1"/>
  <c r="K23" i="1" s="1"/>
  <c r="I20" i="9" s="1"/>
  <c r="J24" i="1"/>
  <c r="K24" i="1" s="1"/>
  <c r="I21" i="9" s="1"/>
  <c r="J25" i="1"/>
  <c r="K25" i="1" s="1"/>
  <c r="I22" i="9" s="1"/>
  <c r="J26" i="1"/>
  <c r="K26" i="1" s="1"/>
  <c r="I23" i="9" s="1"/>
  <c r="J27" i="1"/>
  <c r="K27" i="1" s="1"/>
  <c r="I24" i="9" s="1"/>
  <c r="J28" i="1"/>
  <c r="K28" i="1" s="1"/>
  <c r="I25" i="9" s="1"/>
  <c r="J29" i="1"/>
  <c r="K29" i="1" s="1"/>
  <c r="I26" i="9" s="1"/>
  <c r="J30" i="1"/>
  <c r="K30" i="1" s="1"/>
  <c r="I27" i="9" s="1"/>
  <c r="J31" i="1"/>
  <c r="K31" i="1" s="1"/>
  <c r="I28" i="9" s="1"/>
  <c r="J32" i="1"/>
  <c r="K32" i="1" s="1"/>
  <c r="I29" i="9" s="1"/>
  <c r="J33" i="1"/>
  <c r="K33" i="1" s="1"/>
  <c r="I30" i="9" s="1"/>
  <c r="J34" i="1"/>
  <c r="K34" i="1" s="1"/>
  <c r="I31" i="9" s="1"/>
  <c r="J35" i="1"/>
  <c r="K35" i="1" s="1"/>
  <c r="I32" i="9" s="1"/>
  <c r="J36" i="1"/>
  <c r="K36" i="1" s="1"/>
  <c r="I33" i="9" s="1"/>
  <c r="J37" i="1"/>
  <c r="K37" i="1" s="1"/>
  <c r="I34" i="9" s="1"/>
  <c r="J38" i="1"/>
  <c r="K38" i="1" s="1"/>
  <c r="I35" i="9" s="1"/>
  <c r="J39" i="1"/>
  <c r="K39" i="1" s="1"/>
  <c r="I36" i="9" s="1"/>
  <c r="J40" i="1"/>
  <c r="K40" i="1" s="1"/>
  <c r="I37" i="9" s="1"/>
  <c r="J41" i="1"/>
  <c r="K41" i="1" s="1"/>
  <c r="I38" i="9" s="1"/>
  <c r="J42" i="1"/>
  <c r="K42" i="1" s="1"/>
  <c r="I39" i="9" s="1"/>
  <c r="J43" i="1"/>
  <c r="K43" i="1" s="1"/>
  <c r="I40" i="9" s="1"/>
  <c r="J44" i="1"/>
  <c r="K44" i="1" s="1"/>
  <c r="I41" i="9" s="1"/>
  <c r="J45" i="1"/>
  <c r="K45" i="1" s="1"/>
  <c r="I42" i="9" s="1"/>
  <c r="J46" i="1"/>
  <c r="K46" i="1" s="1"/>
  <c r="I43" i="9" s="1"/>
  <c r="J47" i="1"/>
  <c r="K47" i="1" s="1"/>
  <c r="I44" i="9" s="1"/>
  <c r="J48" i="1"/>
  <c r="K48" i="1" s="1"/>
  <c r="I45" i="9" s="1"/>
  <c r="J49" i="1"/>
  <c r="K49" i="1" s="1"/>
  <c r="I46" i="9" s="1"/>
  <c r="J50" i="1"/>
  <c r="K50" i="1" s="1"/>
  <c r="I47" i="9" s="1"/>
  <c r="J51" i="1"/>
  <c r="K51" i="1" s="1"/>
  <c r="I48" i="9" s="1"/>
  <c r="J52" i="1"/>
  <c r="K52" i="1" s="1"/>
  <c r="I49" i="9" s="1"/>
  <c r="J53" i="1"/>
  <c r="K53" i="1" s="1"/>
  <c r="I50" i="9" s="1"/>
  <c r="J54" i="1"/>
  <c r="K54" i="1" s="1"/>
  <c r="I51" i="9" s="1"/>
  <c r="J55" i="1"/>
  <c r="K55" i="1" s="1"/>
  <c r="I52" i="9" s="1"/>
  <c r="J56" i="1"/>
  <c r="K56" i="1" s="1"/>
  <c r="I53" i="9" s="1"/>
  <c r="J57" i="1"/>
  <c r="K57" i="1" s="1"/>
  <c r="I54" i="9" s="1"/>
  <c r="J58" i="1"/>
  <c r="K58" i="1" s="1"/>
  <c r="I55" i="9" s="1"/>
  <c r="J59" i="1"/>
  <c r="K59" i="1" s="1"/>
  <c r="I56" i="9" s="1"/>
  <c r="J60" i="1"/>
  <c r="K60" i="1" s="1"/>
  <c r="I57" i="9" s="1"/>
  <c r="J61" i="1"/>
  <c r="K61" i="1" s="1"/>
  <c r="I58" i="9" s="1"/>
  <c r="J62" i="1"/>
  <c r="K62" i="1" s="1"/>
  <c r="I59" i="9" s="1"/>
  <c r="J64" i="1"/>
  <c r="K64" i="1" s="1"/>
  <c r="I61" i="9" s="1"/>
  <c r="J65" i="1"/>
  <c r="K65" i="1" s="1"/>
  <c r="I62" i="9" s="1"/>
  <c r="J66" i="1"/>
  <c r="K66" i="1" s="1"/>
  <c r="I63" i="9" s="1"/>
  <c r="J67" i="1"/>
  <c r="K67" i="1" s="1"/>
  <c r="I64" i="9" s="1"/>
  <c r="J68" i="1"/>
  <c r="K68" i="1" s="1"/>
  <c r="I65" i="9" s="1"/>
  <c r="J69" i="1"/>
  <c r="K69" i="1" s="1"/>
  <c r="I66" i="9" s="1"/>
  <c r="J70" i="1"/>
  <c r="K70" i="1" s="1"/>
  <c r="I67" i="9" s="1"/>
  <c r="J71" i="1"/>
  <c r="K71" i="1" s="1"/>
  <c r="I68" i="9" s="1"/>
  <c r="J72" i="1"/>
  <c r="K72" i="1" s="1"/>
  <c r="I69" i="9" s="1"/>
  <c r="J73" i="1"/>
  <c r="K73" i="1" s="1"/>
  <c r="I70" i="9" s="1"/>
  <c r="J74" i="1"/>
  <c r="K74" i="1" s="1"/>
  <c r="I71" i="9" s="1"/>
  <c r="J75" i="1"/>
  <c r="K75" i="1" s="1"/>
  <c r="I72" i="9" s="1"/>
  <c r="J76" i="1"/>
  <c r="K76" i="1" s="1"/>
  <c r="I73" i="9" s="1"/>
  <c r="J77" i="1"/>
  <c r="K77" i="1" s="1"/>
  <c r="I74" i="9" s="1"/>
  <c r="J78" i="1"/>
  <c r="K78" i="1" s="1"/>
  <c r="I75" i="9" s="1"/>
  <c r="J79" i="1"/>
  <c r="K79" i="1" s="1"/>
  <c r="I76" i="9" s="1"/>
  <c r="J80" i="1"/>
  <c r="K80" i="1" s="1"/>
  <c r="I77" i="9" s="1"/>
  <c r="J81" i="1"/>
  <c r="K81" i="1" s="1"/>
  <c r="I78" i="9" s="1"/>
  <c r="J82" i="1"/>
  <c r="K82" i="1" s="1"/>
  <c r="I79" i="9" s="1"/>
  <c r="J83" i="1"/>
  <c r="K83" i="1" s="1"/>
  <c r="I80" i="9" s="1"/>
  <c r="J84" i="1"/>
  <c r="K84" i="1" s="1"/>
  <c r="I81" i="9" s="1"/>
  <c r="J85" i="1"/>
  <c r="K85" i="1" s="1"/>
  <c r="I82" i="9" s="1"/>
  <c r="J86" i="1"/>
  <c r="K86" i="1" s="1"/>
  <c r="I83" i="9" s="1"/>
  <c r="J87" i="1"/>
  <c r="K87" i="1" s="1"/>
  <c r="I84" i="9" s="1"/>
  <c r="J88" i="1"/>
  <c r="K88" i="1" s="1"/>
  <c r="I85" i="9" s="1"/>
  <c r="J89" i="1"/>
  <c r="K89" i="1" s="1"/>
  <c r="I86" i="9" s="1"/>
  <c r="J90" i="1"/>
  <c r="K90" i="1" s="1"/>
  <c r="I87" i="9" s="1"/>
  <c r="J91" i="1"/>
  <c r="K91" i="1" s="1"/>
  <c r="I88" i="9" s="1"/>
  <c r="J92" i="1"/>
  <c r="K92" i="1" s="1"/>
  <c r="I89" i="9" s="1"/>
  <c r="J93" i="1"/>
  <c r="K93" i="1" s="1"/>
  <c r="I90" i="9" s="1"/>
  <c r="J94" i="1"/>
  <c r="K94" i="1" s="1"/>
  <c r="I91" i="9" s="1"/>
  <c r="J95" i="1"/>
  <c r="K95" i="1" s="1"/>
  <c r="I92" i="9" s="1"/>
  <c r="J96" i="1"/>
  <c r="K96" i="1" s="1"/>
  <c r="I93" i="9" s="1"/>
  <c r="J97" i="1"/>
  <c r="K97" i="1" s="1"/>
  <c r="I94" i="9" s="1"/>
  <c r="J98" i="1"/>
  <c r="K98" i="1" s="1"/>
  <c r="I95" i="9" s="1"/>
  <c r="J99" i="1"/>
  <c r="K99" i="1" s="1"/>
  <c r="I96" i="9" s="1"/>
  <c r="J100" i="1"/>
  <c r="K100" i="1" s="1"/>
  <c r="I97" i="9" s="1"/>
  <c r="J101" i="1"/>
  <c r="K101" i="1" s="1"/>
  <c r="I98" i="9" s="1"/>
  <c r="J102" i="1"/>
  <c r="K102" i="1" s="1"/>
  <c r="I99" i="9" s="1"/>
  <c r="J103" i="1"/>
  <c r="K103" i="1" s="1"/>
  <c r="I100" i="9" s="1"/>
  <c r="J104" i="1"/>
  <c r="K104" i="1" s="1"/>
  <c r="I101" i="9" s="1"/>
  <c r="J105" i="1"/>
  <c r="K105" i="1" s="1"/>
  <c r="I102" i="9" s="1"/>
  <c r="J106" i="1"/>
  <c r="K106" i="1" s="1"/>
  <c r="I103" i="9" s="1"/>
  <c r="J107" i="1"/>
  <c r="K107" i="1" s="1"/>
  <c r="I104" i="9" s="1"/>
  <c r="J108" i="1"/>
  <c r="K108" i="1" s="1"/>
  <c r="I105" i="9" s="1"/>
  <c r="J109" i="1"/>
  <c r="K109" i="1" s="1"/>
  <c r="I106" i="9" s="1"/>
  <c r="J110" i="1"/>
  <c r="K110" i="1" s="1"/>
  <c r="I107" i="9" s="1"/>
  <c r="J111" i="1"/>
  <c r="K111" i="1" s="1"/>
  <c r="I108" i="9" s="1"/>
  <c r="J112" i="1"/>
  <c r="K112" i="1" s="1"/>
  <c r="I109" i="9" s="1"/>
  <c r="J113" i="1"/>
  <c r="K113" i="1" s="1"/>
  <c r="I110" i="9" s="1"/>
  <c r="J114" i="1"/>
  <c r="K114" i="1" s="1"/>
  <c r="I111" i="9" s="1"/>
  <c r="J115" i="1"/>
  <c r="K115" i="1" s="1"/>
  <c r="I112" i="9" s="1"/>
  <c r="J116" i="1"/>
  <c r="K116" i="1" s="1"/>
  <c r="I113" i="9" s="1"/>
  <c r="J117" i="1"/>
  <c r="K117" i="1" s="1"/>
  <c r="I114" i="9" s="1"/>
  <c r="J118" i="1"/>
  <c r="K118" i="1" s="1"/>
  <c r="I115" i="9" s="1"/>
  <c r="J119" i="1"/>
  <c r="K119" i="1" s="1"/>
  <c r="I116" i="9" s="1"/>
  <c r="J120" i="1"/>
  <c r="K120" i="1" s="1"/>
  <c r="I117" i="9" s="1"/>
  <c r="J121" i="1"/>
  <c r="K121" i="1" s="1"/>
  <c r="I118" i="9" s="1"/>
  <c r="J122" i="1"/>
  <c r="K122" i="1" s="1"/>
  <c r="I119" i="9" s="1"/>
  <c r="J123" i="1"/>
  <c r="K123" i="1" s="1"/>
  <c r="I120" i="9" s="1"/>
  <c r="J124" i="1"/>
  <c r="K124" i="1" s="1"/>
  <c r="I121" i="9" s="1"/>
  <c r="J125" i="1"/>
  <c r="K125" i="1" s="1"/>
  <c r="I122" i="9" s="1"/>
  <c r="J126" i="1"/>
  <c r="K126" i="1" s="1"/>
  <c r="I123" i="9" s="1"/>
  <c r="J127" i="1"/>
  <c r="K127" i="1" s="1"/>
  <c r="I124" i="9" s="1"/>
  <c r="J128" i="1"/>
  <c r="K128" i="1" s="1"/>
  <c r="I125" i="9" s="1"/>
  <c r="J129" i="1"/>
  <c r="K129" i="1" s="1"/>
  <c r="I126" i="9" s="1"/>
  <c r="J130" i="1"/>
  <c r="K130" i="1" s="1"/>
  <c r="I127" i="9" s="1"/>
  <c r="J131" i="1"/>
  <c r="K131" i="1" s="1"/>
  <c r="I128" i="9" s="1"/>
  <c r="J132" i="1"/>
  <c r="K132" i="1" s="1"/>
  <c r="I129" i="9" s="1"/>
  <c r="J133" i="1"/>
  <c r="K133" i="1" s="1"/>
  <c r="I130" i="9" s="1"/>
  <c r="J134" i="1"/>
  <c r="K134" i="1" s="1"/>
  <c r="I131" i="9" s="1"/>
  <c r="J135" i="1"/>
  <c r="K135" i="1" s="1"/>
  <c r="I132" i="9" s="1"/>
  <c r="J136" i="1"/>
  <c r="K136" i="1" s="1"/>
  <c r="I133" i="9" s="1"/>
  <c r="J137" i="1"/>
  <c r="K137" i="1" s="1"/>
  <c r="I134" i="9" s="1"/>
  <c r="J138" i="1"/>
  <c r="K138" i="1" s="1"/>
  <c r="I135" i="9" s="1"/>
  <c r="J139" i="1"/>
  <c r="K139" i="1" s="1"/>
  <c r="I136" i="9" s="1"/>
  <c r="J140" i="1"/>
  <c r="K140" i="1" s="1"/>
  <c r="I137" i="9" s="1"/>
  <c r="J141" i="1"/>
  <c r="K141" i="1" s="1"/>
  <c r="I138" i="9" s="1"/>
  <c r="J142" i="1"/>
  <c r="K142" i="1" s="1"/>
  <c r="I139" i="9" s="1"/>
  <c r="J143" i="1"/>
  <c r="K143" i="1" s="1"/>
  <c r="I140" i="9" s="1"/>
  <c r="J144" i="1"/>
  <c r="K144" i="1" s="1"/>
  <c r="I141" i="9" s="1"/>
  <c r="J145" i="1"/>
  <c r="K145" i="1" s="1"/>
  <c r="I142" i="9" s="1"/>
  <c r="J146" i="1"/>
  <c r="K146" i="1" s="1"/>
  <c r="I143" i="9" s="1"/>
  <c r="J147" i="1"/>
  <c r="K147" i="1" s="1"/>
  <c r="I144" i="9" s="1"/>
  <c r="J148" i="1"/>
  <c r="K148" i="1" s="1"/>
  <c r="I145" i="9" s="1"/>
  <c r="J149" i="1"/>
  <c r="K149" i="1" s="1"/>
  <c r="I146" i="9" s="1"/>
  <c r="J150" i="1"/>
  <c r="K150" i="1" s="1"/>
  <c r="I147" i="9" s="1"/>
  <c r="J151" i="1"/>
  <c r="K151" i="1" s="1"/>
  <c r="I148" i="9" s="1"/>
  <c r="J152" i="1"/>
  <c r="K152" i="1" s="1"/>
  <c r="I149" i="9" s="1"/>
  <c r="J153" i="1"/>
  <c r="K153" i="1" s="1"/>
  <c r="I150" i="9" s="1"/>
  <c r="J154" i="1"/>
  <c r="K154" i="1" s="1"/>
  <c r="I151" i="9" s="1"/>
  <c r="J155" i="1"/>
  <c r="K155" i="1" s="1"/>
  <c r="I152" i="9" s="1"/>
  <c r="J156" i="1"/>
  <c r="K156" i="1" s="1"/>
  <c r="I153" i="9" s="1"/>
  <c r="J157" i="1"/>
  <c r="K157" i="1" s="1"/>
  <c r="I154" i="9" s="1"/>
  <c r="J158" i="1"/>
  <c r="K158" i="1" s="1"/>
  <c r="I155" i="9" s="1"/>
  <c r="J159" i="1"/>
  <c r="K159" i="1" s="1"/>
  <c r="I156" i="9" s="1"/>
  <c r="J160" i="1"/>
  <c r="K160" i="1" s="1"/>
  <c r="I157" i="9" s="1"/>
  <c r="J161" i="1"/>
  <c r="K161" i="1" s="1"/>
  <c r="I158" i="9" s="1"/>
  <c r="J162" i="1"/>
  <c r="K162" i="1" s="1"/>
  <c r="I159" i="9" s="1"/>
  <c r="J163" i="1"/>
  <c r="K163" i="1" s="1"/>
  <c r="I160" i="9" s="1"/>
  <c r="J164" i="1"/>
  <c r="K164" i="1" s="1"/>
  <c r="I161" i="9" s="1"/>
  <c r="J165" i="1"/>
  <c r="K165" i="1" s="1"/>
  <c r="I162" i="9" s="1"/>
  <c r="J166" i="1"/>
  <c r="K166" i="1" s="1"/>
  <c r="I163" i="9" s="1"/>
  <c r="J167" i="1"/>
  <c r="K167" i="1" s="1"/>
  <c r="I164" i="9" s="1"/>
  <c r="J168" i="1"/>
  <c r="K168" i="1" s="1"/>
  <c r="I165" i="9" s="1"/>
  <c r="J169" i="1"/>
  <c r="K169" i="1" s="1"/>
  <c r="I166" i="9" s="1"/>
  <c r="J170" i="1"/>
  <c r="K170" i="1" s="1"/>
  <c r="I167" i="9" s="1"/>
  <c r="J171" i="1"/>
  <c r="K171" i="1" s="1"/>
  <c r="I168" i="9" s="1"/>
  <c r="J172" i="1"/>
  <c r="K172" i="1" s="1"/>
  <c r="I169" i="9" s="1"/>
  <c r="J173" i="1"/>
  <c r="K173" i="1" s="1"/>
  <c r="I170" i="9" s="1"/>
  <c r="J174" i="1"/>
  <c r="K174" i="1" s="1"/>
  <c r="I171" i="9" s="1"/>
  <c r="J175" i="1"/>
  <c r="J176" i="1"/>
  <c r="J177" i="1"/>
  <c r="J178" i="1"/>
  <c r="J179" i="1"/>
  <c r="J180" i="1"/>
  <c r="J181" i="1"/>
  <c r="J8" i="1"/>
  <c r="K8" i="1" s="1"/>
  <c r="I6" i="9" s="1"/>
  <c r="J42" i="5"/>
  <c r="BD41" i="9" s="1"/>
  <c r="K42" i="5"/>
  <c r="BE41" i="9" s="1"/>
  <c r="L42" i="5"/>
  <c r="J43" i="5"/>
  <c r="BD42" i="9" s="1"/>
  <c r="K43" i="5"/>
  <c r="BE42" i="9" s="1"/>
  <c r="L43" i="5"/>
  <c r="J44" i="5"/>
  <c r="BD43" i="9" s="1"/>
  <c r="K44" i="5"/>
  <c r="BE43" i="9" s="1"/>
  <c r="L44" i="5"/>
  <c r="J45" i="5"/>
  <c r="BD44" i="9" s="1"/>
  <c r="K45" i="5"/>
  <c r="BE44" i="9" s="1"/>
  <c r="L45" i="5"/>
  <c r="O26" i="9" l="1"/>
  <c r="N26" i="9"/>
  <c r="P26" i="9"/>
  <c r="O25" i="9"/>
  <c r="P25" i="9"/>
  <c r="N25" i="9"/>
  <c r="P24" i="9"/>
  <c r="O24" i="9"/>
  <c r="N24" i="9"/>
  <c r="K179" i="1"/>
  <c r="I176" i="9" s="1"/>
  <c r="K177" i="1"/>
  <c r="I174" i="9" s="1"/>
  <c r="K180" i="1"/>
  <c r="K178" i="1"/>
  <c r="I175" i="9" s="1"/>
  <c r="K176" i="1"/>
  <c r="K175" i="1"/>
  <c r="K181" i="1"/>
  <c r="I178" i="9" s="1"/>
  <c r="G103" i="19"/>
  <c r="G104" i="19"/>
  <c r="G105" i="19"/>
  <c r="G106" i="19"/>
  <c r="G107" i="19"/>
  <c r="G108" i="19"/>
  <c r="G109" i="19"/>
  <c r="G110" i="19"/>
  <c r="G111" i="19"/>
  <c r="G102" i="19"/>
  <c r="U174" i="1"/>
  <c r="C171" i="9" s="1"/>
  <c r="O171" i="9" s="1"/>
  <c r="V174" i="1"/>
  <c r="D171" i="9" s="1"/>
  <c r="W174" i="1"/>
  <c r="E171" i="9" s="1"/>
  <c r="N171" i="9" s="1"/>
  <c r="X174" i="1"/>
  <c r="F171" i="9" s="1"/>
  <c r="Y174" i="1"/>
  <c r="G171" i="9" s="1"/>
  <c r="P171" i="9" s="1"/>
  <c r="Z174" i="1"/>
  <c r="H171" i="9" s="1"/>
  <c r="G174" i="1"/>
  <c r="B171" i="9" s="1"/>
  <c r="A171" i="9" s="1"/>
  <c r="AB180" i="1" l="1"/>
  <c r="K177" i="9" s="1"/>
  <c r="I177" i="9"/>
  <c r="N174" i="9"/>
  <c r="M174" i="9" s="1"/>
  <c r="P174" i="9"/>
  <c r="O174" i="9"/>
  <c r="P176" i="9"/>
  <c r="N176" i="9"/>
  <c r="M176" i="9" s="1"/>
  <c r="O176" i="9"/>
  <c r="P178" i="9"/>
  <c r="N178" i="9"/>
  <c r="M178" i="9" s="1"/>
  <c r="O178" i="9"/>
  <c r="AB175" i="1"/>
  <c r="K172" i="9" s="1"/>
  <c r="I172" i="9"/>
  <c r="AB176" i="1"/>
  <c r="K173" i="9" s="1"/>
  <c r="I173" i="9"/>
  <c r="P175" i="9"/>
  <c r="N175" i="9"/>
  <c r="M175" i="9" s="1"/>
  <c r="O175" i="9"/>
  <c r="M171" i="9"/>
  <c r="AA181" i="1"/>
  <c r="J178" i="9" s="1"/>
  <c r="AC181" i="1"/>
  <c r="L178" i="9" s="1"/>
  <c r="AD181" i="1"/>
  <c r="AC180" i="1"/>
  <c r="L177" i="9" s="1"/>
  <c r="AA180" i="1"/>
  <c r="J177" i="9" s="1"/>
  <c r="AD180" i="1"/>
  <c r="AD177" i="1"/>
  <c r="AC177" i="1"/>
  <c r="L174" i="9" s="1"/>
  <c r="AA177" i="1"/>
  <c r="J174" i="9" s="1"/>
  <c r="AA176" i="1"/>
  <c r="J173" i="9" s="1"/>
  <c r="AC176" i="1"/>
  <c r="L173" i="9" s="1"/>
  <c r="AD176" i="1"/>
  <c r="AB177" i="1"/>
  <c r="K174" i="9" s="1"/>
  <c r="AB181" i="1"/>
  <c r="K178" i="9" s="1"/>
  <c r="AA178" i="1"/>
  <c r="J175" i="9" s="1"/>
  <c r="AD178" i="1"/>
  <c r="AC178" i="1"/>
  <c r="L175" i="9" s="1"/>
  <c r="AA179" i="1"/>
  <c r="J176" i="9" s="1"/>
  <c r="AC179" i="1"/>
  <c r="L176" i="9" s="1"/>
  <c r="AD179" i="1"/>
  <c r="AC175" i="1"/>
  <c r="L172" i="9" s="1"/>
  <c r="AA175" i="1"/>
  <c r="J172" i="9" s="1"/>
  <c r="AD175" i="1"/>
  <c r="AB178" i="1"/>
  <c r="K175" i="9" s="1"/>
  <c r="AB179" i="1"/>
  <c r="K176" i="9" s="1"/>
  <c r="G119" i="19"/>
  <c r="G171" i="1"/>
  <c r="B168" i="9" s="1"/>
  <c r="A168" i="9" s="1"/>
  <c r="G172" i="1"/>
  <c r="G173" i="1"/>
  <c r="B170" i="9" s="1"/>
  <c r="A170" i="9" s="1"/>
  <c r="U171" i="1"/>
  <c r="C168" i="9" s="1"/>
  <c r="O168" i="9" s="1"/>
  <c r="V171" i="1"/>
  <c r="D168" i="9" s="1"/>
  <c r="W171" i="1"/>
  <c r="X171" i="1"/>
  <c r="F168" i="9" s="1"/>
  <c r="Y171" i="1"/>
  <c r="G168" i="9" s="1"/>
  <c r="P168" i="9" s="1"/>
  <c r="Z171" i="1"/>
  <c r="H168" i="9" s="1"/>
  <c r="U172" i="1"/>
  <c r="C169" i="9" s="1"/>
  <c r="O169" i="9" s="1"/>
  <c r="V172" i="1"/>
  <c r="D169" i="9" s="1"/>
  <c r="W172" i="1"/>
  <c r="E169" i="9" s="1"/>
  <c r="N169" i="9" s="1"/>
  <c r="X172" i="1"/>
  <c r="F169" i="9" s="1"/>
  <c r="Y172" i="1"/>
  <c r="G169" i="9" s="1"/>
  <c r="P169" i="9" s="1"/>
  <c r="Z172" i="1"/>
  <c r="H169" i="9" s="1"/>
  <c r="U173" i="1"/>
  <c r="C170" i="9" s="1"/>
  <c r="O170" i="9" s="1"/>
  <c r="V173" i="1"/>
  <c r="D170" i="9" s="1"/>
  <c r="W173" i="1"/>
  <c r="E170" i="9" s="1"/>
  <c r="N170" i="9" s="1"/>
  <c r="X173" i="1"/>
  <c r="F170" i="9" s="1"/>
  <c r="Y173" i="1"/>
  <c r="G170" i="9" s="1"/>
  <c r="P170" i="9" s="1"/>
  <c r="Z173" i="1"/>
  <c r="H170" i="9" s="1"/>
  <c r="G165" i="1"/>
  <c r="U165" i="1"/>
  <c r="C162" i="9" s="1"/>
  <c r="O162" i="9" s="1"/>
  <c r="V165" i="1"/>
  <c r="D162" i="9" s="1"/>
  <c r="W165" i="1"/>
  <c r="E162" i="9" s="1"/>
  <c r="N162" i="9" s="1"/>
  <c r="X165" i="1"/>
  <c r="F162" i="9" s="1"/>
  <c r="Y165" i="1"/>
  <c r="G162" i="9" s="1"/>
  <c r="P162" i="9" s="1"/>
  <c r="Z165" i="1"/>
  <c r="H162" i="9" s="1"/>
  <c r="G166" i="1"/>
  <c r="B163" i="9" s="1"/>
  <c r="A163" i="9" s="1"/>
  <c r="U166" i="1"/>
  <c r="C163" i="9" s="1"/>
  <c r="O163" i="9" s="1"/>
  <c r="V166" i="1"/>
  <c r="D163" i="9" s="1"/>
  <c r="W166" i="1"/>
  <c r="E163" i="9" s="1"/>
  <c r="N163" i="9" s="1"/>
  <c r="X166" i="1"/>
  <c r="F163" i="9" s="1"/>
  <c r="Y166" i="1"/>
  <c r="G163" i="9" s="1"/>
  <c r="P163" i="9" s="1"/>
  <c r="Z166" i="1"/>
  <c r="H163" i="9" s="1"/>
  <c r="G167" i="1"/>
  <c r="B164" i="9" s="1"/>
  <c r="A164" i="9" s="1"/>
  <c r="U167" i="1"/>
  <c r="C164" i="9" s="1"/>
  <c r="O164" i="9" s="1"/>
  <c r="V167" i="1"/>
  <c r="D164" i="9" s="1"/>
  <c r="W167" i="1"/>
  <c r="E164" i="9" s="1"/>
  <c r="N164" i="9" s="1"/>
  <c r="X167" i="1"/>
  <c r="F164" i="9" s="1"/>
  <c r="Y167" i="1"/>
  <c r="G164" i="9" s="1"/>
  <c r="P164" i="9" s="1"/>
  <c r="Z167" i="1"/>
  <c r="H164" i="9" s="1"/>
  <c r="G168" i="1"/>
  <c r="B165" i="9" s="1"/>
  <c r="A165" i="9" s="1"/>
  <c r="U168" i="1"/>
  <c r="C165" i="9" s="1"/>
  <c r="O165" i="9" s="1"/>
  <c r="V168" i="1"/>
  <c r="D165" i="9" s="1"/>
  <c r="W168" i="1"/>
  <c r="E165" i="9" s="1"/>
  <c r="N165" i="9" s="1"/>
  <c r="X168" i="1"/>
  <c r="F165" i="9" s="1"/>
  <c r="Y168" i="1"/>
  <c r="G165" i="9" s="1"/>
  <c r="P165" i="9" s="1"/>
  <c r="Z168" i="1"/>
  <c r="H165" i="9" s="1"/>
  <c r="G169" i="1"/>
  <c r="B166" i="9" s="1"/>
  <c r="A166" i="9" s="1"/>
  <c r="U169" i="1"/>
  <c r="C166" i="9" s="1"/>
  <c r="O166" i="9" s="1"/>
  <c r="V169" i="1"/>
  <c r="D166" i="9" s="1"/>
  <c r="W169" i="1"/>
  <c r="E166" i="9" s="1"/>
  <c r="N166" i="9" s="1"/>
  <c r="X169" i="1"/>
  <c r="F166" i="9" s="1"/>
  <c r="Y169" i="1"/>
  <c r="G166" i="9" s="1"/>
  <c r="P166" i="9" s="1"/>
  <c r="Z169" i="1"/>
  <c r="H166" i="9" s="1"/>
  <c r="G170" i="1"/>
  <c r="U170" i="1"/>
  <c r="C167" i="9" s="1"/>
  <c r="O167" i="9" s="1"/>
  <c r="V170" i="1"/>
  <c r="D167" i="9" s="1"/>
  <c r="W170" i="1"/>
  <c r="E167" i="9" s="1"/>
  <c r="N167" i="9" s="1"/>
  <c r="X170" i="1"/>
  <c r="F167" i="9" s="1"/>
  <c r="Y170" i="1"/>
  <c r="G167" i="9" s="1"/>
  <c r="P167" i="9" s="1"/>
  <c r="Z170" i="1"/>
  <c r="H167" i="9" s="1"/>
  <c r="M29" i="13"/>
  <c r="BT32" i="9" s="1"/>
  <c r="BS32" i="9" s="1"/>
  <c r="M30" i="13"/>
  <c r="BT33" i="9" s="1"/>
  <c r="BS33" i="9" s="1"/>
  <c r="M31" i="13"/>
  <c r="BT34" i="9" s="1"/>
  <c r="BS34" i="9" s="1"/>
  <c r="M18" i="13"/>
  <c r="BT21" i="9" s="1"/>
  <c r="BS21" i="9" s="1"/>
  <c r="M19" i="13"/>
  <c r="BT22" i="9" s="1"/>
  <c r="BS22" i="9" s="1"/>
  <c r="M20" i="13"/>
  <c r="BT23" i="9" s="1"/>
  <c r="BS23" i="9" s="1"/>
  <c r="M21" i="13"/>
  <c r="BT24" i="9" s="1"/>
  <c r="BS24" i="9" s="1"/>
  <c r="M22" i="13"/>
  <c r="BT25" i="9" s="1"/>
  <c r="BS25" i="9" s="1"/>
  <c r="M23" i="13"/>
  <c r="BT26" i="9" s="1"/>
  <c r="BS26" i="9" s="1"/>
  <c r="M24" i="13"/>
  <c r="BT27" i="9" s="1"/>
  <c r="BS27" i="9" s="1"/>
  <c r="M25" i="13"/>
  <c r="BT28" i="9" s="1"/>
  <c r="BS28" i="9" s="1"/>
  <c r="M26" i="13"/>
  <c r="BT29" i="9" s="1"/>
  <c r="BS29" i="9" s="1"/>
  <c r="M27" i="13"/>
  <c r="BT30" i="9" s="1"/>
  <c r="BS30" i="9" s="1"/>
  <c r="M28" i="13"/>
  <c r="BT31" i="9" s="1"/>
  <c r="BS31" i="9" s="1"/>
  <c r="M32" i="13"/>
  <c r="BT35" i="9" s="1"/>
  <c r="BS35" i="9" s="1"/>
  <c r="M4" i="13"/>
  <c r="BT7" i="9" s="1"/>
  <c r="BS7" i="9" s="1"/>
  <c r="M5" i="13"/>
  <c r="BT8" i="9" s="1"/>
  <c r="BS8" i="9" s="1"/>
  <c r="M6" i="13"/>
  <c r="BT9" i="9" s="1"/>
  <c r="BS9" i="9" s="1"/>
  <c r="M7" i="13"/>
  <c r="BT10" i="9" s="1"/>
  <c r="BS10" i="9" s="1"/>
  <c r="M8" i="13"/>
  <c r="BT11" i="9" s="1"/>
  <c r="BS11" i="9" s="1"/>
  <c r="M9" i="13"/>
  <c r="BT12" i="9" s="1"/>
  <c r="BS12" i="9" s="1"/>
  <c r="M10" i="13"/>
  <c r="BT13" i="9" s="1"/>
  <c r="BS13" i="9" s="1"/>
  <c r="M11" i="13"/>
  <c r="BT14" i="9" s="1"/>
  <c r="BS14" i="9" s="1"/>
  <c r="M12" i="13"/>
  <c r="BT15" i="9" s="1"/>
  <c r="BS15" i="9" s="1"/>
  <c r="M13" i="13"/>
  <c r="BT16" i="9" s="1"/>
  <c r="BS16" i="9" s="1"/>
  <c r="M14" i="13"/>
  <c r="BT17" i="9" s="1"/>
  <c r="BS17" i="9" s="1"/>
  <c r="M15" i="13"/>
  <c r="BT18" i="9" s="1"/>
  <c r="BS18" i="9" s="1"/>
  <c r="M16" i="13"/>
  <c r="BT19" i="9" s="1"/>
  <c r="BS19" i="9" s="1"/>
  <c r="M17" i="13"/>
  <c r="BT20" i="9" s="1"/>
  <c r="BS20" i="9" s="1"/>
  <c r="M3" i="13"/>
  <c r="BT6" i="9" s="1"/>
  <c r="BS6" i="9" s="1"/>
  <c r="G8" i="1"/>
  <c r="B6" i="9" s="1"/>
  <c r="A6" i="9" s="1"/>
  <c r="O1" i="1"/>
  <c r="I45" i="17"/>
  <c r="DA52" i="9" s="1"/>
  <c r="J45" i="17"/>
  <c r="I46" i="17"/>
  <c r="DA53" i="9" s="1"/>
  <c r="J46" i="17"/>
  <c r="I47" i="17"/>
  <c r="DA54" i="9" s="1"/>
  <c r="J47" i="17"/>
  <c r="I48" i="17"/>
  <c r="DA55" i="9" s="1"/>
  <c r="J48" i="17"/>
  <c r="I49" i="17"/>
  <c r="DA56" i="9" s="1"/>
  <c r="J49" i="17"/>
  <c r="I50" i="17"/>
  <c r="DA57" i="9" s="1"/>
  <c r="J50" i="17"/>
  <c r="I51" i="17"/>
  <c r="DA58" i="9" s="1"/>
  <c r="J51" i="17"/>
  <c r="I52" i="17"/>
  <c r="DA59" i="9" s="1"/>
  <c r="J52" i="17"/>
  <c r="I53" i="17"/>
  <c r="DA60" i="9" s="1"/>
  <c r="J53" i="17"/>
  <c r="AK33" i="15"/>
  <c r="AJ33" i="15"/>
  <c r="CW35" i="9" s="1"/>
  <c r="AK32" i="15"/>
  <c r="AJ32" i="15"/>
  <c r="CW34" i="9" s="1"/>
  <c r="U155" i="1"/>
  <c r="C152" i="9" s="1"/>
  <c r="O152" i="9" s="1"/>
  <c r="V155" i="1"/>
  <c r="D152" i="9" s="1"/>
  <c r="W155" i="1"/>
  <c r="E152" i="9" s="1"/>
  <c r="N152" i="9" s="1"/>
  <c r="X155" i="1"/>
  <c r="F152" i="9" s="1"/>
  <c r="Y155" i="1"/>
  <c r="G152" i="9" s="1"/>
  <c r="P152" i="9" s="1"/>
  <c r="Z155" i="1"/>
  <c r="H152" i="9" s="1"/>
  <c r="U156" i="1"/>
  <c r="C153" i="9" s="1"/>
  <c r="O153" i="9" s="1"/>
  <c r="V156" i="1"/>
  <c r="D153" i="9" s="1"/>
  <c r="W156" i="1"/>
  <c r="E153" i="9" s="1"/>
  <c r="N153" i="9" s="1"/>
  <c r="X156" i="1"/>
  <c r="F153" i="9" s="1"/>
  <c r="Y156" i="1"/>
  <c r="G153" i="9" s="1"/>
  <c r="P153" i="9" s="1"/>
  <c r="Z156" i="1"/>
  <c r="H153" i="9" s="1"/>
  <c r="U157" i="1"/>
  <c r="C154" i="9" s="1"/>
  <c r="O154" i="9" s="1"/>
  <c r="V157" i="1"/>
  <c r="D154" i="9" s="1"/>
  <c r="W157" i="1"/>
  <c r="E154" i="9" s="1"/>
  <c r="N154" i="9" s="1"/>
  <c r="X157" i="1"/>
  <c r="F154" i="9" s="1"/>
  <c r="Y157" i="1"/>
  <c r="G154" i="9" s="1"/>
  <c r="P154" i="9" s="1"/>
  <c r="Z157" i="1"/>
  <c r="H154" i="9" s="1"/>
  <c r="U158" i="1"/>
  <c r="C155" i="9" s="1"/>
  <c r="O155" i="9" s="1"/>
  <c r="V158" i="1"/>
  <c r="D155" i="9" s="1"/>
  <c r="W158" i="1"/>
  <c r="E155" i="9" s="1"/>
  <c r="N155" i="9" s="1"/>
  <c r="X158" i="1"/>
  <c r="F155" i="9" s="1"/>
  <c r="Y158" i="1"/>
  <c r="G155" i="9" s="1"/>
  <c r="P155" i="9" s="1"/>
  <c r="Z158" i="1"/>
  <c r="H155" i="9" s="1"/>
  <c r="U159" i="1"/>
  <c r="C156" i="9" s="1"/>
  <c r="O156" i="9" s="1"/>
  <c r="V159" i="1"/>
  <c r="D156" i="9" s="1"/>
  <c r="W159" i="1"/>
  <c r="E156" i="9" s="1"/>
  <c r="N156" i="9" s="1"/>
  <c r="X159" i="1"/>
  <c r="F156" i="9" s="1"/>
  <c r="Y159" i="1"/>
  <c r="G156" i="9" s="1"/>
  <c r="P156" i="9" s="1"/>
  <c r="Z159" i="1"/>
  <c r="H156" i="9" s="1"/>
  <c r="U160" i="1"/>
  <c r="C157" i="9" s="1"/>
  <c r="O157" i="9" s="1"/>
  <c r="V160" i="1"/>
  <c r="D157" i="9" s="1"/>
  <c r="W160" i="1"/>
  <c r="E157" i="9" s="1"/>
  <c r="N157" i="9" s="1"/>
  <c r="X160" i="1"/>
  <c r="F157" i="9" s="1"/>
  <c r="Y160" i="1"/>
  <c r="G157" i="9" s="1"/>
  <c r="P157" i="9" s="1"/>
  <c r="Z160" i="1"/>
  <c r="H157" i="9" s="1"/>
  <c r="U161" i="1"/>
  <c r="C158" i="9" s="1"/>
  <c r="O158" i="9" s="1"/>
  <c r="V161" i="1"/>
  <c r="D158" i="9" s="1"/>
  <c r="W161" i="1"/>
  <c r="E158" i="9" s="1"/>
  <c r="N158" i="9" s="1"/>
  <c r="X161" i="1"/>
  <c r="F158" i="9" s="1"/>
  <c r="Y161" i="1"/>
  <c r="G158" i="9" s="1"/>
  <c r="P158" i="9" s="1"/>
  <c r="Z161" i="1"/>
  <c r="H158" i="9" s="1"/>
  <c r="U162" i="1"/>
  <c r="C159" i="9" s="1"/>
  <c r="O159" i="9" s="1"/>
  <c r="V162" i="1"/>
  <c r="D159" i="9" s="1"/>
  <c r="W162" i="1"/>
  <c r="E159" i="9" s="1"/>
  <c r="N159" i="9" s="1"/>
  <c r="X162" i="1"/>
  <c r="F159" i="9" s="1"/>
  <c r="Y162" i="1"/>
  <c r="G159" i="9" s="1"/>
  <c r="P159" i="9" s="1"/>
  <c r="Z162" i="1"/>
  <c r="H159" i="9" s="1"/>
  <c r="U163" i="1"/>
  <c r="C160" i="9" s="1"/>
  <c r="O160" i="9" s="1"/>
  <c r="V163" i="1"/>
  <c r="D160" i="9" s="1"/>
  <c r="W163" i="1"/>
  <c r="E160" i="9" s="1"/>
  <c r="N160" i="9" s="1"/>
  <c r="X163" i="1"/>
  <c r="F160" i="9" s="1"/>
  <c r="Y163" i="1"/>
  <c r="G160" i="9" s="1"/>
  <c r="P160" i="9" s="1"/>
  <c r="Z163" i="1"/>
  <c r="H160" i="9" s="1"/>
  <c r="U164" i="1"/>
  <c r="C161" i="9" s="1"/>
  <c r="O161" i="9" s="1"/>
  <c r="V164" i="1"/>
  <c r="D161" i="9" s="1"/>
  <c r="W164" i="1"/>
  <c r="E161" i="9" s="1"/>
  <c r="N161" i="9" s="1"/>
  <c r="X164" i="1"/>
  <c r="F161" i="9" s="1"/>
  <c r="Y164" i="1"/>
  <c r="G161" i="9" s="1"/>
  <c r="P161" i="9" s="1"/>
  <c r="Z164" i="1"/>
  <c r="H161" i="9" s="1"/>
  <c r="Z154" i="1"/>
  <c r="H151" i="9" s="1"/>
  <c r="Y154" i="1"/>
  <c r="G151" i="9" s="1"/>
  <c r="P151" i="9" s="1"/>
  <c r="X154" i="1"/>
  <c r="F151" i="9" s="1"/>
  <c r="W154" i="1"/>
  <c r="E151" i="9" s="1"/>
  <c r="N151" i="9" s="1"/>
  <c r="V154" i="1"/>
  <c r="D151" i="9" s="1"/>
  <c r="U154" i="1"/>
  <c r="C151" i="9" s="1"/>
  <c r="O151" i="9" s="1"/>
  <c r="Z153" i="1"/>
  <c r="H150" i="9" s="1"/>
  <c r="Y153" i="1"/>
  <c r="G150" i="9" s="1"/>
  <c r="P150" i="9" s="1"/>
  <c r="X153" i="1"/>
  <c r="F150" i="9" s="1"/>
  <c r="W153" i="1"/>
  <c r="E150" i="9" s="1"/>
  <c r="N150" i="9" s="1"/>
  <c r="V153" i="1"/>
  <c r="D150" i="9" s="1"/>
  <c r="U153" i="1"/>
  <c r="C150" i="9" s="1"/>
  <c r="O150" i="9" s="1"/>
  <c r="Z152" i="1"/>
  <c r="H149" i="9" s="1"/>
  <c r="Y152" i="1"/>
  <c r="G149" i="9" s="1"/>
  <c r="P149" i="9" s="1"/>
  <c r="X152" i="1"/>
  <c r="F149" i="9" s="1"/>
  <c r="W152" i="1"/>
  <c r="E149" i="9" s="1"/>
  <c r="N149" i="9" s="1"/>
  <c r="V152" i="1"/>
  <c r="D149" i="9" s="1"/>
  <c r="U152" i="1"/>
  <c r="C149" i="9" s="1"/>
  <c r="O149" i="9" s="1"/>
  <c r="Z151" i="1"/>
  <c r="H148" i="9" s="1"/>
  <c r="Y151" i="1"/>
  <c r="G148" i="9" s="1"/>
  <c r="P148" i="9" s="1"/>
  <c r="X151" i="1"/>
  <c r="F148" i="9" s="1"/>
  <c r="W151" i="1"/>
  <c r="E148" i="9" s="1"/>
  <c r="N148" i="9" s="1"/>
  <c r="V151" i="1"/>
  <c r="D148" i="9" s="1"/>
  <c r="U151" i="1"/>
  <c r="C148" i="9" s="1"/>
  <c r="O148" i="9" s="1"/>
  <c r="C60" i="20"/>
  <c r="B60" i="20" s="1"/>
  <c r="C59" i="20"/>
  <c r="B59" i="20" s="1"/>
  <c r="C58" i="20"/>
  <c r="B58" i="20" s="1"/>
  <c r="C57" i="20"/>
  <c r="B57" i="20" s="1"/>
  <c r="C56" i="20"/>
  <c r="B56" i="20" s="1"/>
  <c r="C55" i="20"/>
  <c r="B55" i="20" s="1"/>
  <c r="C54" i="20"/>
  <c r="B54" i="20" s="1"/>
  <c r="C53" i="20"/>
  <c r="B53" i="20" s="1"/>
  <c r="C52" i="20"/>
  <c r="B52" i="20" s="1"/>
  <c r="C51" i="20"/>
  <c r="B51" i="20" s="1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D29" i="4"/>
  <c r="D30" i="4"/>
  <c r="D31" i="4"/>
  <c r="D32" i="4"/>
  <c r="D33" i="4"/>
  <c r="D34" i="4"/>
  <c r="D35" i="4"/>
  <c r="D36" i="4"/>
  <c r="Z150" i="1"/>
  <c r="H147" i="9" s="1"/>
  <c r="Y150" i="1"/>
  <c r="G147" i="9" s="1"/>
  <c r="P147" i="9" s="1"/>
  <c r="X150" i="1"/>
  <c r="F147" i="9" s="1"/>
  <c r="W150" i="1"/>
  <c r="E147" i="9" s="1"/>
  <c r="N147" i="9" s="1"/>
  <c r="V150" i="1"/>
  <c r="D147" i="9" s="1"/>
  <c r="U150" i="1"/>
  <c r="C147" i="9" s="1"/>
  <c r="O147" i="9" s="1"/>
  <c r="Z149" i="1"/>
  <c r="H146" i="9" s="1"/>
  <c r="Y149" i="1"/>
  <c r="G146" i="9" s="1"/>
  <c r="P146" i="9" s="1"/>
  <c r="X149" i="1"/>
  <c r="F146" i="9" s="1"/>
  <c r="W149" i="1"/>
  <c r="E146" i="9" s="1"/>
  <c r="N146" i="9" s="1"/>
  <c r="V149" i="1"/>
  <c r="D146" i="9" s="1"/>
  <c r="U149" i="1"/>
  <c r="C146" i="9" s="1"/>
  <c r="O146" i="9" s="1"/>
  <c r="Z34" i="15"/>
  <c r="Y34" i="15"/>
  <c r="CT36" i="9" s="1"/>
  <c r="Z33" i="15"/>
  <c r="Y33" i="15"/>
  <c r="CT35" i="9" s="1"/>
  <c r="Z32" i="15"/>
  <c r="Y32" i="15"/>
  <c r="CT34" i="9" s="1"/>
  <c r="Z31" i="15"/>
  <c r="Y31" i="15"/>
  <c r="CT33" i="9" s="1"/>
  <c r="AF57" i="17"/>
  <c r="AE57" i="17"/>
  <c r="DG61" i="9" s="1"/>
  <c r="AF56" i="17"/>
  <c r="AE56" i="17"/>
  <c r="DG60" i="9" s="1"/>
  <c r="AF55" i="17"/>
  <c r="AE55" i="17"/>
  <c r="DG59" i="9" s="1"/>
  <c r="AF54" i="17"/>
  <c r="AE54" i="17"/>
  <c r="DG58" i="9" s="1"/>
  <c r="AF53" i="17"/>
  <c r="AE53" i="17"/>
  <c r="DG57" i="9" s="1"/>
  <c r="AF52" i="17"/>
  <c r="AE52" i="17"/>
  <c r="DG56" i="9" s="1"/>
  <c r="AF51" i="17"/>
  <c r="AE51" i="17"/>
  <c r="DG55" i="9" s="1"/>
  <c r="AF50" i="17"/>
  <c r="AE50" i="17"/>
  <c r="DG54" i="9" s="1"/>
  <c r="AF49" i="17"/>
  <c r="AE49" i="17"/>
  <c r="DG53" i="9" s="1"/>
  <c r="AF48" i="17"/>
  <c r="AE48" i="17"/>
  <c r="DG52" i="9" s="1"/>
  <c r="AF47" i="17"/>
  <c r="AE47" i="17"/>
  <c r="DG51" i="9" s="1"/>
  <c r="AF46" i="17"/>
  <c r="AE46" i="17"/>
  <c r="DG50" i="9" s="1"/>
  <c r="U56" i="17"/>
  <c r="T56" i="17"/>
  <c r="DD63" i="9" s="1"/>
  <c r="U55" i="17"/>
  <c r="T55" i="17"/>
  <c r="DD62" i="9" s="1"/>
  <c r="U54" i="17"/>
  <c r="T54" i="17"/>
  <c r="DD61" i="9" s="1"/>
  <c r="U53" i="17"/>
  <c r="T53" i="17"/>
  <c r="DD60" i="9" s="1"/>
  <c r="U52" i="17"/>
  <c r="T52" i="17"/>
  <c r="DD59" i="9" s="1"/>
  <c r="U51" i="17"/>
  <c r="T51" i="17"/>
  <c r="DD58" i="9" s="1"/>
  <c r="U50" i="17"/>
  <c r="T50" i="17"/>
  <c r="DD57" i="9" s="1"/>
  <c r="U49" i="17"/>
  <c r="T49" i="17"/>
  <c r="DD56" i="9" s="1"/>
  <c r="U48" i="17"/>
  <c r="T48" i="17"/>
  <c r="DD55" i="9" s="1"/>
  <c r="U47" i="17"/>
  <c r="T47" i="17"/>
  <c r="DD54" i="9" s="1"/>
  <c r="U46" i="17"/>
  <c r="T46" i="17"/>
  <c r="DD53" i="9" s="1"/>
  <c r="U45" i="17"/>
  <c r="T45" i="17"/>
  <c r="DD52" i="9" s="1"/>
  <c r="U44" i="17"/>
  <c r="T44" i="17"/>
  <c r="DD51" i="9" s="1"/>
  <c r="Z148" i="1"/>
  <c r="H145" i="9" s="1"/>
  <c r="Y148" i="1"/>
  <c r="G145" i="9" s="1"/>
  <c r="P145" i="9" s="1"/>
  <c r="X148" i="1"/>
  <c r="F145" i="9" s="1"/>
  <c r="W148" i="1"/>
  <c r="E145" i="9" s="1"/>
  <c r="N145" i="9" s="1"/>
  <c r="V148" i="1"/>
  <c r="D145" i="9" s="1"/>
  <c r="U148" i="1"/>
  <c r="C145" i="9" s="1"/>
  <c r="O145" i="9" s="1"/>
  <c r="U146" i="1"/>
  <c r="C143" i="9" s="1"/>
  <c r="O143" i="9" s="1"/>
  <c r="V146" i="1"/>
  <c r="D143" i="9" s="1"/>
  <c r="W146" i="1"/>
  <c r="E143" i="9" s="1"/>
  <c r="N143" i="9" s="1"/>
  <c r="X146" i="1"/>
  <c r="F143" i="9" s="1"/>
  <c r="Y146" i="1"/>
  <c r="G143" i="9" s="1"/>
  <c r="P143" i="9" s="1"/>
  <c r="Z146" i="1"/>
  <c r="H143" i="9" s="1"/>
  <c r="U147" i="1"/>
  <c r="C144" i="9" s="1"/>
  <c r="O144" i="9" s="1"/>
  <c r="V147" i="1"/>
  <c r="D144" i="9" s="1"/>
  <c r="W147" i="1"/>
  <c r="E144" i="9" s="1"/>
  <c r="N144" i="9" s="1"/>
  <c r="X147" i="1"/>
  <c r="F144" i="9" s="1"/>
  <c r="Y147" i="1"/>
  <c r="G144" i="9" s="1"/>
  <c r="P144" i="9" s="1"/>
  <c r="Z147" i="1"/>
  <c r="H144" i="9" s="1"/>
  <c r="AA62" i="9"/>
  <c r="AB62" i="9"/>
  <c r="AC62" i="9"/>
  <c r="AA63" i="9"/>
  <c r="AB63" i="9"/>
  <c r="AC63" i="9"/>
  <c r="AA64" i="9"/>
  <c r="AB64" i="9"/>
  <c r="AC64" i="9"/>
  <c r="AA65" i="9"/>
  <c r="AB65" i="9"/>
  <c r="AC65" i="9"/>
  <c r="AA66" i="9"/>
  <c r="AB66" i="9"/>
  <c r="AC66" i="9"/>
  <c r="AA67" i="9"/>
  <c r="AB67" i="9"/>
  <c r="AC67" i="9"/>
  <c r="AA68" i="9"/>
  <c r="AB68" i="9"/>
  <c r="AC68" i="9"/>
  <c r="AA69" i="9"/>
  <c r="AB69" i="9"/>
  <c r="AC69" i="9"/>
  <c r="AA70" i="9"/>
  <c r="AB70" i="9"/>
  <c r="AC70" i="9"/>
  <c r="AA71" i="9"/>
  <c r="AB71" i="9"/>
  <c r="AC71" i="9"/>
  <c r="AA72" i="9"/>
  <c r="AB72" i="9"/>
  <c r="AC72" i="9"/>
  <c r="F153" i="2"/>
  <c r="T156" i="9" s="1"/>
  <c r="S156" i="9" s="1"/>
  <c r="F152" i="2"/>
  <c r="T155" i="9" s="1"/>
  <c r="S155" i="9" s="1"/>
  <c r="F151" i="2"/>
  <c r="T154" i="9" s="1"/>
  <c r="S154" i="9" s="1"/>
  <c r="Q67" i="2"/>
  <c r="Z70" i="9" s="1"/>
  <c r="Y70" i="9" s="1"/>
  <c r="AB68" i="2"/>
  <c r="AF71" i="9" s="1"/>
  <c r="AE71" i="9" s="1"/>
  <c r="Q68" i="2"/>
  <c r="Z71" i="9" s="1"/>
  <c r="Y71" i="9" s="1"/>
  <c r="F155" i="2"/>
  <c r="T158" i="9" s="1"/>
  <c r="S158" i="9" s="1"/>
  <c r="F154" i="2"/>
  <c r="T157" i="9" s="1"/>
  <c r="S157" i="9" s="1"/>
  <c r="F150" i="2"/>
  <c r="T153" i="9" s="1"/>
  <c r="S153" i="9" s="1"/>
  <c r="Q66" i="2"/>
  <c r="Z69" i="9" s="1"/>
  <c r="Y69" i="9" s="1"/>
  <c r="Q65" i="2"/>
  <c r="Z68" i="9" s="1"/>
  <c r="Y68" i="9" s="1"/>
  <c r="F149" i="2"/>
  <c r="T152" i="9" s="1"/>
  <c r="S152" i="9" s="1"/>
  <c r="F148" i="2"/>
  <c r="T151" i="9" s="1"/>
  <c r="S151" i="9" s="1"/>
  <c r="F147" i="2"/>
  <c r="T150" i="9" s="1"/>
  <c r="S150" i="9" s="1"/>
  <c r="F146" i="2"/>
  <c r="T149" i="9" s="1"/>
  <c r="S149" i="9" s="1"/>
  <c r="F145" i="2"/>
  <c r="T148" i="9" s="1"/>
  <c r="S148" i="9" s="1"/>
  <c r="F144" i="2"/>
  <c r="T147" i="9" s="1"/>
  <c r="S147" i="9" s="1"/>
  <c r="Q64" i="2"/>
  <c r="Z67" i="9" s="1"/>
  <c r="Y67" i="9" s="1"/>
  <c r="F143" i="2"/>
  <c r="T146" i="9" s="1"/>
  <c r="S146" i="9" s="1"/>
  <c r="F142" i="2"/>
  <c r="T145" i="9" s="1"/>
  <c r="S145" i="9" s="1"/>
  <c r="F141" i="2"/>
  <c r="T144" i="9" s="1"/>
  <c r="S144" i="9" s="1"/>
  <c r="Q63" i="2"/>
  <c r="Z66" i="9" s="1"/>
  <c r="Y66" i="9" s="1"/>
  <c r="AB61" i="2"/>
  <c r="AF64" i="9" s="1"/>
  <c r="AE64" i="9" s="1"/>
  <c r="AB62" i="2"/>
  <c r="AF65" i="9" s="1"/>
  <c r="AE65" i="9" s="1"/>
  <c r="AB63" i="2"/>
  <c r="AF66" i="9" s="1"/>
  <c r="AE66" i="9" s="1"/>
  <c r="AB64" i="2"/>
  <c r="AF67" i="9" s="1"/>
  <c r="AE67" i="9" s="1"/>
  <c r="AB65" i="2"/>
  <c r="AF68" i="9" s="1"/>
  <c r="AE68" i="9" s="1"/>
  <c r="AB66" i="2"/>
  <c r="AF69" i="9" s="1"/>
  <c r="AE69" i="9" s="1"/>
  <c r="AB67" i="2"/>
  <c r="AF70" i="9" s="1"/>
  <c r="AE70" i="9" s="1"/>
  <c r="AB69" i="2"/>
  <c r="AF72" i="9" s="1"/>
  <c r="AE72" i="9" s="1"/>
  <c r="Q62" i="2"/>
  <c r="Z65" i="9" s="1"/>
  <c r="Y65" i="9" s="1"/>
  <c r="F135" i="2"/>
  <c r="T138" i="9" s="1"/>
  <c r="S138" i="9" s="1"/>
  <c r="F136" i="2"/>
  <c r="T139" i="9" s="1"/>
  <c r="S139" i="9" s="1"/>
  <c r="F137" i="2"/>
  <c r="T140" i="9" s="1"/>
  <c r="S140" i="9" s="1"/>
  <c r="F138" i="2"/>
  <c r="T141" i="9" s="1"/>
  <c r="S141" i="9" s="1"/>
  <c r="F139" i="2"/>
  <c r="T142" i="9" s="1"/>
  <c r="S142" i="9" s="1"/>
  <c r="F140" i="2"/>
  <c r="T143" i="9" s="1"/>
  <c r="S143" i="9" s="1"/>
  <c r="F128" i="2"/>
  <c r="T131" i="9" s="1"/>
  <c r="S131" i="9" s="1"/>
  <c r="F129" i="2"/>
  <c r="T132" i="9" s="1"/>
  <c r="S132" i="9" s="1"/>
  <c r="F130" i="2"/>
  <c r="T133" i="9" s="1"/>
  <c r="S133" i="9" s="1"/>
  <c r="F131" i="2"/>
  <c r="T134" i="9" s="1"/>
  <c r="S134" i="9" s="1"/>
  <c r="F132" i="2"/>
  <c r="T135" i="9" s="1"/>
  <c r="S135" i="9" s="1"/>
  <c r="F133" i="2"/>
  <c r="T136" i="9" s="1"/>
  <c r="S136" i="9" s="1"/>
  <c r="F134" i="2"/>
  <c r="T137" i="9" s="1"/>
  <c r="S137" i="9" s="1"/>
  <c r="J33" i="5"/>
  <c r="BD32" i="9" s="1"/>
  <c r="K33" i="5"/>
  <c r="BE32" i="9" s="1"/>
  <c r="J34" i="5"/>
  <c r="BD33" i="9" s="1"/>
  <c r="K34" i="5"/>
  <c r="BE33" i="9" s="1"/>
  <c r="J35" i="5"/>
  <c r="BD34" i="9" s="1"/>
  <c r="K35" i="5"/>
  <c r="BE34" i="9" s="1"/>
  <c r="J36" i="5"/>
  <c r="BD35" i="9" s="1"/>
  <c r="K36" i="5"/>
  <c r="BE35" i="9" s="1"/>
  <c r="J37" i="5"/>
  <c r="BD36" i="9" s="1"/>
  <c r="K37" i="5"/>
  <c r="BE36" i="9" s="1"/>
  <c r="J38" i="5"/>
  <c r="BD37" i="9" s="1"/>
  <c r="K38" i="5"/>
  <c r="BE37" i="9" s="1"/>
  <c r="J39" i="5"/>
  <c r="BD38" i="9" s="1"/>
  <c r="K39" i="5"/>
  <c r="BE38" i="9" s="1"/>
  <c r="J40" i="5"/>
  <c r="BD39" i="9" s="1"/>
  <c r="K40" i="5"/>
  <c r="BE39" i="9" s="1"/>
  <c r="J41" i="5"/>
  <c r="BD40" i="9" s="1"/>
  <c r="K41" i="5"/>
  <c r="BE40" i="9" s="1"/>
  <c r="L33" i="5"/>
  <c r="L34" i="5"/>
  <c r="L35" i="5"/>
  <c r="L36" i="5"/>
  <c r="L37" i="5"/>
  <c r="L38" i="5"/>
  <c r="L39" i="5"/>
  <c r="L40" i="5"/>
  <c r="L41" i="5"/>
  <c r="U145" i="1"/>
  <c r="C142" i="9" s="1"/>
  <c r="O142" i="9" s="1"/>
  <c r="V145" i="1"/>
  <c r="D142" i="9" s="1"/>
  <c r="W145" i="1"/>
  <c r="E142" i="9" s="1"/>
  <c r="N142" i="9" s="1"/>
  <c r="X145" i="1"/>
  <c r="F142" i="9" s="1"/>
  <c r="Y145" i="1"/>
  <c r="G142" i="9" s="1"/>
  <c r="P142" i="9" s="1"/>
  <c r="Z145" i="1"/>
  <c r="H142" i="9" s="1"/>
  <c r="M5" i="20"/>
  <c r="N5" i="20" s="1"/>
  <c r="M6" i="20"/>
  <c r="N6" i="20" s="1"/>
  <c r="M7" i="20"/>
  <c r="N7" i="20" s="1"/>
  <c r="M8" i="20"/>
  <c r="N8" i="20" s="1"/>
  <c r="M9" i="20"/>
  <c r="N9" i="20" s="1"/>
  <c r="M10" i="20"/>
  <c r="N10" i="20" s="1"/>
  <c r="M11" i="20"/>
  <c r="N11" i="20" s="1"/>
  <c r="M12" i="20"/>
  <c r="N12" i="20" s="1"/>
  <c r="M13" i="20"/>
  <c r="N13" i="20" s="1"/>
  <c r="M14" i="20"/>
  <c r="N14" i="20" s="1"/>
  <c r="M15" i="20"/>
  <c r="N15" i="20" s="1"/>
  <c r="M16" i="20"/>
  <c r="N16" i="20" s="1"/>
  <c r="M17" i="20"/>
  <c r="N17" i="20" s="1"/>
  <c r="M18" i="20"/>
  <c r="N18" i="20" s="1"/>
  <c r="M19" i="20"/>
  <c r="N19" i="20" s="1"/>
  <c r="M20" i="20"/>
  <c r="N20" i="20" s="1"/>
  <c r="M21" i="20"/>
  <c r="N21" i="20" s="1"/>
  <c r="M22" i="20"/>
  <c r="N22" i="20" s="1"/>
  <c r="M23" i="20"/>
  <c r="N23" i="20" s="1"/>
  <c r="M24" i="20"/>
  <c r="N24" i="20" s="1"/>
  <c r="M25" i="20"/>
  <c r="N25" i="20" s="1"/>
  <c r="M26" i="20"/>
  <c r="N26" i="20" s="1"/>
  <c r="M27" i="20"/>
  <c r="N27" i="20" s="1"/>
  <c r="M28" i="20"/>
  <c r="N28" i="20" s="1"/>
  <c r="M29" i="20"/>
  <c r="N29" i="20" s="1"/>
  <c r="M30" i="20"/>
  <c r="N30" i="20" s="1"/>
  <c r="M31" i="20"/>
  <c r="N31" i="20" s="1"/>
  <c r="M32" i="20"/>
  <c r="M33" i="20"/>
  <c r="N33" i="20"/>
  <c r="O33" i="20"/>
  <c r="P33" i="20"/>
  <c r="M34" i="20"/>
  <c r="O34" i="20" s="1"/>
  <c r="P34" i="20" s="1"/>
  <c r="N34" i="20"/>
  <c r="M35" i="20"/>
  <c r="N35" i="20"/>
  <c r="O35" i="20"/>
  <c r="P35" i="20"/>
  <c r="M36" i="20"/>
  <c r="O36" i="20" s="1"/>
  <c r="P36" i="20" s="1"/>
  <c r="N36" i="20"/>
  <c r="M37" i="20"/>
  <c r="N37" i="20"/>
  <c r="O37" i="20"/>
  <c r="P37" i="20"/>
  <c r="M38" i="20"/>
  <c r="O38" i="20" s="1"/>
  <c r="P38" i="20" s="1"/>
  <c r="N38" i="20"/>
  <c r="M39" i="20"/>
  <c r="N39" i="20"/>
  <c r="O39" i="20"/>
  <c r="P39" i="20"/>
  <c r="M40" i="20"/>
  <c r="O40" i="20" s="1"/>
  <c r="P40" i="20" s="1"/>
  <c r="N40" i="20"/>
  <c r="M41" i="20"/>
  <c r="N41" i="20"/>
  <c r="O41" i="20"/>
  <c r="P41" i="20"/>
  <c r="M42" i="20"/>
  <c r="O42" i="20" s="1"/>
  <c r="P42" i="20" s="1"/>
  <c r="N42" i="20"/>
  <c r="M43" i="20"/>
  <c r="N43" i="20"/>
  <c r="O43" i="20"/>
  <c r="P43" i="20"/>
  <c r="M44" i="20"/>
  <c r="O44" i="20" s="1"/>
  <c r="P44" i="20" s="1"/>
  <c r="N44" i="20"/>
  <c r="M45" i="20"/>
  <c r="N45" i="20"/>
  <c r="O45" i="20"/>
  <c r="P45" i="20"/>
  <c r="M46" i="20"/>
  <c r="O46" i="20" s="1"/>
  <c r="P46" i="20" s="1"/>
  <c r="N46" i="20"/>
  <c r="M47" i="20"/>
  <c r="N47" i="20"/>
  <c r="O47" i="20"/>
  <c r="P47" i="20"/>
  <c r="M48" i="20"/>
  <c r="O48" i="20" s="1"/>
  <c r="P48" i="20" s="1"/>
  <c r="N48" i="20"/>
  <c r="M49" i="20"/>
  <c r="N49" i="20"/>
  <c r="O49" i="20"/>
  <c r="P49" i="20"/>
  <c r="M50" i="20"/>
  <c r="O50" i="20" s="1"/>
  <c r="P50" i="20" s="1"/>
  <c r="N50" i="20"/>
  <c r="J44" i="17"/>
  <c r="I44" i="17"/>
  <c r="DA51" i="9" s="1"/>
  <c r="J43" i="17"/>
  <c r="I43" i="17"/>
  <c r="DA50" i="9" s="1"/>
  <c r="J42" i="17"/>
  <c r="I42" i="17"/>
  <c r="DA49" i="9" s="1"/>
  <c r="Z144" i="1"/>
  <c r="H141" i="9" s="1"/>
  <c r="Y144" i="1"/>
  <c r="G141" i="9" s="1"/>
  <c r="P141" i="9" s="1"/>
  <c r="X144" i="1"/>
  <c r="F141" i="9" s="1"/>
  <c r="W144" i="1"/>
  <c r="E141" i="9" s="1"/>
  <c r="N141" i="9" s="1"/>
  <c r="V144" i="1"/>
  <c r="D141" i="9" s="1"/>
  <c r="U144" i="1"/>
  <c r="C141" i="9" s="1"/>
  <c r="O141" i="9" s="1"/>
  <c r="Z143" i="1"/>
  <c r="H140" i="9" s="1"/>
  <c r="Y143" i="1"/>
  <c r="G140" i="9" s="1"/>
  <c r="P140" i="9" s="1"/>
  <c r="X143" i="1"/>
  <c r="F140" i="9" s="1"/>
  <c r="W143" i="1"/>
  <c r="E140" i="9" s="1"/>
  <c r="N140" i="9" s="1"/>
  <c r="V143" i="1"/>
  <c r="D140" i="9" s="1"/>
  <c r="U143" i="1"/>
  <c r="C140" i="9" s="1"/>
  <c r="O140" i="9" s="1"/>
  <c r="U142" i="1"/>
  <c r="C139" i="9" s="1"/>
  <c r="O139" i="9" s="1"/>
  <c r="Z142" i="1"/>
  <c r="H139" i="9" s="1"/>
  <c r="Y142" i="1"/>
  <c r="G139" i="9" s="1"/>
  <c r="P139" i="9" s="1"/>
  <c r="X142" i="1"/>
  <c r="F139" i="9" s="1"/>
  <c r="W142" i="1"/>
  <c r="E139" i="9" s="1"/>
  <c r="N139" i="9" s="1"/>
  <c r="V142" i="1"/>
  <c r="D139" i="9" s="1"/>
  <c r="AB174" i="1"/>
  <c r="K171" i="9" s="1"/>
  <c r="AB161" i="1"/>
  <c r="K158" i="9" s="1"/>
  <c r="AB160" i="1"/>
  <c r="K157" i="9" s="1"/>
  <c r="AB157" i="1"/>
  <c r="K154" i="9" s="1"/>
  <c r="AB152" i="1"/>
  <c r="K149" i="9" s="1"/>
  <c r="AB149" i="1"/>
  <c r="K146" i="9" s="1"/>
  <c r="AB142" i="1"/>
  <c r="K139" i="9" s="1"/>
  <c r="G164" i="1"/>
  <c r="B161" i="9" s="1"/>
  <c r="A161" i="9" s="1"/>
  <c r="G163" i="1"/>
  <c r="B160" i="9" s="1"/>
  <c r="A160" i="9" s="1"/>
  <c r="G162" i="1"/>
  <c r="B159" i="9" s="1"/>
  <c r="A159" i="9" s="1"/>
  <c r="G161" i="1"/>
  <c r="B158" i="9" s="1"/>
  <c r="A158" i="9" s="1"/>
  <c r="G160" i="1"/>
  <c r="B157" i="9" s="1"/>
  <c r="A157" i="9" s="1"/>
  <c r="G159" i="1"/>
  <c r="B156" i="9" s="1"/>
  <c r="A156" i="9" s="1"/>
  <c r="G158" i="1"/>
  <c r="B155" i="9" s="1"/>
  <c r="A155" i="9" s="1"/>
  <c r="G157" i="1"/>
  <c r="B154" i="9" s="1"/>
  <c r="A154" i="9" s="1"/>
  <c r="G156" i="1"/>
  <c r="B153" i="9" s="1"/>
  <c r="A153" i="9" s="1"/>
  <c r="G155" i="1"/>
  <c r="B152" i="9" s="1"/>
  <c r="A152" i="9" s="1"/>
  <c r="G154" i="1"/>
  <c r="B151" i="9" s="1"/>
  <c r="A151" i="9" s="1"/>
  <c r="G153" i="1"/>
  <c r="B150" i="9" s="1"/>
  <c r="A150" i="9" s="1"/>
  <c r="G152" i="1"/>
  <c r="B149" i="9" s="1"/>
  <c r="A149" i="9" s="1"/>
  <c r="G151" i="1"/>
  <c r="B148" i="9" s="1"/>
  <c r="A148" i="9" s="1"/>
  <c r="G150" i="1"/>
  <c r="B147" i="9" s="1"/>
  <c r="A147" i="9" s="1"/>
  <c r="G149" i="1"/>
  <c r="B146" i="9" s="1"/>
  <c r="A146" i="9" s="1"/>
  <c r="G148" i="1"/>
  <c r="B145" i="9" s="1"/>
  <c r="A145" i="9" s="1"/>
  <c r="G147" i="1"/>
  <c r="B144" i="9" s="1"/>
  <c r="A144" i="9" s="1"/>
  <c r="G146" i="1"/>
  <c r="B143" i="9" s="1"/>
  <c r="A143" i="9" s="1"/>
  <c r="G145" i="1"/>
  <c r="B142" i="9" s="1"/>
  <c r="A142" i="9" s="1"/>
  <c r="G144" i="1"/>
  <c r="B141" i="9" s="1"/>
  <c r="A141" i="9" s="1"/>
  <c r="G143" i="1"/>
  <c r="B140" i="9" s="1"/>
  <c r="A140" i="9" s="1"/>
  <c r="G142" i="1"/>
  <c r="B139" i="9" s="1"/>
  <c r="A139" i="9" s="1"/>
  <c r="G141" i="1"/>
  <c r="B138" i="9" s="1"/>
  <c r="A138" i="9" s="1"/>
  <c r="Z141" i="1"/>
  <c r="H138" i="9" s="1"/>
  <c r="Y141" i="1"/>
  <c r="G138" i="9" s="1"/>
  <c r="P138" i="9" s="1"/>
  <c r="X141" i="1"/>
  <c r="F138" i="9" s="1"/>
  <c r="W141" i="1"/>
  <c r="E138" i="9" s="1"/>
  <c r="N138" i="9" s="1"/>
  <c r="V141" i="1"/>
  <c r="D138" i="9" s="1"/>
  <c r="U141" i="1"/>
  <c r="C138" i="9" s="1"/>
  <c r="O138" i="9" s="1"/>
  <c r="H12" i="13"/>
  <c r="Z30" i="15"/>
  <c r="Y30" i="15"/>
  <c r="CT32" i="9" s="1"/>
  <c r="Z29" i="15"/>
  <c r="Y29" i="15"/>
  <c r="CT31" i="9" s="1"/>
  <c r="Z28" i="15"/>
  <c r="Y28" i="15"/>
  <c r="CT30" i="9" s="1"/>
  <c r="AF45" i="17"/>
  <c r="AE45" i="17"/>
  <c r="DG49" i="9" s="1"/>
  <c r="AF44" i="17"/>
  <c r="AE44" i="17"/>
  <c r="DG48" i="9" s="1"/>
  <c r="AF43" i="17"/>
  <c r="AE43" i="17"/>
  <c r="DG47" i="9" s="1"/>
  <c r="AF42" i="17"/>
  <c r="AE42" i="17"/>
  <c r="DG46" i="9" s="1"/>
  <c r="AF41" i="17"/>
  <c r="AE41" i="17"/>
  <c r="DG45" i="9" s="1"/>
  <c r="AF40" i="17"/>
  <c r="AE40" i="17"/>
  <c r="DG44" i="9" s="1"/>
  <c r="U43" i="17"/>
  <c r="T43" i="17"/>
  <c r="DD50" i="9" s="1"/>
  <c r="U42" i="17"/>
  <c r="T42" i="17"/>
  <c r="DD49" i="9" s="1"/>
  <c r="U41" i="17"/>
  <c r="T41" i="17"/>
  <c r="DD48" i="9" s="1"/>
  <c r="U40" i="17"/>
  <c r="T40" i="17"/>
  <c r="DD47" i="9" s="1"/>
  <c r="U39" i="17"/>
  <c r="T39" i="17"/>
  <c r="DD46" i="9" s="1"/>
  <c r="U140" i="1"/>
  <c r="C137" i="9" s="1"/>
  <c r="O137" i="9" s="1"/>
  <c r="V140" i="1"/>
  <c r="D137" i="9" s="1"/>
  <c r="W140" i="1"/>
  <c r="E137" i="9" s="1"/>
  <c r="N137" i="9" s="1"/>
  <c r="X140" i="1"/>
  <c r="F137" i="9" s="1"/>
  <c r="Y140" i="1"/>
  <c r="G137" i="9" s="1"/>
  <c r="P137" i="9" s="1"/>
  <c r="Z140" i="1"/>
  <c r="H137" i="9" s="1"/>
  <c r="U138" i="1"/>
  <c r="C135" i="9" s="1"/>
  <c r="O135" i="9" s="1"/>
  <c r="V138" i="1"/>
  <c r="D135" i="9" s="1"/>
  <c r="W138" i="1"/>
  <c r="E135" i="9" s="1"/>
  <c r="N135" i="9" s="1"/>
  <c r="X138" i="1"/>
  <c r="F135" i="9" s="1"/>
  <c r="Y138" i="1"/>
  <c r="G135" i="9" s="1"/>
  <c r="P135" i="9" s="1"/>
  <c r="Z138" i="1"/>
  <c r="H135" i="9" s="1"/>
  <c r="U139" i="1"/>
  <c r="C136" i="9" s="1"/>
  <c r="O136" i="9" s="1"/>
  <c r="V139" i="1"/>
  <c r="D136" i="9" s="1"/>
  <c r="W139" i="1"/>
  <c r="E136" i="9" s="1"/>
  <c r="N136" i="9" s="1"/>
  <c r="X139" i="1"/>
  <c r="F136" i="9" s="1"/>
  <c r="Y139" i="1"/>
  <c r="G136" i="9" s="1"/>
  <c r="P136" i="9" s="1"/>
  <c r="Z139" i="1"/>
  <c r="H136" i="9" s="1"/>
  <c r="Z137" i="1"/>
  <c r="H134" i="9" s="1"/>
  <c r="Y137" i="1"/>
  <c r="G134" i="9" s="1"/>
  <c r="P134" i="9" s="1"/>
  <c r="X137" i="1"/>
  <c r="F134" i="9" s="1"/>
  <c r="W137" i="1"/>
  <c r="E134" i="9" s="1"/>
  <c r="N134" i="9" s="1"/>
  <c r="V137" i="1"/>
  <c r="D134" i="9" s="1"/>
  <c r="U137" i="1"/>
  <c r="C134" i="9" s="1"/>
  <c r="O134" i="9" s="1"/>
  <c r="Z136" i="1"/>
  <c r="H133" i="9" s="1"/>
  <c r="Y136" i="1"/>
  <c r="G133" i="9" s="1"/>
  <c r="P133" i="9" s="1"/>
  <c r="X136" i="1"/>
  <c r="F133" i="9" s="1"/>
  <c r="W136" i="1"/>
  <c r="E133" i="9" s="1"/>
  <c r="N133" i="9" s="1"/>
  <c r="V136" i="1"/>
  <c r="D133" i="9" s="1"/>
  <c r="U136" i="1"/>
  <c r="C133" i="9" s="1"/>
  <c r="O133" i="9" s="1"/>
  <c r="Z135" i="1"/>
  <c r="H132" i="9" s="1"/>
  <c r="Y135" i="1"/>
  <c r="G132" i="9" s="1"/>
  <c r="P132" i="9" s="1"/>
  <c r="X135" i="1"/>
  <c r="F132" i="9" s="1"/>
  <c r="W135" i="1"/>
  <c r="E132" i="9" s="1"/>
  <c r="N132" i="9" s="1"/>
  <c r="V135" i="1"/>
  <c r="D132" i="9" s="1"/>
  <c r="U135" i="1"/>
  <c r="C132" i="9" s="1"/>
  <c r="O132" i="9" s="1"/>
  <c r="G135" i="1"/>
  <c r="B132" i="9" s="1"/>
  <c r="A132" i="9" s="1"/>
  <c r="Z134" i="1"/>
  <c r="H131" i="9" s="1"/>
  <c r="Y134" i="1"/>
  <c r="G131" i="9" s="1"/>
  <c r="P131" i="9" s="1"/>
  <c r="X134" i="1"/>
  <c r="F131" i="9" s="1"/>
  <c r="W134" i="1"/>
  <c r="E131" i="9" s="1"/>
  <c r="N131" i="9" s="1"/>
  <c r="V134" i="1"/>
  <c r="D131" i="9" s="1"/>
  <c r="U134" i="1"/>
  <c r="C131" i="9" s="1"/>
  <c r="O131" i="9" s="1"/>
  <c r="AB138" i="1"/>
  <c r="K135" i="9" s="1"/>
  <c r="T37" i="17"/>
  <c r="DD44" i="9" s="1"/>
  <c r="Z133" i="1"/>
  <c r="H130" i="9" s="1"/>
  <c r="Y133" i="1"/>
  <c r="G130" i="9" s="1"/>
  <c r="P130" i="9" s="1"/>
  <c r="X133" i="1"/>
  <c r="F130" i="9" s="1"/>
  <c r="W133" i="1"/>
  <c r="E130" i="9" s="1"/>
  <c r="N130" i="9" s="1"/>
  <c r="V133" i="1"/>
  <c r="D130" i="9" s="1"/>
  <c r="U133" i="1"/>
  <c r="C130" i="9" s="1"/>
  <c r="O130" i="9" s="1"/>
  <c r="Z132" i="1"/>
  <c r="H129" i="9" s="1"/>
  <c r="Y132" i="1"/>
  <c r="G129" i="9" s="1"/>
  <c r="P129" i="9" s="1"/>
  <c r="X132" i="1"/>
  <c r="F129" i="9" s="1"/>
  <c r="W132" i="1"/>
  <c r="E129" i="9" s="1"/>
  <c r="N129" i="9" s="1"/>
  <c r="V132" i="1"/>
  <c r="D129" i="9" s="1"/>
  <c r="U132" i="1"/>
  <c r="C129" i="9" s="1"/>
  <c r="O129" i="9" s="1"/>
  <c r="Z131" i="1"/>
  <c r="H128" i="9" s="1"/>
  <c r="Y131" i="1"/>
  <c r="G128" i="9" s="1"/>
  <c r="P128" i="9" s="1"/>
  <c r="X131" i="1"/>
  <c r="F128" i="9" s="1"/>
  <c r="W131" i="1"/>
  <c r="E128" i="9" s="1"/>
  <c r="N128" i="9" s="1"/>
  <c r="V131" i="1"/>
  <c r="D128" i="9" s="1"/>
  <c r="U131" i="1"/>
  <c r="C128" i="9" s="1"/>
  <c r="O128" i="9" s="1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Z130" i="1"/>
  <c r="H127" i="9" s="1"/>
  <c r="Y130" i="1"/>
  <c r="G127" i="9" s="1"/>
  <c r="P127" i="9" s="1"/>
  <c r="X130" i="1"/>
  <c r="F127" i="9" s="1"/>
  <c r="W130" i="1"/>
  <c r="E127" i="9" s="1"/>
  <c r="N127" i="9" s="1"/>
  <c r="V130" i="1"/>
  <c r="D127" i="9" s="1"/>
  <c r="U130" i="1"/>
  <c r="C127" i="9" s="1"/>
  <c r="O127" i="9" s="1"/>
  <c r="Z129" i="1"/>
  <c r="H126" i="9" s="1"/>
  <c r="Y129" i="1"/>
  <c r="G126" i="9" s="1"/>
  <c r="P126" i="9" s="1"/>
  <c r="X129" i="1"/>
  <c r="F126" i="9" s="1"/>
  <c r="W129" i="1"/>
  <c r="E126" i="9" s="1"/>
  <c r="N126" i="9" s="1"/>
  <c r="V129" i="1"/>
  <c r="D126" i="9" s="1"/>
  <c r="U129" i="1"/>
  <c r="C126" i="9" s="1"/>
  <c r="O126" i="9" s="1"/>
  <c r="O35" i="15"/>
  <c r="N35" i="15"/>
  <c r="O34" i="15"/>
  <c r="N34" i="15"/>
  <c r="O33" i="15"/>
  <c r="N33" i="15"/>
  <c r="CQ35" i="9" s="1"/>
  <c r="O32" i="15"/>
  <c r="N32" i="15"/>
  <c r="CQ34" i="9" s="1"/>
  <c r="O31" i="15"/>
  <c r="N31" i="15"/>
  <c r="CQ33" i="9" s="1"/>
  <c r="O30" i="15"/>
  <c r="N30" i="15"/>
  <c r="CQ32" i="9" s="1"/>
  <c r="O29" i="15"/>
  <c r="N29" i="15"/>
  <c r="CQ31" i="9" s="1"/>
  <c r="O28" i="15"/>
  <c r="N28" i="15"/>
  <c r="CQ30" i="9" s="1"/>
  <c r="AK31" i="15"/>
  <c r="AJ31" i="15"/>
  <c r="CW33" i="9" s="1"/>
  <c r="AK30" i="15"/>
  <c r="AJ30" i="15"/>
  <c r="CW32" i="9" s="1"/>
  <c r="AK29" i="15"/>
  <c r="AJ29" i="15"/>
  <c r="CW31" i="9" s="1"/>
  <c r="AK28" i="15"/>
  <c r="AJ28" i="15"/>
  <c r="CW30" i="9" s="1"/>
  <c r="AK27" i="15"/>
  <c r="AJ27" i="15"/>
  <c r="CW29" i="9" s="1"/>
  <c r="AK26" i="15"/>
  <c r="AJ26" i="15"/>
  <c r="CW28" i="9" s="1"/>
  <c r="Z128" i="1"/>
  <c r="H125" i="9" s="1"/>
  <c r="Y128" i="1"/>
  <c r="G125" i="9" s="1"/>
  <c r="P125" i="9" s="1"/>
  <c r="X128" i="1"/>
  <c r="F125" i="9" s="1"/>
  <c r="W128" i="1"/>
  <c r="E125" i="9" s="1"/>
  <c r="N125" i="9" s="1"/>
  <c r="V128" i="1"/>
  <c r="D125" i="9" s="1"/>
  <c r="U128" i="1"/>
  <c r="C125" i="9" s="1"/>
  <c r="O125" i="9" s="1"/>
  <c r="G140" i="1"/>
  <c r="B137" i="9" s="1"/>
  <c r="A137" i="9" s="1"/>
  <c r="G139" i="1"/>
  <c r="B136" i="9" s="1"/>
  <c r="A136" i="9" s="1"/>
  <c r="G138" i="1"/>
  <c r="B135" i="9" s="1"/>
  <c r="A135" i="9" s="1"/>
  <c r="G137" i="1"/>
  <c r="B134" i="9" s="1"/>
  <c r="A134" i="9" s="1"/>
  <c r="G136" i="1"/>
  <c r="B133" i="9" s="1"/>
  <c r="A133" i="9" s="1"/>
  <c r="G134" i="1"/>
  <c r="B131" i="9" s="1"/>
  <c r="A131" i="9" s="1"/>
  <c r="G133" i="1"/>
  <c r="B130" i="9" s="1"/>
  <c r="A130" i="9" s="1"/>
  <c r="G132" i="1"/>
  <c r="B129" i="9" s="1"/>
  <c r="A129" i="9" s="1"/>
  <c r="Z127" i="1"/>
  <c r="H124" i="9" s="1"/>
  <c r="Y127" i="1"/>
  <c r="G124" i="9" s="1"/>
  <c r="P124" i="9" s="1"/>
  <c r="X127" i="1"/>
  <c r="F124" i="9" s="1"/>
  <c r="W127" i="1"/>
  <c r="E124" i="9" s="1"/>
  <c r="N124" i="9" s="1"/>
  <c r="V127" i="1"/>
  <c r="D124" i="9" s="1"/>
  <c r="U127" i="1"/>
  <c r="C124" i="9" s="1"/>
  <c r="O124" i="9" s="1"/>
  <c r="U126" i="1"/>
  <c r="C123" i="9" s="1"/>
  <c r="O123" i="9" s="1"/>
  <c r="V126" i="1"/>
  <c r="D123" i="9" s="1"/>
  <c r="W126" i="1"/>
  <c r="E123" i="9" s="1"/>
  <c r="N123" i="9" s="1"/>
  <c r="X126" i="1"/>
  <c r="F123" i="9" s="1"/>
  <c r="Y126" i="1"/>
  <c r="G123" i="9" s="1"/>
  <c r="P123" i="9" s="1"/>
  <c r="Z126" i="1"/>
  <c r="H123" i="9" s="1"/>
  <c r="Z125" i="1"/>
  <c r="H122" i="9" s="1"/>
  <c r="Y125" i="1"/>
  <c r="G122" i="9" s="1"/>
  <c r="P122" i="9" s="1"/>
  <c r="X125" i="1"/>
  <c r="F122" i="9" s="1"/>
  <c r="W125" i="1"/>
  <c r="E122" i="9" s="1"/>
  <c r="N122" i="9" s="1"/>
  <c r="V125" i="1"/>
  <c r="D122" i="9" s="1"/>
  <c r="U125" i="1"/>
  <c r="C122" i="9" s="1"/>
  <c r="O122" i="9" s="1"/>
  <c r="U124" i="1"/>
  <c r="C121" i="9" s="1"/>
  <c r="O121" i="9" s="1"/>
  <c r="V124" i="1"/>
  <c r="D121" i="9" s="1"/>
  <c r="W124" i="1"/>
  <c r="E121" i="9" s="1"/>
  <c r="N121" i="9" s="1"/>
  <c r="X124" i="1"/>
  <c r="F121" i="9" s="1"/>
  <c r="Y124" i="1"/>
  <c r="G121" i="9" s="1"/>
  <c r="P121" i="9" s="1"/>
  <c r="Z124" i="1"/>
  <c r="H121" i="9" s="1"/>
  <c r="Z123" i="1"/>
  <c r="H120" i="9" s="1"/>
  <c r="Y123" i="1"/>
  <c r="G120" i="9" s="1"/>
  <c r="P120" i="9" s="1"/>
  <c r="X123" i="1"/>
  <c r="F120" i="9" s="1"/>
  <c r="W123" i="1"/>
  <c r="E120" i="9" s="1"/>
  <c r="N120" i="9" s="1"/>
  <c r="V123" i="1"/>
  <c r="D120" i="9" s="1"/>
  <c r="U123" i="1"/>
  <c r="C120" i="9" s="1"/>
  <c r="O120" i="9" s="1"/>
  <c r="AB130" i="1"/>
  <c r="K127" i="9" s="1"/>
  <c r="AB125" i="1"/>
  <c r="K122" i="9" s="1"/>
  <c r="G131" i="1"/>
  <c r="B128" i="9" s="1"/>
  <c r="A128" i="9" s="1"/>
  <c r="G130" i="1"/>
  <c r="B127" i="9" s="1"/>
  <c r="A127" i="9" s="1"/>
  <c r="G129" i="1"/>
  <c r="B126" i="9" s="1"/>
  <c r="A126" i="9" s="1"/>
  <c r="G128" i="1"/>
  <c r="B125" i="9" s="1"/>
  <c r="A125" i="9" s="1"/>
  <c r="G127" i="1"/>
  <c r="B124" i="9" s="1"/>
  <c r="A124" i="9" s="1"/>
  <c r="G126" i="1"/>
  <c r="B123" i="9" s="1"/>
  <c r="A123" i="9" s="1"/>
  <c r="G125" i="1"/>
  <c r="B122" i="9" s="1"/>
  <c r="A122" i="9" s="1"/>
  <c r="G124" i="1"/>
  <c r="B121" i="9" s="1"/>
  <c r="A121" i="9" s="1"/>
  <c r="G123" i="1"/>
  <c r="B120" i="9" s="1"/>
  <c r="A120" i="9" s="1"/>
  <c r="Z122" i="1"/>
  <c r="H119" i="9" s="1"/>
  <c r="Y122" i="1"/>
  <c r="G119" i="9" s="1"/>
  <c r="P119" i="9" s="1"/>
  <c r="X122" i="1"/>
  <c r="F119" i="9" s="1"/>
  <c r="W122" i="1"/>
  <c r="E119" i="9" s="1"/>
  <c r="N119" i="9" s="1"/>
  <c r="V122" i="1"/>
  <c r="D119" i="9" s="1"/>
  <c r="U122" i="1"/>
  <c r="C119" i="9" s="1"/>
  <c r="O119" i="9" s="1"/>
  <c r="Z121" i="1"/>
  <c r="H118" i="9" s="1"/>
  <c r="Y121" i="1"/>
  <c r="G118" i="9" s="1"/>
  <c r="P118" i="9" s="1"/>
  <c r="X121" i="1"/>
  <c r="F118" i="9" s="1"/>
  <c r="W121" i="1"/>
  <c r="E118" i="9" s="1"/>
  <c r="N118" i="9" s="1"/>
  <c r="V121" i="1"/>
  <c r="D118" i="9" s="1"/>
  <c r="U121" i="1"/>
  <c r="C118" i="9" s="1"/>
  <c r="O118" i="9" s="1"/>
  <c r="O27" i="15"/>
  <c r="N27" i="15"/>
  <c r="CQ29" i="9" s="1"/>
  <c r="Z120" i="1"/>
  <c r="H117" i="9" s="1"/>
  <c r="Y120" i="1"/>
  <c r="G117" i="9" s="1"/>
  <c r="P117" i="9" s="1"/>
  <c r="X120" i="1"/>
  <c r="F117" i="9" s="1"/>
  <c r="W120" i="1"/>
  <c r="E117" i="9" s="1"/>
  <c r="N117" i="9" s="1"/>
  <c r="V120" i="1"/>
  <c r="D117" i="9" s="1"/>
  <c r="U120" i="1"/>
  <c r="C117" i="9" s="1"/>
  <c r="O117" i="9" s="1"/>
  <c r="G119" i="1"/>
  <c r="B116" i="9" s="1"/>
  <c r="A116" i="9" s="1"/>
  <c r="Z119" i="1"/>
  <c r="H116" i="9" s="1"/>
  <c r="Y119" i="1"/>
  <c r="G116" i="9" s="1"/>
  <c r="P116" i="9" s="1"/>
  <c r="X119" i="1"/>
  <c r="F116" i="9" s="1"/>
  <c r="W119" i="1"/>
  <c r="E116" i="9" s="1"/>
  <c r="N116" i="9" s="1"/>
  <c r="V119" i="1"/>
  <c r="D116" i="9" s="1"/>
  <c r="U119" i="1"/>
  <c r="C116" i="9" s="1"/>
  <c r="O116" i="9" s="1"/>
  <c r="Z118" i="1"/>
  <c r="H115" i="9" s="1"/>
  <c r="Y118" i="1"/>
  <c r="G115" i="9" s="1"/>
  <c r="P115" i="9" s="1"/>
  <c r="X118" i="1"/>
  <c r="F115" i="9" s="1"/>
  <c r="W118" i="1"/>
  <c r="E115" i="9" s="1"/>
  <c r="N115" i="9" s="1"/>
  <c r="V118" i="1"/>
  <c r="D115" i="9" s="1"/>
  <c r="U118" i="1"/>
  <c r="C115" i="9" s="1"/>
  <c r="O115" i="9" s="1"/>
  <c r="Z117" i="1"/>
  <c r="H114" i="9" s="1"/>
  <c r="Y117" i="1"/>
  <c r="G114" i="9" s="1"/>
  <c r="P114" i="9" s="1"/>
  <c r="X117" i="1"/>
  <c r="F114" i="9" s="1"/>
  <c r="W117" i="1"/>
  <c r="E114" i="9" s="1"/>
  <c r="N114" i="9" s="1"/>
  <c r="V117" i="1"/>
  <c r="D114" i="9" s="1"/>
  <c r="U117" i="1"/>
  <c r="C114" i="9" s="1"/>
  <c r="O114" i="9" s="1"/>
  <c r="Z116" i="1"/>
  <c r="H113" i="9" s="1"/>
  <c r="Y116" i="1"/>
  <c r="G113" i="9" s="1"/>
  <c r="P113" i="9" s="1"/>
  <c r="X116" i="1"/>
  <c r="F113" i="9" s="1"/>
  <c r="W116" i="1"/>
  <c r="E113" i="9" s="1"/>
  <c r="N113" i="9" s="1"/>
  <c r="V116" i="1"/>
  <c r="D113" i="9" s="1"/>
  <c r="U116" i="1"/>
  <c r="C113" i="9" s="1"/>
  <c r="O113" i="9" s="1"/>
  <c r="B33" i="5"/>
  <c r="BA32" i="9" s="1"/>
  <c r="B34" i="5"/>
  <c r="BA33" i="9" s="1"/>
  <c r="B35" i="5"/>
  <c r="BA34" i="9" s="1"/>
  <c r="Z27" i="15"/>
  <c r="Y27" i="15"/>
  <c r="CT29" i="9" s="1"/>
  <c r="Z26" i="15"/>
  <c r="Y26" i="15"/>
  <c r="CT28" i="9" s="1"/>
  <c r="Z25" i="15"/>
  <c r="Y25" i="15"/>
  <c r="CT27" i="9" s="1"/>
  <c r="J41" i="17"/>
  <c r="I41" i="17"/>
  <c r="DA48" i="9" s="1"/>
  <c r="J40" i="17"/>
  <c r="I40" i="17"/>
  <c r="DA47" i="9" s="1"/>
  <c r="J39" i="17"/>
  <c r="I39" i="17"/>
  <c r="DA46" i="9" s="1"/>
  <c r="J38" i="17"/>
  <c r="I38" i="17"/>
  <c r="DA45" i="9" s="1"/>
  <c r="J37" i="17"/>
  <c r="I37" i="17"/>
  <c r="DA44" i="9" s="1"/>
  <c r="J36" i="17"/>
  <c r="I36" i="17"/>
  <c r="DA43" i="9" s="1"/>
  <c r="J35" i="17"/>
  <c r="I35" i="17"/>
  <c r="DA42" i="9" s="1"/>
  <c r="J34" i="17"/>
  <c r="I34" i="17"/>
  <c r="DA41" i="9" s="1"/>
  <c r="J33" i="17"/>
  <c r="I33" i="17"/>
  <c r="DA40" i="9" s="1"/>
  <c r="AF39" i="17"/>
  <c r="AE39" i="17"/>
  <c r="DG43" i="9" s="1"/>
  <c r="AF38" i="17"/>
  <c r="AE38" i="17"/>
  <c r="DG42" i="9" s="1"/>
  <c r="AF37" i="17"/>
  <c r="AE37" i="17"/>
  <c r="DG41" i="9" s="1"/>
  <c r="AF36" i="17"/>
  <c r="AE36" i="17"/>
  <c r="DG40" i="9" s="1"/>
  <c r="AF35" i="17"/>
  <c r="AE35" i="17"/>
  <c r="DG39" i="9" s="1"/>
  <c r="AF34" i="17"/>
  <c r="AE34" i="17"/>
  <c r="DG38" i="9" s="1"/>
  <c r="AF33" i="17"/>
  <c r="AE33" i="17"/>
  <c r="DG37" i="9" s="1"/>
  <c r="U38" i="17"/>
  <c r="T38" i="17"/>
  <c r="DD45" i="9" s="1"/>
  <c r="U37" i="17"/>
  <c r="U36" i="17"/>
  <c r="T36" i="17"/>
  <c r="DD43" i="9" s="1"/>
  <c r="U35" i="17"/>
  <c r="T35" i="17"/>
  <c r="DD42" i="9" s="1"/>
  <c r="U34" i="17"/>
  <c r="T34" i="17"/>
  <c r="DD41" i="9" s="1"/>
  <c r="U33" i="17"/>
  <c r="T33" i="17"/>
  <c r="DD40" i="9" s="1"/>
  <c r="U32" i="17"/>
  <c r="T32" i="17"/>
  <c r="DD39" i="9" s="1"/>
  <c r="Z115" i="1"/>
  <c r="H112" i="9" s="1"/>
  <c r="Y115" i="1"/>
  <c r="G112" i="9" s="1"/>
  <c r="P112" i="9" s="1"/>
  <c r="X115" i="1"/>
  <c r="F112" i="9" s="1"/>
  <c r="W115" i="1"/>
  <c r="E112" i="9" s="1"/>
  <c r="N112" i="9" s="1"/>
  <c r="V115" i="1"/>
  <c r="D112" i="9" s="1"/>
  <c r="U115" i="1"/>
  <c r="C112" i="9" s="1"/>
  <c r="O112" i="9" s="1"/>
  <c r="Z114" i="1"/>
  <c r="H111" i="9" s="1"/>
  <c r="Y114" i="1"/>
  <c r="G111" i="9" s="1"/>
  <c r="P111" i="9" s="1"/>
  <c r="X114" i="1"/>
  <c r="F111" i="9" s="1"/>
  <c r="W114" i="1"/>
  <c r="E111" i="9" s="1"/>
  <c r="N111" i="9" s="1"/>
  <c r="V114" i="1"/>
  <c r="D111" i="9" s="1"/>
  <c r="U114" i="1"/>
  <c r="C111" i="9" s="1"/>
  <c r="O111" i="9" s="1"/>
  <c r="Z113" i="1"/>
  <c r="H110" i="9" s="1"/>
  <c r="Y113" i="1"/>
  <c r="G110" i="9" s="1"/>
  <c r="P110" i="9" s="1"/>
  <c r="X113" i="1"/>
  <c r="F110" i="9" s="1"/>
  <c r="W113" i="1"/>
  <c r="E110" i="9" s="1"/>
  <c r="N110" i="9" s="1"/>
  <c r="V113" i="1"/>
  <c r="D110" i="9" s="1"/>
  <c r="U113" i="1"/>
  <c r="C110" i="9" s="1"/>
  <c r="O110" i="9" s="1"/>
  <c r="AB117" i="1"/>
  <c r="K114" i="9" s="1"/>
  <c r="G122" i="1"/>
  <c r="B119" i="9" s="1"/>
  <c r="A119" i="9" s="1"/>
  <c r="G121" i="1"/>
  <c r="B118" i="9" s="1"/>
  <c r="A118" i="9" s="1"/>
  <c r="G120" i="1"/>
  <c r="B117" i="9" s="1"/>
  <c r="A117" i="9" s="1"/>
  <c r="G118" i="1"/>
  <c r="B115" i="9" s="1"/>
  <c r="A115" i="9" s="1"/>
  <c r="G117" i="1"/>
  <c r="B114" i="9" s="1"/>
  <c r="A114" i="9" s="1"/>
  <c r="G116" i="1"/>
  <c r="B113" i="9" s="1"/>
  <c r="A113" i="9" s="1"/>
  <c r="G115" i="1"/>
  <c r="B112" i="9" s="1"/>
  <c r="A112" i="9" s="1"/>
  <c r="G114" i="1"/>
  <c r="B111" i="9" s="1"/>
  <c r="A111" i="9" s="1"/>
  <c r="Z112" i="1"/>
  <c r="H109" i="9" s="1"/>
  <c r="Y112" i="1"/>
  <c r="G109" i="9" s="1"/>
  <c r="P109" i="9" s="1"/>
  <c r="X112" i="1"/>
  <c r="F109" i="9" s="1"/>
  <c r="W112" i="1"/>
  <c r="E109" i="9" s="1"/>
  <c r="N109" i="9" s="1"/>
  <c r="V112" i="1"/>
  <c r="D109" i="9" s="1"/>
  <c r="U112" i="1"/>
  <c r="C109" i="9" s="1"/>
  <c r="O109" i="9" s="1"/>
  <c r="Z111" i="1"/>
  <c r="H108" i="9" s="1"/>
  <c r="Y111" i="1"/>
  <c r="G108" i="9" s="1"/>
  <c r="P108" i="9" s="1"/>
  <c r="X111" i="1"/>
  <c r="F108" i="9" s="1"/>
  <c r="W111" i="1"/>
  <c r="E108" i="9" s="1"/>
  <c r="N108" i="9" s="1"/>
  <c r="V111" i="1"/>
  <c r="D108" i="9" s="1"/>
  <c r="U111" i="1"/>
  <c r="C108" i="9" s="1"/>
  <c r="O108" i="9" s="1"/>
  <c r="Z110" i="1"/>
  <c r="H107" i="9" s="1"/>
  <c r="Y110" i="1"/>
  <c r="G107" i="9" s="1"/>
  <c r="P107" i="9" s="1"/>
  <c r="X110" i="1"/>
  <c r="F107" i="9" s="1"/>
  <c r="W110" i="1"/>
  <c r="E107" i="9" s="1"/>
  <c r="N107" i="9" s="1"/>
  <c r="V110" i="1"/>
  <c r="D107" i="9" s="1"/>
  <c r="U110" i="1"/>
  <c r="C107" i="9" s="1"/>
  <c r="O107" i="9" s="1"/>
  <c r="Z109" i="1"/>
  <c r="H106" i="9" s="1"/>
  <c r="Y109" i="1"/>
  <c r="G106" i="9" s="1"/>
  <c r="P106" i="9" s="1"/>
  <c r="X109" i="1"/>
  <c r="F106" i="9" s="1"/>
  <c r="W109" i="1"/>
  <c r="E106" i="9" s="1"/>
  <c r="N106" i="9" s="1"/>
  <c r="V109" i="1"/>
  <c r="D106" i="9" s="1"/>
  <c r="U109" i="1"/>
  <c r="C106" i="9" s="1"/>
  <c r="O106" i="9" s="1"/>
  <c r="G113" i="1"/>
  <c r="B110" i="9" s="1"/>
  <c r="A110" i="9" s="1"/>
  <c r="G112" i="1"/>
  <c r="B109" i="9" s="1"/>
  <c r="A109" i="9" s="1"/>
  <c r="G111" i="1"/>
  <c r="B108" i="9" s="1"/>
  <c r="A108" i="9" s="1"/>
  <c r="G110" i="1"/>
  <c r="B107" i="9" s="1"/>
  <c r="A107" i="9" s="1"/>
  <c r="Z24" i="15"/>
  <c r="Y24" i="15"/>
  <c r="CT26" i="9" s="1"/>
  <c r="Z108" i="1"/>
  <c r="H105" i="9" s="1"/>
  <c r="Y108" i="1"/>
  <c r="G105" i="9" s="1"/>
  <c r="P105" i="9" s="1"/>
  <c r="X108" i="1"/>
  <c r="F105" i="9" s="1"/>
  <c r="W108" i="1"/>
  <c r="E105" i="9" s="1"/>
  <c r="N105" i="9" s="1"/>
  <c r="V108" i="1"/>
  <c r="D105" i="9" s="1"/>
  <c r="U108" i="1"/>
  <c r="C105" i="9" s="1"/>
  <c r="O105" i="9" s="1"/>
  <c r="J31" i="5"/>
  <c r="BD30" i="9" s="1"/>
  <c r="K31" i="5"/>
  <c r="BE30" i="9" s="1"/>
  <c r="J32" i="5"/>
  <c r="BD31" i="9" s="1"/>
  <c r="K32" i="5"/>
  <c r="BE31" i="9" s="1"/>
  <c r="J32" i="17"/>
  <c r="I32" i="17"/>
  <c r="DA39" i="9" s="1"/>
  <c r="J31" i="17"/>
  <c r="I31" i="17"/>
  <c r="DA38" i="9" s="1"/>
  <c r="J30" i="17"/>
  <c r="I30" i="17"/>
  <c r="DA37" i="9" s="1"/>
  <c r="AA58" i="9"/>
  <c r="AB58" i="9"/>
  <c r="AC58" i="9"/>
  <c r="AA59" i="9"/>
  <c r="AB59" i="9"/>
  <c r="AC59" i="9"/>
  <c r="AA60" i="9"/>
  <c r="AB60" i="9"/>
  <c r="AC60" i="9"/>
  <c r="AA61" i="9"/>
  <c r="AB61" i="9"/>
  <c r="AC61" i="9"/>
  <c r="Z107" i="1"/>
  <c r="H104" i="9" s="1"/>
  <c r="Y107" i="1"/>
  <c r="G104" i="9" s="1"/>
  <c r="P104" i="9" s="1"/>
  <c r="X107" i="1"/>
  <c r="F104" i="9" s="1"/>
  <c r="W107" i="1"/>
  <c r="E104" i="9" s="1"/>
  <c r="N104" i="9" s="1"/>
  <c r="V107" i="1"/>
  <c r="D104" i="9" s="1"/>
  <c r="U107" i="1"/>
  <c r="C104" i="9" s="1"/>
  <c r="O104" i="9" s="1"/>
  <c r="Z106" i="1"/>
  <c r="H103" i="9" s="1"/>
  <c r="Y106" i="1"/>
  <c r="G103" i="9" s="1"/>
  <c r="P103" i="9" s="1"/>
  <c r="X106" i="1"/>
  <c r="F103" i="9" s="1"/>
  <c r="W106" i="1"/>
  <c r="E103" i="9" s="1"/>
  <c r="N103" i="9" s="1"/>
  <c r="V106" i="1"/>
  <c r="D103" i="9" s="1"/>
  <c r="U106" i="1"/>
  <c r="C103" i="9" s="1"/>
  <c r="O103" i="9" s="1"/>
  <c r="Z105" i="1"/>
  <c r="H102" i="9" s="1"/>
  <c r="Y105" i="1"/>
  <c r="G102" i="9" s="1"/>
  <c r="P102" i="9" s="1"/>
  <c r="X105" i="1"/>
  <c r="F102" i="9" s="1"/>
  <c r="W105" i="1"/>
  <c r="E102" i="9" s="1"/>
  <c r="N102" i="9" s="1"/>
  <c r="V105" i="1"/>
  <c r="D102" i="9" s="1"/>
  <c r="U105" i="1"/>
  <c r="C102" i="9" s="1"/>
  <c r="O102" i="9" s="1"/>
  <c r="G109" i="1"/>
  <c r="B106" i="9" s="1"/>
  <c r="A106" i="9" s="1"/>
  <c r="G108" i="1"/>
  <c r="B105" i="9" s="1"/>
  <c r="A105" i="9" s="1"/>
  <c r="G107" i="1"/>
  <c r="B104" i="9" s="1"/>
  <c r="A104" i="9" s="1"/>
  <c r="G106" i="1"/>
  <c r="B103" i="9" s="1"/>
  <c r="A103" i="9" s="1"/>
  <c r="G105" i="1"/>
  <c r="B102" i="9" s="1"/>
  <c r="A102" i="9" s="1"/>
  <c r="Z104" i="1"/>
  <c r="H101" i="9" s="1"/>
  <c r="Y104" i="1"/>
  <c r="G101" i="9" s="1"/>
  <c r="P101" i="9" s="1"/>
  <c r="X104" i="1"/>
  <c r="F101" i="9" s="1"/>
  <c r="W104" i="1"/>
  <c r="E101" i="9" s="1"/>
  <c r="N101" i="9" s="1"/>
  <c r="V104" i="1"/>
  <c r="D101" i="9" s="1"/>
  <c r="U104" i="1"/>
  <c r="C101" i="9" s="1"/>
  <c r="O101" i="9" s="1"/>
  <c r="AF32" i="17"/>
  <c r="AE32" i="17"/>
  <c r="DG36" i="9" s="1"/>
  <c r="AF31" i="17"/>
  <c r="AE31" i="17"/>
  <c r="DG35" i="9" s="1"/>
  <c r="AF30" i="17"/>
  <c r="AE30" i="17"/>
  <c r="DG34" i="9" s="1"/>
  <c r="U31" i="17"/>
  <c r="T31" i="17"/>
  <c r="DD38" i="9" s="1"/>
  <c r="U30" i="17"/>
  <c r="T30" i="17"/>
  <c r="DD37" i="9" s="1"/>
  <c r="U29" i="17"/>
  <c r="T29" i="17"/>
  <c r="DD36" i="9" s="1"/>
  <c r="L31" i="5"/>
  <c r="L32" i="5"/>
  <c r="Z103" i="1"/>
  <c r="H100" i="9" s="1"/>
  <c r="Y103" i="1"/>
  <c r="G100" i="9" s="1"/>
  <c r="P100" i="9" s="1"/>
  <c r="X103" i="1"/>
  <c r="F100" i="9" s="1"/>
  <c r="W103" i="1"/>
  <c r="E100" i="9" s="1"/>
  <c r="N100" i="9" s="1"/>
  <c r="V103" i="1"/>
  <c r="D100" i="9" s="1"/>
  <c r="U103" i="1"/>
  <c r="C100" i="9" s="1"/>
  <c r="O100" i="9" s="1"/>
  <c r="Z102" i="1"/>
  <c r="H99" i="9" s="1"/>
  <c r="Y102" i="1"/>
  <c r="G99" i="9" s="1"/>
  <c r="P99" i="9" s="1"/>
  <c r="X102" i="1"/>
  <c r="F99" i="9" s="1"/>
  <c r="W102" i="1"/>
  <c r="E99" i="9" s="1"/>
  <c r="N99" i="9" s="1"/>
  <c r="V102" i="1"/>
  <c r="D99" i="9" s="1"/>
  <c r="U102" i="1"/>
  <c r="C99" i="9" s="1"/>
  <c r="O99" i="9" s="1"/>
  <c r="Z101" i="1"/>
  <c r="H98" i="9" s="1"/>
  <c r="Y101" i="1"/>
  <c r="G98" i="9" s="1"/>
  <c r="P98" i="9" s="1"/>
  <c r="X101" i="1"/>
  <c r="F98" i="9" s="1"/>
  <c r="W101" i="1"/>
  <c r="E98" i="9" s="1"/>
  <c r="N98" i="9" s="1"/>
  <c r="V101" i="1"/>
  <c r="D98" i="9" s="1"/>
  <c r="U101" i="1"/>
  <c r="C98" i="9" s="1"/>
  <c r="O98" i="9" s="1"/>
  <c r="Z100" i="1"/>
  <c r="H97" i="9" s="1"/>
  <c r="Y100" i="1"/>
  <c r="G97" i="9" s="1"/>
  <c r="P97" i="9" s="1"/>
  <c r="X100" i="1"/>
  <c r="F97" i="9" s="1"/>
  <c r="W100" i="1"/>
  <c r="E97" i="9" s="1"/>
  <c r="N97" i="9" s="1"/>
  <c r="V100" i="1"/>
  <c r="D97" i="9" s="1"/>
  <c r="U100" i="1"/>
  <c r="C97" i="9" s="1"/>
  <c r="O97" i="9" s="1"/>
  <c r="G104" i="1"/>
  <c r="B101" i="9" s="1"/>
  <c r="A101" i="9" s="1"/>
  <c r="G103" i="1"/>
  <c r="B100" i="9" s="1"/>
  <c r="A100" i="9" s="1"/>
  <c r="G102" i="1"/>
  <c r="B99" i="9" s="1"/>
  <c r="A99" i="9" s="1"/>
  <c r="O26" i="15"/>
  <c r="N26" i="15"/>
  <c r="CQ28" i="9" s="1"/>
  <c r="O25" i="15"/>
  <c r="N25" i="15"/>
  <c r="CQ27" i="9" s="1"/>
  <c r="O24" i="15"/>
  <c r="N24" i="15"/>
  <c r="CQ26" i="9" s="1"/>
  <c r="O23" i="15"/>
  <c r="N23" i="15"/>
  <c r="CQ25" i="9" s="1"/>
  <c r="J29" i="17"/>
  <c r="I29" i="17"/>
  <c r="DA36" i="9" s="1"/>
  <c r="J28" i="17"/>
  <c r="I28" i="17"/>
  <c r="DA35" i="9" s="1"/>
  <c r="J27" i="17"/>
  <c r="I27" i="17"/>
  <c r="DA34" i="9" s="1"/>
  <c r="AF29" i="17"/>
  <c r="AE29" i="17"/>
  <c r="DG33" i="9" s="1"/>
  <c r="AF28" i="17"/>
  <c r="AE28" i="17"/>
  <c r="DG32" i="9" s="1"/>
  <c r="F117" i="2"/>
  <c r="T120" i="9" s="1"/>
  <c r="S120" i="9" s="1"/>
  <c r="F118" i="2"/>
  <c r="T121" i="9" s="1"/>
  <c r="S121" i="9" s="1"/>
  <c r="F119" i="2"/>
  <c r="T122" i="9" s="1"/>
  <c r="S122" i="9" s="1"/>
  <c r="F120" i="2"/>
  <c r="T123" i="9" s="1"/>
  <c r="S123" i="9" s="1"/>
  <c r="F121" i="2"/>
  <c r="T124" i="9" s="1"/>
  <c r="S124" i="9" s="1"/>
  <c r="F122" i="2"/>
  <c r="T125" i="9" s="1"/>
  <c r="S125" i="9" s="1"/>
  <c r="F123" i="2"/>
  <c r="T126" i="9" s="1"/>
  <c r="S126" i="9" s="1"/>
  <c r="F124" i="2"/>
  <c r="T127" i="9" s="1"/>
  <c r="S127" i="9" s="1"/>
  <c r="F125" i="2"/>
  <c r="T128" i="9" s="1"/>
  <c r="S128" i="9" s="1"/>
  <c r="F126" i="2"/>
  <c r="T129" i="9" s="1"/>
  <c r="S129" i="9" s="1"/>
  <c r="F127" i="2"/>
  <c r="T130" i="9" s="1"/>
  <c r="S130" i="9" s="1"/>
  <c r="F114" i="2"/>
  <c r="T117" i="9" s="1"/>
  <c r="S117" i="9" s="1"/>
  <c r="F115" i="2"/>
  <c r="T118" i="9" s="1"/>
  <c r="S118" i="9" s="1"/>
  <c r="F116" i="2"/>
  <c r="T119" i="9" s="1"/>
  <c r="S119" i="9" s="1"/>
  <c r="F112" i="2"/>
  <c r="T115" i="9" s="1"/>
  <c r="S115" i="9" s="1"/>
  <c r="F113" i="2"/>
  <c r="T116" i="9" s="1"/>
  <c r="S116" i="9" s="1"/>
  <c r="Q48" i="2"/>
  <c r="Z51" i="9" s="1"/>
  <c r="Y51" i="9" s="1"/>
  <c r="Q49" i="2"/>
  <c r="Z52" i="9" s="1"/>
  <c r="Y52" i="9" s="1"/>
  <c r="Q50" i="2"/>
  <c r="Z53" i="9" s="1"/>
  <c r="Y53" i="9" s="1"/>
  <c r="Q51" i="2"/>
  <c r="Z54" i="9" s="1"/>
  <c r="Y54" i="9" s="1"/>
  <c r="Q52" i="2"/>
  <c r="Z55" i="9" s="1"/>
  <c r="Y55" i="9" s="1"/>
  <c r="Q53" i="2"/>
  <c r="Z56" i="9" s="1"/>
  <c r="Y56" i="9" s="1"/>
  <c r="Q54" i="2"/>
  <c r="Z57" i="9" s="1"/>
  <c r="Y57" i="9" s="1"/>
  <c r="Q55" i="2"/>
  <c r="Z58" i="9" s="1"/>
  <c r="Y58" i="9" s="1"/>
  <c r="Q56" i="2"/>
  <c r="Z59" i="9" s="1"/>
  <c r="Y59" i="9" s="1"/>
  <c r="Q57" i="2"/>
  <c r="Z60" i="9" s="1"/>
  <c r="Y60" i="9" s="1"/>
  <c r="Q58" i="2"/>
  <c r="Z61" i="9" s="1"/>
  <c r="Y61" i="9" s="1"/>
  <c r="Q59" i="2"/>
  <c r="Z62" i="9" s="1"/>
  <c r="Y62" i="9" s="1"/>
  <c r="Q60" i="2"/>
  <c r="Z63" i="9" s="1"/>
  <c r="Y63" i="9" s="1"/>
  <c r="Q61" i="2"/>
  <c r="Z64" i="9" s="1"/>
  <c r="Y64" i="9" s="1"/>
  <c r="AB50" i="2"/>
  <c r="AB51" i="2"/>
  <c r="AB52" i="2"/>
  <c r="AF55" i="9" s="1"/>
  <c r="AE55" i="9" s="1"/>
  <c r="AB53" i="2"/>
  <c r="AF56" i="9" s="1"/>
  <c r="AE56" i="9" s="1"/>
  <c r="AB54" i="2"/>
  <c r="AF57" i="9" s="1"/>
  <c r="AE57" i="9" s="1"/>
  <c r="AB55" i="2"/>
  <c r="AF58" i="9" s="1"/>
  <c r="AE58" i="9" s="1"/>
  <c r="AB56" i="2"/>
  <c r="AF59" i="9" s="1"/>
  <c r="AE59" i="9" s="1"/>
  <c r="AB57" i="2"/>
  <c r="AF60" i="9" s="1"/>
  <c r="AE60" i="9" s="1"/>
  <c r="AB58" i="2"/>
  <c r="AF61" i="9" s="1"/>
  <c r="AE61" i="9" s="1"/>
  <c r="AB59" i="2"/>
  <c r="AF62" i="9" s="1"/>
  <c r="AE62" i="9" s="1"/>
  <c r="AB60" i="2"/>
  <c r="AF63" i="9" s="1"/>
  <c r="AE63" i="9" s="1"/>
  <c r="Z99" i="1"/>
  <c r="H96" i="9" s="1"/>
  <c r="Y99" i="1"/>
  <c r="G96" i="9" s="1"/>
  <c r="P96" i="9" s="1"/>
  <c r="X99" i="1"/>
  <c r="F96" i="9" s="1"/>
  <c r="W99" i="1"/>
  <c r="V99" i="1"/>
  <c r="D96" i="9" s="1"/>
  <c r="U99" i="1"/>
  <c r="C96" i="9" s="1"/>
  <c r="O96" i="9" s="1"/>
  <c r="Z98" i="1"/>
  <c r="H95" i="9" s="1"/>
  <c r="Y98" i="1"/>
  <c r="G95" i="9" s="1"/>
  <c r="P95" i="9" s="1"/>
  <c r="X98" i="1"/>
  <c r="F95" i="9" s="1"/>
  <c r="W98" i="1"/>
  <c r="V98" i="1"/>
  <c r="D95" i="9" s="1"/>
  <c r="U98" i="1"/>
  <c r="C95" i="9" s="1"/>
  <c r="O95" i="9" s="1"/>
  <c r="U97" i="1"/>
  <c r="C94" i="9" s="1"/>
  <c r="O94" i="9" s="1"/>
  <c r="V97" i="1"/>
  <c r="D94" i="9" s="1"/>
  <c r="W97" i="1"/>
  <c r="E94" i="9" s="1"/>
  <c r="N94" i="9" s="1"/>
  <c r="X97" i="1"/>
  <c r="F94" i="9" s="1"/>
  <c r="Y97" i="1"/>
  <c r="G94" i="9" s="1"/>
  <c r="P94" i="9" s="1"/>
  <c r="Z97" i="1"/>
  <c r="H94" i="9" s="1"/>
  <c r="G97" i="1"/>
  <c r="B94" i="9" s="1"/>
  <c r="A94" i="9" s="1"/>
  <c r="G98" i="1"/>
  <c r="B95" i="9" s="1"/>
  <c r="A95" i="9" s="1"/>
  <c r="G99" i="1"/>
  <c r="B96" i="9" s="1"/>
  <c r="A96" i="9" s="1"/>
  <c r="G100" i="1"/>
  <c r="B97" i="9" s="1"/>
  <c r="A97" i="9" s="1"/>
  <c r="G101" i="1"/>
  <c r="B98" i="9" s="1"/>
  <c r="A98" i="9" s="1"/>
  <c r="L30" i="5"/>
  <c r="Z96" i="1"/>
  <c r="H93" i="9" s="1"/>
  <c r="Y96" i="1"/>
  <c r="G93" i="9" s="1"/>
  <c r="P93" i="9" s="1"/>
  <c r="X96" i="1"/>
  <c r="F93" i="9" s="1"/>
  <c r="W96" i="1"/>
  <c r="E93" i="9" s="1"/>
  <c r="N93" i="9" s="1"/>
  <c r="V96" i="1"/>
  <c r="D93" i="9" s="1"/>
  <c r="U96" i="1"/>
  <c r="C93" i="9" s="1"/>
  <c r="O93" i="9" s="1"/>
  <c r="O22" i="15"/>
  <c r="N22" i="15"/>
  <c r="CQ24" i="9" s="1"/>
  <c r="J26" i="17"/>
  <c r="I26" i="17"/>
  <c r="DA33" i="9" s="1"/>
  <c r="Z95" i="1"/>
  <c r="H92" i="9" s="1"/>
  <c r="Y95" i="1"/>
  <c r="G92" i="9" s="1"/>
  <c r="P92" i="9" s="1"/>
  <c r="X95" i="1"/>
  <c r="F92" i="9" s="1"/>
  <c r="W95" i="1"/>
  <c r="E92" i="9" s="1"/>
  <c r="N92" i="9" s="1"/>
  <c r="V95" i="1"/>
  <c r="D92" i="9" s="1"/>
  <c r="U95" i="1"/>
  <c r="C92" i="9" s="1"/>
  <c r="O92" i="9" s="1"/>
  <c r="Y94" i="1"/>
  <c r="G91" i="9" s="1"/>
  <c r="P91" i="9" s="1"/>
  <c r="Z94" i="1"/>
  <c r="H91" i="9" s="1"/>
  <c r="W94" i="1"/>
  <c r="E91" i="9" s="1"/>
  <c r="N91" i="9" s="1"/>
  <c r="X94" i="1"/>
  <c r="F91" i="9" s="1"/>
  <c r="U94" i="1"/>
  <c r="C91" i="9" s="1"/>
  <c r="O91" i="9" s="1"/>
  <c r="V94" i="1"/>
  <c r="D91" i="9" s="1"/>
  <c r="Z93" i="1"/>
  <c r="H90" i="9" s="1"/>
  <c r="Y93" i="1"/>
  <c r="G90" i="9" s="1"/>
  <c r="P90" i="9" s="1"/>
  <c r="X93" i="1"/>
  <c r="F90" i="9" s="1"/>
  <c r="W93" i="1"/>
  <c r="E90" i="9" s="1"/>
  <c r="N90" i="9" s="1"/>
  <c r="V93" i="1"/>
  <c r="D90" i="9" s="1"/>
  <c r="U93" i="1"/>
  <c r="C90" i="9" s="1"/>
  <c r="O90" i="9" s="1"/>
  <c r="Z92" i="1"/>
  <c r="H89" i="9" s="1"/>
  <c r="Y92" i="1"/>
  <c r="G89" i="9" s="1"/>
  <c r="P89" i="9" s="1"/>
  <c r="X92" i="1"/>
  <c r="F89" i="9" s="1"/>
  <c r="W92" i="1"/>
  <c r="E89" i="9" s="1"/>
  <c r="N89" i="9" s="1"/>
  <c r="V92" i="1"/>
  <c r="D89" i="9" s="1"/>
  <c r="U92" i="1"/>
  <c r="C89" i="9" s="1"/>
  <c r="O89" i="9" s="1"/>
  <c r="AB94" i="1"/>
  <c r="K91" i="9" s="1"/>
  <c r="G96" i="1"/>
  <c r="B93" i="9" s="1"/>
  <c r="A93" i="9" s="1"/>
  <c r="G95" i="1"/>
  <c r="B92" i="9" s="1"/>
  <c r="A92" i="9" s="1"/>
  <c r="G94" i="1"/>
  <c r="B91" i="9" s="1"/>
  <c r="A91" i="9" s="1"/>
  <c r="G93" i="1"/>
  <c r="B90" i="9" s="1"/>
  <c r="A90" i="9" s="1"/>
  <c r="G92" i="1"/>
  <c r="B89" i="9" s="1"/>
  <c r="A89" i="9" s="1"/>
  <c r="T24" i="17"/>
  <c r="DD31" i="9" s="1"/>
  <c r="U24" i="17"/>
  <c r="T25" i="17"/>
  <c r="DD32" i="9" s="1"/>
  <c r="U25" i="17"/>
  <c r="T26" i="17"/>
  <c r="DD33" i="9" s="1"/>
  <c r="U26" i="17"/>
  <c r="T27" i="17"/>
  <c r="DD34" i="9" s="1"/>
  <c r="U27" i="17"/>
  <c r="T28" i="17"/>
  <c r="DD35" i="9" s="1"/>
  <c r="U28" i="17"/>
  <c r="Z91" i="1"/>
  <c r="H88" i="9" s="1"/>
  <c r="Y91" i="1"/>
  <c r="G88" i="9" s="1"/>
  <c r="P88" i="9" s="1"/>
  <c r="X91" i="1"/>
  <c r="F88" i="9" s="1"/>
  <c r="W91" i="1"/>
  <c r="E88" i="9" s="1"/>
  <c r="N88" i="9" s="1"/>
  <c r="V91" i="1"/>
  <c r="D88" i="9" s="1"/>
  <c r="U91" i="1"/>
  <c r="C88" i="9" s="1"/>
  <c r="O88" i="9" s="1"/>
  <c r="G91" i="1"/>
  <c r="B88" i="9" s="1"/>
  <c r="A88" i="9" s="1"/>
  <c r="Z90" i="1"/>
  <c r="H87" i="9" s="1"/>
  <c r="Y90" i="1"/>
  <c r="G87" i="9" s="1"/>
  <c r="P87" i="9" s="1"/>
  <c r="X90" i="1"/>
  <c r="F87" i="9" s="1"/>
  <c r="W90" i="1"/>
  <c r="E87" i="9" s="1"/>
  <c r="N87" i="9" s="1"/>
  <c r="V90" i="1"/>
  <c r="D87" i="9" s="1"/>
  <c r="U90" i="1"/>
  <c r="C87" i="9" s="1"/>
  <c r="O87" i="9" s="1"/>
  <c r="G90" i="1"/>
  <c r="B87" i="9" s="1"/>
  <c r="A87" i="9" s="1"/>
  <c r="Z89" i="1"/>
  <c r="H86" i="9" s="1"/>
  <c r="Y89" i="1"/>
  <c r="G86" i="9" s="1"/>
  <c r="P86" i="9" s="1"/>
  <c r="X89" i="1"/>
  <c r="F86" i="9" s="1"/>
  <c r="W89" i="1"/>
  <c r="E86" i="9" s="1"/>
  <c r="N86" i="9" s="1"/>
  <c r="V89" i="1"/>
  <c r="D86" i="9" s="1"/>
  <c r="U89" i="1"/>
  <c r="C86" i="9" s="1"/>
  <c r="O86" i="9" s="1"/>
  <c r="G89" i="1"/>
  <c r="B86" i="9" s="1"/>
  <c r="A86" i="9" s="1"/>
  <c r="L28" i="5"/>
  <c r="B28" i="5"/>
  <c r="BA27" i="9" s="1"/>
  <c r="B29" i="5"/>
  <c r="BA28" i="9" s="1"/>
  <c r="B30" i="5"/>
  <c r="BA29" i="9" s="1"/>
  <c r="B31" i="5"/>
  <c r="BA30" i="9" s="1"/>
  <c r="B32" i="5"/>
  <c r="BA31" i="9" s="1"/>
  <c r="Z88" i="1"/>
  <c r="H85" i="9" s="1"/>
  <c r="Y88" i="1"/>
  <c r="G85" i="9" s="1"/>
  <c r="P85" i="9" s="1"/>
  <c r="X88" i="1"/>
  <c r="F85" i="9" s="1"/>
  <c r="W88" i="1"/>
  <c r="E85" i="9" s="1"/>
  <c r="N85" i="9" s="1"/>
  <c r="V88" i="1"/>
  <c r="D85" i="9" s="1"/>
  <c r="U88" i="1"/>
  <c r="C85" i="9" s="1"/>
  <c r="O85" i="9" s="1"/>
  <c r="U87" i="1"/>
  <c r="C84" i="9" s="1"/>
  <c r="O84" i="9" s="1"/>
  <c r="V87" i="1"/>
  <c r="D84" i="9" s="1"/>
  <c r="W87" i="1"/>
  <c r="E84" i="9" s="1"/>
  <c r="N84" i="9" s="1"/>
  <c r="X87" i="1"/>
  <c r="F84" i="9" s="1"/>
  <c r="Y87" i="1"/>
  <c r="G84" i="9" s="1"/>
  <c r="P84" i="9" s="1"/>
  <c r="Z87" i="1"/>
  <c r="H84" i="9" s="1"/>
  <c r="AK4" i="17"/>
  <c r="U86" i="1"/>
  <c r="C83" i="9" s="1"/>
  <c r="O83" i="9" s="1"/>
  <c r="V86" i="1"/>
  <c r="D83" i="9" s="1"/>
  <c r="W86" i="1"/>
  <c r="E83" i="9" s="1"/>
  <c r="N83" i="9" s="1"/>
  <c r="X86" i="1"/>
  <c r="F83" i="9" s="1"/>
  <c r="Y86" i="1"/>
  <c r="G83" i="9" s="1"/>
  <c r="P83" i="9" s="1"/>
  <c r="Z86" i="1"/>
  <c r="H83" i="9" s="1"/>
  <c r="J25" i="17"/>
  <c r="I25" i="17"/>
  <c r="DA32" i="9" s="1"/>
  <c r="J24" i="17"/>
  <c r="I24" i="17"/>
  <c r="DA31" i="9" s="1"/>
  <c r="J23" i="17"/>
  <c r="I23" i="17"/>
  <c r="DA30" i="9" s="1"/>
  <c r="Z85" i="1"/>
  <c r="H82" i="9" s="1"/>
  <c r="Y85" i="1"/>
  <c r="G82" i="9" s="1"/>
  <c r="P82" i="9" s="1"/>
  <c r="X85" i="1"/>
  <c r="F82" i="9" s="1"/>
  <c r="W85" i="1"/>
  <c r="E82" i="9" s="1"/>
  <c r="N82" i="9" s="1"/>
  <c r="V85" i="1"/>
  <c r="D82" i="9" s="1"/>
  <c r="U85" i="1"/>
  <c r="C82" i="9" s="1"/>
  <c r="O82" i="9" s="1"/>
  <c r="Z84" i="1"/>
  <c r="H81" i="9" s="1"/>
  <c r="Y84" i="1"/>
  <c r="G81" i="9" s="1"/>
  <c r="P81" i="9" s="1"/>
  <c r="X84" i="1"/>
  <c r="F81" i="9" s="1"/>
  <c r="W84" i="1"/>
  <c r="E81" i="9" s="1"/>
  <c r="N81" i="9" s="1"/>
  <c r="V84" i="1"/>
  <c r="D81" i="9" s="1"/>
  <c r="U84" i="1"/>
  <c r="C81" i="9" s="1"/>
  <c r="O81" i="9" s="1"/>
  <c r="G85" i="1"/>
  <c r="B82" i="9" s="1"/>
  <c r="A82" i="9" s="1"/>
  <c r="F103" i="2"/>
  <c r="T106" i="9" s="1"/>
  <c r="S106" i="9" s="1"/>
  <c r="F104" i="2"/>
  <c r="T107" i="9" s="1"/>
  <c r="S107" i="9" s="1"/>
  <c r="F105" i="2"/>
  <c r="T108" i="9" s="1"/>
  <c r="S108" i="9" s="1"/>
  <c r="F106" i="2"/>
  <c r="T109" i="9" s="1"/>
  <c r="S109" i="9" s="1"/>
  <c r="F107" i="2"/>
  <c r="T110" i="9" s="1"/>
  <c r="S110" i="9" s="1"/>
  <c r="F108" i="2"/>
  <c r="T111" i="9" s="1"/>
  <c r="S111" i="9" s="1"/>
  <c r="F109" i="2"/>
  <c r="T112" i="9" s="1"/>
  <c r="S112" i="9" s="1"/>
  <c r="F110" i="2"/>
  <c r="T113" i="9" s="1"/>
  <c r="S113" i="9" s="1"/>
  <c r="F111" i="2"/>
  <c r="T114" i="9" s="1"/>
  <c r="S114" i="9" s="1"/>
  <c r="U83" i="1"/>
  <c r="C80" i="9" s="1"/>
  <c r="O80" i="9" s="1"/>
  <c r="V83" i="1"/>
  <c r="D80" i="9" s="1"/>
  <c r="W83" i="1"/>
  <c r="E80" i="9" s="1"/>
  <c r="N80" i="9" s="1"/>
  <c r="X83" i="1"/>
  <c r="F80" i="9" s="1"/>
  <c r="Y83" i="1"/>
  <c r="G80" i="9" s="1"/>
  <c r="P80" i="9" s="1"/>
  <c r="Z83" i="1"/>
  <c r="H80" i="9" s="1"/>
  <c r="L27" i="5"/>
  <c r="L29" i="5"/>
  <c r="Z82" i="1"/>
  <c r="H79" i="9" s="1"/>
  <c r="Y82" i="1"/>
  <c r="G79" i="9" s="1"/>
  <c r="P79" i="9" s="1"/>
  <c r="X82" i="1"/>
  <c r="F79" i="9" s="1"/>
  <c r="W82" i="1"/>
  <c r="E79" i="9" s="1"/>
  <c r="N79" i="9" s="1"/>
  <c r="V82" i="1"/>
  <c r="D79" i="9" s="1"/>
  <c r="U82" i="1"/>
  <c r="C79" i="9" s="1"/>
  <c r="O79" i="9" s="1"/>
  <c r="F101" i="2"/>
  <c r="T104" i="9" s="1"/>
  <c r="S104" i="9" s="1"/>
  <c r="F102" i="2"/>
  <c r="T105" i="9" s="1"/>
  <c r="S105" i="9" s="1"/>
  <c r="F5" i="10"/>
  <c r="BQ7" i="9" s="1"/>
  <c r="F6" i="10"/>
  <c r="BQ8" i="9" s="1"/>
  <c r="F7" i="10"/>
  <c r="BQ9" i="9" s="1"/>
  <c r="F8" i="10"/>
  <c r="BQ10" i="9" s="1"/>
  <c r="F9" i="10"/>
  <c r="BQ11" i="9" s="1"/>
  <c r="F10" i="10"/>
  <c r="BQ12" i="9" s="1"/>
  <c r="F11" i="10"/>
  <c r="BQ13" i="9" s="1"/>
  <c r="F12" i="10"/>
  <c r="BQ14" i="9" s="1"/>
  <c r="F13" i="10"/>
  <c r="BQ15" i="9" s="1"/>
  <c r="U81" i="1"/>
  <c r="C78" i="9" s="1"/>
  <c r="O78" i="9" s="1"/>
  <c r="V81" i="1"/>
  <c r="D78" i="9" s="1"/>
  <c r="W81" i="1"/>
  <c r="E78" i="9" s="1"/>
  <c r="N78" i="9" s="1"/>
  <c r="X81" i="1"/>
  <c r="F78" i="9" s="1"/>
  <c r="Y81" i="1"/>
  <c r="G78" i="9" s="1"/>
  <c r="P78" i="9" s="1"/>
  <c r="Z81" i="1"/>
  <c r="H78" i="9" s="1"/>
  <c r="AB85" i="1"/>
  <c r="K82" i="9" s="1"/>
  <c r="AB86" i="1"/>
  <c r="K83" i="9" s="1"/>
  <c r="AB87" i="1"/>
  <c r="K84" i="9" s="1"/>
  <c r="AB89" i="1"/>
  <c r="K86" i="9" s="1"/>
  <c r="G81" i="1"/>
  <c r="B78" i="9" s="1"/>
  <c r="A78" i="9" s="1"/>
  <c r="G82" i="1"/>
  <c r="B79" i="9" s="1"/>
  <c r="A79" i="9" s="1"/>
  <c r="G83" i="1"/>
  <c r="B80" i="9" s="1"/>
  <c r="A80" i="9" s="1"/>
  <c r="G84" i="1"/>
  <c r="B81" i="9" s="1"/>
  <c r="A81" i="9" s="1"/>
  <c r="G86" i="1"/>
  <c r="B83" i="9" s="1"/>
  <c r="A83" i="9" s="1"/>
  <c r="G87" i="1"/>
  <c r="B84" i="9" s="1"/>
  <c r="A84" i="9" s="1"/>
  <c r="G88" i="1"/>
  <c r="B85" i="9" s="1"/>
  <c r="A85" i="9" s="1"/>
  <c r="B19" i="15"/>
  <c r="Z80" i="1"/>
  <c r="H77" i="9" s="1"/>
  <c r="Y80" i="1"/>
  <c r="G77" i="9" s="1"/>
  <c r="P77" i="9" s="1"/>
  <c r="X80" i="1"/>
  <c r="F77" i="9" s="1"/>
  <c r="W80" i="1"/>
  <c r="E77" i="9" s="1"/>
  <c r="N77" i="9" s="1"/>
  <c r="V80" i="1"/>
  <c r="D77" i="9" s="1"/>
  <c r="U80" i="1"/>
  <c r="C77" i="9" s="1"/>
  <c r="O77" i="9" s="1"/>
  <c r="U79" i="1"/>
  <c r="C76" i="9" s="1"/>
  <c r="O76" i="9" s="1"/>
  <c r="V79" i="1"/>
  <c r="D76" i="9" s="1"/>
  <c r="W79" i="1"/>
  <c r="E76" i="9" s="1"/>
  <c r="N76" i="9" s="1"/>
  <c r="X79" i="1"/>
  <c r="F76" i="9" s="1"/>
  <c r="Y79" i="1"/>
  <c r="G76" i="9" s="1"/>
  <c r="P76" i="9" s="1"/>
  <c r="Z79" i="1"/>
  <c r="H76" i="9" s="1"/>
  <c r="G79" i="1"/>
  <c r="B76" i="9" s="1"/>
  <c r="A76" i="9" s="1"/>
  <c r="G80" i="1"/>
  <c r="B77" i="9" s="1"/>
  <c r="A77" i="9" s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7" i="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4" i="15"/>
  <c r="AB48" i="2"/>
  <c r="AB49" i="2"/>
  <c r="F99" i="2"/>
  <c r="T102" i="9" s="1"/>
  <c r="S102" i="9" s="1"/>
  <c r="F100" i="2"/>
  <c r="T103" i="9" s="1"/>
  <c r="S103" i="9" s="1"/>
  <c r="F97" i="2"/>
  <c r="T100" i="9" s="1"/>
  <c r="S100" i="9" s="1"/>
  <c r="F98" i="2"/>
  <c r="T101" i="9" s="1"/>
  <c r="S101" i="9" s="1"/>
  <c r="Z78" i="1"/>
  <c r="H75" i="9" s="1"/>
  <c r="Y78" i="1"/>
  <c r="G75" i="9" s="1"/>
  <c r="P75" i="9" s="1"/>
  <c r="X78" i="1"/>
  <c r="F75" i="9" s="1"/>
  <c r="W78" i="1"/>
  <c r="E75" i="9" s="1"/>
  <c r="N75" i="9" s="1"/>
  <c r="V78" i="1"/>
  <c r="D75" i="9" s="1"/>
  <c r="U78" i="1"/>
  <c r="C75" i="9" s="1"/>
  <c r="O75" i="9" s="1"/>
  <c r="G78" i="1"/>
  <c r="B75" i="9" s="1"/>
  <c r="A75" i="9" s="1"/>
  <c r="U77" i="1"/>
  <c r="C74" i="9" s="1"/>
  <c r="O74" i="9" s="1"/>
  <c r="V77" i="1"/>
  <c r="D74" i="9" s="1"/>
  <c r="W77" i="1"/>
  <c r="E74" i="9" s="1"/>
  <c r="N74" i="9" s="1"/>
  <c r="X77" i="1"/>
  <c r="F74" i="9" s="1"/>
  <c r="Y77" i="1"/>
  <c r="G74" i="9" s="1"/>
  <c r="P74" i="9" s="1"/>
  <c r="Z77" i="1"/>
  <c r="H74" i="9" s="1"/>
  <c r="G77" i="1"/>
  <c r="B74" i="9" s="1"/>
  <c r="A74" i="9" s="1"/>
  <c r="I73" i="13"/>
  <c r="I74" i="13"/>
  <c r="I75" i="13"/>
  <c r="I76" i="13"/>
  <c r="H65" i="13"/>
  <c r="H66" i="13"/>
  <c r="H67" i="13"/>
  <c r="H68" i="13"/>
  <c r="H69" i="13"/>
  <c r="H70" i="13"/>
  <c r="H71" i="13"/>
  <c r="H72" i="13"/>
  <c r="H73" i="13"/>
  <c r="H74" i="13"/>
  <c r="F65" i="13"/>
  <c r="I65" i="13" s="1"/>
  <c r="F66" i="13"/>
  <c r="I66" i="13" s="1"/>
  <c r="F67" i="13"/>
  <c r="I67" i="13" s="1"/>
  <c r="F68" i="13"/>
  <c r="I68" i="13" s="1"/>
  <c r="F70" i="13"/>
  <c r="I70" i="13" s="1"/>
  <c r="F71" i="13"/>
  <c r="I71" i="13" s="1"/>
  <c r="F72" i="13"/>
  <c r="I72" i="13" s="1"/>
  <c r="D65" i="13"/>
  <c r="D66" i="13"/>
  <c r="D67" i="13"/>
  <c r="D68" i="13"/>
  <c r="D70" i="13"/>
  <c r="D71" i="13"/>
  <c r="D72" i="13"/>
  <c r="D73" i="13"/>
  <c r="D74" i="13"/>
  <c r="U76" i="1"/>
  <c r="C73" i="9" s="1"/>
  <c r="O73" i="9" s="1"/>
  <c r="V76" i="1"/>
  <c r="D73" i="9" s="1"/>
  <c r="W76" i="1"/>
  <c r="E73" i="9" s="1"/>
  <c r="N73" i="9" s="1"/>
  <c r="X76" i="1"/>
  <c r="F73" i="9" s="1"/>
  <c r="Y76" i="1"/>
  <c r="G73" i="9" s="1"/>
  <c r="P73" i="9" s="1"/>
  <c r="Z76" i="1"/>
  <c r="H73" i="9" s="1"/>
  <c r="J22" i="17"/>
  <c r="I22" i="17"/>
  <c r="DA29" i="9" s="1"/>
  <c r="J21" i="17"/>
  <c r="I21" i="17"/>
  <c r="DA28" i="9" s="1"/>
  <c r="J20" i="17"/>
  <c r="I20" i="17"/>
  <c r="DA27" i="9" s="1"/>
  <c r="G75" i="1"/>
  <c r="B72" i="9" s="1"/>
  <c r="A72" i="9" s="1"/>
  <c r="G76" i="1"/>
  <c r="B73" i="9" s="1"/>
  <c r="A73" i="9" s="1"/>
  <c r="Z75" i="1"/>
  <c r="H72" i="9" s="1"/>
  <c r="Y75" i="1"/>
  <c r="G72" i="9" s="1"/>
  <c r="P72" i="9" s="1"/>
  <c r="X75" i="1"/>
  <c r="F72" i="9" s="1"/>
  <c r="W75" i="1"/>
  <c r="E72" i="9" s="1"/>
  <c r="N72" i="9" s="1"/>
  <c r="V75" i="1"/>
  <c r="D72" i="9" s="1"/>
  <c r="U75" i="1"/>
  <c r="C72" i="9" s="1"/>
  <c r="O72" i="9" s="1"/>
  <c r="AC53" i="9"/>
  <c r="AC54" i="9"/>
  <c r="AC55" i="9"/>
  <c r="AC56" i="9"/>
  <c r="AC57" i="9"/>
  <c r="AB53" i="9"/>
  <c r="AB54" i="9"/>
  <c r="AB55" i="9"/>
  <c r="AB56" i="9"/>
  <c r="AA53" i="9"/>
  <c r="AA54" i="9"/>
  <c r="AA55" i="9"/>
  <c r="AA56" i="9"/>
  <c r="AA57" i="9"/>
  <c r="AB57" i="9"/>
  <c r="U73" i="1"/>
  <c r="C70" i="9" s="1"/>
  <c r="O70" i="9" s="1"/>
  <c r="V73" i="1"/>
  <c r="D70" i="9" s="1"/>
  <c r="W73" i="1"/>
  <c r="E70" i="9" s="1"/>
  <c r="N70" i="9" s="1"/>
  <c r="X73" i="1"/>
  <c r="F70" i="9" s="1"/>
  <c r="Y73" i="1"/>
  <c r="G70" i="9" s="1"/>
  <c r="P70" i="9" s="1"/>
  <c r="Z73" i="1"/>
  <c r="H70" i="9" s="1"/>
  <c r="U74" i="1"/>
  <c r="C71" i="9" s="1"/>
  <c r="O71" i="9" s="1"/>
  <c r="V74" i="1"/>
  <c r="D71" i="9" s="1"/>
  <c r="W74" i="1"/>
  <c r="E71" i="9" s="1"/>
  <c r="N71" i="9" s="1"/>
  <c r="X74" i="1"/>
  <c r="F71" i="9" s="1"/>
  <c r="Y74" i="1"/>
  <c r="G71" i="9" s="1"/>
  <c r="P71" i="9" s="1"/>
  <c r="Z74" i="1"/>
  <c r="H71" i="9" s="1"/>
  <c r="G73" i="1"/>
  <c r="B70" i="9" s="1"/>
  <c r="A70" i="9" s="1"/>
  <c r="G74" i="1"/>
  <c r="B71" i="9" s="1"/>
  <c r="A71" i="9" s="1"/>
  <c r="D10" i="4"/>
  <c r="D25" i="4"/>
  <c r="D13" i="4"/>
  <c r="D11" i="4"/>
  <c r="D12" i="4"/>
  <c r="D7" i="4"/>
  <c r="D20" i="4"/>
  <c r="G72" i="1"/>
  <c r="B69" i="9" s="1"/>
  <c r="A69" i="9" s="1"/>
  <c r="Y72" i="1"/>
  <c r="G69" i="9" s="1"/>
  <c r="P69" i="9" s="1"/>
  <c r="Z72" i="1"/>
  <c r="H69" i="9" s="1"/>
  <c r="W72" i="1"/>
  <c r="E69" i="9" s="1"/>
  <c r="N69" i="9" s="1"/>
  <c r="X72" i="1"/>
  <c r="F69" i="9" s="1"/>
  <c r="U72" i="1"/>
  <c r="C69" i="9" s="1"/>
  <c r="O69" i="9" s="1"/>
  <c r="V72" i="1"/>
  <c r="D69" i="9" s="1"/>
  <c r="P1603" i="12" l="1"/>
  <c r="P1604" i="12" s="1"/>
  <c r="P1605" i="12" s="1"/>
  <c r="P1606" i="12" s="1"/>
  <c r="P1607" i="12" s="1"/>
  <c r="P1608" i="12" s="1"/>
  <c r="P1609" i="12" s="1"/>
  <c r="P1610" i="12" s="1"/>
  <c r="P1611" i="12" s="1"/>
  <c r="P1612" i="12" s="1"/>
  <c r="P1613" i="12" s="1"/>
  <c r="P1614" i="12" s="1"/>
  <c r="P1615" i="12" s="1"/>
  <c r="P1616" i="12" s="1"/>
  <c r="P1617" i="12" s="1"/>
  <c r="P1618" i="12" s="1"/>
  <c r="P1619" i="12" s="1"/>
  <c r="P1620" i="12" s="1"/>
  <c r="P1621" i="12" s="1"/>
  <c r="P1622" i="12" s="1"/>
  <c r="P2824" i="12"/>
  <c r="P2825" i="12" s="1"/>
  <c r="P2826" i="12" s="1"/>
  <c r="P2827" i="12" s="1"/>
  <c r="P2828" i="12" s="1"/>
  <c r="P2829" i="12" s="1"/>
  <c r="P2830" i="12" s="1"/>
  <c r="P2831" i="12" s="1"/>
  <c r="P2832" i="12" s="1"/>
  <c r="P2833" i="12" s="1"/>
  <c r="P2834" i="12" s="1"/>
  <c r="P2835" i="12" s="1"/>
  <c r="P2836" i="12" s="1"/>
  <c r="P2837" i="12" s="1"/>
  <c r="P2838" i="12" s="1"/>
  <c r="P2839" i="12" s="1"/>
  <c r="P2840" i="12" s="1"/>
  <c r="P2841" i="12" s="1"/>
  <c r="P2842" i="12" s="1"/>
  <c r="P2843" i="12" s="1"/>
  <c r="P2844" i="12" s="1"/>
  <c r="P2845" i="12" s="1"/>
  <c r="P2846" i="12" s="1"/>
  <c r="P2847" i="12" s="1"/>
  <c r="P2848" i="12" s="1"/>
  <c r="P2849" i="12" s="1"/>
  <c r="P2850" i="12" s="1"/>
  <c r="P2851" i="12" s="1"/>
  <c r="P2852" i="12" s="1"/>
  <c r="P2853" i="12" s="1"/>
  <c r="P2854" i="12" s="1"/>
  <c r="P2855" i="12" s="1"/>
  <c r="P2856" i="12" s="1"/>
  <c r="P2857" i="12" s="1"/>
  <c r="P2858" i="12" s="1"/>
  <c r="P2859" i="12" s="1"/>
  <c r="P2860" i="12" s="1"/>
  <c r="P2861" i="12" s="1"/>
  <c r="P2862" i="12" s="1"/>
  <c r="P2863" i="12" s="1"/>
  <c r="P2864" i="12" s="1"/>
  <c r="P2865" i="12" s="1"/>
  <c r="P2866" i="12" s="1"/>
  <c r="P2867" i="12" s="1"/>
  <c r="P2868" i="12" s="1"/>
  <c r="P2869" i="12" s="1"/>
  <c r="P2870" i="12" s="1"/>
  <c r="P2871" i="12" s="1"/>
  <c r="P2872" i="12" s="1"/>
  <c r="P2873" i="12" s="1"/>
  <c r="P2874" i="12" s="1"/>
  <c r="P2875" i="12" s="1"/>
  <c r="P2876" i="12" s="1"/>
  <c r="P2877" i="12" s="1"/>
  <c r="P2878" i="12" s="1"/>
  <c r="P2879" i="12" s="1"/>
  <c r="P2880" i="12" s="1"/>
  <c r="P2881" i="12" s="1"/>
  <c r="P2882" i="12" s="1"/>
  <c r="P2883" i="12" s="1"/>
  <c r="P2884" i="12" s="1"/>
  <c r="P2885" i="12" s="1"/>
  <c r="P2886" i="12" s="1"/>
  <c r="P2887" i="12" s="1"/>
  <c r="P2888" i="12" s="1"/>
  <c r="P2889" i="12" s="1"/>
  <c r="P2890" i="12" s="1"/>
  <c r="P2891" i="12" s="1"/>
  <c r="P2892" i="12" s="1"/>
  <c r="P2893" i="12" s="1"/>
  <c r="P2894" i="12" s="1"/>
  <c r="P2895" i="12" s="1"/>
  <c r="P2896" i="12" s="1"/>
  <c r="P2897" i="12" s="1"/>
  <c r="P2898" i="12" s="1"/>
  <c r="P2899" i="12" s="1"/>
  <c r="P2900" i="12" s="1"/>
  <c r="P2901" i="12" s="1"/>
  <c r="P2902" i="12" s="1"/>
  <c r="P2903" i="12" s="1"/>
  <c r="P2904" i="12" s="1"/>
  <c r="P2905" i="12" s="1"/>
  <c r="P2906" i="12" s="1"/>
  <c r="P2907" i="12" s="1"/>
  <c r="P2908" i="12" s="1"/>
  <c r="P2909" i="12" s="1"/>
  <c r="P2910" i="12" s="1"/>
  <c r="P2911" i="12" s="1"/>
  <c r="P2912" i="12" s="1"/>
  <c r="P2913" i="12" s="1"/>
  <c r="P2914" i="12" s="1"/>
  <c r="P2915" i="12" s="1"/>
  <c r="P2916" i="12" s="1"/>
  <c r="P2917" i="12" s="1"/>
  <c r="P2918" i="12" s="1"/>
  <c r="P2919" i="12" s="1"/>
  <c r="P2920" i="12" s="1"/>
  <c r="P2921" i="12" s="1"/>
  <c r="P2922" i="12" s="1"/>
  <c r="P2923" i="12" s="1"/>
  <c r="P2924" i="12" s="1"/>
  <c r="P2925" i="12" s="1"/>
  <c r="P2926" i="12" s="1"/>
  <c r="P2927" i="12" s="1"/>
  <c r="P2928" i="12" s="1"/>
  <c r="P2929" i="12" s="1"/>
  <c r="P2930" i="12" s="1"/>
  <c r="P2931" i="12" s="1"/>
  <c r="P2932" i="12" s="1"/>
  <c r="P2933" i="12" s="1"/>
  <c r="P2934" i="12" s="1"/>
  <c r="P2935" i="12" s="1"/>
  <c r="P2936" i="12" s="1"/>
  <c r="P2937" i="12" s="1"/>
  <c r="P2938" i="12" s="1"/>
  <c r="P2939" i="12" s="1"/>
  <c r="P2940" i="12" s="1"/>
  <c r="P2941" i="12" s="1"/>
  <c r="P2942" i="12" s="1"/>
  <c r="P2943" i="12" s="1"/>
  <c r="P2944" i="12" s="1"/>
  <c r="P2945" i="12" s="1"/>
  <c r="P2946" i="12" s="1"/>
  <c r="P2947" i="12" s="1"/>
  <c r="P2948" i="12" s="1"/>
  <c r="P2949" i="12" s="1"/>
  <c r="P2950" i="12" s="1"/>
  <c r="P2951" i="12" s="1"/>
  <c r="P2952" i="12" s="1"/>
  <c r="P2953" i="12" s="1"/>
  <c r="P2954" i="12" s="1"/>
  <c r="P2955" i="12" s="1"/>
  <c r="P2956" i="12" s="1"/>
  <c r="P2957" i="12" s="1"/>
  <c r="P2958" i="12" s="1"/>
  <c r="P2959" i="12" s="1"/>
  <c r="P2960" i="12" s="1"/>
  <c r="P2961" i="12" s="1"/>
  <c r="P2962" i="12" s="1"/>
  <c r="P2963" i="12" s="1"/>
  <c r="P2964" i="12" s="1"/>
  <c r="P2965" i="12" s="1"/>
  <c r="P2966" i="12" s="1"/>
  <c r="P2967" i="12" s="1"/>
  <c r="P2968" i="12" s="1"/>
  <c r="P2969" i="12" s="1"/>
  <c r="P2970" i="12" s="1"/>
  <c r="P2971" i="12" s="1"/>
  <c r="P2972" i="12" s="1"/>
  <c r="P2973" i="12" s="1"/>
  <c r="P2974" i="12" s="1"/>
  <c r="P2975" i="12" s="1"/>
  <c r="P2976" i="12" s="1"/>
  <c r="P2977" i="12" s="1"/>
  <c r="P2978" i="12" s="1"/>
  <c r="P2979" i="12" s="1"/>
  <c r="P2980" i="12" s="1"/>
  <c r="P2981" i="12" s="1"/>
  <c r="P2982" i="12" s="1"/>
  <c r="P2983" i="12" s="1"/>
  <c r="P2984" i="12" s="1"/>
  <c r="P2985" i="12" s="1"/>
  <c r="P2986" i="12" s="1"/>
  <c r="P2987" i="12" s="1"/>
  <c r="P2988" i="12" s="1"/>
  <c r="P2989" i="12" s="1"/>
  <c r="P2990" i="12" s="1"/>
  <c r="P2991" i="12" s="1"/>
  <c r="P2992" i="12" s="1"/>
  <c r="P2993" i="12" s="1"/>
  <c r="P2994" i="12" s="1"/>
  <c r="P2995" i="12" s="1"/>
  <c r="P2996" i="12" s="1"/>
  <c r="P2997" i="12" s="1"/>
  <c r="P2998" i="12" s="1"/>
  <c r="P2999" i="12" s="1"/>
  <c r="P3000" i="12" s="1"/>
  <c r="P3001" i="12" s="1"/>
  <c r="P3002" i="12" s="1"/>
  <c r="P3003" i="12" s="1"/>
  <c r="P3004" i="12" s="1"/>
  <c r="P3005" i="12" s="1"/>
  <c r="P3006" i="12" s="1"/>
  <c r="P3007" i="12" s="1"/>
  <c r="P3008" i="12" s="1"/>
  <c r="P3009" i="12" s="1"/>
  <c r="P3010" i="12" s="1"/>
  <c r="P3011" i="12" s="1"/>
  <c r="P3012" i="12" s="1"/>
  <c r="P3013" i="12" s="1"/>
  <c r="P3014" i="12" s="1"/>
  <c r="P3015" i="12" s="1"/>
  <c r="P3016" i="12" s="1"/>
  <c r="P3017" i="12" s="1"/>
  <c r="P3018" i="12" s="1"/>
  <c r="P3019" i="12" s="1"/>
  <c r="P3020" i="12" s="1"/>
  <c r="P3021" i="12" s="1"/>
  <c r="P3022" i="12" s="1"/>
  <c r="P3023" i="12" s="1"/>
  <c r="P3024" i="12" s="1"/>
  <c r="P3025" i="12" s="1"/>
  <c r="P3026" i="12" s="1"/>
  <c r="P3027" i="12" s="1"/>
  <c r="P3028" i="12" s="1"/>
  <c r="P3029" i="12" s="1"/>
  <c r="P3030" i="12" s="1"/>
  <c r="P3031" i="12" s="1"/>
  <c r="P3032" i="12" s="1"/>
  <c r="P3033" i="12" s="1"/>
  <c r="P3034" i="12" s="1"/>
  <c r="P583" i="12"/>
  <c r="P584" i="12" s="1"/>
  <c r="P585" i="12" s="1"/>
  <c r="P586" i="12" s="1"/>
  <c r="P587" i="12" s="1"/>
  <c r="P588" i="12" s="1"/>
  <c r="P589" i="12" s="1"/>
  <c r="P590" i="12" s="1"/>
  <c r="P591" i="12" s="1"/>
  <c r="P592" i="12" s="1"/>
  <c r="P593" i="12" s="1"/>
  <c r="P594" i="12" s="1"/>
  <c r="P595" i="12" s="1"/>
  <c r="P596" i="12" s="1"/>
  <c r="P597" i="12" s="1"/>
  <c r="P598" i="12" s="1"/>
  <c r="P599" i="12" s="1"/>
  <c r="P600" i="12" s="1"/>
  <c r="P601" i="12" s="1"/>
  <c r="P602" i="12" s="1"/>
  <c r="P603" i="12" s="1"/>
  <c r="P604" i="12" s="1"/>
  <c r="P605" i="12" s="1"/>
  <c r="P606" i="12" s="1"/>
  <c r="P607" i="12" s="1"/>
  <c r="P608" i="12" s="1"/>
  <c r="P609" i="12" s="1"/>
  <c r="P610" i="12" s="1"/>
  <c r="P611" i="12" s="1"/>
  <c r="P612" i="12" s="1"/>
  <c r="P613" i="12" s="1"/>
  <c r="P614" i="12" s="1"/>
  <c r="P615" i="12" s="1"/>
  <c r="P616" i="12" s="1"/>
  <c r="P617" i="12" s="1"/>
  <c r="P618" i="12" s="1"/>
  <c r="P619" i="12" s="1"/>
  <c r="P620" i="12" s="1"/>
  <c r="P621" i="12" s="1"/>
  <c r="P622" i="12" s="1"/>
  <c r="P623" i="12" s="1"/>
  <c r="P1623" i="12"/>
  <c r="P1624" i="12" s="1"/>
  <c r="P1625" i="12" s="1"/>
  <c r="P1626" i="12" s="1"/>
  <c r="P1627" i="12" s="1"/>
  <c r="P1628" i="12" s="1"/>
  <c r="P1629" i="12" s="1"/>
  <c r="P1630" i="12" s="1"/>
  <c r="P1631" i="12" s="1"/>
  <c r="P1632" i="12" s="1"/>
  <c r="P1633" i="12" s="1"/>
  <c r="P1634" i="12" s="1"/>
  <c r="P1635" i="12" s="1"/>
  <c r="P1636" i="12" s="1"/>
  <c r="P1637" i="12" s="1"/>
  <c r="P1638" i="12" s="1"/>
  <c r="P1639" i="12" s="1"/>
  <c r="P1640" i="12" s="1"/>
  <c r="P1641" i="12" s="1"/>
  <c r="P1642" i="12" s="1"/>
  <c r="P1643" i="12" s="1"/>
  <c r="P1644" i="12" s="1"/>
  <c r="P1645" i="12" s="1"/>
  <c r="P1646" i="12" s="1"/>
  <c r="P1647" i="12" s="1"/>
  <c r="P1648" i="12" s="1"/>
  <c r="P1649" i="12" s="1"/>
  <c r="P1650" i="12" s="1"/>
  <c r="P1651" i="12" s="1"/>
  <c r="P1652" i="12" s="1"/>
  <c r="P1653" i="12" s="1"/>
  <c r="P1654" i="12" s="1"/>
  <c r="P1655" i="12" s="1"/>
  <c r="P1656" i="12" s="1"/>
  <c r="P1657" i="12" s="1"/>
  <c r="P1658" i="12" s="1"/>
  <c r="P1659" i="12" s="1"/>
  <c r="P1660" i="12" s="1"/>
  <c r="P1661" i="12" s="1"/>
  <c r="P1662" i="12" s="1"/>
  <c r="P1663" i="12" s="1"/>
  <c r="P1664" i="12" s="1"/>
  <c r="P1665" i="12" s="1"/>
  <c r="P1666" i="12" s="1"/>
  <c r="P1667" i="12" s="1"/>
  <c r="P1668" i="12" s="1"/>
  <c r="P1669" i="12" s="1"/>
  <c r="P1670" i="12" s="1"/>
  <c r="P1671" i="12" s="1"/>
  <c r="P1672" i="12" s="1"/>
  <c r="P1673" i="12" s="1"/>
  <c r="P1674" i="12" s="1"/>
  <c r="P1675" i="12" s="1"/>
  <c r="P1676" i="12" s="1"/>
  <c r="P1677" i="12" s="1"/>
  <c r="P1678" i="12" s="1"/>
  <c r="P1679" i="12" s="1"/>
  <c r="P1680" i="12" s="1"/>
  <c r="P1681" i="12" s="1"/>
  <c r="P1682" i="12" s="1"/>
  <c r="P1683" i="12" s="1"/>
  <c r="P1684" i="12" s="1"/>
  <c r="P1685" i="12" s="1"/>
  <c r="P1686" i="12" s="1"/>
  <c r="P1687" i="12" s="1"/>
  <c r="P1688" i="12" s="1"/>
  <c r="P1689" i="12" s="1"/>
  <c r="P1690" i="12" s="1"/>
  <c r="P1691" i="12" s="1"/>
  <c r="P1692" i="12" s="1"/>
  <c r="P1693" i="12" s="1"/>
  <c r="P1694" i="12" s="1"/>
  <c r="P1695" i="12" s="1"/>
  <c r="P1696" i="12" s="1"/>
  <c r="P1697" i="12" s="1"/>
  <c r="P1698" i="12" s="1"/>
  <c r="P1699" i="12" s="1"/>
  <c r="P1700" i="12" s="1"/>
  <c r="P1701" i="12" s="1"/>
  <c r="P1702" i="12" s="1"/>
  <c r="P3035" i="12"/>
  <c r="P3036" i="12" s="1"/>
  <c r="P3037" i="12" s="1"/>
  <c r="P3038" i="12" s="1"/>
  <c r="P3039" i="12" s="1"/>
  <c r="P3040" i="12" s="1"/>
  <c r="P3041" i="12" s="1"/>
  <c r="P3042" i="12" s="1"/>
  <c r="P3043" i="12" s="1"/>
  <c r="P3044" i="12" s="1"/>
  <c r="P3045" i="12" s="1"/>
  <c r="P3046" i="12" s="1"/>
  <c r="P3047" i="12" s="1"/>
  <c r="P3048" i="12" s="1"/>
  <c r="P3049" i="12" s="1"/>
  <c r="P3050" i="12" s="1"/>
  <c r="P3051" i="12" s="1"/>
  <c r="P3052" i="12" s="1"/>
  <c r="P3053" i="12" s="1"/>
  <c r="P3054" i="12" s="1"/>
  <c r="P3055" i="12" s="1"/>
  <c r="P3056" i="12" s="1"/>
  <c r="P3057" i="12" s="1"/>
  <c r="P3058" i="12" s="1"/>
  <c r="P3059" i="12" s="1"/>
  <c r="P3060" i="12" s="1"/>
  <c r="P3061" i="12" s="1"/>
  <c r="P3062" i="12" s="1"/>
  <c r="P3063" i="12" s="1"/>
  <c r="P3064" i="12" s="1"/>
  <c r="P3065" i="12" s="1"/>
  <c r="P3066" i="12" s="1"/>
  <c r="P3067" i="12" s="1"/>
  <c r="P3068" i="12" s="1"/>
  <c r="P3069" i="12" s="1"/>
  <c r="P3070" i="12" s="1"/>
  <c r="P3071" i="12" s="1"/>
  <c r="P3072" i="12" s="1"/>
  <c r="P3073" i="12" s="1"/>
  <c r="P3074" i="12" s="1"/>
  <c r="P3075" i="12" s="1"/>
  <c r="P3076" i="12" s="1"/>
  <c r="P3077" i="12" s="1"/>
  <c r="P3078" i="12" s="1"/>
  <c r="P3079" i="12" s="1"/>
  <c r="P3080" i="12" s="1"/>
  <c r="P3081" i="12" s="1"/>
  <c r="P3082" i="12" s="1"/>
  <c r="P3083" i="12" s="1"/>
  <c r="P3084" i="12" s="1"/>
  <c r="P3085" i="12" s="1"/>
  <c r="P3086" i="12" s="1"/>
  <c r="P3087" i="12" s="1"/>
  <c r="P3088" i="12" s="1"/>
  <c r="P3089" i="12" s="1"/>
  <c r="P3090" i="12" s="1"/>
  <c r="P3091" i="12" s="1"/>
  <c r="P3092" i="12" s="1"/>
  <c r="P3093" i="12" s="1"/>
  <c r="P3094" i="12" s="1"/>
  <c r="P3095" i="12" s="1"/>
  <c r="P3096" i="12" s="1"/>
  <c r="P3097" i="12" s="1"/>
  <c r="P3098" i="12" s="1"/>
  <c r="P3099" i="12" s="1"/>
  <c r="P3100" i="12" s="1"/>
  <c r="P3101" i="12" s="1"/>
  <c r="P3102" i="12" s="1"/>
  <c r="P3103" i="12" s="1"/>
  <c r="P3104" i="12" s="1"/>
  <c r="P3105" i="12" s="1"/>
  <c r="P3106" i="12" s="1"/>
  <c r="P3107" i="12" s="1"/>
  <c r="P3108" i="12" s="1"/>
  <c r="P3109" i="12" s="1"/>
  <c r="P3110" i="12" s="1"/>
  <c r="P3111" i="12" s="1"/>
  <c r="P3112" i="12" s="1"/>
  <c r="P3113" i="12" s="1"/>
  <c r="P3114" i="12" s="1"/>
  <c r="P3115" i="12" s="1"/>
  <c r="P3116" i="12" s="1"/>
  <c r="P3117" i="12" s="1"/>
  <c r="P3118" i="12" s="1"/>
  <c r="P3119" i="12" s="1"/>
  <c r="P3120" i="12" s="1"/>
  <c r="P3121" i="12" s="1"/>
  <c r="P3122" i="12" s="1"/>
  <c r="P3123" i="12" s="1"/>
  <c r="P3124" i="12" s="1"/>
  <c r="P3125" i="12" s="1"/>
  <c r="P3126" i="12" s="1"/>
  <c r="P3127" i="12" s="1"/>
  <c r="P3128" i="12" s="1"/>
  <c r="P3129" i="12" s="1"/>
  <c r="P3130" i="12" s="1"/>
  <c r="P3131" i="12" s="1"/>
  <c r="P3132" i="12" s="1"/>
  <c r="P3133" i="12" s="1"/>
  <c r="P3134" i="12" s="1"/>
  <c r="P3135" i="12" s="1"/>
  <c r="P3136" i="12" s="1"/>
  <c r="P3137" i="12" s="1"/>
  <c r="P3138" i="12" s="1"/>
  <c r="P3139" i="12" s="1"/>
  <c r="P3140" i="12" s="1"/>
  <c r="P3141" i="12" s="1"/>
  <c r="P3142" i="12" s="1"/>
  <c r="P3143" i="12" s="1"/>
  <c r="P3144" i="12" s="1"/>
  <c r="P3145" i="12" s="1"/>
  <c r="P3146" i="12" s="1"/>
  <c r="P3147" i="12" s="1"/>
  <c r="P3148" i="12" s="1"/>
  <c r="P3149" i="12" s="1"/>
  <c r="P3150" i="12" s="1"/>
  <c r="P3151" i="12" s="1"/>
  <c r="P3152" i="12" s="1"/>
  <c r="P3153" i="12" s="1"/>
  <c r="P3154" i="12" s="1"/>
  <c r="P3155" i="12" s="1"/>
  <c r="P3156" i="12" s="1"/>
  <c r="P3157" i="12" s="1"/>
  <c r="P3158" i="12" s="1"/>
  <c r="P3159" i="12" s="1"/>
  <c r="P3160" i="12" s="1"/>
  <c r="P3161" i="12" s="1"/>
  <c r="P3162" i="12" s="1"/>
  <c r="P3163" i="12" s="1"/>
  <c r="P3164" i="12" s="1"/>
  <c r="P3165" i="12" s="1"/>
  <c r="P3166" i="12" s="1"/>
  <c r="P3167" i="12" s="1"/>
  <c r="P3168" i="12" s="1"/>
  <c r="P3169" i="12" s="1"/>
  <c r="P3170" i="12" s="1"/>
  <c r="P3171" i="12" s="1"/>
  <c r="P3172" i="12" s="1"/>
  <c r="P3173" i="12" s="1"/>
  <c r="P3174" i="12" s="1"/>
  <c r="P3175" i="12" s="1"/>
  <c r="P3176" i="12" s="1"/>
  <c r="P3177" i="12" s="1"/>
  <c r="P3178" i="12" s="1"/>
  <c r="P3179" i="12" s="1"/>
  <c r="P3180" i="12" s="1"/>
  <c r="P3181" i="12" s="1"/>
  <c r="P3182" i="12" s="1"/>
  <c r="P3183" i="12" s="1"/>
  <c r="P3184" i="12" s="1"/>
  <c r="P3185" i="12" s="1"/>
  <c r="P3186" i="12" s="1"/>
  <c r="P3187" i="12" s="1"/>
  <c r="P3188" i="12" s="1"/>
  <c r="P3189" i="12" s="1"/>
  <c r="P3190" i="12" s="1"/>
  <c r="P3191" i="12" s="1"/>
  <c r="P3192" i="12" s="1"/>
  <c r="P3193" i="12" s="1"/>
  <c r="P3194" i="12" s="1"/>
  <c r="P3195" i="12" s="1"/>
  <c r="P3196" i="12" s="1"/>
  <c r="P3197" i="12" s="1"/>
  <c r="P3198" i="12" s="1"/>
  <c r="P3199" i="12" s="1"/>
  <c r="P3200" i="12" s="1"/>
  <c r="P3201" i="12" s="1"/>
  <c r="P3202" i="12" s="1"/>
  <c r="P3203" i="12" s="1"/>
  <c r="P3204" i="12" s="1"/>
  <c r="P3205" i="12" s="1"/>
  <c r="P3206" i="12" s="1"/>
  <c r="P3207" i="12" s="1"/>
  <c r="P3208" i="12" s="1"/>
  <c r="P3209" i="12" s="1"/>
  <c r="P3210" i="12" s="1"/>
  <c r="P3211" i="12" s="1"/>
  <c r="P3212" i="12" s="1"/>
  <c r="P3213" i="12" s="1"/>
  <c r="P3214" i="12" s="1"/>
  <c r="P3215" i="12" s="1"/>
  <c r="P3216" i="12" s="1"/>
  <c r="P3217" i="12" s="1"/>
  <c r="P3218" i="12" s="1"/>
  <c r="P3219" i="12" s="1"/>
  <c r="P3220" i="12" s="1"/>
  <c r="P3221" i="12" s="1"/>
  <c r="P3222" i="12" s="1"/>
  <c r="P3223" i="12" s="1"/>
  <c r="P3224" i="12" s="1"/>
  <c r="P3225" i="12" s="1"/>
  <c r="P3226" i="12" s="1"/>
  <c r="P3227" i="12" s="1"/>
  <c r="P3228" i="12" s="1"/>
  <c r="P3229" i="12" s="1"/>
  <c r="P3230" i="12" s="1"/>
  <c r="P3231" i="12" s="1"/>
  <c r="P3232" i="12" s="1"/>
  <c r="P3233" i="12" s="1"/>
  <c r="P3234" i="12" s="1"/>
  <c r="P3235" i="12" s="1"/>
  <c r="P3236" i="12" s="1"/>
  <c r="P3237" i="12" s="1"/>
  <c r="P3238" i="12" s="1"/>
  <c r="P3239" i="12" s="1"/>
  <c r="P3240" i="12" s="1"/>
  <c r="P3241" i="12" s="1"/>
  <c r="P3242" i="12" s="1"/>
  <c r="P3243" i="12" s="1"/>
  <c r="P3244" i="12" s="1"/>
  <c r="P3245" i="12" s="1"/>
  <c r="P3246" i="12" s="1"/>
  <c r="P3247" i="12" s="1"/>
  <c r="P3248" i="12" s="1"/>
  <c r="P3249" i="12" s="1"/>
  <c r="P3250" i="12" s="1"/>
  <c r="P3251" i="12" s="1"/>
  <c r="P3252" i="12" s="1"/>
  <c r="P3253" i="12" s="1"/>
  <c r="P3254" i="12" s="1"/>
  <c r="P3255" i="12" s="1"/>
  <c r="P3256" i="12" s="1"/>
  <c r="P3257" i="12" s="1"/>
  <c r="P3258" i="12" s="1"/>
  <c r="P3259" i="12" s="1"/>
  <c r="P3260" i="12" s="1"/>
  <c r="P3261" i="12" s="1"/>
  <c r="P3262" i="12" s="1"/>
  <c r="P3263" i="12" s="1"/>
  <c r="P3264" i="12" s="1"/>
  <c r="P3265" i="12" s="1"/>
  <c r="P3266" i="12" s="1"/>
  <c r="P3267" i="12" s="1"/>
  <c r="P3268" i="12" s="1"/>
  <c r="P3269" i="12" s="1"/>
  <c r="P3270" i="12" s="1"/>
  <c r="P3271" i="12" s="1"/>
  <c r="P3272" i="12" s="1"/>
  <c r="P3273" i="12" s="1"/>
  <c r="P3274" i="12" s="1"/>
  <c r="P3275" i="12" s="1"/>
  <c r="P3276" i="12" s="1"/>
  <c r="P3277" i="12" s="1"/>
  <c r="P3278" i="12" s="1"/>
  <c r="P3279" i="12" s="1"/>
  <c r="P3280" i="12" s="1"/>
  <c r="P3281" i="12" s="1"/>
  <c r="P3282" i="12" s="1"/>
  <c r="P3283" i="12" s="1"/>
  <c r="P3284" i="12" s="1"/>
  <c r="P3285" i="12" s="1"/>
  <c r="P3286" i="12" s="1"/>
  <c r="P3287" i="12" s="1"/>
  <c r="P3288" i="12" s="1"/>
  <c r="P3289" i="12" s="1"/>
  <c r="P3290" i="12" s="1"/>
  <c r="P3291" i="12" s="1"/>
  <c r="P3292" i="12" s="1"/>
  <c r="P3293" i="12" s="1"/>
  <c r="P3294" i="12" s="1"/>
  <c r="P3295" i="12" s="1"/>
  <c r="P3296" i="12" s="1"/>
  <c r="P3297" i="12" s="1"/>
  <c r="P3298" i="12" s="1"/>
  <c r="P3299" i="12" s="1"/>
  <c r="P3300" i="12" s="1"/>
  <c r="P3301" i="12" s="1"/>
  <c r="P3302" i="12" s="1"/>
  <c r="P3303" i="12" s="1"/>
  <c r="P3304" i="12" s="1"/>
  <c r="P3305" i="12" s="1"/>
  <c r="P3306" i="12" s="1"/>
  <c r="P3307" i="12" s="1"/>
  <c r="P3308" i="12" s="1"/>
  <c r="P3309" i="12" s="1"/>
  <c r="P3310" i="12" s="1"/>
  <c r="P3311" i="12" s="1"/>
  <c r="P3312" i="12" s="1"/>
  <c r="P3313" i="12" s="1"/>
  <c r="P624" i="12"/>
  <c r="P625" i="12" s="1"/>
  <c r="P626" i="12" s="1"/>
  <c r="P627" i="12" s="1"/>
  <c r="P628" i="12" s="1"/>
  <c r="P629" i="12" s="1"/>
  <c r="P630" i="12" s="1"/>
  <c r="P631" i="12" s="1"/>
  <c r="P632" i="12" s="1"/>
  <c r="P633" i="12" s="1"/>
  <c r="P634" i="12" s="1"/>
  <c r="P635" i="12" s="1"/>
  <c r="P636" i="12" s="1"/>
  <c r="P637" i="12" s="1"/>
  <c r="P638" i="12" s="1"/>
  <c r="P639" i="12" s="1"/>
  <c r="P640" i="12" s="1"/>
  <c r="P641" i="12" s="1"/>
  <c r="P642" i="12" s="1"/>
  <c r="P643" i="12" s="1"/>
  <c r="P644" i="12" s="1"/>
  <c r="P645" i="12" s="1"/>
  <c r="P646" i="12" s="1"/>
  <c r="P647" i="12" s="1"/>
  <c r="P648" i="12" s="1"/>
  <c r="P649" i="12" s="1"/>
  <c r="P650" i="12" s="1"/>
  <c r="P651" i="12" s="1"/>
  <c r="P652" i="12" s="1"/>
  <c r="P653" i="12" s="1"/>
  <c r="P654" i="12" s="1"/>
  <c r="P655" i="12" s="1"/>
  <c r="P656" i="12" s="1"/>
  <c r="P657" i="12" s="1"/>
  <c r="P658" i="12" s="1"/>
  <c r="P659" i="12" s="1"/>
  <c r="P660" i="12" s="1"/>
  <c r="P661" i="12" s="1"/>
  <c r="P662" i="12" s="1"/>
  <c r="P663" i="12" s="1"/>
  <c r="P664" i="12" s="1"/>
  <c r="P665" i="12" s="1"/>
  <c r="P666" i="12" s="1"/>
  <c r="P667" i="12" s="1"/>
  <c r="P668" i="12" s="1"/>
  <c r="P669" i="12" s="1"/>
  <c r="P670" i="12" s="1"/>
  <c r="P671" i="12" s="1"/>
  <c r="P672" i="12" s="1"/>
  <c r="P673" i="12" s="1"/>
  <c r="P674" i="12" s="1"/>
  <c r="P675" i="12" s="1"/>
  <c r="P676" i="12" s="1"/>
  <c r="P677" i="12" s="1"/>
  <c r="P678" i="12" s="1"/>
  <c r="P679" i="12" s="1"/>
  <c r="P680" i="12" s="1"/>
  <c r="P681" i="12" s="1"/>
  <c r="P682" i="12" s="1"/>
  <c r="P683" i="12" s="1"/>
  <c r="P684" i="12" s="1"/>
  <c r="P685" i="12" s="1"/>
  <c r="P686" i="12" s="1"/>
  <c r="P687" i="12" s="1"/>
  <c r="P688" i="12" s="1"/>
  <c r="P689" i="12" s="1"/>
  <c r="P690" i="12" s="1"/>
  <c r="P691" i="12" s="1"/>
  <c r="P692" i="12" s="1"/>
  <c r="P693" i="12" s="1"/>
  <c r="P694" i="12" s="1"/>
  <c r="P695" i="12" s="1"/>
  <c r="P696" i="12" s="1"/>
  <c r="P697" i="12" s="1"/>
  <c r="P698" i="12" s="1"/>
  <c r="P699" i="12" s="1"/>
  <c r="P700" i="12" s="1"/>
  <c r="P701" i="12" s="1"/>
  <c r="P702" i="12" s="1"/>
  <c r="P703" i="12" s="1"/>
  <c r="P704" i="12" s="1"/>
  <c r="P705" i="12" s="1"/>
  <c r="P706" i="12" s="1"/>
  <c r="P707" i="12" s="1"/>
  <c r="P708" i="12" s="1"/>
  <c r="P709" i="12" s="1"/>
  <c r="P710" i="12" s="1"/>
  <c r="P711" i="12" s="1"/>
  <c r="P712" i="12" s="1"/>
  <c r="P713" i="12" s="1"/>
  <c r="P714" i="12" s="1"/>
  <c r="P715" i="12" s="1"/>
  <c r="P716" i="12" s="1"/>
  <c r="P717" i="12" s="1"/>
  <c r="P718" i="12" s="1"/>
  <c r="P719" i="12" s="1"/>
  <c r="P720" i="12" s="1"/>
  <c r="P721" i="12" s="1"/>
  <c r="P722" i="12" s="1"/>
  <c r="P723" i="12" s="1"/>
  <c r="P724" i="12" s="1"/>
  <c r="P725" i="12" s="1"/>
  <c r="P726" i="12" s="1"/>
  <c r="P727" i="12" s="1"/>
  <c r="P728" i="12" s="1"/>
  <c r="P729" i="12" s="1"/>
  <c r="P730" i="12" s="1"/>
  <c r="P731" i="12" s="1"/>
  <c r="P732" i="12" s="1"/>
  <c r="P733" i="12" s="1"/>
  <c r="P734" i="12" s="1"/>
  <c r="P735" i="12" s="1"/>
  <c r="P736" i="12" s="1"/>
  <c r="P737" i="12" s="1"/>
  <c r="P738" i="12" s="1"/>
  <c r="P739" i="12" s="1"/>
  <c r="P740" i="12" s="1"/>
  <c r="P741" i="12" s="1"/>
  <c r="P742" i="12" s="1"/>
  <c r="P743" i="12" s="1"/>
  <c r="P744" i="12" s="1"/>
  <c r="P745" i="12" s="1"/>
  <c r="P746" i="12" s="1"/>
  <c r="P747" i="12" s="1"/>
  <c r="P748" i="12" s="1"/>
  <c r="P749" i="12" s="1"/>
  <c r="P750" i="12" s="1"/>
  <c r="P751" i="12" s="1"/>
  <c r="P752" i="12" s="1"/>
  <c r="P753" i="12" s="1"/>
  <c r="P754" i="12" s="1"/>
  <c r="P755" i="12" s="1"/>
  <c r="P756" i="12" s="1"/>
  <c r="P757" i="12" s="1"/>
  <c r="P758" i="12" s="1"/>
  <c r="P759" i="12" s="1"/>
  <c r="P760" i="12" s="1"/>
  <c r="P761" i="12" s="1"/>
  <c r="P762" i="12" s="1"/>
  <c r="P763" i="12" s="1"/>
  <c r="P764" i="12" s="1"/>
  <c r="P765" i="12" s="1"/>
  <c r="P766" i="12" s="1"/>
  <c r="P767" i="12" s="1"/>
  <c r="P768" i="12" s="1"/>
  <c r="P769" i="12" s="1"/>
  <c r="P770" i="12" s="1"/>
  <c r="P771" i="12" s="1"/>
  <c r="P772" i="12" s="1"/>
  <c r="P773" i="12" s="1"/>
  <c r="P774" i="12" s="1"/>
  <c r="P1703" i="12"/>
  <c r="P1704" i="12" s="1"/>
  <c r="P1705" i="12" s="1"/>
  <c r="P1706" i="12" s="1"/>
  <c r="P1707" i="12" s="1"/>
  <c r="P1708" i="12" s="1"/>
  <c r="P1709" i="12" s="1"/>
  <c r="P1710" i="12" s="1"/>
  <c r="P1711" i="12" s="1"/>
  <c r="P1712" i="12" s="1"/>
  <c r="P1713" i="12" s="1"/>
  <c r="P1714" i="12" s="1"/>
  <c r="P1715" i="12" s="1"/>
  <c r="P1716" i="12" s="1"/>
  <c r="P1717" i="12" s="1"/>
  <c r="P1718" i="12" s="1"/>
  <c r="P1719" i="12" s="1"/>
  <c r="P1720" i="12" s="1"/>
  <c r="P1721" i="12" s="1"/>
  <c r="P1722" i="12" s="1"/>
  <c r="P1723" i="12" s="1"/>
  <c r="P1724" i="12" s="1"/>
  <c r="P1725" i="12" s="1"/>
  <c r="P1726" i="12" s="1"/>
  <c r="P1727" i="12" s="1"/>
  <c r="P1728" i="12" s="1"/>
  <c r="P1729" i="12" s="1"/>
  <c r="P1730" i="12" s="1"/>
  <c r="P1731" i="12" s="1"/>
  <c r="P1732" i="12" s="1"/>
  <c r="P1733" i="12" s="1"/>
  <c r="P1734" i="12" s="1"/>
  <c r="P1735" i="12" s="1"/>
  <c r="P1736" i="12" s="1"/>
  <c r="P1737" i="12" s="1"/>
  <c r="P1738" i="12" s="1"/>
  <c r="P1739" i="12" s="1"/>
  <c r="P1740" i="12" s="1"/>
  <c r="P1741" i="12" s="1"/>
  <c r="P1742" i="12" s="1"/>
  <c r="P1743" i="12" s="1"/>
  <c r="P1744" i="12" s="1"/>
  <c r="P1745" i="12" s="1"/>
  <c r="P1746" i="12" s="1"/>
  <c r="P1747" i="12" s="1"/>
  <c r="P1748" i="12" s="1"/>
  <c r="P1749" i="12" s="1"/>
  <c r="P1750" i="12" s="1"/>
  <c r="P1751" i="12" s="1"/>
  <c r="P1752" i="12" s="1"/>
  <c r="P1753" i="12" s="1"/>
  <c r="P1754" i="12" s="1"/>
  <c r="P1755" i="12" s="1"/>
  <c r="P1756" i="12" s="1"/>
  <c r="P1757" i="12" s="1"/>
  <c r="P1758" i="12" s="1"/>
  <c r="P1759" i="12" s="1"/>
  <c r="P1760" i="12" s="1"/>
  <c r="P1761" i="12" s="1"/>
  <c r="P1762" i="12" s="1"/>
  <c r="P1763" i="12" s="1"/>
  <c r="P1764" i="12" s="1"/>
  <c r="P1765" i="12" s="1"/>
  <c r="P1766" i="12" s="1"/>
  <c r="P1767" i="12" s="1"/>
  <c r="P1768" i="12" s="1"/>
  <c r="P1769" i="12" s="1"/>
  <c r="P1770" i="12" s="1"/>
  <c r="P1771" i="12" s="1"/>
  <c r="P1772" i="12" s="1"/>
  <c r="P1773" i="12" s="1"/>
  <c r="P1774" i="12" s="1"/>
  <c r="P1775" i="12" s="1"/>
  <c r="P1776" i="12" s="1"/>
  <c r="P1777" i="12" s="1"/>
  <c r="P1778" i="12" s="1"/>
  <c r="P1779" i="12" s="1"/>
  <c r="P1780" i="12" s="1"/>
  <c r="P1781" i="12" s="1"/>
  <c r="P1782" i="12" s="1"/>
  <c r="P1783" i="12" s="1"/>
  <c r="P1784" i="12" s="1"/>
  <c r="P1785" i="12" s="1"/>
  <c r="P1786" i="12" s="1"/>
  <c r="P1787" i="12" s="1"/>
  <c r="P1788" i="12" s="1"/>
  <c r="P1789" i="12" s="1"/>
  <c r="P1790" i="12" s="1"/>
  <c r="P1791" i="12" s="1"/>
  <c r="P1792" i="12" s="1"/>
  <c r="P1793" i="12" s="1"/>
  <c r="P1794" i="12" s="1"/>
  <c r="P1795" i="12" s="1"/>
  <c r="P1796" i="12" s="1"/>
  <c r="P1797" i="12" s="1"/>
  <c r="P1798" i="12" s="1"/>
  <c r="P1799" i="12" s="1"/>
  <c r="P1800" i="12" s="1"/>
  <c r="P1801" i="12" s="1"/>
  <c r="P1802" i="12" s="1"/>
  <c r="P1803" i="12" s="1"/>
  <c r="P1804" i="12" s="1"/>
  <c r="P1805" i="12" s="1"/>
  <c r="P1806" i="12" s="1"/>
  <c r="P1807" i="12" s="1"/>
  <c r="P1808" i="12" s="1"/>
  <c r="P1809" i="12" s="1"/>
  <c r="P1810" i="12" s="1"/>
  <c r="P1811" i="12" s="1"/>
  <c r="P1812" i="12" s="1"/>
  <c r="P1813" i="12" s="1"/>
  <c r="P1814" i="12" s="1"/>
  <c r="P1815" i="12" s="1"/>
  <c r="P1816" i="12" s="1"/>
  <c r="P1817" i="12" s="1"/>
  <c r="P1818" i="12" s="1"/>
  <c r="P1819" i="12" s="1"/>
  <c r="P1820" i="12" s="1"/>
  <c r="P1821" i="12" s="1"/>
  <c r="P1822" i="12" s="1"/>
  <c r="P1823" i="12" s="1"/>
  <c r="P1824" i="12" s="1"/>
  <c r="P1825" i="12" s="1"/>
  <c r="P1826" i="12" s="1"/>
  <c r="P1827" i="12" s="1"/>
  <c r="P1828" i="12" s="1"/>
  <c r="P1829" i="12" s="1"/>
  <c r="P1830" i="12" s="1"/>
  <c r="P1831" i="12" s="1"/>
  <c r="P1832" i="12" s="1"/>
  <c r="P1833" i="12" s="1"/>
  <c r="P1834" i="12" s="1"/>
  <c r="P1835" i="12" s="1"/>
  <c r="P1836" i="12" s="1"/>
  <c r="P1837" i="12" s="1"/>
  <c r="P1838" i="12" s="1"/>
  <c r="P1839" i="12" s="1"/>
  <c r="P1840" i="12" s="1"/>
  <c r="P1841" i="12" s="1"/>
  <c r="P1842" i="12" s="1"/>
  <c r="P1843" i="12" s="1"/>
  <c r="P1844" i="12" s="1"/>
  <c r="P1845" i="12" s="1"/>
  <c r="P1846" i="12" s="1"/>
  <c r="P1847" i="12" s="1"/>
  <c r="P1848" i="12" s="1"/>
  <c r="P1849" i="12" s="1"/>
  <c r="P1850" i="12" s="1"/>
  <c r="P1851" i="12" s="1"/>
  <c r="P1852" i="12" s="1"/>
  <c r="P1853" i="12" s="1"/>
  <c r="P1854" i="12" s="1"/>
  <c r="P1855" i="12" s="1"/>
  <c r="P1856" i="12" s="1"/>
  <c r="P1857" i="12" s="1"/>
  <c r="P1858" i="12" s="1"/>
  <c r="P1859" i="12" s="1"/>
  <c r="P1860" i="12" s="1"/>
  <c r="P1861" i="12" s="1"/>
  <c r="P1862" i="12" s="1"/>
  <c r="P1863" i="12" s="1"/>
  <c r="P1864" i="12" s="1"/>
  <c r="P1865" i="12" s="1"/>
  <c r="P1866" i="12" s="1"/>
  <c r="P1867" i="12" s="1"/>
  <c r="P1868" i="12" s="1"/>
  <c r="P1869" i="12" s="1"/>
  <c r="P1870" i="12" s="1"/>
  <c r="P1871" i="12" s="1"/>
  <c r="P1872" i="12" s="1"/>
  <c r="P1873" i="12" s="1"/>
  <c r="P1874" i="12" s="1"/>
  <c r="P1875" i="12" s="1"/>
  <c r="P1876" i="12" s="1"/>
  <c r="P1877" i="12" s="1"/>
  <c r="P1878" i="12" s="1"/>
  <c r="P1879" i="12" s="1"/>
  <c r="P1880" i="12" s="1"/>
  <c r="P1881" i="12" s="1"/>
  <c r="P1882" i="12" s="1"/>
  <c r="P1883" i="12" s="1"/>
  <c r="P1884" i="12" s="1"/>
  <c r="P1885" i="12" s="1"/>
  <c r="P1886" i="12" s="1"/>
  <c r="P1887" i="12" s="1"/>
  <c r="P1888" i="12" s="1"/>
  <c r="P1889" i="12" s="1"/>
  <c r="P1890" i="12" s="1"/>
  <c r="P1891" i="12" s="1"/>
  <c r="P1892" i="12" s="1"/>
  <c r="P1893" i="12" s="1"/>
  <c r="P1894" i="12" s="1"/>
  <c r="P1895" i="12" s="1"/>
  <c r="P1896" i="12" s="1"/>
  <c r="P1897" i="12" s="1"/>
  <c r="P1898" i="12" s="1"/>
  <c r="P1899" i="12" s="1"/>
  <c r="P1900" i="12" s="1"/>
  <c r="P1901" i="12" s="1"/>
  <c r="P1902" i="12" s="1"/>
  <c r="P1903" i="12" s="1"/>
  <c r="P1904" i="12" s="1"/>
  <c r="P1905" i="12" s="1"/>
  <c r="P1906" i="12" s="1"/>
  <c r="P1907" i="12" s="1"/>
  <c r="P1908" i="12" s="1"/>
  <c r="P1909" i="12" s="1"/>
  <c r="P1910" i="12" s="1"/>
  <c r="P1911" i="12" s="1"/>
  <c r="P1912" i="12" s="1"/>
  <c r="P1913" i="12" s="1"/>
  <c r="P1914" i="12" s="1"/>
  <c r="P1915" i="12" s="1"/>
  <c r="P1916" i="12" s="1"/>
  <c r="P1917" i="12" s="1"/>
  <c r="P1918" i="12" s="1"/>
  <c r="P1919" i="12" s="1"/>
  <c r="P1920" i="12" s="1"/>
  <c r="P1921" i="12" s="1"/>
  <c r="P1922" i="12" s="1"/>
  <c r="P1923" i="12" s="1"/>
  <c r="P1924" i="12" s="1"/>
  <c r="P1925" i="12" s="1"/>
  <c r="P1926" i="12" s="1"/>
  <c r="P1927" i="12" s="1"/>
  <c r="P1928" i="12" s="1"/>
  <c r="P1929" i="12" s="1"/>
  <c r="P1930" i="12" s="1"/>
  <c r="P1931" i="12" s="1"/>
  <c r="P1932" i="12" s="1"/>
  <c r="P1933" i="12" s="1"/>
  <c r="P1934" i="12" s="1"/>
  <c r="P1935" i="12" s="1"/>
  <c r="P1936" i="12" s="1"/>
  <c r="P1937" i="12" s="1"/>
  <c r="P1938" i="12" s="1"/>
  <c r="P1939" i="12" s="1"/>
  <c r="P1940" i="12" s="1"/>
  <c r="P1941" i="12" s="1"/>
  <c r="P1942" i="12" s="1"/>
  <c r="P1943" i="12" s="1"/>
  <c r="P1944" i="12" s="1"/>
  <c r="P1945" i="12" s="1"/>
  <c r="P1946" i="12" s="1"/>
  <c r="P1947" i="12" s="1"/>
  <c r="P1948" i="12" s="1"/>
  <c r="P1949" i="12" s="1"/>
  <c r="P1950" i="12" s="1"/>
  <c r="P1951" i="12" s="1"/>
  <c r="P1952" i="12" s="1"/>
  <c r="P1953" i="12" s="1"/>
  <c r="P1954" i="12" s="1"/>
  <c r="P1955" i="12" s="1"/>
  <c r="P1956" i="12" s="1"/>
  <c r="P1957" i="12" s="1"/>
  <c r="P1958" i="12" s="1"/>
  <c r="P1959" i="12" s="1"/>
  <c r="P1960" i="12" s="1"/>
  <c r="P1961" i="12" s="1"/>
  <c r="P1962" i="12" s="1"/>
  <c r="P1963" i="12" s="1"/>
  <c r="P1964" i="12" s="1"/>
  <c r="P1965" i="12" s="1"/>
  <c r="P1966" i="12" s="1"/>
  <c r="P1967" i="12" s="1"/>
  <c r="P1968" i="12" s="1"/>
  <c r="P1969" i="12" s="1"/>
  <c r="P1970" i="12" s="1"/>
  <c r="P1971" i="12" s="1"/>
  <c r="P1972" i="12" s="1"/>
  <c r="P1973" i="12" s="1"/>
  <c r="P1974" i="12" s="1"/>
  <c r="P1975" i="12" s="1"/>
  <c r="P1976" i="12" s="1"/>
  <c r="P1977" i="12" s="1"/>
  <c r="P1978" i="12" s="1"/>
  <c r="P1979" i="12" s="1"/>
  <c r="P1980" i="12" s="1"/>
  <c r="P1981" i="12" s="1"/>
  <c r="P1982" i="12" s="1"/>
  <c r="P1983" i="12" s="1"/>
  <c r="P1984" i="12" s="1"/>
  <c r="P1985" i="12" s="1"/>
  <c r="P1986" i="12" s="1"/>
  <c r="P1987" i="12" s="1"/>
  <c r="P1988" i="12" s="1"/>
  <c r="P1989" i="12" s="1"/>
  <c r="P1990" i="12" s="1"/>
  <c r="P1991" i="12" s="1"/>
  <c r="P1992" i="12" s="1"/>
  <c r="P1993" i="12" s="1"/>
  <c r="P1994" i="12" s="1"/>
  <c r="P1995" i="12" s="1"/>
  <c r="P1996" i="12" s="1"/>
  <c r="P1997" i="12" s="1"/>
  <c r="P1998" i="12" s="1"/>
  <c r="P1999" i="12" s="1"/>
  <c r="P2000" i="12" s="1"/>
  <c r="P2001" i="12" s="1"/>
  <c r="P2002" i="12" s="1"/>
  <c r="P2003" i="12" s="1"/>
  <c r="P2004" i="12" s="1"/>
  <c r="P2005" i="12" s="1"/>
  <c r="P2006" i="12" s="1"/>
  <c r="P2007" i="12" s="1"/>
  <c r="P2008" i="12" s="1"/>
  <c r="P2009" i="12" s="1"/>
  <c r="P2010" i="12" s="1"/>
  <c r="P2011" i="12" s="1"/>
  <c r="P2012" i="12" s="1"/>
  <c r="P2013" i="12" s="1"/>
  <c r="P2014" i="12" s="1"/>
  <c r="P2015" i="12" s="1"/>
  <c r="P2016" i="12" s="1"/>
  <c r="P2017" i="12" s="1"/>
  <c r="P2018" i="12" s="1"/>
  <c r="P2019" i="12" s="1"/>
  <c r="P2020" i="12" s="1"/>
  <c r="P2021" i="12" s="1"/>
  <c r="P2022" i="12" s="1"/>
  <c r="P2023" i="12" s="1"/>
  <c r="P2024" i="12" s="1"/>
  <c r="P2025" i="12" s="1"/>
  <c r="P2026" i="12" s="1"/>
  <c r="P2027" i="12" s="1"/>
  <c r="P2028" i="12" s="1"/>
  <c r="P2029" i="12" s="1"/>
  <c r="P2030" i="12" s="1"/>
  <c r="P2031" i="12" s="1"/>
  <c r="P2032" i="12" s="1"/>
  <c r="P2033" i="12" s="1"/>
  <c r="P2034" i="12" s="1"/>
  <c r="P2035" i="12" s="1"/>
  <c r="P2036" i="12" s="1"/>
  <c r="P2037" i="12" s="1"/>
  <c r="P2038" i="12" s="1"/>
  <c r="P2039" i="12" s="1"/>
  <c r="P2040" i="12" s="1"/>
  <c r="P2041" i="12" s="1"/>
  <c r="P2042" i="12" s="1"/>
  <c r="P2043" i="12" s="1"/>
  <c r="P2044" i="12" s="1"/>
  <c r="P2045" i="12" s="1"/>
  <c r="P2046" i="12" s="1"/>
  <c r="P2047" i="12" s="1"/>
  <c r="P2048" i="12" s="1"/>
  <c r="P2049" i="12" s="1"/>
  <c r="P2050" i="12" s="1"/>
  <c r="P2051" i="12" s="1"/>
  <c r="P2052" i="12" s="1"/>
  <c r="P775" i="12"/>
  <c r="P776" i="12" s="1"/>
  <c r="P777" i="12" s="1"/>
  <c r="P778" i="12" s="1"/>
  <c r="P779" i="12" s="1"/>
  <c r="P780" i="12" s="1"/>
  <c r="P781" i="12" s="1"/>
  <c r="P782" i="12" s="1"/>
  <c r="P783" i="12" s="1"/>
  <c r="P784" i="12" s="1"/>
  <c r="P785" i="12" s="1"/>
  <c r="P786" i="12" s="1"/>
  <c r="P787" i="12" s="1"/>
  <c r="P788" i="12" s="1"/>
  <c r="P789" i="12" s="1"/>
  <c r="P790" i="12" s="1"/>
  <c r="P791" i="12" s="1"/>
  <c r="P792" i="12" s="1"/>
  <c r="P2053" i="12"/>
  <c r="P2054" i="12" s="1"/>
  <c r="P2055" i="12" s="1"/>
  <c r="P2056" i="12" s="1"/>
  <c r="P2057" i="12" s="1"/>
  <c r="P2058" i="12" s="1"/>
  <c r="P2059" i="12" s="1"/>
  <c r="P2060" i="12" s="1"/>
  <c r="P2061" i="12" s="1"/>
  <c r="P2062" i="12" s="1"/>
  <c r="P2063" i="12" s="1"/>
  <c r="P2064" i="12" s="1"/>
  <c r="P2065" i="12" s="1"/>
  <c r="P2066" i="12" s="1"/>
  <c r="P2067" i="12" s="1"/>
  <c r="P2068" i="12" s="1"/>
  <c r="P2069" i="12" s="1"/>
  <c r="P2070" i="12" s="1"/>
  <c r="P2071" i="12" s="1"/>
  <c r="P2072" i="12" s="1"/>
  <c r="P2073" i="12" s="1"/>
  <c r="P2074" i="12" s="1"/>
  <c r="P2075" i="12" s="1"/>
  <c r="P2076" i="12" s="1"/>
  <c r="P2077" i="12" s="1"/>
  <c r="P2078" i="12" s="1"/>
  <c r="P2079" i="12" s="1"/>
  <c r="P2080" i="12" s="1"/>
  <c r="P2081" i="12" s="1"/>
  <c r="P2082" i="12" s="1"/>
  <c r="P2083" i="12" s="1"/>
  <c r="P2084" i="12" s="1"/>
  <c r="P2085" i="12" s="1"/>
  <c r="P2086" i="12" s="1"/>
  <c r="P2087" i="12" s="1"/>
  <c r="P2088" i="12" s="1"/>
  <c r="P2089" i="12" s="1"/>
  <c r="P2090" i="12" s="1"/>
  <c r="P2091" i="12" s="1"/>
  <c r="P2092" i="12" s="1"/>
  <c r="P2093" i="12" s="1"/>
  <c r="P2094" i="12" s="1"/>
  <c r="P2095" i="12" s="1"/>
  <c r="P2096" i="12" s="1"/>
  <c r="P2097" i="12" s="1"/>
  <c r="P2098" i="12" s="1"/>
  <c r="P2099" i="12" s="1"/>
  <c r="P2100" i="12" s="1"/>
  <c r="P2101" i="12" s="1"/>
  <c r="P2102" i="12" s="1"/>
  <c r="P2103" i="12" s="1"/>
  <c r="P2104" i="12" s="1"/>
  <c r="P2105" i="12" s="1"/>
  <c r="P2106" i="12" s="1"/>
  <c r="P2107" i="12" s="1"/>
  <c r="P2108" i="12" s="1"/>
  <c r="P2109" i="12" s="1"/>
  <c r="P2110" i="12" s="1"/>
  <c r="P2111" i="12" s="1"/>
  <c r="P2112" i="12" s="1"/>
  <c r="P2113" i="12" s="1"/>
  <c r="P2114" i="12" s="1"/>
  <c r="P2115" i="12" s="1"/>
  <c r="P2116" i="12" s="1"/>
  <c r="P2117" i="12" s="1"/>
  <c r="P2118" i="12" s="1"/>
  <c r="P2119" i="12" s="1"/>
  <c r="P2120" i="12" s="1"/>
  <c r="P2121" i="12" s="1"/>
  <c r="P2122" i="12" s="1"/>
  <c r="P2123" i="12" s="1"/>
  <c r="P2124" i="12" s="1"/>
  <c r="P2125" i="12" s="1"/>
  <c r="P2126" i="12" s="1"/>
  <c r="P2127" i="12" s="1"/>
  <c r="P2128" i="12" s="1"/>
  <c r="P2129" i="12" s="1"/>
  <c r="P2130" i="12" s="1"/>
  <c r="P2131" i="12" s="1"/>
  <c r="P2132" i="12" s="1"/>
  <c r="P2133" i="12" s="1"/>
  <c r="P2134" i="12" s="1"/>
  <c r="P2135" i="12" s="1"/>
  <c r="P2136" i="12" s="1"/>
  <c r="P2137" i="12" s="1"/>
  <c r="P2138" i="12" s="1"/>
  <c r="P2139" i="12" s="1"/>
  <c r="P2140" i="12" s="1"/>
  <c r="P2141" i="12" s="1"/>
  <c r="P2142" i="12" s="1"/>
  <c r="P2143" i="12" s="1"/>
  <c r="P2144" i="12" s="1"/>
  <c r="P2145" i="12" s="1"/>
  <c r="P2146" i="12" s="1"/>
  <c r="P2147" i="12" s="1"/>
  <c r="P2148" i="12" s="1"/>
  <c r="P2149" i="12" s="1"/>
  <c r="P2150" i="12" s="1"/>
  <c r="P2151" i="12" s="1"/>
  <c r="P2152" i="12" s="1"/>
  <c r="P2153" i="12" s="1"/>
  <c r="P2154" i="12" s="1"/>
  <c r="P2155" i="12" s="1"/>
  <c r="P2156" i="12" s="1"/>
  <c r="P2157" i="12" s="1"/>
  <c r="P2158" i="12" s="1"/>
  <c r="P2159" i="12" s="1"/>
  <c r="P2160" i="12" s="1"/>
  <c r="P2161" i="12" s="1"/>
  <c r="P2162" i="12" s="1"/>
  <c r="P2163" i="12" s="1"/>
  <c r="P2164" i="12" s="1"/>
  <c r="P2165" i="12" s="1"/>
  <c r="P2166" i="12" s="1"/>
  <c r="P2167" i="12" s="1"/>
  <c r="P2168" i="12" s="1"/>
  <c r="P2169" i="12" s="1"/>
  <c r="P2170" i="12" s="1"/>
  <c r="P2171" i="12" s="1"/>
  <c r="P2172" i="12" s="1"/>
  <c r="P2173" i="12" s="1"/>
  <c r="P2174" i="12" s="1"/>
  <c r="P2175" i="12" s="1"/>
  <c r="P2176" i="12" s="1"/>
  <c r="P2177" i="12" s="1"/>
  <c r="P2178" i="12" s="1"/>
  <c r="P2179" i="12" s="1"/>
  <c r="P2180" i="12" s="1"/>
  <c r="P2181" i="12" s="1"/>
  <c r="P2182" i="12" s="1"/>
  <c r="P2183" i="12" s="1"/>
  <c r="P2184" i="12" s="1"/>
  <c r="P2185" i="12" s="1"/>
  <c r="P2186" i="12" s="1"/>
  <c r="P2187" i="12" s="1"/>
  <c r="P2188" i="12" s="1"/>
  <c r="P2189" i="12" s="1"/>
  <c r="P2190" i="12" s="1"/>
  <c r="P2191" i="12" s="1"/>
  <c r="P2192" i="12" s="1"/>
  <c r="P2193" i="12" s="1"/>
  <c r="P2194" i="12" s="1"/>
  <c r="P2195" i="12" s="1"/>
  <c r="P2196" i="12" s="1"/>
  <c r="P2197" i="12" s="1"/>
  <c r="P2198" i="12" s="1"/>
  <c r="P2199" i="12" s="1"/>
  <c r="P2200" i="12" s="1"/>
  <c r="P2201" i="12" s="1"/>
  <c r="P2202" i="12" s="1"/>
  <c r="P2203" i="12" s="1"/>
  <c r="P2204" i="12" s="1"/>
  <c r="P2205" i="12" s="1"/>
  <c r="P2206" i="12" s="1"/>
  <c r="P2207" i="12" s="1"/>
  <c r="P2208" i="12" s="1"/>
  <c r="P2209" i="12" s="1"/>
  <c r="P2210" i="12" s="1"/>
  <c r="P2211" i="12" s="1"/>
  <c r="P2212" i="12" s="1"/>
  <c r="P2213" i="12" s="1"/>
  <c r="P2214" i="12" s="1"/>
  <c r="P2215" i="12" s="1"/>
  <c r="P2216" i="12" s="1"/>
  <c r="P2217" i="12" s="1"/>
  <c r="P2218" i="12" s="1"/>
  <c r="P2219" i="12" s="1"/>
  <c r="P2220" i="12" s="1"/>
  <c r="P2221" i="12" s="1"/>
  <c r="P2222" i="12" s="1"/>
  <c r="P2223" i="12" s="1"/>
  <c r="P2224" i="12" s="1"/>
  <c r="P2225" i="12" s="1"/>
  <c r="P2226" i="12" s="1"/>
  <c r="P2227" i="12" s="1"/>
  <c r="P2228" i="12" s="1"/>
  <c r="P2229" i="12" s="1"/>
  <c r="P2230" i="12" s="1"/>
  <c r="P2231" i="12" s="1"/>
  <c r="P2232" i="12" s="1"/>
  <c r="P2233" i="12" s="1"/>
  <c r="P2234" i="12" s="1"/>
  <c r="P2235" i="12" s="1"/>
  <c r="P2236" i="12" s="1"/>
  <c r="P2237" i="12" s="1"/>
  <c r="P2238" i="12" s="1"/>
  <c r="P2239" i="12" s="1"/>
  <c r="P2240" i="12" s="1"/>
  <c r="P2241" i="12" s="1"/>
  <c r="P2242" i="12" s="1"/>
  <c r="P2243" i="12" s="1"/>
  <c r="P2244" i="12" s="1"/>
  <c r="P2245" i="12" s="1"/>
  <c r="P2246" i="12" s="1"/>
  <c r="P2247" i="12" s="1"/>
  <c r="P2248" i="12" s="1"/>
  <c r="P2249" i="12" s="1"/>
  <c r="P2250" i="12" s="1"/>
  <c r="P2251" i="12" s="1"/>
  <c r="P2252" i="12" s="1"/>
  <c r="P2253" i="12" s="1"/>
  <c r="P2254" i="12" s="1"/>
  <c r="P2255" i="12" s="1"/>
  <c r="P2256" i="12" s="1"/>
  <c r="P2257" i="12" s="1"/>
  <c r="P2258" i="12" s="1"/>
  <c r="P2259" i="12" s="1"/>
  <c r="P2260" i="12" s="1"/>
  <c r="P2261" i="12" s="1"/>
  <c r="P2262" i="12" s="1"/>
  <c r="P2263" i="12" s="1"/>
  <c r="P2264" i="12" s="1"/>
  <c r="P2265" i="12" s="1"/>
  <c r="P2266" i="12" s="1"/>
  <c r="P2267" i="12" s="1"/>
  <c r="P2268" i="12" s="1"/>
  <c r="P2269" i="12" s="1"/>
  <c r="P2270" i="12" s="1"/>
  <c r="P2271" i="12" s="1"/>
  <c r="P2272" i="12" s="1"/>
  <c r="P2273" i="12" s="1"/>
  <c r="P2274" i="12" s="1"/>
  <c r="P2275" i="12" s="1"/>
  <c r="P2276" i="12" s="1"/>
  <c r="P2277" i="12" s="1"/>
  <c r="P2278" i="12" s="1"/>
  <c r="P2279" i="12" s="1"/>
  <c r="P2280" i="12" s="1"/>
  <c r="P2281" i="12" s="1"/>
  <c r="P2282" i="12" s="1"/>
  <c r="P2283" i="12" s="1"/>
  <c r="P2284" i="12" s="1"/>
  <c r="P2285" i="12" s="1"/>
  <c r="P2286" i="12" s="1"/>
  <c r="P2287" i="12" s="1"/>
  <c r="P2288" i="12" s="1"/>
  <c r="P2289" i="12" s="1"/>
  <c r="P2290" i="12" s="1"/>
  <c r="P2291" i="12" s="1"/>
  <c r="P2292" i="12" s="1"/>
  <c r="P2293" i="12" s="1"/>
  <c r="P2294" i="12" s="1"/>
  <c r="P2295" i="12" s="1"/>
  <c r="P2296" i="12" s="1"/>
  <c r="P2297" i="12" s="1"/>
  <c r="P2298" i="12" s="1"/>
  <c r="P2299" i="12" s="1"/>
  <c r="P2300" i="12" s="1"/>
  <c r="P2301" i="12" s="1"/>
  <c r="P2302" i="12" s="1"/>
  <c r="P2303" i="12" s="1"/>
  <c r="P2304" i="12" s="1"/>
  <c r="P2305" i="12" s="1"/>
  <c r="P2306" i="12" s="1"/>
  <c r="P2307" i="12" s="1"/>
  <c r="P2308" i="12" s="1"/>
  <c r="P2309" i="12" s="1"/>
  <c r="P2310" i="12" s="1"/>
  <c r="P2311" i="12" s="1"/>
  <c r="P2312" i="12" s="1"/>
  <c r="P2313" i="12" s="1"/>
  <c r="P2314" i="12" s="1"/>
  <c r="P2315" i="12" s="1"/>
  <c r="P2316" i="12" s="1"/>
  <c r="P2317" i="12" s="1"/>
  <c r="P2318" i="12" s="1"/>
  <c r="P2319" i="12" s="1"/>
  <c r="P2320" i="12" s="1"/>
  <c r="P2321" i="12" s="1"/>
  <c r="P2322" i="12" s="1"/>
  <c r="P2323" i="12" s="1"/>
  <c r="P2324" i="12" s="1"/>
  <c r="P2325" i="12" s="1"/>
  <c r="P2326" i="12" s="1"/>
  <c r="P2327" i="12" s="1"/>
  <c r="P2328" i="12" s="1"/>
  <c r="P2329" i="12" s="1"/>
  <c r="P2330" i="12" s="1"/>
  <c r="P2331" i="12" s="1"/>
  <c r="P2332" i="12" s="1"/>
  <c r="P2333" i="12" s="1"/>
  <c r="P2334" i="12" s="1"/>
  <c r="P2335" i="12" s="1"/>
  <c r="P2336" i="12" s="1"/>
  <c r="P2337" i="12" s="1"/>
  <c r="P2338" i="12" s="1"/>
  <c r="P2339" i="12" s="1"/>
  <c r="P2340" i="12" s="1"/>
  <c r="P2341" i="12" s="1"/>
  <c r="P2342" i="12" s="1"/>
  <c r="P2343" i="12" s="1"/>
  <c r="P2344" i="12" s="1"/>
  <c r="P2345" i="12" s="1"/>
  <c r="P2346" i="12" s="1"/>
  <c r="P2347" i="12" s="1"/>
  <c r="P2348" i="12" s="1"/>
  <c r="P2349" i="12" s="1"/>
  <c r="P2350" i="12" s="1"/>
  <c r="P2351" i="12" s="1"/>
  <c r="P2352" i="12" s="1"/>
  <c r="P2353" i="12" s="1"/>
  <c r="P2354" i="12" s="1"/>
  <c r="P2355" i="12" s="1"/>
  <c r="P2356" i="12" s="1"/>
  <c r="P2357" i="12" s="1"/>
  <c r="P2358" i="12" s="1"/>
  <c r="P2359" i="12" s="1"/>
  <c r="P2360" i="12" s="1"/>
  <c r="P2361" i="12" s="1"/>
  <c r="P2362" i="12" s="1"/>
  <c r="P2363" i="12" s="1"/>
  <c r="P2364" i="12" s="1"/>
  <c r="P2365" i="12" s="1"/>
  <c r="P2366" i="12" s="1"/>
  <c r="P2367" i="12" s="1"/>
  <c r="P2368" i="12" s="1"/>
  <c r="P2369" i="12" s="1"/>
  <c r="P2370" i="12" s="1"/>
  <c r="P2371" i="12" s="1"/>
  <c r="P2372" i="12" s="1"/>
  <c r="P2373" i="12" s="1"/>
  <c r="P2374" i="12" s="1"/>
  <c r="P2375" i="12" s="1"/>
  <c r="P2376" i="12" s="1"/>
  <c r="P2377" i="12" s="1"/>
  <c r="P2378" i="12" s="1"/>
  <c r="P2379" i="12" s="1"/>
  <c r="P2380" i="12" s="1"/>
  <c r="P2381" i="12" s="1"/>
  <c r="P2382" i="12" s="1"/>
  <c r="P2383" i="12" s="1"/>
  <c r="P2384" i="12" s="1"/>
  <c r="P2385" i="12" s="1"/>
  <c r="P2386" i="12" s="1"/>
  <c r="P2387" i="12" s="1"/>
  <c r="P2388" i="12" s="1"/>
  <c r="P2389" i="12" s="1"/>
  <c r="P2390" i="12" s="1"/>
  <c r="P2391" i="12" s="1"/>
  <c r="P2392" i="12" s="1"/>
  <c r="P2393" i="12" s="1"/>
  <c r="P2394" i="12" s="1"/>
  <c r="P2395" i="12" s="1"/>
  <c r="P2396" i="12" s="1"/>
  <c r="P2397" i="12" s="1"/>
  <c r="P2398" i="12" s="1"/>
  <c r="P2399" i="12" s="1"/>
  <c r="P2400" i="12" s="1"/>
  <c r="P2401" i="12" s="1"/>
  <c r="P2402" i="12" s="1"/>
  <c r="P2403" i="12" s="1"/>
  <c r="P2404" i="12" s="1"/>
  <c r="P2405" i="12" s="1"/>
  <c r="P2406" i="12" s="1"/>
  <c r="P2407" i="12" s="1"/>
  <c r="P2408" i="12" s="1"/>
  <c r="P2409" i="12" s="1"/>
  <c r="P2410" i="12" s="1"/>
  <c r="P2411" i="12" s="1"/>
  <c r="P2412" i="12" s="1"/>
  <c r="P793" i="12"/>
  <c r="P794" i="12" s="1"/>
  <c r="P795" i="12" s="1"/>
  <c r="P796" i="12" s="1"/>
  <c r="P797" i="12" s="1"/>
  <c r="P798" i="12" s="1"/>
  <c r="P799" i="12" s="1"/>
  <c r="P800" i="12" s="1"/>
  <c r="P801" i="12" s="1"/>
  <c r="P802" i="12" s="1"/>
  <c r="P803" i="12" s="1"/>
  <c r="P804" i="12" s="1"/>
  <c r="P805" i="12" s="1"/>
  <c r="P806" i="12" s="1"/>
  <c r="P807" i="12" s="1"/>
  <c r="P808" i="12" s="1"/>
  <c r="P809" i="12" s="1"/>
  <c r="P810" i="12" s="1"/>
  <c r="P811" i="12" s="1"/>
  <c r="P812" i="12" s="1"/>
  <c r="P813" i="12" s="1"/>
  <c r="P814" i="12" s="1"/>
  <c r="P815" i="12" s="1"/>
  <c r="P816" i="12" s="1"/>
  <c r="P817" i="12" s="1"/>
  <c r="P818" i="12" s="1"/>
  <c r="P819" i="12" s="1"/>
  <c r="P820" i="12" s="1"/>
  <c r="P821" i="12" s="1"/>
  <c r="P822" i="12" s="1"/>
  <c r="P823" i="12" s="1"/>
  <c r="P824" i="12" s="1"/>
  <c r="P825" i="12" s="1"/>
  <c r="P826" i="12" s="1"/>
  <c r="P827" i="12" s="1"/>
  <c r="P828" i="12" s="1"/>
  <c r="P829" i="12" s="1"/>
  <c r="P830" i="12" s="1"/>
  <c r="P831" i="12" s="1"/>
  <c r="P832" i="12" s="1"/>
  <c r="P833" i="12" s="1"/>
  <c r="P834" i="12" s="1"/>
  <c r="P835" i="12" s="1"/>
  <c r="P836" i="12" s="1"/>
  <c r="P837" i="12" s="1"/>
  <c r="P838" i="12" s="1"/>
  <c r="P839" i="12" s="1"/>
  <c r="P840" i="12" s="1"/>
  <c r="P841" i="12" s="1"/>
  <c r="P842" i="12" s="1"/>
  <c r="P843" i="12" s="1"/>
  <c r="P844" i="12" s="1"/>
  <c r="P845" i="12" s="1"/>
  <c r="P846" i="12" s="1"/>
  <c r="P847" i="12" s="1"/>
  <c r="P848" i="12" s="1"/>
  <c r="P849" i="12" s="1"/>
  <c r="P850" i="12" s="1"/>
  <c r="P851" i="12" s="1"/>
  <c r="P852" i="12" s="1"/>
  <c r="P853" i="12" s="1"/>
  <c r="P854" i="12" s="1"/>
  <c r="P855" i="12" s="1"/>
  <c r="P856" i="12" s="1"/>
  <c r="P857" i="12" s="1"/>
  <c r="P858" i="12" s="1"/>
  <c r="P859" i="12" s="1"/>
  <c r="P860" i="12" s="1"/>
  <c r="P861" i="12" s="1"/>
  <c r="P862" i="12" s="1"/>
  <c r="P863" i="12" s="1"/>
  <c r="P864" i="12" s="1"/>
  <c r="P865" i="12" s="1"/>
  <c r="P866" i="12" s="1"/>
  <c r="P867" i="12" s="1"/>
  <c r="P868" i="12" s="1"/>
  <c r="P869" i="12" s="1"/>
  <c r="P870" i="12" s="1"/>
  <c r="P871" i="12" s="1"/>
  <c r="P872" i="12" s="1"/>
  <c r="P873" i="12" s="1"/>
  <c r="P874" i="12" s="1"/>
  <c r="P875" i="12" s="1"/>
  <c r="P876" i="12" s="1"/>
  <c r="P877" i="12" s="1"/>
  <c r="P878" i="12" s="1"/>
  <c r="P879" i="12" s="1"/>
  <c r="P880" i="12" s="1"/>
  <c r="P881" i="12" s="1"/>
  <c r="P882" i="12" s="1"/>
  <c r="P883" i="12" s="1"/>
  <c r="P884" i="12" s="1"/>
  <c r="P885" i="12" s="1"/>
  <c r="P886" i="12" s="1"/>
  <c r="P887" i="12" s="1"/>
  <c r="P888" i="12" s="1"/>
  <c r="P889" i="12" s="1"/>
  <c r="P890" i="12" s="1"/>
  <c r="P891" i="12" s="1"/>
  <c r="P892" i="12" s="1"/>
  <c r="P893" i="12" s="1"/>
  <c r="P894" i="12" s="1"/>
  <c r="P895" i="12" s="1"/>
  <c r="P896" i="12" s="1"/>
  <c r="P897" i="12" s="1"/>
  <c r="P898" i="12" s="1"/>
  <c r="P899" i="12" s="1"/>
  <c r="P900" i="12" s="1"/>
  <c r="P901" i="12" s="1"/>
  <c r="P902" i="12" s="1"/>
  <c r="P903" i="12" s="1"/>
  <c r="P904" i="12" s="1"/>
  <c r="P905" i="12" s="1"/>
  <c r="P906" i="12" s="1"/>
  <c r="P907" i="12" s="1"/>
  <c r="P908" i="12" s="1"/>
  <c r="P909" i="12" s="1"/>
  <c r="P910" i="12" s="1"/>
  <c r="P911" i="12" s="1"/>
  <c r="P912" i="12" s="1"/>
  <c r="P913" i="12" s="1"/>
  <c r="P914" i="12" s="1"/>
  <c r="P915" i="12" s="1"/>
  <c r="P916" i="12" s="1"/>
  <c r="P917" i="12" s="1"/>
  <c r="P918" i="12" s="1"/>
  <c r="P919" i="12" s="1"/>
  <c r="P920" i="12" s="1"/>
  <c r="P921" i="12" s="1"/>
  <c r="P922" i="12" s="1"/>
  <c r="P923" i="12" s="1"/>
  <c r="P924" i="12" s="1"/>
  <c r="P925" i="12" s="1"/>
  <c r="P926" i="12" s="1"/>
  <c r="P927" i="12" s="1"/>
  <c r="P928" i="12" s="1"/>
  <c r="P929" i="12" s="1"/>
  <c r="P930" i="12" s="1"/>
  <c r="P931" i="12" s="1"/>
  <c r="P932" i="12" s="1"/>
  <c r="P933" i="12" s="1"/>
  <c r="P934" i="12" s="1"/>
  <c r="P935" i="12" s="1"/>
  <c r="P936" i="12" s="1"/>
  <c r="P937" i="12" s="1"/>
  <c r="P938" i="12" s="1"/>
  <c r="P939" i="12" s="1"/>
  <c r="P940" i="12" s="1"/>
  <c r="P941" i="12" s="1"/>
  <c r="P942" i="12" s="1"/>
  <c r="P943" i="12" s="1"/>
  <c r="P944" i="12" s="1"/>
  <c r="P945" i="12" s="1"/>
  <c r="P946" i="12" s="1"/>
  <c r="P947" i="12" s="1"/>
  <c r="P948" i="12" s="1"/>
  <c r="P949" i="12" s="1"/>
  <c r="P950" i="12" s="1"/>
  <c r="P951" i="12" s="1"/>
  <c r="P952" i="12" s="1"/>
  <c r="P953" i="12" s="1"/>
  <c r="P954" i="12" s="1"/>
  <c r="P955" i="12" s="1"/>
  <c r="P956" i="12" s="1"/>
  <c r="P957" i="12" s="1"/>
  <c r="P958" i="12" s="1"/>
  <c r="P959" i="12" s="1"/>
  <c r="P960" i="12" s="1"/>
  <c r="P961" i="12" s="1"/>
  <c r="P962" i="12" s="1"/>
  <c r="P963" i="12" s="1"/>
  <c r="P964" i="12" s="1"/>
  <c r="P965" i="12" s="1"/>
  <c r="P966" i="12" s="1"/>
  <c r="P967" i="12" s="1"/>
  <c r="P968" i="12" s="1"/>
  <c r="P969" i="12" s="1"/>
  <c r="P970" i="12" s="1"/>
  <c r="P971" i="12" s="1"/>
  <c r="P972" i="12" s="1"/>
  <c r="P973" i="12" s="1"/>
  <c r="P974" i="12" s="1"/>
  <c r="P2413" i="12"/>
  <c r="P2414" i="12" s="1"/>
  <c r="P2415" i="12" s="1"/>
  <c r="P2416" i="12" s="1"/>
  <c r="P2417" i="12" s="1"/>
  <c r="P2418" i="12" s="1"/>
  <c r="P2419" i="12" s="1"/>
  <c r="P2420" i="12" s="1"/>
  <c r="P2421" i="12" s="1"/>
  <c r="P2422" i="12" s="1"/>
  <c r="P2423" i="12" s="1"/>
  <c r="P2424" i="12" s="1"/>
  <c r="P2425" i="12" s="1"/>
  <c r="P2426" i="12" s="1"/>
  <c r="P2427" i="12" s="1"/>
  <c r="P2428" i="12" s="1"/>
  <c r="P2429" i="12" s="1"/>
  <c r="P2430" i="12" s="1"/>
  <c r="P2431" i="12" s="1"/>
  <c r="P2432" i="12" s="1"/>
  <c r="P2433" i="12" s="1"/>
  <c r="P2434" i="12" s="1"/>
  <c r="P2435" i="12" s="1"/>
  <c r="P2436" i="12" s="1"/>
  <c r="P2437" i="12" s="1"/>
  <c r="P2438" i="12" s="1"/>
  <c r="P2439" i="12" s="1"/>
  <c r="P2440" i="12" s="1"/>
  <c r="P2441" i="12" s="1"/>
  <c r="P2442" i="12" s="1"/>
  <c r="P2443" i="12" s="1"/>
  <c r="P2444" i="12" s="1"/>
  <c r="P2445" i="12" s="1"/>
  <c r="P2446" i="12" s="1"/>
  <c r="P2447" i="12" s="1"/>
  <c r="P2448" i="12" s="1"/>
  <c r="P2449" i="12" s="1"/>
  <c r="P2450" i="12" s="1"/>
  <c r="P2451" i="12" s="1"/>
  <c r="P2452" i="12" s="1"/>
  <c r="P2453" i="12" s="1"/>
  <c r="P2454" i="12" s="1"/>
  <c r="P2455" i="12" s="1"/>
  <c r="P2456" i="12" s="1"/>
  <c r="P2457" i="12" s="1"/>
  <c r="P2458" i="12" s="1"/>
  <c r="P2459" i="12" s="1"/>
  <c r="P2460" i="12" s="1"/>
  <c r="P2461" i="12" s="1"/>
  <c r="P2462" i="12" s="1"/>
  <c r="P2463" i="12" s="1"/>
  <c r="P2464" i="12" s="1"/>
  <c r="P2465" i="12" s="1"/>
  <c r="P2466" i="12" s="1"/>
  <c r="P2467" i="12" s="1"/>
  <c r="P2468" i="12" s="1"/>
  <c r="P2469" i="12" s="1"/>
  <c r="P2470" i="12" s="1"/>
  <c r="P2471" i="12" s="1"/>
  <c r="P2472" i="12" s="1"/>
  <c r="P2473" i="12" s="1"/>
  <c r="P2474" i="12" s="1"/>
  <c r="P2475" i="12" s="1"/>
  <c r="P2476" i="12" s="1"/>
  <c r="P2477" i="12" s="1"/>
  <c r="P2478" i="12" s="1"/>
  <c r="P2479" i="12" s="1"/>
  <c r="P2480" i="12" s="1"/>
  <c r="P2481" i="12" s="1"/>
  <c r="P2482" i="12" s="1"/>
  <c r="P2483" i="12" s="1"/>
  <c r="P2484" i="12" s="1"/>
  <c r="P2485" i="12" s="1"/>
  <c r="P2486" i="12" s="1"/>
  <c r="P2487" i="12" s="1"/>
  <c r="P2488" i="12" s="1"/>
  <c r="P2489" i="12" s="1"/>
  <c r="P2490" i="12" s="1"/>
  <c r="P2491" i="12" s="1"/>
  <c r="P2492" i="12" s="1"/>
  <c r="P2493" i="12" s="1"/>
  <c r="P2494" i="12" s="1"/>
  <c r="P2495" i="12" s="1"/>
  <c r="P2496" i="12" s="1"/>
  <c r="P2497" i="12" s="1"/>
  <c r="P2498" i="12" s="1"/>
  <c r="P2499" i="12" s="1"/>
  <c r="P2500" i="12" s="1"/>
  <c r="P2501" i="12" s="1"/>
  <c r="P2502" i="12" s="1"/>
  <c r="P2503" i="12" s="1"/>
  <c r="P2504" i="12" s="1"/>
  <c r="P2505" i="12" s="1"/>
  <c r="P2506" i="12" s="1"/>
  <c r="P2507" i="12" s="1"/>
  <c r="P2508" i="12" s="1"/>
  <c r="P2509" i="12" s="1"/>
  <c r="P2510" i="12" s="1"/>
  <c r="P2511" i="12" s="1"/>
  <c r="P2512" i="12" s="1"/>
  <c r="P2513" i="12" s="1"/>
  <c r="P2514" i="12" s="1"/>
  <c r="P2515" i="12" s="1"/>
  <c r="P2516" i="12" s="1"/>
  <c r="P2517" i="12" s="1"/>
  <c r="P2518" i="12" s="1"/>
  <c r="P2519" i="12" s="1"/>
  <c r="P2520" i="12" s="1"/>
  <c r="P2521" i="12" s="1"/>
  <c r="P2522" i="12" s="1"/>
  <c r="P2523" i="12" s="1"/>
  <c r="P2524" i="12" s="1"/>
  <c r="P2525" i="12" s="1"/>
  <c r="P2526" i="12" s="1"/>
  <c r="P2527" i="12" s="1"/>
  <c r="P2528" i="12" s="1"/>
  <c r="P2529" i="12" s="1"/>
  <c r="P2530" i="12" s="1"/>
  <c r="P2531" i="12" s="1"/>
  <c r="P2532" i="12" s="1"/>
  <c r="P2533" i="12" s="1"/>
  <c r="P2534" i="12" s="1"/>
  <c r="P2535" i="12" s="1"/>
  <c r="P2536" i="12" s="1"/>
  <c r="P2537" i="12" s="1"/>
  <c r="P2538" i="12" s="1"/>
  <c r="P2539" i="12" s="1"/>
  <c r="P2540" i="12" s="1"/>
  <c r="P2541" i="12" s="1"/>
  <c r="P2542" i="12" s="1"/>
  <c r="P2543" i="12" s="1"/>
  <c r="P2544" i="12" s="1"/>
  <c r="P2545" i="12" s="1"/>
  <c r="P2546" i="12" s="1"/>
  <c r="P2547" i="12" s="1"/>
  <c r="P2548" i="12" s="1"/>
  <c r="P2549" i="12" s="1"/>
  <c r="P2550" i="12" s="1"/>
  <c r="P2551" i="12" s="1"/>
  <c r="P2552" i="12" s="1"/>
  <c r="P2553" i="12" s="1"/>
  <c r="P2554" i="12" s="1"/>
  <c r="P2555" i="12" s="1"/>
  <c r="P2556" i="12" s="1"/>
  <c r="P2557" i="12" s="1"/>
  <c r="P2558" i="12" s="1"/>
  <c r="P2559" i="12" s="1"/>
  <c r="P2560" i="12" s="1"/>
  <c r="P2561" i="12" s="1"/>
  <c r="P2562" i="12" s="1"/>
  <c r="P2563" i="12" s="1"/>
  <c r="P2564" i="12" s="1"/>
  <c r="P2565" i="12" s="1"/>
  <c r="P2566" i="12" s="1"/>
  <c r="P2567" i="12" s="1"/>
  <c r="P2568" i="12" s="1"/>
  <c r="P2569" i="12" s="1"/>
  <c r="P2570" i="12" s="1"/>
  <c r="P2571" i="12" s="1"/>
  <c r="P2572" i="12" s="1"/>
  <c r="P2573" i="12" s="1"/>
  <c r="P2574" i="12" s="1"/>
  <c r="P2575" i="12" s="1"/>
  <c r="P2576" i="12" s="1"/>
  <c r="P2577" i="12" s="1"/>
  <c r="P2578" i="12" s="1"/>
  <c r="P2579" i="12" s="1"/>
  <c r="P2580" i="12" s="1"/>
  <c r="P2581" i="12" s="1"/>
  <c r="P2582" i="12" s="1"/>
  <c r="P2583" i="12" s="1"/>
  <c r="P2584" i="12" s="1"/>
  <c r="P2585" i="12" s="1"/>
  <c r="P2586" i="12" s="1"/>
  <c r="P2587" i="12" s="1"/>
  <c r="P2588" i="12" s="1"/>
  <c r="P2589" i="12" s="1"/>
  <c r="P2590" i="12" s="1"/>
  <c r="P2591" i="12" s="1"/>
  <c r="P2592" i="12" s="1"/>
  <c r="P2593" i="12" s="1"/>
  <c r="P975" i="12"/>
  <c r="P976" i="12" s="1"/>
  <c r="P977" i="12" s="1"/>
  <c r="P978" i="12" s="1"/>
  <c r="P979" i="12" s="1"/>
  <c r="P980" i="12" s="1"/>
  <c r="P981" i="12" s="1"/>
  <c r="P982" i="12" s="1"/>
  <c r="P983" i="12" s="1"/>
  <c r="P984" i="12" s="1"/>
  <c r="P985" i="12" s="1"/>
  <c r="P986" i="12" s="1"/>
  <c r="P987" i="12" s="1"/>
  <c r="P988" i="12" s="1"/>
  <c r="P989" i="12" s="1"/>
  <c r="P990" i="12" s="1"/>
  <c r="P991" i="12" s="1"/>
  <c r="P992" i="12" s="1"/>
  <c r="P993" i="12" s="1"/>
  <c r="P994" i="12" s="1"/>
  <c r="P995" i="12" s="1"/>
  <c r="P996" i="12" s="1"/>
  <c r="P997" i="12" s="1"/>
  <c r="P998" i="12" s="1"/>
  <c r="P999" i="12" s="1"/>
  <c r="P1000" i="12" s="1"/>
  <c r="P1001" i="12" s="1"/>
  <c r="P1002" i="12" s="1"/>
  <c r="P1003" i="12" s="1"/>
  <c r="P1004" i="12" s="1"/>
  <c r="P1005" i="12" s="1"/>
  <c r="P1006" i="12" s="1"/>
  <c r="P1007" i="12" s="1"/>
  <c r="P1008" i="12" s="1"/>
  <c r="P1009" i="12" s="1"/>
  <c r="P1010" i="12" s="1"/>
  <c r="P1011" i="12" s="1"/>
  <c r="P1012" i="12" s="1"/>
  <c r="P1013" i="12" s="1"/>
  <c r="P1014" i="12" s="1"/>
  <c r="P1015" i="12" s="1"/>
  <c r="P1016" i="12" s="1"/>
  <c r="P1017" i="12" s="1"/>
  <c r="P1018" i="12" s="1"/>
  <c r="P1019" i="12" s="1"/>
  <c r="P1020" i="12" s="1"/>
  <c r="P1021" i="12" s="1"/>
  <c r="P1022" i="12" s="1"/>
  <c r="P1023" i="12" s="1"/>
  <c r="P1024" i="12" s="1"/>
  <c r="P1025" i="12" s="1"/>
  <c r="P1026" i="12" s="1"/>
  <c r="P1027" i="12" s="1"/>
  <c r="P1028" i="12" s="1"/>
  <c r="P1029" i="12" s="1"/>
  <c r="P1030" i="12" s="1"/>
  <c r="P1031" i="12" s="1"/>
  <c r="P1032" i="12" s="1"/>
  <c r="P1033" i="12" s="1"/>
  <c r="P1034" i="12" s="1"/>
  <c r="P1035" i="12" s="1"/>
  <c r="P1036" i="12" s="1"/>
  <c r="P1037" i="12" s="1"/>
  <c r="P1038" i="12" s="1"/>
  <c r="P1039" i="12" s="1"/>
  <c r="P1040" i="12" s="1"/>
  <c r="P1041" i="12" s="1"/>
  <c r="P1042" i="12" s="1"/>
  <c r="P1043" i="12" s="1"/>
  <c r="P1044" i="12" s="1"/>
  <c r="P1045" i="12" s="1"/>
  <c r="P1046" i="12" s="1"/>
  <c r="P1047" i="12" s="1"/>
  <c r="P1048" i="12" s="1"/>
  <c r="P1049" i="12" s="1"/>
  <c r="P1050" i="12" s="1"/>
  <c r="P1051" i="12" s="1"/>
  <c r="P1052" i="12" s="1"/>
  <c r="P1053" i="12" s="1"/>
  <c r="P1054" i="12" s="1"/>
  <c r="P1055" i="12" s="1"/>
  <c r="P1056" i="12" s="1"/>
  <c r="P1057" i="12" s="1"/>
  <c r="P1058" i="12" s="1"/>
  <c r="P1059" i="12" s="1"/>
  <c r="P1060" i="12" s="1"/>
  <c r="P1061" i="12" s="1"/>
  <c r="P1062" i="12" s="1"/>
  <c r="P1063" i="12" s="1"/>
  <c r="P1064" i="12" s="1"/>
  <c r="P1065" i="12" s="1"/>
  <c r="P1066" i="12" s="1"/>
  <c r="P1067" i="12" s="1"/>
  <c r="P1068" i="12" s="1"/>
  <c r="P1069" i="12" s="1"/>
  <c r="P1070" i="12" s="1"/>
  <c r="P1071" i="12" s="1"/>
  <c r="P1072" i="12" s="1"/>
  <c r="P1073" i="12" s="1"/>
  <c r="P1074" i="12" s="1"/>
  <c r="P1075" i="12"/>
  <c r="P1076" i="12" s="1"/>
  <c r="P1077" i="12" s="1"/>
  <c r="P1078" i="12" s="1"/>
  <c r="P1079" i="12" s="1"/>
  <c r="P1080" i="12" s="1"/>
  <c r="P1081" i="12" s="1"/>
  <c r="P1082" i="12" s="1"/>
  <c r="P1083" i="12" s="1"/>
  <c r="P1084" i="12" s="1"/>
  <c r="P1085" i="12" s="1"/>
  <c r="P1086" i="12" s="1"/>
  <c r="P1087" i="12" s="1"/>
  <c r="P1088" i="12" s="1"/>
  <c r="P1089" i="12" s="1"/>
  <c r="P1090" i="12" s="1"/>
  <c r="P1091" i="12" s="1"/>
  <c r="P1092" i="12" s="1"/>
  <c r="P1093" i="12" s="1"/>
  <c r="P1094" i="12" s="1"/>
  <c r="P1095" i="12" s="1"/>
  <c r="P1096" i="12" s="1"/>
  <c r="P1097" i="12" s="1"/>
  <c r="P1098" i="12" s="1"/>
  <c r="P1099" i="12" s="1"/>
  <c r="P1100" i="12" s="1"/>
  <c r="P1101" i="12" s="1"/>
  <c r="P1102" i="12" s="1"/>
  <c r="P1103" i="12" s="1"/>
  <c r="P1104" i="12" s="1"/>
  <c r="P1105" i="12" s="1"/>
  <c r="P1106" i="12" s="1"/>
  <c r="P1107" i="12" s="1"/>
  <c r="P1108" i="12" s="1"/>
  <c r="P1109" i="12" s="1"/>
  <c r="P1110" i="12" s="1"/>
  <c r="P1111" i="12" s="1"/>
  <c r="P1112" i="12" s="1"/>
  <c r="P1113" i="12" s="1"/>
  <c r="P1114" i="12" s="1"/>
  <c r="P1115" i="12" s="1"/>
  <c r="P1116" i="12" s="1"/>
  <c r="P1117" i="12" s="1"/>
  <c r="P1118" i="12" s="1"/>
  <c r="P1119" i="12" s="1"/>
  <c r="P1120" i="12" s="1"/>
  <c r="P1121" i="12" s="1"/>
  <c r="P1122" i="12" s="1"/>
  <c r="P1123" i="12" s="1"/>
  <c r="P1124" i="12" s="1"/>
  <c r="P1125" i="12" s="1"/>
  <c r="P1126" i="12" s="1"/>
  <c r="P1127" i="12" s="1"/>
  <c r="P1128" i="12" s="1"/>
  <c r="P1129" i="12" s="1"/>
  <c r="P1130" i="12" s="1"/>
  <c r="P1131" i="12" s="1"/>
  <c r="P1132" i="12" s="1"/>
  <c r="P1133" i="12" s="1"/>
  <c r="P1134" i="12" s="1"/>
  <c r="P1135" i="12" s="1"/>
  <c r="P1136" i="12" s="1"/>
  <c r="P1137" i="12" s="1"/>
  <c r="P1138" i="12" s="1"/>
  <c r="P1139" i="12" s="1"/>
  <c r="P1140" i="12" s="1"/>
  <c r="P1141" i="12" s="1"/>
  <c r="P1142" i="12" s="1"/>
  <c r="P1143" i="12" s="1"/>
  <c r="P1144" i="12" s="1"/>
  <c r="P1145" i="12" s="1"/>
  <c r="P1146" i="12" s="1"/>
  <c r="P1147" i="12" s="1"/>
  <c r="P1148" i="12" s="1"/>
  <c r="P1149" i="12" s="1"/>
  <c r="P1150" i="12" s="1"/>
  <c r="P1151" i="12" s="1"/>
  <c r="P1152" i="12" s="1"/>
  <c r="P1153" i="12" s="1"/>
  <c r="P1154" i="12" s="1"/>
  <c r="P1155" i="12" s="1"/>
  <c r="P1156" i="12" s="1"/>
  <c r="P1157" i="12" s="1"/>
  <c r="P1158" i="12" s="1"/>
  <c r="P1159" i="12" s="1"/>
  <c r="P1160" i="12" s="1"/>
  <c r="P1161" i="12" s="1"/>
  <c r="P1162" i="12" s="1"/>
  <c r="P1163" i="12" s="1"/>
  <c r="P1164" i="12" s="1"/>
  <c r="P1165" i="12" s="1"/>
  <c r="P1166" i="12" s="1"/>
  <c r="P1167" i="12" s="1"/>
  <c r="P1168" i="12" s="1"/>
  <c r="P1169" i="12" s="1"/>
  <c r="P1170" i="12" s="1"/>
  <c r="P1171" i="12" s="1"/>
  <c r="P1172" i="12" s="1"/>
  <c r="P1173" i="12" s="1"/>
  <c r="P1174" i="12" s="1"/>
  <c r="P1175" i="12" s="1"/>
  <c r="P1176" i="12" s="1"/>
  <c r="P1177" i="12" s="1"/>
  <c r="P1178" i="12" s="1"/>
  <c r="P1179" i="12" s="1"/>
  <c r="P1180" i="12" s="1"/>
  <c r="P1181" i="12" s="1"/>
  <c r="P1182" i="12" s="1"/>
  <c r="P1183" i="12" s="1"/>
  <c r="P1184" i="12" s="1"/>
  <c r="P1185" i="12" s="1"/>
  <c r="P1186" i="12" s="1"/>
  <c r="P1187" i="12" s="1"/>
  <c r="P1188" i="12" s="1"/>
  <c r="P1189" i="12" s="1"/>
  <c r="P1190" i="12" s="1"/>
  <c r="P1191" i="12" s="1"/>
  <c r="P1192" i="12" s="1"/>
  <c r="P1193" i="12" s="1"/>
  <c r="P1194" i="12" s="1"/>
  <c r="P1195" i="12" s="1"/>
  <c r="P1196" i="12" s="1"/>
  <c r="P1197" i="12" s="1"/>
  <c r="P1198" i="12" s="1"/>
  <c r="P1199" i="12" s="1"/>
  <c r="P1200" i="12" s="1"/>
  <c r="P1201" i="12" s="1"/>
  <c r="P1202" i="12" s="1"/>
  <c r="P1203" i="12" s="1"/>
  <c r="P1204" i="12" s="1"/>
  <c r="P1205" i="12" s="1"/>
  <c r="P1206" i="12" s="1"/>
  <c r="P1207" i="12" s="1"/>
  <c r="P1208" i="12" s="1"/>
  <c r="P1209" i="12" s="1"/>
  <c r="P1210" i="12" s="1"/>
  <c r="P1211" i="12" s="1"/>
  <c r="P1212" i="12" s="1"/>
  <c r="P1213" i="12" s="1"/>
  <c r="P1214" i="12" s="1"/>
  <c r="P1215" i="12" s="1"/>
  <c r="P1216" i="12" s="1"/>
  <c r="P1217" i="12" s="1"/>
  <c r="P1218" i="12" s="1"/>
  <c r="P1219" i="12" s="1"/>
  <c r="P1220" i="12" s="1"/>
  <c r="P1221" i="12" s="1"/>
  <c r="P1222" i="12" s="1"/>
  <c r="P1223" i="12" s="1"/>
  <c r="P1224" i="12" s="1"/>
  <c r="P1225" i="12" s="1"/>
  <c r="P1226" i="12" s="1"/>
  <c r="P1227" i="12" s="1"/>
  <c r="P1228" i="12" s="1"/>
  <c r="P1229" i="12" s="1"/>
  <c r="P1230" i="12" s="1"/>
  <c r="P1231" i="12" s="1"/>
  <c r="P1232" i="12" s="1"/>
  <c r="P1233" i="12" s="1"/>
  <c r="P1234" i="12" s="1"/>
  <c r="P1235" i="12" s="1"/>
  <c r="P1236" i="12" s="1"/>
  <c r="P1237" i="12" s="1"/>
  <c r="P1238" i="12" s="1"/>
  <c r="P1239" i="12" s="1"/>
  <c r="P1240" i="12" s="1"/>
  <c r="P1241" i="12" s="1"/>
  <c r="P1242" i="12" s="1"/>
  <c r="P1243" i="12" s="1"/>
  <c r="P1244" i="12" s="1"/>
  <c r="P1245" i="12" s="1"/>
  <c r="P1246" i="12" s="1"/>
  <c r="P1247" i="12" s="1"/>
  <c r="P1248" i="12" s="1"/>
  <c r="P1249" i="12" s="1"/>
  <c r="P1250" i="12" s="1"/>
  <c r="P1251" i="12" s="1"/>
  <c r="P1252" i="12" s="1"/>
  <c r="P1253" i="12" s="1"/>
  <c r="P1254" i="12" s="1"/>
  <c r="P1255" i="12" s="1"/>
  <c r="P1256" i="12" s="1"/>
  <c r="P1257" i="12" s="1"/>
  <c r="P1258" i="12" s="1"/>
  <c r="P1259" i="12" s="1"/>
  <c r="P1260" i="12" s="1"/>
  <c r="P1261" i="12" s="1"/>
  <c r="P1262" i="12" s="1"/>
  <c r="P1263" i="12" s="1"/>
  <c r="P1264" i="12" s="1"/>
  <c r="P1265" i="12" s="1"/>
  <c r="P1266" i="12" s="1"/>
  <c r="P1267" i="12" s="1"/>
  <c r="P1268" i="12" s="1"/>
  <c r="P1269" i="12" s="1"/>
  <c r="P1270" i="12" s="1"/>
  <c r="P1271" i="12" s="1"/>
  <c r="P1272" i="12" s="1"/>
  <c r="P1273" i="12" s="1"/>
  <c r="P1274" i="12" s="1"/>
  <c r="P1275" i="12" s="1"/>
  <c r="P1276" i="12" s="1"/>
  <c r="P1277" i="12" s="1"/>
  <c r="P1278" i="12" s="1"/>
  <c r="P1279" i="12" s="1"/>
  <c r="P1280" i="12" s="1"/>
  <c r="P1281" i="12" s="1"/>
  <c r="P1282" i="12" s="1"/>
  <c r="P1283" i="12" s="1"/>
  <c r="P1284" i="12" s="1"/>
  <c r="P1285" i="12" s="1"/>
  <c r="P1286" i="12" s="1"/>
  <c r="P1287" i="12" s="1"/>
  <c r="P1288" i="12" s="1"/>
  <c r="P1289" i="12" s="1"/>
  <c r="P1290" i="12" s="1"/>
  <c r="P1291" i="12" s="1"/>
  <c r="P1292" i="12" s="1"/>
  <c r="P1293" i="12" s="1"/>
  <c r="P1294" i="12" s="1"/>
  <c r="P1295" i="12" s="1"/>
  <c r="P1296" i="12" s="1"/>
  <c r="P1297" i="12" s="1"/>
  <c r="P1298" i="12" s="1"/>
  <c r="P1299" i="12" s="1"/>
  <c r="P1300" i="12" s="1"/>
  <c r="P1301" i="12" s="1"/>
  <c r="P1302" i="12" s="1"/>
  <c r="P1303" i="12" s="1"/>
  <c r="P1304" i="12" s="1"/>
  <c r="P1305" i="12" s="1"/>
  <c r="P1306" i="12" s="1"/>
  <c r="P1307" i="12" s="1"/>
  <c r="P1308" i="12" s="1"/>
  <c r="P1309" i="12" s="1"/>
  <c r="P1310" i="12" s="1"/>
  <c r="P1311" i="12" s="1"/>
  <c r="P1312" i="12" s="1"/>
  <c r="P1313" i="12" s="1"/>
  <c r="P1314" i="12" s="1"/>
  <c r="P1315" i="12" s="1"/>
  <c r="P1316" i="12" s="1"/>
  <c r="P1317" i="12" s="1"/>
  <c r="P1318" i="12" s="1"/>
  <c r="P1319" i="12" s="1"/>
  <c r="P1320" i="12" s="1"/>
  <c r="P1321" i="12" s="1"/>
  <c r="P1322" i="12" s="1"/>
  <c r="P1323" i="12" s="1"/>
  <c r="P1324" i="12" s="1"/>
  <c r="P1325" i="12" s="1"/>
  <c r="P1326" i="12" s="1"/>
  <c r="P1327" i="12" s="1"/>
  <c r="P1328" i="12" s="1"/>
  <c r="P1329" i="12" s="1"/>
  <c r="P1330" i="12" s="1"/>
  <c r="P1331" i="12" s="1"/>
  <c r="P1332" i="12" s="1"/>
  <c r="P1333" i="12" s="1"/>
  <c r="P1334" i="12" s="1"/>
  <c r="P1335" i="12" s="1"/>
  <c r="P1336" i="12" s="1"/>
  <c r="P1337" i="12" s="1"/>
  <c r="P1338" i="12" s="1"/>
  <c r="P1339" i="12" s="1"/>
  <c r="P1340" i="12" s="1"/>
  <c r="P1341" i="12" s="1"/>
  <c r="P1342" i="12" s="1"/>
  <c r="P1343" i="12" s="1"/>
  <c r="P1344" i="12" s="1"/>
  <c r="P1345" i="12" s="1"/>
  <c r="P1346" i="12" s="1"/>
  <c r="P1347" i="12" s="1"/>
  <c r="P1348" i="12" s="1"/>
  <c r="P1349" i="12" s="1"/>
  <c r="P1350" i="12" s="1"/>
  <c r="P1351" i="12" s="1"/>
  <c r="P1352" i="12" s="1"/>
  <c r="P1353" i="12" s="1"/>
  <c r="P1354" i="12" s="1"/>
  <c r="P1355" i="12" s="1"/>
  <c r="P1356" i="12" s="1"/>
  <c r="P1357" i="12" s="1"/>
  <c r="P1358" i="12" s="1"/>
  <c r="P1359" i="12" s="1"/>
  <c r="P1360" i="12" s="1"/>
  <c r="P1361" i="12" s="1"/>
  <c r="P1362" i="12" s="1"/>
  <c r="P1363" i="12" s="1"/>
  <c r="P1364" i="12" s="1"/>
  <c r="P1365" i="12" s="1"/>
  <c r="P1366" i="12" s="1"/>
  <c r="P1367" i="12" s="1"/>
  <c r="P1368" i="12" s="1"/>
  <c r="P1369" i="12" s="1"/>
  <c r="P1370" i="12" s="1"/>
  <c r="P1371" i="12" s="1"/>
  <c r="P1372" i="12" s="1"/>
  <c r="P1373" i="12" s="1"/>
  <c r="P1374" i="12" s="1"/>
  <c r="P1375" i="12" s="1"/>
  <c r="P1376" i="12" s="1"/>
  <c r="P1377" i="12" s="1"/>
  <c r="P1378" i="12" s="1"/>
  <c r="P1379" i="12" s="1"/>
  <c r="P1380" i="12" s="1"/>
  <c r="P1381" i="12" s="1"/>
  <c r="P1382" i="12" s="1"/>
  <c r="P1383" i="12" s="1"/>
  <c r="P1384" i="12" s="1"/>
  <c r="P1385" i="12" s="1"/>
  <c r="P1386" i="12" s="1"/>
  <c r="P1387" i="12" s="1"/>
  <c r="P1388" i="12" s="1"/>
  <c r="P1389" i="12" s="1"/>
  <c r="P1390" i="12" s="1"/>
  <c r="P1391" i="12" s="1"/>
  <c r="P1392" i="12" s="1"/>
  <c r="P1393" i="12" s="1"/>
  <c r="P1394" i="12" s="1"/>
  <c r="P1395" i="12" s="1"/>
  <c r="P1396" i="12" s="1"/>
  <c r="P1397" i="12" s="1"/>
  <c r="P1398" i="12" s="1"/>
  <c r="P1399" i="12" s="1"/>
  <c r="P1400" i="12" s="1"/>
  <c r="P1401" i="12" s="1"/>
  <c r="P1402" i="12" s="1"/>
  <c r="P1403" i="12" s="1"/>
  <c r="P1404" i="12" s="1"/>
  <c r="P1405" i="12" s="1"/>
  <c r="P1406" i="12" s="1"/>
  <c r="P1407" i="12" s="1"/>
  <c r="P1408" i="12" s="1"/>
  <c r="P1409" i="12" s="1"/>
  <c r="P1410" i="12" s="1"/>
  <c r="P1411" i="12" s="1"/>
  <c r="P1412" i="12" s="1"/>
  <c r="P1413" i="12" s="1"/>
  <c r="P1414" i="12" s="1"/>
  <c r="P1415" i="12" s="1"/>
  <c r="P1416" i="12" s="1"/>
  <c r="P1417" i="12" s="1"/>
  <c r="P1418" i="12" s="1"/>
  <c r="P1419" i="12" s="1"/>
  <c r="P1420" i="12" s="1"/>
  <c r="P1421" i="12" s="1"/>
  <c r="P1422" i="12" s="1"/>
  <c r="P1423" i="12" s="1"/>
  <c r="P1424" i="12" s="1"/>
  <c r="P1425" i="12" s="1"/>
  <c r="P1426" i="12" s="1"/>
  <c r="P1427" i="12" s="1"/>
  <c r="P1428" i="12" s="1"/>
  <c r="P1429" i="12" s="1"/>
  <c r="P1430" i="12" s="1"/>
  <c r="P1431" i="12" s="1"/>
  <c r="P1432" i="12" s="1"/>
  <c r="P1433" i="12" s="1"/>
  <c r="P1434" i="12" s="1"/>
  <c r="P1435" i="12" s="1"/>
  <c r="P1436" i="12" s="1"/>
  <c r="P1437" i="12" s="1"/>
  <c r="P1438" i="12" s="1"/>
  <c r="P1439" i="12" s="1"/>
  <c r="P1440" i="12" s="1"/>
  <c r="P1441" i="12" s="1"/>
  <c r="P1442" i="12" s="1"/>
  <c r="P1443" i="12" s="1"/>
  <c r="P1444" i="12" s="1"/>
  <c r="P1445" i="12" s="1"/>
  <c r="P1446" i="12" s="1"/>
  <c r="P1447" i="12" s="1"/>
  <c r="P1448" i="12" s="1"/>
  <c r="P1449" i="12" s="1"/>
  <c r="P1450" i="12" s="1"/>
  <c r="P1451" i="12" s="1"/>
  <c r="P1452" i="12" s="1"/>
  <c r="P1453" i="12" s="1"/>
  <c r="P1454" i="12" s="1"/>
  <c r="P1455" i="12" s="1"/>
  <c r="P1456" i="12" s="1"/>
  <c r="P1457" i="12" s="1"/>
  <c r="P1458" i="12" s="1"/>
  <c r="P1459" i="12" s="1"/>
  <c r="P1460" i="12" s="1"/>
  <c r="P1461" i="12" s="1"/>
  <c r="P1462" i="12" s="1"/>
  <c r="P1463" i="12" s="1"/>
  <c r="P1464" i="12" s="1"/>
  <c r="P1465" i="12" s="1"/>
  <c r="P1466" i="12" s="1"/>
  <c r="P1467" i="12" s="1"/>
  <c r="P1468" i="12" s="1"/>
  <c r="P1469" i="12" s="1"/>
  <c r="P1470" i="12" s="1"/>
  <c r="P1471" i="12" s="1"/>
  <c r="P1472" i="12" s="1"/>
  <c r="P1473" i="12" s="1"/>
  <c r="P1474" i="12" s="1"/>
  <c r="P1475" i="12" s="1"/>
  <c r="P1476" i="12" s="1"/>
  <c r="P1477" i="12" s="1"/>
  <c r="P1478" i="12" s="1"/>
  <c r="P1479" i="12" s="1"/>
  <c r="P1480" i="12" s="1"/>
  <c r="P1481" i="12" s="1"/>
  <c r="P1482" i="12" s="1"/>
  <c r="P1483" i="12" s="1"/>
  <c r="P1484" i="12" s="1"/>
  <c r="P1485" i="12" s="1"/>
  <c r="P1486" i="12" s="1"/>
  <c r="P1487" i="12" s="1"/>
  <c r="P1488" i="12" s="1"/>
  <c r="P1489" i="12" s="1"/>
  <c r="P1490" i="12" s="1"/>
  <c r="P1491" i="12" s="1"/>
  <c r="P1492" i="12" s="1"/>
  <c r="P1493" i="12" s="1"/>
  <c r="P1494" i="12" s="1"/>
  <c r="P1495" i="12" s="1"/>
  <c r="P1496" i="12" s="1"/>
  <c r="P1497" i="12" s="1"/>
  <c r="P1498" i="12" s="1"/>
  <c r="P1499" i="12" s="1"/>
  <c r="P1500" i="12" s="1"/>
  <c r="P1501" i="12" s="1"/>
  <c r="P1502" i="12" s="1"/>
  <c r="P1503" i="12" s="1"/>
  <c r="P1504" i="12" s="1"/>
  <c r="P1505" i="12" s="1"/>
  <c r="P1506" i="12" s="1"/>
  <c r="P1507" i="12" s="1"/>
  <c r="P1508" i="12" s="1"/>
  <c r="P1509" i="12" s="1"/>
  <c r="P1510" i="12" s="1"/>
  <c r="P1511" i="12" s="1"/>
  <c r="P1512" i="12" s="1"/>
  <c r="P1513" i="12" s="1"/>
  <c r="P1514" i="12" s="1"/>
  <c r="P1515" i="12" s="1"/>
  <c r="P1516" i="12" s="1"/>
  <c r="P1517" i="12" s="1"/>
  <c r="P1518" i="12" s="1"/>
  <c r="P1519" i="12" s="1"/>
  <c r="P1520" i="12" s="1"/>
  <c r="P1521" i="12" s="1"/>
  <c r="P1522" i="12" s="1"/>
  <c r="P1523" i="12" s="1"/>
  <c r="P1524" i="12" s="1"/>
  <c r="P1525" i="12" s="1"/>
  <c r="P1526" i="12" s="1"/>
  <c r="P1527" i="12" s="1"/>
  <c r="P1528" i="12" s="1"/>
  <c r="P1529" i="12" s="1"/>
  <c r="P1530" i="12" s="1"/>
  <c r="P1531" i="12" s="1"/>
  <c r="P1532" i="12" s="1"/>
  <c r="P1533" i="12" s="1"/>
  <c r="P1534" i="12" s="1"/>
  <c r="P1535" i="12" s="1"/>
  <c r="P1536" i="12" s="1"/>
  <c r="P1537" i="12" s="1"/>
  <c r="P1538" i="12" s="1"/>
  <c r="P1539" i="12" s="1"/>
  <c r="P1540" i="12" s="1"/>
  <c r="P1541" i="12" s="1"/>
  <c r="P1542" i="12" s="1"/>
  <c r="P1543" i="12" s="1"/>
  <c r="P1544" i="12" s="1"/>
  <c r="P1545" i="12" s="1"/>
  <c r="P1546" i="12" s="1"/>
  <c r="P1547" i="12" s="1"/>
  <c r="P1548" i="12" s="1"/>
  <c r="P1549" i="12" s="1"/>
  <c r="P1550" i="12" s="1"/>
  <c r="P1551" i="12" s="1"/>
  <c r="P1552" i="12" s="1"/>
  <c r="P1553" i="12" s="1"/>
  <c r="P1554" i="12" s="1"/>
  <c r="P1555" i="12" s="1"/>
  <c r="P1556" i="12" s="1"/>
  <c r="P1557" i="12" s="1"/>
  <c r="P1558" i="12" s="1"/>
  <c r="P1559" i="12" s="1"/>
  <c r="P1560" i="12" s="1"/>
  <c r="P1561" i="12" s="1"/>
  <c r="P1562" i="12" s="1"/>
  <c r="P1563" i="12" s="1"/>
  <c r="P1564" i="12" s="1"/>
  <c r="P1565" i="12" s="1"/>
  <c r="P1566" i="12" s="1"/>
  <c r="P1567" i="12" s="1"/>
  <c r="P1568" i="12" s="1"/>
  <c r="P1569" i="12" s="1"/>
  <c r="P1570" i="12" s="1"/>
  <c r="P1571" i="12" s="1"/>
  <c r="P1572" i="12" s="1"/>
  <c r="P1573" i="12" s="1"/>
  <c r="P1574" i="12" s="1"/>
  <c r="P1575" i="12" s="1"/>
  <c r="P1576" i="12" s="1"/>
  <c r="P1577" i="12" s="1"/>
  <c r="P1578" i="12" s="1"/>
  <c r="P1579" i="12" s="1"/>
  <c r="P1580" i="12" s="1"/>
  <c r="P1581" i="12" s="1"/>
  <c r="P1582" i="12" s="1"/>
  <c r="P1583" i="12" s="1"/>
  <c r="P1584" i="12" s="1"/>
  <c r="P1585" i="12" s="1"/>
  <c r="P1586" i="12" s="1"/>
  <c r="P1587" i="12" s="1"/>
  <c r="P1588" i="12" s="1"/>
  <c r="P1589" i="12" s="1"/>
  <c r="P1590" i="12" s="1"/>
  <c r="P1591" i="12" s="1"/>
  <c r="P1592" i="12" s="1"/>
  <c r="P1593" i="12" s="1"/>
  <c r="P1594" i="12" s="1"/>
  <c r="P1595" i="12" s="1"/>
  <c r="P1596" i="12" s="1"/>
  <c r="P1597" i="12" s="1"/>
  <c r="P1598" i="12" s="1"/>
  <c r="P1599" i="12" s="1"/>
  <c r="P1600" i="12" s="1"/>
  <c r="P1601" i="12" s="1"/>
  <c r="P1602" i="12" s="1"/>
  <c r="P2594" i="12"/>
  <c r="P2595" i="12" s="1"/>
  <c r="P2596" i="12" s="1"/>
  <c r="P2597" i="12" s="1"/>
  <c r="P2598" i="12" s="1"/>
  <c r="P2599" i="12" s="1"/>
  <c r="P2600" i="12" s="1"/>
  <c r="P2601" i="12" s="1"/>
  <c r="P2602" i="12" s="1"/>
  <c r="P2603" i="12" s="1"/>
  <c r="P2604" i="12" s="1"/>
  <c r="P2605" i="12" s="1"/>
  <c r="P2606" i="12" s="1"/>
  <c r="P2607" i="12" s="1"/>
  <c r="P2608" i="12" s="1"/>
  <c r="P2609" i="12" s="1"/>
  <c r="P2610" i="12" s="1"/>
  <c r="P2611" i="12" s="1"/>
  <c r="P2612" i="12" s="1"/>
  <c r="P2613" i="12" s="1"/>
  <c r="P2614" i="12" s="1"/>
  <c r="P2615" i="12" s="1"/>
  <c r="P2616" i="12" s="1"/>
  <c r="P2617" i="12" s="1"/>
  <c r="P2618" i="12" s="1"/>
  <c r="P2619" i="12" s="1"/>
  <c r="P2620" i="12" s="1"/>
  <c r="P2621" i="12" s="1"/>
  <c r="P2622" i="12" s="1"/>
  <c r="P2623" i="12" s="1"/>
  <c r="P2624" i="12" s="1"/>
  <c r="P2625" i="12" s="1"/>
  <c r="P2626" i="12" s="1"/>
  <c r="P2627" i="12" s="1"/>
  <c r="P2628" i="12" s="1"/>
  <c r="P2629" i="12" s="1"/>
  <c r="P2630" i="12" s="1"/>
  <c r="P2631" i="12" s="1"/>
  <c r="P2632" i="12" s="1"/>
  <c r="P2633" i="12" s="1"/>
  <c r="P2634" i="12" s="1"/>
  <c r="P2635" i="12" s="1"/>
  <c r="P2636" i="12" s="1"/>
  <c r="P2637" i="12" s="1"/>
  <c r="P2638" i="12" s="1"/>
  <c r="P2639" i="12" s="1"/>
  <c r="P2640" i="12" s="1"/>
  <c r="P2641" i="12" s="1"/>
  <c r="P2642" i="12" s="1"/>
  <c r="P2643" i="12" s="1"/>
  <c r="P2644" i="12" s="1"/>
  <c r="P2645" i="12" s="1"/>
  <c r="P2646" i="12" s="1"/>
  <c r="P2647" i="12" s="1"/>
  <c r="P2648" i="12" s="1"/>
  <c r="P2649" i="12" s="1"/>
  <c r="P2650" i="12" s="1"/>
  <c r="P2651" i="12" s="1"/>
  <c r="P2652" i="12" s="1"/>
  <c r="P2653" i="12" s="1"/>
  <c r="P2654" i="12" s="1"/>
  <c r="P2655" i="12" s="1"/>
  <c r="P2656" i="12" s="1"/>
  <c r="P2657" i="12" s="1"/>
  <c r="P2658" i="12" s="1"/>
  <c r="P2659" i="12" s="1"/>
  <c r="P2660" i="12" s="1"/>
  <c r="P2661" i="12" s="1"/>
  <c r="P2662" i="12" s="1"/>
  <c r="P2663" i="12" s="1"/>
  <c r="P2664" i="12" s="1"/>
  <c r="P2665" i="12" s="1"/>
  <c r="P2666" i="12" s="1"/>
  <c r="P2667" i="12" s="1"/>
  <c r="P2668" i="12" s="1"/>
  <c r="P2669" i="12" s="1"/>
  <c r="P2670" i="12" s="1"/>
  <c r="P2671" i="12" s="1"/>
  <c r="P2672" i="12" s="1"/>
  <c r="P2673" i="12" s="1"/>
  <c r="P2674" i="12" s="1"/>
  <c r="P2675" i="12" s="1"/>
  <c r="P2676" i="12" s="1"/>
  <c r="P2677" i="12" s="1"/>
  <c r="P2678" i="12" s="1"/>
  <c r="P2679" i="12" s="1"/>
  <c r="P2680" i="12" s="1"/>
  <c r="P2681" i="12" s="1"/>
  <c r="P2682" i="12" s="1"/>
  <c r="P2683" i="12" s="1"/>
  <c r="P2684" i="12" s="1"/>
  <c r="P2685" i="12" s="1"/>
  <c r="P2686" i="12" s="1"/>
  <c r="P2687" i="12" s="1"/>
  <c r="P2688" i="12" s="1"/>
  <c r="P2689" i="12" s="1"/>
  <c r="P2690" i="12" s="1"/>
  <c r="P2691" i="12" s="1"/>
  <c r="P2692" i="12" s="1"/>
  <c r="P2693" i="12" s="1"/>
  <c r="P2694" i="12" s="1"/>
  <c r="P2695" i="12" s="1"/>
  <c r="P2696" i="12" s="1"/>
  <c r="P2697" i="12" s="1"/>
  <c r="P2698" i="12" s="1"/>
  <c r="P2699" i="12" s="1"/>
  <c r="P2700" i="12" s="1"/>
  <c r="P2701" i="12" s="1"/>
  <c r="P2702" i="12" s="1"/>
  <c r="P2703" i="12" s="1"/>
  <c r="P2704" i="12" s="1"/>
  <c r="P2705" i="12" s="1"/>
  <c r="P2706" i="12" s="1"/>
  <c r="P2707" i="12" s="1"/>
  <c r="P2708" i="12" s="1"/>
  <c r="P2709" i="12" s="1"/>
  <c r="P2710" i="12" s="1"/>
  <c r="P2711" i="12" s="1"/>
  <c r="P2712" i="12" s="1"/>
  <c r="P2713" i="12" s="1"/>
  <c r="P2714" i="12" s="1"/>
  <c r="P2715" i="12" s="1"/>
  <c r="P2716" i="12" s="1"/>
  <c r="P2717" i="12" s="1"/>
  <c r="P2718" i="12" s="1"/>
  <c r="P2719" i="12" s="1"/>
  <c r="P2720" i="12" s="1"/>
  <c r="P2721" i="12" s="1"/>
  <c r="P2722" i="12" s="1"/>
  <c r="P2723" i="12" s="1"/>
  <c r="P2724" i="12" s="1"/>
  <c r="P2725" i="12" s="1"/>
  <c r="P2726" i="12" s="1"/>
  <c r="P2727" i="12" s="1"/>
  <c r="P2728" i="12" s="1"/>
  <c r="P2729" i="12" s="1"/>
  <c r="P2730" i="12" s="1"/>
  <c r="P2731" i="12" s="1"/>
  <c r="P2732" i="12" s="1"/>
  <c r="P2733" i="12" s="1"/>
  <c r="P2734" i="12" s="1"/>
  <c r="P2735" i="12"/>
  <c r="P2736" i="12" s="1"/>
  <c r="P2737" i="12" s="1"/>
  <c r="P2738" i="12" s="1"/>
  <c r="P2739" i="12" s="1"/>
  <c r="P2740" i="12" s="1"/>
  <c r="P2741" i="12" s="1"/>
  <c r="P2742" i="12" s="1"/>
  <c r="P2743" i="12" s="1"/>
  <c r="P2744" i="12" s="1"/>
  <c r="P2745" i="12" s="1"/>
  <c r="P2746" i="12" s="1"/>
  <c r="P2747" i="12" s="1"/>
  <c r="P2748" i="12" s="1"/>
  <c r="P2749" i="12" s="1"/>
  <c r="P2750" i="12" s="1"/>
  <c r="P2751" i="12" s="1"/>
  <c r="P2752" i="12" s="1"/>
  <c r="P2753" i="12" s="1"/>
  <c r="P2754" i="12" s="1"/>
  <c r="P2755" i="12" s="1"/>
  <c r="P2756" i="12" s="1"/>
  <c r="P2757" i="12" s="1"/>
  <c r="P2758" i="12" s="1"/>
  <c r="P2759" i="12" s="1"/>
  <c r="P2760" i="12" s="1"/>
  <c r="P2761" i="12" s="1"/>
  <c r="P2762" i="12" s="1"/>
  <c r="P2763" i="12" s="1"/>
  <c r="P2764" i="12" s="1"/>
  <c r="P2765" i="12" s="1"/>
  <c r="P2766" i="12" s="1"/>
  <c r="P2767" i="12" s="1"/>
  <c r="P2768" i="12" s="1"/>
  <c r="P2769" i="12" s="1"/>
  <c r="P2770" i="12" s="1"/>
  <c r="P2771" i="12" s="1"/>
  <c r="P2772" i="12" s="1"/>
  <c r="P2773" i="12" s="1"/>
  <c r="P2774" i="12" s="1"/>
  <c r="P2775" i="12" s="1"/>
  <c r="P2776" i="12" s="1"/>
  <c r="P2777" i="12" s="1"/>
  <c r="P2778" i="12" s="1"/>
  <c r="P2779" i="12" s="1"/>
  <c r="P2780" i="12" s="1"/>
  <c r="P2781" i="12" s="1"/>
  <c r="P2782" i="12" s="1"/>
  <c r="P2783" i="12" s="1"/>
  <c r="P2784" i="12" s="1"/>
  <c r="P2785" i="12" s="1"/>
  <c r="P2786" i="12" s="1"/>
  <c r="P2787" i="12" s="1"/>
  <c r="P2788" i="12" s="1"/>
  <c r="P2789" i="12" s="1"/>
  <c r="P2790" i="12" s="1"/>
  <c r="P2791" i="12" s="1"/>
  <c r="P2792" i="12" s="1"/>
  <c r="P2793" i="12" s="1"/>
  <c r="P2794" i="12" s="1"/>
  <c r="P2795" i="12" s="1"/>
  <c r="P2796" i="12" s="1"/>
  <c r="P2797" i="12" s="1"/>
  <c r="P2798" i="12" s="1"/>
  <c r="P2799" i="12" s="1"/>
  <c r="P2800" i="12" s="1"/>
  <c r="P2801" i="12" s="1"/>
  <c r="P2802" i="12" s="1"/>
  <c r="P2803" i="12" s="1"/>
  <c r="P2804" i="12" s="1"/>
  <c r="P2805" i="12" s="1"/>
  <c r="P2806" i="12" s="1"/>
  <c r="P2807" i="12" s="1"/>
  <c r="P2808" i="12" s="1"/>
  <c r="P2809" i="12" s="1"/>
  <c r="P2810" i="12" s="1"/>
  <c r="P2811" i="12" s="1"/>
  <c r="P2812" i="12" s="1"/>
  <c r="P2813" i="12" s="1"/>
  <c r="P2814" i="12" s="1"/>
  <c r="P2815" i="12" s="1"/>
  <c r="P2816" i="12" s="1"/>
  <c r="P2817" i="12" s="1"/>
  <c r="P2818" i="12" s="1"/>
  <c r="P2819" i="12" s="1"/>
  <c r="P2820" i="12" s="1"/>
  <c r="P2821" i="12" s="1"/>
  <c r="P2822" i="12" s="1"/>
  <c r="P2823" i="12" s="1"/>
  <c r="AB172" i="1"/>
  <c r="K169" i="9" s="1"/>
  <c r="AB162" i="1"/>
  <c r="K159" i="9" s="1"/>
  <c r="AB82" i="1"/>
  <c r="K79" i="9" s="1"/>
  <c r="AB110" i="1"/>
  <c r="K107" i="9" s="1"/>
  <c r="AB150" i="1"/>
  <c r="K147" i="9" s="1"/>
  <c r="AB107" i="1"/>
  <c r="K104" i="9" s="1"/>
  <c r="P173" i="9"/>
  <c r="N173" i="9"/>
  <c r="M173" i="9" s="1"/>
  <c r="O173" i="9"/>
  <c r="AB99" i="1"/>
  <c r="K96" i="9" s="1"/>
  <c r="E96" i="9"/>
  <c r="N96" i="9" s="1"/>
  <c r="M96" i="9" s="1"/>
  <c r="P172" i="9"/>
  <c r="N172" i="9"/>
  <c r="M172" i="9" s="1"/>
  <c r="O172" i="9"/>
  <c r="AB98" i="1"/>
  <c r="K95" i="9" s="1"/>
  <c r="E95" i="9"/>
  <c r="N95" i="9" s="1"/>
  <c r="M95" i="9" s="1"/>
  <c r="AB171" i="1"/>
  <c r="K168" i="9" s="1"/>
  <c r="E168" i="9"/>
  <c r="N168" i="9" s="1"/>
  <c r="M168" i="9" s="1"/>
  <c r="P177" i="9"/>
  <c r="N177" i="9"/>
  <c r="M177" i="9" s="1"/>
  <c r="O177" i="9"/>
  <c r="C28" i="15"/>
  <c r="C34" i="15"/>
  <c r="CQ36" i="9"/>
  <c r="C35" i="15"/>
  <c r="CQ37" i="9"/>
  <c r="B40" i="11"/>
  <c r="B36" i="11"/>
  <c r="BH28" i="9" s="1"/>
  <c r="BG28" i="9" s="1"/>
  <c r="AZ34" i="9"/>
  <c r="B39" i="11"/>
  <c r="BH31" i="9" s="1"/>
  <c r="BG31" i="9" s="1"/>
  <c r="B35" i="11"/>
  <c r="BH27" i="9" s="1"/>
  <c r="BG27" i="9" s="1"/>
  <c r="B38" i="11"/>
  <c r="BH30" i="9" s="1"/>
  <c r="BG30" i="9" s="1"/>
  <c r="B37" i="11"/>
  <c r="BH29" i="9" s="1"/>
  <c r="BG29" i="9" s="1"/>
  <c r="B34" i="11"/>
  <c r="B33" i="11"/>
  <c r="BH32" i="9"/>
  <c r="BG32" i="9" s="1"/>
  <c r="AZ35" i="9"/>
  <c r="O30" i="20"/>
  <c r="P30" i="20" s="1"/>
  <c r="O28" i="20"/>
  <c r="P28" i="20" s="1"/>
  <c r="O26" i="20"/>
  <c r="P26" i="20" s="1"/>
  <c r="O24" i="20"/>
  <c r="P24" i="20" s="1"/>
  <c r="O22" i="20"/>
  <c r="P22" i="20" s="1"/>
  <c r="O20" i="20"/>
  <c r="P20" i="20" s="1"/>
  <c r="O18" i="20"/>
  <c r="P18" i="20" s="1"/>
  <c r="O16" i="20"/>
  <c r="P16" i="20" s="1"/>
  <c r="O14" i="20"/>
  <c r="P14" i="20" s="1"/>
  <c r="O12" i="20"/>
  <c r="P12" i="20" s="1"/>
  <c r="O10" i="20"/>
  <c r="P10" i="20" s="1"/>
  <c r="O8" i="20"/>
  <c r="P8" i="20" s="1"/>
  <c r="O6" i="20"/>
  <c r="P6" i="20" s="1"/>
  <c r="O31" i="20"/>
  <c r="P31" i="20" s="1"/>
  <c r="O29" i="20"/>
  <c r="P29" i="20" s="1"/>
  <c r="O27" i="20"/>
  <c r="P27" i="20" s="1"/>
  <c r="O25" i="20"/>
  <c r="P25" i="20" s="1"/>
  <c r="O23" i="20"/>
  <c r="P23" i="20" s="1"/>
  <c r="O21" i="20"/>
  <c r="P21" i="20" s="1"/>
  <c r="O19" i="20"/>
  <c r="P19" i="20" s="1"/>
  <c r="O17" i="20"/>
  <c r="P17" i="20" s="1"/>
  <c r="O15" i="20"/>
  <c r="P15" i="20" s="1"/>
  <c r="O13" i="20"/>
  <c r="P13" i="20" s="1"/>
  <c r="O11" i="20"/>
  <c r="P11" i="20" s="1"/>
  <c r="O9" i="20"/>
  <c r="P9" i="20" s="1"/>
  <c r="O7" i="20"/>
  <c r="P7" i="20" s="1"/>
  <c r="O5" i="20"/>
  <c r="P5" i="20" s="1"/>
  <c r="AB4" i="12"/>
  <c r="M88" i="9"/>
  <c r="M139" i="9"/>
  <c r="M69" i="9"/>
  <c r="M73" i="9"/>
  <c r="M76" i="9"/>
  <c r="M84" i="9"/>
  <c r="M106" i="9"/>
  <c r="M119" i="9"/>
  <c r="M121" i="9"/>
  <c r="M129" i="9"/>
  <c r="M138" i="9"/>
  <c r="M146" i="9"/>
  <c r="M154" i="9"/>
  <c r="M112" i="9"/>
  <c r="M116" i="9"/>
  <c r="M123" i="9"/>
  <c r="M131" i="9"/>
  <c r="M140" i="9"/>
  <c r="M148" i="9"/>
  <c r="M156" i="9"/>
  <c r="M164" i="9"/>
  <c r="M72" i="9"/>
  <c r="M111" i="9"/>
  <c r="M122" i="9"/>
  <c r="M147" i="9"/>
  <c r="M87" i="9"/>
  <c r="M80" i="9"/>
  <c r="M86" i="9"/>
  <c r="M90" i="9"/>
  <c r="M98" i="9"/>
  <c r="M113" i="9"/>
  <c r="M124" i="9"/>
  <c r="M133" i="9"/>
  <c r="M141" i="9"/>
  <c r="M149" i="9"/>
  <c r="M157" i="9"/>
  <c r="M165" i="9"/>
  <c r="M170" i="9"/>
  <c r="M81" i="9"/>
  <c r="M75" i="9"/>
  <c r="M79" i="9"/>
  <c r="M91" i="9"/>
  <c r="M97" i="9"/>
  <c r="M102" i="9"/>
  <c r="M107" i="9"/>
  <c r="M114" i="9"/>
  <c r="M125" i="9"/>
  <c r="M134" i="9"/>
  <c r="M142" i="9"/>
  <c r="M150" i="9"/>
  <c r="M158" i="9"/>
  <c r="M166" i="9"/>
  <c r="M155" i="9"/>
  <c r="M163" i="9"/>
  <c r="M71" i="9"/>
  <c r="M74" i="9"/>
  <c r="M78" i="9"/>
  <c r="M92" i="9"/>
  <c r="M99" i="9"/>
  <c r="M103" i="9"/>
  <c r="M108" i="9"/>
  <c r="M115" i="9"/>
  <c r="M126" i="9"/>
  <c r="M135" i="9"/>
  <c r="M143" i="9"/>
  <c r="M151" i="9"/>
  <c r="M159" i="9"/>
  <c r="M89" i="9"/>
  <c r="M70" i="9"/>
  <c r="M93" i="9"/>
  <c r="M100" i="9"/>
  <c r="M104" i="9"/>
  <c r="M109" i="9"/>
  <c r="M117" i="9"/>
  <c r="M127" i="9"/>
  <c r="M136" i="9"/>
  <c r="M144" i="9"/>
  <c r="M152" i="9"/>
  <c r="M160" i="9"/>
  <c r="M83" i="9"/>
  <c r="M130" i="9"/>
  <c r="M77" i="9"/>
  <c r="M85" i="9"/>
  <c r="M82" i="9"/>
  <c r="M94" i="9"/>
  <c r="M101" i="9"/>
  <c r="M105" i="9"/>
  <c r="M110" i="9"/>
  <c r="M118" i="9"/>
  <c r="M120" i="9"/>
  <c r="M128" i="9"/>
  <c r="M137" i="9"/>
  <c r="M132" i="9"/>
  <c r="M145" i="9"/>
  <c r="M153" i="9"/>
  <c r="M161" i="9"/>
  <c r="B162" i="9"/>
  <c r="A162" i="9" s="1"/>
  <c r="B169" i="9"/>
  <c r="A169" i="9" s="1"/>
  <c r="B167" i="9"/>
  <c r="A167" i="9" s="1"/>
  <c r="AB124" i="1"/>
  <c r="K121" i="9" s="1"/>
  <c r="AB88" i="1"/>
  <c r="K85" i="9" s="1"/>
  <c r="AB137" i="1"/>
  <c r="K134" i="9" s="1"/>
  <c r="AB159" i="1"/>
  <c r="K156" i="9" s="1"/>
  <c r="AB81" i="1"/>
  <c r="K78" i="9" s="1"/>
  <c r="AB143" i="1"/>
  <c r="K140" i="9" s="1"/>
  <c r="AB91" i="1"/>
  <c r="K88" i="9" s="1"/>
  <c r="AB145" i="1"/>
  <c r="K142" i="9" s="1"/>
  <c r="AB146" i="1"/>
  <c r="K143" i="9" s="1"/>
  <c r="AB114" i="1"/>
  <c r="K111" i="9" s="1"/>
  <c r="AB131" i="1"/>
  <c r="K128" i="9" s="1"/>
  <c r="AB134" i="1"/>
  <c r="K131" i="9" s="1"/>
  <c r="AB148" i="1"/>
  <c r="K145" i="9" s="1"/>
  <c r="AB106" i="1"/>
  <c r="K103" i="9" s="1"/>
  <c r="AB115" i="1"/>
  <c r="K112" i="9" s="1"/>
  <c r="AB133" i="1"/>
  <c r="K130" i="9" s="1"/>
  <c r="AB173" i="1"/>
  <c r="K170" i="9" s="1"/>
  <c r="AB118" i="1"/>
  <c r="K115" i="9" s="1"/>
  <c r="AB141" i="1"/>
  <c r="K138" i="9" s="1"/>
  <c r="AB153" i="1"/>
  <c r="K150" i="9" s="1"/>
  <c r="AB126" i="1"/>
  <c r="K123" i="9" s="1"/>
  <c r="AB144" i="1"/>
  <c r="K141" i="9" s="1"/>
  <c r="AB116" i="1"/>
  <c r="K113" i="9" s="1"/>
  <c r="AB90" i="1"/>
  <c r="K87" i="9" s="1"/>
  <c r="AB92" i="1"/>
  <c r="K89" i="9" s="1"/>
  <c r="AB128" i="1"/>
  <c r="K125" i="9" s="1"/>
  <c r="AB158" i="1"/>
  <c r="K155" i="9" s="1"/>
  <c r="AB79" i="1"/>
  <c r="K76" i="9" s="1"/>
  <c r="AB93" i="1"/>
  <c r="K90" i="9" s="1"/>
  <c r="AB119" i="1"/>
  <c r="K116" i="9" s="1"/>
  <c r="AB96" i="1"/>
  <c r="K93" i="9" s="1"/>
  <c r="AB129" i="1"/>
  <c r="K126" i="9" s="1"/>
  <c r="AA97" i="1"/>
  <c r="J94" i="9" s="1"/>
  <c r="AB105" i="1"/>
  <c r="K102" i="9" s="1"/>
  <c r="AB151" i="1"/>
  <c r="K148" i="9" s="1"/>
  <c r="AB97" i="1"/>
  <c r="K94" i="9" s="1"/>
  <c r="AB101" i="1"/>
  <c r="K98" i="9" s="1"/>
  <c r="AB112" i="1"/>
  <c r="K109" i="9" s="1"/>
  <c r="AB120" i="1"/>
  <c r="K117" i="9" s="1"/>
  <c r="AB132" i="1"/>
  <c r="K129" i="9" s="1"/>
  <c r="AB84" i="1"/>
  <c r="K81" i="9" s="1"/>
  <c r="AA99" i="1"/>
  <c r="J96" i="9" s="1"/>
  <c r="AB102" i="1"/>
  <c r="K99" i="9" s="1"/>
  <c r="AB108" i="1"/>
  <c r="K105" i="9" s="1"/>
  <c r="AB113" i="1"/>
  <c r="K110" i="9" s="1"/>
  <c r="AB121" i="1"/>
  <c r="K118" i="9" s="1"/>
  <c r="AB135" i="1"/>
  <c r="K132" i="9" s="1"/>
  <c r="AB154" i="1"/>
  <c r="K151" i="9" s="1"/>
  <c r="AB83" i="1"/>
  <c r="K80" i="9" s="1"/>
  <c r="AB109" i="1"/>
  <c r="K106" i="9" s="1"/>
  <c r="AB122" i="1"/>
  <c r="K119" i="9" s="1"/>
  <c r="AB136" i="1"/>
  <c r="K133" i="9" s="1"/>
  <c r="AB147" i="1"/>
  <c r="K144" i="9" s="1"/>
  <c r="AA98" i="1"/>
  <c r="J95" i="9" s="1"/>
  <c r="AB72" i="1"/>
  <c r="K69" i="9" s="1"/>
  <c r="AC73" i="1"/>
  <c r="L70" i="9" s="1"/>
  <c r="AB73" i="1"/>
  <c r="K70" i="9" s="1"/>
  <c r="AB74" i="1"/>
  <c r="K71" i="9" s="1"/>
  <c r="AC75" i="1"/>
  <c r="L72" i="9" s="1"/>
  <c r="AB75" i="1"/>
  <c r="K72" i="9" s="1"/>
  <c r="AC77" i="1"/>
  <c r="L74" i="9" s="1"/>
  <c r="AB77" i="1"/>
  <c r="K74" i="9" s="1"/>
  <c r="AC76" i="1"/>
  <c r="L73" i="9" s="1"/>
  <c r="AB76" i="1"/>
  <c r="K73" i="9" s="1"/>
  <c r="AC78" i="1"/>
  <c r="L75" i="9" s="1"/>
  <c r="AB78" i="1"/>
  <c r="K75" i="9" s="1"/>
  <c r="AC80" i="1"/>
  <c r="L77" i="9" s="1"/>
  <c r="AB80" i="1"/>
  <c r="K77" i="9" s="1"/>
  <c r="AC95" i="1"/>
  <c r="L92" i="9" s="1"/>
  <c r="AB95" i="1"/>
  <c r="K92" i="9" s="1"/>
  <c r="AC100" i="1"/>
  <c r="L97" i="9" s="1"/>
  <c r="AB100" i="1"/>
  <c r="K97" i="9" s="1"/>
  <c r="AB103" i="1"/>
  <c r="K100" i="9" s="1"/>
  <c r="AC104" i="1"/>
  <c r="L101" i="9" s="1"/>
  <c r="AB104" i="1"/>
  <c r="K101" i="9" s="1"/>
  <c r="AC111" i="1"/>
  <c r="L108" i="9" s="1"/>
  <c r="AB111" i="1"/>
  <c r="K108" i="9" s="1"/>
  <c r="AC123" i="1"/>
  <c r="L120" i="9" s="1"/>
  <c r="AB123" i="1"/>
  <c r="K120" i="9" s="1"/>
  <c r="AC127" i="1"/>
  <c r="L124" i="9" s="1"/>
  <c r="AB127" i="1"/>
  <c r="K124" i="9" s="1"/>
  <c r="AC139" i="1"/>
  <c r="L136" i="9" s="1"/>
  <c r="AB139" i="1"/>
  <c r="K136" i="9" s="1"/>
  <c r="AC140" i="1"/>
  <c r="L137" i="9" s="1"/>
  <c r="AB140" i="1"/>
  <c r="K137" i="9" s="1"/>
  <c r="AC155" i="1"/>
  <c r="L152" i="9" s="1"/>
  <c r="AB155" i="1"/>
  <c r="K152" i="9" s="1"/>
  <c r="AC156" i="1"/>
  <c r="L153" i="9" s="1"/>
  <c r="AB156" i="1"/>
  <c r="K153" i="9" s="1"/>
  <c r="AC163" i="1"/>
  <c r="L160" i="9" s="1"/>
  <c r="AB163" i="1"/>
  <c r="K160" i="9" s="1"/>
  <c r="AC164" i="1"/>
  <c r="L161" i="9" s="1"/>
  <c r="AB164" i="1"/>
  <c r="K161" i="9" s="1"/>
  <c r="AB170" i="1"/>
  <c r="K167" i="9" s="1"/>
  <c r="AB169" i="1"/>
  <c r="K166" i="9" s="1"/>
  <c r="AB168" i="1"/>
  <c r="K165" i="9" s="1"/>
  <c r="AB167" i="1"/>
  <c r="K164" i="9" s="1"/>
  <c r="AB166" i="1"/>
  <c r="K163" i="9" s="1"/>
  <c r="AB165" i="1"/>
  <c r="K162" i="9" s="1"/>
  <c r="AC72" i="1"/>
  <c r="L69" i="9" s="1"/>
  <c r="AC74" i="1"/>
  <c r="L71" i="9" s="1"/>
  <c r="AC79" i="1"/>
  <c r="L76" i="9" s="1"/>
  <c r="AC91" i="1"/>
  <c r="L88" i="9" s="1"/>
  <c r="AC90" i="1"/>
  <c r="L87" i="9" s="1"/>
  <c r="AC89" i="1"/>
  <c r="L86" i="9" s="1"/>
  <c r="AC88" i="1"/>
  <c r="L85" i="9" s="1"/>
  <c r="AC87" i="1"/>
  <c r="L84" i="9" s="1"/>
  <c r="AC86" i="1"/>
  <c r="L83" i="9" s="1"/>
  <c r="AC85" i="1"/>
  <c r="L82" i="9" s="1"/>
  <c r="AC84" i="1"/>
  <c r="L81" i="9" s="1"/>
  <c r="AC83" i="1"/>
  <c r="L80" i="9" s="1"/>
  <c r="AC82" i="1"/>
  <c r="L79" i="9" s="1"/>
  <c r="AC81" i="1"/>
  <c r="L78" i="9" s="1"/>
  <c r="AC92" i="1"/>
  <c r="L89" i="9" s="1"/>
  <c r="AC93" i="1"/>
  <c r="L90" i="9" s="1"/>
  <c r="AC94" i="1"/>
  <c r="L91" i="9" s="1"/>
  <c r="AC96" i="1"/>
  <c r="L93" i="9" s="1"/>
  <c r="AC97" i="1"/>
  <c r="L94" i="9" s="1"/>
  <c r="AC98" i="1"/>
  <c r="L95" i="9" s="1"/>
  <c r="AC99" i="1"/>
  <c r="L96" i="9" s="1"/>
  <c r="AC101" i="1"/>
  <c r="L98" i="9" s="1"/>
  <c r="AC102" i="1"/>
  <c r="L99" i="9" s="1"/>
  <c r="AC103" i="1"/>
  <c r="L100" i="9" s="1"/>
  <c r="AC105" i="1"/>
  <c r="L102" i="9" s="1"/>
  <c r="AC106" i="1"/>
  <c r="L103" i="9" s="1"/>
  <c r="AC107" i="1"/>
  <c r="L104" i="9" s="1"/>
  <c r="AC108" i="1"/>
  <c r="L105" i="9" s="1"/>
  <c r="AC109" i="1"/>
  <c r="L106" i="9" s="1"/>
  <c r="AC110" i="1"/>
  <c r="L107" i="9" s="1"/>
  <c r="AC112" i="1"/>
  <c r="L109" i="9" s="1"/>
  <c r="AC113" i="1"/>
  <c r="L110" i="9" s="1"/>
  <c r="AC114" i="1"/>
  <c r="L111" i="9" s="1"/>
  <c r="AC115" i="1"/>
  <c r="L112" i="9" s="1"/>
  <c r="AC116" i="1"/>
  <c r="L113" i="9" s="1"/>
  <c r="AC117" i="1"/>
  <c r="L114" i="9" s="1"/>
  <c r="AC118" i="1"/>
  <c r="L115" i="9" s="1"/>
  <c r="AC119" i="1"/>
  <c r="L116" i="9" s="1"/>
  <c r="AC120" i="1"/>
  <c r="L117" i="9" s="1"/>
  <c r="AC121" i="1"/>
  <c r="L118" i="9" s="1"/>
  <c r="AC122" i="1"/>
  <c r="L119" i="9" s="1"/>
  <c r="AC124" i="1"/>
  <c r="L121" i="9" s="1"/>
  <c r="AC125" i="1"/>
  <c r="L122" i="9" s="1"/>
  <c r="AC126" i="1"/>
  <c r="L123" i="9" s="1"/>
  <c r="AC128" i="1"/>
  <c r="L125" i="9" s="1"/>
  <c r="AC129" i="1"/>
  <c r="L126" i="9" s="1"/>
  <c r="AC130" i="1"/>
  <c r="L127" i="9" s="1"/>
  <c r="AC131" i="1"/>
  <c r="L128" i="9" s="1"/>
  <c r="AC132" i="1"/>
  <c r="L129" i="9" s="1"/>
  <c r="AC133" i="1"/>
  <c r="L130" i="9" s="1"/>
  <c r="AC134" i="1"/>
  <c r="L131" i="9" s="1"/>
  <c r="AC135" i="1"/>
  <c r="L132" i="9" s="1"/>
  <c r="AC136" i="1"/>
  <c r="L133" i="9" s="1"/>
  <c r="AC137" i="1"/>
  <c r="L134" i="9" s="1"/>
  <c r="AC138" i="1"/>
  <c r="L135" i="9" s="1"/>
  <c r="AC141" i="1"/>
  <c r="L138" i="9" s="1"/>
  <c r="AC142" i="1"/>
  <c r="L139" i="9" s="1"/>
  <c r="AC143" i="1"/>
  <c r="L140" i="9" s="1"/>
  <c r="AC144" i="1"/>
  <c r="L141" i="9" s="1"/>
  <c r="AC145" i="1"/>
  <c r="L142" i="9" s="1"/>
  <c r="AC146" i="1"/>
  <c r="L143" i="9" s="1"/>
  <c r="AC147" i="1"/>
  <c r="L144" i="9" s="1"/>
  <c r="AC148" i="1"/>
  <c r="L145" i="9" s="1"/>
  <c r="AC149" i="1"/>
  <c r="L146" i="9" s="1"/>
  <c r="AC150" i="1"/>
  <c r="L147" i="9" s="1"/>
  <c r="AC151" i="1"/>
  <c r="L148" i="9" s="1"/>
  <c r="AC152" i="1"/>
  <c r="L149" i="9" s="1"/>
  <c r="AC153" i="1"/>
  <c r="L150" i="9" s="1"/>
  <c r="AC154" i="1"/>
  <c r="L151" i="9" s="1"/>
  <c r="AC157" i="1"/>
  <c r="L154" i="9" s="1"/>
  <c r="AC158" i="1"/>
  <c r="L155" i="9" s="1"/>
  <c r="AC159" i="1"/>
  <c r="L156" i="9" s="1"/>
  <c r="AC160" i="1"/>
  <c r="L157" i="9" s="1"/>
  <c r="AC161" i="1"/>
  <c r="L158" i="9" s="1"/>
  <c r="AC162" i="1"/>
  <c r="L159" i="9" s="1"/>
  <c r="AA174" i="1"/>
  <c r="J171" i="9" s="1"/>
  <c r="AC174" i="1"/>
  <c r="L171" i="9" s="1"/>
  <c r="AD174" i="1"/>
  <c r="AC173" i="1"/>
  <c r="L170" i="9" s="1"/>
  <c r="AD173" i="1"/>
  <c r="AC172" i="1"/>
  <c r="L169" i="9" s="1"/>
  <c r="AA172" i="1"/>
  <c r="J169" i="9" s="1"/>
  <c r="AD172" i="1"/>
  <c r="AC171" i="1"/>
  <c r="L168" i="9" s="1"/>
  <c r="AA171" i="1"/>
  <c r="J168" i="9" s="1"/>
  <c r="AD171" i="1"/>
  <c r="AC170" i="1"/>
  <c r="L167" i="9" s="1"/>
  <c r="AC169" i="1"/>
  <c r="L166" i="9" s="1"/>
  <c r="AC168" i="1"/>
  <c r="L165" i="9" s="1"/>
  <c r="AC167" i="1"/>
  <c r="L164" i="9" s="1"/>
  <c r="AC166" i="1"/>
  <c r="L163" i="9" s="1"/>
  <c r="AC165" i="1"/>
  <c r="L162" i="9" s="1"/>
  <c r="AA173" i="1"/>
  <c r="J170" i="9" s="1"/>
  <c r="AA170" i="1"/>
  <c r="J167" i="9" s="1"/>
  <c r="AD170" i="1"/>
  <c r="AA169" i="1"/>
  <c r="J166" i="9" s="1"/>
  <c r="AD169" i="1"/>
  <c r="AD168" i="1"/>
  <c r="AA168" i="1"/>
  <c r="J165" i="9" s="1"/>
  <c r="AD167" i="1"/>
  <c r="AA167" i="1"/>
  <c r="J164" i="9" s="1"/>
  <c r="AA166" i="1"/>
  <c r="J163" i="9" s="1"/>
  <c r="AD166" i="1"/>
  <c r="AA165" i="1"/>
  <c r="J162" i="9" s="1"/>
  <c r="AD165" i="1"/>
  <c r="AD73" i="1"/>
  <c r="AD75" i="1"/>
  <c r="AD77" i="1"/>
  <c r="AA76" i="1"/>
  <c r="J73" i="9" s="1"/>
  <c r="AD78" i="1"/>
  <c r="AD80" i="1"/>
  <c r="C33" i="15"/>
  <c r="AA155" i="1"/>
  <c r="J152" i="9" s="1"/>
  <c r="AD155" i="1"/>
  <c r="AA158" i="1"/>
  <c r="J155" i="9" s="1"/>
  <c r="AD158" i="1"/>
  <c r="AA159" i="1"/>
  <c r="J156" i="9" s="1"/>
  <c r="AD159" i="1"/>
  <c r="AA160" i="1"/>
  <c r="J157" i="9" s="1"/>
  <c r="AD160" i="1"/>
  <c r="AA161" i="1"/>
  <c r="J158" i="9" s="1"/>
  <c r="AD161" i="1"/>
  <c r="AA162" i="1"/>
  <c r="J159" i="9" s="1"/>
  <c r="AD162" i="1"/>
  <c r="AA163" i="1"/>
  <c r="J160" i="9" s="1"/>
  <c r="AD163" i="1"/>
  <c r="AA164" i="1"/>
  <c r="J161" i="9" s="1"/>
  <c r="AD164" i="1"/>
  <c r="AA157" i="1"/>
  <c r="J154" i="9" s="1"/>
  <c r="AD157" i="1"/>
  <c r="AA156" i="1"/>
  <c r="J153" i="9" s="1"/>
  <c r="AD156" i="1"/>
  <c r="AD151" i="1"/>
  <c r="AA151" i="1"/>
  <c r="J148" i="9" s="1"/>
  <c r="AD152" i="1"/>
  <c r="AA152" i="1"/>
  <c r="J149" i="9" s="1"/>
  <c r="AD153" i="1"/>
  <c r="AA153" i="1"/>
  <c r="J150" i="9" s="1"/>
  <c r="AD154" i="1"/>
  <c r="AA154" i="1"/>
  <c r="J151" i="9" s="1"/>
  <c r="O51" i="20"/>
  <c r="P51" i="20" s="1"/>
  <c r="N51" i="20"/>
  <c r="O52" i="20"/>
  <c r="P52" i="20" s="1"/>
  <c r="N52" i="20"/>
  <c r="O53" i="20"/>
  <c r="P53" i="20" s="1"/>
  <c r="N53" i="20"/>
  <c r="O54" i="20"/>
  <c r="P54" i="20" s="1"/>
  <c r="N54" i="20"/>
  <c r="O55" i="20"/>
  <c r="P55" i="20" s="1"/>
  <c r="N55" i="20"/>
  <c r="O56" i="20"/>
  <c r="P56" i="20" s="1"/>
  <c r="N56" i="20"/>
  <c r="O57" i="20"/>
  <c r="P57" i="20" s="1"/>
  <c r="N57" i="20"/>
  <c r="O58" i="20"/>
  <c r="P58" i="20" s="1"/>
  <c r="N58" i="20"/>
  <c r="O59" i="20"/>
  <c r="P59" i="20" s="1"/>
  <c r="N59" i="20"/>
  <c r="O60" i="20"/>
  <c r="P60" i="20" s="1"/>
  <c r="N60" i="20"/>
  <c r="O61" i="20"/>
  <c r="P61" i="20" s="1"/>
  <c r="N61" i="20"/>
  <c r="O62" i="20"/>
  <c r="P62" i="20" s="1"/>
  <c r="N62" i="20"/>
  <c r="O63" i="20"/>
  <c r="P63" i="20" s="1"/>
  <c r="N63" i="20"/>
  <c r="O64" i="20"/>
  <c r="P64" i="20" s="1"/>
  <c r="N64" i="20"/>
  <c r="O65" i="20"/>
  <c r="P65" i="20" s="1"/>
  <c r="N65" i="20"/>
  <c r="O66" i="20"/>
  <c r="P66" i="20" s="1"/>
  <c r="N66" i="20"/>
  <c r="O67" i="20"/>
  <c r="P67" i="20" s="1"/>
  <c r="N67" i="20"/>
  <c r="O68" i="20"/>
  <c r="P68" i="20" s="1"/>
  <c r="N68" i="20"/>
  <c r="O69" i="20"/>
  <c r="P69" i="20" s="1"/>
  <c r="N69" i="20"/>
  <c r="AD150" i="1"/>
  <c r="AA150" i="1"/>
  <c r="J147" i="9" s="1"/>
  <c r="AD149" i="1"/>
  <c r="AA149" i="1"/>
  <c r="J146" i="9" s="1"/>
  <c r="C32" i="15"/>
  <c r="AD148" i="1"/>
  <c r="AA148" i="1"/>
  <c r="J145" i="9" s="1"/>
  <c r="AA138" i="1"/>
  <c r="J135" i="9" s="1"/>
  <c r="AD138" i="1"/>
  <c r="AA139" i="1"/>
  <c r="J136" i="9" s="1"/>
  <c r="AD139" i="1"/>
  <c r="AA146" i="1"/>
  <c r="J143" i="9" s="1"/>
  <c r="AD146" i="1"/>
  <c r="AA147" i="1"/>
  <c r="J144" i="9" s="1"/>
  <c r="AD147" i="1"/>
  <c r="AA145" i="1"/>
  <c r="J142" i="9" s="1"/>
  <c r="AD145" i="1"/>
  <c r="O32" i="20"/>
  <c r="P32" i="20" s="1"/>
  <c r="N32" i="20"/>
  <c r="C31" i="15"/>
  <c r="AD144" i="1"/>
  <c r="AA144" i="1"/>
  <c r="J141" i="9" s="1"/>
  <c r="AD143" i="1"/>
  <c r="AA143" i="1"/>
  <c r="J140" i="9" s="1"/>
  <c r="AD142" i="1"/>
  <c r="AA142" i="1"/>
  <c r="J139" i="9" s="1"/>
  <c r="AD141" i="1"/>
  <c r="AA141" i="1"/>
  <c r="J138" i="9" s="1"/>
  <c r="AA140" i="1"/>
  <c r="J137" i="9" s="1"/>
  <c r="AD140" i="1"/>
  <c r="C30" i="15"/>
  <c r="C29" i="15"/>
  <c r="AD137" i="1"/>
  <c r="AA137" i="1"/>
  <c r="J134" i="9" s="1"/>
  <c r="AD135" i="1"/>
  <c r="AA135" i="1"/>
  <c r="J132" i="9" s="1"/>
  <c r="AD136" i="1"/>
  <c r="AA136" i="1"/>
  <c r="J133" i="9" s="1"/>
  <c r="AD134" i="1"/>
  <c r="AA134" i="1"/>
  <c r="J131" i="9" s="1"/>
  <c r="AD131" i="1"/>
  <c r="AA131" i="1"/>
  <c r="J128" i="9" s="1"/>
  <c r="AD132" i="1"/>
  <c r="AA132" i="1"/>
  <c r="J129" i="9" s="1"/>
  <c r="AD133" i="1"/>
  <c r="AA133" i="1"/>
  <c r="J130" i="9" s="1"/>
  <c r="AD129" i="1"/>
  <c r="AA129" i="1"/>
  <c r="J126" i="9" s="1"/>
  <c r="AD130" i="1"/>
  <c r="AA130" i="1"/>
  <c r="J127" i="9" s="1"/>
  <c r="AD128" i="1"/>
  <c r="AA128" i="1"/>
  <c r="J125" i="9" s="1"/>
  <c r="AD127" i="1"/>
  <c r="AA127" i="1"/>
  <c r="J124" i="9" s="1"/>
  <c r="AA124" i="1"/>
  <c r="J121" i="9" s="1"/>
  <c r="AD124" i="1"/>
  <c r="AA126" i="1"/>
  <c r="J123" i="9" s="1"/>
  <c r="AD126" i="1"/>
  <c r="AD125" i="1"/>
  <c r="AA125" i="1"/>
  <c r="J122" i="9" s="1"/>
  <c r="AD123" i="1"/>
  <c r="AA123" i="1"/>
  <c r="J120" i="9" s="1"/>
  <c r="AD121" i="1"/>
  <c r="AA121" i="1"/>
  <c r="J118" i="9" s="1"/>
  <c r="AD122" i="1"/>
  <c r="AA122" i="1"/>
  <c r="J119" i="9" s="1"/>
  <c r="AD120" i="1"/>
  <c r="AA120" i="1"/>
  <c r="J117" i="9" s="1"/>
  <c r="AD119" i="1"/>
  <c r="AA119" i="1"/>
  <c r="J116" i="9" s="1"/>
  <c r="AD116" i="1"/>
  <c r="AA116" i="1"/>
  <c r="J113" i="9" s="1"/>
  <c r="AD117" i="1"/>
  <c r="AA117" i="1"/>
  <c r="J114" i="9" s="1"/>
  <c r="AD118" i="1"/>
  <c r="AA118" i="1"/>
  <c r="J115" i="9" s="1"/>
  <c r="AD113" i="1"/>
  <c r="AA113" i="1"/>
  <c r="J110" i="9" s="1"/>
  <c r="AD114" i="1"/>
  <c r="AA114" i="1"/>
  <c r="J111" i="9" s="1"/>
  <c r="AD115" i="1"/>
  <c r="AA115" i="1"/>
  <c r="J112" i="9" s="1"/>
  <c r="AD109" i="1"/>
  <c r="AA109" i="1"/>
  <c r="J106" i="9" s="1"/>
  <c r="AD110" i="1"/>
  <c r="AA110" i="1"/>
  <c r="J107" i="9" s="1"/>
  <c r="AD111" i="1"/>
  <c r="AA111" i="1"/>
  <c r="J108" i="9" s="1"/>
  <c r="AD112" i="1"/>
  <c r="AA112" i="1"/>
  <c r="J109" i="9" s="1"/>
  <c r="AD108" i="1"/>
  <c r="AA108" i="1"/>
  <c r="J105" i="9" s="1"/>
  <c r="AD97" i="1"/>
  <c r="AD105" i="1"/>
  <c r="AA105" i="1"/>
  <c r="J102" i="9" s="1"/>
  <c r="AD106" i="1"/>
  <c r="AA106" i="1"/>
  <c r="J103" i="9" s="1"/>
  <c r="AD107" i="1"/>
  <c r="AA107" i="1"/>
  <c r="J104" i="9" s="1"/>
  <c r="AD104" i="1"/>
  <c r="AA104" i="1"/>
  <c r="J101" i="9" s="1"/>
  <c r="AD100" i="1"/>
  <c r="AA100" i="1"/>
  <c r="J97" i="9" s="1"/>
  <c r="AD101" i="1"/>
  <c r="AA101" i="1"/>
  <c r="J98" i="9" s="1"/>
  <c r="AD102" i="1"/>
  <c r="AA102" i="1"/>
  <c r="J99" i="9" s="1"/>
  <c r="AD103" i="1"/>
  <c r="AA103" i="1"/>
  <c r="J100" i="9" s="1"/>
  <c r="AD98" i="1"/>
  <c r="AD99" i="1"/>
  <c r="AD96" i="1"/>
  <c r="AA96" i="1"/>
  <c r="J93" i="9" s="1"/>
  <c r="AA94" i="1"/>
  <c r="J91" i="9" s="1"/>
  <c r="AD95" i="1"/>
  <c r="AA95" i="1"/>
  <c r="J92" i="9" s="1"/>
  <c r="AD94" i="1"/>
  <c r="AD92" i="1"/>
  <c r="AA92" i="1"/>
  <c r="J89" i="9" s="1"/>
  <c r="AD93" i="1"/>
  <c r="AA93" i="1"/>
  <c r="J90" i="9" s="1"/>
  <c r="AD91" i="1"/>
  <c r="AA91" i="1"/>
  <c r="J88" i="9" s="1"/>
  <c r="AD90" i="1"/>
  <c r="AA90" i="1"/>
  <c r="J87" i="9" s="1"/>
  <c r="AD89" i="1"/>
  <c r="AA89" i="1"/>
  <c r="J86" i="9" s="1"/>
  <c r="AD88" i="1"/>
  <c r="AA88" i="1"/>
  <c r="J85" i="9" s="1"/>
  <c r="AA87" i="1"/>
  <c r="J84" i="9" s="1"/>
  <c r="AD87" i="1"/>
  <c r="AA83" i="1"/>
  <c r="J80" i="9" s="1"/>
  <c r="AD83" i="1"/>
  <c r="AA86" i="1"/>
  <c r="J83" i="9" s="1"/>
  <c r="AD86" i="1"/>
  <c r="AD85" i="1"/>
  <c r="AA85" i="1"/>
  <c r="J82" i="9" s="1"/>
  <c r="AD84" i="1"/>
  <c r="AA84" i="1"/>
  <c r="J81" i="9" s="1"/>
  <c r="AD82" i="1"/>
  <c r="AA82" i="1"/>
  <c r="J79" i="9" s="1"/>
  <c r="AD72" i="1"/>
  <c r="AD74" i="1"/>
  <c r="AD76" i="1"/>
  <c r="AA79" i="1"/>
  <c r="J76" i="9" s="1"/>
  <c r="AD79" i="1"/>
  <c r="AA81" i="1"/>
  <c r="J78" i="9" s="1"/>
  <c r="AD81" i="1"/>
  <c r="AA73" i="1"/>
  <c r="J70" i="9" s="1"/>
  <c r="AA74" i="1"/>
  <c r="J71" i="9" s="1"/>
  <c r="AA75" i="1"/>
  <c r="J72" i="9" s="1"/>
  <c r="AA77" i="1"/>
  <c r="J74" i="9" s="1"/>
  <c r="AA78" i="1"/>
  <c r="J75" i="9" s="1"/>
  <c r="AA80" i="1"/>
  <c r="J77" i="9" s="1"/>
  <c r="AA72" i="1"/>
  <c r="J69" i="9" s="1"/>
  <c r="D5" i="4"/>
  <c r="D6" i="4"/>
  <c r="D8" i="4"/>
  <c r="D9" i="4"/>
  <c r="D14" i="4"/>
  <c r="D15" i="4"/>
  <c r="D16" i="4"/>
  <c r="D17" i="4"/>
  <c r="D18" i="4"/>
  <c r="D19" i="4"/>
  <c r="D21" i="4"/>
  <c r="D22" i="4"/>
  <c r="D23" i="4"/>
  <c r="D24" i="4"/>
  <c r="D26" i="4"/>
  <c r="D27" i="4"/>
  <c r="D28" i="4"/>
  <c r="D4" i="4"/>
  <c r="J19" i="17"/>
  <c r="I19" i="17"/>
  <c r="DA26" i="9" s="1"/>
  <c r="Z71" i="1"/>
  <c r="H68" i="9" s="1"/>
  <c r="Y71" i="1"/>
  <c r="G68" i="9" s="1"/>
  <c r="P68" i="9" s="1"/>
  <c r="X71" i="1"/>
  <c r="F68" i="9" s="1"/>
  <c r="W71" i="1"/>
  <c r="E68" i="9" s="1"/>
  <c r="N68" i="9" s="1"/>
  <c r="V71" i="1"/>
  <c r="D68" i="9" s="1"/>
  <c r="U71" i="1"/>
  <c r="C68" i="9" s="1"/>
  <c r="O68" i="9" s="1"/>
  <c r="G71" i="1"/>
  <c r="B68" i="9" s="1"/>
  <c r="A68" i="9" s="1"/>
  <c r="CM94" i="9"/>
  <c r="CM95" i="9"/>
  <c r="CM96" i="9"/>
  <c r="CM97" i="9"/>
  <c r="CM98" i="9"/>
  <c r="CM99" i="9"/>
  <c r="CM100" i="9"/>
  <c r="CM101" i="9"/>
  <c r="CM102" i="9"/>
  <c r="CM103" i="9"/>
  <c r="CM104" i="9"/>
  <c r="CM105" i="9"/>
  <c r="CM106" i="9"/>
  <c r="CM107" i="9"/>
  <c r="CM108" i="9"/>
  <c r="CM109" i="9"/>
  <c r="CM110" i="9"/>
  <c r="CM111" i="9"/>
  <c r="CM112" i="9"/>
  <c r="CM113" i="9"/>
  <c r="CM114" i="9"/>
  <c r="CM115" i="9"/>
  <c r="CM116" i="9"/>
  <c r="CM117" i="9"/>
  <c r="CM118" i="9"/>
  <c r="CM119" i="9"/>
  <c r="CM120" i="9"/>
  <c r="CM121" i="9"/>
  <c r="CM72" i="9"/>
  <c r="CM73" i="9"/>
  <c r="CM74" i="9"/>
  <c r="CM75" i="9"/>
  <c r="CM76" i="9"/>
  <c r="CM77" i="9"/>
  <c r="CM78" i="9"/>
  <c r="CM79" i="9"/>
  <c r="CM80" i="9"/>
  <c r="CM81" i="9"/>
  <c r="CM82" i="9"/>
  <c r="CM83" i="9"/>
  <c r="CM84" i="9"/>
  <c r="CM85" i="9"/>
  <c r="CM86" i="9"/>
  <c r="CM87" i="9"/>
  <c r="CM88" i="9"/>
  <c r="CM89" i="9"/>
  <c r="CM90" i="9"/>
  <c r="CM91" i="9"/>
  <c r="CM92" i="9"/>
  <c r="CM93" i="9"/>
  <c r="A73" i="14"/>
  <c r="A74" i="14"/>
  <c r="CL77" i="9" s="1"/>
  <c r="CK77" i="9" s="1"/>
  <c r="A75" i="14"/>
  <c r="CL78" i="9" s="1"/>
  <c r="CK78" i="9" s="1"/>
  <c r="A76" i="14"/>
  <c r="CL79" i="9" s="1"/>
  <c r="CK79" i="9" s="1"/>
  <c r="A77" i="14"/>
  <c r="CL80" i="9" s="1"/>
  <c r="CK80" i="9" s="1"/>
  <c r="A78" i="14"/>
  <c r="CL81" i="9" s="1"/>
  <c r="CK81" i="9" s="1"/>
  <c r="A79" i="14"/>
  <c r="CL82" i="9" s="1"/>
  <c r="CK82" i="9" s="1"/>
  <c r="A80" i="14"/>
  <c r="CL83" i="9" s="1"/>
  <c r="CK83" i="9" s="1"/>
  <c r="A81" i="14"/>
  <c r="CL84" i="9" s="1"/>
  <c r="CK84" i="9" s="1"/>
  <c r="A82" i="14"/>
  <c r="CL85" i="9" s="1"/>
  <c r="CK85" i="9" s="1"/>
  <c r="A83" i="14"/>
  <c r="CL86" i="9" s="1"/>
  <c r="CK86" i="9" s="1"/>
  <c r="A84" i="14"/>
  <c r="CL87" i="9" s="1"/>
  <c r="CK87" i="9" s="1"/>
  <c r="A85" i="14"/>
  <c r="CL88" i="9" s="1"/>
  <c r="CK88" i="9" s="1"/>
  <c r="A86" i="14"/>
  <c r="CL89" i="9" s="1"/>
  <c r="CK89" i="9" s="1"/>
  <c r="A87" i="14"/>
  <c r="CL90" i="9" s="1"/>
  <c r="CK90" i="9" s="1"/>
  <c r="A88" i="14"/>
  <c r="CL91" i="9" s="1"/>
  <c r="CK91" i="9" s="1"/>
  <c r="A89" i="14"/>
  <c r="CL92" i="9" s="1"/>
  <c r="CK92" i="9" s="1"/>
  <c r="A90" i="14"/>
  <c r="CL93" i="9" s="1"/>
  <c r="CK93" i="9" s="1"/>
  <c r="A91" i="14"/>
  <c r="CL94" i="9" s="1"/>
  <c r="CK94" i="9" s="1"/>
  <c r="A92" i="14"/>
  <c r="CL95" i="9" s="1"/>
  <c r="CK95" i="9" s="1"/>
  <c r="A93" i="14"/>
  <c r="CL96" i="9" s="1"/>
  <c r="CK96" i="9" s="1"/>
  <c r="A94" i="14"/>
  <c r="CL97" i="9" s="1"/>
  <c r="CK97" i="9" s="1"/>
  <c r="A95" i="14"/>
  <c r="CL98" i="9" s="1"/>
  <c r="CK98" i="9" s="1"/>
  <c r="A96" i="14"/>
  <c r="CL99" i="9" s="1"/>
  <c r="CK99" i="9" s="1"/>
  <c r="A97" i="14"/>
  <c r="CL100" i="9" s="1"/>
  <c r="CK100" i="9" s="1"/>
  <c r="A98" i="14"/>
  <c r="CL101" i="9" s="1"/>
  <c r="CK101" i="9" s="1"/>
  <c r="A99" i="14"/>
  <c r="CL102" i="9" s="1"/>
  <c r="CK102" i="9" s="1"/>
  <c r="A100" i="14"/>
  <c r="CL103" i="9" s="1"/>
  <c r="CK103" i="9" s="1"/>
  <c r="A101" i="14"/>
  <c r="CL104" i="9" s="1"/>
  <c r="CK104" i="9" s="1"/>
  <c r="A102" i="14"/>
  <c r="CL105" i="9" s="1"/>
  <c r="CK105" i="9" s="1"/>
  <c r="A103" i="14"/>
  <c r="CL106" i="9" s="1"/>
  <c r="CK106" i="9" s="1"/>
  <c r="A104" i="14"/>
  <c r="CL107" i="9" s="1"/>
  <c r="CK107" i="9" s="1"/>
  <c r="A105" i="14"/>
  <c r="CL108" i="9" s="1"/>
  <c r="CK108" i="9" s="1"/>
  <c r="A106" i="14"/>
  <c r="CL109" i="9" s="1"/>
  <c r="CK109" i="9" s="1"/>
  <c r="A107" i="14"/>
  <c r="CL110" i="9" s="1"/>
  <c r="CK110" i="9" s="1"/>
  <c r="A108" i="14"/>
  <c r="CL111" i="9" s="1"/>
  <c r="CK111" i="9" s="1"/>
  <c r="A109" i="14"/>
  <c r="CL112" i="9" s="1"/>
  <c r="CK112" i="9" s="1"/>
  <c r="A110" i="14"/>
  <c r="CL113" i="9" s="1"/>
  <c r="CK113" i="9" s="1"/>
  <c r="A111" i="14"/>
  <c r="CL114" i="9" s="1"/>
  <c r="CK114" i="9" s="1"/>
  <c r="A112" i="14"/>
  <c r="CL115" i="9" s="1"/>
  <c r="CK115" i="9" s="1"/>
  <c r="A113" i="14"/>
  <c r="CL116" i="9" s="1"/>
  <c r="CK116" i="9" s="1"/>
  <c r="A114" i="14"/>
  <c r="CL117" i="9" s="1"/>
  <c r="CK117" i="9" s="1"/>
  <c r="A115" i="14"/>
  <c r="CL118" i="9" s="1"/>
  <c r="CK118" i="9" s="1"/>
  <c r="A116" i="14"/>
  <c r="CL119" i="9" s="1"/>
  <c r="CK119" i="9" s="1"/>
  <c r="A117" i="14"/>
  <c r="CL120" i="9" s="1"/>
  <c r="CK120" i="9" s="1"/>
  <c r="A118" i="14"/>
  <c r="CL121" i="9" s="1"/>
  <c r="CK121" i="9" s="1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BH25" i="9"/>
  <c r="BG25" i="9" s="1"/>
  <c r="BH26" i="9"/>
  <c r="BG26" i="9" s="1"/>
  <c r="N30" i="11"/>
  <c r="N31" i="11"/>
  <c r="J20" i="5"/>
  <c r="BD19" i="9" s="1"/>
  <c r="K20" i="5"/>
  <c r="BE19" i="9" s="1"/>
  <c r="J21" i="5"/>
  <c r="BD20" i="9" s="1"/>
  <c r="K21" i="5"/>
  <c r="BE20" i="9" s="1"/>
  <c r="J22" i="5"/>
  <c r="BD21" i="9" s="1"/>
  <c r="K22" i="5"/>
  <c r="BE21" i="9" s="1"/>
  <c r="J23" i="5"/>
  <c r="BD22" i="9" s="1"/>
  <c r="K23" i="5"/>
  <c r="BE22" i="9" s="1"/>
  <c r="J24" i="5"/>
  <c r="BD23" i="9" s="1"/>
  <c r="K24" i="5"/>
  <c r="BE23" i="9" s="1"/>
  <c r="J25" i="5"/>
  <c r="BD24" i="9" s="1"/>
  <c r="K25" i="5"/>
  <c r="BE24" i="9" s="1"/>
  <c r="J26" i="5"/>
  <c r="BD25" i="9" s="1"/>
  <c r="K26" i="5"/>
  <c r="BE25" i="9" s="1"/>
  <c r="J27" i="5"/>
  <c r="BD26" i="9" s="1"/>
  <c r="K27" i="5"/>
  <c r="BE26" i="9" s="1"/>
  <c r="J28" i="5"/>
  <c r="BD27" i="9" s="1"/>
  <c r="K28" i="5"/>
  <c r="BE27" i="9" s="1"/>
  <c r="J29" i="5"/>
  <c r="BD28" i="9" s="1"/>
  <c r="K29" i="5"/>
  <c r="BE28" i="9" s="1"/>
  <c r="J30" i="5"/>
  <c r="BD29" i="9" s="1"/>
  <c r="K30" i="5"/>
  <c r="BE29" i="9" s="1"/>
  <c r="F40" i="13"/>
  <c r="H40" i="13"/>
  <c r="I40" i="13"/>
  <c r="F41" i="13"/>
  <c r="H41" i="13"/>
  <c r="I41" i="13"/>
  <c r="F42" i="13"/>
  <c r="H42" i="13"/>
  <c r="I42" i="13"/>
  <c r="F43" i="13"/>
  <c r="H43" i="13"/>
  <c r="I43" i="13"/>
  <c r="F44" i="13"/>
  <c r="H44" i="13"/>
  <c r="I44" i="13"/>
  <c r="F45" i="13"/>
  <c r="H45" i="13"/>
  <c r="I45" i="13"/>
  <c r="F46" i="13"/>
  <c r="H46" i="13"/>
  <c r="I46" i="13"/>
  <c r="F47" i="13"/>
  <c r="H47" i="13"/>
  <c r="I47" i="13"/>
  <c r="F48" i="13"/>
  <c r="H48" i="13"/>
  <c r="I48" i="13"/>
  <c r="F49" i="13"/>
  <c r="H49" i="13"/>
  <c r="I49" i="13"/>
  <c r="F50" i="13"/>
  <c r="H50" i="13"/>
  <c r="I50" i="13"/>
  <c r="F51" i="13"/>
  <c r="H51" i="13"/>
  <c r="I51" i="13"/>
  <c r="F52" i="13"/>
  <c r="H52" i="13"/>
  <c r="I52" i="13"/>
  <c r="F53" i="13"/>
  <c r="H53" i="13"/>
  <c r="I53" i="13"/>
  <c r="F54" i="13"/>
  <c r="H54" i="13"/>
  <c r="I54" i="13"/>
  <c r="F55" i="13"/>
  <c r="H55" i="13"/>
  <c r="I55" i="13"/>
  <c r="F56" i="13"/>
  <c r="H56" i="13"/>
  <c r="I56" i="13"/>
  <c r="F57" i="13"/>
  <c r="H57" i="13"/>
  <c r="I57" i="13"/>
  <c r="F58" i="13"/>
  <c r="H58" i="13"/>
  <c r="I58" i="13"/>
  <c r="F59" i="13"/>
  <c r="H59" i="13"/>
  <c r="I59" i="13"/>
  <c r="F60" i="13"/>
  <c r="H60" i="13"/>
  <c r="I60" i="13"/>
  <c r="F61" i="13"/>
  <c r="H61" i="13"/>
  <c r="I61" i="13"/>
  <c r="F62" i="13"/>
  <c r="H62" i="13"/>
  <c r="I62" i="13"/>
  <c r="H63" i="13"/>
  <c r="F64" i="13"/>
  <c r="H64" i="13"/>
  <c r="I64" i="13"/>
  <c r="F25" i="13"/>
  <c r="H25" i="13"/>
  <c r="I25" i="13"/>
  <c r="F26" i="13"/>
  <c r="H26" i="13"/>
  <c r="I26" i="13"/>
  <c r="F27" i="13"/>
  <c r="H27" i="13"/>
  <c r="I27" i="13"/>
  <c r="F28" i="13"/>
  <c r="H28" i="13"/>
  <c r="I28" i="13"/>
  <c r="F29" i="13"/>
  <c r="H29" i="13"/>
  <c r="I29" i="13"/>
  <c r="F30" i="13"/>
  <c r="H30" i="13"/>
  <c r="I30" i="13"/>
  <c r="F31" i="13"/>
  <c r="H31" i="13"/>
  <c r="I31" i="13"/>
  <c r="F32" i="13"/>
  <c r="H32" i="13"/>
  <c r="I32" i="13"/>
  <c r="F33" i="13"/>
  <c r="H33" i="13"/>
  <c r="I33" i="13"/>
  <c r="F34" i="13"/>
  <c r="H34" i="13"/>
  <c r="I34" i="13"/>
  <c r="F35" i="13"/>
  <c r="H35" i="13"/>
  <c r="I35" i="13"/>
  <c r="F36" i="13"/>
  <c r="H36" i="13"/>
  <c r="I36" i="13"/>
  <c r="F37" i="13"/>
  <c r="H37" i="13"/>
  <c r="I37" i="13"/>
  <c r="F38" i="13"/>
  <c r="H38" i="13"/>
  <c r="I38" i="13"/>
  <c r="F39" i="13"/>
  <c r="H39" i="13"/>
  <c r="I39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4" i="13"/>
  <c r="AJ13" i="15"/>
  <c r="CW15" i="9" s="1"/>
  <c r="AK13" i="15"/>
  <c r="U70" i="1"/>
  <c r="C67" i="9" s="1"/>
  <c r="O67" i="9" s="1"/>
  <c r="V70" i="1"/>
  <c r="D67" i="9" s="1"/>
  <c r="W70" i="1"/>
  <c r="E67" i="9" s="1"/>
  <c r="N67" i="9" s="1"/>
  <c r="X70" i="1"/>
  <c r="F67" i="9" s="1"/>
  <c r="Y70" i="1"/>
  <c r="G67" i="9" s="1"/>
  <c r="P67" i="9" s="1"/>
  <c r="Z70" i="1"/>
  <c r="H67" i="9" s="1"/>
  <c r="G70" i="1"/>
  <c r="B67" i="9" s="1"/>
  <c r="A67" i="9" s="1"/>
  <c r="I12" i="17"/>
  <c r="DA19" i="9" s="1"/>
  <c r="J12" i="17"/>
  <c r="I13" i="17"/>
  <c r="DA20" i="9" s="1"/>
  <c r="J13" i="17"/>
  <c r="I14" i="17"/>
  <c r="DA21" i="9" s="1"/>
  <c r="J14" i="17"/>
  <c r="I15" i="17"/>
  <c r="DA22" i="9" s="1"/>
  <c r="J15" i="17"/>
  <c r="I16" i="17"/>
  <c r="DA23" i="9" s="1"/>
  <c r="J16" i="17"/>
  <c r="I17" i="17"/>
  <c r="DA24" i="9" s="1"/>
  <c r="J17" i="17"/>
  <c r="I18" i="17"/>
  <c r="DA25" i="9" s="1"/>
  <c r="J18" i="17"/>
  <c r="I5" i="17"/>
  <c r="DA12" i="9" s="1"/>
  <c r="J5" i="17"/>
  <c r="I6" i="17"/>
  <c r="DA13" i="9" s="1"/>
  <c r="J6" i="17"/>
  <c r="I7" i="17"/>
  <c r="DA14" i="9" s="1"/>
  <c r="J7" i="17"/>
  <c r="I8" i="17"/>
  <c r="DA15" i="9" s="1"/>
  <c r="J8" i="17"/>
  <c r="I9" i="17"/>
  <c r="DA16" i="9" s="1"/>
  <c r="J9" i="17"/>
  <c r="I10" i="17"/>
  <c r="DA17" i="9" s="1"/>
  <c r="J10" i="17"/>
  <c r="I11" i="17"/>
  <c r="DA18" i="9" s="1"/>
  <c r="J11" i="17"/>
  <c r="J4" i="17"/>
  <c r="I4" i="17"/>
  <c r="DA11" i="9" s="1"/>
  <c r="T5" i="17"/>
  <c r="DD12" i="9" s="1"/>
  <c r="U5" i="17"/>
  <c r="T6" i="17"/>
  <c r="DD13" i="9" s="1"/>
  <c r="U6" i="17"/>
  <c r="T7" i="17"/>
  <c r="DD14" i="9" s="1"/>
  <c r="U7" i="17"/>
  <c r="T8" i="17"/>
  <c r="DD15" i="9" s="1"/>
  <c r="U8" i="17"/>
  <c r="T9" i="17"/>
  <c r="DD16" i="9" s="1"/>
  <c r="U9" i="17"/>
  <c r="T10" i="17"/>
  <c r="DD17" i="9" s="1"/>
  <c r="U10" i="17"/>
  <c r="T11" i="17"/>
  <c r="DD18" i="9" s="1"/>
  <c r="U11" i="17"/>
  <c r="T12" i="17"/>
  <c r="DD19" i="9" s="1"/>
  <c r="U12" i="17"/>
  <c r="T13" i="17"/>
  <c r="DD20" i="9" s="1"/>
  <c r="U13" i="17"/>
  <c r="T14" i="17"/>
  <c r="DD21" i="9" s="1"/>
  <c r="U14" i="17"/>
  <c r="T15" i="17"/>
  <c r="DD22" i="9" s="1"/>
  <c r="U15" i="17"/>
  <c r="T16" i="17"/>
  <c r="DD23" i="9" s="1"/>
  <c r="U16" i="17"/>
  <c r="T17" i="17"/>
  <c r="DD24" i="9" s="1"/>
  <c r="U17" i="17"/>
  <c r="T18" i="17"/>
  <c r="DD25" i="9" s="1"/>
  <c r="U18" i="17"/>
  <c r="T19" i="17"/>
  <c r="DD26" i="9" s="1"/>
  <c r="U19" i="17"/>
  <c r="T20" i="17"/>
  <c r="DD27" i="9" s="1"/>
  <c r="U20" i="17"/>
  <c r="T21" i="17"/>
  <c r="DD28" i="9" s="1"/>
  <c r="U21" i="17"/>
  <c r="T22" i="17"/>
  <c r="DD29" i="9" s="1"/>
  <c r="U22" i="17"/>
  <c r="T23" i="17"/>
  <c r="DD30" i="9" s="1"/>
  <c r="U23" i="17"/>
  <c r="U4" i="17"/>
  <c r="T4" i="17"/>
  <c r="DD11" i="9" s="1"/>
  <c r="AE5" i="17"/>
  <c r="AF5" i="17"/>
  <c r="AE6" i="17"/>
  <c r="AF6" i="17"/>
  <c r="AE7" i="17"/>
  <c r="AF7" i="17"/>
  <c r="AE8" i="17"/>
  <c r="DG12" i="9" s="1"/>
  <c r="AF8" i="17"/>
  <c r="AE9" i="17"/>
  <c r="DG13" i="9" s="1"/>
  <c r="AF9" i="17"/>
  <c r="DG14" i="9"/>
  <c r="AF10" i="17"/>
  <c r="AE11" i="17"/>
  <c r="DG15" i="9" s="1"/>
  <c r="AF11" i="17"/>
  <c r="AE12" i="17"/>
  <c r="DG16" i="9" s="1"/>
  <c r="AF12" i="17"/>
  <c r="AE13" i="17"/>
  <c r="DG17" i="9" s="1"/>
  <c r="AF13" i="17"/>
  <c r="AE14" i="17"/>
  <c r="DG18" i="9" s="1"/>
  <c r="AF14" i="17"/>
  <c r="AE15" i="17"/>
  <c r="DG19" i="9" s="1"/>
  <c r="AF15" i="17"/>
  <c r="AE16" i="17"/>
  <c r="DG20" i="9" s="1"/>
  <c r="AF16" i="17"/>
  <c r="AE17" i="17"/>
  <c r="DG21" i="9" s="1"/>
  <c r="AF17" i="17"/>
  <c r="AE18" i="17"/>
  <c r="DG22" i="9" s="1"/>
  <c r="AF18" i="17"/>
  <c r="AE19" i="17"/>
  <c r="DG23" i="9" s="1"/>
  <c r="AF19" i="17"/>
  <c r="AE20" i="17"/>
  <c r="DG24" i="9" s="1"/>
  <c r="AF20" i="17"/>
  <c r="AE21" i="17"/>
  <c r="DG25" i="9" s="1"/>
  <c r="AF21" i="17"/>
  <c r="AE22" i="17"/>
  <c r="DG26" i="9" s="1"/>
  <c r="AF22" i="17"/>
  <c r="AE23" i="17"/>
  <c r="DG27" i="9" s="1"/>
  <c r="AF23" i="17"/>
  <c r="AE24" i="17"/>
  <c r="DG28" i="9" s="1"/>
  <c r="AF24" i="17"/>
  <c r="AE25" i="17"/>
  <c r="DG29" i="9" s="1"/>
  <c r="AF25" i="17"/>
  <c r="AE26" i="17"/>
  <c r="DG30" i="9" s="1"/>
  <c r="AF26" i="17"/>
  <c r="AE27" i="17"/>
  <c r="DG31" i="9" s="1"/>
  <c r="AF27" i="17"/>
  <c r="AC47" i="9"/>
  <c r="AC48" i="9"/>
  <c r="AC49" i="9"/>
  <c r="AC50" i="9"/>
  <c r="AC51" i="9"/>
  <c r="AC52" i="9"/>
  <c r="F86" i="2"/>
  <c r="T89" i="9" s="1"/>
  <c r="S89" i="9" s="1"/>
  <c r="F87" i="2"/>
  <c r="T90" i="9" s="1"/>
  <c r="S90" i="9" s="1"/>
  <c r="AC45" i="9"/>
  <c r="AC46" i="9"/>
  <c r="AC44" i="9"/>
  <c r="Q42" i="2"/>
  <c r="Z45" i="9" s="1"/>
  <c r="Y45" i="9" s="1"/>
  <c r="Q43" i="2"/>
  <c r="Z46" i="9" s="1"/>
  <c r="Y46" i="9" s="1"/>
  <c r="Q44" i="2"/>
  <c r="Z47" i="9" s="1"/>
  <c r="Y47" i="9" s="1"/>
  <c r="Q45" i="2"/>
  <c r="Z48" i="9" s="1"/>
  <c r="Y48" i="9" s="1"/>
  <c r="Q46" i="2"/>
  <c r="Z49" i="9" s="1"/>
  <c r="Y49" i="9" s="1"/>
  <c r="Q47" i="2"/>
  <c r="Z50" i="9" s="1"/>
  <c r="Y50" i="9" s="1"/>
  <c r="F88" i="2"/>
  <c r="T91" i="9" s="1"/>
  <c r="S91" i="9" s="1"/>
  <c r="F89" i="2"/>
  <c r="T92" i="9" s="1"/>
  <c r="S92" i="9" s="1"/>
  <c r="F90" i="2"/>
  <c r="T93" i="9" s="1"/>
  <c r="S93" i="9" s="1"/>
  <c r="F91" i="2"/>
  <c r="T94" i="9" s="1"/>
  <c r="S94" i="9" s="1"/>
  <c r="F92" i="2"/>
  <c r="T95" i="9" s="1"/>
  <c r="S95" i="9" s="1"/>
  <c r="F93" i="2"/>
  <c r="T96" i="9" s="1"/>
  <c r="S96" i="9" s="1"/>
  <c r="F94" i="2"/>
  <c r="T97" i="9" s="1"/>
  <c r="S97" i="9" s="1"/>
  <c r="F95" i="2"/>
  <c r="T98" i="9" s="1"/>
  <c r="S98" i="9" s="1"/>
  <c r="F96" i="2"/>
  <c r="T99" i="9" s="1"/>
  <c r="S99" i="9" s="1"/>
  <c r="U69" i="1"/>
  <c r="C66" i="9" s="1"/>
  <c r="O66" i="9" s="1"/>
  <c r="V69" i="1"/>
  <c r="D66" i="9" s="1"/>
  <c r="W69" i="1"/>
  <c r="E66" i="9" s="1"/>
  <c r="N66" i="9" s="1"/>
  <c r="X69" i="1"/>
  <c r="F66" i="9" s="1"/>
  <c r="Y69" i="1"/>
  <c r="G66" i="9" s="1"/>
  <c r="P66" i="9" s="1"/>
  <c r="Z69" i="1"/>
  <c r="H66" i="9" s="1"/>
  <c r="G69" i="1"/>
  <c r="B66" i="9" s="1"/>
  <c r="A66" i="9" s="1"/>
  <c r="Z68" i="1"/>
  <c r="H65" i="9" s="1"/>
  <c r="Y68" i="1"/>
  <c r="G65" i="9" s="1"/>
  <c r="P65" i="9" s="1"/>
  <c r="X68" i="1"/>
  <c r="F65" i="9" s="1"/>
  <c r="W68" i="1"/>
  <c r="E65" i="9" s="1"/>
  <c r="N65" i="9" s="1"/>
  <c r="V68" i="1"/>
  <c r="D65" i="9" s="1"/>
  <c r="U68" i="1"/>
  <c r="C65" i="9" s="1"/>
  <c r="O65" i="9" s="1"/>
  <c r="Z67" i="1"/>
  <c r="H64" i="9" s="1"/>
  <c r="Y67" i="1"/>
  <c r="G64" i="9" s="1"/>
  <c r="P64" i="9" s="1"/>
  <c r="X67" i="1"/>
  <c r="F64" i="9" s="1"/>
  <c r="W67" i="1"/>
  <c r="E64" i="9" s="1"/>
  <c r="N64" i="9" s="1"/>
  <c r="V67" i="1"/>
  <c r="D64" i="9" s="1"/>
  <c r="U67" i="1"/>
  <c r="C64" i="9" s="1"/>
  <c r="O64" i="9" s="1"/>
  <c r="Z66" i="1"/>
  <c r="H63" i="9" s="1"/>
  <c r="Y66" i="1"/>
  <c r="G63" i="9" s="1"/>
  <c r="P63" i="9" s="1"/>
  <c r="X66" i="1"/>
  <c r="F63" i="9" s="1"/>
  <c r="W66" i="1"/>
  <c r="E63" i="9" s="1"/>
  <c r="N63" i="9" s="1"/>
  <c r="V66" i="1"/>
  <c r="D63" i="9" s="1"/>
  <c r="U66" i="1"/>
  <c r="C63" i="9" s="1"/>
  <c r="O63" i="9" s="1"/>
  <c r="G68" i="1"/>
  <c r="B65" i="9" s="1"/>
  <c r="A65" i="9" s="1"/>
  <c r="G67" i="1"/>
  <c r="B64" i="9" s="1"/>
  <c r="A64" i="9" s="1"/>
  <c r="G66" i="1"/>
  <c r="B63" i="9" s="1"/>
  <c r="A63" i="9" s="1"/>
  <c r="AK15" i="15"/>
  <c r="AJ15" i="15"/>
  <c r="CW17" i="9" s="1"/>
  <c r="AJ16" i="15"/>
  <c r="CW18" i="9" s="1"/>
  <c r="AK14" i="15"/>
  <c r="AK16" i="15"/>
  <c r="AJ17" i="15"/>
  <c r="CW19" i="9" s="1"/>
  <c r="AK17" i="15"/>
  <c r="AJ18" i="15"/>
  <c r="CW20" i="9" s="1"/>
  <c r="AK18" i="15"/>
  <c r="AJ19" i="15"/>
  <c r="CW21" i="9" s="1"/>
  <c r="AK19" i="15"/>
  <c r="AJ20" i="15"/>
  <c r="CW22" i="9" s="1"/>
  <c r="AK20" i="15"/>
  <c r="AJ21" i="15"/>
  <c r="CW23" i="9" s="1"/>
  <c r="AK21" i="15"/>
  <c r="AJ22" i="15"/>
  <c r="CW24" i="9" s="1"/>
  <c r="AK22" i="15"/>
  <c r="AJ23" i="15"/>
  <c r="CW25" i="9" s="1"/>
  <c r="AK23" i="15"/>
  <c r="AJ24" i="15"/>
  <c r="CW26" i="9" s="1"/>
  <c r="AK24" i="15"/>
  <c r="AJ25" i="15"/>
  <c r="CW27" i="9" s="1"/>
  <c r="AK25" i="15"/>
  <c r="N16" i="15"/>
  <c r="CQ18" i="9" s="1"/>
  <c r="O16" i="15"/>
  <c r="N17" i="15"/>
  <c r="CQ19" i="9" s="1"/>
  <c r="O17" i="15"/>
  <c r="N18" i="15"/>
  <c r="CQ20" i="9" s="1"/>
  <c r="O18" i="15"/>
  <c r="N19" i="15"/>
  <c r="CQ21" i="9" s="1"/>
  <c r="O19" i="15"/>
  <c r="N20" i="15"/>
  <c r="CQ22" i="9" s="1"/>
  <c r="O20" i="15"/>
  <c r="N21" i="15"/>
  <c r="CQ23" i="9" s="1"/>
  <c r="O21" i="15"/>
  <c r="Y15" i="15"/>
  <c r="CT17" i="9" s="1"/>
  <c r="Z15" i="15"/>
  <c r="Y16" i="15"/>
  <c r="CT18" i="9" s="1"/>
  <c r="Z16" i="15"/>
  <c r="Y17" i="15"/>
  <c r="CT19" i="9" s="1"/>
  <c r="Z17" i="15"/>
  <c r="Y18" i="15"/>
  <c r="CT20" i="9" s="1"/>
  <c r="Z18" i="15"/>
  <c r="Y19" i="15"/>
  <c r="CT21" i="9" s="1"/>
  <c r="Z19" i="15"/>
  <c r="Y20" i="15"/>
  <c r="CT22" i="9" s="1"/>
  <c r="Z20" i="15"/>
  <c r="Y21" i="15"/>
  <c r="CT23" i="9" s="1"/>
  <c r="Z21" i="15"/>
  <c r="Y22" i="15"/>
  <c r="CT24" i="9" s="1"/>
  <c r="Z22" i="15"/>
  <c r="Y23" i="15"/>
  <c r="CT25" i="9" s="1"/>
  <c r="Z23" i="15"/>
  <c r="G65" i="1"/>
  <c r="B62" i="9" s="1"/>
  <c r="A62" i="9" s="1"/>
  <c r="G64" i="1"/>
  <c r="B61" i="9" s="1"/>
  <c r="A61" i="9" s="1"/>
  <c r="AJ14" i="15"/>
  <c r="CW16" i="9" s="1"/>
  <c r="Z14" i="15"/>
  <c r="Y14" i="15"/>
  <c r="CT16" i="9" s="1"/>
  <c r="O15" i="15"/>
  <c r="N15" i="15"/>
  <c r="CQ17" i="9" s="1"/>
  <c r="AK12" i="15"/>
  <c r="AJ12" i="15"/>
  <c r="CW14" i="9" s="1"/>
  <c r="Z13" i="15"/>
  <c r="Y13" i="15"/>
  <c r="CT15" i="9" s="1"/>
  <c r="O14" i="15"/>
  <c r="N14" i="15"/>
  <c r="CQ16" i="9" s="1"/>
  <c r="U64" i="1"/>
  <c r="C61" i="9" s="1"/>
  <c r="O61" i="9" s="1"/>
  <c r="V64" i="1"/>
  <c r="D61" i="9" s="1"/>
  <c r="W64" i="1"/>
  <c r="E61" i="9" s="1"/>
  <c r="N61" i="9" s="1"/>
  <c r="X64" i="1"/>
  <c r="F61" i="9" s="1"/>
  <c r="Y64" i="1"/>
  <c r="G61" i="9" s="1"/>
  <c r="P61" i="9" s="1"/>
  <c r="Z64" i="1"/>
  <c r="H61" i="9" s="1"/>
  <c r="U65" i="1"/>
  <c r="C62" i="9" s="1"/>
  <c r="O62" i="9" s="1"/>
  <c r="V65" i="1"/>
  <c r="D62" i="9" s="1"/>
  <c r="W65" i="1"/>
  <c r="E62" i="9" s="1"/>
  <c r="N62" i="9" s="1"/>
  <c r="X65" i="1"/>
  <c r="F62" i="9" s="1"/>
  <c r="Y65" i="1"/>
  <c r="G62" i="9" s="1"/>
  <c r="P62" i="9" s="1"/>
  <c r="Z65" i="1"/>
  <c r="H62" i="9" s="1"/>
  <c r="AZ28" i="9"/>
  <c r="AZ29" i="9"/>
  <c r="AZ30" i="9"/>
  <c r="AZ31" i="9"/>
  <c r="AZ32" i="9"/>
  <c r="AZ33" i="9"/>
  <c r="AF51" i="9"/>
  <c r="AE51" i="9" s="1"/>
  <c r="AF52" i="9"/>
  <c r="AE52" i="9" s="1"/>
  <c r="AF53" i="9"/>
  <c r="AE53" i="9" s="1"/>
  <c r="AF54" i="9"/>
  <c r="AE54" i="9" s="1"/>
  <c r="AA40" i="9"/>
  <c r="AA41" i="9"/>
  <c r="AA42" i="9"/>
  <c r="AA43" i="9"/>
  <c r="AA44" i="9"/>
  <c r="AB44" i="9"/>
  <c r="AA45" i="9"/>
  <c r="AB45" i="9"/>
  <c r="AA46" i="9"/>
  <c r="AB46" i="9"/>
  <c r="AA47" i="9"/>
  <c r="AB47" i="9"/>
  <c r="AA48" i="9"/>
  <c r="AB48" i="9"/>
  <c r="AA49" i="9"/>
  <c r="AB49" i="9"/>
  <c r="AA50" i="9"/>
  <c r="AB50" i="9"/>
  <c r="AA51" i="9"/>
  <c r="AB51" i="9"/>
  <c r="AA52" i="9"/>
  <c r="AB52" i="9"/>
  <c r="F83" i="2"/>
  <c r="T86" i="9" s="1"/>
  <c r="S86" i="9" s="1"/>
  <c r="F84" i="2"/>
  <c r="T87" i="9" s="1"/>
  <c r="S87" i="9" s="1"/>
  <c r="F85" i="2"/>
  <c r="T88" i="9" s="1"/>
  <c r="S88" i="9" s="1"/>
  <c r="F78" i="2"/>
  <c r="T81" i="9" s="1"/>
  <c r="S81" i="9" s="1"/>
  <c r="F79" i="2"/>
  <c r="T82" i="9" s="1"/>
  <c r="S82" i="9" s="1"/>
  <c r="F80" i="2"/>
  <c r="T83" i="9" s="1"/>
  <c r="S83" i="9" s="1"/>
  <c r="F81" i="2"/>
  <c r="T84" i="9" s="1"/>
  <c r="S84" i="9" s="1"/>
  <c r="F82" i="2"/>
  <c r="T85" i="9" s="1"/>
  <c r="S85" i="9" s="1"/>
  <c r="AB38" i="2"/>
  <c r="AF41" i="9" s="1"/>
  <c r="AE41" i="9" s="1"/>
  <c r="AB39" i="2"/>
  <c r="AF42" i="9" s="1"/>
  <c r="AE42" i="9" s="1"/>
  <c r="AB40" i="2"/>
  <c r="AF43" i="9" s="1"/>
  <c r="AE43" i="9" s="1"/>
  <c r="AB41" i="2"/>
  <c r="AF44" i="9" s="1"/>
  <c r="AE44" i="9" s="1"/>
  <c r="AB42" i="2"/>
  <c r="AF45" i="9" s="1"/>
  <c r="AE45" i="9" s="1"/>
  <c r="AB43" i="2"/>
  <c r="AF46" i="9" s="1"/>
  <c r="AE46" i="9" s="1"/>
  <c r="AB44" i="2"/>
  <c r="AF47" i="9" s="1"/>
  <c r="AE47" i="9" s="1"/>
  <c r="AB45" i="2"/>
  <c r="AF48" i="9" s="1"/>
  <c r="AE48" i="9" s="1"/>
  <c r="AB46" i="2"/>
  <c r="AF49" i="9" s="1"/>
  <c r="AE49" i="9" s="1"/>
  <c r="AB47" i="2"/>
  <c r="AF50" i="9" s="1"/>
  <c r="AE50" i="9" s="1"/>
  <c r="Q38" i="2"/>
  <c r="Z41" i="9" s="1"/>
  <c r="Y41" i="9" s="1"/>
  <c r="Q39" i="2"/>
  <c r="Z42" i="9" s="1"/>
  <c r="Y42" i="9" s="1"/>
  <c r="Q40" i="2"/>
  <c r="Z43" i="9" s="1"/>
  <c r="Y43" i="9" s="1"/>
  <c r="Q41" i="2"/>
  <c r="Z44" i="9" s="1"/>
  <c r="Y44" i="9" s="1"/>
  <c r="F76" i="2"/>
  <c r="T79" i="9" s="1"/>
  <c r="S79" i="9" s="1"/>
  <c r="F77" i="2"/>
  <c r="T80" i="9" s="1"/>
  <c r="S80" i="9" s="1"/>
  <c r="U63" i="1"/>
  <c r="C60" i="9" s="1"/>
  <c r="O60" i="9" s="1"/>
  <c r="V63" i="1"/>
  <c r="D60" i="9" s="1"/>
  <c r="W63" i="1"/>
  <c r="E60" i="9" s="1"/>
  <c r="N60" i="9" s="1"/>
  <c r="X63" i="1"/>
  <c r="F60" i="9" s="1"/>
  <c r="Y63" i="1"/>
  <c r="G60" i="9" s="1"/>
  <c r="P60" i="9" s="1"/>
  <c r="Z63" i="1"/>
  <c r="H60" i="9" s="1"/>
  <c r="G61" i="1"/>
  <c r="B58" i="9" s="1"/>
  <c r="A58" i="9" s="1"/>
  <c r="G62" i="1"/>
  <c r="B59" i="9" s="1"/>
  <c r="A59" i="9" s="1"/>
  <c r="G63" i="1"/>
  <c r="B60" i="9" s="1"/>
  <c r="A60" i="9" s="1"/>
  <c r="U61" i="1"/>
  <c r="C58" i="9" s="1"/>
  <c r="O58" i="9" s="1"/>
  <c r="V61" i="1"/>
  <c r="D58" i="9" s="1"/>
  <c r="W61" i="1"/>
  <c r="E58" i="9" s="1"/>
  <c r="N58" i="9" s="1"/>
  <c r="X61" i="1"/>
  <c r="F58" i="9" s="1"/>
  <c r="Y61" i="1"/>
  <c r="G58" i="9" s="1"/>
  <c r="P58" i="9" s="1"/>
  <c r="Z61" i="1"/>
  <c r="H58" i="9" s="1"/>
  <c r="U62" i="1"/>
  <c r="C59" i="9" s="1"/>
  <c r="O59" i="9" s="1"/>
  <c r="V62" i="1"/>
  <c r="D59" i="9" s="1"/>
  <c r="W62" i="1"/>
  <c r="E59" i="9" s="1"/>
  <c r="N59" i="9" s="1"/>
  <c r="X62" i="1"/>
  <c r="F59" i="9" s="1"/>
  <c r="Y62" i="1"/>
  <c r="G59" i="9" s="1"/>
  <c r="P59" i="9" s="1"/>
  <c r="Z62" i="1"/>
  <c r="H59" i="9" s="1"/>
  <c r="U60" i="1"/>
  <c r="C57" i="9" s="1"/>
  <c r="O57" i="9" s="1"/>
  <c r="V60" i="1"/>
  <c r="D57" i="9" s="1"/>
  <c r="W60" i="1"/>
  <c r="E57" i="9" s="1"/>
  <c r="N57" i="9" s="1"/>
  <c r="X60" i="1"/>
  <c r="F57" i="9" s="1"/>
  <c r="Y60" i="1"/>
  <c r="G57" i="9" s="1"/>
  <c r="P57" i="9" s="1"/>
  <c r="Z60" i="1"/>
  <c r="H57" i="9" s="1"/>
  <c r="G60" i="1"/>
  <c r="B57" i="9" s="1"/>
  <c r="A57" i="9" s="1"/>
  <c r="AK11" i="15"/>
  <c r="AJ11" i="15"/>
  <c r="CW13" i="9" s="1"/>
  <c r="Z12" i="15"/>
  <c r="Y12" i="15"/>
  <c r="CT14" i="9" s="1"/>
  <c r="Z11" i="15"/>
  <c r="Y11" i="15"/>
  <c r="CT13" i="9" s="1"/>
  <c r="O13" i="15"/>
  <c r="N13" i="15"/>
  <c r="CQ15" i="9" s="1"/>
  <c r="O12" i="15"/>
  <c r="N12" i="15"/>
  <c r="CQ14" i="9" s="1"/>
  <c r="U59" i="1"/>
  <c r="C56" i="9" s="1"/>
  <c r="O56" i="9" s="1"/>
  <c r="V59" i="1"/>
  <c r="D56" i="9" s="1"/>
  <c r="W59" i="1"/>
  <c r="E56" i="9" s="1"/>
  <c r="N56" i="9" s="1"/>
  <c r="X59" i="1"/>
  <c r="F56" i="9" s="1"/>
  <c r="Y59" i="1"/>
  <c r="G56" i="9" s="1"/>
  <c r="P56" i="9" s="1"/>
  <c r="Z59" i="1"/>
  <c r="H56" i="9" s="1"/>
  <c r="G59" i="1"/>
  <c r="B56" i="9" s="1"/>
  <c r="A56" i="9" s="1"/>
  <c r="F74" i="2"/>
  <c r="T77" i="9" s="1"/>
  <c r="S77" i="9" s="1"/>
  <c r="F75" i="2"/>
  <c r="T78" i="9" s="1"/>
  <c r="S78" i="9" s="1"/>
  <c r="D71" i="2"/>
  <c r="C71" i="2"/>
  <c r="F70" i="2"/>
  <c r="T73" i="9" s="1"/>
  <c r="S73" i="9" s="1"/>
  <c r="F71" i="2"/>
  <c r="T74" i="9" s="1"/>
  <c r="S74" i="9" s="1"/>
  <c r="F72" i="2"/>
  <c r="T75" i="9" s="1"/>
  <c r="S75" i="9" s="1"/>
  <c r="F73" i="2"/>
  <c r="T76" i="9" s="1"/>
  <c r="S76" i="9" s="1"/>
  <c r="U58" i="1"/>
  <c r="C55" i="9" s="1"/>
  <c r="O55" i="9" s="1"/>
  <c r="V58" i="1"/>
  <c r="D55" i="9" s="1"/>
  <c r="W58" i="1"/>
  <c r="E55" i="9" s="1"/>
  <c r="N55" i="9" s="1"/>
  <c r="X58" i="1"/>
  <c r="F55" i="9" s="1"/>
  <c r="Y58" i="1"/>
  <c r="G55" i="9" s="1"/>
  <c r="P55" i="9" s="1"/>
  <c r="Z58" i="1"/>
  <c r="H55" i="9" s="1"/>
  <c r="G58" i="1"/>
  <c r="B55" i="9" s="1"/>
  <c r="A55" i="9" s="1"/>
  <c r="AB37" i="2"/>
  <c r="AF40" i="9" s="1"/>
  <c r="AE40" i="9" s="1"/>
  <c r="F66" i="2"/>
  <c r="T69" i="9" s="1"/>
  <c r="S69" i="9" s="1"/>
  <c r="F67" i="2"/>
  <c r="T70" i="9" s="1"/>
  <c r="S70" i="9" s="1"/>
  <c r="F68" i="2"/>
  <c r="T71" i="9" s="1"/>
  <c r="S71" i="9" s="1"/>
  <c r="F69" i="2"/>
  <c r="T72" i="9" s="1"/>
  <c r="S72" i="9" s="1"/>
  <c r="G57" i="1"/>
  <c r="B54" i="9" s="1"/>
  <c r="A54" i="9" s="1"/>
  <c r="Z57" i="1"/>
  <c r="H54" i="9" s="1"/>
  <c r="Y57" i="1"/>
  <c r="G54" i="9" s="1"/>
  <c r="P54" i="9" s="1"/>
  <c r="X57" i="1"/>
  <c r="F54" i="9" s="1"/>
  <c r="W57" i="1"/>
  <c r="E54" i="9" s="1"/>
  <c r="N54" i="9" s="1"/>
  <c r="V57" i="1"/>
  <c r="D54" i="9" s="1"/>
  <c r="U57" i="1"/>
  <c r="C54" i="9" s="1"/>
  <c r="O54" i="9" s="1"/>
  <c r="U56" i="1"/>
  <c r="C53" i="9" s="1"/>
  <c r="O53" i="9" s="1"/>
  <c r="V56" i="1"/>
  <c r="D53" i="9" s="1"/>
  <c r="W56" i="1"/>
  <c r="E53" i="9" s="1"/>
  <c r="N53" i="9" s="1"/>
  <c r="X56" i="1"/>
  <c r="F53" i="9" s="1"/>
  <c r="Y56" i="1"/>
  <c r="G53" i="9" s="1"/>
  <c r="P53" i="9" s="1"/>
  <c r="Z56" i="1"/>
  <c r="H53" i="9" s="1"/>
  <c r="AB71" i="1" l="1"/>
  <c r="K68" i="9" s="1"/>
  <c r="C25" i="15"/>
  <c r="C24" i="15"/>
  <c r="C27" i="15"/>
  <c r="C23" i="15"/>
  <c r="C26" i="15"/>
  <c r="CL76" i="9"/>
  <c r="CK76" i="9" s="1"/>
  <c r="M60" i="9"/>
  <c r="M61" i="9"/>
  <c r="M66" i="9"/>
  <c r="M62" i="9"/>
  <c r="M54" i="9"/>
  <c r="M63" i="9"/>
  <c r="M169" i="9"/>
  <c r="M167" i="9"/>
  <c r="M64" i="9"/>
  <c r="M67" i="9"/>
  <c r="M162" i="9"/>
  <c r="M68" i="9"/>
  <c r="M57" i="9"/>
  <c r="M55" i="9"/>
  <c r="M59" i="9"/>
  <c r="M56" i="9"/>
  <c r="M65" i="9"/>
  <c r="M58" i="9"/>
  <c r="AB59" i="1"/>
  <c r="K56" i="9" s="1"/>
  <c r="AB56" i="1"/>
  <c r="K53" i="9" s="1"/>
  <c r="AB57" i="1"/>
  <c r="K54" i="9" s="1"/>
  <c r="AB58" i="1"/>
  <c r="K55" i="9" s="1"/>
  <c r="AB60" i="1"/>
  <c r="K57" i="9" s="1"/>
  <c r="AC63" i="1"/>
  <c r="L60" i="9" s="1"/>
  <c r="AB63" i="1"/>
  <c r="K60" i="9" s="1"/>
  <c r="AB62" i="1"/>
  <c r="K59" i="9" s="1"/>
  <c r="AB61" i="1"/>
  <c r="K58" i="9" s="1"/>
  <c r="AC69" i="1"/>
  <c r="L66" i="9" s="1"/>
  <c r="AB69" i="1"/>
  <c r="K66" i="9" s="1"/>
  <c r="AB65" i="1"/>
  <c r="K62" i="9" s="1"/>
  <c r="AB64" i="1"/>
  <c r="K61" i="9" s="1"/>
  <c r="AC70" i="1"/>
  <c r="L67" i="9" s="1"/>
  <c r="AB70" i="1"/>
  <c r="K67" i="9" s="1"/>
  <c r="AC56" i="1"/>
  <c r="L53" i="9" s="1"/>
  <c r="AC57" i="1"/>
  <c r="L54" i="9" s="1"/>
  <c r="AC58" i="1"/>
  <c r="L55" i="9" s="1"/>
  <c r="AC59" i="1"/>
  <c r="L56" i="9" s="1"/>
  <c r="AC60" i="1"/>
  <c r="L57" i="9" s="1"/>
  <c r="AC62" i="1"/>
  <c r="L59" i="9" s="1"/>
  <c r="AC61" i="1"/>
  <c r="L58" i="9" s="1"/>
  <c r="AC65" i="1"/>
  <c r="L62" i="9" s="1"/>
  <c r="AC64" i="1"/>
  <c r="L61" i="9" s="1"/>
  <c r="AC71" i="1"/>
  <c r="L68" i="9" s="1"/>
  <c r="AD63" i="1"/>
  <c r="AD69" i="1"/>
  <c r="AD70" i="1"/>
  <c r="AD59" i="1"/>
  <c r="C22" i="15"/>
  <c r="C21" i="15"/>
  <c r="C20" i="15"/>
  <c r="C19" i="15"/>
  <c r="C12" i="15"/>
  <c r="C13" i="15"/>
  <c r="C15" i="15"/>
  <c r="C18" i="15"/>
  <c r="C17" i="15"/>
  <c r="C16" i="15"/>
  <c r="C14" i="15"/>
  <c r="AD56" i="1"/>
  <c r="AD57" i="1"/>
  <c r="AD58" i="1"/>
  <c r="AD60" i="1"/>
  <c r="AD62" i="1"/>
  <c r="AD61" i="1"/>
  <c r="AD65" i="1"/>
  <c r="AD64" i="1"/>
  <c r="AD71" i="1"/>
  <c r="AA59" i="1"/>
  <c r="J56" i="9" s="1"/>
  <c r="AA63" i="1"/>
  <c r="J60" i="9" s="1"/>
  <c r="AA69" i="1"/>
  <c r="J66" i="9" s="1"/>
  <c r="AA70" i="1"/>
  <c r="J67" i="9" s="1"/>
  <c r="D69" i="13"/>
  <c r="F69" i="13"/>
  <c r="I69" i="13" s="1"/>
  <c r="N32" i="11"/>
  <c r="AA71" i="1"/>
  <c r="J68" i="9" s="1"/>
  <c r="BO48" i="9"/>
  <c r="BO47" i="9"/>
  <c r="BO46" i="9"/>
  <c r="BO45" i="9"/>
  <c r="BO44" i="9"/>
  <c r="BO43" i="9"/>
  <c r="BO42" i="9"/>
  <c r="BO41" i="9"/>
  <c r="BO40" i="9"/>
  <c r="D63" i="13"/>
  <c r="F63" i="13"/>
  <c r="I63" i="13" s="1"/>
  <c r="AB43" i="9"/>
  <c r="AB42" i="9"/>
  <c r="AB41" i="9"/>
  <c r="AA56" i="1"/>
  <c r="J53" i="9" s="1"/>
  <c r="AA57" i="1"/>
  <c r="J54" i="9" s="1"/>
  <c r="AA58" i="1"/>
  <c r="J55" i="9" s="1"/>
  <c r="AA60" i="1"/>
  <c r="J57" i="9" s="1"/>
  <c r="AA62" i="1"/>
  <c r="J59" i="9" s="1"/>
  <c r="AA61" i="1"/>
  <c r="J58" i="9" s="1"/>
  <c r="O84" i="2"/>
  <c r="AA64" i="1"/>
  <c r="J61" i="9" s="1"/>
  <c r="AA65" i="1"/>
  <c r="J62" i="9" s="1"/>
  <c r="AB67" i="1"/>
  <c r="K64" i="9" s="1"/>
  <c r="F65" i="2"/>
  <c r="T68" i="9" s="1"/>
  <c r="S68" i="9" s="1"/>
  <c r="AB35" i="2"/>
  <c r="AF38" i="9" s="1"/>
  <c r="AE38" i="9" s="1"/>
  <c r="AB36" i="2"/>
  <c r="AF39" i="9" s="1"/>
  <c r="AE39" i="9" s="1"/>
  <c r="F62" i="2"/>
  <c r="T65" i="9" s="1"/>
  <c r="S65" i="9" s="1"/>
  <c r="F63" i="2"/>
  <c r="T66" i="9" s="1"/>
  <c r="S66" i="9" s="1"/>
  <c r="F64" i="2"/>
  <c r="T67" i="9" s="1"/>
  <c r="S67" i="9" s="1"/>
  <c r="U55" i="1"/>
  <c r="C52" i="9" s="1"/>
  <c r="O52" i="9" s="1"/>
  <c r="V55" i="1"/>
  <c r="D52" i="9" s="1"/>
  <c r="W55" i="1"/>
  <c r="E52" i="9" s="1"/>
  <c r="N52" i="9" s="1"/>
  <c r="X55" i="1"/>
  <c r="F52" i="9" s="1"/>
  <c r="Y55" i="1"/>
  <c r="G52" i="9" s="1"/>
  <c r="P52" i="9" s="1"/>
  <c r="Z55" i="1"/>
  <c r="H52" i="9" s="1"/>
  <c r="F61" i="2"/>
  <c r="T64" i="9" s="1"/>
  <c r="S64" i="9" s="1"/>
  <c r="AK10" i="15"/>
  <c r="AJ10" i="15"/>
  <c r="CW12" i="9" s="1"/>
  <c r="Z10" i="15"/>
  <c r="Y10" i="15"/>
  <c r="CT12" i="9" s="1"/>
  <c r="O11" i="15"/>
  <c r="N11" i="15"/>
  <c r="CQ13" i="9" s="1"/>
  <c r="AJ15" i="17"/>
  <c r="AJ14" i="17"/>
  <c r="AJ13" i="17"/>
  <c r="AM13" i="17" s="1"/>
  <c r="AM10" i="17"/>
  <c r="AK3" i="17"/>
  <c r="AO8" i="17"/>
  <c r="AM9" i="17"/>
  <c r="AM8" i="17"/>
  <c r="F55" i="2"/>
  <c r="T58" i="9" s="1"/>
  <c r="S58" i="9" s="1"/>
  <c r="F56" i="2"/>
  <c r="T59" i="9" s="1"/>
  <c r="S59" i="9" s="1"/>
  <c r="F57" i="2"/>
  <c r="T60" i="9" s="1"/>
  <c r="S60" i="9" s="1"/>
  <c r="F58" i="2"/>
  <c r="T61" i="9" s="1"/>
  <c r="S61" i="9" s="1"/>
  <c r="F59" i="2"/>
  <c r="T62" i="9" s="1"/>
  <c r="S62" i="9" s="1"/>
  <c r="F60" i="2"/>
  <c r="T63" i="9" s="1"/>
  <c r="S63" i="9" s="1"/>
  <c r="AK9" i="15"/>
  <c r="AJ9" i="15"/>
  <c r="CW11" i="9" s="1"/>
  <c r="Z9" i="15"/>
  <c r="Y9" i="15"/>
  <c r="CT11" i="9" s="1"/>
  <c r="O10" i="15"/>
  <c r="N10" i="15"/>
  <c r="CQ12" i="9" s="1"/>
  <c r="G52" i="1"/>
  <c r="B49" i="9" s="1"/>
  <c r="A49" i="9" s="1"/>
  <c r="G53" i="1"/>
  <c r="B50" i="9" s="1"/>
  <c r="A50" i="9" s="1"/>
  <c r="G54" i="1"/>
  <c r="B51" i="9" s="1"/>
  <c r="A51" i="9" s="1"/>
  <c r="G55" i="1"/>
  <c r="B52" i="9" s="1"/>
  <c r="A52" i="9" s="1"/>
  <c r="G56" i="1"/>
  <c r="B53" i="9" s="1"/>
  <c r="A53" i="9" s="1"/>
  <c r="F51" i="2"/>
  <c r="T54" i="9" s="1"/>
  <c r="S54" i="9" s="1"/>
  <c r="F52" i="2"/>
  <c r="T55" i="9" s="1"/>
  <c r="S55" i="9" s="1"/>
  <c r="F53" i="2"/>
  <c r="T56" i="9" s="1"/>
  <c r="S56" i="9" s="1"/>
  <c r="F54" i="2"/>
  <c r="T57" i="9" s="1"/>
  <c r="S57" i="9" s="1"/>
  <c r="Z35" i="11"/>
  <c r="AA35" i="11" s="1"/>
  <c r="J17" i="5"/>
  <c r="BD16" i="9" s="1"/>
  <c r="K17" i="5"/>
  <c r="BE16" i="9" s="1"/>
  <c r="J18" i="5"/>
  <c r="BD17" i="9" s="1"/>
  <c r="K18" i="5"/>
  <c r="BE17" i="9" s="1"/>
  <c r="J19" i="5"/>
  <c r="BD18" i="9" s="1"/>
  <c r="K19" i="5"/>
  <c r="BE18" i="9" s="1"/>
  <c r="A70" i="14"/>
  <c r="CL73" i="9" s="1"/>
  <c r="CK73" i="9" s="1"/>
  <c r="A71" i="14"/>
  <c r="CL74" i="9" s="1"/>
  <c r="CK74" i="9" s="1"/>
  <c r="A72" i="14"/>
  <c r="CL75" i="9" s="1"/>
  <c r="CK75" i="9" s="1"/>
  <c r="F50" i="2"/>
  <c r="T53" i="9" s="1"/>
  <c r="S53" i="9" s="1"/>
  <c r="Z6" i="15"/>
  <c r="Y6" i="15"/>
  <c r="CT8" i="9" s="1"/>
  <c r="AK8" i="15"/>
  <c r="AJ8" i="15"/>
  <c r="CW10" i="9" s="1"/>
  <c r="Z8" i="15"/>
  <c r="Y8" i="15"/>
  <c r="CT10" i="9" s="1"/>
  <c r="Z7" i="15"/>
  <c r="Y7" i="15"/>
  <c r="CT9" i="9" s="1"/>
  <c r="AK7" i="15"/>
  <c r="AJ7" i="15"/>
  <c r="CW9" i="9" s="1"/>
  <c r="O9" i="15"/>
  <c r="N9" i="15"/>
  <c r="CQ11" i="9" s="1"/>
  <c r="X7" i="11"/>
  <c r="Z4" i="17"/>
  <c r="B1" i="17"/>
  <c r="BO28" i="9"/>
  <c r="E7" i="16"/>
  <c r="A7" i="16" s="1"/>
  <c r="E5" i="16"/>
  <c r="A5" i="16" s="1"/>
  <c r="A6" i="16"/>
  <c r="A8" i="16"/>
  <c r="A4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D3" i="16"/>
  <c r="A68" i="14"/>
  <c r="A69" i="14"/>
  <c r="CL72" i="9" s="1"/>
  <c r="CK72" i="9" s="1"/>
  <c r="F49" i="2"/>
  <c r="T52" i="9" s="1"/>
  <c r="S52" i="9" s="1"/>
  <c r="F48" i="2"/>
  <c r="T51" i="9" s="1"/>
  <c r="S51" i="9" s="1"/>
  <c r="AJ5" i="15"/>
  <c r="CW7" i="9" s="1"/>
  <c r="AJ6" i="15"/>
  <c r="CW8" i="9" s="1"/>
  <c r="AJ4" i="15"/>
  <c r="G1" i="15"/>
  <c r="O5" i="15"/>
  <c r="O6" i="15"/>
  <c r="O7" i="15"/>
  <c r="O8" i="15"/>
  <c r="O4" i="15"/>
  <c r="AK5" i="15"/>
  <c r="AK6" i="15"/>
  <c r="AK4" i="15"/>
  <c r="Z5" i="15"/>
  <c r="Z4" i="15"/>
  <c r="Y5" i="15"/>
  <c r="CT7" i="9" s="1"/>
  <c r="Y4" i="15"/>
  <c r="CT6" i="9" s="1"/>
  <c r="N5" i="15"/>
  <c r="CQ7" i="9" s="1"/>
  <c r="N6" i="15"/>
  <c r="CQ8" i="9" s="1"/>
  <c r="N7" i="15"/>
  <c r="CQ9" i="9" s="1"/>
  <c r="N8" i="15"/>
  <c r="CQ10" i="9" s="1"/>
  <c r="N4" i="15"/>
  <c r="CQ6" i="9" s="1"/>
  <c r="Q23" i="2"/>
  <c r="Z26" i="9" s="1"/>
  <c r="Y26" i="9" s="1"/>
  <c r="Q24" i="2"/>
  <c r="Z27" i="9" s="1"/>
  <c r="Y27" i="9" s="1"/>
  <c r="Q25" i="2"/>
  <c r="Z28" i="9" s="1"/>
  <c r="Y28" i="9" s="1"/>
  <c r="Q26" i="2"/>
  <c r="Z29" i="9" s="1"/>
  <c r="Y29" i="9" s="1"/>
  <c r="Q27" i="2"/>
  <c r="Z30" i="9" s="1"/>
  <c r="Y30" i="9" s="1"/>
  <c r="Q28" i="2"/>
  <c r="Z31" i="9" s="1"/>
  <c r="Y31" i="9" s="1"/>
  <c r="Q29" i="2"/>
  <c r="Z32" i="9" s="1"/>
  <c r="Y32" i="9" s="1"/>
  <c r="Q30" i="2"/>
  <c r="Z33" i="9" s="1"/>
  <c r="Y33" i="9" s="1"/>
  <c r="Q31" i="2"/>
  <c r="Z34" i="9" s="1"/>
  <c r="Y34" i="9" s="1"/>
  <c r="Q32" i="2"/>
  <c r="Z35" i="9" s="1"/>
  <c r="Y35" i="9" s="1"/>
  <c r="Q33" i="2"/>
  <c r="Z36" i="9" s="1"/>
  <c r="Y36" i="9" s="1"/>
  <c r="Q34" i="2"/>
  <c r="Z37" i="9" s="1"/>
  <c r="Y37" i="9" s="1"/>
  <c r="Q35" i="2"/>
  <c r="Z38" i="9" s="1"/>
  <c r="Y38" i="9" s="1"/>
  <c r="Q36" i="2"/>
  <c r="Z39" i="9" s="1"/>
  <c r="Y39" i="9" s="1"/>
  <c r="Q37" i="2"/>
  <c r="Z40" i="9" s="1"/>
  <c r="Y40" i="9" s="1"/>
  <c r="AB11" i="9"/>
  <c r="AB13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26" i="2"/>
  <c r="AF29" i="9" s="1"/>
  <c r="AE29" i="9" s="1"/>
  <c r="AB27" i="2"/>
  <c r="AF30" i="9" s="1"/>
  <c r="AE30" i="9" s="1"/>
  <c r="AB28" i="2"/>
  <c r="AF31" i="9" s="1"/>
  <c r="AE31" i="9" s="1"/>
  <c r="AB29" i="2"/>
  <c r="AF32" i="9" s="1"/>
  <c r="AE32" i="9" s="1"/>
  <c r="AB30" i="2"/>
  <c r="AF33" i="9" s="1"/>
  <c r="AE33" i="9" s="1"/>
  <c r="AB31" i="2"/>
  <c r="AF34" i="9" s="1"/>
  <c r="AE34" i="9" s="1"/>
  <c r="AB32" i="2"/>
  <c r="AF35" i="9" s="1"/>
  <c r="AE35" i="9" s="1"/>
  <c r="AB33" i="2"/>
  <c r="AF36" i="9" s="1"/>
  <c r="AE36" i="9" s="1"/>
  <c r="AB34" i="2"/>
  <c r="AF37" i="9" s="1"/>
  <c r="AE37" i="9" s="1"/>
  <c r="F44" i="2"/>
  <c r="T47" i="9" s="1"/>
  <c r="S47" i="9" s="1"/>
  <c r="F45" i="2"/>
  <c r="T48" i="9" s="1"/>
  <c r="S48" i="9" s="1"/>
  <c r="F46" i="2"/>
  <c r="T49" i="9" s="1"/>
  <c r="S49" i="9" s="1"/>
  <c r="F47" i="2"/>
  <c r="T50" i="9" s="1"/>
  <c r="S50" i="9" s="1"/>
  <c r="A63" i="14"/>
  <c r="A64" i="14"/>
  <c r="A65" i="14"/>
  <c r="CL68" i="9" s="1"/>
  <c r="CK68" i="9" s="1"/>
  <c r="A66" i="14"/>
  <c r="CL69" i="9" s="1"/>
  <c r="CK69" i="9" s="1"/>
  <c r="A67" i="14"/>
  <c r="CL70" i="9" s="1"/>
  <c r="CK70" i="9" s="1"/>
  <c r="M4" i="9"/>
  <c r="M3" i="9"/>
  <c r="K1" i="5"/>
  <c r="J1" i="5"/>
  <c r="B1" i="5"/>
  <c r="K2" i="5"/>
  <c r="J2" i="5"/>
  <c r="B2" i="5"/>
  <c r="C2" i="5" s="1"/>
  <c r="K13" i="11"/>
  <c r="J13" i="11"/>
  <c r="I13" i="11"/>
  <c r="H13" i="11"/>
  <c r="G13" i="11"/>
  <c r="F13" i="11"/>
  <c r="CL66" i="9"/>
  <c r="CK66" i="9" s="1"/>
  <c r="CM66" i="9"/>
  <c r="CL67" i="9"/>
  <c r="CK67" i="9" s="1"/>
  <c r="CM67" i="9"/>
  <c r="CM68" i="9"/>
  <c r="CM69" i="9"/>
  <c r="CM70" i="9"/>
  <c r="CL71" i="9"/>
  <c r="CK71" i="9" s="1"/>
  <c r="CM71" i="9"/>
  <c r="CM56" i="9"/>
  <c r="CM57" i="9"/>
  <c r="CM58" i="9"/>
  <c r="CM59" i="9"/>
  <c r="CM60" i="9"/>
  <c r="CM61" i="9"/>
  <c r="CM62" i="9"/>
  <c r="CM63" i="9"/>
  <c r="CM64" i="9"/>
  <c r="CM65" i="9"/>
  <c r="CM7" i="9"/>
  <c r="CM8" i="9"/>
  <c r="CM9" i="9"/>
  <c r="CM10" i="9"/>
  <c r="CM11" i="9"/>
  <c r="CM12" i="9"/>
  <c r="CM13" i="9"/>
  <c r="CM14" i="9"/>
  <c r="CM15" i="9"/>
  <c r="CM16" i="9"/>
  <c r="CM17" i="9"/>
  <c r="CM18" i="9"/>
  <c r="CM19" i="9"/>
  <c r="CM20" i="9"/>
  <c r="CM21" i="9"/>
  <c r="CM22" i="9"/>
  <c r="CM23" i="9"/>
  <c r="CM24" i="9"/>
  <c r="CM25" i="9"/>
  <c r="CM26" i="9"/>
  <c r="CM27" i="9"/>
  <c r="CM28" i="9"/>
  <c r="CM29" i="9"/>
  <c r="CM46" i="9"/>
  <c r="CM47" i="9"/>
  <c r="CM48" i="9"/>
  <c r="CM49" i="9"/>
  <c r="CM50" i="9"/>
  <c r="CM51" i="9"/>
  <c r="CM52" i="9"/>
  <c r="CM53" i="9"/>
  <c r="CM54" i="9"/>
  <c r="CM55" i="9"/>
  <c r="CM6" i="9"/>
  <c r="CL6" i="9"/>
  <c r="CK6" i="9" s="1"/>
  <c r="BO29" i="9"/>
  <c r="BO30" i="9"/>
  <c r="BO31" i="9"/>
  <c r="BO32" i="9"/>
  <c r="BO33" i="9"/>
  <c r="BO34" i="9"/>
  <c r="BO35" i="9"/>
  <c r="BO36" i="9"/>
  <c r="BO37" i="9"/>
  <c r="BO38" i="9"/>
  <c r="BO39" i="9"/>
  <c r="B9" i="5"/>
  <c r="BA8" i="9" s="1"/>
  <c r="B10" i="5"/>
  <c r="BA9" i="9" s="1"/>
  <c r="B11" i="5"/>
  <c r="BA10" i="9" s="1"/>
  <c r="B12" i="5"/>
  <c r="BA11" i="9" s="1"/>
  <c r="B13" i="5"/>
  <c r="BA12" i="9" s="1"/>
  <c r="B14" i="5"/>
  <c r="BA13" i="9" s="1"/>
  <c r="B15" i="5"/>
  <c r="BA14" i="9" s="1"/>
  <c r="B16" i="5"/>
  <c r="BA15" i="9" s="1"/>
  <c r="B17" i="5"/>
  <c r="BA16" i="9" s="1"/>
  <c r="B18" i="5"/>
  <c r="BA17" i="9" s="1"/>
  <c r="B19" i="5"/>
  <c r="BA18" i="9" s="1"/>
  <c r="B20" i="5"/>
  <c r="BA19" i="9" s="1"/>
  <c r="B21" i="5"/>
  <c r="BA20" i="9" s="1"/>
  <c r="B22" i="5"/>
  <c r="BA21" i="9" s="1"/>
  <c r="B23" i="5"/>
  <c r="BA22" i="9" s="1"/>
  <c r="B24" i="5"/>
  <c r="BA23" i="9" s="1"/>
  <c r="B25" i="5"/>
  <c r="BA24" i="9" s="1"/>
  <c r="B26" i="5"/>
  <c r="BA25" i="9" s="1"/>
  <c r="B27" i="5"/>
  <c r="BA26" i="9" s="1"/>
  <c r="A62" i="14"/>
  <c r="CL65" i="9" s="1"/>
  <c r="CK65" i="9" s="1"/>
  <c r="A61" i="14"/>
  <c r="CL64" i="9" s="1"/>
  <c r="CK64" i="9" s="1"/>
  <c r="A60" i="14"/>
  <c r="CL63" i="9" s="1"/>
  <c r="CK63" i="9" s="1"/>
  <c r="A59" i="14"/>
  <c r="CL62" i="9" s="1"/>
  <c r="CK62" i="9" s="1"/>
  <c r="A58" i="14"/>
  <c r="CL61" i="9" s="1"/>
  <c r="CK61" i="9" s="1"/>
  <c r="A57" i="14"/>
  <c r="CL60" i="9" s="1"/>
  <c r="CK60" i="9" s="1"/>
  <c r="A56" i="14"/>
  <c r="CL59" i="9" s="1"/>
  <c r="CK59" i="9" s="1"/>
  <c r="A55" i="14"/>
  <c r="CL58" i="9" s="1"/>
  <c r="CK58" i="9" s="1"/>
  <c r="Z17" i="2"/>
  <c r="Z18" i="2"/>
  <c r="Z19" i="2"/>
  <c r="Z20" i="2"/>
  <c r="Z21" i="2"/>
  <c r="Z22" i="2"/>
  <c r="Z16" i="2"/>
  <c r="AL23" i="2"/>
  <c r="AL22" i="2"/>
  <c r="Z15" i="2"/>
  <c r="Z14" i="2"/>
  <c r="G48" i="1"/>
  <c r="B45" i="9" s="1"/>
  <c r="A45" i="9" s="1"/>
  <c r="G49" i="1"/>
  <c r="B46" i="9" s="1"/>
  <c r="A46" i="9" s="1"/>
  <c r="G50" i="1"/>
  <c r="B47" i="9" s="1"/>
  <c r="A47" i="9" s="1"/>
  <c r="G51" i="1"/>
  <c r="B48" i="9" s="1"/>
  <c r="A48" i="9" s="1"/>
  <c r="F43" i="2"/>
  <c r="T46" i="9" s="1"/>
  <c r="S46" i="9" s="1"/>
  <c r="AB25" i="2"/>
  <c r="AF28" i="9" s="1"/>
  <c r="AE28" i="9" s="1"/>
  <c r="J7" i="5"/>
  <c r="BD6" i="9" s="1"/>
  <c r="K7" i="5"/>
  <c r="BE6" i="9" s="1"/>
  <c r="J8" i="5"/>
  <c r="BD7" i="9" s="1"/>
  <c r="K8" i="5"/>
  <c r="BE7" i="9" s="1"/>
  <c r="J9" i="5"/>
  <c r="BD8" i="9" s="1"/>
  <c r="K9" i="5"/>
  <c r="BE8" i="9" s="1"/>
  <c r="J10" i="5"/>
  <c r="BD9" i="9" s="1"/>
  <c r="K10" i="5"/>
  <c r="BE9" i="9" s="1"/>
  <c r="J11" i="5"/>
  <c r="BD10" i="9" s="1"/>
  <c r="K11" i="5"/>
  <c r="BE10" i="9" s="1"/>
  <c r="J12" i="5"/>
  <c r="BD11" i="9" s="1"/>
  <c r="K12" i="5"/>
  <c r="BE11" i="9" s="1"/>
  <c r="J13" i="5"/>
  <c r="BD12" i="9" s="1"/>
  <c r="K13" i="5"/>
  <c r="BE12" i="9" s="1"/>
  <c r="J14" i="5"/>
  <c r="BD13" i="9" s="1"/>
  <c r="K14" i="5"/>
  <c r="BE13" i="9" s="1"/>
  <c r="J15" i="5"/>
  <c r="BD14" i="9" s="1"/>
  <c r="K15" i="5"/>
  <c r="BE14" i="9" s="1"/>
  <c r="J16" i="5"/>
  <c r="BD15" i="9" s="1"/>
  <c r="K16" i="5"/>
  <c r="BE15" i="9" s="1"/>
  <c r="A5" i="14"/>
  <c r="CL8" i="9" s="1"/>
  <c r="CK8" i="9" s="1"/>
  <c r="A6" i="14"/>
  <c r="CL9" i="9" s="1"/>
  <c r="CK9" i="9" s="1"/>
  <c r="A7" i="14"/>
  <c r="CL10" i="9" s="1"/>
  <c r="CK10" i="9" s="1"/>
  <c r="A8" i="14"/>
  <c r="CL11" i="9" s="1"/>
  <c r="CK11" i="9" s="1"/>
  <c r="A9" i="14"/>
  <c r="CL12" i="9" s="1"/>
  <c r="CK12" i="9" s="1"/>
  <c r="A10" i="14"/>
  <c r="CL13" i="9" s="1"/>
  <c r="CK13" i="9" s="1"/>
  <c r="A11" i="14"/>
  <c r="CL14" i="9" s="1"/>
  <c r="CK14" i="9" s="1"/>
  <c r="A12" i="14"/>
  <c r="CL15" i="9" s="1"/>
  <c r="CK15" i="9" s="1"/>
  <c r="A13" i="14"/>
  <c r="CL16" i="9" s="1"/>
  <c r="CK16" i="9" s="1"/>
  <c r="A14" i="14"/>
  <c r="CL17" i="9" s="1"/>
  <c r="CK17" i="9" s="1"/>
  <c r="A15" i="14"/>
  <c r="CL18" i="9" s="1"/>
  <c r="CK18" i="9" s="1"/>
  <c r="A16" i="14"/>
  <c r="CL19" i="9" s="1"/>
  <c r="CK19" i="9" s="1"/>
  <c r="A17" i="14"/>
  <c r="CL20" i="9" s="1"/>
  <c r="CK20" i="9" s="1"/>
  <c r="A18" i="14"/>
  <c r="CL21" i="9" s="1"/>
  <c r="CK21" i="9" s="1"/>
  <c r="A19" i="14"/>
  <c r="CL22" i="9" s="1"/>
  <c r="CK22" i="9" s="1"/>
  <c r="A20" i="14"/>
  <c r="CL23" i="9" s="1"/>
  <c r="CK23" i="9" s="1"/>
  <c r="A21" i="14"/>
  <c r="CL24" i="9" s="1"/>
  <c r="CK24" i="9" s="1"/>
  <c r="A22" i="14"/>
  <c r="CL25" i="9" s="1"/>
  <c r="CK25" i="9" s="1"/>
  <c r="A23" i="14"/>
  <c r="CL26" i="9" s="1"/>
  <c r="CK26" i="9" s="1"/>
  <c r="A24" i="14"/>
  <c r="CL27" i="9" s="1"/>
  <c r="CK27" i="9" s="1"/>
  <c r="A25" i="14"/>
  <c r="CL28" i="9" s="1"/>
  <c r="CK28" i="9" s="1"/>
  <c r="A26" i="14"/>
  <c r="CL29" i="9" s="1"/>
  <c r="CK29" i="9" s="1"/>
  <c r="A27" i="14"/>
  <c r="CL30" i="9" s="1"/>
  <c r="CK30" i="9" s="1"/>
  <c r="A28" i="14"/>
  <c r="CL31" i="9" s="1"/>
  <c r="CK31" i="9" s="1"/>
  <c r="A29" i="14"/>
  <c r="CL32" i="9" s="1"/>
  <c r="CK32" i="9" s="1"/>
  <c r="A30" i="14"/>
  <c r="CL33" i="9" s="1"/>
  <c r="CK33" i="9" s="1"/>
  <c r="A31" i="14"/>
  <c r="CL34" i="9" s="1"/>
  <c r="CK34" i="9" s="1"/>
  <c r="A32" i="14"/>
  <c r="CL35" i="9" s="1"/>
  <c r="CK35" i="9" s="1"/>
  <c r="A33" i="14"/>
  <c r="CL36" i="9" s="1"/>
  <c r="CK36" i="9" s="1"/>
  <c r="A34" i="14"/>
  <c r="CL37" i="9" s="1"/>
  <c r="CK37" i="9" s="1"/>
  <c r="A35" i="14"/>
  <c r="CL38" i="9" s="1"/>
  <c r="CK38" i="9" s="1"/>
  <c r="A36" i="14"/>
  <c r="CL39" i="9" s="1"/>
  <c r="CK39" i="9" s="1"/>
  <c r="A37" i="14"/>
  <c r="CL40" i="9" s="1"/>
  <c r="CK40" i="9" s="1"/>
  <c r="A38" i="14"/>
  <c r="CL41" i="9" s="1"/>
  <c r="CK41" i="9" s="1"/>
  <c r="A39" i="14"/>
  <c r="CL42" i="9" s="1"/>
  <c r="CK42" i="9" s="1"/>
  <c r="A40" i="14"/>
  <c r="CL43" i="9" s="1"/>
  <c r="CK43" i="9" s="1"/>
  <c r="A41" i="14"/>
  <c r="CL44" i="9" s="1"/>
  <c r="CK44" i="9" s="1"/>
  <c r="A42" i="14"/>
  <c r="CL45" i="9" s="1"/>
  <c r="CK45" i="9" s="1"/>
  <c r="A43" i="14"/>
  <c r="CL46" i="9" s="1"/>
  <c r="CK46" i="9" s="1"/>
  <c r="A44" i="14"/>
  <c r="CL47" i="9" s="1"/>
  <c r="CK47" i="9" s="1"/>
  <c r="A45" i="14"/>
  <c r="CL48" i="9" s="1"/>
  <c r="CK48" i="9" s="1"/>
  <c r="A46" i="14"/>
  <c r="CL49" i="9" s="1"/>
  <c r="CK49" i="9" s="1"/>
  <c r="A47" i="14"/>
  <c r="CL50" i="9" s="1"/>
  <c r="CK50" i="9" s="1"/>
  <c r="A48" i="14"/>
  <c r="CL51" i="9" s="1"/>
  <c r="CK51" i="9" s="1"/>
  <c r="A49" i="14"/>
  <c r="CL52" i="9" s="1"/>
  <c r="CK52" i="9" s="1"/>
  <c r="A50" i="14"/>
  <c r="CL53" i="9" s="1"/>
  <c r="CK53" i="9" s="1"/>
  <c r="A51" i="14"/>
  <c r="CL54" i="9" s="1"/>
  <c r="CK54" i="9" s="1"/>
  <c r="A52" i="14"/>
  <c r="CL55" i="9" s="1"/>
  <c r="CK55" i="9" s="1"/>
  <c r="A53" i="14"/>
  <c r="CL56" i="9" s="1"/>
  <c r="CK56" i="9" s="1"/>
  <c r="A54" i="14"/>
  <c r="CL57" i="9" s="1"/>
  <c r="CK57" i="9" s="1"/>
  <c r="A4" i="14"/>
  <c r="C40" i="14"/>
  <c r="CM43" i="9" s="1"/>
  <c r="C41" i="14"/>
  <c r="CM44" i="9" s="1"/>
  <c r="C42" i="14"/>
  <c r="CM45" i="9" s="1"/>
  <c r="C39" i="14"/>
  <c r="CM42" i="9" s="1"/>
  <c r="C38" i="14"/>
  <c r="CM41" i="9" s="1"/>
  <c r="C37" i="14"/>
  <c r="CM40" i="9" s="1"/>
  <c r="C33" i="14"/>
  <c r="CM36" i="9" s="1"/>
  <c r="C34" i="14"/>
  <c r="CM37" i="9" s="1"/>
  <c r="C35" i="14"/>
  <c r="CM38" i="9" s="1"/>
  <c r="C36" i="14"/>
  <c r="CM39" i="9" s="1"/>
  <c r="C32" i="14"/>
  <c r="CM35" i="9" s="1"/>
  <c r="C28" i="14"/>
  <c r="CM31" i="9" s="1"/>
  <c r="C29" i="14"/>
  <c r="CM32" i="9" s="1"/>
  <c r="C30" i="14"/>
  <c r="CM33" i="9" s="1"/>
  <c r="C31" i="14"/>
  <c r="CM34" i="9" s="1"/>
  <c r="C27" i="14"/>
  <c r="CM30" i="9" s="1"/>
  <c r="BO25" i="9"/>
  <c r="BO26" i="9"/>
  <c r="BO27" i="9"/>
  <c r="H4" i="13"/>
  <c r="H5" i="13"/>
  <c r="H6" i="13"/>
  <c r="H7" i="13"/>
  <c r="H8" i="13"/>
  <c r="H9" i="13"/>
  <c r="H10" i="13"/>
  <c r="H11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3" i="13"/>
  <c r="F10" i="13"/>
  <c r="I10" i="13" s="1"/>
  <c r="F11" i="13"/>
  <c r="I11" i="13" s="1"/>
  <c r="F12" i="13"/>
  <c r="I12" i="13" s="1"/>
  <c r="F13" i="13"/>
  <c r="I13" i="13" s="1"/>
  <c r="F14" i="13"/>
  <c r="I14" i="13" s="1"/>
  <c r="F15" i="13"/>
  <c r="I15" i="13" s="1"/>
  <c r="F16" i="13"/>
  <c r="I16" i="13" s="1"/>
  <c r="F17" i="13"/>
  <c r="I17" i="13" s="1"/>
  <c r="F18" i="13"/>
  <c r="I18" i="13" s="1"/>
  <c r="F19" i="13"/>
  <c r="I19" i="13" s="1"/>
  <c r="F20" i="13"/>
  <c r="I20" i="13" s="1"/>
  <c r="F21" i="13"/>
  <c r="I21" i="13" s="1"/>
  <c r="F22" i="13"/>
  <c r="I22" i="13" s="1"/>
  <c r="F23" i="13"/>
  <c r="I23" i="13" s="1"/>
  <c r="F24" i="13"/>
  <c r="I24" i="13" s="1"/>
  <c r="D18" i="13"/>
  <c r="D17" i="13"/>
  <c r="D16" i="13"/>
  <c r="D15" i="13"/>
  <c r="D14" i="13"/>
  <c r="D13" i="13"/>
  <c r="D12" i="13"/>
  <c r="D11" i="13"/>
  <c r="D10" i="13"/>
  <c r="F9" i="13"/>
  <c r="I9" i="13" s="1"/>
  <c r="D9" i="13"/>
  <c r="F8" i="13"/>
  <c r="I8" i="13" s="1"/>
  <c r="D8" i="13"/>
  <c r="F7" i="13"/>
  <c r="I7" i="13" s="1"/>
  <c r="D7" i="13"/>
  <c r="F6" i="13"/>
  <c r="I6" i="13" s="1"/>
  <c r="D6" i="13"/>
  <c r="F5" i="13"/>
  <c r="I5" i="13" s="1"/>
  <c r="D5" i="13"/>
  <c r="F4" i="13"/>
  <c r="I4" i="13" s="1"/>
  <c r="D4" i="13"/>
  <c r="F3" i="13"/>
  <c r="I3" i="13" s="1"/>
  <c r="D3" i="13"/>
  <c r="C37" i="2"/>
  <c r="C38" i="2"/>
  <c r="C39" i="2"/>
  <c r="C40" i="2"/>
  <c r="C34" i="2"/>
  <c r="C35" i="2"/>
  <c r="C36" i="2"/>
  <c r="C33" i="2"/>
  <c r="U46" i="1"/>
  <c r="C43" i="9" s="1"/>
  <c r="O43" i="9" s="1"/>
  <c r="V46" i="1"/>
  <c r="D43" i="9" s="1"/>
  <c r="W46" i="1"/>
  <c r="E43" i="9" s="1"/>
  <c r="N43" i="9" s="1"/>
  <c r="X46" i="1"/>
  <c r="F43" i="9" s="1"/>
  <c r="Y46" i="1"/>
  <c r="G43" i="9" s="1"/>
  <c r="P43" i="9" s="1"/>
  <c r="Z46" i="1"/>
  <c r="H43" i="9" s="1"/>
  <c r="U47" i="1"/>
  <c r="C44" i="9" s="1"/>
  <c r="O44" i="9" s="1"/>
  <c r="V47" i="1"/>
  <c r="D44" i="9" s="1"/>
  <c r="W47" i="1"/>
  <c r="E44" i="9" s="1"/>
  <c r="N44" i="9" s="1"/>
  <c r="X47" i="1"/>
  <c r="F44" i="9" s="1"/>
  <c r="Y47" i="1"/>
  <c r="G44" i="9" s="1"/>
  <c r="P44" i="9" s="1"/>
  <c r="Z47" i="1"/>
  <c r="H44" i="9" s="1"/>
  <c r="U48" i="1"/>
  <c r="C45" i="9" s="1"/>
  <c r="O45" i="9" s="1"/>
  <c r="V48" i="1"/>
  <c r="D45" i="9" s="1"/>
  <c r="W48" i="1"/>
  <c r="E45" i="9" s="1"/>
  <c r="N45" i="9" s="1"/>
  <c r="X48" i="1"/>
  <c r="F45" i="9" s="1"/>
  <c r="Y48" i="1"/>
  <c r="G45" i="9" s="1"/>
  <c r="P45" i="9" s="1"/>
  <c r="Z48" i="1"/>
  <c r="H45" i="9" s="1"/>
  <c r="U49" i="1"/>
  <c r="C46" i="9" s="1"/>
  <c r="O46" i="9" s="1"/>
  <c r="V49" i="1"/>
  <c r="D46" i="9" s="1"/>
  <c r="W49" i="1"/>
  <c r="E46" i="9" s="1"/>
  <c r="N46" i="9" s="1"/>
  <c r="X49" i="1"/>
  <c r="F46" i="9" s="1"/>
  <c r="Y49" i="1"/>
  <c r="G46" i="9" s="1"/>
  <c r="P46" i="9" s="1"/>
  <c r="Z49" i="1"/>
  <c r="H46" i="9" s="1"/>
  <c r="U50" i="1"/>
  <c r="C47" i="9" s="1"/>
  <c r="O47" i="9" s="1"/>
  <c r="V50" i="1"/>
  <c r="D47" i="9" s="1"/>
  <c r="W50" i="1"/>
  <c r="E47" i="9" s="1"/>
  <c r="N47" i="9" s="1"/>
  <c r="X50" i="1"/>
  <c r="F47" i="9" s="1"/>
  <c r="Y50" i="1"/>
  <c r="G47" i="9" s="1"/>
  <c r="P47" i="9" s="1"/>
  <c r="Z50" i="1"/>
  <c r="H47" i="9" s="1"/>
  <c r="U51" i="1"/>
  <c r="C48" i="9" s="1"/>
  <c r="O48" i="9" s="1"/>
  <c r="V51" i="1"/>
  <c r="D48" i="9" s="1"/>
  <c r="W51" i="1"/>
  <c r="E48" i="9" s="1"/>
  <c r="N48" i="9" s="1"/>
  <c r="X51" i="1"/>
  <c r="F48" i="9" s="1"/>
  <c r="Y51" i="1"/>
  <c r="G48" i="9" s="1"/>
  <c r="P48" i="9" s="1"/>
  <c r="Z51" i="1"/>
  <c r="H48" i="9" s="1"/>
  <c r="U52" i="1"/>
  <c r="C49" i="9" s="1"/>
  <c r="O49" i="9" s="1"/>
  <c r="V52" i="1"/>
  <c r="D49" i="9" s="1"/>
  <c r="W52" i="1"/>
  <c r="E49" i="9" s="1"/>
  <c r="N49" i="9" s="1"/>
  <c r="X52" i="1"/>
  <c r="F49" i="9" s="1"/>
  <c r="Y52" i="1"/>
  <c r="G49" i="9" s="1"/>
  <c r="P49" i="9" s="1"/>
  <c r="Z52" i="1"/>
  <c r="H49" i="9" s="1"/>
  <c r="U53" i="1"/>
  <c r="C50" i="9" s="1"/>
  <c r="O50" i="9" s="1"/>
  <c r="V53" i="1"/>
  <c r="D50" i="9" s="1"/>
  <c r="W53" i="1"/>
  <c r="E50" i="9" s="1"/>
  <c r="N50" i="9" s="1"/>
  <c r="X53" i="1"/>
  <c r="F50" i="9" s="1"/>
  <c r="Y53" i="1"/>
  <c r="G50" i="9" s="1"/>
  <c r="P50" i="9" s="1"/>
  <c r="Z53" i="1"/>
  <c r="H50" i="9" s="1"/>
  <c r="U54" i="1"/>
  <c r="C51" i="9" s="1"/>
  <c r="O51" i="9" s="1"/>
  <c r="V54" i="1"/>
  <c r="D51" i="9" s="1"/>
  <c r="W54" i="1"/>
  <c r="E51" i="9" s="1"/>
  <c r="N51" i="9" s="1"/>
  <c r="X54" i="1"/>
  <c r="F51" i="9" s="1"/>
  <c r="Y54" i="1"/>
  <c r="G51" i="9" s="1"/>
  <c r="P51" i="9" s="1"/>
  <c r="Z54" i="1"/>
  <c r="H51" i="9" s="1"/>
  <c r="G46" i="1"/>
  <c r="B43" i="9" s="1"/>
  <c r="A43" i="9" s="1"/>
  <c r="G47" i="1"/>
  <c r="B44" i="9" s="1"/>
  <c r="A44" i="9" s="1"/>
  <c r="H3" i="2"/>
  <c r="K3" i="2" s="1"/>
  <c r="I3" i="2"/>
  <c r="L3" i="2" s="1"/>
  <c r="V6" i="9" s="1"/>
  <c r="T3" i="2"/>
  <c r="AD3" i="2"/>
  <c r="AG3" i="2" s="1"/>
  <c r="AE3" i="2"/>
  <c r="AH3" i="2" s="1"/>
  <c r="AH6" i="9" s="1"/>
  <c r="T4" i="2"/>
  <c r="T5" i="2"/>
  <c r="I5" i="2"/>
  <c r="L5" i="2" s="1"/>
  <c r="I6" i="2"/>
  <c r="L6" i="2" s="1"/>
  <c r="T6" i="2"/>
  <c r="AE5" i="2"/>
  <c r="AH5" i="2" s="1"/>
  <c r="T7" i="2"/>
  <c r="I7" i="2"/>
  <c r="L7" i="2" s="1"/>
  <c r="AE6" i="2"/>
  <c r="AH6" i="2" s="1"/>
  <c r="T9" i="2"/>
  <c r="I9" i="2"/>
  <c r="L9" i="2" s="1"/>
  <c r="I11" i="2"/>
  <c r="L11" i="2" s="1"/>
  <c r="T11" i="2"/>
  <c r="AE7" i="2"/>
  <c r="AH7" i="2" s="1"/>
  <c r="AE8" i="2"/>
  <c r="AH8" i="2" s="1"/>
  <c r="T12" i="2"/>
  <c r="I12" i="2"/>
  <c r="L12" i="2" s="1"/>
  <c r="AE9" i="2"/>
  <c r="AH9" i="2" s="1"/>
  <c r="T13" i="2"/>
  <c r="I13" i="2"/>
  <c r="L13" i="2" s="1"/>
  <c r="I14" i="2"/>
  <c r="L14" i="2" s="1"/>
  <c r="T14" i="2"/>
  <c r="AE10" i="2"/>
  <c r="AH10" i="2" s="1"/>
  <c r="AE11" i="2"/>
  <c r="AH11" i="2" s="1"/>
  <c r="I15" i="2"/>
  <c r="L15" i="2" s="1"/>
  <c r="T15" i="2"/>
  <c r="F23" i="2"/>
  <c r="T26" i="9" s="1"/>
  <c r="S26" i="9" s="1"/>
  <c r="H28" i="2"/>
  <c r="K28" i="2" s="1"/>
  <c r="I28" i="2"/>
  <c r="L28" i="2" s="1"/>
  <c r="V31" i="9" s="1"/>
  <c r="F28" i="2"/>
  <c r="T31" i="9" s="1"/>
  <c r="S31" i="9" s="1"/>
  <c r="F29" i="2"/>
  <c r="T32" i="9" s="1"/>
  <c r="S32" i="9" s="1"/>
  <c r="F31" i="2"/>
  <c r="T34" i="9" s="1"/>
  <c r="S34" i="9" s="1"/>
  <c r="F32" i="2"/>
  <c r="T35" i="9" s="1"/>
  <c r="S35" i="9" s="1"/>
  <c r="F33" i="2"/>
  <c r="T36" i="9" s="1"/>
  <c r="S36" i="9" s="1"/>
  <c r="F34" i="2"/>
  <c r="T37" i="9" s="1"/>
  <c r="S37" i="9" s="1"/>
  <c r="F35" i="2"/>
  <c r="T38" i="9" s="1"/>
  <c r="S38" i="9" s="1"/>
  <c r="F36" i="2"/>
  <c r="T39" i="9" s="1"/>
  <c r="S39" i="9" s="1"/>
  <c r="F37" i="2"/>
  <c r="T40" i="9" s="1"/>
  <c r="S40" i="9" s="1"/>
  <c r="F38" i="2"/>
  <c r="T41" i="9" s="1"/>
  <c r="S41" i="9" s="1"/>
  <c r="F39" i="2"/>
  <c r="T42" i="9" s="1"/>
  <c r="S42" i="9" s="1"/>
  <c r="F40" i="2"/>
  <c r="T43" i="9" s="1"/>
  <c r="S43" i="9" s="1"/>
  <c r="F41" i="2"/>
  <c r="T44" i="9" s="1"/>
  <c r="S44" i="9" s="1"/>
  <c r="F42" i="2"/>
  <c r="T45" i="9" s="1"/>
  <c r="S45" i="9" s="1"/>
  <c r="N28" i="2" l="1"/>
  <c r="X31" i="9" s="1"/>
  <c r="U31" i="9"/>
  <c r="W15" i="2"/>
  <c r="N15" i="2"/>
  <c r="X18" i="9" s="1"/>
  <c r="V18" i="9"/>
  <c r="AJ11" i="2"/>
  <c r="AJ14" i="9" s="1"/>
  <c r="AH14" i="9"/>
  <c r="AJ10" i="2"/>
  <c r="AJ13" i="9" s="1"/>
  <c r="AH13" i="9"/>
  <c r="W14" i="2"/>
  <c r="N14" i="2"/>
  <c r="X17" i="9" s="1"/>
  <c r="V17" i="9"/>
  <c r="N13" i="2"/>
  <c r="X16" i="9" s="1"/>
  <c r="V16" i="9"/>
  <c r="W13" i="2"/>
  <c r="AJ9" i="2"/>
  <c r="AJ12" i="9" s="1"/>
  <c r="AH12" i="9"/>
  <c r="N12" i="2"/>
  <c r="X15" i="9" s="1"/>
  <c r="V15" i="9"/>
  <c r="W12" i="2"/>
  <c r="AJ8" i="2"/>
  <c r="AJ11" i="9" s="1"/>
  <c r="AH11" i="9"/>
  <c r="AJ7" i="2"/>
  <c r="AJ10" i="9" s="1"/>
  <c r="AH10" i="9"/>
  <c r="W11" i="2"/>
  <c r="N11" i="2"/>
  <c r="X14" i="9" s="1"/>
  <c r="V14" i="9"/>
  <c r="N9" i="2"/>
  <c r="X12" i="9" s="1"/>
  <c r="V12" i="9"/>
  <c r="W9" i="2"/>
  <c r="AJ6" i="2"/>
  <c r="AJ9" i="9" s="1"/>
  <c r="AH9" i="9"/>
  <c r="N7" i="2"/>
  <c r="X10" i="9" s="1"/>
  <c r="V10" i="9"/>
  <c r="W7" i="2"/>
  <c r="AJ5" i="2"/>
  <c r="AJ8" i="9" s="1"/>
  <c r="AH8" i="9"/>
  <c r="W6" i="2"/>
  <c r="N6" i="2"/>
  <c r="X9" i="9" s="1"/>
  <c r="V9" i="9"/>
  <c r="N5" i="2"/>
  <c r="X8" i="9" s="1"/>
  <c r="V8" i="9"/>
  <c r="W5" i="2"/>
  <c r="W4" i="2"/>
  <c r="AJ3" i="2"/>
  <c r="AJ6" i="9" s="1"/>
  <c r="AG6" i="9"/>
  <c r="W3" i="2"/>
  <c r="N3" i="2"/>
  <c r="X6" i="9" s="1"/>
  <c r="U6" i="9"/>
  <c r="AB11" i="15"/>
  <c r="AB19" i="15"/>
  <c r="AB12" i="15"/>
  <c r="AB7" i="15"/>
  <c r="AB13" i="15"/>
  <c r="AB8" i="15"/>
  <c r="AB14" i="15"/>
  <c r="AB9" i="15"/>
  <c r="AB17" i="15"/>
  <c r="AB15" i="15"/>
  <c r="AB10" i="15"/>
  <c r="AB16" i="15"/>
  <c r="AB18" i="15"/>
  <c r="AZ11" i="9"/>
  <c r="B18" i="11"/>
  <c r="B32" i="11"/>
  <c r="AZ18" i="9"/>
  <c r="B25" i="11"/>
  <c r="AZ10" i="9"/>
  <c r="B17" i="11"/>
  <c r="B16" i="11"/>
  <c r="AZ9" i="9"/>
  <c r="B30" i="11"/>
  <c r="B23" i="11"/>
  <c r="B29" i="11"/>
  <c r="B22" i="11"/>
  <c r="B31" i="11"/>
  <c r="B28" i="11"/>
  <c r="BH20" i="9" s="1"/>
  <c r="BG20" i="9" s="1"/>
  <c r="B21" i="11"/>
  <c r="B24" i="11"/>
  <c r="AZ17" i="9"/>
  <c r="B27" i="11"/>
  <c r="B20" i="11"/>
  <c r="AZ13" i="9"/>
  <c r="C15" i="5"/>
  <c r="B26" i="11"/>
  <c r="B19" i="11"/>
  <c r="E38" i="11"/>
  <c r="D42" i="11"/>
  <c r="E40" i="11"/>
  <c r="E50" i="11"/>
  <c r="C45" i="11"/>
  <c r="D39" i="11"/>
  <c r="C39" i="11"/>
  <c r="C36" i="11"/>
  <c r="E34" i="11"/>
  <c r="D34" i="11"/>
  <c r="C51" i="11"/>
  <c r="D45" i="11"/>
  <c r="E39" i="11"/>
  <c r="E51" i="11"/>
  <c r="D52" i="11"/>
  <c r="C49" i="11"/>
  <c r="C34" i="11"/>
  <c r="C52" i="11"/>
  <c r="D48" i="11"/>
  <c r="E42" i="11"/>
  <c r="C37" i="11"/>
  <c r="E52" i="11"/>
  <c r="D49" i="11"/>
  <c r="D46" i="11"/>
  <c r="C48" i="11"/>
  <c r="D51" i="11"/>
  <c r="E45" i="11"/>
  <c r="C40" i="11"/>
  <c r="C50" i="11"/>
  <c r="E49" i="11"/>
  <c r="E46" i="11"/>
  <c r="E43" i="11"/>
  <c r="E35" i="11"/>
  <c r="D36" i="11"/>
  <c r="E48" i="11"/>
  <c r="C43" i="11"/>
  <c r="D37" i="11"/>
  <c r="D47" i="11"/>
  <c r="C47" i="11"/>
  <c r="C44" i="11"/>
  <c r="C41" i="11"/>
  <c r="D35" i="11"/>
  <c r="C38" i="11"/>
  <c r="C46" i="11"/>
  <c r="D40" i="11"/>
  <c r="L40" i="11" s="1"/>
  <c r="O40" i="11" s="1"/>
  <c r="D50" i="11"/>
  <c r="L50" i="11" s="1"/>
  <c r="O50" i="11" s="1"/>
  <c r="S50" i="11" s="1"/>
  <c r="BL42" i="9" s="1"/>
  <c r="E44" i="11"/>
  <c r="D44" i="11"/>
  <c r="D41" i="11"/>
  <c r="D38" i="11"/>
  <c r="L38" i="11" s="1"/>
  <c r="O38" i="11" s="1"/>
  <c r="S38" i="11" s="1"/>
  <c r="BL30" i="9" s="1"/>
  <c r="C35" i="11"/>
  <c r="E36" i="11"/>
  <c r="D43" i="11"/>
  <c r="E37" i="11"/>
  <c r="L37" i="11" s="1"/>
  <c r="O37" i="11" s="1"/>
  <c r="S37" i="11" s="1"/>
  <c r="BL29" i="9" s="1"/>
  <c r="E47" i="11"/>
  <c r="L47" i="11" s="1"/>
  <c r="O47" i="11" s="1"/>
  <c r="S47" i="11" s="1"/>
  <c r="BL39" i="9" s="1"/>
  <c r="C42" i="11"/>
  <c r="L42" i="11" s="1"/>
  <c r="O42" i="11" s="1"/>
  <c r="S42" i="11" s="1"/>
  <c r="BL34" i="9" s="1"/>
  <c r="E41" i="11"/>
  <c r="L48" i="11"/>
  <c r="O48" i="11" s="1"/>
  <c r="S48" i="11" s="1"/>
  <c r="BL40" i="9" s="1"/>
  <c r="L45" i="11"/>
  <c r="O45" i="11" s="1"/>
  <c r="S45" i="11" s="1"/>
  <c r="BL37" i="9" s="1"/>
  <c r="P3" i="12"/>
  <c r="M45" i="9"/>
  <c r="M51" i="9"/>
  <c r="M43" i="9"/>
  <c r="M50" i="9"/>
  <c r="M47" i="9"/>
  <c r="M53" i="9"/>
  <c r="M46" i="9"/>
  <c r="M49" i="9"/>
  <c r="M44" i="9"/>
  <c r="M52" i="9"/>
  <c r="M48" i="9"/>
  <c r="A56" i="17"/>
  <c r="CZ63" i="9" s="1"/>
  <c r="CY63" i="9" s="1"/>
  <c r="L50" i="17"/>
  <c r="DC57" i="9" s="1"/>
  <c r="L55" i="17"/>
  <c r="DC62" i="9" s="1"/>
  <c r="DB62" i="9" s="1"/>
  <c r="L51" i="17"/>
  <c r="DC58" i="9" s="1"/>
  <c r="L56" i="17"/>
  <c r="DC63" i="9" s="1"/>
  <c r="DB63" i="9" s="1"/>
  <c r="L52" i="17"/>
  <c r="DC59" i="9" s="1"/>
  <c r="W55" i="17"/>
  <c r="DF59" i="9" s="1"/>
  <c r="DE59" i="9" s="1"/>
  <c r="L53" i="17"/>
  <c r="DC60" i="9" s="1"/>
  <c r="W56" i="17"/>
  <c r="DF60" i="9" s="1"/>
  <c r="DE60" i="9" s="1"/>
  <c r="W51" i="17"/>
  <c r="DF55" i="9" s="1"/>
  <c r="DE55" i="9" s="1"/>
  <c r="L54" i="17"/>
  <c r="DC61" i="9" s="1"/>
  <c r="DB61" i="9" s="1"/>
  <c r="W57" i="17"/>
  <c r="DF61" i="9" s="1"/>
  <c r="DE61" i="9" s="1"/>
  <c r="W52" i="17"/>
  <c r="DF56" i="9" s="1"/>
  <c r="DE56" i="9" s="1"/>
  <c r="W53" i="17"/>
  <c r="DF57" i="9" s="1"/>
  <c r="DE57" i="9" s="1"/>
  <c r="W54" i="17"/>
  <c r="DF58" i="9" s="1"/>
  <c r="DE58" i="9" s="1"/>
  <c r="AB55" i="1"/>
  <c r="K52" i="9" s="1"/>
  <c r="AB48" i="1"/>
  <c r="K45" i="9" s="1"/>
  <c r="AB49" i="1"/>
  <c r="K46" i="9" s="1"/>
  <c r="AB50" i="1"/>
  <c r="K47" i="9" s="1"/>
  <c r="AB51" i="1"/>
  <c r="K48" i="9" s="1"/>
  <c r="AB52" i="1"/>
  <c r="K49" i="9" s="1"/>
  <c r="AB53" i="1"/>
  <c r="K50" i="9" s="1"/>
  <c r="AB54" i="1"/>
  <c r="K51" i="9" s="1"/>
  <c r="AC68" i="1"/>
  <c r="L65" i="9" s="1"/>
  <c r="AB68" i="1"/>
  <c r="K65" i="9" s="1"/>
  <c r="AC48" i="1"/>
  <c r="L45" i="9" s="1"/>
  <c r="AC49" i="1"/>
  <c r="L46" i="9" s="1"/>
  <c r="AC50" i="1"/>
  <c r="L47" i="9" s="1"/>
  <c r="AC51" i="1"/>
  <c r="L48" i="9" s="1"/>
  <c r="AC52" i="1"/>
  <c r="L49" i="9" s="1"/>
  <c r="AC53" i="1"/>
  <c r="L50" i="9" s="1"/>
  <c r="AC54" i="1"/>
  <c r="L51" i="9" s="1"/>
  <c r="AC55" i="1"/>
  <c r="L52" i="9" s="1"/>
  <c r="AC67" i="1"/>
  <c r="L64" i="9" s="1"/>
  <c r="AD68" i="1"/>
  <c r="AB33" i="15"/>
  <c r="CV35" i="9" s="1"/>
  <c r="Q34" i="15"/>
  <c r="CS36" i="9" s="1"/>
  <c r="CR36" i="9" s="1"/>
  <c r="AB32" i="15"/>
  <c r="AB31" i="15"/>
  <c r="Q33" i="15"/>
  <c r="CS35" i="9" s="1"/>
  <c r="CR35" i="9" s="1"/>
  <c r="Q32" i="15"/>
  <c r="CS34" i="9" s="1"/>
  <c r="CR34" i="9" s="1"/>
  <c r="F35" i="15"/>
  <c r="CP37" i="9" s="1"/>
  <c r="CO37" i="9" s="1"/>
  <c r="F34" i="15"/>
  <c r="CP36" i="9" s="1"/>
  <c r="CO36" i="9" s="1"/>
  <c r="F33" i="15"/>
  <c r="CP35" i="9" s="1"/>
  <c r="CO35" i="9" s="1"/>
  <c r="AB30" i="15"/>
  <c r="Q31" i="15"/>
  <c r="CS33" i="9" s="1"/>
  <c r="CR33" i="9" s="1"/>
  <c r="W50" i="17"/>
  <c r="DF54" i="9" s="1"/>
  <c r="DE54" i="9" s="1"/>
  <c r="L49" i="17"/>
  <c r="W49" i="17"/>
  <c r="DF53" i="9" s="1"/>
  <c r="DE53" i="9" s="1"/>
  <c r="W48" i="17"/>
  <c r="DF52" i="9" s="1"/>
  <c r="DE52" i="9" s="1"/>
  <c r="L48" i="17"/>
  <c r="L47" i="17"/>
  <c r="W47" i="17"/>
  <c r="DF51" i="9" s="1"/>
  <c r="DE51" i="9" s="1"/>
  <c r="W46" i="17"/>
  <c r="DF50" i="9" s="1"/>
  <c r="DE50" i="9" s="1"/>
  <c r="L46" i="17"/>
  <c r="L45" i="17"/>
  <c r="W45" i="17"/>
  <c r="DF49" i="9" s="1"/>
  <c r="DE49" i="9" s="1"/>
  <c r="L44" i="17"/>
  <c r="A55" i="17"/>
  <c r="CZ62" i="9" s="1"/>
  <c r="CY62" i="9" s="1"/>
  <c r="A54" i="17"/>
  <c r="CZ61" i="9" s="1"/>
  <c r="CY61" i="9" s="1"/>
  <c r="A53" i="17"/>
  <c r="CZ60" i="9" s="1"/>
  <c r="CY60" i="9" s="1"/>
  <c r="A52" i="17"/>
  <c r="CZ59" i="9" s="1"/>
  <c r="CY59" i="9" s="1"/>
  <c r="A51" i="17"/>
  <c r="CZ58" i="9" s="1"/>
  <c r="CY58" i="9" s="1"/>
  <c r="A50" i="17"/>
  <c r="CZ57" i="9" s="1"/>
  <c r="CY57" i="9" s="1"/>
  <c r="A49" i="17"/>
  <c r="CZ56" i="9" s="1"/>
  <c r="CY56" i="9" s="1"/>
  <c r="A48" i="17"/>
  <c r="CZ55" i="9" s="1"/>
  <c r="CY55" i="9" s="1"/>
  <c r="A47" i="17"/>
  <c r="CZ54" i="9" s="1"/>
  <c r="CY54" i="9" s="1"/>
  <c r="A46" i="17"/>
  <c r="CZ53" i="9" s="1"/>
  <c r="CY53" i="9" s="1"/>
  <c r="A45" i="17"/>
  <c r="CZ52" i="9" s="1"/>
  <c r="CY52" i="9" s="1"/>
  <c r="A44" i="17"/>
  <c r="CZ51" i="9" s="1"/>
  <c r="CY51" i="9" s="1"/>
  <c r="AB29" i="15"/>
  <c r="Q30" i="15"/>
  <c r="CS32" i="9" s="1"/>
  <c r="CR32" i="9" s="1"/>
  <c r="F31" i="15"/>
  <c r="CP33" i="9" s="1"/>
  <c r="CO33" i="9" s="1"/>
  <c r="AB28" i="15"/>
  <c r="Q29" i="15"/>
  <c r="CS31" i="9" s="1"/>
  <c r="CR31" i="9" s="1"/>
  <c r="AB27" i="15"/>
  <c r="Q28" i="15"/>
  <c r="CS30" i="9" s="1"/>
  <c r="CR30" i="9" s="1"/>
  <c r="Q27" i="15"/>
  <c r="CS29" i="9" s="1"/>
  <c r="CR29" i="9" s="1"/>
  <c r="AB26" i="15"/>
  <c r="F32" i="15"/>
  <c r="CP34" i="9" s="1"/>
  <c r="CO34" i="9" s="1"/>
  <c r="F30" i="15"/>
  <c r="CP32" i="9" s="1"/>
  <c r="CO32" i="9" s="1"/>
  <c r="F29" i="15"/>
  <c r="CP31" i="9" s="1"/>
  <c r="CO31" i="9" s="1"/>
  <c r="F28" i="15"/>
  <c r="CP30" i="9" s="1"/>
  <c r="CO30" i="9" s="1"/>
  <c r="W44" i="17"/>
  <c r="DF48" i="9" s="1"/>
  <c r="DE48" i="9" s="1"/>
  <c r="L43" i="17"/>
  <c r="A43" i="17"/>
  <c r="CZ50" i="9" s="1"/>
  <c r="CY50" i="9" s="1"/>
  <c r="W43" i="17"/>
  <c r="DF47" i="9" s="1"/>
  <c r="DE47" i="9" s="1"/>
  <c r="L42" i="17"/>
  <c r="W42" i="17"/>
  <c r="DF46" i="9" s="1"/>
  <c r="DE46" i="9" s="1"/>
  <c r="L41" i="17"/>
  <c r="A41" i="17"/>
  <c r="CZ48" i="9" s="1"/>
  <c r="CY48" i="9" s="1"/>
  <c r="W41" i="17"/>
  <c r="DF45" i="9" s="1"/>
  <c r="DE45" i="9" s="1"/>
  <c r="W40" i="17"/>
  <c r="DF44" i="9" s="1"/>
  <c r="DE44" i="9" s="1"/>
  <c r="L40" i="17"/>
  <c r="L39" i="17"/>
  <c r="A42" i="17"/>
  <c r="CZ49" i="9" s="1"/>
  <c r="CY49" i="9" s="1"/>
  <c r="A40" i="17"/>
  <c r="CZ47" i="9" s="1"/>
  <c r="CY47" i="9" s="1"/>
  <c r="A39" i="17"/>
  <c r="CZ46" i="9" s="1"/>
  <c r="CY46" i="9" s="1"/>
  <c r="W39" i="17"/>
  <c r="DF43" i="9" s="1"/>
  <c r="DE43" i="9" s="1"/>
  <c r="L38" i="17"/>
  <c r="A38" i="17"/>
  <c r="CZ45" i="9" s="1"/>
  <c r="CY45" i="9" s="1"/>
  <c r="W38" i="17"/>
  <c r="DF42" i="9" s="1"/>
  <c r="DE42" i="9" s="1"/>
  <c r="L37" i="17"/>
  <c r="W37" i="17"/>
  <c r="DF41" i="9" s="1"/>
  <c r="DE41" i="9" s="1"/>
  <c r="L36" i="17"/>
  <c r="W36" i="17"/>
  <c r="DF40" i="9" s="1"/>
  <c r="DE40" i="9" s="1"/>
  <c r="L35" i="17"/>
  <c r="A37" i="17"/>
  <c r="CZ44" i="9" s="1"/>
  <c r="CY44" i="9" s="1"/>
  <c r="A36" i="17"/>
  <c r="CZ43" i="9" s="1"/>
  <c r="CY43" i="9" s="1"/>
  <c r="A35" i="17"/>
  <c r="CZ42" i="9" s="1"/>
  <c r="CY42" i="9" s="1"/>
  <c r="AB25" i="15"/>
  <c r="Q26" i="15"/>
  <c r="CS28" i="9" s="1"/>
  <c r="CR28" i="9" s="1"/>
  <c r="F27" i="15"/>
  <c r="CP29" i="9" s="1"/>
  <c r="CO29" i="9" s="1"/>
  <c r="AB24" i="15"/>
  <c r="Q25" i="15"/>
  <c r="CS27" i="9" s="1"/>
  <c r="CR27" i="9" s="1"/>
  <c r="F26" i="15"/>
  <c r="CP28" i="9" s="1"/>
  <c r="CO28" i="9" s="1"/>
  <c r="AB23" i="15"/>
  <c r="Q24" i="15"/>
  <c r="CS26" i="9" s="1"/>
  <c r="CR26" i="9" s="1"/>
  <c r="F25" i="15"/>
  <c r="CP27" i="9" s="1"/>
  <c r="CO27" i="9" s="1"/>
  <c r="W35" i="17"/>
  <c r="DF39" i="9" s="1"/>
  <c r="DE39" i="9" s="1"/>
  <c r="L34" i="17"/>
  <c r="W34" i="17"/>
  <c r="DF38" i="9" s="1"/>
  <c r="DE38" i="9" s="1"/>
  <c r="L33" i="17"/>
  <c r="A34" i="17"/>
  <c r="CZ41" i="9" s="1"/>
  <c r="CY41" i="9" s="1"/>
  <c r="A33" i="17"/>
  <c r="CZ40" i="9" s="1"/>
  <c r="CY40" i="9" s="1"/>
  <c r="W33" i="17"/>
  <c r="DF37" i="9" s="1"/>
  <c r="DE37" i="9" s="1"/>
  <c r="A32" i="17"/>
  <c r="CZ39" i="9" s="1"/>
  <c r="CY39" i="9" s="1"/>
  <c r="L32" i="17"/>
  <c r="W32" i="17"/>
  <c r="DF36" i="9" s="1"/>
  <c r="DE36" i="9" s="1"/>
  <c r="L31" i="17"/>
  <c r="W31" i="17"/>
  <c r="DF35" i="9" s="1"/>
  <c r="DE35" i="9" s="1"/>
  <c r="L30" i="17"/>
  <c r="A31" i="17"/>
  <c r="CZ38" i="9" s="1"/>
  <c r="CY38" i="9" s="1"/>
  <c r="A30" i="17"/>
  <c r="CZ37" i="9" s="1"/>
  <c r="CY37" i="9" s="1"/>
  <c r="AB22" i="15"/>
  <c r="Q23" i="15"/>
  <c r="CS25" i="9" s="1"/>
  <c r="CR25" i="9" s="1"/>
  <c r="F24" i="15"/>
  <c r="CP26" i="9" s="1"/>
  <c r="CO26" i="9" s="1"/>
  <c r="AB21" i="15"/>
  <c r="Q22" i="15"/>
  <c r="CS24" i="9" s="1"/>
  <c r="CR24" i="9" s="1"/>
  <c r="F23" i="15"/>
  <c r="CP25" i="9" s="1"/>
  <c r="CO25" i="9" s="1"/>
  <c r="AB20" i="15"/>
  <c r="Q21" i="15"/>
  <c r="CS23" i="9" s="1"/>
  <c r="CR23" i="9" s="1"/>
  <c r="F22" i="15"/>
  <c r="CP24" i="9" s="1"/>
  <c r="CO24" i="9" s="1"/>
  <c r="Q20" i="15"/>
  <c r="CS22" i="9" s="1"/>
  <c r="CR22" i="9" s="1"/>
  <c r="F21" i="15"/>
  <c r="CP23" i="9" s="1"/>
  <c r="CO23" i="9" s="1"/>
  <c r="Q19" i="15"/>
  <c r="CS21" i="9" s="1"/>
  <c r="CR21" i="9" s="1"/>
  <c r="F20" i="15"/>
  <c r="CP22" i="9" s="1"/>
  <c r="CO22" i="9" s="1"/>
  <c r="W30" i="17"/>
  <c r="DF34" i="9" s="1"/>
  <c r="DE34" i="9" s="1"/>
  <c r="L29" i="17"/>
  <c r="A29" i="17"/>
  <c r="CZ36" i="9" s="1"/>
  <c r="CY36" i="9" s="1"/>
  <c r="W29" i="17"/>
  <c r="DF33" i="9" s="1"/>
  <c r="DE33" i="9" s="1"/>
  <c r="L28" i="17"/>
  <c r="A28" i="17"/>
  <c r="CZ35" i="9" s="1"/>
  <c r="CY35" i="9" s="1"/>
  <c r="W28" i="17"/>
  <c r="DF32" i="9" s="1"/>
  <c r="DE32" i="9" s="1"/>
  <c r="L27" i="17"/>
  <c r="A27" i="17"/>
  <c r="CZ34" i="9" s="1"/>
  <c r="CY34" i="9" s="1"/>
  <c r="W27" i="17"/>
  <c r="DF31" i="9" s="1"/>
  <c r="DE31" i="9" s="1"/>
  <c r="L26" i="17"/>
  <c r="A26" i="17"/>
  <c r="CZ33" i="9" s="1"/>
  <c r="CY33" i="9" s="1"/>
  <c r="W26" i="17"/>
  <c r="DF30" i="9" s="1"/>
  <c r="DE30" i="9" s="1"/>
  <c r="L25" i="17"/>
  <c r="W25" i="17"/>
  <c r="DF29" i="9" s="1"/>
  <c r="DE29" i="9" s="1"/>
  <c r="L24" i="17"/>
  <c r="A25" i="17"/>
  <c r="CZ32" i="9" s="1"/>
  <c r="CY32" i="9" s="1"/>
  <c r="W24" i="17"/>
  <c r="DF28" i="9" s="1"/>
  <c r="DE28" i="9" s="1"/>
  <c r="A24" i="17"/>
  <c r="CZ31" i="9" s="1"/>
  <c r="CY31" i="9" s="1"/>
  <c r="W23" i="17"/>
  <c r="DF27" i="9" s="1"/>
  <c r="DE27" i="9" s="1"/>
  <c r="L23" i="17"/>
  <c r="A23" i="17"/>
  <c r="CZ30" i="9" s="1"/>
  <c r="CY30" i="9" s="1"/>
  <c r="Q18" i="15"/>
  <c r="CS20" i="9" s="1"/>
  <c r="CR20" i="9" s="1"/>
  <c r="F19" i="15"/>
  <c r="CP21" i="9" s="1"/>
  <c r="CO21" i="9" s="1"/>
  <c r="Q17" i="15"/>
  <c r="CS19" i="9" s="1"/>
  <c r="CR19" i="9" s="1"/>
  <c r="F18" i="15"/>
  <c r="CP20" i="9" s="1"/>
  <c r="CO20" i="9" s="1"/>
  <c r="CW6" i="9"/>
  <c r="C4" i="15"/>
  <c r="C6" i="15"/>
  <c r="C5" i="15"/>
  <c r="L22" i="17"/>
  <c r="A22" i="17"/>
  <c r="CZ29" i="9" s="1"/>
  <c r="CY29" i="9" s="1"/>
  <c r="W22" i="17"/>
  <c r="DF26" i="9" s="1"/>
  <c r="DE26" i="9" s="1"/>
  <c r="L21" i="17"/>
  <c r="A21" i="17"/>
  <c r="CZ28" i="9" s="1"/>
  <c r="CY28" i="9" s="1"/>
  <c r="W21" i="17"/>
  <c r="DF25" i="9" s="1"/>
  <c r="DE25" i="9" s="1"/>
  <c r="L20" i="17"/>
  <c r="A20" i="17"/>
  <c r="CZ27" i="9" s="1"/>
  <c r="CY27" i="9" s="1"/>
  <c r="C7" i="15"/>
  <c r="C8" i="15"/>
  <c r="C9" i="15"/>
  <c r="C11" i="15"/>
  <c r="C10" i="15"/>
  <c r="AD48" i="1"/>
  <c r="AD49" i="1"/>
  <c r="AD50" i="1"/>
  <c r="AD51" i="1"/>
  <c r="AD52" i="1"/>
  <c r="AD53" i="1"/>
  <c r="AD54" i="1"/>
  <c r="AD55" i="1"/>
  <c r="AD67" i="1"/>
  <c r="AA68" i="1"/>
  <c r="J65" i="9" s="1"/>
  <c r="CL7" i="9"/>
  <c r="Q16" i="15"/>
  <c r="CS18" i="9" s="1"/>
  <c r="CR18" i="9" s="1"/>
  <c r="F17" i="15"/>
  <c r="CP19" i="9" s="1"/>
  <c r="CO19" i="9" s="1"/>
  <c r="L11" i="17"/>
  <c r="W5" i="17"/>
  <c r="W6" i="17"/>
  <c r="W7" i="17"/>
  <c r="DF11" i="9" s="1"/>
  <c r="DE11" i="9" s="1"/>
  <c r="W8" i="17"/>
  <c r="DF12" i="9" s="1"/>
  <c r="DE12" i="9" s="1"/>
  <c r="W9" i="17"/>
  <c r="DF13" i="9" s="1"/>
  <c r="DE13" i="9" s="1"/>
  <c r="W10" i="17"/>
  <c r="DF14" i="9" s="1"/>
  <c r="DE14" i="9" s="1"/>
  <c r="W11" i="17"/>
  <c r="DF15" i="9" s="1"/>
  <c r="DE15" i="9" s="1"/>
  <c r="W12" i="17"/>
  <c r="DF16" i="9" s="1"/>
  <c r="DE16" i="9" s="1"/>
  <c r="W13" i="17"/>
  <c r="DF17" i="9" s="1"/>
  <c r="DE17" i="9" s="1"/>
  <c r="W14" i="17"/>
  <c r="DF18" i="9" s="1"/>
  <c r="DE18" i="9" s="1"/>
  <c r="W15" i="17"/>
  <c r="DF19" i="9" s="1"/>
  <c r="DE19" i="9" s="1"/>
  <c r="W16" i="17"/>
  <c r="DF20" i="9" s="1"/>
  <c r="DE20" i="9" s="1"/>
  <c r="W17" i="17"/>
  <c r="DF21" i="9" s="1"/>
  <c r="DE21" i="9" s="1"/>
  <c r="W18" i="17"/>
  <c r="DF22" i="9" s="1"/>
  <c r="DE22" i="9" s="1"/>
  <c r="W19" i="17"/>
  <c r="DF23" i="9" s="1"/>
  <c r="DE23" i="9" s="1"/>
  <c r="W20" i="17"/>
  <c r="DF24" i="9" s="1"/>
  <c r="DE24" i="9" s="1"/>
  <c r="W4" i="17"/>
  <c r="L19" i="17"/>
  <c r="A19" i="17"/>
  <c r="CZ26" i="9" s="1"/>
  <c r="CY26" i="9" s="1"/>
  <c r="A18" i="17"/>
  <c r="CZ25" i="9" s="1"/>
  <c r="CY25" i="9" s="1"/>
  <c r="L18" i="17"/>
  <c r="BO13" i="9"/>
  <c r="BO19" i="9"/>
  <c r="BO18" i="9"/>
  <c r="BO17" i="9"/>
  <c r="BO16" i="9"/>
  <c r="BO15" i="9"/>
  <c r="BO14" i="9"/>
  <c r="BO24" i="9"/>
  <c r="BO23" i="9"/>
  <c r="BO22" i="9"/>
  <c r="BO21" i="9"/>
  <c r="BO20" i="9"/>
  <c r="AZ23" i="9"/>
  <c r="AZ25" i="9"/>
  <c r="BH23" i="9"/>
  <c r="BG23" i="9" s="1"/>
  <c r="AZ27" i="9"/>
  <c r="AZ26" i="9"/>
  <c r="BH24" i="9"/>
  <c r="BG24" i="9" s="1"/>
  <c r="AZ24" i="9"/>
  <c r="BH22" i="9"/>
  <c r="BG22" i="9" s="1"/>
  <c r="Q6" i="15"/>
  <c r="CS8" i="9" s="1"/>
  <c r="CR8" i="9" s="1"/>
  <c r="Q7" i="15"/>
  <c r="CS9" i="9" s="1"/>
  <c r="CR9" i="9" s="1"/>
  <c r="Q8" i="15"/>
  <c r="CS10" i="9" s="1"/>
  <c r="CR10" i="9" s="1"/>
  <c r="Q9" i="15"/>
  <c r="CS11" i="9" s="1"/>
  <c r="CR11" i="9" s="1"/>
  <c r="Q10" i="15"/>
  <c r="CS12" i="9" s="1"/>
  <c r="CR12" i="9" s="1"/>
  <c r="Q11" i="15"/>
  <c r="CS13" i="9" s="1"/>
  <c r="CR13" i="9" s="1"/>
  <c r="Q12" i="15"/>
  <c r="CS14" i="9" s="1"/>
  <c r="CR14" i="9" s="1"/>
  <c r="AE4" i="17"/>
  <c r="AF4" i="17"/>
  <c r="AA6" i="9"/>
  <c r="AB40" i="9"/>
  <c r="AA39" i="9"/>
  <c r="AA38" i="9"/>
  <c r="AA37" i="9"/>
  <c r="AA36" i="9"/>
  <c r="AA35" i="9"/>
  <c r="AA34" i="9"/>
  <c r="AA33" i="9"/>
  <c r="AA32" i="9"/>
  <c r="AA31" i="9"/>
  <c r="AA30" i="9"/>
  <c r="AA29" i="9"/>
  <c r="AA28" i="9"/>
  <c r="AA27" i="9"/>
  <c r="AA26" i="9"/>
  <c r="AA25" i="9"/>
  <c r="AA24" i="9"/>
  <c r="AA23" i="9"/>
  <c r="AA22" i="9"/>
  <c r="AA21" i="9"/>
  <c r="AA20" i="9"/>
  <c r="AA19" i="9"/>
  <c r="AA18" i="9"/>
  <c r="AA17" i="9"/>
  <c r="AA16" i="9"/>
  <c r="AA15" i="9"/>
  <c r="AA14" i="9"/>
  <c r="AA13" i="9"/>
  <c r="AA12" i="9"/>
  <c r="AA11" i="9"/>
  <c r="AA10" i="9"/>
  <c r="AA9" i="9"/>
  <c r="AA8" i="9"/>
  <c r="AA7" i="9"/>
  <c r="Q15" i="15"/>
  <c r="CS17" i="9" s="1"/>
  <c r="CR17" i="9" s="1"/>
  <c r="F16" i="15"/>
  <c r="CP18" i="9" s="1"/>
  <c r="CO18" i="9" s="1"/>
  <c r="Q14" i="15"/>
  <c r="CS16" i="9" s="1"/>
  <c r="CR16" i="9" s="1"/>
  <c r="Q13" i="15"/>
  <c r="CS15" i="9" s="1"/>
  <c r="CR15" i="9" s="1"/>
  <c r="F15" i="15"/>
  <c r="CP17" i="9" s="1"/>
  <c r="CO17" i="9" s="1"/>
  <c r="F14" i="15"/>
  <c r="CP16" i="9" s="1"/>
  <c r="CO16" i="9" s="1"/>
  <c r="F13" i="15"/>
  <c r="CP15" i="9" s="1"/>
  <c r="CO15" i="9" s="1"/>
  <c r="F12" i="15"/>
  <c r="CP14" i="9" s="1"/>
  <c r="CO14" i="9" s="1"/>
  <c r="L17" i="17"/>
  <c r="A17" i="17"/>
  <c r="CZ24" i="9" s="1"/>
  <c r="CY24" i="9" s="1"/>
  <c r="AA51" i="1"/>
  <c r="J48" i="9" s="1"/>
  <c r="AA53" i="1"/>
  <c r="J50" i="9" s="1"/>
  <c r="AA52" i="1"/>
  <c r="J49" i="9" s="1"/>
  <c r="AA54" i="1"/>
  <c r="J51" i="9" s="1"/>
  <c r="AA48" i="1"/>
  <c r="J45" i="9" s="1"/>
  <c r="AA67" i="1"/>
  <c r="J64" i="9" s="1"/>
  <c r="AA49" i="1"/>
  <c r="J46" i="9" s="1"/>
  <c r="AA50" i="1"/>
  <c r="J47" i="9" s="1"/>
  <c r="AA55" i="1"/>
  <c r="J52" i="9" s="1"/>
  <c r="L16" i="17"/>
  <c r="A16" i="17"/>
  <c r="CZ23" i="9" s="1"/>
  <c r="CY23" i="9" s="1"/>
  <c r="L15" i="17"/>
  <c r="A15" i="17"/>
  <c r="CZ22" i="9" s="1"/>
  <c r="CY22" i="9" s="1"/>
  <c r="L14" i="17"/>
  <c r="A14" i="17"/>
  <c r="CZ21" i="9" s="1"/>
  <c r="CY21" i="9" s="1"/>
  <c r="L13" i="17"/>
  <c r="A13" i="17"/>
  <c r="CZ20" i="9" s="1"/>
  <c r="CY20" i="9" s="1"/>
  <c r="L12" i="17"/>
  <c r="A12" i="17"/>
  <c r="CZ19" i="9" s="1"/>
  <c r="CY19" i="9" s="1"/>
  <c r="L10" i="17"/>
  <c r="A11" i="17"/>
  <c r="CZ18" i="9" s="1"/>
  <c r="CY18" i="9" s="1"/>
  <c r="L9" i="17"/>
  <c r="A10" i="17"/>
  <c r="CZ17" i="9" s="1"/>
  <c r="CY17" i="9" s="1"/>
  <c r="A9" i="17"/>
  <c r="CZ16" i="9" s="1"/>
  <c r="CY16" i="9" s="1"/>
  <c r="L8" i="17"/>
  <c r="A8" i="17"/>
  <c r="CZ15" i="9" s="1"/>
  <c r="CY15" i="9" s="1"/>
  <c r="L7" i="17"/>
  <c r="F9" i="15"/>
  <c r="CP11" i="9" s="1"/>
  <c r="CO11" i="9" s="1"/>
  <c r="F11" i="15"/>
  <c r="CP13" i="9" s="1"/>
  <c r="CO13" i="9" s="1"/>
  <c r="F10" i="15"/>
  <c r="CP12" i="9" s="1"/>
  <c r="CO12" i="9" s="1"/>
  <c r="AM14" i="17"/>
  <c r="L6" i="17"/>
  <c r="A4" i="17"/>
  <c r="A5" i="17"/>
  <c r="CZ12" i="9" s="1"/>
  <c r="CY12" i="9" s="1"/>
  <c r="L4" i="17"/>
  <c r="DC11" i="9" s="1"/>
  <c r="DB11" i="9" s="1"/>
  <c r="A6" i="17"/>
  <c r="CZ13" i="9" s="1"/>
  <c r="CY13" i="9" s="1"/>
  <c r="A7" i="17"/>
  <c r="CZ14" i="9" s="1"/>
  <c r="CY14" i="9" s="1"/>
  <c r="L5" i="17"/>
  <c r="A3" i="16"/>
  <c r="B8" i="16"/>
  <c r="C8" i="16"/>
  <c r="B4" i="16"/>
  <c r="C4" i="16"/>
  <c r="B5" i="16"/>
  <c r="B6" i="16"/>
  <c r="C6" i="16"/>
  <c r="B7" i="16"/>
  <c r="C3" i="16"/>
  <c r="B3" i="16"/>
  <c r="C7" i="16"/>
  <c r="C5" i="16"/>
  <c r="AB6" i="15"/>
  <c r="AB5" i="15"/>
  <c r="AB4" i="15"/>
  <c r="CV6" i="9" s="1"/>
  <c r="CU6" i="9" s="1"/>
  <c r="Q5" i="15"/>
  <c r="CS7" i="9" s="1"/>
  <c r="CR7" i="9" s="1"/>
  <c r="Q4" i="15"/>
  <c r="CS6" i="9" s="1"/>
  <c r="CR6" i="9" s="1"/>
  <c r="F5" i="15"/>
  <c r="F6" i="15"/>
  <c r="F7" i="15"/>
  <c r="F8" i="15"/>
  <c r="F4" i="15"/>
  <c r="CP6" i="9" s="1"/>
  <c r="CO6" i="9" s="1"/>
  <c r="J3" i="13"/>
  <c r="AZ22" i="9"/>
  <c r="AZ21" i="9"/>
  <c r="BH18" i="9"/>
  <c r="BG18" i="9" s="1"/>
  <c r="AZ20" i="9"/>
  <c r="AZ19" i="9"/>
  <c r="AZ16" i="9"/>
  <c r="AZ15" i="9"/>
  <c r="AZ14" i="9"/>
  <c r="BH11" i="9"/>
  <c r="BG11" i="9" s="1"/>
  <c r="AZ12" i="9"/>
  <c r="M2" i="9"/>
  <c r="N20" i="11"/>
  <c r="N22" i="11"/>
  <c r="N21" i="11"/>
  <c r="C13" i="5"/>
  <c r="N17" i="11"/>
  <c r="BH9" i="9"/>
  <c r="BG9" i="9" s="1"/>
  <c r="BH19" i="9"/>
  <c r="BG19" i="9" s="1"/>
  <c r="N19" i="11"/>
  <c r="N18" i="11"/>
  <c r="N25" i="11"/>
  <c r="N24" i="11"/>
  <c r="N23" i="11"/>
  <c r="C14" i="5"/>
  <c r="AB12" i="2"/>
  <c r="AF15" i="9" s="1"/>
  <c r="AE15" i="9" s="1"/>
  <c r="AB13" i="2"/>
  <c r="AF16" i="9" s="1"/>
  <c r="AE16" i="9" s="1"/>
  <c r="AB14" i="2"/>
  <c r="AF17" i="9" s="1"/>
  <c r="AE17" i="9" s="1"/>
  <c r="AB15" i="2"/>
  <c r="AF18" i="9" s="1"/>
  <c r="AE18" i="9" s="1"/>
  <c r="AB16" i="2"/>
  <c r="AF19" i="9" s="1"/>
  <c r="AE19" i="9" s="1"/>
  <c r="AB17" i="2"/>
  <c r="AF20" i="9" s="1"/>
  <c r="AE20" i="9" s="1"/>
  <c r="AB18" i="2"/>
  <c r="AF21" i="9" s="1"/>
  <c r="AE21" i="9" s="1"/>
  <c r="AB19" i="2"/>
  <c r="AF22" i="9" s="1"/>
  <c r="AE22" i="9" s="1"/>
  <c r="AB20" i="2"/>
  <c r="AF23" i="9" s="1"/>
  <c r="AE23" i="9" s="1"/>
  <c r="AB21" i="2"/>
  <c r="AF24" i="9" s="1"/>
  <c r="AE24" i="9" s="1"/>
  <c r="AB22" i="2"/>
  <c r="AF25" i="9" s="1"/>
  <c r="AE25" i="9" s="1"/>
  <c r="AB23" i="2"/>
  <c r="AF26" i="9" s="1"/>
  <c r="AE26" i="9" s="1"/>
  <c r="AB24" i="2"/>
  <c r="AF27" i="9" s="1"/>
  <c r="AE27" i="9" s="1"/>
  <c r="Q4" i="2"/>
  <c r="Z7" i="9" s="1"/>
  <c r="Y7" i="9" s="1"/>
  <c r="Q5" i="2"/>
  <c r="Z8" i="9" s="1"/>
  <c r="Y8" i="9" s="1"/>
  <c r="Q6" i="2"/>
  <c r="Z9" i="9" s="1"/>
  <c r="Y9" i="9" s="1"/>
  <c r="Q7" i="2"/>
  <c r="Z10" i="9" s="1"/>
  <c r="Y10" i="9" s="1"/>
  <c r="Q8" i="2"/>
  <c r="Z11" i="9" s="1"/>
  <c r="Y11" i="9" s="1"/>
  <c r="Q9" i="2"/>
  <c r="Z12" i="9" s="1"/>
  <c r="Y12" i="9" s="1"/>
  <c r="Q10" i="2"/>
  <c r="Z13" i="9" s="1"/>
  <c r="Y13" i="9" s="1"/>
  <c r="Q11" i="2"/>
  <c r="Z14" i="9" s="1"/>
  <c r="Y14" i="9" s="1"/>
  <c r="Q12" i="2"/>
  <c r="Z15" i="9" s="1"/>
  <c r="Y15" i="9" s="1"/>
  <c r="Q13" i="2"/>
  <c r="Z16" i="9" s="1"/>
  <c r="Y16" i="9" s="1"/>
  <c r="Q14" i="2"/>
  <c r="Z17" i="9" s="1"/>
  <c r="Y17" i="9" s="1"/>
  <c r="Q15" i="2"/>
  <c r="Z18" i="9" s="1"/>
  <c r="Y18" i="9" s="1"/>
  <c r="Q16" i="2"/>
  <c r="Z19" i="9" s="1"/>
  <c r="Y19" i="9" s="1"/>
  <c r="Q17" i="2"/>
  <c r="Z20" i="9" s="1"/>
  <c r="Y20" i="9" s="1"/>
  <c r="Q18" i="2"/>
  <c r="Z21" i="9" s="1"/>
  <c r="Y21" i="9" s="1"/>
  <c r="Q19" i="2"/>
  <c r="Z22" i="9" s="1"/>
  <c r="Y22" i="9" s="1"/>
  <c r="Q20" i="2"/>
  <c r="Z23" i="9" s="1"/>
  <c r="Y23" i="9" s="1"/>
  <c r="Q21" i="2"/>
  <c r="Z24" i="9" s="1"/>
  <c r="Y24" i="9" s="1"/>
  <c r="Q22" i="2"/>
  <c r="Z25" i="9" s="1"/>
  <c r="Y25" i="9" s="1"/>
  <c r="Q3" i="2"/>
  <c r="Z6" i="9" s="1"/>
  <c r="Y6" i="9" s="1"/>
  <c r="F16" i="2"/>
  <c r="T19" i="9" s="1"/>
  <c r="S19" i="9" s="1"/>
  <c r="F17" i="2"/>
  <c r="T20" i="9" s="1"/>
  <c r="S20" i="9" s="1"/>
  <c r="F18" i="2"/>
  <c r="T21" i="9" s="1"/>
  <c r="S21" i="9" s="1"/>
  <c r="F19" i="2"/>
  <c r="T22" i="9" s="1"/>
  <c r="S22" i="9" s="1"/>
  <c r="F20" i="2"/>
  <c r="T23" i="9" s="1"/>
  <c r="S23" i="9" s="1"/>
  <c r="F21" i="2"/>
  <c r="T24" i="9" s="1"/>
  <c r="S24" i="9" s="1"/>
  <c r="F22" i="2"/>
  <c r="T25" i="9" s="1"/>
  <c r="S25" i="9" s="1"/>
  <c r="F24" i="2"/>
  <c r="T27" i="9" s="1"/>
  <c r="S27" i="9" s="1"/>
  <c r="F25" i="2"/>
  <c r="T28" i="9" s="1"/>
  <c r="S28" i="9" s="1"/>
  <c r="F26" i="2"/>
  <c r="T29" i="9" s="1"/>
  <c r="S29" i="9" s="1"/>
  <c r="F27" i="2"/>
  <c r="T30" i="9" s="1"/>
  <c r="S30" i="9" s="1"/>
  <c r="F30" i="2"/>
  <c r="T33" i="9" s="1"/>
  <c r="S33" i="9" s="1"/>
  <c r="X40" i="1"/>
  <c r="F37" i="9" s="1"/>
  <c r="Z40" i="1"/>
  <c r="H37" i="9" s="1"/>
  <c r="G43" i="1"/>
  <c r="B40" i="9" s="1"/>
  <c r="A40" i="9" s="1"/>
  <c r="G44" i="1"/>
  <c r="B41" i="9" s="1"/>
  <c r="A41" i="9" s="1"/>
  <c r="G45" i="1"/>
  <c r="B42" i="9" s="1"/>
  <c r="A42" i="9" s="1"/>
  <c r="G42" i="1"/>
  <c r="B39" i="9" s="1"/>
  <c r="A39" i="9" s="1"/>
  <c r="G39" i="1"/>
  <c r="G40" i="1"/>
  <c r="B37" i="9" s="1"/>
  <c r="A37" i="9" s="1"/>
  <c r="G41" i="1"/>
  <c r="B38" i="9" s="1"/>
  <c r="A38" i="9" s="1"/>
  <c r="BO12" i="9"/>
  <c r="C12" i="5"/>
  <c r="F13" i="2"/>
  <c r="T16" i="9" s="1"/>
  <c r="S16" i="9" s="1"/>
  <c r="F14" i="2"/>
  <c r="T17" i="9" s="1"/>
  <c r="S17" i="9" s="1"/>
  <c r="F15" i="2"/>
  <c r="T18" i="9" s="1"/>
  <c r="S18" i="9" s="1"/>
  <c r="G37" i="1"/>
  <c r="B34" i="9" s="1"/>
  <c r="A34" i="9" s="1"/>
  <c r="G38" i="1"/>
  <c r="B35" i="9" s="1"/>
  <c r="A35" i="9" s="1"/>
  <c r="B7" i="5"/>
  <c r="BA6" i="9" s="1"/>
  <c r="B8" i="5"/>
  <c r="BA7" i="9" s="1"/>
  <c r="P6" i="3"/>
  <c r="C6" i="3"/>
  <c r="P5" i="3"/>
  <c r="C5" i="3"/>
  <c r="P4" i="3"/>
  <c r="C4" i="3"/>
  <c r="P3" i="3"/>
  <c r="C3" i="3"/>
  <c r="F12" i="2"/>
  <c r="T15" i="9" s="1"/>
  <c r="S15" i="9" s="1"/>
  <c r="AB11" i="2"/>
  <c r="AF14" i="9" s="1"/>
  <c r="AE14" i="9" s="1"/>
  <c r="F11" i="2"/>
  <c r="T14" i="9" s="1"/>
  <c r="S14" i="9" s="1"/>
  <c r="AB10" i="2"/>
  <c r="AF13" i="9" s="1"/>
  <c r="AE13" i="9" s="1"/>
  <c r="F10" i="2"/>
  <c r="T13" i="9" s="1"/>
  <c r="S13" i="9" s="1"/>
  <c r="AB9" i="2"/>
  <c r="AF12" i="9" s="1"/>
  <c r="AE12" i="9" s="1"/>
  <c r="F9" i="2"/>
  <c r="T12" i="9" s="1"/>
  <c r="S12" i="9" s="1"/>
  <c r="AB8" i="2"/>
  <c r="AF11" i="9" s="1"/>
  <c r="AE11" i="9" s="1"/>
  <c r="F8" i="2"/>
  <c r="T11" i="9" s="1"/>
  <c r="S11" i="9" s="1"/>
  <c r="AB7" i="2"/>
  <c r="AF10" i="9" s="1"/>
  <c r="AE10" i="9" s="1"/>
  <c r="F7" i="2"/>
  <c r="T10" i="9" s="1"/>
  <c r="S10" i="9" s="1"/>
  <c r="AY6" i="2"/>
  <c r="AB6" i="2"/>
  <c r="AF9" i="9" s="1"/>
  <c r="AE9" i="9" s="1"/>
  <c r="F6" i="2"/>
  <c r="T9" i="9" s="1"/>
  <c r="S9" i="9" s="1"/>
  <c r="AY5" i="2"/>
  <c r="AB5" i="2"/>
  <c r="AF8" i="9" s="1"/>
  <c r="AE8" i="9" s="1"/>
  <c r="F5" i="2"/>
  <c r="T8" i="9" s="1"/>
  <c r="S8" i="9" s="1"/>
  <c r="BK4" i="2"/>
  <c r="AY4" i="2"/>
  <c r="AB4" i="2"/>
  <c r="AF7" i="9" s="1"/>
  <c r="AE7" i="9" s="1"/>
  <c r="F4" i="2"/>
  <c r="T7" i="9" s="1"/>
  <c r="S7" i="9" s="1"/>
  <c r="BK3" i="2"/>
  <c r="AY3" i="2"/>
  <c r="AB3" i="2"/>
  <c r="AF6" i="9" s="1"/>
  <c r="AE6" i="9" s="1"/>
  <c r="F3" i="2"/>
  <c r="T6" i="9" s="1"/>
  <c r="S6" i="9" s="1"/>
  <c r="Z45" i="1"/>
  <c r="H42" i="9" s="1"/>
  <c r="Y45" i="1"/>
  <c r="G42" i="9" s="1"/>
  <c r="P42" i="9" s="1"/>
  <c r="X45" i="1"/>
  <c r="F42" i="9" s="1"/>
  <c r="W45" i="1"/>
  <c r="E42" i="9" s="1"/>
  <c r="N42" i="9" s="1"/>
  <c r="V45" i="1"/>
  <c r="D42" i="9" s="1"/>
  <c r="U45" i="1"/>
  <c r="C42" i="9" s="1"/>
  <c r="O42" i="9" s="1"/>
  <c r="Z44" i="1"/>
  <c r="H41" i="9" s="1"/>
  <c r="Y44" i="1"/>
  <c r="G41" i="9" s="1"/>
  <c r="P41" i="9" s="1"/>
  <c r="X44" i="1"/>
  <c r="F41" i="9" s="1"/>
  <c r="W44" i="1"/>
  <c r="E41" i="9" s="1"/>
  <c r="N41" i="9" s="1"/>
  <c r="V44" i="1"/>
  <c r="D41" i="9" s="1"/>
  <c r="U44" i="1"/>
  <c r="C41" i="9" s="1"/>
  <c r="O41" i="9" s="1"/>
  <c r="Z43" i="1"/>
  <c r="H40" i="9" s="1"/>
  <c r="Y43" i="1"/>
  <c r="G40" i="9" s="1"/>
  <c r="P40" i="9" s="1"/>
  <c r="X43" i="1"/>
  <c r="F40" i="9" s="1"/>
  <c r="W43" i="1"/>
  <c r="E40" i="9" s="1"/>
  <c r="N40" i="9" s="1"/>
  <c r="V43" i="1"/>
  <c r="D40" i="9" s="1"/>
  <c r="U43" i="1"/>
  <c r="C40" i="9" s="1"/>
  <c r="O40" i="9" s="1"/>
  <c r="Z42" i="1"/>
  <c r="H39" i="9" s="1"/>
  <c r="Y42" i="1"/>
  <c r="G39" i="9" s="1"/>
  <c r="P39" i="9" s="1"/>
  <c r="X42" i="1"/>
  <c r="F39" i="9" s="1"/>
  <c r="W42" i="1"/>
  <c r="E39" i="9" s="1"/>
  <c r="N39" i="9" s="1"/>
  <c r="V42" i="1"/>
  <c r="D39" i="9" s="1"/>
  <c r="U42" i="1"/>
  <c r="C39" i="9" s="1"/>
  <c r="O39" i="9" s="1"/>
  <c r="Z41" i="1"/>
  <c r="H38" i="9" s="1"/>
  <c r="Y41" i="1"/>
  <c r="G38" i="9" s="1"/>
  <c r="P38" i="9" s="1"/>
  <c r="X41" i="1"/>
  <c r="F38" i="9" s="1"/>
  <c r="W41" i="1"/>
  <c r="E38" i="9" s="1"/>
  <c r="N38" i="9" s="1"/>
  <c r="V41" i="1"/>
  <c r="D38" i="9" s="1"/>
  <c r="U41" i="1"/>
  <c r="C38" i="9" s="1"/>
  <c r="O38" i="9" s="1"/>
  <c r="V40" i="1"/>
  <c r="D37" i="9" s="1"/>
  <c r="Z39" i="1"/>
  <c r="H36" i="9" s="1"/>
  <c r="Y39" i="1"/>
  <c r="G36" i="9" s="1"/>
  <c r="P36" i="9" s="1"/>
  <c r="X39" i="1"/>
  <c r="F36" i="9" s="1"/>
  <c r="W39" i="1"/>
  <c r="E36" i="9" s="1"/>
  <c r="N36" i="9" s="1"/>
  <c r="V39" i="1"/>
  <c r="D36" i="9" s="1"/>
  <c r="U39" i="1"/>
  <c r="C36" i="9" s="1"/>
  <c r="O36" i="9" s="1"/>
  <c r="Z38" i="1"/>
  <c r="H35" i="9" s="1"/>
  <c r="Y38" i="1"/>
  <c r="G35" i="9" s="1"/>
  <c r="P35" i="9" s="1"/>
  <c r="X38" i="1"/>
  <c r="F35" i="9" s="1"/>
  <c r="W38" i="1"/>
  <c r="E35" i="9" s="1"/>
  <c r="N35" i="9" s="1"/>
  <c r="V38" i="1"/>
  <c r="D35" i="9" s="1"/>
  <c r="U38" i="1"/>
  <c r="C35" i="9" s="1"/>
  <c r="O35" i="9" s="1"/>
  <c r="Z37" i="1"/>
  <c r="H34" i="9" s="1"/>
  <c r="Y37" i="1"/>
  <c r="G34" i="9" s="1"/>
  <c r="P34" i="9" s="1"/>
  <c r="X37" i="1"/>
  <c r="F34" i="9" s="1"/>
  <c r="W37" i="1"/>
  <c r="E34" i="9" s="1"/>
  <c r="N34" i="9" s="1"/>
  <c r="V37" i="1"/>
  <c r="D34" i="9" s="1"/>
  <c r="U37" i="1"/>
  <c r="C34" i="9" s="1"/>
  <c r="O34" i="9" s="1"/>
  <c r="Z36" i="1"/>
  <c r="H33" i="9" s="1"/>
  <c r="Y36" i="1"/>
  <c r="G33" i="9" s="1"/>
  <c r="P33" i="9" s="1"/>
  <c r="X36" i="1"/>
  <c r="F33" i="9" s="1"/>
  <c r="W36" i="1"/>
  <c r="E33" i="9" s="1"/>
  <c r="N33" i="9" s="1"/>
  <c r="V36" i="1"/>
  <c r="D33" i="9" s="1"/>
  <c r="U36" i="1"/>
  <c r="C33" i="9" s="1"/>
  <c r="O33" i="9" s="1"/>
  <c r="G36" i="1"/>
  <c r="B33" i="9" s="1"/>
  <c r="A33" i="9" s="1"/>
  <c r="Z35" i="1"/>
  <c r="H32" i="9" s="1"/>
  <c r="X35" i="1"/>
  <c r="F32" i="9" s="1"/>
  <c r="V35" i="1"/>
  <c r="D32" i="9" s="1"/>
  <c r="G35" i="1"/>
  <c r="B32" i="9" s="1"/>
  <c r="A32" i="9" s="1"/>
  <c r="Z34" i="1"/>
  <c r="H31" i="9" s="1"/>
  <c r="Y34" i="1"/>
  <c r="G31" i="9" s="1"/>
  <c r="P31" i="9" s="1"/>
  <c r="X34" i="1"/>
  <c r="F31" i="9" s="1"/>
  <c r="W34" i="1"/>
  <c r="E31" i="9" s="1"/>
  <c r="N31" i="9" s="1"/>
  <c r="V34" i="1"/>
  <c r="D31" i="9" s="1"/>
  <c r="U34" i="1"/>
  <c r="C31" i="9" s="1"/>
  <c r="O31" i="9" s="1"/>
  <c r="G34" i="1"/>
  <c r="B31" i="9" s="1"/>
  <c r="A31" i="9" s="1"/>
  <c r="Z33" i="1"/>
  <c r="H30" i="9" s="1"/>
  <c r="Y33" i="1"/>
  <c r="G30" i="9" s="1"/>
  <c r="P30" i="9" s="1"/>
  <c r="X33" i="1"/>
  <c r="F30" i="9" s="1"/>
  <c r="W33" i="1"/>
  <c r="E30" i="9" s="1"/>
  <c r="N30" i="9" s="1"/>
  <c r="V33" i="1"/>
  <c r="D30" i="9" s="1"/>
  <c r="U33" i="1"/>
  <c r="C30" i="9" s="1"/>
  <c r="O30" i="9" s="1"/>
  <c r="G33" i="1"/>
  <c r="B30" i="9" s="1"/>
  <c r="A30" i="9" s="1"/>
  <c r="Z32" i="1"/>
  <c r="H29" i="9" s="1"/>
  <c r="Y32" i="1"/>
  <c r="G29" i="9" s="1"/>
  <c r="P29" i="9" s="1"/>
  <c r="X32" i="1"/>
  <c r="F29" i="9" s="1"/>
  <c r="W32" i="1"/>
  <c r="E29" i="9" s="1"/>
  <c r="N29" i="9" s="1"/>
  <c r="V32" i="1"/>
  <c r="D29" i="9" s="1"/>
  <c r="U32" i="1"/>
  <c r="C29" i="9" s="1"/>
  <c r="O29" i="9" s="1"/>
  <c r="G32" i="1"/>
  <c r="B29" i="9" s="1"/>
  <c r="A29" i="9" s="1"/>
  <c r="Z31" i="1"/>
  <c r="H28" i="9" s="1"/>
  <c r="Y31" i="1"/>
  <c r="G28" i="9" s="1"/>
  <c r="P28" i="9" s="1"/>
  <c r="X31" i="1"/>
  <c r="F28" i="9" s="1"/>
  <c r="W31" i="1"/>
  <c r="E28" i="9" s="1"/>
  <c r="N28" i="9" s="1"/>
  <c r="V31" i="1"/>
  <c r="D28" i="9" s="1"/>
  <c r="U31" i="1"/>
  <c r="C28" i="9" s="1"/>
  <c r="O28" i="9" s="1"/>
  <c r="G31" i="1"/>
  <c r="B28" i="9" s="1"/>
  <c r="A28" i="9" s="1"/>
  <c r="Z30" i="1"/>
  <c r="H27" i="9" s="1"/>
  <c r="Y30" i="1"/>
  <c r="G27" i="9" s="1"/>
  <c r="P27" i="9" s="1"/>
  <c r="X30" i="1"/>
  <c r="F27" i="9" s="1"/>
  <c r="W30" i="1"/>
  <c r="E27" i="9" s="1"/>
  <c r="N27" i="9" s="1"/>
  <c r="V30" i="1"/>
  <c r="D27" i="9" s="1"/>
  <c r="U30" i="1"/>
  <c r="C27" i="9" s="1"/>
  <c r="O27" i="9" s="1"/>
  <c r="G30" i="1"/>
  <c r="B27" i="9" s="1"/>
  <c r="A27" i="9" s="1"/>
  <c r="G29" i="1"/>
  <c r="B26" i="9" s="1"/>
  <c r="A26" i="9" s="1"/>
  <c r="G28" i="1"/>
  <c r="B25" i="9" s="1"/>
  <c r="A25" i="9" s="1"/>
  <c r="G27" i="1"/>
  <c r="B24" i="9" s="1"/>
  <c r="A24" i="9" s="1"/>
  <c r="Z26" i="1"/>
  <c r="H23" i="9" s="1"/>
  <c r="Y26" i="1"/>
  <c r="G23" i="9" s="1"/>
  <c r="P23" i="9" s="1"/>
  <c r="X26" i="1"/>
  <c r="F23" i="9" s="1"/>
  <c r="W26" i="1"/>
  <c r="E23" i="9" s="1"/>
  <c r="N23" i="9" s="1"/>
  <c r="V26" i="1"/>
  <c r="D23" i="9" s="1"/>
  <c r="U26" i="1"/>
  <c r="C23" i="9" s="1"/>
  <c r="O23" i="9" s="1"/>
  <c r="G26" i="1"/>
  <c r="B23" i="9" s="1"/>
  <c r="A23" i="9" s="1"/>
  <c r="Z25" i="1"/>
  <c r="H22" i="9" s="1"/>
  <c r="Y25" i="1"/>
  <c r="G22" i="9" s="1"/>
  <c r="P22" i="9" s="1"/>
  <c r="X25" i="1"/>
  <c r="F22" i="9" s="1"/>
  <c r="W25" i="1"/>
  <c r="E22" i="9" s="1"/>
  <c r="N22" i="9" s="1"/>
  <c r="V25" i="1"/>
  <c r="D22" i="9" s="1"/>
  <c r="U25" i="1"/>
  <c r="C22" i="9" s="1"/>
  <c r="O22" i="9" s="1"/>
  <c r="G25" i="1"/>
  <c r="B22" i="9" s="1"/>
  <c r="A22" i="9" s="1"/>
  <c r="Z24" i="1"/>
  <c r="H21" i="9" s="1"/>
  <c r="Y24" i="1"/>
  <c r="G21" i="9" s="1"/>
  <c r="P21" i="9" s="1"/>
  <c r="X24" i="1"/>
  <c r="F21" i="9" s="1"/>
  <c r="W24" i="1"/>
  <c r="E21" i="9" s="1"/>
  <c r="N21" i="9" s="1"/>
  <c r="V24" i="1"/>
  <c r="D21" i="9" s="1"/>
  <c r="U24" i="1"/>
  <c r="C21" i="9" s="1"/>
  <c r="O21" i="9" s="1"/>
  <c r="G24" i="1"/>
  <c r="B21" i="9" s="1"/>
  <c r="A21" i="9" s="1"/>
  <c r="Z23" i="1"/>
  <c r="H20" i="9" s="1"/>
  <c r="Y23" i="1"/>
  <c r="G20" i="9" s="1"/>
  <c r="P20" i="9" s="1"/>
  <c r="X23" i="1"/>
  <c r="F20" i="9" s="1"/>
  <c r="W23" i="1"/>
  <c r="E20" i="9" s="1"/>
  <c r="N20" i="9" s="1"/>
  <c r="V23" i="1"/>
  <c r="D20" i="9" s="1"/>
  <c r="U23" i="1"/>
  <c r="C20" i="9" s="1"/>
  <c r="O20" i="9" s="1"/>
  <c r="G23" i="1"/>
  <c r="B20" i="9" s="1"/>
  <c r="A20" i="9" s="1"/>
  <c r="Z22" i="1"/>
  <c r="H19" i="9" s="1"/>
  <c r="Y22" i="1"/>
  <c r="G19" i="9" s="1"/>
  <c r="P19" i="9" s="1"/>
  <c r="X22" i="1"/>
  <c r="F19" i="9" s="1"/>
  <c r="W22" i="1"/>
  <c r="E19" i="9" s="1"/>
  <c r="N19" i="9" s="1"/>
  <c r="V22" i="1"/>
  <c r="D19" i="9" s="1"/>
  <c r="U22" i="1"/>
  <c r="C19" i="9" s="1"/>
  <c r="O19" i="9" s="1"/>
  <c r="G22" i="1"/>
  <c r="B19" i="9" s="1"/>
  <c r="A19" i="9" s="1"/>
  <c r="Z21" i="1"/>
  <c r="H18" i="9" s="1"/>
  <c r="Y21" i="1"/>
  <c r="G18" i="9" s="1"/>
  <c r="P18" i="9" s="1"/>
  <c r="X21" i="1"/>
  <c r="F18" i="9" s="1"/>
  <c r="W21" i="1"/>
  <c r="E18" i="9" s="1"/>
  <c r="N18" i="9" s="1"/>
  <c r="V21" i="1"/>
  <c r="D18" i="9" s="1"/>
  <c r="U21" i="1"/>
  <c r="C18" i="9" s="1"/>
  <c r="O18" i="9" s="1"/>
  <c r="G21" i="1"/>
  <c r="B18" i="9" s="1"/>
  <c r="A18" i="9" s="1"/>
  <c r="Z20" i="1"/>
  <c r="H17" i="9" s="1"/>
  <c r="Y20" i="1"/>
  <c r="G17" i="9" s="1"/>
  <c r="P17" i="9" s="1"/>
  <c r="X20" i="1"/>
  <c r="F17" i="9" s="1"/>
  <c r="W20" i="1"/>
  <c r="E17" i="9" s="1"/>
  <c r="N17" i="9" s="1"/>
  <c r="V20" i="1"/>
  <c r="D17" i="9" s="1"/>
  <c r="U20" i="1"/>
  <c r="C17" i="9" s="1"/>
  <c r="O17" i="9" s="1"/>
  <c r="G20" i="1"/>
  <c r="B17" i="9" s="1"/>
  <c r="A17" i="9" s="1"/>
  <c r="Z19" i="1"/>
  <c r="H16" i="9" s="1"/>
  <c r="Y19" i="1"/>
  <c r="G16" i="9" s="1"/>
  <c r="P16" i="9" s="1"/>
  <c r="X19" i="1"/>
  <c r="F16" i="9" s="1"/>
  <c r="W19" i="1"/>
  <c r="E16" i="9" s="1"/>
  <c r="N16" i="9" s="1"/>
  <c r="V19" i="1"/>
  <c r="D16" i="9" s="1"/>
  <c r="U19" i="1"/>
  <c r="C16" i="9" s="1"/>
  <c r="O16" i="9" s="1"/>
  <c r="G19" i="1"/>
  <c r="B16" i="9" s="1"/>
  <c r="A16" i="9" s="1"/>
  <c r="Z18" i="1"/>
  <c r="X18" i="1"/>
  <c r="V18" i="1"/>
  <c r="G18" i="1"/>
  <c r="Z17" i="1"/>
  <c r="H15" i="9" s="1"/>
  <c r="Y17" i="1"/>
  <c r="G15" i="9" s="1"/>
  <c r="P15" i="9" s="1"/>
  <c r="X17" i="1"/>
  <c r="F15" i="9" s="1"/>
  <c r="W17" i="1"/>
  <c r="E15" i="9" s="1"/>
  <c r="N15" i="9" s="1"/>
  <c r="V17" i="1"/>
  <c r="D15" i="9" s="1"/>
  <c r="U17" i="1"/>
  <c r="C15" i="9" s="1"/>
  <c r="O15" i="9" s="1"/>
  <c r="G17" i="1"/>
  <c r="B15" i="9" s="1"/>
  <c r="A15" i="9" s="1"/>
  <c r="Z16" i="1"/>
  <c r="H14" i="9" s="1"/>
  <c r="Y16" i="1"/>
  <c r="G14" i="9" s="1"/>
  <c r="P14" i="9" s="1"/>
  <c r="X16" i="1"/>
  <c r="F14" i="9" s="1"/>
  <c r="W16" i="1"/>
  <c r="E14" i="9" s="1"/>
  <c r="N14" i="9" s="1"/>
  <c r="V16" i="1"/>
  <c r="D14" i="9" s="1"/>
  <c r="U16" i="1"/>
  <c r="C14" i="9" s="1"/>
  <c r="O14" i="9" s="1"/>
  <c r="G16" i="1"/>
  <c r="B14" i="9" s="1"/>
  <c r="A14" i="9" s="1"/>
  <c r="Z15" i="1"/>
  <c r="H13" i="9" s="1"/>
  <c r="Y15" i="1"/>
  <c r="G13" i="9" s="1"/>
  <c r="P13" i="9" s="1"/>
  <c r="X15" i="1"/>
  <c r="F13" i="9" s="1"/>
  <c r="W15" i="1"/>
  <c r="E13" i="9" s="1"/>
  <c r="N13" i="9" s="1"/>
  <c r="V15" i="1"/>
  <c r="D13" i="9" s="1"/>
  <c r="U15" i="1"/>
  <c r="C13" i="9" s="1"/>
  <c r="O13" i="9" s="1"/>
  <c r="G15" i="1"/>
  <c r="B13" i="9" s="1"/>
  <c r="A13" i="9" s="1"/>
  <c r="Z14" i="1"/>
  <c r="H12" i="9" s="1"/>
  <c r="Y14" i="1"/>
  <c r="G12" i="9" s="1"/>
  <c r="P12" i="9" s="1"/>
  <c r="X14" i="1"/>
  <c r="F12" i="9" s="1"/>
  <c r="W14" i="1"/>
  <c r="E12" i="9" s="1"/>
  <c r="N12" i="9" s="1"/>
  <c r="V14" i="1"/>
  <c r="D12" i="9" s="1"/>
  <c r="U14" i="1"/>
  <c r="C12" i="9" s="1"/>
  <c r="O12" i="9" s="1"/>
  <c r="G14" i="1"/>
  <c r="B12" i="9" s="1"/>
  <c r="A12" i="9" s="1"/>
  <c r="Z13" i="1"/>
  <c r="H11" i="9" s="1"/>
  <c r="Y13" i="1"/>
  <c r="G11" i="9" s="1"/>
  <c r="P11" i="9" s="1"/>
  <c r="X13" i="1"/>
  <c r="F11" i="9" s="1"/>
  <c r="W13" i="1"/>
  <c r="E11" i="9" s="1"/>
  <c r="N11" i="9" s="1"/>
  <c r="V13" i="1"/>
  <c r="D11" i="9" s="1"/>
  <c r="U13" i="1"/>
  <c r="C11" i="9" s="1"/>
  <c r="O11" i="9" s="1"/>
  <c r="G13" i="1"/>
  <c r="B11" i="9" s="1"/>
  <c r="A11" i="9" s="1"/>
  <c r="Z12" i="1"/>
  <c r="H10" i="9" s="1"/>
  <c r="Y12" i="1"/>
  <c r="G10" i="9" s="1"/>
  <c r="P10" i="9" s="1"/>
  <c r="X12" i="1"/>
  <c r="F10" i="9" s="1"/>
  <c r="W12" i="1"/>
  <c r="E10" i="9" s="1"/>
  <c r="N10" i="9" s="1"/>
  <c r="V12" i="1"/>
  <c r="D10" i="9" s="1"/>
  <c r="U12" i="1"/>
  <c r="C10" i="9" s="1"/>
  <c r="O10" i="9" s="1"/>
  <c r="G12" i="1"/>
  <c r="B10" i="9" s="1"/>
  <c r="A10" i="9" s="1"/>
  <c r="Z11" i="1"/>
  <c r="H9" i="9" s="1"/>
  <c r="Y11" i="1"/>
  <c r="G9" i="9" s="1"/>
  <c r="P9" i="9" s="1"/>
  <c r="X11" i="1"/>
  <c r="F9" i="9" s="1"/>
  <c r="W11" i="1"/>
  <c r="E9" i="9" s="1"/>
  <c r="N9" i="9" s="1"/>
  <c r="V11" i="1"/>
  <c r="D9" i="9" s="1"/>
  <c r="U11" i="1"/>
  <c r="C9" i="9" s="1"/>
  <c r="O9" i="9" s="1"/>
  <c r="G11" i="1"/>
  <c r="B9" i="9" s="1"/>
  <c r="A9" i="9" s="1"/>
  <c r="Z10" i="1"/>
  <c r="H8" i="9" s="1"/>
  <c r="Y10" i="1"/>
  <c r="G8" i="9" s="1"/>
  <c r="P8" i="9" s="1"/>
  <c r="X10" i="1"/>
  <c r="F8" i="9" s="1"/>
  <c r="W10" i="1"/>
  <c r="E8" i="9" s="1"/>
  <c r="N8" i="9" s="1"/>
  <c r="V10" i="1"/>
  <c r="D8" i="9" s="1"/>
  <c r="U10" i="1"/>
  <c r="C8" i="9" s="1"/>
  <c r="O8" i="9" s="1"/>
  <c r="G10" i="1"/>
  <c r="B8" i="9" s="1"/>
  <c r="A8" i="9" s="1"/>
  <c r="Z9" i="1"/>
  <c r="H7" i="9" s="1"/>
  <c r="Y9" i="1"/>
  <c r="G7" i="9" s="1"/>
  <c r="P7" i="9" s="1"/>
  <c r="X9" i="1"/>
  <c r="F7" i="9" s="1"/>
  <c r="W9" i="1"/>
  <c r="E7" i="9" s="1"/>
  <c r="N7" i="9" s="1"/>
  <c r="V9" i="1"/>
  <c r="D7" i="9" s="1"/>
  <c r="U9" i="1"/>
  <c r="C7" i="9" s="1"/>
  <c r="O7" i="9" s="1"/>
  <c r="G9" i="1"/>
  <c r="B7" i="9" s="1"/>
  <c r="A7" i="9" s="1"/>
  <c r="Z8" i="1"/>
  <c r="Y8" i="1"/>
  <c r="G6" i="9" s="1"/>
  <c r="X8" i="1"/>
  <c r="W8" i="1"/>
  <c r="E6" i="9" s="1"/>
  <c r="V8" i="1"/>
  <c r="U8" i="1"/>
  <c r="C6" i="9" s="1"/>
  <c r="O6" i="9" s="1"/>
  <c r="J7" i="1"/>
  <c r="V3" i="12" l="1"/>
  <c r="W2992" i="12"/>
  <c r="W3056" i="12"/>
  <c r="V2935" i="12"/>
  <c r="V2999" i="12"/>
  <c r="V3063" i="12"/>
  <c r="U2942" i="12"/>
  <c r="U3006" i="12"/>
  <c r="U3070" i="12"/>
  <c r="W2961" i="12"/>
  <c r="W3025" i="12"/>
  <c r="W3089" i="12"/>
  <c r="V2968" i="12"/>
  <c r="V3032" i="12"/>
  <c r="V3096" i="12"/>
  <c r="U2975" i="12"/>
  <c r="W2970" i="12"/>
  <c r="W3034" i="12"/>
  <c r="W2956" i="12"/>
  <c r="W3020" i="12"/>
  <c r="W3084" i="12"/>
  <c r="V2963" i="12"/>
  <c r="V3027" i="12"/>
  <c r="V3091" i="12"/>
  <c r="U2970" i="12"/>
  <c r="W3051" i="12"/>
  <c r="V2972" i="12"/>
  <c r="V3074" i="12"/>
  <c r="U2988" i="12"/>
  <c r="U3063" i="12"/>
  <c r="T2947" i="12"/>
  <c r="T3011" i="12"/>
  <c r="T3075" i="12"/>
  <c r="W2958" i="12"/>
  <c r="V2988" i="12"/>
  <c r="W3021" i="12"/>
  <c r="V2948" i="12"/>
  <c r="V3050" i="12"/>
  <c r="U2968" i="12"/>
  <c r="U3045" i="12"/>
  <c r="T2932" i="12"/>
  <c r="T2996" i="12"/>
  <c r="W3070" i="12"/>
  <c r="W2975" i="12"/>
  <c r="W3098" i="12"/>
  <c r="V3014" i="12"/>
  <c r="U2932" i="12"/>
  <c r="W2979" i="12"/>
  <c r="W3099" i="12"/>
  <c r="V3017" i="12"/>
  <c r="U2933" i="12"/>
  <c r="U3021" i="12"/>
  <c r="U3095" i="12"/>
  <c r="T2975" i="12"/>
  <c r="T3039" i="12"/>
  <c r="T3103" i="12"/>
  <c r="W3029" i="12"/>
  <c r="V2954" i="12"/>
  <c r="V3057" i="12"/>
  <c r="U2973" i="12"/>
  <c r="V3065" i="12"/>
  <c r="U3060" i="12"/>
  <c r="T2984" i="12"/>
  <c r="T3086" i="12"/>
  <c r="U3048" i="12"/>
  <c r="T2985" i="12"/>
  <c r="T3088" i="12"/>
  <c r="V3090" i="12"/>
  <c r="T3070" i="12"/>
  <c r="W3062" i="12"/>
  <c r="U2939" i="12"/>
  <c r="T3046" i="12"/>
  <c r="V3109" i="12"/>
  <c r="U3079" i="12"/>
  <c r="T3000" i="12"/>
  <c r="T3102" i="12"/>
  <c r="V3110" i="12"/>
  <c r="U3080" i="12"/>
  <c r="T3001" i="12"/>
  <c r="T2969" i="12"/>
  <c r="V3084" i="12"/>
  <c r="T2990" i="12"/>
  <c r="T3093" i="12"/>
  <c r="V3085" i="12"/>
  <c r="U3069" i="12"/>
  <c r="T2992" i="12"/>
  <c r="T3094" i="12"/>
  <c r="U3102" i="12"/>
  <c r="T3021" i="12"/>
  <c r="V3060" i="12"/>
  <c r="U3059" i="12"/>
  <c r="T3058" i="12"/>
  <c r="U3074" i="12"/>
  <c r="V2956" i="12"/>
  <c r="U2997" i="12"/>
  <c r="W3040" i="12"/>
  <c r="U3054" i="12"/>
  <c r="U2959" i="12"/>
  <c r="V3011" i="12"/>
  <c r="T2931" i="12"/>
  <c r="W3107" i="12"/>
  <c r="T3044" i="12"/>
  <c r="W3074" i="12"/>
  <c r="T3087" i="12"/>
  <c r="T2958" i="12"/>
  <c r="T2960" i="12"/>
  <c r="U3051" i="12"/>
  <c r="V3006" i="12"/>
  <c r="V2969" i="12"/>
  <c r="W2936" i="12"/>
  <c r="W3000" i="12"/>
  <c r="W3064" i="12"/>
  <c r="V2943" i="12"/>
  <c r="V3007" i="12"/>
  <c r="V3071" i="12"/>
  <c r="U2950" i="12"/>
  <c r="U3014" i="12"/>
  <c r="U3078" i="12"/>
  <c r="W2969" i="12"/>
  <c r="W3033" i="12"/>
  <c r="W3097" i="12"/>
  <c r="V2976" i="12"/>
  <c r="V3040" i="12"/>
  <c r="V3104" i="12"/>
  <c r="U2983" i="12"/>
  <c r="W2978" i="12"/>
  <c r="W3042" i="12"/>
  <c r="W2964" i="12"/>
  <c r="W3028" i="12"/>
  <c r="W3092" i="12"/>
  <c r="V2971" i="12"/>
  <c r="V3035" i="12"/>
  <c r="V3099" i="12"/>
  <c r="W2939" i="12"/>
  <c r="W3067" i="12"/>
  <c r="V2985" i="12"/>
  <c r="V3086" i="12"/>
  <c r="U2999" i="12"/>
  <c r="U3072" i="12"/>
  <c r="T2955" i="12"/>
  <c r="T3019" i="12"/>
  <c r="T3083" i="12"/>
  <c r="W2990" i="12"/>
  <c r="V3013" i="12"/>
  <c r="W3037" i="12"/>
  <c r="V2961" i="12"/>
  <c r="V3062" i="12"/>
  <c r="U2979" i="12"/>
  <c r="U3055" i="12"/>
  <c r="T2940" i="12"/>
  <c r="T3004" i="12"/>
  <c r="T3076" i="12"/>
  <c r="W3109" i="12"/>
  <c r="W2991" i="12"/>
  <c r="W3110" i="12"/>
  <c r="V3028" i="12"/>
  <c r="U2945" i="12"/>
  <c r="W2995" i="12"/>
  <c r="W3111" i="12"/>
  <c r="V3029" i="12"/>
  <c r="U2947" i="12"/>
  <c r="U3031" i="12"/>
  <c r="U3104" i="12"/>
  <c r="T2983" i="12"/>
  <c r="T3047" i="12"/>
  <c r="T3111" i="12"/>
  <c r="W3045" i="12"/>
  <c r="V2966" i="12"/>
  <c r="V3069" i="12"/>
  <c r="U2985" i="12"/>
  <c r="U3075" i="12"/>
  <c r="T2997" i="12"/>
  <c r="U3061" i="12"/>
  <c r="T3101" i="12"/>
  <c r="U2976" i="12"/>
  <c r="T2930" i="12"/>
  <c r="V2930" i="12"/>
  <c r="U3042" i="12"/>
  <c r="W2935" i="12"/>
  <c r="U2956" i="12"/>
  <c r="U3093" i="12"/>
  <c r="T3013" i="12"/>
  <c r="W2950" i="12"/>
  <c r="U2963" i="12"/>
  <c r="U3096" i="12"/>
  <c r="T3014" i="12"/>
  <c r="T3085" i="12"/>
  <c r="U2931" i="12"/>
  <c r="U3083" i="12"/>
  <c r="T3002" i="12"/>
  <c r="T3105" i="12"/>
  <c r="U2937" i="12"/>
  <c r="U3084" i="12"/>
  <c r="T3005" i="12"/>
  <c r="T3106" i="12"/>
  <c r="T2954" i="12"/>
  <c r="V3097" i="12"/>
  <c r="U3088" i="12"/>
  <c r="T2953" i="12"/>
  <c r="T3096" i="12"/>
  <c r="V2983" i="12"/>
  <c r="W3009" i="12"/>
  <c r="W3018" i="12"/>
  <c r="U2954" i="12"/>
  <c r="T2995" i="12"/>
  <c r="U2941" i="12"/>
  <c r="V2989" i="12"/>
  <c r="U3076" i="12"/>
  <c r="U2948" i="12"/>
  <c r="T2946" i="12"/>
  <c r="V3034" i="12"/>
  <c r="T2976" i="12"/>
  <c r="U3041" i="12"/>
  <c r="W2944" i="12"/>
  <c r="W3008" i="12"/>
  <c r="W3072" i="12"/>
  <c r="V2951" i="12"/>
  <c r="V3015" i="12"/>
  <c r="V3079" i="12"/>
  <c r="U2958" i="12"/>
  <c r="U3022" i="12"/>
  <c r="U3086" i="12"/>
  <c r="W2977" i="12"/>
  <c r="W3041" i="12"/>
  <c r="W3105" i="12"/>
  <c r="V2984" i="12"/>
  <c r="V3048" i="12"/>
  <c r="V3112" i="12"/>
  <c r="U2991" i="12"/>
  <c r="W2986" i="12"/>
  <c r="W3050" i="12"/>
  <c r="W2972" i="12"/>
  <c r="W3036" i="12"/>
  <c r="W3100" i="12"/>
  <c r="V2979" i="12"/>
  <c r="V3043" i="12"/>
  <c r="V3107" i="12"/>
  <c r="W2955" i="12"/>
  <c r="W3079" i="12"/>
  <c r="V2997" i="12"/>
  <c r="V3100" i="12"/>
  <c r="U3008" i="12"/>
  <c r="U3081" i="12"/>
  <c r="T2963" i="12"/>
  <c r="T3027" i="12"/>
  <c r="T3091" i="12"/>
  <c r="W3022" i="12"/>
  <c r="V3038" i="12"/>
  <c r="W3053" i="12"/>
  <c r="V2973" i="12"/>
  <c r="V3076" i="12"/>
  <c r="U2989" i="12"/>
  <c r="U3064" i="12"/>
  <c r="T2948" i="12"/>
  <c r="T3012" i="12"/>
  <c r="T3092" i="12"/>
  <c r="V2949" i="12"/>
  <c r="W3007" i="12"/>
  <c r="V2938" i="12"/>
  <c r="V3041" i="12"/>
  <c r="U2957" i="12"/>
  <c r="W3011" i="12"/>
  <c r="V2940" i="12"/>
  <c r="V3042" i="12"/>
  <c r="U2960" i="12"/>
  <c r="U3040" i="12"/>
  <c r="U3112" i="12"/>
  <c r="T2991" i="12"/>
  <c r="T3055" i="12"/>
  <c r="W2933" i="12"/>
  <c r="W3061" i="12"/>
  <c r="V2980" i="12"/>
  <c r="V3082" i="12"/>
  <c r="U2995" i="12"/>
  <c r="U2949" i="12"/>
  <c r="U3089" i="12"/>
  <c r="T3009" i="12"/>
  <c r="T3112" i="12"/>
  <c r="U3077" i="12"/>
  <c r="T3010" i="12"/>
  <c r="T3113" i="12"/>
  <c r="U3013" i="12"/>
  <c r="T2994" i="12"/>
  <c r="V2981" i="12"/>
  <c r="T2929" i="12"/>
  <c r="W2999" i="12"/>
  <c r="U2987" i="12"/>
  <c r="U3107" i="12"/>
  <c r="T3025" i="12"/>
  <c r="W3014" i="12"/>
  <c r="U2992" i="12"/>
  <c r="U3110" i="12"/>
  <c r="T3026" i="12"/>
  <c r="W2951" i="12"/>
  <c r="U2964" i="12"/>
  <c r="U3097" i="12"/>
  <c r="T3016" i="12"/>
  <c r="W2966" i="12"/>
  <c r="U2969" i="12"/>
  <c r="U3099" i="12"/>
  <c r="T3017" i="12"/>
  <c r="W3031" i="12"/>
  <c r="T2981" i="12"/>
  <c r="T3097" i="12"/>
  <c r="U2944" i="12"/>
  <c r="T3054" i="12"/>
  <c r="W3102" i="12"/>
  <c r="V3047" i="12"/>
  <c r="W3073" i="12"/>
  <c r="W2940" i="12"/>
  <c r="W3019" i="12"/>
  <c r="T3059" i="12"/>
  <c r="U3027" i="12"/>
  <c r="W3071" i="12"/>
  <c r="U3003" i="12"/>
  <c r="V2929" i="12"/>
  <c r="U3019" i="12"/>
  <c r="T2957" i="12"/>
  <c r="T3006" i="12"/>
  <c r="T2966" i="12"/>
  <c r="W2952" i="12"/>
  <c r="W3016" i="12"/>
  <c r="W3080" i="12"/>
  <c r="V2959" i="12"/>
  <c r="V3023" i="12"/>
  <c r="V3087" i="12"/>
  <c r="U2966" i="12"/>
  <c r="U3030" i="12"/>
  <c r="U3094" i="12"/>
  <c r="W2985" i="12"/>
  <c r="W3049" i="12"/>
  <c r="W3113" i="12"/>
  <c r="V2992" i="12"/>
  <c r="V3056" i="12"/>
  <c r="U2935" i="12"/>
  <c r="W2930" i="12"/>
  <c r="W2994" i="12"/>
  <c r="W3058" i="12"/>
  <c r="W2980" i="12"/>
  <c r="W3044" i="12"/>
  <c r="W3108" i="12"/>
  <c r="V2987" i="12"/>
  <c r="V3051" i="12"/>
  <c r="U2930" i="12"/>
  <c r="W2971" i="12"/>
  <c r="W3093" i="12"/>
  <c r="V3010" i="12"/>
  <c r="V3113" i="12"/>
  <c r="U3017" i="12"/>
  <c r="U3090" i="12"/>
  <c r="T2971" i="12"/>
  <c r="T3035" i="12"/>
  <c r="T3099" i="12"/>
  <c r="W3054" i="12"/>
  <c r="W2941" i="12"/>
  <c r="W3069" i="12"/>
  <c r="V2986" i="12"/>
  <c r="V3089" i="12"/>
  <c r="U3000" i="12"/>
  <c r="U3073" i="12"/>
  <c r="T2956" i="12"/>
  <c r="T3020" i="12"/>
  <c r="T3108" i="12"/>
  <c r="V2974" i="12"/>
  <c r="W3023" i="12"/>
  <c r="V2950" i="12"/>
  <c r="V3053" i="12"/>
  <c r="U2971" i="12"/>
  <c r="W3027" i="12"/>
  <c r="V2953" i="12"/>
  <c r="V3054" i="12"/>
  <c r="U2972" i="12"/>
  <c r="U3049" i="12"/>
  <c r="T2935" i="12"/>
  <c r="T2999" i="12"/>
  <c r="T3063" i="12"/>
  <c r="W2949" i="12"/>
  <c r="W3075" i="12"/>
  <c r="V2993" i="12"/>
  <c r="V3094" i="12"/>
  <c r="W2983" i="12"/>
  <c r="U2980" i="12"/>
  <c r="U3105" i="12"/>
  <c r="T3022" i="12"/>
  <c r="U2952" i="12"/>
  <c r="U3092" i="12"/>
  <c r="T3024" i="12"/>
  <c r="T3040" i="12"/>
  <c r="U3057" i="12"/>
  <c r="T3033" i="12"/>
  <c r="V3033" i="12"/>
  <c r="T2993" i="12"/>
  <c r="W3063" i="12"/>
  <c r="U3005" i="12"/>
  <c r="T2936" i="12"/>
  <c r="T3038" i="12"/>
  <c r="W3077" i="12"/>
  <c r="U3007" i="12"/>
  <c r="T2937" i="12"/>
  <c r="T3053" i="12"/>
  <c r="W3015" i="12"/>
  <c r="U2993" i="12"/>
  <c r="U3111" i="12"/>
  <c r="T3029" i="12"/>
  <c r="W3030" i="12"/>
  <c r="U2996" i="12"/>
  <c r="U3113" i="12"/>
  <c r="T3030" i="12"/>
  <c r="W3091" i="12"/>
  <c r="T3032" i="12"/>
  <c r="W2982" i="12"/>
  <c r="U2977" i="12"/>
  <c r="U3103" i="12"/>
  <c r="T3056" i="12"/>
  <c r="W3104" i="12"/>
  <c r="V3080" i="12"/>
  <c r="V2947" i="12"/>
  <c r="U2965" i="12"/>
  <c r="V2937" i="12"/>
  <c r="U3101" i="12"/>
  <c r="W2947" i="12"/>
  <c r="T3023" i="12"/>
  <c r="U3032" i="12"/>
  <c r="W2967" i="12"/>
  <c r="U3050" i="12"/>
  <c r="V2996" i="12"/>
  <c r="T3069" i="12"/>
  <c r="W2960" i="12"/>
  <c r="W3024" i="12"/>
  <c r="W3088" i="12"/>
  <c r="V2967" i="12"/>
  <c r="V3031" i="12"/>
  <c r="V3095" i="12"/>
  <c r="U2974" i="12"/>
  <c r="U3038" i="12"/>
  <c r="W2929" i="12"/>
  <c r="W2993" i="12"/>
  <c r="W3057" i="12"/>
  <c r="V2936" i="12"/>
  <c r="V3000" i="12"/>
  <c r="V3064" i="12"/>
  <c r="U2943" i="12"/>
  <c r="W2938" i="12"/>
  <c r="W3002" i="12"/>
  <c r="W3066" i="12"/>
  <c r="W2988" i="12"/>
  <c r="W3052" i="12"/>
  <c r="V2931" i="12"/>
  <c r="V2995" i="12"/>
  <c r="V3059" i="12"/>
  <c r="U2938" i="12"/>
  <c r="W2987" i="12"/>
  <c r="W3106" i="12"/>
  <c r="V3022" i="12"/>
  <c r="U2940" i="12"/>
  <c r="U3026" i="12"/>
  <c r="U3100" i="12"/>
  <c r="T2979" i="12"/>
  <c r="T3043" i="12"/>
  <c r="T3107" i="12"/>
  <c r="W3083" i="12"/>
  <c r="W2957" i="12"/>
  <c r="W3082" i="12"/>
  <c r="V3101" i="12"/>
  <c r="U3009" i="12"/>
  <c r="U3082" i="12"/>
  <c r="T2964" i="12"/>
  <c r="T3028" i="12"/>
  <c r="W2942" i="12"/>
  <c r="V3001" i="12"/>
  <c r="W3039" i="12"/>
  <c r="V2964" i="12"/>
  <c r="V3066" i="12"/>
  <c r="U2981" i="12"/>
  <c r="W3043" i="12"/>
  <c r="V2965" i="12"/>
  <c r="U2984" i="12"/>
  <c r="U3058" i="12"/>
  <c r="T2943" i="12"/>
  <c r="T3007" i="12"/>
  <c r="T3071" i="12"/>
  <c r="W2965" i="12"/>
  <c r="W3087" i="12"/>
  <c r="V3005" i="12"/>
  <c r="V3108" i="12"/>
  <c r="W3047" i="12"/>
  <c r="U3002" i="12"/>
  <c r="T2933" i="12"/>
  <c r="T3034" i="12"/>
  <c r="U2986" i="12"/>
  <c r="U3106" i="12"/>
  <c r="T3037" i="12"/>
  <c r="T3090" i="12"/>
  <c r="U3087" i="12"/>
  <c r="T3072" i="12"/>
  <c r="V3070" i="12"/>
  <c r="T3045" i="12"/>
  <c r="V2932" i="12"/>
  <c r="U3020" i="12"/>
  <c r="T2949" i="12"/>
  <c r="T3050" i="12"/>
  <c r="V2942" i="12"/>
  <c r="U3023" i="12"/>
  <c r="T2950" i="12"/>
  <c r="T3078" i="12"/>
  <c r="W3078" i="12"/>
  <c r="U3010" i="12"/>
  <c r="T2938" i="12"/>
  <c r="T3041" i="12"/>
  <c r="W3090" i="12"/>
  <c r="U3011" i="12"/>
  <c r="T2941" i="12"/>
  <c r="T3042" i="12"/>
  <c r="V3058" i="12"/>
  <c r="T3057" i="12"/>
  <c r="W3046" i="12"/>
  <c r="U3001" i="12"/>
  <c r="V3111" i="12"/>
  <c r="V3016" i="12"/>
  <c r="W3068" i="12"/>
  <c r="V2946" i="12"/>
  <c r="T3084" i="12"/>
  <c r="T2980" i="12"/>
  <c r="V3092" i="12"/>
  <c r="T2959" i="12"/>
  <c r="V2970" i="12"/>
  <c r="T2968" i="12"/>
  <c r="T3077" i="12"/>
  <c r="U3039" i="12"/>
  <c r="U3028" i="12"/>
  <c r="W2968" i="12"/>
  <c r="W3032" i="12"/>
  <c r="W3096" i="12"/>
  <c r="V2975" i="12"/>
  <c r="V3039" i="12"/>
  <c r="V3103" i="12"/>
  <c r="U2982" i="12"/>
  <c r="U3046" i="12"/>
  <c r="W2937" i="12"/>
  <c r="W3001" i="12"/>
  <c r="W3065" i="12"/>
  <c r="V2944" i="12"/>
  <c r="V3008" i="12"/>
  <c r="V3072" i="12"/>
  <c r="U2951" i="12"/>
  <c r="W2946" i="12"/>
  <c r="W3010" i="12"/>
  <c r="W2932" i="12"/>
  <c r="W2996" i="12"/>
  <c r="W3060" i="12"/>
  <c r="V2939" i="12"/>
  <c r="V3003" i="12"/>
  <c r="V3067" i="12"/>
  <c r="U2946" i="12"/>
  <c r="W3003" i="12"/>
  <c r="V2933" i="12"/>
  <c r="V3036" i="12"/>
  <c r="U2953" i="12"/>
  <c r="U3035" i="12"/>
  <c r="U3108" i="12"/>
  <c r="T2987" i="12"/>
  <c r="T3051" i="12"/>
  <c r="T3060" i="12"/>
  <c r="W3095" i="12"/>
  <c r="W2973" i="12"/>
  <c r="W3094" i="12"/>
  <c r="V3012" i="12"/>
  <c r="U2929" i="12"/>
  <c r="U3018" i="12"/>
  <c r="U3091" i="12"/>
  <c r="T2972" i="12"/>
  <c r="T3036" i="12"/>
  <c r="W2974" i="12"/>
  <c r="V3026" i="12"/>
  <c r="W3055" i="12"/>
  <c r="V2977" i="12"/>
  <c r="V3078" i="12"/>
  <c r="W2931" i="12"/>
  <c r="W3059" i="12"/>
  <c r="V2978" i="12"/>
  <c r="V3081" i="12"/>
  <c r="U2994" i="12"/>
  <c r="U3067" i="12"/>
  <c r="T2951" i="12"/>
  <c r="T3015" i="12"/>
  <c r="T3079" i="12"/>
  <c r="W2981" i="12"/>
  <c r="W3101" i="12"/>
  <c r="V3018" i="12"/>
  <c r="U2936" i="12"/>
  <c r="W3103" i="12"/>
  <c r="U3016" i="12"/>
  <c r="T2945" i="12"/>
  <c r="T3048" i="12"/>
  <c r="U3004" i="12"/>
  <c r="T2934" i="12"/>
  <c r="T3049" i="12"/>
  <c r="T3104" i="12"/>
  <c r="T2942" i="12"/>
  <c r="T3110" i="12"/>
  <c r="V3102" i="12"/>
  <c r="T3109" i="12"/>
  <c r="V2982" i="12"/>
  <c r="U3034" i="12"/>
  <c r="T2961" i="12"/>
  <c r="T3064" i="12"/>
  <c r="V2994" i="12"/>
  <c r="U3037" i="12"/>
  <c r="T2962" i="12"/>
  <c r="V3009" i="12"/>
  <c r="V2945" i="12"/>
  <c r="U3024" i="12"/>
  <c r="T2952" i="12"/>
  <c r="U3025" i="12"/>
  <c r="U3015" i="12"/>
  <c r="U2990" i="12"/>
  <c r="V2952" i="12"/>
  <c r="W3004" i="12"/>
  <c r="V3049" i="12"/>
  <c r="W2989" i="12"/>
  <c r="W3006" i="12"/>
  <c r="V3093" i="12"/>
  <c r="V3030" i="12"/>
  <c r="T3062" i="12"/>
  <c r="T2974" i="12"/>
  <c r="T2965" i="12"/>
  <c r="T2944" i="12"/>
  <c r="W2984" i="12"/>
  <c r="W3048" i="12"/>
  <c r="W3112" i="12"/>
  <c r="V2991" i="12"/>
  <c r="V3055" i="12"/>
  <c r="U2934" i="12"/>
  <c r="U3062" i="12"/>
  <c r="W2953" i="12"/>
  <c r="W3017" i="12"/>
  <c r="W3081" i="12"/>
  <c r="V2960" i="12"/>
  <c r="V3024" i="12"/>
  <c r="V3088" i="12"/>
  <c r="U2967" i="12"/>
  <c r="W2962" i="12"/>
  <c r="W3026" i="12"/>
  <c r="W2948" i="12"/>
  <c r="W3012" i="12"/>
  <c r="W3076" i="12"/>
  <c r="V2955" i="12"/>
  <c r="V3019" i="12"/>
  <c r="V3083" i="12"/>
  <c r="U2962" i="12"/>
  <c r="W3035" i="12"/>
  <c r="V2958" i="12"/>
  <c r="V3061" i="12"/>
  <c r="U2978" i="12"/>
  <c r="U3053" i="12"/>
  <c r="T2939" i="12"/>
  <c r="T3003" i="12"/>
  <c r="T3067" i="12"/>
  <c r="T3100" i="12"/>
  <c r="V2962" i="12"/>
  <c r="W3005" i="12"/>
  <c r="V2934" i="12"/>
  <c r="V3037" i="12"/>
  <c r="U2955" i="12"/>
  <c r="U3036" i="12"/>
  <c r="U3109" i="12"/>
  <c r="T2988" i="12"/>
  <c r="T3052" i="12"/>
  <c r="W3038" i="12"/>
  <c r="W2959" i="12"/>
  <c r="W3085" i="12"/>
  <c r="V3002" i="12"/>
  <c r="V3105" i="12"/>
  <c r="W2963" i="12"/>
  <c r="W3086" i="12"/>
  <c r="V3004" i="12"/>
  <c r="V3106" i="12"/>
  <c r="U3012" i="12"/>
  <c r="U3085" i="12"/>
  <c r="T2967" i="12"/>
  <c r="T3031" i="12"/>
  <c r="T3095" i="12"/>
  <c r="W3013" i="12"/>
  <c r="V2941" i="12"/>
  <c r="V3044" i="12"/>
  <c r="U2961" i="12"/>
  <c r="V3021" i="12"/>
  <c r="U3047" i="12"/>
  <c r="T2970" i="12"/>
  <c r="T3073" i="12"/>
  <c r="U3033" i="12"/>
  <c r="T2973" i="12"/>
  <c r="T3074" i="12"/>
  <c r="V2957" i="12"/>
  <c r="T3018" i="12"/>
  <c r="W2998" i="12"/>
  <c r="T3065" i="12"/>
  <c r="T3008" i="12"/>
  <c r="V3073" i="12"/>
  <c r="U3065" i="12"/>
  <c r="T2986" i="12"/>
  <c r="T3089" i="12"/>
  <c r="V3077" i="12"/>
  <c r="U3066" i="12"/>
  <c r="T2989" i="12"/>
  <c r="T3082" i="12"/>
  <c r="V3046" i="12"/>
  <c r="U3052" i="12"/>
  <c r="T2977" i="12"/>
  <c r="T3080" i="12"/>
  <c r="V3052" i="12"/>
  <c r="U3056" i="12"/>
  <c r="T2978" i="12"/>
  <c r="T3081" i="12"/>
  <c r="U3071" i="12"/>
  <c r="T2982" i="12"/>
  <c r="V3020" i="12"/>
  <c r="U3043" i="12"/>
  <c r="W2976" i="12"/>
  <c r="W2945" i="12"/>
  <c r="W2954" i="12"/>
  <c r="V3075" i="12"/>
  <c r="U3044" i="12"/>
  <c r="V3025" i="12"/>
  <c r="W2943" i="12"/>
  <c r="V2990" i="12"/>
  <c r="W2997" i="12"/>
  <c r="T3061" i="12"/>
  <c r="W2934" i="12"/>
  <c r="V3045" i="12"/>
  <c r="T3066" i="12"/>
  <c r="U3029" i="12"/>
  <c r="W11" i="12"/>
  <c r="W75" i="12"/>
  <c r="W139" i="12"/>
  <c r="W203" i="12"/>
  <c r="W267" i="12"/>
  <c r="W28" i="12"/>
  <c r="W156" i="12"/>
  <c r="W220" i="12"/>
  <c r="W284" i="12"/>
  <c r="W45" i="12"/>
  <c r="W109" i="12"/>
  <c r="W173" i="12"/>
  <c r="W237" i="12"/>
  <c r="W301" i="12"/>
  <c r="W126" i="12"/>
  <c r="W190" i="12"/>
  <c r="W254" i="12"/>
  <c r="W15" i="12"/>
  <c r="W79" i="12"/>
  <c r="W143" i="12"/>
  <c r="W207" i="12"/>
  <c r="W271" i="12"/>
  <c r="W40" i="12"/>
  <c r="W104" i="12"/>
  <c r="W168" i="12"/>
  <c r="W232" i="12"/>
  <c r="W296" i="12"/>
  <c r="W65" i="12"/>
  <c r="W129" i="12"/>
  <c r="W193" i="12"/>
  <c r="W257" i="12"/>
  <c r="W26" i="12"/>
  <c r="W90" i="12"/>
  <c r="W154" i="12"/>
  <c r="W218" i="12"/>
  <c r="W282" i="12"/>
  <c r="W343" i="12"/>
  <c r="W407" i="12"/>
  <c r="W471" i="12"/>
  <c r="W535" i="12"/>
  <c r="W599" i="12"/>
  <c r="W663" i="12"/>
  <c r="W727" i="12"/>
  <c r="W791" i="12"/>
  <c r="W855" i="12"/>
  <c r="W919" i="12"/>
  <c r="W983" i="12"/>
  <c r="W360" i="12"/>
  <c r="W424" i="12"/>
  <c r="W488" i="12"/>
  <c r="W552" i="12"/>
  <c r="W616" i="12"/>
  <c r="W680" i="12"/>
  <c r="W744" i="12"/>
  <c r="W808" i="12"/>
  <c r="W872" i="12"/>
  <c r="W305" i="12"/>
  <c r="W369" i="12"/>
  <c r="W433" i="12"/>
  <c r="W497" i="12"/>
  <c r="W561" i="12"/>
  <c r="W625" i="12"/>
  <c r="W689" i="12"/>
  <c r="W753" i="12"/>
  <c r="W817" i="12"/>
  <c r="W881" i="12"/>
  <c r="W945" i="12"/>
  <c r="W322" i="12"/>
  <c r="W386" i="12"/>
  <c r="W450" i="12"/>
  <c r="W514" i="12"/>
  <c r="W578" i="12"/>
  <c r="W642" i="12"/>
  <c r="W706" i="12"/>
  <c r="W770" i="12"/>
  <c r="W834" i="12"/>
  <c r="W898" i="12"/>
  <c r="W962" i="12"/>
  <c r="W339" i="12"/>
  <c r="W403" i="12"/>
  <c r="W467" i="12"/>
  <c r="W531" i="12"/>
  <c r="W595" i="12"/>
  <c r="W659" i="12"/>
  <c r="W723" i="12"/>
  <c r="W787" i="12"/>
  <c r="W851" i="12"/>
  <c r="W915" i="12"/>
  <c r="W348" i="12"/>
  <c r="W412" i="12"/>
  <c r="W476" i="12"/>
  <c r="W540" i="12"/>
  <c r="W604" i="12"/>
  <c r="W668" i="12"/>
  <c r="W732" i="12"/>
  <c r="W796" i="12"/>
  <c r="W860" i="12"/>
  <c r="W924" i="12"/>
  <c r="W309" i="12"/>
  <c r="W373" i="12"/>
  <c r="W437" i="12"/>
  <c r="W501" i="12"/>
  <c r="W565" i="12"/>
  <c r="W629" i="12"/>
  <c r="W693" i="12"/>
  <c r="W757" i="12"/>
  <c r="W821" i="12"/>
  <c r="W885" i="12"/>
  <c r="W949" i="12"/>
  <c r="W334" i="12"/>
  <c r="W398" i="12"/>
  <c r="W462" i="12"/>
  <c r="W526" i="12"/>
  <c r="W590" i="12"/>
  <c r="W654" i="12"/>
  <c r="W718" i="12"/>
  <c r="W782" i="12"/>
  <c r="W846" i="12"/>
  <c r="W910" i="12"/>
  <c r="W974" i="12"/>
  <c r="W1022" i="12"/>
  <c r="W1086" i="12"/>
  <c r="W1150" i="12"/>
  <c r="W1214" i="12"/>
  <c r="W1278" i="12"/>
  <c r="W1342" i="12"/>
  <c r="W1406" i="12"/>
  <c r="W1470" i="12"/>
  <c r="W1534" i="12"/>
  <c r="W1598" i="12"/>
  <c r="W939" i="12"/>
  <c r="W1039" i="12"/>
  <c r="W1103" i="12"/>
  <c r="W1167" i="12"/>
  <c r="W1231" i="12"/>
  <c r="W1295" i="12"/>
  <c r="W1359" i="12"/>
  <c r="W1423" i="12"/>
  <c r="W1487" i="12"/>
  <c r="W1551" i="12"/>
  <c r="W1615" i="12"/>
  <c r="W992" i="12"/>
  <c r="W1056" i="12"/>
  <c r="W1120" i="12"/>
  <c r="W1184" i="12"/>
  <c r="W1248" i="12"/>
  <c r="W1312" i="12"/>
  <c r="W1376" i="12"/>
  <c r="W1440" i="12"/>
  <c r="W1504" i="12"/>
  <c r="W1568" i="12"/>
  <c r="W1632" i="12"/>
  <c r="W1009" i="12"/>
  <c r="W1073" i="12"/>
  <c r="W1137" i="12"/>
  <c r="W1201" i="12"/>
  <c r="W1265" i="12"/>
  <c r="W1329" i="12"/>
  <c r="W1393" i="12"/>
  <c r="W1457" i="12"/>
  <c r="W1521" i="12"/>
  <c r="W1585" i="12"/>
  <c r="W1649" i="12"/>
  <c r="W1026" i="12"/>
  <c r="W1090" i="12"/>
  <c r="W1154" i="12"/>
  <c r="W1218" i="12"/>
  <c r="W1282" i="12"/>
  <c r="W1346" i="12"/>
  <c r="W19" i="12"/>
  <c r="W83" i="12"/>
  <c r="W147" i="12"/>
  <c r="W211" i="12"/>
  <c r="W275" i="12"/>
  <c r="W36" i="12"/>
  <c r="W100" i="12"/>
  <c r="W164" i="12"/>
  <c r="W228" i="12"/>
  <c r="W292" i="12"/>
  <c r="W53" i="12"/>
  <c r="W117" i="12"/>
  <c r="W181" i="12"/>
  <c r="W245" i="12"/>
  <c r="W6" i="12"/>
  <c r="W70" i="12"/>
  <c r="W134" i="12"/>
  <c r="W198" i="12"/>
  <c r="W262" i="12"/>
  <c r="W23" i="12"/>
  <c r="W87" i="12"/>
  <c r="W151" i="12"/>
  <c r="W215" i="12"/>
  <c r="W279" i="12"/>
  <c r="W48" i="12"/>
  <c r="W112" i="12"/>
  <c r="W176" i="12"/>
  <c r="W240" i="12"/>
  <c r="W9" i="12"/>
  <c r="W73" i="12"/>
  <c r="W137" i="12"/>
  <c r="W201" i="12"/>
  <c r="W265" i="12"/>
  <c r="W34" i="12"/>
  <c r="W98" i="12"/>
  <c r="W162" i="12"/>
  <c r="W226" i="12"/>
  <c r="W290" i="12"/>
  <c r="W351" i="12"/>
  <c r="W415" i="12"/>
  <c r="W479" i="12"/>
  <c r="W543" i="12"/>
  <c r="W607" i="12"/>
  <c r="W671" i="12"/>
  <c r="W735" i="12"/>
  <c r="W799" i="12"/>
  <c r="W863" i="12"/>
  <c r="W927" i="12"/>
  <c r="W304" i="12"/>
  <c r="W368" i="12"/>
  <c r="W432" i="12"/>
  <c r="W496" i="12"/>
  <c r="W560" i="12"/>
  <c r="W624" i="12"/>
  <c r="W688" i="12"/>
  <c r="W752" i="12"/>
  <c r="W816" i="12"/>
  <c r="W880" i="12"/>
  <c r="W313" i="12"/>
  <c r="W377" i="12"/>
  <c r="W441" i="12"/>
  <c r="W505" i="12"/>
  <c r="W569" i="12"/>
  <c r="W633" i="12"/>
  <c r="W697" i="12"/>
  <c r="W761" i="12"/>
  <c r="W825" i="12"/>
  <c r="W889" i="12"/>
  <c r="W953" i="12"/>
  <c r="W330" i="12"/>
  <c r="W394" i="12"/>
  <c r="W458" i="12"/>
  <c r="W522" i="12"/>
  <c r="W586" i="12"/>
  <c r="W650" i="12"/>
  <c r="W714" i="12"/>
  <c r="W778" i="12"/>
  <c r="W842" i="12"/>
  <c r="W906" i="12"/>
  <c r="W970" i="12"/>
  <c r="W347" i="12"/>
  <c r="W411" i="12"/>
  <c r="W475" i="12"/>
  <c r="W539" i="12"/>
  <c r="W603" i="12"/>
  <c r="W667" i="12"/>
  <c r="W731" i="12"/>
  <c r="W795" i="12"/>
  <c r="W859" i="12"/>
  <c r="W923" i="12"/>
  <c r="W356" i="12"/>
  <c r="W420" i="12"/>
  <c r="W484" i="12"/>
  <c r="W548" i="12"/>
  <c r="W612" i="12"/>
  <c r="W676" i="12"/>
  <c r="W740" i="12"/>
  <c r="W804" i="12"/>
  <c r="W868" i="12"/>
  <c r="W932" i="12"/>
  <c r="W317" i="12"/>
  <c r="W381" i="12"/>
  <c r="W445" i="12"/>
  <c r="W509" i="12"/>
  <c r="W573" i="12"/>
  <c r="W637" i="12"/>
  <c r="W701" i="12"/>
  <c r="W765" i="12"/>
  <c r="W829" i="12"/>
  <c r="W893" i="12"/>
  <c r="W957" i="12"/>
  <c r="W342" i="12"/>
  <c r="W406" i="12"/>
  <c r="W470" i="12"/>
  <c r="W534" i="12"/>
  <c r="W598" i="12"/>
  <c r="W662" i="12"/>
  <c r="W726" i="12"/>
  <c r="W790" i="12"/>
  <c r="W854" i="12"/>
  <c r="W918" i="12"/>
  <c r="W982" i="12"/>
  <c r="W1030" i="12"/>
  <c r="W1094" i="12"/>
  <c r="W1158" i="12"/>
  <c r="W1222" i="12"/>
  <c r="W1286" i="12"/>
  <c r="W1350" i="12"/>
  <c r="W1414" i="12"/>
  <c r="W1478" i="12"/>
  <c r="W1542" i="12"/>
  <c r="W1606" i="12"/>
  <c r="W971" i="12"/>
  <c r="W1047" i="12"/>
  <c r="W1111" i="12"/>
  <c r="W1175" i="12"/>
  <c r="W1239" i="12"/>
  <c r="W1303" i="12"/>
  <c r="W1367" i="12"/>
  <c r="W1431" i="12"/>
  <c r="W1495" i="12"/>
  <c r="W1559" i="12"/>
  <c r="W1623" i="12"/>
  <c r="W1000" i="12"/>
  <c r="W1064" i="12"/>
  <c r="W1128" i="12"/>
  <c r="W1192" i="12"/>
  <c r="W1256" i="12"/>
  <c r="W1320" i="12"/>
  <c r="W1384" i="12"/>
  <c r="W1448" i="12"/>
  <c r="W1512" i="12"/>
  <c r="W1576" i="12"/>
  <c r="W1640" i="12"/>
  <c r="W1017" i="12"/>
  <c r="W1081" i="12"/>
  <c r="W1145" i="12"/>
  <c r="W1209" i="12"/>
  <c r="W1273" i="12"/>
  <c r="W1337" i="12"/>
  <c r="W1401" i="12"/>
  <c r="W1465" i="12"/>
  <c r="W1529" i="12"/>
  <c r="W1593" i="12"/>
  <c r="W1657" i="12"/>
  <c r="W1034" i="12"/>
  <c r="W1098" i="12"/>
  <c r="W1162" i="12"/>
  <c r="W1226" i="12"/>
  <c r="W1290" i="12"/>
  <c r="W1354" i="12"/>
  <c r="W27" i="12"/>
  <c r="W91" i="12"/>
  <c r="W155" i="12"/>
  <c r="W219" i="12"/>
  <c r="W283" i="12"/>
  <c r="W44" i="12"/>
  <c r="W108" i="12"/>
  <c r="W172" i="12"/>
  <c r="W236" i="12"/>
  <c r="W300" i="12"/>
  <c r="W61" i="12"/>
  <c r="W125" i="12"/>
  <c r="W189" i="12"/>
  <c r="W253" i="12"/>
  <c r="W14" i="12"/>
  <c r="W142" i="12"/>
  <c r="W206" i="12"/>
  <c r="W270" i="12"/>
  <c r="W31" i="12"/>
  <c r="W95" i="12"/>
  <c r="W159" i="12"/>
  <c r="W223" i="12"/>
  <c r="W287" i="12"/>
  <c r="W56" i="12"/>
  <c r="W120" i="12"/>
  <c r="W184" i="12"/>
  <c r="W248" i="12"/>
  <c r="W17" i="12"/>
  <c r="W81" i="12"/>
  <c r="W145" i="12"/>
  <c r="W209" i="12"/>
  <c r="W273" i="12"/>
  <c r="W42" i="12"/>
  <c r="W106" i="12"/>
  <c r="W170" i="12"/>
  <c r="W234" i="12"/>
  <c r="W298" i="12"/>
  <c r="W359" i="12"/>
  <c r="W423" i="12"/>
  <c r="W487" i="12"/>
  <c r="W551" i="12"/>
  <c r="W615" i="12"/>
  <c r="W679" i="12"/>
  <c r="W743" i="12"/>
  <c r="W807" i="12"/>
  <c r="W871" i="12"/>
  <c r="W935" i="12"/>
  <c r="W312" i="12"/>
  <c r="W376" i="12"/>
  <c r="W440" i="12"/>
  <c r="W504" i="12"/>
  <c r="W568" i="12"/>
  <c r="W632" i="12"/>
  <c r="W696" i="12"/>
  <c r="W760" i="12"/>
  <c r="W824" i="12"/>
  <c r="W888" i="12"/>
  <c r="W321" i="12"/>
  <c r="W385" i="12"/>
  <c r="W449" i="12"/>
  <c r="W513" i="12"/>
  <c r="W577" i="12"/>
  <c r="W641" i="12"/>
  <c r="W705" i="12"/>
  <c r="W769" i="12"/>
  <c r="W833" i="12"/>
  <c r="W897" i="12"/>
  <c r="W961" i="12"/>
  <c r="W338" i="12"/>
  <c r="W402" i="12"/>
  <c r="W466" i="12"/>
  <c r="W530" i="12"/>
  <c r="W594" i="12"/>
  <c r="W658" i="12"/>
  <c r="W722" i="12"/>
  <c r="W786" i="12"/>
  <c r="W850" i="12"/>
  <c r="W914" i="12"/>
  <c r="W978" i="12"/>
  <c r="W355" i="12"/>
  <c r="W419" i="12"/>
  <c r="W483" i="12"/>
  <c r="W547" i="12"/>
  <c r="W611" i="12"/>
  <c r="W675" i="12"/>
  <c r="W739" i="12"/>
  <c r="W803" i="12"/>
  <c r="W867" i="12"/>
  <c r="W931" i="12"/>
  <c r="W364" i="12"/>
  <c r="W428" i="12"/>
  <c r="W492" i="12"/>
  <c r="W556" i="12"/>
  <c r="W620" i="12"/>
  <c r="W684" i="12"/>
  <c r="W748" i="12"/>
  <c r="W812" i="12"/>
  <c r="W876" i="12"/>
  <c r="W940" i="12"/>
  <c r="W325" i="12"/>
  <c r="W389" i="12"/>
  <c r="W453" i="12"/>
  <c r="W517" i="12"/>
  <c r="W581" i="12"/>
  <c r="W645" i="12"/>
  <c r="W709" i="12"/>
  <c r="W773" i="12"/>
  <c r="W837" i="12"/>
  <c r="W901" i="12"/>
  <c r="W965" i="12"/>
  <c r="W350" i="12"/>
  <c r="W414" i="12"/>
  <c r="W478" i="12"/>
  <c r="W542" i="12"/>
  <c r="W606" i="12"/>
  <c r="W670" i="12"/>
  <c r="W734" i="12"/>
  <c r="W798" i="12"/>
  <c r="W862" i="12"/>
  <c r="W926" i="12"/>
  <c r="W936" i="12"/>
  <c r="W1038" i="12"/>
  <c r="W1102" i="12"/>
  <c r="W1166" i="12"/>
  <c r="W1230" i="12"/>
  <c r="W1294" i="12"/>
  <c r="W1358" i="12"/>
  <c r="W1422" i="12"/>
  <c r="W1486" i="12"/>
  <c r="W1550" i="12"/>
  <c r="W1614" i="12"/>
  <c r="W991" i="12"/>
  <c r="W1055" i="12"/>
  <c r="W1119" i="12"/>
  <c r="W1183" i="12"/>
  <c r="W1247" i="12"/>
  <c r="W1311" i="12"/>
  <c r="W1375" i="12"/>
  <c r="W1439" i="12"/>
  <c r="W1503" i="12"/>
  <c r="W1567" i="12"/>
  <c r="W1631" i="12"/>
  <c r="W1008" i="12"/>
  <c r="W1072" i="12"/>
  <c r="W1136" i="12"/>
  <c r="W1200" i="12"/>
  <c r="W1264" i="12"/>
  <c r="W1328" i="12"/>
  <c r="W1392" i="12"/>
  <c r="W1456" i="12"/>
  <c r="W1520" i="12"/>
  <c r="W1584" i="12"/>
  <c r="W1648" i="12"/>
  <c r="W1025" i="12"/>
  <c r="W1089" i="12"/>
  <c r="W1153" i="12"/>
  <c r="W1217" i="12"/>
  <c r="W1281" i="12"/>
  <c r="W1345" i="12"/>
  <c r="W1409" i="12"/>
  <c r="W1473" i="12"/>
  <c r="W1537" i="12"/>
  <c r="W1601" i="12"/>
  <c r="W952" i="12"/>
  <c r="W1042" i="12"/>
  <c r="W1106" i="12"/>
  <c r="W1170" i="12"/>
  <c r="W1234" i="12"/>
  <c r="W1298" i="12"/>
  <c r="W1362" i="12"/>
  <c r="W35" i="12"/>
  <c r="W99" i="12"/>
  <c r="W163" i="12"/>
  <c r="W227" i="12"/>
  <c r="W291" i="12"/>
  <c r="W52" i="12"/>
  <c r="W116" i="12"/>
  <c r="W180" i="12"/>
  <c r="W244" i="12"/>
  <c r="W5" i="12"/>
  <c r="W69" i="12"/>
  <c r="W133" i="12"/>
  <c r="W197" i="12"/>
  <c r="W261" i="12"/>
  <c r="W22" i="12"/>
  <c r="W86" i="12"/>
  <c r="W150" i="12"/>
  <c r="W214" i="12"/>
  <c r="W278" i="12"/>
  <c r="W39" i="12"/>
  <c r="W103" i="12"/>
  <c r="W167" i="12"/>
  <c r="W231" i="12"/>
  <c r="W295" i="12"/>
  <c r="W64" i="12"/>
  <c r="W128" i="12"/>
  <c r="W192" i="12"/>
  <c r="W256" i="12"/>
  <c r="W25" i="12"/>
  <c r="W89" i="12"/>
  <c r="W153" i="12"/>
  <c r="W217" i="12"/>
  <c r="W281" i="12"/>
  <c r="W50" i="12"/>
  <c r="W114" i="12"/>
  <c r="W178" i="12"/>
  <c r="W242" i="12"/>
  <c r="W303" i="12"/>
  <c r="W367" i="12"/>
  <c r="W431" i="12"/>
  <c r="W495" i="12"/>
  <c r="W559" i="12"/>
  <c r="W623" i="12"/>
  <c r="W687" i="12"/>
  <c r="W751" i="12"/>
  <c r="W815" i="12"/>
  <c r="W879" i="12"/>
  <c r="W943" i="12"/>
  <c r="W320" i="12"/>
  <c r="W384" i="12"/>
  <c r="W448" i="12"/>
  <c r="W512" i="12"/>
  <c r="W576" i="12"/>
  <c r="W640" i="12"/>
  <c r="W704" i="12"/>
  <c r="W768" i="12"/>
  <c r="W832" i="12"/>
  <c r="W896" i="12"/>
  <c r="W329" i="12"/>
  <c r="W393" i="12"/>
  <c r="W457" i="12"/>
  <c r="W521" i="12"/>
  <c r="W585" i="12"/>
  <c r="W649" i="12"/>
  <c r="W713" i="12"/>
  <c r="W777" i="12"/>
  <c r="W841" i="12"/>
  <c r="W905" i="12"/>
  <c r="W969" i="12"/>
  <c r="W346" i="12"/>
  <c r="W410" i="12"/>
  <c r="W474" i="12"/>
  <c r="W538" i="12"/>
  <c r="W602" i="12"/>
  <c r="W666" i="12"/>
  <c r="W730" i="12"/>
  <c r="W794" i="12"/>
  <c r="W858" i="12"/>
  <c r="W922" i="12"/>
  <c r="W986" i="12"/>
  <c r="W363" i="12"/>
  <c r="W427" i="12"/>
  <c r="W491" i="12"/>
  <c r="W555" i="12"/>
  <c r="W619" i="12"/>
  <c r="W683" i="12"/>
  <c r="W747" i="12"/>
  <c r="W811" i="12"/>
  <c r="W875" i="12"/>
  <c r="W308" i="12"/>
  <c r="W372" i="12"/>
  <c r="W436" i="12"/>
  <c r="W500" i="12"/>
  <c r="W564" i="12"/>
  <c r="W628" i="12"/>
  <c r="W692" i="12"/>
  <c r="W756" i="12"/>
  <c r="W820" i="12"/>
  <c r="W884" i="12"/>
  <c r="W948" i="12"/>
  <c r="W333" i="12"/>
  <c r="W397" i="12"/>
  <c r="W461" i="12"/>
  <c r="W525" i="12"/>
  <c r="W589" i="12"/>
  <c r="W653" i="12"/>
  <c r="W717" i="12"/>
  <c r="W781" i="12"/>
  <c r="W845" i="12"/>
  <c r="W909" i="12"/>
  <c r="W973" i="12"/>
  <c r="W358" i="12"/>
  <c r="W422" i="12"/>
  <c r="W486" i="12"/>
  <c r="W550" i="12"/>
  <c r="W614" i="12"/>
  <c r="W678" i="12"/>
  <c r="W742" i="12"/>
  <c r="W806" i="12"/>
  <c r="W870" i="12"/>
  <c r="W934" i="12"/>
  <c r="W968" i="12"/>
  <c r="W1046" i="12"/>
  <c r="W1110" i="12"/>
  <c r="W1174" i="12"/>
  <c r="W1238" i="12"/>
  <c r="W1302" i="12"/>
  <c r="W1366" i="12"/>
  <c r="W1430" i="12"/>
  <c r="W1494" i="12"/>
  <c r="W1558" i="12"/>
  <c r="W1622" i="12"/>
  <c r="W999" i="12"/>
  <c r="W1063" i="12"/>
  <c r="W1127" i="12"/>
  <c r="W1191" i="12"/>
  <c r="W1255" i="12"/>
  <c r="W1319" i="12"/>
  <c r="W1383" i="12"/>
  <c r="W1447" i="12"/>
  <c r="W1511" i="12"/>
  <c r="W1575" i="12"/>
  <c r="W1639" i="12"/>
  <c r="W1016" i="12"/>
  <c r="W1080" i="12"/>
  <c r="W1144" i="12"/>
  <c r="W1208" i="12"/>
  <c r="W1272" i="12"/>
  <c r="W1336" i="12"/>
  <c r="W1400" i="12"/>
  <c r="W1464" i="12"/>
  <c r="W1528" i="12"/>
  <c r="W1592" i="12"/>
  <c r="W1656" i="12"/>
  <c r="W1033" i="12"/>
  <c r="W1097" i="12"/>
  <c r="W1161" i="12"/>
  <c r="W1225" i="12"/>
  <c r="W1289" i="12"/>
  <c r="W1353" i="12"/>
  <c r="W1417" i="12"/>
  <c r="W1481" i="12"/>
  <c r="W1545" i="12"/>
  <c r="W1609" i="12"/>
  <c r="W984" i="12"/>
  <c r="W1050" i="12"/>
  <c r="W1114" i="12"/>
  <c r="W1178" i="12"/>
  <c r="W1242" i="12"/>
  <c r="W1306" i="12"/>
  <c r="W43" i="12"/>
  <c r="W107" i="12"/>
  <c r="W171" i="12"/>
  <c r="W235" i="12"/>
  <c r="W299" i="12"/>
  <c r="W60" i="12"/>
  <c r="W124" i="12"/>
  <c r="W188" i="12"/>
  <c r="W252" i="12"/>
  <c r="W13" i="12"/>
  <c r="W77" i="12"/>
  <c r="W141" i="12"/>
  <c r="W205" i="12"/>
  <c r="W269" i="12"/>
  <c r="W30" i="12"/>
  <c r="W94" i="12"/>
  <c r="W158" i="12"/>
  <c r="W222" i="12"/>
  <c r="W286" i="12"/>
  <c r="W47" i="12"/>
  <c r="W111" i="12"/>
  <c r="W175" i="12"/>
  <c r="W239" i="12"/>
  <c r="W8" i="12"/>
  <c r="W72" i="12"/>
  <c r="W136" i="12"/>
  <c r="W200" i="12"/>
  <c r="W264" i="12"/>
  <c r="W33" i="12"/>
  <c r="W97" i="12"/>
  <c r="W161" i="12"/>
  <c r="W225" i="12"/>
  <c r="W289" i="12"/>
  <c r="W58" i="12"/>
  <c r="W122" i="12"/>
  <c r="W186" i="12"/>
  <c r="W250" i="12"/>
  <c r="W311" i="12"/>
  <c r="W375" i="12"/>
  <c r="W439" i="12"/>
  <c r="W503" i="12"/>
  <c r="W567" i="12"/>
  <c r="W631" i="12"/>
  <c r="W695" i="12"/>
  <c r="W759" i="12"/>
  <c r="W823" i="12"/>
  <c r="W887" i="12"/>
  <c r="W951" i="12"/>
  <c r="W328" i="12"/>
  <c r="W392" i="12"/>
  <c r="W456" i="12"/>
  <c r="W520" i="12"/>
  <c r="W584" i="12"/>
  <c r="W648" i="12"/>
  <c r="W712" i="12"/>
  <c r="W776" i="12"/>
  <c r="W840" i="12"/>
  <c r="W904" i="12"/>
  <c r="W337" i="12"/>
  <c r="W401" i="12"/>
  <c r="W465" i="12"/>
  <c r="W529" i="12"/>
  <c r="W593" i="12"/>
  <c r="W657" i="12"/>
  <c r="W721" i="12"/>
  <c r="W785" i="12"/>
  <c r="W849" i="12"/>
  <c r="W913" i="12"/>
  <c r="W977" i="12"/>
  <c r="W354" i="12"/>
  <c r="W418" i="12"/>
  <c r="W482" i="12"/>
  <c r="W546" i="12"/>
  <c r="W610" i="12"/>
  <c r="W674" i="12"/>
  <c r="W738" i="12"/>
  <c r="W802" i="12"/>
  <c r="W866" i="12"/>
  <c r="W930" i="12"/>
  <c r="W307" i="12"/>
  <c r="W371" i="12"/>
  <c r="W435" i="12"/>
  <c r="W499" i="12"/>
  <c r="W563" i="12"/>
  <c r="W627" i="12"/>
  <c r="W691" i="12"/>
  <c r="W755" i="12"/>
  <c r="W819" i="12"/>
  <c r="W883" i="12"/>
  <c r="W316" i="12"/>
  <c r="W380" i="12"/>
  <c r="W444" i="12"/>
  <c r="W508" i="12"/>
  <c r="W572" i="12"/>
  <c r="W636" i="12"/>
  <c r="W700" i="12"/>
  <c r="W764" i="12"/>
  <c r="W828" i="12"/>
  <c r="W892" i="12"/>
  <c r="W956" i="12"/>
  <c r="W341" i="12"/>
  <c r="W405" i="12"/>
  <c r="W469" i="12"/>
  <c r="W533" i="12"/>
  <c r="W597" i="12"/>
  <c r="W661" i="12"/>
  <c r="W725" i="12"/>
  <c r="W789" i="12"/>
  <c r="W853" i="12"/>
  <c r="W917" i="12"/>
  <c r="W981" i="12"/>
  <c r="W366" i="12"/>
  <c r="W430" i="12"/>
  <c r="W494" i="12"/>
  <c r="W558" i="12"/>
  <c r="W622" i="12"/>
  <c r="W686" i="12"/>
  <c r="W750" i="12"/>
  <c r="W814" i="12"/>
  <c r="W878" i="12"/>
  <c r="W942" i="12"/>
  <c r="W990" i="12"/>
  <c r="W1054" i="12"/>
  <c r="W1118" i="12"/>
  <c r="W1182" i="12"/>
  <c r="W1246" i="12"/>
  <c r="W1310" i="12"/>
  <c r="W1374" i="12"/>
  <c r="W1438" i="12"/>
  <c r="W1502" i="12"/>
  <c r="W1566" i="12"/>
  <c r="W1630" i="12"/>
  <c r="W1007" i="12"/>
  <c r="W1071" i="12"/>
  <c r="W1135" i="12"/>
  <c r="W1199" i="12"/>
  <c r="W1263" i="12"/>
  <c r="W1327" i="12"/>
  <c r="W1391" i="12"/>
  <c r="W1455" i="12"/>
  <c r="W1519" i="12"/>
  <c r="W1583" i="12"/>
  <c r="W1647" i="12"/>
  <c r="W1024" i="12"/>
  <c r="W1088" i="12"/>
  <c r="W1152" i="12"/>
  <c r="W1216" i="12"/>
  <c r="W1280" i="12"/>
  <c r="W1344" i="12"/>
  <c r="W1408" i="12"/>
  <c r="W1472" i="12"/>
  <c r="W1536" i="12"/>
  <c r="W1600" i="12"/>
  <c r="W947" i="12"/>
  <c r="W1041" i="12"/>
  <c r="W1105" i="12"/>
  <c r="W1169" i="12"/>
  <c r="W1233" i="12"/>
  <c r="W1297" i="12"/>
  <c r="W1361" i="12"/>
  <c r="W1425" i="12"/>
  <c r="W1489" i="12"/>
  <c r="W1553" i="12"/>
  <c r="W1617" i="12"/>
  <c r="W994" i="12"/>
  <c r="W1058" i="12"/>
  <c r="W1122" i="12"/>
  <c r="W1186" i="12"/>
  <c r="W1250" i="12"/>
  <c r="W1314" i="12"/>
  <c r="W51" i="12"/>
  <c r="W115" i="12"/>
  <c r="W179" i="12"/>
  <c r="W243" i="12"/>
  <c r="W4" i="12"/>
  <c r="W68" i="12"/>
  <c r="W132" i="12"/>
  <c r="W196" i="12"/>
  <c r="W260" i="12"/>
  <c r="W21" i="12"/>
  <c r="W85" i="12"/>
  <c r="W149" i="12"/>
  <c r="W213" i="12"/>
  <c r="W277" i="12"/>
  <c r="W38" i="12"/>
  <c r="W102" i="12"/>
  <c r="W166" i="12"/>
  <c r="W230" i="12"/>
  <c r="W294" i="12"/>
  <c r="W55" i="12"/>
  <c r="W119" i="12"/>
  <c r="W183" i="12"/>
  <c r="W247" i="12"/>
  <c r="W16" i="12"/>
  <c r="W80" i="12"/>
  <c r="W144" i="12"/>
  <c r="W208" i="12"/>
  <c r="W272" i="12"/>
  <c r="W41" i="12"/>
  <c r="W105" i="12"/>
  <c r="W169" i="12"/>
  <c r="W233" i="12"/>
  <c r="W297" i="12"/>
  <c r="W66" i="12"/>
  <c r="W130" i="12"/>
  <c r="W194" i="12"/>
  <c r="W258" i="12"/>
  <c r="W319" i="12"/>
  <c r="W383" i="12"/>
  <c r="W447" i="12"/>
  <c r="W511" i="12"/>
  <c r="W575" i="12"/>
  <c r="W639" i="12"/>
  <c r="W703" i="12"/>
  <c r="W767" i="12"/>
  <c r="W831" i="12"/>
  <c r="W895" i="12"/>
  <c r="W959" i="12"/>
  <c r="W336" i="12"/>
  <c r="W400" i="12"/>
  <c r="W464" i="12"/>
  <c r="W528" i="12"/>
  <c r="W592" i="12"/>
  <c r="W656" i="12"/>
  <c r="W720" i="12"/>
  <c r="W784" i="12"/>
  <c r="W848" i="12"/>
  <c r="W912" i="12"/>
  <c r="W345" i="12"/>
  <c r="W409" i="12"/>
  <c r="W473" i="12"/>
  <c r="W537" i="12"/>
  <c r="W601" i="12"/>
  <c r="W665" i="12"/>
  <c r="W729" i="12"/>
  <c r="W793" i="12"/>
  <c r="W857" i="12"/>
  <c r="W921" i="12"/>
  <c r="W985" i="12"/>
  <c r="W362" i="12"/>
  <c r="W426" i="12"/>
  <c r="W490" i="12"/>
  <c r="W554" i="12"/>
  <c r="W618" i="12"/>
  <c r="W682" i="12"/>
  <c r="W746" i="12"/>
  <c r="W810" i="12"/>
  <c r="W874" i="12"/>
  <c r="W938" i="12"/>
  <c r="W315" i="12"/>
  <c r="W379" i="12"/>
  <c r="W443" i="12"/>
  <c r="W507" i="12"/>
  <c r="W571" i="12"/>
  <c r="W635" i="12"/>
  <c r="W699" i="12"/>
  <c r="W763" i="12"/>
  <c r="W827" i="12"/>
  <c r="W891" i="12"/>
  <c r="W324" i="12"/>
  <c r="W388" i="12"/>
  <c r="W452" i="12"/>
  <c r="W516" i="12"/>
  <c r="W580" i="12"/>
  <c r="W644" i="12"/>
  <c r="W708" i="12"/>
  <c r="W772" i="12"/>
  <c r="W836" i="12"/>
  <c r="W900" i="12"/>
  <c r="W964" i="12"/>
  <c r="W349" i="12"/>
  <c r="W413" i="12"/>
  <c r="W477" i="12"/>
  <c r="W541" i="12"/>
  <c r="W605" i="12"/>
  <c r="W669" i="12"/>
  <c r="W733" i="12"/>
  <c r="W797" i="12"/>
  <c r="W861" i="12"/>
  <c r="W925" i="12"/>
  <c r="W310" i="12"/>
  <c r="W374" i="12"/>
  <c r="W438" i="12"/>
  <c r="W502" i="12"/>
  <c r="W566" i="12"/>
  <c r="W630" i="12"/>
  <c r="W694" i="12"/>
  <c r="W758" i="12"/>
  <c r="W822" i="12"/>
  <c r="W886" i="12"/>
  <c r="W950" i="12"/>
  <c r="W998" i="12"/>
  <c r="W1062" i="12"/>
  <c r="W1126" i="12"/>
  <c r="W1190" i="12"/>
  <c r="W1254" i="12"/>
  <c r="W1318" i="12"/>
  <c r="W1382" i="12"/>
  <c r="W1446" i="12"/>
  <c r="W1510" i="12"/>
  <c r="W1574" i="12"/>
  <c r="W1638" i="12"/>
  <c r="W1015" i="12"/>
  <c r="W1079" i="12"/>
  <c r="W1143" i="12"/>
  <c r="W1207" i="12"/>
  <c r="W1271" i="12"/>
  <c r="W1335" i="12"/>
  <c r="W1399" i="12"/>
  <c r="W1463" i="12"/>
  <c r="W1527" i="12"/>
  <c r="W1591" i="12"/>
  <c r="W1655" i="12"/>
  <c r="W1032" i="12"/>
  <c r="W1096" i="12"/>
  <c r="W1160" i="12"/>
  <c r="W1224" i="12"/>
  <c r="W1288" i="12"/>
  <c r="W1352" i="12"/>
  <c r="W1416" i="12"/>
  <c r="W1480" i="12"/>
  <c r="W1544" i="12"/>
  <c r="W1608" i="12"/>
  <c r="W979" i="12"/>
  <c r="W1049" i="12"/>
  <c r="W1113" i="12"/>
  <c r="W1177" i="12"/>
  <c r="W1241" i="12"/>
  <c r="W1305" i="12"/>
  <c r="W1369" i="12"/>
  <c r="W1433" i="12"/>
  <c r="W1497" i="12"/>
  <c r="W1561" i="12"/>
  <c r="W1625" i="12"/>
  <c r="W1002" i="12"/>
  <c r="W1066" i="12"/>
  <c r="W1130" i="12"/>
  <c r="W1194" i="12"/>
  <c r="W1258" i="12"/>
  <c r="W1322" i="12"/>
  <c r="W59" i="12"/>
  <c r="W123" i="12"/>
  <c r="W187" i="12"/>
  <c r="W251" i="12"/>
  <c r="W12" i="12"/>
  <c r="W76" i="12"/>
  <c r="W140" i="12"/>
  <c r="W204" i="12"/>
  <c r="W268" i="12"/>
  <c r="W29" i="12"/>
  <c r="W93" i="12"/>
  <c r="W157" i="12"/>
  <c r="W221" i="12"/>
  <c r="W285" i="12"/>
  <c r="W46" i="12"/>
  <c r="W110" i="12"/>
  <c r="W174" i="12"/>
  <c r="W238" i="12"/>
  <c r="W302" i="12"/>
  <c r="W63" i="12"/>
  <c r="W127" i="12"/>
  <c r="W191" i="12"/>
  <c r="W255" i="12"/>
  <c r="W24" i="12"/>
  <c r="W88" i="12"/>
  <c r="W152" i="12"/>
  <c r="W216" i="12"/>
  <c r="W280" i="12"/>
  <c r="W49" i="12"/>
  <c r="W113" i="12"/>
  <c r="W177" i="12"/>
  <c r="W241" i="12"/>
  <c r="W10" i="12"/>
  <c r="W74" i="12"/>
  <c r="W202" i="12"/>
  <c r="W266" i="12"/>
  <c r="W327" i="12"/>
  <c r="W391" i="12"/>
  <c r="W455" i="12"/>
  <c r="W519" i="12"/>
  <c r="W583" i="12"/>
  <c r="W647" i="12"/>
  <c r="W711" i="12"/>
  <c r="W775" i="12"/>
  <c r="W839" i="12"/>
  <c r="W903" i="12"/>
  <c r="W967" i="12"/>
  <c r="W344" i="12"/>
  <c r="W408" i="12"/>
  <c r="W472" i="12"/>
  <c r="W536" i="12"/>
  <c r="W600" i="12"/>
  <c r="W664" i="12"/>
  <c r="W728" i="12"/>
  <c r="W792" i="12"/>
  <c r="W856" i="12"/>
  <c r="W920" i="12"/>
  <c r="W353" i="12"/>
  <c r="W417" i="12"/>
  <c r="W481" i="12"/>
  <c r="W545" i="12"/>
  <c r="W609" i="12"/>
  <c r="W673" i="12"/>
  <c r="W737" i="12"/>
  <c r="W801" i="12"/>
  <c r="W865" i="12"/>
  <c r="W929" i="12"/>
  <c r="W306" i="12"/>
  <c r="W370" i="12"/>
  <c r="W434" i="12"/>
  <c r="W498" i="12"/>
  <c r="W562" i="12"/>
  <c r="W626" i="12"/>
  <c r="W690" i="12"/>
  <c r="W754" i="12"/>
  <c r="W818" i="12"/>
  <c r="W882" i="12"/>
  <c r="W946" i="12"/>
  <c r="W323" i="12"/>
  <c r="W387" i="12"/>
  <c r="W451" i="12"/>
  <c r="W515" i="12"/>
  <c r="W579" i="12"/>
  <c r="W643" i="12"/>
  <c r="W707" i="12"/>
  <c r="W771" i="12"/>
  <c r="W835" i="12"/>
  <c r="W899" i="12"/>
  <c r="W332" i="12"/>
  <c r="W396" i="12"/>
  <c r="W460" i="12"/>
  <c r="W524" i="12"/>
  <c r="W588" i="12"/>
  <c r="W652" i="12"/>
  <c r="W716" i="12"/>
  <c r="W780" i="12"/>
  <c r="W844" i="12"/>
  <c r="W908" i="12"/>
  <c r="W972" i="12"/>
  <c r="W357" i="12"/>
  <c r="W421" i="12"/>
  <c r="W485" i="12"/>
  <c r="W549" i="12"/>
  <c r="W613" i="12"/>
  <c r="W677" i="12"/>
  <c r="W741" i="12"/>
  <c r="W805" i="12"/>
  <c r="W869" i="12"/>
  <c r="W933" i="12"/>
  <c r="W318" i="12"/>
  <c r="W382" i="12"/>
  <c r="W446" i="12"/>
  <c r="W510" i="12"/>
  <c r="W574" i="12"/>
  <c r="W638" i="12"/>
  <c r="W702" i="12"/>
  <c r="W766" i="12"/>
  <c r="W830" i="12"/>
  <c r="W894" i="12"/>
  <c r="W958" i="12"/>
  <c r="W1006" i="12"/>
  <c r="W1070" i="12"/>
  <c r="W1134" i="12"/>
  <c r="W1198" i="12"/>
  <c r="W1262" i="12"/>
  <c r="W1326" i="12"/>
  <c r="W1390" i="12"/>
  <c r="W1454" i="12"/>
  <c r="W1518" i="12"/>
  <c r="W1582" i="12"/>
  <c r="W1646" i="12"/>
  <c r="W1023" i="12"/>
  <c r="W1087" i="12"/>
  <c r="W1151" i="12"/>
  <c r="W1215" i="12"/>
  <c r="W1279" i="12"/>
  <c r="W1343" i="12"/>
  <c r="W1407" i="12"/>
  <c r="W1471" i="12"/>
  <c r="W1535" i="12"/>
  <c r="W1599" i="12"/>
  <c r="W944" i="12"/>
  <c r="W1040" i="12"/>
  <c r="W1104" i="12"/>
  <c r="W1168" i="12"/>
  <c r="W1232" i="12"/>
  <c r="W1296" i="12"/>
  <c r="W1360" i="12"/>
  <c r="W1424" i="12"/>
  <c r="W1488" i="12"/>
  <c r="W1552" i="12"/>
  <c r="W1616" i="12"/>
  <c r="W993" i="12"/>
  <c r="W1057" i="12"/>
  <c r="W1121" i="12"/>
  <c r="W1185" i="12"/>
  <c r="W1249" i="12"/>
  <c r="W1313" i="12"/>
  <c r="W1377" i="12"/>
  <c r="W1441" i="12"/>
  <c r="W1505" i="12"/>
  <c r="W1569" i="12"/>
  <c r="W1633" i="12"/>
  <c r="W1010" i="12"/>
  <c r="W1074" i="12"/>
  <c r="W1138" i="12"/>
  <c r="W1202" i="12"/>
  <c r="W1266" i="12"/>
  <c r="W1330" i="12"/>
  <c r="W67" i="12"/>
  <c r="W131" i="12"/>
  <c r="W195" i="12"/>
  <c r="W259" i="12"/>
  <c r="W20" i="12"/>
  <c r="W84" i="12"/>
  <c r="W148" i="12"/>
  <c r="W212" i="12"/>
  <c r="W276" i="12"/>
  <c r="W37" i="12"/>
  <c r="W101" i="12"/>
  <c r="W165" i="12"/>
  <c r="W229" i="12"/>
  <c r="W293" i="12"/>
  <c r="W54" i="12"/>
  <c r="W118" i="12"/>
  <c r="W182" i="12"/>
  <c r="W246" i="12"/>
  <c r="W7" i="12"/>
  <c r="W71" i="12"/>
  <c r="W135" i="12"/>
  <c r="W199" i="12"/>
  <c r="W263" i="12"/>
  <c r="W32" i="12"/>
  <c r="W96" i="12"/>
  <c r="W160" i="12"/>
  <c r="W224" i="12"/>
  <c r="W288" i="12"/>
  <c r="W57" i="12"/>
  <c r="W121" i="12"/>
  <c r="W185" i="12"/>
  <c r="W249" i="12"/>
  <c r="W18" i="12"/>
  <c r="W82" i="12"/>
  <c r="W146" i="12"/>
  <c r="W210" i="12"/>
  <c r="W274" i="12"/>
  <c r="W335" i="12"/>
  <c r="W399" i="12"/>
  <c r="W463" i="12"/>
  <c r="W527" i="12"/>
  <c r="W591" i="12"/>
  <c r="W655" i="12"/>
  <c r="W719" i="12"/>
  <c r="W783" i="12"/>
  <c r="W847" i="12"/>
  <c r="W911" i="12"/>
  <c r="W975" i="12"/>
  <c r="W352" i="12"/>
  <c r="W416" i="12"/>
  <c r="W480" i="12"/>
  <c r="W544" i="12"/>
  <c r="W608" i="12"/>
  <c r="W672" i="12"/>
  <c r="W736" i="12"/>
  <c r="W800" i="12"/>
  <c r="W864" i="12"/>
  <c r="W928" i="12"/>
  <c r="W361" i="12"/>
  <c r="W425" i="12"/>
  <c r="W489" i="12"/>
  <c r="W553" i="12"/>
  <c r="W617" i="12"/>
  <c r="W681" i="12"/>
  <c r="W745" i="12"/>
  <c r="W809" i="12"/>
  <c r="W873" i="12"/>
  <c r="W937" i="12"/>
  <c r="W314" i="12"/>
  <c r="W378" i="12"/>
  <c r="W442" i="12"/>
  <c r="W506" i="12"/>
  <c r="W570" i="12"/>
  <c r="W634" i="12"/>
  <c r="W698" i="12"/>
  <c r="W762" i="12"/>
  <c r="W826" i="12"/>
  <c r="W890" i="12"/>
  <c r="W954" i="12"/>
  <c r="W331" i="12"/>
  <c r="W395" i="12"/>
  <c r="W459" i="12"/>
  <c r="W587" i="12"/>
  <c r="W651" i="12"/>
  <c r="W715" i="12"/>
  <c r="W779" i="12"/>
  <c r="W843" i="12"/>
  <c r="W907" i="12"/>
  <c r="W340" i="12"/>
  <c r="W404" i="12"/>
  <c r="W468" i="12"/>
  <c r="W532" i="12"/>
  <c r="W596" i="12"/>
  <c r="W660" i="12"/>
  <c r="W724" i="12"/>
  <c r="W788" i="12"/>
  <c r="W852" i="12"/>
  <c r="W916" i="12"/>
  <c r="W980" i="12"/>
  <c r="W365" i="12"/>
  <c r="W429" i="12"/>
  <c r="W493" i="12"/>
  <c r="W557" i="12"/>
  <c r="W621" i="12"/>
  <c r="W685" i="12"/>
  <c r="W749" i="12"/>
  <c r="W813" i="12"/>
  <c r="W877" i="12"/>
  <c r="W941" i="12"/>
  <c r="W326" i="12"/>
  <c r="W390" i="12"/>
  <c r="W454" i="12"/>
  <c r="W518" i="12"/>
  <c r="W582" i="12"/>
  <c r="W646" i="12"/>
  <c r="W710" i="12"/>
  <c r="W774" i="12"/>
  <c r="W838" i="12"/>
  <c r="W902" i="12"/>
  <c r="W966" i="12"/>
  <c r="W1014" i="12"/>
  <c r="W1078" i="12"/>
  <c r="W1142" i="12"/>
  <c r="W1206" i="12"/>
  <c r="W1270" i="12"/>
  <c r="W1334" i="12"/>
  <c r="W1398" i="12"/>
  <c r="W1462" i="12"/>
  <c r="W1526" i="12"/>
  <c r="W1590" i="12"/>
  <c r="W1654" i="12"/>
  <c r="W1031" i="12"/>
  <c r="W1095" i="12"/>
  <c r="W1159" i="12"/>
  <c r="W1223" i="12"/>
  <c r="W1287" i="12"/>
  <c r="W1351" i="12"/>
  <c r="W1415" i="12"/>
  <c r="W1479" i="12"/>
  <c r="W1543" i="12"/>
  <c r="W1607" i="12"/>
  <c r="W976" i="12"/>
  <c r="W1048" i="12"/>
  <c r="W1112" i="12"/>
  <c r="W1176" i="12"/>
  <c r="W1240" i="12"/>
  <c r="W1304" i="12"/>
  <c r="W1368" i="12"/>
  <c r="W1432" i="12"/>
  <c r="W1496" i="12"/>
  <c r="W1560" i="12"/>
  <c r="W1624" i="12"/>
  <c r="W1001" i="12"/>
  <c r="W1065" i="12"/>
  <c r="W1129" i="12"/>
  <c r="W1193" i="12"/>
  <c r="W1257" i="12"/>
  <c r="W1321" i="12"/>
  <c r="W1385" i="12"/>
  <c r="W1449" i="12"/>
  <c r="W1513" i="12"/>
  <c r="W1577" i="12"/>
  <c r="W1641" i="12"/>
  <c r="W1018" i="12"/>
  <c r="W1082" i="12"/>
  <c r="W1146" i="12"/>
  <c r="W1210" i="12"/>
  <c r="W1274" i="12"/>
  <c r="W1338" i="12"/>
  <c r="W1370" i="12"/>
  <c r="W1434" i="12"/>
  <c r="W1498" i="12"/>
  <c r="W1562" i="12"/>
  <c r="W1626" i="12"/>
  <c r="W1003" i="12"/>
  <c r="W1067" i="12"/>
  <c r="W1131" i="12"/>
  <c r="W1195" i="12"/>
  <c r="W1259" i="12"/>
  <c r="W1323" i="12"/>
  <c r="W1387" i="12"/>
  <c r="W1451" i="12"/>
  <c r="W1515" i="12"/>
  <c r="W1579" i="12"/>
  <c r="W1643" i="12"/>
  <c r="W1020" i="12"/>
  <c r="W1084" i="12"/>
  <c r="W1148" i="12"/>
  <c r="W1212" i="12"/>
  <c r="W1276" i="12"/>
  <c r="W1340" i="12"/>
  <c r="W1404" i="12"/>
  <c r="W1468" i="12"/>
  <c r="W1532" i="12"/>
  <c r="W1596" i="12"/>
  <c r="W963" i="12"/>
  <c r="W1045" i="12"/>
  <c r="W1109" i="12"/>
  <c r="W1173" i="12"/>
  <c r="W1237" i="12"/>
  <c r="W1301" i="12"/>
  <c r="W1365" i="12"/>
  <c r="W1429" i="12"/>
  <c r="W1493" i="12"/>
  <c r="W1557" i="12"/>
  <c r="W1621" i="12"/>
  <c r="W1684" i="12"/>
  <c r="W1748" i="12"/>
  <c r="W1812" i="12"/>
  <c r="W1876" i="12"/>
  <c r="W1940" i="12"/>
  <c r="W2004" i="12"/>
  <c r="W2068" i="12"/>
  <c r="W2132" i="12"/>
  <c r="W2196" i="12"/>
  <c r="W2260" i="12"/>
  <c r="W1693" i="12"/>
  <c r="W1757" i="12"/>
  <c r="W1821" i="12"/>
  <c r="W1885" i="12"/>
  <c r="W1949" i="12"/>
  <c r="W2013" i="12"/>
  <c r="W2077" i="12"/>
  <c r="W1710" i="12"/>
  <c r="W1774" i="12"/>
  <c r="W1838" i="12"/>
  <c r="W1902" i="12"/>
  <c r="W1966" i="12"/>
  <c r="W2030" i="12"/>
  <c r="W2094" i="12"/>
  <c r="W2158" i="12"/>
  <c r="W2222" i="12"/>
  <c r="W2286" i="12"/>
  <c r="W1695" i="12"/>
  <c r="W1759" i="12"/>
  <c r="W1823" i="12"/>
  <c r="W1887" i="12"/>
  <c r="W1951" i="12"/>
  <c r="W2015" i="12"/>
  <c r="W2079" i="12"/>
  <c r="W2143" i="12"/>
  <c r="W2207" i="12"/>
  <c r="W2271" i="12"/>
  <c r="W1664" i="12"/>
  <c r="W1728" i="12"/>
  <c r="W1792" i="12"/>
  <c r="W1856" i="12"/>
  <c r="W1920" i="12"/>
  <c r="W1984" i="12"/>
  <c r="W2048" i="12"/>
  <c r="W2112" i="12"/>
  <c r="W2176" i="12"/>
  <c r="W2240" i="12"/>
  <c r="W2304" i="12"/>
  <c r="W1681" i="12"/>
  <c r="W1745" i="12"/>
  <c r="W1809" i="12"/>
  <c r="W1873" i="12"/>
  <c r="W1937" i="12"/>
  <c r="W2001" i="12"/>
  <c r="W2065" i="12"/>
  <c r="W2129" i="12"/>
  <c r="W2193" i="12"/>
  <c r="W2257" i="12"/>
  <c r="W2321" i="12"/>
  <c r="W1698" i="12"/>
  <c r="W1762" i="12"/>
  <c r="W1826" i="12"/>
  <c r="W1890" i="12"/>
  <c r="W1954" i="12"/>
  <c r="W2018" i="12"/>
  <c r="W2082" i="12"/>
  <c r="W2146" i="12"/>
  <c r="W2210" i="12"/>
  <c r="W2274" i="12"/>
  <c r="W2338" i="12"/>
  <c r="W1723" i="12"/>
  <c r="W1787" i="12"/>
  <c r="W1851" i="12"/>
  <c r="W1915" i="12"/>
  <c r="W1979" i="12"/>
  <c r="W2043" i="12"/>
  <c r="W2107" i="12"/>
  <c r="W2171" i="12"/>
  <c r="W2235" i="12"/>
  <c r="W2299" i="12"/>
  <c r="W2221" i="12"/>
  <c r="W2381" i="12"/>
  <c r="W2445" i="12"/>
  <c r="W2509" i="12"/>
  <c r="W2573" i="12"/>
  <c r="W2637" i="12"/>
  <c r="W2701" i="12"/>
  <c r="W2765" i="12"/>
  <c r="W2829" i="12"/>
  <c r="W2893" i="12"/>
  <c r="W2318" i="12"/>
  <c r="W2398" i="12"/>
  <c r="W2462" i="12"/>
  <c r="W2526" i="12"/>
  <c r="W2590" i="12"/>
  <c r="W2654" i="12"/>
  <c r="W2718" i="12"/>
  <c r="W2782" i="12"/>
  <c r="W2846" i="12"/>
  <c r="W2910" i="12"/>
  <c r="W2351" i="12"/>
  <c r="W2415" i="12"/>
  <c r="W2479" i="12"/>
  <c r="W2543" i="12"/>
  <c r="W2607" i="12"/>
  <c r="W2671" i="12"/>
  <c r="W2735" i="12"/>
  <c r="W2799" i="12"/>
  <c r="W2863" i="12"/>
  <c r="W2927" i="12"/>
  <c r="W1378" i="12"/>
  <c r="W1442" i="12"/>
  <c r="W1506" i="12"/>
  <c r="W1570" i="12"/>
  <c r="W1634" i="12"/>
  <c r="W1011" i="12"/>
  <c r="W1075" i="12"/>
  <c r="W1139" i="12"/>
  <c r="W1203" i="12"/>
  <c r="W1267" i="12"/>
  <c r="W1331" i="12"/>
  <c r="W1395" i="12"/>
  <c r="W1459" i="12"/>
  <c r="W1523" i="12"/>
  <c r="W1587" i="12"/>
  <c r="W1651" i="12"/>
  <c r="W1028" i="12"/>
  <c r="W1092" i="12"/>
  <c r="W1156" i="12"/>
  <c r="W1220" i="12"/>
  <c r="W1284" i="12"/>
  <c r="W1348" i="12"/>
  <c r="W1412" i="12"/>
  <c r="W1476" i="12"/>
  <c r="W1540" i="12"/>
  <c r="W1604" i="12"/>
  <c r="W989" i="12"/>
  <c r="W1053" i="12"/>
  <c r="W1117" i="12"/>
  <c r="W1181" i="12"/>
  <c r="W1245" i="12"/>
  <c r="W1309" i="12"/>
  <c r="W1373" i="12"/>
  <c r="W1437" i="12"/>
  <c r="W1501" i="12"/>
  <c r="W1565" i="12"/>
  <c r="W1629" i="12"/>
  <c r="W1692" i="12"/>
  <c r="W1756" i="12"/>
  <c r="W1820" i="12"/>
  <c r="W1884" i="12"/>
  <c r="W1948" i="12"/>
  <c r="W2012" i="12"/>
  <c r="W2076" i="12"/>
  <c r="W2140" i="12"/>
  <c r="W2204" i="12"/>
  <c r="W2268" i="12"/>
  <c r="W1701" i="12"/>
  <c r="W1765" i="12"/>
  <c r="W1829" i="12"/>
  <c r="W1893" i="12"/>
  <c r="W1957" i="12"/>
  <c r="W2021" i="12"/>
  <c r="W2085" i="12"/>
  <c r="W1718" i="12"/>
  <c r="W1782" i="12"/>
  <c r="W1846" i="12"/>
  <c r="W1910" i="12"/>
  <c r="W1974" i="12"/>
  <c r="W2038" i="12"/>
  <c r="W2102" i="12"/>
  <c r="W2166" i="12"/>
  <c r="W2230" i="12"/>
  <c r="W2294" i="12"/>
  <c r="W1703" i="12"/>
  <c r="W1767" i="12"/>
  <c r="W1831" i="12"/>
  <c r="W1895" i="12"/>
  <c r="W1959" i="12"/>
  <c r="W2023" i="12"/>
  <c r="W2087" i="12"/>
  <c r="W2151" i="12"/>
  <c r="W2215" i="12"/>
  <c r="W2279" i="12"/>
  <c r="W1672" i="12"/>
  <c r="W1736" i="12"/>
  <c r="W1800" i="12"/>
  <c r="W1864" i="12"/>
  <c r="W1928" i="12"/>
  <c r="W1992" i="12"/>
  <c r="W2056" i="12"/>
  <c r="W2120" i="12"/>
  <c r="W2184" i="12"/>
  <c r="W2248" i="12"/>
  <c r="W2312" i="12"/>
  <c r="W1689" i="12"/>
  <c r="W1753" i="12"/>
  <c r="W1817" i="12"/>
  <c r="W1881" i="12"/>
  <c r="W1945" i="12"/>
  <c r="W2009" i="12"/>
  <c r="W2073" i="12"/>
  <c r="W2137" i="12"/>
  <c r="W2201" i="12"/>
  <c r="W2265" i="12"/>
  <c r="W2329" i="12"/>
  <c r="W1706" i="12"/>
  <c r="W1770" i="12"/>
  <c r="W1834" i="12"/>
  <c r="W1898" i="12"/>
  <c r="W1962" i="12"/>
  <c r="W2026" i="12"/>
  <c r="W2090" i="12"/>
  <c r="W2154" i="12"/>
  <c r="W2218" i="12"/>
  <c r="W2282" i="12"/>
  <c r="W1667" i="12"/>
  <c r="W1731" i="12"/>
  <c r="W1795" i="12"/>
  <c r="W1859" i="12"/>
  <c r="W1923" i="12"/>
  <c r="W1987" i="12"/>
  <c r="W2051" i="12"/>
  <c r="W2115" i="12"/>
  <c r="W2179" i="12"/>
  <c r="W2243" i="12"/>
  <c r="W2307" i="12"/>
  <c r="W2285" i="12"/>
  <c r="W2389" i="12"/>
  <c r="W2453" i="12"/>
  <c r="W2517" i="12"/>
  <c r="W2581" i="12"/>
  <c r="W2645" i="12"/>
  <c r="W2709" i="12"/>
  <c r="W2773" i="12"/>
  <c r="W2837" i="12"/>
  <c r="W2901" i="12"/>
  <c r="W2340" i="12"/>
  <c r="W2406" i="12"/>
  <c r="W2470" i="12"/>
  <c r="W2534" i="12"/>
  <c r="W2598" i="12"/>
  <c r="W2662" i="12"/>
  <c r="W2726" i="12"/>
  <c r="W2790" i="12"/>
  <c r="W2854" i="12"/>
  <c r="W2918" i="12"/>
  <c r="W2359" i="12"/>
  <c r="W2423" i="12"/>
  <c r="W2487" i="12"/>
  <c r="W2551" i="12"/>
  <c r="W2615" i="12"/>
  <c r="W2679" i="12"/>
  <c r="W2743" i="12"/>
  <c r="W2807" i="12"/>
  <c r="W2871" i="12"/>
  <c r="W1386" i="12"/>
  <c r="W1450" i="12"/>
  <c r="W1514" i="12"/>
  <c r="W1578" i="12"/>
  <c r="W1642" i="12"/>
  <c r="W1019" i="12"/>
  <c r="W1083" i="12"/>
  <c r="W1147" i="12"/>
  <c r="W1211" i="12"/>
  <c r="W1275" i="12"/>
  <c r="W1339" i="12"/>
  <c r="W1403" i="12"/>
  <c r="W1467" i="12"/>
  <c r="W1531" i="12"/>
  <c r="W1595" i="12"/>
  <c r="W1659" i="12"/>
  <c r="W1036" i="12"/>
  <c r="W1100" i="12"/>
  <c r="W1164" i="12"/>
  <c r="W1228" i="12"/>
  <c r="W1292" i="12"/>
  <c r="W1356" i="12"/>
  <c r="W1420" i="12"/>
  <c r="W1484" i="12"/>
  <c r="W1548" i="12"/>
  <c r="W1612" i="12"/>
  <c r="W997" i="12"/>
  <c r="W1061" i="12"/>
  <c r="W1125" i="12"/>
  <c r="W1189" i="12"/>
  <c r="W1253" i="12"/>
  <c r="W1317" i="12"/>
  <c r="W1381" i="12"/>
  <c r="W1445" i="12"/>
  <c r="W1509" i="12"/>
  <c r="W1573" i="12"/>
  <c r="W1637" i="12"/>
  <c r="W1700" i="12"/>
  <c r="W1764" i="12"/>
  <c r="W1828" i="12"/>
  <c r="W1892" i="12"/>
  <c r="W1956" i="12"/>
  <c r="W2020" i="12"/>
  <c r="W2084" i="12"/>
  <c r="W2148" i="12"/>
  <c r="W2212" i="12"/>
  <c r="W2276" i="12"/>
  <c r="W1709" i="12"/>
  <c r="W1773" i="12"/>
  <c r="W1837" i="12"/>
  <c r="W1901" i="12"/>
  <c r="W1965" i="12"/>
  <c r="W2029" i="12"/>
  <c r="W1662" i="12"/>
  <c r="W1726" i="12"/>
  <c r="W1790" i="12"/>
  <c r="W1854" i="12"/>
  <c r="W1918" i="12"/>
  <c r="W1982" i="12"/>
  <c r="W2046" i="12"/>
  <c r="W2110" i="12"/>
  <c r="W2174" i="12"/>
  <c r="W2238" i="12"/>
  <c r="W2302" i="12"/>
  <c r="W1711" i="12"/>
  <c r="W1775" i="12"/>
  <c r="W1839" i="12"/>
  <c r="W1903" i="12"/>
  <c r="W1967" i="12"/>
  <c r="W2031" i="12"/>
  <c r="W2095" i="12"/>
  <c r="W2159" i="12"/>
  <c r="W2223" i="12"/>
  <c r="W2287" i="12"/>
  <c r="W1680" i="12"/>
  <c r="W1744" i="12"/>
  <c r="W1808" i="12"/>
  <c r="W1872" i="12"/>
  <c r="W1936" i="12"/>
  <c r="W2000" i="12"/>
  <c r="W2064" i="12"/>
  <c r="W2128" i="12"/>
  <c r="W2192" i="12"/>
  <c r="W2256" i="12"/>
  <c r="W2320" i="12"/>
  <c r="W1697" i="12"/>
  <c r="W1761" i="12"/>
  <c r="W1825" i="12"/>
  <c r="W1889" i="12"/>
  <c r="W1953" i="12"/>
  <c r="W2017" i="12"/>
  <c r="W2081" i="12"/>
  <c r="W2145" i="12"/>
  <c r="W2209" i="12"/>
  <c r="W2273" i="12"/>
  <c r="W2337" i="12"/>
  <c r="W1714" i="12"/>
  <c r="W1778" i="12"/>
  <c r="W1842" i="12"/>
  <c r="W1906" i="12"/>
  <c r="W1970" i="12"/>
  <c r="W2034" i="12"/>
  <c r="W2098" i="12"/>
  <c r="W2162" i="12"/>
  <c r="W2226" i="12"/>
  <c r="W2290" i="12"/>
  <c r="W1675" i="12"/>
  <c r="W1739" i="12"/>
  <c r="W1803" i="12"/>
  <c r="W1867" i="12"/>
  <c r="W1931" i="12"/>
  <c r="W1995" i="12"/>
  <c r="W2059" i="12"/>
  <c r="W2123" i="12"/>
  <c r="W2187" i="12"/>
  <c r="W2251" i="12"/>
  <c r="W2315" i="12"/>
  <c r="W2317" i="12"/>
  <c r="W2397" i="12"/>
  <c r="W2461" i="12"/>
  <c r="W2525" i="12"/>
  <c r="W2589" i="12"/>
  <c r="W2653" i="12"/>
  <c r="W2717" i="12"/>
  <c r="W2781" i="12"/>
  <c r="W2845" i="12"/>
  <c r="W2909" i="12"/>
  <c r="W2350" i="12"/>
  <c r="W2414" i="12"/>
  <c r="W2478" i="12"/>
  <c r="W2542" i="12"/>
  <c r="W2606" i="12"/>
  <c r="W2670" i="12"/>
  <c r="W2734" i="12"/>
  <c r="W2798" i="12"/>
  <c r="W2862" i="12"/>
  <c r="W2926" i="12"/>
  <c r="W2109" i="12"/>
  <c r="W2367" i="12"/>
  <c r="W2431" i="12"/>
  <c r="W2495" i="12"/>
  <c r="W2559" i="12"/>
  <c r="W2623" i="12"/>
  <c r="W2687" i="12"/>
  <c r="W2751" i="12"/>
  <c r="W2815" i="12"/>
  <c r="W2879" i="12"/>
  <c r="W2245" i="12"/>
  <c r="W2384" i="12"/>
  <c r="W2448" i="12"/>
  <c r="W2512" i="12"/>
  <c r="W2576" i="12"/>
  <c r="W2640" i="12"/>
  <c r="W2704" i="12"/>
  <c r="W2768" i="12"/>
  <c r="W2832" i="12"/>
  <c r="W2896" i="12"/>
  <c r="W2326" i="12"/>
  <c r="W2401" i="12"/>
  <c r="W1394" i="12"/>
  <c r="W1458" i="12"/>
  <c r="W1522" i="12"/>
  <c r="W1586" i="12"/>
  <c r="W1650" i="12"/>
  <c r="W1027" i="12"/>
  <c r="W1091" i="12"/>
  <c r="W1155" i="12"/>
  <c r="W1219" i="12"/>
  <c r="W1283" i="12"/>
  <c r="W1347" i="12"/>
  <c r="W1411" i="12"/>
  <c r="W1475" i="12"/>
  <c r="W1539" i="12"/>
  <c r="W1603" i="12"/>
  <c r="W960" i="12"/>
  <c r="W1044" i="12"/>
  <c r="W1108" i="12"/>
  <c r="W1172" i="12"/>
  <c r="W1236" i="12"/>
  <c r="W1300" i="12"/>
  <c r="W1364" i="12"/>
  <c r="W1428" i="12"/>
  <c r="W1492" i="12"/>
  <c r="W1556" i="12"/>
  <c r="W1620" i="12"/>
  <c r="W1005" i="12"/>
  <c r="W1069" i="12"/>
  <c r="W1133" i="12"/>
  <c r="W1197" i="12"/>
  <c r="W1261" i="12"/>
  <c r="W1325" i="12"/>
  <c r="W1389" i="12"/>
  <c r="W1453" i="12"/>
  <c r="W1517" i="12"/>
  <c r="W1581" i="12"/>
  <c r="W1645" i="12"/>
  <c r="W1708" i="12"/>
  <c r="W1772" i="12"/>
  <c r="W1836" i="12"/>
  <c r="W1900" i="12"/>
  <c r="W1964" i="12"/>
  <c r="W2028" i="12"/>
  <c r="W2092" i="12"/>
  <c r="W2156" i="12"/>
  <c r="W2220" i="12"/>
  <c r="W2284" i="12"/>
  <c r="W1717" i="12"/>
  <c r="W1781" i="12"/>
  <c r="W1845" i="12"/>
  <c r="W1909" i="12"/>
  <c r="W1973" i="12"/>
  <c r="W2037" i="12"/>
  <c r="W1670" i="12"/>
  <c r="W1734" i="12"/>
  <c r="W1798" i="12"/>
  <c r="W1862" i="12"/>
  <c r="W1926" i="12"/>
  <c r="W1990" i="12"/>
  <c r="W2054" i="12"/>
  <c r="W2118" i="12"/>
  <c r="W2182" i="12"/>
  <c r="W2246" i="12"/>
  <c r="W2310" i="12"/>
  <c r="W1719" i="12"/>
  <c r="W1783" i="12"/>
  <c r="W1847" i="12"/>
  <c r="W1911" i="12"/>
  <c r="W1975" i="12"/>
  <c r="W2039" i="12"/>
  <c r="W2103" i="12"/>
  <c r="W2167" i="12"/>
  <c r="W2231" i="12"/>
  <c r="W2295" i="12"/>
  <c r="W1688" i="12"/>
  <c r="W1752" i="12"/>
  <c r="W1816" i="12"/>
  <c r="W1880" i="12"/>
  <c r="W1944" i="12"/>
  <c r="W2008" i="12"/>
  <c r="W2072" i="12"/>
  <c r="W2136" i="12"/>
  <c r="W2200" i="12"/>
  <c r="W2264" i="12"/>
  <c r="W2328" i="12"/>
  <c r="W1705" i="12"/>
  <c r="W1769" i="12"/>
  <c r="W1833" i="12"/>
  <c r="W1897" i="12"/>
  <c r="W1961" i="12"/>
  <c r="W2025" i="12"/>
  <c r="W2089" i="12"/>
  <c r="W2153" i="12"/>
  <c r="W2217" i="12"/>
  <c r="W2281" i="12"/>
  <c r="W2345" i="12"/>
  <c r="W1722" i="12"/>
  <c r="W1786" i="12"/>
  <c r="W1850" i="12"/>
  <c r="W1914" i="12"/>
  <c r="W1978" i="12"/>
  <c r="W2042" i="12"/>
  <c r="W2106" i="12"/>
  <c r="W2170" i="12"/>
  <c r="W2234" i="12"/>
  <c r="W2298" i="12"/>
  <c r="W1683" i="12"/>
  <c r="W1747" i="12"/>
  <c r="W1811" i="12"/>
  <c r="W1875" i="12"/>
  <c r="W1939" i="12"/>
  <c r="W2003" i="12"/>
  <c r="W2067" i="12"/>
  <c r="W2131" i="12"/>
  <c r="W2195" i="12"/>
  <c r="W2259" i="12"/>
  <c r="W2323" i="12"/>
  <c r="W2335" i="12"/>
  <c r="W2405" i="12"/>
  <c r="W2469" i="12"/>
  <c r="W2533" i="12"/>
  <c r="W2597" i="12"/>
  <c r="W2661" i="12"/>
  <c r="W2725" i="12"/>
  <c r="W2789" i="12"/>
  <c r="W2853" i="12"/>
  <c r="W2917" i="12"/>
  <c r="W2358" i="12"/>
  <c r="W2422" i="12"/>
  <c r="W2486" i="12"/>
  <c r="W2550" i="12"/>
  <c r="W2614" i="12"/>
  <c r="W2678" i="12"/>
  <c r="W2742" i="12"/>
  <c r="W2806" i="12"/>
  <c r="W2870" i="12"/>
  <c r="W2173" i="12"/>
  <c r="W2375" i="12"/>
  <c r="W2439" i="12"/>
  <c r="W2503" i="12"/>
  <c r="W2567" i="12"/>
  <c r="W2631" i="12"/>
  <c r="W2695" i="12"/>
  <c r="W2759" i="12"/>
  <c r="W2823" i="12"/>
  <c r="W2887" i="12"/>
  <c r="W2300" i="12"/>
  <c r="W2392" i="12"/>
  <c r="W2456" i="12"/>
  <c r="W2520" i="12"/>
  <c r="W2584" i="12"/>
  <c r="W2648" i="12"/>
  <c r="W2712" i="12"/>
  <c r="W2776" i="12"/>
  <c r="W2840" i="12"/>
  <c r="W2904" i="12"/>
  <c r="W2343" i="12"/>
  <c r="W2409" i="12"/>
  <c r="W1402" i="12"/>
  <c r="W1466" i="12"/>
  <c r="W1530" i="12"/>
  <c r="W1594" i="12"/>
  <c r="W1658" i="12"/>
  <c r="W1035" i="12"/>
  <c r="W1099" i="12"/>
  <c r="W1163" i="12"/>
  <c r="W1227" i="12"/>
  <c r="W1291" i="12"/>
  <c r="W1355" i="12"/>
  <c r="W1419" i="12"/>
  <c r="W1483" i="12"/>
  <c r="W1547" i="12"/>
  <c r="W1611" i="12"/>
  <c r="W988" i="12"/>
  <c r="W1052" i="12"/>
  <c r="W1116" i="12"/>
  <c r="W1180" i="12"/>
  <c r="W1244" i="12"/>
  <c r="W1308" i="12"/>
  <c r="W1372" i="12"/>
  <c r="W1436" i="12"/>
  <c r="W1500" i="12"/>
  <c r="W1564" i="12"/>
  <c r="W1628" i="12"/>
  <c r="W1013" i="12"/>
  <c r="W1077" i="12"/>
  <c r="W1141" i="12"/>
  <c r="W1205" i="12"/>
  <c r="W1269" i="12"/>
  <c r="W1333" i="12"/>
  <c r="W1397" i="12"/>
  <c r="W1461" i="12"/>
  <c r="W1525" i="12"/>
  <c r="W1589" i="12"/>
  <c r="W1653" i="12"/>
  <c r="W1716" i="12"/>
  <c r="W1780" i="12"/>
  <c r="W1844" i="12"/>
  <c r="W1908" i="12"/>
  <c r="W1972" i="12"/>
  <c r="W2036" i="12"/>
  <c r="W2100" i="12"/>
  <c r="W2164" i="12"/>
  <c r="W2228" i="12"/>
  <c r="W1661" i="12"/>
  <c r="W1725" i="12"/>
  <c r="W1789" i="12"/>
  <c r="W1853" i="12"/>
  <c r="W1917" i="12"/>
  <c r="W1981" i="12"/>
  <c r="W2045" i="12"/>
  <c r="W1678" i="12"/>
  <c r="W1742" i="12"/>
  <c r="W1806" i="12"/>
  <c r="W1870" i="12"/>
  <c r="W1934" i="12"/>
  <c r="W1998" i="12"/>
  <c r="W2062" i="12"/>
  <c r="W2126" i="12"/>
  <c r="W2190" i="12"/>
  <c r="W2254" i="12"/>
  <c r="W1663" i="12"/>
  <c r="W1727" i="12"/>
  <c r="W1791" i="12"/>
  <c r="W1855" i="12"/>
  <c r="W1919" i="12"/>
  <c r="W1983" i="12"/>
  <c r="W2047" i="12"/>
  <c r="W2111" i="12"/>
  <c r="W2175" i="12"/>
  <c r="W2239" i="12"/>
  <c r="W2303" i="12"/>
  <c r="W1696" i="12"/>
  <c r="W1760" i="12"/>
  <c r="W1824" i="12"/>
  <c r="W1888" i="12"/>
  <c r="W1952" i="12"/>
  <c r="W2016" i="12"/>
  <c r="W2080" i="12"/>
  <c r="W2144" i="12"/>
  <c r="W2208" i="12"/>
  <c r="W2272" i="12"/>
  <c r="W2336" i="12"/>
  <c r="W1713" i="12"/>
  <c r="W1777" i="12"/>
  <c r="W1841" i="12"/>
  <c r="W1905" i="12"/>
  <c r="W1969" i="12"/>
  <c r="W2033" i="12"/>
  <c r="W2097" i="12"/>
  <c r="W2161" i="12"/>
  <c r="W2225" i="12"/>
  <c r="W2289" i="12"/>
  <c r="W1666" i="12"/>
  <c r="W1730" i="12"/>
  <c r="W1794" i="12"/>
  <c r="W1858" i="12"/>
  <c r="W1922" i="12"/>
  <c r="W1986" i="12"/>
  <c r="W2050" i="12"/>
  <c r="W2114" i="12"/>
  <c r="W2178" i="12"/>
  <c r="W2242" i="12"/>
  <c r="W2306" i="12"/>
  <c r="W1691" i="12"/>
  <c r="W1755" i="12"/>
  <c r="W1819" i="12"/>
  <c r="W1883" i="12"/>
  <c r="W1947" i="12"/>
  <c r="W2011" i="12"/>
  <c r="W2075" i="12"/>
  <c r="W2139" i="12"/>
  <c r="W2203" i="12"/>
  <c r="W2267" i="12"/>
  <c r="W2331" i="12"/>
  <c r="W2349" i="12"/>
  <c r="W2413" i="12"/>
  <c r="W2477" i="12"/>
  <c r="W2541" i="12"/>
  <c r="W2605" i="12"/>
  <c r="W2669" i="12"/>
  <c r="W2733" i="12"/>
  <c r="W2797" i="12"/>
  <c r="W2861" i="12"/>
  <c r="W2925" i="12"/>
  <c r="W2101" i="12"/>
  <c r="W2366" i="12"/>
  <c r="W2430" i="12"/>
  <c r="W2494" i="12"/>
  <c r="W2558" i="12"/>
  <c r="W2622" i="12"/>
  <c r="W2686" i="12"/>
  <c r="W2750" i="12"/>
  <c r="W2814" i="12"/>
  <c r="W2878" i="12"/>
  <c r="W2237" i="12"/>
  <c r="W2383" i="12"/>
  <c r="W2447" i="12"/>
  <c r="W2511" i="12"/>
  <c r="W2575" i="12"/>
  <c r="W2639" i="12"/>
  <c r="W2703" i="12"/>
  <c r="W2767" i="12"/>
  <c r="W2831" i="12"/>
  <c r="W2895" i="12"/>
  <c r="W2325" i="12"/>
  <c r="W2400" i="12"/>
  <c r="W2464" i="12"/>
  <c r="W2528" i="12"/>
  <c r="W2592" i="12"/>
  <c r="W2656" i="12"/>
  <c r="W2720" i="12"/>
  <c r="W2784" i="12"/>
  <c r="W2848" i="12"/>
  <c r="W2912" i="12"/>
  <c r="W2353" i="12"/>
  <c r="W2417" i="12"/>
  <c r="W1410" i="12"/>
  <c r="W1474" i="12"/>
  <c r="W1538" i="12"/>
  <c r="W1602" i="12"/>
  <c r="W955" i="12"/>
  <c r="W1043" i="12"/>
  <c r="W1107" i="12"/>
  <c r="W1171" i="12"/>
  <c r="W1235" i="12"/>
  <c r="W1299" i="12"/>
  <c r="W1363" i="12"/>
  <c r="W1427" i="12"/>
  <c r="W1491" i="12"/>
  <c r="W1555" i="12"/>
  <c r="W1619" i="12"/>
  <c r="W996" i="12"/>
  <c r="W1060" i="12"/>
  <c r="W1124" i="12"/>
  <c r="W1188" i="12"/>
  <c r="W1252" i="12"/>
  <c r="W1316" i="12"/>
  <c r="W1380" i="12"/>
  <c r="W1444" i="12"/>
  <c r="W1508" i="12"/>
  <c r="W1572" i="12"/>
  <c r="W1636" i="12"/>
  <c r="W1021" i="12"/>
  <c r="W1085" i="12"/>
  <c r="W1149" i="12"/>
  <c r="W1213" i="12"/>
  <c r="W1277" i="12"/>
  <c r="W1341" i="12"/>
  <c r="W1405" i="12"/>
  <c r="W1469" i="12"/>
  <c r="W1533" i="12"/>
  <c r="W1597" i="12"/>
  <c r="W1660" i="12"/>
  <c r="W1724" i="12"/>
  <c r="W1788" i="12"/>
  <c r="W1852" i="12"/>
  <c r="W1916" i="12"/>
  <c r="W1980" i="12"/>
  <c r="W2044" i="12"/>
  <c r="W2108" i="12"/>
  <c r="W2172" i="12"/>
  <c r="W2236" i="12"/>
  <c r="W1669" i="12"/>
  <c r="W1733" i="12"/>
  <c r="W1797" i="12"/>
  <c r="W1861" i="12"/>
  <c r="W1925" i="12"/>
  <c r="W1989" i="12"/>
  <c r="W2053" i="12"/>
  <c r="W1686" i="12"/>
  <c r="W1750" i="12"/>
  <c r="W1814" i="12"/>
  <c r="W1878" i="12"/>
  <c r="W1942" i="12"/>
  <c r="W2006" i="12"/>
  <c r="W2070" i="12"/>
  <c r="W2134" i="12"/>
  <c r="W2198" i="12"/>
  <c r="W2262" i="12"/>
  <c r="W1671" i="12"/>
  <c r="W1735" i="12"/>
  <c r="W1799" i="12"/>
  <c r="W1863" i="12"/>
  <c r="W1927" i="12"/>
  <c r="W1991" i="12"/>
  <c r="W2055" i="12"/>
  <c r="W2119" i="12"/>
  <c r="W2183" i="12"/>
  <c r="W2247" i="12"/>
  <c r="W2311" i="12"/>
  <c r="W1704" i="12"/>
  <c r="W1768" i="12"/>
  <c r="W1832" i="12"/>
  <c r="W1896" i="12"/>
  <c r="W1960" i="12"/>
  <c r="W2024" i="12"/>
  <c r="W2088" i="12"/>
  <c r="W2152" i="12"/>
  <c r="W2216" i="12"/>
  <c r="W2280" i="12"/>
  <c r="W2344" i="12"/>
  <c r="W1721" i="12"/>
  <c r="W1785" i="12"/>
  <c r="W1849" i="12"/>
  <c r="W1913" i="12"/>
  <c r="W1977" i="12"/>
  <c r="W2041" i="12"/>
  <c r="W2105" i="12"/>
  <c r="W2169" i="12"/>
  <c r="W2233" i="12"/>
  <c r="W2297" i="12"/>
  <c r="W1674" i="12"/>
  <c r="W1738" i="12"/>
  <c r="W1802" i="12"/>
  <c r="W1866" i="12"/>
  <c r="W1930" i="12"/>
  <c r="W1994" i="12"/>
  <c r="W2058" i="12"/>
  <c r="W2122" i="12"/>
  <c r="W2186" i="12"/>
  <c r="W2250" i="12"/>
  <c r="W2314" i="12"/>
  <c r="W1699" i="12"/>
  <c r="W1763" i="12"/>
  <c r="W1827" i="12"/>
  <c r="W1891" i="12"/>
  <c r="W1955" i="12"/>
  <c r="W2019" i="12"/>
  <c r="W2083" i="12"/>
  <c r="W2147" i="12"/>
  <c r="W2211" i="12"/>
  <c r="W2275" i="12"/>
  <c r="W2339" i="12"/>
  <c r="W2357" i="12"/>
  <c r="W2421" i="12"/>
  <c r="W2485" i="12"/>
  <c r="W2549" i="12"/>
  <c r="W2613" i="12"/>
  <c r="W2677" i="12"/>
  <c r="W2741" i="12"/>
  <c r="W2805" i="12"/>
  <c r="W2869" i="12"/>
  <c r="W2165" i="12"/>
  <c r="W2374" i="12"/>
  <c r="W2438" i="12"/>
  <c r="W2502" i="12"/>
  <c r="W2566" i="12"/>
  <c r="W2630" i="12"/>
  <c r="W2694" i="12"/>
  <c r="W2758" i="12"/>
  <c r="W2822" i="12"/>
  <c r="W2886" i="12"/>
  <c r="W2293" i="12"/>
  <c r="W2391" i="12"/>
  <c r="W2455" i="12"/>
  <c r="W2519" i="12"/>
  <c r="W2583" i="12"/>
  <c r="W2647" i="12"/>
  <c r="W2711" i="12"/>
  <c r="W2775" i="12"/>
  <c r="W2839" i="12"/>
  <c r="W2903" i="12"/>
  <c r="W2342" i="12"/>
  <c r="W2408" i="12"/>
  <c r="W2472" i="12"/>
  <c r="W2536" i="12"/>
  <c r="W2600" i="12"/>
  <c r="W2664" i="12"/>
  <c r="W2728" i="12"/>
  <c r="W2792" i="12"/>
  <c r="W2856" i="12"/>
  <c r="W2920" i="12"/>
  <c r="W2361" i="12"/>
  <c r="W2425" i="12"/>
  <c r="W1418" i="12"/>
  <c r="W1482" i="12"/>
  <c r="W1546" i="12"/>
  <c r="W1610" i="12"/>
  <c r="W987" i="12"/>
  <c r="W1051" i="12"/>
  <c r="W1115" i="12"/>
  <c r="W1179" i="12"/>
  <c r="W1243" i="12"/>
  <c r="W1307" i="12"/>
  <c r="W1371" i="12"/>
  <c r="W1435" i="12"/>
  <c r="W1499" i="12"/>
  <c r="W1563" i="12"/>
  <c r="W1627" i="12"/>
  <c r="W1004" i="12"/>
  <c r="W1068" i="12"/>
  <c r="W1132" i="12"/>
  <c r="W1196" i="12"/>
  <c r="W1260" i="12"/>
  <c r="W1324" i="12"/>
  <c r="W1388" i="12"/>
  <c r="W1452" i="12"/>
  <c r="W1516" i="12"/>
  <c r="W1580" i="12"/>
  <c r="W1644" i="12"/>
  <c r="W1029" i="12"/>
  <c r="W1093" i="12"/>
  <c r="W1157" i="12"/>
  <c r="W1221" i="12"/>
  <c r="W1285" i="12"/>
  <c r="W1349" i="12"/>
  <c r="W1413" i="12"/>
  <c r="W1477" i="12"/>
  <c r="W1541" i="12"/>
  <c r="W1605" i="12"/>
  <c r="W1668" i="12"/>
  <c r="W1732" i="12"/>
  <c r="W1796" i="12"/>
  <c r="W1860" i="12"/>
  <c r="W1924" i="12"/>
  <c r="W1988" i="12"/>
  <c r="W2052" i="12"/>
  <c r="W2116" i="12"/>
  <c r="W2180" i="12"/>
  <c r="W2244" i="12"/>
  <c r="W1677" i="12"/>
  <c r="W1741" i="12"/>
  <c r="W1805" i="12"/>
  <c r="W1869" i="12"/>
  <c r="W1933" i="12"/>
  <c r="W1997" i="12"/>
  <c r="W2061" i="12"/>
  <c r="W1694" i="12"/>
  <c r="W1758" i="12"/>
  <c r="W1822" i="12"/>
  <c r="W1886" i="12"/>
  <c r="W1950" i="12"/>
  <c r="W2014" i="12"/>
  <c r="W2078" i="12"/>
  <c r="W2142" i="12"/>
  <c r="W2206" i="12"/>
  <c r="W2270" i="12"/>
  <c r="W1679" i="12"/>
  <c r="W1743" i="12"/>
  <c r="W1807" i="12"/>
  <c r="W1871" i="12"/>
  <c r="W1935" i="12"/>
  <c r="W1999" i="12"/>
  <c r="W2063" i="12"/>
  <c r="W2127" i="12"/>
  <c r="W2191" i="12"/>
  <c r="W2255" i="12"/>
  <c r="W2319" i="12"/>
  <c r="W1712" i="12"/>
  <c r="W1776" i="12"/>
  <c r="W1840" i="12"/>
  <c r="W1904" i="12"/>
  <c r="W1968" i="12"/>
  <c r="W2032" i="12"/>
  <c r="W2096" i="12"/>
  <c r="W2160" i="12"/>
  <c r="W2224" i="12"/>
  <c r="W2288" i="12"/>
  <c r="W1665" i="12"/>
  <c r="W1729" i="12"/>
  <c r="W1793" i="12"/>
  <c r="W1857" i="12"/>
  <c r="W1921" i="12"/>
  <c r="W1985" i="12"/>
  <c r="W2049" i="12"/>
  <c r="W2113" i="12"/>
  <c r="W2177" i="12"/>
  <c r="W2241" i="12"/>
  <c r="W2305" i="12"/>
  <c r="W1682" i="12"/>
  <c r="W1746" i="12"/>
  <c r="W1810" i="12"/>
  <c r="W1874" i="12"/>
  <c r="W1938" i="12"/>
  <c r="W2002" i="12"/>
  <c r="W2066" i="12"/>
  <c r="W2130" i="12"/>
  <c r="W2194" i="12"/>
  <c r="W2258" i="12"/>
  <c r="W2322" i="12"/>
  <c r="W1707" i="12"/>
  <c r="W1771" i="12"/>
  <c r="W1835" i="12"/>
  <c r="W1899" i="12"/>
  <c r="W1963" i="12"/>
  <c r="W2027" i="12"/>
  <c r="W2091" i="12"/>
  <c r="W2155" i="12"/>
  <c r="W2219" i="12"/>
  <c r="W2283" i="12"/>
  <c r="W2093" i="12"/>
  <c r="W2365" i="12"/>
  <c r="W2429" i="12"/>
  <c r="W2493" i="12"/>
  <c r="W2557" i="12"/>
  <c r="W2621" i="12"/>
  <c r="W2685" i="12"/>
  <c r="W2749" i="12"/>
  <c r="W2813" i="12"/>
  <c r="W2877" i="12"/>
  <c r="W2229" i="12"/>
  <c r="W2382" i="12"/>
  <c r="W2446" i="12"/>
  <c r="W2510" i="12"/>
  <c r="W2574" i="12"/>
  <c r="W2638" i="12"/>
  <c r="W2702" i="12"/>
  <c r="W2766" i="12"/>
  <c r="W2830" i="12"/>
  <c r="W2894" i="12"/>
  <c r="W2324" i="12"/>
  <c r="W2399" i="12"/>
  <c r="W2463" i="12"/>
  <c r="W2527" i="12"/>
  <c r="W2591" i="12"/>
  <c r="W2655" i="12"/>
  <c r="W2719" i="12"/>
  <c r="W2783" i="12"/>
  <c r="W2847" i="12"/>
  <c r="W2911" i="12"/>
  <c r="W2352" i="12"/>
  <c r="W2416" i="12"/>
  <c r="W2480" i="12"/>
  <c r="W2544" i="12"/>
  <c r="W2608" i="12"/>
  <c r="W2672" i="12"/>
  <c r="W2736" i="12"/>
  <c r="W2800" i="12"/>
  <c r="W2864" i="12"/>
  <c r="W2928" i="12"/>
  <c r="W2125" i="12"/>
  <c r="W2369" i="12"/>
  <c r="W2433" i="12"/>
  <c r="W1426" i="12"/>
  <c r="W1490" i="12"/>
  <c r="W1554" i="12"/>
  <c r="W1618" i="12"/>
  <c r="W995" i="12"/>
  <c r="W1059" i="12"/>
  <c r="W1123" i="12"/>
  <c r="W1187" i="12"/>
  <c r="W1251" i="12"/>
  <c r="W1315" i="12"/>
  <c r="W1379" i="12"/>
  <c r="W1443" i="12"/>
  <c r="W1507" i="12"/>
  <c r="W1571" i="12"/>
  <c r="W1635" i="12"/>
  <c r="W1012" i="12"/>
  <c r="W1076" i="12"/>
  <c r="W1140" i="12"/>
  <c r="W1204" i="12"/>
  <c r="W1268" i="12"/>
  <c r="W1332" i="12"/>
  <c r="W1396" i="12"/>
  <c r="W1460" i="12"/>
  <c r="W1524" i="12"/>
  <c r="W1588" i="12"/>
  <c r="W1652" i="12"/>
  <c r="W1037" i="12"/>
  <c r="W1101" i="12"/>
  <c r="W1165" i="12"/>
  <c r="W1229" i="12"/>
  <c r="W1293" i="12"/>
  <c r="W1357" i="12"/>
  <c r="W1421" i="12"/>
  <c r="W1485" i="12"/>
  <c r="W1549" i="12"/>
  <c r="W1613" i="12"/>
  <c r="W1676" i="12"/>
  <c r="W1740" i="12"/>
  <c r="W1804" i="12"/>
  <c r="W1868" i="12"/>
  <c r="W1932" i="12"/>
  <c r="W1996" i="12"/>
  <c r="W2060" i="12"/>
  <c r="W2124" i="12"/>
  <c r="W2188" i="12"/>
  <c r="W2252" i="12"/>
  <c r="W1685" i="12"/>
  <c r="W1749" i="12"/>
  <c r="W1813" i="12"/>
  <c r="W1877" i="12"/>
  <c r="W1941" i="12"/>
  <c r="W2005" i="12"/>
  <c r="W2069" i="12"/>
  <c r="W1702" i="12"/>
  <c r="W1766" i="12"/>
  <c r="W1830" i="12"/>
  <c r="W1894" i="12"/>
  <c r="W1958" i="12"/>
  <c r="W2022" i="12"/>
  <c r="W2086" i="12"/>
  <c r="W2150" i="12"/>
  <c r="W2214" i="12"/>
  <c r="W2278" i="12"/>
  <c r="W1687" i="12"/>
  <c r="W1751" i="12"/>
  <c r="W1815" i="12"/>
  <c r="W1879" i="12"/>
  <c r="W1943" i="12"/>
  <c r="W2007" i="12"/>
  <c r="W2071" i="12"/>
  <c r="W2135" i="12"/>
  <c r="W2199" i="12"/>
  <c r="W2263" i="12"/>
  <c r="W2327" i="12"/>
  <c r="W1720" i="12"/>
  <c r="W1784" i="12"/>
  <c r="W1848" i="12"/>
  <c r="W1912" i="12"/>
  <c r="W1976" i="12"/>
  <c r="W2040" i="12"/>
  <c r="W2104" i="12"/>
  <c r="W2168" i="12"/>
  <c r="W2232" i="12"/>
  <c r="W2296" i="12"/>
  <c r="W1673" i="12"/>
  <c r="W1737" i="12"/>
  <c r="W1801" i="12"/>
  <c r="W1865" i="12"/>
  <c r="W1929" i="12"/>
  <c r="W1993" i="12"/>
  <c r="W2057" i="12"/>
  <c r="W2121" i="12"/>
  <c r="W2185" i="12"/>
  <c r="W2249" i="12"/>
  <c r="W2313" i="12"/>
  <c r="W1690" i="12"/>
  <c r="W1754" i="12"/>
  <c r="W1818" i="12"/>
  <c r="W1882" i="12"/>
  <c r="W1946" i="12"/>
  <c r="W2010" i="12"/>
  <c r="W2074" i="12"/>
  <c r="W2138" i="12"/>
  <c r="W2202" i="12"/>
  <c r="W2266" i="12"/>
  <c r="W2330" i="12"/>
  <c r="W1715" i="12"/>
  <c r="W1779" i="12"/>
  <c r="W1843" i="12"/>
  <c r="W1907" i="12"/>
  <c r="W1971" i="12"/>
  <c r="W2035" i="12"/>
  <c r="W2099" i="12"/>
  <c r="W2163" i="12"/>
  <c r="W2227" i="12"/>
  <c r="W2291" i="12"/>
  <c r="W2157" i="12"/>
  <c r="W2373" i="12"/>
  <c r="W2437" i="12"/>
  <c r="W2501" i="12"/>
  <c r="W2565" i="12"/>
  <c r="W2629" i="12"/>
  <c r="W2693" i="12"/>
  <c r="W2757" i="12"/>
  <c r="W2821" i="12"/>
  <c r="W2885" i="12"/>
  <c r="W2292" i="12"/>
  <c r="W2390" i="12"/>
  <c r="W2454" i="12"/>
  <c r="W2518" i="12"/>
  <c r="W2582" i="12"/>
  <c r="W2646" i="12"/>
  <c r="W2710" i="12"/>
  <c r="W2774" i="12"/>
  <c r="W2838" i="12"/>
  <c r="W2902" i="12"/>
  <c r="W2341" i="12"/>
  <c r="W2407" i="12"/>
  <c r="W2471" i="12"/>
  <c r="W2535" i="12"/>
  <c r="W2599" i="12"/>
  <c r="W2663" i="12"/>
  <c r="W2727" i="12"/>
  <c r="W2791" i="12"/>
  <c r="W2855" i="12"/>
  <c r="W2919" i="12"/>
  <c r="W2360" i="12"/>
  <c r="W2424" i="12"/>
  <c r="W2488" i="12"/>
  <c r="W2552" i="12"/>
  <c r="W2616" i="12"/>
  <c r="W2680" i="12"/>
  <c r="W2744" i="12"/>
  <c r="W2808" i="12"/>
  <c r="W2872" i="12"/>
  <c r="W2189" i="12"/>
  <c r="W2377" i="12"/>
  <c r="W2441" i="12"/>
  <c r="W2117" i="12"/>
  <c r="W2560" i="12"/>
  <c r="W2816" i="12"/>
  <c r="W2465" i="12"/>
  <c r="W2529" i="12"/>
  <c r="W2593" i="12"/>
  <c r="W2657" i="12"/>
  <c r="W2721" i="12"/>
  <c r="W2785" i="12"/>
  <c r="W2332" i="12"/>
  <c r="W2402" i="12"/>
  <c r="W2466" i="12"/>
  <c r="W2530" i="12"/>
  <c r="W2594" i="12"/>
  <c r="W2205" i="12"/>
  <c r="W2379" i="12"/>
  <c r="W2443" i="12"/>
  <c r="W2507" i="12"/>
  <c r="W2571" i="12"/>
  <c r="W2635" i="12"/>
  <c r="W2699" i="12"/>
  <c r="W2763" i="12"/>
  <c r="W2827" i="12"/>
  <c r="W2891" i="12"/>
  <c r="W2334" i="12"/>
  <c r="W2404" i="12"/>
  <c r="W2468" i="12"/>
  <c r="W2532" i="12"/>
  <c r="W2596" i="12"/>
  <c r="W2660" i="12"/>
  <c r="W2724" i="12"/>
  <c r="W2788" i="12"/>
  <c r="W2852" i="12"/>
  <c r="W2916" i="12"/>
  <c r="W2786" i="12"/>
  <c r="W2802" i="12"/>
  <c r="W2817" i="12"/>
  <c r="W2825" i="12"/>
  <c r="W2181" i="12"/>
  <c r="W2568" i="12"/>
  <c r="W2824" i="12"/>
  <c r="W2473" i="12"/>
  <c r="W2537" i="12"/>
  <c r="W2601" i="12"/>
  <c r="W2665" i="12"/>
  <c r="W2729" i="12"/>
  <c r="W2793" i="12"/>
  <c r="W2346" i="12"/>
  <c r="W2410" i="12"/>
  <c r="W2474" i="12"/>
  <c r="W2538" i="12"/>
  <c r="W2602" i="12"/>
  <c r="W2269" i="12"/>
  <c r="W2387" i="12"/>
  <c r="W2451" i="12"/>
  <c r="W2515" i="12"/>
  <c r="W2579" i="12"/>
  <c r="W2643" i="12"/>
  <c r="W2707" i="12"/>
  <c r="W2771" i="12"/>
  <c r="W2835" i="12"/>
  <c r="W2899" i="12"/>
  <c r="W2348" i="12"/>
  <c r="W2412" i="12"/>
  <c r="W2476" i="12"/>
  <c r="W2540" i="12"/>
  <c r="W2604" i="12"/>
  <c r="W2668" i="12"/>
  <c r="W2732" i="12"/>
  <c r="W2796" i="12"/>
  <c r="W2860" i="12"/>
  <c r="W2924" i="12"/>
  <c r="W2650" i="12"/>
  <c r="W2833" i="12"/>
  <c r="W2841" i="12"/>
  <c r="W2849" i="12"/>
  <c r="W2857" i="12"/>
  <c r="W2368" i="12"/>
  <c r="W2624" i="12"/>
  <c r="W2880" i="12"/>
  <c r="W2253" i="12"/>
  <c r="W2481" i="12"/>
  <c r="W2545" i="12"/>
  <c r="W2609" i="12"/>
  <c r="W2673" i="12"/>
  <c r="W2737" i="12"/>
  <c r="W2801" i="12"/>
  <c r="W2354" i="12"/>
  <c r="W2418" i="12"/>
  <c r="W2482" i="12"/>
  <c r="W2546" i="12"/>
  <c r="W2610" i="12"/>
  <c r="W2309" i="12"/>
  <c r="W2395" i="12"/>
  <c r="W2459" i="12"/>
  <c r="W2523" i="12"/>
  <c r="W2587" i="12"/>
  <c r="W2651" i="12"/>
  <c r="W2715" i="12"/>
  <c r="W2779" i="12"/>
  <c r="W2843" i="12"/>
  <c r="W2907" i="12"/>
  <c r="W2356" i="12"/>
  <c r="W2420" i="12"/>
  <c r="W2484" i="12"/>
  <c r="W2548" i="12"/>
  <c r="W2612" i="12"/>
  <c r="W2676" i="12"/>
  <c r="W2740" i="12"/>
  <c r="W2804" i="12"/>
  <c r="W2868" i="12"/>
  <c r="W2714" i="12"/>
  <c r="W2865" i="12"/>
  <c r="W2666" i="12"/>
  <c r="W2873" i="12"/>
  <c r="W2682" i="12"/>
  <c r="W2881" i="12"/>
  <c r="W2698" i="12"/>
  <c r="W2889" i="12"/>
  <c r="W2376" i="12"/>
  <c r="W2632" i="12"/>
  <c r="W2888" i="12"/>
  <c r="W2301" i="12"/>
  <c r="W2489" i="12"/>
  <c r="W2553" i="12"/>
  <c r="W2617" i="12"/>
  <c r="W2681" i="12"/>
  <c r="W2745" i="12"/>
  <c r="W2809" i="12"/>
  <c r="W2362" i="12"/>
  <c r="W2426" i="12"/>
  <c r="W2490" i="12"/>
  <c r="W2554" i="12"/>
  <c r="W2618" i="12"/>
  <c r="W2333" i="12"/>
  <c r="W2403" i="12"/>
  <c r="W2467" i="12"/>
  <c r="W2531" i="12"/>
  <c r="W2595" i="12"/>
  <c r="W2659" i="12"/>
  <c r="W2723" i="12"/>
  <c r="W2787" i="12"/>
  <c r="W2851" i="12"/>
  <c r="W2915" i="12"/>
  <c r="W2364" i="12"/>
  <c r="W2428" i="12"/>
  <c r="W2492" i="12"/>
  <c r="W2556" i="12"/>
  <c r="W2620" i="12"/>
  <c r="W2684" i="12"/>
  <c r="W2748" i="12"/>
  <c r="W2812" i="12"/>
  <c r="W2876" i="12"/>
  <c r="W2778" i="12"/>
  <c r="W2897" i="12"/>
  <c r="W2730" i="12"/>
  <c r="W2905" i="12"/>
  <c r="W2746" i="12"/>
  <c r="W2913" i="12"/>
  <c r="W2762" i="12"/>
  <c r="W2921" i="12"/>
  <c r="W2432" i="12"/>
  <c r="W2688" i="12"/>
  <c r="W2385" i="12"/>
  <c r="W2497" i="12"/>
  <c r="W2561" i="12"/>
  <c r="W2625" i="12"/>
  <c r="W2689" i="12"/>
  <c r="W2753" i="12"/>
  <c r="W2133" i="12"/>
  <c r="W2370" i="12"/>
  <c r="W2434" i="12"/>
  <c r="W2498" i="12"/>
  <c r="W2562" i="12"/>
  <c r="W2626" i="12"/>
  <c r="W2347" i="12"/>
  <c r="W2411" i="12"/>
  <c r="W2475" i="12"/>
  <c r="W2539" i="12"/>
  <c r="W2603" i="12"/>
  <c r="W2667" i="12"/>
  <c r="W2731" i="12"/>
  <c r="W2795" i="12"/>
  <c r="W2859" i="12"/>
  <c r="W2923" i="12"/>
  <c r="W2149" i="12"/>
  <c r="W2372" i="12"/>
  <c r="W2436" i="12"/>
  <c r="W2500" i="12"/>
  <c r="W2564" i="12"/>
  <c r="W2628" i="12"/>
  <c r="W2692" i="12"/>
  <c r="W2756" i="12"/>
  <c r="W2820" i="12"/>
  <c r="W2884" i="12"/>
  <c r="W2826" i="12"/>
  <c r="W2794" i="12"/>
  <c r="W2810" i="12"/>
  <c r="W2818" i="12"/>
  <c r="W2440" i="12"/>
  <c r="W2696" i="12"/>
  <c r="W2393" i="12"/>
  <c r="W2505" i="12"/>
  <c r="W2569" i="12"/>
  <c r="W2633" i="12"/>
  <c r="W2697" i="12"/>
  <c r="W2761" i="12"/>
  <c r="W2197" i="12"/>
  <c r="W2378" i="12"/>
  <c r="W2442" i="12"/>
  <c r="W2506" i="12"/>
  <c r="W2570" i="12"/>
  <c r="W2634" i="12"/>
  <c r="W2355" i="12"/>
  <c r="W2419" i="12"/>
  <c r="W2483" i="12"/>
  <c r="W2547" i="12"/>
  <c r="W2611" i="12"/>
  <c r="W2675" i="12"/>
  <c r="W2739" i="12"/>
  <c r="W2803" i="12"/>
  <c r="W2867" i="12"/>
  <c r="W2213" i="12"/>
  <c r="W2380" i="12"/>
  <c r="W2444" i="12"/>
  <c r="W2508" i="12"/>
  <c r="W2572" i="12"/>
  <c r="W2636" i="12"/>
  <c r="W2700" i="12"/>
  <c r="W2764" i="12"/>
  <c r="W2828" i="12"/>
  <c r="W2892" i="12"/>
  <c r="W2858" i="12"/>
  <c r="W2834" i="12"/>
  <c r="W2842" i="12"/>
  <c r="W2850" i="12"/>
  <c r="W2496" i="12"/>
  <c r="W2752" i="12"/>
  <c r="W2449" i="12"/>
  <c r="W2513" i="12"/>
  <c r="W2577" i="12"/>
  <c r="W2641" i="12"/>
  <c r="W2705" i="12"/>
  <c r="W2769" i="12"/>
  <c r="W2261" i="12"/>
  <c r="W2386" i="12"/>
  <c r="W2450" i="12"/>
  <c r="W2514" i="12"/>
  <c r="W2578" i="12"/>
  <c r="W2642" i="12"/>
  <c r="W2363" i="12"/>
  <c r="W2427" i="12"/>
  <c r="W2491" i="12"/>
  <c r="W2555" i="12"/>
  <c r="W2619" i="12"/>
  <c r="W2683" i="12"/>
  <c r="W2747" i="12"/>
  <c r="W2811" i="12"/>
  <c r="W2875" i="12"/>
  <c r="W2277" i="12"/>
  <c r="W2388" i="12"/>
  <c r="W2452" i="12"/>
  <c r="W2516" i="12"/>
  <c r="W2580" i="12"/>
  <c r="W2644" i="12"/>
  <c r="W2708" i="12"/>
  <c r="W2772" i="12"/>
  <c r="W2836" i="12"/>
  <c r="W2900" i="12"/>
  <c r="W2890" i="12"/>
  <c r="W2658" i="12"/>
  <c r="W2866" i="12"/>
  <c r="W2674" i="12"/>
  <c r="W2874" i="12"/>
  <c r="W2690" i="12"/>
  <c r="W2882" i="12"/>
  <c r="W2706" i="12"/>
  <c r="W2504" i="12"/>
  <c r="W2760" i="12"/>
  <c r="W2457" i="12"/>
  <c r="W2521" i="12"/>
  <c r="W2585" i="12"/>
  <c r="W2649" i="12"/>
  <c r="W2713" i="12"/>
  <c r="W2777" i="12"/>
  <c r="W2308" i="12"/>
  <c r="W2394" i="12"/>
  <c r="W2458" i="12"/>
  <c r="W2522" i="12"/>
  <c r="W2586" i="12"/>
  <c r="W2141" i="12"/>
  <c r="W2371" i="12"/>
  <c r="W2435" i="12"/>
  <c r="W2499" i="12"/>
  <c r="W2563" i="12"/>
  <c r="W2627" i="12"/>
  <c r="W2691" i="12"/>
  <c r="W2755" i="12"/>
  <c r="W2819" i="12"/>
  <c r="W2883" i="12"/>
  <c r="W2316" i="12"/>
  <c r="W2396" i="12"/>
  <c r="W2460" i="12"/>
  <c r="W2524" i="12"/>
  <c r="W2588" i="12"/>
  <c r="W2652" i="12"/>
  <c r="W2716" i="12"/>
  <c r="W2780" i="12"/>
  <c r="W2844" i="12"/>
  <c r="W2908" i="12"/>
  <c r="W2922" i="12"/>
  <c r="W2722" i="12"/>
  <c r="W2898" i="12"/>
  <c r="W2738" i="12"/>
  <c r="W2906" i="12"/>
  <c r="W2754" i="12"/>
  <c r="W2914" i="12"/>
  <c r="W2770" i="12"/>
  <c r="V51" i="12"/>
  <c r="V115" i="12"/>
  <c r="V179" i="12"/>
  <c r="V243" i="12"/>
  <c r="V307" i="12"/>
  <c r="V371" i="12"/>
  <c r="V435" i="12"/>
  <c r="V499" i="12"/>
  <c r="V563" i="12"/>
  <c r="V4" i="12"/>
  <c r="V68" i="12"/>
  <c r="V132" i="12"/>
  <c r="V196" i="12"/>
  <c r="V260" i="12"/>
  <c r="V53" i="12"/>
  <c r="V117" i="12"/>
  <c r="V14" i="12"/>
  <c r="V78" i="12"/>
  <c r="V142" i="12"/>
  <c r="V206" i="12"/>
  <c r="V270" i="12"/>
  <c r="V334" i="12"/>
  <c r="V398" i="12"/>
  <c r="V462" i="12"/>
  <c r="V526" i="12"/>
  <c r="V590" i="12"/>
  <c r="V654" i="12"/>
  <c r="V15" i="12"/>
  <c r="V79" i="12"/>
  <c r="V143" i="12"/>
  <c r="V207" i="12"/>
  <c r="V271" i="12"/>
  <c r="V335" i="12"/>
  <c r="V399" i="12"/>
  <c r="V463" i="12"/>
  <c r="V527" i="12"/>
  <c r="V591" i="12"/>
  <c r="V655" i="12"/>
  <c r="V719" i="12"/>
  <c r="V66" i="12"/>
  <c r="V221" i="12"/>
  <c r="V333" i="12"/>
  <c r="V436" i="12"/>
  <c r="V538" i="12"/>
  <c r="V637" i="12"/>
  <c r="V721" i="12"/>
  <c r="V790" i="12"/>
  <c r="V854" i="12"/>
  <c r="V918" i="12"/>
  <c r="V982" i="12"/>
  <c r="V1046" i="12"/>
  <c r="V1110" i="12"/>
  <c r="V1174" i="12"/>
  <c r="V1238" i="12"/>
  <c r="V1302" i="12"/>
  <c r="V1366" i="12"/>
  <c r="V1430" i="12"/>
  <c r="V1495" i="12"/>
  <c r="V72" i="12"/>
  <c r="V224" i="12"/>
  <c r="V336" i="12"/>
  <c r="V437" i="12"/>
  <c r="V540" i="12"/>
  <c r="V640" i="12"/>
  <c r="V722" i="12"/>
  <c r="V791" i="12"/>
  <c r="V855" i="12"/>
  <c r="V919" i="12"/>
  <c r="V983" i="12"/>
  <c r="V1047" i="12"/>
  <c r="V1111" i="12"/>
  <c r="V1175" i="12"/>
  <c r="V1239" i="12"/>
  <c r="V1303" i="12"/>
  <c r="V1367" i="12"/>
  <c r="V1431" i="12"/>
  <c r="V1496" i="12"/>
  <c r="V104" i="12"/>
  <c r="V288" i="12"/>
  <c r="V421" i="12"/>
  <c r="V560" i="12"/>
  <c r="V684" i="12"/>
  <c r="V781" i="12"/>
  <c r="V867" i="12"/>
  <c r="V953" i="12"/>
  <c r="V1037" i="12"/>
  <c r="V144" i="12"/>
  <c r="V312" i="12"/>
  <c r="V170" i="12"/>
  <c r="V329" i="12"/>
  <c r="V466" i="12"/>
  <c r="V601" i="12"/>
  <c r="V717" i="12"/>
  <c r="V809" i="12"/>
  <c r="V893" i="12"/>
  <c r="V979" i="12"/>
  <c r="V1065" i="12"/>
  <c r="V1149" i="12"/>
  <c r="V181" i="12"/>
  <c r="V337" i="12"/>
  <c r="V472" i="12"/>
  <c r="V609" i="12"/>
  <c r="V723" i="12"/>
  <c r="V812" i="12"/>
  <c r="V898" i="12"/>
  <c r="V984" i="12"/>
  <c r="V1068" i="12"/>
  <c r="V50" i="12"/>
  <c r="V381" i="12"/>
  <c r="V600" i="12"/>
  <c r="V773" i="12"/>
  <c r="V912" i="12"/>
  <c r="V1045" i="12"/>
  <c r="V1163" i="12"/>
  <c r="V1249" i="12"/>
  <c r="V1333" i="12"/>
  <c r="V1419" i="12"/>
  <c r="V1506" i="12"/>
  <c r="V1577" i="12"/>
  <c r="V1643" i="12"/>
  <c r="V1709" i="12"/>
  <c r="V1775" i="12"/>
  <c r="V1840" i="12"/>
  <c r="V1905" i="12"/>
  <c r="V261" i="12"/>
  <c r="V497" i="12"/>
  <c r="V700" i="12"/>
  <c r="V848" i="12"/>
  <c r="V981" i="12"/>
  <c r="V1113" i="12"/>
  <c r="V1209" i="12"/>
  <c r="V1293" i="12"/>
  <c r="V1379" i="12"/>
  <c r="V1465" i="12"/>
  <c r="V1546" i="12"/>
  <c r="V1612" i="12"/>
  <c r="V1678" i="12"/>
  <c r="V1744" i="12"/>
  <c r="V1810" i="12"/>
  <c r="V1874" i="12"/>
  <c r="V1940" i="12"/>
  <c r="V2005" i="12"/>
  <c r="V2071" i="12"/>
  <c r="V2137" i="12"/>
  <c r="V2201" i="12"/>
  <c r="V2265" i="12"/>
  <c r="V10" i="12"/>
  <c r="V365" i="12"/>
  <c r="V584" i="12"/>
  <c r="V763" i="12"/>
  <c r="V900" i="12"/>
  <c r="V1035" i="12"/>
  <c r="V1155" i="12"/>
  <c r="V1242" i="12"/>
  <c r="V1328" i="12"/>
  <c r="V1412" i="12"/>
  <c r="V1499" i="12"/>
  <c r="V1572" i="12"/>
  <c r="V1638" i="12"/>
  <c r="V1704" i="12"/>
  <c r="V1770" i="12"/>
  <c r="V1835" i="12"/>
  <c r="V1900" i="12"/>
  <c r="V1966" i="12"/>
  <c r="V2031" i="12"/>
  <c r="V2097" i="12"/>
  <c r="V2162" i="12"/>
  <c r="V2226" i="12"/>
  <c r="V2290" i="12"/>
  <c r="V2354" i="12"/>
  <c r="V2420" i="12"/>
  <c r="V2486" i="12"/>
  <c r="V2550" i="12"/>
  <c r="V2616" i="12"/>
  <c r="V2682" i="12"/>
  <c r="V2747" i="12"/>
  <c r="V2813" i="12"/>
  <c r="V34" i="12"/>
  <c r="V377" i="12"/>
  <c r="V596" i="12"/>
  <c r="V769" i="12"/>
  <c r="V906" i="12"/>
  <c r="V1042" i="12"/>
  <c r="V1160" i="12"/>
  <c r="V1245" i="12"/>
  <c r="V1331" i="12"/>
  <c r="V1417" i="12"/>
  <c r="V1502" i="12"/>
  <c r="V1575" i="12"/>
  <c r="V1641" i="12"/>
  <c r="V1707" i="12"/>
  <c r="V1773" i="12"/>
  <c r="V1838" i="12"/>
  <c r="V1903" i="12"/>
  <c r="V1969" i="12"/>
  <c r="V2034" i="12"/>
  <c r="V2100" i="12"/>
  <c r="V2165" i="12"/>
  <c r="V97" i="12"/>
  <c r="V624" i="12"/>
  <c r="V924" i="12"/>
  <c r="V1172" i="12"/>
  <c r="V1344" i="12"/>
  <c r="V1515" i="12"/>
  <c r="V1650" i="12"/>
  <c r="V1782" i="12"/>
  <c r="V1913" i="12"/>
  <c r="V2020" i="12"/>
  <c r="V2126" i="12"/>
  <c r="V2228" i="12"/>
  <c r="V2312" i="12"/>
  <c r="V2389" i="12"/>
  <c r="V2464" i="12"/>
  <c r="V2538" i="12"/>
  <c r="V2613" i="12"/>
  <c r="V2688" i="12"/>
  <c r="V2763" i="12"/>
  <c r="V2839" i="12"/>
  <c r="V2909" i="12"/>
  <c r="V106" i="12"/>
  <c r="V632" i="12"/>
  <c r="V929" i="12"/>
  <c r="V1176" i="12"/>
  <c r="V1346" i="12"/>
  <c r="V1517" i="12"/>
  <c r="V1652" i="12"/>
  <c r="V1784" i="12"/>
  <c r="V1915" i="12"/>
  <c r="V2021" i="12"/>
  <c r="V2127" i="12"/>
  <c r="V2229" i="12"/>
  <c r="V2315" i="12"/>
  <c r="V2390" i="12"/>
  <c r="V2465" i="12"/>
  <c r="V2539" i="12"/>
  <c r="V2614" i="12"/>
  <c r="V2689" i="12"/>
  <c r="V2765" i="12"/>
  <c r="V2840" i="12"/>
  <c r="V2910" i="12"/>
  <c r="V532" i="12"/>
  <c r="V868" i="12"/>
  <c r="V1130" i="12"/>
  <c r="V1307" i="12"/>
  <c r="V1477" i="12"/>
  <c r="V1622" i="12"/>
  <c r="V1754" i="12"/>
  <c r="V1885" i="12"/>
  <c r="V1996" i="12"/>
  <c r="V2102" i="12"/>
  <c r="V2206" i="12"/>
  <c r="V2294" i="12"/>
  <c r="V2373" i="12"/>
  <c r="V2448" i="12"/>
  <c r="V2522" i="12"/>
  <c r="V2596" i="12"/>
  <c r="V2671" i="12"/>
  <c r="V2746" i="12"/>
  <c r="V2823" i="12"/>
  <c r="V2895" i="12"/>
  <c r="V481" i="12"/>
  <c r="V836" i="12"/>
  <c r="V1104" i="12"/>
  <c r="V1288" i="12"/>
  <c r="V1458" i="12"/>
  <c r="V1607" i="12"/>
  <c r="V1739" i="12"/>
  <c r="V1869" i="12"/>
  <c r="V1986" i="12"/>
  <c r="V316" i="12"/>
  <c r="V733" i="12"/>
  <c r="V1010" i="12"/>
  <c r="V1226" i="12"/>
  <c r="V1396" i="12"/>
  <c r="V1560" i="12"/>
  <c r="V1691" i="12"/>
  <c r="V1823" i="12"/>
  <c r="V1947" i="12"/>
  <c r="V2053" i="12"/>
  <c r="V2158" i="12"/>
  <c r="V325" i="12"/>
  <c r="V1169" i="12"/>
  <c r="V1599" i="12"/>
  <c r="V1951" i="12"/>
  <c r="V2182" i="12"/>
  <c r="V2332" i="12"/>
  <c r="V2452" i="12"/>
  <c r="V2571" i="12"/>
  <c r="V2693" i="12"/>
  <c r="V2814" i="12"/>
  <c r="V2924" i="12"/>
  <c r="U29" i="12"/>
  <c r="U96" i="12"/>
  <c r="U162" i="12"/>
  <c r="U226" i="12"/>
  <c r="U290" i="12"/>
  <c r="U354" i="12"/>
  <c r="U418" i="12"/>
  <c r="U483" i="12"/>
  <c r="U548" i="12"/>
  <c r="V1020" i="12"/>
  <c r="V1513" i="12"/>
  <c r="V1873" i="12"/>
  <c r="V2134" i="12"/>
  <c r="V2301" i="12"/>
  <c r="V2424" i="12"/>
  <c r="V2544" i="12"/>
  <c r="V2664" i="12"/>
  <c r="V2785" i="12"/>
  <c r="V2900" i="12"/>
  <c r="U14" i="12"/>
  <c r="U80" i="12"/>
  <c r="U146" i="12"/>
  <c r="U211" i="12"/>
  <c r="U275" i="12"/>
  <c r="U339" i="12"/>
  <c r="U403" i="12"/>
  <c r="U468" i="12"/>
  <c r="U533" i="12"/>
  <c r="V652" i="12"/>
  <c r="V1297" i="12"/>
  <c r="V1697" i="12"/>
  <c r="V2028" i="12"/>
  <c r="V2236" i="12"/>
  <c r="V2366" i="12"/>
  <c r="V2488" i="12"/>
  <c r="V2606" i="12"/>
  <c r="V2724" i="12"/>
  <c r="V2845" i="12"/>
  <c r="U47" i="12"/>
  <c r="U114" i="12"/>
  <c r="U180" i="12"/>
  <c r="U244" i="12"/>
  <c r="U308" i="12"/>
  <c r="U372" i="12"/>
  <c r="V776" i="12"/>
  <c r="V59" i="12"/>
  <c r="V123" i="12"/>
  <c r="V187" i="12"/>
  <c r="V251" i="12"/>
  <c r="V315" i="12"/>
  <c r="V379" i="12"/>
  <c r="V443" i="12"/>
  <c r="V507" i="12"/>
  <c r="V571" i="12"/>
  <c r="V12" i="12"/>
  <c r="V76" i="12"/>
  <c r="V140" i="12"/>
  <c r="V204" i="12"/>
  <c r="V268" i="12"/>
  <c r="V61" i="12"/>
  <c r="V125" i="12"/>
  <c r="V22" i="12"/>
  <c r="V86" i="12"/>
  <c r="V150" i="12"/>
  <c r="V214" i="12"/>
  <c r="V278" i="12"/>
  <c r="V342" i="12"/>
  <c r="V406" i="12"/>
  <c r="V470" i="12"/>
  <c r="V534" i="12"/>
  <c r="V598" i="12"/>
  <c r="V662" i="12"/>
  <c r="V23" i="12"/>
  <c r="V87" i="12"/>
  <c r="V151" i="12"/>
  <c r="V215" i="12"/>
  <c r="V279" i="12"/>
  <c r="V343" i="12"/>
  <c r="V407" i="12"/>
  <c r="V471" i="12"/>
  <c r="V535" i="12"/>
  <c r="V599" i="12"/>
  <c r="V663" i="12"/>
  <c r="V727" i="12"/>
  <c r="V89" i="12"/>
  <c r="V237" i="12"/>
  <c r="V346" i="12"/>
  <c r="V449" i="12"/>
  <c r="V552" i="12"/>
  <c r="V649" i="12"/>
  <c r="V730" i="12"/>
  <c r="V798" i="12"/>
  <c r="V862" i="12"/>
  <c r="V926" i="12"/>
  <c r="V990" i="12"/>
  <c r="V1054" i="12"/>
  <c r="V1118" i="12"/>
  <c r="V1182" i="12"/>
  <c r="V1246" i="12"/>
  <c r="V1310" i="12"/>
  <c r="V1374" i="12"/>
  <c r="V1438" i="12"/>
  <c r="V1503" i="12"/>
  <c r="V90" i="12"/>
  <c r="V240" i="12"/>
  <c r="V348" i="12"/>
  <c r="V450" i="12"/>
  <c r="V553" i="12"/>
  <c r="V650" i="12"/>
  <c r="V731" i="12"/>
  <c r="V799" i="12"/>
  <c r="V863" i="12"/>
  <c r="V927" i="12"/>
  <c r="V991" i="12"/>
  <c r="V1055" i="12"/>
  <c r="V1119" i="12"/>
  <c r="V1183" i="12"/>
  <c r="V1247" i="12"/>
  <c r="V1311" i="12"/>
  <c r="V1375" i="12"/>
  <c r="V1439" i="12"/>
  <c r="V1504" i="12"/>
  <c r="V129" i="12"/>
  <c r="V304" i="12"/>
  <c r="V441" i="12"/>
  <c r="V576" i="12"/>
  <c r="V698" i="12"/>
  <c r="V793" i="12"/>
  <c r="V877" i="12"/>
  <c r="V963" i="12"/>
  <c r="V1049" i="12"/>
  <c r="V169" i="12"/>
  <c r="V328" i="12"/>
  <c r="V194" i="12"/>
  <c r="V345" i="12"/>
  <c r="V482" i="12"/>
  <c r="V620" i="12"/>
  <c r="V729" i="12"/>
  <c r="V819" i="12"/>
  <c r="V905" i="12"/>
  <c r="V989" i="12"/>
  <c r="V1075" i="12"/>
  <c r="V1161" i="12"/>
  <c r="V201" i="12"/>
  <c r="V353" i="12"/>
  <c r="V490" i="12"/>
  <c r="V625" i="12"/>
  <c r="V734" i="12"/>
  <c r="V824" i="12"/>
  <c r="V908" i="12"/>
  <c r="V994" i="12"/>
  <c r="V1080" i="12"/>
  <c r="V105" i="12"/>
  <c r="V409" i="12"/>
  <c r="V629" i="12"/>
  <c r="V789" i="12"/>
  <c r="V928" i="12"/>
  <c r="V1064" i="12"/>
  <c r="V1173" i="12"/>
  <c r="V1259" i="12"/>
  <c r="V1345" i="12"/>
  <c r="V1429" i="12"/>
  <c r="V1516" i="12"/>
  <c r="V1585" i="12"/>
  <c r="V1651" i="12"/>
  <c r="V1717" i="12"/>
  <c r="V1783" i="12"/>
  <c r="V1848" i="12"/>
  <c r="V1914" i="12"/>
  <c r="V298" i="12"/>
  <c r="V529" i="12"/>
  <c r="V720" i="12"/>
  <c r="V864" i="12"/>
  <c r="V1000" i="12"/>
  <c r="V1125" i="12"/>
  <c r="V1219" i="12"/>
  <c r="V1305" i="12"/>
  <c r="V1389" i="12"/>
  <c r="V1475" i="12"/>
  <c r="V1554" i="12"/>
  <c r="V1620" i="12"/>
  <c r="V1686" i="12"/>
  <c r="V1752" i="12"/>
  <c r="V1818" i="12"/>
  <c r="V1883" i="12"/>
  <c r="V1949" i="12"/>
  <c r="V2013" i="12"/>
  <c r="V2079" i="12"/>
  <c r="V2145" i="12"/>
  <c r="V2209" i="12"/>
  <c r="V2273" i="12"/>
  <c r="V65" i="12"/>
  <c r="V393" i="12"/>
  <c r="V612" i="12"/>
  <c r="V779" i="12"/>
  <c r="V916" i="12"/>
  <c r="V1052" i="12"/>
  <c r="V1168" i="12"/>
  <c r="V1252" i="12"/>
  <c r="V1338" i="12"/>
  <c r="V1424" i="12"/>
  <c r="V1509" i="12"/>
  <c r="V1580" i="12"/>
  <c r="V1646" i="12"/>
  <c r="V1712" i="12"/>
  <c r="V1778" i="12"/>
  <c r="V1843" i="12"/>
  <c r="V1909" i="12"/>
  <c r="V1974" i="12"/>
  <c r="V2039" i="12"/>
  <c r="V2105" i="12"/>
  <c r="V2170" i="12"/>
  <c r="V2234" i="12"/>
  <c r="V2298" i="12"/>
  <c r="V2362" i="12"/>
  <c r="V2428" i="12"/>
  <c r="V2494" i="12"/>
  <c r="V2558" i="12"/>
  <c r="V2624" i="12"/>
  <c r="V2690" i="12"/>
  <c r="V2755" i="12"/>
  <c r="V2822" i="12"/>
  <c r="V96" i="12"/>
  <c r="V402" i="12"/>
  <c r="V621" i="12"/>
  <c r="V786" i="12"/>
  <c r="V923" i="12"/>
  <c r="V1060" i="12"/>
  <c r="V1171" i="12"/>
  <c r="V1257" i="12"/>
  <c r="V1341" i="12"/>
  <c r="V1427" i="12"/>
  <c r="V1514" i="12"/>
  <c r="V1583" i="12"/>
  <c r="V1649" i="12"/>
  <c r="V1715" i="12"/>
  <c r="V1781" i="12"/>
  <c r="V1846" i="12"/>
  <c r="V1912" i="12"/>
  <c r="V1977" i="12"/>
  <c r="V2042" i="12"/>
  <c r="V2108" i="12"/>
  <c r="V2173" i="12"/>
  <c r="V200" i="12"/>
  <c r="V673" i="12"/>
  <c r="V960" i="12"/>
  <c r="V1194" i="12"/>
  <c r="V1364" i="12"/>
  <c r="V1535" i="12"/>
  <c r="V1666" i="12"/>
  <c r="V1798" i="12"/>
  <c r="V1929" i="12"/>
  <c r="V2033" i="12"/>
  <c r="V2139" i="12"/>
  <c r="V2238" i="12"/>
  <c r="V2324" i="12"/>
  <c r="V2399" i="12"/>
  <c r="V2474" i="12"/>
  <c r="V2547" i="12"/>
  <c r="V2622" i="12"/>
  <c r="V2697" i="12"/>
  <c r="V2773" i="12"/>
  <c r="V2848" i="12"/>
  <c r="V2917" i="12"/>
  <c r="V210" i="12"/>
  <c r="V675" i="12"/>
  <c r="V964" i="12"/>
  <c r="V1196" i="12"/>
  <c r="V1368" i="12"/>
  <c r="V1537" i="12"/>
  <c r="V1669" i="12"/>
  <c r="V1800" i="12"/>
  <c r="V1930" i="12"/>
  <c r="V2035" i="12"/>
  <c r="V2140" i="12"/>
  <c r="V2239" i="12"/>
  <c r="V2325" i="12"/>
  <c r="V2400" i="12"/>
  <c r="V2475" i="12"/>
  <c r="V2548" i="12"/>
  <c r="V2623" i="12"/>
  <c r="V2699" i="12"/>
  <c r="V2774" i="12"/>
  <c r="V2849" i="12"/>
  <c r="V2918" i="12"/>
  <c r="V18" i="12"/>
  <c r="V586" i="12"/>
  <c r="V901" i="12"/>
  <c r="V1156" i="12"/>
  <c r="V1329" i="12"/>
  <c r="V1500" i="12"/>
  <c r="V1639" i="12"/>
  <c r="V1771" i="12"/>
  <c r="V1901" i="12"/>
  <c r="V2010" i="12"/>
  <c r="V2115" i="12"/>
  <c r="V2219" i="12"/>
  <c r="V2304" i="12"/>
  <c r="V2382" i="12"/>
  <c r="V2457" i="12"/>
  <c r="V2531" i="12"/>
  <c r="V2605" i="12"/>
  <c r="V2681" i="12"/>
  <c r="V2756" i="12"/>
  <c r="V2832" i="12"/>
  <c r="V2903" i="12"/>
  <c r="V536" i="12"/>
  <c r="V869" i="12"/>
  <c r="V1131" i="12"/>
  <c r="V1308" i="12"/>
  <c r="V1480" i="12"/>
  <c r="V1623" i="12"/>
  <c r="V1755" i="12"/>
  <c r="V1886" i="12"/>
  <c r="V1999" i="12"/>
  <c r="V378" i="12"/>
  <c r="V772" i="12"/>
  <c r="V1044" i="12"/>
  <c r="V1248" i="12"/>
  <c r="V1418" i="12"/>
  <c r="V1576" i="12"/>
  <c r="V1708" i="12"/>
  <c r="V1839" i="12"/>
  <c r="V1962" i="12"/>
  <c r="V2066" i="12"/>
  <c r="V2171" i="12"/>
  <c r="V453" i="12"/>
  <c r="V1228" i="12"/>
  <c r="V1647" i="12"/>
  <c r="V1979" i="12"/>
  <c r="V2207" i="12"/>
  <c r="V2348" i="12"/>
  <c r="V2469" i="12"/>
  <c r="V2588" i="12"/>
  <c r="V2705" i="12"/>
  <c r="V2827" i="12"/>
  <c r="U37" i="12"/>
  <c r="U104" i="12"/>
  <c r="U170" i="12"/>
  <c r="U234" i="12"/>
  <c r="U298" i="12"/>
  <c r="U362" i="12"/>
  <c r="U426" i="12"/>
  <c r="U491" i="12"/>
  <c r="V81" i="12"/>
  <c r="V1109" i="12"/>
  <c r="V1565" i="12"/>
  <c r="V1911" i="12"/>
  <c r="V2159" i="12"/>
  <c r="V2319" i="12"/>
  <c r="V2441" i="12"/>
  <c r="V2560" i="12"/>
  <c r="V67" i="12"/>
  <c r="V131" i="12"/>
  <c r="V195" i="12"/>
  <c r="V259" i="12"/>
  <c r="V323" i="12"/>
  <c r="V387" i="12"/>
  <c r="V451" i="12"/>
  <c r="V515" i="12"/>
  <c r="V579" i="12"/>
  <c r="V20" i="12"/>
  <c r="V84" i="12"/>
  <c r="V148" i="12"/>
  <c r="V212" i="12"/>
  <c r="V5" i="12"/>
  <c r="V69" i="12"/>
  <c r="V133" i="12"/>
  <c r="V30" i="12"/>
  <c r="V94" i="12"/>
  <c r="V158" i="12"/>
  <c r="V222" i="12"/>
  <c r="V286" i="12"/>
  <c r="V350" i="12"/>
  <c r="V414" i="12"/>
  <c r="V478" i="12"/>
  <c r="V542" i="12"/>
  <c r="V606" i="12"/>
  <c r="V670" i="12"/>
  <c r="V31" i="12"/>
  <c r="V95" i="12"/>
  <c r="V159" i="12"/>
  <c r="V223" i="12"/>
  <c r="V287" i="12"/>
  <c r="V351" i="12"/>
  <c r="V415" i="12"/>
  <c r="V479" i="12"/>
  <c r="V543" i="12"/>
  <c r="V607" i="12"/>
  <c r="V671" i="12"/>
  <c r="V735" i="12"/>
  <c r="V112" i="12"/>
  <c r="V253" i="12"/>
  <c r="V360" i="12"/>
  <c r="V461" i="12"/>
  <c r="V564" i="12"/>
  <c r="V659" i="12"/>
  <c r="V739" i="12"/>
  <c r="V806" i="12"/>
  <c r="V870" i="12"/>
  <c r="V934" i="12"/>
  <c r="V998" i="12"/>
  <c r="V1062" i="12"/>
  <c r="V1126" i="12"/>
  <c r="V1190" i="12"/>
  <c r="V1254" i="12"/>
  <c r="V1318" i="12"/>
  <c r="V1382" i="12"/>
  <c r="V1446" i="12"/>
  <c r="V1511" i="12"/>
  <c r="V113" i="12"/>
  <c r="V256" i="12"/>
  <c r="V361" i="12"/>
  <c r="V464" i="12"/>
  <c r="V565" i="12"/>
  <c r="V660" i="12"/>
  <c r="V740" i="12"/>
  <c r="V807" i="12"/>
  <c r="V871" i="12"/>
  <c r="V935" i="12"/>
  <c r="V999" i="12"/>
  <c r="V1063" i="12"/>
  <c r="V1127" i="12"/>
  <c r="V1191" i="12"/>
  <c r="V1255" i="12"/>
  <c r="V1319" i="12"/>
  <c r="V1383" i="12"/>
  <c r="V1447" i="12"/>
  <c r="V1512" i="12"/>
  <c r="V161" i="12"/>
  <c r="V320" i="12"/>
  <c r="V457" i="12"/>
  <c r="V594" i="12"/>
  <c r="V710" i="12"/>
  <c r="V803" i="12"/>
  <c r="V889" i="12"/>
  <c r="V973" i="12"/>
  <c r="V1059" i="12"/>
  <c r="V193" i="12"/>
  <c r="V344" i="12"/>
  <c r="V216" i="12"/>
  <c r="V364" i="12"/>
  <c r="V498" i="12"/>
  <c r="V634" i="12"/>
  <c r="V742" i="12"/>
  <c r="V829" i="12"/>
  <c r="V915" i="12"/>
  <c r="V1001" i="12"/>
  <c r="V1085" i="12"/>
  <c r="V16" i="12"/>
  <c r="V225" i="12"/>
  <c r="V369" i="12"/>
  <c r="V506" i="12"/>
  <c r="V641" i="12"/>
  <c r="V746" i="12"/>
  <c r="V834" i="12"/>
  <c r="V920" i="12"/>
  <c r="V1004" i="12"/>
  <c r="V1090" i="12"/>
  <c r="V162" i="12"/>
  <c r="V434" i="12"/>
  <c r="V651" i="12"/>
  <c r="V808" i="12"/>
  <c r="V945" i="12"/>
  <c r="V1081" i="12"/>
  <c r="V1185" i="12"/>
  <c r="V1269" i="12"/>
  <c r="V1355" i="12"/>
  <c r="V1441" i="12"/>
  <c r="V1526" i="12"/>
  <c r="V1593" i="12"/>
  <c r="V1659" i="12"/>
  <c r="V1725" i="12"/>
  <c r="V1791" i="12"/>
  <c r="V1856" i="12"/>
  <c r="V1922" i="12"/>
  <c r="V330" i="12"/>
  <c r="V554" i="12"/>
  <c r="V741" i="12"/>
  <c r="V881" i="12"/>
  <c r="V1018" i="12"/>
  <c r="V1140" i="12"/>
  <c r="V1229" i="12"/>
  <c r="V1315" i="12"/>
  <c r="V1401" i="12"/>
  <c r="V1485" i="12"/>
  <c r="V1563" i="12"/>
  <c r="V1629" i="12"/>
  <c r="V1694" i="12"/>
  <c r="V1760" i="12"/>
  <c r="V1826" i="12"/>
  <c r="V1891" i="12"/>
  <c r="V1957" i="12"/>
  <c r="V2022" i="12"/>
  <c r="V2087" i="12"/>
  <c r="V2153" i="12"/>
  <c r="V2217" i="12"/>
  <c r="V2281" i="12"/>
  <c r="V122" i="12"/>
  <c r="V418" i="12"/>
  <c r="V635" i="12"/>
  <c r="V796" i="12"/>
  <c r="V933" i="12"/>
  <c r="V1072" i="12"/>
  <c r="V1178" i="12"/>
  <c r="V1264" i="12"/>
  <c r="V1348" i="12"/>
  <c r="V1434" i="12"/>
  <c r="V1521" i="12"/>
  <c r="V1588" i="12"/>
  <c r="V1654" i="12"/>
  <c r="V1720" i="12"/>
  <c r="V1786" i="12"/>
  <c r="V1851" i="12"/>
  <c r="V1917" i="12"/>
  <c r="V1982" i="12"/>
  <c r="V2047" i="12"/>
  <c r="V2113" i="12"/>
  <c r="V2178" i="12"/>
  <c r="V2242" i="12"/>
  <c r="V2306" i="12"/>
  <c r="V2371" i="12"/>
  <c r="V2436" i="12"/>
  <c r="V2502" i="12"/>
  <c r="V2566" i="12"/>
  <c r="V2632" i="12"/>
  <c r="V2698" i="12"/>
  <c r="V2764" i="12"/>
  <c r="V2830" i="12"/>
  <c r="V146" i="12"/>
  <c r="V429" i="12"/>
  <c r="V644" i="12"/>
  <c r="V804" i="12"/>
  <c r="V939" i="12"/>
  <c r="V1076" i="12"/>
  <c r="V1181" i="12"/>
  <c r="V1267" i="12"/>
  <c r="V1353" i="12"/>
  <c r="V1437" i="12"/>
  <c r="V1524" i="12"/>
  <c r="V1591" i="12"/>
  <c r="V1657" i="12"/>
  <c r="V1723" i="12"/>
  <c r="V1789" i="12"/>
  <c r="V1854" i="12"/>
  <c r="V1920" i="12"/>
  <c r="V1985" i="12"/>
  <c r="V2051" i="12"/>
  <c r="V2116" i="12"/>
  <c r="V2181" i="12"/>
  <c r="V281" i="12"/>
  <c r="V715" i="12"/>
  <c r="V993" i="12"/>
  <c r="V1216" i="12"/>
  <c r="V1386" i="12"/>
  <c r="V1551" i="12"/>
  <c r="V1683" i="12"/>
  <c r="V1815" i="12"/>
  <c r="V1942" i="12"/>
  <c r="V2045" i="12"/>
  <c r="V2151" i="12"/>
  <c r="V2248" i="12"/>
  <c r="V2333" i="12"/>
  <c r="V2408" i="12"/>
  <c r="V2483" i="12"/>
  <c r="V2556" i="12"/>
  <c r="V2631" i="12"/>
  <c r="V2707" i="12"/>
  <c r="V2782" i="12"/>
  <c r="V2857" i="12"/>
  <c r="V2925" i="12"/>
  <c r="V290" i="12"/>
  <c r="V718" i="12"/>
  <c r="V997" i="12"/>
  <c r="V1218" i="12"/>
  <c r="V1388" i="12"/>
  <c r="V1553" i="12"/>
  <c r="V1685" i="12"/>
  <c r="V1817" i="12"/>
  <c r="V1943" i="12"/>
  <c r="V2049" i="12"/>
  <c r="V2152" i="12"/>
  <c r="V2251" i="12"/>
  <c r="V2334" i="12"/>
  <c r="V2409" i="12"/>
  <c r="V2484" i="12"/>
  <c r="V2557" i="12"/>
  <c r="V2633" i="12"/>
  <c r="V2708" i="12"/>
  <c r="V2783" i="12"/>
  <c r="V2859" i="12"/>
  <c r="V2926" i="12"/>
  <c r="V137" i="12"/>
  <c r="V636" i="12"/>
  <c r="V936" i="12"/>
  <c r="V1179" i="12"/>
  <c r="V1349" i="12"/>
  <c r="V1522" i="12"/>
  <c r="V1655" i="12"/>
  <c r="V1787" i="12"/>
  <c r="V1918" i="12"/>
  <c r="V2024" i="12"/>
  <c r="V2128" i="12"/>
  <c r="V2230" i="12"/>
  <c r="V2316" i="12"/>
  <c r="V2391" i="12"/>
  <c r="V2466" i="12"/>
  <c r="V2540" i="12"/>
  <c r="V2615" i="12"/>
  <c r="V2691" i="12"/>
  <c r="V2766" i="12"/>
  <c r="V2841" i="12"/>
  <c r="V2911" i="12"/>
  <c r="V24" i="12"/>
  <c r="V588" i="12"/>
  <c r="V904" i="12"/>
  <c r="V1157" i="12"/>
  <c r="V1330" i="12"/>
  <c r="V1501" i="12"/>
  <c r="V1640" i="12"/>
  <c r="V1772" i="12"/>
  <c r="V1902" i="12"/>
  <c r="V2011" i="12"/>
  <c r="V433" i="12"/>
  <c r="V805" i="12"/>
  <c r="V1077" i="12"/>
  <c r="V1268" i="12"/>
  <c r="V1440" i="12"/>
  <c r="V1592" i="12"/>
  <c r="V1724" i="12"/>
  <c r="V1855" i="12"/>
  <c r="V1975" i="12"/>
  <c r="V2078" i="12"/>
  <c r="V2183" i="12"/>
  <c r="V613" i="12"/>
  <c r="V1276" i="12"/>
  <c r="V1693" i="12"/>
  <c r="V2016" i="12"/>
  <c r="V2231" i="12"/>
  <c r="V2364" i="12"/>
  <c r="V2482" i="12"/>
  <c r="V2601" i="12"/>
  <c r="V2721" i="12"/>
  <c r="V2843" i="12"/>
  <c r="U45" i="12"/>
  <c r="U112" i="12"/>
  <c r="U178" i="12"/>
  <c r="U242" i="12"/>
  <c r="U306" i="12"/>
  <c r="U370" i="12"/>
  <c r="U434" i="12"/>
  <c r="U499" i="12"/>
  <c r="V340" i="12"/>
  <c r="V1170" i="12"/>
  <c r="V1611" i="12"/>
  <c r="V1952" i="12"/>
  <c r="V2184" i="12"/>
  <c r="V2336" i="12"/>
  <c r="V2454" i="12"/>
  <c r="V2572" i="12"/>
  <c r="V2694" i="12"/>
  <c r="V2815" i="12"/>
  <c r="U30" i="12"/>
  <c r="U97" i="12"/>
  <c r="U163" i="12"/>
  <c r="U227" i="12"/>
  <c r="U291" i="12"/>
  <c r="U355" i="12"/>
  <c r="U419" i="12"/>
  <c r="U484" i="12"/>
  <c r="U549" i="12"/>
  <c r="V850" i="12"/>
  <c r="V1404" i="12"/>
  <c r="V1792" i="12"/>
  <c r="V2082" i="12"/>
  <c r="V2269" i="12"/>
  <c r="V2396" i="12"/>
  <c r="V2516" i="12"/>
  <c r="V2636" i="12"/>
  <c r="V2757" i="12"/>
  <c r="V2875" i="12"/>
  <c r="U64" i="12"/>
  <c r="U130" i="12"/>
  <c r="U196" i="12"/>
  <c r="U260" i="12"/>
  <c r="U324" i="12"/>
  <c r="U388" i="12"/>
  <c r="V11" i="12"/>
  <c r="V75" i="12"/>
  <c r="V139" i="12"/>
  <c r="V203" i="12"/>
  <c r="V267" i="12"/>
  <c r="V331" i="12"/>
  <c r="V395" i="12"/>
  <c r="V459" i="12"/>
  <c r="V523" i="12"/>
  <c r="V587" i="12"/>
  <c r="V28" i="12"/>
  <c r="V92" i="12"/>
  <c r="V156" i="12"/>
  <c r="V220" i="12"/>
  <c r="V13" i="12"/>
  <c r="V77" i="12"/>
  <c r="V141" i="12"/>
  <c r="V38" i="12"/>
  <c r="V102" i="12"/>
  <c r="V166" i="12"/>
  <c r="V230" i="12"/>
  <c r="V294" i="12"/>
  <c r="V358" i="12"/>
  <c r="V422" i="12"/>
  <c r="V486" i="12"/>
  <c r="V550" i="12"/>
  <c r="V614" i="12"/>
  <c r="V678" i="12"/>
  <c r="V39" i="12"/>
  <c r="V103" i="12"/>
  <c r="V167" i="12"/>
  <c r="V231" i="12"/>
  <c r="V295" i="12"/>
  <c r="V359" i="12"/>
  <c r="V423" i="12"/>
  <c r="V487" i="12"/>
  <c r="V551" i="12"/>
  <c r="V615" i="12"/>
  <c r="V679" i="12"/>
  <c r="V743" i="12"/>
  <c r="V130" i="12"/>
  <c r="V269" i="12"/>
  <c r="V372" i="12"/>
  <c r="V474" i="12"/>
  <c r="V577" i="12"/>
  <c r="V669" i="12"/>
  <c r="V748" i="12"/>
  <c r="V814" i="12"/>
  <c r="V878" i="12"/>
  <c r="V942" i="12"/>
  <c r="V1006" i="12"/>
  <c r="V1070" i="12"/>
  <c r="V1134" i="12"/>
  <c r="V1198" i="12"/>
  <c r="V1262" i="12"/>
  <c r="V1326" i="12"/>
  <c r="V1390" i="12"/>
  <c r="V1454" i="12"/>
  <c r="V1519" i="12"/>
  <c r="V136" i="12"/>
  <c r="V272" i="12"/>
  <c r="V373" i="12"/>
  <c r="V476" i="12"/>
  <c r="V578" i="12"/>
  <c r="V672" i="12"/>
  <c r="V749" i="12"/>
  <c r="V815" i="12"/>
  <c r="V879" i="12"/>
  <c r="V943" i="12"/>
  <c r="V1007" i="12"/>
  <c r="V1071" i="12"/>
  <c r="V1135" i="12"/>
  <c r="V1199" i="12"/>
  <c r="V1263" i="12"/>
  <c r="V1327" i="12"/>
  <c r="V1391" i="12"/>
  <c r="V1455" i="12"/>
  <c r="V1520" i="12"/>
  <c r="V184" i="12"/>
  <c r="V338" i="12"/>
  <c r="V473" i="12"/>
  <c r="V610" i="12"/>
  <c r="V724" i="12"/>
  <c r="V813" i="12"/>
  <c r="V899" i="12"/>
  <c r="V985" i="12"/>
  <c r="V1069" i="12"/>
  <c r="V213" i="12"/>
  <c r="V33" i="12"/>
  <c r="V234" i="12"/>
  <c r="V380" i="12"/>
  <c r="V517" i="12"/>
  <c r="V648" i="12"/>
  <c r="V754" i="12"/>
  <c r="V841" i="12"/>
  <c r="V925" i="12"/>
  <c r="V1011" i="12"/>
  <c r="V1097" i="12"/>
  <c r="V41" i="12"/>
  <c r="V245" i="12"/>
  <c r="V388" i="12"/>
  <c r="V522" i="12"/>
  <c r="V653" i="12"/>
  <c r="V760" i="12"/>
  <c r="V844" i="12"/>
  <c r="V930" i="12"/>
  <c r="V1016" i="12"/>
  <c r="V1100" i="12"/>
  <c r="V209" i="12"/>
  <c r="V465" i="12"/>
  <c r="V674" i="12"/>
  <c r="V826" i="12"/>
  <c r="V961" i="12"/>
  <c r="V1093" i="12"/>
  <c r="V1195" i="12"/>
  <c r="V1281" i="12"/>
  <c r="V1365" i="12"/>
  <c r="V1451" i="12"/>
  <c r="V1536" i="12"/>
  <c r="V1602" i="12"/>
  <c r="V1667" i="12"/>
  <c r="V1733" i="12"/>
  <c r="V1799" i="12"/>
  <c r="V1864" i="12"/>
  <c r="V9" i="12"/>
  <c r="V362" i="12"/>
  <c r="V581" i="12"/>
  <c r="V762" i="12"/>
  <c r="V897" i="12"/>
  <c r="V1034" i="12"/>
  <c r="V1154" i="12"/>
  <c r="V1241" i="12"/>
  <c r="V1325" i="12"/>
  <c r="V1411" i="12"/>
  <c r="V1498" i="12"/>
  <c r="V1571" i="12"/>
  <c r="V1637" i="12"/>
  <c r="V1703" i="12"/>
  <c r="V1769" i="12"/>
  <c r="V1834" i="12"/>
  <c r="V1899" i="12"/>
  <c r="V1965" i="12"/>
  <c r="V2030" i="12"/>
  <c r="V2096" i="12"/>
  <c r="V2161" i="12"/>
  <c r="V2225" i="12"/>
  <c r="V2289" i="12"/>
  <c r="V178" i="12"/>
  <c r="V445" i="12"/>
  <c r="V658" i="12"/>
  <c r="V816" i="12"/>
  <c r="V949" i="12"/>
  <c r="V1084" i="12"/>
  <c r="V1188" i="12"/>
  <c r="V1274" i="12"/>
  <c r="V1360" i="12"/>
  <c r="V1444" i="12"/>
  <c r="V1531" i="12"/>
  <c r="V1596" i="12"/>
  <c r="V1662" i="12"/>
  <c r="V1728" i="12"/>
  <c r="V1794" i="12"/>
  <c r="V1859" i="12"/>
  <c r="V1925" i="12"/>
  <c r="V1990" i="12"/>
  <c r="V2056" i="12"/>
  <c r="V2122" i="12"/>
  <c r="V2186" i="12"/>
  <c r="V2250" i="12"/>
  <c r="V2314" i="12"/>
  <c r="V2379" i="12"/>
  <c r="V2445" i="12"/>
  <c r="V2510" i="12"/>
  <c r="V2574" i="12"/>
  <c r="V2640" i="12"/>
  <c r="V2706" i="12"/>
  <c r="V2772" i="12"/>
  <c r="V2838" i="12"/>
  <c r="V197" i="12"/>
  <c r="V458" i="12"/>
  <c r="V666" i="12"/>
  <c r="V820" i="12"/>
  <c r="V956" i="12"/>
  <c r="V1091" i="12"/>
  <c r="V1193" i="12"/>
  <c r="V1277" i="12"/>
  <c r="V1363" i="12"/>
  <c r="V1449" i="12"/>
  <c r="V1534" i="12"/>
  <c r="V1600" i="12"/>
  <c r="V1665" i="12"/>
  <c r="V1731" i="12"/>
  <c r="V1797" i="12"/>
  <c r="V1862" i="12"/>
  <c r="V1928" i="12"/>
  <c r="V1993" i="12"/>
  <c r="V2059" i="12"/>
  <c r="V2125" i="12"/>
  <c r="V2189" i="12"/>
  <c r="V352" i="12"/>
  <c r="V753" i="12"/>
  <c r="V1028" i="12"/>
  <c r="V1236" i="12"/>
  <c r="V1408" i="12"/>
  <c r="V1568" i="12"/>
  <c r="V1700" i="12"/>
  <c r="V1831" i="12"/>
  <c r="V1955" i="12"/>
  <c r="V2060" i="12"/>
  <c r="V2164" i="12"/>
  <c r="V2260" i="12"/>
  <c r="V2342" i="12"/>
  <c r="V2417" i="12"/>
  <c r="V2492" i="12"/>
  <c r="V2565" i="12"/>
  <c r="V2641" i="12"/>
  <c r="V2716" i="12"/>
  <c r="V2792" i="12"/>
  <c r="V2867" i="12"/>
  <c r="V357" i="12"/>
  <c r="V756" i="12"/>
  <c r="V1032" i="12"/>
  <c r="V1240" i="12"/>
  <c r="V1410" i="12"/>
  <c r="V1570" i="12"/>
  <c r="V1702" i="12"/>
  <c r="V1833" i="12"/>
  <c r="V1956" i="12"/>
  <c r="V2061" i="12"/>
  <c r="V2166" i="12"/>
  <c r="V2261" i="12"/>
  <c r="V2343" i="12"/>
  <c r="V2418" i="12"/>
  <c r="V2493" i="12"/>
  <c r="V2567" i="12"/>
  <c r="V2642" i="12"/>
  <c r="V2717" i="12"/>
  <c r="V2793" i="12"/>
  <c r="V2868" i="12"/>
  <c r="V229" i="12"/>
  <c r="V685" i="12"/>
  <c r="V970" i="12"/>
  <c r="V1201" i="12"/>
  <c r="V1371" i="12"/>
  <c r="V1540" i="12"/>
  <c r="V1672" i="12"/>
  <c r="V1803" i="12"/>
  <c r="V1931" i="12"/>
  <c r="V2036" i="12"/>
  <c r="V2142" i="12"/>
  <c r="V2240" i="12"/>
  <c r="V2326" i="12"/>
  <c r="V2401" i="12"/>
  <c r="V2476" i="12"/>
  <c r="V2549" i="12"/>
  <c r="V2625" i="12"/>
  <c r="V2700" i="12"/>
  <c r="V2775" i="12"/>
  <c r="V2850" i="12"/>
  <c r="V2919" i="12"/>
  <c r="V138" i="12"/>
  <c r="V643" i="12"/>
  <c r="V938" i="12"/>
  <c r="V1180" i="12"/>
  <c r="V1352" i="12"/>
  <c r="V1523" i="12"/>
  <c r="V1656" i="12"/>
  <c r="V1788" i="12"/>
  <c r="V1919" i="12"/>
  <c r="V2025" i="12"/>
  <c r="V485" i="12"/>
  <c r="V840" i="12"/>
  <c r="V1106" i="12"/>
  <c r="V1290" i="12"/>
  <c r="V1460" i="12"/>
  <c r="V1609" i="12"/>
  <c r="V1741" i="12"/>
  <c r="V1871" i="12"/>
  <c r="V1987" i="12"/>
  <c r="V2093" i="12"/>
  <c r="V2196" i="12"/>
  <c r="V738" i="12"/>
  <c r="V1339" i="12"/>
  <c r="V1730" i="12"/>
  <c r="V2052" i="12"/>
  <c r="V2247" i="12"/>
  <c r="V2377" i="12"/>
  <c r="V2498" i="12"/>
  <c r="V2618" i="12"/>
  <c r="V2738" i="12"/>
  <c r="V2856" i="12"/>
  <c r="U53" i="12"/>
  <c r="U120" i="12"/>
  <c r="U186" i="12"/>
  <c r="U250" i="12"/>
  <c r="U314" i="12"/>
  <c r="U378" i="12"/>
  <c r="U443" i="12"/>
  <c r="U507" i="12"/>
  <c r="V496" i="12"/>
  <c r="V1233" i="12"/>
  <c r="V1648" i="12"/>
  <c r="V1988" i="12"/>
  <c r="V2211" i="12"/>
  <c r="V2349" i="12"/>
  <c r="V2471" i="12"/>
  <c r="V2589" i="12"/>
  <c r="V2710" i="12"/>
  <c r="V2828" i="12"/>
  <c r="U38" i="12"/>
  <c r="U105" i="12"/>
  <c r="U171" i="12"/>
  <c r="U235" i="12"/>
  <c r="U299" i="12"/>
  <c r="U363" i="12"/>
  <c r="U427" i="12"/>
  <c r="U492" i="12"/>
  <c r="U557" i="12"/>
  <c r="V946" i="12"/>
  <c r="V1467" i="12"/>
  <c r="V1829" i="12"/>
  <c r="V2109" i="12"/>
  <c r="V2287" i="12"/>
  <c r="V2413" i="12"/>
  <c r="V2532" i="12"/>
  <c r="V2650" i="12"/>
  <c r="V2770" i="12"/>
  <c r="V19" i="12"/>
  <c r="V83" i="12"/>
  <c r="V147" i="12"/>
  <c r="V211" i="12"/>
  <c r="V275" i="12"/>
  <c r="V339" i="12"/>
  <c r="V403" i="12"/>
  <c r="V467" i="12"/>
  <c r="V531" i="12"/>
  <c r="V595" i="12"/>
  <c r="V36" i="12"/>
  <c r="V100" i="12"/>
  <c r="V164" i="12"/>
  <c r="V228" i="12"/>
  <c r="V21" i="12"/>
  <c r="V85" i="12"/>
  <c r="V149" i="12"/>
  <c r="V46" i="12"/>
  <c r="V110" i="12"/>
  <c r="V174" i="12"/>
  <c r="V238" i="12"/>
  <c r="V302" i="12"/>
  <c r="V366" i="12"/>
  <c r="V430" i="12"/>
  <c r="V494" i="12"/>
  <c r="V558" i="12"/>
  <c r="V622" i="12"/>
  <c r="V686" i="12"/>
  <c r="V47" i="12"/>
  <c r="V111" i="12"/>
  <c r="V175" i="12"/>
  <c r="V239" i="12"/>
  <c r="V303" i="12"/>
  <c r="V367" i="12"/>
  <c r="V431" i="12"/>
  <c r="V495" i="12"/>
  <c r="V559" i="12"/>
  <c r="V623" i="12"/>
  <c r="V687" i="12"/>
  <c r="V751" i="12"/>
  <c r="V153" i="12"/>
  <c r="V282" i="12"/>
  <c r="V385" i="12"/>
  <c r="V488" i="12"/>
  <c r="V589" i="12"/>
  <c r="V681" i="12"/>
  <c r="V757" i="12"/>
  <c r="V822" i="12"/>
  <c r="V886" i="12"/>
  <c r="V950" i="12"/>
  <c r="V1014" i="12"/>
  <c r="V1078" i="12"/>
  <c r="V1142" i="12"/>
  <c r="V1206" i="12"/>
  <c r="V1270" i="12"/>
  <c r="V1334" i="12"/>
  <c r="V1398" i="12"/>
  <c r="V1462" i="12"/>
  <c r="V1527" i="12"/>
  <c r="V154" i="12"/>
  <c r="V284" i="12"/>
  <c r="V386" i="12"/>
  <c r="V489" i="12"/>
  <c r="V592" i="12"/>
  <c r="V682" i="12"/>
  <c r="V758" i="12"/>
  <c r="V823" i="12"/>
  <c r="V887" i="12"/>
  <c r="V951" i="12"/>
  <c r="V1015" i="12"/>
  <c r="V1079" i="12"/>
  <c r="V1143" i="12"/>
  <c r="V1207" i="12"/>
  <c r="V1271" i="12"/>
  <c r="V1335" i="12"/>
  <c r="V1399" i="12"/>
  <c r="V1463" i="12"/>
  <c r="V1528" i="12"/>
  <c r="V202" i="12"/>
  <c r="V354" i="12"/>
  <c r="V492" i="12"/>
  <c r="V626" i="12"/>
  <c r="V736" i="12"/>
  <c r="V825" i="12"/>
  <c r="V909" i="12"/>
  <c r="V995" i="12"/>
  <c r="V32" i="12"/>
  <c r="V233" i="12"/>
  <c r="V58" i="12"/>
  <c r="V258" i="12"/>
  <c r="V396" i="12"/>
  <c r="V533" i="12"/>
  <c r="V664" i="12"/>
  <c r="V765" i="12"/>
  <c r="V851" i="12"/>
  <c r="V937" i="12"/>
  <c r="V1021" i="12"/>
  <c r="V1107" i="12"/>
  <c r="V73" i="12"/>
  <c r="V265" i="12"/>
  <c r="V404" i="12"/>
  <c r="V541" i="12"/>
  <c r="V667" i="12"/>
  <c r="V770" i="12"/>
  <c r="V856" i="12"/>
  <c r="V940" i="12"/>
  <c r="V1026" i="12"/>
  <c r="V1112" i="12"/>
  <c r="V249" i="12"/>
  <c r="V493" i="12"/>
  <c r="V696" i="12"/>
  <c r="V842" i="12"/>
  <c r="V978" i="12"/>
  <c r="V1108" i="12"/>
  <c r="V1205" i="12"/>
  <c r="V1291" i="12"/>
  <c r="V1377" i="12"/>
  <c r="V1461" i="12"/>
  <c r="V1544" i="12"/>
  <c r="V1610" i="12"/>
  <c r="V1676" i="12"/>
  <c r="V1742" i="12"/>
  <c r="V1807" i="12"/>
  <c r="V1872" i="12"/>
  <c r="V64" i="12"/>
  <c r="V392" i="12"/>
  <c r="V608" i="12"/>
  <c r="V778" i="12"/>
  <c r="V914" i="12"/>
  <c r="V1051" i="12"/>
  <c r="V1165" i="12"/>
  <c r="V1251" i="12"/>
  <c r="V1337" i="12"/>
  <c r="V1421" i="12"/>
  <c r="V1508" i="12"/>
  <c r="V1579" i="12"/>
  <c r="V1645" i="12"/>
  <c r="V1711" i="12"/>
  <c r="V1777" i="12"/>
  <c r="V1842" i="12"/>
  <c r="V1907" i="12"/>
  <c r="V1973" i="12"/>
  <c r="V2038" i="12"/>
  <c r="V2104" i="12"/>
  <c r="V2169" i="12"/>
  <c r="V2233" i="12"/>
  <c r="V2297" i="12"/>
  <c r="V218" i="12"/>
  <c r="V477" i="12"/>
  <c r="V680" i="12"/>
  <c r="V832" i="12"/>
  <c r="V968" i="12"/>
  <c r="V1099" i="12"/>
  <c r="V1200" i="12"/>
  <c r="V1284" i="12"/>
  <c r="V1370" i="12"/>
  <c r="V1456" i="12"/>
  <c r="V1539" i="12"/>
  <c r="V1605" i="12"/>
  <c r="V1671" i="12"/>
  <c r="V1736" i="12"/>
  <c r="V1802" i="12"/>
  <c r="V1867" i="12"/>
  <c r="V1933" i="12"/>
  <c r="V1998" i="12"/>
  <c r="V2064" i="12"/>
  <c r="V2130" i="12"/>
  <c r="V2194" i="12"/>
  <c r="V2258" i="12"/>
  <c r="V2322" i="12"/>
  <c r="V2387" i="12"/>
  <c r="V2453" i="12"/>
  <c r="V2518" i="12"/>
  <c r="V2583" i="12"/>
  <c r="V2649" i="12"/>
  <c r="V2714" i="12"/>
  <c r="V2780" i="12"/>
  <c r="V2846" i="12"/>
  <c r="V241" i="12"/>
  <c r="V484" i="12"/>
  <c r="V689" i="12"/>
  <c r="V837" i="12"/>
  <c r="V976" i="12"/>
  <c r="V1105" i="12"/>
  <c r="V1203" i="12"/>
  <c r="V1289" i="12"/>
  <c r="V1373" i="12"/>
  <c r="V1459" i="12"/>
  <c r="V1542" i="12"/>
  <c r="V1608" i="12"/>
  <c r="V1674" i="12"/>
  <c r="V1740" i="12"/>
  <c r="V1805" i="12"/>
  <c r="V1870" i="12"/>
  <c r="V1936" i="12"/>
  <c r="V2001" i="12"/>
  <c r="V2067" i="12"/>
  <c r="V2133" i="12"/>
  <c r="V2197" i="12"/>
  <c r="V408" i="12"/>
  <c r="V788" i="12"/>
  <c r="V1061" i="12"/>
  <c r="V1258" i="12"/>
  <c r="V1428" i="12"/>
  <c r="V1584" i="12"/>
  <c r="V1716" i="12"/>
  <c r="V1847" i="12"/>
  <c r="V1968" i="12"/>
  <c r="V2073" i="12"/>
  <c r="V2176" i="12"/>
  <c r="V2270" i="12"/>
  <c r="V2351" i="12"/>
  <c r="V2426" i="12"/>
  <c r="V2501" i="12"/>
  <c r="V2575" i="12"/>
  <c r="V2651" i="12"/>
  <c r="V2725" i="12"/>
  <c r="V2801" i="12"/>
  <c r="V2876" i="12"/>
  <c r="V413" i="12"/>
  <c r="V794" i="12"/>
  <c r="V1066" i="12"/>
  <c r="V1260" i="12"/>
  <c r="V1432" i="12"/>
  <c r="V1586" i="12"/>
  <c r="V1718" i="12"/>
  <c r="V1849" i="12"/>
  <c r="V1970" i="12"/>
  <c r="V2074" i="12"/>
  <c r="V2179" i="12"/>
  <c r="V2271" i="12"/>
  <c r="V2352" i="12"/>
  <c r="V2427" i="12"/>
  <c r="V2503" i="12"/>
  <c r="V2576" i="12"/>
  <c r="V2652" i="12"/>
  <c r="V2726" i="12"/>
  <c r="V2802" i="12"/>
  <c r="V2877" i="12"/>
  <c r="V305" i="12"/>
  <c r="V726" i="12"/>
  <c r="V1003" i="12"/>
  <c r="V1221" i="12"/>
  <c r="V1393" i="12"/>
  <c r="V1556" i="12"/>
  <c r="V1688" i="12"/>
  <c r="V1820" i="12"/>
  <c r="V1945" i="12"/>
  <c r="V2050" i="12"/>
  <c r="V2155" i="12"/>
  <c r="V2252" i="12"/>
  <c r="V2335" i="12"/>
  <c r="V2410" i="12"/>
  <c r="V2485" i="12"/>
  <c r="V2559" i="12"/>
  <c r="V2634" i="12"/>
  <c r="V2709" i="12"/>
  <c r="V2784" i="12"/>
  <c r="V2860" i="12"/>
  <c r="V2927" i="12"/>
  <c r="V232" i="12"/>
  <c r="V688" i="12"/>
  <c r="V971" i="12"/>
  <c r="V1202" i="12"/>
  <c r="V1372" i="12"/>
  <c r="V1541" i="12"/>
  <c r="V1673" i="12"/>
  <c r="V1804" i="12"/>
  <c r="V1934" i="12"/>
  <c r="V2037" i="12"/>
  <c r="V545" i="12"/>
  <c r="V874" i="12"/>
  <c r="V1136" i="12"/>
  <c r="V1312" i="12"/>
  <c r="V1482" i="12"/>
  <c r="V1625" i="12"/>
  <c r="V1757" i="12"/>
  <c r="V1888" i="12"/>
  <c r="V2000" i="12"/>
  <c r="V2106" i="12"/>
  <c r="V2208" i="12"/>
  <c r="V818" i="12"/>
  <c r="V1400" i="12"/>
  <c r="V1779" i="12"/>
  <c r="V2077" i="12"/>
  <c r="V2267" i="12"/>
  <c r="V2393" i="12"/>
  <c r="V2514" i="12"/>
  <c r="V2630" i="12"/>
  <c r="V2751" i="12"/>
  <c r="V2873" i="12"/>
  <c r="U61" i="12"/>
  <c r="U128" i="12"/>
  <c r="U194" i="12"/>
  <c r="U258" i="12"/>
  <c r="U322" i="12"/>
  <c r="U386" i="12"/>
  <c r="U451" i="12"/>
  <c r="U515" i="12"/>
  <c r="V618" i="12"/>
  <c r="V1292" i="12"/>
  <c r="V1696" i="12"/>
  <c r="V2019" i="12"/>
  <c r="V2235" i="12"/>
  <c r="V2365" i="12"/>
  <c r="V2487" i="12"/>
  <c r="V2602" i="12"/>
  <c r="V2723" i="12"/>
  <c r="V2844" i="12"/>
  <c r="U46" i="12"/>
  <c r="U113" i="12"/>
  <c r="U179" i="12"/>
  <c r="U243" i="12"/>
  <c r="U307" i="12"/>
  <c r="U371" i="12"/>
  <c r="U435" i="12"/>
  <c r="U500" i="12"/>
  <c r="U565" i="12"/>
  <c r="V1024" i="12"/>
  <c r="V1529" i="12"/>
  <c r="V1876" i="12"/>
  <c r="V2135" i="12"/>
  <c r="V2307" i="12"/>
  <c r="V2425" i="12"/>
  <c r="V2545" i="12"/>
  <c r="V2666" i="12"/>
  <c r="V27" i="12"/>
  <c r="V91" i="12"/>
  <c r="V155" i="12"/>
  <c r="V219" i="12"/>
  <c r="V283" i="12"/>
  <c r="V347" i="12"/>
  <c r="V411" i="12"/>
  <c r="V475" i="12"/>
  <c r="V539" i="12"/>
  <c r="V603" i="12"/>
  <c r="V44" i="12"/>
  <c r="V108" i="12"/>
  <c r="V172" i="12"/>
  <c r="V236" i="12"/>
  <c r="V29" i="12"/>
  <c r="V93" i="12"/>
  <c r="V157" i="12"/>
  <c r="V54" i="12"/>
  <c r="V118" i="12"/>
  <c r="V182" i="12"/>
  <c r="V246" i="12"/>
  <c r="V310" i="12"/>
  <c r="V374" i="12"/>
  <c r="V438" i="12"/>
  <c r="V502" i="12"/>
  <c r="V566" i="12"/>
  <c r="V630" i="12"/>
  <c r="V694" i="12"/>
  <c r="V55" i="12"/>
  <c r="V119" i="12"/>
  <c r="V183" i="12"/>
  <c r="V247" i="12"/>
  <c r="V311" i="12"/>
  <c r="V375" i="12"/>
  <c r="V439" i="12"/>
  <c r="V503" i="12"/>
  <c r="V567" i="12"/>
  <c r="V631" i="12"/>
  <c r="V695" i="12"/>
  <c r="V759" i="12"/>
  <c r="V173" i="12"/>
  <c r="V296" i="12"/>
  <c r="V397" i="12"/>
  <c r="V500" i="12"/>
  <c r="V602" i="12"/>
  <c r="V691" i="12"/>
  <c r="V766" i="12"/>
  <c r="V830" i="12"/>
  <c r="V894" i="12"/>
  <c r="V958" i="12"/>
  <c r="V1022" i="12"/>
  <c r="V1086" i="12"/>
  <c r="V1150" i="12"/>
  <c r="V1214" i="12"/>
  <c r="V1278" i="12"/>
  <c r="V1342" i="12"/>
  <c r="V1406" i="12"/>
  <c r="V1470" i="12"/>
  <c r="V8" i="12"/>
  <c r="V176" i="12"/>
  <c r="V297" i="12"/>
  <c r="V400" i="12"/>
  <c r="V501" i="12"/>
  <c r="V604" i="12"/>
  <c r="V692" i="12"/>
  <c r="V767" i="12"/>
  <c r="V831" i="12"/>
  <c r="V895" i="12"/>
  <c r="V959" i="12"/>
  <c r="V1023" i="12"/>
  <c r="V1087" i="12"/>
  <c r="V1151" i="12"/>
  <c r="V1215" i="12"/>
  <c r="V1279" i="12"/>
  <c r="V1343" i="12"/>
  <c r="V1407" i="12"/>
  <c r="V1471" i="12"/>
  <c r="V17" i="12"/>
  <c r="V226" i="12"/>
  <c r="V370" i="12"/>
  <c r="V508" i="12"/>
  <c r="V642" i="12"/>
  <c r="V747" i="12"/>
  <c r="V835" i="12"/>
  <c r="V921" i="12"/>
  <c r="V1005" i="12"/>
  <c r="V57" i="12"/>
  <c r="V257" i="12"/>
  <c r="V88" i="12"/>
  <c r="V277" i="12"/>
  <c r="V416" i="12"/>
  <c r="V549" i="12"/>
  <c r="V676" i="12"/>
  <c r="V777" i="12"/>
  <c r="V861" i="12"/>
  <c r="V947" i="12"/>
  <c r="V1033" i="12"/>
  <c r="V1117" i="12"/>
  <c r="V98" i="12"/>
  <c r="V285" i="12"/>
  <c r="V420" i="12"/>
  <c r="V557" i="12"/>
  <c r="V683" i="12"/>
  <c r="V780" i="12"/>
  <c r="V866" i="12"/>
  <c r="V952" i="12"/>
  <c r="V1036" i="12"/>
  <c r="V1122" i="12"/>
  <c r="V289" i="12"/>
  <c r="V520" i="12"/>
  <c r="V716" i="12"/>
  <c r="V859" i="12"/>
  <c r="V996" i="12"/>
  <c r="V1123" i="12"/>
  <c r="V1217" i="12"/>
  <c r="V1301" i="12"/>
  <c r="V1387" i="12"/>
  <c r="V1473" i="12"/>
  <c r="V1552" i="12"/>
  <c r="V1618" i="12"/>
  <c r="V1684" i="12"/>
  <c r="V1750" i="12"/>
  <c r="V1816" i="12"/>
  <c r="V1881" i="12"/>
  <c r="V121" i="12"/>
  <c r="V417" i="12"/>
  <c r="V633" i="12"/>
  <c r="V795" i="12"/>
  <c r="V932" i="12"/>
  <c r="V1067" i="12"/>
  <c r="V1177" i="12"/>
  <c r="V1261" i="12"/>
  <c r="V1347" i="12"/>
  <c r="V1433" i="12"/>
  <c r="V1518" i="12"/>
  <c r="V1587" i="12"/>
  <c r="V1653" i="12"/>
  <c r="V1719" i="12"/>
  <c r="V1785" i="12"/>
  <c r="V1850" i="12"/>
  <c r="V1916" i="12"/>
  <c r="V1981" i="12"/>
  <c r="V2046" i="12"/>
  <c r="V2112" i="12"/>
  <c r="V2177" i="12"/>
  <c r="V2241" i="12"/>
  <c r="V2305" i="12"/>
  <c r="V264" i="12"/>
  <c r="V504" i="12"/>
  <c r="V705" i="12"/>
  <c r="V849" i="12"/>
  <c r="V986" i="12"/>
  <c r="V1114" i="12"/>
  <c r="V1210" i="12"/>
  <c r="V1296" i="12"/>
  <c r="V1380" i="12"/>
  <c r="V1466" i="12"/>
  <c r="V1547" i="12"/>
  <c r="V1613" i="12"/>
  <c r="V1679" i="12"/>
  <c r="V1745" i="12"/>
  <c r="V1811" i="12"/>
  <c r="V1875" i="12"/>
  <c r="V1941" i="12"/>
  <c r="V2006" i="12"/>
  <c r="V2072" i="12"/>
  <c r="V2138" i="12"/>
  <c r="V2202" i="12"/>
  <c r="V2266" i="12"/>
  <c r="V2330" i="12"/>
  <c r="V2395" i="12"/>
  <c r="V2461" i="12"/>
  <c r="V2526" i="12"/>
  <c r="V2591" i="12"/>
  <c r="V2657" i="12"/>
  <c r="V2722" i="12"/>
  <c r="V2789" i="12"/>
  <c r="V2854" i="12"/>
  <c r="V280" i="12"/>
  <c r="V512" i="12"/>
  <c r="V714" i="12"/>
  <c r="V853" i="12"/>
  <c r="V992" i="12"/>
  <c r="V1120" i="12"/>
  <c r="V1213" i="12"/>
  <c r="V1299" i="12"/>
  <c r="V1385" i="12"/>
  <c r="V1469" i="12"/>
  <c r="V1550" i="12"/>
  <c r="V1616" i="12"/>
  <c r="V1682" i="12"/>
  <c r="V1748" i="12"/>
  <c r="V1814" i="12"/>
  <c r="V1879" i="12"/>
  <c r="V1944" i="12"/>
  <c r="V2009" i="12"/>
  <c r="V2075" i="12"/>
  <c r="V2141" i="12"/>
  <c r="V2205" i="12"/>
  <c r="V460" i="12"/>
  <c r="V821" i="12"/>
  <c r="V1092" i="12"/>
  <c r="V1280" i="12"/>
  <c r="V1450" i="12"/>
  <c r="V1601" i="12"/>
  <c r="V1732" i="12"/>
  <c r="V1863" i="12"/>
  <c r="V1980" i="12"/>
  <c r="V2085" i="12"/>
  <c r="V2190" i="12"/>
  <c r="V2280" i="12"/>
  <c r="V2360" i="12"/>
  <c r="V2435" i="12"/>
  <c r="V2511" i="12"/>
  <c r="V2585" i="12"/>
  <c r="V2660" i="12"/>
  <c r="V2735" i="12"/>
  <c r="V2810" i="12"/>
  <c r="V2884" i="12"/>
  <c r="V468" i="12"/>
  <c r="V827" i="12"/>
  <c r="V1096" i="12"/>
  <c r="V1282" i="12"/>
  <c r="V1452" i="12"/>
  <c r="V1603" i="12"/>
  <c r="V1734" i="12"/>
  <c r="V1865" i="12"/>
  <c r="V1983" i="12"/>
  <c r="V2086" i="12"/>
  <c r="V2191" i="12"/>
  <c r="V2283" i="12"/>
  <c r="V2361" i="12"/>
  <c r="V2437" i="12"/>
  <c r="V2512" i="12"/>
  <c r="V2586" i="12"/>
  <c r="V2661" i="12"/>
  <c r="V2736" i="12"/>
  <c r="V2811" i="12"/>
  <c r="V2885" i="12"/>
  <c r="V368" i="12"/>
  <c r="V764" i="12"/>
  <c r="V1040" i="12"/>
  <c r="V1243" i="12"/>
  <c r="V1413" i="12"/>
  <c r="V1573" i="12"/>
  <c r="V1705" i="12"/>
  <c r="V1836" i="12"/>
  <c r="V1959" i="12"/>
  <c r="V2062" i="12"/>
  <c r="V2167" i="12"/>
  <c r="V2262" i="12"/>
  <c r="V2344" i="12"/>
  <c r="V2419" i="12"/>
  <c r="V2495" i="12"/>
  <c r="V2568" i="12"/>
  <c r="V2643" i="12"/>
  <c r="V2718" i="12"/>
  <c r="V2794" i="12"/>
  <c r="V2869" i="12"/>
  <c r="V306" i="12"/>
  <c r="V728" i="12"/>
  <c r="V1008" i="12"/>
  <c r="V1224" i="12"/>
  <c r="V1394" i="12"/>
  <c r="V1557" i="12"/>
  <c r="V1689" i="12"/>
  <c r="V1821" i="12"/>
  <c r="V1946" i="12"/>
  <c r="V40" i="12"/>
  <c r="V597" i="12"/>
  <c r="V907" i="12"/>
  <c r="V1162" i="12"/>
  <c r="V1332" i="12"/>
  <c r="V1505" i="12"/>
  <c r="V1642" i="12"/>
  <c r="V1774" i="12"/>
  <c r="V1904" i="12"/>
  <c r="V2012" i="12"/>
  <c r="V35" i="12"/>
  <c r="V99" i="12"/>
  <c r="V163" i="12"/>
  <c r="V227" i="12"/>
  <c r="V291" i="12"/>
  <c r="V355" i="12"/>
  <c r="V419" i="12"/>
  <c r="V483" i="12"/>
  <c r="V547" i="12"/>
  <c r="V611" i="12"/>
  <c r="V52" i="12"/>
  <c r="V116" i="12"/>
  <c r="V180" i="12"/>
  <c r="V244" i="12"/>
  <c r="V37" i="12"/>
  <c r="V101" i="12"/>
  <c r="V165" i="12"/>
  <c r="V62" i="12"/>
  <c r="V126" i="12"/>
  <c r="V190" i="12"/>
  <c r="V254" i="12"/>
  <c r="V318" i="12"/>
  <c r="V382" i="12"/>
  <c r="V446" i="12"/>
  <c r="V510" i="12"/>
  <c r="V574" i="12"/>
  <c r="V638" i="12"/>
  <c r="V702" i="12"/>
  <c r="V63" i="12"/>
  <c r="V127" i="12"/>
  <c r="V191" i="12"/>
  <c r="V255" i="12"/>
  <c r="V319" i="12"/>
  <c r="V383" i="12"/>
  <c r="V447" i="12"/>
  <c r="V511" i="12"/>
  <c r="V575" i="12"/>
  <c r="V639" i="12"/>
  <c r="V703" i="12"/>
  <c r="V25" i="12"/>
  <c r="V189" i="12"/>
  <c r="V308" i="12"/>
  <c r="V410" i="12"/>
  <c r="V513" i="12"/>
  <c r="V616" i="12"/>
  <c r="V701" i="12"/>
  <c r="V774" i="12"/>
  <c r="V838" i="12"/>
  <c r="V902" i="12"/>
  <c r="V966" i="12"/>
  <c r="V1030" i="12"/>
  <c r="V1094" i="12"/>
  <c r="V1158" i="12"/>
  <c r="V1222" i="12"/>
  <c r="V1286" i="12"/>
  <c r="V1350" i="12"/>
  <c r="V1414" i="12"/>
  <c r="V1478" i="12"/>
  <c r="V26" i="12"/>
  <c r="V192" i="12"/>
  <c r="V309" i="12"/>
  <c r="V412" i="12"/>
  <c r="V514" i="12"/>
  <c r="V617" i="12"/>
  <c r="V704" i="12"/>
  <c r="V775" i="12"/>
  <c r="V839" i="12"/>
  <c r="V903" i="12"/>
  <c r="V967" i="12"/>
  <c r="V1031" i="12"/>
  <c r="V1095" i="12"/>
  <c r="V1159" i="12"/>
  <c r="V1223" i="12"/>
  <c r="V1287" i="12"/>
  <c r="V1351" i="12"/>
  <c r="V1415" i="12"/>
  <c r="V1479" i="12"/>
  <c r="V42" i="12"/>
  <c r="V248" i="12"/>
  <c r="V389" i="12"/>
  <c r="V524" i="12"/>
  <c r="V656" i="12"/>
  <c r="V761" i="12"/>
  <c r="V845" i="12"/>
  <c r="V931" i="12"/>
  <c r="V1017" i="12"/>
  <c r="V82" i="12"/>
  <c r="V276" i="12"/>
  <c r="V120" i="12"/>
  <c r="V293" i="12"/>
  <c r="V432" i="12"/>
  <c r="V569" i="12"/>
  <c r="V690" i="12"/>
  <c r="V787" i="12"/>
  <c r="V873" i="12"/>
  <c r="V957" i="12"/>
  <c r="V1043" i="12"/>
  <c r="V1129" i="12"/>
  <c r="V128" i="12"/>
  <c r="V301" i="12"/>
  <c r="V440" i="12"/>
  <c r="V573" i="12"/>
  <c r="V697" i="12"/>
  <c r="V792" i="12"/>
  <c r="V876" i="12"/>
  <c r="V962" i="12"/>
  <c r="V1048" i="12"/>
  <c r="V1132" i="12"/>
  <c r="V324" i="12"/>
  <c r="V546" i="12"/>
  <c r="V737" i="12"/>
  <c r="V875" i="12"/>
  <c r="V1012" i="12"/>
  <c r="V1137" i="12"/>
  <c r="V1227" i="12"/>
  <c r="V1313" i="12"/>
  <c r="V1397" i="12"/>
  <c r="V1483" i="12"/>
  <c r="V1561" i="12"/>
  <c r="V1626" i="12"/>
  <c r="V1692" i="12"/>
  <c r="V1758" i="12"/>
  <c r="V1824" i="12"/>
  <c r="V1889" i="12"/>
  <c r="V177" i="12"/>
  <c r="V444" i="12"/>
  <c r="V657" i="12"/>
  <c r="V811" i="12"/>
  <c r="V948" i="12"/>
  <c r="V1083" i="12"/>
  <c r="V1187" i="12"/>
  <c r="V1273" i="12"/>
  <c r="V1357" i="12"/>
  <c r="V1443" i="12"/>
  <c r="V1530" i="12"/>
  <c r="V1595" i="12"/>
  <c r="V1661" i="12"/>
  <c r="V1727" i="12"/>
  <c r="V1793" i="12"/>
  <c r="V1858" i="12"/>
  <c r="V1924" i="12"/>
  <c r="V1989" i="12"/>
  <c r="V2055" i="12"/>
  <c r="V2121" i="12"/>
  <c r="V2185" i="12"/>
  <c r="V2249" i="12"/>
  <c r="V2313" i="12"/>
  <c r="V300" i="12"/>
  <c r="V530" i="12"/>
  <c r="V725" i="12"/>
  <c r="V865" i="12"/>
  <c r="V1002" i="12"/>
  <c r="V1128" i="12"/>
  <c r="V1220" i="12"/>
  <c r="V1306" i="12"/>
  <c r="V1392" i="12"/>
  <c r="V1476" i="12"/>
  <c r="V1555" i="12"/>
  <c r="V1621" i="12"/>
  <c r="V1687" i="12"/>
  <c r="V1753" i="12"/>
  <c r="V1819" i="12"/>
  <c r="V1884" i="12"/>
  <c r="V1950" i="12"/>
  <c r="V2014" i="12"/>
  <c r="V2080" i="12"/>
  <c r="V2146" i="12"/>
  <c r="V2210" i="12"/>
  <c r="V2274" i="12"/>
  <c r="V2338" i="12"/>
  <c r="V2404" i="12"/>
  <c r="V2470" i="12"/>
  <c r="V2534" i="12"/>
  <c r="V2599" i="12"/>
  <c r="V2665" i="12"/>
  <c r="V2731" i="12"/>
  <c r="V2797" i="12"/>
  <c r="V2863" i="12"/>
  <c r="V314" i="12"/>
  <c r="V537" i="12"/>
  <c r="V732" i="12"/>
  <c r="V872" i="12"/>
  <c r="V1009" i="12"/>
  <c r="V1133" i="12"/>
  <c r="V1225" i="12"/>
  <c r="V1309" i="12"/>
  <c r="V1395" i="12"/>
  <c r="V1481" i="12"/>
  <c r="V1559" i="12"/>
  <c r="V1624" i="12"/>
  <c r="V1690" i="12"/>
  <c r="V1756" i="12"/>
  <c r="V1822" i="12"/>
  <c r="V1887" i="12"/>
  <c r="V1953" i="12"/>
  <c r="V2017" i="12"/>
  <c r="V2083" i="12"/>
  <c r="V2149" i="12"/>
  <c r="V2213" i="12"/>
  <c r="V516" i="12"/>
  <c r="V858" i="12"/>
  <c r="V1121" i="12"/>
  <c r="V1300" i="12"/>
  <c r="V1472" i="12"/>
  <c r="V1617" i="12"/>
  <c r="V1749" i="12"/>
  <c r="V1880" i="12"/>
  <c r="V1994" i="12"/>
  <c r="V2099" i="12"/>
  <c r="V2203" i="12"/>
  <c r="V2292" i="12"/>
  <c r="V2370" i="12"/>
  <c r="V2446" i="12"/>
  <c r="V2520" i="12"/>
  <c r="V2594" i="12"/>
  <c r="V2669" i="12"/>
  <c r="V2744" i="12"/>
  <c r="V2820" i="12"/>
  <c r="V2893" i="12"/>
  <c r="V521" i="12"/>
  <c r="V860" i="12"/>
  <c r="V1124" i="12"/>
  <c r="V1304" i="12"/>
  <c r="V1474" i="12"/>
  <c r="V1619" i="12"/>
  <c r="V1751" i="12"/>
  <c r="V1882" i="12"/>
  <c r="V1995" i="12"/>
  <c r="V2101" i="12"/>
  <c r="V2204" i="12"/>
  <c r="V2293" i="12"/>
  <c r="V2372" i="12"/>
  <c r="V2447" i="12"/>
  <c r="V2521" i="12"/>
  <c r="V2595" i="12"/>
  <c r="V2670" i="12"/>
  <c r="V2745" i="12"/>
  <c r="V2821" i="12"/>
  <c r="V2894" i="12"/>
  <c r="V426" i="12"/>
  <c r="V800" i="12"/>
  <c r="V1073" i="12"/>
  <c r="V1265" i="12"/>
  <c r="V1435" i="12"/>
  <c r="V1589" i="12"/>
  <c r="V1721" i="12"/>
  <c r="V1852" i="12"/>
  <c r="V1971" i="12"/>
  <c r="V2076" i="12"/>
  <c r="V2180" i="12"/>
  <c r="V2272" i="12"/>
  <c r="V2353" i="12"/>
  <c r="V2429" i="12"/>
  <c r="V2504" i="12"/>
  <c r="V2577" i="12"/>
  <c r="V2653" i="12"/>
  <c r="V2727" i="12"/>
  <c r="V2803" i="12"/>
  <c r="V2878" i="12"/>
  <c r="V376" i="12"/>
  <c r="V768" i="12"/>
  <c r="V1041" i="12"/>
  <c r="V1244" i="12"/>
  <c r="V1416" i="12"/>
  <c r="V1574" i="12"/>
  <c r="V1706" i="12"/>
  <c r="V1837" i="12"/>
  <c r="V1960" i="12"/>
  <c r="V152" i="12"/>
  <c r="V645" i="12"/>
  <c r="V944" i="12"/>
  <c r="V1184" i="12"/>
  <c r="V1354" i="12"/>
  <c r="V1525" i="12"/>
  <c r="V1658" i="12"/>
  <c r="V1790" i="12"/>
  <c r="V1921" i="12"/>
  <c r="V2027" i="12"/>
  <c r="V107" i="12"/>
  <c r="V619" i="12"/>
  <c r="V70" i="12"/>
  <c r="V582" i="12"/>
  <c r="V391" i="12"/>
  <c r="V321" i="12"/>
  <c r="V974" i="12"/>
  <c r="V1486" i="12"/>
  <c r="V783" i="12"/>
  <c r="V1295" i="12"/>
  <c r="V668" i="12"/>
  <c r="V313" i="12"/>
  <c r="V1139" i="12"/>
  <c r="V972" i="12"/>
  <c r="V1152" i="12"/>
  <c r="V1766" i="12"/>
  <c r="V1098" i="12"/>
  <c r="V1735" i="12"/>
  <c r="V2257" i="12"/>
  <c r="V1232" i="12"/>
  <c r="V1827" i="12"/>
  <c r="V2346" i="12"/>
  <c r="V2871" i="12"/>
  <c r="V1321" i="12"/>
  <c r="V1895" i="12"/>
  <c r="V1148" i="12"/>
  <c r="V2215" i="12"/>
  <c r="V2829" i="12"/>
  <c r="V1636" i="12"/>
  <c r="V2456" i="12"/>
  <c r="V480" i="12"/>
  <c r="V1984" i="12"/>
  <c r="V2662" i="12"/>
  <c r="V1266" i="12"/>
  <c r="V977" i="12"/>
  <c r="V2119" i="12"/>
  <c r="V1089" i="12"/>
  <c r="V2131" i="12"/>
  <c r="V2527" i="12"/>
  <c r="V2798" i="12"/>
  <c r="U136" i="12"/>
  <c r="U282" i="12"/>
  <c r="U467" i="12"/>
  <c r="V1340" i="12"/>
  <c r="V2107" i="12"/>
  <c r="V2515" i="12"/>
  <c r="V2769" i="12"/>
  <c r="U6" i="12"/>
  <c r="U137" i="12"/>
  <c r="U267" i="12"/>
  <c r="U395" i="12"/>
  <c r="U525" i="12"/>
  <c r="V1234" i="12"/>
  <c r="V1991" i="12"/>
  <c r="V2350" i="12"/>
  <c r="V2590" i="12"/>
  <c r="V2816" i="12"/>
  <c r="U31" i="12"/>
  <c r="U122" i="12"/>
  <c r="U212" i="12"/>
  <c r="U292" i="12"/>
  <c r="U380" i="12"/>
  <c r="V1050" i="12"/>
  <c r="V1532" i="12"/>
  <c r="V1877" i="12"/>
  <c r="V2136" i="12"/>
  <c r="V2308" i="12"/>
  <c r="V2430" i="12"/>
  <c r="V2546" i="12"/>
  <c r="V2667" i="12"/>
  <c r="V2787" i="12"/>
  <c r="V2905" i="12"/>
  <c r="U16" i="12"/>
  <c r="U82" i="12"/>
  <c r="U149" i="12"/>
  <c r="U213" i="12"/>
  <c r="U277" i="12"/>
  <c r="U341" i="12"/>
  <c r="U405" i="12"/>
  <c r="U470" i="12"/>
  <c r="U535" i="12"/>
  <c r="V665" i="12"/>
  <c r="V1314" i="12"/>
  <c r="V1713" i="12"/>
  <c r="V2032" i="12"/>
  <c r="V2243" i="12"/>
  <c r="V2369" i="12"/>
  <c r="V2490" i="12"/>
  <c r="V2610" i="12"/>
  <c r="V2730" i="12"/>
  <c r="V2851" i="12"/>
  <c r="U49" i="12"/>
  <c r="U116" i="12"/>
  <c r="U182" i="12"/>
  <c r="U246" i="12"/>
  <c r="U310" i="12"/>
  <c r="U374" i="12"/>
  <c r="U439" i="12"/>
  <c r="U503" i="12"/>
  <c r="V401" i="12"/>
  <c r="V1208" i="12"/>
  <c r="V1631" i="12"/>
  <c r="V1967" i="12"/>
  <c r="V2198" i="12"/>
  <c r="V2341" i="12"/>
  <c r="V2462" i="12"/>
  <c r="V2581" i="12"/>
  <c r="V2702" i="12"/>
  <c r="V2824" i="12"/>
  <c r="U34" i="12"/>
  <c r="U101" i="12"/>
  <c r="U167" i="12"/>
  <c r="U231" i="12"/>
  <c r="U295" i="12"/>
  <c r="U359" i="12"/>
  <c r="V1381" i="12"/>
  <c r="V2388" i="12"/>
  <c r="V2870" i="12"/>
  <c r="U59" i="12"/>
  <c r="U320" i="12"/>
  <c r="U488" i="12"/>
  <c r="U589" i="12"/>
  <c r="U654" i="12"/>
  <c r="U720" i="12"/>
  <c r="U786" i="12"/>
  <c r="U852" i="12"/>
  <c r="U918" i="12"/>
  <c r="V1164" i="12"/>
  <c r="V2331" i="12"/>
  <c r="V2809" i="12"/>
  <c r="U28" i="12"/>
  <c r="U289" i="12"/>
  <c r="U473" i="12"/>
  <c r="U582" i="12"/>
  <c r="U646" i="12"/>
  <c r="U713" i="12"/>
  <c r="U779" i="12"/>
  <c r="U845" i="12"/>
  <c r="V1812" i="12"/>
  <c r="V2524" i="12"/>
  <c r="U134" i="12"/>
  <c r="U392" i="12"/>
  <c r="U522" i="12"/>
  <c r="U607" i="12"/>
  <c r="U673" i="12"/>
  <c r="U739" i="12"/>
  <c r="U805" i="12"/>
  <c r="U871" i="12"/>
  <c r="U937" i="12"/>
  <c r="V1644" i="12"/>
  <c r="V2467" i="12"/>
  <c r="U103" i="12"/>
  <c r="U361" i="12"/>
  <c r="U509" i="12"/>
  <c r="U600" i="12"/>
  <c r="U666" i="12"/>
  <c r="U732" i="12"/>
  <c r="U798" i="12"/>
  <c r="U864" i="12"/>
  <c r="U929" i="12"/>
  <c r="V987" i="12"/>
  <c r="V2296" i="12"/>
  <c r="V2778" i="12"/>
  <c r="U11" i="12"/>
  <c r="U272" i="12"/>
  <c r="U464" i="12"/>
  <c r="U577" i="12"/>
  <c r="U641" i="12"/>
  <c r="U708" i="12"/>
  <c r="U774" i="12"/>
  <c r="U840" i="12"/>
  <c r="U906" i="12"/>
  <c r="U971" i="12"/>
  <c r="V2015" i="12"/>
  <c r="V2600" i="12"/>
  <c r="U177" i="12"/>
  <c r="U416" i="12"/>
  <c r="U546" i="12"/>
  <c r="U618" i="12"/>
  <c r="U684" i="12"/>
  <c r="U750" i="12"/>
  <c r="U816" i="12"/>
  <c r="U882" i="12"/>
  <c r="V1082" i="12"/>
  <c r="V2311" i="12"/>
  <c r="V2795" i="12"/>
  <c r="U19" i="12"/>
  <c r="U280" i="12"/>
  <c r="U466" i="12"/>
  <c r="U579" i="12"/>
  <c r="U643" i="12"/>
  <c r="U710" i="12"/>
  <c r="U776" i="12"/>
  <c r="U842" i="12"/>
  <c r="U469" i="12"/>
  <c r="U924" i="12"/>
  <c r="U1016" i="12"/>
  <c r="U1082" i="12"/>
  <c r="U1147" i="12"/>
  <c r="U1214" i="12"/>
  <c r="U1279" i="12"/>
  <c r="U1345" i="12"/>
  <c r="U1411" i="12"/>
  <c r="U1477" i="12"/>
  <c r="U1542" i="12"/>
  <c r="U1608" i="12"/>
  <c r="U1674" i="12"/>
  <c r="U1740" i="12"/>
  <c r="U1805" i="12"/>
  <c r="U1870" i="12"/>
  <c r="U1936" i="12"/>
  <c r="U2001" i="12"/>
  <c r="U2067" i="12"/>
  <c r="U2133" i="12"/>
  <c r="U485" i="12"/>
  <c r="U925" i="12"/>
  <c r="U1017" i="12"/>
  <c r="U1083" i="12"/>
  <c r="U1148" i="12"/>
  <c r="U1215" i="12"/>
  <c r="U1280" i="12"/>
  <c r="U1346" i="12"/>
  <c r="U1412" i="12"/>
  <c r="U1478" i="12"/>
  <c r="U1543" i="12"/>
  <c r="U1609" i="12"/>
  <c r="U1675" i="12"/>
  <c r="U1741" i="12"/>
  <c r="U1806" i="12"/>
  <c r="U1871" i="12"/>
  <c r="U1937" i="12"/>
  <c r="U2002" i="12"/>
  <c r="U2068" i="12"/>
  <c r="U2134" i="12"/>
  <c r="U2198" i="12"/>
  <c r="U345" i="12"/>
  <c r="U908" i="12"/>
  <c r="U1010" i="12"/>
  <c r="U1076" i="12"/>
  <c r="U1141" i="12"/>
  <c r="U1207" i="12"/>
  <c r="U1273" i="12"/>
  <c r="U1339" i="12"/>
  <c r="U1405" i="12"/>
  <c r="U1471" i="12"/>
  <c r="U1536" i="12"/>
  <c r="U1602" i="12"/>
  <c r="U1667" i="12"/>
  <c r="U1733" i="12"/>
  <c r="U1799" i="12"/>
  <c r="U1864" i="12"/>
  <c r="U1930" i="12"/>
  <c r="U1995" i="12"/>
  <c r="U2061" i="12"/>
  <c r="U2127" i="12"/>
  <c r="U517" i="12"/>
  <c r="U933" i="12"/>
  <c r="U1019" i="12"/>
  <c r="U1085" i="12"/>
  <c r="U1150" i="12"/>
  <c r="U1217" i="12"/>
  <c r="U1283" i="12"/>
  <c r="U1348" i="12"/>
  <c r="U1414" i="12"/>
  <c r="U1480" i="12"/>
  <c r="U1545" i="12"/>
  <c r="U1611" i="12"/>
  <c r="U1677" i="12"/>
  <c r="U1743" i="12"/>
  <c r="U1809" i="12"/>
  <c r="U1873" i="12"/>
  <c r="U1939" i="12"/>
  <c r="U2004" i="12"/>
  <c r="U2070" i="12"/>
  <c r="U2136" i="12"/>
  <c r="V2554" i="12"/>
  <c r="U810" i="12"/>
  <c r="U987" i="12"/>
  <c r="U1053" i="12"/>
  <c r="U1118" i="12"/>
  <c r="U1185" i="12"/>
  <c r="U1250" i="12"/>
  <c r="U1316" i="12"/>
  <c r="U1382" i="12"/>
  <c r="U1448" i="12"/>
  <c r="U1514" i="12"/>
  <c r="U1579" i="12"/>
  <c r="U1645" i="12"/>
  <c r="U1711" i="12"/>
  <c r="U1777" i="12"/>
  <c r="U1842" i="12"/>
  <c r="U1907" i="12"/>
  <c r="U1973" i="12"/>
  <c r="U2038" i="12"/>
  <c r="U2104" i="12"/>
  <c r="U2169" i="12"/>
  <c r="U550" i="12"/>
  <c r="U936" i="12"/>
  <c r="U1021" i="12"/>
  <c r="U1087" i="12"/>
  <c r="U1153" i="12"/>
  <c r="U1219" i="12"/>
  <c r="U1285" i="12"/>
  <c r="U1350" i="12"/>
  <c r="U1416" i="12"/>
  <c r="U1482" i="12"/>
  <c r="U1547" i="12"/>
  <c r="U1613" i="12"/>
  <c r="U1679" i="12"/>
  <c r="U1745" i="12"/>
  <c r="U1811" i="12"/>
  <c r="U1875" i="12"/>
  <c r="U1941" i="12"/>
  <c r="U2006" i="12"/>
  <c r="U2072" i="12"/>
  <c r="V2675" i="12"/>
  <c r="U826" i="12"/>
  <c r="U989" i="12"/>
  <c r="U1055" i="12"/>
  <c r="U1120" i="12"/>
  <c r="U1187" i="12"/>
  <c r="U1253" i="12"/>
  <c r="U1318" i="12"/>
  <c r="U1384" i="12"/>
  <c r="U1450" i="12"/>
  <c r="U1516" i="12"/>
  <c r="U1581" i="12"/>
  <c r="U1647" i="12"/>
  <c r="U1713" i="12"/>
  <c r="U1779" i="12"/>
  <c r="U1844" i="12"/>
  <c r="U1910" i="12"/>
  <c r="U1975" i="12"/>
  <c r="U2040" i="12"/>
  <c r="U2106" i="12"/>
  <c r="U2171" i="12"/>
  <c r="U876" i="12"/>
  <c r="U1459" i="12"/>
  <c r="U1984" i="12"/>
  <c r="U2216" i="12"/>
  <c r="U249" i="12"/>
  <c r="U1402" i="12"/>
  <c r="U1927" i="12"/>
  <c r="U2207" i="12"/>
  <c r="U2275" i="12"/>
  <c r="U2339" i="12"/>
  <c r="U2405" i="12"/>
  <c r="U2471" i="12"/>
  <c r="U2535" i="12"/>
  <c r="U2600" i="12"/>
  <c r="U2666" i="12"/>
  <c r="U2732" i="12"/>
  <c r="U2798" i="12"/>
  <c r="U2864" i="12"/>
  <c r="T14" i="12"/>
  <c r="T80" i="12"/>
  <c r="U453" i="12"/>
  <c r="U1410" i="12"/>
  <c r="U1935" i="12"/>
  <c r="U2208" i="12"/>
  <c r="U2276" i="12"/>
  <c r="U2340" i="12"/>
  <c r="U2406" i="12"/>
  <c r="U2472" i="12"/>
  <c r="U2536" i="12"/>
  <c r="U2601" i="12"/>
  <c r="U2667" i="12"/>
  <c r="U2733" i="12"/>
  <c r="U2799" i="12"/>
  <c r="U2865" i="12"/>
  <c r="T15" i="12"/>
  <c r="T81" i="12"/>
  <c r="T147" i="12"/>
  <c r="T212" i="12"/>
  <c r="T276" i="12"/>
  <c r="U1352" i="12"/>
  <c r="U1877" i="12"/>
  <c r="U2199" i="12"/>
  <c r="U2269" i="12"/>
  <c r="U2333" i="12"/>
  <c r="U2399" i="12"/>
  <c r="U2464" i="12"/>
  <c r="U2529" i="12"/>
  <c r="U2594" i="12"/>
  <c r="U2660" i="12"/>
  <c r="U2725" i="12"/>
  <c r="U2792" i="12"/>
  <c r="U2857" i="12"/>
  <c r="U2923" i="12"/>
  <c r="T8" i="12"/>
  <c r="T73" i="12"/>
  <c r="T140" i="12"/>
  <c r="T205" i="12"/>
  <c r="T269" i="12"/>
  <c r="T333" i="12"/>
  <c r="T397" i="12"/>
  <c r="T462" i="12"/>
  <c r="T527" i="12"/>
  <c r="U1031" i="12"/>
  <c r="U1557" i="12"/>
  <c r="U2082" i="12"/>
  <c r="U2230" i="12"/>
  <c r="U2294" i="12"/>
  <c r="U2358" i="12"/>
  <c r="U2424" i="12"/>
  <c r="U2490" i="12"/>
  <c r="U2554" i="12"/>
  <c r="U2620" i="12"/>
  <c r="U2686" i="12"/>
  <c r="U2751" i="12"/>
  <c r="U2817" i="12"/>
  <c r="U2883" i="12"/>
  <c r="T33" i="12"/>
  <c r="T100" i="12"/>
  <c r="T166" i="12"/>
  <c r="T230" i="12"/>
  <c r="T294" i="12"/>
  <c r="T358" i="12"/>
  <c r="T422" i="12"/>
  <c r="T487" i="12"/>
  <c r="T552" i="12"/>
  <c r="U1171" i="12"/>
  <c r="U1697" i="12"/>
  <c r="U2159" i="12"/>
  <c r="U2247" i="12"/>
  <c r="U2311" i="12"/>
  <c r="U2376" i="12"/>
  <c r="U2442" i="12"/>
  <c r="U2507" i="12"/>
  <c r="U2571" i="12"/>
  <c r="U2637" i="12"/>
  <c r="U2703" i="12"/>
  <c r="U2769" i="12"/>
  <c r="U2835" i="12"/>
  <c r="U2901" i="12"/>
  <c r="T50" i="12"/>
  <c r="T117" i="12"/>
  <c r="T183" i="12"/>
  <c r="T247" i="12"/>
  <c r="U1048" i="12"/>
  <c r="U1574" i="12"/>
  <c r="U2099" i="12"/>
  <c r="U2232" i="12"/>
  <c r="U2296" i="12"/>
  <c r="U2360" i="12"/>
  <c r="U2426" i="12"/>
  <c r="U2492" i="12"/>
  <c r="U2556" i="12"/>
  <c r="U2622" i="12"/>
  <c r="U2688" i="12"/>
  <c r="U2753" i="12"/>
  <c r="U2820" i="12"/>
  <c r="U2885" i="12"/>
  <c r="T35" i="12"/>
  <c r="T102" i="12"/>
  <c r="T168" i="12"/>
  <c r="T232" i="12"/>
  <c r="T296" i="12"/>
  <c r="T360" i="12"/>
  <c r="T424" i="12"/>
  <c r="T489" i="12"/>
  <c r="T554" i="12"/>
  <c r="U2321" i="12"/>
  <c r="U2582" i="12"/>
  <c r="U2845" i="12"/>
  <c r="T218" i="12"/>
  <c r="T346" i="12"/>
  <c r="T450" i="12"/>
  <c r="T553" i="12"/>
  <c r="T624" i="12"/>
  <c r="T690" i="12"/>
  <c r="T756" i="12"/>
  <c r="T822" i="12"/>
  <c r="T888" i="12"/>
  <c r="T954" i="12"/>
  <c r="T1020" i="12"/>
  <c r="T1086" i="12"/>
  <c r="T1151" i="12"/>
  <c r="T1218" i="12"/>
  <c r="T1284" i="12"/>
  <c r="T1349" i="12"/>
  <c r="T1415" i="12"/>
  <c r="U1648" i="12"/>
  <c r="U2453" i="12"/>
  <c r="U2714" i="12"/>
  <c r="T128" i="12"/>
  <c r="T297" i="12"/>
  <c r="T399" i="12"/>
  <c r="T501" i="12"/>
  <c r="T593" i="12"/>
  <c r="T659" i="12"/>
  <c r="T725" i="12"/>
  <c r="T790" i="12"/>
  <c r="T856" i="12"/>
  <c r="T922" i="12"/>
  <c r="T988" i="12"/>
  <c r="T1054" i="12"/>
  <c r="T1119" i="12"/>
  <c r="T1186" i="12"/>
  <c r="T1251" i="12"/>
  <c r="T1317" i="12"/>
  <c r="T1383" i="12"/>
  <c r="T1449" i="12"/>
  <c r="U2329" i="12"/>
  <c r="U2590" i="12"/>
  <c r="U2853" i="12"/>
  <c r="T4" i="12"/>
  <c r="T225" i="12"/>
  <c r="T348" i="12"/>
  <c r="T452" i="12"/>
  <c r="T556" i="12"/>
  <c r="T626" i="12"/>
  <c r="T693" i="12"/>
  <c r="T758" i="12"/>
  <c r="T824" i="12"/>
  <c r="T890" i="12"/>
  <c r="T956" i="12"/>
  <c r="T1022" i="12"/>
  <c r="T1088" i="12"/>
  <c r="T1154" i="12"/>
  <c r="T1220" i="12"/>
  <c r="T1286" i="12"/>
  <c r="T1351" i="12"/>
  <c r="T1417" i="12"/>
  <c r="U2257" i="12"/>
  <c r="U2526" i="12"/>
  <c r="U2789" i="12"/>
  <c r="T185" i="12"/>
  <c r="T324" i="12"/>
  <c r="T427" i="12"/>
  <c r="T532" i="12"/>
  <c r="T611" i="12"/>
  <c r="T677" i="12"/>
  <c r="T743" i="12"/>
  <c r="T809" i="12"/>
  <c r="T875" i="12"/>
  <c r="T941" i="12"/>
  <c r="T1007" i="12"/>
  <c r="T1073" i="12"/>
  <c r="T1138" i="12"/>
  <c r="T1204" i="12"/>
  <c r="T1270" i="12"/>
  <c r="T1336" i="12"/>
  <c r="T1402" i="12"/>
  <c r="U1845" i="12"/>
  <c r="U2469" i="12"/>
  <c r="U2730" i="12"/>
  <c r="T144" i="12"/>
  <c r="T300" i="12"/>
  <c r="T403" i="12"/>
  <c r="T507" i="12"/>
  <c r="T596" i="12"/>
  <c r="T662" i="12"/>
  <c r="T728" i="12"/>
  <c r="T794" i="12"/>
  <c r="T859" i="12"/>
  <c r="T925" i="12"/>
  <c r="T991" i="12"/>
  <c r="T1057" i="12"/>
  <c r="T1123" i="12"/>
  <c r="T1189" i="12"/>
  <c r="T1255" i="12"/>
  <c r="T1320" i="12"/>
  <c r="T1386" i="12"/>
  <c r="T1452" i="12"/>
  <c r="U2371" i="12"/>
  <c r="U2632" i="12"/>
  <c r="U2896" i="12"/>
  <c r="T45" i="12"/>
  <c r="T251" i="12"/>
  <c r="T367" i="12"/>
  <c r="T469" i="12"/>
  <c r="T573" i="12"/>
  <c r="T637" i="12"/>
  <c r="T704" i="12"/>
  <c r="T770" i="12"/>
  <c r="T836" i="12"/>
  <c r="T901" i="12"/>
  <c r="T967" i="12"/>
  <c r="T1033" i="12"/>
  <c r="T1099" i="12"/>
  <c r="T1165" i="12"/>
  <c r="T1231" i="12"/>
  <c r="T1297" i="12"/>
  <c r="T1363" i="12"/>
  <c r="T1429" i="12"/>
  <c r="U2282" i="12"/>
  <c r="U2542" i="12"/>
  <c r="U2805" i="12"/>
  <c r="T194" i="12"/>
  <c r="T331" i="12"/>
  <c r="T434" i="12"/>
  <c r="T539" i="12"/>
  <c r="T615" i="12"/>
  <c r="T681" i="12"/>
  <c r="T747" i="12"/>
  <c r="T813" i="12"/>
  <c r="T879" i="12"/>
  <c r="T945" i="12"/>
  <c r="T1011" i="12"/>
  <c r="T1077" i="12"/>
  <c r="T1142" i="12"/>
  <c r="T316" i="12"/>
  <c r="T936" i="12"/>
  <c r="T1314" i="12"/>
  <c r="T1489" i="12"/>
  <c r="T1554" i="12"/>
  <c r="T1620" i="12"/>
  <c r="T1686" i="12"/>
  <c r="T1752" i="12"/>
  <c r="T1818" i="12"/>
  <c r="T1883" i="12"/>
  <c r="T1949" i="12"/>
  <c r="T2013" i="12"/>
  <c r="T2079" i="12"/>
  <c r="T2145" i="12"/>
  <c r="T2209" i="12"/>
  <c r="T2273" i="12"/>
  <c r="T2337" i="12"/>
  <c r="T2403" i="12"/>
  <c r="T2469" i="12"/>
  <c r="T2533" i="12"/>
  <c r="T193" i="12"/>
  <c r="T878" i="12"/>
  <c r="T1283" i="12"/>
  <c r="T1482" i="12"/>
  <c r="T1547" i="12"/>
  <c r="T1613" i="12"/>
  <c r="T1679" i="12"/>
  <c r="T1745" i="12"/>
  <c r="T1811" i="12"/>
  <c r="T1875" i="12"/>
  <c r="T1941" i="12"/>
  <c r="T2006" i="12"/>
  <c r="T2072" i="12"/>
  <c r="T2138" i="12"/>
  <c r="T2202" i="12"/>
  <c r="T2266" i="12"/>
  <c r="T2330" i="12"/>
  <c r="T2395" i="12"/>
  <c r="T2461" i="12"/>
  <c r="T2526" i="12"/>
  <c r="T2591" i="12"/>
  <c r="T2657" i="12"/>
  <c r="V171" i="12"/>
  <c r="V60" i="12"/>
  <c r="V134" i="12"/>
  <c r="V646" i="12"/>
  <c r="V455" i="12"/>
  <c r="V424" i="12"/>
  <c r="V1038" i="12"/>
  <c r="V49" i="12"/>
  <c r="V847" i="12"/>
  <c r="V1359" i="12"/>
  <c r="V771" i="12"/>
  <c r="V448" i="12"/>
  <c r="V160" i="12"/>
  <c r="V1058" i="12"/>
  <c r="V1237" i="12"/>
  <c r="V1832" i="12"/>
  <c r="V1197" i="12"/>
  <c r="V1801" i="12"/>
  <c r="V2321" i="12"/>
  <c r="V1316" i="12"/>
  <c r="V1892" i="12"/>
  <c r="V2412" i="12"/>
  <c r="V349" i="12"/>
  <c r="V1405" i="12"/>
  <c r="V1961" i="12"/>
  <c r="V1322" i="12"/>
  <c r="V2302" i="12"/>
  <c r="V2901" i="12"/>
  <c r="V1767" i="12"/>
  <c r="V2530" i="12"/>
  <c r="V833" i="12"/>
  <c r="V2090" i="12"/>
  <c r="V2737" i="12"/>
  <c r="V1436" i="12"/>
  <c r="V1204" i="12"/>
  <c r="V2132" i="12"/>
  <c r="V1448" i="12"/>
  <c r="V2156" i="12"/>
  <c r="V2543" i="12"/>
  <c r="V2887" i="12"/>
  <c r="U145" i="12"/>
  <c r="U330" i="12"/>
  <c r="U475" i="12"/>
  <c r="V1403" i="12"/>
  <c r="V2253" i="12"/>
  <c r="V2528" i="12"/>
  <c r="V2799" i="12"/>
  <c r="U22" i="12"/>
  <c r="U155" i="12"/>
  <c r="U283" i="12"/>
  <c r="U411" i="12"/>
  <c r="U541" i="12"/>
  <c r="V1356" i="12"/>
  <c r="V2057" i="12"/>
  <c r="V2383" i="12"/>
  <c r="V2620" i="12"/>
  <c r="V2833" i="12"/>
  <c r="U39" i="12"/>
  <c r="U139" i="12"/>
  <c r="U220" i="12"/>
  <c r="U300" i="12"/>
  <c r="U396" i="12"/>
  <c r="V1116" i="12"/>
  <c r="V1578" i="12"/>
  <c r="V1926" i="12"/>
  <c r="V2163" i="12"/>
  <c r="V2323" i="12"/>
  <c r="V2443" i="12"/>
  <c r="V2562" i="12"/>
  <c r="V2684" i="12"/>
  <c r="V2804" i="12"/>
  <c r="V2916" i="12"/>
  <c r="U24" i="12"/>
  <c r="U90" i="12"/>
  <c r="U157" i="12"/>
  <c r="U221" i="12"/>
  <c r="U285" i="12"/>
  <c r="U349" i="12"/>
  <c r="U413" i="12"/>
  <c r="U478" i="12"/>
  <c r="U543" i="12"/>
  <c r="V784" i="12"/>
  <c r="V1362" i="12"/>
  <c r="V1759" i="12"/>
  <c r="V2065" i="12"/>
  <c r="V2256" i="12"/>
  <c r="V2385" i="12"/>
  <c r="V2506" i="12"/>
  <c r="V2626" i="12"/>
  <c r="V2743" i="12"/>
  <c r="V2865" i="12"/>
  <c r="U57" i="12"/>
  <c r="U124" i="12"/>
  <c r="U190" i="12"/>
  <c r="U254" i="12"/>
  <c r="U318" i="12"/>
  <c r="U382" i="12"/>
  <c r="U447" i="12"/>
  <c r="U511" i="12"/>
  <c r="V561" i="12"/>
  <c r="V1256" i="12"/>
  <c r="V1677" i="12"/>
  <c r="V2003" i="12"/>
  <c r="V2223" i="12"/>
  <c r="V2357" i="12"/>
  <c r="V2479" i="12"/>
  <c r="V2597" i="12"/>
  <c r="V2715" i="12"/>
  <c r="V2836" i="12"/>
  <c r="U42" i="12"/>
  <c r="U109" i="12"/>
  <c r="U175" i="12"/>
  <c r="U239" i="12"/>
  <c r="U303" i="12"/>
  <c r="U367" i="12"/>
  <c r="V1594" i="12"/>
  <c r="V2450" i="12"/>
  <c r="V2922" i="12"/>
  <c r="U94" i="12"/>
  <c r="U352" i="12"/>
  <c r="U504" i="12"/>
  <c r="U597" i="12"/>
  <c r="U663" i="12"/>
  <c r="U729" i="12"/>
  <c r="U795" i="12"/>
  <c r="U860" i="12"/>
  <c r="U926" i="12"/>
  <c r="V1384" i="12"/>
  <c r="V2392" i="12"/>
  <c r="V2872" i="12"/>
  <c r="U60" i="12"/>
  <c r="U321" i="12"/>
  <c r="U489" i="12"/>
  <c r="U590" i="12"/>
  <c r="U655" i="12"/>
  <c r="U721" i="12"/>
  <c r="U787" i="12"/>
  <c r="U853" i="12"/>
  <c r="V1976" i="12"/>
  <c r="V2582" i="12"/>
  <c r="U168" i="12"/>
  <c r="U409" i="12"/>
  <c r="U539" i="12"/>
  <c r="U615" i="12"/>
  <c r="U681" i="12"/>
  <c r="U747" i="12"/>
  <c r="U813" i="12"/>
  <c r="U879" i="12"/>
  <c r="U945" i="12"/>
  <c r="V1813" i="12"/>
  <c r="V2525" i="12"/>
  <c r="U135" i="12"/>
  <c r="U393" i="12"/>
  <c r="U526" i="12"/>
  <c r="U608" i="12"/>
  <c r="U674" i="12"/>
  <c r="U740" i="12"/>
  <c r="U806" i="12"/>
  <c r="U872" i="12"/>
  <c r="U938" i="12"/>
  <c r="V1272" i="12"/>
  <c r="V2358" i="12"/>
  <c r="V2837" i="12"/>
  <c r="U43" i="12"/>
  <c r="U304" i="12"/>
  <c r="U480" i="12"/>
  <c r="U585" i="12"/>
  <c r="U649" i="12"/>
  <c r="U716" i="12"/>
  <c r="U782" i="12"/>
  <c r="U848" i="12"/>
  <c r="U914" i="12"/>
  <c r="U980" i="12"/>
  <c r="V2124" i="12"/>
  <c r="V2659" i="12"/>
  <c r="U209" i="12"/>
  <c r="U432" i="12"/>
  <c r="U560" i="12"/>
  <c r="U626" i="12"/>
  <c r="U693" i="12"/>
  <c r="U758" i="12"/>
  <c r="U824" i="12"/>
  <c r="U890" i="12"/>
  <c r="V1320" i="12"/>
  <c r="V2375" i="12"/>
  <c r="V2853" i="12"/>
  <c r="U51" i="12"/>
  <c r="U312" i="12"/>
  <c r="U482" i="12"/>
  <c r="U587" i="12"/>
  <c r="U651" i="12"/>
  <c r="U718" i="12"/>
  <c r="U784" i="12"/>
  <c r="U850" i="12"/>
  <c r="U580" i="12"/>
  <c r="U942" i="12"/>
  <c r="U1024" i="12"/>
  <c r="U1090" i="12"/>
  <c r="U1156" i="12"/>
  <c r="U1222" i="12"/>
  <c r="U1288" i="12"/>
  <c r="U1354" i="12"/>
  <c r="U1419" i="12"/>
  <c r="U1485" i="12"/>
  <c r="U1550" i="12"/>
  <c r="U1616" i="12"/>
  <c r="U1682" i="12"/>
  <c r="U1748" i="12"/>
  <c r="U1814" i="12"/>
  <c r="U1879" i="12"/>
  <c r="U1944" i="12"/>
  <c r="U2009" i="12"/>
  <c r="U2075" i="12"/>
  <c r="U2141" i="12"/>
  <c r="U588" i="12"/>
  <c r="U944" i="12"/>
  <c r="U1025" i="12"/>
  <c r="U1091" i="12"/>
  <c r="U1157" i="12"/>
  <c r="U1223" i="12"/>
  <c r="U1289" i="12"/>
  <c r="U1355" i="12"/>
  <c r="U1420" i="12"/>
  <c r="U1486" i="12"/>
  <c r="U1551" i="12"/>
  <c r="U1617" i="12"/>
  <c r="U1683" i="12"/>
  <c r="U1749" i="12"/>
  <c r="U1815" i="12"/>
  <c r="U1880" i="12"/>
  <c r="U1945" i="12"/>
  <c r="U2010" i="12"/>
  <c r="U2076" i="12"/>
  <c r="U2142" i="12"/>
  <c r="U2206" i="12"/>
  <c r="U501" i="12"/>
  <c r="U927" i="12"/>
  <c r="U1018" i="12"/>
  <c r="U1084" i="12"/>
  <c r="U1149" i="12"/>
  <c r="U1216" i="12"/>
  <c r="U1281" i="12"/>
  <c r="U1347" i="12"/>
  <c r="U1413" i="12"/>
  <c r="U1479" i="12"/>
  <c r="U1544" i="12"/>
  <c r="U1610" i="12"/>
  <c r="U1676" i="12"/>
  <c r="U1742" i="12"/>
  <c r="U1807" i="12"/>
  <c r="U1872" i="12"/>
  <c r="U1938" i="12"/>
  <c r="U2003" i="12"/>
  <c r="U2069" i="12"/>
  <c r="U2135" i="12"/>
  <c r="U604" i="12"/>
  <c r="U949" i="12"/>
  <c r="U1027" i="12"/>
  <c r="U1093" i="12"/>
  <c r="U1159" i="12"/>
  <c r="U1225" i="12"/>
  <c r="U1291" i="12"/>
  <c r="U1357" i="12"/>
  <c r="U1423" i="12"/>
  <c r="U1488" i="12"/>
  <c r="U1553" i="12"/>
  <c r="U1619" i="12"/>
  <c r="U1685" i="12"/>
  <c r="U1751" i="12"/>
  <c r="U1817" i="12"/>
  <c r="U1882" i="12"/>
  <c r="U1947" i="12"/>
  <c r="U2012" i="12"/>
  <c r="U2078" i="12"/>
  <c r="U2144" i="12"/>
  <c r="U868" i="12"/>
  <c r="U995" i="12"/>
  <c r="U1061" i="12"/>
  <c r="U1127" i="12"/>
  <c r="U1193" i="12"/>
  <c r="U1259" i="12"/>
  <c r="U1325" i="12"/>
  <c r="U1390" i="12"/>
  <c r="U1456" i="12"/>
  <c r="U1522" i="12"/>
  <c r="U1587" i="12"/>
  <c r="U1653" i="12"/>
  <c r="U1719" i="12"/>
  <c r="U1785" i="12"/>
  <c r="U1850" i="12"/>
  <c r="U1916" i="12"/>
  <c r="U1981" i="12"/>
  <c r="U2046" i="12"/>
  <c r="U2112" i="12"/>
  <c r="U2177" i="12"/>
  <c r="U620" i="12"/>
  <c r="U952" i="12"/>
  <c r="U1029" i="12"/>
  <c r="U1095" i="12"/>
  <c r="U1161" i="12"/>
  <c r="U1227" i="12"/>
  <c r="U1293" i="12"/>
  <c r="U1359" i="12"/>
  <c r="U1425" i="12"/>
  <c r="U1490" i="12"/>
  <c r="U1555" i="12"/>
  <c r="U1621" i="12"/>
  <c r="U1687" i="12"/>
  <c r="U1753" i="12"/>
  <c r="U1819" i="12"/>
  <c r="U1884" i="12"/>
  <c r="U1950" i="12"/>
  <c r="U2014" i="12"/>
  <c r="U2080" i="12"/>
  <c r="U875" i="12"/>
  <c r="U997" i="12"/>
  <c r="U1063" i="12"/>
  <c r="U1129" i="12"/>
  <c r="U1195" i="12"/>
  <c r="U1261" i="12"/>
  <c r="U1327" i="12"/>
  <c r="U1393" i="12"/>
  <c r="U1458" i="12"/>
  <c r="U1524" i="12"/>
  <c r="U1589" i="12"/>
  <c r="U1655" i="12"/>
  <c r="U1721" i="12"/>
  <c r="U1787" i="12"/>
  <c r="U1852" i="12"/>
  <c r="U1918" i="12"/>
  <c r="U1983" i="12"/>
  <c r="U2049" i="12"/>
  <c r="U2114" i="12"/>
  <c r="U2179" i="12"/>
  <c r="U998" i="12"/>
  <c r="U1525" i="12"/>
  <c r="U2050" i="12"/>
  <c r="U2226" i="12"/>
  <c r="U899" i="12"/>
  <c r="U1468" i="12"/>
  <c r="U1992" i="12"/>
  <c r="U2217" i="12"/>
  <c r="U2283" i="12"/>
  <c r="U2347" i="12"/>
  <c r="U2413" i="12"/>
  <c r="U2479" i="12"/>
  <c r="U2543" i="12"/>
  <c r="U2609" i="12"/>
  <c r="U2674" i="12"/>
  <c r="U2740" i="12"/>
  <c r="U2806" i="12"/>
  <c r="U2872" i="12"/>
  <c r="T22" i="12"/>
  <c r="T88" i="12"/>
  <c r="U919" i="12"/>
  <c r="U1476" i="12"/>
  <c r="U2000" i="12"/>
  <c r="U2218" i="12"/>
  <c r="U2284" i="12"/>
  <c r="U2348" i="12"/>
  <c r="U2414" i="12"/>
  <c r="U2480" i="12"/>
  <c r="U2544" i="12"/>
  <c r="U2610" i="12"/>
  <c r="U2675" i="12"/>
  <c r="U2741" i="12"/>
  <c r="U2807" i="12"/>
  <c r="U2873" i="12"/>
  <c r="T23" i="12"/>
  <c r="T89" i="12"/>
  <c r="T156" i="12"/>
  <c r="T220" i="12"/>
  <c r="U572" i="12"/>
  <c r="U1418" i="12"/>
  <c r="U1943" i="12"/>
  <c r="U2209" i="12"/>
  <c r="U2277" i="12"/>
  <c r="U2341" i="12"/>
  <c r="U2407" i="12"/>
  <c r="U2473" i="12"/>
  <c r="U2537" i="12"/>
  <c r="U2602" i="12"/>
  <c r="U2668" i="12"/>
  <c r="U2734" i="12"/>
  <c r="U2800" i="12"/>
  <c r="U2866" i="12"/>
  <c r="T16" i="12"/>
  <c r="T82" i="12"/>
  <c r="T149" i="12"/>
  <c r="T213" i="12"/>
  <c r="T277" i="12"/>
  <c r="T341" i="12"/>
  <c r="T405" i="12"/>
  <c r="T470" i="12"/>
  <c r="T535" i="12"/>
  <c r="U1097" i="12"/>
  <c r="U1623" i="12"/>
  <c r="U2132" i="12"/>
  <c r="U2238" i="12"/>
  <c r="U2302" i="12"/>
  <c r="U2366" i="12"/>
  <c r="U2432" i="12"/>
  <c r="U2498" i="12"/>
  <c r="U2562" i="12"/>
  <c r="U2628" i="12"/>
  <c r="U2694" i="12"/>
  <c r="U2760" i="12"/>
  <c r="U2826" i="12"/>
  <c r="U2892" i="12"/>
  <c r="T41" i="12"/>
  <c r="T108" i="12"/>
  <c r="T174" i="12"/>
  <c r="T238" i="12"/>
  <c r="T302" i="12"/>
  <c r="T366" i="12"/>
  <c r="T430" i="12"/>
  <c r="T495" i="12"/>
  <c r="T560" i="12"/>
  <c r="U1237" i="12"/>
  <c r="U1763" i="12"/>
  <c r="U2175" i="12"/>
  <c r="U2255" i="12"/>
  <c r="U2319" i="12"/>
  <c r="U2384" i="12"/>
  <c r="U2450" i="12"/>
  <c r="U2515" i="12"/>
  <c r="U2580" i="12"/>
  <c r="U2645" i="12"/>
  <c r="U2711" i="12"/>
  <c r="U2777" i="12"/>
  <c r="U2843" i="12"/>
  <c r="U2909" i="12"/>
  <c r="T58" i="12"/>
  <c r="T125" i="12"/>
  <c r="T191" i="12"/>
  <c r="T255" i="12"/>
  <c r="U1113" i="12"/>
  <c r="U1640" i="12"/>
  <c r="U2140" i="12"/>
  <c r="U2240" i="12"/>
  <c r="U2304" i="12"/>
  <c r="U2369" i="12"/>
  <c r="U2434" i="12"/>
  <c r="U2500" i="12"/>
  <c r="U2564" i="12"/>
  <c r="U2630" i="12"/>
  <c r="U2696" i="12"/>
  <c r="U2762" i="12"/>
  <c r="U2828" i="12"/>
  <c r="U2894" i="12"/>
  <c r="T43" i="12"/>
  <c r="T110" i="12"/>
  <c r="T176" i="12"/>
  <c r="T240" i="12"/>
  <c r="T304" i="12"/>
  <c r="T368" i="12"/>
  <c r="T432" i="12"/>
  <c r="T497" i="12"/>
  <c r="T562" i="12"/>
  <c r="U2353" i="12"/>
  <c r="U2615" i="12"/>
  <c r="U2878" i="12"/>
  <c r="T28" i="12"/>
  <c r="T241" i="12"/>
  <c r="T359" i="12"/>
  <c r="T461" i="12"/>
  <c r="T565" i="12"/>
  <c r="T632" i="12"/>
  <c r="T699" i="12"/>
  <c r="T765" i="12"/>
  <c r="T830" i="12"/>
  <c r="T896" i="12"/>
  <c r="T962" i="12"/>
  <c r="T1028" i="12"/>
  <c r="T1094" i="12"/>
  <c r="T1160" i="12"/>
  <c r="T1226" i="12"/>
  <c r="T1292" i="12"/>
  <c r="T1358" i="12"/>
  <c r="T1424" i="12"/>
  <c r="U2146" i="12"/>
  <c r="U2486" i="12"/>
  <c r="U2747" i="12"/>
  <c r="T155" i="12"/>
  <c r="T308" i="12"/>
  <c r="T411" i="12"/>
  <c r="T515" i="12"/>
  <c r="T601" i="12"/>
  <c r="T667" i="12"/>
  <c r="T733" i="12"/>
  <c r="T799" i="12"/>
  <c r="T865" i="12"/>
  <c r="T930" i="12"/>
  <c r="T996" i="12"/>
  <c r="T1062" i="12"/>
  <c r="T1128" i="12"/>
  <c r="T1194" i="12"/>
  <c r="T1260" i="12"/>
  <c r="T1326" i="12"/>
  <c r="T1391" i="12"/>
  <c r="T1457" i="12"/>
  <c r="U2361" i="12"/>
  <c r="U2623" i="12"/>
  <c r="U2886" i="12"/>
  <c r="T36" i="12"/>
  <c r="T243" i="12"/>
  <c r="T362" i="12"/>
  <c r="T466" i="12"/>
  <c r="T569" i="12"/>
  <c r="T634" i="12"/>
  <c r="T701" i="12"/>
  <c r="T767" i="12"/>
  <c r="T832" i="12"/>
  <c r="T898" i="12"/>
  <c r="T964" i="12"/>
  <c r="T1030" i="12"/>
  <c r="T1096" i="12"/>
  <c r="T1162" i="12"/>
  <c r="T1228" i="12"/>
  <c r="T1294" i="12"/>
  <c r="T1360" i="12"/>
  <c r="T1426" i="12"/>
  <c r="U2298" i="12"/>
  <c r="U2558" i="12"/>
  <c r="U2822" i="12"/>
  <c r="T203" i="12"/>
  <c r="T338" i="12"/>
  <c r="T442" i="12"/>
  <c r="T545" i="12"/>
  <c r="T619" i="12"/>
  <c r="T685" i="12"/>
  <c r="T751" i="12"/>
  <c r="T817" i="12"/>
  <c r="T883" i="12"/>
  <c r="T949" i="12"/>
  <c r="T1015" i="12"/>
  <c r="T1081" i="12"/>
  <c r="T1146" i="12"/>
  <c r="T1213" i="12"/>
  <c r="T1278" i="12"/>
  <c r="T1344" i="12"/>
  <c r="T1410" i="12"/>
  <c r="U2193" i="12"/>
  <c r="U2501" i="12"/>
  <c r="U2763" i="12"/>
  <c r="T163" i="12"/>
  <c r="T314" i="12"/>
  <c r="T417" i="12"/>
  <c r="T520" i="12"/>
  <c r="T604" i="12"/>
  <c r="T670" i="12"/>
  <c r="T736" i="12"/>
  <c r="T802" i="12"/>
  <c r="T868" i="12"/>
  <c r="T934" i="12"/>
  <c r="T999" i="12"/>
  <c r="T1065" i="12"/>
  <c r="T1131" i="12"/>
  <c r="T1197" i="12"/>
  <c r="T1263" i="12"/>
  <c r="T1329" i="12"/>
  <c r="T1395" i="12"/>
  <c r="V2734" i="12"/>
  <c r="U2404" i="12"/>
  <c r="U2665" i="12"/>
  <c r="T79" i="12"/>
  <c r="T274" i="12"/>
  <c r="T379" i="12"/>
  <c r="T483" i="12"/>
  <c r="T581" i="12"/>
  <c r="T645" i="12"/>
  <c r="T712" i="12"/>
  <c r="T778" i="12"/>
  <c r="T844" i="12"/>
  <c r="T910" i="12"/>
  <c r="T976" i="12"/>
  <c r="T1042" i="12"/>
  <c r="T1107" i="12"/>
  <c r="T1173" i="12"/>
  <c r="T1239" i="12"/>
  <c r="T1305" i="12"/>
  <c r="T1371" i="12"/>
  <c r="T1437" i="12"/>
  <c r="U2314" i="12"/>
  <c r="U2574" i="12"/>
  <c r="U2838" i="12"/>
  <c r="T217" i="12"/>
  <c r="T345" i="12"/>
  <c r="T448" i="12"/>
  <c r="T550" i="12"/>
  <c r="T623" i="12"/>
  <c r="T689" i="12"/>
  <c r="T755" i="12"/>
  <c r="T821" i="12"/>
  <c r="T887" i="12"/>
  <c r="T953" i="12"/>
  <c r="T1019" i="12"/>
  <c r="T1085" i="12"/>
  <c r="T1150" i="12"/>
  <c r="T419" i="12"/>
  <c r="T1001" i="12"/>
  <c r="T1347" i="12"/>
  <c r="T1498" i="12"/>
  <c r="T1563" i="12"/>
  <c r="T1629" i="12"/>
  <c r="T1694" i="12"/>
  <c r="T1760" i="12"/>
  <c r="T1826" i="12"/>
  <c r="T1891" i="12"/>
  <c r="T1957" i="12"/>
  <c r="T2022" i="12"/>
  <c r="T2087" i="12"/>
  <c r="T2153" i="12"/>
  <c r="T2217" i="12"/>
  <c r="T2281" i="12"/>
  <c r="T2345" i="12"/>
  <c r="T2411" i="12"/>
  <c r="T2477" i="12"/>
  <c r="T2541" i="12"/>
  <c r="T330" i="12"/>
  <c r="T944" i="12"/>
  <c r="T1315" i="12"/>
  <c r="T1490" i="12"/>
  <c r="T1555" i="12"/>
  <c r="T1621" i="12"/>
  <c r="T1687" i="12"/>
  <c r="T1753" i="12"/>
  <c r="T1819" i="12"/>
  <c r="T1884" i="12"/>
  <c r="T1950" i="12"/>
  <c r="T2014" i="12"/>
  <c r="T2080" i="12"/>
  <c r="T2146" i="12"/>
  <c r="T2210" i="12"/>
  <c r="T2274" i="12"/>
  <c r="T2338" i="12"/>
  <c r="T2404" i="12"/>
  <c r="V235" i="12"/>
  <c r="V124" i="12"/>
  <c r="V198" i="12"/>
  <c r="V7" i="12"/>
  <c r="V519" i="12"/>
  <c r="V525" i="12"/>
  <c r="V1102" i="12"/>
  <c r="V208" i="12"/>
  <c r="V911" i="12"/>
  <c r="V1423" i="12"/>
  <c r="V857" i="12"/>
  <c r="V585" i="12"/>
  <c r="V317" i="12"/>
  <c r="V1144" i="12"/>
  <c r="V1323" i="12"/>
  <c r="V1897" i="12"/>
  <c r="V1283" i="12"/>
  <c r="V1866" i="12"/>
  <c r="V332" i="12"/>
  <c r="V1402" i="12"/>
  <c r="V1958" i="12"/>
  <c r="V2478" i="12"/>
  <c r="V568" i="12"/>
  <c r="V1492" i="12"/>
  <c r="V2026" i="12"/>
  <c r="V1493" i="12"/>
  <c r="V2380" i="12"/>
  <c r="V1898" i="12"/>
  <c r="V2604" i="12"/>
  <c r="V1101" i="12"/>
  <c r="V2192" i="12"/>
  <c r="V2812" i="12"/>
  <c r="V1590" i="12"/>
  <c r="V1376" i="12"/>
  <c r="V2144" i="12"/>
  <c r="V1510" i="12"/>
  <c r="V2285" i="12"/>
  <c r="V2555" i="12"/>
  <c r="V2899" i="12"/>
  <c r="U5" i="12"/>
  <c r="U154" i="12"/>
  <c r="U338" i="12"/>
  <c r="U524" i="12"/>
  <c r="V1464" i="12"/>
  <c r="V2268" i="12"/>
  <c r="V2619" i="12"/>
  <c r="V2861" i="12"/>
  <c r="U54" i="12"/>
  <c r="U187" i="12"/>
  <c r="U315" i="12"/>
  <c r="U444" i="12"/>
  <c r="V168" i="12"/>
  <c r="V1566" i="12"/>
  <c r="V2160" i="12"/>
  <c r="V2442" i="12"/>
  <c r="V2683" i="12"/>
  <c r="V2862" i="12"/>
  <c r="U55" i="12"/>
  <c r="U147" i="12"/>
  <c r="U228" i="12"/>
  <c r="U316" i="12"/>
  <c r="V185" i="12"/>
  <c r="V1189" i="12"/>
  <c r="V1615" i="12"/>
  <c r="V1963" i="12"/>
  <c r="V2188" i="12"/>
  <c r="V2339" i="12"/>
  <c r="V2459" i="12"/>
  <c r="V2579" i="12"/>
  <c r="V2696" i="12"/>
  <c r="V2817" i="12"/>
  <c r="U32" i="12"/>
  <c r="U99" i="12"/>
  <c r="U165" i="12"/>
  <c r="U229" i="12"/>
  <c r="U293" i="12"/>
  <c r="U357" i="12"/>
  <c r="U421" i="12"/>
  <c r="U486" i="12"/>
  <c r="U551" i="12"/>
  <c r="V880" i="12"/>
  <c r="V1425" i="12"/>
  <c r="V1796" i="12"/>
  <c r="V2091" i="12"/>
  <c r="V2276" i="12"/>
  <c r="V2402" i="12"/>
  <c r="V2519" i="12"/>
  <c r="V2638" i="12"/>
  <c r="V2760" i="12"/>
  <c r="V2880" i="12"/>
  <c r="U66" i="12"/>
  <c r="U132" i="12"/>
  <c r="U198" i="12"/>
  <c r="U262" i="12"/>
  <c r="U326" i="12"/>
  <c r="U390" i="12"/>
  <c r="U455" i="12"/>
  <c r="U519" i="12"/>
  <c r="V699" i="12"/>
  <c r="V1317" i="12"/>
  <c r="V1714" i="12"/>
  <c r="V2041" i="12"/>
  <c r="V2244" i="12"/>
  <c r="V2374" i="12"/>
  <c r="V2491" i="12"/>
  <c r="V2611" i="12"/>
  <c r="V2732" i="12"/>
  <c r="V2852" i="12"/>
  <c r="U50" i="12"/>
  <c r="U117" i="12"/>
  <c r="U183" i="12"/>
  <c r="U247" i="12"/>
  <c r="U311" i="12"/>
  <c r="U375" i="12"/>
  <c r="V1763" i="12"/>
  <c r="V2508" i="12"/>
  <c r="U126" i="12"/>
  <c r="U384" i="12"/>
  <c r="U520" i="12"/>
  <c r="U605" i="12"/>
  <c r="U671" i="12"/>
  <c r="U737" i="12"/>
  <c r="U803" i="12"/>
  <c r="U869" i="12"/>
  <c r="U935" i="12"/>
  <c r="V1597" i="12"/>
  <c r="V2451" i="12"/>
  <c r="V2923" i="12"/>
  <c r="U95" i="12"/>
  <c r="U353" i="12"/>
  <c r="U505" i="12"/>
  <c r="U598" i="12"/>
  <c r="U664" i="12"/>
  <c r="U730" i="12"/>
  <c r="U796" i="12"/>
  <c r="U861" i="12"/>
  <c r="V2095" i="12"/>
  <c r="V2644" i="12"/>
  <c r="U200" i="12"/>
  <c r="U425" i="12"/>
  <c r="U555" i="12"/>
  <c r="U623" i="12"/>
  <c r="U689" i="12"/>
  <c r="U755" i="12"/>
  <c r="U821" i="12"/>
  <c r="U887" i="12"/>
  <c r="U953" i="12"/>
  <c r="V1978" i="12"/>
  <c r="V2584" i="12"/>
  <c r="U169" i="12"/>
  <c r="U412" i="12"/>
  <c r="U542" i="12"/>
  <c r="U616" i="12"/>
  <c r="U682" i="12"/>
  <c r="U748" i="12"/>
  <c r="U814" i="12"/>
  <c r="U880" i="12"/>
  <c r="U946" i="12"/>
  <c r="V1490" i="12"/>
  <c r="V2421" i="12"/>
  <c r="V2897" i="12"/>
  <c r="U76" i="12"/>
  <c r="U336" i="12"/>
  <c r="U496" i="12"/>
  <c r="U593" i="12"/>
  <c r="U659" i="12"/>
  <c r="U725" i="12"/>
  <c r="U790" i="12"/>
  <c r="U856" i="12"/>
  <c r="U922" i="12"/>
  <c r="V605" i="12"/>
  <c r="V2227" i="12"/>
  <c r="V2720" i="12"/>
  <c r="U241" i="12"/>
  <c r="U449" i="12"/>
  <c r="U570" i="12"/>
  <c r="U634" i="12"/>
  <c r="U701" i="12"/>
  <c r="U767" i="12"/>
  <c r="U832" i="12"/>
  <c r="U898" i="12"/>
  <c r="V1548" i="12"/>
  <c r="V2433" i="12"/>
  <c r="V2908" i="12"/>
  <c r="U85" i="12"/>
  <c r="U344" i="12"/>
  <c r="U498" i="12"/>
  <c r="U595" i="12"/>
  <c r="U661" i="12"/>
  <c r="U727" i="12"/>
  <c r="U793" i="12"/>
  <c r="U858" i="12"/>
  <c r="U644" i="12"/>
  <c r="U958" i="12"/>
  <c r="U1032" i="12"/>
  <c r="U1098" i="12"/>
  <c r="U1164" i="12"/>
  <c r="U1230" i="12"/>
  <c r="U1296" i="12"/>
  <c r="U1362" i="12"/>
  <c r="U1428" i="12"/>
  <c r="U1494" i="12"/>
  <c r="U1559" i="12"/>
  <c r="U1624" i="12"/>
  <c r="U1690" i="12"/>
  <c r="U1756" i="12"/>
  <c r="U1822" i="12"/>
  <c r="U1887" i="12"/>
  <c r="U1953" i="12"/>
  <c r="U2017" i="12"/>
  <c r="U2083" i="12"/>
  <c r="U2149" i="12"/>
  <c r="U653" i="12"/>
  <c r="U960" i="12"/>
  <c r="U1033" i="12"/>
  <c r="U1099" i="12"/>
  <c r="U1165" i="12"/>
  <c r="U1231" i="12"/>
  <c r="U1297" i="12"/>
  <c r="U1363" i="12"/>
  <c r="U1429" i="12"/>
  <c r="U1495" i="12"/>
  <c r="U1560" i="12"/>
  <c r="U1625" i="12"/>
  <c r="U1691" i="12"/>
  <c r="U1757" i="12"/>
  <c r="U1823" i="12"/>
  <c r="U1888" i="12"/>
  <c r="U1954" i="12"/>
  <c r="U2019" i="12"/>
  <c r="U2084" i="12"/>
  <c r="U2150" i="12"/>
  <c r="U2214" i="12"/>
  <c r="U596" i="12"/>
  <c r="U948" i="12"/>
  <c r="U1026" i="12"/>
  <c r="U1092" i="12"/>
  <c r="U1158" i="12"/>
  <c r="U1224" i="12"/>
  <c r="U1290" i="12"/>
  <c r="U1356" i="12"/>
  <c r="U1421" i="12"/>
  <c r="U1487" i="12"/>
  <c r="U1552" i="12"/>
  <c r="U1618" i="12"/>
  <c r="U1684" i="12"/>
  <c r="U1750" i="12"/>
  <c r="U1816" i="12"/>
  <c r="U1881" i="12"/>
  <c r="U1946" i="12"/>
  <c r="U2011" i="12"/>
  <c r="U2077" i="12"/>
  <c r="U2143" i="12"/>
  <c r="U670" i="12"/>
  <c r="U965" i="12"/>
  <c r="U1035" i="12"/>
  <c r="U1101" i="12"/>
  <c r="U1167" i="12"/>
  <c r="U1233" i="12"/>
  <c r="U1299" i="12"/>
  <c r="U1365" i="12"/>
  <c r="U1431" i="12"/>
  <c r="U1497" i="12"/>
  <c r="U1562" i="12"/>
  <c r="U1627" i="12"/>
  <c r="U1693" i="12"/>
  <c r="U1759" i="12"/>
  <c r="U1825" i="12"/>
  <c r="U1890" i="12"/>
  <c r="U1956" i="12"/>
  <c r="U2021" i="12"/>
  <c r="U2086" i="12"/>
  <c r="U2152" i="12"/>
  <c r="U153" i="12"/>
  <c r="U891" i="12"/>
  <c r="U1004" i="12"/>
  <c r="U1069" i="12"/>
  <c r="U1135" i="12"/>
  <c r="U1201" i="12"/>
  <c r="U1267" i="12"/>
  <c r="U1333" i="12"/>
  <c r="U1399" i="12"/>
  <c r="U1465" i="12"/>
  <c r="U1530" i="12"/>
  <c r="U1595" i="12"/>
  <c r="U1661" i="12"/>
  <c r="U1727" i="12"/>
  <c r="U1793" i="12"/>
  <c r="U1858" i="12"/>
  <c r="U1924" i="12"/>
  <c r="U1989" i="12"/>
  <c r="U2055" i="12"/>
  <c r="U2121" i="12"/>
  <c r="U2185" i="12"/>
  <c r="U686" i="12"/>
  <c r="U967" i="12"/>
  <c r="U1037" i="12"/>
  <c r="U1103" i="12"/>
  <c r="U1169" i="12"/>
  <c r="U1235" i="12"/>
  <c r="U1301" i="12"/>
  <c r="U1367" i="12"/>
  <c r="U1433" i="12"/>
  <c r="U1499" i="12"/>
  <c r="U1564" i="12"/>
  <c r="U1630" i="12"/>
  <c r="U1695" i="12"/>
  <c r="U1761" i="12"/>
  <c r="U1827" i="12"/>
  <c r="U1892" i="12"/>
  <c r="U1958" i="12"/>
  <c r="U2023" i="12"/>
  <c r="U2089" i="12"/>
  <c r="U217" i="12"/>
  <c r="U894" i="12"/>
  <c r="U1006" i="12"/>
  <c r="U1071" i="12"/>
  <c r="U1137" i="12"/>
  <c r="U1203" i="12"/>
  <c r="U1269" i="12"/>
  <c r="U1335" i="12"/>
  <c r="U1401" i="12"/>
  <c r="U1467" i="12"/>
  <c r="U1532" i="12"/>
  <c r="U1597" i="12"/>
  <c r="U1663" i="12"/>
  <c r="U1729" i="12"/>
  <c r="U1795" i="12"/>
  <c r="U1860" i="12"/>
  <c r="U1926" i="12"/>
  <c r="U1991" i="12"/>
  <c r="U2057" i="12"/>
  <c r="U2123" i="12"/>
  <c r="U2187" i="12"/>
  <c r="U1064" i="12"/>
  <c r="U1590" i="12"/>
  <c r="U2115" i="12"/>
  <c r="U2234" i="12"/>
  <c r="U1007" i="12"/>
  <c r="U1533" i="12"/>
  <c r="U2058" i="12"/>
  <c r="U2227" i="12"/>
  <c r="U2291" i="12"/>
  <c r="U2355" i="12"/>
  <c r="U2421" i="12"/>
  <c r="U2487" i="12"/>
  <c r="U2551" i="12"/>
  <c r="U2617" i="12"/>
  <c r="U2683" i="12"/>
  <c r="U2748" i="12"/>
  <c r="U2814" i="12"/>
  <c r="U2880" i="12"/>
  <c r="T30" i="12"/>
  <c r="T97" i="12"/>
  <c r="U1015" i="12"/>
  <c r="U1541" i="12"/>
  <c r="U2066" i="12"/>
  <c r="U2228" i="12"/>
  <c r="U2292" i="12"/>
  <c r="U2356" i="12"/>
  <c r="U2422" i="12"/>
  <c r="U2488" i="12"/>
  <c r="U2552" i="12"/>
  <c r="U2618" i="12"/>
  <c r="U2684" i="12"/>
  <c r="U2749" i="12"/>
  <c r="U2815" i="12"/>
  <c r="U2881" i="12"/>
  <c r="T31" i="12"/>
  <c r="T98" i="12"/>
  <c r="T164" i="12"/>
  <c r="T228" i="12"/>
  <c r="U941" i="12"/>
  <c r="U1484" i="12"/>
  <c r="U2008" i="12"/>
  <c r="U2220" i="12"/>
  <c r="U2285" i="12"/>
  <c r="U2349" i="12"/>
  <c r="U2415" i="12"/>
  <c r="U2481" i="12"/>
  <c r="U2545" i="12"/>
  <c r="U2611" i="12"/>
  <c r="U2676" i="12"/>
  <c r="U2742" i="12"/>
  <c r="U2808" i="12"/>
  <c r="U2874" i="12"/>
  <c r="T24" i="12"/>
  <c r="T90" i="12"/>
  <c r="T157" i="12"/>
  <c r="T221" i="12"/>
  <c r="T285" i="12"/>
  <c r="T349" i="12"/>
  <c r="T413" i="12"/>
  <c r="T478" i="12"/>
  <c r="T543" i="12"/>
  <c r="U1163" i="12"/>
  <c r="U1689" i="12"/>
  <c r="U2157" i="12"/>
  <c r="U2246" i="12"/>
  <c r="U2310" i="12"/>
  <c r="U2375" i="12"/>
  <c r="U2441" i="12"/>
  <c r="U2506" i="12"/>
  <c r="U2570" i="12"/>
  <c r="U2636" i="12"/>
  <c r="U2702" i="12"/>
  <c r="U2768" i="12"/>
  <c r="U2834" i="12"/>
  <c r="U2900" i="12"/>
  <c r="T49" i="12"/>
  <c r="T116" i="12"/>
  <c r="T182" i="12"/>
  <c r="T246" i="12"/>
  <c r="T310" i="12"/>
  <c r="T374" i="12"/>
  <c r="T439" i="12"/>
  <c r="T503" i="12"/>
  <c r="T568" i="12"/>
  <c r="U1303" i="12"/>
  <c r="U1829" i="12"/>
  <c r="U2191" i="12"/>
  <c r="U2263" i="12"/>
  <c r="U2327" i="12"/>
  <c r="U2392" i="12"/>
  <c r="U2458" i="12"/>
  <c r="U2523" i="12"/>
  <c r="U2588" i="12"/>
  <c r="U2654" i="12"/>
  <c r="U2719" i="12"/>
  <c r="U2785" i="12"/>
  <c r="U2851" i="12"/>
  <c r="U2917" i="12"/>
  <c r="T67" i="12"/>
  <c r="T133" i="12"/>
  <c r="T199" i="12"/>
  <c r="T263" i="12"/>
  <c r="U1179" i="12"/>
  <c r="U1706" i="12"/>
  <c r="U2162" i="12"/>
  <c r="U2248" i="12"/>
  <c r="U2312" i="12"/>
  <c r="U2377" i="12"/>
  <c r="U2443" i="12"/>
  <c r="U2508" i="12"/>
  <c r="U2572" i="12"/>
  <c r="U2638" i="12"/>
  <c r="U2704" i="12"/>
  <c r="U2770" i="12"/>
  <c r="U2836" i="12"/>
  <c r="U2902" i="12"/>
  <c r="T51" i="12"/>
  <c r="T118" i="12"/>
  <c r="T184" i="12"/>
  <c r="T248" i="12"/>
  <c r="T312" i="12"/>
  <c r="T376" i="12"/>
  <c r="T441" i="12"/>
  <c r="T505" i="12"/>
  <c r="T570" i="12"/>
  <c r="U2386" i="12"/>
  <c r="U2647" i="12"/>
  <c r="U2911" i="12"/>
  <c r="T60" i="12"/>
  <c r="T259" i="12"/>
  <c r="T371" i="12"/>
  <c r="T475" i="12"/>
  <c r="T576" i="12"/>
  <c r="T640" i="12"/>
  <c r="T707" i="12"/>
  <c r="T773" i="12"/>
  <c r="T839" i="12"/>
  <c r="T905" i="12"/>
  <c r="T970" i="12"/>
  <c r="T1036" i="12"/>
  <c r="T1102" i="12"/>
  <c r="T1168" i="12"/>
  <c r="T1234" i="12"/>
  <c r="T1300" i="12"/>
  <c r="T1366" i="12"/>
  <c r="T1432" i="12"/>
  <c r="U2241" i="12"/>
  <c r="U2518" i="12"/>
  <c r="U2780" i="12"/>
  <c r="T178" i="12"/>
  <c r="T322" i="12"/>
  <c r="T425" i="12"/>
  <c r="T529" i="12"/>
  <c r="T609" i="12"/>
  <c r="T675" i="12"/>
  <c r="T741" i="12"/>
  <c r="T807" i="12"/>
  <c r="T873" i="12"/>
  <c r="T939" i="12"/>
  <c r="T1005" i="12"/>
  <c r="T1070" i="12"/>
  <c r="T1136" i="12"/>
  <c r="T1202" i="12"/>
  <c r="T1268" i="12"/>
  <c r="T1334" i="12"/>
  <c r="T1400" i="12"/>
  <c r="T1466" i="12"/>
  <c r="U2394" i="12"/>
  <c r="U2656" i="12"/>
  <c r="U2919" i="12"/>
  <c r="T69" i="12"/>
  <c r="T266" i="12"/>
  <c r="T375" i="12"/>
  <c r="T477" i="12"/>
  <c r="T578" i="12"/>
  <c r="T642" i="12"/>
  <c r="T709" i="12"/>
  <c r="T775" i="12"/>
  <c r="T841" i="12"/>
  <c r="T907" i="12"/>
  <c r="T973" i="12"/>
  <c r="T1039" i="12"/>
  <c r="T1104" i="12"/>
  <c r="T1170" i="12"/>
  <c r="T1236" i="12"/>
  <c r="T1302" i="12"/>
  <c r="T1368" i="12"/>
  <c r="T1434" i="12"/>
  <c r="U2330" i="12"/>
  <c r="U2591" i="12"/>
  <c r="U2854" i="12"/>
  <c r="T5" i="12"/>
  <c r="T226" i="12"/>
  <c r="T351" i="12"/>
  <c r="T453" i="12"/>
  <c r="T557" i="12"/>
  <c r="T627" i="12"/>
  <c r="T694" i="12"/>
  <c r="T759" i="12"/>
  <c r="T825" i="12"/>
  <c r="T891" i="12"/>
  <c r="T957" i="12"/>
  <c r="T1023" i="12"/>
  <c r="T1089" i="12"/>
  <c r="T1155" i="12"/>
  <c r="T1221" i="12"/>
  <c r="T1287" i="12"/>
  <c r="T1352" i="12"/>
  <c r="T1418" i="12"/>
  <c r="U2265" i="12"/>
  <c r="U2533" i="12"/>
  <c r="U2796" i="12"/>
  <c r="T186" i="12"/>
  <c r="T327" i="12"/>
  <c r="T428" i="12"/>
  <c r="T533" i="12"/>
  <c r="T612" i="12"/>
  <c r="T678" i="12"/>
  <c r="T744" i="12"/>
  <c r="T810" i="12"/>
  <c r="T876" i="12"/>
  <c r="T942" i="12"/>
  <c r="T1008" i="12"/>
  <c r="T1074" i="12"/>
  <c r="T1139" i="12"/>
  <c r="T1205" i="12"/>
  <c r="T1271" i="12"/>
  <c r="T1337" i="12"/>
  <c r="T1403" i="12"/>
  <c r="U1385" i="12"/>
  <c r="U2436" i="12"/>
  <c r="U2698" i="12"/>
  <c r="T112" i="12"/>
  <c r="T290" i="12"/>
  <c r="T393" i="12"/>
  <c r="T496" i="12"/>
  <c r="T589" i="12"/>
  <c r="T654" i="12"/>
  <c r="T720" i="12"/>
  <c r="T786" i="12"/>
  <c r="T852" i="12"/>
  <c r="T918" i="12"/>
  <c r="T984" i="12"/>
  <c r="T1050" i="12"/>
  <c r="T1115" i="12"/>
  <c r="T1181" i="12"/>
  <c r="T1247" i="12"/>
  <c r="T1313" i="12"/>
  <c r="T1379" i="12"/>
  <c r="T1445" i="12"/>
  <c r="U2346" i="12"/>
  <c r="U2607" i="12"/>
  <c r="U2871" i="12"/>
  <c r="T21" i="12"/>
  <c r="T235" i="12"/>
  <c r="T356" i="12"/>
  <c r="T460" i="12"/>
  <c r="T564" i="12"/>
  <c r="T631" i="12"/>
  <c r="T698" i="12"/>
  <c r="T764" i="12"/>
  <c r="T829" i="12"/>
  <c r="T895" i="12"/>
  <c r="T961" i="12"/>
  <c r="T1027" i="12"/>
  <c r="T1093" i="12"/>
  <c r="T1159" i="12"/>
  <c r="T524" i="12"/>
  <c r="T1067" i="12"/>
  <c r="T1380" i="12"/>
  <c r="T1506" i="12"/>
  <c r="T1571" i="12"/>
  <c r="T1637" i="12"/>
  <c r="T1703" i="12"/>
  <c r="T1769" i="12"/>
  <c r="T1834" i="12"/>
  <c r="T1899" i="12"/>
  <c r="T1965" i="12"/>
  <c r="T2030" i="12"/>
  <c r="T2096" i="12"/>
  <c r="T2161" i="12"/>
  <c r="T2225" i="12"/>
  <c r="T2289" i="12"/>
  <c r="T2353" i="12"/>
  <c r="T2419" i="12"/>
  <c r="T2485" i="12"/>
  <c r="T2549" i="12"/>
  <c r="T433" i="12"/>
  <c r="T1010" i="12"/>
  <c r="T1348" i="12"/>
  <c r="T1499" i="12"/>
  <c r="T1564" i="12"/>
  <c r="T1630" i="12"/>
  <c r="T1695" i="12"/>
  <c r="T1761" i="12"/>
  <c r="T1827" i="12"/>
  <c r="T1892" i="12"/>
  <c r="T1958" i="12"/>
  <c r="T2023" i="12"/>
  <c r="T2089" i="12"/>
  <c r="T2154" i="12"/>
  <c r="T2218" i="12"/>
  <c r="T2282" i="12"/>
  <c r="T2346" i="12"/>
  <c r="T2412" i="12"/>
  <c r="V299" i="12"/>
  <c r="V188" i="12"/>
  <c r="V262" i="12"/>
  <c r="V71" i="12"/>
  <c r="V583" i="12"/>
  <c r="V627" i="12"/>
  <c r="V1166" i="12"/>
  <c r="V322" i="12"/>
  <c r="V975" i="12"/>
  <c r="V1487" i="12"/>
  <c r="V941" i="12"/>
  <c r="V706" i="12"/>
  <c r="V456" i="12"/>
  <c r="V356" i="12"/>
  <c r="V1409" i="12"/>
  <c r="V217" i="12"/>
  <c r="V1369" i="12"/>
  <c r="V1932" i="12"/>
  <c r="V556" i="12"/>
  <c r="V1488" i="12"/>
  <c r="V2023" i="12"/>
  <c r="V2542" i="12"/>
  <c r="V752" i="12"/>
  <c r="V1567" i="12"/>
  <c r="V2092" i="12"/>
  <c r="V1634" i="12"/>
  <c r="V2455" i="12"/>
  <c r="V580" i="12"/>
  <c r="V2008" i="12"/>
  <c r="V2680" i="12"/>
  <c r="V1285" i="12"/>
  <c r="V2284" i="12"/>
  <c r="V2886" i="12"/>
  <c r="V1722" i="12"/>
  <c r="V1543" i="12"/>
  <c r="V2222" i="12"/>
  <c r="V1562" i="12"/>
  <c r="V2300" i="12"/>
  <c r="V2646" i="12"/>
  <c r="V2913" i="12"/>
  <c r="U13" i="12"/>
  <c r="U202" i="12"/>
  <c r="U346" i="12"/>
  <c r="U532" i="12"/>
  <c r="V1743" i="12"/>
  <c r="V2286" i="12"/>
  <c r="V2635" i="12"/>
  <c r="V2874" i="12"/>
  <c r="U63" i="12"/>
  <c r="U195" i="12"/>
  <c r="U323" i="12"/>
  <c r="U452" i="12"/>
  <c r="V341" i="12"/>
  <c r="V1614" i="12"/>
  <c r="V2187" i="12"/>
  <c r="V2458" i="12"/>
  <c r="V2695" i="12"/>
  <c r="V2890" i="12"/>
  <c r="U72" i="12"/>
  <c r="U156" i="12"/>
  <c r="U236" i="12"/>
  <c r="U332" i="12"/>
  <c r="V384" i="12"/>
  <c r="V1250" i="12"/>
  <c r="V1663" i="12"/>
  <c r="V1992" i="12"/>
  <c r="V2214" i="12"/>
  <c r="V2355" i="12"/>
  <c r="V2473" i="12"/>
  <c r="V2592" i="12"/>
  <c r="V2712" i="12"/>
  <c r="V2834" i="12"/>
  <c r="U40" i="12"/>
  <c r="U107" i="12"/>
  <c r="U173" i="12"/>
  <c r="U237" i="12"/>
  <c r="U301" i="12"/>
  <c r="U365" i="12"/>
  <c r="U429" i="12"/>
  <c r="U494" i="12"/>
  <c r="U559" i="12"/>
  <c r="V955" i="12"/>
  <c r="V1484" i="12"/>
  <c r="V1844" i="12"/>
  <c r="V2117" i="12"/>
  <c r="V2291" i="12"/>
  <c r="V2415" i="12"/>
  <c r="V2535" i="12"/>
  <c r="V2655" i="12"/>
  <c r="V2776" i="12"/>
  <c r="V2892" i="12"/>
  <c r="U9" i="12"/>
  <c r="U74" i="12"/>
  <c r="U141" i="12"/>
  <c r="U206" i="12"/>
  <c r="U270" i="12"/>
  <c r="U334" i="12"/>
  <c r="U398" i="12"/>
  <c r="U463" i="12"/>
  <c r="U528" i="12"/>
  <c r="V785" i="12"/>
  <c r="V1378" i="12"/>
  <c r="V1762" i="12"/>
  <c r="V2068" i="12"/>
  <c r="V2259" i="12"/>
  <c r="V2386" i="12"/>
  <c r="V2507" i="12"/>
  <c r="V2627" i="12"/>
  <c r="V2748" i="12"/>
  <c r="V2866" i="12"/>
  <c r="U58" i="12"/>
  <c r="U125" i="12"/>
  <c r="U191" i="12"/>
  <c r="U255" i="12"/>
  <c r="U319" i="12"/>
  <c r="U383" i="12"/>
  <c r="V1938" i="12"/>
  <c r="V2569" i="12"/>
  <c r="U160" i="12"/>
  <c r="U407" i="12"/>
  <c r="U537" i="12"/>
  <c r="U613" i="12"/>
  <c r="U679" i="12"/>
  <c r="U745" i="12"/>
  <c r="U811" i="12"/>
  <c r="U877" i="12"/>
  <c r="U943" i="12"/>
  <c r="V1776" i="12"/>
  <c r="V2509" i="12"/>
  <c r="U127" i="12"/>
  <c r="U385" i="12"/>
  <c r="U521" i="12"/>
  <c r="U606" i="12"/>
  <c r="U672" i="12"/>
  <c r="U738" i="12"/>
  <c r="U804" i="12"/>
  <c r="V442" i="12"/>
  <c r="V2199" i="12"/>
  <c r="V2703" i="12"/>
  <c r="U232" i="12"/>
  <c r="U442" i="12"/>
  <c r="U566" i="12"/>
  <c r="U631" i="12"/>
  <c r="U698" i="12"/>
  <c r="U764" i="12"/>
  <c r="U829" i="12"/>
  <c r="U895" i="12"/>
  <c r="U961" i="12"/>
  <c r="V2098" i="12"/>
  <c r="V2645" i="12"/>
  <c r="U201" i="12"/>
  <c r="U428" i="12"/>
  <c r="U556" i="12"/>
  <c r="U624" i="12"/>
  <c r="U690" i="12"/>
  <c r="U756" i="12"/>
  <c r="U822" i="12"/>
  <c r="U888" i="12"/>
  <c r="U954" i="12"/>
  <c r="V1680" i="12"/>
  <c r="V2480" i="12"/>
  <c r="U110" i="12"/>
  <c r="U368" i="12"/>
  <c r="U512" i="12"/>
  <c r="U601" i="12"/>
  <c r="U667" i="12"/>
  <c r="U733" i="12"/>
  <c r="U799" i="12"/>
  <c r="U865" i="12"/>
  <c r="U930" i="12"/>
  <c r="V988" i="12"/>
  <c r="V2299" i="12"/>
  <c r="V2779" i="12"/>
  <c r="U12" i="12"/>
  <c r="U273" i="12"/>
  <c r="U465" i="12"/>
  <c r="U578" i="12"/>
  <c r="U642" i="12"/>
  <c r="U709" i="12"/>
  <c r="U775" i="12"/>
  <c r="U841" i="12"/>
  <c r="U907" i="12"/>
  <c r="V1726" i="12"/>
  <c r="V2496" i="12"/>
  <c r="U118" i="12"/>
  <c r="U376" i="12"/>
  <c r="U514" i="12"/>
  <c r="U603" i="12"/>
  <c r="U669" i="12"/>
  <c r="U735" i="12"/>
  <c r="U801" i="12"/>
  <c r="V1088" i="12"/>
  <c r="U711" i="12"/>
  <c r="U973" i="12"/>
  <c r="U1041" i="12"/>
  <c r="U1106" i="12"/>
  <c r="U1172" i="12"/>
  <c r="U1238" i="12"/>
  <c r="U1304" i="12"/>
  <c r="U1370" i="12"/>
  <c r="U1436" i="12"/>
  <c r="U1502" i="12"/>
  <c r="U1567" i="12"/>
  <c r="U1633" i="12"/>
  <c r="U1699" i="12"/>
  <c r="U1764" i="12"/>
  <c r="U1830" i="12"/>
  <c r="U1895" i="12"/>
  <c r="U1961" i="12"/>
  <c r="U2026" i="12"/>
  <c r="U2092" i="12"/>
  <c r="V1336" i="12"/>
  <c r="U719" i="12"/>
  <c r="U974" i="12"/>
  <c r="U1042" i="12"/>
  <c r="U1107" i="12"/>
  <c r="U1173" i="12"/>
  <c r="U1239" i="12"/>
  <c r="U1305" i="12"/>
  <c r="U1371" i="12"/>
  <c r="U1437" i="12"/>
  <c r="U1503" i="12"/>
  <c r="U1568" i="12"/>
  <c r="U1634" i="12"/>
  <c r="U1700" i="12"/>
  <c r="U1765" i="12"/>
  <c r="U1831" i="12"/>
  <c r="U1896" i="12"/>
  <c r="U1962" i="12"/>
  <c r="U2027" i="12"/>
  <c r="U2093" i="12"/>
  <c r="U2158" i="12"/>
  <c r="U2222" i="12"/>
  <c r="U662" i="12"/>
  <c r="U964" i="12"/>
  <c r="U1034" i="12"/>
  <c r="U1100" i="12"/>
  <c r="U1166" i="12"/>
  <c r="U1232" i="12"/>
  <c r="U1298" i="12"/>
  <c r="U1364" i="12"/>
  <c r="U1430" i="12"/>
  <c r="U1496" i="12"/>
  <c r="U1561" i="12"/>
  <c r="U1626" i="12"/>
  <c r="U1692" i="12"/>
  <c r="U1758" i="12"/>
  <c r="U1824" i="12"/>
  <c r="U1889" i="12"/>
  <c r="U1955" i="12"/>
  <c r="U2020" i="12"/>
  <c r="U2085" i="12"/>
  <c r="V1729" i="12"/>
  <c r="U736" i="12"/>
  <c r="U976" i="12"/>
  <c r="U1044" i="12"/>
  <c r="U1109" i="12"/>
  <c r="U1175" i="12"/>
  <c r="U1241" i="12"/>
  <c r="U1307" i="12"/>
  <c r="U1373" i="12"/>
  <c r="U1439" i="12"/>
  <c r="U1505" i="12"/>
  <c r="U1570" i="12"/>
  <c r="U1636" i="12"/>
  <c r="U1702" i="12"/>
  <c r="U1767" i="12"/>
  <c r="U1833" i="12"/>
  <c r="U1898" i="12"/>
  <c r="U1964" i="12"/>
  <c r="U2029" i="12"/>
  <c r="U2095" i="12"/>
  <c r="U2160" i="12"/>
  <c r="U404" i="12"/>
  <c r="U911" i="12"/>
  <c r="U1012" i="12"/>
  <c r="U1078" i="12"/>
  <c r="U1143" i="12"/>
  <c r="U1210" i="12"/>
  <c r="U1275" i="12"/>
  <c r="U1341" i="12"/>
  <c r="U1407" i="12"/>
  <c r="U1473" i="12"/>
  <c r="U1538" i="12"/>
  <c r="U1604" i="12"/>
  <c r="U1670" i="12"/>
  <c r="U1735" i="12"/>
  <c r="U1801" i="12"/>
  <c r="U1866" i="12"/>
  <c r="U1932" i="12"/>
  <c r="U1997" i="12"/>
  <c r="U2063" i="12"/>
  <c r="U2129" i="12"/>
  <c r="V2044" i="12"/>
  <c r="U752" i="12"/>
  <c r="U978" i="12"/>
  <c r="U1046" i="12"/>
  <c r="U1111" i="12"/>
  <c r="U1177" i="12"/>
  <c r="U1243" i="12"/>
  <c r="U1309" i="12"/>
  <c r="U1375" i="12"/>
  <c r="U1441" i="12"/>
  <c r="U1507" i="12"/>
  <c r="U1572" i="12"/>
  <c r="U1638" i="12"/>
  <c r="U1704" i="12"/>
  <c r="U1770" i="12"/>
  <c r="U1835" i="12"/>
  <c r="U1900" i="12"/>
  <c r="U1966" i="12"/>
  <c r="U2031" i="12"/>
  <c r="U2097" i="12"/>
  <c r="U436" i="12"/>
  <c r="U917" i="12"/>
  <c r="U1014" i="12"/>
  <c r="U1080" i="12"/>
  <c r="U1145" i="12"/>
  <c r="U1212" i="12"/>
  <c r="U1277" i="12"/>
  <c r="U1343" i="12"/>
  <c r="U1409" i="12"/>
  <c r="U1475" i="12"/>
  <c r="U1540" i="12"/>
  <c r="U1606" i="12"/>
  <c r="U1672" i="12"/>
  <c r="U1737" i="12"/>
  <c r="U1803" i="12"/>
  <c r="U1868" i="12"/>
  <c r="U1934" i="12"/>
  <c r="U1999" i="12"/>
  <c r="U2065" i="12"/>
  <c r="U2131" i="12"/>
  <c r="U2195" i="12"/>
  <c r="U1130" i="12"/>
  <c r="U1656" i="12"/>
  <c r="U2148" i="12"/>
  <c r="U2242" i="12"/>
  <c r="U1073" i="12"/>
  <c r="U1599" i="12"/>
  <c r="U2122" i="12"/>
  <c r="U2235" i="12"/>
  <c r="U2299" i="12"/>
  <c r="U2363" i="12"/>
  <c r="U2429" i="12"/>
  <c r="U2495" i="12"/>
  <c r="U2559" i="12"/>
  <c r="U2625" i="12"/>
  <c r="U2691" i="12"/>
  <c r="U2756" i="12"/>
  <c r="U2823" i="12"/>
  <c r="U2889" i="12"/>
  <c r="T38" i="12"/>
  <c r="T105" i="12"/>
  <c r="U1081" i="12"/>
  <c r="U1607" i="12"/>
  <c r="U2124" i="12"/>
  <c r="U2236" i="12"/>
  <c r="U2300" i="12"/>
  <c r="U2364" i="12"/>
  <c r="U2430" i="12"/>
  <c r="U2496" i="12"/>
  <c r="U2560" i="12"/>
  <c r="U2626" i="12"/>
  <c r="U2692" i="12"/>
  <c r="U2757" i="12"/>
  <c r="U2824" i="12"/>
  <c r="U2890" i="12"/>
  <c r="T39" i="12"/>
  <c r="T106" i="12"/>
  <c r="T172" i="12"/>
  <c r="T236" i="12"/>
  <c r="U1023" i="12"/>
  <c r="U1549" i="12"/>
  <c r="U2074" i="12"/>
  <c r="U2229" i="12"/>
  <c r="U2293" i="12"/>
  <c r="U2357" i="12"/>
  <c r="U2423" i="12"/>
  <c r="U2489" i="12"/>
  <c r="U2553" i="12"/>
  <c r="U2619" i="12"/>
  <c r="U2685" i="12"/>
  <c r="U2750" i="12"/>
  <c r="U2816" i="12"/>
  <c r="U2882" i="12"/>
  <c r="T32" i="12"/>
  <c r="T99" i="12"/>
  <c r="T165" i="12"/>
  <c r="T229" i="12"/>
  <c r="T293" i="12"/>
  <c r="T357" i="12"/>
  <c r="T421" i="12"/>
  <c r="T486" i="12"/>
  <c r="T551" i="12"/>
  <c r="U1229" i="12"/>
  <c r="U1755" i="12"/>
  <c r="U2173" i="12"/>
  <c r="U2254" i="12"/>
  <c r="U2318" i="12"/>
  <c r="U2383" i="12"/>
  <c r="U2449" i="12"/>
  <c r="U2514" i="12"/>
  <c r="U2579" i="12"/>
  <c r="U2644" i="12"/>
  <c r="U2710" i="12"/>
  <c r="U2776" i="12"/>
  <c r="U2842" i="12"/>
  <c r="U2908" i="12"/>
  <c r="T57" i="12"/>
  <c r="T124" i="12"/>
  <c r="T190" i="12"/>
  <c r="T254" i="12"/>
  <c r="T318" i="12"/>
  <c r="T382" i="12"/>
  <c r="T447" i="12"/>
  <c r="T511" i="12"/>
  <c r="V708" i="12"/>
  <c r="U1369" i="12"/>
  <c r="U1894" i="12"/>
  <c r="U2201" i="12"/>
  <c r="U2271" i="12"/>
  <c r="U2335" i="12"/>
  <c r="U2401" i="12"/>
  <c r="U2466" i="12"/>
  <c r="U2531" i="12"/>
  <c r="U2596" i="12"/>
  <c r="U2662" i="12"/>
  <c r="U2727" i="12"/>
  <c r="U2794" i="12"/>
  <c r="U2860" i="12"/>
  <c r="U2925" i="12"/>
  <c r="T10" i="12"/>
  <c r="T75" i="12"/>
  <c r="T142" i="12"/>
  <c r="T207" i="12"/>
  <c r="T271" i="12"/>
  <c r="U1245" i="12"/>
  <c r="U1772" i="12"/>
  <c r="U2178" i="12"/>
  <c r="U2256" i="12"/>
  <c r="U2320" i="12"/>
  <c r="U2385" i="12"/>
  <c r="U2451" i="12"/>
  <c r="U2516" i="12"/>
  <c r="U2581" i="12"/>
  <c r="U2646" i="12"/>
  <c r="U2712" i="12"/>
  <c r="U2778" i="12"/>
  <c r="U2844" i="12"/>
  <c r="U2910" i="12"/>
  <c r="T59" i="12"/>
  <c r="T126" i="12"/>
  <c r="T192" i="12"/>
  <c r="T256" i="12"/>
  <c r="T320" i="12"/>
  <c r="T384" i="12"/>
  <c r="T449" i="12"/>
  <c r="T513" i="12"/>
  <c r="U1056" i="12"/>
  <c r="U2419" i="12"/>
  <c r="U2681" i="12"/>
  <c r="T95" i="12"/>
  <c r="T282" i="12"/>
  <c r="T385" i="12"/>
  <c r="T488" i="12"/>
  <c r="T584" i="12"/>
  <c r="T648" i="12"/>
  <c r="T715" i="12"/>
  <c r="T781" i="12"/>
  <c r="T847" i="12"/>
  <c r="T913" i="12"/>
  <c r="T979" i="12"/>
  <c r="T1045" i="12"/>
  <c r="T1110" i="12"/>
  <c r="T1176" i="12"/>
  <c r="T1242" i="12"/>
  <c r="T1308" i="12"/>
  <c r="T1374" i="12"/>
  <c r="T1440" i="12"/>
  <c r="U2290" i="12"/>
  <c r="U2550" i="12"/>
  <c r="U2813" i="12"/>
  <c r="T201" i="12"/>
  <c r="T335" i="12"/>
  <c r="T436" i="12"/>
  <c r="T541" i="12"/>
  <c r="T617" i="12"/>
  <c r="T683" i="12"/>
  <c r="T749" i="12"/>
  <c r="T815" i="12"/>
  <c r="T881" i="12"/>
  <c r="T947" i="12"/>
  <c r="T1013" i="12"/>
  <c r="T1079" i="12"/>
  <c r="T1144" i="12"/>
  <c r="T1211" i="12"/>
  <c r="T1276" i="12"/>
  <c r="T1342" i="12"/>
  <c r="T1408" i="12"/>
  <c r="U1188" i="12"/>
  <c r="U2427" i="12"/>
  <c r="U2689" i="12"/>
  <c r="T103" i="12"/>
  <c r="T284" i="12"/>
  <c r="T387" i="12"/>
  <c r="T491" i="12"/>
  <c r="T586" i="12"/>
  <c r="T650" i="12"/>
  <c r="T717" i="12"/>
  <c r="T783" i="12"/>
  <c r="T849" i="12"/>
  <c r="T915" i="12"/>
  <c r="T981" i="12"/>
  <c r="T1047" i="12"/>
  <c r="T1112" i="12"/>
  <c r="T1178" i="12"/>
  <c r="T1244" i="12"/>
  <c r="T1310" i="12"/>
  <c r="T1376" i="12"/>
  <c r="T1442" i="12"/>
  <c r="U2362" i="12"/>
  <c r="U2624" i="12"/>
  <c r="U2887" i="12"/>
  <c r="T37" i="12"/>
  <c r="T249" i="12"/>
  <c r="T363" i="12"/>
  <c r="T467" i="12"/>
  <c r="T571" i="12"/>
  <c r="T635" i="12"/>
  <c r="T702" i="12"/>
  <c r="T768" i="12"/>
  <c r="T834" i="12"/>
  <c r="T899" i="12"/>
  <c r="T965" i="12"/>
  <c r="T1031" i="12"/>
  <c r="T1097" i="12"/>
  <c r="T1163" i="12"/>
  <c r="T1229" i="12"/>
  <c r="T1295" i="12"/>
  <c r="T1361" i="12"/>
  <c r="T1427" i="12"/>
  <c r="U2305" i="12"/>
  <c r="U2565" i="12"/>
  <c r="U2829" i="12"/>
  <c r="T209" i="12"/>
  <c r="T339" i="12"/>
  <c r="T443" i="12"/>
  <c r="T547" i="12"/>
  <c r="T620" i="12"/>
  <c r="T686" i="12"/>
  <c r="T752" i="12"/>
  <c r="T818" i="12"/>
  <c r="T884" i="12"/>
  <c r="T950" i="12"/>
  <c r="T1016" i="12"/>
  <c r="T1082" i="12"/>
  <c r="T1147" i="12"/>
  <c r="T1214" i="12"/>
  <c r="T1279" i="12"/>
  <c r="T1345" i="12"/>
  <c r="T1411" i="12"/>
  <c r="U1911" i="12"/>
  <c r="U2470" i="12"/>
  <c r="U2731" i="12"/>
  <c r="T145" i="12"/>
  <c r="T303" i="12"/>
  <c r="T404" i="12"/>
  <c r="T508" i="12"/>
  <c r="T597" i="12"/>
  <c r="T663" i="12"/>
  <c r="T729" i="12"/>
  <c r="T795" i="12"/>
  <c r="T860" i="12"/>
  <c r="T926" i="12"/>
  <c r="T992" i="12"/>
  <c r="T1058" i="12"/>
  <c r="T1124" i="12"/>
  <c r="T1190" i="12"/>
  <c r="T1256" i="12"/>
  <c r="T1321" i="12"/>
  <c r="T1387" i="12"/>
  <c r="T1453" i="12"/>
  <c r="U2379" i="12"/>
  <c r="U2640" i="12"/>
  <c r="U2904" i="12"/>
  <c r="T53" i="12"/>
  <c r="T258" i="12"/>
  <c r="T370" i="12"/>
  <c r="T474" i="12"/>
  <c r="T575" i="12"/>
  <c r="T639" i="12"/>
  <c r="T706" i="12"/>
  <c r="T772" i="12"/>
  <c r="T838" i="12"/>
  <c r="T904" i="12"/>
  <c r="T969" i="12"/>
  <c r="T1035" i="12"/>
  <c r="T1101" i="12"/>
  <c r="U2215" i="12"/>
  <c r="T606" i="12"/>
  <c r="T1133" i="12"/>
  <c r="T1413" i="12"/>
  <c r="T1514" i="12"/>
  <c r="T1579" i="12"/>
  <c r="T1645" i="12"/>
  <c r="T1711" i="12"/>
  <c r="T1777" i="12"/>
  <c r="T1842" i="12"/>
  <c r="T1907" i="12"/>
  <c r="T1973" i="12"/>
  <c r="T2038" i="12"/>
  <c r="T2104" i="12"/>
  <c r="T2169" i="12"/>
  <c r="T2233" i="12"/>
  <c r="T2297" i="12"/>
  <c r="T2361" i="12"/>
  <c r="T2427" i="12"/>
  <c r="T2493" i="12"/>
  <c r="T2557" i="12"/>
  <c r="T537" i="12"/>
  <c r="T1076" i="12"/>
  <c r="T1381" i="12"/>
  <c r="T1507" i="12"/>
  <c r="T1572" i="12"/>
  <c r="T1638" i="12"/>
  <c r="T1704" i="12"/>
  <c r="T1770" i="12"/>
  <c r="T1835" i="12"/>
  <c r="T1900" i="12"/>
  <c r="T1966" i="12"/>
  <c r="T2031" i="12"/>
  <c r="T2097" i="12"/>
  <c r="T2162" i="12"/>
  <c r="T2226" i="12"/>
  <c r="T2290" i="12"/>
  <c r="T2354" i="12"/>
  <c r="T2420" i="12"/>
  <c r="T2486" i="12"/>
  <c r="T2550" i="12"/>
  <c r="T2616" i="12"/>
  <c r="T2682" i="12"/>
  <c r="V363" i="12"/>
  <c r="V252" i="12"/>
  <c r="V326" i="12"/>
  <c r="V135" i="12"/>
  <c r="V647" i="12"/>
  <c r="V712" i="12"/>
  <c r="V1230" i="12"/>
  <c r="V425" i="12"/>
  <c r="V1039" i="12"/>
  <c r="V74" i="12"/>
  <c r="V1027" i="12"/>
  <c r="V797" i="12"/>
  <c r="V593" i="12"/>
  <c r="V572" i="12"/>
  <c r="V1494" i="12"/>
  <c r="V469" i="12"/>
  <c r="V1453" i="12"/>
  <c r="V1997" i="12"/>
  <c r="V744" i="12"/>
  <c r="V1564" i="12"/>
  <c r="V2089" i="12"/>
  <c r="V2607" i="12"/>
  <c r="V890" i="12"/>
  <c r="V1633" i="12"/>
  <c r="V2157" i="12"/>
  <c r="V1765" i="12"/>
  <c r="V2529" i="12"/>
  <c r="V896" i="12"/>
  <c r="V2114" i="12"/>
  <c r="V2754" i="12"/>
  <c r="V1457" i="12"/>
  <c r="V2363" i="12"/>
  <c r="V1853" i="12"/>
  <c r="V1675" i="12"/>
  <c r="V2232" i="12"/>
  <c r="V1825" i="12"/>
  <c r="V2318" i="12"/>
  <c r="V2663" i="12"/>
  <c r="U21" i="12"/>
  <c r="U210" i="12"/>
  <c r="U394" i="12"/>
  <c r="U540" i="12"/>
  <c r="V1780" i="12"/>
  <c r="V2378" i="12"/>
  <c r="V2647" i="12"/>
  <c r="V2889" i="12"/>
  <c r="U71" i="12"/>
  <c r="U203" i="12"/>
  <c r="U331" i="12"/>
  <c r="U460" i="12"/>
  <c r="V505" i="12"/>
  <c r="V1660" i="12"/>
  <c r="V2212" i="12"/>
  <c r="V2472" i="12"/>
  <c r="V2711" i="12"/>
  <c r="V2904" i="12"/>
  <c r="U81" i="12"/>
  <c r="U164" i="12"/>
  <c r="U252" i="12"/>
  <c r="U340" i="12"/>
  <c r="V509" i="12"/>
  <c r="V1298" i="12"/>
  <c r="V1710" i="12"/>
  <c r="V2029" i="12"/>
  <c r="V2237" i="12"/>
  <c r="V2367" i="12"/>
  <c r="V2489" i="12"/>
  <c r="V2609" i="12"/>
  <c r="V2729" i="12"/>
  <c r="V2847" i="12"/>
  <c r="U48" i="12"/>
  <c r="U115" i="12"/>
  <c r="U181" i="12"/>
  <c r="U245" i="12"/>
  <c r="U309" i="12"/>
  <c r="U373" i="12"/>
  <c r="U437" i="12"/>
  <c r="U502" i="12"/>
  <c r="U567" i="12"/>
  <c r="V1056" i="12"/>
  <c r="V1533" i="12"/>
  <c r="V1890" i="12"/>
  <c r="V2143" i="12"/>
  <c r="V2309" i="12"/>
  <c r="V2431" i="12"/>
  <c r="V2551" i="12"/>
  <c r="V2668" i="12"/>
  <c r="V2790" i="12"/>
  <c r="V2906" i="12"/>
  <c r="U17" i="12"/>
  <c r="U83" i="12"/>
  <c r="U150" i="12"/>
  <c r="U214" i="12"/>
  <c r="U278" i="12"/>
  <c r="U342" i="12"/>
  <c r="U406" i="12"/>
  <c r="U471" i="12"/>
  <c r="U536" i="12"/>
  <c r="V884" i="12"/>
  <c r="V1426" i="12"/>
  <c r="V1809" i="12"/>
  <c r="V2094" i="12"/>
  <c r="V2277" i="12"/>
  <c r="V2403" i="12"/>
  <c r="V2523" i="12"/>
  <c r="V2639" i="12"/>
  <c r="V2761" i="12"/>
  <c r="V2881" i="12"/>
  <c r="U67" i="12"/>
  <c r="U133" i="12"/>
  <c r="U199" i="12"/>
  <c r="U263" i="12"/>
  <c r="U327" i="12"/>
  <c r="U391" i="12"/>
  <c r="V2069" i="12"/>
  <c r="V2628" i="12"/>
  <c r="U192" i="12"/>
  <c r="U423" i="12"/>
  <c r="U553" i="12"/>
  <c r="U621" i="12"/>
  <c r="U687" i="12"/>
  <c r="U753" i="12"/>
  <c r="U819" i="12"/>
  <c r="U885" i="12"/>
  <c r="U951" i="12"/>
  <c r="V1939" i="12"/>
  <c r="V2570" i="12"/>
  <c r="U161" i="12"/>
  <c r="U408" i="12"/>
  <c r="U538" i="12"/>
  <c r="U614" i="12"/>
  <c r="U680" i="12"/>
  <c r="U746" i="12"/>
  <c r="U812" i="12"/>
  <c r="V885" i="12"/>
  <c r="V2278" i="12"/>
  <c r="V2762" i="12"/>
  <c r="U264" i="12"/>
  <c r="U458" i="12"/>
  <c r="U575" i="12"/>
  <c r="U639" i="12"/>
  <c r="U706" i="12"/>
  <c r="U772" i="12"/>
  <c r="U838" i="12"/>
  <c r="U904" i="12"/>
  <c r="V452" i="12"/>
  <c r="V2200" i="12"/>
  <c r="V2704" i="12"/>
  <c r="U233" i="12"/>
  <c r="U445" i="12"/>
  <c r="U568" i="12"/>
  <c r="U632" i="12"/>
  <c r="U699" i="12"/>
  <c r="U765" i="12"/>
  <c r="U830" i="12"/>
  <c r="U896" i="12"/>
  <c r="U962" i="12"/>
  <c r="V1857" i="12"/>
  <c r="V2537" i="12"/>
  <c r="U143" i="12"/>
  <c r="U399" i="12"/>
  <c r="U529" i="12"/>
  <c r="U609" i="12"/>
  <c r="U675" i="12"/>
  <c r="U741" i="12"/>
  <c r="U807" i="12"/>
  <c r="U873" i="12"/>
  <c r="U939" i="12"/>
  <c r="V1275" i="12"/>
  <c r="V2359" i="12"/>
  <c r="V2842" i="12"/>
  <c r="U44" i="12"/>
  <c r="U305" i="12"/>
  <c r="U481" i="12"/>
  <c r="U586" i="12"/>
  <c r="U650" i="12"/>
  <c r="U717" i="12"/>
  <c r="U783" i="12"/>
  <c r="U849" i="12"/>
  <c r="U915" i="12"/>
  <c r="V1894" i="12"/>
  <c r="V2553" i="12"/>
  <c r="U152" i="12"/>
  <c r="U401" i="12"/>
  <c r="U531" i="12"/>
  <c r="U611" i="12"/>
  <c r="U677" i="12"/>
  <c r="U743" i="12"/>
  <c r="U809" i="12"/>
  <c r="V2317" i="12"/>
  <c r="U777" i="12"/>
  <c r="U983" i="12"/>
  <c r="U1049" i="12"/>
  <c r="U1114" i="12"/>
  <c r="U1180" i="12"/>
  <c r="U1246" i="12"/>
  <c r="U1312" i="12"/>
  <c r="U1378" i="12"/>
  <c r="U1444" i="12"/>
  <c r="U1510" i="12"/>
  <c r="U1575" i="12"/>
  <c r="U1641" i="12"/>
  <c r="U1707" i="12"/>
  <c r="U1773" i="12"/>
  <c r="U1838" i="12"/>
  <c r="U1903" i="12"/>
  <c r="U1969" i="12"/>
  <c r="U2034" i="12"/>
  <c r="U2100" i="12"/>
  <c r="V2376" i="12"/>
  <c r="U785" i="12"/>
  <c r="U984" i="12"/>
  <c r="U1050" i="12"/>
  <c r="U1115" i="12"/>
  <c r="U1181" i="12"/>
  <c r="U1247" i="12"/>
  <c r="U1313" i="12"/>
  <c r="U1379" i="12"/>
  <c r="U1445" i="12"/>
  <c r="U1511" i="12"/>
  <c r="U1576" i="12"/>
  <c r="U1642" i="12"/>
  <c r="U1708" i="12"/>
  <c r="U1774" i="12"/>
  <c r="U1839" i="12"/>
  <c r="U1904" i="12"/>
  <c r="U1970" i="12"/>
  <c r="U2035" i="12"/>
  <c r="U2101" i="12"/>
  <c r="U2166" i="12"/>
  <c r="V1549" i="12"/>
  <c r="U728" i="12"/>
  <c r="U975" i="12"/>
  <c r="U1043" i="12"/>
  <c r="U1108" i="12"/>
  <c r="U1174" i="12"/>
  <c r="U1240" i="12"/>
  <c r="U1306" i="12"/>
  <c r="U1372" i="12"/>
  <c r="U1438" i="12"/>
  <c r="U1504" i="12"/>
  <c r="U1569" i="12"/>
  <c r="U1635" i="12"/>
  <c r="U1701" i="12"/>
  <c r="U1766" i="12"/>
  <c r="U1832" i="12"/>
  <c r="U1897" i="12"/>
  <c r="U1963" i="12"/>
  <c r="U2028" i="12"/>
  <c r="U2094" i="12"/>
  <c r="V2497" i="12"/>
  <c r="U802" i="12"/>
  <c r="U986" i="12"/>
  <c r="U1052" i="12"/>
  <c r="U1117" i="12"/>
  <c r="U1184" i="12"/>
  <c r="U1249" i="12"/>
  <c r="U1315" i="12"/>
  <c r="U1381" i="12"/>
  <c r="U1447" i="12"/>
  <c r="U1513" i="12"/>
  <c r="U1578" i="12"/>
  <c r="U1644" i="12"/>
  <c r="U1710" i="12"/>
  <c r="U1776" i="12"/>
  <c r="U1841" i="12"/>
  <c r="U1906" i="12"/>
  <c r="U1972" i="12"/>
  <c r="U2037" i="12"/>
  <c r="U2103" i="12"/>
  <c r="U2168" i="12"/>
  <c r="U534" i="12"/>
  <c r="U934" i="12"/>
  <c r="U1020" i="12"/>
  <c r="U1086" i="12"/>
  <c r="U1151" i="12"/>
  <c r="U1218" i="12"/>
  <c r="U1284" i="12"/>
  <c r="U1349" i="12"/>
  <c r="U1415" i="12"/>
  <c r="U1481" i="12"/>
  <c r="U1546" i="12"/>
  <c r="U1612" i="12"/>
  <c r="U1678" i="12"/>
  <c r="U1744" i="12"/>
  <c r="U1810" i="12"/>
  <c r="U1874" i="12"/>
  <c r="U1940" i="12"/>
  <c r="U2005" i="12"/>
  <c r="U2071" i="12"/>
  <c r="U2137" i="12"/>
  <c r="V2617" i="12"/>
  <c r="U818" i="12"/>
  <c r="U988" i="12"/>
  <c r="U1054" i="12"/>
  <c r="U1119" i="12"/>
  <c r="U1186" i="12"/>
  <c r="U1251" i="12"/>
  <c r="U1317" i="12"/>
  <c r="U1383" i="12"/>
  <c r="U1449" i="12"/>
  <c r="U1515" i="12"/>
  <c r="U1580" i="12"/>
  <c r="U1646" i="12"/>
  <c r="U1712" i="12"/>
  <c r="U1778" i="12"/>
  <c r="U1843" i="12"/>
  <c r="U1909" i="12"/>
  <c r="U1974" i="12"/>
  <c r="U2039" i="12"/>
  <c r="U2105" i="12"/>
  <c r="U562" i="12"/>
  <c r="U940" i="12"/>
  <c r="U1022" i="12"/>
  <c r="U1088" i="12"/>
  <c r="U1154" i="12"/>
  <c r="U1220" i="12"/>
  <c r="U1286" i="12"/>
  <c r="U1351" i="12"/>
  <c r="U1417" i="12"/>
  <c r="U1483" i="12"/>
  <c r="U1548" i="12"/>
  <c r="U1614" i="12"/>
  <c r="U1680" i="12"/>
  <c r="U1746" i="12"/>
  <c r="U1812" i="12"/>
  <c r="U1876" i="12"/>
  <c r="U1942" i="12"/>
  <c r="U2007" i="12"/>
  <c r="U2073" i="12"/>
  <c r="U2139" i="12"/>
  <c r="U2203" i="12"/>
  <c r="U1196" i="12"/>
  <c r="U1722" i="12"/>
  <c r="U2165" i="12"/>
  <c r="U2250" i="12"/>
  <c r="U1138" i="12"/>
  <c r="U1664" i="12"/>
  <c r="U2151" i="12"/>
  <c r="U2243" i="12"/>
  <c r="U2307" i="12"/>
  <c r="U2372" i="12"/>
  <c r="U2437" i="12"/>
  <c r="U2503" i="12"/>
  <c r="U2567" i="12"/>
  <c r="U2633" i="12"/>
  <c r="U2699" i="12"/>
  <c r="U2765" i="12"/>
  <c r="U2831" i="12"/>
  <c r="U2897" i="12"/>
  <c r="T46" i="12"/>
  <c r="T113" i="12"/>
  <c r="U1146" i="12"/>
  <c r="U1673" i="12"/>
  <c r="U2154" i="12"/>
  <c r="U2244" i="12"/>
  <c r="U2308" i="12"/>
  <c r="U2373" i="12"/>
  <c r="U2439" i="12"/>
  <c r="U2504" i="12"/>
  <c r="U2568" i="12"/>
  <c r="U2634" i="12"/>
  <c r="U2700" i="12"/>
  <c r="U2766" i="12"/>
  <c r="U2832" i="12"/>
  <c r="U2898" i="12"/>
  <c r="T47" i="12"/>
  <c r="T114" i="12"/>
  <c r="T180" i="12"/>
  <c r="T244" i="12"/>
  <c r="U1089" i="12"/>
  <c r="U1615" i="12"/>
  <c r="U2130" i="12"/>
  <c r="U2237" i="12"/>
  <c r="U2301" i="12"/>
  <c r="U2365" i="12"/>
  <c r="U2431" i="12"/>
  <c r="U2497" i="12"/>
  <c r="U2561" i="12"/>
  <c r="U2627" i="12"/>
  <c r="U2693" i="12"/>
  <c r="U2759" i="12"/>
  <c r="U2825" i="12"/>
  <c r="U2891" i="12"/>
  <c r="T40" i="12"/>
  <c r="T107" i="12"/>
  <c r="T173" i="12"/>
  <c r="T237" i="12"/>
  <c r="T301" i="12"/>
  <c r="T365" i="12"/>
  <c r="T429" i="12"/>
  <c r="T494" i="12"/>
  <c r="T559" i="12"/>
  <c r="U1295" i="12"/>
  <c r="U1821" i="12"/>
  <c r="U2189" i="12"/>
  <c r="U2262" i="12"/>
  <c r="U2326" i="12"/>
  <c r="U2391" i="12"/>
  <c r="U2457" i="12"/>
  <c r="U2522" i="12"/>
  <c r="U2587" i="12"/>
  <c r="U2653" i="12"/>
  <c r="U2718" i="12"/>
  <c r="U2784" i="12"/>
  <c r="U2850" i="12"/>
  <c r="U2916" i="12"/>
  <c r="T66" i="12"/>
  <c r="T132" i="12"/>
  <c r="T198" i="12"/>
  <c r="T262" i="12"/>
  <c r="T326" i="12"/>
  <c r="T390" i="12"/>
  <c r="T455" i="12"/>
  <c r="T519" i="12"/>
  <c r="U703" i="12"/>
  <c r="U1435" i="12"/>
  <c r="U1960" i="12"/>
  <c r="U2212" i="12"/>
  <c r="U2279" i="12"/>
  <c r="U2343" i="12"/>
  <c r="U2409" i="12"/>
  <c r="U2475" i="12"/>
  <c r="U2539" i="12"/>
  <c r="U2604" i="12"/>
  <c r="U2670" i="12"/>
  <c r="U2736" i="12"/>
  <c r="U2802" i="12"/>
  <c r="U2868" i="12"/>
  <c r="T18" i="12"/>
  <c r="T84" i="12"/>
  <c r="T151" i="12"/>
  <c r="T215" i="12"/>
  <c r="T279" i="12"/>
  <c r="U1311" i="12"/>
  <c r="U1837" i="12"/>
  <c r="U2192" i="12"/>
  <c r="U2264" i="12"/>
  <c r="U2328" i="12"/>
  <c r="U2393" i="12"/>
  <c r="U2459" i="12"/>
  <c r="U2524" i="12"/>
  <c r="U2589" i="12"/>
  <c r="U2655" i="12"/>
  <c r="U2720" i="12"/>
  <c r="U2786" i="12"/>
  <c r="U2852" i="12"/>
  <c r="U2918" i="12"/>
  <c r="T68" i="12"/>
  <c r="T134" i="12"/>
  <c r="T200" i="12"/>
  <c r="T264" i="12"/>
  <c r="T328" i="12"/>
  <c r="T392" i="12"/>
  <c r="T457" i="12"/>
  <c r="T521" i="12"/>
  <c r="U1582" i="12"/>
  <c r="U2452" i="12"/>
  <c r="U2713" i="12"/>
  <c r="T127" i="12"/>
  <c r="T295" i="12"/>
  <c r="T396" i="12"/>
  <c r="T500" i="12"/>
  <c r="T592" i="12"/>
  <c r="T657" i="12"/>
  <c r="T724" i="12"/>
  <c r="T789" i="12"/>
  <c r="T855" i="12"/>
  <c r="T921" i="12"/>
  <c r="T987" i="12"/>
  <c r="T1053" i="12"/>
  <c r="T1118" i="12"/>
  <c r="T1185" i="12"/>
  <c r="T1250" i="12"/>
  <c r="T1316" i="12"/>
  <c r="T1382" i="12"/>
  <c r="T1448" i="12"/>
  <c r="U2322" i="12"/>
  <c r="U2583" i="12"/>
  <c r="U2846" i="12"/>
  <c r="T219" i="12"/>
  <c r="T347" i="12"/>
  <c r="T451" i="12"/>
  <c r="T555" i="12"/>
  <c r="T625" i="12"/>
  <c r="T691" i="12"/>
  <c r="T757" i="12"/>
  <c r="T823" i="12"/>
  <c r="T889" i="12"/>
  <c r="T955" i="12"/>
  <c r="T1021" i="12"/>
  <c r="T1087" i="12"/>
  <c r="T1153" i="12"/>
  <c r="T1219" i="12"/>
  <c r="T1285" i="12"/>
  <c r="T1350" i="12"/>
  <c r="T1416" i="12"/>
  <c r="U1714" i="12"/>
  <c r="U2460" i="12"/>
  <c r="U2721" i="12"/>
  <c r="T135" i="12"/>
  <c r="T298" i="12"/>
  <c r="T401" i="12"/>
  <c r="T504" i="12"/>
  <c r="T594" i="12"/>
  <c r="T660" i="12"/>
  <c r="T726" i="12"/>
  <c r="T791" i="12"/>
  <c r="T857" i="12"/>
  <c r="T923" i="12"/>
  <c r="T989" i="12"/>
  <c r="T1055" i="12"/>
  <c r="T1120" i="12"/>
  <c r="T1187" i="12"/>
  <c r="T1253" i="12"/>
  <c r="T1318" i="12"/>
  <c r="T1384" i="12"/>
  <c r="T1450" i="12"/>
  <c r="U2395" i="12"/>
  <c r="U2657" i="12"/>
  <c r="U2920" i="12"/>
  <c r="T70" i="12"/>
  <c r="T267" i="12"/>
  <c r="T377" i="12"/>
  <c r="T480" i="12"/>
  <c r="T579" i="12"/>
  <c r="T643" i="12"/>
  <c r="T710" i="12"/>
  <c r="T776" i="12"/>
  <c r="T842" i="12"/>
  <c r="T908" i="12"/>
  <c r="T974" i="12"/>
  <c r="T1040" i="12"/>
  <c r="T1105" i="12"/>
  <c r="T1171" i="12"/>
  <c r="T1237" i="12"/>
  <c r="T1303" i="12"/>
  <c r="T1369" i="12"/>
  <c r="T1435" i="12"/>
  <c r="U2337" i="12"/>
  <c r="U2598" i="12"/>
  <c r="U2862" i="12"/>
  <c r="T12" i="12"/>
  <c r="T227" i="12"/>
  <c r="T353" i="12"/>
  <c r="T456" i="12"/>
  <c r="T558" i="12"/>
  <c r="T628" i="12"/>
  <c r="T695" i="12"/>
  <c r="T760" i="12"/>
  <c r="T826" i="12"/>
  <c r="T892" i="12"/>
  <c r="T958" i="12"/>
  <c r="T1024" i="12"/>
  <c r="T1090" i="12"/>
  <c r="T1156" i="12"/>
  <c r="T1222" i="12"/>
  <c r="T1288" i="12"/>
  <c r="T1354" i="12"/>
  <c r="T1419" i="12"/>
  <c r="U2204" i="12"/>
  <c r="U2502" i="12"/>
  <c r="U2764" i="12"/>
  <c r="T169" i="12"/>
  <c r="T315" i="12"/>
  <c r="T418" i="12"/>
  <c r="T522" i="12"/>
  <c r="T605" i="12"/>
  <c r="T671" i="12"/>
  <c r="T737" i="12"/>
  <c r="T803" i="12"/>
  <c r="T869" i="12"/>
  <c r="T935" i="12"/>
  <c r="T1000" i="12"/>
  <c r="T1066" i="12"/>
  <c r="T1132" i="12"/>
  <c r="T1198" i="12"/>
  <c r="T1264" i="12"/>
  <c r="T1330" i="12"/>
  <c r="T1396" i="12"/>
  <c r="U990" i="12"/>
  <c r="U2412" i="12"/>
  <c r="U2673" i="12"/>
  <c r="T87" i="12"/>
  <c r="T281" i="12"/>
  <c r="T383" i="12"/>
  <c r="T485" i="12"/>
  <c r="T583" i="12"/>
  <c r="T647" i="12"/>
  <c r="T714" i="12"/>
  <c r="T780" i="12"/>
  <c r="T846" i="12"/>
  <c r="T912" i="12"/>
  <c r="T978" i="12"/>
  <c r="T1044" i="12"/>
  <c r="T1109" i="12"/>
  <c r="U2509" i="12"/>
  <c r="T672" i="12"/>
  <c r="T1183" i="12"/>
  <c r="T1446" i="12"/>
  <c r="T1522" i="12"/>
  <c r="T1587" i="12"/>
  <c r="T1653" i="12"/>
  <c r="T1719" i="12"/>
  <c r="T1785" i="12"/>
  <c r="T1850" i="12"/>
  <c r="T1916" i="12"/>
  <c r="T1981" i="12"/>
  <c r="T2046" i="12"/>
  <c r="T2112" i="12"/>
  <c r="T2177" i="12"/>
  <c r="T2241" i="12"/>
  <c r="T2305" i="12"/>
  <c r="T2370" i="12"/>
  <c r="T2435" i="12"/>
  <c r="T2501" i="12"/>
  <c r="U2281" i="12"/>
  <c r="T614" i="12"/>
  <c r="T1141" i="12"/>
  <c r="T1414" i="12"/>
  <c r="T1515" i="12"/>
  <c r="T1580" i="12"/>
  <c r="T1646" i="12"/>
  <c r="T1712" i="12"/>
  <c r="T1778" i="12"/>
  <c r="T1843" i="12"/>
  <c r="T1909" i="12"/>
  <c r="T1974" i="12"/>
  <c r="T2039" i="12"/>
  <c r="T2105" i="12"/>
  <c r="T2170" i="12"/>
  <c r="T2234" i="12"/>
  <c r="T2298" i="12"/>
  <c r="T2362" i="12"/>
  <c r="T2428" i="12"/>
  <c r="V427" i="12"/>
  <c r="V45" i="12"/>
  <c r="V390" i="12"/>
  <c r="V199" i="12"/>
  <c r="V711" i="12"/>
  <c r="V782" i="12"/>
  <c r="V1294" i="12"/>
  <c r="V528" i="12"/>
  <c r="V1103" i="12"/>
  <c r="V266" i="12"/>
  <c r="V114" i="12"/>
  <c r="V883" i="12"/>
  <c r="V709" i="12"/>
  <c r="V755" i="12"/>
  <c r="V1569" i="12"/>
  <c r="V677" i="12"/>
  <c r="V1538" i="12"/>
  <c r="V2063" i="12"/>
  <c r="V882" i="12"/>
  <c r="V1630" i="12"/>
  <c r="V2154" i="12"/>
  <c r="V2673" i="12"/>
  <c r="V1025" i="12"/>
  <c r="V1699" i="12"/>
  <c r="V2221" i="12"/>
  <c r="V1896" i="12"/>
  <c r="V2603" i="12"/>
  <c r="V1153" i="12"/>
  <c r="V2216" i="12"/>
  <c r="V2831" i="12"/>
  <c r="V1606" i="12"/>
  <c r="V2439" i="12"/>
  <c r="V428" i="12"/>
  <c r="V1972" i="12"/>
  <c r="V1806" i="12"/>
  <c r="V80" i="12"/>
  <c r="V1861" i="12"/>
  <c r="V2407" i="12"/>
  <c r="V2676" i="12"/>
  <c r="U70" i="12"/>
  <c r="U218" i="12"/>
  <c r="U402" i="12"/>
  <c r="V745" i="12"/>
  <c r="V1828" i="12"/>
  <c r="V2394" i="12"/>
  <c r="V2677" i="12"/>
  <c r="V2914" i="12"/>
  <c r="U88" i="12"/>
  <c r="U219" i="12"/>
  <c r="U347" i="12"/>
  <c r="U476" i="12"/>
  <c r="V750" i="12"/>
  <c r="V1746" i="12"/>
  <c r="V2254" i="12"/>
  <c r="V2500" i="12"/>
  <c r="V2741" i="12"/>
  <c r="V2915" i="12"/>
  <c r="U7" i="12"/>
  <c r="U89" i="12"/>
  <c r="U172" i="12"/>
  <c r="U268" i="12"/>
  <c r="U348" i="12"/>
  <c r="V661" i="12"/>
  <c r="V1361" i="12"/>
  <c r="V1747" i="12"/>
  <c r="V2058" i="12"/>
  <c r="V2255" i="12"/>
  <c r="V2384" i="12"/>
  <c r="V2505" i="12"/>
  <c r="V2621" i="12"/>
  <c r="V2742" i="12"/>
  <c r="V2864" i="12"/>
  <c r="U56" i="12"/>
  <c r="U123" i="12"/>
  <c r="U189" i="12"/>
  <c r="U253" i="12"/>
  <c r="U317" i="12"/>
  <c r="U381" i="12"/>
  <c r="U446" i="12"/>
  <c r="U510" i="12"/>
  <c r="V186" i="12"/>
  <c r="V1138" i="12"/>
  <c r="V1581" i="12"/>
  <c r="V1927" i="12"/>
  <c r="V2168" i="12"/>
  <c r="V2327" i="12"/>
  <c r="V2444" i="12"/>
  <c r="V2563" i="12"/>
  <c r="V2685" i="12"/>
  <c r="V2806" i="12"/>
  <c r="V2920" i="12"/>
  <c r="U25" i="12"/>
  <c r="U91" i="12"/>
  <c r="U158" i="12"/>
  <c r="U222" i="12"/>
  <c r="U286" i="12"/>
  <c r="U350" i="12"/>
  <c r="U414" i="12"/>
  <c r="U479" i="12"/>
  <c r="U544" i="12"/>
  <c r="V980" i="12"/>
  <c r="V1489" i="12"/>
  <c r="V1845" i="12"/>
  <c r="V2120" i="12"/>
  <c r="V2295" i="12"/>
  <c r="V2416" i="12"/>
  <c r="V2536" i="12"/>
  <c r="V2656" i="12"/>
  <c r="V2777" i="12"/>
  <c r="V2896" i="12"/>
  <c r="U10" i="12"/>
  <c r="U75" i="12"/>
  <c r="U142" i="12"/>
  <c r="U207" i="12"/>
  <c r="U271" i="12"/>
  <c r="U335" i="12"/>
  <c r="V273" i="12"/>
  <c r="V2174" i="12"/>
  <c r="V2687" i="12"/>
  <c r="U224" i="12"/>
  <c r="U440" i="12"/>
  <c r="U563" i="12"/>
  <c r="U629" i="12"/>
  <c r="U696" i="12"/>
  <c r="U761" i="12"/>
  <c r="U827" i="12"/>
  <c r="U893" i="12"/>
  <c r="U959" i="12"/>
  <c r="V2070" i="12"/>
  <c r="V2629" i="12"/>
  <c r="U193" i="12"/>
  <c r="U424" i="12"/>
  <c r="U554" i="12"/>
  <c r="U622" i="12"/>
  <c r="U688" i="12"/>
  <c r="U754" i="12"/>
  <c r="U820" i="12"/>
  <c r="V1211" i="12"/>
  <c r="V2345" i="12"/>
  <c r="V2825" i="12"/>
  <c r="U35" i="12"/>
  <c r="U296" i="12"/>
  <c r="U474" i="12"/>
  <c r="U583" i="12"/>
  <c r="U647" i="12"/>
  <c r="U714" i="12"/>
  <c r="U780" i="12"/>
  <c r="U846" i="12"/>
  <c r="U912" i="12"/>
  <c r="V913" i="12"/>
  <c r="V2279" i="12"/>
  <c r="V2767" i="12"/>
  <c r="U4" i="12"/>
  <c r="U265" i="12"/>
  <c r="U461" i="12"/>
  <c r="U576" i="12"/>
  <c r="U640" i="12"/>
  <c r="U707" i="12"/>
  <c r="U773" i="12"/>
  <c r="U839" i="12"/>
  <c r="U905" i="12"/>
  <c r="U970" i="12"/>
  <c r="V2004" i="12"/>
  <c r="V2598" i="12"/>
  <c r="U176" i="12"/>
  <c r="U415" i="12"/>
  <c r="U545" i="12"/>
  <c r="U617" i="12"/>
  <c r="U683" i="12"/>
  <c r="U749" i="12"/>
  <c r="U815" i="12"/>
  <c r="U881" i="12"/>
  <c r="U947" i="12"/>
  <c r="V1507" i="12"/>
  <c r="V2422" i="12"/>
  <c r="V2898" i="12"/>
  <c r="U77" i="12"/>
  <c r="U337" i="12"/>
  <c r="U497" i="12"/>
  <c r="U594" i="12"/>
  <c r="U660" i="12"/>
  <c r="U726" i="12"/>
  <c r="U791" i="12"/>
  <c r="U857" i="12"/>
  <c r="U923" i="12"/>
  <c r="V2043" i="12"/>
  <c r="V2612" i="12"/>
  <c r="U184" i="12"/>
  <c r="U417" i="12"/>
  <c r="U547" i="12"/>
  <c r="U619" i="12"/>
  <c r="U685" i="12"/>
  <c r="U751" i="12"/>
  <c r="U817" i="12"/>
  <c r="V2796" i="12"/>
  <c r="U843" i="12"/>
  <c r="U991" i="12"/>
  <c r="U1057" i="12"/>
  <c r="U1123" i="12"/>
  <c r="U1189" i="12"/>
  <c r="U1255" i="12"/>
  <c r="U1320" i="12"/>
  <c r="U1386" i="12"/>
  <c r="U1452" i="12"/>
  <c r="U1518" i="12"/>
  <c r="U1583" i="12"/>
  <c r="U1649" i="12"/>
  <c r="U1715" i="12"/>
  <c r="U1781" i="12"/>
  <c r="U1846" i="12"/>
  <c r="U1912" i="12"/>
  <c r="U1977" i="12"/>
  <c r="U2042" i="12"/>
  <c r="U2108" i="12"/>
  <c r="V2855" i="12"/>
  <c r="U851" i="12"/>
  <c r="U992" i="12"/>
  <c r="U1058" i="12"/>
  <c r="U1124" i="12"/>
  <c r="U1190" i="12"/>
  <c r="U1256" i="12"/>
  <c r="U1321" i="12"/>
  <c r="U1387" i="12"/>
  <c r="U1453" i="12"/>
  <c r="U1519" i="12"/>
  <c r="U1584" i="12"/>
  <c r="U1650" i="12"/>
  <c r="U1716" i="12"/>
  <c r="U1782" i="12"/>
  <c r="U1847" i="12"/>
  <c r="U1913" i="12"/>
  <c r="U1978" i="12"/>
  <c r="U2043" i="12"/>
  <c r="U2109" i="12"/>
  <c r="U2174" i="12"/>
  <c r="V2434" i="12"/>
  <c r="U794" i="12"/>
  <c r="U985" i="12"/>
  <c r="U1051" i="12"/>
  <c r="U1116" i="12"/>
  <c r="U1183" i="12"/>
  <c r="U1248" i="12"/>
  <c r="U1314" i="12"/>
  <c r="U1380" i="12"/>
  <c r="U1446" i="12"/>
  <c r="U1512" i="12"/>
  <c r="U1577" i="12"/>
  <c r="U1643" i="12"/>
  <c r="U1709" i="12"/>
  <c r="U1775" i="12"/>
  <c r="U1840" i="12"/>
  <c r="U1905" i="12"/>
  <c r="U1971" i="12"/>
  <c r="U2036" i="12"/>
  <c r="U2102" i="12"/>
  <c r="U867" i="12"/>
  <c r="U994" i="12"/>
  <c r="U1060" i="12"/>
  <c r="U1126" i="12"/>
  <c r="U1192" i="12"/>
  <c r="U1258" i="12"/>
  <c r="U1324" i="12"/>
  <c r="U1389" i="12"/>
  <c r="U1455" i="12"/>
  <c r="U1521" i="12"/>
  <c r="U1586" i="12"/>
  <c r="U1652" i="12"/>
  <c r="U1718" i="12"/>
  <c r="U1784" i="12"/>
  <c r="U1849" i="12"/>
  <c r="U1915" i="12"/>
  <c r="U1980" i="12"/>
  <c r="U2045" i="12"/>
  <c r="U2111" i="12"/>
  <c r="U2176" i="12"/>
  <c r="U612" i="12"/>
  <c r="U950" i="12"/>
  <c r="U1028" i="12"/>
  <c r="U1094" i="12"/>
  <c r="U1160" i="12"/>
  <c r="U1226" i="12"/>
  <c r="U1292" i="12"/>
  <c r="U1358" i="12"/>
  <c r="U1424" i="12"/>
  <c r="U1489" i="12"/>
  <c r="U1554" i="12"/>
  <c r="U1620" i="12"/>
  <c r="U1686" i="12"/>
  <c r="U1752" i="12"/>
  <c r="U1818" i="12"/>
  <c r="U1883" i="12"/>
  <c r="U1949" i="12"/>
  <c r="U2013" i="12"/>
  <c r="U2079" i="12"/>
  <c r="U2145" i="12"/>
  <c r="U870" i="12"/>
  <c r="U996" i="12"/>
  <c r="U1062" i="12"/>
  <c r="U1128" i="12"/>
  <c r="U1194" i="12"/>
  <c r="U1260" i="12"/>
  <c r="U1326" i="12"/>
  <c r="U1391" i="12"/>
  <c r="U1457" i="12"/>
  <c r="U1523" i="12"/>
  <c r="U1588" i="12"/>
  <c r="U1654" i="12"/>
  <c r="U1720" i="12"/>
  <c r="U1786" i="12"/>
  <c r="U1851" i="12"/>
  <c r="U1917" i="12"/>
  <c r="U1982" i="12"/>
  <c r="U2047" i="12"/>
  <c r="U2113" i="12"/>
  <c r="U628" i="12"/>
  <c r="U956" i="12"/>
  <c r="U1030" i="12"/>
  <c r="U1096" i="12"/>
  <c r="U1162" i="12"/>
  <c r="U1228" i="12"/>
  <c r="U1294" i="12"/>
  <c r="U1360" i="12"/>
  <c r="U1426" i="12"/>
  <c r="U1492" i="12"/>
  <c r="U1556" i="12"/>
  <c r="U1622" i="12"/>
  <c r="U1688" i="12"/>
  <c r="U1754" i="12"/>
  <c r="U1820" i="12"/>
  <c r="U1885" i="12"/>
  <c r="U1951" i="12"/>
  <c r="U2015" i="12"/>
  <c r="U2081" i="12"/>
  <c r="U2147" i="12"/>
  <c r="U2211" i="12"/>
  <c r="U1262" i="12"/>
  <c r="U1788" i="12"/>
  <c r="U2181" i="12"/>
  <c r="U2258" i="12"/>
  <c r="U1204" i="12"/>
  <c r="U1730" i="12"/>
  <c r="U2167" i="12"/>
  <c r="U2251" i="12"/>
  <c r="U2315" i="12"/>
  <c r="U2380" i="12"/>
  <c r="U2446" i="12"/>
  <c r="U2511" i="12"/>
  <c r="U2575" i="12"/>
  <c r="U2641" i="12"/>
  <c r="U2707" i="12"/>
  <c r="U2773" i="12"/>
  <c r="U2839" i="12"/>
  <c r="U2905" i="12"/>
  <c r="T54" i="12"/>
  <c r="T121" i="12"/>
  <c r="U1213" i="12"/>
  <c r="U1739" i="12"/>
  <c r="U2170" i="12"/>
  <c r="U2252" i="12"/>
  <c r="U2316" i="12"/>
  <c r="U2381" i="12"/>
  <c r="U2447" i="12"/>
  <c r="U2512" i="12"/>
  <c r="U2576" i="12"/>
  <c r="U2642" i="12"/>
  <c r="U2708" i="12"/>
  <c r="U2774" i="12"/>
  <c r="U2840" i="12"/>
  <c r="U2906" i="12"/>
  <c r="T55" i="12"/>
  <c r="T122" i="12"/>
  <c r="T188" i="12"/>
  <c r="T252" i="12"/>
  <c r="U1155" i="12"/>
  <c r="U1681" i="12"/>
  <c r="U2156" i="12"/>
  <c r="U2245" i="12"/>
  <c r="U2309" i="12"/>
  <c r="U2374" i="12"/>
  <c r="U2440" i="12"/>
  <c r="U2505" i="12"/>
  <c r="U2569" i="12"/>
  <c r="U2635" i="12"/>
  <c r="U2701" i="12"/>
  <c r="U2767" i="12"/>
  <c r="U2833" i="12"/>
  <c r="U2899" i="12"/>
  <c r="T48" i="12"/>
  <c r="T115" i="12"/>
  <c r="T181" i="12"/>
  <c r="T245" i="12"/>
  <c r="T309" i="12"/>
  <c r="T373" i="12"/>
  <c r="T437" i="12"/>
  <c r="T502" i="12"/>
  <c r="T567" i="12"/>
  <c r="U1361" i="12"/>
  <c r="U1886" i="12"/>
  <c r="U2200" i="12"/>
  <c r="U2270" i="12"/>
  <c r="U2334" i="12"/>
  <c r="U2400" i="12"/>
  <c r="U2465" i="12"/>
  <c r="U2530" i="12"/>
  <c r="U2595" i="12"/>
  <c r="U2661" i="12"/>
  <c r="U2726" i="12"/>
  <c r="U2793" i="12"/>
  <c r="U2859" i="12"/>
  <c r="U2924" i="12"/>
  <c r="T9" i="12"/>
  <c r="T74" i="12"/>
  <c r="T141" i="12"/>
  <c r="T206" i="12"/>
  <c r="T270" i="12"/>
  <c r="T334" i="12"/>
  <c r="T398" i="12"/>
  <c r="T463" i="12"/>
  <c r="T528" i="12"/>
  <c r="U969" i="12"/>
  <c r="U1501" i="12"/>
  <c r="U2025" i="12"/>
  <c r="U2223" i="12"/>
  <c r="U2287" i="12"/>
  <c r="U2351" i="12"/>
  <c r="U2417" i="12"/>
  <c r="U2483" i="12"/>
  <c r="U2547" i="12"/>
  <c r="U2613" i="12"/>
  <c r="U2679" i="12"/>
  <c r="U2744" i="12"/>
  <c r="U2810" i="12"/>
  <c r="U2876" i="12"/>
  <c r="T26" i="12"/>
  <c r="T93" i="12"/>
  <c r="T159" i="12"/>
  <c r="T223" i="12"/>
  <c r="V2246" i="12"/>
  <c r="U1377" i="12"/>
  <c r="U1902" i="12"/>
  <c r="U2202" i="12"/>
  <c r="U2272" i="12"/>
  <c r="U2336" i="12"/>
  <c r="U2402" i="12"/>
  <c r="U2467" i="12"/>
  <c r="U2532" i="12"/>
  <c r="U2597" i="12"/>
  <c r="U2663" i="12"/>
  <c r="U2729" i="12"/>
  <c r="U2795" i="12"/>
  <c r="U2861" i="12"/>
  <c r="U2926" i="12"/>
  <c r="T11" i="12"/>
  <c r="T76" i="12"/>
  <c r="T143" i="12"/>
  <c r="T208" i="12"/>
  <c r="T272" i="12"/>
  <c r="T336" i="12"/>
  <c r="T400" i="12"/>
  <c r="T465" i="12"/>
  <c r="T530" i="12"/>
  <c r="U2107" i="12"/>
  <c r="U2485" i="12"/>
  <c r="U2746" i="12"/>
  <c r="T154" i="12"/>
  <c r="T307" i="12"/>
  <c r="T410" i="12"/>
  <c r="T514" i="12"/>
  <c r="T600" i="12"/>
  <c r="T666" i="12"/>
  <c r="T732" i="12"/>
  <c r="T798" i="12"/>
  <c r="T864" i="12"/>
  <c r="T929" i="12"/>
  <c r="T995" i="12"/>
  <c r="T1061" i="12"/>
  <c r="T1127" i="12"/>
  <c r="T1193" i="12"/>
  <c r="T1259" i="12"/>
  <c r="T1325" i="12"/>
  <c r="T1390" i="12"/>
  <c r="T1456" i="12"/>
  <c r="U2354" i="12"/>
  <c r="U2616" i="12"/>
  <c r="U2879" i="12"/>
  <c r="T29" i="12"/>
  <c r="T242" i="12"/>
  <c r="T361" i="12"/>
  <c r="T464" i="12"/>
  <c r="T566" i="12"/>
  <c r="T633" i="12"/>
  <c r="T700" i="12"/>
  <c r="T766" i="12"/>
  <c r="T831" i="12"/>
  <c r="T897" i="12"/>
  <c r="T963" i="12"/>
  <c r="T1029" i="12"/>
  <c r="T1095" i="12"/>
  <c r="T1161" i="12"/>
  <c r="T1227" i="12"/>
  <c r="T1293" i="12"/>
  <c r="T1359" i="12"/>
  <c r="T1425" i="12"/>
  <c r="U2164" i="12"/>
  <c r="U2493" i="12"/>
  <c r="U2754" i="12"/>
  <c r="T161" i="12"/>
  <c r="T311" i="12"/>
  <c r="T412" i="12"/>
  <c r="T516" i="12"/>
  <c r="T602" i="12"/>
  <c r="T668" i="12"/>
  <c r="T734" i="12"/>
  <c r="T800" i="12"/>
  <c r="T866" i="12"/>
  <c r="T931" i="12"/>
  <c r="T997" i="12"/>
  <c r="T1063" i="12"/>
  <c r="T1129" i="12"/>
  <c r="T1195" i="12"/>
  <c r="T1261" i="12"/>
  <c r="T1327" i="12"/>
  <c r="T1393" i="12"/>
  <c r="U1254" i="12"/>
  <c r="U2428" i="12"/>
  <c r="U2690" i="12"/>
  <c r="T104" i="12"/>
  <c r="T287" i="12"/>
  <c r="T388" i="12"/>
  <c r="T492" i="12"/>
  <c r="T587" i="12"/>
  <c r="T651" i="12"/>
  <c r="T718" i="12"/>
  <c r="T784" i="12"/>
  <c r="T850" i="12"/>
  <c r="T916" i="12"/>
  <c r="T982" i="12"/>
  <c r="T1048" i="12"/>
  <c r="T1113" i="12"/>
  <c r="T1179" i="12"/>
  <c r="T1245" i="12"/>
  <c r="T1311" i="12"/>
  <c r="T1377" i="12"/>
  <c r="T1443" i="12"/>
  <c r="U2370" i="12"/>
  <c r="U2631" i="12"/>
  <c r="U2895" i="12"/>
  <c r="T44" i="12"/>
  <c r="T250" i="12"/>
  <c r="T364" i="12"/>
  <c r="T468" i="12"/>
  <c r="T572" i="12"/>
  <c r="T636" i="12"/>
  <c r="T703" i="12"/>
  <c r="T769" i="12"/>
  <c r="T835" i="12"/>
  <c r="T900" i="12"/>
  <c r="T966" i="12"/>
  <c r="T1032" i="12"/>
  <c r="T1098" i="12"/>
  <c r="T1164" i="12"/>
  <c r="T1230" i="12"/>
  <c r="T1296" i="12"/>
  <c r="T1362" i="12"/>
  <c r="T1428" i="12"/>
  <c r="U2273" i="12"/>
  <c r="U2534" i="12"/>
  <c r="U2797" i="12"/>
  <c r="T187" i="12"/>
  <c r="T329" i="12"/>
  <c r="T431" i="12"/>
  <c r="T534" i="12"/>
  <c r="T613" i="12"/>
  <c r="T679" i="12"/>
  <c r="T745" i="12"/>
  <c r="T811" i="12"/>
  <c r="T877" i="12"/>
  <c r="T943" i="12"/>
  <c r="T1009" i="12"/>
  <c r="T1075" i="12"/>
  <c r="T1140" i="12"/>
  <c r="T1206" i="12"/>
  <c r="T1272" i="12"/>
  <c r="T1338" i="12"/>
  <c r="T1404" i="12"/>
  <c r="U1517" i="12"/>
  <c r="U2445" i="12"/>
  <c r="U2706" i="12"/>
  <c r="T120" i="12"/>
  <c r="T292" i="12"/>
  <c r="T395" i="12"/>
  <c r="T499" i="12"/>
  <c r="T591" i="12"/>
  <c r="T656" i="12"/>
  <c r="T723" i="12"/>
  <c r="T788" i="12"/>
  <c r="T854" i="12"/>
  <c r="T920" i="12"/>
  <c r="T986" i="12"/>
  <c r="T1052" i="12"/>
  <c r="T1117" i="12"/>
  <c r="U2771" i="12"/>
  <c r="T738" i="12"/>
  <c r="T1216" i="12"/>
  <c r="T1463" i="12"/>
  <c r="T1530" i="12"/>
  <c r="T1595" i="12"/>
  <c r="T1661" i="12"/>
  <c r="T1727" i="12"/>
  <c r="T1793" i="12"/>
  <c r="T1858" i="12"/>
  <c r="T1924" i="12"/>
  <c r="T1989" i="12"/>
  <c r="T2055" i="12"/>
  <c r="T2121" i="12"/>
  <c r="T2185" i="12"/>
  <c r="T2249" i="12"/>
  <c r="T2313" i="12"/>
  <c r="T2378" i="12"/>
  <c r="T2444" i="12"/>
  <c r="T2509" i="12"/>
  <c r="U2541" i="12"/>
  <c r="T680" i="12"/>
  <c r="T1184" i="12"/>
  <c r="T1447" i="12"/>
  <c r="T1523" i="12"/>
  <c r="T1588" i="12"/>
  <c r="T1654" i="12"/>
  <c r="T1720" i="12"/>
  <c r="T1786" i="12"/>
  <c r="T1851" i="12"/>
  <c r="T1917" i="12"/>
  <c r="T1982" i="12"/>
  <c r="T2047" i="12"/>
  <c r="T2113" i="12"/>
  <c r="T2178" i="12"/>
  <c r="T2242" i="12"/>
  <c r="T2306" i="12"/>
  <c r="T2371" i="12"/>
  <c r="T2436" i="12"/>
  <c r="V491" i="12"/>
  <c r="V109" i="12"/>
  <c r="V454" i="12"/>
  <c r="V263" i="12"/>
  <c r="V48" i="12"/>
  <c r="V846" i="12"/>
  <c r="V1358" i="12"/>
  <c r="V628" i="12"/>
  <c r="V1167" i="12"/>
  <c r="V405" i="12"/>
  <c r="V292" i="12"/>
  <c r="V969" i="12"/>
  <c r="V802" i="12"/>
  <c r="V892" i="12"/>
  <c r="V1635" i="12"/>
  <c r="V828" i="12"/>
  <c r="V1604" i="12"/>
  <c r="V2129" i="12"/>
  <c r="V1019" i="12"/>
  <c r="V1695" i="12"/>
  <c r="V2218" i="12"/>
  <c r="V2739" i="12"/>
  <c r="V1147" i="12"/>
  <c r="V1764" i="12"/>
  <c r="V570" i="12"/>
  <c r="V2007" i="12"/>
  <c r="V2679" i="12"/>
  <c r="V1324" i="12"/>
  <c r="V2303" i="12"/>
  <c r="V2902" i="12"/>
  <c r="V1737" i="12"/>
  <c r="V2513" i="12"/>
  <c r="V801" i="12"/>
  <c r="V242" i="12"/>
  <c r="V1935" i="12"/>
  <c r="V917" i="12"/>
  <c r="V1910" i="12"/>
  <c r="V2423" i="12"/>
  <c r="V2768" i="12"/>
  <c r="U79" i="12"/>
  <c r="U266" i="12"/>
  <c r="U410" i="12"/>
  <c r="V843" i="12"/>
  <c r="V2054" i="12"/>
  <c r="V2411" i="12"/>
  <c r="V2740" i="12"/>
  <c r="U121" i="12"/>
  <c r="U251" i="12"/>
  <c r="U379" i="12"/>
  <c r="U508" i="12"/>
  <c r="V1115" i="12"/>
  <c r="V1923" i="12"/>
  <c r="V2320" i="12"/>
  <c r="V2561" i="12"/>
  <c r="V2786" i="12"/>
  <c r="U15" i="12"/>
  <c r="U98" i="12"/>
  <c r="U188" i="12"/>
  <c r="U276" i="12"/>
  <c r="U356" i="12"/>
  <c r="V852" i="12"/>
  <c r="V1420" i="12"/>
  <c r="V1795" i="12"/>
  <c r="V2084" i="12"/>
  <c r="V2275" i="12"/>
  <c r="V2397" i="12"/>
  <c r="V2517" i="12"/>
  <c r="V2637" i="12"/>
  <c r="V2759" i="12"/>
  <c r="V2879" i="12"/>
  <c r="U65" i="12"/>
  <c r="U131" i="12"/>
  <c r="U197" i="12"/>
  <c r="U261" i="12"/>
  <c r="U325" i="12"/>
  <c r="U389" i="12"/>
  <c r="U454" i="12"/>
  <c r="U518" i="12"/>
  <c r="V394" i="12"/>
  <c r="V1192" i="12"/>
  <c r="V1627" i="12"/>
  <c r="V1964" i="12"/>
  <c r="V2195" i="12"/>
  <c r="V2340" i="12"/>
  <c r="V2460" i="12"/>
  <c r="V2580" i="12"/>
  <c r="V2701" i="12"/>
  <c r="V2819" i="12"/>
  <c r="U33" i="12"/>
  <c r="U100" i="12"/>
  <c r="U166" i="12"/>
  <c r="U230" i="12"/>
  <c r="U294" i="12"/>
  <c r="U358" i="12"/>
  <c r="U422" i="12"/>
  <c r="U487" i="12"/>
  <c r="U552" i="12"/>
  <c r="V1057" i="12"/>
  <c r="V1545" i="12"/>
  <c r="V1893" i="12"/>
  <c r="V2147" i="12"/>
  <c r="V2310" i="12"/>
  <c r="V2432" i="12"/>
  <c r="V2552" i="12"/>
  <c r="V2672" i="12"/>
  <c r="V2791" i="12"/>
  <c r="V2907" i="12"/>
  <c r="U18" i="12"/>
  <c r="U84" i="12"/>
  <c r="U151" i="12"/>
  <c r="U215" i="12"/>
  <c r="U279" i="12"/>
  <c r="U343" i="12"/>
  <c r="V810" i="12"/>
  <c r="V2263" i="12"/>
  <c r="V2749" i="12"/>
  <c r="U256" i="12"/>
  <c r="U456" i="12"/>
  <c r="U573" i="12"/>
  <c r="U637" i="12"/>
  <c r="U704" i="12"/>
  <c r="U770" i="12"/>
  <c r="U836" i="12"/>
  <c r="U901" i="12"/>
  <c r="V274" i="12"/>
  <c r="V2175" i="12"/>
  <c r="V2692" i="12"/>
  <c r="U225" i="12"/>
  <c r="U441" i="12"/>
  <c r="U564" i="12"/>
  <c r="U630" i="12"/>
  <c r="U697" i="12"/>
  <c r="U763" i="12"/>
  <c r="U828" i="12"/>
  <c r="V1442" i="12"/>
  <c r="V2405" i="12"/>
  <c r="V2882" i="12"/>
  <c r="U68" i="12"/>
  <c r="U328" i="12"/>
  <c r="U490" i="12"/>
  <c r="U591" i="12"/>
  <c r="U656" i="12"/>
  <c r="U723" i="12"/>
  <c r="U788" i="12"/>
  <c r="U854" i="12"/>
  <c r="U920" i="12"/>
  <c r="V1212" i="12"/>
  <c r="V2347" i="12"/>
  <c r="V2826" i="12"/>
  <c r="U36" i="12"/>
  <c r="U297" i="12"/>
  <c r="U477" i="12"/>
  <c r="U584" i="12"/>
  <c r="U648" i="12"/>
  <c r="U715" i="12"/>
  <c r="U781" i="12"/>
  <c r="U847" i="12"/>
  <c r="U913" i="12"/>
  <c r="U979" i="12"/>
  <c r="V2123" i="12"/>
  <c r="V2658" i="12"/>
  <c r="U208" i="12"/>
  <c r="U431" i="12"/>
  <c r="U558" i="12"/>
  <c r="U625" i="12"/>
  <c r="U691" i="12"/>
  <c r="U757" i="12"/>
  <c r="U823" i="12"/>
  <c r="U889" i="12"/>
  <c r="U955" i="12"/>
  <c r="V1681" i="12"/>
  <c r="V2481" i="12"/>
  <c r="U111" i="12"/>
  <c r="U369" i="12"/>
  <c r="U513" i="12"/>
  <c r="U602" i="12"/>
  <c r="U668" i="12"/>
  <c r="U734" i="12"/>
  <c r="U800" i="12"/>
  <c r="U866" i="12"/>
  <c r="U931" i="12"/>
  <c r="V2148" i="12"/>
  <c r="V2674" i="12"/>
  <c r="U216" i="12"/>
  <c r="U433" i="12"/>
  <c r="U561" i="12"/>
  <c r="U627" i="12"/>
  <c r="U694" i="12"/>
  <c r="U759" i="12"/>
  <c r="U825" i="12"/>
  <c r="U20" i="12"/>
  <c r="U878" i="12"/>
  <c r="U999" i="12"/>
  <c r="U1065" i="12"/>
  <c r="U1131" i="12"/>
  <c r="U1197" i="12"/>
  <c r="U1263" i="12"/>
  <c r="U1329" i="12"/>
  <c r="U1395" i="12"/>
  <c r="U1460" i="12"/>
  <c r="U1526" i="12"/>
  <c r="U1591" i="12"/>
  <c r="U1657" i="12"/>
  <c r="U1723" i="12"/>
  <c r="U1789" i="12"/>
  <c r="U1854" i="12"/>
  <c r="U1920" i="12"/>
  <c r="U1985" i="12"/>
  <c r="U2051" i="12"/>
  <c r="U2116" i="12"/>
  <c r="U52" i="12"/>
  <c r="U883" i="12"/>
  <c r="U1000" i="12"/>
  <c r="U1066" i="12"/>
  <c r="U1132" i="12"/>
  <c r="U1198" i="12"/>
  <c r="U1264" i="12"/>
  <c r="U1330" i="12"/>
  <c r="U1396" i="12"/>
  <c r="U1461" i="12"/>
  <c r="U1527" i="12"/>
  <c r="U1592" i="12"/>
  <c r="U1658" i="12"/>
  <c r="U1724" i="12"/>
  <c r="U1790" i="12"/>
  <c r="U1855" i="12"/>
  <c r="U1921" i="12"/>
  <c r="U1986" i="12"/>
  <c r="U2052" i="12"/>
  <c r="U2117" i="12"/>
  <c r="U2182" i="12"/>
  <c r="V2912" i="12"/>
  <c r="U859" i="12"/>
  <c r="U993" i="12"/>
  <c r="U1059" i="12"/>
  <c r="U1125" i="12"/>
  <c r="U1191" i="12"/>
  <c r="U1257" i="12"/>
  <c r="U1323" i="12"/>
  <c r="U1388" i="12"/>
  <c r="U1454" i="12"/>
  <c r="U1520" i="12"/>
  <c r="U1585" i="12"/>
  <c r="U1651" i="12"/>
  <c r="U1717" i="12"/>
  <c r="U1783" i="12"/>
  <c r="U1848" i="12"/>
  <c r="U1914" i="12"/>
  <c r="U1979" i="12"/>
  <c r="U2044" i="12"/>
  <c r="U2110" i="12"/>
  <c r="U119" i="12"/>
  <c r="U886" i="12"/>
  <c r="U1003" i="12"/>
  <c r="U1068" i="12"/>
  <c r="U1134" i="12"/>
  <c r="U1200" i="12"/>
  <c r="U1266" i="12"/>
  <c r="U1332" i="12"/>
  <c r="U1398" i="12"/>
  <c r="U1464" i="12"/>
  <c r="U1529" i="12"/>
  <c r="U1594" i="12"/>
  <c r="U1660" i="12"/>
  <c r="U1726" i="12"/>
  <c r="U1792" i="12"/>
  <c r="U1857" i="12"/>
  <c r="U1923" i="12"/>
  <c r="U1988" i="12"/>
  <c r="U2054" i="12"/>
  <c r="U2120" i="12"/>
  <c r="U2184" i="12"/>
  <c r="U678" i="12"/>
  <c r="U966" i="12"/>
  <c r="U1036" i="12"/>
  <c r="U1102" i="12"/>
  <c r="U1168" i="12"/>
  <c r="U1234" i="12"/>
  <c r="U1300" i="12"/>
  <c r="U1366" i="12"/>
  <c r="U1432" i="12"/>
  <c r="U1498" i="12"/>
  <c r="U1563" i="12"/>
  <c r="U1629" i="12"/>
  <c r="U1694" i="12"/>
  <c r="U1760" i="12"/>
  <c r="U1826" i="12"/>
  <c r="U1891" i="12"/>
  <c r="U1957" i="12"/>
  <c r="U2022" i="12"/>
  <c r="U2087" i="12"/>
  <c r="U2153" i="12"/>
  <c r="U185" i="12"/>
  <c r="U892" i="12"/>
  <c r="U1005" i="12"/>
  <c r="U1070" i="12"/>
  <c r="U1136" i="12"/>
  <c r="U1202" i="12"/>
  <c r="U1268" i="12"/>
  <c r="U1334" i="12"/>
  <c r="U1400" i="12"/>
  <c r="U1466" i="12"/>
  <c r="U1531" i="12"/>
  <c r="U1596" i="12"/>
  <c r="U1662" i="12"/>
  <c r="U1728" i="12"/>
  <c r="U1794" i="12"/>
  <c r="U1859" i="12"/>
  <c r="U1925" i="12"/>
  <c r="U1990" i="12"/>
  <c r="U2056" i="12"/>
  <c r="V56" i="12"/>
  <c r="U695" i="12"/>
  <c r="U968" i="12"/>
  <c r="U1039" i="12"/>
  <c r="U1104" i="12"/>
  <c r="U1170" i="12"/>
  <c r="U1236" i="12"/>
  <c r="U1302" i="12"/>
  <c r="U1368" i="12"/>
  <c r="U1434" i="12"/>
  <c r="U1500" i="12"/>
  <c r="U1565" i="12"/>
  <c r="U1631" i="12"/>
  <c r="U1696" i="12"/>
  <c r="U1762" i="12"/>
  <c r="U1828" i="12"/>
  <c r="U1893" i="12"/>
  <c r="U1959" i="12"/>
  <c r="U2024" i="12"/>
  <c r="U2090" i="12"/>
  <c r="U2155" i="12"/>
  <c r="U2219" i="12"/>
  <c r="U1328" i="12"/>
  <c r="U1853" i="12"/>
  <c r="U2194" i="12"/>
  <c r="U2266" i="12"/>
  <c r="U1270" i="12"/>
  <c r="U1796" i="12"/>
  <c r="U2183" i="12"/>
  <c r="U2259" i="12"/>
  <c r="U2323" i="12"/>
  <c r="U2388" i="12"/>
  <c r="U2454" i="12"/>
  <c r="U2519" i="12"/>
  <c r="U2584" i="12"/>
  <c r="U2650" i="12"/>
  <c r="U2715" i="12"/>
  <c r="U2781" i="12"/>
  <c r="U2847" i="12"/>
  <c r="U2913" i="12"/>
  <c r="T63" i="12"/>
  <c r="T129" i="12"/>
  <c r="U1278" i="12"/>
  <c r="U1804" i="12"/>
  <c r="U2186" i="12"/>
  <c r="U2260" i="12"/>
  <c r="U2324" i="12"/>
  <c r="U2389" i="12"/>
  <c r="U2455" i="12"/>
  <c r="U2520" i="12"/>
  <c r="U2585" i="12"/>
  <c r="U2651" i="12"/>
  <c r="U2716" i="12"/>
  <c r="U2782" i="12"/>
  <c r="U2848" i="12"/>
  <c r="U2914" i="12"/>
  <c r="T64" i="12"/>
  <c r="T130" i="12"/>
  <c r="T196" i="12"/>
  <c r="T260" i="12"/>
  <c r="U1221" i="12"/>
  <c r="U1747" i="12"/>
  <c r="U2172" i="12"/>
  <c r="U2253" i="12"/>
  <c r="U2317" i="12"/>
  <c r="U2382" i="12"/>
  <c r="U2448" i="12"/>
  <c r="U2513" i="12"/>
  <c r="U2577" i="12"/>
  <c r="U2643" i="12"/>
  <c r="U2709" i="12"/>
  <c r="U2775" i="12"/>
  <c r="U2841" i="12"/>
  <c r="U2907" i="12"/>
  <c r="T56" i="12"/>
  <c r="T123" i="12"/>
  <c r="T189" i="12"/>
  <c r="T253" i="12"/>
  <c r="T317" i="12"/>
  <c r="T381" i="12"/>
  <c r="T446" i="12"/>
  <c r="T510" i="12"/>
  <c r="U636" i="12"/>
  <c r="U1427" i="12"/>
  <c r="U1952" i="12"/>
  <c r="U2210" i="12"/>
  <c r="U2278" i="12"/>
  <c r="U2342" i="12"/>
  <c r="U2408" i="12"/>
  <c r="U2474" i="12"/>
  <c r="U2538" i="12"/>
  <c r="U2603" i="12"/>
  <c r="U2669" i="12"/>
  <c r="U2735" i="12"/>
  <c r="U2801" i="12"/>
  <c r="U2867" i="12"/>
  <c r="T17" i="12"/>
  <c r="T83" i="12"/>
  <c r="T150" i="12"/>
  <c r="T214" i="12"/>
  <c r="T278" i="12"/>
  <c r="T342" i="12"/>
  <c r="T406" i="12"/>
  <c r="T471" i="12"/>
  <c r="T536" i="12"/>
  <c r="U1040" i="12"/>
  <c r="U1566" i="12"/>
  <c r="U2091" i="12"/>
  <c r="U2231" i="12"/>
  <c r="U2295" i="12"/>
  <c r="U2359" i="12"/>
  <c r="U2425" i="12"/>
  <c r="U2491" i="12"/>
  <c r="U2555" i="12"/>
  <c r="U2621" i="12"/>
  <c r="U2687" i="12"/>
  <c r="U2752" i="12"/>
  <c r="U2819" i="12"/>
  <c r="U2884" i="12"/>
  <c r="T34" i="12"/>
  <c r="T101" i="12"/>
  <c r="T167" i="12"/>
  <c r="T231" i="12"/>
  <c r="U769" i="12"/>
  <c r="U1443" i="12"/>
  <c r="U1968" i="12"/>
  <c r="U2213" i="12"/>
  <c r="U2280" i="12"/>
  <c r="U2344" i="12"/>
  <c r="U2410" i="12"/>
  <c r="U2476" i="12"/>
  <c r="U2540" i="12"/>
  <c r="U2605" i="12"/>
  <c r="U2671" i="12"/>
  <c r="U2737" i="12"/>
  <c r="U2803" i="12"/>
  <c r="U2869" i="12"/>
  <c r="T19" i="12"/>
  <c r="T85" i="12"/>
  <c r="T152" i="12"/>
  <c r="T216" i="12"/>
  <c r="T280" i="12"/>
  <c r="T344" i="12"/>
  <c r="T408" i="12"/>
  <c r="T473" i="12"/>
  <c r="T538" i="12"/>
  <c r="U2233" i="12"/>
  <c r="U2517" i="12"/>
  <c r="U2779" i="12"/>
  <c r="T177" i="12"/>
  <c r="T321" i="12"/>
  <c r="T423" i="12"/>
  <c r="T526" i="12"/>
  <c r="T608" i="12"/>
  <c r="T674" i="12"/>
  <c r="T740" i="12"/>
  <c r="T806" i="12"/>
  <c r="T872" i="12"/>
  <c r="T938" i="12"/>
  <c r="T1004" i="12"/>
  <c r="T1069" i="12"/>
  <c r="T1135" i="12"/>
  <c r="T1201" i="12"/>
  <c r="T1267" i="12"/>
  <c r="T1333" i="12"/>
  <c r="T1399" i="12"/>
  <c r="T1465" i="12"/>
  <c r="U2387" i="12"/>
  <c r="U2649" i="12"/>
  <c r="U2912" i="12"/>
  <c r="T61" i="12"/>
  <c r="T265" i="12"/>
  <c r="T372" i="12"/>
  <c r="T476" i="12"/>
  <c r="T577" i="12"/>
  <c r="T641" i="12"/>
  <c r="T708" i="12"/>
  <c r="T774" i="12"/>
  <c r="T840" i="12"/>
  <c r="T906" i="12"/>
  <c r="T971" i="12"/>
  <c r="T1037" i="12"/>
  <c r="T1103" i="12"/>
  <c r="T1169" i="12"/>
  <c r="T1235" i="12"/>
  <c r="T1301" i="12"/>
  <c r="T1367" i="12"/>
  <c r="T1433" i="12"/>
  <c r="U2249" i="12"/>
  <c r="U2525" i="12"/>
  <c r="U2787" i="12"/>
  <c r="T179" i="12"/>
  <c r="T323" i="12"/>
  <c r="T426" i="12"/>
  <c r="T531" i="12"/>
  <c r="T610" i="12"/>
  <c r="T676" i="12"/>
  <c r="T742" i="12"/>
  <c r="T808" i="12"/>
  <c r="T874" i="12"/>
  <c r="T940" i="12"/>
  <c r="T1006" i="12"/>
  <c r="T1071" i="12"/>
  <c r="T1137" i="12"/>
  <c r="T1203" i="12"/>
  <c r="T1269" i="12"/>
  <c r="T1335" i="12"/>
  <c r="T1401" i="12"/>
  <c r="U1780" i="12"/>
  <c r="U2461" i="12"/>
  <c r="U2722" i="12"/>
  <c r="T136" i="12"/>
  <c r="T299" i="12"/>
  <c r="T402" i="12"/>
  <c r="T506" i="12"/>
  <c r="T595" i="12"/>
  <c r="T661" i="12"/>
  <c r="T727" i="12"/>
  <c r="T793" i="12"/>
  <c r="T858" i="12"/>
  <c r="T924" i="12"/>
  <c r="T990" i="12"/>
  <c r="T1056" i="12"/>
  <c r="T1121" i="12"/>
  <c r="T1188" i="12"/>
  <c r="T1254" i="12"/>
  <c r="T1319" i="12"/>
  <c r="T1385" i="12"/>
  <c r="T1451" i="12"/>
  <c r="U2403" i="12"/>
  <c r="U2664" i="12"/>
  <c r="U2927" i="12"/>
  <c r="T77" i="12"/>
  <c r="T273" i="12"/>
  <c r="T378" i="12"/>
  <c r="T482" i="12"/>
  <c r="T580" i="12"/>
  <c r="T644" i="12"/>
  <c r="T711" i="12"/>
  <c r="T777" i="12"/>
  <c r="T843" i="12"/>
  <c r="T909" i="12"/>
  <c r="T975" i="12"/>
  <c r="T1041" i="12"/>
  <c r="T1106" i="12"/>
  <c r="T1172" i="12"/>
  <c r="T1238" i="12"/>
  <c r="T1304" i="12"/>
  <c r="T1370" i="12"/>
  <c r="T1436" i="12"/>
  <c r="U2306" i="12"/>
  <c r="U2566" i="12"/>
  <c r="U2830" i="12"/>
  <c r="T210" i="12"/>
  <c r="T340" i="12"/>
  <c r="T444" i="12"/>
  <c r="T548" i="12"/>
  <c r="T621" i="12"/>
  <c r="T687" i="12"/>
  <c r="T753" i="12"/>
  <c r="T819" i="12"/>
  <c r="T885" i="12"/>
  <c r="T951" i="12"/>
  <c r="T1017" i="12"/>
  <c r="T1083" i="12"/>
  <c r="T1148" i="12"/>
  <c r="T1215" i="12"/>
  <c r="T1280" i="12"/>
  <c r="T1346" i="12"/>
  <c r="T1412" i="12"/>
  <c r="U2041" i="12"/>
  <c r="U2478" i="12"/>
  <c r="U2739" i="12"/>
  <c r="T153" i="12"/>
  <c r="T306" i="12"/>
  <c r="T409" i="12"/>
  <c r="T512" i="12"/>
  <c r="T599" i="12"/>
  <c r="T665" i="12"/>
  <c r="T731" i="12"/>
  <c r="T797" i="12"/>
  <c r="T863" i="12"/>
  <c r="T928" i="12"/>
  <c r="T994" i="12"/>
  <c r="T1060" i="12"/>
  <c r="T1126" i="12"/>
  <c r="T804" i="12"/>
  <c r="T1248" i="12"/>
  <c r="T1473" i="12"/>
  <c r="T1538" i="12"/>
  <c r="T1604" i="12"/>
  <c r="T1670" i="12"/>
  <c r="T1735" i="12"/>
  <c r="T1801" i="12"/>
  <c r="T1866" i="12"/>
  <c r="T1932" i="12"/>
  <c r="T1997" i="12"/>
  <c r="T2063" i="12"/>
  <c r="T2129" i="12"/>
  <c r="T2193" i="12"/>
  <c r="T2257" i="12"/>
  <c r="T2321" i="12"/>
  <c r="T2386" i="12"/>
  <c r="T2452" i="12"/>
  <c r="T2517" i="12"/>
  <c r="U2804" i="12"/>
  <c r="T746" i="12"/>
  <c r="T1217" i="12"/>
  <c r="T1464" i="12"/>
  <c r="T1531" i="12"/>
  <c r="T1596" i="12"/>
  <c r="T1662" i="12"/>
  <c r="T1728" i="12"/>
  <c r="T1794" i="12"/>
  <c r="T1859" i="12"/>
  <c r="T1925" i="12"/>
  <c r="T1990" i="12"/>
  <c r="T2056" i="12"/>
  <c r="T2122" i="12"/>
  <c r="T2186" i="12"/>
  <c r="T2250" i="12"/>
  <c r="T2314" i="12"/>
  <c r="T2379" i="12"/>
  <c r="T2445" i="12"/>
  <c r="V43" i="12"/>
  <c r="V555" i="12"/>
  <c r="V6" i="12"/>
  <c r="V518" i="12"/>
  <c r="V327" i="12"/>
  <c r="V205" i="12"/>
  <c r="V910" i="12"/>
  <c r="V1422" i="12"/>
  <c r="V713" i="12"/>
  <c r="V1231" i="12"/>
  <c r="V544" i="12"/>
  <c r="V145" i="12"/>
  <c r="V1053" i="12"/>
  <c r="V888" i="12"/>
  <c r="V1029" i="12"/>
  <c r="V1701" i="12"/>
  <c r="V965" i="12"/>
  <c r="V1670" i="12"/>
  <c r="V2193" i="12"/>
  <c r="V1141" i="12"/>
  <c r="V1761" i="12"/>
  <c r="V2282" i="12"/>
  <c r="V2805" i="12"/>
  <c r="V1235" i="12"/>
  <c r="V1830" i="12"/>
  <c r="V891" i="12"/>
  <c r="V2111" i="12"/>
  <c r="V2753" i="12"/>
  <c r="V1497" i="12"/>
  <c r="V2381" i="12"/>
  <c r="V1868" i="12"/>
  <c r="V2587" i="12"/>
  <c r="V1074" i="12"/>
  <c r="V693" i="12"/>
  <c r="V2040" i="12"/>
  <c r="V1013" i="12"/>
  <c r="V2103" i="12"/>
  <c r="V2440" i="12"/>
  <c r="V2781" i="12"/>
  <c r="U87" i="12"/>
  <c r="U274" i="12"/>
  <c r="U459" i="12"/>
  <c r="V922" i="12"/>
  <c r="V2081" i="12"/>
  <c r="V2499" i="12"/>
  <c r="V2752" i="12"/>
  <c r="U129" i="12"/>
  <c r="U259" i="12"/>
  <c r="U387" i="12"/>
  <c r="U516" i="12"/>
  <c r="V1186" i="12"/>
  <c r="V1954" i="12"/>
  <c r="V2337" i="12"/>
  <c r="V2573" i="12"/>
  <c r="V2800" i="12"/>
  <c r="U23" i="12"/>
  <c r="U106" i="12"/>
  <c r="U204" i="12"/>
  <c r="U284" i="12"/>
  <c r="U364" i="12"/>
  <c r="V954" i="12"/>
  <c r="V1468" i="12"/>
  <c r="V1841" i="12"/>
  <c r="V2110" i="12"/>
  <c r="V2288" i="12"/>
  <c r="V2414" i="12"/>
  <c r="V2533" i="12"/>
  <c r="V2654" i="12"/>
  <c r="V2771" i="12"/>
  <c r="V2891" i="12"/>
  <c r="U8" i="12"/>
  <c r="U73" i="12"/>
  <c r="U140" i="12"/>
  <c r="U205" i="12"/>
  <c r="U269" i="12"/>
  <c r="U333" i="12"/>
  <c r="U397" i="12"/>
  <c r="U462" i="12"/>
  <c r="U527" i="12"/>
  <c r="V548" i="12"/>
  <c r="V1253" i="12"/>
  <c r="V1664" i="12"/>
  <c r="V2002" i="12"/>
  <c r="V2220" i="12"/>
  <c r="V2356" i="12"/>
  <c r="V2477" i="12"/>
  <c r="V2593" i="12"/>
  <c r="V2713" i="12"/>
  <c r="V2835" i="12"/>
  <c r="U41" i="12"/>
  <c r="U108" i="12"/>
  <c r="U174" i="12"/>
  <c r="U238" i="12"/>
  <c r="U302" i="12"/>
  <c r="U366" i="12"/>
  <c r="U430" i="12"/>
  <c r="U495" i="12"/>
  <c r="V250" i="12"/>
  <c r="V1145" i="12"/>
  <c r="V1582" i="12"/>
  <c r="V1937" i="12"/>
  <c r="V2172" i="12"/>
  <c r="V2328" i="12"/>
  <c r="V2449" i="12"/>
  <c r="V2564" i="12"/>
  <c r="V2686" i="12"/>
  <c r="V2807" i="12"/>
  <c r="V2921" i="12"/>
  <c r="U26" i="12"/>
  <c r="U93" i="12"/>
  <c r="U159" i="12"/>
  <c r="U223" i="12"/>
  <c r="U287" i="12"/>
  <c r="U351" i="12"/>
  <c r="V1146" i="12"/>
  <c r="V2329" i="12"/>
  <c r="V2808" i="12"/>
  <c r="U27" i="12"/>
  <c r="U288" i="12"/>
  <c r="U472" i="12"/>
  <c r="U581" i="12"/>
  <c r="U645" i="12"/>
  <c r="U712" i="12"/>
  <c r="U778" i="12"/>
  <c r="U844" i="12"/>
  <c r="U910" i="12"/>
  <c r="V817" i="12"/>
  <c r="V2264" i="12"/>
  <c r="V2750" i="12"/>
  <c r="U257" i="12"/>
  <c r="U457" i="12"/>
  <c r="U574" i="12"/>
  <c r="U638" i="12"/>
  <c r="U705" i="12"/>
  <c r="U771" i="12"/>
  <c r="U837" i="12"/>
  <c r="V1632" i="12"/>
  <c r="V2463" i="12"/>
  <c r="U102" i="12"/>
  <c r="U360" i="12"/>
  <c r="U506" i="12"/>
  <c r="U599" i="12"/>
  <c r="U665" i="12"/>
  <c r="U731" i="12"/>
  <c r="U797" i="12"/>
  <c r="U863" i="12"/>
  <c r="U928" i="12"/>
  <c r="V1445" i="12"/>
  <c r="V2406" i="12"/>
  <c r="V2883" i="12"/>
  <c r="U69" i="12"/>
  <c r="U329" i="12"/>
  <c r="U493" i="12"/>
  <c r="U592" i="12"/>
  <c r="U657" i="12"/>
  <c r="U724" i="12"/>
  <c r="U789" i="12"/>
  <c r="U855" i="12"/>
  <c r="U921" i="12"/>
  <c r="V562" i="12"/>
  <c r="V2224" i="12"/>
  <c r="V2719" i="12"/>
  <c r="U240" i="12"/>
  <c r="U448" i="12"/>
  <c r="U569" i="12"/>
  <c r="U633" i="12"/>
  <c r="U700" i="12"/>
  <c r="U766" i="12"/>
  <c r="U831" i="12"/>
  <c r="U897" i="12"/>
  <c r="U963" i="12"/>
  <c r="V1860" i="12"/>
  <c r="V2541" i="12"/>
  <c r="U144" i="12"/>
  <c r="U400" i="12"/>
  <c r="U530" i="12"/>
  <c r="U610" i="12"/>
  <c r="U676" i="12"/>
  <c r="U742" i="12"/>
  <c r="U808" i="12"/>
  <c r="U874" i="12"/>
  <c r="V707" i="12"/>
  <c r="V2245" i="12"/>
  <c r="V2733" i="12"/>
  <c r="U248" i="12"/>
  <c r="U450" i="12"/>
  <c r="U571" i="12"/>
  <c r="U635" i="12"/>
  <c r="U702" i="12"/>
  <c r="U768" i="12"/>
  <c r="U834" i="12"/>
  <c r="U281" i="12"/>
  <c r="U900" i="12"/>
  <c r="U1008" i="12"/>
  <c r="U1074" i="12"/>
  <c r="U1139" i="12"/>
  <c r="U1205" i="12"/>
  <c r="U1271" i="12"/>
  <c r="U1337" i="12"/>
  <c r="U1403" i="12"/>
  <c r="U1469" i="12"/>
  <c r="U1534" i="12"/>
  <c r="U1600" i="12"/>
  <c r="U1665" i="12"/>
  <c r="U1731" i="12"/>
  <c r="U1797" i="12"/>
  <c r="U1862" i="12"/>
  <c r="U1928" i="12"/>
  <c r="U1993" i="12"/>
  <c r="U2059" i="12"/>
  <c r="U2125" i="12"/>
  <c r="U313" i="12"/>
  <c r="U903" i="12"/>
  <c r="U1009" i="12"/>
  <c r="U1075" i="12"/>
  <c r="U1140" i="12"/>
  <c r="U1206" i="12"/>
  <c r="U1272" i="12"/>
  <c r="U1338" i="12"/>
  <c r="U1404" i="12"/>
  <c r="U1470" i="12"/>
  <c r="U1535" i="12"/>
  <c r="U1601" i="12"/>
  <c r="U1666" i="12"/>
  <c r="U1732" i="12"/>
  <c r="U1798" i="12"/>
  <c r="U1863" i="12"/>
  <c r="U1929" i="12"/>
  <c r="U1994" i="12"/>
  <c r="U2060" i="12"/>
  <c r="U2126" i="12"/>
  <c r="U2190" i="12"/>
  <c r="U86" i="12"/>
  <c r="U884" i="12"/>
  <c r="U1001" i="12"/>
  <c r="U1067" i="12"/>
  <c r="U1133" i="12"/>
  <c r="U1199" i="12"/>
  <c r="U1265" i="12"/>
  <c r="U1331" i="12"/>
  <c r="U1397" i="12"/>
  <c r="U1463" i="12"/>
  <c r="U1528" i="12"/>
  <c r="U1593" i="12"/>
  <c r="U1659" i="12"/>
  <c r="U1725" i="12"/>
  <c r="U1791" i="12"/>
  <c r="U1856" i="12"/>
  <c r="U1922" i="12"/>
  <c r="U1987" i="12"/>
  <c r="U2053" i="12"/>
  <c r="U2119" i="12"/>
  <c r="U377" i="12"/>
  <c r="U909" i="12"/>
  <c r="U1011" i="12"/>
  <c r="U1077" i="12"/>
  <c r="U1142" i="12"/>
  <c r="U1209" i="12"/>
  <c r="U1274" i="12"/>
  <c r="U1340" i="12"/>
  <c r="U1406" i="12"/>
  <c r="U1472" i="12"/>
  <c r="U1537" i="12"/>
  <c r="U1603" i="12"/>
  <c r="U1669" i="12"/>
  <c r="U1734" i="12"/>
  <c r="U1800" i="12"/>
  <c r="U1865" i="12"/>
  <c r="U1931" i="12"/>
  <c r="U1996" i="12"/>
  <c r="U2062" i="12"/>
  <c r="U2128" i="12"/>
  <c r="V1906" i="12"/>
  <c r="U744" i="12"/>
  <c r="U977" i="12"/>
  <c r="U1045" i="12"/>
  <c r="U1110" i="12"/>
  <c r="U1176" i="12"/>
  <c r="U1242" i="12"/>
  <c r="U1308" i="12"/>
  <c r="U1374" i="12"/>
  <c r="U1440" i="12"/>
  <c r="U1506" i="12"/>
  <c r="U1571" i="12"/>
  <c r="U1637" i="12"/>
  <c r="U1703" i="12"/>
  <c r="U1769" i="12"/>
  <c r="U1834" i="12"/>
  <c r="U1899" i="12"/>
  <c r="U1965" i="12"/>
  <c r="U2030" i="12"/>
  <c r="U2096" i="12"/>
  <c r="U2161" i="12"/>
  <c r="U420" i="12"/>
  <c r="U916" i="12"/>
  <c r="U1013" i="12"/>
  <c r="U1079" i="12"/>
  <c r="U1144" i="12"/>
  <c r="U1211" i="12"/>
  <c r="U1276" i="12"/>
  <c r="U1342" i="12"/>
  <c r="U1408" i="12"/>
  <c r="U1474" i="12"/>
  <c r="U1539" i="12"/>
  <c r="U1605" i="12"/>
  <c r="U1671" i="12"/>
  <c r="U1736" i="12"/>
  <c r="U1802" i="12"/>
  <c r="U1867" i="12"/>
  <c r="U1933" i="12"/>
  <c r="U1998" i="12"/>
  <c r="U2064" i="12"/>
  <c r="V2150" i="12"/>
  <c r="U760" i="12"/>
  <c r="U981" i="12"/>
  <c r="U1047" i="12"/>
  <c r="U1112" i="12"/>
  <c r="U1178" i="12"/>
  <c r="U1244" i="12"/>
  <c r="U1310" i="12"/>
  <c r="U1376" i="12"/>
  <c r="U1442" i="12"/>
  <c r="U1508" i="12"/>
  <c r="U1573" i="12"/>
  <c r="U1639" i="12"/>
  <c r="U1705" i="12"/>
  <c r="U1771" i="12"/>
  <c r="U1836" i="12"/>
  <c r="U1901" i="12"/>
  <c r="U1967" i="12"/>
  <c r="U2032" i="12"/>
  <c r="U2098" i="12"/>
  <c r="U2163" i="12"/>
  <c r="U1394" i="12"/>
  <c r="U1919" i="12"/>
  <c r="U2205" i="12"/>
  <c r="U2274" i="12"/>
  <c r="U1336" i="12"/>
  <c r="U1861" i="12"/>
  <c r="U2196" i="12"/>
  <c r="U2267" i="12"/>
  <c r="U2331" i="12"/>
  <c r="U2396" i="12"/>
  <c r="U2462" i="12"/>
  <c r="U2527" i="12"/>
  <c r="U2592" i="12"/>
  <c r="U2658" i="12"/>
  <c r="U2723" i="12"/>
  <c r="U2790" i="12"/>
  <c r="U2855" i="12"/>
  <c r="U2921" i="12"/>
  <c r="T6" i="12"/>
  <c r="T71" i="12"/>
  <c r="T137" i="12"/>
  <c r="U1344" i="12"/>
  <c r="U1869" i="12"/>
  <c r="U2197" i="12"/>
  <c r="U2268" i="12"/>
  <c r="U2332" i="12"/>
  <c r="U2397" i="12"/>
  <c r="U2463" i="12"/>
  <c r="U2528" i="12"/>
  <c r="U2593" i="12"/>
  <c r="U2659" i="12"/>
  <c r="U2724" i="12"/>
  <c r="U2791" i="12"/>
  <c r="U2856" i="12"/>
  <c r="U2922" i="12"/>
  <c r="T7" i="12"/>
  <c r="T72" i="12"/>
  <c r="T139" i="12"/>
  <c r="T204" i="12"/>
  <c r="T268" i="12"/>
  <c r="U1287" i="12"/>
  <c r="U1813" i="12"/>
  <c r="U2188" i="12"/>
  <c r="U2261" i="12"/>
  <c r="U2325" i="12"/>
  <c r="U2390" i="12"/>
  <c r="U2456" i="12"/>
  <c r="U2521" i="12"/>
  <c r="U2586" i="12"/>
  <c r="U2652" i="12"/>
  <c r="U2717" i="12"/>
  <c r="U2783" i="12"/>
  <c r="U2849" i="12"/>
  <c r="U2915" i="12"/>
  <c r="T65" i="12"/>
  <c r="T131" i="12"/>
  <c r="T197" i="12"/>
  <c r="T261" i="12"/>
  <c r="T325" i="12"/>
  <c r="T389" i="12"/>
  <c r="T454" i="12"/>
  <c r="T518" i="12"/>
  <c r="U957" i="12"/>
  <c r="U1493" i="12"/>
  <c r="U2016" i="12"/>
  <c r="U2221" i="12"/>
  <c r="U2286" i="12"/>
  <c r="U2350" i="12"/>
  <c r="U2416" i="12"/>
  <c r="U2482" i="12"/>
  <c r="U2546" i="12"/>
  <c r="U2612" i="12"/>
  <c r="U2677" i="12"/>
  <c r="U2743" i="12"/>
  <c r="U2809" i="12"/>
  <c r="U2875" i="12"/>
  <c r="T25" i="12"/>
  <c r="T91" i="12"/>
  <c r="T158" i="12"/>
  <c r="T222" i="12"/>
  <c r="T286" i="12"/>
  <c r="T350" i="12"/>
  <c r="T414" i="12"/>
  <c r="T479" i="12"/>
  <c r="T544" i="12"/>
  <c r="U1105" i="12"/>
  <c r="U1632" i="12"/>
  <c r="U2138" i="12"/>
  <c r="U2239" i="12"/>
  <c r="U2303" i="12"/>
  <c r="U2367" i="12"/>
  <c r="U2433" i="12"/>
  <c r="U2499" i="12"/>
  <c r="U2563" i="12"/>
  <c r="U2629" i="12"/>
  <c r="U2695" i="12"/>
  <c r="U2761" i="12"/>
  <c r="U2827" i="12"/>
  <c r="U2893" i="12"/>
  <c r="T42" i="12"/>
  <c r="T109" i="12"/>
  <c r="T175" i="12"/>
  <c r="T239" i="12"/>
  <c r="U982" i="12"/>
  <c r="U1509" i="12"/>
  <c r="U2033" i="12"/>
  <c r="U2224" i="12"/>
  <c r="U2288" i="12"/>
  <c r="U2352" i="12"/>
  <c r="U2418" i="12"/>
  <c r="U2484" i="12"/>
  <c r="U2548" i="12"/>
  <c r="U2614" i="12"/>
  <c r="U2680" i="12"/>
  <c r="U2745" i="12"/>
  <c r="U2811" i="12"/>
  <c r="U2877" i="12"/>
  <c r="T27" i="12"/>
  <c r="T94" i="12"/>
  <c r="T160" i="12"/>
  <c r="T224" i="12"/>
  <c r="T288" i="12"/>
  <c r="T352" i="12"/>
  <c r="T416" i="12"/>
  <c r="T481" i="12"/>
  <c r="T546" i="12"/>
  <c r="U2289" i="12"/>
  <c r="U2549" i="12"/>
  <c r="U2812" i="12"/>
  <c r="T195" i="12"/>
  <c r="T332" i="12"/>
  <c r="T435" i="12"/>
  <c r="T540" i="12"/>
  <c r="T616" i="12"/>
  <c r="T682" i="12"/>
  <c r="T748" i="12"/>
  <c r="T814" i="12"/>
  <c r="T880" i="12"/>
  <c r="T946" i="12"/>
  <c r="T1012" i="12"/>
  <c r="T1078" i="12"/>
  <c r="T1143" i="12"/>
  <c r="T1210" i="12"/>
  <c r="T1275" i="12"/>
  <c r="T1341" i="12"/>
  <c r="T1407" i="12"/>
  <c r="U1121" i="12"/>
  <c r="U2420" i="12"/>
  <c r="U2682" i="12"/>
  <c r="T96" i="12"/>
  <c r="T283" i="12"/>
  <c r="T386" i="12"/>
  <c r="T490" i="12"/>
  <c r="T585" i="12"/>
  <c r="T649" i="12"/>
  <c r="T716" i="12"/>
  <c r="T782" i="12"/>
  <c r="T848" i="12"/>
  <c r="T914" i="12"/>
  <c r="T980" i="12"/>
  <c r="T1046" i="12"/>
  <c r="T1111" i="12"/>
  <c r="T1177" i="12"/>
  <c r="T1243" i="12"/>
  <c r="T1309" i="12"/>
  <c r="T1375" i="12"/>
  <c r="T1441" i="12"/>
  <c r="U2297" i="12"/>
  <c r="U2557" i="12"/>
  <c r="U2821" i="12"/>
  <c r="T202" i="12"/>
  <c r="T337" i="12"/>
  <c r="T440" i="12"/>
  <c r="T542" i="12"/>
  <c r="T618" i="12"/>
  <c r="T684" i="12"/>
  <c r="T750" i="12"/>
  <c r="T816" i="12"/>
  <c r="T882" i="12"/>
  <c r="T948" i="12"/>
  <c r="T1014" i="12"/>
  <c r="T1080" i="12"/>
  <c r="T1145" i="12"/>
  <c r="T1212" i="12"/>
  <c r="T1277" i="12"/>
  <c r="T1343" i="12"/>
  <c r="T1409" i="12"/>
  <c r="U2180" i="12"/>
  <c r="U2494" i="12"/>
  <c r="U2755" i="12"/>
  <c r="T162" i="12"/>
  <c r="T313" i="12"/>
  <c r="T415" i="12"/>
  <c r="T517" i="12"/>
  <c r="T603" i="12"/>
  <c r="T669" i="12"/>
  <c r="T735" i="12"/>
  <c r="T801" i="12"/>
  <c r="T867" i="12"/>
  <c r="T933" i="12"/>
  <c r="T998" i="12"/>
  <c r="T1064" i="12"/>
  <c r="T1130" i="12"/>
  <c r="T1196" i="12"/>
  <c r="T1262" i="12"/>
  <c r="T1328" i="12"/>
  <c r="T1394" i="12"/>
  <c r="U1319" i="12"/>
  <c r="U2435" i="12"/>
  <c r="U2697" i="12"/>
  <c r="T111" i="12"/>
  <c r="T289" i="12"/>
  <c r="T391" i="12"/>
  <c r="T493" i="12"/>
  <c r="T588" i="12"/>
  <c r="T653" i="12"/>
  <c r="T719" i="12"/>
  <c r="T785" i="12"/>
  <c r="T851" i="12"/>
  <c r="T917" i="12"/>
  <c r="T983" i="12"/>
  <c r="T1049" i="12"/>
  <c r="T1114" i="12"/>
  <c r="T1180" i="12"/>
  <c r="T1246" i="12"/>
  <c r="T1312" i="12"/>
  <c r="T1378" i="12"/>
  <c r="T1444" i="12"/>
  <c r="U2338" i="12"/>
  <c r="U2599" i="12"/>
  <c r="U2863" i="12"/>
  <c r="T13" i="12"/>
  <c r="T233" i="12"/>
  <c r="T354" i="12"/>
  <c r="T458" i="12"/>
  <c r="T561" i="12"/>
  <c r="T629" i="12"/>
  <c r="T696" i="12"/>
  <c r="T761" i="12"/>
  <c r="T827" i="12"/>
  <c r="T893" i="12"/>
  <c r="T959" i="12"/>
  <c r="T1025" i="12"/>
  <c r="T1091" i="12"/>
  <c r="T1157" i="12"/>
  <c r="T1223" i="12"/>
  <c r="T1289" i="12"/>
  <c r="T1355" i="12"/>
  <c r="T1420" i="12"/>
  <c r="U2225" i="12"/>
  <c r="U2510" i="12"/>
  <c r="U2772" i="12"/>
  <c r="T171" i="12"/>
  <c r="T319" i="12"/>
  <c r="T420" i="12"/>
  <c r="T525" i="12"/>
  <c r="T607" i="12"/>
  <c r="T673" i="12"/>
  <c r="T739" i="12"/>
  <c r="T805" i="12"/>
  <c r="T871" i="12"/>
  <c r="T937" i="12"/>
  <c r="T1003" i="12"/>
  <c r="T1068" i="12"/>
  <c r="T1134" i="12"/>
  <c r="T170" i="12"/>
  <c r="T870" i="12"/>
  <c r="T1281" i="12"/>
  <c r="T1481" i="12"/>
  <c r="T1546" i="12"/>
  <c r="T1612" i="12"/>
  <c r="T1678" i="12"/>
  <c r="T1744" i="12"/>
  <c r="T1810" i="12"/>
  <c r="T1874" i="12"/>
  <c r="T1940" i="12"/>
  <c r="T2005" i="12"/>
  <c r="T2071" i="12"/>
  <c r="T2137" i="12"/>
  <c r="T2201" i="12"/>
  <c r="T2265" i="12"/>
  <c r="T2329" i="12"/>
  <c r="T2394" i="12"/>
  <c r="T2460" i="12"/>
  <c r="T2525" i="12"/>
  <c r="T812" i="12"/>
  <c r="T1249" i="12"/>
  <c r="T1474" i="12"/>
  <c r="T1539" i="12"/>
  <c r="T1605" i="12"/>
  <c r="T1671" i="12"/>
  <c r="T1736" i="12"/>
  <c r="T1802" i="12"/>
  <c r="T1867" i="12"/>
  <c r="T1933" i="12"/>
  <c r="T1998" i="12"/>
  <c r="T2064" i="12"/>
  <c r="T2130" i="12"/>
  <c r="T2194" i="12"/>
  <c r="T2258" i="12"/>
  <c r="T2322" i="12"/>
  <c r="T2387" i="12"/>
  <c r="T2453" i="12"/>
  <c r="T2542" i="12"/>
  <c r="T2632" i="12"/>
  <c r="T2714" i="12"/>
  <c r="T2780" i="12"/>
  <c r="T2846" i="12"/>
  <c r="T2912" i="12"/>
  <c r="T549" i="12"/>
  <c r="T1084" i="12"/>
  <c r="T1388" i="12"/>
  <c r="T1508" i="12"/>
  <c r="T1573" i="12"/>
  <c r="T1639" i="12"/>
  <c r="T1705" i="12"/>
  <c r="T1771" i="12"/>
  <c r="T1836" i="12"/>
  <c r="T1901" i="12"/>
  <c r="T1967" i="12"/>
  <c r="T2032" i="12"/>
  <c r="T2098" i="12"/>
  <c r="T2163" i="12"/>
  <c r="T2227" i="12"/>
  <c r="T2291" i="12"/>
  <c r="T2355" i="12"/>
  <c r="T2421" i="12"/>
  <c r="T2487" i="12"/>
  <c r="T2551" i="12"/>
  <c r="T2617" i="12"/>
  <c r="T2683" i="12"/>
  <c r="T2748" i="12"/>
  <c r="T2814" i="12"/>
  <c r="T2880" i="12"/>
  <c r="T20" i="12"/>
  <c r="T828" i="12"/>
  <c r="T1258" i="12"/>
  <c r="T1476" i="12"/>
  <c r="T1541" i="12"/>
  <c r="T1607" i="12"/>
  <c r="T1673" i="12"/>
  <c r="T1739" i="12"/>
  <c r="T1804" i="12"/>
  <c r="T1869" i="12"/>
  <c r="T1935" i="12"/>
  <c r="T2000" i="12"/>
  <c r="T2066" i="12"/>
  <c r="T2132" i="12"/>
  <c r="T2196" i="12"/>
  <c r="T2260" i="12"/>
  <c r="T2324" i="12"/>
  <c r="T2389" i="12"/>
  <c r="T2455" i="12"/>
  <c r="T2520" i="12"/>
  <c r="T2585" i="12"/>
  <c r="T2651" i="12"/>
  <c r="T2716" i="12"/>
  <c r="T2782" i="12"/>
  <c r="T2848" i="12"/>
  <c r="T2914" i="12"/>
  <c r="T574" i="12"/>
  <c r="T1100" i="12"/>
  <c r="T1397" i="12"/>
  <c r="T1510" i="12"/>
  <c r="T1575" i="12"/>
  <c r="T1641" i="12"/>
  <c r="T1707" i="12"/>
  <c r="T1773" i="12"/>
  <c r="T1838" i="12"/>
  <c r="T1903" i="12"/>
  <c r="T1969" i="12"/>
  <c r="T2034" i="12"/>
  <c r="T2100" i="12"/>
  <c r="T2165" i="12"/>
  <c r="T2229" i="12"/>
  <c r="T2293" i="12"/>
  <c r="T2357" i="12"/>
  <c r="T2423" i="12"/>
  <c r="T2489" i="12"/>
  <c r="T2553" i="12"/>
  <c r="T2619" i="12"/>
  <c r="T2685" i="12"/>
  <c r="T2750" i="12"/>
  <c r="T2816" i="12"/>
  <c r="T2882" i="12"/>
  <c r="T779" i="12"/>
  <c r="T1233" i="12"/>
  <c r="T1470" i="12"/>
  <c r="T1535" i="12"/>
  <c r="T1601" i="12"/>
  <c r="T1666" i="12"/>
  <c r="T1732" i="12"/>
  <c r="T1798" i="12"/>
  <c r="T1863" i="12"/>
  <c r="T1929" i="12"/>
  <c r="T1994" i="12"/>
  <c r="T2060" i="12"/>
  <c r="T2126" i="12"/>
  <c r="T2190" i="12"/>
  <c r="T2254" i="12"/>
  <c r="T2318" i="12"/>
  <c r="T2383" i="12"/>
  <c r="T2449" i="12"/>
  <c r="T2514" i="12"/>
  <c r="T2579" i="12"/>
  <c r="T2644" i="12"/>
  <c r="T2710" i="12"/>
  <c r="T2776" i="12"/>
  <c r="T2842" i="12"/>
  <c r="T2908" i="12"/>
  <c r="T407" i="12"/>
  <c r="T993" i="12"/>
  <c r="T1340" i="12"/>
  <c r="T1497" i="12"/>
  <c r="T1562" i="12"/>
  <c r="T1627" i="12"/>
  <c r="T1693" i="12"/>
  <c r="T1759" i="12"/>
  <c r="T1825" i="12"/>
  <c r="T1890" i="12"/>
  <c r="T1956" i="12"/>
  <c r="T2021" i="12"/>
  <c r="T2086" i="12"/>
  <c r="T2152" i="12"/>
  <c r="T2216" i="12"/>
  <c r="T2280" i="12"/>
  <c r="T2344" i="12"/>
  <c r="T2410" i="12"/>
  <c r="T2476" i="12"/>
  <c r="T2540" i="12"/>
  <c r="T2605" i="12"/>
  <c r="T2671" i="12"/>
  <c r="T2737" i="12"/>
  <c r="T2803" i="12"/>
  <c r="T2869" i="12"/>
  <c r="T1240" i="12"/>
  <c r="T1930" i="12"/>
  <c r="T2450" i="12"/>
  <c r="T2769" i="12"/>
  <c r="T1610" i="12"/>
  <c r="T2135" i="12"/>
  <c r="T2606" i="12"/>
  <c r="T2870" i="12"/>
  <c r="T291" i="12"/>
  <c r="T1816" i="12"/>
  <c r="T2335" i="12"/>
  <c r="T2711" i="12"/>
  <c r="T1496" i="12"/>
  <c r="T2020" i="12"/>
  <c r="T2539" i="12"/>
  <c r="T2812" i="12"/>
  <c r="T1701" i="12"/>
  <c r="T2223" i="12"/>
  <c r="T2654" i="12"/>
  <c r="T2917" i="12"/>
  <c r="T590" i="12"/>
  <c r="T1840" i="12"/>
  <c r="T2359" i="12"/>
  <c r="T2721" i="12"/>
  <c r="T1528" i="12"/>
  <c r="T2053" i="12"/>
  <c r="T2565" i="12"/>
  <c r="T2829" i="12"/>
  <c r="T2563" i="12"/>
  <c r="T2175" i="12"/>
  <c r="T1783" i="12"/>
  <c r="T1659" i="12"/>
  <c r="T1979" i="12"/>
  <c r="T2695" i="12"/>
  <c r="T2904" i="12"/>
  <c r="T1356" i="12"/>
  <c r="T1959" i="12"/>
  <c r="T2283" i="12"/>
  <c r="T2806" i="12"/>
  <c r="U2870" i="12"/>
  <c r="T1730" i="12"/>
  <c r="T2188" i="12"/>
  <c r="T2642" i="12"/>
  <c r="T1699" i="12"/>
  <c r="T2157" i="12"/>
  <c r="T2611" i="12"/>
  <c r="T1658" i="12"/>
  <c r="T2052" i="12"/>
  <c r="T2570" i="12"/>
  <c r="T1619" i="12"/>
  <c r="T2078" i="12"/>
  <c r="T2532" i="12"/>
  <c r="T1544" i="12"/>
  <c r="T2679" i="12"/>
  <c r="T1635" i="12"/>
  <c r="T2689" i="12"/>
  <c r="T2470" i="12"/>
  <c r="T2558" i="12"/>
  <c r="T2640" i="12"/>
  <c r="T2722" i="12"/>
  <c r="T2789" i="12"/>
  <c r="T2854" i="12"/>
  <c r="T2920" i="12"/>
  <c r="U2313" i="12"/>
  <c r="T622" i="12"/>
  <c r="T1149" i="12"/>
  <c r="T1421" i="12"/>
  <c r="T1516" i="12"/>
  <c r="T1581" i="12"/>
  <c r="T1647" i="12"/>
  <c r="T1713" i="12"/>
  <c r="T1779" i="12"/>
  <c r="T1844" i="12"/>
  <c r="T1910" i="12"/>
  <c r="T1975" i="12"/>
  <c r="T2040" i="12"/>
  <c r="T2106" i="12"/>
  <c r="T2171" i="12"/>
  <c r="T2235" i="12"/>
  <c r="T2299" i="12"/>
  <c r="T2363" i="12"/>
  <c r="T2429" i="12"/>
  <c r="T2495" i="12"/>
  <c r="T2559" i="12"/>
  <c r="T2625" i="12"/>
  <c r="T2691" i="12"/>
  <c r="T2756" i="12"/>
  <c r="T2823" i="12"/>
  <c r="T2889" i="12"/>
  <c r="T234" i="12"/>
  <c r="T894" i="12"/>
  <c r="T1291" i="12"/>
  <c r="T1484" i="12"/>
  <c r="T1549" i="12"/>
  <c r="T1615" i="12"/>
  <c r="T1681" i="12"/>
  <c r="T1747" i="12"/>
  <c r="T1813" i="12"/>
  <c r="T1877" i="12"/>
  <c r="T1943" i="12"/>
  <c r="T2008" i="12"/>
  <c r="T2074" i="12"/>
  <c r="T2140" i="12"/>
  <c r="T2204" i="12"/>
  <c r="T2268" i="12"/>
  <c r="T2332" i="12"/>
  <c r="T2397" i="12"/>
  <c r="T2463" i="12"/>
  <c r="T2528" i="12"/>
  <c r="T2593" i="12"/>
  <c r="T2659" i="12"/>
  <c r="T2724" i="12"/>
  <c r="T2791" i="12"/>
  <c r="T2856" i="12"/>
  <c r="T2922" i="12"/>
  <c r="U2378" i="12"/>
  <c r="T638" i="12"/>
  <c r="T1166" i="12"/>
  <c r="T1430" i="12"/>
  <c r="T1518" i="12"/>
  <c r="T1583" i="12"/>
  <c r="T1649" i="12"/>
  <c r="T1715" i="12"/>
  <c r="T1781" i="12"/>
  <c r="T1846" i="12"/>
  <c r="T1912" i="12"/>
  <c r="T1977" i="12"/>
  <c r="T2042" i="12"/>
  <c r="T2108" i="12"/>
  <c r="T2173" i="12"/>
  <c r="T2237" i="12"/>
  <c r="T2301" i="12"/>
  <c r="T2365" i="12"/>
  <c r="T2431" i="12"/>
  <c r="T2497" i="12"/>
  <c r="T2561" i="12"/>
  <c r="T2627" i="12"/>
  <c r="T2693" i="12"/>
  <c r="T2759" i="12"/>
  <c r="T2825" i="12"/>
  <c r="T2891" i="12"/>
  <c r="T86" i="12"/>
  <c r="T845" i="12"/>
  <c r="T1266" i="12"/>
  <c r="T1478" i="12"/>
  <c r="T1543" i="12"/>
  <c r="T1609" i="12"/>
  <c r="T1675" i="12"/>
  <c r="T1741" i="12"/>
  <c r="T1806" i="12"/>
  <c r="T1871" i="12"/>
  <c r="T1937" i="12"/>
  <c r="T2002" i="12"/>
  <c r="T2068" i="12"/>
  <c r="T2134" i="12"/>
  <c r="T2198" i="12"/>
  <c r="T2262" i="12"/>
  <c r="T2326" i="12"/>
  <c r="T2391" i="12"/>
  <c r="T2457" i="12"/>
  <c r="T2522" i="12"/>
  <c r="T2587" i="12"/>
  <c r="T2653" i="12"/>
  <c r="T2718" i="12"/>
  <c r="T2784" i="12"/>
  <c r="T2850" i="12"/>
  <c r="T2916" i="12"/>
  <c r="T509" i="12"/>
  <c r="T1059" i="12"/>
  <c r="T1373" i="12"/>
  <c r="T1505" i="12"/>
  <c r="T1570" i="12"/>
  <c r="T1636" i="12"/>
  <c r="T1702" i="12"/>
  <c r="T1767" i="12"/>
  <c r="T1833" i="12"/>
  <c r="T1898" i="12"/>
  <c r="T1964" i="12"/>
  <c r="T2029" i="12"/>
  <c r="T2095" i="12"/>
  <c r="T2160" i="12"/>
  <c r="T2224" i="12"/>
  <c r="T2288" i="12"/>
  <c r="T2352" i="12"/>
  <c r="T2418" i="12"/>
  <c r="T2484" i="12"/>
  <c r="T2548" i="12"/>
  <c r="T2614" i="12"/>
  <c r="T2680" i="12"/>
  <c r="T2745" i="12"/>
  <c r="T2811" i="12"/>
  <c r="T2877" i="12"/>
  <c r="T1471" i="12"/>
  <c r="T1995" i="12"/>
  <c r="T2515" i="12"/>
  <c r="T2802" i="12"/>
  <c r="T1676" i="12"/>
  <c r="T2199" i="12"/>
  <c r="T2639" i="12"/>
  <c r="T2903" i="12"/>
  <c r="T919" i="12"/>
  <c r="T1881" i="12"/>
  <c r="T2401" i="12"/>
  <c r="T2744" i="12"/>
  <c r="T1561" i="12"/>
  <c r="T2085" i="12"/>
  <c r="T2582" i="12"/>
  <c r="T2845" i="12"/>
  <c r="T1766" i="12"/>
  <c r="T2287" i="12"/>
  <c r="T2687" i="12"/>
  <c r="T1116" i="12"/>
  <c r="T1905" i="12"/>
  <c r="T2425" i="12"/>
  <c r="T2754" i="12"/>
  <c r="T1593" i="12"/>
  <c r="T2119" i="12"/>
  <c r="T2598" i="12"/>
  <c r="T2862" i="12"/>
  <c r="T1438" i="12"/>
  <c r="T2827" i="12"/>
  <c r="T2629" i="12"/>
  <c r="T2303" i="12"/>
  <c r="T2727" i="12"/>
  <c r="T2631" i="12"/>
  <c r="T2893" i="12"/>
  <c r="T2838" i="12"/>
  <c r="T445" i="12"/>
  <c r="T2024" i="12"/>
  <c r="T2413" i="12"/>
  <c r="T2872" i="12"/>
  <c r="T1225" i="12"/>
  <c r="T1861" i="12"/>
  <c r="T2316" i="12"/>
  <c r="T2774" i="12"/>
  <c r="T1034" i="12"/>
  <c r="T1830" i="12"/>
  <c r="T2349" i="12"/>
  <c r="T2808" i="12"/>
  <c r="T713" i="12"/>
  <c r="T1790" i="12"/>
  <c r="T2246" i="12"/>
  <c r="T2702" i="12"/>
  <c r="T305" i="12"/>
  <c r="T1817" i="12"/>
  <c r="T2208" i="12"/>
  <c r="T2663" i="12"/>
  <c r="T787" i="12"/>
  <c r="T2573" i="12"/>
  <c r="T1339" i="12"/>
  <c r="T2159" i="12"/>
  <c r="T1651" i="12"/>
  <c r="T2478" i="12"/>
  <c r="T2566" i="12"/>
  <c r="T2649" i="12"/>
  <c r="T2731" i="12"/>
  <c r="T2797" i="12"/>
  <c r="T2863" i="12"/>
  <c r="U2573" i="12"/>
  <c r="T688" i="12"/>
  <c r="T1191" i="12"/>
  <c r="T1454" i="12"/>
  <c r="T1524" i="12"/>
  <c r="T1589" i="12"/>
  <c r="T1655" i="12"/>
  <c r="T1721" i="12"/>
  <c r="T1787" i="12"/>
  <c r="T1852" i="12"/>
  <c r="T1918" i="12"/>
  <c r="T1983" i="12"/>
  <c r="T2049" i="12"/>
  <c r="T2114" i="12"/>
  <c r="T2179" i="12"/>
  <c r="T2243" i="12"/>
  <c r="T2307" i="12"/>
  <c r="T2372" i="12"/>
  <c r="T2437" i="12"/>
  <c r="T2503" i="12"/>
  <c r="T2567" i="12"/>
  <c r="T2633" i="12"/>
  <c r="T2699" i="12"/>
  <c r="T2765" i="12"/>
  <c r="T2831" i="12"/>
  <c r="T2897" i="12"/>
  <c r="T355" i="12"/>
  <c r="T960" i="12"/>
  <c r="T1324" i="12"/>
  <c r="T1493" i="12"/>
  <c r="T1557" i="12"/>
  <c r="T1623" i="12"/>
  <c r="T1689" i="12"/>
  <c r="T1755" i="12"/>
  <c r="T1821" i="12"/>
  <c r="T1886" i="12"/>
  <c r="T1952" i="12"/>
  <c r="T2016" i="12"/>
  <c r="T2082" i="12"/>
  <c r="T2148" i="12"/>
  <c r="T2212" i="12"/>
  <c r="T2276" i="12"/>
  <c r="T2340" i="12"/>
  <c r="T2406" i="12"/>
  <c r="T2472" i="12"/>
  <c r="T2536" i="12"/>
  <c r="T2601" i="12"/>
  <c r="T2667" i="12"/>
  <c r="T2733" i="12"/>
  <c r="T2799" i="12"/>
  <c r="T2865" i="12"/>
  <c r="U2639" i="12"/>
  <c r="T705" i="12"/>
  <c r="T1199" i="12"/>
  <c r="T1458" i="12"/>
  <c r="T1526" i="12"/>
  <c r="T1591" i="12"/>
  <c r="T1657" i="12"/>
  <c r="T1723" i="12"/>
  <c r="T1789" i="12"/>
  <c r="T1854" i="12"/>
  <c r="T1920" i="12"/>
  <c r="T1985" i="12"/>
  <c r="T2051" i="12"/>
  <c r="T2116" i="12"/>
  <c r="T2181" i="12"/>
  <c r="T2245" i="12"/>
  <c r="T2309" i="12"/>
  <c r="T2374" i="12"/>
  <c r="T2440" i="12"/>
  <c r="T2505" i="12"/>
  <c r="T2569" i="12"/>
  <c r="T2635" i="12"/>
  <c r="T2701" i="12"/>
  <c r="T2767" i="12"/>
  <c r="T2833" i="12"/>
  <c r="T2899" i="12"/>
  <c r="T275" i="12"/>
  <c r="T911" i="12"/>
  <c r="T1299" i="12"/>
  <c r="T1486" i="12"/>
  <c r="T1551" i="12"/>
  <c r="T1617" i="12"/>
  <c r="T1683" i="12"/>
  <c r="T1749" i="12"/>
  <c r="T1815" i="12"/>
  <c r="T1880" i="12"/>
  <c r="T1945" i="12"/>
  <c r="T2010" i="12"/>
  <c r="T2076" i="12"/>
  <c r="T2142" i="12"/>
  <c r="T2206" i="12"/>
  <c r="T2270" i="12"/>
  <c r="T2334" i="12"/>
  <c r="T2400" i="12"/>
  <c r="T2465" i="12"/>
  <c r="T2530" i="12"/>
  <c r="T2595" i="12"/>
  <c r="T2661" i="12"/>
  <c r="T2726" i="12"/>
  <c r="T2793" i="12"/>
  <c r="T2859" i="12"/>
  <c r="T2924" i="12"/>
  <c r="U1976" i="12"/>
  <c r="T598" i="12"/>
  <c r="T1125" i="12"/>
  <c r="T1406" i="12"/>
  <c r="T1513" i="12"/>
  <c r="T1578" i="12"/>
  <c r="T1644" i="12"/>
  <c r="T1710" i="12"/>
  <c r="T1776" i="12"/>
  <c r="T1841" i="12"/>
  <c r="T1906" i="12"/>
  <c r="T1972" i="12"/>
  <c r="T2037" i="12"/>
  <c r="T2103" i="12"/>
  <c r="T2168" i="12"/>
  <c r="T2232" i="12"/>
  <c r="T2296" i="12"/>
  <c r="T2360" i="12"/>
  <c r="T2426" i="12"/>
  <c r="T2492" i="12"/>
  <c r="T2556" i="12"/>
  <c r="T2622" i="12"/>
  <c r="T2688" i="12"/>
  <c r="T2753" i="12"/>
  <c r="T2820" i="12"/>
  <c r="T2885" i="12"/>
  <c r="T1536" i="12"/>
  <c r="T2061" i="12"/>
  <c r="T2571" i="12"/>
  <c r="T2835" i="12"/>
  <c r="T1742" i="12"/>
  <c r="T2263" i="12"/>
  <c r="T2672" i="12"/>
  <c r="T1306" i="12"/>
  <c r="T1946" i="12"/>
  <c r="T2466" i="12"/>
  <c r="T2777" i="12"/>
  <c r="T1626" i="12"/>
  <c r="T2151" i="12"/>
  <c r="T2615" i="12"/>
  <c r="T2878" i="12"/>
  <c r="T498" i="12"/>
  <c r="T1832" i="12"/>
  <c r="T2351" i="12"/>
  <c r="T2719" i="12"/>
  <c r="T1405" i="12"/>
  <c r="T1971" i="12"/>
  <c r="T2491" i="12"/>
  <c r="T2787" i="12"/>
  <c r="T2183" i="12"/>
  <c r="T2895" i="12"/>
  <c r="T2674" i="12"/>
  <c r="T1533" i="12"/>
  <c r="T2058" i="12"/>
  <c r="T2576" i="12"/>
  <c r="T1633" i="12"/>
  <c r="T2092" i="12"/>
  <c r="T2545" i="12"/>
  <c r="T1592" i="12"/>
  <c r="T2117" i="12"/>
  <c r="T2636" i="12"/>
  <c r="T1685" i="12"/>
  <c r="T2144" i="12"/>
  <c r="T2597" i="12"/>
  <c r="T2069" i="12"/>
  <c r="T2621" i="12"/>
  <c r="T1987" i="12"/>
  <c r="T2761" i="12"/>
  <c r="T2494" i="12"/>
  <c r="T2574" i="12"/>
  <c r="T2665" i="12"/>
  <c r="T2739" i="12"/>
  <c r="T2805" i="12"/>
  <c r="T2871" i="12"/>
  <c r="U2837" i="12"/>
  <c r="T754" i="12"/>
  <c r="T1224" i="12"/>
  <c r="T1467" i="12"/>
  <c r="T1532" i="12"/>
  <c r="T1597" i="12"/>
  <c r="T1663" i="12"/>
  <c r="T1729" i="12"/>
  <c r="T1795" i="12"/>
  <c r="T1860" i="12"/>
  <c r="T1926" i="12"/>
  <c r="T1991" i="12"/>
  <c r="T2057" i="12"/>
  <c r="T2123" i="12"/>
  <c r="T2187" i="12"/>
  <c r="T2251" i="12"/>
  <c r="T2315" i="12"/>
  <c r="T2380" i="12"/>
  <c r="T2446" i="12"/>
  <c r="T2511" i="12"/>
  <c r="T2575" i="12"/>
  <c r="T2641" i="12"/>
  <c r="T2707" i="12"/>
  <c r="T2773" i="12"/>
  <c r="T2839" i="12"/>
  <c r="T2905" i="12"/>
  <c r="T459" i="12"/>
  <c r="T1026" i="12"/>
  <c r="T1357" i="12"/>
  <c r="T1501" i="12"/>
  <c r="T1566" i="12"/>
  <c r="T1632" i="12"/>
  <c r="T1697" i="12"/>
  <c r="T1763" i="12"/>
  <c r="T1829" i="12"/>
  <c r="T1894" i="12"/>
  <c r="T1960" i="12"/>
  <c r="T2025" i="12"/>
  <c r="T2091" i="12"/>
  <c r="T2156" i="12"/>
  <c r="T2220" i="12"/>
  <c r="T2284" i="12"/>
  <c r="T2348" i="12"/>
  <c r="T2414" i="12"/>
  <c r="T2480" i="12"/>
  <c r="T2544" i="12"/>
  <c r="T2610" i="12"/>
  <c r="T2675" i="12"/>
  <c r="T2741" i="12"/>
  <c r="T2807" i="12"/>
  <c r="T2873" i="12"/>
  <c r="U2903" i="12"/>
  <c r="T771" i="12"/>
  <c r="T1232" i="12"/>
  <c r="T1469" i="12"/>
  <c r="T1534" i="12"/>
  <c r="T1600" i="12"/>
  <c r="T1665" i="12"/>
  <c r="T1731" i="12"/>
  <c r="T1797" i="12"/>
  <c r="T1862" i="12"/>
  <c r="T1928" i="12"/>
  <c r="T1993" i="12"/>
  <c r="T2059" i="12"/>
  <c r="T2125" i="12"/>
  <c r="T2189" i="12"/>
  <c r="T2253" i="12"/>
  <c r="T2317" i="12"/>
  <c r="T2382" i="12"/>
  <c r="T2448" i="12"/>
  <c r="T2513" i="12"/>
  <c r="T2577" i="12"/>
  <c r="T2643" i="12"/>
  <c r="T2709" i="12"/>
  <c r="T2775" i="12"/>
  <c r="T2841" i="12"/>
  <c r="T2907" i="12"/>
  <c r="T380" i="12"/>
  <c r="T977" i="12"/>
  <c r="T1332" i="12"/>
  <c r="T1495" i="12"/>
  <c r="T1560" i="12"/>
  <c r="T1625" i="12"/>
  <c r="T1691" i="12"/>
  <c r="T1757" i="12"/>
  <c r="T1823" i="12"/>
  <c r="T1888" i="12"/>
  <c r="T1954" i="12"/>
  <c r="T2019" i="12"/>
  <c r="T2084" i="12"/>
  <c r="T2150" i="12"/>
  <c r="T2214" i="12"/>
  <c r="T2278" i="12"/>
  <c r="T2342" i="12"/>
  <c r="T2408" i="12"/>
  <c r="T2474" i="12"/>
  <c r="T2538" i="12"/>
  <c r="T2603" i="12"/>
  <c r="T2669" i="12"/>
  <c r="T2735" i="12"/>
  <c r="T2801" i="12"/>
  <c r="T2867" i="12"/>
  <c r="U2477" i="12"/>
  <c r="T664" i="12"/>
  <c r="T1175" i="12"/>
  <c r="T1439" i="12"/>
  <c r="T1521" i="12"/>
  <c r="T1586" i="12"/>
  <c r="T1652" i="12"/>
  <c r="T1718" i="12"/>
  <c r="T1784" i="12"/>
  <c r="T1849" i="12"/>
  <c r="T1915" i="12"/>
  <c r="T1980" i="12"/>
  <c r="T2045" i="12"/>
  <c r="T2111" i="12"/>
  <c r="T2176" i="12"/>
  <c r="T2240" i="12"/>
  <c r="T2304" i="12"/>
  <c r="T2369" i="12"/>
  <c r="T2434" i="12"/>
  <c r="T2500" i="12"/>
  <c r="T2564" i="12"/>
  <c r="T2630" i="12"/>
  <c r="T2696" i="12"/>
  <c r="T2762" i="12"/>
  <c r="T2828" i="12"/>
  <c r="T2894" i="12"/>
  <c r="T1602" i="12"/>
  <c r="T2127" i="12"/>
  <c r="T2604" i="12"/>
  <c r="T2868" i="12"/>
  <c r="T119" i="12"/>
  <c r="T1807" i="12"/>
  <c r="T2327" i="12"/>
  <c r="T2705" i="12"/>
  <c r="T1487" i="12"/>
  <c r="T2011" i="12"/>
  <c r="T2531" i="12"/>
  <c r="T2810" i="12"/>
  <c r="T1692" i="12"/>
  <c r="T2215" i="12"/>
  <c r="T2647" i="12"/>
  <c r="T2911" i="12"/>
  <c r="T1051" i="12"/>
  <c r="T1897" i="12"/>
  <c r="T2417" i="12"/>
  <c r="T2752" i="12"/>
  <c r="T1512" i="12"/>
  <c r="T2036" i="12"/>
  <c r="T2555" i="12"/>
  <c r="T2821" i="12"/>
  <c r="T1725" i="12"/>
  <c r="T2247" i="12"/>
  <c r="T2664" i="12"/>
  <c r="T2927" i="12"/>
  <c r="T2499" i="12"/>
  <c r="T1585" i="12"/>
  <c r="T1717" i="12"/>
  <c r="T655" i="12"/>
  <c r="T2534" i="12"/>
  <c r="T1018" i="12"/>
  <c r="T1696" i="12"/>
  <c r="T2090" i="12"/>
  <c r="T2479" i="12"/>
  <c r="T1468" i="12"/>
  <c r="T1927" i="12"/>
  <c r="T2381" i="12"/>
  <c r="T2840" i="12"/>
  <c r="T1364" i="12"/>
  <c r="T1895" i="12"/>
  <c r="T2285" i="12"/>
  <c r="T2742" i="12"/>
  <c r="T1200" i="12"/>
  <c r="T1855" i="12"/>
  <c r="T2310" i="12"/>
  <c r="T2768" i="12"/>
  <c r="T927" i="12"/>
  <c r="T1751" i="12"/>
  <c r="T2272" i="12"/>
  <c r="T2729" i="12"/>
  <c r="T1864" i="12"/>
  <c r="T2837" i="12"/>
  <c r="T1955" i="12"/>
  <c r="T2884" i="12"/>
  <c r="T1460" i="12"/>
  <c r="U2444" i="12"/>
  <c r="T2502" i="12"/>
  <c r="T2583" i="12"/>
  <c r="T2673" i="12"/>
  <c r="T2747" i="12"/>
  <c r="T2813" i="12"/>
  <c r="T2879" i="12"/>
  <c r="T820" i="12"/>
  <c r="T1257" i="12"/>
  <c r="T1475" i="12"/>
  <c r="T1540" i="12"/>
  <c r="T1606" i="12"/>
  <c r="T1672" i="12"/>
  <c r="T1737" i="12"/>
  <c r="T1803" i="12"/>
  <c r="T1868" i="12"/>
  <c r="T1934" i="12"/>
  <c r="T1999" i="12"/>
  <c r="T2065" i="12"/>
  <c r="T2131" i="12"/>
  <c r="T2195" i="12"/>
  <c r="T2259" i="12"/>
  <c r="T2323" i="12"/>
  <c r="T2388" i="12"/>
  <c r="T2454" i="12"/>
  <c r="T2519" i="12"/>
  <c r="T2584" i="12"/>
  <c r="T2650" i="12"/>
  <c r="T2715" i="12"/>
  <c r="T2781" i="12"/>
  <c r="T2847" i="12"/>
  <c r="T2913" i="12"/>
  <c r="T563" i="12"/>
  <c r="T1092" i="12"/>
  <c r="T1389" i="12"/>
  <c r="T1509" i="12"/>
  <c r="T1574" i="12"/>
  <c r="T1640" i="12"/>
  <c r="T1706" i="12"/>
  <c r="T1772" i="12"/>
  <c r="T1837" i="12"/>
  <c r="T1902" i="12"/>
  <c r="T1968" i="12"/>
  <c r="T2033" i="12"/>
  <c r="T2099" i="12"/>
  <c r="T2164" i="12"/>
  <c r="T2228" i="12"/>
  <c r="T2292" i="12"/>
  <c r="T2356" i="12"/>
  <c r="T2422" i="12"/>
  <c r="T2488" i="12"/>
  <c r="T2552" i="12"/>
  <c r="T2618" i="12"/>
  <c r="T2684" i="12"/>
  <c r="T2749" i="12"/>
  <c r="T2815" i="12"/>
  <c r="T2881" i="12"/>
  <c r="T52" i="12"/>
  <c r="T837" i="12"/>
  <c r="T1265" i="12"/>
  <c r="T1477" i="12"/>
  <c r="T1542" i="12"/>
  <c r="T1608" i="12"/>
  <c r="T1674" i="12"/>
  <c r="T1740" i="12"/>
  <c r="T1805" i="12"/>
  <c r="T1870" i="12"/>
  <c r="T1936" i="12"/>
  <c r="T2001" i="12"/>
  <c r="T2067" i="12"/>
  <c r="T2133" i="12"/>
  <c r="T2197" i="12"/>
  <c r="T2261" i="12"/>
  <c r="T2325" i="12"/>
  <c r="T2390" i="12"/>
  <c r="T2456" i="12"/>
  <c r="T2521" i="12"/>
  <c r="T2586" i="12"/>
  <c r="T2652" i="12"/>
  <c r="T2717" i="12"/>
  <c r="T2783" i="12"/>
  <c r="T2849" i="12"/>
  <c r="T2915" i="12"/>
  <c r="T484" i="12"/>
  <c r="T1043" i="12"/>
  <c r="T1365" i="12"/>
  <c r="T1503" i="12"/>
  <c r="T1568" i="12"/>
  <c r="T1634" i="12"/>
  <c r="T1700" i="12"/>
  <c r="T1765" i="12"/>
  <c r="T1831" i="12"/>
  <c r="T1896" i="12"/>
  <c r="T1962" i="12"/>
  <c r="T2027" i="12"/>
  <c r="T2093" i="12"/>
  <c r="T2158" i="12"/>
  <c r="T2222" i="12"/>
  <c r="T2286" i="12"/>
  <c r="T2350" i="12"/>
  <c r="T2416" i="12"/>
  <c r="T2482" i="12"/>
  <c r="T2546" i="12"/>
  <c r="T2612" i="12"/>
  <c r="T2677" i="12"/>
  <c r="T2743" i="12"/>
  <c r="T2809" i="12"/>
  <c r="T2875" i="12"/>
  <c r="U2738" i="12"/>
  <c r="T730" i="12"/>
  <c r="T1209" i="12"/>
  <c r="T1461" i="12"/>
  <c r="T1529" i="12"/>
  <c r="T1594" i="12"/>
  <c r="T1660" i="12"/>
  <c r="T1726" i="12"/>
  <c r="T1792" i="12"/>
  <c r="T1857" i="12"/>
  <c r="T1923" i="12"/>
  <c r="T1988" i="12"/>
  <c r="T2054" i="12"/>
  <c r="T2120" i="12"/>
  <c r="T2184" i="12"/>
  <c r="T2248" i="12"/>
  <c r="T2312" i="12"/>
  <c r="T2377" i="12"/>
  <c r="T2443" i="12"/>
  <c r="T2508" i="12"/>
  <c r="T2572" i="12"/>
  <c r="T2638" i="12"/>
  <c r="T2704" i="12"/>
  <c r="T2770" i="12"/>
  <c r="T2836" i="12"/>
  <c r="T2902" i="12"/>
  <c r="T1667" i="12"/>
  <c r="T2191" i="12"/>
  <c r="T2637" i="12"/>
  <c r="T2901" i="12"/>
  <c r="T853" i="12"/>
  <c r="T1872" i="12"/>
  <c r="T2392" i="12"/>
  <c r="T2738" i="12"/>
  <c r="T1552" i="12"/>
  <c r="T2077" i="12"/>
  <c r="T2580" i="12"/>
  <c r="T2843" i="12"/>
  <c r="T1758" i="12"/>
  <c r="T2279" i="12"/>
  <c r="T2681" i="12"/>
  <c r="T1372" i="12"/>
  <c r="T1963" i="12"/>
  <c r="T2483" i="12"/>
  <c r="T2785" i="12"/>
  <c r="T1577" i="12"/>
  <c r="T2102" i="12"/>
  <c r="T2590" i="12"/>
  <c r="T2853" i="12"/>
  <c r="U2705" i="12"/>
  <c r="T1791" i="12"/>
  <c r="T2311" i="12"/>
  <c r="T2697" i="12"/>
  <c r="T2794" i="12"/>
  <c r="T2110" i="12"/>
  <c r="T2239" i="12"/>
  <c r="T1174" i="12"/>
  <c r="T2367" i="12"/>
  <c r="T1914" i="12"/>
  <c r="T2624" i="12"/>
  <c r="T1500" i="12"/>
  <c r="T1893" i="12"/>
  <c r="T2347" i="12"/>
  <c r="T2740" i="12"/>
  <c r="T763" i="12"/>
  <c r="T1796" i="12"/>
  <c r="T2252" i="12"/>
  <c r="T2708" i="12"/>
  <c r="T472" i="12"/>
  <c r="T1764" i="12"/>
  <c r="T2221" i="12"/>
  <c r="T2676" i="12"/>
  <c r="U2672" i="12"/>
  <c r="T1724" i="12"/>
  <c r="T2182" i="12"/>
  <c r="T2506" i="12"/>
  <c r="T1553" i="12"/>
  <c r="T2012" i="12"/>
  <c r="T2467" i="12"/>
  <c r="T2926" i="12"/>
  <c r="T2271" i="12"/>
  <c r="T2295" i="12"/>
  <c r="T2044" i="12"/>
  <c r="T2510" i="12"/>
  <c r="T2599" i="12"/>
  <c r="T2690" i="12"/>
  <c r="T2755" i="12"/>
  <c r="T2822" i="12"/>
  <c r="T2887" i="12"/>
  <c r="T211" i="12"/>
  <c r="T886" i="12"/>
  <c r="T1290" i="12"/>
  <c r="T1483" i="12"/>
  <c r="T1548" i="12"/>
  <c r="T1614" i="12"/>
  <c r="T1680" i="12"/>
  <c r="T1746" i="12"/>
  <c r="T1812" i="12"/>
  <c r="T1876" i="12"/>
  <c r="T1942" i="12"/>
  <c r="T2007" i="12"/>
  <c r="T2073" i="12"/>
  <c r="T2139" i="12"/>
  <c r="T2203" i="12"/>
  <c r="T2267" i="12"/>
  <c r="T2331" i="12"/>
  <c r="T2396" i="12"/>
  <c r="T2462" i="12"/>
  <c r="T2527" i="12"/>
  <c r="T2592" i="12"/>
  <c r="T2658" i="12"/>
  <c r="T2723" i="12"/>
  <c r="T2790" i="12"/>
  <c r="T2855" i="12"/>
  <c r="T2921" i="12"/>
  <c r="U2345" i="12"/>
  <c r="T630" i="12"/>
  <c r="T1158" i="12"/>
  <c r="T1423" i="12"/>
  <c r="T1517" i="12"/>
  <c r="T1582" i="12"/>
  <c r="T1648" i="12"/>
  <c r="T1714" i="12"/>
  <c r="T1780" i="12"/>
  <c r="T1845" i="12"/>
  <c r="T1911" i="12"/>
  <c r="T1976" i="12"/>
  <c r="T2041" i="12"/>
  <c r="T2107" i="12"/>
  <c r="T2172" i="12"/>
  <c r="T2236" i="12"/>
  <c r="T2300" i="12"/>
  <c r="T2364" i="12"/>
  <c r="T2430" i="12"/>
  <c r="T2496" i="12"/>
  <c r="T2560" i="12"/>
  <c r="T2626" i="12"/>
  <c r="T2692" i="12"/>
  <c r="T2757" i="12"/>
  <c r="T2824" i="12"/>
  <c r="T2890" i="12"/>
  <c r="T257" i="12"/>
  <c r="T903" i="12"/>
  <c r="T1298" i="12"/>
  <c r="T1485" i="12"/>
  <c r="T1550" i="12"/>
  <c r="T1616" i="12"/>
  <c r="T1682" i="12"/>
  <c r="T1748" i="12"/>
  <c r="T1814" i="12"/>
  <c r="T1879" i="12"/>
  <c r="T1944" i="12"/>
  <c r="T2009" i="12"/>
  <c r="T2075" i="12"/>
  <c r="T2141" i="12"/>
  <c r="T2205" i="12"/>
  <c r="T2269" i="12"/>
  <c r="T2333" i="12"/>
  <c r="T2399" i="12"/>
  <c r="T2464" i="12"/>
  <c r="T2529" i="12"/>
  <c r="T2594" i="12"/>
  <c r="T2660" i="12"/>
  <c r="T2725" i="12"/>
  <c r="T2792" i="12"/>
  <c r="T2857" i="12"/>
  <c r="T2923" i="12"/>
  <c r="U835" i="12"/>
  <c r="T582" i="12"/>
  <c r="T1108" i="12"/>
  <c r="T1398" i="12"/>
  <c r="T1511" i="12"/>
  <c r="T1576" i="12"/>
  <c r="T1642" i="12"/>
  <c r="T1708" i="12"/>
  <c r="T1774" i="12"/>
  <c r="T1839" i="12"/>
  <c r="T1904" i="12"/>
  <c r="T1970" i="12"/>
  <c r="T2035" i="12"/>
  <c r="T2101" i="12"/>
  <c r="T2166" i="12"/>
  <c r="T2230" i="12"/>
  <c r="T2294" i="12"/>
  <c r="T2358" i="12"/>
  <c r="T2424" i="12"/>
  <c r="T2490" i="12"/>
  <c r="T2554" i="12"/>
  <c r="T2620" i="12"/>
  <c r="T2686" i="12"/>
  <c r="T2751" i="12"/>
  <c r="T2817" i="12"/>
  <c r="T2883" i="12"/>
  <c r="T796" i="12"/>
  <c r="T1241" i="12"/>
  <c r="T1472" i="12"/>
  <c r="T1537" i="12"/>
  <c r="T1603" i="12"/>
  <c r="T1669" i="12"/>
  <c r="T1734" i="12"/>
  <c r="T1800" i="12"/>
  <c r="T1865" i="12"/>
  <c r="T1931" i="12"/>
  <c r="T1996" i="12"/>
  <c r="T2062" i="12"/>
  <c r="T2128" i="12"/>
  <c r="T2192" i="12"/>
  <c r="T2256" i="12"/>
  <c r="T2320" i="12"/>
  <c r="T2385" i="12"/>
  <c r="T2451" i="12"/>
  <c r="T2516" i="12"/>
  <c r="T2581" i="12"/>
  <c r="T2646" i="12"/>
  <c r="T2712" i="12"/>
  <c r="T2778" i="12"/>
  <c r="T2844" i="12"/>
  <c r="T2910" i="12"/>
  <c r="T1733" i="12"/>
  <c r="T2255" i="12"/>
  <c r="T2670" i="12"/>
  <c r="T1273" i="12"/>
  <c r="T1938" i="12"/>
  <c r="T2458" i="12"/>
  <c r="T2771" i="12"/>
  <c r="T1618" i="12"/>
  <c r="T2143" i="12"/>
  <c r="T2613" i="12"/>
  <c r="T2876" i="12"/>
  <c r="T394" i="12"/>
  <c r="T1824" i="12"/>
  <c r="T2343" i="12"/>
  <c r="T2713" i="12"/>
  <c r="T1504" i="12"/>
  <c r="T2028" i="12"/>
  <c r="T2547" i="12"/>
  <c r="T2819" i="12"/>
  <c r="T1643" i="12"/>
  <c r="T2167" i="12"/>
  <c r="T2623" i="12"/>
  <c r="T2886" i="12"/>
  <c r="T721" i="12"/>
  <c r="T1856" i="12"/>
  <c r="T2376" i="12"/>
  <c r="T2730" i="12"/>
  <c r="T2596" i="12"/>
  <c r="T2662" i="12"/>
  <c r="T1848" i="12"/>
  <c r="T2706" i="12"/>
  <c r="T1565" i="12"/>
  <c r="T1762" i="12"/>
  <c r="T2155" i="12"/>
  <c r="T2543" i="12"/>
  <c r="T1664" i="12"/>
  <c r="T2124" i="12"/>
  <c r="T2512" i="12"/>
  <c r="T1567" i="12"/>
  <c r="T2026" i="12"/>
  <c r="T2481" i="12"/>
  <c r="T1527" i="12"/>
  <c r="T1986" i="12"/>
  <c r="T2441" i="12"/>
  <c r="T2900" i="12"/>
  <c r="T1488" i="12"/>
  <c r="T1947" i="12"/>
  <c r="T2336" i="12"/>
  <c r="T2795" i="12"/>
  <c r="T2384" i="12"/>
  <c r="T2475" i="12"/>
  <c r="U1451" i="12"/>
  <c r="T2507" i="12"/>
  <c r="T2518" i="12"/>
  <c r="T2607" i="12"/>
  <c r="T2698" i="12"/>
  <c r="T2764" i="12"/>
  <c r="T2830" i="12"/>
  <c r="T2896" i="12"/>
  <c r="T343" i="12"/>
  <c r="T952" i="12"/>
  <c r="T1323" i="12"/>
  <c r="T1492" i="12"/>
  <c r="T1556" i="12"/>
  <c r="T1622" i="12"/>
  <c r="T1688" i="12"/>
  <c r="T1754" i="12"/>
  <c r="T1820" i="12"/>
  <c r="T1885" i="12"/>
  <c r="T1951" i="12"/>
  <c r="T2015" i="12"/>
  <c r="T2081" i="12"/>
  <c r="T2147" i="12"/>
  <c r="T2211" i="12"/>
  <c r="T2275" i="12"/>
  <c r="T2339" i="12"/>
  <c r="T2405" i="12"/>
  <c r="T2471" i="12"/>
  <c r="T2535" i="12"/>
  <c r="T2600" i="12"/>
  <c r="T2666" i="12"/>
  <c r="T2732" i="12"/>
  <c r="T2798" i="12"/>
  <c r="T2864" i="12"/>
  <c r="U2606" i="12"/>
  <c r="T697" i="12"/>
  <c r="T1192" i="12"/>
  <c r="T1455" i="12"/>
  <c r="T1525" i="12"/>
  <c r="T1590" i="12"/>
  <c r="T1656" i="12"/>
  <c r="T1722" i="12"/>
  <c r="T1788" i="12"/>
  <c r="T1853" i="12"/>
  <c r="T1919" i="12"/>
  <c r="T1984" i="12"/>
  <c r="T2050" i="12"/>
  <c r="T2115" i="12"/>
  <c r="T2180" i="12"/>
  <c r="T2244" i="12"/>
  <c r="T2308" i="12"/>
  <c r="T2373" i="12"/>
  <c r="T2439" i="12"/>
  <c r="T2504" i="12"/>
  <c r="T2568" i="12"/>
  <c r="T2634" i="12"/>
  <c r="T2700" i="12"/>
  <c r="T2766" i="12"/>
  <c r="T2832" i="12"/>
  <c r="T2898" i="12"/>
  <c r="T369" i="12"/>
  <c r="T968" i="12"/>
  <c r="T1331" i="12"/>
  <c r="T1494" i="12"/>
  <c r="T1559" i="12"/>
  <c r="T1624" i="12"/>
  <c r="T1690" i="12"/>
  <c r="T1756" i="12"/>
  <c r="T1822" i="12"/>
  <c r="T1887" i="12"/>
  <c r="T1953" i="12"/>
  <c r="T2017" i="12"/>
  <c r="T2083" i="12"/>
  <c r="T2149" i="12"/>
  <c r="T2213" i="12"/>
  <c r="T2277" i="12"/>
  <c r="T2341" i="12"/>
  <c r="T2407" i="12"/>
  <c r="T2473" i="12"/>
  <c r="T2537" i="12"/>
  <c r="T2602" i="12"/>
  <c r="T2668" i="12"/>
  <c r="T2734" i="12"/>
  <c r="T2800" i="12"/>
  <c r="T2866" i="12"/>
  <c r="U2411" i="12"/>
  <c r="T646" i="12"/>
  <c r="T1167" i="12"/>
  <c r="T1431" i="12"/>
  <c r="T1519" i="12"/>
  <c r="T1584" i="12"/>
  <c r="T1650" i="12"/>
  <c r="T1716" i="12"/>
  <c r="T1782" i="12"/>
  <c r="T1847" i="12"/>
  <c r="T1913" i="12"/>
  <c r="T1978" i="12"/>
  <c r="T2043" i="12"/>
  <c r="T2109" i="12"/>
  <c r="T2174" i="12"/>
  <c r="T2238" i="12"/>
  <c r="T2302" i="12"/>
  <c r="T2366" i="12"/>
  <c r="T2432" i="12"/>
  <c r="T2498" i="12"/>
  <c r="T2562" i="12"/>
  <c r="T2628" i="12"/>
  <c r="T2694" i="12"/>
  <c r="T2760" i="12"/>
  <c r="T2826" i="12"/>
  <c r="T2892" i="12"/>
  <c r="T146" i="12"/>
  <c r="T861" i="12"/>
  <c r="T1274" i="12"/>
  <c r="T1480" i="12"/>
  <c r="T1545" i="12"/>
  <c r="T1611" i="12"/>
  <c r="T1677" i="12"/>
  <c r="T1743" i="12"/>
  <c r="T1809" i="12"/>
  <c r="T1873" i="12"/>
  <c r="T1939" i="12"/>
  <c r="T2004" i="12"/>
  <c r="T2070" i="12"/>
  <c r="T2136" i="12"/>
  <c r="T2200" i="12"/>
  <c r="T2264" i="12"/>
  <c r="T2328" i="12"/>
  <c r="T2393" i="12"/>
  <c r="T2459" i="12"/>
  <c r="T2524" i="12"/>
  <c r="T2589" i="12"/>
  <c r="T2655" i="12"/>
  <c r="T2720" i="12"/>
  <c r="T2786" i="12"/>
  <c r="T2852" i="12"/>
  <c r="T2918" i="12"/>
  <c r="T1799" i="12"/>
  <c r="T2319" i="12"/>
  <c r="T2703" i="12"/>
  <c r="T1479" i="12"/>
  <c r="T2003" i="12"/>
  <c r="T2523" i="12"/>
  <c r="T2804" i="12"/>
  <c r="T1684" i="12"/>
  <c r="T2207" i="12"/>
  <c r="T2645" i="12"/>
  <c r="T2909" i="12"/>
  <c r="T985" i="12"/>
  <c r="T1889" i="12"/>
  <c r="T2409" i="12"/>
  <c r="T2746" i="12"/>
  <c r="T1569" i="12"/>
  <c r="T2094" i="12"/>
  <c r="T2588" i="12"/>
  <c r="T2851" i="12"/>
  <c r="T1709" i="12"/>
  <c r="T2231" i="12"/>
  <c r="T2656" i="12"/>
  <c r="T2919" i="12"/>
  <c r="T1207" i="12"/>
  <c r="T1922" i="12"/>
  <c r="T2442" i="12"/>
  <c r="T2763" i="12"/>
  <c r="T1520" i="12"/>
  <c r="T2860" i="12"/>
  <c r="T2925" i="12"/>
  <c r="T2433" i="12"/>
  <c r="T2772" i="12"/>
  <c r="T1631" i="12"/>
  <c r="T1828" i="12"/>
  <c r="T2219" i="12"/>
  <c r="T2609" i="12"/>
  <c r="T1599" i="12"/>
  <c r="T1992" i="12"/>
  <c r="T2447" i="12"/>
  <c r="T2906" i="12"/>
  <c r="T1502" i="12"/>
  <c r="T1961" i="12"/>
  <c r="T2415" i="12"/>
  <c r="T2874" i="12"/>
  <c r="T1459" i="12"/>
  <c r="T1921" i="12"/>
  <c r="T2375" i="12"/>
  <c r="T2834" i="12"/>
  <c r="T1307" i="12"/>
  <c r="T1882" i="12"/>
  <c r="T2402" i="12"/>
  <c r="T2861" i="12"/>
  <c r="T2736" i="12"/>
  <c r="T1750" i="12"/>
  <c r="T2779" i="12"/>
  <c r="T1775" i="12"/>
  <c r="T2796" i="12"/>
  <c r="V3098" i="12"/>
  <c r="U3098" i="12"/>
  <c r="T3098" i="12"/>
  <c r="V3068" i="12"/>
  <c r="U3068" i="12"/>
  <c r="T3068" i="12"/>
  <c r="V2998" i="12"/>
  <c r="U2998" i="12"/>
  <c r="T2998" i="12"/>
  <c r="V2928" i="12"/>
  <c r="U2928" i="12"/>
  <c r="T2928" i="12"/>
  <c r="V2888" i="12"/>
  <c r="U2888" i="12"/>
  <c r="T2888" i="12"/>
  <c r="U2048" i="12"/>
  <c r="T2048" i="12"/>
  <c r="T2018" i="12"/>
  <c r="T1948" i="12"/>
  <c r="T1908" i="12"/>
  <c r="T1878" i="12"/>
  <c r="U2018" i="12"/>
  <c r="U1948" i="12"/>
  <c r="U1908" i="12"/>
  <c r="U1878" i="12"/>
  <c r="V2048" i="12"/>
  <c r="V2018" i="12"/>
  <c r="V1948" i="12"/>
  <c r="V1908" i="12"/>
  <c r="V1878" i="12"/>
  <c r="V2398" i="12"/>
  <c r="U2398" i="12"/>
  <c r="T2398" i="12"/>
  <c r="V2368" i="12"/>
  <c r="U2368" i="12"/>
  <c r="T2368" i="12"/>
  <c r="V2118" i="12"/>
  <c r="U2118" i="12"/>
  <c r="T2118" i="12"/>
  <c r="V2088" i="12"/>
  <c r="U2088" i="12"/>
  <c r="T2088" i="12"/>
  <c r="V2858" i="12"/>
  <c r="U2858" i="12"/>
  <c r="T2858" i="12"/>
  <c r="V2818" i="12"/>
  <c r="U2818" i="12"/>
  <c r="T2818" i="12"/>
  <c r="V2788" i="12"/>
  <c r="U2788" i="12"/>
  <c r="T2788" i="12"/>
  <c r="V2758" i="12"/>
  <c r="U2758" i="12"/>
  <c r="T2758" i="12"/>
  <c r="V2728" i="12"/>
  <c r="U2728" i="12"/>
  <c r="T2728" i="12"/>
  <c r="V2678" i="12"/>
  <c r="U2678" i="12"/>
  <c r="T2678" i="12"/>
  <c r="V2648" i="12"/>
  <c r="U2648" i="12"/>
  <c r="T2648" i="12"/>
  <c r="V2608" i="12"/>
  <c r="U2608" i="12"/>
  <c r="T2608" i="12"/>
  <c r="V2578" i="12"/>
  <c r="U2578" i="12"/>
  <c r="T2578" i="12"/>
  <c r="V2468" i="12"/>
  <c r="U2468" i="12"/>
  <c r="T2468" i="12"/>
  <c r="V2438" i="12"/>
  <c r="U2438" i="12"/>
  <c r="T2438" i="12"/>
  <c r="U1808" i="12"/>
  <c r="T1808" i="12"/>
  <c r="U1768" i="12"/>
  <c r="T1768" i="12"/>
  <c r="U1738" i="12"/>
  <c r="T1738" i="12"/>
  <c r="U1698" i="12"/>
  <c r="T1698" i="12"/>
  <c r="U1668" i="12"/>
  <c r="T1668" i="12"/>
  <c r="U1628" i="12"/>
  <c r="T1628" i="12"/>
  <c r="U1598" i="12"/>
  <c r="T1598" i="12"/>
  <c r="U1558" i="12"/>
  <c r="T1558" i="12"/>
  <c r="U1491" i="12"/>
  <c r="T1491" i="12"/>
  <c r="T1462" i="12"/>
  <c r="T1422" i="12"/>
  <c r="T1392" i="12"/>
  <c r="T1353" i="12"/>
  <c r="V1491" i="12"/>
  <c r="V1598" i="12"/>
  <c r="V1558" i="12"/>
  <c r="V1808" i="12"/>
  <c r="V1768" i="12"/>
  <c r="V1738" i="12"/>
  <c r="V1698" i="12"/>
  <c r="V1668" i="12"/>
  <c r="V1628" i="12"/>
  <c r="U1322" i="12"/>
  <c r="U1282" i="12"/>
  <c r="U1252" i="12"/>
  <c r="U1208" i="12"/>
  <c r="U1182" i="12"/>
  <c r="U1152" i="12"/>
  <c r="U1122" i="12"/>
  <c r="U1072" i="12"/>
  <c r="U1038" i="12"/>
  <c r="U1002" i="12"/>
  <c r="U972" i="12"/>
  <c r="U932" i="12"/>
  <c r="U902" i="12"/>
  <c r="U862" i="12"/>
  <c r="U833" i="12"/>
  <c r="U792" i="12"/>
  <c r="U762" i="12"/>
  <c r="U722" i="12"/>
  <c r="U692" i="12"/>
  <c r="U658" i="12"/>
  <c r="U652" i="12"/>
  <c r="U438" i="12"/>
  <c r="U148" i="12"/>
  <c r="U1392" i="12"/>
  <c r="U1422" i="12"/>
  <c r="U1462" i="12"/>
  <c r="T62" i="12"/>
  <c r="T78" i="12"/>
  <c r="T92" i="12"/>
  <c r="T138" i="12"/>
  <c r="T148" i="12"/>
  <c r="T438" i="12"/>
  <c r="T523" i="12"/>
  <c r="T652" i="12"/>
  <c r="T658" i="12"/>
  <c r="T692" i="12"/>
  <c r="T722" i="12"/>
  <c r="T762" i="12"/>
  <c r="T792" i="12"/>
  <c r="T833" i="12"/>
  <c r="T862" i="12"/>
  <c r="T902" i="12"/>
  <c r="T932" i="12"/>
  <c r="T972" i="12"/>
  <c r="T1002" i="12"/>
  <c r="T1038" i="12"/>
  <c r="T1072" i="12"/>
  <c r="T1122" i="12"/>
  <c r="T1152" i="12"/>
  <c r="T1182" i="12"/>
  <c r="T1208" i="12"/>
  <c r="T1252" i="12"/>
  <c r="T1282" i="12"/>
  <c r="T1322" i="12"/>
  <c r="U1353" i="12"/>
  <c r="T3" i="12"/>
  <c r="Y3" i="2"/>
  <c r="AD6" i="9" s="1"/>
  <c r="W3" i="12" s="1"/>
  <c r="AB6" i="9"/>
  <c r="U3" i="12" s="1"/>
  <c r="Y4" i="2"/>
  <c r="AD7" i="9" s="1"/>
  <c r="W62" i="12" s="1"/>
  <c r="AB7" i="9"/>
  <c r="U62" i="12" s="1"/>
  <c r="Y5" i="2"/>
  <c r="AD8" i="9" s="1"/>
  <c r="W78" i="12" s="1"/>
  <c r="AB8" i="9"/>
  <c r="U78" i="12" s="1"/>
  <c r="Y6" i="2"/>
  <c r="AD9" i="9" s="1"/>
  <c r="W92" i="12" s="1"/>
  <c r="AB9" i="9"/>
  <c r="U92" i="12" s="1"/>
  <c r="Y7" i="2"/>
  <c r="AD10" i="9" s="1"/>
  <c r="W138" i="12" s="1"/>
  <c r="AB10" i="9"/>
  <c r="U138" i="12" s="1"/>
  <c r="Y9" i="2"/>
  <c r="AD12" i="9" s="1"/>
  <c r="AB12" i="9"/>
  <c r="Y11" i="2"/>
  <c r="AD14" i="9" s="1"/>
  <c r="AB14" i="9"/>
  <c r="Y12" i="2"/>
  <c r="AD15" i="9" s="1"/>
  <c r="W523" i="12" s="1"/>
  <c r="AB15" i="9"/>
  <c r="U523" i="12" s="1"/>
  <c r="Y13" i="2"/>
  <c r="AD16" i="9" s="1"/>
  <c r="AB16" i="9"/>
  <c r="Y14" i="2"/>
  <c r="AD17" i="9" s="1"/>
  <c r="AB17" i="9"/>
  <c r="Y15" i="2"/>
  <c r="AD18" i="9" s="1"/>
  <c r="AB18" i="9"/>
  <c r="Y2935" i="12"/>
  <c r="Y2943" i="12"/>
  <c r="Y2951" i="12"/>
  <c r="Y2959" i="12"/>
  <c r="Y2967" i="12"/>
  <c r="Y2975" i="12"/>
  <c r="Y2983" i="12"/>
  <c r="Y2991" i="12"/>
  <c r="Y2999" i="12"/>
  <c r="Y3007" i="12"/>
  <c r="Y3015" i="12"/>
  <c r="Y3023" i="12"/>
  <c r="Y3031" i="12"/>
  <c r="Y3039" i="12"/>
  <c r="Y3047" i="12"/>
  <c r="Y3055" i="12"/>
  <c r="Y3063" i="12"/>
  <c r="Y3071" i="12"/>
  <c r="Y3079" i="12"/>
  <c r="Y3087" i="12"/>
  <c r="Y3095" i="12"/>
  <c r="Y3103" i="12"/>
  <c r="Y3111" i="12"/>
  <c r="Y2936" i="12"/>
  <c r="Y2944" i="12"/>
  <c r="Y2952" i="12"/>
  <c r="Y2960" i="12"/>
  <c r="Y2968" i="12"/>
  <c r="Y2976" i="12"/>
  <c r="Y2984" i="12"/>
  <c r="Y2992" i="12"/>
  <c r="Y3000" i="12"/>
  <c r="Y3008" i="12"/>
  <c r="Y3016" i="12"/>
  <c r="Y3024" i="12"/>
  <c r="Y3032" i="12"/>
  <c r="Y3040" i="12"/>
  <c r="Y3048" i="12"/>
  <c r="Y3056" i="12"/>
  <c r="Y3064" i="12"/>
  <c r="Y3072" i="12"/>
  <c r="Y3080" i="12"/>
  <c r="Y3088" i="12"/>
  <c r="Y3096" i="12"/>
  <c r="Y3104" i="12"/>
  <c r="Y3112" i="12"/>
  <c r="Y2929" i="12"/>
  <c r="Y2937" i="12"/>
  <c r="Y2945" i="12"/>
  <c r="Y2953" i="12"/>
  <c r="Y2961" i="12"/>
  <c r="Y2969" i="12"/>
  <c r="Y2977" i="12"/>
  <c r="Y2985" i="12"/>
  <c r="Y2993" i="12"/>
  <c r="Y3001" i="12"/>
  <c r="Y3009" i="12"/>
  <c r="Y3017" i="12"/>
  <c r="Y3025" i="12"/>
  <c r="Y3033" i="12"/>
  <c r="Y3041" i="12"/>
  <c r="Y3049" i="12"/>
  <c r="Y3057" i="12"/>
  <c r="Y3065" i="12"/>
  <c r="Y3073" i="12"/>
  <c r="Y3081" i="12"/>
  <c r="Y3089" i="12"/>
  <c r="Y3097" i="12"/>
  <c r="Y3105" i="12"/>
  <c r="Y3113" i="12"/>
  <c r="Y2930" i="12"/>
  <c r="Y2938" i="12"/>
  <c r="Y2946" i="12"/>
  <c r="Y2954" i="12"/>
  <c r="Y2962" i="12"/>
  <c r="Y2970" i="12"/>
  <c r="Y2978" i="12"/>
  <c r="Y2986" i="12"/>
  <c r="Y2994" i="12"/>
  <c r="Y3002" i="12"/>
  <c r="Y3010" i="12"/>
  <c r="Y3018" i="12"/>
  <c r="Y3026" i="12"/>
  <c r="Y3034" i="12"/>
  <c r="Y3042" i="12"/>
  <c r="Y3050" i="12"/>
  <c r="Y3058" i="12"/>
  <c r="Y3066" i="12"/>
  <c r="Y3074" i="12"/>
  <c r="Y3082" i="12"/>
  <c r="Y3090" i="12"/>
  <c r="Y3098" i="12"/>
  <c r="Y3106" i="12"/>
  <c r="Y2931" i="12"/>
  <c r="Y2939" i="12"/>
  <c r="Y2947" i="12"/>
  <c r="Y2955" i="12"/>
  <c r="Y2963" i="12"/>
  <c r="Y2971" i="12"/>
  <c r="Y2979" i="12"/>
  <c r="Y2987" i="12"/>
  <c r="Y2995" i="12"/>
  <c r="Y3003" i="12"/>
  <c r="Y3011" i="12"/>
  <c r="Y3019" i="12"/>
  <c r="Y3027" i="12"/>
  <c r="Y3035" i="12"/>
  <c r="Y3043" i="12"/>
  <c r="Y3051" i="12"/>
  <c r="Y3059" i="12"/>
  <c r="Y3067" i="12"/>
  <c r="Y3075" i="12"/>
  <c r="Y3083" i="12"/>
  <c r="Y3091" i="12"/>
  <c r="Y3099" i="12"/>
  <c r="Y3107" i="12"/>
  <c r="Y2932" i="12"/>
  <c r="Y2940" i="12"/>
  <c r="Y2948" i="12"/>
  <c r="Y2956" i="12"/>
  <c r="Y2964" i="12"/>
  <c r="Y2972" i="12"/>
  <c r="Y2980" i="12"/>
  <c r="Y2988" i="12"/>
  <c r="Y2996" i="12"/>
  <c r="Y3004" i="12"/>
  <c r="Y3012" i="12"/>
  <c r="Y3020" i="12"/>
  <c r="Y3028" i="12"/>
  <c r="Y3036" i="12"/>
  <c r="Y3044" i="12"/>
  <c r="Y3052" i="12"/>
  <c r="Y3060" i="12"/>
  <c r="Y3068" i="12"/>
  <c r="Y3076" i="12"/>
  <c r="Y3084" i="12"/>
  <c r="Y3092" i="12"/>
  <c r="Y3100" i="12"/>
  <c r="Y3108" i="12"/>
  <c r="Y2934" i="12"/>
  <c r="Y2942" i="12"/>
  <c r="Y2950" i="12"/>
  <c r="Y2958" i="12"/>
  <c r="Y2966" i="12"/>
  <c r="Y2974" i="12"/>
  <c r="Y2982" i="12"/>
  <c r="Y2990" i="12"/>
  <c r="Y2998" i="12"/>
  <c r="Y3006" i="12"/>
  <c r="Y3014" i="12"/>
  <c r="Y3022" i="12"/>
  <c r="Y3030" i="12"/>
  <c r="Y3038" i="12"/>
  <c r="Y3046" i="12"/>
  <c r="Y3054" i="12"/>
  <c r="Y3062" i="12"/>
  <c r="Y3070" i="12"/>
  <c r="Y3078" i="12"/>
  <c r="Y3086" i="12"/>
  <c r="Y3094" i="12"/>
  <c r="Y3102" i="12"/>
  <c r="Y3110" i="12"/>
  <c r="Y2965" i="12"/>
  <c r="Y3029" i="12"/>
  <c r="Y3093" i="12"/>
  <c r="Y2981" i="12"/>
  <c r="Y3045" i="12"/>
  <c r="Y3109" i="12"/>
  <c r="Y2973" i="12"/>
  <c r="Y3037" i="12"/>
  <c r="Y3101" i="12"/>
  <c r="Y2989" i="12"/>
  <c r="Y3053" i="12"/>
  <c r="Y2933" i="12"/>
  <c r="Y2997" i="12"/>
  <c r="Y3061" i="12"/>
  <c r="Y2941" i="12"/>
  <c r="Y3005" i="12"/>
  <c r="Y3069" i="12"/>
  <c r="Y2957" i="12"/>
  <c r="Y3021" i="12"/>
  <c r="Y3085" i="12"/>
  <c r="Y2949" i="12"/>
  <c r="Y3013" i="12"/>
  <c r="Y3077" i="12"/>
  <c r="J11" i="12"/>
  <c r="J19" i="12"/>
  <c r="J27" i="12"/>
  <c r="J35" i="12"/>
  <c r="J43" i="12"/>
  <c r="J51" i="12"/>
  <c r="J59" i="12"/>
  <c r="J67" i="12"/>
  <c r="J75" i="12"/>
  <c r="J83" i="12"/>
  <c r="J91" i="12"/>
  <c r="J99" i="12"/>
  <c r="J107" i="12"/>
  <c r="J115" i="12"/>
  <c r="J123" i="12"/>
  <c r="J131" i="12"/>
  <c r="J139" i="12"/>
  <c r="J147" i="12"/>
  <c r="J155" i="12"/>
  <c r="J163" i="12"/>
  <c r="J171" i="12"/>
  <c r="J179" i="12"/>
  <c r="J187" i="12"/>
  <c r="J195" i="12"/>
  <c r="J203" i="12"/>
  <c r="J211" i="12"/>
  <c r="J219" i="12"/>
  <c r="J227" i="12"/>
  <c r="J235" i="12"/>
  <c r="J243" i="12"/>
  <c r="J251" i="12"/>
  <c r="J259" i="12"/>
  <c r="J267" i="12"/>
  <c r="J275" i="12"/>
  <c r="J283" i="12"/>
  <c r="J291" i="12"/>
  <c r="J299" i="12"/>
  <c r="J307" i="12"/>
  <c r="J315" i="12"/>
  <c r="J323" i="12"/>
  <c r="J331" i="12"/>
  <c r="J339" i="12"/>
  <c r="J347" i="12"/>
  <c r="J355" i="12"/>
  <c r="J363" i="12"/>
  <c r="J371" i="12"/>
  <c r="J379" i="12"/>
  <c r="J387" i="12"/>
  <c r="J395" i="12"/>
  <c r="J403" i="12"/>
  <c r="J411" i="12"/>
  <c r="J419" i="12"/>
  <c r="J427" i="12"/>
  <c r="J435" i="12"/>
  <c r="J443" i="12"/>
  <c r="J451" i="12"/>
  <c r="J459" i="12"/>
  <c r="J467" i="12"/>
  <c r="J475" i="12"/>
  <c r="J483" i="12"/>
  <c r="J491" i="12"/>
  <c r="J499" i="12"/>
  <c r="J507" i="12"/>
  <c r="J515" i="12"/>
  <c r="J523" i="12"/>
  <c r="J531" i="12"/>
  <c r="J539" i="12"/>
  <c r="J547" i="12"/>
  <c r="J12" i="12"/>
  <c r="J20" i="12"/>
  <c r="J28" i="12"/>
  <c r="J36" i="12"/>
  <c r="J44" i="12"/>
  <c r="J52" i="12"/>
  <c r="J60" i="12"/>
  <c r="J68" i="12"/>
  <c r="J76" i="12"/>
  <c r="J84" i="12"/>
  <c r="J92" i="12"/>
  <c r="J100" i="12"/>
  <c r="J108" i="12"/>
  <c r="J116" i="12"/>
  <c r="J124" i="12"/>
  <c r="J132" i="12"/>
  <c r="J140" i="12"/>
  <c r="J148" i="12"/>
  <c r="J156" i="12"/>
  <c r="J164" i="12"/>
  <c r="J172" i="12"/>
  <c r="J180" i="12"/>
  <c r="J188" i="12"/>
  <c r="J196" i="12"/>
  <c r="J204" i="12"/>
  <c r="J212" i="12"/>
  <c r="J220" i="12"/>
  <c r="J228" i="12"/>
  <c r="J236" i="12"/>
  <c r="J244" i="12"/>
  <c r="J252" i="12"/>
  <c r="J260" i="12"/>
  <c r="J268" i="12"/>
  <c r="J276" i="12"/>
  <c r="J284" i="12"/>
  <c r="J292" i="12"/>
  <c r="J300" i="12"/>
  <c r="J308" i="12"/>
  <c r="J316" i="12"/>
  <c r="J324" i="12"/>
  <c r="J332" i="12"/>
  <c r="J340" i="12"/>
  <c r="J348" i="12"/>
  <c r="J356" i="12"/>
  <c r="J364" i="12"/>
  <c r="J372" i="12"/>
  <c r="J380" i="12"/>
  <c r="J388" i="12"/>
  <c r="J396" i="12"/>
  <c r="J404" i="12"/>
  <c r="J412" i="12"/>
  <c r="J420" i="12"/>
  <c r="J428" i="12"/>
  <c r="J436" i="12"/>
  <c r="J444" i="12"/>
  <c r="J452" i="12"/>
  <c r="J460" i="12"/>
  <c r="J468" i="12"/>
  <c r="J476" i="12"/>
  <c r="J484" i="12"/>
  <c r="J492" i="12"/>
  <c r="J500" i="12"/>
  <c r="J508" i="12"/>
  <c r="J516" i="12"/>
  <c r="J524" i="12"/>
  <c r="J532" i="12"/>
  <c r="J540" i="12"/>
  <c r="J548" i="12"/>
  <c r="J13" i="12"/>
  <c r="J21" i="12"/>
  <c r="J29" i="12"/>
  <c r="J37" i="12"/>
  <c r="J45" i="12"/>
  <c r="J53" i="12"/>
  <c r="J61" i="12"/>
  <c r="J69" i="12"/>
  <c r="J77" i="12"/>
  <c r="J85" i="12"/>
  <c r="J93" i="12"/>
  <c r="J101" i="12"/>
  <c r="J109" i="12"/>
  <c r="J117" i="12"/>
  <c r="J125" i="12"/>
  <c r="J133" i="12"/>
  <c r="J141" i="12"/>
  <c r="J149" i="12"/>
  <c r="J157" i="12"/>
  <c r="J165" i="12"/>
  <c r="J173" i="12"/>
  <c r="J181" i="12"/>
  <c r="J189" i="12"/>
  <c r="J197" i="12"/>
  <c r="J205" i="12"/>
  <c r="J213" i="12"/>
  <c r="J221" i="12"/>
  <c r="J229" i="12"/>
  <c r="J237" i="12"/>
  <c r="J245" i="12"/>
  <c r="J253" i="12"/>
  <c r="J261" i="12"/>
  <c r="J269" i="12"/>
  <c r="J277" i="12"/>
  <c r="J285" i="12"/>
  <c r="J293" i="12"/>
  <c r="J301" i="12"/>
  <c r="J309" i="12"/>
  <c r="J317" i="12"/>
  <c r="J325" i="12"/>
  <c r="J333" i="12"/>
  <c r="J341" i="12"/>
  <c r="J349" i="12"/>
  <c r="J357" i="12"/>
  <c r="J365" i="12"/>
  <c r="J373" i="12"/>
  <c r="J381" i="12"/>
  <c r="J389" i="12"/>
  <c r="J397" i="12"/>
  <c r="J405" i="12"/>
  <c r="J413" i="12"/>
  <c r="J421" i="12"/>
  <c r="J429" i="12"/>
  <c r="J437" i="12"/>
  <c r="J445" i="12"/>
  <c r="J453" i="12"/>
  <c r="J461" i="12"/>
  <c r="J469" i="12"/>
  <c r="J477" i="12"/>
  <c r="J485" i="12"/>
  <c r="J493" i="12"/>
  <c r="J501" i="12"/>
  <c r="J509" i="12"/>
  <c r="J517" i="12"/>
  <c r="J525" i="12"/>
  <c r="J533" i="12"/>
  <c r="J541" i="12"/>
  <c r="J549" i="12"/>
  <c r="J14" i="12"/>
  <c r="J22" i="12"/>
  <c r="J30" i="12"/>
  <c r="J38" i="12"/>
  <c r="J46" i="12"/>
  <c r="J54" i="12"/>
  <c r="J62" i="12"/>
  <c r="J70" i="12"/>
  <c r="J78" i="12"/>
  <c r="J86" i="12"/>
  <c r="J94" i="12"/>
  <c r="J102" i="12"/>
  <c r="J110" i="12"/>
  <c r="J118" i="12"/>
  <c r="J126" i="12"/>
  <c r="J134" i="12"/>
  <c r="J142" i="12"/>
  <c r="J150" i="12"/>
  <c r="J158" i="12"/>
  <c r="J166" i="12"/>
  <c r="J174" i="12"/>
  <c r="J182" i="12"/>
  <c r="J190" i="12"/>
  <c r="J198" i="12"/>
  <c r="J206" i="12"/>
  <c r="J214" i="12"/>
  <c r="J222" i="12"/>
  <c r="J230" i="12"/>
  <c r="J238" i="12"/>
  <c r="J246" i="12"/>
  <c r="J254" i="12"/>
  <c r="J262" i="12"/>
  <c r="J270" i="12"/>
  <c r="J278" i="12"/>
  <c r="J286" i="12"/>
  <c r="J294" i="12"/>
  <c r="J302" i="12"/>
  <c r="J310" i="12"/>
  <c r="J318" i="12"/>
  <c r="J326" i="12"/>
  <c r="J334" i="12"/>
  <c r="J342" i="12"/>
  <c r="J350" i="12"/>
  <c r="J358" i="12"/>
  <c r="J366" i="12"/>
  <c r="J374" i="12"/>
  <c r="J382" i="12"/>
  <c r="J390" i="12"/>
  <c r="J398" i="12"/>
  <c r="J406" i="12"/>
  <c r="J414" i="12"/>
  <c r="J422" i="12"/>
  <c r="J430" i="12"/>
  <c r="J438" i="12"/>
  <c r="J446" i="12"/>
  <c r="J454" i="12"/>
  <c r="J462" i="12"/>
  <c r="J470" i="12"/>
  <c r="J478" i="12"/>
  <c r="J486" i="12"/>
  <c r="J494" i="12"/>
  <c r="J502" i="12"/>
  <c r="J510" i="12"/>
  <c r="J518" i="12"/>
  <c r="J526" i="12"/>
  <c r="J534" i="12"/>
  <c r="J542" i="12"/>
  <c r="J550" i="12"/>
  <c r="J9" i="12"/>
  <c r="J17" i="12"/>
  <c r="J25" i="12"/>
  <c r="J33" i="12"/>
  <c r="J41" i="12"/>
  <c r="J49" i="12"/>
  <c r="J57" i="12"/>
  <c r="J65" i="12"/>
  <c r="J73" i="12"/>
  <c r="J81" i="12"/>
  <c r="J89" i="12"/>
  <c r="J97" i="12"/>
  <c r="J105" i="12"/>
  <c r="J113" i="12"/>
  <c r="J121" i="12"/>
  <c r="J129" i="12"/>
  <c r="J137" i="12"/>
  <c r="J145" i="12"/>
  <c r="J153" i="12"/>
  <c r="J161" i="12"/>
  <c r="J169" i="12"/>
  <c r="J177" i="12"/>
  <c r="J185" i="12"/>
  <c r="J193" i="12"/>
  <c r="J201" i="12"/>
  <c r="J209" i="12"/>
  <c r="J217" i="12"/>
  <c r="J225" i="12"/>
  <c r="J233" i="12"/>
  <c r="J241" i="12"/>
  <c r="J249" i="12"/>
  <c r="J257" i="12"/>
  <c r="J265" i="12"/>
  <c r="J273" i="12"/>
  <c r="J281" i="12"/>
  <c r="J289" i="12"/>
  <c r="J297" i="12"/>
  <c r="J305" i="12"/>
  <c r="J313" i="12"/>
  <c r="J321" i="12"/>
  <c r="J329" i="12"/>
  <c r="J337" i="12"/>
  <c r="J345" i="12"/>
  <c r="J353" i="12"/>
  <c r="J361" i="12"/>
  <c r="J369" i="12"/>
  <c r="J377" i="12"/>
  <c r="J385" i="12"/>
  <c r="J393" i="12"/>
  <c r="J401" i="12"/>
  <c r="J409" i="12"/>
  <c r="J417" i="12"/>
  <c r="J425" i="12"/>
  <c r="J433" i="12"/>
  <c r="J441" i="12"/>
  <c r="J449" i="12"/>
  <c r="J457" i="12"/>
  <c r="J465" i="12"/>
  <c r="J473" i="12"/>
  <c r="J481" i="12"/>
  <c r="J489" i="12"/>
  <c r="J497" i="12"/>
  <c r="J505" i="12"/>
  <c r="J513" i="12"/>
  <c r="J521" i="12"/>
  <c r="J529" i="12"/>
  <c r="J537" i="12"/>
  <c r="J545" i="12"/>
  <c r="J553" i="12"/>
  <c r="J10" i="12"/>
  <c r="J18" i="12"/>
  <c r="J26" i="12"/>
  <c r="J34" i="12"/>
  <c r="J42" i="12"/>
  <c r="J50" i="12"/>
  <c r="J58" i="12"/>
  <c r="J66" i="12"/>
  <c r="J74" i="12"/>
  <c r="J82" i="12"/>
  <c r="J90" i="12"/>
  <c r="J98" i="12"/>
  <c r="J106" i="12"/>
  <c r="J114" i="12"/>
  <c r="J122" i="12"/>
  <c r="J130" i="12"/>
  <c r="J138" i="12"/>
  <c r="J146" i="12"/>
  <c r="J154" i="12"/>
  <c r="J162" i="12"/>
  <c r="J170" i="12"/>
  <c r="J178" i="12"/>
  <c r="J186" i="12"/>
  <c r="J194" i="12"/>
  <c r="J202" i="12"/>
  <c r="J210" i="12"/>
  <c r="J218" i="12"/>
  <c r="J226" i="12"/>
  <c r="J234" i="12"/>
  <c r="J242" i="12"/>
  <c r="J250" i="12"/>
  <c r="J258" i="12"/>
  <c r="J266" i="12"/>
  <c r="J274" i="12"/>
  <c r="J282" i="12"/>
  <c r="J290" i="12"/>
  <c r="J298" i="12"/>
  <c r="J306" i="12"/>
  <c r="J314" i="12"/>
  <c r="J322" i="12"/>
  <c r="J330" i="12"/>
  <c r="J338" i="12"/>
  <c r="J346" i="12"/>
  <c r="J354" i="12"/>
  <c r="J362" i="12"/>
  <c r="J370" i="12"/>
  <c r="J378" i="12"/>
  <c r="J386" i="12"/>
  <c r="J394" i="12"/>
  <c r="J402" i="12"/>
  <c r="J410" i="12"/>
  <c r="J418" i="12"/>
  <c r="J426" i="12"/>
  <c r="J434" i="12"/>
  <c r="J442" i="12"/>
  <c r="J450" i="12"/>
  <c r="J458" i="12"/>
  <c r="J466" i="12"/>
  <c r="J474" i="12"/>
  <c r="J482" i="12"/>
  <c r="J490" i="12"/>
  <c r="J498" i="12"/>
  <c r="J506" i="12"/>
  <c r="J514" i="12"/>
  <c r="J522" i="12"/>
  <c r="J530" i="12"/>
  <c r="J538" i="12"/>
  <c r="J546" i="12"/>
  <c r="J554" i="12"/>
  <c r="J40" i="12"/>
  <c r="J72" i="12"/>
  <c r="J104" i="12"/>
  <c r="J136" i="12"/>
  <c r="J168" i="12"/>
  <c r="J200" i="12"/>
  <c r="J232" i="12"/>
  <c r="J264" i="12"/>
  <c r="J296" i="12"/>
  <c r="J328" i="12"/>
  <c r="J360" i="12"/>
  <c r="J392" i="12"/>
  <c r="J424" i="12"/>
  <c r="J456" i="12"/>
  <c r="J488" i="12"/>
  <c r="J520" i="12"/>
  <c r="J552" i="12"/>
  <c r="J562" i="12"/>
  <c r="J570" i="12"/>
  <c r="J578" i="12"/>
  <c r="J586" i="12"/>
  <c r="J594" i="12"/>
  <c r="J602" i="12"/>
  <c r="J610" i="12"/>
  <c r="J618" i="12"/>
  <c r="J626" i="12"/>
  <c r="J634" i="12"/>
  <c r="J642" i="12"/>
  <c r="J650" i="12"/>
  <c r="J658" i="12"/>
  <c r="J666" i="12"/>
  <c r="J674" i="12"/>
  <c r="J682" i="12"/>
  <c r="J690" i="12"/>
  <c r="J698" i="12"/>
  <c r="J706" i="12"/>
  <c r="J714" i="12"/>
  <c r="J722" i="12"/>
  <c r="J730" i="12"/>
  <c r="J738" i="12"/>
  <c r="J746" i="12"/>
  <c r="J754" i="12"/>
  <c r="J762" i="12"/>
  <c r="J770" i="12"/>
  <c r="J778" i="12"/>
  <c r="J786" i="12"/>
  <c r="J794" i="12"/>
  <c r="J802" i="12"/>
  <c r="J810" i="12"/>
  <c r="J818" i="12"/>
  <c r="J826" i="12"/>
  <c r="J834" i="12"/>
  <c r="J842" i="12"/>
  <c r="J850" i="12"/>
  <c r="J858" i="12"/>
  <c r="J866" i="12"/>
  <c r="J874" i="12"/>
  <c r="J882" i="12"/>
  <c r="J890" i="12"/>
  <c r="J898" i="12"/>
  <c r="J906" i="12"/>
  <c r="J914" i="12"/>
  <c r="J922" i="12"/>
  <c r="J930" i="12"/>
  <c r="J938" i="12"/>
  <c r="J946" i="12"/>
  <c r="J954" i="12"/>
  <c r="J962" i="12"/>
  <c r="J970" i="12"/>
  <c r="J978" i="12"/>
  <c r="J986" i="12"/>
  <c r="J994" i="12"/>
  <c r="J1002" i="12"/>
  <c r="J1010" i="12"/>
  <c r="J1018" i="12"/>
  <c r="J1026" i="12"/>
  <c r="J1034" i="12"/>
  <c r="J1042" i="12"/>
  <c r="J1050" i="12"/>
  <c r="J1058" i="12"/>
  <c r="J1066" i="12"/>
  <c r="J1074" i="12"/>
  <c r="J1082" i="12"/>
  <c r="J1090" i="12"/>
  <c r="J1098" i="12"/>
  <c r="J1106" i="12"/>
  <c r="J1114" i="12"/>
  <c r="J1122" i="12"/>
  <c r="J1130" i="12"/>
  <c r="J1138" i="12"/>
  <c r="J1146" i="12"/>
  <c r="J1154" i="12"/>
  <c r="J1162" i="12"/>
  <c r="J1170" i="12"/>
  <c r="J1178" i="12"/>
  <c r="J1186" i="12"/>
  <c r="J1194" i="12"/>
  <c r="J1202" i="12"/>
  <c r="J1210" i="12"/>
  <c r="J1218" i="12"/>
  <c r="J1226" i="12"/>
  <c r="J1234" i="12"/>
  <c r="J1242" i="12"/>
  <c r="J1250" i="12"/>
  <c r="J1258" i="12"/>
  <c r="J1266" i="12"/>
  <c r="J1274" i="12"/>
  <c r="J1282" i="12"/>
  <c r="J1290" i="12"/>
  <c r="J1298" i="12"/>
  <c r="J1306" i="12"/>
  <c r="J1314" i="12"/>
  <c r="J1322" i="12"/>
  <c r="J1330" i="12"/>
  <c r="J1338" i="12"/>
  <c r="J1346" i="12"/>
  <c r="J1354" i="12"/>
  <c r="J1362" i="12"/>
  <c r="J1370" i="12"/>
  <c r="J1378" i="12"/>
  <c r="J1386" i="12"/>
  <c r="J1394" i="12"/>
  <c r="J1402" i="12"/>
  <c r="J1410" i="12"/>
  <c r="J1418" i="12"/>
  <c r="J1426" i="12"/>
  <c r="J1434" i="12"/>
  <c r="J1442" i="12"/>
  <c r="J1450" i="12"/>
  <c r="J1458" i="12"/>
  <c r="J1466" i="12"/>
  <c r="J1474" i="12"/>
  <c r="J1482" i="12"/>
  <c r="J1490" i="12"/>
  <c r="J1498" i="12"/>
  <c r="J1506" i="12"/>
  <c r="J1514" i="12"/>
  <c r="J1522" i="12"/>
  <c r="J1530" i="12"/>
  <c r="J1538" i="12"/>
  <c r="J1546" i="12"/>
  <c r="J1554" i="12"/>
  <c r="J1562" i="12"/>
  <c r="J1570" i="12"/>
  <c r="J1578" i="12"/>
  <c r="J1586" i="12"/>
  <c r="J1594" i="12"/>
  <c r="J1602" i="12"/>
  <c r="J1610" i="12"/>
  <c r="J1618" i="12"/>
  <c r="J1626" i="12"/>
  <c r="J1634" i="12"/>
  <c r="J1642" i="12"/>
  <c r="J1650" i="12"/>
  <c r="J1658" i="12"/>
  <c r="J1666" i="12"/>
  <c r="J15" i="12"/>
  <c r="J47" i="12"/>
  <c r="J79" i="12"/>
  <c r="J111" i="12"/>
  <c r="J143" i="12"/>
  <c r="J175" i="12"/>
  <c r="J207" i="12"/>
  <c r="J239" i="12"/>
  <c r="J271" i="12"/>
  <c r="J303" i="12"/>
  <c r="J335" i="12"/>
  <c r="J367" i="12"/>
  <c r="J399" i="12"/>
  <c r="J431" i="12"/>
  <c r="J463" i="12"/>
  <c r="J495" i="12"/>
  <c r="J527" i="12"/>
  <c r="J555" i="12"/>
  <c r="J563" i="12"/>
  <c r="J571" i="12"/>
  <c r="J579" i="12"/>
  <c r="J587" i="12"/>
  <c r="J595" i="12"/>
  <c r="J603" i="12"/>
  <c r="J611" i="12"/>
  <c r="J619" i="12"/>
  <c r="J627" i="12"/>
  <c r="J635" i="12"/>
  <c r="J643" i="12"/>
  <c r="J651" i="12"/>
  <c r="J659" i="12"/>
  <c r="J667" i="12"/>
  <c r="J675" i="12"/>
  <c r="J683" i="12"/>
  <c r="J691" i="12"/>
  <c r="J699" i="12"/>
  <c r="J707" i="12"/>
  <c r="J715" i="12"/>
  <c r="J723" i="12"/>
  <c r="J731" i="12"/>
  <c r="J739" i="12"/>
  <c r="J747" i="12"/>
  <c r="J755" i="12"/>
  <c r="J763" i="12"/>
  <c r="J771" i="12"/>
  <c r="J779" i="12"/>
  <c r="J787" i="12"/>
  <c r="J795" i="12"/>
  <c r="J803" i="12"/>
  <c r="J811" i="12"/>
  <c r="J819" i="12"/>
  <c r="J827" i="12"/>
  <c r="J835" i="12"/>
  <c r="J843" i="12"/>
  <c r="J851" i="12"/>
  <c r="J859" i="12"/>
  <c r="J867" i="12"/>
  <c r="J875" i="12"/>
  <c r="J883" i="12"/>
  <c r="J891" i="12"/>
  <c r="J899" i="12"/>
  <c r="J907" i="12"/>
  <c r="J915" i="12"/>
  <c r="J923" i="12"/>
  <c r="J931" i="12"/>
  <c r="J939" i="12"/>
  <c r="J947" i="12"/>
  <c r="J955" i="12"/>
  <c r="J963" i="12"/>
  <c r="J971" i="12"/>
  <c r="J979" i="12"/>
  <c r="J987" i="12"/>
  <c r="J995" i="12"/>
  <c r="J1003" i="12"/>
  <c r="J1011" i="12"/>
  <c r="J1019" i="12"/>
  <c r="J1027" i="12"/>
  <c r="J1035" i="12"/>
  <c r="J1043" i="12"/>
  <c r="J1051" i="12"/>
  <c r="J1059" i="12"/>
  <c r="J1067" i="12"/>
  <c r="J1075" i="12"/>
  <c r="J1083" i="12"/>
  <c r="J1091" i="12"/>
  <c r="J1099" i="12"/>
  <c r="J1107" i="12"/>
  <c r="J1115" i="12"/>
  <c r="J1123" i="12"/>
  <c r="J1131" i="12"/>
  <c r="J1139" i="12"/>
  <c r="J1147" i="12"/>
  <c r="J1155" i="12"/>
  <c r="J1163" i="12"/>
  <c r="J1171" i="12"/>
  <c r="J1179" i="12"/>
  <c r="J1187" i="12"/>
  <c r="J1195" i="12"/>
  <c r="J1203" i="12"/>
  <c r="J1211" i="12"/>
  <c r="J1219" i="12"/>
  <c r="J1227" i="12"/>
  <c r="J1235" i="12"/>
  <c r="J1243" i="12"/>
  <c r="J1251" i="12"/>
  <c r="J1259" i="12"/>
  <c r="J1267" i="12"/>
  <c r="J1275" i="12"/>
  <c r="J1283" i="12"/>
  <c r="J1291" i="12"/>
  <c r="J1299" i="12"/>
  <c r="J1307" i="12"/>
  <c r="J1315" i="12"/>
  <c r="J1323" i="12"/>
  <c r="J1331" i="12"/>
  <c r="J1339" i="12"/>
  <c r="J1347" i="12"/>
  <c r="J1355" i="12"/>
  <c r="J1363" i="12"/>
  <c r="J1371" i="12"/>
  <c r="J1379" i="12"/>
  <c r="J1387" i="12"/>
  <c r="J1395" i="12"/>
  <c r="J1403" i="12"/>
  <c r="J1411" i="12"/>
  <c r="J1419" i="12"/>
  <c r="J1427" i="12"/>
  <c r="J1435" i="12"/>
  <c r="J1443" i="12"/>
  <c r="J1451" i="12"/>
  <c r="J1459" i="12"/>
  <c r="J1467" i="12"/>
  <c r="J1475" i="12"/>
  <c r="J1483" i="12"/>
  <c r="J1491" i="12"/>
  <c r="J1499" i="12"/>
  <c r="J1507" i="12"/>
  <c r="J1515" i="12"/>
  <c r="J1523" i="12"/>
  <c r="J1531" i="12"/>
  <c r="J1539" i="12"/>
  <c r="J1547" i="12"/>
  <c r="J1555" i="12"/>
  <c r="J1563" i="12"/>
  <c r="J1571" i="12"/>
  <c r="J1579" i="12"/>
  <c r="J1587" i="12"/>
  <c r="J1595" i="12"/>
  <c r="J1603" i="12"/>
  <c r="J1611" i="12"/>
  <c r="J1619" i="12"/>
  <c r="J1627" i="12"/>
  <c r="J1635" i="12"/>
  <c r="J1643" i="12"/>
  <c r="J1651" i="12"/>
  <c r="J1659" i="12"/>
  <c r="J1667" i="12"/>
  <c r="J1675" i="12"/>
  <c r="J16" i="12"/>
  <c r="J48" i="12"/>
  <c r="J80" i="12"/>
  <c r="J112" i="12"/>
  <c r="J144" i="12"/>
  <c r="J176" i="12"/>
  <c r="J208" i="12"/>
  <c r="J240" i="12"/>
  <c r="J272" i="12"/>
  <c r="J304" i="12"/>
  <c r="J336" i="12"/>
  <c r="J368" i="12"/>
  <c r="J400" i="12"/>
  <c r="J432" i="12"/>
  <c r="J464" i="12"/>
  <c r="J496" i="12"/>
  <c r="J528" i="12"/>
  <c r="J556" i="12"/>
  <c r="J564" i="12"/>
  <c r="J572" i="12"/>
  <c r="J580" i="12"/>
  <c r="J588" i="12"/>
  <c r="J596" i="12"/>
  <c r="J604" i="12"/>
  <c r="J612" i="12"/>
  <c r="J620" i="12"/>
  <c r="J628" i="12"/>
  <c r="J636" i="12"/>
  <c r="J644" i="12"/>
  <c r="J652" i="12"/>
  <c r="J660" i="12"/>
  <c r="J668" i="12"/>
  <c r="J676" i="12"/>
  <c r="J684" i="12"/>
  <c r="J692" i="12"/>
  <c r="J700" i="12"/>
  <c r="J708" i="12"/>
  <c r="J716" i="12"/>
  <c r="J724" i="12"/>
  <c r="J732" i="12"/>
  <c r="J740" i="12"/>
  <c r="J748" i="12"/>
  <c r="J756" i="12"/>
  <c r="J764" i="12"/>
  <c r="J772" i="12"/>
  <c r="J780" i="12"/>
  <c r="J788" i="12"/>
  <c r="J796" i="12"/>
  <c r="J804" i="12"/>
  <c r="J812" i="12"/>
  <c r="J820" i="12"/>
  <c r="J828" i="12"/>
  <c r="J836" i="12"/>
  <c r="J844" i="12"/>
  <c r="J852" i="12"/>
  <c r="J860" i="12"/>
  <c r="J868" i="12"/>
  <c r="J876" i="12"/>
  <c r="J884" i="12"/>
  <c r="J892" i="12"/>
  <c r="J900" i="12"/>
  <c r="J908" i="12"/>
  <c r="J916" i="12"/>
  <c r="J924" i="12"/>
  <c r="J932" i="12"/>
  <c r="J940" i="12"/>
  <c r="J948" i="12"/>
  <c r="J956" i="12"/>
  <c r="J964" i="12"/>
  <c r="J972" i="12"/>
  <c r="J980" i="12"/>
  <c r="J988" i="12"/>
  <c r="J996" i="12"/>
  <c r="J1004" i="12"/>
  <c r="J1012" i="12"/>
  <c r="J1020" i="12"/>
  <c r="J1028" i="12"/>
  <c r="J1036" i="12"/>
  <c r="J1044" i="12"/>
  <c r="J1052" i="12"/>
  <c r="J1060" i="12"/>
  <c r="J1068" i="12"/>
  <c r="J1076" i="12"/>
  <c r="J1084" i="12"/>
  <c r="J1092" i="12"/>
  <c r="J1100" i="12"/>
  <c r="J1108" i="12"/>
  <c r="J1116" i="12"/>
  <c r="J1124" i="12"/>
  <c r="J1132" i="12"/>
  <c r="J1140" i="12"/>
  <c r="J1148" i="12"/>
  <c r="J1156" i="12"/>
  <c r="J1164" i="12"/>
  <c r="J1172" i="12"/>
  <c r="J1180" i="12"/>
  <c r="J1188" i="12"/>
  <c r="J1196" i="12"/>
  <c r="J1204" i="12"/>
  <c r="J1212" i="12"/>
  <c r="J1220" i="12"/>
  <c r="J1228" i="12"/>
  <c r="J1236" i="12"/>
  <c r="J1244" i="12"/>
  <c r="J1252" i="12"/>
  <c r="J1260" i="12"/>
  <c r="J1268" i="12"/>
  <c r="J1276" i="12"/>
  <c r="J1284" i="12"/>
  <c r="J1292" i="12"/>
  <c r="J1300" i="12"/>
  <c r="J1308" i="12"/>
  <c r="J1316" i="12"/>
  <c r="J1324" i="12"/>
  <c r="J1332" i="12"/>
  <c r="J1340" i="12"/>
  <c r="J1348" i="12"/>
  <c r="J1356" i="12"/>
  <c r="J1364" i="12"/>
  <c r="J1372" i="12"/>
  <c r="J1380" i="12"/>
  <c r="J1388" i="12"/>
  <c r="J1396" i="12"/>
  <c r="J1404" i="12"/>
  <c r="J1412" i="12"/>
  <c r="J1420" i="12"/>
  <c r="J1428" i="12"/>
  <c r="J1436" i="12"/>
  <c r="J1444" i="12"/>
  <c r="J1452" i="12"/>
  <c r="J1460" i="12"/>
  <c r="J1468" i="12"/>
  <c r="J1476" i="12"/>
  <c r="J1484" i="12"/>
  <c r="J1492" i="12"/>
  <c r="J1500" i="12"/>
  <c r="J1508" i="12"/>
  <c r="J1516" i="12"/>
  <c r="J1524" i="12"/>
  <c r="J1532" i="12"/>
  <c r="J1540" i="12"/>
  <c r="J1548" i="12"/>
  <c r="J1556" i="12"/>
  <c r="J1564" i="12"/>
  <c r="J1572" i="12"/>
  <c r="J1580" i="12"/>
  <c r="J1588" i="12"/>
  <c r="J1596" i="12"/>
  <c r="J1604" i="12"/>
  <c r="J1612" i="12"/>
  <c r="J1620" i="12"/>
  <c r="J1628" i="12"/>
  <c r="J1636" i="12"/>
  <c r="J1644" i="12"/>
  <c r="J1652" i="12"/>
  <c r="J1660" i="12"/>
  <c r="J1668" i="12"/>
  <c r="J1676" i="12"/>
  <c r="J23" i="12"/>
  <c r="J55" i="12"/>
  <c r="J87" i="12"/>
  <c r="J119" i="12"/>
  <c r="J151" i="12"/>
  <c r="J183" i="12"/>
  <c r="J215" i="12"/>
  <c r="J247" i="12"/>
  <c r="J279" i="12"/>
  <c r="J311" i="12"/>
  <c r="J343" i="12"/>
  <c r="J375" i="12"/>
  <c r="J407" i="12"/>
  <c r="J439" i="12"/>
  <c r="J471" i="12"/>
  <c r="J503" i="12"/>
  <c r="J535" i="12"/>
  <c r="J557" i="12"/>
  <c r="J565" i="12"/>
  <c r="J573" i="12"/>
  <c r="J581" i="12"/>
  <c r="J589" i="12"/>
  <c r="J597" i="12"/>
  <c r="J605" i="12"/>
  <c r="J613" i="12"/>
  <c r="J621" i="12"/>
  <c r="J629" i="12"/>
  <c r="J637" i="12"/>
  <c r="J645" i="12"/>
  <c r="J653" i="12"/>
  <c r="J661" i="12"/>
  <c r="J669" i="12"/>
  <c r="J677" i="12"/>
  <c r="J685" i="12"/>
  <c r="J693" i="12"/>
  <c r="J701" i="12"/>
  <c r="J709" i="12"/>
  <c r="J717" i="12"/>
  <c r="J725" i="12"/>
  <c r="J733" i="12"/>
  <c r="J741" i="12"/>
  <c r="J749" i="12"/>
  <c r="J757" i="12"/>
  <c r="J765" i="12"/>
  <c r="J773" i="12"/>
  <c r="J781" i="12"/>
  <c r="J789" i="12"/>
  <c r="J797" i="12"/>
  <c r="J805" i="12"/>
  <c r="J813" i="12"/>
  <c r="J821" i="12"/>
  <c r="J829" i="12"/>
  <c r="J837" i="12"/>
  <c r="J845" i="12"/>
  <c r="J853" i="12"/>
  <c r="J861" i="12"/>
  <c r="J869" i="12"/>
  <c r="J877" i="12"/>
  <c r="J885" i="12"/>
  <c r="J893" i="12"/>
  <c r="J901" i="12"/>
  <c r="J909" i="12"/>
  <c r="J917" i="12"/>
  <c r="J925" i="12"/>
  <c r="J933" i="12"/>
  <c r="J941" i="12"/>
  <c r="J949" i="12"/>
  <c r="J957" i="12"/>
  <c r="J965" i="12"/>
  <c r="J973" i="12"/>
  <c r="J981" i="12"/>
  <c r="J989" i="12"/>
  <c r="J997" i="12"/>
  <c r="J1005" i="12"/>
  <c r="J1013" i="12"/>
  <c r="J1021" i="12"/>
  <c r="J1029" i="12"/>
  <c r="J1037" i="12"/>
  <c r="J1045" i="12"/>
  <c r="J1053" i="12"/>
  <c r="J1061" i="12"/>
  <c r="J1069" i="12"/>
  <c r="J1077" i="12"/>
  <c r="J1085" i="12"/>
  <c r="J1093" i="12"/>
  <c r="J1101" i="12"/>
  <c r="J1109" i="12"/>
  <c r="J1117" i="12"/>
  <c r="J1125" i="12"/>
  <c r="J1133" i="12"/>
  <c r="J1141" i="12"/>
  <c r="J1149" i="12"/>
  <c r="J1157" i="12"/>
  <c r="J1165" i="12"/>
  <c r="J1173" i="12"/>
  <c r="J1181" i="12"/>
  <c r="J1189" i="12"/>
  <c r="J1197" i="12"/>
  <c r="J1205" i="12"/>
  <c r="J1213" i="12"/>
  <c r="J1221" i="12"/>
  <c r="J1229" i="12"/>
  <c r="J1237" i="12"/>
  <c r="J1245" i="12"/>
  <c r="J1253" i="12"/>
  <c r="J1261" i="12"/>
  <c r="J1269" i="12"/>
  <c r="J1277" i="12"/>
  <c r="J1285" i="12"/>
  <c r="J1293" i="12"/>
  <c r="J1301" i="12"/>
  <c r="J1309" i="12"/>
  <c r="J1317" i="12"/>
  <c r="J1325" i="12"/>
  <c r="J1333" i="12"/>
  <c r="J1341" i="12"/>
  <c r="J1349" i="12"/>
  <c r="J1357" i="12"/>
  <c r="J1365" i="12"/>
  <c r="J1373" i="12"/>
  <c r="J1381" i="12"/>
  <c r="J1389" i="12"/>
  <c r="J1397" i="12"/>
  <c r="J1405" i="12"/>
  <c r="J1413" i="12"/>
  <c r="J1421" i="12"/>
  <c r="J1429" i="12"/>
  <c r="J1437" i="12"/>
  <c r="J1445" i="12"/>
  <c r="J1453" i="12"/>
  <c r="J1461" i="12"/>
  <c r="J1469" i="12"/>
  <c r="J1477" i="12"/>
  <c r="J1485" i="12"/>
  <c r="J1493" i="12"/>
  <c r="J1501" i="12"/>
  <c r="J1509" i="12"/>
  <c r="J1517" i="12"/>
  <c r="J1525" i="12"/>
  <c r="J1533" i="12"/>
  <c r="J1541" i="12"/>
  <c r="J1549" i="12"/>
  <c r="J1557" i="12"/>
  <c r="J1565" i="12"/>
  <c r="J1573" i="12"/>
  <c r="J1581" i="12"/>
  <c r="J1589" i="12"/>
  <c r="J1597" i="12"/>
  <c r="J1605" i="12"/>
  <c r="J1613" i="12"/>
  <c r="J1621" i="12"/>
  <c r="J1629" i="12"/>
  <c r="J1637" i="12"/>
  <c r="J1645" i="12"/>
  <c r="J1653" i="12"/>
  <c r="J1661" i="12"/>
  <c r="J1669" i="12"/>
  <c r="J1677" i="12"/>
  <c r="J24" i="12"/>
  <c r="J56" i="12"/>
  <c r="J88" i="12"/>
  <c r="J120" i="12"/>
  <c r="J152" i="12"/>
  <c r="J184" i="12"/>
  <c r="J216" i="12"/>
  <c r="J248" i="12"/>
  <c r="J280" i="12"/>
  <c r="J312" i="12"/>
  <c r="J344" i="12"/>
  <c r="J376" i="12"/>
  <c r="J408" i="12"/>
  <c r="J440" i="12"/>
  <c r="J472" i="12"/>
  <c r="J504" i="12"/>
  <c r="J536" i="12"/>
  <c r="J558" i="12"/>
  <c r="J566" i="12"/>
  <c r="J574" i="12"/>
  <c r="J582" i="12"/>
  <c r="J590" i="12"/>
  <c r="J598" i="12"/>
  <c r="J606" i="12"/>
  <c r="J614" i="12"/>
  <c r="J622" i="12"/>
  <c r="J630" i="12"/>
  <c r="J638" i="12"/>
  <c r="J646" i="12"/>
  <c r="J654" i="12"/>
  <c r="J662" i="12"/>
  <c r="J670" i="12"/>
  <c r="J678" i="12"/>
  <c r="J686" i="12"/>
  <c r="J694" i="12"/>
  <c r="J702" i="12"/>
  <c r="J710" i="12"/>
  <c r="J718" i="12"/>
  <c r="J726" i="12"/>
  <c r="J734" i="12"/>
  <c r="J742" i="12"/>
  <c r="J750" i="12"/>
  <c r="J758" i="12"/>
  <c r="J766" i="12"/>
  <c r="J774" i="12"/>
  <c r="J782" i="12"/>
  <c r="J790" i="12"/>
  <c r="J798" i="12"/>
  <c r="J806" i="12"/>
  <c r="J814" i="12"/>
  <c r="J822" i="12"/>
  <c r="J830" i="12"/>
  <c r="J838" i="12"/>
  <c r="J846" i="12"/>
  <c r="J854" i="12"/>
  <c r="J862" i="12"/>
  <c r="J870" i="12"/>
  <c r="J878" i="12"/>
  <c r="J886" i="12"/>
  <c r="J894" i="12"/>
  <c r="J902" i="12"/>
  <c r="J910" i="12"/>
  <c r="J918" i="12"/>
  <c r="J926" i="12"/>
  <c r="J934" i="12"/>
  <c r="J942" i="12"/>
  <c r="J950" i="12"/>
  <c r="J958" i="12"/>
  <c r="J966" i="12"/>
  <c r="J974" i="12"/>
  <c r="J982" i="12"/>
  <c r="J990" i="12"/>
  <c r="J998" i="12"/>
  <c r="J1006" i="12"/>
  <c r="J1014" i="12"/>
  <c r="J1022" i="12"/>
  <c r="J1030" i="12"/>
  <c r="J1038" i="12"/>
  <c r="J1046" i="12"/>
  <c r="J1054" i="12"/>
  <c r="J1062" i="12"/>
  <c r="J1070" i="12"/>
  <c r="J1078" i="12"/>
  <c r="J1086" i="12"/>
  <c r="J1094" i="12"/>
  <c r="J1102" i="12"/>
  <c r="J1110" i="12"/>
  <c r="J1118" i="12"/>
  <c r="J1126" i="12"/>
  <c r="J1134" i="12"/>
  <c r="J1142" i="12"/>
  <c r="J1150" i="12"/>
  <c r="J1158" i="12"/>
  <c r="J1166" i="12"/>
  <c r="J1174" i="12"/>
  <c r="J1182" i="12"/>
  <c r="J1190" i="12"/>
  <c r="J1198" i="12"/>
  <c r="J1206" i="12"/>
  <c r="J1214" i="12"/>
  <c r="J1222" i="12"/>
  <c r="J1230" i="12"/>
  <c r="J1238" i="12"/>
  <c r="J1246" i="12"/>
  <c r="J1254" i="12"/>
  <c r="J1262" i="12"/>
  <c r="J1270" i="12"/>
  <c r="J1278" i="12"/>
  <c r="J1286" i="12"/>
  <c r="J1294" i="12"/>
  <c r="J1302" i="12"/>
  <c r="J1310" i="12"/>
  <c r="J1318" i="12"/>
  <c r="J1326" i="12"/>
  <c r="J1334" i="12"/>
  <c r="J1342" i="12"/>
  <c r="J1350" i="12"/>
  <c r="J1358" i="12"/>
  <c r="J1366" i="12"/>
  <c r="J1374" i="12"/>
  <c r="J1382" i="12"/>
  <c r="J1390" i="12"/>
  <c r="J1398" i="12"/>
  <c r="J1406" i="12"/>
  <c r="J1414" i="12"/>
  <c r="J1422" i="12"/>
  <c r="J1430" i="12"/>
  <c r="J1438" i="12"/>
  <c r="J1446" i="12"/>
  <c r="J1454" i="12"/>
  <c r="J1462" i="12"/>
  <c r="J1470" i="12"/>
  <c r="J1478" i="12"/>
  <c r="J1486" i="12"/>
  <c r="J1494" i="12"/>
  <c r="J1502" i="12"/>
  <c r="J1510" i="12"/>
  <c r="J1518" i="12"/>
  <c r="J1526" i="12"/>
  <c r="J1534" i="12"/>
  <c r="J1542" i="12"/>
  <c r="J1550" i="12"/>
  <c r="J1558" i="12"/>
  <c r="J1566" i="12"/>
  <c r="J1574" i="12"/>
  <c r="J1582" i="12"/>
  <c r="J1590" i="12"/>
  <c r="J1598" i="12"/>
  <c r="J1606" i="12"/>
  <c r="J1614" i="12"/>
  <c r="J1622" i="12"/>
  <c r="J1630" i="12"/>
  <c r="J1638" i="12"/>
  <c r="J1646" i="12"/>
  <c r="J1654" i="12"/>
  <c r="J1662" i="12"/>
  <c r="J1670" i="12"/>
  <c r="J1678" i="12"/>
  <c r="J31" i="12"/>
  <c r="J63" i="12"/>
  <c r="J95" i="12"/>
  <c r="J127" i="12"/>
  <c r="J159" i="12"/>
  <c r="J191" i="12"/>
  <c r="J223" i="12"/>
  <c r="J255" i="12"/>
  <c r="J287" i="12"/>
  <c r="J319" i="12"/>
  <c r="J351" i="12"/>
  <c r="J383" i="12"/>
  <c r="J415" i="12"/>
  <c r="J447" i="12"/>
  <c r="J479" i="12"/>
  <c r="J511" i="12"/>
  <c r="J543" i="12"/>
  <c r="J559" i="12"/>
  <c r="J567" i="12"/>
  <c r="J575" i="12"/>
  <c r="J583" i="12"/>
  <c r="J591" i="12"/>
  <c r="J599" i="12"/>
  <c r="J607" i="12"/>
  <c r="J615" i="12"/>
  <c r="J623" i="12"/>
  <c r="J631" i="12"/>
  <c r="J639" i="12"/>
  <c r="J647" i="12"/>
  <c r="J655" i="12"/>
  <c r="J663" i="12"/>
  <c r="J671" i="12"/>
  <c r="J679" i="12"/>
  <c r="J687" i="12"/>
  <c r="J695" i="12"/>
  <c r="J703" i="12"/>
  <c r="J711" i="12"/>
  <c r="J719" i="12"/>
  <c r="J727" i="12"/>
  <c r="J735" i="12"/>
  <c r="J743" i="12"/>
  <c r="J751" i="12"/>
  <c r="J759" i="12"/>
  <c r="J767" i="12"/>
  <c r="J775" i="12"/>
  <c r="J783" i="12"/>
  <c r="J791" i="12"/>
  <c r="J799" i="12"/>
  <c r="J807" i="12"/>
  <c r="J815" i="12"/>
  <c r="J823" i="12"/>
  <c r="J831" i="12"/>
  <c r="J839" i="12"/>
  <c r="J847" i="12"/>
  <c r="J855" i="12"/>
  <c r="J863" i="12"/>
  <c r="J871" i="12"/>
  <c r="J879" i="12"/>
  <c r="J887" i="12"/>
  <c r="J895" i="12"/>
  <c r="J903" i="12"/>
  <c r="J911" i="12"/>
  <c r="J919" i="12"/>
  <c r="J927" i="12"/>
  <c r="J935" i="12"/>
  <c r="J943" i="12"/>
  <c r="J951" i="12"/>
  <c r="J959" i="12"/>
  <c r="J967" i="12"/>
  <c r="J975" i="12"/>
  <c r="J983" i="12"/>
  <c r="J991" i="12"/>
  <c r="J999" i="12"/>
  <c r="J1007" i="12"/>
  <c r="J1015" i="12"/>
  <c r="J1023" i="12"/>
  <c r="J1031" i="12"/>
  <c r="J1039" i="12"/>
  <c r="J1047" i="12"/>
  <c r="J1055" i="12"/>
  <c r="J1063" i="12"/>
  <c r="J1071" i="12"/>
  <c r="J1079" i="12"/>
  <c r="J1087" i="12"/>
  <c r="J1095" i="12"/>
  <c r="J1103" i="12"/>
  <c r="J1111" i="12"/>
  <c r="J1119" i="12"/>
  <c r="J1127" i="12"/>
  <c r="J1135" i="12"/>
  <c r="J1143" i="12"/>
  <c r="J1151" i="12"/>
  <c r="J1159" i="12"/>
  <c r="J1167" i="12"/>
  <c r="J1175" i="12"/>
  <c r="J1183" i="12"/>
  <c r="J1191" i="12"/>
  <c r="J1199" i="12"/>
  <c r="J1207" i="12"/>
  <c r="J1215" i="12"/>
  <c r="J1223" i="12"/>
  <c r="J1231" i="12"/>
  <c r="J1239" i="12"/>
  <c r="J1247" i="12"/>
  <c r="J1255" i="12"/>
  <c r="J1263" i="12"/>
  <c r="J1271" i="12"/>
  <c r="J1279" i="12"/>
  <c r="J1287" i="12"/>
  <c r="J1295" i="12"/>
  <c r="J1303" i="12"/>
  <c r="J1311" i="12"/>
  <c r="J1319" i="12"/>
  <c r="J1327" i="12"/>
  <c r="J1335" i="12"/>
  <c r="J1343" i="12"/>
  <c r="J1351" i="12"/>
  <c r="J1359" i="12"/>
  <c r="J1367" i="12"/>
  <c r="J1375" i="12"/>
  <c r="J1383" i="12"/>
  <c r="J1391" i="12"/>
  <c r="J1399" i="12"/>
  <c r="J1407" i="12"/>
  <c r="J1415" i="12"/>
  <c r="J1423" i="12"/>
  <c r="J1431" i="12"/>
  <c r="J1439" i="12"/>
  <c r="J1447" i="12"/>
  <c r="J1455" i="12"/>
  <c r="J1463" i="12"/>
  <c r="J1471" i="12"/>
  <c r="J1479" i="12"/>
  <c r="J1487" i="12"/>
  <c r="J1495" i="12"/>
  <c r="J1503" i="12"/>
  <c r="J1511" i="12"/>
  <c r="J1519" i="12"/>
  <c r="J1527" i="12"/>
  <c r="J1535" i="12"/>
  <c r="J1543" i="12"/>
  <c r="J1551" i="12"/>
  <c r="J1559" i="12"/>
  <c r="J1567" i="12"/>
  <c r="J1575" i="12"/>
  <c r="J1583" i="12"/>
  <c r="J1591" i="12"/>
  <c r="J1599" i="12"/>
  <c r="J1607" i="12"/>
  <c r="J1615" i="12"/>
  <c r="J1623" i="12"/>
  <c r="J1631" i="12"/>
  <c r="J1639" i="12"/>
  <c r="J1647" i="12"/>
  <c r="J1655" i="12"/>
  <c r="J1663" i="12"/>
  <c r="J1671" i="12"/>
  <c r="J1679" i="12"/>
  <c r="J32" i="12"/>
  <c r="J64" i="12"/>
  <c r="J96" i="12"/>
  <c r="J128" i="12"/>
  <c r="J160" i="12"/>
  <c r="J192" i="12"/>
  <c r="J224" i="12"/>
  <c r="J256" i="12"/>
  <c r="J288" i="12"/>
  <c r="J320" i="12"/>
  <c r="J352" i="12"/>
  <c r="J384" i="12"/>
  <c r="J416" i="12"/>
  <c r="J448" i="12"/>
  <c r="J480" i="12"/>
  <c r="J512" i="12"/>
  <c r="J544" i="12"/>
  <c r="J560" i="12"/>
  <c r="J568" i="12"/>
  <c r="J576" i="12"/>
  <c r="J584" i="12"/>
  <c r="J592" i="12"/>
  <c r="J600" i="12"/>
  <c r="J608" i="12"/>
  <c r="J616" i="12"/>
  <c r="J624" i="12"/>
  <c r="J632" i="12"/>
  <c r="J640" i="12"/>
  <c r="J648" i="12"/>
  <c r="J656" i="12"/>
  <c r="J664" i="12"/>
  <c r="J672" i="12"/>
  <c r="J680" i="12"/>
  <c r="J688" i="12"/>
  <c r="J696" i="12"/>
  <c r="J704" i="12"/>
  <c r="J712" i="12"/>
  <c r="J720" i="12"/>
  <c r="J728" i="12"/>
  <c r="J736" i="12"/>
  <c r="J744" i="12"/>
  <c r="J752" i="12"/>
  <c r="J760" i="12"/>
  <c r="J768" i="12"/>
  <c r="J776" i="12"/>
  <c r="J784" i="12"/>
  <c r="J792" i="12"/>
  <c r="J800" i="12"/>
  <c r="J808" i="12"/>
  <c r="J816" i="12"/>
  <c r="J824" i="12"/>
  <c r="J832" i="12"/>
  <c r="J840" i="12"/>
  <c r="J848" i="12"/>
  <c r="J856" i="12"/>
  <c r="J864" i="12"/>
  <c r="J872" i="12"/>
  <c r="J880" i="12"/>
  <c r="J888" i="12"/>
  <c r="J896" i="12"/>
  <c r="J904" i="12"/>
  <c r="J912" i="12"/>
  <c r="J920" i="12"/>
  <c r="J928" i="12"/>
  <c r="J936" i="12"/>
  <c r="J944" i="12"/>
  <c r="J952" i="12"/>
  <c r="J960" i="12"/>
  <c r="J968" i="12"/>
  <c r="J976" i="12"/>
  <c r="J984" i="12"/>
  <c r="J992" i="12"/>
  <c r="J1000" i="12"/>
  <c r="J1008" i="12"/>
  <c r="J1016" i="12"/>
  <c r="J1024" i="12"/>
  <c r="J1032" i="12"/>
  <c r="J1040" i="12"/>
  <c r="J1048" i="12"/>
  <c r="J1056" i="12"/>
  <c r="J1064" i="12"/>
  <c r="J1072" i="12"/>
  <c r="J1080" i="12"/>
  <c r="J1088" i="12"/>
  <c r="J1096" i="12"/>
  <c r="J1104" i="12"/>
  <c r="J1112" i="12"/>
  <c r="J1120" i="12"/>
  <c r="J1128" i="12"/>
  <c r="J1136" i="12"/>
  <c r="J1144" i="12"/>
  <c r="J1152" i="12"/>
  <c r="J1160" i="12"/>
  <c r="J1168" i="12"/>
  <c r="J1176" i="12"/>
  <c r="J1184" i="12"/>
  <c r="J1192" i="12"/>
  <c r="J1200" i="12"/>
  <c r="J1208" i="12"/>
  <c r="J1216" i="12"/>
  <c r="J1224" i="12"/>
  <c r="J1232" i="12"/>
  <c r="J1240" i="12"/>
  <c r="J1248" i="12"/>
  <c r="J1256" i="12"/>
  <c r="J1264" i="12"/>
  <c r="J1272" i="12"/>
  <c r="J1280" i="12"/>
  <c r="J1288" i="12"/>
  <c r="J1296" i="12"/>
  <c r="J1304" i="12"/>
  <c r="J1312" i="12"/>
  <c r="J1320" i="12"/>
  <c r="J1328" i="12"/>
  <c r="J1336" i="12"/>
  <c r="J1344" i="12"/>
  <c r="J1352" i="12"/>
  <c r="J1360" i="12"/>
  <c r="J1368" i="12"/>
  <c r="J1376" i="12"/>
  <c r="J1384" i="12"/>
  <c r="J1392" i="12"/>
  <c r="J1400" i="12"/>
  <c r="J1408" i="12"/>
  <c r="J1416" i="12"/>
  <c r="J1424" i="12"/>
  <c r="J1432" i="12"/>
  <c r="J1440" i="12"/>
  <c r="J1448" i="12"/>
  <c r="J1456" i="12"/>
  <c r="J1464" i="12"/>
  <c r="J1472" i="12"/>
  <c r="J1480" i="12"/>
  <c r="J1488" i="12"/>
  <c r="J1496" i="12"/>
  <c r="J1504" i="12"/>
  <c r="J1512" i="12"/>
  <c r="J1520" i="12"/>
  <c r="J1528" i="12"/>
  <c r="J1536" i="12"/>
  <c r="J1544" i="12"/>
  <c r="J1552" i="12"/>
  <c r="J1560" i="12"/>
  <c r="J1568" i="12"/>
  <c r="J1576" i="12"/>
  <c r="J1584" i="12"/>
  <c r="J1592" i="12"/>
  <c r="J1600" i="12"/>
  <c r="J1608" i="12"/>
  <c r="J1616" i="12"/>
  <c r="J1624" i="12"/>
  <c r="J1632" i="12"/>
  <c r="J1640" i="12"/>
  <c r="J1648" i="12"/>
  <c r="J1656" i="12"/>
  <c r="J1664" i="12"/>
  <c r="J1672" i="12"/>
  <c r="J1680" i="12"/>
  <c r="J39" i="12"/>
  <c r="J71" i="12"/>
  <c r="J103" i="12"/>
  <c r="J135" i="12"/>
  <c r="J167" i="12"/>
  <c r="J199" i="12"/>
  <c r="J231" i="12"/>
  <c r="J263" i="12"/>
  <c r="J295" i="12"/>
  <c r="J327" i="12"/>
  <c r="J359" i="12"/>
  <c r="J391" i="12"/>
  <c r="J423" i="12"/>
  <c r="J455" i="12"/>
  <c r="J487" i="12"/>
  <c r="J519" i="12"/>
  <c r="J551" i="12"/>
  <c r="J561" i="12"/>
  <c r="J569" i="12"/>
  <c r="J577" i="12"/>
  <c r="J585" i="12"/>
  <c r="J593" i="12"/>
  <c r="J601" i="12"/>
  <c r="J609" i="12"/>
  <c r="J617" i="12"/>
  <c r="J625" i="12"/>
  <c r="J633" i="12"/>
  <c r="J641" i="12"/>
  <c r="J649" i="12"/>
  <c r="J657" i="12"/>
  <c r="J665" i="12"/>
  <c r="J673" i="12"/>
  <c r="J681" i="12"/>
  <c r="J689" i="12"/>
  <c r="J697" i="12"/>
  <c r="J705" i="12"/>
  <c r="J713" i="12"/>
  <c r="J721" i="12"/>
  <c r="J729" i="12"/>
  <c r="J737" i="12"/>
  <c r="J745" i="12"/>
  <c r="J753" i="12"/>
  <c r="J761" i="12"/>
  <c r="J769" i="12"/>
  <c r="J777" i="12"/>
  <c r="J785" i="12"/>
  <c r="J793" i="12"/>
  <c r="J801" i="12"/>
  <c r="J809" i="12"/>
  <c r="J817" i="12"/>
  <c r="J825" i="12"/>
  <c r="J833" i="12"/>
  <c r="J841" i="12"/>
  <c r="J849" i="12"/>
  <c r="J857" i="12"/>
  <c r="J865" i="12"/>
  <c r="J873" i="12"/>
  <c r="J881" i="12"/>
  <c r="J889" i="12"/>
  <c r="J897" i="12"/>
  <c r="J905" i="12"/>
  <c r="J913" i="12"/>
  <c r="J921" i="12"/>
  <c r="J929" i="12"/>
  <c r="J937" i="12"/>
  <c r="J945" i="12"/>
  <c r="J953" i="12"/>
  <c r="J961" i="12"/>
  <c r="J969" i="12"/>
  <c r="J977" i="12"/>
  <c r="J985" i="12"/>
  <c r="J993" i="12"/>
  <c r="J1001" i="12"/>
  <c r="J1009" i="12"/>
  <c r="J1017" i="12"/>
  <c r="J1025" i="12"/>
  <c r="J1033" i="12"/>
  <c r="J1041" i="12"/>
  <c r="J1049" i="12"/>
  <c r="J1057" i="12"/>
  <c r="J1065" i="12"/>
  <c r="J1073" i="12"/>
  <c r="J1081" i="12"/>
  <c r="J1089" i="12"/>
  <c r="J1097" i="12"/>
  <c r="J1105" i="12"/>
  <c r="J1113" i="12"/>
  <c r="J1121" i="12"/>
  <c r="J1129" i="12"/>
  <c r="J1137" i="12"/>
  <c r="J1145" i="12"/>
  <c r="J1153" i="12"/>
  <c r="J1161" i="12"/>
  <c r="J1169" i="12"/>
  <c r="J1177" i="12"/>
  <c r="J1185" i="12"/>
  <c r="J1193" i="12"/>
  <c r="J1201" i="12"/>
  <c r="J1209" i="12"/>
  <c r="J1217" i="12"/>
  <c r="J1225" i="12"/>
  <c r="J1233" i="12"/>
  <c r="J1241" i="12"/>
  <c r="J1249" i="12"/>
  <c r="J1257" i="12"/>
  <c r="J1265" i="12"/>
  <c r="J1273" i="12"/>
  <c r="J1281" i="12"/>
  <c r="J1289" i="12"/>
  <c r="J1297" i="12"/>
  <c r="J1305" i="12"/>
  <c r="J1313" i="12"/>
  <c r="J1321" i="12"/>
  <c r="J1329" i="12"/>
  <c r="J1337" i="12"/>
  <c r="J1345" i="12"/>
  <c r="J1353" i="12"/>
  <c r="J1361" i="12"/>
  <c r="J1369" i="12"/>
  <c r="J1377" i="12"/>
  <c r="J1385" i="12"/>
  <c r="J1393" i="12"/>
  <c r="J1401" i="12"/>
  <c r="J1409" i="12"/>
  <c r="J1417" i="12"/>
  <c r="J1425" i="12"/>
  <c r="J1433" i="12"/>
  <c r="J1441" i="12"/>
  <c r="J1449" i="12"/>
  <c r="J1457" i="12"/>
  <c r="J1465" i="12"/>
  <c r="J1473" i="12"/>
  <c r="J1481" i="12"/>
  <c r="J1489" i="12"/>
  <c r="J1497" i="12"/>
  <c r="J1505" i="12"/>
  <c r="J1513" i="12"/>
  <c r="J1521" i="12"/>
  <c r="J1529" i="12"/>
  <c r="J1537" i="12"/>
  <c r="J1545" i="12"/>
  <c r="J1553" i="12"/>
  <c r="J1561" i="12"/>
  <c r="J1569" i="12"/>
  <c r="J1577" i="12"/>
  <c r="J1585" i="12"/>
  <c r="J1593" i="12"/>
  <c r="J1601" i="12"/>
  <c r="J1609" i="12"/>
  <c r="J1617" i="12"/>
  <c r="J1625" i="12"/>
  <c r="J1633" i="12"/>
  <c r="J1641" i="12"/>
  <c r="J1649" i="12"/>
  <c r="J1657" i="12"/>
  <c r="J1665" i="12"/>
  <c r="J1673" i="12"/>
  <c r="J1681" i="12"/>
  <c r="J1674" i="12"/>
  <c r="J1689" i="12"/>
  <c r="J1697" i="12"/>
  <c r="J1705" i="12"/>
  <c r="J1713" i="12"/>
  <c r="J1721" i="12"/>
  <c r="J1729" i="12"/>
  <c r="J1737" i="12"/>
  <c r="J1745" i="12"/>
  <c r="J1753" i="12"/>
  <c r="J1761" i="12"/>
  <c r="J1769" i="12"/>
  <c r="J1777" i="12"/>
  <c r="J1785" i="12"/>
  <c r="J1793" i="12"/>
  <c r="J1801" i="12"/>
  <c r="J1809" i="12"/>
  <c r="J1817" i="12"/>
  <c r="J1825" i="12"/>
  <c r="J1833" i="12"/>
  <c r="J1841" i="12"/>
  <c r="J1849" i="12"/>
  <c r="J1857" i="12"/>
  <c r="J1865" i="12"/>
  <c r="J1873" i="12"/>
  <c r="J1881" i="12"/>
  <c r="J1889" i="12"/>
  <c r="J1897" i="12"/>
  <c r="J1905" i="12"/>
  <c r="J1913" i="12"/>
  <c r="J1921" i="12"/>
  <c r="J1929" i="12"/>
  <c r="J1937" i="12"/>
  <c r="J1945" i="12"/>
  <c r="J1953" i="12"/>
  <c r="J1961" i="12"/>
  <c r="J1969" i="12"/>
  <c r="J1977" i="12"/>
  <c r="J1985" i="12"/>
  <c r="J1993" i="12"/>
  <c r="J2001" i="12"/>
  <c r="J2009" i="12"/>
  <c r="J2017" i="12"/>
  <c r="J2025" i="12"/>
  <c r="J2033" i="12"/>
  <c r="J2041" i="12"/>
  <c r="J2049" i="12"/>
  <c r="J2057" i="12"/>
  <c r="J2065" i="12"/>
  <c r="J2073" i="12"/>
  <c r="J2081" i="12"/>
  <c r="J2089" i="12"/>
  <c r="J2097" i="12"/>
  <c r="J2105" i="12"/>
  <c r="J2113" i="12"/>
  <c r="J2121" i="12"/>
  <c r="J2129" i="12"/>
  <c r="J2137" i="12"/>
  <c r="J2145" i="12"/>
  <c r="J2153" i="12"/>
  <c r="J2161" i="12"/>
  <c r="J2169" i="12"/>
  <c r="J2177" i="12"/>
  <c r="J2185" i="12"/>
  <c r="J2193" i="12"/>
  <c r="J2201" i="12"/>
  <c r="J2209" i="12"/>
  <c r="J2217" i="12"/>
  <c r="J2225" i="12"/>
  <c r="J2233" i="12"/>
  <c r="J2241" i="12"/>
  <c r="J2249" i="12"/>
  <c r="J2257" i="12"/>
  <c r="J2265" i="12"/>
  <c r="J2273" i="12"/>
  <c r="J2281" i="12"/>
  <c r="J2289" i="12"/>
  <c r="J2297" i="12"/>
  <c r="J2305" i="12"/>
  <c r="J2313" i="12"/>
  <c r="J2321" i="12"/>
  <c r="J2329" i="12"/>
  <c r="J2337" i="12"/>
  <c r="J2345" i="12"/>
  <c r="J2353" i="12"/>
  <c r="J2361" i="12"/>
  <c r="J2369" i="12"/>
  <c r="J2377" i="12"/>
  <c r="J2385" i="12"/>
  <c r="J2393" i="12"/>
  <c r="J2401" i="12"/>
  <c r="J2409" i="12"/>
  <c r="J2417" i="12"/>
  <c r="J2425" i="12"/>
  <c r="J2433" i="12"/>
  <c r="J2441" i="12"/>
  <c r="J2449" i="12"/>
  <c r="J2457" i="12"/>
  <c r="J2465" i="12"/>
  <c r="J2473" i="12"/>
  <c r="J2481" i="12"/>
  <c r="J2489" i="12"/>
  <c r="J2497" i="12"/>
  <c r="J2505" i="12"/>
  <c r="J2513" i="12"/>
  <c r="J2521" i="12"/>
  <c r="J2529" i="12"/>
  <c r="J2537" i="12"/>
  <c r="J2545" i="12"/>
  <c r="J2553" i="12"/>
  <c r="J2561" i="12"/>
  <c r="J2569" i="12"/>
  <c r="J2577" i="12"/>
  <c r="J2585" i="12"/>
  <c r="J2593" i="12"/>
  <c r="J2601" i="12"/>
  <c r="J2609" i="12"/>
  <c r="J2617" i="12"/>
  <c r="J2625" i="12"/>
  <c r="J2633" i="12"/>
  <c r="J2641" i="12"/>
  <c r="J2649" i="12"/>
  <c r="J2657" i="12"/>
  <c r="J2665" i="12"/>
  <c r="J2673" i="12"/>
  <c r="J2681" i="12"/>
  <c r="J2689" i="12"/>
  <c r="J2697" i="12"/>
  <c r="J2705" i="12"/>
  <c r="J2713" i="12"/>
  <c r="J2721" i="12"/>
  <c r="J2729" i="12"/>
  <c r="J2737" i="12"/>
  <c r="J2745" i="12"/>
  <c r="J2753" i="12"/>
  <c r="J2761" i="12"/>
  <c r="J2769" i="12"/>
  <c r="J2777" i="12"/>
  <c r="J2785" i="12"/>
  <c r="J2793" i="12"/>
  <c r="J2801" i="12"/>
  <c r="J2809" i="12"/>
  <c r="J2817" i="12"/>
  <c r="J2825" i="12"/>
  <c r="J2833" i="12"/>
  <c r="J2841" i="12"/>
  <c r="J2849" i="12"/>
  <c r="J2857" i="12"/>
  <c r="J2865" i="12"/>
  <c r="J2873" i="12"/>
  <c r="J2881" i="12"/>
  <c r="J2889" i="12"/>
  <c r="J2897" i="12"/>
  <c r="J2905" i="12"/>
  <c r="J2913" i="12"/>
  <c r="J2921" i="12"/>
  <c r="J2929" i="12"/>
  <c r="J2937" i="12"/>
  <c r="J2945" i="12"/>
  <c r="J2953" i="12"/>
  <c r="J2961" i="12"/>
  <c r="J2969" i="12"/>
  <c r="J2977" i="12"/>
  <c r="J2985" i="12"/>
  <c r="J2993" i="12"/>
  <c r="J3001" i="12"/>
  <c r="J3009" i="12"/>
  <c r="J3017" i="12"/>
  <c r="J3025" i="12"/>
  <c r="J3033" i="12"/>
  <c r="J3041" i="12"/>
  <c r="J1682" i="12"/>
  <c r="J1690" i="12"/>
  <c r="J1698" i="12"/>
  <c r="J1706" i="12"/>
  <c r="J1714" i="12"/>
  <c r="J1722" i="12"/>
  <c r="J1730" i="12"/>
  <c r="J1738" i="12"/>
  <c r="J1746" i="12"/>
  <c r="J1754" i="12"/>
  <c r="J1762" i="12"/>
  <c r="J1770" i="12"/>
  <c r="J1778" i="12"/>
  <c r="J1786" i="12"/>
  <c r="J1794" i="12"/>
  <c r="J1802" i="12"/>
  <c r="J1810" i="12"/>
  <c r="J1818" i="12"/>
  <c r="J1826" i="12"/>
  <c r="J1834" i="12"/>
  <c r="J1842" i="12"/>
  <c r="J1850" i="12"/>
  <c r="J1858" i="12"/>
  <c r="J1866" i="12"/>
  <c r="J1874" i="12"/>
  <c r="J1882" i="12"/>
  <c r="J1890" i="12"/>
  <c r="J1898" i="12"/>
  <c r="J1906" i="12"/>
  <c r="J1914" i="12"/>
  <c r="J1922" i="12"/>
  <c r="J1930" i="12"/>
  <c r="J1938" i="12"/>
  <c r="J1946" i="12"/>
  <c r="J1954" i="12"/>
  <c r="J1962" i="12"/>
  <c r="J1970" i="12"/>
  <c r="J1978" i="12"/>
  <c r="J1986" i="12"/>
  <c r="J1994" i="12"/>
  <c r="J2002" i="12"/>
  <c r="J2010" i="12"/>
  <c r="J2018" i="12"/>
  <c r="J2026" i="12"/>
  <c r="J2034" i="12"/>
  <c r="J2042" i="12"/>
  <c r="J2050" i="12"/>
  <c r="J2058" i="12"/>
  <c r="J2066" i="12"/>
  <c r="J2074" i="12"/>
  <c r="J2082" i="12"/>
  <c r="J2090" i="12"/>
  <c r="J2098" i="12"/>
  <c r="J2106" i="12"/>
  <c r="J2114" i="12"/>
  <c r="J2122" i="12"/>
  <c r="J2130" i="12"/>
  <c r="J2138" i="12"/>
  <c r="J2146" i="12"/>
  <c r="J2154" i="12"/>
  <c r="J2162" i="12"/>
  <c r="J2170" i="12"/>
  <c r="J2178" i="12"/>
  <c r="J2186" i="12"/>
  <c r="J2194" i="12"/>
  <c r="J2202" i="12"/>
  <c r="J2210" i="12"/>
  <c r="J2218" i="12"/>
  <c r="J2226" i="12"/>
  <c r="J2234" i="12"/>
  <c r="J2242" i="12"/>
  <c r="J2250" i="12"/>
  <c r="J2258" i="12"/>
  <c r="J2266" i="12"/>
  <c r="J2274" i="12"/>
  <c r="J2282" i="12"/>
  <c r="J2290" i="12"/>
  <c r="J2298" i="12"/>
  <c r="J2306" i="12"/>
  <c r="J2314" i="12"/>
  <c r="J2322" i="12"/>
  <c r="J2330" i="12"/>
  <c r="J2338" i="12"/>
  <c r="J2346" i="12"/>
  <c r="J2354" i="12"/>
  <c r="J2362" i="12"/>
  <c r="J2370" i="12"/>
  <c r="J2378" i="12"/>
  <c r="J2386" i="12"/>
  <c r="J2394" i="12"/>
  <c r="J2402" i="12"/>
  <c r="J2410" i="12"/>
  <c r="J2418" i="12"/>
  <c r="J2426" i="12"/>
  <c r="J2434" i="12"/>
  <c r="J2442" i="12"/>
  <c r="J2450" i="12"/>
  <c r="J2458" i="12"/>
  <c r="J2466" i="12"/>
  <c r="J2474" i="12"/>
  <c r="J2482" i="12"/>
  <c r="J2490" i="12"/>
  <c r="J2498" i="12"/>
  <c r="J2506" i="12"/>
  <c r="J2514" i="12"/>
  <c r="J2522" i="12"/>
  <c r="J2530" i="12"/>
  <c r="J2538" i="12"/>
  <c r="J2546" i="12"/>
  <c r="J2554" i="12"/>
  <c r="J2562" i="12"/>
  <c r="J2570" i="12"/>
  <c r="J2578" i="12"/>
  <c r="J2586" i="12"/>
  <c r="J2594" i="12"/>
  <c r="J2602" i="12"/>
  <c r="J2610" i="12"/>
  <c r="J2618" i="12"/>
  <c r="J2626" i="12"/>
  <c r="J2634" i="12"/>
  <c r="J2642" i="12"/>
  <c r="J2650" i="12"/>
  <c r="J2658" i="12"/>
  <c r="J2666" i="12"/>
  <c r="J2674" i="12"/>
  <c r="J2682" i="12"/>
  <c r="J2690" i="12"/>
  <c r="J2698" i="12"/>
  <c r="J2706" i="12"/>
  <c r="J2714" i="12"/>
  <c r="J2722" i="12"/>
  <c r="J2730" i="12"/>
  <c r="J2738" i="12"/>
  <c r="J2746" i="12"/>
  <c r="J2754" i="12"/>
  <c r="J2762" i="12"/>
  <c r="J2770" i="12"/>
  <c r="J2778" i="12"/>
  <c r="J2786" i="12"/>
  <c r="J2794" i="12"/>
  <c r="J2802" i="12"/>
  <c r="J2810" i="12"/>
  <c r="J2818" i="12"/>
  <c r="J2826" i="12"/>
  <c r="J2834" i="12"/>
  <c r="J2842" i="12"/>
  <c r="J2850" i="12"/>
  <c r="J2858" i="12"/>
  <c r="J2866" i="12"/>
  <c r="J2874" i="12"/>
  <c r="J2882" i="12"/>
  <c r="J2890" i="12"/>
  <c r="J2898" i="12"/>
  <c r="J2906" i="12"/>
  <c r="J2914" i="12"/>
  <c r="J2922" i="12"/>
  <c r="J2930" i="12"/>
  <c r="J2938" i="12"/>
  <c r="J2946" i="12"/>
  <c r="J2954" i="12"/>
  <c r="J2962" i="12"/>
  <c r="J2970" i="12"/>
  <c r="J2978" i="12"/>
  <c r="J2986" i="12"/>
  <c r="J2994" i="12"/>
  <c r="J3002" i="12"/>
  <c r="J3010" i="12"/>
  <c r="J3018" i="12"/>
  <c r="J3026" i="12"/>
  <c r="J3034" i="12"/>
  <c r="J3042" i="12"/>
  <c r="J1683" i="12"/>
  <c r="J1691" i="12"/>
  <c r="J1699" i="12"/>
  <c r="J1707" i="12"/>
  <c r="J1715" i="12"/>
  <c r="J1723" i="12"/>
  <c r="J1731" i="12"/>
  <c r="J1739" i="12"/>
  <c r="J1747" i="12"/>
  <c r="J1755" i="12"/>
  <c r="J1763" i="12"/>
  <c r="J1771" i="12"/>
  <c r="J1779" i="12"/>
  <c r="J1787" i="12"/>
  <c r="J1795" i="12"/>
  <c r="J1803" i="12"/>
  <c r="J1811" i="12"/>
  <c r="J1819" i="12"/>
  <c r="J1827" i="12"/>
  <c r="J1835" i="12"/>
  <c r="J1843" i="12"/>
  <c r="J1851" i="12"/>
  <c r="J1859" i="12"/>
  <c r="J1867" i="12"/>
  <c r="J1875" i="12"/>
  <c r="J1883" i="12"/>
  <c r="J1891" i="12"/>
  <c r="J1899" i="12"/>
  <c r="J1907" i="12"/>
  <c r="J1915" i="12"/>
  <c r="J1923" i="12"/>
  <c r="J1931" i="12"/>
  <c r="J1939" i="12"/>
  <c r="J1947" i="12"/>
  <c r="J1955" i="12"/>
  <c r="J1963" i="12"/>
  <c r="J1971" i="12"/>
  <c r="J1979" i="12"/>
  <c r="J1987" i="12"/>
  <c r="J1995" i="12"/>
  <c r="J2003" i="12"/>
  <c r="J2011" i="12"/>
  <c r="J2019" i="12"/>
  <c r="J2027" i="12"/>
  <c r="J2035" i="12"/>
  <c r="J2043" i="12"/>
  <c r="J2051" i="12"/>
  <c r="J2059" i="12"/>
  <c r="J2067" i="12"/>
  <c r="J2075" i="12"/>
  <c r="J2083" i="12"/>
  <c r="J2091" i="12"/>
  <c r="J2099" i="12"/>
  <c r="J2107" i="12"/>
  <c r="J2115" i="12"/>
  <c r="J2123" i="12"/>
  <c r="J2131" i="12"/>
  <c r="J2139" i="12"/>
  <c r="J2147" i="12"/>
  <c r="J2155" i="12"/>
  <c r="J2163" i="12"/>
  <c r="J2171" i="12"/>
  <c r="J2179" i="12"/>
  <c r="J2187" i="12"/>
  <c r="J2195" i="12"/>
  <c r="J2203" i="12"/>
  <c r="J2211" i="12"/>
  <c r="J2219" i="12"/>
  <c r="J2227" i="12"/>
  <c r="J2235" i="12"/>
  <c r="J2243" i="12"/>
  <c r="J2251" i="12"/>
  <c r="J2259" i="12"/>
  <c r="J2267" i="12"/>
  <c r="J2275" i="12"/>
  <c r="J2283" i="12"/>
  <c r="J2291" i="12"/>
  <c r="J2299" i="12"/>
  <c r="J2307" i="12"/>
  <c r="J2315" i="12"/>
  <c r="J2323" i="12"/>
  <c r="J2331" i="12"/>
  <c r="J2339" i="12"/>
  <c r="J2347" i="12"/>
  <c r="J2355" i="12"/>
  <c r="J2363" i="12"/>
  <c r="J2371" i="12"/>
  <c r="J2379" i="12"/>
  <c r="J2387" i="12"/>
  <c r="J2395" i="12"/>
  <c r="J2403" i="12"/>
  <c r="J2411" i="12"/>
  <c r="J2419" i="12"/>
  <c r="J2427" i="12"/>
  <c r="J2435" i="12"/>
  <c r="J2443" i="12"/>
  <c r="J2451" i="12"/>
  <c r="J2459" i="12"/>
  <c r="J2467" i="12"/>
  <c r="J2475" i="12"/>
  <c r="J2483" i="12"/>
  <c r="J2491" i="12"/>
  <c r="J2499" i="12"/>
  <c r="J2507" i="12"/>
  <c r="J2515" i="12"/>
  <c r="J2523" i="12"/>
  <c r="J2531" i="12"/>
  <c r="J2539" i="12"/>
  <c r="J2547" i="12"/>
  <c r="J2555" i="12"/>
  <c r="J2563" i="12"/>
  <c r="J2571" i="12"/>
  <c r="J2579" i="12"/>
  <c r="J2587" i="12"/>
  <c r="J2595" i="12"/>
  <c r="J2603" i="12"/>
  <c r="J2611" i="12"/>
  <c r="J2619" i="12"/>
  <c r="J2627" i="12"/>
  <c r="J2635" i="12"/>
  <c r="J2643" i="12"/>
  <c r="J2651" i="12"/>
  <c r="J2659" i="12"/>
  <c r="J2667" i="12"/>
  <c r="J2675" i="12"/>
  <c r="J2683" i="12"/>
  <c r="J2691" i="12"/>
  <c r="J2699" i="12"/>
  <c r="J2707" i="12"/>
  <c r="J2715" i="12"/>
  <c r="J2723" i="12"/>
  <c r="J2731" i="12"/>
  <c r="J2739" i="12"/>
  <c r="J2747" i="12"/>
  <c r="J2755" i="12"/>
  <c r="J2763" i="12"/>
  <c r="J2771" i="12"/>
  <c r="J2779" i="12"/>
  <c r="J2787" i="12"/>
  <c r="J2795" i="12"/>
  <c r="J2803" i="12"/>
  <c r="J2811" i="12"/>
  <c r="J2819" i="12"/>
  <c r="J2827" i="12"/>
  <c r="J2835" i="12"/>
  <c r="J2843" i="12"/>
  <c r="J2851" i="12"/>
  <c r="J2859" i="12"/>
  <c r="J2867" i="12"/>
  <c r="J2875" i="12"/>
  <c r="J2883" i="12"/>
  <c r="J2891" i="12"/>
  <c r="J2899" i="12"/>
  <c r="J2907" i="12"/>
  <c r="J2915" i="12"/>
  <c r="J2923" i="12"/>
  <c r="J2931" i="12"/>
  <c r="J2939" i="12"/>
  <c r="J2947" i="12"/>
  <c r="J2955" i="12"/>
  <c r="J2963" i="12"/>
  <c r="J2971" i="12"/>
  <c r="J2979" i="12"/>
  <c r="J2987" i="12"/>
  <c r="J2995" i="12"/>
  <c r="J3003" i="12"/>
  <c r="J3011" i="12"/>
  <c r="J3019" i="12"/>
  <c r="J3027" i="12"/>
  <c r="J3035" i="12"/>
  <c r="J1684" i="12"/>
  <c r="J1692" i="12"/>
  <c r="J1700" i="12"/>
  <c r="J1708" i="12"/>
  <c r="J1716" i="12"/>
  <c r="J1724" i="12"/>
  <c r="J1732" i="12"/>
  <c r="J1740" i="12"/>
  <c r="J1748" i="12"/>
  <c r="J1756" i="12"/>
  <c r="J1764" i="12"/>
  <c r="J1772" i="12"/>
  <c r="J1780" i="12"/>
  <c r="J1788" i="12"/>
  <c r="J1796" i="12"/>
  <c r="J1804" i="12"/>
  <c r="J1812" i="12"/>
  <c r="J1820" i="12"/>
  <c r="J1828" i="12"/>
  <c r="J1836" i="12"/>
  <c r="J1844" i="12"/>
  <c r="J1852" i="12"/>
  <c r="J1860" i="12"/>
  <c r="J1868" i="12"/>
  <c r="J1876" i="12"/>
  <c r="J1884" i="12"/>
  <c r="J1892" i="12"/>
  <c r="J1900" i="12"/>
  <c r="J1908" i="12"/>
  <c r="J1916" i="12"/>
  <c r="J1924" i="12"/>
  <c r="J1932" i="12"/>
  <c r="J1940" i="12"/>
  <c r="J1948" i="12"/>
  <c r="J1956" i="12"/>
  <c r="J1964" i="12"/>
  <c r="J1972" i="12"/>
  <c r="J1980" i="12"/>
  <c r="J1988" i="12"/>
  <c r="J1996" i="12"/>
  <c r="J2004" i="12"/>
  <c r="J2012" i="12"/>
  <c r="J2020" i="12"/>
  <c r="J2028" i="12"/>
  <c r="J2036" i="12"/>
  <c r="J2044" i="12"/>
  <c r="J2052" i="12"/>
  <c r="J2060" i="12"/>
  <c r="J2068" i="12"/>
  <c r="J2076" i="12"/>
  <c r="J2084" i="12"/>
  <c r="J2092" i="12"/>
  <c r="J2100" i="12"/>
  <c r="J2108" i="12"/>
  <c r="J2116" i="12"/>
  <c r="J2124" i="12"/>
  <c r="J2132" i="12"/>
  <c r="J2140" i="12"/>
  <c r="J2148" i="12"/>
  <c r="J2156" i="12"/>
  <c r="J2164" i="12"/>
  <c r="J2172" i="12"/>
  <c r="J2180" i="12"/>
  <c r="J2188" i="12"/>
  <c r="J2196" i="12"/>
  <c r="J2204" i="12"/>
  <c r="J2212" i="12"/>
  <c r="J2220" i="12"/>
  <c r="J2228" i="12"/>
  <c r="J2236" i="12"/>
  <c r="J2244" i="12"/>
  <c r="J2252" i="12"/>
  <c r="J2260" i="12"/>
  <c r="J2268" i="12"/>
  <c r="J2276" i="12"/>
  <c r="J2284" i="12"/>
  <c r="J2292" i="12"/>
  <c r="J2300" i="12"/>
  <c r="J2308" i="12"/>
  <c r="J2316" i="12"/>
  <c r="J2324" i="12"/>
  <c r="J2332" i="12"/>
  <c r="J2340" i="12"/>
  <c r="J2348" i="12"/>
  <c r="J2356" i="12"/>
  <c r="J2364" i="12"/>
  <c r="J2372" i="12"/>
  <c r="J2380" i="12"/>
  <c r="J2388" i="12"/>
  <c r="J2396" i="12"/>
  <c r="J2404" i="12"/>
  <c r="J2412" i="12"/>
  <c r="J2420" i="12"/>
  <c r="J2428" i="12"/>
  <c r="J2436" i="12"/>
  <c r="J2444" i="12"/>
  <c r="J2452" i="12"/>
  <c r="J2460" i="12"/>
  <c r="J2468" i="12"/>
  <c r="J2476" i="12"/>
  <c r="J2484" i="12"/>
  <c r="J2492" i="12"/>
  <c r="J2500" i="12"/>
  <c r="J2508" i="12"/>
  <c r="J2516" i="12"/>
  <c r="J2524" i="12"/>
  <c r="J2532" i="12"/>
  <c r="J2540" i="12"/>
  <c r="J2548" i="12"/>
  <c r="J2556" i="12"/>
  <c r="J2564" i="12"/>
  <c r="J2572" i="12"/>
  <c r="J2580" i="12"/>
  <c r="J2588" i="12"/>
  <c r="J2596" i="12"/>
  <c r="J2604" i="12"/>
  <c r="J2612" i="12"/>
  <c r="J2620" i="12"/>
  <c r="J2628" i="12"/>
  <c r="J2636" i="12"/>
  <c r="J2644" i="12"/>
  <c r="J2652" i="12"/>
  <c r="J2660" i="12"/>
  <c r="J2668" i="12"/>
  <c r="J2676" i="12"/>
  <c r="J2684" i="12"/>
  <c r="J2692" i="12"/>
  <c r="J2700" i="12"/>
  <c r="J2708" i="12"/>
  <c r="J2716" i="12"/>
  <c r="J2724" i="12"/>
  <c r="J2732" i="12"/>
  <c r="J2740" i="12"/>
  <c r="J2748" i="12"/>
  <c r="J2756" i="12"/>
  <c r="J2764" i="12"/>
  <c r="J2772" i="12"/>
  <c r="J2780" i="12"/>
  <c r="J2788" i="12"/>
  <c r="J2796" i="12"/>
  <c r="J2804" i="12"/>
  <c r="J2812" i="12"/>
  <c r="J2820" i="12"/>
  <c r="J2828" i="12"/>
  <c r="J2836" i="12"/>
  <c r="J2844" i="12"/>
  <c r="J2852" i="12"/>
  <c r="J2860" i="12"/>
  <c r="J2868" i="12"/>
  <c r="J2876" i="12"/>
  <c r="J2884" i="12"/>
  <c r="J2892" i="12"/>
  <c r="J2900" i="12"/>
  <c r="J2908" i="12"/>
  <c r="J2916" i="12"/>
  <c r="J2924" i="12"/>
  <c r="J2932" i="12"/>
  <c r="J2940" i="12"/>
  <c r="J2948" i="12"/>
  <c r="J2956" i="12"/>
  <c r="J2964" i="12"/>
  <c r="J2972" i="12"/>
  <c r="J2980" i="12"/>
  <c r="J2988" i="12"/>
  <c r="J2996" i="12"/>
  <c r="J3004" i="12"/>
  <c r="J3012" i="12"/>
  <c r="J3020" i="12"/>
  <c r="J3028" i="12"/>
  <c r="J3036" i="12"/>
  <c r="J1685" i="12"/>
  <c r="J1693" i="12"/>
  <c r="J1701" i="12"/>
  <c r="J1709" i="12"/>
  <c r="J1717" i="12"/>
  <c r="J1725" i="12"/>
  <c r="J1733" i="12"/>
  <c r="J1741" i="12"/>
  <c r="J1749" i="12"/>
  <c r="J1757" i="12"/>
  <c r="J1765" i="12"/>
  <c r="J1773" i="12"/>
  <c r="J1781" i="12"/>
  <c r="J1789" i="12"/>
  <c r="J1797" i="12"/>
  <c r="J1805" i="12"/>
  <c r="J1813" i="12"/>
  <c r="J1821" i="12"/>
  <c r="J1829" i="12"/>
  <c r="J1837" i="12"/>
  <c r="J1845" i="12"/>
  <c r="J1853" i="12"/>
  <c r="J1861" i="12"/>
  <c r="J1869" i="12"/>
  <c r="J1877" i="12"/>
  <c r="J1885" i="12"/>
  <c r="J1893" i="12"/>
  <c r="J1901" i="12"/>
  <c r="J1909" i="12"/>
  <c r="J1917" i="12"/>
  <c r="J1925" i="12"/>
  <c r="J1933" i="12"/>
  <c r="J1941" i="12"/>
  <c r="J1949" i="12"/>
  <c r="J1957" i="12"/>
  <c r="J1965" i="12"/>
  <c r="J1973" i="12"/>
  <c r="J1981" i="12"/>
  <c r="J1989" i="12"/>
  <c r="J1997" i="12"/>
  <c r="J2005" i="12"/>
  <c r="J2013" i="12"/>
  <c r="J2021" i="12"/>
  <c r="J2029" i="12"/>
  <c r="J2037" i="12"/>
  <c r="J2045" i="12"/>
  <c r="J2053" i="12"/>
  <c r="J2061" i="12"/>
  <c r="J2069" i="12"/>
  <c r="J2077" i="12"/>
  <c r="J2085" i="12"/>
  <c r="J2093" i="12"/>
  <c r="J2101" i="12"/>
  <c r="J2109" i="12"/>
  <c r="J2117" i="12"/>
  <c r="J2125" i="12"/>
  <c r="J2133" i="12"/>
  <c r="J2141" i="12"/>
  <c r="J2149" i="12"/>
  <c r="J2157" i="12"/>
  <c r="J2165" i="12"/>
  <c r="J2173" i="12"/>
  <c r="J2181" i="12"/>
  <c r="J2189" i="12"/>
  <c r="J2197" i="12"/>
  <c r="J2205" i="12"/>
  <c r="J2213" i="12"/>
  <c r="J2221" i="12"/>
  <c r="J2229" i="12"/>
  <c r="J2237" i="12"/>
  <c r="J2245" i="12"/>
  <c r="J2253" i="12"/>
  <c r="J2261" i="12"/>
  <c r="J2269" i="12"/>
  <c r="J2277" i="12"/>
  <c r="J2285" i="12"/>
  <c r="J2293" i="12"/>
  <c r="J2301" i="12"/>
  <c r="J2309" i="12"/>
  <c r="J2317" i="12"/>
  <c r="J2325" i="12"/>
  <c r="J2333" i="12"/>
  <c r="J2341" i="12"/>
  <c r="J2349" i="12"/>
  <c r="J2357" i="12"/>
  <c r="J2365" i="12"/>
  <c r="J2373" i="12"/>
  <c r="J2381" i="12"/>
  <c r="J2389" i="12"/>
  <c r="J2397" i="12"/>
  <c r="J2405" i="12"/>
  <c r="J2413" i="12"/>
  <c r="J2421" i="12"/>
  <c r="J2429" i="12"/>
  <c r="J2437" i="12"/>
  <c r="J2445" i="12"/>
  <c r="J2453" i="12"/>
  <c r="J2461" i="12"/>
  <c r="J2469" i="12"/>
  <c r="J2477" i="12"/>
  <c r="J2485" i="12"/>
  <c r="J2493" i="12"/>
  <c r="J2501" i="12"/>
  <c r="J2509" i="12"/>
  <c r="J2517" i="12"/>
  <c r="J2525" i="12"/>
  <c r="J2533" i="12"/>
  <c r="J2541" i="12"/>
  <c r="J2549" i="12"/>
  <c r="J2557" i="12"/>
  <c r="J2565" i="12"/>
  <c r="J2573" i="12"/>
  <c r="J2581" i="12"/>
  <c r="J2589" i="12"/>
  <c r="J2597" i="12"/>
  <c r="J2605" i="12"/>
  <c r="J2613" i="12"/>
  <c r="J2621" i="12"/>
  <c r="J2629" i="12"/>
  <c r="J2637" i="12"/>
  <c r="J2645" i="12"/>
  <c r="J2653" i="12"/>
  <c r="J2661" i="12"/>
  <c r="J2669" i="12"/>
  <c r="J2677" i="12"/>
  <c r="J2685" i="12"/>
  <c r="J2693" i="12"/>
  <c r="J2701" i="12"/>
  <c r="J2709" i="12"/>
  <c r="J2717" i="12"/>
  <c r="J2725" i="12"/>
  <c r="J2733" i="12"/>
  <c r="J2741" i="12"/>
  <c r="J2749" i="12"/>
  <c r="J2757" i="12"/>
  <c r="J2765" i="12"/>
  <c r="J2773" i="12"/>
  <c r="J2781" i="12"/>
  <c r="J2789" i="12"/>
  <c r="J2797" i="12"/>
  <c r="J2805" i="12"/>
  <c r="J2813" i="12"/>
  <c r="J2821" i="12"/>
  <c r="J2829" i="12"/>
  <c r="J2837" i="12"/>
  <c r="J2845" i="12"/>
  <c r="J2853" i="12"/>
  <c r="J2861" i="12"/>
  <c r="J2869" i="12"/>
  <c r="J2877" i="12"/>
  <c r="J2885" i="12"/>
  <c r="J2893" i="12"/>
  <c r="J2901" i="12"/>
  <c r="J2909" i="12"/>
  <c r="J2917" i="12"/>
  <c r="J2925" i="12"/>
  <c r="J2933" i="12"/>
  <c r="J2941" i="12"/>
  <c r="J2949" i="12"/>
  <c r="J2957" i="12"/>
  <c r="J2965" i="12"/>
  <c r="J2973" i="12"/>
  <c r="J2981" i="12"/>
  <c r="J2989" i="12"/>
  <c r="J2997" i="12"/>
  <c r="J3005" i="12"/>
  <c r="J3013" i="12"/>
  <c r="J3021" i="12"/>
  <c r="J3029" i="12"/>
  <c r="J3037" i="12"/>
  <c r="J1686" i="12"/>
  <c r="J1694" i="12"/>
  <c r="J1702" i="12"/>
  <c r="J1710" i="12"/>
  <c r="J1718" i="12"/>
  <c r="J1726" i="12"/>
  <c r="J1734" i="12"/>
  <c r="J1742" i="12"/>
  <c r="J1750" i="12"/>
  <c r="J1758" i="12"/>
  <c r="J1766" i="12"/>
  <c r="J1774" i="12"/>
  <c r="J1782" i="12"/>
  <c r="J1790" i="12"/>
  <c r="J1798" i="12"/>
  <c r="J1806" i="12"/>
  <c r="J1814" i="12"/>
  <c r="J1822" i="12"/>
  <c r="J1830" i="12"/>
  <c r="J1838" i="12"/>
  <c r="J1846" i="12"/>
  <c r="J1854" i="12"/>
  <c r="J1862" i="12"/>
  <c r="J1870" i="12"/>
  <c r="J1878" i="12"/>
  <c r="J1886" i="12"/>
  <c r="J1894" i="12"/>
  <c r="J1902" i="12"/>
  <c r="J1910" i="12"/>
  <c r="J1918" i="12"/>
  <c r="J1926" i="12"/>
  <c r="J1934" i="12"/>
  <c r="J1942" i="12"/>
  <c r="J1950" i="12"/>
  <c r="J1958" i="12"/>
  <c r="J1966" i="12"/>
  <c r="J1974" i="12"/>
  <c r="J1982" i="12"/>
  <c r="J1990" i="12"/>
  <c r="J1998" i="12"/>
  <c r="J2006" i="12"/>
  <c r="J2014" i="12"/>
  <c r="J2022" i="12"/>
  <c r="J2030" i="12"/>
  <c r="J2038" i="12"/>
  <c r="J2046" i="12"/>
  <c r="J2054" i="12"/>
  <c r="J2062" i="12"/>
  <c r="J2070" i="12"/>
  <c r="J2078" i="12"/>
  <c r="J2086" i="12"/>
  <c r="J2094" i="12"/>
  <c r="J2102" i="12"/>
  <c r="J2110" i="12"/>
  <c r="J2118" i="12"/>
  <c r="J2126" i="12"/>
  <c r="J2134" i="12"/>
  <c r="J2142" i="12"/>
  <c r="J2150" i="12"/>
  <c r="J2158" i="12"/>
  <c r="J2166" i="12"/>
  <c r="J2174" i="12"/>
  <c r="J2182" i="12"/>
  <c r="J2190" i="12"/>
  <c r="J2198" i="12"/>
  <c r="J2206" i="12"/>
  <c r="J2214" i="12"/>
  <c r="J2222" i="12"/>
  <c r="J2230" i="12"/>
  <c r="J2238" i="12"/>
  <c r="J2246" i="12"/>
  <c r="J2254" i="12"/>
  <c r="J2262" i="12"/>
  <c r="J2270" i="12"/>
  <c r="J2278" i="12"/>
  <c r="J2286" i="12"/>
  <c r="J2294" i="12"/>
  <c r="J2302" i="12"/>
  <c r="J2310" i="12"/>
  <c r="J2318" i="12"/>
  <c r="J2326" i="12"/>
  <c r="J2334" i="12"/>
  <c r="J2342" i="12"/>
  <c r="J2350" i="12"/>
  <c r="J2358" i="12"/>
  <c r="J2366" i="12"/>
  <c r="J2374" i="12"/>
  <c r="J2382" i="12"/>
  <c r="J2390" i="12"/>
  <c r="J2398" i="12"/>
  <c r="J2406" i="12"/>
  <c r="J2414" i="12"/>
  <c r="J2422" i="12"/>
  <c r="J2430" i="12"/>
  <c r="J2438" i="12"/>
  <c r="J2446" i="12"/>
  <c r="J2454" i="12"/>
  <c r="J2462" i="12"/>
  <c r="J2470" i="12"/>
  <c r="J2478" i="12"/>
  <c r="J2486" i="12"/>
  <c r="J2494" i="12"/>
  <c r="J2502" i="12"/>
  <c r="J2510" i="12"/>
  <c r="J2518" i="12"/>
  <c r="J2526" i="12"/>
  <c r="J2534" i="12"/>
  <c r="J2542" i="12"/>
  <c r="J2550" i="12"/>
  <c r="J2558" i="12"/>
  <c r="J2566" i="12"/>
  <c r="J2574" i="12"/>
  <c r="J2582" i="12"/>
  <c r="J2590" i="12"/>
  <c r="J2598" i="12"/>
  <c r="J2606" i="12"/>
  <c r="J2614" i="12"/>
  <c r="J2622" i="12"/>
  <c r="J2630" i="12"/>
  <c r="J2638" i="12"/>
  <c r="J2646" i="12"/>
  <c r="J2654" i="12"/>
  <c r="J2662" i="12"/>
  <c r="J2670" i="12"/>
  <c r="J2678" i="12"/>
  <c r="J2686" i="12"/>
  <c r="J2694" i="12"/>
  <c r="J2702" i="12"/>
  <c r="J2710" i="12"/>
  <c r="J2718" i="12"/>
  <c r="J2726" i="12"/>
  <c r="J2734" i="12"/>
  <c r="J2742" i="12"/>
  <c r="J2750" i="12"/>
  <c r="J2758" i="12"/>
  <c r="J2766" i="12"/>
  <c r="J2774" i="12"/>
  <c r="J2782" i="12"/>
  <c r="J2790" i="12"/>
  <c r="J2798" i="12"/>
  <c r="J2806" i="12"/>
  <c r="J2814" i="12"/>
  <c r="J2822" i="12"/>
  <c r="J2830" i="12"/>
  <c r="J2838" i="12"/>
  <c r="J2846" i="12"/>
  <c r="J2854" i="12"/>
  <c r="J2862" i="12"/>
  <c r="J2870" i="12"/>
  <c r="J2878" i="12"/>
  <c r="J2886" i="12"/>
  <c r="J2894" i="12"/>
  <c r="J2902" i="12"/>
  <c r="J2910" i="12"/>
  <c r="J2918" i="12"/>
  <c r="J2926" i="12"/>
  <c r="J2934" i="12"/>
  <c r="J2942" i="12"/>
  <c r="J2950" i="12"/>
  <c r="J2958" i="12"/>
  <c r="J2966" i="12"/>
  <c r="J2974" i="12"/>
  <c r="J2982" i="12"/>
  <c r="J2990" i="12"/>
  <c r="J2998" i="12"/>
  <c r="J3006" i="12"/>
  <c r="J3014" i="12"/>
  <c r="J3022" i="12"/>
  <c r="J3030" i="12"/>
  <c r="J3038" i="12"/>
  <c r="J1687" i="12"/>
  <c r="J1695" i="12"/>
  <c r="J1703" i="12"/>
  <c r="J1711" i="12"/>
  <c r="J1719" i="12"/>
  <c r="J1727" i="12"/>
  <c r="J1735" i="12"/>
  <c r="J1743" i="12"/>
  <c r="J1751" i="12"/>
  <c r="J1759" i="12"/>
  <c r="J1767" i="12"/>
  <c r="J1775" i="12"/>
  <c r="J1783" i="12"/>
  <c r="J1791" i="12"/>
  <c r="J1799" i="12"/>
  <c r="J1807" i="12"/>
  <c r="J1815" i="12"/>
  <c r="J1823" i="12"/>
  <c r="J1831" i="12"/>
  <c r="J1839" i="12"/>
  <c r="J1847" i="12"/>
  <c r="J1855" i="12"/>
  <c r="J1863" i="12"/>
  <c r="J1871" i="12"/>
  <c r="J1879" i="12"/>
  <c r="J1887" i="12"/>
  <c r="J1895" i="12"/>
  <c r="J1903" i="12"/>
  <c r="J1911" i="12"/>
  <c r="J1919" i="12"/>
  <c r="J1927" i="12"/>
  <c r="J1935" i="12"/>
  <c r="J1943" i="12"/>
  <c r="J1951" i="12"/>
  <c r="J1959" i="12"/>
  <c r="J1967" i="12"/>
  <c r="J1975" i="12"/>
  <c r="J1983" i="12"/>
  <c r="J1991" i="12"/>
  <c r="J1999" i="12"/>
  <c r="J2007" i="12"/>
  <c r="J2015" i="12"/>
  <c r="J2023" i="12"/>
  <c r="J2031" i="12"/>
  <c r="J2039" i="12"/>
  <c r="J2047" i="12"/>
  <c r="J2055" i="12"/>
  <c r="J2063" i="12"/>
  <c r="J2071" i="12"/>
  <c r="J2079" i="12"/>
  <c r="J2087" i="12"/>
  <c r="J2095" i="12"/>
  <c r="J2103" i="12"/>
  <c r="J2111" i="12"/>
  <c r="J2119" i="12"/>
  <c r="J2127" i="12"/>
  <c r="J2135" i="12"/>
  <c r="J2143" i="12"/>
  <c r="J2151" i="12"/>
  <c r="J2159" i="12"/>
  <c r="J2167" i="12"/>
  <c r="J2175" i="12"/>
  <c r="J2183" i="12"/>
  <c r="J2191" i="12"/>
  <c r="J2199" i="12"/>
  <c r="J2207" i="12"/>
  <c r="J2215" i="12"/>
  <c r="J2223" i="12"/>
  <c r="J2231" i="12"/>
  <c r="J2239" i="12"/>
  <c r="J2247" i="12"/>
  <c r="J2255" i="12"/>
  <c r="J2263" i="12"/>
  <c r="J2271" i="12"/>
  <c r="J2279" i="12"/>
  <c r="J2287" i="12"/>
  <c r="J2295" i="12"/>
  <c r="J2303" i="12"/>
  <c r="J2311" i="12"/>
  <c r="J2319" i="12"/>
  <c r="J2327" i="12"/>
  <c r="J2335" i="12"/>
  <c r="J2343" i="12"/>
  <c r="J2351" i="12"/>
  <c r="J2359" i="12"/>
  <c r="J2367" i="12"/>
  <c r="J2375" i="12"/>
  <c r="J2383" i="12"/>
  <c r="J2391" i="12"/>
  <c r="J2399" i="12"/>
  <c r="J2407" i="12"/>
  <c r="J2415" i="12"/>
  <c r="J2423" i="12"/>
  <c r="J2431" i="12"/>
  <c r="J2439" i="12"/>
  <c r="J2447" i="12"/>
  <c r="J2455" i="12"/>
  <c r="J2463" i="12"/>
  <c r="J2471" i="12"/>
  <c r="J2479" i="12"/>
  <c r="J2487" i="12"/>
  <c r="J2495" i="12"/>
  <c r="J2503" i="12"/>
  <c r="J2511" i="12"/>
  <c r="J2519" i="12"/>
  <c r="J2527" i="12"/>
  <c r="J2535" i="12"/>
  <c r="J2543" i="12"/>
  <c r="J2551" i="12"/>
  <c r="J2559" i="12"/>
  <c r="J2567" i="12"/>
  <c r="J2575" i="12"/>
  <c r="J2583" i="12"/>
  <c r="J2591" i="12"/>
  <c r="J2599" i="12"/>
  <c r="J2607" i="12"/>
  <c r="J2615" i="12"/>
  <c r="J2623" i="12"/>
  <c r="J2631" i="12"/>
  <c r="J2639" i="12"/>
  <c r="J2647" i="12"/>
  <c r="J2655" i="12"/>
  <c r="J2663" i="12"/>
  <c r="J2671" i="12"/>
  <c r="J2679" i="12"/>
  <c r="J2687" i="12"/>
  <c r="J2695" i="12"/>
  <c r="J2703" i="12"/>
  <c r="J2711" i="12"/>
  <c r="J2719" i="12"/>
  <c r="J2727" i="12"/>
  <c r="J2735" i="12"/>
  <c r="J2743" i="12"/>
  <c r="J2751" i="12"/>
  <c r="J2759" i="12"/>
  <c r="J2767" i="12"/>
  <c r="J2775" i="12"/>
  <c r="J2783" i="12"/>
  <c r="J2791" i="12"/>
  <c r="J2799" i="12"/>
  <c r="J2807" i="12"/>
  <c r="J2815" i="12"/>
  <c r="J2823" i="12"/>
  <c r="J2831" i="12"/>
  <c r="J2839" i="12"/>
  <c r="J2847" i="12"/>
  <c r="J2855" i="12"/>
  <c r="J2863" i="12"/>
  <c r="J2871" i="12"/>
  <c r="J2879" i="12"/>
  <c r="J2887" i="12"/>
  <c r="J2895" i="12"/>
  <c r="J2903" i="12"/>
  <c r="J2911" i="12"/>
  <c r="J2919" i="12"/>
  <c r="J2927" i="12"/>
  <c r="J2935" i="12"/>
  <c r="J2943" i="12"/>
  <c r="J2951" i="12"/>
  <c r="J2959" i="12"/>
  <c r="J2967" i="12"/>
  <c r="J2975" i="12"/>
  <c r="J2983" i="12"/>
  <c r="J2991" i="12"/>
  <c r="J2999" i="12"/>
  <c r="J3007" i="12"/>
  <c r="J3015" i="12"/>
  <c r="J3023" i="12"/>
  <c r="J3031" i="12"/>
  <c r="J3039" i="12"/>
  <c r="J1688" i="12"/>
  <c r="J1696" i="12"/>
  <c r="J1704" i="12"/>
  <c r="J1712" i="12"/>
  <c r="J1720" i="12"/>
  <c r="J1728" i="12"/>
  <c r="J1736" i="12"/>
  <c r="J1744" i="12"/>
  <c r="J1752" i="12"/>
  <c r="J1760" i="12"/>
  <c r="J1768" i="12"/>
  <c r="J1776" i="12"/>
  <c r="J1784" i="12"/>
  <c r="J1792" i="12"/>
  <c r="J1800" i="12"/>
  <c r="J1808" i="12"/>
  <c r="J1816" i="12"/>
  <c r="J1824" i="12"/>
  <c r="J1832" i="12"/>
  <c r="J1840" i="12"/>
  <c r="J1848" i="12"/>
  <c r="J1856" i="12"/>
  <c r="J1864" i="12"/>
  <c r="J1872" i="12"/>
  <c r="J1880" i="12"/>
  <c r="J1888" i="12"/>
  <c r="J1896" i="12"/>
  <c r="J1904" i="12"/>
  <c r="J1912" i="12"/>
  <c r="J1920" i="12"/>
  <c r="J1928" i="12"/>
  <c r="J1936" i="12"/>
  <c r="J1944" i="12"/>
  <c r="J1952" i="12"/>
  <c r="J1960" i="12"/>
  <c r="J1968" i="12"/>
  <c r="J1976" i="12"/>
  <c r="J1984" i="12"/>
  <c r="J1992" i="12"/>
  <c r="J2000" i="12"/>
  <c r="J2008" i="12"/>
  <c r="J2016" i="12"/>
  <c r="J2024" i="12"/>
  <c r="J2032" i="12"/>
  <c r="J2040" i="12"/>
  <c r="J2048" i="12"/>
  <c r="J2056" i="12"/>
  <c r="J2064" i="12"/>
  <c r="J2072" i="12"/>
  <c r="J2080" i="12"/>
  <c r="J2088" i="12"/>
  <c r="J2096" i="12"/>
  <c r="J2104" i="12"/>
  <c r="J2112" i="12"/>
  <c r="J2120" i="12"/>
  <c r="J2128" i="12"/>
  <c r="J2136" i="12"/>
  <c r="J2144" i="12"/>
  <c r="J2152" i="12"/>
  <c r="J2160" i="12"/>
  <c r="J2168" i="12"/>
  <c r="J2176" i="12"/>
  <c r="J2184" i="12"/>
  <c r="J2192" i="12"/>
  <c r="J2200" i="12"/>
  <c r="J2208" i="12"/>
  <c r="J2216" i="12"/>
  <c r="J2224" i="12"/>
  <c r="J2232" i="12"/>
  <c r="J2240" i="12"/>
  <c r="J2248" i="12"/>
  <c r="J2256" i="12"/>
  <c r="J2264" i="12"/>
  <c r="J2272" i="12"/>
  <c r="J2280" i="12"/>
  <c r="J2288" i="12"/>
  <c r="J2296" i="12"/>
  <c r="J2304" i="12"/>
  <c r="J2312" i="12"/>
  <c r="J2320" i="12"/>
  <c r="J2328" i="12"/>
  <c r="J2336" i="12"/>
  <c r="J2344" i="12"/>
  <c r="J2352" i="12"/>
  <c r="J2360" i="12"/>
  <c r="J2368" i="12"/>
  <c r="J2376" i="12"/>
  <c r="J2384" i="12"/>
  <c r="J2392" i="12"/>
  <c r="J2400" i="12"/>
  <c r="J2408" i="12"/>
  <c r="J2416" i="12"/>
  <c r="J2424" i="12"/>
  <c r="J2432" i="12"/>
  <c r="J2440" i="12"/>
  <c r="J2448" i="12"/>
  <c r="J2456" i="12"/>
  <c r="J2464" i="12"/>
  <c r="J2472" i="12"/>
  <c r="J2480" i="12"/>
  <c r="J2488" i="12"/>
  <c r="J2496" i="12"/>
  <c r="J2504" i="12"/>
  <c r="J2512" i="12"/>
  <c r="J2520" i="12"/>
  <c r="J2528" i="12"/>
  <c r="J2536" i="12"/>
  <c r="J2544" i="12"/>
  <c r="J2552" i="12"/>
  <c r="J2560" i="12"/>
  <c r="J2568" i="12"/>
  <c r="J2576" i="12"/>
  <c r="J2584" i="12"/>
  <c r="J2592" i="12"/>
  <c r="J2600" i="12"/>
  <c r="J2608" i="12"/>
  <c r="J2616" i="12"/>
  <c r="J2624" i="12"/>
  <c r="J2632" i="12"/>
  <c r="J2640" i="12"/>
  <c r="J2648" i="12"/>
  <c r="J2656" i="12"/>
  <c r="J2664" i="12"/>
  <c r="J2672" i="12"/>
  <c r="J2680" i="12"/>
  <c r="J2688" i="12"/>
  <c r="J2696" i="12"/>
  <c r="J2704" i="12"/>
  <c r="J2712" i="12"/>
  <c r="J2720" i="12"/>
  <c r="J2728" i="12"/>
  <c r="J2736" i="12"/>
  <c r="J2744" i="12"/>
  <c r="J2752" i="12"/>
  <c r="J2760" i="12"/>
  <c r="J2768" i="12"/>
  <c r="J2776" i="12"/>
  <c r="J2784" i="12"/>
  <c r="J2792" i="12"/>
  <c r="J2800" i="12"/>
  <c r="J2808" i="12"/>
  <c r="J2816" i="12"/>
  <c r="J2824" i="12"/>
  <c r="J2832" i="12"/>
  <c r="J2840" i="12"/>
  <c r="J2848" i="12"/>
  <c r="J2856" i="12"/>
  <c r="J2864" i="12"/>
  <c r="J2872" i="12"/>
  <c r="J2880" i="12"/>
  <c r="J2888" i="12"/>
  <c r="J2896" i="12"/>
  <c r="J2904" i="12"/>
  <c r="J2912" i="12"/>
  <c r="J2920" i="12"/>
  <c r="J2928" i="12"/>
  <c r="J2936" i="12"/>
  <c r="J2944" i="12"/>
  <c r="J2952" i="12"/>
  <c r="J2960" i="12"/>
  <c r="J2968" i="12"/>
  <c r="J2976" i="12"/>
  <c r="J2984" i="12"/>
  <c r="J2992" i="12"/>
  <c r="J3000" i="12"/>
  <c r="J3008" i="12"/>
  <c r="J3016" i="12"/>
  <c r="J3024" i="12"/>
  <c r="J3032" i="12"/>
  <c r="J3040" i="12"/>
  <c r="J3043" i="12"/>
  <c r="J3051" i="12"/>
  <c r="J3059" i="12"/>
  <c r="J3067" i="12"/>
  <c r="J3075" i="12"/>
  <c r="J3083" i="12"/>
  <c r="J3091" i="12"/>
  <c r="J3099" i="12"/>
  <c r="J3107" i="12"/>
  <c r="J5" i="12"/>
  <c r="J3044" i="12"/>
  <c r="J3052" i="12"/>
  <c r="J3060" i="12"/>
  <c r="J3068" i="12"/>
  <c r="J3076" i="12"/>
  <c r="J3084" i="12"/>
  <c r="J3092" i="12"/>
  <c r="J3100" i="12"/>
  <c r="J3108" i="12"/>
  <c r="J6" i="12"/>
  <c r="J3045" i="12"/>
  <c r="J3053" i="12"/>
  <c r="J3061" i="12"/>
  <c r="J3069" i="12"/>
  <c r="J3077" i="12"/>
  <c r="J3085" i="12"/>
  <c r="J3093" i="12"/>
  <c r="J3101" i="12"/>
  <c r="J3109" i="12"/>
  <c r="J7" i="12"/>
  <c r="J3046" i="12"/>
  <c r="J3054" i="12"/>
  <c r="J3062" i="12"/>
  <c r="J3070" i="12"/>
  <c r="J3078" i="12"/>
  <c r="J3086" i="12"/>
  <c r="J3094" i="12"/>
  <c r="J3102" i="12"/>
  <c r="J3110" i="12"/>
  <c r="J8" i="12"/>
  <c r="J3047" i="12"/>
  <c r="J3055" i="12"/>
  <c r="J3063" i="12"/>
  <c r="J3071" i="12"/>
  <c r="J3079" i="12"/>
  <c r="J3087" i="12"/>
  <c r="J3095" i="12"/>
  <c r="J3103" i="12"/>
  <c r="J3111" i="12"/>
  <c r="J3" i="12"/>
  <c r="J3048" i="12"/>
  <c r="J3056" i="12"/>
  <c r="J3064" i="12"/>
  <c r="J3072" i="12"/>
  <c r="J3080" i="12"/>
  <c r="J3088" i="12"/>
  <c r="J3096" i="12"/>
  <c r="J3104" i="12"/>
  <c r="J3112" i="12"/>
  <c r="J3049" i="12"/>
  <c r="J3057" i="12"/>
  <c r="J3065" i="12"/>
  <c r="J3073" i="12"/>
  <c r="J3081" i="12"/>
  <c r="J3089" i="12"/>
  <c r="J3097" i="12"/>
  <c r="J3105" i="12"/>
  <c r="J3113" i="12"/>
  <c r="J3050" i="12"/>
  <c r="J3058" i="12"/>
  <c r="J3066" i="12"/>
  <c r="J3074" i="12"/>
  <c r="J3082" i="12"/>
  <c r="J3090" i="12"/>
  <c r="J3098" i="12"/>
  <c r="J3106" i="12"/>
  <c r="J4" i="12"/>
  <c r="CV11" i="9"/>
  <c r="CU11" i="9" s="1"/>
  <c r="CV16" i="9"/>
  <c r="CU16" i="9" s="1"/>
  <c r="CV10" i="9"/>
  <c r="CU10" i="9" s="1"/>
  <c r="CV7" i="9"/>
  <c r="CU7" i="9" s="1"/>
  <c r="CV20" i="9"/>
  <c r="CU20" i="9" s="1"/>
  <c r="CV15" i="9"/>
  <c r="CU15" i="9" s="1"/>
  <c r="CV23" i="9"/>
  <c r="CU23" i="9" s="1"/>
  <c r="CV28" i="9"/>
  <c r="CU28" i="9" s="1"/>
  <c r="CV31" i="9"/>
  <c r="CU31" i="9" s="1"/>
  <c r="CV33" i="9"/>
  <c r="CU33" i="9" s="1"/>
  <c r="CV18" i="9"/>
  <c r="CU18" i="9" s="1"/>
  <c r="CV9" i="9"/>
  <c r="CU9" i="9" s="1"/>
  <c r="CV26" i="9"/>
  <c r="CU26" i="9" s="1"/>
  <c r="CV30" i="9"/>
  <c r="CU30" i="9" s="1"/>
  <c r="CV8" i="9"/>
  <c r="CU8" i="9" s="1"/>
  <c r="CV27" i="9"/>
  <c r="CU27" i="9" s="1"/>
  <c r="CU35" i="9"/>
  <c r="CV34" i="9"/>
  <c r="CU34" i="9" s="1"/>
  <c r="CV12" i="9"/>
  <c r="CU12" i="9" s="1"/>
  <c r="CV14" i="9"/>
  <c r="CU14" i="9" s="1"/>
  <c r="CV24" i="9"/>
  <c r="CU24" i="9" s="1"/>
  <c r="CV22" i="9"/>
  <c r="CU22" i="9" s="1"/>
  <c r="CV25" i="9"/>
  <c r="CU25" i="9" s="1"/>
  <c r="CV32" i="9"/>
  <c r="CU32" i="9" s="1"/>
  <c r="CV17" i="9"/>
  <c r="CU17" i="9" s="1"/>
  <c r="CV21" i="9"/>
  <c r="CU21" i="9" s="1"/>
  <c r="CV29" i="9"/>
  <c r="CU29" i="9" s="1"/>
  <c r="CV19" i="9"/>
  <c r="CU19" i="9" s="1"/>
  <c r="CV13" i="9"/>
  <c r="CU13" i="9" s="1"/>
  <c r="AB19" i="1"/>
  <c r="K16" i="9" s="1"/>
  <c r="AB20" i="1"/>
  <c r="K17" i="9" s="1"/>
  <c r="AB21" i="1"/>
  <c r="K18" i="9" s="1"/>
  <c r="AB22" i="1"/>
  <c r="K19" i="9" s="1"/>
  <c r="AB23" i="1"/>
  <c r="K20" i="9" s="1"/>
  <c r="AB24" i="1"/>
  <c r="K21" i="9" s="1"/>
  <c r="AB25" i="1"/>
  <c r="K22" i="9" s="1"/>
  <c r="AB26" i="1"/>
  <c r="K23" i="9" s="1"/>
  <c r="K9" i="12"/>
  <c r="K73" i="12"/>
  <c r="K137" i="12"/>
  <c r="K201" i="12"/>
  <c r="K265" i="12"/>
  <c r="K329" i="12"/>
  <c r="K457" i="12"/>
  <c r="K521" i="12"/>
  <c r="K585" i="12"/>
  <c r="K649" i="12"/>
  <c r="K713" i="12"/>
  <c r="K777" i="12"/>
  <c r="K841" i="12"/>
  <c r="K905" i="12"/>
  <c r="K969" i="12"/>
  <c r="K1033" i="12"/>
  <c r="K1097" i="12"/>
  <c r="K1161" i="12"/>
  <c r="K1225" i="12"/>
  <c r="K1289" i="12"/>
  <c r="K1353" i="12"/>
  <c r="K1417" i="12"/>
  <c r="K1481" i="12"/>
  <c r="K1545" i="12"/>
  <c r="K1609" i="12"/>
  <c r="K1673" i="12"/>
  <c r="K1737" i="12"/>
  <c r="K1801" i="12"/>
  <c r="K1865" i="12"/>
  <c r="K1929" i="12"/>
  <c r="K1993" i="12"/>
  <c r="K2057" i="12"/>
  <c r="K2121" i="12"/>
  <c r="K2185" i="12"/>
  <c r="K2249" i="12"/>
  <c r="K50" i="12"/>
  <c r="K114" i="12"/>
  <c r="K178" i="12"/>
  <c r="K242" i="12"/>
  <c r="K306" i="12"/>
  <c r="K370" i="12"/>
  <c r="K434" i="12"/>
  <c r="K498" i="12"/>
  <c r="K562" i="12"/>
  <c r="K626" i="12"/>
  <c r="K690" i="12"/>
  <c r="K754" i="12"/>
  <c r="K818" i="12"/>
  <c r="K882" i="12"/>
  <c r="K946" i="12"/>
  <c r="K1010" i="12"/>
  <c r="K1074" i="12"/>
  <c r="K1138" i="12"/>
  <c r="K1202" i="12"/>
  <c r="K1266" i="12"/>
  <c r="K1330" i="12"/>
  <c r="K1394" i="12"/>
  <c r="K1458" i="12"/>
  <c r="K1522" i="12"/>
  <c r="K1586" i="12"/>
  <c r="K1650" i="12"/>
  <c r="K1714" i="12"/>
  <c r="K1778" i="12"/>
  <c r="K1842" i="12"/>
  <c r="K1906" i="12"/>
  <c r="K1970" i="12"/>
  <c r="K2034" i="12"/>
  <c r="K2098" i="12"/>
  <c r="K2162" i="12"/>
  <c r="K2226" i="12"/>
  <c r="K27" i="12"/>
  <c r="K91" i="12"/>
  <c r="K155" i="12"/>
  <c r="K219" i="12"/>
  <c r="K283" i="12"/>
  <c r="K347" i="12"/>
  <c r="K411" i="12"/>
  <c r="K475" i="12"/>
  <c r="K539" i="12"/>
  <c r="K603" i="12"/>
  <c r="K667" i="12"/>
  <c r="K731" i="12"/>
  <c r="K795" i="12"/>
  <c r="K859" i="12"/>
  <c r="K923" i="12"/>
  <c r="K987" i="12"/>
  <c r="K1051" i="12"/>
  <c r="K1115" i="12"/>
  <c r="K1179" i="12"/>
  <c r="K1243" i="12"/>
  <c r="K1307" i="12"/>
  <c r="K1371" i="12"/>
  <c r="K1435" i="12"/>
  <c r="K1499" i="12"/>
  <c r="K1563" i="12"/>
  <c r="K1627" i="12"/>
  <c r="K1691" i="12"/>
  <c r="K1755" i="12"/>
  <c r="K1819" i="12"/>
  <c r="K1883" i="12"/>
  <c r="K1947" i="12"/>
  <c r="K2011" i="12"/>
  <c r="K2075" i="12"/>
  <c r="K2139" i="12"/>
  <c r="K2203" i="12"/>
  <c r="K2267" i="12"/>
  <c r="K60" i="12"/>
  <c r="K124" i="12"/>
  <c r="K188" i="12"/>
  <c r="K252" i="12"/>
  <c r="K316" i="12"/>
  <c r="K380" i="12"/>
  <c r="K444" i="12"/>
  <c r="K508" i="12"/>
  <c r="K572" i="12"/>
  <c r="K636" i="12"/>
  <c r="K700" i="12"/>
  <c r="K764" i="12"/>
  <c r="K828" i="12"/>
  <c r="K892" i="12"/>
  <c r="K956" i="12"/>
  <c r="K1020" i="12"/>
  <c r="K1084" i="12"/>
  <c r="K1148" i="12"/>
  <c r="K1212" i="12"/>
  <c r="K1276" i="12"/>
  <c r="K1340" i="12"/>
  <c r="K1404" i="12"/>
  <c r="K1468" i="12"/>
  <c r="K1532" i="12"/>
  <c r="K1596" i="12"/>
  <c r="K1660" i="12"/>
  <c r="K1724" i="12"/>
  <c r="K1788" i="12"/>
  <c r="K1852" i="12"/>
  <c r="K1916" i="12"/>
  <c r="K1980" i="12"/>
  <c r="K2044" i="12"/>
  <c r="K2108" i="12"/>
  <c r="K2172" i="12"/>
  <c r="K2236" i="12"/>
  <c r="K29" i="12"/>
  <c r="K93" i="12"/>
  <c r="K157" i="12"/>
  <c r="K221" i="12"/>
  <c r="K285" i="12"/>
  <c r="K349" i="12"/>
  <c r="K413" i="12"/>
  <c r="K477" i="12"/>
  <c r="K541" i="12"/>
  <c r="K605" i="12"/>
  <c r="K669" i="12"/>
  <c r="K733" i="12"/>
  <c r="K797" i="12"/>
  <c r="K861" i="12"/>
  <c r="K925" i="12"/>
  <c r="K989" i="12"/>
  <c r="K1053" i="12"/>
  <c r="K1117" i="12"/>
  <c r="K1181" i="12"/>
  <c r="K1245" i="12"/>
  <c r="K1309" i="12"/>
  <c r="K1373" i="12"/>
  <c r="K1437" i="12"/>
  <c r="K1501" i="12"/>
  <c r="K1565" i="12"/>
  <c r="K1629" i="12"/>
  <c r="K1693" i="12"/>
  <c r="K1757" i="12"/>
  <c r="K1821" i="12"/>
  <c r="K1885" i="12"/>
  <c r="K1949" i="12"/>
  <c r="K2013" i="12"/>
  <c r="K2077" i="12"/>
  <c r="K2141" i="12"/>
  <c r="K2205" i="12"/>
  <c r="K2269" i="12"/>
  <c r="K62" i="12"/>
  <c r="K126" i="12"/>
  <c r="K190" i="12"/>
  <c r="K254" i="12"/>
  <c r="K318" i="12"/>
  <c r="K382" i="12"/>
  <c r="K446" i="12"/>
  <c r="K510" i="12"/>
  <c r="K574" i="12"/>
  <c r="K638" i="12"/>
  <c r="K702" i="12"/>
  <c r="K766" i="12"/>
  <c r="K830" i="12"/>
  <c r="K894" i="12"/>
  <c r="K958" i="12"/>
  <c r="K1022" i="12"/>
  <c r="K1086" i="12"/>
  <c r="K1150" i="12"/>
  <c r="K1214" i="12"/>
  <c r="K1278" i="12"/>
  <c r="K1342" i="12"/>
  <c r="K1406" i="12"/>
  <c r="K1470" i="12"/>
  <c r="K1534" i="12"/>
  <c r="K1598" i="12"/>
  <c r="K1662" i="12"/>
  <c r="K1726" i="12"/>
  <c r="K1790" i="12"/>
  <c r="K1854" i="12"/>
  <c r="K1918" i="12"/>
  <c r="K1982" i="12"/>
  <c r="K2046" i="12"/>
  <c r="K2110" i="12"/>
  <c r="K2174" i="12"/>
  <c r="K2238" i="12"/>
  <c r="K32" i="12"/>
  <c r="K96" i="12"/>
  <c r="K160" i="12"/>
  <c r="K224" i="12"/>
  <c r="K288" i="12"/>
  <c r="K352" i="12"/>
  <c r="K416" i="12"/>
  <c r="K480" i="12"/>
  <c r="K544" i="12"/>
  <c r="K608" i="12"/>
  <c r="K672" i="12"/>
  <c r="K736" i="12"/>
  <c r="K800" i="12"/>
  <c r="K864" i="12"/>
  <c r="K928" i="12"/>
  <c r="K992" i="12"/>
  <c r="K1056" i="12"/>
  <c r="K1120" i="12"/>
  <c r="K1184" i="12"/>
  <c r="K1248" i="12"/>
  <c r="K1312" i="12"/>
  <c r="K1376" i="12"/>
  <c r="K1440" i="12"/>
  <c r="K1504" i="12"/>
  <c r="K1568" i="12"/>
  <c r="K1632" i="12"/>
  <c r="K1696" i="12"/>
  <c r="K1760" i="12"/>
  <c r="K1824" i="12"/>
  <c r="K1888" i="12"/>
  <c r="K1952" i="12"/>
  <c r="K2016" i="12"/>
  <c r="K2080" i="12"/>
  <c r="K2144" i="12"/>
  <c r="K2208" i="12"/>
  <c r="K2272" i="12"/>
  <c r="K511" i="12"/>
  <c r="K1023" i="12"/>
  <c r="K1535" i="12"/>
  <c r="K2047" i="12"/>
  <c r="K2308" i="12"/>
  <c r="K2372" i="12"/>
  <c r="K2436" i="12"/>
  <c r="K2500" i="12"/>
  <c r="K2564" i="12"/>
  <c r="K2628" i="12"/>
  <c r="K2692" i="12"/>
  <c r="K2756" i="12"/>
  <c r="K2820" i="12"/>
  <c r="K2884" i="12"/>
  <c r="K2948" i="12"/>
  <c r="K3012" i="12"/>
  <c r="K3076" i="12"/>
  <c r="K199" i="12"/>
  <c r="K711" i="12"/>
  <c r="K1223" i="12"/>
  <c r="K1735" i="12"/>
  <c r="K2247" i="12"/>
  <c r="K2333" i="12"/>
  <c r="K2397" i="12"/>
  <c r="K2461" i="12"/>
  <c r="K2525" i="12"/>
  <c r="K2589" i="12"/>
  <c r="K2653" i="12"/>
  <c r="K2717" i="12"/>
  <c r="K2781" i="12"/>
  <c r="K2845" i="12"/>
  <c r="K2909" i="12"/>
  <c r="K2973" i="12"/>
  <c r="K3037" i="12"/>
  <c r="K3101" i="12"/>
  <c r="K399" i="12"/>
  <c r="K911" i="12"/>
  <c r="K1423" i="12"/>
  <c r="K1935" i="12"/>
  <c r="K2294" i="12"/>
  <c r="K2358" i="12"/>
  <c r="K2422" i="12"/>
  <c r="K2486" i="12"/>
  <c r="K2550" i="12"/>
  <c r="K2614" i="12"/>
  <c r="K2678" i="12"/>
  <c r="K2742" i="12"/>
  <c r="K2806" i="12"/>
  <c r="K2870" i="12"/>
  <c r="K2934" i="12"/>
  <c r="K2998" i="12"/>
  <c r="K3062" i="12"/>
  <c r="K87" i="12"/>
  <c r="K599" i="12"/>
  <c r="K1111" i="12"/>
  <c r="K1623" i="12"/>
  <c r="K2135" i="12"/>
  <c r="K2319" i="12"/>
  <c r="K2383" i="12"/>
  <c r="K2447" i="12"/>
  <c r="K2511" i="12"/>
  <c r="K2575" i="12"/>
  <c r="K2639" i="12"/>
  <c r="K2703" i="12"/>
  <c r="K2767" i="12"/>
  <c r="K2831" i="12"/>
  <c r="K2895" i="12"/>
  <c r="K2959" i="12"/>
  <c r="K3023" i="12"/>
  <c r="K3087" i="12"/>
  <c r="K287" i="12"/>
  <c r="K799" i="12"/>
  <c r="K1311" i="12"/>
  <c r="K1823" i="12"/>
  <c r="K2280" i="12"/>
  <c r="K2344" i="12"/>
  <c r="K2408" i="12"/>
  <c r="K2472" i="12"/>
  <c r="K2536" i="12"/>
  <c r="K2600" i="12"/>
  <c r="K2664" i="12"/>
  <c r="K2728" i="12"/>
  <c r="K2792" i="12"/>
  <c r="K2856" i="12"/>
  <c r="K2920" i="12"/>
  <c r="K2984" i="12"/>
  <c r="K3048" i="12"/>
  <c r="K3112" i="12"/>
  <c r="K487" i="12"/>
  <c r="K999" i="12"/>
  <c r="K1511" i="12"/>
  <c r="K2023" i="12"/>
  <c r="K2305" i="12"/>
  <c r="K2369" i="12"/>
  <c r="K2433" i="12"/>
  <c r="K2497" i="12"/>
  <c r="K2561" i="12"/>
  <c r="K2625" i="12"/>
  <c r="K2689" i="12"/>
  <c r="K2753" i="12"/>
  <c r="K2817" i="12"/>
  <c r="K2881" i="12"/>
  <c r="K2945" i="12"/>
  <c r="K3009" i="12"/>
  <c r="K3073" i="12"/>
  <c r="K183" i="12"/>
  <c r="K695" i="12"/>
  <c r="K1207" i="12"/>
  <c r="K1719" i="12"/>
  <c r="K2231" i="12"/>
  <c r="K2331" i="12"/>
  <c r="K2395" i="12"/>
  <c r="K2459" i="12"/>
  <c r="K2523" i="12"/>
  <c r="K2587" i="12"/>
  <c r="K2651" i="12"/>
  <c r="K2715" i="12"/>
  <c r="K2779" i="12"/>
  <c r="K2843" i="12"/>
  <c r="K2907" i="12"/>
  <c r="K2971" i="12"/>
  <c r="K3035" i="12"/>
  <c r="K3099" i="12"/>
  <c r="K2386" i="12"/>
  <c r="K2898" i="12"/>
  <c r="K2223" i="12"/>
  <c r="K2778" i="12"/>
  <c r="K1263" i="12"/>
  <c r="K2658" i="12"/>
  <c r="K303" i="12"/>
  <c r="K2538" i="12"/>
  <c r="K3050" i="12"/>
  <c r="K2426" i="12"/>
  <c r="K2938" i="12"/>
  <c r="K2370" i="12"/>
  <c r="K2882" i="12"/>
  <c r="K47" i="12"/>
  <c r="K2802" i="12"/>
  <c r="K2354" i="12"/>
  <c r="K2418" i="12"/>
  <c r="K257" i="12"/>
  <c r="K641" i="12"/>
  <c r="K1025" i="12"/>
  <c r="K1345" i="12"/>
  <c r="K1665" i="12"/>
  <c r="K1921" i="12"/>
  <c r="K42" i="12"/>
  <c r="K362" i="12"/>
  <c r="K618" i="12"/>
  <c r="K938" i="12"/>
  <c r="K1322" i="12"/>
  <c r="K1578" i="12"/>
  <c r="K2026" i="12"/>
  <c r="K147" i="12"/>
  <c r="K531" i="12"/>
  <c r="K915" i="12"/>
  <c r="K1235" i="12"/>
  <c r="K1555" i="12"/>
  <c r="K1939" i="12"/>
  <c r="K52" i="12"/>
  <c r="K436" i="12"/>
  <c r="K756" i="12"/>
  <c r="K1204" i="12"/>
  <c r="K1524" i="12"/>
  <c r="K1844" i="12"/>
  <c r="K2228" i="12"/>
  <c r="K341" i="12"/>
  <c r="K725" i="12"/>
  <c r="K1109" i="12"/>
  <c r="K1429" i="12"/>
  <c r="K1749" i="12"/>
  <c r="K2069" i="12"/>
  <c r="K182" i="12"/>
  <c r="K438" i="12"/>
  <c r="K822" i="12"/>
  <c r="K1206" i="12"/>
  <c r="K1526" i="12"/>
  <c r="K1718" i="12"/>
  <c r="K2102" i="12"/>
  <c r="K216" i="12"/>
  <c r="K536" i="12"/>
  <c r="K920" i="12"/>
  <c r="K1304" i="12"/>
  <c r="K1688" i="12"/>
  <c r="K2072" i="12"/>
  <c r="K959" i="12"/>
  <c r="K2492" i="12"/>
  <c r="K2876" i="12"/>
  <c r="K1159" i="12"/>
  <c r="K2453" i="12"/>
  <c r="K2837" i="12"/>
  <c r="K847" i="12"/>
  <c r="K2478" i="12"/>
  <c r="K2798" i="12"/>
  <c r="K23" i="12"/>
  <c r="K2375" i="12"/>
  <c r="K2823" i="12"/>
  <c r="K735" i="12"/>
  <c r="K2400" i="12"/>
  <c r="K2784" i="12"/>
  <c r="K423" i="12"/>
  <c r="K2425" i="12"/>
  <c r="K2809" i="12"/>
  <c r="K631" i="12"/>
  <c r="K2387" i="12"/>
  <c r="K2771" i="12"/>
  <c r="K2834" i="12"/>
  <c r="K2474" i="12"/>
  <c r="K2994" i="12"/>
  <c r="K17" i="12"/>
  <c r="K81" i="12"/>
  <c r="K145" i="12"/>
  <c r="K209" i="12"/>
  <c r="K273" i="12"/>
  <c r="K337" i="12"/>
  <c r="K401" i="12"/>
  <c r="K465" i="12"/>
  <c r="K529" i="12"/>
  <c r="K593" i="12"/>
  <c r="K657" i="12"/>
  <c r="K721" i="12"/>
  <c r="K785" i="12"/>
  <c r="K849" i="12"/>
  <c r="K913" i="12"/>
  <c r="K977" i="12"/>
  <c r="K1041" i="12"/>
  <c r="K1105" i="12"/>
  <c r="K1169" i="12"/>
  <c r="K1233" i="12"/>
  <c r="K1297" i="12"/>
  <c r="K1361" i="12"/>
  <c r="K1425" i="12"/>
  <c r="K1489" i="12"/>
  <c r="K1553" i="12"/>
  <c r="K1617" i="12"/>
  <c r="K1681" i="12"/>
  <c r="K1745" i="12"/>
  <c r="K1809" i="12"/>
  <c r="K1873" i="12"/>
  <c r="K1937" i="12"/>
  <c r="K2001" i="12"/>
  <c r="K2065" i="12"/>
  <c r="K2129" i="12"/>
  <c r="K2193" i="12"/>
  <c r="K2257" i="12"/>
  <c r="K58" i="12"/>
  <c r="K122" i="12"/>
  <c r="K186" i="12"/>
  <c r="K250" i="12"/>
  <c r="K314" i="12"/>
  <c r="K378" i="12"/>
  <c r="K442" i="12"/>
  <c r="K506" i="12"/>
  <c r="K570" i="12"/>
  <c r="K634" i="12"/>
  <c r="K698" i="12"/>
  <c r="K762" i="12"/>
  <c r="K826" i="12"/>
  <c r="K890" i="12"/>
  <c r="K954" i="12"/>
  <c r="K1018" i="12"/>
  <c r="K1082" i="12"/>
  <c r="K1146" i="12"/>
  <c r="K1210" i="12"/>
  <c r="K1274" i="12"/>
  <c r="K1338" i="12"/>
  <c r="K1402" i="12"/>
  <c r="K1466" i="12"/>
  <c r="K1530" i="12"/>
  <c r="K1594" i="12"/>
  <c r="K1658" i="12"/>
  <c r="K1722" i="12"/>
  <c r="K1786" i="12"/>
  <c r="K1850" i="12"/>
  <c r="K1914" i="12"/>
  <c r="K1978" i="12"/>
  <c r="K2042" i="12"/>
  <c r="K2106" i="12"/>
  <c r="K2170" i="12"/>
  <c r="K2234" i="12"/>
  <c r="K35" i="12"/>
  <c r="K99" i="12"/>
  <c r="K163" i="12"/>
  <c r="K227" i="12"/>
  <c r="K291" i="12"/>
  <c r="K355" i="12"/>
  <c r="K419" i="12"/>
  <c r="K483" i="12"/>
  <c r="K547" i="12"/>
  <c r="K611" i="12"/>
  <c r="K675" i="12"/>
  <c r="K739" i="12"/>
  <c r="K803" i="12"/>
  <c r="K867" i="12"/>
  <c r="K931" i="12"/>
  <c r="K995" i="12"/>
  <c r="K1059" i="12"/>
  <c r="K1123" i="12"/>
  <c r="K1187" i="12"/>
  <c r="K1251" i="12"/>
  <c r="K1315" i="12"/>
  <c r="K1379" i="12"/>
  <c r="K1443" i="12"/>
  <c r="K1507" i="12"/>
  <c r="K1571" i="12"/>
  <c r="K1635" i="12"/>
  <c r="K1699" i="12"/>
  <c r="K1763" i="12"/>
  <c r="K1827" i="12"/>
  <c r="K1891" i="12"/>
  <c r="K1955" i="12"/>
  <c r="K2019" i="12"/>
  <c r="K2083" i="12"/>
  <c r="K2147" i="12"/>
  <c r="K2211" i="12"/>
  <c r="K4" i="12"/>
  <c r="K68" i="12"/>
  <c r="K132" i="12"/>
  <c r="K196" i="12"/>
  <c r="K260" i="12"/>
  <c r="K324" i="12"/>
  <c r="K388" i="12"/>
  <c r="K452" i="12"/>
  <c r="K516" i="12"/>
  <c r="K580" i="12"/>
  <c r="K644" i="12"/>
  <c r="K708" i="12"/>
  <c r="K772" i="12"/>
  <c r="K836" i="12"/>
  <c r="K900" i="12"/>
  <c r="K964" i="12"/>
  <c r="K1028" i="12"/>
  <c r="K1092" i="12"/>
  <c r="K1156" i="12"/>
  <c r="K1220" i="12"/>
  <c r="K1284" i="12"/>
  <c r="K1348" i="12"/>
  <c r="K1412" i="12"/>
  <c r="K1476" i="12"/>
  <c r="K1540" i="12"/>
  <c r="K1604" i="12"/>
  <c r="K1668" i="12"/>
  <c r="K1732" i="12"/>
  <c r="K1796" i="12"/>
  <c r="K1860" i="12"/>
  <c r="K1924" i="12"/>
  <c r="K1988" i="12"/>
  <c r="K2052" i="12"/>
  <c r="K2116" i="12"/>
  <c r="K2180" i="12"/>
  <c r="K2244" i="12"/>
  <c r="K37" i="12"/>
  <c r="K101" i="12"/>
  <c r="K165" i="12"/>
  <c r="K229" i="12"/>
  <c r="K293" i="12"/>
  <c r="K357" i="12"/>
  <c r="K421" i="12"/>
  <c r="K485" i="12"/>
  <c r="K549" i="12"/>
  <c r="K613" i="12"/>
  <c r="K677" i="12"/>
  <c r="K741" i="12"/>
  <c r="K805" i="12"/>
  <c r="K869" i="12"/>
  <c r="K933" i="12"/>
  <c r="K997" i="12"/>
  <c r="K1061" i="12"/>
  <c r="K1125" i="12"/>
  <c r="K1189" i="12"/>
  <c r="K1253" i="12"/>
  <c r="K1317" i="12"/>
  <c r="K1381" i="12"/>
  <c r="K1445" i="12"/>
  <c r="K1509" i="12"/>
  <c r="K1573" i="12"/>
  <c r="K1637" i="12"/>
  <c r="K1701" i="12"/>
  <c r="K1765" i="12"/>
  <c r="K1829" i="12"/>
  <c r="K1893" i="12"/>
  <c r="K1957" i="12"/>
  <c r="K2021" i="12"/>
  <c r="K2085" i="12"/>
  <c r="K2149" i="12"/>
  <c r="K2213" i="12"/>
  <c r="K6" i="12"/>
  <c r="K70" i="12"/>
  <c r="K134" i="12"/>
  <c r="K198" i="12"/>
  <c r="K262" i="12"/>
  <c r="K326" i="12"/>
  <c r="K390" i="12"/>
  <c r="K454" i="12"/>
  <c r="K518" i="12"/>
  <c r="K582" i="12"/>
  <c r="K646" i="12"/>
  <c r="K710" i="12"/>
  <c r="K774" i="12"/>
  <c r="K838" i="12"/>
  <c r="K902" i="12"/>
  <c r="K966" i="12"/>
  <c r="K1030" i="12"/>
  <c r="K1094" i="12"/>
  <c r="K1158" i="12"/>
  <c r="K1222" i="12"/>
  <c r="K1286" i="12"/>
  <c r="K1350" i="12"/>
  <c r="K1414" i="12"/>
  <c r="K1478" i="12"/>
  <c r="K1542" i="12"/>
  <c r="K1606" i="12"/>
  <c r="K1670" i="12"/>
  <c r="K1734" i="12"/>
  <c r="K1798" i="12"/>
  <c r="K1862" i="12"/>
  <c r="K1926" i="12"/>
  <c r="K1990" i="12"/>
  <c r="K2054" i="12"/>
  <c r="K2118" i="12"/>
  <c r="K2182" i="12"/>
  <c r="K2246" i="12"/>
  <c r="K40" i="12"/>
  <c r="K104" i="12"/>
  <c r="K168" i="12"/>
  <c r="K232" i="12"/>
  <c r="K296" i="12"/>
  <c r="K360" i="12"/>
  <c r="K424" i="12"/>
  <c r="K488" i="12"/>
  <c r="K552" i="12"/>
  <c r="K616" i="12"/>
  <c r="K680" i="12"/>
  <c r="K744" i="12"/>
  <c r="K808" i="12"/>
  <c r="K872" i="12"/>
  <c r="K936" i="12"/>
  <c r="K1000" i="12"/>
  <c r="K1064" i="12"/>
  <c r="K1128" i="12"/>
  <c r="K1192" i="12"/>
  <c r="K1256" i="12"/>
  <c r="K1320" i="12"/>
  <c r="K1384" i="12"/>
  <c r="K1448" i="12"/>
  <c r="K1512" i="12"/>
  <c r="K1576" i="12"/>
  <c r="K1640" i="12"/>
  <c r="K1704" i="12"/>
  <c r="K1768" i="12"/>
  <c r="K1832" i="12"/>
  <c r="K1896" i="12"/>
  <c r="K1960" i="12"/>
  <c r="K2024" i="12"/>
  <c r="K2088" i="12"/>
  <c r="K2152" i="12"/>
  <c r="K2216" i="12"/>
  <c r="K63" i="12"/>
  <c r="K575" i="12"/>
  <c r="K1087" i="12"/>
  <c r="K1599" i="12"/>
  <c r="K2111" i="12"/>
  <c r="K2316" i="12"/>
  <c r="K2380" i="12"/>
  <c r="K2444" i="12"/>
  <c r="K2508" i="12"/>
  <c r="K2572" i="12"/>
  <c r="K2636" i="12"/>
  <c r="K2700" i="12"/>
  <c r="K2764" i="12"/>
  <c r="K2828" i="12"/>
  <c r="K2892" i="12"/>
  <c r="K2956" i="12"/>
  <c r="K3020" i="12"/>
  <c r="K3084" i="12"/>
  <c r="K263" i="12"/>
  <c r="K775" i="12"/>
  <c r="K1287" i="12"/>
  <c r="K1799" i="12"/>
  <c r="K2277" i="12"/>
  <c r="K2341" i="12"/>
  <c r="K2405" i="12"/>
  <c r="K2469" i="12"/>
  <c r="K2533" i="12"/>
  <c r="K2597" i="12"/>
  <c r="K2661" i="12"/>
  <c r="K2725" i="12"/>
  <c r="K2789" i="12"/>
  <c r="K2853" i="12"/>
  <c r="K2917" i="12"/>
  <c r="K2981" i="12"/>
  <c r="K3045" i="12"/>
  <c r="K3109" i="12"/>
  <c r="K463" i="12"/>
  <c r="K975" i="12"/>
  <c r="K1487" i="12"/>
  <c r="K1999" i="12"/>
  <c r="K2302" i="12"/>
  <c r="K2366" i="12"/>
  <c r="K2430" i="12"/>
  <c r="K2494" i="12"/>
  <c r="K2558" i="12"/>
  <c r="K2622" i="12"/>
  <c r="K2686" i="12"/>
  <c r="K2750" i="12"/>
  <c r="K2814" i="12"/>
  <c r="K2878" i="12"/>
  <c r="K2942" i="12"/>
  <c r="K3006" i="12"/>
  <c r="K3070" i="12"/>
  <c r="K151" i="12"/>
  <c r="K663" i="12"/>
  <c r="K1175" i="12"/>
  <c r="K1687" i="12"/>
  <c r="K2199" i="12"/>
  <c r="K2327" i="12"/>
  <c r="K2391" i="12"/>
  <c r="K2455" i="12"/>
  <c r="K2519" i="12"/>
  <c r="K2583" i="12"/>
  <c r="K2647" i="12"/>
  <c r="K2711" i="12"/>
  <c r="K2775" i="12"/>
  <c r="K2839" i="12"/>
  <c r="K2903" i="12"/>
  <c r="K2967" i="12"/>
  <c r="K3031" i="12"/>
  <c r="K3095" i="12"/>
  <c r="K351" i="12"/>
  <c r="K863" i="12"/>
  <c r="K1375" i="12"/>
  <c r="K1887" i="12"/>
  <c r="K2288" i="12"/>
  <c r="K2352" i="12"/>
  <c r="K2416" i="12"/>
  <c r="K2480" i="12"/>
  <c r="K2544" i="12"/>
  <c r="K2608" i="12"/>
  <c r="K2672" i="12"/>
  <c r="K2736" i="12"/>
  <c r="K2800" i="12"/>
  <c r="K2864" i="12"/>
  <c r="K2928" i="12"/>
  <c r="K2992" i="12"/>
  <c r="K3056" i="12"/>
  <c r="K39" i="12"/>
  <c r="K551" i="12"/>
  <c r="K1063" i="12"/>
  <c r="K1575" i="12"/>
  <c r="K2087" i="12"/>
  <c r="K2313" i="12"/>
  <c r="K2377" i="12"/>
  <c r="K2441" i="12"/>
  <c r="K2505" i="12"/>
  <c r="K2569" i="12"/>
  <c r="K2633" i="12"/>
  <c r="K2697" i="12"/>
  <c r="K2761" i="12"/>
  <c r="K2825" i="12"/>
  <c r="K2889" i="12"/>
  <c r="K2953" i="12"/>
  <c r="K3017" i="12"/>
  <c r="K3081" i="12"/>
  <c r="K247" i="12"/>
  <c r="K759" i="12"/>
  <c r="K1271" i="12"/>
  <c r="K1783" i="12"/>
  <c r="K2275" i="12"/>
  <c r="K2339" i="12"/>
  <c r="K2403" i="12"/>
  <c r="K2467" i="12"/>
  <c r="K2531" i="12"/>
  <c r="K2595" i="12"/>
  <c r="K2659" i="12"/>
  <c r="K2723" i="12"/>
  <c r="K2787" i="12"/>
  <c r="K2851" i="12"/>
  <c r="K2915" i="12"/>
  <c r="K2979" i="12"/>
  <c r="K3043" i="12"/>
  <c r="K3107" i="12"/>
  <c r="K2450" i="12"/>
  <c r="K2962" i="12"/>
  <c r="K2330" i="12"/>
  <c r="K2842" i="12"/>
  <c r="K1775" i="12"/>
  <c r="K2722" i="12"/>
  <c r="K815" i="12"/>
  <c r="K2602" i="12"/>
  <c r="K2490" i="12"/>
  <c r="K3002" i="12"/>
  <c r="K2434" i="12"/>
  <c r="K2946" i="12"/>
  <c r="K2095" i="12"/>
  <c r="K3058" i="12"/>
  <c r="K2610" i="12"/>
  <c r="K2674" i="12"/>
  <c r="K193" i="12"/>
  <c r="K449" i="12"/>
  <c r="K769" i="12"/>
  <c r="K1089" i="12"/>
  <c r="K1409" i="12"/>
  <c r="K1793" i="12"/>
  <c r="K2113" i="12"/>
  <c r="K170" i="12"/>
  <c r="K490" i="12"/>
  <c r="K810" i="12"/>
  <c r="K1130" i="12"/>
  <c r="K1450" i="12"/>
  <c r="K1834" i="12"/>
  <c r="K2090" i="12"/>
  <c r="K211" i="12"/>
  <c r="K595" i="12"/>
  <c r="K979" i="12"/>
  <c r="K1363" i="12"/>
  <c r="K1747" i="12"/>
  <c r="K2131" i="12"/>
  <c r="K180" i="12"/>
  <c r="K564" i="12"/>
  <c r="K948" i="12"/>
  <c r="K1332" i="12"/>
  <c r="K1652" i="12"/>
  <c r="K1908" i="12"/>
  <c r="K2164" i="12"/>
  <c r="K277" i="12"/>
  <c r="K661" i="12"/>
  <c r="K1045" i="12"/>
  <c r="K1365" i="12"/>
  <c r="K1685" i="12"/>
  <c r="K2133" i="12"/>
  <c r="K310" i="12"/>
  <c r="K758" i="12"/>
  <c r="K1142" i="12"/>
  <c r="K1590" i="12"/>
  <c r="K1910" i="12"/>
  <c r="K2166" i="12"/>
  <c r="K280" i="12"/>
  <c r="K664" i="12"/>
  <c r="K1048" i="12"/>
  <c r="K1432" i="12"/>
  <c r="K1816" i="12"/>
  <c r="K2200" i="12"/>
  <c r="K1983" i="12"/>
  <c r="K2620" i="12"/>
  <c r="K3068" i="12"/>
  <c r="K2325" i="12"/>
  <c r="K2645" i="12"/>
  <c r="K3029" i="12"/>
  <c r="K2286" i="12"/>
  <c r="K2606" i="12"/>
  <c r="K2990" i="12"/>
  <c r="K2071" i="12"/>
  <c r="K2631" i="12"/>
  <c r="K3079" i="12"/>
  <c r="K2336" i="12"/>
  <c r="K2656" i="12"/>
  <c r="K2976" i="12"/>
  <c r="K1959" i="12"/>
  <c r="K2617" i="12"/>
  <c r="K3001" i="12"/>
  <c r="K2167" i="12"/>
  <c r="K2515" i="12"/>
  <c r="K2835" i="12"/>
  <c r="K2322" i="12"/>
  <c r="K2594" i="12"/>
  <c r="K2874" i="12"/>
  <c r="K1391" i="12"/>
  <c r="K25" i="12"/>
  <c r="K89" i="12"/>
  <c r="K153" i="12"/>
  <c r="K217" i="12"/>
  <c r="K281" i="12"/>
  <c r="K345" i="12"/>
  <c r="K409" i="12"/>
  <c r="K473" i="12"/>
  <c r="K537" i="12"/>
  <c r="K601" i="12"/>
  <c r="K665" i="12"/>
  <c r="K729" i="12"/>
  <c r="K793" i="12"/>
  <c r="K857" i="12"/>
  <c r="K921" i="12"/>
  <c r="K985" i="12"/>
  <c r="K1049" i="12"/>
  <c r="K1113" i="12"/>
  <c r="K1177" i="12"/>
  <c r="K1241" i="12"/>
  <c r="K1305" i="12"/>
  <c r="K1369" i="12"/>
  <c r="K1433" i="12"/>
  <c r="K1497" i="12"/>
  <c r="K1561" i="12"/>
  <c r="K1625" i="12"/>
  <c r="K1689" i="12"/>
  <c r="K1753" i="12"/>
  <c r="K1817" i="12"/>
  <c r="K1881" i="12"/>
  <c r="K1945" i="12"/>
  <c r="K2009" i="12"/>
  <c r="K2073" i="12"/>
  <c r="K2137" i="12"/>
  <c r="K2201" i="12"/>
  <c r="K2265" i="12"/>
  <c r="K66" i="12"/>
  <c r="K130" i="12"/>
  <c r="K194" i="12"/>
  <c r="K258" i="12"/>
  <c r="K322" i="12"/>
  <c r="K386" i="12"/>
  <c r="K450" i="12"/>
  <c r="K514" i="12"/>
  <c r="K578" i="12"/>
  <c r="K642" i="12"/>
  <c r="K706" i="12"/>
  <c r="K770" i="12"/>
  <c r="K834" i="12"/>
  <c r="K898" i="12"/>
  <c r="K962" i="12"/>
  <c r="K1026" i="12"/>
  <c r="K1090" i="12"/>
  <c r="K1154" i="12"/>
  <c r="K1218" i="12"/>
  <c r="K1282" i="12"/>
  <c r="K1346" i="12"/>
  <c r="K1410" i="12"/>
  <c r="K1474" i="12"/>
  <c r="K1538" i="12"/>
  <c r="K1602" i="12"/>
  <c r="K1666" i="12"/>
  <c r="K1730" i="12"/>
  <c r="K1794" i="12"/>
  <c r="K1858" i="12"/>
  <c r="K1922" i="12"/>
  <c r="K1986" i="12"/>
  <c r="K2050" i="12"/>
  <c r="K2114" i="12"/>
  <c r="K2178" i="12"/>
  <c r="K2242" i="12"/>
  <c r="K43" i="12"/>
  <c r="K107" i="12"/>
  <c r="K171" i="12"/>
  <c r="K235" i="12"/>
  <c r="K299" i="12"/>
  <c r="K363" i="12"/>
  <c r="K427" i="12"/>
  <c r="K491" i="12"/>
  <c r="K555" i="12"/>
  <c r="K619" i="12"/>
  <c r="K683" i="12"/>
  <c r="K747" i="12"/>
  <c r="K811" i="12"/>
  <c r="K875" i="12"/>
  <c r="K939" i="12"/>
  <c r="K1003" i="12"/>
  <c r="K1067" i="12"/>
  <c r="K1131" i="12"/>
  <c r="K1195" i="12"/>
  <c r="K1259" i="12"/>
  <c r="K1323" i="12"/>
  <c r="K1387" i="12"/>
  <c r="K1451" i="12"/>
  <c r="K1515" i="12"/>
  <c r="K1579" i="12"/>
  <c r="K1643" i="12"/>
  <c r="K1707" i="12"/>
  <c r="K1771" i="12"/>
  <c r="K1835" i="12"/>
  <c r="K1899" i="12"/>
  <c r="K1963" i="12"/>
  <c r="K2027" i="12"/>
  <c r="K2091" i="12"/>
  <c r="K2155" i="12"/>
  <c r="K2219" i="12"/>
  <c r="K12" i="12"/>
  <c r="K76" i="12"/>
  <c r="K140" i="12"/>
  <c r="K204" i="12"/>
  <c r="K268" i="12"/>
  <c r="K332" i="12"/>
  <c r="K396" i="12"/>
  <c r="K460" i="12"/>
  <c r="K524" i="12"/>
  <c r="K588" i="12"/>
  <c r="K652" i="12"/>
  <c r="K716" i="12"/>
  <c r="K780" i="12"/>
  <c r="K844" i="12"/>
  <c r="K908" i="12"/>
  <c r="K972" i="12"/>
  <c r="K1036" i="12"/>
  <c r="K1100" i="12"/>
  <c r="K1164" i="12"/>
  <c r="K1228" i="12"/>
  <c r="K1292" i="12"/>
  <c r="K1356" i="12"/>
  <c r="K1420" i="12"/>
  <c r="K1484" i="12"/>
  <c r="K1548" i="12"/>
  <c r="K1612" i="12"/>
  <c r="K1676" i="12"/>
  <c r="K1740" i="12"/>
  <c r="K1804" i="12"/>
  <c r="K1868" i="12"/>
  <c r="K1932" i="12"/>
  <c r="K1996" i="12"/>
  <c r="K2060" i="12"/>
  <c r="K2124" i="12"/>
  <c r="K2188" i="12"/>
  <c r="K2252" i="12"/>
  <c r="K45" i="12"/>
  <c r="K109" i="12"/>
  <c r="K173" i="12"/>
  <c r="K237" i="12"/>
  <c r="K301" i="12"/>
  <c r="K365" i="12"/>
  <c r="K429" i="12"/>
  <c r="K493" i="12"/>
  <c r="K557" i="12"/>
  <c r="K621" i="12"/>
  <c r="K685" i="12"/>
  <c r="K749" i="12"/>
  <c r="K813" i="12"/>
  <c r="K877" i="12"/>
  <c r="K941" i="12"/>
  <c r="K1005" i="12"/>
  <c r="K1069" i="12"/>
  <c r="K1133" i="12"/>
  <c r="K1197" i="12"/>
  <c r="K1261" i="12"/>
  <c r="K1325" i="12"/>
  <c r="K1389" i="12"/>
  <c r="K1453" i="12"/>
  <c r="K1517" i="12"/>
  <c r="K1581" i="12"/>
  <c r="K1645" i="12"/>
  <c r="K1709" i="12"/>
  <c r="K1773" i="12"/>
  <c r="K1837" i="12"/>
  <c r="K1901" i="12"/>
  <c r="K1965" i="12"/>
  <c r="K2029" i="12"/>
  <c r="K2093" i="12"/>
  <c r="K2157" i="12"/>
  <c r="K2221" i="12"/>
  <c r="K14" i="12"/>
  <c r="K78" i="12"/>
  <c r="K142" i="12"/>
  <c r="K206" i="12"/>
  <c r="K270" i="12"/>
  <c r="K334" i="12"/>
  <c r="K398" i="12"/>
  <c r="K462" i="12"/>
  <c r="K526" i="12"/>
  <c r="K590" i="12"/>
  <c r="K654" i="12"/>
  <c r="K718" i="12"/>
  <c r="K782" i="12"/>
  <c r="K846" i="12"/>
  <c r="K910" i="12"/>
  <c r="K974" i="12"/>
  <c r="K1038" i="12"/>
  <c r="K1102" i="12"/>
  <c r="K1166" i="12"/>
  <c r="K1230" i="12"/>
  <c r="K1294" i="12"/>
  <c r="K1358" i="12"/>
  <c r="K1422" i="12"/>
  <c r="K1486" i="12"/>
  <c r="K1550" i="12"/>
  <c r="K1614" i="12"/>
  <c r="K1678" i="12"/>
  <c r="K1742" i="12"/>
  <c r="K1806" i="12"/>
  <c r="K1870" i="12"/>
  <c r="K1934" i="12"/>
  <c r="K1998" i="12"/>
  <c r="K2062" i="12"/>
  <c r="K2126" i="12"/>
  <c r="K2190" i="12"/>
  <c r="K2254" i="12"/>
  <c r="K48" i="12"/>
  <c r="K112" i="12"/>
  <c r="K176" i="12"/>
  <c r="K240" i="12"/>
  <c r="K304" i="12"/>
  <c r="K368" i="12"/>
  <c r="K432" i="12"/>
  <c r="K496" i="12"/>
  <c r="K560" i="12"/>
  <c r="K624" i="12"/>
  <c r="K688" i="12"/>
  <c r="K752" i="12"/>
  <c r="K816" i="12"/>
  <c r="K880" i="12"/>
  <c r="K944" i="12"/>
  <c r="K1008" i="12"/>
  <c r="K1072" i="12"/>
  <c r="K1136" i="12"/>
  <c r="K1200" i="12"/>
  <c r="K1264" i="12"/>
  <c r="K1328" i="12"/>
  <c r="K1392" i="12"/>
  <c r="K1456" i="12"/>
  <c r="K1520" i="12"/>
  <c r="K1584" i="12"/>
  <c r="K1648" i="12"/>
  <c r="K1712" i="12"/>
  <c r="K1776" i="12"/>
  <c r="K1840" i="12"/>
  <c r="K1904" i="12"/>
  <c r="K1968" i="12"/>
  <c r="K2032" i="12"/>
  <c r="K2096" i="12"/>
  <c r="K2160" i="12"/>
  <c r="K2224" i="12"/>
  <c r="K127" i="12"/>
  <c r="K639" i="12"/>
  <c r="K1151" i="12"/>
  <c r="K1663" i="12"/>
  <c r="K2175" i="12"/>
  <c r="K2324" i="12"/>
  <c r="K2388" i="12"/>
  <c r="K2452" i="12"/>
  <c r="K2516" i="12"/>
  <c r="K2580" i="12"/>
  <c r="K2644" i="12"/>
  <c r="K2708" i="12"/>
  <c r="K2772" i="12"/>
  <c r="K2836" i="12"/>
  <c r="K2900" i="12"/>
  <c r="K2964" i="12"/>
  <c r="K3028" i="12"/>
  <c r="K3092" i="12"/>
  <c r="K327" i="12"/>
  <c r="K839" i="12"/>
  <c r="K1351" i="12"/>
  <c r="K1863" i="12"/>
  <c r="K2285" i="12"/>
  <c r="K2349" i="12"/>
  <c r="K2413" i="12"/>
  <c r="K2477" i="12"/>
  <c r="K2541" i="12"/>
  <c r="K2605" i="12"/>
  <c r="K2669" i="12"/>
  <c r="K2733" i="12"/>
  <c r="K2797" i="12"/>
  <c r="K2861" i="12"/>
  <c r="K2925" i="12"/>
  <c r="K2989" i="12"/>
  <c r="K3053" i="12"/>
  <c r="K15" i="12"/>
  <c r="K527" i="12"/>
  <c r="K1039" i="12"/>
  <c r="K1551" i="12"/>
  <c r="K2063" i="12"/>
  <c r="K2310" i="12"/>
  <c r="K2374" i="12"/>
  <c r="K2438" i="12"/>
  <c r="K2502" i="12"/>
  <c r="K2566" i="12"/>
  <c r="K2630" i="12"/>
  <c r="K2694" i="12"/>
  <c r="K2758" i="12"/>
  <c r="K2822" i="12"/>
  <c r="K2886" i="12"/>
  <c r="K2950" i="12"/>
  <c r="K3014" i="12"/>
  <c r="K3078" i="12"/>
  <c r="K215" i="12"/>
  <c r="K727" i="12"/>
  <c r="K1239" i="12"/>
  <c r="K1751" i="12"/>
  <c r="K2263" i="12"/>
  <c r="K2335" i="12"/>
  <c r="K2399" i="12"/>
  <c r="K2463" i="12"/>
  <c r="K2527" i="12"/>
  <c r="K2591" i="12"/>
  <c r="K2655" i="12"/>
  <c r="K2719" i="12"/>
  <c r="K2783" i="12"/>
  <c r="K2847" i="12"/>
  <c r="K2911" i="12"/>
  <c r="K2975" i="12"/>
  <c r="K3039" i="12"/>
  <c r="K3103" i="12"/>
  <c r="K415" i="12"/>
  <c r="K927" i="12"/>
  <c r="K1439" i="12"/>
  <c r="K1951" i="12"/>
  <c r="K2296" i="12"/>
  <c r="K2360" i="12"/>
  <c r="K2424" i="12"/>
  <c r="K2488" i="12"/>
  <c r="K2552" i="12"/>
  <c r="K2616" i="12"/>
  <c r="K2680" i="12"/>
  <c r="K2744" i="12"/>
  <c r="K2808" i="12"/>
  <c r="K2872" i="12"/>
  <c r="K2936" i="12"/>
  <c r="K3000" i="12"/>
  <c r="K3064" i="12"/>
  <c r="K103" i="12"/>
  <c r="K615" i="12"/>
  <c r="K1127" i="12"/>
  <c r="K1639" i="12"/>
  <c r="K2151" i="12"/>
  <c r="K2321" i="12"/>
  <c r="K2385" i="12"/>
  <c r="K2449" i="12"/>
  <c r="K2513" i="12"/>
  <c r="K2577" i="12"/>
  <c r="K2641" i="12"/>
  <c r="K2705" i="12"/>
  <c r="K2769" i="12"/>
  <c r="K2833" i="12"/>
  <c r="K2897" i="12"/>
  <c r="K2961" i="12"/>
  <c r="K3025" i="12"/>
  <c r="K3089" i="12"/>
  <c r="K311" i="12"/>
  <c r="K823" i="12"/>
  <c r="K1335" i="12"/>
  <c r="K1847" i="12"/>
  <c r="K2283" i="12"/>
  <c r="K2347" i="12"/>
  <c r="K2411" i="12"/>
  <c r="K2475" i="12"/>
  <c r="K2539" i="12"/>
  <c r="K2603" i="12"/>
  <c r="K2667" i="12"/>
  <c r="K2731" i="12"/>
  <c r="K2795" i="12"/>
  <c r="K2859" i="12"/>
  <c r="K2923" i="12"/>
  <c r="K2987" i="12"/>
  <c r="K3051" i="12"/>
  <c r="K111" i="12"/>
  <c r="K2514" i="12"/>
  <c r="K3026" i="12"/>
  <c r="K2394" i="12"/>
  <c r="K2906" i="12"/>
  <c r="K2274" i="12"/>
  <c r="K2786" i="12"/>
  <c r="K1327" i="12"/>
  <c r="K2666" i="12"/>
  <c r="K431" i="12"/>
  <c r="K2554" i="12"/>
  <c r="K3066" i="12"/>
  <c r="K2498" i="12"/>
  <c r="K3010" i="12"/>
  <c r="K2506" i="12"/>
  <c r="K559" i="12"/>
  <c r="K2866" i="12"/>
  <c r="K2930" i="12"/>
  <c r="K33" i="12"/>
  <c r="K97" i="12"/>
  <c r="K161" i="12"/>
  <c r="K225" i="12"/>
  <c r="K289" i="12"/>
  <c r="K353" i="12"/>
  <c r="K417" i="12"/>
  <c r="K481" i="12"/>
  <c r="K545" i="12"/>
  <c r="K609" i="12"/>
  <c r="K673" i="12"/>
  <c r="K737" i="12"/>
  <c r="K801" i="12"/>
  <c r="K865" i="12"/>
  <c r="K929" i="12"/>
  <c r="K993" i="12"/>
  <c r="K1057" i="12"/>
  <c r="K1121" i="12"/>
  <c r="K1185" i="12"/>
  <c r="K1249" i="12"/>
  <c r="K1313" i="12"/>
  <c r="K1377" i="12"/>
  <c r="K1441" i="12"/>
  <c r="K1505" i="12"/>
  <c r="K1569" i="12"/>
  <c r="K1633" i="12"/>
  <c r="K1697" i="12"/>
  <c r="K1761" i="12"/>
  <c r="K1825" i="12"/>
  <c r="K1889" i="12"/>
  <c r="K1953" i="12"/>
  <c r="K2017" i="12"/>
  <c r="K2081" i="12"/>
  <c r="K2145" i="12"/>
  <c r="K2209" i="12"/>
  <c r="K10" i="12"/>
  <c r="K74" i="12"/>
  <c r="K138" i="12"/>
  <c r="K202" i="12"/>
  <c r="K266" i="12"/>
  <c r="K330" i="12"/>
  <c r="K394" i="12"/>
  <c r="K458" i="12"/>
  <c r="K522" i="12"/>
  <c r="K586" i="12"/>
  <c r="K650" i="12"/>
  <c r="K714" i="12"/>
  <c r="K778" i="12"/>
  <c r="K842" i="12"/>
  <c r="K906" i="12"/>
  <c r="K970" i="12"/>
  <c r="K1034" i="12"/>
  <c r="K1098" i="12"/>
  <c r="K1162" i="12"/>
  <c r="K1226" i="12"/>
  <c r="K1290" i="12"/>
  <c r="K1354" i="12"/>
  <c r="K1418" i="12"/>
  <c r="K1482" i="12"/>
  <c r="K1546" i="12"/>
  <c r="K1610" i="12"/>
  <c r="K1674" i="12"/>
  <c r="K1738" i="12"/>
  <c r="K1802" i="12"/>
  <c r="K1866" i="12"/>
  <c r="K1930" i="12"/>
  <c r="K1994" i="12"/>
  <c r="K2058" i="12"/>
  <c r="K2122" i="12"/>
  <c r="K2186" i="12"/>
  <c r="K2250" i="12"/>
  <c r="K51" i="12"/>
  <c r="K115" i="12"/>
  <c r="K179" i="12"/>
  <c r="K243" i="12"/>
  <c r="K307" i="12"/>
  <c r="K371" i="12"/>
  <c r="K435" i="12"/>
  <c r="K499" i="12"/>
  <c r="K563" i="12"/>
  <c r="K627" i="12"/>
  <c r="K691" i="12"/>
  <c r="K755" i="12"/>
  <c r="K819" i="12"/>
  <c r="K883" i="12"/>
  <c r="K947" i="12"/>
  <c r="K1011" i="12"/>
  <c r="K1075" i="12"/>
  <c r="K1139" i="12"/>
  <c r="K1203" i="12"/>
  <c r="K1267" i="12"/>
  <c r="K1331" i="12"/>
  <c r="K1395" i="12"/>
  <c r="K1459" i="12"/>
  <c r="K1523" i="12"/>
  <c r="K1587" i="12"/>
  <c r="K1651" i="12"/>
  <c r="K1715" i="12"/>
  <c r="K1779" i="12"/>
  <c r="K1843" i="12"/>
  <c r="K1907" i="12"/>
  <c r="K1971" i="12"/>
  <c r="K2035" i="12"/>
  <c r="K2099" i="12"/>
  <c r="K2163" i="12"/>
  <c r="K2227" i="12"/>
  <c r="K20" i="12"/>
  <c r="K84" i="12"/>
  <c r="K148" i="12"/>
  <c r="K212" i="12"/>
  <c r="K276" i="12"/>
  <c r="K340" i="12"/>
  <c r="K404" i="12"/>
  <c r="K468" i="12"/>
  <c r="K532" i="12"/>
  <c r="K596" i="12"/>
  <c r="K660" i="12"/>
  <c r="K724" i="12"/>
  <c r="K788" i="12"/>
  <c r="K852" i="12"/>
  <c r="K916" i="12"/>
  <c r="K980" i="12"/>
  <c r="K1044" i="12"/>
  <c r="K1108" i="12"/>
  <c r="K1172" i="12"/>
  <c r="K1236" i="12"/>
  <c r="K1300" i="12"/>
  <c r="K1364" i="12"/>
  <c r="K1428" i="12"/>
  <c r="K1492" i="12"/>
  <c r="K1556" i="12"/>
  <c r="K1620" i="12"/>
  <c r="K1684" i="12"/>
  <c r="K1748" i="12"/>
  <c r="K1812" i="12"/>
  <c r="K1876" i="12"/>
  <c r="K1940" i="12"/>
  <c r="K2004" i="12"/>
  <c r="K2068" i="12"/>
  <c r="K2132" i="12"/>
  <c r="K2196" i="12"/>
  <c r="K2260" i="12"/>
  <c r="K53" i="12"/>
  <c r="K117" i="12"/>
  <c r="K181" i="12"/>
  <c r="K245" i="12"/>
  <c r="K309" i="12"/>
  <c r="K373" i="12"/>
  <c r="K437" i="12"/>
  <c r="K501" i="12"/>
  <c r="K565" i="12"/>
  <c r="K629" i="12"/>
  <c r="K693" i="12"/>
  <c r="K757" i="12"/>
  <c r="K821" i="12"/>
  <c r="K885" i="12"/>
  <c r="K949" i="12"/>
  <c r="K1013" i="12"/>
  <c r="K1077" i="12"/>
  <c r="K1141" i="12"/>
  <c r="K1205" i="12"/>
  <c r="K1269" i="12"/>
  <c r="K1333" i="12"/>
  <c r="K1397" i="12"/>
  <c r="K1461" i="12"/>
  <c r="K1525" i="12"/>
  <c r="K1589" i="12"/>
  <c r="K1653" i="12"/>
  <c r="K1717" i="12"/>
  <c r="K1781" i="12"/>
  <c r="K1845" i="12"/>
  <c r="K1909" i="12"/>
  <c r="K1973" i="12"/>
  <c r="K2037" i="12"/>
  <c r="K2101" i="12"/>
  <c r="K2165" i="12"/>
  <c r="K2229" i="12"/>
  <c r="K22" i="12"/>
  <c r="K86" i="12"/>
  <c r="K150" i="12"/>
  <c r="K214" i="12"/>
  <c r="K278" i="12"/>
  <c r="K342" i="12"/>
  <c r="K406" i="12"/>
  <c r="K470" i="12"/>
  <c r="K534" i="12"/>
  <c r="K598" i="12"/>
  <c r="K662" i="12"/>
  <c r="K726" i="12"/>
  <c r="K790" i="12"/>
  <c r="K854" i="12"/>
  <c r="K918" i="12"/>
  <c r="K982" i="12"/>
  <c r="K1046" i="12"/>
  <c r="K1110" i="12"/>
  <c r="K1174" i="12"/>
  <c r="K1238" i="12"/>
  <c r="K1302" i="12"/>
  <c r="K1366" i="12"/>
  <c r="K1430" i="12"/>
  <c r="K1494" i="12"/>
  <c r="K1558" i="12"/>
  <c r="K1622" i="12"/>
  <c r="K1686" i="12"/>
  <c r="K1750" i="12"/>
  <c r="K1814" i="12"/>
  <c r="K1878" i="12"/>
  <c r="K1942" i="12"/>
  <c r="K2006" i="12"/>
  <c r="K2070" i="12"/>
  <c r="K2134" i="12"/>
  <c r="K2198" i="12"/>
  <c r="K2262" i="12"/>
  <c r="K56" i="12"/>
  <c r="K120" i="12"/>
  <c r="K184" i="12"/>
  <c r="K248" i="12"/>
  <c r="K312" i="12"/>
  <c r="K376" i="12"/>
  <c r="K440" i="12"/>
  <c r="K504" i="12"/>
  <c r="K568" i="12"/>
  <c r="K632" i="12"/>
  <c r="K696" i="12"/>
  <c r="K760" i="12"/>
  <c r="K824" i="12"/>
  <c r="K888" i="12"/>
  <c r="K952" i="12"/>
  <c r="K1016" i="12"/>
  <c r="K1080" i="12"/>
  <c r="K1144" i="12"/>
  <c r="K1208" i="12"/>
  <c r="K1272" i="12"/>
  <c r="K1336" i="12"/>
  <c r="K1400" i="12"/>
  <c r="K1464" i="12"/>
  <c r="K1528" i="12"/>
  <c r="K1592" i="12"/>
  <c r="K1656" i="12"/>
  <c r="K1720" i="12"/>
  <c r="K1784" i="12"/>
  <c r="K1848" i="12"/>
  <c r="K1912" i="12"/>
  <c r="K1976" i="12"/>
  <c r="K2040" i="12"/>
  <c r="K2104" i="12"/>
  <c r="K2168" i="12"/>
  <c r="K2232" i="12"/>
  <c r="K191" i="12"/>
  <c r="K703" i="12"/>
  <c r="K1215" i="12"/>
  <c r="K1727" i="12"/>
  <c r="K2239" i="12"/>
  <c r="K2332" i="12"/>
  <c r="K2396" i="12"/>
  <c r="K2460" i="12"/>
  <c r="K2524" i="12"/>
  <c r="K2588" i="12"/>
  <c r="K2652" i="12"/>
  <c r="K2716" i="12"/>
  <c r="K2780" i="12"/>
  <c r="K2844" i="12"/>
  <c r="K2908" i="12"/>
  <c r="K2972" i="12"/>
  <c r="K3036" i="12"/>
  <c r="K3100" i="12"/>
  <c r="K391" i="12"/>
  <c r="K903" i="12"/>
  <c r="K1415" i="12"/>
  <c r="K1927" i="12"/>
  <c r="K2293" i="12"/>
  <c r="K2357" i="12"/>
  <c r="K2421" i="12"/>
  <c r="K2485" i="12"/>
  <c r="K2549" i="12"/>
  <c r="K2613" i="12"/>
  <c r="K2677" i="12"/>
  <c r="K2741" i="12"/>
  <c r="K2805" i="12"/>
  <c r="K2869" i="12"/>
  <c r="K2933" i="12"/>
  <c r="K2997" i="12"/>
  <c r="K3061" i="12"/>
  <c r="K79" i="12"/>
  <c r="K591" i="12"/>
  <c r="K1103" i="12"/>
  <c r="K1615" i="12"/>
  <c r="K2127" i="12"/>
  <c r="K2318" i="12"/>
  <c r="K2382" i="12"/>
  <c r="K2446" i="12"/>
  <c r="K2510" i="12"/>
  <c r="K2574" i="12"/>
  <c r="K2638" i="12"/>
  <c r="K2702" i="12"/>
  <c r="K2766" i="12"/>
  <c r="K2830" i="12"/>
  <c r="K2894" i="12"/>
  <c r="K2958" i="12"/>
  <c r="K3022" i="12"/>
  <c r="K3086" i="12"/>
  <c r="K279" i="12"/>
  <c r="K791" i="12"/>
  <c r="K1303" i="12"/>
  <c r="K1815" i="12"/>
  <c r="K2279" i="12"/>
  <c r="K2343" i="12"/>
  <c r="K2407" i="12"/>
  <c r="K2471" i="12"/>
  <c r="K2535" i="12"/>
  <c r="K2599" i="12"/>
  <c r="K2663" i="12"/>
  <c r="K2727" i="12"/>
  <c r="K2791" i="12"/>
  <c r="K2855" i="12"/>
  <c r="K2919" i="12"/>
  <c r="K2983" i="12"/>
  <c r="K3047" i="12"/>
  <c r="K3111" i="12"/>
  <c r="K479" i="12"/>
  <c r="K991" i="12"/>
  <c r="K1503" i="12"/>
  <c r="K2015" i="12"/>
  <c r="K2304" i="12"/>
  <c r="K2368" i="12"/>
  <c r="K2432" i="12"/>
  <c r="K2496" i="12"/>
  <c r="K2560" i="12"/>
  <c r="K2624" i="12"/>
  <c r="K2688" i="12"/>
  <c r="K2752" i="12"/>
  <c r="K2816" i="12"/>
  <c r="K2880" i="12"/>
  <c r="K2944" i="12"/>
  <c r="K3008" i="12"/>
  <c r="K3072" i="12"/>
  <c r="K167" i="12"/>
  <c r="K679" i="12"/>
  <c r="K1191" i="12"/>
  <c r="K1703" i="12"/>
  <c r="K2215" i="12"/>
  <c r="K2329" i="12"/>
  <c r="K2393" i="12"/>
  <c r="K2457" i="12"/>
  <c r="K2521" i="12"/>
  <c r="K2585" i="12"/>
  <c r="K2649" i="12"/>
  <c r="K2713" i="12"/>
  <c r="K2777" i="12"/>
  <c r="K2841" i="12"/>
  <c r="K2905" i="12"/>
  <c r="K2969" i="12"/>
  <c r="K3033" i="12"/>
  <c r="K3097" i="12"/>
  <c r="K375" i="12"/>
  <c r="K887" i="12"/>
  <c r="K1399" i="12"/>
  <c r="K1911" i="12"/>
  <c r="K2291" i="12"/>
  <c r="K2355" i="12"/>
  <c r="K2419" i="12"/>
  <c r="K2483" i="12"/>
  <c r="K2547" i="12"/>
  <c r="K2611" i="12"/>
  <c r="K2675" i="12"/>
  <c r="K2739" i="12"/>
  <c r="K2803" i="12"/>
  <c r="K2867" i="12"/>
  <c r="K2931" i="12"/>
  <c r="K2995" i="12"/>
  <c r="K3059" i="12"/>
  <c r="K623" i="12"/>
  <c r="K2578" i="12"/>
  <c r="K3090" i="12"/>
  <c r="K2458" i="12"/>
  <c r="K2970" i="12"/>
  <c r="K2338" i="12"/>
  <c r="K2850" i="12"/>
  <c r="K1839" i="12"/>
  <c r="K2730" i="12"/>
  <c r="K2618" i="12"/>
  <c r="K495" i="12"/>
  <c r="K2562" i="12"/>
  <c r="K3074" i="12"/>
  <c r="K2762" i="12"/>
  <c r="K2314" i="12"/>
  <c r="K1071" i="12"/>
  <c r="K2442" i="12"/>
  <c r="K321" i="12"/>
  <c r="K705" i="12"/>
  <c r="K961" i="12"/>
  <c r="K1281" i="12"/>
  <c r="K1601" i="12"/>
  <c r="K1985" i="12"/>
  <c r="K2241" i="12"/>
  <c r="K298" i="12"/>
  <c r="K682" i="12"/>
  <c r="K1002" i="12"/>
  <c r="K1258" i="12"/>
  <c r="K1642" i="12"/>
  <c r="K1962" i="12"/>
  <c r="K83" i="12"/>
  <c r="K467" i="12"/>
  <c r="K851" i="12"/>
  <c r="K1171" i="12"/>
  <c r="K1491" i="12"/>
  <c r="K1875" i="12"/>
  <c r="K2259" i="12"/>
  <c r="K372" i="12"/>
  <c r="K820" i="12"/>
  <c r="K1140" i="12"/>
  <c r="K1588" i="12"/>
  <c r="K2036" i="12"/>
  <c r="K149" i="12"/>
  <c r="K469" i="12"/>
  <c r="K853" i="12"/>
  <c r="K1237" i="12"/>
  <c r="K1621" i="12"/>
  <c r="K1941" i="12"/>
  <c r="K2261" i="12"/>
  <c r="K374" i="12"/>
  <c r="K694" i="12"/>
  <c r="K1014" i="12"/>
  <c r="K1334" i="12"/>
  <c r="K1654" i="12"/>
  <c r="K2038" i="12"/>
  <c r="K88" i="12"/>
  <c r="K472" i="12"/>
  <c r="K856" i="12"/>
  <c r="K1240" i="12"/>
  <c r="K1624" i="12"/>
  <c r="K1944" i="12"/>
  <c r="K447" i="12"/>
  <c r="K2428" i="12"/>
  <c r="K2812" i="12"/>
  <c r="K647" i="12"/>
  <c r="K2389" i="12"/>
  <c r="K2773" i="12"/>
  <c r="K335" i="12"/>
  <c r="K2350" i="12"/>
  <c r="K2734" i="12"/>
  <c r="K535" i="12"/>
  <c r="K2439" i="12"/>
  <c r="K2887" i="12"/>
  <c r="K1247" i="12"/>
  <c r="K2464" i="12"/>
  <c r="K2848" i="12"/>
  <c r="K935" i="12"/>
  <c r="K2489" i="12"/>
  <c r="K2937" i="12"/>
  <c r="K1655" i="12"/>
  <c r="K2579" i="12"/>
  <c r="K2899" i="12"/>
  <c r="K1711" i="12"/>
  <c r="K2986" i="12"/>
  <c r="K2546" i="12"/>
  <c r="K41" i="12"/>
  <c r="K105" i="12"/>
  <c r="K169" i="12"/>
  <c r="K233" i="12"/>
  <c r="K297" i="12"/>
  <c r="K361" i="12"/>
  <c r="K425" i="12"/>
  <c r="K489" i="12"/>
  <c r="K553" i="12"/>
  <c r="K617" i="12"/>
  <c r="K681" i="12"/>
  <c r="K745" i="12"/>
  <c r="K809" i="12"/>
  <c r="K873" i="12"/>
  <c r="K937" i="12"/>
  <c r="K1001" i="12"/>
  <c r="K1065" i="12"/>
  <c r="K1129" i="12"/>
  <c r="K1193" i="12"/>
  <c r="K1257" i="12"/>
  <c r="K1321" i="12"/>
  <c r="K1385" i="12"/>
  <c r="K1449" i="12"/>
  <c r="K1513" i="12"/>
  <c r="K1577" i="12"/>
  <c r="K1641" i="12"/>
  <c r="K1705" i="12"/>
  <c r="K1769" i="12"/>
  <c r="K1833" i="12"/>
  <c r="K1897" i="12"/>
  <c r="K1961" i="12"/>
  <c r="K2025" i="12"/>
  <c r="K2089" i="12"/>
  <c r="K2153" i="12"/>
  <c r="K2217" i="12"/>
  <c r="K18" i="12"/>
  <c r="K82" i="12"/>
  <c r="K146" i="12"/>
  <c r="K210" i="12"/>
  <c r="K274" i="12"/>
  <c r="K338" i="12"/>
  <c r="K402" i="12"/>
  <c r="K466" i="12"/>
  <c r="K530" i="12"/>
  <c r="K594" i="12"/>
  <c r="K658" i="12"/>
  <c r="K722" i="12"/>
  <c r="K786" i="12"/>
  <c r="K850" i="12"/>
  <c r="K914" i="12"/>
  <c r="K978" i="12"/>
  <c r="K1042" i="12"/>
  <c r="K1106" i="12"/>
  <c r="K1170" i="12"/>
  <c r="K1234" i="12"/>
  <c r="K1298" i="12"/>
  <c r="K1362" i="12"/>
  <c r="K1426" i="12"/>
  <c r="K1490" i="12"/>
  <c r="K1554" i="12"/>
  <c r="K1618" i="12"/>
  <c r="K1682" i="12"/>
  <c r="K1746" i="12"/>
  <c r="K1810" i="12"/>
  <c r="K1874" i="12"/>
  <c r="K1938" i="12"/>
  <c r="K2002" i="12"/>
  <c r="K2066" i="12"/>
  <c r="K2130" i="12"/>
  <c r="K2194" i="12"/>
  <c r="K2258" i="12"/>
  <c r="K59" i="12"/>
  <c r="K123" i="12"/>
  <c r="K187" i="12"/>
  <c r="K251" i="12"/>
  <c r="K315" i="12"/>
  <c r="K379" i="12"/>
  <c r="K443" i="12"/>
  <c r="K507" i="12"/>
  <c r="K571" i="12"/>
  <c r="K635" i="12"/>
  <c r="K699" i="12"/>
  <c r="K763" i="12"/>
  <c r="K827" i="12"/>
  <c r="K891" i="12"/>
  <c r="K955" i="12"/>
  <c r="K1019" i="12"/>
  <c r="K1083" i="12"/>
  <c r="K1147" i="12"/>
  <c r="K1211" i="12"/>
  <c r="K1275" i="12"/>
  <c r="K1339" i="12"/>
  <c r="K1403" i="12"/>
  <c r="K1467" i="12"/>
  <c r="K1531" i="12"/>
  <c r="K1595" i="12"/>
  <c r="K1659" i="12"/>
  <c r="K1723" i="12"/>
  <c r="K1787" i="12"/>
  <c r="K1851" i="12"/>
  <c r="K1915" i="12"/>
  <c r="K1979" i="12"/>
  <c r="K2043" i="12"/>
  <c r="K2107" i="12"/>
  <c r="K2171" i="12"/>
  <c r="K2235" i="12"/>
  <c r="K28" i="12"/>
  <c r="K92" i="12"/>
  <c r="K156" i="12"/>
  <c r="K220" i="12"/>
  <c r="K284" i="12"/>
  <c r="K348" i="12"/>
  <c r="K412" i="12"/>
  <c r="K476" i="12"/>
  <c r="K540" i="12"/>
  <c r="K604" i="12"/>
  <c r="K668" i="12"/>
  <c r="K732" i="12"/>
  <c r="K796" i="12"/>
  <c r="K860" i="12"/>
  <c r="K924" i="12"/>
  <c r="K988" i="12"/>
  <c r="K1052" i="12"/>
  <c r="K1116" i="12"/>
  <c r="K1180" i="12"/>
  <c r="K1244" i="12"/>
  <c r="K1308" i="12"/>
  <c r="K1372" i="12"/>
  <c r="K1436" i="12"/>
  <c r="K1500" i="12"/>
  <c r="K1564" i="12"/>
  <c r="K1628" i="12"/>
  <c r="K1692" i="12"/>
  <c r="K1756" i="12"/>
  <c r="K1820" i="12"/>
  <c r="K1884" i="12"/>
  <c r="K1948" i="12"/>
  <c r="K2012" i="12"/>
  <c r="K2076" i="12"/>
  <c r="K2140" i="12"/>
  <c r="K2204" i="12"/>
  <c r="K2268" i="12"/>
  <c r="K61" i="12"/>
  <c r="K125" i="12"/>
  <c r="K189" i="12"/>
  <c r="K253" i="12"/>
  <c r="K317" i="12"/>
  <c r="K381" i="12"/>
  <c r="K445" i="12"/>
  <c r="K509" i="12"/>
  <c r="K573" i="12"/>
  <c r="K637" i="12"/>
  <c r="K701" i="12"/>
  <c r="K765" i="12"/>
  <c r="K829" i="12"/>
  <c r="K893" i="12"/>
  <c r="K957" i="12"/>
  <c r="K1021" i="12"/>
  <c r="K1085" i="12"/>
  <c r="K1149" i="12"/>
  <c r="K1213" i="12"/>
  <c r="K1277" i="12"/>
  <c r="K1341" i="12"/>
  <c r="K1405" i="12"/>
  <c r="K1469" i="12"/>
  <c r="K1533" i="12"/>
  <c r="K1597" i="12"/>
  <c r="K1661" i="12"/>
  <c r="K1725" i="12"/>
  <c r="K1789" i="12"/>
  <c r="K1853" i="12"/>
  <c r="K1917" i="12"/>
  <c r="K1981" i="12"/>
  <c r="K2045" i="12"/>
  <c r="K2109" i="12"/>
  <c r="K2173" i="12"/>
  <c r="K2237" i="12"/>
  <c r="K30" i="12"/>
  <c r="K94" i="12"/>
  <c r="K158" i="12"/>
  <c r="K222" i="12"/>
  <c r="K286" i="12"/>
  <c r="K350" i="12"/>
  <c r="K414" i="12"/>
  <c r="K478" i="12"/>
  <c r="K542" i="12"/>
  <c r="K606" i="12"/>
  <c r="K670" i="12"/>
  <c r="K734" i="12"/>
  <c r="K798" i="12"/>
  <c r="K862" i="12"/>
  <c r="K926" i="12"/>
  <c r="K990" i="12"/>
  <c r="K1054" i="12"/>
  <c r="K1118" i="12"/>
  <c r="K1182" i="12"/>
  <c r="K1246" i="12"/>
  <c r="K1310" i="12"/>
  <c r="K1374" i="12"/>
  <c r="K1438" i="12"/>
  <c r="K1502" i="12"/>
  <c r="K1566" i="12"/>
  <c r="K1630" i="12"/>
  <c r="K1694" i="12"/>
  <c r="K1758" i="12"/>
  <c r="K1822" i="12"/>
  <c r="K1886" i="12"/>
  <c r="K1950" i="12"/>
  <c r="K2014" i="12"/>
  <c r="K2078" i="12"/>
  <c r="K2142" i="12"/>
  <c r="K2206" i="12"/>
  <c r="K2270" i="12"/>
  <c r="K64" i="12"/>
  <c r="K128" i="12"/>
  <c r="K192" i="12"/>
  <c r="K256" i="12"/>
  <c r="K320" i="12"/>
  <c r="K384" i="12"/>
  <c r="K448" i="12"/>
  <c r="K512" i="12"/>
  <c r="K576" i="12"/>
  <c r="K640" i="12"/>
  <c r="K704" i="12"/>
  <c r="K768" i="12"/>
  <c r="K832" i="12"/>
  <c r="K896" i="12"/>
  <c r="K960" i="12"/>
  <c r="K1024" i="12"/>
  <c r="K1088" i="12"/>
  <c r="K1152" i="12"/>
  <c r="K1216" i="12"/>
  <c r="K1280" i="12"/>
  <c r="K1344" i="12"/>
  <c r="K1408" i="12"/>
  <c r="K1472" i="12"/>
  <c r="K1536" i="12"/>
  <c r="K1600" i="12"/>
  <c r="K1664" i="12"/>
  <c r="K1728" i="12"/>
  <c r="K1792" i="12"/>
  <c r="K1856" i="12"/>
  <c r="K1920" i="12"/>
  <c r="K1984" i="12"/>
  <c r="K2048" i="12"/>
  <c r="K2112" i="12"/>
  <c r="K2176" i="12"/>
  <c r="K2240" i="12"/>
  <c r="K255" i="12"/>
  <c r="K767" i="12"/>
  <c r="K1279" i="12"/>
  <c r="K1791" i="12"/>
  <c r="K2276" i="12"/>
  <c r="K2340" i="12"/>
  <c r="K2404" i="12"/>
  <c r="K2468" i="12"/>
  <c r="K2532" i="12"/>
  <c r="K2596" i="12"/>
  <c r="K2660" i="12"/>
  <c r="K2724" i="12"/>
  <c r="K2788" i="12"/>
  <c r="K2852" i="12"/>
  <c r="K2916" i="12"/>
  <c r="K2980" i="12"/>
  <c r="K3044" i="12"/>
  <c r="K3108" i="12"/>
  <c r="K455" i="12"/>
  <c r="K967" i="12"/>
  <c r="K1479" i="12"/>
  <c r="K1991" i="12"/>
  <c r="K2301" i="12"/>
  <c r="K2365" i="12"/>
  <c r="K2429" i="12"/>
  <c r="K2493" i="12"/>
  <c r="K2557" i="12"/>
  <c r="K2621" i="12"/>
  <c r="K2685" i="12"/>
  <c r="K2749" i="12"/>
  <c r="K2813" i="12"/>
  <c r="K2877" i="12"/>
  <c r="K2941" i="12"/>
  <c r="K3005" i="12"/>
  <c r="K3069" i="12"/>
  <c r="K143" i="12"/>
  <c r="K655" i="12"/>
  <c r="K1167" i="12"/>
  <c r="K1679" i="12"/>
  <c r="K2191" i="12"/>
  <c r="K2326" i="12"/>
  <c r="K2390" i="12"/>
  <c r="K2454" i="12"/>
  <c r="K2518" i="12"/>
  <c r="K2582" i="12"/>
  <c r="K2646" i="12"/>
  <c r="K2710" i="12"/>
  <c r="K2774" i="12"/>
  <c r="K2838" i="12"/>
  <c r="K2902" i="12"/>
  <c r="K2966" i="12"/>
  <c r="K3030" i="12"/>
  <c r="K3094" i="12"/>
  <c r="K343" i="12"/>
  <c r="K855" i="12"/>
  <c r="K1367" i="12"/>
  <c r="K1879" i="12"/>
  <c r="K2287" i="12"/>
  <c r="K2351" i="12"/>
  <c r="K2415" i="12"/>
  <c r="K2479" i="12"/>
  <c r="K2543" i="12"/>
  <c r="K2607" i="12"/>
  <c r="K2671" i="12"/>
  <c r="K2735" i="12"/>
  <c r="K2799" i="12"/>
  <c r="K2863" i="12"/>
  <c r="K2927" i="12"/>
  <c r="K2991" i="12"/>
  <c r="K3055" i="12"/>
  <c r="K31" i="12"/>
  <c r="K543" i="12"/>
  <c r="K1055" i="12"/>
  <c r="K1567" i="12"/>
  <c r="K2079" i="12"/>
  <c r="K2312" i="12"/>
  <c r="K2376" i="12"/>
  <c r="K2440" i="12"/>
  <c r="K2504" i="12"/>
  <c r="K2568" i="12"/>
  <c r="K2632" i="12"/>
  <c r="K2696" i="12"/>
  <c r="K2760" i="12"/>
  <c r="K2824" i="12"/>
  <c r="K2888" i="12"/>
  <c r="K2952" i="12"/>
  <c r="K3016" i="12"/>
  <c r="K3080" i="12"/>
  <c r="K231" i="12"/>
  <c r="K743" i="12"/>
  <c r="K1255" i="12"/>
  <c r="K1767" i="12"/>
  <c r="K2273" i="12"/>
  <c r="K2337" i="12"/>
  <c r="K2401" i="12"/>
  <c r="K2465" i="12"/>
  <c r="K2529" i="12"/>
  <c r="K2593" i="12"/>
  <c r="K2657" i="12"/>
  <c r="K2721" i="12"/>
  <c r="K2785" i="12"/>
  <c r="K2849" i="12"/>
  <c r="K2913" i="12"/>
  <c r="K2977" i="12"/>
  <c r="K3041" i="12"/>
  <c r="K3105" i="12"/>
  <c r="K439" i="12"/>
  <c r="K951" i="12"/>
  <c r="K1463" i="12"/>
  <c r="K1975" i="12"/>
  <c r="K2299" i="12"/>
  <c r="K2363" i="12"/>
  <c r="K2427" i="12"/>
  <c r="K2491" i="12"/>
  <c r="K2555" i="12"/>
  <c r="K2619" i="12"/>
  <c r="K2683" i="12"/>
  <c r="K2747" i="12"/>
  <c r="K2811" i="12"/>
  <c r="K2875" i="12"/>
  <c r="K2939" i="12"/>
  <c r="K3003" i="12"/>
  <c r="K3067" i="12"/>
  <c r="K1135" i="12"/>
  <c r="K2642" i="12"/>
  <c r="K175" i="12"/>
  <c r="K2522" i="12"/>
  <c r="K3034" i="12"/>
  <c r="K2402" i="12"/>
  <c r="K2914" i="12"/>
  <c r="K2282" i="12"/>
  <c r="K2794" i="12"/>
  <c r="K1455" i="12"/>
  <c r="K2682" i="12"/>
  <c r="K1007" i="12"/>
  <c r="K2626" i="12"/>
  <c r="K1903" i="12"/>
  <c r="K3018" i="12"/>
  <c r="K2570" i="12"/>
  <c r="K2378" i="12"/>
  <c r="K2698" i="12"/>
  <c r="K385" i="12"/>
  <c r="K874" i="12"/>
  <c r="K1706" i="12"/>
  <c r="K19" i="12"/>
  <c r="K403" i="12"/>
  <c r="K787" i="12"/>
  <c r="K1299" i="12"/>
  <c r="K1683" i="12"/>
  <c r="K2003" i="12"/>
  <c r="K116" i="12"/>
  <c r="K500" i="12"/>
  <c r="K884" i="12"/>
  <c r="K1268" i="12"/>
  <c r="K1716" i="12"/>
  <c r="K85" i="12"/>
  <c r="K533" i="12"/>
  <c r="K917" i="12"/>
  <c r="K1301" i="12"/>
  <c r="K1877" i="12"/>
  <c r="K54" i="12"/>
  <c r="K502" i="12"/>
  <c r="K886" i="12"/>
  <c r="K1270" i="12"/>
  <c r="K1782" i="12"/>
  <c r="K24" i="12"/>
  <c r="K408" i="12"/>
  <c r="K792" i="12"/>
  <c r="K1176" i="12"/>
  <c r="K1560" i="12"/>
  <c r="K2008" i="12"/>
  <c r="K1471" i="12"/>
  <c r="K2556" i="12"/>
  <c r="K2940" i="12"/>
  <c r="K2183" i="12"/>
  <c r="K2709" i="12"/>
  <c r="K3093" i="12"/>
  <c r="K2414" i="12"/>
  <c r="K2862" i="12"/>
  <c r="K1047" i="12"/>
  <c r="K2503" i="12"/>
  <c r="K2951" i="12"/>
  <c r="K2271" i="12"/>
  <c r="K2720" i="12"/>
  <c r="K3104" i="12"/>
  <c r="K2361" i="12"/>
  <c r="K2745" i="12"/>
  <c r="K1143" i="12"/>
  <c r="K2643" i="12"/>
  <c r="K3091" i="12"/>
  <c r="K3106" i="12"/>
  <c r="K2818" i="12"/>
  <c r="K49" i="12"/>
  <c r="K113" i="12"/>
  <c r="K177" i="12"/>
  <c r="K241" i="12"/>
  <c r="K305" i="12"/>
  <c r="K369" i="12"/>
  <c r="K433" i="12"/>
  <c r="K497" i="12"/>
  <c r="K561" i="12"/>
  <c r="K625" i="12"/>
  <c r="K689" i="12"/>
  <c r="K753" i="12"/>
  <c r="K817" i="12"/>
  <c r="K881" i="12"/>
  <c r="K945" i="12"/>
  <c r="K1009" i="12"/>
  <c r="K1073" i="12"/>
  <c r="K1137" i="12"/>
  <c r="K1201" i="12"/>
  <c r="K1265" i="12"/>
  <c r="K1329" i="12"/>
  <c r="K1393" i="12"/>
  <c r="K1457" i="12"/>
  <c r="K1521" i="12"/>
  <c r="K1585" i="12"/>
  <c r="K1649" i="12"/>
  <c r="K1713" i="12"/>
  <c r="K1777" i="12"/>
  <c r="K1841" i="12"/>
  <c r="K1905" i="12"/>
  <c r="K1969" i="12"/>
  <c r="K2033" i="12"/>
  <c r="K2097" i="12"/>
  <c r="K2161" i="12"/>
  <c r="K2225" i="12"/>
  <c r="K26" i="12"/>
  <c r="K90" i="12"/>
  <c r="K154" i="12"/>
  <c r="K218" i="12"/>
  <c r="K282" i="12"/>
  <c r="K346" i="12"/>
  <c r="K410" i="12"/>
  <c r="K474" i="12"/>
  <c r="K538" i="12"/>
  <c r="K602" i="12"/>
  <c r="K666" i="12"/>
  <c r="K730" i="12"/>
  <c r="K794" i="12"/>
  <c r="K858" i="12"/>
  <c r="K922" i="12"/>
  <c r="K986" i="12"/>
  <c r="K1050" i="12"/>
  <c r="K1114" i="12"/>
  <c r="K1178" i="12"/>
  <c r="K1242" i="12"/>
  <c r="K1306" i="12"/>
  <c r="K1370" i="12"/>
  <c r="K1434" i="12"/>
  <c r="K1498" i="12"/>
  <c r="K1562" i="12"/>
  <c r="K1626" i="12"/>
  <c r="K1690" i="12"/>
  <c r="K1754" i="12"/>
  <c r="K1818" i="12"/>
  <c r="K1882" i="12"/>
  <c r="K1946" i="12"/>
  <c r="K2010" i="12"/>
  <c r="K2074" i="12"/>
  <c r="K2138" i="12"/>
  <c r="K2202" i="12"/>
  <c r="K2266" i="12"/>
  <c r="K67" i="12"/>
  <c r="K131" i="12"/>
  <c r="K195" i="12"/>
  <c r="K259" i="12"/>
  <c r="K323" i="12"/>
  <c r="K387" i="12"/>
  <c r="K451" i="12"/>
  <c r="K515" i="12"/>
  <c r="K579" i="12"/>
  <c r="K643" i="12"/>
  <c r="K707" i="12"/>
  <c r="K771" i="12"/>
  <c r="K835" i="12"/>
  <c r="K899" i="12"/>
  <c r="K963" i="12"/>
  <c r="K1027" i="12"/>
  <c r="K1091" i="12"/>
  <c r="K1155" i="12"/>
  <c r="K1219" i="12"/>
  <c r="K1283" i="12"/>
  <c r="K1347" i="12"/>
  <c r="K1411" i="12"/>
  <c r="K1475" i="12"/>
  <c r="K1539" i="12"/>
  <c r="K1603" i="12"/>
  <c r="K1667" i="12"/>
  <c r="K1731" i="12"/>
  <c r="K1795" i="12"/>
  <c r="K1859" i="12"/>
  <c r="K1923" i="12"/>
  <c r="K1987" i="12"/>
  <c r="K2051" i="12"/>
  <c r="K2115" i="12"/>
  <c r="K2179" i="12"/>
  <c r="K2243" i="12"/>
  <c r="K36" i="12"/>
  <c r="K100" i="12"/>
  <c r="K164" i="12"/>
  <c r="K228" i="12"/>
  <c r="K292" i="12"/>
  <c r="K356" i="12"/>
  <c r="K420" i="12"/>
  <c r="K484" i="12"/>
  <c r="K548" i="12"/>
  <c r="K612" i="12"/>
  <c r="K676" i="12"/>
  <c r="K740" i="12"/>
  <c r="K804" i="12"/>
  <c r="K868" i="12"/>
  <c r="K932" i="12"/>
  <c r="K996" i="12"/>
  <c r="K1060" i="12"/>
  <c r="K1124" i="12"/>
  <c r="K1188" i="12"/>
  <c r="K1252" i="12"/>
  <c r="K1316" i="12"/>
  <c r="K1380" i="12"/>
  <c r="K1444" i="12"/>
  <c r="K1508" i="12"/>
  <c r="K1572" i="12"/>
  <c r="K1636" i="12"/>
  <c r="K1700" i="12"/>
  <c r="K1764" i="12"/>
  <c r="K1828" i="12"/>
  <c r="K1892" i="12"/>
  <c r="K1956" i="12"/>
  <c r="K2020" i="12"/>
  <c r="K2084" i="12"/>
  <c r="K2148" i="12"/>
  <c r="K2212" i="12"/>
  <c r="K5" i="12"/>
  <c r="K69" i="12"/>
  <c r="K133" i="12"/>
  <c r="K197" i="12"/>
  <c r="K261" i="12"/>
  <c r="K325" i="12"/>
  <c r="K389" i="12"/>
  <c r="K453" i="12"/>
  <c r="K517" i="12"/>
  <c r="K581" i="12"/>
  <c r="K645" i="12"/>
  <c r="K709" i="12"/>
  <c r="K773" i="12"/>
  <c r="K837" i="12"/>
  <c r="K901" i="12"/>
  <c r="K965" i="12"/>
  <c r="K1029" i="12"/>
  <c r="K1093" i="12"/>
  <c r="K1157" i="12"/>
  <c r="K1221" i="12"/>
  <c r="K1285" i="12"/>
  <c r="K1349" i="12"/>
  <c r="K1413" i="12"/>
  <c r="K1477" i="12"/>
  <c r="K1541" i="12"/>
  <c r="K1605" i="12"/>
  <c r="K1669" i="12"/>
  <c r="K1733" i="12"/>
  <c r="K1797" i="12"/>
  <c r="K1861" i="12"/>
  <c r="K1925" i="12"/>
  <c r="K1989" i="12"/>
  <c r="K2053" i="12"/>
  <c r="K2117" i="12"/>
  <c r="K2181" i="12"/>
  <c r="K2245" i="12"/>
  <c r="K38" i="12"/>
  <c r="K102" i="12"/>
  <c r="K166" i="12"/>
  <c r="K230" i="12"/>
  <c r="K294" i="12"/>
  <c r="K358" i="12"/>
  <c r="K422" i="12"/>
  <c r="K486" i="12"/>
  <c r="K550" i="12"/>
  <c r="K614" i="12"/>
  <c r="K678" i="12"/>
  <c r="K742" i="12"/>
  <c r="K806" i="12"/>
  <c r="K870" i="12"/>
  <c r="K934" i="12"/>
  <c r="K998" i="12"/>
  <c r="K1062" i="12"/>
  <c r="K1126" i="12"/>
  <c r="K1190" i="12"/>
  <c r="K1254" i="12"/>
  <c r="K1318" i="12"/>
  <c r="K1382" i="12"/>
  <c r="K1446" i="12"/>
  <c r="K1510" i="12"/>
  <c r="K1574" i="12"/>
  <c r="K1638" i="12"/>
  <c r="K1702" i="12"/>
  <c r="K1766" i="12"/>
  <c r="K1830" i="12"/>
  <c r="K1894" i="12"/>
  <c r="K1958" i="12"/>
  <c r="K2022" i="12"/>
  <c r="K2086" i="12"/>
  <c r="K2150" i="12"/>
  <c r="K2214" i="12"/>
  <c r="K8" i="12"/>
  <c r="K72" i="12"/>
  <c r="K136" i="12"/>
  <c r="K200" i="12"/>
  <c r="K264" i="12"/>
  <c r="K328" i="12"/>
  <c r="K392" i="12"/>
  <c r="K456" i="12"/>
  <c r="K520" i="12"/>
  <c r="K584" i="12"/>
  <c r="K648" i="12"/>
  <c r="K712" i="12"/>
  <c r="K776" i="12"/>
  <c r="K840" i="12"/>
  <c r="K904" i="12"/>
  <c r="K968" i="12"/>
  <c r="K1032" i="12"/>
  <c r="K1096" i="12"/>
  <c r="K1160" i="12"/>
  <c r="K1224" i="12"/>
  <c r="K1288" i="12"/>
  <c r="K1352" i="12"/>
  <c r="K1416" i="12"/>
  <c r="K1480" i="12"/>
  <c r="K1544" i="12"/>
  <c r="K1608" i="12"/>
  <c r="K1672" i="12"/>
  <c r="K1736" i="12"/>
  <c r="K1800" i="12"/>
  <c r="K1864" i="12"/>
  <c r="K1928" i="12"/>
  <c r="K1992" i="12"/>
  <c r="K2056" i="12"/>
  <c r="K2120" i="12"/>
  <c r="K2184" i="12"/>
  <c r="K2248" i="12"/>
  <c r="K319" i="12"/>
  <c r="K831" i="12"/>
  <c r="K1343" i="12"/>
  <c r="K1855" i="12"/>
  <c r="K2284" i="12"/>
  <c r="K2348" i="12"/>
  <c r="K2412" i="12"/>
  <c r="K2476" i="12"/>
  <c r="K2540" i="12"/>
  <c r="K2604" i="12"/>
  <c r="K2668" i="12"/>
  <c r="K2732" i="12"/>
  <c r="K2796" i="12"/>
  <c r="K2860" i="12"/>
  <c r="K2924" i="12"/>
  <c r="K2988" i="12"/>
  <c r="K3052" i="12"/>
  <c r="K7" i="12"/>
  <c r="K519" i="12"/>
  <c r="K1031" i="12"/>
  <c r="K1543" i="12"/>
  <c r="K2055" i="12"/>
  <c r="K2309" i="12"/>
  <c r="K2373" i="12"/>
  <c r="K2437" i="12"/>
  <c r="K2501" i="12"/>
  <c r="K2565" i="12"/>
  <c r="K2629" i="12"/>
  <c r="K2693" i="12"/>
  <c r="K2757" i="12"/>
  <c r="K2821" i="12"/>
  <c r="K2885" i="12"/>
  <c r="K2949" i="12"/>
  <c r="K3013" i="12"/>
  <c r="K3077" i="12"/>
  <c r="K207" i="12"/>
  <c r="K719" i="12"/>
  <c r="K1231" i="12"/>
  <c r="K1743" i="12"/>
  <c r="K2255" i="12"/>
  <c r="K2334" i="12"/>
  <c r="K2398" i="12"/>
  <c r="K2462" i="12"/>
  <c r="K2526" i="12"/>
  <c r="K2590" i="12"/>
  <c r="K2654" i="12"/>
  <c r="K2718" i="12"/>
  <c r="K2782" i="12"/>
  <c r="K2846" i="12"/>
  <c r="K2910" i="12"/>
  <c r="K2974" i="12"/>
  <c r="K3038" i="12"/>
  <c r="K3102" i="12"/>
  <c r="K407" i="12"/>
  <c r="K919" i="12"/>
  <c r="K1431" i="12"/>
  <c r="K1943" i="12"/>
  <c r="K2295" i="12"/>
  <c r="K2359" i="12"/>
  <c r="K2423" i="12"/>
  <c r="K2487" i="12"/>
  <c r="K2551" i="12"/>
  <c r="K2615" i="12"/>
  <c r="K2679" i="12"/>
  <c r="K2743" i="12"/>
  <c r="K2807" i="12"/>
  <c r="K2871" i="12"/>
  <c r="K2935" i="12"/>
  <c r="K2999" i="12"/>
  <c r="K3063" i="12"/>
  <c r="K95" i="12"/>
  <c r="K607" i="12"/>
  <c r="K1119" i="12"/>
  <c r="K1631" i="12"/>
  <c r="K2143" i="12"/>
  <c r="K2320" i="12"/>
  <c r="K2384" i="12"/>
  <c r="K2448" i="12"/>
  <c r="K2512" i="12"/>
  <c r="K2576" i="12"/>
  <c r="K2640" i="12"/>
  <c r="K2704" i="12"/>
  <c r="K2768" i="12"/>
  <c r="K2832" i="12"/>
  <c r="K2896" i="12"/>
  <c r="K2960" i="12"/>
  <c r="K3024" i="12"/>
  <c r="K3088" i="12"/>
  <c r="K295" i="12"/>
  <c r="K807" i="12"/>
  <c r="K1319" i="12"/>
  <c r="K1831" i="12"/>
  <c r="K2281" i="12"/>
  <c r="K2345" i="12"/>
  <c r="K2409" i="12"/>
  <c r="K2473" i="12"/>
  <c r="K2537" i="12"/>
  <c r="K2601" i="12"/>
  <c r="K2665" i="12"/>
  <c r="K2729" i="12"/>
  <c r="K2793" i="12"/>
  <c r="K2857" i="12"/>
  <c r="K2921" i="12"/>
  <c r="K2985" i="12"/>
  <c r="K3049" i="12"/>
  <c r="K3113" i="12"/>
  <c r="K503" i="12"/>
  <c r="K1015" i="12"/>
  <c r="K1527" i="12"/>
  <c r="K2039" i="12"/>
  <c r="K2307" i="12"/>
  <c r="K2371" i="12"/>
  <c r="K2435" i="12"/>
  <c r="K2499" i="12"/>
  <c r="K2563" i="12"/>
  <c r="K2627" i="12"/>
  <c r="K2691" i="12"/>
  <c r="K2755" i="12"/>
  <c r="K2819" i="12"/>
  <c r="K2883" i="12"/>
  <c r="K2947" i="12"/>
  <c r="K3011" i="12"/>
  <c r="K3075" i="12"/>
  <c r="K1647" i="12"/>
  <c r="K2706" i="12"/>
  <c r="K687" i="12"/>
  <c r="K2586" i="12"/>
  <c r="K3098" i="12"/>
  <c r="K2466" i="12"/>
  <c r="K2978" i="12"/>
  <c r="K2346" i="12"/>
  <c r="K2858" i="12"/>
  <c r="K1967" i="12"/>
  <c r="K2746" i="12"/>
  <c r="K1519" i="12"/>
  <c r="K2690" i="12"/>
  <c r="K2482" i="12"/>
  <c r="K367" i="12"/>
  <c r="K2826" i="12"/>
  <c r="K2634" i="12"/>
  <c r="K2954" i="12"/>
  <c r="K65" i="12"/>
  <c r="K513" i="12"/>
  <c r="K833" i="12"/>
  <c r="K1153" i="12"/>
  <c r="K1473" i="12"/>
  <c r="K1729" i="12"/>
  <c r="K2049" i="12"/>
  <c r="K106" i="12"/>
  <c r="K426" i="12"/>
  <c r="K746" i="12"/>
  <c r="K1194" i="12"/>
  <c r="K1514" i="12"/>
  <c r="K1898" i="12"/>
  <c r="K2218" i="12"/>
  <c r="K275" i="12"/>
  <c r="K659" i="12"/>
  <c r="K1043" i="12"/>
  <c r="K1427" i="12"/>
  <c r="K1811" i="12"/>
  <c r="K2195" i="12"/>
  <c r="K244" i="12"/>
  <c r="K628" i="12"/>
  <c r="K1012" i="12"/>
  <c r="K1396" i="12"/>
  <c r="K1780" i="12"/>
  <c r="K2100" i="12"/>
  <c r="K21" i="12"/>
  <c r="K405" i="12"/>
  <c r="K789" i="12"/>
  <c r="K1173" i="12"/>
  <c r="K1493" i="12"/>
  <c r="K1813" i="12"/>
  <c r="K2197" i="12"/>
  <c r="K246" i="12"/>
  <c r="K630" i="12"/>
  <c r="K1078" i="12"/>
  <c r="K1462" i="12"/>
  <c r="K1846" i="12"/>
  <c r="K2230" i="12"/>
  <c r="K344" i="12"/>
  <c r="K728" i="12"/>
  <c r="K1112" i="12"/>
  <c r="K1496" i="12"/>
  <c r="K1880" i="12"/>
  <c r="K2264" i="12"/>
  <c r="K2300" i="12"/>
  <c r="K2684" i="12"/>
  <c r="K3004" i="12"/>
  <c r="K1671" i="12"/>
  <c r="K2581" i="12"/>
  <c r="K2965" i="12"/>
  <c r="K1359" i="12"/>
  <c r="K2542" i="12"/>
  <c r="K2926" i="12"/>
  <c r="K1559" i="12"/>
  <c r="K2567" i="12"/>
  <c r="K3015" i="12"/>
  <c r="K1759" i="12"/>
  <c r="K2592" i="12"/>
  <c r="K2912" i="12"/>
  <c r="K1447" i="12"/>
  <c r="K2553" i="12"/>
  <c r="K2873" i="12"/>
  <c r="K119" i="12"/>
  <c r="K2323" i="12"/>
  <c r="K2707" i="12"/>
  <c r="K3027" i="12"/>
  <c r="K2714" i="12"/>
  <c r="K2362" i="12"/>
  <c r="K879" i="12"/>
  <c r="K57" i="12"/>
  <c r="K121" i="12"/>
  <c r="K185" i="12"/>
  <c r="K249" i="12"/>
  <c r="K313" i="12"/>
  <c r="K377" i="12"/>
  <c r="K441" i="12"/>
  <c r="K505" i="12"/>
  <c r="K569" i="12"/>
  <c r="K633" i="12"/>
  <c r="K697" i="12"/>
  <c r="K761" i="12"/>
  <c r="K825" i="12"/>
  <c r="K889" i="12"/>
  <c r="K1017" i="12"/>
  <c r="K1081" i="12"/>
  <c r="K1145" i="12"/>
  <c r="K1209" i="12"/>
  <c r="K1273" i="12"/>
  <c r="K1337" i="12"/>
  <c r="K1401" i="12"/>
  <c r="K1465" i="12"/>
  <c r="K1529" i="12"/>
  <c r="K1593" i="12"/>
  <c r="K1657" i="12"/>
  <c r="K1721" i="12"/>
  <c r="K1785" i="12"/>
  <c r="K1849" i="12"/>
  <c r="K1913" i="12"/>
  <c r="K1977" i="12"/>
  <c r="K2041" i="12"/>
  <c r="K2105" i="12"/>
  <c r="K2169" i="12"/>
  <c r="K2233" i="12"/>
  <c r="K34" i="12"/>
  <c r="K98" i="12"/>
  <c r="K162" i="12"/>
  <c r="K226" i="12"/>
  <c r="K290" i="12"/>
  <c r="K354" i="12"/>
  <c r="K418" i="12"/>
  <c r="K482" i="12"/>
  <c r="K546" i="12"/>
  <c r="K610" i="12"/>
  <c r="K674" i="12"/>
  <c r="K738" i="12"/>
  <c r="K802" i="12"/>
  <c r="K866" i="12"/>
  <c r="K930" i="12"/>
  <c r="K994" i="12"/>
  <c r="K1058" i="12"/>
  <c r="K1122" i="12"/>
  <c r="K1186" i="12"/>
  <c r="K1250" i="12"/>
  <c r="K1314" i="12"/>
  <c r="K1378" i="12"/>
  <c r="K1442" i="12"/>
  <c r="K1506" i="12"/>
  <c r="K1570" i="12"/>
  <c r="K1634" i="12"/>
  <c r="K1698" i="12"/>
  <c r="K1762" i="12"/>
  <c r="K1826" i="12"/>
  <c r="K1890" i="12"/>
  <c r="K1954" i="12"/>
  <c r="K2018" i="12"/>
  <c r="K2082" i="12"/>
  <c r="K2146" i="12"/>
  <c r="K2210" i="12"/>
  <c r="K11" i="12"/>
  <c r="K75" i="12"/>
  <c r="K139" i="12"/>
  <c r="K203" i="12"/>
  <c r="K267" i="12"/>
  <c r="K331" i="12"/>
  <c r="K395" i="12"/>
  <c r="K459" i="12"/>
  <c r="K523" i="12"/>
  <c r="K587" i="12"/>
  <c r="K651" i="12"/>
  <c r="K715" i="12"/>
  <c r="K779" i="12"/>
  <c r="K843" i="12"/>
  <c r="K907" i="12"/>
  <c r="K971" i="12"/>
  <c r="K1035" i="12"/>
  <c r="K1099" i="12"/>
  <c r="K1163" i="12"/>
  <c r="K1227" i="12"/>
  <c r="K1291" i="12"/>
  <c r="K1355" i="12"/>
  <c r="K1419" i="12"/>
  <c r="K1483" i="12"/>
  <c r="K1547" i="12"/>
  <c r="K1611" i="12"/>
  <c r="K1675" i="12"/>
  <c r="K1739" i="12"/>
  <c r="K1803" i="12"/>
  <c r="K1867" i="12"/>
  <c r="K1931" i="12"/>
  <c r="K1995" i="12"/>
  <c r="K2059" i="12"/>
  <c r="K2123" i="12"/>
  <c r="K2187" i="12"/>
  <c r="K2251" i="12"/>
  <c r="K44" i="12"/>
  <c r="K108" i="12"/>
  <c r="K172" i="12"/>
  <c r="K236" i="12"/>
  <c r="K300" i="12"/>
  <c r="K364" i="12"/>
  <c r="K428" i="12"/>
  <c r="K492" i="12"/>
  <c r="K556" i="12"/>
  <c r="K620" i="12"/>
  <c r="K684" i="12"/>
  <c r="K748" i="12"/>
  <c r="K812" i="12"/>
  <c r="K876" i="12"/>
  <c r="K940" i="12"/>
  <c r="K1004" i="12"/>
  <c r="K1068" i="12"/>
  <c r="K1132" i="12"/>
  <c r="K1196" i="12"/>
  <c r="K1260" i="12"/>
  <c r="K1324" i="12"/>
  <c r="K1388" i="12"/>
  <c r="K1452" i="12"/>
  <c r="K1516" i="12"/>
  <c r="K1580" i="12"/>
  <c r="K1644" i="12"/>
  <c r="K1708" i="12"/>
  <c r="K1772" i="12"/>
  <c r="K1836" i="12"/>
  <c r="K1900" i="12"/>
  <c r="K1964" i="12"/>
  <c r="K2028" i="12"/>
  <c r="K2092" i="12"/>
  <c r="K2156" i="12"/>
  <c r="K2220" i="12"/>
  <c r="K13" i="12"/>
  <c r="K77" i="12"/>
  <c r="K141" i="12"/>
  <c r="K205" i="12"/>
  <c r="K269" i="12"/>
  <c r="K333" i="12"/>
  <c r="K397" i="12"/>
  <c r="K461" i="12"/>
  <c r="K525" i="12"/>
  <c r="K589" i="12"/>
  <c r="K653" i="12"/>
  <c r="K717" i="12"/>
  <c r="K781" i="12"/>
  <c r="K845" i="12"/>
  <c r="K909" i="12"/>
  <c r="K973" i="12"/>
  <c r="K1037" i="12"/>
  <c r="K1101" i="12"/>
  <c r="K1165" i="12"/>
  <c r="K1229" i="12"/>
  <c r="K1293" i="12"/>
  <c r="K1357" i="12"/>
  <c r="K1421" i="12"/>
  <c r="K1485" i="12"/>
  <c r="K1549" i="12"/>
  <c r="K1613" i="12"/>
  <c r="K1677" i="12"/>
  <c r="K1741" i="12"/>
  <c r="K1805" i="12"/>
  <c r="K1869" i="12"/>
  <c r="K1933" i="12"/>
  <c r="K1997" i="12"/>
  <c r="K2061" i="12"/>
  <c r="K2125" i="12"/>
  <c r="K2189" i="12"/>
  <c r="K2253" i="12"/>
  <c r="K46" i="12"/>
  <c r="K110" i="12"/>
  <c r="K174" i="12"/>
  <c r="K238" i="12"/>
  <c r="K302" i="12"/>
  <c r="K366" i="12"/>
  <c r="K430" i="12"/>
  <c r="K494" i="12"/>
  <c r="K558" i="12"/>
  <c r="K622" i="12"/>
  <c r="K686" i="12"/>
  <c r="K750" i="12"/>
  <c r="K814" i="12"/>
  <c r="K878" i="12"/>
  <c r="K942" i="12"/>
  <c r="K1006" i="12"/>
  <c r="K1070" i="12"/>
  <c r="K1134" i="12"/>
  <c r="K1198" i="12"/>
  <c r="K1262" i="12"/>
  <c r="K1326" i="12"/>
  <c r="K1390" i="12"/>
  <c r="K1454" i="12"/>
  <c r="K1518" i="12"/>
  <c r="K1582" i="12"/>
  <c r="K1646" i="12"/>
  <c r="K1710" i="12"/>
  <c r="K1774" i="12"/>
  <c r="K1838" i="12"/>
  <c r="K1902" i="12"/>
  <c r="K1966" i="12"/>
  <c r="K2030" i="12"/>
  <c r="K2094" i="12"/>
  <c r="K2158" i="12"/>
  <c r="K2222" i="12"/>
  <c r="K16" i="12"/>
  <c r="K80" i="12"/>
  <c r="K144" i="12"/>
  <c r="K208" i="12"/>
  <c r="K272" i="12"/>
  <c r="K336" i="12"/>
  <c r="K400" i="12"/>
  <c r="K464" i="12"/>
  <c r="K528" i="12"/>
  <c r="K592" i="12"/>
  <c r="K656" i="12"/>
  <c r="K720" i="12"/>
  <c r="K784" i="12"/>
  <c r="K848" i="12"/>
  <c r="K912" i="12"/>
  <c r="K976" i="12"/>
  <c r="K1040" i="12"/>
  <c r="K1104" i="12"/>
  <c r="K1168" i="12"/>
  <c r="K1232" i="12"/>
  <c r="K1296" i="12"/>
  <c r="K1360" i="12"/>
  <c r="K1424" i="12"/>
  <c r="K1488" i="12"/>
  <c r="K1552" i="12"/>
  <c r="K1616" i="12"/>
  <c r="K1680" i="12"/>
  <c r="K1744" i="12"/>
  <c r="K1808" i="12"/>
  <c r="K1872" i="12"/>
  <c r="K1936" i="12"/>
  <c r="K2000" i="12"/>
  <c r="K2064" i="12"/>
  <c r="K2128" i="12"/>
  <c r="K2192" i="12"/>
  <c r="K2256" i="12"/>
  <c r="K895" i="12"/>
  <c r="K1407" i="12"/>
  <c r="K1919" i="12"/>
  <c r="K2292" i="12"/>
  <c r="K2356" i="12"/>
  <c r="K2420" i="12"/>
  <c r="K2484" i="12"/>
  <c r="K2548" i="12"/>
  <c r="K2612" i="12"/>
  <c r="K2676" i="12"/>
  <c r="K2740" i="12"/>
  <c r="K2804" i="12"/>
  <c r="K2868" i="12"/>
  <c r="K2932" i="12"/>
  <c r="K2996" i="12"/>
  <c r="K3060" i="12"/>
  <c r="K71" i="12"/>
  <c r="K583" i="12"/>
  <c r="K1095" i="12"/>
  <c r="K1607" i="12"/>
  <c r="K2119" i="12"/>
  <c r="K2317" i="12"/>
  <c r="K2381" i="12"/>
  <c r="K2445" i="12"/>
  <c r="K2509" i="12"/>
  <c r="K2573" i="12"/>
  <c r="K2637" i="12"/>
  <c r="K2701" i="12"/>
  <c r="K2765" i="12"/>
  <c r="K2829" i="12"/>
  <c r="K2893" i="12"/>
  <c r="K2957" i="12"/>
  <c r="K3021" i="12"/>
  <c r="K3085" i="12"/>
  <c r="K271" i="12"/>
  <c r="K783" i="12"/>
  <c r="K1295" i="12"/>
  <c r="K1807" i="12"/>
  <c r="K2278" i="12"/>
  <c r="K2342" i="12"/>
  <c r="K2406" i="12"/>
  <c r="K2470" i="12"/>
  <c r="K2534" i="12"/>
  <c r="K2598" i="12"/>
  <c r="K2662" i="12"/>
  <c r="K2726" i="12"/>
  <c r="K2790" i="12"/>
  <c r="K2854" i="12"/>
  <c r="K2918" i="12"/>
  <c r="K2982" i="12"/>
  <c r="K3046" i="12"/>
  <c r="K3110" i="12"/>
  <c r="K471" i="12"/>
  <c r="K983" i="12"/>
  <c r="K1495" i="12"/>
  <c r="K2007" i="12"/>
  <c r="K2303" i="12"/>
  <c r="K2367" i="12"/>
  <c r="K2431" i="12"/>
  <c r="K2495" i="12"/>
  <c r="K2559" i="12"/>
  <c r="K2623" i="12"/>
  <c r="K2687" i="12"/>
  <c r="K2751" i="12"/>
  <c r="K2815" i="12"/>
  <c r="K2879" i="12"/>
  <c r="K2943" i="12"/>
  <c r="K3007" i="12"/>
  <c r="K3071" i="12"/>
  <c r="K159" i="12"/>
  <c r="K671" i="12"/>
  <c r="K1183" i="12"/>
  <c r="K1695" i="12"/>
  <c r="K2207" i="12"/>
  <c r="K2328" i="12"/>
  <c r="K2392" i="12"/>
  <c r="K2456" i="12"/>
  <c r="K2520" i="12"/>
  <c r="K2584" i="12"/>
  <c r="K2648" i="12"/>
  <c r="K2712" i="12"/>
  <c r="K2776" i="12"/>
  <c r="K2840" i="12"/>
  <c r="K2904" i="12"/>
  <c r="K2968" i="12"/>
  <c r="K3032" i="12"/>
  <c r="K3096" i="12"/>
  <c r="K359" i="12"/>
  <c r="K871" i="12"/>
  <c r="K1383" i="12"/>
  <c r="K1895" i="12"/>
  <c r="K2289" i="12"/>
  <c r="K2353" i="12"/>
  <c r="K2417" i="12"/>
  <c r="K2481" i="12"/>
  <c r="K2545" i="12"/>
  <c r="K2609" i="12"/>
  <c r="K2673" i="12"/>
  <c r="K2737" i="12"/>
  <c r="K2801" i="12"/>
  <c r="K2865" i="12"/>
  <c r="K2929" i="12"/>
  <c r="K2993" i="12"/>
  <c r="K3057" i="12"/>
  <c r="K55" i="12"/>
  <c r="K567" i="12"/>
  <c r="K1079" i="12"/>
  <c r="K1591" i="12"/>
  <c r="K2103" i="12"/>
  <c r="K2315" i="12"/>
  <c r="K2379" i="12"/>
  <c r="K2443" i="12"/>
  <c r="K2507" i="12"/>
  <c r="K2571" i="12"/>
  <c r="K2635" i="12"/>
  <c r="K2699" i="12"/>
  <c r="K2763" i="12"/>
  <c r="K2827" i="12"/>
  <c r="K2891" i="12"/>
  <c r="K2955" i="12"/>
  <c r="K3019" i="12"/>
  <c r="K3083" i="12"/>
  <c r="K2159" i="12"/>
  <c r="K2770" i="12"/>
  <c r="K1199" i="12"/>
  <c r="K2650" i="12"/>
  <c r="K239" i="12"/>
  <c r="K2530" i="12"/>
  <c r="K3042" i="12"/>
  <c r="K2410" i="12"/>
  <c r="K2922" i="12"/>
  <c r="K2298" i="12"/>
  <c r="K2810" i="12"/>
  <c r="K2031" i="12"/>
  <c r="K2754" i="12"/>
  <c r="K2738" i="12"/>
  <c r="K2290" i="12"/>
  <c r="K3082" i="12"/>
  <c r="K2890" i="12"/>
  <c r="K1583" i="12"/>
  <c r="K129" i="12"/>
  <c r="K577" i="12"/>
  <c r="K897" i="12"/>
  <c r="K1217" i="12"/>
  <c r="K1537" i="12"/>
  <c r="K1857" i="12"/>
  <c r="K2177" i="12"/>
  <c r="K234" i="12"/>
  <c r="K554" i="12"/>
  <c r="K1066" i="12"/>
  <c r="K1386" i="12"/>
  <c r="K1770" i="12"/>
  <c r="K2154" i="12"/>
  <c r="K339" i="12"/>
  <c r="K723" i="12"/>
  <c r="K1107" i="12"/>
  <c r="K1619" i="12"/>
  <c r="K2067" i="12"/>
  <c r="K308" i="12"/>
  <c r="K692" i="12"/>
  <c r="K1076" i="12"/>
  <c r="K1460" i="12"/>
  <c r="K1972" i="12"/>
  <c r="K213" i="12"/>
  <c r="K597" i="12"/>
  <c r="K981" i="12"/>
  <c r="K1557" i="12"/>
  <c r="K2005" i="12"/>
  <c r="K118" i="12"/>
  <c r="K566" i="12"/>
  <c r="K950" i="12"/>
  <c r="K1398" i="12"/>
  <c r="K1974" i="12"/>
  <c r="K152" i="12"/>
  <c r="K600" i="12"/>
  <c r="K984" i="12"/>
  <c r="K1368" i="12"/>
  <c r="K1752" i="12"/>
  <c r="K2136" i="12"/>
  <c r="K2364" i="12"/>
  <c r="K2748" i="12"/>
  <c r="K135" i="12"/>
  <c r="K2517" i="12"/>
  <c r="K2901" i="12"/>
  <c r="K1871" i="12"/>
  <c r="K2670" i="12"/>
  <c r="K3054" i="12"/>
  <c r="K2311" i="12"/>
  <c r="K2695" i="12"/>
  <c r="K223" i="12"/>
  <c r="K2528" i="12"/>
  <c r="K3040" i="12"/>
  <c r="K2297" i="12"/>
  <c r="K2681" i="12"/>
  <c r="K3065" i="12"/>
  <c r="K2451" i="12"/>
  <c r="K2963" i="12"/>
  <c r="K751" i="12"/>
  <c r="K2306" i="12"/>
  <c r="K2759" i="12"/>
  <c r="I5" i="12"/>
  <c r="I13" i="12"/>
  <c r="I21" i="12"/>
  <c r="I29" i="12"/>
  <c r="I37" i="12"/>
  <c r="I45" i="12"/>
  <c r="I53" i="12"/>
  <c r="I61" i="12"/>
  <c r="I69" i="12"/>
  <c r="I77" i="12"/>
  <c r="I85" i="12"/>
  <c r="I93" i="12"/>
  <c r="I101" i="12"/>
  <c r="I109" i="12"/>
  <c r="I117" i="12"/>
  <c r="I125" i="12"/>
  <c r="I133" i="12"/>
  <c r="I141" i="12"/>
  <c r="I149" i="12"/>
  <c r="I157" i="12"/>
  <c r="I165" i="12"/>
  <c r="I173" i="12"/>
  <c r="I181" i="12"/>
  <c r="I189" i="12"/>
  <c r="I197" i="12"/>
  <c r="I205" i="12"/>
  <c r="I213" i="12"/>
  <c r="I221" i="12"/>
  <c r="I229" i="12"/>
  <c r="I237" i="12"/>
  <c r="I245" i="12"/>
  <c r="I253" i="12"/>
  <c r="I261" i="12"/>
  <c r="I269" i="12"/>
  <c r="I277" i="12"/>
  <c r="I285" i="12"/>
  <c r="I293" i="12"/>
  <c r="I301" i="12"/>
  <c r="I309" i="12"/>
  <c r="I317" i="12"/>
  <c r="I325" i="12"/>
  <c r="I333" i="12"/>
  <c r="I341" i="12"/>
  <c r="I349" i="12"/>
  <c r="I357" i="12"/>
  <c r="I365" i="12"/>
  <c r="I373" i="12"/>
  <c r="I381" i="12"/>
  <c r="I389" i="12"/>
  <c r="I397" i="12"/>
  <c r="I405" i="12"/>
  <c r="I413" i="12"/>
  <c r="I421" i="12"/>
  <c r="I429" i="12"/>
  <c r="I437" i="12"/>
  <c r="I445" i="12"/>
  <c r="I453" i="12"/>
  <c r="I461" i="12"/>
  <c r="I469" i="12"/>
  <c r="I477" i="12"/>
  <c r="I485" i="12"/>
  <c r="I493" i="12"/>
  <c r="I501" i="12"/>
  <c r="I509" i="12"/>
  <c r="I517" i="12"/>
  <c r="I525" i="12"/>
  <c r="I533" i="12"/>
  <c r="I541" i="12"/>
  <c r="I549" i="12"/>
  <c r="I557" i="12"/>
  <c r="I565" i="12"/>
  <c r="I573" i="12"/>
  <c r="I581" i="12"/>
  <c r="I589" i="12"/>
  <c r="I597" i="12"/>
  <c r="I605" i="12"/>
  <c r="I613" i="12"/>
  <c r="I621" i="12"/>
  <c r="I629" i="12"/>
  <c r="I637" i="12"/>
  <c r="I645" i="12"/>
  <c r="I653" i="12"/>
  <c r="I661" i="12"/>
  <c r="I669" i="12"/>
  <c r="I677" i="12"/>
  <c r="I685" i="12"/>
  <c r="I693" i="12"/>
  <c r="I701" i="12"/>
  <c r="I709" i="12"/>
  <c r="I717" i="12"/>
  <c r="I725" i="12"/>
  <c r="I733" i="12"/>
  <c r="I741" i="12"/>
  <c r="I749" i="12"/>
  <c r="I757" i="12"/>
  <c r="I765" i="12"/>
  <c r="I773" i="12"/>
  <c r="I781" i="12"/>
  <c r="I789" i="12"/>
  <c r="I797" i="12"/>
  <c r="I805" i="12"/>
  <c r="I813" i="12"/>
  <c r="I821" i="12"/>
  <c r="I829" i="12"/>
  <c r="I837" i="12"/>
  <c r="I845" i="12"/>
  <c r="I853" i="12"/>
  <c r="I861" i="12"/>
  <c r="I869" i="12"/>
  <c r="I877" i="12"/>
  <c r="I885" i="12"/>
  <c r="I893" i="12"/>
  <c r="I901" i="12"/>
  <c r="I909" i="12"/>
  <c r="I917" i="12"/>
  <c r="I925" i="12"/>
  <c r="I933" i="12"/>
  <c r="I941" i="12"/>
  <c r="I949" i="12"/>
  <c r="I957" i="12"/>
  <c r="I965" i="12"/>
  <c r="I973" i="12"/>
  <c r="I981" i="12"/>
  <c r="I989" i="12"/>
  <c r="I997" i="12"/>
  <c r="I1005" i="12"/>
  <c r="I1013" i="12"/>
  <c r="I1021" i="12"/>
  <c r="I1029" i="12"/>
  <c r="I1037" i="12"/>
  <c r="I1045" i="12"/>
  <c r="I1053" i="12"/>
  <c r="I1061" i="12"/>
  <c r="I1069" i="12"/>
  <c r="I1077" i="12"/>
  <c r="I1085" i="12"/>
  <c r="I1093" i="12"/>
  <c r="I1101" i="12"/>
  <c r="I1109" i="12"/>
  <c r="I1117" i="12"/>
  <c r="I1125" i="12"/>
  <c r="I1133" i="12"/>
  <c r="I1141" i="12"/>
  <c r="I1149" i="12"/>
  <c r="I1157" i="12"/>
  <c r="I1165" i="12"/>
  <c r="I1173" i="12"/>
  <c r="I1181" i="12"/>
  <c r="I1189" i="12"/>
  <c r="I1197" i="12"/>
  <c r="I1205" i="12"/>
  <c r="I1213" i="12"/>
  <c r="I1221" i="12"/>
  <c r="I1229" i="12"/>
  <c r="I1237" i="12"/>
  <c r="I1245" i="12"/>
  <c r="I1253" i="12"/>
  <c r="I1261" i="12"/>
  <c r="I1269" i="12"/>
  <c r="I1277" i="12"/>
  <c r="I1285" i="12"/>
  <c r="I1293" i="12"/>
  <c r="I1301" i="12"/>
  <c r="I1309" i="12"/>
  <c r="I1317" i="12"/>
  <c r="I1325" i="12"/>
  <c r="I1333" i="12"/>
  <c r="I1341" i="12"/>
  <c r="I1349" i="12"/>
  <c r="I1357" i="12"/>
  <c r="I1365" i="12"/>
  <c r="I1373" i="12"/>
  <c r="I1381" i="12"/>
  <c r="I1389" i="12"/>
  <c r="I1397" i="12"/>
  <c r="I1405" i="12"/>
  <c r="I1413" i="12"/>
  <c r="I1421" i="12"/>
  <c r="I1429" i="12"/>
  <c r="I1437" i="12"/>
  <c r="I1445" i="12"/>
  <c r="I1453" i="12"/>
  <c r="I1461" i="12"/>
  <c r="I1469" i="12"/>
  <c r="I1477" i="12"/>
  <c r="I1485" i="12"/>
  <c r="I1494" i="12"/>
  <c r="I1502" i="12"/>
  <c r="I1510" i="12"/>
  <c r="I1518" i="12"/>
  <c r="I1526" i="12"/>
  <c r="I1534" i="12"/>
  <c r="I6" i="12"/>
  <c r="I14" i="12"/>
  <c r="I22" i="12"/>
  <c r="I30" i="12"/>
  <c r="I38" i="12"/>
  <c r="I46" i="12"/>
  <c r="I54" i="12"/>
  <c r="I62" i="12"/>
  <c r="I70" i="12"/>
  <c r="I78" i="12"/>
  <c r="I86" i="12"/>
  <c r="I94" i="12"/>
  <c r="I102" i="12"/>
  <c r="I110" i="12"/>
  <c r="I118" i="12"/>
  <c r="I126" i="12"/>
  <c r="I134" i="12"/>
  <c r="I142" i="12"/>
  <c r="I150" i="12"/>
  <c r="I158" i="12"/>
  <c r="I166" i="12"/>
  <c r="I174" i="12"/>
  <c r="I182" i="12"/>
  <c r="I190" i="12"/>
  <c r="I198" i="12"/>
  <c r="I206" i="12"/>
  <c r="I214" i="12"/>
  <c r="I222" i="12"/>
  <c r="I230" i="12"/>
  <c r="I238" i="12"/>
  <c r="I246" i="12"/>
  <c r="I254" i="12"/>
  <c r="I262" i="12"/>
  <c r="I270" i="12"/>
  <c r="I278" i="12"/>
  <c r="I286" i="12"/>
  <c r="I294" i="12"/>
  <c r="I302" i="12"/>
  <c r="I310" i="12"/>
  <c r="I318" i="12"/>
  <c r="I326" i="12"/>
  <c r="I334" i="12"/>
  <c r="I342" i="12"/>
  <c r="I350" i="12"/>
  <c r="I358" i="12"/>
  <c r="I366" i="12"/>
  <c r="I374" i="12"/>
  <c r="I382" i="12"/>
  <c r="I390" i="12"/>
  <c r="I398" i="12"/>
  <c r="I406" i="12"/>
  <c r="I414" i="12"/>
  <c r="I422" i="12"/>
  <c r="I430" i="12"/>
  <c r="I438" i="12"/>
  <c r="I446" i="12"/>
  <c r="I454" i="12"/>
  <c r="I462" i="12"/>
  <c r="I470" i="12"/>
  <c r="I478" i="12"/>
  <c r="I486" i="12"/>
  <c r="I494" i="12"/>
  <c r="I502" i="12"/>
  <c r="I510" i="12"/>
  <c r="I518" i="12"/>
  <c r="I526" i="12"/>
  <c r="I534" i="12"/>
  <c r="I542" i="12"/>
  <c r="I550" i="12"/>
  <c r="I558" i="12"/>
  <c r="I566" i="12"/>
  <c r="I574" i="12"/>
  <c r="I582" i="12"/>
  <c r="I590" i="12"/>
  <c r="I598" i="12"/>
  <c r="I606" i="12"/>
  <c r="I614" i="12"/>
  <c r="I622" i="12"/>
  <c r="I630" i="12"/>
  <c r="I638" i="12"/>
  <c r="I646" i="12"/>
  <c r="I654" i="12"/>
  <c r="I662" i="12"/>
  <c r="I670" i="12"/>
  <c r="I678" i="12"/>
  <c r="I686" i="12"/>
  <c r="I694" i="12"/>
  <c r="I702" i="12"/>
  <c r="I710" i="12"/>
  <c r="I718" i="12"/>
  <c r="I726" i="12"/>
  <c r="I734" i="12"/>
  <c r="I742" i="12"/>
  <c r="I750" i="12"/>
  <c r="I758" i="12"/>
  <c r="I766" i="12"/>
  <c r="I774" i="12"/>
  <c r="I782" i="12"/>
  <c r="I790" i="12"/>
  <c r="I798" i="12"/>
  <c r="I806" i="12"/>
  <c r="I814" i="12"/>
  <c r="I822" i="12"/>
  <c r="I830" i="12"/>
  <c r="I838" i="12"/>
  <c r="I846" i="12"/>
  <c r="I854" i="12"/>
  <c r="I862" i="12"/>
  <c r="I870" i="12"/>
  <c r="I878" i="12"/>
  <c r="I886" i="12"/>
  <c r="I894" i="12"/>
  <c r="I902" i="12"/>
  <c r="I910" i="12"/>
  <c r="I918" i="12"/>
  <c r="I926" i="12"/>
  <c r="I934" i="12"/>
  <c r="I942" i="12"/>
  <c r="I950" i="12"/>
  <c r="I958" i="12"/>
  <c r="I966" i="12"/>
  <c r="I974" i="12"/>
  <c r="I982" i="12"/>
  <c r="I990" i="12"/>
  <c r="I998" i="12"/>
  <c r="I1006" i="12"/>
  <c r="I1014" i="12"/>
  <c r="I1022" i="12"/>
  <c r="I1030" i="12"/>
  <c r="I1038" i="12"/>
  <c r="I1046" i="12"/>
  <c r="I1054" i="12"/>
  <c r="I1062" i="12"/>
  <c r="I1070" i="12"/>
  <c r="I1078" i="12"/>
  <c r="I1086" i="12"/>
  <c r="I1094" i="12"/>
  <c r="I1102" i="12"/>
  <c r="I1110" i="12"/>
  <c r="I1118" i="12"/>
  <c r="I1126" i="12"/>
  <c r="I1134" i="12"/>
  <c r="I1142" i="12"/>
  <c r="I1150" i="12"/>
  <c r="I1158" i="12"/>
  <c r="I1166" i="12"/>
  <c r="I1174" i="12"/>
  <c r="I1182" i="12"/>
  <c r="I1190" i="12"/>
  <c r="I1198" i="12"/>
  <c r="I1206" i="12"/>
  <c r="I1214" i="12"/>
  <c r="I1222" i="12"/>
  <c r="I1230" i="12"/>
  <c r="I1238" i="12"/>
  <c r="I1246" i="12"/>
  <c r="I1254" i="12"/>
  <c r="I1262" i="12"/>
  <c r="I1270" i="12"/>
  <c r="I1278" i="12"/>
  <c r="I1286" i="12"/>
  <c r="I1294" i="12"/>
  <c r="I1302" i="12"/>
  <c r="I1310" i="12"/>
  <c r="I1318" i="12"/>
  <c r="I1326" i="12"/>
  <c r="I1334" i="12"/>
  <c r="I1342" i="12"/>
  <c r="I1350" i="12"/>
  <c r="I1358" i="12"/>
  <c r="I1366" i="12"/>
  <c r="I1374" i="12"/>
  <c r="I1382" i="12"/>
  <c r="I1390" i="12"/>
  <c r="I1398" i="12"/>
  <c r="I1406" i="12"/>
  <c r="I1414" i="12"/>
  <c r="I1422" i="12"/>
  <c r="I1430" i="12"/>
  <c r="I1438" i="12"/>
  <c r="I1446" i="12"/>
  <c r="I1454" i="12"/>
  <c r="I1462" i="12"/>
  <c r="I1470" i="12"/>
  <c r="I1478" i="12"/>
  <c r="I1486" i="12"/>
  <c r="I1495" i="12"/>
  <c r="I1503" i="12"/>
  <c r="I1511" i="12"/>
  <c r="I1519" i="12"/>
  <c r="I1527" i="12"/>
  <c r="I1535" i="12"/>
  <c r="I1543" i="12"/>
  <c r="I7" i="12"/>
  <c r="I15" i="12"/>
  <c r="I23" i="12"/>
  <c r="I31" i="12"/>
  <c r="I39" i="12"/>
  <c r="I47" i="12"/>
  <c r="I55" i="12"/>
  <c r="I63" i="12"/>
  <c r="I71" i="12"/>
  <c r="I79" i="12"/>
  <c r="I87" i="12"/>
  <c r="I95" i="12"/>
  <c r="I103" i="12"/>
  <c r="I111" i="12"/>
  <c r="I119" i="12"/>
  <c r="I127" i="12"/>
  <c r="I135" i="12"/>
  <c r="I143" i="12"/>
  <c r="I151" i="12"/>
  <c r="I159" i="12"/>
  <c r="I167" i="12"/>
  <c r="I175" i="12"/>
  <c r="I183" i="12"/>
  <c r="I191" i="12"/>
  <c r="I199" i="12"/>
  <c r="I207" i="12"/>
  <c r="I215" i="12"/>
  <c r="I223" i="12"/>
  <c r="I231" i="12"/>
  <c r="I239" i="12"/>
  <c r="I247" i="12"/>
  <c r="I255" i="12"/>
  <c r="I263" i="12"/>
  <c r="I271" i="12"/>
  <c r="I279" i="12"/>
  <c r="I287" i="12"/>
  <c r="I295" i="12"/>
  <c r="I303" i="12"/>
  <c r="I311" i="12"/>
  <c r="I319" i="12"/>
  <c r="I327" i="12"/>
  <c r="I335" i="12"/>
  <c r="I343" i="12"/>
  <c r="I351" i="12"/>
  <c r="I359" i="12"/>
  <c r="I367" i="12"/>
  <c r="I375" i="12"/>
  <c r="I383" i="12"/>
  <c r="I391" i="12"/>
  <c r="I399" i="12"/>
  <c r="I407" i="12"/>
  <c r="I415" i="12"/>
  <c r="I423" i="12"/>
  <c r="I431" i="12"/>
  <c r="I439" i="12"/>
  <c r="I447" i="12"/>
  <c r="I455" i="12"/>
  <c r="I463" i="12"/>
  <c r="I471" i="12"/>
  <c r="I479" i="12"/>
  <c r="I487" i="12"/>
  <c r="I495" i="12"/>
  <c r="I503" i="12"/>
  <c r="I511" i="12"/>
  <c r="I519" i="12"/>
  <c r="I527" i="12"/>
  <c r="I535" i="12"/>
  <c r="I543" i="12"/>
  <c r="I551" i="12"/>
  <c r="I559" i="12"/>
  <c r="I567" i="12"/>
  <c r="I575" i="12"/>
  <c r="I583" i="12"/>
  <c r="I591" i="12"/>
  <c r="I599" i="12"/>
  <c r="I607" i="12"/>
  <c r="I615" i="12"/>
  <c r="I623" i="12"/>
  <c r="I631" i="12"/>
  <c r="I639" i="12"/>
  <c r="I647" i="12"/>
  <c r="I655" i="12"/>
  <c r="I663" i="12"/>
  <c r="I671" i="12"/>
  <c r="I679" i="12"/>
  <c r="I687" i="12"/>
  <c r="I695" i="12"/>
  <c r="I703" i="12"/>
  <c r="I711" i="12"/>
  <c r="I719" i="12"/>
  <c r="I727" i="12"/>
  <c r="I735" i="12"/>
  <c r="I743" i="12"/>
  <c r="I751" i="12"/>
  <c r="I759" i="12"/>
  <c r="I767" i="12"/>
  <c r="I775" i="12"/>
  <c r="I783" i="12"/>
  <c r="I791" i="12"/>
  <c r="I799" i="12"/>
  <c r="I807" i="12"/>
  <c r="I815" i="12"/>
  <c r="I823" i="12"/>
  <c r="I831" i="12"/>
  <c r="I839" i="12"/>
  <c r="I847" i="12"/>
  <c r="I855" i="12"/>
  <c r="I863" i="12"/>
  <c r="I871" i="12"/>
  <c r="I879" i="12"/>
  <c r="I887" i="12"/>
  <c r="I895" i="12"/>
  <c r="I903" i="12"/>
  <c r="I911" i="12"/>
  <c r="I919" i="12"/>
  <c r="I927" i="12"/>
  <c r="I935" i="12"/>
  <c r="I943" i="12"/>
  <c r="I951" i="12"/>
  <c r="I959" i="12"/>
  <c r="I967" i="12"/>
  <c r="I975" i="12"/>
  <c r="I983" i="12"/>
  <c r="I991" i="12"/>
  <c r="I999" i="12"/>
  <c r="I1007" i="12"/>
  <c r="I1015" i="12"/>
  <c r="I1023" i="12"/>
  <c r="I1031" i="12"/>
  <c r="I1039" i="12"/>
  <c r="I1047" i="12"/>
  <c r="I1055" i="12"/>
  <c r="I1063" i="12"/>
  <c r="I1071" i="12"/>
  <c r="I1079" i="12"/>
  <c r="I1087" i="12"/>
  <c r="I1095" i="12"/>
  <c r="I1103" i="12"/>
  <c r="I1111" i="12"/>
  <c r="I1119" i="12"/>
  <c r="I1127" i="12"/>
  <c r="I1135" i="12"/>
  <c r="I1143" i="12"/>
  <c r="I1151" i="12"/>
  <c r="I1159" i="12"/>
  <c r="I1167" i="12"/>
  <c r="I1175" i="12"/>
  <c r="I1183" i="12"/>
  <c r="I1191" i="12"/>
  <c r="I1199" i="12"/>
  <c r="I1207" i="12"/>
  <c r="I1215" i="12"/>
  <c r="I1223" i="12"/>
  <c r="I1231" i="12"/>
  <c r="I1239" i="12"/>
  <c r="I1247" i="12"/>
  <c r="I1255" i="12"/>
  <c r="I1263" i="12"/>
  <c r="I1271" i="12"/>
  <c r="I1279" i="12"/>
  <c r="I1287" i="12"/>
  <c r="I1295" i="12"/>
  <c r="I1303" i="12"/>
  <c r="I1311" i="12"/>
  <c r="I1319" i="12"/>
  <c r="I1327" i="12"/>
  <c r="I1335" i="12"/>
  <c r="I1343" i="12"/>
  <c r="I1351" i="12"/>
  <c r="I1359" i="12"/>
  <c r="I1367" i="12"/>
  <c r="I1375" i="12"/>
  <c r="I1383" i="12"/>
  <c r="I1391" i="12"/>
  <c r="I1399" i="12"/>
  <c r="I1407" i="12"/>
  <c r="I1415" i="12"/>
  <c r="I1423" i="12"/>
  <c r="I1431" i="12"/>
  <c r="I1439" i="12"/>
  <c r="I1447" i="12"/>
  <c r="I1455" i="12"/>
  <c r="I1463" i="12"/>
  <c r="I1471" i="12"/>
  <c r="I1479" i="12"/>
  <c r="I1487" i="12"/>
  <c r="I1496" i="12"/>
  <c r="I1504" i="12"/>
  <c r="I1512" i="12"/>
  <c r="I1520" i="12"/>
  <c r="I1528" i="12"/>
  <c r="I8" i="12"/>
  <c r="I16" i="12"/>
  <c r="I24" i="12"/>
  <c r="I32" i="12"/>
  <c r="I40" i="12"/>
  <c r="I48" i="12"/>
  <c r="I56" i="12"/>
  <c r="I64" i="12"/>
  <c r="I72" i="12"/>
  <c r="I80" i="12"/>
  <c r="I88" i="12"/>
  <c r="I96" i="12"/>
  <c r="I104" i="12"/>
  <c r="I112" i="12"/>
  <c r="I120" i="12"/>
  <c r="I128" i="12"/>
  <c r="I136" i="12"/>
  <c r="I144" i="12"/>
  <c r="I152" i="12"/>
  <c r="I160" i="12"/>
  <c r="I168" i="12"/>
  <c r="I176" i="12"/>
  <c r="I184" i="12"/>
  <c r="I192" i="12"/>
  <c r="I200" i="12"/>
  <c r="I208" i="12"/>
  <c r="I216" i="12"/>
  <c r="I224" i="12"/>
  <c r="I232" i="12"/>
  <c r="I240" i="12"/>
  <c r="I248" i="12"/>
  <c r="I256" i="12"/>
  <c r="I264" i="12"/>
  <c r="I272" i="12"/>
  <c r="I280" i="12"/>
  <c r="I288" i="12"/>
  <c r="I296" i="12"/>
  <c r="I304" i="12"/>
  <c r="I312" i="12"/>
  <c r="I320" i="12"/>
  <c r="I328" i="12"/>
  <c r="I336" i="12"/>
  <c r="I344" i="12"/>
  <c r="I352" i="12"/>
  <c r="I360" i="12"/>
  <c r="I368" i="12"/>
  <c r="I376" i="12"/>
  <c r="I384" i="12"/>
  <c r="I392" i="12"/>
  <c r="I400" i="12"/>
  <c r="I408" i="12"/>
  <c r="I416" i="12"/>
  <c r="I424" i="12"/>
  <c r="I432" i="12"/>
  <c r="I440" i="12"/>
  <c r="I448" i="12"/>
  <c r="I456" i="12"/>
  <c r="I464" i="12"/>
  <c r="I472" i="12"/>
  <c r="I480" i="12"/>
  <c r="I488" i="12"/>
  <c r="I496" i="12"/>
  <c r="I504" i="12"/>
  <c r="I512" i="12"/>
  <c r="I520" i="12"/>
  <c r="I528" i="12"/>
  <c r="I536" i="12"/>
  <c r="I544" i="12"/>
  <c r="I552" i="12"/>
  <c r="I560" i="12"/>
  <c r="I568" i="12"/>
  <c r="I576" i="12"/>
  <c r="I584" i="12"/>
  <c r="I592" i="12"/>
  <c r="I600" i="12"/>
  <c r="I608" i="12"/>
  <c r="I616" i="12"/>
  <c r="I624" i="12"/>
  <c r="I632" i="12"/>
  <c r="I640" i="12"/>
  <c r="I648" i="12"/>
  <c r="I656" i="12"/>
  <c r="I664" i="12"/>
  <c r="I672" i="12"/>
  <c r="I680" i="12"/>
  <c r="I688" i="12"/>
  <c r="I696" i="12"/>
  <c r="I704" i="12"/>
  <c r="I712" i="12"/>
  <c r="I720" i="12"/>
  <c r="I728" i="12"/>
  <c r="I736" i="12"/>
  <c r="I744" i="12"/>
  <c r="I752" i="12"/>
  <c r="I760" i="12"/>
  <c r="I768" i="12"/>
  <c r="I776" i="12"/>
  <c r="I784" i="12"/>
  <c r="I792" i="12"/>
  <c r="I800" i="12"/>
  <c r="I808" i="12"/>
  <c r="I816" i="12"/>
  <c r="I824" i="12"/>
  <c r="I832" i="12"/>
  <c r="I840" i="12"/>
  <c r="I848" i="12"/>
  <c r="I856" i="12"/>
  <c r="I864" i="12"/>
  <c r="I872" i="12"/>
  <c r="I880" i="12"/>
  <c r="I888" i="12"/>
  <c r="I896" i="12"/>
  <c r="I904" i="12"/>
  <c r="I912" i="12"/>
  <c r="I920" i="12"/>
  <c r="I928" i="12"/>
  <c r="I936" i="12"/>
  <c r="I944" i="12"/>
  <c r="I952" i="12"/>
  <c r="I960" i="12"/>
  <c r="I968" i="12"/>
  <c r="I976" i="12"/>
  <c r="I984" i="12"/>
  <c r="I992" i="12"/>
  <c r="I1000" i="12"/>
  <c r="I1008" i="12"/>
  <c r="I1016" i="12"/>
  <c r="I1024" i="12"/>
  <c r="I1032" i="12"/>
  <c r="I1040" i="12"/>
  <c r="I1048" i="12"/>
  <c r="I1056" i="12"/>
  <c r="I1064" i="12"/>
  <c r="I1072" i="12"/>
  <c r="I1080" i="12"/>
  <c r="I1088" i="12"/>
  <c r="I1096" i="12"/>
  <c r="I1104" i="12"/>
  <c r="I1112" i="12"/>
  <c r="I1120" i="12"/>
  <c r="I1128" i="12"/>
  <c r="I1136" i="12"/>
  <c r="I1144" i="12"/>
  <c r="I1152" i="12"/>
  <c r="I1160" i="12"/>
  <c r="I1168" i="12"/>
  <c r="I1176" i="12"/>
  <c r="I1184" i="12"/>
  <c r="I1192" i="12"/>
  <c r="I1200" i="12"/>
  <c r="I1208" i="12"/>
  <c r="I1216" i="12"/>
  <c r="I1224" i="12"/>
  <c r="I1232" i="12"/>
  <c r="I1240" i="12"/>
  <c r="I1248" i="12"/>
  <c r="I1256" i="12"/>
  <c r="I1264" i="12"/>
  <c r="I1272" i="12"/>
  <c r="I1280" i="12"/>
  <c r="I1288" i="12"/>
  <c r="I1296" i="12"/>
  <c r="I1304" i="12"/>
  <c r="I1312" i="12"/>
  <c r="I1320" i="12"/>
  <c r="I1328" i="12"/>
  <c r="I1336" i="12"/>
  <c r="I1344" i="12"/>
  <c r="I1352" i="12"/>
  <c r="I1360" i="12"/>
  <c r="I1368" i="12"/>
  <c r="I1376" i="12"/>
  <c r="I1384" i="12"/>
  <c r="I1392" i="12"/>
  <c r="I1400" i="12"/>
  <c r="I1408" i="12"/>
  <c r="I1416" i="12"/>
  <c r="I1424" i="12"/>
  <c r="I1432" i="12"/>
  <c r="I1440" i="12"/>
  <c r="I1448" i="12"/>
  <c r="I1456" i="12"/>
  <c r="I1464" i="12"/>
  <c r="I1472" i="12"/>
  <c r="I1480" i="12"/>
  <c r="I1488" i="12"/>
  <c r="I1497" i="12"/>
  <c r="I1505" i="12"/>
  <c r="I1513" i="12"/>
  <c r="I1521" i="12"/>
  <c r="I1529" i="12"/>
  <c r="I9" i="12"/>
  <c r="I17" i="12"/>
  <c r="I25" i="12"/>
  <c r="I33" i="12"/>
  <c r="I41" i="12"/>
  <c r="I49" i="12"/>
  <c r="I57" i="12"/>
  <c r="I65" i="12"/>
  <c r="I73" i="12"/>
  <c r="I81" i="12"/>
  <c r="I89" i="12"/>
  <c r="I97" i="12"/>
  <c r="I105" i="12"/>
  <c r="I113" i="12"/>
  <c r="I121" i="12"/>
  <c r="I129" i="12"/>
  <c r="I137" i="12"/>
  <c r="I145" i="12"/>
  <c r="I153" i="12"/>
  <c r="I161" i="12"/>
  <c r="I169" i="12"/>
  <c r="I177" i="12"/>
  <c r="I185" i="12"/>
  <c r="I193" i="12"/>
  <c r="I201" i="12"/>
  <c r="I209" i="12"/>
  <c r="I217" i="12"/>
  <c r="I225" i="12"/>
  <c r="I233" i="12"/>
  <c r="I241" i="12"/>
  <c r="I249" i="12"/>
  <c r="I257" i="12"/>
  <c r="I265" i="12"/>
  <c r="I273" i="12"/>
  <c r="I281" i="12"/>
  <c r="I289" i="12"/>
  <c r="I297" i="12"/>
  <c r="I305" i="12"/>
  <c r="I313" i="12"/>
  <c r="I321" i="12"/>
  <c r="I329" i="12"/>
  <c r="I337" i="12"/>
  <c r="I345" i="12"/>
  <c r="I353" i="12"/>
  <c r="I361" i="12"/>
  <c r="I369" i="12"/>
  <c r="I377" i="12"/>
  <c r="I385" i="12"/>
  <c r="I393" i="12"/>
  <c r="I401" i="12"/>
  <c r="I409" i="12"/>
  <c r="I417" i="12"/>
  <c r="I425" i="12"/>
  <c r="I433" i="12"/>
  <c r="I441" i="12"/>
  <c r="I449" i="12"/>
  <c r="I457" i="12"/>
  <c r="I465" i="12"/>
  <c r="I473" i="12"/>
  <c r="I481" i="12"/>
  <c r="I489" i="12"/>
  <c r="I497" i="12"/>
  <c r="I505" i="12"/>
  <c r="I513" i="12"/>
  <c r="I521" i="12"/>
  <c r="I529" i="12"/>
  <c r="I537" i="12"/>
  <c r="I545" i="12"/>
  <c r="I553" i="12"/>
  <c r="I561" i="12"/>
  <c r="I569" i="12"/>
  <c r="I577" i="12"/>
  <c r="I585" i="12"/>
  <c r="I593" i="12"/>
  <c r="I601" i="12"/>
  <c r="I609" i="12"/>
  <c r="I617" i="12"/>
  <c r="I625" i="12"/>
  <c r="I633" i="12"/>
  <c r="I641" i="12"/>
  <c r="I649" i="12"/>
  <c r="I657" i="12"/>
  <c r="I665" i="12"/>
  <c r="I673" i="12"/>
  <c r="I681" i="12"/>
  <c r="I689" i="12"/>
  <c r="I697" i="12"/>
  <c r="I705" i="12"/>
  <c r="I713" i="12"/>
  <c r="I721" i="12"/>
  <c r="I729" i="12"/>
  <c r="I737" i="12"/>
  <c r="I745" i="12"/>
  <c r="I753" i="12"/>
  <c r="I761" i="12"/>
  <c r="I769" i="12"/>
  <c r="I777" i="12"/>
  <c r="I785" i="12"/>
  <c r="I793" i="12"/>
  <c r="I801" i="12"/>
  <c r="I809" i="12"/>
  <c r="I817" i="12"/>
  <c r="I825" i="12"/>
  <c r="I833" i="12"/>
  <c r="I841" i="12"/>
  <c r="I849" i="12"/>
  <c r="I857" i="12"/>
  <c r="I865" i="12"/>
  <c r="I873" i="12"/>
  <c r="I881" i="12"/>
  <c r="I889" i="12"/>
  <c r="I897" i="12"/>
  <c r="I905" i="12"/>
  <c r="I913" i="12"/>
  <c r="I921" i="12"/>
  <c r="I929" i="12"/>
  <c r="I937" i="12"/>
  <c r="I945" i="12"/>
  <c r="I953" i="12"/>
  <c r="I961" i="12"/>
  <c r="I969" i="12"/>
  <c r="I977" i="12"/>
  <c r="I985" i="12"/>
  <c r="I993" i="12"/>
  <c r="I1001" i="12"/>
  <c r="I1009" i="12"/>
  <c r="I1017" i="12"/>
  <c r="I1025" i="12"/>
  <c r="I1033" i="12"/>
  <c r="I1041" i="12"/>
  <c r="I1049" i="12"/>
  <c r="I1057" i="12"/>
  <c r="I1065" i="12"/>
  <c r="I1073" i="12"/>
  <c r="I1081" i="12"/>
  <c r="I1089" i="12"/>
  <c r="I1097" i="12"/>
  <c r="I1105" i="12"/>
  <c r="I1113" i="12"/>
  <c r="I1121" i="12"/>
  <c r="I1129" i="12"/>
  <c r="I1137" i="12"/>
  <c r="I1145" i="12"/>
  <c r="I1153" i="12"/>
  <c r="I1161" i="12"/>
  <c r="I1169" i="12"/>
  <c r="I1177" i="12"/>
  <c r="I1185" i="12"/>
  <c r="I1193" i="12"/>
  <c r="I1201" i="12"/>
  <c r="I1209" i="12"/>
  <c r="I1217" i="12"/>
  <c r="I1225" i="12"/>
  <c r="I1233" i="12"/>
  <c r="I1241" i="12"/>
  <c r="I1249" i="12"/>
  <c r="I1257" i="12"/>
  <c r="I1265" i="12"/>
  <c r="I1273" i="12"/>
  <c r="I1281" i="12"/>
  <c r="I1289" i="12"/>
  <c r="I1297" i="12"/>
  <c r="I1305" i="12"/>
  <c r="I1313" i="12"/>
  <c r="I1321" i="12"/>
  <c r="I1329" i="12"/>
  <c r="I1337" i="12"/>
  <c r="I1345" i="12"/>
  <c r="I1353" i="12"/>
  <c r="I1361" i="12"/>
  <c r="I1369" i="12"/>
  <c r="I1377" i="12"/>
  <c r="I1385" i="12"/>
  <c r="I1393" i="12"/>
  <c r="I1401" i="12"/>
  <c r="I1409" i="12"/>
  <c r="I1417" i="12"/>
  <c r="I1425" i="12"/>
  <c r="I1433" i="12"/>
  <c r="I1441" i="12"/>
  <c r="I1449" i="12"/>
  <c r="I1457" i="12"/>
  <c r="I1465" i="12"/>
  <c r="I1473" i="12"/>
  <c r="I1481" i="12"/>
  <c r="I1489" i="12"/>
  <c r="I1498" i="12"/>
  <c r="I1506" i="12"/>
  <c r="I1514" i="12"/>
  <c r="I1522" i="12"/>
  <c r="I1530" i="12"/>
  <c r="I10" i="12"/>
  <c r="I18" i="12"/>
  <c r="I26" i="12"/>
  <c r="I34" i="12"/>
  <c r="I42" i="12"/>
  <c r="I50" i="12"/>
  <c r="I58" i="12"/>
  <c r="I66" i="12"/>
  <c r="I74" i="12"/>
  <c r="I82" i="12"/>
  <c r="I90" i="12"/>
  <c r="I98" i="12"/>
  <c r="I106" i="12"/>
  <c r="I114" i="12"/>
  <c r="I122" i="12"/>
  <c r="I130" i="12"/>
  <c r="I138" i="12"/>
  <c r="I146" i="12"/>
  <c r="I154" i="12"/>
  <c r="I162" i="12"/>
  <c r="I170" i="12"/>
  <c r="I178" i="12"/>
  <c r="I186" i="12"/>
  <c r="I194" i="12"/>
  <c r="I202" i="12"/>
  <c r="I210" i="12"/>
  <c r="I218" i="12"/>
  <c r="I226" i="12"/>
  <c r="I234" i="12"/>
  <c r="I242" i="12"/>
  <c r="I250" i="12"/>
  <c r="I258" i="12"/>
  <c r="I266" i="12"/>
  <c r="I274" i="12"/>
  <c r="I282" i="12"/>
  <c r="I290" i="12"/>
  <c r="I298" i="12"/>
  <c r="I306" i="12"/>
  <c r="I314" i="12"/>
  <c r="I322" i="12"/>
  <c r="I330" i="12"/>
  <c r="I338" i="12"/>
  <c r="I346" i="12"/>
  <c r="I354" i="12"/>
  <c r="I362" i="12"/>
  <c r="I370" i="12"/>
  <c r="I378" i="12"/>
  <c r="I386" i="12"/>
  <c r="I394" i="12"/>
  <c r="I402" i="12"/>
  <c r="I410" i="12"/>
  <c r="I418" i="12"/>
  <c r="I426" i="12"/>
  <c r="I434" i="12"/>
  <c r="I442" i="12"/>
  <c r="I450" i="12"/>
  <c r="I458" i="12"/>
  <c r="I466" i="12"/>
  <c r="I474" i="12"/>
  <c r="I482" i="12"/>
  <c r="I490" i="12"/>
  <c r="I498" i="12"/>
  <c r="I506" i="12"/>
  <c r="I514" i="12"/>
  <c r="I522" i="12"/>
  <c r="I530" i="12"/>
  <c r="I538" i="12"/>
  <c r="I546" i="12"/>
  <c r="I554" i="12"/>
  <c r="I562" i="12"/>
  <c r="I570" i="12"/>
  <c r="I578" i="12"/>
  <c r="I586" i="12"/>
  <c r="I594" i="12"/>
  <c r="I602" i="12"/>
  <c r="I610" i="12"/>
  <c r="I618" i="12"/>
  <c r="I626" i="12"/>
  <c r="I634" i="12"/>
  <c r="I642" i="12"/>
  <c r="I650" i="12"/>
  <c r="I658" i="12"/>
  <c r="I666" i="12"/>
  <c r="I674" i="12"/>
  <c r="I682" i="12"/>
  <c r="I690" i="12"/>
  <c r="I698" i="12"/>
  <c r="I706" i="12"/>
  <c r="I714" i="12"/>
  <c r="I722" i="12"/>
  <c r="I730" i="12"/>
  <c r="I738" i="12"/>
  <c r="I746" i="12"/>
  <c r="I754" i="12"/>
  <c r="I762" i="12"/>
  <c r="I770" i="12"/>
  <c r="I778" i="12"/>
  <c r="I786" i="12"/>
  <c r="I794" i="12"/>
  <c r="I802" i="12"/>
  <c r="I810" i="12"/>
  <c r="I818" i="12"/>
  <c r="I826" i="12"/>
  <c r="I834" i="12"/>
  <c r="I842" i="12"/>
  <c r="I850" i="12"/>
  <c r="I858" i="12"/>
  <c r="I866" i="12"/>
  <c r="I874" i="12"/>
  <c r="I882" i="12"/>
  <c r="I890" i="12"/>
  <c r="I898" i="12"/>
  <c r="I906" i="12"/>
  <c r="I914" i="12"/>
  <c r="I922" i="12"/>
  <c r="I930" i="12"/>
  <c r="I938" i="12"/>
  <c r="I946" i="12"/>
  <c r="I954" i="12"/>
  <c r="I962" i="12"/>
  <c r="I970" i="12"/>
  <c r="I978" i="12"/>
  <c r="I986" i="12"/>
  <c r="I994" i="12"/>
  <c r="I1002" i="12"/>
  <c r="I1010" i="12"/>
  <c r="I1018" i="12"/>
  <c r="I1026" i="12"/>
  <c r="I1034" i="12"/>
  <c r="I1042" i="12"/>
  <c r="I1050" i="12"/>
  <c r="I1058" i="12"/>
  <c r="I1066" i="12"/>
  <c r="I1074" i="12"/>
  <c r="I1082" i="12"/>
  <c r="I1090" i="12"/>
  <c r="I1098" i="12"/>
  <c r="I1106" i="12"/>
  <c r="I1114" i="12"/>
  <c r="I1122" i="12"/>
  <c r="I1130" i="12"/>
  <c r="I1138" i="12"/>
  <c r="I1146" i="12"/>
  <c r="I1154" i="12"/>
  <c r="I1162" i="12"/>
  <c r="I1170" i="12"/>
  <c r="I1178" i="12"/>
  <c r="I1186" i="12"/>
  <c r="I1194" i="12"/>
  <c r="I1202" i="12"/>
  <c r="I1210" i="12"/>
  <c r="I1218" i="12"/>
  <c r="I1226" i="12"/>
  <c r="I1234" i="12"/>
  <c r="I1242" i="12"/>
  <c r="I1250" i="12"/>
  <c r="I1258" i="12"/>
  <c r="I1266" i="12"/>
  <c r="I1274" i="12"/>
  <c r="I1282" i="12"/>
  <c r="I1290" i="12"/>
  <c r="I1298" i="12"/>
  <c r="I1306" i="12"/>
  <c r="I1314" i="12"/>
  <c r="I1322" i="12"/>
  <c r="I1330" i="12"/>
  <c r="I1338" i="12"/>
  <c r="I1346" i="12"/>
  <c r="I1354" i="12"/>
  <c r="I1362" i="12"/>
  <c r="I1370" i="12"/>
  <c r="I1378" i="12"/>
  <c r="I1386" i="12"/>
  <c r="I1394" i="12"/>
  <c r="I1402" i="12"/>
  <c r="I1410" i="12"/>
  <c r="I1418" i="12"/>
  <c r="I1426" i="12"/>
  <c r="I1434" i="12"/>
  <c r="I1442" i="12"/>
  <c r="I1450" i="12"/>
  <c r="I1458" i="12"/>
  <c r="I1466" i="12"/>
  <c r="I1474" i="12"/>
  <c r="I1482" i="12"/>
  <c r="I1490" i="12"/>
  <c r="I1499" i="12"/>
  <c r="I1507" i="12"/>
  <c r="I4" i="12"/>
  <c r="I12" i="12"/>
  <c r="I20" i="12"/>
  <c r="I28" i="12"/>
  <c r="I36" i="12"/>
  <c r="I44" i="12"/>
  <c r="I52" i="12"/>
  <c r="I60" i="12"/>
  <c r="I68" i="12"/>
  <c r="I76" i="12"/>
  <c r="I84" i="12"/>
  <c r="I92" i="12"/>
  <c r="I100" i="12"/>
  <c r="I108" i="12"/>
  <c r="I116" i="12"/>
  <c r="I124" i="12"/>
  <c r="I132" i="12"/>
  <c r="I140" i="12"/>
  <c r="I148" i="12"/>
  <c r="I156" i="12"/>
  <c r="I164" i="12"/>
  <c r="I172" i="12"/>
  <c r="I180" i="12"/>
  <c r="I188" i="12"/>
  <c r="I196" i="12"/>
  <c r="I204" i="12"/>
  <c r="I212" i="12"/>
  <c r="I220" i="12"/>
  <c r="I228" i="12"/>
  <c r="I236" i="12"/>
  <c r="I244" i="12"/>
  <c r="I252" i="12"/>
  <c r="I260" i="12"/>
  <c r="I268" i="12"/>
  <c r="I276" i="12"/>
  <c r="I284" i="12"/>
  <c r="I292" i="12"/>
  <c r="I300" i="12"/>
  <c r="I308" i="12"/>
  <c r="I316" i="12"/>
  <c r="I324" i="12"/>
  <c r="I332" i="12"/>
  <c r="I340" i="12"/>
  <c r="I348" i="12"/>
  <c r="I356" i="12"/>
  <c r="I364" i="12"/>
  <c r="I372" i="12"/>
  <c r="I380" i="12"/>
  <c r="I388" i="12"/>
  <c r="I396" i="12"/>
  <c r="I404" i="12"/>
  <c r="I412" i="12"/>
  <c r="I420" i="12"/>
  <c r="I428" i="12"/>
  <c r="I436" i="12"/>
  <c r="I444" i="12"/>
  <c r="I452" i="12"/>
  <c r="I460" i="12"/>
  <c r="I468" i="12"/>
  <c r="I476" i="12"/>
  <c r="I484" i="12"/>
  <c r="I492" i="12"/>
  <c r="I500" i="12"/>
  <c r="I508" i="12"/>
  <c r="I516" i="12"/>
  <c r="I524" i="12"/>
  <c r="I532" i="12"/>
  <c r="I540" i="12"/>
  <c r="I548" i="12"/>
  <c r="I556" i="12"/>
  <c r="I564" i="12"/>
  <c r="I572" i="12"/>
  <c r="I580" i="12"/>
  <c r="I588" i="12"/>
  <c r="I596" i="12"/>
  <c r="I604" i="12"/>
  <c r="I612" i="12"/>
  <c r="I620" i="12"/>
  <c r="I628" i="12"/>
  <c r="I636" i="12"/>
  <c r="I644" i="12"/>
  <c r="I652" i="12"/>
  <c r="I660" i="12"/>
  <c r="I668" i="12"/>
  <c r="I676" i="12"/>
  <c r="I684" i="12"/>
  <c r="I692" i="12"/>
  <c r="I700" i="12"/>
  <c r="I708" i="12"/>
  <c r="I716" i="12"/>
  <c r="I724" i="12"/>
  <c r="I732" i="12"/>
  <c r="I740" i="12"/>
  <c r="I748" i="12"/>
  <c r="I756" i="12"/>
  <c r="I764" i="12"/>
  <c r="I772" i="12"/>
  <c r="I780" i="12"/>
  <c r="I788" i="12"/>
  <c r="I796" i="12"/>
  <c r="I804" i="12"/>
  <c r="I812" i="12"/>
  <c r="I820" i="12"/>
  <c r="I828" i="12"/>
  <c r="I836" i="12"/>
  <c r="I844" i="12"/>
  <c r="I852" i="12"/>
  <c r="I860" i="12"/>
  <c r="I868" i="12"/>
  <c r="I876" i="12"/>
  <c r="I884" i="12"/>
  <c r="I892" i="12"/>
  <c r="I900" i="12"/>
  <c r="I908" i="12"/>
  <c r="I916" i="12"/>
  <c r="I924" i="12"/>
  <c r="I932" i="12"/>
  <c r="I940" i="12"/>
  <c r="I948" i="12"/>
  <c r="I956" i="12"/>
  <c r="I964" i="12"/>
  <c r="I972" i="12"/>
  <c r="I980" i="12"/>
  <c r="I988" i="12"/>
  <c r="I996" i="12"/>
  <c r="I1004" i="12"/>
  <c r="I1012" i="12"/>
  <c r="I1020" i="12"/>
  <c r="I1028" i="12"/>
  <c r="I1036" i="12"/>
  <c r="I1044" i="12"/>
  <c r="I1052" i="12"/>
  <c r="I1060" i="12"/>
  <c r="I1068" i="12"/>
  <c r="I1076" i="12"/>
  <c r="I1084" i="12"/>
  <c r="I1092" i="12"/>
  <c r="I1100" i="12"/>
  <c r="I1108" i="12"/>
  <c r="I1116" i="12"/>
  <c r="I1124" i="12"/>
  <c r="I1132" i="12"/>
  <c r="I1140" i="12"/>
  <c r="I1148" i="12"/>
  <c r="I1156" i="12"/>
  <c r="I1164" i="12"/>
  <c r="I1172" i="12"/>
  <c r="I1180" i="12"/>
  <c r="I1188" i="12"/>
  <c r="I1196" i="12"/>
  <c r="I1204" i="12"/>
  <c r="I1212" i="12"/>
  <c r="I1220" i="12"/>
  <c r="I1228" i="12"/>
  <c r="I1236" i="12"/>
  <c r="I1244" i="12"/>
  <c r="I1252" i="12"/>
  <c r="I1260" i="12"/>
  <c r="I1268" i="12"/>
  <c r="I1276" i="12"/>
  <c r="I1284" i="12"/>
  <c r="I1292" i="12"/>
  <c r="I1300" i="12"/>
  <c r="I1308" i="12"/>
  <c r="I1316" i="12"/>
  <c r="I1324" i="12"/>
  <c r="I1332" i="12"/>
  <c r="I1340" i="12"/>
  <c r="I1348" i="12"/>
  <c r="I1356" i="12"/>
  <c r="I1364" i="12"/>
  <c r="I1372" i="12"/>
  <c r="I1380" i="12"/>
  <c r="I1388" i="12"/>
  <c r="I1396" i="12"/>
  <c r="I1404" i="12"/>
  <c r="I1412" i="12"/>
  <c r="I1420" i="12"/>
  <c r="I1428" i="12"/>
  <c r="I1436" i="12"/>
  <c r="I1444" i="12"/>
  <c r="I1452" i="12"/>
  <c r="I1460" i="12"/>
  <c r="I1468" i="12"/>
  <c r="I1476" i="12"/>
  <c r="I1484" i="12"/>
  <c r="I1493" i="12"/>
  <c r="I1501" i="12"/>
  <c r="I1509" i="12"/>
  <c r="I1517" i="12"/>
  <c r="I1525" i="12"/>
  <c r="I1533" i="12"/>
  <c r="I43" i="12"/>
  <c r="I107" i="12"/>
  <c r="I171" i="12"/>
  <c r="I235" i="12"/>
  <c r="I299" i="12"/>
  <c r="I363" i="12"/>
  <c r="I427" i="12"/>
  <c r="I491" i="12"/>
  <c r="I555" i="12"/>
  <c r="I619" i="12"/>
  <c r="I683" i="12"/>
  <c r="I747" i="12"/>
  <c r="I811" i="12"/>
  <c r="I875" i="12"/>
  <c r="I939" i="12"/>
  <c r="I1003" i="12"/>
  <c r="I1067" i="12"/>
  <c r="I1131" i="12"/>
  <c r="I1195" i="12"/>
  <c r="I1259" i="12"/>
  <c r="I1323" i="12"/>
  <c r="I1387" i="12"/>
  <c r="I1451" i="12"/>
  <c r="I1515" i="12"/>
  <c r="I1538" i="12"/>
  <c r="I1547" i="12"/>
  <c r="I1555" i="12"/>
  <c r="I1564" i="12"/>
  <c r="I1572" i="12"/>
  <c r="I1580" i="12"/>
  <c r="I1588" i="12"/>
  <c r="I1596" i="12"/>
  <c r="I1605" i="12"/>
  <c r="I1613" i="12"/>
  <c r="I1621" i="12"/>
  <c r="I1630" i="12"/>
  <c r="I1638" i="12"/>
  <c r="I1646" i="12"/>
  <c r="I1654" i="12"/>
  <c r="I1662" i="12"/>
  <c r="I1671" i="12"/>
  <c r="I1679" i="12"/>
  <c r="I1687" i="12"/>
  <c r="I1695" i="12"/>
  <c r="I1704" i="12"/>
  <c r="I1712" i="12"/>
  <c r="I1720" i="12"/>
  <c r="I1728" i="12"/>
  <c r="I1736" i="12"/>
  <c r="I1744" i="12"/>
  <c r="I1752" i="12"/>
  <c r="I1760" i="12"/>
  <c r="I1769" i="12"/>
  <c r="I1777" i="12"/>
  <c r="I1785" i="12"/>
  <c r="I1793" i="12"/>
  <c r="I1801" i="12"/>
  <c r="I1810" i="12"/>
  <c r="I1818" i="12"/>
  <c r="I1826" i="12"/>
  <c r="I1834" i="12"/>
  <c r="I1842" i="12"/>
  <c r="I1850" i="12"/>
  <c r="I1858" i="12"/>
  <c r="I1866" i="12"/>
  <c r="I1874" i="12"/>
  <c r="I1883" i="12"/>
  <c r="I1891" i="12"/>
  <c r="I1899" i="12"/>
  <c r="I1907" i="12"/>
  <c r="I1916" i="12"/>
  <c r="I1924" i="12"/>
  <c r="I1932" i="12"/>
  <c r="I1940" i="12"/>
  <c r="I1949" i="12"/>
  <c r="I1957" i="12"/>
  <c r="I1965" i="12"/>
  <c r="I1973" i="12"/>
  <c r="I1981" i="12"/>
  <c r="I1989" i="12"/>
  <c r="I1997" i="12"/>
  <c r="I2005" i="12"/>
  <c r="I2013" i="12"/>
  <c r="I2022" i="12"/>
  <c r="I2030" i="12"/>
  <c r="I2038" i="12"/>
  <c r="I2046" i="12"/>
  <c r="I2055" i="12"/>
  <c r="I2063" i="12"/>
  <c r="I2071" i="12"/>
  <c r="I2079" i="12"/>
  <c r="I2087" i="12"/>
  <c r="I2096" i="12"/>
  <c r="I2104" i="12"/>
  <c r="I2112" i="12"/>
  <c r="I2121" i="12"/>
  <c r="I2129" i="12"/>
  <c r="I2137" i="12"/>
  <c r="I2145" i="12"/>
  <c r="I2153" i="12"/>
  <c r="I2161" i="12"/>
  <c r="I2169" i="12"/>
  <c r="I2177" i="12"/>
  <c r="I2185" i="12"/>
  <c r="I2193" i="12"/>
  <c r="I2201" i="12"/>
  <c r="I2209" i="12"/>
  <c r="I2217" i="12"/>
  <c r="I2225" i="12"/>
  <c r="I2233" i="12"/>
  <c r="I2241" i="12"/>
  <c r="I2249" i="12"/>
  <c r="I2257" i="12"/>
  <c r="I2265" i="12"/>
  <c r="I2273" i="12"/>
  <c r="I2281" i="12"/>
  <c r="I2289" i="12"/>
  <c r="I2297" i="12"/>
  <c r="I2305" i="12"/>
  <c r="I2313" i="12"/>
  <c r="I2321" i="12"/>
  <c r="I2329" i="12"/>
  <c r="I2337" i="12"/>
  <c r="I2345" i="12"/>
  <c r="I2353" i="12"/>
  <c r="I2361" i="12"/>
  <c r="I2370" i="12"/>
  <c r="I2378" i="12"/>
  <c r="I2386" i="12"/>
  <c r="I2394" i="12"/>
  <c r="I2403" i="12"/>
  <c r="I2411" i="12"/>
  <c r="I2419" i="12"/>
  <c r="I2427" i="12"/>
  <c r="I2435" i="12"/>
  <c r="I2444" i="12"/>
  <c r="I2452" i="12"/>
  <c r="I2460" i="12"/>
  <c r="I2469" i="12"/>
  <c r="I2477" i="12"/>
  <c r="I2485" i="12"/>
  <c r="I2493" i="12"/>
  <c r="I2501" i="12"/>
  <c r="I2509" i="12"/>
  <c r="I2517" i="12"/>
  <c r="I2525" i="12"/>
  <c r="I2533" i="12"/>
  <c r="I2541" i="12"/>
  <c r="I2549" i="12"/>
  <c r="I2557" i="12"/>
  <c r="I2565" i="12"/>
  <c r="I2573" i="12"/>
  <c r="I2582" i="12"/>
  <c r="I2590" i="12"/>
  <c r="I2598" i="12"/>
  <c r="I2606" i="12"/>
  <c r="I2615" i="12"/>
  <c r="I2623" i="12"/>
  <c r="I2631" i="12"/>
  <c r="I2639" i="12"/>
  <c r="I2647" i="12"/>
  <c r="I2656" i="12"/>
  <c r="I2664" i="12"/>
  <c r="I2672" i="12"/>
  <c r="I2681" i="12"/>
  <c r="I2689" i="12"/>
  <c r="I2697" i="12"/>
  <c r="I2705" i="12"/>
  <c r="I2713" i="12"/>
  <c r="I2721" i="12"/>
  <c r="I2730" i="12"/>
  <c r="I2738" i="12"/>
  <c r="I2746" i="12"/>
  <c r="I2754" i="12"/>
  <c r="I2763" i="12"/>
  <c r="I2771" i="12"/>
  <c r="I2779" i="12"/>
  <c r="I2787" i="12"/>
  <c r="I2796" i="12"/>
  <c r="I2804" i="12"/>
  <c r="I2812" i="12"/>
  <c r="I2821" i="12"/>
  <c r="I2829" i="12"/>
  <c r="I2837" i="12"/>
  <c r="I2845" i="12"/>
  <c r="I2853" i="12"/>
  <c r="I2862" i="12"/>
  <c r="I2870" i="12"/>
  <c r="I2878" i="12"/>
  <c r="I2886" i="12"/>
  <c r="I2895" i="12"/>
  <c r="I2903" i="12"/>
  <c r="I2911" i="12"/>
  <c r="I2919" i="12"/>
  <c r="I2927" i="12"/>
  <c r="I2936" i="12"/>
  <c r="I2944" i="12"/>
  <c r="I2952" i="12"/>
  <c r="I2960" i="12"/>
  <c r="I2968" i="12"/>
  <c r="I2976" i="12"/>
  <c r="I2984" i="12"/>
  <c r="I2992" i="12"/>
  <c r="I3001" i="12"/>
  <c r="I3009" i="12"/>
  <c r="I3017" i="12"/>
  <c r="I3025" i="12"/>
  <c r="I3034" i="12"/>
  <c r="I3042" i="12"/>
  <c r="I3050" i="12"/>
  <c r="I3058" i="12"/>
  <c r="I3066" i="12"/>
  <c r="I3075" i="12"/>
  <c r="I3083" i="12"/>
  <c r="I3091" i="12"/>
  <c r="I3100" i="12"/>
  <c r="I3108" i="12"/>
  <c r="H5" i="12"/>
  <c r="H14" i="12"/>
  <c r="H22" i="12"/>
  <c r="H30" i="12"/>
  <c r="H38" i="12"/>
  <c r="H46" i="12"/>
  <c r="H54" i="12"/>
  <c r="H63" i="12"/>
  <c r="H71" i="12"/>
  <c r="H79" i="12"/>
  <c r="H87" i="12"/>
  <c r="H95" i="12"/>
  <c r="H103" i="12"/>
  <c r="H111" i="12"/>
  <c r="H119" i="12"/>
  <c r="H127" i="12"/>
  <c r="H135" i="12"/>
  <c r="H144" i="12"/>
  <c r="H152" i="12"/>
  <c r="H160" i="12"/>
  <c r="H168" i="12"/>
  <c r="H176" i="12"/>
  <c r="H184" i="12"/>
  <c r="H192" i="12"/>
  <c r="H200" i="12"/>
  <c r="H208" i="12"/>
  <c r="H216" i="12"/>
  <c r="H224" i="12"/>
  <c r="H232" i="12"/>
  <c r="H240" i="12"/>
  <c r="H248" i="12"/>
  <c r="H256" i="12"/>
  <c r="H264" i="12"/>
  <c r="H272" i="12"/>
  <c r="H280" i="12"/>
  <c r="H288" i="12"/>
  <c r="H296" i="12"/>
  <c r="H304" i="12"/>
  <c r="H312" i="12"/>
  <c r="H320" i="12"/>
  <c r="H328" i="12"/>
  <c r="H336" i="12"/>
  <c r="H344" i="12"/>
  <c r="H352" i="12"/>
  <c r="H360" i="12"/>
  <c r="H368" i="12"/>
  <c r="H376" i="12"/>
  <c r="H384" i="12"/>
  <c r="H392" i="12"/>
  <c r="H400" i="12"/>
  <c r="H408" i="12"/>
  <c r="H416" i="12"/>
  <c r="H424" i="12"/>
  <c r="H432" i="12"/>
  <c r="H440" i="12"/>
  <c r="H448" i="12"/>
  <c r="H456" i="12"/>
  <c r="H464" i="12"/>
  <c r="H472" i="12"/>
  <c r="H480" i="12"/>
  <c r="H488" i="12"/>
  <c r="H496" i="12"/>
  <c r="H504" i="12"/>
  <c r="H512" i="12"/>
  <c r="H520" i="12"/>
  <c r="H529" i="12"/>
  <c r="H537" i="12"/>
  <c r="H545" i="12"/>
  <c r="H553" i="12"/>
  <c r="H561" i="12"/>
  <c r="H569" i="12"/>
  <c r="H577" i="12"/>
  <c r="H585" i="12"/>
  <c r="H593" i="12"/>
  <c r="H601" i="12"/>
  <c r="H609" i="12"/>
  <c r="H617" i="12"/>
  <c r="H625" i="12"/>
  <c r="H633" i="12"/>
  <c r="H641" i="12"/>
  <c r="H649" i="12"/>
  <c r="H658" i="12"/>
  <c r="H666" i="12"/>
  <c r="H674" i="12"/>
  <c r="H682" i="12"/>
  <c r="H690" i="12"/>
  <c r="H699" i="12"/>
  <c r="H707" i="12"/>
  <c r="H716" i="12"/>
  <c r="H725" i="12"/>
  <c r="H734" i="12"/>
  <c r="H743" i="12"/>
  <c r="H751" i="12"/>
  <c r="H759" i="12"/>
  <c r="H768" i="12"/>
  <c r="H777" i="12"/>
  <c r="H786" i="12"/>
  <c r="H795" i="12"/>
  <c r="H803" i="12"/>
  <c r="H811" i="12"/>
  <c r="H819" i="12"/>
  <c r="H827" i="12"/>
  <c r="H836" i="12"/>
  <c r="H844" i="12"/>
  <c r="H852" i="12"/>
  <c r="H860" i="12"/>
  <c r="I51" i="12"/>
  <c r="I115" i="12"/>
  <c r="I179" i="12"/>
  <c r="I243" i="12"/>
  <c r="I307" i="12"/>
  <c r="I371" i="12"/>
  <c r="I435" i="12"/>
  <c r="I499" i="12"/>
  <c r="I563" i="12"/>
  <c r="I627" i="12"/>
  <c r="I691" i="12"/>
  <c r="I755" i="12"/>
  <c r="I819" i="12"/>
  <c r="I883" i="12"/>
  <c r="I947" i="12"/>
  <c r="I1011" i="12"/>
  <c r="I1075" i="12"/>
  <c r="I1139" i="12"/>
  <c r="I1203" i="12"/>
  <c r="I1267" i="12"/>
  <c r="I1331" i="12"/>
  <c r="I1395" i="12"/>
  <c r="I1459" i="12"/>
  <c r="I1516" i="12"/>
  <c r="I1539" i="12"/>
  <c r="I1548" i="12"/>
  <c r="I1556" i="12"/>
  <c r="I1565" i="12"/>
  <c r="I1573" i="12"/>
  <c r="I1581" i="12"/>
  <c r="I1589" i="12"/>
  <c r="I1597" i="12"/>
  <c r="I1606" i="12"/>
  <c r="I1614" i="12"/>
  <c r="I1622" i="12"/>
  <c r="I1631" i="12"/>
  <c r="I1639" i="12"/>
  <c r="I1647" i="12"/>
  <c r="I1655" i="12"/>
  <c r="I1663" i="12"/>
  <c r="I1672" i="12"/>
  <c r="I1680" i="12"/>
  <c r="I1688" i="12"/>
  <c r="I1696" i="12"/>
  <c r="I1705" i="12"/>
  <c r="I1713" i="12"/>
  <c r="I1721" i="12"/>
  <c r="I1729" i="12"/>
  <c r="I1737" i="12"/>
  <c r="I1745" i="12"/>
  <c r="I1753" i="12"/>
  <c r="I1761" i="12"/>
  <c r="I1770" i="12"/>
  <c r="I1778" i="12"/>
  <c r="I1786" i="12"/>
  <c r="I1794" i="12"/>
  <c r="I1802" i="12"/>
  <c r="I1811" i="12"/>
  <c r="I1819" i="12"/>
  <c r="I1827" i="12"/>
  <c r="I1835" i="12"/>
  <c r="I1843" i="12"/>
  <c r="I1851" i="12"/>
  <c r="I1859" i="12"/>
  <c r="I1867" i="12"/>
  <c r="I1875" i="12"/>
  <c r="I1884" i="12"/>
  <c r="I1892" i="12"/>
  <c r="I1900" i="12"/>
  <c r="I1909" i="12"/>
  <c r="I1917" i="12"/>
  <c r="I1925" i="12"/>
  <c r="I1933" i="12"/>
  <c r="I1941" i="12"/>
  <c r="I1950" i="12"/>
  <c r="I1958" i="12"/>
  <c r="I1966" i="12"/>
  <c r="I1974" i="12"/>
  <c r="I1982" i="12"/>
  <c r="I1990" i="12"/>
  <c r="I1998" i="12"/>
  <c r="I2006" i="12"/>
  <c r="I2014" i="12"/>
  <c r="I2023" i="12"/>
  <c r="I2031" i="12"/>
  <c r="I2039" i="12"/>
  <c r="I2047" i="12"/>
  <c r="I2056" i="12"/>
  <c r="I2064" i="12"/>
  <c r="I2072" i="12"/>
  <c r="I2080" i="12"/>
  <c r="I2089" i="12"/>
  <c r="I2097" i="12"/>
  <c r="I2105" i="12"/>
  <c r="I2113" i="12"/>
  <c r="I2122" i="12"/>
  <c r="I2130" i="12"/>
  <c r="I2138" i="12"/>
  <c r="I2146" i="12"/>
  <c r="I2154" i="12"/>
  <c r="I2162" i="12"/>
  <c r="I2170" i="12"/>
  <c r="I2178" i="12"/>
  <c r="I2186" i="12"/>
  <c r="I2194" i="12"/>
  <c r="I2202" i="12"/>
  <c r="I2210" i="12"/>
  <c r="I2218" i="12"/>
  <c r="I2226" i="12"/>
  <c r="I2234" i="12"/>
  <c r="I2242" i="12"/>
  <c r="I2250" i="12"/>
  <c r="I2258" i="12"/>
  <c r="I2266" i="12"/>
  <c r="I2274" i="12"/>
  <c r="I2282" i="12"/>
  <c r="I2290" i="12"/>
  <c r="I2298" i="12"/>
  <c r="I2306" i="12"/>
  <c r="I2314" i="12"/>
  <c r="I2322" i="12"/>
  <c r="I2330" i="12"/>
  <c r="I2338" i="12"/>
  <c r="I2346" i="12"/>
  <c r="I2354" i="12"/>
  <c r="I2362" i="12"/>
  <c r="I2371" i="12"/>
  <c r="I2379" i="12"/>
  <c r="I2387" i="12"/>
  <c r="I2395" i="12"/>
  <c r="I2404" i="12"/>
  <c r="I2412" i="12"/>
  <c r="I2420" i="12"/>
  <c r="I2428" i="12"/>
  <c r="I2436" i="12"/>
  <c r="I2445" i="12"/>
  <c r="I2453" i="12"/>
  <c r="I2461" i="12"/>
  <c r="I2470" i="12"/>
  <c r="I2478" i="12"/>
  <c r="I2486" i="12"/>
  <c r="I2494" i="12"/>
  <c r="I2502" i="12"/>
  <c r="I2510" i="12"/>
  <c r="I2518" i="12"/>
  <c r="I2526" i="12"/>
  <c r="I2534" i="12"/>
  <c r="I2542" i="12"/>
  <c r="I2550" i="12"/>
  <c r="I2558" i="12"/>
  <c r="I2566" i="12"/>
  <c r="I2574" i="12"/>
  <c r="I2583" i="12"/>
  <c r="I2591" i="12"/>
  <c r="I2599" i="12"/>
  <c r="I2607" i="12"/>
  <c r="I2616" i="12"/>
  <c r="I2624" i="12"/>
  <c r="I2632" i="12"/>
  <c r="I2640" i="12"/>
  <c r="I2649" i="12"/>
  <c r="I2657" i="12"/>
  <c r="I2665" i="12"/>
  <c r="I2673" i="12"/>
  <c r="I2682" i="12"/>
  <c r="I2690" i="12"/>
  <c r="I2698" i="12"/>
  <c r="I2706" i="12"/>
  <c r="I2714" i="12"/>
  <c r="I2722" i="12"/>
  <c r="I2731" i="12"/>
  <c r="I2739" i="12"/>
  <c r="I2747" i="12"/>
  <c r="I2755" i="12"/>
  <c r="I2764" i="12"/>
  <c r="I2772" i="12"/>
  <c r="I2780" i="12"/>
  <c r="I2789" i="12"/>
  <c r="I2797" i="12"/>
  <c r="I2805" i="12"/>
  <c r="I2813" i="12"/>
  <c r="I2822" i="12"/>
  <c r="I2830" i="12"/>
  <c r="I2838" i="12"/>
  <c r="I2846" i="12"/>
  <c r="I2854" i="12"/>
  <c r="I2863" i="12"/>
  <c r="I2871" i="12"/>
  <c r="I2879" i="12"/>
  <c r="I2887" i="12"/>
  <c r="I2896" i="12"/>
  <c r="I2904" i="12"/>
  <c r="I2912" i="12"/>
  <c r="I2920" i="12"/>
  <c r="I2929" i="12"/>
  <c r="I2937" i="12"/>
  <c r="I2945" i="12"/>
  <c r="I2953" i="12"/>
  <c r="I2961" i="12"/>
  <c r="I2969" i="12"/>
  <c r="I2977" i="12"/>
  <c r="I2985" i="12"/>
  <c r="I2993" i="12"/>
  <c r="I3002" i="12"/>
  <c r="I3010" i="12"/>
  <c r="I3018" i="12"/>
  <c r="I3026" i="12"/>
  <c r="I3035" i="12"/>
  <c r="I3043" i="12"/>
  <c r="I3051" i="12"/>
  <c r="I3059" i="12"/>
  <c r="I3067" i="12"/>
  <c r="I3076" i="12"/>
  <c r="I3084" i="12"/>
  <c r="I3092" i="12"/>
  <c r="I3101" i="12"/>
  <c r="I3109" i="12"/>
  <c r="H6" i="12"/>
  <c r="H15" i="12"/>
  <c r="H23" i="12"/>
  <c r="H31" i="12"/>
  <c r="H39" i="12"/>
  <c r="H47" i="12"/>
  <c r="H55" i="12"/>
  <c r="H64" i="12"/>
  <c r="H72" i="12"/>
  <c r="H80" i="12"/>
  <c r="H88" i="12"/>
  <c r="H96" i="12"/>
  <c r="H104" i="12"/>
  <c r="H112" i="12"/>
  <c r="H120" i="12"/>
  <c r="H128" i="12"/>
  <c r="H136" i="12"/>
  <c r="H145" i="12"/>
  <c r="H153" i="12"/>
  <c r="H161" i="12"/>
  <c r="H169" i="12"/>
  <c r="H177" i="12"/>
  <c r="H185" i="12"/>
  <c r="H193" i="12"/>
  <c r="H201" i="12"/>
  <c r="H209" i="12"/>
  <c r="H217" i="12"/>
  <c r="H225" i="12"/>
  <c r="H233" i="12"/>
  <c r="H241" i="12"/>
  <c r="H249" i="12"/>
  <c r="H257" i="12"/>
  <c r="H265" i="12"/>
  <c r="H273" i="12"/>
  <c r="H281" i="12"/>
  <c r="H289" i="12"/>
  <c r="H297" i="12"/>
  <c r="H305" i="12"/>
  <c r="H313" i="12"/>
  <c r="H321" i="12"/>
  <c r="H329" i="12"/>
  <c r="H337" i="12"/>
  <c r="H345" i="12"/>
  <c r="H353" i="12"/>
  <c r="H361" i="12"/>
  <c r="H369" i="12"/>
  <c r="H377" i="12"/>
  <c r="H385" i="12"/>
  <c r="H393" i="12"/>
  <c r="H401" i="12"/>
  <c r="H409" i="12"/>
  <c r="H417" i="12"/>
  <c r="H425" i="12"/>
  <c r="H433" i="12"/>
  <c r="H441" i="12"/>
  <c r="H449" i="12"/>
  <c r="H457" i="12"/>
  <c r="H465" i="12"/>
  <c r="H473" i="12"/>
  <c r="H481" i="12"/>
  <c r="H489" i="12"/>
  <c r="H497" i="12"/>
  <c r="H505" i="12"/>
  <c r="H513" i="12"/>
  <c r="H521" i="12"/>
  <c r="H530" i="12"/>
  <c r="H538" i="12"/>
  <c r="H546" i="12"/>
  <c r="H554" i="12"/>
  <c r="H562" i="12"/>
  <c r="H570" i="12"/>
  <c r="H578" i="12"/>
  <c r="H586" i="12"/>
  <c r="H594" i="12"/>
  <c r="H602" i="12"/>
  <c r="H610" i="12"/>
  <c r="H618" i="12"/>
  <c r="H626" i="12"/>
  <c r="H634" i="12"/>
  <c r="H642" i="12"/>
  <c r="H650" i="12"/>
  <c r="H659" i="12"/>
  <c r="H667" i="12"/>
  <c r="H675" i="12"/>
  <c r="H683" i="12"/>
  <c r="H691" i="12"/>
  <c r="H700" i="12"/>
  <c r="H709" i="12"/>
  <c r="H717" i="12"/>
  <c r="H726" i="12"/>
  <c r="H735" i="12"/>
  <c r="H744" i="12"/>
  <c r="H752" i="12"/>
  <c r="H760" i="12"/>
  <c r="H769" i="12"/>
  <c r="H778" i="12"/>
  <c r="H787" i="12"/>
  <c r="H796" i="12"/>
  <c r="H804" i="12"/>
  <c r="H812" i="12"/>
  <c r="H820" i="12"/>
  <c r="H828" i="12"/>
  <c r="H837" i="12"/>
  <c r="H845" i="12"/>
  <c r="H853" i="12"/>
  <c r="H861" i="12"/>
  <c r="I59" i="12"/>
  <c r="I123" i="12"/>
  <c r="I187" i="12"/>
  <c r="I251" i="12"/>
  <c r="I315" i="12"/>
  <c r="I379" i="12"/>
  <c r="I443" i="12"/>
  <c r="I507" i="12"/>
  <c r="I571" i="12"/>
  <c r="I635" i="12"/>
  <c r="I699" i="12"/>
  <c r="I763" i="12"/>
  <c r="I827" i="12"/>
  <c r="I891" i="12"/>
  <c r="I955" i="12"/>
  <c r="I1019" i="12"/>
  <c r="I1083" i="12"/>
  <c r="I1147" i="12"/>
  <c r="I1211" i="12"/>
  <c r="I1275" i="12"/>
  <c r="I1339" i="12"/>
  <c r="I1403" i="12"/>
  <c r="I1467" i="12"/>
  <c r="I1523" i="12"/>
  <c r="I1540" i="12"/>
  <c r="I1549" i="12"/>
  <c r="I1557" i="12"/>
  <c r="I1566" i="12"/>
  <c r="I1574" i="12"/>
  <c r="I1582" i="12"/>
  <c r="I1590" i="12"/>
  <c r="I1599" i="12"/>
  <c r="I1607" i="12"/>
  <c r="I1615" i="12"/>
  <c r="I1623" i="12"/>
  <c r="I1632" i="12"/>
  <c r="I1640" i="12"/>
  <c r="I1648" i="12"/>
  <c r="I1656" i="12"/>
  <c r="I1664" i="12"/>
  <c r="I1673" i="12"/>
  <c r="I1681" i="12"/>
  <c r="I1689" i="12"/>
  <c r="I1697" i="12"/>
  <c r="I1706" i="12"/>
  <c r="I1714" i="12"/>
  <c r="I1722" i="12"/>
  <c r="I1730" i="12"/>
  <c r="I1738" i="12"/>
  <c r="I1746" i="12"/>
  <c r="I1754" i="12"/>
  <c r="I1762" i="12"/>
  <c r="I1771" i="12"/>
  <c r="I1779" i="12"/>
  <c r="I1787" i="12"/>
  <c r="I1795" i="12"/>
  <c r="I1803" i="12"/>
  <c r="I1812" i="12"/>
  <c r="I1820" i="12"/>
  <c r="I1828" i="12"/>
  <c r="I1836" i="12"/>
  <c r="I1844" i="12"/>
  <c r="I1852" i="12"/>
  <c r="I1860" i="12"/>
  <c r="I1868" i="12"/>
  <c r="I1876" i="12"/>
  <c r="I1885" i="12"/>
  <c r="I1893" i="12"/>
  <c r="I1901" i="12"/>
  <c r="I1910" i="12"/>
  <c r="I1918" i="12"/>
  <c r="I1926" i="12"/>
  <c r="I1934" i="12"/>
  <c r="I1942" i="12"/>
  <c r="I1951" i="12"/>
  <c r="I1959" i="12"/>
  <c r="I1967" i="12"/>
  <c r="I1975" i="12"/>
  <c r="I1983" i="12"/>
  <c r="I1991" i="12"/>
  <c r="I1999" i="12"/>
  <c r="I2007" i="12"/>
  <c r="I2015" i="12"/>
  <c r="I2024" i="12"/>
  <c r="I2032" i="12"/>
  <c r="I2040" i="12"/>
  <c r="I2049" i="12"/>
  <c r="I2057" i="12"/>
  <c r="I2065" i="12"/>
  <c r="I2073" i="12"/>
  <c r="I2081" i="12"/>
  <c r="I2090" i="12"/>
  <c r="I2098" i="12"/>
  <c r="I2106" i="12"/>
  <c r="I2114" i="12"/>
  <c r="I2123" i="12"/>
  <c r="I2131" i="12"/>
  <c r="I2139" i="12"/>
  <c r="I2147" i="12"/>
  <c r="I2155" i="12"/>
  <c r="I2163" i="12"/>
  <c r="I2171" i="12"/>
  <c r="I2179" i="12"/>
  <c r="I2187" i="12"/>
  <c r="I2195" i="12"/>
  <c r="I2203" i="12"/>
  <c r="I2211" i="12"/>
  <c r="I2219" i="12"/>
  <c r="I2227" i="12"/>
  <c r="I2235" i="12"/>
  <c r="I2243" i="12"/>
  <c r="I2251" i="12"/>
  <c r="I2259" i="12"/>
  <c r="I2267" i="12"/>
  <c r="I2275" i="12"/>
  <c r="I2283" i="12"/>
  <c r="I2291" i="12"/>
  <c r="I2299" i="12"/>
  <c r="I2307" i="12"/>
  <c r="I2315" i="12"/>
  <c r="I2323" i="12"/>
  <c r="I2331" i="12"/>
  <c r="I2339" i="12"/>
  <c r="I2347" i="12"/>
  <c r="I2355" i="12"/>
  <c r="I2363" i="12"/>
  <c r="I2372" i="12"/>
  <c r="I2380" i="12"/>
  <c r="I2388" i="12"/>
  <c r="I2396" i="12"/>
  <c r="I2405" i="12"/>
  <c r="I2413" i="12"/>
  <c r="I2421" i="12"/>
  <c r="I2429" i="12"/>
  <c r="I2437" i="12"/>
  <c r="I2446" i="12"/>
  <c r="I2454" i="12"/>
  <c r="I2462" i="12"/>
  <c r="I2471" i="12"/>
  <c r="I2479" i="12"/>
  <c r="I2487" i="12"/>
  <c r="I2495" i="12"/>
  <c r="I2503" i="12"/>
  <c r="I2511" i="12"/>
  <c r="I2519" i="12"/>
  <c r="I2527" i="12"/>
  <c r="I2535" i="12"/>
  <c r="I2543" i="12"/>
  <c r="I2551" i="12"/>
  <c r="I2559" i="12"/>
  <c r="I2567" i="12"/>
  <c r="I2575" i="12"/>
  <c r="I2584" i="12"/>
  <c r="I2592" i="12"/>
  <c r="I2600" i="12"/>
  <c r="I2609" i="12"/>
  <c r="I2617" i="12"/>
  <c r="I2625" i="12"/>
  <c r="I2633" i="12"/>
  <c r="I2641" i="12"/>
  <c r="I2650" i="12"/>
  <c r="I2658" i="12"/>
  <c r="I2666" i="12"/>
  <c r="I2674" i="12"/>
  <c r="I2683" i="12"/>
  <c r="I2691" i="12"/>
  <c r="I2699" i="12"/>
  <c r="I2707" i="12"/>
  <c r="I2715" i="12"/>
  <c r="I2723" i="12"/>
  <c r="I2732" i="12"/>
  <c r="I2740" i="12"/>
  <c r="I2748" i="12"/>
  <c r="I2756" i="12"/>
  <c r="I2765" i="12"/>
  <c r="I2773" i="12"/>
  <c r="I2781" i="12"/>
  <c r="I2790" i="12"/>
  <c r="I2798" i="12"/>
  <c r="I2806" i="12"/>
  <c r="I2814" i="12"/>
  <c r="I2823" i="12"/>
  <c r="I2831" i="12"/>
  <c r="I2839" i="12"/>
  <c r="I2847" i="12"/>
  <c r="I2855" i="12"/>
  <c r="I2864" i="12"/>
  <c r="I2872" i="12"/>
  <c r="I2880" i="12"/>
  <c r="I2889" i="12"/>
  <c r="I2897" i="12"/>
  <c r="I2905" i="12"/>
  <c r="I2913" i="12"/>
  <c r="I2921" i="12"/>
  <c r="I2930" i="12"/>
  <c r="I2938" i="12"/>
  <c r="I2946" i="12"/>
  <c r="I2954" i="12"/>
  <c r="I2962" i="12"/>
  <c r="I2970" i="12"/>
  <c r="I2978" i="12"/>
  <c r="I2986" i="12"/>
  <c r="I2994" i="12"/>
  <c r="I3003" i="12"/>
  <c r="I3011" i="12"/>
  <c r="I3019" i="12"/>
  <c r="I3027" i="12"/>
  <c r="I3036" i="12"/>
  <c r="I3044" i="12"/>
  <c r="I3052" i="12"/>
  <c r="I3060" i="12"/>
  <c r="I3069" i="12"/>
  <c r="I3077" i="12"/>
  <c r="I3085" i="12"/>
  <c r="I3093" i="12"/>
  <c r="I3102" i="12"/>
  <c r="I3110" i="12"/>
  <c r="H7" i="12"/>
  <c r="H16" i="12"/>
  <c r="H24" i="12"/>
  <c r="H32" i="12"/>
  <c r="H40" i="12"/>
  <c r="H48" i="12"/>
  <c r="H56" i="12"/>
  <c r="H65" i="12"/>
  <c r="H73" i="12"/>
  <c r="H81" i="12"/>
  <c r="H89" i="12"/>
  <c r="H97" i="12"/>
  <c r="H105" i="12"/>
  <c r="H113" i="12"/>
  <c r="H121" i="12"/>
  <c r="H129" i="12"/>
  <c r="H137" i="12"/>
  <c r="H146" i="12"/>
  <c r="H154" i="12"/>
  <c r="H162" i="12"/>
  <c r="H170" i="12"/>
  <c r="H178" i="12"/>
  <c r="H186" i="12"/>
  <c r="H194" i="12"/>
  <c r="H202" i="12"/>
  <c r="H210" i="12"/>
  <c r="H218" i="12"/>
  <c r="H226" i="12"/>
  <c r="H234" i="12"/>
  <c r="H242" i="12"/>
  <c r="H250" i="12"/>
  <c r="H258" i="12"/>
  <c r="H266" i="12"/>
  <c r="H274" i="12"/>
  <c r="H282" i="12"/>
  <c r="H290" i="12"/>
  <c r="H298" i="12"/>
  <c r="H306" i="12"/>
  <c r="H314" i="12"/>
  <c r="H322" i="12"/>
  <c r="H330" i="12"/>
  <c r="H338" i="12"/>
  <c r="H346" i="12"/>
  <c r="H354" i="12"/>
  <c r="H362" i="12"/>
  <c r="H370" i="12"/>
  <c r="H378" i="12"/>
  <c r="H386" i="12"/>
  <c r="H394" i="12"/>
  <c r="H402" i="12"/>
  <c r="H410" i="12"/>
  <c r="H418" i="12"/>
  <c r="H426" i="12"/>
  <c r="H434" i="12"/>
  <c r="H442" i="12"/>
  <c r="H450" i="12"/>
  <c r="H458" i="12"/>
  <c r="H466" i="12"/>
  <c r="H474" i="12"/>
  <c r="H482" i="12"/>
  <c r="H490" i="12"/>
  <c r="H498" i="12"/>
  <c r="H506" i="12"/>
  <c r="H514" i="12"/>
  <c r="H522" i="12"/>
  <c r="H531" i="12"/>
  <c r="H539" i="12"/>
  <c r="H547" i="12"/>
  <c r="H555" i="12"/>
  <c r="H563" i="12"/>
  <c r="H571" i="12"/>
  <c r="H579" i="12"/>
  <c r="H587" i="12"/>
  <c r="H595" i="12"/>
  <c r="H603" i="12"/>
  <c r="H611" i="12"/>
  <c r="H619" i="12"/>
  <c r="H627" i="12"/>
  <c r="H635" i="12"/>
  <c r="H643" i="12"/>
  <c r="H651" i="12"/>
  <c r="H660" i="12"/>
  <c r="H668" i="12"/>
  <c r="H676" i="12"/>
  <c r="H684" i="12"/>
  <c r="H693" i="12"/>
  <c r="H701" i="12"/>
  <c r="H710" i="12"/>
  <c r="H718" i="12"/>
  <c r="H727" i="12"/>
  <c r="H736" i="12"/>
  <c r="H745" i="12"/>
  <c r="H753" i="12"/>
  <c r="H761" i="12"/>
  <c r="H770" i="12"/>
  <c r="H779" i="12"/>
  <c r="H788" i="12"/>
  <c r="H797" i="12"/>
  <c r="H805" i="12"/>
  <c r="H813" i="12"/>
  <c r="H821" i="12"/>
  <c r="H829" i="12"/>
  <c r="H838" i="12"/>
  <c r="H846" i="12"/>
  <c r="H854" i="12"/>
  <c r="I67" i="12"/>
  <c r="I131" i="12"/>
  <c r="I195" i="12"/>
  <c r="I259" i="12"/>
  <c r="I323" i="12"/>
  <c r="I387" i="12"/>
  <c r="I451" i="12"/>
  <c r="I515" i="12"/>
  <c r="I579" i="12"/>
  <c r="I643" i="12"/>
  <c r="I707" i="12"/>
  <c r="I771" i="12"/>
  <c r="I835" i="12"/>
  <c r="I899" i="12"/>
  <c r="I963" i="12"/>
  <c r="I1027" i="12"/>
  <c r="I1091" i="12"/>
  <c r="I1155" i="12"/>
  <c r="I1219" i="12"/>
  <c r="I1283" i="12"/>
  <c r="I1347" i="12"/>
  <c r="I1411" i="12"/>
  <c r="I1475" i="12"/>
  <c r="I1524" i="12"/>
  <c r="I1541" i="12"/>
  <c r="I1550" i="12"/>
  <c r="I1559" i="12"/>
  <c r="I1567" i="12"/>
  <c r="I1575" i="12"/>
  <c r="I1583" i="12"/>
  <c r="I1591" i="12"/>
  <c r="I1600" i="12"/>
  <c r="I1608" i="12"/>
  <c r="I1616" i="12"/>
  <c r="I1624" i="12"/>
  <c r="I1633" i="12"/>
  <c r="I1641" i="12"/>
  <c r="I1649" i="12"/>
  <c r="I1657" i="12"/>
  <c r="I1665" i="12"/>
  <c r="I1674" i="12"/>
  <c r="I1682" i="12"/>
  <c r="I1690" i="12"/>
  <c r="I1699" i="12"/>
  <c r="I1707" i="12"/>
  <c r="I1715" i="12"/>
  <c r="I1723" i="12"/>
  <c r="I1731" i="12"/>
  <c r="I1739" i="12"/>
  <c r="I1747" i="12"/>
  <c r="I1755" i="12"/>
  <c r="I1763" i="12"/>
  <c r="I1772" i="12"/>
  <c r="I1780" i="12"/>
  <c r="I1788" i="12"/>
  <c r="I1796" i="12"/>
  <c r="I1804" i="12"/>
  <c r="I1813" i="12"/>
  <c r="I1821" i="12"/>
  <c r="I1829" i="12"/>
  <c r="I1837" i="12"/>
  <c r="I1845" i="12"/>
  <c r="I1853" i="12"/>
  <c r="I1861" i="12"/>
  <c r="I1869" i="12"/>
  <c r="I1877" i="12"/>
  <c r="I1886" i="12"/>
  <c r="I1894" i="12"/>
  <c r="I1902" i="12"/>
  <c r="I1911" i="12"/>
  <c r="I1919" i="12"/>
  <c r="I1927" i="12"/>
  <c r="I1935" i="12"/>
  <c r="I1943" i="12"/>
  <c r="I1952" i="12"/>
  <c r="I1960" i="12"/>
  <c r="I1968" i="12"/>
  <c r="I1976" i="12"/>
  <c r="I1984" i="12"/>
  <c r="I1992" i="12"/>
  <c r="I2000" i="12"/>
  <c r="I2008" i="12"/>
  <c r="I2016" i="12"/>
  <c r="I2025" i="12"/>
  <c r="I2033" i="12"/>
  <c r="I2041" i="12"/>
  <c r="I2050" i="12"/>
  <c r="I2058" i="12"/>
  <c r="I2066" i="12"/>
  <c r="I2074" i="12"/>
  <c r="I2082" i="12"/>
  <c r="I2091" i="12"/>
  <c r="I2099" i="12"/>
  <c r="I2107" i="12"/>
  <c r="I2115" i="12"/>
  <c r="I2124" i="12"/>
  <c r="I2132" i="12"/>
  <c r="I2140" i="12"/>
  <c r="I2148" i="12"/>
  <c r="I2156" i="12"/>
  <c r="I2164" i="12"/>
  <c r="I2172" i="12"/>
  <c r="I2180" i="12"/>
  <c r="I2188" i="12"/>
  <c r="I2196" i="12"/>
  <c r="I2204" i="12"/>
  <c r="I2212" i="12"/>
  <c r="I2220" i="12"/>
  <c r="I2228" i="12"/>
  <c r="I2236" i="12"/>
  <c r="I2244" i="12"/>
  <c r="I2252" i="12"/>
  <c r="I2260" i="12"/>
  <c r="I2268" i="12"/>
  <c r="I2276" i="12"/>
  <c r="I2284" i="12"/>
  <c r="I2292" i="12"/>
  <c r="I2300" i="12"/>
  <c r="I2308" i="12"/>
  <c r="I2316" i="12"/>
  <c r="I2324" i="12"/>
  <c r="I2332" i="12"/>
  <c r="I2340" i="12"/>
  <c r="I2348" i="12"/>
  <c r="I2356" i="12"/>
  <c r="I2364" i="12"/>
  <c r="I2373" i="12"/>
  <c r="I2381" i="12"/>
  <c r="I2389" i="12"/>
  <c r="I2397" i="12"/>
  <c r="I2406" i="12"/>
  <c r="I2414" i="12"/>
  <c r="I2422" i="12"/>
  <c r="I2430" i="12"/>
  <c r="I2439" i="12"/>
  <c r="I2447" i="12"/>
  <c r="I2455" i="12"/>
  <c r="I2463" i="12"/>
  <c r="I2472" i="12"/>
  <c r="I2480" i="12"/>
  <c r="I2488" i="12"/>
  <c r="I2496" i="12"/>
  <c r="I2504" i="12"/>
  <c r="I2512" i="12"/>
  <c r="I2520" i="12"/>
  <c r="I2528" i="12"/>
  <c r="I2536" i="12"/>
  <c r="I2544" i="12"/>
  <c r="I2552" i="12"/>
  <c r="I2560" i="12"/>
  <c r="I2568" i="12"/>
  <c r="I2576" i="12"/>
  <c r="I2585" i="12"/>
  <c r="I2593" i="12"/>
  <c r="I2601" i="12"/>
  <c r="I2610" i="12"/>
  <c r="I2618" i="12"/>
  <c r="I2626" i="12"/>
  <c r="I2634" i="12"/>
  <c r="I2642" i="12"/>
  <c r="I2651" i="12"/>
  <c r="I2659" i="12"/>
  <c r="I2667" i="12"/>
  <c r="I2675" i="12"/>
  <c r="I2684" i="12"/>
  <c r="I2692" i="12"/>
  <c r="I2700" i="12"/>
  <c r="I2708" i="12"/>
  <c r="I2716" i="12"/>
  <c r="I2724" i="12"/>
  <c r="I2733" i="12"/>
  <c r="I2741" i="12"/>
  <c r="I2749" i="12"/>
  <c r="I2757" i="12"/>
  <c r="I2766" i="12"/>
  <c r="I2774" i="12"/>
  <c r="I2782" i="12"/>
  <c r="I2791" i="12"/>
  <c r="I2799" i="12"/>
  <c r="I2807" i="12"/>
  <c r="I2815" i="12"/>
  <c r="I2824" i="12"/>
  <c r="I2832" i="12"/>
  <c r="I2840" i="12"/>
  <c r="I2848" i="12"/>
  <c r="I2856" i="12"/>
  <c r="I2865" i="12"/>
  <c r="I2873" i="12"/>
  <c r="I2881" i="12"/>
  <c r="I2890" i="12"/>
  <c r="I2898" i="12"/>
  <c r="I2906" i="12"/>
  <c r="I2914" i="12"/>
  <c r="I2922" i="12"/>
  <c r="I2931" i="12"/>
  <c r="I2939" i="12"/>
  <c r="I2947" i="12"/>
  <c r="I2955" i="12"/>
  <c r="I2963" i="12"/>
  <c r="I2971" i="12"/>
  <c r="I2979" i="12"/>
  <c r="I2987" i="12"/>
  <c r="I2995" i="12"/>
  <c r="I3004" i="12"/>
  <c r="I3012" i="12"/>
  <c r="I3020" i="12"/>
  <c r="I3029" i="12"/>
  <c r="I3037" i="12"/>
  <c r="I3045" i="12"/>
  <c r="I3053" i="12"/>
  <c r="I3061" i="12"/>
  <c r="I3070" i="12"/>
  <c r="I3078" i="12"/>
  <c r="I3086" i="12"/>
  <c r="I3094" i="12"/>
  <c r="I3103" i="12"/>
  <c r="I3111" i="12"/>
  <c r="H9" i="12"/>
  <c r="H17" i="12"/>
  <c r="H25" i="12"/>
  <c r="H33" i="12"/>
  <c r="H41" i="12"/>
  <c r="H49" i="12"/>
  <c r="H57" i="12"/>
  <c r="H66" i="12"/>
  <c r="H74" i="12"/>
  <c r="H82" i="12"/>
  <c r="H90" i="12"/>
  <c r="H98" i="12"/>
  <c r="H106" i="12"/>
  <c r="H114" i="12"/>
  <c r="H122" i="12"/>
  <c r="H130" i="12"/>
  <c r="H139" i="12"/>
  <c r="H147" i="12"/>
  <c r="H155" i="12"/>
  <c r="H163" i="12"/>
  <c r="H171" i="12"/>
  <c r="H179" i="12"/>
  <c r="H187" i="12"/>
  <c r="H195" i="12"/>
  <c r="H203" i="12"/>
  <c r="H211" i="12"/>
  <c r="H219" i="12"/>
  <c r="H227" i="12"/>
  <c r="H235" i="12"/>
  <c r="H243" i="12"/>
  <c r="H251" i="12"/>
  <c r="H259" i="12"/>
  <c r="H267" i="12"/>
  <c r="H275" i="12"/>
  <c r="H283" i="12"/>
  <c r="H291" i="12"/>
  <c r="H299" i="12"/>
  <c r="H307" i="12"/>
  <c r="H315" i="12"/>
  <c r="H323" i="12"/>
  <c r="H331" i="12"/>
  <c r="H339" i="12"/>
  <c r="H347" i="12"/>
  <c r="H355" i="12"/>
  <c r="H363" i="12"/>
  <c r="H371" i="12"/>
  <c r="H379" i="12"/>
  <c r="H387" i="12"/>
  <c r="H395" i="12"/>
  <c r="H403" i="12"/>
  <c r="H411" i="12"/>
  <c r="H419" i="12"/>
  <c r="H427" i="12"/>
  <c r="H435" i="12"/>
  <c r="H443" i="12"/>
  <c r="H451" i="12"/>
  <c r="H459" i="12"/>
  <c r="H467" i="12"/>
  <c r="H475" i="12"/>
  <c r="H483" i="12"/>
  <c r="H491" i="12"/>
  <c r="H499" i="12"/>
  <c r="H507" i="12"/>
  <c r="H515" i="12"/>
  <c r="H524" i="12"/>
  <c r="H532" i="12"/>
  <c r="H540" i="12"/>
  <c r="H548" i="12"/>
  <c r="H556" i="12"/>
  <c r="H564" i="12"/>
  <c r="H572" i="12"/>
  <c r="H580" i="12"/>
  <c r="H588" i="12"/>
  <c r="H596" i="12"/>
  <c r="H604" i="12"/>
  <c r="H612" i="12"/>
  <c r="H620" i="12"/>
  <c r="H628" i="12"/>
  <c r="H636" i="12"/>
  <c r="H644" i="12"/>
  <c r="H653" i="12"/>
  <c r="H661" i="12"/>
  <c r="H669" i="12"/>
  <c r="H677" i="12"/>
  <c r="H685" i="12"/>
  <c r="H694" i="12"/>
  <c r="H702" i="12"/>
  <c r="H711" i="12"/>
  <c r="H719" i="12"/>
  <c r="H728" i="12"/>
  <c r="H737" i="12"/>
  <c r="H746" i="12"/>
  <c r="H754" i="12"/>
  <c r="H763" i="12"/>
  <c r="H771" i="12"/>
  <c r="H780" i="12"/>
  <c r="H789" i="12"/>
  <c r="H798" i="12"/>
  <c r="H806" i="12"/>
  <c r="H814" i="12"/>
  <c r="H822" i="12"/>
  <c r="H830" i="12"/>
  <c r="H839" i="12"/>
  <c r="H847" i="12"/>
  <c r="H855" i="12"/>
  <c r="I19" i="12"/>
  <c r="I83" i="12"/>
  <c r="I147" i="12"/>
  <c r="I211" i="12"/>
  <c r="I275" i="12"/>
  <c r="I339" i="12"/>
  <c r="I403" i="12"/>
  <c r="I467" i="12"/>
  <c r="I531" i="12"/>
  <c r="I595" i="12"/>
  <c r="I659" i="12"/>
  <c r="I723" i="12"/>
  <c r="I787" i="12"/>
  <c r="I851" i="12"/>
  <c r="I915" i="12"/>
  <c r="I979" i="12"/>
  <c r="I1043" i="12"/>
  <c r="I1107" i="12"/>
  <c r="I1171" i="12"/>
  <c r="I1235" i="12"/>
  <c r="I1299" i="12"/>
  <c r="I1363" i="12"/>
  <c r="I1427" i="12"/>
  <c r="I1492" i="12"/>
  <c r="I1532" i="12"/>
  <c r="I1544" i="12"/>
  <c r="I1552" i="12"/>
  <c r="I1561" i="12"/>
  <c r="I1569" i="12"/>
  <c r="I1577" i="12"/>
  <c r="I1585" i="12"/>
  <c r="I1593" i="12"/>
  <c r="I1602" i="12"/>
  <c r="I1610" i="12"/>
  <c r="I1618" i="12"/>
  <c r="I1626" i="12"/>
  <c r="I1635" i="12"/>
  <c r="I1643" i="12"/>
  <c r="I1651" i="12"/>
  <c r="I1659" i="12"/>
  <c r="I1667" i="12"/>
  <c r="I1676" i="12"/>
  <c r="I1684" i="12"/>
  <c r="I1692" i="12"/>
  <c r="I1701" i="12"/>
  <c r="I1709" i="12"/>
  <c r="I1717" i="12"/>
  <c r="I1725" i="12"/>
  <c r="I1733" i="12"/>
  <c r="I1741" i="12"/>
  <c r="I1749" i="12"/>
  <c r="I1757" i="12"/>
  <c r="I1765" i="12"/>
  <c r="I1774" i="12"/>
  <c r="I1782" i="12"/>
  <c r="I1790" i="12"/>
  <c r="I1798" i="12"/>
  <c r="I1806" i="12"/>
  <c r="I1815" i="12"/>
  <c r="I1823" i="12"/>
  <c r="I1831" i="12"/>
  <c r="I1839" i="12"/>
  <c r="I1847" i="12"/>
  <c r="I1855" i="12"/>
  <c r="I1863" i="12"/>
  <c r="I1871" i="12"/>
  <c r="I1880" i="12"/>
  <c r="I1888" i="12"/>
  <c r="I1896" i="12"/>
  <c r="I1904" i="12"/>
  <c r="I1913" i="12"/>
  <c r="I1921" i="12"/>
  <c r="I1929" i="12"/>
  <c r="I1937" i="12"/>
  <c r="I1945" i="12"/>
  <c r="I1954" i="12"/>
  <c r="I1962" i="12"/>
  <c r="I1970" i="12"/>
  <c r="I1978" i="12"/>
  <c r="I1986" i="12"/>
  <c r="I1994" i="12"/>
  <c r="I2002" i="12"/>
  <c r="I2010" i="12"/>
  <c r="I2019" i="12"/>
  <c r="I2027" i="12"/>
  <c r="I2035" i="12"/>
  <c r="I2043" i="12"/>
  <c r="I2052" i="12"/>
  <c r="I2060" i="12"/>
  <c r="I2068" i="12"/>
  <c r="I2076" i="12"/>
  <c r="I2084" i="12"/>
  <c r="I2093" i="12"/>
  <c r="I2101" i="12"/>
  <c r="I2109" i="12"/>
  <c r="I2117" i="12"/>
  <c r="I2126" i="12"/>
  <c r="I2134" i="12"/>
  <c r="I2142" i="12"/>
  <c r="I2150" i="12"/>
  <c r="I2158" i="12"/>
  <c r="I2166" i="12"/>
  <c r="I2174" i="12"/>
  <c r="I2182" i="12"/>
  <c r="I2190" i="12"/>
  <c r="I2198" i="12"/>
  <c r="I2206" i="12"/>
  <c r="I2214" i="12"/>
  <c r="I2222" i="12"/>
  <c r="I2230" i="12"/>
  <c r="I2238" i="12"/>
  <c r="I2246" i="12"/>
  <c r="I2254" i="12"/>
  <c r="I2262" i="12"/>
  <c r="I2270" i="12"/>
  <c r="I2278" i="12"/>
  <c r="I2286" i="12"/>
  <c r="I2294" i="12"/>
  <c r="I2302" i="12"/>
  <c r="I2310" i="12"/>
  <c r="I2318" i="12"/>
  <c r="I2326" i="12"/>
  <c r="I2334" i="12"/>
  <c r="I2342" i="12"/>
  <c r="I2350" i="12"/>
  <c r="I2358" i="12"/>
  <c r="I2366" i="12"/>
  <c r="I2375" i="12"/>
  <c r="I2383" i="12"/>
  <c r="I2391" i="12"/>
  <c r="I2400" i="12"/>
  <c r="I2408" i="12"/>
  <c r="I2416" i="12"/>
  <c r="I2424" i="12"/>
  <c r="I2432" i="12"/>
  <c r="I2441" i="12"/>
  <c r="I2449" i="12"/>
  <c r="I2457" i="12"/>
  <c r="I2465" i="12"/>
  <c r="I2474" i="12"/>
  <c r="I2482" i="12"/>
  <c r="I2490" i="12"/>
  <c r="I2498" i="12"/>
  <c r="I2506" i="12"/>
  <c r="I2514" i="12"/>
  <c r="I2522" i="12"/>
  <c r="I2530" i="12"/>
  <c r="I2538" i="12"/>
  <c r="I2546" i="12"/>
  <c r="I2554" i="12"/>
  <c r="I2562" i="12"/>
  <c r="I2570" i="12"/>
  <c r="I2579" i="12"/>
  <c r="I2587" i="12"/>
  <c r="I2595" i="12"/>
  <c r="I2603" i="12"/>
  <c r="I2612" i="12"/>
  <c r="I2620" i="12"/>
  <c r="I2628" i="12"/>
  <c r="I2636" i="12"/>
  <c r="I2644" i="12"/>
  <c r="I2653" i="12"/>
  <c r="I2661" i="12"/>
  <c r="I2669" i="12"/>
  <c r="I2677" i="12"/>
  <c r="I2686" i="12"/>
  <c r="I2694" i="12"/>
  <c r="I2702" i="12"/>
  <c r="I2710" i="12"/>
  <c r="I2718" i="12"/>
  <c r="I2726" i="12"/>
  <c r="I2735" i="12"/>
  <c r="I2743" i="12"/>
  <c r="I2751" i="12"/>
  <c r="I2760" i="12"/>
  <c r="I2768" i="12"/>
  <c r="I2776" i="12"/>
  <c r="I2784" i="12"/>
  <c r="I2793" i="12"/>
  <c r="I2801" i="12"/>
  <c r="I2809" i="12"/>
  <c r="I2817" i="12"/>
  <c r="I2826" i="12"/>
  <c r="I2834" i="12"/>
  <c r="I2842" i="12"/>
  <c r="I2850" i="12"/>
  <c r="I2859" i="12"/>
  <c r="I2867" i="12"/>
  <c r="I2875" i="12"/>
  <c r="I2883" i="12"/>
  <c r="I2892" i="12"/>
  <c r="I2900" i="12"/>
  <c r="I2908" i="12"/>
  <c r="I2916" i="12"/>
  <c r="I2924" i="12"/>
  <c r="I2933" i="12"/>
  <c r="I2941" i="12"/>
  <c r="I2949" i="12"/>
  <c r="I2957" i="12"/>
  <c r="I2965" i="12"/>
  <c r="I2973" i="12"/>
  <c r="I2981" i="12"/>
  <c r="I2989" i="12"/>
  <c r="I2997" i="12"/>
  <c r="I3006" i="12"/>
  <c r="I3014" i="12"/>
  <c r="I3022" i="12"/>
  <c r="I3031" i="12"/>
  <c r="I3039" i="12"/>
  <c r="I3047" i="12"/>
  <c r="I3055" i="12"/>
  <c r="I3063" i="12"/>
  <c r="I3072" i="12"/>
  <c r="I3080" i="12"/>
  <c r="I3088" i="12"/>
  <c r="I3096" i="12"/>
  <c r="I3105" i="12"/>
  <c r="I3113" i="12"/>
  <c r="H11" i="12"/>
  <c r="H19" i="12"/>
  <c r="H27" i="12"/>
  <c r="H35" i="12"/>
  <c r="H43" i="12"/>
  <c r="H51" i="12"/>
  <c r="H59" i="12"/>
  <c r="H68" i="12"/>
  <c r="H76" i="12"/>
  <c r="H84" i="12"/>
  <c r="H92" i="12"/>
  <c r="H100" i="12"/>
  <c r="H108" i="12"/>
  <c r="H116" i="12"/>
  <c r="H124" i="12"/>
  <c r="H132" i="12"/>
  <c r="H141" i="12"/>
  <c r="H149" i="12"/>
  <c r="H157" i="12"/>
  <c r="H165" i="12"/>
  <c r="H173" i="12"/>
  <c r="H181" i="12"/>
  <c r="H189" i="12"/>
  <c r="H197" i="12"/>
  <c r="H205" i="12"/>
  <c r="H213" i="12"/>
  <c r="H221" i="12"/>
  <c r="H229" i="12"/>
  <c r="H237" i="12"/>
  <c r="H245" i="12"/>
  <c r="H253" i="12"/>
  <c r="H261" i="12"/>
  <c r="H269" i="12"/>
  <c r="H277" i="12"/>
  <c r="H285" i="12"/>
  <c r="H293" i="12"/>
  <c r="H301" i="12"/>
  <c r="H309" i="12"/>
  <c r="H317" i="12"/>
  <c r="H325" i="12"/>
  <c r="H333" i="12"/>
  <c r="H341" i="12"/>
  <c r="H349" i="12"/>
  <c r="H357" i="12"/>
  <c r="H365" i="12"/>
  <c r="H373" i="12"/>
  <c r="H381" i="12"/>
  <c r="H389" i="12"/>
  <c r="H397" i="12"/>
  <c r="H405" i="12"/>
  <c r="H413" i="12"/>
  <c r="H421" i="12"/>
  <c r="H429" i="12"/>
  <c r="H437" i="12"/>
  <c r="H445" i="12"/>
  <c r="H453" i="12"/>
  <c r="H461" i="12"/>
  <c r="H469" i="12"/>
  <c r="H477" i="12"/>
  <c r="H485" i="12"/>
  <c r="H493" i="12"/>
  <c r="H501" i="12"/>
  <c r="H509" i="12"/>
  <c r="H517" i="12"/>
  <c r="H526" i="12"/>
  <c r="H534" i="12"/>
  <c r="H542" i="12"/>
  <c r="H550" i="12"/>
  <c r="H558" i="12"/>
  <c r="H566" i="12"/>
  <c r="H574" i="12"/>
  <c r="H582" i="12"/>
  <c r="H590" i="12"/>
  <c r="H598" i="12"/>
  <c r="H606" i="12"/>
  <c r="H614" i="12"/>
  <c r="H622" i="12"/>
  <c r="H630" i="12"/>
  <c r="H638" i="12"/>
  <c r="H646" i="12"/>
  <c r="H655" i="12"/>
  <c r="H663" i="12"/>
  <c r="H671" i="12"/>
  <c r="H679" i="12"/>
  <c r="H687" i="12"/>
  <c r="H696" i="12"/>
  <c r="H704" i="12"/>
  <c r="H713" i="12"/>
  <c r="H721" i="12"/>
  <c r="H730" i="12"/>
  <c r="H739" i="12"/>
  <c r="H748" i="12"/>
  <c r="H756" i="12"/>
  <c r="H765" i="12"/>
  <c r="H774" i="12"/>
  <c r="H783" i="12"/>
  <c r="H791" i="12"/>
  <c r="H800" i="12"/>
  <c r="H808" i="12"/>
  <c r="H816" i="12"/>
  <c r="H824" i="12"/>
  <c r="H832" i="12"/>
  <c r="H841" i="12"/>
  <c r="H849" i="12"/>
  <c r="H857" i="12"/>
  <c r="I27" i="12"/>
  <c r="I91" i="12"/>
  <c r="I155" i="12"/>
  <c r="I219" i="12"/>
  <c r="I283" i="12"/>
  <c r="I347" i="12"/>
  <c r="I411" i="12"/>
  <c r="I475" i="12"/>
  <c r="I539" i="12"/>
  <c r="I603" i="12"/>
  <c r="I667" i="12"/>
  <c r="I731" i="12"/>
  <c r="I795" i="12"/>
  <c r="I859" i="12"/>
  <c r="I923" i="12"/>
  <c r="I987" i="12"/>
  <c r="I1051" i="12"/>
  <c r="I1115" i="12"/>
  <c r="I1179" i="12"/>
  <c r="I1243" i="12"/>
  <c r="I1307" i="12"/>
  <c r="I1371" i="12"/>
  <c r="I1435" i="12"/>
  <c r="I1500" i="12"/>
  <c r="I1536" i="12"/>
  <c r="I1545" i="12"/>
  <c r="I1553" i="12"/>
  <c r="I1562" i="12"/>
  <c r="I1570" i="12"/>
  <c r="I1578" i="12"/>
  <c r="I1586" i="12"/>
  <c r="I1594" i="12"/>
  <c r="I1603" i="12"/>
  <c r="I1611" i="12"/>
  <c r="I1619" i="12"/>
  <c r="I1627" i="12"/>
  <c r="I1636" i="12"/>
  <c r="I1644" i="12"/>
  <c r="I1652" i="12"/>
  <c r="I1660" i="12"/>
  <c r="I1669" i="12"/>
  <c r="I1677" i="12"/>
  <c r="I1685" i="12"/>
  <c r="I1693" i="12"/>
  <c r="I1702" i="12"/>
  <c r="I1710" i="12"/>
  <c r="I1718" i="12"/>
  <c r="I1726" i="12"/>
  <c r="I1734" i="12"/>
  <c r="I1742" i="12"/>
  <c r="I1750" i="12"/>
  <c r="I1758" i="12"/>
  <c r="I1766" i="12"/>
  <c r="I1775" i="12"/>
  <c r="I1783" i="12"/>
  <c r="I1791" i="12"/>
  <c r="I1799" i="12"/>
  <c r="I1807" i="12"/>
  <c r="I1816" i="12"/>
  <c r="I1824" i="12"/>
  <c r="I1832" i="12"/>
  <c r="I1840" i="12"/>
  <c r="I1848" i="12"/>
  <c r="I1856" i="12"/>
  <c r="I1864" i="12"/>
  <c r="I1872" i="12"/>
  <c r="I1881" i="12"/>
  <c r="I1889" i="12"/>
  <c r="I1897" i="12"/>
  <c r="I1905" i="12"/>
  <c r="I1914" i="12"/>
  <c r="I1922" i="12"/>
  <c r="I1930" i="12"/>
  <c r="I1938" i="12"/>
  <c r="I1946" i="12"/>
  <c r="I1955" i="12"/>
  <c r="I1963" i="12"/>
  <c r="I1971" i="12"/>
  <c r="I1979" i="12"/>
  <c r="I1987" i="12"/>
  <c r="I1995" i="12"/>
  <c r="I2003" i="12"/>
  <c r="I2011" i="12"/>
  <c r="I2020" i="12"/>
  <c r="I2028" i="12"/>
  <c r="I2036" i="12"/>
  <c r="I2044" i="12"/>
  <c r="I2053" i="12"/>
  <c r="I2061" i="12"/>
  <c r="I2069" i="12"/>
  <c r="I2077" i="12"/>
  <c r="I2085" i="12"/>
  <c r="I2094" i="12"/>
  <c r="I2102" i="12"/>
  <c r="I2110" i="12"/>
  <c r="I2119" i="12"/>
  <c r="I2127" i="12"/>
  <c r="I2135" i="12"/>
  <c r="I2143" i="12"/>
  <c r="I2151" i="12"/>
  <c r="I2159" i="12"/>
  <c r="I2167" i="12"/>
  <c r="I2175" i="12"/>
  <c r="I2183" i="12"/>
  <c r="I2191" i="12"/>
  <c r="I2199" i="12"/>
  <c r="I2207" i="12"/>
  <c r="I2215" i="12"/>
  <c r="I2223" i="12"/>
  <c r="I2231" i="12"/>
  <c r="I2239" i="12"/>
  <c r="I2247" i="12"/>
  <c r="I2255" i="12"/>
  <c r="I2263" i="12"/>
  <c r="I2271" i="12"/>
  <c r="I2279" i="12"/>
  <c r="I2287" i="12"/>
  <c r="I2295" i="12"/>
  <c r="I2303" i="12"/>
  <c r="I2311" i="12"/>
  <c r="I2319" i="12"/>
  <c r="I2327" i="12"/>
  <c r="I2335" i="12"/>
  <c r="I2343" i="12"/>
  <c r="I2351" i="12"/>
  <c r="I2359" i="12"/>
  <c r="I2367" i="12"/>
  <c r="I2376" i="12"/>
  <c r="I2384" i="12"/>
  <c r="I2392" i="12"/>
  <c r="I2401" i="12"/>
  <c r="I2409" i="12"/>
  <c r="I2417" i="12"/>
  <c r="I2425" i="12"/>
  <c r="I2433" i="12"/>
  <c r="I2442" i="12"/>
  <c r="I2450" i="12"/>
  <c r="I2458" i="12"/>
  <c r="I2466" i="12"/>
  <c r="I2475" i="12"/>
  <c r="I2483" i="12"/>
  <c r="I2491" i="12"/>
  <c r="I2499" i="12"/>
  <c r="I2507" i="12"/>
  <c r="I2515" i="12"/>
  <c r="I2523" i="12"/>
  <c r="I2531" i="12"/>
  <c r="I2539" i="12"/>
  <c r="I2547" i="12"/>
  <c r="I2555" i="12"/>
  <c r="I2563" i="12"/>
  <c r="I2571" i="12"/>
  <c r="I2580" i="12"/>
  <c r="I2588" i="12"/>
  <c r="I2596" i="12"/>
  <c r="I2604" i="12"/>
  <c r="I2613" i="12"/>
  <c r="I2621" i="12"/>
  <c r="I2629" i="12"/>
  <c r="I2637" i="12"/>
  <c r="I2645" i="12"/>
  <c r="I2654" i="12"/>
  <c r="I2662" i="12"/>
  <c r="I2670" i="12"/>
  <c r="I2679" i="12"/>
  <c r="I2687" i="12"/>
  <c r="I2695" i="12"/>
  <c r="I2703" i="12"/>
  <c r="I2711" i="12"/>
  <c r="I2719" i="12"/>
  <c r="I2727" i="12"/>
  <c r="I2736" i="12"/>
  <c r="I2744" i="12"/>
  <c r="I2752" i="12"/>
  <c r="I2761" i="12"/>
  <c r="I2769" i="12"/>
  <c r="I2777" i="12"/>
  <c r="I2785" i="12"/>
  <c r="I2794" i="12"/>
  <c r="I2802" i="12"/>
  <c r="I2810" i="12"/>
  <c r="I2819" i="12"/>
  <c r="I2827" i="12"/>
  <c r="I2835" i="12"/>
  <c r="I2843" i="12"/>
  <c r="I2851" i="12"/>
  <c r="I2860" i="12"/>
  <c r="I2868" i="12"/>
  <c r="I2876" i="12"/>
  <c r="I2884" i="12"/>
  <c r="I2893" i="12"/>
  <c r="I2901" i="12"/>
  <c r="I2909" i="12"/>
  <c r="I2917" i="12"/>
  <c r="I2925" i="12"/>
  <c r="I2934" i="12"/>
  <c r="I2942" i="12"/>
  <c r="I2950" i="12"/>
  <c r="I2958" i="12"/>
  <c r="I2966" i="12"/>
  <c r="I2974" i="12"/>
  <c r="I2982" i="12"/>
  <c r="I2990" i="12"/>
  <c r="I2999" i="12"/>
  <c r="I3007" i="12"/>
  <c r="I3015" i="12"/>
  <c r="I3023" i="12"/>
  <c r="I3032" i="12"/>
  <c r="I3040" i="12"/>
  <c r="I3048" i="12"/>
  <c r="I3056" i="12"/>
  <c r="I3064" i="12"/>
  <c r="I3073" i="12"/>
  <c r="I3081" i="12"/>
  <c r="I3089" i="12"/>
  <c r="I3097" i="12"/>
  <c r="I3106" i="12"/>
  <c r="I3" i="12"/>
  <c r="H12" i="12"/>
  <c r="H20" i="12"/>
  <c r="H28" i="12"/>
  <c r="H36" i="12"/>
  <c r="H44" i="12"/>
  <c r="H52" i="12"/>
  <c r="H60" i="12"/>
  <c r="H69" i="12"/>
  <c r="H77" i="12"/>
  <c r="H85" i="12"/>
  <c r="H93" i="12"/>
  <c r="H101" i="12"/>
  <c r="H109" i="12"/>
  <c r="H117" i="12"/>
  <c r="H125" i="12"/>
  <c r="H133" i="12"/>
  <c r="H142" i="12"/>
  <c r="H150" i="12"/>
  <c r="H158" i="12"/>
  <c r="H166" i="12"/>
  <c r="H174" i="12"/>
  <c r="H182" i="12"/>
  <c r="H190" i="12"/>
  <c r="H198" i="12"/>
  <c r="H206" i="12"/>
  <c r="H214" i="12"/>
  <c r="H222" i="12"/>
  <c r="H230" i="12"/>
  <c r="H238" i="12"/>
  <c r="H246" i="12"/>
  <c r="H254" i="12"/>
  <c r="H262" i="12"/>
  <c r="H270" i="12"/>
  <c r="H278" i="12"/>
  <c r="H286" i="12"/>
  <c r="H294" i="12"/>
  <c r="H302" i="12"/>
  <c r="H310" i="12"/>
  <c r="H318" i="12"/>
  <c r="H326" i="12"/>
  <c r="H334" i="12"/>
  <c r="H342" i="12"/>
  <c r="H350" i="12"/>
  <c r="H358" i="12"/>
  <c r="H366" i="12"/>
  <c r="H374" i="12"/>
  <c r="H382" i="12"/>
  <c r="H390" i="12"/>
  <c r="H398" i="12"/>
  <c r="H406" i="12"/>
  <c r="H414" i="12"/>
  <c r="H422" i="12"/>
  <c r="H430" i="12"/>
  <c r="H438" i="12"/>
  <c r="H446" i="12"/>
  <c r="H454" i="12"/>
  <c r="H462" i="12"/>
  <c r="H470" i="12"/>
  <c r="H478" i="12"/>
  <c r="H486" i="12"/>
  <c r="H494" i="12"/>
  <c r="H502" i="12"/>
  <c r="H510" i="12"/>
  <c r="H518" i="12"/>
  <c r="H527" i="12"/>
  <c r="H535" i="12"/>
  <c r="H543" i="12"/>
  <c r="H551" i="12"/>
  <c r="H559" i="12"/>
  <c r="H567" i="12"/>
  <c r="H575" i="12"/>
  <c r="H583" i="12"/>
  <c r="H591" i="12"/>
  <c r="H599" i="12"/>
  <c r="H607" i="12"/>
  <c r="H615" i="12"/>
  <c r="H623" i="12"/>
  <c r="H631" i="12"/>
  <c r="H639" i="12"/>
  <c r="H647" i="12"/>
  <c r="H656" i="12"/>
  <c r="H664" i="12"/>
  <c r="H672" i="12"/>
  <c r="H680" i="12"/>
  <c r="H688" i="12"/>
  <c r="H697" i="12"/>
  <c r="H705" i="12"/>
  <c r="H714" i="12"/>
  <c r="H723" i="12"/>
  <c r="H731" i="12"/>
  <c r="H740" i="12"/>
  <c r="H749" i="12"/>
  <c r="H757" i="12"/>
  <c r="H766" i="12"/>
  <c r="H775" i="12"/>
  <c r="H784" i="12"/>
  <c r="H793" i="12"/>
  <c r="H801" i="12"/>
  <c r="H809" i="12"/>
  <c r="H817" i="12"/>
  <c r="H825" i="12"/>
  <c r="H834" i="12"/>
  <c r="H842" i="12"/>
  <c r="H850" i="12"/>
  <c r="H858" i="12"/>
  <c r="I139" i="12"/>
  <c r="I395" i="12"/>
  <c r="I651" i="12"/>
  <c r="I907" i="12"/>
  <c r="I1163" i="12"/>
  <c r="I1419" i="12"/>
  <c r="I1551" i="12"/>
  <c r="I1584" i="12"/>
  <c r="I1617" i="12"/>
  <c r="I1650" i="12"/>
  <c r="I1683" i="12"/>
  <c r="I1716" i="12"/>
  <c r="I1748" i="12"/>
  <c r="I1781" i="12"/>
  <c r="I1814" i="12"/>
  <c r="I1846" i="12"/>
  <c r="I1879" i="12"/>
  <c r="I1912" i="12"/>
  <c r="I1944" i="12"/>
  <c r="I1977" i="12"/>
  <c r="I2009" i="12"/>
  <c r="I2042" i="12"/>
  <c r="I2075" i="12"/>
  <c r="I2108" i="12"/>
  <c r="I2141" i="12"/>
  <c r="I2173" i="12"/>
  <c r="I2205" i="12"/>
  <c r="I2237" i="12"/>
  <c r="I2269" i="12"/>
  <c r="I2301" i="12"/>
  <c r="I2333" i="12"/>
  <c r="I2365" i="12"/>
  <c r="I2399" i="12"/>
  <c r="I2431" i="12"/>
  <c r="I2464" i="12"/>
  <c r="I2497" i="12"/>
  <c r="I2529" i="12"/>
  <c r="I2561" i="12"/>
  <c r="I2594" i="12"/>
  <c r="I2627" i="12"/>
  <c r="I2660" i="12"/>
  <c r="I2693" i="12"/>
  <c r="I2725" i="12"/>
  <c r="I2759" i="12"/>
  <c r="I2792" i="12"/>
  <c r="I2825" i="12"/>
  <c r="I2857" i="12"/>
  <c r="I2891" i="12"/>
  <c r="I2923" i="12"/>
  <c r="I2956" i="12"/>
  <c r="I2988" i="12"/>
  <c r="I3021" i="12"/>
  <c r="I3054" i="12"/>
  <c r="I3087" i="12"/>
  <c r="H10" i="12"/>
  <c r="H42" i="12"/>
  <c r="H75" i="12"/>
  <c r="H107" i="12"/>
  <c r="H140" i="12"/>
  <c r="H172" i="12"/>
  <c r="H204" i="12"/>
  <c r="H236" i="12"/>
  <c r="H268" i="12"/>
  <c r="H300" i="12"/>
  <c r="H332" i="12"/>
  <c r="H364" i="12"/>
  <c r="H396" i="12"/>
  <c r="H428" i="12"/>
  <c r="H460" i="12"/>
  <c r="H492" i="12"/>
  <c r="H525" i="12"/>
  <c r="H557" i="12"/>
  <c r="H589" i="12"/>
  <c r="H621" i="12"/>
  <c r="H654" i="12"/>
  <c r="H686" i="12"/>
  <c r="H720" i="12"/>
  <c r="H755" i="12"/>
  <c r="H790" i="12"/>
  <c r="H823" i="12"/>
  <c r="H856" i="12"/>
  <c r="H869" i="12"/>
  <c r="H877" i="12"/>
  <c r="H885" i="12"/>
  <c r="H893" i="12"/>
  <c r="H901" i="12"/>
  <c r="H910" i="12"/>
  <c r="H918" i="12"/>
  <c r="H926" i="12"/>
  <c r="H935" i="12"/>
  <c r="H943" i="12"/>
  <c r="H951" i="12"/>
  <c r="H959" i="12"/>
  <c r="H967" i="12"/>
  <c r="H976" i="12"/>
  <c r="H984" i="12"/>
  <c r="H992" i="12"/>
  <c r="H1000" i="12"/>
  <c r="H1009" i="12"/>
  <c r="H1017" i="12"/>
  <c r="H1025" i="12"/>
  <c r="H1033" i="12"/>
  <c r="H1042" i="12"/>
  <c r="H1050" i="12"/>
  <c r="H1058" i="12"/>
  <c r="H1066" i="12"/>
  <c r="H1075" i="12"/>
  <c r="H1084" i="12"/>
  <c r="H1092" i="12"/>
  <c r="H1100" i="12"/>
  <c r="H1108" i="12"/>
  <c r="H1116" i="12"/>
  <c r="H1125" i="12"/>
  <c r="H1133" i="12"/>
  <c r="H1141" i="12"/>
  <c r="H1149" i="12"/>
  <c r="H1158" i="12"/>
  <c r="H1166" i="12"/>
  <c r="H1174" i="12"/>
  <c r="H1183" i="12"/>
  <c r="H1191" i="12"/>
  <c r="H1199" i="12"/>
  <c r="H1207" i="12"/>
  <c r="H1216" i="12"/>
  <c r="H1224" i="12"/>
  <c r="H1232" i="12"/>
  <c r="H1240" i="12"/>
  <c r="H1248" i="12"/>
  <c r="H1257" i="12"/>
  <c r="H1265" i="12"/>
  <c r="H1273" i="12"/>
  <c r="H1281" i="12"/>
  <c r="H1290" i="12"/>
  <c r="H1298" i="12"/>
  <c r="H1306" i="12"/>
  <c r="H1314" i="12"/>
  <c r="H1323" i="12"/>
  <c r="H1331" i="12"/>
  <c r="H1339" i="12"/>
  <c r="H1347" i="12"/>
  <c r="H1356" i="12"/>
  <c r="H1364" i="12"/>
  <c r="H1372" i="12"/>
  <c r="H1380" i="12"/>
  <c r="H1388" i="12"/>
  <c r="H1397" i="12"/>
  <c r="H1405" i="12"/>
  <c r="H1413" i="12"/>
  <c r="H1421" i="12"/>
  <c r="H1430" i="12"/>
  <c r="H1438" i="12"/>
  <c r="H1446" i="12"/>
  <c r="H1454" i="12"/>
  <c r="H1463" i="12"/>
  <c r="H1471" i="12"/>
  <c r="H1479" i="12"/>
  <c r="H1487" i="12"/>
  <c r="H1496" i="12"/>
  <c r="H1504" i="12"/>
  <c r="H1512" i="12"/>
  <c r="H1520" i="12"/>
  <c r="H1528" i="12"/>
  <c r="H1536" i="12"/>
  <c r="H1544" i="12"/>
  <c r="H1552" i="12"/>
  <c r="H1561" i="12"/>
  <c r="H1569" i="12"/>
  <c r="H1577" i="12"/>
  <c r="H1585" i="12"/>
  <c r="H1593" i="12"/>
  <c r="H1602" i="12"/>
  <c r="H1610" i="12"/>
  <c r="H1618" i="12"/>
  <c r="H1626" i="12"/>
  <c r="H1635" i="12"/>
  <c r="H1643" i="12"/>
  <c r="H1651" i="12"/>
  <c r="H1659" i="12"/>
  <c r="H1667" i="12"/>
  <c r="H1676" i="12"/>
  <c r="H1684" i="12"/>
  <c r="H1692" i="12"/>
  <c r="H1701" i="12"/>
  <c r="H1709" i="12"/>
  <c r="H1717" i="12"/>
  <c r="H1725" i="12"/>
  <c r="H1733" i="12"/>
  <c r="H1741" i="12"/>
  <c r="H1749" i="12"/>
  <c r="H1757" i="12"/>
  <c r="H1765" i="12"/>
  <c r="H1774" i="12"/>
  <c r="H1782" i="12"/>
  <c r="H1790" i="12"/>
  <c r="H1798" i="12"/>
  <c r="H1806" i="12"/>
  <c r="H1815" i="12"/>
  <c r="H1823" i="12"/>
  <c r="H1831" i="12"/>
  <c r="H1839" i="12"/>
  <c r="H1847" i="12"/>
  <c r="H1855" i="12"/>
  <c r="H1863" i="12"/>
  <c r="H1871" i="12"/>
  <c r="H1880" i="12"/>
  <c r="H1888" i="12"/>
  <c r="H1896" i="12"/>
  <c r="H1904" i="12"/>
  <c r="H1913" i="12"/>
  <c r="H1921" i="12"/>
  <c r="H1929" i="12"/>
  <c r="H1937" i="12"/>
  <c r="H1945" i="12"/>
  <c r="H1954" i="12"/>
  <c r="H1962" i="12"/>
  <c r="H1970" i="12"/>
  <c r="H1978" i="12"/>
  <c r="H1986" i="12"/>
  <c r="H1994" i="12"/>
  <c r="H2002" i="12"/>
  <c r="H2010" i="12"/>
  <c r="H2019" i="12"/>
  <c r="H2027" i="12"/>
  <c r="H2035" i="12"/>
  <c r="H2043" i="12"/>
  <c r="H2052" i="12"/>
  <c r="H2060" i="12"/>
  <c r="H2068" i="12"/>
  <c r="H2076" i="12"/>
  <c r="H2084" i="12"/>
  <c r="H2093" i="12"/>
  <c r="H2101" i="12"/>
  <c r="H2109" i="12"/>
  <c r="H2117" i="12"/>
  <c r="H2126" i="12"/>
  <c r="H2134" i="12"/>
  <c r="H2142" i="12"/>
  <c r="H2150" i="12"/>
  <c r="H2158" i="12"/>
  <c r="H2166" i="12"/>
  <c r="H2174" i="12"/>
  <c r="H2182" i="12"/>
  <c r="H2190" i="12"/>
  <c r="H2198" i="12"/>
  <c r="H2206" i="12"/>
  <c r="H2214" i="12"/>
  <c r="H2222" i="12"/>
  <c r="H2230" i="12"/>
  <c r="H2238" i="12"/>
  <c r="H2246" i="12"/>
  <c r="H2254" i="12"/>
  <c r="H2262" i="12"/>
  <c r="H2270" i="12"/>
  <c r="H2278" i="12"/>
  <c r="H2286" i="12"/>
  <c r="H2294" i="12"/>
  <c r="H2302" i="12"/>
  <c r="H2310" i="12"/>
  <c r="H2318" i="12"/>
  <c r="H2326" i="12"/>
  <c r="H2334" i="12"/>
  <c r="H2342" i="12"/>
  <c r="H2350" i="12"/>
  <c r="H2358" i="12"/>
  <c r="H2366" i="12"/>
  <c r="H2375" i="12"/>
  <c r="H2383" i="12"/>
  <c r="H2391" i="12"/>
  <c r="H2400" i="12"/>
  <c r="H2408" i="12"/>
  <c r="H2416" i="12"/>
  <c r="H2424" i="12"/>
  <c r="H2432" i="12"/>
  <c r="H2441" i="12"/>
  <c r="H2449" i="12"/>
  <c r="H2457" i="12"/>
  <c r="H2465" i="12"/>
  <c r="H2474" i="12"/>
  <c r="H2482" i="12"/>
  <c r="H2490" i="12"/>
  <c r="H2498" i="12"/>
  <c r="H2506" i="12"/>
  <c r="H2514" i="12"/>
  <c r="H2522" i="12"/>
  <c r="H2530" i="12"/>
  <c r="H2538" i="12"/>
  <c r="H2546" i="12"/>
  <c r="H2554" i="12"/>
  <c r="H2562" i="12"/>
  <c r="H2570" i="12"/>
  <c r="H2579" i="12"/>
  <c r="H2587" i="12"/>
  <c r="H2595" i="12"/>
  <c r="H2603" i="12"/>
  <c r="H2612" i="12"/>
  <c r="H2620" i="12"/>
  <c r="H2628" i="12"/>
  <c r="H2636" i="12"/>
  <c r="H2644" i="12"/>
  <c r="H2653" i="12"/>
  <c r="H2661" i="12"/>
  <c r="H2669" i="12"/>
  <c r="H2677" i="12"/>
  <c r="H2686" i="12"/>
  <c r="H2694" i="12"/>
  <c r="H2702" i="12"/>
  <c r="H2710" i="12"/>
  <c r="H2718" i="12"/>
  <c r="H2726" i="12"/>
  <c r="H2735" i="12"/>
  <c r="H2743" i="12"/>
  <c r="H2751" i="12"/>
  <c r="H2760" i="12"/>
  <c r="H2768" i="12"/>
  <c r="H2776" i="12"/>
  <c r="H2784" i="12"/>
  <c r="H2793" i="12"/>
  <c r="H2801" i="12"/>
  <c r="H2809" i="12"/>
  <c r="H2817" i="12"/>
  <c r="H2826" i="12"/>
  <c r="H2834" i="12"/>
  <c r="H2842" i="12"/>
  <c r="H2850" i="12"/>
  <c r="H2859" i="12"/>
  <c r="H2867" i="12"/>
  <c r="H2875" i="12"/>
  <c r="H2883" i="12"/>
  <c r="H2892" i="12"/>
  <c r="H2900" i="12"/>
  <c r="H2908" i="12"/>
  <c r="H2916" i="12"/>
  <c r="H2924" i="12"/>
  <c r="H2933" i="12"/>
  <c r="H2941" i="12"/>
  <c r="H2949" i="12"/>
  <c r="I163" i="12"/>
  <c r="I419" i="12"/>
  <c r="I675" i="12"/>
  <c r="I931" i="12"/>
  <c r="I1187" i="12"/>
  <c r="I1443" i="12"/>
  <c r="I1554" i="12"/>
  <c r="I1587" i="12"/>
  <c r="I1620" i="12"/>
  <c r="I1653" i="12"/>
  <c r="I1686" i="12"/>
  <c r="I1719" i="12"/>
  <c r="I1751" i="12"/>
  <c r="I1784" i="12"/>
  <c r="I1817" i="12"/>
  <c r="I1849" i="12"/>
  <c r="I1882" i="12"/>
  <c r="I1915" i="12"/>
  <c r="I1947" i="12"/>
  <c r="I1980" i="12"/>
  <c r="I2012" i="12"/>
  <c r="I2045" i="12"/>
  <c r="I2078" i="12"/>
  <c r="I2111" i="12"/>
  <c r="I2144" i="12"/>
  <c r="I2176" i="12"/>
  <c r="I2208" i="12"/>
  <c r="I2240" i="12"/>
  <c r="I2272" i="12"/>
  <c r="I2304" i="12"/>
  <c r="I2336" i="12"/>
  <c r="I2369" i="12"/>
  <c r="I2402" i="12"/>
  <c r="I2434" i="12"/>
  <c r="I2467" i="12"/>
  <c r="I2500" i="12"/>
  <c r="I2532" i="12"/>
  <c r="I2564" i="12"/>
  <c r="I2597" i="12"/>
  <c r="I2630" i="12"/>
  <c r="I2663" i="12"/>
  <c r="I2696" i="12"/>
  <c r="I2729" i="12"/>
  <c r="I2762" i="12"/>
  <c r="I2795" i="12"/>
  <c r="I2828" i="12"/>
  <c r="I2861" i="12"/>
  <c r="I2894" i="12"/>
  <c r="I2926" i="12"/>
  <c r="I2959" i="12"/>
  <c r="I2991" i="12"/>
  <c r="I3024" i="12"/>
  <c r="I3057" i="12"/>
  <c r="I3090" i="12"/>
  <c r="H13" i="12"/>
  <c r="H45" i="12"/>
  <c r="H78" i="12"/>
  <c r="H110" i="12"/>
  <c r="H143" i="12"/>
  <c r="H175" i="12"/>
  <c r="H207" i="12"/>
  <c r="H239" i="12"/>
  <c r="H271" i="12"/>
  <c r="H303" i="12"/>
  <c r="H335" i="12"/>
  <c r="H367" i="12"/>
  <c r="H399" i="12"/>
  <c r="H431" i="12"/>
  <c r="H463" i="12"/>
  <c r="H495" i="12"/>
  <c r="H528" i="12"/>
  <c r="H560" i="12"/>
  <c r="H592" i="12"/>
  <c r="H624" i="12"/>
  <c r="H657" i="12"/>
  <c r="H689" i="12"/>
  <c r="H724" i="12"/>
  <c r="H758" i="12"/>
  <c r="H794" i="12"/>
  <c r="H826" i="12"/>
  <c r="H859" i="12"/>
  <c r="H870" i="12"/>
  <c r="H878" i="12"/>
  <c r="H886" i="12"/>
  <c r="H894" i="12"/>
  <c r="H903" i="12"/>
  <c r="H911" i="12"/>
  <c r="H919" i="12"/>
  <c r="H927" i="12"/>
  <c r="H936" i="12"/>
  <c r="H944" i="12"/>
  <c r="H952" i="12"/>
  <c r="H960" i="12"/>
  <c r="H968" i="12"/>
  <c r="H977" i="12"/>
  <c r="H985" i="12"/>
  <c r="H993" i="12"/>
  <c r="H1001" i="12"/>
  <c r="H1010" i="12"/>
  <c r="H1018" i="12"/>
  <c r="H1026" i="12"/>
  <c r="H1034" i="12"/>
  <c r="H1043" i="12"/>
  <c r="H1051" i="12"/>
  <c r="H1059" i="12"/>
  <c r="H1067" i="12"/>
  <c r="H1076" i="12"/>
  <c r="H1085" i="12"/>
  <c r="H1093" i="12"/>
  <c r="H1101" i="12"/>
  <c r="H1109" i="12"/>
  <c r="H1117" i="12"/>
  <c r="H1126" i="12"/>
  <c r="H1134" i="12"/>
  <c r="H1142" i="12"/>
  <c r="H1150" i="12"/>
  <c r="H1159" i="12"/>
  <c r="H1167" i="12"/>
  <c r="H1175" i="12"/>
  <c r="H1184" i="12"/>
  <c r="H1192" i="12"/>
  <c r="H1200" i="12"/>
  <c r="H1209" i="12"/>
  <c r="H1217" i="12"/>
  <c r="H1225" i="12"/>
  <c r="H1233" i="12"/>
  <c r="H1241" i="12"/>
  <c r="H1249" i="12"/>
  <c r="H1258" i="12"/>
  <c r="H1266" i="12"/>
  <c r="H1274" i="12"/>
  <c r="H1283" i="12"/>
  <c r="H1291" i="12"/>
  <c r="H1299" i="12"/>
  <c r="H1307" i="12"/>
  <c r="H1315" i="12"/>
  <c r="H1324" i="12"/>
  <c r="H1332" i="12"/>
  <c r="H1340" i="12"/>
  <c r="H1348" i="12"/>
  <c r="H1357" i="12"/>
  <c r="H1365" i="12"/>
  <c r="H1373" i="12"/>
  <c r="H1381" i="12"/>
  <c r="H1389" i="12"/>
  <c r="H1398" i="12"/>
  <c r="H1406" i="12"/>
  <c r="H1414" i="12"/>
  <c r="H1423" i="12"/>
  <c r="H1431" i="12"/>
  <c r="H1439" i="12"/>
  <c r="H1447" i="12"/>
  <c r="H1455" i="12"/>
  <c r="H1464" i="12"/>
  <c r="H1472" i="12"/>
  <c r="H1480" i="12"/>
  <c r="H1488" i="12"/>
  <c r="H1497" i="12"/>
  <c r="H1505" i="12"/>
  <c r="H1513" i="12"/>
  <c r="H1521" i="12"/>
  <c r="H1529" i="12"/>
  <c r="H1537" i="12"/>
  <c r="H1545" i="12"/>
  <c r="H1553" i="12"/>
  <c r="H1562" i="12"/>
  <c r="H1570" i="12"/>
  <c r="H1578" i="12"/>
  <c r="H1586" i="12"/>
  <c r="H1594" i="12"/>
  <c r="H1603" i="12"/>
  <c r="H1611" i="12"/>
  <c r="H1619" i="12"/>
  <c r="H1627" i="12"/>
  <c r="H1636" i="12"/>
  <c r="H1644" i="12"/>
  <c r="H1652" i="12"/>
  <c r="H1660" i="12"/>
  <c r="H1669" i="12"/>
  <c r="H1677" i="12"/>
  <c r="H1685" i="12"/>
  <c r="H1693" i="12"/>
  <c r="H1702" i="12"/>
  <c r="H1710" i="12"/>
  <c r="H1718" i="12"/>
  <c r="H1726" i="12"/>
  <c r="H1734" i="12"/>
  <c r="H1742" i="12"/>
  <c r="H1750" i="12"/>
  <c r="H1758" i="12"/>
  <c r="H1766" i="12"/>
  <c r="H1775" i="12"/>
  <c r="H1783" i="12"/>
  <c r="H1791" i="12"/>
  <c r="H1799" i="12"/>
  <c r="H1807" i="12"/>
  <c r="H1816" i="12"/>
  <c r="H1824" i="12"/>
  <c r="H1832" i="12"/>
  <c r="H1840" i="12"/>
  <c r="H1848" i="12"/>
  <c r="H1856" i="12"/>
  <c r="H1864" i="12"/>
  <c r="H1872" i="12"/>
  <c r="H1881" i="12"/>
  <c r="H1889" i="12"/>
  <c r="H1897" i="12"/>
  <c r="H1905" i="12"/>
  <c r="H1914" i="12"/>
  <c r="H1922" i="12"/>
  <c r="H1930" i="12"/>
  <c r="H1938" i="12"/>
  <c r="H1946" i="12"/>
  <c r="H1955" i="12"/>
  <c r="H1963" i="12"/>
  <c r="H1971" i="12"/>
  <c r="H1979" i="12"/>
  <c r="H1987" i="12"/>
  <c r="H1995" i="12"/>
  <c r="H2003" i="12"/>
  <c r="H2011" i="12"/>
  <c r="H2020" i="12"/>
  <c r="H2028" i="12"/>
  <c r="H2036" i="12"/>
  <c r="H2044" i="12"/>
  <c r="H2053" i="12"/>
  <c r="H2061" i="12"/>
  <c r="H2069" i="12"/>
  <c r="H2077" i="12"/>
  <c r="H2085" i="12"/>
  <c r="H2094" i="12"/>
  <c r="H2102" i="12"/>
  <c r="H2110" i="12"/>
  <c r="H2119" i="12"/>
  <c r="H2127" i="12"/>
  <c r="H2135" i="12"/>
  <c r="H2143" i="12"/>
  <c r="H2151" i="12"/>
  <c r="H2159" i="12"/>
  <c r="H2167" i="12"/>
  <c r="H2175" i="12"/>
  <c r="H2183" i="12"/>
  <c r="H2191" i="12"/>
  <c r="H2199" i="12"/>
  <c r="H2207" i="12"/>
  <c r="H2215" i="12"/>
  <c r="H2223" i="12"/>
  <c r="H2231" i="12"/>
  <c r="H2239" i="12"/>
  <c r="H2247" i="12"/>
  <c r="H2255" i="12"/>
  <c r="H2263" i="12"/>
  <c r="H2271" i="12"/>
  <c r="H2279" i="12"/>
  <c r="H2287" i="12"/>
  <c r="H2295" i="12"/>
  <c r="H2303" i="12"/>
  <c r="H2311" i="12"/>
  <c r="H2319" i="12"/>
  <c r="H2327" i="12"/>
  <c r="H2335" i="12"/>
  <c r="H2343" i="12"/>
  <c r="H2351" i="12"/>
  <c r="I203" i="12"/>
  <c r="I459" i="12"/>
  <c r="I715" i="12"/>
  <c r="I971" i="12"/>
  <c r="I1227" i="12"/>
  <c r="I1483" i="12"/>
  <c r="I1560" i="12"/>
  <c r="I1592" i="12"/>
  <c r="I1625" i="12"/>
  <c r="I1658" i="12"/>
  <c r="I1691" i="12"/>
  <c r="I1724" i="12"/>
  <c r="I1756" i="12"/>
  <c r="I1789" i="12"/>
  <c r="I1822" i="12"/>
  <c r="I1854" i="12"/>
  <c r="I1887" i="12"/>
  <c r="I1920" i="12"/>
  <c r="I1953" i="12"/>
  <c r="I1985" i="12"/>
  <c r="I2017" i="12"/>
  <c r="I2051" i="12"/>
  <c r="I2083" i="12"/>
  <c r="I2116" i="12"/>
  <c r="I2149" i="12"/>
  <c r="I2181" i="12"/>
  <c r="I2213" i="12"/>
  <c r="I2245" i="12"/>
  <c r="I2277" i="12"/>
  <c r="I2309" i="12"/>
  <c r="I2341" i="12"/>
  <c r="I2374" i="12"/>
  <c r="I2407" i="12"/>
  <c r="I2440" i="12"/>
  <c r="I2473" i="12"/>
  <c r="I2505" i="12"/>
  <c r="I2537" i="12"/>
  <c r="I2569" i="12"/>
  <c r="I2602" i="12"/>
  <c r="I2635" i="12"/>
  <c r="I2668" i="12"/>
  <c r="I2701" i="12"/>
  <c r="I2734" i="12"/>
  <c r="I2767" i="12"/>
  <c r="I2800" i="12"/>
  <c r="I2833" i="12"/>
  <c r="I2866" i="12"/>
  <c r="I2899" i="12"/>
  <c r="I2932" i="12"/>
  <c r="I2964" i="12"/>
  <c r="I2996" i="12"/>
  <c r="I3030" i="12"/>
  <c r="I3062" i="12"/>
  <c r="I3095" i="12"/>
  <c r="H18" i="12"/>
  <c r="H50" i="12"/>
  <c r="H83" i="12"/>
  <c r="H115" i="12"/>
  <c r="H148" i="12"/>
  <c r="H180" i="12"/>
  <c r="H212" i="12"/>
  <c r="H244" i="12"/>
  <c r="H276" i="12"/>
  <c r="H308" i="12"/>
  <c r="H340" i="12"/>
  <c r="H372" i="12"/>
  <c r="H404" i="12"/>
  <c r="H436" i="12"/>
  <c r="H468" i="12"/>
  <c r="H500" i="12"/>
  <c r="H533" i="12"/>
  <c r="H565" i="12"/>
  <c r="H597" i="12"/>
  <c r="H629" i="12"/>
  <c r="H662" i="12"/>
  <c r="H695" i="12"/>
  <c r="H729" i="12"/>
  <c r="H764" i="12"/>
  <c r="H799" i="12"/>
  <c r="H831" i="12"/>
  <c r="H863" i="12"/>
  <c r="H871" i="12"/>
  <c r="H879" i="12"/>
  <c r="H887" i="12"/>
  <c r="H895" i="12"/>
  <c r="H904" i="12"/>
  <c r="H912" i="12"/>
  <c r="H920" i="12"/>
  <c r="H928" i="12"/>
  <c r="H937" i="12"/>
  <c r="H945" i="12"/>
  <c r="H953" i="12"/>
  <c r="H961" i="12"/>
  <c r="H969" i="12"/>
  <c r="H978" i="12"/>
  <c r="H986" i="12"/>
  <c r="H994" i="12"/>
  <c r="H1003" i="12"/>
  <c r="H1011" i="12"/>
  <c r="H1019" i="12"/>
  <c r="H1027" i="12"/>
  <c r="H1035" i="12"/>
  <c r="H1044" i="12"/>
  <c r="H1052" i="12"/>
  <c r="H1060" i="12"/>
  <c r="H1068" i="12"/>
  <c r="H1077" i="12"/>
  <c r="H1086" i="12"/>
  <c r="H1094" i="12"/>
  <c r="H1102" i="12"/>
  <c r="H1110" i="12"/>
  <c r="H1118" i="12"/>
  <c r="H1127" i="12"/>
  <c r="H1135" i="12"/>
  <c r="H1143" i="12"/>
  <c r="H1151" i="12"/>
  <c r="H1160" i="12"/>
  <c r="H1168" i="12"/>
  <c r="H1176" i="12"/>
  <c r="H1185" i="12"/>
  <c r="H1193" i="12"/>
  <c r="H1201" i="12"/>
  <c r="H1210" i="12"/>
  <c r="H1218" i="12"/>
  <c r="H1226" i="12"/>
  <c r="H1234" i="12"/>
  <c r="H1242" i="12"/>
  <c r="H1250" i="12"/>
  <c r="H1259" i="12"/>
  <c r="H1267" i="12"/>
  <c r="H1275" i="12"/>
  <c r="H1284" i="12"/>
  <c r="H1292" i="12"/>
  <c r="H1300" i="12"/>
  <c r="H1308" i="12"/>
  <c r="H1316" i="12"/>
  <c r="H1325" i="12"/>
  <c r="H1333" i="12"/>
  <c r="H1341" i="12"/>
  <c r="H1349" i="12"/>
  <c r="H1358" i="12"/>
  <c r="H1366" i="12"/>
  <c r="H1374" i="12"/>
  <c r="H1382" i="12"/>
  <c r="H1390" i="12"/>
  <c r="H1399" i="12"/>
  <c r="H1407" i="12"/>
  <c r="H1415" i="12"/>
  <c r="H1424" i="12"/>
  <c r="H1432" i="12"/>
  <c r="H1440" i="12"/>
  <c r="H1448" i="12"/>
  <c r="H1456" i="12"/>
  <c r="H1465" i="12"/>
  <c r="H1473" i="12"/>
  <c r="H1481" i="12"/>
  <c r="H1489" i="12"/>
  <c r="H1498" i="12"/>
  <c r="H1506" i="12"/>
  <c r="H1514" i="12"/>
  <c r="H1522" i="12"/>
  <c r="H1530" i="12"/>
  <c r="H1538" i="12"/>
  <c r="H1546" i="12"/>
  <c r="H1554" i="12"/>
  <c r="H1563" i="12"/>
  <c r="H1571" i="12"/>
  <c r="H1579" i="12"/>
  <c r="H1587" i="12"/>
  <c r="H1595" i="12"/>
  <c r="H1604" i="12"/>
  <c r="H1612" i="12"/>
  <c r="H1620" i="12"/>
  <c r="H1629" i="12"/>
  <c r="H1637" i="12"/>
  <c r="H1645" i="12"/>
  <c r="H1653" i="12"/>
  <c r="H1661" i="12"/>
  <c r="H1670" i="12"/>
  <c r="H1678" i="12"/>
  <c r="H1686" i="12"/>
  <c r="H1694" i="12"/>
  <c r="H1703" i="12"/>
  <c r="H1711" i="12"/>
  <c r="H1719" i="12"/>
  <c r="H1727" i="12"/>
  <c r="H1735" i="12"/>
  <c r="H1743" i="12"/>
  <c r="H1751" i="12"/>
  <c r="H1759" i="12"/>
  <c r="H1767" i="12"/>
  <c r="H1776" i="12"/>
  <c r="H1784" i="12"/>
  <c r="H1792" i="12"/>
  <c r="H1800" i="12"/>
  <c r="H1809" i="12"/>
  <c r="H1817" i="12"/>
  <c r="H1825" i="12"/>
  <c r="H1833" i="12"/>
  <c r="H1841" i="12"/>
  <c r="H1849" i="12"/>
  <c r="H1857" i="12"/>
  <c r="H1865" i="12"/>
  <c r="H1873" i="12"/>
  <c r="H1882" i="12"/>
  <c r="H1890" i="12"/>
  <c r="H1898" i="12"/>
  <c r="H1906" i="12"/>
  <c r="H1915" i="12"/>
  <c r="H1923" i="12"/>
  <c r="H1931" i="12"/>
  <c r="H1939" i="12"/>
  <c r="H1947" i="12"/>
  <c r="H1956" i="12"/>
  <c r="H1964" i="12"/>
  <c r="H1972" i="12"/>
  <c r="H1980" i="12"/>
  <c r="H1988" i="12"/>
  <c r="H1996" i="12"/>
  <c r="H2004" i="12"/>
  <c r="H2012" i="12"/>
  <c r="H2021" i="12"/>
  <c r="H2029" i="12"/>
  <c r="H2037" i="12"/>
  <c r="H2045" i="12"/>
  <c r="H2054" i="12"/>
  <c r="H2062" i="12"/>
  <c r="H2070" i="12"/>
  <c r="H2078" i="12"/>
  <c r="H2086" i="12"/>
  <c r="H2095" i="12"/>
  <c r="H2103" i="12"/>
  <c r="H2111" i="12"/>
  <c r="H2120" i="12"/>
  <c r="H2128" i="12"/>
  <c r="H2136" i="12"/>
  <c r="H2144" i="12"/>
  <c r="H2152" i="12"/>
  <c r="H2160" i="12"/>
  <c r="H2168" i="12"/>
  <c r="H2176" i="12"/>
  <c r="H2184" i="12"/>
  <c r="H2192" i="12"/>
  <c r="H2200" i="12"/>
  <c r="H2208" i="12"/>
  <c r="H2216" i="12"/>
  <c r="H2224" i="12"/>
  <c r="H2232" i="12"/>
  <c r="H2240" i="12"/>
  <c r="H2248" i="12"/>
  <c r="H2256" i="12"/>
  <c r="H2264" i="12"/>
  <c r="H2272" i="12"/>
  <c r="H2280" i="12"/>
  <c r="H2288" i="12"/>
  <c r="H2296" i="12"/>
  <c r="H2304" i="12"/>
  <c r="H2312" i="12"/>
  <c r="H2320" i="12"/>
  <c r="H2328" i="12"/>
  <c r="H2336" i="12"/>
  <c r="H2344" i="12"/>
  <c r="H2352" i="12"/>
  <c r="H2360" i="12"/>
  <c r="H2369" i="12"/>
  <c r="H2377" i="12"/>
  <c r="H2385" i="12"/>
  <c r="H2393" i="12"/>
  <c r="H2402" i="12"/>
  <c r="H2410" i="12"/>
  <c r="H2418" i="12"/>
  <c r="H2426" i="12"/>
  <c r="H2434" i="12"/>
  <c r="H2443" i="12"/>
  <c r="H2451" i="12"/>
  <c r="H2459" i="12"/>
  <c r="H2467" i="12"/>
  <c r="H2476" i="12"/>
  <c r="H2484" i="12"/>
  <c r="H2492" i="12"/>
  <c r="H2500" i="12"/>
  <c r="H2508" i="12"/>
  <c r="H2516" i="12"/>
  <c r="H2524" i="12"/>
  <c r="H2532" i="12"/>
  <c r="H2540" i="12"/>
  <c r="H2548" i="12"/>
  <c r="H2556" i="12"/>
  <c r="H2564" i="12"/>
  <c r="H2572" i="12"/>
  <c r="H2581" i="12"/>
  <c r="H2589" i="12"/>
  <c r="H2597" i="12"/>
  <c r="H2605" i="12"/>
  <c r="H2614" i="12"/>
  <c r="H2622" i="12"/>
  <c r="H2630" i="12"/>
  <c r="H2638" i="12"/>
  <c r="H2646" i="12"/>
  <c r="H2655" i="12"/>
  <c r="H2663" i="12"/>
  <c r="H2671" i="12"/>
  <c r="H2680" i="12"/>
  <c r="H2688" i="12"/>
  <c r="H2696" i="12"/>
  <c r="H2704" i="12"/>
  <c r="H2712" i="12"/>
  <c r="H2720" i="12"/>
  <c r="H2729" i="12"/>
  <c r="H2737" i="12"/>
  <c r="H2745" i="12"/>
  <c r="H2753" i="12"/>
  <c r="H2762" i="12"/>
  <c r="H2770" i="12"/>
  <c r="H2778" i="12"/>
  <c r="H2786" i="12"/>
  <c r="H2795" i="12"/>
  <c r="H2803" i="12"/>
  <c r="H2811" i="12"/>
  <c r="H2820" i="12"/>
  <c r="H2828" i="12"/>
  <c r="H2836" i="12"/>
  <c r="H2844" i="12"/>
  <c r="H2852" i="12"/>
  <c r="H2861" i="12"/>
  <c r="H2869" i="12"/>
  <c r="H2877" i="12"/>
  <c r="H2885" i="12"/>
  <c r="H2894" i="12"/>
  <c r="H2902" i="12"/>
  <c r="H2910" i="12"/>
  <c r="H2918" i="12"/>
  <c r="H2926" i="12"/>
  <c r="H2935" i="12"/>
  <c r="H2943" i="12"/>
  <c r="H2951" i="12"/>
  <c r="I227" i="12"/>
  <c r="I483" i="12"/>
  <c r="I739" i="12"/>
  <c r="I995" i="12"/>
  <c r="I1251" i="12"/>
  <c r="I1508" i="12"/>
  <c r="I1563" i="12"/>
  <c r="I1595" i="12"/>
  <c r="I1629" i="12"/>
  <c r="I1661" i="12"/>
  <c r="I1694" i="12"/>
  <c r="I1727" i="12"/>
  <c r="I1759" i="12"/>
  <c r="I1792" i="12"/>
  <c r="I1825" i="12"/>
  <c r="I1857" i="12"/>
  <c r="I1890" i="12"/>
  <c r="I1923" i="12"/>
  <c r="I1956" i="12"/>
  <c r="I1988" i="12"/>
  <c r="I2021" i="12"/>
  <c r="I2054" i="12"/>
  <c r="I2086" i="12"/>
  <c r="I2120" i="12"/>
  <c r="I2152" i="12"/>
  <c r="I2184" i="12"/>
  <c r="I2216" i="12"/>
  <c r="I2248" i="12"/>
  <c r="I2280" i="12"/>
  <c r="I2312" i="12"/>
  <c r="I2344" i="12"/>
  <c r="I2377" i="12"/>
  <c r="I2410" i="12"/>
  <c r="I2443" i="12"/>
  <c r="I2476" i="12"/>
  <c r="I2508" i="12"/>
  <c r="I2540" i="12"/>
  <c r="I2572" i="12"/>
  <c r="I2605" i="12"/>
  <c r="I2638" i="12"/>
  <c r="I2671" i="12"/>
  <c r="I2704" i="12"/>
  <c r="I2737" i="12"/>
  <c r="I2770" i="12"/>
  <c r="I2803" i="12"/>
  <c r="I2836" i="12"/>
  <c r="I2869" i="12"/>
  <c r="I2902" i="12"/>
  <c r="I2935" i="12"/>
  <c r="I2967" i="12"/>
  <c r="I3000" i="12"/>
  <c r="I3033" i="12"/>
  <c r="I3065" i="12"/>
  <c r="I3099" i="12"/>
  <c r="H21" i="12"/>
  <c r="H53" i="12"/>
  <c r="H86" i="12"/>
  <c r="H118" i="12"/>
  <c r="H151" i="12"/>
  <c r="H183" i="12"/>
  <c r="H215" i="12"/>
  <c r="H247" i="12"/>
  <c r="H279" i="12"/>
  <c r="H311" i="12"/>
  <c r="H343" i="12"/>
  <c r="H375" i="12"/>
  <c r="H407" i="12"/>
  <c r="H439" i="12"/>
  <c r="H471" i="12"/>
  <c r="H503" i="12"/>
  <c r="H536" i="12"/>
  <c r="H568" i="12"/>
  <c r="H600" i="12"/>
  <c r="H632" i="12"/>
  <c r="H665" i="12"/>
  <c r="H698" i="12"/>
  <c r="H733" i="12"/>
  <c r="H767" i="12"/>
  <c r="H802" i="12"/>
  <c r="H835" i="12"/>
  <c r="H864" i="12"/>
  <c r="H872" i="12"/>
  <c r="H880" i="12"/>
  <c r="H888" i="12"/>
  <c r="H896" i="12"/>
  <c r="H905" i="12"/>
  <c r="H913" i="12"/>
  <c r="H921" i="12"/>
  <c r="H929" i="12"/>
  <c r="H938" i="12"/>
  <c r="H946" i="12"/>
  <c r="H954" i="12"/>
  <c r="H962" i="12"/>
  <c r="H970" i="12"/>
  <c r="H979" i="12"/>
  <c r="H987" i="12"/>
  <c r="H995" i="12"/>
  <c r="H1004" i="12"/>
  <c r="H1012" i="12"/>
  <c r="H1020" i="12"/>
  <c r="H1028" i="12"/>
  <c r="H1036" i="12"/>
  <c r="H1045" i="12"/>
  <c r="H1053" i="12"/>
  <c r="H1061" i="12"/>
  <c r="H1069" i="12"/>
  <c r="H1078" i="12"/>
  <c r="H1087" i="12"/>
  <c r="H1095" i="12"/>
  <c r="H1103" i="12"/>
  <c r="H1111" i="12"/>
  <c r="H1119" i="12"/>
  <c r="H1128" i="12"/>
  <c r="H1136" i="12"/>
  <c r="H1144" i="12"/>
  <c r="H1153" i="12"/>
  <c r="H1161" i="12"/>
  <c r="H1169" i="12"/>
  <c r="H1177" i="12"/>
  <c r="H1186" i="12"/>
  <c r="H1194" i="12"/>
  <c r="H1202" i="12"/>
  <c r="H1211" i="12"/>
  <c r="H1219" i="12"/>
  <c r="H1227" i="12"/>
  <c r="H1235" i="12"/>
  <c r="H1243" i="12"/>
  <c r="H1251" i="12"/>
  <c r="H1260" i="12"/>
  <c r="H1268" i="12"/>
  <c r="H1276" i="12"/>
  <c r="H1285" i="12"/>
  <c r="H1293" i="12"/>
  <c r="H1301" i="12"/>
  <c r="H1309" i="12"/>
  <c r="H1317" i="12"/>
  <c r="H1326" i="12"/>
  <c r="H1334" i="12"/>
  <c r="H1342" i="12"/>
  <c r="H1350" i="12"/>
  <c r="H1359" i="12"/>
  <c r="H1367" i="12"/>
  <c r="H1375" i="12"/>
  <c r="H1383" i="12"/>
  <c r="H1391" i="12"/>
  <c r="H1400" i="12"/>
  <c r="H1408" i="12"/>
  <c r="H1416" i="12"/>
  <c r="H1425" i="12"/>
  <c r="H1433" i="12"/>
  <c r="H1441" i="12"/>
  <c r="H1449" i="12"/>
  <c r="H1457" i="12"/>
  <c r="H1466" i="12"/>
  <c r="H1474" i="12"/>
  <c r="H1482" i="12"/>
  <c r="H1490" i="12"/>
  <c r="H1499" i="12"/>
  <c r="H1507" i="12"/>
  <c r="H1515" i="12"/>
  <c r="H1523" i="12"/>
  <c r="H1531" i="12"/>
  <c r="H1539" i="12"/>
  <c r="H1547" i="12"/>
  <c r="H1555" i="12"/>
  <c r="H1564" i="12"/>
  <c r="H1572" i="12"/>
  <c r="H1580" i="12"/>
  <c r="H1588" i="12"/>
  <c r="H1596" i="12"/>
  <c r="H1605" i="12"/>
  <c r="H1613" i="12"/>
  <c r="H1621" i="12"/>
  <c r="H1630" i="12"/>
  <c r="H1638" i="12"/>
  <c r="H1646" i="12"/>
  <c r="H1654" i="12"/>
  <c r="H1662" i="12"/>
  <c r="H1671" i="12"/>
  <c r="H1679" i="12"/>
  <c r="H1687" i="12"/>
  <c r="H1695" i="12"/>
  <c r="H1704" i="12"/>
  <c r="H1712" i="12"/>
  <c r="H1720" i="12"/>
  <c r="H1728" i="12"/>
  <c r="H1736" i="12"/>
  <c r="H1744" i="12"/>
  <c r="H1752" i="12"/>
  <c r="H1760" i="12"/>
  <c r="H1769" i="12"/>
  <c r="H1777" i="12"/>
  <c r="H1785" i="12"/>
  <c r="H1793" i="12"/>
  <c r="H1801" i="12"/>
  <c r="H1810" i="12"/>
  <c r="H1818" i="12"/>
  <c r="H1826" i="12"/>
  <c r="H1834" i="12"/>
  <c r="H1842" i="12"/>
  <c r="H1850" i="12"/>
  <c r="H1858" i="12"/>
  <c r="H1866" i="12"/>
  <c r="H1874" i="12"/>
  <c r="H1883" i="12"/>
  <c r="H1891" i="12"/>
  <c r="H1899" i="12"/>
  <c r="H1907" i="12"/>
  <c r="H1916" i="12"/>
  <c r="H1924" i="12"/>
  <c r="H1932" i="12"/>
  <c r="H1940" i="12"/>
  <c r="H1949" i="12"/>
  <c r="H1957" i="12"/>
  <c r="H1965" i="12"/>
  <c r="H1973" i="12"/>
  <c r="H1981" i="12"/>
  <c r="H1989" i="12"/>
  <c r="H1997" i="12"/>
  <c r="H2005" i="12"/>
  <c r="H2013" i="12"/>
  <c r="H2022" i="12"/>
  <c r="H2030" i="12"/>
  <c r="H2038" i="12"/>
  <c r="H2046" i="12"/>
  <c r="H2055" i="12"/>
  <c r="H2063" i="12"/>
  <c r="H2071" i="12"/>
  <c r="H2079" i="12"/>
  <c r="H2087" i="12"/>
  <c r="H2096" i="12"/>
  <c r="H2104" i="12"/>
  <c r="H2112" i="12"/>
  <c r="H2121" i="12"/>
  <c r="H2129" i="12"/>
  <c r="H2137" i="12"/>
  <c r="H2145" i="12"/>
  <c r="H2153" i="12"/>
  <c r="H2161" i="12"/>
  <c r="H2169" i="12"/>
  <c r="H2177" i="12"/>
  <c r="H2185" i="12"/>
  <c r="H2193" i="12"/>
  <c r="H2201" i="12"/>
  <c r="H2209" i="12"/>
  <c r="H2217" i="12"/>
  <c r="H2225" i="12"/>
  <c r="H2233" i="12"/>
  <c r="H2241" i="12"/>
  <c r="H2249" i="12"/>
  <c r="H2257" i="12"/>
  <c r="H2265" i="12"/>
  <c r="H2273" i="12"/>
  <c r="H2281" i="12"/>
  <c r="H2289" i="12"/>
  <c r="H2297" i="12"/>
  <c r="H2305" i="12"/>
  <c r="H2313" i="12"/>
  <c r="H2321" i="12"/>
  <c r="H2329" i="12"/>
  <c r="H2337" i="12"/>
  <c r="H2345" i="12"/>
  <c r="H2353" i="12"/>
  <c r="H2361" i="12"/>
  <c r="H2370" i="12"/>
  <c r="H2378" i="12"/>
  <c r="H2386" i="12"/>
  <c r="H2394" i="12"/>
  <c r="H2403" i="12"/>
  <c r="H2411" i="12"/>
  <c r="H2419" i="12"/>
  <c r="H2427" i="12"/>
  <c r="H2435" i="12"/>
  <c r="H2444" i="12"/>
  <c r="H2452" i="12"/>
  <c r="H2460" i="12"/>
  <c r="H2469" i="12"/>
  <c r="H2477" i="12"/>
  <c r="H2485" i="12"/>
  <c r="H2493" i="12"/>
  <c r="H2501" i="12"/>
  <c r="H2509" i="12"/>
  <c r="H2517" i="12"/>
  <c r="H2525" i="12"/>
  <c r="H2533" i="12"/>
  <c r="H2541" i="12"/>
  <c r="H2549" i="12"/>
  <c r="H2557" i="12"/>
  <c r="H2565" i="12"/>
  <c r="H2573" i="12"/>
  <c r="H2582" i="12"/>
  <c r="H2590" i="12"/>
  <c r="H2598" i="12"/>
  <c r="H2606" i="12"/>
  <c r="H2615" i="12"/>
  <c r="H2623" i="12"/>
  <c r="H2631" i="12"/>
  <c r="H2639" i="12"/>
  <c r="H2647" i="12"/>
  <c r="H2656" i="12"/>
  <c r="H2664" i="12"/>
  <c r="H2672" i="12"/>
  <c r="H2681" i="12"/>
  <c r="H2689" i="12"/>
  <c r="H2697" i="12"/>
  <c r="H2705" i="12"/>
  <c r="H2713" i="12"/>
  <c r="H2721" i="12"/>
  <c r="H2730" i="12"/>
  <c r="H2738" i="12"/>
  <c r="H2746" i="12"/>
  <c r="H2754" i="12"/>
  <c r="H2763" i="12"/>
  <c r="H2771" i="12"/>
  <c r="H2779" i="12"/>
  <c r="H2787" i="12"/>
  <c r="H2796" i="12"/>
  <c r="H2804" i="12"/>
  <c r="H2812" i="12"/>
  <c r="H2821" i="12"/>
  <c r="H2829" i="12"/>
  <c r="H2837" i="12"/>
  <c r="H2845" i="12"/>
  <c r="H2853" i="12"/>
  <c r="H2862" i="12"/>
  <c r="H2870" i="12"/>
  <c r="H2878" i="12"/>
  <c r="H2886" i="12"/>
  <c r="H2895" i="12"/>
  <c r="H2903" i="12"/>
  <c r="H2911" i="12"/>
  <c r="H2919" i="12"/>
  <c r="H2927" i="12"/>
  <c r="H2936" i="12"/>
  <c r="H2944" i="12"/>
  <c r="H2952" i="12"/>
  <c r="I11" i="12"/>
  <c r="I267" i="12"/>
  <c r="I523" i="12"/>
  <c r="I779" i="12"/>
  <c r="I1035" i="12"/>
  <c r="I1291" i="12"/>
  <c r="I1531" i="12"/>
  <c r="I1568" i="12"/>
  <c r="I1601" i="12"/>
  <c r="I1634" i="12"/>
  <c r="I1666" i="12"/>
  <c r="I1700" i="12"/>
  <c r="I1732" i="12"/>
  <c r="I1764" i="12"/>
  <c r="I1797" i="12"/>
  <c r="I1830" i="12"/>
  <c r="I1862" i="12"/>
  <c r="I1895" i="12"/>
  <c r="I1928" i="12"/>
  <c r="I1961" i="12"/>
  <c r="I1993" i="12"/>
  <c r="I2026" i="12"/>
  <c r="I2059" i="12"/>
  <c r="I2092" i="12"/>
  <c r="I2125" i="12"/>
  <c r="I2157" i="12"/>
  <c r="I2189" i="12"/>
  <c r="I2221" i="12"/>
  <c r="I2253" i="12"/>
  <c r="I2285" i="12"/>
  <c r="I2317" i="12"/>
  <c r="I2349" i="12"/>
  <c r="I2382" i="12"/>
  <c r="I2415" i="12"/>
  <c r="I2448" i="12"/>
  <c r="I2481" i="12"/>
  <c r="I2513" i="12"/>
  <c r="I2545" i="12"/>
  <c r="I2577" i="12"/>
  <c r="I2611" i="12"/>
  <c r="I2643" i="12"/>
  <c r="I2676" i="12"/>
  <c r="I2709" i="12"/>
  <c r="I2742" i="12"/>
  <c r="I2775" i="12"/>
  <c r="I2808" i="12"/>
  <c r="I2841" i="12"/>
  <c r="I2874" i="12"/>
  <c r="I2907" i="12"/>
  <c r="I2940" i="12"/>
  <c r="I2972" i="12"/>
  <c r="I3005" i="12"/>
  <c r="I3038" i="12"/>
  <c r="I3071" i="12"/>
  <c r="I3104" i="12"/>
  <c r="H26" i="12"/>
  <c r="H58" i="12"/>
  <c r="H91" i="12"/>
  <c r="H123" i="12"/>
  <c r="H156" i="12"/>
  <c r="H188" i="12"/>
  <c r="H220" i="12"/>
  <c r="H252" i="12"/>
  <c r="H284" i="12"/>
  <c r="H316" i="12"/>
  <c r="H348" i="12"/>
  <c r="H380" i="12"/>
  <c r="H412" i="12"/>
  <c r="H444" i="12"/>
  <c r="H476" i="12"/>
  <c r="H508" i="12"/>
  <c r="H541" i="12"/>
  <c r="H573" i="12"/>
  <c r="H605" i="12"/>
  <c r="H637" i="12"/>
  <c r="H670" i="12"/>
  <c r="H703" i="12"/>
  <c r="H738" i="12"/>
  <c r="H773" i="12"/>
  <c r="H807" i="12"/>
  <c r="H840" i="12"/>
  <c r="H865" i="12"/>
  <c r="H873" i="12"/>
  <c r="H881" i="12"/>
  <c r="H889" i="12"/>
  <c r="H897" i="12"/>
  <c r="H906" i="12"/>
  <c r="H914" i="12"/>
  <c r="H922" i="12"/>
  <c r="H930" i="12"/>
  <c r="H939" i="12"/>
  <c r="H947" i="12"/>
  <c r="H955" i="12"/>
  <c r="H963" i="12"/>
  <c r="H971" i="12"/>
  <c r="H980" i="12"/>
  <c r="H988" i="12"/>
  <c r="H996" i="12"/>
  <c r="H1005" i="12"/>
  <c r="H1013" i="12"/>
  <c r="H1021" i="12"/>
  <c r="H1029" i="12"/>
  <c r="H1037" i="12"/>
  <c r="H1046" i="12"/>
  <c r="H1054" i="12"/>
  <c r="H1062" i="12"/>
  <c r="H1070" i="12"/>
  <c r="H1079" i="12"/>
  <c r="H1088" i="12"/>
  <c r="H1096" i="12"/>
  <c r="H1104" i="12"/>
  <c r="H1112" i="12"/>
  <c r="H1120" i="12"/>
  <c r="H1129" i="12"/>
  <c r="H1137" i="12"/>
  <c r="H1145" i="12"/>
  <c r="H1154" i="12"/>
  <c r="H1162" i="12"/>
  <c r="H1170" i="12"/>
  <c r="H1178" i="12"/>
  <c r="H1187" i="12"/>
  <c r="H1195" i="12"/>
  <c r="H1203" i="12"/>
  <c r="H1212" i="12"/>
  <c r="H1220" i="12"/>
  <c r="H1228" i="12"/>
  <c r="H1236" i="12"/>
  <c r="H1244" i="12"/>
  <c r="H1253" i="12"/>
  <c r="H1261" i="12"/>
  <c r="H1269" i="12"/>
  <c r="H1277" i="12"/>
  <c r="H1286" i="12"/>
  <c r="H1294" i="12"/>
  <c r="H1302" i="12"/>
  <c r="H1310" i="12"/>
  <c r="H1318" i="12"/>
  <c r="H1327" i="12"/>
  <c r="H1335" i="12"/>
  <c r="H1343" i="12"/>
  <c r="H1351" i="12"/>
  <c r="H1360" i="12"/>
  <c r="H1368" i="12"/>
  <c r="H1376" i="12"/>
  <c r="H1384" i="12"/>
  <c r="H1393" i="12"/>
  <c r="H1401" i="12"/>
  <c r="H1409" i="12"/>
  <c r="H1417" i="12"/>
  <c r="H1426" i="12"/>
  <c r="H1434" i="12"/>
  <c r="H1442" i="12"/>
  <c r="H1450" i="12"/>
  <c r="H1458" i="12"/>
  <c r="H1467" i="12"/>
  <c r="H1475" i="12"/>
  <c r="H1483" i="12"/>
  <c r="H1492" i="12"/>
  <c r="H1500" i="12"/>
  <c r="H1508" i="12"/>
  <c r="H1516" i="12"/>
  <c r="H1524" i="12"/>
  <c r="H1532" i="12"/>
  <c r="H1540" i="12"/>
  <c r="H1548" i="12"/>
  <c r="H1556" i="12"/>
  <c r="H1565" i="12"/>
  <c r="H1573" i="12"/>
  <c r="H1581" i="12"/>
  <c r="H1589" i="12"/>
  <c r="H1597" i="12"/>
  <c r="H1606" i="12"/>
  <c r="H1614" i="12"/>
  <c r="H1622" i="12"/>
  <c r="H1631" i="12"/>
  <c r="H1639" i="12"/>
  <c r="I35" i="12"/>
  <c r="I291" i="12"/>
  <c r="I547" i="12"/>
  <c r="I803" i="12"/>
  <c r="I1059" i="12"/>
  <c r="I1315" i="12"/>
  <c r="I1537" i="12"/>
  <c r="I1571" i="12"/>
  <c r="I1604" i="12"/>
  <c r="I1637" i="12"/>
  <c r="I1670" i="12"/>
  <c r="I1703" i="12"/>
  <c r="I1735" i="12"/>
  <c r="I1767" i="12"/>
  <c r="I1800" i="12"/>
  <c r="I1833" i="12"/>
  <c r="I1865" i="12"/>
  <c r="I1898" i="12"/>
  <c r="I1931" i="12"/>
  <c r="I1964" i="12"/>
  <c r="I1996" i="12"/>
  <c r="I2029" i="12"/>
  <c r="I2062" i="12"/>
  <c r="I2095" i="12"/>
  <c r="I2128" i="12"/>
  <c r="I2160" i="12"/>
  <c r="I2192" i="12"/>
  <c r="I2224" i="12"/>
  <c r="I2256" i="12"/>
  <c r="I2288" i="12"/>
  <c r="I2320" i="12"/>
  <c r="I2352" i="12"/>
  <c r="I2385" i="12"/>
  <c r="I2418" i="12"/>
  <c r="I2451" i="12"/>
  <c r="I2484" i="12"/>
  <c r="I2516" i="12"/>
  <c r="I2548" i="12"/>
  <c r="I2581" i="12"/>
  <c r="I2614" i="12"/>
  <c r="I2646" i="12"/>
  <c r="I2680" i="12"/>
  <c r="I2712" i="12"/>
  <c r="I2745" i="12"/>
  <c r="I2778" i="12"/>
  <c r="I2811" i="12"/>
  <c r="I2844" i="12"/>
  <c r="I2877" i="12"/>
  <c r="I2910" i="12"/>
  <c r="I2943" i="12"/>
  <c r="I2975" i="12"/>
  <c r="I3008" i="12"/>
  <c r="I3041" i="12"/>
  <c r="I3074" i="12"/>
  <c r="I3107" i="12"/>
  <c r="H29" i="12"/>
  <c r="H61" i="12"/>
  <c r="H94" i="12"/>
  <c r="H126" i="12"/>
  <c r="H159" i="12"/>
  <c r="H191" i="12"/>
  <c r="H223" i="12"/>
  <c r="H255" i="12"/>
  <c r="H287" i="12"/>
  <c r="H319" i="12"/>
  <c r="H351" i="12"/>
  <c r="H383" i="12"/>
  <c r="H415" i="12"/>
  <c r="H447" i="12"/>
  <c r="H479" i="12"/>
  <c r="H511" i="12"/>
  <c r="H544" i="12"/>
  <c r="H576" i="12"/>
  <c r="H608" i="12"/>
  <c r="H640" i="12"/>
  <c r="H673" i="12"/>
  <c r="H706" i="12"/>
  <c r="H742" i="12"/>
  <c r="H776" i="12"/>
  <c r="H810" i="12"/>
  <c r="H843" i="12"/>
  <c r="H866" i="12"/>
  <c r="H874" i="12"/>
  <c r="H882" i="12"/>
  <c r="H890" i="12"/>
  <c r="H898" i="12"/>
  <c r="H907" i="12"/>
  <c r="H915" i="12"/>
  <c r="H923" i="12"/>
  <c r="H931" i="12"/>
  <c r="H940" i="12"/>
  <c r="H948" i="12"/>
  <c r="H956" i="12"/>
  <c r="H964" i="12"/>
  <c r="H973" i="12"/>
  <c r="H981" i="12"/>
  <c r="H989" i="12"/>
  <c r="H997" i="12"/>
  <c r="H1006" i="12"/>
  <c r="H1014" i="12"/>
  <c r="H1022" i="12"/>
  <c r="H1030" i="12"/>
  <c r="H1039" i="12"/>
  <c r="H1047" i="12"/>
  <c r="H1055" i="12"/>
  <c r="H1063" i="12"/>
  <c r="H1071" i="12"/>
  <c r="H1080" i="12"/>
  <c r="H1089" i="12"/>
  <c r="H1097" i="12"/>
  <c r="H1105" i="12"/>
  <c r="H1113" i="12"/>
  <c r="H1121" i="12"/>
  <c r="H1130" i="12"/>
  <c r="H1138" i="12"/>
  <c r="H1146" i="12"/>
  <c r="H1155" i="12"/>
  <c r="H1163" i="12"/>
  <c r="H1171" i="12"/>
  <c r="H1179" i="12"/>
  <c r="H1188" i="12"/>
  <c r="H1196" i="12"/>
  <c r="H1204" i="12"/>
  <c r="H1213" i="12"/>
  <c r="H1221" i="12"/>
  <c r="H1229" i="12"/>
  <c r="H1237" i="12"/>
  <c r="H1245" i="12"/>
  <c r="H1254" i="12"/>
  <c r="H1262" i="12"/>
  <c r="H1270" i="12"/>
  <c r="H1278" i="12"/>
  <c r="H1287" i="12"/>
  <c r="H1295" i="12"/>
  <c r="H1303" i="12"/>
  <c r="H1311" i="12"/>
  <c r="H1319" i="12"/>
  <c r="H1328" i="12"/>
  <c r="H1336" i="12"/>
  <c r="H1344" i="12"/>
  <c r="H1352" i="12"/>
  <c r="H1361" i="12"/>
  <c r="H1369" i="12"/>
  <c r="H1377" i="12"/>
  <c r="H1385" i="12"/>
  <c r="H1394" i="12"/>
  <c r="H1402" i="12"/>
  <c r="H1410" i="12"/>
  <c r="H1418" i="12"/>
  <c r="H1427" i="12"/>
  <c r="H1435" i="12"/>
  <c r="H1443" i="12"/>
  <c r="H1451" i="12"/>
  <c r="H1459" i="12"/>
  <c r="H1468" i="12"/>
  <c r="H1476" i="12"/>
  <c r="H1484" i="12"/>
  <c r="H1493" i="12"/>
  <c r="H1501" i="12"/>
  <c r="H1509" i="12"/>
  <c r="H1517" i="12"/>
  <c r="H1525" i="12"/>
  <c r="H1533" i="12"/>
  <c r="H1541" i="12"/>
  <c r="H1549" i="12"/>
  <c r="H1557" i="12"/>
  <c r="H1566" i="12"/>
  <c r="H1574" i="12"/>
  <c r="H1582" i="12"/>
  <c r="H1590" i="12"/>
  <c r="H1599" i="12"/>
  <c r="H1607" i="12"/>
  <c r="H1615" i="12"/>
  <c r="H1623" i="12"/>
  <c r="H1632" i="12"/>
  <c r="H1640" i="12"/>
  <c r="H1648" i="12"/>
  <c r="H1656" i="12"/>
  <c r="H1664" i="12"/>
  <c r="H1673" i="12"/>
  <c r="H1681" i="12"/>
  <c r="H1689" i="12"/>
  <c r="H1697" i="12"/>
  <c r="H1706" i="12"/>
  <c r="H1714" i="12"/>
  <c r="H1722" i="12"/>
  <c r="H1730" i="12"/>
  <c r="H1738" i="12"/>
  <c r="H1746" i="12"/>
  <c r="H1754" i="12"/>
  <c r="H1762" i="12"/>
  <c r="H1771" i="12"/>
  <c r="H1779" i="12"/>
  <c r="H1787" i="12"/>
  <c r="H1795" i="12"/>
  <c r="H1803" i="12"/>
  <c r="H1812" i="12"/>
  <c r="H1820" i="12"/>
  <c r="H1828" i="12"/>
  <c r="H1836" i="12"/>
  <c r="H1844" i="12"/>
  <c r="H1852" i="12"/>
  <c r="H1860" i="12"/>
  <c r="H1868" i="12"/>
  <c r="H1876" i="12"/>
  <c r="H1885" i="12"/>
  <c r="H1893" i="12"/>
  <c r="H1901" i="12"/>
  <c r="H1910" i="12"/>
  <c r="H1918" i="12"/>
  <c r="H1926" i="12"/>
  <c r="H1934" i="12"/>
  <c r="H1942" i="12"/>
  <c r="H1951" i="12"/>
  <c r="H1959" i="12"/>
  <c r="H1967" i="12"/>
  <c r="H1975" i="12"/>
  <c r="H1983" i="12"/>
  <c r="H1991" i="12"/>
  <c r="H1999" i="12"/>
  <c r="H2007" i="12"/>
  <c r="H2015" i="12"/>
  <c r="H2024" i="12"/>
  <c r="H2032" i="12"/>
  <c r="H2040" i="12"/>
  <c r="H2049" i="12"/>
  <c r="H2057" i="12"/>
  <c r="H2065" i="12"/>
  <c r="H2073" i="12"/>
  <c r="H2081" i="12"/>
  <c r="H2090" i="12"/>
  <c r="H2098" i="12"/>
  <c r="H2106" i="12"/>
  <c r="H2114" i="12"/>
  <c r="H2123" i="12"/>
  <c r="H2131" i="12"/>
  <c r="H2139" i="12"/>
  <c r="H2147" i="12"/>
  <c r="H2155" i="12"/>
  <c r="H2163" i="12"/>
  <c r="H2171" i="12"/>
  <c r="H2179" i="12"/>
  <c r="H2187" i="12"/>
  <c r="H2195" i="12"/>
  <c r="H2203" i="12"/>
  <c r="H2211" i="12"/>
  <c r="H2219" i="12"/>
  <c r="H2227" i="12"/>
  <c r="H2235" i="12"/>
  <c r="H2243" i="12"/>
  <c r="H2251" i="12"/>
  <c r="H2259" i="12"/>
  <c r="H2267" i="12"/>
  <c r="H2275" i="12"/>
  <c r="H2283" i="12"/>
  <c r="H2291" i="12"/>
  <c r="H2299" i="12"/>
  <c r="H2307" i="12"/>
  <c r="H2315" i="12"/>
  <c r="H2323" i="12"/>
  <c r="H2331" i="12"/>
  <c r="H2339" i="12"/>
  <c r="H2347" i="12"/>
  <c r="H2355" i="12"/>
  <c r="H2363" i="12"/>
  <c r="H2372" i="12"/>
  <c r="H2380" i="12"/>
  <c r="H2388" i="12"/>
  <c r="H2396" i="12"/>
  <c r="H2405" i="12"/>
  <c r="H2413" i="12"/>
  <c r="H2421" i="12"/>
  <c r="H2429" i="12"/>
  <c r="H2437" i="12"/>
  <c r="H2446" i="12"/>
  <c r="H2454" i="12"/>
  <c r="H2462" i="12"/>
  <c r="H2471" i="12"/>
  <c r="H2479" i="12"/>
  <c r="H2487" i="12"/>
  <c r="H2495" i="12"/>
  <c r="H2503" i="12"/>
  <c r="H2511" i="12"/>
  <c r="H2519" i="12"/>
  <c r="H2527" i="12"/>
  <c r="H2535" i="12"/>
  <c r="H2543" i="12"/>
  <c r="H2551" i="12"/>
  <c r="H2559" i="12"/>
  <c r="H2567" i="12"/>
  <c r="H2575" i="12"/>
  <c r="H2584" i="12"/>
  <c r="H2592" i="12"/>
  <c r="H2600" i="12"/>
  <c r="H2609" i="12"/>
  <c r="H2617" i="12"/>
  <c r="H2625" i="12"/>
  <c r="H2633" i="12"/>
  <c r="H2641" i="12"/>
  <c r="H2650" i="12"/>
  <c r="H2658" i="12"/>
  <c r="H2666" i="12"/>
  <c r="H2674" i="12"/>
  <c r="H2683" i="12"/>
  <c r="H2691" i="12"/>
  <c r="H2699" i="12"/>
  <c r="H2707" i="12"/>
  <c r="H2715" i="12"/>
  <c r="H2723" i="12"/>
  <c r="H2732" i="12"/>
  <c r="H2740" i="12"/>
  <c r="H2748" i="12"/>
  <c r="H2756" i="12"/>
  <c r="H2765" i="12"/>
  <c r="H2773" i="12"/>
  <c r="H2781" i="12"/>
  <c r="H2790" i="12"/>
  <c r="H2798" i="12"/>
  <c r="H2806" i="12"/>
  <c r="H2814" i="12"/>
  <c r="H2823" i="12"/>
  <c r="H2831" i="12"/>
  <c r="H2839" i="12"/>
  <c r="H2847" i="12"/>
  <c r="H2855" i="12"/>
  <c r="H2864" i="12"/>
  <c r="H2872" i="12"/>
  <c r="H2880" i="12"/>
  <c r="H2889" i="12"/>
  <c r="H2897" i="12"/>
  <c r="H2905" i="12"/>
  <c r="H2913" i="12"/>
  <c r="H2921" i="12"/>
  <c r="H2930" i="12"/>
  <c r="H2938" i="12"/>
  <c r="H2946" i="12"/>
  <c r="H2954" i="12"/>
  <c r="I75" i="12"/>
  <c r="I331" i="12"/>
  <c r="I587" i="12"/>
  <c r="I843" i="12"/>
  <c r="I1099" i="12"/>
  <c r="I1355" i="12"/>
  <c r="I1542" i="12"/>
  <c r="I1576" i="12"/>
  <c r="I1609" i="12"/>
  <c r="I1642" i="12"/>
  <c r="I1675" i="12"/>
  <c r="I1708" i="12"/>
  <c r="I1740" i="12"/>
  <c r="I1773" i="12"/>
  <c r="I1805" i="12"/>
  <c r="I1838" i="12"/>
  <c r="I1870" i="12"/>
  <c r="I1903" i="12"/>
  <c r="I1936" i="12"/>
  <c r="I1969" i="12"/>
  <c r="I2001" i="12"/>
  <c r="I2034" i="12"/>
  <c r="I2067" i="12"/>
  <c r="I2100" i="12"/>
  <c r="I2133" i="12"/>
  <c r="I2165" i="12"/>
  <c r="I2197" i="12"/>
  <c r="I2229" i="12"/>
  <c r="I2261" i="12"/>
  <c r="I2293" i="12"/>
  <c r="I2325" i="12"/>
  <c r="I2357" i="12"/>
  <c r="I2390" i="12"/>
  <c r="I2423" i="12"/>
  <c r="I2456" i="12"/>
  <c r="I2489" i="12"/>
  <c r="I2521" i="12"/>
  <c r="I2553" i="12"/>
  <c r="I2586" i="12"/>
  <c r="I2619" i="12"/>
  <c r="I2652" i="12"/>
  <c r="I2685" i="12"/>
  <c r="I2717" i="12"/>
  <c r="I2750" i="12"/>
  <c r="I2783" i="12"/>
  <c r="I2816" i="12"/>
  <c r="I2849" i="12"/>
  <c r="I2882" i="12"/>
  <c r="I2915" i="12"/>
  <c r="I2948" i="12"/>
  <c r="I2980" i="12"/>
  <c r="I3013" i="12"/>
  <c r="I3046" i="12"/>
  <c r="I3079" i="12"/>
  <c r="I3112" i="12"/>
  <c r="H34" i="12"/>
  <c r="H67" i="12"/>
  <c r="H99" i="12"/>
  <c r="H131" i="12"/>
  <c r="H164" i="12"/>
  <c r="H196" i="12"/>
  <c r="H228" i="12"/>
  <c r="H260" i="12"/>
  <c r="H292" i="12"/>
  <c r="H324" i="12"/>
  <c r="H356" i="12"/>
  <c r="H388" i="12"/>
  <c r="H420" i="12"/>
  <c r="H452" i="12"/>
  <c r="H484" i="12"/>
  <c r="H516" i="12"/>
  <c r="H549" i="12"/>
  <c r="H581" i="12"/>
  <c r="H613" i="12"/>
  <c r="H645" i="12"/>
  <c r="H678" i="12"/>
  <c r="H712" i="12"/>
  <c r="H747" i="12"/>
  <c r="H781" i="12"/>
  <c r="H815" i="12"/>
  <c r="H848" i="12"/>
  <c r="H867" i="12"/>
  <c r="H875" i="12"/>
  <c r="H883" i="12"/>
  <c r="H891" i="12"/>
  <c r="H899" i="12"/>
  <c r="H908" i="12"/>
  <c r="H916" i="12"/>
  <c r="H924" i="12"/>
  <c r="H933" i="12"/>
  <c r="H941" i="12"/>
  <c r="H949" i="12"/>
  <c r="H957" i="12"/>
  <c r="H965" i="12"/>
  <c r="H974" i="12"/>
  <c r="H982" i="12"/>
  <c r="H990" i="12"/>
  <c r="H998" i="12"/>
  <c r="H1007" i="12"/>
  <c r="H1015" i="12"/>
  <c r="H1023" i="12"/>
  <c r="H1031" i="12"/>
  <c r="H1040" i="12"/>
  <c r="H1048" i="12"/>
  <c r="H1056" i="12"/>
  <c r="H1064" i="12"/>
  <c r="H1073" i="12"/>
  <c r="H1081" i="12"/>
  <c r="H1090" i="12"/>
  <c r="H1098" i="12"/>
  <c r="H1106" i="12"/>
  <c r="H1114" i="12"/>
  <c r="H1123" i="12"/>
  <c r="H1131" i="12"/>
  <c r="H1139" i="12"/>
  <c r="H1147" i="12"/>
  <c r="H1156" i="12"/>
  <c r="H1164" i="12"/>
  <c r="H1172" i="12"/>
  <c r="H1180" i="12"/>
  <c r="H1189" i="12"/>
  <c r="H1197" i="12"/>
  <c r="H1205" i="12"/>
  <c r="H1214" i="12"/>
  <c r="H1222" i="12"/>
  <c r="H1230" i="12"/>
  <c r="H1238" i="12"/>
  <c r="H1246" i="12"/>
  <c r="H1255" i="12"/>
  <c r="H1263" i="12"/>
  <c r="H1271" i="12"/>
  <c r="H1279" i="12"/>
  <c r="H1288" i="12"/>
  <c r="H1296" i="12"/>
  <c r="H1304" i="12"/>
  <c r="H1312" i="12"/>
  <c r="H1320" i="12"/>
  <c r="H1329" i="12"/>
  <c r="H1337" i="12"/>
  <c r="H1345" i="12"/>
  <c r="H1354" i="12"/>
  <c r="H1362" i="12"/>
  <c r="H1370" i="12"/>
  <c r="H1378" i="12"/>
  <c r="H1386" i="12"/>
  <c r="H1395" i="12"/>
  <c r="H1403" i="12"/>
  <c r="H1411" i="12"/>
  <c r="H1419" i="12"/>
  <c r="H1428" i="12"/>
  <c r="H1436" i="12"/>
  <c r="H1444" i="12"/>
  <c r="H1452" i="12"/>
  <c r="H1460" i="12"/>
  <c r="H1469" i="12"/>
  <c r="H1477" i="12"/>
  <c r="H1485" i="12"/>
  <c r="H1494" i="12"/>
  <c r="H1502" i="12"/>
  <c r="H1510" i="12"/>
  <c r="H1518" i="12"/>
  <c r="H1526" i="12"/>
  <c r="H1534" i="12"/>
  <c r="H1542" i="12"/>
  <c r="H1550" i="12"/>
  <c r="H1559" i="12"/>
  <c r="H1567" i="12"/>
  <c r="H1575" i="12"/>
  <c r="H1583" i="12"/>
  <c r="H1591" i="12"/>
  <c r="H1600" i="12"/>
  <c r="H1608" i="12"/>
  <c r="H1616" i="12"/>
  <c r="H1624" i="12"/>
  <c r="H1633" i="12"/>
  <c r="H1641" i="12"/>
  <c r="H1649" i="12"/>
  <c r="H1657" i="12"/>
  <c r="H1665" i="12"/>
  <c r="H1674" i="12"/>
  <c r="H1682" i="12"/>
  <c r="H1690" i="12"/>
  <c r="H1699" i="12"/>
  <c r="H1707" i="12"/>
  <c r="H1715" i="12"/>
  <c r="H1723" i="12"/>
  <c r="H1731" i="12"/>
  <c r="H1739" i="12"/>
  <c r="H1747" i="12"/>
  <c r="H1755" i="12"/>
  <c r="H1763" i="12"/>
  <c r="H1772" i="12"/>
  <c r="H1780" i="12"/>
  <c r="H1788" i="12"/>
  <c r="H1796" i="12"/>
  <c r="H1804" i="12"/>
  <c r="H1813" i="12"/>
  <c r="H1821" i="12"/>
  <c r="H1829" i="12"/>
  <c r="H1837" i="12"/>
  <c r="H1845" i="12"/>
  <c r="H1853" i="12"/>
  <c r="H1861" i="12"/>
  <c r="H1869" i="12"/>
  <c r="H1877" i="12"/>
  <c r="H1886" i="12"/>
  <c r="H1894" i="12"/>
  <c r="H1902" i="12"/>
  <c r="H1911" i="12"/>
  <c r="H1919" i="12"/>
  <c r="H1927" i="12"/>
  <c r="H1935" i="12"/>
  <c r="H1943" i="12"/>
  <c r="H1952" i="12"/>
  <c r="H1960" i="12"/>
  <c r="H1968" i="12"/>
  <c r="H1976" i="12"/>
  <c r="H1984" i="12"/>
  <c r="H1992" i="12"/>
  <c r="H2000" i="12"/>
  <c r="H2008" i="12"/>
  <c r="H2016" i="12"/>
  <c r="H2025" i="12"/>
  <c r="H2033" i="12"/>
  <c r="H2041" i="12"/>
  <c r="H2050" i="12"/>
  <c r="H2058" i="12"/>
  <c r="H2066" i="12"/>
  <c r="H2074" i="12"/>
  <c r="H2082" i="12"/>
  <c r="H2091" i="12"/>
  <c r="H2099" i="12"/>
  <c r="H2107" i="12"/>
  <c r="H2115" i="12"/>
  <c r="H2124" i="12"/>
  <c r="H2132" i="12"/>
  <c r="H2140" i="12"/>
  <c r="H2148" i="12"/>
  <c r="H2156" i="12"/>
  <c r="H2164" i="12"/>
  <c r="H2172" i="12"/>
  <c r="H2180" i="12"/>
  <c r="H2188" i="12"/>
  <c r="H2196" i="12"/>
  <c r="H2204" i="12"/>
  <c r="H2212" i="12"/>
  <c r="H2220" i="12"/>
  <c r="H2228" i="12"/>
  <c r="H2236" i="12"/>
  <c r="H2244" i="12"/>
  <c r="H2252" i="12"/>
  <c r="H2260" i="12"/>
  <c r="H2268" i="12"/>
  <c r="H2276" i="12"/>
  <c r="H2284" i="12"/>
  <c r="H2292" i="12"/>
  <c r="H2300" i="12"/>
  <c r="H2308" i="12"/>
  <c r="H2316" i="12"/>
  <c r="H2324" i="12"/>
  <c r="H2332" i="12"/>
  <c r="H2340" i="12"/>
  <c r="H2348" i="12"/>
  <c r="H2356" i="12"/>
  <c r="H2364" i="12"/>
  <c r="H2373" i="12"/>
  <c r="H2381" i="12"/>
  <c r="H2389" i="12"/>
  <c r="H2397" i="12"/>
  <c r="H2406" i="12"/>
  <c r="H2414" i="12"/>
  <c r="H2422" i="12"/>
  <c r="H2430" i="12"/>
  <c r="H2439" i="12"/>
  <c r="H2447" i="12"/>
  <c r="H2455" i="12"/>
  <c r="H2463" i="12"/>
  <c r="H2472" i="12"/>
  <c r="H2480" i="12"/>
  <c r="H2488" i="12"/>
  <c r="H2496" i="12"/>
  <c r="H2504" i="12"/>
  <c r="H2512" i="12"/>
  <c r="H2520" i="12"/>
  <c r="H2528" i="12"/>
  <c r="H2536" i="12"/>
  <c r="H2544" i="12"/>
  <c r="H2552" i="12"/>
  <c r="H2560" i="12"/>
  <c r="H2568" i="12"/>
  <c r="H2576" i="12"/>
  <c r="H2585" i="12"/>
  <c r="H2593" i="12"/>
  <c r="H2601" i="12"/>
  <c r="H2610" i="12"/>
  <c r="H2618" i="12"/>
  <c r="H2626" i="12"/>
  <c r="H2634" i="12"/>
  <c r="H2642" i="12"/>
  <c r="H2651" i="12"/>
  <c r="H2659" i="12"/>
  <c r="H2667" i="12"/>
  <c r="H2675" i="12"/>
  <c r="H2684" i="12"/>
  <c r="H2692" i="12"/>
  <c r="H2700" i="12"/>
  <c r="H2708" i="12"/>
  <c r="H2716" i="12"/>
  <c r="H2724" i="12"/>
  <c r="H2733" i="12"/>
  <c r="H2741" i="12"/>
  <c r="H2749" i="12"/>
  <c r="H2757" i="12"/>
  <c r="H2766" i="12"/>
  <c r="H2774" i="12"/>
  <c r="H2782" i="12"/>
  <c r="H2791" i="12"/>
  <c r="H2799" i="12"/>
  <c r="H2807" i="12"/>
  <c r="H2815" i="12"/>
  <c r="H2824" i="12"/>
  <c r="H2832" i="12"/>
  <c r="H2840" i="12"/>
  <c r="H2848" i="12"/>
  <c r="H2856" i="12"/>
  <c r="H2865" i="12"/>
  <c r="H2873" i="12"/>
  <c r="H2881" i="12"/>
  <c r="H2890" i="12"/>
  <c r="H2898" i="12"/>
  <c r="H2906" i="12"/>
  <c r="H2914" i="12"/>
  <c r="H2922" i="12"/>
  <c r="H2931" i="12"/>
  <c r="H2939" i="12"/>
  <c r="H2947" i="12"/>
  <c r="I1379" i="12"/>
  <c r="I1776" i="12"/>
  <c r="I2037" i="12"/>
  <c r="I2296" i="12"/>
  <c r="I2556" i="12"/>
  <c r="I2820" i="12"/>
  <c r="I3082" i="12"/>
  <c r="H231" i="12"/>
  <c r="H487" i="12"/>
  <c r="H750" i="12"/>
  <c r="H900" i="12"/>
  <c r="H966" i="12"/>
  <c r="H1032" i="12"/>
  <c r="H1099" i="12"/>
  <c r="H1165" i="12"/>
  <c r="H1231" i="12"/>
  <c r="H1297" i="12"/>
  <c r="H1363" i="12"/>
  <c r="H1429" i="12"/>
  <c r="H1495" i="12"/>
  <c r="H1560" i="12"/>
  <c r="H1625" i="12"/>
  <c r="H1666" i="12"/>
  <c r="H1700" i="12"/>
  <c r="H1732" i="12"/>
  <c r="H1764" i="12"/>
  <c r="H1797" i="12"/>
  <c r="H1830" i="12"/>
  <c r="H1862" i="12"/>
  <c r="H1895" i="12"/>
  <c r="H1928" i="12"/>
  <c r="H1961" i="12"/>
  <c r="H1993" i="12"/>
  <c r="H2026" i="12"/>
  <c r="H2059" i="12"/>
  <c r="H2092" i="12"/>
  <c r="H2125" i="12"/>
  <c r="H2157" i="12"/>
  <c r="H2189" i="12"/>
  <c r="H2221" i="12"/>
  <c r="H2253" i="12"/>
  <c r="H2285" i="12"/>
  <c r="H2317" i="12"/>
  <c r="H2349" i="12"/>
  <c r="H2374" i="12"/>
  <c r="H2395" i="12"/>
  <c r="H2417" i="12"/>
  <c r="H2440" i="12"/>
  <c r="H2461" i="12"/>
  <c r="H2483" i="12"/>
  <c r="H2505" i="12"/>
  <c r="H2526" i="12"/>
  <c r="H2547" i="12"/>
  <c r="H2569" i="12"/>
  <c r="H2591" i="12"/>
  <c r="H2613" i="12"/>
  <c r="H2635" i="12"/>
  <c r="H2657" i="12"/>
  <c r="H2679" i="12"/>
  <c r="H2701" i="12"/>
  <c r="H2722" i="12"/>
  <c r="H2744" i="12"/>
  <c r="H2767" i="12"/>
  <c r="H2789" i="12"/>
  <c r="H2810" i="12"/>
  <c r="H2833" i="12"/>
  <c r="H2854" i="12"/>
  <c r="H2876" i="12"/>
  <c r="H2899" i="12"/>
  <c r="H2920" i="12"/>
  <c r="H2942" i="12"/>
  <c r="H2958" i="12"/>
  <c r="H2966" i="12"/>
  <c r="H2974" i="12"/>
  <c r="H2982" i="12"/>
  <c r="H2990" i="12"/>
  <c r="H2999" i="12"/>
  <c r="H3007" i="12"/>
  <c r="H3015" i="12"/>
  <c r="H3023" i="12"/>
  <c r="H3032" i="12"/>
  <c r="H3040" i="12"/>
  <c r="H3048" i="12"/>
  <c r="H3056" i="12"/>
  <c r="H3064" i="12"/>
  <c r="H3073" i="12"/>
  <c r="H3081" i="12"/>
  <c r="H3089" i="12"/>
  <c r="H3097" i="12"/>
  <c r="H3106" i="12"/>
  <c r="H3" i="12"/>
  <c r="G12" i="12"/>
  <c r="G20" i="12"/>
  <c r="G28" i="12"/>
  <c r="G36" i="12"/>
  <c r="G44" i="12"/>
  <c r="G52" i="12"/>
  <c r="G60" i="12"/>
  <c r="G69" i="12"/>
  <c r="G77" i="12"/>
  <c r="G85" i="12"/>
  <c r="G93" i="12"/>
  <c r="G101" i="12"/>
  <c r="G109" i="12"/>
  <c r="G117" i="12"/>
  <c r="G125" i="12"/>
  <c r="G133" i="12"/>
  <c r="G142" i="12"/>
  <c r="G150" i="12"/>
  <c r="G158" i="12"/>
  <c r="G166" i="12"/>
  <c r="G174" i="12"/>
  <c r="G182" i="12"/>
  <c r="G190" i="12"/>
  <c r="G198" i="12"/>
  <c r="G206" i="12"/>
  <c r="G214" i="12"/>
  <c r="G222" i="12"/>
  <c r="G230" i="12"/>
  <c r="G238" i="12"/>
  <c r="G246" i="12"/>
  <c r="G254" i="12"/>
  <c r="G262" i="12"/>
  <c r="G270" i="12"/>
  <c r="G278" i="12"/>
  <c r="G286" i="12"/>
  <c r="G294" i="12"/>
  <c r="G302" i="12"/>
  <c r="G310" i="12"/>
  <c r="G318" i="12"/>
  <c r="G326" i="12"/>
  <c r="G334" i="12"/>
  <c r="G342" i="12"/>
  <c r="G350" i="12"/>
  <c r="G358" i="12"/>
  <c r="G366" i="12"/>
  <c r="G374" i="12"/>
  <c r="G382" i="12"/>
  <c r="G390" i="12"/>
  <c r="G398" i="12"/>
  <c r="G406" i="12"/>
  <c r="G414" i="12"/>
  <c r="G422" i="12"/>
  <c r="G430" i="12"/>
  <c r="G438" i="12"/>
  <c r="G446" i="12"/>
  <c r="G454" i="12"/>
  <c r="G462" i="12"/>
  <c r="G470" i="12"/>
  <c r="G478" i="12"/>
  <c r="G486" i="12"/>
  <c r="G494" i="12"/>
  <c r="G502" i="12"/>
  <c r="G510" i="12"/>
  <c r="G518" i="12"/>
  <c r="G527" i="12"/>
  <c r="G535" i="12"/>
  <c r="G543" i="12"/>
  <c r="G551" i="12"/>
  <c r="G559" i="12"/>
  <c r="G567" i="12"/>
  <c r="G575" i="12"/>
  <c r="G583" i="12"/>
  <c r="G591" i="12"/>
  <c r="G599" i="12"/>
  <c r="G607" i="12"/>
  <c r="G615" i="12"/>
  <c r="G623" i="12"/>
  <c r="G631" i="12"/>
  <c r="G639" i="12"/>
  <c r="G647" i="12"/>
  <c r="G656" i="12"/>
  <c r="G664" i="12"/>
  <c r="G672" i="12"/>
  <c r="G680" i="12"/>
  <c r="G688" i="12"/>
  <c r="G697" i="12"/>
  <c r="G705" i="12"/>
  <c r="G714" i="12"/>
  <c r="G723" i="12"/>
  <c r="G731" i="12"/>
  <c r="G740" i="12"/>
  <c r="G749" i="12"/>
  <c r="G757" i="12"/>
  <c r="G766" i="12"/>
  <c r="G775" i="12"/>
  <c r="G784" i="12"/>
  <c r="G793" i="12"/>
  <c r="G801" i="12"/>
  <c r="G809" i="12"/>
  <c r="G817" i="12"/>
  <c r="G825" i="12"/>
  <c r="G834" i="12"/>
  <c r="G842" i="12"/>
  <c r="G850" i="12"/>
  <c r="G858" i="12"/>
  <c r="G867" i="12"/>
  <c r="G875" i="12"/>
  <c r="G883" i="12"/>
  <c r="G891" i="12"/>
  <c r="G899" i="12"/>
  <c r="G908" i="12"/>
  <c r="G916" i="12"/>
  <c r="G924" i="12"/>
  <c r="G933" i="12"/>
  <c r="G941" i="12"/>
  <c r="G949" i="12"/>
  <c r="G957" i="12"/>
  <c r="G965" i="12"/>
  <c r="G974" i="12"/>
  <c r="G982" i="12"/>
  <c r="G990" i="12"/>
  <c r="G998" i="12"/>
  <c r="G1007" i="12"/>
  <c r="G1015" i="12"/>
  <c r="G1023" i="12"/>
  <c r="G1031" i="12"/>
  <c r="G1040" i="12"/>
  <c r="G1048" i="12"/>
  <c r="G1056" i="12"/>
  <c r="G1064" i="12"/>
  <c r="G1073" i="12"/>
  <c r="G1081" i="12"/>
  <c r="G1090" i="12"/>
  <c r="G1098" i="12"/>
  <c r="G1106" i="12"/>
  <c r="G1114" i="12"/>
  <c r="G1123" i="12"/>
  <c r="G1131" i="12"/>
  <c r="G1139" i="12"/>
  <c r="G1147" i="12"/>
  <c r="G1156" i="12"/>
  <c r="G1164" i="12"/>
  <c r="G1172" i="12"/>
  <c r="G1180" i="12"/>
  <c r="G1189" i="12"/>
  <c r="G1197" i="12"/>
  <c r="G1205" i="12"/>
  <c r="G1214" i="12"/>
  <c r="G1222" i="12"/>
  <c r="G1230" i="12"/>
  <c r="G1238" i="12"/>
  <c r="G1246" i="12"/>
  <c r="G1255" i="12"/>
  <c r="G1263" i="12"/>
  <c r="G1271" i="12"/>
  <c r="G1279" i="12"/>
  <c r="G1288" i="12"/>
  <c r="G1296" i="12"/>
  <c r="G1304" i="12"/>
  <c r="G1312" i="12"/>
  <c r="G1320" i="12"/>
  <c r="G1329" i="12"/>
  <c r="G1337" i="12"/>
  <c r="G1345" i="12"/>
  <c r="G1354" i="12"/>
  <c r="G1362" i="12"/>
  <c r="G1370" i="12"/>
  <c r="G1378" i="12"/>
  <c r="G1386" i="12"/>
  <c r="G1395" i="12"/>
  <c r="G1403" i="12"/>
  <c r="G1411" i="12"/>
  <c r="G1419" i="12"/>
  <c r="G1428" i="12"/>
  <c r="G1436" i="12"/>
  <c r="G1444" i="12"/>
  <c r="G1452" i="12"/>
  <c r="G1460" i="12"/>
  <c r="G1469" i="12"/>
  <c r="G1477" i="12"/>
  <c r="G1485" i="12"/>
  <c r="G1494" i="12"/>
  <c r="G1502" i="12"/>
  <c r="G1510" i="12"/>
  <c r="G1518" i="12"/>
  <c r="G1526" i="12"/>
  <c r="G1534" i="12"/>
  <c r="G1542" i="12"/>
  <c r="G1550" i="12"/>
  <c r="G1559" i="12"/>
  <c r="G1567" i="12"/>
  <c r="G1575" i="12"/>
  <c r="G1583" i="12"/>
  <c r="G1591" i="12"/>
  <c r="G1600" i="12"/>
  <c r="G1608" i="12"/>
  <c r="G1616" i="12"/>
  <c r="G1624" i="12"/>
  <c r="G1633" i="12"/>
  <c r="G1641" i="12"/>
  <c r="G1649" i="12"/>
  <c r="G1657" i="12"/>
  <c r="G1665" i="12"/>
  <c r="G1674" i="12"/>
  <c r="G1682" i="12"/>
  <c r="G1690" i="12"/>
  <c r="G1699" i="12"/>
  <c r="G1707" i="12"/>
  <c r="G1715" i="12"/>
  <c r="G1723" i="12"/>
  <c r="G1731" i="12"/>
  <c r="G1739" i="12"/>
  <c r="G1747" i="12"/>
  <c r="G1755" i="12"/>
  <c r="G1763" i="12"/>
  <c r="G1772" i="12"/>
  <c r="G1780" i="12"/>
  <c r="G1788" i="12"/>
  <c r="G1796" i="12"/>
  <c r="G1804" i="12"/>
  <c r="G1813" i="12"/>
  <c r="G1821" i="12"/>
  <c r="G1829" i="12"/>
  <c r="G1837" i="12"/>
  <c r="G1845" i="12"/>
  <c r="G1853" i="12"/>
  <c r="G1861" i="12"/>
  <c r="G1869" i="12"/>
  <c r="G1877" i="12"/>
  <c r="G1886" i="12"/>
  <c r="G1894" i="12"/>
  <c r="G1902" i="12"/>
  <c r="G1911" i="12"/>
  <c r="G1919" i="12"/>
  <c r="G1927" i="12"/>
  <c r="G1935" i="12"/>
  <c r="G1943" i="12"/>
  <c r="G1952" i="12"/>
  <c r="G1960" i="12"/>
  <c r="G1968" i="12"/>
  <c r="G1976" i="12"/>
  <c r="G1984" i="12"/>
  <c r="G1992" i="12"/>
  <c r="G2000" i="12"/>
  <c r="G2008" i="12"/>
  <c r="G2016" i="12"/>
  <c r="G2025" i="12"/>
  <c r="G2033" i="12"/>
  <c r="G2041" i="12"/>
  <c r="G2050" i="12"/>
  <c r="I1546" i="12"/>
  <c r="I1809" i="12"/>
  <c r="I2070" i="12"/>
  <c r="I2328" i="12"/>
  <c r="I2589" i="12"/>
  <c r="I2852" i="12"/>
  <c r="H4" i="12"/>
  <c r="H263" i="12"/>
  <c r="H519" i="12"/>
  <c r="H785" i="12"/>
  <c r="H909" i="12"/>
  <c r="H975" i="12"/>
  <c r="H1041" i="12"/>
  <c r="H1107" i="12"/>
  <c r="H1173" i="12"/>
  <c r="H1239" i="12"/>
  <c r="H1305" i="12"/>
  <c r="H1371" i="12"/>
  <c r="H1437" i="12"/>
  <c r="H1503" i="12"/>
  <c r="H1568" i="12"/>
  <c r="H1634" i="12"/>
  <c r="H1672" i="12"/>
  <c r="H1705" i="12"/>
  <c r="H1737" i="12"/>
  <c r="H1770" i="12"/>
  <c r="H1802" i="12"/>
  <c r="H1835" i="12"/>
  <c r="H1867" i="12"/>
  <c r="H1900" i="12"/>
  <c r="H1933" i="12"/>
  <c r="H1966" i="12"/>
  <c r="H1998" i="12"/>
  <c r="H2031" i="12"/>
  <c r="H2064" i="12"/>
  <c r="H2097" i="12"/>
  <c r="H2130" i="12"/>
  <c r="H2162" i="12"/>
  <c r="H2194" i="12"/>
  <c r="H2226" i="12"/>
  <c r="H2258" i="12"/>
  <c r="H2290" i="12"/>
  <c r="H2322" i="12"/>
  <c r="H2354" i="12"/>
  <c r="H2376" i="12"/>
  <c r="H2399" i="12"/>
  <c r="H2420" i="12"/>
  <c r="H2442" i="12"/>
  <c r="H2464" i="12"/>
  <c r="H2486" i="12"/>
  <c r="H2507" i="12"/>
  <c r="H2529" i="12"/>
  <c r="H2550" i="12"/>
  <c r="H2571" i="12"/>
  <c r="H2594" i="12"/>
  <c r="H2616" i="12"/>
  <c r="H2637" i="12"/>
  <c r="H2660" i="12"/>
  <c r="H2682" i="12"/>
  <c r="H2703" i="12"/>
  <c r="H2725" i="12"/>
  <c r="H2747" i="12"/>
  <c r="H2769" i="12"/>
  <c r="H2792" i="12"/>
  <c r="H2813" i="12"/>
  <c r="H2835" i="12"/>
  <c r="H2857" i="12"/>
  <c r="H2879" i="12"/>
  <c r="H2901" i="12"/>
  <c r="H2923" i="12"/>
  <c r="H2945" i="12"/>
  <c r="H2959" i="12"/>
  <c r="H2967" i="12"/>
  <c r="H2975" i="12"/>
  <c r="H2983" i="12"/>
  <c r="H2991" i="12"/>
  <c r="H3000" i="12"/>
  <c r="H3008" i="12"/>
  <c r="H3016" i="12"/>
  <c r="H3024" i="12"/>
  <c r="H3033" i="12"/>
  <c r="H3041" i="12"/>
  <c r="H3049" i="12"/>
  <c r="H3057" i="12"/>
  <c r="H3065" i="12"/>
  <c r="H3074" i="12"/>
  <c r="H3082" i="12"/>
  <c r="H3090" i="12"/>
  <c r="H3099" i="12"/>
  <c r="H3107" i="12"/>
  <c r="G4" i="12"/>
  <c r="G13" i="12"/>
  <c r="G21" i="12"/>
  <c r="G29" i="12"/>
  <c r="G37" i="12"/>
  <c r="G45" i="12"/>
  <c r="G53" i="12"/>
  <c r="G61" i="12"/>
  <c r="G70" i="12"/>
  <c r="G78" i="12"/>
  <c r="G86" i="12"/>
  <c r="G94" i="12"/>
  <c r="G102" i="12"/>
  <c r="G110" i="12"/>
  <c r="G118" i="12"/>
  <c r="G126" i="12"/>
  <c r="G134" i="12"/>
  <c r="G143" i="12"/>
  <c r="G151" i="12"/>
  <c r="G159" i="12"/>
  <c r="G167" i="12"/>
  <c r="G175" i="12"/>
  <c r="G183" i="12"/>
  <c r="G191" i="12"/>
  <c r="G199" i="12"/>
  <c r="G207" i="12"/>
  <c r="G215" i="12"/>
  <c r="G223" i="12"/>
  <c r="G231" i="12"/>
  <c r="G239" i="12"/>
  <c r="G247" i="12"/>
  <c r="G255" i="12"/>
  <c r="G263" i="12"/>
  <c r="G271" i="12"/>
  <c r="G279" i="12"/>
  <c r="G287" i="12"/>
  <c r="G295" i="12"/>
  <c r="G303" i="12"/>
  <c r="G311" i="12"/>
  <c r="G319" i="12"/>
  <c r="G327" i="12"/>
  <c r="G335" i="12"/>
  <c r="G343" i="12"/>
  <c r="G351" i="12"/>
  <c r="G359" i="12"/>
  <c r="G367" i="12"/>
  <c r="G375" i="12"/>
  <c r="G383" i="12"/>
  <c r="G391" i="12"/>
  <c r="G399" i="12"/>
  <c r="G407" i="12"/>
  <c r="G415" i="12"/>
  <c r="G423" i="12"/>
  <c r="G431" i="12"/>
  <c r="G439" i="12"/>
  <c r="G447" i="12"/>
  <c r="G455" i="12"/>
  <c r="G463" i="12"/>
  <c r="G471" i="12"/>
  <c r="G479" i="12"/>
  <c r="G487" i="12"/>
  <c r="G495" i="12"/>
  <c r="G503" i="12"/>
  <c r="G511" i="12"/>
  <c r="G519" i="12"/>
  <c r="G528" i="12"/>
  <c r="G536" i="12"/>
  <c r="G544" i="12"/>
  <c r="G552" i="12"/>
  <c r="G560" i="12"/>
  <c r="G568" i="12"/>
  <c r="G576" i="12"/>
  <c r="G584" i="12"/>
  <c r="G592" i="12"/>
  <c r="G600" i="12"/>
  <c r="G608" i="12"/>
  <c r="G616" i="12"/>
  <c r="G624" i="12"/>
  <c r="G632" i="12"/>
  <c r="G640" i="12"/>
  <c r="G648" i="12"/>
  <c r="G657" i="12"/>
  <c r="G665" i="12"/>
  <c r="G673" i="12"/>
  <c r="G681" i="12"/>
  <c r="G689" i="12"/>
  <c r="G698" i="12"/>
  <c r="G706" i="12"/>
  <c r="G715" i="12"/>
  <c r="G724" i="12"/>
  <c r="G733" i="12"/>
  <c r="G742" i="12"/>
  <c r="G750" i="12"/>
  <c r="G758" i="12"/>
  <c r="G767" i="12"/>
  <c r="G776" i="12"/>
  <c r="G785" i="12"/>
  <c r="G794" i="12"/>
  <c r="G802" i="12"/>
  <c r="G810" i="12"/>
  <c r="G818" i="12"/>
  <c r="G826" i="12"/>
  <c r="G835" i="12"/>
  <c r="G843" i="12"/>
  <c r="G851" i="12"/>
  <c r="G859" i="12"/>
  <c r="G868" i="12"/>
  <c r="G876" i="12"/>
  <c r="G884" i="12"/>
  <c r="G892" i="12"/>
  <c r="G900" i="12"/>
  <c r="G909" i="12"/>
  <c r="G917" i="12"/>
  <c r="G925" i="12"/>
  <c r="G934" i="12"/>
  <c r="G942" i="12"/>
  <c r="G950" i="12"/>
  <c r="G958" i="12"/>
  <c r="G966" i="12"/>
  <c r="G975" i="12"/>
  <c r="G983" i="12"/>
  <c r="G991" i="12"/>
  <c r="G999" i="12"/>
  <c r="G1008" i="12"/>
  <c r="G1016" i="12"/>
  <c r="G1024" i="12"/>
  <c r="G1032" i="12"/>
  <c r="G1041" i="12"/>
  <c r="G1049" i="12"/>
  <c r="G1057" i="12"/>
  <c r="G1065" i="12"/>
  <c r="G1074" i="12"/>
  <c r="G1082" i="12"/>
  <c r="G1091" i="12"/>
  <c r="G1099" i="12"/>
  <c r="G1107" i="12"/>
  <c r="G1115" i="12"/>
  <c r="G1124" i="12"/>
  <c r="G1132" i="12"/>
  <c r="G1140" i="12"/>
  <c r="G1148" i="12"/>
  <c r="G1157" i="12"/>
  <c r="G1165" i="12"/>
  <c r="G1173" i="12"/>
  <c r="G1181" i="12"/>
  <c r="G1190" i="12"/>
  <c r="G1198" i="12"/>
  <c r="G1206" i="12"/>
  <c r="G1215" i="12"/>
  <c r="G1223" i="12"/>
  <c r="G1231" i="12"/>
  <c r="G1239" i="12"/>
  <c r="G1247" i="12"/>
  <c r="G1256" i="12"/>
  <c r="G1264" i="12"/>
  <c r="G1272" i="12"/>
  <c r="G1280" i="12"/>
  <c r="G1289" i="12"/>
  <c r="G1297" i="12"/>
  <c r="G1305" i="12"/>
  <c r="G1313" i="12"/>
  <c r="G1321" i="12"/>
  <c r="G1330" i="12"/>
  <c r="G1338" i="12"/>
  <c r="G1346" i="12"/>
  <c r="G1355" i="12"/>
  <c r="G1363" i="12"/>
  <c r="G1371" i="12"/>
  <c r="G1379" i="12"/>
  <c r="G1387" i="12"/>
  <c r="G1396" i="12"/>
  <c r="G1404" i="12"/>
  <c r="G1412" i="12"/>
  <c r="G1420" i="12"/>
  <c r="G1429" i="12"/>
  <c r="G1437" i="12"/>
  <c r="G1445" i="12"/>
  <c r="G1453" i="12"/>
  <c r="G1461" i="12"/>
  <c r="G1470" i="12"/>
  <c r="G1478" i="12"/>
  <c r="G1486" i="12"/>
  <c r="G1495" i="12"/>
  <c r="G1503" i="12"/>
  <c r="G1511" i="12"/>
  <c r="G1519" i="12"/>
  <c r="G1527" i="12"/>
  <c r="G1535" i="12"/>
  <c r="G1543" i="12"/>
  <c r="G1551" i="12"/>
  <c r="G1560" i="12"/>
  <c r="G1568" i="12"/>
  <c r="G1576" i="12"/>
  <c r="G1584" i="12"/>
  <c r="G1592" i="12"/>
  <c r="G1601" i="12"/>
  <c r="G1609" i="12"/>
  <c r="G1617" i="12"/>
  <c r="G1625" i="12"/>
  <c r="G1634" i="12"/>
  <c r="G1642" i="12"/>
  <c r="G1650" i="12"/>
  <c r="G1658" i="12"/>
  <c r="G1666" i="12"/>
  <c r="G1675" i="12"/>
  <c r="G1683" i="12"/>
  <c r="G1691" i="12"/>
  <c r="G1700" i="12"/>
  <c r="G1708" i="12"/>
  <c r="G1716" i="12"/>
  <c r="G1724" i="12"/>
  <c r="G1732" i="12"/>
  <c r="G1740" i="12"/>
  <c r="G1748" i="12"/>
  <c r="G1756" i="12"/>
  <c r="G1764" i="12"/>
  <c r="G1773" i="12"/>
  <c r="G1781" i="12"/>
  <c r="G1789" i="12"/>
  <c r="G1797" i="12"/>
  <c r="G1805" i="12"/>
  <c r="G1814" i="12"/>
  <c r="G1822" i="12"/>
  <c r="G1830" i="12"/>
  <c r="G1838" i="12"/>
  <c r="G1846" i="12"/>
  <c r="G1854" i="12"/>
  <c r="G1862" i="12"/>
  <c r="G1870" i="12"/>
  <c r="G1879" i="12"/>
  <c r="G1887" i="12"/>
  <c r="G1895" i="12"/>
  <c r="G1903" i="12"/>
  <c r="G1912" i="12"/>
  <c r="G1920" i="12"/>
  <c r="G1928" i="12"/>
  <c r="G1936" i="12"/>
  <c r="G1944" i="12"/>
  <c r="G1953" i="12"/>
  <c r="G1961" i="12"/>
  <c r="G1969" i="12"/>
  <c r="G1977" i="12"/>
  <c r="G1985" i="12"/>
  <c r="G1993" i="12"/>
  <c r="G2001" i="12"/>
  <c r="G2009" i="12"/>
  <c r="G2017" i="12"/>
  <c r="G2026" i="12"/>
  <c r="G2034" i="12"/>
  <c r="G2042" i="12"/>
  <c r="I1579" i="12"/>
  <c r="I1841" i="12"/>
  <c r="I2103" i="12"/>
  <c r="I2360" i="12"/>
  <c r="I2622" i="12"/>
  <c r="I2885" i="12"/>
  <c r="H37" i="12"/>
  <c r="H295" i="12"/>
  <c r="H552" i="12"/>
  <c r="H818" i="12"/>
  <c r="H917" i="12"/>
  <c r="H983" i="12"/>
  <c r="H1049" i="12"/>
  <c r="H1115" i="12"/>
  <c r="H1181" i="12"/>
  <c r="H1247" i="12"/>
  <c r="H1313" i="12"/>
  <c r="H1379" i="12"/>
  <c r="H1445" i="12"/>
  <c r="H1511" i="12"/>
  <c r="H1576" i="12"/>
  <c r="H1642" i="12"/>
  <c r="H1675" i="12"/>
  <c r="H1708" i="12"/>
  <c r="H1740" i="12"/>
  <c r="H1773" i="12"/>
  <c r="H1805" i="12"/>
  <c r="H1838" i="12"/>
  <c r="H1870" i="12"/>
  <c r="H1903" i="12"/>
  <c r="H1936" i="12"/>
  <c r="H1969" i="12"/>
  <c r="H2001" i="12"/>
  <c r="H2034" i="12"/>
  <c r="H2067" i="12"/>
  <c r="H2100" i="12"/>
  <c r="H2133" i="12"/>
  <c r="H2165" i="12"/>
  <c r="H2197" i="12"/>
  <c r="H2229" i="12"/>
  <c r="H2261" i="12"/>
  <c r="H2293" i="12"/>
  <c r="H2325" i="12"/>
  <c r="H2357" i="12"/>
  <c r="H2379" i="12"/>
  <c r="H2401" i="12"/>
  <c r="H2423" i="12"/>
  <c r="H2445" i="12"/>
  <c r="H2466" i="12"/>
  <c r="H2489" i="12"/>
  <c r="H2510" i="12"/>
  <c r="H2531" i="12"/>
  <c r="H2553" i="12"/>
  <c r="H2574" i="12"/>
  <c r="H2596" i="12"/>
  <c r="H2619" i="12"/>
  <c r="H2640" i="12"/>
  <c r="H2662" i="12"/>
  <c r="H2685" i="12"/>
  <c r="H2706" i="12"/>
  <c r="H2727" i="12"/>
  <c r="H2750" i="12"/>
  <c r="H2772" i="12"/>
  <c r="H2794" i="12"/>
  <c r="H2816" i="12"/>
  <c r="H2838" i="12"/>
  <c r="H2860" i="12"/>
  <c r="H2882" i="12"/>
  <c r="H2904" i="12"/>
  <c r="H2925" i="12"/>
  <c r="H2948" i="12"/>
  <c r="H2960" i="12"/>
  <c r="H2968" i="12"/>
  <c r="H2976" i="12"/>
  <c r="H2984" i="12"/>
  <c r="H2992" i="12"/>
  <c r="H3001" i="12"/>
  <c r="H3009" i="12"/>
  <c r="H3017" i="12"/>
  <c r="H3025" i="12"/>
  <c r="H3034" i="12"/>
  <c r="H3042" i="12"/>
  <c r="H3050" i="12"/>
  <c r="H3058" i="12"/>
  <c r="H3066" i="12"/>
  <c r="H3075" i="12"/>
  <c r="H3083" i="12"/>
  <c r="H3091" i="12"/>
  <c r="H3100" i="12"/>
  <c r="H3108" i="12"/>
  <c r="G5" i="12"/>
  <c r="G14" i="12"/>
  <c r="G22" i="12"/>
  <c r="G30" i="12"/>
  <c r="G38" i="12"/>
  <c r="G46" i="12"/>
  <c r="G54" i="12"/>
  <c r="G63" i="12"/>
  <c r="G71" i="12"/>
  <c r="G79" i="12"/>
  <c r="G87" i="12"/>
  <c r="G95" i="12"/>
  <c r="G103" i="12"/>
  <c r="G111" i="12"/>
  <c r="G119" i="12"/>
  <c r="G127" i="12"/>
  <c r="G135" i="12"/>
  <c r="G144" i="12"/>
  <c r="G152" i="12"/>
  <c r="G160" i="12"/>
  <c r="G168" i="12"/>
  <c r="G176" i="12"/>
  <c r="G184" i="12"/>
  <c r="G192" i="12"/>
  <c r="G200" i="12"/>
  <c r="G208" i="12"/>
  <c r="G216" i="12"/>
  <c r="G224" i="12"/>
  <c r="G232" i="12"/>
  <c r="G240" i="12"/>
  <c r="G248" i="12"/>
  <c r="G256" i="12"/>
  <c r="G264" i="12"/>
  <c r="G272" i="12"/>
  <c r="G280" i="12"/>
  <c r="G288" i="12"/>
  <c r="G296" i="12"/>
  <c r="G304" i="12"/>
  <c r="G312" i="12"/>
  <c r="G320" i="12"/>
  <c r="G328" i="12"/>
  <c r="G336" i="12"/>
  <c r="G344" i="12"/>
  <c r="G352" i="12"/>
  <c r="G360" i="12"/>
  <c r="G368" i="12"/>
  <c r="G376" i="12"/>
  <c r="G384" i="12"/>
  <c r="G392" i="12"/>
  <c r="G400" i="12"/>
  <c r="G408" i="12"/>
  <c r="G416" i="12"/>
  <c r="G424" i="12"/>
  <c r="G432" i="12"/>
  <c r="G440" i="12"/>
  <c r="G448" i="12"/>
  <c r="G456" i="12"/>
  <c r="G464" i="12"/>
  <c r="G472" i="12"/>
  <c r="G480" i="12"/>
  <c r="G488" i="12"/>
  <c r="G496" i="12"/>
  <c r="G504" i="12"/>
  <c r="G512" i="12"/>
  <c r="G520" i="12"/>
  <c r="G529" i="12"/>
  <c r="G537" i="12"/>
  <c r="G545" i="12"/>
  <c r="G553" i="12"/>
  <c r="G561" i="12"/>
  <c r="G569" i="12"/>
  <c r="G577" i="12"/>
  <c r="G585" i="12"/>
  <c r="G593" i="12"/>
  <c r="G601" i="12"/>
  <c r="G609" i="12"/>
  <c r="G617" i="12"/>
  <c r="G625" i="12"/>
  <c r="G633" i="12"/>
  <c r="G641" i="12"/>
  <c r="G649" i="12"/>
  <c r="G658" i="12"/>
  <c r="G666" i="12"/>
  <c r="G674" i="12"/>
  <c r="G682" i="12"/>
  <c r="G690" i="12"/>
  <c r="G699" i="12"/>
  <c r="G707" i="12"/>
  <c r="G716" i="12"/>
  <c r="G725" i="12"/>
  <c r="G734" i="12"/>
  <c r="G743" i="12"/>
  <c r="G751" i="12"/>
  <c r="G759" i="12"/>
  <c r="G768" i="12"/>
  <c r="G777" i="12"/>
  <c r="G786" i="12"/>
  <c r="G795" i="12"/>
  <c r="G803" i="12"/>
  <c r="G811" i="12"/>
  <c r="G819" i="12"/>
  <c r="G827" i="12"/>
  <c r="G836" i="12"/>
  <c r="G844" i="12"/>
  <c r="G852" i="12"/>
  <c r="G860" i="12"/>
  <c r="G869" i="12"/>
  <c r="G877" i="12"/>
  <c r="G885" i="12"/>
  <c r="G893" i="12"/>
  <c r="G901" i="12"/>
  <c r="G910" i="12"/>
  <c r="G918" i="12"/>
  <c r="G926" i="12"/>
  <c r="G935" i="12"/>
  <c r="G943" i="12"/>
  <c r="G951" i="12"/>
  <c r="G959" i="12"/>
  <c r="G967" i="12"/>
  <c r="G976" i="12"/>
  <c r="G984" i="12"/>
  <c r="G992" i="12"/>
  <c r="G1000" i="12"/>
  <c r="G1009" i="12"/>
  <c r="G1017" i="12"/>
  <c r="G1025" i="12"/>
  <c r="G1033" i="12"/>
  <c r="G1042" i="12"/>
  <c r="G1050" i="12"/>
  <c r="G1058" i="12"/>
  <c r="G1066" i="12"/>
  <c r="G1075" i="12"/>
  <c r="G1084" i="12"/>
  <c r="G1092" i="12"/>
  <c r="G1100" i="12"/>
  <c r="G1108" i="12"/>
  <c r="G1116" i="12"/>
  <c r="G1125" i="12"/>
  <c r="G1133" i="12"/>
  <c r="G1141" i="12"/>
  <c r="G1149" i="12"/>
  <c r="G1158" i="12"/>
  <c r="G1166" i="12"/>
  <c r="G1174" i="12"/>
  <c r="G1183" i="12"/>
  <c r="G1191" i="12"/>
  <c r="G1199" i="12"/>
  <c r="G1207" i="12"/>
  <c r="G1216" i="12"/>
  <c r="G1224" i="12"/>
  <c r="G1232" i="12"/>
  <c r="G1240" i="12"/>
  <c r="G1248" i="12"/>
  <c r="G1257" i="12"/>
  <c r="G1265" i="12"/>
  <c r="G1273" i="12"/>
  <c r="G1281" i="12"/>
  <c r="G1290" i="12"/>
  <c r="G1298" i="12"/>
  <c r="G1306" i="12"/>
  <c r="G1314" i="12"/>
  <c r="G1323" i="12"/>
  <c r="G1331" i="12"/>
  <c r="G1339" i="12"/>
  <c r="G1347" i="12"/>
  <c r="G1356" i="12"/>
  <c r="G1364" i="12"/>
  <c r="G1372" i="12"/>
  <c r="G1380" i="12"/>
  <c r="G1388" i="12"/>
  <c r="G1397" i="12"/>
  <c r="G1405" i="12"/>
  <c r="G1413" i="12"/>
  <c r="G1421" i="12"/>
  <c r="G1430" i="12"/>
  <c r="G1438" i="12"/>
  <c r="G1446" i="12"/>
  <c r="G1454" i="12"/>
  <c r="G1463" i="12"/>
  <c r="G1471" i="12"/>
  <c r="G1479" i="12"/>
  <c r="G1487" i="12"/>
  <c r="G1496" i="12"/>
  <c r="G1504" i="12"/>
  <c r="G1512" i="12"/>
  <c r="G1520" i="12"/>
  <c r="G1528" i="12"/>
  <c r="G1536" i="12"/>
  <c r="G1544" i="12"/>
  <c r="G1552" i="12"/>
  <c r="G1561" i="12"/>
  <c r="G1569" i="12"/>
  <c r="G1577" i="12"/>
  <c r="G1585" i="12"/>
  <c r="G1593" i="12"/>
  <c r="G1602" i="12"/>
  <c r="G1610" i="12"/>
  <c r="G1618" i="12"/>
  <c r="G1626" i="12"/>
  <c r="G1635" i="12"/>
  <c r="G1643" i="12"/>
  <c r="G1651" i="12"/>
  <c r="G1659" i="12"/>
  <c r="G1667" i="12"/>
  <c r="G1676" i="12"/>
  <c r="G1684" i="12"/>
  <c r="G1692" i="12"/>
  <c r="G1701" i="12"/>
  <c r="G1709" i="12"/>
  <c r="G1717" i="12"/>
  <c r="G1725" i="12"/>
  <c r="G1733" i="12"/>
  <c r="G1741" i="12"/>
  <c r="G1749" i="12"/>
  <c r="G1757" i="12"/>
  <c r="G1765" i="12"/>
  <c r="G1774" i="12"/>
  <c r="G1782" i="12"/>
  <c r="G1790" i="12"/>
  <c r="G1798" i="12"/>
  <c r="G1806" i="12"/>
  <c r="G1815" i="12"/>
  <c r="G1823" i="12"/>
  <c r="G1831" i="12"/>
  <c r="G1839" i="12"/>
  <c r="G1847" i="12"/>
  <c r="G1855" i="12"/>
  <c r="G1863" i="12"/>
  <c r="G1871" i="12"/>
  <c r="G1880" i="12"/>
  <c r="G1888" i="12"/>
  <c r="G1896" i="12"/>
  <c r="G1904" i="12"/>
  <c r="G1913" i="12"/>
  <c r="G1921" i="12"/>
  <c r="G1929" i="12"/>
  <c r="G1937" i="12"/>
  <c r="G1945" i="12"/>
  <c r="G1954" i="12"/>
  <c r="G1962" i="12"/>
  <c r="G1970" i="12"/>
  <c r="G1978" i="12"/>
  <c r="G1986" i="12"/>
  <c r="G1994" i="12"/>
  <c r="G2002" i="12"/>
  <c r="G2010" i="12"/>
  <c r="G2019" i="12"/>
  <c r="G2027" i="12"/>
  <c r="G2035" i="12"/>
  <c r="G2043" i="12"/>
  <c r="I99" i="12"/>
  <c r="I1612" i="12"/>
  <c r="I1873" i="12"/>
  <c r="I2136" i="12"/>
  <c r="I2393" i="12"/>
  <c r="I2655" i="12"/>
  <c r="I2918" i="12"/>
  <c r="H70" i="12"/>
  <c r="H327" i="12"/>
  <c r="H584" i="12"/>
  <c r="H851" i="12"/>
  <c r="H925" i="12"/>
  <c r="H991" i="12"/>
  <c r="H1057" i="12"/>
  <c r="H1124" i="12"/>
  <c r="H1190" i="12"/>
  <c r="H1256" i="12"/>
  <c r="H1321" i="12"/>
  <c r="H1387" i="12"/>
  <c r="H1453" i="12"/>
  <c r="H1519" i="12"/>
  <c r="H1584" i="12"/>
  <c r="H1647" i="12"/>
  <c r="H1680" i="12"/>
  <c r="H1713" i="12"/>
  <c r="H1745" i="12"/>
  <c r="H1778" i="12"/>
  <c r="H1811" i="12"/>
  <c r="H1843" i="12"/>
  <c r="H1875" i="12"/>
  <c r="H1909" i="12"/>
  <c r="H1941" i="12"/>
  <c r="H1974" i="12"/>
  <c r="H2006" i="12"/>
  <c r="H2039" i="12"/>
  <c r="H2072" i="12"/>
  <c r="H2105" i="12"/>
  <c r="H2138" i="12"/>
  <c r="H2170" i="12"/>
  <c r="H2202" i="12"/>
  <c r="H2234" i="12"/>
  <c r="H2266" i="12"/>
  <c r="H2298" i="12"/>
  <c r="H2330" i="12"/>
  <c r="H2359" i="12"/>
  <c r="H2382" i="12"/>
  <c r="H2404" i="12"/>
  <c r="H2425" i="12"/>
  <c r="H2448" i="12"/>
  <c r="H2470" i="12"/>
  <c r="H2491" i="12"/>
  <c r="H2513" i="12"/>
  <c r="H2534" i="12"/>
  <c r="H2555" i="12"/>
  <c r="H2577" i="12"/>
  <c r="H2599" i="12"/>
  <c r="H2621" i="12"/>
  <c r="H2643" i="12"/>
  <c r="H2665" i="12"/>
  <c r="H2687" i="12"/>
  <c r="H2709" i="12"/>
  <c r="H2731" i="12"/>
  <c r="H2752" i="12"/>
  <c r="H2775" i="12"/>
  <c r="H2797" i="12"/>
  <c r="H2819" i="12"/>
  <c r="H2841" i="12"/>
  <c r="H2863" i="12"/>
  <c r="H2884" i="12"/>
  <c r="H2907" i="12"/>
  <c r="H2929" i="12"/>
  <c r="H2950" i="12"/>
  <c r="H2961" i="12"/>
  <c r="H2969" i="12"/>
  <c r="H2977" i="12"/>
  <c r="H2985" i="12"/>
  <c r="H2993" i="12"/>
  <c r="H3002" i="12"/>
  <c r="H3010" i="12"/>
  <c r="H3018" i="12"/>
  <c r="H3026" i="12"/>
  <c r="H3035" i="12"/>
  <c r="H3043" i="12"/>
  <c r="H3051" i="12"/>
  <c r="H3059" i="12"/>
  <c r="H3067" i="12"/>
  <c r="H3076" i="12"/>
  <c r="H3084" i="12"/>
  <c r="H3092" i="12"/>
  <c r="H3101" i="12"/>
  <c r="H3109" i="12"/>
  <c r="G6" i="12"/>
  <c r="G15" i="12"/>
  <c r="G23" i="12"/>
  <c r="G31" i="12"/>
  <c r="G39" i="12"/>
  <c r="G47" i="12"/>
  <c r="G55" i="12"/>
  <c r="G64" i="12"/>
  <c r="G72" i="12"/>
  <c r="G80" i="12"/>
  <c r="G88" i="12"/>
  <c r="G96" i="12"/>
  <c r="G104" i="12"/>
  <c r="G112" i="12"/>
  <c r="G120" i="12"/>
  <c r="G128" i="12"/>
  <c r="G136" i="12"/>
  <c r="G145" i="12"/>
  <c r="G153" i="12"/>
  <c r="G161" i="12"/>
  <c r="G169" i="12"/>
  <c r="G177" i="12"/>
  <c r="G185" i="12"/>
  <c r="G193" i="12"/>
  <c r="G201" i="12"/>
  <c r="G209" i="12"/>
  <c r="G217" i="12"/>
  <c r="G225" i="12"/>
  <c r="G233" i="12"/>
  <c r="G241" i="12"/>
  <c r="G249" i="12"/>
  <c r="G257" i="12"/>
  <c r="G265" i="12"/>
  <c r="G273" i="12"/>
  <c r="G281" i="12"/>
  <c r="G289" i="12"/>
  <c r="G297" i="12"/>
  <c r="G305" i="12"/>
  <c r="G313" i="12"/>
  <c r="G321" i="12"/>
  <c r="G329" i="12"/>
  <c r="G337" i="12"/>
  <c r="G345" i="12"/>
  <c r="G353" i="12"/>
  <c r="G361" i="12"/>
  <c r="G369" i="12"/>
  <c r="G377" i="12"/>
  <c r="G385" i="12"/>
  <c r="G393" i="12"/>
  <c r="G401" i="12"/>
  <c r="G409" i="12"/>
  <c r="G417" i="12"/>
  <c r="G425" i="12"/>
  <c r="G433" i="12"/>
  <c r="G441" i="12"/>
  <c r="G449" i="12"/>
  <c r="G457" i="12"/>
  <c r="G465" i="12"/>
  <c r="G473" i="12"/>
  <c r="G481" i="12"/>
  <c r="G489" i="12"/>
  <c r="G497" i="12"/>
  <c r="G505" i="12"/>
  <c r="G513" i="12"/>
  <c r="G521" i="12"/>
  <c r="G530" i="12"/>
  <c r="G538" i="12"/>
  <c r="G546" i="12"/>
  <c r="G554" i="12"/>
  <c r="G562" i="12"/>
  <c r="G570" i="12"/>
  <c r="G578" i="12"/>
  <c r="G586" i="12"/>
  <c r="G594" i="12"/>
  <c r="G602" i="12"/>
  <c r="G610" i="12"/>
  <c r="G618" i="12"/>
  <c r="G626" i="12"/>
  <c r="G634" i="12"/>
  <c r="G642" i="12"/>
  <c r="G650" i="12"/>
  <c r="G659" i="12"/>
  <c r="G667" i="12"/>
  <c r="G675" i="12"/>
  <c r="G683" i="12"/>
  <c r="G691" i="12"/>
  <c r="G700" i="12"/>
  <c r="G709" i="12"/>
  <c r="G717" i="12"/>
  <c r="G726" i="12"/>
  <c r="G735" i="12"/>
  <c r="G744" i="12"/>
  <c r="G752" i="12"/>
  <c r="G760" i="12"/>
  <c r="G769" i="12"/>
  <c r="G778" i="12"/>
  <c r="G787" i="12"/>
  <c r="G796" i="12"/>
  <c r="G804" i="12"/>
  <c r="G812" i="12"/>
  <c r="G820" i="12"/>
  <c r="G828" i="12"/>
  <c r="G837" i="12"/>
  <c r="G845" i="12"/>
  <c r="G853" i="12"/>
  <c r="G861" i="12"/>
  <c r="G870" i="12"/>
  <c r="G878" i="12"/>
  <c r="G886" i="12"/>
  <c r="G894" i="12"/>
  <c r="G903" i="12"/>
  <c r="G911" i="12"/>
  <c r="G919" i="12"/>
  <c r="G927" i="12"/>
  <c r="G936" i="12"/>
  <c r="G944" i="12"/>
  <c r="G952" i="12"/>
  <c r="G960" i="12"/>
  <c r="G968" i="12"/>
  <c r="G977" i="12"/>
  <c r="G985" i="12"/>
  <c r="G993" i="12"/>
  <c r="G1001" i="12"/>
  <c r="G1010" i="12"/>
  <c r="G1018" i="12"/>
  <c r="G1026" i="12"/>
  <c r="G1034" i="12"/>
  <c r="G1043" i="12"/>
  <c r="G1051" i="12"/>
  <c r="G1059" i="12"/>
  <c r="G1067" i="12"/>
  <c r="G1076" i="12"/>
  <c r="G1085" i="12"/>
  <c r="G1093" i="12"/>
  <c r="G1101" i="12"/>
  <c r="G1109" i="12"/>
  <c r="G1117" i="12"/>
  <c r="G1126" i="12"/>
  <c r="G1134" i="12"/>
  <c r="G1142" i="12"/>
  <c r="G1150" i="12"/>
  <c r="G1159" i="12"/>
  <c r="G1167" i="12"/>
  <c r="G1175" i="12"/>
  <c r="G1184" i="12"/>
  <c r="G1192" i="12"/>
  <c r="G1200" i="12"/>
  <c r="G1209" i="12"/>
  <c r="G1217" i="12"/>
  <c r="G1225" i="12"/>
  <c r="G1233" i="12"/>
  <c r="G1241" i="12"/>
  <c r="G1249" i="12"/>
  <c r="G1258" i="12"/>
  <c r="G1266" i="12"/>
  <c r="G1274" i="12"/>
  <c r="G1283" i="12"/>
  <c r="G1291" i="12"/>
  <c r="G1299" i="12"/>
  <c r="G1307" i="12"/>
  <c r="G1315" i="12"/>
  <c r="G1324" i="12"/>
  <c r="G1332" i="12"/>
  <c r="G1340" i="12"/>
  <c r="G1348" i="12"/>
  <c r="G1357" i="12"/>
  <c r="G1365" i="12"/>
  <c r="G1373" i="12"/>
  <c r="G1381" i="12"/>
  <c r="G1389" i="12"/>
  <c r="G1398" i="12"/>
  <c r="G1406" i="12"/>
  <c r="G1414" i="12"/>
  <c r="G1423" i="12"/>
  <c r="G1431" i="12"/>
  <c r="G1439" i="12"/>
  <c r="G1447" i="12"/>
  <c r="G1455" i="12"/>
  <c r="G1464" i="12"/>
  <c r="G1472" i="12"/>
  <c r="G1480" i="12"/>
  <c r="G1488" i="12"/>
  <c r="G1497" i="12"/>
  <c r="G1505" i="12"/>
  <c r="G1513" i="12"/>
  <c r="G1521" i="12"/>
  <c r="G1529" i="12"/>
  <c r="G1537" i="12"/>
  <c r="G1545" i="12"/>
  <c r="G1553" i="12"/>
  <c r="G1562" i="12"/>
  <c r="G1570" i="12"/>
  <c r="G1578" i="12"/>
  <c r="G1586" i="12"/>
  <c r="G1594" i="12"/>
  <c r="G1603" i="12"/>
  <c r="G1611" i="12"/>
  <c r="G1619" i="12"/>
  <c r="G1627" i="12"/>
  <c r="G1636" i="12"/>
  <c r="G1644" i="12"/>
  <c r="G1652" i="12"/>
  <c r="G1660" i="12"/>
  <c r="G1669" i="12"/>
  <c r="G1677" i="12"/>
  <c r="G1685" i="12"/>
  <c r="G1693" i="12"/>
  <c r="G1702" i="12"/>
  <c r="G1710" i="12"/>
  <c r="G1718" i="12"/>
  <c r="G1726" i="12"/>
  <c r="G1734" i="12"/>
  <c r="G1742" i="12"/>
  <c r="G1750" i="12"/>
  <c r="G1758" i="12"/>
  <c r="G1766" i="12"/>
  <c r="G1775" i="12"/>
  <c r="G1783" i="12"/>
  <c r="G1791" i="12"/>
  <c r="G1799" i="12"/>
  <c r="G1807" i="12"/>
  <c r="G1816" i="12"/>
  <c r="G1824" i="12"/>
  <c r="G1832" i="12"/>
  <c r="G1840" i="12"/>
  <c r="G1848" i="12"/>
  <c r="G1856" i="12"/>
  <c r="G1864" i="12"/>
  <c r="G1872" i="12"/>
  <c r="G1881" i="12"/>
  <c r="G1889" i="12"/>
  <c r="G1897" i="12"/>
  <c r="G1905" i="12"/>
  <c r="G1914" i="12"/>
  <c r="G1922" i="12"/>
  <c r="G1930" i="12"/>
  <c r="G1938" i="12"/>
  <c r="G1946" i="12"/>
  <c r="G1955" i="12"/>
  <c r="G1963" i="12"/>
  <c r="G1971" i="12"/>
  <c r="G1979" i="12"/>
  <c r="G1987" i="12"/>
  <c r="G1995" i="12"/>
  <c r="G2003" i="12"/>
  <c r="G2011" i="12"/>
  <c r="G2020" i="12"/>
  <c r="G2028" i="12"/>
  <c r="G2036" i="12"/>
  <c r="G2044" i="12"/>
  <c r="I355" i="12"/>
  <c r="I1645" i="12"/>
  <c r="I1906" i="12"/>
  <c r="I2168" i="12"/>
  <c r="I2426" i="12"/>
  <c r="I2688" i="12"/>
  <c r="I2951" i="12"/>
  <c r="H102" i="12"/>
  <c r="H359" i="12"/>
  <c r="H616" i="12"/>
  <c r="H868" i="12"/>
  <c r="H934" i="12"/>
  <c r="H999" i="12"/>
  <c r="H1065" i="12"/>
  <c r="H1132" i="12"/>
  <c r="H1198" i="12"/>
  <c r="H1264" i="12"/>
  <c r="H1330" i="12"/>
  <c r="H1396" i="12"/>
  <c r="H1461" i="12"/>
  <c r="H1527" i="12"/>
  <c r="H1592" i="12"/>
  <c r="H1650" i="12"/>
  <c r="H1683" i="12"/>
  <c r="H1716" i="12"/>
  <c r="H1748" i="12"/>
  <c r="H1781" i="12"/>
  <c r="H1814" i="12"/>
  <c r="H1846" i="12"/>
  <c r="H1879" i="12"/>
  <c r="H1912" i="12"/>
  <c r="H1944" i="12"/>
  <c r="H1977" i="12"/>
  <c r="H2009" i="12"/>
  <c r="H2042" i="12"/>
  <c r="H2075" i="12"/>
  <c r="H2108" i="12"/>
  <c r="H2141" i="12"/>
  <c r="H2173" i="12"/>
  <c r="H2205" i="12"/>
  <c r="H2237" i="12"/>
  <c r="H2269" i="12"/>
  <c r="H2301" i="12"/>
  <c r="H2333" i="12"/>
  <c r="H2362" i="12"/>
  <c r="H2384" i="12"/>
  <c r="H2407" i="12"/>
  <c r="H2428" i="12"/>
  <c r="H2450" i="12"/>
  <c r="H2473" i="12"/>
  <c r="H2494" i="12"/>
  <c r="H2515" i="12"/>
  <c r="H2537" i="12"/>
  <c r="H2558" i="12"/>
  <c r="H2580" i="12"/>
  <c r="H2602" i="12"/>
  <c r="H2624" i="12"/>
  <c r="H2645" i="12"/>
  <c r="H2668" i="12"/>
  <c r="H2690" i="12"/>
  <c r="H2711" i="12"/>
  <c r="H2734" i="12"/>
  <c r="H2755" i="12"/>
  <c r="H2777" i="12"/>
  <c r="H2800" i="12"/>
  <c r="H2822" i="12"/>
  <c r="H2843" i="12"/>
  <c r="H2866" i="12"/>
  <c r="H2887" i="12"/>
  <c r="H2909" i="12"/>
  <c r="H2932" i="12"/>
  <c r="H2953" i="12"/>
  <c r="H2962" i="12"/>
  <c r="H2970" i="12"/>
  <c r="H2978" i="12"/>
  <c r="H2986" i="12"/>
  <c r="H2994" i="12"/>
  <c r="H3003" i="12"/>
  <c r="H3011" i="12"/>
  <c r="H3019" i="12"/>
  <c r="H3027" i="12"/>
  <c r="H3036" i="12"/>
  <c r="H3044" i="12"/>
  <c r="H3052" i="12"/>
  <c r="H3060" i="12"/>
  <c r="H3069" i="12"/>
  <c r="H3077" i="12"/>
  <c r="H3085" i="12"/>
  <c r="H3093" i="12"/>
  <c r="H3102" i="12"/>
  <c r="H3110" i="12"/>
  <c r="G7" i="12"/>
  <c r="G16" i="12"/>
  <c r="G24" i="12"/>
  <c r="G32" i="12"/>
  <c r="G40" i="12"/>
  <c r="G48" i="12"/>
  <c r="G56" i="12"/>
  <c r="G65" i="12"/>
  <c r="G73" i="12"/>
  <c r="G81" i="12"/>
  <c r="G89" i="12"/>
  <c r="G97" i="12"/>
  <c r="G105" i="12"/>
  <c r="G113" i="12"/>
  <c r="G121" i="12"/>
  <c r="G129" i="12"/>
  <c r="G137" i="12"/>
  <c r="G146" i="12"/>
  <c r="G154" i="12"/>
  <c r="G162" i="12"/>
  <c r="G170" i="12"/>
  <c r="G178" i="12"/>
  <c r="G186" i="12"/>
  <c r="G194" i="12"/>
  <c r="G202" i="12"/>
  <c r="G210" i="12"/>
  <c r="G218" i="12"/>
  <c r="G226" i="12"/>
  <c r="G234" i="12"/>
  <c r="G242" i="12"/>
  <c r="G250" i="12"/>
  <c r="G258" i="12"/>
  <c r="G266" i="12"/>
  <c r="G274" i="12"/>
  <c r="G282" i="12"/>
  <c r="G290" i="12"/>
  <c r="G298" i="12"/>
  <c r="G306" i="12"/>
  <c r="G314" i="12"/>
  <c r="G322" i="12"/>
  <c r="G330" i="12"/>
  <c r="G338" i="12"/>
  <c r="G346" i="12"/>
  <c r="G354" i="12"/>
  <c r="G362" i="12"/>
  <c r="G370" i="12"/>
  <c r="G378" i="12"/>
  <c r="G386" i="12"/>
  <c r="G394" i="12"/>
  <c r="G402" i="12"/>
  <c r="G410" i="12"/>
  <c r="G418" i="12"/>
  <c r="G426" i="12"/>
  <c r="G434" i="12"/>
  <c r="G442" i="12"/>
  <c r="G450" i="12"/>
  <c r="G458" i="12"/>
  <c r="G466" i="12"/>
  <c r="G474" i="12"/>
  <c r="G482" i="12"/>
  <c r="G490" i="12"/>
  <c r="G498" i="12"/>
  <c r="G506" i="12"/>
  <c r="G514" i="12"/>
  <c r="G522" i="12"/>
  <c r="G531" i="12"/>
  <c r="G539" i="12"/>
  <c r="G547" i="12"/>
  <c r="G555" i="12"/>
  <c r="G563" i="12"/>
  <c r="G571" i="12"/>
  <c r="G579" i="12"/>
  <c r="G587" i="12"/>
  <c r="G595" i="12"/>
  <c r="G603" i="12"/>
  <c r="G611" i="12"/>
  <c r="G619" i="12"/>
  <c r="G627" i="12"/>
  <c r="G635" i="12"/>
  <c r="G643" i="12"/>
  <c r="G651" i="12"/>
  <c r="G660" i="12"/>
  <c r="G668" i="12"/>
  <c r="G676" i="12"/>
  <c r="G684" i="12"/>
  <c r="G693" i="12"/>
  <c r="G701" i="12"/>
  <c r="G710" i="12"/>
  <c r="G718" i="12"/>
  <c r="G727" i="12"/>
  <c r="G736" i="12"/>
  <c r="G745" i="12"/>
  <c r="G753" i="12"/>
  <c r="G761" i="12"/>
  <c r="G770" i="12"/>
  <c r="G779" i="12"/>
  <c r="G788" i="12"/>
  <c r="G797" i="12"/>
  <c r="G805" i="12"/>
  <c r="G813" i="12"/>
  <c r="G821" i="12"/>
  <c r="G829" i="12"/>
  <c r="G838" i="12"/>
  <c r="G846" i="12"/>
  <c r="G854" i="12"/>
  <c r="G863" i="12"/>
  <c r="G871" i="12"/>
  <c r="G879" i="12"/>
  <c r="G887" i="12"/>
  <c r="G895" i="12"/>
  <c r="G904" i="12"/>
  <c r="G912" i="12"/>
  <c r="G920" i="12"/>
  <c r="G928" i="12"/>
  <c r="G937" i="12"/>
  <c r="G945" i="12"/>
  <c r="G953" i="12"/>
  <c r="G961" i="12"/>
  <c r="G969" i="12"/>
  <c r="G978" i="12"/>
  <c r="G986" i="12"/>
  <c r="G994" i="12"/>
  <c r="G1003" i="12"/>
  <c r="G1011" i="12"/>
  <c r="G1019" i="12"/>
  <c r="G1027" i="12"/>
  <c r="G1035" i="12"/>
  <c r="G1044" i="12"/>
  <c r="G1052" i="12"/>
  <c r="G1060" i="12"/>
  <c r="G1068" i="12"/>
  <c r="G1077" i="12"/>
  <c r="G1086" i="12"/>
  <c r="G1094" i="12"/>
  <c r="G1102" i="12"/>
  <c r="G1110" i="12"/>
  <c r="G1118" i="12"/>
  <c r="G1127" i="12"/>
  <c r="G1135" i="12"/>
  <c r="G1143" i="12"/>
  <c r="G1151" i="12"/>
  <c r="G1160" i="12"/>
  <c r="G1168" i="12"/>
  <c r="G1176" i="12"/>
  <c r="G1185" i="12"/>
  <c r="G1193" i="12"/>
  <c r="G1201" i="12"/>
  <c r="G1210" i="12"/>
  <c r="G1218" i="12"/>
  <c r="G1226" i="12"/>
  <c r="G1234" i="12"/>
  <c r="G1242" i="12"/>
  <c r="G1250" i="12"/>
  <c r="G1259" i="12"/>
  <c r="G1267" i="12"/>
  <c r="G1275" i="12"/>
  <c r="G1284" i="12"/>
  <c r="G1292" i="12"/>
  <c r="G1300" i="12"/>
  <c r="G1308" i="12"/>
  <c r="G1316" i="12"/>
  <c r="G1325" i="12"/>
  <c r="G1333" i="12"/>
  <c r="G1341" i="12"/>
  <c r="G1349" i="12"/>
  <c r="G1358" i="12"/>
  <c r="G1366" i="12"/>
  <c r="G1374" i="12"/>
  <c r="G1382" i="12"/>
  <c r="G1390" i="12"/>
  <c r="G1399" i="12"/>
  <c r="G1407" i="12"/>
  <c r="G1415" i="12"/>
  <c r="G1424" i="12"/>
  <c r="G1432" i="12"/>
  <c r="G1440" i="12"/>
  <c r="G1448" i="12"/>
  <c r="G1456" i="12"/>
  <c r="G1465" i="12"/>
  <c r="G1473" i="12"/>
  <c r="G1481" i="12"/>
  <c r="G1489" i="12"/>
  <c r="G1498" i="12"/>
  <c r="G1506" i="12"/>
  <c r="G1514" i="12"/>
  <c r="G1522" i="12"/>
  <c r="G1530" i="12"/>
  <c r="G1538" i="12"/>
  <c r="G1546" i="12"/>
  <c r="G1554" i="12"/>
  <c r="G1563" i="12"/>
  <c r="G1571" i="12"/>
  <c r="G1579" i="12"/>
  <c r="G1587" i="12"/>
  <c r="G1595" i="12"/>
  <c r="G1604" i="12"/>
  <c r="G1612" i="12"/>
  <c r="G1620" i="12"/>
  <c r="G1629" i="12"/>
  <c r="G1637" i="12"/>
  <c r="G1645" i="12"/>
  <c r="G1653" i="12"/>
  <c r="G1661" i="12"/>
  <c r="G1670" i="12"/>
  <c r="G1678" i="12"/>
  <c r="G1686" i="12"/>
  <c r="G1694" i="12"/>
  <c r="G1703" i="12"/>
  <c r="G1711" i="12"/>
  <c r="G1719" i="12"/>
  <c r="G1727" i="12"/>
  <c r="G1735" i="12"/>
  <c r="G1743" i="12"/>
  <c r="G1751" i="12"/>
  <c r="G1759" i="12"/>
  <c r="G1767" i="12"/>
  <c r="G1776" i="12"/>
  <c r="G1784" i="12"/>
  <c r="G1792" i="12"/>
  <c r="G1800" i="12"/>
  <c r="G1809" i="12"/>
  <c r="G1817" i="12"/>
  <c r="G1825" i="12"/>
  <c r="G1833" i="12"/>
  <c r="G1841" i="12"/>
  <c r="G1849" i="12"/>
  <c r="G1857" i="12"/>
  <c r="G1865" i="12"/>
  <c r="G1873" i="12"/>
  <c r="G1882" i="12"/>
  <c r="G1890" i="12"/>
  <c r="G1898" i="12"/>
  <c r="G1906" i="12"/>
  <c r="G1915" i="12"/>
  <c r="G1923" i="12"/>
  <c r="G1931" i="12"/>
  <c r="G1939" i="12"/>
  <c r="G1947" i="12"/>
  <c r="G1956" i="12"/>
  <c r="G1964" i="12"/>
  <c r="G1972" i="12"/>
  <c r="G1980" i="12"/>
  <c r="G1988" i="12"/>
  <c r="G1996" i="12"/>
  <c r="G2004" i="12"/>
  <c r="G2012" i="12"/>
  <c r="G2021" i="12"/>
  <c r="G2029" i="12"/>
  <c r="G2037" i="12"/>
  <c r="G2045" i="12"/>
  <c r="I611" i="12"/>
  <c r="I1678" i="12"/>
  <c r="I1939" i="12"/>
  <c r="I2200" i="12"/>
  <c r="I2459" i="12"/>
  <c r="I2720" i="12"/>
  <c r="I2983" i="12"/>
  <c r="H134" i="12"/>
  <c r="H391" i="12"/>
  <c r="H648" i="12"/>
  <c r="H876" i="12"/>
  <c r="H942" i="12"/>
  <c r="H1008" i="12"/>
  <c r="H1074" i="12"/>
  <c r="H1140" i="12"/>
  <c r="H1206" i="12"/>
  <c r="H1272" i="12"/>
  <c r="H1338" i="12"/>
  <c r="H1404" i="12"/>
  <c r="H1470" i="12"/>
  <c r="H1535" i="12"/>
  <c r="H1601" i="12"/>
  <c r="H1655" i="12"/>
  <c r="H1688" i="12"/>
  <c r="H1721" i="12"/>
  <c r="H1753" i="12"/>
  <c r="H1786" i="12"/>
  <c r="H1819" i="12"/>
  <c r="H1851" i="12"/>
  <c r="H1884" i="12"/>
  <c r="H1917" i="12"/>
  <c r="H1950" i="12"/>
  <c r="H1982" i="12"/>
  <c r="H2014" i="12"/>
  <c r="H2047" i="12"/>
  <c r="H2080" i="12"/>
  <c r="H2113" i="12"/>
  <c r="H2146" i="12"/>
  <c r="H2178" i="12"/>
  <c r="H2210" i="12"/>
  <c r="H2242" i="12"/>
  <c r="H2274" i="12"/>
  <c r="H2306" i="12"/>
  <c r="H2338" i="12"/>
  <c r="H2365" i="12"/>
  <c r="H2387" i="12"/>
  <c r="H2409" i="12"/>
  <c r="H2431" i="12"/>
  <c r="H2453" i="12"/>
  <c r="H2475" i="12"/>
  <c r="H2497" i="12"/>
  <c r="H2518" i="12"/>
  <c r="H2539" i="12"/>
  <c r="H2561" i="12"/>
  <c r="H2583" i="12"/>
  <c r="H2604" i="12"/>
  <c r="H2627" i="12"/>
  <c r="H2649" i="12"/>
  <c r="H2670" i="12"/>
  <c r="H2693" i="12"/>
  <c r="H2714" i="12"/>
  <c r="H2736" i="12"/>
  <c r="H2759" i="12"/>
  <c r="H2780" i="12"/>
  <c r="H2802" i="12"/>
  <c r="H2825" i="12"/>
  <c r="H2846" i="12"/>
  <c r="H2868" i="12"/>
  <c r="H2891" i="12"/>
  <c r="H2912" i="12"/>
  <c r="H2934" i="12"/>
  <c r="H2955" i="12"/>
  <c r="H2963" i="12"/>
  <c r="H2971" i="12"/>
  <c r="H2979" i="12"/>
  <c r="H2987" i="12"/>
  <c r="H2995" i="12"/>
  <c r="H3004" i="12"/>
  <c r="H3012" i="12"/>
  <c r="H3020" i="12"/>
  <c r="H3029" i="12"/>
  <c r="H3037" i="12"/>
  <c r="H3045" i="12"/>
  <c r="H3053" i="12"/>
  <c r="H3061" i="12"/>
  <c r="H3070" i="12"/>
  <c r="H3078" i="12"/>
  <c r="H3086" i="12"/>
  <c r="H3094" i="12"/>
  <c r="H3103" i="12"/>
  <c r="H3111" i="12"/>
  <c r="G9" i="12"/>
  <c r="G17" i="12"/>
  <c r="G25" i="12"/>
  <c r="G33" i="12"/>
  <c r="G41" i="12"/>
  <c r="G49" i="12"/>
  <c r="G57" i="12"/>
  <c r="G66" i="12"/>
  <c r="G74" i="12"/>
  <c r="G82" i="12"/>
  <c r="G90" i="12"/>
  <c r="G98" i="12"/>
  <c r="G106" i="12"/>
  <c r="G114" i="12"/>
  <c r="G122" i="12"/>
  <c r="G130" i="12"/>
  <c r="G139" i="12"/>
  <c r="G147" i="12"/>
  <c r="G155" i="12"/>
  <c r="G163" i="12"/>
  <c r="G171" i="12"/>
  <c r="G179" i="12"/>
  <c r="G187" i="12"/>
  <c r="G195" i="12"/>
  <c r="G203" i="12"/>
  <c r="G211" i="12"/>
  <c r="G219" i="12"/>
  <c r="G227" i="12"/>
  <c r="G235" i="12"/>
  <c r="G243" i="12"/>
  <c r="G251" i="12"/>
  <c r="G259" i="12"/>
  <c r="G267" i="12"/>
  <c r="G275" i="12"/>
  <c r="G283" i="12"/>
  <c r="G291" i="12"/>
  <c r="G299" i="12"/>
  <c r="G307" i="12"/>
  <c r="G315" i="12"/>
  <c r="G323" i="12"/>
  <c r="G331" i="12"/>
  <c r="G339" i="12"/>
  <c r="G347" i="12"/>
  <c r="G355" i="12"/>
  <c r="G363" i="12"/>
  <c r="G371" i="12"/>
  <c r="G379" i="12"/>
  <c r="G387" i="12"/>
  <c r="G395" i="12"/>
  <c r="G403" i="12"/>
  <c r="G411" i="12"/>
  <c r="G419" i="12"/>
  <c r="G427" i="12"/>
  <c r="G435" i="12"/>
  <c r="G443" i="12"/>
  <c r="G451" i="12"/>
  <c r="G459" i="12"/>
  <c r="G467" i="12"/>
  <c r="G475" i="12"/>
  <c r="G483" i="12"/>
  <c r="G491" i="12"/>
  <c r="G499" i="12"/>
  <c r="G507" i="12"/>
  <c r="G515" i="12"/>
  <c r="G524" i="12"/>
  <c r="G532" i="12"/>
  <c r="G540" i="12"/>
  <c r="G548" i="12"/>
  <c r="G556" i="12"/>
  <c r="G564" i="12"/>
  <c r="G572" i="12"/>
  <c r="G580" i="12"/>
  <c r="G588" i="12"/>
  <c r="G596" i="12"/>
  <c r="G604" i="12"/>
  <c r="G612" i="12"/>
  <c r="G620" i="12"/>
  <c r="G628" i="12"/>
  <c r="G636" i="12"/>
  <c r="G644" i="12"/>
  <c r="G653" i="12"/>
  <c r="G661" i="12"/>
  <c r="G669" i="12"/>
  <c r="G677" i="12"/>
  <c r="G685" i="12"/>
  <c r="G694" i="12"/>
  <c r="G702" i="12"/>
  <c r="G711" i="12"/>
  <c r="G719" i="12"/>
  <c r="G728" i="12"/>
  <c r="G737" i="12"/>
  <c r="G746" i="12"/>
  <c r="G754" i="12"/>
  <c r="G763" i="12"/>
  <c r="G771" i="12"/>
  <c r="G780" i="12"/>
  <c r="G789" i="12"/>
  <c r="G798" i="12"/>
  <c r="G806" i="12"/>
  <c r="G814" i="12"/>
  <c r="G822" i="12"/>
  <c r="G830" i="12"/>
  <c r="G839" i="12"/>
  <c r="G847" i="12"/>
  <c r="G855" i="12"/>
  <c r="G864" i="12"/>
  <c r="G872" i="12"/>
  <c r="G880" i="12"/>
  <c r="G888" i="12"/>
  <c r="G896" i="12"/>
  <c r="G905" i="12"/>
  <c r="G913" i="12"/>
  <c r="G921" i="12"/>
  <c r="G929" i="12"/>
  <c r="G938" i="12"/>
  <c r="G946" i="12"/>
  <c r="G954" i="12"/>
  <c r="G962" i="12"/>
  <c r="G970" i="12"/>
  <c r="G979" i="12"/>
  <c r="G987" i="12"/>
  <c r="G995" i="12"/>
  <c r="G1004" i="12"/>
  <c r="G1012" i="12"/>
  <c r="G1020" i="12"/>
  <c r="G1028" i="12"/>
  <c r="G1036" i="12"/>
  <c r="G1045" i="12"/>
  <c r="G1053" i="12"/>
  <c r="G1061" i="12"/>
  <c r="G1069" i="12"/>
  <c r="G1078" i="12"/>
  <c r="G1087" i="12"/>
  <c r="G1095" i="12"/>
  <c r="G1103" i="12"/>
  <c r="G1111" i="12"/>
  <c r="G1119" i="12"/>
  <c r="G1128" i="12"/>
  <c r="G1136" i="12"/>
  <c r="G1144" i="12"/>
  <c r="G1153" i="12"/>
  <c r="G1161" i="12"/>
  <c r="G1169" i="12"/>
  <c r="G1177" i="12"/>
  <c r="G1186" i="12"/>
  <c r="G1194" i="12"/>
  <c r="G1202" i="12"/>
  <c r="G1211" i="12"/>
  <c r="G1219" i="12"/>
  <c r="G1227" i="12"/>
  <c r="G1235" i="12"/>
  <c r="G1243" i="12"/>
  <c r="G1251" i="12"/>
  <c r="G1260" i="12"/>
  <c r="G1268" i="12"/>
  <c r="G1276" i="12"/>
  <c r="G1285" i="12"/>
  <c r="G1293" i="12"/>
  <c r="G1301" i="12"/>
  <c r="G1309" i="12"/>
  <c r="G1317" i="12"/>
  <c r="G1326" i="12"/>
  <c r="G1334" i="12"/>
  <c r="G1342" i="12"/>
  <c r="G1350" i="12"/>
  <c r="G1359" i="12"/>
  <c r="G1367" i="12"/>
  <c r="G1375" i="12"/>
  <c r="G1383" i="12"/>
  <c r="G1391" i="12"/>
  <c r="G1400" i="12"/>
  <c r="G1408" i="12"/>
  <c r="G1416" i="12"/>
  <c r="G1425" i="12"/>
  <c r="G1433" i="12"/>
  <c r="G1441" i="12"/>
  <c r="G1449" i="12"/>
  <c r="G1457" i="12"/>
  <c r="G1466" i="12"/>
  <c r="G1474" i="12"/>
  <c r="G1482" i="12"/>
  <c r="G1490" i="12"/>
  <c r="G1499" i="12"/>
  <c r="G1507" i="12"/>
  <c r="G1515" i="12"/>
  <c r="G1523" i="12"/>
  <c r="G1531" i="12"/>
  <c r="G1539" i="12"/>
  <c r="G1547" i="12"/>
  <c r="G1555" i="12"/>
  <c r="G1564" i="12"/>
  <c r="G1572" i="12"/>
  <c r="G1580" i="12"/>
  <c r="G1588" i="12"/>
  <c r="G1596" i="12"/>
  <c r="G1605" i="12"/>
  <c r="G1613" i="12"/>
  <c r="G1621" i="12"/>
  <c r="G1630" i="12"/>
  <c r="G1638" i="12"/>
  <c r="G1646" i="12"/>
  <c r="G1654" i="12"/>
  <c r="G1662" i="12"/>
  <c r="G1671" i="12"/>
  <c r="G1679" i="12"/>
  <c r="G1687" i="12"/>
  <c r="G1695" i="12"/>
  <c r="G1704" i="12"/>
  <c r="G1712" i="12"/>
  <c r="G1720" i="12"/>
  <c r="G1728" i="12"/>
  <c r="G1736" i="12"/>
  <c r="G1744" i="12"/>
  <c r="G1752" i="12"/>
  <c r="G1760" i="12"/>
  <c r="G1769" i="12"/>
  <c r="G1777" i="12"/>
  <c r="G1785" i="12"/>
  <c r="G1793" i="12"/>
  <c r="G1801" i="12"/>
  <c r="G1810" i="12"/>
  <c r="G1818" i="12"/>
  <c r="G1826" i="12"/>
  <c r="G1834" i="12"/>
  <c r="G1842" i="12"/>
  <c r="G1850" i="12"/>
  <c r="G1858" i="12"/>
  <c r="G1866" i="12"/>
  <c r="G1874" i="12"/>
  <c r="G1883" i="12"/>
  <c r="G1891" i="12"/>
  <c r="G1899" i="12"/>
  <c r="G1907" i="12"/>
  <c r="G1916" i="12"/>
  <c r="G1924" i="12"/>
  <c r="G1932" i="12"/>
  <c r="G1940" i="12"/>
  <c r="G1949" i="12"/>
  <c r="G1957" i="12"/>
  <c r="G1965" i="12"/>
  <c r="G1973" i="12"/>
  <c r="G1981" i="12"/>
  <c r="G1989" i="12"/>
  <c r="G1997" i="12"/>
  <c r="G2005" i="12"/>
  <c r="G2013" i="12"/>
  <c r="G2022" i="12"/>
  <c r="G2030" i="12"/>
  <c r="G2038" i="12"/>
  <c r="G2046" i="12"/>
  <c r="I867" i="12"/>
  <c r="I1711" i="12"/>
  <c r="I1972" i="12"/>
  <c r="I2232" i="12"/>
  <c r="I2492" i="12"/>
  <c r="I2753" i="12"/>
  <c r="I3016" i="12"/>
  <c r="H167" i="12"/>
  <c r="H423" i="12"/>
  <c r="H681" i="12"/>
  <c r="H884" i="12"/>
  <c r="H950" i="12"/>
  <c r="H1016" i="12"/>
  <c r="H1082" i="12"/>
  <c r="H1148" i="12"/>
  <c r="H1215" i="12"/>
  <c r="H1280" i="12"/>
  <c r="H1346" i="12"/>
  <c r="H1412" i="12"/>
  <c r="H1478" i="12"/>
  <c r="H1543" i="12"/>
  <c r="H1609" i="12"/>
  <c r="H1658" i="12"/>
  <c r="H1691" i="12"/>
  <c r="H1724" i="12"/>
  <c r="H1756" i="12"/>
  <c r="H1789" i="12"/>
  <c r="H1822" i="12"/>
  <c r="H1854" i="12"/>
  <c r="H1887" i="12"/>
  <c r="H1920" i="12"/>
  <c r="H1953" i="12"/>
  <c r="H1985" i="12"/>
  <c r="H2017" i="12"/>
  <c r="H2051" i="12"/>
  <c r="H2083" i="12"/>
  <c r="H2116" i="12"/>
  <c r="H2149" i="12"/>
  <c r="H2181" i="12"/>
  <c r="H2213" i="12"/>
  <c r="H2245" i="12"/>
  <c r="H2277" i="12"/>
  <c r="H2309" i="12"/>
  <c r="H2341" i="12"/>
  <c r="H2367" i="12"/>
  <c r="H2390" i="12"/>
  <c r="H2412" i="12"/>
  <c r="H2433" i="12"/>
  <c r="H2456" i="12"/>
  <c r="H2478" i="12"/>
  <c r="H2499" i="12"/>
  <c r="H2521" i="12"/>
  <c r="H2542" i="12"/>
  <c r="H2563" i="12"/>
  <c r="H2586" i="12"/>
  <c r="H2607" i="12"/>
  <c r="H2629" i="12"/>
  <c r="H2652" i="12"/>
  <c r="H2673" i="12"/>
  <c r="H2695" i="12"/>
  <c r="H2717" i="12"/>
  <c r="H2739" i="12"/>
  <c r="H2761" i="12"/>
  <c r="H2783" i="12"/>
  <c r="H2805" i="12"/>
  <c r="H2827" i="12"/>
  <c r="H2849" i="12"/>
  <c r="H2871" i="12"/>
  <c r="H2893" i="12"/>
  <c r="H2915" i="12"/>
  <c r="H2937" i="12"/>
  <c r="H2956" i="12"/>
  <c r="H2964" i="12"/>
  <c r="H2972" i="12"/>
  <c r="H2980" i="12"/>
  <c r="H2988" i="12"/>
  <c r="H2996" i="12"/>
  <c r="H3005" i="12"/>
  <c r="H3013" i="12"/>
  <c r="H3021" i="12"/>
  <c r="H3030" i="12"/>
  <c r="H3038" i="12"/>
  <c r="H3046" i="12"/>
  <c r="H3054" i="12"/>
  <c r="H3062" i="12"/>
  <c r="H3071" i="12"/>
  <c r="H3079" i="12"/>
  <c r="H3087" i="12"/>
  <c r="H3095" i="12"/>
  <c r="H3104" i="12"/>
  <c r="H3112" i="12"/>
  <c r="G10" i="12"/>
  <c r="G18" i="12"/>
  <c r="G26" i="12"/>
  <c r="G34" i="12"/>
  <c r="G42" i="12"/>
  <c r="G50" i="12"/>
  <c r="G58" i="12"/>
  <c r="G67" i="12"/>
  <c r="G75" i="12"/>
  <c r="G83" i="12"/>
  <c r="G91" i="12"/>
  <c r="G99" i="12"/>
  <c r="G107" i="12"/>
  <c r="G115" i="12"/>
  <c r="G123" i="12"/>
  <c r="G131" i="12"/>
  <c r="G140" i="12"/>
  <c r="G148" i="12"/>
  <c r="G156" i="12"/>
  <c r="G164" i="12"/>
  <c r="G172" i="12"/>
  <c r="G180" i="12"/>
  <c r="G188" i="12"/>
  <c r="G196" i="12"/>
  <c r="G204" i="12"/>
  <c r="G212" i="12"/>
  <c r="G220" i="12"/>
  <c r="G228" i="12"/>
  <c r="G236" i="12"/>
  <c r="G244" i="12"/>
  <c r="G252" i="12"/>
  <c r="G260" i="12"/>
  <c r="G268" i="12"/>
  <c r="G276" i="12"/>
  <c r="G284" i="12"/>
  <c r="G292" i="12"/>
  <c r="G300" i="12"/>
  <c r="G308" i="12"/>
  <c r="G316" i="12"/>
  <c r="G324" i="12"/>
  <c r="G332" i="12"/>
  <c r="G340" i="12"/>
  <c r="G348" i="12"/>
  <c r="G356" i="12"/>
  <c r="G364" i="12"/>
  <c r="G372" i="12"/>
  <c r="G380" i="12"/>
  <c r="G388" i="12"/>
  <c r="G396" i="12"/>
  <c r="G404" i="12"/>
  <c r="G412" i="12"/>
  <c r="G420" i="12"/>
  <c r="G428" i="12"/>
  <c r="G436" i="12"/>
  <c r="G444" i="12"/>
  <c r="G452" i="12"/>
  <c r="G460" i="12"/>
  <c r="G468" i="12"/>
  <c r="G476" i="12"/>
  <c r="G484" i="12"/>
  <c r="G492" i="12"/>
  <c r="G500" i="12"/>
  <c r="G508" i="12"/>
  <c r="G516" i="12"/>
  <c r="G525" i="12"/>
  <c r="G533" i="12"/>
  <c r="G541" i="12"/>
  <c r="G549" i="12"/>
  <c r="G557" i="12"/>
  <c r="G565" i="12"/>
  <c r="G573" i="12"/>
  <c r="G581" i="12"/>
  <c r="G589" i="12"/>
  <c r="G597" i="12"/>
  <c r="G605" i="12"/>
  <c r="G613" i="12"/>
  <c r="G621" i="12"/>
  <c r="G629" i="12"/>
  <c r="G637" i="12"/>
  <c r="G645" i="12"/>
  <c r="G654" i="12"/>
  <c r="G662" i="12"/>
  <c r="G670" i="12"/>
  <c r="G678" i="12"/>
  <c r="G686" i="12"/>
  <c r="G695" i="12"/>
  <c r="G703" i="12"/>
  <c r="G712" i="12"/>
  <c r="G720" i="12"/>
  <c r="G729" i="12"/>
  <c r="G738" i="12"/>
  <c r="G747" i="12"/>
  <c r="G755" i="12"/>
  <c r="G764" i="12"/>
  <c r="G773" i="12"/>
  <c r="G781" i="12"/>
  <c r="G790" i="12"/>
  <c r="G799" i="12"/>
  <c r="G807" i="12"/>
  <c r="G815" i="12"/>
  <c r="G823" i="12"/>
  <c r="G831" i="12"/>
  <c r="G840" i="12"/>
  <c r="G848" i="12"/>
  <c r="G856" i="12"/>
  <c r="G865" i="12"/>
  <c r="G873" i="12"/>
  <c r="G881" i="12"/>
  <c r="G889" i="12"/>
  <c r="G897" i="12"/>
  <c r="G906" i="12"/>
  <c r="G914" i="12"/>
  <c r="G922" i="12"/>
  <c r="G930" i="12"/>
  <c r="G939" i="12"/>
  <c r="G947" i="12"/>
  <c r="G955" i="12"/>
  <c r="G963" i="12"/>
  <c r="G971" i="12"/>
  <c r="G980" i="12"/>
  <c r="G988" i="12"/>
  <c r="G996" i="12"/>
  <c r="G1005" i="12"/>
  <c r="G1013" i="12"/>
  <c r="G1021" i="12"/>
  <c r="G1029" i="12"/>
  <c r="G1037" i="12"/>
  <c r="G1046" i="12"/>
  <c r="G1054" i="12"/>
  <c r="G1062" i="12"/>
  <c r="G1070" i="12"/>
  <c r="G1079" i="12"/>
  <c r="G1088" i="12"/>
  <c r="G1096" i="12"/>
  <c r="G1104" i="12"/>
  <c r="G1112" i="12"/>
  <c r="G1120" i="12"/>
  <c r="G1129" i="12"/>
  <c r="G1137" i="12"/>
  <c r="G1145" i="12"/>
  <c r="G1154" i="12"/>
  <c r="G1162" i="12"/>
  <c r="G1170" i="12"/>
  <c r="G1178" i="12"/>
  <c r="G1187" i="12"/>
  <c r="G1195" i="12"/>
  <c r="G1203" i="12"/>
  <c r="G1212" i="12"/>
  <c r="G1220" i="12"/>
  <c r="G1228" i="12"/>
  <c r="G1236" i="12"/>
  <c r="G1244" i="12"/>
  <c r="G1253" i="12"/>
  <c r="G1261" i="12"/>
  <c r="G1269" i="12"/>
  <c r="G1277" i="12"/>
  <c r="G1286" i="12"/>
  <c r="G1294" i="12"/>
  <c r="G1302" i="12"/>
  <c r="G1310" i="12"/>
  <c r="G1318" i="12"/>
  <c r="G1327" i="12"/>
  <c r="G1335" i="12"/>
  <c r="G1343" i="12"/>
  <c r="G1351" i="12"/>
  <c r="G1360" i="12"/>
  <c r="G1368" i="12"/>
  <c r="G1376" i="12"/>
  <c r="G1384" i="12"/>
  <c r="G1393" i="12"/>
  <c r="G1401" i="12"/>
  <c r="G1409" i="12"/>
  <c r="G1417" i="12"/>
  <c r="G1426" i="12"/>
  <c r="G1434" i="12"/>
  <c r="G1442" i="12"/>
  <c r="G1450" i="12"/>
  <c r="G1458" i="12"/>
  <c r="G1467" i="12"/>
  <c r="G1475" i="12"/>
  <c r="G1483" i="12"/>
  <c r="G1492" i="12"/>
  <c r="G1500" i="12"/>
  <c r="G1508" i="12"/>
  <c r="G1516" i="12"/>
  <c r="G1524" i="12"/>
  <c r="G1532" i="12"/>
  <c r="G1540" i="12"/>
  <c r="G1548" i="12"/>
  <c r="G1556" i="12"/>
  <c r="G1565" i="12"/>
  <c r="G1573" i="12"/>
  <c r="G1581" i="12"/>
  <c r="G1589" i="12"/>
  <c r="G1597" i="12"/>
  <c r="G1606" i="12"/>
  <c r="G1614" i="12"/>
  <c r="G1622" i="12"/>
  <c r="G1631" i="12"/>
  <c r="G1639" i="12"/>
  <c r="G1647" i="12"/>
  <c r="G1655" i="12"/>
  <c r="G1663" i="12"/>
  <c r="G1672" i="12"/>
  <c r="G1680" i="12"/>
  <c r="G1688" i="12"/>
  <c r="G1696" i="12"/>
  <c r="G1705" i="12"/>
  <c r="G1713" i="12"/>
  <c r="G1721" i="12"/>
  <c r="G1729" i="12"/>
  <c r="G1737" i="12"/>
  <c r="G1745" i="12"/>
  <c r="G1753" i="12"/>
  <c r="G1761" i="12"/>
  <c r="G1770" i="12"/>
  <c r="G1778" i="12"/>
  <c r="G1786" i="12"/>
  <c r="G1794" i="12"/>
  <c r="G1802" i="12"/>
  <c r="G1811" i="12"/>
  <c r="G1819" i="12"/>
  <c r="G1827" i="12"/>
  <c r="G1835" i="12"/>
  <c r="G1843" i="12"/>
  <c r="G1851" i="12"/>
  <c r="G1859" i="12"/>
  <c r="G1867" i="12"/>
  <c r="G1875" i="12"/>
  <c r="G1884" i="12"/>
  <c r="G1892" i="12"/>
  <c r="G1900" i="12"/>
  <c r="G1909" i="12"/>
  <c r="G1917" i="12"/>
  <c r="G1925" i="12"/>
  <c r="G1933" i="12"/>
  <c r="G1941" i="12"/>
  <c r="G1950" i="12"/>
  <c r="G1958" i="12"/>
  <c r="G1966" i="12"/>
  <c r="G1974" i="12"/>
  <c r="G1982" i="12"/>
  <c r="G1990" i="12"/>
  <c r="I1123" i="12"/>
  <c r="H455" i="12"/>
  <c r="H1289" i="12"/>
  <c r="H1729" i="12"/>
  <c r="H1990" i="12"/>
  <c r="H2250" i="12"/>
  <c r="H2458" i="12"/>
  <c r="H2632" i="12"/>
  <c r="H2808" i="12"/>
  <c r="H2965" i="12"/>
  <c r="H3031" i="12"/>
  <c r="H3096" i="12"/>
  <c r="G51" i="12"/>
  <c r="G116" i="12"/>
  <c r="G181" i="12"/>
  <c r="G245" i="12"/>
  <c r="G309" i="12"/>
  <c r="G373" i="12"/>
  <c r="G437" i="12"/>
  <c r="G501" i="12"/>
  <c r="G566" i="12"/>
  <c r="G630" i="12"/>
  <c r="G696" i="12"/>
  <c r="G765" i="12"/>
  <c r="G832" i="12"/>
  <c r="G898" i="12"/>
  <c r="G964" i="12"/>
  <c r="G1030" i="12"/>
  <c r="G1097" i="12"/>
  <c r="G1163" i="12"/>
  <c r="G1229" i="12"/>
  <c r="G1295" i="12"/>
  <c r="G1361" i="12"/>
  <c r="G1427" i="12"/>
  <c r="G1493" i="12"/>
  <c r="G1557" i="12"/>
  <c r="G1623" i="12"/>
  <c r="G1689" i="12"/>
  <c r="G1754" i="12"/>
  <c r="G1820" i="12"/>
  <c r="G1885" i="12"/>
  <c r="G1951" i="12"/>
  <c r="G2006" i="12"/>
  <c r="G2039" i="12"/>
  <c r="G2055" i="12"/>
  <c r="G2063" i="12"/>
  <c r="G2071" i="12"/>
  <c r="G2079" i="12"/>
  <c r="G2087" i="12"/>
  <c r="G2096" i="12"/>
  <c r="G2104" i="12"/>
  <c r="G2112" i="12"/>
  <c r="G2121" i="12"/>
  <c r="G2129" i="12"/>
  <c r="G2137" i="12"/>
  <c r="G2145" i="12"/>
  <c r="G2153" i="12"/>
  <c r="G2161" i="12"/>
  <c r="G2169" i="12"/>
  <c r="G2177" i="12"/>
  <c r="G2185" i="12"/>
  <c r="G2193" i="12"/>
  <c r="G2201" i="12"/>
  <c r="G2209" i="12"/>
  <c r="G2217" i="12"/>
  <c r="G2225" i="12"/>
  <c r="G2233" i="12"/>
  <c r="G2241" i="12"/>
  <c r="G2249" i="12"/>
  <c r="G2257" i="12"/>
  <c r="G2265" i="12"/>
  <c r="G2273" i="12"/>
  <c r="G2281" i="12"/>
  <c r="G2289" i="12"/>
  <c r="G2297" i="12"/>
  <c r="G2305" i="12"/>
  <c r="G2313" i="12"/>
  <c r="G2321" i="12"/>
  <c r="G2329" i="12"/>
  <c r="G2337" i="12"/>
  <c r="G2345" i="12"/>
  <c r="G2353" i="12"/>
  <c r="G2361" i="12"/>
  <c r="G2370" i="12"/>
  <c r="G2378" i="12"/>
  <c r="G2386" i="12"/>
  <c r="G2394" i="12"/>
  <c r="G2403" i="12"/>
  <c r="G2411" i="12"/>
  <c r="G2419" i="12"/>
  <c r="G2427" i="12"/>
  <c r="G2435" i="12"/>
  <c r="G2444" i="12"/>
  <c r="G2452" i="12"/>
  <c r="G2460" i="12"/>
  <c r="G2469" i="12"/>
  <c r="G2477" i="12"/>
  <c r="G2485" i="12"/>
  <c r="G2493" i="12"/>
  <c r="G2501" i="12"/>
  <c r="G2509" i="12"/>
  <c r="G2517" i="12"/>
  <c r="G2525" i="12"/>
  <c r="G2533" i="12"/>
  <c r="G2541" i="12"/>
  <c r="G2549" i="12"/>
  <c r="G2557" i="12"/>
  <c r="G2565" i="12"/>
  <c r="G2573" i="12"/>
  <c r="G2582" i="12"/>
  <c r="G2590" i="12"/>
  <c r="G2598" i="12"/>
  <c r="G2606" i="12"/>
  <c r="G2615" i="12"/>
  <c r="G2623" i="12"/>
  <c r="G2631" i="12"/>
  <c r="G2639" i="12"/>
  <c r="G2647" i="12"/>
  <c r="G2656" i="12"/>
  <c r="G2664" i="12"/>
  <c r="G2672" i="12"/>
  <c r="G2681" i="12"/>
  <c r="G2689" i="12"/>
  <c r="G2697" i="12"/>
  <c r="G2705" i="12"/>
  <c r="G2713" i="12"/>
  <c r="G2721" i="12"/>
  <c r="G2730" i="12"/>
  <c r="G2738" i="12"/>
  <c r="G2746" i="12"/>
  <c r="G2754" i="12"/>
  <c r="G2763" i="12"/>
  <c r="G2771" i="12"/>
  <c r="G2779" i="12"/>
  <c r="G2787" i="12"/>
  <c r="G2796" i="12"/>
  <c r="G2804" i="12"/>
  <c r="G2812" i="12"/>
  <c r="G2821" i="12"/>
  <c r="G2829" i="12"/>
  <c r="G2837" i="12"/>
  <c r="G2845" i="12"/>
  <c r="G2853" i="12"/>
  <c r="G2862" i="12"/>
  <c r="G2870" i="12"/>
  <c r="G2878" i="12"/>
  <c r="G2886" i="12"/>
  <c r="G2895" i="12"/>
  <c r="G2903" i="12"/>
  <c r="G2911" i="12"/>
  <c r="G2919" i="12"/>
  <c r="G2927" i="12"/>
  <c r="G2936" i="12"/>
  <c r="G2944" i="12"/>
  <c r="G2952" i="12"/>
  <c r="G2960" i="12"/>
  <c r="G2968" i="12"/>
  <c r="G2976" i="12"/>
  <c r="G2984" i="12"/>
  <c r="G2992" i="12"/>
  <c r="G3001" i="12"/>
  <c r="G3009" i="12"/>
  <c r="G3017" i="12"/>
  <c r="G3025" i="12"/>
  <c r="G3034" i="12"/>
  <c r="G3042" i="12"/>
  <c r="G3050" i="12"/>
  <c r="G3058" i="12"/>
  <c r="G3066" i="12"/>
  <c r="G3075" i="12"/>
  <c r="G3083" i="12"/>
  <c r="G3091" i="12"/>
  <c r="G3100" i="12"/>
  <c r="G3108" i="12"/>
  <c r="G2953" i="12"/>
  <c r="G2993" i="12"/>
  <c r="G3010" i="12"/>
  <c r="G3018" i="12"/>
  <c r="G3035" i="12"/>
  <c r="G3051" i="12"/>
  <c r="G3067" i="12"/>
  <c r="G3076" i="12"/>
  <c r="G3092" i="12"/>
  <c r="G3109" i="12"/>
  <c r="G2978" i="12"/>
  <c r="G3027" i="12"/>
  <c r="G3044" i="12"/>
  <c r="G3069" i="12"/>
  <c r="G3093" i="12"/>
  <c r="G3102" i="12"/>
  <c r="G485" i="12"/>
  <c r="G2351" i="12"/>
  <c r="G2539" i="12"/>
  <c r="G2621" i="12"/>
  <c r="G2679" i="12"/>
  <c r="G2727" i="12"/>
  <c r="G2761" i="12"/>
  <c r="G2810" i="12"/>
  <c r="G2868" i="12"/>
  <c r="G2917" i="12"/>
  <c r="G2958" i="12"/>
  <c r="G3015" i="12"/>
  <c r="G3056" i="12"/>
  <c r="G3097" i="12"/>
  <c r="H199" i="12"/>
  <c r="H2611" i="12"/>
  <c r="G108" i="12"/>
  <c r="G493" i="12"/>
  <c r="G890" i="12"/>
  <c r="G1287" i="12"/>
  <c r="G1746" i="12"/>
  <c r="G2054" i="12"/>
  <c r="G2111" i="12"/>
  <c r="G2128" i="12"/>
  <c r="G2176" i="12"/>
  <c r="G2224" i="12"/>
  <c r="G2272" i="12"/>
  <c r="G2336" i="12"/>
  <c r="G2377" i="12"/>
  <c r="G2402" i="12"/>
  <c r="G2451" i="12"/>
  <c r="G2508" i="12"/>
  <c r="G2564" i="12"/>
  <c r="G2622" i="12"/>
  <c r="G2680" i="12"/>
  <c r="G2729" i="12"/>
  <c r="G2762" i="12"/>
  <c r="G2811" i="12"/>
  <c r="G2861" i="12"/>
  <c r="G2910" i="12"/>
  <c r="G2943" i="12"/>
  <c r="G2991" i="12"/>
  <c r="G3024" i="12"/>
  <c r="G3074" i="12"/>
  <c r="I1743" i="12"/>
  <c r="H715" i="12"/>
  <c r="H1355" i="12"/>
  <c r="H1761" i="12"/>
  <c r="H2023" i="12"/>
  <c r="H2282" i="12"/>
  <c r="H2481" i="12"/>
  <c r="H2654" i="12"/>
  <c r="H2830" i="12"/>
  <c r="H2973" i="12"/>
  <c r="H3039" i="12"/>
  <c r="H3105" i="12"/>
  <c r="G59" i="12"/>
  <c r="G124" i="12"/>
  <c r="G189" i="12"/>
  <c r="G253" i="12"/>
  <c r="G317" i="12"/>
  <c r="G381" i="12"/>
  <c r="G445" i="12"/>
  <c r="G509" i="12"/>
  <c r="G574" i="12"/>
  <c r="G638" i="12"/>
  <c r="G704" i="12"/>
  <c r="G774" i="12"/>
  <c r="G841" i="12"/>
  <c r="G907" i="12"/>
  <c r="G973" i="12"/>
  <c r="G1039" i="12"/>
  <c r="G1105" i="12"/>
  <c r="G1171" i="12"/>
  <c r="G1237" i="12"/>
  <c r="G1303" i="12"/>
  <c r="G1369" i="12"/>
  <c r="G1435" i="12"/>
  <c r="G1501" i="12"/>
  <c r="G1566" i="12"/>
  <c r="G1632" i="12"/>
  <c r="G1697" i="12"/>
  <c r="G1762" i="12"/>
  <c r="G1828" i="12"/>
  <c r="G1893" i="12"/>
  <c r="G1959" i="12"/>
  <c r="G2007" i="12"/>
  <c r="G2040" i="12"/>
  <c r="G2056" i="12"/>
  <c r="G2064" i="12"/>
  <c r="G2072" i="12"/>
  <c r="G2080" i="12"/>
  <c r="G2089" i="12"/>
  <c r="G2097" i="12"/>
  <c r="G2105" i="12"/>
  <c r="G2113" i="12"/>
  <c r="G2122" i="12"/>
  <c r="G2130" i="12"/>
  <c r="G2138" i="12"/>
  <c r="G2146" i="12"/>
  <c r="G2154" i="12"/>
  <c r="G2162" i="12"/>
  <c r="G2170" i="12"/>
  <c r="G2178" i="12"/>
  <c r="G2186" i="12"/>
  <c r="G2194" i="12"/>
  <c r="G2202" i="12"/>
  <c r="G2210" i="12"/>
  <c r="G2218" i="12"/>
  <c r="G2226" i="12"/>
  <c r="G2234" i="12"/>
  <c r="G2242" i="12"/>
  <c r="G2250" i="12"/>
  <c r="G2258" i="12"/>
  <c r="G2266" i="12"/>
  <c r="G2274" i="12"/>
  <c r="G2282" i="12"/>
  <c r="G2290" i="12"/>
  <c r="G2298" i="12"/>
  <c r="G2306" i="12"/>
  <c r="G2314" i="12"/>
  <c r="G2322" i="12"/>
  <c r="G2330" i="12"/>
  <c r="G2338" i="12"/>
  <c r="G2346" i="12"/>
  <c r="G2354" i="12"/>
  <c r="G2362" i="12"/>
  <c r="G2371" i="12"/>
  <c r="G2379" i="12"/>
  <c r="G2387" i="12"/>
  <c r="G2395" i="12"/>
  <c r="G2404" i="12"/>
  <c r="G2412" i="12"/>
  <c r="G2420" i="12"/>
  <c r="G2428" i="12"/>
  <c r="G2436" i="12"/>
  <c r="G2445" i="12"/>
  <c r="G2453" i="12"/>
  <c r="G2461" i="12"/>
  <c r="G2470" i="12"/>
  <c r="G2478" i="12"/>
  <c r="G2486" i="12"/>
  <c r="G2494" i="12"/>
  <c r="G2502" i="12"/>
  <c r="G2510" i="12"/>
  <c r="G2518" i="12"/>
  <c r="G2526" i="12"/>
  <c r="G2534" i="12"/>
  <c r="G2542" i="12"/>
  <c r="G2550" i="12"/>
  <c r="G2558" i="12"/>
  <c r="G2566" i="12"/>
  <c r="G2574" i="12"/>
  <c r="G2583" i="12"/>
  <c r="G2591" i="12"/>
  <c r="G2599" i="12"/>
  <c r="G2607" i="12"/>
  <c r="G2616" i="12"/>
  <c r="G2624" i="12"/>
  <c r="G2632" i="12"/>
  <c r="G2640" i="12"/>
  <c r="G2649" i="12"/>
  <c r="G2657" i="12"/>
  <c r="G2665" i="12"/>
  <c r="G2673" i="12"/>
  <c r="G2682" i="12"/>
  <c r="G2690" i="12"/>
  <c r="G2698" i="12"/>
  <c r="G2706" i="12"/>
  <c r="G2714" i="12"/>
  <c r="G2722" i="12"/>
  <c r="G2731" i="12"/>
  <c r="G2739" i="12"/>
  <c r="G2747" i="12"/>
  <c r="G2755" i="12"/>
  <c r="G2764" i="12"/>
  <c r="G2772" i="12"/>
  <c r="G2780" i="12"/>
  <c r="G2789" i="12"/>
  <c r="G2797" i="12"/>
  <c r="G2805" i="12"/>
  <c r="G2813" i="12"/>
  <c r="G2822" i="12"/>
  <c r="G2830" i="12"/>
  <c r="G2838" i="12"/>
  <c r="G2846" i="12"/>
  <c r="G2854" i="12"/>
  <c r="G2863" i="12"/>
  <c r="G2871" i="12"/>
  <c r="G2879" i="12"/>
  <c r="G2887" i="12"/>
  <c r="G2896" i="12"/>
  <c r="G2904" i="12"/>
  <c r="G2912" i="12"/>
  <c r="G2920" i="12"/>
  <c r="G2929" i="12"/>
  <c r="G2937" i="12"/>
  <c r="G2945" i="12"/>
  <c r="G2961" i="12"/>
  <c r="G2969" i="12"/>
  <c r="G2977" i="12"/>
  <c r="G2985" i="12"/>
  <c r="G3002" i="12"/>
  <c r="G3026" i="12"/>
  <c r="G3043" i="12"/>
  <c r="G3059" i="12"/>
  <c r="G3084" i="12"/>
  <c r="G3101" i="12"/>
  <c r="G2994" i="12"/>
  <c r="G3052" i="12"/>
  <c r="G3077" i="12"/>
  <c r="G550" i="12"/>
  <c r="G2401" i="12"/>
  <c r="G2588" i="12"/>
  <c r="G2670" i="12"/>
  <c r="G2736" i="12"/>
  <c r="G2802" i="12"/>
  <c r="G2851" i="12"/>
  <c r="G2893" i="12"/>
  <c r="G2950" i="12"/>
  <c r="G3007" i="12"/>
  <c r="G3073" i="12"/>
  <c r="H1958" i="12"/>
  <c r="G43" i="12"/>
  <c r="G429" i="12"/>
  <c r="G824" i="12"/>
  <c r="G1221" i="12"/>
  <c r="G1615" i="12"/>
  <c r="G2032" i="12"/>
  <c r="G2103" i="12"/>
  <c r="G2160" i="12"/>
  <c r="G2192" i="12"/>
  <c r="G2240" i="12"/>
  <c r="G2296" i="12"/>
  <c r="G2344" i="12"/>
  <c r="G2418" i="12"/>
  <c r="G2476" i="12"/>
  <c r="G2524" i="12"/>
  <c r="G2589" i="12"/>
  <c r="G2646" i="12"/>
  <c r="G2704" i="12"/>
  <c r="G2778" i="12"/>
  <c r="G3016" i="12"/>
  <c r="G3107" i="12"/>
  <c r="I2004" i="12"/>
  <c r="H892" i="12"/>
  <c r="H1420" i="12"/>
  <c r="H1794" i="12"/>
  <c r="H2056" i="12"/>
  <c r="H2314" i="12"/>
  <c r="H2502" i="12"/>
  <c r="H2676" i="12"/>
  <c r="H2851" i="12"/>
  <c r="H2981" i="12"/>
  <c r="H3047" i="12"/>
  <c r="H3113" i="12"/>
  <c r="G68" i="12"/>
  <c r="G132" i="12"/>
  <c r="G197" i="12"/>
  <c r="G261" i="12"/>
  <c r="G325" i="12"/>
  <c r="G389" i="12"/>
  <c r="G453" i="12"/>
  <c r="G517" i="12"/>
  <c r="G582" i="12"/>
  <c r="G646" i="12"/>
  <c r="G713" i="12"/>
  <c r="G783" i="12"/>
  <c r="G849" i="12"/>
  <c r="G915" i="12"/>
  <c r="G981" i="12"/>
  <c r="G1047" i="12"/>
  <c r="G1113" i="12"/>
  <c r="G1179" i="12"/>
  <c r="G1245" i="12"/>
  <c r="G1311" i="12"/>
  <c r="G1377" i="12"/>
  <c r="G1443" i="12"/>
  <c r="G1509" i="12"/>
  <c r="G1574" i="12"/>
  <c r="G1640" i="12"/>
  <c r="G1706" i="12"/>
  <c r="G1771" i="12"/>
  <c r="G1836" i="12"/>
  <c r="G1901" i="12"/>
  <c r="G1967" i="12"/>
  <c r="G2014" i="12"/>
  <c r="G2047" i="12"/>
  <c r="G2057" i="12"/>
  <c r="G2065" i="12"/>
  <c r="G2073" i="12"/>
  <c r="G2081" i="12"/>
  <c r="G2090" i="12"/>
  <c r="G2098" i="12"/>
  <c r="G2106" i="12"/>
  <c r="G2114" i="12"/>
  <c r="G2123" i="12"/>
  <c r="G2131" i="12"/>
  <c r="G2139" i="12"/>
  <c r="G2147" i="12"/>
  <c r="G2155" i="12"/>
  <c r="G2163" i="12"/>
  <c r="G2171" i="12"/>
  <c r="G2179" i="12"/>
  <c r="G2187" i="12"/>
  <c r="G2195" i="12"/>
  <c r="G2203" i="12"/>
  <c r="G2211" i="12"/>
  <c r="G2219" i="12"/>
  <c r="G2227" i="12"/>
  <c r="G2235" i="12"/>
  <c r="G2243" i="12"/>
  <c r="G2251" i="12"/>
  <c r="G2259" i="12"/>
  <c r="G2267" i="12"/>
  <c r="G2275" i="12"/>
  <c r="G2283" i="12"/>
  <c r="G2291" i="12"/>
  <c r="G2299" i="12"/>
  <c r="G2307" i="12"/>
  <c r="G2315" i="12"/>
  <c r="G2323" i="12"/>
  <c r="G2331" i="12"/>
  <c r="G2339" i="12"/>
  <c r="G2347" i="12"/>
  <c r="G2355" i="12"/>
  <c r="G2363" i="12"/>
  <c r="G2372" i="12"/>
  <c r="G2380" i="12"/>
  <c r="G2388" i="12"/>
  <c r="G2396" i="12"/>
  <c r="G2405" i="12"/>
  <c r="G2413" i="12"/>
  <c r="G2421" i="12"/>
  <c r="G2429" i="12"/>
  <c r="G2437" i="12"/>
  <c r="G2446" i="12"/>
  <c r="G2454" i="12"/>
  <c r="G2462" i="12"/>
  <c r="G2471" i="12"/>
  <c r="G2479" i="12"/>
  <c r="G2487" i="12"/>
  <c r="G2495" i="12"/>
  <c r="G2503" i="12"/>
  <c r="G2511" i="12"/>
  <c r="G2519" i="12"/>
  <c r="G2527" i="12"/>
  <c r="G2535" i="12"/>
  <c r="G2543" i="12"/>
  <c r="G2551" i="12"/>
  <c r="G2559" i="12"/>
  <c r="G2567" i="12"/>
  <c r="G2575" i="12"/>
  <c r="G2584" i="12"/>
  <c r="G2592" i="12"/>
  <c r="G2600" i="12"/>
  <c r="G2609" i="12"/>
  <c r="G2617" i="12"/>
  <c r="G2625" i="12"/>
  <c r="G2633" i="12"/>
  <c r="G2641" i="12"/>
  <c r="G2650" i="12"/>
  <c r="G2658" i="12"/>
  <c r="G2666" i="12"/>
  <c r="G2674" i="12"/>
  <c r="G2683" i="12"/>
  <c r="G2691" i="12"/>
  <c r="G2699" i="12"/>
  <c r="G2707" i="12"/>
  <c r="G2715" i="12"/>
  <c r="G2723" i="12"/>
  <c r="G2732" i="12"/>
  <c r="G2740" i="12"/>
  <c r="G2748" i="12"/>
  <c r="G2756" i="12"/>
  <c r="G2765" i="12"/>
  <c r="G2773" i="12"/>
  <c r="G2781" i="12"/>
  <c r="G2790" i="12"/>
  <c r="G2798" i="12"/>
  <c r="G2806" i="12"/>
  <c r="G2814" i="12"/>
  <c r="G2823" i="12"/>
  <c r="G2831" i="12"/>
  <c r="G2839" i="12"/>
  <c r="G2847" i="12"/>
  <c r="G2855" i="12"/>
  <c r="G2864" i="12"/>
  <c r="G2872" i="12"/>
  <c r="G2880" i="12"/>
  <c r="G2889" i="12"/>
  <c r="G2897" i="12"/>
  <c r="G2905" i="12"/>
  <c r="G2913" i="12"/>
  <c r="G2921" i="12"/>
  <c r="G2930" i="12"/>
  <c r="G2938" i="12"/>
  <c r="G2946" i="12"/>
  <c r="G2954" i="12"/>
  <c r="G2962" i="12"/>
  <c r="G2970" i="12"/>
  <c r="G2986" i="12"/>
  <c r="G3003" i="12"/>
  <c r="G3011" i="12"/>
  <c r="G3019" i="12"/>
  <c r="G3036" i="12"/>
  <c r="G3060" i="12"/>
  <c r="G3085" i="12"/>
  <c r="G3110" i="12"/>
  <c r="H2764" i="12"/>
  <c r="G2127" i="12"/>
  <c r="G2215" i="12"/>
  <c r="G2255" i="12"/>
  <c r="G2295" i="12"/>
  <c r="G2335" i="12"/>
  <c r="G2376" i="12"/>
  <c r="G2417" i="12"/>
  <c r="G2450" i="12"/>
  <c r="G2491" i="12"/>
  <c r="G2547" i="12"/>
  <c r="G2596" i="12"/>
  <c r="G2645" i="12"/>
  <c r="G2703" i="12"/>
  <c r="G2769" i="12"/>
  <c r="G2835" i="12"/>
  <c r="G2901" i="12"/>
  <c r="G2974" i="12"/>
  <c r="G3032" i="12"/>
  <c r="G3089" i="12"/>
  <c r="H1696" i="12"/>
  <c r="H2957" i="12"/>
  <c r="G237" i="12"/>
  <c r="G622" i="12"/>
  <c r="G1022" i="12"/>
  <c r="G1418" i="12"/>
  <c r="G1812" i="12"/>
  <c r="G2070" i="12"/>
  <c r="G2136" i="12"/>
  <c r="G2200" i="12"/>
  <c r="G2256" i="12"/>
  <c r="G2312" i="12"/>
  <c r="G2352" i="12"/>
  <c r="G2426" i="12"/>
  <c r="G2492" i="12"/>
  <c r="G2548" i="12"/>
  <c r="G2597" i="12"/>
  <c r="G2655" i="12"/>
  <c r="G2712" i="12"/>
  <c r="G2786" i="12"/>
  <c r="G2836" i="12"/>
  <c r="G2877" i="12"/>
  <c r="G2926" i="12"/>
  <c r="G2975" i="12"/>
  <c r="G3041" i="12"/>
  <c r="G3090" i="12"/>
  <c r="I2264" i="12"/>
  <c r="H958" i="12"/>
  <c r="H1486" i="12"/>
  <c r="H1827" i="12"/>
  <c r="H2089" i="12"/>
  <c r="H2346" i="12"/>
  <c r="H2523" i="12"/>
  <c r="H2698" i="12"/>
  <c r="H2874" i="12"/>
  <c r="H2989" i="12"/>
  <c r="H3055" i="12"/>
  <c r="G11" i="12"/>
  <c r="G76" i="12"/>
  <c r="G141" i="12"/>
  <c r="G205" i="12"/>
  <c r="G269" i="12"/>
  <c r="G333" i="12"/>
  <c r="G397" i="12"/>
  <c r="G461" i="12"/>
  <c r="G526" i="12"/>
  <c r="G590" i="12"/>
  <c r="G655" i="12"/>
  <c r="G721" i="12"/>
  <c r="G791" i="12"/>
  <c r="G857" i="12"/>
  <c r="G923" i="12"/>
  <c r="G989" i="12"/>
  <c r="G1055" i="12"/>
  <c r="G1121" i="12"/>
  <c r="G1188" i="12"/>
  <c r="G1254" i="12"/>
  <c r="G1319" i="12"/>
  <c r="G1385" i="12"/>
  <c r="G1451" i="12"/>
  <c r="G1517" i="12"/>
  <c r="G1582" i="12"/>
  <c r="G1648" i="12"/>
  <c r="G1714" i="12"/>
  <c r="G1779" i="12"/>
  <c r="G1844" i="12"/>
  <c r="G1910" i="12"/>
  <c r="G1975" i="12"/>
  <c r="G2015" i="12"/>
  <c r="G2049" i="12"/>
  <c r="G2058" i="12"/>
  <c r="G2066" i="12"/>
  <c r="G2074" i="12"/>
  <c r="G2082" i="12"/>
  <c r="G2091" i="12"/>
  <c r="G2099" i="12"/>
  <c r="G2107" i="12"/>
  <c r="G2115" i="12"/>
  <c r="G2124" i="12"/>
  <c r="G2132" i="12"/>
  <c r="G2140" i="12"/>
  <c r="G2148" i="12"/>
  <c r="G2156" i="12"/>
  <c r="G2164" i="12"/>
  <c r="G2172" i="12"/>
  <c r="G2180" i="12"/>
  <c r="G2188" i="12"/>
  <c r="G2196" i="12"/>
  <c r="G2204" i="12"/>
  <c r="G2212" i="12"/>
  <c r="G2220" i="12"/>
  <c r="G2228" i="12"/>
  <c r="G2236" i="12"/>
  <c r="G2244" i="12"/>
  <c r="G2252" i="12"/>
  <c r="G2260" i="12"/>
  <c r="G2268" i="12"/>
  <c r="G2276" i="12"/>
  <c r="G2284" i="12"/>
  <c r="G2292" i="12"/>
  <c r="G2300" i="12"/>
  <c r="G2308" i="12"/>
  <c r="G2316" i="12"/>
  <c r="G2324" i="12"/>
  <c r="G2332" i="12"/>
  <c r="G2340" i="12"/>
  <c r="G2348" i="12"/>
  <c r="G2356" i="12"/>
  <c r="G2364" i="12"/>
  <c r="G2373" i="12"/>
  <c r="G2381" i="12"/>
  <c r="G2389" i="12"/>
  <c r="G2397" i="12"/>
  <c r="G2406" i="12"/>
  <c r="G2414" i="12"/>
  <c r="G2422" i="12"/>
  <c r="G2430" i="12"/>
  <c r="G2439" i="12"/>
  <c r="G2447" i="12"/>
  <c r="G2455" i="12"/>
  <c r="G2463" i="12"/>
  <c r="G2472" i="12"/>
  <c r="G2480" i="12"/>
  <c r="G2488" i="12"/>
  <c r="G2496" i="12"/>
  <c r="G2504" i="12"/>
  <c r="G2512" i="12"/>
  <c r="G2520" i="12"/>
  <c r="G2528" i="12"/>
  <c r="G2536" i="12"/>
  <c r="G2544" i="12"/>
  <c r="G2552" i="12"/>
  <c r="G2560" i="12"/>
  <c r="G2568" i="12"/>
  <c r="G2576" i="12"/>
  <c r="G2585" i="12"/>
  <c r="G2593" i="12"/>
  <c r="G2601" i="12"/>
  <c r="G2610" i="12"/>
  <c r="G2618" i="12"/>
  <c r="G2626" i="12"/>
  <c r="G2634" i="12"/>
  <c r="G2642" i="12"/>
  <c r="G2651" i="12"/>
  <c r="G2659" i="12"/>
  <c r="G2667" i="12"/>
  <c r="G2675" i="12"/>
  <c r="G2684" i="12"/>
  <c r="G2692" i="12"/>
  <c r="G2700" i="12"/>
  <c r="G2708" i="12"/>
  <c r="G2716" i="12"/>
  <c r="G2724" i="12"/>
  <c r="G2733" i="12"/>
  <c r="G2741" i="12"/>
  <c r="G2749" i="12"/>
  <c r="G2757" i="12"/>
  <c r="G2766" i="12"/>
  <c r="G2774" i="12"/>
  <c r="G2782" i="12"/>
  <c r="G2791" i="12"/>
  <c r="G2799" i="12"/>
  <c r="G2807" i="12"/>
  <c r="G2815" i="12"/>
  <c r="G2824" i="12"/>
  <c r="G2832" i="12"/>
  <c r="G2840" i="12"/>
  <c r="G2848" i="12"/>
  <c r="G2856" i="12"/>
  <c r="G2865" i="12"/>
  <c r="G2873" i="12"/>
  <c r="G2881" i="12"/>
  <c r="G2890" i="12"/>
  <c r="G2898" i="12"/>
  <c r="G2906" i="12"/>
  <c r="G2914" i="12"/>
  <c r="G2922" i="12"/>
  <c r="G2931" i="12"/>
  <c r="G2939" i="12"/>
  <c r="G2947" i="12"/>
  <c r="G2955" i="12"/>
  <c r="G2963" i="12"/>
  <c r="G2971" i="12"/>
  <c r="G2979" i="12"/>
  <c r="G2987" i="12"/>
  <c r="G2995" i="12"/>
  <c r="G3004" i="12"/>
  <c r="G3012" i="12"/>
  <c r="G3020" i="12"/>
  <c r="G3029" i="12"/>
  <c r="G3037" i="12"/>
  <c r="G3045" i="12"/>
  <c r="G3053" i="12"/>
  <c r="G3061" i="12"/>
  <c r="G3070" i="12"/>
  <c r="G3078" i="12"/>
  <c r="G3086" i="12"/>
  <c r="G3094" i="12"/>
  <c r="G3103" i="12"/>
  <c r="G3111" i="12"/>
  <c r="G1278" i="12"/>
  <c r="G2119" i="12"/>
  <c r="G2199" i="12"/>
  <c r="G2247" i="12"/>
  <c r="G2287" i="12"/>
  <c r="G2319" i="12"/>
  <c r="G2359" i="12"/>
  <c r="G2409" i="12"/>
  <c r="G2458" i="12"/>
  <c r="G2499" i="12"/>
  <c r="G2555" i="12"/>
  <c r="G2604" i="12"/>
  <c r="G2654" i="12"/>
  <c r="G2711" i="12"/>
  <c r="G2777" i="12"/>
  <c r="G2843" i="12"/>
  <c r="G2909" i="12"/>
  <c r="G2982" i="12"/>
  <c r="G3040" i="12"/>
  <c r="G3" i="12"/>
  <c r="H1223" i="12"/>
  <c r="H3022" i="12"/>
  <c r="G301" i="12"/>
  <c r="G687" i="12"/>
  <c r="G1089" i="12"/>
  <c r="G1484" i="12"/>
  <c r="G1876" i="12"/>
  <c r="G2086" i="12"/>
  <c r="G2168" i="12"/>
  <c r="G2216" i="12"/>
  <c r="G2264" i="12"/>
  <c r="G2320" i="12"/>
  <c r="G2385" i="12"/>
  <c r="G2443" i="12"/>
  <c r="G2500" i="12"/>
  <c r="G2556" i="12"/>
  <c r="G2614" i="12"/>
  <c r="G2663" i="12"/>
  <c r="G2720" i="12"/>
  <c r="G2795" i="12"/>
  <c r="G2844" i="12"/>
  <c r="G2894" i="12"/>
  <c r="G2935" i="12"/>
  <c r="G2983" i="12"/>
  <c r="G3049" i="12"/>
  <c r="I2524" i="12"/>
  <c r="H1024" i="12"/>
  <c r="H1551" i="12"/>
  <c r="H1859" i="12"/>
  <c r="H2122" i="12"/>
  <c r="H2371" i="12"/>
  <c r="H2545" i="12"/>
  <c r="H2719" i="12"/>
  <c r="H2896" i="12"/>
  <c r="H2997" i="12"/>
  <c r="H3063" i="12"/>
  <c r="G19" i="12"/>
  <c r="G84" i="12"/>
  <c r="G149" i="12"/>
  <c r="G213" i="12"/>
  <c r="G277" i="12"/>
  <c r="G341" i="12"/>
  <c r="G405" i="12"/>
  <c r="G469" i="12"/>
  <c r="G534" i="12"/>
  <c r="G598" i="12"/>
  <c r="G663" i="12"/>
  <c r="G730" i="12"/>
  <c r="G800" i="12"/>
  <c r="G866" i="12"/>
  <c r="G931" i="12"/>
  <c r="G997" i="12"/>
  <c r="G1063" i="12"/>
  <c r="G1130" i="12"/>
  <c r="G1196" i="12"/>
  <c r="G1262" i="12"/>
  <c r="G1328" i="12"/>
  <c r="G1394" i="12"/>
  <c r="G1459" i="12"/>
  <c r="G1525" i="12"/>
  <c r="G1590" i="12"/>
  <c r="G1656" i="12"/>
  <c r="G1722" i="12"/>
  <c r="G1787" i="12"/>
  <c r="G1852" i="12"/>
  <c r="G1918" i="12"/>
  <c r="G1983" i="12"/>
  <c r="G2023" i="12"/>
  <c r="G2051" i="12"/>
  <c r="G2059" i="12"/>
  <c r="G2067" i="12"/>
  <c r="G2075" i="12"/>
  <c r="G2083" i="12"/>
  <c r="G2092" i="12"/>
  <c r="G2100" i="12"/>
  <c r="G2108" i="12"/>
  <c r="G2116" i="12"/>
  <c r="G2125" i="12"/>
  <c r="G2133" i="12"/>
  <c r="G2141" i="12"/>
  <c r="G2149" i="12"/>
  <c r="G2157" i="12"/>
  <c r="G2165" i="12"/>
  <c r="G2173" i="12"/>
  <c r="G2181" i="12"/>
  <c r="G2189" i="12"/>
  <c r="G2197" i="12"/>
  <c r="G2205" i="12"/>
  <c r="G2213" i="12"/>
  <c r="G2221" i="12"/>
  <c r="G2229" i="12"/>
  <c r="G2237" i="12"/>
  <c r="G2245" i="12"/>
  <c r="G2253" i="12"/>
  <c r="G2261" i="12"/>
  <c r="G2269" i="12"/>
  <c r="G2277" i="12"/>
  <c r="G2285" i="12"/>
  <c r="G2293" i="12"/>
  <c r="G2301" i="12"/>
  <c r="G2309" i="12"/>
  <c r="G2317" i="12"/>
  <c r="G2325" i="12"/>
  <c r="G2333" i="12"/>
  <c r="G2341" i="12"/>
  <c r="G2349" i="12"/>
  <c r="G2357" i="12"/>
  <c r="G2365" i="12"/>
  <c r="G2374" i="12"/>
  <c r="G2382" i="12"/>
  <c r="G2390" i="12"/>
  <c r="G2399" i="12"/>
  <c r="G2407" i="12"/>
  <c r="G2415" i="12"/>
  <c r="G2423" i="12"/>
  <c r="G2431" i="12"/>
  <c r="G2440" i="12"/>
  <c r="G2448" i="12"/>
  <c r="G2456" i="12"/>
  <c r="G2464" i="12"/>
  <c r="G2473" i="12"/>
  <c r="G2481" i="12"/>
  <c r="G2489" i="12"/>
  <c r="G2497" i="12"/>
  <c r="G2505" i="12"/>
  <c r="G2513" i="12"/>
  <c r="G2521" i="12"/>
  <c r="G2529" i="12"/>
  <c r="G2537" i="12"/>
  <c r="G2545" i="12"/>
  <c r="G2553" i="12"/>
  <c r="G2561" i="12"/>
  <c r="G2569" i="12"/>
  <c r="G2577" i="12"/>
  <c r="G2586" i="12"/>
  <c r="G2594" i="12"/>
  <c r="G2602" i="12"/>
  <c r="G2611" i="12"/>
  <c r="G2619" i="12"/>
  <c r="G2627" i="12"/>
  <c r="G2635" i="12"/>
  <c r="G2643" i="12"/>
  <c r="G2652" i="12"/>
  <c r="G2660" i="12"/>
  <c r="G2668" i="12"/>
  <c r="G2676" i="12"/>
  <c r="G2685" i="12"/>
  <c r="G2693" i="12"/>
  <c r="G2701" i="12"/>
  <c r="G2709" i="12"/>
  <c r="G2717" i="12"/>
  <c r="G2725" i="12"/>
  <c r="G2734" i="12"/>
  <c r="G2742" i="12"/>
  <c r="G2750" i="12"/>
  <c r="G2759" i="12"/>
  <c r="G2767" i="12"/>
  <c r="G2775" i="12"/>
  <c r="G2783" i="12"/>
  <c r="G2792" i="12"/>
  <c r="G2800" i="12"/>
  <c r="G2808" i="12"/>
  <c r="G2816" i="12"/>
  <c r="G2825" i="12"/>
  <c r="G2833" i="12"/>
  <c r="G2841" i="12"/>
  <c r="G2849" i="12"/>
  <c r="G2857" i="12"/>
  <c r="G2866" i="12"/>
  <c r="G2874" i="12"/>
  <c r="G2882" i="12"/>
  <c r="G2891" i="12"/>
  <c r="G2899" i="12"/>
  <c r="G2907" i="12"/>
  <c r="G2915" i="12"/>
  <c r="G2923" i="12"/>
  <c r="G2932" i="12"/>
  <c r="G2940" i="12"/>
  <c r="G2948" i="12"/>
  <c r="G2956" i="12"/>
  <c r="G2964" i="12"/>
  <c r="G2972" i="12"/>
  <c r="G2980" i="12"/>
  <c r="G2988" i="12"/>
  <c r="G2996" i="12"/>
  <c r="G3005" i="12"/>
  <c r="G3013" i="12"/>
  <c r="G3021" i="12"/>
  <c r="G3030" i="12"/>
  <c r="G3038" i="12"/>
  <c r="G3046" i="12"/>
  <c r="G3054" i="12"/>
  <c r="G3062" i="12"/>
  <c r="G3071" i="12"/>
  <c r="G3079" i="12"/>
  <c r="G3087" i="12"/>
  <c r="G3095" i="12"/>
  <c r="G3104" i="12"/>
  <c r="G3112" i="12"/>
  <c r="I3049" i="12"/>
  <c r="H1925" i="12"/>
  <c r="H2415" i="12"/>
  <c r="H2940" i="12"/>
  <c r="G100" i="12"/>
  <c r="G229" i="12"/>
  <c r="G357" i="12"/>
  <c r="G679" i="12"/>
  <c r="G816" i="12"/>
  <c r="G948" i="12"/>
  <c r="G1146" i="12"/>
  <c r="G1410" i="12"/>
  <c r="G1541" i="12"/>
  <c r="G1738" i="12"/>
  <c r="G1934" i="12"/>
  <c r="G2053" i="12"/>
  <c r="G2069" i="12"/>
  <c r="G2094" i="12"/>
  <c r="G2135" i="12"/>
  <c r="G2159" i="12"/>
  <c r="G2175" i="12"/>
  <c r="G2207" i="12"/>
  <c r="G2231" i="12"/>
  <c r="G2271" i="12"/>
  <c r="G2303" i="12"/>
  <c r="G2343" i="12"/>
  <c r="G2384" i="12"/>
  <c r="G2425" i="12"/>
  <c r="G2466" i="12"/>
  <c r="G2507" i="12"/>
  <c r="G2531" i="12"/>
  <c r="G2580" i="12"/>
  <c r="G2629" i="12"/>
  <c r="G2687" i="12"/>
  <c r="G2744" i="12"/>
  <c r="G2785" i="12"/>
  <c r="G2827" i="12"/>
  <c r="G2876" i="12"/>
  <c r="G2925" i="12"/>
  <c r="G2966" i="12"/>
  <c r="G3023" i="12"/>
  <c r="G3064" i="12"/>
  <c r="H2785" i="12"/>
  <c r="G173" i="12"/>
  <c r="G558" i="12"/>
  <c r="G956" i="12"/>
  <c r="G1352" i="12"/>
  <c r="G1681" i="12"/>
  <c r="G1999" i="12"/>
  <c r="G2062" i="12"/>
  <c r="G2120" i="12"/>
  <c r="G2152" i="12"/>
  <c r="G2184" i="12"/>
  <c r="G2232" i="12"/>
  <c r="G2280" i="12"/>
  <c r="G2328" i="12"/>
  <c r="G2369" i="12"/>
  <c r="G2410" i="12"/>
  <c r="G2459" i="12"/>
  <c r="G2516" i="12"/>
  <c r="G2572" i="12"/>
  <c r="G2630" i="12"/>
  <c r="G2688" i="12"/>
  <c r="G2737" i="12"/>
  <c r="G2770" i="12"/>
  <c r="G2820" i="12"/>
  <c r="G2869" i="12"/>
  <c r="G2918" i="12"/>
  <c r="G2951" i="12"/>
  <c r="G3000" i="12"/>
  <c r="G3057" i="12"/>
  <c r="G3082" i="12"/>
  <c r="I2786" i="12"/>
  <c r="H1091" i="12"/>
  <c r="H1617" i="12"/>
  <c r="H1892" i="12"/>
  <c r="H2154" i="12"/>
  <c r="H2392" i="12"/>
  <c r="H2566" i="12"/>
  <c r="H2742" i="12"/>
  <c r="H2917" i="12"/>
  <c r="H3006" i="12"/>
  <c r="H3072" i="12"/>
  <c r="G27" i="12"/>
  <c r="G92" i="12"/>
  <c r="G157" i="12"/>
  <c r="G221" i="12"/>
  <c r="G285" i="12"/>
  <c r="G349" i="12"/>
  <c r="G413" i="12"/>
  <c r="G477" i="12"/>
  <c r="G542" i="12"/>
  <c r="G606" i="12"/>
  <c r="G671" i="12"/>
  <c r="G739" i="12"/>
  <c r="G808" i="12"/>
  <c r="G874" i="12"/>
  <c r="G940" i="12"/>
  <c r="G1006" i="12"/>
  <c r="G1071" i="12"/>
  <c r="G1138" i="12"/>
  <c r="G1204" i="12"/>
  <c r="G1270" i="12"/>
  <c r="G1336" i="12"/>
  <c r="G1402" i="12"/>
  <c r="G1468" i="12"/>
  <c r="G1533" i="12"/>
  <c r="G1599" i="12"/>
  <c r="G1664" i="12"/>
  <c r="G1730" i="12"/>
  <c r="G1795" i="12"/>
  <c r="G1860" i="12"/>
  <c r="G1926" i="12"/>
  <c r="G1991" i="12"/>
  <c r="G2024" i="12"/>
  <c r="G2052" i="12"/>
  <c r="G2060" i="12"/>
  <c r="G2068" i="12"/>
  <c r="G2076" i="12"/>
  <c r="G2084" i="12"/>
  <c r="G2093" i="12"/>
  <c r="G2101" i="12"/>
  <c r="G2109" i="12"/>
  <c r="G2117" i="12"/>
  <c r="G2126" i="12"/>
  <c r="G2134" i="12"/>
  <c r="G2142" i="12"/>
  <c r="G2150" i="12"/>
  <c r="G2158" i="12"/>
  <c r="G2166" i="12"/>
  <c r="G2174" i="12"/>
  <c r="G2182" i="12"/>
  <c r="G2190" i="12"/>
  <c r="G2198" i="12"/>
  <c r="G2206" i="12"/>
  <c r="G2214" i="12"/>
  <c r="G2222" i="12"/>
  <c r="G2230" i="12"/>
  <c r="G2238" i="12"/>
  <c r="G2246" i="12"/>
  <c r="G2254" i="12"/>
  <c r="G2262" i="12"/>
  <c r="G2270" i="12"/>
  <c r="G2278" i="12"/>
  <c r="G2286" i="12"/>
  <c r="G2294" i="12"/>
  <c r="G2302" i="12"/>
  <c r="G2310" i="12"/>
  <c r="G2318" i="12"/>
  <c r="G2326" i="12"/>
  <c r="G2334" i="12"/>
  <c r="G2342" i="12"/>
  <c r="G2350" i="12"/>
  <c r="G2358" i="12"/>
  <c r="G2366" i="12"/>
  <c r="G2375" i="12"/>
  <c r="G2383" i="12"/>
  <c r="G2391" i="12"/>
  <c r="G2400" i="12"/>
  <c r="G2408" i="12"/>
  <c r="G2416" i="12"/>
  <c r="G2424" i="12"/>
  <c r="G2432" i="12"/>
  <c r="G2441" i="12"/>
  <c r="G2449" i="12"/>
  <c r="G2457" i="12"/>
  <c r="G2465" i="12"/>
  <c r="G2474" i="12"/>
  <c r="G2482" i="12"/>
  <c r="G2490" i="12"/>
  <c r="G2498" i="12"/>
  <c r="G2506" i="12"/>
  <c r="G2514" i="12"/>
  <c r="G2522" i="12"/>
  <c r="G2530" i="12"/>
  <c r="G2538" i="12"/>
  <c r="G2546" i="12"/>
  <c r="G2554" i="12"/>
  <c r="G2562" i="12"/>
  <c r="G2570" i="12"/>
  <c r="G2579" i="12"/>
  <c r="G2587" i="12"/>
  <c r="G2595" i="12"/>
  <c r="G2603" i="12"/>
  <c r="G2612" i="12"/>
  <c r="G2620" i="12"/>
  <c r="G2628" i="12"/>
  <c r="G2636" i="12"/>
  <c r="G2644" i="12"/>
  <c r="G2653" i="12"/>
  <c r="G2661" i="12"/>
  <c r="G2669" i="12"/>
  <c r="G2677" i="12"/>
  <c r="G2686" i="12"/>
  <c r="G2694" i="12"/>
  <c r="G2702" i="12"/>
  <c r="G2710" i="12"/>
  <c r="G2718" i="12"/>
  <c r="G2726" i="12"/>
  <c r="G2735" i="12"/>
  <c r="G2743" i="12"/>
  <c r="G2751" i="12"/>
  <c r="G2760" i="12"/>
  <c r="G2768" i="12"/>
  <c r="G2776" i="12"/>
  <c r="G2784" i="12"/>
  <c r="G2793" i="12"/>
  <c r="G2801" i="12"/>
  <c r="G2809" i="12"/>
  <c r="G2817" i="12"/>
  <c r="G2826" i="12"/>
  <c r="G2834" i="12"/>
  <c r="G2842" i="12"/>
  <c r="G2850" i="12"/>
  <c r="G2859" i="12"/>
  <c r="G2867" i="12"/>
  <c r="G2875" i="12"/>
  <c r="G2883" i="12"/>
  <c r="G2892" i="12"/>
  <c r="G2900" i="12"/>
  <c r="G2908" i="12"/>
  <c r="G2916" i="12"/>
  <c r="G2924" i="12"/>
  <c r="G2933" i="12"/>
  <c r="G2941" i="12"/>
  <c r="G2949" i="12"/>
  <c r="G2957" i="12"/>
  <c r="G2965" i="12"/>
  <c r="G2973" i="12"/>
  <c r="G2981" i="12"/>
  <c r="G2989" i="12"/>
  <c r="G2997" i="12"/>
  <c r="G3006" i="12"/>
  <c r="G3014" i="12"/>
  <c r="G3022" i="12"/>
  <c r="G3031" i="12"/>
  <c r="G3039" i="12"/>
  <c r="G3047" i="12"/>
  <c r="G3055" i="12"/>
  <c r="G3063" i="12"/>
  <c r="G3072" i="12"/>
  <c r="G3080" i="12"/>
  <c r="G3088" i="12"/>
  <c r="G3096" i="12"/>
  <c r="G3105" i="12"/>
  <c r="G3113" i="12"/>
  <c r="H1157" i="12"/>
  <c r="H2186" i="12"/>
  <c r="H2588" i="12"/>
  <c r="H3014" i="12"/>
  <c r="G35" i="12"/>
  <c r="G165" i="12"/>
  <c r="G293" i="12"/>
  <c r="G614" i="12"/>
  <c r="G882" i="12"/>
  <c r="G1014" i="12"/>
  <c r="G1213" i="12"/>
  <c r="G1476" i="12"/>
  <c r="G1673" i="12"/>
  <c r="G1868" i="12"/>
  <c r="G1998" i="12"/>
  <c r="G2061" i="12"/>
  <c r="G2085" i="12"/>
  <c r="G2110" i="12"/>
  <c r="G2143" i="12"/>
  <c r="G2167" i="12"/>
  <c r="G2191" i="12"/>
  <c r="G2263" i="12"/>
  <c r="G2311" i="12"/>
  <c r="G2367" i="12"/>
  <c r="G2433" i="12"/>
  <c r="G2475" i="12"/>
  <c r="G2515" i="12"/>
  <c r="G2563" i="12"/>
  <c r="G2613" i="12"/>
  <c r="G2662" i="12"/>
  <c r="G2719" i="12"/>
  <c r="G2794" i="12"/>
  <c r="G2860" i="12"/>
  <c r="G2934" i="12"/>
  <c r="G2990" i="12"/>
  <c r="G3048" i="12"/>
  <c r="G3106" i="12"/>
  <c r="H2436" i="12"/>
  <c r="G2078" i="12"/>
  <c r="G2288" i="12"/>
  <c r="G2393" i="12"/>
  <c r="G2467" i="12"/>
  <c r="G2540" i="12"/>
  <c r="G2605" i="12"/>
  <c r="G2671" i="12"/>
  <c r="G2745" i="12"/>
  <c r="G2803" i="12"/>
  <c r="G2852" i="12"/>
  <c r="G2902" i="12"/>
  <c r="G2959" i="12"/>
  <c r="G3008" i="12"/>
  <c r="G3065" i="12"/>
  <c r="H1663" i="12"/>
  <c r="H3080" i="12"/>
  <c r="G421" i="12"/>
  <c r="G748" i="12"/>
  <c r="G1080" i="12"/>
  <c r="G1344" i="12"/>
  <c r="G1607" i="12"/>
  <c r="G1803" i="12"/>
  <c r="G2031" i="12"/>
  <c r="G2077" i="12"/>
  <c r="G2102" i="12"/>
  <c r="G2151" i="12"/>
  <c r="G2183" i="12"/>
  <c r="G2223" i="12"/>
  <c r="G2239" i="12"/>
  <c r="G2279" i="12"/>
  <c r="G2327" i="12"/>
  <c r="G2392" i="12"/>
  <c r="G2442" i="12"/>
  <c r="G2483" i="12"/>
  <c r="G2523" i="12"/>
  <c r="G2571" i="12"/>
  <c r="G2637" i="12"/>
  <c r="G2695" i="12"/>
  <c r="G2752" i="12"/>
  <c r="G2819" i="12"/>
  <c r="G2884" i="12"/>
  <c r="G2942" i="12"/>
  <c r="G2999" i="12"/>
  <c r="G3081" i="12"/>
  <c r="H2218" i="12"/>
  <c r="H3088" i="12"/>
  <c r="G365" i="12"/>
  <c r="G756" i="12"/>
  <c r="G1155" i="12"/>
  <c r="G1549" i="12"/>
  <c r="G1942" i="12"/>
  <c r="G2095" i="12"/>
  <c r="G2144" i="12"/>
  <c r="G2208" i="12"/>
  <c r="G2248" i="12"/>
  <c r="G2304" i="12"/>
  <c r="G2360" i="12"/>
  <c r="G2434" i="12"/>
  <c r="G2484" i="12"/>
  <c r="G2532" i="12"/>
  <c r="G2581" i="12"/>
  <c r="G2638" i="12"/>
  <c r="G2696" i="12"/>
  <c r="G2753" i="12"/>
  <c r="G2828" i="12"/>
  <c r="G2885" i="12"/>
  <c r="G2967" i="12"/>
  <c r="G3033" i="12"/>
  <c r="G3099" i="12"/>
  <c r="G1558" i="12"/>
  <c r="G1491" i="12"/>
  <c r="H1878" i="12"/>
  <c r="G3028" i="12"/>
  <c r="H3028" i="12"/>
  <c r="G2438" i="12"/>
  <c r="G1152" i="12"/>
  <c r="H1152" i="12"/>
  <c r="G652" i="12"/>
  <c r="G1208" i="12"/>
  <c r="H1491" i="12"/>
  <c r="G2728" i="12"/>
  <c r="H2728" i="12"/>
  <c r="H3098" i="12"/>
  <c r="G902" i="12"/>
  <c r="H902" i="12"/>
  <c r="H1558" i="12"/>
  <c r="G972" i="12"/>
  <c r="H1208" i="12"/>
  <c r="G2368" i="12"/>
  <c r="H2368" i="12"/>
  <c r="H1002" i="12"/>
  <c r="G741" i="12"/>
  <c r="H741" i="12"/>
  <c r="G8" i="12"/>
  <c r="G772" i="12"/>
  <c r="H972" i="12"/>
  <c r="G1808" i="12"/>
  <c r="H1808" i="12"/>
  <c r="G2998" i="12"/>
  <c r="H2998" i="12"/>
  <c r="G3068" i="12"/>
  <c r="H8" i="12"/>
  <c r="H772" i="12"/>
  <c r="G1462" i="12"/>
  <c r="H1462" i="12"/>
  <c r="G2678" i="12"/>
  <c r="H2678" i="12"/>
  <c r="G2758" i="12"/>
  <c r="H3068" i="12"/>
  <c r="G3098" i="12"/>
  <c r="G1182" i="12"/>
  <c r="H1182" i="12"/>
  <c r="G2118" i="12"/>
  <c r="H2118" i="12"/>
  <c r="G2398" i="12"/>
  <c r="H2758" i="12"/>
  <c r="G1002" i="12"/>
  <c r="G932" i="12"/>
  <c r="H932" i="12"/>
  <c r="G1768" i="12"/>
  <c r="H1768" i="12"/>
  <c r="G1878" i="12"/>
  <c r="H2398" i="12"/>
  <c r="H1908" i="12"/>
  <c r="G762" i="12"/>
  <c r="H762" i="12"/>
  <c r="G1422" i="12"/>
  <c r="H1422" i="12"/>
  <c r="G2928" i="12"/>
  <c r="G523" i="12"/>
  <c r="H732" i="12"/>
  <c r="G1668" i="12"/>
  <c r="H1668" i="12"/>
  <c r="G2858" i="12"/>
  <c r="H2578" i="12"/>
  <c r="H62" i="12"/>
  <c r="G692" i="12"/>
  <c r="H792" i="12"/>
  <c r="G2578" i="12"/>
  <c r="G2818" i="12"/>
  <c r="G138" i="12"/>
  <c r="H2648" i="12"/>
  <c r="H1083" i="12"/>
  <c r="H1628" i="12"/>
  <c r="H138" i="12"/>
  <c r="H862" i="12"/>
  <c r="G792" i="12"/>
  <c r="G2648" i="12"/>
  <c r="H2928" i="12"/>
  <c r="H523" i="12"/>
  <c r="G1353" i="12"/>
  <c r="H1353" i="12"/>
  <c r="H2018" i="12"/>
  <c r="H692" i="12"/>
  <c r="G2088" i="12"/>
  <c r="G1083" i="12"/>
  <c r="G2018" i="12"/>
  <c r="H2818" i="12"/>
  <c r="H2048" i="12"/>
  <c r="G1908" i="12"/>
  <c r="G2468" i="12"/>
  <c r="H2858" i="12"/>
  <c r="G1698" i="12"/>
  <c r="H2088" i="12"/>
  <c r="G62" i="12"/>
  <c r="G833" i="12"/>
  <c r="H833" i="12"/>
  <c r="G1628" i="12"/>
  <c r="H1322" i="12"/>
  <c r="G1948" i="12"/>
  <c r="H2468" i="12"/>
  <c r="G1282" i="12"/>
  <c r="G708" i="12"/>
  <c r="H652" i="12"/>
  <c r="G1392" i="12"/>
  <c r="H1698" i="12"/>
  <c r="H1252" i="12"/>
  <c r="G722" i="12"/>
  <c r="H722" i="12"/>
  <c r="G1322" i="12"/>
  <c r="H1072" i="12"/>
  <c r="G1598" i="12"/>
  <c r="H1948" i="12"/>
  <c r="H1392" i="12"/>
  <c r="H2888" i="12"/>
  <c r="G2788" i="12"/>
  <c r="H708" i="12"/>
  <c r="H1598" i="12"/>
  <c r="G1252" i="12"/>
  <c r="G2048" i="12"/>
  <c r="G1122" i="12"/>
  <c r="G2888" i="12"/>
  <c r="G1072" i="12"/>
  <c r="G1038" i="12"/>
  <c r="H782" i="12"/>
  <c r="H2788" i="12"/>
  <c r="G782" i="12"/>
  <c r="G862" i="12"/>
  <c r="H1122" i="12"/>
  <c r="G2608" i="12"/>
  <c r="H2608" i="12"/>
  <c r="H2438" i="12"/>
  <c r="H1282" i="12"/>
  <c r="G732" i="12"/>
  <c r="H1038" i="12"/>
  <c r="I2118" i="12"/>
  <c r="I2468" i="12"/>
  <c r="I1558" i="12"/>
  <c r="I2928" i="12"/>
  <c r="I3068" i="12"/>
  <c r="I1668" i="12"/>
  <c r="I1491" i="12"/>
  <c r="I2088" i="12"/>
  <c r="I2888" i="12"/>
  <c r="I1948" i="12"/>
  <c r="I2758" i="12"/>
  <c r="I3028" i="12"/>
  <c r="I1768" i="12"/>
  <c r="I2608" i="12"/>
  <c r="I1598" i="12"/>
  <c r="I2398" i="12"/>
  <c r="I2728" i="12"/>
  <c r="I2648" i="12"/>
  <c r="I2048" i="12"/>
  <c r="I2678" i="12"/>
  <c r="I1878" i="12"/>
  <c r="I2368" i="12"/>
  <c r="I2998" i="12"/>
  <c r="I1698" i="12"/>
  <c r="I2858" i="12"/>
  <c r="I2018" i="12"/>
  <c r="I2578" i="12"/>
  <c r="I1908" i="12"/>
  <c r="I1628" i="12"/>
  <c r="I2788" i="12"/>
  <c r="I3098" i="12"/>
  <c r="I2818" i="12"/>
  <c r="I2438" i="12"/>
  <c r="I1808" i="12"/>
  <c r="Y4" i="12"/>
  <c r="Y12" i="12"/>
  <c r="Y20" i="12"/>
  <c r="Y28" i="12"/>
  <c r="Y36" i="12"/>
  <c r="Y44" i="12"/>
  <c r="Y52" i="12"/>
  <c r="Y60" i="12"/>
  <c r="Y68" i="12"/>
  <c r="Y76" i="12"/>
  <c r="Y84" i="12"/>
  <c r="Y92" i="12"/>
  <c r="Y100" i="12"/>
  <c r="Y108" i="12"/>
  <c r="Y116" i="12"/>
  <c r="Y124" i="12"/>
  <c r="Y132" i="12"/>
  <c r="Y140" i="12"/>
  <c r="Y148" i="12"/>
  <c r="Y156" i="12"/>
  <c r="Y164" i="12"/>
  <c r="Y172" i="12"/>
  <c r="Y180" i="12"/>
  <c r="Y188" i="12"/>
  <c r="Y196" i="12"/>
  <c r="Y204" i="12"/>
  <c r="Y212" i="12"/>
  <c r="Y220" i="12"/>
  <c r="Y228" i="12"/>
  <c r="Y236" i="12"/>
  <c r="Y244" i="12"/>
  <c r="Y252" i="12"/>
  <c r="Y260" i="12"/>
  <c r="Y268" i="12"/>
  <c r="Y276" i="12"/>
  <c r="Y284" i="12"/>
  <c r="Y5" i="12"/>
  <c r="Y13" i="12"/>
  <c r="Y21" i="12"/>
  <c r="Y29" i="12"/>
  <c r="Y37" i="12"/>
  <c r="Y45" i="12"/>
  <c r="Y53" i="12"/>
  <c r="Y61" i="12"/>
  <c r="Y69" i="12"/>
  <c r="Y77" i="12"/>
  <c r="Y85" i="12"/>
  <c r="Y93" i="12"/>
  <c r="Y101" i="12"/>
  <c r="Y109" i="12"/>
  <c r="Y117" i="12"/>
  <c r="Y125" i="12"/>
  <c r="Y133" i="12"/>
  <c r="Y141" i="12"/>
  <c r="Y149" i="12"/>
  <c r="Y157" i="12"/>
  <c r="Y165" i="12"/>
  <c r="Y173" i="12"/>
  <c r="Y181" i="12"/>
  <c r="Y189" i="12"/>
  <c r="Y197" i="12"/>
  <c r="Y205" i="12"/>
  <c r="Y213" i="12"/>
  <c r="Y221" i="12"/>
  <c r="Y229" i="12"/>
  <c r="Y237" i="12"/>
  <c r="Y245" i="12"/>
  <c r="Y253" i="12"/>
  <c r="Y261" i="12"/>
  <c r="Y269" i="12"/>
  <c r="Y277" i="12"/>
  <c r="Y285" i="12"/>
  <c r="Y293" i="12"/>
  <c r="Y301" i="12"/>
  <c r="Y309" i="12"/>
  <c r="Y317" i="12"/>
  <c r="Y325" i="12"/>
  <c r="Y333" i="12"/>
  <c r="Y341" i="12"/>
  <c r="Y349" i="12"/>
  <c r="Y357" i="12"/>
  <c r="Y365" i="12"/>
  <c r="Y373" i="12"/>
  <c r="Y381" i="12"/>
  <c r="Y389" i="12"/>
  <c r="Y397" i="12"/>
  <c r="Y405" i="12"/>
  <c r="Y413" i="12"/>
  <c r="Y421" i="12"/>
  <c r="Y429" i="12"/>
  <c r="Y437" i="12"/>
  <c r="Y445" i="12"/>
  <c r="Y453" i="12"/>
  <c r="Y461" i="12"/>
  <c r="Y469" i="12"/>
  <c r="Y477" i="12"/>
  <c r="Y485" i="12"/>
  <c r="Y493" i="12"/>
  <c r="Y501" i="12"/>
  <c r="Y509" i="12"/>
  <c r="Y517" i="12"/>
  <c r="Y525" i="12"/>
  <c r="Y533" i="12"/>
  <c r="Y541" i="12"/>
  <c r="Y549" i="12"/>
  <c r="Y557" i="12"/>
  <c r="Y565" i="12"/>
  <c r="Y573" i="12"/>
  <c r="Y581" i="12"/>
  <c r="Y589" i="12"/>
  <c r="Y597" i="12"/>
  <c r="Y605" i="12"/>
  <c r="Y613" i="12"/>
  <c r="Y6" i="12"/>
  <c r="Y14" i="12"/>
  <c r="Y22" i="12"/>
  <c r="Y30" i="12"/>
  <c r="Y38" i="12"/>
  <c r="Y46" i="12"/>
  <c r="Y54" i="12"/>
  <c r="Y62" i="12"/>
  <c r="Y70" i="12"/>
  <c r="Y78" i="12"/>
  <c r="Y86" i="12"/>
  <c r="Y94" i="12"/>
  <c r="Y102" i="12"/>
  <c r="Y110" i="12"/>
  <c r="Y118" i="12"/>
  <c r="Y126" i="12"/>
  <c r="Y134" i="12"/>
  <c r="Y142" i="12"/>
  <c r="Y150" i="12"/>
  <c r="Y158" i="12"/>
  <c r="Y166" i="12"/>
  <c r="Y174" i="12"/>
  <c r="Y182" i="12"/>
  <c r="Y190" i="12"/>
  <c r="Y198" i="12"/>
  <c r="Y206" i="12"/>
  <c r="Y214" i="12"/>
  <c r="Y222" i="12"/>
  <c r="Y230" i="12"/>
  <c r="Y238" i="12"/>
  <c r="Y246" i="12"/>
  <c r="Y254" i="12"/>
  <c r="Y262" i="12"/>
  <c r="Y270" i="12"/>
  <c r="Y278" i="12"/>
  <c r="Y286" i="12"/>
  <c r="Y294" i="12"/>
  <c r="Y302" i="12"/>
  <c r="Y310" i="12"/>
  <c r="Y318" i="12"/>
  <c r="Y326" i="12"/>
  <c r="Y334" i="12"/>
  <c r="Y342" i="12"/>
  <c r="Y350" i="12"/>
  <c r="Y358" i="12"/>
  <c r="Y366" i="12"/>
  <c r="Y374" i="12"/>
  <c r="Y382" i="12"/>
  <c r="Y390" i="12"/>
  <c r="Y398" i="12"/>
  <c r="Y406" i="12"/>
  <c r="Y414" i="12"/>
  <c r="Y422" i="12"/>
  <c r="Y430" i="12"/>
  <c r="Y438" i="12"/>
  <c r="Y446" i="12"/>
  <c r="Y454" i="12"/>
  <c r="Y462" i="12"/>
  <c r="Y470" i="12"/>
  <c r="Y478" i="12"/>
  <c r="Y486" i="12"/>
  <c r="Y494" i="12"/>
  <c r="Y502" i="12"/>
  <c r="Y510" i="12"/>
  <c r="Y518" i="12"/>
  <c r="Y526" i="12"/>
  <c r="Y534" i="12"/>
  <c r="Y542" i="12"/>
  <c r="Y550" i="12"/>
  <c r="Y558" i="12"/>
  <c r="Y566" i="12"/>
  <c r="Y574" i="12"/>
  <c r="Y582" i="12"/>
  <c r="Y590" i="12"/>
  <c r="Y598" i="12"/>
  <c r="Y606" i="12"/>
  <c r="Y614" i="12"/>
  <c r="Y622" i="12"/>
  <c r="Y630" i="12"/>
  <c r="Y638" i="12"/>
  <c r="Y7" i="12"/>
  <c r="Y15" i="12"/>
  <c r="Y23" i="12"/>
  <c r="Y31" i="12"/>
  <c r="Y39" i="12"/>
  <c r="Y47" i="12"/>
  <c r="Y55" i="12"/>
  <c r="Y63" i="12"/>
  <c r="Y71" i="12"/>
  <c r="Y79" i="12"/>
  <c r="Y87" i="12"/>
  <c r="Y95" i="12"/>
  <c r="Y103" i="12"/>
  <c r="Y111" i="12"/>
  <c r="Y119" i="12"/>
  <c r="Y127" i="12"/>
  <c r="Y135" i="12"/>
  <c r="Y143" i="12"/>
  <c r="Y151" i="12"/>
  <c r="Y159" i="12"/>
  <c r="Y167" i="12"/>
  <c r="Y175" i="12"/>
  <c r="Y183" i="12"/>
  <c r="Y191" i="12"/>
  <c r="Y199" i="12"/>
  <c r="Y207" i="12"/>
  <c r="Y215" i="12"/>
  <c r="Y223" i="12"/>
  <c r="Y231" i="12"/>
  <c r="Y239" i="12"/>
  <c r="Y247" i="12"/>
  <c r="Y255" i="12"/>
  <c r="Y263" i="12"/>
  <c r="Y271" i="12"/>
  <c r="Y279" i="12"/>
  <c r="Y287" i="12"/>
  <c r="Y295" i="12"/>
  <c r="Y303" i="12"/>
  <c r="Y311" i="12"/>
  <c r="Y319" i="12"/>
  <c r="Y327" i="12"/>
  <c r="Y335" i="12"/>
  <c r="Y343" i="12"/>
  <c r="Y351" i="12"/>
  <c r="Y359" i="12"/>
  <c r="Y367" i="12"/>
  <c r="Y375" i="12"/>
  <c r="Y383" i="12"/>
  <c r="Y391" i="12"/>
  <c r="Y399" i="12"/>
  <c r="Y407" i="12"/>
  <c r="Y415" i="12"/>
  <c r="Y423" i="12"/>
  <c r="Y431" i="12"/>
  <c r="Y439" i="12"/>
  <c r="Y447" i="12"/>
  <c r="Y455" i="12"/>
  <c r="Y463" i="12"/>
  <c r="Y471" i="12"/>
  <c r="Y479" i="12"/>
  <c r="Y487" i="12"/>
  <c r="Y495" i="12"/>
  <c r="Y503" i="12"/>
  <c r="Y511" i="12"/>
  <c r="Y519" i="12"/>
  <c r="Y527" i="12"/>
  <c r="Y535" i="12"/>
  <c r="Y543" i="12"/>
  <c r="Y551" i="12"/>
  <c r="Y559" i="12"/>
  <c r="Y567" i="12"/>
  <c r="Y575" i="12"/>
  <c r="Y8" i="12"/>
  <c r="Y16" i="12"/>
  <c r="Y24" i="12"/>
  <c r="Y32" i="12"/>
  <c r="Y40" i="12"/>
  <c r="Y48" i="12"/>
  <c r="Y56" i="12"/>
  <c r="Y64" i="12"/>
  <c r="Y72" i="12"/>
  <c r="Y80" i="12"/>
  <c r="Y88" i="12"/>
  <c r="Y96" i="12"/>
  <c r="Y104" i="12"/>
  <c r="Y112" i="12"/>
  <c r="Y120" i="12"/>
  <c r="Y128" i="12"/>
  <c r="Y136" i="12"/>
  <c r="Y144" i="12"/>
  <c r="Y152" i="12"/>
  <c r="Y160" i="12"/>
  <c r="Y168" i="12"/>
  <c r="Y176" i="12"/>
  <c r="Y184" i="12"/>
  <c r="Y192" i="12"/>
  <c r="Y200" i="12"/>
  <c r="Y208" i="12"/>
  <c r="Y216" i="12"/>
  <c r="Y224" i="12"/>
  <c r="Y232" i="12"/>
  <c r="Y240" i="12"/>
  <c r="Y248" i="12"/>
  <c r="Y256" i="12"/>
  <c r="Y264" i="12"/>
  <c r="Y272" i="12"/>
  <c r="Y280" i="12"/>
  <c r="Y288" i="12"/>
  <c r="Y296" i="12"/>
  <c r="Y304" i="12"/>
  <c r="Y312" i="12"/>
  <c r="Y320" i="12"/>
  <c r="Y328" i="12"/>
  <c r="Y336" i="12"/>
  <c r="Y344" i="12"/>
  <c r="Y352" i="12"/>
  <c r="Y360" i="12"/>
  <c r="Y368" i="12"/>
  <c r="Y376" i="12"/>
  <c r="Y384" i="12"/>
  <c r="Y392" i="12"/>
  <c r="Y400" i="12"/>
  <c r="Y408" i="12"/>
  <c r="Y416" i="12"/>
  <c r="Y424" i="12"/>
  <c r="Y432" i="12"/>
  <c r="Y440" i="12"/>
  <c r="Y448" i="12"/>
  <c r="Y456" i="12"/>
  <c r="Y464" i="12"/>
  <c r="Y472" i="12"/>
  <c r="Y480" i="12"/>
  <c r="Y488" i="12"/>
  <c r="Y496" i="12"/>
  <c r="Y504" i="12"/>
  <c r="Y512" i="12"/>
  <c r="Y520" i="12"/>
  <c r="Y528" i="12"/>
  <c r="Y536" i="12"/>
  <c r="Y544" i="12"/>
  <c r="Y552" i="12"/>
  <c r="Y560" i="12"/>
  <c r="Y568" i="12"/>
  <c r="Y576" i="12"/>
  <c r="Y584" i="12"/>
  <c r="Y592" i="12"/>
  <c r="Y600" i="12"/>
  <c r="Y608" i="12"/>
  <c r="Y616" i="12"/>
  <c r="Y624" i="12"/>
  <c r="Y9" i="12"/>
  <c r="Y17" i="12"/>
  <c r="Y25" i="12"/>
  <c r="Y33" i="12"/>
  <c r="Y41" i="12"/>
  <c r="Y49" i="12"/>
  <c r="Y57" i="12"/>
  <c r="Y65" i="12"/>
  <c r="Y73" i="12"/>
  <c r="Y81" i="12"/>
  <c r="Y89" i="12"/>
  <c r="Y97" i="12"/>
  <c r="Y105" i="12"/>
  <c r="Y113" i="12"/>
  <c r="Y121" i="12"/>
  <c r="Y129" i="12"/>
  <c r="Y137" i="12"/>
  <c r="Y145" i="12"/>
  <c r="Y153" i="12"/>
  <c r="Y161" i="12"/>
  <c r="Y169" i="12"/>
  <c r="Y177" i="12"/>
  <c r="Y185" i="12"/>
  <c r="Y193" i="12"/>
  <c r="Y201" i="12"/>
  <c r="Y209" i="12"/>
  <c r="Y217" i="12"/>
  <c r="Y225" i="12"/>
  <c r="Y233" i="12"/>
  <c r="Y241" i="12"/>
  <c r="Y249" i="12"/>
  <c r="Y257" i="12"/>
  <c r="Y265" i="12"/>
  <c r="Y273" i="12"/>
  <c r="Y281" i="12"/>
  <c r="Y289" i="12"/>
  <c r="Y297" i="12"/>
  <c r="Y305" i="12"/>
  <c r="Y313" i="12"/>
  <c r="Y321" i="12"/>
  <c r="Y329" i="12"/>
  <c r="Y337" i="12"/>
  <c r="Y345" i="12"/>
  <c r="Y353" i="12"/>
  <c r="Y361" i="12"/>
  <c r="Y369" i="12"/>
  <c r="Y377" i="12"/>
  <c r="Y385" i="12"/>
  <c r="Y393" i="12"/>
  <c r="Y401" i="12"/>
  <c r="Y409" i="12"/>
  <c r="Y417" i="12"/>
  <c r="Y425" i="12"/>
  <c r="Y433" i="12"/>
  <c r="Y441" i="12"/>
  <c r="Y449" i="12"/>
  <c r="Y457" i="12"/>
  <c r="Y465" i="12"/>
  <c r="Y473" i="12"/>
  <c r="Y481" i="12"/>
  <c r="Y489" i="12"/>
  <c r="Y497" i="12"/>
  <c r="Y505" i="12"/>
  <c r="Y513" i="12"/>
  <c r="Y521" i="12"/>
  <c r="Y529" i="12"/>
  <c r="Y537" i="12"/>
  <c r="Y545" i="12"/>
  <c r="Y553" i="12"/>
  <c r="Y561" i="12"/>
  <c r="Y569" i="12"/>
  <c r="Y577" i="12"/>
  <c r="Y585" i="12"/>
  <c r="Y593" i="12"/>
  <c r="Y601" i="12"/>
  <c r="Y609" i="12"/>
  <c r="Y617" i="12"/>
  <c r="Y625" i="12"/>
  <c r="Y633" i="12"/>
  <c r="Y641" i="12"/>
  <c r="Y10" i="12"/>
  <c r="Y42" i="12"/>
  <c r="Y74" i="12"/>
  <c r="Y106" i="12"/>
  <c r="Y138" i="12"/>
  <c r="Y170" i="12"/>
  <c r="Y202" i="12"/>
  <c r="Y234" i="12"/>
  <c r="Y266" i="12"/>
  <c r="Y292" i="12"/>
  <c r="Y315" i="12"/>
  <c r="Y338" i="12"/>
  <c r="Y356" i="12"/>
  <c r="Y379" i="12"/>
  <c r="Y402" i="12"/>
  <c r="Y420" i="12"/>
  <c r="Y443" i="12"/>
  <c r="Y466" i="12"/>
  <c r="Y484" i="12"/>
  <c r="Y507" i="12"/>
  <c r="Y530" i="12"/>
  <c r="Y548" i="12"/>
  <c r="Y571" i="12"/>
  <c r="Y588" i="12"/>
  <c r="Y604" i="12"/>
  <c r="Y620" i="12"/>
  <c r="Y632" i="12"/>
  <c r="Y643" i="12"/>
  <c r="Y651" i="12"/>
  <c r="Y659" i="12"/>
  <c r="Y667" i="12"/>
  <c r="Y675" i="12"/>
  <c r="Y683" i="12"/>
  <c r="Y691" i="12"/>
  <c r="Y699" i="12"/>
  <c r="Y707" i="12"/>
  <c r="Y715" i="12"/>
  <c r="Y723" i="12"/>
  <c r="Y731" i="12"/>
  <c r="Y739" i="12"/>
  <c r="Y747" i="12"/>
  <c r="Y755" i="12"/>
  <c r="Y763" i="12"/>
  <c r="Y771" i="12"/>
  <c r="Y779" i="12"/>
  <c r="Y787" i="12"/>
  <c r="Y795" i="12"/>
  <c r="Y803" i="12"/>
  <c r="Y811" i="12"/>
  <c r="Y819" i="12"/>
  <c r="Y827" i="12"/>
  <c r="Y835" i="12"/>
  <c r="Y843" i="12"/>
  <c r="Y851" i="12"/>
  <c r="Y859" i="12"/>
  <c r="Y867" i="12"/>
  <c r="Y875" i="12"/>
  <c r="Y883" i="12"/>
  <c r="Y891" i="12"/>
  <c r="Y899" i="12"/>
  <c r="Y907" i="12"/>
  <c r="Y915" i="12"/>
  <c r="Y923" i="12"/>
  <c r="Y931" i="12"/>
  <c r="Y939" i="12"/>
  <c r="Y947" i="12"/>
  <c r="Y955" i="12"/>
  <c r="Y963" i="12"/>
  <c r="Y971" i="12"/>
  <c r="Y979" i="12"/>
  <c r="Y987" i="12"/>
  <c r="Y995" i="12"/>
  <c r="Y1003" i="12"/>
  <c r="Y1011" i="12"/>
  <c r="Y1019" i="12"/>
  <c r="Y1027" i="12"/>
  <c r="Y1035" i="12"/>
  <c r="Y1043" i="12"/>
  <c r="Y1051" i="12"/>
  <c r="Y1059" i="12"/>
  <c r="Y1067" i="12"/>
  <c r="Y1075" i="12"/>
  <c r="Y1083" i="12"/>
  <c r="Y11" i="12"/>
  <c r="Y43" i="12"/>
  <c r="Y75" i="12"/>
  <c r="Y107" i="12"/>
  <c r="Y139" i="12"/>
  <c r="Y171" i="12"/>
  <c r="Y203" i="12"/>
  <c r="Y235" i="12"/>
  <c r="Y267" i="12"/>
  <c r="Y298" i="12"/>
  <c r="Y316" i="12"/>
  <c r="Y339" i="12"/>
  <c r="Y362" i="12"/>
  <c r="Y380" i="12"/>
  <c r="Y403" i="12"/>
  <c r="Y426" i="12"/>
  <c r="Y444" i="12"/>
  <c r="Y467" i="12"/>
  <c r="Y490" i="12"/>
  <c r="Y508" i="12"/>
  <c r="Y531" i="12"/>
  <c r="Y554" i="12"/>
  <c r="Y572" i="12"/>
  <c r="Y591" i="12"/>
  <c r="Y607" i="12"/>
  <c r="Y621" i="12"/>
  <c r="Y634" i="12"/>
  <c r="Y644" i="12"/>
  <c r="Y652" i="12"/>
  <c r="Y660" i="12"/>
  <c r="Y668" i="12"/>
  <c r="Y676" i="12"/>
  <c r="Y684" i="12"/>
  <c r="Y692" i="12"/>
  <c r="Y700" i="12"/>
  <c r="Y708" i="12"/>
  <c r="Y716" i="12"/>
  <c r="Y724" i="12"/>
  <c r="Y732" i="12"/>
  <c r="Y740" i="12"/>
  <c r="Y748" i="12"/>
  <c r="Y756" i="12"/>
  <c r="Y764" i="12"/>
  <c r="Y772" i="12"/>
  <c r="Y780" i="12"/>
  <c r="Y788" i="12"/>
  <c r="Y796" i="12"/>
  <c r="Y804" i="12"/>
  <c r="Y812" i="12"/>
  <c r="Y820" i="12"/>
  <c r="Y828" i="12"/>
  <c r="Y836" i="12"/>
  <c r="Y844" i="12"/>
  <c r="Y852" i="12"/>
  <c r="Y860" i="12"/>
  <c r="Y868" i="12"/>
  <c r="Y876" i="12"/>
  <c r="Y884" i="12"/>
  <c r="Y892" i="12"/>
  <c r="Y900" i="12"/>
  <c r="Y908" i="12"/>
  <c r="Y916" i="12"/>
  <c r="Y924" i="12"/>
  <c r="Y932" i="12"/>
  <c r="Y940" i="12"/>
  <c r="Y948" i="12"/>
  <c r="Y956" i="12"/>
  <c r="Y964" i="12"/>
  <c r="Y972" i="12"/>
  <c r="Y980" i="12"/>
  <c r="Y988" i="12"/>
  <c r="Y18" i="12"/>
  <c r="Y50" i="12"/>
  <c r="Y82" i="12"/>
  <c r="Y114" i="12"/>
  <c r="Y146" i="12"/>
  <c r="Y178" i="12"/>
  <c r="Y210" i="12"/>
  <c r="Y242" i="12"/>
  <c r="Y274" i="12"/>
  <c r="Y299" i="12"/>
  <c r="Y322" i="12"/>
  <c r="Y340" i="12"/>
  <c r="Y363" i="12"/>
  <c r="Y386" i="12"/>
  <c r="Y404" i="12"/>
  <c r="Y427" i="12"/>
  <c r="Y450" i="12"/>
  <c r="Y468" i="12"/>
  <c r="Y491" i="12"/>
  <c r="Y514" i="12"/>
  <c r="Y532" i="12"/>
  <c r="Y555" i="12"/>
  <c r="Y578" i="12"/>
  <c r="Y594" i="12"/>
  <c r="Y610" i="12"/>
  <c r="Y623" i="12"/>
  <c r="Y635" i="12"/>
  <c r="Y645" i="12"/>
  <c r="Y653" i="12"/>
  <c r="Y661" i="12"/>
  <c r="Y669" i="12"/>
  <c r="Y677" i="12"/>
  <c r="Y685" i="12"/>
  <c r="Y693" i="12"/>
  <c r="Y701" i="12"/>
  <c r="Y709" i="12"/>
  <c r="Y717" i="12"/>
  <c r="Y725" i="12"/>
  <c r="Y733" i="12"/>
  <c r="Y741" i="12"/>
  <c r="Y749" i="12"/>
  <c r="Y757" i="12"/>
  <c r="Y765" i="12"/>
  <c r="Y773" i="12"/>
  <c r="Y781" i="12"/>
  <c r="Y789" i="12"/>
  <c r="Y797" i="12"/>
  <c r="Y805" i="12"/>
  <c r="Y813" i="12"/>
  <c r="Y821" i="12"/>
  <c r="Y829" i="12"/>
  <c r="Y837" i="12"/>
  <c r="Y845" i="12"/>
  <c r="Y853" i="12"/>
  <c r="Y861" i="12"/>
  <c r="Y869" i="12"/>
  <c r="Y877" i="12"/>
  <c r="Y885" i="12"/>
  <c r="Y893" i="12"/>
  <c r="Y901" i="12"/>
  <c r="Y909" i="12"/>
  <c r="Y917" i="12"/>
  <c r="Y925" i="12"/>
  <c r="Y933" i="12"/>
  <c r="Y941" i="12"/>
  <c r="Y949" i="12"/>
  <c r="Y957" i="12"/>
  <c r="Y965" i="12"/>
  <c r="Y973" i="12"/>
  <c r="Y981" i="12"/>
  <c r="Y989" i="12"/>
  <c r="Y997" i="12"/>
  <c r="Y1005" i="12"/>
  <c r="Y1013" i="12"/>
  <c r="Y1021" i="12"/>
  <c r="Y1029" i="12"/>
  <c r="Y1037" i="12"/>
  <c r="Y1045" i="12"/>
  <c r="Y1053" i="12"/>
  <c r="Y1061" i="12"/>
  <c r="Y1069" i="12"/>
  <c r="Y1077" i="12"/>
  <c r="Y1085" i="12"/>
  <c r="Y1093" i="12"/>
  <c r="Y1101" i="12"/>
  <c r="Y19" i="12"/>
  <c r="Y51" i="12"/>
  <c r="Y83" i="12"/>
  <c r="Y115" i="12"/>
  <c r="Y147" i="12"/>
  <c r="Y179" i="12"/>
  <c r="Y211" i="12"/>
  <c r="Y243" i="12"/>
  <c r="Y275" i="12"/>
  <c r="Y300" i="12"/>
  <c r="Y323" i="12"/>
  <c r="Y346" i="12"/>
  <c r="Y364" i="12"/>
  <c r="Y387" i="12"/>
  <c r="Y410" i="12"/>
  <c r="Y428" i="12"/>
  <c r="Y451" i="12"/>
  <c r="Y474" i="12"/>
  <c r="Y492" i="12"/>
  <c r="Y515" i="12"/>
  <c r="Y538" i="12"/>
  <c r="Y556" i="12"/>
  <c r="Y579" i="12"/>
  <c r="Y595" i="12"/>
  <c r="Y611" i="12"/>
  <c r="Y626" i="12"/>
  <c r="Y636" i="12"/>
  <c r="Y646" i="12"/>
  <c r="Y654" i="12"/>
  <c r="Y662" i="12"/>
  <c r="Y670" i="12"/>
  <c r="Y678" i="12"/>
  <c r="Y686" i="12"/>
  <c r="Y694" i="12"/>
  <c r="Y702" i="12"/>
  <c r="Y710" i="12"/>
  <c r="Y718" i="12"/>
  <c r="Y726" i="12"/>
  <c r="Y734" i="12"/>
  <c r="Y742" i="12"/>
  <c r="Y750" i="12"/>
  <c r="Y758" i="12"/>
  <c r="Y766" i="12"/>
  <c r="Y774" i="12"/>
  <c r="Y782" i="12"/>
  <c r="Y790" i="12"/>
  <c r="Y798" i="12"/>
  <c r="Y806" i="12"/>
  <c r="Y814" i="12"/>
  <c r="Y822" i="12"/>
  <c r="Y830" i="12"/>
  <c r="Y838" i="12"/>
  <c r="Y846" i="12"/>
  <c r="Y854" i="12"/>
  <c r="Y862" i="12"/>
  <c r="Y870" i="12"/>
  <c r="Y878" i="12"/>
  <c r="Y886" i="12"/>
  <c r="Y894" i="12"/>
  <c r="Y902" i="12"/>
  <c r="Y910" i="12"/>
  <c r="Y918" i="12"/>
  <c r="Y926" i="12"/>
  <c r="Y934" i="12"/>
  <c r="Y942" i="12"/>
  <c r="Y950" i="12"/>
  <c r="Y958" i="12"/>
  <c r="Y966" i="12"/>
  <c r="Y974" i="12"/>
  <c r="Y982" i="12"/>
  <c r="Y990" i="12"/>
  <c r="Y998" i="12"/>
  <c r="Y1006" i="12"/>
  <c r="Y1014" i="12"/>
  <c r="Y1022" i="12"/>
  <c r="Y1030" i="12"/>
  <c r="Y1038" i="12"/>
  <c r="Y1046" i="12"/>
  <c r="Y1054" i="12"/>
  <c r="Y1062" i="12"/>
  <c r="Y1070" i="12"/>
  <c r="Y1078" i="12"/>
  <c r="Y1086" i="12"/>
  <c r="Y1094" i="12"/>
  <c r="Y26" i="12"/>
  <c r="Y58" i="12"/>
  <c r="Y90" i="12"/>
  <c r="Y122" i="12"/>
  <c r="Y154" i="12"/>
  <c r="Y186" i="12"/>
  <c r="Y218" i="12"/>
  <c r="Y250" i="12"/>
  <c r="Y282" i="12"/>
  <c r="Y306" i="12"/>
  <c r="Y324" i="12"/>
  <c r="Y347" i="12"/>
  <c r="Y370" i="12"/>
  <c r="Y388" i="12"/>
  <c r="Y411" i="12"/>
  <c r="Y434" i="12"/>
  <c r="Y452" i="12"/>
  <c r="Y475" i="12"/>
  <c r="Y498" i="12"/>
  <c r="Y516" i="12"/>
  <c r="Y539" i="12"/>
  <c r="Y562" i="12"/>
  <c r="Y580" i="12"/>
  <c r="Y596" i="12"/>
  <c r="Y612" i="12"/>
  <c r="Y627" i="12"/>
  <c r="Y637" i="12"/>
  <c r="Y647" i="12"/>
  <c r="Y655" i="12"/>
  <c r="Y663" i="12"/>
  <c r="Y671" i="12"/>
  <c r="Y679" i="12"/>
  <c r="Y687" i="12"/>
  <c r="Y695" i="12"/>
  <c r="Y703" i="12"/>
  <c r="Y711" i="12"/>
  <c r="Y719" i="12"/>
  <c r="Y727" i="12"/>
  <c r="Y735" i="12"/>
  <c r="Y743" i="12"/>
  <c r="Y751" i="12"/>
  <c r="Y759" i="12"/>
  <c r="Y767" i="12"/>
  <c r="Y775" i="12"/>
  <c r="Y783" i="12"/>
  <c r="Y791" i="12"/>
  <c r="Y799" i="12"/>
  <c r="Y807" i="12"/>
  <c r="Y815" i="12"/>
  <c r="Y823" i="12"/>
  <c r="Y831" i="12"/>
  <c r="Y839" i="12"/>
  <c r="Y847" i="12"/>
  <c r="Y855" i="12"/>
  <c r="Y863" i="12"/>
  <c r="Y871" i="12"/>
  <c r="Y879" i="12"/>
  <c r="Y887" i="12"/>
  <c r="Y895" i="12"/>
  <c r="Y903" i="12"/>
  <c r="Y911" i="12"/>
  <c r="Y919" i="12"/>
  <c r="Y927" i="12"/>
  <c r="Y935" i="12"/>
  <c r="Y943" i="12"/>
  <c r="Y951" i="12"/>
  <c r="Y959" i="12"/>
  <c r="Y967" i="12"/>
  <c r="Y975" i="12"/>
  <c r="Y983" i="12"/>
  <c r="Y991" i="12"/>
  <c r="Y999" i="12"/>
  <c r="Y1007" i="12"/>
  <c r="Y1015" i="12"/>
  <c r="Y1023" i="12"/>
  <c r="Y1031" i="12"/>
  <c r="Y1039" i="12"/>
  <c r="Y1047" i="12"/>
  <c r="Y1055" i="12"/>
  <c r="Y1063" i="12"/>
  <c r="Y1071" i="12"/>
  <c r="Y1079" i="12"/>
  <c r="Y1087" i="12"/>
  <c r="Y1095" i="12"/>
  <c r="Y35" i="12"/>
  <c r="Y67" i="12"/>
  <c r="Y99" i="12"/>
  <c r="Y131" i="12"/>
  <c r="Y163" i="12"/>
  <c r="Y195" i="12"/>
  <c r="Y227" i="12"/>
  <c r="Y259" i="12"/>
  <c r="Y291" i="12"/>
  <c r="Y314" i="12"/>
  <c r="Y332" i="12"/>
  <c r="Y355" i="12"/>
  <c r="Y378" i="12"/>
  <c r="Y396" i="12"/>
  <c r="Y419" i="12"/>
  <c r="Y442" i="12"/>
  <c r="Y460" i="12"/>
  <c r="Y483" i="12"/>
  <c r="Y506" i="12"/>
  <c r="Y524" i="12"/>
  <c r="Y547" i="12"/>
  <c r="Y570" i="12"/>
  <c r="Y587" i="12"/>
  <c r="Y603" i="12"/>
  <c r="Y619" i="12"/>
  <c r="Y631" i="12"/>
  <c r="Y642" i="12"/>
  <c r="Y650" i="12"/>
  <c r="Y658" i="12"/>
  <c r="Y666" i="12"/>
  <c r="Y674" i="12"/>
  <c r="Y682" i="12"/>
  <c r="Y690" i="12"/>
  <c r="Y698" i="12"/>
  <c r="Y706" i="12"/>
  <c r="Y714" i="12"/>
  <c r="Y722" i="12"/>
  <c r="Y730" i="12"/>
  <c r="Y738" i="12"/>
  <c r="Y746" i="12"/>
  <c r="Y754" i="12"/>
  <c r="Y762" i="12"/>
  <c r="Y770" i="12"/>
  <c r="Y778" i="12"/>
  <c r="Y786" i="12"/>
  <c r="Y794" i="12"/>
  <c r="Y802" i="12"/>
  <c r="Y810" i="12"/>
  <c r="Y818" i="12"/>
  <c r="Y826" i="12"/>
  <c r="Y834" i="12"/>
  <c r="Y842" i="12"/>
  <c r="Y850" i="12"/>
  <c r="Y858" i="12"/>
  <c r="Y866" i="12"/>
  <c r="Y874" i="12"/>
  <c r="Y882" i="12"/>
  <c r="Y890" i="12"/>
  <c r="Y898" i="12"/>
  <c r="Y906" i="12"/>
  <c r="Y914" i="12"/>
  <c r="Y922" i="12"/>
  <c r="Y930" i="12"/>
  <c r="Y938" i="12"/>
  <c r="Y946" i="12"/>
  <c r="Y954" i="12"/>
  <c r="Y962" i="12"/>
  <c r="Y970" i="12"/>
  <c r="Y978" i="12"/>
  <c r="Y986" i="12"/>
  <c r="Y994" i="12"/>
  <c r="Y1002" i="12"/>
  <c r="Y1010" i="12"/>
  <c r="Y1018" i="12"/>
  <c r="Y1026" i="12"/>
  <c r="Y1034" i="12"/>
  <c r="Y1042" i="12"/>
  <c r="Y1050" i="12"/>
  <c r="Y1058" i="12"/>
  <c r="Y1066" i="12"/>
  <c r="Y1074" i="12"/>
  <c r="Y1082" i="12"/>
  <c r="Y1090" i="12"/>
  <c r="Y1098" i="12"/>
  <c r="Y27" i="12"/>
  <c r="Y155" i="12"/>
  <c r="Y283" i="12"/>
  <c r="Y371" i="12"/>
  <c r="Y458" i="12"/>
  <c r="Y540" i="12"/>
  <c r="Y615" i="12"/>
  <c r="Y656" i="12"/>
  <c r="Y688" i="12"/>
  <c r="Y720" i="12"/>
  <c r="Y752" i="12"/>
  <c r="Y784" i="12"/>
  <c r="Y816" i="12"/>
  <c r="Y848" i="12"/>
  <c r="Y880" i="12"/>
  <c r="Y912" i="12"/>
  <c r="Y944" i="12"/>
  <c r="Y976" i="12"/>
  <c r="Y1001" i="12"/>
  <c r="Y1024" i="12"/>
  <c r="Y1044" i="12"/>
  <c r="Y1065" i="12"/>
  <c r="Y1088" i="12"/>
  <c r="Y1102" i="12"/>
  <c r="Y1110" i="12"/>
  <c r="Y1118" i="12"/>
  <c r="Y1126" i="12"/>
  <c r="Y1134" i="12"/>
  <c r="Y1142" i="12"/>
  <c r="Y1150" i="12"/>
  <c r="Y1158" i="12"/>
  <c r="Y1166" i="12"/>
  <c r="Y1174" i="12"/>
  <c r="Y1182" i="12"/>
  <c r="Y1190" i="12"/>
  <c r="Y1198" i="12"/>
  <c r="Y1206" i="12"/>
  <c r="Y1214" i="12"/>
  <c r="Y1222" i="12"/>
  <c r="Y1230" i="12"/>
  <c r="Y1238" i="12"/>
  <c r="Y1246" i="12"/>
  <c r="Y1254" i="12"/>
  <c r="Y1262" i="12"/>
  <c r="Y1270" i="12"/>
  <c r="Y1278" i="12"/>
  <c r="Y1286" i="12"/>
  <c r="Y1294" i="12"/>
  <c r="Y1302" i="12"/>
  <c r="Y1310" i="12"/>
  <c r="Y1318" i="12"/>
  <c r="Y1326" i="12"/>
  <c r="Y1334" i="12"/>
  <c r="Y1342" i="12"/>
  <c r="Y1350" i="12"/>
  <c r="Y1358" i="12"/>
  <c r="Y1366" i="12"/>
  <c r="Y1374" i="12"/>
  <c r="Y1382" i="12"/>
  <c r="Y1390" i="12"/>
  <c r="Y1398" i="12"/>
  <c r="Y1406" i="12"/>
  <c r="Y1414" i="12"/>
  <c r="Y1422" i="12"/>
  <c r="Y1430" i="12"/>
  <c r="Y1438" i="12"/>
  <c r="Y1446" i="12"/>
  <c r="Y1454" i="12"/>
  <c r="Y1462" i="12"/>
  <c r="Y1470" i="12"/>
  <c r="Y1478" i="12"/>
  <c r="Y1486" i="12"/>
  <c r="Y1494" i="12"/>
  <c r="Y1502" i="12"/>
  <c r="Y1510" i="12"/>
  <c r="Y1518" i="12"/>
  <c r="Y1526" i="12"/>
  <c r="Y1534" i="12"/>
  <c r="Y1542" i="12"/>
  <c r="Y34" i="12"/>
  <c r="Y162" i="12"/>
  <c r="Y290" i="12"/>
  <c r="Y372" i="12"/>
  <c r="Y459" i="12"/>
  <c r="Y546" i="12"/>
  <c r="Y618" i="12"/>
  <c r="Y657" i="12"/>
  <c r="Y689" i="12"/>
  <c r="Y721" i="12"/>
  <c r="Y753" i="12"/>
  <c r="Y785" i="12"/>
  <c r="Y817" i="12"/>
  <c r="Y849" i="12"/>
  <c r="Y881" i="12"/>
  <c r="Y913" i="12"/>
  <c r="Y945" i="12"/>
  <c r="Y977" i="12"/>
  <c r="Y1004" i="12"/>
  <c r="Y1025" i="12"/>
  <c r="Y1048" i="12"/>
  <c r="Y1068" i="12"/>
  <c r="Y1089" i="12"/>
  <c r="Y1103" i="12"/>
  <c r="Y1111" i="12"/>
  <c r="Y1119" i="12"/>
  <c r="Y1127" i="12"/>
  <c r="Y1135" i="12"/>
  <c r="Y1143" i="12"/>
  <c r="Y1151" i="12"/>
  <c r="Y1159" i="12"/>
  <c r="Y1167" i="12"/>
  <c r="Y1175" i="12"/>
  <c r="Y1183" i="12"/>
  <c r="Y1191" i="12"/>
  <c r="Y1199" i="12"/>
  <c r="Y1207" i="12"/>
  <c r="Y1215" i="12"/>
  <c r="Y1223" i="12"/>
  <c r="Y1231" i="12"/>
  <c r="Y1239" i="12"/>
  <c r="Y1247" i="12"/>
  <c r="Y1255" i="12"/>
  <c r="Y1263" i="12"/>
  <c r="Y1271" i="12"/>
  <c r="Y1279" i="12"/>
  <c r="Y1287" i="12"/>
  <c r="Y1295" i="12"/>
  <c r="Y1303" i="12"/>
  <c r="Y1311" i="12"/>
  <c r="Y1319" i="12"/>
  <c r="Y1327" i="12"/>
  <c r="Y1335" i="12"/>
  <c r="Y1343" i="12"/>
  <c r="Y1351" i="12"/>
  <c r="Y1359" i="12"/>
  <c r="Y1367" i="12"/>
  <c r="Y1375" i="12"/>
  <c r="Y1383" i="12"/>
  <c r="Y1391" i="12"/>
  <c r="Y1399" i="12"/>
  <c r="Y1407" i="12"/>
  <c r="Y1415" i="12"/>
  <c r="Y1423" i="12"/>
  <c r="Y1431" i="12"/>
  <c r="Y1439" i="12"/>
  <c r="Y1447" i="12"/>
  <c r="Y1455" i="12"/>
  <c r="Y1463" i="12"/>
  <c r="Y1471" i="12"/>
  <c r="Y1479" i="12"/>
  <c r="Y1487" i="12"/>
  <c r="Y1495" i="12"/>
  <c r="Y59" i="12"/>
  <c r="Y187" i="12"/>
  <c r="Y307" i="12"/>
  <c r="Y394" i="12"/>
  <c r="Y476" i="12"/>
  <c r="Y563" i="12"/>
  <c r="Y628" i="12"/>
  <c r="Y664" i="12"/>
  <c r="Y696" i="12"/>
  <c r="Y728" i="12"/>
  <c r="Y760" i="12"/>
  <c r="Y792" i="12"/>
  <c r="Y824" i="12"/>
  <c r="Y856" i="12"/>
  <c r="Y888" i="12"/>
  <c r="Y920" i="12"/>
  <c r="Y952" i="12"/>
  <c r="Y984" i="12"/>
  <c r="Y1008" i="12"/>
  <c r="Y1028" i="12"/>
  <c r="Y1049" i="12"/>
  <c r="Y1072" i="12"/>
  <c r="Y1091" i="12"/>
  <c r="Y1104" i="12"/>
  <c r="Y1112" i="12"/>
  <c r="Y1120" i="12"/>
  <c r="Y1128" i="12"/>
  <c r="Y1136" i="12"/>
  <c r="Y1144" i="12"/>
  <c r="Y1152" i="12"/>
  <c r="Y1160" i="12"/>
  <c r="Y1168" i="12"/>
  <c r="Y1176" i="12"/>
  <c r="Y1184" i="12"/>
  <c r="Y1192" i="12"/>
  <c r="Y1200" i="12"/>
  <c r="Y1208" i="12"/>
  <c r="Y1216" i="12"/>
  <c r="Y1224" i="12"/>
  <c r="Y1232" i="12"/>
  <c r="Y1240" i="12"/>
  <c r="Y1248" i="12"/>
  <c r="Y1256" i="12"/>
  <c r="Y1264" i="12"/>
  <c r="Y1272" i="12"/>
  <c r="Y1280" i="12"/>
  <c r="Y1288" i="12"/>
  <c r="Y1296" i="12"/>
  <c r="Y1304" i="12"/>
  <c r="Y1312" i="12"/>
  <c r="Y1320" i="12"/>
  <c r="Y1328" i="12"/>
  <c r="Y1336" i="12"/>
  <c r="Y1344" i="12"/>
  <c r="Y1352" i="12"/>
  <c r="Y1360" i="12"/>
  <c r="Y1368" i="12"/>
  <c r="Y1376" i="12"/>
  <c r="Y1384" i="12"/>
  <c r="Y1392" i="12"/>
  <c r="Y1400" i="12"/>
  <c r="Y1408" i="12"/>
  <c r="Y1416" i="12"/>
  <c r="Y1424" i="12"/>
  <c r="Y1432" i="12"/>
  <c r="Y1440" i="12"/>
  <c r="Y1448" i="12"/>
  <c r="Y1456" i="12"/>
  <c r="Y1464" i="12"/>
  <c r="Y1472" i="12"/>
  <c r="Y1480" i="12"/>
  <c r="Y1488" i="12"/>
  <c r="Y1496" i="12"/>
  <c r="Y1504" i="12"/>
  <c r="Y1512" i="12"/>
  <c r="Y1520" i="12"/>
  <c r="Y1528" i="12"/>
  <c r="Y1536" i="12"/>
  <c r="Y1544" i="12"/>
  <c r="Y1552" i="12"/>
  <c r="Y66" i="12"/>
  <c r="Y194" i="12"/>
  <c r="Y308" i="12"/>
  <c r="Y395" i="12"/>
  <c r="Y482" i="12"/>
  <c r="Y564" i="12"/>
  <c r="Y629" i="12"/>
  <c r="Y665" i="12"/>
  <c r="Y697" i="12"/>
  <c r="Y729" i="12"/>
  <c r="Y761" i="12"/>
  <c r="Y793" i="12"/>
  <c r="Y825" i="12"/>
  <c r="Y857" i="12"/>
  <c r="Y889" i="12"/>
  <c r="Y921" i="12"/>
  <c r="Y953" i="12"/>
  <c r="Y985" i="12"/>
  <c r="Y1009" i="12"/>
  <c r="Y1032" i="12"/>
  <c r="Y1052" i="12"/>
  <c r="Y1073" i="12"/>
  <c r="Y1092" i="12"/>
  <c r="Y1105" i="12"/>
  <c r="Y1113" i="12"/>
  <c r="Y1121" i="12"/>
  <c r="Y1129" i="12"/>
  <c r="Y1137" i="12"/>
  <c r="Y1145" i="12"/>
  <c r="Y1153" i="12"/>
  <c r="Y1161" i="12"/>
  <c r="Y1169" i="12"/>
  <c r="Y1177" i="12"/>
  <c r="Y1185" i="12"/>
  <c r="Y1193" i="12"/>
  <c r="Y1201" i="12"/>
  <c r="Y1209" i="12"/>
  <c r="Y1217" i="12"/>
  <c r="Y1225" i="12"/>
  <c r="Y1233" i="12"/>
  <c r="Y1241" i="12"/>
  <c r="Y1249" i="12"/>
  <c r="Y1257" i="12"/>
  <c r="Y1265" i="12"/>
  <c r="Y1273" i="12"/>
  <c r="Y1281" i="12"/>
  <c r="Y1289" i="12"/>
  <c r="Y1297" i="12"/>
  <c r="Y1305" i="12"/>
  <c r="Y1313" i="12"/>
  <c r="Y1321" i="12"/>
  <c r="Y1329" i="12"/>
  <c r="Y1337" i="12"/>
  <c r="Y1345" i="12"/>
  <c r="Y1353" i="12"/>
  <c r="Y1361" i="12"/>
  <c r="Y1369" i="12"/>
  <c r="Y1377" i="12"/>
  <c r="Y1385" i="12"/>
  <c r="Y1393" i="12"/>
  <c r="Y1401" i="12"/>
  <c r="Y1409" i="12"/>
  <c r="Y1417" i="12"/>
  <c r="Y1425" i="12"/>
  <c r="Y1433" i="12"/>
  <c r="Y1441" i="12"/>
  <c r="Y1449" i="12"/>
  <c r="Y1457" i="12"/>
  <c r="Y1465" i="12"/>
  <c r="Y1473" i="12"/>
  <c r="Y1481" i="12"/>
  <c r="Y1489" i="12"/>
  <c r="Y1497" i="12"/>
  <c r="Y1505" i="12"/>
  <c r="Y1513" i="12"/>
  <c r="Y1521" i="12"/>
  <c r="Y1529" i="12"/>
  <c r="Y1537" i="12"/>
  <c r="Y1545" i="12"/>
  <c r="Y1553" i="12"/>
  <c r="Y1561" i="12"/>
  <c r="Y1569" i="12"/>
  <c r="Y1577" i="12"/>
  <c r="Y1585" i="12"/>
  <c r="Y1593" i="12"/>
  <c r="Y91" i="12"/>
  <c r="Y219" i="12"/>
  <c r="Y330" i="12"/>
  <c r="Y412" i="12"/>
  <c r="Y499" i="12"/>
  <c r="Y583" i="12"/>
  <c r="Y639" i="12"/>
  <c r="Y672" i="12"/>
  <c r="Y704" i="12"/>
  <c r="Y736" i="12"/>
  <c r="Y768" i="12"/>
  <c r="Y800" i="12"/>
  <c r="Y832" i="12"/>
  <c r="Y864" i="12"/>
  <c r="Y896" i="12"/>
  <c r="Y928" i="12"/>
  <c r="Y960" i="12"/>
  <c r="Y992" i="12"/>
  <c r="Y1012" i="12"/>
  <c r="Y1033" i="12"/>
  <c r="Y1056" i="12"/>
  <c r="Y1076" i="12"/>
  <c r="Y1096" i="12"/>
  <c r="Y1106" i="12"/>
  <c r="Y1114" i="12"/>
  <c r="Y1122" i="12"/>
  <c r="Y1130" i="12"/>
  <c r="Y1138" i="12"/>
  <c r="Y1146" i="12"/>
  <c r="Y1154" i="12"/>
  <c r="Y1162" i="12"/>
  <c r="Y1170" i="12"/>
  <c r="Y1178" i="12"/>
  <c r="Y1186" i="12"/>
  <c r="Y1194" i="12"/>
  <c r="Y1202" i="12"/>
  <c r="Y1210" i="12"/>
  <c r="Y1218" i="12"/>
  <c r="Y1226" i="12"/>
  <c r="Y1234" i="12"/>
  <c r="Y1242" i="12"/>
  <c r="Y1250" i="12"/>
  <c r="Y1258" i="12"/>
  <c r="Y1266" i="12"/>
  <c r="Y1274" i="12"/>
  <c r="Y1282" i="12"/>
  <c r="Y1290" i="12"/>
  <c r="Y1298" i="12"/>
  <c r="Y1306" i="12"/>
  <c r="Y1314" i="12"/>
  <c r="Y1322" i="12"/>
  <c r="Y1330" i="12"/>
  <c r="Y1338" i="12"/>
  <c r="Y1346" i="12"/>
  <c r="Y1354" i="12"/>
  <c r="Y1362" i="12"/>
  <c r="Y1370" i="12"/>
  <c r="Y1378" i="12"/>
  <c r="Y1386" i="12"/>
  <c r="Y1394" i="12"/>
  <c r="Y1402" i="12"/>
  <c r="Y1410" i="12"/>
  <c r="Y1418" i="12"/>
  <c r="Y1426" i="12"/>
  <c r="Y1434" i="12"/>
  <c r="Y1442" i="12"/>
  <c r="Y1450" i="12"/>
  <c r="Y1458" i="12"/>
  <c r="Y1466" i="12"/>
  <c r="Y1474" i="12"/>
  <c r="Y1482" i="12"/>
  <c r="Y1490" i="12"/>
  <c r="Y1498" i="12"/>
  <c r="Y1506" i="12"/>
  <c r="Y1514" i="12"/>
  <c r="Y1522" i="12"/>
  <c r="Y1530" i="12"/>
  <c r="Y1538" i="12"/>
  <c r="Y1546" i="12"/>
  <c r="Y1554" i="12"/>
  <c r="Y1562" i="12"/>
  <c r="Y1570" i="12"/>
  <c r="Y1578" i="12"/>
  <c r="Y1586" i="12"/>
  <c r="Y1594" i="12"/>
  <c r="Y130" i="12"/>
  <c r="Y258" i="12"/>
  <c r="Y354" i="12"/>
  <c r="Y436" i="12"/>
  <c r="Y523" i="12"/>
  <c r="Y602" i="12"/>
  <c r="Y649" i="12"/>
  <c r="Y681" i="12"/>
  <c r="Y713" i="12"/>
  <c r="Y745" i="12"/>
  <c r="Y777" i="12"/>
  <c r="Y809" i="12"/>
  <c r="Y841" i="12"/>
  <c r="Y873" i="12"/>
  <c r="Y905" i="12"/>
  <c r="Y937" i="12"/>
  <c r="Y969" i="12"/>
  <c r="Y1000" i="12"/>
  <c r="Y1020" i="12"/>
  <c r="Y1041" i="12"/>
  <c r="Y1064" i="12"/>
  <c r="Y1084" i="12"/>
  <c r="Y1100" i="12"/>
  <c r="Y1109" i="12"/>
  <c r="Y1117" i="12"/>
  <c r="Y1125" i="12"/>
  <c r="Y1133" i="12"/>
  <c r="Y1141" i="12"/>
  <c r="Y1149" i="12"/>
  <c r="Y1157" i="12"/>
  <c r="Y1165" i="12"/>
  <c r="Y1173" i="12"/>
  <c r="Y1181" i="12"/>
  <c r="Y1189" i="12"/>
  <c r="Y1197" i="12"/>
  <c r="Y1205" i="12"/>
  <c r="Y1213" i="12"/>
  <c r="Y1221" i="12"/>
  <c r="Y1229" i="12"/>
  <c r="Y1237" i="12"/>
  <c r="Y1245" i="12"/>
  <c r="Y1253" i="12"/>
  <c r="Y1261" i="12"/>
  <c r="Y1269" i="12"/>
  <c r="Y1277" i="12"/>
  <c r="Y1285" i="12"/>
  <c r="Y1293" i="12"/>
  <c r="Y1301" i="12"/>
  <c r="Y1309" i="12"/>
  <c r="Y1317" i="12"/>
  <c r="Y1325" i="12"/>
  <c r="Y1333" i="12"/>
  <c r="Y1341" i="12"/>
  <c r="Y1349" i="12"/>
  <c r="Y1357" i="12"/>
  <c r="Y1365" i="12"/>
  <c r="Y1373" i="12"/>
  <c r="Y1381" i="12"/>
  <c r="Y1389" i="12"/>
  <c r="Y1397" i="12"/>
  <c r="Y1405" i="12"/>
  <c r="Y1413" i="12"/>
  <c r="Y1421" i="12"/>
  <c r="Y1429" i="12"/>
  <c r="Y1437" i="12"/>
  <c r="Y1445" i="12"/>
  <c r="Y1453" i="12"/>
  <c r="Y1461" i="12"/>
  <c r="Y1469" i="12"/>
  <c r="Y1477" i="12"/>
  <c r="Y1485" i="12"/>
  <c r="Y1493" i="12"/>
  <c r="Y1501" i="12"/>
  <c r="Y1509" i="12"/>
  <c r="Y1517" i="12"/>
  <c r="Y1525" i="12"/>
  <c r="Y1533" i="12"/>
  <c r="Y1541" i="12"/>
  <c r="Y1549" i="12"/>
  <c r="Y1557" i="12"/>
  <c r="Y226" i="12"/>
  <c r="Y586" i="12"/>
  <c r="Y737" i="12"/>
  <c r="Y865" i="12"/>
  <c r="Y993" i="12"/>
  <c r="Y1080" i="12"/>
  <c r="Y1123" i="12"/>
  <c r="Y1155" i="12"/>
  <c r="Y1187" i="12"/>
  <c r="Y1219" i="12"/>
  <c r="Y1251" i="12"/>
  <c r="Y1283" i="12"/>
  <c r="Y1315" i="12"/>
  <c r="Y1347" i="12"/>
  <c r="Y1379" i="12"/>
  <c r="Y1411" i="12"/>
  <c r="Y1443" i="12"/>
  <c r="Y1475" i="12"/>
  <c r="Y1503" i="12"/>
  <c r="Y1524" i="12"/>
  <c r="Y1547" i="12"/>
  <c r="Y1560" i="12"/>
  <c r="Y1572" i="12"/>
  <c r="Y1582" i="12"/>
  <c r="Y1592" i="12"/>
  <c r="Y1602" i="12"/>
  <c r="Y1610" i="12"/>
  <c r="Y1618" i="12"/>
  <c r="Y1626" i="12"/>
  <c r="Y1634" i="12"/>
  <c r="Y1642" i="12"/>
  <c r="Y1650" i="12"/>
  <c r="Y1658" i="12"/>
  <c r="Y1666" i="12"/>
  <c r="Y1674" i="12"/>
  <c r="Y1682" i="12"/>
  <c r="Y1690" i="12"/>
  <c r="Y1698" i="12"/>
  <c r="Y1706" i="12"/>
  <c r="Y1714" i="12"/>
  <c r="Y1722" i="12"/>
  <c r="Y1730" i="12"/>
  <c r="Y1738" i="12"/>
  <c r="Y1746" i="12"/>
  <c r="Y1754" i="12"/>
  <c r="Y1762" i="12"/>
  <c r="Y1770" i="12"/>
  <c r="Y1778" i="12"/>
  <c r="Y1786" i="12"/>
  <c r="Y1794" i="12"/>
  <c r="Y1802" i="12"/>
  <c r="Y1810" i="12"/>
  <c r="Y1818" i="12"/>
  <c r="Y1826" i="12"/>
  <c r="Y1834" i="12"/>
  <c r="Y1842" i="12"/>
  <c r="Y1850" i="12"/>
  <c r="Y1858" i="12"/>
  <c r="Y1866" i="12"/>
  <c r="Y1874" i="12"/>
  <c r="Y1882" i="12"/>
  <c r="Y1890" i="12"/>
  <c r="Y1898" i="12"/>
  <c r="Y1906" i="12"/>
  <c r="Y1914" i="12"/>
  <c r="Y1922" i="12"/>
  <c r="Y1930" i="12"/>
  <c r="Y1938" i="12"/>
  <c r="Y1946" i="12"/>
  <c r="Y1954" i="12"/>
  <c r="Y1962" i="12"/>
  <c r="Y1970" i="12"/>
  <c r="Y1978" i="12"/>
  <c r="Y1986" i="12"/>
  <c r="Y1994" i="12"/>
  <c r="Y2002" i="12"/>
  <c r="Y2010" i="12"/>
  <c r="Y2018" i="12"/>
  <c r="Y2026" i="12"/>
  <c r="Y2034" i="12"/>
  <c r="Y2042" i="12"/>
  <c r="Y2050" i="12"/>
  <c r="Y2058" i="12"/>
  <c r="Y2066" i="12"/>
  <c r="Y2074" i="12"/>
  <c r="Y251" i="12"/>
  <c r="Y599" i="12"/>
  <c r="Y744" i="12"/>
  <c r="Y872" i="12"/>
  <c r="Y996" i="12"/>
  <c r="Y1081" i="12"/>
  <c r="Y1124" i="12"/>
  <c r="Y1156" i="12"/>
  <c r="Y1188" i="12"/>
  <c r="Y1220" i="12"/>
  <c r="Y1252" i="12"/>
  <c r="Y1284" i="12"/>
  <c r="Y1316" i="12"/>
  <c r="Y1348" i="12"/>
  <c r="Y1380" i="12"/>
  <c r="Y1412" i="12"/>
  <c r="Y1444" i="12"/>
  <c r="Y1476" i="12"/>
  <c r="Y1507" i="12"/>
  <c r="Y1527" i="12"/>
  <c r="Y1548" i="12"/>
  <c r="Y1563" i="12"/>
  <c r="Y1573" i="12"/>
  <c r="Y1583" i="12"/>
  <c r="Y1595" i="12"/>
  <c r="Y1603" i="12"/>
  <c r="Y1611" i="12"/>
  <c r="Y1619" i="12"/>
  <c r="Y1627" i="12"/>
  <c r="Y1635" i="12"/>
  <c r="Y1643" i="12"/>
  <c r="Y1651" i="12"/>
  <c r="Y1659" i="12"/>
  <c r="Y1667" i="12"/>
  <c r="Y1675" i="12"/>
  <c r="Y1683" i="12"/>
  <c r="Y1691" i="12"/>
  <c r="Y1699" i="12"/>
  <c r="Y1707" i="12"/>
  <c r="Y1715" i="12"/>
  <c r="Y1723" i="12"/>
  <c r="Y1731" i="12"/>
  <c r="Y1739" i="12"/>
  <c r="Y1747" i="12"/>
  <c r="Y1755" i="12"/>
  <c r="Y1763" i="12"/>
  <c r="Y1771" i="12"/>
  <c r="Y1779" i="12"/>
  <c r="Y1787" i="12"/>
  <c r="Y1795" i="12"/>
  <c r="Y1803" i="12"/>
  <c r="Y1811" i="12"/>
  <c r="Y1819" i="12"/>
  <c r="Y1827" i="12"/>
  <c r="Y1835" i="12"/>
  <c r="Y1843" i="12"/>
  <c r="Y1851" i="12"/>
  <c r="Y1859" i="12"/>
  <c r="Y1867" i="12"/>
  <c r="Y1875" i="12"/>
  <c r="Y1883" i="12"/>
  <c r="Y1891" i="12"/>
  <c r="Y1899" i="12"/>
  <c r="Y1907" i="12"/>
  <c r="Y1915" i="12"/>
  <c r="Y1923" i="12"/>
  <c r="Y1931" i="12"/>
  <c r="Y1939" i="12"/>
  <c r="Y1947" i="12"/>
  <c r="Y1955" i="12"/>
  <c r="Y1963" i="12"/>
  <c r="Y1971" i="12"/>
  <c r="Y1979" i="12"/>
  <c r="Y1987" i="12"/>
  <c r="Y1995" i="12"/>
  <c r="Y2003" i="12"/>
  <c r="Y2011" i="12"/>
  <c r="Y2019" i="12"/>
  <c r="Y2027" i="12"/>
  <c r="Y2035" i="12"/>
  <c r="Y2043" i="12"/>
  <c r="Y2051" i="12"/>
  <c r="Y331" i="12"/>
  <c r="Y640" i="12"/>
  <c r="Y769" i="12"/>
  <c r="Y897" i="12"/>
  <c r="Y1016" i="12"/>
  <c r="Y1097" i="12"/>
  <c r="Y1131" i="12"/>
  <c r="Y1163" i="12"/>
  <c r="Y1195" i="12"/>
  <c r="Y1227" i="12"/>
  <c r="Y1259" i="12"/>
  <c r="Y1291" i="12"/>
  <c r="Y1323" i="12"/>
  <c r="Y1355" i="12"/>
  <c r="Y1387" i="12"/>
  <c r="Y1419" i="12"/>
  <c r="Y1451" i="12"/>
  <c r="Y1483" i="12"/>
  <c r="Y1508" i="12"/>
  <c r="Y1531" i="12"/>
  <c r="Y1550" i="12"/>
  <c r="Y1564" i="12"/>
  <c r="Y1574" i="12"/>
  <c r="Y1584" i="12"/>
  <c r="Y1596" i="12"/>
  <c r="Y1604" i="12"/>
  <c r="Y1612" i="12"/>
  <c r="Y1620" i="12"/>
  <c r="Y1628" i="12"/>
  <c r="Y1636" i="12"/>
  <c r="Y1644" i="12"/>
  <c r="Y1652" i="12"/>
  <c r="Y1660" i="12"/>
  <c r="Y1668" i="12"/>
  <c r="Y1676" i="12"/>
  <c r="Y1684" i="12"/>
  <c r="Y1692" i="12"/>
  <c r="Y1700" i="12"/>
  <c r="Y1708" i="12"/>
  <c r="Y1716" i="12"/>
  <c r="Y1724" i="12"/>
  <c r="Y1732" i="12"/>
  <c r="Y1740" i="12"/>
  <c r="Y1748" i="12"/>
  <c r="Y1756" i="12"/>
  <c r="Y1764" i="12"/>
  <c r="Y1772" i="12"/>
  <c r="Y1780" i="12"/>
  <c r="Y1788" i="12"/>
  <c r="Y1796" i="12"/>
  <c r="Y1804" i="12"/>
  <c r="Y1812" i="12"/>
  <c r="Y1820" i="12"/>
  <c r="Y1828" i="12"/>
  <c r="Y1836" i="12"/>
  <c r="Y1844" i="12"/>
  <c r="Y1852" i="12"/>
  <c r="Y1860" i="12"/>
  <c r="Y1868" i="12"/>
  <c r="Y1876" i="12"/>
  <c r="Y1884" i="12"/>
  <c r="Y1892" i="12"/>
  <c r="Y1900" i="12"/>
  <c r="Y1908" i="12"/>
  <c r="Y1916" i="12"/>
  <c r="Y1924" i="12"/>
  <c r="Y1932" i="12"/>
  <c r="Y1940" i="12"/>
  <c r="Y1948" i="12"/>
  <c r="Y1956" i="12"/>
  <c r="Y1964" i="12"/>
  <c r="Y1972" i="12"/>
  <c r="Y1980" i="12"/>
  <c r="Y1988" i="12"/>
  <c r="Y1996" i="12"/>
  <c r="Y2004" i="12"/>
  <c r="Y2012" i="12"/>
  <c r="Y2020" i="12"/>
  <c r="Y2028" i="12"/>
  <c r="Y2036" i="12"/>
  <c r="Y2044" i="12"/>
  <c r="Y2052" i="12"/>
  <c r="Y2060" i="12"/>
  <c r="Y2068" i="12"/>
  <c r="Y2076" i="12"/>
  <c r="Y348" i="12"/>
  <c r="Y648" i="12"/>
  <c r="Y776" i="12"/>
  <c r="Y904" i="12"/>
  <c r="Y1017" i="12"/>
  <c r="Y1099" i="12"/>
  <c r="Y1132" i="12"/>
  <c r="Y1164" i="12"/>
  <c r="Y1196" i="12"/>
  <c r="Y1228" i="12"/>
  <c r="Y1260" i="12"/>
  <c r="Y1292" i="12"/>
  <c r="Y1324" i="12"/>
  <c r="Y1356" i="12"/>
  <c r="Y1388" i="12"/>
  <c r="Y1420" i="12"/>
  <c r="Y1452" i="12"/>
  <c r="Y1484" i="12"/>
  <c r="Y1511" i="12"/>
  <c r="Y1532" i="12"/>
  <c r="Y1551" i="12"/>
  <c r="Y1565" i="12"/>
  <c r="Y1575" i="12"/>
  <c r="Y1587" i="12"/>
  <c r="Y1597" i="12"/>
  <c r="Y1605" i="12"/>
  <c r="Y1613" i="12"/>
  <c r="Y1621" i="12"/>
  <c r="Y1629" i="12"/>
  <c r="Y1637" i="12"/>
  <c r="Y1645" i="12"/>
  <c r="Y1653" i="12"/>
  <c r="Y1661" i="12"/>
  <c r="Y1669" i="12"/>
  <c r="Y1677" i="12"/>
  <c r="Y1685" i="12"/>
  <c r="Y1693" i="12"/>
  <c r="Y1701" i="12"/>
  <c r="Y1709" i="12"/>
  <c r="Y1717" i="12"/>
  <c r="Y1725" i="12"/>
  <c r="Y1733" i="12"/>
  <c r="Y1741" i="12"/>
  <c r="Y1749" i="12"/>
  <c r="Y1757" i="12"/>
  <c r="Y1765" i="12"/>
  <c r="Y1773" i="12"/>
  <c r="Y1781" i="12"/>
  <c r="Y1789" i="12"/>
  <c r="Y1797" i="12"/>
  <c r="Y1805" i="12"/>
  <c r="Y1813" i="12"/>
  <c r="Y1821" i="12"/>
  <c r="Y1829" i="12"/>
  <c r="Y1837" i="12"/>
  <c r="Y1845" i="12"/>
  <c r="Y1853" i="12"/>
  <c r="Y1861" i="12"/>
  <c r="Y1869" i="12"/>
  <c r="Y1877" i="12"/>
  <c r="Y1885" i="12"/>
  <c r="Y1893" i="12"/>
  <c r="Y1901" i="12"/>
  <c r="Y1909" i="12"/>
  <c r="Y1917" i="12"/>
  <c r="Y1925" i="12"/>
  <c r="Y1933" i="12"/>
  <c r="Y1941" i="12"/>
  <c r="Y1949" i="12"/>
  <c r="Y1957" i="12"/>
  <c r="Y1965" i="12"/>
  <c r="Y1973" i="12"/>
  <c r="Y1981" i="12"/>
  <c r="Y1989" i="12"/>
  <c r="Y1997" i="12"/>
  <c r="Y2005" i="12"/>
  <c r="Y2013" i="12"/>
  <c r="Y2021" i="12"/>
  <c r="Y2029" i="12"/>
  <c r="Y2037" i="12"/>
  <c r="Y2045" i="12"/>
  <c r="Y2053" i="12"/>
  <c r="Y2061" i="12"/>
  <c r="Y2069" i="12"/>
  <c r="Y2077" i="12"/>
  <c r="Y2085" i="12"/>
  <c r="Y2093" i="12"/>
  <c r="Y2101" i="12"/>
  <c r="Y2109" i="12"/>
  <c r="Y2117" i="12"/>
  <c r="Y2125" i="12"/>
  <c r="Y2133" i="12"/>
  <c r="Y2141" i="12"/>
  <c r="Y2149" i="12"/>
  <c r="Y2157" i="12"/>
  <c r="Y2165" i="12"/>
  <c r="Y2173" i="12"/>
  <c r="Y418" i="12"/>
  <c r="Y673" i="12"/>
  <c r="Y801" i="12"/>
  <c r="Y929" i="12"/>
  <c r="Y1036" i="12"/>
  <c r="Y1107" i="12"/>
  <c r="Y1139" i="12"/>
  <c r="Y1171" i="12"/>
  <c r="Y1203" i="12"/>
  <c r="Y1235" i="12"/>
  <c r="Y1267" i="12"/>
  <c r="Y1299" i="12"/>
  <c r="Y1331" i="12"/>
  <c r="Y1363" i="12"/>
  <c r="Y1395" i="12"/>
  <c r="Y1427" i="12"/>
  <c r="Y1459" i="12"/>
  <c r="Y1491" i="12"/>
  <c r="Y1515" i="12"/>
  <c r="Y1535" i="12"/>
  <c r="Y1555" i="12"/>
  <c r="Y1566" i="12"/>
  <c r="Y1576" i="12"/>
  <c r="Y1588" i="12"/>
  <c r="Y1598" i="12"/>
  <c r="Y1606" i="12"/>
  <c r="Y1614" i="12"/>
  <c r="Y1622" i="12"/>
  <c r="Y1630" i="12"/>
  <c r="Y1638" i="12"/>
  <c r="Y1646" i="12"/>
  <c r="Y1654" i="12"/>
  <c r="Y1662" i="12"/>
  <c r="Y1670" i="12"/>
  <c r="Y1678" i="12"/>
  <c r="Y1686" i="12"/>
  <c r="Y1694" i="12"/>
  <c r="Y1702" i="12"/>
  <c r="Y1710" i="12"/>
  <c r="Y1718" i="12"/>
  <c r="Y1726" i="12"/>
  <c r="Y1734" i="12"/>
  <c r="Y1742" i="12"/>
  <c r="Y1750" i="12"/>
  <c r="Y1758" i="12"/>
  <c r="Y1766" i="12"/>
  <c r="Y1774" i="12"/>
  <c r="Y1782" i="12"/>
  <c r="Y1790" i="12"/>
  <c r="Y1798" i="12"/>
  <c r="Y1806" i="12"/>
  <c r="Y1814" i="12"/>
  <c r="Y1822" i="12"/>
  <c r="Y1830" i="12"/>
  <c r="Y1838" i="12"/>
  <c r="Y1846" i="12"/>
  <c r="Y1854" i="12"/>
  <c r="Y1862" i="12"/>
  <c r="Y1870" i="12"/>
  <c r="Y1878" i="12"/>
  <c r="Y1886" i="12"/>
  <c r="Y1894" i="12"/>
  <c r="Y1902" i="12"/>
  <c r="Y1910" i="12"/>
  <c r="Y1918" i="12"/>
  <c r="Y1926" i="12"/>
  <c r="Y1934" i="12"/>
  <c r="Y1942" i="12"/>
  <c r="Y1950" i="12"/>
  <c r="Y1958" i="12"/>
  <c r="Y1966" i="12"/>
  <c r="Y1974" i="12"/>
  <c r="Y1982" i="12"/>
  <c r="Y1990" i="12"/>
  <c r="Y1998" i="12"/>
  <c r="Y2006" i="12"/>
  <c r="Y2014" i="12"/>
  <c r="Y2022" i="12"/>
  <c r="Y2030" i="12"/>
  <c r="Y2038" i="12"/>
  <c r="Y2046" i="12"/>
  <c r="Y2054" i="12"/>
  <c r="Y2062" i="12"/>
  <c r="Y2070" i="12"/>
  <c r="Y2078" i="12"/>
  <c r="Y2086" i="12"/>
  <c r="Y2094" i="12"/>
  <c r="Y2102" i="12"/>
  <c r="Y2110" i="12"/>
  <c r="Y2118" i="12"/>
  <c r="Y2126" i="12"/>
  <c r="Y2134" i="12"/>
  <c r="Y2142" i="12"/>
  <c r="Y2150" i="12"/>
  <c r="Y2158" i="12"/>
  <c r="Y2166" i="12"/>
  <c r="Y2174" i="12"/>
  <c r="Y435" i="12"/>
  <c r="Y680" i="12"/>
  <c r="Y808" i="12"/>
  <c r="Y936" i="12"/>
  <c r="Y1040" i="12"/>
  <c r="Y1108" i="12"/>
  <c r="Y1140" i="12"/>
  <c r="Y1172" i="12"/>
  <c r="Y1204" i="12"/>
  <c r="Y1236" i="12"/>
  <c r="Y1268" i="12"/>
  <c r="Y1300" i="12"/>
  <c r="Y1332" i="12"/>
  <c r="Y1364" i="12"/>
  <c r="Y1396" i="12"/>
  <c r="Y1428" i="12"/>
  <c r="Y1460" i="12"/>
  <c r="Y1492" i="12"/>
  <c r="Y1516" i="12"/>
  <c r="Y1539" i="12"/>
  <c r="Y1556" i="12"/>
  <c r="Y1567" i="12"/>
  <c r="Y1579" i="12"/>
  <c r="Y1589" i="12"/>
  <c r="Y1599" i="12"/>
  <c r="Y1607" i="12"/>
  <c r="Y1615" i="12"/>
  <c r="Y1623" i="12"/>
  <c r="Y1631" i="12"/>
  <c r="Y1639" i="12"/>
  <c r="Y1647" i="12"/>
  <c r="Y1655" i="12"/>
  <c r="Y1663" i="12"/>
  <c r="Y1671" i="12"/>
  <c r="Y1679" i="12"/>
  <c r="Y1687" i="12"/>
  <c r="Y1695" i="12"/>
  <c r="Y1703" i="12"/>
  <c r="Y1711" i="12"/>
  <c r="Y1719" i="12"/>
  <c r="Y1727" i="12"/>
  <c r="Y1735" i="12"/>
  <c r="Y1743" i="12"/>
  <c r="Y1751" i="12"/>
  <c r="Y1759" i="12"/>
  <c r="Y1767" i="12"/>
  <c r="Y1775" i="12"/>
  <c r="Y1783" i="12"/>
  <c r="Y1791" i="12"/>
  <c r="Y1799" i="12"/>
  <c r="Y1807" i="12"/>
  <c r="Y1815" i="12"/>
  <c r="Y1823" i="12"/>
  <c r="Y1831" i="12"/>
  <c r="Y1839" i="12"/>
  <c r="Y1847" i="12"/>
  <c r="Y1855" i="12"/>
  <c r="Y1863" i="12"/>
  <c r="Y1871" i="12"/>
  <c r="Y1879" i="12"/>
  <c r="Y1887" i="12"/>
  <c r="Y1895" i="12"/>
  <c r="Y1903" i="12"/>
  <c r="Y1911" i="12"/>
  <c r="Y1919" i="12"/>
  <c r="Y1927" i="12"/>
  <c r="Y1935" i="12"/>
  <c r="Y1943" i="12"/>
  <c r="Y1951" i="12"/>
  <c r="Y1959" i="12"/>
  <c r="Y1967" i="12"/>
  <c r="Y1975" i="12"/>
  <c r="Y1983" i="12"/>
  <c r="Y1991" i="12"/>
  <c r="Y1999" i="12"/>
  <c r="Y2007" i="12"/>
  <c r="Y2015" i="12"/>
  <c r="Y2023" i="12"/>
  <c r="Y2031" i="12"/>
  <c r="Y2039" i="12"/>
  <c r="Y2047" i="12"/>
  <c r="Y2055" i="12"/>
  <c r="Y2063" i="12"/>
  <c r="Y2071" i="12"/>
  <c r="Y2079" i="12"/>
  <c r="Y500" i="12"/>
  <c r="Y1057" i="12"/>
  <c r="Y1211" i="12"/>
  <c r="Y1339" i="12"/>
  <c r="Y1467" i="12"/>
  <c r="Y1558" i="12"/>
  <c r="Y1600" i="12"/>
  <c r="Y1632" i="12"/>
  <c r="Y1664" i="12"/>
  <c r="Y1696" i="12"/>
  <c r="Y1728" i="12"/>
  <c r="Y1760" i="12"/>
  <c r="Y1792" i="12"/>
  <c r="Y1824" i="12"/>
  <c r="Y1856" i="12"/>
  <c r="Y1888" i="12"/>
  <c r="Y1920" i="12"/>
  <c r="Y1952" i="12"/>
  <c r="Y1984" i="12"/>
  <c r="Y2016" i="12"/>
  <c r="Y2048" i="12"/>
  <c r="Y2072" i="12"/>
  <c r="Y2087" i="12"/>
  <c r="Y2097" i="12"/>
  <c r="Y2107" i="12"/>
  <c r="Y2119" i="12"/>
  <c r="Y2129" i="12"/>
  <c r="Y2139" i="12"/>
  <c r="Y2151" i="12"/>
  <c r="Y2161" i="12"/>
  <c r="Y2171" i="12"/>
  <c r="Y2181" i="12"/>
  <c r="Y2189" i="12"/>
  <c r="Y2197" i="12"/>
  <c r="Y2205" i="12"/>
  <c r="Y2213" i="12"/>
  <c r="Y2221" i="12"/>
  <c r="Y2229" i="12"/>
  <c r="Y2237" i="12"/>
  <c r="Y2245" i="12"/>
  <c r="Y2253" i="12"/>
  <c r="Y2261" i="12"/>
  <c r="Y2269" i="12"/>
  <c r="Y2277" i="12"/>
  <c r="Y2285" i="12"/>
  <c r="Y2293" i="12"/>
  <c r="Y2301" i="12"/>
  <c r="Y2309" i="12"/>
  <c r="Y2317" i="12"/>
  <c r="Y2325" i="12"/>
  <c r="Y2333" i="12"/>
  <c r="Y2341" i="12"/>
  <c r="Y2349" i="12"/>
  <c r="Y2357" i="12"/>
  <c r="Y2365" i="12"/>
  <c r="Y2373" i="12"/>
  <c r="Y2381" i="12"/>
  <c r="Y2389" i="12"/>
  <c r="Y2397" i="12"/>
  <c r="Y2405" i="12"/>
  <c r="Y2413" i="12"/>
  <c r="Y2421" i="12"/>
  <c r="Y2429" i="12"/>
  <c r="Y2437" i="12"/>
  <c r="Y2445" i="12"/>
  <c r="Y2453" i="12"/>
  <c r="Y2461" i="12"/>
  <c r="Y2469" i="12"/>
  <c r="Y2477" i="12"/>
  <c r="Y2485" i="12"/>
  <c r="Y2493" i="12"/>
  <c r="Y2501" i="12"/>
  <c r="Y2509" i="12"/>
  <c r="Y2517" i="12"/>
  <c r="Y2525" i="12"/>
  <c r="Y2533" i="12"/>
  <c r="Y2541" i="12"/>
  <c r="Y2549" i="12"/>
  <c r="Y2557" i="12"/>
  <c r="Y2565" i="12"/>
  <c r="Y2573" i="12"/>
  <c r="Y2581" i="12"/>
  <c r="Y2589" i="12"/>
  <c r="Y2597" i="12"/>
  <c r="Y2605" i="12"/>
  <c r="Y2613" i="12"/>
  <c r="Y2621" i="12"/>
  <c r="Y2629" i="12"/>
  <c r="Y2637" i="12"/>
  <c r="Y2645" i="12"/>
  <c r="Y2653" i="12"/>
  <c r="Y2661" i="12"/>
  <c r="Y2669" i="12"/>
  <c r="Y2677" i="12"/>
  <c r="Y2685" i="12"/>
  <c r="Y2693" i="12"/>
  <c r="Y2701" i="12"/>
  <c r="Y2709" i="12"/>
  <c r="Y2717" i="12"/>
  <c r="Y2725" i="12"/>
  <c r="Y2733" i="12"/>
  <c r="Y2741" i="12"/>
  <c r="Y2749" i="12"/>
  <c r="Y2757" i="12"/>
  <c r="Y2765" i="12"/>
  <c r="Y522" i="12"/>
  <c r="Y1060" i="12"/>
  <c r="Y1212" i="12"/>
  <c r="Y1340" i="12"/>
  <c r="Y1468" i="12"/>
  <c r="Y1559" i="12"/>
  <c r="Y1601" i="12"/>
  <c r="Y1633" i="12"/>
  <c r="Y1665" i="12"/>
  <c r="Y1697" i="12"/>
  <c r="Y1729" i="12"/>
  <c r="Y1761" i="12"/>
  <c r="Y1793" i="12"/>
  <c r="Y1825" i="12"/>
  <c r="Y1857" i="12"/>
  <c r="Y1889" i="12"/>
  <c r="Y1921" i="12"/>
  <c r="Y1953" i="12"/>
  <c r="Y1985" i="12"/>
  <c r="Y2017" i="12"/>
  <c r="Y2049" i="12"/>
  <c r="Y2073" i="12"/>
  <c r="Y2088" i="12"/>
  <c r="Y2098" i="12"/>
  <c r="Y2108" i="12"/>
  <c r="Y2120" i="12"/>
  <c r="Y2130" i="12"/>
  <c r="Y2140" i="12"/>
  <c r="Y2152" i="12"/>
  <c r="Y2162" i="12"/>
  <c r="Y2172" i="12"/>
  <c r="Y2182" i="12"/>
  <c r="Y2190" i="12"/>
  <c r="Y2198" i="12"/>
  <c r="Y2206" i="12"/>
  <c r="Y2214" i="12"/>
  <c r="Y2222" i="12"/>
  <c r="Y2230" i="12"/>
  <c r="Y2238" i="12"/>
  <c r="Y2246" i="12"/>
  <c r="Y2254" i="12"/>
  <c r="Y2262" i="12"/>
  <c r="Y2270" i="12"/>
  <c r="Y2278" i="12"/>
  <c r="Y2286" i="12"/>
  <c r="Y2294" i="12"/>
  <c r="Y2302" i="12"/>
  <c r="Y2310" i="12"/>
  <c r="Y2318" i="12"/>
  <c r="Y2326" i="12"/>
  <c r="Y2334" i="12"/>
  <c r="Y2342" i="12"/>
  <c r="Y2350" i="12"/>
  <c r="Y2358" i="12"/>
  <c r="Y2366" i="12"/>
  <c r="Y2374" i="12"/>
  <c r="Y2382" i="12"/>
  <c r="Y2390" i="12"/>
  <c r="Y2398" i="12"/>
  <c r="Y2406" i="12"/>
  <c r="Y2414" i="12"/>
  <c r="Y2422" i="12"/>
  <c r="Y2430" i="12"/>
  <c r="Y2438" i="12"/>
  <c r="Y2446" i="12"/>
  <c r="Y2454" i="12"/>
  <c r="Y2462" i="12"/>
  <c r="Y2470" i="12"/>
  <c r="Y2478" i="12"/>
  <c r="Y2486" i="12"/>
  <c r="Y2494" i="12"/>
  <c r="Y2502" i="12"/>
  <c r="Y2510" i="12"/>
  <c r="Y2518" i="12"/>
  <c r="Y2526" i="12"/>
  <c r="Y2534" i="12"/>
  <c r="Y2542" i="12"/>
  <c r="Y2550" i="12"/>
  <c r="Y2558" i="12"/>
  <c r="Y2566" i="12"/>
  <c r="Y2574" i="12"/>
  <c r="Y2582" i="12"/>
  <c r="Y2590" i="12"/>
  <c r="Y2598" i="12"/>
  <c r="Y2606" i="12"/>
  <c r="Y705" i="12"/>
  <c r="Y1115" i="12"/>
  <c r="Y1243" i="12"/>
  <c r="Y1371" i="12"/>
  <c r="Y1499" i="12"/>
  <c r="Y1568" i="12"/>
  <c r="Y1608" i="12"/>
  <c r="Y1640" i="12"/>
  <c r="Y1672" i="12"/>
  <c r="Y1704" i="12"/>
  <c r="Y1736" i="12"/>
  <c r="Y1768" i="12"/>
  <c r="Y1800" i="12"/>
  <c r="Y1832" i="12"/>
  <c r="Y1864" i="12"/>
  <c r="Y1896" i="12"/>
  <c r="Y1928" i="12"/>
  <c r="Y1960" i="12"/>
  <c r="Y1992" i="12"/>
  <c r="Y2024" i="12"/>
  <c r="Y2056" i="12"/>
  <c r="Y2075" i="12"/>
  <c r="Y2089" i="12"/>
  <c r="Y2099" i="12"/>
  <c r="Y2111" i="12"/>
  <c r="Y2121" i="12"/>
  <c r="Y2131" i="12"/>
  <c r="Y2143" i="12"/>
  <c r="Y2153" i="12"/>
  <c r="Y2163" i="12"/>
  <c r="Y2175" i="12"/>
  <c r="Y2183" i="12"/>
  <c r="Y2191" i="12"/>
  <c r="Y2199" i="12"/>
  <c r="Y2207" i="12"/>
  <c r="Y2215" i="12"/>
  <c r="Y2223" i="12"/>
  <c r="Y2231" i="12"/>
  <c r="Y2239" i="12"/>
  <c r="Y2247" i="12"/>
  <c r="Y2255" i="12"/>
  <c r="Y2263" i="12"/>
  <c r="Y2271" i="12"/>
  <c r="Y2279" i="12"/>
  <c r="Y2287" i="12"/>
  <c r="Y2295" i="12"/>
  <c r="Y2303" i="12"/>
  <c r="Y2311" i="12"/>
  <c r="Y2319" i="12"/>
  <c r="Y2327" i="12"/>
  <c r="Y2335" i="12"/>
  <c r="Y2343" i="12"/>
  <c r="Y2351" i="12"/>
  <c r="Y2359" i="12"/>
  <c r="Y2367" i="12"/>
  <c r="Y2375" i="12"/>
  <c r="Y2383" i="12"/>
  <c r="Y2391" i="12"/>
  <c r="Y2399" i="12"/>
  <c r="Y2407" i="12"/>
  <c r="Y2415" i="12"/>
  <c r="Y2423" i="12"/>
  <c r="Y2431" i="12"/>
  <c r="Y2439" i="12"/>
  <c r="Y2447" i="12"/>
  <c r="Y2455" i="12"/>
  <c r="Y2463" i="12"/>
  <c r="Y2471" i="12"/>
  <c r="Y2479" i="12"/>
  <c r="Y2487" i="12"/>
  <c r="Y2495" i="12"/>
  <c r="Y2503" i="12"/>
  <c r="Y2511" i="12"/>
  <c r="Y2519" i="12"/>
  <c r="Y2527" i="12"/>
  <c r="Y2535" i="12"/>
  <c r="Y2543" i="12"/>
  <c r="Y2551" i="12"/>
  <c r="Y2559" i="12"/>
  <c r="Y2567" i="12"/>
  <c r="Y2575" i="12"/>
  <c r="Y2583" i="12"/>
  <c r="Y2591" i="12"/>
  <c r="Y2599" i="12"/>
  <c r="Y2607" i="12"/>
  <c r="Y2615" i="12"/>
  <c r="Y2623" i="12"/>
  <c r="Y2631" i="12"/>
  <c r="Y2639" i="12"/>
  <c r="Y2647" i="12"/>
  <c r="Y2655" i="12"/>
  <c r="Y2663" i="12"/>
  <c r="Y2671" i="12"/>
  <c r="Y2679" i="12"/>
  <c r="Y2687" i="12"/>
  <c r="Y2695" i="12"/>
  <c r="Y2703" i="12"/>
  <c r="Y712" i="12"/>
  <c r="Y1116" i="12"/>
  <c r="Y1244" i="12"/>
  <c r="Y1372" i="12"/>
  <c r="Y1500" i="12"/>
  <c r="Y1571" i="12"/>
  <c r="Y1609" i="12"/>
  <c r="Y1641" i="12"/>
  <c r="Y1673" i="12"/>
  <c r="Y1705" i="12"/>
  <c r="Y1737" i="12"/>
  <c r="Y1769" i="12"/>
  <c r="Y1801" i="12"/>
  <c r="Y1833" i="12"/>
  <c r="Y1865" i="12"/>
  <c r="Y1897" i="12"/>
  <c r="Y1929" i="12"/>
  <c r="Y1961" i="12"/>
  <c r="Y1993" i="12"/>
  <c r="Y2025" i="12"/>
  <c r="Y2057" i="12"/>
  <c r="Y2080" i="12"/>
  <c r="Y2090" i="12"/>
  <c r="Y2100" i="12"/>
  <c r="Y2112" i="12"/>
  <c r="Y2122" i="12"/>
  <c r="Y2132" i="12"/>
  <c r="Y2144" i="12"/>
  <c r="Y2154" i="12"/>
  <c r="Y2164" i="12"/>
  <c r="Y2176" i="12"/>
  <c r="Y2184" i="12"/>
  <c r="Y2192" i="12"/>
  <c r="Y2200" i="12"/>
  <c r="Y2208" i="12"/>
  <c r="Y2216" i="12"/>
  <c r="Y2224" i="12"/>
  <c r="Y2232" i="12"/>
  <c r="Y2240" i="12"/>
  <c r="Y2248" i="12"/>
  <c r="Y2256" i="12"/>
  <c r="Y2264" i="12"/>
  <c r="Y2272" i="12"/>
  <c r="Y2280" i="12"/>
  <c r="Y2288" i="12"/>
  <c r="Y2296" i="12"/>
  <c r="Y2304" i="12"/>
  <c r="Y2312" i="12"/>
  <c r="Y2320" i="12"/>
  <c r="Y2328" i="12"/>
  <c r="Y2336" i="12"/>
  <c r="Y2344" i="12"/>
  <c r="Y2352" i="12"/>
  <c r="Y2360" i="12"/>
  <c r="Y2368" i="12"/>
  <c r="Y2376" i="12"/>
  <c r="Y2384" i="12"/>
  <c r="Y2392" i="12"/>
  <c r="Y2400" i="12"/>
  <c r="Y2408" i="12"/>
  <c r="Y2416" i="12"/>
  <c r="Y2424" i="12"/>
  <c r="Y2432" i="12"/>
  <c r="Y2440" i="12"/>
  <c r="Y2448" i="12"/>
  <c r="Y2456" i="12"/>
  <c r="Y2464" i="12"/>
  <c r="Y2472" i="12"/>
  <c r="Y2480" i="12"/>
  <c r="Y2488" i="12"/>
  <c r="Y2496" i="12"/>
  <c r="Y2504" i="12"/>
  <c r="Y2512" i="12"/>
  <c r="Y2520" i="12"/>
  <c r="Y2528" i="12"/>
  <c r="Y2536" i="12"/>
  <c r="Y2544" i="12"/>
  <c r="Y2552" i="12"/>
  <c r="Y2560" i="12"/>
  <c r="Y2568" i="12"/>
  <c r="Y2576" i="12"/>
  <c r="Y2584" i="12"/>
  <c r="Y2592" i="12"/>
  <c r="Y2600" i="12"/>
  <c r="Y2608" i="12"/>
  <c r="Y2616" i="12"/>
  <c r="Y2624" i="12"/>
  <c r="Y2632" i="12"/>
  <c r="Y2640" i="12"/>
  <c r="Y2648" i="12"/>
  <c r="Y2656" i="12"/>
  <c r="Y2664" i="12"/>
  <c r="Y2672" i="12"/>
  <c r="Y2680" i="12"/>
  <c r="Y2688" i="12"/>
  <c r="Y2696" i="12"/>
  <c r="Y2704" i="12"/>
  <c r="Y833" i="12"/>
  <c r="Y1147" i="12"/>
  <c r="Y1275" i="12"/>
  <c r="Y1403" i="12"/>
  <c r="Y1519" i="12"/>
  <c r="Y1580" i="12"/>
  <c r="Y1616" i="12"/>
  <c r="Y1648" i="12"/>
  <c r="Y1680" i="12"/>
  <c r="Y1712" i="12"/>
  <c r="Y1744" i="12"/>
  <c r="Y1776" i="12"/>
  <c r="Y1808" i="12"/>
  <c r="Y1840" i="12"/>
  <c r="Y1872" i="12"/>
  <c r="Y1904" i="12"/>
  <c r="Y1936" i="12"/>
  <c r="Y1968" i="12"/>
  <c r="Y2000" i="12"/>
  <c r="Y2032" i="12"/>
  <c r="Y2059" i="12"/>
  <c r="Y2081" i="12"/>
  <c r="Y2091" i="12"/>
  <c r="Y2103" i="12"/>
  <c r="Y2113" i="12"/>
  <c r="Y2123" i="12"/>
  <c r="Y2135" i="12"/>
  <c r="Y2145" i="12"/>
  <c r="Y2155" i="12"/>
  <c r="Y2167" i="12"/>
  <c r="Y2177" i="12"/>
  <c r="Y2185" i="12"/>
  <c r="Y2193" i="12"/>
  <c r="Y2201" i="12"/>
  <c r="Y2209" i="12"/>
  <c r="Y2217" i="12"/>
  <c r="Y2225" i="12"/>
  <c r="Y2233" i="12"/>
  <c r="Y2241" i="12"/>
  <c r="Y2249" i="12"/>
  <c r="Y2257" i="12"/>
  <c r="Y2265" i="12"/>
  <c r="Y2273" i="12"/>
  <c r="Y2281" i="12"/>
  <c r="Y2289" i="12"/>
  <c r="Y2297" i="12"/>
  <c r="Y2305" i="12"/>
  <c r="Y2313" i="12"/>
  <c r="Y2321" i="12"/>
  <c r="Y2329" i="12"/>
  <c r="Y2337" i="12"/>
  <c r="Y2345" i="12"/>
  <c r="Y2353" i="12"/>
  <c r="Y2361" i="12"/>
  <c r="Y2369" i="12"/>
  <c r="Y2377" i="12"/>
  <c r="Y2385" i="12"/>
  <c r="Y2393" i="12"/>
  <c r="Y2401" i="12"/>
  <c r="Y2409" i="12"/>
  <c r="Y2417" i="12"/>
  <c r="Y2425" i="12"/>
  <c r="Y2433" i="12"/>
  <c r="Y2441" i="12"/>
  <c r="Y2449" i="12"/>
  <c r="Y2457" i="12"/>
  <c r="Y2465" i="12"/>
  <c r="Y2473" i="12"/>
  <c r="Y2481" i="12"/>
  <c r="Y2489" i="12"/>
  <c r="Y2497" i="12"/>
  <c r="Y2505" i="12"/>
  <c r="Y2513" i="12"/>
  <c r="Y2521" i="12"/>
  <c r="Y2529" i="12"/>
  <c r="Y2537" i="12"/>
  <c r="Y2545" i="12"/>
  <c r="Y2553" i="12"/>
  <c r="Y2561" i="12"/>
  <c r="Y2569" i="12"/>
  <c r="Y2577" i="12"/>
  <c r="Y2585" i="12"/>
  <c r="Y2593" i="12"/>
  <c r="Y2601" i="12"/>
  <c r="Y2609" i="12"/>
  <c r="Y2617" i="12"/>
  <c r="Y2625" i="12"/>
  <c r="Y2633" i="12"/>
  <c r="Y2641" i="12"/>
  <c r="Y2649" i="12"/>
  <c r="Y2657" i="12"/>
  <c r="Y2665" i="12"/>
  <c r="Y2673" i="12"/>
  <c r="Y2681" i="12"/>
  <c r="Y2689" i="12"/>
  <c r="Y2697" i="12"/>
  <c r="Y2705" i="12"/>
  <c r="Y2713" i="12"/>
  <c r="Y2721" i="12"/>
  <c r="Y2729" i="12"/>
  <c r="Y2737" i="12"/>
  <c r="Y2745" i="12"/>
  <c r="Y2753" i="12"/>
  <c r="Y2761" i="12"/>
  <c r="Y2769" i="12"/>
  <c r="Y840" i="12"/>
  <c r="Y1148" i="12"/>
  <c r="Y1276" i="12"/>
  <c r="Y1404" i="12"/>
  <c r="Y1523" i="12"/>
  <c r="Y1581" i="12"/>
  <c r="Y1617" i="12"/>
  <c r="Y1649" i="12"/>
  <c r="Y1681" i="12"/>
  <c r="Y1713" i="12"/>
  <c r="Y1745" i="12"/>
  <c r="Y1777" i="12"/>
  <c r="Y1809" i="12"/>
  <c r="Y1841" i="12"/>
  <c r="Y1873" i="12"/>
  <c r="Y1905" i="12"/>
  <c r="Y1937" i="12"/>
  <c r="Y1969" i="12"/>
  <c r="Y2001" i="12"/>
  <c r="Y2033" i="12"/>
  <c r="Y2064" i="12"/>
  <c r="Y2082" i="12"/>
  <c r="Y2092" i="12"/>
  <c r="Y2104" i="12"/>
  <c r="Y2114" i="12"/>
  <c r="Y2124" i="12"/>
  <c r="Y2136" i="12"/>
  <c r="Y2146" i="12"/>
  <c r="Y2156" i="12"/>
  <c r="Y2168" i="12"/>
  <c r="Y2178" i="12"/>
  <c r="Y2186" i="12"/>
  <c r="Y2194" i="12"/>
  <c r="Y2202" i="12"/>
  <c r="Y2210" i="12"/>
  <c r="Y2218" i="12"/>
  <c r="Y2226" i="12"/>
  <c r="Y2234" i="12"/>
  <c r="Y2242" i="12"/>
  <c r="Y2250" i="12"/>
  <c r="Y2258" i="12"/>
  <c r="Y2266" i="12"/>
  <c r="Y2274" i="12"/>
  <c r="Y2282" i="12"/>
  <c r="Y2290" i="12"/>
  <c r="Y2298" i="12"/>
  <c r="Y2306" i="12"/>
  <c r="Y2314" i="12"/>
  <c r="Y2322" i="12"/>
  <c r="Y2330" i="12"/>
  <c r="Y2338" i="12"/>
  <c r="Y2346" i="12"/>
  <c r="Y2354" i="12"/>
  <c r="Y2362" i="12"/>
  <c r="Y2370" i="12"/>
  <c r="Y2378" i="12"/>
  <c r="Y2386" i="12"/>
  <c r="Y2394" i="12"/>
  <c r="Y2402" i="12"/>
  <c r="Y2410" i="12"/>
  <c r="Y2418" i="12"/>
  <c r="Y2426" i="12"/>
  <c r="Y2434" i="12"/>
  <c r="Y2442" i="12"/>
  <c r="Y2450" i="12"/>
  <c r="Y2458" i="12"/>
  <c r="Y2466" i="12"/>
  <c r="Y2474" i="12"/>
  <c r="Y2482" i="12"/>
  <c r="Y2490" i="12"/>
  <c r="Y2498" i="12"/>
  <c r="Y2506" i="12"/>
  <c r="Y2514" i="12"/>
  <c r="Y2522" i="12"/>
  <c r="Y2530" i="12"/>
  <c r="Y2538" i="12"/>
  <c r="Y2546" i="12"/>
  <c r="Y2554" i="12"/>
  <c r="Y2562" i="12"/>
  <c r="Y2570" i="12"/>
  <c r="Y2578" i="12"/>
  <c r="Y2586" i="12"/>
  <c r="Y2594" i="12"/>
  <c r="Y2602" i="12"/>
  <c r="Y2610" i="12"/>
  <c r="Y2618" i="12"/>
  <c r="Y2626" i="12"/>
  <c r="Y2634" i="12"/>
  <c r="Y2642" i="12"/>
  <c r="Y2650" i="12"/>
  <c r="Y2658" i="12"/>
  <c r="Y961" i="12"/>
  <c r="Y1540" i="12"/>
  <c r="Y1688" i="12"/>
  <c r="Y1816" i="12"/>
  <c r="Y1944" i="12"/>
  <c r="Y2065" i="12"/>
  <c r="Y2115" i="12"/>
  <c r="Y2159" i="12"/>
  <c r="Y2195" i="12"/>
  <c r="Y2227" i="12"/>
  <c r="Y2259" i="12"/>
  <c r="Y2291" i="12"/>
  <c r="Y2323" i="12"/>
  <c r="Y2355" i="12"/>
  <c r="Y2387" i="12"/>
  <c r="Y2419" i="12"/>
  <c r="Y2451" i="12"/>
  <c r="Y2483" i="12"/>
  <c r="Y2515" i="12"/>
  <c r="Y2547" i="12"/>
  <c r="Y2579" i="12"/>
  <c r="Y2611" i="12"/>
  <c r="Y2630" i="12"/>
  <c r="Y2652" i="12"/>
  <c r="Y2670" i="12"/>
  <c r="Y2686" i="12"/>
  <c r="Y2702" i="12"/>
  <c r="Y2715" i="12"/>
  <c r="Y2726" i="12"/>
  <c r="Y2736" i="12"/>
  <c r="Y2747" i="12"/>
  <c r="Y2758" i="12"/>
  <c r="Y2768" i="12"/>
  <c r="Y2777" i="12"/>
  <c r="Y2785" i="12"/>
  <c r="Y2793" i="12"/>
  <c r="Y2801" i="12"/>
  <c r="Y2809" i="12"/>
  <c r="Y2817" i="12"/>
  <c r="Y2825" i="12"/>
  <c r="Y2833" i="12"/>
  <c r="Y2841" i="12"/>
  <c r="Y2849" i="12"/>
  <c r="Y2857" i="12"/>
  <c r="Y2865" i="12"/>
  <c r="Y2873" i="12"/>
  <c r="Y2881" i="12"/>
  <c r="Y2889" i="12"/>
  <c r="Y2897" i="12"/>
  <c r="Y2905" i="12"/>
  <c r="Y2913" i="12"/>
  <c r="Y2921" i="12"/>
  <c r="Y968" i="12"/>
  <c r="Y1543" i="12"/>
  <c r="Y1689" i="12"/>
  <c r="Y1817" i="12"/>
  <c r="Y1945" i="12"/>
  <c r="Y2067" i="12"/>
  <c r="Y2116" i="12"/>
  <c r="Y2160" i="12"/>
  <c r="Y2196" i="12"/>
  <c r="Y2228" i="12"/>
  <c r="Y2260" i="12"/>
  <c r="Y2292" i="12"/>
  <c r="Y2324" i="12"/>
  <c r="Y2356" i="12"/>
  <c r="Y2388" i="12"/>
  <c r="Y2420" i="12"/>
  <c r="Y2452" i="12"/>
  <c r="Y2484" i="12"/>
  <c r="Y2516" i="12"/>
  <c r="Y2548" i="12"/>
  <c r="Y2580" i="12"/>
  <c r="Y2612" i="12"/>
  <c r="Y2635" i="12"/>
  <c r="Y2654" i="12"/>
  <c r="Y2674" i="12"/>
  <c r="Y2690" i="12"/>
  <c r="Y2706" i="12"/>
  <c r="Y2716" i="12"/>
  <c r="Y2727" i="12"/>
  <c r="Y2738" i="12"/>
  <c r="Y2748" i="12"/>
  <c r="Y2759" i="12"/>
  <c r="Y2770" i="12"/>
  <c r="Y2778" i="12"/>
  <c r="Y2786" i="12"/>
  <c r="Y2794" i="12"/>
  <c r="Y2802" i="12"/>
  <c r="Y2810" i="12"/>
  <c r="Y2818" i="12"/>
  <c r="Y2826" i="12"/>
  <c r="Y2834" i="12"/>
  <c r="Y2842" i="12"/>
  <c r="Y2850" i="12"/>
  <c r="Y2858" i="12"/>
  <c r="Y2866" i="12"/>
  <c r="Y2874" i="12"/>
  <c r="Y2882" i="12"/>
  <c r="Y2890" i="12"/>
  <c r="Y2898" i="12"/>
  <c r="Y2906" i="12"/>
  <c r="Y2914" i="12"/>
  <c r="Y2922" i="12"/>
  <c r="Y3" i="12"/>
  <c r="Y1179" i="12"/>
  <c r="Y1590" i="12"/>
  <c r="Y1720" i="12"/>
  <c r="Y1848" i="12"/>
  <c r="Y1976" i="12"/>
  <c r="Y2083" i="12"/>
  <c r="Y2127" i="12"/>
  <c r="Y2169" i="12"/>
  <c r="Y2203" i="12"/>
  <c r="Y2235" i="12"/>
  <c r="Y2267" i="12"/>
  <c r="Y2299" i="12"/>
  <c r="Y2331" i="12"/>
  <c r="Y2363" i="12"/>
  <c r="Y2395" i="12"/>
  <c r="Y2427" i="12"/>
  <c r="Y2459" i="12"/>
  <c r="Y2491" i="12"/>
  <c r="Y2523" i="12"/>
  <c r="Y2555" i="12"/>
  <c r="Y2587" i="12"/>
  <c r="Y2614" i="12"/>
  <c r="Y2636" i="12"/>
  <c r="Y2659" i="12"/>
  <c r="Y2675" i="12"/>
  <c r="Y2691" i="12"/>
  <c r="Y2707" i="12"/>
  <c r="Y2718" i="12"/>
  <c r="Y2728" i="12"/>
  <c r="Y2739" i="12"/>
  <c r="Y2750" i="12"/>
  <c r="Y2760" i="12"/>
  <c r="Y2771" i="12"/>
  <c r="Y2779" i="12"/>
  <c r="Y2787" i="12"/>
  <c r="Y2795" i="12"/>
  <c r="Y2803" i="12"/>
  <c r="Y2811" i="12"/>
  <c r="Y2819" i="12"/>
  <c r="Y2827" i="12"/>
  <c r="Y2835" i="12"/>
  <c r="Y2843" i="12"/>
  <c r="Y2851" i="12"/>
  <c r="Y2859" i="12"/>
  <c r="Y2867" i="12"/>
  <c r="Y2875" i="12"/>
  <c r="Y2883" i="12"/>
  <c r="Y2891" i="12"/>
  <c r="Y2899" i="12"/>
  <c r="Y2907" i="12"/>
  <c r="Y2915" i="12"/>
  <c r="Y2923" i="12"/>
  <c r="Y1180" i="12"/>
  <c r="Y1591" i="12"/>
  <c r="Y1721" i="12"/>
  <c r="Y1849" i="12"/>
  <c r="Y1977" i="12"/>
  <c r="Y2084" i="12"/>
  <c r="Y2128" i="12"/>
  <c r="Y2170" i="12"/>
  <c r="Y2204" i="12"/>
  <c r="Y2236" i="12"/>
  <c r="Y2268" i="12"/>
  <c r="Y2300" i="12"/>
  <c r="Y2332" i="12"/>
  <c r="Y2364" i="12"/>
  <c r="Y2396" i="12"/>
  <c r="Y2428" i="12"/>
  <c r="Y2460" i="12"/>
  <c r="Y2492" i="12"/>
  <c r="Y2524" i="12"/>
  <c r="Y2556" i="12"/>
  <c r="Y2588" i="12"/>
  <c r="Y2619" i="12"/>
  <c r="Y2638" i="12"/>
  <c r="Y2660" i="12"/>
  <c r="Y2676" i="12"/>
  <c r="Y2692" i="12"/>
  <c r="Y2708" i="12"/>
  <c r="Y2719" i="12"/>
  <c r="Y2730" i="12"/>
  <c r="Y2740" i="12"/>
  <c r="Y2751" i="12"/>
  <c r="Y2762" i="12"/>
  <c r="Y2772" i="12"/>
  <c r="Y2780" i="12"/>
  <c r="Y2788" i="12"/>
  <c r="Y2796" i="12"/>
  <c r="Y2804" i="12"/>
  <c r="Y2812" i="12"/>
  <c r="Y2820" i="12"/>
  <c r="Y2828" i="12"/>
  <c r="Y2836" i="12"/>
  <c r="Y2844" i="12"/>
  <c r="Y2852" i="12"/>
  <c r="Y2860" i="12"/>
  <c r="Y2868" i="12"/>
  <c r="Y2876" i="12"/>
  <c r="Y2884" i="12"/>
  <c r="Y2892" i="12"/>
  <c r="Y2900" i="12"/>
  <c r="Y2908" i="12"/>
  <c r="Y2916" i="12"/>
  <c r="Y2924" i="12"/>
  <c r="Y1307" i="12"/>
  <c r="Y1624" i="12"/>
  <c r="Y1752" i="12"/>
  <c r="Y1880" i="12"/>
  <c r="Y2008" i="12"/>
  <c r="Y2095" i="12"/>
  <c r="Y2137" i="12"/>
  <c r="Y2179" i="12"/>
  <c r="Y2211" i="12"/>
  <c r="Y2243" i="12"/>
  <c r="Y2275" i="12"/>
  <c r="Y2307" i="12"/>
  <c r="Y2339" i="12"/>
  <c r="Y2371" i="12"/>
  <c r="Y2403" i="12"/>
  <c r="Y2435" i="12"/>
  <c r="Y2467" i="12"/>
  <c r="Y2499" i="12"/>
  <c r="Y2531" i="12"/>
  <c r="Y2563" i="12"/>
  <c r="Y2595" i="12"/>
  <c r="Y2620" i="12"/>
  <c r="Y2643" i="12"/>
  <c r="Y2662" i="12"/>
  <c r="Y2678" i="12"/>
  <c r="Y2694" i="12"/>
  <c r="Y2710" i="12"/>
  <c r="Y2720" i="12"/>
  <c r="Y2731" i="12"/>
  <c r="Y2742" i="12"/>
  <c r="Y2752" i="12"/>
  <c r="Y2763" i="12"/>
  <c r="Y2773" i="12"/>
  <c r="Y2781" i="12"/>
  <c r="Y2789" i="12"/>
  <c r="Y2797" i="12"/>
  <c r="Y2805" i="12"/>
  <c r="Y2813" i="12"/>
  <c r="Y2821" i="12"/>
  <c r="Y2829" i="12"/>
  <c r="Y2837" i="12"/>
  <c r="Y2845" i="12"/>
  <c r="Y2853" i="12"/>
  <c r="Y2861" i="12"/>
  <c r="Y2869" i="12"/>
  <c r="Y2877" i="12"/>
  <c r="Y2885" i="12"/>
  <c r="Y2893" i="12"/>
  <c r="Y2901" i="12"/>
  <c r="Y2909" i="12"/>
  <c r="Y2917" i="12"/>
  <c r="Y2925" i="12"/>
  <c r="Y123" i="12"/>
  <c r="Y1436" i="12"/>
  <c r="Y1657" i="12"/>
  <c r="Y1785" i="12"/>
  <c r="Y1913" i="12"/>
  <c r="Y2041" i="12"/>
  <c r="Y2106" i="12"/>
  <c r="Y2148" i="12"/>
  <c r="Y2188" i="12"/>
  <c r="Y2220" i="12"/>
  <c r="Y2252" i="12"/>
  <c r="Y2284" i="12"/>
  <c r="Y2316" i="12"/>
  <c r="Y2348" i="12"/>
  <c r="Y2380" i="12"/>
  <c r="Y2412" i="12"/>
  <c r="Y2444" i="12"/>
  <c r="Y2476" i="12"/>
  <c r="Y2508" i="12"/>
  <c r="Y2540" i="12"/>
  <c r="Y2572" i="12"/>
  <c r="Y2604" i="12"/>
  <c r="Y2628" i="12"/>
  <c r="Y2651" i="12"/>
  <c r="Y2668" i="12"/>
  <c r="Y2684" i="12"/>
  <c r="Y2700" i="12"/>
  <c r="Y2714" i="12"/>
  <c r="Y2724" i="12"/>
  <c r="Y2735" i="12"/>
  <c r="Y2746" i="12"/>
  <c r="Y2756" i="12"/>
  <c r="Y2767" i="12"/>
  <c r="Y2776" i="12"/>
  <c r="Y2784" i="12"/>
  <c r="Y2792" i="12"/>
  <c r="Y2800" i="12"/>
  <c r="Y2808" i="12"/>
  <c r="Y2816" i="12"/>
  <c r="Y2824" i="12"/>
  <c r="Y2832" i="12"/>
  <c r="Y2840" i="12"/>
  <c r="Y2848" i="12"/>
  <c r="Y2856" i="12"/>
  <c r="Y2864" i="12"/>
  <c r="Y2872" i="12"/>
  <c r="Y2880" i="12"/>
  <c r="Y2888" i="12"/>
  <c r="Y2896" i="12"/>
  <c r="Y2904" i="12"/>
  <c r="Y2912" i="12"/>
  <c r="Y2920" i="12"/>
  <c r="Y2928" i="12"/>
  <c r="Y1435" i="12"/>
  <c r="Y2040" i="12"/>
  <c r="Y2219" i="12"/>
  <c r="Y2347" i="12"/>
  <c r="Y2475" i="12"/>
  <c r="Y2603" i="12"/>
  <c r="Y2683" i="12"/>
  <c r="Y2734" i="12"/>
  <c r="Y2775" i="12"/>
  <c r="Y2807" i="12"/>
  <c r="Y2839" i="12"/>
  <c r="Y2871" i="12"/>
  <c r="Y2903" i="12"/>
  <c r="Y1625" i="12"/>
  <c r="Y2096" i="12"/>
  <c r="Y2244" i="12"/>
  <c r="Y2372" i="12"/>
  <c r="Y2500" i="12"/>
  <c r="Y2622" i="12"/>
  <c r="Y2698" i="12"/>
  <c r="Y2743" i="12"/>
  <c r="Y2782" i="12"/>
  <c r="Y2814" i="12"/>
  <c r="Y2846" i="12"/>
  <c r="Y2878" i="12"/>
  <c r="Y2910" i="12"/>
  <c r="Y1656" i="12"/>
  <c r="Y2105" i="12"/>
  <c r="Y2251" i="12"/>
  <c r="Y2379" i="12"/>
  <c r="Y2507" i="12"/>
  <c r="Y2627" i="12"/>
  <c r="Y2699" i="12"/>
  <c r="Y2744" i="12"/>
  <c r="Y2783" i="12"/>
  <c r="Y2815" i="12"/>
  <c r="Y2847" i="12"/>
  <c r="Y2879" i="12"/>
  <c r="Y2911" i="12"/>
  <c r="Y1753" i="12"/>
  <c r="Y2138" i="12"/>
  <c r="Y2276" i="12"/>
  <c r="Y2404" i="12"/>
  <c r="Y2532" i="12"/>
  <c r="Y2644" i="12"/>
  <c r="Y2711" i="12"/>
  <c r="Y2754" i="12"/>
  <c r="Y2790" i="12"/>
  <c r="Y2822" i="12"/>
  <c r="Y2854" i="12"/>
  <c r="Y2886" i="12"/>
  <c r="Y2918" i="12"/>
  <c r="Y1784" i="12"/>
  <c r="Y2147" i="12"/>
  <c r="Y2283" i="12"/>
  <c r="Y2411" i="12"/>
  <c r="Y2539" i="12"/>
  <c r="Y2646" i="12"/>
  <c r="Y2712" i="12"/>
  <c r="Y2755" i="12"/>
  <c r="Y2791" i="12"/>
  <c r="Y2823" i="12"/>
  <c r="Y2855" i="12"/>
  <c r="Y2887" i="12"/>
  <c r="Y2919" i="12"/>
  <c r="Y1881" i="12"/>
  <c r="Y2340" i="12"/>
  <c r="Y2667" i="12"/>
  <c r="Y2798" i="12"/>
  <c r="Y2870" i="12"/>
  <c r="Y1912" i="12"/>
  <c r="Y2436" i="12"/>
  <c r="Y2682" i="12"/>
  <c r="Y2799" i="12"/>
  <c r="Y2894" i="12"/>
  <c r="Y2009" i="12"/>
  <c r="Y2443" i="12"/>
  <c r="Y2722" i="12"/>
  <c r="Y2806" i="12"/>
  <c r="Y2895" i="12"/>
  <c r="Y2180" i="12"/>
  <c r="Y2468" i="12"/>
  <c r="Y2723" i="12"/>
  <c r="Y2830" i="12"/>
  <c r="Y2902" i="12"/>
  <c r="Y2187" i="12"/>
  <c r="Y2564" i="12"/>
  <c r="Y2732" i="12"/>
  <c r="Y2831" i="12"/>
  <c r="Y2926" i="12"/>
  <c r="Y1308" i="12"/>
  <c r="Y2315" i="12"/>
  <c r="Y2666" i="12"/>
  <c r="Y2774" i="12"/>
  <c r="Y2863" i="12"/>
  <c r="Y2308" i="12"/>
  <c r="Y2571" i="12"/>
  <c r="Y2764" i="12"/>
  <c r="Y2766" i="12"/>
  <c r="Y2212" i="12"/>
  <c r="Y2927" i="12"/>
  <c r="Y2838" i="12"/>
  <c r="Y2862" i="12"/>
  <c r="Y98" i="12"/>
  <c r="Y2596" i="12"/>
  <c r="CK7" i="9"/>
  <c r="Q34" i="9" s="1"/>
  <c r="B15" i="11"/>
  <c r="B14" i="11"/>
  <c r="AZ7" i="9"/>
  <c r="L41" i="11"/>
  <c r="O41" i="11" s="1"/>
  <c r="S41" i="11" s="1"/>
  <c r="BL33" i="9" s="1"/>
  <c r="L39" i="11"/>
  <c r="O39" i="11" s="1"/>
  <c r="S39" i="11" s="1"/>
  <c r="BL31" i="9" s="1"/>
  <c r="L52" i="11"/>
  <c r="O52" i="11" s="1"/>
  <c r="S52" i="11" s="1"/>
  <c r="BL44" i="9" s="1"/>
  <c r="L51" i="11"/>
  <c r="O51" i="11" s="1"/>
  <c r="S51" i="11" s="1"/>
  <c r="BL43" i="9" s="1"/>
  <c r="AZ8" i="9"/>
  <c r="C16" i="11"/>
  <c r="D16" i="11"/>
  <c r="E16" i="11"/>
  <c r="E29" i="11"/>
  <c r="BH21" i="9"/>
  <c r="BG21" i="9" s="1"/>
  <c r="L35" i="11"/>
  <c r="O35" i="11" s="1"/>
  <c r="S35" i="11" s="1"/>
  <c r="BL27" i="9" s="1"/>
  <c r="L43" i="11"/>
  <c r="O43" i="11" s="1"/>
  <c r="S43" i="11" s="1"/>
  <c r="BL35" i="9" s="1"/>
  <c r="L46" i="11"/>
  <c r="O46" i="11" s="1"/>
  <c r="S46" i="11" s="1"/>
  <c r="BL38" i="9" s="1"/>
  <c r="L49" i="11"/>
  <c r="O49" i="11" s="1"/>
  <c r="S49" i="11" s="1"/>
  <c r="BL41" i="9" s="1"/>
  <c r="L36" i="11"/>
  <c r="O36" i="11" s="1"/>
  <c r="S36" i="11" s="1"/>
  <c r="BL28" i="9" s="1"/>
  <c r="L44" i="11"/>
  <c r="O44" i="11" s="1"/>
  <c r="S44" i="11" s="1"/>
  <c r="BL36" i="9" s="1"/>
  <c r="M48" i="11"/>
  <c r="M50" i="11"/>
  <c r="Q40" i="11"/>
  <c r="S40" i="11"/>
  <c r="BL32" i="9" s="1"/>
  <c r="Q37" i="11"/>
  <c r="M45" i="11"/>
  <c r="P45" i="11" s="1"/>
  <c r="BI37" i="9" s="1"/>
  <c r="M41" i="11"/>
  <c r="Q35" i="11"/>
  <c r="C33" i="11"/>
  <c r="D33" i="11"/>
  <c r="E33" i="11"/>
  <c r="M46" i="11"/>
  <c r="P46" i="11" s="1"/>
  <c r="BI38" i="9" s="1"/>
  <c r="D27" i="11"/>
  <c r="E27" i="11"/>
  <c r="C27" i="11"/>
  <c r="C26" i="11"/>
  <c r="D26" i="11"/>
  <c r="E26" i="11"/>
  <c r="M52" i="11"/>
  <c r="M38" i="11"/>
  <c r="P38" i="11" s="1"/>
  <c r="BI30" i="9" s="1"/>
  <c r="C22" i="11"/>
  <c r="D22" i="11"/>
  <c r="E22" i="11"/>
  <c r="DC13" i="9"/>
  <c r="DB13" i="9" s="1"/>
  <c r="DC27" i="9"/>
  <c r="DB27" i="9" s="1"/>
  <c r="DC43" i="9"/>
  <c r="DB43" i="9" s="1"/>
  <c r="M39" i="11"/>
  <c r="P39" i="11" s="1"/>
  <c r="BI31" i="9" s="1"/>
  <c r="E21" i="11"/>
  <c r="D21" i="11"/>
  <c r="C21" i="11"/>
  <c r="E18" i="11"/>
  <c r="D18" i="11"/>
  <c r="C18" i="11"/>
  <c r="DC15" i="9"/>
  <c r="DB15" i="9" s="1"/>
  <c r="DC19" i="9"/>
  <c r="DB19" i="9" s="1"/>
  <c r="DC23" i="9"/>
  <c r="DB23" i="9" s="1"/>
  <c r="DC18" i="9"/>
  <c r="DB18" i="9" s="1"/>
  <c r="DC31" i="9"/>
  <c r="DB31" i="9" s="1"/>
  <c r="DC34" i="9"/>
  <c r="DB34" i="9" s="1"/>
  <c r="DC49" i="9"/>
  <c r="DB49" i="9" s="1"/>
  <c r="DC52" i="9"/>
  <c r="DB52" i="9" s="1"/>
  <c r="DB60" i="9"/>
  <c r="DC56" i="9"/>
  <c r="DB56" i="9" s="1"/>
  <c r="C28" i="11"/>
  <c r="E28" i="11"/>
  <c r="D28" i="11"/>
  <c r="DC12" i="9"/>
  <c r="DB12" i="9" s="1"/>
  <c r="DC37" i="9"/>
  <c r="DB37" i="9" s="1"/>
  <c r="DC44" i="9"/>
  <c r="DB44" i="9" s="1"/>
  <c r="DC46" i="9"/>
  <c r="DB46" i="9" s="1"/>
  <c r="DB57" i="9"/>
  <c r="DC53" i="9"/>
  <c r="DB53" i="9" s="1"/>
  <c r="BH14" i="9"/>
  <c r="BG14" i="9" s="1"/>
  <c r="D23" i="11"/>
  <c r="C23" i="11"/>
  <c r="E23" i="11"/>
  <c r="DC20" i="9"/>
  <c r="DB20" i="9" s="1"/>
  <c r="DC28" i="9"/>
  <c r="DB28" i="9" s="1"/>
  <c r="DC32" i="9"/>
  <c r="DB32" i="9" s="1"/>
  <c r="DC40" i="9"/>
  <c r="DB40" i="9" s="1"/>
  <c r="DC47" i="9"/>
  <c r="DB47" i="9" s="1"/>
  <c r="C17" i="11"/>
  <c r="D17" i="11"/>
  <c r="E17" i="11"/>
  <c r="BH10" i="9"/>
  <c r="BG10" i="9" s="1"/>
  <c r="D19" i="11"/>
  <c r="E19" i="11"/>
  <c r="C19" i="11"/>
  <c r="C32" i="11"/>
  <c r="D32" i="11"/>
  <c r="E32" i="11"/>
  <c r="DC25" i="9"/>
  <c r="DB25" i="9" s="1"/>
  <c r="DC30" i="9"/>
  <c r="DB30" i="9" s="1"/>
  <c r="DC35" i="9"/>
  <c r="DB35" i="9" s="1"/>
  <c r="DC38" i="9"/>
  <c r="DB38" i="9" s="1"/>
  <c r="DC50" i="9"/>
  <c r="DB50" i="9" s="1"/>
  <c r="M37" i="11"/>
  <c r="P37" i="11" s="1"/>
  <c r="BI29" i="9" s="1"/>
  <c r="BH15" i="9"/>
  <c r="BG15" i="9" s="1"/>
  <c r="E24" i="11"/>
  <c r="D24" i="11"/>
  <c r="C24" i="11"/>
  <c r="DC16" i="9"/>
  <c r="DB16" i="9" s="1"/>
  <c r="DC21" i="9"/>
  <c r="DB21" i="9" s="1"/>
  <c r="DC24" i="9"/>
  <c r="DB24" i="9" s="1"/>
  <c r="DC41" i="9"/>
  <c r="DB41" i="9" s="1"/>
  <c r="DC45" i="9"/>
  <c r="DB45" i="9" s="1"/>
  <c r="DB58" i="9"/>
  <c r="DC54" i="9"/>
  <c r="DB54" i="9" s="1"/>
  <c r="C25" i="11"/>
  <c r="D25" i="11"/>
  <c r="E25" i="11"/>
  <c r="C20" i="11"/>
  <c r="D20" i="11"/>
  <c r="E20" i="11"/>
  <c r="C31" i="11"/>
  <c r="E31" i="11"/>
  <c r="D31" i="11"/>
  <c r="E30" i="11"/>
  <c r="C30" i="11"/>
  <c r="D30" i="11"/>
  <c r="DC29" i="9"/>
  <c r="DB29" i="9" s="1"/>
  <c r="DC33" i="9"/>
  <c r="DB33" i="9" s="1"/>
  <c r="DC39" i="9"/>
  <c r="DB39" i="9" s="1"/>
  <c r="DC42" i="9"/>
  <c r="DB42" i="9" s="1"/>
  <c r="DB59" i="9"/>
  <c r="DC55" i="9"/>
  <c r="DB55" i="9" s="1"/>
  <c r="C29" i="11"/>
  <c r="BH13" i="9"/>
  <c r="BG13" i="9" s="1"/>
  <c r="DC14" i="9"/>
  <c r="DB14" i="9" s="1"/>
  <c r="DC17" i="9"/>
  <c r="DB17" i="9" s="1"/>
  <c r="DC22" i="9"/>
  <c r="DB22" i="9" s="1"/>
  <c r="DC26" i="9"/>
  <c r="DB26" i="9" s="1"/>
  <c r="DC36" i="9"/>
  <c r="DB36" i="9" s="1"/>
  <c r="DC48" i="9"/>
  <c r="DB48" i="9" s="1"/>
  <c r="DC51" i="9"/>
  <c r="DB51" i="9" s="1"/>
  <c r="M42" i="11"/>
  <c r="P42" i="11" s="1"/>
  <c r="BI34" i="9" s="1"/>
  <c r="M47" i="11"/>
  <c r="P47" i="11" s="1"/>
  <c r="BI39" i="9" s="1"/>
  <c r="M35" i="11"/>
  <c r="P35" i="11" s="1"/>
  <c r="BI27" i="9" s="1"/>
  <c r="D29" i="11"/>
  <c r="Q46" i="11"/>
  <c r="Q50" i="11"/>
  <c r="P50" i="11"/>
  <c r="BI42" i="9" s="1"/>
  <c r="Q39" i="11"/>
  <c r="Q42" i="11"/>
  <c r="Q47" i="11"/>
  <c r="P52" i="11"/>
  <c r="BI44" i="9" s="1"/>
  <c r="Q52" i="11"/>
  <c r="M40" i="11"/>
  <c r="P40" i="11" s="1"/>
  <c r="BI32" i="9" s="1"/>
  <c r="Q45" i="11"/>
  <c r="P48" i="11"/>
  <c r="BI40" i="9" s="1"/>
  <c r="Q48" i="11"/>
  <c r="Q38" i="11"/>
  <c r="Q41" i="11"/>
  <c r="P41" i="11"/>
  <c r="BI33" i="9" s="1"/>
  <c r="Q49" i="11"/>
  <c r="P4" i="12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140" i="12" s="1"/>
  <c r="P141" i="12" s="1"/>
  <c r="P142" i="12" s="1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P197" i="12" s="1"/>
  <c r="P198" i="12" s="1"/>
  <c r="P199" i="12" s="1"/>
  <c r="P200" i="12" s="1"/>
  <c r="P201" i="12" s="1"/>
  <c r="P202" i="12" s="1"/>
  <c r="P203" i="12" s="1"/>
  <c r="P204" i="12" s="1"/>
  <c r="P205" i="12" s="1"/>
  <c r="P206" i="12" s="1"/>
  <c r="P207" i="12" s="1"/>
  <c r="P208" i="12" s="1"/>
  <c r="P209" i="12" s="1"/>
  <c r="P210" i="12" s="1"/>
  <c r="P211" i="12" s="1"/>
  <c r="P212" i="12" s="1"/>
  <c r="P213" i="12" s="1"/>
  <c r="P214" i="12" s="1"/>
  <c r="P215" i="12" s="1"/>
  <c r="P216" i="12" s="1"/>
  <c r="P217" i="12" s="1"/>
  <c r="P218" i="12" s="1"/>
  <c r="P219" i="12" s="1"/>
  <c r="P220" i="12" s="1"/>
  <c r="P221" i="12" s="1"/>
  <c r="P222" i="12" s="1"/>
  <c r="P223" i="12" s="1"/>
  <c r="P224" i="12" s="1"/>
  <c r="P225" i="12" s="1"/>
  <c r="P226" i="12" s="1"/>
  <c r="P227" i="12" s="1"/>
  <c r="P228" i="12" s="1"/>
  <c r="P229" i="12" s="1"/>
  <c r="P230" i="12" s="1"/>
  <c r="P231" i="12" s="1"/>
  <c r="P232" i="12" s="1"/>
  <c r="P233" i="12" s="1"/>
  <c r="P234" i="12" s="1"/>
  <c r="P235" i="12" s="1"/>
  <c r="P236" i="12" s="1"/>
  <c r="P237" i="12" s="1"/>
  <c r="P238" i="12" s="1"/>
  <c r="P239" i="12" s="1"/>
  <c r="P240" i="12" s="1"/>
  <c r="P241" i="12" s="1"/>
  <c r="P242" i="12" s="1"/>
  <c r="P243" i="12" s="1"/>
  <c r="P244" i="12" s="1"/>
  <c r="P245" i="12" s="1"/>
  <c r="P246" i="12" s="1"/>
  <c r="P247" i="12" s="1"/>
  <c r="P248" i="12" s="1"/>
  <c r="P249" i="12" s="1"/>
  <c r="P250" i="12" s="1"/>
  <c r="P251" i="12" s="1"/>
  <c r="P252" i="12" s="1"/>
  <c r="P253" i="12" s="1"/>
  <c r="P254" i="12" s="1"/>
  <c r="P255" i="12" s="1"/>
  <c r="P256" i="12" s="1"/>
  <c r="P257" i="12" s="1"/>
  <c r="P258" i="12" s="1"/>
  <c r="P259" i="12" s="1"/>
  <c r="P260" i="12" s="1"/>
  <c r="P261" i="12" s="1"/>
  <c r="P262" i="12" s="1"/>
  <c r="P263" i="12" s="1"/>
  <c r="P264" i="12" s="1"/>
  <c r="P265" i="12" s="1"/>
  <c r="P266" i="12" s="1"/>
  <c r="P267" i="12" s="1"/>
  <c r="P268" i="12" s="1"/>
  <c r="P269" i="12" s="1"/>
  <c r="P270" i="12" s="1"/>
  <c r="P271" i="12" s="1"/>
  <c r="P272" i="12" s="1"/>
  <c r="P273" i="12" s="1"/>
  <c r="P274" i="12" s="1"/>
  <c r="P275" i="12" s="1"/>
  <c r="P276" i="12" s="1"/>
  <c r="P277" i="12" s="1"/>
  <c r="P278" i="12" s="1"/>
  <c r="P279" i="12" s="1"/>
  <c r="P280" i="12" s="1"/>
  <c r="P281" i="12" s="1"/>
  <c r="P282" i="12" s="1"/>
  <c r="P283" i="12" s="1"/>
  <c r="P284" i="12" s="1"/>
  <c r="P285" i="12" s="1"/>
  <c r="P286" i="12" s="1"/>
  <c r="P287" i="12" s="1"/>
  <c r="P288" i="12" s="1"/>
  <c r="P289" i="12" s="1"/>
  <c r="P290" i="12" s="1"/>
  <c r="P291" i="12" s="1"/>
  <c r="P292" i="12" s="1"/>
  <c r="P293" i="12" s="1"/>
  <c r="P294" i="12" s="1"/>
  <c r="P295" i="12" s="1"/>
  <c r="P296" i="12" s="1"/>
  <c r="P297" i="12" s="1"/>
  <c r="P298" i="12" s="1"/>
  <c r="P299" i="12" s="1"/>
  <c r="P300" i="12" s="1"/>
  <c r="P301" i="12" s="1"/>
  <c r="P302" i="12" s="1"/>
  <c r="P303" i="12" s="1"/>
  <c r="P304" i="12" s="1"/>
  <c r="P305" i="12" s="1"/>
  <c r="P306" i="12" s="1"/>
  <c r="P307" i="12" s="1"/>
  <c r="P308" i="12" s="1"/>
  <c r="P309" i="12" s="1"/>
  <c r="P310" i="12" s="1"/>
  <c r="P311" i="12" s="1"/>
  <c r="P312" i="12" s="1"/>
  <c r="P313" i="12" s="1"/>
  <c r="P314" i="12" s="1"/>
  <c r="P315" i="12" s="1"/>
  <c r="P316" i="12" s="1"/>
  <c r="P317" i="12" s="1"/>
  <c r="P318" i="12" s="1"/>
  <c r="P319" i="12" s="1"/>
  <c r="P320" i="12" s="1"/>
  <c r="P321" i="12" s="1"/>
  <c r="P322" i="12" s="1"/>
  <c r="P323" i="12" s="1"/>
  <c r="P324" i="12" s="1"/>
  <c r="P325" i="12" s="1"/>
  <c r="P326" i="12" s="1"/>
  <c r="P327" i="12" s="1"/>
  <c r="P328" i="12" s="1"/>
  <c r="P329" i="12" s="1"/>
  <c r="P330" i="12" s="1"/>
  <c r="P331" i="12" s="1"/>
  <c r="P332" i="12" s="1"/>
  <c r="P333" i="12" s="1"/>
  <c r="P334" i="12" s="1"/>
  <c r="P335" i="12" s="1"/>
  <c r="P336" i="12" s="1"/>
  <c r="P337" i="12" s="1"/>
  <c r="P338" i="12" s="1"/>
  <c r="P339" i="12" s="1"/>
  <c r="P340" i="12" s="1"/>
  <c r="P341" i="12" s="1"/>
  <c r="P342" i="12" s="1"/>
  <c r="P343" i="12" s="1"/>
  <c r="P344" i="12" s="1"/>
  <c r="P345" i="12" s="1"/>
  <c r="P346" i="12" s="1"/>
  <c r="P347" i="12" s="1"/>
  <c r="P348" i="12" s="1"/>
  <c r="P349" i="12" s="1"/>
  <c r="P350" i="12" s="1"/>
  <c r="P351" i="12" s="1"/>
  <c r="P352" i="12" s="1"/>
  <c r="P353" i="12" s="1"/>
  <c r="P354" i="12" s="1"/>
  <c r="P355" i="12" s="1"/>
  <c r="P356" i="12" s="1"/>
  <c r="P357" i="12" s="1"/>
  <c r="P358" i="12" s="1"/>
  <c r="P359" i="12" s="1"/>
  <c r="P360" i="12" s="1"/>
  <c r="P361" i="12" s="1"/>
  <c r="P362" i="12" s="1"/>
  <c r="P363" i="12" s="1"/>
  <c r="P364" i="12" s="1"/>
  <c r="P365" i="12" s="1"/>
  <c r="P366" i="12" s="1"/>
  <c r="P367" i="12" s="1"/>
  <c r="P368" i="12" s="1"/>
  <c r="P369" i="12" s="1"/>
  <c r="P370" i="12" s="1"/>
  <c r="P371" i="12" s="1"/>
  <c r="P372" i="12" s="1"/>
  <c r="P373" i="12" s="1"/>
  <c r="P374" i="12" s="1"/>
  <c r="P375" i="12" s="1"/>
  <c r="P376" i="12" s="1"/>
  <c r="P377" i="12" s="1"/>
  <c r="P378" i="12" s="1"/>
  <c r="P379" i="12" s="1"/>
  <c r="P380" i="12" s="1"/>
  <c r="P381" i="12" s="1"/>
  <c r="P382" i="12" s="1"/>
  <c r="P383" i="12" s="1"/>
  <c r="P384" i="12" s="1"/>
  <c r="P385" i="12" s="1"/>
  <c r="P386" i="12" s="1"/>
  <c r="P387" i="12" s="1"/>
  <c r="P388" i="12" s="1"/>
  <c r="P389" i="12" s="1"/>
  <c r="P390" i="12" s="1"/>
  <c r="P391" i="12" s="1"/>
  <c r="P392" i="12" s="1"/>
  <c r="P393" i="12" s="1"/>
  <c r="P394" i="12" s="1"/>
  <c r="P395" i="12" s="1"/>
  <c r="P396" i="12" s="1"/>
  <c r="P397" i="12" s="1"/>
  <c r="P398" i="12" s="1"/>
  <c r="P399" i="12" s="1"/>
  <c r="P400" i="12" s="1"/>
  <c r="P401" i="12" s="1"/>
  <c r="P402" i="12" s="1"/>
  <c r="P403" i="12" s="1"/>
  <c r="P404" i="12" s="1"/>
  <c r="P405" i="12" s="1"/>
  <c r="P406" i="12" s="1"/>
  <c r="P407" i="12" s="1"/>
  <c r="P408" i="12" s="1"/>
  <c r="P409" i="12" s="1"/>
  <c r="P410" i="12" s="1"/>
  <c r="P411" i="12" s="1"/>
  <c r="P412" i="12" s="1"/>
  <c r="P413" i="12" s="1"/>
  <c r="P414" i="12" s="1"/>
  <c r="P415" i="12" s="1"/>
  <c r="P416" i="12" s="1"/>
  <c r="P417" i="12" s="1"/>
  <c r="P418" i="12" s="1"/>
  <c r="P419" i="12" s="1"/>
  <c r="P420" i="12" s="1"/>
  <c r="P421" i="12" s="1"/>
  <c r="P422" i="12" s="1"/>
  <c r="P423" i="12" s="1"/>
  <c r="P424" i="12" s="1"/>
  <c r="P425" i="12" s="1"/>
  <c r="P426" i="12" s="1"/>
  <c r="P427" i="12" s="1"/>
  <c r="P428" i="12" s="1"/>
  <c r="P429" i="12" s="1"/>
  <c r="P430" i="12" s="1"/>
  <c r="P431" i="12" s="1"/>
  <c r="P432" i="12" s="1"/>
  <c r="P433" i="12" s="1"/>
  <c r="P434" i="12" s="1"/>
  <c r="P435" i="12" s="1"/>
  <c r="P436" i="12" s="1"/>
  <c r="P437" i="12" s="1"/>
  <c r="P438" i="12" s="1"/>
  <c r="P439" i="12" s="1"/>
  <c r="P440" i="12" s="1"/>
  <c r="P441" i="12" s="1"/>
  <c r="P442" i="12" s="1"/>
  <c r="P443" i="12" s="1"/>
  <c r="P444" i="12" s="1"/>
  <c r="P445" i="12" s="1"/>
  <c r="P446" i="12" s="1"/>
  <c r="P447" i="12" s="1"/>
  <c r="P448" i="12" s="1"/>
  <c r="P449" i="12" s="1"/>
  <c r="P450" i="12" s="1"/>
  <c r="P451" i="12" s="1"/>
  <c r="P452" i="12" s="1"/>
  <c r="P453" i="12" s="1"/>
  <c r="P454" i="12" s="1"/>
  <c r="P455" i="12" s="1"/>
  <c r="P456" i="12" s="1"/>
  <c r="P457" i="12" s="1"/>
  <c r="P458" i="12" s="1"/>
  <c r="P459" i="12" s="1"/>
  <c r="P460" i="12" s="1"/>
  <c r="P461" i="12" s="1"/>
  <c r="P462" i="12" s="1"/>
  <c r="P463" i="12" s="1"/>
  <c r="P464" i="12" s="1"/>
  <c r="P465" i="12" s="1"/>
  <c r="P466" i="12" s="1"/>
  <c r="P467" i="12" s="1"/>
  <c r="P468" i="12" s="1"/>
  <c r="P469" i="12" s="1"/>
  <c r="P470" i="12" s="1"/>
  <c r="P471" i="12" s="1"/>
  <c r="P472" i="12" s="1"/>
  <c r="P473" i="12" s="1"/>
  <c r="P474" i="12" s="1"/>
  <c r="P475" i="12" s="1"/>
  <c r="P476" i="12" s="1"/>
  <c r="P477" i="12" s="1"/>
  <c r="P478" i="12" s="1"/>
  <c r="P479" i="12" s="1"/>
  <c r="P480" i="12" s="1"/>
  <c r="P481" i="12" s="1"/>
  <c r="P482" i="12" s="1"/>
  <c r="P483" i="12" s="1"/>
  <c r="P484" i="12" s="1"/>
  <c r="P485" i="12" s="1"/>
  <c r="P486" i="12" s="1"/>
  <c r="P487" i="12" s="1"/>
  <c r="P488" i="12" s="1"/>
  <c r="P489" i="12" s="1"/>
  <c r="P490" i="12" s="1"/>
  <c r="P491" i="12" s="1"/>
  <c r="P492" i="12" s="1"/>
  <c r="P493" i="12" s="1"/>
  <c r="P494" i="12" s="1"/>
  <c r="P495" i="12" s="1"/>
  <c r="P496" i="12" s="1"/>
  <c r="P497" i="12" s="1"/>
  <c r="P498" i="12" s="1"/>
  <c r="P499" i="12" s="1"/>
  <c r="P500" i="12" s="1"/>
  <c r="P501" i="12" s="1"/>
  <c r="P502" i="12" s="1"/>
  <c r="P503" i="12" s="1"/>
  <c r="P504" i="12" s="1"/>
  <c r="P505" i="12" s="1"/>
  <c r="P506" i="12" s="1"/>
  <c r="P507" i="12" s="1"/>
  <c r="P508" i="12" s="1"/>
  <c r="P509" i="12" s="1"/>
  <c r="P510" i="12" s="1"/>
  <c r="P511" i="12" s="1"/>
  <c r="P512" i="12" s="1"/>
  <c r="P513" i="12" s="1"/>
  <c r="P514" i="12" s="1"/>
  <c r="P515" i="12" s="1"/>
  <c r="P516" i="12" s="1"/>
  <c r="P517" i="12" s="1"/>
  <c r="P518" i="12" s="1"/>
  <c r="P519" i="12" s="1"/>
  <c r="P520" i="12" s="1"/>
  <c r="P521" i="12" s="1"/>
  <c r="P522" i="12" s="1"/>
  <c r="P523" i="12" s="1"/>
  <c r="P524" i="12" s="1"/>
  <c r="P525" i="12" s="1"/>
  <c r="P526" i="12" s="1"/>
  <c r="P527" i="12" s="1"/>
  <c r="P528" i="12" s="1"/>
  <c r="P529" i="12" s="1"/>
  <c r="P530" i="12" s="1"/>
  <c r="P531" i="12" s="1"/>
  <c r="P532" i="12" s="1"/>
  <c r="P533" i="12" s="1"/>
  <c r="P534" i="12" s="1"/>
  <c r="P535" i="12" s="1"/>
  <c r="P536" i="12" s="1"/>
  <c r="P537" i="12" s="1"/>
  <c r="P538" i="12" s="1"/>
  <c r="P539" i="12" s="1"/>
  <c r="P540" i="12" s="1"/>
  <c r="P541" i="12" s="1"/>
  <c r="P542" i="12" s="1"/>
  <c r="P543" i="12" s="1"/>
  <c r="P544" i="12" s="1"/>
  <c r="P545" i="12" s="1"/>
  <c r="P546" i="12" s="1"/>
  <c r="P547" i="12" s="1"/>
  <c r="P548" i="12" s="1"/>
  <c r="P549" i="12" s="1"/>
  <c r="P550" i="12" s="1"/>
  <c r="P551" i="12" s="1"/>
  <c r="P552" i="12" s="1"/>
  <c r="P553" i="12" s="1"/>
  <c r="P554" i="12" s="1"/>
  <c r="P555" i="12" s="1"/>
  <c r="P556" i="12" s="1"/>
  <c r="P557" i="12" s="1"/>
  <c r="P558" i="12" s="1"/>
  <c r="P559" i="12" s="1"/>
  <c r="P560" i="12" s="1"/>
  <c r="P561" i="12" s="1"/>
  <c r="P562" i="12" s="1"/>
  <c r="P563" i="12" s="1"/>
  <c r="P564" i="12" s="1"/>
  <c r="P565" i="12" s="1"/>
  <c r="P566" i="12" s="1"/>
  <c r="P567" i="12" s="1"/>
  <c r="P568" i="12" s="1"/>
  <c r="P569" i="12" s="1"/>
  <c r="P570" i="12" s="1"/>
  <c r="P571" i="12" s="1"/>
  <c r="P572" i="12" s="1"/>
  <c r="P573" i="12" s="1"/>
  <c r="P574" i="12" s="1"/>
  <c r="P575" i="12" s="1"/>
  <c r="P576" i="12" s="1"/>
  <c r="P577" i="12" s="1"/>
  <c r="P578" i="12" s="1"/>
  <c r="P579" i="12" s="1"/>
  <c r="P580" i="12" s="1"/>
  <c r="P581" i="12" s="1"/>
  <c r="P582" i="12" s="1"/>
  <c r="M7" i="9"/>
  <c r="M15" i="9"/>
  <c r="M42" i="9"/>
  <c r="M13" i="9"/>
  <c r="M31" i="9"/>
  <c r="M34" i="9"/>
  <c r="M40" i="9"/>
  <c r="M35" i="9"/>
  <c r="M14" i="9"/>
  <c r="M41" i="9"/>
  <c r="M17" i="9"/>
  <c r="M20" i="9"/>
  <c r="M23" i="9"/>
  <c r="M29" i="9"/>
  <c r="M16" i="9"/>
  <c r="M19" i="9"/>
  <c r="M21" i="9"/>
  <c r="M24" i="9"/>
  <c r="M26" i="9"/>
  <c r="M11" i="9"/>
  <c r="M10" i="9"/>
  <c r="M28" i="9"/>
  <c r="M33" i="9"/>
  <c r="M9" i="9"/>
  <c r="M27" i="9"/>
  <c r="M12" i="9"/>
  <c r="M18" i="9"/>
  <c r="M22" i="9"/>
  <c r="M30" i="9"/>
  <c r="M25" i="9"/>
  <c r="M38" i="9"/>
  <c r="M8" i="9"/>
  <c r="M39" i="9"/>
  <c r="B36" i="9"/>
  <c r="A36" i="9" s="1"/>
  <c r="AB3" i="12" s="1"/>
  <c r="AB30" i="1"/>
  <c r="K27" i="9" s="1"/>
  <c r="AB31" i="1"/>
  <c r="K28" i="9" s="1"/>
  <c r="AB32" i="1"/>
  <c r="K29" i="9" s="1"/>
  <c r="AB33" i="1"/>
  <c r="K30" i="9" s="1"/>
  <c r="AB8" i="1"/>
  <c r="K6" i="9" s="1"/>
  <c r="AB10" i="1"/>
  <c r="K8" i="9" s="1"/>
  <c r="AB12" i="1"/>
  <c r="K10" i="9" s="1"/>
  <c r="AB14" i="1"/>
  <c r="K12" i="9" s="1"/>
  <c r="AB17" i="1"/>
  <c r="K15" i="9" s="1"/>
  <c r="AB9" i="1"/>
  <c r="K7" i="9" s="1"/>
  <c r="AB11" i="1"/>
  <c r="K9" i="9" s="1"/>
  <c r="AB13" i="1"/>
  <c r="K11" i="9" s="1"/>
  <c r="AB15" i="1"/>
  <c r="K13" i="9" s="1"/>
  <c r="AB16" i="1"/>
  <c r="K14" i="9" s="1"/>
  <c r="D6" i="9"/>
  <c r="V1" i="1"/>
  <c r="F6" i="9"/>
  <c r="X1" i="1"/>
  <c r="H6" i="9"/>
  <c r="Z1" i="1"/>
  <c r="AB43" i="1"/>
  <c r="K40" i="9" s="1"/>
  <c r="AC27" i="1"/>
  <c r="L24" i="9" s="1"/>
  <c r="AB27" i="1"/>
  <c r="K24" i="9" s="1"/>
  <c r="AC28" i="1"/>
  <c r="L25" i="9" s="1"/>
  <c r="AB28" i="1"/>
  <c r="K25" i="9" s="1"/>
  <c r="AC29" i="1"/>
  <c r="L26" i="9" s="1"/>
  <c r="AB29" i="1"/>
  <c r="K26" i="9" s="1"/>
  <c r="AB36" i="1"/>
  <c r="K33" i="9" s="1"/>
  <c r="AB37" i="1"/>
  <c r="K34" i="9" s="1"/>
  <c r="AB38" i="1"/>
  <c r="K35" i="9" s="1"/>
  <c r="AB41" i="1"/>
  <c r="K38" i="9" s="1"/>
  <c r="AC47" i="1"/>
  <c r="L44" i="9" s="1"/>
  <c r="AB47" i="1"/>
  <c r="K44" i="9" s="1"/>
  <c r="AC46" i="1"/>
  <c r="L43" i="9" s="1"/>
  <c r="AB46" i="1"/>
  <c r="K43" i="9" s="1"/>
  <c r="AB45" i="1"/>
  <c r="K42" i="9" s="1"/>
  <c r="AB44" i="1"/>
  <c r="K41" i="9" s="1"/>
  <c r="AB42" i="1"/>
  <c r="K39" i="9" s="1"/>
  <c r="AC66" i="1"/>
  <c r="L63" i="9" s="1"/>
  <c r="AB66" i="1"/>
  <c r="K63" i="9" s="1"/>
  <c r="P6" i="9"/>
  <c r="AC8" i="1"/>
  <c r="L6" i="9" s="1"/>
  <c r="AC9" i="1"/>
  <c r="L7" i="9" s="1"/>
  <c r="AC10" i="1"/>
  <c r="L8" i="9" s="1"/>
  <c r="AC11" i="1"/>
  <c r="L9" i="9" s="1"/>
  <c r="AC12" i="1"/>
  <c r="L10" i="9" s="1"/>
  <c r="AC13" i="1"/>
  <c r="L11" i="9" s="1"/>
  <c r="AC14" i="1"/>
  <c r="L12" i="9" s="1"/>
  <c r="AC15" i="1"/>
  <c r="L13" i="9" s="1"/>
  <c r="AC16" i="1"/>
  <c r="L14" i="9" s="1"/>
  <c r="AC17" i="1"/>
  <c r="L15" i="9" s="1"/>
  <c r="AC19" i="1"/>
  <c r="L16" i="9" s="1"/>
  <c r="AC20" i="1"/>
  <c r="L17" i="9" s="1"/>
  <c r="AC21" i="1"/>
  <c r="L18" i="9" s="1"/>
  <c r="AC22" i="1"/>
  <c r="L19" i="9" s="1"/>
  <c r="AC23" i="1"/>
  <c r="L20" i="9" s="1"/>
  <c r="AC24" i="1"/>
  <c r="L21" i="9" s="1"/>
  <c r="AC25" i="1"/>
  <c r="L22" i="9" s="1"/>
  <c r="AC26" i="1"/>
  <c r="L23" i="9" s="1"/>
  <c r="AC30" i="1"/>
  <c r="L27" i="9" s="1"/>
  <c r="AC31" i="1"/>
  <c r="L28" i="9" s="1"/>
  <c r="AC32" i="1"/>
  <c r="L29" i="9" s="1"/>
  <c r="AC33" i="1"/>
  <c r="L30" i="9" s="1"/>
  <c r="AC36" i="1"/>
  <c r="L33" i="9" s="1"/>
  <c r="AC37" i="1"/>
  <c r="L34" i="9" s="1"/>
  <c r="AC38" i="1"/>
  <c r="L35" i="9" s="1"/>
  <c r="AC41" i="1"/>
  <c r="L38" i="9" s="1"/>
  <c r="AC45" i="1"/>
  <c r="L42" i="9" s="1"/>
  <c r="AC44" i="1"/>
  <c r="L41" i="9" s="1"/>
  <c r="AC43" i="1"/>
  <c r="L40" i="9" s="1"/>
  <c r="AC42" i="1"/>
  <c r="L39" i="9" s="1"/>
  <c r="AD27" i="1"/>
  <c r="AD28" i="1"/>
  <c r="AD29" i="1"/>
  <c r="AD47" i="1"/>
  <c r="AD46" i="1"/>
  <c r="AD66" i="1"/>
  <c r="AD30" i="1"/>
  <c r="AD31" i="1"/>
  <c r="AD32" i="1"/>
  <c r="AD33" i="1"/>
  <c r="L34" i="11"/>
  <c r="AD8" i="1"/>
  <c r="AD9" i="1"/>
  <c r="AD10" i="1"/>
  <c r="AD11" i="1"/>
  <c r="AD12" i="1"/>
  <c r="AD13" i="1"/>
  <c r="AD14" i="1"/>
  <c r="AD15" i="1"/>
  <c r="AD16" i="1"/>
  <c r="AD17" i="1"/>
  <c r="AD19" i="1"/>
  <c r="AD20" i="1"/>
  <c r="AD21" i="1"/>
  <c r="AD22" i="1"/>
  <c r="AD23" i="1"/>
  <c r="AD24" i="1"/>
  <c r="AD25" i="1"/>
  <c r="AD26" i="1"/>
  <c r="AD36" i="1"/>
  <c r="AD37" i="1"/>
  <c r="AD38" i="1"/>
  <c r="AD41" i="1"/>
  <c r="AD45" i="1"/>
  <c r="AD44" i="1"/>
  <c r="AD43" i="1"/>
  <c r="AD42" i="1"/>
  <c r="AA27" i="1"/>
  <c r="J24" i="9" s="1"/>
  <c r="AA28" i="1"/>
  <c r="J25" i="9" s="1"/>
  <c r="AA29" i="1"/>
  <c r="J26" i="9" s="1"/>
  <c r="AA30" i="1"/>
  <c r="J27" i="9" s="1"/>
  <c r="AA31" i="1"/>
  <c r="J28" i="9" s="1"/>
  <c r="AA32" i="1"/>
  <c r="J29" i="9" s="1"/>
  <c r="AA33" i="1"/>
  <c r="J30" i="9" s="1"/>
  <c r="AA47" i="1"/>
  <c r="J44" i="9" s="1"/>
  <c r="AA46" i="1"/>
  <c r="J43" i="9" s="1"/>
  <c r="AA66" i="1"/>
  <c r="J63" i="9" s="1"/>
  <c r="BO7" i="9"/>
  <c r="BO11" i="9"/>
  <c r="BO10" i="9"/>
  <c r="BO9" i="9"/>
  <c r="BO8" i="9"/>
  <c r="CZ11" i="9"/>
  <c r="CY11" i="9" s="1"/>
  <c r="CP10" i="9"/>
  <c r="CO10" i="9" s="1"/>
  <c r="CP9" i="9"/>
  <c r="CO9" i="9" s="1"/>
  <c r="CP8" i="9"/>
  <c r="CO8" i="9" s="1"/>
  <c r="CP7" i="9"/>
  <c r="CO7" i="9" s="1"/>
  <c r="AA44" i="1"/>
  <c r="J41" i="9" s="1"/>
  <c r="AA10" i="1"/>
  <c r="J8" i="9" s="1"/>
  <c r="AA12" i="1"/>
  <c r="J10" i="9" s="1"/>
  <c r="AA15" i="1"/>
  <c r="J13" i="9" s="1"/>
  <c r="AA37" i="1"/>
  <c r="J34" i="9" s="1"/>
  <c r="AA41" i="1"/>
  <c r="J38" i="9" s="1"/>
  <c r="AA43" i="1"/>
  <c r="J40" i="9" s="1"/>
  <c r="AA11" i="1"/>
  <c r="J9" i="9" s="1"/>
  <c r="AA14" i="1"/>
  <c r="J12" i="9" s="1"/>
  <c r="AA17" i="1"/>
  <c r="J15" i="9" s="1"/>
  <c r="AA38" i="1"/>
  <c r="J35" i="9" s="1"/>
  <c r="AA42" i="1"/>
  <c r="J39" i="9" s="1"/>
  <c r="AA36" i="1"/>
  <c r="J33" i="9" s="1"/>
  <c r="AA19" i="1"/>
  <c r="J16" i="9" s="1"/>
  <c r="AA20" i="1"/>
  <c r="J17" i="9" s="1"/>
  <c r="AA21" i="1"/>
  <c r="J18" i="9" s="1"/>
  <c r="AA22" i="1"/>
  <c r="J19" i="9" s="1"/>
  <c r="AA23" i="1"/>
  <c r="J20" i="9" s="1"/>
  <c r="AA24" i="1"/>
  <c r="J21" i="9" s="1"/>
  <c r="AA25" i="1"/>
  <c r="J22" i="9" s="1"/>
  <c r="AA26" i="1"/>
  <c r="J23" i="9" s="1"/>
  <c r="AA45" i="1"/>
  <c r="J42" i="9" s="1"/>
  <c r="AA9" i="1"/>
  <c r="J7" i="9" s="1"/>
  <c r="AA13" i="1"/>
  <c r="J11" i="9" s="1"/>
  <c r="AA16" i="1"/>
  <c r="J14" i="9" s="1"/>
  <c r="BH16" i="9"/>
  <c r="BG16" i="9" s="1"/>
  <c r="BH17" i="9"/>
  <c r="BG17" i="9" s="1"/>
  <c r="BO6" i="9"/>
  <c r="BH8" i="9"/>
  <c r="BG8" i="9" s="1"/>
  <c r="BH12" i="9"/>
  <c r="BG12" i="9" s="1"/>
  <c r="AZ6" i="9"/>
  <c r="J4" i="13"/>
  <c r="Y40" i="1"/>
  <c r="G37" i="9" s="1"/>
  <c r="P37" i="9" s="1"/>
  <c r="W40" i="1"/>
  <c r="U40" i="1"/>
  <c r="C37" i="9" s="1"/>
  <c r="O37" i="9" s="1"/>
  <c r="AA8" i="1"/>
  <c r="J6" i="9" s="1"/>
  <c r="C11" i="5"/>
  <c r="C10" i="5"/>
  <c r="C9" i="5"/>
  <c r="C8" i="5"/>
  <c r="C7" i="5"/>
  <c r="W18" i="1"/>
  <c r="AB18" i="1" s="1"/>
  <c r="U18" i="1"/>
  <c r="Y35" i="1"/>
  <c r="G32" i="9" s="1"/>
  <c r="P32" i="9" s="1"/>
  <c r="W35" i="1"/>
  <c r="E32" i="9" s="1"/>
  <c r="N32" i="9" s="1"/>
  <c r="M32" i="9" s="1"/>
  <c r="U35" i="1"/>
  <c r="C32" i="9" s="1"/>
  <c r="O32" i="9" s="1"/>
  <c r="BJ33" i="9" l="1"/>
  <c r="BJ44" i="9"/>
  <c r="R52" i="11"/>
  <c r="BJ34" i="9"/>
  <c r="BJ42" i="9"/>
  <c r="BJ41" i="9"/>
  <c r="BJ30" i="9"/>
  <c r="R38" i="11"/>
  <c r="BJ37" i="9"/>
  <c r="R45" i="11"/>
  <c r="BJ31" i="9"/>
  <c r="R39" i="11"/>
  <c r="BJ38" i="9"/>
  <c r="R46" i="11"/>
  <c r="BJ32" i="9"/>
  <c r="R40" i="11"/>
  <c r="AK4" i="12"/>
  <c r="AK5" i="12"/>
  <c r="AK6" i="12"/>
  <c r="AK7" i="12"/>
  <c r="AK8" i="12"/>
  <c r="AK9" i="12"/>
  <c r="AK10" i="12"/>
  <c r="AK11" i="12"/>
  <c r="AK1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AK73" i="12"/>
  <c r="AK74" i="12"/>
  <c r="AK75" i="12"/>
  <c r="AK76" i="12"/>
  <c r="AK77" i="12"/>
  <c r="AK78" i="12"/>
  <c r="AK79" i="12"/>
  <c r="AK80" i="12"/>
  <c r="AK81" i="12"/>
  <c r="AK82" i="12"/>
  <c r="AK83" i="12"/>
  <c r="AK84" i="12"/>
  <c r="AK85" i="12"/>
  <c r="AK86" i="12"/>
  <c r="AK87" i="12"/>
  <c r="AK88" i="12"/>
  <c r="AK89" i="12"/>
  <c r="AK90" i="12"/>
  <c r="AK91" i="12"/>
  <c r="AK92" i="12"/>
  <c r="AK93" i="12"/>
  <c r="AK94" i="12"/>
  <c r="AK95" i="12"/>
  <c r="AK96" i="12"/>
  <c r="AK97" i="12"/>
  <c r="AK98" i="12"/>
  <c r="AK99" i="12"/>
  <c r="AK100" i="12"/>
  <c r="AK101" i="12"/>
  <c r="AK102" i="12"/>
  <c r="AK103" i="12"/>
  <c r="AK104" i="12"/>
  <c r="AK105" i="12"/>
  <c r="AK106" i="12"/>
  <c r="AK107" i="12"/>
  <c r="AK108" i="12"/>
  <c r="AK109" i="12"/>
  <c r="AK110" i="12"/>
  <c r="AK111" i="12"/>
  <c r="AK112" i="12"/>
  <c r="AK113" i="12"/>
  <c r="AK114" i="12"/>
  <c r="AK115" i="12"/>
  <c r="AK116" i="12"/>
  <c r="AK117" i="12"/>
  <c r="AK118" i="12"/>
  <c r="AK119" i="12"/>
  <c r="AK120" i="12"/>
  <c r="AK121" i="12"/>
  <c r="AK122" i="12"/>
  <c r="AK123" i="12"/>
  <c r="AK124" i="12"/>
  <c r="AK125" i="12"/>
  <c r="AK126" i="12"/>
  <c r="AK127" i="12"/>
  <c r="AK128" i="12"/>
  <c r="AK129" i="12"/>
  <c r="AK130" i="12"/>
  <c r="AK131" i="12"/>
  <c r="AK132" i="12"/>
  <c r="AK133" i="12"/>
  <c r="AK134" i="12"/>
  <c r="AK135" i="12"/>
  <c r="AK136" i="12"/>
  <c r="AK137" i="12"/>
  <c r="AK138" i="12"/>
  <c r="AK139" i="12"/>
  <c r="AK140" i="12"/>
  <c r="AK141" i="12"/>
  <c r="AK142" i="12"/>
  <c r="AK143" i="12"/>
  <c r="AK144" i="12"/>
  <c r="AK145" i="12"/>
  <c r="AK146" i="12"/>
  <c r="AK147" i="12"/>
  <c r="AK148" i="12"/>
  <c r="AK149" i="12"/>
  <c r="AK150" i="12"/>
  <c r="AK151" i="12"/>
  <c r="AK152" i="12"/>
  <c r="AK153" i="12"/>
  <c r="AK154" i="12"/>
  <c r="AK155" i="12"/>
  <c r="AK156" i="12"/>
  <c r="AK157" i="12"/>
  <c r="AK158" i="12"/>
  <c r="AK159" i="12"/>
  <c r="AK160" i="12"/>
  <c r="AK161" i="12"/>
  <c r="AK162" i="12"/>
  <c r="AK163" i="12"/>
  <c r="AK164" i="12"/>
  <c r="AK165" i="12"/>
  <c r="AK166" i="12"/>
  <c r="AK167" i="12"/>
  <c r="AK168" i="12"/>
  <c r="AK169" i="12"/>
  <c r="AK170" i="12"/>
  <c r="AK171" i="12"/>
  <c r="AK172" i="12"/>
  <c r="AK173" i="12"/>
  <c r="AK174" i="12"/>
  <c r="AK175" i="12"/>
  <c r="AK176" i="12"/>
  <c r="AK177" i="12"/>
  <c r="AK178" i="12"/>
  <c r="AK179" i="12"/>
  <c r="AK180" i="12"/>
  <c r="AK181" i="12"/>
  <c r="AK182" i="12"/>
  <c r="AK183" i="12"/>
  <c r="AK184" i="12"/>
  <c r="AK185" i="12"/>
  <c r="AK186" i="12"/>
  <c r="AK187" i="12"/>
  <c r="AK188" i="12"/>
  <c r="AK189" i="12"/>
  <c r="AK190" i="12"/>
  <c r="AK191" i="12"/>
  <c r="AK192" i="12"/>
  <c r="AK193" i="12"/>
  <c r="AK194" i="12"/>
  <c r="AK195" i="12"/>
  <c r="AK196" i="12"/>
  <c r="AK197" i="12"/>
  <c r="AK198" i="12"/>
  <c r="AK199" i="12"/>
  <c r="AK200" i="12"/>
  <c r="AK201" i="12"/>
  <c r="AK202" i="12"/>
  <c r="AK203" i="12"/>
  <c r="AK204" i="12"/>
  <c r="AK205" i="12"/>
  <c r="AK206" i="12"/>
  <c r="AK207" i="12"/>
  <c r="AK208" i="12"/>
  <c r="AK209" i="12"/>
  <c r="AK210" i="12"/>
  <c r="AK211" i="12"/>
  <c r="AK212" i="12"/>
  <c r="AK213" i="12"/>
  <c r="AK214" i="12"/>
  <c r="AK215" i="12"/>
  <c r="AK216" i="12"/>
  <c r="AK217" i="12"/>
  <c r="AK218" i="12"/>
  <c r="AK219" i="12"/>
  <c r="AK220" i="12"/>
  <c r="AK221" i="12"/>
  <c r="AK222" i="12"/>
  <c r="AK223" i="12"/>
  <c r="AK224" i="12"/>
  <c r="AK225" i="12"/>
  <c r="AK226" i="12"/>
  <c r="AK227" i="12"/>
  <c r="AK228" i="12"/>
  <c r="AK229" i="12"/>
  <c r="AK230" i="12"/>
  <c r="AK231" i="12"/>
  <c r="AK232" i="12"/>
  <c r="AK233" i="12"/>
  <c r="AK234" i="12"/>
  <c r="AK235" i="12"/>
  <c r="AK236" i="12"/>
  <c r="AK237" i="12"/>
  <c r="AK238" i="12"/>
  <c r="AK239" i="12"/>
  <c r="AK240" i="12"/>
  <c r="AK241" i="12"/>
  <c r="AK242" i="12"/>
  <c r="AK243" i="12"/>
  <c r="AK244" i="12"/>
  <c r="AK245" i="12"/>
  <c r="AK246" i="12"/>
  <c r="AK247" i="12"/>
  <c r="AK248" i="12"/>
  <c r="AK249" i="12"/>
  <c r="AK250" i="12"/>
  <c r="AK251" i="12"/>
  <c r="AK252" i="12"/>
  <c r="AK253" i="12"/>
  <c r="AK254" i="12"/>
  <c r="AK255" i="12"/>
  <c r="AK256" i="12"/>
  <c r="AK257" i="12"/>
  <c r="AK258" i="12"/>
  <c r="AK259" i="12"/>
  <c r="AK260" i="12"/>
  <c r="AK261" i="12"/>
  <c r="AK262" i="12"/>
  <c r="AK263" i="12"/>
  <c r="AK264" i="12"/>
  <c r="AK265" i="12"/>
  <c r="AK266" i="12"/>
  <c r="AK267" i="12"/>
  <c r="AK268" i="12"/>
  <c r="AK269" i="12"/>
  <c r="AK270" i="12"/>
  <c r="AK271" i="12"/>
  <c r="AK272" i="12"/>
  <c r="AK273" i="12"/>
  <c r="AK274" i="12"/>
  <c r="AK275" i="12"/>
  <c r="AK276" i="12"/>
  <c r="AK277" i="12"/>
  <c r="AK278" i="12"/>
  <c r="AK279" i="12"/>
  <c r="AK280" i="12"/>
  <c r="AK281" i="12"/>
  <c r="AK282" i="12"/>
  <c r="AK283" i="12"/>
  <c r="AK284" i="12"/>
  <c r="AK285" i="12"/>
  <c r="AK286" i="12"/>
  <c r="AK287" i="12"/>
  <c r="AK288" i="12"/>
  <c r="AK289" i="12"/>
  <c r="AK290" i="12"/>
  <c r="AK291" i="12"/>
  <c r="AK292" i="12"/>
  <c r="AK293" i="12"/>
  <c r="AK294" i="12"/>
  <c r="AK295" i="12"/>
  <c r="AK296" i="12"/>
  <c r="AK297" i="12"/>
  <c r="AK298" i="12"/>
  <c r="AK299" i="12"/>
  <c r="AK300" i="12"/>
  <c r="AK301" i="12"/>
  <c r="AK302" i="12"/>
  <c r="AK303" i="12"/>
  <c r="AK304" i="12"/>
  <c r="AK305" i="12"/>
  <c r="AK306" i="12"/>
  <c r="AK307" i="12"/>
  <c r="AK308" i="12"/>
  <c r="AK309" i="12"/>
  <c r="AK310" i="12"/>
  <c r="AK311" i="12"/>
  <c r="AK312" i="12"/>
  <c r="AK313" i="12"/>
  <c r="AK314" i="12"/>
  <c r="AK315" i="12"/>
  <c r="AK316" i="12"/>
  <c r="AK317" i="12"/>
  <c r="AK318" i="12"/>
  <c r="AK319" i="12"/>
  <c r="AK320" i="12"/>
  <c r="AK321" i="12"/>
  <c r="AK322" i="12"/>
  <c r="AK323" i="12"/>
  <c r="AK324" i="12"/>
  <c r="AK325" i="12"/>
  <c r="AK326" i="12"/>
  <c r="AK327" i="12"/>
  <c r="AK328" i="12"/>
  <c r="AK329" i="12"/>
  <c r="AK330" i="12"/>
  <c r="AK331" i="12"/>
  <c r="AK332" i="12"/>
  <c r="AK333" i="12"/>
  <c r="AK334" i="12"/>
  <c r="AK335" i="12"/>
  <c r="AK336" i="12"/>
  <c r="AK337" i="12"/>
  <c r="AK338" i="12"/>
  <c r="AK339" i="12"/>
  <c r="AK340" i="12"/>
  <c r="AK341" i="12"/>
  <c r="AK342" i="12"/>
  <c r="AK343" i="12"/>
  <c r="AK344" i="12"/>
  <c r="AK345" i="12"/>
  <c r="AK346" i="12"/>
  <c r="AK347" i="12"/>
  <c r="AK348" i="12"/>
  <c r="AK349" i="12"/>
  <c r="AK350" i="12"/>
  <c r="AK351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415" i="12"/>
  <c r="AK416" i="12"/>
  <c r="AK417" i="12"/>
  <c r="AK418" i="12"/>
  <c r="AK419" i="12"/>
  <c r="AK420" i="12"/>
  <c r="AK421" i="12"/>
  <c r="AK422" i="12"/>
  <c r="AK423" i="12"/>
  <c r="AK424" i="12"/>
  <c r="AK425" i="12"/>
  <c r="AK426" i="12"/>
  <c r="AK427" i="12"/>
  <c r="AK428" i="12"/>
  <c r="AK429" i="12"/>
  <c r="AK430" i="12"/>
  <c r="AK431" i="12"/>
  <c r="AK432" i="12"/>
  <c r="AK433" i="12"/>
  <c r="AK434" i="12"/>
  <c r="AK435" i="12"/>
  <c r="AK436" i="12"/>
  <c r="AK437" i="12"/>
  <c r="AK438" i="12"/>
  <c r="AK439" i="12"/>
  <c r="AK440" i="12"/>
  <c r="AK441" i="12"/>
  <c r="AK442" i="12"/>
  <c r="AK443" i="12"/>
  <c r="AK444" i="12"/>
  <c r="AK445" i="12"/>
  <c r="AK446" i="12"/>
  <c r="AK447" i="12"/>
  <c r="AK448" i="12"/>
  <c r="AK449" i="12"/>
  <c r="AK450" i="12"/>
  <c r="AK451" i="12"/>
  <c r="AK452" i="12"/>
  <c r="AK453" i="12"/>
  <c r="AK454" i="12"/>
  <c r="AK455" i="12"/>
  <c r="AK456" i="12"/>
  <c r="AK457" i="12"/>
  <c r="AK458" i="12"/>
  <c r="AK459" i="12"/>
  <c r="AK460" i="12"/>
  <c r="AK461" i="12"/>
  <c r="AK462" i="12"/>
  <c r="AK463" i="12"/>
  <c r="AK464" i="12"/>
  <c r="AK465" i="12"/>
  <c r="AK466" i="12"/>
  <c r="AK467" i="12"/>
  <c r="AK468" i="12"/>
  <c r="AK469" i="12"/>
  <c r="AK470" i="12"/>
  <c r="AK471" i="12"/>
  <c r="AK472" i="12"/>
  <c r="AK473" i="12"/>
  <c r="AK474" i="12"/>
  <c r="AK475" i="12"/>
  <c r="AK476" i="12"/>
  <c r="AK477" i="12"/>
  <c r="AK478" i="12"/>
  <c r="AK479" i="12"/>
  <c r="AK480" i="12"/>
  <c r="AK481" i="12"/>
  <c r="AK482" i="12"/>
  <c r="AK483" i="12"/>
  <c r="AK484" i="12"/>
  <c r="AK485" i="12"/>
  <c r="AK486" i="12"/>
  <c r="AK487" i="12"/>
  <c r="AK488" i="12"/>
  <c r="AK489" i="12"/>
  <c r="AK490" i="12"/>
  <c r="AK491" i="12"/>
  <c r="AK492" i="12"/>
  <c r="AK493" i="12"/>
  <c r="AK494" i="12"/>
  <c r="AK495" i="12"/>
  <c r="AK496" i="12"/>
  <c r="AK497" i="12"/>
  <c r="AK498" i="12"/>
  <c r="AK499" i="12"/>
  <c r="AK500" i="12"/>
  <c r="AK501" i="12"/>
  <c r="AK502" i="12"/>
  <c r="AK503" i="12"/>
  <c r="AK504" i="12"/>
  <c r="AK505" i="12"/>
  <c r="AK506" i="12"/>
  <c r="AK507" i="12"/>
  <c r="AK508" i="12"/>
  <c r="AK509" i="12"/>
  <c r="AK510" i="12"/>
  <c r="AK511" i="12"/>
  <c r="AK512" i="12"/>
  <c r="AK513" i="12"/>
  <c r="AK514" i="12"/>
  <c r="AK515" i="12"/>
  <c r="AK516" i="12"/>
  <c r="AK517" i="12"/>
  <c r="AK518" i="12"/>
  <c r="AK519" i="12"/>
  <c r="AK520" i="12"/>
  <c r="AK521" i="12"/>
  <c r="AK522" i="12"/>
  <c r="AK523" i="12"/>
  <c r="AK524" i="12"/>
  <c r="AK525" i="12"/>
  <c r="AK526" i="12"/>
  <c r="AK527" i="12"/>
  <c r="AK528" i="12"/>
  <c r="AK529" i="12"/>
  <c r="AK530" i="12"/>
  <c r="AK531" i="12"/>
  <c r="AK532" i="12"/>
  <c r="AK533" i="12"/>
  <c r="AK534" i="12"/>
  <c r="AK535" i="12"/>
  <c r="AK536" i="12"/>
  <c r="AK537" i="12"/>
  <c r="AK538" i="12"/>
  <c r="AK539" i="12"/>
  <c r="AK540" i="12"/>
  <c r="AK541" i="12"/>
  <c r="AK542" i="12"/>
  <c r="AK543" i="12"/>
  <c r="AK544" i="12"/>
  <c r="AK545" i="12"/>
  <c r="AK546" i="12"/>
  <c r="AK547" i="12"/>
  <c r="AK548" i="12"/>
  <c r="AK549" i="12"/>
  <c r="AK550" i="12"/>
  <c r="AK551" i="12"/>
  <c r="AK552" i="12"/>
  <c r="AK553" i="12"/>
  <c r="AK554" i="12"/>
  <c r="AK555" i="12"/>
  <c r="AK556" i="12"/>
  <c r="AK557" i="12"/>
  <c r="AK558" i="12"/>
  <c r="AK559" i="12"/>
  <c r="AK560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94" i="12"/>
  <c r="AK595" i="12"/>
  <c r="AK596" i="12"/>
  <c r="AK597" i="12"/>
  <c r="AK598" i="12"/>
  <c r="AK599" i="12"/>
  <c r="AK600" i="12"/>
  <c r="AK601" i="12"/>
  <c r="AK602" i="12"/>
  <c r="AK603" i="12"/>
  <c r="AK604" i="12"/>
  <c r="AK605" i="12"/>
  <c r="AK606" i="12"/>
  <c r="AK607" i="12"/>
  <c r="AK608" i="12"/>
  <c r="AK609" i="12"/>
  <c r="AK610" i="12"/>
  <c r="AK611" i="12"/>
  <c r="AK612" i="12"/>
  <c r="AK613" i="12"/>
  <c r="AK614" i="12"/>
  <c r="AK615" i="12"/>
  <c r="AK616" i="12"/>
  <c r="AK617" i="12"/>
  <c r="AK618" i="12"/>
  <c r="AK619" i="12"/>
  <c r="AK620" i="12"/>
  <c r="AK621" i="12"/>
  <c r="AK622" i="12"/>
  <c r="AK623" i="12"/>
  <c r="AK624" i="12"/>
  <c r="AK625" i="12"/>
  <c r="AK626" i="12"/>
  <c r="AK627" i="12"/>
  <c r="AK628" i="12"/>
  <c r="AK629" i="12"/>
  <c r="AK630" i="12"/>
  <c r="AK631" i="12"/>
  <c r="AK632" i="12"/>
  <c r="AK633" i="12"/>
  <c r="AK634" i="12"/>
  <c r="AK635" i="12"/>
  <c r="AK636" i="12"/>
  <c r="AK637" i="12"/>
  <c r="AK638" i="12"/>
  <c r="AK639" i="12"/>
  <c r="AK640" i="12"/>
  <c r="AK641" i="12"/>
  <c r="AK642" i="12"/>
  <c r="AK643" i="12"/>
  <c r="AK644" i="12"/>
  <c r="AK645" i="12"/>
  <c r="AK646" i="12"/>
  <c r="AK647" i="12"/>
  <c r="AK648" i="12"/>
  <c r="AK649" i="12"/>
  <c r="AK650" i="12"/>
  <c r="AK651" i="12"/>
  <c r="AK652" i="12"/>
  <c r="AK653" i="12"/>
  <c r="AK654" i="12"/>
  <c r="AK655" i="12"/>
  <c r="AK656" i="12"/>
  <c r="AK657" i="12"/>
  <c r="AK658" i="12"/>
  <c r="AK659" i="12"/>
  <c r="AK660" i="12"/>
  <c r="AK661" i="12"/>
  <c r="AK662" i="12"/>
  <c r="AK663" i="12"/>
  <c r="AK664" i="12"/>
  <c r="AK665" i="12"/>
  <c r="AK666" i="12"/>
  <c r="AK667" i="12"/>
  <c r="AK668" i="12"/>
  <c r="AK669" i="12"/>
  <c r="AK670" i="12"/>
  <c r="AK671" i="12"/>
  <c r="AK672" i="12"/>
  <c r="AK673" i="12"/>
  <c r="AK674" i="12"/>
  <c r="AK675" i="12"/>
  <c r="AK676" i="12"/>
  <c r="AK677" i="12"/>
  <c r="AK678" i="12"/>
  <c r="AK679" i="12"/>
  <c r="AK680" i="12"/>
  <c r="AK681" i="12"/>
  <c r="AK682" i="12"/>
  <c r="AK683" i="12"/>
  <c r="AK684" i="12"/>
  <c r="AK685" i="12"/>
  <c r="AK686" i="12"/>
  <c r="AK687" i="12"/>
  <c r="AK688" i="12"/>
  <c r="AK689" i="12"/>
  <c r="AK690" i="12"/>
  <c r="AK691" i="12"/>
  <c r="AK692" i="12"/>
  <c r="AK693" i="12"/>
  <c r="AK694" i="12"/>
  <c r="AK695" i="12"/>
  <c r="AK696" i="12"/>
  <c r="AK697" i="12"/>
  <c r="AK698" i="12"/>
  <c r="AK699" i="12"/>
  <c r="AK700" i="12"/>
  <c r="AK701" i="12"/>
  <c r="AK702" i="12"/>
  <c r="AK703" i="12"/>
  <c r="AK704" i="12"/>
  <c r="AK705" i="12"/>
  <c r="AK706" i="12"/>
  <c r="AK707" i="12"/>
  <c r="AK708" i="12"/>
  <c r="AK709" i="12"/>
  <c r="AK710" i="12"/>
  <c r="AK711" i="12"/>
  <c r="AK712" i="12"/>
  <c r="AK713" i="12"/>
  <c r="AK714" i="12"/>
  <c r="AK715" i="12"/>
  <c r="AK716" i="12"/>
  <c r="AK717" i="12"/>
  <c r="AK718" i="12"/>
  <c r="AK719" i="12"/>
  <c r="AK720" i="12"/>
  <c r="AK721" i="12"/>
  <c r="AK722" i="12"/>
  <c r="AK723" i="12"/>
  <c r="AK724" i="12"/>
  <c r="AK725" i="12"/>
  <c r="AK726" i="12"/>
  <c r="AK727" i="12"/>
  <c r="AK728" i="12"/>
  <c r="AK729" i="12"/>
  <c r="AK730" i="12"/>
  <c r="AK731" i="12"/>
  <c r="AK732" i="12"/>
  <c r="AK733" i="12"/>
  <c r="AK734" i="12"/>
  <c r="AK735" i="12"/>
  <c r="AK736" i="12"/>
  <c r="AK737" i="12"/>
  <c r="AK738" i="12"/>
  <c r="AK739" i="12"/>
  <c r="AK740" i="12"/>
  <c r="AK741" i="12"/>
  <c r="AK742" i="12"/>
  <c r="AK743" i="12"/>
  <c r="AK744" i="12"/>
  <c r="AK745" i="12"/>
  <c r="AK746" i="12"/>
  <c r="AK747" i="12"/>
  <c r="AK748" i="12"/>
  <c r="AK749" i="12"/>
  <c r="AK750" i="12"/>
  <c r="AK751" i="12"/>
  <c r="AK752" i="12"/>
  <c r="AK753" i="12"/>
  <c r="AK754" i="12"/>
  <c r="AK755" i="12"/>
  <c r="AK756" i="12"/>
  <c r="AK757" i="12"/>
  <c r="AK758" i="12"/>
  <c r="AK759" i="12"/>
  <c r="AK760" i="12"/>
  <c r="AK761" i="12"/>
  <c r="AK762" i="12"/>
  <c r="AK763" i="12"/>
  <c r="AK764" i="12"/>
  <c r="AK765" i="12"/>
  <c r="AK766" i="12"/>
  <c r="AK767" i="12"/>
  <c r="AK768" i="12"/>
  <c r="AK769" i="12"/>
  <c r="AK770" i="12"/>
  <c r="AK771" i="12"/>
  <c r="AK772" i="12"/>
  <c r="AK773" i="12"/>
  <c r="AK774" i="12"/>
  <c r="AK775" i="12"/>
  <c r="AK776" i="12"/>
  <c r="AK777" i="12"/>
  <c r="AK778" i="12"/>
  <c r="AK779" i="12"/>
  <c r="AK780" i="12"/>
  <c r="AK781" i="12"/>
  <c r="AK782" i="12"/>
  <c r="AK783" i="12"/>
  <c r="AK784" i="12"/>
  <c r="AK785" i="12"/>
  <c r="AK786" i="12"/>
  <c r="AK787" i="12"/>
  <c r="AK788" i="12"/>
  <c r="AK789" i="12"/>
  <c r="AK790" i="12"/>
  <c r="AK791" i="12"/>
  <c r="AK792" i="12"/>
  <c r="AK793" i="12"/>
  <c r="AK794" i="12"/>
  <c r="AK795" i="12"/>
  <c r="AK796" i="12"/>
  <c r="AK797" i="12"/>
  <c r="AK798" i="12"/>
  <c r="AK799" i="12"/>
  <c r="AK800" i="12"/>
  <c r="AK801" i="12"/>
  <c r="AK802" i="12"/>
  <c r="AK803" i="12"/>
  <c r="AK804" i="12"/>
  <c r="AK805" i="12"/>
  <c r="AK806" i="12"/>
  <c r="AK807" i="12"/>
  <c r="AK808" i="12"/>
  <c r="AK809" i="12"/>
  <c r="AK810" i="12"/>
  <c r="AK811" i="12"/>
  <c r="AK812" i="12"/>
  <c r="AK813" i="12"/>
  <c r="AK814" i="12"/>
  <c r="AK815" i="12"/>
  <c r="AK816" i="12"/>
  <c r="AK817" i="12"/>
  <c r="AK818" i="12"/>
  <c r="AK819" i="12"/>
  <c r="AK820" i="12"/>
  <c r="AK821" i="12"/>
  <c r="AK822" i="12"/>
  <c r="AK823" i="12"/>
  <c r="AK824" i="12"/>
  <c r="AK825" i="12"/>
  <c r="AK826" i="12"/>
  <c r="AK827" i="12"/>
  <c r="AK828" i="12"/>
  <c r="AK829" i="12"/>
  <c r="AK830" i="12"/>
  <c r="AK831" i="12"/>
  <c r="AK832" i="12"/>
  <c r="AK833" i="12"/>
  <c r="AK834" i="12"/>
  <c r="AK835" i="12"/>
  <c r="AK836" i="12"/>
  <c r="AK837" i="12"/>
  <c r="AK838" i="12"/>
  <c r="AK839" i="12"/>
  <c r="AK840" i="12"/>
  <c r="AK841" i="12"/>
  <c r="AK842" i="12"/>
  <c r="AK843" i="12"/>
  <c r="AK844" i="12"/>
  <c r="AK845" i="12"/>
  <c r="AK846" i="12"/>
  <c r="AK847" i="12"/>
  <c r="AK848" i="12"/>
  <c r="AK849" i="12"/>
  <c r="AK850" i="12"/>
  <c r="AK851" i="12"/>
  <c r="AK852" i="12"/>
  <c r="AK853" i="12"/>
  <c r="AK854" i="12"/>
  <c r="AK855" i="12"/>
  <c r="AK856" i="12"/>
  <c r="AK857" i="12"/>
  <c r="AK858" i="12"/>
  <c r="AK859" i="12"/>
  <c r="AK860" i="12"/>
  <c r="AK861" i="12"/>
  <c r="AK862" i="12"/>
  <c r="AK863" i="12"/>
  <c r="AK864" i="12"/>
  <c r="AK865" i="12"/>
  <c r="AK866" i="12"/>
  <c r="AK867" i="12"/>
  <c r="AK868" i="12"/>
  <c r="AK869" i="12"/>
  <c r="AK870" i="12"/>
  <c r="AK871" i="12"/>
  <c r="AK872" i="12"/>
  <c r="AK873" i="12"/>
  <c r="AK874" i="12"/>
  <c r="AK875" i="12"/>
  <c r="AK876" i="12"/>
  <c r="AK877" i="12"/>
  <c r="AK878" i="12"/>
  <c r="AK879" i="12"/>
  <c r="AK880" i="12"/>
  <c r="AK881" i="12"/>
  <c r="AK882" i="12"/>
  <c r="AK883" i="12"/>
  <c r="AK884" i="12"/>
  <c r="AK885" i="12"/>
  <c r="AK886" i="12"/>
  <c r="AK887" i="12"/>
  <c r="AK888" i="12"/>
  <c r="AK889" i="12"/>
  <c r="AK890" i="12"/>
  <c r="AK891" i="12"/>
  <c r="AK892" i="12"/>
  <c r="AK893" i="12"/>
  <c r="AK894" i="12"/>
  <c r="AK895" i="12"/>
  <c r="AK896" i="12"/>
  <c r="AK897" i="12"/>
  <c r="AK898" i="12"/>
  <c r="AK899" i="12"/>
  <c r="AK900" i="12"/>
  <c r="AK901" i="12"/>
  <c r="AK902" i="12"/>
  <c r="AK903" i="12"/>
  <c r="AK904" i="12"/>
  <c r="AK905" i="12"/>
  <c r="AK906" i="12"/>
  <c r="AK907" i="12"/>
  <c r="AK908" i="12"/>
  <c r="AK909" i="12"/>
  <c r="AK910" i="12"/>
  <c r="AK911" i="12"/>
  <c r="AK912" i="12"/>
  <c r="AK913" i="12"/>
  <c r="AK914" i="12"/>
  <c r="AK915" i="12"/>
  <c r="AK916" i="12"/>
  <c r="AK917" i="12"/>
  <c r="AK918" i="12"/>
  <c r="AK919" i="12"/>
  <c r="AK920" i="12"/>
  <c r="AK921" i="12"/>
  <c r="AK922" i="12"/>
  <c r="AK923" i="12"/>
  <c r="AK924" i="12"/>
  <c r="AK925" i="12"/>
  <c r="AK926" i="12"/>
  <c r="AK927" i="12"/>
  <c r="AK928" i="12"/>
  <c r="AK929" i="12"/>
  <c r="AK930" i="12"/>
  <c r="AK931" i="12"/>
  <c r="AK932" i="12"/>
  <c r="AK933" i="12"/>
  <c r="AK934" i="12"/>
  <c r="AK935" i="12"/>
  <c r="AK936" i="12"/>
  <c r="AK937" i="12"/>
  <c r="AK938" i="12"/>
  <c r="AK939" i="12"/>
  <c r="AK940" i="12"/>
  <c r="AK941" i="12"/>
  <c r="AK942" i="12"/>
  <c r="AK943" i="12"/>
  <c r="AK944" i="12"/>
  <c r="AK945" i="12"/>
  <c r="AK946" i="12"/>
  <c r="AK947" i="12"/>
  <c r="AK948" i="12"/>
  <c r="AK949" i="12"/>
  <c r="AK950" i="12"/>
  <c r="AK951" i="12"/>
  <c r="AK952" i="12"/>
  <c r="AK953" i="12"/>
  <c r="AK954" i="12"/>
  <c r="AK955" i="12"/>
  <c r="AK956" i="12"/>
  <c r="AK957" i="12"/>
  <c r="AK958" i="12"/>
  <c r="AK959" i="12"/>
  <c r="AK960" i="12"/>
  <c r="AK961" i="12"/>
  <c r="AK962" i="12"/>
  <c r="AK963" i="12"/>
  <c r="AK964" i="12"/>
  <c r="AK965" i="12"/>
  <c r="AK966" i="12"/>
  <c r="AK967" i="12"/>
  <c r="AK968" i="12"/>
  <c r="AK969" i="12"/>
  <c r="AK970" i="12"/>
  <c r="AK971" i="12"/>
  <c r="AK972" i="12"/>
  <c r="AK973" i="12"/>
  <c r="AK974" i="12"/>
  <c r="AK975" i="12"/>
  <c r="AK976" i="12"/>
  <c r="AK977" i="12"/>
  <c r="AK978" i="12"/>
  <c r="AK979" i="12"/>
  <c r="AK980" i="12"/>
  <c r="AK981" i="12"/>
  <c r="AK982" i="12"/>
  <c r="AK983" i="12"/>
  <c r="AK984" i="12"/>
  <c r="AK985" i="12"/>
  <c r="AK986" i="12"/>
  <c r="AK987" i="12"/>
  <c r="AK988" i="12"/>
  <c r="AK989" i="12"/>
  <c r="AK990" i="12"/>
  <c r="AK991" i="12"/>
  <c r="AK992" i="12"/>
  <c r="AK993" i="12"/>
  <c r="AK994" i="12"/>
  <c r="AK995" i="12"/>
  <c r="AK996" i="12"/>
  <c r="AK997" i="12"/>
  <c r="AK998" i="12"/>
  <c r="AK999" i="12"/>
  <c r="AK1000" i="12"/>
  <c r="AK1001" i="12"/>
  <c r="AK1002" i="12"/>
  <c r="AK1003" i="12"/>
  <c r="AK1004" i="12"/>
  <c r="AK1005" i="12"/>
  <c r="AK1006" i="12"/>
  <c r="AK1007" i="12"/>
  <c r="AK1008" i="12"/>
  <c r="AK1009" i="12"/>
  <c r="AK1010" i="12"/>
  <c r="AK1011" i="12"/>
  <c r="AK1012" i="12"/>
  <c r="AK1013" i="12"/>
  <c r="AK1014" i="12"/>
  <c r="AK1015" i="12"/>
  <c r="AK1016" i="12"/>
  <c r="AK1017" i="12"/>
  <c r="AK1018" i="12"/>
  <c r="AK1019" i="12"/>
  <c r="AK1020" i="12"/>
  <c r="AK1021" i="12"/>
  <c r="AK1022" i="12"/>
  <c r="AK1023" i="12"/>
  <c r="AK1024" i="12"/>
  <c r="AK1025" i="12"/>
  <c r="AK1026" i="12"/>
  <c r="AK1027" i="12"/>
  <c r="AK1028" i="12"/>
  <c r="AK1029" i="12"/>
  <c r="AK1030" i="12"/>
  <c r="AK1031" i="12"/>
  <c r="AK1032" i="12"/>
  <c r="AK1033" i="12"/>
  <c r="AK1034" i="12"/>
  <c r="AK1035" i="12"/>
  <c r="AK1036" i="12"/>
  <c r="AK1037" i="12"/>
  <c r="AK1038" i="12"/>
  <c r="AK1039" i="12"/>
  <c r="AK1040" i="12"/>
  <c r="AK1041" i="12"/>
  <c r="AK1042" i="12"/>
  <c r="AK1043" i="12"/>
  <c r="AK1044" i="12"/>
  <c r="AK1045" i="12"/>
  <c r="AK1046" i="12"/>
  <c r="AK1047" i="12"/>
  <c r="AK1048" i="12"/>
  <c r="AK1049" i="12"/>
  <c r="AK1050" i="12"/>
  <c r="AK1051" i="12"/>
  <c r="AK1052" i="12"/>
  <c r="AK1053" i="12"/>
  <c r="AK1054" i="12"/>
  <c r="AK1055" i="12"/>
  <c r="AK1056" i="12"/>
  <c r="AK1057" i="12"/>
  <c r="AK1058" i="12"/>
  <c r="AK1059" i="12"/>
  <c r="AK1060" i="12"/>
  <c r="AK1061" i="12"/>
  <c r="AK1062" i="12"/>
  <c r="AK1063" i="12"/>
  <c r="AK1064" i="12"/>
  <c r="AK1065" i="12"/>
  <c r="AK1066" i="12"/>
  <c r="AK1067" i="12"/>
  <c r="AK1068" i="12"/>
  <c r="AK1069" i="12"/>
  <c r="AK1070" i="12"/>
  <c r="AK1071" i="12"/>
  <c r="AK1072" i="12"/>
  <c r="AK1073" i="12"/>
  <c r="AK1074" i="12"/>
  <c r="AK1075" i="12"/>
  <c r="AK1076" i="12"/>
  <c r="AK1077" i="12"/>
  <c r="AK1078" i="12"/>
  <c r="AK1079" i="12"/>
  <c r="AK1080" i="12"/>
  <c r="AK1081" i="12"/>
  <c r="AK1082" i="12"/>
  <c r="AK1083" i="12"/>
  <c r="AK1084" i="12"/>
  <c r="AK1085" i="12"/>
  <c r="AK1086" i="12"/>
  <c r="AK1087" i="12"/>
  <c r="AK1088" i="12"/>
  <c r="AK1089" i="12"/>
  <c r="AK1090" i="12"/>
  <c r="AK1091" i="12"/>
  <c r="AK1092" i="12"/>
  <c r="AK1093" i="12"/>
  <c r="AK1094" i="12"/>
  <c r="AK1095" i="12"/>
  <c r="AK1096" i="12"/>
  <c r="AK1097" i="12"/>
  <c r="AK1098" i="12"/>
  <c r="AK1099" i="12"/>
  <c r="AK1100" i="12"/>
  <c r="AK1101" i="12"/>
  <c r="AK1102" i="12"/>
  <c r="AK1103" i="12"/>
  <c r="AK1104" i="12"/>
  <c r="AK1105" i="12"/>
  <c r="AK1106" i="12"/>
  <c r="AK1107" i="12"/>
  <c r="AK1108" i="12"/>
  <c r="AK1109" i="12"/>
  <c r="AK1110" i="12"/>
  <c r="AK1111" i="12"/>
  <c r="AK1112" i="12"/>
  <c r="AK1113" i="12"/>
  <c r="AK1114" i="12"/>
  <c r="AK1115" i="12"/>
  <c r="AK1116" i="12"/>
  <c r="AK1117" i="12"/>
  <c r="AK1118" i="12"/>
  <c r="AK1119" i="12"/>
  <c r="AK1120" i="12"/>
  <c r="AK1121" i="12"/>
  <c r="AK1122" i="12"/>
  <c r="AK1123" i="12"/>
  <c r="AK1124" i="12"/>
  <c r="AK1125" i="12"/>
  <c r="AK1126" i="12"/>
  <c r="AK1127" i="12"/>
  <c r="AK1128" i="12"/>
  <c r="AK1129" i="12"/>
  <c r="AK1130" i="12"/>
  <c r="AK1131" i="12"/>
  <c r="AK1132" i="12"/>
  <c r="AK1133" i="12"/>
  <c r="AK1134" i="12"/>
  <c r="AK1135" i="12"/>
  <c r="AK1136" i="12"/>
  <c r="AK1137" i="12"/>
  <c r="AK1138" i="12"/>
  <c r="AK1139" i="12"/>
  <c r="AK1140" i="12"/>
  <c r="AK1141" i="12"/>
  <c r="AK1142" i="12"/>
  <c r="AK1143" i="12"/>
  <c r="AK1144" i="12"/>
  <c r="AK1145" i="12"/>
  <c r="AK1146" i="12"/>
  <c r="AK1147" i="12"/>
  <c r="AK1148" i="12"/>
  <c r="AK1149" i="12"/>
  <c r="AK1150" i="12"/>
  <c r="AK1151" i="12"/>
  <c r="AK1152" i="12"/>
  <c r="AK1153" i="12"/>
  <c r="AK1154" i="12"/>
  <c r="AK1155" i="12"/>
  <c r="AK1156" i="12"/>
  <c r="AK1157" i="12"/>
  <c r="AK1158" i="12"/>
  <c r="AK1159" i="12"/>
  <c r="AK1160" i="12"/>
  <c r="AK1161" i="12"/>
  <c r="AK1162" i="12"/>
  <c r="AK1163" i="12"/>
  <c r="AK1164" i="12"/>
  <c r="AK1165" i="12"/>
  <c r="AK1166" i="12"/>
  <c r="AK1167" i="12"/>
  <c r="AK1168" i="12"/>
  <c r="AK1169" i="12"/>
  <c r="AK1170" i="12"/>
  <c r="AK1171" i="12"/>
  <c r="AK1172" i="12"/>
  <c r="AK1173" i="12"/>
  <c r="AK1174" i="12"/>
  <c r="AK1175" i="12"/>
  <c r="AK1176" i="12"/>
  <c r="AK1177" i="12"/>
  <c r="AK1178" i="12"/>
  <c r="AK1179" i="12"/>
  <c r="AK1180" i="12"/>
  <c r="AK1181" i="12"/>
  <c r="AK1182" i="12"/>
  <c r="AK1183" i="12"/>
  <c r="AK1184" i="12"/>
  <c r="AK1185" i="12"/>
  <c r="AK1186" i="12"/>
  <c r="AK1187" i="12"/>
  <c r="AK1188" i="12"/>
  <c r="AK1189" i="12"/>
  <c r="AK1190" i="12"/>
  <c r="AK1191" i="12"/>
  <c r="AK1192" i="12"/>
  <c r="AK1193" i="12"/>
  <c r="AK1194" i="12"/>
  <c r="AK1195" i="12"/>
  <c r="AK1196" i="12"/>
  <c r="AK1197" i="12"/>
  <c r="AK1198" i="12"/>
  <c r="AK1199" i="12"/>
  <c r="AK1200" i="12"/>
  <c r="AK1201" i="12"/>
  <c r="AK1202" i="12"/>
  <c r="AK1203" i="12"/>
  <c r="AK1204" i="12"/>
  <c r="AK1205" i="12"/>
  <c r="AK1206" i="12"/>
  <c r="AK1207" i="12"/>
  <c r="AK1208" i="12"/>
  <c r="AK1209" i="12"/>
  <c r="AK1210" i="12"/>
  <c r="AK1211" i="12"/>
  <c r="AK1212" i="12"/>
  <c r="AK1213" i="12"/>
  <c r="AK1214" i="12"/>
  <c r="AK1215" i="12"/>
  <c r="AK1216" i="12"/>
  <c r="AK1217" i="12"/>
  <c r="AK1218" i="12"/>
  <c r="AK1219" i="12"/>
  <c r="AK1220" i="12"/>
  <c r="AK1221" i="12"/>
  <c r="AK1222" i="12"/>
  <c r="AK1223" i="12"/>
  <c r="AK1224" i="12"/>
  <c r="AK1225" i="12"/>
  <c r="AK1226" i="12"/>
  <c r="AK1227" i="12"/>
  <c r="AK1228" i="12"/>
  <c r="AK1229" i="12"/>
  <c r="AK1230" i="12"/>
  <c r="AK1231" i="12"/>
  <c r="AK1232" i="12"/>
  <c r="AK1233" i="12"/>
  <c r="AK1234" i="12"/>
  <c r="AK1235" i="12"/>
  <c r="AK1236" i="12"/>
  <c r="AK1237" i="12"/>
  <c r="AK1238" i="12"/>
  <c r="AK1239" i="12"/>
  <c r="AK1240" i="12"/>
  <c r="AK1241" i="12"/>
  <c r="AK1242" i="12"/>
  <c r="AK1243" i="12"/>
  <c r="AK1244" i="12"/>
  <c r="AK1245" i="12"/>
  <c r="AK1246" i="12"/>
  <c r="AK1247" i="12"/>
  <c r="AK1248" i="12"/>
  <c r="AK1249" i="12"/>
  <c r="AK1250" i="12"/>
  <c r="AK1251" i="12"/>
  <c r="AK1252" i="12"/>
  <c r="AK1253" i="12"/>
  <c r="AK1254" i="12"/>
  <c r="AK1255" i="12"/>
  <c r="AK1256" i="12"/>
  <c r="AK1257" i="12"/>
  <c r="AK1258" i="12"/>
  <c r="AK1259" i="12"/>
  <c r="AK1260" i="12"/>
  <c r="AK1261" i="12"/>
  <c r="AK1262" i="12"/>
  <c r="AK1263" i="12"/>
  <c r="AK1264" i="12"/>
  <c r="AK1265" i="12"/>
  <c r="AK1266" i="12"/>
  <c r="AK1267" i="12"/>
  <c r="AK1268" i="12"/>
  <c r="AK1269" i="12"/>
  <c r="AK1270" i="12"/>
  <c r="AK1271" i="12"/>
  <c r="AK1272" i="12"/>
  <c r="AK1273" i="12"/>
  <c r="AK1274" i="12"/>
  <c r="AK1275" i="12"/>
  <c r="AK1276" i="12"/>
  <c r="AK1277" i="12"/>
  <c r="AK1278" i="12"/>
  <c r="AK1279" i="12"/>
  <c r="AK1280" i="12"/>
  <c r="AK1281" i="12"/>
  <c r="AK1282" i="12"/>
  <c r="AK1283" i="12"/>
  <c r="AK1284" i="12"/>
  <c r="AK1285" i="12"/>
  <c r="AK1286" i="12"/>
  <c r="AK1287" i="12"/>
  <c r="AK1288" i="12"/>
  <c r="AK1289" i="12"/>
  <c r="AK1290" i="12"/>
  <c r="AK1291" i="12"/>
  <c r="AK1292" i="12"/>
  <c r="AK1293" i="12"/>
  <c r="AK1294" i="12"/>
  <c r="AK1295" i="12"/>
  <c r="AK1296" i="12"/>
  <c r="AK1297" i="12"/>
  <c r="AK1298" i="12"/>
  <c r="AK1299" i="12"/>
  <c r="AK1300" i="12"/>
  <c r="AK1301" i="12"/>
  <c r="AK1302" i="12"/>
  <c r="AK1303" i="12"/>
  <c r="AK1304" i="12"/>
  <c r="AK1305" i="12"/>
  <c r="AK1306" i="12"/>
  <c r="AK1307" i="12"/>
  <c r="AK1308" i="12"/>
  <c r="AK1309" i="12"/>
  <c r="AK1310" i="12"/>
  <c r="AK1311" i="12"/>
  <c r="AK1312" i="12"/>
  <c r="AK1313" i="12"/>
  <c r="AK1314" i="12"/>
  <c r="AK1315" i="12"/>
  <c r="AK1316" i="12"/>
  <c r="AK1317" i="12"/>
  <c r="AK1318" i="12"/>
  <c r="AK1319" i="12"/>
  <c r="AK1320" i="12"/>
  <c r="AK1321" i="12"/>
  <c r="AK1322" i="12"/>
  <c r="AK1323" i="12"/>
  <c r="AK1324" i="12"/>
  <c r="AK1325" i="12"/>
  <c r="AK1326" i="12"/>
  <c r="AK1327" i="12"/>
  <c r="AK1328" i="12"/>
  <c r="AK1329" i="12"/>
  <c r="AK1330" i="12"/>
  <c r="AK1331" i="12"/>
  <c r="AK1332" i="12"/>
  <c r="AK1333" i="12"/>
  <c r="AK1334" i="12"/>
  <c r="AK1335" i="12"/>
  <c r="AK1336" i="12"/>
  <c r="AK1337" i="12"/>
  <c r="AK1338" i="12"/>
  <c r="AK1339" i="12"/>
  <c r="AK1340" i="12"/>
  <c r="AK1341" i="12"/>
  <c r="AK1342" i="12"/>
  <c r="AK1343" i="12"/>
  <c r="AK1344" i="12"/>
  <c r="AK1345" i="12"/>
  <c r="AK1346" i="12"/>
  <c r="AK1347" i="12"/>
  <c r="AK1348" i="12"/>
  <c r="AK1349" i="12"/>
  <c r="AK1350" i="12"/>
  <c r="AK1351" i="12"/>
  <c r="AK1352" i="12"/>
  <c r="AK1353" i="12"/>
  <c r="AK1354" i="12"/>
  <c r="AK1355" i="12"/>
  <c r="AK1356" i="12"/>
  <c r="AK1357" i="12"/>
  <c r="AK1358" i="12"/>
  <c r="AK1359" i="12"/>
  <c r="AK1360" i="12"/>
  <c r="AK1361" i="12"/>
  <c r="AK1362" i="12"/>
  <c r="AK1363" i="12"/>
  <c r="AK1364" i="12"/>
  <c r="AK1365" i="12"/>
  <c r="AK1366" i="12"/>
  <c r="AK1367" i="12"/>
  <c r="AK1368" i="12"/>
  <c r="AK1369" i="12"/>
  <c r="AK1370" i="12"/>
  <c r="AK1371" i="12"/>
  <c r="AK1372" i="12"/>
  <c r="AK1373" i="12"/>
  <c r="AK1374" i="12"/>
  <c r="AK1375" i="12"/>
  <c r="AK1376" i="12"/>
  <c r="AK1377" i="12"/>
  <c r="AK1378" i="12"/>
  <c r="AK1379" i="12"/>
  <c r="AK1380" i="12"/>
  <c r="AK1381" i="12"/>
  <c r="AK1382" i="12"/>
  <c r="AK1383" i="12"/>
  <c r="AK1384" i="12"/>
  <c r="AK1385" i="12"/>
  <c r="AK1386" i="12"/>
  <c r="AK1387" i="12"/>
  <c r="AK1388" i="12"/>
  <c r="AK1389" i="12"/>
  <c r="AK1390" i="12"/>
  <c r="AK1391" i="12"/>
  <c r="AK1392" i="12"/>
  <c r="AK1393" i="12"/>
  <c r="AK1394" i="12"/>
  <c r="AK1395" i="12"/>
  <c r="AK1396" i="12"/>
  <c r="AK1397" i="12"/>
  <c r="AK1398" i="12"/>
  <c r="AK1399" i="12"/>
  <c r="AK1400" i="12"/>
  <c r="AK1401" i="12"/>
  <c r="AK1402" i="12"/>
  <c r="AK1403" i="12"/>
  <c r="AK1404" i="12"/>
  <c r="AK1405" i="12"/>
  <c r="AK1406" i="12"/>
  <c r="AK1407" i="12"/>
  <c r="AK1408" i="12"/>
  <c r="AK1409" i="12"/>
  <c r="AK1410" i="12"/>
  <c r="AK1411" i="12"/>
  <c r="AK1412" i="12"/>
  <c r="AK1413" i="12"/>
  <c r="AK1414" i="12"/>
  <c r="AK1415" i="12"/>
  <c r="AK1416" i="12"/>
  <c r="AK1417" i="12"/>
  <c r="AK1418" i="12"/>
  <c r="AK1419" i="12"/>
  <c r="AK1420" i="12"/>
  <c r="AK1421" i="12"/>
  <c r="AK1422" i="12"/>
  <c r="AK1423" i="12"/>
  <c r="AK1424" i="12"/>
  <c r="AK1425" i="12"/>
  <c r="AK1426" i="12"/>
  <c r="AK1427" i="12"/>
  <c r="AK1428" i="12"/>
  <c r="AK1429" i="12"/>
  <c r="AK1430" i="12"/>
  <c r="AK1431" i="12"/>
  <c r="AK1432" i="12"/>
  <c r="AK1433" i="12"/>
  <c r="AK1434" i="12"/>
  <c r="AK1435" i="12"/>
  <c r="AK1436" i="12"/>
  <c r="AK1437" i="12"/>
  <c r="AK1438" i="12"/>
  <c r="AK1439" i="12"/>
  <c r="AK1440" i="12"/>
  <c r="AK1441" i="12"/>
  <c r="AK1442" i="12"/>
  <c r="AK1443" i="12"/>
  <c r="AK1444" i="12"/>
  <c r="AK1445" i="12"/>
  <c r="AK1446" i="12"/>
  <c r="AK1447" i="12"/>
  <c r="AK1448" i="12"/>
  <c r="AK1449" i="12"/>
  <c r="AK1450" i="12"/>
  <c r="AK1451" i="12"/>
  <c r="AK1452" i="12"/>
  <c r="AK1453" i="12"/>
  <c r="AK1454" i="12"/>
  <c r="AK1455" i="12"/>
  <c r="AK1456" i="12"/>
  <c r="AK1457" i="12"/>
  <c r="AK1458" i="12"/>
  <c r="AK1459" i="12"/>
  <c r="AK1460" i="12"/>
  <c r="AK1461" i="12"/>
  <c r="AK1462" i="12"/>
  <c r="AK1463" i="12"/>
  <c r="AK1464" i="12"/>
  <c r="AK1465" i="12"/>
  <c r="AK1466" i="12"/>
  <c r="AK1467" i="12"/>
  <c r="AK1468" i="12"/>
  <c r="AK1469" i="12"/>
  <c r="AK1470" i="12"/>
  <c r="AK1471" i="12"/>
  <c r="AK1472" i="12"/>
  <c r="AK1473" i="12"/>
  <c r="AK1474" i="12"/>
  <c r="AK1475" i="12"/>
  <c r="AK1476" i="12"/>
  <c r="AK1477" i="12"/>
  <c r="AK1478" i="12"/>
  <c r="AK1479" i="12"/>
  <c r="AK1480" i="12"/>
  <c r="AK1481" i="12"/>
  <c r="AK1482" i="12"/>
  <c r="AK1483" i="12"/>
  <c r="AK1484" i="12"/>
  <c r="AK1485" i="12"/>
  <c r="AK1486" i="12"/>
  <c r="AK1487" i="12"/>
  <c r="AK1488" i="12"/>
  <c r="AK1489" i="12"/>
  <c r="AK1490" i="12"/>
  <c r="AK1491" i="12"/>
  <c r="AK1492" i="12"/>
  <c r="AK1493" i="12"/>
  <c r="AK1494" i="12"/>
  <c r="AK1495" i="12"/>
  <c r="AK1496" i="12"/>
  <c r="AK1497" i="12"/>
  <c r="AK1498" i="12"/>
  <c r="AK1499" i="12"/>
  <c r="AK1500" i="12"/>
  <c r="AK1501" i="12"/>
  <c r="AK1502" i="12"/>
  <c r="AK1503" i="12"/>
  <c r="AK1504" i="12"/>
  <c r="AK1505" i="12"/>
  <c r="AK1506" i="12"/>
  <c r="AK1507" i="12"/>
  <c r="AK1508" i="12"/>
  <c r="AK1509" i="12"/>
  <c r="AK1510" i="12"/>
  <c r="AK1511" i="12"/>
  <c r="AK1512" i="12"/>
  <c r="AK1513" i="12"/>
  <c r="AK1514" i="12"/>
  <c r="AK1515" i="12"/>
  <c r="AK1516" i="12"/>
  <c r="AK1517" i="12"/>
  <c r="AK1518" i="12"/>
  <c r="AK1519" i="12"/>
  <c r="AK1520" i="12"/>
  <c r="AK1521" i="12"/>
  <c r="AK1522" i="12"/>
  <c r="AK1523" i="12"/>
  <c r="AK1524" i="12"/>
  <c r="AK1525" i="12"/>
  <c r="AK1526" i="12"/>
  <c r="AK1527" i="12"/>
  <c r="AK1528" i="12"/>
  <c r="AK1529" i="12"/>
  <c r="AK1530" i="12"/>
  <c r="AK1531" i="12"/>
  <c r="AK1532" i="12"/>
  <c r="AK1533" i="12"/>
  <c r="AK1534" i="12"/>
  <c r="AK1535" i="12"/>
  <c r="AK1536" i="12"/>
  <c r="AK1537" i="12"/>
  <c r="AK1538" i="12"/>
  <c r="AK1539" i="12"/>
  <c r="AK1540" i="12"/>
  <c r="AK1541" i="12"/>
  <c r="AK1542" i="12"/>
  <c r="AK1543" i="12"/>
  <c r="AK1544" i="12"/>
  <c r="AK1545" i="12"/>
  <c r="AK1546" i="12"/>
  <c r="AK1547" i="12"/>
  <c r="AK1548" i="12"/>
  <c r="AK1549" i="12"/>
  <c r="AK1550" i="12"/>
  <c r="AK1551" i="12"/>
  <c r="AK1552" i="12"/>
  <c r="AK1553" i="12"/>
  <c r="AK1554" i="12"/>
  <c r="AK1555" i="12"/>
  <c r="AK1556" i="12"/>
  <c r="AK1557" i="12"/>
  <c r="AK1558" i="12"/>
  <c r="AK1559" i="12"/>
  <c r="AK1560" i="12"/>
  <c r="AK1561" i="12"/>
  <c r="AK1562" i="12"/>
  <c r="AK1563" i="12"/>
  <c r="AK1564" i="12"/>
  <c r="AK1565" i="12"/>
  <c r="AK1566" i="12"/>
  <c r="AK1567" i="12"/>
  <c r="AK1568" i="12"/>
  <c r="AK1569" i="12"/>
  <c r="AK1570" i="12"/>
  <c r="AK1571" i="12"/>
  <c r="AK1572" i="12"/>
  <c r="AK1573" i="12"/>
  <c r="AK1574" i="12"/>
  <c r="AK1575" i="12"/>
  <c r="AK1576" i="12"/>
  <c r="AK1577" i="12"/>
  <c r="AK1578" i="12"/>
  <c r="AK1579" i="12"/>
  <c r="AK1580" i="12"/>
  <c r="AK1581" i="12"/>
  <c r="AK1582" i="12"/>
  <c r="AK1583" i="12"/>
  <c r="AK1584" i="12"/>
  <c r="AK1585" i="12"/>
  <c r="AK1586" i="12"/>
  <c r="AK1587" i="12"/>
  <c r="AK1588" i="12"/>
  <c r="AK1589" i="12"/>
  <c r="AK1590" i="12"/>
  <c r="AK1591" i="12"/>
  <c r="AK1592" i="12"/>
  <c r="AK1593" i="12"/>
  <c r="AK1594" i="12"/>
  <c r="AK1595" i="12"/>
  <c r="AK1596" i="12"/>
  <c r="AK1597" i="12"/>
  <c r="AK1598" i="12"/>
  <c r="AK1599" i="12"/>
  <c r="AK1600" i="12"/>
  <c r="AK1601" i="12"/>
  <c r="AK1602" i="12"/>
  <c r="AK1603" i="12"/>
  <c r="AK1604" i="12"/>
  <c r="AK1605" i="12"/>
  <c r="AK1606" i="12"/>
  <c r="AK1607" i="12"/>
  <c r="AK1608" i="12"/>
  <c r="AK1609" i="12"/>
  <c r="AK1610" i="12"/>
  <c r="AK1611" i="12"/>
  <c r="AK1612" i="12"/>
  <c r="AK1613" i="12"/>
  <c r="AK1614" i="12"/>
  <c r="AK1615" i="12"/>
  <c r="AK1616" i="12"/>
  <c r="AK1617" i="12"/>
  <c r="AK1618" i="12"/>
  <c r="AK1619" i="12"/>
  <c r="AK1620" i="12"/>
  <c r="AK1621" i="12"/>
  <c r="AK1622" i="12"/>
  <c r="AK1623" i="12"/>
  <c r="AK1624" i="12"/>
  <c r="AK1625" i="12"/>
  <c r="AK1626" i="12"/>
  <c r="AK1627" i="12"/>
  <c r="AK1628" i="12"/>
  <c r="AK1629" i="12"/>
  <c r="AK1630" i="12"/>
  <c r="AK1631" i="12"/>
  <c r="AK1632" i="12"/>
  <c r="AK1633" i="12"/>
  <c r="AK1634" i="12"/>
  <c r="AK1635" i="12"/>
  <c r="AK1636" i="12"/>
  <c r="AK1637" i="12"/>
  <c r="AK1638" i="12"/>
  <c r="AK1639" i="12"/>
  <c r="AK1640" i="12"/>
  <c r="AK1641" i="12"/>
  <c r="AK1642" i="12"/>
  <c r="AK1643" i="12"/>
  <c r="AK1644" i="12"/>
  <c r="AK1645" i="12"/>
  <c r="AK1646" i="12"/>
  <c r="AK1647" i="12"/>
  <c r="AK1648" i="12"/>
  <c r="AK1649" i="12"/>
  <c r="AK1650" i="12"/>
  <c r="AK1651" i="12"/>
  <c r="AK1652" i="12"/>
  <c r="AK1653" i="12"/>
  <c r="AK1654" i="12"/>
  <c r="AK1655" i="12"/>
  <c r="AK1656" i="12"/>
  <c r="AK1657" i="12"/>
  <c r="AK1658" i="12"/>
  <c r="AK1659" i="12"/>
  <c r="AK1660" i="12"/>
  <c r="AK1661" i="12"/>
  <c r="AK1662" i="12"/>
  <c r="AK1663" i="12"/>
  <c r="AK1664" i="12"/>
  <c r="AK1665" i="12"/>
  <c r="AK1666" i="12"/>
  <c r="AK1667" i="12"/>
  <c r="AK1668" i="12"/>
  <c r="AK1669" i="12"/>
  <c r="AK1670" i="12"/>
  <c r="AK1671" i="12"/>
  <c r="AK1672" i="12"/>
  <c r="AK1673" i="12"/>
  <c r="AK1674" i="12"/>
  <c r="AK1675" i="12"/>
  <c r="AK1676" i="12"/>
  <c r="AK1677" i="12"/>
  <c r="AK1678" i="12"/>
  <c r="AK1679" i="12"/>
  <c r="AK1680" i="12"/>
  <c r="AK1681" i="12"/>
  <c r="AK1682" i="12"/>
  <c r="AK1683" i="12"/>
  <c r="AK1684" i="12"/>
  <c r="AK1685" i="12"/>
  <c r="AK1686" i="12"/>
  <c r="AK1687" i="12"/>
  <c r="AK1688" i="12"/>
  <c r="AK1689" i="12"/>
  <c r="AK1690" i="12"/>
  <c r="AK1691" i="12"/>
  <c r="AK1692" i="12"/>
  <c r="AK1693" i="12"/>
  <c r="AK1694" i="12"/>
  <c r="AK1695" i="12"/>
  <c r="AK1696" i="12"/>
  <c r="AK1697" i="12"/>
  <c r="AK1698" i="12"/>
  <c r="AK1699" i="12"/>
  <c r="AK1700" i="12"/>
  <c r="AK1701" i="12"/>
  <c r="AK1702" i="12"/>
  <c r="AK1703" i="12"/>
  <c r="AK1704" i="12"/>
  <c r="AK1705" i="12"/>
  <c r="AK1706" i="12"/>
  <c r="AK1707" i="12"/>
  <c r="AK1708" i="12"/>
  <c r="AK1709" i="12"/>
  <c r="AK1710" i="12"/>
  <c r="AK1711" i="12"/>
  <c r="AK1712" i="12"/>
  <c r="AK1713" i="12"/>
  <c r="AK1714" i="12"/>
  <c r="AK1715" i="12"/>
  <c r="AK1716" i="12"/>
  <c r="AK1717" i="12"/>
  <c r="AK1718" i="12"/>
  <c r="AK1719" i="12"/>
  <c r="AK1720" i="12"/>
  <c r="AK1721" i="12"/>
  <c r="AK1722" i="12"/>
  <c r="AK1723" i="12"/>
  <c r="AK1724" i="12"/>
  <c r="AK1725" i="12"/>
  <c r="AK1726" i="12"/>
  <c r="AK1727" i="12"/>
  <c r="AK1728" i="12"/>
  <c r="AK1729" i="12"/>
  <c r="AK1730" i="12"/>
  <c r="AK1731" i="12"/>
  <c r="AK1732" i="12"/>
  <c r="AK1733" i="12"/>
  <c r="AK1734" i="12"/>
  <c r="AK1735" i="12"/>
  <c r="AK1736" i="12"/>
  <c r="AK1737" i="12"/>
  <c r="AK1738" i="12"/>
  <c r="AK1739" i="12"/>
  <c r="AK1740" i="12"/>
  <c r="AK1741" i="12"/>
  <c r="AK1742" i="12"/>
  <c r="AK1743" i="12"/>
  <c r="AK1744" i="12"/>
  <c r="AK1745" i="12"/>
  <c r="AK1746" i="12"/>
  <c r="AK1747" i="12"/>
  <c r="AK1748" i="12"/>
  <c r="AK1749" i="12"/>
  <c r="AK1750" i="12"/>
  <c r="AK1751" i="12"/>
  <c r="AK1752" i="12"/>
  <c r="AK1753" i="12"/>
  <c r="AK1754" i="12"/>
  <c r="AK1755" i="12"/>
  <c r="AK1756" i="12"/>
  <c r="AK1757" i="12"/>
  <c r="AK1758" i="12"/>
  <c r="AK1759" i="12"/>
  <c r="AK1760" i="12"/>
  <c r="AK1761" i="12"/>
  <c r="AK1762" i="12"/>
  <c r="AK1763" i="12"/>
  <c r="AK1764" i="12"/>
  <c r="AK1765" i="12"/>
  <c r="AK1766" i="12"/>
  <c r="AK1767" i="12"/>
  <c r="AK1768" i="12"/>
  <c r="AK1769" i="12"/>
  <c r="AK1770" i="12"/>
  <c r="AK1771" i="12"/>
  <c r="AK1772" i="12"/>
  <c r="AK1773" i="12"/>
  <c r="AK1774" i="12"/>
  <c r="AK1775" i="12"/>
  <c r="AK1776" i="12"/>
  <c r="AK1777" i="12"/>
  <c r="AK1778" i="12"/>
  <c r="AK1779" i="12"/>
  <c r="AK1780" i="12"/>
  <c r="AK1781" i="12"/>
  <c r="AK1782" i="12"/>
  <c r="AK1783" i="12"/>
  <c r="AK1784" i="12"/>
  <c r="AK1785" i="12"/>
  <c r="AK1786" i="12"/>
  <c r="AK1787" i="12"/>
  <c r="AK1788" i="12"/>
  <c r="AK1789" i="12"/>
  <c r="AK1790" i="12"/>
  <c r="AK1791" i="12"/>
  <c r="AK1792" i="12"/>
  <c r="AK1793" i="12"/>
  <c r="AK1794" i="12"/>
  <c r="AK1795" i="12"/>
  <c r="AK1796" i="12"/>
  <c r="AK1797" i="12"/>
  <c r="AK1798" i="12"/>
  <c r="AK1799" i="12"/>
  <c r="AK1800" i="12"/>
  <c r="AK1801" i="12"/>
  <c r="AK1802" i="12"/>
  <c r="AK1803" i="12"/>
  <c r="AK1804" i="12"/>
  <c r="AK1805" i="12"/>
  <c r="AK1806" i="12"/>
  <c r="AK1807" i="12"/>
  <c r="AK1808" i="12"/>
  <c r="AK1809" i="12"/>
  <c r="AK1810" i="12"/>
  <c r="AK1811" i="12"/>
  <c r="AK1812" i="12"/>
  <c r="AK1813" i="12"/>
  <c r="AK1814" i="12"/>
  <c r="AK1815" i="12"/>
  <c r="AK1816" i="12"/>
  <c r="AK1817" i="12"/>
  <c r="AK1818" i="12"/>
  <c r="AK1819" i="12"/>
  <c r="AK1820" i="12"/>
  <c r="AK1821" i="12"/>
  <c r="AK1822" i="12"/>
  <c r="AK1823" i="12"/>
  <c r="AK1824" i="12"/>
  <c r="AK1825" i="12"/>
  <c r="AK1826" i="12"/>
  <c r="AK1827" i="12"/>
  <c r="AK1828" i="12"/>
  <c r="AK1829" i="12"/>
  <c r="AK1830" i="12"/>
  <c r="AK1831" i="12"/>
  <c r="AK1832" i="12"/>
  <c r="AK1833" i="12"/>
  <c r="AK1834" i="12"/>
  <c r="AK1835" i="12"/>
  <c r="AK1836" i="12"/>
  <c r="AK1837" i="12"/>
  <c r="AK1838" i="12"/>
  <c r="AK1839" i="12"/>
  <c r="AK1840" i="12"/>
  <c r="AK1841" i="12"/>
  <c r="AK1842" i="12"/>
  <c r="AK1843" i="12"/>
  <c r="AK1844" i="12"/>
  <c r="AK1845" i="12"/>
  <c r="AK1846" i="12"/>
  <c r="AK1847" i="12"/>
  <c r="AK1848" i="12"/>
  <c r="AK1849" i="12"/>
  <c r="AK1850" i="12"/>
  <c r="AK1851" i="12"/>
  <c r="AK1852" i="12"/>
  <c r="AK1853" i="12"/>
  <c r="AK1854" i="12"/>
  <c r="AK1855" i="12"/>
  <c r="AK1856" i="12"/>
  <c r="AK1857" i="12"/>
  <c r="AK1858" i="12"/>
  <c r="AK1859" i="12"/>
  <c r="AK1860" i="12"/>
  <c r="AK1861" i="12"/>
  <c r="AK1862" i="12"/>
  <c r="AK1863" i="12"/>
  <c r="AK1864" i="12"/>
  <c r="AK1865" i="12"/>
  <c r="AK1866" i="12"/>
  <c r="AK1867" i="12"/>
  <c r="AK1868" i="12"/>
  <c r="AK1869" i="12"/>
  <c r="AK1870" i="12"/>
  <c r="AK1871" i="12"/>
  <c r="AK1872" i="12"/>
  <c r="AK1873" i="12"/>
  <c r="AK1874" i="12"/>
  <c r="AK1875" i="12"/>
  <c r="AK1876" i="12"/>
  <c r="AK1877" i="12"/>
  <c r="AK1878" i="12"/>
  <c r="AK1879" i="12"/>
  <c r="AK1880" i="12"/>
  <c r="AK1881" i="12"/>
  <c r="AK1882" i="12"/>
  <c r="AK1883" i="12"/>
  <c r="AK1884" i="12"/>
  <c r="AK1885" i="12"/>
  <c r="AK1886" i="12"/>
  <c r="AK1887" i="12"/>
  <c r="AK1888" i="12"/>
  <c r="AK1889" i="12"/>
  <c r="AK1890" i="12"/>
  <c r="AK1891" i="12"/>
  <c r="AK1892" i="12"/>
  <c r="AK1893" i="12"/>
  <c r="AK1894" i="12"/>
  <c r="AK1895" i="12"/>
  <c r="AK1896" i="12"/>
  <c r="AK1897" i="12"/>
  <c r="AK1898" i="12"/>
  <c r="AK1899" i="12"/>
  <c r="AK1900" i="12"/>
  <c r="AK1901" i="12"/>
  <c r="AK1902" i="12"/>
  <c r="AK1903" i="12"/>
  <c r="AK1904" i="12"/>
  <c r="AK1905" i="12"/>
  <c r="AK1906" i="12"/>
  <c r="AK1907" i="12"/>
  <c r="AK1908" i="12"/>
  <c r="AK1909" i="12"/>
  <c r="AK1910" i="12"/>
  <c r="AK1911" i="12"/>
  <c r="AK1912" i="12"/>
  <c r="AK1913" i="12"/>
  <c r="AK1914" i="12"/>
  <c r="AK1915" i="12"/>
  <c r="AK1916" i="12"/>
  <c r="AK1917" i="12"/>
  <c r="AK1918" i="12"/>
  <c r="AK1919" i="12"/>
  <c r="AK1920" i="12"/>
  <c r="AK1921" i="12"/>
  <c r="AK1922" i="12"/>
  <c r="AK1923" i="12"/>
  <c r="AK1924" i="12"/>
  <c r="AK1925" i="12"/>
  <c r="AK1926" i="12"/>
  <c r="AK1927" i="12"/>
  <c r="AK1928" i="12"/>
  <c r="AK1929" i="12"/>
  <c r="AK1930" i="12"/>
  <c r="AK1931" i="12"/>
  <c r="AK1932" i="12"/>
  <c r="AK1933" i="12"/>
  <c r="AK1934" i="12"/>
  <c r="AK1935" i="12"/>
  <c r="AK1936" i="12"/>
  <c r="AK1937" i="12"/>
  <c r="AK1938" i="12"/>
  <c r="AK1939" i="12"/>
  <c r="AK1940" i="12"/>
  <c r="AK1941" i="12"/>
  <c r="AK1942" i="12"/>
  <c r="AK1943" i="12"/>
  <c r="AK1944" i="12"/>
  <c r="AK1945" i="12"/>
  <c r="AK1946" i="12"/>
  <c r="AK1947" i="12"/>
  <c r="AK1948" i="12"/>
  <c r="AK1949" i="12"/>
  <c r="AK1950" i="12"/>
  <c r="AK1951" i="12"/>
  <c r="AK1952" i="12"/>
  <c r="AK1953" i="12"/>
  <c r="AK1954" i="12"/>
  <c r="AK1955" i="12"/>
  <c r="AK1956" i="12"/>
  <c r="AK1957" i="12"/>
  <c r="AK1958" i="12"/>
  <c r="AK1959" i="12"/>
  <c r="AK1960" i="12"/>
  <c r="AK1961" i="12"/>
  <c r="AK1962" i="12"/>
  <c r="AK1963" i="12"/>
  <c r="AK1964" i="12"/>
  <c r="AK1965" i="12"/>
  <c r="AK1966" i="12"/>
  <c r="AK1967" i="12"/>
  <c r="AK1968" i="12"/>
  <c r="AK1969" i="12"/>
  <c r="AK1970" i="12"/>
  <c r="AK1971" i="12"/>
  <c r="AK1972" i="12"/>
  <c r="AK1973" i="12"/>
  <c r="AK1974" i="12"/>
  <c r="AK1975" i="12"/>
  <c r="AK1976" i="12"/>
  <c r="AK1977" i="12"/>
  <c r="AK1978" i="12"/>
  <c r="AK1979" i="12"/>
  <c r="AK1980" i="12"/>
  <c r="AK1981" i="12"/>
  <c r="AK1982" i="12"/>
  <c r="AK1983" i="12"/>
  <c r="AK1984" i="12"/>
  <c r="AK1985" i="12"/>
  <c r="AK1986" i="12"/>
  <c r="AK1987" i="12"/>
  <c r="AK1988" i="12"/>
  <c r="AK1989" i="12"/>
  <c r="AK1990" i="12"/>
  <c r="AK1991" i="12"/>
  <c r="AK1992" i="12"/>
  <c r="AK1993" i="12"/>
  <c r="AK1994" i="12"/>
  <c r="AK1995" i="12"/>
  <c r="AK1996" i="12"/>
  <c r="AK1997" i="12"/>
  <c r="AK1998" i="12"/>
  <c r="AK1999" i="12"/>
  <c r="AK2000" i="12"/>
  <c r="AK2001" i="12"/>
  <c r="AK2002" i="12"/>
  <c r="AK2003" i="12"/>
  <c r="AK2004" i="12"/>
  <c r="AK2005" i="12"/>
  <c r="AK2006" i="12"/>
  <c r="AK2007" i="12"/>
  <c r="AK2008" i="12"/>
  <c r="AK2009" i="12"/>
  <c r="AK2010" i="12"/>
  <c r="AK2011" i="12"/>
  <c r="AK2012" i="12"/>
  <c r="AK2013" i="12"/>
  <c r="AK2014" i="12"/>
  <c r="AK2015" i="12"/>
  <c r="AK2016" i="12"/>
  <c r="AK2017" i="12"/>
  <c r="AK2018" i="12"/>
  <c r="AK2019" i="12"/>
  <c r="AK2020" i="12"/>
  <c r="AK2021" i="12"/>
  <c r="AK2022" i="12"/>
  <c r="AK2023" i="12"/>
  <c r="AK2024" i="12"/>
  <c r="AK2025" i="12"/>
  <c r="AK2026" i="12"/>
  <c r="AK2027" i="12"/>
  <c r="AK2028" i="12"/>
  <c r="AK2029" i="12"/>
  <c r="AK2030" i="12"/>
  <c r="AK2031" i="12"/>
  <c r="AK2032" i="12"/>
  <c r="AK2033" i="12"/>
  <c r="AK2034" i="12"/>
  <c r="AK2035" i="12"/>
  <c r="AK2036" i="12"/>
  <c r="AK2037" i="12"/>
  <c r="AK2038" i="12"/>
  <c r="AK2039" i="12"/>
  <c r="AK2040" i="12"/>
  <c r="AK2041" i="12"/>
  <c r="AK2042" i="12"/>
  <c r="AK2043" i="12"/>
  <c r="AK2044" i="12"/>
  <c r="AK2045" i="12"/>
  <c r="AK2046" i="12"/>
  <c r="AK2047" i="12"/>
  <c r="AK2048" i="12"/>
  <c r="AK2049" i="12"/>
  <c r="AK2050" i="12"/>
  <c r="AK2051" i="12"/>
  <c r="AK2052" i="12"/>
  <c r="AK2053" i="12"/>
  <c r="AK2054" i="12"/>
  <c r="AK2055" i="12"/>
  <c r="AK2056" i="12"/>
  <c r="AK2057" i="12"/>
  <c r="AK2058" i="12"/>
  <c r="AK2059" i="12"/>
  <c r="AK2060" i="12"/>
  <c r="AK2061" i="12"/>
  <c r="AK2062" i="12"/>
  <c r="AK2063" i="12"/>
  <c r="AK2064" i="12"/>
  <c r="AK2065" i="12"/>
  <c r="AK2066" i="12"/>
  <c r="AK2067" i="12"/>
  <c r="AK2068" i="12"/>
  <c r="AK2069" i="12"/>
  <c r="AK2070" i="12"/>
  <c r="AK2071" i="12"/>
  <c r="AK2072" i="12"/>
  <c r="AK2073" i="12"/>
  <c r="AK2074" i="12"/>
  <c r="AK2075" i="12"/>
  <c r="AK2076" i="12"/>
  <c r="AK2077" i="12"/>
  <c r="AK2078" i="12"/>
  <c r="AK2079" i="12"/>
  <c r="AK2080" i="12"/>
  <c r="AK2081" i="12"/>
  <c r="AK2082" i="12"/>
  <c r="AK2083" i="12"/>
  <c r="AK2084" i="12"/>
  <c r="AK2085" i="12"/>
  <c r="AK2086" i="12"/>
  <c r="AK2087" i="12"/>
  <c r="AK2088" i="12"/>
  <c r="AK2089" i="12"/>
  <c r="AK2090" i="12"/>
  <c r="AK2091" i="12"/>
  <c r="AK2092" i="12"/>
  <c r="AK2093" i="12"/>
  <c r="AK2094" i="12"/>
  <c r="AK2095" i="12"/>
  <c r="AK2096" i="12"/>
  <c r="AK2097" i="12"/>
  <c r="AK2098" i="12"/>
  <c r="AK2099" i="12"/>
  <c r="AK2100" i="12"/>
  <c r="AK2101" i="12"/>
  <c r="AK2102" i="12"/>
  <c r="AK2103" i="12"/>
  <c r="AK2104" i="12"/>
  <c r="AK2105" i="12"/>
  <c r="AK2106" i="12"/>
  <c r="AK2107" i="12"/>
  <c r="AK2108" i="12"/>
  <c r="AK2109" i="12"/>
  <c r="AK2110" i="12"/>
  <c r="AK2111" i="12"/>
  <c r="AK2112" i="12"/>
  <c r="AK2113" i="12"/>
  <c r="AK2114" i="12"/>
  <c r="AK2115" i="12"/>
  <c r="AK2116" i="12"/>
  <c r="AK2117" i="12"/>
  <c r="AK2118" i="12"/>
  <c r="AK2119" i="12"/>
  <c r="AK2120" i="12"/>
  <c r="AK2121" i="12"/>
  <c r="AK2122" i="12"/>
  <c r="AK2123" i="12"/>
  <c r="AK2124" i="12"/>
  <c r="AK2125" i="12"/>
  <c r="AK2126" i="12"/>
  <c r="AK2127" i="12"/>
  <c r="AK2128" i="12"/>
  <c r="AK2129" i="12"/>
  <c r="AK2130" i="12"/>
  <c r="AK2131" i="12"/>
  <c r="AK2132" i="12"/>
  <c r="AK2133" i="12"/>
  <c r="AK2134" i="12"/>
  <c r="AK2135" i="12"/>
  <c r="AK2136" i="12"/>
  <c r="AK2137" i="12"/>
  <c r="AK2138" i="12"/>
  <c r="AK2139" i="12"/>
  <c r="AK2140" i="12"/>
  <c r="AK2141" i="12"/>
  <c r="AK2142" i="12"/>
  <c r="AK2143" i="12"/>
  <c r="AK2144" i="12"/>
  <c r="AK2145" i="12"/>
  <c r="AK2146" i="12"/>
  <c r="AK2147" i="12"/>
  <c r="AK2148" i="12"/>
  <c r="AK2149" i="12"/>
  <c r="AK2150" i="12"/>
  <c r="AK2151" i="12"/>
  <c r="AK2152" i="12"/>
  <c r="AK2153" i="12"/>
  <c r="AK2154" i="12"/>
  <c r="AK2155" i="12"/>
  <c r="AK2156" i="12"/>
  <c r="AK2157" i="12"/>
  <c r="AK2158" i="12"/>
  <c r="AK2159" i="12"/>
  <c r="AK2160" i="12"/>
  <c r="AK2161" i="12"/>
  <c r="AK2162" i="12"/>
  <c r="AK2163" i="12"/>
  <c r="AK2164" i="12"/>
  <c r="AK2165" i="12"/>
  <c r="AK2166" i="12"/>
  <c r="AK2167" i="12"/>
  <c r="AK2168" i="12"/>
  <c r="AK2169" i="12"/>
  <c r="AK2170" i="12"/>
  <c r="AK2171" i="12"/>
  <c r="AK2172" i="12"/>
  <c r="AK2173" i="12"/>
  <c r="AK2174" i="12"/>
  <c r="AK2175" i="12"/>
  <c r="AK2176" i="12"/>
  <c r="AK2177" i="12"/>
  <c r="AK2178" i="12"/>
  <c r="AK2179" i="12"/>
  <c r="AK2180" i="12"/>
  <c r="AK2181" i="12"/>
  <c r="AK2182" i="12"/>
  <c r="AK2183" i="12"/>
  <c r="AK2184" i="12"/>
  <c r="AK2185" i="12"/>
  <c r="AK2186" i="12"/>
  <c r="AK2187" i="12"/>
  <c r="AK2188" i="12"/>
  <c r="AK2189" i="12"/>
  <c r="AK2190" i="12"/>
  <c r="AK2191" i="12"/>
  <c r="AK2192" i="12"/>
  <c r="AK2193" i="12"/>
  <c r="AK2194" i="12"/>
  <c r="AK2195" i="12"/>
  <c r="AK2196" i="12"/>
  <c r="AK2197" i="12"/>
  <c r="AK2198" i="12"/>
  <c r="AK2199" i="12"/>
  <c r="AK2200" i="12"/>
  <c r="AK2201" i="12"/>
  <c r="AK2202" i="12"/>
  <c r="AK2203" i="12"/>
  <c r="AK2204" i="12"/>
  <c r="AK2205" i="12"/>
  <c r="AK2206" i="12"/>
  <c r="AK2207" i="12"/>
  <c r="AK2208" i="12"/>
  <c r="AK2209" i="12"/>
  <c r="AK2210" i="12"/>
  <c r="AK2211" i="12"/>
  <c r="AK2212" i="12"/>
  <c r="AK2213" i="12"/>
  <c r="AK2214" i="12"/>
  <c r="AK2215" i="12"/>
  <c r="AK2216" i="12"/>
  <c r="AK2217" i="12"/>
  <c r="AK2218" i="12"/>
  <c r="AK2219" i="12"/>
  <c r="AK2220" i="12"/>
  <c r="AK2221" i="12"/>
  <c r="AK2222" i="12"/>
  <c r="AK2223" i="12"/>
  <c r="AK2224" i="12"/>
  <c r="AK2225" i="12"/>
  <c r="AK2226" i="12"/>
  <c r="AK2227" i="12"/>
  <c r="AK2228" i="12"/>
  <c r="AK2229" i="12"/>
  <c r="AK2230" i="12"/>
  <c r="AK2231" i="12"/>
  <c r="AK2232" i="12"/>
  <c r="AK2233" i="12"/>
  <c r="AK2234" i="12"/>
  <c r="AK2235" i="12"/>
  <c r="AK2236" i="12"/>
  <c r="AK2237" i="12"/>
  <c r="AK2238" i="12"/>
  <c r="AK2239" i="12"/>
  <c r="AK2240" i="12"/>
  <c r="AK2241" i="12"/>
  <c r="AK2242" i="12"/>
  <c r="AK2243" i="12"/>
  <c r="AK2244" i="12"/>
  <c r="AK2245" i="12"/>
  <c r="AK2246" i="12"/>
  <c r="AK2247" i="12"/>
  <c r="AK2248" i="12"/>
  <c r="AK2249" i="12"/>
  <c r="AK2250" i="12"/>
  <c r="AK2251" i="12"/>
  <c r="AK2252" i="12"/>
  <c r="AK2253" i="12"/>
  <c r="AK2254" i="12"/>
  <c r="AK2255" i="12"/>
  <c r="AK2256" i="12"/>
  <c r="AK2257" i="12"/>
  <c r="AK2258" i="12"/>
  <c r="AK2259" i="12"/>
  <c r="AK2260" i="12"/>
  <c r="AK2261" i="12"/>
  <c r="AK2262" i="12"/>
  <c r="AK2263" i="12"/>
  <c r="AK2264" i="12"/>
  <c r="AK2265" i="12"/>
  <c r="AK2266" i="12"/>
  <c r="AK2267" i="12"/>
  <c r="AK2268" i="12"/>
  <c r="AK2269" i="12"/>
  <c r="AK2270" i="12"/>
  <c r="AK2271" i="12"/>
  <c r="AK2272" i="12"/>
  <c r="AK2273" i="12"/>
  <c r="AK2274" i="12"/>
  <c r="AK2275" i="12"/>
  <c r="AK2276" i="12"/>
  <c r="AK2277" i="12"/>
  <c r="AK2278" i="12"/>
  <c r="AK2279" i="12"/>
  <c r="AK2280" i="12"/>
  <c r="AK2281" i="12"/>
  <c r="AK2282" i="12"/>
  <c r="AK2283" i="12"/>
  <c r="AK2284" i="12"/>
  <c r="AK2285" i="12"/>
  <c r="AK2286" i="12"/>
  <c r="AK2287" i="12"/>
  <c r="AK2288" i="12"/>
  <c r="AK2289" i="12"/>
  <c r="AK2290" i="12"/>
  <c r="AK2291" i="12"/>
  <c r="AK2292" i="12"/>
  <c r="AK2293" i="12"/>
  <c r="AK2294" i="12"/>
  <c r="AK2295" i="12"/>
  <c r="AK2296" i="12"/>
  <c r="AK2297" i="12"/>
  <c r="AK2298" i="12"/>
  <c r="AK2299" i="12"/>
  <c r="AK2300" i="12"/>
  <c r="AK2301" i="12"/>
  <c r="AK2302" i="12"/>
  <c r="AK2303" i="12"/>
  <c r="AK2304" i="12"/>
  <c r="AK2305" i="12"/>
  <c r="AK2306" i="12"/>
  <c r="AK2307" i="12"/>
  <c r="AK2308" i="12"/>
  <c r="AK2309" i="12"/>
  <c r="AK2310" i="12"/>
  <c r="AK2311" i="12"/>
  <c r="AK2312" i="12"/>
  <c r="AK2313" i="12"/>
  <c r="AK2314" i="12"/>
  <c r="AK2315" i="12"/>
  <c r="AK2316" i="12"/>
  <c r="AK2317" i="12"/>
  <c r="AK2318" i="12"/>
  <c r="AK2319" i="12"/>
  <c r="AK2320" i="12"/>
  <c r="AK2321" i="12"/>
  <c r="AK2322" i="12"/>
  <c r="AK2323" i="12"/>
  <c r="AK2324" i="12"/>
  <c r="AK2325" i="12"/>
  <c r="AK2326" i="12"/>
  <c r="AK2327" i="12"/>
  <c r="AK2328" i="12"/>
  <c r="AK2329" i="12"/>
  <c r="AK2330" i="12"/>
  <c r="AK2331" i="12"/>
  <c r="AK2332" i="12"/>
  <c r="AK2333" i="12"/>
  <c r="AK2334" i="12"/>
  <c r="AK2335" i="12"/>
  <c r="AK2336" i="12"/>
  <c r="AK2337" i="12"/>
  <c r="AK2338" i="12"/>
  <c r="AK2339" i="12"/>
  <c r="AK2340" i="12"/>
  <c r="AK2341" i="12"/>
  <c r="AK2342" i="12"/>
  <c r="AK2343" i="12"/>
  <c r="AK2344" i="12"/>
  <c r="AK2345" i="12"/>
  <c r="AK2346" i="12"/>
  <c r="AK2347" i="12"/>
  <c r="AK2348" i="12"/>
  <c r="AK2349" i="12"/>
  <c r="AK2350" i="12"/>
  <c r="AK2351" i="12"/>
  <c r="AK2352" i="12"/>
  <c r="AK2353" i="12"/>
  <c r="AK2354" i="12"/>
  <c r="AK2355" i="12"/>
  <c r="AK2356" i="12"/>
  <c r="AK2357" i="12"/>
  <c r="AK2358" i="12"/>
  <c r="AK2359" i="12"/>
  <c r="AK2360" i="12"/>
  <c r="AK2361" i="12"/>
  <c r="AK2362" i="12"/>
  <c r="AK2363" i="12"/>
  <c r="AK2364" i="12"/>
  <c r="AK2365" i="12"/>
  <c r="AK2366" i="12"/>
  <c r="AK2367" i="12"/>
  <c r="AK2368" i="12"/>
  <c r="AK2369" i="12"/>
  <c r="AK2370" i="12"/>
  <c r="AK2371" i="12"/>
  <c r="AK2372" i="12"/>
  <c r="AK2373" i="12"/>
  <c r="AK2374" i="12"/>
  <c r="AK2375" i="12"/>
  <c r="AK2376" i="12"/>
  <c r="AK2377" i="12"/>
  <c r="AK2378" i="12"/>
  <c r="AK2379" i="12"/>
  <c r="AK2380" i="12"/>
  <c r="AK2381" i="12"/>
  <c r="AK2382" i="12"/>
  <c r="AK2383" i="12"/>
  <c r="AK2384" i="12"/>
  <c r="AK2385" i="12"/>
  <c r="AK2386" i="12"/>
  <c r="AK2387" i="12"/>
  <c r="AK2388" i="12"/>
  <c r="AK2389" i="12"/>
  <c r="AK2390" i="12"/>
  <c r="AK2391" i="12"/>
  <c r="AK2392" i="12"/>
  <c r="AK2393" i="12"/>
  <c r="AK2394" i="12"/>
  <c r="AK2395" i="12"/>
  <c r="AK2396" i="12"/>
  <c r="AK2397" i="12"/>
  <c r="AK2398" i="12"/>
  <c r="AK2399" i="12"/>
  <c r="AK2400" i="12"/>
  <c r="AK2401" i="12"/>
  <c r="AK2402" i="12"/>
  <c r="AK2403" i="12"/>
  <c r="AK2404" i="12"/>
  <c r="AK2405" i="12"/>
  <c r="AK2406" i="12"/>
  <c r="AK2407" i="12"/>
  <c r="AK2408" i="12"/>
  <c r="AK2409" i="12"/>
  <c r="AK2410" i="12"/>
  <c r="AK2411" i="12"/>
  <c r="AK2412" i="12"/>
  <c r="AK2413" i="12"/>
  <c r="AK2414" i="12"/>
  <c r="AK2415" i="12"/>
  <c r="AK2416" i="12"/>
  <c r="AK2417" i="12"/>
  <c r="AK2418" i="12"/>
  <c r="AK2419" i="12"/>
  <c r="AK2420" i="12"/>
  <c r="AK2421" i="12"/>
  <c r="AK2422" i="12"/>
  <c r="AK2423" i="12"/>
  <c r="AK2424" i="12"/>
  <c r="AK2425" i="12"/>
  <c r="AK2426" i="12"/>
  <c r="AK2427" i="12"/>
  <c r="AK2428" i="12"/>
  <c r="AK2429" i="12"/>
  <c r="AK2430" i="12"/>
  <c r="AK2431" i="12"/>
  <c r="AK2432" i="12"/>
  <c r="AK2433" i="12"/>
  <c r="AK2434" i="12"/>
  <c r="AK2435" i="12"/>
  <c r="AK2436" i="12"/>
  <c r="AK2437" i="12"/>
  <c r="AK2438" i="12"/>
  <c r="AK2439" i="12"/>
  <c r="AK2440" i="12"/>
  <c r="AK2441" i="12"/>
  <c r="AK2442" i="12"/>
  <c r="AK2443" i="12"/>
  <c r="AK2444" i="12"/>
  <c r="AK2445" i="12"/>
  <c r="AK2446" i="12"/>
  <c r="AK2447" i="12"/>
  <c r="AK2448" i="12"/>
  <c r="AK2449" i="12"/>
  <c r="AK2450" i="12"/>
  <c r="AK2451" i="12"/>
  <c r="AK2452" i="12"/>
  <c r="AK2453" i="12"/>
  <c r="AK2454" i="12"/>
  <c r="AK2455" i="12"/>
  <c r="AK2456" i="12"/>
  <c r="AK2457" i="12"/>
  <c r="AK2458" i="12"/>
  <c r="AK2459" i="12"/>
  <c r="AK2460" i="12"/>
  <c r="AK2461" i="12"/>
  <c r="AK2462" i="12"/>
  <c r="AK2463" i="12"/>
  <c r="AK2464" i="12"/>
  <c r="AK2465" i="12"/>
  <c r="AK2466" i="12"/>
  <c r="AK2467" i="12"/>
  <c r="AK2468" i="12"/>
  <c r="AK2469" i="12"/>
  <c r="AK2470" i="12"/>
  <c r="AK2471" i="12"/>
  <c r="AK2472" i="12"/>
  <c r="AK2473" i="12"/>
  <c r="AK2474" i="12"/>
  <c r="AK2475" i="12"/>
  <c r="AK2476" i="12"/>
  <c r="AK2477" i="12"/>
  <c r="AK2478" i="12"/>
  <c r="AK2479" i="12"/>
  <c r="AK2480" i="12"/>
  <c r="AK2481" i="12"/>
  <c r="AK2482" i="12"/>
  <c r="AK2483" i="12"/>
  <c r="AK2484" i="12"/>
  <c r="AK2485" i="12"/>
  <c r="AK2486" i="12"/>
  <c r="AK2487" i="12"/>
  <c r="AK2488" i="12"/>
  <c r="AK2489" i="12"/>
  <c r="AK2490" i="12"/>
  <c r="AK2491" i="12"/>
  <c r="AK2492" i="12"/>
  <c r="AK2493" i="12"/>
  <c r="AK2494" i="12"/>
  <c r="AK2495" i="12"/>
  <c r="AK2496" i="12"/>
  <c r="AK2497" i="12"/>
  <c r="AK2498" i="12"/>
  <c r="AK2499" i="12"/>
  <c r="AK2500" i="12"/>
  <c r="AK2501" i="12"/>
  <c r="AK2502" i="12"/>
  <c r="AK2503" i="12"/>
  <c r="AK2504" i="12"/>
  <c r="AK2505" i="12"/>
  <c r="AK2506" i="12"/>
  <c r="AK2507" i="12"/>
  <c r="AK2508" i="12"/>
  <c r="AK2509" i="12"/>
  <c r="AK2510" i="12"/>
  <c r="AK2511" i="12"/>
  <c r="AK2512" i="12"/>
  <c r="AK2513" i="12"/>
  <c r="AK2514" i="12"/>
  <c r="AK2515" i="12"/>
  <c r="AK2516" i="12"/>
  <c r="AK2517" i="12"/>
  <c r="AK2518" i="12"/>
  <c r="AK2519" i="12"/>
  <c r="AK2520" i="12"/>
  <c r="AK2521" i="12"/>
  <c r="AK2522" i="12"/>
  <c r="AK2523" i="12"/>
  <c r="AK2524" i="12"/>
  <c r="AK2525" i="12"/>
  <c r="AK2526" i="12"/>
  <c r="AK2527" i="12"/>
  <c r="AK2528" i="12"/>
  <c r="AK2529" i="12"/>
  <c r="AK2530" i="12"/>
  <c r="AK2531" i="12"/>
  <c r="AK2532" i="12"/>
  <c r="AK2533" i="12"/>
  <c r="AK2534" i="12"/>
  <c r="AK2535" i="12"/>
  <c r="AK2536" i="12"/>
  <c r="AK2537" i="12"/>
  <c r="AK2538" i="12"/>
  <c r="AK2539" i="12"/>
  <c r="AK2540" i="12"/>
  <c r="AK2541" i="12"/>
  <c r="AK2542" i="12"/>
  <c r="AK2543" i="12"/>
  <c r="AK2544" i="12"/>
  <c r="AK2545" i="12"/>
  <c r="AK2546" i="12"/>
  <c r="AK2547" i="12"/>
  <c r="AK2548" i="12"/>
  <c r="AK2549" i="12"/>
  <c r="AK2550" i="12"/>
  <c r="AK2551" i="12"/>
  <c r="AK2552" i="12"/>
  <c r="AK2553" i="12"/>
  <c r="AK2554" i="12"/>
  <c r="AK2555" i="12"/>
  <c r="AK2556" i="12"/>
  <c r="AK2557" i="12"/>
  <c r="AK2558" i="12"/>
  <c r="AK2559" i="12"/>
  <c r="AK2560" i="12"/>
  <c r="AK2561" i="12"/>
  <c r="AK2562" i="12"/>
  <c r="AK2563" i="12"/>
  <c r="AK2564" i="12"/>
  <c r="AK2565" i="12"/>
  <c r="AK2566" i="12"/>
  <c r="AK2567" i="12"/>
  <c r="AK2568" i="12"/>
  <c r="AK2569" i="12"/>
  <c r="AK2570" i="12"/>
  <c r="AK2571" i="12"/>
  <c r="AK2572" i="12"/>
  <c r="AK2573" i="12"/>
  <c r="AK2574" i="12"/>
  <c r="AK2575" i="12"/>
  <c r="AK2576" i="12"/>
  <c r="AK2577" i="12"/>
  <c r="AK2578" i="12"/>
  <c r="AK2579" i="12"/>
  <c r="AK2580" i="12"/>
  <c r="AK2581" i="12"/>
  <c r="AK2582" i="12"/>
  <c r="AK2583" i="12"/>
  <c r="AK2584" i="12"/>
  <c r="AK2585" i="12"/>
  <c r="AK2586" i="12"/>
  <c r="AK2587" i="12"/>
  <c r="AK2588" i="12"/>
  <c r="AK2589" i="12"/>
  <c r="AK2590" i="12"/>
  <c r="AK2591" i="12"/>
  <c r="AK2592" i="12"/>
  <c r="AK2593" i="12"/>
  <c r="AK2594" i="12"/>
  <c r="AK2595" i="12"/>
  <c r="AK2596" i="12"/>
  <c r="AK2597" i="12"/>
  <c r="AK2598" i="12"/>
  <c r="AK2599" i="12"/>
  <c r="AK2600" i="12"/>
  <c r="AK2601" i="12"/>
  <c r="AK2602" i="12"/>
  <c r="AK2603" i="12"/>
  <c r="AK2604" i="12"/>
  <c r="AK2605" i="12"/>
  <c r="AK2606" i="12"/>
  <c r="AK2607" i="12"/>
  <c r="AK2608" i="12"/>
  <c r="AK2609" i="12"/>
  <c r="AK2610" i="12"/>
  <c r="AK2611" i="12"/>
  <c r="AK2612" i="12"/>
  <c r="AK2613" i="12"/>
  <c r="AK2614" i="12"/>
  <c r="AK2615" i="12"/>
  <c r="AK2616" i="12"/>
  <c r="AK2617" i="12"/>
  <c r="AK2618" i="12"/>
  <c r="AK2619" i="12"/>
  <c r="AK2620" i="12"/>
  <c r="AK2621" i="12"/>
  <c r="AK2622" i="12"/>
  <c r="AK2623" i="12"/>
  <c r="AK2624" i="12"/>
  <c r="AK2625" i="12"/>
  <c r="AK2626" i="12"/>
  <c r="AK2627" i="12"/>
  <c r="AK2628" i="12"/>
  <c r="AK2629" i="12"/>
  <c r="AK2630" i="12"/>
  <c r="AK2631" i="12"/>
  <c r="AK2632" i="12"/>
  <c r="AK2633" i="12"/>
  <c r="AK2634" i="12"/>
  <c r="AK2635" i="12"/>
  <c r="AK2636" i="12"/>
  <c r="AK2637" i="12"/>
  <c r="AK2638" i="12"/>
  <c r="AK2639" i="12"/>
  <c r="AK2640" i="12"/>
  <c r="AK2641" i="12"/>
  <c r="AK2642" i="12"/>
  <c r="AK2643" i="12"/>
  <c r="AK2644" i="12"/>
  <c r="AK2645" i="12"/>
  <c r="AK2646" i="12"/>
  <c r="AK2647" i="12"/>
  <c r="AK2648" i="12"/>
  <c r="AK2649" i="12"/>
  <c r="AK2650" i="12"/>
  <c r="AK2651" i="12"/>
  <c r="AK2652" i="12"/>
  <c r="AK2653" i="12"/>
  <c r="AK2654" i="12"/>
  <c r="AK2655" i="12"/>
  <c r="AK2656" i="12"/>
  <c r="AK2657" i="12"/>
  <c r="AK2658" i="12"/>
  <c r="AK2659" i="12"/>
  <c r="AK2660" i="12"/>
  <c r="AK2661" i="12"/>
  <c r="AK2662" i="12"/>
  <c r="AK2663" i="12"/>
  <c r="AK2664" i="12"/>
  <c r="AK2665" i="12"/>
  <c r="AK2666" i="12"/>
  <c r="AK2667" i="12"/>
  <c r="AK2668" i="12"/>
  <c r="AK2669" i="12"/>
  <c r="AK2670" i="12"/>
  <c r="AK2671" i="12"/>
  <c r="AK2672" i="12"/>
  <c r="AK2673" i="12"/>
  <c r="AK2674" i="12"/>
  <c r="AK2675" i="12"/>
  <c r="AK2676" i="12"/>
  <c r="AK2677" i="12"/>
  <c r="AK2678" i="12"/>
  <c r="AK2679" i="12"/>
  <c r="AK2680" i="12"/>
  <c r="AK2681" i="12"/>
  <c r="AK2682" i="12"/>
  <c r="AK2683" i="12"/>
  <c r="AK2684" i="12"/>
  <c r="AK2685" i="12"/>
  <c r="AK2686" i="12"/>
  <c r="AK2687" i="12"/>
  <c r="AK2688" i="12"/>
  <c r="AK2689" i="12"/>
  <c r="AK2690" i="12"/>
  <c r="AK2691" i="12"/>
  <c r="AK2692" i="12"/>
  <c r="AK2693" i="12"/>
  <c r="AK2694" i="12"/>
  <c r="AK2695" i="12"/>
  <c r="AK2696" i="12"/>
  <c r="AK2697" i="12"/>
  <c r="AK2698" i="12"/>
  <c r="AK2699" i="12"/>
  <c r="AK2700" i="12"/>
  <c r="AK2701" i="12"/>
  <c r="AK2702" i="12"/>
  <c r="AK2703" i="12"/>
  <c r="AK2704" i="12"/>
  <c r="AK2705" i="12"/>
  <c r="AK2706" i="12"/>
  <c r="AK2707" i="12"/>
  <c r="AK2708" i="12"/>
  <c r="AK2709" i="12"/>
  <c r="AK2710" i="12"/>
  <c r="AK2711" i="12"/>
  <c r="AK2712" i="12"/>
  <c r="AK2713" i="12"/>
  <c r="AK2714" i="12"/>
  <c r="AK2715" i="12"/>
  <c r="AK2716" i="12"/>
  <c r="AK2717" i="12"/>
  <c r="AK2718" i="12"/>
  <c r="AK2719" i="12"/>
  <c r="AK2720" i="12"/>
  <c r="AK2721" i="12"/>
  <c r="AK2722" i="12"/>
  <c r="AK2723" i="12"/>
  <c r="AK2724" i="12"/>
  <c r="AK2725" i="12"/>
  <c r="AK2726" i="12"/>
  <c r="AK2727" i="12"/>
  <c r="AK2728" i="12"/>
  <c r="AK2729" i="12"/>
  <c r="AK2730" i="12"/>
  <c r="AK2731" i="12"/>
  <c r="AK2732" i="12"/>
  <c r="AK2733" i="12"/>
  <c r="AK2734" i="12"/>
  <c r="AK2735" i="12"/>
  <c r="AK2736" i="12"/>
  <c r="AK2737" i="12"/>
  <c r="AK2738" i="12"/>
  <c r="AK2739" i="12"/>
  <c r="AK2740" i="12"/>
  <c r="AK2741" i="12"/>
  <c r="AK2742" i="12"/>
  <c r="AK2743" i="12"/>
  <c r="AK2744" i="12"/>
  <c r="AK2745" i="12"/>
  <c r="AK2746" i="12"/>
  <c r="AK2747" i="12"/>
  <c r="AK2748" i="12"/>
  <c r="AK2749" i="12"/>
  <c r="AK2750" i="12"/>
  <c r="AK2751" i="12"/>
  <c r="AK2752" i="12"/>
  <c r="AK2753" i="12"/>
  <c r="AK2754" i="12"/>
  <c r="AK2755" i="12"/>
  <c r="AK2756" i="12"/>
  <c r="AK2757" i="12"/>
  <c r="AK2758" i="12"/>
  <c r="AK2759" i="12"/>
  <c r="AK2760" i="12"/>
  <c r="AK2761" i="12"/>
  <c r="AK2762" i="12"/>
  <c r="AK2763" i="12"/>
  <c r="AK2764" i="12"/>
  <c r="AK2765" i="12"/>
  <c r="AK2766" i="12"/>
  <c r="AK2767" i="12"/>
  <c r="AK2768" i="12"/>
  <c r="AK2769" i="12"/>
  <c r="AK2770" i="12"/>
  <c r="AK2771" i="12"/>
  <c r="AK2772" i="12"/>
  <c r="AK2773" i="12"/>
  <c r="AK2774" i="12"/>
  <c r="AK2775" i="12"/>
  <c r="AK2776" i="12"/>
  <c r="AK2777" i="12"/>
  <c r="AK2778" i="12"/>
  <c r="AK2779" i="12"/>
  <c r="AK2780" i="12"/>
  <c r="AK2781" i="12"/>
  <c r="AK2782" i="12"/>
  <c r="AK2783" i="12"/>
  <c r="AK2784" i="12"/>
  <c r="AK2785" i="12"/>
  <c r="AK2786" i="12"/>
  <c r="AK2787" i="12"/>
  <c r="AK2788" i="12"/>
  <c r="AK2789" i="12"/>
  <c r="AK2790" i="12"/>
  <c r="AK2791" i="12"/>
  <c r="AK2792" i="12"/>
  <c r="AK2793" i="12"/>
  <c r="AK2794" i="12"/>
  <c r="AK2795" i="12"/>
  <c r="AK2796" i="12"/>
  <c r="AK2797" i="12"/>
  <c r="AK2798" i="12"/>
  <c r="AK2799" i="12"/>
  <c r="AK2800" i="12"/>
  <c r="AK2801" i="12"/>
  <c r="AK2802" i="12"/>
  <c r="AK2803" i="12"/>
  <c r="AK2804" i="12"/>
  <c r="AK2805" i="12"/>
  <c r="AK2806" i="12"/>
  <c r="AK2807" i="12"/>
  <c r="AK2808" i="12"/>
  <c r="AK2809" i="12"/>
  <c r="AK2810" i="12"/>
  <c r="AK2811" i="12"/>
  <c r="AK2812" i="12"/>
  <c r="AK2813" i="12"/>
  <c r="AK2814" i="12"/>
  <c r="AK2815" i="12"/>
  <c r="AK2816" i="12"/>
  <c r="AK2817" i="12"/>
  <c r="AK2818" i="12"/>
  <c r="AK2819" i="12"/>
  <c r="AK2820" i="12"/>
  <c r="AK2821" i="12"/>
  <c r="AK2822" i="12"/>
  <c r="AK2823" i="12"/>
  <c r="AK2824" i="12"/>
  <c r="AK2825" i="12"/>
  <c r="AK2826" i="12"/>
  <c r="AK2827" i="12"/>
  <c r="AK2828" i="12"/>
  <c r="AK2829" i="12"/>
  <c r="AK2830" i="12"/>
  <c r="AK2831" i="12"/>
  <c r="AK2832" i="12"/>
  <c r="AK2833" i="12"/>
  <c r="AK2834" i="12"/>
  <c r="AK2835" i="12"/>
  <c r="AK2836" i="12"/>
  <c r="AK2837" i="12"/>
  <c r="AK2838" i="12"/>
  <c r="AK2839" i="12"/>
  <c r="AK2840" i="12"/>
  <c r="AK2841" i="12"/>
  <c r="AK2842" i="12"/>
  <c r="AK2843" i="12"/>
  <c r="AK2844" i="12"/>
  <c r="AK2845" i="12"/>
  <c r="AK2846" i="12"/>
  <c r="AK2847" i="12"/>
  <c r="AK2848" i="12"/>
  <c r="AK2849" i="12"/>
  <c r="AK2850" i="12"/>
  <c r="AK2851" i="12"/>
  <c r="AK2852" i="12"/>
  <c r="AK2853" i="12"/>
  <c r="AK2854" i="12"/>
  <c r="AK2855" i="12"/>
  <c r="AK2856" i="12"/>
  <c r="AK2857" i="12"/>
  <c r="AK2858" i="12"/>
  <c r="AK2859" i="12"/>
  <c r="AK2860" i="12"/>
  <c r="AK2861" i="12"/>
  <c r="AK2862" i="12"/>
  <c r="AK2863" i="12"/>
  <c r="AK2864" i="12"/>
  <c r="AK2865" i="12"/>
  <c r="AK2866" i="12"/>
  <c r="AK2867" i="12"/>
  <c r="AK2868" i="12"/>
  <c r="AK2869" i="12"/>
  <c r="AK2870" i="12"/>
  <c r="AK2871" i="12"/>
  <c r="AK2872" i="12"/>
  <c r="AK2873" i="12"/>
  <c r="AK2874" i="12"/>
  <c r="AK2875" i="12"/>
  <c r="AK2876" i="12"/>
  <c r="AK2877" i="12"/>
  <c r="AK2878" i="12"/>
  <c r="AK2879" i="12"/>
  <c r="AK2880" i="12"/>
  <c r="AK2881" i="12"/>
  <c r="AK2882" i="12"/>
  <c r="AK2883" i="12"/>
  <c r="AK2884" i="12"/>
  <c r="AK2885" i="12"/>
  <c r="AK2886" i="12"/>
  <c r="AK2887" i="12"/>
  <c r="AK2888" i="12"/>
  <c r="AK2889" i="12"/>
  <c r="AK2890" i="12"/>
  <c r="AK2891" i="12"/>
  <c r="AK2892" i="12"/>
  <c r="AK2893" i="12"/>
  <c r="AK2894" i="12"/>
  <c r="AK2895" i="12"/>
  <c r="AK2896" i="12"/>
  <c r="AK2897" i="12"/>
  <c r="AK2898" i="12"/>
  <c r="AK2899" i="12"/>
  <c r="AK2900" i="12"/>
  <c r="AK2901" i="12"/>
  <c r="AK2902" i="12"/>
  <c r="AK2903" i="12"/>
  <c r="AK2904" i="12"/>
  <c r="AK2905" i="12"/>
  <c r="AK2906" i="12"/>
  <c r="AK2907" i="12"/>
  <c r="AK2908" i="12"/>
  <c r="AK2909" i="12"/>
  <c r="AK2910" i="12"/>
  <c r="AK2911" i="12"/>
  <c r="AK2912" i="12"/>
  <c r="AK2913" i="12"/>
  <c r="AK2914" i="12"/>
  <c r="AK2915" i="12"/>
  <c r="AK2916" i="12"/>
  <c r="AK2917" i="12"/>
  <c r="AK2918" i="12"/>
  <c r="AK2919" i="12"/>
  <c r="AK2920" i="12"/>
  <c r="AK2921" i="12"/>
  <c r="AK2922" i="12"/>
  <c r="AK2923" i="12"/>
  <c r="AK2924" i="12"/>
  <c r="AK2925" i="12"/>
  <c r="AK2926" i="12"/>
  <c r="AK2927" i="12"/>
  <c r="AK2928" i="12"/>
  <c r="AK2929" i="12"/>
  <c r="AK2930" i="12"/>
  <c r="AK2931" i="12"/>
  <c r="AK2932" i="12"/>
  <c r="AK2933" i="12"/>
  <c r="AK2934" i="12"/>
  <c r="AK2935" i="12"/>
  <c r="AK2936" i="12"/>
  <c r="AK2937" i="12"/>
  <c r="AK2938" i="12"/>
  <c r="AK2939" i="12"/>
  <c r="AK2940" i="12"/>
  <c r="AK2941" i="12"/>
  <c r="AK2942" i="12"/>
  <c r="AK2943" i="12"/>
  <c r="AK2944" i="12"/>
  <c r="AK2945" i="12"/>
  <c r="AK2946" i="12"/>
  <c r="AK2947" i="12"/>
  <c r="AK2948" i="12"/>
  <c r="AK2949" i="12"/>
  <c r="AK2950" i="12"/>
  <c r="AK2951" i="12"/>
  <c r="AK2952" i="12"/>
  <c r="AK2953" i="12"/>
  <c r="AK2954" i="12"/>
  <c r="AK2955" i="12"/>
  <c r="AK2956" i="12"/>
  <c r="AK2957" i="12"/>
  <c r="AK2958" i="12"/>
  <c r="AK2959" i="12"/>
  <c r="AK2960" i="12"/>
  <c r="AK2961" i="12"/>
  <c r="AK2962" i="12"/>
  <c r="AK2963" i="12"/>
  <c r="AK2964" i="12"/>
  <c r="AK2965" i="12"/>
  <c r="AK2966" i="12"/>
  <c r="AK2967" i="12"/>
  <c r="AK2968" i="12"/>
  <c r="AK2969" i="12"/>
  <c r="AK2970" i="12"/>
  <c r="AK2971" i="12"/>
  <c r="AK2972" i="12"/>
  <c r="AK2973" i="12"/>
  <c r="AK2974" i="12"/>
  <c r="AK2975" i="12"/>
  <c r="AK2976" i="12"/>
  <c r="AK2977" i="12"/>
  <c r="AK2978" i="12"/>
  <c r="AK2979" i="12"/>
  <c r="AK2980" i="12"/>
  <c r="AK2981" i="12"/>
  <c r="AK2982" i="12"/>
  <c r="AK2983" i="12"/>
  <c r="AK2984" i="12"/>
  <c r="AK2985" i="12"/>
  <c r="AK2986" i="12"/>
  <c r="AK2987" i="12"/>
  <c r="AK2988" i="12"/>
  <c r="AK2989" i="12"/>
  <c r="AK2990" i="12"/>
  <c r="AK2991" i="12"/>
  <c r="AK2992" i="12"/>
  <c r="AK2993" i="12"/>
  <c r="AK2994" i="12"/>
  <c r="AK2995" i="12"/>
  <c r="AK2996" i="12"/>
  <c r="AK2997" i="12"/>
  <c r="AK2998" i="12"/>
  <c r="AK2999" i="12"/>
  <c r="AK3000" i="12"/>
  <c r="AK3001" i="12"/>
  <c r="AK3002" i="12"/>
  <c r="AK3003" i="12"/>
  <c r="AK3004" i="12"/>
  <c r="AK3005" i="12"/>
  <c r="AK3006" i="12"/>
  <c r="AK3007" i="12"/>
  <c r="AK3008" i="12"/>
  <c r="AK3009" i="12"/>
  <c r="AK3010" i="12"/>
  <c r="AK3011" i="12"/>
  <c r="AK3012" i="12"/>
  <c r="AK3013" i="12"/>
  <c r="AK3014" i="12"/>
  <c r="AK3015" i="12"/>
  <c r="AK3016" i="12"/>
  <c r="AK3017" i="12"/>
  <c r="AK3018" i="12"/>
  <c r="AK3019" i="12"/>
  <c r="AK3020" i="12"/>
  <c r="AK3021" i="12"/>
  <c r="AK3022" i="12"/>
  <c r="AK3023" i="12"/>
  <c r="AK3024" i="12"/>
  <c r="AK3025" i="12"/>
  <c r="AK3026" i="12"/>
  <c r="AK3027" i="12"/>
  <c r="AK3028" i="12"/>
  <c r="AK3029" i="12"/>
  <c r="AK3030" i="12"/>
  <c r="AK3031" i="12"/>
  <c r="AK3032" i="12"/>
  <c r="AK3033" i="12"/>
  <c r="AK3034" i="12"/>
  <c r="AK3035" i="12"/>
  <c r="AK3036" i="12"/>
  <c r="AK3037" i="12"/>
  <c r="AK3038" i="12"/>
  <c r="AK3039" i="12"/>
  <c r="AK3040" i="12"/>
  <c r="AK3041" i="12"/>
  <c r="AK3042" i="12"/>
  <c r="AK3043" i="12"/>
  <c r="AK3044" i="12"/>
  <c r="AK3045" i="12"/>
  <c r="AK3046" i="12"/>
  <c r="AK3047" i="12"/>
  <c r="AK3048" i="12"/>
  <c r="AK3049" i="12"/>
  <c r="AK3050" i="12"/>
  <c r="AK3051" i="12"/>
  <c r="AK3052" i="12"/>
  <c r="AK3053" i="12"/>
  <c r="AK3054" i="12"/>
  <c r="AK3055" i="12"/>
  <c r="AK3056" i="12"/>
  <c r="AK3057" i="12"/>
  <c r="AK3058" i="12"/>
  <c r="AK3059" i="12"/>
  <c r="AK3060" i="12"/>
  <c r="AK3061" i="12"/>
  <c r="AK3062" i="12"/>
  <c r="AK3063" i="12"/>
  <c r="AK3064" i="12"/>
  <c r="AK3065" i="12"/>
  <c r="AK3066" i="12"/>
  <c r="AK3067" i="12"/>
  <c r="AK3068" i="12"/>
  <c r="AK3069" i="12"/>
  <c r="AK3070" i="12"/>
  <c r="AK3071" i="12"/>
  <c r="AK3072" i="12"/>
  <c r="AK3073" i="12"/>
  <c r="AK3074" i="12"/>
  <c r="AK3075" i="12"/>
  <c r="AK3076" i="12"/>
  <c r="AK3077" i="12"/>
  <c r="AK3078" i="12"/>
  <c r="AK3079" i="12"/>
  <c r="AK3080" i="12"/>
  <c r="AK3081" i="12"/>
  <c r="AK3082" i="12"/>
  <c r="AK3083" i="12"/>
  <c r="AK3084" i="12"/>
  <c r="AK3085" i="12"/>
  <c r="AK3086" i="12"/>
  <c r="AK3087" i="12"/>
  <c r="AK3088" i="12"/>
  <c r="AK3089" i="12"/>
  <c r="AK3090" i="12"/>
  <c r="AK3091" i="12"/>
  <c r="AK3092" i="12"/>
  <c r="AK3093" i="12"/>
  <c r="AK3094" i="12"/>
  <c r="AK3095" i="12"/>
  <c r="AK3096" i="12"/>
  <c r="AK3097" i="12"/>
  <c r="AK3098" i="12"/>
  <c r="AK3099" i="12"/>
  <c r="AK3100" i="12"/>
  <c r="AK3101" i="12"/>
  <c r="AK3102" i="12"/>
  <c r="AK3103" i="12"/>
  <c r="AK3104" i="12"/>
  <c r="AK3105" i="12"/>
  <c r="AK3106" i="12"/>
  <c r="AK3107" i="12"/>
  <c r="AK3108" i="12"/>
  <c r="AK3109" i="12"/>
  <c r="AK3110" i="12"/>
  <c r="AK3111" i="12"/>
  <c r="AK3112" i="12"/>
  <c r="AK3113" i="12"/>
  <c r="AK3114" i="12"/>
  <c r="AK3115" i="12"/>
  <c r="AK3116" i="12"/>
  <c r="AK3117" i="12"/>
  <c r="AK3118" i="12"/>
  <c r="AK3119" i="12"/>
  <c r="AK3120" i="12"/>
  <c r="AK3121" i="12"/>
  <c r="AK3122" i="12"/>
  <c r="AK3123" i="12"/>
  <c r="AK3124" i="12"/>
  <c r="AK3125" i="12"/>
  <c r="AK3126" i="12"/>
  <c r="AK3127" i="12"/>
  <c r="AK3128" i="12"/>
  <c r="AK3129" i="12"/>
  <c r="AK3130" i="12"/>
  <c r="AK3131" i="12"/>
  <c r="AK3132" i="12"/>
  <c r="AK3133" i="12"/>
  <c r="AK3134" i="12"/>
  <c r="AK3135" i="12"/>
  <c r="AK3136" i="12"/>
  <c r="AK3137" i="12"/>
  <c r="AK3138" i="12"/>
  <c r="AK3139" i="12"/>
  <c r="AK3140" i="12"/>
  <c r="AK3141" i="12"/>
  <c r="AK3142" i="12"/>
  <c r="AK3143" i="12"/>
  <c r="AK3144" i="12"/>
  <c r="AK3145" i="12"/>
  <c r="AK3146" i="12"/>
  <c r="AK3147" i="12"/>
  <c r="AK3148" i="12"/>
  <c r="AK3149" i="12"/>
  <c r="AK3150" i="12"/>
  <c r="AK3151" i="12"/>
  <c r="AK3152" i="12"/>
  <c r="AK3153" i="12"/>
  <c r="AK3154" i="12"/>
  <c r="AK3155" i="12"/>
  <c r="AK3156" i="12"/>
  <c r="AK3157" i="12"/>
  <c r="AK3158" i="12"/>
  <c r="AK3159" i="12"/>
  <c r="AK3160" i="12"/>
  <c r="AK3161" i="12"/>
  <c r="AK3162" i="12"/>
  <c r="AK3163" i="12"/>
  <c r="AK3164" i="12"/>
  <c r="AK3165" i="12"/>
  <c r="AK3166" i="12"/>
  <c r="AK3167" i="12"/>
  <c r="AK3168" i="12"/>
  <c r="AK3169" i="12"/>
  <c r="AK3170" i="12"/>
  <c r="AK3171" i="12"/>
  <c r="AK3172" i="12"/>
  <c r="AK3173" i="12"/>
  <c r="AK3174" i="12"/>
  <c r="AK3175" i="12"/>
  <c r="AK3176" i="12"/>
  <c r="AK3177" i="12"/>
  <c r="AK3178" i="12"/>
  <c r="AK3179" i="12"/>
  <c r="AK3180" i="12"/>
  <c r="AK3181" i="12"/>
  <c r="AK3182" i="12"/>
  <c r="AK3183" i="12"/>
  <c r="AK3184" i="12"/>
  <c r="AK3185" i="12"/>
  <c r="AK3186" i="12"/>
  <c r="AK3187" i="12"/>
  <c r="AK3188" i="12"/>
  <c r="AK3189" i="12"/>
  <c r="AK3190" i="12"/>
  <c r="AK3191" i="12"/>
  <c r="AK3192" i="12"/>
  <c r="AK3193" i="12"/>
  <c r="AK3194" i="12"/>
  <c r="AK3195" i="12"/>
  <c r="AK3196" i="12"/>
  <c r="AK3197" i="12"/>
  <c r="AK3198" i="12"/>
  <c r="AK3199" i="12"/>
  <c r="AK3200" i="12"/>
  <c r="AK3201" i="12"/>
  <c r="AK3202" i="12"/>
  <c r="AK3203" i="12"/>
  <c r="AK3204" i="12"/>
  <c r="AK3205" i="12"/>
  <c r="AK3206" i="12"/>
  <c r="AK3207" i="12"/>
  <c r="AK3208" i="12"/>
  <c r="AK3209" i="12"/>
  <c r="AK3210" i="12"/>
  <c r="AK3211" i="12"/>
  <c r="AK3212" i="12"/>
  <c r="AK3213" i="12"/>
  <c r="AK3214" i="12"/>
  <c r="AK3215" i="12"/>
  <c r="AK3216" i="12"/>
  <c r="AK3217" i="12"/>
  <c r="AK3218" i="12"/>
  <c r="AK3219" i="12"/>
  <c r="AK3220" i="12"/>
  <c r="AK3221" i="12"/>
  <c r="AK3222" i="12"/>
  <c r="AK3223" i="12"/>
  <c r="AK3224" i="12"/>
  <c r="AK3225" i="12"/>
  <c r="AK3226" i="12"/>
  <c r="AK3227" i="12"/>
  <c r="AK3228" i="12"/>
  <c r="AK3229" i="12"/>
  <c r="AK3230" i="12"/>
  <c r="AK3231" i="12"/>
  <c r="AK3232" i="12"/>
  <c r="AK3233" i="12"/>
  <c r="AK3234" i="12"/>
  <c r="AK3235" i="12"/>
  <c r="AK3236" i="12"/>
  <c r="AK3237" i="12"/>
  <c r="AK3238" i="12"/>
  <c r="AK3239" i="12"/>
  <c r="AK3240" i="12"/>
  <c r="AK3241" i="12"/>
  <c r="AK3242" i="12"/>
  <c r="AK3243" i="12"/>
  <c r="AK3244" i="12"/>
  <c r="AK3245" i="12"/>
  <c r="AK3246" i="12"/>
  <c r="AK3247" i="12"/>
  <c r="AK3248" i="12"/>
  <c r="AK3249" i="12"/>
  <c r="AK3250" i="12"/>
  <c r="AK3251" i="12"/>
  <c r="AK3252" i="12"/>
  <c r="AK3253" i="12"/>
  <c r="AK3254" i="12"/>
  <c r="AK3255" i="12"/>
  <c r="AK3256" i="12"/>
  <c r="AK3257" i="12"/>
  <c r="AK3258" i="12"/>
  <c r="AK3259" i="12"/>
  <c r="AK3260" i="12"/>
  <c r="AK3261" i="12"/>
  <c r="AK3262" i="12"/>
  <c r="AK3263" i="12"/>
  <c r="AK3264" i="12"/>
  <c r="AK3265" i="12"/>
  <c r="AK3266" i="12"/>
  <c r="AK3267" i="12"/>
  <c r="AK3268" i="12"/>
  <c r="AK3269" i="12"/>
  <c r="AK3270" i="12"/>
  <c r="AK3271" i="12"/>
  <c r="AK3272" i="12"/>
  <c r="AK3273" i="12"/>
  <c r="AK3274" i="12"/>
  <c r="AK3275" i="12"/>
  <c r="AK3276" i="12"/>
  <c r="AK3277" i="12"/>
  <c r="AK3278" i="12"/>
  <c r="AK3279" i="12"/>
  <c r="AK3280" i="12"/>
  <c r="AK3281" i="12"/>
  <c r="AK3282" i="12"/>
  <c r="AK3283" i="12"/>
  <c r="AK3284" i="12"/>
  <c r="AK3285" i="12"/>
  <c r="AK3286" i="12"/>
  <c r="AK3287" i="12"/>
  <c r="AK3288" i="12"/>
  <c r="AK3289" i="12"/>
  <c r="AK3290" i="12"/>
  <c r="AK3291" i="12"/>
  <c r="AK3292" i="12"/>
  <c r="AK3293" i="12"/>
  <c r="AK3294" i="12"/>
  <c r="AK3295" i="12"/>
  <c r="AK3296" i="12"/>
  <c r="AK3297" i="12"/>
  <c r="AK3298" i="12"/>
  <c r="AK3299" i="12"/>
  <c r="AK3300" i="12"/>
  <c r="AK3301" i="12"/>
  <c r="AK3302" i="12"/>
  <c r="AK3303" i="12"/>
  <c r="AK3304" i="12"/>
  <c r="AK3305" i="12"/>
  <c r="AK3306" i="12"/>
  <c r="AK3307" i="12"/>
  <c r="AK3308" i="12"/>
  <c r="AK3309" i="12"/>
  <c r="AK3310" i="12"/>
  <c r="AK3311" i="12"/>
  <c r="AK3312" i="12"/>
  <c r="AK3313" i="12"/>
  <c r="AK3" i="12"/>
  <c r="AJ4" i="12"/>
  <c r="AJ5" i="12"/>
  <c r="AJ6" i="12"/>
  <c r="AJ7" i="12"/>
  <c r="AJ8" i="12"/>
  <c r="AJ9" i="12"/>
  <c r="AJ10" i="12"/>
  <c r="AJ11" i="12"/>
  <c r="AJ12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73" i="12"/>
  <c r="AJ74" i="12"/>
  <c r="AJ75" i="12"/>
  <c r="AJ76" i="12"/>
  <c r="AJ77" i="12"/>
  <c r="AJ78" i="12"/>
  <c r="AJ79" i="12"/>
  <c r="AJ80" i="12"/>
  <c r="AJ81" i="12"/>
  <c r="AJ82" i="12"/>
  <c r="AJ83" i="12"/>
  <c r="AJ84" i="12"/>
  <c r="AJ85" i="12"/>
  <c r="AJ86" i="12"/>
  <c r="AJ87" i="12"/>
  <c r="AJ88" i="12"/>
  <c r="AJ89" i="12"/>
  <c r="AJ90" i="12"/>
  <c r="AJ91" i="12"/>
  <c r="AJ92" i="12"/>
  <c r="AJ93" i="12"/>
  <c r="AJ94" i="12"/>
  <c r="AJ95" i="12"/>
  <c r="AJ96" i="12"/>
  <c r="AJ97" i="12"/>
  <c r="AJ98" i="12"/>
  <c r="AJ99" i="12"/>
  <c r="AJ100" i="12"/>
  <c r="AJ101" i="12"/>
  <c r="AJ102" i="12"/>
  <c r="AJ103" i="12"/>
  <c r="AJ104" i="12"/>
  <c r="AJ105" i="12"/>
  <c r="AJ106" i="12"/>
  <c r="AJ107" i="12"/>
  <c r="AJ108" i="12"/>
  <c r="AJ109" i="12"/>
  <c r="AJ110" i="12"/>
  <c r="AJ111" i="12"/>
  <c r="AJ112" i="12"/>
  <c r="AJ113" i="12"/>
  <c r="AJ114" i="12"/>
  <c r="AJ115" i="12"/>
  <c r="AJ116" i="12"/>
  <c r="AJ117" i="12"/>
  <c r="AJ118" i="12"/>
  <c r="AJ119" i="12"/>
  <c r="AJ120" i="12"/>
  <c r="AJ121" i="12"/>
  <c r="AJ122" i="12"/>
  <c r="AJ123" i="12"/>
  <c r="AJ124" i="12"/>
  <c r="AJ125" i="12"/>
  <c r="AJ126" i="12"/>
  <c r="AJ127" i="12"/>
  <c r="AJ128" i="12"/>
  <c r="AJ129" i="12"/>
  <c r="AJ130" i="12"/>
  <c r="AJ131" i="12"/>
  <c r="AJ132" i="12"/>
  <c r="AJ133" i="12"/>
  <c r="AJ134" i="12"/>
  <c r="AJ135" i="12"/>
  <c r="AJ136" i="12"/>
  <c r="AJ137" i="12"/>
  <c r="AJ138" i="12"/>
  <c r="AJ139" i="12"/>
  <c r="AJ140" i="12"/>
  <c r="AJ141" i="12"/>
  <c r="AJ142" i="12"/>
  <c r="AJ143" i="12"/>
  <c r="AJ144" i="12"/>
  <c r="AJ145" i="12"/>
  <c r="AJ146" i="12"/>
  <c r="AJ147" i="12"/>
  <c r="AJ148" i="12"/>
  <c r="AJ149" i="12"/>
  <c r="AJ150" i="12"/>
  <c r="AJ151" i="12"/>
  <c r="AJ152" i="12"/>
  <c r="AJ153" i="12"/>
  <c r="AJ154" i="12"/>
  <c r="AJ155" i="12"/>
  <c r="AJ156" i="12"/>
  <c r="AJ157" i="12"/>
  <c r="AJ158" i="12"/>
  <c r="AJ159" i="12"/>
  <c r="AJ160" i="12"/>
  <c r="AJ161" i="12"/>
  <c r="AJ162" i="12"/>
  <c r="AJ163" i="12"/>
  <c r="AJ164" i="12"/>
  <c r="AJ165" i="12"/>
  <c r="AJ166" i="12"/>
  <c r="AJ167" i="12"/>
  <c r="AJ168" i="12"/>
  <c r="AJ169" i="12"/>
  <c r="AJ170" i="12"/>
  <c r="AJ171" i="12"/>
  <c r="AJ172" i="12"/>
  <c r="AJ173" i="12"/>
  <c r="AJ174" i="12"/>
  <c r="AJ175" i="12"/>
  <c r="AJ176" i="12"/>
  <c r="AJ177" i="12"/>
  <c r="AJ178" i="12"/>
  <c r="AJ179" i="12"/>
  <c r="AJ180" i="12"/>
  <c r="AJ181" i="12"/>
  <c r="AJ182" i="12"/>
  <c r="AJ183" i="12"/>
  <c r="AJ184" i="12"/>
  <c r="AJ185" i="12"/>
  <c r="AJ186" i="12"/>
  <c r="AJ187" i="12"/>
  <c r="AJ188" i="12"/>
  <c r="AJ189" i="12"/>
  <c r="AJ190" i="12"/>
  <c r="AJ191" i="12"/>
  <c r="AJ192" i="12"/>
  <c r="AJ193" i="12"/>
  <c r="AJ194" i="12"/>
  <c r="AJ195" i="12"/>
  <c r="AJ196" i="12"/>
  <c r="AJ197" i="12"/>
  <c r="AJ198" i="12"/>
  <c r="AJ199" i="12"/>
  <c r="AJ200" i="12"/>
  <c r="AJ201" i="12"/>
  <c r="AJ202" i="12"/>
  <c r="AJ203" i="12"/>
  <c r="AJ204" i="12"/>
  <c r="AJ205" i="12"/>
  <c r="AJ206" i="12"/>
  <c r="AJ207" i="12"/>
  <c r="AJ208" i="12"/>
  <c r="AJ209" i="12"/>
  <c r="AJ210" i="12"/>
  <c r="AJ211" i="12"/>
  <c r="AJ212" i="12"/>
  <c r="AJ213" i="12"/>
  <c r="AJ214" i="12"/>
  <c r="AJ215" i="12"/>
  <c r="AJ216" i="12"/>
  <c r="AJ217" i="12"/>
  <c r="AJ218" i="12"/>
  <c r="AJ219" i="12"/>
  <c r="AJ220" i="12"/>
  <c r="AJ221" i="12"/>
  <c r="AJ222" i="12"/>
  <c r="AJ223" i="12"/>
  <c r="AJ224" i="12"/>
  <c r="AJ225" i="12"/>
  <c r="AJ226" i="12"/>
  <c r="AJ227" i="12"/>
  <c r="AJ228" i="12"/>
  <c r="AJ229" i="12"/>
  <c r="AJ230" i="12"/>
  <c r="AJ231" i="12"/>
  <c r="AJ232" i="12"/>
  <c r="AJ233" i="12"/>
  <c r="AJ234" i="12"/>
  <c r="AJ235" i="12"/>
  <c r="AJ236" i="12"/>
  <c r="AJ237" i="12"/>
  <c r="AJ238" i="12"/>
  <c r="AJ239" i="12"/>
  <c r="AJ240" i="12"/>
  <c r="AJ241" i="12"/>
  <c r="AJ242" i="12"/>
  <c r="AJ243" i="12"/>
  <c r="AJ244" i="12"/>
  <c r="AJ245" i="12"/>
  <c r="AJ246" i="12"/>
  <c r="AJ247" i="12"/>
  <c r="AJ248" i="12"/>
  <c r="AJ249" i="12"/>
  <c r="AJ250" i="12"/>
  <c r="AJ251" i="12"/>
  <c r="AJ252" i="12"/>
  <c r="AJ253" i="12"/>
  <c r="AJ254" i="12"/>
  <c r="AJ255" i="12"/>
  <c r="AJ256" i="12"/>
  <c r="AJ257" i="12"/>
  <c r="AJ258" i="12"/>
  <c r="AJ259" i="12"/>
  <c r="AJ260" i="12"/>
  <c r="AJ261" i="12"/>
  <c r="AJ262" i="12"/>
  <c r="AJ263" i="12"/>
  <c r="AJ264" i="12"/>
  <c r="AJ265" i="12"/>
  <c r="AJ266" i="12"/>
  <c r="AJ267" i="12"/>
  <c r="AJ268" i="12"/>
  <c r="AJ269" i="12"/>
  <c r="AJ270" i="12"/>
  <c r="AJ271" i="12"/>
  <c r="AJ272" i="12"/>
  <c r="AJ273" i="12"/>
  <c r="AJ274" i="12"/>
  <c r="AJ275" i="12"/>
  <c r="AJ276" i="12"/>
  <c r="AJ277" i="12"/>
  <c r="AJ278" i="12"/>
  <c r="AJ279" i="12"/>
  <c r="AJ280" i="12"/>
  <c r="AJ281" i="12"/>
  <c r="AJ282" i="12"/>
  <c r="AJ283" i="12"/>
  <c r="AJ284" i="12"/>
  <c r="AJ285" i="12"/>
  <c r="AJ286" i="12"/>
  <c r="AJ287" i="12"/>
  <c r="AJ288" i="12"/>
  <c r="AJ289" i="12"/>
  <c r="AJ290" i="12"/>
  <c r="AJ291" i="12"/>
  <c r="AJ292" i="12"/>
  <c r="AJ293" i="12"/>
  <c r="AJ294" i="12"/>
  <c r="AJ295" i="12"/>
  <c r="AJ296" i="12"/>
  <c r="AJ297" i="12"/>
  <c r="AJ298" i="12"/>
  <c r="AJ299" i="12"/>
  <c r="AJ300" i="12"/>
  <c r="AJ301" i="12"/>
  <c r="AJ302" i="12"/>
  <c r="AJ303" i="12"/>
  <c r="AJ304" i="12"/>
  <c r="AJ305" i="12"/>
  <c r="AJ306" i="12"/>
  <c r="AJ307" i="12"/>
  <c r="AJ308" i="12"/>
  <c r="AJ309" i="12"/>
  <c r="AJ310" i="12"/>
  <c r="AJ311" i="12"/>
  <c r="AJ312" i="12"/>
  <c r="AJ313" i="12"/>
  <c r="AJ314" i="12"/>
  <c r="AJ315" i="12"/>
  <c r="AJ316" i="12"/>
  <c r="AJ317" i="12"/>
  <c r="AJ318" i="12"/>
  <c r="AJ319" i="12"/>
  <c r="AJ320" i="12"/>
  <c r="AJ321" i="12"/>
  <c r="AJ322" i="12"/>
  <c r="AJ323" i="12"/>
  <c r="AJ324" i="12"/>
  <c r="AJ325" i="12"/>
  <c r="AJ326" i="12"/>
  <c r="AJ327" i="12"/>
  <c r="AJ328" i="12"/>
  <c r="AJ329" i="12"/>
  <c r="AJ330" i="12"/>
  <c r="AJ331" i="12"/>
  <c r="AJ332" i="12"/>
  <c r="AJ333" i="12"/>
  <c r="AJ334" i="12"/>
  <c r="AJ335" i="12"/>
  <c r="AJ336" i="12"/>
  <c r="AJ337" i="12"/>
  <c r="AJ338" i="12"/>
  <c r="AJ339" i="12"/>
  <c r="AJ340" i="12"/>
  <c r="AJ341" i="12"/>
  <c r="AJ342" i="12"/>
  <c r="AJ343" i="12"/>
  <c r="AJ344" i="12"/>
  <c r="AJ345" i="12"/>
  <c r="AJ346" i="12"/>
  <c r="AJ347" i="12"/>
  <c r="AJ348" i="12"/>
  <c r="AJ349" i="12"/>
  <c r="AJ350" i="12"/>
  <c r="AJ351" i="12"/>
  <c r="AJ352" i="12"/>
  <c r="AJ353" i="12"/>
  <c r="AJ354" i="12"/>
  <c r="AJ355" i="12"/>
  <c r="AJ356" i="12"/>
  <c r="AJ357" i="12"/>
  <c r="AJ358" i="12"/>
  <c r="AJ359" i="12"/>
  <c r="AJ360" i="12"/>
  <c r="AJ361" i="12"/>
  <c r="AJ362" i="12"/>
  <c r="AJ363" i="12"/>
  <c r="AJ364" i="12"/>
  <c r="AJ365" i="12"/>
  <c r="AJ366" i="12"/>
  <c r="AJ367" i="12"/>
  <c r="AJ368" i="12"/>
  <c r="AJ369" i="12"/>
  <c r="AJ370" i="12"/>
  <c r="AJ371" i="12"/>
  <c r="AJ372" i="12"/>
  <c r="AJ373" i="12"/>
  <c r="AJ374" i="12"/>
  <c r="AJ375" i="12"/>
  <c r="AJ376" i="12"/>
  <c r="AJ377" i="12"/>
  <c r="AJ378" i="12"/>
  <c r="AJ379" i="12"/>
  <c r="AJ380" i="12"/>
  <c r="AJ381" i="12"/>
  <c r="AJ382" i="12"/>
  <c r="AJ383" i="12"/>
  <c r="AJ384" i="12"/>
  <c r="AJ385" i="12"/>
  <c r="AJ386" i="12"/>
  <c r="AJ387" i="12"/>
  <c r="AJ388" i="12"/>
  <c r="AJ389" i="12"/>
  <c r="AJ390" i="12"/>
  <c r="AJ391" i="12"/>
  <c r="AJ392" i="12"/>
  <c r="AJ393" i="12"/>
  <c r="AJ394" i="12"/>
  <c r="AJ395" i="12"/>
  <c r="AJ396" i="12"/>
  <c r="AJ397" i="12"/>
  <c r="AJ398" i="12"/>
  <c r="AJ399" i="12"/>
  <c r="AJ400" i="12"/>
  <c r="AJ401" i="12"/>
  <c r="AJ402" i="12"/>
  <c r="AJ403" i="12"/>
  <c r="AJ404" i="12"/>
  <c r="AJ405" i="12"/>
  <c r="AJ406" i="12"/>
  <c r="AJ407" i="12"/>
  <c r="AJ408" i="12"/>
  <c r="AJ409" i="12"/>
  <c r="AJ410" i="12"/>
  <c r="AJ411" i="12"/>
  <c r="AJ412" i="12"/>
  <c r="AJ413" i="12"/>
  <c r="AJ414" i="12"/>
  <c r="AJ415" i="12"/>
  <c r="AJ416" i="12"/>
  <c r="AJ417" i="12"/>
  <c r="AJ418" i="12"/>
  <c r="AJ419" i="12"/>
  <c r="AJ420" i="12"/>
  <c r="AJ421" i="12"/>
  <c r="AJ422" i="12"/>
  <c r="AJ423" i="12"/>
  <c r="AJ424" i="12"/>
  <c r="AJ425" i="12"/>
  <c r="AJ426" i="12"/>
  <c r="AJ427" i="12"/>
  <c r="AJ428" i="12"/>
  <c r="AJ429" i="12"/>
  <c r="AJ430" i="12"/>
  <c r="AJ431" i="12"/>
  <c r="AJ432" i="12"/>
  <c r="AJ433" i="12"/>
  <c r="AJ434" i="12"/>
  <c r="AJ435" i="12"/>
  <c r="AJ436" i="12"/>
  <c r="AJ437" i="12"/>
  <c r="AJ438" i="12"/>
  <c r="AJ439" i="12"/>
  <c r="AJ440" i="12"/>
  <c r="AJ441" i="12"/>
  <c r="AJ442" i="12"/>
  <c r="AJ443" i="12"/>
  <c r="AJ444" i="12"/>
  <c r="AJ445" i="12"/>
  <c r="AJ446" i="12"/>
  <c r="AJ447" i="12"/>
  <c r="AJ448" i="12"/>
  <c r="AJ449" i="12"/>
  <c r="AJ450" i="12"/>
  <c r="AJ451" i="12"/>
  <c r="AJ452" i="12"/>
  <c r="AJ453" i="12"/>
  <c r="AJ454" i="12"/>
  <c r="AJ455" i="12"/>
  <c r="AJ456" i="12"/>
  <c r="AJ457" i="12"/>
  <c r="AJ458" i="12"/>
  <c r="AJ459" i="12"/>
  <c r="AJ460" i="12"/>
  <c r="AJ461" i="12"/>
  <c r="AJ462" i="12"/>
  <c r="AJ463" i="12"/>
  <c r="AJ464" i="12"/>
  <c r="AJ465" i="12"/>
  <c r="AJ466" i="12"/>
  <c r="AJ467" i="12"/>
  <c r="AJ468" i="12"/>
  <c r="AJ469" i="12"/>
  <c r="AJ470" i="12"/>
  <c r="AJ471" i="12"/>
  <c r="AJ472" i="12"/>
  <c r="AJ473" i="12"/>
  <c r="AJ474" i="12"/>
  <c r="AJ475" i="12"/>
  <c r="AJ476" i="12"/>
  <c r="AJ477" i="12"/>
  <c r="AJ478" i="12"/>
  <c r="AJ479" i="12"/>
  <c r="AJ480" i="12"/>
  <c r="AJ481" i="12"/>
  <c r="AJ482" i="12"/>
  <c r="AJ483" i="12"/>
  <c r="AJ484" i="12"/>
  <c r="AJ485" i="12"/>
  <c r="AJ486" i="12"/>
  <c r="AJ487" i="12"/>
  <c r="AJ488" i="12"/>
  <c r="AJ489" i="12"/>
  <c r="AJ490" i="12"/>
  <c r="AJ491" i="12"/>
  <c r="AJ492" i="12"/>
  <c r="AJ493" i="12"/>
  <c r="AJ494" i="12"/>
  <c r="AJ495" i="12"/>
  <c r="AJ496" i="12"/>
  <c r="AJ497" i="12"/>
  <c r="AJ498" i="12"/>
  <c r="AJ499" i="12"/>
  <c r="AJ500" i="12"/>
  <c r="AJ501" i="12"/>
  <c r="AJ502" i="12"/>
  <c r="AJ503" i="12"/>
  <c r="AJ504" i="12"/>
  <c r="AJ505" i="12"/>
  <c r="AJ506" i="12"/>
  <c r="AJ507" i="12"/>
  <c r="AJ508" i="12"/>
  <c r="AJ509" i="12"/>
  <c r="AJ510" i="12"/>
  <c r="AJ511" i="12"/>
  <c r="AJ512" i="12"/>
  <c r="AJ513" i="12"/>
  <c r="AJ514" i="12"/>
  <c r="AJ515" i="12"/>
  <c r="AJ516" i="12"/>
  <c r="AJ517" i="12"/>
  <c r="AJ518" i="12"/>
  <c r="AJ519" i="12"/>
  <c r="AJ520" i="12"/>
  <c r="AJ521" i="12"/>
  <c r="AJ522" i="12"/>
  <c r="AJ523" i="12"/>
  <c r="AJ524" i="12"/>
  <c r="AJ525" i="12"/>
  <c r="AJ526" i="12"/>
  <c r="AJ527" i="12"/>
  <c r="AJ528" i="12"/>
  <c r="AJ529" i="12"/>
  <c r="AJ530" i="12"/>
  <c r="AJ531" i="12"/>
  <c r="AJ532" i="12"/>
  <c r="AJ533" i="12"/>
  <c r="AJ534" i="12"/>
  <c r="AJ535" i="12"/>
  <c r="AJ536" i="12"/>
  <c r="AJ537" i="12"/>
  <c r="AJ538" i="12"/>
  <c r="AJ539" i="12"/>
  <c r="AJ540" i="12"/>
  <c r="AJ541" i="12"/>
  <c r="AJ542" i="12"/>
  <c r="AJ543" i="12"/>
  <c r="AJ544" i="12"/>
  <c r="AJ545" i="12"/>
  <c r="AJ546" i="12"/>
  <c r="AJ547" i="12"/>
  <c r="AJ548" i="12"/>
  <c r="AJ549" i="12"/>
  <c r="AJ550" i="12"/>
  <c r="AJ551" i="12"/>
  <c r="AJ552" i="12"/>
  <c r="AJ553" i="12"/>
  <c r="AJ554" i="12"/>
  <c r="AJ555" i="12"/>
  <c r="AJ556" i="12"/>
  <c r="AJ557" i="12"/>
  <c r="AJ558" i="12"/>
  <c r="AJ559" i="12"/>
  <c r="AJ560" i="12"/>
  <c r="AJ561" i="12"/>
  <c r="AJ562" i="12"/>
  <c r="AJ563" i="12"/>
  <c r="AJ564" i="12"/>
  <c r="AJ565" i="12"/>
  <c r="AJ566" i="12"/>
  <c r="AJ567" i="12"/>
  <c r="AJ568" i="12"/>
  <c r="AJ569" i="12"/>
  <c r="AJ570" i="12"/>
  <c r="AJ571" i="12"/>
  <c r="AJ572" i="12"/>
  <c r="AJ573" i="12"/>
  <c r="AJ574" i="12"/>
  <c r="AJ575" i="12"/>
  <c r="AJ576" i="12"/>
  <c r="AJ577" i="12"/>
  <c r="AJ578" i="12"/>
  <c r="AJ579" i="12"/>
  <c r="AJ580" i="12"/>
  <c r="AJ581" i="12"/>
  <c r="AJ582" i="12"/>
  <c r="AJ583" i="12"/>
  <c r="AJ584" i="12"/>
  <c r="AJ585" i="12"/>
  <c r="AJ586" i="12"/>
  <c r="AJ587" i="12"/>
  <c r="AJ588" i="12"/>
  <c r="AJ589" i="12"/>
  <c r="AJ590" i="12"/>
  <c r="AJ591" i="12"/>
  <c r="AJ592" i="12"/>
  <c r="AJ593" i="12"/>
  <c r="AJ594" i="12"/>
  <c r="AJ595" i="12"/>
  <c r="AJ596" i="12"/>
  <c r="AJ597" i="12"/>
  <c r="AJ598" i="12"/>
  <c r="AJ599" i="12"/>
  <c r="AJ600" i="12"/>
  <c r="AJ601" i="12"/>
  <c r="AJ602" i="12"/>
  <c r="AJ603" i="12"/>
  <c r="AJ604" i="12"/>
  <c r="AJ605" i="12"/>
  <c r="AJ606" i="12"/>
  <c r="AJ607" i="12"/>
  <c r="AJ608" i="12"/>
  <c r="AJ609" i="12"/>
  <c r="AJ610" i="12"/>
  <c r="AJ611" i="12"/>
  <c r="AJ612" i="12"/>
  <c r="AJ613" i="12"/>
  <c r="AJ614" i="12"/>
  <c r="AJ615" i="12"/>
  <c r="AJ616" i="12"/>
  <c r="AJ617" i="12"/>
  <c r="AJ618" i="12"/>
  <c r="AJ619" i="12"/>
  <c r="AJ620" i="12"/>
  <c r="AJ621" i="12"/>
  <c r="AJ622" i="12"/>
  <c r="AJ623" i="12"/>
  <c r="AJ624" i="12"/>
  <c r="AJ625" i="12"/>
  <c r="AJ626" i="12"/>
  <c r="AJ627" i="12"/>
  <c r="AJ628" i="12"/>
  <c r="AJ629" i="12"/>
  <c r="AJ630" i="12"/>
  <c r="AJ631" i="12"/>
  <c r="AJ632" i="12"/>
  <c r="AJ633" i="12"/>
  <c r="AJ634" i="12"/>
  <c r="AJ635" i="12"/>
  <c r="AJ636" i="12"/>
  <c r="AJ637" i="12"/>
  <c r="AJ638" i="12"/>
  <c r="AJ639" i="12"/>
  <c r="AJ640" i="12"/>
  <c r="AJ641" i="12"/>
  <c r="AJ642" i="12"/>
  <c r="AJ643" i="12"/>
  <c r="AJ644" i="12"/>
  <c r="AJ645" i="12"/>
  <c r="AJ646" i="12"/>
  <c r="AJ647" i="12"/>
  <c r="AJ648" i="12"/>
  <c r="AJ649" i="12"/>
  <c r="AJ650" i="12"/>
  <c r="AJ651" i="12"/>
  <c r="AJ652" i="12"/>
  <c r="AJ653" i="12"/>
  <c r="AJ654" i="12"/>
  <c r="AJ655" i="12"/>
  <c r="AJ656" i="12"/>
  <c r="AJ657" i="12"/>
  <c r="AJ658" i="12"/>
  <c r="AJ659" i="12"/>
  <c r="AJ660" i="12"/>
  <c r="AJ661" i="12"/>
  <c r="AJ662" i="12"/>
  <c r="AJ663" i="12"/>
  <c r="AJ664" i="12"/>
  <c r="AJ665" i="12"/>
  <c r="AJ666" i="12"/>
  <c r="AJ667" i="12"/>
  <c r="AJ668" i="12"/>
  <c r="AJ669" i="12"/>
  <c r="AJ670" i="12"/>
  <c r="AJ671" i="12"/>
  <c r="AJ672" i="12"/>
  <c r="AJ673" i="12"/>
  <c r="AJ674" i="12"/>
  <c r="AJ675" i="12"/>
  <c r="AJ676" i="12"/>
  <c r="AJ677" i="12"/>
  <c r="AJ678" i="12"/>
  <c r="AJ679" i="12"/>
  <c r="AJ680" i="12"/>
  <c r="AJ681" i="12"/>
  <c r="AJ682" i="12"/>
  <c r="AJ683" i="12"/>
  <c r="AJ684" i="12"/>
  <c r="AJ685" i="12"/>
  <c r="AJ686" i="12"/>
  <c r="AJ687" i="12"/>
  <c r="AJ688" i="12"/>
  <c r="AJ689" i="12"/>
  <c r="AJ690" i="12"/>
  <c r="AJ691" i="12"/>
  <c r="AJ692" i="12"/>
  <c r="AJ693" i="12"/>
  <c r="AJ694" i="12"/>
  <c r="AJ695" i="12"/>
  <c r="AJ696" i="12"/>
  <c r="AJ697" i="12"/>
  <c r="AJ698" i="12"/>
  <c r="AJ699" i="12"/>
  <c r="AJ700" i="12"/>
  <c r="AJ701" i="12"/>
  <c r="AJ702" i="12"/>
  <c r="AJ703" i="12"/>
  <c r="AJ704" i="12"/>
  <c r="AJ705" i="12"/>
  <c r="AJ706" i="12"/>
  <c r="AJ707" i="12"/>
  <c r="AJ708" i="12"/>
  <c r="AJ709" i="12"/>
  <c r="AJ710" i="12"/>
  <c r="AJ711" i="12"/>
  <c r="AJ712" i="12"/>
  <c r="AJ713" i="12"/>
  <c r="AJ714" i="12"/>
  <c r="AJ715" i="12"/>
  <c r="AJ716" i="12"/>
  <c r="AJ717" i="12"/>
  <c r="AJ718" i="12"/>
  <c r="AJ719" i="12"/>
  <c r="AJ720" i="12"/>
  <c r="AJ721" i="12"/>
  <c r="AJ722" i="12"/>
  <c r="AJ723" i="12"/>
  <c r="AJ724" i="12"/>
  <c r="AJ725" i="12"/>
  <c r="AJ726" i="12"/>
  <c r="AJ727" i="12"/>
  <c r="AJ728" i="12"/>
  <c r="AJ729" i="12"/>
  <c r="AJ730" i="12"/>
  <c r="AJ731" i="12"/>
  <c r="AJ732" i="12"/>
  <c r="AJ733" i="12"/>
  <c r="AJ734" i="12"/>
  <c r="AJ735" i="12"/>
  <c r="AJ736" i="12"/>
  <c r="AJ737" i="12"/>
  <c r="AJ738" i="12"/>
  <c r="AJ739" i="12"/>
  <c r="AJ740" i="12"/>
  <c r="AJ741" i="12"/>
  <c r="AJ742" i="12"/>
  <c r="AJ743" i="12"/>
  <c r="AJ744" i="12"/>
  <c r="AJ745" i="12"/>
  <c r="AJ746" i="12"/>
  <c r="AJ747" i="12"/>
  <c r="AJ748" i="12"/>
  <c r="AJ749" i="12"/>
  <c r="AJ750" i="12"/>
  <c r="AJ751" i="12"/>
  <c r="AJ752" i="12"/>
  <c r="AJ753" i="12"/>
  <c r="AJ754" i="12"/>
  <c r="AJ755" i="12"/>
  <c r="AJ756" i="12"/>
  <c r="AJ757" i="12"/>
  <c r="AJ758" i="12"/>
  <c r="AJ759" i="12"/>
  <c r="AJ760" i="12"/>
  <c r="AJ761" i="12"/>
  <c r="AJ762" i="12"/>
  <c r="AJ763" i="12"/>
  <c r="AJ764" i="12"/>
  <c r="AJ765" i="12"/>
  <c r="AJ766" i="12"/>
  <c r="AJ767" i="12"/>
  <c r="AJ768" i="12"/>
  <c r="AJ769" i="12"/>
  <c r="AJ770" i="12"/>
  <c r="AJ771" i="12"/>
  <c r="AJ772" i="12"/>
  <c r="AJ773" i="12"/>
  <c r="AJ774" i="12"/>
  <c r="AJ775" i="12"/>
  <c r="AJ776" i="12"/>
  <c r="AJ777" i="12"/>
  <c r="AJ778" i="12"/>
  <c r="AJ779" i="12"/>
  <c r="AJ780" i="12"/>
  <c r="AJ781" i="12"/>
  <c r="AJ782" i="12"/>
  <c r="AJ783" i="12"/>
  <c r="AJ784" i="12"/>
  <c r="AJ785" i="12"/>
  <c r="AJ786" i="12"/>
  <c r="AJ787" i="12"/>
  <c r="AJ788" i="12"/>
  <c r="AJ789" i="12"/>
  <c r="AJ790" i="12"/>
  <c r="AJ791" i="12"/>
  <c r="AJ792" i="12"/>
  <c r="AJ793" i="12"/>
  <c r="AJ794" i="12"/>
  <c r="AJ795" i="12"/>
  <c r="AJ796" i="12"/>
  <c r="AJ797" i="12"/>
  <c r="AJ798" i="12"/>
  <c r="AJ799" i="12"/>
  <c r="AJ800" i="12"/>
  <c r="AJ801" i="12"/>
  <c r="AJ802" i="12"/>
  <c r="AJ803" i="12"/>
  <c r="AJ804" i="12"/>
  <c r="AJ805" i="12"/>
  <c r="AJ806" i="12"/>
  <c r="AJ807" i="12"/>
  <c r="AJ808" i="12"/>
  <c r="AJ809" i="12"/>
  <c r="AJ810" i="12"/>
  <c r="AJ811" i="12"/>
  <c r="AJ812" i="12"/>
  <c r="AJ813" i="12"/>
  <c r="AJ814" i="12"/>
  <c r="AJ815" i="12"/>
  <c r="AJ816" i="12"/>
  <c r="AJ817" i="12"/>
  <c r="AJ818" i="12"/>
  <c r="AJ819" i="12"/>
  <c r="AJ820" i="12"/>
  <c r="AJ821" i="12"/>
  <c r="AJ822" i="12"/>
  <c r="AJ823" i="12"/>
  <c r="AJ824" i="12"/>
  <c r="AJ825" i="12"/>
  <c r="AJ826" i="12"/>
  <c r="AJ827" i="12"/>
  <c r="AJ828" i="12"/>
  <c r="AJ829" i="12"/>
  <c r="AJ830" i="12"/>
  <c r="AJ831" i="12"/>
  <c r="AJ832" i="12"/>
  <c r="AJ833" i="12"/>
  <c r="AJ834" i="12"/>
  <c r="AJ835" i="12"/>
  <c r="AJ836" i="12"/>
  <c r="AJ837" i="12"/>
  <c r="AJ838" i="12"/>
  <c r="AJ839" i="12"/>
  <c r="AJ840" i="12"/>
  <c r="AJ841" i="12"/>
  <c r="AJ842" i="12"/>
  <c r="AJ843" i="12"/>
  <c r="AJ844" i="12"/>
  <c r="AJ845" i="12"/>
  <c r="AJ846" i="12"/>
  <c r="AJ847" i="12"/>
  <c r="AJ848" i="12"/>
  <c r="AJ849" i="12"/>
  <c r="AJ850" i="12"/>
  <c r="AJ851" i="12"/>
  <c r="AJ852" i="12"/>
  <c r="AJ853" i="12"/>
  <c r="AJ854" i="12"/>
  <c r="AJ855" i="12"/>
  <c r="AJ856" i="12"/>
  <c r="AJ857" i="12"/>
  <c r="AJ858" i="12"/>
  <c r="AJ859" i="12"/>
  <c r="AJ860" i="12"/>
  <c r="AJ861" i="12"/>
  <c r="AJ862" i="12"/>
  <c r="AJ863" i="12"/>
  <c r="AJ864" i="12"/>
  <c r="AJ865" i="12"/>
  <c r="AJ866" i="12"/>
  <c r="AJ867" i="12"/>
  <c r="AJ868" i="12"/>
  <c r="AJ869" i="12"/>
  <c r="AJ870" i="12"/>
  <c r="AJ871" i="12"/>
  <c r="AJ872" i="12"/>
  <c r="AJ873" i="12"/>
  <c r="AJ874" i="12"/>
  <c r="AJ875" i="12"/>
  <c r="AJ876" i="12"/>
  <c r="AJ877" i="12"/>
  <c r="AJ878" i="12"/>
  <c r="AJ879" i="12"/>
  <c r="AJ880" i="12"/>
  <c r="AJ881" i="12"/>
  <c r="AJ882" i="12"/>
  <c r="AJ883" i="12"/>
  <c r="AJ884" i="12"/>
  <c r="AJ885" i="12"/>
  <c r="AJ886" i="12"/>
  <c r="AJ887" i="12"/>
  <c r="AJ888" i="12"/>
  <c r="AJ889" i="12"/>
  <c r="AJ890" i="12"/>
  <c r="AJ891" i="12"/>
  <c r="AJ892" i="12"/>
  <c r="AJ893" i="12"/>
  <c r="AJ894" i="12"/>
  <c r="AJ895" i="12"/>
  <c r="AJ896" i="12"/>
  <c r="AJ897" i="12"/>
  <c r="AJ898" i="12"/>
  <c r="AJ899" i="12"/>
  <c r="AJ900" i="12"/>
  <c r="AJ901" i="12"/>
  <c r="AJ902" i="12"/>
  <c r="AJ903" i="12"/>
  <c r="AJ904" i="12"/>
  <c r="AJ905" i="12"/>
  <c r="AJ906" i="12"/>
  <c r="AJ907" i="12"/>
  <c r="AJ908" i="12"/>
  <c r="AJ909" i="12"/>
  <c r="AJ910" i="12"/>
  <c r="AJ911" i="12"/>
  <c r="AJ912" i="12"/>
  <c r="AJ913" i="12"/>
  <c r="AJ914" i="12"/>
  <c r="AJ915" i="12"/>
  <c r="AJ916" i="12"/>
  <c r="AJ917" i="12"/>
  <c r="AJ918" i="12"/>
  <c r="AJ919" i="12"/>
  <c r="AJ920" i="12"/>
  <c r="AJ921" i="12"/>
  <c r="AJ922" i="12"/>
  <c r="AJ923" i="12"/>
  <c r="AJ924" i="12"/>
  <c r="AJ925" i="12"/>
  <c r="AJ926" i="12"/>
  <c r="AJ927" i="12"/>
  <c r="AJ928" i="12"/>
  <c r="AJ929" i="12"/>
  <c r="AJ930" i="12"/>
  <c r="AJ931" i="12"/>
  <c r="AJ932" i="12"/>
  <c r="AJ933" i="12"/>
  <c r="AJ934" i="12"/>
  <c r="AJ935" i="12"/>
  <c r="AJ936" i="12"/>
  <c r="AJ937" i="12"/>
  <c r="AJ938" i="12"/>
  <c r="AJ939" i="12"/>
  <c r="AJ940" i="12"/>
  <c r="AJ941" i="12"/>
  <c r="AJ942" i="12"/>
  <c r="AJ943" i="12"/>
  <c r="AJ944" i="12"/>
  <c r="AJ945" i="12"/>
  <c r="AJ946" i="12"/>
  <c r="AJ947" i="12"/>
  <c r="AJ948" i="12"/>
  <c r="AJ949" i="12"/>
  <c r="AJ950" i="12"/>
  <c r="AJ951" i="12"/>
  <c r="AJ952" i="12"/>
  <c r="AJ953" i="12"/>
  <c r="AJ954" i="12"/>
  <c r="AJ955" i="12"/>
  <c r="AJ956" i="12"/>
  <c r="AJ957" i="12"/>
  <c r="AJ958" i="12"/>
  <c r="AJ959" i="12"/>
  <c r="AJ960" i="12"/>
  <c r="AJ961" i="12"/>
  <c r="AJ962" i="12"/>
  <c r="AJ963" i="12"/>
  <c r="AJ964" i="12"/>
  <c r="AJ965" i="12"/>
  <c r="AJ966" i="12"/>
  <c r="AJ967" i="12"/>
  <c r="AJ968" i="12"/>
  <c r="AJ969" i="12"/>
  <c r="AJ970" i="12"/>
  <c r="AJ971" i="12"/>
  <c r="AJ972" i="12"/>
  <c r="AJ973" i="12"/>
  <c r="AJ974" i="12"/>
  <c r="AJ975" i="12"/>
  <c r="AJ976" i="12"/>
  <c r="AJ977" i="12"/>
  <c r="AJ978" i="12"/>
  <c r="AJ979" i="12"/>
  <c r="AJ980" i="12"/>
  <c r="AJ981" i="12"/>
  <c r="AJ982" i="12"/>
  <c r="AJ983" i="12"/>
  <c r="AJ984" i="12"/>
  <c r="AJ985" i="12"/>
  <c r="AJ986" i="12"/>
  <c r="AJ987" i="12"/>
  <c r="AJ988" i="12"/>
  <c r="AJ989" i="12"/>
  <c r="AJ990" i="12"/>
  <c r="AJ991" i="12"/>
  <c r="AJ992" i="12"/>
  <c r="AJ993" i="12"/>
  <c r="AJ994" i="12"/>
  <c r="AJ995" i="12"/>
  <c r="AJ996" i="12"/>
  <c r="AJ997" i="12"/>
  <c r="AJ998" i="12"/>
  <c r="AJ999" i="12"/>
  <c r="AJ1000" i="12"/>
  <c r="AJ1001" i="12"/>
  <c r="AJ1002" i="12"/>
  <c r="AJ1003" i="12"/>
  <c r="AJ1004" i="12"/>
  <c r="AJ1005" i="12"/>
  <c r="AJ1006" i="12"/>
  <c r="AJ1007" i="12"/>
  <c r="AJ1008" i="12"/>
  <c r="AJ1009" i="12"/>
  <c r="AJ1010" i="12"/>
  <c r="AJ1011" i="12"/>
  <c r="AJ1012" i="12"/>
  <c r="AJ1013" i="12"/>
  <c r="AJ1014" i="12"/>
  <c r="AJ1015" i="12"/>
  <c r="AJ1016" i="12"/>
  <c r="AJ1017" i="12"/>
  <c r="AJ1018" i="12"/>
  <c r="AJ1019" i="12"/>
  <c r="AJ1020" i="12"/>
  <c r="AJ1021" i="12"/>
  <c r="AJ1022" i="12"/>
  <c r="AJ1023" i="12"/>
  <c r="AJ1024" i="12"/>
  <c r="AJ1025" i="12"/>
  <c r="AJ1026" i="12"/>
  <c r="AJ1027" i="12"/>
  <c r="AJ1028" i="12"/>
  <c r="AJ1029" i="12"/>
  <c r="AJ1030" i="12"/>
  <c r="AJ1031" i="12"/>
  <c r="AJ1032" i="12"/>
  <c r="AJ1033" i="12"/>
  <c r="AJ1034" i="12"/>
  <c r="AJ1035" i="12"/>
  <c r="AJ1036" i="12"/>
  <c r="AJ1037" i="12"/>
  <c r="AJ1038" i="12"/>
  <c r="AJ1039" i="12"/>
  <c r="AJ1040" i="12"/>
  <c r="AJ1041" i="12"/>
  <c r="AJ1042" i="12"/>
  <c r="AJ1043" i="12"/>
  <c r="AJ1044" i="12"/>
  <c r="AJ1045" i="12"/>
  <c r="AJ1046" i="12"/>
  <c r="AJ1047" i="12"/>
  <c r="AJ1048" i="12"/>
  <c r="AJ1049" i="12"/>
  <c r="AJ1050" i="12"/>
  <c r="AJ1051" i="12"/>
  <c r="AJ1052" i="12"/>
  <c r="AJ1053" i="12"/>
  <c r="AJ1054" i="12"/>
  <c r="AJ1055" i="12"/>
  <c r="AJ1056" i="12"/>
  <c r="AJ1057" i="12"/>
  <c r="AJ1058" i="12"/>
  <c r="AJ1059" i="12"/>
  <c r="AJ1060" i="12"/>
  <c r="AJ1061" i="12"/>
  <c r="AJ1062" i="12"/>
  <c r="AJ1063" i="12"/>
  <c r="AJ1064" i="12"/>
  <c r="AJ1065" i="12"/>
  <c r="AJ1066" i="12"/>
  <c r="AJ1067" i="12"/>
  <c r="AJ1068" i="12"/>
  <c r="AJ1069" i="12"/>
  <c r="AJ1070" i="12"/>
  <c r="AJ1071" i="12"/>
  <c r="AJ1072" i="12"/>
  <c r="AJ1073" i="12"/>
  <c r="AJ1074" i="12"/>
  <c r="AJ1075" i="12"/>
  <c r="AJ1076" i="12"/>
  <c r="AJ1077" i="12"/>
  <c r="AJ1078" i="12"/>
  <c r="AJ1079" i="12"/>
  <c r="AJ1080" i="12"/>
  <c r="AJ1081" i="12"/>
  <c r="AJ1082" i="12"/>
  <c r="AJ1083" i="12"/>
  <c r="AJ1084" i="12"/>
  <c r="AJ1085" i="12"/>
  <c r="AJ1086" i="12"/>
  <c r="AJ1087" i="12"/>
  <c r="AJ1088" i="12"/>
  <c r="AJ1089" i="12"/>
  <c r="AJ1090" i="12"/>
  <c r="AJ1091" i="12"/>
  <c r="AJ1092" i="12"/>
  <c r="AJ1093" i="12"/>
  <c r="AJ1094" i="12"/>
  <c r="AJ1095" i="12"/>
  <c r="AJ1096" i="12"/>
  <c r="AJ1097" i="12"/>
  <c r="AJ1098" i="12"/>
  <c r="AJ1099" i="12"/>
  <c r="AJ1100" i="12"/>
  <c r="AJ1101" i="12"/>
  <c r="AJ1102" i="12"/>
  <c r="AJ1103" i="12"/>
  <c r="AJ1104" i="12"/>
  <c r="AJ1105" i="12"/>
  <c r="AJ1106" i="12"/>
  <c r="AJ1107" i="12"/>
  <c r="AJ1108" i="12"/>
  <c r="AJ1109" i="12"/>
  <c r="AJ1110" i="12"/>
  <c r="AJ1111" i="12"/>
  <c r="AJ1112" i="12"/>
  <c r="AJ1113" i="12"/>
  <c r="AJ1114" i="12"/>
  <c r="AJ1115" i="12"/>
  <c r="AJ1116" i="12"/>
  <c r="AJ1117" i="12"/>
  <c r="AJ1118" i="12"/>
  <c r="AJ1119" i="12"/>
  <c r="AJ1120" i="12"/>
  <c r="AJ1121" i="12"/>
  <c r="AJ1122" i="12"/>
  <c r="AJ1123" i="12"/>
  <c r="AJ1124" i="12"/>
  <c r="AJ1125" i="12"/>
  <c r="AJ1126" i="12"/>
  <c r="AJ1127" i="12"/>
  <c r="AJ1128" i="12"/>
  <c r="AJ1129" i="12"/>
  <c r="AJ1130" i="12"/>
  <c r="AJ1131" i="12"/>
  <c r="AJ1132" i="12"/>
  <c r="AJ1133" i="12"/>
  <c r="AJ1134" i="12"/>
  <c r="AJ1135" i="12"/>
  <c r="AJ1136" i="12"/>
  <c r="AJ1137" i="12"/>
  <c r="AJ1138" i="12"/>
  <c r="AJ1139" i="12"/>
  <c r="AJ1140" i="12"/>
  <c r="AJ1141" i="12"/>
  <c r="AJ1142" i="12"/>
  <c r="AJ1143" i="12"/>
  <c r="AJ1144" i="12"/>
  <c r="AJ1145" i="12"/>
  <c r="AJ1146" i="12"/>
  <c r="AJ1147" i="12"/>
  <c r="AJ1148" i="12"/>
  <c r="AJ1149" i="12"/>
  <c r="AJ1150" i="12"/>
  <c r="AJ1151" i="12"/>
  <c r="AJ1152" i="12"/>
  <c r="AJ1153" i="12"/>
  <c r="AJ1154" i="12"/>
  <c r="AJ1155" i="12"/>
  <c r="AJ1156" i="12"/>
  <c r="AJ1157" i="12"/>
  <c r="AJ1158" i="12"/>
  <c r="AJ1159" i="12"/>
  <c r="AJ1160" i="12"/>
  <c r="AJ1161" i="12"/>
  <c r="AJ1162" i="12"/>
  <c r="AJ1163" i="12"/>
  <c r="AJ1164" i="12"/>
  <c r="AJ1165" i="12"/>
  <c r="AJ1166" i="12"/>
  <c r="AJ1167" i="12"/>
  <c r="AJ1168" i="12"/>
  <c r="AJ1169" i="12"/>
  <c r="AJ1170" i="12"/>
  <c r="AJ1171" i="12"/>
  <c r="AJ1172" i="12"/>
  <c r="AJ1173" i="12"/>
  <c r="AJ1174" i="12"/>
  <c r="AJ1175" i="12"/>
  <c r="AJ1176" i="12"/>
  <c r="AJ1177" i="12"/>
  <c r="AJ1178" i="12"/>
  <c r="AJ1179" i="12"/>
  <c r="AJ1180" i="12"/>
  <c r="AJ1181" i="12"/>
  <c r="AJ1182" i="12"/>
  <c r="AJ1183" i="12"/>
  <c r="AJ1184" i="12"/>
  <c r="AJ1185" i="12"/>
  <c r="AJ1186" i="12"/>
  <c r="AJ1187" i="12"/>
  <c r="AJ1188" i="12"/>
  <c r="AJ1189" i="12"/>
  <c r="AJ1190" i="12"/>
  <c r="AJ1191" i="12"/>
  <c r="AJ1192" i="12"/>
  <c r="AJ1193" i="12"/>
  <c r="AJ1194" i="12"/>
  <c r="AJ1195" i="12"/>
  <c r="AJ1196" i="12"/>
  <c r="AJ1197" i="12"/>
  <c r="AJ1198" i="12"/>
  <c r="AJ1199" i="12"/>
  <c r="AJ1200" i="12"/>
  <c r="AJ1201" i="12"/>
  <c r="AJ1202" i="12"/>
  <c r="AJ1203" i="12"/>
  <c r="AJ1204" i="12"/>
  <c r="AJ1205" i="12"/>
  <c r="AJ1206" i="12"/>
  <c r="AJ1207" i="12"/>
  <c r="AJ1208" i="12"/>
  <c r="AJ1209" i="12"/>
  <c r="AJ1210" i="12"/>
  <c r="AJ1211" i="12"/>
  <c r="AJ1212" i="12"/>
  <c r="AJ1213" i="12"/>
  <c r="AJ1214" i="12"/>
  <c r="AJ1215" i="12"/>
  <c r="AJ1216" i="12"/>
  <c r="AJ1217" i="12"/>
  <c r="AJ1218" i="12"/>
  <c r="AJ1219" i="12"/>
  <c r="AJ1220" i="12"/>
  <c r="AJ1221" i="12"/>
  <c r="AJ1222" i="12"/>
  <c r="AJ1223" i="12"/>
  <c r="AJ1224" i="12"/>
  <c r="AJ1225" i="12"/>
  <c r="AJ1226" i="12"/>
  <c r="AJ1227" i="12"/>
  <c r="AJ1228" i="12"/>
  <c r="AJ1229" i="12"/>
  <c r="AJ1230" i="12"/>
  <c r="AJ1231" i="12"/>
  <c r="AJ1232" i="12"/>
  <c r="AJ1233" i="12"/>
  <c r="AJ1234" i="12"/>
  <c r="AJ1235" i="12"/>
  <c r="AJ1236" i="12"/>
  <c r="AJ1237" i="12"/>
  <c r="AJ1238" i="12"/>
  <c r="AJ1239" i="12"/>
  <c r="AJ1240" i="12"/>
  <c r="AJ1241" i="12"/>
  <c r="AJ1242" i="12"/>
  <c r="AJ1243" i="12"/>
  <c r="AJ1244" i="12"/>
  <c r="AJ1245" i="12"/>
  <c r="AJ1246" i="12"/>
  <c r="AJ1247" i="12"/>
  <c r="AJ1248" i="12"/>
  <c r="AJ1249" i="12"/>
  <c r="AJ1250" i="12"/>
  <c r="AJ1251" i="12"/>
  <c r="AJ1252" i="12"/>
  <c r="AJ1253" i="12"/>
  <c r="AJ1254" i="12"/>
  <c r="AJ1255" i="12"/>
  <c r="AJ1256" i="12"/>
  <c r="AJ1257" i="12"/>
  <c r="AJ1258" i="12"/>
  <c r="AJ1259" i="12"/>
  <c r="AJ1260" i="12"/>
  <c r="AJ1261" i="12"/>
  <c r="AJ1262" i="12"/>
  <c r="AJ1263" i="12"/>
  <c r="AJ1264" i="12"/>
  <c r="AJ1265" i="12"/>
  <c r="AJ1266" i="12"/>
  <c r="AJ1267" i="12"/>
  <c r="AJ1268" i="12"/>
  <c r="AJ1269" i="12"/>
  <c r="AJ1270" i="12"/>
  <c r="AJ1271" i="12"/>
  <c r="AJ1272" i="12"/>
  <c r="AJ1273" i="12"/>
  <c r="AJ1274" i="12"/>
  <c r="AJ1275" i="12"/>
  <c r="AJ1276" i="12"/>
  <c r="AJ1277" i="12"/>
  <c r="AJ1278" i="12"/>
  <c r="AJ1279" i="12"/>
  <c r="AJ1280" i="12"/>
  <c r="AJ1281" i="12"/>
  <c r="AJ1282" i="12"/>
  <c r="AJ1283" i="12"/>
  <c r="AJ1284" i="12"/>
  <c r="AJ1285" i="12"/>
  <c r="AJ1286" i="12"/>
  <c r="AJ1287" i="12"/>
  <c r="AJ1288" i="12"/>
  <c r="AJ1289" i="12"/>
  <c r="AJ1290" i="12"/>
  <c r="AJ1291" i="12"/>
  <c r="AJ1292" i="12"/>
  <c r="AJ1293" i="12"/>
  <c r="AJ1294" i="12"/>
  <c r="AJ1295" i="12"/>
  <c r="AJ1296" i="12"/>
  <c r="AJ1297" i="12"/>
  <c r="AJ1298" i="12"/>
  <c r="AJ1299" i="12"/>
  <c r="AJ1300" i="12"/>
  <c r="AJ1301" i="12"/>
  <c r="AJ1302" i="12"/>
  <c r="AJ1303" i="12"/>
  <c r="AJ1304" i="12"/>
  <c r="AJ1305" i="12"/>
  <c r="AJ1306" i="12"/>
  <c r="AJ1307" i="12"/>
  <c r="AJ1308" i="12"/>
  <c r="AJ1309" i="12"/>
  <c r="AJ1310" i="12"/>
  <c r="AJ1311" i="12"/>
  <c r="AJ1312" i="12"/>
  <c r="AJ1313" i="12"/>
  <c r="AJ1314" i="12"/>
  <c r="AJ1315" i="12"/>
  <c r="AJ1316" i="12"/>
  <c r="AJ1317" i="12"/>
  <c r="AJ1318" i="12"/>
  <c r="AJ1319" i="12"/>
  <c r="AJ1320" i="12"/>
  <c r="AJ1321" i="12"/>
  <c r="AJ1322" i="12"/>
  <c r="AJ1323" i="12"/>
  <c r="AJ1324" i="12"/>
  <c r="AJ1325" i="12"/>
  <c r="AJ1326" i="12"/>
  <c r="AJ1327" i="12"/>
  <c r="AJ1328" i="12"/>
  <c r="AJ1329" i="12"/>
  <c r="AJ1330" i="12"/>
  <c r="AJ1331" i="12"/>
  <c r="AJ1332" i="12"/>
  <c r="AJ1333" i="12"/>
  <c r="AJ1334" i="12"/>
  <c r="AJ1335" i="12"/>
  <c r="AJ1336" i="12"/>
  <c r="AJ1337" i="12"/>
  <c r="AJ1338" i="12"/>
  <c r="AJ1339" i="12"/>
  <c r="AJ1340" i="12"/>
  <c r="AJ1341" i="12"/>
  <c r="AJ1342" i="12"/>
  <c r="AJ1343" i="12"/>
  <c r="AJ1344" i="12"/>
  <c r="AJ1345" i="12"/>
  <c r="AJ1346" i="12"/>
  <c r="AJ1347" i="12"/>
  <c r="AJ1348" i="12"/>
  <c r="AJ1349" i="12"/>
  <c r="AJ1350" i="12"/>
  <c r="AJ1351" i="12"/>
  <c r="AJ1352" i="12"/>
  <c r="AJ1353" i="12"/>
  <c r="AJ1354" i="12"/>
  <c r="AJ1355" i="12"/>
  <c r="AJ1356" i="12"/>
  <c r="AJ1357" i="12"/>
  <c r="AJ1358" i="12"/>
  <c r="AJ1359" i="12"/>
  <c r="AJ1360" i="12"/>
  <c r="AJ1361" i="12"/>
  <c r="AJ1362" i="12"/>
  <c r="AJ1363" i="12"/>
  <c r="AJ1364" i="12"/>
  <c r="AJ1365" i="12"/>
  <c r="AJ1366" i="12"/>
  <c r="AJ1367" i="12"/>
  <c r="AJ1368" i="12"/>
  <c r="AJ1369" i="12"/>
  <c r="AJ1370" i="12"/>
  <c r="AJ1371" i="12"/>
  <c r="AJ1372" i="12"/>
  <c r="AJ1373" i="12"/>
  <c r="AJ1374" i="12"/>
  <c r="AJ1375" i="12"/>
  <c r="AJ1376" i="12"/>
  <c r="AJ1377" i="12"/>
  <c r="AJ1378" i="12"/>
  <c r="AJ1379" i="12"/>
  <c r="AJ1380" i="12"/>
  <c r="AJ1381" i="12"/>
  <c r="AJ1382" i="12"/>
  <c r="AJ1383" i="12"/>
  <c r="AJ1384" i="12"/>
  <c r="AJ1385" i="12"/>
  <c r="AJ1386" i="12"/>
  <c r="AJ1387" i="12"/>
  <c r="AJ1388" i="12"/>
  <c r="AJ1389" i="12"/>
  <c r="AJ1390" i="12"/>
  <c r="AJ1391" i="12"/>
  <c r="AJ1392" i="12"/>
  <c r="AJ1393" i="12"/>
  <c r="AJ1394" i="12"/>
  <c r="AJ1395" i="12"/>
  <c r="AJ1396" i="12"/>
  <c r="AJ1397" i="12"/>
  <c r="AJ1398" i="12"/>
  <c r="AJ1399" i="12"/>
  <c r="AJ1400" i="12"/>
  <c r="AJ1401" i="12"/>
  <c r="AJ1402" i="12"/>
  <c r="AJ1403" i="12"/>
  <c r="AJ1404" i="12"/>
  <c r="AJ1405" i="12"/>
  <c r="AJ1406" i="12"/>
  <c r="AJ1407" i="12"/>
  <c r="AJ1408" i="12"/>
  <c r="AJ1409" i="12"/>
  <c r="AJ1410" i="12"/>
  <c r="AJ1411" i="12"/>
  <c r="AJ1412" i="12"/>
  <c r="AJ1413" i="12"/>
  <c r="AJ1414" i="12"/>
  <c r="AJ1415" i="12"/>
  <c r="AJ1416" i="12"/>
  <c r="AJ1417" i="12"/>
  <c r="AJ1418" i="12"/>
  <c r="AJ1419" i="12"/>
  <c r="AJ1420" i="12"/>
  <c r="AJ1421" i="12"/>
  <c r="AJ1422" i="12"/>
  <c r="AJ1423" i="12"/>
  <c r="AJ1424" i="12"/>
  <c r="AJ1425" i="12"/>
  <c r="AJ1426" i="12"/>
  <c r="AJ1427" i="12"/>
  <c r="AJ1428" i="12"/>
  <c r="AJ1429" i="12"/>
  <c r="AJ1430" i="12"/>
  <c r="AJ1431" i="12"/>
  <c r="AJ1432" i="12"/>
  <c r="AJ1433" i="12"/>
  <c r="AJ1434" i="12"/>
  <c r="AJ1435" i="12"/>
  <c r="AJ1436" i="12"/>
  <c r="AJ1437" i="12"/>
  <c r="AJ1438" i="12"/>
  <c r="AJ1439" i="12"/>
  <c r="AJ1440" i="12"/>
  <c r="AJ1441" i="12"/>
  <c r="AJ1442" i="12"/>
  <c r="AJ1443" i="12"/>
  <c r="AJ1444" i="12"/>
  <c r="AJ1445" i="12"/>
  <c r="AJ1446" i="12"/>
  <c r="AJ1447" i="12"/>
  <c r="AJ1448" i="12"/>
  <c r="AJ1449" i="12"/>
  <c r="AJ1450" i="12"/>
  <c r="AJ1451" i="12"/>
  <c r="AJ1452" i="12"/>
  <c r="AJ1453" i="12"/>
  <c r="AJ1454" i="12"/>
  <c r="AJ1455" i="12"/>
  <c r="AJ1456" i="12"/>
  <c r="AJ1457" i="12"/>
  <c r="AJ1458" i="12"/>
  <c r="AJ1459" i="12"/>
  <c r="AJ1460" i="12"/>
  <c r="AJ1461" i="12"/>
  <c r="AJ1462" i="12"/>
  <c r="AJ1463" i="12"/>
  <c r="AJ1464" i="12"/>
  <c r="AJ1465" i="12"/>
  <c r="AJ1466" i="12"/>
  <c r="AJ1467" i="12"/>
  <c r="AJ1468" i="12"/>
  <c r="AJ1469" i="12"/>
  <c r="AJ1470" i="12"/>
  <c r="AJ1471" i="12"/>
  <c r="AJ1472" i="12"/>
  <c r="AJ1473" i="12"/>
  <c r="AJ1474" i="12"/>
  <c r="AJ1475" i="12"/>
  <c r="AJ1476" i="12"/>
  <c r="AJ1477" i="12"/>
  <c r="AJ1478" i="12"/>
  <c r="AJ1479" i="12"/>
  <c r="AJ1480" i="12"/>
  <c r="AJ1481" i="12"/>
  <c r="AJ1482" i="12"/>
  <c r="AJ1483" i="12"/>
  <c r="AJ1484" i="12"/>
  <c r="AJ1485" i="12"/>
  <c r="AJ1486" i="12"/>
  <c r="AJ1487" i="12"/>
  <c r="AJ1488" i="12"/>
  <c r="AJ1489" i="12"/>
  <c r="AJ1490" i="12"/>
  <c r="AJ1491" i="12"/>
  <c r="AJ1492" i="12"/>
  <c r="AJ1493" i="12"/>
  <c r="AJ1494" i="12"/>
  <c r="AJ1495" i="12"/>
  <c r="AJ1496" i="12"/>
  <c r="AJ1497" i="12"/>
  <c r="AJ1498" i="12"/>
  <c r="AJ1499" i="12"/>
  <c r="AJ1500" i="12"/>
  <c r="AJ1501" i="12"/>
  <c r="AJ1502" i="12"/>
  <c r="AJ1503" i="12"/>
  <c r="AJ1504" i="12"/>
  <c r="AJ1505" i="12"/>
  <c r="AJ1506" i="12"/>
  <c r="AJ1507" i="12"/>
  <c r="AJ1508" i="12"/>
  <c r="AJ1509" i="12"/>
  <c r="AJ1510" i="12"/>
  <c r="AJ1511" i="12"/>
  <c r="AJ1512" i="12"/>
  <c r="AJ1513" i="12"/>
  <c r="AJ1514" i="12"/>
  <c r="AJ1515" i="12"/>
  <c r="AJ1516" i="12"/>
  <c r="AJ1517" i="12"/>
  <c r="AJ1518" i="12"/>
  <c r="AJ1519" i="12"/>
  <c r="AJ1520" i="12"/>
  <c r="AJ1521" i="12"/>
  <c r="AJ1522" i="12"/>
  <c r="AJ1523" i="12"/>
  <c r="AJ1524" i="12"/>
  <c r="AJ1525" i="12"/>
  <c r="AJ1526" i="12"/>
  <c r="AJ1527" i="12"/>
  <c r="AJ1528" i="12"/>
  <c r="AJ1529" i="12"/>
  <c r="AJ1530" i="12"/>
  <c r="AJ1531" i="12"/>
  <c r="AJ1532" i="12"/>
  <c r="AJ1533" i="12"/>
  <c r="AJ1534" i="12"/>
  <c r="AJ1535" i="12"/>
  <c r="AJ1536" i="12"/>
  <c r="AJ1537" i="12"/>
  <c r="AJ1538" i="12"/>
  <c r="AJ1539" i="12"/>
  <c r="AJ1540" i="12"/>
  <c r="AJ1541" i="12"/>
  <c r="AJ1542" i="12"/>
  <c r="AJ1543" i="12"/>
  <c r="AJ1544" i="12"/>
  <c r="AJ1545" i="12"/>
  <c r="AJ1546" i="12"/>
  <c r="AJ1547" i="12"/>
  <c r="AJ1548" i="12"/>
  <c r="AJ1549" i="12"/>
  <c r="AJ1550" i="12"/>
  <c r="AJ1551" i="12"/>
  <c r="AJ1552" i="12"/>
  <c r="AJ1553" i="12"/>
  <c r="AJ1554" i="12"/>
  <c r="AJ1555" i="12"/>
  <c r="AJ1556" i="12"/>
  <c r="AJ1557" i="12"/>
  <c r="AJ1558" i="12"/>
  <c r="AJ1559" i="12"/>
  <c r="AJ1560" i="12"/>
  <c r="AJ1561" i="12"/>
  <c r="AJ1562" i="12"/>
  <c r="AJ1563" i="12"/>
  <c r="AJ1564" i="12"/>
  <c r="AJ1565" i="12"/>
  <c r="AJ1566" i="12"/>
  <c r="AJ1567" i="12"/>
  <c r="AJ1568" i="12"/>
  <c r="AJ1569" i="12"/>
  <c r="AJ1570" i="12"/>
  <c r="AJ1571" i="12"/>
  <c r="AJ1572" i="12"/>
  <c r="AJ1573" i="12"/>
  <c r="AJ1574" i="12"/>
  <c r="AJ1575" i="12"/>
  <c r="AJ1576" i="12"/>
  <c r="AJ1577" i="12"/>
  <c r="AJ1578" i="12"/>
  <c r="AJ1579" i="12"/>
  <c r="AJ1580" i="12"/>
  <c r="AJ1581" i="12"/>
  <c r="AJ1582" i="12"/>
  <c r="AJ1583" i="12"/>
  <c r="AJ1584" i="12"/>
  <c r="AJ1585" i="12"/>
  <c r="AJ1586" i="12"/>
  <c r="AJ1587" i="12"/>
  <c r="AJ1588" i="12"/>
  <c r="AJ1589" i="12"/>
  <c r="AJ1590" i="12"/>
  <c r="AJ1591" i="12"/>
  <c r="AJ1592" i="12"/>
  <c r="AJ1593" i="12"/>
  <c r="AJ1594" i="12"/>
  <c r="AJ1595" i="12"/>
  <c r="AJ1596" i="12"/>
  <c r="AJ1597" i="12"/>
  <c r="AJ1598" i="12"/>
  <c r="AJ1599" i="12"/>
  <c r="AJ1600" i="12"/>
  <c r="AJ1601" i="12"/>
  <c r="AJ1602" i="12"/>
  <c r="AJ1603" i="12"/>
  <c r="AJ1604" i="12"/>
  <c r="AJ1605" i="12"/>
  <c r="AJ1606" i="12"/>
  <c r="AJ1607" i="12"/>
  <c r="AJ1608" i="12"/>
  <c r="AJ1609" i="12"/>
  <c r="AJ1610" i="12"/>
  <c r="AJ1611" i="12"/>
  <c r="AJ1612" i="12"/>
  <c r="AJ1613" i="12"/>
  <c r="AJ1614" i="12"/>
  <c r="AJ1615" i="12"/>
  <c r="AJ1616" i="12"/>
  <c r="AJ1617" i="12"/>
  <c r="AJ1618" i="12"/>
  <c r="AJ1619" i="12"/>
  <c r="AJ1620" i="12"/>
  <c r="AJ1621" i="12"/>
  <c r="AJ1622" i="12"/>
  <c r="AJ1623" i="12"/>
  <c r="AJ1624" i="12"/>
  <c r="AJ1625" i="12"/>
  <c r="AJ1626" i="12"/>
  <c r="AJ1627" i="12"/>
  <c r="AJ1628" i="12"/>
  <c r="AJ1629" i="12"/>
  <c r="AJ1630" i="12"/>
  <c r="AJ1631" i="12"/>
  <c r="AJ1632" i="12"/>
  <c r="AJ1633" i="12"/>
  <c r="AJ1634" i="12"/>
  <c r="AJ1635" i="12"/>
  <c r="AJ1636" i="12"/>
  <c r="AJ1637" i="12"/>
  <c r="AJ1638" i="12"/>
  <c r="AJ1639" i="12"/>
  <c r="AJ1640" i="12"/>
  <c r="AJ1641" i="12"/>
  <c r="AJ1642" i="12"/>
  <c r="AJ1643" i="12"/>
  <c r="AJ1644" i="12"/>
  <c r="AJ1645" i="12"/>
  <c r="AJ1646" i="12"/>
  <c r="AJ1647" i="12"/>
  <c r="AJ1648" i="12"/>
  <c r="AJ1649" i="12"/>
  <c r="AJ1650" i="12"/>
  <c r="AJ1651" i="12"/>
  <c r="AJ1652" i="12"/>
  <c r="AJ1653" i="12"/>
  <c r="AJ1654" i="12"/>
  <c r="AJ1655" i="12"/>
  <c r="AJ1656" i="12"/>
  <c r="AJ1657" i="12"/>
  <c r="AJ1658" i="12"/>
  <c r="AJ1659" i="12"/>
  <c r="AJ1660" i="12"/>
  <c r="AJ1661" i="12"/>
  <c r="AJ1662" i="12"/>
  <c r="AJ1663" i="12"/>
  <c r="AJ1664" i="12"/>
  <c r="AJ1665" i="12"/>
  <c r="AJ1666" i="12"/>
  <c r="AJ1667" i="12"/>
  <c r="AJ1668" i="12"/>
  <c r="AJ1669" i="12"/>
  <c r="AJ1670" i="12"/>
  <c r="AJ1671" i="12"/>
  <c r="AJ1672" i="12"/>
  <c r="AJ1673" i="12"/>
  <c r="AJ1674" i="12"/>
  <c r="AJ1675" i="12"/>
  <c r="AJ1676" i="12"/>
  <c r="AJ1677" i="12"/>
  <c r="AJ1678" i="12"/>
  <c r="AJ1679" i="12"/>
  <c r="AJ1680" i="12"/>
  <c r="AJ1681" i="12"/>
  <c r="AJ1682" i="12"/>
  <c r="AJ1683" i="12"/>
  <c r="AJ1684" i="12"/>
  <c r="AJ1685" i="12"/>
  <c r="AJ1686" i="12"/>
  <c r="AJ1687" i="12"/>
  <c r="AJ1688" i="12"/>
  <c r="AJ1689" i="12"/>
  <c r="AJ1690" i="12"/>
  <c r="AJ1691" i="12"/>
  <c r="AJ1692" i="12"/>
  <c r="AJ1693" i="12"/>
  <c r="AJ1694" i="12"/>
  <c r="AJ1695" i="12"/>
  <c r="AJ1696" i="12"/>
  <c r="AJ1697" i="12"/>
  <c r="AJ1698" i="12"/>
  <c r="AJ1699" i="12"/>
  <c r="AJ1700" i="12"/>
  <c r="AJ1701" i="12"/>
  <c r="AJ1702" i="12"/>
  <c r="AJ1703" i="12"/>
  <c r="AJ1704" i="12"/>
  <c r="AJ1705" i="12"/>
  <c r="AJ1706" i="12"/>
  <c r="AJ1707" i="12"/>
  <c r="AJ1708" i="12"/>
  <c r="AJ1709" i="12"/>
  <c r="AJ1710" i="12"/>
  <c r="AJ1711" i="12"/>
  <c r="AJ1712" i="12"/>
  <c r="AJ1713" i="12"/>
  <c r="AJ1714" i="12"/>
  <c r="AJ1715" i="12"/>
  <c r="AJ1716" i="12"/>
  <c r="AJ1717" i="12"/>
  <c r="AJ1718" i="12"/>
  <c r="AJ1719" i="12"/>
  <c r="AJ1720" i="12"/>
  <c r="AJ1721" i="12"/>
  <c r="AJ1722" i="12"/>
  <c r="AJ1723" i="12"/>
  <c r="AJ1724" i="12"/>
  <c r="AJ1725" i="12"/>
  <c r="AJ1726" i="12"/>
  <c r="AJ1727" i="12"/>
  <c r="AJ1728" i="12"/>
  <c r="AJ1729" i="12"/>
  <c r="AJ1730" i="12"/>
  <c r="AJ1731" i="12"/>
  <c r="AJ1732" i="12"/>
  <c r="AJ1733" i="12"/>
  <c r="AJ1734" i="12"/>
  <c r="AJ1735" i="12"/>
  <c r="AJ1736" i="12"/>
  <c r="AJ1737" i="12"/>
  <c r="AJ1738" i="12"/>
  <c r="AJ1739" i="12"/>
  <c r="AJ1740" i="12"/>
  <c r="AJ1741" i="12"/>
  <c r="AJ1742" i="12"/>
  <c r="AJ1743" i="12"/>
  <c r="AJ1744" i="12"/>
  <c r="AJ1745" i="12"/>
  <c r="AJ1746" i="12"/>
  <c r="AJ1747" i="12"/>
  <c r="AJ1748" i="12"/>
  <c r="AJ1749" i="12"/>
  <c r="AJ1750" i="12"/>
  <c r="AJ1751" i="12"/>
  <c r="AJ1752" i="12"/>
  <c r="AJ1753" i="12"/>
  <c r="AJ1754" i="12"/>
  <c r="AJ1755" i="12"/>
  <c r="AJ1756" i="12"/>
  <c r="AJ1757" i="12"/>
  <c r="AJ1758" i="12"/>
  <c r="AJ1759" i="12"/>
  <c r="AJ1760" i="12"/>
  <c r="AJ1761" i="12"/>
  <c r="AJ1762" i="12"/>
  <c r="AJ1763" i="12"/>
  <c r="AJ1764" i="12"/>
  <c r="AJ1765" i="12"/>
  <c r="AJ1766" i="12"/>
  <c r="AJ1767" i="12"/>
  <c r="AJ1768" i="12"/>
  <c r="AJ1769" i="12"/>
  <c r="AJ1770" i="12"/>
  <c r="AJ1771" i="12"/>
  <c r="AJ1772" i="12"/>
  <c r="AJ1773" i="12"/>
  <c r="AJ1774" i="12"/>
  <c r="AJ1775" i="12"/>
  <c r="AJ1776" i="12"/>
  <c r="AJ1777" i="12"/>
  <c r="AJ1778" i="12"/>
  <c r="AJ1779" i="12"/>
  <c r="AJ1780" i="12"/>
  <c r="AJ1781" i="12"/>
  <c r="AJ1782" i="12"/>
  <c r="AJ1783" i="12"/>
  <c r="AJ1784" i="12"/>
  <c r="AJ1785" i="12"/>
  <c r="AJ1786" i="12"/>
  <c r="AJ1787" i="12"/>
  <c r="AJ1788" i="12"/>
  <c r="AJ1789" i="12"/>
  <c r="AJ1790" i="12"/>
  <c r="AJ1791" i="12"/>
  <c r="AJ1792" i="12"/>
  <c r="AJ1793" i="12"/>
  <c r="AJ1794" i="12"/>
  <c r="AJ1795" i="12"/>
  <c r="AJ1796" i="12"/>
  <c r="AJ1797" i="12"/>
  <c r="AJ1798" i="12"/>
  <c r="AJ1799" i="12"/>
  <c r="AJ1800" i="12"/>
  <c r="AJ1801" i="12"/>
  <c r="AJ1802" i="12"/>
  <c r="AJ1803" i="12"/>
  <c r="AJ1804" i="12"/>
  <c r="AJ1805" i="12"/>
  <c r="AJ1806" i="12"/>
  <c r="AJ1807" i="12"/>
  <c r="AJ1808" i="12"/>
  <c r="AJ1809" i="12"/>
  <c r="AJ1810" i="12"/>
  <c r="AJ1811" i="12"/>
  <c r="AJ1812" i="12"/>
  <c r="AJ1813" i="12"/>
  <c r="AJ1814" i="12"/>
  <c r="AJ1815" i="12"/>
  <c r="AJ1816" i="12"/>
  <c r="AJ1817" i="12"/>
  <c r="AJ1818" i="12"/>
  <c r="AJ1819" i="12"/>
  <c r="AJ1820" i="12"/>
  <c r="AJ1821" i="12"/>
  <c r="AJ1822" i="12"/>
  <c r="AJ1823" i="12"/>
  <c r="AJ1824" i="12"/>
  <c r="AJ1825" i="12"/>
  <c r="AJ1826" i="12"/>
  <c r="AJ1827" i="12"/>
  <c r="AJ1828" i="12"/>
  <c r="AJ1829" i="12"/>
  <c r="AJ1830" i="12"/>
  <c r="AJ1831" i="12"/>
  <c r="AJ1832" i="12"/>
  <c r="AJ1833" i="12"/>
  <c r="AJ1834" i="12"/>
  <c r="AJ1835" i="12"/>
  <c r="AJ1836" i="12"/>
  <c r="AJ1837" i="12"/>
  <c r="AJ1838" i="12"/>
  <c r="AJ1839" i="12"/>
  <c r="AJ1840" i="12"/>
  <c r="AJ1841" i="12"/>
  <c r="AJ1842" i="12"/>
  <c r="AJ1843" i="12"/>
  <c r="AJ1844" i="12"/>
  <c r="AJ1845" i="12"/>
  <c r="AJ1846" i="12"/>
  <c r="AJ1847" i="12"/>
  <c r="AJ1848" i="12"/>
  <c r="AJ1849" i="12"/>
  <c r="AJ1850" i="12"/>
  <c r="AJ1851" i="12"/>
  <c r="AJ1852" i="12"/>
  <c r="AJ1853" i="12"/>
  <c r="AJ1854" i="12"/>
  <c r="AJ1855" i="12"/>
  <c r="AJ1856" i="12"/>
  <c r="AJ1857" i="12"/>
  <c r="AJ1858" i="12"/>
  <c r="AJ1859" i="12"/>
  <c r="AJ1860" i="12"/>
  <c r="AJ1861" i="12"/>
  <c r="AJ1862" i="12"/>
  <c r="AJ1863" i="12"/>
  <c r="AJ1864" i="12"/>
  <c r="AJ1865" i="12"/>
  <c r="AJ1866" i="12"/>
  <c r="AJ1867" i="12"/>
  <c r="AJ1868" i="12"/>
  <c r="AJ1869" i="12"/>
  <c r="AJ1870" i="12"/>
  <c r="AJ1871" i="12"/>
  <c r="AJ1872" i="12"/>
  <c r="AJ1873" i="12"/>
  <c r="AJ1874" i="12"/>
  <c r="AJ1875" i="12"/>
  <c r="AJ1876" i="12"/>
  <c r="AJ1877" i="12"/>
  <c r="AJ1878" i="12"/>
  <c r="AJ1879" i="12"/>
  <c r="AJ1880" i="12"/>
  <c r="AJ1881" i="12"/>
  <c r="AJ1882" i="12"/>
  <c r="AJ1883" i="12"/>
  <c r="AJ1884" i="12"/>
  <c r="AJ1885" i="12"/>
  <c r="AJ1886" i="12"/>
  <c r="AJ1887" i="12"/>
  <c r="AJ1888" i="12"/>
  <c r="AJ1889" i="12"/>
  <c r="AJ1890" i="12"/>
  <c r="AJ1891" i="12"/>
  <c r="AJ1892" i="12"/>
  <c r="AJ1893" i="12"/>
  <c r="AJ1894" i="12"/>
  <c r="AJ1895" i="12"/>
  <c r="AJ1896" i="12"/>
  <c r="AJ1897" i="12"/>
  <c r="AJ1898" i="12"/>
  <c r="AJ1899" i="12"/>
  <c r="AJ1900" i="12"/>
  <c r="AJ1901" i="12"/>
  <c r="AJ1902" i="12"/>
  <c r="AJ1903" i="12"/>
  <c r="AJ1904" i="12"/>
  <c r="AJ1905" i="12"/>
  <c r="AJ1906" i="12"/>
  <c r="AJ1907" i="12"/>
  <c r="AJ1908" i="12"/>
  <c r="AJ1909" i="12"/>
  <c r="AJ1910" i="12"/>
  <c r="AJ1911" i="12"/>
  <c r="AJ1912" i="12"/>
  <c r="AJ1913" i="12"/>
  <c r="AJ1914" i="12"/>
  <c r="AJ1915" i="12"/>
  <c r="AJ1916" i="12"/>
  <c r="AJ1917" i="12"/>
  <c r="AJ1918" i="12"/>
  <c r="AJ1919" i="12"/>
  <c r="AJ1920" i="12"/>
  <c r="AJ1921" i="12"/>
  <c r="AJ1922" i="12"/>
  <c r="AJ1923" i="12"/>
  <c r="AJ1924" i="12"/>
  <c r="AJ1925" i="12"/>
  <c r="AJ1926" i="12"/>
  <c r="AJ1927" i="12"/>
  <c r="AJ1928" i="12"/>
  <c r="AJ1929" i="12"/>
  <c r="AJ1930" i="12"/>
  <c r="AJ1931" i="12"/>
  <c r="AJ1932" i="12"/>
  <c r="AJ1933" i="12"/>
  <c r="AJ1934" i="12"/>
  <c r="AJ1935" i="12"/>
  <c r="AJ1936" i="12"/>
  <c r="AJ1937" i="12"/>
  <c r="AJ1938" i="12"/>
  <c r="AJ1939" i="12"/>
  <c r="AJ1940" i="12"/>
  <c r="AJ1941" i="12"/>
  <c r="AJ1942" i="12"/>
  <c r="AJ1943" i="12"/>
  <c r="AJ1944" i="12"/>
  <c r="AJ1945" i="12"/>
  <c r="AJ1946" i="12"/>
  <c r="AJ1947" i="12"/>
  <c r="AJ1948" i="12"/>
  <c r="AJ1949" i="12"/>
  <c r="AJ1950" i="12"/>
  <c r="AJ1951" i="12"/>
  <c r="AJ1952" i="12"/>
  <c r="AJ1953" i="12"/>
  <c r="AJ1954" i="12"/>
  <c r="AJ1955" i="12"/>
  <c r="AJ1956" i="12"/>
  <c r="AJ1957" i="12"/>
  <c r="AJ1958" i="12"/>
  <c r="AJ1959" i="12"/>
  <c r="AJ1960" i="12"/>
  <c r="AJ1961" i="12"/>
  <c r="AJ1962" i="12"/>
  <c r="AJ1963" i="12"/>
  <c r="AJ1964" i="12"/>
  <c r="AJ1965" i="12"/>
  <c r="AJ1966" i="12"/>
  <c r="AJ1967" i="12"/>
  <c r="AJ1968" i="12"/>
  <c r="AJ1969" i="12"/>
  <c r="AJ1970" i="12"/>
  <c r="AJ1971" i="12"/>
  <c r="AJ1972" i="12"/>
  <c r="AJ1973" i="12"/>
  <c r="AJ1974" i="12"/>
  <c r="AJ1975" i="12"/>
  <c r="AJ1976" i="12"/>
  <c r="AJ1977" i="12"/>
  <c r="AJ1978" i="12"/>
  <c r="AJ1979" i="12"/>
  <c r="AJ1980" i="12"/>
  <c r="AJ1981" i="12"/>
  <c r="AJ1982" i="12"/>
  <c r="AJ1983" i="12"/>
  <c r="AJ1984" i="12"/>
  <c r="AJ1985" i="12"/>
  <c r="AJ1986" i="12"/>
  <c r="AJ1987" i="12"/>
  <c r="AJ1988" i="12"/>
  <c r="AJ1989" i="12"/>
  <c r="AJ1990" i="12"/>
  <c r="AJ1991" i="12"/>
  <c r="AJ1992" i="12"/>
  <c r="AJ1993" i="12"/>
  <c r="AJ1994" i="12"/>
  <c r="AJ1995" i="12"/>
  <c r="AJ1996" i="12"/>
  <c r="AJ1997" i="12"/>
  <c r="AJ1998" i="12"/>
  <c r="AJ1999" i="12"/>
  <c r="AJ2000" i="12"/>
  <c r="AJ2001" i="12"/>
  <c r="AJ2002" i="12"/>
  <c r="AJ2003" i="12"/>
  <c r="AJ2004" i="12"/>
  <c r="AJ2005" i="12"/>
  <c r="AJ2006" i="12"/>
  <c r="AJ2007" i="12"/>
  <c r="AJ2008" i="12"/>
  <c r="AJ2009" i="12"/>
  <c r="AJ2010" i="12"/>
  <c r="AJ2011" i="12"/>
  <c r="AJ2012" i="12"/>
  <c r="AJ2013" i="12"/>
  <c r="AJ2014" i="12"/>
  <c r="AJ2015" i="12"/>
  <c r="AJ2016" i="12"/>
  <c r="AJ2017" i="12"/>
  <c r="AJ2018" i="12"/>
  <c r="AJ2019" i="12"/>
  <c r="AJ2020" i="12"/>
  <c r="AJ2021" i="12"/>
  <c r="AJ2022" i="12"/>
  <c r="AJ2023" i="12"/>
  <c r="AJ2024" i="12"/>
  <c r="AJ2025" i="12"/>
  <c r="AJ2026" i="12"/>
  <c r="AJ2027" i="12"/>
  <c r="AJ2028" i="12"/>
  <c r="AJ2029" i="12"/>
  <c r="AJ2030" i="12"/>
  <c r="AJ2031" i="12"/>
  <c r="AJ2032" i="12"/>
  <c r="AJ2033" i="12"/>
  <c r="AJ2034" i="12"/>
  <c r="AJ2035" i="12"/>
  <c r="AJ2036" i="12"/>
  <c r="AJ2037" i="12"/>
  <c r="AJ2038" i="12"/>
  <c r="AJ2039" i="12"/>
  <c r="AJ2040" i="12"/>
  <c r="AJ2041" i="12"/>
  <c r="AJ2042" i="12"/>
  <c r="AJ2043" i="12"/>
  <c r="AJ2044" i="12"/>
  <c r="AJ2045" i="12"/>
  <c r="AJ2046" i="12"/>
  <c r="AJ2047" i="12"/>
  <c r="AJ2048" i="12"/>
  <c r="AJ2049" i="12"/>
  <c r="AJ2050" i="12"/>
  <c r="AJ2051" i="12"/>
  <c r="AJ2052" i="12"/>
  <c r="AJ2053" i="12"/>
  <c r="AJ2054" i="12"/>
  <c r="AJ2055" i="12"/>
  <c r="AJ2056" i="12"/>
  <c r="AJ2057" i="12"/>
  <c r="AJ2058" i="12"/>
  <c r="AJ2059" i="12"/>
  <c r="AJ2060" i="12"/>
  <c r="AJ2061" i="12"/>
  <c r="AJ2062" i="12"/>
  <c r="AJ2063" i="12"/>
  <c r="AJ2064" i="12"/>
  <c r="AJ2065" i="12"/>
  <c r="AJ2066" i="12"/>
  <c r="AJ2067" i="12"/>
  <c r="AJ2068" i="12"/>
  <c r="AJ2069" i="12"/>
  <c r="AJ2070" i="12"/>
  <c r="AJ2071" i="12"/>
  <c r="AJ2072" i="12"/>
  <c r="AJ2073" i="12"/>
  <c r="AJ2074" i="12"/>
  <c r="AJ2075" i="12"/>
  <c r="AJ2076" i="12"/>
  <c r="AJ2077" i="12"/>
  <c r="AJ2078" i="12"/>
  <c r="AJ2079" i="12"/>
  <c r="AJ2080" i="12"/>
  <c r="AJ2081" i="12"/>
  <c r="AJ2082" i="12"/>
  <c r="AJ2083" i="12"/>
  <c r="AJ2084" i="12"/>
  <c r="AJ2085" i="12"/>
  <c r="AJ2086" i="12"/>
  <c r="AJ2087" i="12"/>
  <c r="AJ2088" i="12"/>
  <c r="AJ2089" i="12"/>
  <c r="AJ2090" i="12"/>
  <c r="AJ2091" i="12"/>
  <c r="AJ2092" i="12"/>
  <c r="AJ2093" i="12"/>
  <c r="AJ2094" i="12"/>
  <c r="AJ2095" i="12"/>
  <c r="AJ2096" i="12"/>
  <c r="AJ2097" i="12"/>
  <c r="AJ2098" i="12"/>
  <c r="AJ2099" i="12"/>
  <c r="AJ2100" i="12"/>
  <c r="AJ2101" i="12"/>
  <c r="AJ2102" i="12"/>
  <c r="AJ2103" i="12"/>
  <c r="AJ2104" i="12"/>
  <c r="AJ2105" i="12"/>
  <c r="AJ2106" i="12"/>
  <c r="AJ2107" i="12"/>
  <c r="AJ2108" i="12"/>
  <c r="AJ2109" i="12"/>
  <c r="AJ2110" i="12"/>
  <c r="AJ2111" i="12"/>
  <c r="AJ2112" i="12"/>
  <c r="AJ2113" i="12"/>
  <c r="AJ2114" i="12"/>
  <c r="AJ2115" i="12"/>
  <c r="AJ2116" i="12"/>
  <c r="AJ2117" i="12"/>
  <c r="AJ2118" i="12"/>
  <c r="AJ2119" i="12"/>
  <c r="AJ2120" i="12"/>
  <c r="AJ2121" i="12"/>
  <c r="AJ2122" i="12"/>
  <c r="AJ2123" i="12"/>
  <c r="AJ2124" i="12"/>
  <c r="AJ2125" i="12"/>
  <c r="AJ2126" i="12"/>
  <c r="AJ2127" i="12"/>
  <c r="AJ2128" i="12"/>
  <c r="AJ2129" i="12"/>
  <c r="AJ2130" i="12"/>
  <c r="AJ2131" i="12"/>
  <c r="AJ2132" i="12"/>
  <c r="AJ2133" i="12"/>
  <c r="AJ2134" i="12"/>
  <c r="AJ2135" i="12"/>
  <c r="AJ2136" i="12"/>
  <c r="AJ2137" i="12"/>
  <c r="AJ2138" i="12"/>
  <c r="AJ2139" i="12"/>
  <c r="AJ2140" i="12"/>
  <c r="AJ2141" i="12"/>
  <c r="AJ2142" i="12"/>
  <c r="AJ2143" i="12"/>
  <c r="AJ2144" i="12"/>
  <c r="AJ2145" i="12"/>
  <c r="AJ2146" i="12"/>
  <c r="AJ2147" i="12"/>
  <c r="AJ2148" i="12"/>
  <c r="AJ2149" i="12"/>
  <c r="AJ2150" i="12"/>
  <c r="AJ2151" i="12"/>
  <c r="AJ2152" i="12"/>
  <c r="AJ2153" i="12"/>
  <c r="AJ2154" i="12"/>
  <c r="AJ2155" i="12"/>
  <c r="AJ2156" i="12"/>
  <c r="AJ2157" i="12"/>
  <c r="AJ2158" i="12"/>
  <c r="AJ2159" i="12"/>
  <c r="AJ2160" i="12"/>
  <c r="AJ2161" i="12"/>
  <c r="AJ2162" i="12"/>
  <c r="AJ2163" i="12"/>
  <c r="AJ2164" i="12"/>
  <c r="AJ2165" i="12"/>
  <c r="AJ2166" i="12"/>
  <c r="AJ2167" i="12"/>
  <c r="AJ2168" i="12"/>
  <c r="AJ2169" i="12"/>
  <c r="AJ2170" i="12"/>
  <c r="AJ2171" i="12"/>
  <c r="AJ2172" i="12"/>
  <c r="AJ2173" i="12"/>
  <c r="AJ2174" i="12"/>
  <c r="AJ2175" i="12"/>
  <c r="AJ2176" i="12"/>
  <c r="AJ2177" i="12"/>
  <c r="AJ2178" i="12"/>
  <c r="AJ2179" i="12"/>
  <c r="AJ2180" i="12"/>
  <c r="AJ2181" i="12"/>
  <c r="AJ2182" i="12"/>
  <c r="AJ2183" i="12"/>
  <c r="AJ2184" i="12"/>
  <c r="AJ2185" i="12"/>
  <c r="AJ2186" i="12"/>
  <c r="AJ2187" i="12"/>
  <c r="AJ2188" i="12"/>
  <c r="AJ2189" i="12"/>
  <c r="AJ2190" i="12"/>
  <c r="AJ2191" i="12"/>
  <c r="AJ2192" i="12"/>
  <c r="AJ2193" i="12"/>
  <c r="AJ2194" i="12"/>
  <c r="AJ2195" i="12"/>
  <c r="AJ2196" i="12"/>
  <c r="AJ2197" i="12"/>
  <c r="AJ2198" i="12"/>
  <c r="AJ2199" i="12"/>
  <c r="AJ2200" i="12"/>
  <c r="AJ2201" i="12"/>
  <c r="AJ2202" i="12"/>
  <c r="AJ2203" i="12"/>
  <c r="AJ2204" i="12"/>
  <c r="AJ2205" i="12"/>
  <c r="AJ2206" i="12"/>
  <c r="AJ2207" i="12"/>
  <c r="AJ2208" i="12"/>
  <c r="AJ2209" i="12"/>
  <c r="AJ2210" i="12"/>
  <c r="AJ2211" i="12"/>
  <c r="AJ2212" i="12"/>
  <c r="AJ2213" i="12"/>
  <c r="AJ2214" i="12"/>
  <c r="AJ2215" i="12"/>
  <c r="AJ2216" i="12"/>
  <c r="AJ2217" i="12"/>
  <c r="AJ2218" i="12"/>
  <c r="AJ2219" i="12"/>
  <c r="AJ2220" i="12"/>
  <c r="AJ2221" i="12"/>
  <c r="AJ2222" i="12"/>
  <c r="AJ2223" i="12"/>
  <c r="AJ2224" i="12"/>
  <c r="AJ2225" i="12"/>
  <c r="AJ2226" i="12"/>
  <c r="AJ2227" i="12"/>
  <c r="AJ2228" i="12"/>
  <c r="AJ2229" i="12"/>
  <c r="AJ2230" i="12"/>
  <c r="AJ2231" i="12"/>
  <c r="AJ2232" i="12"/>
  <c r="AJ2233" i="12"/>
  <c r="AJ2234" i="12"/>
  <c r="AJ2235" i="12"/>
  <c r="AJ2236" i="12"/>
  <c r="AJ2237" i="12"/>
  <c r="AJ2238" i="12"/>
  <c r="AJ2239" i="12"/>
  <c r="AJ2240" i="12"/>
  <c r="AJ2241" i="12"/>
  <c r="AJ2242" i="12"/>
  <c r="AJ2243" i="12"/>
  <c r="AJ2244" i="12"/>
  <c r="AJ2245" i="12"/>
  <c r="AJ2246" i="12"/>
  <c r="AJ2247" i="12"/>
  <c r="AJ2248" i="12"/>
  <c r="AJ2249" i="12"/>
  <c r="AJ2250" i="12"/>
  <c r="AJ2251" i="12"/>
  <c r="AJ2252" i="12"/>
  <c r="AJ2253" i="12"/>
  <c r="AJ2254" i="12"/>
  <c r="AJ2255" i="12"/>
  <c r="AJ2256" i="12"/>
  <c r="AJ2257" i="12"/>
  <c r="AJ2258" i="12"/>
  <c r="AJ2259" i="12"/>
  <c r="AJ2260" i="12"/>
  <c r="AJ2261" i="12"/>
  <c r="AJ2262" i="12"/>
  <c r="AJ2263" i="12"/>
  <c r="AJ2264" i="12"/>
  <c r="AJ2265" i="12"/>
  <c r="AJ2266" i="12"/>
  <c r="AJ2267" i="12"/>
  <c r="AJ2268" i="12"/>
  <c r="AJ2269" i="12"/>
  <c r="AJ2270" i="12"/>
  <c r="AJ2271" i="12"/>
  <c r="AJ2272" i="12"/>
  <c r="AJ2273" i="12"/>
  <c r="AJ2274" i="12"/>
  <c r="AJ2275" i="12"/>
  <c r="AJ2276" i="12"/>
  <c r="AJ2277" i="12"/>
  <c r="AJ2278" i="12"/>
  <c r="AJ2279" i="12"/>
  <c r="AJ2280" i="12"/>
  <c r="AJ2281" i="12"/>
  <c r="AJ2282" i="12"/>
  <c r="AJ2283" i="12"/>
  <c r="AJ2284" i="12"/>
  <c r="AJ2285" i="12"/>
  <c r="AJ2286" i="12"/>
  <c r="AJ2287" i="12"/>
  <c r="AJ2288" i="12"/>
  <c r="AJ2289" i="12"/>
  <c r="AJ2290" i="12"/>
  <c r="AJ2291" i="12"/>
  <c r="AJ2292" i="12"/>
  <c r="AJ2293" i="12"/>
  <c r="AJ2294" i="12"/>
  <c r="AJ2295" i="12"/>
  <c r="AJ2296" i="12"/>
  <c r="AJ2297" i="12"/>
  <c r="AJ2298" i="12"/>
  <c r="AJ2299" i="12"/>
  <c r="AJ2300" i="12"/>
  <c r="AJ2301" i="12"/>
  <c r="AJ2302" i="12"/>
  <c r="AJ2303" i="12"/>
  <c r="AJ2304" i="12"/>
  <c r="AJ2305" i="12"/>
  <c r="AJ2306" i="12"/>
  <c r="AJ2307" i="12"/>
  <c r="AJ2308" i="12"/>
  <c r="AJ2309" i="12"/>
  <c r="AJ2310" i="12"/>
  <c r="AJ2311" i="12"/>
  <c r="AJ2312" i="12"/>
  <c r="AJ2313" i="12"/>
  <c r="AJ2314" i="12"/>
  <c r="AJ2315" i="12"/>
  <c r="AJ2316" i="12"/>
  <c r="AJ2317" i="12"/>
  <c r="AJ2318" i="12"/>
  <c r="AJ2319" i="12"/>
  <c r="AJ2320" i="12"/>
  <c r="AJ2321" i="12"/>
  <c r="AJ2322" i="12"/>
  <c r="AJ2323" i="12"/>
  <c r="AJ2324" i="12"/>
  <c r="AJ2325" i="12"/>
  <c r="AJ2326" i="12"/>
  <c r="AJ2327" i="12"/>
  <c r="AJ2328" i="12"/>
  <c r="AJ2329" i="12"/>
  <c r="AJ2330" i="12"/>
  <c r="AJ2331" i="12"/>
  <c r="AJ2332" i="12"/>
  <c r="AJ2333" i="12"/>
  <c r="AJ2334" i="12"/>
  <c r="AJ2335" i="12"/>
  <c r="AJ2336" i="12"/>
  <c r="AJ2337" i="12"/>
  <c r="AJ2338" i="12"/>
  <c r="AJ2339" i="12"/>
  <c r="AJ2340" i="12"/>
  <c r="AJ2341" i="12"/>
  <c r="AJ2342" i="12"/>
  <c r="AJ2343" i="12"/>
  <c r="AJ2344" i="12"/>
  <c r="AJ2345" i="12"/>
  <c r="AJ2346" i="12"/>
  <c r="AJ2347" i="12"/>
  <c r="AJ2348" i="12"/>
  <c r="AJ2349" i="12"/>
  <c r="AJ2350" i="12"/>
  <c r="AJ2351" i="12"/>
  <c r="AJ2352" i="12"/>
  <c r="AJ2353" i="12"/>
  <c r="AJ2354" i="12"/>
  <c r="AJ2355" i="12"/>
  <c r="AJ2356" i="12"/>
  <c r="AJ2357" i="12"/>
  <c r="AJ2358" i="12"/>
  <c r="AJ2359" i="12"/>
  <c r="AJ2360" i="12"/>
  <c r="AJ2361" i="12"/>
  <c r="AJ2362" i="12"/>
  <c r="AJ2363" i="12"/>
  <c r="AJ2364" i="12"/>
  <c r="AJ2365" i="12"/>
  <c r="AJ2366" i="12"/>
  <c r="AJ2367" i="12"/>
  <c r="AJ2368" i="12"/>
  <c r="AJ2369" i="12"/>
  <c r="AJ2370" i="12"/>
  <c r="AJ2371" i="12"/>
  <c r="AJ2372" i="12"/>
  <c r="AJ2373" i="12"/>
  <c r="AJ2374" i="12"/>
  <c r="AJ2375" i="12"/>
  <c r="AJ2376" i="12"/>
  <c r="AJ2377" i="12"/>
  <c r="AJ2378" i="12"/>
  <c r="AJ2379" i="12"/>
  <c r="AJ2380" i="12"/>
  <c r="AJ2381" i="12"/>
  <c r="AJ2382" i="12"/>
  <c r="AJ2383" i="12"/>
  <c r="AJ2384" i="12"/>
  <c r="AJ2385" i="12"/>
  <c r="AJ2386" i="12"/>
  <c r="AJ2387" i="12"/>
  <c r="AJ2388" i="12"/>
  <c r="AJ2389" i="12"/>
  <c r="AJ2390" i="12"/>
  <c r="AJ2391" i="12"/>
  <c r="AJ2392" i="12"/>
  <c r="AJ2393" i="12"/>
  <c r="AJ2394" i="12"/>
  <c r="AJ2395" i="12"/>
  <c r="AJ2396" i="12"/>
  <c r="AJ2397" i="12"/>
  <c r="AJ2398" i="12"/>
  <c r="AJ2399" i="12"/>
  <c r="AJ2400" i="12"/>
  <c r="AJ2401" i="12"/>
  <c r="AJ2402" i="12"/>
  <c r="AJ2403" i="12"/>
  <c r="AJ2404" i="12"/>
  <c r="AJ2405" i="12"/>
  <c r="AJ2406" i="12"/>
  <c r="AJ2407" i="12"/>
  <c r="AJ2408" i="12"/>
  <c r="AJ2409" i="12"/>
  <c r="AJ2410" i="12"/>
  <c r="AJ2411" i="12"/>
  <c r="AJ2412" i="12"/>
  <c r="AJ2413" i="12"/>
  <c r="AJ2414" i="12"/>
  <c r="AJ2415" i="12"/>
  <c r="AJ2416" i="12"/>
  <c r="AJ2417" i="12"/>
  <c r="AJ2418" i="12"/>
  <c r="AJ2419" i="12"/>
  <c r="AJ2420" i="12"/>
  <c r="AJ2421" i="12"/>
  <c r="AJ2422" i="12"/>
  <c r="AJ2423" i="12"/>
  <c r="AJ2424" i="12"/>
  <c r="AJ2425" i="12"/>
  <c r="AJ2426" i="12"/>
  <c r="AJ2427" i="12"/>
  <c r="AJ2428" i="12"/>
  <c r="AJ2429" i="12"/>
  <c r="AJ2430" i="12"/>
  <c r="AJ2431" i="12"/>
  <c r="AJ2432" i="12"/>
  <c r="AJ2433" i="12"/>
  <c r="AJ2434" i="12"/>
  <c r="AJ2435" i="12"/>
  <c r="AJ2436" i="12"/>
  <c r="AJ2437" i="12"/>
  <c r="AJ2438" i="12"/>
  <c r="AJ2439" i="12"/>
  <c r="AJ2440" i="12"/>
  <c r="AJ2441" i="12"/>
  <c r="AJ2442" i="12"/>
  <c r="AJ2443" i="12"/>
  <c r="AJ2444" i="12"/>
  <c r="AJ2445" i="12"/>
  <c r="AJ2446" i="12"/>
  <c r="AJ2447" i="12"/>
  <c r="AJ2448" i="12"/>
  <c r="AJ2449" i="12"/>
  <c r="AJ2450" i="12"/>
  <c r="AJ2451" i="12"/>
  <c r="AJ2452" i="12"/>
  <c r="AJ2453" i="12"/>
  <c r="AJ2454" i="12"/>
  <c r="AJ2455" i="12"/>
  <c r="AJ2456" i="12"/>
  <c r="AJ2457" i="12"/>
  <c r="AJ2458" i="12"/>
  <c r="AJ2459" i="12"/>
  <c r="AJ2460" i="12"/>
  <c r="AJ2461" i="12"/>
  <c r="AJ2462" i="12"/>
  <c r="AJ2463" i="12"/>
  <c r="AJ2464" i="12"/>
  <c r="AJ2465" i="12"/>
  <c r="AJ2466" i="12"/>
  <c r="AJ2467" i="12"/>
  <c r="AJ2468" i="12"/>
  <c r="AJ2469" i="12"/>
  <c r="AJ2470" i="12"/>
  <c r="AJ2471" i="12"/>
  <c r="AJ2472" i="12"/>
  <c r="AJ2473" i="12"/>
  <c r="AJ2474" i="12"/>
  <c r="AJ2475" i="12"/>
  <c r="AJ2476" i="12"/>
  <c r="AJ2477" i="12"/>
  <c r="AJ2478" i="12"/>
  <c r="AJ2479" i="12"/>
  <c r="AJ2480" i="12"/>
  <c r="AJ2481" i="12"/>
  <c r="AJ2482" i="12"/>
  <c r="AJ2483" i="12"/>
  <c r="AJ2484" i="12"/>
  <c r="AJ2485" i="12"/>
  <c r="AJ2486" i="12"/>
  <c r="AJ2487" i="12"/>
  <c r="AJ2488" i="12"/>
  <c r="AJ2489" i="12"/>
  <c r="AJ2490" i="12"/>
  <c r="AJ2491" i="12"/>
  <c r="AJ2492" i="12"/>
  <c r="AJ2493" i="12"/>
  <c r="AJ2494" i="12"/>
  <c r="AJ2495" i="12"/>
  <c r="AJ2496" i="12"/>
  <c r="AJ2497" i="12"/>
  <c r="AJ2498" i="12"/>
  <c r="AJ2499" i="12"/>
  <c r="AJ2500" i="12"/>
  <c r="AJ2501" i="12"/>
  <c r="AJ2502" i="12"/>
  <c r="AJ2503" i="12"/>
  <c r="AJ2504" i="12"/>
  <c r="AJ2505" i="12"/>
  <c r="AJ2506" i="12"/>
  <c r="AJ2507" i="12"/>
  <c r="AJ2508" i="12"/>
  <c r="AJ2509" i="12"/>
  <c r="AJ2510" i="12"/>
  <c r="AJ2511" i="12"/>
  <c r="AJ2512" i="12"/>
  <c r="AJ2513" i="12"/>
  <c r="AJ2514" i="12"/>
  <c r="AJ2515" i="12"/>
  <c r="AJ2516" i="12"/>
  <c r="AJ2517" i="12"/>
  <c r="AJ2518" i="12"/>
  <c r="AJ2519" i="12"/>
  <c r="AJ2520" i="12"/>
  <c r="AJ2521" i="12"/>
  <c r="AJ2522" i="12"/>
  <c r="AJ2523" i="12"/>
  <c r="AJ2524" i="12"/>
  <c r="AJ2525" i="12"/>
  <c r="AJ2526" i="12"/>
  <c r="AJ2527" i="12"/>
  <c r="AJ2528" i="12"/>
  <c r="AJ2529" i="12"/>
  <c r="AJ2530" i="12"/>
  <c r="AJ2531" i="12"/>
  <c r="AJ2532" i="12"/>
  <c r="AJ2533" i="12"/>
  <c r="AJ2534" i="12"/>
  <c r="AJ2535" i="12"/>
  <c r="AJ2536" i="12"/>
  <c r="AJ2537" i="12"/>
  <c r="AJ2538" i="12"/>
  <c r="AJ2539" i="12"/>
  <c r="AJ2540" i="12"/>
  <c r="AJ2541" i="12"/>
  <c r="AJ2542" i="12"/>
  <c r="AJ2543" i="12"/>
  <c r="AJ2544" i="12"/>
  <c r="AJ2545" i="12"/>
  <c r="AJ2546" i="12"/>
  <c r="AJ2547" i="12"/>
  <c r="AJ2548" i="12"/>
  <c r="AJ2549" i="12"/>
  <c r="AJ2550" i="12"/>
  <c r="AJ2551" i="12"/>
  <c r="AJ2552" i="12"/>
  <c r="AJ2553" i="12"/>
  <c r="AJ2554" i="12"/>
  <c r="AJ2555" i="12"/>
  <c r="AJ2556" i="12"/>
  <c r="AJ2557" i="12"/>
  <c r="AJ2558" i="12"/>
  <c r="AJ2559" i="12"/>
  <c r="AJ2560" i="12"/>
  <c r="AJ2561" i="12"/>
  <c r="AJ2562" i="12"/>
  <c r="AJ2563" i="12"/>
  <c r="AJ2564" i="12"/>
  <c r="AJ2565" i="12"/>
  <c r="AJ2566" i="12"/>
  <c r="AJ2567" i="12"/>
  <c r="AJ2568" i="12"/>
  <c r="AJ2569" i="12"/>
  <c r="AJ2570" i="12"/>
  <c r="AJ2571" i="12"/>
  <c r="AJ2572" i="12"/>
  <c r="AJ2573" i="12"/>
  <c r="AJ2574" i="12"/>
  <c r="AJ2575" i="12"/>
  <c r="AJ2576" i="12"/>
  <c r="AJ2577" i="12"/>
  <c r="AJ2578" i="12"/>
  <c r="AJ2579" i="12"/>
  <c r="AJ2580" i="12"/>
  <c r="AJ2581" i="12"/>
  <c r="AJ2582" i="12"/>
  <c r="AJ2583" i="12"/>
  <c r="AJ2584" i="12"/>
  <c r="AJ2585" i="12"/>
  <c r="AJ2586" i="12"/>
  <c r="AJ2587" i="12"/>
  <c r="AJ2588" i="12"/>
  <c r="AJ2589" i="12"/>
  <c r="AJ2590" i="12"/>
  <c r="AJ2591" i="12"/>
  <c r="AJ2592" i="12"/>
  <c r="AJ2593" i="12"/>
  <c r="AJ2594" i="12"/>
  <c r="AJ2595" i="12"/>
  <c r="AJ2596" i="12"/>
  <c r="AJ2597" i="12"/>
  <c r="AJ2598" i="12"/>
  <c r="AJ2599" i="12"/>
  <c r="AJ2600" i="12"/>
  <c r="AJ2601" i="12"/>
  <c r="AJ2602" i="12"/>
  <c r="AJ2603" i="12"/>
  <c r="AJ2604" i="12"/>
  <c r="AJ2605" i="12"/>
  <c r="AJ2606" i="12"/>
  <c r="AJ2607" i="12"/>
  <c r="AJ2608" i="12"/>
  <c r="AJ2609" i="12"/>
  <c r="AJ2610" i="12"/>
  <c r="AJ2611" i="12"/>
  <c r="AJ2612" i="12"/>
  <c r="AJ2613" i="12"/>
  <c r="AJ2614" i="12"/>
  <c r="AJ2615" i="12"/>
  <c r="AJ2616" i="12"/>
  <c r="AJ2617" i="12"/>
  <c r="AJ2618" i="12"/>
  <c r="AJ2619" i="12"/>
  <c r="AJ2620" i="12"/>
  <c r="AJ2621" i="12"/>
  <c r="AJ2622" i="12"/>
  <c r="AJ2623" i="12"/>
  <c r="AJ2624" i="12"/>
  <c r="AJ2625" i="12"/>
  <c r="AJ2626" i="12"/>
  <c r="AJ2627" i="12"/>
  <c r="AJ2628" i="12"/>
  <c r="AJ2629" i="12"/>
  <c r="AJ2630" i="12"/>
  <c r="AJ2631" i="12"/>
  <c r="AJ2632" i="12"/>
  <c r="AJ2633" i="12"/>
  <c r="AJ2634" i="12"/>
  <c r="AJ2635" i="12"/>
  <c r="AJ2636" i="12"/>
  <c r="AJ2637" i="12"/>
  <c r="AJ2638" i="12"/>
  <c r="AJ2639" i="12"/>
  <c r="AJ2640" i="12"/>
  <c r="AJ2641" i="12"/>
  <c r="AJ2642" i="12"/>
  <c r="AJ2643" i="12"/>
  <c r="AJ2644" i="12"/>
  <c r="AJ2645" i="12"/>
  <c r="AJ2646" i="12"/>
  <c r="AJ2647" i="12"/>
  <c r="AJ2648" i="12"/>
  <c r="AJ2649" i="12"/>
  <c r="AJ2650" i="12"/>
  <c r="AJ2651" i="12"/>
  <c r="AJ2652" i="12"/>
  <c r="AJ2653" i="12"/>
  <c r="AJ2654" i="12"/>
  <c r="AJ2655" i="12"/>
  <c r="AJ2656" i="12"/>
  <c r="AJ2657" i="12"/>
  <c r="AJ2658" i="12"/>
  <c r="AJ2659" i="12"/>
  <c r="AJ2660" i="12"/>
  <c r="AJ2661" i="12"/>
  <c r="AJ2662" i="12"/>
  <c r="AJ2663" i="12"/>
  <c r="AJ2664" i="12"/>
  <c r="AJ2665" i="12"/>
  <c r="AJ2666" i="12"/>
  <c r="AJ2667" i="12"/>
  <c r="AJ2668" i="12"/>
  <c r="AJ2669" i="12"/>
  <c r="AJ2670" i="12"/>
  <c r="AJ2671" i="12"/>
  <c r="AJ2672" i="12"/>
  <c r="AJ2673" i="12"/>
  <c r="AJ2674" i="12"/>
  <c r="AJ2675" i="12"/>
  <c r="AJ2676" i="12"/>
  <c r="AJ2677" i="12"/>
  <c r="AJ2678" i="12"/>
  <c r="AJ2679" i="12"/>
  <c r="AJ2680" i="12"/>
  <c r="AJ2681" i="12"/>
  <c r="AJ2682" i="12"/>
  <c r="AJ2683" i="12"/>
  <c r="AJ2684" i="12"/>
  <c r="AJ2685" i="12"/>
  <c r="AJ2686" i="12"/>
  <c r="AJ2687" i="12"/>
  <c r="AJ2688" i="12"/>
  <c r="AJ2689" i="12"/>
  <c r="AJ2690" i="12"/>
  <c r="AJ2691" i="12"/>
  <c r="AJ2692" i="12"/>
  <c r="AJ2693" i="12"/>
  <c r="AJ2694" i="12"/>
  <c r="AJ2695" i="12"/>
  <c r="AJ2696" i="12"/>
  <c r="AJ2697" i="12"/>
  <c r="AJ2698" i="12"/>
  <c r="AJ2699" i="12"/>
  <c r="AJ2700" i="12"/>
  <c r="AJ2701" i="12"/>
  <c r="AJ2702" i="12"/>
  <c r="AJ2703" i="12"/>
  <c r="AJ2704" i="12"/>
  <c r="AJ2705" i="12"/>
  <c r="AJ2706" i="12"/>
  <c r="AJ2707" i="12"/>
  <c r="AJ2708" i="12"/>
  <c r="AJ2709" i="12"/>
  <c r="AJ2710" i="12"/>
  <c r="AJ2711" i="12"/>
  <c r="AJ2712" i="12"/>
  <c r="AJ2713" i="12"/>
  <c r="AJ2714" i="12"/>
  <c r="AJ2715" i="12"/>
  <c r="AJ2716" i="12"/>
  <c r="AJ2717" i="12"/>
  <c r="AJ2718" i="12"/>
  <c r="AJ2719" i="12"/>
  <c r="AJ2720" i="12"/>
  <c r="AJ2721" i="12"/>
  <c r="AJ2722" i="12"/>
  <c r="AJ2723" i="12"/>
  <c r="AJ2724" i="12"/>
  <c r="AJ2725" i="12"/>
  <c r="AJ2726" i="12"/>
  <c r="AJ2727" i="12"/>
  <c r="AJ2728" i="12"/>
  <c r="AJ2729" i="12"/>
  <c r="AJ2730" i="12"/>
  <c r="AJ2731" i="12"/>
  <c r="AJ2732" i="12"/>
  <c r="AJ2733" i="12"/>
  <c r="AJ2734" i="12"/>
  <c r="AJ2735" i="12"/>
  <c r="AJ2736" i="12"/>
  <c r="AJ2737" i="12"/>
  <c r="AJ2738" i="12"/>
  <c r="AJ2739" i="12"/>
  <c r="AJ2740" i="12"/>
  <c r="AJ2741" i="12"/>
  <c r="AJ2742" i="12"/>
  <c r="AJ2743" i="12"/>
  <c r="AJ2744" i="12"/>
  <c r="AJ2745" i="12"/>
  <c r="AJ2746" i="12"/>
  <c r="AJ2747" i="12"/>
  <c r="AJ2748" i="12"/>
  <c r="AJ2749" i="12"/>
  <c r="AJ2750" i="12"/>
  <c r="AJ2751" i="12"/>
  <c r="AJ2752" i="12"/>
  <c r="AJ2753" i="12"/>
  <c r="AJ2754" i="12"/>
  <c r="AJ2755" i="12"/>
  <c r="AJ2756" i="12"/>
  <c r="AJ2757" i="12"/>
  <c r="AJ2758" i="12"/>
  <c r="AJ2759" i="12"/>
  <c r="AJ2760" i="12"/>
  <c r="AJ2761" i="12"/>
  <c r="AJ2762" i="12"/>
  <c r="AJ2763" i="12"/>
  <c r="AJ2764" i="12"/>
  <c r="AJ2765" i="12"/>
  <c r="AJ2766" i="12"/>
  <c r="AJ2767" i="12"/>
  <c r="AJ2768" i="12"/>
  <c r="AJ2769" i="12"/>
  <c r="AJ2770" i="12"/>
  <c r="AJ2771" i="12"/>
  <c r="AJ2772" i="12"/>
  <c r="AJ2773" i="12"/>
  <c r="AJ2774" i="12"/>
  <c r="AJ2775" i="12"/>
  <c r="AJ2776" i="12"/>
  <c r="AJ2777" i="12"/>
  <c r="AJ2778" i="12"/>
  <c r="AJ2779" i="12"/>
  <c r="AJ2780" i="12"/>
  <c r="AJ2781" i="12"/>
  <c r="AJ2782" i="12"/>
  <c r="AJ2783" i="12"/>
  <c r="AJ2784" i="12"/>
  <c r="AJ2785" i="12"/>
  <c r="AJ2786" i="12"/>
  <c r="AJ2787" i="12"/>
  <c r="AJ2788" i="12"/>
  <c r="AJ2789" i="12"/>
  <c r="AJ2790" i="12"/>
  <c r="AJ2791" i="12"/>
  <c r="AJ2792" i="12"/>
  <c r="AJ2793" i="12"/>
  <c r="AJ2794" i="12"/>
  <c r="AJ2795" i="12"/>
  <c r="AJ2796" i="12"/>
  <c r="AJ2797" i="12"/>
  <c r="AJ2798" i="12"/>
  <c r="AJ2799" i="12"/>
  <c r="AJ2800" i="12"/>
  <c r="AJ2801" i="12"/>
  <c r="AJ2802" i="12"/>
  <c r="AJ2803" i="12"/>
  <c r="AJ2804" i="12"/>
  <c r="AJ2805" i="12"/>
  <c r="AJ2806" i="12"/>
  <c r="AJ2807" i="12"/>
  <c r="AJ2808" i="12"/>
  <c r="AJ2809" i="12"/>
  <c r="AJ2810" i="12"/>
  <c r="AJ2811" i="12"/>
  <c r="AJ2812" i="12"/>
  <c r="AJ2813" i="12"/>
  <c r="AJ2814" i="12"/>
  <c r="AJ2815" i="12"/>
  <c r="AJ2816" i="12"/>
  <c r="AJ2817" i="12"/>
  <c r="AJ2818" i="12"/>
  <c r="AJ2819" i="12"/>
  <c r="AJ2820" i="12"/>
  <c r="AJ2821" i="12"/>
  <c r="AJ2822" i="12"/>
  <c r="AJ2823" i="12"/>
  <c r="AJ2824" i="12"/>
  <c r="AJ2825" i="12"/>
  <c r="AJ2826" i="12"/>
  <c r="AJ2827" i="12"/>
  <c r="AJ2828" i="12"/>
  <c r="AJ2829" i="12"/>
  <c r="AJ2830" i="12"/>
  <c r="AJ2831" i="12"/>
  <c r="AJ2832" i="12"/>
  <c r="AJ2833" i="12"/>
  <c r="AJ2834" i="12"/>
  <c r="AJ2835" i="12"/>
  <c r="AJ2836" i="12"/>
  <c r="AJ2837" i="12"/>
  <c r="AJ2838" i="12"/>
  <c r="AJ2839" i="12"/>
  <c r="AJ2840" i="12"/>
  <c r="AJ2841" i="12"/>
  <c r="AJ2842" i="12"/>
  <c r="AJ2843" i="12"/>
  <c r="AJ2844" i="12"/>
  <c r="AJ2845" i="12"/>
  <c r="AJ2846" i="12"/>
  <c r="AJ2847" i="12"/>
  <c r="AJ2848" i="12"/>
  <c r="AJ2849" i="12"/>
  <c r="AJ2850" i="12"/>
  <c r="AJ2851" i="12"/>
  <c r="AJ2852" i="12"/>
  <c r="AJ2853" i="12"/>
  <c r="AJ2854" i="12"/>
  <c r="AJ2855" i="12"/>
  <c r="AJ2856" i="12"/>
  <c r="AJ2857" i="12"/>
  <c r="AJ2858" i="12"/>
  <c r="AJ2859" i="12"/>
  <c r="AJ2860" i="12"/>
  <c r="AJ2861" i="12"/>
  <c r="AJ2862" i="12"/>
  <c r="AJ2863" i="12"/>
  <c r="AJ2864" i="12"/>
  <c r="AJ2865" i="12"/>
  <c r="AJ2866" i="12"/>
  <c r="AJ2867" i="12"/>
  <c r="AJ2868" i="12"/>
  <c r="AJ2869" i="12"/>
  <c r="AJ2870" i="12"/>
  <c r="AJ2871" i="12"/>
  <c r="AJ2872" i="12"/>
  <c r="AJ2873" i="12"/>
  <c r="AJ2874" i="12"/>
  <c r="AJ2875" i="12"/>
  <c r="AJ2876" i="12"/>
  <c r="AJ2877" i="12"/>
  <c r="AJ2878" i="12"/>
  <c r="AJ2879" i="12"/>
  <c r="AJ2880" i="12"/>
  <c r="AJ2881" i="12"/>
  <c r="AJ2882" i="12"/>
  <c r="AJ2883" i="12"/>
  <c r="AJ2884" i="12"/>
  <c r="AJ2885" i="12"/>
  <c r="AJ2886" i="12"/>
  <c r="AJ2887" i="12"/>
  <c r="AJ2888" i="12"/>
  <c r="AJ2889" i="12"/>
  <c r="AJ2890" i="12"/>
  <c r="AJ2891" i="12"/>
  <c r="AJ2892" i="12"/>
  <c r="AJ2893" i="12"/>
  <c r="AJ2894" i="12"/>
  <c r="AJ2895" i="12"/>
  <c r="AJ2896" i="12"/>
  <c r="AJ2897" i="12"/>
  <c r="AJ2898" i="12"/>
  <c r="AJ2899" i="12"/>
  <c r="AJ2900" i="12"/>
  <c r="AJ2901" i="12"/>
  <c r="AJ2902" i="12"/>
  <c r="AJ2903" i="12"/>
  <c r="AJ2904" i="12"/>
  <c r="AJ2905" i="12"/>
  <c r="AJ2906" i="12"/>
  <c r="AJ2907" i="12"/>
  <c r="AJ2908" i="12"/>
  <c r="AJ2909" i="12"/>
  <c r="AJ2910" i="12"/>
  <c r="AJ2911" i="12"/>
  <c r="AJ2912" i="12"/>
  <c r="AJ2913" i="12"/>
  <c r="AJ2914" i="12"/>
  <c r="AJ2915" i="12"/>
  <c r="AJ2916" i="12"/>
  <c r="AJ2917" i="12"/>
  <c r="AJ2918" i="12"/>
  <c r="AJ2919" i="12"/>
  <c r="AJ2920" i="12"/>
  <c r="AJ2921" i="12"/>
  <c r="AJ2922" i="12"/>
  <c r="AJ2923" i="12"/>
  <c r="AJ2924" i="12"/>
  <c r="AJ2925" i="12"/>
  <c r="AJ2926" i="12"/>
  <c r="AJ2927" i="12"/>
  <c r="AJ2928" i="12"/>
  <c r="AJ2929" i="12"/>
  <c r="AJ2930" i="12"/>
  <c r="AJ2931" i="12"/>
  <c r="AJ2932" i="12"/>
  <c r="AJ2933" i="12"/>
  <c r="AJ2934" i="12"/>
  <c r="AJ2935" i="12"/>
  <c r="AJ2936" i="12"/>
  <c r="AJ2937" i="12"/>
  <c r="AJ2938" i="12"/>
  <c r="AJ2939" i="12"/>
  <c r="AJ2940" i="12"/>
  <c r="AJ2941" i="12"/>
  <c r="AJ2942" i="12"/>
  <c r="AJ2943" i="12"/>
  <c r="AJ2944" i="12"/>
  <c r="AJ2945" i="12"/>
  <c r="AJ2946" i="12"/>
  <c r="AJ2947" i="12"/>
  <c r="AJ2948" i="12"/>
  <c r="AJ2949" i="12"/>
  <c r="AJ2950" i="12"/>
  <c r="AJ2951" i="12"/>
  <c r="AJ2952" i="12"/>
  <c r="AJ2953" i="12"/>
  <c r="AJ2954" i="12"/>
  <c r="AJ2955" i="12"/>
  <c r="AJ2956" i="12"/>
  <c r="AJ2957" i="12"/>
  <c r="AJ2958" i="12"/>
  <c r="AJ2959" i="12"/>
  <c r="AJ2960" i="12"/>
  <c r="AJ2961" i="12"/>
  <c r="AJ2962" i="12"/>
  <c r="AJ2963" i="12"/>
  <c r="AJ2964" i="12"/>
  <c r="AJ2965" i="12"/>
  <c r="AJ2966" i="12"/>
  <c r="AJ2967" i="12"/>
  <c r="AJ2968" i="12"/>
  <c r="AJ2969" i="12"/>
  <c r="AJ2970" i="12"/>
  <c r="AJ2971" i="12"/>
  <c r="AJ2972" i="12"/>
  <c r="AJ2973" i="12"/>
  <c r="AJ2974" i="12"/>
  <c r="AJ2975" i="12"/>
  <c r="AJ2976" i="12"/>
  <c r="AJ2977" i="12"/>
  <c r="AJ2978" i="12"/>
  <c r="AJ2979" i="12"/>
  <c r="AJ2980" i="12"/>
  <c r="AJ2981" i="12"/>
  <c r="AJ2982" i="12"/>
  <c r="AJ2983" i="12"/>
  <c r="AJ2984" i="12"/>
  <c r="AJ2985" i="12"/>
  <c r="AJ2986" i="12"/>
  <c r="AJ2987" i="12"/>
  <c r="AJ2988" i="12"/>
  <c r="AJ2989" i="12"/>
  <c r="AJ2990" i="12"/>
  <c r="AJ2991" i="12"/>
  <c r="AJ2992" i="12"/>
  <c r="AJ2993" i="12"/>
  <c r="AJ2994" i="12"/>
  <c r="AJ2995" i="12"/>
  <c r="AJ2996" i="12"/>
  <c r="AJ2997" i="12"/>
  <c r="AJ2998" i="12"/>
  <c r="AJ2999" i="12"/>
  <c r="AJ3000" i="12"/>
  <c r="AJ3001" i="12"/>
  <c r="AJ3002" i="12"/>
  <c r="AJ3003" i="12"/>
  <c r="AJ3004" i="12"/>
  <c r="AJ3005" i="12"/>
  <c r="AJ3006" i="12"/>
  <c r="AJ3007" i="12"/>
  <c r="AJ3008" i="12"/>
  <c r="AJ3009" i="12"/>
  <c r="AJ3010" i="12"/>
  <c r="AJ3011" i="12"/>
  <c r="AJ3012" i="12"/>
  <c r="AJ3013" i="12"/>
  <c r="AJ3014" i="12"/>
  <c r="AJ3015" i="12"/>
  <c r="AJ3016" i="12"/>
  <c r="AJ3017" i="12"/>
  <c r="AJ3018" i="12"/>
  <c r="AJ3019" i="12"/>
  <c r="AJ3020" i="12"/>
  <c r="AJ3021" i="12"/>
  <c r="AJ3022" i="12"/>
  <c r="AJ3023" i="12"/>
  <c r="AJ3024" i="12"/>
  <c r="AJ3025" i="12"/>
  <c r="AJ3026" i="12"/>
  <c r="AJ3027" i="12"/>
  <c r="AJ3028" i="12"/>
  <c r="AJ3029" i="12"/>
  <c r="AJ3030" i="12"/>
  <c r="AJ3031" i="12"/>
  <c r="AJ3032" i="12"/>
  <c r="AJ3033" i="12"/>
  <c r="AJ3034" i="12"/>
  <c r="AJ3035" i="12"/>
  <c r="AJ3036" i="12"/>
  <c r="AJ3037" i="12"/>
  <c r="AJ3038" i="12"/>
  <c r="AJ3039" i="12"/>
  <c r="AJ3040" i="12"/>
  <c r="AJ3041" i="12"/>
  <c r="AJ3042" i="12"/>
  <c r="AJ3043" i="12"/>
  <c r="AJ3044" i="12"/>
  <c r="AJ3045" i="12"/>
  <c r="AJ3046" i="12"/>
  <c r="AJ3047" i="12"/>
  <c r="AJ3048" i="12"/>
  <c r="AJ3049" i="12"/>
  <c r="AJ3050" i="12"/>
  <c r="AJ3051" i="12"/>
  <c r="AJ3052" i="12"/>
  <c r="AJ3053" i="12"/>
  <c r="AJ3054" i="12"/>
  <c r="AJ3055" i="12"/>
  <c r="AJ3056" i="12"/>
  <c r="AJ3057" i="12"/>
  <c r="AJ3058" i="12"/>
  <c r="AJ3059" i="12"/>
  <c r="AJ3060" i="12"/>
  <c r="AJ3061" i="12"/>
  <c r="AJ3062" i="12"/>
  <c r="AJ3063" i="12"/>
  <c r="AJ3064" i="12"/>
  <c r="AJ3065" i="12"/>
  <c r="AJ3066" i="12"/>
  <c r="AJ3067" i="12"/>
  <c r="AJ3068" i="12"/>
  <c r="AJ3069" i="12"/>
  <c r="AJ3070" i="12"/>
  <c r="AJ3071" i="12"/>
  <c r="AJ3072" i="12"/>
  <c r="AJ3073" i="12"/>
  <c r="AJ3074" i="12"/>
  <c r="AJ3075" i="12"/>
  <c r="AJ3076" i="12"/>
  <c r="AJ3077" i="12"/>
  <c r="AJ3078" i="12"/>
  <c r="AJ3079" i="12"/>
  <c r="AJ3080" i="12"/>
  <c r="AJ3081" i="12"/>
  <c r="AJ3082" i="12"/>
  <c r="AJ3083" i="12"/>
  <c r="AJ3084" i="12"/>
  <c r="AJ3085" i="12"/>
  <c r="AJ3086" i="12"/>
  <c r="AJ3087" i="12"/>
  <c r="AJ3088" i="12"/>
  <c r="AJ3089" i="12"/>
  <c r="AJ3090" i="12"/>
  <c r="AJ3091" i="12"/>
  <c r="AJ3092" i="12"/>
  <c r="AJ3093" i="12"/>
  <c r="AJ3094" i="12"/>
  <c r="AJ3095" i="12"/>
  <c r="AJ3096" i="12"/>
  <c r="AJ3097" i="12"/>
  <c r="AJ3098" i="12"/>
  <c r="AJ3099" i="12"/>
  <c r="AJ3100" i="12"/>
  <c r="AJ3101" i="12"/>
  <c r="AJ3102" i="12"/>
  <c r="AJ3103" i="12"/>
  <c r="AJ3104" i="12"/>
  <c r="AJ3105" i="12"/>
  <c r="AJ3106" i="12"/>
  <c r="AJ3107" i="12"/>
  <c r="AJ3108" i="12"/>
  <c r="AJ3109" i="12"/>
  <c r="AJ3110" i="12"/>
  <c r="AJ3111" i="12"/>
  <c r="AJ3112" i="12"/>
  <c r="AJ3113" i="12"/>
  <c r="AJ3114" i="12"/>
  <c r="AJ3115" i="12"/>
  <c r="AJ3116" i="12"/>
  <c r="AJ3117" i="12"/>
  <c r="AJ3118" i="12"/>
  <c r="AJ3119" i="12"/>
  <c r="AJ3120" i="12"/>
  <c r="AJ3121" i="12"/>
  <c r="AJ3122" i="12"/>
  <c r="AJ3123" i="12"/>
  <c r="AJ3124" i="12"/>
  <c r="AJ3125" i="12"/>
  <c r="AJ3126" i="12"/>
  <c r="AJ3127" i="12"/>
  <c r="AJ3128" i="12"/>
  <c r="AJ3129" i="12"/>
  <c r="AJ3130" i="12"/>
  <c r="AJ3131" i="12"/>
  <c r="AJ3132" i="12"/>
  <c r="AJ3133" i="12"/>
  <c r="AJ3134" i="12"/>
  <c r="AJ3135" i="12"/>
  <c r="AJ3136" i="12"/>
  <c r="AJ3137" i="12"/>
  <c r="AJ3138" i="12"/>
  <c r="AJ3139" i="12"/>
  <c r="AJ3140" i="12"/>
  <c r="AJ3141" i="12"/>
  <c r="AJ3142" i="12"/>
  <c r="AJ3143" i="12"/>
  <c r="AJ3144" i="12"/>
  <c r="AJ3145" i="12"/>
  <c r="AJ3146" i="12"/>
  <c r="AJ3147" i="12"/>
  <c r="AJ3148" i="12"/>
  <c r="AJ3149" i="12"/>
  <c r="AJ3150" i="12"/>
  <c r="AJ3151" i="12"/>
  <c r="AJ3152" i="12"/>
  <c r="AJ3153" i="12"/>
  <c r="AJ3154" i="12"/>
  <c r="AJ3155" i="12"/>
  <c r="AJ3156" i="12"/>
  <c r="AJ3157" i="12"/>
  <c r="AJ3158" i="12"/>
  <c r="AJ3159" i="12"/>
  <c r="AJ3160" i="12"/>
  <c r="AJ3161" i="12"/>
  <c r="AJ3162" i="12"/>
  <c r="AJ3163" i="12"/>
  <c r="AJ3164" i="12"/>
  <c r="AJ3165" i="12"/>
  <c r="AJ3166" i="12"/>
  <c r="AJ3167" i="12"/>
  <c r="AJ3168" i="12"/>
  <c r="AJ3169" i="12"/>
  <c r="AJ3170" i="12"/>
  <c r="AJ3171" i="12"/>
  <c r="AJ3172" i="12"/>
  <c r="AJ3173" i="12"/>
  <c r="AJ3174" i="12"/>
  <c r="AJ3175" i="12"/>
  <c r="AJ3176" i="12"/>
  <c r="AJ3177" i="12"/>
  <c r="AJ3178" i="12"/>
  <c r="AJ3179" i="12"/>
  <c r="AJ3180" i="12"/>
  <c r="AJ3181" i="12"/>
  <c r="AJ3182" i="12"/>
  <c r="AJ3183" i="12"/>
  <c r="AJ3184" i="12"/>
  <c r="AJ3185" i="12"/>
  <c r="AJ3186" i="12"/>
  <c r="AJ3187" i="12"/>
  <c r="AJ3188" i="12"/>
  <c r="AJ3189" i="12"/>
  <c r="AJ3190" i="12"/>
  <c r="AJ3191" i="12"/>
  <c r="AJ3192" i="12"/>
  <c r="AJ3193" i="12"/>
  <c r="AJ3194" i="12"/>
  <c r="AJ3195" i="12"/>
  <c r="AJ3196" i="12"/>
  <c r="AJ3197" i="12"/>
  <c r="AJ3198" i="12"/>
  <c r="AJ3199" i="12"/>
  <c r="AJ3200" i="12"/>
  <c r="AJ3201" i="12"/>
  <c r="AJ3202" i="12"/>
  <c r="AJ3203" i="12"/>
  <c r="AJ3204" i="12"/>
  <c r="AJ3205" i="12"/>
  <c r="AJ3206" i="12"/>
  <c r="AJ3207" i="12"/>
  <c r="AJ3208" i="12"/>
  <c r="AJ3209" i="12"/>
  <c r="AJ3210" i="12"/>
  <c r="AJ3211" i="12"/>
  <c r="AJ3212" i="12"/>
  <c r="AJ3213" i="12"/>
  <c r="AJ3214" i="12"/>
  <c r="AJ3215" i="12"/>
  <c r="AJ3216" i="12"/>
  <c r="AJ3217" i="12"/>
  <c r="AJ3218" i="12"/>
  <c r="AJ3219" i="12"/>
  <c r="AJ3220" i="12"/>
  <c r="AJ3221" i="12"/>
  <c r="AJ3222" i="12"/>
  <c r="AJ3223" i="12"/>
  <c r="AJ3224" i="12"/>
  <c r="AJ3225" i="12"/>
  <c r="AJ3226" i="12"/>
  <c r="AJ3227" i="12"/>
  <c r="AJ3228" i="12"/>
  <c r="AJ3229" i="12"/>
  <c r="AJ3230" i="12"/>
  <c r="AJ3231" i="12"/>
  <c r="AJ3232" i="12"/>
  <c r="AJ3233" i="12"/>
  <c r="AJ3234" i="12"/>
  <c r="AJ3235" i="12"/>
  <c r="AJ3236" i="12"/>
  <c r="AJ3237" i="12"/>
  <c r="AJ3238" i="12"/>
  <c r="AJ3239" i="12"/>
  <c r="AJ3240" i="12"/>
  <c r="AJ3241" i="12"/>
  <c r="AJ3242" i="12"/>
  <c r="AJ3243" i="12"/>
  <c r="AJ3244" i="12"/>
  <c r="AJ3245" i="12"/>
  <c r="AJ3246" i="12"/>
  <c r="AJ3247" i="12"/>
  <c r="AJ3248" i="12"/>
  <c r="AJ3249" i="12"/>
  <c r="AJ3250" i="12"/>
  <c r="AJ3251" i="12"/>
  <c r="AJ3252" i="12"/>
  <c r="AJ3253" i="12"/>
  <c r="AJ3254" i="12"/>
  <c r="AJ3255" i="12"/>
  <c r="AJ3256" i="12"/>
  <c r="AJ3257" i="12"/>
  <c r="AJ3258" i="12"/>
  <c r="AJ3259" i="12"/>
  <c r="AJ3260" i="12"/>
  <c r="AJ3261" i="12"/>
  <c r="AJ3262" i="12"/>
  <c r="AJ3263" i="12"/>
  <c r="AJ3264" i="12"/>
  <c r="AJ3265" i="12"/>
  <c r="AJ3266" i="12"/>
  <c r="AJ3267" i="12"/>
  <c r="AJ3268" i="12"/>
  <c r="AJ3269" i="12"/>
  <c r="AJ3270" i="12"/>
  <c r="AJ3271" i="12"/>
  <c r="AJ3272" i="12"/>
  <c r="AJ3273" i="12"/>
  <c r="AJ3274" i="12"/>
  <c r="AJ3275" i="12"/>
  <c r="AJ3276" i="12"/>
  <c r="AJ3277" i="12"/>
  <c r="AJ3278" i="12"/>
  <c r="AJ3279" i="12"/>
  <c r="AJ3280" i="12"/>
  <c r="AJ3281" i="12"/>
  <c r="AJ3282" i="12"/>
  <c r="AJ3283" i="12"/>
  <c r="AJ3284" i="12"/>
  <c r="AJ3285" i="12"/>
  <c r="AJ3286" i="12"/>
  <c r="AJ3287" i="12"/>
  <c r="AJ3288" i="12"/>
  <c r="AJ3289" i="12"/>
  <c r="AJ3290" i="12"/>
  <c r="AJ3291" i="12"/>
  <c r="AJ3292" i="12"/>
  <c r="AJ3293" i="12"/>
  <c r="AJ3294" i="12"/>
  <c r="AJ3295" i="12"/>
  <c r="AJ3296" i="12"/>
  <c r="AJ3297" i="12"/>
  <c r="AJ3298" i="12"/>
  <c r="AJ3299" i="12"/>
  <c r="AJ3300" i="12"/>
  <c r="AJ3301" i="12"/>
  <c r="AJ3302" i="12"/>
  <c r="AJ3303" i="12"/>
  <c r="AJ3304" i="12"/>
  <c r="AJ3305" i="12"/>
  <c r="AJ3306" i="12"/>
  <c r="AJ3307" i="12"/>
  <c r="AJ3308" i="12"/>
  <c r="AJ3309" i="12"/>
  <c r="AJ3310" i="12"/>
  <c r="AJ3311" i="12"/>
  <c r="AJ3312" i="12"/>
  <c r="AJ3313" i="12"/>
  <c r="AJ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I1102" i="12"/>
  <c r="AI1103" i="12"/>
  <c r="AI1104" i="12"/>
  <c r="AI1105" i="12"/>
  <c r="AI1106" i="12"/>
  <c r="AI1107" i="12"/>
  <c r="AI1108" i="12"/>
  <c r="AI1109" i="12"/>
  <c r="AI1110" i="12"/>
  <c r="AI1111" i="12"/>
  <c r="AI1112" i="12"/>
  <c r="AI1113" i="12"/>
  <c r="AI1114" i="12"/>
  <c r="AI1115" i="12"/>
  <c r="AI1116" i="12"/>
  <c r="AI1117" i="12"/>
  <c r="AI1118" i="12"/>
  <c r="AI1119" i="12"/>
  <c r="AI1120" i="12"/>
  <c r="AI1121" i="12"/>
  <c r="AI1122" i="12"/>
  <c r="AI1123" i="12"/>
  <c r="AI1124" i="12"/>
  <c r="AI1125" i="12"/>
  <c r="AI1126" i="12"/>
  <c r="AI1127" i="12"/>
  <c r="AI1128" i="12"/>
  <c r="AI1129" i="12"/>
  <c r="AI1130" i="12"/>
  <c r="AI1131" i="12"/>
  <c r="AI1132" i="12"/>
  <c r="AI1133" i="12"/>
  <c r="AI1134" i="12"/>
  <c r="AI1135" i="12"/>
  <c r="AI1136" i="12"/>
  <c r="AI1137" i="12"/>
  <c r="AI1138" i="12"/>
  <c r="AI1139" i="12"/>
  <c r="AI1140" i="12"/>
  <c r="AI1141" i="12"/>
  <c r="AI1142" i="12"/>
  <c r="AI1143" i="12"/>
  <c r="AI1144" i="12"/>
  <c r="AI1145" i="12"/>
  <c r="AI1146" i="12"/>
  <c r="AI1147" i="12"/>
  <c r="AI1148" i="12"/>
  <c r="AI1149" i="12"/>
  <c r="AI1150" i="12"/>
  <c r="AI1151" i="12"/>
  <c r="AI1152" i="12"/>
  <c r="AI1153" i="12"/>
  <c r="AI1154" i="12"/>
  <c r="AI1155" i="12"/>
  <c r="AI1156" i="12"/>
  <c r="AI1157" i="12"/>
  <c r="AI1158" i="12"/>
  <c r="AI1159" i="12"/>
  <c r="AI1160" i="12"/>
  <c r="AI1161" i="12"/>
  <c r="AI1162" i="12"/>
  <c r="AI1163" i="12"/>
  <c r="AI1164" i="12"/>
  <c r="AI1165" i="12"/>
  <c r="AI1166" i="12"/>
  <c r="AI1167" i="12"/>
  <c r="AI1168" i="12"/>
  <c r="AI1169" i="12"/>
  <c r="AI1170" i="12"/>
  <c r="AI1171" i="12"/>
  <c r="AI1172" i="12"/>
  <c r="AI1173" i="12"/>
  <c r="AI1174" i="12"/>
  <c r="AI1175" i="12"/>
  <c r="AI1176" i="12"/>
  <c r="AI1177" i="12"/>
  <c r="AI1178" i="12"/>
  <c r="AI1179" i="12"/>
  <c r="AI1180" i="12"/>
  <c r="AI1181" i="12"/>
  <c r="AI1182" i="12"/>
  <c r="AI1183" i="12"/>
  <c r="AI1184" i="12"/>
  <c r="AI1185" i="12"/>
  <c r="AI1186" i="12"/>
  <c r="AI1187" i="12"/>
  <c r="AI1188" i="12"/>
  <c r="AI1189" i="12"/>
  <c r="AI1190" i="12"/>
  <c r="AI1191" i="12"/>
  <c r="AI1192" i="12"/>
  <c r="AI1193" i="12"/>
  <c r="AI1194" i="12"/>
  <c r="AI1195" i="12"/>
  <c r="AI1196" i="12"/>
  <c r="AI1197" i="12"/>
  <c r="AI1198" i="12"/>
  <c r="AI1199" i="12"/>
  <c r="AI1200" i="12"/>
  <c r="AI1201" i="12"/>
  <c r="AI1202" i="12"/>
  <c r="AI1203" i="12"/>
  <c r="AI1204" i="12"/>
  <c r="AI1205" i="12"/>
  <c r="AI1206" i="12"/>
  <c r="AI1207" i="12"/>
  <c r="AI1208" i="12"/>
  <c r="AI1209" i="12"/>
  <c r="AI1210" i="12"/>
  <c r="AI1211" i="12"/>
  <c r="AI1212" i="12"/>
  <c r="AI1213" i="12"/>
  <c r="AI1214" i="12"/>
  <c r="AI1215" i="12"/>
  <c r="AI1216" i="12"/>
  <c r="AI1217" i="12"/>
  <c r="AI1218" i="12"/>
  <c r="AI1219" i="12"/>
  <c r="AI1220" i="12"/>
  <c r="AI1221" i="12"/>
  <c r="AI1222" i="12"/>
  <c r="AI1223" i="12"/>
  <c r="AI1224" i="12"/>
  <c r="AI1225" i="12"/>
  <c r="AI1226" i="12"/>
  <c r="AI1227" i="12"/>
  <c r="AI1228" i="12"/>
  <c r="AI1229" i="12"/>
  <c r="AI1230" i="12"/>
  <c r="AI1231" i="12"/>
  <c r="AI1232" i="12"/>
  <c r="AI1233" i="12"/>
  <c r="AI1234" i="12"/>
  <c r="AI1235" i="12"/>
  <c r="AI1236" i="12"/>
  <c r="AI1237" i="12"/>
  <c r="AI1238" i="12"/>
  <c r="AI1239" i="12"/>
  <c r="AI1240" i="12"/>
  <c r="AI1241" i="12"/>
  <c r="AI1242" i="12"/>
  <c r="AI1243" i="12"/>
  <c r="AI1244" i="12"/>
  <c r="AI1245" i="12"/>
  <c r="AI1246" i="12"/>
  <c r="AI1247" i="12"/>
  <c r="AI1248" i="12"/>
  <c r="AI1249" i="12"/>
  <c r="AI1250" i="12"/>
  <c r="AI1251" i="12"/>
  <c r="AI1252" i="12"/>
  <c r="AI1253" i="12"/>
  <c r="AI1254" i="12"/>
  <c r="AI1255" i="12"/>
  <c r="AI1256" i="12"/>
  <c r="AI1257" i="12"/>
  <c r="AI1258" i="12"/>
  <c r="AI1259" i="12"/>
  <c r="AI1260" i="12"/>
  <c r="AI1261" i="12"/>
  <c r="AI1262" i="12"/>
  <c r="AI1263" i="12"/>
  <c r="AI1264" i="12"/>
  <c r="AI1265" i="12"/>
  <c r="AI1266" i="12"/>
  <c r="AI1267" i="12"/>
  <c r="AI1268" i="12"/>
  <c r="AI1269" i="12"/>
  <c r="AI1270" i="12"/>
  <c r="AI1271" i="12"/>
  <c r="AI1272" i="12"/>
  <c r="AI1273" i="12"/>
  <c r="AI1274" i="12"/>
  <c r="AI1275" i="12"/>
  <c r="AI1276" i="12"/>
  <c r="AI1277" i="12"/>
  <c r="AI1278" i="12"/>
  <c r="AI1279" i="12"/>
  <c r="AI1280" i="12"/>
  <c r="AI1281" i="12"/>
  <c r="AI1282" i="12"/>
  <c r="AI1283" i="12"/>
  <c r="AI1284" i="12"/>
  <c r="AI1285" i="12"/>
  <c r="AI1286" i="12"/>
  <c r="AI1287" i="12"/>
  <c r="AI1288" i="12"/>
  <c r="AI1289" i="12"/>
  <c r="AI1290" i="12"/>
  <c r="AI1291" i="12"/>
  <c r="AI1292" i="12"/>
  <c r="AI1293" i="12"/>
  <c r="AI1294" i="12"/>
  <c r="AI1295" i="12"/>
  <c r="AI1296" i="12"/>
  <c r="AI1297" i="12"/>
  <c r="AI1298" i="12"/>
  <c r="AI1299" i="12"/>
  <c r="AI1300" i="12"/>
  <c r="AI1301" i="12"/>
  <c r="AI1302" i="12"/>
  <c r="AI1303" i="12"/>
  <c r="AI1304" i="12"/>
  <c r="AI1305" i="12"/>
  <c r="AI1306" i="12"/>
  <c r="AI1307" i="12"/>
  <c r="AI1308" i="12"/>
  <c r="AI1309" i="12"/>
  <c r="AI1310" i="12"/>
  <c r="AI1311" i="12"/>
  <c r="AI1312" i="12"/>
  <c r="AI1313" i="12"/>
  <c r="AI1314" i="12"/>
  <c r="AI1315" i="12"/>
  <c r="AI1316" i="12"/>
  <c r="AI1317" i="12"/>
  <c r="AI1318" i="12"/>
  <c r="AI1319" i="12"/>
  <c r="AI1320" i="12"/>
  <c r="AI1321" i="12"/>
  <c r="AI1322" i="12"/>
  <c r="AI1323" i="12"/>
  <c r="AI1324" i="12"/>
  <c r="AI1325" i="12"/>
  <c r="AI1326" i="12"/>
  <c r="AI1327" i="12"/>
  <c r="AI1328" i="12"/>
  <c r="AI1329" i="12"/>
  <c r="AI1330" i="12"/>
  <c r="AI1331" i="12"/>
  <c r="AI1332" i="12"/>
  <c r="AI1333" i="12"/>
  <c r="AI1334" i="12"/>
  <c r="AI1335" i="12"/>
  <c r="AI1336" i="12"/>
  <c r="AI1337" i="12"/>
  <c r="AI1338" i="12"/>
  <c r="AI1339" i="12"/>
  <c r="AI1340" i="12"/>
  <c r="AI1341" i="12"/>
  <c r="AI1342" i="12"/>
  <c r="AI1343" i="12"/>
  <c r="AI1344" i="12"/>
  <c r="AI1345" i="12"/>
  <c r="AI1346" i="12"/>
  <c r="AI1347" i="12"/>
  <c r="AI1348" i="12"/>
  <c r="AI1349" i="12"/>
  <c r="AI1350" i="12"/>
  <c r="AI1351" i="12"/>
  <c r="AI1352" i="12"/>
  <c r="AI1353" i="12"/>
  <c r="AI1354" i="12"/>
  <c r="AI1355" i="12"/>
  <c r="AI1356" i="12"/>
  <c r="AI1357" i="12"/>
  <c r="AI1358" i="12"/>
  <c r="AI1359" i="12"/>
  <c r="AI1360" i="12"/>
  <c r="AI1361" i="12"/>
  <c r="AI1362" i="12"/>
  <c r="AI1363" i="12"/>
  <c r="AI1364" i="12"/>
  <c r="AI1365" i="12"/>
  <c r="AI1366" i="12"/>
  <c r="AI1367" i="12"/>
  <c r="AI1368" i="12"/>
  <c r="AI1369" i="12"/>
  <c r="AI1370" i="12"/>
  <c r="AI1371" i="12"/>
  <c r="AI1372" i="12"/>
  <c r="AI1373" i="12"/>
  <c r="AI1374" i="12"/>
  <c r="AI1375" i="12"/>
  <c r="AI1376" i="12"/>
  <c r="AI1377" i="12"/>
  <c r="AI1378" i="12"/>
  <c r="AI1379" i="12"/>
  <c r="AI1380" i="12"/>
  <c r="AI1381" i="12"/>
  <c r="AI1382" i="12"/>
  <c r="AI1383" i="12"/>
  <c r="AI1384" i="12"/>
  <c r="AI1385" i="12"/>
  <c r="AI1386" i="12"/>
  <c r="AI1387" i="12"/>
  <c r="AI1388" i="12"/>
  <c r="AI1389" i="12"/>
  <c r="AI1390" i="12"/>
  <c r="AI1391" i="12"/>
  <c r="AI1392" i="12"/>
  <c r="AI1393" i="12"/>
  <c r="AI1394" i="12"/>
  <c r="AI1395" i="12"/>
  <c r="AI1396" i="12"/>
  <c r="AI1397" i="12"/>
  <c r="AI1398" i="12"/>
  <c r="AI1399" i="12"/>
  <c r="AI1400" i="12"/>
  <c r="AI1401" i="12"/>
  <c r="AI1402" i="12"/>
  <c r="AI1403" i="12"/>
  <c r="AI1404" i="12"/>
  <c r="AI1405" i="12"/>
  <c r="AI1406" i="12"/>
  <c r="AI1407" i="12"/>
  <c r="AI1408" i="12"/>
  <c r="AI1409" i="12"/>
  <c r="AI1410" i="12"/>
  <c r="AI1411" i="12"/>
  <c r="AI1412" i="12"/>
  <c r="AI1413" i="12"/>
  <c r="AI1414" i="12"/>
  <c r="AI1415" i="12"/>
  <c r="AI1416" i="12"/>
  <c r="AI1417" i="12"/>
  <c r="AI1418" i="12"/>
  <c r="AI1419" i="12"/>
  <c r="AI1420" i="12"/>
  <c r="AI1421" i="12"/>
  <c r="AI1422" i="12"/>
  <c r="AI1423" i="12"/>
  <c r="AI1424" i="12"/>
  <c r="AI1425" i="12"/>
  <c r="AI1426" i="12"/>
  <c r="AI1427" i="12"/>
  <c r="AI1428" i="12"/>
  <c r="AI1429" i="12"/>
  <c r="AI1430" i="12"/>
  <c r="AI1431" i="12"/>
  <c r="AI1432" i="12"/>
  <c r="AI1433" i="12"/>
  <c r="AI1434" i="12"/>
  <c r="AI1435" i="12"/>
  <c r="AI1436" i="12"/>
  <c r="AI1437" i="12"/>
  <c r="AI1438" i="12"/>
  <c r="AI1439" i="12"/>
  <c r="AI1440" i="12"/>
  <c r="AI1441" i="12"/>
  <c r="AI1442" i="12"/>
  <c r="AI1443" i="12"/>
  <c r="AI1444" i="12"/>
  <c r="AI1445" i="12"/>
  <c r="AI1446" i="12"/>
  <c r="AI1447" i="12"/>
  <c r="AI1448" i="12"/>
  <c r="AI1449" i="12"/>
  <c r="AI1450" i="12"/>
  <c r="AI1451" i="12"/>
  <c r="AI1452" i="12"/>
  <c r="AI1453" i="12"/>
  <c r="AI1454" i="12"/>
  <c r="AI1455" i="12"/>
  <c r="AI1456" i="12"/>
  <c r="AI1457" i="12"/>
  <c r="AI1458" i="12"/>
  <c r="AI1459" i="12"/>
  <c r="AI1460" i="12"/>
  <c r="AI1461" i="12"/>
  <c r="AI1462" i="12"/>
  <c r="AI1463" i="12"/>
  <c r="AI1464" i="12"/>
  <c r="AI1465" i="12"/>
  <c r="AI1466" i="12"/>
  <c r="AI1467" i="12"/>
  <c r="AI1468" i="12"/>
  <c r="AI1469" i="12"/>
  <c r="AI1470" i="12"/>
  <c r="AI1471" i="12"/>
  <c r="AI1472" i="12"/>
  <c r="AI1473" i="12"/>
  <c r="AI1474" i="12"/>
  <c r="AI1475" i="12"/>
  <c r="AI1476" i="12"/>
  <c r="AI1477" i="12"/>
  <c r="AI1478" i="12"/>
  <c r="AI1479" i="12"/>
  <c r="AI1480" i="12"/>
  <c r="AI1481" i="12"/>
  <c r="AI1482" i="12"/>
  <c r="AI1483" i="12"/>
  <c r="AI1484" i="12"/>
  <c r="AI1485" i="12"/>
  <c r="AI1486" i="12"/>
  <c r="AI1487" i="12"/>
  <c r="AI1488" i="12"/>
  <c r="AI1489" i="12"/>
  <c r="AI1490" i="12"/>
  <c r="AI1491" i="12"/>
  <c r="AI1492" i="12"/>
  <c r="AI1493" i="12"/>
  <c r="AI1494" i="12"/>
  <c r="AI1495" i="12"/>
  <c r="AI1496" i="12"/>
  <c r="AI1497" i="12"/>
  <c r="AI1498" i="12"/>
  <c r="AI1499" i="12"/>
  <c r="AI1500" i="12"/>
  <c r="AI1501" i="12"/>
  <c r="AI1502" i="12"/>
  <c r="AI1503" i="12"/>
  <c r="AI1504" i="12"/>
  <c r="AI1505" i="12"/>
  <c r="AI1506" i="12"/>
  <c r="AI1507" i="12"/>
  <c r="AI1508" i="12"/>
  <c r="AI1509" i="12"/>
  <c r="AI1510" i="12"/>
  <c r="AI1511" i="12"/>
  <c r="AI1512" i="12"/>
  <c r="AI1513" i="12"/>
  <c r="AI1514" i="12"/>
  <c r="AI1515" i="12"/>
  <c r="AI1516" i="12"/>
  <c r="AI1517" i="12"/>
  <c r="AI1518" i="12"/>
  <c r="AI1519" i="12"/>
  <c r="AI1520" i="12"/>
  <c r="AI1521" i="12"/>
  <c r="AI1522" i="12"/>
  <c r="AI1523" i="12"/>
  <c r="AI1524" i="12"/>
  <c r="AI1525" i="12"/>
  <c r="AI1526" i="12"/>
  <c r="AI1527" i="12"/>
  <c r="AI1528" i="12"/>
  <c r="AI1529" i="12"/>
  <c r="AI1530" i="12"/>
  <c r="AI1531" i="12"/>
  <c r="AI1532" i="12"/>
  <c r="AI1533" i="12"/>
  <c r="AI1534" i="12"/>
  <c r="AI1535" i="12"/>
  <c r="AI1536" i="12"/>
  <c r="AI1537" i="12"/>
  <c r="AI1538" i="12"/>
  <c r="AI1539" i="12"/>
  <c r="AI1540" i="12"/>
  <c r="AI1541" i="12"/>
  <c r="AI1542" i="12"/>
  <c r="AI1543" i="12"/>
  <c r="AI1544" i="12"/>
  <c r="AI1545" i="12"/>
  <c r="AI1546" i="12"/>
  <c r="AI1547" i="12"/>
  <c r="AI1548" i="12"/>
  <c r="AI1549" i="12"/>
  <c r="AI1550" i="12"/>
  <c r="AI1551" i="12"/>
  <c r="AI1552" i="12"/>
  <c r="AI1553" i="12"/>
  <c r="AI1554" i="12"/>
  <c r="AI1555" i="12"/>
  <c r="AI1556" i="12"/>
  <c r="AI1557" i="12"/>
  <c r="AI1558" i="12"/>
  <c r="AI1559" i="12"/>
  <c r="AI1560" i="12"/>
  <c r="AI1561" i="12"/>
  <c r="AI1562" i="12"/>
  <c r="AI1563" i="12"/>
  <c r="AI1564" i="12"/>
  <c r="AI1565" i="12"/>
  <c r="AI1566" i="12"/>
  <c r="AI1567" i="12"/>
  <c r="AI1568" i="12"/>
  <c r="AI1569" i="12"/>
  <c r="AI1570" i="12"/>
  <c r="AI1571" i="12"/>
  <c r="AI1572" i="12"/>
  <c r="AI1573" i="12"/>
  <c r="AI1574" i="12"/>
  <c r="AI1575" i="12"/>
  <c r="AI1576" i="12"/>
  <c r="AI1577" i="12"/>
  <c r="AI1578" i="12"/>
  <c r="AI1579" i="12"/>
  <c r="AI1580" i="12"/>
  <c r="AI1581" i="12"/>
  <c r="AI1582" i="12"/>
  <c r="AI1583" i="12"/>
  <c r="AI1584" i="12"/>
  <c r="AI1585" i="12"/>
  <c r="AI1586" i="12"/>
  <c r="AI1587" i="12"/>
  <c r="AI1588" i="12"/>
  <c r="AI1589" i="12"/>
  <c r="AI1590" i="12"/>
  <c r="AI1591" i="12"/>
  <c r="AI1592" i="12"/>
  <c r="AI1593" i="12"/>
  <c r="AI1594" i="12"/>
  <c r="AI1595" i="12"/>
  <c r="AI1596" i="12"/>
  <c r="AI1597" i="12"/>
  <c r="AI1598" i="12"/>
  <c r="AI1599" i="12"/>
  <c r="AI1600" i="12"/>
  <c r="AI1601" i="12"/>
  <c r="AI1602" i="12"/>
  <c r="AI1603" i="12"/>
  <c r="AI1604" i="12"/>
  <c r="AI1605" i="12"/>
  <c r="AI1606" i="12"/>
  <c r="AI1607" i="12"/>
  <c r="AI1608" i="12"/>
  <c r="AI1609" i="12"/>
  <c r="AI1610" i="12"/>
  <c r="AI1611" i="12"/>
  <c r="AI1612" i="12"/>
  <c r="AI1613" i="12"/>
  <c r="AI1614" i="12"/>
  <c r="AI1615" i="12"/>
  <c r="AI1616" i="12"/>
  <c r="AI1617" i="12"/>
  <c r="AI1618" i="12"/>
  <c r="AI1619" i="12"/>
  <c r="AI1620" i="12"/>
  <c r="AI1621" i="12"/>
  <c r="AI1622" i="12"/>
  <c r="AI1623" i="12"/>
  <c r="AI1624" i="12"/>
  <c r="AI1625" i="12"/>
  <c r="AI1626" i="12"/>
  <c r="AI1627" i="12"/>
  <c r="AI1628" i="12"/>
  <c r="AI1629" i="12"/>
  <c r="AI1630" i="12"/>
  <c r="AI1631" i="12"/>
  <c r="AI1632" i="12"/>
  <c r="AI1633" i="12"/>
  <c r="AI1634" i="12"/>
  <c r="AI1635" i="12"/>
  <c r="AI1636" i="12"/>
  <c r="AI1637" i="12"/>
  <c r="AI1638" i="12"/>
  <c r="AI1639" i="12"/>
  <c r="AI1640" i="12"/>
  <c r="AI1641" i="12"/>
  <c r="AI1642" i="12"/>
  <c r="AI1643" i="12"/>
  <c r="AI1644" i="12"/>
  <c r="AI1645" i="12"/>
  <c r="AI1646" i="12"/>
  <c r="AI1647" i="12"/>
  <c r="AI1648" i="12"/>
  <c r="AI1649" i="12"/>
  <c r="AI1650" i="12"/>
  <c r="AI1651" i="12"/>
  <c r="AI1652" i="12"/>
  <c r="AI1653" i="12"/>
  <c r="AI1654" i="12"/>
  <c r="AI1655" i="12"/>
  <c r="AI1656" i="12"/>
  <c r="AI1657" i="12"/>
  <c r="AI1658" i="12"/>
  <c r="AI1659" i="12"/>
  <c r="AI1660" i="12"/>
  <c r="AI1661" i="12"/>
  <c r="AI1662" i="12"/>
  <c r="AI1663" i="12"/>
  <c r="AI1664" i="12"/>
  <c r="AI1665" i="12"/>
  <c r="AI1666" i="12"/>
  <c r="AI1667" i="12"/>
  <c r="AI1668" i="12"/>
  <c r="AI1669" i="12"/>
  <c r="AI1670" i="12"/>
  <c r="AI1671" i="12"/>
  <c r="AI1672" i="12"/>
  <c r="AI1673" i="12"/>
  <c r="AI1674" i="12"/>
  <c r="AI1675" i="12"/>
  <c r="AI1676" i="12"/>
  <c r="AI1677" i="12"/>
  <c r="AI1678" i="12"/>
  <c r="AI1679" i="12"/>
  <c r="AI1680" i="12"/>
  <c r="AI1681" i="12"/>
  <c r="AI1682" i="12"/>
  <c r="AI1683" i="12"/>
  <c r="AI1684" i="12"/>
  <c r="AI1685" i="12"/>
  <c r="AI1686" i="12"/>
  <c r="AI1687" i="12"/>
  <c r="AI1688" i="12"/>
  <c r="AI1689" i="12"/>
  <c r="AI1690" i="12"/>
  <c r="AI1691" i="12"/>
  <c r="AI1692" i="12"/>
  <c r="AI1693" i="12"/>
  <c r="AI1694" i="12"/>
  <c r="AI1695" i="12"/>
  <c r="AI1696" i="12"/>
  <c r="AI1697" i="12"/>
  <c r="AI1698" i="12"/>
  <c r="AI1699" i="12"/>
  <c r="AI1700" i="12"/>
  <c r="AI1701" i="12"/>
  <c r="AI1702" i="12"/>
  <c r="AI1703" i="12"/>
  <c r="AI1704" i="12"/>
  <c r="AI1705" i="12"/>
  <c r="AI1706" i="12"/>
  <c r="AI1707" i="12"/>
  <c r="AI1708" i="12"/>
  <c r="AI1709" i="12"/>
  <c r="AI1710" i="12"/>
  <c r="AI1711" i="12"/>
  <c r="AI1712" i="12"/>
  <c r="AI1713" i="12"/>
  <c r="AI1714" i="12"/>
  <c r="AI1715" i="12"/>
  <c r="AI1716" i="12"/>
  <c r="AI1717" i="12"/>
  <c r="AI1718" i="12"/>
  <c r="AI1719" i="12"/>
  <c r="AI1720" i="12"/>
  <c r="AI1721" i="12"/>
  <c r="AI1722" i="12"/>
  <c r="AI1723" i="12"/>
  <c r="AI1724" i="12"/>
  <c r="AI1725" i="12"/>
  <c r="AI1726" i="12"/>
  <c r="AI1727" i="12"/>
  <c r="AI1728" i="12"/>
  <c r="AI1729" i="12"/>
  <c r="AI1730" i="12"/>
  <c r="AI1731" i="12"/>
  <c r="AI1732" i="12"/>
  <c r="AI1733" i="12"/>
  <c r="AI1734" i="12"/>
  <c r="AI1735" i="12"/>
  <c r="AI1736" i="12"/>
  <c r="AI1737" i="12"/>
  <c r="AI1738" i="12"/>
  <c r="AI1739" i="12"/>
  <c r="AI1740" i="12"/>
  <c r="AI1741" i="12"/>
  <c r="AI1742" i="12"/>
  <c r="AI1743" i="12"/>
  <c r="AI1744" i="12"/>
  <c r="AI1745" i="12"/>
  <c r="AI1746" i="12"/>
  <c r="AI1747" i="12"/>
  <c r="AI1748" i="12"/>
  <c r="AI1749" i="12"/>
  <c r="AI1750" i="12"/>
  <c r="AI1751" i="12"/>
  <c r="AI1752" i="12"/>
  <c r="AI1753" i="12"/>
  <c r="AI1754" i="12"/>
  <c r="AI1755" i="12"/>
  <c r="AI1756" i="12"/>
  <c r="AI1757" i="12"/>
  <c r="AI1758" i="12"/>
  <c r="AI1759" i="12"/>
  <c r="AI1760" i="12"/>
  <c r="AI1761" i="12"/>
  <c r="AI1762" i="12"/>
  <c r="AI1763" i="12"/>
  <c r="AI1764" i="12"/>
  <c r="AI1765" i="12"/>
  <c r="AI1766" i="12"/>
  <c r="AI1767" i="12"/>
  <c r="AI1768" i="12"/>
  <c r="AI1769" i="12"/>
  <c r="AI1770" i="12"/>
  <c r="AI1771" i="12"/>
  <c r="AI1772" i="12"/>
  <c r="AI1773" i="12"/>
  <c r="AI1774" i="12"/>
  <c r="AI1775" i="12"/>
  <c r="AI1776" i="12"/>
  <c r="AI1777" i="12"/>
  <c r="AI1778" i="12"/>
  <c r="AI1779" i="12"/>
  <c r="AI1780" i="12"/>
  <c r="AI1781" i="12"/>
  <c r="AI1782" i="12"/>
  <c r="AI1783" i="12"/>
  <c r="AI1784" i="12"/>
  <c r="AI1785" i="12"/>
  <c r="AI1786" i="12"/>
  <c r="AI1787" i="12"/>
  <c r="AI1788" i="12"/>
  <c r="AI1789" i="12"/>
  <c r="AI1790" i="12"/>
  <c r="AI1791" i="12"/>
  <c r="AI1792" i="12"/>
  <c r="AI1793" i="12"/>
  <c r="AI1794" i="12"/>
  <c r="AI1795" i="12"/>
  <c r="AI1796" i="12"/>
  <c r="AI1797" i="12"/>
  <c r="AI1798" i="12"/>
  <c r="AI1799" i="12"/>
  <c r="AI1800" i="12"/>
  <c r="AI1801" i="12"/>
  <c r="AI1802" i="12"/>
  <c r="AI1803" i="12"/>
  <c r="AI1804" i="12"/>
  <c r="AI1805" i="12"/>
  <c r="AI1806" i="12"/>
  <c r="AI1807" i="12"/>
  <c r="AI1808" i="12"/>
  <c r="AI1809" i="12"/>
  <c r="AI1810" i="12"/>
  <c r="AI1811" i="12"/>
  <c r="AI1812" i="12"/>
  <c r="AI1813" i="12"/>
  <c r="AI1814" i="12"/>
  <c r="AI1815" i="12"/>
  <c r="AI1816" i="12"/>
  <c r="AI1817" i="12"/>
  <c r="AI1818" i="12"/>
  <c r="AI1819" i="12"/>
  <c r="AI1820" i="12"/>
  <c r="AI1821" i="12"/>
  <c r="AI1822" i="12"/>
  <c r="AI1823" i="12"/>
  <c r="AI1824" i="12"/>
  <c r="AI1825" i="12"/>
  <c r="AI1826" i="12"/>
  <c r="AI1827" i="12"/>
  <c r="AI1828" i="12"/>
  <c r="AI1829" i="12"/>
  <c r="AI1830" i="12"/>
  <c r="AI1831" i="12"/>
  <c r="AI1832" i="12"/>
  <c r="AI1833" i="12"/>
  <c r="AI1834" i="12"/>
  <c r="AI1835" i="12"/>
  <c r="AI1836" i="12"/>
  <c r="AI1837" i="12"/>
  <c r="AI1838" i="12"/>
  <c r="AI1839" i="12"/>
  <c r="AI1840" i="12"/>
  <c r="AI1841" i="12"/>
  <c r="AI1842" i="12"/>
  <c r="AI1843" i="12"/>
  <c r="AI1844" i="12"/>
  <c r="AI1845" i="12"/>
  <c r="AI1846" i="12"/>
  <c r="AI1847" i="12"/>
  <c r="AI1848" i="12"/>
  <c r="AI1849" i="12"/>
  <c r="AI1850" i="12"/>
  <c r="AI1851" i="12"/>
  <c r="AI1852" i="12"/>
  <c r="AI1853" i="12"/>
  <c r="AI1854" i="12"/>
  <c r="AI1855" i="12"/>
  <c r="AI1856" i="12"/>
  <c r="AI1857" i="12"/>
  <c r="AI1858" i="12"/>
  <c r="AI1859" i="12"/>
  <c r="AI1860" i="12"/>
  <c r="AI1861" i="12"/>
  <c r="AI1862" i="12"/>
  <c r="AI1863" i="12"/>
  <c r="AI1864" i="12"/>
  <c r="AI1865" i="12"/>
  <c r="AI1866" i="12"/>
  <c r="AI1867" i="12"/>
  <c r="AI1868" i="12"/>
  <c r="AI1869" i="12"/>
  <c r="AI1870" i="12"/>
  <c r="AI1871" i="12"/>
  <c r="AI1872" i="12"/>
  <c r="AI1873" i="12"/>
  <c r="AI1874" i="12"/>
  <c r="AI1875" i="12"/>
  <c r="AI1876" i="12"/>
  <c r="AI1877" i="12"/>
  <c r="AI1878" i="12"/>
  <c r="AI1879" i="12"/>
  <c r="AI1880" i="12"/>
  <c r="AI1881" i="12"/>
  <c r="AI1882" i="12"/>
  <c r="AI1883" i="12"/>
  <c r="AI1884" i="12"/>
  <c r="AI1885" i="12"/>
  <c r="AI1886" i="12"/>
  <c r="AI1887" i="12"/>
  <c r="AI1888" i="12"/>
  <c r="AI1889" i="12"/>
  <c r="AI1890" i="12"/>
  <c r="AI1891" i="12"/>
  <c r="AI1892" i="12"/>
  <c r="AI1893" i="12"/>
  <c r="AI1894" i="12"/>
  <c r="AI1895" i="12"/>
  <c r="AI1896" i="12"/>
  <c r="AI1897" i="12"/>
  <c r="AI1898" i="12"/>
  <c r="AI1899" i="12"/>
  <c r="AI1900" i="12"/>
  <c r="AI1901" i="12"/>
  <c r="AI1902" i="12"/>
  <c r="AI1903" i="12"/>
  <c r="AI1904" i="12"/>
  <c r="AI1905" i="12"/>
  <c r="AI1906" i="12"/>
  <c r="AI1907" i="12"/>
  <c r="AI1908" i="12"/>
  <c r="AI1909" i="12"/>
  <c r="AI1910" i="12"/>
  <c r="AI1911" i="12"/>
  <c r="AI1912" i="12"/>
  <c r="AI1913" i="12"/>
  <c r="AI1914" i="12"/>
  <c r="AI1915" i="12"/>
  <c r="AI1916" i="12"/>
  <c r="AI1917" i="12"/>
  <c r="AI1918" i="12"/>
  <c r="AI1919" i="12"/>
  <c r="AI1920" i="12"/>
  <c r="AI1921" i="12"/>
  <c r="AI1922" i="12"/>
  <c r="AI1923" i="12"/>
  <c r="AI1924" i="12"/>
  <c r="AI1925" i="12"/>
  <c r="AI1926" i="12"/>
  <c r="AI1927" i="12"/>
  <c r="AI1928" i="12"/>
  <c r="AI1929" i="12"/>
  <c r="AI1930" i="12"/>
  <c r="AI1931" i="12"/>
  <c r="AI1932" i="12"/>
  <c r="AI1933" i="12"/>
  <c r="AI1934" i="12"/>
  <c r="AI1935" i="12"/>
  <c r="AI1936" i="12"/>
  <c r="AI1937" i="12"/>
  <c r="AI1938" i="12"/>
  <c r="AI1939" i="12"/>
  <c r="AI1940" i="12"/>
  <c r="AI1941" i="12"/>
  <c r="AI1942" i="12"/>
  <c r="AI1943" i="12"/>
  <c r="AI1944" i="12"/>
  <c r="AI1945" i="12"/>
  <c r="AI1946" i="12"/>
  <c r="AI1947" i="12"/>
  <c r="AI1948" i="12"/>
  <c r="AI1949" i="12"/>
  <c r="AI1950" i="12"/>
  <c r="AI1951" i="12"/>
  <c r="AI1952" i="12"/>
  <c r="AI1953" i="12"/>
  <c r="AI1954" i="12"/>
  <c r="AI1955" i="12"/>
  <c r="AI1956" i="12"/>
  <c r="AI1957" i="12"/>
  <c r="AI1958" i="12"/>
  <c r="AI1959" i="12"/>
  <c r="AI1960" i="12"/>
  <c r="AI1961" i="12"/>
  <c r="AI1962" i="12"/>
  <c r="AI1963" i="12"/>
  <c r="AI1964" i="12"/>
  <c r="AI1965" i="12"/>
  <c r="AI1966" i="12"/>
  <c r="AI1967" i="12"/>
  <c r="AI1968" i="12"/>
  <c r="AI1969" i="12"/>
  <c r="AI1970" i="12"/>
  <c r="AI1971" i="12"/>
  <c r="AI1972" i="12"/>
  <c r="AI1973" i="12"/>
  <c r="AI1974" i="12"/>
  <c r="AI1975" i="12"/>
  <c r="AI1976" i="12"/>
  <c r="AI1977" i="12"/>
  <c r="AI1978" i="12"/>
  <c r="AI1979" i="12"/>
  <c r="AI1980" i="12"/>
  <c r="AI1981" i="12"/>
  <c r="AI1982" i="12"/>
  <c r="AI1983" i="12"/>
  <c r="AI1984" i="12"/>
  <c r="AI1985" i="12"/>
  <c r="AI1986" i="12"/>
  <c r="AI1987" i="12"/>
  <c r="AI1988" i="12"/>
  <c r="AI1989" i="12"/>
  <c r="AI1990" i="12"/>
  <c r="AI1991" i="12"/>
  <c r="AI1992" i="12"/>
  <c r="AI1993" i="12"/>
  <c r="AI1994" i="12"/>
  <c r="AI1995" i="12"/>
  <c r="AI1996" i="12"/>
  <c r="AI1997" i="12"/>
  <c r="AI1998" i="12"/>
  <c r="AI1999" i="12"/>
  <c r="AI2000" i="12"/>
  <c r="AI2001" i="12"/>
  <c r="AI2002" i="12"/>
  <c r="AI2003" i="12"/>
  <c r="AI2004" i="12"/>
  <c r="AI2005" i="12"/>
  <c r="AI2006" i="12"/>
  <c r="AI2007" i="12"/>
  <c r="AI2008" i="12"/>
  <c r="AI2009" i="12"/>
  <c r="AI2010" i="12"/>
  <c r="AI2011" i="12"/>
  <c r="AI2012" i="12"/>
  <c r="AI2013" i="12"/>
  <c r="AI2014" i="12"/>
  <c r="AI2015" i="12"/>
  <c r="AI2016" i="12"/>
  <c r="AI2017" i="12"/>
  <c r="AI2018" i="12"/>
  <c r="AI2019" i="12"/>
  <c r="AI2020" i="12"/>
  <c r="AI2021" i="12"/>
  <c r="AI2022" i="12"/>
  <c r="AI2023" i="12"/>
  <c r="AI2024" i="12"/>
  <c r="AI2025" i="12"/>
  <c r="AI2026" i="12"/>
  <c r="AI2027" i="12"/>
  <c r="AI2028" i="12"/>
  <c r="AI2029" i="12"/>
  <c r="AI2030" i="12"/>
  <c r="AI2031" i="12"/>
  <c r="AI2032" i="12"/>
  <c r="AI2033" i="12"/>
  <c r="AI2034" i="12"/>
  <c r="AI2035" i="12"/>
  <c r="AI2036" i="12"/>
  <c r="AI2037" i="12"/>
  <c r="AI2038" i="12"/>
  <c r="AI2039" i="12"/>
  <c r="AI2040" i="12"/>
  <c r="AI2041" i="12"/>
  <c r="AI2042" i="12"/>
  <c r="AI2043" i="12"/>
  <c r="AI2044" i="12"/>
  <c r="AI2045" i="12"/>
  <c r="AI2046" i="12"/>
  <c r="AI2047" i="12"/>
  <c r="AI2048" i="12"/>
  <c r="AI2049" i="12"/>
  <c r="AI2050" i="12"/>
  <c r="AI2051" i="12"/>
  <c r="AI2052" i="12"/>
  <c r="AI2053" i="12"/>
  <c r="AI2054" i="12"/>
  <c r="AI2055" i="12"/>
  <c r="AI2056" i="12"/>
  <c r="AI2057" i="12"/>
  <c r="AI2058" i="12"/>
  <c r="AI2059" i="12"/>
  <c r="AI2060" i="12"/>
  <c r="AI2061" i="12"/>
  <c r="AI2062" i="12"/>
  <c r="AI2063" i="12"/>
  <c r="AI2064" i="12"/>
  <c r="AI2065" i="12"/>
  <c r="AI2066" i="12"/>
  <c r="AI2067" i="12"/>
  <c r="AI2068" i="12"/>
  <c r="AI2069" i="12"/>
  <c r="AI2070" i="12"/>
  <c r="AI2071" i="12"/>
  <c r="AI2072" i="12"/>
  <c r="AI2073" i="12"/>
  <c r="AI2074" i="12"/>
  <c r="AI2075" i="12"/>
  <c r="AI2076" i="12"/>
  <c r="AI2077" i="12"/>
  <c r="AI2078" i="12"/>
  <c r="AI2079" i="12"/>
  <c r="AI2080" i="12"/>
  <c r="AI2081" i="12"/>
  <c r="AI2082" i="12"/>
  <c r="AI2083" i="12"/>
  <c r="AI2084" i="12"/>
  <c r="AI2085" i="12"/>
  <c r="AI2086" i="12"/>
  <c r="AI2087" i="12"/>
  <c r="AI2088" i="12"/>
  <c r="AI2089" i="12"/>
  <c r="AI2090" i="12"/>
  <c r="AI2091" i="12"/>
  <c r="AI2092" i="12"/>
  <c r="AI2093" i="12"/>
  <c r="AI2094" i="12"/>
  <c r="AI2095" i="12"/>
  <c r="AI2096" i="12"/>
  <c r="AI2097" i="12"/>
  <c r="AI2098" i="12"/>
  <c r="AI2099" i="12"/>
  <c r="AI2100" i="12"/>
  <c r="AI2101" i="12"/>
  <c r="AI2102" i="12"/>
  <c r="AI2103" i="12"/>
  <c r="AI2104" i="12"/>
  <c r="AI2105" i="12"/>
  <c r="AI2106" i="12"/>
  <c r="AI2107" i="12"/>
  <c r="AI2108" i="12"/>
  <c r="AI2109" i="12"/>
  <c r="AI2110" i="12"/>
  <c r="AI2111" i="12"/>
  <c r="AI2112" i="12"/>
  <c r="AI2113" i="12"/>
  <c r="AI2114" i="12"/>
  <c r="AI2115" i="12"/>
  <c r="AI2116" i="12"/>
  <c r="AI2117" i="12"/>
  <c r="AI2118" i="12"/>
  <c r="AI2119" i="12"/>
  <c r="AI2120" i="12"/>
  <c r="AI2121" i="12"/>
  <c r="AI2122" i="12"/>
  <c r="AI2123" i="12"/>
  <c r="AI2124" i="12"/>
  <c r="AI2125" i="12"/>
  <c r="AI2126" i="12"/>
  <c r="AI2127" i="12"/>
  <c r="AI2128" i="12"/>
  <c r="AI2129" i="12"/>
  <c r="AI2130" i="12"/>
  <c r="AI2131" i="12"/>
  <c r="AI2132" i="12"/>
  <c r="AI2133" i="12"/>
  <c r="AI2134" i="12"/>
  <c r="AI2135" i="12"/>
  <c r="AI2136" i="12"/>
  <c r="AI2137" i="12"/>
  <c r="AI2138" i="12"/>
  <c r="AI2139" i="12"/>
  <c r="AI2140" i="12"/>
  <c r="AI2141" i="12"/>
  <c r="AI2142" i="12"/>
  <c r="AI2143" i="12"/>
  <c r="AI2144" i="12"/>
  <c r="AI2145" i="12"/>
  <c r="AI2146" i="12"/>
  <c r="AI2147" i="12"/>
  <c r="AI2148" i="12"/>
  <c r="AI2149" i="12"/>
  <c r="AI2150" i="12"/>
  <c r="AI2151" i="12"/>
  <c r="AI2152" i="12"/>
  <c r="AI2153" i="12"/>
  <c r="AI2154" i="12"/>
  <c r="AI2155" i="12"/>
  <c r="AI2156" i="12"/>
  <c r="AI2157" i="12"/>
  <c r="AI2158" i="12"/>
  <c r="AI2159" i="12"/>
  <c r="AI2160" i="12"/>
  <c r="AI2161" i="12"/>
  <c r="AI2162" i="12"/>
  <c r="AI2163" i="12"/>
  <c r="AI2164" i="12"/>
  <c r="AI2165" i="12"/>
  <c r="AI2166" i="12"/>
  <c r="AI2167" i="12"/>
  <c r="AI2168" i="12"/>
  <c r="AI2169" i="12"/>
  <c r="AI2170" i="12"/>
  <c r="AI2171" i="12"/>
  <c r="AI2172" i="12"/>
  <c r="AI2173" i="12"/>
  <c r="AI2174" i="12"/>
  <c r="AI2175" i="12"/>
  <c r="AI2176" i="12"/>
  <c r="AI2177" i="12"/>
  <c r="AI2178" i="12"/>
  <c r="AI2179" i="12"/>
  <c r="AI2180" i="12"/>
  <c r="AI2181" i="12"/>
  <c r="AI2182" i="12"/>
  <c r="AI2183" i="12"/>
  <c r="AI2184" i="12"/>
  <c r="AI2185" i="12"/>
  <c r="AI2186" i="12"/>
  <c r="AI2187" i="12"/>
  <c r="AI2188" i="12"/>
  <c r="AI2189" i="12"/>
  <c r="AI2190" i="12"/>
  <c r="AI2191" i="12"/>
  <c r="AI2192" i="12"/>
  <c r="AI2193" i="12"/>
  <c r="AI2194" i="12"/>
  <c r="AI2195" i="12"/>
  <c r="AI2196" i="12"/>
  <c r="AI2197" i="12"/>
  <c r="AI2198" i="12"/>
  <c r="AI2199" i="12"/>
  <c r="AI2200" i="12"/>
  <c r="AI2201" i="12"/>
  <c r="AI2202" i="12"/>
  <c r="AI2203" i="12"/>
  <c r="AI2204" i="12"/>
  <c r="AI2205" i="12"/>
  <c r="AI2206" i="12"/>
  <c r="AI2207" i="12"/>
  <c r="AI2208" i="12"/>
  <c r="AI2209" i="12"/>
  <c r="AI2210" i="12"/>
  <c r="AI2211" i="12"/>
  <c r="AI2212" i="12"/>
  <c r="AI2213" i="12"/>
  <c r="AI2214" i="12"/>
  <c r="AI2215" i="12"/>
  <c r="AI2216" i="12"/>
  <c r="AI2217" i="12"/>
  <c r="AI2218" i="12"/>
  <c r="AI2219" i="12"/>
  <c r="AI2220" i="12"/>
  <c r="AI2221" i="12"/>
  <c r="AI2222" i="12"/>
  <c r="AI2223" i="12"/>
  <c r="AI2224" i="12"/>
  <c r="AI2225" i="12"/>
  <c r="AI2226" i="12"/>
  <c r="AI2227" i="12"/>
  <c r="AI2228" i="12"/>
  <c r="AI2229" i="12"/>
  <c r="AI2230" i="12"/>
  <c r="AI2231" i="12"/>
  <c r="AI2232" i="12"/>
  <c r="AI2233" i="12"/>
  <c r="AI2234" i="12"/>
  <c r="AI2235" i="12"/>
  <c r="AI2236" i="12"/>
  <c r="AI2237" i="12"/>
  <c r="AI2238" i="12"/>
  <c r="AI2239" i="12"/>
  <c r="AI2240" i="12"/>
  <c r="AI2241" i="12"/>
  <c r="AI2242" i="12"/>
  <c r="AI2243" i="12"/>
  <c r="AI2244" i="12"/>
  <c r="AI2245" i="12"/>
  <c r="AI2246" i="12"/>
  <c r="AI2247" i="12"/>
  <c r="AI2248" i="12"/>
  <c r="AI2249" i="12"/>
  <c r="AI2250" i="12"/>
  <c r="AI2251" i="12"/>
  <c r="AI2252" i="12"/>
  <c r="AI2253" i="12"/>
  <c r="AI2254" i="12"/>
  <c r="AI2255" i="12"/>
  <c r="AI2256" i="12"/>
  <c r="AI2257" i="12"/>
  <c r="AI2258" i="12"/>
  <c r="AI2259" i="12"/>
  <c r="AI2260" i="12"/>
  <c r="AI2261" i="12"/>
  <c r="AI2262" i="12"/>
  <c r="AI2263" i="12"/>
  <c r="AI2264" i="12"/>
  <c r="AI2265" i="12"/>
  <c r="AI2266" i="12"/>
  <c r="AI2267" i="12"/>
  <c r="AI2268" i="12"/>
  <c r="AI2269" i="12"/>
  <c r="AI2270" i="12"/>
  <c r="AI2271" i="12"/>
  <c r="AI2272" i="12"/>
  <c r="AI2273" i="12"/>
  <c r="AI2274" i="12"/>
  <c r="AI2275" i="12"/>
  <c r="AI2276" i="12"/>
  <c r="AI2277" i="12"/>
  <c r="AI2278" i="12"/>
  <c r="AI2279" i="12"/>
  <c r="AI2280" i="12"/>
  <c r="AI2281" i="12"/>
  <c r="AI2282" i="12"/>
  <c r="AI2283" i="12"/>
  <c r="AI2284" i="12"/>
  <c r="AI2285" i="12"/>
  <c r="AI2286" i="12"/>
  <c r="AI2287" i="12"/>
  <c r="AI2288" i="12"/>
  <c r="AI2289" i="12"/>
  <c r="AI2290" i="12"/>
  <c r="AI2291" i="12"/>
  <c r="AI2292" i="12"/>
  <c r="AI2293" i="12"/>
  <c r="AI2294" i="12"/>
  <c r="AI2295" i="12"/>
  <c r="AI2296" i="12"/>
  <c r="AI2297" i="12"/>
  <c r="AI2298" i="12"/>
  <c r="AI2299" i="12"/>
  <c r="AI2300" i="12"/>
  <c r="AI2301" i="12"/>
  <c r="AI2302" i="12"/>
  <c r="AI2303" i="12"/>
  <c r="AI2304" i="12"/>
  <c r="AI2305" i="12"/>
  <c r="AI2306" i="12"/>
  <c r="AI2307" i="12"/>
  <c r="AI2308" i="12"/>
  <c r="AI2309" i="12"/>
  <c r="AI2310" i="12"/>
  <c r="AI2311" i="12"/>
  <c r="AI2312" i="12"/>
  <c r="AI2313" i="12"/>
  <c r="AI2314" i="12"/>
  <c r="AI2315" i="12"/>
  <c r="AI2316" i="12"/>
  <c r="AI2317" i="12"/>
  <c r="AI2318" i="12"/>
  <c r="AI2319" i="12"/>
  <c r="AI2320" i="12"/>
  <c r="AI2321" i="12"/>
  <c r="AI2322" i="12"/>
  <c r="AI2323" i="12"/>
  <c r="AI2324" i="12"/>
  <c r="AI2325" i="12"/>
  <c r="AI2326" i="12"/>
  <c r="AI2327" i="12"/>
  <c r="AI2328" i="12"/>
  <c r="AI2329" i="12"/>
  <c r="AI2330" i="12"/>
  <c r="AI2331" i="12"/>
  <c r="AI2332" i="12"/>
  <c r="AI2333" i="12"/>
  <c r="AI2334" i="12"/>
  <c r="AI2335" i="12"/>
  <c r="AI2336" i="12"/>
  <c r="AI2337" i="12"/>
  <c r="AI2338" i="12"/>
  <c r="AI2339" i="12"/>
  <c r="AI2340" i="12"/>
  <c r="AI2341" i="12"/>
  <c r="AI2342" i="12"/>
  <c r="AI2343" i="12"/>
  <c r="AI2344" i="12"/>
  <c r="AI2345" i="12"/>
  <c r="AI2346" i="12"/>
  <c r="AI2347" i="12"/>
  <c r="AI2348" i="12"/>
  <c r="AI2349" i="12"/>
  <c r="AI2350" i="12"/>
  <c r="AI2351" i="12"/>
  <c r="AI2352" i="12"/>
  <c r="AI2353" i="12"/>
  <c r="AI2354" i="12"/>
  <c r="AI2355" i="12"/>
  <c r="AI2356" i="12"/>
  <c r="AI2357" i="12"/>
  <c r="AI2358" i="12"/>
  <c r="AI2359" i="12"/>
  <c r="AI2360" i="12"/>
  <c r="AI2361" i="12"/>
  <c r="AI2362" i="12"/>
  <c r="AI2363" i="12"/>
  <c r="AI2364" i="12"/>
  <c r="AI2365" i="12"/>
  <c r="AI2366" i="12"/>
  <c r="AI2367" i="12"/>
  <c r="AI2368" i="12"/>
  <c r="AI2369" i="12"/>
  <c r="AI2370" i="12"/>
  <c r="AI2371" i="12"/>
  <c r="AI2372" i="12"/>
  <c r="AI2373" i="12"/>
  <c r="AI2374" i="12"/>
  <c r="AI2375" i="12"/>
  <c r="AI2376" i="12"/>
  <c r="AI2377" i="12"/>
  <c r="AI2378" i="12"/>
  <c r="AI2379" i="12"/>
  <c r="AI2380" i="12"/>
  <c r="AI2381" i="12"/>
  <c r="AI2382" i="12"/>
  <c r="AI2383" i="12"/>
  <c r="AI2384" i="12"/>
  <c r="AI2385" i="12"/>
  <c r="AI2386" i="12"/>
  <c r="AI2387" i="12"/>
  <c r="AI2388" i="12"/>
  <c r="AI2389" i="12"/>
  <c r="AI2390" i="12"/>
  <c r="AI2391" i="12"/>
  <c r="AI2392" i="12"/>
  <c r="AI2393" i="12"/>
  <c r="AI2394" i="12"/>
  <c r="AI2395" i="12"/>
  <c r="AI2396" i="12"/>
  <c r="AI2397" i="12"/>
  <c r="AI2398" i="12"/>
  <c r="AI2399" i="12"/>
  <c r="AI2400" i="12"/>
  <c r="AI2401" i="12"/>
  <c r="AI2402" i="12"/>
  <c r="AI2403" i="12"/>
  <c r="AI2404" i="12"/>
  <c r="AI2405" i="12"/>
  <c r="AI2406" i="12"/>
  <c r="AI2407" i="12"/>
  <c r="AI2408" i="12"/>
  <c r="AI2409" i="12"/>
  <c r="AI2410" i="12"/>
  <c r="AI2411" i="12"/>
  <c r="AI2412" i="12"/>
  <c r="AI2413" i="12"/>
  <c r="AI2414" i="12"/>
  <c r="AI2415" i="12"/>
  <c r="AI2416" i="12"/>
  <c r="AI2417" i="12"/>
  <c r="AI2418" i="12"/>
  <c r="AI2419" i="12"/>
  <c r="AI2420" i="12"/>
  <c r="AI2421" i="12"/>
  <c r="AI2422" i="12"/>
  <c r="AI2423" i="12"/>
  <c r="AI2424" i="12"/>
  <c r="AI2425" i="12"/>
  <c r="AI2426" i="12"/>
  <c r="AI2427" i="12"/>
  <c r="AI2428" i="12"/>
  <c r="AI2429" i="12"/>
  <c r="AI2430" i="12"/>
  <c r="AI2431" i="12"/>
  <c r="AI2432" i="12"/>
  <c r="AI2433" i="12"/>
  <c r="AI2434" i="12"/>
  <c r="AI2435" i="12"/>
  <c r="AI2436" i="12"/>
  <c r="AI2437" i="12"/>
  <c r="AI2438" i="12"/>
  <c r="AI2439" i="12"/>
  <c r="AI2440" i="12"/>
  <c r="AI2441" i="12"/>
  <c r="AI2442" i="12"/>
  <c r="AI2443" i="12"/>
  <c r="AI2444" i="12"/>
  <c r="AI2445" i="12"/>
  <c r="AI2446" i="12"/>
  <c r="AI2447" i="12"/>
  <c r="AI2448" i="12"/>
  <c r="AI2449" i="12"/>
  <c r="AI2450" i="12"/>
  <c r="AI2451" i="12"/>
  <c r="AI2452" i="12"/>
  <c r="AI2453" i="12"/>
  <c r="AI2454" i="12"/>
  <c r="AI2455" i="12"/>
  <c r="AI2456" i="12"/>
  <c r="AI2457" i="12"/>
  <c r="AI2458" i="12"/>
  <c r="AI2459" i="12"/>
  <c r="AI2460" i="12"/>
  <c r="AI2461" i="12"/>
  <c r="AI2462" i="12"/>
  <c r="AI2463" i="12"/>
  <c r="AI2464" i="12"/>
  <c r="AI2465" i="12"/>
  <c r="AI2466" i="12"/>
  <c r="AI2467" i="12"/>
  <c r="AI2468" i="12"/>
  <c r="AI2469" i="12"/>
  <c r="AI2470" i="12"/>
  <c r="AI2471" i="12"/>
  <c r="AI2472" i="12"/>
  <c r="AI2473" i="12"/>
  <c r="AI2474" i="12"/>
  <c r="AI2475" i="12"/>
  <c r="AI2476" i="12"/>
  <c r="AI2477" i="12"/>
  <c r="AI2478" i="12"/>
  <c r="AI2479" i="12"/>
  <c r="AI2480" i="12"/>
  <c r="AI2481" i="12"/>
  <c r="AI2482" i="12"/>
  <c r="AI2483" i="12"/>
  <c r="AI2484" i="12"/>
  <c r="AI2485" i="12"/>
  <c r="AI2486" i="12"/>
  <c r="AI2487" i="12"/>
  <c r="AI2488" i="12"/>
  <c r="AI2489" i="12"/>
  <c r="AI2490" i="12"/>
  <c r="AI2491" i="12"/>
  <c r="AI2492" i="12"/>
  <c r="AI2493" i="12"/>
  <c r="AI2494" i="12"/>
  <c r="AI2495" i="12"/>
  <c r="AI2496" i="12"/>
  <c r="AI2497" i="12"/>
  <c r="AI2498" i="12"/>
  <c r="AI2499" i="12"/>
  <c r="AI2500" i="12"/>
  <c r="AI2501" i="12"/>
  <c r="AI2502" i="12"/>
  <c r="AI2503" i="12"/>
  <c r="AI2504" i="12"/>
  <c r="AI2505" i="12"/>
  <c r="AI2506" i="12"/>
  <c r="AI2507" i="12"/>
  <c r="AI2508" i="12"/>
  <c r="AI2509" i="12"/>
  <c r="AI2510" i="12"/>
  <c r="AI2511" i="12"/>
  <c r="AI2512" i="12"/>
  <c r="AI2513" i="12"/>
  <c r="AI2514" i="12"/>
  <c r="AI2515" i="12"/>
  <c r="AI2516" i="12"/>
  <c r="AI2517" i="12"/>
  <c r="AI2518" i="12"/>
  <c r="AI2519" i="12"/>
  <c r="AI2520" i="12"/>
  <c r="AI2521" i="12"/>
  <c r="AI2522" i="12"/>
  <c r="AI2523" i="12"/>
  <c r="AI2524" i="12"/>
  <c r="AI2525" i="12"/>
  <c r="AI2526" i="12"/>
  <c r="AI2527" i="12"/>
  <c r="AI2528" i="12"/>
  <c r="AI2529" i="12"/>
  <c r="AI2530" i="12"/>
  <c r="AI2531" i="12"/>
  <c r="AI2532" i="12"/>
  <c r="AI2533" i="12"/>
  <c r="AI2534" i="12"/>
  <c r="AI2535" i="12"/>
  <c r="AI2536" i="12"/>
  <c r="AI2537" i="12"/>
  <c r="AI2538" i="12"/>
  <c r="AI2539" i="12"/>
  <c r="AI2540" i="12"/>
  <c r="AI2541" i="12"/>
  <c r="AI2542" i="12"/>
  <c r="AI2543" i="12"/>
  <c r="AI2544" i="12"/>
  <c r="AI2545" i="12"/>
  <c r="AI2546" i="12"/>
  <c r="AI2547" i="12"/>
  <c r="AI2548" i="12"/>
  <c r="AI2549" i="12"/>
  <c r="AI2550" i="12"/>
  <c r="AI2551" i="12"/>
  <c r="AI2552" i="12"/>
  <c r="AI2553" i="12"/>
  <c r="AI2554" i="12"/>
  <c r="AI2555" i="12"/>
  <c r="AI2556" i="12"/>
  <c r="AI2557" i="12"/>
  <c r="AI2558" i="12"/>
  <c r="AI2559" i="12"/>
  <c r="AI2560" i="12"/>
  <c r="AI2561" i="12"/>
  <c r="AI2562" i="12"/>
  <c r="AI2563" i="12"/>
  <c r="AI2564" i="12"/>
  <c r="AI2565" i="12"/>
  <c r="AI2566" i="12"/>
  <c r="AI2567" i="12"/>
  <c r="AI2568" i="12"/>
  <c r="AI2569" i="12"/>
  <c r="AI2570" i="12"/>
  <c r="AI2571" i="12"/>
  <c r="AI2572" i="12"/>
  <c r="AI2573" i="12"/>
  <c r="AI2574" i="12"/>
  <c r="AI2575" i="12"/>
  <c r="AI2576" i="12"/>
  <c r="AI2577" i="12"/>
  <c r="AI2578" i="12"/>
  <c r="AI2579" i="12"/>
  <c r="AI2580" i="12"/>
  <c r="AI2581" i="12"/>
  <c r="AI2582" i="12"/>
  <c r="AI2583" i="12"/>
  <c r="AI2584" i="12"/>
  <c r="AI2585" i="12"/>
  <c r="AI2586" i="12"/>
  <c r="AI2587" i="12"/>
  <c r="AI2588" i="12"/>
  <c r="AI2589" i="12"/>
  <c r="AI2590" i="12"/>
  <c r="AI2591" i="12"/>
  <c r="AI2592" i="12"/>
  <c r="AI2593" i="12"/>
  <c r="AI2594" i="12"/>
  <c r="AI2595" i="12"/>
  <c r="AI2596" i="12"/>
  <c r="AI2597" i="12"/>
  <c r="AI2598" i="12"/>
  <c r="AI2599" i="12"/>
  <c r="AI2600" i="12"/>
  <c r="AI2601" i="12"/>
  <c r="AI2602" i="12"/>
  <c r="AI2603" i="12"/>
  <c r="AI2604" i="12"/>
  <c r="AI2605" i="12"/>
  <c r="AI2606" i="12"/>
  <c r="AI2607" i="12"/>
  <c r="AI2608" i="12"/>
  <c r="AI2609" i="12"/>
  <c r="AI2610" i="12"/>
  <c r="AI2611" i="12"/>
  <c r="AI2612" i="12"/>
  <c r="AI2613" i="12"/>
  <c r="AI2614" i="12"/>
  <c r="AI2615" i="12"/>
  <c r="AI2616" i="12"/>
  <c r="AI2617" i="12"/>
  <c r="AI2618" i="12"/>
  <c r="AI2619" i="12"/>
  <c r="AI2620" i="12"/>
  <c r="AI2621" i="12"/>
  <c r="AI2622" i="12"/>
  <c r="AI2623" i="12"/>
  <c r="AI2624" i="12"/>
  <c r="AI2625" i="12"/>
  <c r="AI2626" i="12"/>
  <c r="AI2627" i="12"/>
  <c r="AI2628" i="12"/>
  <c r="AI2629" i="12"/>
  <c r="AI2630" i="12"/>
  <c r="AI2631" i="12"/>
  <c r="AI2632" i="12"/>
  <c r="AI2633" i="12"/>
  <c r="AI2634" i="12"/>
  <c r="AI2635" i="12"/>
  <c r="AI2636" i="12"/>
  <c r="AI2637" i="12"/>
  <c r="AI2638" i="12"/>
  <c r="AI2639" i="12"/>
  <c r="AI2640" i="12"/>
  <c r="AI2641" i="12"/>
  <c r="AI2642" i="12"/>
  <c r="AI2643" i="12"/>
  <c r="AI2644" i="12"/>
  <c r="AI2645" i="12"/>
  <c r="AI2646" i="12"/>
  <c r="AI2647" i="12"/>
  <c r="AI2648" i="12"/>
  <c r="AI2649" i="12"/>
  <c r="AI2650" i="12"/>
  <c r="AI2651" i="12"/>
  <c r="AI2652" i="12"/>
  <c r="AI2653" i="12"/>
  <c r="AI2654" i="12"/>
  <c r="AI2655" i="12"/>
  <c r="AI2656" i="12"/>
  <c r="AI2657" i="12"/>
  <c r="AI2658" i="12"/>
  <c r="AI2659" i="12"/>
  <c r="AI2660" i="12"/>
  <c r="AI2661" i="12"/>
  <c r="AI2662" i="12"/>
  <c r="AI2663" i="12"/>
  <c r="AI2664" i="12"/>
  <c r="AI2665" i="12"/>
  <c r="AI2666" i="12"/>
  <c r="AI2667" i="12"/>
  <c r="AI2668" i="12"/>
  <c r="AI2669" i="12"/>
  <c r="AI2670" i="12"/>
  <c r="AI2671" i="12"/>
  <c r="AI2672" i="12"/>
  <c r="AI2673" i="12"/>
  <c r="AI2674" i="12"/>
  <c r="AI2675" i="12"/>
  <c r="AI2676" i="12"/>
  <c r="AI2677" i="12"/>
  <c r="AI2678" i="12"/>
  <c r="AI2679" i="12"/>
  <c r="AI2680" i="12"/>
  <c r="AI2681" i="12"/>
  <c r="AI2682" i="12"/>
  <c r="AI2683" i="12"/>
  <c r="AI2684" i="12"/>
  <c r="AI2685" i="12"/>
  <c r="AI2686" i="12"/>
  <c r="AI2687" i="12"/>
  <c r="AI2688" i="12"/>
  <c r="AI2689" i="12"/>
  <c r="AI2690" i="12"/>
  <c r="AI2691" i="12"/>
  <c r="AI2692" i="12"/>
  <c r="AI2693" i="12"/>
  <c r="AI2694" i="12"/>
  <c r="AI2695" i="12"/>
  <c r="AI2696" i="12"/>
  <c r="AI2697" i="12"/>
  <c r="AI2698" i="12"/>
  <c r="AI2699" i="12"/>
  <c r="AI2700" i="12"/>
  <c r="AI2701" i="12"/>
  <c r="AI2702" i="12"/>
  <c r="AI2703" i="12"/>
  <c r="AI2704" i="12"/>
  <c r="AI2705" i="12"/>
  <c r="AI2706" i="12"/>
  <c r="AI2707" i="12"/>
  <c r="AI2708" i="12"/>
  <c r="AI2709" i="12"/>
  <c r="AI2710" i="12"/>
  <c r="AI2711" i="12"/>
  <c r="AI2712" i="12"/>
  <c r="AI2713" i="12"/>
  <c r="AI2714" i="12"/>
  <c r="AI2715" i="12"/>
  <c r="AI2716" i="12"/>
  <c r="AI2717" i="12"/>
  <c r="AI2718" i="12"/>
  <c r="AI2719" i="12"/>
  <c r="AI2720" i="12"/>
  <c r="AI2721" i="12"/>
  <c r="AI2722" i="12"/>
  <c r="AI2723" i="12"/>
  <c r="AI2724" i="12"/>
  <c r="AI2725" i="12"/>
  <c r="AI2726" i="12"/>
  <c r="AI2727" i="12"/>
  <c r="AI2728" i="12"/>
  <c r="AI2729" i="12"/>
  <c r="AI2730" i="12"/>
  <c r="AI2731" i="12"/>
  <c r="AI2732" i="12"/>
  <c r="AI2733" i="12"/>
  <c r="AI2734" i="12"/>
  <c r="AI2735" i="12"/>
  <c r="AI2736" i="12"/>
  <c r="AI2737" i="12"/>
  <c r="AI2738" i="12"/>
  <c r="AI2739" i="12"/>
  <c r="AI2740" i="12"/>
  <c r="AI2741" i="12"/>
  <c r="AI2742" i="12"/>
  <c r="AI2743" i="12"/>
  <c r="AI2744" i="12"/>
  <c r="AI2745" i="12"/>
  <c r="AI2746" i="12"/>
  <c r="AI2747" i="12"/>
  <c r="AI2748" i="12"/>
  <c r="AI2749" i="12"/>
  <c r="AI2750" i="12"/>
  <c r="AI2751" i="12"/>
  <c r="AI2752" i="12"/>
  <c r="AI2753" i="12"/>
  <c r="AI2754" i="12"/>
  <c r="AI2755" i="12"/>
  <c r="AI2756" i="12"/>
  <c r="AI2757" i="12"/>
  <c r="AI2758" i="12"/>
  <c r="AI2759" i="12"/>
  <c r="AI2760" i="12"/>
  <c r="AI2761" i="12"/>
  <c r="AI2762" i="12"/>
  <c r="AI2763" i="12"/>
  <c r="AI2764" i="12"/>
  <c r="AI2765" i="12"/>
  <c r="AI2766" i="12"/>
  <c r="AI2767" i="12"/>
  <c r="AI2768" i="12"/>
  <c r="AI2769" i="12"/>
  <c r="AI2770" i="12"/>
  <c r="AI2771" i="12"/>
  <c r="AI2772" i="12"/>
  <c r="AI2773" i="12"/>
  <c r="AI2774" i="12"/>
  <c r="AI2775" i="12"/>
  <c r="AI2776" i="12"/>
  <c r="AI2777" i="12"/>
  <c r="AI2778" i="12"/>
  <c r="AI2779" i="12"/>
  <c r="AI2780" i="12"/>
  <c r="AI2781" i="12"/>
  <c r="AI2782" i="12"/>
  <c r="AI2783" i="12"/>
  <c r="AI2784" i="12"/>
  <c r="AI2785" i="12"/>
  <c r="AI2786" i="12"/>
  <c r="AI2787" i="12"/>
  <c r="AI2788" i="12"/>
  <c r="AI2789" i="12"/>
  <c r="AI2790" i="12"/>
  <c r="AI2791" i="12"/>
  <c r="AI2792" i="12"/>
  <c r="AI2793" i="12"/>
  <c r="AI2794" i="12"/>
  <c r="AI2795" i="12"/>
  <c r="AI2796" i="12"/>
  <c r="AI2797" i="12"/>
  <c r="AI2798" i="12"/>
  <c r="AI2799" i="12"/>
  <c r="AI2800" i="12"/>
  <c r="AI2801" i="12"/>
  <c r="AI2802" i="12"/>
  <c r="AI2803" i="12"/>
  <c r="AI2804" i="12"/>
  <c r="AI2805" i="12"/>
  <c r="AI2806" i="12"/>
  <c r="AI2807" i="12"/>
  <c r="AI2808" i="12"/>
  <c r="AI2809" i="12"/>
  <c r="AI2810" i="12"/>
  <c r="AI2811" i="12"/>
  <c r="AI2812" i="12"/>
  <c r="AI2813" i="12"/>
  <c r="AI2814" i="12"/>
  <c r="AI2815" i="12"/>
  <c r="AI2816" i="12"/>
  <c r="AI2817" i="12"/>
  <c r="AI2818" i="12"/>
  <c r="AI2819" i="12"/>
  <c r="AI2820" i="12"/>
  <c r="AI2821" i="12"/>
  <c r="AI2822" i="12"/>
  <c r="AI2823" i="12"/>
  <c r="AI2824" i="12"/>
  <c r="AI2825" i="12"/>
  <c r="AI2826" i="12"/>
  <c r="AI2827" i="12"/>
  <c r="AI2828" i="12"/>
  <c r="AI2829" i="12"/>
  <c r="AI2830" i="12"/>
  <c r="AI2831" i="12"/>
  <c r="AI2832" i="12"/>
  <c r="AI2833" i="12"/>
  <c r="AI2834" i="12"/>
  <c r="AI2835" i="12"/>
  <c r="AI2836" i="12"/>
  <c r="AI2837" i="12"/>
  <c r="AI2838" i="12"/>
  <c r="AI2839" i="12"/>
  <c r="AI2840" i="12"/>
  <c r="AI2841" i="12"/>
  <c r="AI2842" i="12"/>
  <c r="AI2843" i="12"/>
  <c r="AI2844" i="12"/>
  <c r="AI2845" i="12"/>
  <c r="AI2846" i="12"/>
  <c r="AI2847" i="12"/>
  <c r="AI2848" i="12"/>
  <c r="AI2849" i="12"/>
  <c r="AI2850" i="12"/>
  <c r="AI2851" i="12"/>
  <c r="AI2852" i="12"/>
  <c r="AI2853" i="12"/>
  <c r="AI2854" i="12"/>
  <c r="AI2855" i="12"/>
  <c r="AI2856" i="12"/>
  <c r="AI2857" i="12"/>
  <c r="AI2858" i="12"/>
  <c r="AI2859" i="12"/>
  <c r="AI2860" i="12"/>
  <c r="AI2861" i="12"/>
  <c r="AI2862" i="12"/>
  <c r="AI2863" i="12"/>
  <c r="AI2864" i="12"/>
  <c r="AI2865" i="12"/>
  <c r="AI2866" i="12"/>
  <c r="AI2867" i="12"/>
  <c r="AI2868" i="12"/>
  <c r="AI2869" i="12"/>
  <c r="AI2870" i="12"/>
  <c r="AI2871" i="12"/>
  <c r="AI2872" i="12"/>
  <c r="AI2873" i="12"/>
  <c r="AI2874" i="12"/>
  <c r="AI2875" i="12"/>
  <c r="AI2876" i="12"/>
  <c r="AI2877" i="12"/>
  <c r="AI2878" i="12"/>
  <c r="AI2879" i="12"/>
  <c r="AI2880" i="12"/>
  <c r="AI2881" i="12"/>
  <c r="AI2882" i="12"/>
  <c r="AI2883" i="12"/>
  <c r="AI2884" i="12"/>
  <c r="AI2885" i="12"/>
  <c r="AI2886" i="12"/>
  <c r="AI2887" i="12"/>
  <c r="AI2888" i="12"/>
  <c r="AI2889" i="12"/>
  <c r="AI2890" i="12"/>
  <c r="AI2891" i="12"/>
  <c r="AI2892" i="12"/>
  <c r="AI2893" i="12"/>
  <c r="AI2894" i="12"/>
  <c r="AI2895" i="12"/>
  <c r="AI2896" i="12"/>
  <c r="AI2897" i="12"/>
  <c r="AI2898" i="12"/>
  <c r="AI2899" i="12"/>
  <c r="AI2900" i="12"/>
  <c r="AI2901" i="12"/>
  <c r="AI2902" i="12"/>
  <c r="AI2903" i="12"/>
  <c r="AI2904" i="12"/>
  <c r="AI2905" i="12"/>
  <c r="AI2906" i="12"/>
  <c r="AI2907" i="12"/>
  <c r="AI2908" i="12"/>
  <c r="AI2909" i="12"/>
  <c r="AI2910" i="12"/>
  <c r="AI2911" i="12"/>
  <c r="AI2912" i="12"/>
  <c r="AI2913" i="12"/>
  <c r="AI2914" i="12"/>
  <c r="AI2915" i="12"/>
  <c r="AI2916" i="12"/>
  <c r="AI2917" i="12"/>
  <c r="AI2918" i="12"/>
  <c r="AI2919" i="12"/>
  <c r="AI2920" i="12"/>
  <c r="AI2921" i="12"/>
  <c r="AI2922" i="12"/>
  <c r="AI2923" i="12"/>
  <c r="AI2924" i="12"/>
  <c r="AI2925" i="12"/>
  <c r="AI2926" i="12"/>
  <c r="AI2927" i="12"/>
  <c r="AI2928" i="12"/>
  <c r="AI2929" i="12"/>
  <c r="AI2930" i="12"/>
  <c r="AI2931" i="12"/>
  <c r="AI2932" i="12"/>
  <c r="AI2933" i="12"/>
  <c r="AI2934" i="12"/>
  <c r="AI2935" i="12"/>
  <c r="AI2936" i="12"/>
  <c r="AI2937" i="12"/>
  <c r="AI2938" i="12"/>
  <c r="AI2939" i="12"/>
  <c r="AI2940" i="12"/>
  <c r="AI2941" i="12"/>
  <c r="AI2942" i="12"/>
  <c r="AI2943" i="12"/>
  <c r="AI2944" i="12"/>
  <c r="AI2945" i="12"/>
  <c r="AI2946" i="12"/>
  <c r="AI2947" i="12"/>
  <c r="AI2948" i="12"/>
  <c r="AI2949" i="12"/>
  <c r="AI2950" i="12"/>
  <c r="AI2951" i="12"/>
  <c r="AI2952" i="12"/>
  <c r="AI2953" i="12"/>
  <c r="AI2954" i="12"/>
  <c r="AI2955" i="12"/>
  <c r="AI2956" i="12"/>
  <c r="AI2957" i="12"/>
  <c r="AI2958" i="12"/>
  <c r="AI2959" i="12"/>
  <c r="AI2960" i="12"/>
  <c r="AI2961" i="12"/>
  <c r="AI2962" i="12"/>
  <c r="AI2963" i="12"/>
  <c r="AI2964" i="12"/>
  <c r="AI2965" i="12"/>
  <c r="AI2966" i="12"/>
  <c r="AI2967" i="12"/>
  <c r="AI2968" i="12"/>
  <c r="AI2969" i="12"/>
  <c r="AI2970" i="12"/>
  <c r="AI2971" i="12"/>
  <c r="AI2972" i="12"/>
  <c r="AI2973" i="12"/>
  <c r="AI2974" i="12"/>
  <c r="AI2975" i="12"/>
  <c r="AI2976" i="12"/>
  <c r="AI2977" i="12"/>
  <c r="AI2978" i="12"/>
  <c r="AI2979" i="12"/>
  <c r="AI2980" i="12"/>
  <c r="AI2981" i="12"/>
  <c r="AI2982" i="12"/>
  <c r="AI2983" i="12"/>
  <c r="AI2984" i="12"/>
  <c r="AI2985" i="12"/>
  <c r="AI2986" i="12"/>
  <c r="AI2987" i="12"/>
  <c r="AI2988" i="12"/>
  <c r="AI2989" i="12"/>
  <c r="AI2990" i="12"/>
  <c r="AI2991" i="12"/>
  <c r="AI2992" i="12"/>
  <c r="AI2993" i="12"/>
  <c r="AI2994" i="12"/>
  <c r="AI2995" i="12"/>
  <c r="AI2996" i="12"/>
  <c r="AI2997" i="12"/>
  <c r="AI2998" i="12"/>
  <c r="AI2999" i="12"/>
  <c r="AI3000" i="12"/>
  <c r="AI3001" i="12"/>
  <c r="AI3002" i="12"/>
  <c r="AI3003" i="12"/>
  <c r="AI3004" i="12"/>
  <c r="AI3005" i="12"/>
  <c r="AI3006" i="12"/>
  <c r="AI3007" i="12"/>
  <c r="AI3008" i="12"/>
  <c r="AI3009" i="12"/>
  <c r="AI3010" i="12"/>
  <c r="AI3011" i="12"/>
  <c r="AI3012" i="12"/>
  <c r="AI3013" i="12"/>
  <c r="AI3014" i="12"/>
  <c r="AI3015" i="12"/>
  <c r="AI3016" i="12"/>
  <c r="AI3017" i="12"/>
  <c r="AI3018" i="12"/>
  <c r="AI3019" i="12"/>
  <c r="AI3020" i="12"/>
  <c r="AI3021" i="12"/>
  <c r="AI3022" i="12"/>
  <c r="AI3023" i="12"/>
  <c r="AI3024" i="12"/>
  <c r="AI3025" i="12"/>
  <c r="AI3026" i="12"/>
  <c r="AI3027" i="12"/>
  <c r="AI3028" i="12"/>
  <c r="AI3029" i="12"/>
  <c r="AI3030" i="12"/>
  <c r="AI3031" i="12"/>
  <c r="AI3032" i="12"/>
  <c r="AI3033" i="12"/>
  <c r="AI3034" i="12"/>
  <c r="AI3035" i="12"/>
  <c r="AI3036" i="12"/>
  <c r="AI3037" i="12"/>
  <c r="AI3038" i="12"/>
  <c r="AI3039" i="12"/>
  <c r="AI3040" i="12"/>
  <c r="AI3041" i="12"/>
  <c r="AI3042" i="12"/>
  <c r="AI3043" i="12"/>
  <c r="AI3044" i="12"/>
  <c r="AI3045" i="12"/>
  <c r="AI3046" i="12"/>
  <c r="AI3047" i="12"/>
  <c r="AI3048" i="12"/>
  <c r="AI3049" i="12"/>
  <c r="AI3050" i="12"/>
  <c r="AI3051" i="12"/>
  <c r="AI3052" i="12"/>
  <c r="AI3053" i="12"/>
  <c r="AI3054" i="12"/>
  <c r="AI3055" i="12"/>
  <c r="AI3056" i="12"/>
  <c r="AI3057" i="12"/>
  <c r="AI3058" i="12"/>
  <c r="AI3059" i="12"/>
  <c r="AI3060" i="12"/>
  <c r="AI3061" i="12"/>
  <c r="AI3062" i="12"/>
  <c r="AI3063" i="12"/>
  <c r="AI3064" i="12"/>
  <c r="AI3065" i="12"/>
  <c r="AI3066" i="12"/>
  <c r="AI3067" i="12"/>
  <c r="AI3068" i="12"/>
  <c r="AI3069" i="12"/>
  <c r="AI3070" i="12"/>
  <c r="AI3071" i="12"/>
  <c r="AI3072" i="12"/>
  <c r="AI3073" i="12"/>
  <c r="AI3074" i="12"/>
  <c r="AI3075" i="12"/>
  <c r="AI3076" i="12"/>
  <c r="AI3077" i="12"/>
  <c r="AI3078" i="12"/>
  <c r="AI3079" i="12"/>
  <c r="AI3080" i="12"/>
  <c r="AI3081" i="12"/>
  <c r="AI3082" i="12"/>
  <c r="AI3083" i="12"/>
  <c r="AI3084" i="12"/>
  <c r="AI3085" i="12"/>
  <c r="AI3086" i="12"/>
  <c r="AI3087" i="12"/>
  <c r="AI3088" i="12"/>
  <c r="AI3089" i="12"/>
  <c r="AI3090" i="12"/>
  <c r="AI3091" i="12"/>
  <c r="AI3092" i="12"/>
  <c r="AI3093" i="12"/>
  <c r="AI3094" i="12"/>
  <c r="AI3095" i="12"/>
  <c r="AI3096" i="12"/>
  <c r="AI3097" i="12"/>
  <c r="AI3098" i="12"/>
  <c r="AI3099" i="12"/>
  <c r="AI3100" i="12"/>
  <c r="AI3101" i="12"/>
  <c r="AI3102" i="12"/>
  <c r="AI3103" i="12"/>
  <c r="AI3104" i="12"/>
  <c r="AI3105" i="12"/>
  <c r="AI3106" i="12"/>
  <c r="AI3107" i="12"/>
  <c r="AI3108" i="12"/>
  <c r="AI3109" i="12"/>
  <c r="AI3110" i="12"/>
  <c r="AI3111" i="12"/>
  <c r="AI3112" i="12"/>
  <c r="AI3113" i="12"/>
  <c r="AI3114" i="12"/>
  <c r="AI3115" i="12"/>
  <c r="AI3116" i="12"/>
  <c r="AI3117" i="12"/>
  <c r="AI3118" i="12"/>
  <c r="AI3119" i="12"/>
  <c r="AI3120" i="12"/>
  <c r="AI3121" i="12"/>
  <c r="AI3122" i="12"/>
  <c r="AI3123" i="12"/>
  <c r="AI3124" i="12"/>
  <c r="AI3125" i="12"/>
  <c r="AI3126" i="12"/>
  <c r="AI3127" i="12"/>
  <c r="AI3128" i="12"/>
  <c r="AI3129" i="12"/>
  <c r="AI3130" i="12"/>
  <c r="AI3131" i="12"/>
  <c r="AI3132" i="12"/>
  <c r="AI3133" i="12"/>
  <c r="AI3134" i="12"/>
  <c r="AI3135" i="12"/>
  <c r="AI3136" i="12"/>
  <c r="AI3137" i="12"/>
  <c r="AI3138" i="12"/>
  <c r="AI3139" i="12"/>
  <c r="AI3140" i="12"/>
  <c r="AI3141" i="12"/>
  <c r="AI3142" i="12"/>
  <c r="AI3143" i="12"/>
  <c r="AI3144" i="12"/>
  <c r="AI3145" i="12"/>
  <c r="AI3146" i="12"/>
  <c r="AI3147" i="12"/>
  <c r="AI3148" i="12"/>
  <c r="AI3149" i="12"/>
  <c r="AI3150" i="12"/>
  <c r="AI3151" i="12"/>
  <c r="AI3152" i="12"/>
  <c r="AI3153" i="12"/>
  <c r="AI3154" i="12"/>
  <c r="AI3155" i="12"/>
  <c r="AI3156" i="12"/>
  <c r="AI3157" i="12"/>
  <c r="AI3158" i="12"/>
  <c r="AI3159" i="12"/>
  <c r="AI3160" i="12"/>
  <c r="AI3161" i="12"/>
  <c r="AI3162" i="12"/>
  <c r="AI3163" i="12"/>
  <c r="AI3164" i="12"/>
  <c r="AI3165" i="12"/>
  <c r="AI3166" i="12"/>
  <c r="AI3167" i="12"/>
  <c r="AI3168" i="12"/>
  <c r="AI3169" i="12"/>
  <c r="AI3170" i="12"/>
  <c r="AI3171" i="12"/>
  <c r="AI3172" i="12"/>
  <c r="AI3173" i="12"/>
  <c r="AI3174" i="12"/>
  <c r="AI3175" i="12"/>
  <c r="AI3176" i="12"/>
  <c r="AI3177" i="12"/>
  <c r="AI3178" i="12"/>
  <c r="AI3179" i="12"/>
  <c r="AI3180" i="12"/>
  <c r="AI3181" i="12"/>
  <c r="AI3182" i="12"/>
  <c r="AI3183" i="12"/>
  <c r="AI3184" i="12"/>
  <c r="AI3185" i="12"/>
  <c r="AI3186" i="12"/>
  <c r="AI3187" i="12"/>
  <c r="AI3188" i="12"/>
  <c r="AI3189" i="12"/>
  <c r="AI3190" i="12"/>
  <c r="AI3191" i="12"/>
  <c r="AI3192" i="12"/>
  <c r="AI3193" i="12"/>
  <c r="AI3194" i="12"/>
  <c r="AI3195" i="12"/>
  <c r="AI3196" i="12"/>
  <c r="AI3197" i="12"/>
  <c r="AI3198" i="12"/>
  <c r="AI3199" i="12"/>
  <c r="AI3200" i="12"/>
  <c r="AI3201" i="12"/>
  <c r="AI3202" i="12"/>
  <c r="AI3203" i="12"/>
  <c r="AI3204" i="12"/>
  <c r="AI3205" i="12"/>
  <c r="AI3206" i="12"/>
  <c r="AI3207" i="12"/>
  <c r="AI3208" i="12"/>
  <c r="AI3209" i="12"/>
  <c r="AI3210" i="12"/>
  <c r="AI3211" i="12"/>
  <c r="AI3212" i="12"/>
  <c r="AI3213" i="12"/>
  <c r="AI3214" i="12"/>
  <c r="AI3215" i="12"/>
  <c r="AI3216" i="12"/>
  <c r="AI3217" i="12"/>
  <c r="AI3218" i="12"/>
  <c r="AI3219" i="12"/>
  <c r="AI3220" i="12"/>
  <c r="AI3221" i="12"/>
  <c r="AI3222" i="12"/>
  <c r="AI3223" i="12"/>
  <c r="AI3224" i="12"/>
  <c r="AI3225" i="12"/>
  <c r="AI3226" i="12"/>
  <c r="AI3227" i="12"/>
  <c r="AI3228" i="12"/>
  <c r="AI3229" i="12"/>
  <c r="AI3230" i="12"/>
  <c r="AI3231" i="12"/>
  <c r="AI3232" i="12"/>
  <c r="AI3233" i="12"/>
  <c r="AI3234" i="12"/>
  <c r="AI3235" i="12"/>
  <c r="AI3236" i="12"/>
  <c r="AI3237" i="12"/>
  <c r="AI3238" i="12"/>
  <c r="AI3239" i="12"/>
  <c r="AI3240" i="12"/>
  <c r="AI3241" i="12"/>
  <c r="AI3242" i="12"/>
  <c r="AI3243" i="12"/>
  <c r="AI3244" i="12"/>
  <c r="AI3245" i="12"/>
  <c r="AI3246" i="12"/>
  <c r="AI3247" i="12"/>
  <c r="AI3248" i="12"/>
  <c r="AI3249" i="12"/>
  <c r="AI3250" i="12"/>
  <c r="AI3251" i="12"/>
  <c r="AI3252" i="12"/>
  <c r="AI3253" i="12"/>
  <c r="AI3254" i="12"/>
  <c r="AI3255" i="12"/>
  <c r="AI3256" i="12"/>
  <c r="AI3257" i="12"/>
  <c r="AI3258" i="12"/>
  <c r="AI3259" i="12"/>
  <c r="AI3260" i="12"/>
  <c r="AI3261" i="12"/>
  <c r="AI3262" i="12"/>
  <c r="AI3263" i="12"/>
  <c r="AI3264" i="12"/>
  <c r="AI3265" i="12"/>
  <c r="AI3266" i="12"/>
  <c r="AI3267" i="12"/>
  <c r="AI3268" i="12"/>
  <c r="AI3269" i="12"/>
  <c r="AI3270" i="12"/>
  <c r="AI3271" i="12"/>
  <c r="AI3272" i="12"/>
  <c r="AI3273" i="12"/>
  <c r="AI3274" i="12"/>
  <c r="AI3275" i="12"/>
  <c r="AI3276" i="12"/>
  <c r="AI3277" i="12"/>
  <c r="AI3278" i="12"/>
  <c r="AI3279" i="12"/>
  <c r="AI3280" i="12"/>
  <c r="AI3281" i="12"/>
  <c r="AI3282" i="12"/>
  <c r="AI3283" i="12"/>
  <c r="AI3284" i="12"/>
  <c r="AI3285" i="12"/>
  <c r="AI3286" i="12"/>
  <c r="AI3287" i="12"/>
  <c r="AI3288" i="12"/>
  <c r="AI3289" i="12"/>
  <c r="AI3290" i="12"/>
  <c r="AI3291" i="12"/>
  <c r="AI3292" i="12"/>
  <c r="AI3293" i="12"/>
  <c r="AI3294" i="12"/>
  <c r="AI3295" i="12"/>
  <c r="AI3296" i="12"/>
  <c r="AI3297" i="12"/>
  <c r="AI3298" i="12"/>
  <c r="AI3299" i="12"/>
  <c r="AI3300" i="12"/>
  <c r="AI3301" i="12"/>
  <c r="AI3302" i="12"/>
  <c r="AI3303" i="12"/>
  <c r="AI3304" i="12"/>
  <c r="AI3305" i="12"/>
  <c r="AI3306" i="12"/>
  <c r="AI3307" i="12"/>
  <c r="AI3308" i="12"/>
  <c r="AI3309" i="12"/>
  <c r="AI3310" i="12"/>
  <c r="AI3311" i="12"/>
  <c r="AI3312" i="12"/>
  <c r="AI3313" i="12"/>
  <c r="AI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H1102" i="12"/>
  <c r="AH1103" i="12"/>
  <c r="AH1104" i="12"/>
  <c r="AH1105" i="12"/>
  <c r="AH1106" i="12"/>
  <c r="AH1107" i="12"/>
  <c r="AH1108" i="12"/>
  <c r="AH1109" i="12"/>
  <c r="AH1110" i="12"/>
  <c r="AH1111" i="12"/>
  <c r="AH1112" i="12"/>
  <c r="AH1113" i="12"/>
  <c r="AH1114" i="12"/>
  <c r="AH1115" i="12"/>
  <c r="AH1116" i="12"/>
  <c r="AH1117" i="12"/>
  <c r="AH1118" i="12"/>
  <c r="AH1119" i="12"/>
  <c r="AH1120" i="12"/>
  <c r="AH1121" i="12"/>
  <c r="AH1122" i="12"/>
  <c r="AH1123" i="12"/>
  <c r="AH1124" i="12"/>
  <c r="AH1125" i="12"/>
  <c r="AH1126" i="12"/>
  <c r="AH1127" i="12"/>
  <c r="AH1128" i="12"/>
  <c r="AH1129" i="12"/>
  <c r="AH1130" i="12"/>
  <c r="AH1131" i="12"/>
  <c r="AH1132" i="12"/>
  <c r="AH1133" i="12"/>
  <c r="AH1134" i="12"/>
  <c r="AH1135" i="12"/>
  <c r="AH1136" i="12"/>
  <c r="AH1137" i="12"/>
  <c r="AH1138" i="12"/>
  <c r="AH1139" i="12"/>
  <c r="AH1140" i="12"/>
  <c r="AH1141" i="12"/>
  <c r="AH1142" i="12"/>
  <c r="AH1143" i="12"/>
  <c r="AH1144" i="12"/>
  <c r="AH1145" i="12"/>
  <c r="AH1146" i="12"/>
  <c r="AH1147" i="12"/>
  <c r="AH1148" i="12"/>
  <c r="AH1149" i="12"/>
  <c r="AH1150" i="12"/>
  <c r="AH1151" i="12"/>
  <c r="AH1152" i="12"/>
  <c r="AH1153" i="12"/>
  <c r="AH1154" i="12"/>
  <c r="AH1155" i="12"/>
  <c r="AH1156" i="12"/>
  <c r="AH1157" i="12"/>
  <c r="AH1158" i="12"/>
  <c r="AH1159" i="12"/>
  <c r="AH1160" i="12"/>
  <c r="AH1161" i="12"/>
  <c r="AH1162" i="12"/>
  <c r="AH1163" i="12"/>
  <c r="AH1164" i="12"/>
  <c r="AH1165" i="12"/>
  <c r="AH1166" i="12"/>
  <c r="AH1167" i="12"/>
  <c r="AH1168" i="12"/>
  <c r="AH1169" i="12"/>
  <c r="AH1170" i="12"/>
  <c r="AH1171" i="12"/>
  <c r="AH1172" i="12"/>
  <c r="AH1173" i="12"/>
  <c r="AH1174" i="12"/>
  <c r="AH1175" i="12"/>
  <c r="AH1176" i="12"/>
  <c r="AH1177" i="12"/>
  <c r="AH1178" i="12"/>
  <c r="AH1179" i="12"/>
  <c r="AH1180" i="12"/>
  <c r="AH1181" i="12"/>
  <c r="AH1182" i="12"/>
  <c r="AH1183" i="12"/>
  <c r="AH1184" i="12"/>
  <c r="AH1185" i="12"/>
  <c r="AH1186" i="12"/>
  <c r="AH1187" i="12"/>
  <c r="AH1188" i="12"/>
  <c r="AH1189" i="12"/>
  <c r="AH1190" i="12"/>
  <c r="AH1191" i="12"/>
  <c r="AH1192" i="12"/>
  <c r="AH1193" i="12"/>
  <c r="AH1194" i="12"/>
  <c r="AH1195" i="12"/>
  <c r="AH1196" i="12"/>
  <c r="AH1197" i="12"/>
  <c r="AH1198" i="12"/>
  <c r="AH1199" i="12"/>
  <c r="AH1200" i="12"/>
  <c r="AH1201" i="12"/>
  <c r="AH1202" i="12"/>
  <c r="AH1203" i="12"/>
  <c r="AH1204" i="12"/>
  <c r="AH1205" i="12"/>
  <c r="AH1206" i="12"/>
  <c r="AH1207" i="12"/>
  <c r="AH1208" i="12"/>
  <c r="AH1209" i="12"/>
  <c r="AH1210" i="12"/>
  <c r="AH1211" i="12"/>
  <c r="AH1212" i="12"/>
  <c r="AH1213" i="12"/>
  <c r="AH1214" i="12"/>
  <c r="AH1215" i="12"/>
  <c r="AH1216" i="12"/>
  <c r="AH1217" i="12"/>
  <c r="AH1218" i="12"/>
  <c r="AH1219" i="12"/>
  <c r="AH1220" i="12"/>
  <c r="AH1221" i="12"/>
  <c r="AH1222" i="12"/>
  <c r="AH1223" i="12"/>
  <c r="AH1224" i="12"/>
  <c r="AH1225" i="12"/>
  <c r="AH1226" i="12"/>
  <c r="AH1227" i="12"/>
  <c r="AH1228" i="12"/>
  <c r="AH1229" i="12"/>
  <c r="AH1230" i="12"/>
  <c r="AH1231" i="12"/>
  <c r="AH1232" i="12"/>
  <c r="AH1233" i="12"/>
  <c r="AH1234" i="12"/>
  <c r="AH1235" i="12"/>
  <c r="AH1236" i="12"/>
  <c r="AH1237" i="12"/>
  <c r="AH1238" i="12"/>
  <c r="AH1239" i="12"/>
  <c r="AH1240" i="12"/>
  <c r="AH1241" i="12"/>
  <c r="AH1242" i="12"/>
  <c r="AH1243" i="12"/>
  <c r="AH1244" i="12"/>
  <c r="AH1245" i="12"/>
  <c r="AH1246" i="12"/>
  <c r="AH1247" i="12"/>
  <c r="AH1248" i="12"/>
  <c r="AH1249" i="12"/>
  <c r="AH1250" i="12"/>
  <c r="AH1251" i="12"/>
  <c r="AH1252" i="12"/>
  <c r="AH1253" i="12"/>
  <c r="AH1254" i="12"/>
  <c r="AH1255" i="12"/>
  <c r="AH1256" i="12"/>
  <c r="AH1257" i="12"/>
  <c r="AH1258" i="12"/>
  <c r="AH1259" i="12"/>
  <c r="AH1260" i="12"/>
  <c r="AH1261" i="12"/>
  <c r="AH1262" i="12"/>
  <c r="AH1263" i="12"/>
  <c r="AH1264" i="12"/>
  <c r="AH1265" i="12"/>
  <c r="AH1266" i="12"/>
  <c r="AH1267" i="12"/>
  <c r="AH1268" i="12"/>
  <c r="AH1269" i="12"/>
  <c r="AH1270" i="12"/>
  <c r="AH1271" i="12"/>
  <c r="AH1272" i="12"/>
  <c r="AH1273" i="12"/>
  <c r="AH1274" i="12"/>
  <c r="AH1275" i="12"/>
  <c r="AH1276" i="12"/>
  <c r="AH1277" i="12"/>
  <c r="AH1278" i="12"/>
  <c r="AH1279" i="12"/>
  <c r="AH1280" i="12"/>
  <c r="AH1281" i="12"/>
  <c r="AH1282" i="12"/>
  <c r="AH1283" i="12"/>
  <c r="AH1284" i="12"/>
  <c r="AH1285" i="12"/>
  <c r="AH1286" i="12"/>
  <c r="AH1287" i="12"/>
  <c r="AH1288" i="12"/>
  <c r="AH1289" i="12"/>
  <c r="AH1290" i="12"/>
  <c r="AH1291" i="12"/>
  <c r="AH1292" i="12"/>
  <c r="AH1293" i="12"/>
  <c r="AH1294" i="12"/>
  <c r="AH1295" i="12"/>
  <c r="AH1296" i="12"/>
  <c r="AH1297" i="12"/>
  <c r="AH1298" i="12"/>
  <c r="AH1299" i="12"/>
  <c r="AH1300" i="12"/>
  <c r="AH1301" i="12"/>
  <c r="AH1302" i="12"/>
  <c r="AH1303" i="12"/>
  <c r="AH1304" i="12"/>
  <c r="AH1305" i="12"/>
  <c r="AH1306" i="12"/>
  <c r="AH1307" i="12"/>
  <c r="AH1308" i="12"/>
  <c r="AH1309" i="12"/>
  <c r="AH1310" i="12"/>
  <c r="AH1311" i="12"/>
  <c r="AH1312" i="12"/>
  <c r="AH1313" i="12"/>
  <c r="AH1314" i="12"/>
  <c r="AH1315" i="12"/>
  <c r="AH1316" i="12"/>
  <c r="AH1317" i="12"/>
  <c r="AH1318" i="12"/>
  <c r="AH1319" i="12"/>
  <c r="AH1320" i="12"/>
  <c r="AH1321" i="12"/>
  <c r="AH1322" i="12"/>
  <c r="AH1323" i="12"/>
  <c r="AH1324" i="12"/>
  <c r="AH1325" i="12"/>
  <c r="AH1326" i="12"/>
  <c r="AH1327" i="12"/>
  <c r="AH1328" i="12"/>
  <c r="AH1329" i="12"/>
  <c r="AH1330" i="12"/>
  <c r="AH1331" i="12"/>
  <c r="AH1332" i="12"/>
  <c r="AH1333" i="12"/>
  <c r="AH1334" i="12"/>
  <c r="AH1335" i="12"/>
  <c r="AH1336" i="12"/>
  <c r="AH1337" i="12"/>
  <c r="AH1338" i="12"/>
  <c r="AH1339" i="12"/>
  <c r="AH1340" i="12"/>
  <c r="AH1341" i="12"/>
  <c r="AH1342" i="12"/>
  <c r="AH1343" i="12"/>
  <c r="AH1344" i="12"/>
  <c r="AH1345" i="12"/>
  <c r="AH1346" i="12"/>
  <c r="AH1347" i="12"/>
  <c r="AH1348" i="12"/>
  <c r="AH1349" i="12"/>
  <c r="AH1350" i="12"/>
  <c r="AH1351" i="12"/>
  <c r="AH1352" i="12"/>
  <c r="AH1353" i="12"/>
  <c r="AH1354" i="12"/>
  <c r="AH1355" i="12"/>
  <c r="AH1356" i="12"/>
  <c r="AH1357" i="12"/>
  <c r="AH1358" i="12"/>
  <c r="AH1359" i="12"/>
  <c r="AH1360" i="12"/>
  <c r="AH1361" i="12"/>
  <c r="AH1362" i="12"/>
  <c r="AH1363" i="12"/>
  <c r="AH1364" i="12"/>
  <c r="AH1365" i="12"/>
  <c r="AH1366" i="12"/>
  <c r="AH1367" i="12"/>
  <c r="AH1368" i="12"/>
  <c r="AH1369" i="12"/>
  <c r="AH1370" i="12"/>
  <c r="AH1371" i="12"/>
  <c r="AH1372" i="12"/>
  <c r="AH1373" i="12"/>
  <c r="AH1374" i="12"/>
  <c r="AH1375" i="12"/>
  <c r="AH1376" i="12"/>
  <c r="AH1377" i="12"/>
  <c r="AH1378" i="12"/>
  <c r="AH1379" i="12"/>
  <c r="AH1380" i="12"/>
  <c r="AH1381" i="12"/>
  <c r="AH1382" i="12"/>
  <c r="AH1383" i="12"/>
  <c r="AH1384" i="12"/>
  <c r="AH1385" i="12"/>
  <c r="AH1386" i="12"/>
  <c r="AH1387" i="12"/>
  <c r="AH1388" i="12"/>
  <c r="AH1389" i="12"/>
  <c r="AH1390" i="12"/>
  <c r="AH1391" i="12"/>
  <c r="AH1392" i="12"/>
  <c r="AH1393" i="12"/>
  <c r="AH1394" i="12"/>
  <c r="AH1395" i="12"/>
  <c r="AH1396" i="12"/>
  <c r="AH1397" i="12"/>
  <c r="AH1398" i="12"/>
  <c r="AH1399" i="12"/>
  <c r="AH1400" i="12"/>
  <c r="AH1401" i="12"/>
  <c r="AH1402" i="12"/>
  <c r="AH1403" i="12"/>
  <c r="AH1404" i="12"/>
  <c r="AH1405" i="12"/>
  <c r="AH1406" i="12"/>
  <c r="AH1407" i="12"/>
  <c r="AH1408" i="12"/>
  <c r="AH1409" i="12"/>
  <c r="AH1410" i="12"/>
  <c r="AH1411" i="12"/>
  <c r="AH1412" i="12"/>
  <c r="AH1413" i="12"/>
  <c r="AH1414" i="12"/>
  <c r="AH1415" i="12"/>
  <c r="AH1416" i="12"/>
  <c r="AH1417" i="12"/>
  <c r="AH1418" i="12"/>
  <c r="AH1419" i="12"/>
  <c r="AH1420" i="12"/>
  <c r="AH1421" i="12"/>
  <c r="AH1422" i="12"/>
  <c r="AH1423" i="12"/>
  <c r="AH1424" i="12"/>
  <c r="AH1425" i="12"/>
  <c r="AH1426" i="12"/>
  <c r="AH1427" i="12"/>
  <c r="AH1428" i="12"/>
  <c r="AH1429" i="12"/>
  <c r="AH1430" i="12"/>
  <c r="AH1431" i="12"/>
  <c r="AH1432" i="12"/>
  <c r="AH1433" i="12"/>
  <c r="AH1434" i="12"/>
  <c r="AH1435" i="12"/>
  <c r="AH1436" i="12"/>
  <c r="AH1437" i="12"/>
  <c r="AH1438" i="12"/>
  <c r="AH1439" i="12"/>
  <c r="AH1440" i="12"/>
  <c r="AH1441" i="12"/>
  <c r="AH1442" i="12"/>
  <c r="AH1443" i="12"/>
  <c r="AH1444" i="12"/>
  <c r="AH1445" i="12"/>
  <c r="AH1446" i="12"/>
  <c r="AH1447" i="12"/>
  <c r="AH1448" i="12"/>
  <c r="AH1449" i="12"/>
  <c r="AH1450" i="12"/>
  <c r="AH1451" i="12"/>
  <c r="AH1452" i="12"/>
  <c r="AH1453" i="12"/>
  <c r="AH1454" i="12"/>
  <c r="AH1455" i="12"/>
  <c r="AH1456" i="12"/>
  <c r="AH1457" i="12"/>
  <c r="AH1458" i="12"/>
  <c r="AH1459" i="12"/>
  <c r="AH1460" i="12"/>
  <c r="AH1461" i="12"/>
  <c r="AH1462" i="12"/>
  <c r="AH1463" i="12"/>
  <c r="AH1464" i="12"/>
  <c r="AH1465" i="12"/>
  <c r="AH1466" i="12"/>
  <c r="AH1467" i="12"/>
  <c r="AH1468" i="12"/>
  <c r="AH1469" i="12"/>
  <c r="AH1470" i="12"/>
  <c r="AH1471" i="12"/>
  <c r="AH1472" i="12"/>
  <c r="AH1473" i="12"/>
  <c r="AH1474" i="12"/>
  <c r="AH1475" i="12"/>
  <c r="AH1476" i="12"/>
  <c r="AH1477" i="12"/>
  <c r="AH1478" i="12"/>
  <c r="AH1479" i="12"/>
  <c r="AH1480" i="12"/>
  <c r="AH1481" i="12"/>
  <c r="AH1482" i="12"/>
  <c r="AH1483" i="12"/>
  <c r="AH1484" i="12"/>
  <c r="AH1485" i="12"/>
  <c r="AH1486" i="12"/>
  <c r="AH1487" i="12"/>
  <c r="AH1488" i="12"/>
  <c r="AH1489" i="12"/>
  <c r="AH1490" i="12"/>
  <c r="AH1491" i="12"/>
  <c r="AH1492" i="12"/>
  <c r="AH1493" i="12"/>
  <c r="AH1494" i="12"/>
  <c r="AH1495" i="12"/>
  <c r="AH1496" i="12"/>
  <c r="AH1497" i="12"/>
  <c r="AH1498" i="12"/>
  <c r="AH1499" i="12"/>
  <c r="AH1500" i="12"/>
  <c r="AH1501" i="12"/>
  <c r="AH1502" i="12"/>
  <c r="AH1503" i="12"/>
  <c r="AH1504" i="12"/>
  <c r="AH1505" i="12"/>
  <c r="AH1506" i="12"/>
  <c r="AH1507" i="12"/>
  <c r="AH1508" i="12"/>
  <c r="AH1509" i="12"/>
  <c r="AH1510" i="12"/>
  <c r="AH1511" i="12"/>
  <c r="AH1512" i="12"/>
  <c r="AH1513" i="12"/>
  <c r="AH1514" i="12"/>
  <c r="AH1515" i="12"/>
  <c r="AH1516" i="12"/>
  <c r="AH1517" i="12"/>
  <c r="AH1518" i="12"/>
  <c r="AH1519" i="12"/>
  <c r="AH1520" i="12"/>
  <c r="AH1521" i="12"/>
  <c r="AH1522" i="12"/>
  <c r="AH1523" i="12"/>
  <c r="AH1524" i="12"/>
  <c r="AH1525" i="12"/>
  <c r="AH1526" i="12"/>
  <c r="AH1527" i="12"/>
  <c r="AH1528" i="12"/>
  <c r="AH1529" i="12"/>
  <c r="AH1530" i="12"/>
  <c r="AH1531" i="12"/>
  <c r="AH1532" i="12"/>
  <c r="AH1533" i="12"/>
  <c r="AH1534" i="12"/>
  <c r="AH1535" i="12"/>
  <c r="AH1536" i="12"/>
  <c r="AH1537" i="12"/>
  <c r="AH1538" i="12"/>
  <c r="AH1539" i="12"/>
  <c r="AH1540" i="12"/>
  <c r="AH1541" i="12"/>
  <c r="AH1542" i="12"/>
  <c r="AH1543" i="12"/>
  <c r="AH1544" i="12"/>
  <c r="AH1545" i="12"/>
  <c r="AH1546" i="12"/>
  <c r="AH1547" i="12"/>
  <c r="AH1548" i="12"/>
  <c r="AH1549" i="12"/>
  <c r="AH1550" i="12"/>
  <c r="AH1551" i="12"/>
  <c r="AH1552" i="12"/>
  <c r="AH1553" i="12"/>
  <c r="AH1554" i="12"/>
  <c r="AH1555" i="12"/>
  <c r="AH1556" i="12"/>
  <c r="AH1557" i="12"/>
  <c r="AH1558" i="12"/>
  <c r="AH1559" i="12"/>
  <c r="AH1560" i="12"/>
  <c r="AH1561" i="12"/>
  <c r="AH1562" i="12"/>
  <c r="AH1563" i="12"/>
  <c r="AH1564" i="12"/>
  <c r="AH1565" i="12"/>
  <c r="AH1566" i="12"/>
  <c r="AH1567" i="12"/>
  <c r="AH1568" i="12"/>
  <c r="AH1569" i="12"/>
  <c r="AH1570" i="12"/>
  <c r="AH1571" i="12"/>
  <c r="AH1572" i="12"/>
  <c r="AH1573" i="12"/>
  <c r="AH1574" i="12"/>
  <c r="AH1575" i="12"/>
  <c r="AH1576" i="12"/>
  <c r="AH1577" i="12"/>
  <c r="AH1578" i="12"/>
  <c r="AH1579" i="12"/>
  <c r="AH1580" i="12"/>
  <c r="AH1581" i="12"/>
  <c r="AH1582" i="12"/>
  <c r="AH1583" i="12"/>
  <c r="AH1584" i="12"/>
  <c r="AH1585" i="12"/>
  <c r="AH1586" i="12"/>
  <c r="AH1587" i="12"/>
  <c r="AH1588" i="12"/>
  <c r="AH1589" i="12"/>
  <c r="AH1590" i="12"/>
  <c r="AH1591" i="12"/>
  <c r="AH1592" i="12"/>
  <c r="AH1593" i="12"/>
  <c r="AH1594" i="12"/>
  <c r="AH1595" i="12"/>
  <c r="AH1596" i="12"/>
  <c r="AH1597" i="12"/>
  <c r="AH1598" i="12"/>
  <c r="AH1599" i="12"/>
  <c r="AH1600" i="12"/>
  <c r="AH1601" i="12"/>
  <c r="AH1602" i="12"/>
  <c r="AH1603" i="12"/>
  <c r="AH1604" i="12"/>
  <c r="AH1605" i="12"/>
  <c r="AH1606" i="12"/>
  <c r="AH1607" i="12"/>
  <c r="AH1608" i="12"/>
  <c r="AH1609" i="12"/>
  <c r="AH1610" i="12"/>
  <c r="AH1611" i="12"/>
  <c r="AH1612" i="12"/>
  <c r="AH1613" i="12"/>
  <c r="AH1614" i="12"/>
  <c r="AH1615" i="12"/>
  <c r="AH1616" i="12"/>
  <c r="AH1617" i="12"/>
  <c r="AH1618" i="12"/>
  <c r="AH1619" i="12"/>
  <c r="AH1620" i="12"/>
  <c r="AH1621" i="12"/>
  <c r="AH1622" i="12"/>
  <c r="AH1623" i="12"/>
  <c r="AH1624" i="12"/>
  <c r="AH1625" i="12"/>
  <c r="AH1626" i="12"/>
  <c r="AH1627" i="12"/>
  <c r="AH1628" i="12"/>
  <c r="AH1629" i="12"/>
  <c r="AH1630" i="12"/>
  <c r="AH1631" i="12"/>
  <c r="AH1632" i="12"/>
  <c r="AH1633" i="12"/>
  <c r="AH1634" i="12"/>
  <c r="AH1635" i="12"/>
  <c r="AH1636" i="12"/>
  <c r="AH1637" i="12"/>
  <c r="AH1638" i="12"/>
  <c r="AH1639" i="12"/>
  <c r="AH1640" i="12"/>
  <c r="AH1641" i="12"/>
  <c r="AH1642" i="12"/>
  <c r="AH1643" i="12"/>
  <c r="AH1644" i="12"/>
  <c r="AH1645" i="12"/>
  <c r="AH1646" i="12"/>
  <c r="AH1647" i="12"/>
  <c r="AH1648" i="12"/>
  <c r="AH1649" i="12"/>
  <c r="AH1650" i="12"/>
  <c r="AH1651" i="12"/>
  <c r="AH1652" i="12"/>
  <c r="AH1653" i="12"/>
  <c r="AH1654" i="12"/>
  <c r="AH1655" i="12"/>
  <c r="AH1656" i="12"/>
  <c r="AH1657" i="12"/>
  <c r="AH1658" i="12"/>
  <c r="AH1659" i="12"/>
  <c r="AH1660" i="12"/>
  <c r="AH1661" i="12"/>
  <c r="AH1662" i="12"/>
  <c r="AH1663" i="12"/>
  <c r="AH1664" i="12"/>
  <c r="AH1665" i="12"/>
  <c r="AH1666" i="12"/>
  <c r="AH1667" i="12"/>
  <c r="AH1668" i="12"/>
  <c r="AH1669" i="12"/>
  <c r="AH1670" i="12"/>
  <c r="AH1671" i="12"/>
  <c r="AH1672" i="12"/>
  <c r="AH1673" i="12"/>
  <c r="AH1674" i="12"/>
  <c r="AH1675" i="12"/>
  <c r="AH1676" i="12"/>
  <c r="AH1677" i="12"/>
  <c r="AH1678" i="12"/>
  <c r="AH1679" i="12"/>
  <c r="AH1680" i="12"/>
  <c r="AH1681" i="12"/>
  <c r="AH1682" i="12"/>
  <c r="AH1683" i="12"/>
  <c r="AH1684" i="12"/>
  <c r="AH1685" i="12"/>
  <c r="AH1686" i="12"/>
  <c r="AH1687" i="12"/>
  <c r="AH1688" i="12"/>
  <c r="AH1689" i="12"/>
  <c r="AH1690" i="12"/>
  <c r="AH1691" i="12"/>
  <c r="AH1692" i="12"/>
  <c r="AH1693" i="12"/>
  <c r="AH1694" i="12"/>
  <c r="AH1695" i="12"/>
  <c r="AH1696" i="12"/>
  <c r="AH1697" i="12"/>
  <c r="AH1698" i="12"/>
  <c r="AH1699" i="12"/>
  <c r="AH1700" i="12"/>
  <c r="AH1701" i="12"/>
  <c r="AH1702" i="12"/>
  <c r="AH1703" i="12"/>
  <c r="AH1704" i="12"/>
  <c r="AH1705" i="12"/>
  <c r="AH1706" i="12"/>
  <c r="AH1707" i="12"/>
  <c r="AH1708" i="12"/>
  <c r="AH1709" i="12"/>
  <c r="AH1710" i="12"/>
  <c r="AH1711" i="12"/>
  <c r="AH1712" i="12"/>
  <c r="AH1713" i="12"/>
  <c r="AH1714" i="12"/>
  <c r="AH1715" i="12"/>
  <c r="AH1716" i="12"/>
  <c r="AH1717" i="12"/>
  <c r="AH1718" i="12"/>
  <c r="AH1719" i="12"/>
  <c r="AH1720" i="12"/>
  <c r="AH1721" i="12"/>
  <c r="AH1722" i="12"/>
  <c r="AH1723" i="12"/>
  <c r="AH1724" i="12"/>
  <c r="AH1725" i="12"/>
  <c r="AH1726" i="12"/>
  <c r="AH1727" i="12"/>
  <c r="AH1728" i="12"/>
  <c r="AH1729" i="12"/>
  <c r="AH1730" i="12"/>
  <c r="AH1731" i="12"/>
  <c r="AH1732" i="12"/>
  <c r="AH1733" i="12"/>
  <c r="AH1734" i="12"/>
  <c r="AH1735" i="12"/>
  <c r="AH1736" i="12"/>
  <c r="AH1737" i="12"/>
  <c r="AH1738" i="12"/>
  <c r="AH1739" i="12"/>
  <c r="AH1740" i="12"/>
  <c r="AH1741" i="12"/>
  <c r="AH1742" i="12"/>
  <c r="AH1743" i="12"/>
  <c r="AH1744" i="12"/>
  <c r="AH1745" i="12"/>
  <c r="AH1746" i="12"/>
  <c r="AH1747" i="12"/>
  <c r="AH1748" i="12"/>
  <c r="AH1749" i="12"/>
  <c r="AH1750" i="12"/>
  <c r="AH1751" i="12"/>
  <c r="AH1752" i="12"/>
  <c r="AH1753" i="12"/>
  <c r="AH1754" i="12"/>
  <c r="AH1755" i="12"/>
  <c r="AH1756" i="12"/>
  <c r="AH1757" i="12"/>
  <c r="AH1758" i="12"/>
  <c r="AH1759" i="12"/>
  <c r="AH1760" i="12"/>
  <c r="AH1761" i="12"/>
  <c r="AH1762" i="12"/>
  <c r="AH1763" i="12"/>
  <c r="AH1764" i="12"/>
  <c r="AH1765" i="12"/>
  <c r="AH1766" i="12"/>
  <c r="AH1767" i="12"/>
  <c r="AH1768" i="12"/>
  <c r="AH1769" i="12"/>
  <c r="AH1770" i="12"/>
  <c r="AH1771" i="12"/>
  <c r="AH1772" i="12"/>
  <c r="AH1773" i="12"/>
  <c r="AH1774" i="12"/>
  <c r="AH1775" i="12"/>
  <c r="AH1776" i="12"/>
  <c r="AH1777" i="12"/>
  <c r="AH1778" i="12"/>
  <c r="AH1779" i="12"/>
  <c r="AH1780" i="12"/>
  <c r="AH1781" i="12"/>
  <c r="AH1782" i="12"/>
  <c r="AH1783" i="12"/>
  <c r="AH1784" i="12"/>
  <c r="AH1785" i="12"/>
  <c r="AH1786" i="12"/>
  <c r="AH1787" i="12"/>
  <c r="AH1788" i="12"/>
  <c r="AH1789" i="12"/>
  <c r="AH1790" i="12"/>
  <c r="AH1791" i="12"/>
  <c r="AH1792" i="12"/>
  <c r="AH1793" i="12"/>
  <c r="AH1794" i="12"/>
  <c r="AH1795" i="12"/>
  <c r="AH1796" i="12"/>
  <c r="AH1797" i="12"/>
  <c r="AH1798" i="12"/>
  <c r="AH1799" i="12"/>
  <c r="AH1800" i="12"/>
  <c r="AH1801" i="12"/>
  <c r="AH1802" i="12"/>
  <c r="AH1803" i="12"/>
  <c r="AH1804" i="12"/>
  <c r="AH1805" i="12"/>
  <c r="AH1806" i="12"/>
  <c r="AH1807" i="12"/>
  <c r="AH1808" i="12"/>
  <c r="AH1809" i="12"/>
  <c r="AH1810" i="12"/>
  <c r="AH1811" i="12"/>
  <c r="AH1812" i="12"/>
  <c r="AH1813" i="12"/>
  <c r="AH1814" i="12"/>
  <c r="AH1815" i="12"/>
  <c r="AH1816" i="12"/>
  <c r="AH1817" i="12"/>
  <c r="AH1818" i="12"/>
  <c r="AH1819" i="12"/>
  <c r="AH1820" i="12"/>
  <c r="AH1821" i="12"/>
  <c r="AH1822" i="12"/>
  <c r="AH1823" i="12"/>
  <c r="AH1824" i="12"/>
  <c r="AH1825" i="12"/>
  <c r="AH1826" i="12"/>
  <c r="AH1827" i="12"/>
  <c r="AH1828" i="12"/>
  <c r="AH1829" i="12"/>
  <c r="AH1830" i="12"/>
  <c r="AH1831" i="12"/>
  <c r="AH1832" i="12"/>
  <c r="AH1833" i="12"/>
  <c r="AH1834" i="12"/>
  <c r="AH1835" i="12"/>
  <c r="AH1836" i="12"/>
  <c r="AH1837" i="12"/>
  <c r="AH1838" i="12"/>
  <c r="AH1839" i="12"/>
  <c r="AH1840" i="12"/>
  <c r="AH1841" i="12"/>
  <c r="AH1842" i="12"/>
  <c r="AH1843" i="12"/>
  <c r="AH1844" i="12"/>
  <c r="AH1845" i="12"/>
  <c r="AH1846" i="12"/>
  <c r="AH1847" i="12"/>
  <c r="AH1848" i="12"/>
  <c r="AH1849" i="12"/>
  <c r="AH1850" i="12"/>
  <c r="AH1851" i="12"/>
  <c r="AH1852" i="12"/>
  <c r="AH1853" i="12"/>
  <c r="AH1854" i="12"/>
  <c r="AH1855" i="12"/>
  <c r="AH1856" i="12"/>
  <c r="AH1857" i="12"/>
  <c r="AH1858" i="12"/>
  <c r="AH1859" i="12"/>
  <c r="AH1860" i="12"/>
  <c r="AH1861" i="12"/>
  <c r="AH1862" i="12"/>
  <c r="AH1863" i="12"/>
  <c r="AH1864" i="12"/>
  <c r="AH1865" i="12"/>
  <c r="AH1866" i="12"/>
  <c r="AH1867" i="12"/>
  <c r="AH1868" i="12"/>
  <c r="AH1869" i="12"/>
  <c r="AH1870" i="12"/>
  <c r="AH1871" i="12"/>
  <c r="AH1872" i="12"/>
  <c r="AH1873" i="12"/>
  <c r="AH1874" i="12"/>
  <c r="AH1875" i="12"/>
  <c r="AH1876" i="12"/>
  <c r="AH1877" i="12"/>
  <c r="AH1878" i="12"/>
  <c r="AH1879" i="12"/>
  <c r="AH1880" i="12"/>
  <c r="AH1881" i="12"/>
  <c r="AH1882" i="12"/>
  <c r="AH1883" i="12"/>
  <c r="AH1884" i="12"/>
  <c r="AH1885" i="12"/>
  <c r="AH1886" i="12"/>
  <c r="AH1887" i="12"/>
  <c r="AH1888" i="12"/>
  <c r="AH1889" i="12"/>
  <c r="AH1890" i="12"/>
  <c r="AH1891" i="12"/>
  <c r="AH1892" i="12"/>
  <c r="AH1893" i="12"/>
  <c r="AH1894" i="12"/>
  <c r="AH1895" i="12"/>
  <c r="AH1896" i="12"/>
  <c r="AH1897" i="12"/>
  <c r="AH1898" i="12"/>
  <c r="AH1899" i="12"/>
  <c r="AH1900" i="12"/>
  <c r="AH1901" i="12"/>
  <c r="AH1902" i="12"/>
  <c r="AH1903" i="12"/>
  <c r="AH1904" i="12"/>
  <c r="AH1905" i="12"/>
  <c r="AH1906" i="12"/>
  <c r="AH1907" i="12"/>
  <c r="AH1908" i="12"/>
  <c r="AH1909" i="12"/>
  <c r="AH1910" i="12"/>
  <c r="AH1911" i="12"/>
  <c r="AH1912" i="12"/>
  <c r="AH1913" i="12"/>
  <c r="AH1914" i="12"/>
  <c r="AH1915" i="12"/>
  <c r="AH1916" i="12"/>
  <c r="AH1917" i="12"/>
  <c r="AH1918" i="12"/>
  <c r="AH1919" i="12"/>
  <c r="AH1920" i="12"/>
  <c r="AH1921" i="12"/>
  <c r="AH1922" i="12"/>
  <c r="AH1923" i="12"/>
  <c r="AH1924" i="12"/>
  <c r="AH1925" i="12"/>
  <c r="AH1926" i="12"/>
  <c r="AH1927" i="12"/>
  <c r="AH1928" i="12"/>
  <c r="AH1929" i="12"/>
  <c r="AH1930" i="12"/>
  <c r="AH1931" i="12"/>
  <c r="AH1932" i="12"/>
  <c r="AH1933" i="12"/>
  <c r="AH1934" i="12"/>
  <c r="AH1935" i="12"/>
  <c r="AH1936" i="12"/>
  <c r="AH1937" i="12"/>
  <c r="AH1938" i="12"/>
  <c r="AH1939" i="12"/>
  <c r="AH1940" i="12"/>
  <c r="AH1941" i="12"/>
  <c r="AH1942" i="12"/>
  <c r="AH1943" i="12"/>
  <c r="AH1944" i="12"/>
  <c r="AH1945" i="12"/>
  <c r="AH1946" i="12"/>
  <c r="AH1947" i="12"/>
  <c r="AH1948" i="12"/>
  <c r="AH1949" i="12"/>
  <c r="AH1950" i="12"/>
  <c r="AH1951" i="12"/>
  <c r="AH1952" i="12"/>
  <c r="AH1953" i="12"/>
  <c r="AH1954" i="12"/>
  <c r="AH1955" i="12"/>
  <c r="AH1956" i="12"/>
  <c r="AH1957" i="12"/>
  <c r="AH1958" i="12"/>
  <c r="AH1959" i="12"/>
  <c r="AH1960" i="12"/>
  <c r="AH1961" i="12"/>
  <c r="AH1962" i="12"/>
  <c r="AH1963" i="12"/>
  <c r="AH1964" i="12"/>
  <c r="AH1965" i="12"/>
  <c r="AH1966" i="12"/>
  <c r="AH1967" i="12"/>
  <c r="AH1968" i="12"/>
  <c r="AH1969" i="12"/>
  <c r="AH1970" i="12"/>
  <c r="AH1971" i="12"/>
  <c r="AH1972" i="12"/>
  <c r="AH1973" i="12"/>
  <c r="AH1974" i="12"/>
  <c r="AH1975" i="12"/>
  <c r="AH1976" i="12"/>
  <c r="AH1977" i="12"/>
  <c r="AH1978" i="12"/>
  <c r="AH1979" i="12"/>
  <c r="AH1980" i="12"/>
  <c r="AH1981" i="12"/>
  <c r="AH1982" i="12"/>
  <c r="AH1983" i="12"/>
  <c r="AH1984" i="12"/>
  <c r="AH1985" i="12"/>
  <c r="AH1986" i="12"/>
  <c r="AH1987" i="12"/>
  <c r="AH1988" i="12"/>
  <c r="AH1989" i="12"/>
  <c r="AH1990" i="12"/>
  <c r="AH1991" i="12"/>
  <c r="AH1992" i="12"/>
  <c r="AH1993" i="12"/>
  <c r="AH1994" i="12"/>
  <c r="AH1995" i="12"/>
  <c r="AH1996" i="12"/>
  <c r="AH1997" i="12"/>
  <c r="AH1998" i="12"/>
  <c r="AH1999" i="12"/>
  <c r="AH2000" i="12"/>
  <c r="AH2001" i="12"/>
  <c r="AH2002" i="12"/>
  <c r="AH2003" i="12"/>
  <c r="AH2004" i="12"/>
  <c r="AH2005" i="12"/>
  <c r="AH2006" i="12"/>
  <c r="AH2007" i="12"/>
  <c r="AH2008" i="12"/>
  <c r="AH2009" i="12"/>
  <c r="AH2010" i="12"/>
  <c r="AH2011" i="12"/>
  <c r="AH2012" i="12"/>
  <c r="AH2013" i="12"/>
  <c r="AH2014" i="12"/>
  <c r="AH2015" i="12"/>
  <c r="AH2016" i="12"/>
  <c r="AH2017" i="12"/>
  <c r="AH2018" i="12"/>
  <c r="AH2019" i="12"/>
  <c r="AH2020" i="12"/>
  <c r="AH2021" i="12"/>
  <c r="AH2022" i="12"/>
  <c r="AH2023" i="12"/>
  <c r="AH2024" i="12"/>
  <c r="AH2025" i="12"/>
  <c r="AH2026" i="12"/>
  <c r="AH2027" i="12"/>
  <c r="AH2028" i="12"/>
  <c r="AH2029" i="12"/>
  <c r="AH2030" i="12"/>
  <c r="AH2031" i="12"/>
  <c r="AH2032" i="12"/>
  <c r="AH2033" i="12"/>
  <c r="AH2034" i="12"/>
  <c r="AH2035" i="12"/>
  <c r="AH2036" i="12"/>
  <c r="AH2037" i="12"/>
  <c r="AH2038" i="12"/>
  <c r="AH2039" i="12"/>
  <c r="AH2040" i="12"/>
  <c r="AH2041" i="12"/>
  <c r="AH2042" i="12"/>
  <c r="AH2043" i="12"/>
  <c r="AH2044" i="12"/>
  <c r="AH2045" i="12"/>
  <c r="AH2046" i="12"/>
  <c r="AH2047" i="12"/>
  <c r="AH2048" i="12"/>
  <c r="AH2049" i="12"/>
  <c r="AH2050" i="12"/>
  <c r="AH2051" i="12"/>
  <c r="AH2052" i="12"/>
  <c r="AH2053" i="12"/>
  <c r="AH2054" i="12"/>
  <c r="AH2055" i="12"/>
  <c r="AH2056" i="12"/>
  <c r="AH2057" i="12"/>
  <c r="AH2058" i="12"/>
  <c r="AH2059" i="12"/>
  <c r="AH2060" i="12"/>
  <c r="AH2061" i="12"/>
  <c r="AH2062" i="12"/>
  <c r="AH2063" i="12"/>
  <c r="AH2064" i="12"/>
  <c r="AH2065" i="12"/>
  <c r="AH2066" i="12"/>
  <c r="AH2067" i="12"/>
  <c r="AH2068" i="12"/>
  <c r="AH2069" i="12"/>
  <c r="AH2070" i="12"/>
  <c r="AH2071" i="12"/>
  <c r="AH2072" i="12"/>
  <c r="AH2073" i="12"/>
  <c r="AH2074" i="12"/>
  <c r="AH2075" i="12"/>
  <c r="AH2076" i="12"/>
  <c r="AH2077" i="12"/>
  <c r="AH2078" i="12"/>
  <c r="AH2079" i="12"/>
  <c r="AH2080" i="12"/>
  <c r="AH2081" i="12"/>
  <c r="AH2082" i="12"/>
  <c r="AH2083" i="12"/>
  <c r="AH2084" i="12"/>
  <c r="AH2085" i="12"/>
  <c r="AH2086" i="12"/>
  <c r="AH2087" i="12"/>
  <c r="AH2088" i="12"/>
  <c r="AH2089" i="12"/>
  <c r="AH2090" i="12"/>
  <c r="AH2091" i="12"/>
  <c r="AH2092" i="12"/>
  <c r="AH2093" i="12"/>
  <c r="AH2094" i="12"/>
  <c r="AH2095" i="12"/>
  <c r="AH2096" i="12"/>
  <c r="AH2097" i="12"/>
  <c r="AH2098" i="12"/>
  <c r="AH2099" i="12"/>
  <c r="AH2100" i="12"/>
  <c r="AH2101" i="12"/>
  <c r="AH2102" i="12"/>
  <c r="AH2103" i="12"/>
  <c r="AH2104" i="12"/>
  <c r="AH2105" i="12"/>
  <c r="AH2106" i="12"/>
  <c r="AH2107" i="12"/>
  <c r="AH2108" i="12"/>
  <c r="AH2109" i="12"/>
  <c r="AH2110" i="12"/>
  <c r="AH2111" i="12"/>
  <c r="AH2112" i="12"/>
  <c r="AH2113" i="12"/>
  <c r="AH2114" i="12"/>
  <c r="AH2115" i="12"/>
  <c r="AH2116" i="12"/>
  <c r="AH2117" i="12"/>
  <c r="AH2118" i="12"/>
  <c r="AH2119" i="12"/>
  <c r="AH2120" i="12"/>
  <c r="AH2121" i="12"/>
  <c r="AH2122" i="12"/>
  <c r="AH2123" i="12"/>
  <c r="AH2124" i="12"/>
  <c r="AH2125" i="12"/>
  <c r="AH2126" i="12"/>
  <c r="AH2127" i="12"/>
  <c r="AH2128" i="12"/>
  <c r="AH2129" i="12"/>
  <c r="AH2130" i="12"/>
  <c r="AH2131" i="12"/>
  <c r="AH2132" i="12"/>
  <c r="AH2133" i="12"/>
  <c r="AH2134" i="12"/>
  <c r="AH2135" i="12"/>
  <c r="AH2136" i="12"/>
  <c r="AH2137" i="12"/>
  <c r="AH2138" i="12"/>
  <c r="AH2139" i="12"/>
  <c r="AH2140" i="12"/>
  <c r="AH2141" i="12"/>
  <c r="AH2142" i="12"/>
  <c r="AH2143" i="12"/>
  <c r="AH2144" i="12"/>
  <c r="AH2145" i="12"/>
  <c r="AH2146" i="12"/>
  <c r="AH2147" i="12"/>
  <c r="AH2148" i="12"/>
  <c r="AH2149" i="12"/>
  <c r="AH2150" i="12"/>
  <c r="AH2151" i="12"/>
  <c r="AH2152" i="12"/>
  <c r="AH2153" i="12"/>
  <c r="AH2154" i="12"/>
  <c r="AH2155" i="12"/>
  <c r="AH2156" i="12"/>
  <c r="AH2157" i="12"/>
  <c r="AH2158" i="12"/>
  <c r="AH2159" i="12"/>
  <c r="AH2160" i="12"/>
  <c r="AH2161" i="12"/>
  <c r="AH2162" i="12"/>
  <c r="AH2163" i="12"/>
  <c r="AH2164" i="12"/>
  <c r="AH2165" i="12"/>
  <c r="AH2166" i="12"/>
  <c r="AH2167" i="12"/>
  <c r="AH2168" i="12"/>
  <c r="AH2169" i="12"/>
  <c r="AH2170" i="12"/>
  <c r="AH2171" i="12"/>
  <c r="AH2172" i="12"/>
  <c r="AH2173" i="12"/>
  <c r="AH2174" i="12"/>
  <c r="AH2175" i="12"/>
  <c r="AH2176" i="12"/>
  <c r="AH2177" i="12"/>
  <c r="AH2178" i="12"/>
  <c r="AH2179" i="12"/>
  <c r="AH2180" i="12"/>
  <c r="AH2181" i="12"/>
  <c r="AH2182" i="12"/>
  <c r="AH2183" i="12"/>
  <c r="AH2184" i="12"/>
  <c r="AH2185" i="12"/>
  <c r="AH2186" i="12"/>
  <c r="AH2187" i="12"/>
  <c r="AH2188" i="12"/>
  <c r="AH2189" i="12"/>
  <c r="AH2190" i="12"/>
  <c r="AH2191" i="12"/>
  <c r="AH2192" i="12"/>
  <c r="AH2193" i="12"/>
  <c r="AH2194" i="12"/>
  <c r="AH2195" i="12"/>
  <c r="AH2196" i="12"/>
  <c r="AH2197" i="12"/>
  <c r="AH2198" i="12"/>
  <c r="AH2199" i="12"/>
  <c r="AH2200" i="12"/>
  <c r="AH2201" i="12"/>
  <c r="AH2202" i="12"/>
  <c r="AH2203" i="12"/>
  <c r="AH2204" i="12"/>
  <c r="AH2205" i="12"/>
  <c r="AH2206" i="12"/>
  <c r="AH2207" i="12"/>
  <c r="AH2208" i="12"/>
  <c r="AH2209" i="12"/>
  <c r="AH2210" i="12"/>
  <c r="AH2211" i="12"/>
  <c r="AH2212" i="12"/>
  <c r="AH2213" i="12"/>
  <c r="AH2214" i="12"/>
  <c r="AH2215" i="12"/>
  <c r="AH2216" i="12"/>
  <c r="AH2217" i="12"/>
  <c r="AH2218" i="12"/>
  <c r="AH2219" i="12"/>
  <c r="AH2220" i="12"/>
  <c r="AH2221" i="12"/>
  <c r="AH2222" i="12"/>
  <c r="AH2223" i="12"/>
  <c r="AH2224" i="12"/>
  <c r="AH2225" i="12"/>
  <c r="AH2226" i="12"/>
  <c r="AH2227" i="12"/>
  <c r="AH2228" i="12"/>
  <c r="AH2229" i="12"/>
  <c r="AH2230" i="12"/>
  <c r="AH2231" i="12"/>
  <c r="AH2232" i="12"/>
  <c r="AH2233" i="12"/>
  <c r="AH2234" i="12"/>
  <c r="AH2235" i="12"/>
  <c r="AH2236" i="12"/>
  <c r="AH2237" i="12"/>
  <c r="AH2238" i="12"/>
  <c r="AH2239" i="12"/>
  <c r="AH2240" i="12"/>
  <c r="AH2241" i="12"/>
  <c r="AH2242" i="12"/>
  <c r="AH2243" i="12"/>
  <c r="AH2244" i="12"/>
  <c r="AH2245" i="12"/>
  <c r="AH2246" i="12"/>
  <c r="AH2247" i="12"/>
  <c r="AH2248" i="12"/>
  <c r="AH2249" i="12"/>
  <c r="AH2250" i="12"/>
  <c r="AH2251" i="12"/>
  <c r="AH2252" i="12"/>
  <c r="AH2253" i="12"/>
  <c r="AH2254" i="12"/>
  <c r="AH2255" i="12"/>
  <c r="AH2256" i="12"/>
  <c r="AH2257" i="12"/>
  <c r="AH2258" i="12"/>
  <c r="AH2259" i="12"/>
  <c r="AH2260" i="12"/>
  <c r="AH2261" i="12"/>
  <c r="AH2262" i="12"/>
  <c r="AH2263" i="12"/>
  <c r="AH2264" i="12"/>
  <c r="AH2265" i="12"/>
  <c r="AH2266" i="12"/>
  <c r="AH2267" i="12"/>
  <c r="AH2268" i="12"/>
  <c r="AH2269" i="12"/>
  <c r="AH2270" i="12"/>
  <c r="AH2271" i="12"/>
  <c r="AH2272" i="12"/>
  <c r="AH2273" i="12"/>
  <c r="AH2274" i="12"/>
  <c r="AH2275" i="12"/>
  <c r="AH2276" i="12"/>
  <c r="AH2277" i="12"/>
  <c r="AH2278" i="12"/>
  <c r="AH2279" i="12"/>
  <c r="AH2280" i="12"/>
  <c r="AH2281" i="12"/>
  <c r="AH2282" i="12"/>
  <c r="AH2283" i="12"/>
  <c r="AH2284" i="12"/>
  <c r="AH2285" i="12"/>
  <c r="AH2286" i="12"/>
  <c r="AH2287" i="12"/>
  <c r="AH2288" i="12"/>
  <c r="AH2289" i="12"/>
  <c r="AH2290" i="12"/>
  <c r="AH2291" i="12"/>
  <c r="AH2292" i="12"/>
  <c r="AH2293" i="12"/>
  <c r="AH2294" i="12"/>
  <c r="AH2295" i="12"/>
  <c r="AH2296" i="12"/>
  <c r="AH2297" i="12"/>
  <c r="AH2298" i="12"/>
  <c r="AH2299" i="12"/>
  <c r="AH2300" i="12"/>
  <c r="AH2301" i="12"/>
  <c r="AH2302" i="12"/>
  <c r="AH2303" i="12"/>
  <c r="AH2304" i="12"/>
  <c r="AH2305" i="12"/>
  <c r="AH2306" i="12"/>
  <c r="AH2307" i="12"/>
  <c r="AH2308" i="12"/>
  <c r="AH2309" i="12"/>
  <c r="AH2310" i="12"/>
  <c r="AH2311" i="12"/>
  <c r="AH2312" i="12"/>
  <c r="AH2313" i="12"/>
  <c r="AH2314" i="12"/>
  <c r="AH2315" i="12"/>
  <c r="AH2316" i="12"/>
  <c r="AH2317" i="12"/>
  <c r="AH2318" i="12"/>
  <c r="AH2319" i="12"/>
  <c r="AH2320" i="12"/>
  <c r="AH2321" i="12"/>
  <c r="AH2322" i="12"/>
  <c r="AH2323" i="12"/>
  <c r="AH2324" i="12"/>
  <c r="AH2325" i="12"/>
  <c r="AH2326" i="12"/>
  <c r="AH2327" i="12"/>
  <c r="AH2328" i="12"/>
  <c r="AH2329" i="12"/>
  <c r="AH2330" i="12"/>
  <c r="AH2331" i="12"/>
  <c r="AH2332" i="12"/>
  <c r="AH2333" i="12"/>
  <c r="AH2334" i="12"/>
  <c r="AH2335" i="12"/>
  <c r="AH2336" i="12"/>
  <c r="AH2337" i="12"/>
  <c r="AH2338" i="12"/>
  <c r="AH2339" i="12"/>
  <c r="AH2340" i="12"/>
  <c r="AH2341" i="12"/>
  <c r="AH2342" i="12"/>
  <c r="AH2343" i="12"/>
  <c r="AH2344" i="12"/>
  <c r="AH2345" i="12"/>
  <c r="AH2346" i="12"/>
  <c r="AH2347" i="12"/>
  <c r="AH2348" i="12"/>
  <c r="AH2349" i="12"/>
  <c r="AH2350" i="12"/>
  <c r="AH2351" i="12"/>
  <c r="AH2352" i="12"/>
  <c r="AH2353" i="12"/>
  <c r="AH2354" i="12"/>
  <c r="AH2355" i="12"/>
  <c r="AH2356" i="12"/>
  <c r="AH2357" i="12"/>
  <c r="AH2358" i="12"/>
  <c r="AH2359" i="12"/>
  <c r="AH2360" i="12"/>
  <c r="AH2361" i="12"/>
  <c r="AH2362" i="12"/>
  <c r="AH2363" i="12"/>
  <c r="AH2364" i="12"/>
  <c r="AH2365" i="12"/>
  <c r="AH2366" i="12"/>
  <c r="AH2367" i="12"/>
  <c r="AH2368" i="12"/>
  <c r="AH2369" i="12"/>
  <c r="AH2370" i="12"/>
  <c r="AH2371" i="12"/>
  <c r="AH2372" i="12"/>
  <c r="AH2373" i="12"/>
  <c r="AH2374" i="12"/>
  <c r="AH2375" i="12"/>
  <c r="AH2376" i="12"/>
  <c r="AH2377" i="12"/>
  <c r="AH2378" i="12"/>
  <c r="AH2379" i="12"/>
  <c r="AH2380" i="12"/>
  <c r="AH2381" i="12"/>
  <c r="AH2382" i="12"/>
  <c r="AH2383" i="12"/>
  <c r="AH2384" i="12"/>
  <c r="AH2385" i="12"/>
  <c r="AH2386" i="12"/>
  <c r="AH2387" i="12"/>
  <c r="AH2388" i="12"/>
  <c r="AH2389" i="12"/>
  <c r="AH2390" i="12"/>
  <c r="AH2391" i="12"/>
  <c r="AH2392" i="12"/>
  <c r="AH2393" i="12"/>
  <c r="AH2394" i="12"/>
  <c r="AH2395" i="12"/>
  <c r="AH2396" i="12"/>
  <c r="AH2397" i="12"/>
  <c r="AH2398" i="12"/>
  <c r="AH2399" i="12"/>
  <c r="AH2400" i="12"/>
  <c r="AH2401" i="12"/>
  <c r="AH2402" i="12"/>
  <c r="AH2403" i="12"/>
  <c r="AH2404" i="12"/>
  <c r="AH2405" i="12"/>
  <c r="AH2406" i="12"/>
  <c r="AH2407" i="12"/>
  <c r="AH2408" i="12"/>
  <c r="AH2409" i="12"/>
  <c r="AH2410" i="12"/>
  <c r="AH2411" i="12"/>
  <c r="AH2412" i="12"/>
  <c r="AH2413" i="12"/>
  <c r="AH2414" i="12"/>
  <c r="AH2415" i="12"/>
  <c r="AH2416" i="12"/>
  <c r="AH2417" i="12"/>
  <c r="AH2418" i="12"/>
  <c r="AH2419" i="12"/>
  <c r="AH2420" i="12"/>
  <c r="AH2421" i="12"/>
  <c r="AH2422" i="12"/>
  <c r="AH2423" i="12"/>
  <c r="AH2424" i="12"/>
  <c r="AH2425" i="12"/>
  <c r="AH2426" i="12"/>
  <c r="AH2427" i="12"/>
  <c r="AH2428" i="12"/>
  <c r="AH2429" i="12"/>
  <c r="AH2430" i="12"/>
  <c r="AH2431" i="12"/>
  <c r="AH2432" i="12"/>
  <c r="AH2433" i="12"/>
  <c r="AH2434" i="12"/>
  <c r="AH2435" i="12"/>
  <c r="AH2436" i="12"/>
  <c r="AH2437" i="12"/>
  <c r="AH2438" i="12"/>
  <c r="AH2439" i="12"/>
  <c r="AH2440" i="12"/>
  <c r="AH2441" i="12"/>
  <c r="AH2442" i="12"/>
  <c r="AH2443" i="12"/>
  <c r="AH2444" i="12"/>
  <c r="AH2445" i="12"/>
  <c r="AH2446" i="12"/>
  <c r="AH2447" i="12"/>
  <c r="AH2448" i="12"/>
  <c r="AH2449" i="12"/>
  <c r="AH2450" i="12"/>
  <c r="AH2451" i="12"/>
  <c r="AH2452" i="12"/>
  <c r="AH2453" i="12"/>
  <c r="AH2454" i="12"/>
  <c r="AH2455" i="12"/>
  <c r="AH2456" i="12"/>
  <c r="AH2457" i="12"/>
  <c r="AH2458" i="12"/>
  <c r="AH2459" i="12"/>
  <c r="AH2460" i="12"/>
  <c r="AH2461" i="12"/>
  <c r="AH2462" i="12"/>
  <c r="AH2463" i="12"/>
  <c r="AH2464" i="12"/>
  <c r="AH2465" i="12"/>
  <c r="AH2466" i="12"/>
  <c r="AH2467" i="12"/>
  <c r="AH2468" i="12"/>
  <c r="AH2469" i="12"/>
  <c r="AH2470" i="12"/>
  <c r="AH2471" i="12"/>
  <c r="AH2472" i="12"/>
  <c r="AH2473" i="12"/>
  <c r="AH2474" i="12"/>
  <c r="AH2475" i="12"/>
  <c r="AH2476" i="12"/>
  <c r="AH2477" i="12"/>
  <c r="AH2478" i="12"/>
  <c r="AH2479" i="12"/>
  <c r="AH2480" i="12"/>
  <c r="AH2481" i="12"/>
  <c r="AH2482" i="12"/>
  <c r="AH2483" i="12"/>
  <c r="AH2484" i="12"/>
  <c r="AH2485" i="12"/>
  <c r="AH2486" i="12"/>
  <c r="AH2487" i="12"/>
  <c r="AH2488" i="12"/>
  <c r="AH2489" i="12"/>
  <c r="AH2490" i="12"/>
  <c r="AH2491" i="12"/>
  <c r="AH2492" i="12"/>
  <c r="AH2493" i="12"/>
  <c r="AH2494" i="12"/>
  <c r="AH2495" i="12"/>
  <c r="AH2496" i="12"/>
  <c r="AH2497" i="12"/>
  <c r="AH2498" i="12"/>
  <c r="AH2499" i="12"/>
  <c r="AH2500" i="12"/>
  <c r="AH2501" i="12"/>
  <c r="AH2502" i="12"/>
  <c r="AH2503" i="12"/>
  <c r="AH2504" i="12"/>
  <c r="AH2505" i="12"/>
  <c r="AH2506" i="12"/>
  <c r="AH2507" i="12"/>
  <c r="AH2508" i="12"/>
  <c r="AH2509" i="12"/>
  <c r="AH2510" i="12"/>
  <c r="AH2511" i="12"/>
  <c r="AH2512" i="12"/>
  <c r="AH2513" i="12"/>
  <c r="AH2514" i="12"/>
  <c r="AH2515" i="12"/>
  <c r="AH2516" i="12"/>
  <c r="AH2517" i="12"/>
  <c r="AH2518" i="12"/>
  <c r="AH2519" i="12"/>
  <c r="AH2520" i="12"/>
  <c r="AH2521" i="12"/>
  <c r="AH2522" i="12"/>
  <c r="AH2523" i="12"/>
  <c r="AH2524" i="12"/>
  <c r="AH2525" i="12"/>
  <c r="AH2526" i="12"/>
  <c r="AH2527" i="12"/>
  <c r="AH2528" i="12"/>
  <c r="AH2529" i="12"/>
  <c r="AH2530" i="12"/>
  <c r="AH2531" i="12"/>
  <c r="AH2532" i="12"/>
  <c r="AH2533" i="12"/>
  <c r="AH2534" i="12"/>
  <c r="AH2535" i="12"/>
  <c r="AH2536" i="12"/>
  <c r="AH2537" i="12"/>
  <c r="AH2538" i="12"/>
  <c r="AH2539" i="12"/>
  <c r="AH2540" i="12"/>
  <c r="AH2541" i="12"/>
  <c r="AH2542" i="12"/>
  <c r="AH2543" i="12"/>
  <c r="AH2544" i="12"/>
  <c r="AH2545" i="12"/>
  <c r="AH2546" i="12"/>
  <c r="AH2547" i="12"/>
  <c r="AH2548" i="12"/>
  <c r="AH2549" i="12"/>
  <c r="AH2550" i="12"/>
  <c r="AH2551" i="12"/>
  <c r="AH2552" i="12"/>
  <c r="AH2553" i="12"/>
  <c r="AH2554" i="12"/>
  <c r="AH2555" i="12"/>
  <c r="AH2556" i="12"/>
  <c r="AH2557" i="12"/>
  <c r="AH2558" i="12"/>
  <c r="AH2559" i="12"/>
  <c r="AH2560" i="12"/>
  <c r="AH2561" i="12"/>
  <c r="AH2562" i="12"/>
  <c r="AH2563" i="12"/>
  <c r="AH2564" i="12"/>
  <c r="AH2565" i="12"/>
  <c r="AH2566" i="12"/>
  <c r="AH2567" i="12"/>
  <c r="AH2568" i="12"/>
  <c r="AH2569" i="12"/>
  <c r="AH2570" i="12"/>
  <c r="AH2571" i="12"/>
  <c r="AH2572" i="12"/>
  <c r="AH2573" i="12"/>
  <c r="AH2574" i="12"/>
  <c r="AH2575" i="12"/>
  <c r="AH2576" i="12"/>
  <c r="AH2577" i="12"/>
  <c r="AH2578" i="12"/>
  <c r="AH2579" i="12"/>
  <c r="AH2580" i="12"/>
  <c r="AH2581" i="12"/>
  <c r="AH2582" i="12"/>
  <c r="AH2583" i="12"/>
  <c r="AH2584" i="12"/>
  <c r="AH2585" i="12"/>
  <c r="AH2586" i="12"/>
  <c r="AH2587" i="12"/>
  <c r="AH2588" i="12"/>
  <c r="AH2589" i="12"/>
  <c r="AH2590" i="12"/>
  <c r="AH2591" i="12"/>
  <c r="AH2592" i="12"/>
  <c r="AH2593" i="12"/>
  <c r="AH2594" i="12"/>
  <c r="AH2595" i="12"/>
  <c r="AH2596" i="12"/>
  <c r="AH2597" i="12"/>
  <c r="AH2598" i="12"/>
  <c r="AH2599" i="12"/>
  <c r="AH2600" i="12"/>
  <c r="AH2601" i="12"/>
  <c r="AH2602" i="12"/>
  <c r="AH2603" i="12"/>
  <c r="AH2604" i="12"/>
  <c r="AH2605" i="12"/>
  <c r="AH2606" i="12"/>
  <c r="AH2607" i="12"/>
  <c r="AH2608" i="12"/>
  <c r="AH2609" i="12"/>
  <c r="AH2610" i="12"/>
  <c r="AH2611" i="12"/>
  <c r="AH2612" i="12"/>
  <c r="AH2613" i="12"/>
  <c r="AH2614" i="12"/>
  <c r="AH2615" i="12"/>
  <c r="AH2616" i="12"/>
  <c r="AH2617" i="12"/>
  <c r="AH2618" i="12"/>
  <c r="AH2619" i="12"/>
  <c r="AH2620" i="12"/>
  <c r="AH2621" i="12"/>
  <c r="AH2622" i="12"/>
  <c r="AH2623" i="12"/>
  <c r="AH2624" i="12"/>
  <c r="AH2625" i="12"/>
  <c r="AH2626" i="12"/>
  <c r="AH2627" i="12"/>
  <c r="AH2628" i="12"/>
  <c r="AH2629" i="12"/>
  <c r="AH2630" i="12"/>
  <c r="AH2631" i="12"/>
  <c r="AH2632" i="12"/>
  <c r="AH2633" i="12"/>
  <c r="AH2634" i="12"/>
  <c r="AH2635" i="12"/>
  <c r="AH2636" i="12"/>
  <c r="AH2637" i="12"/>
  <c r="AH2638" i="12"/>
  <c r="AH2639" i="12"/>
  <c r="AH2640" i="12"/>
  <c r="AH2641" i="12"/>
  <c r="AH2642" i="12"/>
  <c r="AH2643" i="12"/>
  <c r="AH2644" i="12"/>
  <c r="AH2645" i="12"/>
  <c r="AH2646" i="12"/>
  <c r="AH2647" i="12"/>
  <c r="AH2648" i="12"/>
  <c r="AH2649" i="12"/>
  <c r="AH2650" i="12"/>
  <c r="AH2651" i="12"/>
  <c r="AH2652" i="12"/>
  <c r="AH2653" i="12"/>
  <c r="AH2654" i="12"/>
  <c r="AH2655" i="12"/>
  <c r="AH2656" i="12"/>
  <c r="AH2657" i="12"/>
  <c r="AH2658" i="12"/>
  <c r="AH2659" i="12"/>
  <c r="AH2660" i="12"/>
  <c r="AH2661" i="12"/>
  <c r="AH2662" i="12"/>
  <c r="AH2663" i="12"/>
  <c r="AH2664" i="12"/>
  <c r="AH2665" i="12"/>
  <c r="AH2666" i="12"/>
  <c r="AH2667" i="12"/>
  <c r="AH2668" i="12"/>
  <c r="AH2669" i="12"/>
  <c r="AH2670" i="12"/>
  <c r="AH2671" i="12"/>
  <c r="AH2672" i="12"/>
  <c r="AH2673" i="12"/>
  <c r="AH2674" i="12"/>
  <c r="AH2675" i="12"/>
  <c r="AH2676" i="12"/>
  <c r="AH2677" i="12"/>
  <c r="AH2678" i="12"/>
  <c r="AH2679" i="12"/>
  <c r="AH2680" i="12"/>
  <c r="AH2681" i="12"/>
  <c r="AH2682" i="12"/>
  <c r="AH2683" i="12"/>
  <c r="AH2684" i="12"/>
  <c r="AH2685" i="12"/>
  <c r="AH2686" i="12"/>
  <c r="AH2687" i="12"/>
  <c r="AH2688" i="12"/>
  <c r="AH2689" i="12"/>
  <c r="AH2690" i="12"/>
  <c r="AH2691" i="12"/>
  <c r="AH2692" i="12"/>
  <c r="AH2693" i="12"/>
  <c r="AH2694" i="12"/>
  <c r="AH2695" i="12"/>
  <c r="AH2696" i="12"/>
  <c r="AH2697" i="12"/>
  <c r="AH2698" i="12"/>
  <c r="AH2699" i="12"/>
  <c r="AH2700" i="12"/>
  <c r="AH2701" i="12"/>
  <c r="AH2702" i="12"/>
  <c r="AH2703" i="12"/>
  <c r="AH2704" i="12"/>
  <c r="AH2705" i="12"/>
  <c r="AH2706" i="12"/>
  <c r="AH2707" i="12"/>
  <c r="AH2708" i="12"/>
  <c r="AH2709" i="12"/>
  <c r="AH2710" i="12"/>
  <c r="AH2711" i="12"/>
  <c r="AH2712" i="12"/>
  <c r="AH2713" i="12"/>
  <c r="AH2714" i="12"/>
  <c r="AH2715" i="12"/>
  <c r="AH2716" i="12"/>
  <c r="AH2717" i="12"/>
  <c r="AH2718" i="12"/>
  <c r="AH2719" i="12"/>
  <c r="AH2720" i="12"/>
  <c r="AH2721" i="12"/>
  <c r="AH2722" i="12"/>
  <c r="AH2723" i="12"/>
  <c r="AH2724" i="12"/>
  <c r="AH2725" i="12"/>
  <c r="AH2726" i="12"/>
  <c r="AH2727" i="12"/>
  <c r="AH2728" i="12"/>
  <c r="AH2729" i="12"/>
  <c r="AH2730" i="12"/>
  <c r="AH2731" i="12"/>
  <c r="AH2732" i="12"/>
  <c r="AH2733" i="12"/>
  <c r="AH2734" i="12"/>
  <c r="AH2735" i="12"/>
  <c r="AH2736" i="12"/>
  <c r="AH2737" i="12"/>
  <c r="AH2738" i="12"/>
  <c r="AH2739" i="12"/>
  <c r="AH2740" i="12"/>
  <c r="AH2741" i="12"/>
  <c r="AH2742" i="12"/>
  <c r="AH2743" i="12"/>
  <c r="AH2744" i="12"/>
  <c r="AH2745" i="12"/>
  <c r="AH2746" i="12"/>
  <c r="AH2747" i="12"/>
  <c r="AH2748" i="12"/>
  <c r="AH2749" i="12"/>
  <c r="AH2750" i="12"/>
  <c r="AH2751" i="12"/>
  <c r="AH2752" i="12"/>
  <c r="AH2753" i="12"/>
  <c r="AH2754" i="12"/>
  <c r="AH2755" i="12"/>
  <c r="AH2756" i="12"/>
  <c r="AH2757" i="12"/>
  <c r="AH2758" i="12"/>
  <c r="AH2759" i="12"/>
  <c r="AH2760" i="12"/>
  <c r="AH2761" i="12"/>
  <c r="AH2762" i="12"/>
  <c r="AH2763" i="12"/>
  <c r="AH2764" i="12"/>
  <c r="AH2765" i="12"/>
  <c r="AH2766" i="12"/>
  <c r="AH2767" i="12"/>
  <c r="AH2768" i="12"/>
  <c r="AH2769" i="12"/>
  <c r="AH2770" i="12"/>
  <c r="AH2771" i="12"/>
  <c r="AH2772" i="12"/>
  <c r="AH2773" i="12"/>
  <c r="AH2774" i="12"/>
  <c r="AH2775" i="12"/>
  <c r="AH2776" i="12"/>
  <c r="AH2777" i="12"/>
  <c r="AH2778" i="12"/>
  <c r="AH2779" i="12"/>
  <c r="AH2780" i="12"/>
  <c r="AH2781" i="12"/>
  <c r="AH2782" i="12"/>
  <c r="AH2783" i="12"/>
  <c r="AH2784" i="12"/>
  <c r="AH2785" i="12"/>
  <c r="AH2786" i="12"/>
  <c r="AH2787" i="12"/>
  <c r="AH2788" i="12"/>
  <c r="AH2789" i="12"/>
  <c r="AH2790" i="12"/>
  <c r="AH2791" i="12"/>
  <c r="AH2792" i="12"/>
  <c r="AH2793" i="12"/>
  <c r="AH2794" i="12"/>
  <c r="AH2795" i="12"/>
  <c r="AH2796" i="12"/>
  <c r="AH2797" i="12"/>
  <c r="AH2798" i="12"/>
  <c r="AH2799" i="12"/>
  <c r="AH2800" i="12"/>
  <c r="AH2801" i="12"/>
  <c r="AH2802" i="12"/>
  <c r="AH2803" i="12"/>
  <c r="AH2804" i="12"/>
  <c r="AH2805" i="12"/>
  <c r="AH2806" i="12"/>
  <c r="AH2807" i="12"/>
  <c r="AH2808" i="12"/>
  <c r="AH2809" i="12"/>
  <c r="AH2810" i="12"/>
  <c r="AH2811" i="12"/>
  <c r="AH2812" i="12"/>
  <c r="AH2813" i="12"/>
  <c r="AH2814" i="12"/>
  <c r="AH2815" i="12"/>
  <c r="AH2816" i="12"/>
  <c r="AH2817" i="12"/>
  <c r="AH2818" i="12"/>
  <c r="AH2819" i="12"/>
  <c r="AH2820" i="12"/>
  <c r="AH2821" i="12"/>
  <c r="AH2822" i="12"/>
  <c r="AH2823" i="12"/>
  <c r="AH2824" i="12"/>
  <c r="AH2825" i="12"/>
  <c r="AH2826" i="12"/>
  <c r="AH2827" i="12"/>
  <c r="AH2828" i="12"/>
  <c r="AH2829" i="12"/>
  <c r="AH2830" i="12"/>
  <c r="AH2831" i="12"/>
  <c r="AH2832" i="12"/>
  <c r="AH2833" i="12"/>
  <c r="AH2834" i="12"/>
  <c r="AH2835" i="12"/>
  <c r="AH2836" i="12"/>
  <c r="AH2837" i="12"/>
  <c r="AH2838" i="12"/>
  <c r="AH2839" i="12"/>
  <c r="AH2840" i="12"/>
  <c r="AH2841" i="12"/>
  <c r="AH2842" i="12"/>
  <c r="AH2843" i="12"/>
  <c r="AH2844" i="12"/>
  <c r="AH2845" i="12"/>
  <c r="AH2846" i="12"/>
  <c r="AH2847" i="12"/>
  <c r="AH2848" i="12"/>
  <c r="AH2849" i="12"/>
  <c r="AH2850" i="12"/>
  <c r="AH2851" i="12"/>
  <c r="AH2852" i="12"/>
  <c r="AH2853" i="12"/>
  <c r="AH2854" i="12"/>
  <c r="AH2855" i="12"/>
  <c r="AH2856" i="12"/>
  <c r="AH2857" i="12"/>
  <c r="AH2858" i="12"/>
  <c r="AH2859" i="12"/>
  <c r="AH2860" i="12"/>
  <c r="AH2861" i="12"/>
  <c r="AH2862" i="12"/>
  <c r="AH2863" i="12"/>
  <c r="AH2864" i="12"/>
  <c r="AH2865" i="12"/>
  <c r="AH2866" i="12"/>
  <c r="AH2867" i="12"/>
  <c r="AH2868" i="12"/>
  <c r="AH2869" i="12"/>
  <c r="AH2870" i="12"/>
  <c r="AH2871" i="12"/>
  <c r="AH2872" i="12"/>
  <c r="AH2873" i="12"/>
  <c r="AH2874" i="12"/>
  <c r="AH2875" i="12"/>
  <c r="AH2876" i="12"/>
  <c r="AH2877" i="12"/>
  <c r="AH2878" i="12"/>
  <c r="AH2879" i="12"/>
  <c r="AH2880" i="12"/>
  <c r="AH2881" i="12"/>
  <c r="AH2882" i="12"/>
  <c r="AH2883" i="12"/>
  <c r="AH2884" i="12"/>
  <c r="AH2885" i="12"/>
  <c r="AH2886" i="12"/>
  <c r="AH2887" i="12"/>
  <c r="AH2888" i="12"/>
  <c r="AH2889" i="12"/>
  <c r="AH2890" i="12"/>
  <c r="AH2891" i="12"/>
  <c r="AH2892" i="12"/>
  <c r="AH2893" i="12"/>
  <c r="AH2894" i="12"/>
  <c r="AH2895" i="12"/>
  <c r="AH2896" i="12"/>
  <c r="AH2897" i="12"/>
  <c r="AH2898" i="12"/>
  <c r="AH2899" i="12"/>
  <c r="AH2900" i="12"/>
  <c r="AH2901" i="12"/>
  <c r="AH2902" i="12"/>
  <c r="AH2903" i="12"/>
  <c r="AH2904" i="12"/>
  <c r="AH2905" i="12"/>
  <c r="AH2906" i="12"/>
  <c r="AH2907" i="12"/>
  <c r="AH2908" i="12"/>
  <c r="AH2909" i="12"/>
  <c r="AH2910" i="12"/>
  <c r="AH2911" i="12"/>
  <c r="AH2912" i="12"/>
  <c r="AH2913" i="12"/>
  <c r="AH2914" i="12"/>
  <c r="AH2915" i="12"/>
  <c r="AH2916" i="12"/>
  <c r="AH2917" i="12"/>
  <c r="AH2918" i="12"/>
  <c r="AH2919" i="12"/>
  <c r="AH2920" i="12"/>
  <c r="AH2921" i="12"/>
  <c r="AH2922" i="12"/>
  <c r="AH2923" i="12"/>
  <c r="AH2924" i="12"/>
  <c r="AH2925" i="12"/>
  <c r="AH2926" i="12"/>
  <c r="AH2927" i="12"/>
  <c r="AH2928" i="12"/>
  <c r="AH2929" i="12"/>
  <c r="AH2930" i="12"/>
  <c r="AH2931" i="12"/>
  <c r="AH2932" i="12"/>
  <c r="AH2933" i="12"/>
  <c r="AH2934" i="12"/>
  <c r="AH2935" i="12"/>
  <c r="AH2936" i="12"/>
  <c r="AH2937" i="12"/>
  <c r="AH2938" i="12"/>
  <c r="AH2939" i="12"/>
  <c r="AH2940" i="12"/>
  <c r="AH2941" i="12"/>
  <c r="AH2942" i="12"/>
  <c r="AH2943" i="12"/>
  <c r="AH2944" i="12"/>
  <c r="AH2945" i="12"/>
  <c r="AH2946" i="12"/>
  <c r="AH2947" i="12"/>
  <c r="AH2948" i="12"/>
  <c r="AH2949" i="12"/>
  <c r="AH2950" i="12"/>
  <c r="AH2951" i="12"/>
  <c r="AH2952" i="12"/>
  <c r="AH2953" i="12"/>
  <c r="AH2954" i="12"/>
  <c r="AH2955" i="12"/>
  <c r="AH2956" i="12"/>
  <c r="AH2957" i="12"/>
  <c r="AH2958" i="12"/>
  <c r="AH2959" i="12"/>
  <c r="AH2960" i="12"/>
  <c r="AH2961" i="12"/>
  <c r="AH2962" i="12"/>
  <c r="AH2963" i="12"/>
  <c r="AH2964" i="12"/>
  <c r="AH2965" i="12"/>
  <c r="AH2966" i="12"/>
  <c r="AH2967" i="12"/>
  <c r="AH2968" i="12"/>
  <c r="AH2969" i="12"/>
  <c r="AH2970" i="12"/>
  <c r="AH2971" i="12"/>
  <c r="AH2972" i="12"/>
  <c r="AH2973" i="12"/>
  <c r="AH2974" i="12"/>
  <c r="AH2975" i="12"/>
  <c r="AH2976" i="12"/>
  <c r="AH2977" i="12"/>
  <c r="AH2978" i="12"/>
  <c r="AH2979" i="12"/>
  <c r="AH2980" i="12"/>
  <c r="AH2981" i="12"/>
  <c r="AH2982" i="12"/>
  <c r="AH2983" i="12"/>
  <c r="AH2984" i="12"/>
  <c r="AH2985" i="12"/>
  <c r="AH2986" i="12"/>
  <c r="AH2987" i="12"/>
  <c r="AH2988" i="12"/>
  <c r="AH2989" i="12"/>
  <c r="AH2990" i="12"/>
  <c r="AH2991" i="12"/>
  <c r="AH2992" i="12"/>
  <c r="AH2993" i="12"/>
  <c r="AH2994" i="12"/>
  <c r="AH2995" i="12"/>
  <c r="AH2996" i="12"/>
  <c r="AH2997" i="12"/>
  <c r="AH2998" i="12"/>
  <c r="AH2999" i="12"/>
  <c r="AH3000" i="12"/>
  <c r="AH3001" i="12"/>
  <c r="AH3002" i="12"/>
  <c r="AH3003" i="12"/>
  <c r="AH3004" i="12"/>
  <c r="AH3005" i="12"/>
  <c r="AH3006" i="12"/>
  <c r="AH3007" i="12"/>
  <c r="AH3008" i="12"/>
  <c r="AH3009" i="12"/>
  <c r="AH3010" i="12"/>
  <c r="AH3011" i="12"/>
  <c r="AH3012" i="12"/>
  <c r="AH3013" i="12"/>
  <c r="AH3014" i="12"/>
  <c r="AH3015" i="12"/>
  <c r="AH3016" i="12"/>
  <c r="AH3017" i="12"/>
  <c r="AH3018" i="12"/>
  <c r="AH3019" i="12"/>
  <c r="AH3020" i="12"/>
  <c r="AH3021" i="12"/>
  <c r="AH3022" i="12"/>
  <c r="AH3023" i="12"/>
  <c r="AH3024" i="12"/>
  <c r="AH3025" i="12"/>
  <c r="AH3026" i="12"/>
  <c r="AH3027" i="12"/>
  <c r="AH3028" i="12"/>
  <c r="AH3029" i="12"/>
  <c r="AH3030" i="12"/>
  <c r="AH3031" i="12"/>
  <c r="AH3032" i="12"/>
  <c r="AH3033" i="12"/>
  <c r="AH3034" i="12"/>
  <c r="AH3035" i="12"/>
  <c r="AH3036" i="12"/>
  <c r="AH3037" i="12"/>
  <c r="AH3038" i="12"/>
  <c r="AH3039" i="12"/>
  <c r="AH3040" i="12"/>
  <c r="AH3041" i="12"/>
  <c r="AH3042" i="12"/>
  <c r="AH3043" i="12"/>
  <c r="AH3044" i="12"/>
  <c r="AH3045" i="12"/>
  <c r="AH3046" i="12"/>
  <c r="AH3047" i="12"/>
  <c r="AH3048" i="12"/>
  <c r="AH3049" i="12"/>
  <c r="AH3050" i="12"/>
  <c r="AH3051" i="12"/>
  <c r="AH3052" i="12"/>
  <c r="AH3053" i="12"/>
  <c r="AH3054" i="12"/>
  <c r="AH3055" i="12"/>
  <c r="AH3056" i="12"/>
  <c r="AH3057" i="12"/>
  <c r="AH3058" i="12"/>
  <c r="AH3059" i="12"/>
  <c r="AH3060" i="12"/>
  <c r="AH3061" i="12"/>
  <c r="AH3062" i="12"/>
  <c r="AH3063" i="12"/>
  <c r="AH3064" i="12"/>
  <c r="AH3065" i="12"/>
  <c r="AH3066" i="12"/>
  <c r="AH3067" i="12"/>
  <c r="AH3068" i="12"/>
  <c r="AH3069" i="12"/>
  <c r="AH3070" i="12"/>
  <c r="AH3071" i="12"/>
  <c r="AH3072" i="12"/>
  <c r="AH3073" i="12"/>
  <c r="AH3074" i="12"/>
  <c r="AH3075" i="12"/>
  <c r="AH3076" i="12"/>
  <c r="AH3077" i="12"/>
  <c r="AH3078" i="12"/>
  <c r="AH3079" i="12"/>
  <c r="AH3080" i="12"/>
  <c r="AH3081" i="12"/>
  <c r="AH3082" i="12"/>
  <c r="AH3083" i="12"/>
  <c r="AH3084" i="12"/>
  <c r="AH3085" i="12"/>
  <c r="AH3086" i="12"/>
  <c r="AH3087" i="12"/>
  <c r="AH3088" i="12"/>
  <c r="AH3089" i="12"/>
  <c r="AH3090" i="12"/>
  <c r="AH3091" i="12"/>
  <c r="AH3092" i="12"/>
  <c r="AH3093" i="12"/>
  <c r="AH3094" i="12"/>
  <c r="AH3095" i="12"/>
  <c r="AH3096" i="12"/>
  <c r="AH3097" i="12"/>
  <c r="AH3098" i="12"/>
  <c r="AH3099" i="12"/>
  <c r="AH3100" i="12"/>
  <c r="AH3101" i="12"/>
  <c r="AH3102" i="12"/>
  <c r="AH3103" i="12"/>
  <c r="AH3104" i="12"/>
  <c r="AH3105" i="12"/>
  <c r="AH3106" i="12"/>
  <c r="AH3107" i="12"/>
  <c r="AH3108" i="12"/>
  <c r="AH3109" i="12"/>
  <c r="AH3110" i="12"/>
  <c r="AH3111" i="12"/>
  <c r="AH3112" i="12"/>
  <c r="AH3113" i="12"/>
  <c r="AH3114" i="12"/>
  <c r="AH3115" i="12"/>
  <c r="AH3116" i="12"/>
  <c r="AH3117" i="12"/>
  <c r="AH3118" i="12"/>
  <c r="AH3119" i="12"/>
  <c r="AH3120" i="12"/>
  <c r="AH3121" i="12"/>
  <c r="AH3122" i="12"/>
  <c r="AH3123" i="12"/>
  <c r="AH3124" i="12"/>
  <c r="AH3125" i="12"/>
  <c r="AH3126" i="12"/>
  <c r="AH3127" i="12"/>
  <c r="AH3128" i="12"/>
  <c r="AH3129" i="12"/>
  <c r="AH3130" i="12"/>
  <c r="AH3131" i="12"/>
  <c r="AH3132" i="12"/>
  <c r="AH3133" i="12"/>
  <c r="AH3134" i="12"/>
  <c r="AH3135" i="12"/>
  <c r="AH3136" i="12"/>
  <c r="AH3137" i="12"/>
  <c r="AH3138" i="12"/>
  <c r="AH3139" i="12"/>
  <c r="AH3140" i="12"/>
  <c r="AH3141" i="12"/>
  <c r="AH3142" i="12"/>
  <c r="AH3143" i="12"/>
  <c r="AH3144" i="12"/>
  <c r="AH3145" i="12"/>
  <c r="AH3146" i="12"/>
  <c r="AH3147" i="12"/>
  <c r="AH3148" i="12"/>
  <c r="AH3149" i="12"/>
  <c r="AH3150" i="12"/>
  <c r="AH3151" i="12"/>
  <c r="AH3152" i="12"/>
  <c r="AH3153" i="12"/>
  <c r="AH3154" i="12"/>
  <c r="AH3155" i="12"/>
  <c r="AH3156" i="12"/>
  <c r="AH3157" i="12"/>
  <c r="AH3158" i="12"/>
  <c r="AH3159" i="12"/>
  <c r="AH3160" i="12"/>
  <c r="AH3161" i="12"/>
  <c r="AH3162" i="12"/>
  <c r="AH3163" i="12"/>
  <c r="AH3164" i="12"/>
  <c r="AH3165" i="12"/>
  <c r="AH3166" i="12"/>
  <c r="AH3167" i="12"/>
  <c r="AH3168" i="12"/>
  <c r="AH3169" i="12"/>
  <c r="AH3170" i="12"/>
  <c r="AH3171" i="12"/>
  <c r="AH3172" i="12"/>
  <c r="AH3173" i="12"/>
  <c r="AH3174" i="12"/>
  <c r="AH3175" i="12"/>
  <c r="AH3176" i="12"/>
  <c r="AH3177" i="12"/>
  <c r="AH3178" i="12"/>
  <c r="AH3179" i="12"/>
  <c r="AH3180" i="12"/>
  <c r="AH3181" i="12"/>
  <c r="AH3182" i="12"/>
  <c r="AH3183" i="12"/>
  <c r="AH3184" i="12"/>
  <c r="AH3185" i="12"/>
  <c r="AH3186" i="12"/>
  <c r="AH3187" i="12"/>
  <c r="AH3188" i="12"/>
  <c r="AH3189" i="12"/>
  <c r="AH3190" i="12"/>
  <c r="AH3191" i="12"/>
  <c r="AH3192" i="12"/>
  <c r="AH3193" i="12"/>
  <c r="AH3194" i="12"/>
  <c r="AH3195" i="12"/>
  <c r="AH3196" i="12"/>
  <c r="AH3197" i="12"/>
  <c r="AH3198" i="12"/>
  <c r="AH3199" i="12"/>
  <c r="AH3200" i="12"/>
  <c r="AH3201" i="12"/>
  <c r="AH3202" i="12"/>
  <c r="AH3203" i="12"/>
  <c r="AH3204" i="12"/>
  <c r="AH3205" i="12"/>
  <c r="AH3206" i="12"/>
  <c r="AH3207" i="12"/>
  <c r="AH3208" i="12"/>
  <c r="AH3209" i="12"/>
  <c r="AH3210" i="12"/>
  <c r="AH3211" i="12"/>
  <c r="AH3212" i="12"/>
  <c r="AH3213" i="12"/>
  <c r="AH3214" i="12"/>
  <c r="AH3215" i="12"/>
  <c r="AH3216" i="12"/>
  <c r="AH3217" i="12"/>
  <c r="AH3218" i="12"/>
  <c r="AH3219" i="12"/>
  <c r="AH3220" i="12"/>
  <c r="AH3221" i="12"/>
  <c r="AH3222" i="12"/>
  <c r="AH3223" i="12"/>
  <c r="AH3224" i="12"/>
  <c r="AH3225" i="12"/>
  <c r="AH3226" i="12"/>
  <c r="AH3227" i="12"/>
  <c r="AH3228" i="12"/>
  <c r="AH3229" i="12"/>
  <c r="AH3230" i="12"/>
  <c r="AH3231" i="12"/>
  <c r="AH3232" i="12"/>
  <c r="AH3233" i="12"/>
  <c r="AH3234" i="12"/>
  <c r="AH3235" i="12"/>
  <c r="AH3236" i="12"/>
  <c r="AH3237" i="12"/>
  <c r="AH3238" i="12"/>
  <c r="AH3239" i="12"/>
  <c r="AH3240" i="12"/>
  <c r="AH3241" i="12"/>
  <c r="AH3242" i="12"/>
  <c r="AH3243" i="12"/>
  <c r="AH3244" i="12"/>
  <c r="AH3245" i="12"/>
  <c r="AH3246" i="12"/>
  <c r="AH3247" i="12"/>
  <c r="AH3248" i="12"/>
  <c r="AH3249" i="12"/>
  <c r="AH3250" i="12"/>
  <c r="AH3251" i="12"/>
  <c r="AH3252" i="12"/>
  <c r="AH3253" i="12"/>
  <c r="AH3254" i="12"/>
  <c r="AH3255" i="12"/>
  <c r="AH3256" i="12"/>
  <c r="AH3257" i="12"/>
  <c r="AH3258" i="12"/>
  <c r="AH3259" i="12"/>
  <c r="AH3260" i="12"/>
  <c r="AH3261" i="12"/>
  <c r="AH3262" i="12"/>
  <c r="AH3263" i="12"/>
  <c r="AH3264" i="12"/>
  <c r="AH3265" i="12"/>
  <c r="AH3266" i="12"/>
  <c r="AH3267" i="12"/>
  <c r="AH3268" i="12"/>
  <c r="AH3269" i="12"/>
  <c r="AH3270" i="12"/>
  <c r="AH3271" i="12"/>
  <c r="AH3272" i="12"/>
  <c r="AH3273" i="12"/>
  <c r="AH3274" i="12"/>
  <c r="AH3275" i="12"/>
  <c r="AH3276" i="12"/>
  <c r="AH3277" i="12"/>
  <c r="AH3278" i="12"/>
  <c r="AH3279" i="12"/>
  <c r="AH3280" i="12"/>
  <c r="AH3281" i="12"/>
  <c r="AH3282" i="12"/>
  <c r="AH3283" i="12"/>
  <c r="AH3284" i="12"/>
  <c r="AH3285" i="12"/>
  <c r="AH3286" i="12"/>
  <c r="AH3287" i="12"/>
  <c r="AH3288" i="12"/>
  <c r="AH3289" i="12"/>
  <c r="AH3290" i="12"/>
  <c r="AH3291" i="12"/>
  <c r="AH3292" i="12"/>
  <c r="AH3293" i="12"/>
  <c r="AH3294" i="12"/>
  <c r="AH3295" i="12"/>
  <c r="AH3296" i="12"/>
  <c r="AH3297" i="12"/>
  <c r="AH3298" i="12"/>
  <c r="AH3299" i="12"/>
  <c r="AH3300" i="12"/>
  <c r="AH3301" i="12"/>
  <c r="AH3302" i="12"/>
  <c r="AH3303" i="12"/>
  <c r="AH3304" i="12"/>
  <c r="AH3305" i="12"/>
  <c r="AH3306" i="12"/>
  <c r="AH3307" i="12"/>
  <c r="AH3308" i="12"/>
  <c r="AH3309" i="12"/>
  <c r="AH3310" i="12"/>
  <c r="AH3311" i="12"/>
  <c r="AH3312" i="12"/>
  <c r="AH3313" i="12"/>
  <c r="AH3" i="12"/>
  <c r="BJ40" i="9"/>
  <c r="R48" i="11"/>
  <c r="BJ39" i="9"/>
  <c r="R47" i="11"/>
  <c r="BJ27" i="9"/>
  <c r="BJ29" i="9"/>
  <c r="R37" i="11"/>
  <c r="AC2964" i="12"/>
  <c r="AC2963" i="12" s="1"/>
  <c r="AC2962" i="12" s="1"/>
  <c r="AC2961" i="12" s="1"/>
  <c r="AC2960" i="12" s="1"/>
  <c r="AC2959" i="12" s="1"/>
  <c r="AC2958" i="12" s="1"/>
  <c r="AC2957" i="12" s="1"/>
  <c r="AC2956" i="12" s="1"/>
  <c r="AC2955" i="12" s="1"/>
  <c r="AC2954" i="12" s="1"/>
  <c r="AC2953" i="12" s="1"/>
  <c r="AC2952" i="12" s="1"/>
  <c r="AC2951" i="12" s="1"/>
  <c r="AC2950" i="12" s="1"/>
  <c r="AC2949" i="12" s="1"/>
  <c r="AC2948" i="12" s="1"/>
  <c r="AC2947" i="12" s="1"/>
  <c r="AC2946" i="12" s="1"/>
  <c r="AD3313" i="12"/>
  <c r="AB2964" i="12"/>
  <c r="AB2963" i="12" s="1"/>
  <c r="AB2962" i="12" s="1"/>
  <c r="AB2961" i="12" s="1"/>
  <c r="AB2960" i="12" s="1"/>
  <c r="AB2959" i="12" s="1"/>
  <c r="AB2958" i="12" s="1"/>
  <c r="AB2957" i="12" s="1"/>
  <c r="AB2956" i="12" s="1"/>
  <c r="AB2955" i="12" s="1"/>
  <c r="AB2954" i="12" s="1"/>
  <c r="AB2953" i="12" s="1"/>
  <c r="AB2952" i="12" s="1"/>
  <c r="AB2951" i="12" s="1"/>
  <c r="AB2950" i="12" s="1"/>
  <c r="AB2949" i="12" s="1"/>
  <c r="AB2948" i="12" s="1"/>
  <c r="AB2947" i="12" s="1"/>
  <c r="AB2946" i="12" s="1"/>
  <c r="AD3013" i="12"/>
  <c r="AD3012" i="12" s="1"/>
  <c r="AD3011" i="12" s="1"/>
  <c r="AD3010" i="12" s="1"/>
  <c r="AD3009" i="12" s="1"/>
  <c r="AD3008" i="12" s="1"/>
  <c r="AD3007" i="12" s="1"/>
  <c r="AD3006" i="12" s="1"/>
  <c r="AD3005" i="12" s="1"/>
  <c r="AD3004" i="12" s="1"/>
  <c r="AD3003" i="12" s="1"/>
  <c r="AD3002" i="12" s="1"/>
  <c r="AD3001" i="12" s="1"/>
  <c r="AD3000" i="12" s="1"/>
  <c r="AD2999" i="12" s="1"/>
  <c r="AD2998" i="12" s="1"/>
  <c r="AD2997" i="12" s="1"/>
  <c r="AD2996" i="12" s="1"/>
  <c r="AD2995" i="12" s="1"/>
  <c r="AD2994" i="12" s="1"/>
  <c r="AD2993" i="12" s="1"/>
  <c r="AD2992" i="12" s="1"/>
  <c r="AD2991" i="12" s="1"/>
  <c r="AD2990" i="12" s="1"/>
  <c r="AD2989" i="12" s="1"/>
  <c r="AD2988" i="12" s="1"/>
  <c r="AD2987" i="12" s="1"/>
  <c r="AD2986" i="12" s="1"/>
  <c r="AD2985" i="12" s="1"/>
  <c r="AD2984" i="12" s="1"/>
  <c r="AD2983" i="12" s="1"/>
  <c r="AD2982" i="12" s="1"/>
  <c r="AD2981" i="12" s="1"/>
  <c r="AD2980" i="12" s="1"/>
  <c r="AD2979" i="12" s="1"/>
  <c r="AD2978" i="12" s="1"/>
  <c r="AD2977" i="12" s="1"/>
  <c r="AD2976" i="12" s="1"/>
  <c r="AD2975" i="12" s="1"/>
  <c r="AD2974" i="12" s="1"/>
  <c r="AD2973" i="12" s="1"/>
  <c r="AD2972" i="12" s="1"/>
  <c r="AD2971" i="12" s="1"/>
  <c r="AD2970" i="12" s="1"/>
  <c r="AD2969" i="12" s="1"/>
  <c r="AD2968" i="12" s="1"/>
  <c r="AD2967" i="12" s="1"/>
  <c r="AD2966" i="12" s="1"/>
  <c r="AD2965" i="12" s="1"/>
  <c r="AB3113" i="12"/>
  <c r="AB3112" i="12" s="1"/>
  <c r="AB3111" i="12" s="1"/>
  <c r="AB3110" i="12" s="1"/>
  <c r="AB3109" i="12" s="1"/>
  <c r="AB3108" i="12" s="1"/>
  <c r="AB3107" i="12" s="1"/>
  <c r="AB3106" i="12" s="1"/>
  <c r="AB3105" i="12" s="1"/>
  <c r="AB3104" i="12" s="1"/>
  <c r="AB3103" i="12" s="1"/>
  <c r="AB3102" i="12" s="1"/>
  <c r="AB3101" i="12" s="1"/>
  <c r="AB3100" i="12" s="1"/>
  <c r="AB3099" i="12" s="1"/>
  <c r="AB3098" i="12" s="1"/>
  <c r="AB3097" i="12" s="1"/>
  <c r="AB3096" i="12" s="1"/>
  <c r="AB3095" i="12" s="1"/>
  <c r="AB3094" i="12" s="1"/>
  <c r="AB3093" i="12" s="1"/>
  <c r="AB3092" i="12" s="1"/>
  <c r="AB3091" i="12" s="1"/>
  <c r="AB3090" i="12" s="1"/>
  <c r="AB3089" i="12" s="1"/>
  <c r="AB3088" i="12" s="1"/>
  <c r="AB3087" i="12" s="1"/>
  <c r="AB3086" i="12" s="1"/>
  <c r="AB3085" i="12" s="1"/>
  <c r="AB3084" i="12" s="1"/>
  <c r="AB3083" i="12" s="1"/>
  <c r="AB3082" i="12" s="1"/>
  <c r="AB3081" i="12" s="1"/>
  <c r="AB3080" i="12" s="1"/>
  <c r="AB3079" i="12" s="1"/>
  <c r="AB3078" i="12" s="1"/>
  <c r="AB3077" i="12" s="1"/>
  <c r="AB3076" i="12" s="1"/>
  <c r="AB3075" i="12" s="1"/>
  <c r="AB3074" i="12" s="1"/>
  <c r="AB3073" i="12" s="1"/>
  <c r="AB3072" i="12" s="1"/>
  <c r="AB3071" i="12" s="1"/>
  <c r="AB3070" i="12" s="1"/>
  <c r="AB3069" i="12" s="1"/>
  <c r="AB3068" i="12" s="1"/>
  <c r="AB3067" i="12" s="1"/>
  <c r="AB3066" i="12" s="1"/>
  <c r="AB3065" i="12" s="1"/>
  <c r="AB3064" i="12" s="1"/>
  <c r="AB3063" i="12" s="1"/>
  <c r="AB3062" i="12" s="1"/>
  <c r="AB3061" i="12" s="1"/>
  <c r="AB3060" i="12" s="1"/>
  <c r="AB3059" i="12" s="1"/>
  <c r="AB3058" i="12" s="1"/>
  <c r="AB3057" i="12" s="1"/>
  <c r="AB3056" i="12" s="1"/>
  <c r="AB3055" i="12" s="1"/>
  <c r="AB3054" i="12" s="1"/>
  <c r="AB3053" i="12" s="1"/>
  <c r="AB3052" i="12" s="1"/>
  <c r="AB3051" i="12" s="1"/>
  <c r="AB3050" i="12" s="1"/>
  <c r="AB3049" i="12" s="1"/>
  <c r="AB3048" i="12" s="1"/>
  <c r="AB3047" i="12" s="1"/>
  <c r="AB3046" i="12" s="1"/>
  <c r="AB3045" i="12" s="1"/>
  <c r="AB3044" i="12" s="1"/>
  <c r="AE2964" i="12"/>
  <c r="AE2963" i="12" s="1"/>
  <c r="AE2962" i="12" s="1"/>
  <c r="AE2961" i="12" s="1"/>
  <c r="AE2960" i="12" s="1"/>
  <c r="AE2959" i="12" s="1"/>
  <c r="AE2958" i="12" s="1"/>
  <c r="AE2957" i="12" s="1"/>
  <c r="AE2956" i="12" s="1"/>
  <c r="AE2955" i="12" s="1"/>
  <c r="AE2954" i="12" s="1"/>
  <c r="AE2953" i="12" s="1"/>
  <c r="AE2952" i="12" s="1"/>
  <c r="AE2951" i="12" s="1"/>
  <c r="AE2950" i="12" s="1"/>
  <c r="AE2949" i="12" s="1"/>
  <c r="AE2948" i="12" s="1"/>
  <c r="AE2947" i="12" s="1"/>
  <c r="AE2946" i="12" s="1"/>
  <c r="AD3113" i="12"/>
  <c r="AD3112" i="12" s="1"/>
  <c r="AD3111" i="12" s="1"/>
  <c r="AD3110" i="12" s="1"/>
  <c r="AD3109" i="12" s="1"/>
  <c r="AD3108" i="12" s="1"/>
  <c r="AD3107" i="12" s="1"/>
  <c r="AD3106" i="12" s="1"/>
  <c r="AD3105" i="12" s="1"/>
  <c r="AD3104" i="12" s="1"/>
  <c r="AD3103" i="12" s="1"/>
  <c r="AD3102" i="12" s="1"/>
  <c r="AD3101" i="12" s="1"/>
  <c r="AD3100" i="12" s="1"/>
  <c r="AD3099" i="12" s="1"/>
  <c r="AD3098" i="12" s="1"/>
  <c r="AD3097" i="12" s="1"/>
  <c r="AD3096" i="12" s="1"/>
  <c r="AD3095" i="12" s="1"/>
  <c r="AD3094" i="12" s="1"/>
  <c r="AD3093" i="12" s="1"/>
  <c r="AD3092" i="12" s="1"/>
  <c r="AD3091" i="12" s="1"/>
  <c r="AD3090" i="12" s="1"/>
  <c r="AD3089" i="12" s="1"/>
  <c r="AD3088" i="12" s="1"/>
  <c r="AD3087" i="12" s="1"/>
  <c r="AD3086" i="12" s="1"/>
  <c r="AD3085" i="12" s="1"/>
  <c r="AD3084" i="12" s="1"/>
  <c r="AD3083" i="12" s="1"/>
  <c r="AD3082" i="12" s="1"/>
  <c r="AD3081" i="12" s="1"/>
  <c r="AD3080" i="12" s="1"/>
  <c r="AD3079" i="12" s="1"/>
  <c r="AD3078" i="12" s="1"/>
  <c r="AD3077" i="12" s="1"/>
  <c r="AD3076" i="12" s="1"/>
  <c r="AD3075" i="12" s="1"/>
  <c r="AD3074" i="12" s="1"/>
  <c r="AD3073" i="12" s="1"/>
  <c r="AD3072" i="12" s="1"/>
  <c r="AD3071" i="12" s="1"/>
  <c r="AD3070" i="12" s="1"/>
  <c r="AD3069" i="12" s="1"/>
  <c r="AD3068" i="12" s="1"/>
  <c r="AD3067" i="12" s="1"/>
  <c r="AD3066" i="12" s="1"/>
  <c r="AD3065" i="12" s="1"/>
  <c r="AD3064" i="12" s="1"/>
  <c r="AD3063" i="12" s="1"/>
  <c r="AD3062" i="12" s="1"/>
  <c r="AD3061" i="12" s="1"/>
  <c r="AD3060" i="12" s="1"/>
  <c r="AD3059" i="12" s="1"/>
  <c r="AD3058" i="12" s="1"/>
  <c r="AD3057" i="12" s="1"/>
  <c r="AD3056" i="12" s="1"/>
  <c r="AD3055" i="12" s="1"/>
  <c r="AD3054" i="12" s="1"/>
  <c r="AD3053" i="12" s="1"/>
  <c r="AD3052" i="12" s="1"/>
  <c r="AD3051" i="12" s="1"/>
  <c r="AD3050" i="12" s="1"/>
  <c r="AD3049" i="12" s="1"/>
  <c r="AD3048" i="12" s="1"/>
  <c r="AD3047" i="12" s="1"/>
  <c r="AD3046" i="12" s="1"/>
  <c r="AD3045" i="12" s="1"/>
  <c r="AD3044" i="12" s="1"/>
  <c r="AB2945" i="12"/>
  <c r="AB2944" i="12" s="1"/>
  <c r="AB2943" i="12" s="1"/>
  <c r="AB2942" i="12" s="1"/>
  <c r="AB2941" i="12" s="1"/>
  <c r="AB2940" i="12" s="1"/>
  <c r="AB2939" i="12" s="1"/>
  <c r="AB2938" i="12" s="1"/>
  <c r="AB2937" i="12" s="1"/>
  <c r="AB2936" i="12" s="1"/>
  <c r="AD2945" i="12"/>
  <c r="AD2944" i="12" s="1"/>
  <c r="AD2943" i="12" s="1"/>
  <c r="AD2942" i="12" s="1"/>
  <c r="AD2941" i="12" s="1"/>
  <c r="AD2940" i="12" s="1"/>
  <c r="AD2939" i="12" s="1"/>
  <c r="AC3043" i="12"/>
  <c r="AC3042" i="12" s="1"/>
  <c r="AC3041" i="12" s="1"/>
  <c r="AC3040" i="12" s="1"/>
  <c r="AC3039" i="12" s="1"/>
  <c r="AC3038" i="12" s="1"/>
  <c r="AC3037" i="12" s="1"/>
  <c r="AC3036" i="12" s="1"/>
  <c r="AC3035" i="12" s="1"/>
  <c r="AC3034" i="12" s="1"/>
  <c r="AC3033" i="12" s="1"/>
  <c r="AC3032" i="12" s="1"/>
  <c r="AC3031" i="12" s="1"/>
  <c r="AC3030" i="12" s="1"/>
  <c r="AC3029" i="12" s="1"/>
  <c r="AC3028" i="12" s="1"/>
  <c r="AC3027" i="12" s="1"/>
  <c r="AC3026" i="12" s="1"/>
  <c r="AC3025" i="12" s="1"/>
  <c r="AC3024" i="12" s="1"/>
  <c r="AC3023" i="12" s="1"/>
  <c r="AC3022" i="12" s="1"/>
  <c r="AC3021" i="12" s="1"/>
  <c r="AC3020" i="12" s="1"/>
  <c r="AC3019" i="12" s="1"/>
  <c r="AC3018" i="12" s="1"/>
  <c r="AC3017" i="12" s="1"/>
  <c r="AC3016" i="12" s="1"/>
  <c r="AC3015" i="12" s="1"/>
  <c r="AC3014" i="12" s="1"/>
  <c r="AB3313" i="12"/>
  <c r="AE3043" i="12"/>
  <c r="AE3042" i="12" s="1"/>
  <c r="AE3041" i="12" s="1"/>
  <c r="AE3040" i="12" s="1"/>
  <c r="AE3039" i="12" s="1"/>
  <c r="AE3038" i="12" s="1"/>
  <c r="AE3037" i="12" s="1"/>
  <c r="AE3036" i="12" s="1"/>
  <c r="AE3035" i="12" s="1"/>
  <c r="AE3034" i="12" s="1"/>
  <c r="AE3033" i="12" s="1"/>
  <c r="AE3032" i="12" s="1"/>
  <c r="AE3031" i="12" s="1"/>
  <c r="AE3030" i="12" s="1"/>
  <c r="AE3029" i="12" s="1"/>
  <c r="AE3028" i="12" s="1"/>
  <c r="AE3027" i="12" s="1"/>
  <c r="AE3026" i="12" s="1"/>
  <c r="AE3025" i="12" s="1"/>
  <c r="AE3024" i="12" s="1"/>
  <c r="AE3023" i="12" s="1"/>
  <c r="AE3022" i="12" s="1"/>
  <c r="AE3021" i="12" s="1"/>
  <c r="AE3020" i="12" s="1"/>
  <c r="AE3019" i="12" s="1"/>
  <c r="AE3018" i="12" s="1"/>
  <c r="AE3017" i="12" s="1"/>
  <c r="AE3016" i="12" s="1"/>
  <c r="AE3015" i="12" s="1"/>
  <c r="AE3014" i="12" s="1"/>
  <c r="AE3113" i="12"/>
  <c r="AE3112" i="12" s="1"/>
  <c r="AE3111" i="12" s="1"/>
  <c r="AE3110" i="12" s="1"/>
  <c r="AE3109" i="12" s="1"/>
  <c r="AE3108" i="12" s="1"/>
  <c r="AE3107" i="12" s="1"/>
  <c r="AE3106" i="12" s="1"/>
  <c r="AE3105" i="12" s="1"/>
  <c r="AE3104" i="12" s="1"/>
  <c r="AE3103" i="12" s="1"/>
  <c r="AE3102" i="12" s="1"/>
  <c r="AE3101" i="12" s="1"/>
  <c r="AE3100" i="12" s="1"/>
  <c r="AE3099" i="12" s="1"/>
  <c r="AE3098" i="12" s="1"/>
  <c r="AE3097" i="12" s="1"/>
  <c r="AE3096" i="12" s="1"/>
  <c r="AE3095" i="12" s="1"/>
  <c r="AE3094" i="12" s="1"/>
  <c r="AE3093" i="12" s="1"/>
  <c r="AE3092" i="12" s="1"/>
  <c r="AE3091" i="12" s="1"/>
  <c r="AE3090" i="12" s="1"/>
  <c r="AE3089" i="12" s="1"/>
  <c r="AE3088" i="12" s="1"/>
  <c r="AE3087" i="12" s="1"/>
  <c r="AE3086" i="12" s="1"/>
  <c r="AE3085" i="12" s="1"/>
  <c r="AE3084" i="12" s="1"/>
  <c r="AE3083" i="12" s="1"/>
  <c r="AE3082" i="12" s="1"/>
  <c r="AE3081" i="12" s="1"/>
  <c r="AE3080" i="12" s="1"/>
  <c r="AE3079" i="12" s="1"/>
  <c r="AE3078" i="12" s="1"/>
  <c r="AE3077" i="12" s="1"/>
  <c r="AE3076" i="12" s="1"/>
  <c r="AE3075" i="12" s="1"/>
  <c r="AE3074" i="12" s="1"/>
  <c r="AE3073" i="12" s="1"/>
  <c r="AE3072" i="12" s="1"/>
  <c r="AE3071" i="12" s="1"/>
  <c r="AE3070" i="12" s="1"/>
  <c r="AE3069" i="12" s="1"/>
  <c r="AE3068" i="12" s="1"/>
  <c r="AE3067" i="12" s="1"/>
  <c r="AE3066" i="12" s="1"/>
  <c r="AE3065" i="12" s="1"/>
  <c r="AE3064" i="12" s="1"/>
  <c r="AE3063" i="12" s="1"/>
  <c r="AE3062" i="12" s="1"/>
  <c r="AE3061" i="12" s="1"/>
  <c r="AE3060" i="12" s="1"/>
  <c r="AE3059" i="12" s="1"/>
  <c r="AE3058" i="12" s="1"/>
  <c r="AE3057" i="12" s="1"/>
  <c r="AE3056" i="12" s="1"/>
  <c r="AE3055" i="12" s="1"/>
  <c r="AE3054" i="12" s="1"/>
  <c r="AE3053" i="12" s="1"/>
  <c r="AE3052" i="12" s="1"/>
  <c r="AE3051" i="12" s="1"/>
  <c r="AE3050" i="12" s="1"/>
  <c r="AE3049" i="12" s="1"/>
  <c r="AE3048" i="12" s="1"/>
  <c r="AE3047" i="12" s="1"/>
  <c r="AE3046" i="12" s="1"/>
  <c r="AE3045" i="12" s="1"/>
  <c r="AE3044" i="12" s="1"/>
  <c r="AB3043" i="12"/>
  <c r="AB3042" i="12" s="1"/>
  <c r="AB3041" i="12" s="1"/>
  <c r="AB3040" i="12" s="1"/>
  <c r="AB3039" i="12" s="1"/>
  <c r="AB3038" i="12" s="1"/>
  <c r="AB3037" i="12" s="1"/>
  <c r="AB3036" i="12" s="1"/>
  <c r="AB3035" i="12" s="1"/>
  <c r="AB3034" i="12" s="1"/>
  <c r="AB3033" i="12" s="1"/>
  <c r="AB3032" i="12" s="1"/>
  <c r="AB3031" i="12" s="1"/>
  <c r="AB3030" i="12" s="1"/>
  <c r="AB3029" i="12" s="1"/>
  <c r="AB3028" i="12" s="1"/>
  <c r="AB3027" i="12" s="1"/>
  <c r="AB3026" i="12" s="1"/>
  <c r="AB3025" i="12" s="1"/>
  <c r="AB3024" i="12" s="1"/>
  <c r="AB3023" i="12" s="1"/>
  <c r="AB3022" i="12" s="1"/>
  <c r="AB3021" i="12" s="1"/>
  <c r="AB3020" i="12" s="1"/>
  <c r="AB3019" i="12" s="1"/>
  <c r="AB3018" i="12" s="1"/>
  <c r="AB3017" i="12" s="1"/>
  <c r="AB3016" i="12" s="1"/>
  <c r="AB3015" i="12" s="1"/>
  <c r="AB3014" i="12" s="1"/>
  <c r="AE3013" i="12"/>
  <c r="AE3012" i="12" s="1"/>
  <c r="AE3011" i="12" s="1"/>
  <c r="AE3010" i="12" s="1"/>
  <c r="AE3009" i="12" s="1"/>
  <c r="AE3008" i="12" s="1"/>
  <c r="AE3007" i="12" s="1"/>
  <c r="AE3006" i="12" s="1"/>
  <c r="AE3005" i="12" s="1"/>
  <c r="AE3004" i="12" s="1"/>
  <c r="AE3003" i="12" s="1"/>
  <c r="AE3002" i="12" s="1"/>
  <c r="AE3001" i="12" s="1"/>
  <c r="AE3000" i="12" s="1"/>
  <c r="AE2999" i="12" s="1"/>
  <c r="AE2998" i="12" s="1"/>
  <c r="AE2997" i="12" s="1"/>
  <c r="AE2996" i="12" s="1"/>
  <c r="AE2995" i="12" s="1"/>
  <c r="AE2994" i="12" s="1"/>
  <c r="AE2993" i="12" s="1"/>
  <c r="AE2992" i="12" s="1"/>
  <c r="AE2991" i="12" s="1"/>
  <c r="AE2990" i="12" s="1"/>
  <c r="AE2989" i="12" s="1"/>
  <c r="AE2988" i="12" s="1"/>
  <c r="AE2987" i="12" s="1"/>
  <c r="AE2986" i="12" s="1"/>
  <c r="AE2985" i="12" s="1"/>
  <c r="AE2984" i="12" s="1"/>
  <c r="AE2983" i="12" s="1"/>
  <c r="AE2982" i="12" s="1"/>
  <c r="AE2981" i="12" s="1"/>
  <c r="AE2980" i="12" s="1"/>
  <c r="AE2979" i="12" s="1"/>
  <c r="AE2978" i="12" s="1"/>
  <c r="AE2977" i="12" s="1"/>
  <c r="AE2976" i="12" s="1"/>
  <c r="AE2975" i="12" s="1"/>
  <c r="AE2974" i="12" s="1"/>
  <c r="AE2973" i="12" s="1"/>
  <c r="AE2972" i="12" s="1"/>
  <c r="AE2971" i="12" s="1"/>
  <c r="AE2970" i="12" s="1"/>
  <c r="AE2969" i="12" s="1"/>
  <c r="AE2968" i="12" s="1"/>
  <c r="AE2967" i="12" s="1"/>
  <c r="AE2966" i="12" s="1"/>
  <c r="AE2965" i="12" s="1"/>
  <c r="AD3043" i="12"/>
  <c r="AD3042" i="12" s="1"/>
  <c r="AD3041" i="12" s="1"/>
  <c r="AD3040" i="12" s="1"/>
  <c r="AD3039" i="12" s="1"/>
  <c r="AD3038" i="12" s="1"/>
  <c r="AD3037" i="12" s="1"/>
  <c r="AD3036" i="12" s="1"/>
  <c r="AD3035" i="12" s="1"/>
  <c r="AD3034" i="12" s="1"/>
  <c r="AD3033" i="12" s="1"/>
  <c r="AD3032" i="12" s="1"/>
  <c r="AD3031" i="12" s="1"/>
  <c r="AD3030" i="12" s="1"/>
  <c r="AD3029" i="12" s="1"/>
  <c r="AD3028" i="12" s="1"/>
  <c r="AD3027" i="12" s="1"/>
  <c r="AD3026" i="12" s="1"/>
  <c r="AD3025" i="12" s="1"/>
  <c r="AD3024" i="12" s="1"/>
  <c r="AD3023" i="12" s="1"/>
  <c r="AD3022" i="12" s="1"/>
  <c r="AD3021" i="12" s="1"/>
  <c r="AD3020" i="12" s="1"/>
  <c r="AD3019" i="12" s="1"/>
  <c r="AD3018" i="12" s="1"/>
  <c r="AD3017" i="12" s="1"/>
  <c r="AD3016" i="12" s="1"/>
  <c r="AD3015" i="12" s="1"/>
  <c r="AD3014" i="12" s="1"/>
  <c r="AC3113" i="12"/>
  <c r="AC3112" i="12" s="1"/>
  <c r="AC3111" i="12" s="1"/>
  <c r="AC3110" i="12" s="1"/>
  <c r="AC3109" i="12" s="1"/>
  <c r="AC3108" i="12" s="1"/>
  <c r="AC3107" i="12" s="1"/>
  <c r="AC3106" i="12" s="1"/>
  <c r="AC3105" i="12" s="1"/>
  <c r="AC3104" i="12" s="1"/>
  <c r="AC3103" i="12" s="1"/>
  <c r="AC3102" i="12" s="1"/>
  <c r="AC3101" i="12" s="1"/>
  <c r="AC3100" i="12" s="1"/>
  <c r="AC3099" i="12" s="1"/>
  <c r="AC3098" i="12" s="1"/>
  <c r="AC3097" i="12" s="1"/>
  <c r="AC3096" i="12" s="1"/>
  <c r="AC3095" i="12" s="1"/>
  <c r="AC3094" i="12" s="1"/>
  <c r="AC3093" i="12" s="1"/>
  <c r="AC3092" i="12" s="1"/>
  <c r="AC3091" i="12" s="1"/>
  <c r="AC3090" i="12" s="1"/>
  <c r="AC3089" i="12" s="1"/>
  <c r="AC3088" i="12" s="1"/>
  <c r="AC3087" i="12" s="1"/>
  <c r="AC3086" i="12" s="1"/>
  <c r="AC3085" i="12" s="1"/>
  <c r="AC3084" i="12" s="1"/>
  <c r="AC3083" i="12" s="1"/>
  <c r="AC3082" i="12" s="1"/>
  <c r="AC3081" i="12" s="1"/>
  <c r="AC3080" i="12" s="1"/>
  <c r="AC3079" i="12" s="1"/>
  <c r="AC3078" i="12" s="1"/>
  <c r="AC3077" i="12" s="1"/>
  <c r="AC3076" i="12" s="1"/>
  <c r="AC3075" i="12" s="1"/>
  <c r="AC3074" i="12" s="1"/>
  <c r="AC3073" i="12" s="1"/>
  <c r="AC3072" i="12" s="1"/>
  <c r="AC3071" i="12" s="1"/>
  <c r="AC3070" i="12" s="1"/>
  <c r="AC3069" i="12" s="1"/>
  <c r="AC3068" i="12" s="1"/>
  <c r="AC3067" i="12" s="1"/>
  <c r="AC3066" i="12" s="1"/>
  <c r="AC3065" i="12" s="1"/>
  <c r="AC3064" i="12" s="1"/>
  <c r="AC3063" i="12" s="1"/>
  <c r="AC3062" i="12" s="1"/>
  <c r="AC3061" i="12" s="1"/>
  <c r="AC3060" i="12" s="1"/>
  <c r="AC3059" i="12" s="1"/>
  <c r="AC3058" i="12" s="1"/>
  <c r="AC3057" i="12" s="1"/>
  <c r="AC3056" i="12" s="1"/>
  <c r="AC3055" i="12" s="1"/>
  <c r="AC3054" i="12" s="1"/>
  <c r="AC3053" i="12" s="1"/>
  <c r="AC3052" i="12" s="1"/>
  <c r="AC3051" i="12" s="1"/>
  <c r="AC3050" i="12" s="1"/>
  <c r="AC3049" i="12" s="1"/>
  <c r="AC3048" i="12" s="1"/>
  <c r="AC3047" i="12" s="1"/>
  <c r="AC3046" i="12" s="1"/>
  <c r="AC3045" i="12" s="1"/>
  <c r="AC3044" i="12" s="1"/>
  <c r="AB3013" i="12"/>
  <c r="AB3012" i="12" s="1"/>
  <c r="AB3011" i="12" s="1"/>
  <c r="AB3010" i="12" s="1"/>
  <c r="AB3009" i="12" s="1"/>
  <c r="AB3008" i="12" s="1"/>
  <c r="AB3007" i="12" s="1"/>
  <c r="AB3006" i="12" s="1"/>
  <c r="AB3005" i="12" s="1"/>
  <c r="AB3004" i="12" s="1"/>
  <c r="AB3003" i="12" s="1"/>
  <c r="AB3002" i="12" s="1"/>
  <c r="AB3001" i="12" s="1"/>
  <c r="AB3000" i="12" s="1"/>
  <c r="AB2999" i="12" s="1"/>
  <c r="AB2998" i="12" s="1"/>
  <c r="AB2997" i="12" s="1"/>
  <c r="AB2996" i="12" s="1"/>
  <c r="AB2995" i="12" s="1"/>
  <c r="AB2994" i="12" s="1"/>
  <c r="AB2993" i="12" s="1"/>
  <c r="AB2992" i="12" s="1"/>
  <c r="AB2991" i="12" s="1"/>
  <c r="AB2990" i="12" s="1"/>
  <c r="AB2989" i="12" s="1"/>
  <c r="AB2988" i="12" s="1"/>
  <c r="AB2987" i="12" s="1"/>
  <c r="AB2986" i="12" s="1"/>
  <c r="AB2985" i="12" s="1"/>
  <c r="AB2984" i="12" s="1"/>
  <c r="AB2983" i="12" s="1"/>
  <c r="AB2982" i="12" s="1"/>
  <c r="AB2981" i="12" s="1"/>
  <c r="AB2980" i="12" s="1"/>
  <c r="AB2979" i="12" s="1"/>
  <c r="AB2978" i="12" s="1"/>
  <c r="AB2977" i="12" s="1"/>
  <c r="AB2976" i="12" s="1"/>
  <c r="AB2975" i="12" s="1"/>
  <c r="AB2974" i="12" s="1"/>
  <c r="AB2973" i="12" s="1"/>
  <c r="AB2972" i="12" s="1"/>
  <c r="AB2971" i="12" s="1"/>
  <c r="AB2970" i="12" s="1"/>
  <c r="AB2969" i="12" s="1"/>
  <c r="AB2968" i="12" s="1"/>
  <c r="AB2967" i="12" s="1"/>
  <c r="AB2966" i="12" s="1"/>
  <c r="AB2965" i="12" s="1"/>
  <c r="AC3013" i="12"/>
  <c r="AC3012" i="12" s="1"/>
  <c r="AC3011" i="12" s="1"/>
  <c r="AC3010" i="12" s="1"/>
  <c r="AC3009" i="12" s="1"/>
  <c r="AC3008" i="12" s="1"/>
  <c r="AC3007" i="12" s="1"/>
  <c r="AC3006" i="12" s="1"/>
  <c r="AC3005" i="12" s="1"/>
  <c r="AC3004" i="12" s="1"/>
  <c r="AC3003" i="12" s="1"/>
  <c r="AC3002" i="12" s="1"/>
  <c r="AC3001" i="12" s="1"/>
  <c r="AC3000" i="12" s="1"/>
  <c r="AC2999" i="12" s="1"/>
  <c r="AC2998" i="12" s="1"/>
  <c r="AC2997" i="12" s="1"/>
  <c r="AC2996" i="12" s="1"/>
  <c r="AC2995" i="12" s="1"/>
  <c r="AC2994" i="12" s="1"/>
  <c r="AC2993" i="12" s="1"/>
  <c r="AC2992" i="12" s="1"/>
  <c r="AC2991" i="12" s="1"/>
  <c r="AC2990" i="12" s="1"/>
  <c r="AC2989" i="12" s="1"/>
  <c r="AC2988" i="12" s="1"/>
  <c r="AC2987" i="12" s="1"/>
  <c r="AC2986" i="12" s="1"/>
  <c r="AC2985" i="12" s="1"/>
  <c r="AC2984" i="12" s="1"/>
  <c r="AC2983" i="12" s="1"/>
  <c r="AC2982" i="12" s="1"/>
  <c r="AC2981" i="12" s="1"/>
  <c r="AC2980" i="12" s="1"/>
  <c r="AC2979" i="12" s="1"/>
  <c r="AC2978" i="12" s="1"/>
  <c r="AC2977" i="12" s="1"/>
  <c r="AC2976" i="12" s="1"/>
  <c r="AC2975" i="12" s="1"/>
  <c r="AC2974" i="12" s="1"/>
  <c r="AC2973" i="12" s="1"/>
  <c r="AC2972" i="12" s="1"/>
  <c r="AC2971" i="12" s="1"/>
  <c r="AC2970" i="12" s="1"/>
  <c r="AC2969" i="12" s="1"/>
  <c r="AC2968" i="12" s="1"/>
  <c r="AC2967" i="12" s="1"/>
  <c r="AC2966" i="12" s="1"/>
  <c r="AC2965" i="12" s="1"/>
  <c r="AC3313" i="12"/>
  <c r="AC3312" i="12" s="1"/>
  <c r="AC3311" i="12" s="1"/>
  <c r="AC3310" i="12" s="1"/>
  <c r="AC3309" i="12" s="1"/>
  <c r="AC3308" i="12" s="1"/>
  <c r="AC3307" i="12" s="1"/>
  <c r="AC3306" i="12" s="1"/>
  <c r="AC3305" i="12" s="1"/>
  <c r="AC3304" i="12" s="1"/>
  <c r="AC3303" i="12" s="1"/>
  <c r="AC3302" i="12" s="1"/>
  <c r="AC3301" i="12" s="1"/>
  <c r="AC3300" i="12" s="1"/>
  <c r="AC3299" i="12" s="1"/>
  <c r="AC3298" i="12" s="1"/>
  <c r="AC3297" i="12" s="1"/>
  <c r="AC3296" i="12" s="1"/>
  <c r="AC3295" i="12" s="1"/>
  <c r="AC3294" i="12" s="1"/>
  <c r="AC3293" i="12" s="1"/>
  <c r="AC3292" i="12" s="1"/>
  <c r="AC3291" i="12" s="1"/>
  <c r="AC3290" i="12" s="1"/>
  <c r="AC3289" i="12" s="1"/>
  <c r="AC3288" i="12" s="1"/>
  <c r="AC3287" i="12" s="1"/>
  <c r="AC3286" i="12" s="1"/>
  <c r="AC3285" i="12" s="1"/>
  <c r="AC3284" i="12" s="1"/>
  <c r="AC3283" i="12" s="1"/>
  <c r="AC3282" i="12" s="1"/>
  <c r="AC3281" i="12" s="1"/>
  <c r="AC3280" i="12" s="1"/>
  <c r="AC3279" i="12" s="1"/>
  <c r="AC3278" i="12" s="1"/>
  <c r="AC3277" i="12" s="1"/>
  <c r="AC3276" i="12" s="1"/>
  <c r="AC3275" i="12" s="1"/>
  <c r="AC3274" i="12" s="1"/>
  <c r="AC3273" i="12" s="1"/>
  <c r="AC3272" i="12" s="1"/>
  <c r="AC3271" i="12" s="1"/>
  <c r="AC3270" i="12" s="1"/>
  <c r="AC3269" i="12" s="1"/>
  <c r="AC3268" i="12" s="1"/>
  <c r="AC3267" i="12" s="1"/>
  <c r="AC3266" i="12" s="1"/>
  <c r="AC3265" i="12" s="1"/>
  <c r="AC3264" i="12" s="1"/>
  <c r="AC3263" i="12" s="1"/>
  <c r="AC3262" i="12" s="1"/>
  <c r="AC3261" i="12" s="1"/>
  <c r="AC3260" i="12" s="1"/>
  <c r="AC3259" i="12" s="1"/>
  <c r="AC3258" i="12" s="1"/>
  <c r="AC3257" i="12" s="1"/>
  <c r="AC3256" i="12" s="1"/>
  <c r="AC3255" i="12" s="1"/>
  <c r="AC3254" i="12" s="1"/>
  <c r="AC3253" i="12" s="1"/>
  <c r="AC3252" i="12" s="1"/>
  <c r="AC3251" i="12" s="1"/>
  <c r="AC3250" i="12" s="1"/>
  <c r="AC3249" i="12" s="1"/>
  <c r="AC3248" i="12" s="1"/>
  <c r="AC3247" i="12" s="1"/>
  <c r="AC3246" i="12" s="1"/>
  <c r="AC3245" i="12" s="1"/>
  <c r="AC3244" i="12" s="1"/>
  <c r="AC3243" i="12" s="1"/>
  <c r="AC3242" i="12" s="1"/>
  <c r="AC3241" i="12" s="1"/>
  <c r="AC3240" i="12" s="1"/>
  <c r="AC3239" i="12" s="1"/>
  <c r="AC3238" i="12" s="1"/>
  <c r="AC3237" i="12" s="1"/>
  <c r="AC3236" i="12" s="1"/>
  <c r="AC3235" i="12" s="1"/>
  <c r="AC3234" i="12" s="1"/>
  <c r="AC3233" i="12" s="1"/>
  <c r="AC3232" i="12" s="1"/>
  <c r="AC3231" i="12" s="1"/>
  <c r="AC3230" i="12" s="1"/>
  <c r="AC3229" i="12" s="1"/>
  <c r="AC3228" i="12" s="1"/>
  <c r="AC3227" i="12" s="1"/>
  <c r="AC3226" i="12" s="1"/>
  <c r="AC3225" i="12" s="1"/>
  <c r="AC3224" i="12" s="1"/>
  <c r="AC3223" i="12" s="1"/>
  <c r="AC3222" i="12" s="1"/>
  <c r="AC3221" i="12" s="1"/>
  <c r="AC3220" i="12" s="1"/>
  <c r="AC3219" i="12" s="1"/>
  <c r="AC3218" i="12" s="1"/>
  <c r="AC3217" i="12" s="1"/>
  <c r="AC3216" i="12" s="1"/>
  <c r="AC3215" i="12" s="1"/>
  <c r="AC3214" i="12" s="1"/>
  <c r="AC3213" i="12" s="1"/>
  <c r="AC3212" i="12" s="1"/>
  <c r="AC3211" i="12" s="1"/>
  <c r="AC3210" i="12" s="1"/>
  <c r="AC3209" i="12" s="1"/>
  <c r="AC3208" i="12" s="1"/>
  <c r="AC3207" i="12" s="1"/>
  <c r="AC3206" i="12" s="1"/>
  <c r="AC3205" i="12" s="1"/>
  <c r="AC3204" i="12" s="1"/>
  <c r="AC3203" i="12" s="1"/>
  <c r="AC3202" i="12" s="1"/>
  <c r="AC3201" i="12" s="1"/>
  <c r="AC3200" i="12" s="1"/>
  <c r="AC3199" i="12" s="1"/>
  <c r="AC3198" i="12" s="1"/>
  <c r="AC3197" i="12" s="1"/>
  <c r="AC3196" i="12" s="1"/>
  <c r="AC3195" i="12" s="1"/>
  <c r="AC3194" i="12" s="1"/>
  <c r="AC3193" i="12" s="1"/>
  <c r="AC3192" i="12" s="1"/>
  <c r="AC3191" i="12" s="1"/>
  <c r="AC3190" i="12" s="1"/>
  <c r="AC3189" i="12" s="1"/>
  <c r="AC3188" i="12" s="1"/>
  <c r="AC3187" i="12" s="1"/>
  <c r="AC3186" i="12" s="1"/>
  <c r="AC3185" i="12" s="1"/>
  <c r="AC3184" i="12" s="1"/>
  <c r="AC3183" i="12" s="1"/>
  <c r="AC3182" i="12" s="1"/>
  <c r="AC3181" i="12" s="1"/>
  <c r="AC3180" i="12" s="1"/>
  <c r="AC3179" i="12" s="1"/>
  <c r="AC3178" i="12" s="1"/>
  <c r="AC3177" i="12" s="1"/>
  <c r="AC3176" i="12" s="1"/>
  <c r="AC3175" i="12" s="1"/>
  <c r="AC3174" i="12" s="1"/>
  <c r="AC3173" i="12" s="1"/>
  <c r="AC3172" i="12" s="1"/>
  <c r="AC3171" i="12" s="1"/>
  <c r="AC3170" i="12" s="1"/>
  <c r="AC3169" i="12" s="1"/>
  <c r="AC3168" i="12" s="1"/>
  <c r="AC3167" i="12" s="1"/>
  <c r="AC3166" i="12" s="1"/>
  <c r="AC3165" i="12" s="1"/>
  <c r="AC3164" i="12" s="1"/>
  <c r="AC3163" i="12" s="1"/>
  <c r="AC3162" i="12" s="1"/>
  <c r="AC3161" i="12" s="1"/>
  <c r="AC3160" i="12" s="1"/>
  <c r="AC3159" i="12" s="1"/>
  <c r="AC3158" i="12" s="1"/>
  <c r="AC3157" i="12" s="1"/>
  <c r="AC3156" i="12" s="1"/>
  <c r="AC3155" i="12" s="1"/>
  <c r="AC3154" i="12" s="1"/>
  <c r="AC3153" i="12" s="1"/>
  <c r="AC3152" i="12" s="1"/>
  <c r="AC3151" i="12" s="1"/>
  <c r="AC3150" i="12" s="1"/>
  <c r="AC3149" i="12" s="1"/>
  <c r="AC3148" i="12" s="1"/>
  <c r="AC3147" i="12" s="1"/>
  <c r="AC3146" i="12" s="1"/>
  <c r="AC3145" i="12" s="1"/>
  <c r="AC3144" i="12" s="1"/>
  <c r="AC3143" i="12" s="1"/>
  <c r="AC3142" i="12" s="1"/>
  <c r="AC3141" i="12" s="1"/>
  <c r="AC3140" i="12" s="1"/>
  <c r="AC3139" i="12" s="1"/>
  <c r="AC3138" i="12" s="1"/>
  <c r="AC3137" i="12" s="1"/>
  <c r="AC3136" i="12" s="1"/>
  <c r="AC3135" i="12" s="1"/>
  <c r="AC3134" i="12" s="1"/>
  <c r="AC3133" i="12" s="1"/>
  <c r="AC3132" i="12" s="1"/>
  <c r="AC3131" i="12" s="1"/>
  <c r="AC3130" i="12" s="1"/>
  <c r="AC3129" i="12" s="1"/>
  <c r="AC3128" i="12" s="1"/>
  <c r="AC3127" i="12" s="1"/>
  <c r="AC3126" i="12" s="1"/>
  <c r="AC3125" i="12" s="1"/>
  <c r="AC3124" i="12" s="1"/>
  <c r="AC3123" i="12" s="1"/>
  <c r="AC3122" i="12" s="1"/>
  <c r="AC3121" i="12" s="1"/>
  <c r="AC3120" i="12" s="1"/>
  <c r="AC3119" i="12" s="1"/>
  <c r="AC3118" i="12" s="1"/>
  <c r="AC3117" i="12" s="1"/>
  <c r="AC3116" i="12" s="1"/>
  <c r="AC3115" i="12" s="1"/>
  <c r="AC3114" i="12" s="1"/>
  <c r="AE2945" i="12"/>
  <c r="AE2944" i="12" s="1"/>
  <c r="AE2943" i="12" s="1"/>
  <c r="AE2942" i="12" s="1"/>
  <c r="AE2941" i="12" s="1"/>
  <c r="AE2940" i="12" s="1"/>
  <c r="AE2939" i="12" s="1"/>
  <c r="AE2938" i="12" s="1"/>
  <c r="AE2937" i="12" s="1"/>
  <c r="AE2936" i="12" s="1"/>
  <c r="AE2935" i="12" s="1"/>
  <c r="AE2934" i="12" s="1"/>
  <c r="AE2933" i="12" s="1"/>
  <c r="AE2932" i="12" s="1"/>
  <c r="AE2931" i="12" s="1"/>
  <c r="AE2930" i="12" s="1"/>
  <c r="AE2929" i="12" s="1"/>
  <c r="AE2928" i="12" s="1"/>
  <c r="AE2927" i="12" s="1"/>
  <c r="AE2926" i="12" s="1"/>
  <c r="AE2925" i="12" s="1"/>
  <c r="AE2924" i="12" s="1"/>
  <c r="AE2923" i="12" s="1"/>
  <c r="AE2922" i="12" s="1"/>
  <c r="AE2921" i="12" s="1"/>
  <c r="AE2920" i="12" s="1"/>
  <c r="AE2919" i="12" s="1"/>
  <c r="AE2918" i="12" s="1"/>
  <c r="AE2917" i="12" s="1"/>
  <c r="AE2916" i="12" s="1"/>
  <c r="AE2915" i="12" s="1"/>
  <c r="AE2914" i="12" s="1"/>
  <c r="AE2913" i="12" s="1"/>
  <c r="AE2912" i="12" s="1"/>
  <c r="AE2911" i="12" s="1"/>
  <c r="AE2910" i="12" s="1"/>
  <c r="AE2909" i="12" s="1"/>
  <c r="AE2908" i="12" s="1"/>
  <c r="AE2907" i="12" s="1"/>
  <c r="AE2906" i="12" s="1"/>
  <c r="AE2905" i="12" s="1"/>
  <c r="AE2904" i="12" s="1"/>
  <c r="AE2903" i="12" s="1"/>
  <c r="AE2902" i="12" s="1"/>
  <c r="AE2901" i="12" s="1"/>
  <c r="AE2900" i="12" s="1"/>
  <c r="AE2899" i="12" s="1"/>
  <c r="AE2898" i="12" s="1"/>
  <c r="AE2897" i="12" s="1"/>
  <c r="AE2896" i="12" s="1"/>
  <c r="AE2895" i="12" s="1"/>
  <c r="AE2894" i="12" s="1"/>
  <c r="AE2893" i="12" s="1"/>
  <c r="AE2892" i="12" s="1"/>
  <c r="AE2891" i="12" s="1"/>
  <c r="AE2890" i="12" s="1"/>
  <c r="AE2889" i="12" s="1"/>
  <c r="AE2888" i="12" s="1"/>
  <c r="AE2887" i="12" s="1"/>
  <c r="AE2886" i="12" s="1"/>
  <c r="AE2885" i="12" s="1"/>
  <c r="AE2884" i="12" s="1"/>
  <c r="AE2883" i="12" s="1"/>
  <c r="AE2882" i="12" s="1"/>
  <c r="AE2881" i="12" s="1"/>
  <c r="AE2880" i="12" s="1"/>
  <c r="AE2879" i="12" s="1"/>
  <c r="AE2878" i="12" s="1"/>
  <c r="AE2877" i="12" s="1"/>
  <c r="AE2876" i="12" s="1"/>
  <c r="AE2875" i="12" s="1"/>
  <c r="AE2874" i="12" s="1"/>
  <c r="AE2873" i="12" s="1"/>
  <c r="AE2872" i="12" s="1"/>
  <c r="AE2871" i="12" s="1"/>
  <c r="AE2870" i="12" s="1"/>
  <c r="AE2869" i="12" s="1"/>
  <c r="AE2868" i="12" s="1"/>
  <c r="AE2867" i="12" s="1"/>
  <c r="AE2866" i="12" s="1"/>
  <c r="AE2865" i="12" s="1"/>
  <c r="AE2864" i="12" s="1"/>
  <c r="AE2863" i="12" s="1"/>
  <c r="AE2862" i="12" s="1"/>
  <c r="AE2861" i="12" s="1"/>
  <c r="AE2860" i="12" s="1"/>
  <c r="AE2859" i="12" s="1"/>
  <c r="AE2858" i="12" s="1"/>
  <c r="AE2857" i="12" s="1"/>
  <c r="AE2856" i="12" s="1"/>
  <c r="AE2855" i="12" s="1"/>
  <c r="AE2854" i="12" s="1"/>
  <c r="AE2853" i="12" s="1"/>
  <c r="AE2852" i="12" s="1"/>
  <c r="AE2851" i="12" s="1"/>
  <c r="AE2850" i="12" s="1"/>
  <c r="AE2849" i="12" s="1"/>
  <c r="AE2848" i="12" s="1"/>
  <c r="AE2847" i="12" s="1"/>
  <c r="AE2846" i="12" s="1"/>
  <c r="AE2845" i="12" s="1"/>
  <c r="AE2844" i="12" s="1"/>
  <c r="AE2843" i="12" s="1"/>
  <c r="AE2842" i="12" s="1"/>
  <c r="AE2841" i="12" s="1"/>
  <c r="AE2840" i="12" s="1"/>
  <c r="AE2839" i="12" s="1"/>
  <c r="AE2838" i="12" s="1"/>
  <c r="AE2837" i="12" s="1"/>
  <c r="AE2836" i="12" s="1"/>
  <c r="AE2835" i="12" s="1"/>
  <c r="AE2834" i="12" s="1"/>
  <c r="AE2833" i="12" s="1"/>
  <c r="AE2832" i="12" s="1"/>
  <c r="AE2831" i="12" s="1"/>
  <c r="AE2830" i="12" s="1"/>
  <c r="AE2829" i="12" s="1"/>
  <c r="AE2828" i="12" s="1"/>
  <c r="AE2827" i="12" s="1"/>
  <c r="AE2826" i="12" s="1"/>
  <c r="AE2825" i="12" s="1"/>
  <c r="AE2824" i="12" s="1"/>
  <c r="AE2823" i="12" s="1"/>
  <c r="AE2822" i="12" s="1"/>
  <c r="AE2821" i="12" s="1"/>
  <c r="AE2820" i="12" s="1"/>
  <c r="AE2819" i="12" s="1"/>
  <c r="AE2818" i="12" s="1"/>
  <c r="AE2817" i="12" s="1"/>
  <c r="AE2816" i="12" s="1"/>
  <c r="AE2815" i="12" s="1"/>
  <c r="AE2814" i="12" s="1"/>
  <c r="AE2813" i="12" s="1"/>
  <c r="AE2812" i="12" s="1"/>
  <c r="AE2811" i="12" s="1"/>
  <c r="AE2810" i="12" s="1"/>
  <c r="AE2809" i="12" s="1"/>
  <c r="AE2808" i="12" s="1"/>
  <c r="AE2807" i="12" s="1"/>
  <c r="AE2806" i="12" s="1"/>
  <c r="AE2805" i="12" s="1"/>
  <c r="AE2804" i="12" s="1"/>
  <c r="AE2803" i="12" s="1"/>
  <c r="AE2802" i="12" s="1"/>
  <c r="AE2801" i="12" s="1"/>
  <c r="AE2800" i="12" s="1"/>
  <c r="AE2799" i="12" s="1"/>
  <c r="AE2798" i="12" s="1"/>
  <c r="AE2797" i="12" s="1"/>
  <c r="AE2796" i="12" s="1"/>
  <c r="AE2795" i="12" s="1"/>
  <c r="AE2794" i="12" s="1"/>
  <c r="AE2793" i="12" s="1"/>
  <c r="AE2792" i="12" s="1"/>
  <c r="AE2791" i="12" s="1"/>
  <c r="AE2790" i="12" s="1"/>
  <c r="AE2789" i="12" s="1"/>
  <c r="AE2788" i="12" s="1"/>
  <c r="AE2787" i="12" s="1"/>
  <c r="AE2786" i="12" s="1"/>
  <c r="AE2785" i="12" s="1"/>
  <c r="AE2784" i="12" s="1"/>
  <c r="AE2783" i="12" s="1"/>
  <c r="AE2782" i="12" s="1"/>
  <c r="AE2781" i="12" s="1"/>
  <c r="AE2780" i="12" s="1"/>
  <c r="AE2779" i="12" s="1"/>
  <c r="AE2778" i="12" s="1"/>
  <c r="AE2777" i="12" s="1"/>
  <c r="AE2776" i="12" s="1"/>
  <c r="AE2775" i="12" s="1"/>
  <c r="AE2774" i="12" s="1"/>
  <c r="AE2773" i="12" s="1"/>
  <c r="AE2772" i="12" s="1"/>
  <c r="AE2771" i="12" s="1"/>
  <c r="AE2770" i="12" s="1"/>
  <c r="AE2769" i="12" s="1"/>
  <c r="AE2768" i="12" s="1"/>
  <c r="AE2767" i="12" s="1"/>
  <c r="AE2766" i="12" s="1"/>
  <c r="AE2765" i="12" s="1"/>
  <c r="AE2764" i="12" s="1"/>
  <c r="AE2763" i="12" s="1"/>
  <c r="AE2762" i="12" s="1"/>
  <c r="AE2761" i="12" s="1"/>
  <c r="AE2760" i="12" s="1"/>
  <c r="AE2759" i="12" s="1"/>
  <c r="AE2758" i="12" s="1"/>
  <c r="AE2757" i="12" s="1"/>
  <c r="AE2756" i="12" s="1"/>
  <c r="AE2755" i="12" s="1"/>
  <c r="AE2754" i="12" s="1"/>
  <c r="AE2753" i="12" s="1"/>
  <c r="AE2752" i="12" s="1"/>
  <c r="AE2751" i="12" s="1"/>
  <c r="AE2750" i="12" s="1"/>
  <c r="AE2749" i="12" s="1"/>
  <c r="AE2748" i="12" s="1"/>
  <c r="AE2747" i="12" s="1"/>
  <c r="AE2746" i="12" s="1"/>
  <c r="AE2745" i="12" s="1"/>
  <c r="AE2744" i="12" s="1"/>
  <c r="AE2743" i="12" s="1"/>
  <c r="AE2742" i="12" s="1"/>
  <c r="AE2741" i="12" s="1"/>
  <c r="AE2740" i="12" s="1"/>
  <c r="AE2739" i="12" s="1"/>
  <c r="AE2738" i="12" s="1"/>
  <c r="AE2737" i="12" s="1"/>
  <c r="AE2736" i="12" s="1"/>
  <c r="AE2735" i="12" s="1"/>
  <c r="AE2734" i="12" s="1"/>
  <c r="AD2964" i="12"/>
  <c r="AD2963" i="12" s="1"/>
  <c r="AD2962" i="12" s="1"/>
  <c r="AD2961" i="12" s="1"/>
  <c r="AD2960" i="12" s="1"/>
  <c r="AD2959" i="12" s="1"/>
  <c r="AD2958" i="12" s="1"/>
  <c r="AD2957" i="12" s="1"/>
  <c r="AD2956" i="12" s="1"/>
  <c r="AD2955" i="12" s="1"/>
  <c r="AD2954" i="12" s="1"/>
  <c r="AD2953" i="12" s="1"/>
  <c r="AD2952" i="12" s="1"/>
  <c r="AD2951" i="12" s="1"/>
  <c r="AD2950" i="12" s="1"/>
  <c r="AD2949" i="12" s="1"/>
  <c r="AD2948" i="12" s="1"/>
  <c r="AD2947" i="12" s="1"/>
  <c r="AD2946" i="12" s="1"/>
  <c r="AC2945" i="12"/>
  <c r="AC2944" i="12" s="1"/>
  <c r="AC2943" i="12" s="1"/>
  <c r="AC2942" i="12" s="1"/>
  <c r="AC2941" i="12" s="1"/>
  <c r="AC2940" i="12" s="1"/>
  <c r="AC2939" i="12" s="1"/>
  <c r="AE3313" i="12"/>
  <c r="AE3312" i="12" s="1"/>
  <c r="AE3311" i="12" s="1"/>
  <c r="AE3310" i="12" s="1"/>
  <c r="AE3309" i="12" s="1"/>
  <c r="AE3308" i="12" s="1"/>
  <c r="AE3307" i="12" s="1"/>
  <c r="AE3306" i="12" s="1"/>
  <c r="AE3305" i="12" s="1"/>
  <c r="AE3304" i="12" s="1"/>
  <c r="AE3303" i="12" s="1"/>
  <c r="AE3302" i="12" s="1"/>
  <c r="AE3301" i="12" s="1"/>
  <c r="AE3300" i="12" s="1"/>
  <c r="AE3299" i="12" s="1"/>
  <c r="AE3298" i="12" s="1"/>
  <c r="AE3297" i="12" s="1"/>
  <c r="AE3296" i="12" s="1"/>
  <c r="AE3295" i="12" s="1"/>
  <c r="AE3294" i="12" s="1"/>
  <c r="AE3293" i="12" s="1"/>
  <c r="AE3292" i="12" s="1"/>
  <c r="AE3291" i="12" s="1"/>
  <c r="AE3290" i="12" s="1"/>
  <c r="AE3289" i="12" s="1"/>
  <c r="AE3288" i="12" s="1"/>
  <c r="AE3287" i="12" s="1"/>
  <c r="AE3286" i="12" s="1"/>
  <c r="AE3285" i="12" s="1"/>
  <c r="AE3284" i="12" s="1"/>
  <c r="AE3283" i="12" s="1"/>
  <c r="AE3282" i="12" s="1"/>
  <c r="AE3281" i="12" s="1"/>
  <c r="AE3280" i="12" s="1"/>
  <c r="AE3279" i="12" s="1"/>
  <c r="AE3278" i="12" s="1"/>
  <c r="AE3277" i="12" s="1"/>
  <c r="AE3276" i="12" s="1"/>
  <c r="AE3275" i="12" s="1"/>
  <c r="AE3274" i="12" s="1"/>
  <c r="AE3273" i="12" s="1"/>
  <c r="AE3272" i="12" s="1"/>
  <c r="AE3271" i="12" s="1"/>
  <c r="AE3270" i="12" s="1"/>
  <c r="AE3269" i="12" s="1"/>
  <c r="AE3268" i="12" s="1"/>
  <c r="AE3267" i="12" s="1"/>
  <c r="AE3266" i="12" s="1"/>
  <c r="AE3265" i="12" s="1"/>
  <c r="AE3264" i="12" s="1"/>
  <c r="AE3263" i="12" s="1"/>
  <c r="AE3262" i="12" s="1"/>
  <c r="AE3261" i="12" s="1"/>
  <c r="AE3260" i="12" s="1"/>
  <c r="AE3259" i="12" s="1"/>
  <c r="AE3258" i="12" s="1"/>
  <c r="AE3257" i="12" s="1"/>
  <c r="AE3256" i="12" s="1"/>
  <c r="AE3255" i="12" s="1"/>
  <c r="AE3254" i="12" s="1"/>
  <c r="AE3253" i="12" s="1"/>
  <c r="AE3252" i="12" s="1"/>
  <c r="AE3251" i="12" s="1"/>
  <c r="AE3250" i="12" s="1"/>
  <c r="AE3249" i="12" s="1"/>
  <c r="AE3248" i="12" s="1"/>
  <c r="AE3247" i="12" s="1"/>
  <c r="AE3246" i="12" s="1"/>
  <c r="AE3245" i="12" s="1"/>
  <c r="AE3244" i="12" s="1"/>
  <c r="AE3243" i="12" s="1"/>
  <c r="AE3242" i="12" s="1"/>
  <c r="AE3241" i="12" s="1"/>
  <c r="AE3240" i="12" s="1"/>
  <c r="AE3239" i="12" s="1"/>
  <c r="AE3238" i="12" s="1"/>
  <c r="AE3237" i="12" s="1"/>
  <c r="AE3236" i="12" s="1"/>
  <c r="AE3235" i="12" s="1"/>
  <c r="AE3234" i="12" s="1"/>
  <c r="AE3233" i="12" s="1"/>
  <c r="AE3232" i="12" s="1"/>
  <c r="AE3231" i="12" s="1"/>
  <c r="AE3230" i="12" s="1"/>
  <c r="AE3229" i="12" s="1"/>
  <c r="AE3228" i="12" s="1"/>
  <c r="AE3227" i="12" s="1"/>
  <c r="AE3226" i="12" s="1"/>
  <c r="AE3225" i="12" s="1"/>
  <c r="AE3224" i="12" s="1"/>
  <c r="AE3223" i="12" s="1"/>
  <c r="AE3222" i="12" s="1"/>
  <c r="AE3221" i="12" s="1"/>
  <c r="AE3220" i="12" s="1"/>
  <c r="AE3219" i="12" s="1"/>
  <c r="AE3218" i="12" s="1"/>
  <c r="AE3217" i="12" s="1"/>
  <c r="AE3216" i="12" s="1"/>
  <c r="AE3215" i="12" s="1"/>
  <c r="AE3214" i="12" s="1"/>
  <c r="AE3213" i="12" s="1"/>
  <c r="AE3212" i="12" s="1"/>
  <c r="AE3211" i="12" s="1"/>
  <c r="AE3210" i="12" s="1"/>
  <c r="AE3209" i="12" s="1"/>
  <c r="AE3208" i="12" s="1"/>
  <c r="AE3207" i="12" s="1"/>
  <c r="AE3206" i="12" s="1"/>
  <c r="AE3205" i="12" s="1"/>
  <c r="AE3204" i="12" s="1"/>
  <c r="AE3203" i="12" s="1"/>
  <c r="AE3202" i="12" s="1"/>
  <c r="AE3201" i="12" s="1"/>
  <c r="AE3200" i="12" s="1"/>
  <c r="AE3199" i="12" s="1"/>
  <c r="AE3198" i="12" s="1"/>
  <c r="AE3197" i="12" s="1"/>
  <c r="AE3196" i="12" s="1"/>
  <c r="AE3195" i="12" s="1"/>
  <c r="AE3194" i="12" s="1"/>
  <c r="AE3193" i="12" s="1"/>
  <c r="AE3192" i="12" s="1"/>
  <c r="AE3191" i="12" s="1"/>
  <c r="AE3190" i="12" s="1"/>
  <c r="AE3189" i="12" s="1"/>
  <c r="AE3188" i="12" s="1"/>
  <c r="AE3187" i="12" s="1"/>
  <c r="AE3186" i="12" s="1"/>
  <c r="AE3185" i="12" s="1"/>
  <c r="AE3184" i="12" s="1"/>
  <c r="AE3183" i="12" s="1"/>
  <c r="AE3182" i="12" s="1"/>
  <c r="AE3181" i="12" s="1"/>
  <c r="AE3180" i="12" s="1"/>
  <c r="AE3179" i="12" s="1"/>
  <c r="AE3178" i="12" s="1"/>
  <c r="AE3177" i="12" s="1"/>
  <c r="AE3176" i="12" s="1"/>
  <c r="AE3175" i="12" s="1"/>
  <c r="AE3174" i="12" s="1"/>
  <c r="AE3173" i="12" s="1"/>
  <c r="AE3172" i="12" s="1"/>
  <c r="AE3171" i="12" s="1"/>
  <c r="AE3170" i="12" s="1"/>
  <c r="AE3169" i="12" s="1"/>
  <c r="AE3168" i="12" s="1"/>
  <c r="AE3167" i="12" s="1"/>
  <c r="AE3166" i="12" s="1"/>
  <c r="AE3165" i="12" s="1"/>
  <c r="AE3164" i="12" s="1"/>
  <c r="AE3163" i="12" s="1"/>
  <c r="AE3162" i="12" s="1"/>
  <c r="AE3161" i="12" s="1"/>
  <c r="AE3160" i="12" s="1"/>
  <c r="AE3159" i="12" s="1"/>
  <c r="AE3158" i="12" s="1"/>
  <c r="AE3157" i="12" s="1"/>
  <c r="AE3156" i="12" s="1"/>
  <c r="AE3155" i="12" s="1"/>
  <c r="AE3154" i="12" s="1"/>
  <c r="AE3153" i="12" s="1"/>
  <c r="AE3152" i="12" s="1"/>
  <c r="AE3151" i="12" s="1"/>
  <c r="AE3150" i="12" s="1"/>
  <c r="AE3149" i="12" s="1"/>
  <c r="AE3148" i="12" s="1"/>
  <c r="AE3147" i="12" s="1"/>
  <c r="AE3146" i="12" s="1"/>
  <c r="AE3145" i="12" s="1"/>
  <c r="AE3144" i="12" s="1"/>
  <c r="AE3143" i="12" s="1"/>
  <c r="AE3142" i="12" s="1"/>
  <c r="AE3141" i="12" s="1"/>
  <c r="AE3140" i="12" s="1"/>
  <c r="AE3139" i="12" s="1"/>
  <c r="AE3138" i="12" s="1"/>
  <c r="AE3137" i="12" s="1"/>
  <c r="AE3136" i="12" s="1"/>
  <c r="AE3135" i="12" s="1"/>
  <c r="AE3134" i="12" s="1"/>
  <c r="AE3133" i="12" s="1"/>
  <c r="AE3132" i="12" s="1"/>
  <c r="AE3131" i="12" s="1"/>
  <c r="AE3130" i="12" s="1"/>
  <c r="AE3129" i="12" s="1"/>
  <c r="AE3128" i="12" s="1"/>
  <c r="AE3127" i="12" s="1"/>
  <c r="AE3126" i="12" s="1"/>
  <c r="AE3125" i="12" s="1"/>
  <c r="AE3124" i="12" s="1"/>
  <c r="AE3123" i="12" s="1"/>
  <c r="AE3122" i="12" s="1"/>
  <c r="AE3121" i="12" s="1"/>
  <c r="AE3120" i="12" s="1"/>
  <c r="AE3119" i="12" s="1"/>
  <c r="AE3118" i="12" s="1"/>
  <c r="AE3117" i="12" s="1"/>
  <c r="AE3116" i="12" s="1"/>
  <c r="AE3115" i="12" s="1"/>
  <c r="AE3114" i="12" s="1"/>
  <c r="L972" i="12"/>
  <c r="L1042" i="12"/>
  <c r="L1446" i="12"/>
  <c r="L2814" i="12"/>
  <c r="L1751" i="12"/>
  <c r="L519" i="12"/>
  <c r="L2064" i="12"/>
  <c r="L225" i="12"/>
  <c r="L1521" i="12"/>
  <c r="L2089" i="12"/>
  <c r="L2641" i="12"/>
  <c r="L653" i="12"/>
  <c r="L1234" i="12"/>
  <c r="L1674" i="12"/>
  <c r="L2082" i="12"/>
  <c r="L2498" i="12"/>
  <c r="L2898" i="12"/>
  <c r="L874" i="12"/>
  <c r="L1291" i="12"/>
  <c r="L1699" i="12"/>
  <c r="L2059" i="12"/>
  <c r="L2395" i="12"/>
  <c r="L2731" i="12"/>
  <c r="L369" i="12"/>
  <c r="L997" i="12"/>
  <c r="L1333" i="12"/>
  <c r="L1685" i="12"/>
  <c r="L2021" i="12"/>
  <c r="L2357" i="12"/>
  <c r="L2709" i="12"/>
  <c r="L932" i="12"/>
  <c r="L3074" i="12"/>
  <c r="L3003" i="12"/>
  <c r="L2420" i="12"/>
  <c r="L1724" i="12"/>
  <c r="L1156" i="12"/>
  <c r="L3102" i="12"/>
  <c r="L2828" i="12"/>
  <c r="L2140" i="12"/>
  <c r="L1108" i="12"/>
  <c r="L1415" i="12"/>
  <c r="L1953" i="12"/>
  <c r="L2386" i="12"/>
  <c r="L2315" i="12"/>
  <c r="L1941" i="12"/>
  <c r="L1780" i="12"/>
  <c r="L2516" i="12"/>
  <c r="L1670" i="12"/>
  <c r="L153" i="12"/>
  <c r="L1983" i="12"/>
  <c r="L920" i="12"/>
  <c r="L2280" i="12"/>
  <c r="L757" i="12"/>
  <c r="L1641" i="12"/>
  <c r="L2185" i="12"/>
  <c r="L2721" i="12"/>
  <c r="L841" i="12"/>
  <c r="L1290" i="12"/>
  <c r="L1706" i="12"/>
  <c r="L2122" i="12"/>
  <c r="L2530" i="12"/>
  <c r="L2946" i="12"/>
  <c r="L915" i="12"/>
  <c r="L1323" i="12"/>
  <c r="L1739" i="12"/>
  <c r="L2083" i="12"/>
  <c r="L2435" i="12"/>
  <c r="L2771" i="12"/>
  <c r="L465" i="12"/>
  <c r="L1037" i="12"/>
  <c r="L1373" i="12"/>
  <c r="L1709" i="12"/>
  <c r="L2061" i="12"/>
  <c r="L2397" i="12"/>
  <c r="L2733" i="12"/>
  <c r="L1252" i="12"/>
  <c r="L3" i="12"/>
  <c r="L3027" i="12"/>
  <c r="L2740" i="12"/>
  <c r="L2044" i="12"/>
  <c r="L1348" i="12"/>
  <c r="L721" i="12"/>
  <c r="L3015" i="12"/>
  <c r="L2588" i="12"/>
  <c r="L1172" i="12"/>
  <c r="L1313" i="12"/>
  <c r="L1986" i="12"/>
  <c r="L1603" i="12"/>
  <c r="L1253" i="12"/>
  <c r="L2980" i="12"/>
  <c r="L2060" i="12"/>
  <c r="L299" i="12"/>
  <c r="L1790" i="12"/>
  <c r="L581" i="12"/>
  <c r="L2103" i="12"/>
  <c r="L1040" i="12"/>
  <c r="L2376" i="12"/>
  <c r="L871" i="12"/>
  <c r="L1689" i="12"/>
  <c r="L2249" i="12"/>
  <c r="L2777" i="12"/>
  <c r="L882" i="12"/>
  <c r="L1362" i="12"/>
  <c r="L1770" i="12"/>
  <c r="L2186" i="12"/>
  <c r="L2594" i="12"/>
  <c r="L41" i="12"/>
  <c r="L979" i="12"/>
  <c r="L1387" i="12"/>
  <c r="L1803" i="12"/>
  <c r="L2139" i="12"/>
  <c r="L2475" i="12"/>
  <c r="L2827" i="12"/>
  <c r="L617" i="12"/>
  <c r="L1077" i="12"/>
  <c r="L1429" i="12"/>
  <c r="L1765" i="12"/>
  <c r="L2101" i="12"/>
  <c r="L2453" i="12"/>
  <c r="L2789" i="12"/>
  <c r="L1572" i="12"/>
  <c r="L1004" i="12"/>
  <c r="L3083" i="12"/>
  <c r="L3004" i="12"/>
  <c r="L2492" i="12"/>
  <c r="L1796" i="12"/>
  <c r="L3055" i="12"/>
  <c r="L2780" i="12"/>
  <c r="L3088" i="12"/>
  <c r="L2775" i="12"/>
  <c r="L1106" i="12"/>
  <c r="L1187" i="12"/>
  <c r="L917" i="12"/>
  <c r="L2965" i="12"/>
  <c r="L3093" i="12"/>
  <c r="L828" i="12"/>
  <c r="L2006" i="12"/>
  <c r="L959" i="12"/>
  <c r="L2319" i="12"/>
  <c r="L1256" i="12"/>
  <c r="L2528" i="12"/>
  <c r="L1001" i="12"/>
  <c r="L1769" i="12"/>
  <c r="L2329" i="12"/>
  <c r="L2857" i="12"/>
  <c r="L978" i="12"/>
  <c r="L1410" i="12"/>
  <c r="L1810" i="12"/>
  <c r="L2218" i="12"/>
  <c r="L2634" i="12"/>
  <c r="L169" i="12"/>
  <c r="L1027" i="12"/>
  <c r="L1427" i="12"/>
  <c r="L1827" i="12"/>
  <c r="L2179" i="12"/>
  <c r="L2515" i="12"/>
  <c r="L2851" i="12"/>
  <c r="L725" i="12"/>
  <c r="L1117" i="12"/>
  <c r="L1453" i="12"/>
  <c r="L1805" i="12"/>
  <c r="L2141" i="12"/>
  <c r="L2477" i="12"/>
  <c r="L2829" i="12"/>
  <c r="L1892" i="12"/>
  <c r="L1196" i="12"/>
  <c r="L487" i="12"/>
  <c r="L3044" i="12"/>
  <c r="L2684" i="12"/>
  <c r="L2116" i="12"/>
  <c r="L1100" i="12"/>
  <c r="L3111" i="12"/>
  <c r="L3025" i="12"/>
  <c r="L2772" i="12"/>
  <c r="L1728" i="12"/>
  <c r="L199" i="12"/>
  <c r="L719" i="12"/>
  <c r="L2987" i="12"/>
  <c r="L2613" i="12"/>
  <c r="L3022" i="12"/>
  <c r="L453" i="12"/>
  <c r="L2126" i="12"/>
  <c r="L1079" i="12"/>
  <c r="L2439" i="12"/>
  <c r="L1376" i="12"/>
  <c r="L2624" i="12"/>
  <c r="L1097" i="12"/>
  <c r="L1825" i="12"/>
  <c r="L2377" i="12"/>
  <c r="L2921" i="12"/>
  <c r="L1034" i="12"/>
  <c r="L1474" i="12"/>
  <c r="L1874" i="12"/>
  <c r="L2282" i="12"/>
  <c r="L2698" i="12"/>
  <c r="L425" i="12"/>
  <c r="L1091" i="12"/>
  <c r="L1491" i="12"/>
  <c r="L1883" i="12"/>
  <c r="L2219" i="12"/>
  <c r="L2571" i="12"/>
  <c r="L2907" i="12"/>
  <c r="L802" i="12"/>
  <c r="L1173" i="12"/>
  <c r="L1509" i="12"/>
  <c r="L1845" i="12"/>
  <c r="L2197" i="12"/>
  <c r="L2533" i="12"/>
  <c r="L2869" i="12"/>
  <c r="L2340" i="12"/>
  <c r="L1644" i="12"/>
  <c r="L1012" i="12"/>
  <c r="L3100" i="12"/>
  <c r="L3013" i="12"/>
  <c r="L2436" i="12"/>
  <c r="L1420" i="12"/>
  <c r="L593" i="12"/>
  <c r="L3065" i="12"/>
  <c r="L1812" i="12"/>
  <c r="L528" i="12"/>
  <c r="L2832" i="12"/>
  <c r="L1570" i="12"/>
  <c r="L1963" i="12"/>
  <c r="L1589" i="12"/>
  <c r="L2284" i="12"/>
  <c r="L1500" i="12"/>
  <c r="L24" i="12"/>
  <c r="L2358" i="12"/>
  <c r="L1295" i="12"/>
  <c r="L2655" i="12"/>
  <c r="L1608" i="12"/>
  <c r="L2752" i="12"/>
  <c r="L1233" i="12"/>
  <c r="L1905" i="12"/>
  <c r="L2457" i="12"/>
  <c r="L71" i="12"/>
  <c r="L1506" i="12"/>
  <c r="L1922" i="12"/>
  <c r="L2322" i="12"/>
  <c r="L2730" i="12"/>
  <c r="L549" i="12"/>
  <c r="L1123" i="12"/>
  <c r="L1539" i="12"/>
  <c r="L1923" i="12"/>
  <c r="L2259" i="12"/>
  <c r="L2595" i="12"/>
  <c r="L2947" i="12"/>
  <c r="L855" i="12"/>
  <c r="L1197" i="12"/>
  <c r="L1549" i="12"/>
  <c r="L1885" i="12"/>
  <c r="L2221" i="12"/>
  <c r="L2573" i="12"/>
  <c r="L2909" i="12"/>
  <c r="L2532" i="12"/>
  <c r="L1964" i="12"/>
  <c r="L1332" i="12"/>
  <c r="L271" i="12"/>
  <c r="L3053" i="12"/>
  <c r="L2756" i="12"/>
  <c r="L1868" i="12"/>
  <c r="L1180" i="12"/>
  <c r="L3105" i="12"/>
  <c r="L1940" i="12"/>
  <c r="L2478" i="12"/>
  <c r="L2513" i="12"/>
  <c r="L2794" i="12"/>
  <c r="L2651" i="12"/>
  <c r="L2277" i="12"/>
  <c r="L1084" i="12"/>
  <c r="L3056" i="12"/>
  <c r="L1126" i="12"/>
  <c r="L2694" i="12"/>
  <c r="L1631" i="12"/>
  <c r="L63" i="12"/>
  <c r="L1944" i="12"/>
  <c r="L2968" i="12"/>
  <c r="L1481" i="12"/>
  <c r="L2033" i="12"/>
  <c r="L2593" i="12"/>
  <c r="L545" i="12"/>
  <c r="L1138" i="12"/>
  <c r="L1610" i="12"/>
  <c r="L2018" i="12"/>
  <c r="L2434" i="12"/>
  <c r="L2834" i="12"/>
  <c r="L786" i="12"/>
  <c r="L1227" i="12"/>
  <c r="L1635" i="12"/>
  <c r="L2003" i="12"/>
  <c r="L2339" i="12"/>
  <c r="L2691" i="12"/>
  <c r="L145" i="12"/>
  <c r="L941" i="12"/>
  <c r="L1293" i="12"/>
  <c r="L1629" i="12"/>
  <c r="L1965" i="12"/>
  <c r="L2317" i="12"/>
  <c r="L2653" i="12"/>
  <c r="L2989" i="12"/>
  <c r="L3034" i="12"/>
  <c r="L2604" i="12"/>
  <c r="L1972" i="12"/>
  <c r="L1404" i="12"/>
  <c r="L529" i="12"/>
  <c r="L3046" i="12"/>
  <c r="L2508" i="12"/>
  <c r="L1820" i="12"/>
  <c r="L3008" i="12"/>
  <c r="L3112" i="12"/>
  <c r="L346" i="12"/>
  <c r="L363" i="12"/>
  <c r="L244" i="12"/>
  <c r="L636" i="12"/>
  <c r="L141" i="12"/>
  <c r="L461" i="12"/>
  <c r="L310" i="12"/>
  <c r="L694" i="12"/>
  <c r="L216" i="12"/>
  <c r="L536" i="12"/>
  <c r="L183" i="12"/>
  <c r="L934" i="12"/>
  <c r="L1254" i="12"/>
  <c r="L1454" i="12"/>
  <c r="L1542" i="12"/>
  <c r="L1622" i="12"/>
  <c r="L1718" i="12"/>
  <c r="L1798" i="12"/>
  <c r="L1878" i="12"/>
  <c r="L1974" i="12"/>
  <c r="L2054" i="12"/>
  <c r="L2134" i="12"/>
  <c r="L2230" i="12"/>
  <c r="L2310" i="12"/>
  <c r="L2390" i="12"/>
  <c r="L2486" i="12"/>
  <c r="L2566" i="12"/>
  <c r="L2646" i="12"/>
  <c r="L2742" i="12"/>
  <c r="L2822" i="12"/>
  <c r="L2902" i="12"/>
  <c r="L25" i="12"/>
  <c r="L345" i="12"/>
  <c r="L601" i="12"/>
  <c r="L815" i="12"/>
  <c r="L911" i="12"/>
  <c r="L991" i="12"/>
  <c r="L1087" i="12"/>
  <c r="L1167" i="12"/>
  <c r="L1247" i="12"/>
  <c r="L1343" i="12"/>
  <c r="L1423" i="12"/>
  <c r="L1503" i="12"/>
  <c r="L1599" i="12"/>
  <c r="L1679" i="12"/>
  <c r="L1759" i="12"/>
  <c r="L1855" i="12"/>
  <c r="L1935" i="12"/>
  <c r="L2015" i="12"/>
  <c r="L2111" i="12"/>
  <c r="L2191" i="12"/>
  <c r="L2271" i="12"/>
  <c r="L2367" i="12"/>
  <c r="L2447" i="12"/>
  <c r="L2527" i="12"/>
  <c r="L2623" i="12"/>
  <c r="L2703" i="12"/>
  <c r="L2783" i="12"/>
  <c r="L2879" i="12"/>
  <c r="L2959" i="12"/>
  <c r="L191" i="12"/>
  <c r="L541" i="12"/>
  <c r="L753" i="12"/>
  <c r="L870" i="12"/>
  <c r="L968" i="12"/>
  <c r="L1048" i="12"/>
  <c r="L1128" i="12"/>
  <c r="L1224" i="12"/>
  <c r="L1304" i="12"/>
  <c r="L1384" i="12"/>
  <c r="L1480" i="12"/>
  <c r="L1560" i="12"/>
  <c r="L1640" i="12"/>
  <c r="L1736" i="12"/>
  <c r="L1816" i="12"/>
  <c r="L1896" i="12"/>
  <c r="L1992" i="12"/>
  <c r="L2072" i="12"/>
  <c r="L2152" i="12"/>
  <c r="L2248" i="12"/>
  <c r="L2328" i="12"/>
  <c r="L2408" i="12"/>
  <c r="L2504" i="12"/>
  <c r="L2584" i="12"/>
  <c r="L2664" i="12"/>
  <c r="L2760" i="12"/>
  <c r="L2840" i="12"/>
  <c r="L2920" i="12"/>
  <c r="L97" i="12"/>
  <c r="L417" i="12"/>
  <c r="L649" i="12"/>
  <c r="L839" i="12"/>
  <c r="L929" i="12"/>
  <c r="L1009" i="12"/>
  <c r="L1105" i="12"/>
  <c r="L1185" i="12"/>
  <c r="L1265" i="12"/>
  <c r="L1361" i="12"/>
  <c r="L1441" i="12"/>
  <c r="L538" i="12"/>
  <c r="L427" i="12"/>
  <c r="L308" i="12"/>
  <c r="L756" i="12"/>
  <c r="L197" i="12"/>
  <c r="L46" i="12"/>
  <c r="L430" i="12"/>
  <c r="L750" i="12"/>
  <c r="L272" i="12"/>
  <c r="L656" i="12"/>
  <c r="L407" i="12"/>
  <c r="L990" i="12"/>
  <c r="L1318" i="12"/>
  <c r="L1470" i="12"/>
  <c r="L1550" i="12"/>
  <c r="L1646" i="12"/>
  <c r="L1726" i="12"/>
  <c r="L1806" i="12"/>
  <c r="L1902" i="12"/>
  <c r="L1982" i="12"/>
  <c r="L2062" i="12"/>
  <c r="L2158" i="12"/>
  <c r="L2238" i="12"/>
  <c r="L2318" i="12"/>
  <c r="L2414" i="12"/>
  <c r="L2494" i="12"/>
  <c r="L2574" i="12"/>
  <c r="L2670" i="12"/>
  <c r="L2750" i="12"/>
  <c r="L2830" i="12"/>
  <c r="L2926" i="12"/>
  <c r="L57" i="12"/>
  <c r="L377" i="12"/>
  <c r="L665" i="12"/>
  <c r="L826" i="12"/>
  <c r="L919" i="12"/>
  <c r="L1015" i="12"/>
  <c r="L1095" i="12"/>
  <c r="L1175" i="12"/>
  <c r="L1271" i="12"/>
  <c r="L1351" i="12"/>
  <c r="L1431" i="12"/>
  <c r="L1527" i="12"/>
  <c r="L1607" i="12"/>
  <c r="L1687" i="12"/>
  <c r="L1783" i="12"/>
  <c r="L1863" i="12"/>
  <c r="L1943" i="12"/>
  <c r="L2039" i="12"/>
  <c r="L2119" i="12"/>
  <c r="L2199" i="12"/>
  <c r="L2295" i="12"/>
  <c r="L2375" i="12"/>
  <c r="L2455" i="12"/>
  <c r="L2551" i="12"/>
  <c r="L2631" i="12"/>
  <c r="L2711" i="12"/>
  <c r="L2807" i="12"/>
  <c r="L2887" i="12"/>
  <c r="L2967" i="12"/>
  <c r="L287" i="12"/>
  <c r="L561" i="12"/>
  <c r="L769" i="12"/>
  <c r="L896" i="12"/>
  <c r="L976" i="12"/>
  <c r="L1056" i="12"/>
  <c r="L1152" i="12"/>
  <c r="L1232" i="12"/>
  <c r="L1312" i="12"/>
  <c r="L1408" i="12"/>
  <c r="L1488" i="12"/>
  <c r="L1568" i="12"/>
  <c r="L1664" i="12"/>
  <c r="L1744" i="12"/>
  <c r="L1824" i="12"/>
  <c r="L1920" i="12"/>
  <c r="L2000" i="12"/>
  <c r="L2080" i="12"/>
  <c r="L2176" i="12"/>
  <c r="L2256" i="12"/>
  <c r="L2336" i="12"/>
  <c r="L2432" i="12"/>
  <c r="L2512" i="12"/>
  <c r="L2592" i="12"/>
  <c r="L2688" i="12"/>
  <c r="L2768" i="12"/>
  <c r="L2848" i="12"/>
  <c r="L2944" i="12"/>
  <c r="L129" i="12"/>
  <c r="L449" i="12"/>
  <c r="L713" i="12"/>
  <c r="L850" i="12"/>
  <c r="L937" i="12"/>
  <c r="L1033" i="12"/>
  <c r="L1113" i="12"/>
  <c r="L1193" i="12"/>
  <c r="L1289" i="12"/>
  <c r="L1369" i="12"/>
  <c r="L1449" i="12"/>
  <c r="L1545" i="12"/>
  <c r="L1625" i="12"/>
  <c r="L1705" i="12"/>
  <c r="L1801" i="12"/>
  <c r="L1881" i="12"/>
  <c r="L1961" i="12"/>
  <c r="L2057" i="12"/>
  <c r="L2137" i="12"/>
  <c r="L2217" i="12"/>
  <c r="L2313" i="12"/>
  <c r="L2393" i="12"/>
  <c r="L2473" i="12"/>
  <c r="L2569" i="12"/>
  <c r="L2649" i="12"/>
  <c r="L2729" i="12"/>
  <c r="L2825" i="12"/>
  <c r="L2905" i="12"/>
  <c r="L2985" i="12"/>
  <c r="L327" i="12"/>
  <c r="L589" i="12"/>
  <c r="L785" i="12"/>
  <c r="L906" i="12"/>
  <c r="L986" i="12"/>
  <c r="L1066" i="12"/>
  <c r="L1162" i="12"/>
  <c r="L1242" i="12"/>
  <c r="L1322" i="12"/>
  <c r="L1394" i="12"/>
  <c r="L1458" i="12"/>
  <c r="L1522" i="12"/>
  <c r="L1586" i="12"/>
  <c r="L1650" i="12"/>
  <c r="L1714" i="12"/>
  <c r="L1778" i="12"/>
  <c r="L1842" i="12"/>
  <c r="L1906" i="12"/>
  <c r="L1970" i="12"/>
  <c r="L2034" i="12"/>
  <c r="L2098" i="12"/>
  <c r="L2162" i="12"/>
  <c r="L2226" i="12"/>
  <c r="L2290" i="12"/>
  <c r="L2354" i="12"/>
  <c r="L2418" i="12"/>
  <c r="L2482" i="12"/>
  <c r="L2546" i="12"/>
  <c r="L2610" i="12"/>
  <c r="L2674" i="12"/>
  <c r="L2738" i="12"/>
  <c r="L2802" i="12"/>
  <c r="L2866" i="12"/>
  <c r="L2930" i="12"/>
  <c r="L2994" i="12"/>
  <c r="L233" i="12"/>
  <c r="L485" i="12"/>
  <c r="L655" i="12"/>
  <c r="L799" i="12"/>
  <c r="L883" i="12"/>
  <c r="L947" i="12"/>
  <c r="L1011" i="12"/>
  <c r="L1075" i="12"/>
  <c r="L1139" i="12"/>
  <c r="L1203" i="12"/>
  <c r="L1267" i="12"/>
  <c r="L1331" i="12"/>
  <c r="L1395" i="12"/>
  <c r="L1459" i="12"/>
  <c r="L1523" i="12"/>
  <c r="L1587" i="12"/>
  <c r="L1651" i="12"/>
  <c r="L1715" i="12"/>
  <c r="L1779" i="12"/>
  <c r="L1843" i="12"/>
  <c r="L1907" i="12"/>
  <c r="L1971" i="12"/>
  <c r="L2035" i="12"/>
  <c r="L2099" i="12"/>
  <c r="L2163" i="12"/>
  <c r="L2227" i="12"/>
  <c r="L2291" i="12"/>
  <c r="L2355" i="12"/>
  <c r="L2419" i="12"/>
  <c r="L2483" i="12"/>
  <c r="L2547" i="12"/>
  <c r="L2611" i="12"/>
  <c r="L2675" i="12"/>
  <c r="L2739" i="12"/>
  <c r="L2803" i="12"/>
  <c r="L2867" i="12"/>
  <c r="L2931" i="12"/>
  <c r="L17" i="12"/>
  <c r="L273" i="12"/>
  <c r="L511" i="12"/>
  <c r="L681" i="12"/>
  <c r="L813" i="12"/>
  <c r="L893" i="12"/>
  <c r="L957" i="12"/>
  <c r="L1021" i="12"/>
  <c r="L1085" i="12"/>
  <c r="L1149" i="12"/>
  <c r="L1213" i="12"/>
  <c r="L1277" i="12"/>
  <c r="L1341" i="12"/>
  <c r="L1405" i="12"/>
  <c r="L1469" i="12"/>
  <c r="L1533" i="12"/>
  <c r="L1597" i="12"/>
  <c r="L1661" i="12"/>
  <c r="L1725" i="12"/>
  <c r="L1789" i="12"/>
  <c r="L1853" i="12"/>
  <c r="L1917" i="12"/>
  <c r="L1981" i="12"/>
  <c r="L2045" i="12"/>
  <c r="L2109" i="12"/>
  <c r="L2173" i="12"/>
  <c r="L2237" i="12"/>
  <c r="L2301" i="12"/>
  <c r="L2365" i="12"/>
  <c r="L2429" i="12"/>
  <c r="L2493" i="12"/>
  <c r="L2557" i="12"/>
  <c r="L2621" i="12"/>
  <c r="L2685" i="12"/>
  <c r="L2749" i="12"/>
  <c r="L2813" i="12"/>
  <c r="L2877" i="12"/>
  <c r="L2941" i="12"/>
  <c r="L175" i="12"/>
  <c r="L1124" i="12"/>
  <c r="L1636" i="12"/>
  <c r="L2148" i="12"/>
  <c r="L2660" i="12"/>
  <c r="L3018" i="12"/>
  <c r="L3082" i="12"/>
  <c r="L787" i="12"/>
  <c r="L1324" i="12"/>
  <c r="L1836" i="12"/>
  <c r="L2348" i="12"/>
  <c r="L2860" i="12"/>
  <c r="L3043" i="12"/>
  <c r="L3107" i="12"/>
  <c r="L1076" i="12"/>
  <c r="L1588" i="12"/>
  <c r="L2100" i="12"/>
  <c r="L2612" i="12"/>
  <c r="L3012" i="12"/>
  <c r="L3076" i="12"/>
  <c r="L679" i="12"/>
  <c r="L1276" i="12"/>
  <c r="L1788" i="12"/>
  <c r="L2300" i="12"/>
  <c r="L2812" i="12"/>
  <c r="L3037" i="12"/>
  <c r="L3101" i="12"/>
  <c r="L964" i="12"/>
  <c r="L1476" i="12"/>
  <c r="L1988" i="12"/>
  <c r="L2500" i="12"/>
  <c r="L2998" i="12"/>
  <c r="L3062" i="12"/>
  <c r="L335" i="12"/>
  <c r="L1164" i="12"/>
  <c r="L1676" i="12"/>
  <c r="L2188" i="12"/>
  <c r="L2700" i="12"/>
  <c r="L3023" i="12"/>
  <c r="L3087" i="12"/>
  <c r="L854" i="12"/>
  <c r="L1372" i="12"/>
  <c r="L1884" i="12"/>
  <c r="L2396" i="12"/>
  <c r="L2908" i="12"/>
  <c r="L3049" i="12"/>
  <c r="L3113" i="12"/>
  <c r="L1556" i="12"/>
  <c r="L2132" i="12"/>
  <c r="L2708" i="12"/>
  <c r="L3032" i="12"/>
  <c r="L3104" i="12"/>
  <c r="L2388" i="12"/>
  <c r="L602" i="12"/>
  <c r="L491" i="12"/>
  <c r="L372" i="12"/>
  <c r="L764" i="12"/>
  <c r="L205" i="12"/>
  <c r="L54" i="12"/>
  <c r="L438" i="12"/>
  <c r="L758" i="12"/>
  <c r="L280" i="12"/>
  <c r="L664" i="12"/>
  <c r="L439" i="12"/>
  <c r="L998" i="12"/>
  <c r="L1342" i="12"/>
  <c r="L1478" i="12"/>
  <c r="L1558" i="12"/>
  <c r="L1654" i="12"/>
  <c r="L1734" i="12"/>
  <c r="L1814" i="12"/>
  <c r="L1910" i="12"/>
  <c r="L1990" i="12"/>
  <c r="L2070" i="12"/>
  <c r="L2166" i="12"/>
  <c r="L2246" i="12"/>
  <c r="L2326" i="12"/>
  <c r="L2422" i="12"/>
  <c r="L2502" i="12"/>
  <c r="L2582" i="12"/>
  <c r="L2678" i="12"/>
  <c r="L2758" i="12"/>
  <c r="L2838" i="12"/>
  <c r="L2934" i="12"/>
  <c r="L89" i="12"/>
  <c r="L409" i="12"/>
  <c r="L687" i="12"/>
  <c r="L837" i="12"/>
  <c r="L927" i="12"/>
  <c r="L1023" i="12"/>
  <c r="L1103" i="12"/>
  <c r="L1183" i="12"/>
  <c r="L1279" i="12"/>
  <c r="L1359" i="12"/>
  <c r="L1439" i="12"/>
  <c r="L1535" i="12"/>
  <c r="L1615" i="12"/>
  <c r="L1695" i="12"/>
  <c r="L1791" i="12"/>
  <c r="L1871" i="12"/>
  <c r="L1951" i="12"/>
  <c r="L2047" i="12"/>
  <c r="L2127" i="12"/>
  <c r="L2207" i="12"/>
  <c r="L2303" i="12"/>
  <c r="L2383" i="12"/>
  <c r="L2463" i="12"/>
  <c r="L2559" i="12"/>
  <c r="L2639" i="12"/>
  <c r="L2719" i="12"/>
  <c r="L2815" i="12"/>
  <c r="L2895" i="12"/>
  <c r="L2975" i="12"/>
  <c r="L319" i="12"/>
  <c r="L583" i="12"/>
  <c r="L781" i="12"/>
  <c r="L904" i="12"/>
  <c r="L984" i="12"/>
  <c r="L1064" i="12"/>
  <c r="L1160" i="12"/>
  <c r="L1240" i="12"/>
  <c r="L1320" i="12"/>
  <c r="L1416" i="12"/>
  <c r="L1496" i="12"/>
  <c r="L1576" i="12"/>
  <c r="L1672" i="12"/>
  <c r="L1752" i="12"/>
  <c r="L1832" i="12"/>
  <c r="L1928" i="12"/>
  <c r="L2008" i="12"/>
  <c r="L2088" i="12"/>
  <c r="L2184" i="12"/>
  <c r="L2264" i="12"/>
  <c r="L2344" i="12"/>
  <c r="L2440" i="12"/>
  <c r="L2520" i="12"/>
  <c r="L2600" i="12"/>
  <c r="L2696" i="12"/>
  <c r="L2776" i="12"/>
  <c r="L2856" i="12"/>
  <c r="L2952" i="12"/>
  <c r="L161" i="12"/>
  <c r="L479" i="12"/>
  <c r="L735" i="12"/>
  <c r="L861" i="12"/>
  <c r="L945" i="12"/>
  <c r="L1041" i="12"/>
  <c r="L1121" i="12"/>
  <c r="L1201" i="12"/>
  <c r="L1297" i="12"/>
  <c r="L1377" i="12"/>
  <c r="L1457" i="12"/>
  <c r="L1553" i="12"/>
  <c r="L1633" i="12"/>
  <c r="L1713" i="12"/>
  <c r="L1809" i="12"/>
  <c r="L1889" i="12"/>
  <c r="L1969" i="12"/>
  <c r="L2065" i="12"/>
  <c r="L2145" i="12"/>
  <c r="L2225" i="12"/>
  <c r="L2321" i="12"/>
  <c r="L2401" i="12"/>
  <c r="L2481" i="12"/>
  <c r="L2577" i="12"/>
  <c r="L2657" i="12"/>
  <c r="L2737" i="12"/>
  <c r="L2833" i="12"/>
  <c r="L2913" i="12"/>
  <c r="L2993" i="12"/>
  <c r="L359" i="12"/>
  <c r="L609" i="12"/>
  <c r="L797" i="12"/>
  <c r="L914" i="12"/>
  <c r="L994" i="12"/>
  <c r="L1074" i="12"/>
  <c r="L1170" i="12"/>
  <c r="L1250" i="12"/>
  <c r="L1330" i="12"/>
  <c r="L1402" i="12"/>
  <c r="L1466" i="12"/>
  <c r="L1530" i="12"/>
  <c r="L1594" i="12"/>
  <c r="L1658" i="12"/>
  <c r="L1722" i="12"/>
  <c r="L1786" i="12"/>
  <c r="L1850" i="12"/>
  <c r="L1914" i="12"/>
  <c r="L1978" i="12"/>
  <c r="L2042" i="12"/>
  <c r="L2106" i="12"/>
  <c r="L2170" i="12"/>
  <c r="L2234" i="12"/>
  <c r="L2298" i="12"/>
  <c r="L2362" i="12"/>
  <c r="L2426" i="12"/>
  <c r="L2490" i="12"/>
  <c r="L2554" i="12"/>
  <c r="L2618" i="12"/>
  <c r="L2682" i="12"/>
  <c r="L2746" i="12"/>
  <c r="L2810" i="12"/>
  <c r="L2874" i="12"/>
  <c r="L2938" i="12"/>
  <c r="L9" i="12"/>
  <c r="L265" i="12"/>
  <c r="L505" i="12"/>
  <c r="L677" i="12"/>
  <c r="L810" i="12"/>
  <c r="L891" i="12"/>
  <c r="L955" i="12"/>
  <c r="L1019" i="12"/>
  <c r="L1083" i="12"/>
  <c r="L1147" i="12"/>
  <c r="L1211" i="12"/>
  <c r="L1275" i="12"/>
  <c r="L1339" i="12"/>
  <c r="L1403" i="12"/>
  <c r="L1467" i="12"/>
  <c r="L1531" i="12"/>
  <c r="L1595" i="12"/>
  <c r="L1659" i="12"/>
  <c r="L1723" i="12"/>
  <c r="L1787" i="12"/>
  <c r="L1851" i="12"/>
  <c r="L1915" i="12"/>
  <c r="L1979" i="12"/>
  <c r="L2043" i="12"/>
  <c r="L2107" i="12"/>
  <c r="L2171" i="12"/>
  <c r="L2235" i="12"/>
  <c r="L2299" i="12"/>
  <c r="L2363" i="12"/>
  <c r="L2427" i="12"/>
  <c r="L2491" i="12"/>
  <c r="L2555" i="12"/>
  <c r="L2619" i="12"/>
  <c r="L2683" i="12"/>
  <c r="L2747" i="12"/>
  <c r="L2811" i="12"/>
  <c r="L2875" i="12"/>
  <c r="L2939" i="12"/>
  <c r="L49" i="12"/>
  <c r="L305" i="12"/>
  <c r="L533" i="12"/>
  <c r="L703" i="12"/>
  <c r="L823" i="12"/>
  <c r="L901" i="12"/>
  <c r="L965" i="12"/>
  <c r="L1029" i="12"/>
  <c r="L1093" i="12"/>
  <c r="L1157" i="12"/>
  <c r="L1221" i="12"/>
  <c r="L1285" i="12"/>
  <c r="L1349" i="12"/>
  <c r="L1413" i="12"/>
  <c r="L1477" i="12"/>
  <c r="L1541" i="12"/>
  <c r="L1605" i="12"/>
  <c r="L1669" i="12"/>
  <c r="L1733" i="12"/>
  <c r="L1797" i="12"/>
  <c r="L1861" i="12"/>
  <c r="L1925" i="12"/>
  <c r="L1989" i="12"/>
  <c r="L2053" i="12"/>
  <c r="L2117" i="12"/>
  <c r="L2181" i="12"/>
  <c r="L2245" i="12"/>
  <c r="L2309" i="12"/>
  <c r="L2373" i="12"/>
  <c r="L2437" i="12"/>
  <c r="L2501" i="12"/>
  <c r="L2565" i="12"/>
  <c r="L2629" i="12"/>
  <c r="L2693" i="12"/>
  <c r="L2757" i="12"/>
  <c r="L2821" i="12"/>
  <c r="L2885" i="12"/>
  <c r="L2949" i="12"/>
  <c r="L431" i="12"/>
  <c r="L1188" i="12"/>
  <c r="L1700" i="12"/>
  <c r="L2212" i="12"/>
  <c r="L2724" i="12"/>
  <c r="L3026" i="12"/>
  <c r="L3090" i="12"/>
  <c r="L875" i="12"/>
  <c r="L1388" i="12"/>
  <c r="L1900" i="12"/>
  <c r="L2412" i="12"/>
  <c r="L2924" i="12"/>
  <c r="L3051" i="12"/>
  <c r="L239" i="12"/>
  <c r="L1140" i="12"/>
  <c r="L1652" i="12"/>
  <c r="L2164" i="12"/>
  <c r="L2676" i="12"/>
  <c r="L3020" i="12"/>
  <c r="L3084" i="12"/>
  <c r="L811" i="12"/>
  <c r="L1340" i="12"/>
  <c r="L1852" i="12"/>
  <c r="L2364" i="12"/>
  <c r="L2876" i="12"/>
  <c r="L3045" i="12"/>
  <c r="L3109" i="12"/>
  <c r="L1028" i="12"/>
  <c r="L1540" i="12"/>
  <c r="L2052" i="12"/>
  <c r="L2564" i="12"/>
  <c r="L3006" i="12"/>
  <c r="L3070" i="12"/>
  <c r="L551" i="12"/>
  <c r="L1228" i="12"/>
  <c r="L1740" i="12"/>
  <c r="L2252" i="12"/>
  <c r="L2764" i="12"/>
  <c r="L3031" i="12"/>
  <c r="L3095" i="12"/>
  <c r="L924" i="12"/>
  <c r="L1436" i="12"/>
  <c r="L1948" i="12"/>
  <c r="L2460" i="12"/>
  <c r="L2972" i="12"/>
  <c r="L3057" i="12"/>
  <c r="L980" i="12"/>
  <c r="L2068" i="12"/>
  <c r="L2644" i="12"/>
  <c r="L3024" i="12"/>
  <c r="L3096" i="12"/>
  <c r="L916" i="12"/>
  <c r="L2900" i="12"/>
  <c r="L666" i="12"/>
  <c r="L555" i="12"/>
  <c r="L500" i="12"/>
  <c r="L820" i="12"/>
  <c r="L261" i="12"/>
  <c r="L174" i="12"/>
  <c r="L494" i="12"/>
  <c r="L16" i="12"/>
  <c r="L400" i="12"/>
  <c r="L720" i="12"/>
  <c r="L599" i="12"/>
  <c r="L1118" i="12"/>
  <c r="L1374" i="12"/>
  <c r="L1486" i="12"/>
  <c r="L1582" i="12"/>
  <c r="L1662" i="12"/>
  <c r="L1742" i="12"/>
  <c r="L1838" i="12"/>
  <c r="L1918" i="12"/>
  <c r="L1998" i="12"/>
  <c r="L2094" i="12"/>
  <c r="L2174" i="12"/>
  <c r="L2254" i="12"/>
  <c r="L2350" i="12"/>
  <c r="L2430" i="12"/>
  <c r="L2510" i="12"/>
  <c r="L2606" i="12"/>
  <c r="L2686" i="12"/>
  <c r="L2766" i="12"/>
  <c r="L2862" i="12"/>
  <c r="L2942" i="12"/>
  <c r="L121" i="12"/>
  <c r="L495" i="12"/>
  <c r="L709" i="12"/>
  <c r="L847" i="12"/>
  <c r="L951" i="12"/>
  <c r="L1031" i="12"/>
  <c r="L1111" i="12"/>
  <c r="L1207" i="12"/>
  <c r="L1287" i="12"/>
  <c r="L1367" i="12"/>
  <c r="L1463" i="12"/>
  <c r="L1543" i="12"/>
  <c r="L1623" i="12"/>
  <c r="L1719" i="12"/>
  <c r="L1799" i="12"/>
  <c r="L1879" i="12"/>
  <c r="L1975" i="12"/>
  <c r="L2055" i="12"/>
  <c r="L2135" i="12"/>
  <c r="L2231" i="12"/>
  <c r="L2311" i="12"/>
  <c r="L2391" i="12"/>
  <c r="L2487" i="12"/>
  <c r="L2567" i="12"/>
  <c r="L2647" i="12"/>
  <c r="L2743" i="12"/>
  <c r="L2823" i="12"/>
  <c r="L2903" i="12"/>
  <c r="L31" i="12"/>
  <c r="L351" i="12"/>
  <c r="L605" i="12"/>
  <c r="L817" i="12"/>
  <c r="L912" i="12"/>
  <c r="L992" i="12"/>
  <c r="L1088" i="12"/>
  <c r="L1168" i="12"/>
  <c r="L1248" i="12"/>
  <c r="L1344" i="12"/>
  <c r="L1424" i="12"/>
  <c r="L1504" i="12"/>
  <c r="L1600" i="12"/>
  <c r="L1680" i="12"/>
  <c r="L1760" i="12"/>
  <c r="L1856" i="12"/>
  <c r="L1936" i="12"/>
  <c r="L2016" i="12"/>
  <c r="L2112" i="12"/>
  <c r="L2192" i="12"/>
  <c r="L2272" i="12"/>
  <c r="L154" i="12"/>
  <c r="L43" i="12"/>
  <c r="L52" i="12"/>
  <c r="L564" i="12"/>
  <c r="L5" i="12"/>
  <c r="L389" i="12"/>
  <c r="L238" i="12"/>
  <c r="L558" i="12"/>
  <c r="L144" i="12"/>
  <c r="L464" i="12"/>
  <c r="L784" i="12"/>
  <c r="L857" i="12"/>
  <c r="L1182" i="12"/>
  <c r="L1406" i="12"/>
  <c r="L1518" i="12"/>
  <c r="L1598" i="12"/>
  <c r="L1678" i="12"/>
  <c r="L1774" i="12"/>
  <c r="L1854" i="12"/>
  <c r="L1934" i="12"/>
  <c r="L2030" i="12"/>
  <c r="L2110" i="12"/>
  <c r="L2190" i="12"/>
  <c r="L2286" i="12"/>
  <c r="L2366" i="12"/>
  <c r="L2446" i="12"/>
  <c r="L2542" i="12"/>
  <c r="L2622" i="12"/>
  <c r="L2702" i="12"/>
  <c r="L2798" i="12"/>
  <c r="L2878" i="12"/>
  <c r="L2958" i="12"/>
  <c r="L249" i="12"/>
  <c r="L537" i="12"/>
  <c r="L751" i="12"/>
  <c r="L887" i="12"/>
  <c r="L967" i="12"/>
  <c r="L1047" i="12"/>
  <c r="L1143" i="12"/>
  <c r="L1223" i="12"/>
  <c r="L1303" i="12"/>
  <c r="L1399" i="12"/>
  <c r="L1479" i="12"/>
  <c r="L1559" i="12"/>
  <c r="L1655" i="12"/>
  <c r="L1735" i="12"/>
  <c r="L1815" i="12"/>
  <c r="L1911" i="12"/>
  <c r="L1991" i="12"/>
  <c r="L2071" i="12"/>
  <c r="L2167" i="12"/>
  <c r="L2247" i="12"/>
  <c r="L2327" i="12"/>
  <c r="L2423" i="12"/>
  <c r="L2503" i="12"/>
  <c r="L2583" i="12"/>
  <c r="L2679" i="12"/>
  <c r="L2759" i="12"/>
  <c r="L2839" i="12"/>
  <c r="L2935" i="12"/>
  <c r="L95" i="12"/>
  <c r="L415" i="12"/>
  <c r="L689" i="12"/>
  <c r="L838" i="12"/>
  <c r="L928" i="12"/>
  <c r="L1024" i="12"/>
  <c r="L1104" i="12"/>
  <c r="L1184" i="12"/>
  <c r="L1280" i="12"/>
  <c r="L1360" i="12"/>
  <c r="L1440" i="12"/>
  <c r="L1536" i="12"/>
  <c r="L1616" i="12"/>
  <c r="L1696" i="12"/>
  <c r="L1792" i="12"/>
  <c r="L1872" i="12"/>
  <c r="L1952" i="12"/>
  <c r="L2048" i="12"/>
  <c r="L2128" i="12"/>
  <c r="L2208" i="12"/>
  <c r="L2304" i="12"/>
  <c r="L2384" i="12"/>
  <c r="L2464" i="12"/>
  <c r="L2560" i="12"/>
  <c r="L2640" i="12"/>
  <c r="L2720" i="12"/>
  <c r="L2816" i="12"/>
  <c r="L2896" i="12"/>
  <c r="L2976" i="12"/>
  <c r="L321" i="12"/>
  <c r="L585" i="12"/>
  <c r="L783" i="12"/>
  <c r="L905" i="12"/>
  <c r="L985" i="12"/>
  <c r="L1065" i="12"/>
  <c r="L1161" i="12"/>
  <c r="L1241" i="12"/>
  <c r="L1321" i="12"/>
  <c r="L1417" i="12"/>
  <c r="L1497" i="12"/>
  <c r="L1577" i="12"/>
  <c r="L218" i="12"/>
  <c r="L107" i="12"/>
  <c r="L116" i="12"/>
  <c r="L572" i="12"/>
  <c r="L13" i="12"/>
  <c r="L397" i="12"/>
  <c r="L246" i="12"/>
  <c r="L566" i="12"/>
  <c r="L152" i="12"/>
  <c r="L472" i="12"/>
  <c r="L792" i="12"/>
  <c r="L867" i="12"/>
  <c r="L1190" i="12"/>
  <c r="L1414" i="12"/>
  <c r="L1526" i="12"/>
  <c r="L1606" i="12"/>
  <c r="L1686" i="12"/>
  <c r="L1782" i="12"/>
  <c r="L1862" i="12"/>
  <c r="L1942" i="12"/>
  <c r="L2038" i="12"/>
  <c r="L2118" i="12"/>
  <c r="L2198" i="12"/>
  <c r="L2294" i="12"/>
  <c r="L2374" i="12"/>
  <c r="L2454" i="12"/>
  <c r="L2550" i="12"/>
  <c r="L2630" i="12"/>
  <c r="L2710" i="12"/>
  <c r="L2806" i="12"/>
  <c r="L2886" i="12"/>
  <c r="L2966" i="12"/>
  <c r="L281" i="12"/>
  <c r="L559" i="12"/>
  <c r="L767" i="12"/>
  <c r="L895" i="12"/>
  <c r="L975" i="12"/>
  <c r="L1055" i="12"/>
  <c r="L1151" i="12"/>
  <c r="L1231" i="12"/>
  <c r="L1311" i="12"/>
  <c r="L1407" i="12"/>
  <c r="L1487" i="12"/>
  <c r="L1567" i="12"/>
  <c r="L1663" i="12"/>
  <c r="L1743" i="12"/>
  <c r="L1823" i="12"/>
  <c r="L1919" i="12"/>
  <c r="L1999" i="12"/>
  <c r="L2079" i="12"/>
  <c r="L2175" i="12"/>
  <c r="L2255" i="12"/>
  <c r="L2335" i="12"/>
  <c r="L2431" i="12"/>
  <c r="L2511" i="12"/>
  <c r="L2591" i="12"/>
  <c r="L2687" i="12"/>
  <c r="L2767" i="12"/>
  <c r="L2847" i="12"/>
  <c r="L2943" i="12"/>
  <c r="L127" i="12"/>
  <c r="L447" i="12"/>
  <c r="L711" i="12"/>
  <c r="L849" i="12"/>
  <c r="L936" i="12"/>
  <c r="L1032" i="12"/>
  <c r="L1112" i="12"/>
  <c r="L1192" i="12"/>
  <c r="L1288" i="12"/>
  <c r="L1368" i="12"/>
  <c r="L1448" i="12"/>
  <c r="L1544" i="12"/>
  <c r="L1624" i="12"/>
  <c r="L1704" i="12"/>
  <c r="L1800" i="12"/>
  <c r="L1880" i="12"/>
  <c r="L1960" i="12"/>
  <c r="L2056" i="12"/>
  <c r="L2136" i="12"/>
  <c r="L2216" i="12"/>
  <c r="L2312" i="12"/>
  <c r="L2392" i="12"/>
  <c r="L2472" i="12"/>
  <c r="L2568" i="12"/>
  <c r="L2648" i="12"/>
  <c r="L2728" i="12"/>
  <c r="L2824" i="12"/>
  <c r="L2904" i="12"/>
  <c r="L2984" i="12"/>
  <c r="L353" i="12"/>
  <c r="L607" i="12"/>
  <c r="L795" i="12"/>
  <c r="L913" i="12"/>
  <c r="L993" i="12"/>
  <c r="L1073" i="12"/>
  <c r="L1169" i="12"/>
  <c r="L1249" i="12"/>
  <c r="L1329" i="12"/>
  <c r="L1425" i="12"/>
  <c r="L1505" i="12"/>
  <c r="L1585" i="12"/>
  <c r="L1681" i="12"/>
  <c r="L1761" i="12"/>
  <c r="L1841" i="12"/>
  <c r="L1937" i="12"/>
  <c r="L2017" i="12"/>
  <c r="L2097" i="12"/>
  <c r="L2193" i="12"/>
  <c r="L2273" i="12"/>
  <c r="L2353" i="12"/>
  <c r="L2449" i="12"/>
  <c r="L2529" i="12"/>
  <c r="L2609" i="12"/>
  <c r="L2705" i="12"/>
  <c r="L2785" i="12"/>
  <c r="L2865" i="12"/>
  <c r="L2961" i="12"/>
  <c r="L167" i="12"/>
  <c r="L481" i="12"/>
  <c r="L737" i="12"/>
  <c r="L862" i="12"/>
  <c r="L946" i="12"/>
  <c r="L1122" i="12"/>
  <c r="L1202" i="12"/>
  <c r="L1298" i="12"/>
  <c r="L1370" i="12"/>
  <c r="L1434" i="12"/>
  <c r="L1498" i="12"/>
  <c r="L1562" i="12"/>
  <c r="L1626" i="12"/>
  <c r="L1690" i="12"/>
  <c r="L1754" i="12"/>
  <c r="L1818" i="12"/>
  <c r="L1882" i="12"/>
  <c r="L1946" i="12"/>
  <c r="L2010" i="12"/>
  <c r="L2074" i="12"/>
  <c r="L2138" i="12"/>
  <c r="L2202" i="12"/>
  <c r="L2266" i="12"/>
  <c r="L2330" i="12"/>
  <c r="L2394" i="12"/>
  <c r="L2458" i="12"/>
  <c r="L2522" i="12"/>
  <c r="L2586" i="12"/>
  <c r="L2650" i="12"/>
  <c r="L2714" i="12"/>
  <c r="L2778" i="12"/>
  <c r="L2842" i="12"/>
  <c r="L2906" i="12"/>
  <c r="L2970" i="12"/>
  <c r="L137" i="12"/>
  <c r="L393" i="12"/>
  <c r="L591" i="12"/>
  <c r="L761" i="12"/>
  <c r="L853" i="12"/>
  <c r="L923" i="12"/>
  <c r="L987" i="12"/>
  <c r="L1051" i="12"/>
  <c r="L1115" i="12"/>
  <c r="L1179" i="12"/>
  <c r="L1243" i="12"/>
  <c r="L1307" i="12"/>
  <c r="L1371" i="12"/>
  <c r="L1435" i="12"/>
  <c r="L1499" i="12"/>
  <c r="L1563" i="12"/>
  <c r="L1627" i="12"/>
  <c r="L1691" i="12"/>
  <c r="L1755" i="12"/>
  <c r="L2964" i="12"/>
  <c r="L1300" i="12"/>
  <c r="L2196" i="12"/>
  <c r="L111" i="12"/>
  <c r="L2004" i="12"/>
  <c r="L3041" i="12"/>
  <c r="L2716" i="12"/>
  <c r="L2076" i="12"/>
  <c r="L1308" i="12"/>
  <c r="L399" i="12"/>
  <c r="L3047" i="12"/>
  <c r="L2636" i="12"/>
  <c r="L1996" i="12"/>
  <c r="L1356" i="12"/>
  <c r="L79" i="12"/>
  <c r="L3038" i="12"/>
  <c r="L2692" i="12"/>
  <c r="L1924" i="12"/>
  <c r="L1284" i="12"/>
  <c r="L303" i="12"/>
  <c r="L3029" i="12"/>
  <c r="L2620" i="12"/>
  <c r="L1980" i="12"/>
  <c r="L1212" i="12"/>
  <c r="L15" i="12"/>
  <c r="L3036" i="12"/>
  <c r="L2548" i="12"/>
  <c r="L1908" i="12"/>
  <c r="L1268" i="12"/>
  <c r="L3099" i="12"/>
  <c r="L3019" i="12"/>
  <c r="L2540" i="12"/>
  <c r="L1772" i="12"/>
  <c r="L1132" i="12"/>
  <c r="L3106" i="12"/>
  <c r="L3010" i="12"/>
  <c r="L2468" i="12"/>
  <c r="L1828" i="12"/>
  <c r="L1060" i="12"/>
  <c r="L2981" i="12"/>
  <c r="L2901" i="12"/>
  <c r="L2805" i="12"/>
  <c r="L2725" i="12"/>
  <c r="L2645" i="12"/>
  <c r="L2549" i="12"/>
  <c r="L2469" i="12"/>
  <c r="L2389" i="12"/>
  <c r="L2293" i="12"/>
  <c r="L2213" i="12"/>
  <c r="L2133" i="12"/>
  <c r="L2037" i="12"/>
  <c r="L1957" i="12"/>
  <c r="L1877" i="12"/>
  <c r="L1781" i="12"/>
  <c r="L1701" i="12"/>
  <c r="L1621" i="12"/>
  <c r="L1525" i="12"/>
  <c r="L1445" i="12"/>
  <c r="L1365" i="12"/>
  <c r="L1269" i="12"/>
  <c r="L1189" i="12"/>
  <c r="L1109" i="12"/>
  <c r="L1013" i="12"/>
  <c r="L933" i="12"/>
  <c r="L845" i="12"/>
  <c r="L661" i="12"/>
  <c r="L433" i="12"/>
  <c r="L113" i="12"/>
  <c r="L2923" i="12"/>
  <c r="L2843" i="12"/>
  <c r="L2763" i="12"/>
  <c r="L2667" i="12"/>
  <c r="L2587" i="12"/>
  <c r="L2507" i="12"/>
  <c r="L2411" i="12"/>
  <c r="L2331" i="12"/>
  <c r="L2251" i="12"/>
  <c r="L2155" i="12"/>
  <c r="L2075" i="12"/>
  <c r="L1995" i="12"/>
  <c r="L1899" i="12"/>
  <c r="L1819" i="12"/>
  <c r="L1731" i="12"/>
  <c r="L1619" i="12"/>
  <c r="L1515" i="12"/>
  <c r="L1419" i="12"/>
  <c r="L1315" i="12"/>
  <c r="L1219" i="12"/>
  <c r="L1107" i="12"/>
  <c r="L1003" i="12"/>
  <c r="L907" i="12"/>
  <c r="L773" i="12"/>
  <c r="L527" i="12"/>
  <c r="L105" i="12"/>
  <c r="L2922" i="12"/>
  <c r="L2826" i="12"/>
  <c r="L2722" i="12"/>
  <c r="L2626" i="12"/>
  <c r="L2514" i="12"/>
  <c r="L2410" i="12"/>
  <c r="L2314" i="12"/>
  <c r="L2210" i="12"/>
  <c r="L2114" i="12"/>
  <c r="L2002" i="12"/>
  <c r="L1898" i="12"/>
  <c r="L1802" i="12"/>
  <c r="L1698" i="12"/>
  <c r="L1602" i="12"/>
  <c r="L1490" i="12"/>
  <c r="L1386" i="12"/>
  <c r="L1266" i="12"/>
  <c r="L1130" i="12"/>
  <c r="L1010" i="12"/>
  <c r="L873" i="12"/>
  <c r="L631" i="12"/>
  <c r="L135" i="12"/>
  <c r="L2897" i="12"/>
  <c r="L2769" i="12"/>
  <c r="L2633" i="12"/>
  <c r="L2505" i="12"/>
  <c r="L2345" i="12"/>
  <c r="L2209" i="12"/>
  <c r="L2081" i="12"/>
  <c r="L1945" i="12"/>
  <c r="L1817" i="12"/>
  <c r="L1673" i="12"/>
  <c r="L1513" i="12"/>
  <c r="L1305" i="12"/>
  <c r="L1057" i="12"/>
  <c r="L829" i="12"/>
  <c r="L193" i="12"/>
  <c r="L2792" i="12"/>
  <c r="L2576" i="12"/>
  <c r="L2368" i="12"/>
  <c r="L2024" i="12"/>
  <c r="L1688" i="12"/>
  <c r="L1352" i="12"/>
  <c r="L1000" i="12"/>
  <c r="L383" i="12"/>
  <c r="L2751" i="12"/>
  <c r="L2399" i="12"/>
  <c r="L2063" i="12"/>
  <c r="L1727" i="12"/>
  <c r="L1375" i="12"/>
  <c r="L1039" i="12"/>
  <c r="L517" i="12"/>
  <c r="L2774" i="12"/>
  <c r="L2438" i="12"/>
  <c r="L2102" i="12"/>
  <c r="L1750" i="12"/>
  <c r="L1382" i="12"/>
  <c r="L408" i="12"/>
  <c r="L269" i="12"/>
  <c r="L730" i="12"/>
  <c r="L2452" i="12"/>
  <c r="L743" i="12"/>
  <c r="L1684" i="12"/>
  <c r="L3072" i="12"/>
  <c r="L1492" i="12"/>
  <c r="L3033" i="12"/>
  <c r="L2652" i="12"/>
  <c r="L2012" i="12"/>
  <c r="L1244" i="12"/>
  <c r="L143" i="12"/>
  <c r="L3039" i="12"/>
  <c r="L2572" i="12"/>
  <c r="L1932" i="12"/>
  <c r="L1292" i="12"/>
  <c r="L3110" i="12"/>
  <c r="L3030" i="12"/>
  <c r="L2628" i="12"/>
  <c r="L1860" i="12"/>
  <c r="L1220" i="12"/>
  <c r="L47" i="12"/>
  <c r="L3021" i="12"/>
  <c r="L2556" i="12"/>
  <c r="L1916" i="12"/>
  <c r="L1148" i="12"/>
  <c r="L3108" i="12"/>
  <c r="L3028" i="12"/>
  <c r="L2484" i="12"/>
  <c r="L1844" i="12"/>
  <c r="L1204" i="12"/>
  <c r="L3091" i="12"/>
  <c r="L3011" i="12"/>
  <c r="L2476" i="12"/>
  <c r="L1708" i="12"/>
  <c r="L1068" i="12"/>
  <c r="L3098" i="12"/>
  <c r="L3002" i="12"/>
  <c r="L2404" i="12"/>
  <c r="L1764" i="12"/>
  <c r="L996" i="12"/>
  <c r="L2973" i="12"/>
  <c r="L2893" i="12"/>
  <c r="L2797" i="12"/>
  <c r="L2717" i="12"/>
  <c r="L2637" i="12"/>
  <c r="L2541" i="12"/>
  <c r="L2461" i="12"/>
  <c r="L2381" i="12"/>
  <c r="L2285" i="12"/>
  <c r="L2205" i="12"/>
  <c r="L2125" i="12"/>
  <c r="L2029" i="12"/>
  <c r="L1949" i="12"/>
  <c r="L1869" i="12"/>
  <c r="L1773" i="12"/>
  <c r="L1693" i="12"/>
  <c r="L1613" i="12"/>
  <c r="L1517" i="12"/>
  <c r="L1437" i="12"/>
  <c r="L1357" i="12"/>
  <c r="L1261" i="12"/>
  <c r="L1181" i="12"/>
  <c r="L1101" i="12"/>
  <c r="L1005" i="12"/>
  <c r="L925" i="12"/>
  <c r="L834" i="12"/>
  <c r="L639" i="12"/>
  <c r="L401" i="12"/>
  <c r="L81" i="12"/>
  <c r="L2915" i="12"/>
  <c r="L2835" i="12"/>
  <c r="L2755" i="12"/>
  <c r="L2659" i="12"/>
  <c r="L2579" i="12"/>
  <c r="L2499" i="12"/>
  <c r="L2403" i="12"/>
  <c r="L2323" i="12"/>
  <c r="L2243" i="12"/>
  <c r="L2147" i="12"/>
  <c r="L2067" i="12"/>
  <c r="L1987" i="12"/>
  <c r="L1891" i="12"/>
  <c r="L1811" i="12"/>
  <c r="L1707" i="12"/>
  <c r="L1611" i="12"/>
  <c r="L1507" i="12"/>
  <c r="L1411" i="12"/>
  <c r="L1299" i="12"/>
  <c r="L1195" i="12"/>
  <c r="L1099" i="12"/>
  <c r="L995" i="12"/>
  <c r="L899" i="12"/>
  <c r="L741" i="12"/>
  <c r="L457" i="12"/>
  <c r="L73" i="12"/>
  <c r="L2914" i="12"/>
  <c r="L2818" i="12"/>
  <c r="L2706" i="12"/>
  <c r="L2602" i="12"/>
  <c r="L2506" i="12"/>
  <c r="L2402" i="12"/>
  <c r="L2306" i="12"/>
  <c r="L2194" i="12"/>
  <c r="L2090" i="12"/>
  <c r="L1994" i="12"/>
  <c r="L1890" i="12"/>
  <c r="L1794" i="12"/>
  <c r="L1682" i="12"/>
  <c r="L1578" i="12"/>
  <c r="L1482" i="12"/>
  <c r="L1378" i="12"/>
  <c r="L1258" i="12"/>
  <c r="L1114" i="12"/>
  <c r="L1002" i="12"/>
  <c r="L851" i="12"/>
  <c r="L567" i="12"/>
  <c r="L103" i="12"/>
  <c r="L2889" i="12"/>
  <c r="L2761" i="12"/>
  <c r="L2601" i="12"/>
  <c r="L2465" i="12"/>
  <c r="L2337" i="12"/>
  <c r="L2201" i="12"/>
  <c r="L2073" i="12"/>
  <c r="L1929" i="12"/>
  <c r="L1777" i="12"/>
  <c r="L1649" i="12"/>
  <c r="L1489" i="12"/>
  <c r="L1257" i="12"/>
  <c r="L1049" i="12"/>
  <c r="L770" i="12"/>
  <c r="L65" i="12"/>
  <c r="L2784" i="12"/>
  <c r="L2536" i="12"/>
  <c r="L2320" i="12"/>
  <c r="L1984" i="12"/>
  <c r="L1632" i="12"/>
  <c r="L1296" i="12"/>
  <c r="L960" i="12"/>
  <c r="L159" i="12"/>
  <c r="L2695" i="12"/>
  <c r="L2359" i="12"/>
  <c r="L2007" i="12"/>
  <c r="L1671" i="12"/>
  <c r="L1335" i="12"/>
  <c r="L983" i="12"/>
  <c r="L313" i="12"/>
  <c r="L2734" i="12"/>
  <c r="L2382" i="12"/>
  <c r="L2046" i="12"/>
  <c r="L1710" i="12"/>
  <c r="L1246" i="12"/>
  <c r="L208" i="12"/>
  <c r="L133" i="12"/>
  <c r="L282" i="12"/>
  <c r="L1364" i="12"/>
  <c r="L1428" i="12"/>
  <c r="L2260" i="12"/>
  <c r="L367" i="12"/>
  <c r="L2580" i="12"/>
  <c r="L3097" i="12"/>
  <c r="L3017" i="12"/>
  <c r="L2524" i="12"/>
  <c r="L1756" i="12"/>
  <c r="L1116" i="12"/>
  <c r="L3103" i="12"/>
  <c r="L3007" i="12"/>
  <c r="L2444" i="12"/>
  <c r="L1804" i="12"/>
  <c r="L1036" i="12"/>
  <c r="L3094" i="12"/>
  <c r="L3014" i="12"/>
  <c r="L2372" i="12"/>
  <c r="L1732" i="12"/>
  <c r="L1092" i="12"/>
  <c r="L3085" i="12"/>
  <c r="L3005" i="12"/>
  <c r="L2428" i="12"/>
  <c r="L1660" i="12"/>
  <c r="L1020" i="12"/>
  <c r="L3092" i="12"/>
  <c r="L2995" i="12"/>
  <c r="L2356" i="12"/>
  <c r="L1716" i="12"/>
  <c r="L948" i="12"/>
  <c r="L3075" i="12"/>
  <c r="L2988" i="12"/>
  <c r="L2220" i="12"/>
  <c r="L1580" i="12"/>
  <c r="L940" i="12"/>
  <c r="L3066" i="12"/>
  <c r="L2916" i="12"/>
  <c r="L2276" i="12"/>
  <c r="L1508" i="12"/>
  <c r="L865" i="12"/>
  <c r="L2957" i="12"/>
  <c r="L2861" i="12"/>
  <c r="L2781" i="12"/>
  <c r="L2701" i="12"/>
  <c r="L2605" i="12"/>
  <c r="L2525" i="12"/>
  <c r="L2445" i="12"/>
  <c r="L2349" i="12"/>
  <c r="L2269" i="12"/>
  <c r="L2189" i="12"/>
  <c r="L2093" i="12"/>
  <c r="L2013" i="12"/>
  <c r="L1933" i="12"/>
  <c r="L1837" i="12"/>
  <c r="L1757" i="12"/>
  <c r="L1677" i="12"/>
  <c r="L1581" i="12"/>
  <c r="L1501" i="12"/>
  <c r="L1421" i="12"/>
  <c r="L1325" i="12"/>
  <c r="L1245" i="12"/>
  <c r="L1165" i="12"/>
  <c r="L1069" i="12"/>
  <c r="L989" i="12"/>
  <c r="L909" i="12"/>
  <c r="L789" i="12"/>
  <c r="L597" i="12"/>
  <c r="L337" i="12"/>
  <c r="L2979" i="12"/>
  <c r="L2899" i="12"/>
  <c r="L2819" i="12"/>
  <c r="L2723" i="12"/>
  <c r="L2643" i="12"/>
  <c r="L2563" i="12"/>
  <c r="L2467" i="12"/>
  <c r="L2387" i="12"/>
  <c r="L2307" i="12"/>
  <c r="L2211" i="12"/>
  <c r="L2131" i="12"/>
  <c r="L2051" i="12"/>
  <c r="L1955" i="12"/>
  <c r="L1875" i="12"/>
  <c r="L1795" i="12"/>
  <c r="L1683" i="12"/>
  <c r="L1579" i="12"/>
  <c r="L1483" i="12"/>
  <c r="L1379" i="12"/>
  <c r="L1283" i="12"/>
  <c r="L1171" i="12"/>
  <c r="L1067" i="12"/>
  <c r="L971" i="12"/>
  <c r="L863" i="12"/>
  <c r="L697" i="12"/>
  <c r="L361" i="12"/>
  <c r="L2986" i="12"/>
  <c r="L2890" i="12"/>
  <c r="L2786" i="12"/>
  <c r="L2690" i="12"/>
  <c r="L2578" i="12"/>
  <c r="L2474" i="12"/>
  <c r="L2378" i="12"/>
  <c r="L2274" i="12"/>
  <c r="L2178" i="12"/>
  <c r="L2066" i="12"/>
  <c r="L1962" i="12"/>
  <c r="L1866" i="12"/>
  <c r="L1762" i="12"/>
  <c r="L1666" i="12"/>
  <c r="L1554" i="12"/>
  <c r="L1450" i="12"/>
  <c r="L1354" i="12"/>
  <c r="L1226" i="12"/>
  <c r="L1098" i="12"/>
  <c r="L970" i="12"/>
  <c r="L830" i="12"/>
  <c r="L455" i="12"/>
  <c r="L2977" i="12"/>
  <c r="L2849" i="12"/>
  <c r="L2713" i="12"/>
  <c r="L2585" i="12"/>
  <c r="L2441" i="12"/>
  <c r="L2289" i="12"/>
  <c r="L2161" i="12"/>
  <c r="L2025" i="12"/>
  <c r="L1897" i="12"/>
  <c r="L1753" i="12"/>
  <c r="L1617" i="12"/>
  <c r="L1433" i="12"/>
  <c r="L1225" i="12"/>
  <c r="L977" i="12"/>
  <c r="L629" i="12"/>
  <c r="L2960" i="12"/>
  <c r="L2712" i="12"/>
  <c r="L2496" i="12"/>
  <c r="L2240" i="12"/>
  <c r="L1888" i="12"/>
  <c r="L1552" i="12"/>
  <c r="L1216" i="12"/>
  <c r="L859" i="12"/>
  <c r="L2951" i="12"/>
  <c r="L2615" i="12"/>
  <c r="L2263" i="12"/>
  <c r="L1927" i="12"/>
  <c r="L1591" i="12"/>
  <c r="L1239" i="12"/>
  <c r="L903" i="12"/>
  <c r="L2990" i="12"/>
  <c r="L2638" i="12"/>
  <c r="L2302" i="12"/>
  <c r="L1966" i="12"/>
  <c r="L1614" i="12"/>
  <c r="L926" i="12"/>
  <c r="L686" i="12"/>
  <c r="L628" i="12"/>
  <c r="L843" i="12"/>
  <c r="L3040" i="12"/>
  <c r="L1748" i="12"/>
  <c r="L3080" i="12"/>
  <c r="L1044" i="12"/>
  <c r="L3089" i="12"/>
  <c r="L3009" i="12"/>
  <c r="L2332" i="12"/>
  <c r="L1692" i="12"/>
  <c r="L1052" i="12"/>
  <c r="L3079" i="12"/>
  <c r="L2999" i="12"/>
  <c r="L2380" i="12"/>
  <c r="L1612" i="12"/>
  <c r="L3086" i="12"/>
  <c r="L2948" i="12"/>
  <c r="L2308" i="12"/>
  <c r="L1668" i="12"/>
  <c r="L900" i="12"/>
  <c r="L3077" i="12"/>
  <c r="L2996" i="12"/>
  <c r="L2236" i="12"/>
  <c r="L1596" i="12"/>
  <c r="L956" i="12"/>
  <c r="L3068" i="12"/>
  <c r="L2932" i="12"/>
  <c r="L2292" i="12"/>
  <c r="L1524" i="12"/>
  <c r="L884" i="12"/>
  <c r="L3067" i="12"/>
  <c r="L2796" i="12"/>
  <c r="L2156" i="12"/>
  <c r="L1516" i="12"/>
  <c r="L637" i="12"/>
  <c r="L3058" i="12"/>
  <c r="L2852" i="12"/>
  <c r="L2084" i="12"/>
  <c r="L1444" i="12"/>
  <c r="L775" i="12"/>
  <c r="L2933" i="12"/>
  <c r="L2853" i="12"/>
  <c r="L2773" i="12"/>
  <c r="L2677" i="12"/>
  <c r="L2597" i="12"/>
  <c r="L2517" i="12"/>
  <c r="L2421" i="12"/>
  <c r="L2341" i="12"/>
  <c r="L2261" i="12"/>
  <c r="L2165" i="12"/>
  <c r="L2085" i="12"/>
  <c r="L2005" i="12"/>
  <c r="L1909" i="12"/>
  <c r="L1829" i="12"/>
  <c r="L1749" i="12"/>
  <c r="L1653" i="12"/>
  <c r="L1573" i="12"/>
  <c r="L1493" i="12"/>
  <c r="L1397" i="12"/>
  <c r="L1317" i="12"/>
  <c r="L1237" i="12"/>
  <c r="L1141" i="12"/>
  <c r="L1061" i="12"/>
  <c r="L981" i="12"/>
  <c r="L885" i="12"/>
  <c r="L777" i="12"/>
  <c r="L575" i="12"/>
  <c r="L241" i="12"/>
  <c r="L2971" i="12"/>
  <c r="L2891" i="12"/>
  <c r="L2795" i="12"/>
  <c r="L2715" i="12"/>
  <c r="L2635" i="12"/>
  <c r="L2539" i="12"/>
  <c r="L2459" i="12"/>
  <c r="L2379" i="12"/>
  <c r="L2283" i="12"/>
  <c r="L2203" i="12"/>
  <c r="L2123" i="12"/>
  <c r="L2027" i="12"/>
  <c r="L1947" i="12"/>
  <c r="L1867" i="12"/>
  <c r="L1771" i="12"/>
  <c r="L1675" i="12"/>
  <c r="L1571" i="12"/>
  <c r="L1475" i="12"/>
  <c r="L1363" i="12"/>
  <c r="L1259" i="12"/>
  <c r="L1163" i="12"/>
  <c r="L1059" i="12"/>
  <c r="L963" i="12"/>
  <c r="L842" i="12"/>
  <c r="L633" i="12"/>
  <c r="L329" i="12"/>
  <c r="L2978" i="12"/>
  <c r="L2882" i="12"/>
  <c r="L2770" i="12"/>
  <c r="L2666" i="12"/>
  <c r="L2570" i="12"/>
  <c r="L2466" i="12"/>
  <c r="L2370" i="12"/>
  <c r="L2258" i="12"/>
  <c r="L2154" i="12"/>
  <c r="L2058" i="12"/>
  <c r="L1954" i="12"/>
  <c r="L1858" i="12"/>
  <c r="L1746" i="12"/>
  <c r="L1642" i="12"/>
  <c r="L1546" i="12"/>
  <c r="L1442" i="12"/>
  <c r="L1346" i="12"/>
  <c r="L1194" i="12"/>
  <c r="L1058" i="12"/>
  <c r="L938" i="12"/>
  <c r="L771" i="12"/>
  <c r="L423" i="12"/>
  <c r="L2969" i="12"/>
  <c r="L2841" i="12"/>
  <c r="L2697" i="12"/>
  <c r="L2545" i="12"/>
  <c r="L2417" i="12"/>
  <c r="L2281" i="12"/>
  <c r="L2153" i="12"/>
  <c r="L2009" i="12"/>
  <c r="L1873" i="12"/>
  <c r="L1745" i="12"/>
  <c r="L1609" i="12"/>
  <c r="L1393" i="12"/>
  <c r="L1177" i="12"/>
  <c r="L969" i="12"/>
  <c r="L565" i="12"/>
  <c r="L2912" i="12"/>
  <c r="L2704" i="12"/>
  <c r="L2456" i="12"/>
  <c r="L2200" i="12"/>
  <c r="L1864" i="12"/>
  <c r="L1512" i="12"/>
  <c r="L1176" i="12"/>
  <c r="L827" i="12"/>
  <c r="L2911" i="12"/>
  <c r="L2575" i="12"/>
  <c r="L2239" i="12"/>
  <c r="L1887" i="12"/>
  <c r="L1551" i="12"/>
  <c r="L1215" i="12"/>
  <c r="L858" i="12"/>
  <c r="L2950" i="12"/>
  <c r="L2614" i="12"/>
  <c r="L2262" i="12"/>
  <c r="L1926" i="12"/>
  <c r="L1590" i="12"/>
  <c r="L621" i="12"/>
  <c r="L502" i="12"/>
  <c r="L508" i="12"/>
  <c r="L3048" i="12"/>
  <c r="L2836" i="12"/>
  <c r="L1236" i="12"/>
  <c r="L3016" i="12"/>
  <c r="L3064" i="12"/>
  <c r="L3081" i="12"/>
  <c r="L3001" i="12"/>
  <c r="L2268" i="12"/>
  <c r="L1628" i="12"/>
  <c r="L988" i="12"/>
  <c r="L3071" i="12"/>
  <c r="L2956" i="12"/>
  <c r="L2316" i="12"/>
  <c r="L1548" i="12"/>
  <c r="L908" i="12"/>
  <c r="L3078" i="12"/>
  <c r="L2884" i="12"/>
  <c r="L2244" i="12"/>
  <c r="L1604" i="12"/>
  <c r="L822" i="12"/>
  <c r="L3069" i="12"/>
  <c r="L2940" i="12"/>
  <c r="L2172" i="12"/>
  <c r="L1532" i="12"/>
  <c r="L892" i="12"/>
  <c r="L3060" i="12"/>
  <c r="L2868" i="12"/>
  <c r="L2228" i="12"/>
  <c r="L1460" i="12"/>
  <c r="L801" i="12"/>
  <c r="L3059" i="12"/>
  <c r="L2732" i="12"/>
  <c r="L2092" i="12"/>
  <c r="L1452" i="12"/>
  <c r="L463" i="12"/>
  <c r="L3050" i="12"/>
  <c r="L2788" i="12"/>
  <c r="L2020" i="12"/>
  <c r="L1380" i="12"/>
  <c r="L615" i="12"/>
  <c r="L2925" i="12"/>
  <c r="L2845" i="12"/>
  <c r="L2765" i="12"/>
  <c r="L2669" i="12"/>
  <c r="L2589" i="12"/>
  <c r="L2509" i="12"/>
  <c r="L2413" i="12"/>
  <c r="L2333" i="12"/>
  <c r="L2253" i="12"/>
  <c r="L2157" i="12"/>
  <c r="L2077" i="12"/>
  <c r="L1997" i="12"/>
  <c r="L1901" i="12"/>
  <c r="L1821" i="12"/>
  <c r="L1741" i="12"/>
  <c r="L1645" i="12"/>
  <c r="L1565" i="12"/>
  <c r="L1485" i="12"/>
  <c r="L1389" i="12"/>
  <c r="L1309" i="12"/>
  <c r="L1229" i="12"/>
  <c r="L1133" i="12"/>
  <c r="L1053" i="12"/>
  <c r="L973" i="12"/>
  <c r="L877" i="12"/>
  <c r="L763" i="12"/>
  <c r="L553" i="12"/>
  <c r="L209" i="12"/>
  <c r="L2963" i="12"/>
  <c r="L2883" i="12"/>
  <c r="L2787" i="12"/>
  <c r="L2707" i="12"/>
  <c r="L2627" i="12"/>
  <c r="L2531" i="12"/>
  <c r="L2451" i="12"/>
  <c r="L2371" i="12"/>
  <c r="L2275" i="12"/>
  <c r="L2195" i="12"/>
  <c r="L2115" i="12"/>
  <c r="L2019" i="12"/>
  <c r="L1939" i="12"/>
  <c r="L1859" i="12"/>
  <c r="L1763" i="12"/>
  <c r="L1667" i="12"/>
  <c r="L1555" i="12"/>
  <c r="L1451" i="12"/>
  <c r="L1355" i="12"/>
  <c r="L1251" i="12"/>
  <c r="L1155" i="12"/>
  <c r="L1043" i="12"/>
  <c r="L939" i="12"/>
  <c r="L831" i="12"/>
  <c r="L613" i="12"/>
  <c r="L297" i="12"/>
  <c r="L2962" i="12"/>
  <c r="L2858" i="12"/>
  <c r="L2762" i="12"/>
  <c r="L2658" i="12"/>
  <c r="L2562" i="12"/>
  <c r="L2450" i="12"/>
  <c r="L2346" i="12"/>
  <c r="L2250" i="12"/>
  <c r="L2146" i="12"/>
  <c r="L2050" i="12"/>
  <c r="L1938" i="12"/>
  <c r="L1834" i="12"/>
  <c r="L1738" i="12"/>
  <c r="L1634" i="12"/>
  <c r="L1538" i="12"/>
  <c r="L1426" i="12"/>
  <c r="L1314" i="12"/>
  <c r="L1186" i="12"/>
  <c r="L1050" i="12"/>
  <c r="L930" i="12"/>
  <c r="L759" i="12"/>
  <c r="L391" i="12"/>
  <c r="L2953" i="12"/>
  <c r="L2801" i="12"/>
  <c r="L2673" i="12"/>
  <c r="L2537" i="12"/>
  <c r="L2409" i="12"/>
  <c r="L2265" i="12"/>
  <c r="L2129" i="12"/>
  <c r="L2001" i="12"/>
  <c r="L1865" i="12"/>
  <c r="L1737" i="12"/>
  <c r="L1569" i="12"/>
  <c r="L1385" i="12"/>
  <c r="L1137" i="12"/>
  <c r="L921" i="12"/>
  <c r="L543" i="12"/>
  <c r="L2888" i="12"/>
  <c r="L2656" i="12"/>
  <c r="L2448" i="12"/>
  <c r="L2144" i="12"/>
  <c r="L1808" i="12"/>
  <c r="L1472" i="12"/>
  <c r="L1120" i="12"/>
  <c r="L733" i="12"/>
  <c r="L2871" i="12"/>
  <c r="L2519" i="12"/>
  <c r="L2183" i="12"/>
  <c r="L1847" i="12"/>
  <c r="L1495" i="12"/>
  <c r="L1159" i="12"/>
  <c r="L805" i="12"/>
  <c r="L2894" i="12"/>
  <c r="L2558" i="12"/>
  <c r="L2222" i="12"/>
  <c r="L1870" i="12"/>
  <c r="L1534" i="12"/>
  <c r="L151" i="12"/>
  <c r="L302" i="12"/>
  <c r="L180" i="12"/>
  <c r="L1876" i="12"/>
  <c r="L2324" i="12"/>
  <c r="L573" i="12"/>
  <c r="L1620" i="12"/>
  <c r="L3000" i="12"/>
  <c r="L3073" i="12"/>
  <c r="L2844" i="12"/>
  <c r="L2204" i="12"/>
  <c r="L1564" i="12"/>
  <c r="L762" i="12"/>
  <c r="L3063" i="12"/>
  <c r="L2892" i="12"/>
  <c r="L2124" i="12"/>
  <c r="L1484" i="12"/>
  <c r="L833" i="12"/>
  <c r="L3054" i="12"/>
  <c r="L2820" i="12"/>
  <c r="L2180" i="12"/>
  <c r="L1412" i="12"/>
  <c r="L701" i="12"/>
  <c r="L3061" i="12"/>
  <c r="L2748" i="12"/>
  <c r="L2108" i="12"/>
  <c r="L1468" i="12"/>
  <c r="L509" i="12"/>
  <c r="L3052" i="12"/>
  <c r="L2804" i="12"/>
  <c r="L2036" i="12"/>
  <c r="L1396" i="12"/>
  <c r="L657" i="12"/>
  <c r="L3035" i="12"/>
  <c r="L2668" i="12"/>
  <c r="L2028" i="12"/>
  <c r="L1260" i="12"/>
  <c r="L207" i="12"/>
  <c r="L3042" i="12"/>
  <c r="L2596" i="12"/>
  <c r="L1956" i="12"/>
  <c r="L1316" i="12"/>
  <c r="L2997" i="12"/>
  <c r="L2917" i="12"/>
  <c r="L2837" i="12"/>
  <c r="L2741" i="12"/>
  <c r="L2661" i="12"/>
  <c r="L2581" i="12"/>
  <c r="L2485" i="12"/>
  <c r="L2405" i="12"/>
  <c r="L2325" i="12"/>
  <c r="L2229" i="12"/>
  <c r="L2149" i="12"/>
  <c r="L2069" i="12"/>
  <c r="L1973" i="12"/>
  <c r="L1893" i="12"/>
  <c r="L1813" i="12"/>
  <c r="L1717" i="12"/>
  <c r="L1637" i="12"/>
  <c r="L1557" i="12"/>
  <c r="L1461" i="12"/>
  <c r="L1381" i="12"/>
  <c r="L1301" i="12"/>
  <c r="L1205" i="12"/>
  <c r="L1125" i="12"/>
  <c r="L1045" i="12"/>
  <c r="L949" i="12"/>
  <c r="L866" i="12"/>
  <c r="L745" i="12"/>
  <c r="L489" i="12"/>
  <c r="L177" i="12"/>
  <c r="L2955" i="12"/>
  <c r="L2859" i="12"/>
  <c r="L2779" i="12"/>
  <c r="L2699" i="12"/>
  <c r="L2603" i="12"/>
  <c r="L2523" i="12"/>
  <c r="L2443" i="12"/>
  <c r="L2347" i="12"/>
  <c r="L2267" i="12"/>
  <c r="L2187" i="12"/>
  <c r="L2091" i="12"/>
  <c r="L2011" i="12"/>
  <c r="L1931" i="12"/>
  <c r="L1835" i="12"/>
  <c r="L1747" i="12"/>
  <c r="L1643" i="12"/>
  <c r="L1547" i="12"/>
  <c r="L1443" i="12"/>
  <c r="L1347" i="12"/>
  <c r="L1235" i="12"/>
  <c r="L1131" i="12"/>
  <c r="L1035" i="12"/>
  <c r="L931" i="12"/>
  <c r="L821" i="12"/>
  <c r="L569" i="12"/>
  <c r="L201" i="12"/>
  <c r="L2954" i="12"/>
  <c r="L2850" i="12"/>
  <c r="L2754" i="12"/>
  <c r="L2642" i="12"/>
  <c r="L2538" i="12"/>
  <c r="L2442" i="12"/>
  <c r="L2338" i="12"/>
  <c r="L2242" i="12"/>
  <c r="L2130" i="12"/>
  <c r="L2026" i="12"/>
  <c r="L1930" i="12"/>
  <c r="L1826" i="12"/>
  <c r="L1730" i="12"/>
  <c r="L1618" i="12"/>
  <c r="L1514" i="12"/>
  <c r="L1418" i="12"/>
  <c r="L1306" i="12"/>
  <c r="L1178" i="12"/>
  <c r="L922" i="12"/>
  <c r="L717" i="12"/>
  <c r="L231" i="12"/>
  <c r="L2929" i="12"/>
  <c r="L2793" i="12"/>
  <c r="L2665" i="12"/>
  <c r="L2521" i="12"/>
  <c r="L2385" i="12"/>
  <c r="L2257" i="12"/>
  <c r="L2121" i="12"/>
  <c r="L1993" i="12"/>
  <c r="L1833" i="12"/>
  <c r="L1697" i="12"/>
  <c r="L1561" i="12"/>
  <c r="L1353" i="12"/>
  <c r="L1129" i="12"/>
  <c r="L881" i="12"/>
  <c r="L385" i="12"/>
  <c r="L2880" i="12"/>
  <c r="L2632" i="12"/>
  <c r="L2400" i="12"/>
  <c r="L2120" i="12"/>
  <c r="L1768" i="12"/>
  <c r="L1432" i="12"/>
  <c r="L1096" i="12"/>
  <c r="L625" i="12"/>
  <c r="L2831" i="12"/>
  <c r="L2495" i="12"/>
  <c r="L2143" i="12"/>
  <c r="L1807" i="12"/>
  <c r="L1471" i="12"/>
  <c r="L1119" i="12"/>
  <c r="L729" i="12"/>
  <c r="L2870" i="12"/>
  <c r="L2518" i="12"/>
  <c r="L2182" i="12"/>
  <c r="L1846" i="12"/>
  <c r="L1494" i="12"/>
  <c r="L728" i="12"/>
  <c r="L182" i="12"/>
  <c r="L619" i="12"/>
  <c r="L410" i="12"/>
  <c r="L171" i="12"/>
  <c r="L683" i="12"/>
  <c r="L436" i="12"/>
  <c r="L692" i="12"/>
  <c r="L69" i="12"/>
  <c r="L325" i="12"/>
  <c r="L110" i="12"/>
  <c r="L366" i="12"/>
  <c r="L622" i="12"/>
  <c r="L80" i="12"/>
  <c r="L336" i="12"/>
  <c r="L592" i="12"/>
  <c r="L848" i="12"/>
  <c r="L765" i="12"/>
  <c r="L1054" i="12"/>
  <c r="L1278" i="12"/>
  <c r="L1422" i="12"/>
  <c r="L1502" i="12"/>
  <c r="L1566" i="12"/>
  <c r="L1630" i="12"/>
  <c r="L1694" i="12"/>
  <c r="L1758" i="12"/>
  <c r="L1822" i="12"/>
  <c r="L1886" i="12"/>
  <c r="L1950" i="12"/>
  <c r="L2014" i="12"/>
  <c r="L2078" i="12"/>
  <c r="L2142" i="12"/>
  <c r="L2206" i="12"/>
  <c r="L2270" i="12"/>
  <c r="L2334" i="12"/>
  <c r="L2398" i="12"/>
  <c r="L2462" i="12"/>
  <c r="L2526" i="12"/>
  <c r="L2590" i="12"/>
  <c r="L2654" i="12"/>
  <c r="L2718" i="12"/>
  <c r="L2782" i="12"/>
  <c r="L2846" i="12"/>
  <c r="L2910" i="12"/>
  <c r="L2974" i="12"/>
  <c r="L185" i="12"/>
  <c r="L441" i="12"/>
  <c r="L623" i="12"/>
  <c r="L779" i="12"/>
  <c r="L869" i="12"/>
  <c r="L935" i="12"/>
  <c r="L999" i="12"/>
  <c r="L1063" i="12"/>
  <c r="L1127" i="12"/>
  <c r="L1191" i="12"/>
  <c r="L1255" i="12"/>
  <c r="L1319" i="12"/>
  <c r="L1383" i="12"/>
  <c r="L1447" i="12"/>
  <c r="L1511" i="12"/>
  <c r="L1575" i="12"/>
  <c r="L1639" i="12"/>
  <c r="L1703" i="12"/>
  <c r="L1767" i="12"/>
  <c r="L1831" i="12"/>
  <c r="L1895" i="12"/>
  <c r="L1959" i="12"/>
  <c r="L2023" i="12"/>
  <c r="L2087" i="12"/>
  <c r="L2151" i="12"/>
  <c r="L2215" i="12"/>
  <c r="L2279" i="12"/>
  <c r="L2343" i="12"/>
  <c r="L2407" i="12"/>
  <c r="L2471" i="12"/>
  <c r="L2535" i="12"/>
  <c r="L2599" i="12"/>
  <c r="L2663" i="12"/>
  <c r="L2727" i="12"/>
  <c r="L2791" i="12"/>
  <c r="L2855" i="12"/>
  <c r="L2919" i="12"/>
  <c r="L2983" i="12"/>
  <c r="L223" i="12"/>
  <c r="L477" i="12"/>
  <c r="L647" i="12"/>
  <c r="L794" i="12"/>
  <c r="L880" i="12"/>
  <c r="L944" i="12"/>
  <c r="L1008" i="12"/>
  <c r="L1072" i="12"/>
  <c r="L1136" i="12"/>
  <c r="L1200" i="12"/>
  <c r="L1264" i="12"/>
  <c r="L1328" i="12"/>
  <c r="L1392" i="12"/>
  <c r="L1456" i="12"/>
  <c r="L1520" i="12"/>
  <c r="L1584" i="12"/>
  <c r="L1648" i="12"/>
  <c r="L1712" i="12"/>
  <c r="L1776" i="12"/>
  <c r="L1840" i="12"/>
  <c r="L1904" i="12"/>
  <c r="L1968" i="12"/>
  <c r="L2032" i="12"/>
  <c r="L2096" i="12"/>
  <c r="L2160" i="12"/>
  <c r="L2224" i="12"/>
  <c r="L2288" i="12"/>
  <c r="L2352" i="12"/>
  <c r="L2416" i="12"/>
  <c r="L2480" i="12"/>
  <c r="L2544" i="12"/>
  <c r="L2608" i="12"/>
  <c r="L2672" i="12"/>
  <c r="L2736" i="12"/>
  <c r="L2800" i="12"/>
  <c r="L2864" i="12"/>
  <c r="L2928" i="12"/>
  <c r="L2992" i="12"/>
  <c r="L257" i="12"/>
  <c r="L501" i="12"/>
  <c r="L671" i="12"/>
  <c r="L807" i="12"/>
  <c r="L889" i="12"/>
  <c r="L953" i="12"/>
  <c r="L1017" i="12"/>
  <c r="L1081" i="12"/>
  <c r="L1145" i="12"/>
  <c r="L1209" i="12"/>
  <c r="L1273" i="12"/>
  <c r="L1337" i="12"/>
  <c r="L1401" i="12"/>
  <c r="L1465" i="12"/>
  <c r="L1529" i="12"/>
  <c r="L1593" i="12"/>
  <c r="L1657" i="12"/>
  <c r="L1721" i="12"/>
  <c r="L1785" i="12"/>
  <c r="L1849" i="12"/>
  <c r="L1913" i="12"/>
  <c r="L1977" i="12"/>
  <c r="L2041" i="12"/>
  <c r="L2105" i="12"/>
  <c r="L2169" i="12"/>
  <c r="L2233" i="12"/>
  <c r="L2297" i="12"/>
  <c r="L2361" i="12"/>
  <c r="L2425" i="12"/>
  <c r="L2489" i="12"/>
  <c r="L2553" i="12"/>
  <c r="L2617" i="12"/>
  <c r="L2681" i="12"/>
  <c r="L2745" i="12"/>
  <c r="L2809" i="12"/>
  <c r="L2873" i="12"/>
  <c r="L2937" i="12"/>
  <c r="L7" i="12"/>
  <c r="L263" i="12"/>
  <c r="L503" i="12"/>
  <c r="L673" i="12"/>
  <c r="L809" i="12"/>
  <c r="L890" i="12"/>
  <c r="L954" i="12"/>
  <c r="L1018" i="12"/>
  <c r="L1082" i="12"/>
  <c r="L1146" i="12"/>
  <c r="L1210" i="12"/>
  <c r="L1274" i="12"/>
  <c r="L1338" i="12"/>
  <c r="L474" i="12"/>
  <c r="L235" i="12"/>
  <c r="L747" i="12"/>
  <c r="L444" i="12"/>
  <c r="L700" i="12"/>
  <c r="L77" i="12"/>
  <c r="L333" i="12"/>
  <c r="L118" i="12"/>
  <c r="L374" i="12"/>
  <c r="L630" i="12"/>
  <c r="L88" i="12"/>
  <c r="L344" i="12"/>
  <c r="L600" i="12"/>
  <c r="L856" i="12"/>
  <c r="L778" i="12"/>
  <c r="L1062" i="12"/>
  <c r="L1310" i="12"/>
  <c r="L1438" i="12"/>
  <c r="L1510" i="12"/>
  <c r="L1574" i="12"/>
  <c r="L1638" i="12"/>
  <c r="L1702" i="12"/>
  <c r="L1766" i="12"/>
  <c r="L1830" i="12"/>
  <c r="L1894" i="12"/>
  <c r="L1958" i="12"/>
  <c r="L2022" i="12"/>
  <c r="L2086" i="12"/>
  <c r="L2150" i="12"/>
  <c r="L2214" i="12"/>
  <c r="L2278" i="12"/>
  <c r="L2342" i="12"/>
  <c r="L2406" i="12"/>
  <c r="L2470" i="12"/>
  <c r="L2534" i="12"/>
  <c r="L2598" i="12"/>
  <c r="L2662" i="12"/>
  <c r="L2726" i="12"/>
  <c r="L2790" i="12"/>
  <c r="L2854" i="12"/>
  <c r="L2918" i="12"/>
  <c r="L2982" i="12"/>
  <c r="L217" i="12"/>
  <c r="L473" i="12"/>
  <c r="L645" i="12"/>
  <c r="L793" i="12"/>
  <c r="L879" i="12"/>
  <c r="L943" i="12"/>
  <c r="L1007" i="12"/>
  <c r="L1071" i="12"/>
  <c r="L1135" i="12"/>
  <c r="L1199" i="12"/>
  <c r="L1263" i="12"/>
  <c r="L1327" i="12"/>
  <c r="L1391" i="12"/>
  <c r="L1455" i="12"/>
  <c r="L1519" i="12"/>
  <c r="L1583" i="12"/>
  <c r="L1647" i="12"/>
  <c r="L1711" i="12"/>
  <c r="L1775" i="12"/>
  <c r="L1839" i="12"/>
  <c r="L1903" i="12"/>
  <c r="L1967" i="12"/>
  <c r="L2031" i="12"/>
  <c r="L2095" i="12"/>
  <c r="L2159" i="12"/>
  <c r="L2223" i="12"/>
  <c r="L2287" i="12"/>
  <c r="L2351" i="12"/>
  <c r="L2415" i="12"/>
  <c r="L2479" i="12"/>
  <c r="L2543" i="12"/>
  <c r="L2607" i="12"/>
  <c r="L2671" i="12"/>
  <c r="L2735" i="12"/>
  <c r="L2799" i="12"/>
  <c r="L2863" i="12"/>
  <c r="L2927" i="12"/>
  <c r="L2991" i="12"/>
  <c r="L255" i="12"/>
  <c r="L497" i="12"/>
  <c r="L669" i="12"/>
  <c r="L806" i="12"/>
  <c r="L888" i="12"/>
  <c r="L952" i="12"/>
  <c r="L1016" i="12"/>
  <c r="L1080" i="12"/>
  <c r="L1144" i="12"/>
  <c r="L1208" i="12"/>
  <c r="L1272" i="12"/>
  <c r="L1336" i="12"/>
  <c r="L1400" i="12"/>
  <c r="L1464" i="12"/>
  <c r="L1528" i="12"/>
  <c r="L1592" i="12"/>
  <c r="L1656" i="12"/>
  <c r="L1720" i="12"/>
  <c r="L1784" i="12"/>
  <c r="L1848" i="12"/>
  <c r="L1912" i="12"/>
  <c r="L1976" i="12"/>
  <c r="L2040" i="12"/>
  <c r="L2104" i="12"/>
  <c r="L2168" i="12"/>
  <c r="L2232" i="12"/>
  <c r="L2296" i="12"/>
  <c r="L2360" i="12"/>
  <c r="L2424" i="12"/>
  <c r="L2488" i="12"/>
  <c r="L2552" i="12"/>
  <c r="L2616" i="12"/>
  <c r="L2680" i="12"/>
  <c r="L2744" i="12"/>
  <c r="L2808" i="12"/>
  <c r="L2872" i="12"/>
  <c r="L2936" i="12"/>
  <c r="L33" i="12"/>
  <c r="L289" i="12"/>
  <c r="L521" i="12"/>
  <c r="L693" i="12"/>
  <c r="L818" i="12"/>
  <c r="L897" i="12"/>
  <c r="L961" i="12"/>
  <c r="L1025" i="12"/>
  <c r="L1089" i="12"/>
  <c r="L1153" i="12"/>
  <c r="L1217" i="12"/>
  <c r="L1281" i="12"/>
  <c r="L1345" i="12"/>
  <c r="L1409" i="12"/>
  <c r="L1473" i="12"/>
  <c r="L1537" i="12"/>
  <c r="L1601" i="12"/>
  <c r="L1665" i="12"/>
  <c r="L1729" i="12"/>
  <c r="L1793" i="12"/>
  <c r="L1857" i="12"/>
  <c r="L1921" i="12"/>
  <c r="L1985" i="12"/>
  <c r="L2049" i="12"/>
  <c r="L2113" i="12"/>
  <c r="L2177" i="12"/>
  <c r="L2241" i="12"/>
  <c r="L2305" i="12"/>
  <c r="L2369" i="12"/>
  <c r="L2433" i="12"/>
  <c r="L2497" i="12"/>
  <c r="L2561" i="12"/>
  <c r="L2625" i="12"/>
  <c r="L2689" i="12"/>
  <c r="L2753" i="12"/>
  <c r="L2817" i="12"/>
  <c r="L2881" i="12"/>
  <c r="L2945" i="12"/>
  <c r="L39" i="12"/>
  <c r="L295" i="12"/>
  <c r="L525" i="12"/>
  <c r="L695" i="12"/>
  <c r="L819" i="12"/>
  <c r="L898" i="12"/>
  <c r="L962" i="12"/>
  <c r="L1026" i="12"/>
  <c r="L1090" i="12"/>
  <c r="L1154" i="12"/>
  <c r="L1218" i="12"/>
  <c r="L1282" i="12"/>
  <c r="M51" i="11"/>
  <c r="Q51" i="11"/>
  <c r="L58" i="12"/>
  <c r="L122" i="12"/>
  <c r="L186" i="12"/>
  <c r="L250" i="12"/>
  <c r="L314" i="12"/>
  <c r="L378" i="12"/>
  <c r="L442" i="12"/>
  <c r="L506" i="12"/>
  <c r="L570" i="12"/>
  <c r="L634" i="12"/>
  <c r="L698" i="12"/>
  <c r="L11" i="12"/>
  <c r="L75" i="12"/>
  <c r="L139" i="12"/>
  <c r="L203" i="12"/>
  <c r="L267" i="12"/>
  <c r="L331" i="12"/>
  <c r="L395" i="12"/>
  <c r="L459" i="12"/>
  <c r="L523" i="12"/>
  <c r="L587" i="12"/>
  <c r="L651" i="12"/>
  <c r="L715" i="12"/>
  <c r="L20" i="12"/>
  <c r="L84" i="12"/>
  <c r="L148" i="12"/>
  <c r="L212" i="12"/>
  <c r="L276" i="12"/>
  <c r="L340" i="12"/>
  <c r="L404" i="12"/>
  <c r="L468" i="12"/>
  <c r="L532" i="12"/>
  <c r="L596" i="12"/>
  <c r="L660" i="12"/>
  <c r="L724" i="12"/>
  <c r="L788" i="12"/>
  <c r="L852" i="12"/>
  <c r="L37" i="12"/>
  <c r="L101" i="12"/>
  <c r="L165" i="12"/>
  <c r="L229" i="12"/>
  <c r="L293" i="12"/>
  <c r="L357" i="12"/>
  <c r="L421" i="12"/>
  <c r="L14" i="12"/>
  <c r="L78" i="12"/>
  <c r="L142" i="12"/>
  <c r="L206" i="12"/>
  <c r="L270" i="12"/>
  <c r="L334" i="12"/>
  <c r="L398" i="12"/>
  <c r="L462" i="12"/>
  <c r="L526" i="12"/>
  <c r="L590" i="12"/>
  <c r="L654" i="12"/>
  <c r="L718" i="12"/>
  <c r="L782" i="12"/>
  <c r="L48" i="12"/>
  <c r="L112" i="12"/>
  <c r="L176" i="12"/>
  <c r="L240" i="12"/>
  <c r="L304" i="12"/>
  <c r="L368" i="12"/>
  <c r="L432" i="12"/>
  <c r="L496" i="12"/>
  <c r="L560" i="12"/>
  <c r="L624" i="12"/>
  <c r="L688" i="12"/>
  <c r="L752" i="12"/>
  <c r="L816" i="12"/>
  <c r="L23" i="12"/>
  <c r="L279" i="12"/>
  <c r="L513" i="12"/>
  <c r="L685" i="12"/>
  <c r="L814" i="12"/>
  <c r="L894" i="12"/>
  <c r="L958" i="12"/>
  <c r="L1022" i="12"/>
  <c r="L1086" i="12"/>
  <c r="L1150" i="12"/>
  <c r="L1214" i="12"/>
  <c r="L66" i="12"/>
  <c r="L130" i="12"/>
  <c r="L194" i="12"/>
  <c r="L258" i="12"/>
  <c r="L322" i="12"/>
  <c r="L386" i="12"/>
  <c r="L450" i="12"/>
  <c r="L514" i="12"/>
  <c r="L578" i="12"/>
  <c r="L642" i="12"/>
  <c r="L706" i="12"/>
  <c r="L19" i="12"/>
  <c r="L83" i="12"/>
  <c r="L147" i="12"/>
  <c r="L211" i="12"/>
  <c r="L275" i="12"/>
  <c r="L339" i="12"/>
  <c r="L403" i="12"/>
  <c r="L467" i="12"/>
  <c r="L531" i="12"/>
  <c r="L595" i="12"/>
  <c r="L659" i="12"/>
  <c r="L723" i="12"/>
  <c r="L28" i="12"/>
  <c r="L92" i="12"/>
  <c r="L156" i="12"/>
  <c r="L220" i="12"/>
  <c r="L284" i="12"/>
  <c r="L348" i="12"/>
  <c r="L412" i="12"/>
  <c r="L476" i="12"/>
  <c r="L540" i="12"/>
  <c r="L604" i="12"/>
  <c r="L668" i="12"/>
  <c r="L732" i="12"/>
  <c r="L796" i="12"/>
  <c r="L860" i="12"/>
  <c r="L45" i="12"/>
  <c r="L109" i="12"/>
  <c r="L173" i="12"/>
  <c r="L237" i="12"/>
  <c r="L301" i="12"/>
  <c r="L365" i="12"/>
  <c r="L429" i="12"/>
  <c r="L22" i="12"/>
  <c r="L86" i="12"/>
  <c r="L150" i="12"/>
  <c r="L214" i="12"/>
  <c r="L278" i="12"/>
  <c r="L342" i="12"/>
  <c r="L406" i="12"/>
  <c r="L470" i="12"/>
  <c r="L534" i="12"/>
  <c r="L598" i="12"/>
  <c r="L662" i="12"/>
  <c r="L726" i="12"/>
  <c r="L790" i="12"/>
  <c r="L56" i="12"/>
  <c r="L120" i="12"/>
  <c r="L184" i="12"/>
  <c r="L248" i="12"/>
  <c r="L312" i="12"/>
  <c r="L376" i="12"/>
  <c r="L440" i="12"/>
  <c r="L504" i="12"/>
  <c r="L568" i="12"/>
  <c r="L632" i="12"/>
  <c r="L696" i="12"/>
  <c r="L760" i="12"/>
  <c r="L824" i="12"/>
  <c r="L55" i="12"/>
  <c r="L311" i="12"/>
  <c r="L535" i="12"/>
  <c r="L705" i="12"/>
  <c r="L825" i="12"/>
  <c r="L902" i="12"/>
  <c r="L966" i="12"/>
  <c r="L1030" i="12"/>
  <c r="L1094" i="12"/>
  <c r="L1158" i="12"/>
  <c r="L1222" i="12"/>
  <c r="L1286" i="12"/>
  <c r="L1350" i="12"/>
  <c r="L10" i="12"/>
  <c r="L74" i="12"/>
  <c r="L138" i="12"/>
  <c r="L202" i="12"/>
  <c r="L266" i="12"/>
  <c r="L330" i="12"/>
  <c r="L394" i="12"/>
  <c r="L458" i="12"/>
  <c r="L522" i="12"/>
  <c r="L586" i="12"/>
  <c r="L650" i="12"/>
  <c r="L714" i="12"/>
  <c r="L27" i="12"/>
  <c r="L91" i="12"/>
  <c r="L155" i="12"/>
  <c r="L219" i="12"/>
  <c r="L283" i="12"/>
  <c r="L347" i="12"/>
  <c r="L411" i="12"/>
  <c r="L475" i="12"/>
  <c r="L539" i="12"/>
  <c r="L603" i="12"/>
  <c r="L667" i="12"/>
  <c r="L731" i="12"/>
  <c r="L36" i="12"/>
  <c r="L100" i="12"/>
  <c r="L164" i="12"/>
  <c r="L228" i="12"/>
  <c r="L292" i="12"/>
  <c r="L356" i="12"/>
  <c r="L420" i="12"/>
  <c r="L484" i="12"/>
  <c r="L548" i="12"/>
  <c r="L612" i="12"/>
  <c r="L676" i="12"/>
  <c r="L740" i="12"/>
  <c r="L804" i="12"/>
  <c r="L868" i="12"/>
  <c r="L53" i="12"/>
  <c r="L117" i="12"/>
  <c r="L181" i="12"/>
  <c r="L245" i="12"/>
  <c r="L309" i="12"/>
  <c r="L373" i="12"/>
  <c r="L437" i="12"/>
  <c r="L30" i="12"/>
  <c r="L94" i="12"/>
  <c r="L158" i="12"/>
  <c r="L222" i="12"/>
  <c r="L286" i="12"/>
  <c r="L350" i="12"/>
  <c r="L414" i="12"/>
  <c r="L478" i="12"/>
  <c r="L542" i="12"/>
  <c r="L606" i="12"/>
  <c r="L670" i="12"/>
  <c r="L734" i="12"/>
  <c r="L798" i="12"/>
  <c r="L64" i="12"/>
  <c r="L128" i="12"/>
  <c r="L192" i="12"/>
  <c r="L256" i="12"/>
  <c r="L320" i="12"/>
  <c r="L384" i="12"/>
  <c r="L448" i="12"/>
  <c r="L512" i="12"/>
  <c r="L576" i="12"/>
  <c r="L640" i="12"/>
  <c r="L704" i="12"/>
  <c r="L768" i="12"/>
  <c r="L832" i="12"/>
  <c r="L87" i="12"/>
  <c r="L343" i="12"/>
  <c r="L557" i="12"/>
  <c r="L727" i="12"/>
  <c r="L835" i="12"/>
  <c r="L910" i="12"/>
  <c r="L974" i="12"/>
  <c r="L1038" i="12"/>
  <c r="L1102" i="12"/>
  <c r="L1166" i="12"/>
  <c r="L1230" i="12"/>
  <c r="L1294" i="12"/>
  <c r="L1358" i="12"/>
  <c r="L18" i="12"/>
  <c r="L82" i="12"/>
  <c r="L146" i="12"/>
  <c r="L210" i="12"/>
  <c r="L274" i="12"/>
  <c r="L338" i="12"/>
  <c r="L402" i="12"/>
  <c r="L466" i="12"/>
  <c r="L530" i="12"/>
  <c r="L594" i="12"/>
  <c r="L658" i="12"/>
  <c r="L722" i="12"/>
  <c r="L35" i="12"/>
  <c r="L99" i="12"/>
  <c r="L163" i="12"/>
  <c r="L227" i="12"/>
  <c r="L291" i="12"/>
  <c r="L355" i="12"/>
  <c r="L419" i="12"/>
  <c r="L483" i="12"/>
  <c r="L547" i="12"/>
  <c r="L611" i="12"/>
  <c r="L675" i="12"/>
  <c r="L739" i="12"/>
  <c r="L44" i="12"/>
  <c r="L108" i="12"/>
  <c r="L172" i="12"/>
  <c r="L236" i="12"/>
  <c r="L300" i="12"/>
  <c r="L364" i="12"/>
  <c r="L428" i="12"/>
  <c r="L492" i="12"/>
  <c r="L556" i="12"/>
  <c r="L620" i="12"/>
  <c r="L684" i="12"/>
  <c r="L748" i="12"/>
  <c r="L812" i="12"/>
  <c r="L876" i="12"/>
  <c r="L61" i="12"/>
  <c r="L125" i="12"/>
  <c r="L189" i="12"/>
  <c r="L253" i="12"/>
  <c r="L317" i="12"/>
  <c r="L381" i="12"/>
  <c r="L445" i="12"/>
  <c r="L38" i="12"/>
  <c r="L102" i="12"/>
  <c r="L166" i="12"/>
  <c r="L230" i="12"/>
  <c r="L294" i="12"/>
  <c r="L358" i="12"/>
  <c r="L422" i="12"/>
  <c r="L486" i="12"/>
  <c r="L550" i="12"/>
  <c r="L614" i="12"/>
  <c r="L678" i="12"/>
  <c r="L742" i="12"/>
  <c r="L8" i="12"/>
  <c r="L72" i="12"/>
  <c r="L136" i="12"/>
  <c r="L200" i="12"/>
  <c r="L264" i="12"/>
  <c r="L328" i="12"/>
  <c r="L392" i="12"/>
  <c r="L456" i="12"/>
  <c r="L520" i="12"/>
  <c r="L584" i="12"/>
  <c r="L648" i="12"/>
  <c r="L712" i="12"/>
  <c r="L776" i="12"/>
  <c r="L840" i="12"/>
  <c r="L119" i="12"/>
  <c r="L375" i="12"/>
  <c r="L577" i="12"/>
  <c r="L749" i="12"/>
  <c r="L846" i="12"/>
  <c r="L918" i="12"/>
  <c r="L982" i="12"/>
  <c r="L1046" i="12"/>
  <c r="L1110" i="12"/>
  <c r="L1174" i="12"/>
  <c r="L1238" i="12"/>
  <c r="L1302" i="12"/>
  <c r="L1366" i="12"/>
  <c r="L1430" i="12"/>
  <c r="L26" i="12"/>
  <c r="L90" i="12"/>
  <c r="L34" i="12"/>
  <c r="L98" i="12"/>
  <c r="L162" i="12"/>
  <c r="L226" i="12"/>
  <c r="L290" i="12"/>
  <c r="L354" i="12"/>
  <c r="L418" i="12"/>
  <c r="L482" i="12"/>
  <c r="L546" i="12"/>
  <c r="L610" i="12"/>
  <c r="L674" i="12"/>
  <c r="L738" i="12"/>
  <c r="L51" i="12"/>
  <c r="L115" i="12"/>
  <c r="L179" i="12"/>
  <c r="L243" i="12"/>
  <c r="L307" i="12"/>
  <c r="L371" i="12"/>
  <c r="L435" i="12"/>
  <c r="L499" i="12"/>
  <c r="L563" i="12"/>
  <c r="L627" i="12"/>
  <c r="L691" i="12"/>
  <c r="L755" i="12"/>
  <c r="L60" i="12"/>
  <c r="L124" i="12"/>
  <c r="L188" i="12"/>
  <c r="L252" i="12"/>
  <c r="L316" i="12"/>
  <c r="L380" i="12"/>
  <c r="L42" i="12"/>
  <c r="L106" i="12"/>
  <c r="L170" i="12"/>
  <c r="L234" i="12"/>
  <c r="L298" i="12"/>
  <c r="L362" i="12"/>
  <c r="L426" i="12"/>
  <c r="L490" i="12"/>
  <c r="L554" i="12"/>
  <c r="L618" i="12"/>
  <c r="L682" i="12"/>
  <c r="L746" i="12"/>
  <c r="L59" i="12"/>
  <c r="L123" i="12"/>
  <c r="L187" i="12"/>
  <c r="L251" i="12"/>
  <c r="L315" i="12"/>
  <c r="L379" i="12"/>
  <c r="L443" i="12"/>
  <c r="L507" i="12"/>
  <c r="L571" i="12"/>
  <c r="L635" i="12"/>
  <c r="L699" i="12"/>
  <c r="L4" i="12"/>
  <c r="L68" i="12"/>
  <c r="L132" i="12"/>
  <c r="L196" i="12"/>
  <c r="L260" i="12"/>
  <c r="L324" i="12"/>
  <c r="L388" i="12"/>
  <c r="L452" i="12"/>
  <c r="L516" i="12"/>
  <c r="L580" i="12"/>
  <c r="L644" i="12"/>
  <c r="L708" i="12"/>
  <c r="L772" i="12"/>
  <c r="L836" i="12"/>
  <c r="L21" i="12"/>
  <c r="L85" i="12"/>
  <c r="L149" i="12"/>
  <c r="L213" i="12"/>
  <c r="L277" i="12"/>
  <c r="L341" i="12"/>
  <c r="L405" i="12"/>
  <c r="L469" i="12"/>
  <c r="L62" i="12"/>
  <c r="L126" i="12"/>
  <c r="L190" i="12"/>
  <c r="L254" i="12"/>
  <c r="L318" i="12"/>
  <c r="L382" i="12"/>
  <c r="L446" i="12"/>
  <c r="L510" i="12"/>
  <c r="L574" i="12"/>
  <c r="L638" i="12"/>
  <c r="L702" i="12"/>
  <c r="L766" i="12"/>
  <c r="L32" i="12"/>
  <c r="L96" i="12"/>
  <c r="L160" i="12"/>
  <c r="L224" i="12"/>
  <c r="L288" i="12"/>
  <c r="L352" i="12"/>
  <c r="L416" i="12"/>
  <c r="L480" i="12"/>
  <c r="L544" i="12"/>
  <c r="L608" i="12"/>
  <c r="L672" i="12"/>
  <c r="L736" i="12"/>
  <c r="L800" i="12"/>
  <c r="L864" i="12"/>
  <c r="L215" i="12"/>
  <c r="L471" i="12"/>
  <c r="L641" i="12"/>
  <c r="L791" i="12"/>
  <c r="L878" i="12"/>
  <c r="L942" i="12"/>
  <c r="L1006" i="12"/>
  <c r="L1070" i="12"/>
  <c r="L1134" i="12"/>
  <c r="L1198" i="12"/>
  <c r="L1262" i="12"/>
  <c r="L1326" i="12"/>
  <c r="L1390" i="12"/>
  <c r="L50" i="12"/>
  <c r="L114" i="12"/>
  <c r="L178" i="12"/>
  <c r="L242" i="12"/>
  <c r="L306" i="12"/>
  <c r="L370" i="12"/>
  <c r="L434" i="12"/>
  <c r="L498" i="12"/>
  <c r="L562" i="12"/>
  <c r="L626" i="12"/>
  <c r="L690" i="12"/>
  <c r="L754" i="12"/>
  <c r="L67" i="12"/>
  <c r="L131" i="12"/>
  <c r="L195" i="12"/>
  <c r="L259" i="12"/>
  <c r="L323" i="12"/>
  <c r="L387" i="12"/>
  <c r="L451" i="12"/>
  <c r="L515" i="12"/>
  <c r="L579" i="12"/>
  <c r="L643" i="12"/>
  <c r="L707" i="12"/>
  <c r="L12" i="12"/>
  <c r="L76" i="12"/>
  <c r="L140" i="12"/>
  <c r="L204" i="12"/>
  <c r="L268" i="12"/>
  <c r="L332" i="12"/>
  <c r="L396" i="12"/>
  <c r="L460" i="12"/>
  <c r="L524" i="12"/>
  <c r="L588" i="12"/>
  <c r="L652" i="12"/>
  <c r="L716" i="12"/>
  <c r="L780" i="12"/>
  <c r="L844" i="12"/>
  <c r="L29" i="12"/>
  <c r="L93" i="12"/>
  <c r="L157" i="12"/>
  <c r="L221" i="12"/>
  <c r="L285" i="12"/>
  <c r="L349" i="12"/>
  <c r="L413" i="12"/>
  <c r="L6" i="12"/>
  <c r="L70" i="12"/>
  <c r="L134" i="12"/>
  <c r="L198" i="12"/>
  <c r="L262" i="12"/>
  <c r="L326" i="12"/>
  <c r="L390" i="12"/>
  <c r="L454" i="12"/>
  <c r="L518" i="12"/>
  <c r="L582" i="12"/>
  <c r="L646" i="12"/>
  <c r="L710" i="12"/>
  <c r="L774" i="12"/>
  <c r="L40" i="12"/>
  <c r="L104" i="12"/>
  <c r="L168" i="12"/>
  <c r="L232" i="12"/>
  <c r="L296" i="12"/>
  <c r="L360" i="12"/>
  <c r="L424" i="12"/>
  <c r="L488" i="12"/>
  <c r="L552" i="12"/>
  <c r="L616" i="12"/>
  <c r="L680" i="12"/>
  <c r="L744" i="12"/>
  <c r="L808" i="12"/>
  <c r="L872" i="12"/>
  <c r="L247" i="12"/>
  <c r="L493" i="12"/>
  <c r="L663" i="12"/>
  <c r="L803" i="12"/>
  <c r="L886" i="12"/>
  <c r="L950" i="12"/>
  <c r="L1014" i="12"/>
  <c r="L1078" i="12"/>
  <c r="L1142" i="12"/>
  <c r="L1206" i="12"/>
  <c r="L1270" i="12"/>
  <c r="L1334" i="12"/>
  <c r="L1398" i="12"/>
  <c r="L1462" i="12"/>
  <c r="P51" i="11"/>
  <c r="BI43" i="9" s="1"/>
  <c r="AB40" i="1"/>
  <c r="K37" i="9" s="1"/>
  <c r="E37" i="9"/>
  <c r="N37" i="9" s="1"/>
  <c r="M37" i="9" s="1"/>
  <c r="Q41" i="9"/>
  <c r="Q53" i="9"/>
  <c r="Q52" i="9"/>
  <c r="O653" i="12"/>
  <c r="O654" i="12" s="1"/>
  <c r="O655" i="12" s="1"/>
  <c r="O656" i="12" s="1"/>
  <c r="O657" i="12" s="1"/>
  <c r="O658" i="12" s="1"/>
  <c r="O659" i="12" s="1"/>
  <c r="O660" i="12" s="1"/>
  <c r="O661" i="12" s="1"/>
  <c r="O662" i="12" s="1"/>
  <c r="O663" i="12" s="1"/>
  <c r="O664" i="12" s="1"/>
  <c r="O665" i="12" s="1"/>
  <c r="O666" i="12" s="1"/>
  <c r="O667" i="12" s="1"/>
  <c r="O668" i="12" s="1"/>
  <c r="O669" i="12" s="1"/>
  <c r="O670" i="12" s="1"/>
  <c r="O671" i="12" s="1"/>
  <c r="O672" i="12" s="1"/>
  <c r="O673" i="12" s="1"/>
  <c r="O674" i="12" s="1"/>
  <c r="O675" i="12" s="1"/>
  <c r="O676" i="12" s="1"/>
  <c r="O677" i="12" s="1"/>
  <c r="O678" i="12" s="1"/>
  <c r="O679" i="12" s="1"/>
  <c r="O680" i="12" s="1"/>
  <c r="O681" i="12" s="1"/>
  <c r="O682" i="12" s="1"/>
  <c r="O683" i="12" s="1"/>
  <c r="O684" i="12" s="1"/>
  <c r="O685" i="12" s="1"/>
  <c r="O686" i="12" s="1"/>
  <c r="O687" i="12" s="1"/>
  <c r="O688" i="12" s="1"/>
  <c r="O689" i="12" s="1"/>
  <c r="O690" i="12" s="1"/>
  <c r="O691" i="12" s="1"/>
  <c r="O692" i="12" s="1"/>
  <c r="O693" i="12" s="1"/>
  <c r="O694" i="12" s="1"/>
  <c r="O695" i="12" s="1"/>
  <c r="O696" i="12" s="1"/>
  <c r="O697" i="12" s="1"/>
  <c r="O698" i="12" s="1"/>
  <c r="O699" i="12" s="1"/>
  <c r="O700" i="12" s="1"/>
  <c r="O701" i="12" s="1"/>
  <c r="O702" i="12" s="1"/>
  <c r="O703" i="12" s="1"/>
  <c r="O704" i="12" s="1"/>
  <c r="O705" i="12" s="1"/>
  <c r="O706" i="12" s="1"/>
  <c r="O707" i="12" s="1"/>
  <c r="O708" i="12" s="1"/>
  <c r="O709" i="12" s="1"/>
  <c r="O710" i="12" s="1"/>
  <c r="O1473" i="12"/>
  <c r="O1474" i="12" s="1"/>
  <c r="O1475" i="12" s="1"/>
  <c r="O1476" i="12" s="1"/>
  <c r="O1477" i="12" s="1"/>
  <c r="O1478" i="12" s="1"/>
  <c r="O1479" i="12" s="1"/>
  <c r="O1480" i="12" s="1"/>
  <c r="O1481" i="12" s="1"/>
  <c r="O1482" i="12" s="1"/>
  <c r="O1483" i="12" s="1"/>
  <c r="O1484" i="12" s="1"/>
  <c r="O1485" i="12" s="1"/>
  <c r="O1486" i="12" s="1"/>
  <c r="O1487" i="12" s="1"/>
  <c r="O1488" i="12" s="1"/>
  <c r="O1489" i="12" s="1"/>
  <c r="O1490" i="12" s="1"/>
  <c r="O1491" i="12" s="1"/>
  <c r="O1492" i="12" s="1"/>
  <c r="O1493" i="12" s="1"/>
  <c r="O1494" i="12" s="1"/>
  <c r="O1495" i="12" s="1"/>
  <c r="O1496" i="12" s="1"/>
  <c r="O1497" i="12" s="1"/>
  <c r="O1498" i="12" s="1"/>
  <c r="O1499" i="12" s="1"/>
  <c r="O1500" i="12" s="1"/>
  <c r="O1501" i="12" s="1"/>
  <c r="O1502" i="12" s="1"/>
  <c r="O1503" i="12" s="1"/>
  <c r="O1504" i="12" s="1"/>
  <c r="O1505" i="12" s="1"/>
  <c r="O1506" i="12" s="1"/>
  <c r="O1507" i="12" s="1"/>
  <c r="O1508" i="12" s="1"/>
  <c r="O1509" i="12" s="1"/>
  <c r="O1510" i="12" s="1"/>
  <c r="O1511" i="12" s="1"/>
  <c r="O1512" i="12" s="1"/>
  <c r="O2873" i="12"/>
  <c r="O2874" i="12" s="1"/>
  <c r="O2875" i="12" s="1"/>
  <c r="O2876" i="12" s="1"/>
  <c r="O2877" i="12" s="1"/>
  <c r="O2878" i="12" s="1"/>
  <c r="O2879" i="12" s="1"/>
  <c r="O2880" i="12" s="1"/>
  <c r="O2881" i="12" s="1"/>
  <c r="O2882" i="12" s="1"/>
  <c r="O2883" i="12" s="1"/>
  <c r="O2884" i="12" s="1"/>
  <c r="O2885" i="12" s="1"/>
  <c r="O2886" i="12" s="1"/>
  <c r="O2887" i="12" s="1"/>
  <c r="O2888" i="12" s="1"/>
  <c r="O2889" i="12" s="1"/>
  <c r="O2890" i="12" s="1"/>
  <c r="O2891" i="12" s="1"/>
  <c r="O2892" i="12" s="1"/>
  <c r="O2893" i="12" s="1"/>
  <c r="O2894" i="12" s="1"/>
  <c r="O2895" i="12" s="1"/>
  <c r="O2896" i="12" s="1"/>
  <c r="O2897" i="12" s="1"/>
  <c r="O2898" i="12" s="1"/>
  <c r="O2899" i="12" s="1"/>
  <c r="O2900" i="12" s="1"/>
  <c r="O2901" i="12" s="1"/>
  <c r="O2902" i="12" s="1"/>
  <c r="O2903" i="12" s="1"/>
  <c r="O2904" i="12" s="1"/>
  <c r="O2905" i="12" s="1"/>
  <c r="O2906" i="12" s="1"/>
  <c r="O2907" i="12" s="1"/>
  <c r="O2908" i="12" s="1"/>
  <c r="O2909" i="12" s="1"/>
  <c r="O2910" i="12" s="1"/>
  <c r="O2911" i="12" s="1"/>
  <c r="O2912" i="12" s="1"/>
  <c r="O2913" i="12" s="1"/>
  <c r="O2914" i="12" s="1"/>
  <c r="O2915" i="12" s="1"/>
  <c r="O2916" i="12" s="1"/>
  <c r="O2917" i="12" s="1"/>
  <c r="O2918" i="12" s="1"/>
  <c r="O2919" i="12" s="1"/>
  <c r="O2920" i="12" s="1"/>
  <c r="O2921" i="12" s="1"/>
  <c r="O2922" i="12" s="1"/>
  <c r="O2923" i="12" s="1"/>
  <c r="O2924" i="12" s="1"/>
  <c r="O2925" i="12" s="1"/>
  <c r="O2926" i="12" s="1"/>
  <c r="O2927" i="12" s="1"/>
  <c r="O2928" i="12" s="1"/>
  <c r="O2929" i="12" s="1"/>
  <c r="O2930" i="12" s="1"/>
  <c r="O2931" i="12" s="1"/>
  <c r="O2932" i="12" s="1"/>
  <c r="O2933" i="12" s="1"/>
  <c r="O2934" i="12" s="1"/>
  <c r="O2935" i="12" s="1"/>
  <c r="O2936" i="12" s="1"/>
  <c r="O2937" i="12" s="1"/>
  <c r="O2938" i="12" s="1"/>
  <c r="O2939" i="12" s="1"/>
  <c r="O2940" i="12" s="1"/>
  <c r="O2941" i="12" s="1"/>
  <c r="O2942" i="12" s="1"/>
  <c r="O2943" i="12" s="1"/>
  <c r="O2944" i="12" s="1"/>
  <c r="O2945" i="12" s="1"/>
  <c r="O2946" i="12" s="1"/>
  <c r="O2947" i="12" s="1"/>
  <c r="O2948" i="12" s="1"/>
  <c r="O2949" i="12" s="1"/>
  <c r="O2950" i="12" s="1"/>
  <c r="O2951" i="12" s="1"/>
  <c r="O2952" i="12" s="1"/>
  <c r="O2953" i="12" s="1"/>
  <c r="O2954" i="12" s="1"/>
  <c r="O2955" i="12" s="1"/>
  <c r="O2956" i="12" s="1"/>
  <c r="O2957" i="12" s="1"/>
  <c r="O2958" i="12" s="1"/>
  <c r="O2959" i="12" s="1"/>
  <c r="O2960" i="12" s="1"/>
  <c r="O2961" i="12" s="1"/>
  <c r="O2962" i="12" s="1"/>
  <c r="O2963" i="12" s="1"/>
  <c r="O2964" i="12" s="1"/>
  <c r="O2965" i="12" s="1"/>
  <c r="O2966" i="12" s="1"/>
  <c r="O2967" i="12" s="1"/>
  <c r="O2968" i="12" s="1"/>
  <c r="O2969" i="12" s="1"/>
  <c r="O2970" i="12" s="1"/>
  <c r="O2971" i="12" s="1"/>
  <c r="O2972" i="12" s="1"/>
  <c r="O2973" i="12" s="1"/>
  <c r="O2974" i="12" s="1"/>
  <c r="O2975" i="12" s="1"/>
  <c r="O2976" i="12" s="1"/>
  <c r="O2977" i="12" s="1"/>
  <c r="O2978" i="12" s="1"/>
  <c r="O2979" i="12" s="1"/>
  <c r="O2980" i="12" s="1"/>
  <c r="O2981" i="12" s="1"/>
  <c r="O2982" i="12" s="1"/>
  <c r="O2983" i="12" s="1"/>
  <c r="O2984" i="12" s="1"/>
  <c r="O2985" i="12" s="1"/>
  <c r="O2986" i="12" s="1"/>
  <c r="O2987" i="12" s="1"/>
  <c r="O2988" i="12" s="1"/>
  <c r="O2989" i="12" s="1"/>
  <c r="O2990" i="12" s="1"/>
  <c r="O2991" i="12" s="1"/>
  <c r="O2992" i="12" s="1"/>
  <c r="O2993" i="12" s="1"/>
  <c r="O2994" i="12" s="1"/>
  <c r="O2995" i="12" s="1"/>
  <c r="O2996" i="12" s="1"/>
  <c r="O2997" i="12" s="1"/>
  <c r="O2998" i="12" s="1"/>
  <c r="O2999" i="12" s="1"/>
  <c r="O3000" i="12" s="1"/>
  <c r="O3001" i="12" s="1"/>
  <c r="O3002" i="12" s="1"/>
  <c r="O3003" i="12" s="1"/>
  <c r="O3004" i="12" s="1"/>
  <c r="O3005" i="12" s="1"/>
  <c r="O3006" i="12" s="1"/>
  <c r="O3007" i="12" s="1"/>
  <c r="O3008" i="12" s="1"/>
  <c r="O3009" i="12" s="1"/>
  <c r="O3010" i="12" s="1"/>
  <c r="O3011" i="12" s="1"/>
  <c r="O3012" i="12" s="1"/>
  <c r="O3013" i="12" s="1"/>
  <c r="O3014" i="12" s="1"/>
  <c r="O3015" i="12" s="1"/>
  <c r="O3016" i="12" s="1"/>
  <c r="O3017" i="12" s="1"/>
  <c r="O3018" i="12" s="1"/>
  <c r="O3019" i="12" s="1"/>
  <c r="O3020" i="12" s="1"/>
  <c r="O3021" i="12" s="1"/>
  <c r="O3022" i="12" s="1"/>
  <c r="O3023" i="12" s="1"/>
  <c r="O3024" i="12" s="1"/>
  <c r="O3025" i="12" s="1"/>
  <c r="O3026" i="12" s="1"/>
  <c r="O3027" i="12" s="1"/>
  <c r="O3028" i="12" s="1"/>
  <c r="O3029" i="12" s="1"/>
  <c r="O3030" i="12" s="1"/>
  <c r="O3031" i="12" s="1"/>
  <c r="O3032" i="12" s="1"/>
  <c r="O3033" i="12" s="1"/>
  <c r="O3034" i="12" s="1"/>
  <c r="O711" i="12"/>
  <c r="O712" i="12" s="1"/>
  <c r="O713" i="12" s="1"/>
  <c r="O714" i="12" s="1"/>
  <c r="O715" i="12" s="1"/>
  <c r="O716" i="12" s="1"/>
  <c r="O717" i="12" s="1"/>
  <c r="O718" i="12" s="1"/>
  <c r="O719" i="12" s="1"/>
  <c r="O720" i="12" s="1"/>
  <c r="O721" i="12" s="1"/>
  <c r="O722" i="12" s="1"/>
  <c r="O723" i="12" s="1"/>
  <c r="O724" i="12" s="1"/>
  <c r="O1513" i="12"/>
  <c r="O1514" i="12" s="1"/>
  <c r="O1515" i="12" s="1"/>
  <c r="O1516" i="12" s="1"/>
  <c r="O1517" i="12" s="1"/>
  <c r="O1518" i="12" s="1"/>
  <c r="O1519" i="12" s="1"/>
  <c r="O1520" i="12" s="1"/>
  <c r="O1521" i="12" s="1"/>
  <c r="O1522" i="12" s="1"/>
  <c r="O1523" i="12" s="1"/>
  <c r="O1524" i="12" s="1"/>
  <c r="O1525" i="12" s="1"/>
  <c r="O1526" i="12" s="1"/>
  <c r="O1527" i="12" s="1"/>
  <c r="O1528" i="12" s="1"/>
  <c r="O1529" i="12" s="1"/>
  <c r="O1530" i="12" s="1"/>
  <c r="O1531" i="12" s="1"/>
  <c r="O1532" i="12" s="1"/>
  <c r="O1533" i="12" s="1"/>
  <c r="O1534" i="12" s="1"/>
  <c r="O1535" i="12" s="1"/>
  <c r="O1536" i="12" s="1"/>
  <c r="O1537" i="12" s="1"/>
  <c r="O1538" i="12" s="1"/>
  <c r="O1539" i="12" s="1"/>
  <c r="O1540" i="12" s="1"/>
  <c r="O1541" i="12" s="1"/>
  <c r="O1542" i="12" s="1"/>
  <c r="O1543" i="12" s="1"/>
  <c r="O1544" i="12" s="1"/>
  <c r="O1545" i="12" s="1"/>
  <c r="O1546" i="12" s="1"/>
  <c r="O1547" i="12" s="1"/>
  <c r="O1548" i="12" s="1"/>
  <c r="O1549" i="12" s="1"/>
  <c r="O1550" i="12" s="1"/>
  <c r="O1551" i="12" s="1"/>
  <c r="O1552" i="12" s="1"/>
  <c r="O1553" i="12" s="1"/>
  <c r="O1554" i="12" s="1"/>
  <c r="O1555" i="12" s="1"/>
  <c r="O1556" i="12" s="1"/>
  <c r="O1557" i="12" s="1"/>
  <c r="O1558" i="12" s="1"/>
  <c r="O1559" i="12" s="1"/>
  <c r="O1560" i="12" s="1"/>
  <c r="O1561" i="12" s="1"/>
  <c r="O1562" i="12" s="1"/>
  <c r="O1563" i="12" s="1"/>
  <c r="O1564" i="12" s="1"/>
  <c r="O1565" i="12" s="1"/>
  <c r="O1566" i="12" s="1"/>
  <c r="O1567" i="12" s="1"/>
  <c r="O1568" i="12" s="1"/>
  <c r="O1569" i="12" s="1"/>
  <c r="O1570" i="12" s="1"/>
  <c r="O1571" i="12" s="1"/>
  <c r="O1572" i="12" s="1"/>
  <c r="O1573" i="12" s="1"/>
  <c r="O1574" i="12" s="1"/>
  <c r="O1575" i="12" s="1"/>
  <c r="O1576" i="12" s="1"/>
  <c r="O1577" i="12" s="1"/>
  <c r="O1578" i="12" s="1"/>
  <c r="O1579" i="12" s="1"/>
  <c r="O1580" i="12" s="1"/>
  <c r="O1581" i="12" s="1"/>
  <c r="O1582" i="12" s="1"/>
  <c r="O1583" i="12" s="1"/>
  <c r="O1584" i="12" s="1"/>
  <c r="O1585" i="12" s="1"/>
  <c r="O1586" i="12" s="1"/>
  <c r="O1587" i="12" s="1"/>
  <c r="O1588" i="12" s="1"/>
  <c r="O1589" i="12" s="1"/>
  <c r="O1590" i="12" s="1"/>
  <c r="O1591" i="12" s="1"/>
  <c r="O1592" i="12" s="1"/>
  <c r="O1593" i="12" s="1"/>
  <c r="O1594" i="12" s="1"/>
  <c r="O1595" i="12" s="1"/>
  <c r="O1596" i="12" s="1"/>
  <c r="O1597" i="12" s="1"/>
  <c r="O1598" i="12" s="1"/>
  <c r="O1599" i="12" s="1"/>
  <c r="O1600" i="12" s="1"/>
  <c r="O1601" i="12" s="1"/>
  <c r="O1602" i="12" s="1"/>
  <c r="O1603" i="12" s="1"/>
  <c r="O1604" i="12" s="1"/>
  <c r="O1605" i="12" s="1"/>
  <c r="O1606" i="12" s="1"/>
  <c r="O1607" i="12" s="1"/>
  <c r="O1608" i="12" s="1"/>
  <c r="O1609" i="12" s="1"/>
  <c r="O1610" i="12" s="1"/>
  <c r="O1611" i="12" s="1"/>
  <c r="O1612" i="12" s="1"/>
  <c r="O1613" i="12" s="1"/>
  <c r="O1614" i="12" s="1"/>
  <c r="O1615" i="12" s="1"/>
  <c r="O1616" i="12" s="1"/>
  <c r="O1617" i="12" s="1"/>
  <c r="O1618" i="12" s="1"/>
  <c r="O1619" i="12" s="1"/>
  <c r="O1620" i="12" s="1"/>
  <c r="O1621" i="12" s="1"/>
  <c r="O1622" i="12" s="1"/>
  <c r="O1623" i="12" s="1"/>
  <c r="O1624" i="12" s="1"/>
  <c r="O1625" i="12" s="1"/>
  <c r="O1626" i="12" s="1"/>
  <c r="O1627" i="12" s="1"/>
  <c r="O1628" i="12" s="1"/>
  <c r="O1629" i="12" s="1"/>
  <c r="O1630" i="12" s="1"/>
  <c r="O1631" i="12" s="1"/>
  <c r="O1632" i="12" s="1"/>
  <c r="O1633" i="12" s="1"/>
  <c r="O1634" i="12" s="1"/>
  <c r="O1635" i="12" s="1"/>
  <c r="O1636" i="12" s="1"/>
  <c r="O1637" i="12" s="1"/>
  <c r="O1638" i="12" s="1"/>
  <c r="O1639" i="12" s="1"/>
  <c r="O1640" i="12" s="1"/>
  <c r="O1641" i="12" s="1"/>
  <c r="O1642" i="12" s="1"/>
  <c r="O1643" i="12" s="1"/>
  <c r="O1644" i="12" s="1"/>
  <c r="O1645" i="12" s="1"/>
  <c r="O1646" i="12" s="1"/>
  <c r="O1647" i="12" s="1"/>
  <c r="O1648" i="12" s="1"/>
  <c r="O1649" i="12" s="1"/>
  <c r="O1650" i="12" s="1"/>
  <c r="O1651" i="12" s="1"/>
  <c r="O1652" i="12" s="1"/>
  <c r="O1653" i="12" s="1"/>
  <c r="O1654" i="12" s="1"/>
  <c r="O1655" i="12" s="1"/>
  <c r="O1656" i="12" s="1"/>
  <c r="O1657" i="12" s="1"/>
  <c r="O1658" i="12" s="1"/>
  <c r="O1659" i="12" s="1"/>
  <c r="O1660" i="12" s="1"/>
  <c r="O1661" i="12" s="1"/>
  <c r="O1662" i="12" s="1"/>
  <c r="O1663" i="12" s="1"/>
  <c r="O1664" i="12" s="1"/>
  <c r="O1665" i="12" s="1"/>
  <c r="O1666" i="12" s="1"/>
  <c r="O1667" i="12" s="1"/>
  <c r="O1668" i="12" s="1"/>
  <c r="O1669" i="12" s="1"/>
  <c r="O1670" i="12" s="1"/>
  <c r="O1671" i="12" s="1"/>
  <c r="O1672" i="12" s="1"/>
  <c r="O3035" i="12"/>
  <c r="O3036" i="12" s="1"/>
  <c r="O3037" i="12" s="1"/>
  <c r="O3038" i="12" s="1"/>
  <c r="O3039" i="12" s="1"/>
  <c r="O3040" i="12" s="1"/>
  <c r="O3041" i="12" s="1"/>
  <c r="O3042" i="12" s="1"/>
  <c r="O3043" i="12" s="1"/>
  <c r="O3044" i="12" s="1"/>
  <c r="O3045" i="12" s="1"/>
  <c r="O3046" i="12" s="1"/>
  <c r="O3047" i="12" s="1"/>
  <c r="O3048" i="12" s="1"/>
  <c r="O3049" i="12" s="1"/>
  <c r="O3050" i="12" s="1"/>
  <c r="O3051" i="12" s="1"/>
  <c r="O3052" i="12" s="1"/>
  <c r="O3053" i="12" s="1"/>
  <c r="O3054" i="12" s="1"/>
  <c r="O3055" i="12" s="1"/>
  <c r="O3056" i="12" s="1"/>
  <c r="O3057" i="12" s="1"/>
  <c r="O3058" i="12" s="1"/>
  <c r="O3059" i="12" s="1"/>
  <c r="O3060" i="12" s="1"/>
  <c r="O3061" i="12" s="1"/>
  <c r="O3062" i="12" s="1"/>
  <c r="O3063" i="12" s="1"/>
  <c r="O3064" i="12" s="1"/>
  <c r="O3065" i="12" s="1"/>
  <c r="O3066" i="12" s="1"/>
  <c r="O3067" i="12" s="1"/>
  <c r="O3068" i="12" s="1"/>
  <c r="O3069" i="12" s="1"/>
  <c r="O3070" i="12" s="1"/>
  <c r="O3071" i="12" s="1"/>
  <c r="O3072" i="12" s="1"/>
  <c r="O3073" i="12" s="1"/>
  <c r="O3074" i="12" s="1"/>
  <c r="O3075" i="12" s="1"/>
  <c r="O3076" i="12" s="1"/>
  <c r="O3077" i="12" s="1"/>
  <c r="O3078" i="12" s="1"/>
  <c r="O3079" i="12" s="1"/>
  <c r="O3080" i="12" s="1"/>
  <c r="O3081" i="12" s="1"/>
  <c r="O3082" i="12" s="1"/>
  <c r="O3083" i="12" s="1"/>
  <c r="O3084" i="12" s="1"/>
  <c r="O3085" i="12" s="1"/>
  <c r="O3086" i="12" s="1"/>
  <c r="O3087" i="12" s="1"/>
  <c r="O3088" i="12" s="1"/>
  <c r="O3089" i="12" s="1"/>
  <c r="O3090" i="12" s="1"/>
  <c r="O3091" i="12" s="1"/>
  <c r="O3092" i="12" s="1"/>
  <c r="O3093" i="12" s="1"/>
  <c r="O3094" i="12" s="1"/>
  <c r="O3095" i="12" s="1"/>
  <c r="O3096" i="12" s="1"/>
  <c r="O3097" i="12" s="1"/>
  <c r="O3098" i="12" s="1"/>
  <c r="O3099" i="12" s="1"/>
  <c r="O3100" i="12" s="1"/>
  <c r="O3101" i="12" s="1"/>
  <c r="O3102" i="12" s="1"/>
  <c r="O3103" i="12" s="1"/>
  <c r="O3104" i="12" s="1"/>
  <c r="O3105" i="12" s="1"/>
  <c r="O3106" i="12" s="1"/>
  <c r="O3107" i="12" s="1"/>
  <c r="O3108" i="12" s="1"/>
  <c r="O3109" i="12" s="1"/>
  <c r="O3110" i="12" s="1"/>
  <c r="O3111" i="12" s="1"/>
  <c r="O3112" i="12" s="1"/>
  <c r="O3113" i="12" s="1"/>
  <c r="O3114" i="12" s="1"/>
  <c r="O725" i="12"/>
  <c r="O726" i="12" s="1"/>
  <c r="O727" i="12" s="1"/>
  <c r="O728" i="12" s="1"/>
  <c r="O729" i="12" s="1"/>
  <c r="O730" i="12" s="1"/>
  <c r="O731" i="12" s="1"/>
  <c r="O732" i="12" s="1"/>
  <c r="O733" i="12" s="1"/>
  <c r="O734" i="12" s="1"/>
  <c r="O735" i="12" s="1"/>
  <c r="O736" i="12" s="1"/>
  <c r="O737" i="12" s="1"/>
  <c r="O738" i="12" s="1"/>
  <c r="O739" i="12" s="1"/>
  <c r="O740" i="12" s="1"/>
  <c r="O741" i="12" s="1"/>
  <c r="O742" i="12" s="1"/>
  <c r="O743" i="12" s="1"/>
  <c r="O744" i="12" s="1"/>
  <c r="O745" i="12" s="1"/>
  <c r="O746" i="12" s="1"/>
  <c r="O747" i="12" s="1"/>
  <c r="O748" i="12" s="1"/>
  <c r="O749" i="12" s="1"/>
  <c r="O750" i="12" s="1"/>
  <c r="O751" i="12" s="1"/>
  <c r="O752" i="12" s="1"/>
  <c r="O753" i="12" s="1"/>
  <c r="O754" i="12" s="1"/>
  <c r="O755" i="12" s="1"/>
  <c r="O756" i="12" s="1"/>
  <c r="O757" i="12" s="1"/>
  <c r="O758" i="12" s="1"/>
  <c r="O759" i="12" s="1"/>
  <c r="O760" i="12" s="1"/>
  <c r="O761" i="12" s="1"/>
  <c r="O762" i="12" s="1"/>
  <c r="O763" i="12" s="1"/>
  <c r="O764" i="12" s="1"/>
  <c r="O765" i="12" s="1"/>
  <c r="O766" i="12" s="1"/>
  <c r="O767" i="12" s="1"/>
  <c r="O768" i="12" s="1"/>
  <c r="O769" i="12" s="1"/>
  <c r="O770" i="12" s="1"/>
  <c r="O771" i="12" s="1"/>
  <c r="O772" i="12" s="1"/>
  <c r="O773" i="12" s="1"/>
  <c r="O774" i="12" s="1"/>
  <c r="O1673" i="12"/>
  <c r="O1674" i="12" s="1"/>
  <c r="O1675" i="12" s="1"/>
  <c r="O1676" i="12" s="1"/>
  <c r="O1677" i="12" s="1"/>
  <c r="O1678" i="12" s="1"/>
  <c r="O1679" i="12" s="1"/>
  <c r="O1680" i="12" s="1"/>
  <c r="O1681" i="12" s="1"/>
  <c r="O1682" i="12" s="1"/>
  <c r="O1683" i="12" s="1"/>
  <c r="O1684" i="12" s="1"/>
  <c r="O1685" i="12" s="1"/>
  <c r="O1686" i="12" s="1"/>
  <c r="O1687" i="12" s="1"/>
  <c r="O1688" i="12" s="1"/>
  <c r="O1689" i="12" s="1"/>
  <c r="O1690" i="12" s="1"/>
  <c r="O1691" i="12" s="1"/>
  <c r="O1692" i="12" s="1"/>
  <c r="O1693" i="12" s="1"/>
  <c r="O1694" i="12" s="1"/>
  <c r="O1695" i="12" s="1"/>
  <c r="O1696" i="12" s="1"/>
  <c r="O1697" i="12" s="1"/>
  <c r="O1698" i="12" s="1"/>
  <c r="O1699" i="12" s="1"/>
  <c r="O1700" i="12" s="1"/>
  <c r="O1701" i="12" s="1"/>
  <c r="O1702" i="12" s="1"/>
  <c r="O1703" i="12" s="1"/>
  <c r="O1704" i="12" s="1"/>
  <c r="O1705" i="12" s="1"/>
  <c r="O1706" i="12" s="1"/>
  <c r="O1707" i="12" s="1"/>
  <c r="O1708" i="12" s="1"/>
  <c r="O1709" i="12" s="1"/>
  <c r="O1710" i="12" s="1"/>
  <c r="O1711" i="12" s="1"/>
  <c r="O1712" i="12" s="1"/>
  <c r="O1713" i="12" s="1"/>
  <c r="O1714" i="12" s="1"/>
  <c r="O1715" i="12" s="1"/>
  <c r="O1716" i="12" s="1"/>
  <c r="O1717" i="12" s="1"/>
  <c r="O1718" i="12" s="1"/>
  <c r="O1719" i="12" s="1"/>
  <c r="O1720" i="12" s="1"/>
  <c r="O1721" i="12" s="1"/>
  <c r="O1722" i="12" s="1"/>
  <c r="O1723" i="12" s="1"/>
  <c r="O1724" i="12" s="1"/>
  <c r="O1725" i="12" s="1"/>
  <c r="O1726" i="12" s="1"/>
  <c r="O1727" i="12" s="1"/>
  <c r="O1728" i="12" s="1"/>
  <c r="O1729" i="12" s="1"/>
  <c r="O1730" i="12" s="1"/>
  <c r="O1731" i="12" s="1"/>
  <c r="O1732" i="12" s="1"/>
  <c r="O1733" i="12" s="1"/>
  <c r="O1734" i="12" s="1"/>
  <c r="O1735" i="12" s="1"/>
  <c r="O1736" i="12" s="1"/>
  <c r="O1737" i="12" s="1"/>
  <c r="O1738" i="12" s="1"/>
  <c r="O1739" i="12" s="1"/>
  <c r="O1740" i="12" s="1"/>
  <c r="O1741" i="12" s="1"/>
  <c r="O1742" i="12" s="1"/>
  <c r="O1743" i="12" s="1"/>
  <c r="O1744" i="12" s="1"/>
  <c r="O1745" i="12" s="1"/>
  <c r="O1746" i="12" s="1"/>
  <c r="O1747" i="12" s="1"/>
  <c r="O1748" i="12" s="1"/>
  <c r="O1749" i="12" s="1"/>
  <c r="O1750" i="12" s="1"/>
  <c r="O1751" i="12" s="1"/>
  <c r="O1752" i="12" s="1"/>
  <c r="O1753" i="12" s="1"/>
  <c r="O1754" i="12" s="1"/>
  <c r="O1755" i="12" s="1"/>
  <c r="O1756" i="12" s="1"/>
  <c r="O1757" i="12" s="1"/>
  <c r="O1758" i="12" s="1"/>
  <c r="O1759" i="12" s="1"/>
  <c r="O1760" i="12" s="1"/>
  <c r="O1761" i="12" s="1"/>
  <c r="O1762" i="12" s="1"/>
  <c r="O1763" i="12" s="1"/>
  <c r="O1764" i="12" s="1"/>
  <c r="O1765" i="12" s="1"/>
  <c r="O1766" i="12" s="1"/>
  <c r="O1767" i="12" s="1"/>
  <c r="O1768" i="12" s="1"/>
  <c r="O1769" i="12" s="1"/>
  <c r="O1770" i="12" s="1"/>
  <c r="O1771" i="12" s="1"/>
  <c r="O1772" i="12" s="1"/>
  <c r="O1773" i="12" s="1"/>
  <c r="O1774" i="12" s="1"/>
  <c r="O1775" i="12" s="1"/>
  <c r="O1776" i="12" s="1"/>
  <c r="O1777" i="12" s="1"/>
  <c r="O1778" i="12" s="1"/>
  <c r="O1779" i="12" s="1"/>
  <c r="O1780" i="12" s="1"/>
  <c r="O1781" i="12" s="1"/>
  <c r="O1782" i="12" s="1"/>
  <c r="O1783" i="12" s="1"/>
  <c r="O1784" i="12" s="1"/>
  <c r="O1785" i="12" s="1"/>
  <c r="O1786" i="12" s="1"/>
  <c r="O1787" i="12" s="1"/>
  <c r="O1788" i="12" s="1"/>
  <c r="O1789" i="12" s="1"/>
  <c r="O1790" i="12" s="1"/>
  <c r="O1791" i="12" s="1"/>
  <c r="O1792" i="12" s="1"/>
  <c r="O1793" i="12" s="1"/>
  <c r="O1794" i="12" s="1"/>
  <c r="O1795" i="12" s="1"/>
  <c r="O1796" i="12" s="1"/>
  <c r="O1797" i="12" s="1"/>
  <c r="O1798" i="12" s="1"/>
  <c r="O1799" i="12" s="1"/>
  <c r="O1800" i="12" s="1"/>
  <c r="O1801" i="12" s="1"/>
  <c r="O1802" i="12" s="1"/>
  <c r="O1803" i="12" s="1"/>
  <c r="O1804" i="12" s="1"/>
  <c r="O1805" i="12" s="1"/>
  <c r="O1806" i="12" s="1"/>
  <c r="O1807" i="12" s="1"/>
  <c r="O1808" i="12" s="1"/>
  <c r="O1809" i="12" s="1"/>
  <c r="O1810" i="12" s="1"/>
  <c r="O1811" i="12" s="1"/>
  <c r="O1812" i="12" s="1"/>
  <c r="O1813" i="12" s="1"/>
  <c r="O1814" i="12" s="1"/>
  <c r="O1815" i="12" s="1"/>
  <c r="O1816" i="12" s="1"/>
  <c r="O1817" i="12" s="1"/>
  <c r="O1818" i="12" s="1"/>
  <c r="O1819" i="12" s="1"/>
  <c r="O1820" i="12" s="1"/>
  <c r="O1821" i="12" s="1"/>
  <c r="O1822" i="12" s="1"/>
  <c r="O1823" i="12" s="1"/>
  <c r="O1824" i="12" s="1"/>
  <c r="O1825" i="12" s="1"/>
  <c r="O1826" i="12" s="1"/>
  <c r="O1827" i="12" s="1"/>
  <c r="O1828" i="12" s="1"/>
  <c r="O1829" i="12" s="1"/>
  <c r="O1830" i="12" s="1"/>
  <c r="O1831" i="12" s="1"/>
  <c r="O1832" i="12" s="1"/>
  <c r="O1833" i="12" s="1"/>
  <c r="O1834" i="12" s="1"/>
  <c r="O1835" i="12" s="1"/>
  <c r="O1836" i="12" s="1"/>
  <c r="O1837" i="12" s="1"/>
  <c r="O1838" i="12" s="1"/>
  <c r="O1839" i="12" s="1"/>
  <c r="O1840" i="12" s="1"/>
  <c r="O1841" i="12" s="1"/>
  <c r="O1842" i="12" s="1"/>
  <c r="O1843" i="12" s="1"/>
  <c r="O1844" i="12" s="1"/>
  <c r="O1845" i="12" s="1"/>
  <c r="O1846" i="12" s="1"/>
  <c r="O1847" i="12" s="1"/>
  <c r="O1848" i="12" s="1"/>
  <c r="O1849" i="12" s="1"/>
  <c r="O1850" i="12" s="1"/>
  <c r="O1851" i="12" s="1"/>
  <c r="O1852" i="12" s="1"/>
  <c r="O1853" i="12" s="1"/>
  <c r="O1854" i="12" s="1"/>
  <c r="O1855" i="12" s="1"/>
  <c r="O1856" i="12" s="1"/>
  <c r="O1857" i="12" s="1"/>
  <c r="O1858" i="12" s="1"/>
  <c r="O1859" i="12" s="1"/>
  <c r="O1860" i="12" s="1"/>
  <c r="O1861" i="12" s="1"/>
  <c r="O1862" i="12" s="1"/>
  <c r="O1863" i="12" s="1"/>
  <c r="O1864" i="12" s="1"/>
  <c r="O1865" i="12" s="1"/>
  <c r="O1866" i="12" s="1"/>
  <c r="O1867" i="12" s="1"/>
  <c r="O1868" i="12" s="1"/>
  <c r="O1869" i="12" s="1"/>
  <c r="O1870" i="12" s="1"/>
  <c r="O1871" i="12" s="1"/>
  <c r="O1872" i="12" s="1"/>
  <c r="O1873" i="12" s="1"/>
  <c r="O1874" i="12" s="1"/>
  <c r="O1875" i="12" s="1"/>
  <c r="O1876" i="12" s="1"/>
  <c r="O1877" i="12" s="1"/>
  <c r="O1878" i="12" s="1"/>
  <c r="O1879" i="12" s="1"/>
  <c r="O1880" i="12" s="1"/>
  <c r="O1881" i="12" s="1"/>
  <c r="O1882" i="12" s="1"/>
  <c r="O1883" i="12" s="1"/>
  <c r="O1884" i="12" s="1"/>
  <c r="O1885" i="12" s="1"/>
  <c r="O1886" i="12" s="1"/>
  <c r="O1887" i="12" s="1"/>
  <c r="O1888" i="12" s="1"/>
  <c r="O1889" i="12" s="1"/>
  <c r="O1890" i="12" s="1"/>
  <c r="O1891" i="12" s="1"/>
  <c r="O1892" i="12" s="1"/>
  <c r="O1893" i="12" s="1"/>
  <c r="O1894" i="12" s="1"/>
  <c r="O1895" i="12" s="1"/>
  <c r="O1896" i="12" s="1"/>
  <c r="O1897" i="12" s="1"/>
  <c r="O1898" i="12" s="1"/>
  <c r="O1899" i="12" s="1"/>
  <c r="O1900" i="12" s="1"/>
  <c r="O1901" i="12" s="1"/>
  <c r="O206" i="12"/>
  <c r="O207" i="12" s="1"/>
  <c r="O208" i="12" s="1"/>
  <c r="O209" i="12" s="1"/>
  <c r="O210" i="12" s="1"/>
  <c r="O211" i="12" s="1"/>
  <c r="O212" i="12" s="1"/>
  <c r="O213" i="12" s="1"/>
  <c r="O775" i="12"/>
  <c r="O776" i="12" s="1"/>
  <c r="O777" i="12" s="1"/>
  <c r="O778" i="12" s="1"/>
  <c r="O779" i="12" s="1"/>
  <c r="O780" i="12" s="1"/>
  <c r="O781" i="12" s="1"/>
  <c r="O782" i="12" s="1"/>
  <c r="O783" i="12" s="1"/>
  <c r="O784" i="12" s="1"/>
  <c r="O785" i="12" s="1"/>
  <c r="O786" i="12" s="1"/>
  <c r="O787" i="12" s="1"/>
  <c r="O788" i="12" s="1"/>
  <c r="O789" i="12" s="1"/>
  <c r="O790" i="12" s="1"/>
  <c r="O791" i="12" s="1"/>
  <c r="O792" i="12" s="1"/>
  <c r="O1902" i="12"/>
  <c r="O1903" i="12" s="1"/>
  <c r="O1904" i="12" s="1"/>
  <c r="O1905" i="12" s="1"/>
  <c r="O1906" i="12" s="1"/>
  <c r="O1907" i="12" s="1"/>
  <c r="O1908" i="12" s="1"/>
  <c r="O1909" i="12" s="1"/>
  <c r="O1910" i="12" s="1"/>
  <c r="O1911" i="12" s="1"/>
  <c r="O1912" i="12" s="1"/>
  <c r="O1913" i="12" s="1"/>
  <c r="O1914" i="12" s="1"/>
  <c r="O1915" i="12" s="1"/>
  <c r="O1916" i="12" s="1"/>
  <c r="O1917" i="12" s="1"/>
  <c r="O1918" i="12" s="1"/>
  <c r="O1919" i="12" s="1"/>
  <c r="O1920" i="12" s="1"/>
  <c r="O1921" i="12" s="1"/>
  <c r="O1922" i="12" s="1"/>
  <c r="O1923" i="12" s="1"/>
  <c r="O1924" i="12" s="1"/>
  <c r="O1925" i="12" s="1"/>
  <c r="O1926" i="12" s="1"/>
  <c r="O1927" i="12" s="1"/>
  <c r="O1928" i="12" s="1"/>
  <c r="O1929" i="12" s="1"/>
  <c r="O1930" i="12" s="1"/>
  <c r="O1931" i="12" s="1"/>
  <c r="O1932" i="12" s="1"/>
  <c r="O1933" i="12" s="1"/>
  <c r="O1934" i="12" s="1"/>
  <c r="O1935" i="12" s="1"/>
  <c r="O1936" i="12" s="1"/>
  <c r="O1937" i="12" s="1"/>
  <c r="O1938" i="12" s="1"/>
  <c r="O1939" i="12" s="1"/>
  <c r="O1940" i="12" s="1"/>
  <c r="O1941" i="12" s="1"/>
  <c r="O1942" i="12" s="1"/>
  <c r="O1943" i="12" s="1"/>
  <c r="O1944" i="12" s="1"/>
  <c r="O1945" i="12" s="1"/>
  <c r="O1946" i="12" s="1"/>
  <c r="O1947" i="12" s="1"/>
  <c r="O1948" i="12" s="1"/>
  <c r="O1949" i="12" s="1"/>
  <c r="O1950" i="12" s="1"/>
  <c r="O1951" i="12" s="1"/>
  <c r="O1952" i="12" s="1"/>
  <c r="O1953" i="12" s="1"/>
  <c r="O1954" i="12" s="1"/>
  <c r="O1955" i="12" s="1"/>
  <c r="O1956" i="12" s="1"/>
  <c r="O1957" i="12" s="1"/>
  <c r="O1958" i="12" s="1"/>
  <c r="O1959" i="12" s="1"/>
  <c r="O1960" i="12" s="1"/>
  <c r="O1961" i="12" s="1"/>
  <c r="O1962" i="12" s="1"/>
  <c r="O1963" i="12" s="1"/>
  <c r="O1964" i="12" s="1"/>
  <c r="O1965" i="12" s="1"/>
  <c r="O1966" i="12" s="1"/>
  <c r="O1967" i="12" s="1"/>
  <c r="O1968" i="12" s="1"/>
  <c r="O1969" i="12" s="1"/>
  <c r="O1970" i="12" s="1"/>
  <c r="O1971" i="12" s="1"/>
  <c r="O1972" i="12" s="1"/>
  <c r="O1973" i="12" s="1"/>
  <c r="O1974" i="12" s="1"/>
  <c r="O1975" i="12" s="1"/>
  <c r="O1976" i="12" s="1"/>
  <c r="O1977" i="12" s="1"/>
  <c r="O1978" i="12" s="1"/>
  <c r="O1979" i="12" s="1"/>
  <c r="O1980" i="12" s="1"/>
  <c r="O1981" i="12" s="1"/>
  <c r="O1982" i="12" s="1"/>
  <c r="O1983" i="12" s="1"/>
  <c r="O1984" i="12" s="1"/>
  <c r="O1985" i="12" s="1"/>
  <c r="O1986" i="12" s="1"/>
  <c r="O1987" i="12" s="1"/>
  <c r="O1988" i="12" s="1"/>
  <c r="O1989" i="12" s="1"/>
  <c r="O1990" i="12" s="1"/>
  <c r="O1991" i="12" s="1"/>
  <c r="O1992" i="12" s="1"/>
  <c r="O1993" i="12" s="1"/>
  <c r="O1994" i="12" s="1"/>
  <c r="O1995" i="12" s="1"/>
  <c r="O1996" i="12" s="1"/>
  <c r="O1997" i="12" s="1"/>
  <c r="O1998" i="12" s="1"/>
  <c r="O1999" i="12" s="1"/>
  <c r="O2000" i="12" s="1"/>
  <c r="O2001" i="12" s="1"/>
  <c r="O2002" i="12" s="1"/>
  <c r="O2003" i="12" s="1"/>
  <c r="O2004" i="12" s="1"/>
  <c r="O2005" i="12" s="1"/>
  <c r="O2006" i="12" s="1"/>
  <c r="O2007" i="12" s="1"/>
  <c r="O2008" i="12" s="1"/>
  <c r="O2009" i="12" s="1"/>
  <c r="O2010" i="12" s="1"/>
  <c r="O2011" i="12" s="1"/>
  <c r="O2012" i="12" s="1"/>
  <c r="O2013" i="12" s="1"/>
  <c r="O2014" i="12" s="1"/>
  <c r="O2015" i="12" s="1"/>
  <c r="O2016" i="12" s="1"/>
  <c r="O2017" i="12" s="1"/>
  <c r="O2018" i="12" s="1"/>
  <c r="O2019" i="12" s="1"/>
  <c r="O2020" i="12" s="1"/>
  <c r="O2021" i="12" s="1"/>
  <c r="O2022" i="12" s="1"/>
  <c r="O2023" i="12" s="1"/>
  <c r="O2024" i="12" s="1"/>
  <c r="O2025" i="12" s="1"/>
  <c r="O2026" i="12" s="1"/>
  <c r="O2027" i="12" s="1"/>
  <c r="O2028" i="12" s="1"/>
  <c r="O2029" i="12" s="1"/>
  <c r="O2030" i="12" s="1"/>
  <c r="O2031" i="12" s="1"/>
  <c r="O2032" i="12" s="1"/>
  <c r="O2033" i="12" s="1"/>
  <c r="O2034" i="12" s="1"/>
  <c r="O2035" i="12" s="1"/>
  <c r="O2036" i="12" s="1"/>
  <c r="O2037" i="12" s="1"/>
  <c r="O2038" i="12" s="1"/>
  <c r="O2039" i="12" s="1"/>
  <c r="O2040" i="12" s="1"/>
  <c r="O2041" i="12" s="1"/>
  <c r="O2042" i="12" s="1"/>
  <c r="O2043" i="12" s="1"/>
  <c r="O2044" i="12" s="1"/>
  <c r="O2045" i="12" s="1"/>
  <c r="O2046" i="12" s="1"/>
  <c r="O2047" i="12" s="1"/>
  <c r="O2048" i="12" s="1"/>
  <c r="O2049" i="12" s="1"/>
  <c r="O2050" i="12" s="1"/>
  <c r="O2051" i="12" s="1"/>
  <c r="O2052" i="12" s="1"/>
  <c r="O2053" i="12" s="1"/>
  <c r="O2054" i="12" s="1"/>
  <c r="O2055" i="12" s="1"/>
  <c r="O2056" i="12" s="1"/>
  <c r="O2057" i="12" s="1"/>
  <c r="O2058" i="12" s="1"/>
  <c r="O2059" i="12" s="1"/>
  <c r="O2060" i="12" s="1"/>
  <c r="O2061" i="12" s="1"/>
  <c r="O2062" i="12" s="1"/>
  <c r="O2063" i="12" s="1"/>
  <c r="O2064" i="12" s="1"/>
  <c r="O2065" i="12" s="1"/>
  <c r="O2066" i="12" s="1"/>
  <c r="O2067" i="12" s="1"/>
  <c r="O2068" i="12" s="1"/>
  <c r="O2069" i="12" s="1"/>
  <c r="O2070" i="12" s="1"/>
  <c r="O2071" i="12" s="1"/>
  <c r="O2072" i="12" s="1"/>
  <c r="O2073" i="12" s="1"/>
  <c r="O2074" i="12" s="1"/>
  <c r="O2075" i="12" s="1"/>
  <c r="O2076" i="12" s="1"/>
  <c r="O2077" i="12" s="1"/>
  <c r="O2078" i="12" s="1"/>
  <c r="O2079" i="12" s="1"/>
  <c r="O2080" i="12" s="1"/>
  <c r="O2081" i="12" s="1"/>
  <c r="O2082" i="12" s="1"/>
  <c r="O2083" i="12" s="1"/>
  <c r="O2084" i="12" s="1"/>
  <c r="O2085" i="12" s="1"/>
  <c r="O2086" i="12" s="1"/>
  <c r="O2087" i="12" s="1"/>
  <c r="O2088" i="12" s="1"/>
  <c r="O2089" i="12" s="1"/>
  <c r="O2090" i="12" s="1"/>
  <c r="O2091" i="12" s="1"/>
  <c r="O2092" i="12" s="1"/>
  <c r="O2093" i="12" s="1"/>
  <c r="O2094" i="12" s="1"/>
  <c r="O2095" i="12" s="1"/>
  <c r="O2096" i="12" s="1"/>
  <c r="O2097" i="12" s="1"/>
  <c r="O2098" i="12" s="1"/>
  <c r="O2099" i="12" s="1"/>
  <c r="O2100" i="12" s="1"/>
  <c r="O2101" i="12" s="1"/>
  <c r="O2102" i="12" s="1"/>
  <c r="O2103" i="12" s="1"/>
  <c r="O2104" i="12" s="1"/>
  <c r="O2105" i="12" s="1"/>
  <c r="O2106" i="12" s="1"/>
  <c r="O2107" i="12" s="1"/>
  <c r="O2108" i="12" s="1"/>
  <c r="O2109" i="12" s="1"/>
  <c r="O2110" i="12" s="1"/>
  <c r="O2111" i="12" s="1"/>
  <c r="O2112" i="12" s="1"/>
  <c r="O2113" i="12" s="1"/>
  <c r="O2114" i="12" s="1"/>
  <c r="O2115" i="12" s="1"/>
  <c r="O2116" i="12" s="1"/>
  <c r="O2117" i="12" s="1"/>
  <c r="O2118" i="12" s="1"/>
  <c r="O2119" i="12" s="1"/>
  <c r="O2120" i="12" s="1"/>
  <c r="O2121" i="12" s="1"/>
  <c r="O2122" i="12" s="1"/>
  <c r="O2123" i="12" s="1"/>
  <c r="O2124" i="12" s="1"/>
  <c r="O2125" i="12" s="1"/>
  <c r="O2126" i="12" s="1"/>
  <c r="O2127" i="12" s="1"/>
  <c r="O2128" i="12" s="1"/>
  <c r="O2129" i="12" s="1"/>
  <c r="O2130" i="12" s="1"/>
  <c r="O2131" i="12" s="1"/>
  <c r="O2132" i="12" s="1"/>
  <c r="O2133" i="12" s="1"/>
  <c r="O2134" i="12" s="1"/>
  <c r="O2135" i="12" s="1"/>
  <c r="O2136" i="12" s="1"/>
  <c r="O2137" i="12" s="1"/>
  <c r="O2138" i="12" s="1"/>
  <c r="O2139" i="12" s="1"/>
  <c r="O2140" i="12" s="1"/>
  <c r="O2141" i="12" s="1"/>
  <c r="O2142" i="12" s="1"/>
  <c r="O2143" i="12" s="1"/>
  <c r="O2144" i="12" s="1"/>
  <c r="O2145" i="12" s="1"/>
  <c r="O2146" i="12" s="1"/>
  <c r="O2147" i="12" s="1"/>
  <c r="O2148" i="12" s="1"/>
  <c r="O2149" i="12" s="1"/>
  <c r="O2150" i="12" s="1"/>
  <c r="O2151" i="12" s="1"/>
  <c r="O2152" i="12" s="1"/>
  <c r="O2153" i="12" s="1"/>
  <c r="O2154" i="12" s="1"/>
  <c r="O2155" i="12" s="1"/>
  <c r="O2156" i="12" s="1"/>
  <c r="O2157" i="12" s="1"/>
  <c r="O2158" i="12" s="1"/>
  <c r="O2159" i="12" s="1"/>
  <c r="O2160" i="12" s="1"/>
  <c r="O2161" i="12" s="1"/>
  <c r="O2162" i="12" s="1"/>
  <c r="O2163" i="12" s="1"/>
  <c r="O2164" i="12" s="1"/>
  <c r="O2165" i="12" s="1"/>
  <c r="O2166" i="12" s="1"/>
  <c r="O2167" i="12" s="1"/>
  <c r="O2168" i="12" s="1"/>
  <c r="O2169" i="12" s="1"/>
  <c r="O2170" i="12" s="1"/>
  <c r="O2171" i="12" s="1"/>
  <c r="O2172" i="12" s="1"/>
  <c r="O2173" i="12" s="1"/>
  <c r="O2174" i="12" s="1"/>
  <c r="O2175" i="12" s="1"/>
  <c r="O2176" i="12" s="1"/>
  <c r="O2177" i="12" s="1"/>
  <c r="O2178" i="12" s="1"/>
  <c r="O2179" i="12" s="1"/>
  <c r="O2180" i="12" s="1"/>
  <c r="O2181" i="12" s="1"/>
  <c r="O2182" i="12" s="1"/>
  <c r="O214" i="12"/>
  <c r="O215" i="12" s="1"/>
  <c r="O216" i="12" s="1"/>
  <c r="O217" i="12" s="1"/>
  <c r="O218" i="12" s="1"/>
  <c r="O219" i="12" s="1"/>
  <c r="O220" i="12" s="1"/>
  <c r="O221" i="12" s="1"/>
  <c r="O222" i="12" s="1"/>
  <c r="O223" i="12" s="1"/>
  <c r="O224" i="12" s="1"/>
  <c r="O225" i="12" s="1"/>
  <c r="O226" i="12" s="1"/>
  <c r="O227" i="12" s="1"/>
  <c r="O228" i="12" s="1"/>
  <c r="O229" i="12" s="1"/>
  <c r="O230" i="12" s="1"/>
  <c r="O231" i="12" s="1"/>
  <c r="O232" i="12" s="1"/>
  <c r="O233" i="12" s="1"/>
  <c r="O234" i="12" s="1"/>
  <c r="O235" i="12" s="1"/>
  <c r="O236" i="12" s="1"/>
  <c r="O237" i="12" s="1"/>
  <c r="O238" i="12" s="1"/>
  <c r="O239" i="12" s="1"/>
  <c r="O240" i="12" s="1"/>
  <c r="O241" i="12" s="1"/>
  <c r="O242" i="12" s="1"/>
  <c r="O793" i="12"/>
  <c r="O794" i="12" s="1"/>
  <c r="O795" i="12" s="1"/>
  <c r="O796" i="12" s="1"/>
  <c r="O797" i="12" s="1"/>
  <c r="O798" i="12" s="1"/>
  <c r="O799" i="12" s="1"/>
  <c r="O800" i="12" s="1"/>
  <c r="O801" i="12" s="1"/>
  <c r="O802" i="12" s="1"/>
  <c r="O803" i="12" s="1"/>
  <c r="O804" i="12" s="1"/>
  <c r="O805" i="12" s="1"/>
  <c r="O806" i="12" s="1"/>
  <c r="O807" i="12" s="1"/>
  <c r="O808" i="12" s="1"/>
  <c r="O809" i="12" s="1"/>
  <c r="O810" i="12" s="1"/>
  <c r="O811" i="12" s="1"/>
  <c r="O812" i="12" s="1"/>
  <c r="O813" i="12" s="1"/>
  <c r="O814" i="12" s="1"/>
  <c r="O815" i="12" s="1"/>
  <c r="O816" i="12" s="1"/>
  <c r="O817" i="12" s="1"/>
  <c r="O818" i="12" s="1"/>
  <c r="O819" i="12" s="1"/>
  <c r="O820" i="12" s="1"/>
  <c r="O821" i="12" s="1"/>
  <c r="O822" i="12" s="1"/>
  <c r="O823" i="12" s="1"/>
  <c r="O824" i="12" s="1"/>
  <c r="O825" i="12" s="1"/>
  <c r="O826" i="12" s="1"/>
  <c r="O827" i="12" s="1"/>
  <c r="O828" i="12" s="1"/>
  <c r="O829" i="12" s="1"/>
  <c r="O830" i="12" s="1"/>
  <c r="O831" i="12" s="1"/>
  <c r="O832" i="12" s="1"/>
  <c r="O833" i="12" s="1"/>
  <c r="O834" i="12" s="1"/>
  <c r="O835" i="12" s="1"/>
  <c r="O836" i="12" s="1"/>
  <c r="O837" i="12" s="1"/>
  <c r="O838" i="12" s="1"/>
  <c r="O839" i="12" s="1"/>
  <c r="O840" i="12" s="1"/>
  <c r="O841" i="12" s="1"/>
  <c r="O842" i="12" s="1"/>
  <c r="O843" i="12" s="1"/>
  <c r="O844" i="12" s="1"/>
  <c r="O845" i="12" s="1"/>
  <c r="O846" i="12" s="1"/>
  <c r="O847" i="12" s="1"/>
  <c r="O848" i="12" s="1"/>
  <c r="O849" i="12" s="1"/>
  <c r="O850" i="12" s="1"/>
  <c r="O851" i="12" s="1"/>
  <c r="O852" i="12" s="1"/>
  <c r="O853" i="12" s="1"/>
  <c r="O854" i="12" s="1"/>
  <c r="O855" i="12" s="1"/>
  <c r="O856" i="12" s="1"/>
  <c r="O857" i="12" s="1"/>
  <c r="O858" i="12" s="1"/>
  <c r="O859" i="12" s="1"/>
  <c r="O860" i="12" s="1"/>
  <c r="O861" i="12" s="1"/>
  <c r="O862" i="12" s="1"/>
  <c r="O863" i="12" s="1"/>
  <c r="O864" i="12" s="1"/>
  <c r="O865" i="12" s="1"/>
  <c r="O866" i="12" s="1"/>
  <c r="O867" i="12" s="1"/>
  <c r="O868" i="12" s="1"/>
  <c r="O869" i="12" s="1"/>
  <c r="O870" i="12" s="1"/>
  <c r="O871" i="12" s="1"/>
  <c r="O872" i="12" s="1"/>
  <c r="O873" i="12" s="1"/>
  <c r="O874" i="12" s="1"/>
  <c r="O875" i="12" s="1"/>
  <c r="O876" i="12" s="1"/>
  <c r="O877" i="12" s="1"/>
  <c r="O878" i="12" s="1"/>
  <c r="O879" i="12" s="1"/>
  <c r="O880" i="12" s="1"/>
  <c r="O881" i="12" s="1"/>
  <c r="O882" i="12" s="1"/>
  <c r="O883" i="12" s="1"/>
  <c r="O884" i="12" s="1"/>
  <c r="O885" i="12" s="1"/>
  <c r="O886" i="12" s="1"/>
  <c r="O887" i="12" s="1"/>
  <c r="O888" i="12" s="1"/>
  <c r="O889" i="12" s="1"/>
  <c r="O890" i="12" s="1"/>
  <c r="O891" i="12" s="1"/>
  <c r="O892" i="12" s="1"/>
  <c r="O893" i="12" s="1"/>
  <c r="O894" i="12" s="1"/>
  <c r="O895" i="12" s="1"/>
  <c r="O896" i="12" s="1"/>
  <c r="O897" i="12" s="1"/>
  <c r="O898" i="12" s="1"/>
  <c r="O899" i="12" s="1"/>
  <c r="O900" i="12" s="1"/>
  <c r="O901" i="12" s="1"/>
  <c r="O902" i="12" s="1"/>
  <c r="O2183" i="12"/>
  <c r="O2184" i="12" s="1"/>
  <c r="O2185" i="12" s="1"/>
  <c r="O2186" i="12" s="1"/>
  <c r="O2187" i="12" s="1"/>
  <c r="O2188" i="12" s="1"/>
  <c r="O2189" i="12" s="1"/>
  <c r="O2190" i="12" s="1"/>
  <c r="O2191" i="12" s="1"/>
  <c r="O2192" i="12" s="1"/>
  <c r="O2193" i="12" s="1"/>
  <c r="O2194" i="12" s="1"/>
  <c r="O2195" i="12" s="1"/>
  <c r="O2196" i="12" s="1"/>
  <c r="O2197" i="12" s="1"/>
  <c r="O2198" i="12" s="1"/>
  <c r="O2199" i="12" s="1"/>
  <c r="O2200" i="12" s="1"/>
  <c r="O2201" i="12" s="1"/>
  <c r="O2202" i="12" s="1"/>
  <c r="O2203" i="12" s="1"/>
  <c r="O2204" i="12" s="1"/>
  <c r="O2205" i="12" s="1"/>
  <c r="O2206" i="12" s="1"/>
  <c r="O2207" i="12" s="1"/>
  <c r="O2208" i="12" s="1"/>
  <c r="O2209" i="12" s="1"/>
  <c r="O2210" i="12" s="1"/>
  <c r="O2211" i="12" s="1"/>
  <c r="O2212" i="12" s="1"/>
  <c r="O2213" i="12" s="1"/>
  <c r="O2214" i="12" s="1"/>
  <c r="O2215" i="12" s="1"/>
  <c r="O2216" i="12" s="1"/>
  <c r="O2217" i="12" s="1"/>
  <c r="O2218" i="12" s="1"/>
  <c r="O2219" i="12" s="1"/>
  <c r="O2220" i="12" s="1"/>
  <c r="O2221" i="12" s="1"/>
  <c r="O2222" i="12" s="1"/>
  <c r="O2223" i="12" s="1"/>
  <c r="O2224" i="12" s="1"/>
  <c r="O2225" i="12" s="1"/>
  <c r="O2226" i="12" s="1"/>
  <c r="O2227" i="12" s="1"/>
  <c r="O2228" i="12" s="1"/>
  <c r="O2229" i="12" s="1"/>
  <c r="O2230" i="12" s="1"/>
  <c r="O2231" i="12" s="1"/>
  <c r="O2232" i="12" s="1"/>
  <c r="O2233" i="12" s="1"/>
  <c r="O2234" i="12" s="1"/>
  <c r="O2235" i="12" s="1"/>
  <c r="O2236" i="12" s="1"/>
  <c r="O2237" i="12" s="1"/>
  <c r="O2238" i="12" s="1"/>
  <c r="O2239" i="12" s="1"/>
  <c r="O2240" i="12" s="1"/>
  <c r="O2241" i="12" s="1"/>
  <c r="O2242" i="12" s="1"/>
  <c r="O2243" i="12" s="1"/>
  <c r="O2244" i="12" s="1"/>
  <c r="O2245" i="12" s="1"/>
  <c r="O2246" i="12" s="1"/>
  <c r="O2247" i="12" s="1"/>
  <c r="O2248" i="12" s="1"/>
  <c r="O2249" i="12" s="1"/>
  <c r="O2250" i="12" s="1"/>
  <c r="O2251" i="12" s="1"/>
  <c r="O2252" i="12" s="1"/>
  <c r="O2253" i="12" s="1"/>
  <c r="O2254" i="12" s="1"/>
  <c r="O2255" i="12" s="1"/>
  <c r="O2256" i="12" s="1"/>
  <c r="O2257" i="12" s="1"/>
  <c r="O2258" i="12" s="1"/>
  <c r="O2259" i="12" s="1"/>
  <c r="O2260" i="12" s="1"/>
  <c r="O2261" i="12" s="1"/>
  <c r="O2262" i="12" s="1"/>
  <c r="O2263" i="12" s="1"/>
  <c r="O2264" i="12" s="1"/>
  <c r="O2265" i="12" s="1"/>
  <c r="O2266" i="12" s="1"/>
  <c r="O2267" i="12" s="1"/>
  <c r="O2268" i="12" s="1"/>
  <c r="O2269" i="12" s="1"/>
  <c r="O2270" i="12" s="1"/>
  <c r="O2271" i="12" s="1"/>
  <c r="O2272" i="12" s="1"/>
  <c r="O2273" i="12" s="1"/>
  <c r="O2274" i="12" s="1"/>
  <c r="O2275" i="12" s="1"/>
  <c r="O2276" i="12" s="1"/>
  <c r="O2277" i="12" s="1"/>
  <c r="O2278" i="12" s="1"/>
  <c r="O2279" i="12" s="1"/>
  <c r="O2280" i="12" s="1"/>
  <c r="O2281" i="12" s="1"/>
  <c r="O2282" i="12" s="1"/>
  <c r="O2283" i="12" s="1"/>
  <c r="O2284" i="12" s="1"/>
  <c r="O2285" i="12" s="1"/>
  <c r="O2286" i="12" s="1"/>
  <c r="O2287" i="12" s="1"/>
  <c r="O2288" i="12" s="1"/>
  <c r="O2289" i="12" s="1"/>
  <c r="O2290" i="12" s="1"/>
  <c r="O2291" i="12" s="1"/>
  <c r="O2292" i="12" s="1"/>
  <c r="O2293" i="12" s="1"/>
  <c r="O2294" i="12" s="1"/>
  <c r="O2295" i="12" s="1"/>
  <c r="O2296" i="12" s="1"/>
  <c r="O2297" i="12" s="1"/>
  <c r="O2298" i="12" s="1"/>
  <c r="O2299" i="12" s="1"/>
  <c r="O2300" i="12" s="1"/>
  <c r="O2301" i="12" s="1"/>
  <c r="O2302" i="12" s="1"/>
  <c r="O2303" i="12" s="1"/>
  <c r="O2304" i="12" s="1"/>
  <c r="O2305" i="12" s="1"/>
  <c r="O2306" i="12" s="1"/>
  <c r="O2307" i="12" s="1"/>
  <c r="O2308" i="12" s="1"/>
  <c r="O2309" i="12" s="1"/>
  <c r="O2310" i="12" s="1"/>
  <c r="O2311" i="12" s="1"/>
  <c r="O2312" i="12" s="1"/>
  <c r="O2313" i="12" s="1"/>
  <c r="O2314" i="12" s="1"/>
  <c r="O2315" i="12" s="1"/>
  <c r="O2316" i="12" s="1"/>
  <c r="O2317" i="12" s="1"/>
  <c r="O2318" i="12" s="1"/>
  <c r="O2319" i="12" s="1"/>
  <c r="O2320" i="12" s="1"/>
  <c r="O2321" i="12" s="1"/>
  <c r="O2322" i="12" s="1"/>
  <c r="O2323" i="12" s="1"/>
  <c r="O2324" i="12" s="1"/>
  <c r="O2325" i="12" s="1"/>
  <c r="O2326" i="12" s="1"/>
  <c r="O2327" i="12" s="1"/>
  <c r="O2328" i="12" s="1"/>
  <c r="O2329" i="12" s="1"/>
  <c r="O2330" i="12" s="1"/>
  <c r="O2331" i="12" s="1"/>
  <c r="O2332" i="12" s="1"/>
  <c r="O2333" i="12" s="1"/>
  <c r="O2334" i="12" s="1"/>
  <c r="O2335" i="12" s="1"/>
  <c r="O2336" i="12" s="1"/>
  <c r="O2337" i="12" s="1"/>
  <c r="O2338" i="12" s="1"/>
  <c r="O2339" i="12" s="1"/>
  <c r="O2340" i="12" s="1"/>
  <c r="O2341" i="12" s="1"/>
  <c r="O2342" i="12" s="1"/>
  <c r="O2343" i="12" s="1"/>
  <c r="O2344" i="12" s="1"/>
  <c r="O2345" i="12" s="1"/>
  <c r="O2346" i="12" s="1"/>
  <c r="O2347" i="12" s="1"/>
  <c r="O2348" i="12" s="1"/>
  <c r="O2349" i="12" s="1"/>
  <c r="O2350" i="12" s="1"/>
  <c r="O2351" i="12" s="1"/>
  <c r="O2352" i="12" s="1"/>
  <c r="O2353" i="12" s="1"/>
  <c r="O2354" i="12" s="1"/>
  <c r="O2355" i="12" s="1"/>
  <c r="O2356" i="12" s="1"/>
  <c r="O2357" i="12" s="1"/>
  <c r="O2358" i="12" s="1"/>
  <c r="O2359" i="12" s="1"/>
  <c r="O2360" i="12" s="1"/>
  <c r="O2361" i="12" s="1"/>
  <c r="O2362" i="12" s="1"/>
  <c r="O2363" i="12" s="1"/>
  <c r="O2364" i="12" s="1"/>
  <c r="O2365" i="12" s="1"/>
  <c r="O2366" i="12" s="1"/>
  <c r="O2367" i="12" s="1"/>
  <c r="O2368" i="12" s="1"/>
  <c r="O2369" i="12" s="1"/>
  <c r="O2370" i="12" s="1"/>
  <c r="O2371" i="12" s="1"/>
  <c r="O2372" i="12" s="1"/>
  <c r="O2373" i="12" s="1"/>
  <c r="O2374" i="12" s="1"/>
  <c r="O2375" i="12" s="1"/>
  <c r="O2376" i="12" s="1"/>
  <c r="O2377" i="12" s="1"/>
  <c r="O2378" i="12" s="1"/>
  <c r="O2379" i="12" s="1"/>
  <c r="O2380" i="12" s="1"/>
  <c r="O2381" i="12" s="1"/>
  <c r="O2382" i="12" s="1"/>
  <c r="O2383" i="12" s="1"/>
  <c r="O2384" i="12" s="1"/>
  <c r="O2385" i="12" s="1"/>
  <c r="O2386" i="12" s="1"/>
  <c r="O2387" i="12" s="1"/>
  <c r="O2388" i="12" s="1"/>
  <c r="O2389" i="12" s="1"/>
  <c r="O2390" i="12" s="1"/>
  <c r="O2391" i="12" s="1"/>
  <c r="O2392" i="12" s="1"/>
  <c r="O2393" i="12" s="1"/>
  <c r="O2394" i="12" s="1"/>
  <c r="O2395" i="12" s="1"/>
  <c r="O2396" i="12" s="1"/>
  <c r="O2397" i="12" s="1"/>
  <c r="O2398" i="12" s="1"/>
  <c r="O2399" i="12" s="1"/>
  <c r="O2400" i="12" s="1"/>
  <c r="O2401" i="12" s="1"/>
  <c r="O2402" i="12" s="1"/>
  <c r="O2403" i="12" s="1"/>
  <c r="O2404" i="12" s="1"/>
  <c r="O2405" i="12" s="1"/>
  <c r="O2406" i="12" s="1"/>
  <c r="O2407" i="12" s="1"/>
  <c r="O2408" i="12" s="1"/>
  <c r="O2409" i="12" s="1"/>
  <c r="O2410" i="12" s="1"/>
  <c r="O2411" i="12" s="1"/>
  <c r="O2412" i="12" s="1"/>
  <c r="O2413" i="12" s="1"/>
  <c r="O2414" i="12" s="1"/>
  <c r="O2415" i="12" s="1"/>
  <c r="O2416" i="12" s="1"/>
  <c r="O2417" i="12" s="1"/>
  <c r="O2418" i="12" s="1"/>
  <c r="O2419" i="12" s="1"/>
  <c r="O2420" i="12" s="1"/>
  <c r="O2421" i="12" s="1"/>
  <c r="O2422" i="12" s="1"/>
  <c r="O2423" i="12" s="1"/>
  <c r="O2424" i="12" s="1"/>
  <c r="O2425" i="12" s="1"/>
  <c r="O2426" i="12" s="1"/>
  <c r="O2427" i="12" s="1"/>
  <c r="O2428" i="12" s="1"/>
  <c r="O2429" i="12" s="1"/>
  <c r="O2430" i="12" s="1"/>
  <c r="O2431" i="12" s="1"/>
  <c r="O2432" i="12" s="1"/>
  <c r="O2433" i="12" s="1"/>
  <c r="O2434" i="12" s="1"/>
  <c r="O2435" i="12" s="1"/>
  <c r="O2436" i="12" s="1"/>
  <c r="O2437" i="12" s="1"/>
  <c r="O2438" i="12" s="1"/>
  <c r="O2439" i="12" s="1"/>
  <c r="O2440" i="12" s="1"/>
  <c r="O2441" i="12" s="1"/>
  <c r="O2442" i="12" s="1"/>
  <c r="O2443" i="12" s="1"/>
  <c r="O2444" i="12" s="1"/>
  <c r="O2445" i="12" s="1"/>
  <c r="O2446" i="12" s="1"/>
  <c r="O2447" i="12" s="1"/>
  <c r="O2448" i="12" s="1"/>
  <c r="O2449" i="12" s="1"/>
  <c r="O2450" i="12" s="1"/>
  <c r="O2451" i="12" s="1"/>
  <c r="O2452" i="12" s="1"/>
  <c r="O2453" i="12" s="1"/>
  <c r="O2454" i="12" s="1"/>
  <c r="O2455" i="12" s="1"/>
  <c r="O2456" i="12" s="1"/>
  <c r="O2457" i="12" s="1"/>
  <c r="O2458" i="12" s="1"/>
  <c r="O2459" i="12" s="1"/>
  <c r="O2460" i="12" s="1"/>
  <c r="O2461" i="12" s="1"/>
  <c r="O2462" i="12" s="1"/>
  <c r="O2463" i="12" s="1"/>
  <c r="O2464" i="12" s="1"/>
  <c r="O2465" i="12" s="1"/>
  <c r="O2466" i="12" s="1"/>
  <c r="O2467" i="12" s="1"/>
  <c r="O2468" i="12" s="1"/>
  <c r="O2469" i="12" s="1"/>
  <c r="O2470" i="12" s="1"/>
  <c r="O2471" i="12" s="1"/>
  <c r="O2472" i="12" s="1"/>
  <c r="O2473" i="12" s="1"/>
  <c r="O2474" i="12" s="1"/>
  <c r="O2475" i="12" s="1"/>
  <c r="O2476" i="12" s="1"/>
  <c r="O2477" i="12" s="1"/>
  <c r="O2478" i="12" s="1"/>
  <c r="O2479" i="12" s="1"/>
  <c r="O2480" i="12" s="1"/>
  <c r="O2481" i="12" s="1"/>
  <c r="O2482" i="12" s="1"/>
  <c r="O2483" i="12" s="1"/>
  <c r="O2484" i="12" s="1"/>
  <c r="O2485" i="12" s="1"/>
  <c r="O2486" i="12" s="1"/>
  <c r="O2487" i="12" s="1"/>
  <c r="O2488" i="12" s="1"/>
  <c r="O2489" i="12" s="1"/>
  <c r="O2490" i="12" s="1"/>
  <c r="O2491" i="12" s="1"/>
  <c r="O2492" i="12" s="1"/>
  <c r="O2493" i="12" s="1"/>
  <c r="O2494" i="12" s="1"/>
  <c r="O2495" i="12" s="1"/>
  <c r="O2496" i="12" s="1"/>
  <c r="O2497" i="12" s="1"/>
  <c r="O2498" i="12" s="1"/>
  <c r="O2499" i="12" s="1"/>
  <c r="O2500" i="12" s="1"/>
  <c r="O2501" i="12" s="1"/>
  <c r="O2502" i="12" s="1"/>
  <c r="O2503" i="12" s="1"/>
  <c r="O2504" i="12" s="1"/>
  <c r="O2505" i="12" s="1"/>
  <c r="O2506" i="12" s="1"/>
  <c r="O2507" i="12" s="1"/>
  <c r="O2508" i="12" s="1"/>
  <c r="O2509" i="12" s="1"/>
  <c r="O2510" i="12" s="1"/>
  <c r="O2511" i="12" s="1"/>
  <c r="O2512" i="12" s="1"/>
  <c r="O2513" i="12" s="1"/>
  <c r="O2514" i="12" s="1"/>
  <c r="O2515" i="12" s="1"/>
  <c r="O2516" i="12" s="1"/>
  <c r="O2517" i="12" s="1"/>
  <c r="O2518" i="12" s="1"/>
  <c r="O2519" i="12" s="1"/>
  <c r="O2520" i="12" s="1"/>
  <c r="O2521" i="12" s="1"/>
  <c r="O2522" i="12" s="1"/>
  <c r="O2523" i="12" s="1"/>
  <c r="O2524" i="12" s="1"/>
  <c r="O2525" i="12" s="1"/>
  <c r="O2526" i="12" s="1"/>
  <c r="O2527" i="12" s="1"/>
  <c r="O2528" i="12" s="1"/>
  <c r="O2529" i="12" s="1"/>
  <c r="O2530" i="12" s="1"/>
  <c r="O2531" i="12" s="1"/>
  <c r="O2532" i="12" s="1"/>
  <c r="O2533" i="12" s="1"/>
  <c r="O2534" i="12" s="1"/>
  <c r="O2535" i="12" s="1"/>
  <c r="O2536" i="12" s="1"/>
  <c r="O2537" i="12" s="1"/>
  <c r="O2538" i="12" s="1"/>
  <c r="O2539" i="12" s="1"/>
  <c r="O2540" i="12" s="1"/>
  <c r="O2541" i="12" s="1"/>
  <c r="O2542" i="12" s="1"/>
  <c r="O2543" i="12" s="1"/>
  <c r="O2544" i="12" s="1"/>
  <c r="O2545" i="12" s="1"/>
  <c r="O2546" i="12" s="1"/>
  <c r="O2547" i="12" s="1"/>
  <c r="O2548" i="12" s="1"/>
  <c r="O2549" i="12" s="1"/>
  <c r="O2550" i="12" s="1"/>
  <c r="O2551" i="12" s="1"/>
  <c r="O2552" i="12" s="1"/>
  <c r="O2553" i="12" s="1"/>
  <c r="O2554" i="12" s="1"/>
  <c r="O2555" i="12" s="1"/>
  <c r="O2556" i="12" s="1"/>
  <c r="O2557" i="12" s="1"/>
  <c r="O2558" i="12" s="1"/>
  <c r="O2559" i="12" s="1"/>
  <c r="O2560" i="12" s="1"/>
  <c r="O2561" i="12" s="1"/>
  <c r="O2562" i="12" s="1"/>
  <c r="O2563" i="12" s="1"/>
  <c r="O2564" i="12" s="1"/>
  <c r="O2565" i="12" s="1"/>
  <c r="O2566" i="12" s="1"/>
  <c r="O2567" i="12" s="1"/>
  <c r="O2568" i="12" s="1"/>
  <c r="O2569" i="12" s="1"/>
  <c r="O2570" i="12" s="1"/>
  <c r="O2571" i="12" s="1"/>
  <c r="O2572" i="12" s="1"/>
  <c r="O2573" i="12" s="1"/>
  <c r="O2574" i="12" s="1"/>
  <c r="O2575" i="12" s="1"/>
  <c r="O2576" i="12" s="1"/>
  <c r="O2577" i="12" s="1"/>
  <c r="O2578" i="12" s="1"/>
  <c r="O2579" i="12" s="1"/>
  <c r="O2580" i="12" s="1"/>
  <c r="O2581" i="12" s="1"/>
  <c r="O2582" i="12" s="1"/>
  <c r="O2583" i="12" s="1"/>
  <c r="O2584" i="12" s="1"/>
  <c r="O2585" i="12" s="1"/>
  <c r="O2586" i="12" s="1"/>
  <c r="O2587" i="12" s="1"/>
  <c r="O2588" i="12" s="1"/>
  <c r="O2589" i="12" s="1"/>
  <c r="O2590" i="12" s="1"/>
  <c r="O2591" i="12" s="1"/>
  <c r="O2592" i="12" s="1"/>
  <c r="O2593" i="12" s="1"/>
  <c r="O243" i="12"/>
  <c r="O244" i="12" s="1"/>
  <c r="O245" i="12" s="1"/>
  <c r="O246" i="12" s="1"/>
  <c r="O247" i="12" s="1"/>
  <c r="O248" i="12" s="1"/>
  <c r="O249" i="12" s="1"/>
  <c r="O250" i="12" s="1"/>
  <c r="O251" i="12" s="1"/>
  <c r="O252" i="12" s="1"/>
  <c r="O253" i="12" s="1"/>
  <c r="O254" i="12" s="1"/>
  <c r="O255" i="12" s="1"/>
  <c r="O256" i="12" s="1"/>
  <c r="O257" i="12" s="1"/>
  <c r="O258" i="12" s="1"/>
  <c r="O259" i="12" s="1"/>
  <c r="O260" i="12" s="1"/>
  <c r="O261" i="12" s="1"/>
  <c r="O262" i="12" s="1"/>
  <c r="O263" i="12" s="1"/>
  <c r="O264" i="12" s="1"/>
  <c r="O265" i="12" s="1"/>
  <c r="O266" i="12" s="1"/>
  <c r="O267" i="12" s="1"/>
  <c r="O268" i="12" s="1"/>
  <c r="O269" i="12" s="1"/>
  <c r="O270" i="12" s="1"/>
  <c r="O271" i="12" s="1"/>
  <c r="O272" i="12" s="1"/>
  <c r="O273" i="12" s="1"/>
  <c r="O274" i="12" s="1"/>
  <c r="O275" i="12" s="1"/>
  <c r="O276" i="12" s="1"/>
  <c r="O277" i="12" s="1"/>
  <c r="O278" i="12" s="1"/>
  <c r="O279" i="12" s="1"/>
  <c r="O280" i="12" s="1"/>
  <c r="O281" i="12" s="1"/>
  <c r="O282" i="12" s="1"/>
  <c r="O283" i="12" s="1"/>
  <c r="O284" i="12" s="1"/>
  <c r="O285" i="12" s="1"/>
  <c r="O286" i="12" s="1"/>
  <c r="O287" i="12" s="1"/>
  <c r="O288" i="12" s="1"/>
  <c r="O289" i="12" s="1"/>
  <c r="O290" i="12" s="1"/>
  <c r="O291" i="12" s="1"/>
  <c r="O292" i="12" s="1"/>
  <c r="O293" i="12" s="1"/>
  <c r="O294" i="12" s="1"/>
  <c r="O295" i="12" s="1"/>
  <c r="O296" i="12" s="1"/>
  <c r="O297" i="12" s="1"/>
  <c r="O298" i="12" s="1"/>
  <c r="O299" i="12" s="1"/>
  <c r="O300" i="12" s="1"/>
  <c r="O301" i="12" s="1"/>
  <c r="O302" i="12" s="1"/>
  <c r="O303" i="12" s="1"/>
  <c r="O304" i="12" s="1"/>
  <c r="O305" i="12" s="1"/>
  <c r="O306" i="12" s="1"/>
  <c r="O307" i="12" s="1"/>
  <c r="O308" i="12" s="1"/>
  <c r="O309" i="12" s="1"/>
  <c r="O310" i="12" s="1"/>
  <c r="O311" i="12" s="1"/>
  <c r="O312" i="12" s="1"/>
  <c r="O313" i="12" s="1"/>
  <c r="O314" i="12" s="1"/>
  <c r="O315" i="12" s="1"/>
  <c r="O316" i="12" s="1"/>
  <c r="O317" i="12" s="1"/>
  <c r="O318" i="12" s="1"/>
  <c r="O319" i="12" s="1"/>
  <c r="O320" i="12" s="1"/>
  <c r="O321" i="12" s="1"/>
  <c r="O322" i="12" s="1"/>
  <c r="O323" i="12" s="1"/>
  <c r="O324" i="12" s="1"/>
  <c r="O325" i="12" s="1"/>
  <c r="O326" i="12" s="1"/>
  <c r="O327" i="12" s="1"/>
  <c r="O328" i="12" s="1"/>
  <c r="O329" i="12" s="1"/>
  <c r="O330" i="12" s="1"/>
  <c r="O331" i="12" s="1"/>
  <c r="O332" i="12" s="1"/>
  <c r="O333" i="12" s="1"/>
  <c r="O334" i="12" s="1"/>
  <c r="O335" i="12" s="1"/>
  <c r="O336" i="12" s="1"/>
  <c r="O337" i="12" s="1"/>
  <c r="O338" i="12" s="1"/>
  <c r="O339" i="12" s="1"/>
  <c r="O340" i="12" s="1"/>
  <c r="O341" i="12" s="1"/>
  <c r="O342" i="12" s="1"/>
  <c r="O343" i="12" s="1"/>
  <c r="O344" i="12" s="1"/>
  <c r="O345" i="12" s="1"/>
  <c r="O346" i="12" s="1"/>
  <c r="O347" i="12" s="1"/>
  <c r="O348" i="12" s="1"/>
  <c r="O349" i="12" s="1"/>
  <c r="O350" i="12" s="1"/>
  <c r="O351" i="12" s="1"/>
  <c r="O352" i="12" s="1"/>
  <c r="O353" i="12" s="1"/>
  <c r="O354" i="12" s="1"/>
  <c r="O355" i="12" s="1"/>
  <c r="O356" i="12" s="1"/>
  <c r="O357" i="12" s="1"/>
  <c r="O358" i="12" s="1"/>
  <c r="O359" i="12" s="1"/>
  <c r="O360" i="12" s="1"/>
  <c r="O361" i="12" s="1"/>
  <c r="O362" i="12" s="1"/>
  <c r="O363" i="12" s="1"/>
  <c r="O364" i="12" s="1"/>
  <c r="O365" i="12" s="1"/>
  <c r="O366" i="12" s="1"/>
  <c r="O367" i="12" s="1"/>
  <c r="O368" i="12" s="1"/>
  <c r="O369" i="12" s="1"/>
  <c r="O370" i="12" s="1"/>
  <c r="O371" i="12" s="1"/>
  <c r="O372" i="12" s="1"/>
  <c r="O373" i="12" s="1"/>
  <c r="O374" i="12" s="1"/>
  <c r="O375" i="12" s="1"/>
  <c r="O376" i="12" s="1"/>
  <c r="O377" i="12" s="1"/>
  <c r="O378" i="12" s="1"/>
  <c r="O379" i="12" s="1"/>
  <c r="O380" i="12" s="1"/>
  <c r="O381" i="12" s="1"/>
  <c r="O382" i="12" s="1"/>
  <c r="O383" i="12" s="1"/>
  <c r="O384" i="12" s="1"/>
  <c r="O903" i="12"/>
  <c r="O904" i="12" s="1"/>
  <c r="O905" i="12" s="1"/>
  <c r="O906" i="12" s="1"/>
  <c r="O907" i="12" s="1"/>
  <c r="O908" i="12" s="1"/>
  <c r="O909" i="12" s="1"/>
  <c r="O910" i="12" s="1"/>
  <c r="O911" i="12" s="1"/>
  <c r="O912" i="12" s="1"/>
  <c r="O913" i="12" s="1"/>
  <c r="O914" i="12" s="1"/>
  <c r="O915" i="12" s="1"/>
  <c r="O916" i="12" s="1"/>
  <c r="O917" i="12" s="1"/>
  <c r="O918" i="12" s="1"/>
  <c r="O919" i="12" s="1"/>
  <c r="O920" i="12" s="1"/>
  <c r="O921" i="12" s="1"/>
  <c r="O922" i="12" s="1"/>
  <c r="O923" i="12" s="1"/>
  <c r="O924" i="12" s="1"/>
  <c r="O925" i="12" s="1"/>
  <c r="O926" i="12" s="1"/>
  <c r="O927" i="12" s="1"/>
  <c r="O928" i="12" s="1"/>
  <c r="O929" i="12" s="1"/>
  <c r="O930" i="12" s="1"/>
  <c r="O931" i="12" s="1"/>
  <c r="O932" i="12" s="1"/>
  <c r="O933" i="12" s="1"/>
  <c r="O934" i="12" s="1"/>
  <c r="O935" i="12" s="1"/>
  <c r="O936" i="12" s="1"/>
  <c r="O937" i="12" s="1"/>
  <c r="O938" i="12" s="1"/>
  <c r="O939" i="12" s="1"/>
  <c r="O940" i="12" s="1"/>
  <c r="O941" i="12" s="1"/>
  <c r="O942" i="12" s="1"/>
  <c r="O943" i="12" s="1"/>
  <c r="O944" i="12" s="1"/>
  <c r="O945" i="12" s="1"/>
  <c r="O946" i="12" s="1"/>
  <c r="O947" i="12" s="1"/>
  <c r="O948" i="12" s="1"/>
  <c r="O949" i="12" s="1"/>
  <c r="O950" i="12" s="1"/>
  <c r="O951" i="12" s="1"/>
  <c r="O952" i="12" s="1"/>
  <c r="O953" i="12" s="1"/>
  <c r="O954" i="12" s="1"/>
  <c r="O955" i="12" s="1"/>
  <c r="O956" i="12" s="1"/>
  <c r="O957" i="12" s="1"/>
  <c r="O958" i="12" s="1"/>
  <c r="O959" i="12" s="1"/>
  <c r="O960" i="12" s="1"/>
  <c r="O961" i="12" s="1"/>
  <c r="O962" i="12" s="1"/>
  <c r="O963" i="12" s="1"/>
  <c r="O964" i="12" s="1"/>
  <c r="O965" i="12" s="1"/>
  <c r="O966" i="12" s="1"/>
  <c r="O967" i="12" s="1"/>
  <c r="O968" i="12" s="1"/>
  <c r="O969" i="12" s="1"/>
  <c r="O970" i="12" s="1"/>
  <c r="O971" i="12" s="1"/>
  <c r="O972" i="12" s="1"/>
  <c r="O973" i="12" s="1"/>
  <c r="O974" i="12" s="1"/>
  <c r="O2594" i="12"/>
  <c r="O2595" i="12" s="1"/>
  <c r="O2596" i="12" s="1"/>
  <c r="O2597" i="12" s="1"/>
  <c r="O2598" i="12" s="1"/>
  <c r="O2599" i="12" s="1"/>
  <c r="O2600" i="12" s="1"/>
  <c r="O2601" i="12" s="1"/>
  <c r="O2602" i="12" s="1"/>
  <c r="O2603" i="12" s="1"/>
  <c r="O2604" i="12" s="1"/>
  <c r="O2605" i="12" s="1"/>
  <c r="O2606" i="12" s="1"/>
  <c r="O2607" i="12" s="1"/>
  <c r="O2608" i="12" s="1"/>
  <c r="O2609" i="12" s="1"/>
  <c r="O2610" i="12" s="1"/>
  <c r="O2611" i="12" s="1"/>
  <c r="O2612" i="12" s="1"/>
  <c r="O2613" i="12" s="1"/>
  <c r="O2614" i="12" s="1"/>
  <c r="O2615" i="12" s="1"/>
  <c r="O2616" i="12" s="1"/>
  <c r="O2617" i="12" s="1"/>
  <c r="O2618" i="12" s="1"/>
  <c r="O2619" i="12" s="1"/>
  <c r="O2620" i="12" s="1"/>
  <c r="O2621" i="12" s="1"/>
  <c r="O2622" i="12" s="1"/>
  <c r="O2623" i="12" s="1"/>
  <c r="O2624" i="12" s="1"/>
  <c r="O2625" i="12" s="1"/>
  <c r="O2626" i="12" s="1"/>
  <c r="O2627" i="12" s="1"/>
  <c r="O2628" i="12" s="1"/>
  <c r="O2629" i="12" s="1"/>
  <c r="O2630" i="12" s="1"/>
  <c r="O2631" i="12" s="1"/>
  <c r="O2632" i="12" s="1"/>
  <c r="O2633" i="12" s="1"/>
  <c r="O2634" i="12" s="1"/>
  <c r="O2635" i="12" s="1"/>
  <c r="O2636" i="12" s="1"/>
  <c r="O2637" i="12" s="1"/>
  <c r="O2638" i="12" s="1"/>
  <c r="O2639" i="12" s="1"/>
  <c r="O2640" i="12" s="1"/>
  <c r="O2641" i="12" s="1"/>
  <c r="O2642" i="12" s="1"/>
  <c r="O2643" i="12" s="1"/>
  <c r="O2644" i="12" s="1"/>
  <c r="O2645" i="12" s="1"/>
  <c r="O2646" i="12" s="1"/>
  <c r="O2647" i="12" s="1"/>
  <c r="O2648" i="12" s="1"/>
  <c r="O2649" i="12" s="1"/>
  <c r="O2650" i="12" s="1"/>
  <c r="O2651" i="12" s="1"/>
  <c r="O2652" i="12" s="1"/>
  <c r="O2653" i="12" s="1"/>
  <c r="O2654" i="12" s="1"/>
  <c r="O2655" i="12" s="1"/>
  <c r="O2656" i="12" s="1"/>
  <c r="O2657" i="12" s="1"/>
  <c r="O2658" i="12" s="1"/>
  <c r="O2659" i="12" s="1"/>
  <c r="O2660" i="12" s="1"/>
  <c r="O2661" i="12" s="1"/>
  <c r="O2662" i="12" s="1"/>
  <c r="O2663" i="12" s="1"/>
  <c r="O2664" i="12" s="1"/>
  <c r="O2665" i="12" s="1"/>
  <c r="O2666" i="12" s="1"/>
  <c r="O2667" i="12" s="1"/>
  <c r="O2668" i="12" s="1"/>
  <c r="O2669" i="12" s="1"/>
  <c r="O2670" i="12" s="1"/>
  <c r="O2671" i="12" s="1"/>
  <c r="O2672" i="12" s="1"/>
  <c r="O2673" i="12" s="1"/>
  <c r="O2674" i="12" s="1"/>
  <c r="O2675" i="12" s="1"/>
  <c r="O2676" i="12" s="1"/>
  <c r="O2677" i="12" s="1"/>
  <c r="O2678" i="12" s="1"/>
  <c r="O2679" i="12" s="1"/>
  <c r="O2680" i="12" s="1"/>
  <c r="O2681" i="12" s="1"/>
  <c r="O2682" i="12" s="1"/>
  <c r="O2683" i="12" s="1"/>
  <c r="O2684" i="12" s="1"/>
  <c r="O2685" i="12" s="1"/>
  <c r="O2686" i="12" s="1"/>
  <c r="O2687" i="12" s="1"/>
  <c r="O2688" i="12" s="1"/>
  <c r="O2689" i="12" s="1"/>
  <c r="O2690" i="12" s="1"/>
  <c r="O2691" i="12" s="1"/>
  <c r="O2692" i="12" s="1"/>
  <c r="O2693" i="12" s="1"/>
  <c r="O2694" i="12" s="1"/>
  <c r="O2695" i="12" s="1"/>
  <c r="O2696" i="12" s="1"/>
  <c r="O2697" i="12" s="1"/>
  <c r="O2698" i="12" s="1"/>
  <c r="O2699" i="12" s="1"/>
  <c r="O2700" i="12" s="1"/>
  <c r="O2701" i="12" s="1"/>
  <c r="O2702" i="12" s="1"/>
  <c r="O2703" i="12" s="1"/>
  <c r="O2704" i="12" s="1"/>
  <c r="O2705" i="12" s="1"/>
  <c r="O2706" i="12" s="1"/>
  <c r="O2707" i="12" s="1"/>
  <c r="O2708" i="12" s="1"/>
  <c r="O2709" i="12" s="1"/>
  <c r="O2710" i="12" s="1"/>
  <c r="O2711" i="12" s="1"/>
  <c r="O2712" i="12" s="1"/>
  <c r="O2713" i="12" s="1"/>
  <c r="O2714" i="12" s="1"/>
  <c r="O2715" i="12" s="1"/>
  <c r="O2716" i="12" s="1"/>
  <c r="O2717" i="12" s="1"/>
  <c r="O2718" i="12" s="1"/>
  <c r="O2719" i="12" s="1"/>
  <c r="O2720" i="12" s="1"/>
  <c r="O2721" i="12" s="1"/>
  <c r="O2722" i="12" s="1"/>
  <c r="O2723" i="12" s="1"/>
  <c r="O2724" i="12" s="1"/>
  <c r="O2725" i="12" s="1"/>
  <c r="O2726" i="12" s="1"/>
  <c r="O2727" i="12" s="1"/>
  <c r="O2728" i="12" s="1"/>
  <c r="O2729" i="12" s="1"/>
  <c r="O2730" i="12" s="1"/>
  <c r="O2731" i="12" s="1"/>
  <c r="O2732" i="12" s="1"/>
  <c r="O2733" i="12" s="1"/>
  <c r="O2734" i="12" s="1"/>
  <c r="O2735" i="12"/>
  <c r="O2736" i="12" s="1"/>
  <c r="O2737" i="12" s="1"/>
  <c r="O2738" i="12" s="1"/>
  <c r="O2739" i="12" s="1"/>
  <c r="O2740" i="12" s="1"/>
  <c r="O2741" i="12" s="1"/>
  <c r="O2742" i="12" s="1"/>
  <c r="O2743" i="12" s="1"/>
  <c r="O2744" i="12" s="1"/>
  <c r="O2745" i="12" s="1"/>
  <c r="O2746" i="12" s="1"/>
  <c r="O2747" i="12" s="1"/>
  <c r="O2748" i="12" s="1"/>
  <c r="O2749" i="12" s="1"/>
  <c r="O2750" i="12" s="1"/>
  <c r="O2751" i="12" s="1"/>
  <c r="O2752" i="12" s="1"/>
  <c r="O2753" i="12" s="1"/>
  <c r="O2754" i="12" s="1"/>
  <c r="O2755" i="12" s="1"/>
  <c r="O2756" i="12" s="1"/>
  <c r="O2757" i="12" s="1"/>
  <c r="O2758" i="12" s="1"/>
  <c r="O2759" i="12" s="1"/>
  <c r="O2760" i="12" s="1"/>
  <c r="O2761" i="12" s="1"/>
  <c r="O2762" i="12" s="1"/>
  <c r="O2763" i="12" s="1"/>
  <c r="O2764" i="12" s="1"/>
  <c r="O2765" i="12" s="1"/>
  <c r="O2766" i="12" s="1"/>
  <c r="O2767" i="12" s="1"/>
  <c r="O2768" i="12" s="1"/>
  <c r="O2769" i="12" s="1"/>
  <c r="O2770" i="12" s="1"/>
  <c r="O2771" i="12" s="1"/>
  <c r="O2772" i="12" s="1"/>
  <c r="O2773" i="12" s="1"/>
  <c r="O2774" i="12" s="1"/>
  <c r="O2775" i="12" s="1"/>
  <c r="O2776" i="12" s="1"/>
  <c r="O2777" i="12" s="1"/>
  <c r="O2778" i="12" s="1"/>
  <c r="O2779" i="12" s="1"/>
  <c r="O2780" i="12" s="1"/>
  <c r="O2781" i="12" s="1"/>
  <c r="O2782" i="12" s="1"/>
  <c r="O2783" i="12" s="1"/>
  <c r="O2784" i="12" s="1"/>
  <c r="O2785" i="12" s="1"/>
  <c r="O2786" i="12" s="1"/>
  <c r="O2787" i="12" s="1"/>
  <c r="O2788" i="12" s="1"/>
  <c r="O2789" i="12" s="1"/>
  <c r="O2790" i="12" s="1"/>
  <c r="O2791" i="12" s="1"/>
  <c r="O2792" i="12" s="1"/>
  <c r="O2793" i="12" s="1"/>
  <c r="O2794" i="12" s="1"/>
  <c r="O2795" i="12" s="1"/>
  <c r="O2796" i="12" s="1"/>
  <c r="O2797" i="12" s="1"/>
  <c r="O2798" i="12" s="1"/>
  <c r="O2799" i="12" s="1"/>
  <c r="O2800" i="12" s="1"/>
  <c r="O2801" i="12" s="1"/>
  <c r="O2802" i="12" s="1"/>
  <c r="O2803" i="12" s="1"/>
  <c r="O2804" i="12" s="1"/>
  <c r="O2805" i="12" s="1"/>
  <c r="O2806" i="12" s="1"/>
  <c r="O2807" i="12" s="1"/>
  <c r="O2808" i="12" s="1"/>
  <c r="O2809" i="12" s="1"/>
  <c r="O2810" i="12" s="1"/>
  <c r="O2811" i="12" s="1"/>
  <c r="O2812" i="12" s="1"/>
  <c r="O2813" i="12" s="1"/>
  <c r="O2814" i="12" s="1"/>
  <c r="O2815" i="12" s="1"/>
  <c r="O2816" i="12" s="1"/>
  <c r="O2817" i="12" s="1"/>
  <c r="O2818" i="12" s="1"/>
  <c r="O2819" i="12" s="1"/>
  <c r="O2820" i="12" s="1"/>
  <c r="O2821" i="12" s="1"/>
  <c r="O2822" i="12" s="1"/>
  <c r="O2823" i="12" s="1"/>
  <c r="O2824" i="12"/>
  <c r="O2825" i="12" s="1"/>
  <c r="O2826" i="12" s="1"/>
  <c r="O2827" i="12" s="1"/>
  <c r="O2828" i="12" s="1"/>
  <c r="O2829" i="12" s="1"/>
  <c r="O2830" i="12" s="1"/>
  <c r="O2831" i="12" s="1"/>
  <c r="O2832" i="12" s="1"/>
  <c r="O2833" i="12" s="1"/>
  <c r="O2834" i="12" s="1"/>
  <c r="O2835" i="12" s="1"/>
  <c r="O2836" i="12" s="1"/>
  <c r="O2837" i="12" s="1"/>
  <c r="O2838" i="12" s="1"/>
  <c r="O2839" i="12" s="1"/>
  <c r="O2840" i="12" s="1"/>
  <c r="O2841" i="12" s="1"/>
  <c r="O2842" i="12" s="1"/>
  <c r="O2843" i="12" s="1"/>
  <c r="O2844" i="12" s="1"/>
  <c r="O2845" i="12" s="1"/>
  <c r="O2846" i="12" s="1"/>
  <c r="O2847" i="12" s="1"/>
  <c r="O2848" i="12" s="1"/>
  <c r="O2849" i="12" s="1"/>
  <c r="O2850" i="12" s="1"/>
  <c r="O2851" i="12" s="1"/>
  <c r="O2852" i="12" s="1"/>
  <c r="O2853" i="12" s="1"/>
  <c r="O2854" i="12" s="1"/>
  <c r="O2855" i="12" s="1"/>
  <c r="O2856" i="12" s="1"/>
  <c r="O2857" i="12" s="1"/>
  <c r="O2858" i="12" s="1"/>
  <c r="O2859" i="12" s="1"/>
  <c r="O2860" i="12" s="1"/>
  <c r="O2861" i="12" s="1"/>
  <c r="O2862" i="12" s="1"/>
  <c r="O2863" i="12" s="1"/>
  <c r="O2864" i="12" s="1"/>
  <c r="O2865" i="12" s="1"/>
  <c r="O2866" i="12" s="1"/>
  <c r="O2867" i="12" s="1"/>
  <c r="O2868" i="12" s="1"/>
  <c r="O2869" i="12" s="1"/>
  <c r="O2870" i="12" s="1"/>
  <c r="O2871" i="12" s="1"/>
  <c r="O2872" i="12" s="1"/>
  <c r="O385" i="12"/>
  <c r="O386" i="12" s="1"/>
  <c r="O387" i="12" s="1"/>
  <c r="O388" i="12" s="1"/>
  <c r="O389" i="12" s="1"/>
  <c r="O390" i="12" s="1"/>
  <c r="O391" i="12" s="1"/>
  <c r="O392" i="12" s="1"/>
  <c r="O393" i="12" s="1"/>
  <c r="O394" i="12" s="1"/>
  <c r="O395" i="12" s="1"/>
  <c r="O396" i="12" s="1"/>
  <c r="O397" i="12" s="1"/>
  <c r="O398" i="12" s="1"/>
  <c r="O399" i="12" s="1"/>
  <c r="O400" i="12" s="1"/>
  <c r="O401" i="12" s="1"/>
  <c r="O402" i="12" s="1"/>
  <c r="O403" i="12" s="1"/>
  <c r="O404" i="12" s="1"/>
  <c r="O405" i="12" s="1"/>
  <c r="O406" i="12" s="1"/>
  <c r="O407" i="12" s="1"/>
  <c r="O408" i="12" s="1"/>
  <c r="O409" i="12" s="1"/>
  <c r="O410" i="12" s="1"/>
  <c r="O411" i="12" s="1"/>
  <c r="O412" i="12" s="1"/>
  <c r="O413" i="12" s="1"/>
  <c r="O414" i="12" s="1"/>
  <c r="O415" i="12" s="1"/>
  <c r="O416" i="12" s="1"/>
  <c r="O417" i="12" s="1"/>
  <c r="O418" i="12" s="1"/>
  <c r="O419" i="12" s="1"/>
  <c r="O420" i="12" s="1"/>
  <c r="O421" i="12" s="1"/>
  <c r="O422" i="12" s="1"/>
  <c r="O423" i="12" s="1"/>
  <c r="O424" i="12" s="1"/>
  <c r="O425" i="12" s="1"/>
  <c r="O426" i="12" s="1"/>
  <c r="O427" i="12" s="1"/>
  <c r="O428" i="12" s="1"/>
  <c r="O429" i="12" s="1"/>
  <c r="O430" i="12" s="1"/>
  <c r="O431" i="12" s="1"/>
  <c r="O432" i="12" s="1"/>
  <c r="O433" i="12" s="1"/>
  <c r="O434" i="12" s="1"/>
  <c r="O435" i="12" s="1"/>
  <c r="O436" i="12" s="1"/>
  <c r="O437" i="12" s="1"/>
  <c r="O438" i="12" s="1"/>
  <c r="O439" i="12" s="1"/>
  <c r="O440" i="12" s="1"/>
  <c r="O441" i="12" s="1"/>
  <c r="O442" i="12" s="1"/>
  <c r="O443" i="12" s="1"/>
  <c r="O444" i="12" s="1"/>
  <c r="O445" i="12" s="1"/>
  <c r="O446" i="12" s="1"/>
  <c r="O447" i="12" s="1"/>
  <c r="O448" i="12" s="1"/>
  <c r="O449" i="12" s="1"/>
  <c r="O450" i="12" s="1"/>
  <c r="O451" i="12" s="1"/>
  <c r="O452" i="12" s="1"/>
  <c r="O453" i="12" s="1"/>
  <c r="O454" i="12" s="1"/>
  <c r="O455" i="12" s="1"/>
  <c r="O456" i="12" s="1"/>
  <c r="O457" i="12" s="1"/>
  <c r="O458" i="12" s="1"/>
  <c r="O459" i="12" s="1"/>
  <c r="O460" i="12" s="1"/>
  <c r="O461" i="12" s="1"/>
  <c r="O462" i="12" s="1"/>
  <c r="O463" i="12" s="1"/>
  <c r="O464" i="12" s="1"/>
  <c r="O465" i="12" s="1"/>
  <c r="O466" i="12" s="1"/>
  <c r="O467" i="12" s="1"/>
  <c r="O468" i="12" s="1"/>
  <c r="O469" i="12" s="1"/>
  <c r="O470" i="12" s="1"/>
  <c r="O471" i="12" s="1"/>
  <c r="O472" i="12" s="1"/>
  <c r="O473" i="12" s="1"/>
  <c r="O474" i="12" s="1"/>
  <c r="O475" i="12" s="1"/>
  <c r="O476" i="12" s="1"/>
  <c r="O477" i="12" s="1"/>
  <c r="O478" i="12" s="1"/>
  <c r="O479" i="12" s="1"/>
  <c r="O480" i="12" s="1"/>
  <c r="O481" i="12" s="1"/>
  <c r="O482" i="12" s="1"/>
  <c r="O483" i="12" s="1"/>
  <c r="O484" i="12" s="1"/>
  <c r="O485" i="12" s="1"/>
  <c r="O486" i="12" s="1"/>
  <c r="O487" i="12" s="1"/>
  <c r="O488" i="12" s="1"/>
  <c r="O489" i="12" s="1"/>
  <c r="O490" i="12" s="1"/>
  <c r="O491" i="12" s="1"/>
  <c r="O492" i="12" s="1"/>
  <c r="O493" i="12" s="1"/>
  <c r="O494" i="12" s="1"/>
  <c r="O495" i="12" s="1"/>
  <c r="O496" i="12" s="1"/>
  <c r="O497" i="12" s="1"/>
  <c r="O498" i="12" s="1"/>
  <c r="O499" i="12" s="1"/>
  <c r="O500" i="12" s="1"/>
  <c r="O501" i="12" s="1"/>
  <c r="O502" i="12" s="1"/>
  <c r="O503" i="12" s="1"/>
  <c r="O504" i="12" s="1"/>
  <c r="O505" i="12" s="1"/>
  <c r="O506" i="12" s="1"/>
  <c r="O507" i="12" s="1"/>
  <c r="O508" i="12" s="1"/>
  <c r="O509" i="12" s="1"/>
  <c r="O510" i="12" s="1"/>
  <c r="O511" i="12" s="1"/>
  <c r="O512" i="12" s="1"/>
  <c r="O513" i="12" s="1"/>
  <c r="O514" i="12" s="1"/>
  <c r="O515" i="12" s="1"/>
  <c r="O516" i="12" s="1"/>
  <c r="O517" i="12" s="1"/>
  <c r="O518" i="12" s="1"/>
  <c r="O519" i="12" s="1"/>
  <c r="O520" i="12" s="1"/>
  <c r="O521" i="12" s="1"/>
  <c r="O522" i="12" s="1"/>
  <c r="O523" i="12" s="1"/>
  <c r="O524" i="12" s="1"/>
  <c r="O525" i="12" s="1"/>
  <c r="O526" i="12" s="1"/>
  <c r="O527" i="12" s="1"/>
  <c r="O528" i="12" s="1"/>
  <c r="O529" i="12" s="1"/>
  <c r="O530" i="12" s="1"/>
  <c r="O531" i="12" s="1"/>
  <c r="O532" i="12" s="1"/>
  <c r="O533" i="12" s="1"/>
  <c r="O534" i="12" s="1"/>
  <c r="O535" i="12" s="1"/>
  <c r="O536" i="12" s="1"/>
  <c r="O537" i="12" s="1"/>
  <c r="O538" i="12" s="1"/>
  <c r="O539" i="12" s="1"/>
  <c r="O540" i="12" s="1"/>
  <c r="O541" i="12" s="1"/>
  <c r="O542" i="12" s="1"/>
  <c r="O543" i="12" s="1"/>
  <c r="O544" i="12" s="1"/>
  <c r="O545" i="12" s="1"/>
  <c r="O546" i="12" s="1"/>
  <c r="O547" i="12" s="1"/>
  <c r="O548" i="12" s="1"/>
  <c r="O549" i="12" s="1"/>
  <c r="O550" i="12" s="1"/>
  <c r="O551" i="12" s="1"/>
  <c r="O552" i="12" s="1"/>
  <c r="O553" i="12" s="1"/>
  <c r="O554" i="12" s="1"/>
  <c r="O555" i="12" s="1"/>
  <c r="O556" i="12" s="1"/>
  <c r="O557" i="12" s="1"/>
  <c r="O558" i="12" s="1"/>
  <c r="O559" i="12" s="1"/>
  <c r="O560" i="12" s="1"/>
  <c r="O561" i="12" s="1"/>
  <c r="O562" i="12" s="1"/>
  <c r="O563" i="12" s="1"/>
  <c r="O564" i="12" s="1"/>
  <c r="O565" i="12" s="1"/>
  <c r="O566" i="12" s="1"/>
  <c r="O567" i="12" s="1"/>
  <c r="O568" i="12" s="1"/>
  <c r="O569" i="12" s="1"/>
  <c r="O570" i="12" s="1"/>
  <c r="O571" i="12" s="1"/>
  <c r="O572" i="12" s="1"/>
  <c r="O573" i="12" s="1"/>
  <c r="O574" i="12" s="1"/>
  <c r="O575" i="12" s="1"/>
  <c r="O576" i="12" s="1"/>
  <c r="O577" i="12" s="1"/>
  <c r="O578" i="12" s="1"/>
  <c r="O579" i="12" s="1"/>
  <c r="O580" i="12" s="1"/>
  <c r="O581" i="12" s="1"/>
  <c r="O582" i="12" s="1"/>
  <c r="O1075" i="12"/>
  <c r="O1076" i="12" s="1"/>
  <c r="O1077" i="12" s="1"/>
  <c r="O1078" i="12" s="1"/>
  <c r="O1079" i="12" s="1"/>
  <c r="O1080" i="12" s="1"/>
  <c r="O1081" i="12" s="1"/>
  <c r="O1082" i="12" s="1"/>
  <c r="O1083" i="12" s="1"/>
  <c r="O1084" i="12" s="1"/>
  <c r="O1085" i="12" s="1"/>
  <c r="O1086" i="12" s="1"/>
  <c r="O1087" i="12" s="1"/>
  <c r="O1088" i="12" s="1"/>
  <c r="O1089" i="12" s="1"/>
  <c r="O1090" i="12" s="1"/>
  <c r="O1091" i="12" s="1"/>
  <c r="O1092" i="12" s="1"/>
  <c r="O1093" i="12" s="1"/>
  <c r="O1094" i="12" s="1"/>
  <c r="O1095" i="12" s="1"/>
  <c r="O1096" i="12" s="1"/>
  <c r="O1097" i="12" s="1"/>
  <c r="O1098" i="12" s="1"/>
  <c r="O1099" i="12" s="1"/>
  <c r="O1100" i="12" s="1"/>
  <c r="O1101" i="12" s="1"/>
  <c r="O1102" i="12" s="1"/>
  <c r="O1103" i="12" s="1"/>
  <c r="O1104" i="12" s="1"/>
  <c r="O1105" i="12" s="1"/>
  <c r="O1106" i="12" s="1"/>
  <c r="O1107" i="12" s="1"/>
  <c r="O1108" i="12" s="1"/>
  <c r="O1109" i="12" s="1"/>
  <c r="O1110" i="12" s="1"/>
  <c r="O1111" i="12" s="1"/>
  <c r="O1112" i="12" s="1"/>
  <c r="O1113" i="12" s="1"/>
  <c r="O1114" i="12" s="1"/>
  <c r="O1115" i="12" s="1"/>
  <c r="O1116" i="12" s="1"/>
  <c r="O1117" i="12" s="1"/>
  <c r="O1118" i="12" s="1"/>
  <c r="O1119" i="12" s="1"/>
  <c r="O1120" i="12" s="1"/>
  <c r="O1121" i="12" s="1"/>
  <c r="O1122" i="12" s="1"/>
  <c r="O1123" i="12" s="1"/>
  <c r="O1124" i="12" s="1"/>
  <c r="O1125" i="12" s="1"/>
  <c r="O1126" i="12" s="1"/>
  <c r="O1127" i="12" s="1"/>
  <c r="O1128" i="12" s="1"/>
  <c r="O1129" i="12" s="1"/>
  <c r="O1130" i="12" s="1"/>
  <c r="O1131" i="12" s="1"/>
  <c r="O1132" i="12" s="1"/>
  <c r="O1133" i="12" s="1"/>
  <c r="O1134" i="12" s="1"/>
  <c r="O1135" i="12" s="1"/>
  <c r="O1136" i="12" s="1"/>
  <c r="O1137" i="12" s="1"/>
  <c r="O1138" i="12" s="1"/>
  <c r="O1139" i="12" s="1"/>
  <c r="O1140" i="12" s="1"/>
  <c r="O1141" i="12" s="1"/>
  <c r="O1142" i="12" s="1"/>
  <c r="O1143" i="12" s="1"/>
  <c r="O1144" i="12" s="1"/>
  <c r="O1145" i="12" s="1"/>
  <c r="O1146" i="12" s="1"/>
  <c r="O1147" i="12" s="1"/>
  <c r="O1148" i="12" s="1"/>
  <c r="O1149" i="12" s="1"/>
  <c r="O1150" i="12" s="1"/>
  <c r="O1151" i="12" s="1"/>
  <c r="O1152" i="12" s="1"/>
  <c r="O1153" i="12" s="1"/>
  <c r="O1154" i="12" s="1"/>
  <c r="O1155" i="12" s="1"/>
  <c r="O1156" i="12" s="1"/>
  <c r="O1157" i="12" s="1"/>
  <c r="O1158" i="12" s="1"/>
  <c r="O1159" i="12" s="1"/>
  <c r="O1160" i="12" s="1"/>
  <c r="O1161" i="12" s="1"/>
  <c r="O1162" i="12" s="1"/>
  <c r="O1163" i="12" s="1"/>
  <c r="O1164" i="12" s="1"/>
  <c r="O1165" i="12" s="1"/>
  <c r="O1166" i="12" s="1"/>
  <c r="O1167" i="12" s="1"/>
  <c r="O1168" i="12" s="1"/>
  <c r="O1169" i="12" s="1"/>
  <c r="O1170" i="12" s="1"/>
  <c r="O1171" i="12" s="1"/>
  <c r="O1172" i="12" s="1"/>
  <c r="O1173" i="12" s="1"/>
  <c r="O1174" i="12" s="1"/>
  <c r="O1175" i="12" s="1"/>
  <c r="O1176" i="12" s="1"/>
  <c r="O1177" i="12" s="1"/>
  <c r="O1178" i="12" s="1"/>
  <c r="O1179" i="12" s="1"/>
  <c r="O1180" i="12" s="1"/>
  <c r="O1181" i="12" s="1"/>
  <c r="O1182" i="12" s="1"/>
  <c r="O1183" i="12" s="1"/>
  <c r="O1184" i="12" s="1"/>
  <c r="O1185" i="12" s="1"/>
  <c r="O1186" i="12" s="1"/>
  <c r="O1187" i="12" s="1"/>
  <c r="O1188" i="12" s="1"/>
  <c r="O1189" i="12" s="1"/>
  <c r="O1190" i="12" s="1"/>
  <c r="O1191" i="12" s="1"/>
  <c r="O1192" i="12" s="1"/>
  <c r="O1193" i="12" s="1"/>
  <c r="O1194" i="12" s="1"/>
  <c r="O1195" i="12" s="1"/>
  <c r="O1196" i="12" s="1"/>
  <c r="O1197" i="12" s="1"/>
  <c r="O1198" i="12" s="1"/>
  <c r="O1199" i="12" s="1"/>
  <c r="O1200" i="12" s="1"/>
  <c r="O1201" i="12" s="1"/>
  <c r="O1202" i="12" s="1"/>
  <c r="O1203" i="12" s="1"/>
  <c r="O1204" i="12" s="1"/>
  <c r="O1205" i="12" s="1"/>
  <c r="O1206" i="12" s="1"/>
  <c r="O1207" i="12" s="1"/>
  <c r="O1208" i="12" s="1"/>
  <c r="O1209" i="12" s="1"/>
  <c r="O1210" i="12" s="1"/>
  <c r="O1211" i="12" s="1"/>
  <c r="O1212" i="12" s="1"/>
  <c r="O1213" i="12" s="1"/>
  <c r="O1214" i="12" s="1"/>
  <c r="O1215" i="12" s="1"/>
  <c r="O1216" i="12" s="1"/>
  <c r="O1217" i="12" s="1"/>
  <c r="O1218" i="12" s="1"/>
  <c r="O1219" i="12" s="1"/>
  <c r="O1220" i="12" s="1"/>
  <c r="O1221" i="12" s="1"/>
  <c r="O1222" i="12" s="1"/>
  <c r="O1223" i="12" s="1"/>
  <c r="O1224" i="12" s="1"/>
  <c r="O1225" i="12" s="1"/>
  <c r="O1226" i="12" s="1"/>
  <c r="O1227" i="12" s="1"/>
  <c r="O1228" i="12" s="1"/>
  <c r="O1229" i="12" s="1"/>
  <c r="O1230" i="12" s="1"/>
  <c r="O1231" i="12" s="1"/>
  <c r="O1232" i="12" s="1"/>
  <c r="O1233" i="12" s="1"/>
  <c r="O1234" i="12" s="1"/>
  <c r="O1235" i="12" s="1"/>
  <c r="O1236" i="12" s="1"/>
  <c r="O1237" i="12" s="1"/>
  <c r="O1238" i="12" s="1"/>
  <c r="O1239" i="12" s="1"/>
  <c r="O1240" i="12" s="1"/>
  <c r="O1241" i="12" s="1"/>
  <c r="O1242" i="12" s="1"/>
  <c r="O1243" i="12" s="1"/>
  <c r="O1244" i="12" s="1"/>
  <c r="O1245" i="12" s="1"/>
  <c r="O1246" i="12" s="1"/>
  <c r="O1247" i="12" s="1"/>
  <c r="O1248" i="12" s="1"/>
  <c r="O1249" i="12" s="1"/>
  <c r="O1250" i="12" s="1"/>
  <c r="O1251" i="12" s="1"/>
  <c r="O1252" i="12" s="1"/>
  <c r="O1253" i="12" s="1"/>
  <c r="O1254" i="12" s="1"/>
  <c r="O1255" i="12" s="1"/>
  <c r="O1256" i="12" s="1"/>
  <c r="O1257" i="12" s="1"/>
  <c r="O1258" i="12" s="1"/>
  <c r="O1259" i="12" s="1"/>
  <c r="O1260" i="12" s="1"/>
  <c r="O1261" i="12" s="1"/>
  <c r="O1262" i="12" s="1"/>
  <c r="O1263" i="12" s="1"/>
  <c r="O1264" i="12" s="1"/>
  <c r="O1265" i="12" s="1"/>
  <c r="O1266" i="12" s="1"/>
  <c r="O1267" i="12" s="1"/>
  <c r="O1268" i="12" s="1"/>
  <c r="O1269" i="12" s="1"/>
  <c r="O1270" i="12" s="1"/>
  <c r="O1271" i="12" s="1"/>
  <c r="O1272" i="12" s="1"/>
  <c r="O1273" i="12" s="1"/>
  <c r="O1274" i="12" s="1"/>
  <c r="O1275" i="12" s="1"/>
  <c r="O1276" i="12" s="1"/>
  <c r="O1277" i="12" s="1"/>
  <c r="O1278" i="12" s="1"/>
  <c r="O1279" i="12" s="1"/>
  <c r="O1280" i="12" s="1"/>
  <c r="O1281" i="12" s="1"/>
  <c r="O1282" i="12" s="1"/>
  <c r="O1283" i="12" s="1"/>
  <c r="O1284" i="12" s="1"/>
  <c r="O1285" i="12" s="1"/>
  <c r="O1286" i="12" s="1"/>
  <c r="O1287" i="12" s="1"/>
  <c r="O1288" i="12" s="1"/>
  <c r="O1289" i="12" s="1"/>
  <c r="O1290" i="12" s="1"/>
  <c r="O1291" i="12" s="1"/>
  <c r="O1292" i="12" s="1"/>
  <c r="O1293" i="12" s="1"/>
  <c r="O1294" i="12" s="1"/>
  <c r="O1295" i="12" s="1"/>
  <c r="O1296" i="12" s="1"/>
  <c r="O1297" i="12" s="1"/>
  <c r="O1298" i="12" s="1"/>
  <c r="O1299" i="12" s="1"/>
  <c r="O1300" i="12" s="1"/>
  <c r="O1301" i="12" s="1"/>
  <c r="O1302" i="12" s="1"/>
  <c r="O1303" i="12" s="1"/>
  <c r="O1304" i="12" s="1"/>
  <c r="O1305" i="12" s="1"/>
  <c r="O1306" i="12" s="1"/>
  <c r="O1307" i="12" s="1"/>
  <c r="O1308" i="12" s="1"/>
  <c r="O1309" i="12" s="1"/>
  <c r="O1310" i="12" s="1"/>
  <c r="O1311" i="12" s="1"/>
  <c r="O1312" i="12" s="1"/>
  <c r="O1313" i="12" s="1"/>
  <c r="O1314" i="12" s="1"/>
  <c r="O1315" i="12" s="1"/>
  <c r="O1316" i="12" s="1"/>
  <c r="O1317" i="12" s="1"/>
  <c r="O1318" i="12" s="1"/>
  <c r="O1319" i="12" s="1"/>
  <c r="O1320" i="12" s="1"/>
  <c r="O1321" i="12" s="1"/>
  <c r="O1322" i="12" s="1"/>
  <c r="O1323" i="12" s="1"/>
  <c r="O1324" i="12" s="1"/>
  <c r="O1325" i="12" s="1"/>
  <c r="O1326" i="12" s="1"/>
  <c r="O1327" i="12" s="1"/>
  <c r="O1328" i="12" s="1"/>
  <c r="O1329" i="12" s="1"/>
  <c r="O1330" i="12" s="1"/>
  <c r="O1331" i="12" s="1"/>
  <c r="O1332" i="12" s="1"/>
  <c r="O1333" i="12" s="1"/>
  <c r="O1334" i="12" s="1"/>
  <c r="O1335" i="12" s="1"/>
  <c r="O1336" i="12" s="1"/>
  <c r="O1337" i="12" s="1"/>
  <c r="O1338" i="12" s="1"/>
  <c r="O1339" i="12" s="1"/>
  <c r="O1340" i="12" s="1"/>
  <c r="O1341" i="12" s="1"/>
  <c r="O1342" i="12" s="1"/>
  <c r="O1343" i="12" s="1"/>
  <c r="O1344" i="12" s="1"/>
  <c r="O1345" i="12" s="1"/>
  <c r="O1346" i="12" s="1"/>
  <c r="O1347" i="12" s="1"/>
  <c r="O1348" i="12" s="1"/>
  <c r="O1349" i="12" s="1"/>
  <c r="O1350" i="12" s="1"/>
  <c r="O1351" i="12" s="1"/>
  <c r="O1352" i="12" s="1"/>
  <c r="O1353" i="12" s="1"/>
  <c r="O1354" i="12" s="1"/>
  <c r="O1355" i="12" s="1"/>
  <c r="O1356" i="12" s="1"/>
  <c r="O1357" i="12" s="1"/>
  <c r="O1358" i="12" s="1"/>
  <c r="O1359" i="12" s="1"/>
  <c r="O1360" i="12" s="1"/>
  <c r="O1361" i="12" s="1"/>
  <c r="O1362" i="12" s="1"/>
  <c r="O1363" i="12" s="1"/>
  <c r="O1364" i="12" s="1"/>
  <c r="O1365" i="12" s="1"/>
  <c r="O1366" i="12" s="1"/>
  <c r="O1367" i="12" s="1"/>
  <c r="O1368" i="12" s="1"/>
  <c r="O1369" i="12" s="1"/>
  <c r="O1370" i="12" s="1"/>
  <c r="O1371" i="12" s="1"/>
  <c r="O1372" i="12" s="1"/>
  <c r="O1373" i="12" s="1"/>
  <c r="O1374" i="12" s="1"/>
  <c r="O1375" i="12" s="1"/>
  <c r="O1376" i="12" s="1"/>
  <c r="O1377" i="12" s="1"/>
  <c r="O1378" i="12" s="1"/>
  <c r="O1379" i="12" s="1"/>
  <c r="O1380" i="12" s="1"/>
  <c r="O1381" i="12" s="1"/>
  <c r="O1382" i="12" s="1"/>
  <c r="O1383" i="12" s="1"/>
  <c r="O1384" i="12" s="1"/>
  <c r="O1385" i="12" s="1"/>
  <c r="O1386" i="12" s="1"/>
  <c r="O1387" i="12" s="1"/>
  <c r="O1388" i="12" s="1"/>
  <c r="O1389" i="12" s="1"/>
  <c r="O1390" i="12" s="1"/>
  <c r="O1391" i="12" s="1"/>
  <c r="O1392" i="12" s="1"/>
  <c r="O1393" i="12" s="1"/>
  <c r="O1394" i="12" s="1"/>
  <c r="O1395" i="12" s="1"/>
  <c r="O1396" i="12" s="1"/>
  <c r="O1397" i="12" s="1"/>
  <c r="O1398" i="12" s="1"/>
  <c r="O1399" i="12" s="1"/>
  <c r="O1400" i="12" s="1"/>
  <c r="O1401" i="12" s="1"/>
  <c r="O1402" i="12" s="1"/>
  <c r="O1403" i="12" s="1"/>
  <c r="O1404" i="12" s="1"/>
  <c r="O1405" i="12" s="1"/>
  <c r="O1406" i="12" s="1"/>
  <c r="O1407" i="12" s="1"/>
  <c r="O1408" i="12" s="1"/>
  <c r="O1409" i="12" s="1"/>
  <c r="O1410" i="12" s="1"/>
  <c r="O1411" i="12" s="1"/>
  <c r="O1412" i="12" s="1"/>
  <c r="O1413" i="12" s="1"/>
  <c r="O1414" i="12" s="1"/>
  <c r="O1415" i="12" s="1"/>
  <c r="O1416" i="12" s="1"/>
  <c r="O1417" i="12" s="1"/>
  <c r="O1418" i="12" s="1"/>
  <c r="O1419" i="12" s="1"/>
  <c r="O1420" i="12" s="1"/>
  <c r="O1421" i="12" s="1"/>
  <c r="O1422" i="12" s="1"/>
  <c r="O1423" i="12" s="1"/>
  <c r="O1424" i="12" s="1"/>
  <c r="O1425" i="12" s="1"/>
  <c r="O1426" i="12" s="1"/>
  <c r="O1427" i="12" s="1"/>
  <c r="O1428" i="12" s="1"/>
  <c r="O1429" i="12" s="1"/>
  <c r="O1430" i="12" s="1"/>
  <c r="O1431" i="12" s="1"/>
  <c r="O1432" i="12" s="1"/>
  <c r="O1433" i="12" s="1"/>
  <c r="O1434" i="12" s="1"/>
  <c r="O1435" i="12" s="1"/>
  <c r="O1436" i="12" s="1"/>
  <c r="O1437" i="12" s="1"/>
  <c r="O1438" i="12" s="1"/>
  <c r="O1439" i="12" s="1"/>
  <c r="O1440" i="12" s="1"/>
  <c r="O1441" i="12" s="1"/>
  <c r="O1442" i="12" s="1"/>
  <c r="O1443" i="12" s="1"/>
  <c r="O1444" i="12" s="1"/>
  <c r="O1445" i="12" s="1"/>
  <c r="O1446" i="12" s="1"/>
  <c r="O1447" i="12" s="1"/>
  <c r="O1448" i="12" s="1"/>
  <c r="O1449" i="12" s="1"/>
  <c r="O1450" i="12" s="1"/>
  <c r="O1451" i="12" s="1"/>
  <c r="O1452" i="12" s="1"/>
  <c r="O1453" i="12" s="1"/>
  <c r="O1454" i="12" s="1"/>
  <c r="O1455" i="12" s="1"/>
  <c r="O1456" i="12" s="1"/>
  <c r="O1457" i="12" s="1"/>
  <c r="O1458" i="12" s="1"/>
  <c r="O1459" i="12" s="1"/>
  <c r="O1460" i="12" s="1"/>
  <c r="O1461" i="12" s="1"/>
  <c r="O1462" i="12" s="1"/>
  <c r="O1463" i="12" s="1"/>
  <c r="O1464" i="12" s="1"/>
  <c r="O1465" i="12" s="1"/>
  <c r="O1466" i="12" s="1"/>
  <c r="O1467" i="12" s="1"/>
  <c r="O1468" i="12" s="1"/>
  <c r="O1469" i="12" s="1"/>
  <c r="O1470" i="12" s="1"/>
  <c r="O1471" i="12" s="1"/>
  <c r="O1472" i="12" s="1"/>
  <c r="O583" i="12"/>
  <c r="O584" i="12" s="1"/>
  <c r="O585" i="12" s="1"/>
  <c r="O586" i="12" s="1"/>
  <c r="O587" i="12" s="1"/>
  <c r="O588" i="12" s="1"/>
  <c r="O589" i="12" s="1"/>
  <c r="O590" i="12" s="1"/>
  <c r="O591" i="12" s="1"/>
  <c r="O592" i="12" s="1"/>
  <c r="O593" i="12" s="1"/>
  <c r="O594" i="12" s="1"/>
  <c r="O595" i="12" s="1"/>
  <c r="O596" i="12" s="1"/>
  <c r="O597" i="12" s="1"/>
  <c r="O598" i="12" s="1"/>
  <c r="O599" i="12" s="1"/>
  <c r="O600" i="12" s="1"/>
  <c r="O601" i="12" s="1"/>
  <c r="O602" i="12" s="1"/>
  <c r="O603" i="12" s="1"/>
  <c r="O604" i="12" s="1"/>
  <c r="O605" i="12" s="1"/>
  <c r="O606" i="12" s="1"/>
  <c r="O607" i="12" s="1"/>
  <c r="O608" i="12" s="1"/>
  <c r="O609" i="12" s="1"/>
  <c r="O610" i="12" s="1"/>
  <c r="O611" i="12" s="1"/>
  <c r="O612" i="12" s="1"/>
  <c r="O613" i="12" s="1"/>
  <c r="O614" i="12" s="1"/>
  <c r="O615" i="12" s="1"/>
  <c r="O616" i="12" s="1"/>
  <c r="O617" i="12" s="1"/>
  <c r="O618" i="12" s="1"/>
  <c r="O619" i="12" s="1"/>
  <c r="O620" i="12" s="1"/>
  <c r="O621" i="12" s="1"/>
  <c r="O622" i="12" s="1"/>
  <c r="O623" i="12" s="1"/>
  <c r="O624" i="12" s="1"/>
  <c r="O625" i="12" s="1"/>
  <c r="O626" i="12" s="1"/>
  <c r="O627" i="12" s="1"/>
  <c r="O628" i="12" s="1"/>
  <c r="O629" i="12" s="1"/>
  <c r="O630" i="12" s="1"/>
  <c r="O631" i="12" s="1"/>
  <c r="O632" i="12" s="1"/>
  <c r="O633" i="12" s="1"/>
  <c r="O634" i="12" s="1"/>
  <c r="O635" i="12" s="1"/>
  <c r="O636" i="12" s="1"/>
  <c r="O637" i="12" s="1"/>
  <c r="O638" i="12" s="1"/>
  <c r="O639" i="12" s="1"/>
  <c r="O640" i="12" s="1"/>
  <c r="O641" i="12" s="1"/>
  <c r="O642" i="12" s="1"/>
  <c r="O643" i="12" s="1"/>
  <c r="O644" i="12" s="1"/>
  <c r="O645" i="12" s="1"/>
  <c r="O646" i="12" s="1"/>
  <c r="O647" i="12" s="1"/>
  <c r="O648" i="12" s="1"/>
  <c r="O649" i="12" s="1"/>
  <c r="O650" i="12" s="1"/>
  <c r="O651" i="12" s="1"/>
  <c r="O652" i="12" s="1"/>
  <c r="O975" i="12"/>
  <c r="O976" i="12" s="1"/>
  <c r="O977" i="12" s="1"/>
  <c r="O978" i="12" s="1"/>
  <c r="O979" i="12" s="1"/>
  <c r="O980" i="12" s="1"/>
  <c r="O981" i="12" s="1"/>
  <c r="O982" i="12" s="1"/>
  <c r="O983" i="12" s="1"/>
  <c r="O984" i="12" s="1"/>
  <c r="O985" i="12" s="1"/>
  <c r="O986" i="12" s="1"/>
  <c r="O987" i="12" s="1"/>
  <c r="O988" i="12" s="1"/>
  <c r="O989" i="12" s="1"/>
  <c r="O990" i="12" s="1"/>
  <c r="O991" i="12" s="1"/>
  <c r="O992" i="12" s="1"/>
  <c r="O993" i="12" s="1"/>
  <c r="O994" i="12" s="1"/>
  <c r="O995" i="12" s="1"/>
  <c r="O996" i="12" s="1"/>
  <c r="O997" i="12" s="1"/>
  <c r="O998" i="12" s="1"/>
  <c r="O999" i="12" s="1"/>
  <c r="O1000" i="12" s="1"/>
  <c r="O1001" i="12" s="1"/>
  <c r="O1002" i="12" s="1"/>
  <c r="O1003" i="12" s="1"/>
  <c r="O1004" i="12" s="1"/>
  <c r="O1005" i="12" s="1"/>
  <c r="O1006" i="12" s="1"/>
  <c r="O1007" i="12" s="1"/>
  <c r="O1008" i="12" s="1"/>
  <c r="O1009" i="12" s="1"/>
  <c r="O1010" i="12" s="1"/>
  <c r="O1011" i="12" s="1"/>
  <c r="O1012" i="12" s="1"/>
  <c r="O1013" i="12" s="1"/>
  <c r="O1014" i="12" s="1"/>
  <c r="O1015" i="12" s="1"/>
  <c r="O1016" i="12" s="1"/>
  <c r="O1017" i="12" s="1"/>
  <c r="O1018" i="12" s="1"/>
  <c r="O1019" i="12" s="1"/>
  <c r="O1020" i="12" s="1"/>
  <c r="O1021" i="12" s="1"/>
  <c r="O1022" i="12" s="1"/>
  <c r="O1023" i="12" s="1"/>
  <c r="O1024" i="12" s="1"/>
  <c r="O1025" i="12" s="1"/>
  <c r="O1026" i="12" s="1"/>
  <c r="O1027" i="12" s="1"/>
  <c r="O1028" i="12" s="1"/>
  <c r="O1029" i="12" s="1"/>
  <c r="O1030" i="12" s="1"/>
  <c r="O1031" i="12" s="1"/>
  <c r="O1032" i="12" s="1"/>
  <c r="O1033" i="12" s="1"/>
  <c r="O1034" i="12" s="1"/>
  <c r="O1035" i="12" s="1"/>
  <c r="O1036" i="12" s="1"/>
  <c r="O1037" i="12" s="1"/>
  <c r="O1038" i="12" s="1"/>
  <c r="O1039" i="12" s="1"/>
  <c r="O1040" i="12" s="1"/>
  <c r="O1041" i="12" s="1"/>
  <c r="O1042" i="12" s="1"/>
  <c r="O1043" i="12" s="1"/>
  <c r="O1044" i="12" s="1"/>
  <c r="O1045" i="12" s="1"/>
  <c r="O1046" i="12" s="1"/>
  <c r="O1047" i="12" s="1"/>
  <c r="O1048" i="12" s="1"/>
  <c r="O1049" i="12" s="1"/>
  <c r="O1050" i="12" s="1"/>
  <c r="O1051" i="12" s="1"/>
  <c r="O1052" i="12" s="1"/>
  <c r="O1053" i="12" s="1"/>
  <c r="O1054" i="12" s="1"/>
  <c r="O1055" i="12" s="1"/>
  <c r="O1056" i="12" s="1"/>
  <c r="O1057" i="12" s="1"/>
  <c r="O1058" i="12" s="1"/>
  <c r="O1059" i="12" s="1"/>
  <c r="O1060" i="12" s="1"/>
  <c r="O1061" i="12" s="1"/>
  <c r="O1062" i="12" s="1"/>
  <c r="O1063" i="12" s="1"/>
  <c r="O1064" i="12" s="1"/>
  <c r="O1065" i="12" s="1"/>
  <c r="O1066" i="12" s="1"/>
  <c r="O1067" i="12" s="1"/>
  <c r="O1068" i="12" s="1"/>
  <c r="O1069" i="12" s="1"/>
  <c r="O1070" i="12" s="1"/>
  <c r="O1071" i="12" s="1"/>
  <c r="O1072" i="12" s="1"/>
  <c r="O1073" i="12" s="1"/>
  <c r="O1074" i="12" s="1"/>
  <c r="Q56" i="9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Q95" i="9" s="1"/>
  <c r="Q96" i="9" s="1"/>
  <c r="Q97" i="9" s="1"/>
  <c r="Q98" i="9" s="1"/>
  <c r="Q99" i="9" s="1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Q151" i="9" s="1"/>
  <c r="Q152" i="9" s="1"/>
  <c r="Q153" i="9" s="1"/>
  <c r="Q154" i="9" s="1"/>
  <c r="Q155" i="9" s="1"/>
  <c r="Q156" i="9" s="1"/>
  <c r="Q157" i="9" s="1"/>
  <c r="Q158" i="9" s="1"/>
  <c r="Q159" i="9" s="1"/>
  <c r="Q160" i="9" s="1"/>
  <c r="Q161" i="9" s="1"/>
  <c r="Q162" i="9" s="1"/>
  <c r="Q163" i="9" s="1"/>
  <c r="Q164" i="9" s="1"/>
  <c r="Q165" i="9" s="1"/>
  <c r="Q166" i="9" s="1"/>
  <c r="Q167" i="9" s="1"/>
  <c r="Q168" i="9" s="1"/>
  <c r="Q169" i="9" s="1"/>
  <c r="Q170" i="9" s="1"/>
  <c r="Q171" i="9" s="1"/>
  <c r="Q172" i="9" s="1"/>
  <c r="Q173" i="9" s="1"/>
  <c r="Q174" i="9" s="1"/>
  <c r="Q175" i="9" s="1"/>
  <c r="Q176" i="9" s="1"/>
  <c r="Q177" i="9" s="1"/>
  <c r="Q178" i="9" s="1"/>
  <c r="Q42" i="9"/>
  <c r="Q43" i="9" s="1"/>
  <c r="Q44" i="9" s="1"/>
  <c r="Q45" i="9" s="1"/>
  <c r="Q46" i="9" s="1"/>
  <c r="Q47" i="9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48" i="9"/>
  <c r="Q49" i="9"/>
  <c r="Q50" i="9" s="1"/>
  <c r="Q51" i="9" s="1"/>
  <c r="Q55" i="9"/>
  <c r="Q54" i="9"/>
  <c r="M49" i="11"/>
  <c r="P49" i="11" s="1"/>
  <c r="BI41" i="9" s="1"/>
  <c r="Q43" i="11"/>
  <c r="R42" i="11" s="1"/>
  <c r="C15" i="11"/>
  <c r="D15" i="11"/>
  <c r="E15" i="11"/>
  <c r="Q36" i="11"/>
  <c r="M43" i="11"/>
  <c r="P43" i="11" s="1"/>
  <c r="BI35" i="9" s="1"/>
  <c r="Q44" i="11"/>
  <c r="M44" i="11"/>
  <c r="P44" i="11" s="1"/>
  <c r="BI36" i="9" s="1"/>
  <c r="M36" i="11"/>
  <c r="P36" i="11" s="1"/>
  <c r="BI28" i="9" s="1"/>
  <c r="L18" i="11"/>
  <c r="L20" i="11"/>
  <c r="L26" i="11"/>
  <c r="M26" i="11" s="1"/>
  <c r="L25" i="11"/>
  <c r="O25" i="11" s="1"/>
  <c r="S25" i="11" s="1"/>
  <c r="BL17" i="9" s="1"/>
  <c r="M34" i="11"/>
  <c r="O34" i="11"/>
  <c r="S34" i="11" s="1"/>
  <c r="BL26" i="9" s="1"/>
  <c r="L17" i="11"/>
  <c r="E14" i="11"/>
  <c r="D14" i="11"/>
  <c r="C14" i="11"/>
  <c r="AB1952" i="12"/>
  <c r="AB342" i="12"/>
  <c r="AB2182" i="12"/>
  <c r="AB382" i="12"/>
  <c r="AB435" i="12"/>
  <c r="AB13" i="12"/>
  <c r="AB34" i="12"/>
  <c r="AB2442" i="12"/>
  <c r="AB163" i="12"/>
  <c r="AB243" i="12"/>
  <c r="AB2162" i="12"/>
  <c r="AB494" i="12"/>
  <c r="AB623" i="12"/>
  <c r="AB73" i="12"/>
  <c r="AB102" i="12"/>
  <c r="AB2132" i="12"/>
  <c r="AB303" i="12"/>
  <c r="AB24" i="12"/>
  <c r="AB725" i="12"/>
  <c r="AB793" i="12"/>
  <c r="AB82" i="12"/>
  <c r="O3" i="12"/>
  <c r="M36" i="9"/>
  <c r="AC793" i="12"/>
  <c r="AC792" i="12" s="1"/>
  <c r="AC791" i="12" s="1"/>
  <c r="AC790" i="12" s="1"/>
  <c r="AC789" i="12" s="1"/>
  <c r="AC788" i="12" s="1"/>
  <c r="AC787" i="12" s="1"/>
  <c r="AC786" i="12" s="1"/>
  <c r="AC785" i="12" s="1"/>
  <c r="AC784" i="12" s="1"/>
  <c r="AC783" i="12" s="1"/>
  <c r="AC782" i="12" s="1"/>
  <c r="AC781" i="12" s="1"/>
  <c r="AC780" i="12" s="1"/>
  <c r="AC779" i="12" s="1"/>
  <c r="AC778" i="12" s="1"/>
  <c r="AC777" i="12" s="1"/>
  <c r="AC776" i="12" s="1"/>
  <c r="AC775" i="12" s="1"/>
  <c r="AC774" i="12" s="1"/>
  <c r="AC773" i="12" s="1"/>
  <c r="AE832" i="12"/>
  <c r="AE831" i="12" s="1"/>
  <c r="AE830" i="12" s="1"/>
  <c r="AE829" i="12" s="1"/>
  <c r="AE828" i="12" s="1"/>
  <c r="AE827" i="12" s="1"/>
  <c r="AE826" i="12" s="1"/>
  <c r="AE825" i="12" s="1"/>
  <c r="AE824" i="12" s="1"/>
  <c r="AE823" i="12" s="1"/>
  <c r="AE822" i="12" s="1"/>
  <c r="AE821" i="12" s="1"/>
  <c r="AE820" i="12" s="1"/>
  <c r="AE819" i="12" s="1"/>
  <c r="AE818" i="12" s="1"/>
  <c r="AE817" i="12" s="1"/>
  <c r="AE816" i="12" s="1"/>
  <c r="AE815" i="12" s="1"/>
  <c r="AE814" i="12" s="1"/>
  <c r="AE813" i="12" s="1"/>
  <c r="AE812" i="12" s="1"/>
  <c r="AE811" i="12" s="1"/>
  <c r="AE810" i="12" s="1"/>
  <c r="AE809" i="12" s="1"/>
  <c r="AE808" i="12" s="1"/>
  <c r="AE807" i="12" s="1"/>
  <c r="AE806" i="12" s="1"/>
  <c r="AE805" i="12" s="1"/>
  <c r="AE804" i="12" s="1"/>
  <c r="AE803" i="12" s="1"/>
  <c r="AE802" i="12" s="1"/>
  <c r="AE801" i="12" s="1"/>
  <c r="AE800" i="12" s="1"/>
  <c r="AE799" i="12" s="1"/>
  <c r="AE798" i="12" s="1"/>
  <c r="AE797" i="12" s="1"/>
  <c r="AE796" i="12" s="1"/>
  <c r="AE795" i="12" s="1"/>
  <c r="AE794" i="12" s="1"/>
  <c r="AC1252" i="12"/>
  <c r="AC1251" i="12" s="1"/>
  <c r="AC1250" i="12" s="1"/>
  <c r="AC1249" i="12" s="1"/>
  <c r="AC1248" i="12" s="1"/>
  <c r="AC1247" i="12" s="1"/>
  <c r="AC1246" i="12" s="1"/>
  <c r="AC1245" i="12" s="1"/>
  <c r="AC1244" i="12" s="1"/>
  <c r="AC1243" i="12" s="1"/>
  <c r="AC1242" i="12" s="1"/>
  <c r="AC1241" i="12" s="1"/>
  <c r="AC1240" i="12" s="1"/>
  <c r="AC1239" i="12" s="1"/>
  <c r="AC1238" i="12" s="1"/>
  <c r="AC1237" i="12" s="1"/>
  <c r="AC1236" i="12" s="1"/>
  <c r="AC1235" i="12" s="1"/>
  <c r="AC1234" i="12" s="1"/>
  <c r="AC1233" i="12" s="1"/>
  <c r="AC1232" i="12" s="1"/>
  <c r="AC1231" i="12" s="1"/>
  <c r="AC1230" i="12" s="1"/>
  <c r="AC1229" i="12" s="1"/>
  <c r="AC1228" i="12" s="1"/>
  <c r="AC1227" i="12" s="1"/>
  <c r="AC1226" i="12" s="1"/>
  <c r="AC1225" i="12" s="1"/>
  <c r="AC1224" i="12" s="1"/>
  <c r="AC2392" i="12"/>
  <c r="AC2391" i="12" s="1"/>
  <c r="AC2390" i="12" s="1"/>
  <c r="AC2389" i="12" s="1"/>
  <c r="AC2388" i="12" s="1"/>
  <c r="AC2387" i="12" s="1"/>
  <c r="AC2386" i="12" s="1"/>
  <c r="AC2385" i="12" s="1"/>
  <c r="AC2384" i="12" s="1"/>
  <c r="AC2383" i="12" s="1"/>
  <c r="AE793" i="12"/>
  <c r="AE792" i="12" s="1"/>
  <c r="AE791" i="12" s="1"/>
  <c r="AE790" i="12" s="1"/>
  <c r="AE789" i="12" s="1"/>
  <c r="AE788" i="12" s="1"/>
  <c r="AE787" i="12" s="1"/>
  <c r="AE786" i="12" s="1"/>
  <c r="AE785" i="12" s="1"/>
  <c r="AE784" i="12" s="1"/>
  <c r="AE783" i="12" s="1"/>
  <c r="AE782" i="12" s="1"/>
  <c r="AE781" i="12" s="1"/>
  <c r="AE780" i="12" s="1"/>
  <c r="AE779" i="12" s="1"/>
  <c r="AE778" i="12" s="1"/>
  <c r="AE777" i="12" s="1"/>
  <c r="AE776" i="12" s="1"/>
  <c r="AE775" i="12" s="1"/>
  <c r="AE774" i="12" s="1"/>
  <c r="AE773" i="12" s="1"/>
  <c r="AC1223" i="12"/>
  <c r="AC1222" i="12" s="1"/>
  <c r="AC1221" i="12" s="1"/>
  <c r="AC1220" i="12" s="1"/>
  <c r="AC1219" i="12" s="1"/>
  <c r="AC1218" i="12" s="1"/>
  <c r="AC1217" i="12" s="1"/>
  <c r="AC1216" i="12" s="1"/>
  <c r="AC1215" i="12" s="1"/>
  <c r="AC1214" i="12" s="1"/>
  <c r="AC1213" i="12" s="1"/>
  <c r="AC1212" i="12" s="1"/>
  <c r="AC1211" i="12" s="1"/>
  <c r="AC1210" i="12" s="1"/>
  <c r="AC1209" i="12" s="1"/>
  <c r="AC1208" i="12" s="1"/>
  <c r="AC1207" i="12" s="1"/>
  <c r="AC1206" i="12" s="1"/>
  <c r="AC1205" i="12" s="1"/>
  <c r="AC1204" i="12" s="1"/>
  <c r="AC1203" i="12" s="1"/>
  <c r="AC1202" i="12" s="1"/>
  <c r="AC1201" i="12" s="1"/>
  <c r="AC1200" i="12" s="1"/>
  <c r="AC1199" i="12" s="1"/>
  <c r="AC1198" i="12" s="1"/>
  <c r="AC1197" i="12" s="1"/>
  <c r="AC1196" i="12" s="1"/>
  <c r="AC1195" i="12" s="1"/>
  <c r="AC1194" i="12" s="1"/>
  <c r="AC1193" i="12" s="1"/>
  <c r="AD772" i="12"/>
  <c r="AC1182" i="12"/>
  <c r="AC1181" i="12" s="1"/>
  <c r="AC1180" i="12" s="1"/>
  <c r="AC1179" i="12" s="1"/>
  <c r="AC1178" i="12" s="1"/>
  <c r="AC1177" i="12" s="1"/>
  <c r="AC1176" i="12" s="1"/>
  <c r="AC1175" i="12" s="1"/>
  <c r="AC1174" i="12" s="1"/>
  <c r="AC1173" i="12" s="1"/>
  <c r="AC1172" i="12" s="1"/>
  <c r="AC1171" i="12" s="1"/>
  <c r="AC1170" i="12" s="1"/>
  <c r="AC1169" i="12" s="1"/>
  <c r="AC1168" i="12" s="1"/>
  <c r="AC1167" i="12" s="1"/>
  <c r="AC1166" i="12" s="1"/>
  <c r="AC1165" i="12" s="1"/>
  <c r="AC1164" i="12" s="1"/>
  <c r="AC1163" i="12" s="1"/>
  <c r="AC1162" i="12" s="1"/>
  <c r="AC1161" i="12" s="1"/>
  <c r="AC1160" i="12" s="1"/>
  <c r="AC1159" i="12" s="1"/>
  <c r="AC1158" i="12" s="1"/>
  <c r="AC1157" i="12" s="1"/>
  <c r="AC1156" i="12" s="1"/>
  <c r="AC1155" i="12" s="1"/>
  <c r="AC1154" i="12" s="1"/>
  <c r="AC1153" i="12" s="1"/>
  <c r="AC1152" i="12" s="1"/>
  <c r="AC1151" i="12" s="1"/>
  <c r="AC1150" i="12" s="1"/>
  <c r="AC1149" i="12" s="1"/>
  <c r="AC1148" i="12" s="1"/>
  <c r="AC1147" i="12" s="1"/>
  <c r="AC1146" i="12" s="1"/>
  <c r="AC1145" i="12" s="1"/>
  <c r="AC1144" i="12" s="1"/>
  <c r="AC1143" i="12" s="1"/>
  <c r="AC1142" i="12" s="1"/>
  <c r="AC1141" i="12" s="1"/>
  <c r="AC1140" i="12" s="1"/>
  <c r="AC1139" i="12" s="1"/>
  <c r="AC1138" i="12" s="1"/>
  <c r="AC1137" i="12" s="1"/>
  <c r="AC1136" i="12" s="1"/>
  <c r="AC1135" i="12" s="1"/>
  <c r="AC1134" i="12" s="1"/>
  <c r="AC1133" i="12" s="1"/>
  <c r="AC1132" i="12" s="1"/>
  <c r="AC1131" i="12" s="1"/>
  <c r="AC1130" i="12" s="1"/>
  <c r="AC1129" i="12" s="1"/>
  <c r="AC1128" i="12" s="1"/>
  <c r="AC1127" i="12" s="1"/>
  <c r="AC1126" i="12" s="1"/>
  <c r="AC1125" i="12" s="1"/>
  <c r="AC1124" i="12" s="1"/>
  <c r="AC1123" i="12" s="1"/>
  <c r="AC1122" i="12" s="1"/>
  <c r="AC1121" i="12" s="1"/>
  <c r="AC1120" i="12" s="1"/>
  <c r="AC1119" i="12" s="1"/>
  <c r="AC1118" i="12" s="1"/>
  <c r="AC1117" i="12" s="1"/>
  <c r="AC1116" i="12" s="1"/>
  <c r="AC1115" i="12" s="1"/>
  <c r="AC1114" i="12" s="1"/>
  <c r="AC1113" i="12" s="1"/>
  <c r="AC1112" i="12" s="1"/>
  <c r="AC1111" i="12" s="1"/>
  <c r="AC1110" i="12" s="1"/>
  <c r="AC1109" i="12" s="1"/>
  <c r="AC1108" i="12" s="1"/>
  <c r="AC1107" i="12" s="1"/>
  <c r="AC1106" i="12" s="1"/>
  <c r="AC1105" i="12" s="1"/>
  <c r="AC1104" i="12" s="1"/>
  <c r="AC1103" i="12" s="1"/>
  <c r="AC1102" i="12" s="1"/>
  <c r="AC1101" i="12" s="1"/>
  <c r="AC1100" i="12" s="1"/>
  <c r="AC1099" i="12" s="1"/>
  <c r="AC1098" i="12" s="1"/>
  <c r="AC1097" i="12" s="1"/>
  <c r="AC1096" i="12" s="1"/>
  <c r="AC1095" i="12" s="1"/>
  <c r="AC1094" i="12" s="1"/>
  <c r="AC1093" i="12" s="1"/>
  <c r="AC1092" i="12" s="1"/>
  <c r="AC1091" i="12" s="1"/>
  <c r="AC1090" i="12" s="1"/>
  <c r="AC1089" i="12" s="1"/>
  <c r="AC1088" i="12" s="1"/>
  <c r="AC1087" i="12" s="1"/>
  <c r="AC1086" i="12" s="1"/>
  <c r="AC1085" i="12" s="1"/>
  <c r="AC1084" i="12" s="1"/>
  <c r="AC1083" i="12" s="1"/>
  <c r="AC1082" i="12" s="1"/>
  <c r="AC1081" i="12" s="1"/>
  <c r="AC1080" i="12" s="1"/>
  <c r="AC1079" i="12" s="1"/>
  <c r="AC1078" i="12" s="1"/>
  <c r="AC1077" i="12" s="1"/>
  <c r="AC1076" i="12" s="1"/>
  <c r="AC1075" i="12" s="1"/>
  <c r="AC1074" i="12" s="1"/>
  <c r="AC1073" i="12" s="1"/>
  <c r="AC2938" i="12"/>
  <c r="AC2937" i="12" s="1"/>
  <c r="AC2936" i="12" s="1"/>
  <c r="AC2935" i="12" s="1"/>
  <c r="AC2934" i="12" s="1"/>
  <c r="AC2933" i="12" s="1"/>
  <c r="AC2932" i="12" s="1"/>
  <c r="AC2931" i="12" s="1"/>
  <c r="AC2930" i="12" s="1"/>
  <c r="AC2929" i="12" s="1"/>
  <c r="AC2928" i="12" s="1"/>
  <c r="AC2927" i="12" s="1"/>
  <c r="AC2926" i="12" s="1"/>
  <c r="AC2925" i="12" s="1"/>
  <c r="AC2924" i="12" s="1"/>
  <c r="AC2923" i="12" s="1"/>
  <c r="AC2922" i="12" s="1"/>
  <c r="AC2921" i="12" s="1"/>
  <c r="AC2920" i="12" s="1"/>
  <c r="AC2919" i="12" s="1"/>
  <c r="AC2918" i="12" s="1"/>
  <c r="AC2917" i="12" s="1"/>
  <c r="AC2916" i="12" s="1"/>
  <c r="AC2915" i="12" s="1"/>
  <c r="AC2914" i="12" s="1"/>
  <c r="AC2913" i="12" s="1"/>
  <c r="AC2912" i="12" s="1"/>
  <c r="AC2911" i="12" s="1"/>
  <c r="AC2910" i="12" s="1"/>
  <c r="AC2909" i="12" s="1"/>
  <c r="AC2908" i="12" s="1"/>
  <c r="AC2907" i="12" s="1"/>
  <c r="AC2906" i="12" s="1"/>
  <c r="AC2905" i="12" s="1"/>
  <c r="AC2904" i="12" s="1"/>
  <c r="AC2903" i="12" s="1"/>
  <c r="AC2902" i="12" s="1"/>
  <c r="AC2901" i="12" s="1"/>
  <c r="AC2900" i="12" s="1"/>
  <c r="AC2899" i="12" s="1"/>
  <c r="AC2898" i="12" s="1"/>
  <c r="AC2897" i="12" s="1"/>
  <c r="AC2896" i="12" s="1"/>
  <c r="AC2895" i="12" s="1"/>
  <c r="AC2894" i="12" s="1"/>
  <c r="AC2893" i="12" s="1"/>
  <c r="AC2892" i="12" s="1"/>
  <c r="AC2891" i="12" s="1"/>
  <c r="AC2890" i="12" s="1"/>
  <c r="AC2889" i="12" s="1"/>
  <c r="AC2888" i="12" s="1"/>
  <c r="AC2887" i="12" s="1"/>
  <c r="AC2886" i="12" s="1"/>
  <c r="AC2885" i="12" s="1"/>
  <c r="AC2884" i="12" s="1"/>
  <c r="AC2883" i="12" s="1"/>
  <c r="AC2882" i="12" s="1"/>
  <c r="AC2881" i="12" s="1"/>
  <c r="AC2880" i="12" s="1"/>
  <c r="AC2879" i="12" s="1"/>
  <c r="AC2878" i="12" s="1"/>
  <c r="AC2877" i="12" s="1"/>
  <c r="AC2876" i="12" s="1"/>
  <c r="AC2875" i="12" s="1"/>
  <c r="AC2874" i="12" s="1"/>
  <c r="AC2873" i="12" s="1"/>
  <c r="AC2872" i="12" s="1"/>
  <c r="AC2871" i="12" s="1"/>
  <c r="AC2870" i="12" s="1"/>
  <c r="AC2869" i="12" s="1"/>
  <c r="AC2868" i="12" s="1"/>
  <c r="AC2867" i="12" s="1"/>
  <c r="AC2866" i="12" s="1"/>
  <c r="AC2865" i="12" s="1"/>
  <c r="AC2864" i="12" s="1"/>
  <c r="AC2863" i="12" s="1"/>
  <c r="AC2862" i="12" s="1"/>
  <c r="AC2861" i="12" s="1"/>
  <c r="AC2860" i="12" s="1"/>
  <c r="AC2859" i="12" s="1"/>
  <c r="AC2858" i="12" s="1"/>
  <c r="AC2857" i="12" s="1"/>
  <c r="AC2856" i="12" s="1"/>
  <c r="AC2855" i="12" s="1"/>
  <c r="AC2854" i="12" s="1"/>
  <c r="AC2853" i="12" s="1"/>
  <c r="AC2852" i="12" s="1"/>
  <c r="AC2851" i="12" s="1"/>
  <c r="AC2850" i="12" s="1"/>
  <c r="AC2849" i="12" s="1"/>
  <c r="AC2848" i="12" s="1"/>
  <c r="AC2847" i="12" s="1"/>
  <c r="AC2846" i="12" s="1"/>
  <c r="AC2845" i="12" s="1"/>
  <c r="AC2844" i="12" s="1"/>
  <c r="AC2843" i="12" s="1"/>
  <c r="AC2842" i="12" s="1"/>
  <c r="AC2841" i="12" s="1"/>
  <c r="AC2840" i="12" s="1"/>
  <c r="AC2839" i="12" s="1"/>
  <c r="AC2838" i="12" s="1"/>
  <c r="AC2837" i="12" s="1"/>
  <c r="AC2836" i="12" s="1"/>
  <c r="AC2835" i="12" s="1"/>
  <c r="AC2834" i="12" s="1"/>
  <c r="AC2833" i="12" s="1"/>
  <c r="AC2832" i="12" s="1"/>
  <c r="AC2831" i="12" s="1"/>
  <c r="AC2830" i="12" s="1"/>
  <c r="AC2829" i="12" s="1"/>
  <c r="AC2828" i="12" s="1"/>
  <c r="AC2827" i="12" s="1"/>
  <c r="AC2826" i="12" s="1"/>
  <c r="AC2825" i="12" s="1"/>
  <c r="AC2824" i="12" s="1"/>
  <c r="AC2823" i="12" s="1"/>
  <c r="AC2822" i="12" s="1"/>
  <c r="AC2821" i="12" s="1"/>
  <c r="AC2820" i="12" s="1"/>
  <c r="AC2819" i="12" s="1"/>
  <c r="AC2818" i="12" s="1"/>
  <c r="AC2817" i="12" s="1"/>
  <c r="AC2816" i="12" s="1"/>
  <c r="AC2815" i="12" s="1"/>
  <c r="AC2814" i="12" s="1"/>
  <c r="AC2813" i="12" s="1"/>
  <c r="AC2812" i="12" s="1"/>
  <c r="AC2811" i="12" s="1"/>
  <c r="AC2810" i="12" s="1"/>
  <c r="AC2809" i="12" s="1"/>
  <c r="AC2808" i="12" s="1"/>
  <c r="AC2807" i="12" s="1"/>
  <c r="AC2806" i="12" s="1"/>
  <c r="AC2805" i="12" s="1"/>
  <c r="AC2804" i="12" s="1"/>
  <c r="AC2803" i="12" s="1"/>
  <c r="AC2802" i="12" s="1"/>
  <c r="AC2801" i="12" s="1"/>
  <c r="AC2800" i="12" s="1"/>
  <c r="AC2799" i="12" s="1"/>
  <c r="AC2798" i="12" s="1"/>
  <c r="AC2797" i="12" s="1"/>
  <c r="AC2796" i="12" s="1"/>
  <c r="AC2795" i="12" s="1"/>
  <c r="AC2794" i="12" s="1"/>
  <c r="AC2793" i="12" s="1"/>
  <c r="AC2792" i="12" s="1"/>
  <c r="AC2791" i="12" s="1"/>
  <c r="AC2790" i="12" s="1"/>
  <c r="AC2789" i="12" s="1"/>
  <c r="AC2788" i="12" s="1"/>
  <c r="AC2787" i="12" s="1"/>
  <c r="AC2786" i="12" s="1"/>
  <c r="AC2785" i="12" s="1"/>
  <c r="AC2784" i="12" s="1"/>
  <c r="AC2783" i="12" s="1"/>
  <c r="AC2782" i="12" s="1"/>
  <c r="AC2781" i="12" s="1"/>
  <c r="AC2780" i="12" s="1"/>
  <c r="AC2779" i="12" s="1"/>
  <c r="AC2778" i="12" s="1"/>
  <c r="AC2777" i="12" s="1"/>
  <c r="AC2776" i="12" s="1"/>
  <c r="AC2775" i="12" s="1"/>
  <c r="AC2774" i="12" s="1"/>
  <c r="AC2773" i="12" s="1"/>
  <c r="AC2772" i="12" s="1"/>
  <c r="AC2771" i="12" s="1"/>
  <c r="AC2770" i="12" s="1"/>
  <c r="AC2769" i="12" s="1"/>
  <c r="AC2768" i="12" s="1"/>
  <c r="AC2767" i="12" s="1"/>
  <c r="AC2766" i="12" s="1"/>
  <c r="AC2765" i="12" s="1"/>
  <c r="AC2764" i="12" s="1"/>
  <c r="AC2763" i="12" s="1"/>
  <c r="AC2762" i="12" s="1"/>
  <c r="AC2761" i="12" s="1"/>
  <c r="AC2760" i="12" s="1"/>
  <c r="AC2759" i="12" s="1"/>
  <c r="AC2758" i="12" s="1"/>
  <c r="AC2757" i="12" s="1"/>
  <c r="AC2756" i="12" s="1"/>
  <c r="AC2755" i="12" s="1"/>
  <c r="AC2754" i="12" s="1"/>
  <c r="AC2753" i="12" s="1"/>
  <c r="AC2752" i="12" s="1"/>
  <c r="AC2751" i="12" s="1"/>
  <c r="AC2750" i="12" s="1"/>
  <c r="AC2749" i="12" s="1"/>
  <c r="AC2748" i="12" s="1"/>
  <c r="AC2747" i="12" s="1"/>
  <c r="AC2746" i="12" s="1"/>
  <c r="AC2745" i="12" s="1"/>
  <c r="AC2744" i="12" s="1"/>
  <c r="AC2743" i="12" s="1"/>
  <c r="AC2742" i="12" s="1"/>
  <c r="AC2741" i="12" s="1"/>
  <c r="AC2740" i="12" s="1"/>
  <c r="AC2739" i="12" s="1"/>
  <c r="AC2738" i="12" s="1"/>
  <c r="AC2737" i="12" s="1"/>
  <c r="AC2736" i="12" s="1"/>
  <c r="AC2735" i="12" s="1"/>
  <c r="AC2734" i="12" s="1"/>
  <c r="AD1773" i="12"/>
  <c r="AE1632" i="12"/>
  <c r="AE1631" i="12" s="1"/>
  <c r="AE1630" i="12" s="1"/>
  <c r="AE1629" i="12" s="1"/>
  <c r="AE1628" i="12" s="1"/>
  <c r="AE1627" i="12" s="1"/>
  <c r="AE1626" i="12" s="1"/>
  <c r="AE1625" i="12" s="1"/>
  <c r="AE1624" i="12" s="1"/>
  <c r="AE1623" i="12" s="1"/>
  <c r="AE2452" i="12"/>
  <c r="AE2451" i="12" s="1"/>
  <c r="AE2450" i="12" s="1"/>
  <c r="AE2449" i="12" s="1"/>
  <c r="AE2448" i="12" s="1"/>
  <c r="AE2447" i="12" s="1"/>
  <c r="AE2446" i="12" s="1"/>
  <c r="AE2445" i="12" s="1"/>
  <c r="AE2444" i="12" s="1"/>
  <c r="AE2443" i="12" s="1"/>
  <c r="AE1881" i="12"/>
  <c r="AE1880" i="12" s="1"/>
  <c r="AE1879" i="12" s="1"/>
  <c r="AE1878" i="12" s="1"/>
  <c r="AE1877" i="12" s="1"/>
  <c r="AE1876" i="12" s="1"/>
  <c r="AE1875" i="12" s="1"/>
  <c r="AE1874" i="12" s="1"/>
  <c r="AE1873" i="12" s="1"/>
  <c r="AE1872" i="12" s="1"/>
  <c r="AE1871" i="12" s="1"/>
  <c r="AE1870" i="12" s="1"/>
  <c r="AE1869" i="12" s="1"/>
  <c r="AE1868" i="12" s="1"/>
  <c r="AE1867" i="12" s="1"/>
  <c r="AE1866" i="12" s="1"/>
  <c r="AE1865" i="12" s="1"/>
  <c r="AE1864" i="12" s="1"/>
  <c r="AE1863" i="12" s="1"/>
  <c r="AE1862" i="12" s="1"/>
  <c r="AE1861" i="12" s="1"/>
  <c r="AE1860" i="12" s="1"/>
  <c r="AE1859" i="12" s="1"/>
  <c r="AE1858" i="12" s="1"/>
  <c r="AE1857" i="12" s="1"/>
  <c r="AE1856" i="12" s="1"/>
  <c r="AE1855" i="12" s="1"/>
  <c r="AE1854" i="12" s="1"/>
  <c r="AE1853" i="12" s="1"/>
  <c r="AE1822" i="12"/>
  <c r="AE1821" i="12" s="1"/>
  <c r="AE1820" i="12" s="1"/>
  <c r="AC1622" i="12"/>
  <c r="AC1621" i="12" s="1"/>
  <c r="AC1620" i="12" s="1"/>
  <c r="AC1619" i="12" s="1"/>
  <c r="AC1618" i="12" s="1"/>
  <c r="AC1617" i="12" s="1"/>
  <c r="AC1616" i="12" s="1"/>
  <c r="AC1615" i="12" s="1"/>
  <c r="AC1614" i="12" s="1"/>
  <c r="AD1632" i="12"/>
  <c r="AC2403" i="12"/>
  <c r="AC2402" i="12" s="1"/>
  <c r="AC2401" i="12" s="1"/>
  <c r="AC2400" i="12" s="1"/>
  <c r="AC2399" i="12" s="1"/>
  <c r="AC2398" i="12" s="1"/>
  <c r="AC2397" i="12" s="1"/>
  <c r="AC2396" i="12" s="1"/>
  <c r="AC2395" i="12" s="1"/>
  <c r="AC2394" i="12" s="1"/>
  <c r="AC2393" i="12" s="1"/>
  <c r="AC1642" i="12"/>
  <c r="AC1641" i="12" s="1"/>
  <c r="AC1640" i="12" s="1"/>
  <c r="AC1639" i="12" s="1"/>
  <c r="AC1638" i="12" s="1"/>
  <c r="AC1637" i="12" s="1"/>
  <c r="AC1636" i="12" s="1"/>
  <c r="AC1635" i="12" s="1"/>
  <c r="AC1634" i="12" s="1"/>
  <c r="AC1633" i="12" s="1"/>
  <c r="AD832" i="12"/>
  <c r="AE1282" i="12"/>
  <c r="AE1281" i="12" s="1"/>
  <c r="AE1280" i="12" s="1"/>
  <c r="AE1279" i="12" s="1"/>
  <c r="AE1278" i="12" s="1"/>
  <c r="AE1277" i="12" s="1"/>
  <c r="AE1276" i="12" s="1"/>
  <c r="AE1275" i="12" s="1"/>
  <c r="AE1274" i="12" s="1"/>
  <c r="AE1273" i="12" s="1"/>
  <c r="AE1272" i="12" s="1"/>
  <c r="AE1271" i="12" s="1"/>
  <c r="AE1270" i="12" s="1"/>
  <c r="AE1269" i="12" s="1"/>
  <c r="AE1268" i="12" s="1"/>
  <c r="AE1267" i="12" s="1"/>
  <c r="AE1266" i="12" s="1"/>
  <c r="AE1265" i="12" s="1"/>
  <c r="AE1264" i="12" s="1"/>
  <c r="AE1263" i="12" s="1"/>
  <c r="AE1262" i="12" s="1"/>
  <c r="AE1261" i="12" s="1"/>
  <c r="AE1260" i="12" s="1"/>
  <c r="AE1259" i="12" s="1"/>
  <c r="AE1258" i="12" s="1"/>
  <c r="AE1257" i="12" s="1"/>
  <c r="AE1256" i="12" s="1"/>
  <c r="AE1255" i="12" s="1"/>
  <c r="AE1254" i="12" s="1"/>
  <c r="AE1253" i="12" s="1"/>
  <c r="AC1713" i="12"/>
  <c r="AC1712" i="12" s="1"/>
  <c r="AC1711" i="12" s="1"/>
  <c r="AC1710" i="12" s="1"/>
  <c r="AC1709" i="12" s="1"/>
  <c r="AC1708" i="12" s="1"/>
  <c r="AC1707" i="12" s="1"/>
  <c r="AC1706" i="12" s="1"/>
  <c r="AC1705" i="12" s="1"/>
  <c r="AC1704" i="12" s="1"/>
  <c r="AC1843" i="12"/>
  <c r="AC1842" i="12" s="1"/>
  <c r="AC1841" i="12" s="1"/>
  <c r="AC1840" i="12" s="1"/>
  <c r="AC1839" i="12" s="1"/>
  <c r="AC1838" i="12" s="1"/>
  <c r="AC1837" i="12" s="1"/>
  <c r="AC1836" i="12" s="1"/>
  <c r="AC1835" i="12" s="1"/>
  <c r="AC1834" i="12" s="1"/>
  <c r="AC1833" i="12" s="1"/>
  <c r="AD2403" i="12"/>
  <c r="AD1252" i="12"/>
  <c r="AC1832" i="12"/>
  <c r="AC1831" i="12" s="1"/>
  <c r="AC1830" i="12" s="1"/>
  <c r="AC1829" i="12" s="1"/>
  <c r="AC1828" i="12" s="1"/>
  <c r="AC1827" i="12" s="1"/>
  <c r="AC1826" i="12" s="1"/>
  <c r="AC1825" i="12" s="1"/>
  <c r="AC1824" i="12" s="1"/>
  <c r="AC1823" i="12" s="1"/>
  <c r="AC1561" i="12"/>
  <c r="AC1560" i="12" s="1"/>
  <c r="AC1559" i="12" s="1"/>
  <c r="AC1558" i="12" s="1"/>
  <c r="AC1557" i="12" s="1"/>
  <c r="AC1556" i="12" s="1"/>
  <c r="AC1555" i="12" s="1"/>
  <c r="AC1554" i="12" s="1"/>
  <c r="AC1553" i="12" s="1"/>
  <c r="AE772" i="12"/>
  <c r="AE771" i="12" s="1"/>
  <c r="AE770" i="12" s="1"/>
  <c r="AE769" i="12" s="1"/>
  <c r="AE768" i="12" s="1"/>
  <c r="AE767" i="12" s="1"/>
  <c r="AE766" i="12" s="1"/>
  <c r="AE765" i="12" s="1"/>
  <c r="AE764" i="12" s="1"/>
  <c r="AC1192" i="12"/>
  <c r="AC1191" i="12" s="1"/>
  <c r="AC1190" i="12" s="1"/>
  <c r="AC1189" i="12" s="1"/>
  <c r="AC1188" i="12" s="1"/>
  <c r="AC1187" i="12" s="1"/>
  <c r="AC1186" i="12" s="1"/>
  <c r="AC1185" i="12" s="1"/>
  <c r="AC1184" i="12" s="1"/>
  <c r="AC1183" i="12" s="1"/>
  <c r="AC1812" i="12"/>
  <c r="AC1811" i="12" s="1"/>
  <c r="AC1810" i="12" s="1"/>
  <c r="AC1809" i="12" s="1"/>
  <c r="AC1808" i="12" s="1"/>
  <c r="AC1807" i="12" s="1"/>
  <c r="AC1806" i="12" s="1"/>
  <c r="AC1805" i="12" s="1"/>
  <c r="AC1804" i="12" s="1"/>
  <c r="AC1803" i="12" s="1"/>
  <c r="AC1802" i="12" s="1"/>
  <c r="AC1801" i="12" s="1"/>
  <c r="AC1800" i="12" s="1"/>
  <c r="AC1799" i="12" s="1"/>
  <c r="AC1798" i="12" s="1"/>
  <c r="AC1797" i="12" s="1"/>
  <c r="AC1796" i="12" s="1"/>
  <c r="AC1795" i="12" s="1"/>
  <c r="AC1794" i="12" s="1"/>
  <c r="AC1793" i="12" s="1"/>
  <c r="AC1792" i="12" s="1"/>
  <c r="AC1791" i="12" s="1"/>
  <c r="AC1790" i="12" s="1"/>
  <c r="AC1789" i="12" s="1"/>
  <c r="AC1788" i="12" s="1"/>
  <c r="AC1787" i="12" s="1"/>
  <c r="AC1786" i="12" s="1"/>
  <c r="AC1785" i="12" s="1"/>
  <c r="AC1784" i="12" s="1"/>
  <c r="AC1783" i="12" s="1"/>
  <c r="AD763" i="12"/>
  <c r="AD1182" i="12"/>
  <c r="AE725" i="12"/>
  <c r="AE724" i="12" s="1"/>
  <c r="AE723" i="12" s="1"/>
  <c r="AE722" i="12" s="1"/>
  <c r="AE721" i="12" s="1"/>
  <c r="AE720" i="12" s="1"/>
  <c r="AE719" i="12" s="1"/>
  <c r="AE718" i="12" s="1"/>
  <c r="AE717" i="12" s="1"/>
  <c r="AE716" i="12" s="1"/>
  <c r="AE715" i="12" s="1"/>
  <c r="AE714" i="12" s="1"/>
  <c r="AE713" i="12" s="1"/>
  <c r="AE712" i="12" s="1"/>
  <c r="AE711" i="12" s="1"/>
  <c r="AE710" i="12" s="1"/>
  <c r="AE709" i="12" s="1"/>
  <c r="AE708" i="12" s="1"/>
  <c r="AE707" i="12" s="1"/>
  <c r="AE706" i="12" s="1"/>
  <c r="AE705" i="12" s="1"/>
  <c r="AE704" i="12" s="1"/>
  <c r="AE703" i="12" s="1"/>
  <c r="AE702" i="12" s="1"/>
  <c r="AE701" i="12" s="1"/>
  <c r="AE700" i="12" s="1"/>
  <c r="AE699" i="12" s="1"/>
  <c r="AE698" i="12" s="1"/>
  <c r="AE697" i="12" s="1"/>
  <c r="AE696" i="12" s="1"/>
  <c r="AE695" i="12" s="1"/>
  <c r="AE694" i="12" s="1"/>
  <c r="AE693" i="12" s="1"/>
  <c r="AE692" i="12" s="1"/>
  <c r="AE691" i="12" s="1"/>
  <c r="AE690" i="12" s="1"/>
  <c r="AE689" i="12" s="1"/>
  <c r="AE688" i="12" s="1"/>
  <c r="AE687" i="12" s="1"/>
  <c r="AE686" i="12" s="1"/>
  <c r="AE685" i="12" s="1"/>
  <c r="AE684" i="12" s="1"/>
  <c r="AE683" i="12" s="1"/>
  <c r="AE682" i="12" s="1"/>
  <c r="AE681" i="12" s="1"/>
  <c r="AE680" i="12" s="1"/>
  <c r="AE679" i="12" s="1"/>
  <c r="AE678" i="12" s="1"/>
  <c r="AE677" i="12" s="1"/>
  <c r="AE676" i="12" s="1"/>
  <c r="AE675" i="12" s="1"/>
  <c r="AE674" i="12" s="1"/>
  <c r="AE673" i="12" s="1"/>
  <c r="AE672" i="12" s="1"/>
  <c r="AE671" i="12" s="1"/>
  <c r="AE670" i="12" s="1"/>
  <c r="AE669" i="12" s="1"/>
  <c r="AE668" i="12" s="1"/>
  <c r="AE667" i="12" s="1"/>
  <c r="AE666" i="12" s="1"/>
  <c r="AE665" i="12" s="1"/>
  <c r="AE664" i="12" s="1"/>
  <c r="AE663" i="12" s="1"/>
  <c r="AE662" i="12" s="1"/>
  <c r="AE661" i="12" s="1"/>
  <c r="AE660" i="12" s="1"/>
  <c r="AE659" i="12" s="1"/>
  <c r="AE658" i="12" s="1"/>
  <c r="AE657" i="12" s="1"/>
  <c r="AE656" i="12" s="1"/>
  <c r="AE655" i="12" s="1"/>
  <c r="AE654" i="12" s="1"/>
  <c r="AE653" i="12" s="1"/>
  <c r="AE652" i="12" s="1"/>
  <c r="AE651" i="12" s="1"/>
  <c r="AE650" i="12" s="1"/>
  <c r="AE649" i="12" s="1"/>
  <c r="AE648" i="12" s="1"/>
  <c r="AE647" i="12" s="1"/>
  <c r="AE646" i="12" s="1"/>
  <c r="AE645" i="12" s="1"/>
  <c r="AC1072" i="12"/>
  <c r="AC1071" i="12" s="1"/>
  <c r="AC1070" i="12" s="1"/>
  <c r="AC1069" i="12" s="1"/>
  <c r="AC1068" i="12" s="1"/>
  <c r="AC1067" i="12" s="1"/>
  <c r="AC1066" i="12" s="1"/>
  <c r="AC1065" i="12" s="1"/>
  <c r="AC1064" i="12" s="1"/>
  <c r="AC1063" i="12" s="1"/>
  <c r="AC1062" i="12" s="1"/>
  <c r="AC1061" i="12" s="1"/>
  <c r="AC1060" i="12" s="1"/>
  <c r="AC1059" i="12" s="1"/>
  <c r="AC1058" i="12" s="1"/>
  <c r="AC1057" i="12" s="1"/>
  <c r="AC1056" i="12" s="1"/>
  <c r="AC1055" i="12" s="1"/>
  <c r="AC1054" i="12" s="1"/>
  <c r="AC1053" i="12" s="1"/>
  <c r="AC1052" i="12" s="1"/>
  <c r="AC1051" i="12" s="1"/>
  <c r="AC1050" i="12" s="1"/>
  <c r="AC1049" i="12" s="1"/>
  <c r="AC1048" i="12" s="1"/>
  <c r="AC1047" i="12" s="1"/>
  <c r="AC1046" i="12" s="1"/>
  <c r="AC1045" i="12" s="1"/>
  <c r="AC1044" i="12" s="1"/>
  <c r="AC1043" i="12" s="1"/>
  <c r="AD1902" i="12"/>
  <c r="AC2733" i="12"/>
  <c r="AC2732" i="12" s="1"/>
  <c r="AC2731" i="12" s="1"/>
  <c r="AC2730" i="12" s="1"/>
  <c r="AC2729" i="12" s="1"/>
  <c r="AC2728" i="12" s="1"/>
  <c r="AC2727" i="12" s="1"/>
  <c r="AC2726" i="12" s="1"/>
  <c r="AC2725" i="12" s="1"/>
  <c r="AC2724" i="12" s="1"/>
  <c r="AC2723" i="12" s="1"/>
  <c r="AC2722" i="12" s="1"/>
  <c r="AC2721" i="12" s="1"/>
  <c r="AC2720" i="12" s="1"/>
  <c r="AC2719" i="12" s="1"/>
  <c r="AC2718" i="12" s="1"/>
  <c r="AC2717" i="12" s="1"/>
  <c r="AC2716" i="12" s="1"/>
  <c r="AC2715" i="12" s="1"/>
  <c r="AC2714" i="12" s="1"/>
  <c r="AC2713" i="12" s="1"/>
  <c r="AC2712" i="12" s="1"/>
  <c r="AC2711" i="12" s="1"/>
  <c r="AC2710" i="12" s="1"/>
  <c r="AC2709" i="12" s="1"/>
  <c r="AC2708" i="12" s="1"/>
  <c r="AC2707" i="12" s="1"/>
  <c r="AC2706" i="12" s="1"/>
  <c r="AC2705" i="12" s="1"/>
  <c r="AC2704" i="12" s="1"/>
  <c r="AC2703" i="12" s="1"/>
  <c r="AC2702" i="12" s="1"/>
  <c r="AC2701" i="12" s="1"/>
  <c r="AC2700" i="12" s="1"/>
  <c r="AC2699" i="12" s="1"/>
  <c r="AC2698" i="12" s="1"/>
  <c r="AC2697" i="12" s="1"/>
  <c r="AC2696" i="12" s="1"/>
  <c r="AC2695" i="12" s="1"/>
  <c r="AC2694" i="12" s="1"/>
  <c r="AE2023" i="12"/>
  <c r="AE2022" i="12" s="1"/>
  <c r="AE2021" i="12" s="1"/>
  <c r="AE2020" i="12" s="1"/>
  <c r="AE2019" i="12" s="1"/>
  <c r="AE2018" i="12" s="1"/>
  <c r="AE2017" i="12" s="1"/>
  <c r="AE2016" i="12" s="1"/>
  <c r="AE2015" i="12" s="1"/>
  <c r="AE2014" i="12" s="1"/>
  <c r="AE2013" i="12" s="1"/>
  <c r="AE2012" i="12" s="1"/>
  <c r="AE2011" i="12" s="1"/>
  <c r="AE2010" i="12" s="1"/>
  <c r="AE2009" i="12" s="1"/>
  <c r="AE2008" i="12" s="1"/>
  <c r="AE2007" i="12" s="1"/>
  <c r="AE2006" i="12" s="1"/>
  <c r="AE2005" i="12" s="1"/>
  <c r="AE2004" i="12" s="1"/>
  <c r="AE2003" i="12" s="1"/>
  <c r="AE2002" i="12" s="1"/>
  <c r="AE2001" i="12" s="1"/>
  <c r="AE2000" i="12" s="1"/>
  <c r="AE1999" i="12" s="1"/>
  <c r="AE1998" i="12" s="1"/>
  <c r="AE1997" i="12" s="1"/>
  <c r="AE1996" i="12" s="1"/>
  <c r="AE1995" i="12" s="1"/>
  <c r="AE1994" i="12" s="1"/>
  <c r="AE1993" i="12" s="1"/>
  <c r="AE1992" i="12" s="1"/>
  <c r="AE1991" i="12" s="1"/>
  <c r="AE1990" i="12" s="1"/>
  <c r="AE1989" i="12" s="1"/>
  <c r="AE1988" i="12" s="1"/>
  <c r="AE1987" i="12" s="1"/>
  <c r="AE1986" i="12" s="1"/>
  <c r="AE1985" i="12" s="1"/>
  <c r="AE1984" i="12" s="1"/>
  <c r="AE1983" i="12" s="1"/>
  <c r="AE1982" i="12" s="1"/>
  <c r="AE1981" i="12" s="1"/>
  <c r="AE1980" i="12" s="1"/>
  <c r="AE1979" i="12" s="1"/>
  <c r="AE1978" i="12" s="1"/>
  <c r="AE1977" i="12" s="1"/>
  <c r="AE1976" i="12" s="1"/>
  <c r="AE1975" i="12" s="1"/>
  <c r="AE1974" i="12" s="1"/>
  <c r="AE2543" i="12"/>
  <c r="AE2542" i="12" s="1"/>
  <c r="AE2541" i="12" s="1"/>
  <c r="AE2540" i="12" s="1"/>
  <c r="AE2539" i="12" s="1"/>
  <c r="AE2538" i="12" s="1"/>
  <c r="AE2537" i="12" s="1"/>
  <c r="AE2536" i="12" s="1"/>
  <c r="AE2535" i="12" s="1"/>
  <c r="AE2534" i="12" s="1"/>
  <c r="AE2533" i="12" s="1"/>
  <c r="AE2532" i="12" s="1"/>
  <c r="AE2531" i="12" s="1"/>
  <c r="AE2530" i="12" s="1"/>
  <c r="AE2529" i="12" s="1"/>
  <c r="AE2528" i="12" s="1"/>
  <c r="AE2527" i="12" s="1"/>
  <c r="AE2526" i="12" s="1"/>
  <c r="AE2525" i="12" s="1"/>
  <c r="AE2524" i="12" s="1"/>
  <c r="AE2523" i="12" s="1"/>
  <c r="AE2522" i="12" s="1"/>
  <c r="AE2521" i="12" s="1"/>
  <c r="AE2520" i="12" s="1"/>
  <c r="AE2519" i="12" s="1"/>
  <c r="AE2518" i="12" s="1"/>
  <c r="AE2517" i="12" s="1"/>
  <c r="AE2516" i="12" s="1"/>
  <c r="AE2515" i="12" s="1"/>
  <c r="AE2514" i="12" s="1"/>
  <c r="AE2513" i="12" s="1"/>
  <c r="AE2462" i="12"/>
  <c r="AE1762" i="12"/>
  <c r="AE1761" i="12" s="1"/>
  <c r="AE1760" i="12" s="1"/>
  <c r="AE1759" i="12" s="1"/>
  <c r="AE1758" i="12" s="1"/>
  <c r="AE1757" i="12" s="1"/>
  <c r="AE1756" i="12" s="1"/>
  <c r="AE1755" i="12" s="1"/>
  <c r="AE1754" i="12" s="1"/>
  <c r="AE1753" i="12" s="1"/>
  <c r="AE1773" i="12"/>
  <c r="AE1772" i="12" s="1"/>
  <c r="AE1771" i="12" s="1"/>
  <c r="AE1770" i="12" s="1"/>
  <c r="AE1769" i="12" s="1"/>
  <c r="AE1768" i="12" s="1"/>
  <c r="AE1767" i="12" s="1"/>
  <c r="AE1766" i="12" s="1"/>
  <c r="AE1765" i="12" s="1"/>
  <c r="AE1764" i="12" s="1"/>
  <c r="AE1763" i="12" s="1"/>
  <c r="AE2473" i="12"/>
  <c r="AE2472" i="12" s="1"/>
  <c r="AE2471" i="12" s="1"/>
  <c r="AE2470" i="12" s="1"/>
  <c r="AE2469" i="12" s="1"/>
  <c r="AE2468" i="12" s="1"/>
  <c r="AE2467" i="12" s="1"/>
  <c r="AE2466" i="12" s="1"/>
  <c r="AE2465" i="12" s="1"/>
  <c r="AE2464" i="12" s="1"/>
  <c r="AE2463" i="12" s="1"/>
  <c r="AE975" i="12"/>
  <c r="AE974" i="12" s="1"/>
  <c r="AE973" i="12" s="1"/>
  <c r="AE972" i="12" s="1"/>
  <c r="AE971" i="12" s="1"/>
  <c r="AE970" i="12" s="1"/>
  <c r="AE969" i="12" s="1"/>
  <c r="AE968" i="12" s="1"/>
  <c r="AE967" i="12" s="1"/>
  <c r="AE966" i="12" s="1"/>
  <c r="AE965" i="12" s="1"/>
  <c r="AE964" i="12" s="1"/>
  <c r="AE963" i="12" s="1"/>
  <c r="AE962" i="12" s="1"/>
  <c r="AE961" i="12" s="1"/>
  <c r="AE960" i="12" s="1"/>
  <c r="AE959" i="12" s="1"/>
  <c r="AE958" i="12" s="1"/>
  <c r="AE957" i="12" s="1"/>
  <c r="AE956" i="12" s="1"/>
  <c r="AE955" i="12" s="1"/>
  <c r="AE954" i="12" s="1"/>
  <c r="AE953" i="12" s="1"/>
  <c r="AE952" i="12" s="1"/>
  <c r="AE951" i="12" s="1"/>
  <c r="AE950" i="12" s="1"/>
  <c r="AE949" i="12" s="1"/>
  <c r="AE948" i="12" s="1"/>
  <c r="AE947" i="12" s="1"/>
  <c r="AE946" i="12" s="1"/>
  <c r="AE945" i="12" s="1"/>
  <c r="AE944" i="12" s="1"/>
  <c r="AE943" i="12" s="1"/>
  <c r="AE942" i="12" s="1"/>
  <c r="AE941" i="12" s="1"/>
  <c r="AE940" i="12" s="1"/>
  <c r="AE939" i="12" s="1"/>
  <c r="AE938" i="12" s="1"/>
  <c r="AE937" i="12" s="1"/>
  <c r="AE936" i="12" s="1"/>
  <c r="AE935" i="12" s="1"/>
  <c r="AE934" i="12" s="1"/>
  <c r="AE933" i="12" s="1"/>
  <c r="AE932" i="12" s="1"/>
  <c r="AE931" i="12" s="1"/>
  <c r="AE930" i="12" s="1"/>
  <c r="AE929" i="12" s="1"/>
  <c r="AE928" i="12" s="1"/>
  <c r="AE927" i="12" s="1"/>
  <c r="AE926" i="12" s="1"/>
  <c r="AE925" i="12" s="1"/>
  <c r="AE924" i="12" s="1"/>
  <c r="AE923" i="12" s="1"/>
  <c r="AE922" i="12" s="1"/>
  <c r="AE921" i="12" s="1"/>
  <c r="AE920" i="12" s="1"/>
  <c r="AE919" i="12" s="1"/>
  <c r="AE918" i="12" s="1"/>
  <c r="AE917" i="12" s="1"/>
  <c r="AE916" i="12" s="1"/>
  <c r="AE915" i="12" s="1"/>
  <c r="AE914" i="12" s="1"/>
  <c r="AE913" i="12" s="1"/>
  <c r="AE912" i="12" s="1"/>
  <c r="AE911" i="12" s="1"/>
  <c r="AE910" i="12" s="1"/>
  <c r="AE909" i="12" s="1"/>
  <c r="AE908" i="12" s="1"/>
  <c r="AE907" i="12" s="1"/>
  <c r="AE906" i="12" s="1"/>
  <c r="AE905" i="12" s="1"/>
  <c r="AE904" i="12" s="1"/>
  <c r="AE903" i="12" s="1"/>
  <c r="AE902" i="12" s="1"/>
  <c r="AE901" i="12" s="1"/>
  <c r="AE900" i="12" s="1"/>
  <c r="AE899" i="12" s="1"/>
  <c r="AE898" i="12" s="1"/>
  <c r="AE897" i="12" s="1"/>
  <c r="AE896" i="12" s="1"/>
  <c r="AE895" i="12" s="1"/>
  <c r="AE894" i="12" s="1"/>
  <c r="AE893" i="12" s="1"/>
  <c r="AE892" i="12" s="1"/>
  <c r="AE891" i="12" s="1"/>
  <c r="AE890" i="12" s="1"/>
  <c r="AE889" i="12" s="1"/>
  <c r="AE888" i="12" s="1"/>
  <c r="AE887" i="12" s="1"/>
  <c r="AE886" i="12" s="1"/>
  <c r="AE885" i="12" s="1"/>
  <c r="AE884" i="12" s="1"/>
  <c r="AE883" i="12" s="1"/>
  <c r="AE882" i="12" s="1"/>
  <c r="AE881" i="12" s="1"/>
  <c r="AE880" i="12" s="1"/>
  <c r="AE879" i="12" s="1"/>
  <c r="AE878" i="12" s="1"/>
  <c r="AE877" i="12" s="1"/>
  <c r="AE876" i="12" s="1"/>
  <c r="AE875" i="12" s="1"/>
  <c r="AE874" i="12" s="1"/>
  <c r="AE873" i="12" s="1"/>
  <c r="AE872" i="12" s="1"/>
  <c r="AE871" i="12" s="1"/>
  <c r="AE870" i="12" s="1"/>
  <c r="AE869" i="12" s="1"/>
  <c r="AE868" i="12" s="1"/>
  <c r="AE867" i="12" s="1"/>
  <c r="AE866" i="12" s="1"/>
  <c r="AE1322" i="12"/>
  <c r="AE1321" i="12" s="1"/>
  <c r="AE1320" i="12" s="1"/>
  <c r="AE1319" i="12" s="1"/>
  <c r="AE1318" i="12" s="1"/>
  <c r="AE1317" i="12" s="1"/>
  <c r="AE1316" i="12" s="1"/>
  <c r="AE1315" i="12" s="1"/>
  <c r="AE1314" i="12" s="1"/>
  <c r="AE1313" i="12" s="1"/>
  <c r="AE1312" i="12" s="1"/>
  <c r="AE1311" i="12" s="1"/>
  <c r="AE1310" i="12" s="1"/>
  <c r="AE1309" i="12" s="1"/>
  <c r="AE1308" i="12" s="1"/>
  <c r="AE1307" i="12" s="1"/>
  <c r="AE1306" i="12" s="1"/>
  <c r="AE1305" i="12" s="1"/>
  <c r="AE1304" i="12" s="1"/>
  <c r="AE1303" i="12" s="1"/>
  <c r="AE1302" i="12" s="1"/>
  <c r="AE1301" i="12" s="1"/>
  <c r="AE1300" i="12" s="1"/>
  <c r="AE1299" i="12" s="1"/>
  <c r="AE1298" i="12" s="1"/>
  <c r="AE1297" i="12" s="1"/>
  <c r="AE1296" i="12" s="1"/>
  <c r="AE1295" i="12" s="1"/>
  <c r="AE1294" i="12" s="1"/>
  <c r="AE1293" i="12" s="1"/>
  <c r="AE1292" i="12" s="1"/>
  <c r="AE1291" i="12" s="1"/>
  <c r="AE1290" i="12" s="1"/>
  <c r="AE1289" i="12" s="1"/>
  <c r="AE1288" i="12" s="1"/>
  <c r="AE1287" i="12" s="1"/>
  <c r="AE1286" i="12" s="1"/>
  <c r="AE1285" i="12" s="1"/>
  <c r="AE1284" i="12" s="1"/>
  <c r="AE1283" i="12" s="1"/>
  <c r="AE1742" i="12"/>
  <c r="AE1741" i="12" s="1"/>
  <c r="AE1740" i="12" s="1"/>
  <c r="AE1739" i="12" s="1"/>
  <c r="AE1738" i="12" s="1"/>
  <c r="AE1737" i="12" s="1"/>
  <c r="AE1736" i="12" s="1"/>
  <c r="AE1735" i="12" s="1"/>
  <c r="AE1734" i="12" s="1"/>
  <c r="AE1733" i="12" s="1"/>
  <c r="AE1732" i="12" s="1"/>
  <c r="AE1731" i="12" s="1"/>
  <c r="AE1730" i="12" s="1"/>
  <c r="AE1729" i="12" s="1"/>
  <c r="AE1728" i="12" s="1"/>
  <c r="AE1727" i="12" s="1"/>
  <c r="AE1726" i="12" s="1"/>
  <c r="AE1725" i="12" s="1"/>
  <c r="AE1724" i="12" s="1"/>
  <c r="AE1723" i="12" s="1"/>
  <c r="AE1722" i="12" s="1"/>
  <c r="AE1721" i="12" s="1"/>
  <c r="AE1720" i="12" s="1"/>
  <c r="AE1719" i="12" s="1"/>
  <c r="AE1718" i="12" s="1"/>
  <c r="AE1717" i="12" s="1"/>
  <c r="AE1716" i="12" s="1"/>
  <c r="AE1715" i="12" s="1"/>
  <c r="AE1714" i="12" s="1"/>
  <c r="AE1002" i="12"/>
  <c r="AE1001" i="12" s="1"/>
  <c r="AE1000" i="12" s="1"/>
  <c r="AE999" i="12" s="1"/>
  <c r="AE998" i="12" s="1"/>
  <c r="AE997" i="12" s="1"/>
  <c r="AE996" i="12" s="1"/>
  <c r="AE995" i="12" s="1"/>
  <c r="AE994" i="12" s="1"/>
  <c r="AE993" i="12" s="1"/>
  <c r="AE992" i="12" s="1"/>
  <c r="AE991" i="12" s="1"/>
  <c r="AE990" i="12" s="1"/>
  <c r="AE989" i="12" s="1"/>
  <c r="AE988" i="12" s="1"/>
  <c r="AE987" i="12" s="1"/>
  <c r="AE986" i="12" s="1"/>
  <c r="AE985" i="12" s="1"/>
  <c r="AE984" i="12" s="1"/>
  <c r="AE983" i="12" s="1"/>
  <c r="AE982" i="12" s="1"/>
  <c r="AE981" i="12" s="1"/>
  <c r="AE980" i="12" s="1"/>
  <c r="AE979" i="12" s="1"/>
  <c r="AE978" i="12" s="1"/>
  <c r="AE977" i="12" s="1"/>
  <c r="AE976" i="12" s="1"/>
  <c r="AD1602" i="12"/>
  <c r="AE1713" i="12"/>
  <c r="AE1712" i="12" s="1"/>
  <c r="AE1711" i="12" s="1"/>
  <c r="AE1710" i="12" s="1"/>
  <c r="AE1709" i="12" s="1"/>
  <c r="AE1708" i="12" s="1"/>
  <c r="AE1707" i="12" s="1"/>
  <c r="AE1706" i="12" s="1"/>
  <c r="AE1705" i="12" s="1"/>
  <c r="AE1704" i="12" s="1"/>
  <c r="AE2162" i="12"/>
  <c r="AE2161" i="12" s="1"/>
  <c r="AE2160" i="12" s="1"/>
  <c r="AE2159" i="12" s="1"/>
  <c r="AE2158" i="12" s="1"/>
  <c r="AE2157" i="12" s="1"/>
  <c r="AE2156" i="12" s="1"/>
  <c r="AE2155" i="12" s="1"/>
  <c r="AE2154" i="12" s="1"/>
  <c r="AE2153" i="12" s="1"/>
  <c r="AE2152" i="12" s="1"/>
  <c r="AE2151" i="12" s="1"/>
  <c r="AE2150" i="12" s="1"/>
  <c r="AE2149" i="12" s="1"/>
  <c r="AE2148" i="12" s="1"/>
  <c r="AE2147" i="12" s="1"/>
  <c r="AE2146" i="12" s="1"/>
  <c r="AE2145" i="12" s="1"/>
  <c r="AE2144" i="12" s="1"/>
  <c r="AE2143" i="12" s="1"/>
  <c r="AE2142" i="12" s="1"/>
  <c r="AE2141" i="12" s="1"/>
  <c r="AE2140" i="12" s="1"/>
  <c r="AE2139" i="12" s="1"/>
  <c r="AE2138" i="12" s="1"/>
  <c r="AE2137" i="12" s="1"/>
  <c r="AE2136" i="12" s="1"/>
  <c r="AE2135" i="12" s="1"/>
  <c r="AE2134" i="12" s="1"/>
  <c r="AE2133" i="12" s="1"/>
  <c r="AD1572" i="12"/>
  <c r="AD1703" i="12"/>
  <c r="AE1832" i="12"/>
  <c r="AE1831" i="12" s="1"/>
  <c r="AE1830" i="12" s="1"/>
  <c r="AE1829" i="12" s="1"/>
  <c r="AE1828" i="12" s="1"/>
  <c r="AE1827" i="12" s="1"/>
  <c r="AE1826" i="12" s="1"/>
  <c r="AE1825" i="12" s="1"/>
  <c r="AE1824" i="12" s="1"/>
  <c r="AE1823" i="12" s="1"/>
  <c r="AD1963" i="12"/>
  <c r="AD1692" i="12"/>
  <c r="AD1822" i="12"/>
  <c r="AD1952" i="12"/>
  <c r="AE1552" i="12"/>
  <c r="AE1551" i="12" s="1"/>
  <c r="AE1550" i="12" s="1"/>
  <c r="AE1549" i="12" s="1"/>
  <c r="AE1548" i="12" s="1"/>
  <c r="AE1547" i="12" s="1"/>
  <c r="AE1546" i="12" s="1"/>
  <c r="AE1545" i="12" s="1"/>
  <c r="AE1544" i="12" s="1"/>
  <c r="AE1543" i="12" s="1"/>
  <c r="AE1542" i="12" s="1"/>
  <c r="AE1541" i="12" s="1"/>
  <c r="AE1540" i="12" s="1"/>
  <c r="AE1539" i="12" s="1"/>
  <c r="AE1538" i="12" s="1"/>
  <c r="AE1537" i="12" s="1"/>
  <c r="AE1536" i="12" s="1"/>
  <c r="AE1535" i="12" s="1"/>
  <c r="AE1534" i="12" s="1"/>
  <c r="AE1533" i="12" s="1"/>
  <c r="AE1532" i="12" s="1"/>
  <c r="AE1531" i="12" s="1"/>
  <c r="AE1530" i="12" s="1"/>
  <c r="AE1529" i="12" s="1"/>
  <c r="AE1528" i="12" s="1"/>
  <c r="AE1527" i="12" s="1"/>
  <c r="AE1526" i="12" s="1"/>
  <c r="AE1525" i="12" s="1"/>
  <c r="AE1524" i="12" s="1"/>
  <c r="AE1523" i="12" s="1"/>
  <c r="AE1522" i="12" s="1"/>
  <c r="AE1521" i="12" s="1"/>
  <c r="AE1520" i="12" s="1"/>
  <c r="AE1519" i="12" s="1"/>
  <c r="AE1518" i="12" s="1"/>
  <c r="AE1517" i="12" s="1"/>
  <c r="AE1516" i="12" s="1"/>
  <c r="AE1515" i="12" s="1"/>
  <c r="AE1514" i="12" s="1"/>
  <c r="AE1513" i="12" s="1"/>
  <c r="AE1512" i="12" s="1"/>
  <c r="AE1511" i="12" s="1"/>
  <c r="AE1510" i="12" s="1"/>
  <c r="AE1509" i="12" s="1"/>
  <c r="AE1508" i="12" s="1"/>
  <c r="AE1507" i="12" s="1"/>
  <c r="AE1506" i="12" s="1"/>
  <c r="AE1505" i="12" s="1"/>
  <c r="AE1504" i="12" s="1"/>
  <c r="AE1503" i="12" s="1"/>
  <c r="AE1502" i="12" s="1"/>
  <c r="AE1501" i="12" s="1"/>
  <c r="AE1500" i="12" s="1"/>
  <c r="AE1499" i="12" s="1"/>
  <c r="AE1498" i="12" s="1"/>
  <c r="AE1497" i="12" s="1"/>
  <c r="AE1496" i="12" s="1"/>
  <c r="AE1495" i="12" s="1"/>
  <c r="AE1494" i="12" s="1"/>
  <c r="AE1493" i="12" s="1"/>
  <c r="AE1492" i="12" s="1"/>
  <c r="AD2113" i="12"/>
  <c r="AE1182" i="12"/>
  <c r="AE1181" i="12" s="1"/>
  <c r="AE1180" i="12" s="1"/>
  <c r="AE1179" i="12" s="1"/>
  <c r="AE1178" i="12" s="1"/>
  <c r="AE1177" i="12" s="1"/>
  <c r="AE1176" i="12" s="1"/>
  <c r="AE1175" i="12" s="1"/>
  <c r="AE1174" i="12" s="1"/>
  <c r="AE1173" i="12" s="1"/>
  <c r="AE1172" i="12" s="1"/>
  <c r="AE1171" i="12" s="1"/>
  <c r="AE1170" i="12" s="1"/>
  <c r="AE1169" i="12" s="1"/>
  <c r="AE1168" i="12" s="1"/>
  <c r="AE1167" i="12" s="1"/>
  <c r="AE1166" i="12" s="1"/>
  <c r="AE1165" i="12" s="1"/>
  <c r="AE1164" i="12" s="1"/>
  <c r="AE1163" i="12" s="1"/>
  <c r="AE1162" i="12" s="1"/>
  <c r="AE1161" i="12" s="1"/>
  <c r="AE1160" i="12" s="1"/>
  <c r="AE1159" i="12" s="1"/>
  <c r="AE1158" i="12" s="1"/>
  <c r="AE1157" i="12" s="1"/>
  <c r="AE1156" i="12" s="1"/>
  <c r="AE1155" i="12" s="1"/>
  <c r="AE1154" i="12" s="1"/>
  <c r="AE1153" i="12" s="1"/>
  <c r="AE1152" i="12" s="1"/>
  <c r="AE1151" i="12" s="1"/>
  <c r="AE1150" i="12" s="1"/>
  <c r="AE1149" i="12" s="1"/>
  <c r="AE1148" i="12" s="1"/>
  <c r="AE1147" i="12" s="1"/>
  <c r="AE1146" i="12" s="1"/>
  <c r="AE1145" i="12" s="1"/>
  <c r="AE1144" i="12" s="1"/>
  <c r="AE1143" i="12" s="1"/>
  <c r="AE1142" i="12" s="1"/>
  <c r="AE1141" i="12" s="1"/>
  <c r="AE1140" i="12" s="1"/>
  <c r="AE1139" i="12" s="1"/>
  <c r="AE1138" i="12" s="1"/>
  <c r="AE1137" i="12" s="1"/>
  <c r="AE1136" i="12" s="1"/>
  <c r="AE1135" i="12" s="1"/>
  <c r="AE1134" i="12" s="1"/>
  <c r="AE1133" i="12" s="1"/>
  <c r="AE1132" i="12" s="1"/>
  <c r="AE1131" i="12" s="1"/>
  <c r="AE1130" i="12" s="1"/>
  <c r="AE1129" i="12" s="1"/>
  <c r="AE1128" i="12" s="1"/>
  <c r="AE1127" i="12" s="1"/>
  <c r="AE1126" i="12" s="1"/>
  <c r="AE1125" i="12" s="1"/>
  <c r="AE1124" i="12" s="1"/>
  <c r="AE1123" i="12" s="1"/>
  <c r="AE1122" i="12" s="1"/>
  <c r="AE1121" i="12" s="1"/>
  <c r="AE1120" i="12" s="1"/>
  <c r="AE1119" i="12" s="1"/>
  <c r="AE1118" i="12" s="1"/>
  <c r="AE1117" i="12" s="1"/>
  <c r="AE1116" i="12" s="1"/>
  <c r="AE1115" i="12" s="1"/>
  <c r="AE1114" i="12" s="1"/>
  <c r="AE1113" i="12" s="1"/>
  <c r="AE1112" i="12" s="1"/>
  <c r="AE1111" i="12" s="1"/>
  <c r="AE1110" i="12" s="1"/>
  <c r="AE1109" i="12" s="1"/>
  <c r="AE1108" i="12" s="1"/>
  <c r="AE1107" i="12" s="1"/>
  <c r="AE1106" i="12" s="1"/>
  <c r="AE1105" i="12" s="1"/>
  <c r="AE1104" i="12" s="1"/>
  <c r="AE1103" i="12" s="1"/>
  <c r="AE1102" i="12" s="1"/>
  <c r="AE1101" i="12" s="1"/>
  <c r="AE1100" i="12" s="1"/>
  <c r="AE1099" i="12" s="1"/>
  <c r="AE1098" i="12" s="1"/>
  <c r="AE1097" i="12" s="1"/>
  <c r="AE1096" i="12" s="1"/>
  <c r="AE1095" i="12" s="1"/>
  <c r="AE1094" i="12" s="1"/>
  <c r="AE1093" i="12" s="1"/>
  <c r="AE1092" i="12" s="1"/>
  <c r="AE1091" i="12" s="1"/>
  <c r="AE1090" i="12" s="1"/>
  <c r="AE1089" i="12" s="1"/>
  <c r="AE1088" i="12" s="1"/>
  <c r="AE1087" i="12" s="1"/>
  <c r="AE1086" i="12" s="1"/>
  <c r="AE1085" i="12" s="1"/>
  <c r="AE1084" i="12" s="1"/>
  <c r="AE1083" i="12" s="1"/>
  <c r="AE1082" i="12" s="1"/>
  <c r="AE1081" i="12" s="1"/>
  <c r="AE1080" i="12" s="1"/>
  <c r="AE1079" i="12" s="1"/>
  <c r="AE1078" i="12" s="1"/>
  <c r="AE1077" i="12" s="1"/>
  <c r="AE1076" i="12" s="1"/>
  <c r="AE1075" i="12" s="1"/>
  <c r="AE1074" i="12" s="1"/>
  <c r="AE1073" i="12" s="1"/>
  <c r="AE2172" i="12"/>
  <c r="AE2171" i="12" s="1"/>
  <c r="AE2170" i="12" s="1"/>
  <c r="AE2169" i="12" s="1"/>
  <c r="AE2168" i="12" s="1"/>
  <c r="AE2167" i="12" s="1"/>
  <c r="AE2166" i="12" s="1"/>
  <c r="AE2165" i="12" s="1"/>
  <c r="AE2164" i="12" s="1"/>
  <c r="AE2163" i="12" s="1"/>
  <c r="AD2182" i="12"/>
  <c r="AE2113" i="12"/>
  <c r="AE2112" i="12" s="1"/>
  <c r="AE2111" i="12" s="1"/>
  <c r="AE2110" i="12" s="1"/>
  <c r="AE2109" i="12" s="1"/>
  <c r="AE2108" i="12" s="1"/>
  <c r="AE2107" i="12" s="1"/>
  <c r="AE2106" i="12" s="1"/>
  <c r="AE2105" i="12" s="1"/>
  <c r="AE2104" i="12" s="1"/>
  <c r="AE2103" i="12" s="1"/>
  <c r="AE2102" i="12" s="1"/>
  <c r="AE2101" i="12" s="1"/>
  <c r="AE2100" i="12" s="1"/>
  <c r="AE2099" i="12" s="1"/>
  <c r="AE2098" i="12" s="1"/>
  <c r="AE2097" i="12" s="1"/>
  <c r="AE2096" i="12" s="1"/>
  <c r="AE2095" i="12" s="1"/>
  <c r="AE2094" i="12" s="1"/>
  <c r="AE2093" i="12" s="1"/>
  <c r="AC1902" i="12"/>
  <c r="AC1901" i="12" s="1"/>
  <c r="AC1900" i="12" s="1"/>
  <c r="AC1899" i="12" s="1"/>
  <c r="AC1898" i="12" s="1"/>
  <c r="AC1897" i="12" s="1"/>
  <c r="AC1896" i="12" s="1"/>
  <c r="AC1895" i="12" s="1"/>
  <c r="AC1894" i="12" s="1"/>
  <c r="AC1893" i="12" s="1"/>
  <c r="AE1902" i="12"/>
  <c r="AE1901" i="12" s="1"/>
  <c r="AE1900" i="12" s="1"/>
  <c r="AE1899" i="12" s="1"/>
  <c r="AE1898" i="12" s="1"/>
  <c r="AE1897" i="12" s="1"/>
  <c r="AE1896" i="12" s="1"/>
  <c r="AE1895" i="12" s="1"/>
  <c r="AE1894" i="12" s="1"/>
  <c r="AE1893" i="12" s="1"/>
  <c r="AD2733" i="12"/>
  <c r="AC1912" i="12"/>
  <c r="AC1911" i="12" s="1"/>
  <c r="AC1910" i="12" s="1"/>
  <c r="AC1909" i="12" s="1"/>
  <c r="AC1908" i="12" s="1"/>
  <c r="AC1907" i="12" s="1"/>
  <c r="AC1906" i="12" s="1"/>
  <c r="AC1905" i="12" s="1"/>
  <c r="AC1904" i="12" s="1"/>
  <c r="AC1903" i="12" s="1"/>
  <c r="AE1622" i="12"/>
  <c r="AE1621" i="12" s="1"/>
  <c r="AE1620" i="12" s="1"/>
  <c r="AE1619" i="12" s="1"/>
  <c r="AE1618" i="12" s="1"/>
  <c r="AE1617" i="12" s="1"/>
  <c r="AE1616" i="12" s="1"/>
  <c r="AE1615" i="12" s="1"/>
  <c r="AE1614" i="12" s="1"/>
  <c r="AC1422" i="12"/>
  <c r="AC1421" i="12" s="1"/>
  <c r="AC1420" i="12" s="1"/>
  <c r="AC1419" i="12" s="1"/>
  <c r="AC1418" i="12" s="1"/>
  <c r="AC1417" i="12" s="1"/>
  <c r="AC1416" i="12" s="1"/>
  <c r="AC1415" i="12" s="1"/>
  <c r="AC1414" i="12" s="1"/>
  <c r="AC1413" i="12" s="1"/>
  <c r="AC1412" i="12" s="1"/>
  <c r="AC1411" i="12" s="1"/>
  <c r="AC1410" i="12" s="1"/>
  <c r="AC1409" i="12" s="1"/>
  <c r="AC1408" i="12" s="1"/>
  <c r="AC1407" i="12" s="1"/>
  <c r="AC1406" i="12" s="1"/>
  <c r="AC1405" i="12" s="1"/>
  <c r="AC1404" i="12" s="1"/>
  <c r="AC1403" i="12" s="1"/>
  <c r="AC1402" i="12" s="1"/>
  <c r="AC1401" i="12" s="1"/>
  <c r="AC1400" i="12" s="1"/>
  <c r="AC1399" i="12" s="1"/>
  <c r="AC1398" i="12" s="1"/>
  <c r="AC1397" i="12" s="1"/>
  <c r="AC1396" i="12" s="1"/>
  <c r="AC1395" i="12" s="1"/>
  <c r="AC1394" i="12" s="1"/>
  <c r="AC1393" i="12" s="1"/>
  <c r="AE1892" i="12"/>
  <c r="AE1891" i="12" s="1"/>
  <c r="AE1890" i="12" s="1"/>
  <c r="AE1889" i="12" s="1"/>
  <c r="AE1888" i="12" s="1"/>
  <c r="AE1887" i="12" s="1"/>
  <c r="AE1886" i="12" s="1"/>
  <c r="AE1885" i="12" s="1"/>
  <c r="AE1884" i="12" s="1"/>
  <c r="AE1883" i="12" s="1"/>
  <c r="AE1882" i="12" s="1"/>
  <c r="AD2052" i="12"/>
  <c r="AC2262" i="12"/>
  <c r="AC2261" i="12" s="1"/>
  <c r="AC2260" i="12" s="1"/>
  <c r="AC2259" i="12" s="1"/>
  <c r="AC2258" i="12" s="1"/>
  <c r="AC2257" i="12" s="1"/>
  <c r="AC2256" i="12" s="1"/>
  <c r="AC2255" i="12" s="1"/>
  <c r="AC2254" i="12" s="1"/>
  <c r="AC2253" i="12" s="1"/>
  <c r="AC2252" i="12" s="1"/>
  <c r="AC2251" i="12" s="1"/>
  <c r="AC2250" i="12" s="1"/>
  <c r="AC2249" i="12" s="1"/>
  <c r="AC2248" i="12" s="1"/>
  <c r="AC2247" i="12" s="1"/>
  <c r="AC2246" i="12" s="1"/>
  <c r="AC2245" i="12" s="1"/>
  <c r="AC2244" i="12" s="1"/>
  <c r="AC2243" i="12" s="1"/>
  <c r="AC2242" i="12" s="1"/>
  <c r="AC2241" i="12" s="1"/>
  <c r="AC2240" i="12" s="1"/>
  <c r="AC2239" i="12" s="1"/>
  <c r="AC2238" i="12" s="1"/>
  <c r="AC2237" i="12" s="1"/>
  <c r="AC2236" i="12" s="1"/>
  <c r="AC2235" i="12" s="1"/>
  <c r="AC2234" i="12" s="1"/>
  <c r="AC2233" i="12" s="1"/>
  <c r="AC2232" i="12" s="1"/>
  <c r="AC2231" i="12" s="1"/>
  <c r="AC2230" i="12" s="1"/>
  <c r="AC2229" i="12" s="1"/>
  <c r="AC2228" i="12" s="1"/>
  <c r="AC2227" i="12" s="1"/>
  <c r="AC2226" i="12" s="1"/>
  <c r="AC2225" i="12" s="1"/>
  <c r="AC2224" i="12" s="1"/>
  <c r="AC2223" i="12" s="1"/>
  <c r="AC2222" i="12" s="1"/>
  <c r="AC2221" i="12" s="1"/>
  <c r="AC2220" i="12" s="1"/>
  <c r="AC2219" i="12" s="1"/>
  <c r="AC2218" i="12" s="1"/>
  <c r="AC2217" i="12" s="1"/>
  <c r="AC2216" i="12" s="1"/>
  <c r="AC2215" i="12" s="1"/>
  <c r="AC2214" i="12" s="1"/>
  <c r="AC2213" i="12" s="1"/>
  <c r="AC2212" i="12" s="1"/>
  <c r="AC2211" i="12" s="1"/>
  <c r="AC2210" i="12" s="1"/>
  <c r="AC2209" i="12" s="1"/>
  <c r="AC2208" i="12" s="1"/>
  <c r="AC2207" i="12" s="1"/>
  <c r="AC2206" i="12" s="1"/>
  <c r="AC2205" i="12" s="1"/>
  <c r="AC2204" i="12" s="1"/>
  <c r="AC2203" i="12" s="1"/>
  <c r="AC2202" i="12" s="1"/>
  <c r="AC2201" i="12" s="1"/>
  <c r="AC2200" i="12" s="1"/>
  <c r="AC2199" i="12" s="1"/>
  <c r="AC2198" i="12" s="1"/>
  <c r="AC2197" i="12" s="1"/>
  <c r="AC2196" i="12" s="1"/>
  <c r="AC2195" i="12" s="1"/>
  <c r="AC2194" i="12" s="1"/>
  <c r="AC2193" i="12" s="1"/>
  <c r="AC2032" i="12"/>
  <c r="AC2031" i="12" s="1"/>
  <c r="AC2030" i="12" s="1"/>
  <c r="AC2029" i="12" s="1"/>
  <c r="AC2028" i="12" s="1"/>
  <c r="AC2027" i="12" s="1"/>
  <c r="AC2026" i="12" s="1"/>
  <c r="AC2025" i="12" s="1"/>
  <c r="AC2024" i="12" s="1"/>
  <c r="AE1852" i="12"/>
  <c r="AE1851" i="12" s="1"/>
  <c r="AE1850" i="12" s="1"/>
  <c r="AE1849" i="12" s="1"/>
  <c r="AE1848" i="12" s="1"/>
  <c r="AE1847" i="12" s="1"/>
  <c r="AE1846" i="12" s="1"/>
  <c r="AE1845" i="12" s="1"/>
  <c r="AE1844" i="12" s="1"/>
  <c r="AE1602" i="12"/>
  <c r="AE1601" i="12" s="1"/>
  <c r="AE1600" i="12" s="1"/>
  <c r="AE1599" i="12" s="1"/>
  <c r="AE1598" i="12" s="1"/>
  <c r="AE1597" i="12" s="1"/>
  <c r="AE1596" i="12" s="1"/>
  <c r="AE1595" i="12" s="1"/>
  <c r="AE1594" i="12" s="1"/>
  <c r="AE1593" i="12" s="1"/>
  <c r="AE1592" i="12" s="1"/>
  <c r="AE1591" i="12" s="1"/>
  <c r="AE1590" i="12" s="1"/>
  <c r="AE1589" i="12" s="1"/>
  <c r="AE1588" i="12" s="1"/>
  <c r="AE1587" i="12" s="1"/>
  <c r="AE1586" i="12" s="1"/>
  <c r="AE1585" i="12" s="1"/>
  <c r="AE1584" i="12" s="1"/>
  <c r="AE1583" i="12" s="1"/>
  <c r="AE1582" i="12" s="1"/>
  <c r="AE1581" i="12" s="1"/>
  <c r="AE1580" i="12" s="1"/>
  <c r="AE1579" i="12" s="1"/>
  <c r="AE1578" i="12" s="1"/>
  <c r="AE1577" i="12" s="1"/>
  <c r="AE1576" i="12" s="1"/>
  <c r="AE1575" i="12" s="1"/>
  <c r="AE1574" i="12" s="1"/>
  <c r="AE1573" i="12" s="1"/>
  <c r="AC1973" i="12"/>
  <c r="AC1972" i="12" s="1"/>
  <c r="AC1971" i="12" s="1"/>
  <c r="AC1970" i="12" s="1"/>
  <c r="AC1969" i="12" s="1"/>
  <c r="AC1968" i="12" s="1"/>
  <c r="AC1967" i="12" s="1"/>
  <c r="AC1966" i="12" s="1"/>
  <c r="AC1965" i="12" s="1"/>
  <c r="AC1964" i="12" s="1"/>
  <c r="AC2613" i="12"/>
  <c r="AC2612" i="12" s="1"/>
  <c r="AC2611" i="12" s="1"/>
  <c r="AC2610" i="12" s="1"/>
  <c r="AC2609" i="12" s="1"/>
  <c r="AC2608" i="12" s="1"/>
  <c r="AC2607" i="12" s="1"/>
  <c r="AC2606" i="12" s="1"/>
  <c r="AC2605" i="12" s="1"/>
  <c r="AC2604" i="12" s="1"/>
  <c r="AC2603" i="12" s="1"/>
  <c r="AC2602" i="12" s="1"/>
  <c r="AC2601" i="12" s="1"/>
  <c r="AC2600" i="12" s="1"/>
  <c r="AC2599" i="12" s="1"/>
  <c r="AC2598" i="12" s="1"/>
  <c r="AC2597" i="12" s="1"/>
  <c r="AC2596" i="12" s="1"/>
  <c r="AC2595" i="12" s="1"/>
  <c r="AC2594" i="12" s="1"/>
  <c r="AC2593" i="12" s="1"/>
  <c r="AC2592" i="12" s="1"/>
  <c r="AC2591" i="12" s="1"/>
  <c r="AC2590" i="12" s="1"/>
  <c r="AC2589" i="12" s="1"/>
  <c r="AC2588" i="12" s="1"/>
  <c r="AC2587" i="12" s="1"/>
  <c r="AC2586" i="12" s="1"/>
  <c r="AC2585" i="12" s="1"/>
  <c r="AC2584" i="12" s="1"/>
  <c r="AC2583" i="12" s="1"/>
  <c r="AC2582" i="12" s="1"/>
  <c r="AC2581" i="12" s="1"/>
  <c r="AC2580" i="12" s="1"/>
  <c r="AC2579" i="12" s="1"/>
  <c r="AC2578" i="12" s="1"/>
  <c r="AC2577" i="12" s="1"/>
  <c r="AC2576" i="12" s="1"/>
  <c r="AC2575" i="12" s="1"/>
  <c r="AC2574" i="12" s="1"/>
  <c r="AC2573" i="12" s="1"/>
  <c r="AC2572" i="12" s="1"/>
  <c r="AC2571" i="12" s="1"/>
  <c r="AC2570" i="12" s="1"/>
  <c r="AC2569" i="12" s="1"/>
  <c r="AC2568" i="12" s="1"/>
  <c r="AC2567" i="12" s="1"/>
  <c r="AC2566" i="12" s="1"/>
  <c r="AC2565" i="12" s="1"/>
  <c r="AC2564" i="12" s="1"/>
  <c r="AC2563" i="12" s="1"/>
  <c r="AC2562" i="12" s="1"/>
  <c r="AC2561" i="12" s="1"/>
  <c r="AC2560" i="12" s="1"/>
  <c r="AC2559" i="12" s="1"/>
  <c r="AC2558" i="12" s="1"/>
  <c r="AC2557" i="12" s="1"/>
  <c r="AC2556" i="12" s="1"/>
  <c r="AC2555" i="12" s="1"/>
  <c r="AC2554" i="12" s="1"/>
  <c r="AE1572" i="12"/>
  <c r="AE1571" i="12" s="1"/>
  <c r="AE1570" i="12" s="1"/>
  <c r="AE1569" i="12" s="1"/>
  <c r="AE1568" i="12" s="1"/>
  <c r="AE1567" i="12" s="1"/>
  <c r="AE1566" i="12" s="1"/>
  <c r="AE1565" i="12" s="1"/>
  <c r="AE1564" i="12" s="1"/>
  <c r="AE1563" i="12" s="1"/>
  <c r="AE1562" i="12" s="1"/>
  <c r="AE1703" i="12"/>
  <c r="AE1702" i="12" s="1"/>
  <c r="AE1701" i="12" s="1"/>
  <c r="AE1700" i="12" s="1"/>
  <c r="AE1699" i="12" s="1"/>
  <c r="AE1698" i="12" s="1"/>
  <c r="AE1697" i="12" s="1"/>
  <c r="AE1696" i="12" s="1"/>
  <c r="AE1695" i="12" s="1"/>
  <c r="AE1694" i="12" s="1"/>
  <c r="AE1693" i="12" s="1"/>
  <c r="AE1963" i="12"/>
  <c r="AE1962" i="12" s="1"/>
  <c r="AE1961" i="12" s="1"/>
  <c r="AE1960" i="12" s="1"/>
  <c r="AE1959" i="12" s="1"/>
  <c r="AE1958" i="12" s="1"/>
  <c r="AE1957" i="12" s="1"/>
  <c r="AE1956" i="12" s="1"/>
  <c r="AE1955" i="12" s="1"/>
  <c r="AE1954" i="12" s="1"/>
  <c r="AE1953" i="12" s="1"/>
  <c r="AD2132" i="12"/>
  <c r="AD2123" i="12"/>
  <c r="AD2543" i="12"/>
  <c r="AD2342" i="12"/>
  <c r="AD1552" i="12"/>
  <c r="AC2123" i="12"/>
  <c r="AC2122" i="12" s="1"/>
  <c r="AC2121" i="12" s="1"/>
  <c r="AC2120" i="12" s="1"/>
  <c r="AC2119" i="12" s="1"/>
  <c r="AC2118" i="12" s="1"/>
  <c r="AC2117" i="12" s="1"/>
  <c r="AC2116" i="12" s="1"/>
  <c r="AC2115" i="12" s="1"/>
  <c r="AC2114" i="12" s="1"/>
  <c r="AC2052" i="12"/>
  <c r="AC2051" i="12" s="1"/>
  <c r="AC2050" i="12" s="1"/>
  <c r="AC2049" i="12" s="1"/>
  <c r="AC2048" i="12" s="1"/>
  <c r="AC2047" i="12" s="1"/>
  <c r="AC2046" i="12" s="1"/>
  <c r="AC2045" i="12" s="1"/>
  <c r="AC2044" i="12" s="1"/>
  <c r="AC2043" i="12" s="1"/>
  <c r="AC2042" i="12" s="1"/>
  <c r="AC2041" i="12" s="1"/>
  <c r="AC2040" i="12" s="1"/>
  <c r="AC2039" i="12" s="1"/>
  <c r="AC2038" i="12" s="1"/>
  <c r="AC2037" i="12" s="1"/>
  <c r="AC2036" i="12" s="1"/>
  <c r="AC2035" i="12" s="1"/>
  <c r="AC2034" i="12" s="1"/>
  <c r="AC2033" i="12" s="1"/>
  <c r="AE1973" i="12"/>
  <c r="AE1972" i="12" s="1"/>
  <c r="AE1971" i="12" s="1"/>
  <c r="AE1970" i="12" s="1"/>
  <c r="AE1969" i="12" s="1"/>
  <c r="AE1968" i="12" s="1"/>
  <c r="AE1967" i="12" s="1"/>
  <c r="AE1966" i="12" s="1"/>
  <c r="AE1965" i="12" s="1"/>
  <c r="AE1964" i="12" s="1"/>
  <c r="AE1672" i="12"/>
  <c r="AE1671" i="12" s="1"/>
  <c r="AE1670" i="12" s="1"/>
  <c r="AE1669" i="12" s="1"/>
  <c r="AE1668" i="12" s="1"/>
  <c r="AE1667" i="12" s="1"/>
  <c r="AE1666" i="12" s="1"/>
  <c r="AE1665" i="12" s="1"/>
  <c r="AE1664" i="12" s="1"/>
  <c r="AE1663" i="12" s="1"/>
  <c r="AE1662" i="12" s="1"/>
  <c r="AE1661" i="12" s="1"/>
  <c r="AE1660" i="12" s="1"/>
  <c r="AE1659" i="12" s="1"/>
  <c r="AE1658" i="12" s="1"/>
  <c r="AE1657" i="12" s="1"/>
  <c r="AE1656" i="12" s="1"/>
  <c r="AE1655" i="12" s="1"/>
  <c r="AE1654" i="12" s="1"/>
  <c r="AE1653" i="12" s="1"/>
  <c r="AE1652" i="12" s="1"/>
  <c r="AE1651" i="12" s="1"/>
  <c r="AE1650" i="12" s="1"/>
  <c r="AE1649" i="12" s="1"/>
  <c r="AE1648" i="12" s="1"/>
  <c r="AE1647" i="12" s="1"/>
  <c r="AE1646" i="12" s="1"/>
  <c r="AE1645" i="12" s="1"/>
  <c r="AE1644" i="12" s="1"/>
  <c r="AE1643" i="12" s="1"/>
  <c r="AD793" i="12"/>
  <c r="AD2512" i="12"/>
  <c r="AE1491" i="12"/>
  <c r="AE1490" i="12" s="1"/>
  <c r="AE1489" i="12" s="1"/>
  <c r="AE1488" i="12" s="1"/>
  <c r="AE1487" i="12" s="1"/>
  <c r="AE1486" i="12" s="1"/>
  <c r="AE1485" i="12" s="1"/>
  <c r="AE1484" i="12" s="1"/>
  <c r="AE1483" i="12" s="1"/>
  <c r="AE1482" i="12" s="1"/>
  <c r="AE1481" i="12" s="1"/>
  <c r="AE1480" i="12" s="1"/>
  <c r="AE1479" i="12" s="1"/>
  <c r="AE1478" i="12" s="1"/>
  <c r="AE1477" i="12" s="1"/>
  <c r="AE1476" i="12" s="1"/>
  <c r="AE1475" i="12" s="1"/>
  <c r="AE1474" i="12" s="1"/>
  <c r="AE1473" i="12" s="1"/>
  <c r="AE1472" i="12" s="1"/>
  <c r="AE1471" i="12" s="1"/>
  <c r="AE1470" i="12" s="1"/>
  <c r="AE1469" i="12" s="1"/>
  <c r="AE1468" i="12" s="1"/>
  <c r="AE1467" i="12" s="1"/>
  <c r="AE1466" i="12" s="1"/>
  <c r="AE1465" i="12" s="1"/>
  <c r="AE1464" i="12" s="1"/>
  <c r="AE1463" i="12" s="1"/>
  <c r="AC1773" i="12"/>
  <c r="AC1772" i="12" s="1"/>
  <c r="AC1771" i="12" s="1"/>
  <c r="AC1770" i="12" s="1"/>
  <c r="AC1769" i="12" s="1"/>
  <c r="AC1768" i="12" s="1"/>
  <c r="AC1767" i="12" s="1"/>
  <c r="AC1766" i="12" s="1"/>
  <c r="AC1765" i="12" s="1"/>
  <c r="AC1764" i="12" s="1"/>
  <c r="AC1763" i="12" s="1"/>
  <c r="AC2462" i="12"/>
  <c r="AC2461" i="12" s="1"/>
  <c r="AC2460" i="12" s="1"/>
  <c r="AC2459" i="12" s="1"/>
  <c r="AC2458" i="12" s="1"/>
  <c r="AC2457" i="12" s="1"/>
  <c r="AC2456" i="12" s="1"/>
  <c r="AC2455" i="12" s="1"/>
  <c r="AC2454" i="12" s="1"/>
  <c r="AC2453" i="12" s="1"/>
  <c r="AC1632" i="12"/>
  <c r="AC1631" i="12" s="1"/>
  <c r="AC1630" i="12" s="1"/>
  <c r="AC1629" i="12" s="1"/>
  <c r="AC1628" i="12" s="1"/>
  <c r="AC1627" i="12" s="1"/>
  <c r="AC1626" i="12" s="1"/>
  <c r="AC1625" i="12" s="1"/>
  <c r="AC1624" i="12" s="1"/>
  <c r="AC1623" i="12" s="1"/>
  <c r="AD2192" i="12"/>
  <c r="AC2452" i="12"/>
  <c r="AC2451" i="12" s="1"/>
  <c r="AC2450" i="12" s="1"/>
  <c r="AC2449" i="12" s="1"/>
  <c r="AC2448" i="12" s="1"/>
  <c r="AC2447" i="12" s="1"/>
  <c r="AC2446" i="12" s="1"/>
  <c r="AC2445" i="12" s="1"/>
  <c r="AC2444" i="12" s="1"/>
  <c r="AC2443" i="12" s="1"/>
  <c r="AC1002" i="12"/>
  <c r="AC1001" i="12" s="1"/>
  <c r="AC1000" i="12" s="1"/>
  <c r="AC999" i="12" s="1"/>
  <c r="AC998" i="12" s="1"/>
  <c r="AC997" i="12" s="1"/>
  <c r="AC996" i="12" s="1"/>
  <c r="AC995" i="12" s="1"/>
  <c r="AC994" i="12" s="1"/>
  <c r="AC993" i="12" s="1"/>
  <c r="AC992" i="12" s="1"/>
  <c r="AC991" i="12" s="1"/>
  <c r="AC990" i="12" s="1"/>
  <c r="AC989" i="12" s="1"/>
  <c r="AC988" i="12" s="1"/>
  <c r="AC987" i="12" s="1"/>
  <c r="AC986" i="12" s="1"/>
  <c r="AC985" i="12" s="1"/>
  <c r="AC984" i="12" s="1"/>
  <c r="AC983" i="12" s="1"/>
  <c r="AC982" i="12" s="1"/>
  <c r="AC981" i="12" s="1"/>
  <c r="AC980" i="12" s="1"/>
  <c r="AC979" i="12" s="1"/>
  <c r="AC978" i="12" s="1"/>
  <c r="AC977" i="12" s="1"/>
  <c r="AC976" i="12" s="1"/>
  <c r="AD1622" i="12"/>
  <c r="AD1881" i="12"/>
  <c r="AE2651" i="12"/>
  <c r="AE2650" i="12" s="1"/>
  <c r="AE2649" i="12" s="1"/>
  <c r="AE2648" i="12" s="1"/>
  <c r="AE2647" i="12" s="1"/>
  <c r="AE2646" i="12" s="1"/>
  <c r="AE2645" i="12" s="1"/>
  <c r="AE2644" i="12" s="1"/>
  <c r="AE2643" i="12" s="1"/>
  <c r="AE2642" i="12" s="1"/>
  <c r="AE2641" i="12" s="1"/>
  <c r="AE2640" i="12" s="1"/>
  <c r="AE2639" i="12" s="1"/>
  <c r="AE2638" i="12" s="1"/>
  <c r="AE2637" i="12" s="1"/>
  <c r="AE2636" i="12" s="1"/>
  <c r="AE2635" i="12" s="1"/>
  <c r="AE2634" i="12" s="1"/>
  <c r="AE2633" i="12" s="1"/>
  <c r="AE2632" i="12" s="1"/>
  <c r="AE2631" i="12" s="1"/>
  <c r="AE2630" i="12" s="1"/>
  <c r="AE2629" i="12" s="1"/>
  <c r="AE2628" i="12" s="1"/>
  <c r="AE2627" i="12" s="1"/>
  <c r="AE2626" i="12" s="1"/>
  <c r="AE2625" i="12" s="1"/>
  <c r="AE2624" i="12" s="1"/>
  <c r="AE2623" i="12" s="1"/>
  <c r="AE2622" i="12" s="1"/>
  <c r="AE2621" i="12" s="1"/>
  <c r="AE2620" i="12" s="1"/>
  <c r="AE2619" i="12" s="1"/>
  <c r="AE2618" i="12" s="1"/>
  <c r="AE2617" i="12" s="1"/>
  <c r="AE2616" i="12" s="1"/>
  <c r="AE2615" i="12" s="1"/>
  <c r="AE2614" i="12" s="1"/>
  <c r="AC1881" i="12"/>
  <c r="AC1880" i="12" s="1"/>
  <c r="AC1879" i="12" s="1"/>
  <c r="AC1878" i="12" s="1"/>
  <c r="AC1877" i="12" s="1"/>
  <c r="AC1876" i="12" s="1"/>
  <c r="AC1875" i="12" s="1"/>
  <c r="AC1874" i="12" s="1"/>
  <c r="AC1873" i="12" s="1"/>
  <c r="AC1872" i="12" s="1"/>
  <c r="AC1871" i="12" s="1"/>
  <c r="AC1870" i="12" s="1"/>
  <c r="AC1869" i="12" s="1"/>
  <c r="AC1868" i="12" s="1"/>
  <c r="AC1867" i="12" s="1"/>
  <c r="AC1866" i="12" s="1"/>
  <c r="AC1865" i="12" s="1"/>
  <c r="AC1864" i="12" s="1"/>
  <c r="AC1863" i="12" s="1"/>
  <c r="AC1862" i="12" s="1"/>
  <c r="AC1861" i="12" s="1"/>
  <c r="AC1860" i="12" s="1"/>
  <c r="AC1859" i="12" s="1"/>
  <c r="AC1858" i="12" s="1"/>
  <c r="AC1857" i="12" s="1"/>
  <c r="AC1856" i="12" s="1"/>
  <c r="AC1855" i="12" s="1"/>
  <c r="AC1854" i="12" s="1"/>
  <c r="AC1853" i="12" s="1"/>
  <c r="AD2452" i="12"/>
  <c r="AC2332" i="12"/>
  <c r="AC2331" i="12" s="1"/>
  <c r="AC2330" i="12" s="1"/>
  <c r="AC2329" i="12" s="1"/>
  <c r="AC2328" i="12" s="1"/>
  <c r="AC2327" i="12" s="1"/>
  <c r="AC2326" i="12" s="1"/>
  <c r="AC2325" i="12" s="1"/>
  <c r="AC2324" i="12" s="1"/>
  <c r="AC2323" i="12" s="1"/>
  <c r="AC2322" i="12" s="1"/>
  <c r="AC2321" i="12" s="1"/>
  <c r="AC2320" i="12" s="1"/>
  <c r="AC2319" i="12" s="1"/>
  <c r="AC2318" i="12" s="1"/>
  <c r="AC2317" i="12" s="1"/>
  <c r="AC2316" i="12" s="1"/>
  <c r="AC2315" i="12" s="1"/>
  <c r="AC2314" i="12" s="1"/>
  <c r="AC2313" i="12" s="1"/>
  <c r="AC2312" i="12" s="1"/>
  <c r="AC2311" i="12" s="1"/>
  <c r="AC2310" i="12" s="1"/>
  <c r="AC2309" i="12" s="1"/>
  <c r="AC2308" i="12" s="1"/>
  <c r="AC2307" i="12" s="1"/>
  <c r="AC2306" i="12" s="1"/>
  <c r="AC2305" i="12" s="1"/>
  <c r="AC2304" i="12" s="1"/>
  <c r="AC2303" i="12" s="1"/>
  <c r="AC2302" i="12" s="1"/>
  <c r="AC2301" i="12" s="1"/>
  <c r="AC2300" i="12" s="1"/>
  <c r="AC2299" i="12" s="1"/>
  <c r="AC2298" i="12" s="1"/>
  <c r="AC2297" i="12" s="1"/>
  <c r="AC2296" i="12" s="1"/>
  <c r="AC2295" i="12" s="1"/>
  <c r="AC2294" i="12" s="1"/>
  <c r="AC2293" i="12" s="1"/>
  <c r="AC2292" i="12" s="1"/>
  <c r="AC2291" i="12" s="1"/>
  <c r="AC2290" i="12" s="1"/>
  <c r="AC2289" i="12" s="1"/>
  <c r="AC2288" i="12" s="1"/>
  <c r="AC2287" i="12" s="1"/>
  <c r="AC2286" i="12" s="1"/>
  <c r="AC2285" i="12" s="1"/>
  <c r="AC2284" i="12" s="1"/>
  <c r="AC2283" i="12" s="1"/>
  <c r="AC2282" i="12" s="1"/>
  <c r="AC2281" i="12" s="1"/>
  <c r="AC2280" i="12" s="1"/>
  <c r="AC2279" i="12" s="1"/>
  <c r="AC2278" i="12" s="1"/>
  <c r="AC2277" i="12" s="1"/>
  <c r="AC2276" i="12" s="1"/>
  <c r="AC2275" i="12" s="1"/>
  <c r="AC2274" i="12" s="1"/>
  <c r="AC2273" i="12" s="1"/>
  <c r="AC2272" i="12" s="1"/>
  <c r="AC2271" i="12" s="1"/>
  <c r="AC2270" i="12" s="1"/>
  <c r="AC2269" i="12" s="1"/>
  <c r="AC2268" i="12" s="1"/>
  <c r="AC2267" i="12" s="1"/>
  <c r="AC2266" i="12" s="1"/>
  <c r="AC2265" i="12" s="1"/>
  <c r="AC2264" i="12" s="1"/>
  <c r="AC2263" i="12" s="1"/>
  <c r="AD2062" i="12"/>
  <c r="AD2693" i="12"/>
  <c r="AC1952" i="12"/>
  <c r="AC1951" i="12" s="1"/>
  <c r="AC1950" i="12" s="1"/>
  <c r="AC1949" i="12" s="1"/>
  <c r="AC1948" i="12" s="1"/>
  <c r="AC1947" i="12" s="1"/>
  <c r="AC1946" i="12" s="1"/>
  <c r="AC1945" i="12" s="1"/>
  <c r="AC1944" i="12" s="1"/>
  <c r="AC1943" i="12" s="1"/>
  <c r="AC1942" i="12" s="1"/>
  <c r="AC1941" i="12" s="1"/>
  <c r="AC1940" i="12" s="1"/>
  <c r="AC1939" i="12" s="1"/>
  <c r="AC1938" i="12" s="1"/>
  <c r="AC1937" i="12" s="1"/>
  <c r="AC1936" i="12" s="1"/>
  <c r="AC1935" i="12" s="1"/>
  <c r="AC1934" i="12" s="1"/>
  <c r="AC1933" i="12" s="1"/>
  <c r="AC1932" i="12" s="1"/>
  <c r="AC1931" i="12" s="1"/>
  <c r="AC1930" i="12" s="1"/>
  <c r="AC1929" i="12" s="1"/>
  <c r="AC1928" i="12" s="1"/>
  <c r="AC1927" i="12" s="1"/>
  <c r="AC1926" i="12" s="1"/>
  <c r="AC1925" i="12" s="1"/>
  <c r="AC1924" i="12" s="1"/>
  <c r="AC1923" i="12" s="1"/>
  <c r="AD1812" i="12"/>
  <c r="AC2182" i="12"/>
  <c r="AC2181" i="12" s="1"/>
  <c r="AC2180" i="12" s="1"/>
  <c r="AC2179" i="12" s="1"/>
  <c r="AC2178" i="12" s="1"/>
  <c r="AC2177" i="12" s="1"/>
  <c r="AC2176" i="12" s="1"/>
  <c r="AC2175" i="12" s="1"/>
  <c r="AC2174" i="12" s="1"/>
  <c r="AC2173" i="12" s="1"/>
  <c r="AC865" i="12"/>
  <c r="AC864" i="12" s="1"/>
  <c r="AC863" i="12" s="1"/>
  <c r="AC862" i="12" s="1"/>
  <c r="AC861" i="12" s="1"/>
  <c r="AC860" i="12" s="1"/>
  <c r="AC859" i="12" s="1"/>
  <c r="AC858" i="12" s="1"/>
  <c r="AC857" i="12" s="1"/>
  <c r="AC856" i="12" s="1"/>
  <c r="AC855" i="12" s="1"/>
  <c r="AC854" i="12" s="1"/>
  <c r="AC853" i="12" s="1"/>
  <c r="AC852" i="12" s="1"/>
  <c r="AC851" i="12" s="1"/>
  <c r="AC850" i="12" s="1"/>
  <c r="AC849" i="12" s="1"/>
  <c r="AC848" i="12" s="1"/>
  <c r="AC847" i="12" s="1"/>
  <c r="AC846" i="12" s="1"/>
  <c r="AC845" i="12" s="1"/>
  <c r="AC844" i="12" s="1"/>
  <c r="AC843" i="12" s="1"/>
  <c r="AC842" i="12" s="1"/>
  <c r="AC841" i="12" s="1"/>
  <c r="AC840" i="12" s="1"/>
  <c r="AC839" i="12" s="1"/>
  <c r="AC838" i="12" s="1"/>
  <c r="AC837" i="12" s="1"/>
  <c r="AC836" i="12" s="1"/>
  <c r="AC835" i="12" s="1"/>
  <c r="AC834" i="12" s="1"/>
  <c r="AC833" i="12" s="1"/>
  <c r="AD1672" i="12"/>
  <c r="AD2442" i="12"/>
  <c r="AC975" i="12"/>
  <c r="AC974" i="12" s="1"/>
  <c r="AC973" i="12" s="1"/>
  <c r="AC972" i="12" s="1"/>
  <c r="AC971" i="12" s="1"/>
  <c r="AC970" i="12" s="1"/>
  <c r="AC969" i="12" s="1"/>
  <c r="AC968" i="12" s="1"/>
  <c r="AC967" i="12" s="1"/>
  <c r="AC966" i="12" s="1"/>
  <c r="AC965" i="12" s="1"/>
  <c r="AC964" i="12" s="1"/>
  <c r="AC963" i="12" s="1"/>
  <c r="AC962" i="12" s="1"/>
  <c r="AC961" i="12" s="1"/>
  <c r="AC960" i="12" s="1"/>
  <c r="AC959" i="12" s="1"/>
  <c r="AC958" i="12" s="1"/>
  <c r="AC957" i="12" s="1"/>
  <c r="AC956" i="12" s="1"/>
  <c r="AC955" i="12" s="1"/>
  <c r="AC954" i="12" s="1"/>
  <c r="AC953" i="12" s="1"/>
  <c r="AC952" i="12" s="1"/>
  <c r="AC951" i="12" s="1"/>
  <c r="AC950" i="12" s="1"/>
  <c r="AC949" i="12" s="1"/>
  <c r="AC948" i="12" s="1"/>
  <c r="AC947" i="12" s="1"/>
  <c r="AC946" i="12" s="1"/>
  <c r="AC945" i="12" s="1"/>
  <c r="AC944" i="12" s="1"/>
  <c r="AC943" i="12" s="1"/>
  <c r="AC942" i="12" s="1"/>
  <c r="AC941" i="12" s="1"/>
  <c r="AC940" i="12" s="1"/>
  <c r="AC939" i="12" s="1"/>
  <c r="AC938" i="12" s="1"/>
  <c r="AC937" i="12" s="1"/>
  <c r="AC936" i="12" s="1"/>
  <c r="AC935" i="12" s="1"/>
  <c r="AC934" i="12" s="1"/>
  <c r="AC933" i="12" s="1"/>
  <c r="AC932" i="12" s="1"/>
  <c r="AC931" i="12" s="1"/>
  <c r="AC930" i="12" s="1"/>
  <c r="AC929" i="12" s="1"/>
  <c r="AC928" i="12" s="1"/>
  <c r="AC927" i="12" s="1"/>
  <c r="AC926" i="12" s="1"/>
  <c r="AC925" i="12" s="1"/>
  <c r="AC924" i="12" s="1"/>
  <c r="AC923" i="12" s="1"/>
  <c r="AC922" i="12" s="1"/>
  <c r="AC921" i="12" s="1"/>
  <c r="AC920" i="12" s="1"/>
  <c r="AC919" i="12" s="1"/>
  <c r="AC918" i="12" s="1"/>
  <c r="AC917" i="12" s="1"/>
  <c r="AC916" i="12" s="1"/>
  <c r="AC915" i="12" s="1"/>
  <c r="AC914" i="12" s="1"/>
  <c r="AC913" i="12" s="1"/>
  <c r="AC912" i="12" s="1"/>
  <c r="AC911" i="12" s="1"/>
  <c r="AC910" i="12" s="1"/>
  <c r="AC909" i="12" s="1"/>
  <c r="AC908" i="12" s="1"/>
  <c r="AC907" i="12" s="1"/>
  <c r="AC906" i="12" s="1"/>
  <c r="AC905" i="12" s="1"/>
  <c r="AC904" i="12" s="1"/>
  <c r="AC903" i="12" s="1"/>
  <c r="AC902" i="12" s="1"/>
  <c r="AC901" i="12" s="1"/>
  <c r="AC900" i="12" s="1"/>
  <c r="AC899" i="12" s="1"/>
  <c r="AC898" i="12" s="1"/>
  <c r="AC897" i="12" s="1"/>
  <c r="AC896" i="12" s="1"/>
  <c r="AC895" i="12" s="1"/>
  <c r="AC894" i="12" s="1"/>
  <c r="AC893" i="12" s="1"/>
  <c r="AC892" i="12" s="1"/>
  <c r="AC891" i="12" s="1"/>
  <c r="AC890" i="12" s="1"/>
  <c r="AC889" i="12" s="1"/>
  <c r="AC888" i="12" s="1"/>
  <c r="AC887" i="12" s="1"/>
  <c r="AC886" i="12" s="1"/>
  <c r="AC885" i="12" s="1"/>
  <c r="AC884" i="12" s="1"/>
  <c r="AC883" i="12" s="1"/>
  <c r="AC882" i="12" s="1"/>
  <c r="AC881" i="12" s="1"/>
  <c r="AC880" i="12" s="1"/>
  <c r="AC879" i="12" s="1"/>
  <c r="AC878" i="12" s="1"/>
  <c r="AC877" i="12" s="1"/>
  <c r="AC876" i="12" s="1"/>
  <c r="AC875" i="12" s="1"/>
  <c r="AC874" i="12" s="1"/>
  <c r="AC873" i="12" s="1"/>
  <c r="AC872" i="12" s="1"/>
  <c r="AC871" i="12" s="1"/>
  <c r="AC870" i="12" s="1"/>
  <c r="AC869" i="12" s="1"/>
  <c r="AC868" i="12" s="1"/>
  <c r="AC867" i="12" s="1"/>
  <c r="AC866" i="12" s="1"/>
  <c r="AD2032" i="12"/>
  <c r="AE1072" i="12"/>
  <c r="AE1071" i="12" s="1"/>
  <c r="AE1070" i="12" s="1"/>
  <c r="AE1069" i="12" s="1"/>
  <c r="AE1068" i="12" s="1"/>
  <c r="AE1067" i="12" s="1"/>
  <c r="AE1066" i="12" s="1"/>
  <c r="AE1065" i="12" s="1"/>
  <c r="AE1064" i="12" s="1"/>
  <c r="AE1063" i="12" s="1"/>
  <c r="AE1062" i="12" s="1"/>
  <c r="AE1061" i="12" s="1"/>
  <c r="AE1060" i="12" s="1"/>
  <c r="AE1059" i="12" s="1"/>
  <c r="AE1058" i="12" s="1"/>
  <c r="AE1057" i="12" s="1"/>
  <c r="AE1056" i="12" s="1"/>
  <c r="AE1055" i="12" s="1"/>
  <c r="AE1054" i="12" s="1"/>
  <c r="AE1053" i="12" s="1"/>
  <c r="AE1052" i="12" s="1"/>
  <c r="AE1051" i="12" s="1"/>
  <c r="AE1050" i="12" s="1"/>
  <c r="AE1049" i="12" s="1"/>
  <c r="AE1048" i="12" s="1"/>
  <c r="AE1047" i="12" s="1"/>
  <c r="AE1046" i="12" s="1"/>
  <c r="AE1045" i="12" s="1"/>
  <c r="AE1044" i="12" s="1"/>
  <c r="AE1043" i="12" s="1"/>
  <c r="AE2092" i="12"/>
  <c r="AE2091" i="12" s="1"/>
  <c r="AE2090" i="12" s="1"/>
  <c r="AE2089" i="12" s="1"/>
  <c r="AE2088" i="12" s="1"/>
  <c r="AE2087" i="12" s="1"/>
  <c r="AE2086" i="12" s="1"/>
  <c r="AE2085" i="12" s="1"/>
  <c r="AE2084" i="12" s="1"/>
  <c r="AE2083" i="12" s="1"/>
  <c r="AE2082" i="12" s="1"/>
  <c r="AE2081" i="12" s="1"/>
  <c r="AE2080" i="12" s="1"/>
  <c r="AE2079" i="12" s="1"/>
  <c r="AE2078" i="12" s="1"/>
  <c r="AE2077" i="12" s="1"/>
  <c r="AE2076" i="12" s="1"/>
  <c r="AE2075" i="12" s="1"/>
  <c r="AE2074" i="12" s="1"/>
  <c r="AE2073" i="12" s="1"/>
  <c r="AE2072" i="12" s="1"/>
  <c r="AE2071" i="12" s="1"/>
  <c r="AE2070" i="12" s="1"/>
  <c r="AE2069" i="12" s="1"/>
  <c r="AE2068" i="12" s="1"/>
  <c r="AE2067" i="12" s="1"/>
  <c r="AE2066" i="12" s="1"/>
  <c r="AE2065" i="12" s="1"/>
  <c r="AE2064" i="12" s="1"/>
  <c r="AE2063" i="12" s="1"/>
  <c r="AE2733" i="12"/>
  <c r="AE2732" i="12" s="1"/>
  <c r="AE2731" i="12" s="1"/>
  <c r="AE2730" i="12" s="1"/>
  <c r="AE2729" i="12" s="1"/>
  <c r="AE2728" i="12" s="1"/>
  <c r="AE2727" i="12" s="1"/>
  <c r="AE2726" i="12" s="1"/>
  <c r="AE2725" i="12" s="1"/>
  <c r="AE2724" i="12" s="1"/>
  <c r="AE2723" i="12" s="1"/>
  <c r="AE2722" i="12" s="1"/>
  <c r="AE2721" i="12" s="1"/>
  <c r="AE2720" i="12" s="1"/>
  <c r="AE2719" i="12" s="1"/>
  <c r="AE2718" i="12" s="1"/>
  <c r="AE2717" i="12" s="1"/>
  <c r="AE2716" i="12" s="1"/>
  <c r="AE2715" i="12" s="1"/>
  <c r="AE2714" i="12" s="1"/>
  <c r="AE2713" i="12" s="1"/>
  <c r="AE2712" i="12" s="1"/>
  <c r="AE2711" i="12" s="1"/>
  <c r="AE2710" i="12" s="1"/>
  <c r="AE2709" i="12" s="1"/>
  <c r="AE2708" i="12" s="1"/>
  <c r="AE2707" i="12" s="1"/>
  <c r="AE2706" i="12" s="1"/>
  <c r="AE2705" i="12" s="1"/>
  <c r="AE2704" i="12" s="1"/>
  <c r="AE2703" i="12" s="1"/>
  <c r="AE2702" i="12" s="1"/>
  <c r="AE2701" i="12" s="1"/>
  <c r="AE2700" i="12" s="1"/>
  <c r="AE2699" i="12" s="1"/>
  <c r="AE2698" i="12" s="1"/>
  <c r="AE2697" i="12" s="1"/>
  <c r="AE2696" i="12" s="1"/>
  <c r="AE2695" i="12" s="1"/>
  <c r="AE2694" i="12" s="1"/>
  <c r="AC1602" i="12"/>
  <c r="AC1601" i="12" s="1"/>
  <c r="AC1600" i="12" s="1"/>
  <c r="AC1599" i="12" s="1"/>
  <c r="AC1598" i="12" s="1"/>
  <c r="AC1597" i="12" s="1"/>
  <c r="AC1596" i="12" s="1"/>
  <c r="AC1595" i="12" s="1"/>
  <c r="AC1594" i="12" s="1"/>
  <c r="AC1593" i="12" s="1"/>
  <c r="AC1592" i="12" s="1"/>
  <c r="AC1591" i="12" s="1"/>
  <c r="AC1590" i="12" s="1"/>
  <c r="AC1589" i="12" s="1"/>
  <c r="AC1588" i="12" s="1"/>
  <c r="AC1587" i="12" s="1"/>
  <c r="AC1586" i="12" s="1"/>
  <c r="AC1585" i="12" s="1"/>
  <c r="AC1584" i="12" s="1"/>
  <c r="AC1583" i="12" s="1"/>
  <c r="AC1582" i="12" s="1"/>
  <c r="AC1581" i="12" s="1"/>
  <c r="AC1580" i="12" s="1"/>
  <c r="AC1579" i="12" s="1"/>
  <c r="AC1578" i="12" s="1"/>
  <c r="AC1577" i="12" s="1"/>
  <c r="AC1576" i="12" s="1"/>
  <c r="AC1575" i="12" s="1"/>
  <c r="AC1574" i="12" s="1"/>
  <c r="AC1573" i="12" s="1"/>
  <c r="AE1252" i="12"/>
  <c r="AE1251" i="12" s="1"/>
  <c r="AE1250" i="12" s="1"/>
  <c r="AE1249" i="12" s="1"/>
  <c r="AE1248" i="12" s="1"/>
  <c r="AE1247" i="12" s="1"/>
  <c r="AE1246" i="12" s="1"/>
  <c r="AE1245" i="12" s="1"/>
  <c r="AE1244" i="12" s="1"/>
  <c r="AE1243" i="12" s="1"/>
  <c r="AE1242" i="12" s="1"/>
  <c r="AE1241" i="12" s="1"/>
  <c r="AE1240" i="12" s="1"/>
  <c r="AE1239" i="12" s="1"/>
  <c r="AE1238" i="12" s="1"/>
  <c r="AE1237" i="12" s="1"/>
  <c r="AE1236" i="12" s="1"/>
  <c r="AE1235" i="12" s="1"/>
  <c r="AE1234" i="12" s="1"/>
  <c r="AE1233" i="12" s="1"/>
  <c r="AE1232" i="12" s="1"/>
  <c r="AE1231" i="12" s="1"/>
  <c r="AE1230" i="12" s="1"/>
  <c r="AE1229" i="12" s="1"/>
  <c r="AE1228" i="12" s="1"/>
  <c r="AE1227" i="12" s="1"/>
  <c r="AE1226" i="12" s="1"/>
  <c r="AE1225" i="12" s="1"/>
  <c r="AE1224" i="12" s="1"/>
  <c r="AC2023" i="12"/>
  <c r="AC2022" i="12" s="1"/>
  <c r="AC2021" i="12" s="1"/>
  <c r="AC2020" i="12" s="1"/>
  <c r="AC2019" i="12" s="1"/>
  <c r="AC2018" i="12" s="1"/>
  <c r="AC2017" i="12" s="1"/>
  <c r="AC2016" i="12" s="1"/>
  <c r="AC2015" i="12" s="1"/>
  <c r="AC2014" i="12" s="1"/>
  <c r="AC2013" i="12" s="1"/>
  <c r="AC2012" i="12" s="1"/>
  <c r="AC2011" i="12" s="1"/>
  <c r="AC2010" i="12" s="1"/>
  <c r="AC2009" i="12" s="1"/>
  <c r="AC2008" i="12" s="1"/>
  <c r="AC2007" i="12" s="1"/>
  <c r="AC2006" i="12" s="1"/>
  <c r="AC2005" i="12" s="1"/>
  <c r="AC2004" i="12" s="1"/>
  <c r="AC2003" i="12" s="1"/>
  <c r="AC2002" i="12" s="1"/>
  <c r="AC2001" i="12" s="1"/>
  <c r="AC2000" i="12" s="1"/>
  <c r="AC1999" i="12" s="1"/>
  <c r="AC1998" i="12" s="1"/>
  <c r="AC1997" i="12" s="1"/>
  <c r="AC1996" i="12" s="1"/>
  <c r="AC1995" i="12" s="1"/>
  <c r="AC1994" i="12" s="1"/>
  <c r="AC1993" i="12" s="1"/>
  <c r="AC1992" i="12" s="1"/>
  <c r="AC1991" i="12" s="1"/>
  <c r="AC1990" i="12" s="1"/>
  <c r="AC1989" i="12" s="1"/>
  <c r="AC1988" i="12" s="1"/>
  <c r="AC1987" i="12" s="1"/>
  <c r="AC1986" i="12" s="1"/>
  <c r="AC1985" i="12" s="1"/>
  <c r="AC1984" i="12" s="1"/>
  <c r="AC1983" i="12" s="1"/>
  <c r="AC1982" i="12" s="1"/>
  <c r="AC1981" i="12" s="1"/>
  <c r="AC1980" i="12" s="1"/>
  <c r="AC1979" i="12" s="1"/>
  <c r="AC1978" i="12" s="1"/>
  <c r="AC1977" i="12" s="1"/>
  <c r="AC1976" i="12" s="1"/>
  <c r="AC1975" i="12" s="1"/>
  <c r="AC1974" i="12" s="1"/>
  <c r="AC2372" i="12"/>
  <c r="AC2371" i="12" s="1"/>
  <c r="AC2370" i="12" s="1"/>
  <c r="AC2369" i="12" s="1"/>
  <c r="AC2368" i="12" s="1"/>
  <c r="AC2367" i="12" s="1"/>
  <c r="AC2366" i="12" s="1"/>
  <c r="AC2365" i="12" s="1"/>
  <c r="AC2364" i="12" s="1"/>
  <c r="AC2363" i="12" s="1"/>
  <c r="AC2362" i="12" s="1"/>
  <c r="AC2361" i="12" s="1"/>
  <c r="AC2360" i="12" s="1"/>
  <c r="AC2359" i="12" s="1"/>
  <c r="AC2358" i="12" s="1"/>
  <c r="AC2357" i="12" s="1"/>
  <c r="AC2356" i="12" s="1"/>
  <c r="AC2355" i="12" s="1"/>
  <c r="AC2354" i="12" s="1"/>
  <c r="AC2353" i="12" s="1"/>
  <c r="AC2352" i="12" s="1"/>
  <c r="AC2351" i="12" s="1"/>
  <c r="AC2350" i="12" s="1"/>
  <c r="AC2349" i="12" s="1"/>
  <c r="AC2348" i="12" s="1"/>
  <c r="AC2347" i="12" s="1"/>
  <c r="AC2346" i="12" s="1"/>
  <c r="AC2345" i="12" s="1"/>
  <c r="AC2344" i="12" s="1"/>
  <c r="AC2343" i="12" s="1"/>
  <c r="AD975" i="12"/>
  <c r="AE1952" i="12"/>
  <c r="AE1951" i="12" s="1"/>
  <c r="AE1950" i="12" s="1"/>
  <c r="AE1949" i="12" s="1"/>
  <c r="AE1948" i="12" s="1"/>
  <c r="AE1947" i="12" s="1"/>
  <c r="AE1946" i="12" s="1"/>
  <c r="AE1945" i="12" s="1"/>
  <c r="AE1944" i="12" s="1"/>
  <c r="AE1943" i="12" s="1"/>
  <c r="AE1942" i="12" s="1"/>
  <c r="AE1941" i="12" s="1"/>
  <c r="AE1940" i="12" s="1"/>
  <c r="AE1939" i="12" s="1"/>
  <c r="AE1938" i="12" s="1"/>
  <c r="AE1937" i="12" s="1"/>
  <c r="AE1936" i="12" s="1"/>
  <c r="AE1935" i="12" s="1"/>
  <c r="AE1934" i="12" s="1"/>
  <c r="AE1933" i="12" s="1"/>
  <c r="AE1932" i="12" s="1"/>
  <c r="AE1931" i="12" s="1"/>
  <c r="AE1930" i="12" s="1"/>
  <c r="AE1929" i="12" s="1"/>
  <c r="AE1928" i="12" s="1"/>
  <c r="AE1927" i="12" s="1"/>
  <c r="AE1926" i="12" s="1"/>
  <c r="AE1925" i="12" s="1"/>
  <c r="AE1924" i="12" s="1"/>
  <c r="AE1923" i="12" s="1"/>
  <c r="AC1322" i="12"/>
  <c r="AC1321" i="12" s="1"/>
  <c r="AC1320" i="12" s="1"/>
  <c r="AC1319" i="12" s="1"/>
  <c r="AC1318" i="12" s="1"/>
  <c r="AC1317" i="12" s="1"/>
  <c r="AC1316" i="12" s="1"/>
  <c r="AC1315" i="12" s="1"/>
  <c r="AC1314" i="12" s="1"/>
  <c r="AC1313" i="12" s="1"/>
  <c r="AC1312" i="12" s="1"/>
  <c r="AC1311" i="12" s="1"/>
  <c r="AC1310" i="12" s="1"/>
  <c r="AC1309" i="12" s="1"/>
  <c r="AC1308" i="12" s="1"/>
  <c r="AC1307" i="12" s="1"/>
  <c r="AC1306" i="12" s="1"/>
  <c r="AC1305" i="12" s="1"/>
  <c r="AC1304" i="12" s="1"/>
  <c r="AC1303" i="12" s="1"/>
  <c r="AC1302" i="12" s="1"/>
  <c r="AC1301" i="12" s="1"/>
  <c r="AC1300" i="12" s="1"/>
  <c r="AC1299" i="12" s="1"/>
  <c r="AC1298" i="12" s="1"/>
  <c r="AC1297" i="12" s="1"/>
  <c r="AC1296" i="12" s="1"/>
  <c r="AC1295" i="12" s="1"/>
  <c r="AC1294" i="12" s="1"/>
  <c r="AC1293" i="12" s="1"/>
  <c r="AC1292" i="12" s="1"/>
  <c r="AC1291" i="12" s="1"/>
  <c r="AC1290" i="12" s="1"/>
  <c r="AC1289" i="12" s="1"/>
  <c r="AC1288" i="12" s="1"/>
  <c r="AC1287" i="12" s="1"/>
  <c r="AC1286" i="12" s="1"/>
  <c r="AC1285" i="12" s="1"/>
  <c r="AC1284" i="12" s="1"/>
  <c r="AC1283" i="12" s="1"/>
  <c r="AE2132" i="12"/>
  <c r="AE2131" i="12" s="1"/>
  <c r="AE2130" i="12" s="1"/>
  <c r="AE2129" i="12" s="1"/>
  <c r="AE2128" i="12" s="1"/>
  <c r="AE2127" i="12" s="1"/>
  <c r="AE2126" i="12" s="1"/>
  <c r="AE2125" i="12" s="1"/>
  <c r="AE2124" i="12" s="1"/>
  <c r="AE1812" i="12"/>
  <c r="AE1811" i="12" s="1"/>
  <c r="AE1810" i="12" s="1"/>
  <c r="AE1809" i="12" s="1"/>
  <c r="AE1808" i="12" s="1"/>
  <c r="AE1807" i="12" s="1"/>
  <c r="AE1806" i="12" s="1"/>
  <c r="AE1805" i="12" s="1"/>
  <c r="AE1804" i="12" s="1"/>
  <c r="AE1803" i="12" s="1"/>
  <c r="AE1802" i="12" s="1"/>
  <c r="AE1801" i="12" s="1"/>
  <c r="AE1800" i="12" s="1"/>
  <c r="AE1799" i="12" s="1"/>
  <c r="AE1798" i="12" s="1"/>
  <c r="AE1797" i="12" s="1"/>
  <c r="AE1796" i="12" s="1"/>
  <c r="AE1795" i="12" s="1"/>
  <c r="AE1794" i="12" s="1"/>
  <c r="AE1793" i="12" s="1"/>
  <c r="AE1792" i="12" s="1"/>
  <c r="AE1791" i="12" s="1"/>
  <c r="AE1790" i="12" s="1"/>
  <c r="AE1789" i="12" s="1"/>
  <c r="AE1788" i="12" s="1"/>
  <c r="AE1787" i="12" s="1"/>
  <c r="AE1786" i="12" s="1"/>
  <c r="AE1785" i="12" s="1"/>
  <c r="AE1784" i="12" s="1"/>
  <c r="AE1783" i="12" s="1"/>
  <c r="AD865" i="12"/>
  <c r="AE1642" i="12"/>
  <c r="AE1641" i="12" s="1"/>
  <c r="AE1640" i="12" s="1"/>
  <c r="AE1639" i="12" s="1"/>
  <c r="AE1638" i="12" s="1"/>
  <c r="AE1637" i="12" s="1"/>
  <c r="AE1636" i="12" s="1"/>
  <c r="AE1635" i="12" s="1"/>
  <c r="AE1634" i="12" s="1"/>
  <c r="AE1633" i="12" s="1"/>
  <c r="AD1392" i="12"/>
  <c r="AE2262" i="12"/>
  <c r="AE2261" i="12" s="1"/>
  <c r="AE2260" i="12" s="1"/>
  <c r="AE2259" i="12" s="1"/>
  <c r="AE2258" i="12" s="1"/>
  <c r="AE2257" i="12" s="1"/>
  <c r="AE2256" i="12" s="1"/>
  <c r="AE2255" i="12" s="1"/>
  <c r="AE2254" i="12" s="1"/>
  <c r="AE2253" i="12" s="1"/>
  <c r="AE2252" i="12" s="1"/>
  <c r="AE2251" i="12" s="1"/>
  <c r="AE2250" i="12" s="1"/>
  <c r="AE2249" i="12" s="1"/>
  <c r="AE2248" i="12" s="1"/>
  <c r="AE2247" i="12" s="1"/>
  <c r="AE2246" i="12" s="1"/>
  <c r="AE2245" i="12" s="1"/>
  <c r="AE2244" i="12" s="1"/>
  <c r="AE2243" i="12" s="1"/>
  <c r="AE2242" i="12" s="1"/>
  <c r="AE2241" i="12" s="1"/>
  <c r="AE2240" i="12" s="1"/>
  <c r="AE2239" i="12" s="1"/>
  <c r="AE2238" i="12" s="1"/>
  <c r="AE2237" i="12" s="1"/>
  <c r="AE2236" i="12" s="1"/>
  <c r="AE2235" i="12" s="1"/>
  <c r="AE2234" i="12" s="1"/>
  <c r="AE2233" i="12" s="1"/>
  <c r="AE2232" i="12" s="1"/>
  <c r="AE2231" i="12" s="1"/>
  <c r="AE2230" i="12" s="1"/>
  <c r="AE2229" i="12" s="1"/>
  <c r="AE2228" i="12" s="1"/>
  <c r="AE2227" i="12" s="1"/>
  <c r="AE2226" i="12" s="1"/>
  <c r="AE2225" i="12" s="1"/>
  <c r="AE2224" i="12" s="1"/>
  <c r="AE2223" i="12" s="1"/>
  <c r="AE2222" i="12" s="1"/>
  <c r="AE2221" i="12" s="1"/>
  <c r="AE2220" i="12" s="1"/>
  <c r="AE2219" i="12" s="1"/>
  <c r="AE2218" i="12" s="1"/>
  <c r="AE2217" i="12" s="1"/>
  <c r="AE2216" i="12" s="1"/>
  <c r="AE2215" i="12" s="1"/>
  <c r="AE2214" i="12" s="1"/>
  <c r="AE2213" i="12" s="1"/>
  <c r="AE2212" i="12" s="1"/>
  <c r="AE2211" i="12" s="1"/>
  <c r="AE2210" i="12" s="1"/>
  <c r="AE2209" i="12" s="1"/>
  <c r="AE2208" i="12" s="1"/>
  <c r="AE2207" i="12" s="1"/>
  <c r="AE2206" i="12" s="1"/>
  <c r="AE2205" i="12" s="1"/>
  <c r="AE2204" i="12" s="1"/>
  <c r="AE2203" i="12" s="1"/>
  <c r="AE2202" i="12" s="1"/>
  <c r="AE2201" i="12" s="1"/>
  <c r="AE2200" i="12" s="1"/>
  <c r="AE2199" i="12" s="1"/>
  <c r="AE2198" i="12" s="1"/>
  <c r="AE2197" i="12" s="1"/>
  <c r="AE2196" i="12" s="1"/>
  <c r="AE2195" i="12" s="1"/>
  <c r="AE2194" i="12" s="1"/>
  <c r="AE2193" i="12" s="1"/>
  <c r="AC1692" i="12"/>
  <c r="AC1691" i="12" s="1"/>
  <c r="AC1690" i="12" s="1"/>
  <c r="AC1689" i="12" s="1"/>
  <c r="AC1688" i="12" s="1"/>
  <c r="AC1687" i="12" s="1"/>
  <c r="AC1686" i="12" s="1"/>
  <c r="AC1685" i="12" s="1"/>
  <c r="AC1684" i="12" s="1"/>
  <c r="AC1552" i="12"/>
  <c r="AC1551" i="12" s="1"/>
  <c r="AC1550" i="12" s="1"/>
  <c r="AC1549" i="12" s="1"/>
  <c r="AC1548" i="12" s="1"/>
  <c r="AC1547" i="12" s="1"/>
  <c r="AC1546" i="12" s="1"/>
  <c r="AC1545" i="12" s="1"/>
  <c r="AC1544" i="12" s="1"/>
  <c r="AC1543" i="12" s="1"/>
  <c r="AC1542" i="12" s="1"/>
  <c r="AC1541" i="12" s="1"/>
  <c r="AC1540" i="12" s="1"/>
  <c r="AC1539" i="12" s="1"/>
  <c r="AC1538" i="12" s="1"/>
  <c r="AC1537" i="12" s="1"/>
  <c r="AC1536" i="12" s="1"/>
  <c r="AC1535" i="12" s="1"/>
  <c r="AC1534" i="12" s="1"/>
  <c r="AC1533" i="12" s="1"/>
  <c r="AC1532" i="12" s="1"/>
  <c r="AC1531" i="12" s="1"/>
  <c r="AC1530" i="12" s="1"/>
  <c r="AC1529" i="12" s="1"/>
  <c r="AC1528" i="12" s="1"/>
  <c r="AC1527" i="12" s="1"/>
  <c r="AC1526" i="12" s="1"/>
  <c r="AC1525" i="12" s="1"/>
  <c r="AC1524" i="12" s="1"/>
  <c r="AC1523" i="12" s="1"/>
  <c r="AC1522" i="12" s="1"/>
  <c r="AC1521" i="12" s="1"/>
  <c r="AC1520" i="12" s="1"/>
  <c r="AC1519" i="12" s="1"/>
  <c r="AC1518" i="12" s="1"/>
  <c r="AC1517" i="12" s="1"/>
  <c r="AC1516" i="12" s="1"/>
  <c r="AC1515" i="12" s="1"/>
  <c r="AC1514" i="12" s="1"/>
  <c r="AC1513" i="12" s="1"/>
  <c r="AC1512" i="12" s="1"/>
  <c r="AC1511" i="12" s="1"/>
  <c r="AC1510" i="12" s="1"/>
  <c r="AC1509" i="12" s="1"/>
  <c r="AC1508" i="12" s="1"/>
  <c r="AC1507" i="12" s="1"/>
  <c r="AC1506" i="12" s="1"/>
  <c r="AC1505" i="12" s="1"/>
  <c r="AC1504" i="12" s="1"/>
  <c r="AC1503" i="12" s="1"/>
  <c r="AC1502" i="12" s="1"/>
  <c r="AC1501" i="12" s="1"/>
  <c r="AC1500" i="12" s="1"/>
  <c r="AC1499" i="12" s="1"/>
  <c r="AC1498" i="12" s="1"/>
  <c r="AC1497" i="12" s="1"/>
  <c r="AC1496" i="12" s="1"/>
  <c r="AC1495" i="12" s="1"/>
  <c r="AC1494" i="12" s="1"/>
  <c r="AC1493" i="12" s="1"/>
  <c r="AC1492" i="12" s="1"/>
  <c r="AD1742" i="12"/>
  <c r="AE2192" i="12"/>
  <c r="AE2191" i="12" s="1"/>
  <c r="AE2190" i="12" s="1"/>
  <c r="AE2189" i="12" s="1"/>
  <c r="AE2188" i="12" s="1"/>
  <c r="AE2187" i="12" s="1"/>
  <c r="AE2186" i="12" s="1"/>
  <c r="AE2185" i="12" s="1"/>
  <c r="AE2184" i="12" s="1"/>
  <c r="AE2183" i="12" s="1"/>
  <c r="AD1892" i="12"/>
  <c r="AD1042" i="12"/>
  <c r="AD2332" i="12"/>
  <c r="AE2052" i="12"/>
  <c r="AE2051" i="12" s="1"/>
  <c r="AE2050" i="12" s="1"/>
  <c r="AE2049" i="12" s="1"/>
  <c r="AE2048" i="12" s="1"/>
  <c r="AE2047" i="12" s="1"/>
  <c r="AE2046" i="12" s="1"/>
  <c r="AE2045" i="12" s="1"/>
  <c r="AE2044" i="12" s="1"/>
  <c r="AE2043" i="12" s="1"/>
  <c r="AE2042" i="12" s="1"/>
  <c r="AE2041" i="12" s="1"/>
  <c r="AE2040" i="12" s="1"/>
  <c r="AE2039" i="12" s="1"/>
  <c r="AE2038" i="12" s="1"/>
  <c r="AE2037" i="12" s="1"/>
  <c r="AE2036" i="12" s="1"/>
  <c r="AE2035" i="12" s="1"/>
  <c r="AE2034" i="12" s="1"/>
  <c r="AE2033" i="12" s="1"/>
  <c r="AE1422" i="12"/>
  <c r="AE1421" i="12" s="1"/>
  <c r="AE1420" i="12" s="1"/>
  <c r="AE1419" i="12" s="1"/>
  <c r="AE1418" i="12" s="1"/>
  <c r="AE1417" i="12" s="1"/>
  <c r="AE1416" i="12" s="1"/>
  <c r="AE1415" i="12" s="1"/>
  <c r="AE1414" i="12" s="1"/>
  <c r="AE1413" i="12" s="1"/>
  <c r="AE1412" i="12" s="1"/>
  <c r="AE1411" i="12" s="1"/>
  <c r="AE1410" i="12" s="1"/>
  <c r="AE1409" i="12" s="1"/>
  <c r="AE1408" i="12" s="1"/>
  <c r="AE1407" i="12" s="1"/>
  <c r="AE1406" i="12" s="1"/>
  <c r="AE1405" i="12" s="1"/>
  <c r="AE1404" i="12" s="1"/>
  <c r="AE1403" i="12" s="1"/>
  <c r="AE1402" i="12" s="1"/>
  <c r="AE1401" i="12" s="1"/>
  <c r="AE1400" i="12" s="1"/>
  <c r="AE1399" i="12" s="1"/>
  <c r="AE1398" i="12" s="1"/>
  <c r="AE1397" i="12" s="1"/>
  <c r="AE1396" i="12" s="1"/>
  <c r="AE1395" i="12" s="1"/>
  <c r="AE1394" i="12" s="1"/>
  <c r="AE1393" i="12" s="1"/>
  <c r="AE2392" i="12"/>
  <c r="AE2391" i="12" s="1"/>
  <c r="AE2390" i="12" s="1"/>
  <c r="AE2389" i="12" s="1"/>
  <c r="AE2388" i="12" s="1"/>
  <c r="AE2387" i="12" s="1"/>
  <c r="AE2386" i="12" s="1"/>
  <c r="AE2385" i="12" s="1"/>
  <c r="AE2384" i="12" s="1"/>
  <c r="AE2383" i="12" s="1"/>
  <c r="AC1752" i="12"/>
  <c r="AC1751" i="12" s="1"/>
  <c r="AC1750" i="12" s="1"/>
  <c r="AC1749" i="12" s="1"/>
  <c r="AC1748" i="12" s="1"/>
  <c r="AC1747" i="12" s="1"/>
  <c r="AC1746" i="12" s="1"/>
  <c r="AC1745" i="12" s="1"/>
  <c r="AC1744" i="12" s="1"/>
  <c r="AC1743" i="12" s="1"/>
  <c r="AC2683" i="12"/>
  <c r="AC2682" i="12" s="1"/>
  <c r="AC2681" i="12" s="1"/>
  <c r="AC2680" i="12" s="1"/>
  <c r="AC2679" i="12" s="1"/>
  <c r="AC2678" i="12" s="1"/>
  <c r="AC2677" i="12" s="1"/>
  <c r="AC2676" i="12" s="1"/>
  <c r="AC2675" i="12" s="1"/>
  <c r="AC2674" i="12" s="1"/>
  <c r="AC2673" i="12" s="1"/>
  <c r="AC2672" i="12" s="1"/>
  <c r="AC2671" i="12" s="1"/>
  <c r="AC2670" i="12" s="1"/>
  <c r="AC2669" i="12" s="1"/>
  <c r="AC2668" i="12" s="1"/>
  <c r="AC2667" i="12" s="1"/>
  <c r="AC2666" i="12" s="1"/>
  <c r="AC2665" i="12" s="1"/>
  <c r="AC2664" i="12" s="1"/>
  <c r="AC2663" i="12" s="1"/>
  <c r="AC2662" i="12" s="1"/>
  <c r="AC2661" i="12" s="1"/>
  <c r="AC2660" i="12" s="1"/>
  <c r="AC2659" i="12" s="1"/>
  <c r="AC2658" i="12" s="1"/>
  <c r="AC2657" i="12" s="1"/>
  <c r="AC2656" i="12" s="1"/>
  <c r="AC2655" i="12" s="1"/>
  <c r="AC2654" i="12" s="1"/>
  <c r="AC2653" i="12" s="1"/>
  <c r="AC2652" i="12" s="1"/>
  <c r="AC2442" i="12"/>
  <c r="AC2441" i="12" s="1"/>
  <c r="AC2440" i="12" s="1"/>
  <c r="AC2439" i="12" s="1"/>
  <c r="AC2438" i="12" s="1"/>
  <c r="AC2437" i="12" s="1"/>
  <c r="AC2436" i="12" s="1"/>
  <c r="AC2435" i="12" s="1"/>
  <c r="AC2434" i="12" s="1"/>
  <c r="AC2433" i="12" s="1"/>
  <c r="AC2432" i="12" s="1"/>
  <c r="AC2431" i="12" s="1"/>
  <c r="AC2430" i="12" s="1"/>
  <c r="AC2429" i="12" s="1"/>
  <c r="AC2428" i="12" s="1"/>
  <c r="AC2427" i="12" s="1"/>
  <c r="AC2426" i="12" s="1"/>
  <c r="AC2425" i="12" s="1"/>
  <c r="AC2424" i="12" s="1"/>
  <c r="AC2423" i="12" s="1"/>
  <c r="AC2422" i="12" s="1"/>
  <c r="AC2421" i="12" s="1"/>
  <c r="AC2420" i="12" s="1"/>
  <c r="AC2419" i="12" s="1"/>
  <c r="AC2418" i="12" s="1"/>
  <c r="AC2417" i="12" s="1"/>
  <c r="AC2416" i="12" s="1"/>
  <c r="AC2415" i="12" s="1"/>
  <c r="AC2414" i="12" s="1"/>
  <c r="AC2413" i="12" s="1"/>
  <c r="AD2172" i="12"/>
  <c r="AE763" i="12"/>
  <c r="AE762" i="12" s="1"/>
  <c r="AE761" i="12" s="1"/>
  <c r="AE760" i="12" s="1"/>
  <c r="AE759" i="12" s="1"/>
  <c r="AE758" i="12" s="1"/>
  <c r="AE757" i="12" s="1"/>
  <c r="AE756" i="12" s="1"/>
  <c r="AE755" i="12" s="1"/>
  <c r="AE754" i="12" s="1"/>
  <c r="AE753" i="12" s="1"/>
  <c r="AE752" i="12" s="1"/>
  <c r="AE751" i="12" s="1"/>
  <c r="AE750" i="12" s="1"/>
  <c r="AE749" i="12" s="1"/>
  <c r="AE748" i="12" s="1"/>
  <c r="AE747" i="12" s="1"/>
  <c r="AE746" i="12" s="1"/>
  <c r="AE745" i="12" s="1"/>
  <c r="AE744" i="12" s="1"/>
  <c r="AE743" i="12" s="1"/>
  <c r="AE742" i="12" s="1"/>
  <c r="AE741" i="12" s="1"/>
  <c r="AE740" i="12" s="1"/>
  <c r="AE739" i="12" s="1"/>
  <c r="AE738" i="12" s="1"/>
  <c r="AE737" i="12" s="1"/>
  <c r="AE736" i="12" s="1"/>
  <c r="AE735" i="12" s="1"/>
  <c r="AE734" i="12" s="1"/>
  <c r="AE733" i="12" s="1"/>
  <c r="AE732" i="12" s="1"/>
  <c r="AE731" i="12" s="1"/>
  <c r="AE730" i="12" s="1"/>
  <c r="AE729" i="12" s="1"/>
  <c r="AE728" i="12" s="1"/>
  <c r="AE727" i="12" s="1"/>
  <c r="AE726" i="12" s="1"/>
  <c r="AD725" i="12"/>
  <c r="AC1683" i="12"/>
  <c r="AC1682" i="12" s="1"/>
  <c r="AC1681" i="12" s="1"/>
  <c r="AC1680" i="12" s="1"/>
  <c r="AC1679" i="12" s="1"/>
  <c r="AC1678" i="12" s="1"/>
  <c r="AC1677" i="12" s="1"/>
  <c r="AC1676" i="12" s="1"/>
  <c r="AC1675" i="12" s="1"/>
  <c r="AC1674" i="12" s="1"/>
  <c r="AC1673" i="12" s="1"/>
  <c r="AD2613" i="12"/>
  <c r="AE1782" i="12"/>
  <c r="AE1781" i="12" s="1"/>
  <c r="AE1780" i="12" s="1"/>
  <c r="AE1779" i="12" s="1"/>
  <c r="AE1778" i="12" s="1"/>
  <c r="AE1777" i="12" s="1"/>
  <c r="AE1776" i="12" s="1"/>
  <c r="AE1775" i="12" s="1"/>
  <c r="AE1774" i="12" s="1"/>
  <c r="AD1912" i="12"/>
  <c r="AD1072" i="12"/>
  <c r="AC1852" i="12"/>
  <c r="AC1851" i="12" s="1"/>
  <c r="AC1850" i="12" s="1"/>
  <c r="AC1849" i="12" s="1"/>
  <c r="AC1848" i="12" s="1"/>
  <c r="AC1847" i="12" s="1"/>
  <c r="AC1846" i="12" s="1"/>
  <c r="AC1845" i="12" s="1"/>
  <c r="AC1844" i="12" s="1"/>
  <c r="AE2342" i="12"/>
  <c r="AE2341" i="12" s="1"/>
  <c r="AE2340" i="12" s="1"/>
  <c r="AE2339" i="12" s="1"/>
  <c r="AE2338" i="12" s="1"/>
  <c r="AE2337" i="12" s="1"/>
  <c r="AE2336" i="12" s="1"/>
  <c r="AE2335" i="12" s="1"/>
  <c r="AE2334" i="12" s="1"/>
  <c r="AE2333" i="12" s="1"/>
  <c r="AD1713" i="12"/>
  <c r="AE2062" i="12"/>
  <c r="AE2061" i="12" s="1"/>
  <c r="AE2060" i="12" s="1"/>
  <c r="AE2059" i="12" s="1"/>
  <c r="AE2058" i="12" s="1"/>
  <c r="AE2057" i="12" s="1"/>
  <c r="AE2056" i="12" s="1"/>
  <c r="AE2055" i="12" s="1"/>
  <c r="AE2054" i="12" s="1"/>
  <c r="AE2053" i="12" s="1"/>
  <c r="AC1572" i="12"/>
  <c r="AC1571" i="12" s="1"/>
  <c r="AC1570" i="12" s="1"/>
  <c r="AC1569" i="12" s="1"/>
  <c r="AC1568" i="12" s="1"/>
  <c r="AC1567" i="12" s="1"/>
  <c r="AC1566" i="12" s="1"/>
  <c r="AC1565" i="12" s="1"/>
  <c r="AC1564" i="12" s="1"/>
  <c r="AC1563" i="12" s="1"/>
  <c r="AC1562" i="12" s="1"/>
  <c r="AC1762" i="12"/>
  <c r="AC1761" i="12" s="1"/>
  <c r="AC1760" i="12" s="1"/>
  <c r="AC1759" i="12" s="1"/>
  <c r="AC1758" i="12" s="1"/>
  <c r="AC1757" i="12" s="1"/>
  <c r="AC1756" i="12" s="1"/>
  <c r="AC1755" i="12" s="1"/>
  <c r="AC1754" i="12" s="1"/>
  <c r="AC1753" i="12" s="1"/>
  <c r="AD1973" i="12"/>
  <c r="AE2482" i="12"/>
  <c r="AE2481" i="12" s="1"/>
  <c r="AE2480" i="12" s="1"/>
  <c r="AE2479" i="12" s="1"/>
  <c r="AE2478" i="12" s="1"/>
  <c r="AE2477" i="12" s="1"/>
  <c r="AE2476" i="12" s="1"/>
  <c r="AE2475" i="12" s="1"/>
  <c r="AE2474" i="12" s="1"/>
  <c r="AD1322" i="12"/>
  <c r="AC2342" i="12"/>
  <c r="AC2341" i="12" s="1"/>
  <c r="AC2340" i="12" s="1"/>
  <c r="AC2339" i="12" s="1"/>
  <c r="AC2338" i="12" s="1"/>
  <c r="AC2337" i="12" s="1"/>
  <c r="AC2336" i="12" s="1"/>
  <c r="AC2335" i="12" s="1"/>
  <c r="AC2334" i="12" s="1"/>
  <c r="AC2333" i="12" s="1"/>
  <c r="AC1672" i="12"/>
  <c r="AC1671" i="12" s="1"/>
  <c r="AC1670" i="12" s="1"/>
  <c r="AC1669" i="12" s="1"/>
  <c r="AC1668" i="12" s="1"/>
  <c r="AC1667" i="12" s="1"/>
  <c r="AC1666" i="12" s="1"/>
  <c r="AC1665" i="12" s="1"/>
  <c r="AC1664" i="12" s="1"/>
  <c r="AC1663" i="12" s="1"/>
  <c r="AC1662" i="12" s="1"/>
  <c r="AC1661" i="12" s="1"/>
  <c r="AC1660" i="12" s="1"/>
  <c r="AC1659" i="12" s="1"/>
  <c r="AC1658" i="12" s="1"/>
  <c r="AC1657" i="12" s="1"/>
  <c r="AC1656" i="12" s="1"/>
  <c r="AC1655" i="12" s="1"/>
  <c r="AC1654" i="12" s="1"/>
  <c r="AC1653" i="12" s="1"/>
  <c r="AC1652" i="12" s="1"/>
  <c r="AC1651" i="12" s="1"/>
  <c r="AC1650" i="12" s="1"/>
  <c r="AC1649" i="12" s="1"/>
  <c r="AC1648" i="12" s="1"/>
  <c r="AC1647" i="12" s="1"/>
  <c r="AC1646" i="12" s="1"/>
  <c r="AC1645" i="12" s="1"/>
  <c r="AC1644" i="12" s="1"/>
  <c r="AC1643" i="12" s="1"/>
  <c r="AD1282" i="12"/>
  <c r="AD1491" i="12"/>
  <c r="AD2162" i="12"/>
  <c r="AC1963" i="12"/>
  <c r="AC1962" i="12" s="1"/>
  <c r="AC1961" i="12" s="1"/>
  <c r="AC1960" i="12" s="1"/>
  <c r="AC1959" i="12" s="1"/>
  <c r="AC1958" i="12" s="1"/>
  <c r="AC1957" i="12" s="1"/>
  <c r="AC1956" i="12" s="1"/>
  <c r="AC1955" i="12" s="1"/>
  <c r="AC1954" i="12" s="1"/>
  <c r="AC1953" i="12" s="1"/>
  <c r="AC1822" i="12"/>
  <c r="AC1821" i="12" s="1"/>
  <c r="AC1820" i="12" s="1"/>
  <c r="AC1819" i="12" s="1"/>
  <c r="AC1818" i="12" s="1"/>
  <c r="AC1817" i="12" s="1"/>
  <c r="AC1816" i="12" s="1"/>
  <c r="AC1815" i="12" s="1"/>
  <c r="AC1814" i="12" s="1"/>
  <c r="AC1813" i="12" s="1"/>
  <c r="AD2023" i="12"/>
  <c r="AD1683" i="12"/>
  <c r="AC2062" i="12"/>
  <c r="AC2061" i="12" s="1"/>
  <c r="AC2060" i="12" s="1"/>
  <c r="AC2059" i="12" s="1"/>
  <c r="AC2058" i="12" s="1"/>
  <c r="AC2057" i="12" s="1"/>
  <c r="AC2056" i="12" s="1"/>
  <c r="AC2055" i="12" s="1"/>
  <c r="AC2054" i="12" s="1"/>
  <c r="AC2053" i="12" s="1"/>
  <c r="AD1613" i="12"/>
  <c r="AD2262" i="12"/>
  <c r="AE1392" i="12"/>
  <c r="AE1391" i="12" s="1"/>
  <c r="AE1390" i="12" s="1"/>
  <c r="AE1389" i="12" s="1"/>
  <c r="AE1388" i="12" s="1"/>
  <c r="AE1387" i="12" s="1"/>
  <c r="AE1386" i="12" s="1"/>
  <c r="AE1385" i="12" s="1"/>
  <c r="AE1384" i="12" s="1"/>
  <c r="AE1383" i="12" s="1"/>
  <c r="AE1382" i="12" s="1"/>
  <c r="AE1381" i="12" s="1"/>
  <c r="AE1380" i="12" s="1"/>
  <c r="AE1379" i="12" s="1"/>
  <c r="AE1378" i="12" s="1"/>
  <c r="AE1377" i="12" s="1"/>
  <c r="AE1376" i="12" s="1"/>
  <c r="AE1375" i="12" s="1"/>
  <c r="AE1374" i="12" s="1"/>
  <c r="AE1373" i="12" s="1"/>
  <c r="AE1372" i="12" s="1"/>
  <c r="AE1371" i="12" s="1"/>
  <c r="AE1370" i="12" s="1"/>
  <c r="AE1369" i="12" s="1"/>
  <c r="AE1368" i="12" s="1"/>
  <c r="AE1367" i="12" s="1"/>
  <c r="AE1366" i="12" s="1"/>
  <c r="AE1365" i="12" s="1"/>
  <c r="AE1364" i="12" s="1"/>
  <c r="AE1363" i="12" s="1"/>
  <c r="AE1362" i="12" s="1"/>
  <c r="AE1361" i="12" s="1"/>
  <c r="AE1360" i="12" s="1"/>
  <c r="AE1359" i="12" s="1"/>
  <c r="AE1358" i="12" s="1"/>
  <c r="AE1357" i="12" s="1"/>
  <c r="AE1356" i="12" s="1"/>
  <c r="AE1355" i="12" s="1"/>
  <c r="AE1354" i="12" s="1"/>
  <c r="AC2651" i="12"/>
  <c r="AC2650" i="12" s="1"/>
  <c r="AC2649" i="12" s="1"/>
  <c r="AC2648" i="12" s="1"/>
  <c r="AC2647" i="12" s="1"/>
  <c r="AC2646" i="12" s="1"/>
  <c r="AC2645" i="12" s="1"/>
  <c r="AC2644" i="12" s="1"/>
  <c r="AC2643" i="12" s="1"/>
  <c r="AC2642" i="12" s="1"/>
  <c r="AC2641" i="12" s="1"/>
  <c r="AC2640" i="12" s="1"/>
  <c r="AC2639" i="12" s="1"/>
  <c r="AC2638" i="12" s="1"/>
  <c r="AC2637" i="12" s="1"/>
  <c r="AC2636" i="12" s="1"/>
  <c r="AC2635" i="12" s="1"/>
  <c r="AC2634" i="12" s="1"/>
  <c r="AC2633" i="12" s="1"/>
  <c r="AC2632" i="12" s="1"/>
  <c r="AC2631" i="12" s="1"/>
  <c r="AC2630" i="12" s="1"/>
  <c r="AC2629" i="12" s="1"/>
  <c r="AC2628" i="12" s="1"/>
  <c r="AC2627" i="12" s="1"/>
  <c r="AC2626" i="12" s="1"/>
  <c r="AC2625" i="12" s="1"/>
  <c r="AC2624" i="12" s="1"/>
  <c r="AC2623" i="12" s="1"/>
  <c r="AC2622" i="12" s="1"/>
  <c r="AC2621" i="12" s="1"/>
  <c r="AC2620" i="12" s="1"/>
  <c r="AC2619" i="12" s="1"/>
  <c r="AC2618" i="12" s="1"/>
  <c r="AC2617" i="12" s="1"/>
  <c r="AC2616" i="12" s="1"/>
  <c r="AC2615" i="12" s="1"/>
  <c r="AC2614" i="12" s="1"/>
  <c r="AD2092" i="12"/>
  <c r="AC1462" i="12"/>
  <c r="AC1461" i="12" s="1"/>
  <c r="AC1460" i="12" s="1"/>
  <c r="AC1459" i="12" s="1"/>
  <c r="AC1458" i="12" s="1"/>
  <c r="AC1457" i="12" s="1"/>
  <c r="AC1456" i="12" s="1"/>
  <c r="AC1455" i="12" s="1"/>
  <c r="AC1454" i="12" s="1"/>
  <c r="AC1453" i="12" s="1"/>
  <c r="AC1452" i="12" s="1"/>
  <c r="AC1451" i="12" s="1"/>
  <c r="AC1450" i="12" s="1"/>
  <c r="AC1449" i="12" s="1"/>
  <c r="AC1448" i="12" s="1"/>
  <c r="AC1447" i="12" s="1"/>
  <c r="AC1446" i="12" s="1"/>
  <c r="AC1445" i="12" s="1"/>
  <c r="AC1444" i="12" s="1"/>
  <c r="AC1443" i="12" s="1"/>
  <c r="AC1442" i="12" s="1"/>
  <c r="AC1441" i="12" s="1"/>
  <c r="AC1440" i="12" s="1"/>
  <c r="AC1439" i="12" s="1"/>
  <c r="AC1438" i="12" s="1"/>
  <c r="AC1437" i="12" s="1"/>
  <c r="AC1436" i="12" s="1"/>
  <c r="AC1435" i="12" s="1"/>
  <c r="AC1434" i="12" s="1"/>
  <c r="AC1433" i="12" s="1"/>
  <c r="AC1432" i="12" s="1"/>
  <c r="AC1431" i="12" s="1"/>
  <c r="AC1430" i="12" s="1"/>
  <c r="AC1429" i="12" s="1"/>
  <c r="AC1428" i="12" s="1"/>
  <c r="AC1427" i="12" s="1"/>
  <c r="AC1426" i="12" s="1"/>
  <c r="AC1425" i="12" s="1"/>
  <c r="AC1424" i="12" s="1"/>
  <c r="AC1423" i="12" s="1"/>
  <c r="AD1422" i="12"/>
  <c r="AD1843" i="12"/>
  <c r="AE2332" i="12"/>
  <c r="AE2331" i="12" s="1"/>
  <c r="AE2330" i="12" s="1"/>
  <c r="AE2329" i="12" s="1"/>
  <c r="AE2328" i="12" s="1"/>
  <c r="AE2327" i="12" s="1"/>
  <c r="AE2326" i="12" s="1"/>
  <c r="AE2325" i="12" s="1"/>
  <c r="AE2324" i="12" s="1"/>
  <c r="AE2323" i="12" s="1"/>
  <c r="AE2322" i="12" s="1"/>
  <c r="AE2321" i="12" s="1"/>
  <c r="AE2320" i="12" s="1"/>
  <c r="AE2319" i="12" s="1"/>
  <c r="AE2318" i="12" s="1"/>
  <c r="AE2317" i="12" s="1"/>
  <c r="AE2316" i="12" s="1"/>
  <c r="AE2315" i="12" s="1"/>
  <c r="AE2314" i="12" s="1"/>
  <c r="AE2313" i="12" s="1"/>
  <c r="AE2312" i="12" s="1"/>
  <c r="AE2311" i="12" s="1"/>
  <c r="AE2310" i="12" s="1"/>
  <c r="AE2309" i="12" s="1"/>
  <c r="AE2308" i="12" s="1"/>
  <c r="AE2307" i="12" s="1"/>
  <c r="AE2306" i="12" s="1"/>
  <c r="AE2305" i="12" s="1"/>
  <c r="AE2304" i="12" s="1"/>
  <c r="AE2303" i="12" s="1"/>
  <c r="AE2302" i="12" s="1"/>
  <c r="AE2301" i="12" s="1"/>
  <c r="AE2300" i="12" s="1"/>
  <c r="AE2299" i="12" s="1"/>
  <c r="AE2298" i="12" s="1"/>
  <c r="AE2297" i="12" s="1"/>
  <c r="AE2296" i="12" s="1"/>
  <c r="AE2295" i="12" s="1"/>
  <c r="AE2294" i="12" s="1"/>
  <c r="AE2293" i="12" s="1"/>
  <c r="AE2292" i="12" s="1"/>
  <c r="AE2291" i="12" s="1"/>
  <c r="AE2290" i="12" s="1"/>
  <c r="AE2289" i="12" s="1"/>
  <c r="AE2288" i="12" s="1"/>
  <c r="AE2287" i="12" s="1"/>
  <c r="AE2286" i="12" s="1"/>
  <c r="AE2285" i="12" s="1"/>
  <c r="AE2284" i="12" s="1"/>
  <c r="AE2283" i="12" s="1"/>
  <c r="AE2282" i="12" s="1"/>
  <c r="AE2281" i="12" s="1"/>
  <c r="AE2280" i="12" s="1"/>
  <c r="AE2279" i="12" s="1"/>
  <c r="AE2278" i="12" s="1"/>
  <c r="AE2277" i="12" s="1"/>
  <c r="AE2276" i="12" s="1"/>
  <c r="AE2275" i="12" s="1"/>
  <c r="AE2274" i="12" s="1"/>
  <c r="AE2273" i="12" s="1"/>
  <c r="AE2272" i="12" s="1"/>
  <c r="AE2271" i="12" s="1"/>
  <c r="AE2270" i="12" s="1"/>
  <c r="AE2269" i="12" s="1"/>
  <c r="AE2268" i="12" s="1"/>
  <c r="AE2267" i="12" s="1"/>
  <c r="AE2266" i="12" s="1"/>
  <c r="AE2265" i="12" s="1"/>
  <c r="AE2264" i="12" s="1"/>
  <c r="AE2263" i="12" s="1"/>
  <c r="AC1703" i="12"/>
  <c r="AC1702" i="12" s="1"/>
  <c r="AC1701" i="12" s="1"/>
  <c r="AC1700" i="12" s="1"/>
  <c r="AC1699" i="12" s="1"/>
  <c r="AC1698" i="12" s="1"/>
  <c r="AC1697" i="12" s="1"/>
  <c r="AC1696" i="12" s="1"/>
  <c r="AC1695" i="12" s="1"/>
  <c r="AC1694" i="12" s="1"/>
  <c r="AC1693" i="12" s="1"/>
  <c r="AD1561" i="12"/>
  <c r="AD1192" i="12"/>
  <c r="AD1752" i="12"/>
  <c r="AE2412" i="12"/>
  <c r="AE2411" i="12" s="1"/>
  <c r="AE2410" i="12" s="1"/>
  <c r="AE2409" i="12" s="1"/>
  <c r="AE2408" i="12" s="1"/>
  <c r="AE2407" i="12" s="1"/>
  <c r="AE2406" i="12" s="1"/>
  <c r="AE2405" i="12" s="1"/>
  <c r="AE2404" i="12" s="1"/>
  <c r="AC2113" i="12"/>
  <c r="AC2112" i="12" s="1"/>
  <c r="AC2111" i="12" s="1"/>
  <c r="AC2110" i="12" s="1"/>
  <c r="AC2109" i="12" s="1"/>
  <c r="AC2108" i="12" s="1"/>
  <c r="AC2107" i="12" s="1"/>
  <c r="AC2106" i="12" s="1"/>
  <c r="AC2105" i="12" s="1"/>
  <c r="AC2104" i="12" s="1"/>
  <c r="AC2103" i="12" s="1"/>
  <c r="AC2102" i="12" s="1"/>
  <c r="AC2101" i="12" s="1"/>
  <c r="AC2100" i="12" s="1"/>
  <c r="AC2099" i="12" s="1"/>
  <c r="AC2098" i="12" s="1"/>
  <c r="AC2097" i="12" s="1"/>
  <c r="AC2096" i="12" s="1"/>
  <c r="AC2095" i="12" s="1"/>
  <c r="AC2094" i="12" s="1"/>
  <c r="AC2093" i="12" s="1"/>
  <c r="AE1692" i="12"/>
  <c r="AE1691" i="12" s="1"/>
  <c r="AE1690" i="12" s="1"/>
  <c r="AE1689" i="12" s="1"/>
  <c r="AE1688" i="12" s="1"/>
  <c r="AE1687" i="12" s="1"/>
  <c r="AE1686" i="12" s="1"/>
  <c r="AE1685" i="12" s="1"/>
  <c r="AE1684" i="12" s="1"/>
  <c r="AC2172" i="12"/>
  <c r="AC2171" i="12" s="1"/>
  <c r="AC2170" i="12" s="1"/>
  <c r="AC2169" i="12" s="1"/>
  <c r="AC2168" i="12" s="1"/>
  <c r="AC2167" i="12" s="1"/>
  <c r="AC2166" i="12" s="1"/>
  <c r="AC2165" i="12" s="1"/>
  <c r="AC2164" i="12" s="1"/>
  <c r="AC2163" i="12" s="1"/>
  <c r="AD2382" i="12"/>
  <c r="AD2412" i="12"/>
  <c r="AD2553" i="12"/>
  <c r="Q35" i="9"/>
  <c r="N6" i="9"/>
  <c r="Q27" i="9"/>
  <c r="Q28" i="9" s="1"/>
  <c r="Q29" i="9" s="1"/>
  <c r="Q30" i="9" s="1"/>
  <c r="Q31" i="9" s="1"/>
  <c r="Q32" i="9" s="1"/>
  <c r="Q33" i="9" s="1"/>
  <c r="AC34" i="1"/>
  <c r="L31" i="9" s="1"/>
  <c r="AB34" i="1"/>
  <c r="K31" i="9" s="1"/>
  <c r="AC35" i="1"/>
  <c r="L32" i="9" s="1"/>
  <c r="AB35" i="1"/>
  <c r="K32" i="9" s="1"/>
  <c r="AC39" i="1"/>
  <c r="L36" i="9" s="1"/>
  <c r="AB39" i="1"/>
  <c r="K36" i="9" s="1"/>
  <c r="AC18" i="1"/>
  <c r="AC40" i="1"/>
  <c r="L37" i="9" s="1"/>
  <c r="AD34" i="1"/>
  <c r="AD39" i="1"/>
  <c r="AD35" i="1"/>
  <c r="L33" i="11"/>
  <c r="AA18" i="1"/>
  <c r="AD18" i="1"/>
  <c r="AA40" i="1"/>
  <c r="J37" i="9" s="1"/>
  <c r="AD40" i="1"/>
  <c r="AA34" i="1"/>
  <c r="J31" i="9" s="1"/>
  <c r="AA39" i="1"/>
  <c r="J36" i="9" s="1"/>
  <c r="L21" i="11"/>
  <c r="O21" i="11" s="1"/>
  <c r="L22" i="11"/>
  <c r="O22" i="11" s="1"/>
  <c r="L24" i="11"/>
  <c r="O24" i="11" s="1"/>
  <c r="L19" i="11"/>
  <c r="M19" i="11" s="1"/>
  <c r="L23" i="11"/>
  <c r="O23" i="11" s="1"/>
  <c r="L28" i="11"/>
  <c r="O28" i="11" s="1"/>
  <c r="S28" i="11" s="1"/>
  <c r="BL20" i="9" s="1"/>
  <c r="L27" i="11"/>
  <c r="O27" i="11" s="1"/>
  <c r="S27" i="11" s="1"/>
  <c r="BL19" i="9" s="1"/>
  <c r="L30" i="11"/>
  <c r="L31" i="11"/>
  <c r="L32" i="11"/>
  <c r="L29" i="11"/>
  <c r="O29" i="11" s="1"/>
  <c r="S29" i="11" s="1"/>
  <c r="BL21" i="9" s="1"/>
  <c r="AA35" i="1"/>
  <c r="J32" i="9" s="1"/>
  <c r="O20" i="11"/>
  <c r="O18" i="11"/>
  <c r="S18" i="11" s="1"/>
  <c r="BL10" i="9" s="1"/>
  <c r="J5" i="13"/>
  <c r="O17" i="11"/>
  <c r="S17" i="11" s="1"/>
  <c r="BL9" i="9" s="1"/>
  <c r="BH7" i="9"/>
  <c r="BG7" i="9" s="1"/>
  <c r="BH6" i="9"/>
  <c r="BG6" i="9" s="1"/>
  <c r="M20" i="11"/>
  <c r="M17" i="11"/>
  <c r="AU35" i="1"/>
  <c r="T42" i="11" l="1"/>
  <c r="BM34" i="9" s="1"/>
  <c r="BK34" i="9"/>
  <c r="BJ28" i="9"/>
  <c r="R36" i="11"/>
  <c r="BJ43" i="9"/>
  <c r="R51" i="11"/>
  <c r="T37" i="11"/>
  <c r="BM29" i="9" s="1"/>
  <c r="BK29" i="9"/>
  <c r="T48" i="11"/>
  <c r="BM40" i="9" s="1"/>
  <c r="BK40" i="9"/>
  <c r="T46" i="11"/>
  <c r="BM38" i="9" s="1"/>
  <c r="BK38" i="9"/>
  <c r="T38" i="11"/>
  <c r="BM30" i="9" s="1"/>
  <c r="BK30" i="9"/>
  <c r="BJ36" i="9"/>
  <c r="R44" i="11"/>
  <c r="BJ35" i="9"/>
  <c r="R43" i="11"/>
  <c r="T47" i="11"/>
  <c r="BM39" i="9" s="1"/>
  <c r="BK39" i="9"/>
  <c r="T40" i="11"/>
  <c r="BM32" i="9" s="1"/>
  <c r="BK32" i="9"/>
  <c r="T45" i="11"/>
  <c r="BM37" i="9" s="1"/>
  <c r="BK37" i="9"/>
  <c r="R50" i="11"/>
  <c r="R41" i="11"/>
  <c r="AL4" i="12"/>
  <c r="AL5" i="12"/>
  <c r="AL6" i="12"/>
  <c r="AL7" i="12"/>
  <c r="AL8" i="12"/>
  <c r="AL9" i="12"/>
  <c r="AL10" i="12"/>
  <c r="AL11" i="12"/>
  <c r="AL12" i="12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38" i="12"/>
  <c r="AL39" i="12"/>
  <c r="AL40" i="12"/>
  <c r="AL41" i="12"/>
  <c r="AL42" i="12"/>
  <c r="AL43" i="12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AL65" i="12"/>
  <c r="AL66" i="12"/>
  <c r="AL67" i="12"/>
  <c r="AL68" i="12"/>
  <c r="AL69" i="12"/>
  <c r="AL70" i="12"/>
  <c r="AL71" i="12"/>
  <c r="AL72" i="12"/>
  <c r="AL73" i="12"/>
  <c r="AL74" i="12"/>
  <c r="AL75" i="12"/>
  <c r="AL76" i="12"/>
  <c r="AL77" i="12"/>
  <c r="AL78" i="12"/>
  <c r="AL79" i="12"/>
  <c r="AL80" i="12"/>
  <c r="AL81" i="12"/>
  <c r="AL82" i="12"/>
  <c r="AL83" i="12"/>
  <c r="AL84" i="12"/>
  <c r="AL85" i="12"/>
  <c r="AL86" i="12"/>
  <c r="AL87" i="12"/>
  <c r="AL88" i="12"/>
  <c r="AL89" i="12"/>
  <c r="AL90" i="12"/>
  <c r="AL91" i="12"/>
  <c r="AL92" i="12"/>
  <c r="AL93" i="12"/>
  <c r="AL94" i="12"/>
  <c r="AL95" i="12"/>
  <c r="AL96" i="12"/>
  <c r="AL97" i="12"/>
  <c r="AL98" i="12"/>
  <c r="AL99" i="12"/>
  <c r="AL100" i="12"/>
  <c r="AL101" i="12"/>
  <c r="AL102" i="12"/>
  <c r="AL103" i="12"/>
  <c r="AL104" i="12"/>
  <c r="AL105" i="12"/>
  <c r="AL106" i="12"/>
  <c r="AL107" i="12"/>
  <c r="AL108" i="12"/>
  <c r="AL109" i="12"/>
  <c r="AL110" i="12"/>
  <c r="AL111" i="12"/>
  <c r="AL112" i="12"/>
  <c r="AL113" i="12"/>
  <c r="AL114" i="12"/>
  <c r="AL115" i="12"/>
  <c r="AL116" i="12"/>
  <c r="AL117" i="12"/>
  <c r="AL118" i="12"/>
  <c r="AL119" i="12"/>
  <c r="AL120" i="12"/>
  <c r="AL121" i="12"/>
  <c r="AL122" i="12"/>
  <c r="AL123" i="12"/>
  <c r="AL124" i="12"/>
  <c r="AL125" i="12"/>
  <c r="AL126" i="12"/>
  <c r="AL127" i="12"/>
  <c r="AL128" i="12"/>
  <c r="AL129" i="12"/>
  <c r="AL130" i="12"/>
  <c r="AL131" i="12"/>
  <c r="AL132" i="12"/>
  <c r="AL133" i="12"/>
  <c r="AL134" i="12"/>
  <c r="AL135" i="12"/>
  <c r="AL136" i="12"/>
  <c r="AL137" i="12"/>
  <c r="AL138" i="12"/>
  <c r="AL139" i="12"/>
  <c r="AL140" i="12"/>
  <c r="AL141" i="12"/>
  <c r="AL142" i="12"/>
  <c r="AL143" i="12"/>
  <c r="AL144" i="12"/>
  <c r="AL145" i="12"/>
  <c r="AL146" i="12"/>
  <c r="AL147" i="12"/>
  <c r="AL148" i="12"/>
  <c r="AL149" i="12"/>
  <c r="AL150" i="12"/>
  <c r="AL151" i="12"/>
  <c r="AL152" i="12"/>
  <c r="AL153" i="12"/>
  <c r="AL154" i="12"/>
  <c r="AL155" i="12"/>
  <c r="AL156" i="12"/>
  <c r="AL157" i="12"/>
  <c r="AL158" i="12"/>
  <c r="AL159" i="12"/>
  <c r="AL160" i="12"/>
  <c r="AL161" i="12"/>
  <c r="AL162" i="12"/>
  <c r="AL163" i="12"/>
  <c r="AL164" i="12"/>
  <c r="AL165" i="12"/>
  <c r="AL166" i="12"/>
  <c r="AL167" i="12"/>
  <c r="AL168" i="12"/>
  <c r="AL169" i="12"/>
  <c r="AL170" i="12"/>
  <c r="AL171" i="12"/>
  <c r="AL172" i="12"/>
  <c r="AL173" i="12"/>
  <c r="AL174" i="12"/>
  <c r="AL175" i="12"/>
  <c r="AL176" i="12"/>
  <c r="AL177" i="12"/>
  <c r="AL178" i="12"/>
  <c r="AL179" i="12"/>
  <c r="AL180" i="12"/>
  <c r="AL181" i="12"/>
  <c r="AL182" i="12"/>
  <c r="AL183" i="12"/>
  <c r="AL184" i="12"/>
  <c r="AL185" i="12"/>
  <c r="AL186" i="12"/>
  <c r="AL187" i="12"/>
  <c r="AL188" i="12"/>
  <c r="AL189" i="12"/>
  <c r="AL190" i="12"/>
  <c r="AL191" i="12"/>
  <c r="AL192" i="12"/>
  <c r="AL193" i="12"/>
  <c r="AL194" i="12"/>
  <c r="AL195" i="12"/>
  <c r="AL196" i="12"/>
  <c r="AL197" i="12"/>
  <c r="AL198" i="12"/>
  <c r="AL199" i="12"/>
  <c r="AL200" i="12"/>
  <c r="AL201" i="12"/>
  <c r="AL202" i="12"/>
  <c r="AL203" i="12"/>
  <c r="AL204" i="12"/>
  <c r="AL205" i="12"/>
  <c r="AL206" i="12"/>
  <c r="AL207" i="12"/>
  <c r="AL208" i="12"/>
  <c r="AL209" i="12"/>
  <c r="AL210" i="12"/>
  <c r="AL211" i="12"/>
  <c r="AL212" i="12"/>
  <c r="AL213" i="12"/>
  <c r="AL214" i="12"/>
  <c r="AL215" i="12"/>
  <c r="AL216" i="12"/>
  <c r="AL217" i="12"/>
  <c r="AL218" i="12"/>
  <c r="AL219" i="12"/>
  <c r="AL220" i="12"/>
  <c r="AL221" i="12"/>
  <c r="AL222" i="12"/>
  <c r="AL223" i="12"/>
  <c r="AL224" i="12"/>
  <c r="AL225" i="12"/>
  <c r="AL226" i="12"/>
  <c r="AL227" i="12"/>
  <c r="AL228" i="12"/>
  <c r="AL229" i="12"/>
  <c r="AL230" i="12"/>
  <c r="AL231" i="12"/>
  <c r="AL232" i="12"/>
  <c r="AL233" i="12"/>
  <c r="AL234" i="12"/>
  <c r="AL235" i="12"/>
  <c r="AL236" i="12"/>
  <c r="AL237" i="12"/>
  <c r="AL238" i="12"/>
  <c r="AL239" i="12"/>
  <c r="AL240" i="12"/>
  <c r="AL241" i="12"/>
  <c r="AL242" i="12"/>
  <c r="AL243" i="12"/>
  <c r="AL244" i="12"/>
  <c r="AL245" i="12"/>
  <c r="AL246" i="12"/>
  <c r="AL247" i="12"/>
  <c r="AL248" i="12"/>
  <c r="AL249" i="12"/>
  <c r="AL250" i="12"/>
  <c r="AL251" i="12"/>
  <c r="AL252" i="12"/>
  <c r="AL253" i="12"/>
  <c r="AL254" i="12"/>
  <c r="AL255" i="12"/>
  <c r="AL256" i="12"/>
  <c r="AL257" i="12"/>
  <c r="AL258" i="12"/>
  <c r="AL259" i="12"/>
  <c r="AL260" i="12"/>
  <c r="AL261" i="12"/>
  <c r="AL262" i="12"/>
  <c r="AL263" i="12"/>
  <c r="AL264" i="12"/>
  <c r="AL265" i="12"/>
  <c r="AL266" i="12"/>
  <c r="AL267" i="12"/>
  <c r="AL268" i="12"/>
  <c r="AL269" i="12"/>
  <c r="AL270" i="12"/>
  <c r="AL271" i="12"/>
  <c r="AL272" i="12"/>
  <c r="AL273" i="12"/>
  <c r="AL274" i="12"/>
  <c r="AL275" i="12"/>
  <c r="AL276" i="12"/>
  <c r="AL277" i="12"/>
  <c r="AL278" i="12"/>
  <c r="AL279" i="12"/>
  <c r="AL280" i="12"/>
  <c r="AL281" i="12"/>
  <c r="AL282" i="12"/>
  <c r="AL283" i="12"/>
  <c r="AL284" i="12"/>
  <c r="AL285" i="12"/>
  <c r="AL286" i="12"/>
  <c r="AL287" i="12"/>
  <c r="AL288" i="12"/>
  <c r="AL289" i="12"/>
  <c r="AL290" i="12"/>
  <c r="AL291" i="12"/>
  <c r="AL292" i="12"/>
  <c r="AL293" i="12"/>
  <c r="AL294" i="12"/>
  <c r="AL295" i="12"/>
  <c r="AL296" i="12"/>
  <c r="AL297" i="12"/>
  <c r="AL298" i="12"/>
  <c r="AL299" i="12"/>
  <c r="AL300" i="12"/>
  <c r="AL301" i="12"/>
  <c r="AL302" i="12"/>
  <c r="AL303" i="12"/>
  <c r="AL304" i="12"/>
  <c r="AL305" i="12"/>
  <c r="AL306" i="12"/>
  <c r="AL307" i="12"/>
  <c r="AL308" i="12"/>
  <c r="AL309" i="12"/>
  <c r="AL310" i="12"/>
  <c r="AL311" i="12"/>
  <c r="AL312" i="12"/>
  <c r="AL313" i="12"/>
  <c r="AL314" i="12"/>
  <c r="AL315" i="12"/>
  <c r="AL316" i="12"/>
  <c r="AL317" i="12"/>
  <c r="AL318" i="12"/>
  <c r="AL319" i="12"/>
  <c r="AL320" i="12"/>
  <c r="AL321" i="12"/>
  <c r="AL322" i="12"/>
  <c r="AL323" i="12"/>
  <c r="AL324" i="12"/>
  <c r="AL325" i="12"/>
  <c r="AL326" i="12"/>
  <c r="AL327" i="12"/>
  <c r="AL328" i="12"/>
  <c r="AL329" i="12"/>
  <c r="AL330" i="12"/>
  <c r="AL331" i="12"/>
  <c r="AL332" i="12"/>
  <c r="AL333" i="12"/>
  <c r="AL334" i="12"/>
  <c r="AL335" i="12"/>
  <c r="AL336" i="12"/>
  <c r="AL337" i="12"/>
  <c r="AL338" i="12"/>
  <c r="AL339" i="12"/>
  <c r="AL340" i="12"/>
  <c r="AL341" i="12"/>
  <c r="AL342" i="12"/>
  <c r="AL343" i="12"/>
  <c r="AL344" i="12"/>
  <c r="AL345" i="12"/>
  <c r="AL346" i="12"/>
  <c r="AL347" i="12"/>
  <c r="AL348" i="12"/>
  <c r="AL349" i="12"/>
  <c r="AL350" i="12"/>
  <c r="AL351" i="12"/>
  <c r="AL352" i="12"/>
  <c r="AL353" i="12"/>
  <c r="AL354" i="12"/>
  <c r="AL355" i="12"/>
  <c r="AL356" i="12"/>
  <c r="AL357" i="12"/>
  <c r="AL358" i="12"/>
  <c r="AL359" i="12"/>
  <c r="AL360" i="12"/>
  <c r="AL361" i="12"/>
  <c r="AL362" i="12"/>
  <c r="AL363" i="12"/>
  <c r="AL364" i="12"/>
  <c r="AL365" i="12"/>
  <c r="AL366" i="12"/>
  <c r="AL367" i="12"/>
  <c r="AL368" i="12"/>
  <c r="AL369" i="12"/>
  <c r="AL370" i="12"/>
  <c r="AL371" i="12"/>
  <c r="AL372" i="12"/>
  <c r="AL373" i="12"/>
  <c r="AL374" i="12"/>
  <c r="AL375" i="12"/>
  <c r="AL376" i="12"/>
  <c r="AL377" i="12"/>
  <c r="AL378" i="12"/>
  <c r="AL379" i="12"/>
  <c r="AL380" i="12"/>
  <c r="AL381" i="12"/>
  <c r="AL382" i="12"/>
  <c r="AL383" i="12"/>
  <c r="AL385" i="12"/>
  <c r="AL386" i="12"/>
  <c r="AL387" i="12"/>
  <c r="AL388" i="12"/>
  <c r="AL389" i="12"/>
  <c r="AL390" i="12"/>
  <c r="AL391" i="12"/>
  <c r="AL392" i="12"/>
  <c r="AL393" i="12"/>
  <c r="AL394" i="12"/>
  <c r="AL395" i="12"/>
  <c r="AL396" i="12"/>
  <c r="AL397" i="12"/>
  <c r="AL398" i="12"/>
  <c r="AL399" i="12"/>
  <c r="AL400" i="12"/>
  <c r="AL401" i="12"/>
  <c r="AL402" i="12"/>
  <c r="AL403" i="12"/>
  <c r="AL404" i="12"/>
  <c r="AL405" i="12"/>
  <c r="AL406" i="12"/>
  <c r="AL407" i="12"/>
  <c r="AL408" i="12"/>
  <c r="AL409" i="12"/>
  <c r="AL410" i="12"/>
  <c r="AL411" i="12"/>
  <c r="AL412" i="12"/>
  <c r="AL413" i="12"/>
  <c r="AL414" i="12"/>
  <c r="AL415" i="12"/>
  <c r="AL416" i="12"/>
  <c r="AL417" i="12"/>
  <c r="AL418" i="12"/>
  <c r="AL419" i="12"/>
  <c r="AL420" i="12"/>
  <c r="AL421" i="12"/>
  <c r="AL422" i="12"/>
  <c r="AL423" i="12"/>
  <c r="AL424" i="12"/>
  <c r="AL425" i="12"/>
  <c r="AL426" i="12"/>
  <c r="AL427" i="12"/>
  <c r="AL428" i="12"/>
  <c r="AL429" i="12"/>
  <c r="AL430" i="12"/>
  <c r="AL431" i="12"/>
  <c r="AL432" i="12"/>
  <c r="AL433" i="12"/>
  <c r="AL434" i="12"/>
  <c r="AL435" i="12"/>
  <c r="AL436" i="12"/>
  <c r="AL437" i="12"/>
  <c r="AL438" i="12"/>
  <c r="AL439" i="12"/>
  <c r="AL440" i="12"/>
  <c r="AL441" i="12"/>
  <c r="AL442" i="12"/>
  <c r="AL443" i="12"/>
  <c r="AL444" i="12"/>
  <c r="AL445" i="12"/>
  <c r="AL446" i="12"/>
  <c r="AL447" i="12"/>
  <c r="AL448" i="12"/>
  <c r="AL449" i="12"/>
  <c r="AL450" i="12"/>
  <c r="AL451" i="12"/>
  <c r="AL452" i="12"/>
  <c r="AL453" i="12"/>
  <c r="AL454" i="12"/>
  <c r="AL455" i="12"/>
  <c r="AL456" i="12"/>
  <c r="AL457" i="12"/>
  <c r="AL458" i="12"/>
  <c r="AL459" i="12"/>
  <c r="AL460" i="12"/>
  <c r="AL461" i="12"/>
  <c r="AL462" i="12"/>
  <c r="AL463" i="12"/>
  <c r="AL464" i="12"/>
  <c r="AL465" i="12"/>
  <c r="AL466" i="12"/>
  <c r="AL467" i="12"/>
  <c r="AL468" i="12"/>
  <c r="AL469" i="12"/>
  <c r="AL470" i="12"/>
  <c r="AL471" i="12"/>
  <c r="AL472" i="12"/>
  <c r="AL473" i="12"/>
  <c r="AL474" i="12"/>
  <c r="AL475" i="12"/>
  <c r="AL476" i="12"/>
  <c r="AL477" i="12"/>
  <c r="AL478" i="12"/>
  <c r="AL479" i="12"/>
  <c r="AL480" i="12"/>
  <c r="AL481" i="12"/>
  <c r="AL482" i="12"/>
  <c r="AL483" i="12"/>
  <c r="AL484" i="12"/>
  <c r="AL485" i="12"/>
  <c r="AL486" i="12"/>
  <c r="AL487" i="12"/>
  <c r="AL488" i="12"/>
  <c r="AL489" i="12"/>
  <c r="AL490" i="12"/>
  <c r="AL491" i="12"/>
  <c r="AL492" i="12"/>
  <c r="AL493" i="12"/>
  <c r="AL494" i="12"/>
  <c r="AL495" i="12"/>
  <c r="AL496" i="12"/>
  <c r="AL497" i="12"/>
  <c r="AL498" i="12"/>
  <c r="AL499" i="12"/>
  <c r="AL500" i="12"/>
  <c r="AL501" i="12"/>
  <c r="AL502" i="12"/>
  <c r="AL503" i="12"/>
  <c r="AL504" i="12"/>
  <c r="AL505" i="12"/>
  <c r="AL506" i="12"/>
  <c r="AL507" i="12"/>
  <c r="AL508" i="12"/>
  <c r="AL509" i="12"/>
  <c r="AL510" i="12"/>
  <c r="AL511" i="12"/>
  <c r="AL512" i="12"/>
  <c r="AL513" i="12"/>
  <c r="AL514" i="12"/>
  <c r="AL515" i="12"/>
  <c r="AL516" i="12"/>
  <c r="AL517" i="12"/>
  <c r="AL518" i="12"/>
  <c r="AL519" i="12"/>
  <c r="AL520" i="12"/>
  <c r="AL521" i="12"/>
  <c r="AL522" i="12"/>
  <c r="AL523" i="12"/>
  <c r="AL524" i="12"/>
  <c r="AL525" i="12"/>
  <c r="AL526" i="12"/>
  <c r="AL527" i="12"/>
  <c r="AL528" i="12"/>
  <c r="AL529" i="12"/>
  <c r="AL530" i="12"/>
  <c r="AL531" i="12"/>
  <c r="AL532" i="12"/>
  <c r="AL533" i="12"/>
  <c r="AL534" i="12"/>
  <c r="AL535" i="12"/>
  <c r="AL536" i="12"/>
  <c r="AL537" i="12"/>
  <c r="AL538" i="12"/>
  <c r="AL539" i="12"/>
  <c r="AL540" i="12"/>
  <c r="AL541" i="12"/>
  <c r="AL542" i="12"/>
  <c r="AL543" i="12"/>
  <c r="AL544" i="12"/>
  <c r="AL545" i="12"/>
  <c r="AL546" i="12"/>
  <c r="AL547" i="12"/>
  <c r="AL548" i="12"/>
  <c r="AL549" i="12"/>
  <c r="AL550" i="12"/>
  <c r="AL551" i="12"/>
  <c r="AL552" i="12"/>
  <c r="AL553" i="12"/>
  <c r="AL554" i="12"/>
  <c r="AL555" i="12"/>
  <c r="AL556" i="12"/>
  <c r="AL557" i="12"/>
  <c r="AL558" i="12"/>
  <c r="AL559" i="12"/>
  <c r="AL560" i="12"/>
  <c r="AL561" i="12"/>
  <c r="AL562" i="12"/>
  <c r="AL563" i="12"/>
  <c r="AL564" i="12"/>
  <c r="AL565" i="12"/>
  <c r="AL566" i="12"/>
  <c r="AL567" i="12"/>
  <c r="AL568" i="12"/>
  <c r="AL569" i="12"/>
  <c r="AL570" i="12"/>
  <c r="AL571" i="12"/>
  <c r="AL572" i="12"/>
  <c r="AL573" i="12"/>
  <c r="AL574" i="12"/>
  <c r="AL575" i="12"/>
  <c r="AL576" i="12"/>
  <c r="AL577" i="12"/>
  <c r="AL578" i="12"/>
  <c r="AL579" i="12"/>
  <c r="AL580" i="12"/>
  <c r="AL581" i="12"/>
  <c r="AL582" i="12"/>
  <c r="AL583" i="12"/>
  <c r="AL584" i="12"/>
  <c r="AL585" i="12"/>
  <c r="AL586" i="12"/>
  <c r="AL587" i="12"/>
  <c r="AL588" i="12"/>
  <c r="AL589" i="12"/>
  <c r="AL590" i="12"/>
  <c r="AL591" i="12"/>
  <c r="AL592" i="12"/>
  <c r="AL593" i="12"/>
  <c r="AL594" i="12"/>
  <c r="AL595" i="12"/>
  <c r="AL596" i="12"/>
  <c r="AL597" i="12"/>
  <c r="AL598" i="12"/>
  <c r="AL599" i="12"/>
  <c r="AL600" i="12"/>
  <c r="AL601" i="12"/>
  <c r="AL602" i="12"/>
  <c r="AL603" i="12"/>
  <c r="AL604" i="12"/>
  <c r="AL605" i="12"/>
  <c r="AL606" i="12"/>
  <c r="AL607" i="12"/>
  <c r="AL608" i="12"/>
  <c r="AL609" i="12"/>
  <c r="AL610" i="12"/>
  <c r="AL611" i="12"/>
  <c r="AL612" i="12"/>
  <c r="AL613" i="12"/>
  <c r="AL614" i="12"/>
  <c r="AL615" i="12"/>
  <c r="AL616" i="12"/>
  <c r="AL617" i="12"/>
  <c r="AL618" i="12"/>
  <c r="AL619" i="12"/>
  <c r="AL620" i="12"/>
  <c r="AL621" i="12"/>
  <c r="AL622" i="12"/>
  <c r="AL623" i="12"/>
  <c r="AL624" i="12"/>
  <c r="AL625" i="12"/>
  <c r="AL626" i="12"/>
  <c r="AL627" i="12"/>
  <c r="AL628" i="12"/>
  <c r="AL629" i="12"/>
  <c r="AL630" i="12"/>
  <c r="AL631" i="12"/>
  <c r="AL632" i="12"/>
  <c r="AL633" i="12"/>
  <c r="AL634" i="12"/>
  <c r="AL635" i="12"/>
  <c r="AL636" i="12"/>
  <c r="AL637" i="12"/>
  <c r="AL638" i="12"/>
  <c r="AL639" i="12"/>
  <c r="AL640" i="12"/>
  <c r="AL641" i="12"/>
  <c r="AL642" i="12"/>
  <c r="AL643" i="12"/>
  <c r="AL644" i="12"/>
  <c r="AL645" i="12"/>
  <c r="AL646" i="12"/>
  <c r="AL647" i="12"/>
  <c r="AL648" i="12"/>
  <c r="AL649" i="12"/>
  <c r="AL650" i="12"/>
  <c r="AL651" i="12"/>
  <c r="AL652" i="12"/>
  <c r="AL653" i="12"/>
  <c r="AL654" i="12"/>
  <c r="AL655" i="12"/>
  <c r="AL656" i="12"/>
  <c r="AL657" i="12"/>
  <c r="AL658" i="12"/>
  <c r="AL659" i="12"/>
  <c r="AL660" i="12"/>
  <c r="AL661" i="12"/>
  <c r="AL662" i="12"/>
  <c r="AL663" i="12"/>
  <c r="AL664" i="12"/>
  <c r="AL665" i="12"/>
  <c r="AL666" i="12"/>
  <c r="AL667" i="12"/>
  <c r="AL668" i="12"/>
  <c r="AL669" i="12"/>
  <c r="AL670" i="12"/>
  <c r="AL671" i="12"/>
  <c r="AL672" i="12"/>
  <c r="AL673" i="12"/>
  <c r="AL674" i="12"/>
  <c r="AL675" i="12"/>
  <c r="AL676" i="12"/>
  <c r="AL677" i="12"/>
  <c r="AL678" i="12"/>
  <c r="AL679" i="12"/>
  <c r="AL680" i="12"/>
  <c r="AL681" i="12"/>
  <c r="AL682" i="12"/>
  <c r="AL683" i="12"/>
  <c r="AL684" i="12"/>
  <c r="AL685" i="12"/>
  <c r="AL686" i="12"/>
  <c r="AL687" i="12"/>
  <c r="AL688" i="12"/>
  <c r="AL689" i="12"/>
  <c r="AL690" i="12"/>
  <c r="AL691" i="12"/>
  <c r="AL692" i="12"/>
  <c r="AL693" i="12"/>
  <c r="AL694" i="12"/>
  <c r="AL695" i="12"/>
  <c r="AL696" i="12"/>
  <c r="AL697" i="12"/>
  <c r="AL698" i="12"/>
  <c r="AL699" i="12"/>
  <c r="AL700" i="12"/>
  <c r="AL701" i="12"/>
  <c r="AL702" i="12"/>
  <c r="AL703" i="12"/>
  <c r="AL704" i="12"/>
  <c r="AL705" i="12"/>
  <c r="AL706" i="12"/>
  <c r="AL707" i="12"/>
  <c r="AL708" i="12"/>
  <c r="AL709" i="12"/>
  <c r="AL710" i="12"/>
  <c r="AL711" i="12"/>
  <c r="AL712" i="12"/>
  <c r="AL713" i="12"/>
  <c r="AL714" i="12"/>
  <c r="AL715" i="12"/>
  <c r="AL716" i="12"/>
  <c r="AL717" i="12"/>
  <c r="AL718" i="12"/>
  <c r="AL719" i="12"/>
  <c r="AL720" i="12"/>
  <c r="AL721" i="12"/>
  <c r="AL722" i="12"/>
  <c r="AL723" i="12"/>
  <c r="AL724" i="12"/>
  <c r="AL725" i="12"/>
  <c r="AL726" i="12"/>
  <c r="AL727" i="12"/>
  <c r="AL728" i="12"/>
  <c r="AL729" i="12"/>
  <c r="AL730" i="12"/>
  <c r="AL731" i="12"/>
  <c r="AL732" i="12"/>
  <c r="AL733" i="12"/>
  <c r="AL734" i="12"/>
  <c r="AL735" i="12"/>
  <c r="AL736" i="12"/>
  <c r="AL737" i="12"/>
  <c r="AL738" i="12"/>
  <c r="AL739" i="12"/>
  <c r="AL740" i="12"/>
  <c r="AL741" i="12"/>
  <c r="AL742" i="12"/>
  <c r="AL743" i="12"/>
  <c r="AL744" i="12"/>
  <c r="AL745" i="12"/>
  <c r="AL746" i="12"/>
  <c r="AL747" i="12"/>
  <c r="AL748" i="12"/>
  <c r="AL749" i="12"/>
  <c r="AL750" i="12"/>
  <c r="AL751" i="12"/>
  <c r="AL752" i="12"/>
  <c r="AL753" i="12"/>
  <c r="AL754" i="12"/>
  <c r="AL755" i="12"/>
  <c r="AL756" i="12"/>
  <c r="AL757" i="12"/>
  <c r="AL758" i="12"/>
  <c r="AL759" i="12"/>
  <c r="AL760" i="12"/>
  <c r="AL761" i="12"/>
  <c r="AL763" i="12"/>
  <c r="AL764" i="12"/>
  <c r="AL765" i="12"/>
  <c r="AL766" i="12"/>
  <c r="AL767" i="12"/>
  <c r="AL768" i="12"/>
  <c r="AL769" i="12"/>
  <c r="AL770" i="12"/>
  <c r="AL771" i="12"/>
  <c r="AL772" i="12"/>
  <c r="AL773" i="12"/>
  <c r="AL774" i="12"/>
  <c r="AL775" i="12"/>
  <c r="AL776" i="12"/>
  <c r="AL777" i="12"/>
  <c r="AL778" i="12"/>
  <c r="AL779" i="12"/>
  <c r="AL780" i="12"/>
  <c r="AL781" i="12"/>
  <c r="AL782" i="12"/>
  <c r="AL783" i="12"/>
  <c r="AL784" i="12"/>
  <c r="AL785" i="12"/>
  <c r="AL786" i="12"/>
  <c r="AL787" i="12"/>
  <c r="AL788" i="12"/>
  <c r="AL789" i="12"/>
  <c r="AL790" i="12"/>
  <c r="AL791" i="12"/>
  <c r="AL792" i="12"/>
  <c r="AL793" i="12"/>
  <c r="AL794" i="12"/>
  <c r="AL795" i="12"/>
  <c r="AL796" i="12"/>
  <c r="AL797" i="12"/>
  <c r="AL798" i="12"/>
  <c r="AL799" i="12"/>
  <c r="AL800" i="12"/>
  <c r="AL801" i="12"/>
  <c r="AL802" i="12"/>
  <c r="AL803" i="12"/>
  <c r="AL804" i="12"/>
  <c r="AL805" i="12"/>
  <c r="AL806" i="12"/>
  <c r="AL807" i="12"/>
  <c r="AL808" i="12"/>
  <c r="AL809" i="12"/>
  <c r="AL810" i="12"/>
  <c r="AL811" i="12"/>
  <c r="AL812" i="12"/>
  <c r="AL813" i="12"/>
  <c r="AL814" i="12"/>
  <c r="AL815" i="12"/>
  <c r="AL816" i="12"/>
  <c r="AL817" i="12"/>
  <c r="AL818" i="12"/>
  <c r="AL819" i="12"/>
  <c r="AL820" i="12"/>
  <c r="AL821" i="12"/>
  <c r="AL822" i="12"/>
  <c r="AL823" i="12"/>
  <c r="AL824" i="12"/>
  <c r="AL825" i="12"/>
  <c r="AL826" i="12"/>
  <c r="AL827" i="12"/>
  <c r="AL828" i="12"/>
  <c r="AL829" i="12"/>
  <c r="AL830" i="12"/>
  <c r="AL831" i="12"/>
  <c r="AL832" i="12"/>
  <c r="AL834" i="12"/>
  <c r="AL835" i="12"/>
  <c r="AL836" i="12"/>
  <c r="AL837" i="12"/>
  <c r="AL838" i="12"/>
  <c r="AL839" i="12"/>
  <c r="AL840" i="12"/>
  <c r="AL841" i="12"/>
  <c r="AL842" i="12"/>
  <c r="AL843" i="12"/>
  <c r="AL844" i="12"/>
  <c r="AL845" i="12"/>
  <c r="AL846" i="12"/>
  <c r="AL847" i="12"/>
  <c r="AL848" i="12"/>
  <c r="AL849" i="12"/>
  <c r="AL850" i="12"/>
  <c r="AL851" i="12"/>
  <c r="AL852" i="12"/>
  <c r="AL853" i="12"/>
  <c r="AL854" i="12"/>
  <c r="AL855" i="12"/>
  <c r="AL856" i="12"/>
  <c r="AL857" i="12"/>
  <c r="AL858" i="12"/>
  <c r="AL859" i="12"/>
  <c r="AL860" i="12"/>
  <c r="AL861" i="12"/>
  <c r="AL862" i="12"/>
  <c r="AL863" i="12"/>
  <c r="AL864" i="12"/>
  <c r="AL865" i="12"/>
  <c r="AL866" i="12"/>
  <c r="AL867" i="12"/>
  <c r="AL868" i="12"/>
  <c r="AL869" i="12"/>
  <c r="AL870" i="12"/>
  <c r="AL871" i="12"/>
  <c r="AL872" i="12"/>
  <c r="AL873" i="12"/>
  <c r="AL874" i="12"/>
  <c r="AL875" i="12"/>
  <c r="AL876" i="12"/>
  <c r="AL877" i="12"/>
  <c r="AL878" i="12"/>
  <c r="AL879" i="12"/>
  <c r="AL880" i="12"/>
  <c r="AL881" i="12"/>
  <c r="AL882" i="12"/>
  <c r="AL883" i="12"/>
  <c r="AL884" i="12"/>
  <c r="AL885" i="12"/>
  <c r="AL886" i="12"/>
  <c r="AL887" i="12"/>
  <c r="AL888" i="12"/>
  <c r="AL889" i="12"/>
  <c r="AL890" i="12"/>
  <c r="AL891" i="12"/>
  <c r="AL892" i="12"/>
  <c r="AL893" i="12"/>
  <c r="AL894" i="12"/>
  <c r="AL895" i="12"/>
  <c r="AL896" i="12"/>
  <c r="AL897" i="12"/>
  <c r="AL898" i="12"/>
  <c r="AL899" i="12"/>
  <c r="AL900" i="12"/>
  <c r="AL901" i="12"/>
  <c r="AL902" i="12"/>
  <c r="AL904" i="12"/>
  <c r="AL905" i="12"/>
  <c r="AL906" i="12"/>
  <c r="AL907" i="12"/>
  <c r="AL908" i="12"/>
  <c r="AL909" i="12"/>
  <c r="AL910" i="12"/>
  <c r="AL911" i="12"/>
  <c r="AL912" i="12"/>
  <c r="AL913" i="12"/>
  <c r="AL914" i="12"/>
  <c r="AL915" i="12"/>
  <c r="AL916" i="12"/>
  <c r="AL917" i="12"/>
  <c r="AL918" i="12"/>
  <c r="AL919" i="12"/>
  <c r="AL920" i="12"/>
  <c r="AL921" i="12"/>
  <c r="AL922" i="12"/>
  <c r="AL923" i="12"/>
  <c r="AL924" i="12"/>
  <c r="AL925" i="12"/>
  <c r="AL926" i="12"/>
  <c r="AL927" i="12"/>
  <c r="AL928" i="12"/>
  <c r="AL929" i="12"/>
  <c r="AL930" i="12"/>
  <c r="AL931" i="12"/>
  <c r="AL932" i="12"/>
  <c r="AL933" i="12"/>
  <c r="AL934" i="12"/>
  <c r="AL935" i="12"/>
  <c r="AL936" i="12"/>
  <c r="AL937" i="12"/>
  <c r="AL938" i="12"/>
  <c r="AL939" i="12"/>
  <c r="AL940" i="12"/>
  <c r="AL941" i="12"/>
  <c r="AL942" i="12"/>
  <c r="AL943" i="12"/>
  <c r="AL944" i="12"/>
  <c r="AL945" i="12"/>
  <c r="AL946" i="12"/>
  <c r="AL947" i="12"/>
  <c r="AL948" i="12"/>
  <c r="AL949" i="12"/>
  <c r="AL950" i="12"/>
  <c r="AL951" i="12"/>
  <c r="AL952" i="12"/>
  <c r="AL953" i="12"/>
  <c r="AL954" i="12"/>
  <c r="AL955" i="12"/>
  <c r="AL956" i="12"/>
  <c r="AL957" i="12"/>
  <c r="AL958" i="12"/>
  <c r="AL959" i="12"/>
  <c r="AL960" i="12"/>
  <c r="AL961" i="12"/>
  <c r="AL962" i="12"/>
  <c r="AL963" i="12"/>
  <c r="AL964" i="12"/>
  <c r="AL965" i="12"/>
  <c r="AL966" i="12"/>
  <c r="AL967" i="12"/>
  <c r="AL968" i="12"/>
  <c r="AL969" i="12"/>
  <c r="AL970" i="12"/>
  <c r="AL971" i="12"/>
  <c r="AL972" i="12"/>
  <c r="AL973" i="12"/>
  <c r="AL974" i="12"/>
  <c r="AL975" i="12"/>
  <c r="AL976" i="12"/>
  <c r="AL977" i="12"/>
  <c r="AL978" i="12"/>
  <c r="AL979" i="12"/>
  <c r="AL980" i="12"/>
  <c r="AL981" i="12"/>
  <c r="AL982" i="12"/>
  <c r="AL983" i="12"/>
  <c r="AL984" i="12"/>
  <c r="AL985" i="12"/>
  <c r="AL986" i="12"/>
  <c r="AL987" i="12"/>
  <c r="AL988" i="12"/>
  <c r="AL989" i="12"/>
  <c r="AL990" i="12"/>
  <c r="AL991" i="12"/>
  <c r="AL992" i="12"/>
  <c r="AL993" i="12"/>
  <c r="AL994" i="12"/>
  <c r="AL995" i="12"/>
  <c r="AL996" i="12"/>
  <c r="AL997" i="12"/>
  <c r="AL998" i="12"/>
  <c r="AL999" i="12"/>
  <c r="AL1000" i="12"/>
  <c r="AL1001" i="12"/>
  <c r="AL1002" i="12"/>
  <c r="AL1003" i="12"/>
  <c r="AL1004" i="12"/>
  <c r="AL1005" i="12"/>
  <c r="AL1006" i="12"/>
  <c r="AL1007" i="12"/>
  <c r="AL1008" i="12"/>
  <c r="AL1009" i="12"/>
  <c r="AL1010" i="12"/>
  <c r="AL1011" i="12"/>
  <c r="AL1012" i="12"/>
  <c r="AL1013" i="12"/>
  <c r="AL1014" i="12"/>
  <c r="AL1015" i="12"/>
  <c r="AL1016" i="12"/>
  <c r="AL1017" i="12"/>
  <c r="AL1018" i="12"/>
  <c r="AL1019" i="12"/>
  <c r="AL1020" i="12"/>
  <c r="AL1021" i="12"/>
  <c r="AL1022" i="12"/>
  <c r="AL1023" i="12"/>
  <c r="AL1024" i="12"/>
  <c r="AL1025" i="12"/>
  <c r="AL1026" i="12"/>
  <c r="AL1027" i="12"/>
  <c r="AL1028" i="12"/>
  <c r="AL1029" i="12"/>
  <c r="AL1030" i="12"/>
  <c r="AL1031" i="12"/>
  <c r="AL1032" i="12"/>
  <c r="AL1033" i="12"/>
  <c r="AL1034" i="12"/>
  <c r="AL1035" i="12"/>
  <c r="AL1036" i="12"/>
  <c r="AL1037" i="12"/>
  <c r="AL1038" i="12"/>
  <c r="AL1039" i="12"/>
  <c r="AL1040" i="12"/>
  <c r="AL1041" i="12"/>
  <c r="AL1042" i="12"/>
  <c r="AL1044" i="12"/>
  <c r="AL1045" i="12"/>
  <c r="AL1046" i="12"/>
  <c r="AL1047" i="12"/>
  <c r="AL1048" i="12"/>
  <c r="AL1049" i="12"/>
  <c r="AL1050" i="12"/>
  <c r="AL1051" i="12"/>
  <c r="AL1052" i="12"/>
  <c r="AL1053" i="12"/>
  <c r="AL1054" i="12"/>
  <c r="AL1055" i="12"/>
  <c r="AL1056" i="12"/>
  <c r="AL1057" i="12"/>
  <c r="AL1058" i="12"/>
  <c r="AL1059" i="12"/>
  <c r="AL1060" i="12"/>
  <c r="AL1061" i="12"/>
  <c r="AL1062" i="12"/>
  <c r="AL1063" i="12"/>
  <c r="AL1064" i="12"/>
  <c r="AL1065" i="12"/>
  <c r="AL1066" i="12"/>
  <c r="AL1067" i="12"/>
  <c r="AL1068" i="12"/>
  <c r="AL1069" i="12"/>
  <c r="AL1070" i="12"/>
  <c r="AL1071" i="12"/>
  <c r="AL1072" i="12"/>
  <c r="AL1073" i="12"/>
  <c r="AL1074" i="12"/>
  <c r="AL1075" i="12"/>
  <c r="AL1076" i="12"/>
  <c r="AL1077" i="12"/>
  <c r="AL1078" i="12"/>
  <c r="AL1079" i="12"/>
  <c r="AL1080" i="12"/>
  <c r="AL1081" i="12"/>
  <c r="AL1082" i="12"/>
  <c r="AL1083" i="12"/>
  <c r="AL1084" i="12"/>
  <c r="AL1085" i="12"/>
  <c r="AL1086" i="12"/>
  <c r="AL1087" i="12"/>
  <c r="AL1088" i="12"/>
  <c r="AL1089" i="12"/>
  <c r="AL1090" i="12"/>
  <c r="AL1091" i="12"/>
  <c r="AL1092" i="12"/>
  <c r="AL1093" i="12"/>
  <c r="AL1094" i="12"/>
  <c r="AL1095" i="12"/>
  <c r="AL1096" i="12"/>
  <c r="AL1097" i="12"/>
  <c r="AL1098" i="12"/>
  <c r="AL1099" i="12"/>
  <c r="AL1100" i="12"/>
  <c r="AL1101" i="12"/>
  <c r="AL1102" i="12"/>
  <c r="AL1103" i="12"/>
  <c r="AL1104" i="12"/>
  <c r="AL1105" i="12"/>
  <c r="AL1106" i="12"/>
  <c r="AL1107" i="12"/>
  <c r="AL1108" i="12"/>
  <c r="AL1109" i="12"/>
  <c r="AL1110" i="12"/>
  <c r="AL1111" i="12"/>
  <c r="AL1112" i="12"/>
  <c r="AL1113" i="12"/>
  <c r="AL1114" i="12"/>
  <c r="AL1115" i="12"/>
  <c r="AL1116" i="12"/>
  <c r="AL1117" i="12"/>
  <c r="AL1118" i="12"/>
  <c r="AL1119" i="12"/>
  <c r="AL1120" i="12"/>
  <c r="AL1121" i="12"/>
  <c r="AL1122" i="12"/>
  <c r="AL1123" i="12"/>
  <c r="AL1124" i="12"/>
  <c r="AL1125" i="12"/>
  <c r="AL1126" i="12"/>
  <c r="AL1127" i="12"/>
  <c r="AL1128" i="12"/>
  <c r="AL1129" i="12"/>
  <c r="AL1130" i="12"/>
  <c r="AL1131" i="12"/>
  <c r="AL1132" i="12"/>
  <c r="AL1133" i="12"/>
  <c r="AL1134" i="12"/>
  <c r="AL1135" i="12"/>
  <c r="AL1136" i="12"/>
  <c r="AL1137" i="12"/>
  <c r="AL1138" i="12"/>
  <c r="AL1139" i="12"/>
  <c r="AL1140" i="12"/>
  <c r="AL1141" i="12"/>
  <c r="AL1142" i="12"/>
  <c r="AL1143" i="12"/>
  <c r="AL1144" i="12"/>
  <c r="AL1145" i="12"/>
  <c r="AL1146" i="12"/>
  <c r="AL1147" i="12"/>
  <c r="AL1148" i="12"/>
  <c r="AL1149" i="12"/>
  <c r="AL1150" i="12"/>
  <c r="AL1151" i="12"/>
  <c r="AL1152" i="12"/>
  <c r="AL1153" i="12"/>
  <c r="AL1154" i="12"/>
  <c r="AL1155" i="12"/>
  <c r="AL1156" i="12"/>
  <c r="AL1157" i="12"/>
  <c r="AL1158" i="12"/>
  <c r="AL1159" i="12"/>
  <c r="AL1160" i="12"/>
  <c r="AL1161" i="12"/>
  <c r="AL1162" i="12"/>
  <c r="AL1163" i="12"/>
  <c r="AL1164" i="12"/>
  <c r="AL1165" i="12"/>
  <c r="AL1166" i="12"/>
  <c r="AL1167" i="12"/>
  <c r="AL1168" i="12"/>
  <c r="AL1169" i="12"/>
  <c r="AL1170" i="12"/>
  <c r="AL1171" i="12"/>
  <c r="AL1172" i="12"/>
  <c r="AL1173" i="12"/>
  <c r="AL1174" i="12"/>
  <c r="AL1175" i="12"/>
  <c r="AL1176" i="12"/>
  <c r="AL1177" i="12"/>
  <c r="AL1178" i="12"/>
  <c r="AL1179" i="12"/>
  <c r="AL1180" i="12"/>
  <c r="AL1181" i="12"/>
  <c r="AL1182" i="12"/>
  <c r="AL1183" i="12"/>
  <c r="AL1184" i="12"/>
  <c r="AL1185" i="12"/>
  <c r="AL1186" i="12"/>
  <c r="AL1187" i="12"/>
  <c r="AL1188" i="12"/>
  <c r="AL1189" i="12"/>
  <c r="AL1190" i="12"/>
  <c r="AL1191" i="12"/>
  <c r="AL1192" i="12"/>
  <c r="AL1193" i="12"/>
  <c r="AL1194" i="12"/>
  <c r="AL1195" i="12"/>
  <c r="AL1196" i="12"/>
  <c r="AL1197" i="12"/>
  <c r="AL1198" i="12"/>
  <c r="AL1199" i="12"/>
  <c r="AL1200" i="12"/>
  <c r="AL1201" i="12"/>
  <c r="AL1202" i="12"/>
  <c r="AL1203" i="12"/>
  <c r="AL1204" i="12"/>
  <c r="AL1205" i="12"/>
  <c r="AL1206" i="12"/>
  <c r="AL1207" i="12"/>
  <c r="AL1208" i="12"/>
  <c r="AL1209" i="12"/>
  <c r="AL1210" i="12"/>
  <c r="AL1211" i="12"/>
  <c r="AL1212" i="12"/>
  <c r="AL1213" i="12"/>
  <c r="AL1214" i="12"/>
  <c r="AL1215" i="12"/>
  <c r="AL1216" i="12"/>
  <c r="AL1217" i="12"/>
  <c r="AL1218" i="12"/>
  <c r="AL1219" i="12"/>
  <c r="AL1220" i="12"/>
  <c r="AL1221" i="12"/>
  <c r="AL1222" i="12"/>
  <c r="AL1223" i="12"/>
  <c r="AL1224" i="12"/>
  <c r="AL1225" i="12"/>
  <c r="AL1226" i="12"/>
  <c r="AL1227" i="12"/>
  <c r="AL1228" i="12"/>
  <c r="AL1229" i="12"/>
  <c r="AL1230" i="12"/>
  <c r="AL1231" i="12"/>
  <c r="AL1232" i="12"/>
  <c r="AL1233" i="12"/>
  <c r="AL1234" i="12"/>
  <c r="AL1235" i="12"/>
  <c r="AL1236" i="12"/>
  <c r="AL1237" i="12"/>
  <c r="AL1238" i="12"/>
  <c r="AL1239" i="12"/>
  <c r="AL1240" i="12"/>
  <c r="AL1241" i="12"/>
  <c r="AL1242" i="12"/>
  <c r="AL1243" i="12"/>
  <c r="AL1244" i="12"/>
  <c r="AL1245" i="12"/>
  <c r="AL1246" i="12"/>
  <c r="AL1247" i="12"/>
  <c r="AL1248" i="12"/>
  <c r="AL1249" i="12"/>
  <c r="AL1250" i="12"/>
  <c r="AL1251" i="12"/>
  <c r="AL1252" i="12"/>
  <c r="AL1254" i="12"/>
  <c r="AL1255" i="12"/>
  <c r="AL1256" i="12"/>
  <c r="AL1257" i="12"/>
  <c r="AL1258" i="12"/>
  <c r="AL1259" i="12"/>
  <c r="AL1260" i="12"/>
  <c r="AL1261" i="12"/>
  <c r="AL1262" i="12"/>
  <c r="AL1263" i="12"/>
  <c r="AL1264" i="12"/>
  <c r="AL1265" i="12"/>
  <c r="AL1266" i="12"/>
  <c r="AL1267" i="12"/>
  <c r="AL1268" i="12"/>
  <c r="AL1269" i="12"/>
  <c r="AL1270" i="12"/>
  <c r="AL1271" i="12"/>
  <c r="AL1272" i="12"/>
  <c r="AL1273" i="12"/>
  <c r="AL1274" i="12"/>
  <c r="AL1275" i="12"/>
  <c r="AL1276" i="12"/>
  <c r="AL1277" i="12"/>
  <c r="AL1278" i="12"/>
  <c r="AL1279" i="12"/>
  <c r="AL1280" i="12"/>
  <c r="AL1281" i="12"/>
  <c r="AL1282" i="12"/>
  <c r="AL1283" i="12"/>
  <c r="AL1284" i="12"/>
  <c r="AL1285" i="12"/>
  <c r="AL1286" i="12"/>
  <c r="AL1287" i="12"/>
  <c r="AL1288" i="12"/>
  <c r="AL1289" i="12"/>
  <c r="AL1290" i="12"/>
  <c r="AL1291" i="12"/>
  <c r="AL1292" i="12"/>
  <c r="AL1293" i="12"/>
  <c r="AL1294" i="12"/>
  <c r="AL1295" i="12"/>
  <c r="AL1296" i="12"/>
  <c r="AL1297" i="12"/>
  <c r="AL1298" i="12"/>
  <c r="AL1299" i="12"/>
  <c r="AL1300" i="12"/>
  <c r="AL1301" i="12"/>
  <c r="AL1302" i="12"/>
  <c r="AL1303" i="12"/>
  <c r="AL1304" i="12"/>
  <c r="AL1305" i="12"/>
  <c r="AL1306" i="12"/>
  <c r="AL1307" i="12"/>
  <c r="AL1308" i="12"/>
  <c r="AL1309" i="12"/>
  <c r="AL1310" i="12"/>
  <c r="AL1311" i="12"/>
  <c r="AL1312" i="12"/>
  <c r="AL1313" i="12"/>
  <c r="AL1314" i="12"/>
  <c r="AL1315" i="12"/>
  <c r="AL1316" i="12"/>
  <c r="AL1317" i="12"/>
  <c r="AL1318" i="12"/>
  <c r="AL1319" i="12"/>
  <c r="AL1320" i="12"/>
  <c r="AL1321" i="12"/>
  <c r="AL1322" i="12"/>
  <c r="AL1324" i="12"/>
  <c r="AL1325" i="12"/>
  <c r="AL1326" i="12"/>
  <c r="AL1327" i="12"/>
  <c r="AL1328" i="12"/>
  <c r="AL1329" i="12"/>
  <c r="AL1330" i="12"/>
  <c r="AL1331" i="12"/>
  <c r="AL1332" i="12"/>
  <c r="AL1333" i="12"/>
  <c r="AL1334" i="12"/>
  <c r="AL1335" i="12"/>
  <c r="AL1336" i="12"/>
  <c r="AL1337" i="12"/>
  <c r="AL1338" i="12"/>
  <c r="AL1339" i="12"/>
  <c r="AL1340" i="12"/>
  <c r="AL1341" i="12"/>
  <c r="AL1342" i="12"/>
  <c r="AL1343" i="12"/>
  <c r="AL1344" i="12"/>
  <c r="AL1345" i="12"/>
  <c r="AL1346" i="12"/>
  <c r="AL1347" i="12"/>
  <c r="AL1348" i="12"/>
  <c r="AL1349" i="12"/>
  <c r="AL1350" i="12"/>
  <c r="AL1351" i="12"/>
  <c r="AL1352" i="12"/>
  <c r="AL1353" i="12"/>
  <c r="AL1354" i="12"/>
  <c r="AL1355" i="12"/>
  <c r="AL1356" i="12"/>
  <c r="AL1357" i="12"/>
  <c r="AL1358" i="12"/>
  <c r="AL1359" i="12"/>
  <c r="AL1360" i="12"/>
  <c r="AL1361" i="12"/>
  <c r="AL1362" i="12"/>
  <c r="AL1363" i="12"/>
  <c r="AL1364" i="12"/>
  <c r="AL1365" i="12"/>
  <c r="AL1366" i="12"/>
  <c r="AL1367" i="12"/>
  <c r="AL1368" i="12"/>
  <c r="AL1369" i="12"/>
  <c r="AL1370" i="12"/>
  <c r="AL1371" i="12"/>
  <c r="AL1372" i="12"/>
  <c r="AL1373" i="12"/>
  <c r="AL1374" i="12"/>
  <c r="AL1375" i="12"/>
  <c r="AL1376" i="12"/>
  <c r="AL1377" i="12"/>
  <c r="AL1378" i="12"/>
  <c r="AL1379" i="12"/>
  <c r="AL1380" i="12"/>
  <c r="AL1381" i="12"/>
  <c r="AL1382" i="12"/>
  <c r="AL1383" i="12"/>
  <c r="AL1384" i="12"/>
  <c r="AL1385" i="12"/>
  <c r="AL1386" i="12"/>
  <c r="AL1387" i="12"/>
  <c r="AL1388" i="12"/>
  <c r="AL1389" i="12"/>
  <c r="AL1390" i="12"/>
  <c r="AL1391" i="12"/>
  <c r="AL1392" i="12"/>
  <c r="AL1394" i="12"/>
  <c r="AL1395" i="12"/>
  <c r="AL1396" i="12"/>
  <c r="AL1397" i="12"/>
  <c r="AL1398" i="12"/>
  <c r="AL1399" i="12"/>
  <c r="AL1400" i="12"/>
  <c r="AL1401" i="12"/>
  <c r="AL1402" i="12"/>
  <c r="AL1403" i="12"/>
  <c r="AL1404" i="12"/>
  <c r="AL1405" i="12"/>
  <c r="AL1406" i="12"/>
  <c r="AL1407" i="12"/>
  <c r="AL1408" i="12"/>
  <c r="AL1409" i="12"/>
  <c r="AL1410" i="12"/>
  <c r="AL1411" i="12"/>
  <c r="AL1412" i="12"/>
  <c r="AL1413" i="12"/>
  <c r="AL1414" i="12"/>
  <c r="AL1415" i="12"/>
  <c r="AL1416" i="12"/>
  <c r="AL1417" i="12"/>
  <c r="AL1418" i="12"/>
  <c r="AL1419" i="12"/>
  <c r="AL1420" i="12"/>
  <c r="AL1421" i="12"/>
  <c r="AL1422" i="12"/>
  <c r="AL1423" i="12"/>
  <c r="AL1424" i="12"/>
  <c r="AL1425" i="12"/>
  <c r="AL1426" i="12"/>
  <c r="AL1427" i="12"/>
  <c r="AL1428" i="12"/>
  <c r="AL1429" i="12"/>
  <c r="AL1430" i="12"/>
  <c r="AL1431" i="12"/>
  <c r="AL1432" i="12"/>
  <c r="AL1433" i="12"/>
  <c r="AL1434" i="12"/>
  <c r="AL1435" i="12"/>
  <c r="AL1436" i="12"/>
  <c r="AL1437" i="12"/>
  <c r="AL1438" i="12"/>
  <c r="AL1439" i="12"/>
  <c r="AL1440" i="12"/>
  <c r="AL1441" i="12"/>
  <c r="AL1442" i="12"/>
  <c r="AL1443" i="12"/>
  <c r="AL1444" i="12"/>
  <c r="AL1445" i="12"/>
  <c r="AL1446" i="12"/>
  <c r="AL1447" i="12"/>
  <c r="AL1448" i="12"/>
  <c r="AL1449" i="12"/>
  <c r="AL1450" i="12"/>
  <c r="AL1451" i="12"/>
  <c r="AL1452" i="12"/>
  <c r="AL1453" i="12"/>
  <c r="AL1454" i="12"/>
  <c r="AL1455" i="12"/>
  <c r="AL1456" i="12"/>
  <c r="AL1457" i="12"/>
  <c r="AL1458" i="12"/>
  <c r="AL1459" i="12"/>
  <c r="AL1460" i="12"/>
  <c r="AL1461" i="12"/>
  <c r="AL1462" i="12"/>
  <c r="AL1464" i="12"/>
  <c r="AL1465" i="12"/>
  <c r="AL1466" i="12"/>
  <c r="AL1467" i="12"/>
  <c r="AL1468" i="12"/>
  <c r="AL1469" i="12"/>
  <c r="AL1470" i="12"/>
  <c r="AL1471" i="12"/>
  <c r="AL1472" i="12"/>
  <c r="AL1473" i="12"/>
  <c r="AL1474" i="12"/>
  <c r="AL1475" i="12"/>
  <c r="AL1476" i="12"/>
  <c r="AL1477" i="12"/>
  <c r="AL1478" i="12"/>
  <c r="AL1479" i="12"/>
  <c r="AL1480" i="12"/>
  <c r="AL1481" i="12"/>
  <c r="AL1482" i="12"/>
  <c r="AL1483" i="12"/>
  <c r="AL1484" i="12"/>
  <c r="AL1485" i="12"/>
  <c r="AL1486" i="12"/>
  <c r="AL1487" i="12"/>
  <c r="AL1488" i="12"/>
  <c r="AL1489" i="12"/>
  <c r="AL1490" i="12"/>
  <c r="AL1491" i="12"/>
  <c r="AL1492" i="12"/>
  <c r="AL1493" i="12"/>
  <c r="AL1494" i="12"/>
  <c r="AL1495" i="12"/>
  <c r="AL1496" i="12"/>
  <c r="AL1497" i="12"/>
  <c r="AL1498" i="12"/>
  <c r="AL1499" i="12"/>
  <c r="AL1500" i="12"/>
  <c r="AL1501" i="12"/>
  <c r="AL1502" i="12"/>
  <c r="AL1503" i="12"/>
  <c r="AL1504" i="12"/>
  <c r="AL1505" i="12"/>
  <c r="AL1506" i="12"/>
  <c r="AL1507" i="12"/>
  <c r="AL1508" i="12"/>
  <c r="AL1509" i="12"/>
  <c r="AL1510" i="12"/>
  <c r="AL1511" i="12"/>
  <c r="AL1512" i="12"/>
  <c r="AL1513" i="12"/>
  <c r="AL1514" i="12"/>
  <c r="AL1515" i="12"/>
  <c r="AL1516" i="12"/>
  <c r="AL1517" i="12"/>
  <c r="AL1518" i="12"/>
  <c r="AL1519" i="12"/>
  <c r="AL1520" i="12"/>
  <c r="AL1521" i="12"/>
  <c r="AL1522" i="12"/>
  <c r="AL1523" i="12"/>
  <c r="AL1524" i="12"/>
  <c r="AL1525" i="12"/>
  <c r="AL1526" i="12"/>
  <c r="AL1527" i="12"/>
  <c r="AL1528" i="12"/>
  <c r="AL1529" i="12"/>
  <c r="AL1530" i="12"/>
  <c r="AL1531" i="12"/>
  <c r="AL1532" i="12"/>
  <c r="AL1533" i="12"/>
  <c r="AL1534" i="12"/>
  <c r="AL1535" i="12"/>
  <c r="AL1536" i="12"/>
  <c r="AL1537" i="12"/>
  <c r="AL1538" i="12"/>
  <c r="AL1539" i="12"/>
  <c r="AL1540" i="12"/>
  <c r="AL1541" i="12"/>
  <c r="AL1542" i="12"/>
  <c r="AL1544" i="12"/>
  <c r="AL1545" i="12"/>
  <c r="AL1546" i="12"/>
  <c r="AL1547" i="12"/>
  <c r="AL1548" i="12"/>
  <c r="AL1549" i="12"/>
  <c r="AL1550" i="12"/>
  <c r="AL1551" i="12"/>
  <c r="AL1552" i="12"/>
  <c r="AL1553" i="12"/>
  <c r="AL1554" i="12"/>
  <c r="AL1555" i="12"/>
  <c r="AL1556" i="12"/>
  <c r="AL1557" i="12"/>
  <c r="AL1558" i="12"/>
  <c r="AL1559" i="12"/>
  <c r="AL1560" i="12"/>
  <c r="AL1561" i="12"/>
  <c r="AL1562" i="12"/>
  <c r="AL1563" i="12"/>
  <c r="AL1564" i="12"/>
  <c r="AL1565" i="12"/>
  <c r="AL1566" i="12"/>
  <c r="AL1567" i="12"/>
  <c r="AL1568" i="12"/>
  <c r="AL1569" i="12"/>
  <c r="AL1570" i="12"/>
  <c r="AL1571" i="12"/>
  <c r="AL1572" i="12"/>
  <c r="AL1573" i="12"/>
  <c r="AL1574" i="12"/>
  <c r="AL1575" i="12"/>
  <c r="AL1576" i="12"/>
  <c r="AL1577" i="12"/>
  <c r="AL1578" i="12"/>
  <c r="AL1579" i="12"/>
  <c r="AL1580" i="12"/>
  <c r="AL1581" i="12"/>
  <c r="AL1582" i="12"/>
  <c r="AL1583" i="12"/>
  <c r="AL1584" i="12"/>
  <c r="AL1585" i="12"/>
  <c r="AL1586" i="12"/>
  <c r="AL1587" i="12"/>
  <c r="AL1588" i="12"/>
  <c r="AL1589" i="12"/>
  <c r="AL1590" i="12"/>
  <c r="AL1591" i="12"/>
  <c r="AL1592" i="12"/>
  <c r="AL1593" i="12"/>
  <c r="AL1594" i="12"/>
  <c r="AL1595" i="12"/>
  <c r="AL1596" i="12"/>
  <c r="AL1597" i="12"/>
  <c r="AL1598" i="12"/>
  <c r="AL1599" i="12"/>
  <c r="AL1600" i="12"/>
  <c r="AL1601" i="12"/>
  <c r="AL1603" i="12"/>
  <c r="AL1604" i="12"/>
  <c r="AL1605" i="12"/>
  <c r="AL1606" i="12"/>
  <c r="AL1607" i="12"/>
  <c r="AL1608" i="12"/>
  <c r="AL1609" i="12"/>
  <c r="AL1610" i="12"/>
  <c r="AL1611" i="12"/>
  <c r="AL1612" i="12"/>
  <c r="AL1613" i="12"/>
  <c r="AL1614" i="12"/>
  <c r="AL1615" i="12"/>
  <c r="AL1616" i="12"/>
  <c r="AL1617" i="12"/>
  <c r="AL1618" i="12"/>
  <c r="AL1619" i="12"/>
  <c r="AL1620" i="12"/>
  <c r="AL1621" i="12"/>
  <c r="AL1622" i="12"/>
  <c r="AL1623" i="12"/>
  <c r="AL1624" i="12"/>
  <c r="AL1625" i="12"/>
  <c r="AL1626" i="12"/>
  <c r="AL1627" i="12"/>
  <c r="AL1628" i="12"/>
  <c r="AL1629" i="12"/>
  <c r="AL1630" i="12"/>
  <c r="AL1631" i="12"/>
  <c r="AL1632" i="12"/>
  <c r="AL1633" i="12"/>
  <c r="AL1634" i="12"/>
  <c r="AL1635" i="12"/>
  <c r="AL1636" i="12"/>
  <c r="AL1637" i="12"/>
  <c r="AL1638" i="12"/>
  <c r="AL1639" i="12"/>
  <c r="AL1640" i="12"/>
  <c r="AL1641" i="12"/>
  <c r="AL1642" i="12"/>
  <c r="AL1643" i="12"/>
  <c r="AL1644" i="12"/>
  <c r="AL1645" i="12"/>
  <c r="AL1646" i="12"/>
  <c r="AL1647" i="12"/>
  <c r="AL1648" i="12"/>
  <c r="AL1649" i="12"/>
  <c r="AL1650" i="12"/>
  <c r="AL1651" i="12"/>
  <c r="AL1652" i="12"/>
  <c r="AL1653" i="12"/>
  <c r="AL1654" i="12"/>
  <c r="AL1655" i="12"/>
  <c r="AL1656" i="12"/>
  <c r="AL1657" i="12"/>
  <c r="AL1658" i="12"/>
  <c r="AL1659" i="12"/>
  <c r="AL1660" i="12"/>
  <c r="AL1661" i="12"/>
  <c r="AL1662" i="12"/>
  <c r="AL1663" i="12"/>
  <c r="AL1664" i="12"/>
  <c r="AL1665" i="12"/>
  <c r="AL1666" i="12"/>
  <c r="AL1667" i="12"/>
  <c r="AL1668" i="12"/>
  <c r="AL1669" i="12"/>
  <c r="AL1670" i="12"/>
  <c r="AL1671" i="12"/>
  <c r="AL1672" i="12"/>
  <c r="AL1674" i="12"/>
  <c r="AL1675" i="12"/>
  <c r="AL1676" i="12"/>
  <c r="AL1677" i="12"/>
  <c r="AL1678" i="12"/>
  <c r="AL1679" i="12"/>
  <c r="AL1680" i="12"/>
  <c r="AL1681" i="12"/>
  <c r="AL1682" i="12"/>
  <c r="AL1683" i="12"/>
  <c r="AL1684" i="12"/>
  <c r="AL1685" i="12"/>
  <c r="AL1686" i="12"/>
  <c r="AL1687" i="12"/>
  <c r="AL1688" i="12"/>
  <c r="AL1689" i="12"/>
  <c r="AL1690" i="12"/>
  <c r="AL1691" i="12"/>
  <c r="AL1692" i="12"/>
  <c r="AL1693" i="12"/>
  <c r="AL1694" i="12"/>
  <c r="AL1695" i="12"/>
  <c r="AL1696" i="12"/>
  <c r="AL1697" i="12"/>
  <c r="AL1698" i="12"/>
  <c r="AL1699" i="12"/>
  <c r="AL1700" i="12"/>
  <c r="AL1701" i="12"/>
  <c r="AL1702" i="12"/>
  <c r="AL1703" i="12"/>
  <c r="AL1704" i="12"/>
  <c r="AL1705" i="12"/>
  <c r="AL1706" i="12"/>
  <c r="AL1707" i="12"/>
  <c r="AL1708" i="12"/>
  <c r="AL1709" i="12"/>
  <c r="AL1710" i="12"/>
  <c r="AL1711" i="12"/>
  <c r="AL1712" i="12"/>
  <c r="AL1713" i="12"/>
  <c r="AL1714" i="12"/>
  <c r="AL1715" i="12"/>
  <c r="AL1716" i="12"/>
  <c r="AL1717" i="12"/>
  <c r="AL1718" i="12"/>
  <c r="AL1719" i="12"/>
  <c r="AL1720" i="12"/>
  <c r="AL1721" i="12"/>
  <c r="AL1722" i="12"/>
  <c r="AL1723" i="12"/>
  <c r="AL1724" i="12"/>
  <c r="AL1725" i="12"/>
  <c r="AL1726" i="12"/>
  <c r="AL1727" i="12"/>
  <c r="AL1728" i="12"/>
  <c r="AL1729" i="12"/>
  <c r="AL1730" i="12"/>
  <c r="AL1731" i="12"/>
  <c r="AL1732" i="12"/>
  <c r="AL1733" i="12"/>
  <c r="AL1734" i="12"/>
  <c r="AL1735" i="12"/>
  <c r="AL1736" i="12"/>
  <c r="AL1737" i="12"/>
  <c r="AL1738" i="12"/>
  <c r="AL1739" i="12"/>
  <c r="AL1740" i="12"/>
  <c r="AL1741" i="12"/>
  <c r="AL1742" i="12"/>
  <c r="AL1743" i="12"/>
  <c r="AL1744" i="12"/>
  <c r="AL1745" i="12"/>
  <c r="AL1746" i="12"/>
  <c r="AL1747" i="12"/>
  <c r="AL1748" i="12"/>
  <c r="AL1749" i="12"/>
  <c r="AL1750" i="12"/>
  <c r="AL1751" i="12"/>
  <c r="AL1752" i="12"/>
  <c r="AL1753" i="12"/>
  <c r="AL1754" i="12"/>
  <c r="AL1755" i="12"/>
  <c r="AL1756" i="12"/>
  <c r="AL1757" i="12"/>
  <c r="AL1758" i="12"/>
  <c r="AL1759" i="12"/>
  <c r="AL1760" i="12"/>
  <c r="AL1761" i="12"/>
  <c r="AL1762" i="12"/>
  <c r="AL1763" i="12"/>
  <c r="AL1764" i="12"/>
  <c r="AL1765" i="12"/>
  <c r="AL1766" i="12"/>
  <c r="AL1767" i="12"/>
  <c r="AL1768" i="12"/>
  <c r="AL1769" i="12"/>
  <c r="AL1770" i="12"/>
  <c r="AL1771" i="12"/>
  <c r="AL1772" i="12"/>
  <c r="AL1773" i="12"/>
  <c r="AL1774" i="12"/>
  <c r="AL1775" i="12"/>
  <c r="AL1776" i="12"/>
  <c r="AL1777" i="12"/>
  <c r="AL1778" i="12"/>
  <c r="AL1779" i="12"/>
  <c r="AL1780" i="12"/>
  <c r="AL1781" i="12"/>
  <c r="AL1782" i="12"/>
  <c r="AL1783" i="12"/>
  <c r="AL1784" i="12"/>
  <c r="AL1785" i="12"/>
  <c r="AL1786" i="12"/>
  <c r="AL1787" i="12"/>
  <c r="AL1788" i="12"/>
  <c r="AL1789" i="12"/>
  <c r="AL1790" i="12"/>
  <c r="AL1791" i="12"/>
  <c r="AL1792" i="12"/>
  <c r="AL1793" i="12"/>
  <c r="AL1794" i="12"/>
  <c r="AL1795" i="12"/>
  <c r="AL1796" i="12"/>
  <c r="AL1797" i="12"/>
  <c r="AL1798" i="12"/>
  <c r="AL1799" i="12"/>
  <c r="AL1800" i="12"/>
  <c r="AL1801" i="12"/>
  <c r="AL1802" i="12"/>
  <c r="AL1803" i="12"/>
  <c r="AL1804" i="12"/>
  <c r="AL1805" i="12"/>
  <c r="AL1806" i="12"/>
  <c r="AL1807" i="12"/>
  <c r="AL1808" i="12"/>
  <c r="AL1809" i="12"/>
  <c r="AL1810" i="12"/>
  <c r="AL1811" i="12"/>
  <c r="AL1812" i="12"/>
  <c r="AL1814" i="12"/>
  <c r="AL1815" i="12"/>
  <c r="AL1816" i="12"/>
  <c r="AL1817" i="12"/>
  <c r="AL1818" i="12"/>
  <c r="AL1819" i="12"/>
  <c r="AL1820" i="12"/>
  <c r="AL1821" i="12"/>
  <c r="AL1822" i="12"/>
  <c r="AL1823" i="12"/>
  <c r="AL1824" i="12"/>
  <c r="AL1825" i="12"/>
  <c r="AL1826" i="12"/>
  <c r="AL1827" i="12"/>
  <c r="AL1828" i="12"/>
  <c r="AL1829" i="12"/>
  <c r="AL1830" i="12"/>
  <c r="AL1831" i="12"/>
  <c r="AL1832" i="12"/>
  <c r="AL1833" i="12"/>
  <c r="AL1834" i="12"/>
  <c r="AL1835" i="12"/>
  <c r="AL1836" i="12"/>
  <c r="AL1837" i="12"/>
  <c r="AL1838" i="12"/>
  <c r="AL1839" i="12"/>
  <c r="AL1840" i="12"/>
  <c r="AL1841" i="12"/>
  <c r="AL1842" i="12"/>
  <c r="AL1843" i="12"/>
  <c r="AL1844" i="12"/>
  <c r="AL1845" i="12"/>
  <c r="AL1846" i="12"/>
  <c r="AL1847" i="12"/>
  <c r="AL1848" i="12"/>
  <c r="AL1849" i="12"/>
  <c r="AL1850" i="12"/>
  <c r="AL1851" i="12"/>
  <c r="AL1852" i="12"/>
  <c r="AL1853" i="12"/>
  <c r="AL1854" i="12"/>
  <c r="AL1855" i="12"/>
  <c r="AL1856" i="12"/>
  <c r="AL1857" i="12"/>
  <c r="AL1858" i="12"/>
  <c r="AL1859" i="12"/>
  <c r="AL1860" i="12"/>
  <c r="AL1861" i="12"/>
  <c r="AL1862" i="12"/>
  <c r="AL1863" i="12"/>
  <c r="AL1864" i="12"/>
  <c r="AL1865" i="12"/>
  <c r="AL1866" i="12"/>
  <c r="AL1867" i="12"/>
  <c r="AL1868" i="12"/>
  <c r="AL1869" i="12"/>
  <c r="AL1870" i="12"/>
  <c r="AL1871" i="12"/>
  <c r="AL1872" i="12"/>
  <c r="AL1873" i="12"/>
  <c r="AL1874" i="12"/>
  <c r="AL1875" i="12"/>
  <c r="AL1876" i="12"/>
  <c r="AL1877" i="12"/>
  <c r="AL1878" i="12"/>
  <c r="AL1879" i="12"/>
  <c r="AL1880" i="12"/>
  <c r="AL1881" i="12"/>
  <c r="AL1882" i="12"/>
  <c r="AL1884" i="12"/>
  <c r="AL1885" i="12"/>
  <c r="AL1886" i="12"/>
  <c r="AL1887" i="12"/>
  <c r="AL1888" i="12"/>
  <c r="AL1889" i="12"/>
  <c r="AL1890" i="12"/>
  <c r="AL1891" i="12"/>
  <c r="AL1892" i="12"/>
  <c r="AL1893" i="12"/>
  <c r="AL1894" i="12"/>
  <c r="AL1895" i="12"/>
  <c r="AL1896" i="12"/>
  <c r="AL1897" i="12"/>
  <c r="AL1898" i="12"/>
  <c r="AL1899" i="12"/>
  <c r="AL1900" i="12"/>
  <c r="AL1901" i="12"/>
  <c r="AL1902" i="12"/>
  <c r="AL1903" i="12"/>
  <c r="AL1904" i="12"/>
  <c r="AL1905" i="12"/>
  <c r="AL1906" i="12"/>
  <c r="AL1907" i="12"/>
  <c r="AL1908" i="12"/>
  <c r="AL1909" i="12"/>
  <c r="AL1910" i="12"/>
  <c r="AL1911" i="12"/>
  <c r="AL1912" i="12"/>
  <c r="AL1913" i="12"/>
  <c r="AL1914" i="12"/>
  <c r="AL1915" i="12"/>
  <c r="AL1916" i="12"/>
  <c r="AL1917" i="12"/>
  <c r="AL1918" i="12"/>
  <c r="AL1919" i="12"/>
  <c r="AL1920" i="12"/>
  <c r="AL1921" i="12"/>
  <c r="AL1922" i="12"/>
  <c r="AL1923" i="12"/>
  <c r="AL1924" i="12"/>
  <c r="AL1925" i="12"/>
  <c r="AL1926" i="12"/>
  <c r="AL1927" i="12"/>
  <c r="AL1928" i="12"/>
  <c r="AL1929" i="12"/>
  <c r="AL1930" i="12"/>
  <c r="AL1931" i="12"/>
  <c r="AL1932" i="12"/>
  <c r="AL1933" i="12"/>
  <c r="AL1934" i="12"/>
  <c r="AL1935" i="12"/>
  <c r="AL1936" i="12"/>
  <c r="AL1937" i="12"/>
  <c r="AL1938" i="12"/>
  <c r="AL1939" i="12"/>
  <c r="AL1940" i="12"/>
  <c r="AL1941" i="12"/>
  <c r="AL1942" i="12"/>
  <c r="AL1943" i="12"/>
  <c r="AL1944" i="12"/>
  <c r="AL1945" i="12"/>
  <c r="AL1946" i="12"/>
  <c r="AL1947" i="12"/>
  <c r="AL1948" i="12"/>
  <c r="AL1949" i="12"/>
  <c r="AL1950" i="12"/>
  <c r="AL1951" i="12"/>
  <c r="AL1952" i="12"/>
  <c r="AL1953" i="12"/>
  <c r="AL1954" i="12"/>
  <c r="AL1955" i="12"/>
  <c r="AL1956" i="12"/>
  <c r="AL1957" i="12"/>
  <c r="AL1958" i="12"/>
  <c r="AL1959" i="12"/>
  <c r="AL1960" i="12"/>
  <c r="AL1961" i="12"/>
  <c r="AL1962" i="12"/>
  <c r="AL1963" i="12"/>
  <c r="AL1964" i="12"/>
  <c r="AL1965" i="12"/>
  <c r="AL1966" i="12"/>
  <c r="AL1967" i="12"/>
  <c r="AL1968" i="12"/>
  <c r="AL1969" i="12"/>
  <c r="AL1970" i="12"/>
  <c r="AL1971" i="12"/>
  <c r="AL1972" i="12"/>
  <c r="AL1973" i="12"/>
  <c r="AL1974" i="12"/>
  <c r="AL1975" i="12"/>
  <c r="AL1976" i="12"/>
  <c r="AL1977" i="12"/>
  <c r="AL1978" i="12"/>
  <c r="AL1979" i="12"/>
  <c r="AL1980" i="12"/>
  <c r="AL1981" i="12"/>
  <c r="AL1982" i="12"/>
  <c r="AL1983" i="12"/>
  <c r="AL1984" i="12"/>
  <c r="AL1985" i="12"/>
  <c r="AL1986" i="12"/>
  <c r="AL1987" i="12"/>
  <c r="AL1988" i="12"/>
  <c r="AL1989" i="12"/>
  <c r="AL1990" i="12"/>
  <c r="AL1991" i="12"/>
  <c r="AL1992" i="12"/>
  <c r="AL1993" i="12"/>
  <c r="AL1994" i="12"/>
  <c r="AL1995" i="12"/>
  <c r="AL1996" i="12"/>
  <c r="AL1997" i="12"/>
  <c r="AL1998" i="12"/>
  <c r="AL1999" i="12"/>
  <c r="AL2000" i="12"/>
  <c r="AL2001" i="12"/>
  <c r="AL2002" i="12"/>
  <c r="AL2003" i="12"/>
  <c r="AL2004" i="12"/>
  <c r="AL2005" i="12"/>
  <c r="AL2006" i="12"/>
  <c r="AL2007" i="12"/>
  <c r="AL2008" i="12"/>
  <c r="AL2009" i="12"/>
  <c r="AL2010" i="12"/>
  <c r="AL2011" i="12"/>
  <c r="AL2012" i="12"/>
  <c r="AL2013" i="12"/>
  <c r="AL2014" i="12"/>
  <c r="AL2015" i="12"/>
  <c r="AL2016" i="12"/>
  <c r="AL2017" i="12"/>
  <c r="AL2018" i="12"/>
  <c r="AL2019" i="12"/>
  <c r="AL2020" i="12"/>
  <c r="AL2021" i="12"/>
  <c r="AL2022" i="12"/>
  <c r="AL2023" i="12"/>
  <c r="AL2024" i="12"/>
  <c r="AL2025" i="12"/>
  <c r="AL2026" i="12"/>
  <c r="AL2027" i="12"/>
  <c r="AL2028" i="12"/>
  <c r="AL2029" i="12"/>
  <c r="AL2030" i="12"/>
  <c r="AL2031" i="12"/>
  <c r="AL2032" i="12"/>
  <c r="AL2033" i="12"/>
  <c r="AL2034" i="12"/>
  <c r="AL2035" i="12"/>
  <c r="AL2036" i="12"/>
  <c r="AL2037" i="12"/>
  <c r="AL2038" i="12"/>
  <c r="AL2039" i="12"/>
  <c r="AL2040" i="12"/>
  <c r="AL2041" i="12"/>
  <c r="AL2042" i="12"/>
  <c r="AL2043" i="12"/>
  <c r="AL2044" i="12"/>
  <c r="AL2045" i="12"/>
  <c r="AL2046" i="12"/>
  <c r="AL2047" i="12"/>
  <c r="AL2048" i="12"/>
  <c r="AL2049" i="12"/>
  <c r="AL2050" i="12"/>
  <c r="AL2051" i="12"/>
  <c r="AL2052" i="12"/>
  <c r="AL2053" i="12"/>
  <c r="AL2054" i="12"/>
  <c r="AL2055" i="12"/>
  <c r="AL2056" i="12"/>
  <c r="AL2057" i="12"/>
  <c r="AL2058" i="12"/>
  <c r="AL2059" i="12"/>
  <c r="AL2060" i="12"/>
  <c r="AL2061" i="12"/>
  <c r="AL2062" i="12"/>
  <c r="AL2063" i="12"/>
  <c r="AL2064" i="12"/>
  <c r="AL2065" i="12"/>
  <c r="AL2066" i="12"/>
  <c r="AL2067" i="12"/>
  <c r="AL2068" i="12"/>
  <c r="AL2069" i="12"/>
  <c r="AL2070" i="12"/>
  <c r="AL2071" i="12"/>
  <c r="AL2072" i="12"/>
  <c r="AL2073" i="12"/>
  <c r="AL2074" i="12"/>
  <c r="AL2075" i="12"/>
  <c r="AL2076" i="12"/>
  <c r="AL2077" i="12"/>
  <c r="AL2078" i="12"/>
  <c r="AL2079" i="12"/>
  <c r="AL2080" i="12"/>
  <c r="AL2081" i="12"/>
  <c r="AL2082" i="12"/>
  <c r="AL2083" i="12"/>
  <c r="AL2084" i="12"/>
  <c r="AL2085" i="12"/>
  <c r="AL2086" i="12"/>
  <c r="AL2087" i="12"/>
  <c r="AL2088" i="12"/>
  <c r="AL2089" i="12"/>
  <c r="AL2090" i="12"/>
  <c r="AL2091" i="12"/>
  <c r="AL2092" i="12"/>
  <c r="AL2093" i="12"/>
  <c r="AL2094" i="12"/>
  <c r="AL2095" i="12"/>
  <c r="AL2096" i="12"/>
  <c r="AL2097" i="12"/>
  <c r="AL2098" i="12"/>
  <c r="AL2099" i="12"/>
  <c r="AL2100" i="12"/>
  <c r="AL2101" i="12"/>
  <c r="AL2102" i="12"/>
  <c r="AL2103" i="12"/>
  <c r="AL2104" i="12"/>
  <c r="AL2105" i="12"/>
  <c r="AL2106" i="12"/>
  <c r="AL2107" i="12"/>
  <c r="AL2108" i="12"/>
  <c r="AL2109" i="12"/>
  <c r="AL2110" i="12"/>
  <c r="AL2111" i="12"/>
  <c r="AL2112" i="12"/>
  <c r="AL2113" i="12"/>
  <c r="AL2114" i="12"/>
  <c r="AL2115" i="12"/>
  <c r="AL2116" i="12"/>
  <c r="AL2117" i="12"/>
  <c r="AL2118" i="12"/>
  <c r="AL2119" i="12"/>
  <c r="AL2120" i="12"/>
  <c r="AL2121" i="12"/>
  <c r="AL2122" i="12"/>
  <c r="AL2123" i="12"/>
  <c r="AL2124" i="12"/>
  <c r="AL2125" i="12"/>
  <c r="AL2126" i="12"/>
  <c r="AL2127" i="12"/>
  <c r="AL2128" i="12"/>
  <c r="AL2129" i="12"/>
  <c r="AL2130" i="12"/>
  <c r="AL2131" i="12"/>
  <c r="AL2132" i="12"/>
  <c r="AL2133" i="12"/>
  <c r="AL2134" i="12"/>
  <c r="AL2135" i="12"/>
  <c r="AL2136" i="12"/>
  <c r="AL2137" i="12"/>
  <c r="AL2138" i="12"/>
  <c r="AL2139" i="12"/>
  <c r="AL2140" i="12"/>
  <c r="AL2141" i="12"/>
  <c r="AL2142" i="12"/>
  <c r="AL2143" i="12"/>
  <c r="AL2144" i="12"/>
  <c r="AL2145" i="12"/>
  <c r="AL2146" i="12"/>
  <c r="AL2147" i="12"/>
  <c r="AL2148" i="12"/>
  <c r="AL2149" i="12"/>
  <c r="AL2150" i="12"/>
  <c r="AL2151" i="12"/>
  <c r="AL2152" i="12"/>
  <c r="AL2153" i="12"/>
  <c r="AL2154" i="12"/>
  <c r="AL2155" i="12"/>
  <c r="AL2156" i="12"/>
  <c r="AL2157" i="12"/>
  <c r="AL2158" i="12"/>
  <c r="AL2159" i="12"/>
  <c r="AL2160" i="12"/>
  <c r="AL2161" i="12"/>
  <c r="AL2162" i="12"/>
  <c r="AL2163" i="12"/>
  <c r="AL2164" i="12"/>
  <c r="AL2165" i="12"/>
  <c r="AL2166" i="12"/>
  <c r="AL2167" i="12"/>
  <c r="AL2168" i="12"/>
  <c r="AL2169" i="12"/>
  <c r="AL2170" i="12"/>
  <c r="AL2171" i="12"/>
  <c r="AL2172" i="12"/>
  <c r="AL2173" i="12"/>
  <c r="AL2174" i="12"/>
  <c r="AL2175" i="12"/>
  <c r="AL2176" i="12"/>
  <c r="AL2177" i="12"/>
  <c r="AL2178" i="12"/>
  <c r="AL2179" i="12"/>
  <c r="AL2180" i="12"/>
  <c r="AL2181" i="12"/>
  <c r="AL2182" i="12"/>
  <c r="AL2183" i="12"/>
  <c r="AL2184" i="12"/>
  <c r="AL2185" i="12"/>
  <c r="AL2186" i="12"/>
  <c r="AL2187" i="12"/>
  <c r="AL2188" i="12"/>
  <c r="AL2189" i="12"/>
  <c r="AL2190" i="12"/>
  <c r="AL2191" i="12"/>
  <c r="AL2192" i="12"/>
  <c r="AL2193" i="12"/>
  <c r="AL2194" i="12"/>
  <c r="AL2195" i="12"/>
  <c r="AL2196" i="12"/>
  <c r="AL2197" i="12"/>
  <c r="AL2198" i="12"/>
  <c r="AL2199" i="12"/>
  <c r="AL2200" i="12"/>
  <c r="AL2201" i="12"/>
  <c r="AL2202" i="12"/>
  <c r="AL2203" i="12"/>
  <c r="AL2204" i="12"/>
  <c r="AL2205" i="12"/>
  <c r="AL2206" i="12"/>
  <c r="AL2207" i="12"/>
  <c r="AL2208" i="12"/>
  <c r="AL2209" i="12"/>
  <c r="AL2210" i="12"/>
  <c r="AL2211" i="12"/>
  <c r="AL2212" i="12"/>
  <c r="AL2213" i="12"/>
  <c r="AL2214" i="12"/>
  <c r="AL2215" i="12"/>
  <c r="AL2216" i="12"/>
  <c r="AL2217" i="12"/>
  <c r="AL2218" i="12"/>
  <c r="AL2219" i="12"/>
  <c r="AL2220" i="12"/>
  <c r="AL2221" i="12"/>
  <c r="AL2222" i="12"/>
  <c r="AL2223" i="12"/>
  <c r="AL2224" i="12"/>
  <c r="AL2225" i="12"/>
  <c r="AL2226" i="12"/>
  <c r="AL2227" i="12"/>
  <c r="AL2228" i="12"/>
  <c r="AL2229" i="12"/>
  <c r="AL2230" i="12"/>
  <c r="AL2231" i="12"/>
  <c r="AL2232" i="12"/>
  <c r="AL2233" i="12"/>
  <c r="AL2234" i="12"/>
  <c r="AL2235" i="12"/>
  <c r="AL2236" i="12"/>
  <c r="AL2237" i="12"/>
  <c r="AL2238" i="12"/>
  <c r="AL2239" i="12"/>
  <c r="AL2240" i="12"/>
  <c r="AL2241" i="12"/>
  <c r="AL2242" i="12"/>
  <c r="AL2243" i="12"/>
  <c r="AL2244" i="12"/>
  <c r="AL2245" i="12"/>
  <c r="AL2246" i="12"/>
  <c r="AL2247" i="12"/>
  <c r="AL2248" i="12"/>
  <c r="AL2249" i="12"/>
  <c r="AL2250" i="12"/>
  <c r="AL2251" i="12"/>
  <c r="AL2252" i="12"/>
  <c r="AL2253" i="12"/>
  <c r="AL2254" i="12"/>
  <c r="AL2255" i="12"/>
  <c r="AL2256" i="12"/>
  <c r="AL2257" i="12"/>
  <c r="AL2258" i="12"/>
  <c r="AL2259" i="12"/>
  <c r="AL2260" i="12"/>
  <c r="AL2261" i="12"/>
  <c r="AL2262" i="12"/>
  <c r="AL2263" i="12"/>
  <c r="AL2264" i="12"/>
  <c r="AL2265" i="12"/>
  <c r="AL2266" i="12"/>
  <c r="AL2267" i="12"/>
  <c r="AL2268" i="12"/>
  <c r="AL2269" i="12"/>
  <c r="AL2270" i="12"/>
  <c r="AL2271" i="12"/>
  <c r="AL2272" i="12"/>
  <c r="AL2273" i="12"/>
  <c r="AL2274" i="12"/>
  <c r="AL2275" i="12"/>
  <c r="AL2276" i="12"/>
  <c r="AL2277" i="12"/>
  <c r="AL2278" i="12"/>
  <c r="AL2279" i="12"/>
  <c r="AL2280" i="12"/>
  <c r="AL2281" i="12"/>
  <c r="AL2282" i="12"/>
  <c r="AL2283" i="12"/>
  <c r="AL2284" i="12"/>
  <c r="AL2285" i="12"/>
  <c r="AL2286" i="12"/>
  <c r="AL2287" i="12"/>
  <c r="AL2288" i="12"/>
  <c r="AL2289" i="12"/>
  <c r="AL2290" i="12"/>
  <c r="AL2291" i="12"/>
  <c r="AL2292" i="12"/>
  <c r="AL2293" i="12"/>
  <c r="AL2294" i="12"/>
  <c r="AL2295" i="12"/>
  <c r="AL2296" i="12"/>
  <c r="AL2297" i="12"/>
  <c r="AL2298" i="12"/>
  <c r="AL2299" i="12"/>
  <c r="AL2300" i="12"/>
  <c r="AL2301" i="12"/>
  <c r="AL2302" i="12"/>
  <c r="AL2303" i="12"/>
  <c r="AL2304" i="12"/>
  <c r="AL2305" i="12"/>
  <c r="AL2306" i="12"/>
  <c r="AL2307" i="12"/>
  <c r="AL2308" i="12"/>
  <c r="AL2309" i="12"/>
  <c r="AL2310" i="12"/>
  <c r="AL2311" i="12"/>
  <c r="AL2312" i="12"/>
  <c r="AL2313" i="12"/>
  <c r="AL2314" i="12"/>
  <c r="AL2315" i="12"/>
  <c r="AL2316" i="12"/>
  <c r="AL2317" i="12"/>
  <c r="AL2318" i="12"/>
  <c r="AL2319" i="12"/>
  <c r="AL2320" i="12"/>
  <c r="AL2321" i="12"/>
  <c r="AL2322" i="12"/>
  <c r="AL2323" i="12"/>
  <c r="AL2324" i="12"/>
  <c r="AL2325" i="12"/>
  <c r="AL2326" i="12"/>
  <c r="AL2327" i="12"/>
  <c r="AL2328" i="12"/>
  <c r="AL2329" i="12"/>
  <c r="AL2330" i="12"/>
  <c r="AL2331" i="12"/>
  <c r="AL2332" i="12"/>
  <c r="AL2333" i="12"/>
  <c r="AL2334" i="12"/>
  <c r="AL2335" i="12"/>
  <c r="AL2336" i="12"/>
  <c r="AL2337" i="12"/>
  <c r="AL2338" i="12"/>
  <c r="AL2339" i="12"/>
  <c r="AL2340" i="12"/>
  <c r="AL2341" i="12"/>
  <c r="AL2342" i="12"/>
  <c r="AL2343" i="12"/>
  <c r="AL2344" i="12"/>
  <c r="AL2345" i="12"/>
  <c r="AL2346" i="12"/>
  <c r="AL2347" i="12"/>
  <c r="AL2348" i="12"/>
  <c r="AL2349" i="12"/>
  <c r="AL2350" i="12"/>
  <c r="AL2351" i="12"/>
  <c r="AL2352" i="12"/>
  <c r="AL2353" i="12"/>
  <c r="AL2354" i="12"/>
  <c r="AL2355" i="12"/>
  <c r="AL2356" i="12"/>
  <c r="AL2357" i="12"/>
  <c r="AL2358" i="12"/>
  <c r="AL2359" i="12"/>
  <c r="AL2360" i="12"/>
  <c r="AL2361" i="12"/>
  <c r="AL2362" i="12"/>
  <c r="AL2363" i="12"/>
  <c r="AL2364" i="12"/>
  <c r="AL2365" i="12"/>
  <c r="AL2366" i="12"/>
  <c r="AL2367" i="12"/>
  <c r="AL2368" i="12"/>
  <c r="AL2369" i="12"/>
  <c r="AL2370" i="12"/>
  <c r="AL2371" i="12"/>
  <c r="AL2372" i="12"/>
  <c r="AL2373" i="12"/>
  <c r="AL2374" i="12"/>
  <c r="AL2375" i="12"/>
  <c r="AL2376" i="12"/>
  <c r="AL2377" i="12"/>
  <c r="AL2378" i="12"/>
  <c r="AL2379" i="12"/>
  <c r="AL2380" i="12"/>
  <c r="AL2381" i="12"/>
  <c r="AL2382" i="12"/>
  <c r="AL2383" i="12"/>
  <c r="AL2384" i="12"/>
  <c r="AL2385" i="12"/>
  <c r="AL2386" i="12"/>
  <c r="AL2387" i="12"/>
  <c r="AL2388" i="12"/>
  <c r="AL2389" i="12"/>
  <c r="AL2390" i="12"/>
  <c r="AL2391" i="12"/>
  <c r="AL2392" i="12"/>
  <c r="AL2393" i="12"/>
  <c r="AL2394" i="12"/>
  <c r="AL2395" i="12"/>
  <c r="AL2396" i="12"/>
  <c r="AL2397" i="12"/>
  <c r="AL2398" i="12"/>
  <c r="AL2399" i="12"/>
  <c r="AL2400" i="12"/>
  <c r="AL2401" i="12"/>
  <c r="AL2402" i="12"/>
  <c r="AL2403" i="12"/>
  <c r="AL2404" i="12"/>
  <c r="AL2405" i="12"/>
  <c r="AL2406" i="12"/>
  <c r="AL2407" i="12"/>
  <c r="AL2408" i="12"/>
  <c r="AL2409" i="12"/>
  <c r="AL2410" i="12"/>
  <c r="AL2411" i="12"/>
  <c r="AL2412" i="12"/>
  <c r="AL2413" i="12"/>
  <c r="AL2414" i="12"/>
  <c r="AL2415" i="12"/>
  <c r="AL2416" i="12"/>
  <c r="AL2417" i="12"/>
  <c r="AL2418" i="12"/>
  <c r="AL2419" i="12"/>
  <c r="AL2420" i="12"/>
  <c r="AL2421" i="12"/>
  <c r="AL2422" i="12"/>
  <c r="AL2423" i="12"/>
  <c r="AL2424" i="12"/>
  <c r="AL2425" i="12"/>
  <c r="AL2426" i="12"/>
  <c r="AL2427" i="12"/>
  <c r="AL2428" i="12"/>
  <c r="AL2429" i="12"/>
  <c r="AL2430" i="12"/>
  <c r="AL2431" i="12"/>
  <c r="AL2432" i="12"/>
  <c r="AL2433" i="12"/>
  <c r="AL2434" i="12"/>
  <c r="AL2435" i="12"/>
  <c r="AL2436" i="12"/>
  <c r="AL2437" i="12"/>
  <c r="AL2438" i="12"/>
  <c r="AL2439" i="12"/>
  <c r="AL2440" i="12"/>
  <c r="AL2441" i="12"/>
  <c r="AL2442" i="12"/>
  <c r="AL2443" i="12"/>
  <c r="AL2444" i="12"/>
  <c r="AL2445" i="12"/>
  <c r="AL2446" i="12"/>
  <c r="AL2447" i="12"/>
  <c r="AL2448" i="12"/>
  <c r="AL2449" i="12"/>
  <c r="AL2450" i="12"/>
  <c r="AL2451" i="12"/>
  <c r="AL2452" i="12"/>
  <c r="AL2453" i="12"/>
  <c r="AL2454" i="12"/>
  <c r="AL2455" i="12"/>
  <c r="AL2456" i="12"/>
  <c r="AL2457" i="12"/>
  <c r="AL2458" i="12"/>
  <c r="AL2459" i="12"/>
  <c r="AL2460" i="12"/>
  <c r="AL2461" i="12"/>
  <c r="AL2462" i="12"/>
  <c r="AL2463" i="12"/>
  <c r="AL2464" i="12"/>
  <c r="AL2465" i="12"/>
  <c r="AL2466" i="12"/>
  <c r="AL2467" i="12"/>
  <c r="AL2468" i="12"/>
  <c r="AL2469" i="12"/>
  <c r="AL2470" i="12"/>
  <c r="AL2471" i="12"/>
  <c r="AL2472" i="12"/>
  <c r="AL2473" i="12"/>
  <c r="AL2474" i="12"/>
  <c r="AL2475" i="12"/>
  <c r="AL2476" i="12"/>
  <c r="AL2477" i="12"/>
  <c r="AL2478" i="12"/>
  <c r="AL2479" i="12"/>
  <c r="AL2480" i="12"/>
  <c r="AL2481" i="12"/>
  <c r="AL2482" i="12"/>
  <c r="AL2483" i="12"/>
  <c r="AL2484" i="12"/>
  <c r="AL2485" i="12"/>
  <c r="AL2486" i="12"/>
  <c r="AL2487" i="12"/>
  <c r="AL2488" i="12"/>
  <c r="AL2489" i="12"/>
  <c r="AL2490" i="12"/>
  <c r="AL2491" i="12"/>
  <c r="AL2492" i="12"/>
  <c r="AL2493" i="12"/>
  <c r="AL2494" i="12"/>
  <c r="AL2495" i="12"/>
  <c r="AL2496" i="12"/>
  <c r="AL2497" i="12"/>
  <c r="AL2498" i="12"/>
  <c r="AL2499" i="12"/>
  <c r="AL2500" i="12"/>
  <c r="AL2501" i="12"/>
  <c r="AL2502" i="12"/>
  <c r="AL2503" i="12"/>
  <c r="AL2504" i="12"/>
  <c r="AL2505" i="12"/>
  <c r="AL2506" i="12"/>
  <c r="AL2507" i="12"/>
  <c r="AL2508" i="12"/>
  <c r="AL2509" i="12"/>
  <c r="AL2510" i="12"/>
  <c r="AL2511" i="12"/>
  <c r="AL2512" i="12"/>
  <c r="AL2513" i="12"/>
  <c r="AL2514" i="12"/>
  <c r="AL2515" i="12"/>
  <c r="AL2516" i="12"/>
  <c r="AL2517" i="12"/>
  <c r="AL2518" i="12"/>
  <c r="AL2519" i="12"/>
  <c r="AL2520" i="12"/>
  <c r="AL2521" i="12"/>
  <c r="AL2522" i="12"/>
  <c r="AL2523" i="12"/>
  <c r="AL2524" i="12"/>
  <c r="AL2525" i="12"/>
  <c r="AL2526" i="12"/>
  <c r="AL2527" i="12"/>
  <c r="AL2528" i="12"/>
  <c r="AL2529" i="12"/>
  <c r="AL2530" i="12"/>
  <c r="AL2531" i="12"/>
  <c r="AL2532" i="12"/>
  <c r="AL2533" i="12"/>
  <c r="AL2534" i="12"/>
  <c r="AL2535" i="12"/>
  <c r="AL2536" i="12"/>
  <c r="AL2537" i="12"/>
  <c r="AL2538" i="12"/>
  <c r="AL2539" i="12"/>
  <c r="AL2540" i="12"/>
  <c r="AL2541" i="12"/>
  <c r="AL2542" i="12"/>
  <c r="AL2543" i="12"/>
  <c r="AL2544" i="12"/>
  <c r="AL2545" i="12"/>
  <c r="AL2546" i="12"/>
  <c r="AL2547" i="12"/>
  <c r="AL2548" i="12"/>
  <c r="AL2549" i="12"/>
  <c r="AL2550" i="12"/>
  <c r="AL2551" i="12"/>
  <c r="AL2552" i="12"/>
  <c r="AL2553" i="12"/>
  <c r="AL2554" i="12"/>
  <c r="AL2555" i="12"/>
  <c r="AL2556" i="12"/>
  <c r="AL2557" i="12"/>
  <c r="AL2558" i="12"/>
  <c r="AL2559" i="12"/>
  <c r="AL2560" i="12"/>
  <c r="AL2561" i="12"/>
  <c r="AL2562" i="12"/>
  <c r="AL2563" i="12"/>
  <c r="AL2564" i="12"/>
  <c r="AL2565" i="12"/>
  <c r="AL2566" i="12"/>
  <c r="AL2567" i="12"/>
  <c r="AL2568" i="12"/>
  <c r="AL2569" i="12"/>
  <c r="AL2570" i="12"/>
  <c r="AL2571" i="12"/>
  <c r="AL2572" i="12"/>
  <c r="AL2573" i="12"/>
  <c r="AL2574" i="12"/>
  <c r="AL2575" i="12"/>
  <c r="AL2576" i="12"/>
  <c r="AL2577" i="12"/>
  <c r="AL2578" i="12"/>
  <c r="AL2579" i="12"/>
  <c r="AL2580" i="12"/>
  <c r="AL2581" i="12"/>
  <c r="AL2582" i="12"/>
  <c r="AL2583" i="12"/>
  <c r="AL2584" i="12"/>
  <c r="AL2585" i="12"/>
  <c r="AL2586" i="12"/>
  <c r="AL2587" i="12"/>
  <c r="AL2588" i="12"/>
  <c r="AL2589" i="12"/>
  <c r="AL2590" i="12"/>
  <c r="AL2591" i="12"/>
  <c r="AL2592" i="12"/>
  <c r="AL2593" i="12"/>
  <c r="AL2594" i="12"/>
  <c r="AL2595" i="12"/>
  <c r="AL2596" i="12"/>
  <c r="AL2597" i="12"/>
  <c r="AL2598" i="12"/>
  <c r="AL2599" i="12"/>
  <c r="AL2600" i="12"/>
  <c r="AL2601" i="12"/>
  <c r="AL2602" i="12"/>
  <c r="AL2603" i="12"/>
  <c r="AL2604" i="12"/>
  <c r="AL2605" i="12"/>
  <c r="AL2606" i="12"/>
  <c r="AL2607" i="12"/>
  <c r="AL2608" i="12"/>
  <c r="AL2609" i="12"/>
  <c r="AL2610" i="12"/>
  <c r="AL2611" i="12"/>
  <c r="AL2612" i="12"/>
  <c r="AL2613" i="12"/>
  <c r="AL2614" i="12"/>
  <c r="AL2615" i="12"/>
  <c r="AL2616" i="12"/>
  <c r="AL2617" i="12"/>
  <c r="AL2618" i="12"/>
  <c r="AL2619" i="12"/>
  <c r="AL2620" i="12"/>
  <c r="AL2621" i="12"/>
  <c r="AL2622" i="12"/>
  <c r="AL2623" i="12"/>
  <c r="AL2624" i="12"/>
  <c r="AL2625" i="12"/>
  <c r="AL2626" i="12"/>
  <c r="AL2627" i="12"/>
  <c r="AL2628" i="12"/>
  <c r="AL2629" i="12"/>
  <c r="AL2630" i="12"/>
  <c r="AL2631" i="12"/>
  <c r="AL2632" i="12"/>
  <c r="AL2633" i="12"/>
  <c r="AL2634" i="12"/>
  <c r="AL2635" i="12"/>
  <c r="AL2636" i="12"/>
  <c r="AL2637" i="12"/>
  <c r="AL2638" i="12"/>
  <c r="AL2639" i="12"/>
  <c r="AL2640" i="12"/>
  <c r="AL2641" i="12"/>
  <c r="AL2642" i="12"/>
  <c r="AL2643" i="12"/>
  <c r="AL2644" i="12"/>
  <c r="AL2645" i="12"/>
  <c r="AL2646" i="12"/>
  <c r="AL2647" i="12"/>
  <c r="AL2648" i="12"/>
  <c r="AL2649" i="12"/>
  <c r="AL2650" i="12"/>
  <c r="AL2651" i="12"/>
  <c r="AL2652" i="12"/>
  <c r="AL2653" i="12"/>
  <c r="AL2654" i="12"/>
  <c r="AL2655" i="12"/>
  <c r="AL2656" i="12"/>
  <c r="AL2657" i="12"/>
  <c r="AL2658" i="12"/>
  <c r="AL2659" i="12"/>
  <c r="AL2660" i="12"/>
  <c r="AL2661" i="12"/>
  <c r="AL2662" i="12"/>
  <c r="AL2663" i="12"/>
  <c r="AL2664" i="12"/>
  <c r="AL2665" i="12"/>
  <c r="AL2666" i="12"/>
  <c r="AL2667" i="12"/>
  <c r="AL2668" i="12"/>
  <c r="AL2669" i="12"/>
  <c r="AL2670" i="12"/>
  <c r="AL2671" i="12"/>
  <c r="AL2672" i="12"/>
  <c r="AL2673" i="12"/>
  <c r="AL2674" i="12"/>
  <c r="AL2675" i="12"/>
  <c r="AL2676" i="12"/>
  <c r="AL2677" i="12"/>
  <c r="AL2678" i="12"/>
  <c r="AL2679" i="12"/>
  <c r="AL2680" i="12"/>
  <c r="AL2681" i="12"/>
  <c r="AL2682" i="12"/>
  <c r="AL2683" i="12"/>
  <c r="AL2684" i="12"/>
  <c r="AL2685" i="12"/>
  <c r="AL2686" i="12"/>
  <c r="AL2687" i="12"/>
  <c r="AL2688" i="12"/>
  <c r="AL2689" i="12"/>
  <c r="AL2690" i="12"/>
  <c r="AL2691" i="12"/>
  <c r="AL2692" i="12"/>
  <c r="AL2693" i="12"/>
  <c r="AL2694" i="12"/>
  <c r="AL2695" i="12"/>
  <c r="AL2696" i="12"/>
  <c r="AL2697" i="12"/>
  <c r="AL2698" i="12"/>
  <c r="AL2699" i="12"/>
  <c r="AL2700" i="12"/>
  <c r="AL2701" i="12"/>
  <c r="AL2702" i="12"/>
  <c r="AL2703" i="12"/>
  <c r="AL2704" i="12"/>
  <c r="AL2705" i="12"/>
  <c r="AL2706" i="12"/>
  <c r="AL2707" i="12"/>
  <c r="AL2708" i="12"/>
  <c r="AL2709" i="12"/>
  <c r="AL2710" i="12"/>
  <c r="AL2711" i="12"/>
  <c r="AL2712" i="12"/>
  <c r="AL2713" i="12"/>
  <c r="AL2714" i="12"/>
  <c r="AL2715" i="12"/>
  <c r="AL2716" i="12"/>
  <c r="AL2717" i="12"/>
  <c r="AL2718" i="12"/>
  <c r="AL2719" i="12"/>
  <c r="AL2720" i="12"/>
  <c r="AL2721" i="12"/>
  <c r="AL2722" i="12"/>
  <c r="AL2723" i="12"/>
  <c r="AL2724" i="12"/>
  <c r="AL2725" i="12"/>
  <c r="AL2726" i="12"/>
  <c r="AL2727" i="12"/>
  <c r="AL2728" i="12"/>
  <c r="AL2729" i="12"/>
  <c r="AL2730" i="12"/>
  <c r="AL2731" i="12"/>
  <c r="AL2732" i="12"/>
  <c r="AL2733" i="12"/>
  <c r="AL2734" i="12"/>
  <c r="AL2735" i="12"/>
  <c r="AL2736" i="12"/>
  <c r="AL2737" i="12"/>
  <c r="AL2738" i="12"/>
  <c r="AL2739" i="12"/>
  <c r="AL2740" i="12"/>
  <c r="AL2741" i="12"/>
  <c r="AL2742" i="12"/>
  <c r="AL2743" i="12"/>
  <c r="AL2744" i="12"/>
  <c r="AL2745" i="12"/>
  <c r="AL2746" i="12"/>
  <c r="AL2747" i="12"/>
  <c r="AL2748" i="12"/>
  <c r="AL2749" i="12"/>
  <c r="AL2750" i="12"/>
  <c r="AL2751" i="12"/>
  <c r="AL2752" i="12"/>
  <c r="AL2753" i="12"/>
  <c r="AL2754" i="12"/>
  <c r="AL2755" i="12"/>
  <c r="AL2756" i="12"/>
  <c r="AL2757" i="12"/>
  <c r="AL2758" i="12"/>
  <c r="AL2759" i="12"/>
  <c r="AL2760" i="12"/>
  <c r="AL2761" i="12"/>
  <c r="AL2762" i="12"/>
  <c r="AL2763" i="12"/>
  <c r="AL2764" i="12"/>
  <c r="AL2765" i="12"/>
  <c r="AL2766" i="12"/>
  <c r="AL2767" i="12"/>
  <c r="AL2768" i="12"/>
  <c r="AL2769" i="12"/>
  <c r="AL2770" i="12"/>
  <c r="AL2771" i="12"/>
  <c r="AL2772" i="12"/>
  <c r="AL2773" i="12"/>
  <c r="AL2774" i="12"/>
  <c r="AL2775" i="12"/>
  <c r="AL2776" i="12"/>
  <c r="AL2777" i="12"/>
  <c r="AL2778" i="12"/>
  <c r="AL2779" i="12"/>
  <c r="AL2780" i="12"/>
  <c r="AL2781" i="12"/>
  <c r="AL2782" i="12"/>
  <c r="AL2783" i="12"/>
  <c r="AL2784" i="12"/>
  <c r="AL2785" i="12"/>
  <c r="AL2786" i="12"/>
  <c r="AL2787" i="12"/>
  <c r="AL2788" i="12"/>
  <c r="AL2789" i="12"/>
  <c r="AL2790" i="12"/>
  <c r="AL2791" i="12"/>
  <c r="AL2792" i="12"/>
  <c r="AL2793" i="12"/>
  <c r="AL2794" i="12"/>
  <c r="AL2795" i="12"/>
  <c r="AL2796" i="12"/>
  <c r="AL2797" i="12"/>
  <c r="AL2798" i="12"/>
  <c r="AL2799" i="12"/>
  <c r="AL2800" i="12"/>
  <c r="AL2801" i="12"/>
  <c r="AL2802" i="12"/>
  <c r="AL2803" i="12"/>
  <c r="AL2804" i="12"/>
  <c r="AL2805" i="12"/>
  <c r="AL2806" i="12"/>
  <c r="AL2807" i="12"/>
  <c r="AL2808" i="12"/>
  <c r="AL2809" i="12"/>
  <c r="AL2810" i="12"/>
  <c r="AL2811" i="12"/>
  <c r="AL2812" i="12"/>
  <c r="AL2813" i="12"/>
  <c r="AL2814" i="12"/>
  <c r="AL2815" i="12"/>
  <c r="AL2816" i="12"/>
  <c r="AL2817" i="12"/>
  <c r="AL2818" i="12"/>
  <c r="AL2819" i="12"/>
  <c r="AL2820" i="12"/>
  <c r="AL2821" i="12"/>
  <c r="AL2822" i="12"/>
  <c r="AL2823" i="12"/>
  <c r="AL2824" i="12"/>
  <c r="AL2825" i="12"/>
  <c r="AL2826" i="12"/>
  <c r="AL2827" i="12"/>
  <c r="AL2828" i="12"/>
  <c r="AL2829" i="12"/>
  <c r="AL2830" i="12"/>
  <c r="AL2831" i="12"/>
  <c r="AL2832" i="12"/>
  <c r="AL2833" i="12"/>
  <c r="AL2834" i="12"/>
  <c r="AL2835" i="12"/>
  <c r="AL2836" i="12"/>
  <c r="AL2837" i="12"/>
  <c r="AL2838" i="12"/>
  <c r="AL2839" i="12"/>
  <c r="AL2840" i="12"/>
  <c r="AL2841" i="12"/>
  <c r="AL2842" i="12"/>
  <c r="AL2843" i="12"/>
  <c r="AL2844" i="12"/>
  <c r="AL2845" i="12"/>
  <c r="AL2846" i="12"/>
  <c r="AL2847" i="12"/>
  <c r="AL2848" i="12"/>
  <c r="AL2849" i="12"/>
  <c r="AL2850" i="12"/>
  <c r="AL2851" i="12"/>
  <c r="AL2852" i="12"/>
  <c r="AL2853" i="12"/>
  <c r="AL2854" i="12"/>
  <c r="AL2855" i="12"/>
  <c r="AL2856" i="12"/>
  <c r="AL2857" i="12"/>
  <c r="AL2858" i="12"/>
  <c r="AL2859" i="12"/>
  <c r="AL2860" i="12"/>
  <c r="AL2861" i="12"/>
  <c r="AL2862" i="12"/>
  <c r="AL2863" i="12"/>
  <c r="AL2864" i="12"/>
  <c r="AL2865" i="12"/>
  <c r="AL2866" i="12"/>
  <c r="AL2867" i="12"/>
  <c r="AL2868" i="12"/>
  <c r="AL2869" i="12"/>
  <c r="AL2870" i="12"/>
  <c r="AL2871" i="12"/>
  <c r="AL2872" i="12"/>
  <c r="AL2873" i="12"/>
  <c r="AL2874" i="12"/>
  <c r="AL2875" i="12"/>
  <c r="AL2876" i="12"/>
  <c r="AL2877" i="12"/>
  <c r="AL2878" i="12"/>
  <c r="AL2879" i="12"/>
  <c r="AL2880" i="12"/>
  <c r="AL2881" i="12"/>
  <c r="AL2882" i="12"/>
  <c r="AL2883" i="12"/>
  <c r="AL2884" i="12"/>
  <c r="AL2885" i="12"/>
  <c r="AL2886" i="12"/>
  <c r="AL2887" i="12"/>
  <c r="AL2888" i="12"/>
  <c r="AL2889" i="12"/>
  <c r="AL2890" i="12"/>
  <c r="AL2891" i="12"/>
  <c r="AL2892" i="12"/>
  <c r="AL2893" i="12"/>
  <c r="AL2894" i="12"/>
  <c r="AL2895" i="12"/>
  <c r="AL2896" i="12"/>
  <c r="AL2897" i="12"/>
  <c r="AL2898" i="12"/>
  <c r="AL2899" i="12"/>
  <c r="AL2900" i="12"/>
  <c r="AL2901" i="12"/>
  <c r="AL2902" i="12"/>
  <c r="AL2903" i="12"/>
  <c r="AL2904" i="12"/>
  <c r="AL2905" i="12"/>
  <c r="AL2906" i="12"/>
  <c r="AL2907" i="12"/>
  <c r="AL2908" i="12"/>
  <c r="AL2909" i="12"/>
  <c r="AL2910" i="12"/>
  <c r="AL2911" i="12"/>
  <c r="AL2912" i="12"/>
  <c r="AL2913" i="12"/>
  <c r="AL2914" i="12"/>
  <c r="AL2915" i="12"/>
  <c r="AL2916" i="12"/>
  <c r="AL2917" i="12"/>
  <c r="AL2918" i="12"/>
  <c r="AL2919" i="12"/>
  <c r="AL2920" i="12"/>
  <c r="AL2921" i="12"/>
  <c r="AL2922" i="12"/>
  <c r="AL2923" i="12"/>
  <c r="AL2924" i="12"/>
  <c r="AL2925" i="12"/>
  <c r="AL2926" i="12"/>
  <c r="AL2927" i="12"/>
  <c r="AL2928" i="12"/>
  <c r="AL2929" i="12"/>
  <c r="AL2930" i="12"/>
  <c r="AL2931" i="12"/>
  <c r="AL2932" i="12"/>
  <c r="AL2933" i="12"/>
  <c r="AL2934" i="12"/>
  <c r="AL2935" i="12"/>
  <c r="AL2936" i="12"/>
  <c r="AL2937" i="12"/>
  <c r="AL2938" i="12"/>
  <c r="AL2939" i="12"/>
  <c r="AL2940" i="12"/>
  <c r="AL2941" i="12"/>
  <c r="AL2942" i="12"/>
  <c r="AL2943" i="12"/>
  <c r="AL2944" i="12"/>
  <c r="AL2945" i="12"/>
  <c r="AL2946" i="12"/>
  <c r="AL2947" i="12"/>
  <c r="AL2948" i="12"/>
  <c r="AL2949" i="12"/>
  <c r="AL2950" i="12"/>
  <c r="AL2951" i="12"/>
  <c r="AL2952" i="12"/>
  <c r="AL2953" i="12"/>
  <c r="AL2954" i="12"/>
  <c r="AL2955" i="12"/>
  <c r="AL2956" i="12"/>
  <c r="AL2957" i="12"/>
  <c r="AL2958" i="12"/>
  <c r="AL2959" i="12"/>
  <c r="AL2960" i="12"/>
  <c r="AL2961" i="12"/>
  <c r="AL2962" i="12"/>
  <c r="AL2963" i="12"/>
  <c r="AL2964" i="12"/>
  <c r="AL2965" i="12"/>
  <c r="AL2966" i="12"/>
  <c r="AL2967" i="12"/>
  <c r="AL2968" i="12"/>
  <c r="AL2969" i="12"/>
  <c r="AL2970" i="12"/>
  <c r="AL2971" i="12"/>
  <c r="AL2972" i="12"/>
  <c r="AL2973" i="12"/>
  <c r="AL2974" i="12"/>
  <c r="AL2975" i="12"/>
  <c r="AL2976" i="12"/>
  <c r="AL2977" i="12"/>
  <c r="AL2978" i="12"/>
  <c r="AL2979" i="12"/>
  <c r="AL2980" i="12"/>
  <c r="AL2981" i="12"/>
  <c r="AL2982" i="12"/>
  <c r="AL2983" i="12"/>
  <c r="AL2984" i="12"/>
  <c r="AL2985" i="12"/>
  <c r="AL2986" i="12"/>
  <c r="AL2987" i="12"/>
  <c r="AL2988" i="12"/>
  <c r="AL2989" i="12"/>
  <c r="AL2990" i="12"/>
  <c r="AL2991" i="12"/>
  <c r="AL2992" i="12"/>
  <c r="AL2993" i="12"/>
  <c r="AL2994" i="12"/>
  <c r="AL2995" i="12"/>
  <c r="AL2996" i="12"/>
  <c r="AL2997" i="12"/>
  <c r="AL2998" i="12"/>
  <c r="AL2999" i="12"/>
  <c r="AL3000" i="12"/>
  <c r="AL3001" i="12"/>
  <c r="AL3002" i="12"/>
  <c r="AL3003" i="12"/>
  <c r="AL3004" i="12"/>
  <c r="AL3005" i="12"/>
  <c r="AL3006" i="12"/>
  <c r="AL3007" i="12"/>
  <c r="AL3008" i="12"/>
  <c r="AL3009" i="12"/>
  <c r="AL3010" i="12"/>
  <c r="AL3011" i="12"/>
  <c r="AL3012" i="12"/>
  <c r="AL3013" i="12"/>
  <c r="AL3014" i="12"/>
  <c r="AL3015" i="12"/>
  <c r="AL3016" i="12"/>
  <c r="AL3017" i="12"/>
  <c r="AL3018" i="12"/>
  <c r="AL3019" i="12"/>
  <c r="AL3020" i="12"/>
  <c r="AL3021" i="12"/>
  <c r="AL3022" i="12"/>
  <c r="AL3023" i="12"/>
  <c r="AL3024" i="12"/>
  <c r="AL3025" i="12"/>
  <c r="AL3026" i="12"/>
  <c r="AL3027" i="12"/>
  <c r="AL3028" i="12"/>
  <c r="AL3029" i="12"/>
  <c r="AL3030" i="12"/>
  <c r="AL3031" i="12"/>
  <c r="AL3032" i="12"/>
  <c r="AL3033" i="12"/>
  <c r="AL3034" i="12"/>
  <c r="AL3035" i="12"/>
  <c r="AL3036" i="12"/>
  <c r="AL3037" i="12"/>
  <c r="AL3038" i="12"/>
  <c r="AL3039" i="12"/>
  <c r="AL3040" i="12"/>
  <c r="AL3041" i="12"/>
  <c r="AL3042" i="12"/>
  <c r="AL3043" i="12"/>
  <c r="AL3044" i="12"/>
  <c r="AL3045" i="12"/>
  <c r="AL3046" i="12"/>
  <c r="AL3047" i="12"/>
  <c r="AL3048" i="12"/>
  <c r="AL3049" i="12"/>
  <c r="AL3050" i="12"/>
  <c r="AL3051" i="12"/>
  <c r="AL3052" i="12"/>
  <c r="AL3053" i="12"/>
  <c r="AL3054" i="12"/>
  <c r="AL3055" i="12"/>
  <c r="AL3056" i="12"/>
  <c r="AL3057" i="12"/>
  <c r="AL3058" i="12"/>
  <c r="AL3059" i="12"/>
  <c r="AL3060" i="12"/>
  <c r="AL3061" i="12"/>
  <c r="AL3062" i="12"/>
  <c r="AL3063" i="12"/>
  <c r="AL3064" i="12"/>
  <c r="AL3065" i="12"/>
  <c r="AL3066" i="12"/>
  <c r="AL3067" i="12"/>
  <c r="AL3068" i="12"/>
  <c r="AL3069" i="12"/>
  <c r="AL3070" i="12"/>
  <c r="AL3071" i="12"/>
  <c r="AL3072" i="12"/>
  <c r="AL3073" i="12"/>
  <c r="AL3074" i="12"/>
  <c r="AL3075" i="12"/>
  <c r="AL3076" i="12"/>
  <c r="AL3077" i="12"/>
  <c r="AL3078" i="12"/>
  <c r="AL3079" i="12"/>
  <c r="AL3080" i="12"/>
  <c r="AL3081" i="12"/>
  <c r="AL3082" i="12"/>
  <c r="AL3083" i="12"/>
  <c r="AL3084" i="12"/>
  <c r="AL3085" i="12"/>
  <c r="AL3086" i="12"/>
  <c r="AL3087" i="12"/>
  <c r="AL3088" i="12"/>
  <c r="AL3089" i="12"/>
  <c r="AL3090" i="12"/>
  <c r="AL3091" i="12"/>
  <c r="AL3092" i="12"/>
  <c r="AL3093" i="12"/>
  <c r="AL3094" i="12"/>
  <c r="AL3095" i="12"/>
  <c r="AL3096" i="12"/>
  <c r="AL3097" i="12"/>
  <c r="AL3098" i="12"/>
  <c r="AL3099" i="12"/>
  <c r="AL3100" i="12"/>
  <c r="AL3101" i="12"/>
  <c r="AL3102" i="12"/>
  <c r="AL3103" i="12"/>
  <c r="AL3104" i="12"/>
  <c r="AL3105" i="12"/>
  <c r="AL3106" i="12"/>
  <c r="AL3107" i="12"/>
  <c r="AL3108" i="12"/>
  <c r="AL3109" i="12"/>
  <c r="AL3110" i="12"/>
  <c r="AL3111" i="12"/>
  <c r="AL3112" i="12"/>
  <c r="AL3113" i="12"/>
  <c r="AL3114" i="12"/>
  <c r="AL3115" i="12"/>
  <c r="AL3116" i="12"/>
  <c r="AL3117" i="12"/>
  <c r="AL3118" i="12"/>
  <c r="AL3119" i="12"/>
  <c r="AL3120" i="12"/>
  <c r="AL3121" i="12"/>
  <c r="AL3122" i="12"/>
  <c r="AL3123" i="12"/>
  <c r="AL3124" i="12"/>
  <c r="AL3125" i="12"/>
  <c r="AL3126" i="12"/>
  <c r="AL3127" i="12"/>
  <c r="AL3128" i="12"/>
  <c r="AL3129" i="12"/>
  <c r="AL3130" i="12"/>
  <c r="AL3131" i="12"/>
  <c r="AL3132" i="12"/>
  <c r="AL3133" i="12"/>
  <c r="AL3134" i="12"/>
  <c r="AL3135" i="12"/>
  <c r="AL3136" i="12"/>
  <c r="AL3137" i="12"/>
  <c r="AL3138" i="12"/>
  <c r="AL3139" i="12"/>
  <c r="AL3140" i="12"/>
  <c r="AL3141" i="12"/>
  <c r="AL3142" i="12"/>
  <c r="AL3143" i="12"/>
  <c r="AL3144" i="12"/>
  <c r="AL3145" i="12"/>
  <c r="AL3146" i="12"/>
  <c r="AL3147" i="12"/>
  <c r="AL3148" i="12"/>
  <c r="AL3149" i="12"/>
  <c r="AL3150" i="12"/>
  <c r="AL3151" i="12"/>
  <c r="AL3152" i="12"/>
  <c r="AL3153" i="12"/>
  <c r="AL3154" i="12"/>
  <c r="AL3155" i="12"/>
  <c r="AL3156" i="12"/>
  <c r="AL3157" i="12"/>
  <c r="AL3158" i="12"/>
  <c r="AL3159" i="12"/>
  <c r="AL3160" i="12"/>
  <c r="AL3161" i="12"/>
  <c r="AL3162" i="12"/>
  <c r="AL3163" i="12"/>
  <c r="AL3164" i="12"/>
  <c r="AL3165" i="12"/>
  <c r="AL3166" i="12"/>
  <c r="AL3167" i="12"/>
  <c r="AL3168" i="12"/>
  <c r="AL3169" i="12"/>
  <c r="AL3170" i="12"/>
  <c r="AL3171" i="12"/>
  <c r="AL3172" i="12"/>
  <c r="AL3173" i="12"/>
  <c r="AL3174" i="12"/>
  <c r="AL3175" i="12"/>
  <c r="AL3176" i="12"/>
  <c r="AL3177" i="12"/>
  <c r="AL3178" i="12"/>
  <c r="AL3179" i="12"/>
  <c r="AL3180" i="12"/>
  <c r="AL3181" i="12"/>
  <c r="AL3182" i="12"/>
  <c r="AL3183" i="12"/>
  <c r="AL3184" i="12"/>
  <c r="AL3185" i="12"/>
  <c r="AL3186" i="12"/>
  <c r="AL3187" i="12"/>
  <c r="AL3188" i="12"/>
  <c r="AL3189" i="12"/>
  <c r="AL3190" i="12"/>
  <c r="AL3191" i="12"/>
  <c r="AL3192" i="12"/>
  <c r="AL3193" i="12"/>
  <c r="AL3194" i="12"/>
  <c r="AL3195" i="12"/>
  <c r="AL3196" i="12"/>
  <c r="AL3197" i="12"/>
  <c r="AL3198" i="12"/>
  <c r="AL3199" i="12"/>
  <c r="AL3200" i="12"/>
  <c r="AL3201" i="12"/>
  <c r="AL3202" i="12"/>
  <c r="AL3203" i="12"/>
  <c r="AL3204" i="12"/>
  <c r="AL3205" i="12"/>
  <c r="AL3206" i="12"/>
  <c r="AL3207" i="12"/>
  <c r="AL3208" i="12"/>
  <c r="AL3209" i="12"/>
  <c r="AL3210" i="12"/>
  <c r="AL3211" i="12"/>
  <c r="AL3212" i="12"/>
  <c r="AL3213" i="12"/>
  <c r="AL3214" i="12"/>
  <c r="AL3215" i="12"/>
  <c r="AL3216" i="12"/>
  <c r="AL3217" i="12"/>
  <c r="AL3218" i="12"/>
  <c r="AL3219" i="12"/>
  <c r="AL3220" i="12"/>
  <c r="AL3221" i="12"/>
  <c r="AL3222" i="12"/>
  <c r="AL3223" i="12"/>
  <c r="AL3224" i="12"/>
  <c r="AL3225" i="12"/>
  <c r="AL3226" i="12"/>
  <c r="AL3227" i="12"/>
  <c r="AL3228" i="12"/>
  <c r="AL3229" i="12"/>
  <c r="AL3230" i="12"/>
  <c r="AL3231" i="12"/>
  <c r="AL3232" i="12"/>
  <c r="AL3233" i="12"/>
  <c r="AL3234" i="12"/>
  <c r="AL3235" i="12"/>
  <c r="AL3236" i="12"/>
  <c r="AL3237" i="12"/>
  <c r="AL3238" i="12"/>
  <c r="AL3239" i="12"/>
  <c r="AL3240" i="12"/>
  <c r="AL3241" i="12"/>
  <c r="AL3242" i="12"/>
  <c r="AL3243" i="12"/>
  <c r="AL3244" i="12"/>
  <c r="AL3245" i="12"/>
  <c r="AL3246" i="12"/>
  <c r="AL3247" i="12"/>
  <c r="AL3248" i="12"/>
  <c r="AL3249" i="12"/>
  <c r="AL3250" i="12"/>
  <c r="AL3251" i="12"/>
  <c r="AL3252" i="12"/>
  <c r="AL3253" i="12"/>
  <c r="AL3254" i="12"/>
  <c r="AL3255" i="12"/>
  <c r="AL3256" i="12"/>
  <c r="AL3257" i="12"/>
  <c r="AL3258" i="12"/>
  <c r="AL3259" i="12"/>
  <c r="AL3260" i="12"/>
  <c r="AL3261" i="12"/>
  <c r="AL3262" i="12"/>
  <c r="AL3263" i="12"/>
  <c r="AL3264" i="12"/>
  <c r="AL3265" i="12"/>
  <c r="AL3266" i="12"/>
  <c r="AL3267" i="12"/>
  <c r="AL3268" i="12"/>
  <c r="AL3269" i="12"/>
  <c r="AL3270" i="12"/>
  <c r="AL3271" i="12"/>
  <c r="AL3272" i="12"/>
  <c r="AL3273" i="12"/>
  <c r="AL3274" i="12"/>
  <c r="AL3275" i="12"/>
  <c r="AL3276" i="12"/>
  <c r="AL3277" i="12"/>
  <c r="AL3278" i="12"/>
  <c r="AL3279" i="12"/>
  <c r="AL3280" i="12"/>
  <c r="AL3281" i="12"/>
  <c r="AL3282" i="12"/>
  <c r="AL3283" i="12"/>
  <c r="AL3284" i="12"/>
  <c r="AL3285" i="12"/>
  <c r="AL3286" i="12"/>
  <c r="AL3287" i="12"/>
  <c r="AL3288" i="12"/>
  <c r="AL3289" i="12"/>
  <c r="AL3290" i="12"/>
  <c r="AL3291" i="12"/>
  <c r="AL3292" i="12"/>
  <c r="AL3293" i="12"/>
  <c r="AL3294" i="12"/>
  <c r="AL3295" i="12"/>
  <c r="AL3296" i="12"/>
  <c r="AL3297" i="12"/>
  <c r="AL3298" i="12"/>
  <c r="AL3299" i="12"/>
  <c r="AL3300" i="12"/>
  <c r="AL3301" i="12"/>
  <c r="AL3302" i="12"/>
  <c r="AL3303" i="12"/>
  <c r="AL3304" i="12"/>
  <c r="AL3305" i="12"/>
  <c r="AL3306" i="12"/>
  <c r="AL3307" i="12"/>
  <c r="AL3308" i="12"/>
  <c r="AL3309" i="12"/>
  <c r="AL3310" i="12"/>
  <c r="AL3311" i="12"/>
  <c r="AL3312" i="12"/>
  <c r="AL3313" i="12"/>
  <c r="AL3" i="12"/>
  <c r="AM4" i="12"/>
  <c r="AM5" i="12"/>
  <c r="AM6" i="12"/>
  <c r="AM7" i="12"/>
  <c r="AM8" i="12"/>
  <c r="AM9" i="12"/>
  <c r="AM10" i="12"/>
  <c r="AM11" i="12"/>
  <c r="AM1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223" i="12"/>
  <c r="AM224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525" i="12"/>
  <c r="AM526" i="12"/>
  <c r="AM527" i="12"/>
  <c r="AM528" i="12"/>
  <c r="AM529" i="12"/>
  <c r="AM530" i="12"/>
  <c r="AM531" i="12"/>
  <c r="AM532" i="12"/>
  <c r="AM533" i="12"/>
  <c r="AM534" i="12"/>
  <c r="AM535" i="12"/>
  <c r="AM536" i="12"/>
  <c r="AM537" i="12"/>
  <c r="AM538" i="12"/>
  <c r="AM539" i="12"/>
  <c r="AM540" i="12"/>
  <c r="AM541" i="12"/>
  <c r="AM542" i="12"/>
  <c r="AM543" i="12"/>
  <c r="AM544" i="12"/>
  <c r="AM545" i="12"/>
  <c r="AM546" i="12"/>
  <c r="AM547" i="12"/>
  <c r="AM548" i="12"/>
  <c r="AM549" i="12"/>
  <c r="AM550" i="12"/>
  <c r="AM551" i="12"/>
  <c r="AM552" i="12"/>
  <c r="AM553" i="12"/>
  <c r="AM554" i="12"/>
  <c r="AM555" i="12"/>
  <c r="AM556" i="12"/>
  <c r="AM557" i="12"/>
  <c r="AM558" i="12"/>
  <c r="AM559" i="12"/>
  <c r="AM560" i="12"/>
  <c r="AM561" i="12"/>
  <c r="AM562" i="12"/>
  <c r="AM563" i="12"/>
  <c r="AM564" i="12"/>
  <c r="AM565" i="12"/>
  <c r="AM566" i="12"/>
  <c r="AM567" i="12"/>
  <c r="AM568" i="12"/>
  <c r="AM569" i="12"/>
  <c r="AM570" i="12"/>
  <c r="AM571" i="12"/>
  <c r="AM572" i="12"/>
  <c r="AM573" i="12"/>
  <c r="AM574" i="12"/>
  <c r="AM575" i="12"/>
  <c r="AM576" i="12"/>
  <c r="AM577" i="12"/>
  <c r="AM578" i="12"/>
  <c r="AM579" i="12"/>
  <c r="AM580" i="12"/>
  <c r="AM581" i="12"/>
  <c r="AM582" i="12"/>
  <c r="AM583" i="12"/>
  <c r="AM584" i="12"/>
  <c r="AM585" i="12"/>
  <c r="AM586" i="12"/>
  <c r="AM587" i="12"/>
  <c r="AM588" i="12"/>
  <c r="AM589" i="12"/>
  <c r="AM590" i="12"/>
  <c r="AM591" i="12"/>
  <c r="AM592" i="12"/>
  <c r="AM593" i="12"/>
  <c r="AM594" i="12"/>
  <c r="AM595" i="12"/>
  <c r="AM596" i="12"/>
  <c r="AM597" i="12"/>
  <c r="AM598" i="12"/>
  <c r="AM599" i="12"/>
  <c r="AM600" i="12"/>
  <c r="AM601" i="12"/>
  <c r="AM602" i="12"/>
  <c r="AM603" i="12"/>
  <c r="AM604" i="12"/>
  <c r="AM605" i="12"/>
  <c r="AM606" i="12"/>
  <c r="AM607" i="12"/>
  <c r="AM608" i="12"/>
  <c r="AM609" i="12"/>
  <c r="AM610" i="12"/>
  <c r="AM611" i="12"/>
  <c r="AM612" i="12"/>
  <c r="AM613" i="12"/>
  <c r="AM614" i="12"/>
  <c r="AM615" i="12"/>
  <c r="AM616" i="12"/>
  <c r="AM617" i="12"/>
  <c r="AM618" i="12"/>
  <c r="AM619" i="12"/>
  <c r="AM620" i="12"/>
  <c r="AM621" i="12"/>
  <c r="AM622" i="12"/>
  <c r="AM623" i="12"/>
  <c r="AM624" i="12"/>
  <c r="AM625" i="12"/>
  <c r="AM626" i="12"/>
  <c r="AM627" i="12"/>
  <c r="AM628" i="12"/>
  <c r="AM629" i="12"/>
  <c r="AM630" i="12"/>
  <c r="AM631" i="12"/>
  <c r="AM632" i="12"/>
  <c r="AM633" i="12"/>
  <c r="AM634" i="12"/>
  <c r="AM635" i="12"/>
  <c r="AM636" i="12"/>
  <c r="AM637" i="12"/>
  <c r="AM638" i="12"/>
  <c r="AM639" i="12"/>
  <c r="AM640" i="12"/>
  <c r="AM641" i="12"/>
  <c r="AM642" i="12"/>
  <c r="AM643" i="12"/>
  <c r="AM644" i="12"/>
  <c r="AM645" i="12"/>
  <c r="AM646" i="12"/>
  <c r="AM647" i="12"/>
  <c r="AM648" i="12"/>
  <c r="AM649" i="12"/>
  <c r="AM650" i="12"/>
  <c r="AM651" i="12"/>
  <c r="AM652" i="12"/>
  <c r="AM653" i="12"/>
  <c r="AM654" i="12"/>
  <c r="AM655" i="12"/>
  <c r="AM656" i="12"/>
  <c r="AM657" i="12"/>
  <c r="AM658" i="12"/>
  <c r="AM659" i="12"/>
  <c r="AM660" i="12"/>
  <c r="AM661" i="12"/>
  <c r="AM662" i="12"/>
  <c r="AM663" i="12"/>
  <c r="AM664" i="12"/>
  <c r="AM665" i="12"/>
  <c r="AM666" i="12"/>
  <c r="AM667" i="12"/>
  <c r="AM668" i="12"/>
  <c r="AM669" i="12"/>
  <c r="AM670" i="12"/>
  <c r="AM671" i="12"/>
  <c r="AM672" i="12"/>
  <c r="AM673" i="12"/>
  <c r="AM674" i="12"/>
  <c r="AM675" i="12"/>
  <c r="AM676" i="12"/>
  <c r="AM677" i="12"/>
  <c r="AM678" i="12"/>
  <c r="AM679" i="12"/>
  <c r="AM680" i="12"/>
  <c r="AM681" i="12"/>
  <c r="AM682" i="12"/>
  <c r="AM683" i="12"/>
  <c r="AM684" i="12"/>
  <c r="AM685" i="12"/>
  <c r="AM686" i="12"/>
  <c r="AM687" i="12"/>
  <c r="AM688" i="12"/>
  <c r="AM689" i="12"/>
  <c r="AM690" i="12"/>
  <c r="AM691" i="12"/>
  <c r="AM692" i="12"/>
  <c r="AM693" i="12"/>
  <c r="AM694" i="12"/>
  <c r="AM695" i="12"/>
  <c r="AM696" i="12"/>
  <c r="AM697" i="12"/>
  <c r="AM698" i="12"/>
  <c r="AM699" i="12"/>
  <c r="AM700" i="12"/>
  <c r="AM701" i="12"/>
  <c r="AM702" i="12"/>
  <c r="AM703" i="12"/>
  <c r="AM704" i="12"/>
  <c r="AM705" i="12"/>
  <c r="AM706" i="12"/>
  <c r="AM707" i="12"/>
  <c r="AM708" i="12"/>
  <c r="AM709" i="12"/>
  <c r="AM710" i="12"/>
  <c r="AM711" i="12"/>
  <c r="AM712" i="12"/>
  <c r="AM713" i="12"/>
  <c r="AM714" i="12"/>
  <c r="AM715" i="12"/>
  <c r="AM716" i="12"/>
  <c r="AM717" i="12"/>
  <c r="AM718" i="12"/>
  <c r="AM719" i="12"/>
  <c r="AM720" i="12"/>
  <c r="AM721" i="12"/>
  <c r="AM722" i="12"/>
  <c r="AM723" i="12"/>
  <c r="AM724" i="12"/>
  <c r="AM725" i="12"/>
  <c r="AM726" i="12"/>
  <c r="AM727" i="12"/>
  <c r="AM728" i="12"/>
  <c r="AM729" i="12"/>
  <c r="AM730" i="12"/>
  <c r="AM731" i="12"/>
  <c r="AM732" i="12"/>
  <c r="AM733" i="12"/>
  <c r="AM734" i="12"/>
  <c r="AM735" i="12"/>
  <c r="AM736" i="12"/>
  <c r="AM737" i="12"/>
  <c r="AM738" i="12"/>
  <c r="AM739" i="12"/>
  <c r="AM740" i="12"/>
  <c r="AM741" i="12"/>
  <c r="AM742" i="12"/>
  <c r="AM743" i="12"/>
  <c r="AM744" i="12"/>
  <c r="AM745" i="12"/>
  <c r="AM746" i="12"/>
  <c r="AM747" i="12"/>
  <c r="AM748" i="12"/>
  <c r="AM749" i="12"/>
  <c r="AM750" i="12"/>
  <c r="AM751" i="12"/>
  <c r="AM752" i="12"/>
  <c r="AM753" i="12"/>
  <c r="AM754" i="12"/>
  <c r="AM755" i="12"/>
  <c r="AM756" i="12"/>
  <c r="AM757" i="12"/>
  <c r="AM758" i="12"/>
  <c r="AM759" i="12"/>
  <c r="AM760" i="12"/>
  <c r="AM761" i="12"/>
  <c r="AM763" i="12"/>
  <c r="AM764" i="12"/>
  <c r="AM765" i="12"/>
  <c r="AM766" i="12"/>
  <c r="AM767" i="12"/>
  <c r="AM768" i="12"/>
  <c r="AM769" i="12"/>
  <c r="AM770" i="12"/>
  <c r="AM771" i="12"/>
  <c r="AM772" i="12"/>
  <c r="AM773" i="12"/>
  <c r="AM774" i="12"/>
  <c r="AM775" i="12"/>
  <c r="AM776" i="12"/>
  <c r="AM777" i="12"/>
  <c r="AM778" i="12"/>
  <c r="AM779" i="12"/>
  <c r="AM780" i="12"/>
  <c r="AM781" i="12"/>
  <c r="AM782" i="12"/>
  <c r="AM783" i="12"/>
  <c r="AM784" i="12"/>
  <c r="AM785" i="12"/>
  <c r="AM786" i="12"/>
  <c r="AM787" i="12"/>
  <c r="AM788" i="12"/>
  <c r="AM789" i="12"/>
  <c r="AM790" i="12"/>
  <c r="AM791" i="12"/>
  <c r="AM792" i="12"/>
  <c r="AM793" i="12"/>
  <c r="AM794" i="12"/>
  <c r="AM795" i="12"/>
  <c r="AM796" i="12"/>
  <c r="AM797" i="12"/>
  <c r="AM798" i="12"/>
  <c r="AM799" i="12"/>
  <c r="AM800" i="12"/>
  <c r="AM801" i="12"/>
  <c r="AM802" i="12"/>
  <c r="AM803" i="12"/>
  <c r="AM804" i="12"/>
  <c r="AM805" i="12"/>
  <c r="AM806" i="12"/>
  <c r="AM807" i="12"/>
  <c r="AM808" i="12"/>
  <c r="AM809" i="12"/>
  <c r="AM810" i="12"/>
  <c r="AM811" i="12"/>
  <c r="AM812" i="12"/>
  <c r="AM813" i="12"/>
  <c r="AM814" i="12"/>
  <c r="AM815" i="12"/>
  <c r="AM816" i="12"/>
  <c r="AM817" i="12"/>
  <c r="AM818" i="12"/>
  <c r="AM819" i="12"/>
  <c r="AM820" i="12"/>
  <c r="AM821" i="12"/>
  <c r="AM822" i="12"/>
  <c r="AM823" i="12"/>
  <c r="AM824" i="12"/>
  <c r="AM825" i="12"/>
  <c r="AM826" i="12"/>
  <c r="AM827" i="12"/>
  <c r="AM828" i="12"/>
  <c r="AM829" i="12"/>
  <c r="AM830" i="12"/>
  <c r="AM831" i="12"/>
  <c r="AM832" i="12"/>
  <c r="AM834" i="12"/>
  <c r="AM835" i="12"/>
  <c r="AM836" i="12"/>
  <c r="AM837" i="12"/>
  <c r="AM838" i="12"/>
  <c r="AM839" i="12"/>
  <c r="AM840" i="12"/>
  <c r="AM841" i="12"/>
  <c r="AM842" i="12"/>
  <c r="AM843" i="12"/>
  <c r="AM844" i="12"/>
  <c r="AM845" i="12"/>
  <c r="AM846" i="12"/>
  <c r="AM847" i="12"/>
  <c r="AM848" i="12"/>
  <c r="AM849" i="12"/>
  <c r="AM850" i="12"/>
  <c r="AM851" i="12"/>
  <c r="AM852" i="12"/>
  <c r="AM853" i="12"/>
  <c r="AM854" i="12"/>
  <c r="AM855" i="12"/>
  <c r="AM856" i="12"/>
  <c r="AM857" i="12"/>
  <c r="AM858" i="12"/>
  <c r="AM859" i="12"/>
  <c r="AM860" i="12"/>
  <c r="AM861" i="12"/>
  <c r="AM862" i="12"/>
  <c r="AM863" i="12"/>
  <c r="AM864" i="12"/>
  <c r="AM865" i="12"/>
  <c r="AM866" i="12"/>
  <c r="AM867" i="12"/>
  <c r="AM868" i="12"/>
  <c r="AM869" i="12"/>
  <c r="AM870" i="12"/>
  <c r="AM871" i="12"/>
  <c r="AM872" i="12"/>
  <c r="AM873" i="12"/>
  <c r="AM874" i="12"/>
  <c r="AM875" i="12"/>
  <c r="AM876" i="12"/>
  <c r="AM877" i="12"/>
  <c r="AM878" i="12"/>
  <c r="AM879" i="12"/>
  <c r="AM880" i="12"/>
  <c r="AM881" i="12"/>
  <c r="AM882" i="12"/>
  <c r="AM883" i="12"/>
  <c r="AM884" i="12"/>
  <c r="AM885" i="12"/>
  <c r="AM886" i="12"/>
  <c r="AM887" i="12"/>
  <c r="AM888" i="12"/>
  <c r="AM889" i="12"/>
  <c r="AM890" i="12"/>
  <c r="AM891" i="12"/>
  <c r="AM892" i="12"/>
  <c r="AM893" i="12"/>
  <c r="AM894" i="12"/>
  <c r="AM895" i="12"/>
  <c r="AM896" i="12"/>
  <c r="AM897" i="12"/>
  <c r="AM898" i="12"/>
  <c r="AM899" i="12"/>
  <c r="AM900" i="12"/>
  <c r="AM901" i="12"/>
  <c r="AM902" i="12"/>
  <c r="AM904" i="12"/>
  <c r="AM905" i="12"/>
  <c r="AM906" i="12"/>
  <c r="AM907" i="12"/>
  <c r="AM908" i="12"/>
  <c r="AM909" i="12"/>
  <c r="AM910" i="12"/>
  <c r="AM911" i="12"/>
  <c r="AM912" i="12"/>
  <c r="AM913" i="12"/>
  <c r="AM914" i="12"/>
  <c r="AM915" i="12"/>
  <c r="AM916" i="12"/>
  <c r="AM917" i="12"/>
  <c r="AM918" i="12"/>
  <c r="AM919" i="12"/>
  <c r="AM920" i="12"/>
  <c r="AM921" i="12"/>
  <c r="AM922" i="12"/>
  <c r="AM923" i="12"/>
  <c r="AM924" i="12"/>
  <c r="AM925" i="12"/>
  <c r="AM926" i="12"/>
  <c r="AM927" i="12"/>
  <c r="AM928" i="12"/>
  <c r="AM929" i="12"/>
  <c r="AM930" i="12"/>
  <c r="AM931" i="12"/>
  <c r="AM932" i="12"/>
  <c r="AM933" i="12"/>
  <c r="AM934" i="12"/>
  <c r="AM935" i="12"/>
  <c r="AM936" i="12"/>
  <c r="AM937" i="12"/>
  <c r="AM938" i="12"/>
  <c r="AM939" i="12"/>
  <c r="AM940" i="12"/>
  <c r="AM941" i="12"/>
  <c r="AM942" i="12"/>
  <c r="AM943" i="12"/>
  <c r="AM944" i="12"/>
  <c r="AM945" i="12"/>
  <c r="AM946" i="12"/>
  <c r="AM947" i="12"/>
  <c r="AM948" i="12"/>
  <c r="AM949" i="12"/>
  <c r="AM950" i="12"/>
  <c r="AM951" i="12"/>
  <c r="AM952" i="12"/>
  <c r="AM953" i="12"/>
  <c r="AM954" i="12"/>
  <c r="AM955" i="12"/>
  <c r="AM956" i="12"/>
  <c r="AM957" i="12"/>
  <c r="AM958" i="12"/>
  <c r="AM959" i="12"/>
  <c r="AM960" i="12"/>
  <c r="AM961" i="12"/>
  <c r="AM962" i="12"/>
  <c r="AM963" i="12"/>
  <c r="AM964" i="12"/>
  <c r="AM965" i="12"/>
  <c r="AM966" i="12"/>
  <c r="AM967" i="12"/>
  <c r="AM968" i="12"/>
  <c r="AM969" i="12"/>
  <c r="AM970" i="12"/>
  <c r="AM971" i="12"/>
  <c r="AM972" i="12"/>
  <c r="AM973" i="12"/>
  <c r="AM974" i="12"/>
  <c r="AM975" i="12"/>
  <c r="AM976" i="12"/>
  <c r="AM977" i="12"/>
  <c r="AM978" i="12"/>
  <c r="AM979" i="12"/>
  <c r="AM980" i="12"/>
  <c r="AM981" i="12"/>
  <c r="AM982" i="12"/>
  <c r="AM983" i="12"/>
  <c r="AM984" i="12"/>
  <c r="AM985" i="12"/>
  <c r="AM986" i="12"/>
  <c r="AM987" i="12"/>
  <c r="AM988" i="12"/>
  <c r="AM989" i="12"/>
  <c r="AM990" i="12"/>
  <c r="AM991" i="12"/>
  <c r="AM992" i="12"/>
  <c r="AM993" i="12"/>
  <c r="AM994" i="12"/>
  <c r="AM995" i="12"/>
  <c r="AM996" i="12"/>
  <c r="AM997" i="12"/>
  <c r="AM998" i="12"/>
  <c r="AM999" i="12"/>
  <c r="AM1000" i="12"/>
  <c r="AM1001" i="12"/>
  <c r="AM1002" i="12"/>
  <c r="AM1003" i="12"/>
  <c r="AM1004" i="12"/>
  <c r="AM1005" i="12"/>
  <c r="AM1006" i="12"/>
  <c r="AM1007" i="12"/>
  <c r="AM1008" i="12"/>
  <c r="AM1009" i="12"/>
  <c r="AM1010" i="12"/>
  <c r="AM1011" i="12"/>
  <c r="AM1012" i="12"/>
  <c r="AM1013" i="12"/>
  <c r="AM1014" i="12"/>
  <c r="AM1015" i="12"/>
  <c r="AM1016" i="12"/>
  <c r="AM1017" i="12"/>
  <c r="AM1018" i="12"/>
  <c r="AM1019" i="12"/>
  <c r="AM1020" i="12"/>
  <c r="AM1021" i="12"/>
  <c r="AM1022" i="12"/>
  <c r="AM1023" i="12"/>
  <c r="AM1024" i="12"/>
  <c r="AM1025" i="12"/>
  <c r="AM1026" i="12"/>
  <c r="AM1027" i="12"/>
  <c r="AM1028" i="12"/>
  <c r="AM1029" i="12"/>
  <c r="AM1030" i="12"/>
  <c r="AM1031" i="12"/>
  <c r="AM1032" i="12"/>
  <c r="AM1033" i="12"/>
  <c r="AM1034" i="12"/>
  <c r="AM1035" i="12"/>
  <c r="AM1036" i="12"/>
  <c r="AM1037" i="12"/>
  <c r="AM1038" i="12"/>
  <c r="AM1039" i="12"/>
  <c r="AM1040" i="12"/>
  <c r="AM1041" i="12"/>
  <c r="AM1042" i="12"/>
  <c r="AM1044" i="12"/>
  <c r="AM1045" i="12"/>
  <c r="AM1046" i="12"/>
  <c r="AM1047" i="12"/>
  <c r="AM1048" i="12"/>
  <c r="AM1049" i="12"/>
  <c r="AM1050" i="12"/>
  <c r="AM1051" i="12"/>
  <c r="AM1052" i="12"/>
  <c r="AM1053" i="12"/>
  <c r="AM1054" i="12"/>
  <c r="AM1055" i="12"/>
  <c r="AM1056" i="12"/>
  <c r="AM1057" i="12"/>
  <c r="AM1058" i="12"/>
  <c r="AM1059" i="12"/>
  <c r="AM1060" i="12"/>
  <c r="AM1061" i="12"/>
  <c r="AM1062" i="12"/>
  <c r="AM1063" i="12"/>
  <c r="AM1064" i="12"/>
  <c r="AM1065" i="12"/>
  <c r="AM1066" i="12"/>
  <c r="AM1067" i="12"/>
  <c r="AM1068" i="12"/>
  <c r="AM1069" i="12"/>
  <c r="AM1070" i="12"/>
  <c r="AM1071" i="12"/>
  <c r="AM1072" i="12"/>
  <c r="AM1073" i="12"/>
  <c r="AM1074" i="12"/>
  <c r="AM1075" i="12"/>
  <c r="AM1076" i="12"/>
  <c r="AM1077" i="12"/>
  <c r="AM1078" i="12"/>
  <c r="AM1079" i="12"/>
  <c r="AM1080" i="12"/>
  <c r="AM1081" i="12"/>
  <c r="AM1082" i="12"/>
  <c r="AM1083" i="12"/>
  <c r="AM1084" i="12"/>
  <c r="AM1085" i="12"/>
  <c r="AM1086" i="12"/>
  <c r="AM1087" i="12"/>
  <c r="AM1088" i="12"/>
  <c r="AM1089" i="12"/>
  <c r="AM1090" i="12"/>
  <c r="AM1091" i="12"/>
  <c r="AM1092" i="12"/>
  <c r="AM1093" i="12"/>
  <c r="AM1094" i="12"/>
  <c r="AM1095" i="12"/>
  <c r="AM1096" i="12"/>
  <c r="AM1097" i="12"/>
  <c r="AM1098" i="12"/>
  <c r="AM1099" i="12"/>
  <c r="AM1100" i="12"/>
  <c r="AM1101" i="12"/>
  <c r="AM1102" i="12"/>
  <c r="AM1103" i="12"/>
  <c r="AM1104" i="12"/>
  <c r="AM1105" i="12"/>
  <c r="AM1106" i="12"/>
  <c r="AM1107" i="12"/>
  <c r="AM1108" i="12"/>
  <c r="AM1109" i="12"/>
  <c r="AM1110" i="12"/>
  <c r="AM1111" i="12"/>
  <c r="AM1112" i="12"/>
  <c r="AM1113" i="12"/>
  <c r="AM1114" i="12"/>
  <c r="AM1115" i="12"/>
  <c r="AM1116" i="12"/>
  <c r="AM1117" i="12"/>
  <c r="AM1118" i="12"/>
  <c r="AM1119" i="12"/>
  <c r="AM1120" i="12"/>
  <c r="AM1121" i="12"/>
  <c r="AM1122" i="12"/>
  <c r="AM1123" i="12"/>
  <c r="AM1124" i="12"/>
  <c r="AM1125" i="12"/>
  <c r="AM1126" i="12"/>
  <c r="AM1127" i="12"/>
  <c r="AM1128" i="12"/>
  <c r="AM1129" i="12"/>
  <c r="AM1130" i="12"/>
  <c r="AM1131" i="12"/>
  <c r="AM1132" i="12"/>
  <c r="AM1133" i="12"/>
  <c r="AM1134" i="12"/>
  <c r="AM1135" i="12"/>
  <c r="AM1136" i="12"/>
  <c r="AM1137" i="12"/>
  <c r="AM1138" i="12"/>
  <c r="AM1139" i="12"/>
  <c r="AM1140" i="12"/>
  <c r="AM1141" i="12"/>
  <c r="AM1142" i="12"/>
  <c r="AM1143" i="12"/>
  <c r="AM1144" i="12"/>
  <c r="AM1145" i="12"/>
  <c r="AM1146" i="12"/>
  <c r="AM1147" i="12"/>
  <c r="AM1148" i="12"/>
  <c r="AM1149" i="12"/>
  <c r="AM1150" i="12"/>
  <c r="AM1151" i="12"/>
  <c r="AM1152" i="12"/>
  <c r="AM1153" i="12"/>
  <c r="AM1154" i="12"/>
  <c r="AM1155" i="12"/>
  <c r="AM1156" i="12"/>
  <c r="AM1157" i="12"/>
  <c r="AM1158" i="12"/>
  <c r="AM1159" i="12"/>
  <c r="AM1160" i="12"/>
  <c r="AM1161" i="12"/>
  <c r="AM1162" i="12"/>
  <c r="AM1163" i="12"/>
  <c r="AM1164" i="12"/>
  <c r="AM1165" i="12"/>
  <c r="AM1166" i="12"/>
  <c r="AM1167" i="12"/>
  <c r="AM1168" i="12"/>
  <c r="AM1169" i="12"/>
  <c r="AM1170" i="12"/>
  <c r="AM1171" i="12"/>
  <c r="AM1172" i="12"/>
  <c r="AM1173" i="12"/>
  <c r="AM1174" i="12"/>
  <c r="AM1175" i="12"/>
  <c r="AM1176" i="12"/>
  <c r="AM1177" i="12"/>
  <c r="AM1178" i="12"/>
  <c r="AM1179" i="12"/>
  <c r="AM1180" i="12"/>
  <c r="AM1181" i="12"/>
  <c r="AM1182" i="12"/>
  <c r="AM1183" i="12"/>
  <c r="AM1184" i="12"/>
  <c r="AM1185" i="12"/>
  <c r="AM1186" i="12"/>
  <c r="AM1187" i="12"/>
  <c r="AM1188" i="12"/>
  <c r="AM1189" i="12"/>
  <c r="AM1190" i="12"/>
  <c r="AM1191" i="12"/>
  <c r="AM1192" i="12"/>
  <c r="AM1193" i="12"/>
  <c r="AM1194" i="12"/>
  <c r="AM1195" i="12"/>
  <c r="AM1196" i="12"/>
  <c r="AM1197" i="12"/>
  <c r="AM1198" i="12"/>
  <c r="AM1199" i="12"/>
  <c r="AM1200" i="12"/>
  <c r="AM1201" i="12"/>
  <c r="AM1202" i="12"/>
  <c r="AM1203" i="12"/>
  <c r="AM1204" i="12"/>
  <c r="AM1205" i="12"/>
  <c r="AM1206" i="12"/>
  <c r="AM1207" i="12"/>
  <c r="AM1208" i="12"/>
  <c r="AM1209" i="12"/>
  <c r="AM1210" i="12"/>
  <c r="AM1211" i="12"/>
  <c r="AM1212" i="12"/>
  <c r="AM1213" i="12"/>
  <c r="AM1214" i="12"/>
  <c r="AM1215" i="12"/>
  <c r="AM1216" i="12"/>
  <c r="AM1217" i="12"/>
  <c r="AM1218" i="12"/>
  <c r="AM1219" i="12"/>
  <c r="AM1220" i="12"/>
  <c r="AM1221" i="12"/>
  <c r="AM1222" i="12"/>
  <c r="AM1223" i="12"/>
  <c r="AM1224" i="12"/>
  <c r="AM1225" i="12"/>
  <c r="AM1226" i="12"/>
  <c r="AM1227" i="12"/>
  <c r="AM1228" i="12"/>
  <c r="AM1229" i="12"/>
  <c r="AM1230" i="12"/>
  <c r="AM1231" i="12"/>
  <c r="AM1232" i="12"/>
  <c r="AM1233" i="12"/>
  <c r="AM1234" i="12"/>
  <c r="AM1235" i="12"/>
  <c r="AM1236" i="12"/>
  <c r="AM1237" i="12"/>
  <c r="AM1238" i="12"/>
  <c r="AM1239" i="12"/>
  <c r="AM1240" i="12"/>
  <c r="AM1241" i="12"/>
  <c r="AM1242" i="12"/>
  <c r="AM1243" i="12"/>
  <c r="AM1244" i="12"/>
  <c r="AM1245" i="12"/>
  <c r="AM1246" i="12"/>
  <c r="AM1247" i="12"/>
  <c r="AM1248" i="12"/>
  <c r="AM1249" i="12"/>
  <c r="AM1250" i="12"/>
  <c r="AM1251" i="12"/>
  <c r="AM1252" i="12"/>
  <c r="AM1254" i="12"/>
  <c r="AM1255" i="12"/>
  <c r="AM1256" i="12"/>
  <c r="AM1257" i="12"/>
  <c r="AM1258" i="12"/>
  <c r="AM1259" i="12"/>
  <c r="AM1260" i="12"/>
  <c r="AM1261" i="12"/>
  <c r="AM1262" i="12"/>
  <c r="AM1263" i="12"/>
  <c r="AM1264" i="12"/>
  <c r="AM1265" i="12"/>
  <c r="AM1266" i="12"/>
  <c r="AM1267" i="12"/>
  <c r="AM1268" i="12"/>
  <c r="AM1269" i="12"/>
  <c r="AM1270" i="12"/>
  <c r="AM1271" i="12"/>
  <c r="AM1272" i="12"/>
  <c r="AM1273" i="12"/>
  <c r="AM1274" i="12"/>
  <c r="AM1275" i="12"/>
  <c r="AM1276" i="12"/>
  <c r="AM1277" i="12"/>
  <c r="AM1278" i="12"/>
  <c r="AM1279" i="12"/>
  <c r="AM1280" i="12"/>
  <c r="AM1281" i="12"/>
  <c r="AM1282" i="12"/>
  <c r="AM1283" i="12"/>
  <c r="AM1284" i="12"/>
  <c r="AM1285" i="12"/>
  <c r="AM1286" i="12"/>
  <c r="AM1287" i="12"/>
  <c r="AM1288" i="12"/>
  <c r="AM1289" i="12"/>
  <c r="AM1290" i="12"/>
  <c r="AM1291" i="12"/>
  <c r="AM1292" i="12"/>
  <c r="AM1293" i="12"/>
  <c r="AM1294" i="12"/>
  <c r="AM1295" i="12"/>
  <c r="AM1296" i="12"/>
  <c r="AM1297" i="12"/>
  <c r="AM1298" i="12"/>
  <c r="AM1299" i="12"/>
  <c r="AM1300" i="12"/>
  <c r="AM1301" i="12"/>
  <c r="AM1302" i="12"/>
  <c r="AM1303" i="12"/>
  <c r="AM1304" i="12"/>
  <c r="AM1305" i="12"/>
  <c r="AM1306" i="12"/>
  <c r="AM1307" i="12"/>
  <c r="AM1308" i="12"/>
  <c r="AM1309" i="12"/>
  <c r="AM1310" i="12"/>
  <c r="AM1311" i="12"/>
  <c r="AM1312" i="12"/>
  <c r="AM1313" i="12"/>
  <c r="AM1314" i="12"/>
  <c r="AM1315" i="12"/>
  <c r="AM1316" i="12"/>
  <c r="AM1317" i="12"/>
  <c r="AM1318" i="12"/>
  <c r="AM1319" i="12"/>
  <c r="AM1320" i="12"/>
  <c r="AM1321" i="12"/>
  <c r="AM1322" i="12"/>
  <c r="AM1324" i="12"/>
  <c r="AM1325" i="12"/>
  <c r="AM1326" i="12"/>
  <c r="AM1327" i="12"/>
  <c r="AM1328" i="12"/>
  <c r="AM1329" i="12"/>
  <c r="AM1330" i="12"/>
  <c r="AM1331" i="12"/>
  <c r="AM1332" i="12"/>
  <c r="AM1333" i="12"/>
  <c r="AM1334" i="12"/>
  <c r="AM1335" i="12"/>
  <c r="AM1336" i="12"/>
  <c r="AM1337" i="12"/>
  <c r="AM1338" i="12"/>
  <c r="AM1339" i="12"/>
  <c r="AM1340" i="12"/>
  <c r="AM1341" i="12"/>
  <c r="AM1342" i="12"/>
  <c r="AM1343" i="12"/>
  <c r="AM1344" i="12"/>
  <c r="AM1345" i="12"/>
  <c r="AM1346" i="12"/>
  <c r="AM1347" i="12"/>
  <c r="AM1348" i="12"/>
  <c r="AM1349" i="12"/>
  <c r="AM1350" i="12"/>
  <c r="AM1351" i="12"/>
  <c r="AM1352" i="12"/>
  <c r="AM1353" i="12"/>
  <c r="AM1354" i="12"/>
  <c r="AM1355" i="12"/>
  <c r="AM1356" i="12"/>
  <c r="AM1357" i="12"/>
  <c r="AM1358" i="12"/>
  <c r="AM1359" i="12"/>
  <c r="AM1360" i="12"/>
  <c r="AM1361" i="12"/>
  <c r="AM1362" i="12"/>
  <c r="AM1363" i="12"/>
  <c r="AM1364" i="12"/>
  <c r="AM1365" i="12"/>
  <c r="AM1366" i="12"/>
  <c r="AM1367" i="12"/>
  <c r="AM1368" i="12"/>
  <c r="AM1369" i="12"/>
  <c r="AM1370" i="12"/>
  <c r="AM1371" i="12"/>
  <c r="AM1372" i="12"/>
  <c r="AM1373" i="12"/>
  <c r="AM1374" i="12"/>
  <c r="AM1375" i="12"/>
  <c r="AM1376" i="12"/>
  <c r="AM1377" i="12"/>
  <c r="AM1378" i="12"/>
  <c r="AM1379" i="12"/>
  <c r="AM1380" i="12"/>
  <c r="AM1381" i="12"/>
  <c r="AM1382" i="12"/>
  <c r="AM1383" i="12"/>
  <c r="AM1384" i="12"/>
  <c r="AM1385" i="12"/>
  <c r="AM1386" i="12"/>
  <c r="AM1387" i="12"/>
  <c r="AM1388" i="12"/>
  <c r="AM1389" i="12"/>
  <c r="AM1390" i="12"/>
  <c r="AM1391" i="12"/>
  <c r="AM1392" i="12"/>
  <c r="AM1394" i="12"/>
  <c r="AM1395" i="12"/>
  <c r="AM1396" i="12"/>
  <c r="AM1397" i="12"/>
  <c r="AM1398" i="12"/>
  <c r="AM1399" i="12"/>
  <c r="AM1400" i="12"/>
  <c r="AM1401" i="12"/>
  <c r="AM1402" i="12"/>
  <c r="AM1403" i="12"/>
  <c r="AM1404" i="12"/>
  <c r="AM1405" i="12"/>
  <c r="AM1406" i="12"/>
  <c r="AM1407" i="12"/>
  <c r="AM1408" i="12"/>
  <c r="AM1409" i="12"/>
  <c r="AM1410" i="12"/>
  <c r="AM1411" i="12"/>
  <c r="AM1412" i="12"/>
  <c r="AM1413" i="12"/>
  <c r="AM1414" i="12"/>
  <c r="AM1415" i="12"/>
  <c r="AM1416" i="12"/>
  <c r="AM1417" i="12"/>
  <c r="AM1418" i="12"/>
  <c r="AM1419" i="12"/>
  <c r="AM1420" i="12"/>
  <c r="AM1421" i="12"/>
  <c r="AM1422" i="12"/>
  <c r="AM1423" i="12"/>
  <c r="AM1424" i="12"/>
  <c r="AM1425" i="12"/>
  <c r="AM1426" i="12"/>
  <c r="AM1427" i="12"/>
  <c r="AM1428" i="12"/>
  <c r="AM1429" i="12"/>
  <c r="AM1430" i="12"/>
  <c r="AM1431" i="12"/>
  <c r="AM1432" i="12"/>
  <c r="AM1433" i="12"/>
  <c r="AM1434" i="12"/>
  <c r="AM1435" i="12"/>
  <c r="AM1436" i="12"/>
  <c r="AM1437" i="12"/>
  <c r="AM1438" i="12"/>
  <c r="AM1439" i="12"/>
  <c r="AM1440" i="12"/>
  <c r="AM1441" i="12"/>
  <c r="AM1442" i="12"/>
  <c r="AM1443" i="12"/>
  <c r="AM1444" i="12"/>
  <c r="AM1445" i="12"/>
  <c r="AM1446" i="12"/>
  <c r="AM1447" i="12"/>
  <c r="AM1448" i="12"/>
  <c r="AM1449" i="12"/>
  <c r="AM1450" i="12"/>
  <c r="AM1451" i="12"/>
  <c r="AM1452" i="12"/>
  <c r="AM1453" i="12"/>
  <c r="AM1454" i="12"/>
  <c r="AM1455" i="12"/>
  <c r="AM1456" i="12"/>
  <c r="AM1457" i="12"/>
  <c r="AM1458" i="12"/>
  <c r="AM1459" i="12"/>
  <c r="AM1460" i="12"/>
  <c r="AM1461" i="12"/>
  <c r="AM1462" i="12"/>
  <c r="AM1464" i="12"/>
  <c r="AM1465" i="12"/>
  <c r="AM1466" i="12"/>
  <c r="AM1467" i="12"/>
  <c r="AM1468" i="12"/>
  <c r="AM1469" i="12"/>
  <c r="AM1470" i="12"/>
  <c r="AM1471" i="12"/>
  <c r="AM1472" i="12"/>
  <c r="AM1473" i="12"/>
  <c r="AM1474" i="12"/>
  <c r="AM1475" i="12"/>
  <c r="AM1476" i="12"/>
  <c r="AM1477" i="12"/>
  <c r="AM1478" i="12"/>
  <c r="AM1479" i="12"/>
  <c r="AM1480" i="12"/>
  <c r="AM1481" i="12"/>
  <c r="AM1482" i="12"/>
  <c r="AM1483" i="12"/>
  <c r="AM1484" i="12"/>
  <c r="AM1485" i="12"/>
  <c r="AM1486" i="12"/>
  <c r="AM1487" i="12"/>
  <c r="AM1488" i="12"/>
  <c r="AM1489" i="12"/>
  <c r="AM1490" i="12"/>
  <c r="AM1491" i="12"/>
  <c r="AM1492" i="12"/>
  <c r="AM1493" i="12"/>
  <c r="AM1494" i="12"/>
  <c r="AM1495" i="12"/>
  <c r="AM1496" i="12"/>
  <c r="AM1497" i="12"/>
  <c r="AM1498" i="12"/>
  <c r="AM1499" i="12"/>
  <c r="AM1500" i="12"/>
  <c r="AM1501" i="12"/>
  <c r="AM1502" i="12"/>
  <c r="AM1503" i="12"/>
  <c r="AM1504" i="12"/>
  <c r="AM1505" i="12"/>
  <c r="AM1506" i="12"/>
  <c r="AM1507" i="12"/>
  <c r="AM1508" i="12"/>
  <c r="AM1509" i="12"/>
  <c r="AM1510" i="12"/>
  <c r="AM1511" i="12"/>
  <c r="AM1512" i="12"/>
  <c r="AM1513" i="12"/>
  <c r="AM1514" i="12"/>
  <c r="AM1515" i="12"/>
  <c r="AM1516" i="12"/>
  <c r="AM1517" i="12"/>
  <c r="AM1518" i="12"/>
  <c r="AM1519" i="12"/>
  <c r="AM1520" i="12"/>
  <c r="AM1521" i="12"/>
  <c r="AM1522" i="12"/>
  <c r="AM1523" i="12"/>
  <c r="AM1524" i="12"/>
  <c r="AM1525" i="12"/>
  <c r="AM1526" i="12"/>
  <c r="AM1527" i="12"/>
  <c r="AM1528" i="12"/>
  <c r="AM1529" i="12"/>
  <c r="AM1530" i="12"/>
  <c r="AM1531" i="12"/>
  <c r="AM1532" i="12"/>
  <c r="AM1533" i="12"/>
  <c r="AM1534" i="12"/>
  <c r="AM1535" i="12"/>
  <c r="AM1536" i="12"/>
  <c r="AM1537" i="12"/>
  <c r="AM1538" i="12"/>
  <c r="AM1539" i="12"/>
  <c r="AM1540" i="12"/>
  <c r="AM1541" i="12"/>
  <c r="AM1542" i="12"/>
  <c r="AM1544" i="12"/>
  <c r="AM1545" i="12"/>
  <c r="AM1546" i="12"/>
  <c r="AM1547" i="12"/>
  <c r="AM1548" i="12"/>
  <c r="AM1549" i="12"/>
  <c r="AM1550" i="12"/>
  <c r="AM1551" i="12"/>
  <c r="AM1552" i="12"/>
  <c r="AM1553" i="12"/>
  <c r="AM1554" i="12"/>
  <c r="AM1555" i="12"/>
  <c r="AM1556" i="12"/>
  <c r="AM1557" i="12"/>
  <c r="AM1558" i="12"/>
  <c r="AM1559" i="12"/>
  <c r="AM1560" i="12"/>
  <c r="AM1561" i="12"/>
  <c r="AM1562" i="12"/>
  <c r="AM1563" i="12"/>
  <c r="AM1564" i="12"/>
  <c r="AM1565" i="12"/>
  <c r="AM1566" i="12"/>
  <c r="AM1567" i="12"/>
  <c r="AM1568" i="12"/>
  <c r="AM1569" i="12"/>
  <c r="AM1570" i="12"/>
  <c r="AM1571" i="12"/>
  <c r="AM1572" i="12"/>
  <c r="AM1573" i="12"/>
  <c r="AM1574" i="12"/>
  <c r="AM1575" i="12"/>
  <c r="AM1576" i="12"/>
  <c r="AM1577" i="12"/>
  <c r="AM1578" i="12"/>
  <c r="AM1579" i="12"/>
  <c r="AM1580" i="12"/>
  <c r="AM1581" i="12"/>
  <c r="AM1582" i="12"/>
  <c r="AM1583" i="12"/>
  <c r="AM1584" i="12"/>
  <c r="AM1585" i="12"/>
  <c r="AM1586" i="12"/>
  <c r="AM1587" i="12"/>
  <c r="AM1588" i="12"/>
  <c r="AM1589" i="12"/>
  <c r="AM1590" i="12"/>
  <c r="AM1591" i="12"/>
  <c r="AM1592" i="12"/>
  <c r="AM1593" i="12"/>
  <c r="AM1594" i="12"/>
  <c r="AM1595" i="12"/>
  <c r="AM1596" i="12"/>
  <c r="AM1597" i="12"/>
  <c r="AM1598" i="12"/>
  <c r="AM1599" i="12"/>
  <c r="AM1600" i="12"/>
  <c r="AM1601" i="12"/>
  <c r="AM1603" i="12"/>
  <c r="AM1604" i="12"/>
  <c r="AM1605" i="12"/>
  <c r="AM1606" i="12"/>
  <c r="AM1607" i="12"/>
  <c r="AM1608" i="12"/>
  <c r="AM1609" i="12"/>
  <c r="AM1610" i="12"/>
  <c r="AM1611" i="12"/>
  <c r="AM1612" i="12"/>
  <c r="AM1613" i="12"/>
  <c r="AM1614" i="12"/>
  <c r="AM1615" i="12"/>
  <c r="AM1616" i="12"/>
  <c r="AM1617" i="12"/>
  <c r="AM1618" i="12"/>
  <c r="AM1619" i="12"/>
  <c r="AM1620" i="12"/>
  <c r="AM1621" i="12"/>
  <c r="AM1622" i="12"/>
  <c r="AM1623" i="12"/>
  <c r="AM1624" i="12"/>
  <c r="AM1625" i="12"/>
  <c r="AM1626" i="12"/>
  <c r="AM1627" i="12"/>
  <c r="AM1628" i="12"/>
  <c r="AM1629" i="12"/>
  <c r="AM1630" i="12"/>
  <c r="AM1631" i="12"/>
  <c r="AM1632" i="12"/>
  <c r="AM1633" i="12"/>
  <c r="AM1634" i="12"/>
  <c r="AM1635" i="12"/>
  <c r="AM1636" i="12"/>
  <c r="AM1637" i="12"/>
  <c r="AM1638" i="12"/>
  <c r="AM1639" i="12"/>
  <c r="AM1640" i="12"/>
  <c r="AM1641" i="12"/>
  <c r="AM1642" i="12"/>
  <c r="AM1643" i="12"/>
  <c r="AM1644" i="12"/>
  <c r="AM1645" i="12"/>
  <c r="AM1646" i="12"/>
  <c r="AM1647" i="12"/>
  <c r="AM1648" i="12"/>
  <c r="AM1649" i="12"/>
  <c r="AM1650" i="12"/>
  <c r="AM1651" i="12"/>
  <c r="AM1652" i="12"/>
  <c r="AM1653" i="12"/>
  <c r="AM1654" i="12"/>
  <c r="AM1655" i="12"/>
  <c r="AM1656" i="12"/>
  <c r="AM1657" i="12"/>
  <c r="AM1658" i="12"/>
  <c r="AM1659" i="12"/>
  <c r="AM1660" i="12"/>
  <c r="AM1661" i="12"/>
  <c r="AM1662" i="12"/>
  <c r="AM1663" i="12"/>
  <c r="AM1664" i="12"/>
  <c r="AM1665" i="12"/>
  <c r="AM1666" i="12"/>
  <c r="AM1667" i="12"/>
  <c r="AM1668" i="12"/>
  <c r="AM1669" i="12"/>
  <c r="AM1670" i="12"/>
  <c r="AM1671" i="12"/>
  <c r="AM1672" i="12"/>
  <c r="AM1674" i="12"/>
  <c r="AM1675" i="12"/>
  <c r="AM1676" i="12"/>
  <c r="AM1677" i="12"/>
  <c r="AM1678" i="12"/>
  <c r="AM1679" i="12"/>
  <c r="AM1680" i="12"/>
  <c r="AM1681" i="12"/>
  <c r="AM1682" i="12"/>
  <c r="AM1683" i="12"/>
  <c r="AM1684" i="12"/>
  <c r="AM1685" i="12"/>
  <c r="AM1686" i="12"/>
  <c r="AM1687" i="12"/>
  <c r="AM1688" i="12"/>
  <c r="AM1689" i="12"/>
  <c r="AM1690" i="12"/>
  <c r="AM1691" i="12"/>
  <c r="AM1692" i="12"/>
  <c r="AM1693" i="12"/>
  <c r="AM1694" i="12"/>
  <c r="AM1695" i="12"/>
  <c r="AM1696" i="12"/>
  <c r="AM1697" i="12"/>
  <c r="AM1698" i="12"/>
  <c r="AM1699" i="12"/>
  <c r="AM1700" i="12"/>
  <c r="AM1701" i="12"/>
  <c r="AM1702" i="12"/>
  <c r="AM1703" i="12"/>
  <c r="AM1704" i="12"/>
  <c r="AM1705" i="12"/>
  <c r="AM1706" i="12"/>
  <c r="AM1707" i="12"/>
  <c r="AM1708" i="12"/>
  <c r="AM1709" i="12"/>
  <c r="AM1710" i="12"/>
  <c r="AM1711" i="12"/>
  <c r="AM1712" i="12"/>
  <c r="AM1713" i="12"/>
  <c r="AM1714" i="12"/>
  <c r="AM1715" i="12"/>
  <c r="AM1716" i="12"/>
  <c r="AM1717" i="12"/>
  <c r="AM1718" i="12"/>
  <c r="AM1719" i="12"/>
  <c r="AM1720" i="12"/>
  <c r="AM1721" i="12"/>
  <c r="AM1722" i="12"/>
  <c r="AM1723" i="12"/>
  <c r="AM1724" i="12"/>
  <c r="AM1725" i="12"/>
  <c r="AM1726" i="12"/>
  <c r="AM1727" i="12"/>
  <c r="AM1728" i="12"/>
  <c r="AM1729" i="12"/>
  <c r="AM1730" i="12"/>
  <c r="AM1731" i="12"/>
  <c r="AM1732" i="12"/>
  <c r="AM1733" i="12"/>
  <c r="AM1734" i="12"/>
  <c r="AM1735" i="12"/>
  <c r="AM1736" i="12"/>
  <c r="AM1737" i="12"/>
  <c r="AM1738" i="12"/>
  <c r="AM1739" i="12"/>
  <c r="AM1740" i="12"/>
  <c r="AM1741" i="12"/>
  <c r="AM1742" i="12"/>
  <c r="AM1743" i="12"/>
  <c r="AM1744" i="12"/>
  <c r="AM1745" i="12"/>
  <c r="AM1746" i="12"/>
  <c r="AM1747" i="12"/>
  <c r="AM1748" i="12"/>
  <c r="AM1749" i="12"/>
  <c r="AM1750" i="12"/>
  <c r="AM1751" i="12"/>
  <c r="AM1752" i="12"/>
  <c r="AM1753" i="12"/>
  <c r="AM1754" i="12"/>
  <c r="AM1755" i="12"/>
  <c r="AM1756" i="12"/>
  <c r="AM1757" i="12"/>
  <c r="AM1758" i="12"/>
  <c r="AM1759" i="12"/>
  <c r="AM1760" i="12"/>
  <c r="AM1761" i="12"/>
  <c r="AM1762" i="12"/>
  <c r="AM1763" i="12"/>
  <c r="AM1764" i="12"/>
  <c r="AM1765" i="12"/>
  <c r="AM1766" i="12"/>
  <c r="AM1767" i="12"/>
  <c r="AM1768" i="12"/>
  <c r="AM1769" i="12"/>
  <c r="AM1770" i="12"/>
  <c r="AM1771" i="12"/>
  <c r="AM1772" i="12"/>
  <c r="AM1773" i="12"/>
  <c r="AM1774" i="12"/>
  <c r="AM1775" i="12"/>
  <c r="AM1776" i="12"/>
  <c r="AM1777" i="12"/>
  <c r="AM1778" i="12"/>
  <c r="AM1779" i="12"/>
  <c r="AM1780" i="12"/>
  <c r="AM1781" i="12"/>
  <c r="AM1782" i="12"/>
  <c r="AM1783" i="12"/>
  <c r="AM1784" i="12"/>
  <c r="AM1785" i="12"/>
  <c r="AM1786" i="12"/>
  <c r="AM1787" i="12"/>
  <c r="AM1788" i="12"/>
  <c r="AM1789" i="12"/>
  <c r="AM1790" i="12"/>
  <c r="AM1791" i="12"/>
  <c r="AM1792" i="12"/>
  <c r="AM1793" i="12"/>
  <c r="AM1794" i="12"/>
  <c r="AM1795" i="12"/>
  <c r="AM1796" i="12"/>
  <c r="AM1797" i="12"/>
  <c r="AM1798" i="12"/>
  <c r="AM1799" i="12"/>
  <c r="AM1800" i="12"/>
  <c r="AM1801" i="12"/>
  <c r="AM1802" i="12"/>
  <c r="AM1803" i="12"/>
  <c r="AM1804" i="12"/>
  <c r="AM1805" i="12"/>
  <c r="AM1806" i="12"/>
  <c r="AM1807" i="12"/>
  <c r="AM1808" i="12"/>
  <c r="AM1809" i="12"/>
  <c r="AM1810" i="12"/>
  <c r="AM1811" i="12"/>
  <c r="AM1812" i="12"/>
  <c r="AM1814" i="12"/>
  <c r="AM1815" i="12"/>
  <c r="AM1816" i="12"/>
  <c r="AM1817" i="12"/>
  <c r="AM1818" i="12"/>
  <c r="AM1819" i="12"/>
  <c r="AM1820" i="12"/>
  <c r="AM1821" i="12"/>
  <c r="AM1822" i="12"/>
  <c r="AM1823" i="12"/>
  <c r="AM1824" i="12"/>
  <c r="AM1825" i="12"/>
  <c r="AM1826" i="12"/>
  <c r="AM1827" i="12"/>
  <c r="AM1828" i="12"/>
  <c r="AM1829" i="12"/>
  <c r="AM1830" i="12"/>
  <c r="AM1831" i="12"/>
  <c r="AM1832" i="12"/>
  <c r="AM1833" i="12"/>
  <c r="AM1834" i="12"/>
  <c r="AM1835" i="12"/>
  <c r="AM1836" i="12"/>
  <c r="AM1837" i="12"/>
  <c r="AM1838" i="12"/>
  <c r="AM1839" i="12"/>
  <c r="AM1840" i="12"/>
  <c r="AM1841" i="12"/>
  <c r="AM1842" i="12"/>
  <c r="AM1843" i="12"/>
  <c r="AM1844" i="12"/>
  <c r="AM1845" i="12"/>
  <c r="AM1846" i="12"/>
  <c r="AM1847" i="12"/>
  <c r="AM1848" i="12"/>
  <c r="AM1849" i="12"/>
  <c r="AM1850" i="12"/>
  <c r="AM1851" i="12"/>
  <c r="AM1852" i="12"/>
  <c r="AM1853" i="12"/>
  <c r="AM1854" i="12"/>
  <c r="AM1855" i="12"/>
  <c r="AM1856" i="12"/>
  <c r="AM1857" i="12"/>
  <c r="AM1858" i="12"/>
  <c r="AM1859" i="12"/>
  <c r="AM1860" i="12"/>
  <c r="AM1861" i="12"/>
  <c r="AM1862" i="12"/>
  <c r="AM1863" i="12"/>
  <c r="AM1864" i="12"/>
  <c r="AM1865" i="12"/>
  <c r="AM1866" i="12"/>
  <c r="AM1867" i="12"/>
  <c r="AM1868" i="12"/>
  <c r="AM1869" i="12"/>
  <c r="AM1870" i="12"/>
  <c r="AM1871" i="12"/>
  <c r="AM1872" i="12"/>
  <c r="AM1873" i="12"/>
  <c r="AM1874" i="12"/>
  <c r="AM1875" i="12"/>
  <c r="AM1876" i="12"/>
  <c r="AM1877" i="12"/>
  <c r="AM1878" i="12"/>
  <c r="AM1879" i="12"/>
  <c r="AM1880" i="12"/>
  <c r="AM1881" i="12"/>
  <c r="AM1882" i="12"/>
  <c r="AM1884" i="12"/>
  <c r="AM1885" i="12"/>
  <c r="AM1886" i="12"/>
  <c r="AM1887" i="12"/>
  <c r="AM1888" i="12"/>
  <c r="AM1889" i="12"/>
  <c r="AM1890" i="12"/>
  <c r="AM1891" i="12"/>
  <c r="AM1892" i="12"/>
  <c r="AM1893" i="12"/>
  <c r="AM1894" i="12"/>
  <c r="AM1895" i="12"/>
  <c r="AM1896" i="12"/>
  <c r="AM1897" i="12"/>
  <c r="AM1898" i="12"/>
  <c r="AM1899" i="12"/>
  <c r="AM1900" i="12"/>
  <c r="AM1901" i="12"/>
  <c r="AM1902" i="12"/>
  <c r="AM1903" i="12"/>
  <c r="AM1904" i="12"/>
  <c r="AM1905" i="12"/>
  <c r="AM1906" i="12"/>
  <c r="AM1907" i="12"/>
  <c r="AM1908" i="12"/>
  <c r="AM1909" i="12"/>
  <c r="AM1910" i="12"/>
  <c r="AM1911" i="12"/>
  <c r="AM1912" i="12"/>
  <c r="AM1913" i="12"/>
  <c r="AM1914" i="12"/>
  <c r="AM1915" i="12"/>
  <c r="AM1916" i="12"/>
  <c r="AM1917" i="12"/>
  <c r="AM1918" i="12"/>
  <c r="AM1919" i="12"/>
  <c r="AM1920" i="12"/>
  <c r="AM1921" i="12"/>
  <c r="AM1922" i="12"/>
  <c r="AM1923" i="12"/>
  <c r="AM1924" i="12"/>
  <c r="AM1925" i="12"/>
  <c r="AM1926" i="12"/>
  <c r="AM1927" i="12"/>
  <c r="AM1928" i="12"/>
  <c r="AM1929" i="12"/>
  <c r="AM1930" i="12"/>
  <c r="AM1931" i="12"/>
  <c r="AM1932" i="12"/>
  <c r="AM1933" i="12"/>
  <c r="AM1934" i="12"/>
  <c r="AM1935" i="12"/>
  <c r="AM1936" i="12"/>
  <c r="AM1937" i="12"/>
  <c r="AM1938" i="12"/>
  <c r="AM1939" i="12"/>
  <c r="AM1940" i="12"/>
  <c r="AM1941" i="12"/>
  <c r="AM1942" i="12"/>
  <c r="AM1943" i="12"/>
  <c r="AM1944" i="12"/>
  <c r="AM1945" i="12"/>
  <c r="AM1946" i="12"/>
  <c r="AM1947" i="12"/>
  <c r="AM1948" i="12"/>
  <c r="AM1949" i="12"/>
  <c r="AM1950" i="12"/>
  <c r="AM1951" i="12"/>
  <c r="AM1952" i="12"/>
  <c r="AM1953" i="12"/>
  <c r="AM1954" i="12"/>
  <c r="AM1955" i="12"/>
  <c r="AM1956" i="12"/>
  <c r="AM1957" i="12"/>
  <c r="AM1958" i="12"/>
  <c r="AM1959" i="12"/>
  <c r="AM1960" i="12"/>
  <c r="AM1961" i="12"/>
  <c r="AM1962" i="12"/>
  <c r="AM1963" i="12"/>
  <c r="AM1964" i="12"/>
  <c r="AM1965" i="12"/>
  <c r="AM1966" i="12"/>
  <c r="AM1967" i="12"/>
  <c r="AM1968" i="12"/>
  <c r="AM1969" i="12"/>
  <c r="AM1970" i="12"/>
  <c r="AM1971" i="12"/>
  <c r="AM1972" i="12"/>
  <c r="AM1973" i="12"/>
  <c r="AM1974" i="12"/>
  <c r="AM1975" i="12"/>
  <c r="AM1976" i="12"/>
  <c r="AM1977" i="12"/>
  <c r="AM1978" i="12"/>
  <c r="AM1979" i="12"/>
  <c r="AM1980" i="12"/>
  <c r="AM1981" i="12"/>
  <c r="AM1982" i="12"/>
  <c r="AM1983" i="12"/>
  <c r="AM1984" i="12"/>
  <c r="AM1985" i="12"/>
  <c r="AM1986" i="12"/>
  <c r="AM1987" i="12"/>
  <c r="AM1988" i="12"/>
  <c r="AM1989" i="12"/>
  <c r="AM1990" i="12"/>
  <c r="AM1991" i="12"/>
  <c r="AM1992" i="12"/>
  <c r="AM1993" i="12"/>
  <c r="AM1994" i="12"/>
  <c r="AM1995" i="12"/>
  <c r="AM1996" i="12"/>
  <c r="AM1997" i="12"/>
  <c r="AM1998" i="12"/>
  <c r="AM1999" i="12"/>
  <c r="AM2000" i="12"/>
  <c r="AM2001" i="12"/>
  <c r="AM2002" i="12"/>
  <c r="AM2003" i="12"/>
  <c r="AM2004" i="12"/>
  <c r="AM2005" i="12"/>
  <c r="AM2006" i="12"/>
  <c r="AM2007" i="12"/>
  <c r="AM2008" i="12"/>
  <c r="AM2009" i="12"/>
  <c r="AM2010" i="12"/>
  <c r="AM2011" i="12"/>
  <c r="AM2012" i="12"/>
  <c r="AM2013" i="12"/>
  <c r="AM2014" i="12"/>
  <c r="AM2015" i="12"/>
  <c r="AM2016" i="12"/>
  <c r="AM2017" i="12"/>
  <c r="AM2018" i="12"/>
  <c r="AM2019" i="12"/>
  <c r="AM2020" i="12"/>
  <c r="AM2021" i="12"/>
  <c r="AM2022" i="12"/>
  <c r="AM2023" i="12"/>
  <c r="AM2024" i="12"/>
  <c r="AM2025" i="12"/>
  <c r="AM2026" i="12"/>
  <c r="AM2027" i="12"/>
  <c r="AM2028" i="12"/>
  <c r="AM2029" i="12"/>
  <c r="AM2030" i="12"/>
  <c r="AM2031" i="12"/>
  <c r="AM2032" i="12"/>
  <c r="AM2033" i="12"/>
  <c r="AM2034" i="12"/>
  <c r="AM2035" i="12"/>
  <c r="AM2036" i="12"/>
  <c r="AM2037" i="12"/>
  <c r="AM2038" i="12"/>
  <c r="AM2039" i="12"/>
  <c r="AM2040" i="12"/>
  <c r="AM2041" i="12"/>
  <c r="AM2042" i="12"/>
  <c r="AM2043" i="12"/>
  <c r="AM2044" i="12"/>
  <c r="AM2045" i="12"/>
  <c r="AM2046" i="12"/>
  <c r="AM2047" i="12"/>
  <c r="AM2048" i="12"/>
  <c r="AM2049" i="12"/>
  <c r="AM2050" i="12"/>
  <c r="AM2051" i="12"/>
  <c r="AM2052" i="12"/>
  <c r="AM2053" i="12"/>
  <c r="AM2054" i="12"/>
  <c r="AM2055" i="12"/>
  <c r="AM2056" i="12"/>
  <c r="AM2057" i="12"/>
  <c r="AM2058" i="12"/>
  <c r="AM2059" i="12"/>
  <c r="AM2060" i="12"/>
  <c r="AM2061" i="12"/>
  <c r="AM2062" i="12"/>
  <c r="AM2063" i="12"/>
  <c r="AM2064" i="12"/>
  <c r="AM2065" i="12"/>
  <c r="AM2066" i="12"/>
  <c r="AM2067" i="12"/>
  <c r="AM2068" i="12"/>
  <c r="AM2069" i="12"/>
  <c r="AM2070" i="12"/>
  <c r="AM2071" i="12"/>
  <c r="AM2072" i="12"/>
  <c r="AM2073" i="12"/>
  <c r="AM2074" i="12"/>
  <c r="AM2075" i="12"/>
  <c r="AM2076" i="12"/>
  <c r="AM2077" i="12"/>
  <c r="AM2078" i="12"/>
  <c r="AM2079" i="12"/>
  <c r="AM2080" i="12"/>
  <c r="AM2081" i="12"/>
  <c r="AM2082" i="12"/>
  <c r="AM2083" i="12"/>
  <c r="AM2084" i="12"/>
  <c r="AM2085" i="12"/>
  <c r="AM2086" i="12"/>
  <c r="AM2087" i="12"/>
  <c r="AM2088" i="12"/>
  <c r="AM2089" i="12"/>
  <c r="AM2090" i="12"/>
  <c r="AM2091" i="12"/>
  <c r="AM2092" i="12"/>
  <c r="AM2093" i="12"/>
  <c r="AM2094" i="12"/>
  <c r="AM2095" i="12"/>
  <c r="AM2096" i="12"/>
  <c r="AM2097" i="12"/>
  <c r="AM2098" i="12"/>
  <c r="AM2099" i="12"/>
  <c r="AM2100" i="12"/>
  <c r="AM2101" i="12"/>
  <c r="AM2102" i="12"/>
  <c r="AM2103" i="12"/>
  <c r="AM2104" i="12"/>
  <c r="AM2105" i="12"/>
  <c r="AM2106" i="12"/>
  <c r="AM2107" i="12"/>
  <c r="AM2108" i="12"/>
  <c r="AM2109" i="12"/>
  <c r="AM2110" i="12"/>
  <c r="AM2111" i="12"/>
  <c r="AM2112" i="12"/>
  <c r="AM2113" i="12"/>
  <c r="AM2114" i="12"/>
  <c r="AM2115" i="12"/>
  <c r="AM2116" i="12"/>
  <c r="AM2117" i="12"/>
  <c r="AM2118" i="12"/>
  <c r="AM2119" i="12"/>
  <c r="AM2120" i="12"/>
  <c r="AM2121" i="12"/>
  <c r="AM2122" i="12"/>
  <c r="AM2123" i="12"/>
  <c r="AM2124" i="12"/>
  <c r="AM2125" i="12"/>
  <c r="AM2126" i="12"/>
  <c r="AM2127" i="12"/>
  <c r="AM2128" i="12"/>
  <c r="AM2129" i="12"/>
  <c r="AM2130" i="12"/>
  <c r="AM2131" i="12"/>
  <c r="AM2132" i="12"/>
  <c r="AM2133" i="12"/>
  <c r="AM2134" i="12"/>
  <c r="AM2135" i="12"/>
  <c r="AM2136" i="12"/>
  <c r="AM2137" i="12"/>
  <c r="AM2138" i="12"/>
  <c r="AM2139" i="12"/>
  <c r="AM2140" i="12"/>
  <c r="AM2141" i="12"/>
  <c r="AM2142" i="12"/>
  <c r="AM2143" i="12"/>
  <c r="AM2144" i="12"/>
  <c r="AM2145" i="12"/>
  <c r="AM2146" i="12"/>
  <c r="AM2147" i="12"/>
  <c r="AM2148" i="12"/>
  <c r="AM2149" i="12"/>
  <c r="AM2150" i="12"/>
  <c r="AM2151" i="12"/>
  <c r="AM2152" i="12"/>
  <c r="AM2153" i="12"/>
  <c r="AM2154" i="12"/>
  <c r="AM2155" i="12"/>
  <c r="AM2156" i="12"/>
  <c r="AM2157" i="12"/>
  <c r="AM2158" i="12"/>
  <c r="AM2159" i="12"/>
  <c r="AM2160" i="12"/>
  <c r="AM2161" i="12"/>
  <c r="AM2162" i="12"/>
  <c r="AM2163" i="12"/>
  <c r="AM2164" i="12"/>
  <c r="AM2165" i="12"/>
  <c r="AM2166" i="12"/>
  <c r="AM2167" i="12"/>
  <c r="AM2168" i="12"/>
  <c r="AM2169" i="12"/>
  <c r="AM2170" i="12"/>
  <c r="AM2171" i="12"/>
  <c r="AM2172" i="12"/>
  <c r="AM2173" i="12"/>
  <c r="AM2174" i="12"/>
  <c r="AM2175" i="12"/>
  <c r="AM2176" i="12"/>
  <c r="AM2177" i="12"/>
  <c r="AM2178" i="12"/>
  <c r="AM2179" i="12"/>
  <c r="AM2180" i="12"/>
  <c r="AM2181" i="12"/>
  <c r="AM2182" i="12"/>
  <c r="AM2183" i="12"/>
  <c r="AM2184" i="12"/>
  <c r="AM2185" i="12"/>
  <c r="AM2186" i="12"/>
  <c r="AM2187" i="12"/>
  <c r="AM2188" i="12"/>
  <c r="AM2189" i="12"/>
  <c r="AM2190" i="12"/>
  <c r="AM2191" i="12"/>
  <c r="AM2192" i="12"/>
  <c r="AM2193" i="12"/>
  <c r="AM2194" i="12"/>
  <c r="AM2195" i="12"/>
  <c r="AM2196" i="12"/>
  <c r="AM2197" i="12"/>
  <c r="AM2198" i="12"/>
  <c r="AM2199" i="12"/>
  <c r="AM2200" i="12"/>
  <c r="AM2201" i="12"/>
  <c r="AM2202" i="12"/>
  <c r="AM2203" i="12"/>
  <c r="AM2204" i="12"/>
  <c r="AM2205" i="12"/>
  <c r="AM2206" i="12"/>
  <c r="AM2207" i="12"/>
  <c r="AM2208" i="12"/>
  <c r="AM2209" i="12"/>
  <c r="AM2210" i="12"/>
  <c r="AM2211" i="12"/>
  <c r="AM2212" i="12"/>
  <c r="AM2213" i="12"/>
  <c r="AM2214" i="12"/>
  <c r="AM2215" i="12"/>
  <c r="AM2216" i="12"/>
  <c r="AM2217" i="12"/>
  <c r="AM2218" i="12"/>
  <c r="AM2219" i="12"/>
  <c r="AM2220" i="12"/>
  <c r="AM2221" i="12"/>
  <c r="AM2222" i="12"/>
  <c r="AM2223" i="12"/>
  <c r="AM2224" i="12"/>
  <c r="AM2225" i="12"/>
  <c r="AM2226" i="12"/>
  <c r="AM2227" i="12"/>
  <c r="AM2228" i="12"/>
  <c r="AM2229" i="12"/>
  <c r="AM2230" i="12"/>
  <c r="AM2231" i="12"/>
  <c r="AM2232" i="12"/>
  <c r="AM2233" i="12"/>
  <c r="AM2234" i="12"/>
  <c r="AM2235" i="12"/>
  <c r="AM2236" i="12"/>
  <c r="AM2237" i="12"/>
  <c r="AM2238" i="12"/>
  <c r="AM2239" i="12"/>
  <c r="AM2240" i="12"/>
  <c r="AM2241" i="12"/>
  <c r="AM2242" i="12"/>
  <c r="AM2243" i="12"/>
  <c r="AM2244" i="12"/>
  <c r="AM2245" i="12"/>
  <c r="AM2246" i="12"/>
  <c r="AM2247" i="12"/>
  <c r="AM2248" i="12"/>
  <c r="AM2249" i="12"/>
  <c r="AM2250" i="12"/>
  <c r="AM2251" i="12"/>
  <c r="AM2252" i="12"/>
  <c r="AM2253" i="12"/>
  <c r="AM2254" i="12"/>
  <c r="AM2255" i="12"/>
  <c r="AM2256" i="12"/>
  <c r="AM2257" i="12"/>
  <c r="AM2258" i="12"/>
  <c r="AM2259" i="12"/>
  <c r="AM2260" i="12"/>
  <c r="AM2261" i="12"/>
  <c r="AM2262" i="12"/>
  <c r="AM2263" i="12"/>
  <c r="AM2264" i="12"/>
  <c r="AM2265" i="12"/>
  <c r="AM2266" i="12"/>
  <c r="AM2267" i="12"/>
  <c r="AM2268" i="12"/>
  <c r="AM2269" i="12"/>
  <c r="AM2270" i="12"/>
  <c r="AM2271" i="12"/>
  <c r="AM2272" i="12"/>
  <c r="AM2273" i="12"/>
  <c r="AM2274" i="12"/>
  <c r="AM2275" i="12"/>
  <c r="AM2276" i="12"/>
  <c r="AM2277" i="12"/>
  <c r="AM2278" i="12"/>
  <c r="AM2279" i="12"/>
  <c r="AM2280" i="12"/>
  <c r="AM2281" i="12"/>
  <c r="AM2282" i="12"/>
  <c r="AM2283" i="12"/>
  <c r="AM2284" i="12"/>
  <c r="AM2285" i="12"/>
  <c r="AM2286" i="12"/>
  <c r="AM2287" i="12"/>
  <c r="AM2288" i="12"/>
  <c r="AM2289" i="12"/>
  <c r="AM2290" i="12"/>
  <c r="AM2291" i="12"/>
  <c r="AM2292" i="12"/>
  <c r="AM2293" i="12"/>
  <c r="AM2294" i="12"/>
  <c r="AM2295" i="12"/>
  <c r="AM2296" i="12"/>
  <c r="AM2297" i="12"/>
  <c r="AM2298" i="12"/>
  <c r="AM2299" i="12"/>
  <c r="AM2300" i="12"/>
  <c r="AM2301" i="12"/>
  <c r="AM2302" i="12"/>
  <c r="AM2303" i="12"/>
  <c r="AM2304" i="12"/>
  <c r="AM2305" i="12"/>
  <c r="AM2306" i="12"/>
  <c r="AM2307" i="12"/>
  <c r="AM2308" i="12"/>
  <c r="AM2309" i="12"/>
  <c r="AM2310" i="12"/>
  <c r="AM2311" i="12"/>
  <c r="AM2312" i="12"/>
  <c r="AM2313" i="12"/>
  <c r="AM2314" i="12"/>
  <c r="AM2315" i="12"/>
  <c r="AM2316" i="12"/>
  <c r="AM2317" i="12"/>
  <c r="AM2318" i="12"/>
  <c r="AM2319" i="12"/>
  <c r="AM2320" i="12"/>
  <c r="AM2321" i="12"/>
  <c r="AM2322" i="12"/>
  <c r="AM2323" i="12"/>
  <c r="AM2324" i="12"/>
  <c r="AM2325" i="12"/>
  <c r="AM2326" i="12"/>
  <c r="AM2327" i="12"/>
  <c r="AM2328" i="12"/>
  <c r="AM2329" i="12"/>
  <c r="AM2330" i="12"/>
  <c r="AM2331" i="12"/>
  <c r="AM2332" i="12"/>
  <c r="AM2333" i="12"/>
  <c r="AM2334" i="12"/>
  <c r="AM2335" i="12"/>
  <c r="AM2336" i="12"/>
  <c r="AM2337" i="12"/>
  <c r="AM2338" i="12"/>
  <c r="AM2339" i="12"/>
  <c r="AM2340" i="12"/>
  <c r="AM2341" i="12"/>
  <c r="AM2342" i="12"/>
  <c r="AM2343" i="12"/>
  <c r="AM2344" i="12"/>
  <c r="AM2345" i="12"/>
  <c r="AM2346" i="12"/>
  <c r="AM2347" i="12"/>
  <c r="AM2348" i="12"/>
  <c r="AM2349" i="12"/>
  <c r="AM2350" i="12"/>
  <c r="AM2351" i="12"/>
  <c r="AM2352" i="12"/>
  <c r="AM2353" i="12"/>
  <c r="AM2354" i="12"/>
  <c r="AM2355" i="12"/>
  <c r="AM2356" i="12"/>
  <c r="AM2357" i="12"/>
  <c r="AM2358" i="12"/>
  <c r="AM2359" i="12"/>
  <c r="AM2360" i="12"/>
  <c r="AM2361" i="12"/>
  <c r="AM2362" i="12"/>
  <c r="AM2363" i="12"/>
  <c r="AM2364" i="12"/>
  <c r="AM2365" i="12"/>
  <c r="AM2366" i="12"/>
  <c r="AM2367" i="12"/>
  <c r="AM2368" i="12"/>
  <c r="AM2369" i="12"/>
  <c r="AM2370" i="12"/>
  <c r="AM2371" i="12"/>
  <c r="AM2372" i="12"/>
  <c r="AM2373" i="12"/>
  <c r="AM2374" i="12"/>
  <c r="AM2375" i="12"/>
  <c r="AM2376" i="12"/>
  <c r="AM2377" i="12"/>
  <c r="AM2378" i="12"/>
  <c r="AM2379" i="12"/>
  <c r="AM2380" i="12"/>
  <c r="AM2381" i="12"/>
  <c r="AM2382" i="12"/>
  <c r="AM2383" i="12"/>
  <c r="AM2384" i="12"/>
  <c r="AM2385" i="12"/>
  <c r="AM2386" i="12"/>
  <c r="AM2387" i="12"/>
  <c r="AM2388" i="12"/>
  <c r="AM2389" i="12"/>
  <c r="AM2390" i="12"/>
  <c r="AM2391" i="12"/>
  <c r="AM2392" i="12"/>
  <c r="AM2393" i="12"/>
  <c r="AM2394" i="12"/>
  <c r="AM2395" i="12"/>
  <c r="AM2396" i="12"/>
  <c r="AM2397" i="12"/>
  <c r="AM2398" i="12"/>
  <c r="AM2399" i="12"/>
  <c r="AM2400" i="12"/>
  <c r="AM2401" i="12"/>
  <c r="AM2402" i="12"/>
  <c r="AM2403" i="12"/>
  <c r="AM2404" i="12"/>
  <c r="AM2405" i="12"/>
  <c r="AM2406" i="12"/>
  <c r="AM2407" i="12"/>
  <c r="AM2408" i="12"/>
  <c r="AM2409" i="12"/>
  <c r="AM2410" i="12"/>
  <c r="AM2411" i="12"/>
  <c r="AM2412" i="12"/>
  <c r="AM2413" i="12"/>
  <c r="AM2414" i="12"/>
  <c r="AM2415" i="12"/>
  <c r="AM2416" i="12"/>
  <c r="AM2417" i="12"/>
  <c r="AM2418" i="12"/>
  <c r="AM2419" i="12"/>
  <c r="AM2420" i="12"/>
  <c r="AM2421" i="12"/>
  <c r="AM2422" i="12"/>
  <c r="AM2423" i="12"/>
  <c r="AM2424" i="12"/>
  <c r="AM2425" i="12"/>
  <c r="AM2426" i="12"/>
  <c r="AM2427" i="12"/>
  <c r="AM2428" i="12"/>
  <c r="AM2429" i="12"/>
  <c r="AM2430" i="12"/>
  <c r="AM2431" i="12"/>
  <c r="AM2432" i="12"/>
  <c r="AM2433" i="12"/>
  <c r="AM2434" i="12"/>
  <c r="AM2435" i="12"/>
  <c r="AM2436" i="12"/>
  <c r="AM2437" i="12"/>
  <c r="AM2438" i="12"/>
  <c r="AM2439" i="12"/>
  <c r="AM2440" i="12"/>
  <c r="AM2441" i="12"/>
  <c r="AM2442" i="12"/>
  <c r="AM2443" i="12"/>
  <c r="AM2444" i="12"/>
  <c r="AM2445" i="12"/>
  <c r="AM2446" i="12"/>
  <c r="AM2447" i="12"/>
  <c r="AM2448" i="12"/>
  <c r="AM2449" i="12"/>
  <c r="AM2450" i="12"/>
  <c r="AM2451" i="12"/>
  <c r="AM2452" i="12"/>
  <c r="AM2453" i="12"/>
  <c r="AM2454" i="12"/>
  <c r="AM2455" i="12"/>
  <c r="AM2456" i="12"/>
  <c r="AM2457" i="12"/>
  <c r="AM2458" i="12"/>
  <c r="AM2459" i="12"/>
  <c r="AM2460" i="12"/>
  <c r="AM2461" i="12"/>
  <c r="AM2462" i="12"/>
  <c r="AM2463" i="12"/>
  <c r="AM2464" i="12"/>
  <c r="AM2465" i="12"/>
  <c r="AM2466" i="12"/>
  <c r="AM2467" i="12"/>
  <c r="AM2468" i="12"/>
  <c r="AM2469" i="12"/>
  <c r="AM2470" i="12"/>
  <c r="AM2471" i="12"/>
  <c r="AM2472" i="12"/>
  <c r="AM2473" i="12"/>
  <c r="AM2474" i="12"/>
  <c r="AM2475" i="12"/>
  <c r="AM2476" i="12"/>
  <c r="AM2477" i="12"/>
  <c r="AM2478" i="12"/>
  <c r="AM2479" i="12"/>
  <c r="AM2480" i="12"/>
  <c r="AM2481" i="12"/>
  <c r="AM2482" i="12"/>
  <c r="AM2483" i="12"/>
  <c r="AM2484" i="12"/>
  <c r="AM2485" i="12"/>
  <c r="AM2486" i="12"/>
  <c r="AM2487" i="12"/>
  <c r="AM2488" i="12"/>
  <c r="AM2489" i="12"/>
  <c r="AM2490" i="12"/>
  <c r="AM2491" i="12"/>
  <c r="AM2492" i="12"/>
  <c r="AM2493" i="12"/>
  <c r="AM2494" i="12"/>
  <c r="AM2495" i="12"/>
  <c r="AM2496" i="12"/>
  <c r="AM2497" i="12"/>
  <c r="AM2498" i="12"/>
  <c r="AM2499" i="12"/>
  <c r="AM2500" i="12"/>
  <c r="AM2501" i="12"/>
  <c r="AM2502" i="12"/>
  <c r="AM2503" i="12"/>
  <c r="AM2504" i="12"/>
  <c r="AM2505" i="12"/>
  <c r="AM2506" i="12"/>
  <c r="AM2507" i="12"/>
  <c r="AM2508" i="12"/>
  <c r="AM2509" i="12"/>
  <c r="AM2510" i="12"/>
  <c r="AM2511" i="12"/>
  <c r="AM2512" i="12"/>
  <c r="AM2513" i="12"/>
  <c r="AM2514" i="12"/>
  <c r="AM2515" i="12"/>
  <c r="AM2516" i="12"/>
  <c r="AM2517" i="12"/>
  <c r="AM2518" i="12"/>
  <c r="AM2519" i="12"/>
  <c r="AM2520" i="12"/>
  <c r="AM2521" i="12"/>
  <c r="AM2522" i="12"/>
  <c r="AM2523" i="12"/>
  <c r="AM2524" i="12"/>
  <c r="AM2525" i="12"/>
  <c r="AM2526" i="12"/>
  <c r="AM2527" i="12"/>
  <c r="AM2528" i="12"/>
  <c r="AM2529" i="12"/>
  <c r="AM2530" i="12"/>
  <c r="AM2531" i="12"/>
  <c r="AM2532" i="12"/>
  <c r="AM2533" i="12"/>
  <c r="AM2534" i="12"/>
  <c r="AM2535" i="12"/>
  <c r="AM2536" i="12"/>
  <c r="AM2537" i="12"/>
  <c r="AM2538" i="12"/>
  <c r="AM2539" i="12"/>
  <c r="AM2540" i="12"/>
  <c r="AM2541" i="12"/>
  <c r="AM2542" i="12"/>
  <c r="AM2543" i="12"/>
  <c r="AM2544" i="12"/>
  <c r="AM2545" i="12"/>
  <c r="AM2546" i="12"/>
  <c r="AM2547" i="12"/>
  <c r="AM2548" i="12"/>
  <c r="AM2549" i="12"/>
  <c r="AM2550" i="12"/>
  <c r="AM2551" i="12"/>
  <c r="AM2552" i="12"/>
  <c r="AM2553" i="12"/>
  <c r="AM2554" i="12"/>
  <c r="AM2555" i="12"/>
  <c r="AM2556" i="12"/>
  <c r="AM2557" i="12"/>
  <c r="AM2558" i="12"/>
  <c r="AM2559" i="12"/>
  <c r="AM2560" i="12"/>
  <c r="AM2561" i="12"/>
  <c r="AM2562" i="12"/>
  <c r="AM2563" i="12"/>
  <c r="AM2564" i="12"/>
  <c r="AM2565" i="12"/>
  <c r="AM2566" i="12"/>
  <c r="AM2567" i="12"/>
  <c r="AM2568" i="12"/>
  <c r="AM2569" i="12"/>
  <c r="AM2570" i="12"/>
  <c r="AM2571" i="12"/>
  <c r="AM2572" i="12"/>
  <c r="AM2573" i="12"/>
  <c r="AM2574" i="12"/>
  <c r="AM2575" i="12"/>
  <c r="AM2576" i="12"/>
  <c r="AM2577" i="12"/>
  <c r="AM2578" i="12"/>
  <c r="AM2579" i="12"/>
  <c r="AM2580" i="12"/>
  <c r="AM2581" i="12"/>
  <c r="AM2582" i="12"/>
  <c r="AM2583" i="12"/>
  <c r="AM2584" i="12"/>
  <c r="AM2585" i="12"/>
  <c r="AM2586" i="12"/>
  <c r="AM2587" i="12"/>
  <c r="AM2588" i="12"/>
  <c r="AM2589" i="12"/>
  <c r="AM2590" i="12"/>
  <c r="AM2591" i="12"/>
  <c r="AM2592" i="12"/>
  <c r="AM2593" i="12"/>
  <c r="AM2594" i="12"/>
  <c r="AM2595" i="12"/>
  <c r="AM2596" i="12"/>
  <c r="AM2597" i="12"/>
  <c r="AM2598" i="12"/>
  <c r="AM2599" i="12"/>
  <c r="AM2600" i="12"/>
  <c r="AM2601" i="12"/>
  <c r="AM2602" i="12"/>
  <c r="AM2603" i="12"/>
  <c r="AM2604" i="12"/>
  <c r="AM2605" i="12"/>
  <c r="AM2606" i="12"/>
  <c r="AM2607" i="12"/>
  <c r="AM2608" i="12"/>
  <c r="AM2609" i="12"/>
  <c r="AM2610" i="12"/>
  <c r="AM2611" i="12"/>
  <c r="AM2612" i="12"/>
  <c r="AM2613" i="12"/>
  <c r="AM2614" i="12"/>
  <c r="AM2615" i="12"/>
  <c r="AM2616" i="12"/>
  <c r="AM2617" i="12"/>
  <c r="AM2618" i="12"/>
  <c r="AM2619" i="12"/>
  <c r="AM2620" i="12"/>
  <c r="AM2621" i="12"/>
  <c r="AM2622" i="12"/>
  <c r="AM2623" i="12"/>
  <c r="AM2624" i="12"/>
  <c r="AM2625" i="12"/>
  <c r="AM2626" i="12"/>
  <c r="AM2627" i="12"/>
  <c r="AM2628" i="12"/>
  <c r="AM2629" i="12"/>
  <c r="AM2630" i="12"/>
  <c r="AM2631" i="12"/>
  <c r="AM2632" i="12"/>
  <c r="AM2633" i="12"/>
  <c r="AM2634" i="12"/>
  <c r="AM2635" i="12"/>
  <c r="AM2636" i="12"/>
  <c r="AM2637" i="12"/>
  <c r="AM2638" i="12"/>
  <c r="AM2639" i="12"/>
  <c r="AM2640" i="12"/>
  <c r="AM2641" i="12"/>
  <c r="AM2642" i="12"/>
  <c r="AM2643" i="12"/>
  <c r="AM2644" i="12"/>
  <c r="AM2645" i="12"/>
  <c r="AM2646" i="12"/>
  <c r="AM2647" i="12"/>
  <c r="AM2648" i="12"/>
  <c r="AM2649" i="12"/>
  <c r="AM2650" i="12"/>
  <c r="AM2651" i="12"/>
  <c r="AM2652" i="12"/>
  <c r="AM2653" i="12"/>
  <c r="AM2654" i="12"/>
  <c r="AM2655" i="12"/>
  <c r="AM2656" i="12"/>
  <c r="AM2657" i="12"/>
  <c r="AM2658" i="12"/>
  <c r="AM2659" i="12"/>
  <c r="AM2660" i="12"/>
  <c r="AM2661" i="12"/>
  <c r="AM2662" i="12"/>
  <c r="AM2663" i="12"/>
  <c r="AM2664" i="12"/>
  <c r="AM2665" i="12"/>
  <c r="AM2666" i="12"/>
  <c r="AM2667" i="12"/>
  <c r="AM2668" i="12"/>
  <c r="AM2669" i="12"/>
  <c r="AM2670" i="12"/>
  <c r="AM2671" i="12"/>
  <c r="AM2672" i="12"/>
  <c r="AM2673" i="12"/>
  <c r="AM2674" i="12"/>
  <c r="AM2675" i="12"/>
  <c r="AM2676" i="12"/>
  <c r="AM2677" i="12"/>
  <c r="AM2678" i="12"/>
  <c r="AM2679" i="12"/>
  <c r="AM2680" i="12"/>
  <c r="AM2681" i="12"/>
  <c r="AM2682" i="12"/>
  <c r="AM2683" i="12"/>
  <c r="AM2684" i="12"/>
  <c r="AM2685" i="12"/>
  <c r="AM2686" i="12"/>
  <c r="AM2687" i="12"/>
  <c r="AM2688" i="12"/>
  <c r="AM2689" i="12"/>
  <c r="AM2690" i="12"/>
  <c r="AM2691" i="12"/>
  <c r="AM2692" i="12"/>
  <c r="AM2693" i="12"/>
  <c r="AM2694" i="12"/>
  <c r="AM2695" i="12"/>
  <c r="AM2696" i="12"/>
  <c r="AM2697" i="12"/>
  <c r="AM2698" i="12"/>
  <c r="AM2699" i="12"/>
  <c r="AM2700" i="12"/>
  <c r="AM2701" i="12"/>
  <c r="AM2702" i="12"/>
  <c r="AM2703" i="12"/>
  <c r="AM2704" i="12"/>
  <c r="AM2705" i="12"/>
  <c r="AM2706" i="12"/>
  <c r="AM2707" i="12"/>
  <c r="AM2708" i="12"/>
  <c r="AM2709" i="12"/>
  <c r="AM2710" i="12"/>
  <c r="AM2711" i="12"/>
  <c r="AM2712" i="12"/>
  <c r="AM2713" i="12"/>
  <c r="AM2714" i="12"/>
  <c r="AM2715" i="12"/>
  <c r="AM2716" i="12"/>
  <c r="AM2717" i="12"/>
  <c r="AM2718" i="12"/>
  <c r="AM2719" i="12"/>
  <c r="AM2720" i="12"/>
  <c r="AM2721" i="12"/>
  <c r="AM2722" i="12"/>
  <c r="AM2723" i="12"/>
  <c r="AM2724" i="12"/>
  <c r="AM2725" i="12"/>
  <c r="AM2726" i="12"/>
  <c r="AM2727" i="12"/>
  <c r="AM2728" i="12"/>
  <c r="AM2729" i="12"/>
  <c r="AM2730" i="12"/>
  <c r="AM2731" i="12"/>
  <c r="AM2732" i="12"/>
  <c r="AM2733" i="12"/>
  <c r="AM2734" i="12"/>
  <c r="AM2735" i="12"/>
  <c r="AM2736" i="12"/>
  <c r="AM2737" i="12"/>
  <c r="AM2738" i="12"/>
  <c r="AM2739" i="12"/>
  <c r="AM2740" i="12"/>
  <c r="AM2741" i="12"/>
  <c r="AM2742" i="12"/>
  <c r="AM2743" i="12"/>
  <c r="AM2744" i="12"/>
  <c r="AM2745" i="12"/>
  <c r="AM2746" i="12"/>
  <c r="AM2747" i="12"/>
  <c r="AM2748" i="12"/>
  <c r="AM2749" i="12"/>
  <c r="AM2750" i="12"/>
  <c r="AM2751" i="12"/>
  <c r="AM2752" i="12"/>
  <c r="AM2753" i="12"/>
  <c r="AM2754" i="12"/>
  <c r="AM2755" i="12"/>
  <c r="AM2756" i="12"/>
  <c r="AM2757" i="12"/>
  <c r="AM2758" i="12"/>
  <c r="AM2759" i="12"/>
  <c r="AM2760" i="12"/>
  <c r="AM2761" i="12"/>
  <c r="AM2762" i="12"/>
  <c r="AM2763" i="12"/>
  <c r="AM2764" i="12"/>
  <c r="AM2765" i="12"/>
  <c r="AM2766" i="12"/>
  <c r="AM2767" i="12"/>
  <c r="AM2768" i="12"/>
  <c r="AM2769" i="12"/>
  <c r="AM2770" i="12"/>
  <c r="AM2771" i="12"/>
  <c r="AM2772" i="12"/>
  <c r="AM2773" i="12"/>
  <c r="AM2774" i="12"/>
  <c r="AM2775" i="12"/>
  <c r="AM2776" i="12"/>
  <c r="AM2777" i="12"/>
  <c r="AM2778" i="12"/>
  <c r="AM2779" i="12"/>
  <c r="AM2780" i="12"/>
  <c r="AM2781" i="12"/>
  <c r="AM2782" i="12"/>
  <c r="AM2783" i="12"/>
  <c r="AM2784" i="12"/>
  <c r="AM2785" i="12"/>
  <c r="AM2786" i="12"/>
  <c r="AM2787" i="12"/>
  <c r="AM2788" i="12"/>
  <c r="AM2789" i="12"/>
  <c r="AM2790" i="12"/>
  <c r="AM2791" i="12"/>
  <c r="AM2792" i="12"/>
  <c r="AM2793" i="12"/>
  <c r="AM2794" i="12"/>
  <c r="AM2795" i="12"/>
  <c r="AM2796" i="12"/>
  <c r="AM2797" i="12"/>
  <c r="AM2798" i="12"/>
  <c r="AM2799" i="12"/>
  <c r="AM2800" i="12"/>
  <c r="AM2801" i="12"/>
  <c r="AM2802" i="12"/>
  <c r="AM2803" i="12"/>
  <c r="AM2804" i="12"/>
  <c r="AM2805" i="12"/>
  <c r="AM2806" i="12"/>
  <c r="AM2807" i="12"/>
  <c r="AM2808" i="12"/>
  <c r="AM2809" i="12"/>
  <c r="AM2810" i="12"/>
  <c r="AM2811" i="12"/>
  <c r="AM2812" i="12"/>
  <c r="AM2813" i="12"/>
  <c r="AM2814" i="12"/>
  <c r="AM2815" i="12"/>
  <c r="AM2816" i="12"/>
  <c r="AM2817" i="12"/>
  <c r="AM2818" i="12"/>
  <c r="AM2819" i="12"/>
  <c r="AM2820" i="12"/>
  <c r="AM2821" i="12"/>
  <c r="AM2822" i="12"/>
  <c r="AM2823" i="12"/>
  <c r="AM2824" i="12"/>
  <c r="AM2825" i="12"/>
  <c r="AM2826" i="12"/>
  <c r="AM2827" i="12"/>
  <c r="AM2828" i="12"/>
  <c r="AM2829" i="12"/>
  <c r="AM2830" i="12"/>
  <c r="AM2831" i="12"/>
  <c r="AM2832" i="12"/>
  <c r="AM2833" i="12"/>
  <c r="AM2834" i="12"/>
  <c r="AM2835" i="12"/>
  <c r="AM2836" i="12"/>
  <c r="AM2837" i="12"/>
  <c r="AM2838" i="12"/>
  <c r="AM2839" i="12"/>
  <c r="AM2840" i="12"/>
  <c r="AM2841" i="12"/>
  <c r="AM2842" i="12"/>
  <c r="AM2843" i="12"/>
  <c r="AM2844" i="12"/>
  <c r="AM2845" i="12"/>
  <c r="AM2846" i="12"/>
  <c r="AM2847" i="12"/>
  <c r="AM2848" i="12"/>
  <c r="AM2849" i="12"/>
  <c r="AM2850" i="12"/>
  <c r="AM2851" i="12"/>
  <c r="AM2852" i="12"/>
  <c r="AM2853" i="12"/>
  <c r="AM2854" i="12"/>
  <c r="AM2855" i="12"/>
  <c r="AM2856" i="12"/>
  <c r="AM2857" i="12"/>
  <c r="AM2858" i="12"/>
  <c r="AM2859" i="12"/>
  <c r="AM2860" i="12"/>
  <c r="AM2861" i="12"/>
  <c r="AM2862" i="12"/>
  <c r="AM2863" i="12"/>
  <c r="AM2864" i="12"/>
  <c r="AM2865" i="12"/>
  <c r="AM2866" i="12"/>
  <c r="AM2867" i="12"/>
  <c r="AM2868" i="12"/>
  <c r="AM2869" i="12"/>
  <c r="AM2870" i="12"/>
  <c r="AM2871" i="12"/>
  <c r="AM2872" i="12"/>
  <c r="AM2873" i="12"/>
  <c r="AM2874" i="12"/>
  <c r="AM2875" i="12"/>
  <c r="AM2876" i="12"/>
  <c r="AM2877" i="12"/>
  <c r="AM2878" i="12"/>
  <c r="AM2879" i="12"/>
  <c r="AM2880" i="12"/>
  <c r="AM2881" i="12"/>
  <c r="AM2882" i="12"/>
  <c r="AM2883" i="12"/>
  <c r="AM2884" i="12"/>
  <c r="AM2885" i="12"/>
  <c r="AM2886" i="12"/>
  <c r="AM2887" i="12"/>
  <c r="AM2888" i="12"/>
  <c r="AM2889" i="12"/>
  <c r="AM2890" i="12"/>
  <c r="AM2891" i="12"/>
  <c r="AM2892" i="12"/>
  <c r="AM2893" i="12"/>
  <c r="AM2894" i="12"/>
  <c r="AM2895" i="12"/>
  <c r="AM2896" i="12"/>
  <c r="AM2897" i="12"/>
  <c r="AM2898" i="12"/>
  <c r="AM2899" i="12"/>
  <c r="AM2900" i="12"/>
  <c r="AM2901" i="12"/>
  <c r="AM2902" i="12"/>
  <c r="AM2903" i="12"/>
  <c r="AM2904" i="12"/>
  <c r="AM2905" i="12"/>
  <c r="AM2906" i="12"/>
  <c r="AM2907" i="12"/>
  <c r="AM2908" i="12"/>
  <c r="AM2909" i="12"/>
  <c r="AM2910" i="12"/>
  <c r="AM2911" i="12"/>
  <c r="AM2912" i="12"/>
  <c r="AM2913" i="12"/>
  <c r="AM2914" i="12"/>
  <c r="AM2915" i="12"/>
  <c r="AM2916" i="12"/>
  <c r="AM2917" i="12"/>
  <c r="AM2918" i="12"/>
  <c r="AM2919" i="12"/>
  <c r="AM2920" i="12"/>
  <c r="AM2921" i="12"/>
  <c r="AM2922" i="12"/>
  <c r="AM2923" i="12"/>
  <c r="AM2924" i="12"/>
  <c r="AM2925" i="12"/>
  <c r="AM2926" i="12"/>
  <c r="AM2927" i="12"/>
  <c r="AM2928" i="12"/>
  <c r="AM2929" i="12"/>
  <c r="AM2930" i="12"/>
  <c r="AM2931" i="12"/>
  <c r="AM2932" i="12"/>
  <c r="AM2933" i="12"/>
  <c r="AM2934" i="12"/>
  <c r="AM2935" i="12"/>
  <c r="AM2936" i="12"/>
  <c r="AM2937" i="12"/>
  <c r="AM2938" i="12"/>
  <c r="AM2939" i="12"/>
  <c r="AM2940" i="12"/>
  <c r="AM2941" i="12"/>
  <c r="AM2942" i="12"/>
  <c r="AM2943" i="12"/>
  <c r="AM2944" i="12"/>
  <c r="AM2945" i="12"/>
  <c r="AM2946" i="12"/>
  <c r="AM2947" i="12"/>
  <c r="AM2948" i="12"/>
  <c r="AM2949" i="12"/>
  <c r="AM2950" i="12"/>
  <c r="AM2951" i="12"/>
  <c r="AM2952" i="12"/>
  <c r="AM2953" i="12"/>
  <c r="AM2954" i="12"/>
  <c r="AM2955" i="12"/>
  <c r="AM2956" i="12"/>
  <c r="AM2957" i="12"/>
  <c r="AM2958" i="12"/>
  <c r="AM2959" i="12"/>
  <c r="AM2960" i="12"/>
  <c r="AM2961" i="12"/>
  <c r="AM2962" i="12"/>
  <c r="AM2963" i="12"/>
  <c r="AM2964" i="12"/>
  <c r="AM2965" i="12"/>
  <c r="AM2966" i="12"/>
  <c r="AM2967" i="12"/>
  <c r="AM2968" i="12"/>
  <c r="AM2969" i="12"/>
  <c r="AM2970" i="12"/>
  <c r="AM2971" i="12"/>
  <c r="AM2972" i="12"/>
  <c r="AM2973" i="12"/>
  <c r="AM2974" i="12"/>
  <c r="AM2975" i="12"/>
  <c r="AM2976" i="12"/>
  <c r="AM2977" i="12"/>
  <c r="AM2978" i="12"/>
  <c r="AM2979" i="12"/>
  <c r="AM2980" i="12"/>
  <c r="AM2981" i="12"/>
  <c r="AM2982" i="12"/>
  <c r="AM2983" i="12"/>
  <c r="AM2984" i="12"/>
  <c r="AM2985" i="12"/>
  <c r="AM2986" i="12"/>
  <c r="AM2987" i="12"/>
  <c r="AM2988" i="12"/>
  <c r="AM2989" i="12"/>
  <c r="AM2990" i="12"/>
  <c r="AM2991" i="12"/>
  <c r="AM2992" i="12"/>
  <c r="AM2993" i="12"/>
  <c r="AM2994" i="12"/>
  <c r="AM2995" i="12"/>
  <c r="AM2996" i="12"/>
  <c r="AM2997" i="12"/>
  <c r="AM2998" i="12"/>
  <c r="AM2999" i="12"/>
  <c r="AM3000" i="12"/>
  <c r="AM3001" i="12"/>
  <c r="AM3002" i="12"/>
  <c r="AM3003" i="12"/>
  <c r="AM3004" i="12"/>
  <c r="AM3005" i="12"/>
  <c r="AM3006" i="12"/>
  <c r="AM3007" i="12"/>
  <c r="AM3008" i="12"/>
  <c r="AM3009" i="12"/>
  <c r="AM3010" i="12"/>
  <c r="AM3011" i="12"/>
  <c r="AM3012" i="12"/>
  <c r="AM3013" i="12"/>
  <c r="AM3014" i="12"/>
  <c r="AM3015" i="12"/>
  <c r="AM3016" i="12"/>
  <c r="AM3017" i="12"/>
  <c r="AM3018" i="12"/>
  <c r="AM3019" i="12"/>
  <c r="AM3020" i="12"/>
  <c r="AM3021" i="12"/>
  <c r="AM3022" i="12"/>
  <c r="AM3023" i="12"/>
  <c r="AM3024" i="12"/>
  <c r="AM3025" i="12"/>
  <c r="AM3026" i="12"/>
  <c r="AM3027" i="12"/>
  <c r="AM3028" i="12"/>
  <c r="AM3029" i="12"/>
  <c r="AM3030" i="12"/>
  <c r="AM3031" i="12"/>
  <c r="AM3032" i="12"/>
  <c r="AM3033" i="12"/>
  <c r="AM3034" i="12"/>
  <c r="AM3035" i="12"/>
  <c r="AM3036" i="12"/>
  <c r="AM3037" i="12"/>
  <c r="AM3038" i="12"/>
  <c r="AM3039" i="12"/>
  <c r="AM3040" i="12"/>
  <c r="AM3041" i="12"/>
  <c r="AM3042" i="12"/>
  <c r="AM3043" i="12"/>
  <c r="AM3044" i="12"/>
  <c r="AM3045" i="12"/>
  <c r="AM3046" i="12"/>
  <c r="AM3047" i="12"/>
  <c r="AM3048" i="12"/>
  <c r="AM3049" i="12"/>
  <c r="AM3050" i="12"/>
  <c r="AM3051" i="12"/>
  <c r="AM3052" i="12"/>
  <c r="AM3053" i="12"/>
  <c r="AM3054" i="12"/>
  <c r="AM3055" i="12"/>
  <c r="AM3056" i="12"/>
  <c r="AM3057" i="12"/>
  <c r="AM3058" i="12"/>
  <c r="AM3059" i="12"/>
  <c r="AM3060" i="12"/>
  <c r="AM3061" i="12"/>
  <c r="AM3062" i="12"/>
  <c r="AM3063" i="12"/>
  <c r="AM3064" i="12"/>
  <c r="AM3065" i="12"/>
  <c r="AM3066" i="12"/>
  <c r="AM3067" i="12"/>
  <c r="AM3068" i="12"/>
  <c r="AM3069" i="12"/>
  <c r="AM3070" i="12"/>
  <c r="AM3071" i="12"/>
  <c r="AM3072" i="12"/>
  <c r="AM3073" i="12"/>
  <c r="AM3074" i="12"/>
  <c r="AM3075" i="12"/>
  <c r="AM3076" i="12"/>
  <c r="AM3077" i="12"/>
  <c r="AM3078" i="12"/>
  <c r="AM3079" i="12"/>
  <c r="AM3080" i="12"/>
  <c r="AM3081" i="12"/>
  <c r="AM3082" i="12"/>
  <c r="AM3083" i="12"/>
  <c r="AM3084" i="12"/>
  <c r="AM3085" i="12"/>
  <c r="AM3086" i="12"/>
  <c r="AM3087" i="12"/>
  <c r="AM3088" i="12"/>
  <c r="AM3089" i="12"/>
  <c r="AM3090" i="12"/>
  <c r="AM3091" i="12"/>
  <c r="AM3092" i="12"/>
  <c r="AM3093" i="12"/>
  <c r="AM3094" i="12"/>
  <c r="AM3095" i="12"/>
  <c r="AM3096" i="12"/>
  <c r="AM3097" i="12"/>
  <c r="AM3098" i="12"/>
  <c r="AM3099" i="12"/>
  <c r="AM3100" i="12"/>
  <c r="AM3101" i="12"/>
  <c r="AM3102" i="12"/>
  <c r="AM3103" i="12"/>
  <c r="AM3104" i="12"/>
  <c r="AM3105" i="12"/>
  <c r="AM3106" i="12"/>
  <c r="AM3107" i="12"/>
  <c r="AM3108" i="12"/>
  <c r="AM3109" i="12"/>
  <c r="AM3110" i="12"/>
  <c r="AM3111" i="12"/>
  <c r="AM3112" i="12"/>
  <c r="AM3113" i="12"/>
  <c r="AM3114" i="12"/>
  <c r="AM3115" i="12"/>
  <c r="AM3116" i="12"/>
  <c r="AM3117" i="12"/>
  <c r="AM3118" i="12"/>
  <c r="AM3119" i="12"/>
  <c r="AM3120" i="12"/>
  <c r="AM3121" i="12"/>
  <c r="AM3122" i="12"/>
  <c r="AM3123" i="12"/>
  <c r="AM3124" i="12"/>
  <c r="AM3125" i="12"/>
  <c r="AM3126" i="12"/>
  <c r="AM3127" i="12"/>
  <c r="AM3128" i="12"/>
  <c r="AM3129" i="12"/>
  <c r="AM3130" i="12"/>
  <c r="AM3131" i="12"/>
  <c r="AM3132" i="12"/>
  <c r="AM3133" i="12"/>
  <c r="AM3134" i="12"/>
  <c r="AM3135" i="12"/>
  <c r="AM3136" i="12"/>
  <c r="AM3137" i="12"/>
  <c r="AM3138" i="12"/>
  <c r="AM3139" i="12"/>
  <c r="AM3140" i="12"/>
  <c r="AM3141" i="12"/>
  <c r="AM3142" i="12"/>
  <c r="AM3143" i="12"/>
  <c r="AM3144" i="12"/>
  <c r="AM3145" i="12"/>
  <c r="AM3146" i="12"/>
  <c r="AM3147" i="12"/>
  <c r="AM3148" i="12"/>
  <c r="AM3149" i="12"/>
  <c r="AM3150" i="12"/>
  <c r="AM3151" i="12"/>
  <c r="AM3152" i="12"/>
  <c r="AM3153" i="12"/>
  <c r="AM3154" i="12"/>
  <c r="AM3155" i="12"/>
  <c r="AM3156" i="12"/>
  <c r="AM3157" i="12"/>
  <c r="AM3158" i="12"/>
  <c r="AM3159" i="12"/>
  <c r="AM3160" i="12"/>
  <c r="AM3161" i="12"/>
  <c r="AM3162" i="12"/>
  <c r="AM3163" i="12"/>
  <c r="AM3164" i="12"/>
  <c r="AM3165" i="12"/>
  <c r="AM3166" i="12"/>
  <c r="AM3167" i="12"/>
  <c r="AM3168" i="12"/>
  <c r="AM3169" i="12"/>
  <c r="AM3170" i="12"/>
  <c r="AM3171" i="12"/>
  <c r="AM3172" i="12"/>
  <c r="AM3173" i="12"/>
  <c r="AM3174" i="12"/>
  <c r="AM3175" i="12"/>
  <c r="AM3176" i="12"/>
  <c r="AM3177" i="12"/>
  <c r="AM3178" i="12"/>
  <c r="AM3179" i="12"/>
  <c r="AM3180" i="12"/>
  <c r="AM3181" i="12"/>
  <c r="AM3182" i="12"/>
  <c r="AM3183" i="12"/>
  <c r="AM3184" i="12"/>
  <c r="AM3185" i="12"/>
  <c r="AM3186" i="12"/>
  <c r="AM3187" i="12"/>
  <c r="AM3188" i="12"/>
  <c r="AM3189" i="12"/>
  <c r="AM3190" i="12"/>
  <c r="AM3191" i="12"/>
  <c r="AM3192" i="12"/>
  <c r="AM3193" i="12"/>
  <c r="AM3194" i="12"/>
  <c r="AM3195" i="12"/>
  <c r="AM3196" i="12"/>
  <c r="AM3197" i="12"/>
  <c r="AM3198" i="12"/>
  <c r="AM3199" i="12"/>
  <c r="AM3200" i="12"/>
  <c r="AM3201" i="12"/>
  <c r="AM3202" i="12"/>
  <c r="AM3203" i="12"/>
  <c r="AM3204" i="12"/>
  <c r="AM3205" i="12"/>
  <c r="AM3206" i="12"/>
  <c r="AM3207" i="12"/>
  <c r="AM3208" i="12"/>
  <c r="AM3209" i="12"/>
  <c r="AM3210" i="12"/>
  <c r="AM3211" i="12"/>
  <c r="AM3212" i="12"/>
  <c r="AM3213" i="12"/>
  <c r="AM3214" i="12"/>
  <c r="AM3215" i="12"/>
  <c r="AM3216" i="12"/>
  <c r="AM3217" i="12"/>
  <c r="AM3218" i="12"/>
  <c r="AM3219" i="12"/>
  <c r="AM3220" i="12"/>
  <c r="AM3221" i="12"/>
  <c r="AM3222" i="12"/>
  <c r="AM3223" i="12"/>
  <c r="AM3224" i="12"/>
  <c r="AM3225" i="12"/>
  <c r="AM3226" i="12"/>
  <c r="AM3227" i="12"/>
  <c r="AM3228" i="12"/>
  <c r="AM3229" i="12"/>
  <c r="AM3230" i="12"/>
  <c r="AM3231" i="12"/>
  <c r="AM3232" i="12"/>
  <c r="AM3233" i="12"/>
  <c r="AM3234" i="12"/>
  <c r="AM3235" i="12"/>
  <c r="AM3236" i="12"/>
  <c r="AM3237" i="12"/>
  <c r="AM3238" i="12"/>
  <c r="AM3239" i="12"/>
  <c r="AM3240" i="12"/>
  <c r="AM3241" i="12"/>
  <c r="AM3242" i="12"/>
  <c r="AM3243" i="12"/>
  <c r="AM3244" i="12"/>
  <c r="AM3245" i="12"/>
  <c r="AM3246" i="12"/>
  <c r="AM3247" i="12"/>
  <c r="AM3248" i="12"/>
  <c r="AM3249" i="12"/>
  <c r="AM3250" i="12"/>
  <c r="AM3251" i="12"/>
  <c r="AM3252" i="12"/>
  <c r="AM3253" i="12"/>
  <c r="AM3254" i="12"/>
  <c r="AM3255" i="12"/>
  <c r="AM3256" i="12"/>
  <c r="AM3257" i="12"/>
  <c r="AM3258" i="12"/>
  <c r="AM3259" i="12"/>
  <c r="AM3260" i="12"/>
  <c r="AM3261" i="12"/>
  <c r="AM3262" i="12"/>
  <c r="AM3263" i="12"/>
  <c r="AM3264" i="12"/>
  <c r="AM3265" i="12"/>
  <c r="AM3266" i="12"/>
  <c r="AM3267" i="12"/>
  <c r="AM3268" i="12"/>
  <c r="AM3269" i="12"/>
  <c r="AM3270" i="12"/>
  <c r="AM3271" i="12"/>
  <c r="AM3272" i="12"/>
  <c r="AM3273" i="12"/>
  <c r="AM3274" i="12"/>
  <c r="AM3275" i="12"/>
  <c r="AM3276" i="12"/>
  <c r="AM3277" i="12"/>
  <c r="AM3278" i="12"/>
  <c r="AM3279" i="12"/>
  <c r="AM3280" i="12"/>
  <c r="AM3281" i="12"/>
  <c r="AM3282" i="12"/>
  <c r="AM3283" i="12"/>
  <c r="AM3284" i="12"/>
  <c r="AM3285" i="12"/>
  <c r="AM3286" i="12"/>
  <c r="AM3287" i="12"/>
  <c r="AM3288" i="12"/>
  <c r="AM3289" i="12"/>
  <c r="AM3290" i="12"/>
  <c r="AM3291" i="12"/>
  <c r="AM3292" i="12"/>
  <c r="AM3293" i="12"/>
  <c r="AM3294" i="12"/>
  <c r="AM3295" i="12"/>
  <c r="AM3296" i="12"/>
  <c r="AM3297" i="12"/>
  <c r="AM3298" i="12"/>
  <c r="AM3299" i="12"/>
  <c r="AM3300" i="12"/>
  <c r="AM3301" i="12"/>
  <c r="AM3302" i="12"/>
  <c r="AM3303" i="12"/>
  <c r="AM3304" i="12"/>
  <c r="AM3305" i="12"/>
  <c r="AM3306" i="12"/>
  <c r="AM3307" i="12"/>
  <c r="AM3308" i="12"/>
  <c r="AM3309" i="12"/>
  <c r="AM3310" i="12"/>
  <c r="AM3311" i="12"/>
  <c r="AM3312" i="12"/>
  <c r="AM3313" i="12"/>
  <c r="AM3" i="12"/>
  <c r="R35" i="11"/>
  <c r="T39" i="11"/>
  <c r="BM31" i="9" s="1"/>
  <c r="R2373" i="12" s="1"/>
  <c r="R2372" i="12" s="1"/>
  <c r="R2371" i="12" s="1"/>
  <c r="R2370" i="12" s="1"/>
  <c r="R2369" i="12" s="1"/>
  <c r="R2368" i="12" s="1"/>
  <c r="R2367" i="12" s="1"/>
  <c r="R2366" i="12" s="1"/>
  <c r="R2365" i="12" s="1"/>
  <c r="R2364" i="12" s="1"/>
  <c r="R2363" i="12" s="1"/>
  <c r="R2362" i="12" s="1"/>
  <c r="R2361" i="12" s="1"/>
  <c r="R2360" i="12" s="1"/>
  <c r="R2359" i="12" s="1"/>
  <c r="R2358" i="12" s="1"/>
  <c r="R2357" i="12" s="1"/>
  <c r="R2356" i="12" s="1"/>
  <c r="R2355" i="12" s="1"/>
  <c r="R2354" i="12" s="1"/>
  <c r="R2353" i="12" s="1"/>
  <c r="R2352" i="12" s="1"/>
  <c r="R2351" i="12" s="1"/>
  <c r="R2350" i="12" s="1"/>
  <c r="R2349" i="12" s="1"/>
  <c r="R2348" i="12" s="1"/>
  <c r="R2347" i="12" s="1"/>
  <c r="R2346" i="12" s="1"/>
  <c r="R2345" i="12" s="1"/>
  <c r="R2344" i="12" s="1"/>
  <c r="R2343" i="12" s="1"/>
  <c r="R2342" i="12" s="1"/>
  <c r="R2341" i="12" s="1"/>
  <c r="R2340" i="12" s="1"/>
  <c r="R2339" i="12" s="1"/>
  <c r="R2338" i="12" s="1"/>
  <c r="R2337" i="12" s="1"/>
  <c r="R2336" i="12" s="1"/>
  <c r="R2335" i="12" s="1"/>
  <c r="R2334" i="12" s="1"/>
  <c r="R2333" i="12" s="1"/>
  <c r="R2332" i="12" s="1"/>
  <c r="R2331" i="12" s="1"/>
  <c r="R2330" i="12" s="1"/>
  <c r="R2329" i="12" s="1"/>
  <c r="R2328" i="12" s="1"/>
  <c r="R2327" i="12" s="1"/>
  <c r="R2326" i="12" s="1"/>
  <c r="R2325" i="12" s="1"/>
  <c r="R2324" i="12" s="1"/>
  <c r="R2323" i="12" s="1"/>
  <c r="R2322" i="12" s="1"/>
  <c r="R2321" i="12" s="1"/>
  <c r="R2320" i="12" s="1"/>
  <c r="R2319" i="12" s="1"/>
  <c r="R2318" i="12" s="1"/>
  <c r="R2317" i="12" s="1"/>
  <c r="R2316" i="12" s="1"/>
  <c r="R2315" i="12" s="1"/>
  <c r="R2314" i="12" s="1"/>
  <c r="R2313" i="12" s="1"/>
  <c r="R2312" i="12" s="1"/>
  <c r="R2311" i="12" s="1"/>
  <c r="R2310" i="12" s="1"/>
  <c r="R2309" i="12" s="1"/>
  <c r="R2308" i="12" s="1"/>
  <c r="R2307" i="12" s="1"/>
  <c r="R2306" i="12" s="1"/>
  <c r="R2305" i="12" s="1"/>
  <c r="R2304" i="12" s="1"/>
  <c r="R2303" i="12" s="1"/>
  <c r="R2302" i="12" s="1"/>
  <c r="R2301" i="12" s="1"/>
  <c r="R2300" i="12" s="1"/>
  <c r="R2299" i="12" s="1"/>
  <c r="R2298" i="12" s="1"/>
  <c r="R2297" i="12" s="1"/>
  <c r="R2296" i="12" s="1"/>
  <c r="R2295" i="12" s="1"/>
  <c r="R2294" i="12" s="1"/>
  <c r="R2293" i="12" s="1"/>
  <c r="R2292" i="12" s="1"/>
  <c r="R2291" i="12" s="1"/>
  <c r="R2290" i="12" s="1"/>
  <c r="R2289" i="12" s="1"/>
  <c r="R2288" i="12" s="1"/>
  <c r="R2287" i="12" s="1"/>
  <c r="R2286" i="12" s="1"/>
  <c r="R2285" i="12" s="1"/>
  <c r="R2284" i="12" s="1"/>
  <c r="R2283" i="12" s="1"/>
  <c r="R2282" i="12" s="1"/>
  <c r="R2281" i="12" s="1"/>
  <c r="R2280" i="12" s="1"/>
  <c r="R2279" i="12" s="1"/>
  <c r="R2278" i="12" s="1"/>
  <c r="R2277" i="12" s="1"/>
  <c r="R2276" i="12" s="1"/>
  <c r="R2275" i="12" s="1"/>
  <c r="R2274" i="12" s="1"/>
  <c r="R2273" i="12" s="1"/>
  <c r="R2272" i="12" s="1"/>
  <c r="R2271" i="12" s="1"/>
  <c r="R2270" i="12" s="1"/>
  <c r="R2269" i="12" s="1"/>
  <c r="R2268" i="12" s="1"/>
  <c r="R2267" i="12" s="1"/>
  <c r="R2266" i="12" s="1"/>
  <c r="R2265" i="12" s="1"/>
  <c r="R2264" i="12" s="1"/>
  <c r="R2263" i="12" s="1"/>
  <c r="R2262" i="12" s="1"/>
  <c r="R2261" i="12" s="1"/>
  <c r="R2260" i="12" s="1"/>
  <c r="R2259" i="12" s="1"/>
  <c r="R2258" i="12" s="1"/>
  <c r="R2257" i="12" s="1"/>
  <c r="R2256" i="12" s="1"/>
  <c r="R2255" i="12" s="1"/>
  <c r="R2254" i="12" s="1"/>
  <c r="R2253" i="12" s="1"/>
  <c r="R2252" i="12" s="1"/>
  <c r="R2251" i="12" s="1"/>
  <c r="R2250" i="12" s="1"/>
  <c r="R2249" i="12" s="1"/>
  <c r="R2248" i="12" s="1"/>
  <c r="R2247" i="12" s="1"/>
  <c r="R2246" i="12" s="1"/>
  <c r="R2245" i="12" s="1"/>
  <c r="R2244" i="12" s="1"/>
  <c r="R2243" i="12" s="1"/>
  <c r="R2242" i="12" s="1"/>
  <c r="R2241" i="12" s="1"/>
  <c r="R2240" i="12" s="1"/>
  <c r="R2239" i="12" s="1"/>
  <c r="R2238" i="12" s="1"/>
  <c r="R2237" i="12" s="1"/>
  <c r="R2236" i="12" s="1"/>
  <c r="R2235" i="12" s="1"/>
  <c r="R2234" i="12" s="1"/>
  <c r="R2233" i="12" s="1"/>
  <c r="R2232" i="12" s="1"/>
  <c r="R2231" i="12" s="1"/>
  <c r="R2230" i="12" s="1"/>
  <c r="R2229" i="12" s="1"/>
  <c r="R2228" i="12" s="1"/>
  <c r="R2227" i="12" s="1"/>
  <c r="R2226" i="12" s="1"/>
  <c r="R2225" i="12" s="1"/>
  <c r="R2224" i="12" s="1"/>
  <c r="R2223" i="12" s="1"/>
  <c r="R2222" i="12" s="1"/>
  <c r="R2221" i="12" s="1"/>
  <c r="R2220" i="12" s="1"/>
  <c r="R2219" i="12" s="1"/>
  <c r="R2218" i="12" s="1"/>
  <c r="R2217" i="12" s="1"/>
  <c r="R2216" i="12" s="1"/>
  <c r="R2215" i="12" s="1"/>
  <c r="R2214" i="12" s="1"/>
  <c r="R2213" i="12" s="1"/>
  <c r="R2212" i="12" s="1"/>
  <c r="R2211" i="12" s="1"/>
  <c r="R2210" i="12" s="1"/>
  <c r="R2209" i="12" s="1"/>
  <c r="R2208" i="12" s="1"/>
  <c r="R2207" i="12" s="1"/>
  <c r="R2206" i="12" s="1"/>
  <c r="R2205" i="12" s="1"/>
  <c r="R2204" i="12" s="1"/>
  <c r="R2203" i="12" s="1"/>
  <c r="R2202" i="12" s="1"/>
  <c r="R2201" i="12" s="1"/>
  <c r="R2200" i="12" s="1"/>
  <c r="R2199" i="12" s="1"/>
  <c r="R2198" i="12" s="1"/>
  <c r="R2197" i="12" s="1"/>
  <c r="R2196" i="12" s="1"/>
  <c r="R2195" i="12" s="1"/>
  <c r="R2194" i="12" s="1"/>
  <c r="R2193" i="12" s="1"/>
  <c r="R2192" i="12" s="1"/>
  <c r="R2191" i="12" s="1"/>
  <c r="R2190" i="12" s="1"/>
  <c r="R2189" i="12" s="1"/>
  <c r="R2188" i="12" s="1"/>
  <c r="R2187" i="12" s="1"/>
  <c r="R2186" i="12" s="1"/>
  <c r="R2185" i="12" s="1"/>
  <c r="R2184" i="12" s="1"/>
  <c r="R2183" i="12" s="1"/>
  <c r="R2182" i="12" s="1"/>
  <c r="R2181" i="12" s="1"/>
  <c r="R2180" i="12" s="1"/>
  <c r="R2179" i="12" s="1"/>
  <c r="R2178" i="12" s="1"/>
  <c r="R2177" i="12" s="1"/>
  <c r="R2176" i="12" s="1"/>
  <c r="R2175" i="12" s="1"/>
  <c r="R2174" i="12" s="1"/>
  <c r="R2173" i="12" s="1"/>
  <c r="R2172" i="12" s="1"/>
  <c r="R2171" i="12" s="1"/>
  <c r="R2170" i="12" s="1"/>
  <c r="R2169" i="12" s="1"/>
  <c r="R2168" i="12" s="1"/>
  <c r="R2167" i="12" s="1"/>
  <c r="R2166" i="12" s="1"/>
  <c r="R2165" i="12" s="1"/>
  <c r="R2164" i="12" s="1"/>
  <c r="BK31" i="9"/>
  <c r="R49" i="11"/>
  <c r="T52" i="11"/>
  <c r="BM44" i="9" s="1"/>
  <c r="BK44" i="9"/>
  <c r="AB3312" i="12"/>
  <c r="AG3313" i="12"/>
  <c r="S2934" i="12"/>
  <c r="S2942" i="12"/>
  <c r="S2950" i="12"/>
  <c r="S2958" i="12"/>
  <c r="S2966" i="12"/>
  <c r="S2974" i="12"/>
  <c r="S2982" i="12"/>
  <c r="S2990" i="12"/>
  <c r="S2998" i="12"/>
  <c r="S3006" i="12"/>
  <c r="S3014" i="12"/>
  <c r="S3022" i="12"/>
  <c r="S3030" i="12"/>
  <c r="S3038" i="12"/>
  <c r="S3046" i="12"/>
  <c r="S3054" i="12"/>
  <c r="S3062" i="12"/>
  <c r="S3070" i="12"/>
  <c r="S3078" i="12"/>
  <c r="S3086" i="12"/>
  <c r="S3094" i="12"/>
  <c r="S3102" i="12"/>
  <c r="S3110" i="12"/>
  <c r="S3118" i="12"/>
  <c r="S3126" i="12"/>
  <c r="S3134" i="12"/>
  <c r="S3142" i="12"/>
  <c r="S3150" i="12"/>
  <c r="S3158" i="12"/>
  <c r="S3166" i="12"/>
  <c r="S3174" i="12"/>
  <c r="S3182" i="12"/>
  <c r="S3190" i="12"/>
  <c r="S3198" i="12"/>
  <c r="S3206" i="12"/>
  <c r="S3214" i="12"/>
  <c r="S3222" i="12"/>
  <c r="S3230" i="12"/>
  <c r="S3238" i="12"/>
  <c r="S3246" i="12"/>
  <c r="S3254" i="12"/>
  <c r="S3262" i="12"/>
  <c r="S3270" i="12"/>
  <c r="S3278" i="12"/>
  <c r="S3286" i="12"/>
  <c r="S3294" i="12"/>
  <c r="S3302" i="12"/>
  <c r="S3310" i="12"/>
  <c r="S2935" i="12"/>
  <c r="S2943" i="12"/>
  <c r="S2951" i="12"/>
  <c r="S2959" i="12"/>
  <c r="S2967" i="12"/>
  <c r="S2975" i="12"/>
  <c r="S2983" i="12"/>
  <c r="S2991" i="12"/>
  <c r="S2999" i="12"/>
  <c r="S3007" i="12"/>
  <c r="S3015" i="12"/>
  <c r="S3023" i="12"/>
  <c r="S3031" i="12"/>
  <c r="S3039" i="12"/>
  <c r="S3047" i="12"/>
  <c r="S3055" i="12"/>
  <c r="S3063" i="12"/>
  <c r="S3071" i="12"/>
  <c r="S3079" i="12"/>
  <c r="S3087" i="12"/>
  <c r="S3095" i="12"/>
  <c r="S3103" i="12"/>
  <c r="S3111" i="12"/>
  <c r="S3119" i="12"/>
  <c r="S3127" i="12"/>
  <c r="S3135" i="12"/>
  <c r="S3143" i="12"/>
  <c r="S3151" i="12"/>
  <c r="S3159" i="12"/>
  <c r="S3167" i="12"/>
  <c r="S3175" i="12"/>
  <c r="S3183" i="12"/>
  <c r="S3191" i="12"/>
  <c r="S3199" i="12"/>
  <c r="S3207" i="12"/>
  <c r="S3215" i="12"/>
  <c r="S3223" i="12"/>
  <c r="S3231" i="12"/>
  <c r="S3239" i="12"/>
  <c r="S3247" i="12"/>
  <c r="S3255" i="12"/>
  <c r="S3263" i="12"/>
  <c r="S3271" i="12"/>
  <c r="S3279" i="12"/>
  <c r="S3287" i="12"/>
  <c r="S3295" i="12"/>
  <c r="S3303" i="12"/>
  <c r="S3311" i="12"/>
  <c r="S2936" i="12"/>
  <c r="S2944" i="12"/>
  <c r="S2952" i="12"/>
  <c r="S2960" i="12"/>
  <c r="S2968" i="12"/>
  <c r="S2976" i="12"/>
  <c r="S2984" i="12"/>
  <c r="S2992" i="12"/>
  <c r="S3000" i="12"/>
  <c r="S3008" i="12"/>
  <c r="S3016" i="12"/>
  <c r="S3024" i="12"/>
  <c r="S3032" i="12"/>
  <c r="S3040" i="12"/>
  <c r="S3048" i="12"/>
  <c r="S3056" i="12"/>
  <c r="S3064" i="12"/>
  <c r="S3072" i="12"/>
  <c r="S3080" i="12"/>
  <c r="S3088" i="12"/>
  <c r="S3096" i="12"/>
  <c r="S3104" i="12"/>
  <c r="S3112" i="12"/>
  <c r="S3120" i="12"/>
  <c r="S3128" i="12"/>
  <c r="S3136" i="12"/>
  <c r="S3144" i="12"/>
  <c r="S3152" i="12"/>
  <c r="S3160" i="12"/>
  <c r="S3168" i="12"/>
  <c r="S3176" i="12"/>
  <c r="S3184" i="12"/>
  <c r="S3192" i="12"/>
  <c r="S3200" i="12"/>
  <c r="S3208" i="12"/>
  <c r="S3216" i="12"/>
  <c r="S3224" i="12"/>
  <c r="S3232" i="12"/>
  <c r="S3240" i="12"/>
  <c r="S3248" i="12"/>
  <c r="S3256" i="12"/>
  <c r="S3264" i="12"/>
  <c r="S3272" i="12"/>
  <c r="S3280" i="12"/>
  <c r="S3288" i="12"/>
  <c r="S3296" i="12"/>
  <c r="S3304" i="12"/>
  <c r="S3312" i="12"/>
  <c r="S2937" i="12"/>
  <c r="S2945" i="12"/>
  <c r="S2953" i="12"/>
  <c r="S2961" i="12"/>
  <c r="S2969" i="12"/>
  <c r="S2977" i="12"/>
  <c r="S2985" i="12"/>
  <c r="S2993" i="12"/>
  <c r="S3001" i="12"/>
  <c r="S3009" i="12"/>
  <c r="S3017" i="12"/>
  <c r="S3025" i="12"/>
  <c r="S3033" i="12"/>
  <c r="S3041" i="12"/>
  <c r="S3049" i="12"/>
  <c r="S3057" i="12"/>
  <c r="S3065" i="12"/>
  <c r="S3073" i="12"/>
  <c r="S3081" i="12"/>
  <c r="S3089" i="12"/>
  <c r="S3097" i="12"/>
  <c r="S3105" i="12"/>
  <c r="S3113" i="12"/>
  <c r="S3121" i="12"/>
  <c r="S3129" i="12"/>
  <c r="S3137" i="12"/>
  <c r="S3145" i="12"/>
  <c r="S3153" i="12"/>
  <c r="S3161" i="12"/>
  <c r="S3169" i="12"/>
  <c r="S3177" i="12"/>
  <c r="S3185" i="12"/>
  <c r="S3193" i="12"/>
  <c r="S3201" i="12"/>
  <c r="S3209" i="12"/>
  <c r="S3217" i="12"/>
  <c r="S3225" i="12"/>
  <c r="S3233" i="12"/>
  <c r="S3241" i="12"/>
  <c r="S3249" i="12"/>
  <c r="S3257" i="12"/>
  <c r="S3265" i="12"/>
  <c r="S3273" i="12"/>
  <c r="S3281" i="12"/>
  <c r="S3289" i="12"/>
  <c r="S3297" i="12"/>
  <c r="S3305" i="12"/>
  <c r="S3313" i="12"/>
  <c r="S2938" i="12"/>
  <c r="S2946" i="12"/>
  <c r="S2954" i="12"/>
  <c r="S2962" i="12"/>
  <c r="S2970" i="12"/>
  <c r="S2978" i="12"/>
  <c r="S2986" i="12"/>
  <c r="S2994" i="12"/>
  <c r="S3002" i="12"/>
  <c r="S3010" i="12"/>
  <c r="S3018" i="12"/>
  <c r="S3026" i="12"/>
  <c r="S3034" i="12"/>
  <c r="S3042" i="12"/>
  <c r="S3050" i="12"/>
  <c r="S3058" i="12"/>
  <c r="S3066" i="12"/>
  <c r="S3074" i="12"/>
  <c r="S3082" i="12"/>
  <c r="S3090" i="12"/>
  <c r="S3098" i="12"/>
  <c r="S3106" i="12"/>
  <c r="S3114" i="12"/>
  <c r="S3122" i="12"/>
  <c r="S3130" i="12"/>
  <c r="S3138" i="12"/>
  <c r="S3146" i="12"/>
  <c r="S3154" i="12"/>
  <c r="S3162" i="12"/>
  <c r="S3170" i="12"/>
  <c r="S3178" i="12"/>
  <c r="S3186" i="12"/>
  <c r="S3194" i="12"/>
  <c r="S3202" i="12"/>
  <c r="S3210" i="12"/>
  <c r="S3218" i="12"/>
  <c r="S3226" i="12"/>
  <c r="S3234" i="12"/>
  <c r="S3242" i="12"/>
  <c r="S3250" i="12"/>
  <c r="S3258" i="12"/>
  <c r="S3266" i="12"/>
  <c r="S3274" i="12"/>
  <c r="S3282" i="12"/>
  <c r="S3290" i="12"/>
  <c r="S3298" i="12"/>
  <c r="S3306" i="12"/>
  <c r="S2933" i="12"/>
  <c r="S2932" i="12" s="1"/>
  <c r="S2931" i="12" s="1"/>
  <c r="S2930" i="12" s="1"/>
  <c r="S2929" i="12" s="1"/>
  <c r="S2928" i="12" s="1"/>
  <c r="S2927" i="12" s="1"/>
  <c r="S2926" i="12" s="1"/>
  <c r="S2925" i="12" s="1"/>
  <c r="S2924" i="12" s="1"/>
  <c r="S2923" i="12" s="1"/>
  <c r="S2922" i="12" s="1"/>
  <c r="S2921" i="12" s="1"/>
  <c r="S2920" i="12" s="1"/>
  <c r="S2919" i="12" s="1"/>
  <c r="S2918" i="12" s="1"/>
  <c r="S2917" i="12" s="1"/>
  <c r="S2916" i="12" s="1"/>
  <c r="S2915" i="12" s="1"/>
  <c r="S2914" i="12" s="1"/>
  <c r="S2913" i="12" s="1"/>
  <c r="S2912" i="12" s="1"/>
  <c r="S2911" i="12" s="1"/>
  <c r="S2910" i="12" s="1"/>
  <c r="S2909" i="12" s="1"/>
  <c r="S2908" i="12" s="1"/>
  <c r="S2907" i="12" s="1"/>
  <c r="S2906" i="12" s="1"/>
  <c r="S2905" i="12" s="1"/>
  <c r="S2904" i="12" s="1"/>
  <c r="S2903" i="12" s="1"/>
  <c r="S2902" i="12" s="1"/>
  <c r="S2901" i="12" s="1"/>
  <c r="S2900" i="12" s="1"/>
  <c r="S2899" i="12" s="1"/>
  <c r="S2898" i="12" s="1"/>
  <c r="S2897" i="12" s="1"/>
  <c r="S2896" i="12" s="1"/>
  <c r="S2895" i="12" s="1"/>
  <c r="S2894" i="12" s="1"/>
  <c r="S2893" i="12" s="1"/>
  <c r="S2892" i="12" s="1"/>
  <c r="S2891" i="12" s="1"/>
  <c r="S2890" i="12" s="1"/>
  <c r="S2889" i="12" s="1"/>
  <c r="S2888" i="12" s="1"/>
  <c r="S2887" i="12" s="1"/>
  <c r="S2886" i="12" s="1"/>
  <c r="S2885" i="12" s="1"/>
  <c r="S2884" i="12" s="1"/>
  <c r="S2883" i="12" s="1"/>
  <c r="S2882" i="12" s="1"/>
  <c r="S2881" i="12" s="1"/>
  <c r="S2880" i="12" s="1"/>
  <c r="S2879" i="12" s="1"/>
  <c r="S2878" i="12" s="1"/>
  <c r="S2877" i="12" s="1"/>
  <c r="S2876" i="12" s="1"/>
  <c r="S2875" i="12" s="1"/>
  <c r="S2874" i="12" s="1"/>
  <c r="S2873" i="12" s="1"/>
  <c r="S2872" i="12" s="1"/>
  <c r="S2871" i="12" s="1"/>
  <c r="S2870" i="12" s="1"/>
  <c r="S2869" i="12" s="1"/>
  <c r="S2868" i="12" s="1"/>
  <c r="S2867" i="12" s="1"/>
  <c r="S2866" i="12" s="1"/>
  <c r="S2865" i="12" s="1"/>
  <c r="S2941" i="12"/>
  <c r="S2949" i="12"/>
  <c r="S2957" i="12"/>
  <c r="S2965" i="12"/>
  <c r="S2973" i="12"/>
  <c r="S2981" i="12"/>
  <c r="S2989" i="12"/>
  <c r="S2997" i="12"/>
  <c r="S3005" i="12"/>
  <c r="S3013" i="12"/>
  <c r="S3021" i="12"/>
  <c r="S3029" i="12"/>
  <c r="S3037" i="12"/>
  <c r="S3045" i="12"/>
  <c r="S3053" i="12"/>
  <c r="S3061" i="12"/>
  <c r="S3069" i="12"/>
  <c r="S3077" i="12"/>
  <c r="S3085" i="12"/>
  <c r="S3093" i="12"/>
  <c r="S3101" i="12"/>
  <c r="S3109" i="12"/>
  <c r="S3117" i="12"/>
  <c r="S3125" i="12"/>
  <c r="S3133" i="12"/>
  <c r="S3141" i="12"/>
  <c r="S3149" i="12"/>
  <c r="S3157" i="12"/>
  <c r="S3165" i="12"/>
  <c r="S3173" i="12"/>
  <c r="S3181" i="12"/>
  <c r="S3189" i="12"/>
  <c r="S3197" i="12"/>
  <c r="S3205" i="12"/>
  <c r="S3213" i="12"/>
  <c r="S3221" i="12"/>
  <c r="S3229" i="12"/>
  <c r="S3237" i="12"/>
  <c r="S3245" i="12"/>
  <c r="S3253" i="12"/>
  <c r="S3261" i="12"/>
  <c r="S3269" i="12"/>
  <c r="S3277" i="12"/>
  <c r="S3285" i="12"/>
  <c r="S3293" i="12"/>
  <c r="S3301" i="12"/>
  <c r="S3309" i="12"/>
  <c r="S2939" i="12"/>
  <c r="S2971" i="12"/>
  <c r="S3003" i="12"/>
  <c r="S3035" i="12"/>
  <c r="S3067" i="12"/>
  <c r="S3099" i="12"/>
  <c r="S3131" i="12"/>
  <c r="S3163" i="12"/>
  <c r="S3195" i="12"/>
  <c r="S3227" i="12"/>
  <c r="S3259" i="12"/>
  <c r="S3291" i="12"/>
  <c r="S2940" i="12"/>
  <c r="S2972" i="12"/>
  <c r="S3004" i="12"/>
  <c r="S3036" i="12"/>
  <c r="S3068" i="12"/>
  <c r="S3100" i="12"/>
  <c r="S3132" i="12"/>
  <c r="S3164" i="12"/>
  <c r="S3196" i="12"/>
  <c r="S3228" i="12"/>
  <c r="S3260" i="12"/>
  <c r="S3292" i="12"/>
  <c r="S2442" i="12"/>
  <c r="S2441" i="12" s="1"/>
  <c r="S2440" i="12" s="1"/>
  <c r="S2439" i="12" s="1"/>
  <c r="S2438" i="12" s="1"/>
  <c r="S2437" i="12" s="1"/>
  <c r="S2436" i="12" s="1"/>
  <c r="S2435" i="12" s="1"/>
  <c r="S2434" i="12" s="1"/>
  <c r="S2433" i="12" s="1"/>
  <c r="S2432" i="12" s="1"/>
  <c r="S2431" i="12" s="1"/>
  <c r="S2430" i="12" s="1"/>
  <c r="S2429" i="12" s="1"/>
  <c r="S2428" i="12" s="1"/>
  <c r="S2427" i="12" s="1"/>
  <c r="S2426" i="12" s="1"/>
  <c r="S2425" i="12" s="1"/>
  <c r="S2424" i="12" s="1"/>
  <c r="S2423" i="12" s="1"/>
  <c r="S2422" i="12" s="1"/>
  <c r="S2421" i="12" s="1"/>
  <c r="S2420" i="12" s="1"/>
  <c r="S2419" i="12" s="1"/>
  <c r="S2418" i="12" s="1"/>
  <c r="S2417" i="12" s="1"/>
  <c r="S2416" i="12" s="1"/>
  <c r="S2415" i="12" s="1"/>
  <c r="S2414" i="12" s="1"/>
  <c r="S2413" i="12" s="1"/>
  <c r="S2412" i="12" s="1"/>
  <c r="S2411" i="12" s="1"/>
  <c r="S2410" i="12" s="1"/>
  <c r="S2409" i="12" s="1"/>
  <c r="S2408" i="12" s="1"/>
  <c r="S2407" i="12" s="1"/>
  <c r="S2406" i="12" s="1"/>
  <c r="S2405" i="12" s="1"/>
  <c r="S2404" i="12" s="1"/>
  <c r="S2403" i="12" s="1"/>
  <c r="S2402" i="12" s="1"/>
  <c r="S2401" i="12" s="1"/>
  <c r="S2400" i="12" s="1"/>
  <c r="S2399" i="12" s="1"/>
  <c r="S2398" i="12" s="1"/>
  <c r="S2397" i="12" s="1"/>
  <c r="S2396" i="12" s="1"/>
  <c r="S2395" i="12" s="1"/>
  <c r="S2394" i="12" s="1"/>
  <c r="S2393" i="12" s="1"/>
  <c r="S2392" i="12" s="1"/>
  <c r="S2391" i="12" s="1"/>
  <c r="S2390" i="12" s="1"/>
  <c r="S2389" i="12" s="1"/>
  <c r="S2388" i="12" s="1"/>
  <c r="S2387" i="12" s="1"/>
  <c r="S2386" i="12" s="1"/>
  <c r="S2385" i="12" s="1"/>
  <c r="S2384" i="12" s="1"/>
  <c r="S2383" i="12" s="1"/>
  <c r="S2382" i="12" s="1"/>
  <c r="S2381" i="12" s="1"/>
  <c r="S2380" i="12" s="1"/>
  <c r="S2379" i="12" s="1"/>
  <c r="S2378" i="12" s="1"/>
  <c r="S2377" i="12" s="1"/>
  <c r="S2376" i="12" s="1"/>
  <c r="S2375" i="12" s="1"/>
  <c r="S2374" i="12" s="1"/>
  <c r="S2947" i="12"/>
  <c r="S2979" i="12"/>
  <c r="S3011" i="12"/>
  <c r="S3043" i="12"/>
  <c r="S3075" i="12"/>
  <c r="S3107" i="12"/>
  <c r="S3139" i="12"/>
  <c r="S3171" i="12"/>
  <c r="S3203" i="12"/>
  <c r="S3235" i="12"/>
  <c r="S3267" i="12"/>
  <c r="S3299" i="12"/>
  <c r="S2948" i="12"/>
  <c r="S2980" i="12"/>
  <c r="S3012" i="12"/>
  <c r="S3044" i="12"/>
  <c r="S3076" i="12"/>
  <c r="S3108" i="12"/>
  <c r="S3140" i="12"/>
  <c r="S3172" i="12"/>
  <c r="S3204" i="12"/>
  <c r="S3236" i="12"/>
  <c r="S3268" i="12"/>
  <c r="S3300" i="12"/>
  <c r="S2955" i="12"/>
  <c r="S2987" i="12"/>
  <c r="S3019" i="12"/>
  <c r="S3051" i="12"/>
  <c r="S3083" i="12"/>
  <c r="S3115" i="12"/>
  <c r="S3147" i="12"/>
  <c r="S3179" i="12"/>
  <c r="S3211" i="12"/>
  <c r="S3243" i="12"/>
  <c r="S3275" i="12"/>
  <c r="S3307" i="12"/>
  <c r="S2956" i="12"/>
  <c r="S2988" i="12"/>
  <c r="S3020" i="12"/>
  <c r="S3052" i="12"/>
  <c r="S3084" i="12"/>
  <c r="S3116" i="12"/>
  <c r="S3148" i="12"/>
  <c r="S3180" i="12"/>
  <c r="S3212" i="12"/>
  <c r="S3244" i="12"/>
  <c r="S3276" i="12"/>
  <c r="S3308" i="12"/>
  <c r="S2964" i="12"/>
  <c r="S2996" i="12"/>
  <c r="S3028" i="12"/>
  <c r="S3060" i="12"/>
  <c r="S3092" i="12"/>
  <c r="S3124" i="12"/>
  <c r="S3156" i="12"/>
  <c r="S3188" i="12"/>
  <c r="S3220" i="12"/>
  <c r="S3252" i="12"/>
  <c r="S3284" i="12"/>
  <c r="S2963" i="12"/>
  <c r="S3219" i="12"/>
  <c r="S2995" i="12"/>
  <c r="S3251" i="12"/>
  <c r="S3027" i="12"/>
  <c r="S3283" i="12"/>
  <c r="S3059" i="12"/>
  <c r="S3091" i="12"/>
  <c r="R2933" i="12"/>
  <c r="R2932" i="12" s="1"/>
  <c r="R2931" i="12" s="1"/>
  <c r="R2930" i="12" s="1"/>
  <c r="R2929" i="12" s="1"/>
  <c r="R2928" i="12" s="1"/>
  <c r="R2927" i="12" s="1"/>
  <c r="R2926" i="12" s="1"/>
  <c r="R2925" i="12" s="1"/>
  <c r="R2924" i="12" s="1"/>
  <c r="R2923" i="12" s="1"/>
  <c r="R2922" i="12" s="1"/>
  <c r="R2921" i="12" s="1"/>
  <c r="R2920" i="12" s="1"/>
  <c r="R2919" i="12" s="1"/>
  <c r="R2918" i="12" s="1"/>
  <c r="R2917" i="12" s="1"/>
  <c r="R2916" i="12" s="1"/>
  <c r="R2915" i="12" s="1"/>
  <c r="R2914" i="12" s="1"/>
  <c r="R2913" i="12" s="1"/>
  <c r="R2912" i="12" s="1"/>
  <c r="R2911" i="12" s="1"/>
  <c r="R2910" i="12" s="1"/>
  <c r="R2909" i="12" s="1"/>
  <c r="R2908" i="12" s="1"/>
  <c r="R2907" i="12" s="1"/>
  <c r="R2906" i="12" s="1"/>
  <c r="R2905" i="12" s="1"/>
  <c r="R2904" i="12" s="1"/>
  <c r="R2903" i="12" s="1"/>
  <c r="R2902" i="12" s="1"/>
  <c r="R2901" i="12" s="1"/>
  <c r="R2900" i="12" s="1"/>
  <c r="R2899" i="12" s="1"/>
  <c r="R2898" i="12" s="1"/>
  <c r="R2897" i="12" s="1"/>
  <c r="R2896" i="12" s="1"/>
  <c r="R2895" i="12" s="1"/>
  <c r="R2894" i="12" s="1"/>
  <c r="R2893" i="12" s="1"/>
  <c r="R2892" i="12" s="1"/>
  <c r="R2891" i="12" s="1"/>
  <c r="R2890" i="12" s="1"/>
  <c r="R2889" i="12" s="1"/>
  <c r="R2888" i="12" s="1"/>
  <c r="R2887" i="12" s="1"/>
  <c r="R2886" i="12" s="1"/>
  <c r="R2885" i="12" s="1"/>
  <c r="R2884" i="12" s="1"/>
  <c r="R2883" i="12" s="1"/>
  <c r="R2882" i="12" s="1"/>
  <c r="R2881" i="12" s="1"/>
  <c r="R2880" i="12" s="1"/>
  <c r="R2879" i="12" s="1"/>
  <c r="R2878" i="12" s="1"/>
  <c r="R2877" i="12" s="1"/>
  <c r="R2876" i="12" s="1"/>
  <c r="R2875" i="12" s="1"/>
  <c r="R2874" i="12" s="1"/>
  <c r="R2873" i="12" s="1"/>
  <c r="R2872" i="12" s="1"/>
  <c r="R2871" i="12" s="1"/>
  <c r="R2870" i="12" s="1"/>
  <c r="R2869" i="12" s="1"/>
  <c r="R2868" i="12" s="1"/>
  <c r="R2867" i="12" s="1"/>
  <c r="R2866" i="12" s="1"/>
  <c r="R2865" i="12" s="1"/>
  <c r="S3123" i="12"/>
  <c r="S3187" i="12"/>
  <c r="S3155" i="12"/>
  <c r="R2864" i="12"/>
  <c r="R2863" i="12" s="1"/>
  <c r="R2862" i="12" s="1"/>
  <c r="R2861" i="12" s="1"/>
  <c r="R2860" i="12" s="1"/>
  <c r="R2859" i="12" s="1"/>
  <c r="R2858" i="12" s="1"/>
  <c r="R2857" i="12" s="1"/>
  <c r="R2856" i="12" s="1"/>
  <c r="R2855" i="12" s="1"/>
  <c r="R2854" i="12" s="1"/>
  <c r="R2853" i="12" s="1"/>
  <c r="R2852" i="12" s="1"/>
  <c r="R2851" i="12" s="1"/>
  <c r="R2850" i="12" s="1"/>
  <c r="R2849" i="12" s="1"/>
  <c r="R2848" i="12" s="1"/>
  <c r="R2847" i="12" s="1"/>
  <c r="R2846" i="12" s="1"/>
  <c r="R2845" i="12" s="1"/>
  <c r="R2844" i="12" s="1"/>
  <c r="R2843" i="12" s="1"/>
  <c r="R2842" i="12" s="1"/>
  <c r="R2841" i="12" s="1"/>
  <c r="R2840" i="12" s="1"/>
  <c r="R2839" i="12" s="1"/>
  <c r="R2838" i="12" s="1"/>
  <c r="R2837" i="12" s="1"/>
  <c r="R2836" i="12" s="1"/>
  <c r="R2835" i="12" s="1"/>
  <c r="R2834" i="12" s="1"/>
  <c r="R2833" i="12" s="1"/>
  <c r="R2832" i="12" s="1"/>
  <c r="R2831" i="12" s="1"/>
  <c r="R2830" i="12" s="1"/>
  <c r="R2829" i="12" s="1"/>
  <c r="R2828" i="12" s="1"/>
  <c r="R2827" i="12" s="1"/>
  <c r="R2826" i="12" s="1"/>
  <c r="R2825" i="12" s="1"/>
  <c r="R2824" i="12" s="1"/>
  <c r="R2823" i="12" s="1"/>
  <c r="R2822" i="12" s="1"/>
  <c r="R2821" i="12" s="1"/>
  <c r="R2820" i="12" s="1"/>
  <c r="R2819" i="12" s="1"/>
  <c r="R2818" i="12" s="1"/>
  <c r="R2817" i="12" s="1"/>
  <c r="R2816" i="12" s="1"/>
  <c r="R2815" i="12" s="1"/>
  <c r="R2814" i="12" s="1"/>
  <c r="R2813" i="12" s="1"/>
  <c r="R2812" i="12" s="1"/>
  <c r="R2811" i="12" s="1"/>
  <c r="R2810" i="12" s="1"/>
  <c r="R2809" i="12" s="1"/>
  <c r="R2808" i="12" s="1"/>
  <c r="R2807" i="12" s="1"/>
  <c r="R2806" i="12" s="1"/>
  <c r="R2805" i="12" s="1"/>
  <c r="R2804" i="12" s="1"/>
  <c r="R2803" i="12" s="1"/>
  <c r="R2802" i="12" s="1"/>
  <c r="R2801" i="12" s="1"/>
  <c r="R2800" i="12" s="1"/>
  <c r="R2799" i="12" s="1"/>
  <c r="R2798" i="12" s="1"/>
  <c r="R2797" i="12" s="1"/>
  <c r="R2796" i="12" s="1"/>
  <c r="R2795" i="12" s="1"/>
  <c r="R2794" i="12" s="1"/>
  <c r="R2793" i="12"/>
  <c r="R2792" i="12" s="1"/>
  <c r="R2791" i="12" s="1"/>
  <c r="R2790" i="12" s="1"/>
  <c r="R2789" i="12" s="1"/>
  <c r="R2788" i="12" s="1"/>
  <c r="R2787" i="12" s="1"/>
  <c r="R2786" i="12" s="1"/>
  <c r="R2785" i="12" s="1"/>
  <c r="R2784" i="12" s="1"/>
  <c r="R2783" i="12" s="1"/>
  <c r="R2782" i="12" s="1"/>
  <c r="R2781" i="12" s="1"/>
  <c r="R2780" i="12" s="1"/>
  <c r="R2779" i="12" s="1"/>
  <c r="R2778" i="12" s="1"/>
  <c r="R2777" i="12" s="1"/>
  <c r="R2776" i="12" s="1"/>
  <c r="R2775" i="12" s="1"/>
  <c r="R2774" i="12" s="1"/>
  <c r="R2773" i="12" s="1"/>
  <c r="R2772" i="12" s="1"/>
  <c r="R2771" i="12" s="1"/>
  <c r="R2770" i="12" s="1"/>
  <c r="R2769" i="12" s="1"/>
  <c r="R2768" i="12" s="1"/>
  <c r="R2767" i="12" s="1"/>
  <c r="R2766" i="12" s="1"/>
  <c r="R2765" i="12" s="1"/>
  <c r="R2764" i="12" s="1"/>
  <c r="R2763" i="12" s="1"/>
  <c r="R2762" i="12" s="1"/>
  <c r="R2761" i="12" s="1"/>
  <c r="R2760" i="12" s="1"/>
  <c r="R2759" i="12" s="1"/>
  <c r="R2758" i="12" s="1"/>
  <c r="R2757" i="12" s="1"/>
  <c r="R2756" i="12" s="1"/>
  <c r="R2755" i="12" s="1"/>
  <c r="R2754" i="12" s="1"/>
  <c r="R2753" i="12" s="1"/>
  <c r="R2752" i="12" s="1"/>
  <c r="R2751" i="12" s="1"/>
  <c r="R2750" i="12" s="1"/>
  <c r="R2749" i="12" s="1"/>
  <c r="R2748" i="12" s="1"/>
  <c r="R2747" i="12" s="1"/>
  <c r="R2746" i="12" s="1"/>
  <c r="R2745" i="12" s="1"/>
  <c r="R2744" i="12" s="1"/>
  <c r="R2743" i="12" s="1"/>
  <c r="R2742" i="12" s="1"/>
  <c r="R2741" i="12" s="1"/>
  <c r="R2740" i="12" s="1"/>
  <c r="R2739" i="12" s="1"/>
  <c r="R2738" i="12" s="1"/>
  <c r="R2737" i="12" s="1"/>
  <c r="R2736" i="12" s="1"/>
  <c r="R2735" i="12" s="1"/>
  <c r="R2734" i="12" s="1"/>
  <c r="S2093" i="12"/>
  <c r="S2092" i="12" s="1"/>
  <c r="S2091" i="12" s="1"/>
  <c r="S2090" i="12" s="1"/>
  <c r="S2089" i="12" s="1"/>
  <c r="S2088" i="12" s="1"/>
  <c r="S2087" i="12" s="1"/>
  <c r="S2086" i="12" s="1"/>
  <c r="S2085" i="12" s="1"/>
  <c r="S2084" i="12" s="1"/>
  <c r="S2083" i="12" s="1"/>
  <c r="S2082" i="12" s="1"/>
  <c r="S2081" i="12" s="1"/>
  <c r="S2080" i="12" s="1"/>
  <c r="S2079" i="12" s="1"/>
  <c r="S2078" i="12" s="1"/>
  <c r="S2077" i="12" s="1"/>
  <c r="S2076" i="12" s="1"/>
  <c r="S2075" i="12" s="1"/>
  <c r="S2074" i="12" s="1"/>
  <c r="S2073" i="12" s="1"/>
  <c r="S2072" i="12" s="1"/>
  <c r="S2071" i="12" s="1"/>
  <c r="S2070" i="12" s="1"/>
  <c r="S2069" i="12" s="1"/>
  <c r="S2068" i="12" s="1"/>
  <c r="S2067" i="12" s="1"/>
  <c r="S2066" i="12" s="1"/>
  <c r="S2065" i="12" s="1"/>
  <c r="S2064" i="12" s="1"/>
  <c r="S2063" i="12" s="1"/>
  <c r="S2062" i="12" s="1"/>
  <c r="S2061" i="12" s="1"/>
  <c r="S2060" i="12" s="1"/>
  <c r="S2059" i="12" s="1"/>
  <c r="S2058" i="12" s="1"/>
  <c r="S2057" i="12" s="1"/>
  <c r="S2056" i="12" s="1"/>
  <c r="S2055" i="12" s="1"/>
  <c r="S2054" i="12" s="1"/>
  <c r="S2053" i="12" s="1"/>
  <c r="S2052" i="12" s="1"/>
  <c r="S2051" i="12" s="1"/>
  <c r="S2050" i="12" s="1"/>
  <c r="S2049" i="12" s="1"/>
  <c r="S2048" i="12" s="1"/>
  <c r="S2047" i="12" s="1"/>
  <c r="S2046" i="12" s="1"/>
  <c r="S2045" i="12" s="1"/>
  <c r="S2044" i="12" s="1"/>
  <c r="S2043" i="12" s="1"/>
  <c r="S2042" i="12" s="1"/>
  <c r="S2041" i="12" s="1"/>
  <c r="S2040" i="12" s="1"/>
  <c r="S2039" i="12" s="1"/>
  <c r="S2038" i="12" s="1"/>
  <c r="S2037" i="12" s="1"/>
  <c r="S2036" i="12" s="1"/>
  <c r="S2035" i="12" s="1"/>
  <c r="S2034" i="12" s="1"/>
  <c r="S2033" i="12" s="1"/>
  <c r="S2032" i="12" s="1"/>
  <c r="S2031" i="12" s="1"/>
  <c r="S2030" i="12" s="1"/>
  <c r="S2029" i="12" s="1"/>
  <c r="S2028" i="12" s="1"/>
  <c r="S2027" i="12" s="1"/>
  <c r="S2026" i="12" s="1"/>
  <c r="S2025" i="12" s="1"/>
  <c r="S2024" i="12" s="1"/>
  <c r="S2512" i="12"/>
  <c r="S2511" i="12" s="1"/>
  <c r="S2510" i="12" s="1"/>
  <c r="S2509" i="12" s="1"/>
  <c r="S2508" i="12" s="1"/>
  <c r="S2507" i="12" s="1"/>
  <c r="S2506" i="12" s="1"/>
  <c r="S2505" i="12" s="1"/>
  <c r="S2504" i="12" s="1"/>
  <c r="S2503" i="12" s="1"/>
  <c r="S2502" i="12" s="1"/>
  <c r="S2501" i="12" s="1"/>
  <c r="S2500" i="12" s="1"/>
  <c r="S2499" i="12" s="1"/>
  <c r="S2498" i="12" s="1"/>
  <c r="S2497" i="12" s="1"/>
  <c r="S2496" i="12" s="1"/>
  <c r="S2495" i="12" s="1"/>
  <c r="S2494" i="12" s="1"/>
  <c r="S2493" i="12" s="1"/>
  <c r="S2492" i="12" s="1"/>
  <c r="S2491" i="12" s="1"/>
  <c r="S2490" i="12" s="1"/>
  <c r="S2489" i="12" s="1"/>
  <c r="S2488" i="12" s="1"/>
  <c r="S2487" i="12" s="1"/>
  <c r="S2486" i="12" s="1"/>
  <c r="S2485" i="12" s="1"/>
  <c r="S2484" i="12" s="1"/>
  <c r="S2483" i="12" s="1"/>
  <c r="S2482" i="12" s="1"/>
  <c r="S2481" i="12" s="1"/>
  <c r="S2480" i="12" s="1"/>
  <c r="S2479" i="12" s="1"/>
  <c r="S2478" i="12" s="1"/>
  <c r="S2477" i="12" s="1"/>
  <c r="S2476" i="12" s="1"/>
  <c r="S2475" i="12" s="1"/>
  <c r="S2474" i="12" s="1"/>
  <c r="S2473" i="12" s="1"/>
  <c r="S2472" i="12" s="1"/>
  <c r="S2471" i="12" s="1"/>
  <c r="S2470" i="12" s="1"/>
  <c r="S2469" i="12" s="1"/>
  <c r="S2468" i="12" s="1"/>
  <c r="S2467" i="12" s="1"/>
  <c r="S2466" i="12" s="1"/>
  <c r="S2465" i="12" s="1"/>
  <c r="S2464" i="12" s="1"/>
  <c r="S2463" i="12" s="1"/>
  <c r="S2462" i="12" s="1"/>
  <c r="S2461" i="12" s="1"/>
  <c r="S2460" i="12" s="1"/>
  <c r="S2459" i="12" s="1"/>
  <c r="S2458" i="12" s="1"/>
  <c r="S2457" i="12" s="1"/>
  <c r="S2456" i="12" s="1"/>
  <c r="S2455" i="12" s="1"/>
  <c r="S2454" i="12" s="1"/>
  <c r="S2453" i="12" s="1"/>
  <c r="S2452" i="12" s="1"/>
  <c r="S2451" i="12" s="1"/>
  <c r="S2450" i="12" s="1"/>
  <c r="S2449" i="12" s="1"/>
  <c r="S2448" i="12" s="1"/>
  <c r="S2447" i="12" s="1"/>
  <c r="S2446" i="12" s="1"/>
  <c r="S2445" i="12" s="1"/>
  <c r="S2444" i="12" s="1"/>
  <c r="S2443" i="12" s="1"/>
  <c r="R2163" i="12"/>
  <c r="R2162" i="12" s="1"/>
  <c r="R2161" i="12" s="1"/>
  <c r="R2160" i="12" s="1"/>
  <c r="R2159" i="12" s="1"/>
  <c r="R2158" i="12" s="1"/>
  <c r="R2157" i="12" s="1"/>
  <c r="R2156" i="12" s="1"/>
  <c r="R2155" i="12" s="1"/>
  <c r="R2154" i="12" s="1"/>
  <c r="R2153" i="12" s="1"/>
  <c r="R2152" i="12" s="1"/>
  <c r="R2151" i="12" s="1"/>
  <c r="R2150" i="12" s="1"/>
  <c r="R2149" i="12" s="1"/>
  <c r="R2148" i="12" s="1"/>
  <c r="R2147" i="12" s="1"/>
  <c r="R2146" i="12" s="1"/>
  <c r="R2145" i="12" s="1"/>
  <c r="R2144" i="12" s="1"/>
  <c r="R2143" i="12" s="1"/>
  <c r="R2142" i="12" s="1"/>
  <c r="R2141" i="12" s="1"/>
  <c r="R2140" i="12" s="1"/>
  <c r="R2139" i="12" s="1"/>
  <c r="R2138" i="12" s="1"/>
  <c r="R2137" i="12" s="1"/>
  <c r="R2136" i="12" s="1"/>
  <c r="R2135" i="12" s="1"/>
  <c r="R2134" i="12" s="1"/>
  <c r="R2133" i="12" s="1"/>
  <c r="R2132" i="12" s="1"/>
  <c r="R2131" i="12" s="1"/>
  <c r="R2130" i="12" s="1"/>
  <c r="R2129" i="12" s="1"/>
  <c r="R2128" i="12" s="1"/>
  <c r="R2127" i="12" s="1"/>
  <c r="R2126" i="12" s="1"/>
  <c r="R2125" i="12" s="1"/>
  <c r="R2124" i="12" s="1"/>
  <c r="R2123" i="12" s="1"/>
  <c r="R2122" i="12" s="1"/>
  <c r="R2121" i="12" s="1"/>
  <c r="R2120" i="12" s="1"/>
  <c r="R2119" i="12" s="1"/>
  <c r="R2118" i="12" s="1"/>
  <c r="R2117" i="12" s="1"/>
  <c r="R2116" i="12" s="1"/>
  <c r="R2115" i="12" s="1"/>
  <c r="R2114" i="12" s="1"/>
  <c r="R2113" i="12" s="1"/>
  <c r="R2112" i="12" s="1"/>
  <c r="R2111" i="12" s="1"/>
  <c r="R2110" i="12" s="1"/>
  <c r="R2109" i="12" s="1"/>
  <c r="R2108" i="12" s="1"/>
  <c r="R2107" i="12" s="1"/>
  <c r="R2106" i="12" s="1"/>
  <c r="R2105" i="12" s="1"/>
  <c r="R2104" i="12" s="1"/>
  <c r="R2103" i="12" s="1"/>
  <c r="R2102" i="12" s="1"/>
  <c r="R2101" i="12" s="1"/>
  <c r="R2100" i="12" s="1"/>
  <c r="R2099" i="12" s="1"/>
  <c r="R2098" i="12" s="1"/>
  <c r="R2097" i="12" s="1"/>
  <c r="R2096" i="12" s="1"/>
  <c r="R2095" i="12" s="1"/>
  <c r="R2094" i="12" s="1"/>
  <c r="R2093" i="12"/>
  <c r="R2092" i="12" s="1"/>
  <c r="R2091" i="12" s="1"/>
  <c r="R2090" i="12" s="1"/>
  <c r="R2089" i="12" s="1"/>
  <c r="R2088" i="12" s="1"/>
  <c r="R2087" i="12" s="1"/>
  <c r="R2086" i="12" s="1"/>
  <c r="R2085" i="12" s="1"/>
  <c r="R2084" i="12" s="1"/>
  <c r="R2083" i="12" s="1"/>
  <c r="R2082" i="12" s="1"/>
  <c r="R2081" i="12" s="1"/>
  <c r="R2080" i="12" s="1"/>
  <c r="R2079" i="12" s="1"/>
  <c r="R2078" i="12" s="1"/>
  <c r="R2077" i="12" s="1"/>
  <c r="R2076" i="12" s="1"/>
  <c r="R2075" i="12" s="1"/>
  <c r="R2074" i="12" s="1"/>
  <c r="R2073" i="12" s="1"/>
  <c r="R2072" i="12" s="1"/>
  <c r="R2071" i="12" s="1"/>
  <c r="R2070" i="12" s="1"/>
  <c r="R2069" i="12" s="1"/>
  <c r="R2068" i="12" s="1"/>
  <c r="R2067" i="12" s="1"/>
  <c r="R2066" i="12" s="1"/>
  <c r="R2065" i="12" s="1"/>
  <c r="R2064" i="12" s="1"/>
  <c r="R2063" i="12" s="1"/>
  <c r="R2062" i="12" s="1"/>
  <c r="R2061" i="12" s="1"/>
  <c r="R2060" i="12" s="1"/>
  <c r="R2059" i="12" s="1"/>
  <c r="R2058" i="12" s="1"/>
  <c r="R2057" i="12" s="1"/>
  <c r="R2056" i="12" s="1"/>
  <c r="R2055" i="12" s="1"/>
  <c r="R2054" i="12" s="1"/>
  <c r="R2053" i="12" s="1"/>
  <c r="R2052" i="12" s="1"/>
  <c r="R2051" i="12" s="1"/>
  <c r="R2050" i="12" s="1"/>
  <c r="R2049" i="12" s="1"/>
  <c r="R2048" i="12" s="1"/>
  <c r="R2047" i="12" s="1"/>
  <c r="R2046" i="12" s="1"/>
  <c r="R2045" i="12" s="1"/>
  <c r="R2044" i="12" s="1"/>
  <c r="R2043" i="12" s="1"/>
  <c r="R2042" i="12" s="1"/>
  <c r="R2041" i="12" s="1"/>
  <c r="R2040" i="12" s="1"/>
  <c r="R2039" i="12" s="1"/>
  <c r="R2038" i="12" s="1"/>
  <c r="R2037" i="12" s="1"/>
  <c r="R2036" i="12" s="1"/>
  <c r="R2035" i="12" s="1"/>
  <c r="R2034" i="12" s="1"/>
  <c r="R2033" i="12" s="1"/>
  <c r="R2032" i="12" s="1"/>
  <c r="R2031" i="12" s="1"/>
  <c r="R2030" i="12" s="1"/>
  <c r="R2029" i="12" s="1"/>
  <c r="R2028" i="12" s="1"/>
  <c r="R2027" i="12" s="1"/>
  <c r="R2026" i="12" s="1"/>
  <c r="R2025" i="12" s="1"/>
  <c r="R2024" i="12" s="1"/>
  <c r="S2583" i="12"/>
  <c r="S2582" i="12" s="1"/>
  <c r="S2581" i="12" s="1"/>
  <c r="S2580" i="12" s="1"/>
  <c r="S2579" i="12" s="1"/>
  <c r="S2578" i="12" s="1"/>
  <c r="S2577" i="12" s="1"/>
  <c r="S2576" i="12" s="1"/>
  <c r="S2575" i="12" s="1"/>
  <c r="S2574" i="12" s="1"/>
  <c r="S2573" i="12" s="1"/>
  <c r="S2572" i="12" s="1"/>
  <c r="S2571" i="12" s="1"/>
  <c r="S2570" i="12" s="1"/>
  <c r="S2569" i="12" s="1"/>
  <c r="S2568" i="12" s="1"/>
  <c r="S2567" i="12" s="1"/>
  <c r="S2566" i="12" s="1"/>
  <c r="S2565" i="12" s="1"/>
  <c r="S2564" i="12" s="1"/>
  <c r="S2563" i="12" s="1"/>
  <c r="S2562" i="12" s="1"/>
  <c r="S2561" i="12" s="1"/>
  <c r="S2560" i="12" s="1"/>
  <c r="S2559" i="12" s="1"/>
  <c r="S2558" i="12" s="1"/>
  <c r="S2557" i="12" s="1"/>
  <c r="S2556" i="12" s="1"/>
  <c r="S2555" i="12" s="1"/>
  <c r="S2554" i="12" s="1"/>
  <c r="S2553" i="12" s="1"/>
  <c r="S2552" i="12" s="1"/>
  <c r="S2551" i="12" s="1"/>
  <c r="S2550" i="12" s="1"/>
  <c r="S2549" i="12" s="1"/>
  <c r="S2548" i="12" s="1"/>
  <c r="S2547" i="12" s="1"/>
  <c r="S2546" i="12" s="1"/>
  <c r="S2545" i="12" s="1"/>
  <c r="S2544" i="12" s="1"/>
  <c r="S2543" i="12" s="1"/>
  <c r="S2542" i="12" s="1"/>
  <c r="S2541" i="12" s="1"/>
  <c r="S2540" i="12" s="1"/>
  <c r="S2539" i="12" s="1"/>
  <c r="S2538" i="12" s="1"/>
  <c r="S2537" i="12" s="1"/>
  <c r="S2536" i="12" s="1"/>
  <c r="S2535" i="12" s="1"/>
  <c r="S2534" i="12" s="1"/>
  <c r="S2533" i="12" s="1"/>
  <c r="S2532" i="12" s="1"/>
  <c r="S2531" i="12" s="1"/>
  <c r="S2530" i="12" s="1"/>
  <c r="S2529" i="12" s="1"/>
  <c r="S2528" i="12" s="1"/>
  <c r="S2527" i="12" s="1"/>
  <c r="S2526" i="12" s="1"/>
  <c r="S2525" i="12" s="1"/>
  <c r="S2524" i="12" s="1"/>
  <c r="S2523" i="12" s="1"/>
  <c r="S2522" i="12" s="1"/>
  <c r="S2521" i="12" s="1"/>
  <c r="S2520" i="12" s="1"/>
  <c r="S2519" i="12" s="1"/>
  <c r="S2518" i="12" s="1"/>
  <c r="S2517" i="12" s="1"/>
  <c r="S2516" i="12" s="1"/>
  <c r="S2515" i="12" s="1"/>
  <c r="S2514" i="12" s="1"/>
  <c r="S2513" i="12" s="1"/>
  <c r="S1323" i="12"/>
  <c r="S1322" i="12" s="1"/>
  <c r="S1321" i="12" s="1"/>
  <c r="S1320" i="12" s="1"/>
  <c r="S1319" i="12" s="1"/>
  <c r="S1318" i="12" s="1"/>
  <c r="S1317" i="12" s="1"/>
  <c r="S1316" i="12" s="1"/>
  <c r="S1315" i="12" s="1"/>
  <c r="S1314" i="12" s="1"/>
  <c r="S1313" i="12" s="1"/>
  <c r="S1312" i="12" s="1"/>
  <c r="S1311" i="12" s="1"/>
  <c r="S1310" i="12" s="1"/>
  <c r="S1309" i="12" s="1"/>
  <c r="S1308" i="12" s="1"/>
  <c r="S1307" i="12" s="1"/>
  <c r="S1306" i="12" s="1"/>
  <c r="S1305" i="12" s="1"/>
  <c r="S1304" i="12" s="1"/>
  <c r="S1303" i="12" s="1"/>
  <c r="S1302" i="12" s="1"/>
  <c r="S1301" i="12" s="1"/>
  <c r="S1300" i="12" s="1"/>
  <c r="S1299" i="12" s="1"/>
  <c r="S1298" i="12" s="1"/>
  <c r="S1297" i="12" s="1"/>
  <c r="S1296" i="12" s="1"/>
  <c r="S1295" i="12" s="1"/>
  <c r="S1294" i="12" s="1"/>
  <c r="S1293" i="12" s="1"/>
  <c r="S1292" i="12" s="1"/>
  <c r="S1291" i="12" s="1"/>
  <c r="S1290" i="12" s="1"/>
  <c r="S1289" i="12" s="1"/>
  <c r="S1288" i="12" s="1"/>
  <c r="S1287" i="12" s="1"/>
  <c r="S1286" i="12" s="1"/>
  <c r="S1285" i="12" s="1"/>
  <c r="S1284" i="12" s="1"/>
  <c r="S1283" i="12" s="1"/>
  <c r="S1282" i="12" s="1"/>
  <c r="S1281" i="12" s="1"/>
  <c r="S1280" i="12" s="1"/>
  <c r="S1279" i="12" s="1"/>
  <c r="S1278" i="12" s="1"/>
  <c r="S1277" i="12" s="1"/>
  <c r="S1276" i="12" s="1"/>
  <c r="S1275" i="12" s="1"/>
  <c r="S1274" i="12" s="1"/>
  <c r="S1273" i="12" s="1"/>
  <c r="S1272" i="12" s="1"/>
  <c r="S1271" i="12" s="1"/>
  <c r="S1270" i="12" s="1"/>
  <c r="S1269" i="12" s="1"/>
  <c r="S1268" i="12" s="1"/>
  <c r="S1267" i="12" s="1"/>
  <c r="S1266" i="12" s="1"/>
  <c r="S1265" i="12" s="1"/>
  <c r="S1264" i="12" s="1"/>
  <c r="S1263" i="12" s="1"/>
  <c r="S1262" i="12" s="1"/>
  <c r="S1261" i="12" s="1"/>
  <c r="S1260" i="12" s="1"/>
  <c r="S1259" i="12" s="1"/>
  <c r="S1258" i="12" s="1"/>
  <c r="S1257" i="12" s="1"/>
  <c r="S1256" i="12" s="1"/>
  <c r="S1255" i="12" s="1"/>
  <c r="S1254" i="12" s="1"/>
  <c r="S2023" i="12"/>
  <c r="S2022" i="12" s="1"/>
  <c r="S2021" i="12" s="1"/>
  <c r="S2020" i="12" s="1"/>
  <c r="S2019" i="12" s="1"/>
  <c r="S2018" i="12" s="1"/>
  <c r="S2017" i="12" s="1"/>
  <c r="S2016" i="12" s="1"/>
  <c r="S2015" i="12" s="1"/>
  <c r="S2014" i="12" s="1"/>
  <c r="S2013" i="12" s="1"/>
  <c r="S2012" i="12" s="1"/>
  <c r="S2011" i="12" s="1"/>
  <c r="S2010" i="12" s="1"/>
  <c r="S2009" i="12" s="1"/>
  <c r="S2008" i="12" s="1"/>
  <c r="S2007" i="12" s="1"/>
  <c r="S2006" i="12" s="1"/>
  <c r="S2005" i="12" s="1"/>
  <c r="S2004" i="12" s="1"/>
  <c r="S2003" i="12" s="1"/>
  <c r="S2002" i="12" s="1"/>
  <c r="S2001" i="12" s="1"/>
  <c r="S2000" i="12" s="1"/>
  <c r="S1999" i="12" s="1"/>
  <c r="S1998" i="12" s="1"/>
  <c r="S1997" i="12" s="1"/>
  <c r="S1996" i="12" s="1"/>
  <c r="S1995" i="12" s="1"/>
  <c r="S1994" i="12" s="1"/>
  <c r="S1993" i="12" s="1"/>
  <c r="S1992" i="12" s="1"/>
  <c r="S1991" i="12" s="1"/>
  <c r="S1990" i="12" s="1"/>
  <c r="S1989" i="12" s="1"/>
  <c r="S1988" i="12" s="1"/>
  <c r="S1987" i="12" s="1"/>
  <c r="S1986" i="12" s="1"/>
  <c r="S1985" i="12" s="1"/>
  <c r="S1984" i="12" s="1"/>
  <c r="S1983" i="12" s="1"/>
  <c r="S1982" i="12" s="1"/>
  <c r="S1981" i="12" s="1"/>
  <c r="S1980" i="12" s="1"/>
  <c r="S1979" i="12" s="1"/>
  <c r="S1978" i="12" s="1"/>
  <c r="S1977" i="12" s="1"/>
  <c r="S1976" i="12" s="1"/>
  <c r="S1975" i="12" s="1"/>
  <c r="S1974" i="12" s="1"/>
  <c r="S1973" i="12" s="1"/>
  <c r="S1972" i="12" s="1"/>
  <c r="S1971" i="12" s="1"/>
  <c r="S1970" i="12" s="1"/>
  <c r="S1969" i="12" s="1"/>
  <c r="S1968" i="12" s="1"/>
  <c r="S1967" i="12" s="1"/>
  <c r="S1966" i="12" s="1"/>
  <c r="S1965" i="12" s="1"/>
  <c r="S1964" i="12" s="1"/>
  <c r="S1963" i="12" s="1"/>
  <c r="S1962" i="12" s="1"/>
  <c r="S1961" i="12" s="1"/>
  <c r="S1960" i="12" s="1"/>
  <c r="S1959" i="12" s="1"/>
  <c r="S1958" i="12" s="1"/>
  <c r="S1957" i="12" s="1"/>
  <c r="S1956" i="12" s="1"/>
  <c r="S1955" i="12" s="1"/>
  <c r="S1954" i="12" s="1"/>
  <c r="R3313" i="12"/>
  <c r="R3312" i="12" s="1"/>
  <c r="R3311" i="12" s="1"/>
  <c r="R3310" i="12" s="1"/>
  <c r="R3309" i="12" s="1"/>
  <c r="R3308" i="12" s="1"/>
  <c r="R3307" i="12" s="1"/>
  <c r="R3306" i="12" s="1"/>
  <c r="R3305" i="12" s="1"/>
  <c r="R3304" i="12" s="1"/>
  <c r="R3303" i="12" s="1"/>
  <c r="R3302" i="12" s="1"/>
  <c r="R3301" i="12" s="1"/>
  <c r="R3300" i="12" s="1"/>
  <c r="R3299" i="12" s="1"/>
  <c r="R3298" i="12" s="1"/>
  <c r="R3297" i="12" s="1"/>
  <c r="R3296" i="12" s="1"/>
  <c r="R3295" i="12" s="1"/>
  <c r="R3294" i="12" s="1"/>
  <c r="R3293" i="12" s="1"/>
  <c r="R3292" i="12" s="1"/>
  <c r="R3291" i="12" s="1"/>
  <c r="R3290" i="12" s="1"/>
  <c r="R3289" i="12" s="1"/>
  <c r="R3288" i="12" s="1"/>
  <c r="R3287" i="12" s="1"/>
  <c r="R3286" i="12" s="1"/>
  <c r="R3285" i="12" s="1"/>
  <c r="R3284" i="12" s="1"/>
  <c r="R3283" i="12" s="1"/>
  <c r="R3282" i="12" s="1"/>
  <c r="R3281" i="12" s="1"/>
  <c r="R3280" i="12" s="1"/>
  <c r="R3279" i="12" s="1"/>
  <c r="R3278" i="12" s="1"/>
  <c r="R3277" i="12" s="1"/>
  <c r="R3276" i="12" s="1"/>
  <c r="R3275" i="12" s="1"/>
  <c r="R3274" i="12" s="1"/>
  <c r="R3273" i="12" s="1"/>
  <c r="R3272" i="12" s="1"/>
  <c r="R3271" i="12" s="1"/>
  <c r="R3270" i="12" s="1"/>
  <c r="R3269" i="12" s="1"/>
  <c r="R3268" i="12" s="1"/>
  <c r="R3267" i="12" s="1"/>
  <c r="R3266" i="12" s="1"/>
  <c r="R3265" i="12" s="1"/>
  <c r="R3264" i="12" s="1"/>
  <c r="R3263" i="12" s="1"/>
  <c r="R3262" i="12" s="1"/>
  <c r="R3261" i="12" s="1"/>
  <c r="R3260" i="12" s="1"/>
  <c r="R3259" i="12" s="1"/>
  <c r="R3258" i="12" s="1"/>
  <c r="R3257" i="12" s="1"/>
  <c r="R3256" i="12" s="1"/>
  <c r="R3255" i="12" s="1"/>
  <c r="R3254" i="12" s="1"/>
  <c r="R3253" i="12" s="1"/>
  <c r="R3252" i="12" s="1"/>
  <c r="R3251" i="12" s="1"/>
  <c r="R3250" i="12" s="1"/>
  <c r="R3249" i="12" s="1"/>
  <c r="R3248" i="12" s="1"/>
  <c r="R3247" i="12" s="1"/>
  <c r="R3246" i="12" s="1"/>
  <c r="R3245" i="12" s="1"/>
  <c r="R3244" i="12" s="1"/>
  <c r="R3243" i="12" s="1"/>
  <c r="R3242" i="12" s="1"/>
  <c r="R3241" i="12" s="1"/>
  <c r="R3240" i="12" s="1"/>
  <c r="R3239" i="12" s="1"/>
  <c r="R3238" i="12" s="1"/>
  <c r="R3237" i="12" s="1"/>
  <c r="R3236" i="12" s="1"/>
  <c r="R3235" i="12" s="1"/>
  <c r="R3234" i="12" s="1"/>
  <c r="R3233" i="12" s="1"/>
  <c r="R3232" i="12" s="1"/>
  <c r="R3231" i="12" s="1"/>
  <c r="R3230" i="12" s="1"/>
  <c r="R3229" i="12" s="1"/>
  <c r="R3228" i="12" s="1"/>
  <c r="R3227" i="12" s="1"/>
  <c r="R3226" i="12" s="1"/>
  <c r="R3225" i="12" s="1"/>
  <c r="R3224" i="12" s="1"/>
  <c r="R3223" i="12" s="1"/>
  <c r="R3222" i="12" s="1"/>
  <c r="R3221" i="12" s="1"/>
  <c r="R3220" i="12" s="1"/>
  <c r="R3219" i="12" s="1"/>
  <c r="R3218" i="12" s="1"/>
  <c r="R3217" i="12" s="1"/>
  <c r="R3216" i="12" s="1"/>
  <c r="R3215" i="12" s="1"/>
  <c r="R3214" i="12" s="1"/>
  <c r="R3213" i="12" s="1"/>
  <c r="R3212" i="12" s="1"/>
  <c r="R3211" i="12" s="1"/>
  <c r="R3210" i="12" s="1"/>
  <c r="R3209" i="12" s="1"/>
  <c r="R3208" i="12" s="1"/>
  <c r="R3207" i="12" s="1"/>
  <c r="R3206" i="12" s="1"/>
  <c r="R3205" i="12" s="1"/>
  <c r="R3204" i="12" s="1"/>
  <c r="R3203" i="12" s="1"/>
  <c r="R3202" i="12" s="1"/>
  <c r="R3201" i="12" s="1"/>
  <c r="R3200" i="12" s="1"/>
  <c r="R3199" i="12" s="1"/>
  <c r="R3198" i="12" s="1"/>
  <c r="R3197" i="12" s="1"/>
  <c r="R3196" i="12" s="1"/>
  <c r="R3195" i="12" s="1"/>
  <c r="R3194" i="12" s="1"/>
  <c r="R3193" i="12" s="1"/>
  <c r="R3192" i="12" s="1"/>
  <c r="R3191" i="12" s="1"/>
  <c r="R3190" i="12" s="1"/>
  <c r="R3189" i="12" s="1"/>
  <c r="R3188" i="12" s="1"/>
  <c r="R3187" i="12" s="1"/>
  <c r="R3186" i="12" s="1"/>
  <c r="R3185" i="12" s="1"/>
  <c r="R3184" i="12" s="1"/>
  <c r="R3183" i="12" s="1"/>
  <c r="R3182" i="12" s="1"/>
  <c r="R3181" i="12" s="1"/>
  <c r="R3180" i="12" s="1"/>
  <c r="R3179" i="12" s="1"/>
  <c r="R3178" i="12" s="1"/>
  <c r="R3177" i="12" s="1"/>
  <c r="R3176" i="12" s="1"/>
  <c r="R3175" i="12" s="1"/>
  <c r="R3174" i="12" s="1"/>
  <c r="R3173" i="12" s="1"/>
  <c r="R3172" i="12" s="1"/>
  <c r="R3171" i="12" s="1"/>
  <c r="R3170" i="12" s="1"/>
  <c r="R3169" i="12" s="1"/>
  <c r="R3168" i="12" s="1"/>
  <c r="R3167" i="12" s="1"/>
  <c r="R3166" i="12" s="1"/>
  <c r="R3165" i="12" s="1"/>
  <c r="R3164" i="12" s="1"/>
  <c r="R3163" i="12" s="1"/>
  <c r="R3162" i="12" s="1"/>
  <c r="R3161" i="12" s="1"/>
  <c r="R3160" i="12" s="1"/>
  <c r="R3159" i="12" s="1"/>
  <c r="R3158" i="12" s="1"/>
  <c r="R3157" i="12" s="1"/>
  <c r="R3156" i="12" s="1"/>
  <c r="R3155" i="12" s="1"/>
  <c r="R3154" i="12" s="1"/>
  <c r="R3153" i="12" s="1"/>
  <c r="R3152" i="12" s="1"/>
  <c r="R3151" i="12" s="1"/>
  <c r="R3150" i="12" s="1"/>
  <c r="R3149" i="12" s="1"/>
  <c r="R3148" i="12" s="1"/>
  <c r="R3147" i="12" s="1"/>
  <c r="R3146" i="12" s="1"/>
  <c r="R3145" i="12" s="1"/>
  <c r="R3144" i="12" s="1"/>
  <c r="R3143" i="12" s="1"/>
  <c r="R3142" i="12" s="1"/>
  <c r="R3141" i="12" s="1"/>
  <c r="R3140" i="12" s="1"/>
  <c r="R3139" i="12" s="1"/>
  <c r="R3138" i="12" s="1"/>
  <c r="R3137" i="12" s="1"/>
  <c r="R3136" i="12" s="1"/>
  <c r="R3135" i="12" s="1"/>
  <c r="R3134" i="12" s="1"/>
  <c r="R3133" i="12" s="1"/>
  <c r="R3132" i="12" s="1"/>
  <c r="R3131" i="12" s="1"/>
  <c r="R3130" i="12" s="1"/>
  <c r="R3129" i="12" s="1"/>
  <c r="R3128" i="12" s="1"/>
  <c r="R3127" i="12" s="1"/>
  <c r="R3126" i="12" s="1"/>
  <c r="R3125" i="12" s="1"/>
  <c r="R3124" i="12" s="1"/>
  <c r="R3123" i="12" s="1"/>
  <c r="R3122" i="12" s="1"/>
  <c r="R3121" i="12" s="1"/>
  <c r="R3120" i="12" s="1"/>
  <c r="R3119" i="12" s="1"/>
  <c r="R3118" i="12" s="1"/>
  <c r="R3117" i="12" s="1"/>
  <c r="R3116" i="12" s="1"/>
  <c r="R3115" i="12" s="1"/>
  <c r="R3114" i="12" s="1"/>
  <c r="R3113" i="12" s="1"/>
  <c r="R3112" i="12" s="1"/>
  <c r="R3111" i="12" s="1"/>
  <c r="R3110" i="12" s="1"/>
  <c r="R3109" i="12" s="1"/>
  <c r="R3108" i="12" s="1"/>
  <c r="R3107" i="12" s="1"/>
  <c r="R3106" i="12" s="1"/>
  <c r="R3105" i="12" s="1"/>
  <c r="R3104" i="12" s="1"/>
  <c r="R3103" i="12" s="1"/>
  <c r="R3102" i="12" s="1"/>
  <c r="R3101" i="12" s="1"/>
  <c r="R3100" i="12" s="1"/>
  <c r="R3099" i="12" s="1"/>
  <c r="R3098" i="12" s="1"/>
  <c r="R3097" i="12" s="1"/>
  <c r="R3096" i="12" s="1"/>
  <c r="R3095" i="12" s="1"/>
  <c r="R3094" i="12" s="1"/>
  <c r="R3093" i="12" s="1"/>
  <c r="R3092" i="12" s="1"/>
  <c r="R3091" i="12" s="1"/>
  <c r="R3090" i="12" s="1"/>
  <c r="R3089" i="12" s="1"/>
  <c r="R3088" i="12" s="1"/>
  <c r="R3087" i="12" s="1"/>
  <c r="R3086" i="12" s="1"/>
  <c r="R3085" i="12" s="1"/>
  <c r="R3084" i="12" s="1"/>
  <c r="R3083" i="12" s="1"/>
  <c r="R3082" i="12" s="1"/>
  <c r="R3081" i="12" s="1"/>
  <c r="R3080" i="12" s="1"/>
  <c r="R3079" i="12" s="1"/>
  <c r="R3078" i="12" s="1"/>
  <c r="R3077" i="12" s="1"/>
  <c r="R3076" i="12" s="1"/>
  <c r="R3075" i="12" s="1"/>
  <c r="R3074" i="12" s="1"/>
  <c r="R3073" i="12" s="1"/>
  <c r="R3072" i="12" s="1"/>
  <c r="R3071" i="12" s="1"/>
  <c r="R3070" i="12" s="1"/>
  <c r="R3069" i="12" s="1"/>
  <c r="R3068" i="12" s="1"/>
  <c r="R3067" i="12" s="1"/>
  <c r="R3066" i="12" s="1"/>
  <c r="R3065" i="12" s="1"/>
  <c r="R3064" i="12" s="1"/>
  <c r="R3063" i="12" s="1"/>
  <c r="R3062" i="12" s="1"/>
  <c r="R3061" i="12" s="1"/>
  <c r="R3060" i="12" s="1"/>
  <c r="R3059" i="12" s="1"/>
  <c r="R3058" i="12" s="1"/>
  <c r="R3057" i="12" s="1"/>
  <c r="R3056" i="12" s="1"/>
  <c r="R3055" i="12" s="1"/>
  <c r="R3054" i="12" s="1"/>
  <c r="R3053" i="12" s="1"/>
  <c r="R3052" i="12" s="1"/>
  <c r="R3051" i="12" s="1"/>
  <c r="R3050" i="12" s="1"/>
  <c r="R3049" i="12" s="1"/>
  <c r="R3048" i="12" s="1"/>
  <c r="R3047" i="12" s="1"/>
  <c r="R3046" i="12" s="1"/>
  <c r="R3045" i="12" s="1"/>
  <c r="R3044" i="12" s="1"/>
  <c r="R3043" i="12" s="1"/>
  <c r="R3042" i="12" s="1"/>
  <c r="R3041" i="12" s="1"/>
  <c r="R3040" i="12" s="1"/>
  <c r="R3039" i="12" s="1"/>
  <c r="R3038" i="12" s="1"/>
  <c r="R3037" i="12" s="1"/>
  <c r="R3036" i="12" s="1"/>
  <c r="R3035" i="12" s="1"/>
  <c r="R3034" i="12" s="1"/>
  <c r="R3033" i="12" s="1"/>
  <c r="R3032" i="12" s="1"/>
  <c r="R3031" i="12" s="1"/>
  <c r="R3030" i="12" s="1"/>
  <c r="R3029" i="12" s="1"/>
  <c r="R3028" i="12" s="1"/>
  <c r="R3027" i="12" s="1"/>
  <c r="R3026" i="12" s="1"/>
  <c r="R3025" i="12" s="1"/>
  <c r="R3024" i="12" s="1"/>
  <c r="R3023" i="12" s="1"/>
  <c r="R3022" i="12" s="1"/>
  <c r="R3021" i="12" s="1"/>
  <c r="R3020" i="12" s="1"/>
  <c r="R3019" i="12" s="1"/>
  <c r="R3018" i="12" s="1"/>
  <c r="R3017" i="12" s="1"/>
  <c r="R3016" i="12" s="1"/>
  <c r="R3015" i="12" s="1"/>
  <c r="R3014" i="12" s="1"/>
  <c r="R3013" i="12" s="1"/>
  <c r="R3012" i="12" s="1"/>
  <c r="R3011" i="12" s="1"/>
  <c r="R3010" i="12" s="1"/>
  <c r="R3009" i="12" s="1"/>
  <c r="R3008" i="12" s="1"/>
  <c r="R3007" i="12" s="1"/>
  <c r="R3006" i="12" s="1"/>
  <c r="R3005" i="12" s="1"/>
  <c r="R3004" i="12" s="1"/>
  <c r="R3003" i="12" s="1"/>
  <c r="R3002" i="12" s="1"/>
  <c r="R3001" i="12" s="1"/>
  <c r="R3000" i="12" s="1"/>
  <c r="R2999" i="12" s="1"/>
  <c r="R2998" i="12" s="1"/>
  <c r="R2997" i="12" s="1"/>
  <c r="R2996" i="12" s="1"/>
  <c r="R2995" i="12" s="1"/>
  <c r="R2994" i="12" s="1"/>
  <c r="R2993" i="12" s="1"/>
  <c r="R2992" i="12" s="1"/>
  <c r="R2991" i="12" s="1"/>
  <c r="R2990" i="12" s="1"/>
  <c r="R2989" i="12" s="1"/>
  <c r="R2988" i="12" s="1"/>
  <c r="R2987" i="12" s="1"/>
  <c r="R2986" i="12" s="1"/>
  <c r="R2985" i="12" s="1"/>
  <c r="R2984" i="12" s="1"/>
  <c r="R2983" i="12" s="1"/>
  <c r="R2982" i="12" s="1"/>
  <c r="R2981" i="12" s="1"/>
  <c r="R2980" i="12" s="1"/>
  <c r="R2979" i="12" s="1"/>
  <c r="R2978" i="12" s="1"/>
  <c r="R2977" i="12" s="1"/>
  <c r="R2976" i="12" s="1"/>
  <c r="R2975" i="12" s="1"/>
  <c r="R2974" i="12" s="1"/>
  <c r="R2973" i="12" s="1"/>
  <c r="R2972" i="12" s="1"/>
  <c r="R2971" i="12" s="1"/>
  <c r="R2970" i="12" s="1"/>
  <c r="R2969" i="12" s="1"/>
  <c r="R2968" i="12" s="1"/>
  <c r="R2967" i="12" s="1"/>
  <c r="R2966" i="12" s="1"/>
  <c r="R2965" i="12" s="1"/>
  <c r="R2964" i="12" s="1"/>
  <c r="R2963" i="12" s="1"/>
  <c r="R2962" i="12" s="1"/>
  <c r="R2961" i="12" s="1"/>
  <c r="R2960" i="12" s="1"/>
  <c r="R2959" i="12" s="1"/>
  <c r="R2958" i="12" s="1"/>
  <c r="R2957" i="12" s="1"/>
  <c r="R2956" i="12" s="1"/>
  <c r="R2955" i="12" s="1"/>
  <c r="R2954" i="12" s="1"/>
  <c r="R2953" i="12" s="1"/>
  <c r="R2952" i="12" s="1"/>
  <c r="R2951" i="12" s="1"/>
  <c r="R2950" i="12" s="1"/>
  <c r="R2949" i="12" s="1"/>
  <c r="R2948" i="12" s="1"/>
  <c r="R2947" i="12" s="1"/>
  <c r="R2946" i="12" s="1"/>
  <c r="R2945" i="12" s="1"/>
  <c r="R2944" i="12" s="1"/>
  <c r="R2943" i="12" s="1"/>
  <c r="R2942" i="12" s="1"/>
  <c r="R2941" i="12" s="1"/>
  <c r="R2940" i="12" s="1"/>
  <c r="R2939" i="12" s="1"/>
  <c r="R2938" i="12" s="1"/>
  <c r="R2937" i="12" s="1"/>
  <c r="R2936" i="12" s="1"/>
  <c r="R2935" i="12" s="1"/>
  <c r="R2934" i="12" s="1"/>
  <c r="S2163" i="12"/>
  <c r="S2162" i="12" s="1"/>
  <c r="S2161" i="12" s="1"/>
  <c r="S2160" i="12" s="1"/>
  <c r="S2159" i="12" s="1"/>
  <c r="S2158" i="12" s="1"/>
  <c r="S2157" i="12" s="1"/>
  <c r="S2156" i="12" s="1"/>
  <c r="S2155" i="12" s="1"/>
  <c r="S2154" i="12" s="1"/>
  <c r="S2153" i="12" s="1"/>
  <c r="S2152" i="12" s="1"/>
  <c r="S2151" i="12" s="1"/>
  <c r="S2150" i="12" s="1"/>
  <c r="S2149" i="12" s="1"/>
  <c r="S2148" i="12" s="1"/>
  <c r="S2147" i="12" s="1"/>
  <c r="S2146" i="12" s="1"/>
  <c r="S2145" i="12" s="1"/>
  <c r="S2144" i="12" s="1"/>
  <c r="S2143" i="12" s="1"/>
  <c r="S2142" i="12" s="1"/>
  <c r="S2141" i="12" s="1"/>
  <c r="S2140" i="12" s="1"/>
  <c r="S2139" i="12" s="1"/>
  <c r="S2138" i="12" s="1"/>
  <c r="S2137" i="12" s="1"/>
  <c r="S2136" i="12" s="1"/>
  <c r="S2135" i="12" s="1"/>
  <c r="S2134" i="12" s="1"/>
  <c r="S2133" i="12" s="1"/>
  <c r="S2132" i="12" s="1"/>
  <c r="S2131" i="12" s="1"/>
  <c r="S2130" i="12" s="1"/>
  <c r="S2129" i="12" s="1"/>
  <c r="S2128" i="12" s="1"/>
  <c r="S2127" i="12" s="1"/>
  <c r="S2126" i="12" s="1"/>
  <c r="S2125" i="12" s="1"/>
  <c r="S2124" i="12" s="1"/>
  <c r="S2123" i="12" s="1"/>
  <c r="S2122" i="12" s="1"/>
  <c r="S2121" i="12" s="1"/>
  <c r="S2120" i="12" s="1"/>
  <c r="S2119" i="12" s="1"/>
  <c r="S2118" i="12" s="1"/>
  <c r="S2117" i="12" s="1"/>
  <c r="S2116" i="12" s="1"/>
  <c r="S2115" i="12" s="1"/>
  <c r="S2114" i="12" s="1"/>
  <c r="S2113" i="12" s="1"/>
  <c r="S2112" i="12" s="1"/>
  <c r="S2111" i="12" s="1"/>
  <c r="S2110" i="12" s="1"/>
  <c r="S2109" i="12" s="1"/>
  <c r="S2108" i="12" s="1"/>
  <c r="S2107" i="12" s="1"/>
  <c r="S2106" i="12" s="1"/>
  <c r="S2105" i="12" s="1"/>
  <c r="S2104" i="12" s="1"/>
  <c r="S2103" i="12" s="1"/>
  <c r="S2102" i="12" s="1"/>
  <c r="S2101" i="12" s="1"/>
  <c r="S2100" i="12" s="1"/>
  <c r="S2099" i="12" s="1"/>
  <c r="S2098" i="12" s="1"/>
  <c r="S2097" i="12" s="1"/>
  <c r="S2096" i="12" s="1"/>
  <c r="S2095" i="12" s="1"/>
  <c r="S2094" i="12" s="1"/>
  <c r="S1953" i="12"/>
  <c r="S1952" i="12" s="1"/>
  <c r="S1951" i="12" s="1"/>
  <c r="S1950" i="12" s="1"/>
  <c r="S1949" i="12" s="1"/>
  <c r="S1948" i="12" s="1"/>
  <c r="S1947" i="12" s="1"/>
  <c r="S1946" i="12" s="1"/>
  <c r="S1945" i="12" s="1"/>
  <c r="S1944" i="12" s="1"/>
  <c r="S1943" i="12" s="1"/>
  <c r="S1942" i="12" s="1"/>
  <c r="S1941" i="12" s="1"/>
  <c r="S1940" i="12" s="1"/>
  <c r="S1939" i="12" s="1"/>
  <c r="S1938" i="12" s="1"/>
  <c r="S1937" i="12" s="1"/>
  <c r="S1936" i="12" s="1"/>
  <c r="S1935" i="12" s="1"/>
  <c r="S1934" i="12" s="1"/>
  <c r="S1933" i="12" s="1"/>
  <c r="S1932" i="12" s="1"/>
  <c r="S1931" i="12" s="1"/>
  <c r="S1930" i="12" s="1"/>
  <c r="S1929" i="12" s="1"/>
  <c r="S1928" i="12" s="1"/>
  <c r="S1927" i="12" s="1"/>
  <c r="S1926" i="12" s="1"/>
  <c r="S1925" i="12" s="1"/>
  <c r="S1924" i="12" s="1"/>
  <c r="S1923" i="12" s="1"/>
  <c r="S1922" i="12" s="1"/>
  <c r="S1921" i="12" s="1"/>
  <c r="S1920" i="12" s="1"/>
  <c r="S1919" i="12" s="1"/>
  <c r="S1918" i="12" s="1"/>
  <c r="S1917" i="12" s="1"/>
  <c r="S1916" i="12" s="1"/>
  <c r="S1915" i="12" s="1"/>
  <c r="S1914" i="12" s="1"/>
  <c r="S1913" i="12" s="1"/>
  <c r="S1912" i="12" s="1"/>
  <c r="S1911" i="12" s="1"/>
  <c r="S1910" i="12" s="1"/>
  <c r="S1909" i="12" s="1"/>
  <c r="S1908" i="12" s="1"/>
  <c r="S1907" i="12" s="1"/>
  <c r="S1906" i="12" s="1"/>
  <c r="S1905" i="12" s="1"/>
  <c r="S1904" i="12" s="1"/>
  <c r="S1903" i="12" s="1"/>
  <c r="S1902" i="12" s="1"/>
  <c r="S1901" i="12" s="1"/>
  <c r="S1900" i="12" s="1"/>
  <c r="S1899" i="12" s="1"/>
  <c r="S1898" i="12" s="1"/>
  <c r="S1897" i="12" s="1"/>
  <c r="S1896" i="12" s="1"/>
  <c r="S1895" i="12" s="1"/>
  <c r="S1894" i="12" s="1"/>
  <c r="S1893" i="12" s="1"/>
  <c r="S1892" i="12" s="1"/>
  <c r="S1891" i="12" s="1"/>
  <c r="S1890" i="12" s="1"/>
  <c r="S1889" i="12" s="1"/>
  <c r="S1888" i="12" s="1"/>
  <c r="S1887" i="12" s="1"/>
  <c r="S1886" i="12" s="1"/>
  <c r="S1885" i="12" s="1"/>
  <c r="S1884" i="12" s="1"/>
  <c r="R2583" i="12"/>
  <c r="R2582" i="12" s="1"/>
  <c r="R2581" i="12" s="1"/>
  <c r="R2580" i="12" s="1"/>
  <c r="R2579" i="12" s="1"/>
  <c r="R2578" i="12" s="1"/>
  <c r="R2577" i="12" s="1"/>
  <c r="R2576" i="12" s="1"/>
  <c r="R2575" i="12" s="1"/>
  <c r="R2574" i="12" s="1"/>
  <c r="R2573" i="12" s="1"/>
  <c r="R2572" i="12" s="1"/>
  <c r="R2571" i="12" s="1"/>
  <c r="R2570" i="12" s="1"/>
  <c r="R2569" i="12" s="1"/>
  <c r="R2568" i="12" s="1"/>
  <c r="R2567" i="12" s="1"/>
  <c r="R2566" i="12" s="1"/>
  <c r="R2565" i="12" s="1"/>
  <c r="R2564" i="12" s="1"/>
  <c r="R2563" i="12" s="1"/>
  <c r="R2562" i="12" s="1"/>
  <c r="R2561" i="12" s="1"/>
  <c r="R2560" i="12" s="1"/>
  <c r="R2559" i="12" s="1"/>
  <c r="R2558" i="12" s="1"/>
  <c r="R2557" i="12" s="1"/>
  <c r="R2556" i="12" s="1"/>
  <c r="R2555" i="12" s="1"/>
  <c r="R2554" i="12" s="1"/>
  <c r="R2553" i="12" s="1"/>
  <c r="R2552" i="12" s="1"/>
  <c r="R2551" i="12" s="1"/>
  <c r="R2550" i="12" s="1"/>
  <c r="R2549" i="12" s="1"/>
  <c r="R2548" i="12" s="1"/>
  <c r="R2547" i="12" s="1"/>
  <c r="R2546" i="12" s="1"/>
  <c r="R2545" i="12" s="1"/>
  <c r="R2544" i="12" s="1"/>
  <c r="R2543" i="12" s="1"/>
  <c r="R2542" i="12" s="1"/>
  <c r="R2541" i="12" s="1"/>
  <c r="R2540" i="12" s="1"/>
  <c r="R2539" i="12" s="1"/>
  <c r="R2538" i="12" s="1"/>
  <c r="R2537" i="12" s="1"/>
  <c r="R2536" i="12" s="1"/>
  <c r="R2535" i="12" s="1"/>
  <c r="R2534" i="12" s="1"/>
  <c r="R2533" i="12" s="1"/>
  <c r="R2532" i="12" s="1"/>
  <c r="R2531" i="12" s="1"/>
  <c r="R2530" i="12" s="1"/>
  <c r="R2529" i="12" s="1"/>
  <c r="R2528" i="12" s="1"/>
  <c r="R2527" i="12" s="1"/>
  <c r="R2526" i="12" s="1"/>
  <c r="R2525" i="12" s="1"/>
  <c r="R2524" i="12" s="1"/>
  <c r="R2523" i="12" s="1"/>
  <c r="R2522" i="12" s="1"/>
  <c r="R2521" i="12" s="1"/>
  <c r="R2520" i="12" s="1"/>
  <c r="R2519" i="12" s="1"/>
  <c r="R2518" i="12" s="1"/>
  <c r="R2517" i="12" s="1"/>
  <c r="R2516" i="12" s="1"/>
  <c r="R2515" i="12" s="1"/>
  <c r="R2514" i="12" s="1"/>
  <c r="R2513" i="12" s="1"/>
  <c r="S2653" i="12"/>
  <c r="S2652" i="12" s="1"/>
  <c r="S2651" i="12" s="1"/>
  <c r="S2650" i="12" s="1"/>
  <c r="S2649" i="12" s="1"/>
  <c r="S2648" i="12" s="1"/>
  <c r="S2647" i="12" s="1"/>
  <c r="S2646" i="12" s="1"/>
  <c r="S2645" i="12" s="1"/>
  <c r="S2644" i="12" s="1"/>
  <c r="S2643" i="12" s="1"/>
  <c r="S2642" i="12" s="1"/>
  <c r="S2641" i="12" s="1"/>
  <c r="S2640" i="12" s="1"/>
  <c r="S2639" i="12" s="1"/>
  <c r="S2638" i="12" s="1"/>
  <c r="S2637" i="12" s="1"/>
  <c r="S2636" i="12" s="1"/>
  <c r="S2635" i="12" s="1"/>
  <c r="S2634" i="12" s="1"/>
  <c r="S2633" i="12" s="1"/>
  <c r="S2632" i="12" s="1"/>
  <c r="S2631" i="12" s="1"/>
  <c r="S2630" i="12" s="1"/>
  <c r="S2629" i="12" s="1"/>
  <c r="S2628" i="12" s="1"/>
  <c r="S2627" i="12" s="1"/>
  <c r="S2626" i="12" s="1"/>
  <c r="S2625" i="12" s="1"/>
  <c r="S2624" i="12" s="1"/>
  <c r="S2623" i="12" s="1"/>
  <c r="S2622" i="12" s="1"/>
  <c r="S2621" i="12" s="1"/>
  <c r="S2620" i="12" s="1"/>
  <c r="S2619" i="12" s="1"/>
  <c r="S2618" i="12" s="1"/>
  <c r="S2617" i="12" s="1"/>
  <c r="S2616" i="12" s="1"/>
  <c r="S2615" i="12" s="1"/>
  <c r="S2614" i="12" s="1"/>
  <c r="S2613" i="12" s="1"/>
  <c r="S2612" i="12" s="1"/>
  <c r="S2611" i="12" s="1"/>
  <c r="S2610" i="12" s="1"/>
  <c r="S2609" i="12" s="1"/>
  <c r="S2608" i="12" s="1"/>
  <c r="S2607" i="12" s="1"/>
  <c r="S2606" i="12" s="1"/>
  <c r="S2605" i="12" s="1"/>
  <c r="S2604" i="12" s="1"/>
  <c r="S2603" i="12" s="1"/>
  <c r="S2602" i="12" s="1"/>
  <c r="S2601" i="12" s="1"/>
  <c r="S2600" i="12" s="1"/>
  <c r="S2599" i="12" s="1"/>
  <c r="S2598" i="12" s="1"/>
  <c r="S2597" i="12" s="1"/>
  <c r="S2596" i="12" s="1"/>
  <c r="S2595" i="12" s="1"/>
  <c r="S2594" i="12" s="1"/>
  <c r="S2593" i="12" s="1"/>
  <c r="S2592" i="12" s="1"/>
  <c r="S2591" i="12" s="1"/>
  <c r="S2590" i="12" s="1"/>
  <c r="S2589" i="12" s="1"/>
  <c r="S2588" i="12" s="1"/>
  <c r="S2587" i="12" s="1"/>
  <c r="S2586" i="12" s="1"/>
  <c r="S2585" i="12" s="1"/>
  <c r="S2584" i="12" s="1"/>
  <c r="S1463" i="12"/>
  <c r="S1462" i="12" s="1"/>
  <c r="S1461" i="12" s="1"/>
  <c r="S1460" i="12" s="1"/>
  <c r="S1459" i="12" s="1"/>
  <c r="S1458" i="12" s="1"/>
  <c r="S1457" i="12" s="1"/>
  <c r="S1456" i="12" s="1"/>
  <c r="S1455" i="12" s="1"/>
  <c r="S1454" i="12" s="1"/>
  <c r="S1453" i="12" s="1"/>
  <c r="S1452" i="12" s="1"/>
  <c r="S1451" i="12" s="1"/>
  <c r="S1450" i="12" s="1"/>
  <c r="S1449" i="12" s="1"/>
  <c r="S1448" i="12" s="1"/>
  <c r="S1447" i="12" s="1"/>
  <c r="S1446" i="12" s="1"/>
  <c r="S1445" i="12" s="1"/>
  <c r="S1444" i="12" s="1"/>
  <c r="S1443" i="12" s="1"/>
  <c r="S1442" i="12" s="1"/>
  <c r="S1441" i="12" s="1"/>
  <c r="S1440" i="12" s="1"/>
  <c r="S1439" i="12" s="1"/>
  <c r="S1438" i="12" s="1"/>
  <c r="S1437" i="12" s="1"/>
  <c r="S1436" i="12" s="1"/>
  <c r="S1435" i="12" s="1"/>
  <c r="S1434" i="12" s="1"/>
  <c r="S1433" i="12" s="1"/>
  <c r="S1432" i="12" s="1"/>
  <c r="S1431" i="12" s="1"/>
  <c r="S1430" i="12" s="1"/>
  <c r="S1429" i="12" s="1"/>
  <c r="S1428" i="12" s="1"/>
  <c r="S1427" i="12" s="1"/>
  <c r="S1426" i="12" s="1"/>
  <c r="S1425" i="12" s="1"/>
  <c r="S1424" i="12" s="1"/>
  <c r="S1423" i="12" s="1"/>
  <c r="S1422" i="12" s="1"/>
  <c r="S1421" i="12" s="1"/>
  <c r="S1420" i="12" s="1"/>
  <c r="S1419" i="12" s="1"/>
  <c r="S1418" i="12" s="1"/>
  <c r="S1417" i="12" s="1"/>
  <c r="S1416" i="12" s="1"/>
  <c r="S1415" i="12" s="1"/>
  <c r="S1414" i="12" s="1"/>
  <c r="S1413" i="12" s="1"/>
  <c r="S1412" i="12" s="1"/>
  <c r="S1411" i="12" s="1"/>
  <c r="S1410" i="12" s="1"/>
  <c r="S1409" i="12" s="1"/>
  <c r="S1408" i="12" s="1"/>
  <c r="S1407" i="12" s="1"/>
  <c r="S1406" i="12" s="1"/>
  <c r="S1405" i="12" s="1"/>
  <c r="S1404" i="12" s="1"/>
  <c r="S1403" i="12" s="1"/>
  <c r="S1402" i="12" s="1"/>
  <c r="S1401" i="12" s="1"/>
  <c r="S1400" i="12" s="1"/>
  <c r="S1399" i="12" s="1"/>
  <c r="S1398" i="12" s="1"/>
  <c r="S1397" i="12" s="1"/>
  <c r="S1396" i="12" s="1"/>
  <c r="S1395" i="12" s="1"/>
  <c r="S1394" i="12" s="1"/>
  <c r="R2442" i="12"/>
  <c r="R2441" i="12" s="1"/>
  <c r="R2440" i="12" s="1"/>
  <c r="R2439" i="12" s="1"/>
  <c r="R2438" i="12" s="1"/>
  <c r="R2437" i="12" s="1"/>
  <c r="R2436" i="12" s="1"/>
  <c r="R2435" i="12" s="1"/>
  <c r="R2434" i="12" s="1"/>
  <c r="R2433" i="12" s="1"/>
  <c r="R2432" i="12" s="1"/>
  <c r="R2431" i="12" s="1"/>
  <c r="R2430" i="12" s="1"/>
  <c r="R2429" i="12" s="1"/>
  <c r="R2428" i="12" s="1"/>
  <c r="R2427" i="12" s="1"/>
  <c r="R2426" i="12" s="1"/>
  <c r="R2425" i="12" s="1"/>
  <c r="R2424" i="12" s="1"/>
  <c r="R2423" i="12" s="1"/>
  <c r="R2422" i="12" s="1"/>
  <c r="R2421" i="12" s="1"/>
  <c r="R2420" i="12" s="1"/>
  <c r="R2419" i="12" s="1"/>
  <c r="R2418" i="12" s="1"/>
  <c r="R2417" i="12" s="1"/>
  <c r="R2416" i="12" s="1"/>
  <c r="R2415" i="12" s="1"/>
  <c r="R2414" i="12" s="1"/>
  <c r="R2413" i="12" s="1"/>
  <c r="R2412" i="12" s="1"/>
  <c r="R2411" i="12" s="1"/>
  <c r="R2410" i="12" s="1"/>
  <c r="R2409" i="12" s="1"/>
  <c r="R2408" i="12" s="1"/>
  <c r="R2407" i="12" s="1"/>
  <c r="R2406" i="12" s="1"/>
  <c r="R2405" i="12" s="1"/>
  <c r="R2404" i="12" s="1"/>
  <c r="R2403" i="12" s="1"/>
  <c r="R2402" i="12" s="1"/>
  <c r="R2401" i="12" s="1"/>
  <c r="R2400" i="12" s="1"/>
  <c r="R2399" i="12" s="1"/>
  <c r="R2398" i="12" s="1"/>
  <c r="R2397" i="12" s="1"/>
  <c r="R2396" i="12" s="1"/>
  <c r="R2395" i="12" s="1"/>
  <c r="R2394" i="12" s="1"/>
  <c r="R2393" i="12" s="1"/>
  <c r="R2392" i="12" s="1"/>
  <c r="R2391" i="12" s="1"/>
  <c r="R2390" i="12" s="1"/>
  <c r="R2389" i="12" s="1"/>
  <c r="R2388" i="12" s="1"/>
  <c r="R2387" i="12" s="1"/>
  <c r="R2386" i="12" s="1"/>
  <c r="R2385" i="12" s="1"/>
  <c r="R2384" i="12" s="1"/>
  <c r="R2383" i="12" s="1"/>
  <c r="R2382" i="12" s="1"/>
  <c r="R2381" i="12" s="1"/>
  <c r="R2380" i="12" s="1"/>
  <c r="R2379" i="12" s="1"/>
  <c r="R2378" i="12" s="1"/>
  <c r="R2377" i="12" s="1"/>
  <c r="R2376" i="12" s="1"/>
  <c r="R2375" i="12" s="1"/>
  <c r="R2374" i="12" s="1"/>
  <c r="S2793" i="12"/>
  <c r="S2792" i="12" s="1"/>
  <c r="S2791" i="12" s="1"/>
  <c r="S2790" i="12" s="1"/>
  <c r="S2789" i="12" s="1"/>
  <c r="S2788" i="12" s="1"/>
  <c r="S2787" i="12" s="1"/>
  <c r="S2786" i="12" s="1"/>
  <c r="S2785" i="12" s="1"/>
  <c r="S2784" i="12" s="1"/>
  <c r="S2783" i="12" s="1"/>
  <c r="S2782" i="12" s="1"/>
  <c r="S2781" i="12" s="1"/>
  <c r="S2780" i="12" s="1"/>
  <c r="S2779" i="12" s="1"/>
  <c r="S2778" i="12" s="1"/>
  <c r="S2777" i="12" s="1"/>
  <c r="S2776" i="12" s="1"/>
  <c r="S2775" i="12" s="1"/>
  <c r="S2774" i="12" s="1"/>
  <c r="S2773" i="12" s="1"/>
  <c r="S2772" i="12" s="1"/>
  <c r="S2771" i="12" s="1"/>
  <c r="S2770" i="12" s="1"/>
  <c r="S2769" i="12" s="1"/>
  <c r="S2768" i="12" s="1"/>
  <c r="S2767" i="12" s="1"/>
  <c r="S2766" i="12" s="1"/>
  <c r="S2765" i="12" s="1"/>
  <c r="S2764" i="12" s="1"/>
  <c r="S2763" i="12" s="1"/>
  <c r="S2762" i="12" s="1"/>
  <c r="S2761" i="12" s="1"/>
  <c r="S2760" i="12" s="1"/>
  <c r="S2759" i="12" s="1"/>
  <c r="S2758" i="12" s="1"/>
  <c r="S2757" i="12" s="1"/>
  <c r="S2756" i="12" s="1"/>
  <c r="S2755" i="12" s="1"/>
  <c r="S2754" i="12" s="1"/>
  <c r="S2753" i="12" s="1"/>
  <c r="S2752" i="12" s="1"/>
  <c r="S2751" i="12" s="1"/>
  <c r="S2750" i="12" s="1"/>
  <c r="S2749" i="12" s="1"/>
  <c r="S2748" i="12" s="1"/>
  <c r="S2747" i="12" s="1"/>
  <c r="S2746" i="12" s="1"/>
  <c r="S2745" i="12" s="1"/>
  <c r="S2744" i="12" s="1"/>
  <c r="S2743" i="12" s="1"/>
  <c r="S2742" i="12" s="1"/>
  <c r="S2741" i="12" s="1"/>
  <c r="S2740" i="12" s="1"/>
  <c r="S2739" i="12" s="1"/>
  <c r="S2738" i="12" s="1"/>
  <c r="S2737" i="12" s="1"/>
  <c r="S2736" i="12" s="1"/>
  <c r="S2735" i="12" s="1"/>
  <c r="S2734" i="12" s="1"/>
  <c r="S2733" i="12"/>
  <c r="S2732" i="12" s="1"/>
  <c r="S2731" i="12" s="1"/>
  <c r="S2730" i="12" s="1"/>
  <c r="S2729" i="12" s="1"/>
  <c r="S2728" i="12" s="1"/>
  <c r="S2727" i="12" s="1"/>
  <c r="S2726" i="12" s="1"/>
  <c r="S2725" i="12" s="1"/>
  <c r="S2724" i="12" s="1"/>
  <c r="S2723" i="12" s="1"/>
  <c r="S2722" i="12" s="1"/>
  <c r="S2721" i="12" s="1"/>
  <c r="S2720" i="12" s="1"/>
  <c r="S2719" i="12" s="1"/>
  <c r="S2718" i="12" s="1"/>
  <c r="S2717" i="12" s="1"/>
  <c r="S2716" i="12" s="1"/>
  <c r="S2715" i="12" s="1"/>
  <c r="S2714" i="12" s="1"/>
  <c r="S2713" i="12" s="1"/>
  <c r="S2712" i="12" s="1"/>
  <c r="S2711" i="12" s="1"/>
  <c r="S2710" i="12" s="1"/>
  <c r="S2709" i="12" s="1"/>
  <c r="S2708" i="12" s="1"/>
  <c r="S2707" i="12" s="1"/>
  <c r="S2706" i="12" s="1"/>
  <c r="S2705" i="12" s="1"/>
  <c r="S2704" i="12" s="1"/>
  <c r="S2703" i="12" s="1"/>
  <c r="S2702" i="12" s="1"/>
  <c r="S2701" i="12" s="1"/>
  <c r="S2700" i="12" s="1"/>
  <c r="S2699" i="12" s="1"/>
  <c r="S2698" i="12" s="1"/>
  <c r="S2697" i="12" s="1"/>
  <c r="S2696" i="12" s="1"/>
  <c r="S2695" i="12" s="1"/>
  <c r="S2694" i="12" s="1"/>
  <c r="S2693" i="12" s="1"/>
  <c r="S2692" i="12" s="1"/>
  <c r="S2691" i="12" s="1"/>
  <c r="S2690" i="12" s="1"/>
  <c r="S2689" i="12" s="1"/>
  <c r="S2688" i="12" s="1"/>
  <c r="S2687" i="12" s="1"/>
  <c r="S2686" i="12" s="1"/>
  <c r="S2685" i="12" s="1"/>
  <c r="S2684" i="12" s="1"/>
  <c r="S2683" i="12" s="1"/>
  <c r="S2682" i="12" s="1"/>
  <c r="S2681" i="12" s="1"/>
  <c r="S2680" i="12" s="1"/>
  <c r="S2679" i="12" s="1"/>
  <c r="S2678" i="12" s="1"/>
  <c r="S2677" i="12" s="1"/>
  <c r="S2676" i="12" s="1"/>
  <c r="S2675" i="12" s="1"/>
  <c r="S2674" i="12" s="1"/>
  <c r="S2673" i="12" s="1"/>
  <c r="S2672" i="12" s="1"/>
  <c r="S2671" i="12" s="1"/>
  <c r="S2670" i="12" s="1"/>
  <c r="S2669" i="12" s="1"/>
  <c r="S2668" i="12" s="1"/>
  <c r="S2667" i="12" s="1"/>
  <c r="S2666" i="12" s="1"/>
  <c r="S2665" i="12" s="1"/>
  <c r="S2664" i="12" s="1"/>
  <c r="S2663" i="12" s="1"/>
  <c r="S2662" i="12" s="1"/>
  <c r="S2661" i="12" s="1"/>
  <c r="S2660" i="12" s="1"/>
  <c r="S2659" i="12" s="1"/>
  <c r="S2658" i="12" s="1"/>
  <c r="S2657" i="12" s="1"/>
  <c r="S2656" i="12" s="1"/>
  <c r="S2655" i="12" s="1"/>
  <c r="S2654" i="12" s="1"/>
  <c r="S1883" i="12"/>
  <c r="S1882" i="12" s="1"/>
  <c r="S1881" i="12" s="1"/>
  <c r="S1880" i="12" s="1"/>
  <c r="S1879" i="12" s="1"/>
  <c r="S1878" i="12" s="1"/>
  <c r="S1877" i="12" s="1"/>
  <c r="S1876" i="12" s="1"/>
  <c r="S1875" i="12" s="1"/>
  <c r="S1874" i="12" s="1"/>
  <c r="S1873" i="12" s="1"/>
  <c r="S1872" i="12" s="1"/>
  <c r="S1871" i="12" s="1"/>
  <c r="S1870" i="12" s="1"/>
  <c r="S1869" i="12" s="1"/>
  <c r="S1868" i="12" s="1"/>
  <c r="S1867" i="12" s="1"/>
  <c r="S1866" i="12" s="1"/>
  <c r="S1865" i="12" s="1"/>
  <c r="S1864" i="12" s="1"/>
  <c r="S1863" i="12" s="1"/>
  <c r="S1862" i="12" s="1"/>
  <c r="S1861" i="12" s="1"/>
  <c r="S1860" i="12" s="1"/>
  <c r="S1859" i="12" s="1"/>
  <c r="S1858" i="12" s="1"/>
  <c r="S1857" i="12" s="1"/>
  <c r="S1856" i="12" s="1"/>
  <c r="S1855" i="12" s="1"/>
  <c r="S1854" i="12" s="1"/>
  <c r="S1853" i="12" s="1"/>
  <c r="S1852" i="12" s="1"/>
  <c r="S1851" i="12" s="1"/>
  <c r="S1850" i="12" s="1"/>
  <c r="S1849" i="12" s="1"/>
  <c r="S1848" i="12" s="1"/>
  <c r="S1847" i="12" s="1"/>
  <c r="S1846" i="12" s="1"/>
  <c r="S1845" i="12" s="1"/>
  <c r="S1844" i="12" s="1"/>
  <c r="S1843" i="12" s="1"/>
  <c r="S1842" i="12" s="1"/>
  <c r="S1841" i="12" s="1"/>
  <c r="S1840" i="12" s="1"/>
  <c r="S1839" i="12" s="1"/>
  <c r="S1838" i="12" s="1"/>
  <c r="S1837" i="12" s="1"/>
  <c r="S1836" i="12" s="1"/>
  <c r="S1835" i="12" s="1"/>
  <c r="S1834" i="12" s="1"/>
  <c r="S1833" i="12" s="1"/>
  <c r="S1832" i="12" s="1"/>
  <c r="S1831" i="12" s="1"/>
  <c r="S1830" i="12" s="1"/>
  <c r="S1829" i="12" s="1"/>
  <c r="S1828" i="12" s="1"/>
  <c r="S1827" i="12" s="1"/>
  <c r="S1826" i="12" s="1"/>
  <c r="S1825" i="12" s="1"/>
  <c r="S1824" i="12" s="1"/>
  <c r="S1823" i="12" s="1"/>
  <c r="S1822" i="12" s="1"/>
  <c r="S1821" i="12" s="1"/>
  <c r="S1820" i="12" s="1"/>
  <c r="S1819" i="12" s="1"/>
  <c r="S1818" i="12" s="1"/>
  <c r="S1817" i="12" s="1"/>
  <c r="S1816" i="12" s="1"/>
  <c r="S1815" i="12" s="1"/>
  <c r="S1814" i="12" s="1"/>
  <c r="S1393" i="12"/>
  <c r="S1392" i="12" s="1"/>
  <c r="S1391" i="12" s="1"/>
  <c r="S1390" i="12" s="1"/>
  <c r="S1389" i="12" s="1"/>
  <c r="S1388" i="12" s="1"/>
  <c r="S1387" i="12" s="1"/>
  <c r="S1386" i="12" s="1"/>
  <c r="S1385" i="12" s="1"/>
  <c r="S1384" i="12" s="1"/>
  <c r="S1383" i="12" s="1"/>
  <c r="S1382" i="12" s="1"/>
  <c r="S1381" i="12" s="1"/>
  <c r="S1380" i="12" s="1"/>
  <c r="S1379" i="12" s="1"/>
  <c r="S1378" i="12" s="1"/>
  <c r="S1377" i="12" s="1"/>
  <c r="S1376" i="12" s="1"/>
  <c r="S1375" i="12" s="1"/>
  <c r="S1374" i="12" s="1"/>
  <c r="S1373" i="12" s="1"/>
  <c r="S1372" i="12" s="1"/>
  <c r="S1371" i="12" s="1"/>
  <c r="S1370" i="12" s="1"/>
  <c r="S1369" i="12" s="1"/>
  <c r="S1368" i="12" s="1"/>
  <c r="S1367" i="12" s="1"/>
  <c r="S1366" i="12" s="1"/>
  <c r="S1365" i="12" s="1"/>
  <c r="S1364" i="12" s="1"/>
  <c r="S1363" i="12" s="1"/>
  <c r="S1362" i="12" s="1"/>
  <c r="S1361" i="12" s="1"/>
  <c r="S1360" i="12" s="1"/>
  <c r="S1359" i="12" s="1"/>
  <c r="S1358" i="12" s="1"/>
  <c r="S1357" i="12" s="1"/>
  <c r="S1356" i="12" s="1"/>
  <c r="S1355" i="12" s="1"/>
  <c r="S1354" i="12" s="1"/>
  <c r="S1353" i="12" s="1"/>
  <c r="S1352" i="12" s="1"/>
  <c r="S1351" i="12" s="1"/>
  <c r="S1350" i="12" s="1"/>
  <c r="S1349" i="12" s="1"/>
  <c r="S1348" i="12" s="1"/>
  <c r="S1347" i="12" s="1"/>
  <c r="S1346" i="12" s="1"/>
  <c r="S1345" i="12" s="1"/>
  <c r="S1344" i="12" s="1"/>
  <c r="S1343" i="12" s="1"/>
  <c r="S1342" i="12" s="1"/>
  <c r="S1341" i="12" s="1"/>
  <c r="S1340" i="12" s="1"/>
  <c r="S1339" i="12" s="1"/>
  <c r="S1338" i="12" s="1"/>
  <c r="S1337" i="12" s="1"/>
  <c r="S1336" i="12" s="1"/>
  <c r="S1335" i="12" s="1"/>
  <c r="S1334" i="12" s="1"/>
  <c r="S1333" i="12" s="1"/>
  <c r="S1332" i="12" s="1"/>
  <c r="S1331" i="12" s="1"/>
  <c r="S1330" i="12" s="1"/>
  <c r="S1329" i="12" s="1"/>
  <c r="S1328" i="12" s="1"/>
  <c r="S1327" i="12" s="1"/>
  <c r="S1326" i="12" s="1"/>
  <c r="S1325" i="12" s="1"/>
  <c r="S1324" i="12" s="1"/>
  <c r="S2373" i="12"/>
  <c r="S2372" i="12" s="1"/>
  <c r="S2371" i="12" s="1"/>
  <c r="S2370" i="12" s="1"/>
  <c r="S2369" i="12" s="1"/>
  <c r="S2368" i="12" s="1"/>
  <c r="S2367" i="12" s="1"/>
  <c r="S2366" i="12" s="1"/>
  <c r="S2365" i="12" s="1"/>
  <c r="S2364" i="12" s="1"/>
  <c r="S2363" i="12" s="1"/>
  <c r="S2362" i="12" s="1"/>
  <c r="S2361" i="12" s="1"/>
  <c r="S2360" i="12" s="1"/>
  <c r="S2359" i="12" s="1"/>
  <c r="S2358" i="12" s="1"/>
  <c r="S2357" i="12" s="1"/>
  <c r="S2356" i="12" s="1"/>
  <c r="S2355" i="12" s="1"/>
  <c r="S2354" i="12" s="1"/>
  <c r="S2353" i="12" s="1"/>
  <c r="S2352" i="12" s="1"/>
  <c r="S2351" i="12" s="1"/>
  <c r="S2350" i="12" s="1"/>
  <c r="S2349" i="12" s="1"/>
  <c r="S2348" i="12" s="1"/>
  <c r="S2347" i="12" s="1"/>
  <c r="S2346" i="12" s="1"/>
  <c r="S2345" i="12" s="1"/>
  <c r="S2344" i="12" s="1"/>
  <c r="S2343" i="12" s="1"/>
  <c r="S2342" i="12" s="1"/>
  <c r="S2341" i="12" s="1"/>
  <c r="S2340" i="12" s="1"/>
  <c r="S2339" i="12" s="1"/>
  <c r="S2338" i="12" s="1"/>
  <c r="S2337" i="12" s="1"/>
  <c r="S2336" i="12" s="1"/>
  <c r="S2335" i="12" s="1"/>
  <c r="S2334" i="12" s="1"/>
  <c r="S2333" i="12" s="1"/>
  <c r="S2332" i="12" s="1"/>
  <c r="S2331" i="12" s="1"/>
  <c r="S2330" i="12" s="1"/>
  <c r="S2329" i="12" s="1"/>
  <c r="S2328" i="12" s="1"/>
  <c r="S2327" i="12" s="1"/>
  <c r="S2326" i="12" s="1"/>
  <c r="S2325" i="12" s="1"/>
  <c r="S2324" i="12" s="1"/>
  <c r="S2323" i="12" s="1"/>
  <c r="S2322" i="12" s="1"/>
  <c r="S2321" i="12" s="1"/>
  <c r="S2320" i="12" s="1"/>
  <c r="S2319" i="12" s="1"/>
  <c r="S2318" i="12" s="1"/>
  <c r="S2317" i="12" s="1"/>
  <c r="S2316" i="12" s="1"/>
  <c r="S2315" i="12" s="1"/>
  <c r="S2314" i="12" s="1"/>
  <c r="S2313" i="12" s="1"/>
  <c r="S2312" i="12" s="1"/>
  <c r="S2311" i="12" s="1"/>
  <c r="S2310" i="12" s="1"/>
  <c r="S2309" i="12" s="1"/>
  <c r="S2308" i="12" s="1"/>
  <c r="S2307" i="12" s="1"/>
  <c r="S2306" i="12" s="1"/>
  <c r="S2305" i="12" s="1"/>
  <c r="S2304" i="12" s="1"/>
  <c r="S2303" i="12" s="1"/>
  <c r="S2302" i="12" s="1"/>
  <c r="S2301" i="12" s="1"/>
  <c r="S2300" i="12" s="1"/>
  <c r="S2299" i="12" s="1"/>
  <c r="S2298" i="12" s="1"/>
  <c r="S2297" i="12" s="1"/>
  <c r="S2296" i="12" s="1"/>
  <c r="S2295" i="12" s="1"/>
  <c r="S2294" i="12" s="1"/>
  <c r="S2293" i="12" s="1"/>
  <c r="S2292" i="12" s="1"/>
  <c r="S2291" i="12" s="1"/>
  <c r="S2290" i="12" s="1"/>
  <c r="S2289" i="12" s="1"/>
  <c r="S2288" i="12" s="1"/>
  <c r="S2287" i="12" s="1"/>
  <c r="S2286" i="12" s="1"/>
  <c r="S2285" i="12" s="1"/>
  <c r="S2284" i="12" s="1"/>
  <c r="S2283" i="12" s="1"/>
  <c r="S2282" i="12" s="1"/>
  <c r="S2281" i="12" s="1"/>
  <c r="S2280" i="12" s="1"/>
  <c r="S2279" i="12" s="1"/>
  <c r="S2278" i="12" s="1"/>
  <c r="S2277" i="12" s="1"/>
  <c r="S2276" i="12" s="1"/>
  <c r="S2275" i="12" s="1"/>
  <c r="S2274" i="12" s="1"/>
  <c r="S2273" i="12" s="1"/>
  <c r="S2272" i="12" s="1"/>
  <c r="S2271" i="12" s="1"/>
  <c r="S2270" i="12" s="1"/>
  <c r="S2269" i="12" s="1"/>
  <c r="S2268" i="12" s="1"/>
  <c r="S2267" i="12" s="1"/>
  <c r="S2266" i="12" s="1"/>
  <c r="S2265" i="12" s="1"/>
  <c r="S2264" i="12" s="1"/>
  <c r="S2263" i="12" s="1"/>
  <c r="S2262" i="12" s="1"/>
  <c r="S2261" i="12" s="1"/>
  <c r="S2260" i="12" s="1"/>
  <c r="S2259" i="12" s="1"/>
  <c r="S2258" i="12" s="1"/>
  <c r="S2257" i="12" s="1"/>
  <c r="S2256" i="12" s="1"/>
  <c r="S2255" i="12" s="1"/>
  <c r="S2254" i="12" s="1"/>
  <c r="S2253" i="12" s="1"/>
  <c r="S2252" i="12" s="1"/>
  <c r="S2251" i="12" s="1"/>
  <c r="S2250" i="12" s="1"/>
  <c r="S2249" i="12" s="1"/>
  <c r="S2248" i="12" s="1"/>
  <c r="S2247" i="12" s="1"/>
  <c r="S2246" i="12" s="1"/>
  <c r="S2245" i="12" s="1"/>
  <c r="S2244" i="12" s="1"/>
  <c r="S2243" i="12" s="1"/>
  <c r="S2242" i="12" s="1"/>
  <c r="S2241" i="12" s="1"/>
  <c r="S2240" i="12" s="1"/>
  <c r="S2239" i="12" s="1"/>
  <c r="S2238" i="12" s="1"/>
  <c r="S2237" i="12" s="1"/>
  <c r="S2236" i="12" s="1"/>
  <c r="S2235" i="12" s="1"/>
  <c r="S2234" i="12" s="1"/>
  <c r="S2233" i="12" s="1"/>
  <c r="S2232" i="12" s="1"/>
  <c r="S2231" i="12" s="1"/>
  <c r="S2230" i="12" s="1"/>
  <c r="S2229" i="12" s="1"/>
  <c r="S2228" i="12" s="1"/>
  <c r="S2227" i="12" s="1"/>
  <c r="S2226" i="12" s="1"/>
  <c r="S2225" i="12" s="1"/>
  <c r="S2224" i="12" s="1"/>
  <c r="S2223" i="12" s="1"/>
  <c r="S2222" i="12" s="1"/>
  <c r="S2221" i="12" s="1"/>
  <c r="S2220" i="12" s="1"/>
  <c r="S2219" i="12" s="1"/>
  <c r="S2218" i="12" s="1"/>
  <c r="S2217" i="12" s="1"/>
  <c r="S2216" i="12" s="1"/>
  <c r="S2215" i="12" s="1"/>
  <c r="S2214" i="12" s="1"/>
  <c r="S2213" i="12" s="1"/>
  <c r="S2212" i="12" s="1"/>
  <c r="S2211" i="12" s="1"/>
  <c r="S2210" i="12" s="1"/>
  <c r="S2209" i="12" s="1"/>
  <c r="S2208" i="12" s="1"/>
  <c r="S2207" i="12" s="1"/>
  <c r="S2206" i="12" s="1"/>
  <c r="S2205" i="12" s="1"/>
  <c r="S2204" i="12" s="1"/>
  <c r="S2203" i="12" s="1"/>
  <c r="S2202" i="12" s="1"/>
  <c r="S2201" i="12" s="1"/>
  <c r="S2200" i="12" s="1"/>
  <c r="S2199" i="12" s="1"/>
  <c r="S2198" i="12" s="1"/>
  <c r="S2197" i="12" s="1"/>
  <c r="S2196" i="12" s="1"/>
  <c r="S2195" i="12" s="1"/>
  <c r="S2194" i="12" s="1"/>
  <c r="S2193" i="12" s="1"/>
  <c r="S2192" i="12" s="1"/>
  <c r="S2191" i="12" s="1"/>
  <c r="S2190" i="12" s="1"/>
  <c r="S2189" i="12" s="1"/>
  <c r="S2188" i="12" s="1"/>
  <c r="S2187" i="12" s="1"/>
  <c r="S2186" i="12" s="1"/>
  <c r="S2185" i="12" s="1"/>
  <c r="S2184" i="12" s="1"/>
  <c r="S2183" i="12" s="1"/>
  <c r="S2182" i="12" s="1"/>
  <c r="S2181" i="12" s="1"/>
  <c r="S2180" i="12" s="1"/>
  <c r="S2179" i="12" s="1"/>
  <c r="S2178" i="12" s="1"/>
  <c r="S2177" i="12" s="1"/>
  <c r="S2176" i="12" s="1"/>
  <c r="S2175" i="12" s="1"/>
  <c r="S2174" i="12" s="1"/>
  <c r="S2173" i="12" s="1"/>
  <c r="S2172" i="12" s="1"/>
  <c r="S2171" i="12" s="1"/>
  <c r="S2170" i="12" s="1"/>
  <c r="S2169" i="12" s="1"/>
  <c r="S2168" i="12" s="1"/>
  <c r="S2167" i="12" s="1"/>
  <c r="S2166" i="12" s="1"/>
  <c r="S2165" i="12" s="1"/>
  <c r="S2164" i="12" s="1"/>
  <c r="S2864" i="12"/>
  <c r="S2863" i="12" s="1"/>
  <c r="S2862" i="12" s="1"/>
  <c r="S2861" i="12" s="1"/>
  <c r="S2860" i="12" s="1"/>
  <c r="S2859" i="12" s="1"/>
  <c r="S2858" i="12" s="1"/>
  <c r="S2857" i="12" s="1"/>
  <c r="S2856" i="12" s="1"/>
  <c r="S2855" i="12" s="1"/>
  <c r="S2854" i="12" s="1"/>
  <c r="S2853" i="12" s="1"/>
  <c r="S2852" i="12" s="1"/>
  <c r="S2851" i="12" s="1"/>
  <c r="S2850" i="12" s="1"/>
  <c r="S2849" i="12" s="1"/>
  <c r="S2848" i="12" s="1"/>
  <c r="S2847" i="12" s="1"/>
  <c r="S2846" i="12" s="1"/>
  <c r="S2845" i="12" s="1"/>
  <c r="S2844" i="12" s="1"/>
  <c r="S2843" i="12" s="1"/>
  <c r="S2842" i="12" s="1"/>
  <c r="S2841" i="12" s="1"/>
  <c r="S2840" i="12" s="1"/>
  <c r="S2839" i="12" s="1"/>
  <c r="S2838" i="12" s="1"/>
  <c r="S2837" i="12" s="1"/>
  <c r="S2836" i="12" s="1"/>
  <c r="S2835" i="12" s="1"/>
  <c r="S2834" i="12" s="1"/>
  <c r="S2833" i="12" s="1"/>
  <c r="S2832" i="12" s="1"/>
  <c r="S2831" i="12" s="1"/>
  <c r="S2830" i="12" s="1"/>
  <c r="S2829" i="12" s="1"/>
  <c r="S2828" i="12" s="1"/>
  <c r="S2827" i="12" s="1"/>
  <c r="S2826" i="12" s="1"/>
  <c r="S2825" i="12" s="1"/>
  <c r="S2824" i="12" s="1"/>
  <c r="S2823" i="12" s="1"/>
  <c r="S2822" i="12" s="1"/>
  <c r="S2821" i="12" s="1"/>
  <c r="S2820" i="12" s="1"/>
  <c r="S2819" i="12" s="1"/>
  <c r="S2818" i="12" s="1"/>
  <c r="S2817" i="12" s="1"/>
  <c r="S2816" i="12" s="1"/>
  <c r="S2815" i="12" s="1"/>
  <c r="S2814" i="12" s="1"/>
  <c r="S2813" i="12" s="1"/>
  <c r="S2812" i="12" s="1"/>
  <c r="S2811" i="12" s="1"/>
  <c r="S2810" i="12" s="1"/>
  <c r="S2809" i="12" s="1"/>
  <c r="S2808" i="12" s="1"/>
  <c r="S2807" i="12" s="1"/>
  <c r="S2806" i="12" s="1"/>
  <c r="S2805" i="12" s="1"/>
  <c r="S2804" i="12" s="1"/>
  <c r="S2803" i="12" s="1"/>
  <c r="S2802" i="12" s="1"/>
  <c r="S2801" i="12" s="1"/>
  <c r="S2800" i="12" s="1"/>
  <c r="S2799" i="12" s="1"/>
  <c r="S2798" i="12" s="1"/>
  <c r="S2797" i="12" s="1"/>
  <c r="S2796" i="12" s="1"/>
  <c r="S2795" i="12" s="1"/>
  <c r="S2794" i="12" s="1"/>
  <c r="AD3312" i="12"/>
  <c r="AF3313" i="12"/>
  <c r="O3115" i="12"/>
  <c r="Q3114" i="12"/>
  <c r="AD2091" i="12"/>
  <c r="AD1041" i="12"/>
  <c r="AD2031" i="12"/>
  <c r="AD2692" i="12"/>
  <c r="AD792" i="12"/>
  <c r="AF793" i="12"/>
  <c r="AD2542" i="12"/>
  <c r="AD771" i="12"/>
  <c r="AB1951" i="12"/>
  <c r="AG1952" i="12"/>
  <c r="AD1571" i="12"/>
  <c r="AB2131" i="12"/>
  <c r="AG2132" i="12"/>
  <c r="AB2441" i="12"/>
  <c r="AD2061" i="12"/>
  <c r="AD2112" i="12"/>
  <c r="AD1702" i="12"/>
  <c r="AD831" i="12"/>
  <c r="AD1972" i="12"/>
  <c r="AD1071" i="12"/>
  <c r="AD2122" i="12"/>
  <c r="AD2161" i="12"/>
  <c r="AF2162" i="12"/>
  <c r="AD1911" i="12"/>
  <c r="AD1671" i="12"/>
  <c r="AD2451" i="12"/>
  <c r="AD2612" i="12"/>
  <c r="AD2051" i="12"/>
  <c r="AD1951" i="12"/>
  <c r="AF1952" i="12"/>
  <c r="AD1181" i="12"/>
  <c r="AD1772" i="12"/>
  <c r="AD1901" i="12"/>
  <c r="AD2732" i="12"/>
  <c r="AD2381" i="12"/>
  <c r="AD1741" i="12"/>
  <c r="AD1842" i="12"/>
  <c r="AD1821" i="12"/>
  <c r="AD1601" i="12"/>
  <c r="AD762" i="12"/>
  <c r="AD2411" i="12"/>
  <c r="AD1560" i="12"/>
  <c r="AD2441" i="12"/>
  <c r="AF2442" i="12"/>
  <c r="AD1612" i="12"/>
  <c r="AD1281" i="12"/>
  <c r="AD1421" i="12"/>
  <c r="AD1682" i="12"/>
  <c r="AD1712" i="12"/>
  <c r="AD724" i="12"/>
  <c r="AF725" i="12"/>
  <c r="AD1811" i="12"/>
  <c r="AD1880" i="12"/>
  <c r="AD1551" i="12"/>
  <c r="AD2181" i="12"/>
  <c r="AF2182" i="12"/>
  <c r="AD1691" i="12"/>
  <c r="AD1251" i="12"/>
  <c r="AD1631" i="12"/>
  <c r="AB792" i="12"/>
  <c r="AG793" i="12"/>
  <c r="AD1751" i="12"/>
  <c r="AD2171" i="12"/>
  <c r="AD2552" i="12"/>
  <c r="AD1191" i="12"/>
  <c r="AD1891" i="12"/>
  <c r="AD864" i="12"/>
  <c r="AD2191" i="12"/>
  <c r="AD2131" i="12"/>
  <c r="AF2132" i="12"/>
  <c r="AD2261" i="12"/>
  <c r="AD1490" i="12"/>
  <c r="AD2022" i="12"/>
  <c r="AD1321" i="12"/>
  <c r="AD2331" i="12"/>
  <c r="AD1391" i="12"/>
  <c r="AD974" i="12"/>
  <c r="AD1621" i="12"/>
  <c r="AD2511" i="12"/>
  <c r="AD2341" i="12"/>
  <c r="AD1962" i="12"/>
  <c r="AD2402" i="12"/>
  <c r="AB724" i="12"/>
  <c r="AG725" i="12"/>
  <c r="AG2162" i="12"/>
  <c r="AB2181" i="12"/>
  <c r="L15" i="11"/>
  <c r="O15" i="11" s="1"/>
  <c r="AB1552" i="12"/>
  <c r="AF1552" i="12" s="1"/>
  <c r="Q23" i="11"/>
  <c r="S23" i="11"/>
  <c r="BL15" i="9" s="1"/>
  <c r="O26" i="11"/>
  <c r="S26" i="11" s="1"/>
  <c r="BL18" i="9" s="1"/>
  <c r="S1253" i="12" s="1"/>
  <c r="S1252" i="12" s="1"/>
  <c r="S1251" i="12" s="1"/>
  <c r="S1250" i="12" s="1"/>
  <c r="S1249" i="12" s="1"/>
  <c r="S1248" i="12" s="1"/>
  <c r="S1247" i="12" s="1"/>
  <c r="S1246" i="12" s="1"/>
  <c r="S1245" i="12" s="1"/>
  <c r="S1244" i="12" s="1"/>
  <c r="S1243" i="12" s="1"/>
  <c r="S1242" i="12" s="1"/>
  <c r="S1241" i="12" s="1"/>
  <c r="S1240" i="12" s="1"/>
  <c r="S1239" i="12" s="1"/>
  <c r="S1238" i="12" s="1"/>
  <c r="S1237" i="12" s="1"/>
  <c r="S1236" i="12" s="1"/>
  <c r="S1235" i="12" s="1"/>
  <c r="S1234" i="12" s="1"/>
  <c r="S1233" i="12" s="1"/>
  <c r="S1232" i="12" s="1"/>
  <c r="S1231" i="12" s="1"/>
  <c r="S1230" i="12" s="1"/>
  <c r="S1229" i="12" s="1"/>
  <c r="S1228" i="12" s="1"/>
  <c r="S1227" i="12" s="1"/>
  <c r="S1226" i="12" s="1"/>
  <c r="S1225" i="12" s="1"/>
  <c r="S1224" i="12" s="1"/>
  <c r="S1223" i="12" s="1"/>
  <c r="S1222" i="12" s="1"/>
  <c r="S1221" i="12" s="1"/>
  <c r="S1220" i="12" s="1"/>
  <c r="S1219" i="12" s="1"/>
  <c r="S1218" i="12" s="1"/>
  <c r="S1217" i="12" s="1"/>
  <c r="S1216" i="12" s="1"/>
  <c r="S1215" i="12" s="1"/>
  <c r="S1214" i="12" s="1"/>
  <c r="S1213" i="12" s="1"/>
  <c r="S1212" i="12" s="1"/>
  <c r="S1211" i="12" s="1"/>
  <c r="S1210" i="12" s="1"/>
  <c r="S1209" i="12" s="1"/>
  <c r="S1208" i="12" s="1"/>
  <c r="S1207" i="12" s="1"/>
  <c r="S1206" i="12" s="1"/>
  <c r="S1205" i="12" s="1"/>
  <c r="S1204" i="12" s="1"/>
  <c r="S1203" i="12" s="1"/>
  <c r="S1202" i="12" s="1"/>
  <c r="S1201" i="12" s="1"/>
  <c r="S1200" i="12" s="1"/>
  <c r="S1199" i="12" s="1"/>
  <c r="S1198" i="12" s="1"/>
  <c r="S1197" i="12" s="1"/>
  <c r="S1196" i="12" s="1"/>
  <c r="S1195" i="12" s="1"/>
  <c r="S1194" i="12" s="1"/>
  <c r="S1193" i="12" s="1"/>
  <c r="S1192" i="12" s="1"/>
  <c r="S1191" i="12" s="1"/>
  <c r="S1190" i="12" s="1"/>
  <c r="S1189" i="12" s="1"/>
  <c r="S1188" i="12" s="1"/>
  <c r="S1187" i="12" s="1"/>
  <c r="S1186" i="12" s="1"/>
  <c r="S1185" i="12" s="1"/>
  <c r="S1184" i="12" s="1"/>
  <c r="S1183" i="12" s="1"/>
  <c r="S1182" i="12" s="1"/>
  <c r="S1181" i="12" s="1"/>
  <c r="S1180" i="12" s="1"/>
  <c r="S1179" i="12" s="1"/>
  <c r="S1178" i="12" s="1"/>
  <c r="S1177" i="12" s="1"/>
  <c r="S1176" i="12" s="1"/>
  <c r="S1175" i="12" s="1"/>
  <c r="S1174" i="12" s="1"/>
  <c r="S1173" i="12" s="1"/>
  <c r="S1172" i="12" s="1"/>
  <c r="S1171" i="12" s="1"/>
  <c r="S1170" i="12" s="1"/>
  <c r="S1169" i="12" s="1"/>
  <c r="S1168" i="12" s="1"/>
  <c r="S1167" i="12" s="1"/>
  <c r="S1166" i="12" s="1"/>
  <c r="S1165" i="12" s="1"/>
  <c r="S1164" i="12" s="1"/>
  <c r="S1163" i="12" s="1"/>
  <c r="S1162" i="12" s="1"/>
  <c r="S1161" i="12" s="1"/>
  <c r="S1160" i="12" s="1"/>
  <c r="S1159" i="12" s="1"/>
  <c r="S1158" i="12" s="1"/>
  <c r="S1157" i="12" s="1"/>
  <c r="S1156" i="12" s="1"/>
  <c r="S1155" i="12" s="1"/>
  <c r="S1154" i="12" s="1"/>
  <c r="S1153" i="12" s="1"/>
  <c r="S1152" i="12" s="1"/>
  <c r="S1151" i="12" s="1"/>
  <c r="S1150" i="12" s="1"/>
  <c r="S1149" i="12" s="1"/>
  <c r="S1148" i="12" s="1"/>
  <c r="S1147" i="12" s="1"/>
  <c r="S1146" i="12" s="1"/>
  <c r="S1145" i="12" s="1"/>
  <c r="S1144" i="12" s="1"/>
  <c r="S1143" i="12" s="1"/>
  <c r="S1142" i="12" s="1"/>
  <c r="S1141" i="12" s="1"/>
  <c r="S1140" i="12" s="1"/>
  <c r="S1139" i="12" s="1"/>
  <c r="S1138" i="12" s="1"/>
  <c r="S1137" i="12" s="1"/>
  <c r="S1136" i="12" s="1"/>
  <c r="S1135" i="12" s="1"/>
  <c r="S1134" i="12" s="1"/>
  <c r="S1133" i="12" s="1"/>
  <c r="S1132" i="12" s="1"/>
  <c r="S1131" i="12" s="1"/>
  <c r="S1130" i="12" s="1"/>
  <c r="S1129" i="12" s="1"/>
  <c r="S1128" i="12" s="1"/>
  <c r="S1127" i="12" s="1"/>
  <c r="S1126" i="12" s="1"/>
  <c r="S1125" i="12" s="1"/>
  <c r="S1124" i="12" s="1"/>
  <c r="S1123" i="12" s="1"/>
  <c r="S1122" i="12" s="1"/>
  <c r="S1121" i="12" s="1"/>
  <c r="S1120" i="12" s="1"/>
  <c r="S1119" i="12" s="1"/>
  <c r="S1118" i="12" s="1"/>
  <c r="S1117" i="12" s="1"/>
  <c r="S1116" i="12" s="1"/>
  <c r="S1115" i="12" s="1"/>
  <c r="S1114" i="12" s="1"/>
  <c r="S1113" i="12" s="1"/>
  <c r="S1112" i="12" s="1"/>
  <c r="S1111" i="12" s="1"/>
  <c r="S1110" i="12" s="1"/>
  <c r="S1109" i="12" s="1"/>
  <c r="S1108" i="12" s="1"/>
  <c r="S1107" i="12" s="1"/>
  <c r="S1106" i="12" s="1"/>
  <c r="S1105" i="12" s="1"/>
  <c r="S1104" i="12" s="1"/>
  <c r="S1103" i="12" s="1"/>
  <c r="S1102" i="12" s="1"/>
  <c r="S1101" i="12" s="1"/>
  <c r="S1100" i="12" s="1"/>
  <c r="S1099" i="12" s="1"/>
  <c r="S1098" i="12" s="1"/>
  <c r="S1097" i="12" s="1"/>
  <c r="S1096" i="12" s="1"/>
  <c r="S1095" i="12" s="1"/>
  <c r="S1094" i="12" s="1"/>
  <c r="S1093" i="12" s="1"/>
  <c r="S1092" i="12" s="1"/>
  <c r="S1091" i="12" s="1"/>
  <c r="S1090" i="12" s="1"/>
  <c r="S1089" i="12" s="1"/>
  <c r="S1088" i="12" s="1"/>
  <c r="S1087" i="12" s="1"/>
  <c r="S1086" i="12" s="1"/>
  <c r="S1085" i="12" s="1"/>
  <c r="S1084" i="12" s="1"/>
  <c r="S1083" i="12" s="1"/>
  <c r="S1082" i="12" s="1"/>
  <c r="S1081" i="12" s="1"/>
  <c r="S1080" i="12" s="1"/>
  <c r="S1079" i="12" s="1"/>
  <c r="S1078" i="12" s="1"/>
  <c r="S1077" i="12" s="1"/>
  <c r="S1076" i="12" s="1"/>
  <c r="S1075" i="12" s="1"/>
  <c r="S1074" i="12" s="1"/>
  <c r="S1073" i="12" s="1"/>
  <c r="S1072" i="12" s="1"/>
  <c r="S1071" i="12" s="1"/>
  <c r="S1070" i="12" s="1"/>
  <c r="S1069" i="12" s="1"/>
  <c r="S1068" i="12" s="1"/>
  <c r="S1067" i="12" s="1"/>
  <c r="S1066" i="12" s="1"/>
  <c r="S1065" i="12" s="1"/>
  <c r="S1064" i="12" s="1"/>
  <c r="S1063" i="12" s="1"/>
  <c r="S1062" i="12" s="1"/>
  <c r="S1061" i="12" s="1"/>
  <c r="S1060" i="12" s="1"/>
  <c r="S1059" i="12" s="1"/>
  <c r="S1058" i="12" s="1"/>
  <c r="S1057" i="12" s="1"/>
  <c r="S1056" i="12" s="1"/>
  <c r="S1055" i="12" s="1"/>
  <c r="S1054" i="12" s="1"/>
  <c r="S1053" i="12" s="1"/>
  <c r="S1052" i="12" s="1"/>
  <c r="S1051" i="12" s="1"/>
  <c r="S1050" i="12" s="1"/>
  <c r="S1049" i="12" s="1"/>
  <c r="S1048" i="12" s="1"/>
  <c r="S1047" i="12" s="1"/>
  <c r="S1046" i="12" s="1"/>
  <c r="S1045" i="12" s="1"/>
  <c r="S1044" i="12" s="1"/>
  <c r="Q24" i="11"/>
  <c r="S24" i="11"/>
  <c r="BL16" i="9" s="1"/>
  <c r="S1043" i="12" s="1"/>
  <c r="S1042" i="12" s="1"/>
  <c r="S1041" i="12" s="1"/>
  <c r="S1040" i="12" s="1"/>
  <c r="S1039" i="12" s="1"/>
  <c r="S1038" i="12" s="1"/>
  <c r="S1037" i="12" s="1"/>
  <c r="S1036" i="12" s="1"/>
  <c r="S1035" i="12" s="1"/>
  <c r="S1034" i="12" s="1"/>
  <c r="S1033" i="12" s="1"/>
  <c r="S1032" i="12" s="1"/>
  <c r="S1031" i="12" s="1"/>
  <c r="S1030" i="12" s="1"/>
  <c r="S1029" i="12" s="1"/>
  <c r="S1028" i="12" s="1"/>
  <c r="S1027" i="12" s="1"/>
  <c r="S1026" i="12" s="1"/>
  <c r="S1025" i="12" s="1"/>
  <c r="S1024" i="12" s="1"/>
  <c r="S1023" i="12" s="1"/>
  <c r="S1022" i="12" s="1"/>
  <c r="S1021" i="12" s="1"/>
  <c r="S1020" i="12" s="1"/>
  <c r="S1019" i="12" s="1"/>
  <c r="S1018" i="12" s="1"/>
  <c r="S1017" i="12" s="1"/>
  <c r="S1016" i="12" s="1"/>
  <c r="S1015" i="12" s="1"/>
  <c r="S1014" i="12" s="1"/>
  <c r="S1013" i="12" s="1"/>
  <c r="S1012" i="12" s="1"/>
  <c r="S1011" i="12" s="1"/>
  <c r="S1010" i="12" s="1"/>
  <c r="S1009" i="12" s="1"/>
  <c r="S1008" i="12" s="1"/>
  <c r="S1007" i="12" s="1"/>
  <c r="S1006" i="12" s="1"/>
  <c r="S1005" i="12" s="1"/>
  <c r="S1004" i="12" s="1"/>
  <c r="S1003" i="12" s="1"/>
  <c r="S1002" i="12" s="1"/>
  <c r="S1001" i="12" s="1"/>
  <c r="S1000" i="12" s="1"/>
  <c r="S999" i="12" s="1"/>
  <c r="S998" i="12" s="1"/>
  <c r="S997" i="12" s="1"/>
  <c r="S996" i="12" s="1"/>
  <c r="S995" i="12" s="1"/>
  <c r="S994" i="12" s="1"/>
  <c r="S993" i="12" s="1"/>
  <c r="S992" i="12" s="1"/>
  <c r="S991" i="12" s="1"/>
  <c r="S990" i="12" s="1"/>
  <c r="S989" i="12" s="1"/>
  <c r="S988" i="12" s="1"/>
  <c r="S987" i="12" s="1"/>
  <c r="S986" i="12" s="1"/>
  <c r="S985" i="12" s="1"/>
  <c r="S984" i="12" s="1"/>
  <c r="S983" i="12" s="1"/>
  <c r="S982" i="12" s="1"/>
  <c r="S981" i="12" s="1"/>
  <c r="S980" i="12" s="1"/>
  <c r="S979" i="12" s="1"/>
  <c r="S978" i="12" s="1"/>
  <c r="S977" i="12" s="1"/>
  <c r="S976" i="12" s="1"/>
  <c r="S975" i="12" s="1"/>
  <c r="S974" i="12" s="1"/>
  <c r="S973" i="12" s="1"/>
  <c r="S972" i="12" s="1"/>
  <c r="S971" i="12" s="1"/>
  <c r="S970" i="12" s="1"/>
  <c r="S969" i="12" s="1"/>
  <c r="S968" i="12" s="1"/>
  <c r="S967" i="12" s="1"/>
  <c r="S966" i="12" s="1"/>
  <c r="S965" i="12" s="1"/>
  <c r="S964" i="12" s="1"/>
  <c r="S963" i="12" s="1"/>
  <c r="S962" i="12" s="1"/>
  <c r="S961" i="12" s="1"/>
  <c r="S960" i="12" s="1"/>
  <c r="S959" i="12" s="1"/>
  <c r="S958" i="12" s="1"/>
  <c r="S957" i="12" s="1"/>
  <c r="S956" i="12" s="1"/>
  <c r="S955" i="12" s="1"/>
  <c r="S954" i="12" s="1"/>
  <c r="S953" i="12" s="1"/>
  <c r="S952" i="12" s="1"/>
  <c r="S951" i="12" s="1"/>
  <c r="S950" i="12" s="1"/>
  <c r="S949" i="12" s="1"/>
  <c r="S948" i="12" s="1"/>
  <c r="S947" i="12" s="1"/>
  <c r="S946" i="12" s="1"/>
  <c r="S945" i="12" s="1"/>
  <c r="S944" i="12" s="1"/>
  <c r="S943" i="12" s="1"/>
  <c r="S942" i="12" s="1"/>
  <c r="S941" i="12" s="1"/>
  <c r="S940" i="12" s="1"/>
  <c r="S939" i="12" s="1"/>
  <c r="S938" i="12" s="1"/>
  <c r="S937" i="12" s="1"/>
  <c r="S936" i="12" s="1"/>
  <c r="S935" i="12" s="1"/>
  <c r="S934" i="12" s="1"/>
  <c r="S933" i="12" s="1"/>
  <c r="S932" i="12" s="1"/>
  <c r="S931" i="12" s="1"/>
  <c r="S930" i="12" s="1"/>
  <c r="S929" i="12" s="1"/>
  <c r="S928" i="12" s="1"/>
  <c r="S927" i="12" s="1"/>
  <c r="S926" i="12" s="1"/>
  <c r="S925" i="12" s="1"/>
  <c r="S924" i="12" s="1"/>
  <c r="S923" i="12" s="1"/>
  <c r="S922" i="12" s="1"/>
  <c r="S921" i="12" s="1"/>
  <c r="S920" i="12" s="1"/>
  <c r="S919" i="12" s="1"/>
  <c r="S918" i="12" s="1"/>
  <c r="S917" i="12" s="1"/>
  <c r="S916" i="12" s="1"/>
  <c r="S915" i="12" s="1"/>
  <c r="S914" i="12" s="1"/>
  <c r="S913" i="12" s="1"/>
  <c r="S912" i="12" s="1"/>
  <c r="S911" i="12" s="1"/>
  <c r="S910" i="12" s="1"/>
  <c r="S909" i="12" s="1"/>
  <c r="S908" i="12" s="1"/>
  <c r="S907" i="12" s="1"/>
  <c r="S906" i="12" s="1"/>
  <c r="S905" i="12" s="1"/>
  <c r="S904" i="12" s="1"/>
  <c r="Q21" i="11"/>
  <c r="S21" i="11"/>
  <c r="BL13" i="9" s="1"/>
  <c r="S833" i="12" s="1"/>
  <c r="S832" i="12" s="1"/>
  <c r="S831" i="12" s="1"/>
  <c r="S830" i="12" s="1"/>
  <c r="S829" i="12" s="1"/>
  <c r="S828" i="12" s="1"/>
  <c r="S827" i="12" s="1"/>
  <c r="S826" i="12" s="1"/>
  <c r="S825" i="12" s="1"/>
  <c r="S824" i="12" s="1"/>
  <c r="S823" i="12" s="1"/>
  <c r="S822" i="12" s="1"/>
  <c r="S821" i="12" s="1"/>
  <c r="S820" i="12" s="1"/>
  <c r="S819" i="12" s="1"/>
  <c r="S818" i="12" s="1"/>
  <c r="S817" i="12" s="1"/>
  <c r="S816" i="12" s="1"/>
  <c r="S815" i="12" s="1"/>
  <c r="S814" i="12" s="1"/>
  <c r="S813" i="12" s="1"/>
  <c r="S812" i="12" s="1"/>
  <c r="S811" i="12" s="1"/>
  <c r="S810" i="12" s="1"/>
  <c r="S809" i="12" s="1"/>
  <c r="S808" i="12" s="1"/>
  <c r="S807" i="12" s="1"/>
  <c r="S806" i="12" s="1"/>
  <c r="S805" i="12" s="1"/>
  <c r="S804" i="12" s="1"/>
  <c r="S803" i="12" s="1"/>
  <c r="S802" i="12" s="1"/>
  <c r="S801" i="12" s="1"/>
  <c r="S800" i="12" s="1"/>
  <c r="S799" i="12" s="1"/>
  <c r="S798" i="12" s="1"/>
  <c r="S797" i="12" s="1"/>
  <c r="S796" i="12" s="1"/>
  <c r="S795" i="12" s="1"/>
  <c r="S794" i="12" s="1"/>
  <c r="S793" i="12" s="1"/>
  <c r="S792" i="12" s="1"/>
  <c r="S791" i="12" s="1"/>
  <c r="S790" i="12" s="1"/>
  <c r="S789" i="12" s="1"/>
  <c r="S788" i="12" s="1"/>
  <c r="S787" i="12" s="1"/>
  <c r="S786" i="12" s="1"/>
  <c r="S785" i="12" s="1"/>
  <c r="S784" i="12" s="1"/>
  <c r="S783" i="12" s="1"/>
  <c r="S782" i="12" s="1"/>
  <c r="S781" i="12" s="1"/>
  <c r="S780" i="12" s="1"/>
  <c r="S779" i="12" s="1"/>
  <c r="S778" i="12" s="1"/>
  <c r="S777" i="12" s="1"/>
  <c r="S776" i="12" s="1"/>
  <c r="S775" i="12" s="1"/>
  <c r="S774" i="12" s="1"/>
  <c r="S773" i="12" s="1"/>
  <c r="S772" i="12" s="1"/>
  <c r="S771" i="12" s="1"/>
  <c r="S770" i="12" s="1"/>
  <c r="S769" i="12" s="1"/>
  <c r="S768" i="12" s="1"/>
  <c r="S767" i="12" s="1"/>
  <c r="S766" i="12" s="1"/>
  <c r="S765" i="12" s="1"/>
  <c r="S764" i="12" s="1"/>
  <c r="S763" i="12" s="1"/>
  <c r="Q22" i="11"/>
  <c r="S22" i="11"/>
  <c r="BL14" i="9" s="1"/>
  <c r="S903" i="12" s="1"/>
  <c r="S902" i="12" s="1"/>
  <c r="S901" i="12" s="1"/>
  <c r="S900" i="12" s="1"/>
  <c r="S899" i="12" s="1"/>
  <c r="S898" i="12" s="1"/>
  <c r="S897" i="12" s="1"/>
  <c r="S896" i="12" s="1"/>
  <c r="S895" i="12" s="1"/>
  <c r="S894" i="12" s="1"/>
  <c r="S893" i="12" s="1"/>
  <c r="S892" i="12" s="1"/>
  <c r="S891" i="12" s="1"/>
  <c r="S890" i="12" s="1"/>
  <c r="S889" i="12" s="1"/>
  <c r="S888" i="12" s="1"/>
  <c r="S887" i="12" s="1"/>
  <c r="S886" i="12" s="1"/>
  <c r="S885" i="12" s="1"/>
  <c r="S884" i="12" s="1"/>
  <c r="S883" i="12" s="1"/>
  <c r="S882" i="12" s="1"/>
  <c r="S881" i="12" s="1"/>
  <c r="S880" i="12" s="1"/>
  <c r="S879" i="12" s="1"/>
  <c r="S878" i="12" s="1"/>
  <c r="S877" i="12" s="1"/>
  <c r="S876" i="12" s="1"/>
  <c r="S875" i="12" s="1"/>
  <c r="S874" i="12" s="1"/>
  <c r="S873" i="12" s="1"/>
  <c r="S872" i="12" s="1"/>
  <c r="S871" i="12" s="1"/>
  <c r="S870" i="12" s="1"/>
  <c r="S869" i="12" s="1"/>
  <c r="S868" i="12" s="1"/>
  <c r="S867" i="12" s="1"/>
  <c r="S866" i="12" s="1"/>
  <c r="S865" i="12" s="1"/>
  <c r="S864" i="12" s="1"/>
  <c r="S863" i="12" s="1"/>
  <c r="S862" i="12" s="1"/>
  <c r="S861" i="12" s="1"/>
  <c r="S860" i="12" s="1"/>
  <c r="S859" i="12" s="1"/>
  <c r="S858" i="12" s="1"/>
  <c r="S857" i="12" s="1"/>
  <c r="S856" i="12" s="1"/>
  <c r="S855" i="12" s="1"/>
  <c r="S854" i="12" s="1"/>
  <c r="S853" i="12" s="1"/>
  <c r="S852" i="12" s="1"/>
  <c r="S851" i="12" s="1"/>
  <c r="S850" i="12" s="1"/>
  <c r="S849" i="12" s="1"/>
  <c r="S848" i="12" s="1"/>
  <c r="S847" i="12" s="1"/>
  <c r="S846" i="12" s="1"/>
  <c r="S845" i="12" s="1"/>
  <c r="S844" i="12" s="1"/>
  <c r="S843" i="12" s="1"/>
  <c r="S842" i="12" s="1"/>
  <c r="S841" i="12" s="1"/>
  <c r="S840" i="12" s="1"/>
  <c r="S839" i="12" s="1"/>
  <c r="S838" i="12" s="1"/>
  <c r="S837" i="12" s="1"/>
  <c r="S836" i="12" s="1"/>
  <c r="S835" i="12" s="1"/>
  <c r="S834" i="12" s="1"/>
  <c r="M23" i="11"/>
  <c r="P23" i="11" s="1"/>
  <c r="BI15" i="9" s="1"/>
  <c r="O19" i="11"/>
  <c r="S19" i="11" s="1"/>
  <c r="BL11" i="9" s="1"/>
  <c r="Q20" i="11"/>
  <c r="S20" i="11"/>
  <c r="BL12" i="9" s="1"/>
  <c r="S762" i="12" s="1"/>
  <c r="S761" i="12" s="1"/>
  <c r="S760" i="12" s="1"/>
  <c r="S759" i="12" s="1"/>
  <c r="S758" i="12" s="1"/>
  <c r="S757" i="12" s="1"/>
  <c r="S756" i="12" s="1"/>
  <c r="S755" i="12" s="1"/>
  <c r="S754" i="12" s="1"/>
  <c r="S753" i="12" s="1"/>
  <c r="S752" i="12" s="1"/>
  <c r="S751" i="12" s="1"/>
  <c r="S750" i="12" s="1"/>
  <c r="S749" i="12" s="1"/>
  <c r="S748" i="12" s="1"/>
  <c r="S747" i="12" s="1"/>
  <c r="S746" i="12" s="1"/>
  <c r="S745" i="12" s="1"/>
  <c r="S744" i="12" s="1"/>
  <c r="S743" i="12" s="1"/>
  <c r="S742" i="12" s="1"/>
  <c r="S741" i="12" s="1"/>
  <c r="S740" i="12" s="1"/>
  <c r="S739" i="12" s="1"/>
  <c r="S738" i="12" s="1"/>
  <c r="S737" i="12" s="1"/>
  <c r="S736" i="12" s="1"/>
  <c r="S735" i="12" s="1"/>
  <c r="S734" i="12" s="1"/>
  <c r="S733" i="12" s="1"/>
  <c r="S732" i="12" s="1"/>
  <c r="S731" i="12" s="1"/>
  <c r="S730" i="12" s="1"/>
  <c r="S729" i="12" s="1"/>
  <c r="S728" i="12" s="1"/>
  <c r="S727" i="12" s="1"/>
  <c r="S726" i="12" s="1"/>
  <c r="S725" i="12" s="1"/>
  <c r="S724" i="12" s="1"/>
  <c r="S723" i="12" s="1"/>
  <c r="S722" i="12" s="1"/>
  <c r="S721" i="12" s="1"/>
  <c r="S720" i="12" s="1"/>
  <c r="S719" i="12" s="1"/>
  <c r="S718" i="12" s="1"/>
  <c r="S717" i="12" s="1"/>
  <c r="S716" i="12" s="1"/>
  <c r="S715" i="12" s="1"/>
  <c r="S714" i="12" s="1"/>
  <c r="S713" i="12" s="1"/>
  <c r="S712" i="12" s="1"/>
  <c r="S711" i="12" s="1"/>
  <c r="S710" i="12" s="1"/>
  <c r="S709" i="12" s="1"/>
  <c r="S708" i="12" s="1"/>
  <c r="S707" i="12" s="1"/>
  <c r="S706" i="12" s="1"/>
  <c r="S705" i="12" s="1"/>
  <c r="S704" i="12" s="1"/>
  <c r="S703" i="12" s="1"/>
  <c r="S702" i="12" s="1"/>
  <c r="S701" i="12" s="1"/>
  <c r="S700" i="12" s="1"/>
  <c r="S699" i="12" s="1"/>
  <c r="S698" i="12" s="1"/>
  <c r="S697" i="12" s="1"/>
  <c r="S696" i="12" s="1"/>
  <c r="S695" i="12" s="1"/>
  <c r="S694" i="12" s="1"/>
  <c r="S693" i="12" s="1"/>
  <c r="S692" i="12" s="1"/>
  <c r="S691" i="12" s="1"/>
  <c r="S690" i="12" s="1"/>
  <c r="S689" i="12" s="1"/>
  <c r="S688" i="12" s="1"/>
  <c r="S687" i="12" s="1"/>
  <c r="S686" i="12" s="1"/>
  <c r="S685" i="12" s="1"/>
  <c r="S684" i="12" s="1"/>
  <c r="S683" i="12" s="1"/>
  <c r="S682" i="12" s="1"/>
  <c r="S681" i="12" s="1"/>
  <c r="S680" i="12" s="1"/>
  <c r="S679" i="12" s="1"/>
  <c r="S678" i="12" s="1"/>
  <c r="S677" i="12" s="1"/>
  <c r="S676" i="12" s="1"/>
  <c r="S675" i="12" s="1"/>
  <c r="S674" i="12" s="1"/>
  <c r="S673" i="12" s="1"/>
  <c r="S672" i="12" s="1"/>
  <c r="S671" i="12" s="1"/>
  <c r="S670" i="12" s="1"/>
  <c r="S669" i="12" s="1"/>
  <c r="S668" i="12" s="1"/>
  <c r="S667" i="12" s="1"/>
  <c r="S666" i="12" s="1"/>
  <c r="S665" i="12" s="1"/>
  <c r="S664" i="12" s="1"/>
  <c r="S663" i="12" s="1"/>
  <c r="S662" i="12" s="1"/>
  <c r="S661" i="12" s="1"/>
  <c r="S660" i="12" s="1"/>
  <c r="S659" i="12" s="1"/>
  <c r="S658" i="12" s="1"/>
  <c r="S657" i="12" s="1"/>
  <c r="S656" i="12" s="1"/>
  <c r="S655" i="12" s="1"/>
  <c r="S654" i="12" s="1"/>
  <c r="S653" i="12" s="1"/>
  <c r="S652" i="12" s="1"/>
  <c r="S651" i="12" s="1"/>
  <c r="S650" i="12" s="1"/>
  <c r="S649" i="12" s="1"/>
  <c r="S648" i="12" s="1"/>
  <c r="S647" i="12" s="1"/>
  <c r="S646" i="12" s="1"/>
  <c r="S645" i="12" s="1"/>
  <c r="S644" i="12" s="1"/>
  <c r="S643" i="12" s="1"/>
  <c r="S642" i="12" s="1"/>
  <c r="S641" i="12" s="1"/>
  <c r="S640" i="12" s="1"/>
  <c r="S639" i="12" s="1"/>
  <c r="S638" i="12" s="1"/>
  <c r="S637" i="12" s="1"/>
  <c r="S636" i="12" s="1"/>
  <c r="S635" i="12" s="1"/>
  <c r="S634" i="12" s="1"/>
  <c r="S633" i="12" s="1"/>
  <c r="S632" i="12" s="1"/>
  <c r="S631" i="12" s="1"/>
  <c r="S630" i="12" s="1"/>
  <c r="S629" i="12" s="1"/>
  <c r="S628" i="12" s="1"/>
  <c r="S627" i="12" s="1"/>
  <c r="S626" i="12" s="1"/>
  <c r="S625" i="12" s="1"/>
  <c r="S624" i="12" s="1"/>
  <c r="S623" i="12" s="1"/>
  <c r="S622" i="12" s="1"/>
  <c r="S621" i="12" s="1"/>
  <c r="S620" i="12" s="1"/>
  <c r="S619" i="12" s="1"/>
  <c r="S618" i="12" s="1"/>
  <c r="S617" i="12" s="1"/>
  <c r="S616" i="12" s="1"/>
  <c r="S615" i="12" s="1"/>
  <c r="S614" i="12" s="1"/>
  <c r="S613" i="12" s="1"/>
  <c r="S612" i="12" s="1"/>
  <c r="S611" i="12" s="1"/>
  <c r="S610" i="12" s="1"/>
  <c r="S609" i="12" s="1"/>
  <c r="S608" i="12" s="1"/>
  <c r="S607" i="12" s="1"/>
  <c r="S606" i="12" s="1"/>
  <c r="S605" i="12" s="1"/>
  <c r="S604" i="12" s="1"/>
  <c r="S603" i="12" s="1"/>
  <c r="S602" i="12" s="1"/>
  <c r="S601" i="12" s="1"/>
  <c r="S600" i="12" s="1"/>
  <c r="S599" i="12" s="1"/>
  <c r="S598" i="12" s="1"/>
  <c r="S597" i="12" s="1"/>
  <c r="S596" i="12" s="1"/>
  <c r="S595" i="12" s="1"/>
  <c r="S594" i="12" s="1"/>
  <c r="S593" i="12" s="1"/>
  <c r="S592" i="12" s="1"/>
  <c r="S591" i="12" s="1"/>
  <c r="S590" i="12" s="1"/>
  <c r="S589" i="12" s="1"/>
  <c r="S588" i="12" s="1"/>
  <c r="S587" i="12" s="1"/>
  <c r="S586" i="12" s="1"/>
  <c r="S585" i="12" s="1"/>
  <c r="S584" i="12" s="1"/>
  <c r="S583" i="12" s="1"/>
  <c r="S582" i="12" s="1"/>
  <c r="S581" i="12" s="1"/>
  <c r="S580" i="12" s="1"/>
  <c r="S579" i="12" s="1"/>
  <c r="S578" i="12" s="1"/>
  <c r="S577" i="12" s="1"/>
  <c r="S576" i="12" s="1"/>
  <c r="S575" i="12" s="1"/>
  <c r="S574" i="12" s="1"/>
  <c r="S573" i="12" s="1"/>
  <c r="S572" i="12" s="1"/>
  <c r="S571" i="12" s="1"/>
  <c r="S570" i="12" s="1"/>
  <c r="S569" i="12" s="1"/>
  <c r="S568" i="12" s="1"/>
  <c r="S567" i="12" s="1"/>
  <c r="S566" i="12" s="1"/>
  <c r="S565" i="12" s="1"/>
  <c r="S564" i="12" s="1"/>
  <c r="S563" i="12" s="1"/>
  <c r="S562" i="12" s="1"/>
  <c r="S561" i="12" s="1"/>
  <c r="S560" i="12" s="1"/>
  <c r="S559" i="12" s="1"/>
  <c r="S558" i="12" s="1"/>
  <c r="S557" i="12" s="1"/>
  <c r="S556" i="12" s="1"/>
  <c r="S555" i="12" s="1"/>
  <c r="S554" i="12" s="1"/>
  <c r="S553" i="12" s="1"/>
  <c r="S552" i="12" s="1"/>
  <c r="S551" i="12" s="1"/>
  <c r="S550" i="12" s="1"/>
  <c r="S549" i="12" s="1"/>
  <c r="S548" i="12" s="1"/>
  <c r="S547" i="12" s="1"/>
  <c r="S546" i="12" s="1"/>
  <c r="S545" i="12" s="1"/>
  <c r="S544" i="12" s="1"/>
  <c r="S543" i="12" s="1"/>
  <c r="S542" i="12" s="1"/>
  <c r="S541" i="12" s="1"/>
  <c r="S540" i="12" s="1"/>
  <c r="S539" i="12" s="1"/>
  <c r="S538" i="12" s="1"/>
  <c r="S537" i="12" s="1"/>
  <c r="S536" i="12" s="1"/>
  <c r="S535" i="12" s="1"/>
  <c r="S534" i="12" s="1"/>
  <c r="S533" i="12" s="1"/>
  <c r="S532" i="12" s="1"/>
  <c r="S531" i="12" s="1"/>
  <c r="S530" i="12" s="1"/>
  <c r="S529" i="12" s="1"/>
  <c r="S528" i="12" s="1"/>
  <c r="S527" i="12" s="1"/>
  <c r="S526" i="12" s="1"/>
  <c r="S525" i="12" s="1"/>
  <c r="S524" i="12" s="1"/>
  <c r="S523" i="12" s="1"/>
  <c r="S522" i="12" s="1"/>
  <c r="S521" i="12" s="1"/>
  <c r="S520" i="12" s="1"/>
  <c r="S519" i="12" s="1"/>
  <c r="S518" i="12" s="1"/>
  <c r="S517" i="12" s="1"/>
  <c r="S516" i="12" s="1"/>
  <c r="S515" i="12" s="1"/>
  <c r="S514" i="12" s="1"/>
  <c r="S513" i="12" s="1"/>
  <c r="S512" i="12" s="1"/>
  <c r="S511" i="12" s="1"/>
  <c r="S510" i="12" s="1"/>
  <c r="S509" i="12" s="1"/>
  <c r="S508" i="12" s="1"/>
  <c r="S507" i="12" s="1"/>
  <c r="S506" i="12" s="1"/>
  <c r="S505" i="12" s="1"/>
  <c r="S504" i="12" s="1"/>
  <c r="S503" i="12" s="1"/>
  <c r="S502" i="12" s="1"/>
  <c r="S501" i="12" s="1"/>
  <c r="S500" i="12" s="1"/>
  <c r="S499" i="12" s="1"/>
  <c r="S498" i="12" s="1"/>
  <c r="S497" i="12" s="1"/>
  <c r="S496" i="12" s="1"/>
  <c r="S495" i="12" s="1"/>
  <c r="S494" i="12" s="1"/>
  <c r="S493" i="12" s="1"/>
  <c r="S492" i="12" s="1"/>
  <c r="S491" i="12" s="1"/>
  <c r="S490" i="12" s="1"/>
  <c r="S489" i="12" s="1"/>
  <c r="S488" i="12" s="1"/>
  <c r="S487" i="12" s="1"/>
  <c r="S486" i="12" s="1"/>
  <c r="S485" i="12" s="1"/>
  <c r="S484" i="12" s="1"/>
  <c r="S483" i="12" s="1"/>
  <c r="S482" i="12" s="1"/>
  <c r="S481" i="12" s="1"/>
  <c r="S480" i="12" s="1"/>
  <c r="S479" i="12" s="1"/>
  <c r="S478" i="12" s="1"/>
  <c r="S477" i="12" s="1"/>
  <c r="S476" i="12" s="1"/>
  <c r="S475" i="12" s="1"/>
  <c r="S474" i="12" s="1"/>
  <c r="S473" i="12" s="1"/>
  <c r="S472" i="12" s="1"/>
  <c r="S471" i="12" s="1"/>
  <c r="S470" i="12" s="1"/>
  <c r="S469" i="12" s="1"/>
  <c r="S468" i="12" s="1"/>
  <c r="S467" i="12" s="1"/>
  <c r="S466" i="12" s="1"/>
  <c r="S465" i="12" s="1"/>
  <c r="S464" i="12" s="1"/>
  <c r="S463" i="12" s="1"/>
  <c r="S462" i="12" s="1"/>
  <c r="S461" i="12" s="1"/>
  <c r="S460" i="12" s="1"/>
  <c r="S459" i="12" s="1"/>
  <c r="S458" i="12" s="1"/>
  <c r="S457" i="12" s="1"/>
  <c r="S456" i="12" s="1"/>
  <c r="S455" i="12" s="1"/>
  <c r="S454" i="12" s="1"/>
  <c r="S453" i="12" s="1"/>
  <c r="S452" i="12" s="1"/>
  <c r="S451" i="12" s="1"/>
  <c r="S450" i="12" s="1"/>
  <c r="S449" i="12" s="1"/>
  <c r="S448" i="12" s="1"/>
  <c r="S447" i="12" s="1"/>
  <c r="S446" i="12" s="1"/>
  <c r="S445" i="12" s="1"/>
  <c r="S444" i="12" s="1"/>
  <c r="S443" i="12" s="1"/>
  <c r="S442" i="12" s="1"/>
  <c r="S441" i="12" s="1"/>
  <c r="S440" i="12" s="1"/>
  <c r="S439" i="12" s="1"/>
  <c r="S438" i="12" s="1"/>
  <c r="S437" i="12" s="1"/>
  <c r="S436" i="12" s="1"/>
  <c r="S435" i="12" s="1"/>
  <c r="S434" i="12" s="1"/>
  <c r="S433" i="12" s="1"/>
  <c r="S432" i="12" s="1"/>
  <c r="S431" i="12" s="1"/>
  <c r="S430" i="12" s="1"/>
  <c r="S429" i="12" s="1"/>
  <c r="S428" i="12" s="1"/>
  <c r="S427" i="12" s="1"/>
  <c r="S426" i="12" s="1"/>
  <c r="S425" i="12" s="1"/>
  <c r="S424" i="12" s="1"/>
  <c r="S423" i="12" s="1"/>
  <c r="S422" i="12" s="1"/>
  <c r="S421" i="12" s="1"/>
  <c r="S420" i="12" s="1"/>
  <c r="S419" i="12" s="1"/>
  <c r="S418" i="12" s="1"/>
  <c r="S417" i="12" s="1"/>
  <c r="S416" i="12" s="1"/>
  <c r="S415" i="12" s="1"/>
  <c r="S414" i="12" s="1"/>
  <c r="S413" i="12" s="1"/>
  <c r="S412" i="12" s="1"/>
  <c r="S411" i="12" s="1"/>
  <c r="S410" i="12" s="1"/>
  <c r="S409" i="12" s="1"/>
  <c r="S408" i="12" s="1"/>
  <c r="S407" i="12" s="1"/>
  <c r="S406" i="12" s="1"/>
  <c r="S405" i="12" s="1"/>
  <c r="S404" i="12" s="1"/>
  <c r="S403" i="12" s="1"/>
  <c r="S402" i="12" s="1"/>
  <c r="S401" i="12" s="1"/>
  <c r="S400" i="12" s="1"/>
  <c r="S399" i="12" s="1"/>
  <c r="S398" i="12" s="1"/>
  <c r="S397" i="12" s="1"/>
  <c r="S396" i="12" s="1"/>
  <c r="S395" i="12" s="1"/>
  <c r="S394" i="12" s="1"/>
  <c r="S393" i="12" s="1"/>
  <c r="S392" i="12" s="1"/>
  <c r="S391" i="12" s="1"/>
  <c r="S390" i="12" s="1"/>
  <c r="S389" i="12" s="1"/>
  <c r="S388" i="12" s="1"/>
  <c r="S387" i="12" s="1"/>
  <c r="S386" i="12" s="1"/>
  <c r="S385" i="12" s="1"/>
  <c r="AB2473" i="12"/>
  <c r="AB865" i="12"/>
  <c r="AF865" i="12" s="1"/>
  <c r="AB653" i="12"/>
  <c r="AB1002" i="12"/>
  <c r="AB1973" i="12"/>
  <c r="O4" i="12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O197" i="12" s="1"/>
  <c r="O198" i="12" s="1"/>
  <c r="O199" i="12" s="1"/>
  <c r="O200" i="12" s="1"/>
  <c r="O201" i="12" s="1"/>
  <c r="O202" i="12" s="1"/>
  <c r="O203" i="12" s="1"/>
  <c r="O204" i="12" s="1"/>
  <c r="O205" i="12" s="1"/>
  <c r="AB1852" i="12"/>
  <c r="Q34" i="11"/>
  <c r="P34" i="11"/>
  <c r="BI26" i="9" s="1"/>
  <c r="AL1883" i="12" s="1"/>
  <c r="M33" i="11"/>
  <c r="O33" i="11"/>
  <c r="S33" i="11" s="1"/>
  <c r="BL25" i="9" s="1"/>
  <c r="S1813" i="12" s="1"/>
  <c r="S1812" i="12" s="1"/>
  <c r="S1811" i="12" s="1"/>
  <c r="S1810" i="12" s="1"/>
  <c r="S1809" i="12" s="1"/>
  <c r="S1808" i="12" s="1"/>
  <c r="S1807" i="12" s="1"/>
  <c r="S1806" i="12" s="1"/>
  <c r="S1805" i="12" s="1"/>
  <c r="S1804" i="12" s="1"/>
  <c r="S1803" i="12" s="1"/>
  <c r="S1802" i="12" s="1"/>
  <c r="S1801" i="12" s="1"/>
  <c r="S1800" i="12" s="1"/>
  <c r="S1799" i="12" s="1"/>
  <c r="S1798" i="12" s="1"/>
  <c r="S1797" i="12" s="1"/>
  <c r="S1796" i="12" s="1"/>
  <c r="S1795" i="12" s="1"/>
  <c r="S1794" i="12" s="1"/>
  <c r="S1793" i="12" s="1"/>
  <c r="S1792" i="12" s="1"/>
  <c r="S1791" i="12" s="1"/>
  <c r="S1790" i="12" s="1"/>
  <c r="S1789" i="12" s="1"/>
  <c r="S1788" i="12" s="1"/>
  <c r="S1787" i="12" s="1"/>
  <c r="S1786" i="12" s="1"/>
  <c r="S1785" i="12" s="1"/>
  <c r="S1784" i="12" s="1"/>
  <c r="S1783" i="12" s="1"/>
  <c r="S1782" i="12" s="1"/>
  <c r="S1781" i="12" s="1"/>
  <c r="S1780" i="12" s="1"/>
  <c r="S1779" i="12" s="1"/>
  <c r="S1778" i="12" s="1"/>
  <c r="S1777" i="12" s="1"/>
  <c r="S1776" i="12" s="1"/>
  <c r="S1775" i="12" s="1"/>
  <c r="S1774" i="12" s="1"/>
  <c r="S1773" i="12" s="1"/>
  <c r="S1772" i="12" s="1"/>
  <c r="S1771" i="12" s="1"/>
  <c r="S1770" i="12" s="1"/>
  <c r="S1769" i="12" s="1"/>
  <c r="S1768" i="12" s="1"/>
  <c r="S1767" i="12" s="1"/>
  <c r="S1766" i="12" s="1"/>
  <c r="S1765" i="12" s="1"/>
  <c r="S1764" i="12" s="1"/>
  <c r="S1763" i="12" s="1"/>
  <c r="S1762" i="12" s="1"/>
  <c r="S1761" i="12" s="1"/>
  <c r="S1760" i="12" s="1"/>
  <c r="S1759" i="12" s="1"/>
  <c r="S1758" i="12" s="1"/>
  <c r="S1757" i="12" s="1"/>
  <c r="S1756" i="12" s="1"/>
  <c r="S1755" i="12" s="1"/>
  <c r="S1754" i="12" s="1"/>
  <c r="S1753" i="12" s="1"/>
  <c r="S1752" i="12" s="1"/>
  <c r="S1751" i="12" s="1"/>
  <c r="S1750" i="12" s="1"/>
  <c r="S1749" i="12" s="1"/>
  <c r="S1748" i="12" s="1"/>
  <c r="S1747" i="12" s="1"/>
  <c r="S1746" i="12" s="1"/>
  <c r="S1745" i="12" s="1"/>
  <c r="S1744" i="12" s="1"/>
  <c r="S1743" i="12" s="1"/>
  <c r="S1742" i="12" s="1"/>
  <c r="S1741" i="12" s="1"/>
  <c r="S1740" i="12" s="1"/>
  <c r="S1739" i="12" s="1"/>
  <c r="S1738" i="12" s="1"/>
  <c r="S1737" i="12" s="1"/>
  <c r="S1736" i="12" s="1"/>
  <c r="S1735" i="12" s="1"/>
  <c r="S1734" i="12" s="1"/>
  <c r="S1733" i="12" s="1"/>
  <c r="S1732" i="12" s="1"/>
  <c r="S1731" i="12" s="1"/>
  <c r="S1730" i="12" s="1"/>
  <c r="S1729" i="12" s="1"/>
  <c r="S1728" i="12" s="1"/>
  <c r="S1727" i="12" s="1"/>
  <c r="S1726" i="12" s="1"/>
  <c r="S1725" i="12" s="1"/>
  <c r="S1724" i="12" s="1"/>
  <c r="S1723" i="12" s="1"/>
  <c r="S1722" i="12" s="1"/>
  <c r="S1721" i="12" s="1"/>
  <c r="S1720" i="12" s="1"/>
  <c r="S1719" i="12" s="1"/>
  <c r="S1718" i="12" s="1"/>
  <c r="S1717" i="12" s="1"/>
  <c r="S1716" i="12" s="1"/>
  <c r="S1715" i="12" s="1"/>
  <c r="S1714" i="12" s="1"/>
  <c r="S1713" i="12" s="1"/>
  <c r="S1712" i="12" s="1"/>
  <c r="S1711" i="12" s="1"/>
  <c r="S1710" i="12" s="1"/>
  <c r="S1709" i="12" s="1"/>
  <c r="S1708" i="12" s="1"/>
  <c r="S1707" i="12" s="1"/>
  <c r="S1706" i="12" s="1"/>
  <c r="S1705" i="12" s="1"/>
  <c r="S1704" i="12" s="1"/>
  <c r="S1703" i="12" s="1"/>
  <c r="S1702" i="12" s="1"/>
  <c r="S1701" i="12" s="1"/>
  <c r="S1700" i="12" s="1"/>
  <c r="S1699" i="12" s="1"/>
  <c r="S1698" i="12" s="1"/>
  <c r="S1697" i="12" s="1"/>
  <c r="S1696" i="12" s="1"/>
  <c r="S1695" i="12" s="1"/>
  <c r="S1694" i="12" s="1"/>
  <c r="S1693" i="12" s="1"/>
  <c r="S1692" i="12" s="1"/>
  <c r="S1691" i="12" s="1"/>
  <c r="S1690" i="12" s="1"/>
  <c r="S1689" i="12" s="1"/>
  <c r="S1688" i="12" s="1"/>
  <c r="S1687" i="12" s="1"/>
  <c r="S1686" i="12" s="1"/>
  <c r="S1685" i="12" s="1"/>
  <c r="S1684" i="12" s="1"/>
  <c r="S1683" i="12" s="1"/>
  <c r="S1682" i="12" s="1"/>
  <c r="S1681" i="12" s="1"/>
  <c r="S1680" i="12" s="1"/>
  <c r="S1679" i="12" s="1"/>
  <c r="S1678" i="12" s="1"/>
  <c r="S1677" i="12" s="1"/>
  <c r="S1676" i="12" s="1"/>
  <c r="S1675" i="12" s="1"/>
  <c r="S1674" i="12" s="1"/>
  <c r="Q27" i="11"/>
  <c r="Q29" i="11"/>
  <c r="Q26" i="11"/>
  <c r="Q28" i="11"/>
  <c r="P20" i="11"/>
  <c r="BI12" i="9" s="1"/>
  <c r="AL762" i="12" s="1"/>
  <c r="AB1881" i="12"/>
  <c r="AF1881" i="12" s="1"/>
  <c r="AB23" i="12"/>
  <c r="AB2512" i="12"/>
  <c r="AF2512" i="12" s="1"/>
  <c r="AB1632" i="12"/>
  <c r="AF1632" i="12" s="1"/>
  <c r="AB12" i="12"/>
  <c r="AB763" i="12"/>
  <c r="AB381" i="12"/>
  <c r="AB302" i="12"/>
  <c r="AB2113" i="12"/>
  <c r="AF2113" i="12" s="1"/>
  <c r="AB2392" i="12"/>
  <c r="AB1072" i="12"/>
  <c r="AG1072" i="12" s="1"/>
  <c r="AB2052" i="12"/>
  <c r="AB2543" i="12"/>
  <c r="AB2342" i="12"/>
  <c r="AB1892" i="12"/>
  <c r="AB242" i="12"/>
  <c r="AB1742" i="12"/>
  <c r="AF1742" i="12" s="1"/>
  <c r="AB2372" i="12"/>
  <c r="AB772" i="12"/>
  <c r="AF772" i="12" s="1"/>
  <c r="AB1602" i="12"/>
  <c r="AB2553" i="12"/>
  <c r="AF2553" i="12" s="1"/>
  <c r="AF3013" i="12"/>
  <c r="M6" i="9"/>
  <c r="AB1642" i="12"/>
  <c r="AB2262" i="12"/>
  <c r="AB1832" i="12"/>
  <c r="AB33" i="12"/>
  <c r="AB1462" i="12"/>
  <c r="AB1672" i="12"/>
  <c r="AB2613" i="12"/>
  <c r="AF2613" i="12" s="1"/>
  <c r="AB1782" i="12"/>
  <c r="AB2023" i="12"/>
  <c r="AF2023" i="12" s="1"/>
  <c r="AB1773" i="12"/>
  <c r="AB2693" i="12"/>
  <c r="AF2693" i="12" s="1"/>
  <c r="AB1572" i="12"/>
  <c r="AF1572" i="12" s="1"/>
  <c r="AB1963" i="12"/>
  <c r="AF1963" i="12" s="1"/>
  <c r="AB1692" i="12"/>
  <c r="AB2382" i="12"/>
  <c r="AB1353" i="12"/>
  <c r="AB1822" i="12"/>
  <c r="AF1822" i="12" s="1"/>
  <c r="AB1252" i="12"/>
  <c r="AB2192" i="12"/>
  <c r="AF2192" i="12" s="1"/>
  <c r="AB2733" i="12"/>
  <c r="AF2733" i="12" s="1"/>
  <c r="AB2032" i="12"/>
  <c r="AB1843" i="12"/>
  <c r="AF1843" i="12" s="1"/>
  <c r="AB341" i="12"/>
  <c r="AB975" i="12"/>
  <c r="AF975" i="12" s="1"/>
  <c r="AB81" i="12"/>
  <c r="AB1182" i="12"/>
  <c r="AB2062" i="12"/>
  <c r="AB1902" i="12"/>
  <c r="AB101" i="12"/>
  <c r="AB2462" i="12"/>
  <c r="AB1683" i="12"/>
  <c r="AB2482" i="12"/>
  <c r="AB2161" i="12"/>
  <c r="AB1613" i="12"/>
  <c r="AF1613" i="12" s="1"/>
  <c r="AB1622" i="12"/>
  <c r="AB434" i="12"/>
  <c r="AB2123" i="12"/>
  <c r="AB1912" i="12"/>
  <c r="AB1762" i="12"/>
  <c r="AB1223" i="12"/>
  <c r="AB622" i="12"/>
  <c r="AB1491" i="12"/>
  <c r="AF1491" i="12" s="1"/>
  <c r="AB2683" i="12"/>
  <c r="AB2452" i="12"/>
  <c r="AB2092" i="12"/>
  <c r="AB1042" i="12"/>
  <c r="AF1042" i="12" s="1"/>
  <c r="AB2412" i="12"/>
  <c r="AB2332" i="12"/>
  <c r="AF2332" i="12" s="1"/>
  <c r="AB2403" i="12"/>
  <c r="AB1422" i="12"/>
  <c r="AB832" i="12"/>
  <c r="AB2172" i="12"/>
  <c r="AB1752" i="12"/>
  <c r="AF1752" i="12" s="1"/>
  <c r="AB1322" i="12"/>
  <c r="AB2651" i="12"/>
  <c r="AF3043" i="12"/>
  <c r="AB1392" i="12"/>
  <c r="AF1392" i="12" s="1"/>
  <c r="AB493" i="12"/>
  <c r="AB1703" i="12"/>
  <c r="AB1192" i="12"/>
  <c r="AB162" i="12"/>
  <c r="AB1282" i="12"/>
  <c r="AF1282" i="12" s="1"/>
  <c r="AB1922" i="12"/>
  <c r="AB1713" i="12"/>
  <c r="AB1812" i="12"/>
  <c r="AF1812" i="12" s="1"/>
  <c r="AB1561" i="12"/>
  <c r="AB72" i="12"/>
  <c r="Q2825" i="12"/>
  <c r="Q2594" i="12"/>
  <c r="Q243" i="12"/>
  <c r="Q214" i="12"/>
  <c r="Q1902" i="12"/>
  <c r="Q725" i="12"/>
  <c r="Q903" i="12"/>
  <c r="Q975" i="12"/>
  <c r="Q2873" i="12"/>
  <c r="Q206" i="12"/>
  <c r="Q2824" i="12"/>
  <c r="Q2183" i="12"/>
  <c r="Q711" i="12"/>
  <c r="Q775" i="12"/>
  <c r="Q1513" i="12"/>
  <c r="Q3035" i="12"/>
  <c r="Q1473" i="12"/>
  <c r="Q793" i="12"/>
  <c r="Q1075" i="12"/>
  <c r="Q1673" i="12"/>
  <c r="Q583" i="12"/>
  <c r="Q653" i="12"/>
  <c r="Q385" i="12"/>
  <c r="Q2735" i="12"/>
  <c r="Q3" i="12"/>
  <c r="AC2482" i="12"/>
  <c r="AC2481" i="12" s="1"/>
  <c r="AC2480" i="12" s="1"/>
  <c r="AC2479" i="12" s="1"/>
  <c r="AC2478" i="12" s="1"/>
  <c r="AC2477" i="12" s="1"/>
  <c r="AC2476" i="12" s="1"/>
  <c r="AC2475" i="12" s="1"/>
  <c r="AC2474" i="12" s="1"/>
  <c r="AC1782" i="12"/>
  <c r="AC1781" i="12" s="1"/>
  <c r="AC1780" i="12" s="1"/>
  <c r="AC1779" i="12" s="1"/>
  <c r="AC1778" i="12" s="1"/>
  <c r="AC1777" i="12" s="1"/>
  <c r="AC1776" i="12" s="1"/>
  <c r="AC1775" i="12" s="1"/>
  <c r="AC1774" i="12" s="1"/>
  <c r="AC2543" i="12"/>
  <c r="AC2542" i="12" s="1"/>
  <c r="AC2541" i="12" s="1"/>
  <c r="AC2540" i="12" s="1"/>
  <c r="AC2539" i="12" s="1"/>
  <c r="AC2538" i="12" s="1"/>
  <c r="AC2537" i="12" s="1"/>
  <c r="AC2536" i="12" s="1"/>
  <c r="AC2535" i="12" s="1"/>
  <c r="AC2534" i="12" s="1"/>
  <c r="AC2533" i="12" s="1"/>
  <c r="AC2532" i="12" s="1"/>
  <c r="AC2531" i="12" s="1"/>
  <c r="AC2530" i="12" s="1"/>
  <c r="AC2529" i="12" s="1"/>
  <c r="AC2528" i="12" s="1"/>
  <c r="AC2527" i="12" s="1"/>
  <c r="AC2526" i="12" s="1"/>
  <c r="AC2525" i="12" s="1"/>
  <c r="AC2524" i="12" s="1"/>
  <c r="AC2523" i="12" s="1"/>
  <c r="AC2522" i="12" s="1"/>
  <c r="AC2521" i="12" s="1"/>
  <c r="AC2520" i="12" s="1"/>
  <c r="AC2519" i="12" s="1"/>
  <c r="AC2518" i="12" s="1"/>
  <c r="AC2517" i="12" s="1"/>
  <c r="AC2516" i="12" s="1"/>
  <c r="AC2515" i="12" s="1"/>
  <c r="AC2514" i="12" s="1"/>
  <c r="AC2513" i="12" s="1"/>
  <c r="AE865" i="12"/>
  <c r="AE864" i="12" s="1"/>
  <c r="AE863" i="12" s="1"/>
  <c r="AE862" i="12" s="1"/>
  <c r="AE861" i="12" s="1"/>
  <c r="AE860" i="12" s="1"/>
  <c r="AE859" i="12" s="1"/>
  <c r="AE858" i="12" s="1"/>
  <c r="AE857" i="12" s="1"/>
  <c r="AE856" i="12" s="1"/>
  <c r="AE855" i="12" s="1"/>
  <c r="AE854" i="12" s="1"/>
  <c r="AE853" i="12" s="1"/>
  <c r="AE852" i="12" s="1"/>
  <c r="AE851" i="12" s="1"/>
  <c r="AE850" i="12" s="1"/>
  <c r="AE849" i="12" s="1"/>
  <c r="AE848" i="12" s="1"/>
  <c r="AE847" i="12" s="1"/>
  <c r="AE846" i="12" s="1"/>
  <c r="AE845" i="12" s="1"/>
  <c r="AE844" i="12" s="1"/>
  <c r="AE843" i="12" s="1"/>
  <c r="AE842" i="12" s="1"/>
  <c r="AE841" i="12" s="1"/>
  <c r="AE840" i="12" s="1"/>
  <c r="AE839" i="12" s="1"/>
  <c r="AE838" i="12" s="1"/>
  <c r="AE837" i="12" s="1"/>
  <c r="AE836" i="12" s="1"/>
  <c r="AE835" i="12" s="1"/>
  <c r="AE834" i="12" s="1"/>
  <c r="AE833" i="12" s="1"/>
  <c r="AD2482" i="12"/>
  <c r="AD2473" i="12"/>
  <c r="AE1922" i="12"/>
  <c r="AE1921" i="12" s="1"/>
  <c r="AE1920" i="12" s="1"/>
  <c r="AE1919" i="12" s="1"/>
  <c r="AE1918" i="12" s="1"/>
  <c r="AE1917" i="12" s="1"/>
  <c r="AE1916" i="12" s="1"/>
  <c r="AE1915" i="12" s="1"/>
  <c r="AE1914" i="12" s="1"/>
  <c r="AE1913" i="12" s="1"/>
  <c r="AC1613" i="12"/>
  <c r="AC1612" i="12" s="1"/>
  <c r="AC1611" i="12" s="1"/>
  <c r="AC1610" i="12" s="1"/>
  <c r="AC1609" i="12" s="1"/>
  <c r="AC1608" i="12" s="1"/>
  <c r="AC1607" i="12" s="1"/>
  <c r="AC1606" i="12" s="1"/>
  <c r="AC1605" i="12" s="1"/>
  <c r="AC1604" i="12" s="1"/>
  <c r="AC1603" i="12" s="1"/>
  <c r="AE2382" i="12"/>
  <c r="AE2381" i="12" s="1"/>
  <c r="AE2380" i="12" s="1"/>
  <c r="AE2379" i="12" s="1"/>
  <c r="AE2378" i="12" s="1"/>
  <c r="AE2377" i="12" s="1"/>
  <c r="AE2376" i="12" s="1"/>
  <c r="AE2375" i="12" s="1"/>
  <c r="AE2374" i="12" s="1"/>
  <c r="AE2373" i="12" s="1"/>
  <c r="AE1683" i="12"/>
  <c r="AE1682" i="12" s="1"/>
  <c r="AE1681" i="12" s="1"/>
  <c r="AE1680" i="12" s="1"/>
  <c r="AE1679" i="12" s="1"/>
  <c r="AE1678" i="12" s="1"/>
  <c r="AE1677" i="12" s="1"/>
  <c r="AE1676" i="12" s="1"/>
  <c r="AE1675" i="12" s="1"/>
  <c r="AE1674" i="12" s="1"/>
  <c r="AE1673" i="12" s="1"/>
  <c r="AE1192" i="12"/>
  <c r="AE1191" i="12" s="1"/>
  <c r="AE1190" i="12" s="1"/>
  <c r="AE1189" i="12" s="1"/>
  <c r="AE1188" i="12" s="1"/>
  <c r="AE1187" i="12" s="1"/>
  <c r="AE1186" i="12" s="1"/>
  <c r="AE1185" i="12" s="1"/>
  <c r="AE1184" i="12" s="1"/>
  <c r="AE1183" i="12" s="1"/>
  <c r="AD1002" i="12"/>
  <c r="AE2182" i="12"/>
  <c r="AE2181" i="12" s="1"/>
  <c r="AE2180" i="12" s="1"/>
  <c r="AE2179" i="12" s="1"/>
  <c r="AE2178" i="12" s="1"/>
  <c r="AE2177" i="12" s="1"/>
  <c r="AE2176" i="12" s="1"/>
  <c r="AE2175" i="12" s="1"/>
  <c r="AE2174" i="12" s="1"/>
  <c r="AE2173" i="12" s="1"/>
  <c r="AC2512" i="12"/>
  <c r="AC2511" i="12" s="1"/>
  <c r="AC2510" i="12" s="1"/>
  <c r="AC2509" i="12" s="1"/>
  <c r="AC2508" i="12" s="1"/>
  <c r="AC2507" i="12" s="1"/>
  <c r="AC2506" i="12" s="1"/>
  <c r="AC2505" i="12" s="1"/>
  <c r="AC2504" i="12" s="1"/>
  <c r="AC2503" i="12" s="1"/>
  <c r="AC2502" i="12" s="1"/>
  <c r="AC2501" i="12" s="1"/>
  <c r="AC2500" i="12" s="1"/>
  <c r="AC2499" i="12" s="1"/>
  <c r="AC2498" i="12" s="1"/>
  <c r="AC2497" i="12" s="1"/>
  <c r="AC2496" i="12" s="1"/>
  <c r="AC2495" i="12" s="1"/>
  <c r="AC2494" i="12" s="1"/>
  <c r="AC2493" i="12" s="1"/>
  <c r="AC2492" i="12" s="1"/>
  <c r="AC2491" i="12" s="1"/>
  <c r="AC2490" i="12" s="1"/>
  <c r="AC2489" i="12" s="1"/>
  <c r="AC2488" i="12" s="1"/>
  <c r="AC2487" i="12" s="1"/>
  <c r="AC2486" i="12" s="1"/>
  <c r="AC2485" i="12" s="1"/>
  <c r="AC2484" i="12" s="1"/>
  <c r="AC2483" i="12" s="1"/>
  <c r="AE1462" i="12"/>
  <c r="AE1461" i="12" s="1"/>
  <c r="AE1460" i="12" s="1"/>
  <c r="AE1459" i="12" s="1"/>
  <c r="AE1458" i="12" s="1"/>
  <c r="AE1457" i="12" s="1"/>
  <c r="AE1456" i="12" s="1"/>
  <c r="AE1455" i="12" s="1"/>
  <c r="AE1454" i="12" s="1"/>
  <c r="AE1453" i="12" s="1"/>
  <c r="AE1452" i="12" s="1"/>
  <c r="AE1451" i="12" s="1"/>
  <c r="AE1450" i="12" s="1"/>
  <c r="AE1449" i="12" s="1"/>
  <c r="AE1448" i="12" s="1"/>
  <c r="AE1447" i="12" s="1"/>
  <c r="AE1446" i="12" s="1"/>
  <c r="AE1445" i="12" s="1"/>
  <c r="AE1444" i="12" s="1"/>
  <c r="AE1443" i="12" s="1"/>
  <c r="AE1442" i="12" s="1"/>
  <c r="AE1441" i="12" s="1"/>
  <c r="AE1440" i="12" s="1"/>
  <c r="AE1439" i="12" s="1"/>
  <c r="AE1438" i="12" s="1"/>
  <c r="AE1437" i="12" s="1"/>
  <c r="AE1436" i="12" s="1"/>
  <c r="AE1435" i="12" s="1"/>
  <c r="AE1434" i="12" s="1"/>
  <c r="AE1433" i="12" s="1"/>
  <c r="AE1432" i="12" s="1"/>
  <c r="AE1431" i="12" s="1"/>
  <c r="AE1430" i="12" s="1"/>
  <c r="AE1429" i="12" s="1"/>
  <c r="AE1428" i="12" s="1"/>
  <c r="AE1427" i="12" s="1"/>
  <c r="AE1426" i="12" s="1"/>
  <c r="AE1425" i="12" s="1"/>
  <c r="AE1424" i="12" s="1"/>
  <c r="AE1423" i="12" s="1"/>
  <c r="AE2553" i="12"/>
  <c r="AE2552" i="12" s="1"/>
  <c r="AE2551" i="12" s="1"/>
  <c r="AE2550" i="12" s="1"/>
  <c r="AE2549" i="12" s="1"/>
  <c r="AE2548" i="12" s="1"/>
  <c r="AE2547" i="12" s="1"/>
  <c r="AE2546" i="12" s="1"/>
  <c r="AE2545" i="12" s="1"/>
  <c r="AE2544" i="12" s="1"/>
  <c r="AE2032" i="12"/>
  <c r="AE2031" i="12" s="1"/>
  <c r="AE2030" i="12" s="1"/>
  <c r="AE2029" i="12" s="1"/>
  <c r="AE2028" i="12" s="1"/>
  <c r="AE2027" i="12" s="1"/>
  <c r="AE2026" i="12" s="1"/>
  <c r="AE2025" i="12" s="1"/>
  <c r="AE2024" i="12" s="1"/>
  <c r="AC1282" i="12"/>
  <c r="AC1281" i="12" s="1"/>
  <c r="AC1280" i="12" s="1"/>
  <c r="AC1279" i="12" s="1"/>
  <c r="AC1278" i="12" s="1"/>
  <c r="AC1277" i="12" s="1"/>
  <c r="AC1276" i="12" s="1"/>
  <c r="AC1275" i="12" s="1"/>
  <c r="AC1274" i="12" s="1"/>
  <c r="AC1273" i="12" s="1"/>
  <c r="AC1272" i="12" s="1"/>
  <c r="AC1271" i="12" s="1"/>
  <c r="AC1270" i="12" s="1"/>
  <c r="AC1269" i="12" s="1"/>
  <c r="AC1268" i="12" s="1"/>
  <c r="AC1267" i="12" s="1"/>
  <c r="AC1266" i="12" s="1"/>
  <c r="AC1265" i="12" s="1"/>
  <c r="AC1264" i="12" s="1"/>
  <c r="AC1263" i="12" s="1"/>
  <c r="AC1262" i="12" s="1"/>
  <c r="AC1261" i="12" s="1"/>
  <c r="AC1260" i="12" s="1"/>
  <c r="AC1259" i="12" s="1"/>
  <c r="AC1258" i="12" s="1"/>
  <c r="AC1257" i="12" s="1"/>
  <c r="AC1256" i="12" s="1"/>
  <c r="AC1255" i="12" s="1"/>
  <c r="AC1254" i="12" s="1"/>
  <c r="AC1253" i="12" s="1"/>
  <c r="AE2123" i="12"/>
  <c r="AE2122" i="12" s="1"/>
  <c r="AE2121" i="12" s="1"/>
  <c r="AE2120" i="12" s="1"/>
  <c r="AE2119" i="12" s="1"/>
  <c r="AE2118" i="12" s="1"/>
  <c r="AE2117" i="12" s="1"/>
  <c r="AE2116" i="12" s="1"/>
  <c r="AE2115" i="12" s="1"/>
  <c r="AE2114" i="12" s="1"/>
  <c r="AE2461" i="12"/>
  <c r="AE2460" i="12" s="1"/>
  <c r="AE2459" i="12" s="1"/>
  <c r="AE2458" i="12" s="1"/>
  <c r="AE2457" i="12" s="1"/>
  <c r="AE2456" i="12" s="1"/>
  <c r="AE2455" i="12" s="1"/>
  <c r="AE2454" i="12" s="1"/>
  <c r="AE2453" i="12" s="1"/>
  <c r="AD1462" i="12"/>
  <c r="AC2693" i="12"/>
  <c r="AC2692" i="12" s="1"/>
  <c r="AC2691" i="12" s="1"/>
  <c r="AC2690" i="12" s="1"/>
  <c r="AC2689" i="12" s="1"/>
  <c r="AC2688" i="12" s="1"/>
  <c r="AC2687" i="12" s="1"/>
  <c r="AC2686" i="12" s="1"/>
  <c r="AC2685" i="12" s="1"/>
  <c r="AC2684" i="12" s="1"/>
  <c r="AE1223" i="12"/>
  <c r="AE1222" i="12" s="1"/>
  <c r="AE1221" i="12" s="1"/>
  <c r="AE1220" i="12" s="1"/>
  <c r="AE1219" i="12" s="1"/>
  <c r="AE1218" i="12" s="1"/>
  <c r="AE1217" i="12" s="1"/>
  <c r="AE1216" i="12" s="1"/>
  <c r="AE1215" i="12" s="1"/>
  <c r="AE1214" i="12" s="1"/>
  <c r="AE1213" i="12" s="1"/>
  <c r="AE1212" i="12" s="1"/>
  <c r="AE1211" i="12" s="1"/>
  <c r="AE1210" i="12" s="1"/>
  <c r="AE1209" i="12" s="1"/>
  <c r="AE1208" i="12" s="1"/>
  <c r="AE1207" i="12" s="1"/>
  <c r="AE1206" i="12" s="1"/>
  <c r="AE1205" i="12" s="1"/>
  <c r="AE1204" i="12" s="1"/>
  <c r="AE1203" i="12" s="1"/>
  <c r="AE1202" i="12" s="1"/>
  <c r="AE1201" i="12" s="1"/>
  <c r="AE1200" i="12" s="1"/>
  <c r="AE1199" i="12" s="1"/>
  <c r="AE1198" i="12" s="1"/>
  <c r="AE1197" i="12" s="1"/>
  <c r="AE1196" i="12" s="1"/>
  <c r="AE1195" i="12" s="1"/>
  <c r="AE1194" i="12" s="1"/>
  <c r="AE1193" i="12" s="1"/>
  <c r="AC2192" i="12"/>
  <c r="AC2191" i="12" s="1"/>
  <c r="AC2190" i="12" s="1"/>
  <c r="AC2189" i="12" s="1"/>
  <c r="AC2188" i="12" s="1"/>
  <c r="AC2187" i="12" s="1"/>
  <c r="AC2186" i="12" s="1"/>
  <c r="AC2185" i="12" s="1"/>
  <c r="AC2184" i="12" s="1"/>
  <c r="AC2183" i="12" s="1"/>
  <c r="AE2512" i="12"/>
  <c r="AE2511" i="12" s="1"/>
  <c r="AE2510" i="12" s="1"/>
  <c r="AE2509" i="12" s="1"/>
  <c r="AE2508" i="12" s="1"/>
  <c r="AE2507" i="12" s="1"/>
  <c r="AE2506" i="12" s="1"/>
  <c r="AE2505" i="12" s="1"/>
  <c r="AE2504" i="12" s="1"/>
  <c r="AE2503" i="12" s="1"/>
  <c r="AE2502" i="12" s="1"/>
  <c r="AE2501" i="12" s="1"/>
  <c r="AE2500" i="12" s="1"/>
  <c r="AE2499" i="12" s="1"/>
  <c r="AE2498" i="12" s="1"/>
  <c r="AE2497" i="12" s="1"/>
  <c r="AE2496" i="12" s="1"/>
  <c r="AE2495" i="12" s="1"/>
  <c r="AE2494" i="12" s="1"/>
  <c r="AE2493" i="12" s="1"/>
  <c r="AE2492" i="12" s="1"/>
  <c r="AE2491" i="12" s="1"/>
  <c r="AE2490" i="12" s="1"/>
  <c r="AE2489" i="12" s="1"/>
  <c r="AE2488" i="12" s="1"/>
  <c r="AE2487" i="12" s="1"/>
  <c r="AE2486" i="12" s="1"/>
  <c r="AE2485" i="12" s="1"/>
  <c r="AE2484" i="12" s="1"/>
  <c r="AE2483" i="12" s="1"/>
  <c r="AC763" i="12"/>
  <c r="AC762" i="12" s="1"/>
  <c r="AC761" i="12" s="1"/>
  <c r="AC760" i="12" s="1"/>
  <c r="AC759" i="12" s="1"/>
  <c r="AC758" i="12" s="1"/>
  <c r="AC757" i="12" s="1"/>
  <c r="AC756" i="12" s="1"/>
  <c r="AC755" i="12" s="1"/>
  <c r="AC754" i="12" s="1"/>
  <c r="AC753" i="12" s="1"/>
  <c r="AC752" i="12" s="1"/>
  <c r="AC751" i="12" s="1"/>
  <c r="AC750" i="12" s="1"/>
  <c r="AC749" i="12" s="1"/>
  <c r="AC748" i="12" s="1"/>
  <c r="AC747" i="12" s="1"/>
  <c r="AC746" i="12" s="1"/>
  <c r="AC745" i="12" s="1"/>
  <c r="AC744" i="12" s="1"/>
  <c r="AC743" i="12" s="1"/>
  <c r="AC742" i="12" s="1"/>
  <c r="AC741" i="12" s="1"/>
  <c r="AC740" i="12" s="1"/>
  <c r="AC739" i="12" s="1"/>
  <c r="AC738" i="12" s="1"/>
  <c r="AC737" i="12" s="1"/>
  <c r="AC736" i="12" s="1"/>
  <c r="AC735" i="12" s="1"/>
  <c r="AC734" i="12" s="1"/>
  <c r="AC733" i="12" s="1"/>
  <c r="AC732" i="12" s="1"/>
  <c r="AC731" i="12" s="1"/>
  <c r="AC730" i="12" s="1"/>
  <c r="AC729" i="12" s="1"/>
  <c r="AC728" i="12" s="1"/>
  <c r="AC727" i="12" s="1"/>
  <c r="AC726" i="12" s="1"/>
  <c r="AD2462" i="12"/>
  <c r="AC1042" i="12"/>
  <c r="AC1041" i="12" s="1"/>
  <c r="AC1040" i="12" s="1"/>
  <c r="AC1039" i="12" s="1"/>
  <c r="AC1038" i="12" s="1"/>
  <c r="AC1037" i="12" s="1"/>
  <c r="AC1036" i="12" s="1"/>
  <c r="AC1035" i="12" s="1"/>
  <c r="AC1034" i="12" s="1"/>
  <c r="AC1033" i="12" s="1"/>
  <c r="AC1032" i="12" s="1"/>
  <c r="AC1031" i="12" s="1"/>
  <c r="AC1030" i="12" s="1"/>
  <c r="AC1029" i="12" s="1"/>
  <c r="AC1028" i="12" s="1"/>
  <c r="AC1027" i="12" s="1"/>
  <c r="AC1026" i="12" s="1"/>
  <c r="AC1025" i="12" s="1"/>
  <c r="AC1024" i="12" s="1"/>
  <c r="AC1023" i="12" s="1"/>
  <c r="AC1022" i="12" s="1"/>
  <c r="AC1021" i="12" s="1"/>
  <c r="AC1020" i="12" s="1"/>
  <c r="AC1019" i="12" s="1"/>
  <c r="AC1018" i="12" s="1"/>
  <c r="AC1017" i="12" s="1"/>
  <c r="AC1016" i="12" s="1"/>
  <c r="AC1015" i="12" s="1"/>
  <c r="AC1014" i="12" s="1"/>
  <c r="AC1013" i="12" s="1"/>
  <c r="AC1012" i="12" s="1"/>
  <c r="AC1011" i="12" s="1"/>
  <c r="AC1010" i="12" s="1"/>
  <c r="AC1009" i="12" s="1"/>
  <c r="AC1008" i="12" s="1"/>
  <c r="AC1007" i="12" s="1"/>
  <c r="AC1006" i="12" s="1"/>
  <c r="AC1005" i="12" s="1"/>
  <c r="AC1004" i="12" s="1"/>
  <c r="AC1003" i="12" s="1"/>
  <c r="AE1912" i="12"/>
  <c r="AE1911" i="12" s="1"/>
  <c r="AE1910" i="12" s="1"/>
  <c r="AE1909" i="12" s="1"/>
  <c r="AE1908" i="12" s="1"/>
  <c r="AE1907" i="12" s="1"/>
  <c r="AE1906" i="12" s="1"/>
  <c r="AE1905" i="12" s="1"/>
  <c r="AE1904" i="12" s="1"/>
  <c r="AE1903" i="12" s="1"/>
  <c r="AC1742" i="12"/>
  <c r="AC1741" i="12" s="1"/>
  <c r="AC1740" i="12" s="1"/>
  <c r="AC1739" i="12" s="1"/>
  <c r="AC1738" i="12" s="1"/>
  <c r="AC1737" i="12" s="1"/>
  <c r="AC1736" i="12" s="1"/>
  <c r="AC1735" i="12" s="1"/>
  <c r="AC1734" i="12" s="1"/>
  <c r="AC1733" i="12" s="1"/>
  <c r="AC1732" i="12" s="1"/>
  <c r="AC1731" i="12" s="1"/>
  <c r="AC1730" i="12" s="1"/>
  <c r="AC1729" i="12" s="1"/>
  <c r="AC1728" i="12" s="1"/>
  <c r="AC1727" i="12" s="1"/>
  <c r="AC1726" i="12" s="1"/>
  <c r="AC1725" i="12" s="1"/>
  <c r="AC1724" i="12" s="1"/>
  <c r="AC1723" i="12" s="1"/>
  <c r="AC1722" i="12" s="1"/>
  <c r="AC1721" i="12" s="1"/>
  <c r="AC1720" i="12" s="1"/>
  <c r="AC1719" i="12" s="1"/>
  <c r="AC1718" i="12" s="1"/>
  <c r="AC1717" i="12" s="1"/>
  <c r="AC1716" i="12" s="1"/>
  <c r="AC1715" i="12" s="1"/>
  <c r="AC1714" i="12" s="1"/>
  <c r="AD2392" i="12"/>
  <c r="AD1223" i="12"/>
  <c r="AD1642" i="12"/>
  <c r="AE1752" i="12"/>
  <c r="AE1751" i="12" s="1"/>
  <c r="AE1750" i="12" s="1"/>
  <c r="AE1749" i="12" s="1"/>
  <c r="AE1748" i="12" s="1"/>
  <c r="AE1747" i="12" s="1"/>
  <c r="AE1746" i="12" s="1"/>
  <c r="AE1745" i="12" s="1"/>
  <c r="AE1744" i="12" s="1"/>
  <c r="AE1743" i="12" s="1"/>
  <c r="AD1852" i="12"/>
  <c r="AC2132" i="12"/>
  <c r="AC2131" i="12" s="1"/>
  <c r="AC2130" i="12" s="1"/>
  <c r="AC2129" i="12" s="1"/>
  <c r="AC2128" i="12" s="1"/>
  <c r="AC2127" i="12" s="1"/>
  <c r="AC2126" i="12" s="1"/>
  <c r="AC2125" i="12" s="1"/>
  <c r="AC2124" i="12" s="1"/>
  <c r="AE2372" i="12"/>
  <c r="AE2371" i="12" s="1"/>
  <c r="AE2370" i="12" s="1"/>
  <c r="AE2369" i="12" s="1"/>
  <c r="AE2368" i="12" s="1"/>
  <c r="AE2367" i="12" s="1"/>
  <c r="AE2366" i="12" s="1"/>
  <c r="AE2365" i="12" s="1"/>
  <c r="AE2364" i="12" s="1"/>
  <c r="AE2363" i="12" s="1"/>
  <c r="AE2362" i="12" s="1"/>
  <c r="AE2361" i="12" s="1"/>
  <c r="AE2360" i="12" s="1"/>
  <c r="AE2359" i="12" s="1"/>
  <c r="AE2358" i="12" s="1"/>
  <c r="AE2357" i="12" s="1"/>
  <c r="AE2356" i="12" s="1"/>
  <c r="AE2355" i="12" s="1"/>
  <c r="AE2354" i="12" s="1"/>
  <c r="AE2353" i="12" s="1"/>
  <c r="AE2352" i="12" s="1"/>
  <c r="AE2351" i="12" s="1"/>
  <c r="AE2350" i="12" s="1"/>
  <c r="AE2349" i="12" s="1"/>
  <c r="AE2348" i="12" s="1"/>
  <c r="AE2347" i="12" s="1"/>
  <c r="AE2346" i="12" s="1"/>
  <c r="AE2345" i="12" s="1"/>
  <c r="AE2344" i="12" s="1"/>
  <c r="AE2343" i="12" s="1"/>
  <c r="AC832" i="12"/>
  <c r="AC831" i="12" s="1"/>
  <c r="AC830" i="12" s="1"/>
  <c r="AC829" i="12" s="1"/>
  <c r="AC828" i="12" s="1"/>
  <c r="AC827" i="12" s="1"/>
  <c r="AC826" i="12" s="1"/>
  <c r="AC825" i="12" s="1"/>
  <c r="AC824" i="12" s="1"/>
  <c r="AC823" i="12" s="1"/>
  <c r="AC822" i="12" s="1"/>
  <c r="AC821" i="12" s="1"/>
  <c r="AC820" i="12" s="1"/>
  <c r="AC819" i="12" s="1"/>
  <c r="AC818" i="12" s="1"/>
  <c r="AC817" i="12" s="1"/>
  <c r="AC816" i="12" s="1"/>
  <c r="AC815" i="12" s="1"/>
  <c r="AC814" i="12" s="1"/>
  <c r="AC813" i="12" s="1"/>
  <c r="AC812" i="12" s="1"/>
  <c r="AC811" i="12" s="1"/>
  <c r="AC810" i="12" s="1"/>
  <c r="AC809" i="12" s="1"/>
  <c r="AC808" i="12" s="1"/>
  <c r="AC807" i="12" s="1"/>
  <c r="AC806" i="12" s="1"/>
  <c r="AC805" i="12" s="1"/>
  <c r="AC804" i="12" s="1"/>
  <c r="AC803" i="12" s="1"/>
  <c r="AC802" i="12" s="1"/>
  <c r="AC801" i="12" s="1"/>
  <c r="AC800" i="12" s="1"/>
  <c r="AC799" i="12" s="1"/>
  <c r="AC798" i="12" s="1"/>
  <c r="AC797" i="12" s="1"/>
  <c r="AC796" i="12" s="1"/>
  <c r="AC795" i="12" s="1"/>
  <c r="AC794" i="12" s="1"/>
  <c r="AC1491" i="12"/>
  <c r="AC1490" i="12" s="1"/>
  <c r="AC1489" i="12" s="1"/>
  <c r="AC1488" i="12" s="1"/>
  <c r="AC1487" i="12" s="1"/>
  <c r="AC1486" i="12" s="1"/>
  <c r="AC1485" i="12" s="1"/>
  <c r="AC1484" i="12" s="1"/>
  <c r="AC1483" i="12" s="1"/>
  <c r="AC1482" i="12" s="1"/>
  <c r="AC1481" i="12" s="1"/>
  <c r="AC1480" i="12" s="1"/>
  <c r="AC1479" i="12" s="1"/>
  <c r="AC1478" i="12" s="1"/>
  <c r="AC1477" i="12" s="1"/>
  <c r="AC1476" i="12" s="1"/>
  <c r="AC1475" i="12" s="1"/>
  <c r="AC1474" i="12" s="1"/>
  <c r="AC1473" i="12" s="1"/>
  <c r="AC1472" i="12" s="1"/>
  <c r="AC1471" i="12" s="1"/>
  <c r="AC1470" i="12" s="1"/>
  <c r="AC1469" i="12" s="1"/>
  <c r="AC1468" i="12" s="1"/>
  <c r="AC1467" i="12" s="1"/>
  <c r="AC1466" i="12" s="1"/>
  <c r="AC1465" i="12" s="1"/>
  <c r="AC1464" i="12" s="1"/>
  <c r="AC1463" i="12" s="1"/>
  <c r="AC772" i="12"/>
  <c r="AC771" i="12" s="1"/>
  <c r="AC770" i="12" s="1"/>
  <c r="AC769" i="12" s="1"/>
  <c r="AC768" i="12" s="1"/>
  <c r="AC767" i="12" s="1"/>
  <c r="AC766" i="12" s="1"/>
  <c r="AC765" i="12" s="1"/>
  <c r="AC764" i="12" s="1"/>
  <c r="AE2693" i="12"/>
  <c r="AE2692" i="12" s="1"/>
  <c r="AE2691" i="12" s="1"/>
  <c r="AE2690" i="12" s="1"/>
  <c r="AE2689" i="12" s="1"/>
  <c r="AE2688" i="12" s="1"/>
  <c r="AE2687" i="12" s="1"/>
  <c r="AE2686" i="12" s="1"/>
  <c r="AE2685" i="12" s="1"/>
  <c r="AE2684" i="12" s="1"/>
  <c r="AD1762" i="12"/>
  <c r="AE2442" i="12"/>
  <c r="AE2441" i="12" s="1"/>
  <c r="AE2440" i="12" s="1"/>
  <c r="AE2439" i="12" s="1"/>
  <c r="AE2438" i="12" s="1"/>
  <c r="AE2437" i="12" s="1"/>
  <c r="AE2436" i="12" s="1"/>
  <c r="AE2435" i="12" s="1"/>
  <c r="AE2434" i="12" s="1"/>
  <c r="AE2433" i="12" s="1"/>
  <c r="AE2432" i="12" s="1"/>
  <c r="AE2431" i="12" s="1"/>
  <c r="AE2430" i="12" s="1"/>
  <c r="AE2429" i="12" s="1"/>
  <c r="AE2428" i="12" s="1"/>
  <c r="AE2427" i="12" s="1"/>
  <c r="AE2426" i="12" s="1"/>
  <c r="AE2425" i="12" s="1"/>
  <c r="AE2424" i="12" s="1"/>
  <c r="AE2423" i="12" s="1"/>
  <c r="AE2422" i="12" s="1"/>
  <c r="AE2421" i="12" s="1"/>
  <c r="AE2420" i="12" s="1"/>
  <c r="AE2419" i="12" s="1"/>
  <c r="AE2418" i="12" s="1"/>
  <c r="AE2417" i="12" s="1"/>
  <c r="AE2416" i="12" s="1"/>
  <c r="AE2415" i="12" s="1"/>
  <c r="AE2414" i="12" s="1"/>
  <c r="AE2413" i="12" s="1"/>
  <c r="AD2651" i="12"/>
  <c r="AD1353" i="12"/>
  <c r="AE2613" i="12"/>
  <c r="AE2612" i="12" s="1"/>
  <c r="AE2611" i="12" s="1"/>
  <c r="AE2610" i="12" s="1"/>
  <c r="AE2609" i="12" s="1"/>
  <c r="AE2608" i="12" s="1"/>
  <c r="AE2607" i="12" s="1"/>
  <c r="AE2606" i="12" s="1"/>
  <c r="AE2605" i="12" s="1"/>
  <c r="AE2604" i="12" s="1"/>
  <c r="AE2603" i="12" s="1"/>
  <c r="AE2602" i="12" s="1"/>
  <c r="AE2601" i="12" s="1"/>
  <c r="AE2600" i="12" s="1"/>
  <c r="AE2599" i="12" s="1"/>
  <c r="AE2598" i="12" s="1"/>
  <c r="AE2597" i="12" s="1"/>
  <c r="AE2596" i="12" s="1"/>
  <c r="AE2595" i="12" s="1"/>
  <c r="AE2594" i="12" s="1"/>
  <c r="AE2593" i="12" s="1"/>
  <c r="AE2592" i="12" s="1"/>
  <c r="AE2591" i="12" s="1"/>
  <c r="AE2590" i="12" s="1"/>
  <c r="AE2589" i="12" s="1"/>
  <c r="AE2588" i="12" s="1"/>
  <c r="AE2587" i="12" s="1"/>
  <c r="AE2586" i="12" s="1"/>
  <c r="AE2585" i="12" s="1"/>
  <c r="AE2584" i="12" s="1"/>
  <c r="AE2583" i="12" s="1"/>
  <c r="AE2582" i="12" s="1"/>
  <c r="AE2581" i="12" s="1"/>
  <c r="AE2580" i="12" s="1"/>
  <c r="AE2579" i="12" s="1"/>
  <c r="AE2578" i="12" s="1"/>
  <c r="AE2577" i="12" s="1"/>
  <c r="AE2576" i="12" s="1"/>
  <c r="AE2575" i="12" s="1"/>
  <c r="AE2574" i="12" s="1"/>
  <c r="AE2573" i="12" s="1"/>
  <c r="AE2572" i="12" s="1"/>
  <c r="AE2571" i="12" s="1"/>
  <c r="AE2570" i="12" s="1"/>
  <c r="AE2569" i="12" s="1"/>
  <c r="AE2568" i="12" s="1"/>
  <c r="AE2567" i="12" s="1"/>
  <c r="AE2566" i="12" s="1"/>
  <c r="AE2565" i="12" s="1"/>
  <c r="AE2564" i="12" s="1"/>
  <c r="AE2563" i="12" s="1"/>
  <c r="AE2562" i="12" s="1"/>
  <c r="AE2561" i="12" s="1"/>
  <c r="AE2560" i="12" s="1"/>
  <c r="AE2559" i="12" s="1"/>
  <c r="AE2558" i="12" s="1"/>
  <c r="AE2557" i="12" s="1"/>
  <c r="AE2556" i="12" s="1"/>
  <c r="AE2555" i="12" s="1"/>
  <c r="AE2554" i="12" s="1"/>
  <c r="AC1353" i="12"/>
  <c r="AC1352" i="12" s="1"/>
  <c r="AC1351" i="12" s="1"/>
  <c r="AC1350" i="12" s="1"/>
  <c r="AC1349" i="12" s="1"/>
  <c r="AC1348" i="12" s="1"/>
  <c r="AC1347" i="12" s="1"/>
  <c r="AC1346" i="12" s="1"/>
  <c r="AC1345" i="12" s="1"/>
  <c r="AC1344" i="12" s="1"/>
  <c r="AC1343" i="12" s="1"/>
  <c r="AC1342" i="12" s="1"/>
  <c r="AC1341" i="12" s="1"/>
  <c r="AC1340" i="12" s="1"/>
  <c r="AC1339" i="12" s="1"/>
  <c r="AC1338" i="12" s="1"/>
  <c r="AC1337" i="12" s="1"/>
  <c r="AC1336" i="12" s="1"/>
  <c r="AC1335" i="12" s="1"/>
  <c r="AC1334" i="12" s="1"/>
  <c r="AC1333" i="12" s="1"/>
  <c r="AC1332" i="12" s="1"/>
  <c r="AC1331" i="12" s="1"/>
  <c r="AC1330" i="12" s="1"/>
  <c r="AC1329" i="12" s="1"/>
  <c r="AC1328" i="12" s="1"/>
  <c r="AC1327" i="12" s="1"/>
  <c r="AC1326" i="12" s="1"/>
  <c r="AC1325" i="12" s="1"/>
  <c r="AC1324" i="12" s="1"/>
  <c r="AC1323" i="12" s="1"/>
  <c r="AC2092" i="12"/>
  <c r="AC2091" i="12" s="1"/>
  <c r="AC2090" i="12" s="1"/>
  <c r="AC2089" i="12" s="1"/>
  <c r="AC2088" i="12" s="1"/>
  <c r="AC2087" i="12" s="1"/>
  <c r="AC2086" i="12" s="1"/>
  <c r="AC2085" i="12" s="1"/>
  <c r="AC2084" i="12" s="1"/>
  <c r="AC2083" i="12" s="1"/>
  <c r="AC2082" i="12" s="1"/>
  <c r="AC2081" i="12" s="1"/>
  <c r="AC2080" i="12" s="1"/>
  <c r="AC2079" i="12" s="1"/>
  <c r="AC2078" i="12" s="1"/>
  <c r="AC2077" i="12" s="1"/>
  <c r="AC2076" i="12" s="1"/>
  <c r="AC2075" i="12" s="1"/>
  <c r="AC2074" i="12" s="1"/>
  <c r="AC2073" i="12" s="1"/>
  <c r="AC2072" i="12" s="1"/>
  <c r="AC2071" i="12" s="1"/>
  <c r="AC2070" i="12" s="1"/>
  <c r="AC2069" i="12" s="1"/>
  <c r="AC2068" i="12" s="1"/>
  <c r="AC2067" i="12" s="1"/>
  <c r="AC2066" i="12" s="1"/>
  <c r="AC2065" i="12" s="1"/>
  <c r="AC2064" i="12" s="1"/>
  <c r="AC2063" i="12" s="1"/>
  <c r="AD1832" i="12"/>
  <c r="AC2473" i="12"/>
  <c r="AC2472" i="12" s="1"/>
  <c r="AC2471" i="12" s="1"/>
  <c r="AC2470" i="12" s="1"/>
  <c r="AC2469" i="12" s="1"/>
  <c r="AC2468" i="12" s="1"/>
  <c r="AC2467" i="12" s="1"/>
  <c r="AC2466" i="12" s="1"/>
  <c r="AC2465" i="12" s="1"/>
  <c r="AC2464" i="12" s="1"/>
  <c r="AC2463" i="12" s="1"/>
  <c r="AC725" i="12"/>
  <c r="AC724" i="12" s="1"/>
  <c r="AC723" i="12" s="1"/>
  <c r="AC722" i="12" s="1"/>
  <c r="AC721" i="12" s="1"/>
  <c r="AC720" i="12" s="1"/>
  <c r="AC719" i="12" s="1"/>
  <c r="AC718" i="12" s="1"/>
  <c r="AC717" i="12" s="1"/>
  <c r="AC716" i="12" s="1"/>
  <c r="AC715" i="12" s="1"/>
  <c r="AC714" i="12" s="1"/>
  <c r="AC713" i="12" s="1"/>
  <c r="AC712" i="12" s="1"/>
  <c r="AC711" i="12" s="1"/>
  <c r="AC710" i="12" s="1"/>
  <c r="AC709" i="12" s="1"/>
  <c r="AC708" i="12" s="1"/>
  <c r="AC707" i="12" s="1"/>
  <c r="AC706" i="12" s="1"/>
  <c r="AC705" i="12" s="1"/>
  <c r="AC704" i="12" s="1"/>
  <c r="AC703" i="12" s="1"/>
  <c r="AC702" i="12" s="1"/>
  <c r="AC701" i="12" s="1"/>
  <c r="AC700" i="12" s="1"/>
  <c r="AC699" i="12" s="1"/>
  <c r="AC698" i="12" s="1"/>
  <c r="AC697" i="12" s="1"/>
  <c r="AC696" i="12" s="1"/>
  <c r="AC695" i="12" s="1"/>
  <c r="AC694" i="12" s="1"/>
  <c r="AC693" i="12" s="1"/>
  <c r="AC692" i="12" s="1"/>
  <c r="AC691" i="12" s="1"/>
  <c r="AC690" i="12" s="1"/>
  <c r="AC689" i="12" s="1"/>
  <c r="AC688" i="12" s="1"/>
  <c r="AC687" i="12" s="1"/>
  <c r="AC686" i="12" s="1"/>
  <c r="AC685" i="12" s="1"/>
  <c r="AC684" i="12" s="1"/>
  <c r="AC683" i="12" s="1"/>
  <c r="AC682" i="12" s="1"/>
  <c r="AC681" i="12" s="1"/>
  <c r="AC680" i="12" s="1"/>
  <c r="AC679" i="12" s="1"/>
  <c r="AC678" i="12" s="1"/>
  <c r="AC677" i="12" s="1"/>
  <c r="AC676" i="12" s="1"/>
  <c r="AC675" i="12" s="1"/>
  <c r="AC674" i="12" s="1"/>
  <c r="AC673" i="12" s="1"/>
  <c r="AC672" i="12" s="1"/>
  <c r="AC671" i="12" s="1"/>
  <c r="AC670" i="12" s="1"/>
  <c r="AC669" i="12" s="1"/>
  <c r="AC668" i="12" s="1"/>
  <c r="AC667" i="12" s="1"/>
  <c r="AC666" i="12" s="1"/>
  <c r="AC665" i="12" s="1"/>
  <c r="AC664" i="12" s="1"/>
  <c r="AC663" i="12" s="1"/>
  <c r="AC662" i="12" s="1"/>
  <c r="AC661" i="12" s="1"/>
  <c r="AC660" i="12" s="1"/>
  <c r="AC659" i="12" s="1"/>
  <c r="AC658" i="12" s="1"/>
  <c r="AC657" i="12" s="1"/>
  <c r="AC656" i="12" s="1"/>
  <c r="AC655" i="12" s="1"/>
  <c r="AC654" i="12" s="1"/>
  <c r="AC653" i="12" s="1"/>
  <c r="AC652" i="12" s="1"/>
  <c r="AC651" i="12" s="1"/>
  <c r="AC650" i="12" s="1"/>
  <c r="AC649" i="12" s="1"/>
  <c r="AC648" i="12" s="1"/>
  <c r="AC647" i="12" s="1"/>
  <c r="AC646" i="12" s="1"/>
  <c r="AC645" i="12" s="1"/>
  <c r="AC644" i="12" s="1"/>
  <c r="AC1892" i="12"/>
  <c r="AC1891" i="12" s="1"/>
  <c r="AC1890" i="12" s="1"/>
  <c r="AC1889" i="12" s="1"/>
  <c r="AC1888" i="12" s="1"/>
  <c r="AC1887" i="12" s="1"/>
  <c r="AC1886" i="12" s="1"/>
  <c r="AC1885" i="12" s="1"/>
  <c r="AC1884" i="12" s="1"/>
  <c r="AC1883" i="12" s="1"/>
  <c r="AC1882" i="12" s="1"/>
  <c r="AC1922" i="12"/>
  <c r="AC1921" i="12" s="1"/>
  <c r="AC1920" i="12" s="1"/>
  <c r="AC1919" i="12" s="1"/>
  <c r="AC1918" i="12" s="1"/>
  <c r="AC1917" i="12" s="1"/>
  <c r="AC1916" i="12" s="1"/>
  <c r="AC1915" i="12" s="1"/>
  <c r="AC1914" i="12" s="1"/>
  <c r="AC1913" i="12" s="1"/>
  <c r="AC2412" i="12"/>
  <c r="AC2411" i="12" s="1"/>
  <c r="AC2410" i="12" s="1"/>
  <c r="AC2409" i="12" s="1"/>
  <c r="AC2408" i="12" s="1"/>
  <c r="AC2407" i="12" s="1"/>
  <c r="AC2406" i="12" s="1"/>
  <c r="AC2405" i="12" s="1"/>
  <c r="AC2404" i="12" s="1"/>
  <c r="AC2162" i="12"/>
  <c r="AC2161" i="12" s="1"/>
  <c r="AC2160" i="12" s="1"/>
  <c r="AC2159" i="12" s="1"/>
  <c r="AC2158" i="12" s="1"/>
  <c r="AC2157" i="12" s="1"/>
  <c r="AC2156" i="12" s="1"/>
  <c r="AC2155" i="12" s="1"/>
  <c r="AC2154" i="12" s="1"/>
  <c r="AC2153" i="12" s="1"/>
  <c r="AC2152" i="12" s="1"/>
  <c r="AC2151" i="12" s="1"/>
  <c r="AC2150" i="12" s="1"/>
  <c r="AC2149" i="12" s="1"/>
  <c r="AC2148" i="12" s="1"/>
  <c r="AC2147" i="12" s="1"/>
  <c r="AC2146" i="12" s="1"/>
  <c r="AC2145" i="12" s="1"/>
  <c r="AC2144" i="12" s="1"/>
  <c r="AC2143" i="12" s="1"/>
  <c r="AC2142" i="12" s="1"/>
  <c r="AC2141" i="12" s="1"/>
  <c r="AC2140" i="12" s="1"/>
  <c r="AC2139" i="12" s="1"/>
  <c r="AC2138" i="12" s="1"/>
  <c r="AC2137" i="12" s="1"/>
  <c r="AC2136" i="12" s="1"/>
  <c r="AC2135" i="12" s="1"/>
  <c r="AC2134" i="12" s="1"/>
  <c r="AC2133" i="12" s="1"/>
  <c r="AC2382" i="12"/>
  <c r="AC2381" i="12" s="1"/>
  <c r="AC2380" i="12" s="1"/>
  <c r="AC2379" i="12" s="1"/>
  <c r="AC2378" i="12" s="1"/>
  <c r="AC2377" i="12" s="1"/>
  <c r="AC2376" i="12" s="1"/>
  <c r="AC2375" i="12" s="1"/>
  <c r="AC2374" i="12" s="1"/>
  <c r="AC2373" i="12" s="1"/>
  <c r="AD1782" i="12"/>
  <c r="AE2683" i="12"/>
  <c r="AE2682" i="12" s="1"/>
  <c r="AE2681" i="12" s="1"/>
  <c r="AE2680" i="12" s="1"/>
  <c r="AE2679" i="12" s="1"/>
  <c r="AE2678" i="12" s="1"/>
  <c r="AE2677" i="12" s="1"/>
  <c r="AE2676" i="12" s="1"/>
  <c r="AE2675" i="12" s="1"/>
  <c r="AE2674" i="12" s="1"/>
  <c r="AE2673" i="12" s="1"/>
  <c r="AE2672" i="12" s="1"/>
  <c r="AE2671" i="12" s="1"/>
  <c r="AE2670" i="12" s="1"/>
  <c r="AE2669" i="12" s="1"/>
  <c r="AE2668" i="12" s="1"/>
  <c r="AE2667" i="12" s="1"/>
  <c r="AE2666" i="12" s="1"/>
  <c r="AE2665" i="12" s="1"/>
  <c r="AE2664" i="12" s="1"/>
  <c r="AE2663" i="12" s="1"/>
  <c r="AE2662" i="12" s="1"/>
  <c r="AE2661" i="12" s="1"/>
  <c r="AE2660" i="12" s="1"/>
  <c r="AE2659" i="12" s="1"/>
  <c r="AE2658" i="12" s="1"/>
  <c r="AE2657" i="12" s="1"/>
  <c r="AE2656" i="12" s="1"/>
  <c r="AE2655" i="12" s="1"/>
  <c r="AE2654" i="12" s="1"/>
  <c r="AE2653" i="12" s="1"/>
  <c r="AE2652" i="12" s="1"/>
  <c r="AE1613" i="12"/>
  <c r="AE1612" i="12" s="1"/>
  <c r="AE1611" i="12" s="1"/>
  <c r="AE1610" i="12" s="1"/>
  <c r="AE1609" i="12" s="1"/>
  <c r="AE1608" i="12" s="1"/>
  <c r="AE1607" i="12" s="1"/>
  <c r="AE1606" i="12" s="1"/>
  <c r="AE1605" i="12" s="1"/>
  <c r="AE1604" i="12" s="1"/>
  <c r="AE1603" i="12" s="1"/>
  <c r="AE1843" i="12"/>
  <c r="AE1842" i="12" s="1"/>
  <c r="AE1841" i="12" s="1"/>
  <c r="AE1840" i="12" s="1"/>
  <c r="AE1839" i="12" s="1"/>
  <c r="AE1838" i="12" s="1"/>
  <c r="AE1837" i="12" s="1"/>
  <c r="AE1836" i="12" s="1"/>
  <c r="AE1835" i="12" s="1"/>
  <c r="AE1834" i="12" s="1"/>
  <c r="AE1833" i="12" s="1"/>
  <c r="AE1561" i="12"/>
  <c r="AE1560" i="12" s="1"/>
  <c r="AE1559" i="12" s="1"/>
  <c r="AE1558" i="12" s="1"/>
  <c r="AE1557" i="12" s="1"/>
  <c r="AE1556" i="12" s="1"/>
  <c r="AE1555" i="12" s="1"/>
  <c r="AE1554" i="12" s="1"/>
  <c r="AE1553" i="12" s="1"/>
  <c r="AD1922" i="12"/>
  <c r="AE1042" i="12"/>
  <c r="AE1041" i="12" s="1"/>
  <c r="AE1040" i="12" s="1"/>
  <c r="AE1039" i="12" s="1"/>
  <c r="AE1038" i="12" s="1"/>
  <c r="AE1037" i="12" s="1"/>
  <c r="AE1036" i="12" s="1"/>
  <c r="AE1035" i="12" s="1"/>
  <c r="AE1034" i="12" s="1"/>
  <c r="AE1033" i="12" s="1"/>
  <c r="AE1032" i="12" s="1"/>
  <c r="AE1031" i="12" s="1"/>
  <c r="AE1030" i="12" s="1"/>
  <c r="AE1029" i="12" s="1"/>
  <c r="AE1028" i="12" s="1"/>
  <c r="AE1027" i="12" s="1"/>
  <c r="AE1026" i="12" s="1"/>
  <c r="AE1025" i="12" s="1"/>
  <c r="AE1024" i="12" s="1"/>
  <c r="AE1023" i="12" s="1"/>
  <c r="AE1022" i="12" s="1"/>
  <c r="AE1021" i="12" s="1"/>
  <c r="AE1020" i="12" s="1"/>
  <c r="AE1019" i="12" s="1"/>
  <c r="AE1018" i="12" s="1"/>
  <c r="AE1017" i="12" s="1"/>
  <c r="AE1016" i="12" s="1"/>
  <c r="AE1015" i="12" s="1"/>
  <c r="AE1014" i="12" s="1"/>
  <c r="AE1013" i="12" s="1"/>
  <c r="AE1012" i="12" s="1"/>
  <c r="AE1011" i="12" s="1"/>
  <c r="AE1010" i="12" s="1"/>
  <c r="AE1009" i="12" s="1"/>
  <c r="AE1008" i="12" s="1"/>
  <c r="AE1007" i="12" s="1"/>
  <c r="AE1006" i="12" s="1"/>
  <c r="AE1005" i="12" s="1"/>
  <c r="AE1004" i="12" s="1"/>
  <c r="AE1003" i="12" s="1"/>
  <c r="AC1392" i="12"/>
  <c r="AC1391" i="12" s="1"/>
  <c r="AC1390" i="12" s="1"/>
  <c r="AC1389" i="12" s="1"/>
  <c r="AC1388" i="12" s="1"/>
  <c r="AC1387" i="12" s="1"/>
  <c r="AC1386" i="12" s="1"/>
  <c r="AC1385" i="12" s="1"/>
  <c r="AC1384" i="12" s="1"/>
  <c r="AC1383" i="12" s="1"/>
  <c r="AC1382" i="12" s="1"/>
  <c r="AC1381" i="12" s="1"/>
  <c r="AC1380" i="12" s="1"/>
  <c r="AC1379" i="12" s="1"/>
  <c r="AC1378" i="12" s="1"/>
  <c r="AC1377" i="12" s="1"/>
  <c r="AC1376" i="12" s="1"/>
  <c r="AC1375" i="12" s="1"/>
  <c r="AC1374" i="12" s="1"/>
  <c r="AC1373" i="12" s="1"/>
  <c r="AC1372" i="12" s="1"/>
  <c r="AC1371" i="12" s="1"/>
  <c r="AC1370" i="12" s="1"/>
  <c r="AC1369" i="12" s="1"/>
  <c r="AC1368" i="12" s="1"/>
  <c r="AC1367" i="12" s="1"/>
  <c r="AC1366" i="12" s="1"/>
  <c r="AC1365" i="12" s="1"/>
  <c r="AC1364" i="12" s="1"/>
  <c r="AC1363" i="12" s="1"/>
  <c r="AC1362" i="12" s="1"/>
  <c r="AC1361" i="12" s="1"/>
  <c r="AC1360" i="12" s="1"/>
  <c r="AC1359" i="12" s="1"/>
  <c r="AC1358" i="12" s="1"/>
  <c r="AC1357" i="12" s="1"/>
  <c r="AC1356" i="12" s="1"/>
  <c r="AC1355" i="12" s="1"/>
  <c r="AC1354" i="12" s="1"/>
  <c r="AC2553" i="12"/>
  <c r="AC2552" i="12" s="1"/>
  <c r="AC2551" i="12" s="1"/>
  <c r="AC2550" i="12" s="1"/>
  <c r="AC2549" i="12" s="1"/>
  <c r="AC2548" i="12" s="1"/>
  <c r="AC2547" i="12" s="1"/>
  <c r="AC2546" i="12" s="1"/>
  <c r="AC2545" i="12" s="1"/>
  <c r="AC2544" i="12" s="1"/>
  <c r="AD2372" i="12"/>
  <c r="AE1819" i="12"/>
  <c r="AE1818" i="12" s="1"/>
  <c r="AE1817" i="12" s="1"/>
  <c r="AE1816" i="12" s="1"/>
  <c r="AE1815" i="12" s="1"/>
  <c r="AE1814" i="12" s="1"/>
  <c r="AE1813" i="12" s="1"/>
  <c r="AD2683" i="12"/>
  <c r="AE1353" i="12"/>
  <c r="AE1352" i="12" s="1"/>
  <c r="AE1351" i="12" s="1"/>
  <c r="AE1350" i="12" s="1"/>
  <c r="AE1349" i="12" s="1"/>
  <c r="AE1348" i="12" s="1"/>
  <c r="AE1347" i="12" s="1"/>
  <c r="AE1346" i="12" s="1"/>
  <c r="AE1345" i="12" s="1"/>
  <c r="AE1344" i="12" s="1"/>
  <c r="AE1343" i="12" s="1"/>
  <c r="AE1342" i="12" s="1"/>
  <c r="AE1341" i="12" s="1"/>
  <c r="AE1340" i="12" s="1"/>
  <c r="AE1339" i="12" s="1"/>
  <c r="AE1338" i="12" s="1"/>
  <c r="AE1337" i="12" s="1"/>
  <c r="AE1336" i="12" s="1"/>
  <c r="AE1335" i="12" s="1"/>
  <c r="AE1334" i="12" s="1"/>
  <c r="AE1333" i="12" s="1"/>
  <c r="AE1332" i="12" s="1"/>
  <c r="AE1331" i="12" s="1"/>
  <c r="AE1330" i="12" s="1"/>
  <c r="AE1329" i="12" s="1"/>
  <c r="AE1328" i="12" s="1"/>
  <c r="AE1327" i="12" s="1"/>
  <c r="AE1326" i="12" s="1"/>
  <c r="AE1325" i="12" s="1"/>
  <c r="AE1324" i="12" s="1"/>
  <c r="AE1323" i="12" s="1"/>
  <c r="AE2403" i="12"/>
  <c r="AE2402" i="12" s="1"/>
  <c r="AE2401" i="12" s="1"/>
  <c r="AE2400" i="12" s="1"/>
  <c r="AE2399" i="12" s="1"/>
  <c r="AE2398" i="12" s="1"/>
  <c r="AE2397" i="12" s="1"/>
  <c r="AE2396" i="12" s="1"/>
  <c r="AE2395" i="12" s="1"/>
  <c r="AE2394" i="12" s="1"/>
  <c r="AE2393" i="12" s="1"/>
  <c r="Q36" i="9"/>
  <c r="Q37" i="9" s="1"/>
  <c r="Q38" i="9" s="1"/>
  <c r="Q39" i="9" s="1"/>
  <c r="Q40" i="9" s="1"/>
  <c r="AC342" i="12"/>
  <c r="AC341" i="12" s="1"/>
  <c r="AC340" i="12" s="1"/>
  <c r="AC339" i="12" s="1"/>
  <c r="AC338" i="12" s="1"/>
  <c r="AC337" i="12" s="1"/>
  <c r="AC336" i="12" s="1"/>
  <c r="AC34" i="12"/>
  <c r="AC33" i="12" s="1"/>
  <c r="AC32" i="12" s="1"/>
  <c r="AC31" i="12" s="1"/>
  <c r="AC30" i="12" s="1"/>
  <c r="AC4" i="12"/>
  <c r="AC3" i="12" s="1"/>
  <c r="AD342" i="12"/>
  <c r="AD34" i="12"/>
  <c r="AD4" i="12"/>
  <c r="AE644" i="12"/>
  <c r="AE494" i="12"/>
  <c r="AE493" i="12" s="1"/>
  <c r="AE492" i="12" s="1"/>
  <c r="AE491" i="12" s="1"/>
  <c r="AE490" i="12" s="1"/>
  <c r="AE342" i="12"/>
  <c r="AE341" i="12" s="1"/>
  <c r="AE340" i="12" s="1"/>
  <c r="AE339" i="12" s="1"/>
  <c r="AE338" i="12" s="1"/>
  <c r="AE337" i="12" s="1"/>
  <c r="AE336" i="12" s="1"/>
  <c r="AE34" i="12"/>
  <c r="AE33" i="12" s="1"/>
  <c r="AE32" i="12" s="1"/>
  <c r="AE31" i="12" s="1"/>
  <c r="AE30" i="12" s="1"/>
  <c r="AE4" i="12"/>
  <c r="L16" i="11"/>
  <c r="O16" i="11" s="1"/>
  <c r="L6" i="11"/>
  <c r="L7" i="11" s="1"/>
  <c r="M29" i="11"/>
  <c r="P29" i="11" s="1"/>
  <c r="BI21" i="9" s="1"/>
  <c r="AL1463" i="12" s="1"/>
  <c r="O32" i="11"/>
  <c r="S32" i="11" s="1"/>
  <c r="BL24" i="9" s="1"/>
  <c r="S1673" i="12" s="1"/>
  <c r="S1672" i="12" s="1"/>
  <c r="S1671" i="12" s="1"/>
  <c r="S1670" i="12" s="1"/>
  <c r="S1669" i="12" s="1"/>
  <c r="S1668" i="12" s="1"/>
  <c r="S1667" i="12" s="1"/>
  <c r="S1666" i="12" s="1"/>
  <c r="S1665" i="12" s="1"/>
  <c r="S1664" i="12" s="1"/>
  <c r="S1663" i="12" s="1"/>
  <c r="S1662" i="12" s="1"/>
  <c r="S1661" i="12" s="1"/>
  <c r="S1660" i="12" s="1"/>
  <c r="S1659" i="12" s="1"/>
  <c r="S1658" i="12" s="1"/>
  <c r="S1657" i="12" s="1"/>
  <c r="S1656" i="12" s="1"/>
  <c r="S1655" i="12" s="1"/>
  <c r="S1654" i="12" s="1"/>
  <c r="S1653" i="12" s="1"/>
  <c r="S1652" i="12" s="1"/>
  <c r="S1651" i="12" s="1"/>
  <c r="S1650" i="12" s="1"/>
  <c r="S1649" i="12" s="1"/>
  <c r="S1648" i="12" s="1"/>
  <c r="S1647" i="12" s="1"/>
  <c r="S1646" i="12" s="1"/>
  <c r="S1645" i="12" s="1"/>
  <c r="S1644" i="12" s="1"/>
  <c r="S1643" i="12" s="1"/>
  <c r="S1642" i="12" s="1"/>
  <c r="S1641" i="12" s="1"/>
  <c r="S1640" i="12" s="1"/>
  <c r="S1639" i="12" s="1"/>
  <c r="S1638" i="12" s="1"/>
  <c r="S1637" i="12" s="1"/>
  <c r="S1636" i="12" s="1"/>
  <c r="S1635" i="12" s="1"/>
  <c r="S1634" i="12" s="1"/>
  <c r="S1633" i="12" s="1"/>
  <c r="S1632" i="12" s="1"/>
  <c r="S1631" i="12" s="1"/>
  <c r="S1630" i="12" s="1"/>
  <c r="S1629" i="12" s="1"/>
  <c r="S1628" i="12" s="1"/>
  <c r="S1627" i="12" s="1"/>
  <c r="S1626" i="12" s="1"/>
  <c r="S1625" i="12" s="1"/>
  <c r="S1624" i="12" s="1"/>
  <c r="S1623" i="12" s="1"/>
  <c r="S1622" i="12" s="1"/>
  <c r="S1621" i="12" s="1"/>
  <c r="S1620" i="12" s="1"/>
  <c r="S1619" i="12" s="1"/>
  <c r="S1618" i="12" s="1"/>
  <c r="S1617" i="12" s="1"/>
  <c r="S1616" i="12" s="1"/>
  <c r="S1615" i="12" s="1"/>
  <c r="S1614" i="12" s="1"/>
  <c r="S1613" i="12" s="1"/>
  <c r="S1612" i="12" s="1"/>
  <c r="S1611" i="12" s="1"/>
  <c r="S1610" i="12" s="1"/>
  <c r="S1609" i="12" s="1"/>
  <c r="S1608" i="12" s="1"/>
  <c r="S1607" i="12" s="1"/>
  <c r="S1606" i="12" s="1"/>
  <c r="S1605" i="12" s="1"/>
  <c r="S1604" i="12" s="1"/>
  <c r="S1603" i="12" s="1"/>
  <c r="M32" i="11"/>
  <c r="O31" i="11"/>
  <c r="S31" i="11" s="1"/>
  <c r="BL23" i="9" s="1"/>
  <c r="S1602" i="12" s="1"/>
  <c r="S1601" i="12" s="1"/>
  <c r="S1600" i="12" s="1"/>
  <c r="S1599" i="12" s="1"/>
  <c r="S1598" i="12" s="1"/>
  <c r="S1597" i="12" s="1"/>
  <c r="S1596" i="12" s="1"/>
  <c r="S1595" i="12" s="1"/>
  <c r="S1594" i="12" s="1"/>
  <c r="S1593" i="12" s="1"/>
  <c r="S1592" i="12" s="1"/>
  <c r="S1591" i="12" s="1"/>
  <c r="S1590" i="12" s="1"/>
  <c r="S1589" i="12" s="1"/>
  <c r="S1588" i="12" s="1"/>
  <c r="S1587" i="12" s="1"/>
  <c r="S1586" i="12" s="1"/>
  <c r="S1585" i="12" s="1"/>
  <c r="S1584" i="12" s="1"/>
  <c r="S1583" i="12" s="1"/>
  <c r="S1582" i="12" s="1"/>
  <c r="S1581" i="12" s="1"/>
  <c r="S1580" i="12" s="1"/>
  <c r="S1579" i="12" s="1"/>
  <c r="S1578" i="12" s="1"/>
  <c r="S1577" i="12" s="1"/>
  <c r="S1576" i="12" s="1"/>
  <c r="S1575" i="12" s="1"/>
  <c r="S1574" i="12" s="1"/>
  <c r="S1573" i="12" s="1"/>
  <c r="S1572" i="12" s="1"/>
  <c r="S1571" i="12" s="1"/>
  <c r="S1570" i="12" s="1"/>
  <c r="S1569" i="12" s="1"/>
  <c r="S1568" i="12" s="1"/>
  <c r="S1567" i="12" s="1"/>
  <c r="S1566" i="12" s="1"/>
  <c r="S1565" i="12" s="1"/>
  <c r="S1564" i="12" s="1"/>
  <c r="S1563" i="12" s="1"/>
  <c r="S1562" i="12" s="1"/>
  <c r="S1561" i="12" s="1"/>
  <c r="S1560" i="12" s="1"/>
  <c r="S1559" i="12" s="1"/>
  <c r="S1558" i="12" s="1"/>
  <c r="S1557" i="12" s="1"/>
  <c r="S1556" i="12" s="1"/>
  <c r="S1555" i="12" s="1"/>
  <c r="S1554" i="12" s="1"/>
  <c r="S1553" i="12" s="1"/>
  <c r="S1552" i="12" s="1"/>
  <c r="S1551" i="12" s="1"/>
  <c r="S1550" i="12" s="1"/>
  <c r="S1549" i="12" s="1"/>
  <c r="S1548" i="12" s="1"/>
  <c r="S1547" i="12" s="1"/>
  <c r="S1546" i="12" s="1"/>
  <c r="S1545" i="12" s="1"/>
  <c r="S1544" i="12" s="1"/>
  <c r="M31" i="11"/>
  <c r="O30" i="11"/>
  <c r="S30" i="11" s="1"/>
  <c r="BL22" i="9" s="1"/>
  <c r="S1543" i="12" s="1"/>
  <c r="S1542" i="12" s="1"/>
  <c r="S1541" i="12" s="1"/>
  <c r="S1540" i="12" s="1"/>
  <c r="S1539" i="12" s="1"/>
  <c r="S1538" i="12" s="1"/>
  <c r="S1537" i="12" s="1"/>
  <c r="S1536" i="12" s="1"/>
  <c r="S1535" i="12" s="1"/>
  <c r="S1534" i="12" s="1"/>
  <c r="S1533" i="12" s="1"/>
  <c r="S1532" i="12" s="1"/>
  <c r="S1531" i="12" s="1"/>
  <c r="S1530" i="12" s="1"/>
  <c r="S1529" i="12" s="1"/>
  <c r="S1528" i="12" s="1"/>
  <c r="S1527" i="12" s="1"/>
  <c r="S1526" i="12" s="1"/>
  <c r="S1525" i="12" s="1"/>
  <c r="S1524" i="12" s="1"/>
  <c r="S1523" i="12" s="1"/>
  <c r="S1522" i="12" s="1"/>
  <c r="S1521" i="12" s="1"/>
  <c r="S1520" i="12" s="1"/>
  <c r="S1519" i="12" s="1"/>
  <c r="S1518" i="12" s="1"/>
  <c r="S1517" i="12" s="1"/>
  <c r="S1516" i="12" s="1"/>
  <c r="S1515" i="12" s="1"/>
  <c r="S1514" i="12" s="1"/>
  <c r="S1513" i="12" s="1"/>
  <c r="S1512" i="12" s="1"/>
  <c r="S1511" i="12" s="1"/>
  <c r="S1510" i="12" s="1"/>
  <c r="S1509" i="12" s="1"/>
  <c r="S1508" i="12" s="1"/>
  <c r="S1507" i="12" s="1"/>
  <c r="S1506" i="12" s="1"/>
  <c r="S1505" i="12" s="1"/>
  <c r="S1504" i="12" s="1"/>
  <c r="S1503" i="12" s="1"/>
  <c r="S1502" i="12" s="1"/>
  <c r="S1501" i="12" s="1"/>
  <c r="S1500" i="12" s="1"/>
  <c r="S1499" i="12" s="1"/>
  <c r="S1498" i="12" s="1"/>
  <c r="S1497" i="12" s="1"/>
  <c r="S1496" i="12" s="1"/>
  <c r="S1495" i="12" s="1"/>
  <c r="S1494" i="12" s="1"/>
  <c r="S1493" i="12" s="1"/>
  <c r="S1492" i="12" s="1"/>
  <c r="S1491" i="12" s="1"/>
  <c r="S1490" i="12" s="1"/>
  <c r="S1489" i="12" s="1"/>
  <c r="S1488" i="12" s="1"/>
  <c r="S1487" i="12" s="1"/>
  <c r="S1486" i="12" s="1"/>
  <c r="S1485" i="12" s="1"/>
  <c r="S1484" i="12" s="1"/>
  <c r="S1483" i="12" s="1"/>
  <c r="S1482" i="12" s="1"/>
  <c r="S1481" i="12" s="1"/>
  <c r="S1480" i="12" s="1"/>
  <c r="S1479" i="12" s="1"/>
  <c r="S1478" i="12" s="1"/>
  <c r="S1477" i="12" s="1"/>
  <c r="S1476" i="12" s="1"/>
  <c r="S1475" i="12" s="1"/>
  <c r="S1474" i="12" s="1"/>
  <c r="S1473" i="12" s="1"/>
  <c r="S1472" i="12" s="1"/>
  <c r="S1471" i="12" s="1"/>
  <c r="S1470" i="12" s="1"/>
  <c r="S1469" i="12" s="1"/>
  <c r="S1468" i="12" s="1"/>
  <c r="S1467" i="12" s="1"/>
  <c r="S1466" i="12" s="1"/>
  <c r="S1465" i="12" s="1"/>
  <c r="S1464" i="12" s="1"/>
  <c r="M30" i="11"/>
  <c r="M27" i="11"/>
  <c r="P27" i="11" s="1"/>
  <c r="BI19" i="9" s="1"/>
  <c r="AL1323" i="12" s="1"/>
  <c r="M28" i="11"/>
  <c r="P28" i="11" s="1"/>
  <c r="BI20" i="9" s="1"/>
  <c r="AL1393" i="12" s="1"/>
  <c r="M18" i="11"/>
  <c r="P18" i="11" s="1"/>
  <c r="BI10" i="9" s="1"/>
  <c r="M25" i="11"/>
  <c r="P25" i="11" s="1"/>
  <c r="BI17" i="9" s="1"/>
  <c r="Q25" i="11"/>
  <c r="M21" i="11"/>
  <c r="P21" i="11" s="1"/>
  <c r="BI13" i="9" s="1"/>
  <c r="AL833" i="12" s="1"/>
  <c r="M24" i="11"/>
  <c r="P24" i="11" s="1"/>
  <c r="BI16" i="9" s="1"/>
  <c r="AL1043" i="12" s="1"/>
  <c r="M22" i="11"/>
  <c r="P22" i="11" s="1"/>
  <c r="BI14" i="9" s="1"/>
  <c r="AL903" i="12" s="1"/>
  <c r="J6" i="13"/>
  <c r="L14" i="11"/>
  <c r="O14" i="11" s="1"/>
  <c r="P17" i="11"/>
  <c r="BI9" i="9" s="1"/>
  <c r="Q17" i="11"/>
  <c r="Q18" i="11"/>
  <c r="BJ17" i="9" l="1"/>
  <c r="R25" i="11"/>
  <c r="BJ18" i="9"/>
  <c r="AM1253" i="12" s="1"/>
  <c r="R26" i="11"/>
  <c r="BJ26" i="9"/>
  <c r="AM1883" i="12" s="1"/>
  <c r="R34" i="11"/>
  <c r="BJ12" i="9"/>
  <c r="AM762" i="12" s="1"/>
  <c r="R20" i="11"/>
  <c r="BJ13" i="9"/>
  <c r="AM833" i="12" s="1"/>
  <c r="R21" i="11"/>
  <c r="T43" i="11"/>
  <c r="BM35" i="9" s="1"/>
  <c r="R2653" i="12" s="1"/>
  <c r="R2652" i="12" s="1"/>
  <c r="R2651" i="12" s="1"/>
  <c r="R2650" i="12" s="1"/>
  <c r="R2649" i="12" s="1"/>
  <c r="R2648" i="12" s="1"/>
  <c r="R2647" i="12" s="1"/>
  <c r="R2646" i="12" s="1"/>
  <c r="R2645" i="12" s="1"/>
  <c r="R2644" i="12" s="1"/>
  <c r="R2643" i="12" s="1"/>
  <c r="R2642" i="12" s="1"/>
  <c r="R2641" i="12" s="1"/>
  <c r="R2640" i="12" s="1"/>
  <c r="R2639" i="12" s="1"/>
  <c r="R2638" i="12" s="1"/>
  <c r="R2637" i="12" s="1"/>
  <c r="R2636" i="12" s="1"/>
  <c r="R2635" i="12" s="1"/>
  <c r="R2634" i="12" s="1"/>
  <c r="R2633" i="12" s="1"/>
  <c r="R2632" i="12" s="1"/>
  <c r="R2631" i="12" s="1"/>
  <c r="R2630" i="12" s="1"/>
  <c r="R2629" i="12" s="1"/>
  <c r="R2628" i="12" s="1"/>
  <c r="R2627" i="12" s="1"/>
  <c r="R2626" i="12" s="1"/>
  <c r="R2625" i="12" s="1"/>
  <c r="R2624" i="12" s="1"/>
  <c r="R2623" i="12" s="1"/>
  <c r="R2622" i="12" s="1"/>
  <c r="R2621" i="12" s="1"/>
  <c r="R2620" i="12" s="1"/>
  <c r="R2619" i="12" s="1"/>
  <c r="R2618" i="12" s="1"/>
  <c r="R2617" i="12" s="1"/>
  <c r="R2616" i="12" s="1"/>
  <c r="R2615" i="12" s="1"/>
  <c r="R2614" i="12" s="1"/>
  <c r="R2613" i="12" s="1"/>
  <c r="R2612" i="12" s="1"/>
  <c r="R2611" i="12" s="1"/>
  <c r="R2610" i="12" s="1"/>
  <c r="R2609" i="12" s="1"/>
  <c r="R2608" i="12" s="1"/>
  <c r="R2607" i="12" s="1"/>
  <c r="R2606" i="12" s="1"/>
  <c r="R2605" i="12" s="1"/>
  <c r="R2604" i="12" s="1"/>
  <c r="R2603" i="12" s="1"/>
  <c r="R2602" i="12" s="1"/>
  <c r="R2601" i="12" s="1"/>
  <c r="R2600" i="12" s="1"/>
  <c r="R2599" i="12" s="1"/>
  <c r="R2598" i="12" s="1"/>
  <c r="R2597" i="12" s="1"/>
  <c r="R2596" i="12" s="1"/>
  <c r="R2595" i="12" s="1"/>
  <c r="R2594" i="12" s="1"/>
  <c r="R2593" i="12" s="1"/>
  <c r="R2592" i="12" s="1"/>
  <c r="R2591" i="12" s="1"/>
  <c r="R2590" i="12" s="1"/>
  <c r="R2589" i="12" s="1"/>
  <c r="R2588" i="12" s="1"/>
  <c r="R2587" i="12" s="1"/>
  <c r="R2586" i="12" s="1"/>
  <c r="R2585" i="12" s="1"/>
  <c r="R2584" i="12" s="1"/>
  <c r="BK35" i="9"/>
  <c r="T51" i="11"/>
  <c r="BM43" i="9" s="1"/>
  <c r="BK43" i="9"/>
  <c r="BJ10" i="9"/>
  <c r="BJ21" i="9"/>
  <c r="AM1463" i="12" s="1"/>
  <c r="BJ14" i="9"/>
  <c r="AM903" i="12" s="1"/>
  <c r="R22" i="11"/>
  <c r="T41" i="11"/>
  <c r="BM33" i="9" s="1"/>
  <c r="R2512" i="12" s="1"/>
  <c r="R2511" i="12" s="1"/>
  <c r="R2510" i="12" s="1"/>
  <c r="R2509" i="12" s="1"/>
  <c r="R2508" i="12" s="1"/>
  <c r="R2507" i="12" s="1"/>
  <c r="R2506" i="12" s="1"/>
  <c r="R2505" i="12" s="1"/>
  <c r="R2504" i="12" s="1"/>
  <c r="R2503" i="12" s="1"/>
  <c r="R2502" i="12" s="1"/>
  <c r="R2501" i="12" s="1"/>
  <c r="R2500" i="12" s="1"/>
  <c r="R2499" i="12" s="1"/>
  <c r="R2498" i="12" s="1"/>
  <c r="R2497" i="12" s="1"/>
  <c r="R2496" i="12" s="1"/>
  <c r="R2495" i="12" s="1"/>
  <c r="R2494" i="12" s="1"/>
  <c r="R2493" i="12" s="1"/>
  <c r="R2492" i="12" s="1"/>
  <c r="R2491" i="12" s="1"/>
  <c r="R2490" i="12" s="1"/>
  <c r="R2489" i="12" s="1"/>
  <c r="R2488" i="12" s="1"/>
  <c r="R2487" i="12" s="1"/>
  <c r="R2486" i="12" s="1"/>
  <c r="R2485" i="12" s="1"/>
  <c r="R2484" i="12" s="1"/>
  <c r="R2483" i="12" s="1"/>
  <c r="R2482" i="12" s="1"/>
  <c r="R2481" i="12" s="1"/>
  <c r="R2480" i="12" s="1"/>
  <c r="R2479" i="12" s="1"/>
  <c r="R2478" i="12" s="1"/>
  <c r="R2477" i="12" s="1"/>
  <c r="R2476" i="12" s="1"/>
  <c r="R2475" i="12" s="1"/>
  <c r="R2474" i="12" s="1"/>
  <c r="R2473" i="12" s="1"/>
  <c r="R2472" i="12" s="1"/>
  <c r="R2471" i="12" s="1"/>
  <c r="R2470" i="12" s="1"/>
  <c r="R2469" i="12" s="1"/>
  <c r="R2468" i="12" s="1"/>
  <c r="R2467" i="12" s="1"/>
  <c r="R2466" i="12" s="1"/>
  <c r="R2465" i="12" s="1"/>
  <c r="R2464" i="12" s="1"/>
  <c r="R2463" i="12" s="1"/>
  <c r="R2462" i="12" s="1"/>
  <c r="R2461" i="12" s="1"/>
  <c r="R2460" i="12" s="1"/>
  <c r="R2459" i="12" s="1"/>
  <c r="R2458" i="12" s="1"/>
  <c r="R2457" i="12" s="1"/>
  <c r="R2456" i="12" s="1"/>
  <c r="R2455" i="12" s="1"/>
  <c r="R2454" i="12" s="1"/>
  <c r="R2453" i="12" s="1"/>
  <c r="R2452" i="12" s="1"/>
  <c r="R2451" i="12" s="1"/>
  <c r="R2450" i="12" s="1"/>
  <c r="R2449" i="12" s="1"/>
  <c r="R2448" i="12" s="1"/>
  <c r="R2447" i="12" s="1"/>
  <c r="R2446" i="12" s="1"/>
  <c r="R2445" i="12" s="1"/>
  <c r="R2444" i="12" s="1"/>
  <c r="R2443" i="12" s="1"/>
  <c r="BK33" i="9"/>
  <c r="BJ20" i="9"/>
  <c r="AM1393" i="12" s="1"/>
  <c r="BJ19" i="9"/>
  <c r="AM1323" i="12" s="1"/>
  <c r="R27" i="11"/>
  <c r="BJ16" i="9"/>
  <c r="AM1043" i="12" s="1"/>
  <c r="R24" i="11"/>
  <c r="BJ15" i="9"/>
  <c r="R23" i="11"/>
  <c r="T49" i="11"/>
  <c r="BM41" i="9" s="1"/>
  <c r="BK41" i="9"/>
  <c r="T35" i="11"/>
  <c r="BM27" i="9" s="1"/>
  <c r="R1953" i="12" s="1"/>
  <c r="R1952" i="12" s="1"/>
  <c r="R1951" i="12" s="1"/>
  <c r="R1950" i="12" s="1"/>
  <c r="R1949" i="12" s="1"/>
  <c r="R1948" i="12" s="1"/>
  <c r="R1947" i="12" s="1"/>
  <c r="R1946" i="12" s="1"/>
  <c r="R1945" i="12" s="1"/>
  <c r="R1944" i="12" s="1"/>
  <c r="R1943" i="12" s="1"/>
  <c r="R1942" i="12" s="1"/>
  <c r="R1941" i="12" s="1"/>
  <c r="R1940" i="12" s="1"/>
  <c r="R1939" i="12" s="1"/>
  <c r="R1938" i="12" s="1"/>
  <c r="R1937" i="12" s="1"/>
  <c r="R1936" i="12" s="1"/>
  <c r="R1935" i="12" s="1"/>
  <c r="R1934" i="12" s="1"/>
  <c r="R1933" i="12" s="1"/>
  <c r="R1932" i="12" s="1"/>
  <c r="R1931" i="12" s="1"/>
  <c r="R1930" i="12" s="1"/>
  <c r="R1929" i="12" s="1"/>
  <c r="R1928" i="12" s="1"/>
  <c r="R1927" i="12" s="1"/>
  <c r="R1926" i="12" s="1"/>
  <c r="R1925" i="12" s="1"/>
  <c r="R1924" i="12" s="1"/>
  <c r="R1923" i="12" s="1"/>
  <c r="R1922" i="12" s="1"/>
  <c r="R1921" i="12" s="1"/>
  <c r="R1920" i="12" s="1"/>
  <c r="R1919" i="12" s="1"/>
  <c r="R1918" i="12" s="1"/>
  <c r="R1917" i="12" s="1"/>
  <c r="R1916" i="12" s="1"/>
  <c r="R1915" i="12" s="1"/>
  <c r="R1914" i="12" s="1"/>
  <c r="R1913" i="12" s="1"/>
  <c r="R1912" i="12" s="1"/>
  <c r="R1911" i="12" s="1"/>
  <c r="R1910" i="12" s="1"/>
  <c r="R1909" i="12" s="1"/>
  <c r="R1908" i="12" s="1"/>
  <c r="R1907" i="12" s="1"/>
  <c r="R1906" i="12" s="1"/>
  <c r="R1905" i="12" s="1"/>
  <c r="R1904" i="12" s="1"/>
  <c r="R1903" i="12" s="1"/>
  <c r="R1902" i="12" s="1"/>
  <c r="R1901" i="12" s="1"/>
  <c r="R1900" i="12" s="1"/>
  <c r="R1899" i="12" s="1"/>
  <c r="R1898" i="12" s="1"/>
  <c r="R1897" i="12" s="1"/>
  <c r="R1896" i="12" s="1"/>
  <c r="R1895" i="12" s="1"/>
  <c r="R1894" i="12" s="1"/>
  <c r="R1893" i="12" s="1"/>
  <c r="R1892" i="12" s="1"/>
  <c r="R1891" i="12" s="1"/>
  <c r="R1890" i="12" s="1"/>
  <c r="R1889" i="12" s="1"/>
  <c r="R1888" i="12" s="1"/>
  <c r="R1887" i="12" s="1"/>
  <c r="R1886" i="12" s="1"/>
  <c r="R1885" i="12" s="1"/>
  <c r="R1884" i="12" s="1"/>
  <c r="BK27" i="9"/>
  <c r="T50" i="11"/>
  <c r="BM42" i="9" s="1"/>
  <c r="BK42" i="9"/>
  <c r="T44" i="11"/>
  <c r="BM36" i="9" s="1"/>
  <c r="R2733" i="12" s="1"/>
  <c r="R2732" i="12" s="1"/>
  <c r="R2731" i="12" s="1"/>
  <c r="R2730" i="12" s="1"/>
  <c r="R2729" i="12" s="1"/>
  <c r="R2728" i="12" s="1"/>
  <c r="R2727" i="12" s="1"/>
  <c r="R2726" i="12" s="1"/>
  <c r="R2725" i="12" s="1"/>
  <c r="R2724" i="12" s="1"/>
  <c r="R2723" i="12" s="1"/>
  <c r="R2722" i="12" s="1"/>
  <c r="R2721" i="12" s="1"/>
  <c r="R2720" i="12" s="1"/>
  <c r="R2719" i="12" s="1"/>
  <c r="R2718" i="12" s="1"/>
  <c r="R2717" i="12" s="1"/>
  <c r="R2716" i="12" s="1"/>
  <c r="R2715" i="12" s="1"/>
  <c r="R2714" i="12" s="1"/>
  <c r="R2713" i="12" s="1"/>
  <c r="R2712" i="12" s="1"/>
  <c r="R2711" i="12" s="1"/>
  <c r="R2710" i="12" s="1"/>
  <c r="R2709" i="12" s="1"/>
  <c r="R2708" i="12" s="1"/>
  <c r="R2707" i="12" s="1"/>
  <c r="R2706" i="12" s="1"/>
  <c r="R2705" i="12" s="1"/>
  <c r="R2704" i="12" s="1"/>
  <c r="R2703" i="12" s="1"/>
  <c r="R2702" i="12" s="1"/>
  <c r="R2701" i="12" s="1"/>
  <c r="R2700" i="12" s="1"/>
  <c r="R2699" i="12" s="1"/>
  <c r="R2698" i="12" s="1"/>
  <c r="R2697" i="12" s="1"/>
  <c r="R2696" i="12" s="1"/>
  <c r="R2695" i="12" s="1"/>
  <c r="R2694" i="12" s="1"/>
  <c r="R2693" i="12" s="1"/>
  <c r="R2692" i="12" s="1"/>
  <c r="R2691" i="12" s="1"/>
  <c r="R2690" i="12" s="1"/>
  <c r="R2689" i="12" s="1"/>
  <c r="R2688" i="12" s="1"/>
  <c r="R2687" i="12" s="1"/>
  <c r="R2686" i="12" s="1"/>
  <c r="R2685" i="12" s="1"/>
  <c r="R2684" i="12" s="1"/>
  <c r="R2683" i="12" s="1"/>
  <c r="R2682" i="12" s="1"/>
  <c r="R2681" i="12" s="1"/>
  <c r="R2680" i="12" s="1"/>
  <c r="R2679" i="12" s="1"/>
  <c r="R2678" i="12" s="1"/>
  <c r="R2677" i="12" s="1"/>
  <c r="R2676" i="12" s="1"/>
  <c r="R2675" i="12" s="1"/>
  <c r="R2674" i="12" s="1"/>
  <c r="R2673" i="12" s="1"/>
  <c r="R2672" i="12" s="1"/>
  <c r="R2671" i="12" s="1"/>
  <c r="R2670" i="12" s="1"/>
  <c r="R2669" i="12" s="1"/>
  <c r="R2668" i="12" s="1"/>
  <c r="R2667" i="12" s="1"/>
  <c r="R2666" i="12" s="1"/>
  <c r="R2665" i="12" s="1"/>
  <c r="R2664" i="12" s="1"/>
  <c r="R2663" i="12" s="1"/>
  <c r="R2662" i="12" s="1"/>
  <c r="R2661" i="12" s="1"/>
  <c r="R2660" i="12" s="1"/>
  <c r="R2659" i="12" s="1"/>
  <c r="R2658" i="12" s="1"/>
  <c r="R2657" i="12" s="1"/>
  <c r="R2656" i="12" s="1"/>
  <c r="R2655" i="12" s="1"/>
  <c r="R2654" i="12" s="1"/>
  <c r="BK36" i="9"/>
  <c r="T36" i="11"/>
  <c r="BM28" i="9" s="1"/>
  <c r="R2023" i="12" s="1"/>
  <c r="R2022" i="12" s="1"/>
  <c r="R2021" i="12" s="1"/>
  <c r="R2020" i="12" s="1"/>
  <c r="R2019" i="12" s="1"/>
  <c r="R2018" i="12" s="1"/>
  <c r="R2017" i="12" s="1"/>
  <c r="R2016" i="12" s="1"/>
  <c r="R2015" i="12" s="1"/>
  <c r="R2014" i="12" s="1"/>
  <c r="R2013" i="12" s="1"/>
  <c r="R2012" i="12" s="1"/>
  <c r="R2011" i="12" s="1"/>
  <c r="R2010" i="12" s="1"/>
  <c r="R2009" i="12" s="1"/>
  <c r="R2008" i="12" s="1"/>
  <c r="R2007" i="12" s="1"/>
  <c r="R2006" i="12" s="1"/>
  <c r="R2005" i="12" s="1"/>
  <c r="R2004" i="12" s="1"/>
  <c r="R2003" i="12" s="1"/>
  <c r="R2002" i="12" s="1"/>
  <c r="R2001" i="12" s="1"/>
  <c r="R2000" i="12" s="1"/>
  <c r="R1999" i="12" s="1"/>
  <c r="R1998" i="12" s="1"/>
  <c r="R1997" i="12" s="1"/>
  <c r="R1996" i="12" s="1"/>
  <c r="R1995" i="12" s="1"/>
  <c r="R1994" i="12" s="1"/>
  <c r="R1993" i="12" s="1"/>
  <c r="R1992" i="12" s="1"/>
  <c r="R1991" i="12" s="1"/>
  <c r="R1990" i="12" s="1"/>
  <c r="R1989" i="12" s="1"/>
  <c r="R1988" i="12" s="1"/>
  <c r="R1987" i="12" s="1"/>
  <c r="R1986" i="12" s="1"/>
  <c r="R1985" i="12" s="1"/>
  <c r="R1984" i="12" s="1"/>
  <c r="R1983" i="12" s="1"/>
  <c r="R1982" i="12" s="1"/>
  <c r="R1981" i="12" s="1"/>
  <c r="R1980" i="12" s="1"/>
  <c r="R1979" i="12" s="1"/>
  <c r="R1978" i="12" s="1"/>
  <c r="R1977" i="12" s="1"/>
  <c r="R1976" i="12" s="1"/>
  <c r="R1975" i="12" s="1"/>
  <c r="R1974" i="12" s="1"/>
  <c r="R1973" i="12" s="1"/>
  <c r="R1972" i="12" s="1"/>
  <c r="R1971" i="12" s="1"/>
  <c r="R1970" i="12" s="1"/>
  <c r="R1969" i="12" s="1"/>
  <c r="R1968" i="12" s="1"/>
  <c r="R1967" i="12" s="1"/>
  <c r="R1966" i="12" s="1"/>
  <c r="R1965" i="12" s="1"/>
  <c r="R1964" i="12" s="1"/>
  <c r="R1963" i="12" s="1"/>
  <c r="R1962" i="12" s="1"/>
  <c r="R1961" i="12" s="1"/>
  <c r="R1960" i="12" s="1"/>
  <c r="R1959" i="12" s="1"/>
  <c r="R1958" i="12" s="1"/>
  <c r="R1957" i="12" s="1"/>
  <c r="R1956" i="12" s="1"/>
  <c r="R1955" i="12" s="1"/>
  <c r="R1954" i="12" s="1"/>
  <c r="BK28" i="9"/>
  <c r="AD3311" i="12"/>
  <c r="AF3312" i="12"/>
  <c r="AB3311" i="12"/>
  <c r="AG3312" i="12"/>
  <c r="O3116" i="12"/>
  <c r="Q3115" i="12"/>
  <c r="Q19" i="11"/>
  <c r="R17" i="11" s="1"/>
  <c r="P19" i="11"/>
  <c r="BI11" i="9" s="1"/>
  <c r="P26" i="11"/>
  <c r="BI18" i="9" s="1"/>
  <c r="AL1253" i="12" s="1"/>
  <c r="AB1071" i="12"/>
  <c r="AB1070" i="12" s="1"/>
  <c r="Q4" i="12"/>
  <c r="AD3" i="12"/>
  <c r="AF3" i="12" s="1"/>
  <c r="AF4" i="12"/>
  <c r="AB1560" i="12"/>
  <c r="AF1560" i="12" s="1"/>
  <c r="AG1561" i="12"/>
  <c r="AB492" i="12"/>
  <c r="AG493" i="12"/>
  <c r="AB1321" i="12"/>
  <c r="AF1321" i="12" s="1"/>
  <c r="AG1322" i="12"/>
  <c r="AB2411" i="12"/>
  <c r="AG2412" i="12"/>
  <c r="AB1761" i="12"/>
  <c r="AG1762" i="12"/>
  <c r="AB1682" i="12"/>
  <c r="AF1682" i="12" s="1"/>
  <c r="AG1683" i="12"/>
  <c r="AB340" i="12"/>
  <c r="AG341" i="12"/>
  <c r="AB1352" i="12"/>
  <c r="AG1353" i="12"/>
  <c r="AB1781" i="12"/>
  <c r="AG1782" i="12"/>
  <c r="AB2261" i="12"/>
  <c r="AF2261" i="12" s="1"/>
  <c r="AG2262" i="12"/>
  <c r="AB2371" i="12"/>
  <c r="AG2372" i="12"/>
  <c r="AB2391" i="12"/>
  <c r="AG2392" i="12"/>
  <c r="AB22" i="12"/>
  <c r="AD1921" i="12"/>
  <c r="AF1922" i="12"/>
  <c r="AD341" i="12"/>
  <c r="AF342" i="12"/>
  <c r="AD2682" i="12"/>
  <c r="AF2683" i="12"/>
  <c r="AD1352" i="12"/>
  <c r="AF1353" i="12"/>
  <c r="AF3113" i="12"/>
  <c r="AB1712" i="12"/>
  <c r="AG1713" i="12"/>
  <c r="AB2171" i="12"/>
  <c r="AF2171" i="12" s="1"/>
  <c r="AG2172" i="12"/>
  <c r="AB2091" i="12"/>
  <c r="AF2091" i="12" s="1"/>
  <c r="AG2092" i="12"/>
  <c r="AB2122" i="12"/>
  <c r="AF2122" i="12" s="1"/>
  <c r="AG2123" i="12"/>
  <c r="AB100" i="12"/>
  <c r="AB2031" i="12"/>
  <c r="AF2031" i="12" s="1"/>
  <c r="AG2032" i="12"/>
  <c r="AB1691" i="12"/>
  <c r="AF1691" i="12" s="1"/>
  <c r="AG1692" i="12"/>
  <c r="AB2612" i="12"/>
  <c r="AF2612" i="12" s="1"/>
  <c r="AG2613" i="12"/>
  <c r="AG3113" i="12"/>
  <c r="AB241" i="12"/>
  <c r="AB301" i="12"/>
  <c r="AB2180" i="12"/>
  <c r="AG2181" i="12"/>
  <c r="AF2412" i="12"/>
  <c r="AD1600" i="12"/>
  <c r="AD2380" i="12"/>
  <c r="AD1771" i="12"/>
  <c r="AD2050" i="12"/>
  <c r="AD1910" i="12"/>
  <c r="AD1070" i="12"/>
  <c r="AD1701" i="12"/>
  <c r="AB2130" i="12"/>
  <c r="AG2131" i="12"/>
  <c r="AD2691" i="12"/>
  <c r="AB1972" i="12"/>
  <c r="AF1972" i="12" s="1"/>
  <c r="AG1973" i="12"/>
  <c r="AD1851" i="12"/>
  <c r="AF1852" i="12"/>
  <c r="AD2472" i="12"/>
  <c r="AF2473" i="12"/>
  <c r="AB1281" i="12"/>
  <c r="AF1281" i="12" s="1"/>
  <c r="AG1282" i="12"/>
  <c r="AF3042" i="12"/>
  <c r="AG3043" i="12"/>
  <c r="AB1421" i="12"/>
  <c r="AF1421" i="12" s="1"/>
  <c r="AG1422" i="12"/>
  <c r="AB2682" i="12"/>
  <c r="AG2683" i="12"/>
  <c r="AB1621" i="12"/>
  <c r="AF1621" i="12" s="1"/>
  <c r="AG1622" i="12"/>
  <c r="AB2061" i="12"/>
  <c r="AF2061" i="12" s="1"/>
  <c r="AG2062" i="12"/>
  <c r="AB2732" i="12"/>
  <c r="AF2732" i="12" s="1"/>
  <c r="AG2733" i="12"/>
  <c r="AB1571" i="12"/>
  <c r="AF1571" i="12" s="1"/>
  <c r="AG1572" i="12"/>
  <c r="AB1461" i="12"/>
  <c r="AG1462" i="12"/>
  <c r="AF3012" i="12"/>
  <c r="AG3013" i="12"/>
  <c r="AB2341" i="12"/>
  <c r="AF2341" i="12" s="1"/>
  <c r="AG2342" i="12"/>
  <c r="AB762" i="12"/>
  <c r="AF762" i="12" s="1"/>
  <c r="AG763" i="12"/>
  <c r="AF2342" i="12"/>
  <c r="AF2172" i="12"/>
  <c r="AF1713" i="12"/>
  <c r="AD1820" i="12"/>
  <c r="AD2731" i="12"/>
  <c r="AD2611" i="12"/>
  <c r="AD1971" i="12"/>
  <c r="AD2111" i="12"/>
  <c r="AD1570" i="12"/>
  <c r="AF2032" i="12"/>
  <c r="AD2650" i="12"/>
  <c r="AF2651" i="12"/>
  <c r="AG2945" i="12"/>
  <c r="AB2451" i="12"/>
  <c r="AF2451" i="12" s="1"/>
  <c r="AG2452" i="12"/>
  <c r="AB1901" i="12"/>
  <c r="AF1901" i="12" s="1"/>
  <c r="AG1902" i="12"/>
  <c r="AB1962" i="12"/>
  <c r="AF1962" i="12" s="1"/>
  <c r="AG1963" i="12"/>
  <c r="AB1891" i="12"/>
  <c r="AF1891" i="12" s="1"/>
  <c r="AG1892" i="12"/>
  <c r="AD973" i="12"/>
  <c r="AD2190" i="12"/>
  <c r="AB791" i="12"/>
  <c r="AG792" i="12"/>
  <c r="AD723" i="12"/>
  <c r="AF724" i="12"/>
  <c r="AD2410" i="12"/>
  <c r="AF2411" i="12"/>
  <c r="AF1973" i="12"/>
  <c r="AD2371" i="12"/>
  <c r="AF2372" i="12"/>
  <c r="AD1761" i="12"/>
  <c r="AF1762" i="12"/>
  <c r="AD1461" i="12"/>
  <c r="AF1462" i="12"/>
  <c r="AD2481" i="12"/>
  <c r="AF2482" i="12"/>
  <c r="AB161" i="12"/>
  <c r="AB2402" i="12"/>
  <c r="AF2402" i="12" s="1"/>
  <c r="AG2403" i="12"/>
  <c r="AB1490" i="12"/>
  <c r="AG1491" i="12"/>
  <c r="AB1612" i="12"/>
  <c r="AF1612" i="12" s="1"/>
  <c r="AG1613" i="12"/>
  <c r="AB1181" i="12"/>
  <c r="AF1181" i="12" s="1"/>
  <c r="AG1182" i="12"/>
  <c r="AB2191" i="12"/>
  <c r="AG2192" i="12"/>
  <c r="AB2692" i="12"/>
  <c r="AG2693" i="12"/>
  <c r="AB32" i="12"/>
  <c r="AG33" i="12"/>
  <c r="AB2552" i="12"/>
  <c r="AF2552" i="12" s="1"/>
  <c r="AG2553" i="12"/>
  <c r="AB2542" i="12"/>
  <c r="AF2542" i="12" s="1"/>
  <c r="AG2543" i="12"/>
  <c r="AB11" i="12"/>
  <c r="AB1551" i="12"/>
  <c r="AF1551" i="12" s="1"/>
  <c r="AG1552" i="12"/>
  <c r="AB723" i="12"/>
  <c r="AG724" i="12"/>
  <c r="AD2340" i="12"/>
  <c r="AD1390" i="12"/>
  <c r="AD1489" i="12"/>
  <c r="AD863" i="12"/>
  <c r="AD2170" i="12"/>
  <c r="AD1630" i="12"/>
  <c r="AD1550" i="12"/>
  <c r="AD1711" i="12"/>
  <c r="AD1611" i="12"/>
  <c r="AF1902" i="12"/>
  <c r="AF1182" i="12"/>
  <c r="AF2452" i="12"/>
  <c r="AG34" i="12"/>
  <c r="AF2062" i="12"/>
  <c r="AD770" i="12"/>
  <c r="AD2030" i="12"/>
  <c r="AE3" i="12"/>
  <c r="AG3" i="12" s="1"/>
  <c r="AG4" i="12"/>
  <c r="AB1921" i="12"/>
  <c r="AG1922" i="12"/>
  <c r="AB831" i="12"/>
  <c r="AF831" i="12" s="1"/>
  <c r="AG832" i="12"/>
  <c r="AB433" i="12"/>
  <c r="AB1671" i="12"/>
  <c r="AF1671" i="12" s="1"/>
  <c r="AG1672" i="12"/>
  <c r="AB380" i="12"/>
  <c r="AD1961" i="12"/>
  <c r="AD2021" i="12"/>
  <c r="AD2551" i="12"/>
  <c r="AD2180" i="12"/>
  <c r="AF2181" i="12"/>
  <c r="AD1280" i="12"/>
  <c r="AD1781" i="12"/>
  <c r="AF1782" i="12"/>
  <c r="AD1831" i="12"/>
  <c r="AF1832" i="12"/>
  <c r="AD1641" i="12"/>
  <c r="AF1642" i="12"/>
  <c r="AD2461" i="12"/>
  <c r="AF2462" i="12"/>
  <c r="AD1001" i="12"/>
  <c r="AF1002" i="12"/>
  <c r="AB1191" i="12"/>
  <c r="AF1191" i="12" s="1"/>
  <c r="AG1192" i="12"/>
  <c r="AB2650" i="12"/>
  <c r="AG2651" i="12"/>
  <c r="AF2963" i="12"/>
  <c r="AG2964" i="12"/>
  <c r="AB621" i="12"/>
  <c r="AB2160" i="12"/>
  <c r="AG2161" i="12"/>
  <c r="AB80" i="12"/>
  <c r="AB1251" i="12"/>
  <c r="AF1251" i="12" s="1"/>
  <c r="AG1252" i="12"/>
  <c r="AB1772" i="12"/>
  <c r="AG1773" i="12"/>
  <c r="AB1601" i="12"/>
  <c r="AG1602" i="12"/>
  <c r="AB2051" i="12"/>
  <c r="AF2051" i="12" s="1"/>
  <c r="AG2052" i="12"/>
  <c r="AB1631" i="12"/>
  <c r="AF1631" i="12" s="1"/>
  <c r="AG1632" i="12"/>
  <c r="AB1001" i="12"/>
  <c r="AG1002" i="12"/>
  <c r="AF2964" i="12"/>
  <c r="AF2262" i="12"/>
  <c r="AF1892" i="12"/>
  <c r="AF1252" i="12"/>
  <c r="AF1683" i="12"/>
  <c r="AD1841" i="12"/>
  <c r="AD1900" i="12"/>
  <c r="AD1180" i="12"/>
  <c r="AD2450" i="12"/>
  <c r="AD2160" i="12"/>
  <c r="AF2161" i="12"/>
  <c r="AD2060" i="12"/>
  <c r="AB1950" i="12"/>
  <c r="AG1951" i="12"/>
  <c r="AF2543" i="12"/>
  <c r="AF2945" i="12"/>
  <c r="AB71" i="12"/>
  <c r="AB1702" i="12"/>
  <c r="AF1702" i="12" s="1"/>
  <c r="AG1703" i="12"/>
  <c r="AB2331" i="12"/>
  <c r="AF2331" i="12" s="1"/>
  <c r="AG2332" i="12"/>
  <c r="AB1222" i="12"/>
  <c r="AG1223" i="12"/>
  <c r="AB2481" i="12"/>
  <c r="AG2482" i="12"/>
  <c r="AB974" i="12"/>
  <c r="AG975" i="12"/>
  <c r="AB1821" i="12"/>
  <c r="AG1822" i="12"/>
  <c r="AB2022" i="12"/>
  <c r="AG2023" i="12"/>
  <c r="AB1831" i="12"/>
  <c r="AG1832" i="12"/>
  <c r="AB771" i="12"/>
  <c r="AF771" i="12" s="1"/>
  <c r="AG772" i="12"/>
  <c r="AB2511" i="12"/>
  <c r="AF2511" i="12" s="1"/>
  <c r="AG2512" i="12"/>
  <c r="AB1851" i="12"/>
  <c r="AG1852" i="12"/>
  <c r="AB652" i="12"/>
  <c r="AG653" i="12"/>
  <c r="AD2510" i="12"/>
  <c r="AD2330" i="12"/>
  <c r="AD2260" i="12"/>
  <c r="AD1890" i="12"/>
  <c r="AD1750" i="12"/>
  <c r="AD1250" i="12"/>
  <c r="AD1879" i="12"/>
  <c r="AD1681" i="12"/>
  <c r="AD2440" i="12"/>
  <c r="AF2441" i="12"/>
  <c r="AF763" i="12"/>
  <c r="AF1672" i="12"/>
  <c r="AF2123" i="12"/>
  <c r="AF832" i="12"/>
  <c r="AG2442" i="12"/>
  <c r="AD2541" i="12"/>
  <c r="AD1040" i="12"/>
  <c r="AF2403" i="12"/>
  <c r="AF1622" i="12"/>
  <c r="AF1322" i="12"/>
  <c r="AF1192" i="12"/>
  <c r="AF1692" i="12"/>
  <c r="AF1422" i="12"/>
  <c r="AF1561" i="12"/>
  <c r="AD761" i="12"/>
  <c r="AD1740" i="12"/>
  <c r="AD1950" i="12"/>
  <c r="AF1951" i="12"/>
  <c r="AD1670" i="12"/>
  <c r="AD2121" i="12"/>
  <c r="AD830" i="12"/>
  <c r="AB2440" i="12"/>
  <c r="AG2441" i="12"/>
  <c r="AF2092" i="12"/>
  <c r="AD1222" i="12"/>
  <c r="AF1223" i="12"/>
  <c r="AB864" i="12"/>
  <c r="AG865" i="12"/>
  <c r="AD33" i="12"/>
  <c r="AF34" i="12"/>
  <c r="AD2391" i="12"/>
  <c r="AF2392" i="12"/>
  <c r="AB1811" i="12"/>
  <c r="AF1811" i="12" s="1"/>
  <c r="AG1812" i="12"/>
  <c r="AB1391" i="12"/>
  <c r="AG1392" i="12"/>
  <c r="AB1751" i="12"/>
  <c r="AF1751" i="12" s="1"/>
  <c r="AG1752" i="12"/>
  <c r="AB1041" i="12"/>
  <c r="AF1041" i="12" s="1"/>
  <c r="AG1042" i="12"/>
  <c r="AB1911" i="12"/>
  <c r="AG1912" i="12"/>
  <c r="AB2461" i="12"/>
  <c r="AG2462" i="12"/>
  <c r="AB1842" i="12"/>
  <c r="AF1842" i="12" s="1"/>
  <c r="AG1843" i="12"/>
  <c r="AB2381" i="12"/>
  <c r="AG2382" i="12"/>
  <c r="AB1641" i="12"/>
  <c r="AG1642" i="12"/>
  <c r="AB1741" i="12"/>
  <c r="AG1742" i="12"/>
  <c r="AB2112" i="12"/>
  <c r="AF2112" i="12" s="1"/>
  <c r="AG2113" i="12"/>
  <c r="AB1880" i="12"/>
  <c r="AG1881" i="12"/>
  <c r="AB2472" i="12"/>
  <c r="AG2473" i="12"/>
  <c r="AG2182" i="12"/>
  <c r="AD2401" i="12"/>
  <c r="AD1620" i="12"/>
  <c r="AD1320" i="12"/>
  <c r="AD2130" i="12"/>
  <c r="AF2131" i="12"/>
  <c r="AD1190" i="12"/>
  <c r="AG494" i="12"/>
  <c r="AD1690" i="12"/>
  <c r="AD1810" i="12"/>
  <c r="AD1420" i="12"/>
  <c r="AD1559" i="12"/>
  <c r="AF1602" i="12"/>
  <c r="AF2382" i="12"/>
  <c r="AF1773" i="12"/>
  <c r="AF2052" i="12"/>
  <c r="AF1912" i="12"/>
  <c r="AF1072" i="12"/>
  <c r="AF1703" i="12"/>
  <c r="AG342" i="12"/>
  <c r="AD791" i="12"/>
  <c r="AF792" i="12"/>
  <c r="AD2090" i="12"/>
  <c r="S14" i="11"/>
  <c r="Q14" i="11"/>
  <c r="M15" i="11"/>
  <c r="P15" i="11" s="1"/>
  <c r="Q15" i="11"/>
  <c r="R15" i="11" s="1"/>
  <c r="S15" i="11"/>
  <c r="Q16" i="11"/>
  <c r="S16" i="11"/>
  <c r="BL8" i="9" s="1"/>
  <c r="Q712" i="12"/>
  <c r="Q33" i="11"/>
  <c r="P33" i="11"/>
  <c r="BI25" i="9" s="1"/>
  <c r="AL1813" i="12" s="1"/>
  <c r="Q2826" i="12"/>
  <c r="Q776" i="12"/>
  <c r="Q244" i="12"/>
  <c r="Q727" i="12"/>
  <c r="Q2595" i="12"/>
  <c r="Q726" i="12"/>
  <c r="Q654" i="12"/>
  <c r="Q1076" i="12"/>
  <c r="Q2736" i="12"/>
  <c r="Q1474" i="12"/>
  <c r="Q713" i="12"/>
  <c r="Q904" i="12"/>
  <c r="Q976" i="12"/>
  <c r="Q584" i="12"/>
  <c r="Q794" i="12"/>
  <c r="Q3036" i="12"/>
  <c r="Q1514" i="12"/>
  <c r="Q215" i="12"/>
  <c r="Q2874" i="12"/>
  <c r="Q386" i="12"/>
  <c r="Q5" i="12"/>
  <c r="Q1674" i="12"/>
  <c r="Q1903" i="12"/>
  <c r="Q207" i="12"/>
  <c r="Q2184" i="12"/>
  <c r="AE13" i="12"/>
  <c r="AG13" i="12" s="1"/>
  <c r="AE29" i="12"/>
  <c r="AE335" i="12"/>
  <c r="AE489" i="12"/>
  <c r="AE643" i="12"/>
  <c r="AD13" i="12"/>
  <c r="AF13" i="12" s="1"/>
  <c r="AC13" i="12"/>
  <c r="AC29" i="12"/>
  <c r="AC335" i="12"/>
  <c r="AC643" i="12"/>
  <c r="P30" i="11"/>
  <c r="BI22" i="9" s="1"/>
  <c r="AL1543" i="12" s="1"/>
  <c r="Q30" i="11"/>
  <c r="P31" i="11"/>
  <c r="BI23" i="9" s="1"/>
  <c r="AL1602" i="12" s="1"/>
  <c r="Q31" i="11"/>
  <c r="P32" i="11"/>
  <c r="BI24" i="9" s="1"/>
  <c r="AL1673" i="12" s="1"/>
  <c r="Q32" i="11"/>
  <c r="J7" i="13"/>
  <c r="M16" i="11"/>
  <c r="BJ9" i="9"/>
  <c r="M14" i="11"/>
  <c r="BL6" i="9"/>
  <c r="S384" i="12" s="1"/>
  <c r="S383" i="12" s="1"/>
  <c r="S382" i="12" s="1"/>
  <c r="S381" i="12" s="1"/>
  <c r="S380" i="12" s="1"/>
  <c r="S379" i="12" s="1"/>
  <c r="S378" i="12" s="1"/>
  <c r="S377" i="12" s="1"/>
  <c r="S376" i="12" s="1"/>
  <c r="S375" i="12" s="1"/>
  <c r="S374" i="12" s="1"/>
  <c r="S373" i="12" s="1"/>
  <c r="S372" i="12" s="1"/>
  <c r="S371" i="12" s="1"/>
  <c r="S370" i="12" s="1"/>
  <c r="S369" i="12" s="1"/>
  <c r="S368" i="12" s="1"/>
  <c r="S367" i="12" s="1"/>
  <c r="S366" i="12" s="1"/>
  <c r="S365" i="12" s="1"/>
  <c r="S364" i="12" s="1"/>
  <c r="S363" i="12" s="1"/>
  <c r="S362" i="12" s="1"/>
  <c r="S361" i="12" s="1"/>
  <c r="S360" i="12" s="1"/>
  <c r="S359" i="12" s="1"/>
  <c r="S358" i="12" s="1"/>
  <c r="S357" i="12" s="1"/>
  <c r="S356" i="12" s="1"/>
  <c r="S355" i="12" s="1"/>
  <c r="S354" i="12" s="1"/>
  <c r="S353" i="12" s="1"/>
  <c r="S352" i="12" s="1"/>
  <c r="S351" i="12" s="1"/>
  <c r="S350" i="12" s="1"/>
  <c r="S349" i="12" s="1"/>
  <c r="S348" i="12" s="1"/>
  <c r="S347" i="12" s="1"/>
  <c r="S346" i="12" s="1"/>
  <c r="S345" i="12" s="1"/>
  <c r="S344" i="12" s="1"/>
  <c r="S343" i="12" s="1"/>
  <c r="S342" i="12" s="1"/>
  <c r="S341" i="12" s="1"/>
  <c r="S340" i="12" s="1"/>
  <c r="S339" i="12" s="1"/>
  <c r="S338" i="12" s="1"/>
  <c r="S337" i="12" s="1"/>
  <c r="S336" i="12" s="1"/>
  <c r="S335" i="12" s="1"/>
  <c r="S334" i="12" s="1"/>
  <c r="S333" i="12" s="1"/>
  <c r="S332" i="12" s="1"/>
  <c r="S331" i="12" s="1"/>
  <c r="S330" i="12" s="1"/>
  <c r="S329" i="12" s="1"/>
  <c r="S328" i="12" s="1"/>
  <c r="S327" i="12" s="1"/>
  <c r="S326" i="12" s="1"/>
  <c r="S325" i="12" s="1"/>
  <c r="S324" i="12" s="1"/>
  <c r="S323" i="12" s="1"/>
  <c r="S322" i="12" s="1"/>
  <c r="S321" i="12" s="1"/>
  <c r="S320" i="12" s="1"/>
  <c r="S319" i="12" s="1"/>
  <c r="S318" i="12" s="1"/>
  <c r="S317" i="12" s="1"/>
  <c r="S316" i="12" s="1"/>
  <c r="S315" i="12" s="1"/>
  <c r="S314" i="12" s="1"/>
  <c r="S313" i="12" s="1"/>
  <c r="S312" i="12" s="1"/>
  <c r="S311" i="12" s="1"/>
  <c r="S310" i="12" s="1"/>
  <c r="S309" i="12" s="1"/>
  <c r="S308" i="12" s="1"/>
  <c r="S307" i="12" s="1"/>
  <c r="S306" i="12" s="1"/>
  <c r="S305" i="12" s="1"/>
  <c r="S304" i="12" s="1"/>
  <c r="S303" i="12" s="1"/>
  <c r="S302" i="12" s="1"/>
  <c r="S301" i="12" s="1"/>
  <c r="S300" i="12" s="1"/>
  <c r="S299" i="12" s="1"/>
  <c r="S298" i="12" s="1"/>
  <c r="S297" i="12" s="1"/>
  <c r="S296" i="12" s="1"/>
  <c r="S295" i="12" s="1"/>
  <c r="S294" i="12" s="1"/>
  <c r="S293" i="12" s="1"/>
  <c r="S292" i="12" s="1"/>
  <c r="S291" i="12" s="1"/>
  <c r="S290" i="12" s="1"/>
  <c r="S289" i="12" s="1"/>
  <c r="S288" i="12" s="1"/>
  <c r="S287" i="12" s="1"/>
  <c r="S286" i="12" s="1"/>
  <c r="S285" i="12" s="1"/>
  <c r="S284" i="12" s="1"/>
  <c r="S283" i="12" s="1"/>
  <c r="S282" i="12" s="1"/>
  <c r="S281" i="12" s="1"/>
  <c r="S280" i="12" s="1"/>
  <c r="S279" i="12" s="1"/>
  <c r="S278" i="12" s="1"/>
  <c r="S277" i="12" s="1"/>
  <c r="S276" i="12" s="1"/>
  <c r="S275" i="12" s="1"/>
  <c r="S274" i="12" s="1"/>
  <c r="S273" i="12" s="1"/>
  <c r="S272" i="12" s="1"/>
  <c r="S271" i="12" s="1"/>
  <c r="S270" i="12" s="1"/>
  <c r="S269" i="12" s="1"/>
  <c r="S268" i="12" s="1"/>
  <c r="S267" i="12" s="1"/>
  <c r="S266" i="12" s="1"/>
  <c r="S265" i="12" s="1"/>
  <c r="S264" i="12" s="1"/>
  <c r="S263" i="12" s="1"/>
  <c r="S262" i="12" s="1"/>
  <c r="S261" i="12" s="1"/>
  <c r="S260" i="12" s="1"/>
  <c r="S259" i="12" s="1"/>
  <c r="S258" i="12" s="1"/>
  <c r="S257" i="12" s="1"/>
  <c r="S256" i="12" s="1"/>
  <c r="S255" i="12" s="1"/>
  <c r="S254" i="12" s="1"/>
  <c r="S253" i="12" s="1"/>
  <c r="S252" i="12" s="1"/>
  <c r="S251" i="12" s="1"/>
  <c r="S250" i="12" s="1"/>
  <c r="S249" i="12" s="1"/>
  <c r="S248" i="12" s="1"/>
  <c r="S247" i="12" s="1"/>
  <c r="S246" i="12" s="1"/>
  <c r="S245" i="12" s="1"/>
  <c r="S244" i="12" s="1"/>
  <c r="S243" i="12" s="1"/>
  <c r="S242" i="12" s="1"/>
  <c r="S241" i="12" s="1"/>
  <c r="S240" i="12" s="1"/>
  <c r="S239" i="12" s="1"/>
  <c r="S238" i="12" s="1"/>
  <c r="S237" i="12" s="1"/>
  <c r="S236" i="12" s="1"/>
  <c r="S235" i="12" s="1"/>
  <c r="S234" i="12" s="1"/>
  <c r="S233" i="12" s="1"/>
  <c r="S232" i="12" s="1"/>
  <c r="S231" i="12" s="1"/>
  <c r="S230" i="12" s="1"/>
  <c r="S229" i="12" s="1"/>
  <c r="S228" i="12" s="1"/>
  <c r="S227" i="12" s="1"/>
  <c r="S226" i="12" s="1"/>
  <c r="S225" i="12" s="1"/>
  <c r="S224" i="12" s="1"/>
  <c r="S223" i="12" s="1"/>
  <c r="S222" i="12" s="1"/>
  <c r="S221" i="12" s="1"/>
  <c r="S220" i="12" s="1"/>
  <c r="S219" i="12" s="1"/>
  <c r="S218" i="12" s="1"/>
  <c r="S217" i="12" s="1"/>
  <c r="S216" i="12" s="1"/>
  <c r="S215" i="12" s="1"/>
  <c r="S214" i="12" s="1"/>
  <c r="S213" i="12" s="1"/>
  <c r="S212" i="12" s="1"/>
  <c r="S211" i="12" s="1"/>
  <c r="S210" i="12" s="1"/>
  <c r="S209" i="12" s="1"/>
  <c r="S208" i="12" s="1"/>
  <c r="S207" i="12" s="1"/>
  <c r="S206" i="12" s="1"/>
  <c r="S205" i="12" s="1"/>
  <c r="S204" i="12" s="1"/>
  <c r="S203" i="12" s="1"/>
  <c r="S202" i="12" s="1"/>
  <c r="S201" i="12" s="1"/>
  <c r="S200" i="12" s="1"/>
  <c r="S199" i="12" s="1"/>
  <c r="S198" i="12" s="1"/>
  <c r="S197" i="12" s="1"/>
  <c r="S196" i="12" s="1"/>
  <c r="S195" i="12" s="1"/>
  <c r="S194" i="12" s="1"/>
  <c r="S193" i="12" s="1"/>
  <c r="S192" i="12" s="1"/>
  <c r="S191" i="12" s="1"/>
  <c r="S190" i="12" s="1"/>
  <c r="S189" i="12" s="1"/>
  <c r="S188" i="12" s="1"/>
  <c r="S187" i="12" s="1"/>
  <c r="S186" i="12" s="1"/>
  <c r="S185" i="12" s="1"/>
  <c r="S184" i="12" s="1"/>
  <c r="S183" i="12" s="1"/>
  <c r="S182" i="12" s="1"/>
  <c r="S181" i="12" s="1"/>
  <c r="S180" i="12" s="1"/>
  <c r="S179" i="12" s="1"/>
  <c r="S178" i="12" s="1"/>
  <c r="S177" i="12" s="1"/>
  <c r="S176" i="12" s="1"/>
  <c r="S175" i="12" s="1"/>
  <c r="S174" i="12" s="1"/>
  <c r="S173" i="12" s="1"/>
  <c r="S172" i="12" s="1"/>
  <c r="S171" i="12" s="1"/>
  <c r="S170" i="12" s="1"/>
  <c r="S169" i="12" s="1"/>
  <c r="S168" i="12" s="1"/>
  <c r="S167" i="12" s="1"/>
  <c r="S166" i="12" s="1"/>
  <c r="S165" i="12" s="1"/>
  <c r="S164" i="12" s="1"/>
  <c r="S163" i="12" s="1"/>
  <c r="S162" i="12" s="1"/>
  <c r="S161" i="12" s="1"/>
  <c r="S160" i="12" s="1"/>
  <c r="S159" i="12" s="1"/>
  <c r="S158" i="12" s="1"/>
  <c r="S157" i="12" s="1"/>
  <c r="S156" i="12" s="1"/>
  <c r="S155" i="12" s="1"/>
  <c r="S154" i="12" s="1"/>
  <c r="S153" i="12" s="1"/>
  <c r="S152" i="12" s="1"/>
  <c r="S151" i="12" s="1"/>
  <c r="S150" i="12" s="1"/>
  <c r="S149" i="12" s="1"/>
  <c r="S148" i="12" s="1"/>
  <c r="S147" i="12" s="1"/>
  <c r="S146" i="12" s="1"/>
  <c r="S145" i="12" s="1"/>
  <c r="S144" i="12" s="1"/>
  <c r="S143" i="12" s="1"/>
  <c r="S142" i="12" s="1"/>
  <c r="S141" i="12" s="1"/>
  <c r="S140" i="12" s="1"/>
  <c r="S139" i="12" s="1"/>
  <c r="S138" i="12" s="1"/>
  <c r="S137" i="12" s="1"/>
  <c r="S136" i="12" s="1"/>
  <c r="S135" i="12" s="1"/>
  <c r="S134" i="12" s="1"/>
  <c r="S133" i="12" s="1"/>
  <c r="S132" i="12" s="1"/>
  <c r="S131" i="12" s="1"/>
  <c r="S130" i="12" s="1"/>
  <c r="S129" i="12" s="1"/>
  <c r="S128" i="12" s="1"/>
  <c r="S127" i="12" s="1"/>
  <c r="S126" i="12" s="1"/>
  <c r="S125" i="12" s="1"/>
  <c r="S124" i="12" s="1"/>
  <c r="S123" i="12" s="1"/>
  <c r="S122" i="12" s="1"/>
  <c r="S121" i="12" s="1"/>
  <c r="S120" i="12" s="1"/>
  <c r="S119" i="12" s="1"/>
  <c r="S118" i="12" s="1"/>
  <c r="S117" i="12" s="1"/>
  <c r="S116" i="12" s="1"/>
  <c r="S115" i="12" s="1"/>
  <c r="S114" i="12" s="1"/>
  <c r="S113" i="12" s="1"/>
  <c r="S112" i="12" s="1"/>
  <c r="S111" i="12" s="1"/>
  <c r="S110" i="12" s="1"/>
  <c r="S109" i="12" s="1"/>
  <c r="S108" i="12" s="1"/>
  <c r="S107" i="12" s="1"/>
  <c r="S106" i="12" s="1"/>
  <c r="S105" i="12" s="1"/>
  <c r="S104" i="12" s="1"/>
  <c r="S103" i="12" s="1"/>
  <c r="S102" i="12" s="1"/>
  <c r="S101" i="12" s="1"/>
  <c r="S100" i="12" s="1"/>
  <c r="S99" i="12" s="1"/>
  <c r="S98" i="12" s="1"/>
  <c r="S97" i="12" s="1"/>
  <c r="S96" i="12" s="1"/>
  <c r="S95" i="12" s="1"/>
  <c r="S94" i="12" s="1"/>
  <c r="S93" i="12" s="1"/>
  <c r="S92" i="12" s="1"/>
  <c r="S91" i="12" s="1"/>
  <c r="S90" i="12" s="1"/>
  <c r="S89" i="12" s="1"/>
  <c r="S88" i="12" s="1"/>
  <c r="S87" i="12" s="1"/>
  <c r="S86" i="12" s="1"/>
  <c r="S85" i="12" s="1"/>
  <c r="S84" i="12" s="1"/>
  <c r="S83" i="12" s="1"/>
  <c r="S82" i="12" s="1"/>
  <c r="S81" i="12" s="1"/>
  <c r="S80" i="12" s="1"/>
  <c r="S79" i="12" s="1"/>
  <c r="S78" i="12" s="1"/>
  <c r="S77" i="12" s="1"/>
  <c r="S76" i="12" s="1"/>
  <c r="S75" i="12" s="1"/>
  <c r="S74" i="12" s="1"/>
  <c r="S73" i="12" s="1"/>
  <c r="S72" i="12" s="1"/>
  <c r="S71" i="12" s="1"/>
  <c r="S70" i="12" s="1"/>
  <c r="S69" i="12" s="1"/>
  <c r="S68" i="12" s="1"/>
  <c r="S67" i="12" s="1"/>
  <c r="S66" i="12" s="1"/>
  <c r="S65" i="12" s="1"/>
  <c r="S64" i="12" s="1"/>
  <c r="S63" i="12" s="1"/>
  <c r="S62" i="12" s="1"/>
  <c r="S61" i="12" s="1"/>
  <c r="S60" i="12" s="1"/>
  <c r="S59" i="12" s="1"/>
  <c r="S58" i="12" s="1"/>
  <c r="S57" i="12" s="1"/>
  <c r="S56" i="12" s="1"/>
  <c r="S55" i="12" s="1"/>
  <c r="S54" i="12" s="1"/>
  <c r="S53" i="12" s="1"/>
  <c r="S52" i="12" s="1"/>
  <c r="S51" i="12" s="1"/>
  <c r="S50" i="12" s="1"/>
  <c r="S49" i="12" s="1"/>
  <c r="S48" i="12" s="1"/>
  <c r="S47" i="12" s="1"/>
  <c r="S46" i="12" s="1"/>
  <c r="S45" i="12" s="1"/>
  <c r="S44" i="12" s="1"/>
  <c r="S43" i="12" s="1"/>
  <c r="S42" i="12" s="1"/>
  <c r="S41" i="12" s="1"/>
  <c r="S40" i="12" s="1"/>
  <c r="S39" i="12" s="1"/>
  <c r="S38" i="12" s="1"/>
  <c r="S37" i="12" s="1"/>
  <c r="S36" i="12" s="1"/>
  <c r="S35" i="12" s="1"/>
  <c r="S34" i="12" s="1"/>
  <c r="S33" i="12" s="1"/>
  <c r="S32" i="12" s="1"/>
  <c r="S31" i="12" s="1"/>
  <c r="S30" i="12" s="1"/>
  <c r="S29" i="12" s="1"/>
  <c r="S28" i="12" s="1"/>
  <c r="S27" i="12" s="1"/>
  <c r="S26" i="12" s="1"/>
  <c r="S25" i="12" s="1"/>
  <c r="S24" i="12" s="1"/>
  <c r="S23" i="12" s="1"/>
  <c r="S22" i="12" s="1"/>
  <c r="S21" i="12" s="1"/>
  <c r="S20" i="12" s="1"/>
  <c r="S19" i="12" s="1"/>
  <c r="S18" i="12" s="1"/>
  <c r="S17" i="12" s="1"/>
  <c r="S16" i="12" s="1"/>
  <c r="S15" i="12" s="1"/>
  <c r="S14" i="12" s="1"/>
  <c r="S13" i="12" s="1"/>
  <c r="S12" i="12" s="1"/>
  <c r="S11" i="12" s="1"/>
  <c r="S10" i="12" s="1"/>
  <c r="S9" i="12" s="1"/>
  <c r="S8" i="12" s="1"/>
  <c r="S7" i="12" s="1"/>
  <c r="S6" i="12" s="1"/>
  <c r="S5" i="12" s="1"/>
  <c r="S4" i="12" s="1"/>
  <c r="S3" i="12" s="1"/>
  <c r="T17" i="11" l="1"/>
  <c r="BM9" i="9" s="1"/>
  <c r="BK9" i="9"/>
  <c r="BJ22" i="9"/>
  <c r="AM1543" i="12" s="1"/>
  <c r="R30" i="11"/>
  <c r="R14" i="11"/>
  <c r="T27" i="11"/>
  <c r="BM19" i="9" s="1"/>
  <c r="R1323" i="12" s="1"/>
  <c r="R1322" i="12" s="1"/>
  <c r="R1321" i="12" s="1"/>
  <c r="R1320" i="12" s="1"/>
  <c r="R1319" i="12" s="1"/>
  <c r="R1318" i="12" s="1"/>
  <c r="R1317" i="12" s="1"/>
  <c r="R1316" i="12" s="1"/>
  <c r="R1315" i="12" s="1"/>
  <c r="R1314" i="12" s="1"/>
  <c r="R1313" i="12" s="1"/>
  <c r="R1312" i="12" s="1"/>
  <c r="R1311" i="12" s="1"/>
  <c r="R1310" i="12" s="1"/>
  <c r="R1309" i="12" s="1"/>
  <c r="R1308" i="12" s="1"/>
  <c r="R1307" i="12" s="1"/>
  <c r="R1306" i="12" s="1"/>
  <c r="R1305" i="12" s="1"/>
  <c r="R1304" i="12" s="1"/>
  <c r="R1303" i="12" s="1"/>
  <c r="R1302" i="12" s="1"/>
  <c r="R1301" i="12" s="1"/>
  <c r="R1300" i="12" s="1"/>
  <c r="R1299" i="12" s="1"/>
  <c r="R1298" i="12" s="1"/>
  <c r="R1297" i="12" s="1"/>
  <c r="R1296" i="12" s="1"/>
  <c r="R1295" i="12" s="1"/>
  <c r="R1294" i="12" s="1"/>
  <c r="R1293" i="12" s="1"/>
  <c r="R1292" i="12" s="1"/>
  <c r="R1291" i="12" s="1"/>
  <c r="R1290" i="12" s="1"/>
  <c r="R1289" i="12" s="1"/>
  <c r="R1288" i="12" s="1"/>
  <c r="R1287" i="12" s="1"/>
  <c r="R1286" i="12" s="1"/>
  <c r="R1285" i="12" s="1"/>
  <c r="R1284" i="12" s="1"/>
  <c r="R1283" i="12" s="1"/>
  <c r="R1282" i="12" s="1"/>
  <c r="R1281" i="12" s="1"/>
  <c r="R1280" i="12" s="1"/>
  <c r="R1279" i="12" s="1"/>
  <c r="R1278" i="12" s="1"/>
  <c r="R1277" i="12" s="1"/>
  <c r="R1276" i="12" s="1"/>
  <c r="R1275" i="12" s="1"/>
  <c r="R1274" i="12" s="1"/>
  <c r="R1273" i="12" s="1"/>
  <c r="R1272" i="12" s="1"/>
  <c r="R1271" i="12" s="1"/>
  <c r="R1270" i="12" s="1"/>
  <c r="R1269" i="12" s="1"/>
  <c r="R1268" i="12" s="1"/>
  <c r="R1267" i="12" s="1"/>
  <c r="R1266" i="12" s="1"/>
  <c r="R1265" i="12" s="1"/>
  <c r="R1264" i="12" s="1"/>
  <c r="R1263" i="12" s="1"/>
  <c r="R1262" i="12" s="1"/>
  <c r="R1261" i="12" s="1"/>
  <c r="R1260" i="12" s="1"/>
  <c r="R1259" i="12" s="1"/>
  <c r="R1258" i="12" s="1"/>
  <c r="R1257" i="12" s="1"/>
  <c r="R1256" i="12" s="1"/>
  <c r="R1255" i="12" s="1"/>
  <c r="R1254" i="12" s="1"/>
  <c r="BK19" i="9"/>
  <c r="R29" i="11"/>
  <c r="T34" i="11"/>
  <c r="BM26" i="9" s="1"/>
  <c r="R1883" i="12" s="1"/>
  <c r="R1882" i="12" s="1"/>
  <c r="R1881" i="12" s="1"/>
  <c r="R1880" i="12" s="1"/>
  <c r="R1879" i="12" s="1"/>
  <c r="R1878" i="12" s="1"/>
  <c r="R1877" i="12" s="1"/>
  <c r="R1876" i="12" s="1"/>
  <c r="R1875" i="12" s="1"/>
  <c r="R1874" i="12" s="1"/>
  <c r="R1873" i="12" s="1"/>
  <c r="R1872" i="12" s="1"/>
  <c r="R1871" i="12" s="1"/>
  <c r="R1870" i="12" s="1"/>
  <c r="R1869" i="12" s="1"/>
  <c r="R1868" i="12" s="1"/>
  <c r="R1867" i="12" s="1"/>
  <c r="R1866" i="12" s="1"/>
  <c r="R1865" i="12" s="1"/>
  <c r="R1864" i="12" s="1"/>
  <c r="R1863" i="12" s="1"/>
  <c r="R1862" i="12" s="1"/>
  <c r="R1861" i="12" s="1"/>
  <c r="R1860" i="12" s="1"/>
  <c r="R1859" i="12" s="1"/>
  <c r="R1858" i="12" s="1"/>
  <c r="R1857" i="12" s="1"/>
  <c r="R1856" i="12" s="1"/>
  <c r="R1855" i="12" s="1"/>
  <c r="R1854" i="12" s="1"/>
  <c r="R1853" i="12" s="1"/>
  <c r="R1852" i="12" s="1"/>
  <c r="R1851" i="12" s="1"/>
  <c r="R1850" i="12" s="1"/>
  <c r="R1849" i="12" s="1"/>
  <c r="R1848" i="12" s="1"/>
  <c r="R1847" i="12" s="1"/>
  <c r="R1846" i="12" s="1"/>
  <c r="R1845" i="12" s="1"/>
  <c r="R1844" i="12" s="1"/>
  <c r="R1843" i="12" s="1"/>
  <c r="R1842" i="12" s="1"/>
  <c r="R1841" i="12" s="1"/>
  <c r="R1840" i="12" s="1"/>
  <c r="R1839" i="12" s="1"/>
  <c r="R1838" i="12" s="1"/>
  <c r="R1837" i="12" s="1"/>
  <c r="R1836" i="12" s="1"/>
  <c r="R1835" i="12" s="1"/>
  <c r="R1834" i="12" s="1"/>
  <c r="R1833" i="12" s="1"/>
  <c r="R1832" i="12" s="1"/>
  <c r="R1831" i="12" s="1"/>
  <c r="R1830" i="12" s="1"/>
  <c r="R1829" i="12" s="1"/>
  <c r="R1828" i="12" s="1"/>
  <c r="R1827" i="12" s="1"/>
  <c r="R1826" i="12" s="1"/>
  <c r="R1825" i="12" s="1"/>
  <c r="R1824" i="12" s="1"/>
  <c r="R1823" i="12" s="1"/>
  <c r="R1822" i="12" s="1"/>
  <c r="R1821" i="12" s="1"/>
  <c r="R1820" i="12" s="1"/>
  <c r="R1819" i="12" s="1"/>
  <c r="R1818" i="12" s="1"/>
  <c r="R1817" i="12" s="1"/>
  <c r="R1816" i="12" s="1"/>
  <c r="R1815" i="12" s="1"/>
  <c r="R1814" i="12" s="1"/>
  <c r="BK26" i="9"/>
  <c r="T15" i="11"/>
  <c r="BM7" i="9" s="1"/>
  <c r="BK7" i="9"/>
  <c r="T24" i="11"/>
  <c r="BM16" i="9" s="1"/>
  <c r="R1043" i="12" s="1"/>
  <c r="R1042" i="12" s="1"/>
  <c r="R1041" i="12" s="1"/>
  <c r="R1040" i="12" s="1"/>
  <c r="R1039" i="12" s="1"/>
  <c r="R1038" i="12" s="1"/>
  <c r="R1037" i="12" s="1"/>
  <c r="R1036" i="12" s="1"/>
  <c r="R1035" i="12" s="1"/>
  <c r="R1034" i="12" s="1"/>
  <c r="R1033" i="12" s="1"/>
  <c r="R1032" i="12" s="1"/>
  <c r="R1031" i="12" s="1"/>
  <c r="R1030" i="12" s="1"/>
  <c r="R1029" i="12" s="1"/>
  <c r="R1028" i="12" s="1"/>
  <c r="R1027" i="12" s="1"/>
  <c r="R1026" i="12" s="1"/>
  <c r="R1025" i="12" s="1"/>
  <c r="R1024" i="12" s="1"/>
  <c r="R1023" i="12" s="1"/>
  <c r="R1022" i="12" s="1"/>
  <c r="R1021" i="12" s="1"/>
  <c r="R1020" i="12" s="1"/>
  <c r="R1019" i="12" s="1"/>
  <c r="R1018" i="12" s="1"/>
  <c r="R1017" i="12" s="1"/>
  <c r="R1016" i="12" s="1"/>
  <c r="R1015" i="12" s="1"/>
  <c r="R1014" i="12" s="1"/>
  <c r="R1013" i="12" s="1"/>
  <c r="R1012" i="12" s="1"/>
  <c r="R1011" i="12" s="1"/>
  <c r="R1010" i="12" s="1"/>
  <c r="R1009" i="12" s="1"/>
  <c r="R1008" i="12" s="1"/>
  <c r="R1007" i="12" s="1"/>
  <c r="R1006" i="12" s="1"/>
  <c r="R1005" i="12" s="1"/>
  <c r="R1004" i="12" s="1"/>
  <c r="R1003" i="12" s="1"/>
  <c r="R1002" i="12" s="1"/>
  <c r="R1001" i="12" s="1"/>
  <c r="R1000" i="12" s="1"/>
  <c r="R999" i="12" s="1"/>
  <c r="R998" i="12" s="1"/>
  <c r="R997" i="12" s="1"/>
  <c r="R996" i="12" s="1"/>
  <c r="R995" i="12" s="1"/>
  <c r="R994" i="12" s="1"/>
  <c r="R993" i="12" s="1"/>
  <c r="R992" i="12" s="1"/>
  <c r="R991" i="12" s="1"/>
  <c r="R990" i="12" s="1"/>
  <c r="R989" i="12" s="1"/>
  <c r="R988" i="12" s="1"/>
  <c r="R987" i="12" s="1"/>
  <c r="R986" i="12" s="1"/>
  <c r="R985" i="12" s="1"/>
  <c r="R984" i="12" s="1"/>
  <c r="R983" i="12" s="1"/>
  <c r="R982" i="12" s="1"/>
  <c r="R981" i="12" s="1"/>
  <c r="R980" i="12" s="1"/>
  <c r="R979" i="12" s="1"/>
  <c r="R978" i="12" s="1"/>
  <c r="R977" i="12" s="1"/>
  <c r="R976" i="12" s="1"/>
  <c r="R975" i="12" s="1"/>
  <c r="R974" i="12" s="1"/>
  <c r="R973" i="12" s="1"/>
  <c r="R972" i="12" s="1"/>
  <c r="R971" i="12" s="1"/>
  <c r="R970" i="12" s="1"/>
  <c r="R969" i="12" s="1"/>
  <c r="R968" i="12" s="1"/>
  <c r="R967" i="12" s="1"/>
  <c r="R966" i="12" s="1"/>
  <c r="R965" i="12" s="1"/>
  <c r="R964" i="12" s="1"/>
  <c r="R963" i="12" s="1"/>
  <c r="R962" i="12" s="1"/>
  <c r="R961" i="12" s="1"/>
  <c r="R960" i="12" s="1"/>
  <c r="R959" i="12" s="1"/>
  <c r="R958" i="12" s="1"/>
  <c r="R957" i="12" s="1"/>
  <c r="R956" i="12" s="1"/>
  <c r="R955" i="12" s="1"/>
  <c r="R954" i="12" s="1"/>
  <c r="R953" i="12" s="1"/>
  <c r="R952" i="12" s="1"/>
  <c r="R951" i="12" s="1"/>
  <c r="R950" i="12" s="1"/>
  <c r="R949" i="12" s="1"/>
  <c r="R948" i="12" s="1"/>
  <c r="R947" i="12" s="1"/>
  <c r="R946" i="12" s="1"/>
  <c r="R945" i="12" s="1"/>
  <c r="R944" i="12" s="1"/>
  <c r="R943" i="12" s="1"/>
  <c r="R942" i="12" s="1"/>
  <c r="R941" i="12" s="1"/>
  <c r="R940" i="12" s="1"/>
  <c r="R939" i="12" s="1"/>
  <c r="R938" i="12" s="1"/>
  <c r="R937" i="12" s="1"/>
  <c r="R936" i="12" s="1"/>
  <c r="R935" i="12" s="1"/>
  <c r="R934" i="12" s="1"/>
  <c r="R933" i="12" s="1"/>
  <c r="R932" i="12" s="1"/>
  <c r="R931" i="12" s="1"/>
  <c r="R930" i="12" s="1"/>
  <c r="R929" i="12" s="1"/>
  <c r="R928" i="12" s="1"/>
  <c r="R927" i="12" s="1"/>
  <c r="R926" i="12" s="1"/>
  <c r="R925" i="12" s="1"/>
  <c r="R924" i="12" s="1"/>
  <c r="R923" i="12" s="1"/>
  <c r="R922" i="12" s="1"/>
  <c r="R921" i="12" s="1"/>
  <c r="R920" i="12" s="1"/>
  <c r="R919" i="12" s="1"/>
  <c r="R918" i="12" s="1"/>
  <c r="R917" i="12" s="1"/>
  <c r="R916" i="12" s="1"/>
  <c r="R915" i="12" s="1"/>
  <c r="R914" i="12" s="1"/>
  <c r="R913" i="12" s="1"/>
  <c r="R912" i="12" s="1"/>
  <c r="R911" i="12" s="1"/>
  <c r="R910" i="12" s="1"/>
  <c r="R909" i="12" s="1"/>
  <c r="R908" i="12" s="1"/>
  <c r="R907" i="12" s="1"/>
  <c r="R906" i="12" s="1"/>
  <c r="R905" i="12" s="1"/>
  <c r="R904" i="12" s="1"/>
  <c r="BK16" i="9"/>
  <c r="T22" i="11"/>
  <c r="BM14" i="9" s="1"/>
  <c r="R903" i="12" s="1"/>
  <c r="R902" i="12" s="1"/>
  <c r="R901" i="12" s="1"/>
  <c r="R900" i="12" s="1"/>
  <c r="R899" i="12" s="1"/>
  <c r="R898" i="12" s="1"/>
  <c r="R897" i="12" s="1"/>
  <c r="R896" i="12" s="1"/>
  <c r="R895" i="12" s="1"/>
  <c r="R894" i="12" s="1"/>
  <c r="R893" i="12" s="1"/>
  <c r="R892" i="12" s="1"/>
  <c r="R891" i="12" s="1"/>
  <c r="R890" i="12" s="1"/>
  <c r="R889" i="12" s="1"/>
  <c r="R888" i="12" s="1"/>
  <c r="R887" i="12" s="1"/>
  <c r="R886" i="12" s="1"/>
  <c r="R885" i="12" s="1"/>
  <c r="R884" i="12" s="1"/>
  <c r="R883" i="12" s="1"/>
  <c r="R882" i="12" s="1"/>
  <c r="R881" i="12" s="1"/>
  <c r="R880" i="12" s="1"/>
  <c r="R879" i="12" s="1"/>
  <c r="R878" i="12" s="1"/>
  <c r="R877" i="12" s="1"/>
  <c r="R876" i="12" s="1"/>
  <c r="R875" i="12" s="1"/>
  <c r="R874" i="12" s="1"/>
  <c r="R873" i="12" s="1"/>
  <c r="R872" i="12" s="1"/>
  <c r="R871" i="12" s="1"/>
  <c r="R870" i="12" s="1"/>
  <c r="R869" i="12" s="1"/>
  <c r="R868" i="12" s="1"/>
  <c r="R867" i="12" s="1"/>
  <c r="R866" i="12" s="1"/>
  <c r="R865" i="12" s="1"/>
  <c r="R864" i="12" s="1"/>
  <c r="R863" i="12" s="1"/>
  <c r="R862" i="12" s="1"/>
  <c r="R861" i="12" s="1"/>
  <c r="R860" i="12" s="1"/>
  <c r="R859" i="12" s="1"/>
  <c r="R858" i="12" s="1"/>
  <c r="R857" i="12" s="1"/>
  <c r="R856" i="12" s="1"/>
  <c r="R855" i="12" s="1"/>
  <c r="R854" i="12" s="1"/>
  <c r="R853" i="12" s="1"/>
  <c r="R852" i="12" s="1"/>
  <c r="R851" i="12" s="1"/>
  <c r="R850" i="12" s="1"/>
  <c r="R849" i="12" s="1"/>
  <c r="R848" i="12" s="1"/>
  <c r="R847" i="12" s="1"/>
  <c r="R846" i="12" s="1"/>
  <c r="R845" i="12" s="1"/>
  <c r="R844" i="12" s="1"/>
  <c r="R843" i="12" s="1"/>
  <c r="R842" i="12" s="1"/>
  <c r="R841" i="12" s="1"/>
  <c r="R840" i="12" s="1"/>
  <c r="R839" i="12" s="1"/>
  <c r="R838" i="12" s="1"/>
  <c r="R837" i="12" s="1"/>
  <c r="R836" i="12" s="1"/>
  <c r="R835" i="12" s="1"/>
  <c r="R834" i="12" s="1"/>
  <c r="BK14" i="9"/>
  <c r="T20" i="11"/>
  <c r="BM12" i="9" s="1"/>
  <c r="R762" i="12" s="1"/>
  <c r="R761" i="12" s="1"/>
  <c r="R760" i="12" s="1"/>
  <c r="R759" i="12" s="1"/>
  <c r="R758" i="12" s="1"/>
  <c r="R757" i="12" s="1"/>
  <c r="R756" i="12" s="1"/>
  <c r="R755" i="12" s="1"/>
  <c r="R754" i="12" s="1"/>
  <c r="R753" i="12" s="1"/>
  <c r="R752" i="12" s="1"/>
  <c r="R751" i="12" s="1"/>
  <c r="R750" i="12" s="1"/>
  <c r="R749" i="12" s="1"/>
  <c r="R748" i="12" s="1"/>
  <c r="R747" i="12" s="1"/>
  <c r="R746" i="12" s="1"/>
  <c r="R745" i="12" s="1"/>
  <c r="R744" i="12" s="1"/>
  <c r="R743" i="12" s="1"/>
  <c r="R742" i="12" s="1"/>
  <c r="R741" i="12" s="1"/>
  <c r="R740" i="12" s="1"/>
  <c r="R739" i="12" s="1"/>
  <c r="R738" i="12" s="1"/>
  <c r="R737" i="12" s="1"/>
  <c r="R736" i="12" s="1"/>
  <c r="R735" i="12" s="1"/>
  <c r="R734" i="12" s="1"/>
  <c r="R733" i="12" s="1"/>
  <c r="R732" i="12" s="1"/>
  <c r="R731" i="12" s="1"/>
  <c r="R730" i="12" s="1"/>
  <c r="R729" i="12" s="1"/>
  <c r="R728" i="12" s="1"/>
  <c r="R727" i="12" s="1"/>
  <c r="R726" i="12" s="1"/>
  <c r="R725" i="12" s="1"/>
  <c r="R724" i="12" s="1"/>
  <c r="R723" i="12" s="1"/>
  <c r="R722" i="12" s="1"/>
  <c r="R721" i="12" s="1"/>
  <c r="R720" i="12" s="1"/>
  <c r="R719" i="12" s="1"/>
  <c r="R718" i="12" s="1"/>
  <c r="R717" i="12" s="1"/>
  <c r="R716" i="12" s="1"/>
  <c r="R715" i="12" s="1"/>
  <c r="R714" i="12" s="1"/>
  <c r="R713" i="12" s="1"/>
  <c r="R712" i="12" s="1"/>
  <c r="R711" i="12" s="1"/>
  <c r="R710" i="12" s="1"/>
  <c r="R709" i="12" s="1"/>
  <c r="R708" i="12" s="1"/>
  <c r="R707" i="12" s="1"/>
  <c r="R706" i="12" s="1"/>
  <c r="R705" i="12" s="1"/>
  <c r="R704" i="12" s="1"/>
  <c r="R703" i="12" s="1"/>
  <c r="R702" i="12" s="1"/>
  <c r="R701" i="12" s="1"/>
  <c r="R700" i="12" s="1"/>
  <c r="R699" i="12" s="1"/>
  <c r="R698" i="12" s="1"/>
  <c r="R697" i="12" s="1"/>
  <c r="R696" i="12" s="1"/>
  <c r="R695" i="12" s="1"/>
  <c r="R694" i="12" s="1"/>
  <c r="R693" i="12" s="1"/>
  <c r="R692" i="12" s="1"/>
  <c r="R691" i="12" s="1"/>
  <c r="R690" i="12" s="1"/>
  <c r="R689" i="12" s="1"/>
  <c r="R688" i="12" s="1"/>
  <c r="R687" i="12" s="1"/>
  <c r="R686" i="12" s="1"/>
  <c r="R685" i="12" s="1"/>
  <c r="R684" i="12" s="1"/>
  <c r="R683" i="12" s="1"/>
  <c r="R682" i="12" s="1"/>
  <c r="R681" i="12" s="1"/>
  <c r="R680" i="12" s="1"/>
  <c r="R679" i="12" s="1"/>
  <c r="R678" i="12" s="1"/>
  <c r="R677" i="12" s="1"/>
  <c r="R676" i="12" s="1"/>
  <c r="R675" i="12" s="1"/>
  <c r="R674" i="12" s="1"/>
  <c r="R673" i="12" s="1"/>
  <c r="R672" i="12" s="1"/>
  <c r="R671" i="12" s="1"/>
  <c r="R670" i="12" s="1"/>
  <c r="R669" i="12" s="1"/>
  <c r="R668" i="12" s="1"/>
  <c r="R667" i="12" s="1"/>
  <c r="R666" i="12" s="1"/>
  <c r="R665" i="12" s="1"/>
  <c r="R664" i="12" s="1"/>
  <c r="R663" i="12" s="1"/>
  <c r="R662" i="12" s="1"/>
  <c r="R661" i="12" s="1"/>
  <c r="R660" i="12" s="1"/>
  <c r="R659" i="12" s="1"/>
  <c r="R658" i="12" s="1"/>
  <c r="R657" i="12" s="1"/>
  <c r="R656" i="12" s="1"/>
  <c r="R655" i="12" s="1"/>
  <c r="R654" i="12" s="1"/>
  <c r="R653" i="12" s="1"/>
  <c r="R652" i="12" s="1"/>
  <c r="R651" i="12" s="1"/>
  <c r="R650" i="12" s="1"/>
  <c r="R649" i="12" s="1"/>
  <c r="R648" i="12" s="1"/>
  <c r="R647" i="12" s="1"/>
  <c r="R646" i="12" s="1"/>
  <c r="R645" i="12" s="1"/>
  <c r="R644" i="12" s="1"/>
  <c r="R643" i="12" s="1"/>
  <c r="R642" i="12" s="1"/>
  <c r="R641" i="12" s="1"/>
  <c r="R640" i="12" s="1"/>
  <c r="R639" i="12" s="1"/>
  <c r="R638" i="12" s="1"/>
  <c r="R637" i="12" s="1"/>
  <c r="R636" i="12" s="1"/>
  <c r="R635" i="12" s="1"/>
  <c r="R634" i="12" s="1"/>
  <c r="R633" i="12" s="1"/>
  <c r="R632" i="12" s="1"/>
  <c r="R631" i="12" s="1"/>
  <c r="R630" i="12" s="1"/>
  <c r="R629" i="12" s="1"/>
  <c r="R628" i="12" s="1"/>
  <c r="R627" i="12" s="1"/>
  <c r="R626" i="12" s="1"/>
  <c r="R625" i="12" s="1"/>
  <c r="R624" i="12" s="1"/>
  <c r="R623" i="12" s="1"/>
  <c r="R622" i="12" s="1"/>
  <c r="R621" i="12" s="1"/>
  <c r="R620" i="12" s="1"/>
  <c r="R619" i="12" s="1"/>
  <c r="R618" i="12" s="1"/>
  <c r="R617" i="12" s="1"/>
  <c r="R616" i="12" s="1"/>
  <c r="R615" i="12" s="1"/>
  <c r="R614" i="12" s="1"/>
  <c r="R613" i="12" s="1"/>
  <c r="R612" i="12" s="1"/>
  <c r="R611" i="12" s="1"/>
  <c r="R610" i="12" s="1"/>
  <c r="R609" i="12" s="1"/>
  <c r="R608" i="12" s="1"/>
  <c r="R607" i="12" s="1"/>
  <c r="R606" i="12" s="1"/>
  <c r="R605" i="12" s="1"/>
  <c r="R604" i="12" s="1"/>
  <c r="R603" i="12" s="1"/>
  <c r="R602" i="12" s="1"/>
  <c r="R601" i="12" s="1"/>
  <c r="R600" i="12" s="1"/>
  <c r="R599" i="12" s="1"/>
  <c r="R598" i="12" s="1"/>
  <c r="R597" i="12" s="1"/>
  <c r="R596" i="12" s="1"/>
  <c r="R595" i="12" s="1"/>
  <c r="R594" i="12" s="1"/>
  <c r="R593" i="12" s="1"/>
  <c r="R592" i="12" s="1"/>
  <c r="R591" i="12" s="1"/>
  <c r="R590" i="12" s="1"/>
  <c r="R589" i="12" s="1"/>
  <c r="R588" i="12" s="1"/>
  <c r="R587" i="12" s="1"/>
  <c r="R586" i="12" s="1"/>
  <c r="R585" i="12" s="1"/>
  <c r="R584" i="12" s="1"/>
  <c r="R583" i="12" s="1"/>
  <c r="R582" i="12" s="1"/>
  <c r="R581" i="12" s="1"/>
  <c r="R580" i="12" s="1"/>
  <c r="R579" i="12" s="1"/>
  <c r="R578" i="12" s="1"/>
  <c r="R577" i="12" s="1"/>
  <c r="R576" i="12" s="1"/>
  <c r="R575" i="12" s="1"/>
  <c r="R574" i="12" s="1"/>
  <c r="R573" i="12" s="1"/>
  <c r="R572" i="12" s="1"/>
  <c r="R571" i="12" s="1"/>
  <c r="R570" i="12" s="1"/>
  <c r="R569" i="12" s="1"/>
  <c r="R568" i="12" s="1"/>
  <c r="R567" i="12" s="1"/>
  <c r="R566" i="12" s="1"/>
  <c r="R565" i="12" s="1"/>
  <c r="R564" i="12" s="1"/>
  <c r="R563" i="12" s="1"/>
  <c r="R562" i="12" s="1"/>
  <c r="R561" i="12" s="1"/>
  <c r="R560" i="12" s="1"/>
  <c r="R559" i="12" s="1"/>
  <c r="R558" i="12" s="1"/>
  <c r="R557" i="12" s="1"/>
  <c r="R556" i="12" s="1"/>
  <c r="R555" i="12" s="1"/>
  <c r="R554" i="12" s="1"/>
  <c r="R553" i="12" s="1"/>
  <c r="R552" i="12" s="1"/>
  <c r="R551" i="12" s="1"/>
  <c r="R550" i="12" s="1"/>
  <c r="R549" i="12" s="1"/>
  <c r="R548" i="12" s="1"/>
  <c r="R547" i="12" s="1"/>
  <c r="R546" i="12" s="1"/>
  <c r="R545" i="12" s="1"/>
  <c r="R544" i="12" s="1"/>
  <c r="R543" i="12" s="1"/>
  <c r="R542" i="12" s="1"/>
  <c r="R541" i="12" s="1"/>
  <c r="R540" i="12" s="1"/>
  <c r="R539" i="12" s="1"/>
  <c r="R538" i="12" s="1"/>
  <c r="R537" i="12" s="1"/>
  <c r="R536" i="12" s="1"/>
  <c r="R535" i="12" s="1"/>
  <c r="R534" i="12" s="1"/>
  <c r="R533" i="12" s="1"/>
  <c r="R532" i="12" s="1"/>
  <c r="R531" i="12" s="1"/>
  <c r="R530" i="12" s="1"/>
  <c r="R529" i="12" s="1"/>
  <c r="R528" i="12" s="1"/>
  <c r="R527" i="12" s="1"/>
  <c r="R526" i="12" s="1"/>
  <c r="R525" i="12" s="1"/>
  <c r="R524" i="12" s="1"/>
  <c r="R523" i="12" s="1"/>
  <c r="R522" i="12" s="1"/>
  <c r="R521" i="12" s="1"/>
  <c r="R520" i="12" s="1"/>
  <c r="R519" i="12" s="1"/>
  <c r="R518" i="12" s="1"/>
  <c r="R517" i="12" s="1"/>
  <c r="R516" i="12" s="1"/>
  <c r="R515" i="12" s="1"/>
  <c r="R514" i="12" s="1"/>
  <c r="R513" i="12" s="1"/>
  <c r="R512" i="12" s="1"/>
  <c r="R511" i="12" s="1"/>
  <c r="R510" i="12" s="1"/>
  <c r="R509" i="12" s="1"/>
  <c r="R508" i="12" s="1"/>
  <c r="R507" i="12" s="1"/>
  <c r="R506" i="12" s="1"/>
  <c r="R505" i="12" s="1"/>
  <c r="R504" i="12" s="1"/>
  <c r="R503" i="12" s="1"/>
  <c r="R502" i="12" s="1"/>
  <c r="R501" i="12" s="1"/>
  <c r="R500" i="12" s="1"/>
  <c r="R499" i="12" s="1"/>
  <c r="R498" i="12" s="1"/>
  <c r="R497" i="12" s="1"/>
  <c r="R496" i="12" s="1"/>
  <c r="R495" i="12" s="1"/>
  <c r="R494" i="12" s="1"/>
  <c r="R493" i="12" s="1"/>
  <c r="R492" i="12" s="1"/>
  <c r="R491" i="12" s="1"/>
  <c r="R490" i="12" s="1"/>
  <c r="R489" i="12" s="1"/>
  <c r="R488" i="12" s="1"/>
  <c r="R487" i="12" s="1"/>
  <c r="R486" i="12" s="1"/>
  <c r="R485" i="12" s="1"/>
  <c r="R484" i="12" s="1"/>
  <c r="R483" i="12" s="1"/>
  <c r="R482" i="12" s="1"/>
  <c r="R481" i="12" s="1"/>
  <c r="R480" i="12" s="1"/>
  <c r="R479" i="12" s="1"/>
  <c r="R478" i="12" s="1"/>
  <c r="R477" i="12" s="1"/>
  <c r="R476" i="12" s="1"/>
  <c r="R475" i="12" s="1"/>
  <c r="R474" i="12" s="1"/>
  <c r="R473" i="12" s="1"/>
  <c r="R472" i="12" s="1"/>
  <c r="R471" i="12" s="1"/>
  <c r="R470" i="12" s="1"/>
  <c r="R469" i="12" s="1"/>
  <c r="R468" i="12" s="1"/>
  <c r="R467" i="12" s="1"/>
  <c r="R466" i="12" s="1"/>
  <c r="R465" i="12" s="1"/>
  <c r="R464" i="12" s="1"/>
  <c r="R463" i="12" s="1"/>
  <c r="R462" i="12" s="1"/>
  <c r="R461" i="12" s="1"/>
  <c r="R460" i="12" s="1"/>
  <c r="R459" i="12" s="1"/>
  <c r="R458" i="12" s="1"/>
  <c r="R457" i="12" s="1"/>
  <c r="R456" i="12" s="1"/>
  <c r="R455" i="12" s="1"/>
  <c r="R454" i="12" s="1"/>
  <c r="R453" i="12" s="1"/>
  <c r="R452" i="12" s="1"/>
  <c r="R451" i="12" s="1"/>
  <c r="R450" i="12" s="1"/>
  <c r="R449" i="12" s="1"/>
  <c r="R448" i="12" s="1"/>
  <c r="R447" i="12" s="1"/>
  <c r="R446" i="12" s="1"/>
  <c r="R445" i="12" s="1"/>
  <c r="R444" i="12" s="1"/>
  <c r="R443" i="12" s="1"/>
  <c r="R442" i="12" s="1"/>
  <c r="R441" i="12" s="1"/>
  <c r="R440" i="12" s="1"/>
  <c r="R439" i="12" s="1"/>
  <c r="R438" i="12" s="1"/>
  <c r="R437" i="12" s="1"/>
  <c r="R436" i="12" s="1"/>
  <c r="R435" i="12" s="1"/>
  <c r="R434" i="12" s="1"/>
  <c r="R433" i="12" s="1"/>
  <c r="R432" i="12" s="1"/>
  <c r="R431" i="12" s="1"/>
  <c r="R430" i="12" s="1"/>
  <c r="R429" i="12" s="1"/>
  <c r="R428" i="12" s="1"/>
  <c r="R427" i="12" s="1"/>
  <c r="R426" i="12" s="1"/>
  <c r="R425" i="12" s="1"/>
  <c r="R424" i="12" s="1"/>
  <c r="R423" i="12" s="1"/>
  <c r="R422" i="12" s="1"/>
  <c r="R421" i="12" s="1"/>
  <c r="R420" i="12" s="1"/>
  <c r="R419" i="12" s="1"/>
  <c r="R418" i="12" s="1"/>
  <c r="R417" i="12" s="1"/>
  <c r="R416" i="12" s="1"/>
  <c r="R415" i="12" s="1"/>
  <c r="R414" i="12" s="1"/>
  <c r="R413" i="12" s="1"/>
  <c r="R412" i="12" s="1"/>
  <c r="R411" i="12" s="1"/>
  <c r="R410" i="12" s="1"/>
  <c r="R409" i="12" s="1"/>
  <c r="R408" i="12" s="1"/>
  <c r="R407" i="12" s="1"/>
  <c r="R406" i="12" s="1"/>
  <c r="R405" i="12" s="1"/>
  <c r="R404" i="12" s="1"/>
  <c r="R403" i="12" s="1"/>
  <c r="R402" i="12" s="1"/>
  <c r="R401" i="12" s="1"/>
  <c r="R400" i="12" s="1"/>
  <c r="R399" i="12" s="1"/>
  <c r="R398" i="12" s="1"/>
  <c r="R397" i="12" s="1"/>
  <c r="R396" i="12" s="1"/>
  <c r="R395" i="12" s="1"/>
  <c r="R394" i="12" s="1"/>
  <c r="R393" i="12" s="1"/>
  <c r="R392" i="12" s="1"/>
  <c r="R391" i="12" s="1"/>
  <c r="R390" i="12" s="1"/>
  <c r="R389" i="12" s="1"/>
  <c r="R388" i="12" s="1"/>
  <c r="R387" i="12" s="1"/>
  <c r="R386" i="12" s="1"/>
  <c r="R385" i="12" s="1"/>
  <c r="BK12" i="9"/>
  <c r="T25" i="11"/>
  <c r="BM17" i="9" s="1"/>
  <c r="BK17" i="9"/>
  <c r="BJ23" i="9"/>
  <c r="AM1602" i="12" s="1"/>
  <c r="R31" i="11"/>
  <c r="BJ24" i="9"/>
  <c r="AM1673" i="12" s="1"/>
  <c r="R32" i="11"/>
  <c r="BJ25" i="9"/>
  <c r="AM1813" i="12" s="1"/>
  <c r="R33" i="11"/>
  <c r="BJ8" i="9"/>
  <c r="R16" i="11"/>
  <c r="BJ11" i="9"/>
  <c r="R19" i="11"/>
  <c r="T23" i="11"/>
  <c r="BM15" i="9" s="1"/>
  <c r="BK15" i="9"/>
  <c r="R28" i="11"/>
  <c r="R18" i="11"/>
  <c r="T21" i="11"/>
  <c r="BM13" i="9" s="1"/>
  <c r="R833" i="12" s="1"/>
  <c r="R832" i="12" s="1"/>
  <c r="R831" i="12" s="1"/>
  <c r="R830" i="12" s="1"/>
  <c r="R829" i="12" s="1"/>
  <c r="R828" i="12" s="1"/>
  <c r="R827" i="12" s="1"/>
  <c r="R826" i="12" s="1"/>
  <c r="R825" i="12" s="1"/>
  <c r="R824" i="12" s="1"/>
  <c r="R823" i="12" s="1"/>
  <c r="R822" i="12" s="1"/>
  <c r="R821" i="12" s="1"/>
  <c r="R820" i="12" s="1"/>
  <c r="R819" i="12" s="1"/>
  <c r="R818" i="12" s="1"/>
  <c r="R817" i="12" s="1"/>
  <c r="R816" i="12" s="1"/>
  <c r="R815" i="12" s="1"/>
  <c r="R814" i="12" s="1"/>
  <c r="R813" i="12" s="1"/>
  <c r="R812" i="12" s="1"/>
  <c r="R811" i="12" s="1"/>
  <c r="R810" i="12" s="1"/>
  <c r="R809" i="12" s="1"/>
  <c r="R808" i="12" s="1"/>
  <c r="R807" i="12" s="1"/>
  <c r="R806" i="12" s="1"/>
  <c r="R805" i="12" s="1"/>
  <c r="R804" i="12" s="1"/>
  <c r="R803" i="12" s="1"/>
  <c r="R802" i="12" s="1"/>
  <c r="R801" i="12" s="1"/>
  <c r="R800" i="12" s="1"/>
  <c r="R799" i="12" s="1"/>
  <c r="R798" i="12" s="1"/>
  <c r="R797" i="12" s="1"/>
  <c r="R796" i="12" s="1"/>
  <c r="R795" i="12" s="1"/>
  <c r="R794" i="12" s="1"/>
  <c r="R793" i="12" s="1"/>
  <c r="R792" i="12" s="1"/>
  <c r="R791" i="12" s="1"/>
  <c r="R790" i="12" s="1"/>
  <c r="R789" i="12" s="1"/>
  <c r="R788" i="12" s="1"/>
  <c r="R787" i="12" s="1"/>
  <c r="R786" i="12" s="1"/>
  <c r="R785" i="12" s="1"/>
  <c r="R784" i="12" s="1"/>
  <c r="R783" i="12" s="1"/>
  <c r="R782" i="12" s="1"/>
  <c r="R781" i="12" s="1"/>
  <c r="R780" i="12" s="1"/>
  <c r="R779" i="12" s="1"/>
  <c r="R778" i="12" s="1"/>
  <c r="R777" i="12" s="1"/>
  <c r="R776" i="12" s="1"/>
  <c r="R775" i="12" s="1"/>
  <c r="R774" i="12" s="1"/>
  <c r="R773" i="12" s="1"/>
  <c r="R772" i="12" s="1"/>
  <c r="R771" i="12" s="1"/>
  <c r="R770" i="12" s="1"/>
  <c r="R769" i="12" s="1"/>
  <c r="R768" i="12" s="1"/>
  <c r="R767" i="12" s="1"/>
  <c r="R766" i="12" s="1"/>
  <c r="R765" i="12" s="1"/>
  <c r="R764" i="12" s="1"/>
  <c r="R763" i="12" s="1"/>
  <c r="BK13" i="9"/>
  <c r="T26" i="11"/>
  <c r="BM18" i="9" s="1"/>
  <c r="R1253" i="12" s="1"/>
  <c r="R1252" i="12" s="1"/>
  <c r="R1251" i="12" s="1"/>
  <c r="R1250" i="12" s="1"/>
  <c r="R1249" i="12" s="1"/>
  <c r="R1248" i="12" s="1"/>
  <c r="R1247" i="12" s="1"/>
  <c r="R1246" i="12" s="1"/>
  <c r="R1245" i="12" s="1"/>
  <c r="R1244" i="12" s="1"/>
  <c r="R1243" i="12" s="1"/>
  <c r="R1242" i="12" s="1"/>
  <c r="R1241" i="12" s="1"/>
  <c r="R1240" i="12" s="1"/>
  <c r="R1239" i="12" s="1"/>
  <c r="R1238" i="12" s="1"/>
  <c r="R1237" i="12" s="1"/>
  <c r="R1236" i="12" s="1"/>
  <c r="R1235" i="12" s="1"/>
  <c r="R1234" i="12" s="1"/>
  <c r="R1233" i="12" s="1"/>
  <c r="R1232" i="12" s="1"/>
  <c r="R1231" i="12" s="1"/>
  <c r="R1230" i="12" s="1"/>
  <c r="R1229" i="12" s="1"/>
  <c r="R1228" i="12" s="1"/>
  <c r="R1227" i="12" s="1"/>
  <c r="R1226" i="12" s="1"/>
  <c r="R1225" i="12" s="1"/>
  <c r="R1224" i="12" s="1"/>
  <c r="R1223" i="12" s="1"/>
  <c r="R1222" i="12" s="1"/>
  <c r="R1221" i="12" s="1"/>
  <c r="R1220" i="12" s="1"/>
  <c r="R1219" i="12" s="1"/>
  <c r="R1218" i="12" s="1"/>
  <c r="R1217" i="12" s="1"/>
  <c r="R1216" i="12" s="1"/>
  <c r="R1215" i="12" s="1"/>
  <c r="R1214" i="12" s="1"/>
  <c r="R1213" i="12" s="1"/>
  <c r="R1212" i="12" s="1"/>
  <c r="R1211" i="12" s="1"/>
  <c r="R1210" i="12" s="1"/>
  <c r="R1209" i="12" s="1"/>
  <c r="R1208" i="12" s="1"/>
  <c r="R1207" i="12" s="1"/>
  <c r="R1206" i="12" s="1"/>
  <c r="R1205" i="12" s="1"/>
  <c r="R1204" i="12" s="1"/>
  <c r="R1203" i="12" s="1"/>
  <c r="R1202" i="12" s="1"/>
  <c r="R1201" i="12" s="1"/>
  <c r="R1200" i="12" s="1"/>
  <c r="R1199" i="12" s="1"/>
  <c r="R1198" i="12" s="1"/>
  <c r="R1197" i="12" s="1"/>
  <c r="R1196" i="12" s="1"/>
  <c r="R1195" i="12" s="1"/>
  <c r="R1194" i="12" s="1"/>
  <c r="R1193" i="12" s="1"/>
  <c r="R1192" i="12" s="1"/>
  <c r="R1191" i="12" s="1"/>
  <c r="R1190" i="12" s="1"/>
  <c r="R1189" i="12" s="1"/>
  <c r="R1188" i="12" s="1"/>
  <c r="R1187" i="12" s="1"/>
  <c r="R1186" i="12" s="1"/>
  <c r="R1185" i="12" s="1"/>
  <c r="R1184" i="12" s="1"/>
  <c r="R1183" i="12" s="1"/>
  <c r="R1182" i="12" s="1"/>
  <c r="R1181" i="12" s="1"/>
  <c r="R1180" i="12" s="1"/>
  <c r="R1179" i="12" s="1"/>
  <c r="R1178" i="12" s="1"/>
  <c r="R1177" i="12" s="1"/>
  <c r="R1176" i="12" s="1"/>
  <c r="R1175" i="12" s="1"/>
  <c r="R1174" i="12" s="1"/>
  <c r="R1173" i="12" s="1"/>
  <c r="R1172" i="12" s="1"/>
  <c r="R1171" i="12" s="1"/>
  <c r="R1170" i="12" s="1"/>
  <c r="R1169" i="12" s="1"/>
  <c r="R1168" i="12" s="1"/>
  <c r="R1167" i="12" s="1"/>
  <c r="R1166" i="12" s="1"/>
  <c r="R1165" i="12" s="1"/>
  <c r="R1164" i="12" s="1"/>
  <c r="R1163" i="12" s="1"/>
  <c r="R1162" i="12" s="1"/>
  <c r="R1161" i="12" s="1"/>
  <c r="R1160" i="12" s="1"/>
  <c r="R1159" i="12" s="1"/>
  <c r="R1158" i="12" s="1"/>
  <c r="R1157" i="12" s="1"/>
  <c r="R1156" i="12" s="1"/>
  <c r="R1155" i="12" s="1"/>
  <c r="R1154" i="12" s="1"/>
  <c r="R1153" i="12" s="1"/>
  <c r="R1152" i="12" s="1"/>
  <c r="R1151" i="12" s="1"/>
  <c r="R1150" i="12" s="1"/>
  <c r="R1149" i="12" s="1"/>
  <c r="R1148" i="12" s="1"/>
  <c r="R1147" i="12" s="1"/>
  <c r="R1146" i="12" s="1"/>
  <c r="R1145" i="12" s="1"/>
  <c r="R1144" i="12" s="1"/>
  <c r="R1143" i="12" s="1"/>
  <c r="R1142" i="12" s="1"/>
  <c r="R1141" i="12" s="1"/>
  <c r="R1140" i="12" s="1"/>
  <c r="R1139" i="12" s="1"/>
  <c r="R1138" i="12" s="1"/>
  <c r="R1137" i="12" s="1"/>
  <c r="R1136" i="12" s="1"/>
  <c r="R1135" i="12" s="1"/>
  <c r="R1134" i="12" s="1"/>
  <c r="R1133" i="12" s="1"/>
  <c r="R1132" i="12" s="1"/>
  <c r="R1131" i="12" s="1"/>
  <c r="R1130" i="12" s="1"/>
  <c r="R1129" i="12" s="1"/>
  <c r="R1128" i="12" s="1"/>
  <c r="R1127" i="12" s="1"/>
  <c r="R1126" i="12" s="1"/>
  <c r="R1125" i="12" s="1"/>
  <c r="R1124" i="12" s="1"/>
  <c r="R1123" i="12" s="1"/>
  <c r="R1122" i="12" s="1"/>
  <c r="R1121" i="12" s="1"/>
  <c r="R1120" i="12" s="1"/>
  <c r="R1119" i="12" s="1"/>
  <c r="R1118" i="12" s="1"/>
  <c r="R1117" i="12" s="1"/>
  <c r="R1116" i="12" s="1"/>
  <c r="R1115" i="12" s="1"/>
  <c r="R1114" i="12" s="1"/>
  <c r="R1113" i="12" s="1"/>
  <c r="R1112" i="12" s="1"/>
  <c r="R1111" i="12" s="1"/>
  <c r="R1110" i="12" s="1"/>
  <c r="R1109" i="12" s="1"/>
  <c r="R1108" i="12" s="1"/>
  <c r="R1107" i="12" s="1"/>
  <c r="R1106" i="12" s="1"/>
  <c r="R1105" i="12" s="1"/>
  <c r="R1104" i="12" s="1"/>
  <c r="R1103" i="12" s="1"/>
  <c r="R1102" i="12" s="1"/>
  <c r="R1101" i="12" s="1"/>
  <c r="R1100" i="12" s="1"/>
  <c r="R1099" i="12" s="1"/>
  <c r="R1098" i="12" s="1"/>
  <c r="R1097" i="12" s="1"/>
  <c r="R1096" i="12" s="1"/>
  <c r="R1095" i="12" s="1"/>
  <c r="R1094" i="12" s="1"/>
  <c r="R1093" i="12" s="1"/>
  <c r="R1092" i="12" s="1"/>
  <c r="R1091" i="12" s="1"/>
  <c r="R1090" i="12" s="1"/>
  <c r="R1089" i="12" s="1"/>
  <c r="R1088" i="12" s="1"/>
  <c r="R1087" i="12" s="1"/>
  <c r="R1086" i="12" s="1"/>
  <c r="R1085" i="12" s="1"/>
  <c r="R1084" i="12" s="1"/>
  <c r="R1083" i="12" s="1"/>
  <c r="R1082" i="12" s="1"/>
  <c r="R1081" i="12" s="1"/>
  <c r="R1080" i="12" s="1"/>
  <c r="R1079" i="12" s="1"/>
  <c r="R1078" i="12" s="1"/>
  <c r="R1077" i="12" s="1"/>
  <c r="R1076" i="12" s="1"/>
  <c r="R1075" i="12" s="1"/>
  <c r="R1074" i="12" s="1"/>
  <c r="R1073" i="12" s="1"/>
  <c r="R1072" i="12" s="1"/>
  <c r="R1071" i="12" s="1"/>
  <c r="R1070" i="12" s="1"/>
  <c r="R1069" i="12" s="1"/>
  <c r="R1068" i="12" s="1"/>
  <c r="R1067" i="12" s="1"/>
  <c r="R1066" i="12" s="1"/>
  <c r="R1065" i="12" s="1"/>
  <c r="R1064" i="12" s="1"/>
  <c r="R1063" i="12" s="1"/>
  <c r="R1062" i="12" s="1"/>
  <c r="R1061" i="12" s="1"/>
  <c r="R1060" i="12" s="1"/>
  <c r="R1059" i="12" s="1"/>
  <c r="R1058" i="12" s="1"/>
  <c r="R1057" i="12" s="1"/>
  <c r="R1056" i="12" s="1"/>
  <c r="R1055" i="12" s="1"/>
  <c r="R1054" i="12" s="1"/>
  <c r="R1053" i="12" s="1"/>
  <c r="R1052" i="12" s="1"/>
  <c r="R1051" i="12" s="1"/>
  <c r="R1050" i="12" s="1"/>
  <c r="R1049" i="12" s="1"/>
  <c r="R1048" i="12" s="1"/>
  <c r="R1047" i="12" s="1"/>
  <c r="R1046" i="12" s="1"/>
  <c r="R1045" i="12" s="1"/>
  <c r="R1044" i="12" s="1"/>
  <c r="BK18" i="9"/>
  <c r="AB3310" i="12"/>
  <c r="AG3311" i="12"/>
  <c r="AD3310" i="12"/>
  <c r="AF3311" i="12"/>
  <c r="O3117" i="12"/>
  <c r="Q3116" i="12"/>
  <c r="AG1071" i="12"/>
  <c r="AF1071" i="12"/>
  <c r="AD2120" i="12"/>
  <c r="AB2021" i="12"/>
  <c r="AF2021" i="12" s="1"/>
  <c r="AG2022" i="12"/>
  <c r="AD1629" i="12"/>
  <c r="AB1489" i="12"/>
  <c r="AG1490" i="12"/>
  <c r="AG3112" i="12"/>
  <c r="AD340" i="12"/>
  <c r="AF341" i="12"/>
  <c r="AD1419" i="12"/>
  <c r="AG1741" i="12"/>
  <c r="AB1740" i="12"/>
  <c r="AF1740" i="12" s="1"/>
  <c r="AB2460" i="12"/>
  <c r="AG2461" i="12"/>
  <c r="AB1390" i="12"/>
  <c r="AF1390" i="12" s="1"/>
  <c r="AG1391" i="12"/>
  <c r="AB863" i="12"/>
  <c r="AF863" i="12" s="1"/>
  <c r="AG864" i="12"/>
  <c r="AB70" i="12"/>
  <c r="AB1000" i="12"/>
  <c r="AG1001" i="12"/>
  <c r="AB1771" i="12"/>
  <c r="AF1771" i="12" s="1"/>
  <c r="AG1772" i="12"/>
  <c r="AB620" i="12"/>
  <c r="AD1000" i="12"/>
  <c r="AF1001" i="12"/>
  <c r="AD1780" i="12"/>
  <c r="AF1781" i="12"/>
  <c r="AD2020" i="12"/>
  <c r="AB1069" i="12"/>
  <c r="AG1070" i="12"/>
  <c r="AF1391" i="12"/>
  <c r="AD2409" i="12"/>
  <c r="AD972" i="12"/>
  <c r="AB2450" i="12"/>
  <c r="AF2450" i="12" s="1"/>
  <c r="AG2451" i="12"/>
  <c r="AB1460" i="12"/>
  <c r="AG1461" i="12"/>
  <c r="AB1620" i="12"/>
  <c r="AF1620" i="12" s="1"/>
  <c r="AG1621" i="12"/>
  <c r="AB1280" i="12"/>
  <c r="AF1280" i="12" s="1"/>
  <c r="AG1281" i="12"/>
  <c r="AD2690" i="12"/>
  <c r="AD1909" i="12"/>
  <c r="AD1599" i="12"/>
  <c r="AD2129" i="12"/>
  <c r="AF2130" i="12"/>
  <c r="AB1850" i="12"/>
  <c r="AG1851" i="12"/>
  <c r="AD1840" i="12"/>
  <c r="AB2691" i="12"/>
  <c r="AG2692" i="12"/>
  <c r="AD2110" i="12"/>
  <c r="AB2370" i="12"/>
  <c r="AG2371" i="12"/>
  <c r="AD2089" i="12"/>
  <c r="AD1809" i="12"/>
  <c r="AB2471" i="12"/>
  <c r="AG2472" i="12"/>
  <c r="AB1640" i="12"/>
  <c r="AG1641" i="12"/>
  <c r="AB1910" i="12"/>
  <c r="AF1910" i="12" s="1"/>
  <c r="AG1911" i="12"/>
  <c r="AB1810" i="12"/>
  <c r="AG1811" i="12"/>
  <c r="AD1221" i="12"/>
  <c r="AF1222" i="12"/>
  <c r="AD1039" i="12"/>
  <c r="AF2944" i="12"/>
  <c r="AB1630" i="12"/>
  <c r="AG1631" i="12"/>
  <c r="AB1250" i="12"/>
  <c r="AF1250" i="12" s="1"/>
  <c r="AG1251" i="12"/>
  <c r="AG2963" i="12"/>
  <c r="AD2460" i="12"/>
  <c r="AF2461" i="12"/>
  <c r="AD1279" i="12"/>
  <c r="AD1960" i="12"/>
  <c r="AB432" i="12"/>
  <c r="AD2029" i="12"/>
  <c r="AD722" i="12"/>
  <c r="AF723" i="12"/>
  <c r="AB1890" i="12"/>
  <c r="AF1890" i="12" s="1"/>
  <c r="AG1891" i="12"/>
  <c r="AG2944" i="12"/>
  <c r="AB761" i="12"/>
  <c r="AG762" i="12"/>
  <c r="AB1570" i="12"/>
  <c r="AF1570" i="12" s="1"/>
  <c r="AG1571" i="12"/>
  <c r="AB2681" i="12"/>
  <c r="AG2682" i="12"/>
  <c r="AD2471" i="12"/>
  <c r="AF2472" i="12"/>
  <c r="AB2129" i="12"/>
  <c r="AG2130" i="12"/>
  <c r="AD2049" i="12"/>
  <c r="AD760" i="12"/>
  <c r="AD1319" i="12"/>
  <c r="AD1669" i="12"/>
  <c r="AD2439" i="12"/>
  <c r="AF2440" i="12"/>
  <c r="AD1749" i="12"/>
  <c r="AD2509" i="12"/>
  <c r="AB2510" i="12"/>
  <c r="AG2511" i="12"/>
  <c r="AB1820" i="12"/>
  <c r="AF1820" i="12" s="1"/>
  <c r="AG1821" i="12"/>
  <c r="AB2330" i="12"/>
  <c r="AF2330" i="12" s="1"/>
  <c r="AG2331" i="12"/>
  <c r="AD2449" i="12"/>
  <c r="AD1610" i="12"/>
  <c r="AD2169" i="12"/>
  <c r="AD2339" i="12"/>
  <c r="AB2541" i="12"/>
  <c r="AF2541" i="12" s="1"/>
  <c r="AG2542" i="12"/>
  <c r="AB2190" i="12"/>
  <c r="AF2190" i="12" s="1"/>
  <c r="AG2191" i="12"/>
  <c r="AB2401" i="12"/>
  <c r="AF2401" i="12" s="1"/>
  <c r="AG2402" i="12"/>
  <c r="AD1760" i="12"/>
  <c r="AF1761" i="12"/>
  <c r="AD1970" i="12"/>
  <c r="AD2730" i="12"/>
  <c r="AF1772" i="12"/>
  <c r="AG2180" i="12"/>
  <c r="AB2179" i="12"/>
  <c r="AB2611" i="12"/>
  <c r="AF2611" i="12" s="1"/>
  <c r="AG2612" i="12"/>
  <c r="AB2121" i="12"/>
  <c r="AG2122" i="12"/>
  <c r="AF3112" i="12"/>
  <c r="AD1920" i="12"/>
  <c r="AF1921" i="12"/>
  <c r="AB2260" i="12"/>
  <c r="AF2260" i="12" s="1"/>
  <c r="AG2261" i="12"/>
  <c r="AB1681" i="12"/>
  <c r="AF1681" i="12" s="1"/>
  <c r="AG1682" i="12"/>
  <c r="AB491" i="12"/>
  <c r="AG492" i="12"/>
  <c r="AD1249" i="12"/>
  <c r="AD2159" i="12"/>
  <c r="AF2160" i="12"/>
  <c r="AD1389" i="12"/>
  <c r="AD1460" i="12"/>
  <c r="AF1461" i="12"/>
  <c r="AB1711" i="12"/>
  <c r="AF1711" i="12" s="1"/>
  <c r="AG1712" i="12"/>
  <c r="AB339" i="12"/>
  <c r="AG340" i="12"/>
  <c r="AD790" i="12"/>
  <c r="AF791" i="12"/>
  <c r="AD1689" i="12"/>
  <c r="AB1879" i="12"/>
  <c r="AF1879" i="12" s="1"/>
  <c r="AG1880" i="12"/>
  <c r="AB2380" i="12"/>
  <c r="AF2380" i="12" s="1"/>
  <c r="AG2381" i="12"/>
  <c r="AB1040" i="12"/>
  <c r="AG1041" i="12"/>
  <c r="AD2390" i="12"/>
  <c r="AF2391" i="12"/>
  <c r="AD2540" i="12"/>
  <c r="AB2050" i="12"/>
  <c r="AG2051" i="12"/>
  <c r="AB79" i="12"/>
  <c r="AB2649" i="12"/>
  <c r="AG2650" i="12"/>
  <c r="AD1640" i="12"/>
  <c r="AF1641" i="12"/>
  <c r="AD2179" i="12"/>
  <c r="AF2180" i="12"/>
  <c r="AB379" i="12"/>
  <c r="AB830" i="12"/>
  <c r="AF830" i="12" s="1"/>
  <c r="AG831" i="12"/>
  <c r="AD769" i="12"/>
  <c r="AF1712" i="12"/>
  <c r="AF864" i="12"/>
  <c r="AB790" i="12"/>
  <c r="AG791" i="12"/>
  <c r="AB1961" i="12"/>
  <c r="AG1962" i="12"/>
  <c r="AD2649" i="12"/>
  <c r="AF2650" i="12"/>
  <c r="AF1821" i="12"/>
  <c r="AB2340" i="12"/>
  <c r="AG2341" i="12"/>
  <c r="AB2731" i="12"/>
  <c r="AF2731" i="12" s="1"/>
  <c r="AG2732" i="12"/>
  <c r="AB1420" i="12"/>
  <c r="AG1421" i="12"/>
  <c r="AD1850" i="12"/>
  <c r="AF1851" i="12"/>
  <c r="AD1700" i="12"/>
  <c r="AD1770" i="12"/>
  <c r="AD1619" i="12"/>
  <c r="AB2439" i="12"/>
  <c r="AG2440" i="12"/>
  <c r="AD1949" i="12"/>
  <c r="AF1950" i="12"/>
  <c r="AD1680" i="12"/>
  <c r="AD1889" i="12"/>
  <c r="AF2962" i="12"/>
  <c r="AB770" i="12"/>
  <c r="AG771" i="12"/>
  <c r="AB973" i="12"/>
  <c r="AG974" i="12"/>
  <c r="AB1949" i="12"/>
  <c r="AG1950" i="12"/>
  <c r="AD1179" i="12"/>
  <c r="AD1710" i="12"/>
  <c r="AD862" i="12"/>
  <c r="AB722" i="12"/>
  <c r="AG723" i="12"/>
  <c r="AB2551" i="12"/>
  <c r="AF2551" i="12" s="1"/>
  <c r="AG2552" i="12"/>
  <c r="AB1180" i="12"/>
  <c r="AG1181" i="12"/>
  <c r="AB160" i="12"/>
  <c r="AD2370" i="12"/>
  <c r="AF2371" i="12"/>
  <c r="AF2191" i="12"/>
  <c r="AD1819" i="12"/>
  <c r="AF2381" i="12"/>
  <c r="AB300" i="12"/>
  <c r="AB1690" i="12"/>
  <c r="AF1690" i="12" s="1"/>
  <c r="AG1691" i="12"/>
  <c r="AB2090" i="12"/>
  <c r="AF2090" i="12" s="1"/>
  <c r="AG2091" i="12"/>
  <c r="AD1351" i="12"/>
  <c r="AF1352" i="12"/>
  <c r="AB21" i="12"/>
  <c r="AB1780" i="12"/>
  <c r="AG1781" i="12"/>
  <c r="AB1760" i="12"/>
  <c r="AG1761" i="12"/>
  <c r="AB1559" i="12"/>
  <c r="AG1560" i="12"/>
  <c r="AD2329" i="12"/>
  <c r="AB1221" i="12"/>
  <c r="AG1222" i="12"/>
  <c r="AB10" i="12"/>
  <c r="AB99" i="12"/>
  <c r="AB1320" i="12"/>
  <c r="AF1320" i="12" s="1"/>
  <c r="AG1321" i="12"/>
  <c r="AD1558" i="12"/>
  <c r="AB2111" i="12"/>
  <c r="AG2112" i="12"/>
  <c r="AB1841" i="12"/>
  <c r="AF1841" i="12" s="1"/>
  <c r="AG1842" i="12"/>
  <c r="AB1750" i="12"/>
  <c r="AF1750" i="12" s="1"/>
  <c r="AG1751" i="12"/>
  <c r="AD32" i="12"/>
  <c r="AF33" i="12"/>
  <c r="AF1741" i="12"/>
  <c r="AF1880" i="12"/>
  <c r="AB1701" i="12"/>
  <c r="AG1702" i="12"/>
  <c r="AB1600" i="12"/>
  <c r="AG1601" i="12"/>
  <c r="AB2159" i="12"/>
  <c r="AG2160" i="12"/>
  <c r="AB1190" i="12"/>
  <c r="AF1190" i="12" s="1"/>
  <c r="AG1191" i="12"/>
  <c r="AD1830" i="12"/>
  <c r="AF1831" i="12"/>
  <c r="AD2550" i="12"/>
  <c r="AB1670" i="12"/>
  <c r="AF1670" i="12" s="1"/>
  <c r="AG1671" i="12"/>
  <c r="AB1920" i="12"/>
  <c r="AG1921" i="12"/>
  <c r="AF1490" i="12"/>
  <c r="AD2189" i="12"/>
  <c r="AB1900" i="12"/>
  <c r="AF1900" i="12" s="1"/>
  <c r="AG1901" i="12"/>
  <c r="AF3011" i="12"/>
  <c r="AG3012" i="12"/>
  <c r="AB2060" i="12"/>
  <c r="AG2061" i="12"/>
  <c r="AF3041" i="12"/>
  <c r="AG3042" i="12"/>
  <c r="AB1971" i="12"/>
  <c r="AF1971" i="12" s="1"/>
  <c r="AG1972" i="12"/>
  <c r="AD1069" i="12"/>
  <c r="AF1070" i="12"/>
  <c r="AD2379" i="12"/>
  <c r="AD1189" i="12"/>
  <c r="AD2400" i="12"/>
  <c r="AD829" i="12"/>
  <c r="AD1739" i="12"/>
  <c r="AD1878" i="12"/>
  <c r="AD2259" i="12"/>
  <c r="AB651" i="12"/>
  <c r="AG652" i="12"/>
  <c r="AB1830" i="12"/>
  <c r="AG1831" i="12"/>
  <c r="AB2480" i="12"/>
  <c r="AG2481" i="12"/>
  <c r="AD2059" i="12"/>
  <c r="AD1899" i="12"/>
  <c r="AF2022" i="12"/>
  <c r="AD1549" i="12"/>
  <c r="AD1488" i="12"/>
  <c r="AB1550" i="12"/>
  <c r="AG1551" i="12"/>
  <c r="AB31" i="12"/>
  <c r="AG32" i="12"/>
  <c r="AB1611" i="12"/>
  <c r="AF1611" i="12" s="1"/>
  <c r="AG1612" i="12"/>
  <c r="AD2480" i="12"/>
  <c r="AF2481" i="12"/>
  <c r="AF974" i="12"/>
  <c r="AD1569" i="12"/>
  <c r="AD2610" i="12"/>
  <c r="AF2692" i="12"/>
  <c r="AF1911" i="12"/>
  <c r="AF1601" i="12"/>
  <c r="AB240" i="12"/>
  <c r="AB2030" i="12"/>
  <c r="AF2030" i="12" s="1"/>
  <c r="AG2031" i="12"/>
  <c r="AB2170" i="12"/>
  <c r="AG2171" i="12"/>
  <c r="AD2681" i="12"/>
  <c r="AF2682" i="12"/>
  <c r="AB2390" i="12"/>
  <c r="AG2391" i="12"/>
  <c r="AB1351" i="12"/>
  <c r="AG1352" i="12"/>
  <c r="AB2410" i="12"/>
  <c r="AG2411" i="12"/>
  <c r="P16" i="11"/>
  <c r="BI8" i="9" s="1"/>
  <c r="BJ7" i="9"/>
  <c r="BL7" i="9"/>
  <c r="Q245" i="12"/>
  <c r="Q777" i="12"/>
  <c r="Q246" i="12"/>
  <c r="Q2596" i="12"/>
  <c r="Q977" i="12"/>
  <c r="Q208" i="12"/>
  <c r="Q1675" i="12"/>
  <c r="Q2875" i="12"/>
  <c r="Q1515" i="12"/>
  <c r="Q1475" i="12"/>
  <c r="Q905" i="12"/>
  <c r="Q6" i="12"/>
  <c r="Q3037" i="12"/>
  <c r="Q2737" i="12"/>
  <c r="Q1904" i="12"/>
  <c r="Q728" i="12"/>
  <c r="Q2827" i="12"/>
  <c r="Q795" i="12"/>
  <c r="Q714" i="12"/>
  <c r="Q1077" i="12"/>
  <c r="Q2185" i="12"/>
  <c r="Q585" i="12"/>
  <c r="Q655" i="12"/>
  <c r="Q387" i="12"/>
  <c r="Q216" i="12"/>
  <c r="AC642" i="12"/>
  <c r="AC334" i="12"/>
  <c r="AC28" i="12"/>
  <c r="AC12" i="12"/>
  <c r="AD12" i="12"/>
  <c r="AF12" i="12" s="1"/>
  <c r="AE642" i="12"/>
  <c r="AE488" i="12"/>
  <c r="AE334" i="12"/>
  <c r="AE28" i="12"/>
  <c r="AE12" i="12"/>
  <c r="AG12" i="12" s="1"/>
  <c r="BI7" i="9"/>
  <c r="J8" i="13"/>
  <c r="P14" i="11"/>
  <c r="BI6" i="9" s="1"/>
  <c r="AL384" i="12" s="1"/>
  <c r="BJ6" i="9"/>
  <c r="AM384" i="12" s="1"/>
  <c r="T28" i="11" l="1"/>
  <c r="BM20" i="9" s="1"/>
  <c r="R1393" i="12" s="1"/>
  <c r="R1392" i="12" s="1"/>
  <c r="R1391" i="12" s="1"/>
  <c r="R1390" i="12" s="1"/>
  <c r="R1389" i="12" s="1"/>
  <c r="R1388" i="12" s="1"/>
  <c r="R1387" i="12" s="1"/>
  <c r="R1386" i="12" s="1"/>
  <c r="R1385" i="12" s="1"/>
  <c r="R1384" i="12" s="1"/>
  <c r="R1383" i="12" s="1"/>
  <c r="R1382" i="12" s="1"/>
  <c r="R1381" i="12" s="1"/>
  <c r="R1380" i="12" s="1"/>
  <c r="R1379" i="12" s="1"/>
  <c r="R1378" i="12" s="1"/>
  <c r="R1377" i="12" s="1"/>
  <c r="R1376" i="12" s="1"/>
  <c r="R1375" i="12" s="1"/>
  <c r="R1374" i="12" s="1"/>
  <c r="R1373" i="12" s="1"/>
  <c r="R1372" i="12" s="1"/>
  <c r="R1371" i="12" s="1"/>
  <c r="R1370" i="12" s="1"/>
  <c r="R1369" i="12" s="1"/>
  <c r="R1368" i="12" s="1"/>
  <c r="R1367" i="12" s="1"/>
  <c r="R1366" i="12" s="1"/>
  <c r="R1365" i="12" s="1"/>
  <c r="R1364" i="12" s="1"/>
  <c r="R1363" i="12" s="1"/>
  <c r="R1362" i="12" s="1"/>
  <c r="R1361" i="12" s="1"/>
  <c r="R1360" i="12" s="1"/>
  <c r="R1359" i="12" s="1"/>
  <c r="R1358" i="12" s="1"/>
  <c r="R1357" i="12" s="1"/>
  <c r="R1356" i="12" s="1"/>
  <c r="R1355" i="12" s="1"/>
  <c r="R1354" i="12" s="1"/>
  <c r="R1353" i="12" s="1"/>
  <c r="R1352" i="12" s="1"/>
  <c r="R1351" i="12" s="1"/>
  <c r="R1350" i="12" s="1"/>
  <c r="R1349" i="12" s="1"/>
  <c r="R1348" i="12" s="1"/>
  <c r="R1347" i="12" s="1"/>
  <c r="R1346" i="12" s="1"/>
  <c r="R1345" i="12" s="1"/>
  <c r="R1344" i="12" s="1"/>
  <c r="R1343" i="12" s="1"/>
  <c r="R1342" i="12" s="1"/>
  <c r="R1341" i="12" s="1"/>
  <c r="R1340" i="12" s="1"/>
  <c r="R1339" i="12" s="1"/>
  <c r="R1338" i="12" s="1"/>
  <c r="R1337" i="12" s="1"/>
  <c r="R1336" i="12" s="1"/>
  <c r="R1335" i="12" s="1"/>
  <c r="R1334" i="12" s="1"/>
  <c r="R1333" i="12" s="1"/>
  <c r="R1332" i="12" s="1"/>
  <c r="R1331" i="12" s="1"/>
  <c r="R1330" i="12" s="1"/>
  <c r="R1329" i="12" s="1"/>
  <c r="R1328" i="12" s="1"/>
  <c r="R1327" i="12" s="1"/>
  <c r="R1326" i="12" s="1"/>
  <c r="R1325" i="12" s="1"/>
  <c r="R1324" i="12" s="1"/>
  <c r="BK20" i="9"/>
  <c r="T19" i="11"/>
  <c r="BM11" i="9" s="1"/>
  <c r="BK11" i="9"/>
  <c r="T32" i="11"/>
  <c r="BM24" i="9" s="1"/>
  <c r="R1673" i="12" s="1"/>
  <c r="R1672" i="12" s="1"/>
  <c r="R1671" i="12" s="1"/>
  <c r="R1670" i="12" s="1"/>
  <c r="R1669" i="12" s="1"/>
  <c r="R1668" i="12" s="1"/>
  <c r="R1667" i="12" s="1"/>
  <c r="R1666" i="12" s="1"/>
  <c r="R1665" i="12" s="1"/>
  <c r="R1664" i="12" s="1"/>
  <c r="R1663" i="12" s="1"/>
  <c r="R1662" i="12" s="1"/>
  <c r="R1661" i="12" s="1"/>
  <c r="R1660" i="12" s="1"/>
  <c r="R1659" i="12" s="1"/>
  <c r="R1658" i="12" s="1"/>
  <c r="R1657" i="12" s="1"/>
  <c r="R1656" i="12" s="1"/>
  <c r="R1655" i="12" s="1"/>
  <c r="R1654" i="12" s="1"/>
  <c r="R1653" i="12" s="1"/>
  <c r="R1652" i="12" s="1"/>
  <c r="R1651" i="12" s="1"/>
  <c r="R1650" i="12" s="1"/>
  <c r="R1649" i="12" s="1"/>
  <c r="R1648" i="12" s="1"/>
  <c r="R1647" i="12" s="1"/>
  <c r="R1646" i="12" s="1"/>
  <c r="R1645" i="12" s="1"/>
  <c r="R1644" i="12" s="1"/>
  <c r="R1643" i="12" s="1"/>
  <c r="R1642" i="12" s="1"/>
  <c r="R1641" i="12" s="1"/>
  <c r="R1640" i="12" s="1"/>
  <c r="R1639" i="12" s="1"/>
  <c r="R1638" i="12" s="1"/>
  <c r="R1637" i="12" s="1"/>
  <c r="R1636" i="12" s="1"/>
  <c r="R1635" i="12" s="1"/>
  <c r="R1634" i="12" s="1"/>
  <c r="R1633" i="12" s="1"/>
  <c r="R1632" i="12" s="1"/>
  <c r="R1631" i="12" s="1"/>
  <c r="R1630" i="12" s="1"/>
  <c r="R1629" i="12" s="1"/>
  <c r="R1628" i="12" s="1"/>
  <c r="R1627" i="12" s="1"/>
  <c r="R1626" i="12" s="1"/>
  <c r="R1625" i="12" s="1"/>
  <c r="R1624" i="12" s="1"/>
  <c r="R1623" i="12" s="1"/>
  <c r="R1622" i="12" s="1"/>
  <c r="R1621" i="12" s="1"/>
  <c r="R1620" i="12" s="1"/>
  <c r="R1619" i="12" s="1"/>
  <c r="R1618" i="12" s="1"/>
  <c r="R1617" i="12" s="1"/>
  <c r="R1616" i="12" s="1"/>
  <c r="R1615" i="12" s="1"/>
  <c r="R1614" i="12" s="1"/>
  <c r="R1613" i="12" s="1"/>
  <c r="R1612" i="12" s="1"/>
  <c r="R1611" i="12" s="1"/>
  <c r="R1610" i="12" s="1"/>
  <c r="R1609" i="12" s="1"/>
  <c r="R1608" i="12" s="1"/>
  <c r="R1607" i="12" s="1"/>
  <c r="R1606" i="12" s="1"/>
  <c r="R1605" i="12" s="1"/>
  <c r="R1604" i="12" s="1"/>
  <c r="R1603" i="12" s="1"/>
  <c r="BK24" i="9"/>
  <c r="T29" i="11"/>
  <c r="BM21" i="9" s="1"/>
  <c r="R1463" i="12" s="1"/>
  <c r="R1462" i="12" s="1"/>
  <c r="R1461" i="12" s="1"/>
  <c r="R1460" i="12" s="1"/>
  <c r="R1459" i="12" s="1"/>
  <c r="R1458" i="12" s="1"/>
  <c r="R1457" i="12" s="1"/>
  <c r="R1456" i="12" s="1"/>
  <c r="R1455" i="12" s="1"/>
  <c r="R1454" i="12" s="1"/>
  <c r="R1453" i="12" s="1"/>
  <c r="R1452" i="12" s="1"/>
  <c r="R1451" i="12" s="1"/>
  <c r="R1450" i="12" s="1"/>
  <c r="R1449" i="12" s="1"/>
  <c r="R1448" i="12" s="1"/>
  <c r="R1447" i="12" s="1"/>
  <c r="R1446" i="12" s="1"/>
  <c r="R1445" i="12" s="1"/>
  <c r="R1444" i="12" s="1"/>
  <c r="R1443" i="12" s="1"/>
  <c r="R1442" i="12" s="1"/>
  <c r="R1441" i="12" s="1"/>
  <c r="R1440" i="12" s="1"/>
  <c r="R1439" i="12" s="1"/>
  <c r="R1438" i="12" s="1"/>
  <c r="R1437" i="12" s="1"/>
  <c r="R1436" i="12" s="1"/>
  <c r="R1435" i="12" s="1"/>
  <c r="R1434" i="12" s="1"/>
  <c r="R1433" i="12" s="1"/>
  <c r="R1432" i="12" s="1"/>
  <c r="R1431" i="12" s="1"/>
  <c r="R1430" i="12" s="1"/>
  <c r="R1429" i="12" s="1"/>
  <c r="R1428" i="12" s="1"/>
  <c r="R1427" i="12" s="1"/>
  <c r="R1426" i="12" s="1"/>
  <c r="R1425" i="12" s="1"/>
  <c r="R1424" i="12" s="1"/>
  <c r="R1423" i="12" s="1"/>
  <c r="R1422" i="12" s="1"/>
  <c r="R1421" i="12" s="1"/>
  <c r="R1420" i="12" s="1"/>
  <c r="R1419" i="12" s="1"/>
  <c r="R1418" i="12" s="1"/>
  <c r="R1417" i="12" s="1"/>
  <c r="R1416" i="12" s="1"/>
  <c r="R1415" i="12" s="1"/>
  <c r="R1414" i="12" s="1"/>
  <c r="R1413" i="12" s="1"/>
  <c r="R1412" i="12" s="1"/>
  <c r="R1411" i="12" s="1"/>
  <c r="R1410" i="12" s="1"/>
  <c r="R1409" i="12" s="1"/>
  <c r="R1408" i="12" s="1"/>
  <c r="R1407" i="12" s="1"/>
  <c r="R1406" i="12" s="1"/>
  <c r="R1405" i="12" s="1"/>
  <c r="R1404" i="12" s="1"/>
  <c r="R1403" i="12" s="1"/>
  <c r="R1402" i="12" s="1"/>
  <c r="R1401" i="12" s="1"/>
  <c r="R1400" i="12" s="1"/>
  <c r="R1399" i="12" s="1"/>
  <c r="R1398" i="12" s="1"/>
  <c r="R1397" i="12" s="1"/>
  <c r="R1396" i="12" s="1"/>
  <c r="R1395" i="12" s="1"/>
  <c r="R1394" i="12" s="1"/>
  <c r="BK21" i="9"/>
  <c r="T14" i="11"/>
  <c r="BM6" i="9" s="1"/>
  <c r="R384" i="12" s="1"/>
  <c r="R383" i="12" s="1"/>
  <c r="R382" i="12" s="1"/>
  <c r="R381" i="12" s="1"/>
  <c r="R380" i="12" s="1"/>
  <c r="R379" i="12" s="1"/>
  <c r="R378" i="12" s="1"/>
  <c r="R377" i="12" s="1"/>
  <c r="R376" i="12" s="1"/>
  <c r="R375" i="12" s="1"/>
  <c r="R374" i="12" s="1"/>
  <c r="R373" i="12" s="1"/>
  <c r="R372" i="12" s="1"/>
  <c r="R371" i="12" s="1"/>
  <c r="R370" i="12" s="1"/>
  <c r="R369" i="12" s="1"/>
  <c r="R368" i="12" s="1"/>
  <c r="R367" i="12" s="1"/>
  <c r="R366" i="12" s="1"/>
  <c r="R365" i="12" s="1"/>
  <c r="R364" i="12" s="1"/>
  <c r="R363" i="12" s="1"/>
  <c r="R362" i="12" s="1"/>
  <c r="R361" i="12" s="1"/>
  <c r="R360" i="12" s="1"/>
  <c r="R359" i="12" s="1"/>
  <c r="R358" i="12" s="1"/>
  <c r="R357" i="12" s="1"/>
  <c r="R356" i="12" s="1"/>
  <c r="R355" i="12" s="1"/>
  <c r="R354" i="12" s="1"/>
  <c r="R353" i="12" s="1"/>
  <c r="R352" i="12" s="1"/>
  <c r="R351" i="12" s="1"/>
  <c r="R350" i="12" s="1"/>
  <c r="R349" i="12" s="1"/>
  <c r="R348" i="12" s="1"/>
  <c r="R347" i="12" s="1"/>
  <c r="R346" i="12" s="1"/>
  <c r="R345" i="12" s="1"/>
  <c r="R344" i="12" s="1"/>
  <c r="R343" i="12" s="1"/>
  <c r="R342" i="12" s="1"/>
  <c r="R341" i="12" s="1"/>
  <c r="R340" i="12" s="1"/>
  <c r="R339" i="12" s="1"/>
  <c r="R338" i="12" s="1"/>
  <c r="R337" i="12" s="1"/>
  <c r="R336" i="12" s="1"/>
  <c r="R335" i="12" s="1"/>
  <c r="R334" i="12" s="1"/>
  <c r="R333" i="12" s="1"/>
  <c r="R332" i="12" s="1"/>
  <c r="R331" i="12" s="1"/>
  <c r="R330" i="12" s="1"/>
  <c r="R329" i="12" s="1"/>
  <c r="R328" i="12" s="1"/>
  <c r="R327" i="12" s="1"/>
  <c r="R326" i="12" s="1"/>
  <c r="R325" i="12" s="1"/>
  <c r="R324" i="12" s="1"/>
  <c r="R323" i="12" s="1"/>
  <c r="R322" i="12" s="1"/>
  <c r="R321" i="12" s="1"/>
  <c r="R320" i="12" s="1"/>
  <c r="R319" i="12" s="1"/>
  <c r="R318" i="12" s="1"/>
  <c r="R317" i="12" s="1"/>
  <c r="R316" i="12" s="1"/>
  <c r="R315" i="12" s="1"/>
  <c r="R314" i="12" s="1"/>
  <c r="R313" i="12" s="1"/>
  <c r="R312" i="12" s="1"/>
  <c r="R311" i="12" s="1"/>
  <c r="R310" i="12" s="1"/>
  <c r="R309" i="12" s="1"/>
  <c r="R308" i="12" s="1"/>
  <c r="R307" i="12" s="1"/>
  <c r="R306" i="12" s="1"/>
  <c r="R305" i="12" s="1"/>
  <c r="R304" i="12" s="1"/>
  <c r="R303" i="12" s="1"/>
  <c r="R302" i="12" s="1"/>
  <c r="R301" i="12" s="1"/>
  <c r="R300" i="12" s="1"/>
  <c r="R299" i="12" s="1"/>
  <c r="R298" i="12" s="1"/>
  <c r="R297" i="12" s="1"/>
  <c r="R296" i="12" s="1"/>
  <c r="R295" i="12" s="1"/>
  <c r="R294" i="12" s="1"/>
  <c r="R293" i="12" s="1"/>
  <c r="R292" i="12" s="1"/>
  <c r="R291" i="12" s="1"/>
  <c r="R290" i="12" s="1"/>
  <c r="R289" i="12" s="1"/>
  <c r="R288" i="12" s="1"/>
  <c r="R287" i="12" s="1"/>
  <c r="R286" i="12" s="1"/>
  <c r="R285" i="12" s="1"/>
  <c r="R284" i="12" s="1"/>
  <c r="R283" i="12" s="1"/>
  <c r="R282" i="12" s="1"/>
  <c r="R281" i="12" s="1"/>
  <c r="R280" i="12" s="1"/>
  <c r="R279" i="12" s="1"/>
  <c r="R278" i="12" s="1"/>
  <c r="R277" i="12" s="1"/>
  <c r="R276" i="12" s="1"/>
  <c r="R275" i="12" s="1"/>
  <c r="R274" i="12" s="1"/>
  <c r="R273" i="12" s="1"/>
  <c r="R272" i="12" s="1"/>
  <c r="R271" i="12" s="1"/>
  <c r="R270" i="12" s="1"/>
  <c r="R269" i="12" s="1"/>
  <c r="R268" i="12" s="1"/>
  <c r="R267" i="12" s="1"/>
  <c r="R266" i="12" s="1"/>
  <c r="R265" i="12" s="1"/>
  <c r="R264" i="12" s="1"/>
  <c r="R263" i="12" s="1"/>
  <c r="R262" i="12" s="1"/>
  <c r="R261" i="12" s="1"/>
  <c r="R260" i="12" s="1"/>
  <c r="R259" i="12" s="1"/>
  <c r="R258" i="12" s="1"/>
  <c r="R257" i="12" s="1"/>
  <c r="R256" i="12" s="1"/>
  <c r="R255" i="12" s="1"/>
  <c r="R254" i="12" s="1"/>
  <c r="R253" i="12" s="1"/>
  <c r="R252" i="12" s="1"/>
  <c r="R251" i="12" s="1"/>
  <c r="R250" i="12" s="1"/>
  <c r="R249" i="12" s="1"/>
  <c r="R248" i="12" s="1"/>
  <c r="R247" i="12" s="1"/>
  <c r="R246" i="12" s="1"/>
  <c r="R245" i="12" s="1"/>
  <c r="R244" i="12" s="1"/>
  <c r="R243" i="12" s="1"/>
  <c r="R242" i="12" s="1"/>
  <c r="R241" i="12" s="1"/>
  <c r="R240" i="12" s="1"/>
  <c r="R239" i="12" s="1"/>
  <c r="R238" i="12" s="1"/>
  <c r="R237" i="12" s="1"/>
  <c r="R236" i="12" s="1"/>
  <c r="R235" i="12" s="1"/>
  <c r="R234" i="12" s="1"/>
  <c r="R233" i="12" s="1"/>
  <c r="R232" i="12" s="1"/>
  <c r="R231" i="12" s="1"/>
  <c r="R230" i="12" s="1"/>
  <c r="R229" i="12" s="1"/>
  <c r="R228" i="12" s="1"/>
  <c r="R227" i="12" s="1"/>
  <c r="R226" i="12" s="1"/>
  <c r="R225" i="12" s="1"/>
  <c r="R224" i="12" s="1"/>
  <c r="R223" i="12" s="1"/>
  <c r="R222" i="12" s="1"/>
  <c r="R221" i="12" s="1"/>
  <c r="R220" i="12" s="1"/>
  <c r="R219" i="12" s="1"/>
  <c r="R218" i="12" s="1"/>
  <c r="R217" i="12" s="1"/>
  <c r="R216" i="12" s="1"/>
  <c r="R215" i="12" s="1"/>
  <c r="R214" i="12" s="1"/>
  <c r="R213" i="12" s="1"/>
  <c r="R212" i="12" s="1"/>
  <c r="R211" i="12" s="1"/>
  <c r="R210" i="12" s="1"/>
  <c r="R209" i="12" s="1"/>
  <c r="R208" i="12" s="1"/>
  <c r="R207" i="12" s="1"/>
  <c r="R206" i="12" s="1"/>
  <c r="R205" i="12" s="1"/>
  <c r="R204" i="12" s="1"/>
  <c r="R203" i="12" s="1"/>
  <c r="R202" i="12" s="1"/>
  <c r="R201" i="12" s="1"/>
  <c r="R200" i="12" s="1"/>
  <c r="R199" i="12" s="1"/>
  <c r="R198" i="12" s="1"/>
  <c r="R197" i="12" s="1"/>
  <c r="R196" i="12" s="1"/>
  <c r="R195" i="12" s="1"/>
  <c r="R194" i="12" s="1"/>
  <c r="R193" i="12" s="1"/>
  <c r="R192" i="12" s="1"/>
  <c r="R191" i="12" s="1"/>
  <c r="R190" i="12" s="1"/>
  <c r="R189" i="12" s="1"/>
  <c r="R188" i="12" s="1"/>
  <c r="R187" i="12" s="1"/>
  <c r="R186" i="12" s="1"/>
  <c r="R185" i="12" s="1"/>
  <c r="R184" i="12" s="1"/>
  <c r="R183" i="12" s="1"/>
  <c r="R182" i="12" s="1"/>
  <c r="R181" i="12" s="1"/>
  <c r="R180" i="12" s="1"/>
  <c r="R179" i="12" s="1"/>
  <c r="R178" i="12" s="1"/>
  <c r="R177" i="12" s="1"/>
  <c r="R176" i="12" s="1"/>
  <c r="R175" i="12" s="1"/>
  <c r="R174" i="12" s="1"/>
  <c r="R173" i="12" s="1"/>
  <c r="R172" i="12" s="1"/>
  <c r="R171" i="12" s="1"/>
  <c r="R170" i="12" s="1"/>
  <c r="R169" i="12" s="1"/>
  <c r="R168" i="12" s="1"/>
  <c r="R167" i="12" s="1"/>
  <c r="R166" i="12" s="1"/>
  <c r="R165" i="12" s="1"/>
  <c r="R164" i="12" s="1"/>
  <c r="R163" i="12" s="1"/>
  <c r="R162" i="12" s="1"/>
  <c r="R161" i="12" s="1"/>
  <c r="R160" i="12" s="1"/>
  <c r="R159" i="12" s="1"/>
  <c r="R158" i="12" s="1"/>
  <c r="R157" i="12" s="1"/>
  <c r="R156" i="12" s="1"/>
  <c r="R155" i="12" s="1"/>
  <c r="R154" i="12" s="1"/>
  <c r="R153" i="12" s="1"/>
  <c r="R152" i="12" s="1"/>
  <c r="R151" i="12" s="1"/>
  <c r="R150" i="12" s="1"/>
  <c r="R149" i="12" s="1"/>
  <c r="R148" i="12" s="1"/>
  <c r="R147" i="12" s="1"/>
  <c r="R146" i="12" s="1"/>
  <c r="R145" i="12" s="1"/>
  <c r="R144" i="12" s="1"/>
  <c r="R143" i="12" s="1"/>
  <c r="R142" i="12" s="1"/>
  <c r="R141" i="12" s="1"/>
  <c r="R140" i="12" s="1"/>
  <c r="R139" i="12" s="1"/>
  <c r="R138" i="12" s="1"/>
  <c r="R137" i="12" s="1"/>
  <c r="R136" i="12" s="1"/>
  <c r="R135" i="12" s="1"/>
  <c r="R134" i="12" s="1"/>
  <c r="R133" i="12" s="1"/>
  <c r="R132" i="12" s="1"/>
  <c r="R131" i="12" s="1"/>
  <c r="R130" i="12" s="1"/>
  <c r="R129" i="12" s="1"/>
  <c r="R128" i="12" s="1"/>
  <c r="R127" i="12" s="1"/>
  <c r="R126" i="12" s="1"/>
  <c r="R125" i="12" s="1"/>
  <c r="R124" i="12" s="1"/>
  <c r="R123" i="12" s="1"/>
  <c r="R122" i="12" s="1"/>
  <c r="R121" i="12" s="1"/>
  <c r="R120" i="12" s="1"/>
  <c r="R119" i="12" s="1"/>
  <c r="R118" i="12" s="1"/>
  <c r="R117" i="12" s="1"/>
  <c r="R116" i="12" s="1"/>
  <c r="R115" i="12" s="1"/>
  <c r="R114" i="12" s="1"/>
  <c r="R113" i="12" s="1"/>
  <c r="R112" i="12" s="1"/>
  <c r="R111" i="12" s="1"/>
  <c r="R110" i="12" s="1"/>
  <c r="R109" i="12" s="1"/>
  <c r="R108" i="12" s="1"/>
  <c r="R107" i="12" s="1"/>
  <c r="R106" i="12" s="1"/>
  <c r="R105" i="12" s="1"/>
  <c r="R104" i="12" s="1"/>
  <c r="R103" i="12" s="1"/>
  <c r="R102" i="12" s="1"/>
  <c r="R101" i="12" s="1"/>
  <c r="R100" i="12" s="1"/>
  <c r="R99" i="12" s="1"/>
  <c r="R98" i="12" s="1"/>
  <c r="R97" i="12" s="1"/>
  <c r="R96" i="12" s="1"/>
  <c r="R95" i="12" s="1"/>
  <c r="R94" i="12" s="1"/>
  <c r="R93" i="12" s="1"/>
  <c r="R92" i="12" s="1"/>
  <c r="R91" i="12" s="1"/>
  <c r="R90" i="12" s="1"/>
  <c r="R89" i="12" s="1"/>
  <c r="R88" i="12" s="1"/>
  <c r="R87" i="12" s="1"/>
  <c r="R86" i="12" s="1"/>
  <c r="R85" i="12" s="1"/>
  <c r="R84" i="12" s="1"/>
  <c r="R83" i="12" s="1"/>
  <c r="R82" i="12" s="1"/>
  <c r="R81" i="12" s="1"/>
  <c r="R80" i="12" s="1"/>
  <c r="R79" i="12" s="1"/>
  <c r="R78" i="12" s="1"/>
  <c r="R77" i="12" s="1"/>
  <c r="R76" i="12" s="1"/>
  <c r="R75" i="12" s="1"/>
  <c r="R74" i="12" s="1"/>
  <c r="R73" i="12" s="1"/>
  <c r="R72" i="12" s="1"/>
  <c r="R71" i="12" s="1"/>
  <c r="R70" i="12" s="1"/>
  <c r="R69" i="12" s="1"/>
  <c r="R68" i="12" s="1"/>
  <c r="R67" i="12" s="1"/>
  <c r="R66" i="12" s="1"/>
  <c r="R65" i="12" s="1"/>
  <c r="R64" i="12" s="1"/>
  <c r="R63" i="12" s="1"/>
  <c r="R62" i="12" s="1"/>
  <c r="R61" i="12" s="1"/>
  <c r="R60" i="12" s="1"/>
  <c r="R59" i="12" s="1"/>
  <c r="R58" i="12" s="1"/>
  <c r="R57" i="12" s="1"/>
  <c r="R56" i="12" s="1"/>
  <c r="R55" i="12" s="1"/>
  <c r="R54" i="12" s="1"/>
  <c r="R53" i="12" s="1"/>
  <c r="R52" i="12" s="1"/>
  <c r="R51" i="12" s="1"/>
  <c r="R50" i="12" s="1"/>
  <c r="R49" i="12" s="1"/>
  <c r="R48" i="12" s="1"/>
  <c r="R47" i="12" s="1"/>
  <c r="R46" i="12" s="1"/>
  <c r="R45" i="12" s="1"/>
  <c r="R44" i="12" s="1"/>
  <c r="R43" i="12" s="1"/>
  <c r="R42" i="12" s="1"/>
  <c r="R41" i="12" s="1"/>
  <c r="R40" i="12" s="1"/>
  <c r="R39" i="12" s="1"/>
  <c r="R38" i="12" s="1"/>
  <c r="R37" i="12" s="1"/>
  <c r="R36" i="12" s="1"/>
  <c r="R35" i="12" s="1"/>
  <c r="R34" i="12" s="1"/>
  <c r="R33" i="12" s="1"/>
  <c r="R32" i="12" s="1"/>
  <c r="R31" i="12" s="1"/>
  <c r="R30" i="12" s="1"/>
  <c r="R29" i="12" s="1"/>
  <c r="R28" i="12" s="1"/>
  <c r="R27" i="12" s="1"/>
  <c r="R26" i="12" s="1"/>
  <c r="R25" i="12" s="1"/>
  <c r="R24" i="12" s="1"/>
  <c r="R23" i="12" s="1"/>
  <c r="R22" i="12" s="1"/>
  <c r="R21" i="12" s="1"/>
  <c r="R20" i="12" s="1"/>
  <c r="R19" i="12" s="1"/>
  <c r="R18" i="12" s="1"/>
  <c r="R17" i="12" s="1"/>
  <c r="R16" i="12" s="1"/>
  <c r="R15" i="12" s="1"/>
  <c r="R14" i="12" s="1"/>
  <c r="R13" i="12" s="1"/>
  <c r="R12" i="12" s="1"/>
  <c r="R11" i="12" s="1"/>
  <c r="R10" i="12" s="1"/>
  <c r="R9" i="12" s="1"/>
  <c r="R8" i="12" s="1"/>
  <c r="R7" i="12" s="1"/>
  <c r="R6" i="12" s="1"/>
  <c r="R5" i="12" s="1"/>
  <c r="R4" i="12" s="1"/>
  <c r="R3" i="12" s="1"/>
  <c r="BK6" i="9"/>
  <c r="T33" i="11"/>
  <c r="BM25" i="9" s="1"/>
  <c r="R1813" i="12" s="1"/>
  <c r="R1812" i="12" s="1"/>
  <c r="R1811" i="12" s="1"/>
  <c r="R1810" i="12" s="1"/>
  <c r="R1809" i="12" s="1"/>
  <c r="R1808" i="12" s="1"/>
  <c r="R1807" i="12" s="1"/>
  <c r="R1806" i="12" s="1"/>
  <c r="R1805" i="12" s="1"/>
  <c r="R1804" i="12" s="1"/>
  <c r="R1803" i="12" s="1"/>
  <c r="R1802" i="12" s="1"/>
  <c r="R1801" i="12" s="1"/>
  <c r="R1800" i="12" s="1"/>
  <c r="R1799" i="12" s="1"/>
  <c r="R1798" i="12" s="1"/>
  <c r="R1797" i="12" s="1"/>
  <c r="R1796" i="12" s="1"/>
  <c r="R1795" i="12" s="1"/>
  <c r="R1794" i="12" s="1"/>
  <c r="R1793" i="12" s="1"/>
  <c r="R1792" i="12" s="1"/>
  <c r="R1791" i="12" s="1"/>
  <c r="R1790" i="12" s="1"/>
  <c r="R1789" i="12" s="1"/>
  <c r="R1788" i="12" s="1"/>
  <c r="R1787" i="12" s="1"/>
  <c r="R1786" i="12" s="1"/>
  <c r="R1785" i="12" s="1"/>
  <c r="R1784" i="12" s="1"/>
  <c r="R1783" i="12" s="1"/>
  <c r="R1782" i="12" s="1"/>
  <c r="R1781" i="12" s="1"/>
  <c r="R1780" i="12" s="1"/>
  <c r="R1779" i="12" s="1"/>
  <c r="R1778" i="12" s="1"/>
  <c r="R1777" i="12" s="1"/>
  <c r="R1776" i="12" s="1"/>
  <c r="R1775" i="12" s="1"/>
  <c r="R1774" i="12" s="1"/>
  <c r="R1773" i="12" s="1"/>
  <c r="R1772" i="12" s="1"/>
  <c r="R1771" i="12" s="1"/>
  <c r="R1770" i="12" s="1"/>
  <c r="R1769" i="12" s="1"/>
  <c r="R1768" i="12" s="1"/>
  <c r="R1767" i="12" s="1"/>
  <c r="R1766" i="12" s="1"/>
  <c r="R1765" i="12" s="1"/>
  <c r="R1764" i="12" s="1"/>
  <c r="R1763" i="12" s="1"/>
  <c r="R1762" i="12" s="1"/>
  <c r="R1761" i="12" s="1"/>
  <c r="R1760" i="12" s="1"/>
  <c r="R1759" i="12" s="1"/>
  <c r="R1758" i="12" s="1"/>
  <c r="R1757" i="12" s="1"/>
  <c r="R1756" i="12" s="1"/>
  <c r="R1755" i="12" s="1"/>
  <c r="R1754" i="12" s="1"/>
  <c r="R1753" i="12" s="1"/>
  <c r="R1752" i="12" s="1"/>
  <c r="R1751" i="12" s="1"/>
  <c r="R1750" i="12" s="1"/>
  <c r="R1749" i="12" s="1"/>
  <c r="R1748" i="12" s="1"/>
  <c r="R1747" i="12" s="1"/>
  <c r="R1746" i="12" s="1"/>
  <c r="R1745" i="12" s="1"/>
  <c r="R1744" i="12" s="1"/>
  <c r="R1743" i="12" s="1"/>
  <c r="R1742" i="12" s="1"/>
  <c r="R1741" i="12" s="1"/>
  <c r="R1740" i="12" s="1"/>
  <c r="R1739" i="12" s="1"/>
  <c r="R1738" i="12" s="1"/>
  <c r="R1737" i="12" s="1"/>
  <c r="R1736" i="12" s="1"/>
  <c r="R1735" i="12" s="1"/>
  <c r="R1734" i="12" s="1"/>
  <c r="R1733" i="12" s="1"/>
  <c r="R1732" i="12" s="1"/>
  <c r="R1731" i="12" s="1"/>
  <c r="R1730" i="12" s="1"/>
  <c r="R1729" i="12" s="1"/>
  <c r="R1728" i="12" s="1"/>
  <c r="R1727" i="12" s="1"/>
  <c r="R1726" i="12" s="1"/>
  <c r="R1725" i="12" s="1"/>
  <c r="R1724" i="12" s="1"/>
  <c r="R1723" i="12" s="1"/>
  <c r="R1722" i="12" s="1"/>
  <c r="R1721" i="12" s="1"/>
  <c r="R1720" i="12" s="1"/>
  <c r="R1719" i="12" s="1"/>
  <c r="R1718" i="12" s="1"/>
  <c r="R1717" i="12" s="1"/>
  <c r="R1716" i="12" s="1"/>
  <c r="R1715" i="12" s="1"/>
  <c r="R1714" i="12" s="1"/>
  <c r="R1713" i="12" s="1"/>
  <c r="R1712" i="12" s="1"/>
  <c r="R1711" i="12" s="1"/>
  <c r="R1710" i="12" s="1"/>
  <c r="R1709" i="12" s="1"/>
  <c r="R1708" i="12" s="1"/>
  <c r="R1707" i="12" s="1"/>
  <c r="R1706" i="12" s="1"/>
  <c r="R1705" i="12" s="1"/>
  <c r="R1704" i="12" s="1"/>
  <c r="R1703" i="12" s="1"/>
  <c r="R1702" i="12" s="1"/>
  <c r="R1701" i="12" s="1"/>
  <c r="R1700" i="12" s="1"/>
  <c r="R1699" i="12" s="1"/>
  <c r="R1698" i="12" s="1"/>
  <c r="R1697" i="12" s="1"/>
  <c r="R1696" i="12" s="1"/>
  <c r="R1695" i="12" s="1"/>
  <c r="R1694" i="12" s="1"/>
  <c r="R1693" i="12" s="1"/>
  <c r="R1692" i="12" s="1"/>
  <c r="R1691" i="12" s="1"/>
  <c r="R1690" i="12" s="1"/>
  <c r="R1689" i="12" s="1"/>
  <c r="R1688" i="12" s="1"/>
  <c r="R1687" i="12" s="1"/>
  <c r="R1686" i="12" s="1"/>
  <c r="R1685" i="12" s="1"/>
  <c r="R1684" i="12" s="1"/>
  <c r="R1683" i="12" s="1"/>
  <c r="R1682" i="12" s="1"/>
  <c r="R1681" i="12" s="1"/>
  <c r="R1680" i="12" s="1"/>
  <c r="R1679" i="12" s="1"/>
  <c r="R1678" i="12" s="1"/>
  <c r="R1677" i="12" s="1"/>
  <c r="R1676" i="12" s="1"/>
  <c r="R1675" i="12" s="1"/>
  <c r="R1674" i="12" s="1"/>
  <c r="BK25" i="9"/>
  <c r="T18" i="11"/>
  <c r="BM10" i="9" s="1"/>
  <c r="BK10" i="9"/>
  <c r="T16" i="11"/>
  <c r="BM8" i="9" s="1"/>
  <c r="BK8" i="9"/>
  <c r="T31" i="11"/>
  <c r="BM23" i="9" s="1"/>
  <c r="R1602" i="12" s="1"/>
  <c r="R1601" i="12" s="1"/>
  <c r="R1600" i="12" s="1"/>
  <c r="R1599" i="12" s="1"/>
  <c r="R1598" i="12" s="1"/>
  <c r="R1597" i="12" s="1"/>
  <c r="R1596" i="12" s="1"/>
  <c r="R1595" i="12" s="1"/>
  <c r="R1594" i="12" s="1"/>
  <c r="R1593" i="12" s="1"/>
  <c r="R1592" i="12" s="1"/>
  <c r="R1591" i="12" s="1"/>
  <c r="R1590" i="12" s="1"/>
  <c r="R1589" i="12" s="1"/>
  <c r="R1588" i="12" s="1"/>
  <c r="R1587" i="12" s="1"/>
  <c r="R1586" i="12" s="1"/>
  <c r="R1585" i="12" s="1"/>
  <c r="R1584" i="12" s="1"/>
  <c r="R1583" i="12" s="1"/>
  <c r="R1582" i="12" s="1"/>
  <c r="R1581" i="12" s="1"/>
  <c r="R1580" i="12" s="1"/>
  <c r="R1579" i="12" s="1"/>
  <c r="R1578" i="12" s="1"/>
  <c r="R1577" i="12" s="1"/>
  <c r="R1576" i="12" s="1"/>
  <c r="R1575" i="12" s="1"/>
  <c r="R1574" i="12" s="1"/>
  <c r="R1573" i="12" s="1"/>
  <c r="R1572" i="12" s="1"/>
  <c r="R1571" i="12" s="1"/>
  <c r="R1570" i="12" s="1"/>
  <c r="R1569" i="12" s="1"/>
  <c r="R1568" i="12" s="1"/>
  <c r="R1567" i="12" s="1"/>
  <c r="R1566" i="12" s="1"/>
  <c r="R1565" i="12" s="1"/>
  <c r="R1564" i="12" s="1"/>
  <c r="R1563" i="12" s="1"/>
  <c r="R1562" i="12" s="1"/>
  <c r="R1561" i="12" s="1"/>
  <c r="R1560" i="12" s="1"/>
  <c r="R1559" i="12" s="1"/>
  <c r="R1558" i="12" s="1"/>
  <c r="R1557" i="12" s="1"/>
  <c r="R1556" i="12" s="1"/>
  <c r="R1555" i="12" s="1"/>
  <c r="R1554" i="12" s="1"/>
  <c r="R1553" i="12" s="1"/>
  <c r="R1552" i="12" s="1"/>
  <c r="R1551" i="12" s="1"/>
  <c r="R1550" i="12" s="1"/>
  <c r="R1549" i="12" s="1"/>
  <c r="R1548" i="12" s="1"/>
  <c r="R1547" i="12" s="1"/>
  <c r="R1546" i="12" s="1"/>
  <c r="R1545" i="12" s="1"/>
  <c r="R1544" i="12" s="1"/>
  <c r="BK23" i="9"/>
  <c r="T30" i="11"/>
  <c r="BM22" i="9" s="1"/>
  <c r="R1543" i="12" s="1"/>
  <c r="R1542" i="12" s="1"/>
  <c r="R1541" i="12" s="1"/>
  <c r="R1540" i="12" s="1"/>
  <c r="R1539" i="12" s="1"/>
  <c r="R1538" i="12" s="1"/>
  <c r="R1537" i="12" s="1"/>
  <c r="R1536" i="12" s="1"/>
  <c r="R1535" i="12" s="1"/>
  <c r="R1534" i="12" s="1"/>
  <c r="R1533" i="12" s="1"/>
  <c r="R1532" i="12" s="1"/>
  <c r="R1531" i="12" s="1"/>
  <c r="R1530" i="12" s="1"/>
  <c r="R1529" i="12" s="1"/>
  <c r="R1528" i="12" s="1"/>
  <c r="R1527" i="12" s="1"/>
  <c r="R1526" i="12" s="1"/>
  <c r="R1525" i="12" s="1"/>
  <c r="R1524" i="12" s="1"/>
  <c r="R1523" i="12" s="1"/>
  <c r="R1522" i="12" s="1"/>
  <c r="R1521" i="12" s="1"/>
  <c r="R1520" i="12" s="1"/>
  <c r="R1519" i="12" s="1"/>
  <c r="R1518" i="12" s="1"/>
  <c r="R1517" i="12" s="1"/>
  <c r="R1516" i="12" s="1"/>
  <c r="R1515" i="12" s="1"/>
  <c r="R1514" i="12" s="1"/>
  <c r="R1513" i="12" s="1"/>
  <c r="R1512" i="12" s="1"/>
  <c r="R1511" i="12" s="1"/>
  <c r="R1510" i="12" s="1"/>
  <c r="R1509" i="12" s="1"/>
  <c r="R1508" i="12" s="1"/>
  <c r="R1507" i="12" s="1"/>
  <c r="R1506" i="12" s="1"/>
  <c r="R1505" i="12" s="1"/>
  <c r="R1504" i="12" s="1"/>
  <c r="R1503" i="12" s="1"/>
  <c r="R1502" i="12" s="1"/>
  <c r="R1501" i="12" s="1"/>
  <c r="R1500" i="12" s="1"/>
  <c r="R1499" i="12" s="1"/>
  <c r="R1498" i="12" s="1"/>
  <c r="R1497" i="12" s="1"/>
  <c r="R1496" i="12" s="1"/>
  <c r="R1495" i="12" s="1"/>
  <c r="R1494" i="12" s="1"/>
  <c r="R1493" i="12" s="1"/>
  <c r="R1492" i="12" s="1"/>
  <c r="R1491" i="12" s="1"/>
  <c r="R1490" i="12" s="1"/>
  <c r="R1489" i="12" s="1"/>
  <c r="R1488" i="12" s="1"/>
  <c r="R1487" i="12" s="1"/>
  <c r="R1486" i="12" s="1"/>
  <c r="R1485" i="12" s="1"/>
  <c r="R1484" i="12" s="1"/>
  <c r="R1483" i="12" s="1"/>
  <c r="R1482" i="12" s="1"/>
  <c r="R1481" i="12" s="1"/>
  <c r="R1480" i="12" s="1"/>
  <c r="R1479" i="12" s="1"/>
  <c r="R1478" i="12" s="1"/>
  <c r="R1477" i="12" s="1"/>
  <c r="R1476" i="12" s="1"/>
  <c r="R1475" i="12" s="1"/>
  <c r="R1474" i="12" s="1"/>
  <c r="R1473" i="12" s="1"/>
  <c r="R1472" i="12" s="1"/>
  <c r="R1471" i="12" s="1"/>
  <c r="R1470" i="12" s="1"/>
  <c r="R1469" i="12" s="1"/>
  <c r="R1468" i="12" s="1"/>
  <c r="R1467" i="12" s="1"/>
  <c r="R1466" i="12" s="1"/>
  <c r="R1465" i="12" s="1"/>
  <c r="R1464" i="12" s="1"/>
  <c r="BK22" i="9"/>
  <c r="AD3309" i="12"/>
  <c r="AF3310" i="12"/>
  <c r="AB3309" i="12"/>
  <c r="AG3310" i="12"/>
  <c r="O3118" i="12"/>
  <c r="Q3117" i="12"/>
  <c r="AB2409" i="12"/>
  <c r="AF2409" i="12" s="1"/>
  <c r="AG2410" i="12"/>
  <c r="AB2169" i="12"/>
  <c r="AF2169" i="12" s="1"/>
  <c r="AG2170" i="12"/>
  <c r="AB1610" i="12"/>
  <c r="AF1610" i="12" s="1"/>
  <c r="AG1611" i="12"/>
  <c r="AD1548" i="12"/>
  <c r="AD1829" i="12"/>
  <c r="AF1830" i="12"/>
  <c r="AB1700" i="12"/>
  <c r="AF1700" i="12" s="1"/>
  <c r="AG1701" i="12"/>
  <c r="AB1840" i="12"/>
  <c r="AG1841" i="12"/>
  <c r="AB98" i="12"/>
  <c r="AD2328" i="12"/>
  <c r="AB20" i="12"/>
  <c r="AB299" i="12"/>
  <c r="AD2369" i="12"/>
  <c r="AF2370" i="12"/>
  <c r="AB721" i="12"/>
  <c r="AG722" i="12"/>
  <c r="AG1949" i="12"/>
  <c r="AB1948" i="12"/>
  <c r="AD1888" i="12"/>
  <c r="AD1618" i="12"/>
  <c r="AB1419" i="12"/>
  <c r="AF1419" i="12" s="1"/>
  <c r="AG1420" i="12"/>
  <c r="AB2400" i="12"/>
  <c r="AF2400" i="12" s="1"/>
  <c r="AG2401" i="12"/>
  <c r="AD2168" i="12"/>
  <c r="AB1819" i="12"/>
  <c r="AG1820" i="12"/>
  <c r="AD2438" i="12"/>
  <c r="AF2439" i="12"/>
  <c r="AD2048" i="12"/>
  <c r="AB1569" i="12"/>
  <c r="AF1569" i="12" s="1"/>
  <c r="AG1570" i="12"/>
  <c r="AD721" i="12"/>
  <c r="AF722" i="12"/>
  <c r="AD1278" i="12"/>
  <c r="AB1629" i="12"/>
  <c r="AF1629" i="12" s="1"/>
  <c r="AG1630" i="12"/>
  <c r="AB1809" i="12"/>
  <c r="AF1809" i="12" s="1"/>
  <c r="AG1810" i="12"/>
  <c r="AD1808" i="12"/>
  <c r="AB2690" i="12"/>
  <c r="AF2690" i="12" s="1"/>
  <c r="AG2691" i="12"/>
  <c r="AD1598" i="12"/>
  <c r="AB1619" i="12"/>
  <c r="AF1619" i="12" s="1"/>
  <c r="AG1620" i="12"/>
  <c r="AD2408" i="12"/>
  <c r="AB1739" i="12"/>
  <c r="AF1739" i="12" s="1"/>
  <c r="AG1740" i="12"/>
  <c r="AD1738" i="12"/>
  <c r="AD1688" i="12"/>
  <c r="AD999" i="12"/>
  <c r="AF1000" i="12"/>
  <c r="AB2029" i="12"/>
  <c r="AF2029" i="12" s="1"/>
  <c r="AG2030" i="12"/>
  <c r="AB1919" i="12"/>
  <c r="AG1920" i="12"/>
  <c r="AB2110" i="12"/>
  <c r="AF2110" i="12" s="1"/>
  <c r="AG2111" i="12"/>
  <c r="AB1558" i="12"/>
  <c r="AF1558" i="12" s="1"/>
  <c r="AG1559" i="12"/>
  <c r="AD1350" i="12"/>
  <c r="AF1351" i="12"/>
  <c r="AB159" i="12"/>
  <c r="AD861" i="12"/>
  <c r="AB972" i="12"/>
  <c r="AF972" i="12" s="1"/>
  <c r="AG973" i="12"/>
  <c r="AD1679" i="12"/>
  <c r="AD1769" i="12"/>
  <c r="AB2730" i="12"/>
  <c r="AG2731" i="12"/>
  <c r="AD2729" i="12"/>
  <c r="AB2189" i="12"/>
  <c r="AF2189" i="12" s="1"/>
  <c r="AG2190" i="12"/>
  <c r="AD1609" i="12"/>
  <c r="AB2509" i="12"/>
  <c r="AG2510" i="12"/>
  <c r="AD1668" i="12"/>
  <c r="AB2128" i="12"/>
  <c r="AG2129" i="12"/>
  <c r="AB760" i="12"/>
  <c r="AF760" i="12" s="1"/>
  <c r="AG761" i="12"/>
  <c r="AD2028" i="12"/>
  <c r="AD2459" i="12"/>
  <c r="AF2460" i="12"/>
  <c r="AF2943" i="12"/>
  <c r="AB1909" i="12"/>
  <c r="AG1910" i="12"/>
  <c r="AD2088" i="12"/>
  <c r="AD1839" i="12"/>
  <c r="AD1908" i="12"/>
  <c r="AB1459" i="12"/>
  <c r="AG1460" i="12"/>
  <c r="AF1420" i="12"/>
  <c r="AF1630" i="12"/>
  <c r="AB2059" i="12"/>
  <c r="AF2059" i="12" s="1"/>
  <c r="AG2060" i="12"/>
  <c r="AB490" i="12"/>
  <c r="AG491" i="12"/>
  <c r="AB69" i="12"/>
  <c r="AB1350" i="12"/>
  <c r="AG1351" i="12"/>
  <c r="AB30" i="12"/>
  <c r="AG31" i="12"/>
  <c r="AB1189" i="12"/>
  <c r="AF1189" i="12" s="1"/>
  <c r="AG1190" i="12"/>
  <c r="AD1568" i="12"/>
  <c r="AD1898" i="12"/>
  <c r="AB650" i="12"/>
  <c r="AG651" i="12"/>
  <c r="AD828" i="12"/>
  <c r="AD1068" i="12"/>
  <c r="AF1069" i="12"/>
  <c r="AF3010" i="12"/>
  <c r="AG3011" i="12"/>
  <c r="AF1559" i="12"/>
  <c r="AD1818" i="12"/>
  <c r="AF1701" i="12"/>
  <c r="AB789" i="12"/>
  <c r="AG790" i="12"/>
  <c r="AB378" i="12"/>
  <c r="AB78" i="12"/>
  <c r="AB1039" i="12"/>
  <c r="AF1039" i="12" s="1"/>
  <c r="AG1040" i="12"/>
  <c r="AD789" i="12"/>
  <c r="AF790" i="12"/>
  <c r="AD1388" i="12"/>
  <c r="AB1680" i="12"/>
  <c r="AF1680" i="12" s="1"/>
  <c r="AG1681" i="12"/>
  <c r="AB2120" i="12"/>
  <c r="AF2120" i="12" s="1"/>
  <c r="AG2121" i="12"/>
  <c r="AF2510" i="12"/>
  <c r="AF1040" i="12"/>
  <c r="AF2691" i="12"/>
  <c r="AB1068" i="12"/>
  <c r="AG1069" i="12"/>
  <c r="AB619" i="12"/>
  <c r="AB862" i="12"/>
  <c r="AF862" i="12" s="1"/>
  <c r="AG863" i="12"/>
  <c r="AD1418" i="12"/>
  <c r="AD1628" i="12"/>
  <c r="AB1829" i="12"/>
  <c r="AG1830" i="12"/>
  <c r="AB829" i="12"/>
  <c r="AG830" i="12"/>
  <c r="AF3111" i="12"/>
  <c r="AB2389" i="12"/>
  <c r="AG2390" i="12"/>
  <c r="AB1549" i="12"/>
  <c r="AF1549" i="12" s="1"/>
  <c r="AG1550" i="12"/>
  <c r="AF2060" i="12"/>
  <c r="AB2158" i="12"/>
  <c r="AG2159" i="12"/>
  <c r="AD1557" i="12"/>
  <c r="AB9" i="12"/>
  <c r="AB1759" i="12"/>
  <c r="AG1760" i="12"/>
  <c r="AB2089" i="12"/>
  <c r="AF2089" i="12" s="1"/>
  <c r="AG2090" i="12"/>
  <c r="AB1179" i="12"/>
  <c r="AG1180" i="12"/>
  <c r="AD1709" i="12"/>
  <c r="AB769" i="12"/>
  <c r="AF769" i="12" s="1"/>
  <c r="AG770" i="12"/>
  <c r="AD1948" i="12"/>
  <c r="AF1949" i="12"/>
  <c r="AD1699" i="12"/>
  <c r="AB2339" i="12"/>
  <c r="AG2340" i="12"/>
  <c r="AD1969" i="12"/>
  <c r="AB2540" i="12"/>
  <c r="AG2541" i="12"/>
  <c r="AD2448" i="12"/>
  <c r="AD2508" i="12"/>
  <c r="AD1318" i="12"/>
  <c r="AD2470" i="12"/>
  <c r="AF2471" i="12"/>
  <c r="AG2943" i="12"/>
  <c r="AB431" i="12"/>
  <c r="AG2962" i="12"/>
  <c r="AD1038" i="12"/>
  <c r="AB1639" i="12"/>
  <c r="AG1640" i="12"/>
  <c r="AB2369" i="12"/>
  <c r="AG2370" i="12"/>
  <c r="AB1849" i="12"/>
  <c r="AG1850" i="12"/>
  <c r="AD2689" i="12"/>
  <c r="AB2449" i="12"/>
  <c r="AF2449" i="12" s="1"/>
  <c r="AG2450" i="12"/>
  <c r="AD2609" i="12"/>
  <c r="AB1960" i="12"/>
  <c r="AF1960" i="12" s="1"/>
  <c r="AG1961" i="12"/>
  <c r="AD1459" i="12"/>
  <c r="AF1460" i="12"/>
  <c r="AB1488" i="12"/>
  <c r="AG1489" i="12"/>
  <c r="AB239" i="12"/>
  <c r="AB1669" i="12"/>
  <c r="AG1670" i="12"/>
  <c r="AD31" i="12"/>
  <c r="AF32" i="12"/>
  <c r="AF1489" i="12"/>
  <c r="AD2058" i="12"/>
  <c r="AD2258" i="12"/>
  <c r="AD2399" i="12"/>
  <c r="AB1970" i="12"/>
  <c r="AG1971" i="12"/>
  <c r="AB1899" i="12"/>
  <c r="AG1900" i="12"/>
  <c r="AF1180" i="12"/>
  <c r="AD2178" i="12"/>
  <c r="AF2179" i="12"/>
  <c r="AG2050" i="12"/>
  <c r="AB2049" i="12"/>
  <c r="AB2379" i="12"/>
  <c r="AG2380" i="12"/>
  <c r="AB338" i="12"/>
  <c r="AG339" i="12"/>
  <c r="AD2158" i="12"/>
  <c r="AF2159" i="12"/>
  <c r="AB2259" i="12"/>
  <c r="AF2259" i="12" s="1"/>
  <c r="AG2260" i="12"/>
  <c r="AB2610" i="12"/>
  <c r="AF2610" i="12" s="1"/>
  <c r="AG2611" i="12"/>
  <c r="AF2340" i="12"/>
  <c r="AF761" i="12"/>
  <c r="AF1961" i="12"/>
  <c r="AF2111" i="12"/>
  <c r="AF973" i="12"/>
  <c r="AD2019" i="12"/>
  <c r="AB1770" i="12"/>
  <c r="AF1770" i="12" s="1"/>
  <c r="AG1771" i="12"/>
  <c r="AB1389" i="12"/>
  <c r="AF1389" i="12" s="1"/>
  <c r="AG1390" i="12"/>
  <c r="AD339" i="12"/>
  <c r="AF340" i="12"/>
  <c r="AB2020" i="12"/>
  <c r="AF2020" i="12" s="1"/>
  <c r="AG2021" i="12"/>
  <c r="AD2378" i="12"/>
  <c r="AB2648" i="12"/>
  <c r="AG2649" i="12"/>
  <c r="AD2680" i="12"/>
  <c r="AF2681" i="12"/>
  <c r="AD1487" i="12"/>
  <c r="AD2549" i="12"/>
  <c r="AB1599" i="12"/>
  <c r="AG1600" i="12"/>
  <c r="AB1749" i="12"/>
  <c r="AF1749" i="12" s="1"/>
  <c r="AG1750" i="12"/>
  <c r="AB1319" i="12"/>
  <c r="AG1320" i="12"/>
  <c r="AB1220" i="12"/>
  <c r="AG1221" i="12"/>
  <c r="AB1779" i="12"/>
  <c r="AG1780" i="12"/>
  <c r="AB1689" i="12"/>
  <c r="AG1690" i="12"/>
  <c r="AB2550" i="12"/>
  <c r="AF2550" i="12" s="1"/>
  <c r="AG2551" i="12"/>
  <c r="AD1178" i="12"/>
  <c r="AF2961" i="12"/>
  <c r="AB2438" i="12"/>
  <c r="AG2439" i="12"/>
  <c r="AD1849" i="12"/>
  <c r="AF1850" i="12"/>
  <c r="AF770" i="12"/>
  <c r="AB2178" i="12"/>
  <c r="AG2179" i="12"/>
  <c r="AD1759" i="12"/>
  <c r="AF1760" i="12"/>
  <c r="AD2338" i="12"/>
  <c r="AB2329" i="12"/>
  <c r="AF2329" i="12" s="1"/>
  <c r="AG2330" i="12"/>
  <c r="AD1748" i="12"/>
  <c r="AD759" i="12"/>
  <c r="AB2680" i="12"/>
  <c r="AG2681" i="12"/>
  <c r="AB1889" i="12"/>
  <c r="AG1890" i="12"/>
  <c r="AD1959" i="12"/>
  <c r="AB1249" i="12"/>
  <c r="AF1249" i="12" s="1"/>
  <c r="AG1250" i="12"/>
  <c r="AD1220" i="12"/>
  <c r="AF1221" i="12"/>
  <c r="AB2470" i="12"/>
  <c r="AG2471" i="12"/>
  <c r="AD2109" i="12"/>
  <c r="AD2128" i="12"/>
  <c r="AF2129" i="12"/>
  <c r="AB1279" i="12"/>
  <c r="AG1280" i="12"/>
  <c r="AD971" i="12"/>
  <c r="AF2121" i="12"/>
  <c r="AD2389" i="12"/>
  <c r="AF2390" i="12"/>
  <c r="AD2479" i="12"/>
  <c r="AF2480" i="12"/>
  <c r="AF1550" i="12"/>
  <c r="AB2479" i="12"/>
  <c r="AG2480" i="12"/>
  <c r="AD1877" i="12"/>
  <c r="AD1188" i="12"/>
  <c r="AF3040" i="12"/>
  <c r="AG3041" i="12"/>
  <c r="AD2188" i="12"/>
  <c r="AD2648" i="12"/>
  <c r="AF2649" i="12"/>
  <c r="AD768" i="12"/>
  <c r="AD1639" i="12"/>
  <c r="AF1640" i="12"/>
  <c r="AD2539" i="12"/>
  <c r="AB1878" i="12"/>
  <c r="AF1878" i="12" s="1"/>
  <c r="AG1879" i="12"/>
  <c r="AB1710" i="12"/>
  <c r="AG1711" i="12"/>
  <c r="AD1248" i="12"/>
  <c r="AD1919" i="12"/>
  <c r="AF1920" i="12"/>
  <c r="AF2170" i="12"/>
  <c r="AF2050" i="12"/>
  <c r="AF1810" i="12"/>
  <c r="AF1600" i="12"/>
  <c r="AF2410" i="12"/>
  <c r="AD1779" i="12"/>
  <c r="AF1780" i="12"/>
  <c r="AB999" i="12"/>
  <c r="AG1000" i="12"/>
  <c r="AB2459" i="12"/>
  <c r="AG2460" i="12"/>
  <c r="AG3111" i="12"/>
  <c r="AD2119" i="12"/>
  <c r="Q778" i="12"/>
  <c r="Q2597" i="12"/>
  <c r="Q217" i="12"/>
  <c r="Q586" i="12"/>
  <c r="Q796" i="12"/>
  <c r="Q2738" i="12"/>
  <c r="Q2876" i="12"/>
  <c r="Q2186" i="12"/>
  <c r="Q3038" i="12"/>
  <c r="Q388" i="12"/>
  <c r="Q2828" i="12"/>
  <c r="Q906" i="12"/>
  <c r="Q1676" i="12"/>
  <c r="Q1078" i="12"/>
  <c r="Q729" i="12"/>
  <c r="Q1476" i="12"/>
  <c r="Q209" i="12"/>
  <c r="Q715" i="12"/>
  <c r="Q1905" i="12"/>
  <c r="Q247" i="12"/>
  <c r="Q656" i="12"/>
  <c r="Q7" i="12"/>
  <c r="Q1516" i="12"/>
  <c r="Q978" i="12"/>
  <c r="AE11" i="12"/>
  <c r="AG11" i="12" s="1"/>
  <c r="AE27" i="12"/>
  <c r="AE243" i="12"/>
  <c r="AG243" i="12" s="1"/>
  <c r="AE333" i="12"/>
  <c r="AE487" i="12"/>
  <c r="AE641" i="12"/>
  <c r="AD11" i="12"/>
  <c r="AF11" i="12" s="1"/>
  <c r="AD243" i="12"/>
  <c r="AF243" i="12" s="1"/>
  <c r="AC11" i="12"/>
  <c r="AC27" i="12"/>
  <c r="AC243" i="12"/>
  <c r="AC333" i="12"/>
  <c r="AC641" i="12"/>
  <c r="J9" i="13"/>
  <c r="AB3308" i="12" l="1"/>
  <c r="AG3309" i="12"/>
  <c r="AD3308" i="12"/>
  <c r="AF3309" i="12"/>
  <c r="O3119" i="12"/>
  <c r="Q3118" i="12"/>
  <c r="AB1278" i="12"/>
  <c r="AF1278" i="12" s="1"/>
  <c r="AG1279" i="12"/>
  <c r="AB1487" i="12"/>
  <c r="AG1488" i="12"/>
  <c r="AB1178" i="12"/>
  <c r="AF1178" i="12" s="1"/>
  <c r="AG1179" i="12"/>
  <c r="AD1897" i="12"/>
  <c r="AD1187" i="12"/>
  <c r="AD758" i="12"/>
  <c r="AD2538" i="12"/>
  <c r="AB2478" i="12"/>
  <c r="AG2479" i="12"/>
  <c r="AB2469" i="12"/>
  <c r="AG2470" i="12"/>
  <c r="AB1888" i="12"/>
  <c r="AF1888" i="12" s="1"/>
  <c r="AG1889" i="12"/>
  <c r="AB2378" i="12"/>
  <c r="AF2378" i="12" s="1"/>
  <c r="AG2379" i="12"/>
  <c r="AB238" i="12"/>
  <c r="AB2368" i="12"/>
  <c r="AG2369" i="12"/>
  <c r="AB2338" i="12"/>
  <c r="AF2338" i="12" s="1"/>
  <c r="AG2339" i="12"/>
  <c r="AD2118" i="12"/>
  <c r="AD1778" i="12"/>
  <c r="AF1779" i="12"/>
  <c r="AF2339" i="12"/>
  <c r="AD1848" i="12"/>
  <c r="AF1849" i="12"/>
  <c r="AB2549" i="12"/>
  <c r="AF2549" i="12" s="1"/>
  <c r="AG2550" i="12"/>
  <c r="AB1318" i="12"/>
  <c r="AG1319" i="12"/>
  <c r="AD1486" i="12"/>
  <c r="AF1487" i="12"/>
  <c r="AB2019" i="12"/>
  <c r="AF2019" i="12" s="1"/>
  <c r="AG2020" i="12"/>
  <c r="AD2018" i="12"/>
  <c r="AB2048" i="12"/>
  <c r="AF2048" i="12" s="1"/>
  <c r="AG2049" i="12"/>
  <c r="AB1898" i="12"/>
  <c r="AG1899" i="12"/>
  <c r="AD2057" i="12"/>
  <c r="AB2388" i="12"/>
  <c r="AG2389" i="12"/>
  <c r="AD1627" i="12"/>
  <c r="AB1067" i="12"/>
  <c r="AG1068" i="12"/>
  <c r="AF1899" i="12"/>
  <c r="AD1219" i="12"/>
  <c r="AF1220" i="12"/>
  <c r="AB2448" i="12"/>
  <c r="AF2448" i="12" s="1"/>
  <c r="AG2449" i="12"/>
  <c r="AD1698" i="12"/>
  <c r="AD1387" i="12"/>
  <c r="AB1349" i="12"/>
  <c r="AG1350" i="12"/>
  <c r="AD2087" i="12"/>
  <c r="AD2027" i="12"/>
  <c r="AB2508" i="12"/>
  <c r="AF2508" i="12" s="1"/>
  <c r="AG2509" i="12"/>
  <c r="AB2729" i="12"/>
  <c r="AF2729" i="12" s="1"/>
  <c r="AG2730" i="12"/>
  <c r="AD860" i="12"/>
  <c r="AD998" i="12"/>
  <c r="AF999" i="12"/>
  <c r="AD2407" i="12"/>
  <c r="AD1807" i="12"/>
  <c r="AD720" i="12"/>
  <c r="AF721" i="12"/>
  <c r="AB1818" i="12"/>
  <c r="AF1818" i="12" s="1"/>
  <c r="AG1819" i="12"/>
  <c r="AD1617" i="12"/>
  <c r="AD2368" i="12"/>
  <c r="AF2369" i="12"/>
  <c r="AB97" i="12"/>
  <c r="AD1547" i="12"/>
  <c r="AG3110" i="12"/>
  <c r="AD2478" i="12"/>
  <c r="AF2479" i="12"/>
  <c r="AB2437" i="12"/>
  <c r="AG2438" i="12"/>
  <c r="AB1688" i="12"/>
  <c r="AF1688" i="12" s="1"/>
  <c r="AG1689" i="12"/>
  <c r="AB1748" i="12"/>
  <c r="AF1748" i="12" s="1"/>
  <c r="AG1749" i="12"/>
  <c r="AD2679" i="12"/>
  <c r="AF2680" i="12"/>
  <c r="AD338" i="12"/>
  <c r="AF339" i="12"/>
  <c r="AB1969" i="12"/>
  <c r="AF1969" i="12" s="1"/>
  <c r="AG1970" i="12"/>
  <c r="AF3110" i="12"/>
  <c r="AD1417" i="12"/>
  <c r="AF1689" i="12"/>
  <c r="AF1889" i="12"/>
  <c r="AD1247" i="12"/>
  <c r="AB2679" i="12"/>
  <c r="AG2680" i="12"/>
  <c r="AB1638" i="12"/>
  <c r="AG1639" i="12"/>
  <c r="AD1556" i="12"/>
  <c r="AD2127" i="12"/>
  <c r="AF2128" i="12"/>
  <c r="AD2157" i="12"/>
  <c r="AF2158" i="12"/>
  <c r="AD2177" i="12"/>
  <c r="AF2178" i="12"/>
  <c r="AD30" i="12"/>
  <c r="AF31" i="12"/>
  <c r="AD1458" i="12"/>
  <c r="AF1459" i="12"/>
  <c r="AD2688" i="12"/>
  <c r="AD1037" i="12"/>
  <c r="AD2469" i="12"/>
  <c r="AF2470" i="12"/>
  <c r="AB2539" i="12"/>
  <c r="AF2539" i="12" s="1"/>
  <c r="AG2540" i="12"/>
  <c r="AD1947" i="12"/>
  <c r="AF1948" i="12"/>
  <c r="AB2088" i="12"/>
  <c r="AF2088" i="12" s="1"/>
  <c r="AG2089" i="12"/>
  <c r="AB2157" i="12"/>
  <c r="AG2158" i="12"/>
  <c r="AD788" i="12"/>
  <c r="AF789" i="12"/>
  <c r="AB788" i="12"/>
  <c r="AG789" i="12"/>
  <c r="AD1067" i="12"/>
  <c r="AF1068" i="12"/>
  <c r="AD1567" i="12"/>
  <c r="AB68" i="12"/>
  <c r="AB1458" i="12"/>
  <c r="AG1459" i="12"/>
  <c r="AB1908" i="12"/>
  <c r="AG1909" i="12"/>
  <c r="AB759" i="12"/>
  <c r="AG760" i="12"/>
  <c r="AD1608" i="12"/>
  <c r="AD1768" i="12"/>
  <c r="AB158" i="12"/>
  <c r="AB2109" i="12"/>
  <c r="AG2110" i="12"/>
  <c r="AD1687" i="12"/>
  <c r="AB1618" i="12"/>
  <c r="AF1618" i="12" s="1"/>
  <c r="AG1619" i="12"/>
  <c r="AB1808" i="12"/>
  <c r="AF1808" i="12" s="1"/>
  <c r="AG1809" i="12"/>
  <c r="AB1568" i="12"/>
  <c r="AF1568" i="12" s="1"/>
  <c r="AG1569" i="12"/>
  <c r="AD2167" i="12"/>
  <c r="AD1887" i="12"/>
  <c r="AB298" i="12"/>
  <c r="AB1839" i="12"/>
  <c r="AG1840" i="12"/>
  <c r="AB1609" i="12"/>
  <c r="AF1609" i="12" s="1"/>
  <c r="AG1610" i="12"/>
  <c r="AB2458" i="12"/>
  <c r="AG2459" i="12"/>
  <c r="AD2388" i="12"/>
  <c r="AF2389" i="12"/>
  <c r="AB1778" i="12"/>
  <c r="AG1779" i="12"/>
  <c r="AB1598" i="12"/>
  <c r="AG1599" i="12"/>
  <c r="AB2647" i="12"/>
  <c r="AG2648" i="12"/>
  <c r="AB1388" i="12"/>
  <c r="AG1389" i="12"/>
  <c r="AD2398" i="12"/>
  <c r="AF1319" i="12"/>
  <c r="AF1970" i="12"/>
  <c r="AB828" i="12"/>
  <c r="AG829" i="12"/>
  <c r="AB861" i="12"/>
  <c r="AG862" i="12"/>
  <c r="AF829" i="12"/>
  <c r="AF1909" i="12"/>
  <c r="AF1599" i="12"/>
  <c r="AF2049" i="12"/>
  <c r="AB1947" i="12"/>
  <c r="AG1948" i="12"/>
  <c r="AD2647" i="12"/>
  <c r="AF2648" i="12"/>
  <c r="AD2108" i="12"/>
  <c r="AD1747" i="12"/>
  <c r="AF1179" i="12"/>
  <c r="AB337" i="12"/>
  <c r="AG338" i="12"/>
  <c r="AB1959" i="12"/>
  <c r="AF1959" i="12" s="1"/>
  <c r="AG1960" i="12"/>
  <c r="AF2960" i="12"/>
  <c r="AG2961" i="12"/>
  <c r="AD1968" i="12"/>
  <c r="AB1758" i="12"/>
  <c r="AG1759" i="12"/>
  <c r="AB1038" i="12"/>
  <c r="AG1039" i="12"/>
  <c r="AF1819" i="12"/>
  <c r="AD827" i="12"/>
  <c r="AB1188" i="12"/>
  <c r="AG1189" i="12"/>
  <c r="AB489" i="12"/>
  <c r="AG490" i="12"/>
  <c r="AD1907" i="12"/>
  <c r="AF2942" i="12"/>
  <c r="AB2127" i="12"/>
  <c r="AG2128" i="12"/>
  <c r="AB2188" i="12"/>
  <c r="AG2189" i="12"/>
  <c r="AD1678" i="12"/>
  <c r="AD1349" i="12"/>
  <c r="AF1350" i="12"/>
  <c r="AB1918" i="12"/>
  <c r="AG1919" i="12"/>
  <c r="AD1737" i="12"/>
  <c r="AD1597" i="12"/>
  <c r="AB1628" i="12"/>
  <c r="AF1628" i="12" s="1"/>
  <c r="AG1629" i="12"/>
  <c r="AD2047" i="12"/>
  <c r="AB2399" i="12"/>
  <c r="AG2400" i="12"/>
  <c r="AB19" i="12"/>
  <c r="AB1699" i="12"/>
  <c r="AF1699" i="12" s="1"/>
  <c r="AG1700" i="12"/>
  <c r="AB2168" i="12"/>
  <c r="AG2169" i="12"/>
  <c r="AF3039" i="12"/>
  <c r="AG3040" i="12"/>
  <c r="AB2258" i="12"/>
  <c r="AF2258" i="12" s="1"/>
  <c r="AG2259" i="12"/>
  <c r="AG2942" i="12"/>
  <c r="AB377" i="12"/>
  <c r="AB1709" i="12"/>
  <c r="AG1710" i="12"/>
  <c r="AB1248" i="12"/>
  <c r="AF1248" i="12" s="1"/>
  <c r="AG1249" i="12"/>
  <c r="AB1877" i="12"/>
  <c r="AF1877" i="12" s="1"/>
  <c r="AG1878" i="12"/>
  <c r="AD1876" i="12"/>
  <c r="AD1958" i="12"/>
  <c r="AB2177" i="12"/>
  <c r="AG2178" i="12"/>
  <c r="AF2379" i="12"/>
  <c r="AB1668" i="12"/>
  <c r="AF1668" i="12" s="1"/>
  <c r="AG1669" i="12"/>
  <c r="AB1848" i="12"/>
  <c r="AG1849" i="12"/>
  <c r="AD1317" i="12"/>
  <c r="AF1318" i="12"/>
  <c r="AB768" i="12"/>
  <c r="AF768" i="12" s="1"/>
  <c r="AG769" i="12"/>
  <c r="AB2119" i="12"/>
  <c r="AF2119" i="12" s="1"/>
  <c r="AG2120" i="12"/>
  <c r="AB998" i="12"/>
  <c r="AG999" i="12"/>
  <c r="AF2540" i="12"/>
  <c r="AD1177" i="12"/>
  <c r="AB1219" i="12"/>
  <c r="AG1220" i="12"/>
  <c r="AD2548" i="12"/>
  <c r="AD2377" i="12"/>
  <c r="AB1769" i="12"/>
  <c r="AF1769" i="12" s="1"/>
  <c r="AG1770" i="12"/>
  <c r="AD2257" i="12"/>
  <c r="AF2509" i="12"/>
  <c r="AF1710" i="12"/>
  <c r="AB1548" i="12"/>
  <c r="AF1548" i="12" s="1"/>
  <c r="AG1549" i="12"/>
  <c r="AB1828" i="12"/>
  <c r="AG1829" i="12"/>
  <c r="AB618" i="12"/>
  <c r="AD1817" i="12"/>
  <c r="AF1840" i="12"/>
  <c r="AF1669" i="12"/>
  <c r="AF2730" i="12"/>
  <c r="AF1279" i="12"/>
  <c r="AD1638" i="12"/>
  <c r="AF1639" i="12"/>
  <c r="AD2337" i="12"/>
  <c r="AD2447" i="12"/>
  <c r="AF3009" i="12"/>
  <c r="AG3010" i="12"/>
  <c r="AD767" i="12"/>
  <c r="AD1758" i="12"/>
  <c r="AF1759" i="12"/>
  <c r="AD1918" i="12"/>
  <c r="AF1919" i="12"/>
  <c r="AD2187" i="12"/>
  <c r="AD970" i="12"/>
  <c r="AB2328" i="12"/>
  <c r="AF2328" i="12" s="1"/>
  <c r="AG2329" i="12"/>
  <c r="AF1488" i="12"/>
  <c r="AB2609" i="12"/>
  <c r="AF2609" i="12" s="1"/>
  <c r="AG2610" i="12"/>
  <c r="AD2608" i="12"/>
  <c r="AB430" i="12"/>
  <c r="AD2507" i="12"/>
  <c r="AD1708" i="12"/>
  <c r="AB8" i="12"/>
  <c r="AB1679" i="12"/>
  <c r="AG1680" i="12"/>
  <c r="AB77" i="12"/>
  <c r="AB649" i="12"/>
  <c r="AG650" i="12"/>
  <c r="AB29" i="12"/>
  <c r="AG30" i="12"/>
  <c r="AB2058" i="12"/>
  <c r="AG2059" i="12"/>
  <c r="AD1838" i="12"/>
  <c r="AD2458" i="12"/>
  <c r="AF2459" i="12"/>
  <c r="AD1667" i="12"/>
  <c r="AD2728" i="12"/>
  <c r="AB971" i="12"/>
  <c r="AG972" i="12"/>
  <c r="AB1557" i="12"/>
  <c r="AF1557" i="12" s="1"/>
  <c r="AG1558" i="12"/>
  <c r="AB2028" i="12"/>
  <c r="AF2028" i="12" s="1"/>
  <c r="AG2029" i="12"/>
  <c r="AB1738" i="12"/>
  <c r="AF1738" i="12" s="1"/>
  <c r="AG1739" i="12"/>
  <c r="AB2689" i="12"/>
  <c r="AG2690" i="12"/>
  <c r="AD1277" i="12"/>
  <c r="AD2437" i="12"/>
  <c r="AF2438" i="12"/>
  <c r="AB1418" i="12"/>
  <c r="AG1419" i="12"/>
  <c r="AB720" i="12"/>
  <c r="AG721" i="12"/>
  <c r="AD2327" i="12"/>
  <c r="AD1828" i="12"/>
  <c r="AF1829" i="12"/>
  <c r="AB2408" i="12"/>
  <c r="AG2409" i="12"/>
  <c r="Q779" i="12"/>
  <c r="Q2598" i="12"/>
  <c r="Q2739" i="12"/>
  <c r="Q1517" i="12"/>
  <c r="Q1906" i="12"/>
  <c r="Q1677" i="12"/>
  <c r="Q3039" i="12"/>
  <c r="Q907" i="12"/>
  <c r="Q8" i="12"/>
  <c r="Q716" i="12"/>
  <c r="Q730" i="12"/>
  <c r="Q2187" i="12"/>
  <c r="Q797" i="12"/>
  <c r="Q657" i="12"/>
  <c r="Q210" i="12"/>
  <c r="Q1079" i="12"/>
  <c r="Q2829" i="12"/>
  <c r="Q2877" i="12"/>
  <c r="Q587" i="12"/>
  <c r="Q979" i="12"/>
  <c r="Q1477" i="12"/>
  <c r="Q248" i="12"/>
  <c r="Q389" i="12"/>
  <c r="Q218" i="12"/>
  <c r="AC640" i="12"/>
  <c r="AC639" i="12" s="1"/>
  <c r="AC638" i="12" s="1"/>
  <c r="AC637" i="12" s="1"/>
  <c r="AC636" i="12" s="1"/>
  <c r="AC635" i="12" s="1"/>
  <c r="AC634" i="12" s="1"/>
  <c r="AC633" i="12" s="1"/>
  <c r="AC632" i="12" s="1"/>
  <c r="AC631" i="12" s="1"/>
  <c r="AC630" i="12" s="1"/>
  <c r="AC629" i="12" s="1"/>
  <c r="AC628" i="12" s="1"/>
  <c r="AC627" i="12" s="1"/>
  <c r="AC626" i="12" s="1"/>
  <c r="AC625" i="12" s="1"/>
  <c r="AC624" i="12" s="1"/>
  <c r="AC623" i="12" s="1"/>
  <c r="AC622" i="12" s="1"/>
  <c r="AC621" i="12" s="1"/>
  <c r="AC620" i="12" s="1"/>
  <c r="AC619" i="12" s="1"/>
  <c r="AC618" i="12" s="1"/>
  <c r="AC617" i="12" s="1"/>
  <c r="AC616" i="12" s="1"/>
  <c r="AC615" i="12" s="1"/>
  <c r="AC614" i="12" s="1"/>
  <c r="AC613" i="12" s="1"/>
  <c r="AC612" i="12" s="1"/>
  <c r="AC611" i="12" s="1"/>
  <c r="AC610" i="12" s="1"/>
  <c r="AC609" i="12" s="1"/>
  <c r="AC608" i="12" s="1"/>
  <c r="AC607" i="12" s="1"/>
  <c r="AC606" i="12" s="1"/>
  <c r="AC605" i="12" s="1"/>
  <c r="AC604" i="12" s="1"/>
  <c r="AC603" i="12" s="1"/>
  <c r="AC602" i="12" s="1"/>
  <c r="AC601" i="12" s="1"/>
  <c r="AC600" i="12" s="1"/>
  <c r="AC599" i="12" s="1"/>
  <c r="AC598" i="12" s="1"/>
  <c r="AC597" i="12" s="1"/>
  <c r="AC596" i="12" s="1"/>
  <c r="AC595" i="12" s="1"/>
  <c r="AC594" i="12" s="1"/>
  <c r="AC593" i="12" s="1"/>
  <c r="AC592" i="12" s="1"/>
  <c r="AC591" i="12" s="1"/>
  <c r="AC590" i="12" s="1"/>
  <c r="AC589" i="12" s="1"/>
  <c r="AC588" i="12" s="1"/>
  <c r="AC587" i="12" s="1"/>
  <c r="AC586" i="12" s="1"/>
  <c r="AC585" i="12" s="1"/>
  <c r="AC584" i="12" s="1"/>
  <c r="AC583" i="12" s="1"/>
  <c r="AC582" i="12" s="1"/>
  <c r="AC581" i="12" s="1"/>
  <c r="AC580" i="12" s="1"/>
  <c r="AC579" i="12" s="1"/>
  <c r="AC578" i="12" s="1"/>
  <c r="AC577" i="12" s="1"/>
  <c r="AC576" i="12" s="1"/>
  <c r="AC575" i="12" s="1"/>
  <c r="AC574" i="12" s="1"/>
  <c r="AC573" i="12" s="1"/>
  <c r="AC572" i="12" s="1"/>
  <c r="AC571" i="12" s="1"/>
  <c r="AC570" i="12" s="1"/>
  <c r="AC569" i="12" s="1"/>
  <c r="AC568" i="12" s="1"/>
  <c r="AC567" i="12" s="1"/>
  <c r="AC566" i="12" s="1"/>
  <c r="AC565" i="12" s="1"/>
  <c r="AC564" i="12" s="1"/>
  <c r="AC563" i="12" s="1"/>
  <c r="AC562" i="12" s="1"/>
  <c r="AC561" i="12" s="1"/>
  <c r="AC560" i="12" s="1"/>
  <c r="AC559" i="12" s="1"/>
  <c r="AC558" i="12" s="1"/>
  <c r="AC557" i="12" s="1"/>
  <c r="AC556" i="12" s="1"/>
  <c r="AC555" i="12" s="1"/>
  <c r="AC554" i="12" s="1"/>
  <c r="AC553" i="12" s="1"/>
  <c r="AC552" i="12" s="1"/>
  <c r="AC551" i="12" s="1"/>
  <c r="AC550" i="12" s="1"/>
  <c r="AC549" i="12" s="1"/>
  <c r="AC548" i="12" s="1"/>
  <c r="AC547" i="12" s="1"/>
  <c r="AC546" i="12" s="1"/>
  <c r="AC545" i="12" s="1"/>
  <c r="AC544" i="12" s="1"/>
  <c r="AC543" i="12" s="1"/>
  <c r="AC542" i="12" s="1"/>
  <c r="AC541" i="12" s="1"/>
  <c r="AC540" i="12" s="1"/>
  <c r="AC539" i="12" s="1"/>
  <c r="AC538" i="12" s="1"/>
  <c r="AC537" i="12" s="1"/>
  <c r="AC536" i="12" s="1"/>
  <c r="AC535" i="12" s="1"/>
  <c r="AC534" i="12" s="1"/>
  <c r="AC533" i="12" s="1"/>
  <c r="AC532" i="12" s="1"/>
  <c r="AC531" i="12" s="1"/>
  <c r="AC530" i="12" s="1"/>
  <c r="AC529" i="12" s="1"/>
  <c r="AC528" i="12" s="1"/>
  <c r="AC527" i="12" s="1"/>
  <c r="AC526" i="12" s="1"/>
  <c r="AC525" i="12" s="1"/>
  <c r="AC524" i="12" s="1"/>
  <c r="AC523" i="12" s="1"/>
  <c r="AC522" i="12" s="1"/>
  <c r="AC521" i="12" s="1"/>
  <c r="AC520" i="12" s="1"/>
  <c r="AC519" i="12" s="1"/>
  <c r="AC518" i="12" s="1"/>
  <c r="AC517" i="12" s="1"/>
  <c r="AC516" i="12" s="1"/>
  <c r="AC515" i="12" s="1"/>
  <c r="AC514" i="12" s="1"/>
  <c r="AC513" i="12" s="1"/>
  <c r="AC512" i="12" s="1"/>
  <c r="AC511" i="12" s="1"/>
  <c r="AC510" i="12" s="1"/>
  <c r="AC509" i="12" s="1"/>
  <c r="AC508" i="12" s="1"/>
  <c r="AC507" i="12" s="1"/>
  <c r="AC506" i="12" s="1"/>
  <c r="AC505" i="12" s="1"/>
  <c r="AC504" i="12" s="1"/>
  <c r="AC503" i="12" s="1"/>
  <c r="AC502" i="12" s="1"/>
  <c r="AC501" i="12" s="1"/>
  <c r="AC500" i="12" s="1"/>
  <c r="AC499" i="12" s="1"/>
  <c r="AC498" i="12" s="1"/>
  <c r="AC497" i="12" s="1"/>
  <c r="AC496" i="12" s="1"/>
  <c r="AC495" i="12" s="1"/>
  <c r="AC494" i="12" s="1"/>
  <c r="AC493" i="12" s="1"/>
  <c r="AC492" i="12" s="1"/>
  <c r="AC491" i="12" s="1"/>
  <c r="AC490" i="12" s="1"/>
  <c r="AC489" i="12" s="1"/>
  <c r="AC488" i="12" s="1"/>
  <c r="AC487" i="12" s="1"/>
  <c r="AC486" i="12" s="1"/>
  <c r="AC485" i="12" s="1"/>
  <c r="AC484" i="12" s="1"/>
  <c r="AC483" i="12" s="1"/>
  <c r="AC482" i="12" s="1"/>
  <c r="AC481" i="12" s="1"/>
  <c r="AC480" i="12" s="1"/>
  <c r="AC479" i="12" s="1"/>
  <c r="AC478" i="12" s="1"/>
  <c r="AC477" i="12" s="1"/>
  <c r="AC476" i="12" s="1"/>
  <c r="AC475" i="12" s="1"/>
  <c r="AC474" i="12" s="1"/>
  <c r="AC473" i="12" s="1"/>
  <c r="AC472" i="12" s="1"/>
  <c r="AC471" i="12" s="1"/>
  <c r="AC470" i="12" s="1"/>
  <c r="AC469" i="12" s="1"/>
  <c r="AC468" i="12" s="1"/>
  <c r="AC467" i="12" s="1"/>
  <c r="AC466" i="12" s="1"/>
  <c r="AC465" i="12" s="1"/>
  <c r="AC464" i="12" s="1"/>
  <c r="AC332" i="12"/>
  <c r="AC331" i="12" s="1"/>
  <c r="AC330" i="12" s="1"/>
  <c r="AC329" i="12" s="1"/>
  <c r="AC328" i="12" s="1"/>
  <c r="AC327" i="12" s="1"/>
  <c r="AC326" i="12" s="1"/>
  <c r="AC325" i="12" s="1"/>
  <c r="AC324" i="12" s="1"/>
  <c r="AC323" i="12" s="1"/>
  <c r="AC322" i="12" s="1"/>
  <c r="AC321" i="12" s="1"/>
  <c r="AC320" i="12" s="1"/>
  <c r="AC319" i="12" s="1"/>
  <c r="AC318" i="12" s="1"/>
  <c r="AC317" i="12" s="1"/>
  <c r="AC316" i="12" s="1"/>
  <c r="AC315" i="12" s="1"/>
  <c r="AC314" i="12" s="1"/>
  <c r="AC313" i="12" s="1"/>
  <c r="AC312" i="12" s="1"/>
  <c r="AC311" i="12" s="1"/>
  <c r="AC310" i="12" s="1"/>
  <c r="AC309" i="12" s="1"/>
  <c r="AC308" i="12" s="1"/>
  <c r="AC307" i="12" s="1"/>
  <c r="AC306" i="12" s="1"/>
  <c r="AC305" i="12" s="1"/>
  <c r="AC304" i="12" s="1"/>
  <c r="AC242" i="12"/>
  <c r="AC241" i="12" s="1"/>
  <c r="AC240" i="12" s="1"/>
  <c r="AC239" i="12" s="1"/>
  <c r="AC238" i="12" s="1"/>
  <c r="AC237" i="12" s="1"/>
  <c r="AC236" i="12" s="1"/>
  <c r="AC235" i="12" s="1"/>
  <c r="AC234" i="12" s="1"/>
  <c r="AC233" i="12" s="1"/>
  <c r="AC232" i="12" s="1"/>
  <c r="AC231" i="12" s="1"/>
  <c r="AC230" i="12" s="1"/>
  <c r="AC229" i="12" s="1"/>
  <c r="AC228" i="12" s="1"/>
  <c r="AC26" i="12"/>
  <c r="AC10" i="12"/>
  <c r="AC9" i="12" s="1"/>
  <c r="AC8" i="12" s="1"/>
  <c r="AC7" i="12" s="1"/>
  <c r="AC6" i="12" s="1"/>
  <c r="AC5" i="12" s="1"/>
  <c r="AD242" i="12"/>
  <c r="AD10" i="12"/>
  <c r="AE640" i="12"/>
  <c r="AE639" i="12" s="1"/>
  <c r="AE638" i="12" s="1"/>
  <c r="AE637" i="12" s="1"/>
  <c r="AE636" i="12" s="1"/>
  <c r="AE635" i="12" s="1"/>
  <c r="AE634" i="12" s="1"/>
  <c r="AE633" i="12" s="1"/>
  <c r="AE632" i="12" s="1"/>
  <c r="AE631" i="12" s="1"/>
  <c r="AE630" i="12" s="1"/>
  <c r="AE629" i="12" s="1"/>
  <c r="AE628" i="12" s="1"/>
  <c r="AE627" i="12" s="1"/>
  <c r="AE626" i="12" s="1"/>
  <c r="AE625" i="12" s="1"/>
  <c r="AE624" i="12" s="1"/>
  <c r="AE623" i="12" s="1"/>
  <c r="AE486" i="12"/>
  <c r="AE485" i="12" s="1"/>
  <c r="AE484" i="12" s="1"/>
  <c r="AE483" i="12" s="1"/>
  <c r="AE482" i="12" s="1"/>
  <c r="AE481" i="12" s="1"/>
  <c r="AE480" i="12" s="1"/>
  <c r="AE479" i="12" s="1"/>
  <c r="AE478" i="12" s="1"/>
  <c r="AE477" i="12" s="1"/>
  <c r="AE476" i="12" s="1"/>
  <c r="AE475" i="12" s="1"/>
  <c r="AE474" i="12" s="1"/>
  <c r="AE473" i="12" s="1"/>
  <c r="AE472" i="12" s="1"/>
  <c r="AE471" i="12" s="1"/>
  <c r="AE470" i="12" s="1"/>
  <c r="AE469" i="12" s="1"/>
  <c r="AE468" i="12" s="1"/>
  <c r="AE467" i="12" s="1"/>
  <c r="AE466" i="12" s="1"/>
  <c r="AE465" i="12" s="1"/>
  <c r="AE464" i="12" s="1"/>
  <c r="AE332" i="12"/>
  <c r="AE331" i="12" s="1"/>
  <c r="AE330" i="12" s="1"/>
  <c r="AE329" i="12" s="1"/>
  <c r="AE328" i="12" s="1"/>
  <c r="AE327" i="12" s="1"/>
  <c r="AE326" i="12" s="1"/>
  <c r="AE325" i="12" s="1"/>
  <c r="AE324" i="12" s="1"/>
  <c r="AE323" i="12" s="1"/>
  <c r="AE322" i="12" s="1"/>
  <c r="AE321" i="12" s="1"/>
  <c r="AE320" i="12" s="1"/>
  <c r="AE319" i="12" s="1"/>
  <c r="AE318" i="12" s="1"/>
  <c r="AE317" i="12" s="1"/>
  <c r="AE316" i="12" s="1"/>
  <c r="AE315" i="12" s="1"/>
  <c r="AE314" i="12" s="1"/>
  <c r="AE313" i="12" s="1"/>
  <c r="AE312" i="12" s="1"/>
  <c r="AE311" i="12" s="1"/>
  <c r="AE310" i="12" s="1"/>
  <c r="AE309" i="12" s="1"/>
  <c r="AE308" i="12" s="1"/>
  <c r="AE307" i="12" s="1"/>
  <c r="AE306" i="12" s="1"/>
  <c r="AE305" i="12" s="1"/>
  <c r="AE304" i="12" s="1"/>
  <c r="AE242" i="12"/>
  <c r="AE26" i="12"/>
  <c r="AE10" i="12"/>
  <c r="J10" i="13"/>
  <c r="AD3307" i="12" l="1"/>
  <c r="AF3308" i="12"/>
  <c r="AB3307" i="12"/>
  <c r="AG3308" i="12"/>
  <c r="O3120" i="12"/>
  <c r="Q3119" i="12"/>
  <c r="AB719" i="12"/>
  <c r="AG720" i="12"/>
  <c r="AB2688" i="12"/>
  <c r="AG2689" i="12"/>
  <c r="AB970" i="12"/>
  <c r="AF970" i="12" s="1"/>
  <c r="AG971" i="12"/>
  <c r="AD1837" i="12"/>
  <c r="AB76" i="12"/>
  <c r="AD2506" i="12"/>
  <c r="AD1316" i="12"/>
  <c r="AB1037" i="12"/>
  <c r="AF1037" i="12" s="1"/>
  <c r="AG1038" i="12"/>
  <c r="AB1958" i="12"/>
  <c r="AF1958" i="12" s="1"/>
  <c r="AG1959" i="12"/>
  <c r="AB1066" i="12"/>
  <c r="AG1067" i="12"/>
  <c r="AB1897" i="12"/>
  <c r="AF1897" i="12" s="1"/>
  <c r="AG1898" i="12"/>
  <c r="AD1485" i="12"/>
  <c r="AF1898" i="12"/>
  <c r="AD241" i="12"/>
  <c r="AF242" i="12"/>
  <c r="AD2336" i="12"/>
  <c r="AD1957" i="12"/>
  <c r="AF3038" i="12"/>
  <c r="AG3039" i="12"/>
  <c r="AD1736" i="12"/>
  <c r="AB488" i="12"/>
  <c r="AG489" i="12"/>
  <c r="AB860" i="12"/>
  <c r="AF860" i="12" s="1"/>
  <c r="AG861" i="12"/>
  <c r="AB1387" i="12"/>
  <c r="AF1387" i="12" s="1"/>
  <c r="AG1388" i="12"/>
  <c r="AB1838" i="12"/>
  <c r="AF1838" i="12" s="1"/>
  <c r="AG1839" i="12"/>
  <c r="AB1567" i="12"/>
  <c r="AF1567" i="12" s="1"/>
  <c r="AG1568" i="12"/>
  <c r="AB2108" i="12"/>
  <c r="AF2108" i="12" s="1"/>
  <c r="AG2109" i="12"/>
  <c r="AB758" i="12"/>
  <c r="AF758" i="12" s="1"/>
  <c r="AG759" i="12"/>
  <c r="AD1566" i="12"/>
  <c r="AB2156" i="12"/>
  <c r="AG2157" i="12"/>
  <c r="AD2468" i="12"/>
  <c r="AF2469" i="12"/>
  <c r="AF30" i="12"/>
  <c r="AD29" i="12"/>
  <c r="AD1555" i="12"/>
  <c r="AD337" i="12"/>
  <c r="AF338" i="12"/>
  <c r="AB2436" i="12"/>
  <c r="AG2437" i="12"/>
  <c r="AB96" i="12"/>
  <c r="AD719" i="12"/>
  <c r="AF720" i="12"/>
  <c r="AD2026" i="12"/>
  <c r="AD1697" i="12"/>
  <c r="AD1777" i="12"/>
  <c r="AF1778" i="12"/>
  <c r="AB237" i="12"/>
  <c r="AB2477" i="12"/>
  <c r="AG2478" i="12"/>
  <c r="AD1896" i="12"/>
  <c r="AB2407" i="12"/>
  <c r="AG2408" i="12"/>
  <c r="AB1417" i="12"/>
  <c r="AF1417" i="12" s="1"/>
  <c r="AG1418" i="12"/>
  <c r="AB1737" i="12"/>
  <c r="AG1738" i="12"/>
  <c r="AD2727" i="12"/>
  <c r="AB2057" i="12"/>
  <c r="AF2057" i="12" s="1"/>
  <c r="AG2058" i="12"/>
  <c r="AB1678" i="12"/>
  <c r="AF1678" i="12" s="1"/>
  <c r="AG1679" i="12"/>
  <c r="AB429" i="12"/>
  <c r="AF971" i="12"/>
  <c r="AB997" i="12"/>
  <c r="AG998" i="12"/>
  <c r="AB1847" i="12"/>
  <c r="AG1848" i="12"/>
  <c r="AB1757" i="12"/>
  <c r="AG1758" i="12"/>
  <c r="AB336" i="12"/>
  <c r="AG337" i="12"/>
  <c r="AF1038" i="12"/>
  <c r="AF1418" i="12"/>
  <c r="AF861" i="12"/>
  <c r="AD1626" i="12"/>
  <c r="AB2047" i="12"/>
  <c r="AG2048" i="12"/>
  <c r="AB1317" i="12"/>
  <c r="AG1318" i="12"/>
  <c r="AD1757" i="12"/>
  <c r="AF1758" i="12"/>
  <c r="AD2376" i="12"/>
  <c r="AB1708" i="12"/>
  <c r="AF1708" i="12" s="1"/>
  <c r="AG1709" i="12"/>
  <c r="AB2398" i="12"/>
  <c r="AF2398" i="12" s="1"/>
  <c r="AG2399" i="12"/>
  <c r="AB2187" i="12"/>
  <c r="AG2188" i="12"/>
  <c r="AD2646" i="12"/>
  <c r="AF2647" i="12"/>
  <c r="AE241" i="12"/>
  <c r="AG242" i="12"/>
  <c r="AD969" i="12"/>
  <c r="AD766" i="12"/>
  <c r="AD1637" i="12"/>
  <c r="AF1638" i="12"/>
  <c r="AB617" i="12"/>
  <c r="AD2256" i="12"/>
  <c r="AD2547" i="12"/>
  <c r="AD1875" i="12"/>
  <c r="AB376" i="12"/>
  <c r="AB2167" i="12"/>
  <c r="AF2167" i="12" s="1"/>
  <c r="AG2168" i="12"/>
  <c r="AD2046" i="12"/>
  <c r="AB1917" i="12"/>
  <c r="AG1918" i="12"/>
  <c r="AB2126" i="12"/>
  <c r="AG2127" i="12"/>
  <c r="AB1187" i="12"/>
  <c r="AF1187" i="12" s="1"/>
  <c r="AG1188" i="12"/>
  <c r="AB1946" i="12"/>
  <c r="AG1947" i="12"/>
  <c r="AB827" i="12"/>
  <c r="AF827" i="12" s="1"/>
  <c r="AG828" i="12"/>
  <c r="AB2646" i="12"/>
  <c r="AG2647" i="12"/>
  <c r="AD2387" i="12"/>
  <c r="AF2388" i="12"/>
  <c r="AB297" i="12"/>
  <c r="AB1807" i="12"/>
  <c r="AF1807" i="12" s="1"/>
  <c r="AG1808" i="12"/>
  <c r="AB157" i="12"/>
  <c r="AB1907" i="12"/>
  <c r="AG1908" i="12"/>
  <c r="AD1066" i="12"/>
  <c r="AF1067" i="12"/>
  <c r="AB2087" i="12"/>
  <c r="AG2088" i="12"/>
  <c r="AD1036" i="12"/>
  <c r="AD2176" i="12"/>
  <c r="AF2177" i="12"/>
  <c r="AB1637" i="12"/>
  <c r="AG1638" i="12"/>
  <c r="AD1416" i="12"/>
  <c r="AD2678" i="12"/>
  <c r="AF2679" i="12"/>
  <c r="AD2477" i="12"/>
  <c r="AF2478" i="12"/>
  <c r="AD2367" i="12"/>
  <c r="AF2368" i="12"/>
  <c r="AD1806" i="12"/>
  <c r="AD859" i="12"/>
  <c r="AD2086" i="12"/>
  <c r="AB2447" i="12"/>
  <c r="AF2447" i="12" s="1"/>
  <c r="AG2448" i="12"/>
  <c r="AD2117" i="12"/>
  <c r="AB2377" i="12"/>
  <c r="AG2378" i="12"/>
  <c r="AD2537" i="12"/>
  <c r="AB1177" i="12"/>
  <c r="AG1178" i="12"/>
  <c r="AE9" i="12"/>
  <c r="AG10" i="12"/>
  <c r="AD1827" i="12"/>
  <c r="AF1828" i="12"/>
  <c r="AD2436" i="12"/>
  <c r="AF2437" i="12"/>
  <c r="AB2027" i="12"/>
  <c r="AF2027" i="12" s="1"/>
  <c r="AG2028" i="12"/>
  <c r="AD1666" i="12"/>
  <c r="AB28" i="12"/>
  <c r="AG29" i="12"/>
  <c r="AB7" i="12"/>
  <c r="AD2607" i="12"/>
  <c r="AF2188" i="12"/>
  <c r="AB2118" i="12"/>
  <c r="AG2119" i="12"/>
  <c r="AB1667" i="12"/>
  <c r="AF1667" i="12" s="1"/>
  <c r="AG1668" i="12"/>
  <c r="AF828" i="12"/>
  <c r="AD1967" i="12"/>
  <c r="AF2689" i="12"/>
  <c r="AF2408" i="12"/>
  <c r="AB2387" i="12"/>
  <c r="AG2388" i="12"/>
  <c r="AD2017" i="12"/>
  <c r="AB2548" i="12"/>
  <c r="AF2548" i="12" s="1"/>
  <c r="AG2549" i="12"/>
  <c r="AF759" i="12"/>
  <c r="AF1709" i="12"/>
  <c r="AD2186" i="12"/>
  <c r="AF3008" i="12"/>
  <c r="AG3009" i="12"/>
  <c r="AB1827" i="12"/>
  <c r="AG1828" i="12"/>
  <c r="AB1218" i="12"/>
  <c r="AG1219" i="12"/>
  <c r="AB1876" i="12"/>
  <c r="AF1876" i="12" s="1"/>
  <c r="AG1877" i="12"/>
  <c r="AG2941" i="12"/>
  <c r="AB1698" i="12"/>
  <c r="AG1699" i="12"/>
  <c r="AB1627" i="12"/>
  <c r="AG1628" i="12"/>
  <c r="AD1348" i="12"/>
  <c r="AF1349" i="12"/>
  <c r="AF2941" i="12"/>
  <c r="AD826" i="12"/>
  <c r="AD1746" i="12"/>
  <c r="AB1597" i="12"/>
  <c r="AF1597" i="12" s="1"/>
  <c r="AG1598" i="12"/>
  <c r="AB2457" i="12"/>
  <c r="AG2458" i="12"/>
  <c r="AD1886" i="12"/>
  <c r="AB1617" i="12"/>
  <c r="AG1618" i="12"/>
  <c r="AD1767" i="12"/>
  <c r="AB1457" i="12"/>
  <c r="AG1458" i="12"/>
  <c r="AB787" i="12"/>
  <c r="AG788" i="12"/>
  <c r="AD1946" i="12"/>
  <c r="AF1947" i="12"/>
  <c r="AD2687" i="12"/>
  <c r="AF2688" i="12"/>
  <c r="AD2156" i="12"/>
  <c r="AF2157" i="12"/>
  <c r="AB2678" i="12"/>
  <c r="AG2679" i="12"/>
  <c r="AF3109" i="12"/>
  <c r="AB1747" i="12"/>
  <c r="AG1748" i="12"/>
  <c r="AG3109" i="12"/>
  <c r="AD1616" i="12"/>
  <c r="AD2406" i="12"/>
  <c r="AF2407" i="12"/>
  <c r="AB2728" i="12"/>
  <c r="AG2729" i="12"/>
  <c r="AB1348" i="12"/>
  <c r="AG1349" i="12"/>
  <c r="AD1218" i="12"/>
  <c r="AF1219" i="12"/>
  <c r="AF2058" i="12"/>
  <c r="AB2337" i="12"/>
  <c r="AF2337" i="12" s="1"/>
  <c r="AG2338" i="12"/>
  <c r="AB1887" i="12"/>
  <c r="AF1887" i="12" s="1"/>
  <c r="AG1888" i="12"/>
  <c r="AD757" i="12"/>
  <c r="AB1486" i="12"/>
  <c r="AF1486" i="12" s="1"/>
  <c r="AG1487" i="12"/>
  <c r="AD9" i="12"/>
  <c r="AF10" i="12"/>
  <c r="AB2327" i="12"/>
  <c r="AF2327" i="12" s="1"/>
  <c r="AG2328" i="12"/>
  <c r="AD1816" i="12"/>
  <c r="AE622" i="12"/>
  <c r="AG623" i="12"/>
  <c r="AD2326" i="12"/>
  <c r="AD1276" i="12"/>
  <c r="AB1556" i="12"/>
  <c r="AG1557" i="12"/>
  <c r="AD2457" i="12"/>
  <c r="AF2458" i="12"/>
  <c r="AB648" i="12"/>
  <c r="AG649" i="12"/>
  <c r="AD1707" i="12"/>
  <c r="AB2608" i="12"/>
  <c r="AG2609" i="12"/>
  <c r="AB767" i="12"/>
  <c r="AG768" i="12"/>
  <c r="AF1598" i="12"/>
  <c r="AF1679" i="12"/>
  <c r="AF1908" i="12"/>
  <c r="AF2959" i="12"/>
  <c r="AG2960" i="12"/>
  <c r="AF2109" i="12"/>
  <c r="AF2399" i="12"/>
  <c r="AF2168" i="12"/>
  <c r="AF1388" i="12"/>
  <c r="AD2056" i="12"/>
  <c r="AB2018" i="12"/>
  <c r="AG2019" i="12"/>
  <c r="AD1847" i="12"/>
  <c r="AF1848" i="12"/>
  <c r="AF1188" i="12"/>
  <c r="AF1839" i="12"/>
  <c r="AD1917" i="12"/>
  <c r="AF1918" i="12"/>
  <c r="AD2446" i="12"/>
  <c r="AB1547" i="12"/>
  <c r="AG1548" i="12"/>
  <c r="AB1768" i="12"/>
  <c r="AG1769" i="12"/>
  <c r="AD1176" i="12"/>
  <c r="AB2176" i="12"/>
  <c r="AG2177" i="12"/>
  <c r="AB1247" i="12"/>
  <c r="AG1248" i="12"/>
  <c r="AB2257" i="12"/>
  <c r="AG2258" i="12"/>
  <c r="AB18" i="12"/>
  <c r="AD1596" i="12"/>
  <c r="AD1677" i="12"/>
  <c r="AD1906" i="12"/>
  <c r="AD2107" i="12"/>
  <c r="AD2397" i="12"/>
  <c r="AB1777" i="12"/>
  <c r="AG1778" i="12"/>
  <c r="AB1608" i="12"/>
  <c r="AG1609" i="12"/>
  <c r="AD2166" i="12"/>
  <c r="AD1686" i="12"/>
  <c r="AD1607" i="12"/>
  <c r="AB67" i="12"/>
  <c r="AD787" i="12"/>
  <c r="AF788" i="12"/>
  <c r="AB2538" i="12"/>
  <c r="AG2539" i="12"/>
  <c r="AD1457" i="12"/>
  <c r="AF1458" i="12"/>
  <c r="AD2126" i="12"/>
  <c r="AF2127" i="12"/>
  <c r="AD1246" i="12"/>
  <c r="AB1968" i="12"/>
  <c r="AF1968" i="12" s="1"/>
  <c r="AG1969" i="12"/>
  <c r="AB1687" i="12"/>
  <c r="AG1688" i="12"/>
  <c r="AD1546" i="12"/>
  <c r="AB1817" i="12"/>
  <c r="AF1817" i="12" s="1"/>
  <c r="AG1818" i="12"/>
  <c r="AD997" i="12"/>
  <c r="AF998" i="12"/>
  <c r="AB2507" i="12"/>
  <c r="AG2508" i="12"/>
  <c r="AD1386" i="12"/>
  <c r="AB2367" i="12"/>
  <c r="AG2368" i="12"/>
  <c r="AB2468" i="12"/>
  <c r="AG2469" i="12"/>
  <c r="AD1186" i="12"/>
  <c r="AB1277" i="12"/>
  <c r="AG1278" i="12"/>
  <c r="Q780" i="12"/>
  <c r="Q2599" i="12"/>
  <c r="Q1478" i="12"/>
  <c r="Q2830" i="12"/>
  <c r="Q798" i="12"/>
  <c r="Q9" i="12"/>
  <c r="Q390" i="12"/>
  <c r="Q980" i="12"/>
  <c r="Q1080" i="12"/>
  <c r="Q2188" i="12"/>
  <c r="Q908" i="12"/>
  <c r="Q1907" i="12"/>
  <c r="Q731" i="12"/>
  <c r="Q249" i="12"/>
  <c r="Q588" i="12"/>
  <c r="Q211" i="12"/>
  <c r="Q3040" i="12"/>
  <c r="Q1518" i="12"/>
  <c r="Q219" i="12"/>
  <c r="Q2878" i="12"/>
  <c r="Q658" i="12"/>
  <c r="Q717" i="12"/>
  <c r="Q1678" i="12"/>
  <c r="Q2740" i="12"/>
  <c r="AE25" i="12"/>
  <c r="AE303" i="12"/>
  <c r="AG303" i="12" s="1"/>
  <c r="AE463" i="12"/>
  <c r="AD303" i="12"/>
  <c r="AF303" i="12" s="1"/>
  <c r="AC25" i="12"/>
  <c r="AC227" i="12"/>
  <c r="AC303" i="12"/>
  <c r="AC463" i="12"/>
  <c r="J11" i="13"/>
  <c r="AB3306" i="12" l="1"/>
  <c r="AG3307" i="12"/>
  <c r="AD3306" i="12"/>
  <c r="AF3307" i="12"/>
  <c r="O3121" i="12"/>
  <c r="Q3120" i="12"/>
  <c r="AD1385" i="12"/>
  <c r="AD2125" i="12"/>
  <c r="AF2126" i="12"/>
  <c r="AB1607" i="12"/>
  <c r="AF1607" i="12" s="1"/>
  <c r="AG1608" i="12"/>
  <c r="AB2256" i="12"/>
  <c r="AG2257" i="12"/>
  <c r="AD2405" i="12"/>
  <c r="AD1945" i="12"/>
  <c r="AF1946" i="12"/>
  <c r="AB1626" i="12"/>
  <c r="AG1627" i="12"/>
  <c r="AD2185" i="12"/>
  <c r="AB27" i="12"/>
  <c r="AG28" i="12"/>
  <c r="AB2376" i="12"/>
  <c r="AF2376" i="12" s="1"/>
  <c r="AG2377" i="12"/>
  <c r="AD2677" i="12"/>
  <c r="AF2678" i="12"/>
  <c r="AD1035" i="12"/>
  <c r="AB2645" i="12"/>
  <c r="AG2646" i="12"/>
  <c r="AB2125" i="12"/>
  <c r="AG2126" i="12"/>
  <c r="AB375" i="12"/>
  <c r="AB616" i="12"/>
  <c r="AE240" i="12"/>
  <c r="AG241" i="12"/>
  <c r="AB2397" i="12"/>
  <c r="AF2397" i="12" s="1"/>
  <c r="AG2398" i="12"/>
  <c r="AB1316" i="12"/>
  <c r="AF1316" i="12" s="1"/>
  <c r="AG1317" i="12"/>
  <c r="AD2726" i="12"/>
  <c r="AD1895" i="12"/>
  <c r="AD1696" i="12"/>
  <c r="AB95" i="12"/>
  <c r="AB757" i="12"/>
  <c r="AF757" i="12" s="1"/>
  <c r="AG758" i="12"/>
  <c r="AB1386" i="12"/>
  <c r="AF1386" i="12" s="1"/>
  <c r="AG1387" i="12"/>
  <c r="AG3038" i="12"/>
  <c r="AB1276" i="12"/>
  <c r="AF1276" i="12" s="1"/>
  <c r="AG1277" i="12"/>
  <c r="AD1545" i="12"/>
  <c r="AB66" i="12"/>
  <c r="AD1905" i="12"/>
  <c r="AB1767" i="12"/>
  <c r="AF1767" i="12" s="1"/>
  <c r="AG1768" i="12"/>
  <c r="AF3108" i="12"/>
  <c r="AB1616" i="12"/>
  <c r="AF1616" i="12" s="1"/>
  <c r="AG1617" i="12"/>
  <c r="AD1745" i="12"/>
  <c r="AB1217" i="12"/>
  <c r="AG1218" i="12"/>
  <c r="AB2386" i="12"/>
  <c r="AG2387" i="12"/>
  <c r="AD1826" i="12"/>
  <c r="AF1827" i="12"/>
  <c r="AD858" i="12"/>
  <c r="AB156" i="12"/>
  <c r="AF1608" i="12"/>
  <c r="AB766" i="12"/>
  <c r="AG767" i="12"/>
  <c r="AD2456" i="12"/>
  <c r="AF2457" i="12"/>
  <c r="AE621" i="12"/>
  <c r="AG622" i="12"/>
  <c r="AB1485" i="12"/>
  <c r="AF1485" i="12" s="1"/>
  <c r="AG1486" i="12"/>
  <c r="AF1617" i="12"/>
  <c r="AB2117" i="12"/>
  <c r="AF2117" i="12" s="1"/>
  <c r="AG2118" i="12"/>
  <c r="AF2118" i="12"/>
  <c r="AB335" i="12"/>
  <c r="AG336" i="12"/>
  <c r="AD1484" i="12"/>
  <c r="AB1036" i="12"/>
  <c r="AG1037" i="12"/>
  <c r="AD1836" i="12"/>
  <c r="AD1185" i="12"/>
  <c r="AB1686" i="12"/>
  <c r="AG1687" i="12"/>
  <c r="AD1606" i="12"/>
  <c r="AD1676" i="12"/>
  <c r="AB1546" i="12"/>
  <c r="AF1546" i="12" s="1"/>
  <c r="AG1547" i="12"/>
  <c r="AD1217" i="12"/>
  <c r="AF1218" i="12"/>
  <c r="AB2677" i="12"/>
  <c r="AG2678" i="12"/>
  <c r="AD1885" i="12"/>
  <c r="AB1697" i="12"/>
  <c r="AG1698" i="12"/>
  <c r="AD1665" i="12"/>
  <c r="AD2116" i="12"/>
  <c r="AD1415" i="12"/>
  <c r="AB1806" i="12"/>
  <c r="AF1806" i="12" s="1"/>
  <c r="AG1807" i="12"/>
  <c r="AB826" i="12"/>
  <c r="AF826" i="12" s="1"/>
  <c r="AG827" i="12"/>
  <c r="AB1916" i="12"/>
  <c r="AG1917" i="12"/>
  <c r="AD1874" i="12"/>
  <c r="AD1636" i="12"/>
  <c r="AF1637" i="12"/>
  <c r="AB1707" i="12"/>
  <c r="AG1708" i="12"/>
  <c r="AB2046" i="12"/>
  <c r="AF2046" i="12" s="1"/>
  <c r="AG2047" i="12"/>
  <c r="AB428" i="12"/>
  <c r="AB1736" i="12"/>
  <c r="AG1737" i="12"/>
  <c r="AB2476" i="12"/>
  <c r="AG2477" i="12"/>
  <c r="AD2025" i="12"/>
  <c r="AB2435" i="12"/>
  <c r="AG2436" i="12"/>
  <c r="AD2467" i="12"/>
  <c r="AF2468" i="12"/>
  <c r="AB2107" i="12"/>
  <c r="AG2108" i="12"/>
  <c r="AB859" i="12"/>
  <c r="AF859" i="12" s="1"/>
  <c r="AG860" i="12"/>
  <c r="AD1956" i="12"/>
  <c r="AF1317" i="12"/>
  <c r="AD996" i="12"/>
  <c r="AF997" i="12"/>
  <c r="AB2506" i="12"/>
  <c r="AF2506" i="12" s="1"/>
  <c r="AG2507" i="12"/>
  <c r="AD1456" i="12"/>
  <c r="AF1457" i="12"/>
  <c r="AB1776" i="12"/>
  <c r="AG1777" i="12"/>
  <c r="AB1246" i="12"/>
  <c r="AF1246" i="12" s="1"/>
  <c r="AG1247" i="12"/>
  <c r="AD1846" i="12"/>
  <c r="AF1847" i="12"/>
  <c r="AD1615" i="12"/>
  <c r="AB786" i="12"/>
  <c r="AG787" i="12"/>
  <c r="AD825" i="12"/>
  <c r="AE8" i="12"/>
  <c r="AG9" i="12"/>
  <c r="AD1805" i="12"/>
  <c r="AB2086" i="12"/>
  <c r="AF2086" i="12" s="1"/>
  <c r="AG2087" i="12"/>
  <c r="AF1687" i="12"/>
  <c r="AB2607" i="12"/>
  <c r="AF2607" i="12" s="1"/>
  <c r="AG2608" i="12"/>
  <c r="AB1555" i="12"/>
  <c r="AF1555" i="12" s="1"/>
  <c r="AG1556" i="12"/>
  <c r="AD1815" i="12"/>
  <c r="AD756" i="12"/>
  <c r="AF2608" i="12"/>
  <c r="AF2047" i="12"/>
  <c r="AF767" i="12"/>
  <c r="AF2377" i="12"/>
  <c r="AF1627" i="12"/>
  <c r="AB1756" i="12"/>
  <c r="AG1757" i="12"/>
  <c r="AB1896" i="12"/>
  <c r="AF1896" i="12" s="1"/>
  <c r="AG1897" i="12"/>
  <c r="AD1315" i="12"/>
  <c r="AB969" i="12"/>
  <c r="AF969" i="12" s="1"/>
  <c r="AG970" i="12"/>
  <c r="AB1967" i="12"/>
  <c r="AF1967" i="12" s="1"/>
  <c r="AG1968" i="12"/>
  <c r="AD1685" i="12"/>
  <c r="AF1686" i="12"/>
  <c r="AD1595" i="12"/>
  <c r="AD2445" i="12"/>
  <c r="AG2959" i="12"/>
  <c r="AF1277" i="12"/>
  <c r="AG3108" i="12"/>
  <c r="AB1456" i="12"/>
  <c r="AG1457" i="12"/>
  <c r="AF2940" i="12"/>
  <c r="AB1826" i="12"/>
  <c r="AG1827" i="12"/>
  <c r="AD1966" i="12"/>
  <c r="AB2026" i="12"/>
  <c r="AG2027" i="12"/>
  <c r="AB2446" i="12"/>
  <c r="AG2447" i="12"/>
  <c r="AB1636" i="12"/>
  <c r="AG1637" i="12"/>
  <c r="AD1065" i="12"/>
  <c r="AF1066" i="12"/>
  <c r="AB1945" i="12"/>
  <c r="AG1946" i="12"/>
  <c r="AD2045" i="12"/>
  <c r="AD2546" i="12"/>
  <c r="AD765" i="12"/>
  <c r="AD2645" i="12"/>
  <c r="AF2646" i="12"/>
  <c r="AD2375" i="12"/>
  <c r="AD1625" i="12"/>
  <c r="AF1626" i="12"/>
  <c r="AB1677" i="12"/>
  <c r="AF1677" i="12" s="1"/>
  <c r="AG1678" i="12"/>
  <c r="AB1416" i="12"/>
  <c r="AG1417" i="12"/>
  <c r="AB236" i="12"/>
  <c r="AF3037" i="12"/>
  <c r="AD336" i="12"/>
  <c r="AF337" i="12"/>
  <c r="AB2155" i="12"/>
  <c r="AG2156" i="12"/>
  <c r="AB1566" i="12"/>
  <c r="AF1566" i="12" s="1"/>
  <c r="AG1567" i="12"/>
  <c r="AB487" i="12"/>
  <c r="AG488" i="12"/>
  <c r="AD2335" i="12"/>
  <c r="AF2507" i="12"/>
  <c r="AB2537" i="12"/>
  <c r="AF2537" i="12" s="1"/>
  <c r="AG2538" i="12"/>
  <c r="AD2396" i="12"/>
  <c r="AB2175" i="12"/>
  <c r="AG2176" i="12"/>
  <c r="AB2017" i="12"/>
  <c r="AF2017" i="12" s="1"/>
  <c r="AG2018" i="12"/>
  <c r="AB1347" i="12"/>
  <c r="AG1348" i="12"/>
  <c r="AD2155" i="12"/>
  <c r="AF2156" i="12"/>
  <c r="AB2456" i="12"/>
  <c r="AG2457" i="12"/>
  <c r="AG2940" i="12"/>
  <c r="AB2547" i="12"/>
  <c r="AG2548" i="12"/>
  <c r="AD2606" i="12"/>
  <c r="AB1176" i="12"/>
  <c r="AF1176" i="12" s="1"/>
  <c r="AG1177" i="12"/>
  <c r="AD2366" i="12"/>
  <c r="AF2367" i="12"/>
  <c r="AB296" i="12"/>
  <c r="AF1247" i="12"/>
  <c r="AF1177" i="12"/>
  <c r="AD1706" i="12"/>
  <c r="AD1275" i="12"/>
  <c r="AB2326" i="12"/>
  <c r="AF2326" i="12" s="1"/>
  <c r="AG2327" i="12"/>
  <c r="AB1886" i="12"/>
  <c r="AG1887" i="12"/>
  <c r="AF1768" i="12"/>
  <c r="AF2018" i="12"/>
  <c r="AF2538" i="12"/>
  <c r="AF2087" i="12"/>
  <c r="AF2257" i="12"/>
  <c r="AB1846" i="12"/>
  <c r="AG1847" i="12"/>
  <c r="AF1556" i="12"/>
  <c r="AF1737" i="12"/>
  <c r="AB1065" i="12"/>
  <c r="AG1066" i="12"/>
  <c r="AD2505" i="12"/>
  <c r="AB2687" i="12"/>
  <c r="AF2687" i="12" s="1"/>
  <c r="AG2688" i="12"/>
  <c r="AB2366" i="12"/>
  <c r="AG2367" i="12"/>
  <c r="AD1245" i="12"/>
  <c r="AD2165" i="12"/>
  <c r="AB17" i="12"/>
  <c r="AD1916" i="12"/>
  <c r="AF1917" i="12"/>
  <c r="AB2727" i="12"/>
  <c r="AF2727" i="12" s="1"/>
  <c r="AG2728" i="12"/>
  <c r="AD2686" i="12"/>
  <c r="AB1596" i="12"/>
  <c r="AG1597" i="12"/>
  <c r="AG3008" i="12"/>
  <c r="AB6" i="12"/>
  <c r="AD2536" i="12"/>
  <c r="AD2476" i="12"/>
  <c r="AF2477" i="12"/>
  <c r="AD2175" i="12"/>
  <c r="AF2176" i="12"/>
  <c r="AD2386" i="12"/>
  <c r="AF2387" i="12"/>
  <c r="AB1186" i="12"/>
  <c r="AF1186" i="12" s="1"/>
  <c r="AG1187" i="12"/>
  <c r="AB2166" i="12"/>
  <c r="AG2167" i="12"/>
  <c r="AD2255" i="12"/>
  <c r="AF2256" i="12"/>
  <c r="AD968" i="12"/>
  <c r="AB2186" i="12"/>
  <c r="AF2186" i="12" s="1"/>
  <c r="AG2187" i="12"/>
  <c r="AD1756" i="12"/>
  <c r="AF1757" i="12"/>
  <c r="AB2056" i="12"/>
  <c r="AG2057" i="12"/>
  <c r="AB2406" i="12"/>
  <c r="AG2407" i="12"/>
  <c r="AD1776" i="12"/>
  <c r="AF1777" i="12"/>
  <c r="AD718" i="12"/>
  <c r="AF719" i="12"/>
  <c r="AD1554" i="12"/>
  <c r="AD1565" i="12"/>
  <c r="AB1837" i="12"/>
  <c r="AG1838" i="12"/>
  <c r="AD1735" i="12"/>
  <c r="AF1736" i="12"/>
  <c r="AD240" i="12"/>
  <c r="AF241" i="12"/>
  <c r="AB2467" i="12"/>
  <c r="AG2468" i="12"/>
  <c r="AB1816" i="12"/>
  <c r="AF1816" i="12" s="1"/>
  <c r="AG1817" i="12"/>
  <c r="AD786" i="12"/>
  <c r="AF787" i="12"/>
  <c r="AD2106" i="12"/>
  <c r="AD1175" i="12"/>
  <c r="AD2055" i="12"/>
  <c r="AB1746" i="12"/>
  <c r="AG1747" i="12"/>
  <c r="AD1766" i="12"/>
  <c r="AD1347" i="12"/>
  <c r="AF1348" i="12"/>
  <c r="AB1875" i="12"/>
  <c r="AG1876" i="12"/>
  <c r="AD2016" i="12"/>
  <c r="AD2435" i="12"/>
  <c r="AF2436" i="12"/>
  <c r="AD2085" i="12"/>
  <c r="AB1906" i="12"/>
  <c r="AG1907" i="12"/>
  <c r="AF1547" i="12"/>
  <c r="AF1907" i="12"/>
  <c r="AB647" i="12"/>
  <c r="AG648" i="12"/>
  <c r="AD2325" i="12"/>
  <c r="AD8" i="12"/>
  <c r="AF9" i="12"/>
  <c r="AB2336" i="12"/>
  <c r="AG2337" i="12"/>
  <c r="AF1747" i="12"/>
  <c r="AF2187" i="12"/>
  <c r="AB1666" i="12"/>
  <c r="AF1666" i="12" s="1"/>
  <c r="AG1667" i="12"/>
  <c r="AB996" i="12"/>
  <c r="AG997" i="12"/>
  <c r="AF2728" i="12"/>
  <c r="AF1698" i="12"/>
  <c r="AF29" i="12"/>
  <c r="AD28" i="12"/>
  <c r="AB1957" i="12"/>
  <c r="AF1957" i="12" s="1"/>
  <c r="AG1958" i="12"/>
  <c r="AB75" i="12"/>
  <c r="AB718" i="12"/>
  <c r="AG719" i="12"/>
  <c r="Q781" i="12"/>
  <c r="Q2600" i="12"/>
  <c r="Q1679" i="12"/>
  <c r="Q212" i="12"/>
  <c r="Q1908" i="12"/>
  <c r="Q981" i="12"/>
  <c r="Q799" i="12"/>
  <c r="Q718" i="12"/>
  <c r="Q220" i="12"/>
  <c r="Q589" i="12"/>
  <c r="Q909" i="12"/>
  <c r="Q391" i="12"/>
  <c r="Q2831" i="12"/>
  <c r="Q659" i="12"/>
  <c r="Q1519" i="12"/>
  <c r="Q250" i="12"/>
  <c r="Q2189" i="12"/>
  <c r="Q1479" i="12"/>
  <c r="Q2741" i="12"/>
  <c r="Q2879" i="12"/>
  <c r="Q3041" i="12"/>
  <c r="Q732" i="12"/>
  <c r="Q1081" i="12"/>
  <c r="Q10" i="12"/>
  <c r="AC462" i="12"/>
  <c r="AC302" i="12"/>
  <c r="AC301" i="12" s="1"/>
  <c r="AC300" i="12" s="1"/>
  <c r="AC299" i="12" s="1"/>
  <c r="AC298" i="12" s="1"/>
  <c r="AC297" i="12" s="1"/>
  <c r="AC296" i="12" s="1"/>
  <c r="AC295" i="12" s="1"/>
  <c r="AC294" i="12" s="1"/>
  <c r="AC293" i="12" s="1"/>
  <c r="AC292" i="12" s="1"/>
  <c r="AC291" i="12" s="1"/>
  <c r="AC290" i="12" s="1"/>
  <c r="AC289" i="12" s="1"/>
  <c r="AC288" i="12" s="1"/>
  <c r="AC287" i="12" s="1"/>
  <c r="AC286" i="12" s="1"/>
  <c r="AC285" i="12" s="1"/>
  <c r="AC284" i="12" s="1"/>
  <c r="AC283" i="12" s="1"/>
  <c r="AC282" i="12" s="1"/>
  <c r="AC281" i="12" s="1"/>
  <c r="AC280" i="12" s="1"/>
  <c r="AC279" i="12" s="1"/>
  <c r="AC278" i="12" s="1"/>
  <c r="AC277" i="12" s="1"/>
  <c r="AC276" i="12" s="1"/>
  <c r="AC275" i="12" s="1"/>
  <c r="AC274" i="12" s="1"/>
  <c r="AC273" i="12" s="1"/>
  <c r="AC272" i="12" s="1"/>
  <c r="AC271" i="12" s="1"/>
  <c r="AC270" i="12" s="1"/>
  <c r="AC269" i="12" s="1"/>
  <c r="AC268" i="12" s="1"/>
  <c r="AC267" i="12" s="1"/>
  <c r="AC266" i="12" s="1"/>
  <c r="AC265" i="12" s="1"/>
  <c r="AC264" i="12" s="1"/>
  <c r="AC263" i="12" s="1"/>
  <c r="AC262" i="12" s="1"/>
  <c r="AC261" i="12" s="1"/>
  <c r="AC260" i="12" s="1"/>
  <c r="AC259" i="12" s="1"/>
  <c r="AC258" i="12" s="1"/>
  <c r="AC257" i="12" s="1"/>
  <c r="AC256" i="12" s="1"/>
  <c r="AC255" i="12" s="1"/>
  <c r="AC254" i="12" s="1"/>
  <c r="AC253" i="12" s="1"/>
  <c r="AC252" i="12" s="1"/>
  <c r="AC251" i="12" s="1"/>
  <c r="AC250" i="12" s="1"/>
  <c r="AC249" i="12" s="1"/>
  <c r="AC248" i="12" s="1"/>
  <c r="AC247" i="12" s="1"/>
  <c r="AC246" i="12" s="1"/>
  <c r="AC245" i="12" s="1"/>
  <c r="AC244" i="12" s="1"/>
  <c r="AC226" i="12"/>
  <c r="AC24" i="12"/>
  <c r="AC23" i="12" s="1"/>
  <c r="AC22" i="12" s="1"/>
  <c r="AC21" i="12" s="1"/>
  <c r="AC20" i="12" s="1"/>
  <c r="AC19" i="12" s="1"/>
  <c r="AC18" i="12" s="1"/>
  <c r="AC17" i="12" s="1"/>
  <c r="AC16" i="12" s="1"/>
  <c r="AC15" i="12" s="1"/>
  <c r="AC14" i="12" s="1"/>
  <c r="AD302" i="12"/>
  <c r="AD24" i="12"/>
  <c r="AE462" i="12"/>
  <c r="AE302" i="12"/>
  <c r="AE24" i="12"/>
  <c r="J12" i="13"/>
  <c r="AD3305" i="12" l="1"/>
  <c r="AF3306" i="12"/>
  <c r="AB3305" i="12"/>
  <c r="AG3306" i="12"/>
  <c r="O3122" i="12"/>
  <c r="Q3121" i="12"/>
  <c r="AD1553" i="12"/>
  <c r="AD1915" i="12"/>
  <c r="AF1916" i="12"/>
  <c r="AD2545" i="12"/>
  <c r="AD755" i="12"/>
  <c r="AB2475" i="12"/>
  <c r="AG2476" i="12"/>
  <c r="AD2115" i="12"/>
  <c r="AB2676" i="12"/>
  <c r="AG2677" i="12"/>
  <c r="AD1605" i="12"/>
  <c r="AB1035" i="12"/>
  <c r="AF1035" i="12" s="1"/>
  <c r="AG1036" i="12"/>
  <c r="AB765" i="12"/>
  <c r="AF765" i="12" s="1"/>
  <c r="AG766" i="12"/>
  <c r="AF1036" i="12"/>
  <c r="AD23" i="12"/>
  <c r="AF24" i="12"/>
  <c r="AB1885" i="12"/>
  <c r="AG1886" i="12"/>
  <c r="AD2605" i="12"/>
  <c r="AD2154" i="12"/>
  <c r="AF2155" i="12"/>
  <c r="AD2395" i="12"/>
  <c r="AF2957" i="12"/>
  <c r="AG2958" i="12"/>
  <c r="AB1966" i="12"/>
  <c r="AF1966" i="12" s="1"/>
  <c r="AG1967" i="12"/>
  <c r="AB1755" i="12"/>
  <c r="AG1756" i="12"/>
  <c r="AB2085" i="12"/>
  <c r="AF2085" i="12" s="1"/>
  <c r="AG2086" i="12"/>
  <c r="AD824" i="12"/>
  <c r="AB1245" i="12"/>
  <c r="AF1245" i="12" s="1"/>
  <c r="AG1246" i="12"/>
  <c r="AD995" i="12"/>
  <c r="AF996" i="12"/>
  <c r="AF2958" i="12"/>
  <c r="AB2385" i="12"/>
  <c r="AG2386" i="12"/>
  <c r="AF3107" i="12"/>
  <c r="AD1544" i="12"/>
  <c r="AB756" i="12"/>
  <c r="AF756" i="12" s="1"/>
  <c r="AG757" i="12"/>
  <c r="AD2725" i="12"/>
  <c r="AB615" i="12"/>
  <c r="AD1034" i="12"/>
  <c r="AD2184" i="12"/>
  <c r="AB2255" i="12"/>
  <c r="AF2255" i="12" s="1"/>
  <c r="AG2256" i="12"/>
  <c r="AD239" i="12"/>
  <c r="AF240" i="12"/>
  <c r="AF3006" i="12"/>
  <c r="AG3007" i="12"/>
  <c r="AB1635" i="12"/>
  <c r="AG1636" i="12"/>
  <c r="AB2106" i="12"/>
  <c r="AF2106" i="12" s="1"/>
  <c r="AG2107" i="12"/>
  <c r="AB1915" i="12"/>
  <c r="AG1916" i="12"/>
  <c r="AB717" i="12"/>
  <c r="AG718" i="12"/>
  <c r="AD2015" i="12"/>
  <c r="AD785" i="12"/>
  <c r="AF786" i="12"/>
  <c r="AD717" i="12"/>
  <c r="AF718" i="12"/>
  <c r="AB2165" i="12"/>
  <c r="AF2165" i="12" s="1"/>
  <c r="AG2166" i="12"/>
  <c r="AD2475" i="12"/>
  <c r="AF2476" i="12"/>
  <c r="AB1595" i="12"/>
  <c r="AF1595" i="12" s="1"/>
  <c r="AG1596" i="12"/>
  <c r="AB16" i="12"/>
  <c r="AB2686" i="12"/>
  <c r="AF2686" i="12" s="1"/>
  <c r="AG2687" i="12"/>
  <c r="AB1845" i="12"/>
  <c r="AG1846" i="12"/>
  <c r="AB1565" i="12"/>
  <c r="AF1565" i="12" s="1"/>
  <c r="AG1566" i="12"/>
  <c r="AB235" i="12"/>
  <c r="AD2374" i="12"/>
  <c r="AD2044" i="12"/>
  <c r="AB2445" i="12"/>
  <c r="AF2445" i="12" s="1"/>
  <c r="AG2446" i="12"/>
  <c r="AD2938" i="12"/>
  <c r="AF2939" i="12"/>
  <c r="AF2446" i="12"/>
  <c r="AD1814" i="12"/>
  <c r="AD2466" i="12"/>
  <c r="AF2467" i="12"/>
  <c r="AB1735" i="12"/>
  <c r="AF1735" i="12" s="1"/>
  <c r="AG1736" i="12"/>
  <c r="AB825" i="12"/>
  <c r="AG826" i="12"/>
  <c r="AD1664" i="12"/>
  <c r="AD1216" i="12"/>
  <c r="AF1217" i="12"/>
  <c r="AB1685" i="12"/>
  <c r="AF1685" i="12" s="1"/>
  <c r="AG1686" i="12"/>
  <c r="AD1483" i="12"/>
  <c r="AB1484" i="12"/>
  <c r="AF1484" i="12" s="1"/>
  <c r="AG1485" i="12"/>
  <c r="AD2434" i="12"/>
  <c r="AF2435" i="12"/>
  <c r="AB2055" i="12"/>
  <c r="AF2055" i="12" s="1"/>
  <c r="AG2056" i="12"/>
  <c r="AB2365" i="12"/>
  <c r="AG2366" i="12"/>
  <c r="AD1624" i="12"/>
  <c r="AB1825" i="12"/>
  <c r="AG1826" i="12"/>
  <c r="AB1706" i="12"/>
  <c r="AF1706" i="12" s="1"/>
  <c r="AG1707" i="12"/>
  <c r="AB2335" i="12"/>
  <c r="AF2335" i="12" s="1"/>
  <c r="AG2336" i="12"/>
  <c r="AB1745" i="12"/>
  <c r="AG1746" i="12"/>
  <c r="AD1734" i="12"/>
  <c r="AD1755" i="12"/>
  <c r="AF1756" i="12"/>
  <c r="AD301" i="12"/>
  <c r="AF302" i="12"/>
  <c r="AF2056" i="12"/>
  <c r="AF2166" i="12"/>
  <c r="AB2325" i="12"/>
  <c r="AF2325" i="12" s="1"/>
  <c r="AG2326" i="12"/>
  <c r="AB295" i="12"/>
  <c r="AB2546" i="12"/>
  <c r="AG2547" i="12"/>
  <c r="AB1346" i="12"/>
  <c r="AG1347" i="12"/>
  <c r="AB2536" i="12"/>
  <c r="AF2536" i="12" s="1"/>
  <c r="AG2537" i="12"/>
  <c r="AD2444" i="12"/>
  <c r="AB968" i="12"/>
  <c r="AF968" i="12" s="1"/>
  <c r="AG969" i="12"/>
  <c r="AD1804" i="12"/>
  <c r="AB785" i="12"/>
  <c r="AG786" i="12"/>
  <c r="AB1775" i="12"/>
  <c r="AG1776" i="12"/>
  <c r="AB155" i="12"/>
  <c r="AB1216" i="12"/>
  <c r="AG1217" i="12"/>
  <c r="AB1766" i="12"/>
  <c r="AF1766" i="12" s="1"/>
  <c r="AG1767" i="12"/>
  <c r="AB1275" i="12"/>
  <c r="AF1275" i="12" s="1"/>
  <c r="AG1276" i="12"/>
  <c r="AB94" i="12"/>
  <c r="AB1315" i="12"/>
  <c r="AF1315" i="12" s="1"/>
  <c r="AG1316" i="12"/>
  <c r="AB374" i="12"/>
  <c r="AD2676" i="12"/>
  <c r="AF2677" i="12"/>
  <c r="AB1625" i="12"/>
  <c r="AG1626" i="12"/>
  <c r="AB1606" i="12"/>
  <c r="AG1607" i="12"/>
  <c r="AB646" i="12"/>
  <c r="AG647" i="12"/>
  <c r="AD2254" i="12"/>
  <c r="AB486" i="12"/>
  <c r="AG487" i="12"/>
  <c r="AB74" i="12"/>
  <c r="AB995" i="12"/>
  <c r="AG996" i="12"/>
  <c r="AD7" i="12"/>
  <c r="AF8" i="12"/>
  <c r="AB1905" i="12"/>
  <c r="AF1905" i="12" s="1"/>
  <c r="AG1906" i="12"/>
  <c r="AB1874" i="12"/>
  <c r="AF1874" i="12" s="1"/>
  <c r="AG1875" i="12"/>
  <c r="AD2054" i="12"/>
  <c r="AB1815" i="12"/>
  <c r="AF1815" i="12" s="1"/>
  <c r="AG1816" i="12"/>
  <c r="AB1836" i="12"/>
  <c r="AF1836" i="12" s="1"/>
  <c r="AG1837" i="12"/>
  <c r="AD1775" i="12"/>
  <c r="AF1776" i="12"/>
  <c r="AB2185" i="12"/>
  <c r="AF2185" i="12" s="1"/>
  <c r="AG2186" i="12"/>
  <c r="AB1185" i="12"/>
  <c r="AF1185" i="12" s="1"/>
  <c r="AG1186" i="12"/>
  <c r="AD2535" i="12"/>
  <c r="AD2685" i="12"/>
  <c r="AD2164" i="12"/>
  <c r="AD2504" i="12"/>
  <c r="AB2154" i="12"/>
  <c r="AG2155" i="12"/>
  <c r="AB1415" i="12"/>
  <c r="AF1415" i="12" s="1"/>
  <c r="AG1416" i="12"/>
  <c r="AD2644" i="12"/>
  <c r="AF2645" i="12"/>
  <c r="AB1944" i="12"/>
  <c r="AG1945" i="12"/>
  <c r="AB2025" i="12"/>
  <c r="AF2025" i="12" s="1"/>
  <c r="AG2026" i="12"/>
  <c r="AB1455" i="12"/>
  <c r="AG1456" i="12"/>
  <c r="AF1596" i="12"/>
  <c r="AB1554" i="12"/>
  <c r="AG1555" i="12"/>
  <c r="AD1955" i="12"/>
  <c r="AB2434" i="12"/>
  <c r="AG2435" i="12"/>
  <c r="AB427" i="12"/>
  <c r="AD1635" i="12"/>
  <c r="AF1636" i="12"/>
  <c r="AB1805" i="12"/>
  <c r="AG1806" i="12"/>
  <c r="AB1696" i="12"/>
  <c r="AF1696" i="12" s="1"/>
  <c r="AG1697" i="12"/>
  <c r="AB1545" i="12"/>
  <c r="AF1545" i="12" s="1"/>
  <c r="AG1546" i="12"/>
  <c r="AD1184" i="12"/>
  <c r="AB334" i="12"/>
  <c r="AG335" i="12"/>
  <c r="AE620" i="12"/>
  <c r="AG621" i="12"/>
  <c r="AF1746" i="12"/>
  <c r="AF1906" i="12"/>
  <c r="AF1697" i="12"/>
  <c r="AD1765" i="12"/>
  <c r="AD2174" i="12"/>
  <c r="AF2175" i="12"/>
  <c r="AE23" i="12"/>
  <c r="AG24" i="12"/>
  <c r="AD1274" i="12"/>
  <c r="AD2365" i="12"/>
  <c r="AF2366" i="12"/>
  <c r="AG2939" i="12"/>
  <c r="AB2016" i="12"/>
  <c r="AG2017" i="12"/>
  <c r="AF2336" i="12"/>
  <c r="AF766" i="12"/>
  <c r="AD1594" i="12"/>
  <c r="AD1314" i="12"/>
  <c r="AE7" i="12"/>
  <c r="AG8" i="12"/>
  <c r="AD1614" i="12"/>
  <c r="AD1455" i="12"/>
  <c r="AF1456" i="12"/>
  <c r="AF2026" i="12"/>
  <c r="AF1875" i="12"/>
  <c r="AF1416" i="12"/>
  <c r="AF1886" i="12"/>
  <c r="AF1837" i="12"/>
  <c r="AD857" i="12"/>
  <c r="AD1744" i="12"/>
  <c r="AF1745" i="12"/>
  <c r="AD1904" i="12"/>
  <c r="AF3036" i="12"/>
  <c r="AG3037" i="12"/>
  <c r="AD1695" i="12"/>
  <c r="AB2396" i="12"/>
  <c r="AF2396" i="12" s="1"/>
  <c r="AG2397" i="12"/>
  <c r="AB2124" i="12"/>
  <c r="AG2124" i="12" s="1"/>
  <c r="AG2125" i="12"/>
  <c r="AB2375" i="12"/>
  <c r="AF2375" i="12" s="1"/>
  <c r="AG2376" i="12"/>
  <c r="AD1944" i="12"/>
  <c r="AF1945" i="12"/>
  <c r="AD2124" i="12"/>
  <c r="AF2125" i="12"/>
  <c r="AE301" i="12"/>
  <c r="AG302" i="12"/>
  <c r="AD2105" i="12"/>
  <c r="AB1956" i="12"/>
  <c r="AF1956" i="12" s="1"/>
  <c r="AG1957" i="12"/>
  <c r="AB1665" i="12"/>
  <c r="AG1666" i="12"/>
  <c r="AD2324" i="12"/>
  <c r="AD2084" i="12"/>
  <c r="AD1346" i="12"/>
  <c r="AF1347" i="12"/>
  <c r="AD1174" i="12"/>
  <c r="AB2466" i="12"/>
  <c r="AG2467" i="12"/>
  <c r="AD1564" i="12"/>
  <c r="AB2405" i="12"/>
  <c r="AF2405" i="12" s="1"/>
  <c r="AG2406" i="12"/>
  <c r="AD967" i="12"/>
  <c r="AD2385" i="12"/>
  <c r="AF2386" i="12"/>
  <c r="AB5" i="12"/>
  <c r="AB2726" i="12"/>
  <c r="AF2726" i="12" s="1"/>
  <c r="AG2727" i="12"/>
  <c r="AD1244" i="12"/>
  <c r="AB1064" i="12"/>
  <c r="AG1065" i="12"/>
  <c r="AF1707" i="12"/>
  <c r="AD2334" i="12"/>
  <c r="AF336" i="12"/>
  <c r="AD335" i="12"/>
  <c r="AB1676" i="12"/>
  <c r="AF1676" i="12" s="1"/>
  <c r="AG1677" i="12"/>
  <c r="AD764" i="12"/>
  <c r="AD1064" i="12"/>
  <c r="AF1065" i="12"/>
  <c r="AD1965" i="12"/>
  <c r="AG3107" i="12"/>
  <c r="AB2606" i="12"/>
  <c r="AG2607" i="12"/>
  <c r="AF3007" i="12"/>
  <c r="AB858" i="12"/>
  <c r="AF858" i="12" s="1"/>
  <c r="AG859" i="12"/>
  <c r="AD2024" i="12"/>
  <c r="AB2045" i="12"/>
  <c r="AF2045" i="12" s="1"/>
  <c r="AG2046" i="12"/>
  <c r="AD1873" i="12"/>
  <c r="AD1414" i="12"/>
  <c r="AD1884" i="12"/>
  <c r="AF1885" i="12"/>
  <c r="AD1675" i="12"/>
  <c r="AD1835" i="12"/>
  <c r="AD2455" i="12"/>
  <c r="AF2456" i="12"/>
  <c r="AF2406" i="12"/>
  <c r="AF28" i="12"/>
  <c r="AD27" i="12"/>
  <c r="AF2107" i="12"/>
  <c r="AD1705" i="12"/>
  <c r="AB1175" i="12"/>
  <c r="AF1175" i="12" s="1"/>
  <c r="AG1176" i="12"/>
  <c r="AB2455" i="12"/>
  <c r="AG2456" i="12"/>
  <c r="AB2174" i="12"/>
  <c r="AG2175" i="12"/>
  <c r="AF2547" i="12"/>
  <c r="AD1684" i="12"/>
  <c r="AB1895" i="12"/>
  <c r="AF1895" i="12" s="1"/>
  <c r="AG1896" i="12"/>
  <c r="AD1845" i="12"/>
  <c r="AF1846" i="12"/>
  <c r="AB2505" i="12"/>
  <c r="AF2505" i="12" s="1"/>
  <c r="AG2506" i="12"/>
  <c r="AB2116" i="12"/>
  <c r="AG2117" i="12"/>
  <c r="AD1825" i="12"/>
  <c r="AF1826" i="12"/>
  <c r="AB1615" i="12"/>
  <c r="AG1616" i="12"/>
  <c r="AB65" i="12"/>
  <c r="AB1385" i="12"/>
  <c r="AG1386" i="12"/>
  <c r="AD1894" i="12"/>
  <c r="AE239" i="12"/>
  <c r="AG240" i="12"/>
  <c r="AB2644" i="12"/>
  <c r="AG2645" i="12"/>
  <c r="AB26" i="12"/>
  <c r="AG27" i="12"/>
  <c r="AD2404" i="12"/>
  <c r="AD1384" i="12"/>
  <c r="Q782" i="12"/>
  <c r="Q213" i="12"/>
  <c r="Q2601" i="12"/>
  <c r="Q11" i="12"/>
  <c r="Q2880" i="12"/>
  <c r="Q2190" i="12"/>
  <c r="Q2832" i="12"/>
  <c r="Q221" i="12"/>
  <c r="Q1909" i="12"/>
  <c r="Q1082" i="12"/>
  <c r="Q2742" i="12"/>
  <c r="Q251" i="12"/>
  <c r="Q392" i="12"/>
  <c r="Q719" i="12"/>
  <c r="Q733" i="12"/>
  <c r="Q1480" i="12"/>
  <c r="Q1520" i="12"/>
  <c r="Q910" i="12"/>
  <c r="Q800" i="12"/>
  <c r="Q3042" i="12"/>
  <c r="Q660" i="12"/>
  <c r="Q590" i="12"/>
  <c r="Q982" i="12"/>
  <c r="Q1680" i="12"/>
  <c r="AE461" i="12"/>
  <c r="AC225" i="12"/>
  <c r="AC461" i="12"/>
  <c r="J13" i="13"/>
  <c r="AB3304" i="12" l="1"/>
  <c r="AG3305" i="12"/>
  <c r="AD3304" i="12"/>
  <c r="AF3305" i="12"/>
  <c r="O3123" i="12"/>
  <c r="Q3122" i="12"/>
  <c r="AE238" i="12"/>
  <c r="AG239" i="12"/>
  <c r="AB1614" i="12"/>
  <c r="AG1614" i="12" s="1"/>
  <c r="AG1615" i="12"/>
  <c r="AD1844" i="12"/>
  <c r="AF1845" i="12"/>
  <c r="AB2605" i="12"/>
  <c r="AF2605" i="12" s="1"/>
  <c r="AG2606" i="12"/>
  <c r="AE6" i="12"/>
  <c r="AG7" i="12"/>
  <c r="AB2015" i="12"/>
  <c r="AF2015" i="12" s="1"/>
  <c r="AG2016" i="12"/>
  <c r="AE22" i="12"/>
  <c r="AG23" i="12"/>
  <c r="AB1454" i="12"/>
  <c r="AG1455" i="12"/>
  <c r="AB1414" i="12"/>
  <c r="AF1414" i="12" s="1"/>
  <c r="AG1415" i="12"/>
  <c r="AD2684" i="12"/>
  <c r="AD1774" i="12"/>
  <c r="AF1775" i="12"/>
  <c r="AB1873" i="12"/>
  <c r="AF1873" i="12" s="1"/>
  <c r="AG1874" i="12"/>
  <c r="AB1605" i="12"/>
  <c r="AF1605" i="12" s="1"/>
  <c r="AG1606" i="12"/>
  <c r="AB1314" i="12"/>
  <c r="AF1314" i="12" s="1"/>
  <c r="AG1315" i="12"/>
  <c r="AB1215" i="12"/>
  <c r="AG1216" i="12"/>
  <c r="AD1803" i="12"/>
  <c r="AB1345" i="12"/>
  <c r="AG1346" i="12"/>
  <c r="AB1744" i="12"/>
  <c r="AF1744" i="12" s="1"/>
  <c r="AG1745" i="12"/>
  <c r="AD1623" i="12"/>
  <c r="AB1483" i="12"/>
  <c r="AF1483" i="12" s="1"/>
  <c r="AG1484" i="12"/>
  <c r="AD1663" i="12"/>
  <c r="AD2465" i="12"/>
  <c r="AF2466" i="12"/>
  <c r="AF2016" i="12"/>
  <c r="AD823" i="12"/>
  <c r="AF2956" i="12"/>
  <c r="AG2957" i="12"/>
  <c r="AB1884" i="12"/>
  <c r="AF1884" i="12" s="1"/>
  <c r="AG1885" i="12"/>
  <c r="AF1606" i="12"/>
  <c r="AD1383" i="12"/>
  <c r="AB2173" i="12"/>
  <c r="AG2173" i="12" s="1"/>
  <c r="AG2174" i="12"/>
  <c r="AF27" i="12"/>
  <c r="AD26" i="12"/>
  <c r="AD1674" i="12"/>
  <c r="AB2044" i="12"/>
  <c r="AG2045" i="12"/>
  <c r="AB1063" i="12"/>
  <c r="AG1064" i="12"/>
  <c r="AD2384" i="12"/>
  <c r="AF2385" i="12"/>
  <c r="AB2465" i="12"/>
  <c r="AG2466" i="12"/>
  <c r="AD2323" i="12"/>
  <c r="AE300" i="12"/>
  <c r="AG301" i="12"/>
  <c r="AD1903" i="12"/>
  <c r="AE619" i="12"/>
  <c r="AG620" i="12"/>
  <c r="AB1695" i="12"/>
  <c r="AF1695" i="12" s="1"/>
  <c r="AG1696" i="12"/>
  <c r="AB2433" i="12"/>
  <c r="AG2434" i="12"/>
  <c r="AD2043" i="12"/>
  <c r="AB1844" i="12"/>
  <c r="AG1844" i="12" s="1"/>
  <c r="AG1845" i="12"/>
  <c r="AD2474" i="12"/>
  <c r="AF2475" i="12"/>
  <c r="AD2014" i="12"/>
  <c r="AB1634" i="12"/>
  <c r="AG1635" i="12"/>
  <c r="AB2254" i="12"/>
  <c r="AF2254" i="12" s="1"/>
  <c r="AG2255" i="12"/>
  <c r="AD2724" i="12"/>
  <c r="AB2384" i="12"/>
  <c r="AG2385" i="12"/>
  <c r="AD1604" i="12"/>
  <c r="AD754" i="12"/>
  <c r="AD1824" i="12"/>
  <c r="AF1825" i="12"/>
  <c r="AG3106" i="12"/>
  <c r="AB1675" i="12"/>
  <c r="AG1676" i="12"/>
  <c r="AD1313" i="12"/>
  <c r="AG2938" i="12"/>
  <c r="AD2173" i="12"/>
  <c r="AF2174" i="12"/>
  <c r="AB2024" i="12"/>
  <c r="AG2024" i="12" s="1"/>
  <c r="AG2025" i="12"/>
  <c r="AB2153" i="12"/>
  <c r="AG2154" i="12"/>
  <c r="AD2534" i="12"/>
  <c r="AB1835" i="12"/>
  <c r="AF1835" i="12" s="1"/>
  <c r="AG1836" i="12"/>
  <c r="AB1904" i="12"/>
  <c r="AG1905" i="12"/>
  <c r="AB485" i="12"/>
  <c r="AG486" i="12"/>
  <c r="AB1624" i="12"/>
  <c r="AF1624" i="12" s="1"/>
  <c r="AG1625" i="12"/>
  <c r="AB93" i="12"/>
  <c r="AB154" i="12"/>
  <c r="AB967" i="12"/>
  <c r="AF967" i="12" s="1"/>
  <c r="AG968" i="12"/>
  <c r="AB2545" i="12"/>
  <c r="AF2545" i="12" s="1"/>
  <c r="AG2546" i="12"/>
  <c r="AD300" i="12"/>
  <c r="AF301" i="12"/>
  <c r="AB2334" i="12"/>
  <c r="AF2334" i="12" s="1"/>
  <c r="AG2335" i="12"/>
  <c r="AB2364" i="12"/>
  <c r="AG2365" i="12"/>
  <c r="AD1482" i="12"/>
  <c r="AB824" i="12"/>
  <c r="AG825" i="12"/>
  <c r="AD1813" i="12"/>
  <c r="AB2084" i="12"/>
  <c r="AF2084" i="12" s="1"/>
  <c r="AG2085" i="12"/>
  <c r="AD2394" i="12"/>
  <c r="AD22" i="12"/>
  <c r="AF23" i="12"/>
  <c r="AF2546" i="12"/>
  <c r="AD1893" i="12"/>
  <c r="AB2454" i="12"/>
  <c r="AG2455" i="12"/>
  <c r="AD1883" i="12"/>
  <c r="AF335" i="12"/>
  <c r="AD334" i="12"/>
  <c r="AD1243" i="12"/>
  <c r="AD966" i="12"/>
  <c r="AD1173" i="12"/>
  <c r="AB1664" i="12"/>
  <c r="AG1665" i="12"/>
  <c r="AF2124" i="12"/>
  <c r="AB2395" i="12"/>
  <c r="AF2395" i="12" s="1"/>
  <c r="AG2396" i="12"/>
  <c r="AD1743" i="12"/>
  <c r="AB333" i="12"/>
  <c r="AG334" i="12"/>
  <c r="AB1804" i="12"/>
  <c r="AG1805" i="12"/>
  <c r="AD1954" i="12"/>
  <c r="AD2373" i="12"/>
  <c r="AB2685" i="12"/>
  <c r="AG2686" i="12"/>
  <c r="AB2164" i="12"/>
  <c r="AF2164" i="12" s="1"/>
  <c r="AG2165" i="12"/>
  <c r="AB716" i="12"/>
  <c r="AG717" i="12"/>
  <c r="AD2183" i="12"/>
  <c r="AB755" i="12"/>
  <c r="AG756" i="12"/>
  <c r="AB2675" i="12"/>
  <c r="AG2676" i="12"/>
  <c r="AD2544" i="12"/>
  <c r="AB1384" i="12"/>
  <c r="AF1384" i="12" s="1"/>
  <c r="AG1385" i="12"/>
  <c r="AB2115" i="12"/>
  <c r="AF2115" i="12" s="1"/>
  <c r="AG2116" i="12"/>
  <c r="AB1894" i="12"/>
  <c r="AF1894" i="12" s="1"/>
  <c r="AG1895" i="12"/>
  <c r="AD1964" i="12"/>
  <c r="AD1454" i="12"/>
  <c r="AF1455" i="12"/>
  <c r="AD1593" i="12"/>
  <c r="AD2364" i="12"/>
  <c r="AF2365" i="12"/>
  <c r="AD1764" i="12"/>
  <c r="AB1943" i="12"/>
  <c r="AG1944" i="12"/>
  <c r="AD2503" i="12"/>
  <c r="AB1184" i="12"/>
  <c r="AF1184" i="12" s="1"/>
  <c r="AG1185" i="12"/>
  <c r="AB1814" i="12"/>
  <c r="AF1814" i="12" s="1"/>
  <c r="AG1815" i="12"/>
  <c r="AD6" i="12"/>
  <c r="AF7" i="12"/>
  <c r="AD2253" i="12"/>
  <c r="AD2675" i="12"/>
  <c r="AF2676" i="12"/>
  <c r="AB1274" i="12"/>
  <c r="AF1274" i="12" s="1"/>
  <c r="AG1275" i="12"/>
  <c r="AB1774" i="12"/>
  <c r="AG1774" i="12" s="1"/>
  <c r="AG1775" i="12"/>
  <c r="AD2443" i="12"/>
  <c r="AB294" i="12"/>
  <c r="AD1754" i="12"/>
  <c r="AF1755" i="12"/>
  <c r="AB1705" i="12"/>
  <c r="AF1705" i="12" s="1"/>
  <c r="AG1706" i="12"/>
  <c r="AB2054" i="12"/>
  <c r="AF2054" i="12" s="1"/>
  <c r="AG2055" i="12"/>
  <c r="AB1684" i="12"/>
  <c r="AG1684" i="12" s="1"/>
  <c r="AG1685" i="12"/>
  <c r="AD994" i="12"/>
  <c r="AF995" i="12"/>
  <c r="AB1754" i="12"/>
  <c r="AG1755" i="12"/>
  <c r="AD2153" i="12"/>
  <c r="AF2154" i="12"/>
  <c r="AF2116" i="12"/>
  <c r="AB1174" i="12"/>
  <c r="AF1174" i="12" s="1"/>
  <c r="AG1175" i="12"/>
  <c r="AD2454" i="12"/>
  <c r="AF2455" i="12"/>
  <c r="AD1413" i="12"/>
  <c r="AB857" i="12"/>
  <c r="AF857" i="12" s="1"/>
  <c r="AG858" i="12"/>
  <c r="AB2725" i="12"/>
  <c r="AF2725" i="12" s="1"/>
  <c r="AG2726" i="12"/>
  <c r="AB2404" i="12"/>
  <c r="AG2404" i="12" s="1"/>
  <c r="AG2405" i="12"/>
  <c r="AD1345" i="12"/>
  <c r="AF1346" i="12"/>
  <c r="AB1955" i="12"/>
  <c r="AG1956" i="12"/>
  <c r="AD1943" i="12"/>
  <c r="AF1944" i="12"/>
  <c r="AD1694" i="12"/>
  <c r="AD856" i="12"/>
  <c r="AF1615" i="12"/>
  <c r="AD1183" i="12"/>
  <c r="AD1634" i="12"/>
  <c r="AF1635" i="12"/>
  <c r="AB1553" i="12"/>
  <c r="AG1553" i="12" s="1"/>
  <c r="AG1554" i="12"/>
  <c r="AD2937" i="12"/>
  <c r="AF2938" i="12"/>
  <c r="AB234" i="12"/>
  <c r="AB15" i="12"/>
  <c r="AD716" i="12"/>
  <c r="AF717" i="12"/>
  <c r="AB1914" i="12"/>
  <c r="AG1915" i="12"/>
  <c r="AG3006" i="12"/>
  <c r="AD1033" i="12"/>
  <c r="AD1543" i="12"/>
  <c r="AF2606" i="12"/>
  <c r="AB764" i="12"/>
  <c r="AG764" i="12" s="1"/>
  <c r="AG765" i="12"/>
  <c r="AD2114" i="12"/>
  <c r="AD1914" i="12"/>
  <c r="AF1915" i="12"/>
  <c r="AB25" i="12"/>
  <c r="AG25" i="12" s="1"/>
  <c r="AG26" i="12"/>
  <c r="AB64" i="12"/>
  <c r="AB2504" i="12"/>
  <c r="AF2504" i="12" s="1"/>
  <c r="AG2505" i="12"/>
  <c r="AD1063" i="12"/>
  <c r="AF1064" i="12"/>
  <c r="AD2333" i="12"/>
  <c r="AD1273" i="12"/>
  <c r="AD2643" i="12"/>
  <c r="AF2644" i="12"/>
  <c r="AD2163" i="12"/>
  <c r="AB2184" i="12"/>
  <c r="AF2184" i="12" s="1"/>
  <c r="AG2185" i="12"/>
  <c r="AD2053" i="12"/>
  <c r="AB994" i="12"/>
  <c r="AG995" i="12"/>
  <c r="AB645" i="12"/>
  <c r="AG646" i="12"/>
  <c r="AB373" i="12"/>
  <c r="AB1765" i="12"/>
  <c r="AG1766" i="12"/>
  <c r="AB784" i="12"/>
  <c r="AG785" i="12"/>
  <c r="AB2535" i="12"/>
  <c r="AG2536" i="12"/>
  <c r="AB2324" i="12"/>
  <c r="AF2324" i="12" s="1"/>
  <c r="AG2325" i="12"/>
  <c r="AD1733" i="12"/>
  <c r="AB1824" i="12"/>
  <c r="AG1825" i="12"/>
  <c r="AD2433" i="12"/>
  <c r="AF2434" i="12"/>
  <c r="AD1215" i="12"/>
  <c r="AF1216" i="12"/>
  <c r="AB1734" i="12"/>
  <c r="AF1734" i="12" s="1"/>
  <c r="AG1735" i="12"/>
  <c r="AB1244" i="12"/>
  <c r="AG1245" i="12"/>
  <c r="AB1965" i="12"/>
  <c r="AG1966" i="12"/>
  <c r="AD2604" i="12"/>
  <c r="AF1554" i="12"/>
  <c r="AB2643" i="12"/>
  <c r="AG2644" i="12"/>
  <c r="AF1385" i="12"/>
  <c r="AD1704" i="12"/>
  <c r="AD1834" i="12"/>
  <c r="AD1872" i="12"/>
  <c r="AD1563" i="12"/>
  <c r="AD2083" i="12"/>
  <c r="AD2104" i="12"/>
  <c r="AB2374" i="12"/>
  <c r="AG2375" i="12"/>
  <c r="AG3036" i="12"/>
  <c r="AB1544" i="12"/>
  <c r="AF1544" i="12" s="1"/>
  <c r="AG1545" i="12"/>
  <c r="AB426" i="12"/>
  <c r="AF1805" i="12"/>
  <c r="AF1625" i="12"/>
  <c r="AF1665" i="12"/>
  <c r="AB2444" i="12"/>
  <c r="AG2445" i="12"/>
  <c r="AB1564" i="12"/>
  <c r="AF1564" i="12" s="1"/>
  <c r="AG1565" i="12"/>
  <c r="AB1594" i="12"/>
  <c r="AF1594" i="12" s="1"/>
  <c r="AG1595" i="12"/>
  <c r="AD784" i="12"/>
  <c r="AF785" i="12"/>
  <c r="AB2105" i="12"/>
  <c r="AG2106" i="12"/>
  <c r="AD238" i="12"/>
  <c r="AF239" i="12"/>
  <c r="AB614" i="12"/>
  <c r="AF3106" i="12"/>
  <c r="AF825" i="12"/>
  <c r="AB1034" i="12"/>
  <c r="AF1034" i="12" s="1"/>
  <c r="AG1035" i="12"/>
  <c r="AB2474" i="12"/>
  <c r="AG2474" i="12" s="1"/>
  <c r="AG2475" i="12"/>
  <c r="Q783" i="12"/>
  <c r="Q2602" i="12"/>
  <c r="Q1681" i="12"/>
  <c r="Q801" i="12"/>
  <c r="Q734" i="12"/>
  <c r="Q2743" i="12"/>
  <c r="Q2833" i="12"/>
  <c r="Q983" i="12"/>
  <c r="Q3043" i="12"/>
  <c r="Q911" i="12"/>
  <c r="Q720" i="12"/>
  <c r="Q1083" i="12"/>
  <c r="Q2191" i="12"/>
  <c r="Q591" i="12"/>
  <c r="Q1521" i="12"/>
  <c r="Q393" i="12"/>
  <c r="Q1910" i="12"/>
  <c r="Q2881" i="12"/>
  <c r="Q661" i="12"/>
  <c r="Q1481" i="12"/>
  <c r="Q252" i="12"/>
  <c r="Q222" i="12"/>
  <c r="Q12" i="12"/>
  <c r="AC460" i="12"/>
  <c r="AC224" i="12"/>
  <c r="AE460" i="12"/>
  <c r="J14" i="13"/>
  <c r="AD3303" i="12" l="1"/>
  <c r="AF3304" i="12"/>
  <c r="AB3303" i="12"/>
  <c r="AG3304" i="12"/>
  <c r="O3124" i="12"/>
  <c r="Q3123" i="12"/>
  <c r="AF2173" i="12"/>
  <c r="AF1614" i="12"/>
  <c r="AF1553" i="12"/>
  <c r="AF2024" i="12"/>
  <c r="AB2104" i="12"/>
  <c r="AF2104" i="12" s="1"/>
  <c r="AG2105" i="12"/>
  <c r="AB2443" i="12"/>
  <c r="AG2443" i="12" s="1"/>
  <c r="AG2444" i="12"/>
  <c r="AB1964" i="12"/>
  <c r="AG1964" i="12" s="1"/>
  <c r="AG1965" i="12"/>
  <c r="AD2432" i="12"/>
  <c r="AF2433" i="12"/>
  <c r="AB2534" i="12"/>
  <c r="AF2534" i="12" s="1"/>
  <c r="AG2535" i="12"/>
  <c r="AB644" i="12"/>
  <c r="AG645" i="12"/>
  <c r="AD855" i="12"/>
  <c r="AD1344" i="12"/>
  <c r="AF1345" i="12"/>
  <c r="AD1412" i="12"/>
  <c r="AF2444" i="12"/>
  <c r="AD1242" i="12"/>
  <c r="AB2083" i="12"/>
  <c r="AG2084" i="12"/>
  <c r="AB2363" i="12"/>
  <c r="AG2364" i="12"/>
  <c r="AB966" i="12"/>
  <c r="AF966" i="12" s="1"/>
  <c r="AG967" i="12"/>
  <c r="AB484" i="12"/>
  <c r="AG485" i="12"/>
  <c r="AB2152" i="12"/>
  <c r="AG2153" i="12"/>
  <c r="AD1312" i="12"/>
  <c r="AD1823" i="12"/>
  <c r="AF1824" i="12"/>
  <c r="AD822" i="12"/>
  <c r="AB1872" i="12"/>
  <c r="AF1872" i="12" s="1"/>
  <c r="AG1873" i="12"/>
  <c r="AB1453" i="12"/>
  <c r="AG1454" i="12"/>
  <c r="AD1562" i="12"/>
  <c r="AD1542" i="12"/>
  <c r="AD715" i="12"/>
  <c r="AF716" i="12"/>
  <c r="AB1753" i="12"/>
  <c r="AG1753" i="12" s="1"/>
  <c r="AG1754" i="12"/>
  <c r="AB2053" i="12"/>
  <c r="AG2053" i="12" s="1"/>
  <c r="AG2054" i="12"/>
  <c r="AD2252" i="12"/>
  <c r="AD2502" i="12"/>
  <c r="AD1592" i="12"/>
  <c r="AB2114" i="12"/>
  <c r="AG2114" i="12" s="1"/>
  <c r="AG2115" i="12"/>
  <c r="AB754" i="12"/>
  <c r="AF754" i="12" s="1"/>
  <c r="AG755" i="12"/>
  <c r="AB2163" i="12"/>
  <c r="AG2163" i="12" s="1"/>
  <c r="AG2164" i="12"/>
  <c r="AB1803" i="12"/>
  <c r="AF1803" i="12" s="1"/>
  <c r="AG1804" i="12"/>
  <c r="AF334" i="12"/>
  <c r="AD333" i="12"/>
  <c r="AF2404" i="12"/>
  <c r="AD2723" i="12"/>
  <c r="AF2474" i="12"/>
  <c r="AB1694" i="12"/>
  <c r="AF1694" i="12" s="1"/>
  <c r="AG1695" i="12"/>
  <c r="AD2322" i="12"/>
  <c r="AB2043" i="12"/>
  <c r="AF2043" i="12" s="1"/>
  <c r="AG2044" i="12"/>
  <c r="AD1382" i="12"/>
  <c r="AB1214" i="12"/>
  <c r="AG1215" i="12"/>
  <c r="AB2604" i="12"/>
  <c r="AF2604" i="12" s="1"/>
  <c r="AG2605" i="12"/>
  <c r="AF3034" i="12"/>
  <c r="AG3035" i="12"/>
  <c r="AD1062" i="12"/>
  <c r="AF1063" i="12"/>
  <c r="AF3105" i="12"/>
  <c r="AD783" i="12"/>
  <c r="AF784" i="12"/>
  <c r="AB1243" i="12"/>
  <c r="AF1243" i="12" s="1"/>
  <c r="AG1244" i="12"/>
  <c r="AB1823" i="12"/>
  <c r="AG1823" i="12" s="1"/>
  <c r="AG1824" i="12"/>
  <c r="AB783" i="12"/>
  <c r="AG784" i="12"/>
  <c r="AB993" i="12"/>
  <c r="AG994" i="12"/>
  <c r="AD2642" i="12"/>
  <c r="AF2643" i="12"/>
  <c r="AF1684" i="12"/>
  <c r="AD1913" i="12"/>
  <c r="AF1914" i="12"/>
  <c r="AD1693" i="12"/>
  <c r="AD2453" i="12"/>
  <c r="AF2454" i="12"/>
  <c r="AB1663" i="12"/>
  <c r="AF1663" i="12" s="1"/>
  <c r="AG1664" i="12"/>
  <c r="AB2333" i="12"/>
  <c r="AG2333" i="12" s="1"/>
  <c r="AG2334" i="12"/>
  <c r="AB153" i="12"/>
  <c r="AB1903" i="12"/>
  <c r="AG1903" i="12" s="1"/>
  <c r="AG1904" i="12"/>
  <c r="AB1674" i="12"/>
  <c r="AF1674" i="12" s="1"/>
  <c r="AG1675" i="12"/>
  <c r="AF755" i="12"/>
  <c r="AF1675" i="12"/>
  <c r="AF1774" i="12"/>
  <c r="AE21" i="12"/>
  <c r="AG22" i="12"/>
  <c r="AB2373" i="12"/>
  <c r="AG2373" i="12" s="1"/>
  <c r="AG2374" i="12"/>
  <c r="AB2642" i="12"/>
  <c r="AG2643" i="12"/>
  <c r="AD1032" i="12"/>
  <c r="AB14" i="12"/>
  <c r="AD1633" i="12"/>
  <c r="AF1634" i="12"/>
  <c r="AD993" i="12"/>
  <c r="AF994" i="12"/>
  <c r="AB1704" i="12"/>
  <c r="AG1704" i="12" s="1"/>
  <c r="AG1705" i="12"/>
  <c r="AD5" i="12"/>
  <c r="AF5" i="12" s="1"/>
  <c r="AF6" i="12"/>
  <c r="AB1942" i="12"/>
  <c r="AG1943" i="12"/>
  <c r="AD1453" i="12"/>
  <c r="AF1454" i="12"/>
  <c r="AB1383" i="12"/>
  <c r="AG1384" i="12"/>
  <c r="AB2684" i="12"/>
  <c r="AG2684" i="12" s="1"/>
  <c r="AG2685" i="12"/>
  <c r="AB332" i="12"/>
  <c r="AG333" i="12"/>
  <c r="AD753" i="12"/>
  <c r="AB2253" i="12"/>
  <c r="AF2253" i="12" s="1"/>
  <c r="AG2254" i="12"/>
  <c r="AE618" i="12"/>
  <c r="AG619" i="12"/>
  <c r="AB2464" i="12"/>
  <c r="AG2465" i="12"/>
  <c r="AD1673" i="12"/>
  <c r="AD2464" i="12"/>
  <c r="AF2465" i="12"/>
  <c r="AB1743" i="12"/>
  <c r="AG1743" i="12" s="1"/>
  <c r="AG1744" i="12"/>
  <c r="AB1313" i="12"/>
  <c r="AG1314" i="12"/>
  <c r="AF2685" i="12"/>
  <c r="AF1844" i="12"/>
  <c r="AB613" i="12"/>
  <c r="AB1593" i="12"/>
  <c r="AF1593" i="12" s="1"/>
  <c r="AG1594" i="12"/>
  <c r="AF2105" i="12"/>
  <c r="AD1871" i="12"/>
  <c r="AB1733" i="12"/>
  <c r="AG1734" i="12"/>
  <c r="AD1732" i="12"/>
  <c r="AB1764" i="12"/>
  <c r="AF1764" i="12" s="1"/>
  <c r="AG1765" i="12"/>
  <c r="AD1272" i="12"/>
  <c r="AB2503" i="12"/>
  <c r="AG2504" i="12"/>
  <c r="AD1942" i="12"/>
  <c r="AF1943" i="12"/>
  <c r="AB2724" i="12"/>
  <c r="AG2725" i="12"/>
  <c r="AB1173" i="12"/>
  <c r="AG1174" i="12"/>
  <c r="AF1765" i="12"/>
  <c r="AF1965" i="12"/>
  <c r="AF3035" i="12"/>
  <c r="AF2374" i="12"/>
  <c r="AD1172" i="12"/>
  <c r="AD21" i="12"/>
  <c r="AF22" i="12"/>
  <c r="AB823" i="12"/>
  <c r="AF823" i="12" s="1"/>
  <c r="AG824" i="12"/>
  <c r="AD299" i="12"/>
  <c r="AF300" i="12"/>
  <c r="AB92" i="12"/>
  <c r="AB1834" i="12"/>
  <c r="AF1834" i="12" s="1"/>
  <c r="AG1835" i="12"/>
  <c r="AG3105" i="12"/>
  <c r="AF2044" i="12"/>
  <c r="AF1904" i="12"/>
  <c r="AF26" i="12"/>
  <c r="AD25" i="12"/>
  <c r="AF25" i="12" s="1"/>
  <c r="AB1883" i="12"/>
  <c r="AF1883" i="12" s="1"/>
  <c r="AG1884" i="12"/>
  <c r="AF1664" i="12"/>
  <c r="AB2014" i="12"/>
  <c r="AF2014" i="12" s="1"/>
  <c r="AG2015" i="12"/>
  <c r="AB425" i="12"/>
  <c r="AF3004" i="12"/>
  <c r="AG3005" i="12"/>
  <c r="AB233" i="12"/>
  <c r="AD1753" i="12"/>
  <c r="AF1754" i="12"/>
  <c r="AB1273" i="12"/>
  <c r="AF1273" i="12" s="1"/>
  <c r="AG1274" i="12"/>
  <c r="AB1813" i="12"/>
  <c r="AG1813" i="12" s="1"/>
  <c r="AG1814" i="12"/>
  <c r="AD1763" i="12"/>
  <c r="AF2373" i="12"/>
  <c r="AD1882" i="12"/>
  <c r="AF2535" i="12"/>
  <c r="AF3005" i="12"/>
  <c r="AD1603" i="12"/>
  <c r="AB1633" i="12"/>
  <c r="AG1633" i="12" s="1"/>
  <c r="AG1634" i="12"/>
  <c r="AD2042" i="12"/>
  <c r="AD2383" i="12"/>
  <c r="AF2384" i="12"/>
  <c r="AD1662" i="12"/>
  <c r="AB1344" i="12"/>
  <c r="AG1345" i="12"/>
  <c r="AB1604" i="12"/>
  <c r="AF1604" i="12" s="1"/>
  <c r="AG1605" i="12"/>
  <c r="AD2103" i="12"/>
  <c r="AD237" i="12"/>
  <c r="AF238" i="12"/>
  <c r="AB1563" i="12"/>
  <c r="AF1563" i="12" s="1"/>
  <c r="AG1564" i="12"/>
  <c r="AD1833" i="12"/>
  <c r="AD2603" i="12"/>
  <c r="AD1214" i="12"/>
  <c r="AF1215" i="12"/>
  <c r="AB2323" i="12"/>
  <c r="AF2323" i="12" s="1"/>
  <c r="AG2324" i="12"/>
  <c r="AB372" i="12"/>
  <c r="AB2183" i="12"/>
  <c r="AG2183" i="12" s="1"/>
  <c r="AG2184" i="12"/>
  <c r="AB63" i="12"/>
  <c r="AB1954" i="12"/>
  <c r="AF1954" i="12" s="1"/>
  <c r="AG1955" i="12"/>
  <c r="AB856" i="12"/>
  <c r="AF856" i="12" s="1"/>
  <c r="AG857" i="12"/>
  <c r="AF1955" i="12"/>
  <c r="AD965" i="12"/>
  <c r="AD2393" i="12"/>
  <c r="AD1481" i="12"/>
  <c r="AB2544" i="12"/>
  <c r="AG2544" i="12" s="1"/>
  <c r="AG2545" i="12"/>
  <c r="AB1623" i="12"/>
  <c r="AG1623" i="12" s="1"/>
  <c r="AG1624" i="12"/>
  <c r="AD2533" i="12"/>
  <c r="AG2937" i="12"/>
  <c r="AG2956" i="12"/>
  <c r="AF1804" i="12"/>
  <c r="AB1413" i="12"/>
  <c r="AF1413" i="12" s="1"/>
  <c r="AG1414" i="12"/>
  <c r="AE5" i="12"/>
  <c r="AG5" i="12" s="1"/>
  <c r="AG6" i="12"/>
  <c r="AB1033" i="12"/>
  <c r="AF1033" i="12" s="1"/>
  <c r="AG1034" i="12"/>
  <c r="AB1543" i="12"/>
  <c r="AF1543" i="12" s="1"/>
  <c r="AG1544" i="12"/>
  <c r="AD2082" i="12"/>
  <c r="AF2083" i="12"/>
  <c r="AB1913" i="12"/>
  <c r="AG1913" i="12" s="1"/>
  <c r="AG1914" i="12"/>
  <c r="AD2936" i="12"/>
  <c r="AF2937" i="12"/>
  <c r="AD2152" i="12"/>
  <c r="AF2153" i="12"/>
  <c r="AB293" i="12"/>
  <c r="AD2674" i="12"/>
  <c r="AF2675" i="12"/>
  <c r="AB1183" i="12"/>
  <c r="AG1183" i="12" s="1"/>
  <c r="AG1184" i="12"/>
  <c r="AD2363" i="12"/>
  <c r="AF2364" i="12"/>
  <c r="AB1893" i="12"/>
  <c r="AG1893" i="12" s="1"/>
  <c r="AG1894" i="12"/>
  <c r="AB2674" i="12"/>
  <c r="AG2675" i="12"/>
  <c r="AB715" i="12"/>
  <c r="AG716" i="12"/>
  <c r="AD1953" i="12"/>
  <c r="AB2394" i="12"/>
  <c r="AG2395" i="12"/>
  <c r="AF1244" i="12"/>
  <c r="AB2453" i="12"/>
  <c r="AG2453" i="12" s="1"/>
  <c r="AG2454" i="12"/>
  <c r="AB2383" i="12"/>
  <c r="AG2383" i="12" s="1"/>
  <c r="AG2384" i="12"/>
  <c r="AD2013" i="12"/>
  <c r="AB2432" i="12"/>
  <c r="AG2433" i="12"/>
  <c r="AE299" i="12"/>
  <c r="AG300" i="12"/>
  <c r="AB1062" i="12"/>
  <c r="AG1063" i="12"/>
  <c r="AF824" i="12"/>
  <c r="AB1482" i="12"/>
  <c r="AF1482" i="12" s="1"/>
  <c r="AG1483" i="12"/>
  <c r="AD1802" i="12"/>
  <c r="AF764" i="12"/>
  <c r="AE237" i="12"/>
  <c r="AG238" i="12"/>
  <c r="Q784" i="12"/>
  <c r="Q2603" i="12"/>
  <c r="Q13" i="12"/>
  <c r="Q394" i="12"/>
  <c r="Q912" i="12"/>
  <c r="Q2744" i="12"/>
  <c r="Q223" i="12"/>
  <c r="Q662" i="12"/>
  <c r="Q1522" i="12"/>
  <c r="Q2192" i="12"/>
  <c r="Q3044" i="12"/>
  <c r="Q735" i="12"/>
  <c r="Q253" i="12"/>
  <c r="Q2882" i="12"/>
  <c r="Q1084" i="12"/>
  <c r="Q984" i="12"/>
  <c r="Q802" i="12"/>
  <c r="Q1482" i="12"/>
  <c r="Q1911" i="12"/>
  <c r="Q592" i="12"/>
  <c r="Q721" i="12"/>
  <c r="Q2834" i="12"/>
  <c r="Q1682" i="12"/>
  <c r="AE459" i="12"/>
  <c r="AC223" i="12"/>
  <c r="AC459" i="12"/>
  <c r="J15" i="13"/>
  <c r="AF2443" i="12" l="1"/>
  <c r="AF2333" i="12"/>
  <c r="AF1753" i="12"/>
  <c r="AF2114" i="12"/>
  <c r="AB3302" i="12"/>
  <c r="AG3303" i="12"/>
  <c r="AD3302" i="12"/>
  <c r="AF3303" i="12"/>
  <c r="O3125" i="12"/>
  <c r="Q3124" i="12"/>
  <c r="AF1903" i="12"/>
  <c r="AF1743" i="12"/>
  <c r="AF1964" i="12"/>
  <c r="AF2053" i="12"/>
  <c r="AF2684" i="12"/>
  <c r="AF1893" i="12"/>
  <c r="AF2544" i="12"/>
  <c r="AF2383" i="12"/>
  <c r="AE236" i="12"/>
  <c r="AG237" i="12"/>
  <c r="AB1061" i="12"/>
  <c r="AG1062" i="12"/>
  <c r="AB1542" i="12"/>
  <c r="AF1542" i="12" s="1"/>
  <c r="AG1543" i="12"/>
  <c r="AB62" i="12"/>
  <c r="AD1213" i="12"/>
  <c r="AF1214" i="12"/>
  <c r="AD236" i="12"/>
  <c r="AF237" i="12"/>
  <c r="AD1661" i="12"/>
  <c r="AB232" i="12"/>
  <c r="AG3104" i="12"/>
  <c r="AB822" i="12"/>
  <c r="AG823" i="12"/>
  <c r="AD1731" i="12"/>
  <c r="AF2183" i="12"/>
  <c r="AE20" i="12"/>
  <c r="AG21" i="12"/>
  <c r="AF2453" i="12"/>
  <c r="AB2042" i="12"/>
  <c r="AF2042" i="12" s="1"/>
  <c r="AG2043" i="12"/>
  <c r="AD714" i="12"/>
  <c r="AF715" i="12"/>
  <c r="AB1871" i="12"/>
  <c r="AF1871" i="12" s="1"/>
  <c r="AG1872" i="12"/>
  <c r="AB2151" i="12"/>
  <c r="AG2152" i="12"/>
  <c r="AB2082" i="12"/>
  <c r="AF2082" i="12" s="1"/>
  <c r="AG2083" i="12"/>
  <c r="AD2431" i="12"/>
  <c r="AF2432" i="12"/>
  <c r="AD782" i="12"/>
  <c r="AF783" i="12"/>
  <c r="AB1732" i="12"/>
  <c r="AF1732" i="12" s="1"/>
  <c r="AG1733" i="12"/>
  <c r="AB1382" i="12"/>
  <c r="AF1382" i="12" s="1"/>
  <c r="AG1383" i="12"/>
  <c r="AD1031" i="12"/>
  <c r="AD2321" i="12"/>
  <c r="AF333" i="12"/>
  <c r="AD332" i="12"/>
  <c r="AD1541" i="12"/>
  <c r="AD821" i="12"/>
  <c r="AB483" i="12"/>
  <c r="AG484" i="12"/>
  <c r="AD1241" i="12"/>
  <c r="AF2163" i="12"/>
  <c r="AB1172" i="12"/>
  <c r="AG1173" i="12"/>
  <c r="AD1801" i="12"/>
  <c r="AB2673" i="12"/>
  <c r="AG2674" i="12"/>
  <c r="AD2673" i="12"/>
  <c r="AF2674" i="12"/>
  <c r="AF1173" i="12"/>
  <c r="AD1271" i="12"/>
  <c r="AD752" i="12"/>
  <c r="AB782" i="12"/>
  <c r="AG783" i="12"/>
  <c r="AF3104" i="12"/>
  <c r="AB1213" i="12"/>
  <c r="AG1214" i="12"/>
  <c r="AF1704" i="12"/>
  <c r="AG2955" i="12"/>
  <c r="AB1272" i="12"/>
  <c r="AG1273" i="12"/>
  <c r="AD2463" i="12"/>
  <c r="AF2464" i="12"/>
  <c r="AB2603" i="12"/>
  <c r="AF2603" i="12" s="1"/>
  <c r="AG2604" i="12"/>
  <c r="AE298" i="12"/>
  <c r="AG299" i="12"/>
  <c r="AD2102" i="12"/>
  <c r="AD20" i="12"/>
  <c r="AF21" i="12"/>
  <c r="AB2431" i="12"/>
  <c r="AG2432" i="12"/>
  <c r="AB855" i="12"/>
  <c r="AF855" i="12" s="1"/>
  <c r="AG856" i="12"/>
  <c r="AB371" i="12"/>
  <c r="AB1603" i="12"/>
  <c r="AG1603" i="12" s="1"/>
  <c r="AG1604" i="12"/>
  <c r="AF2955" i="12"/>
  <c r="AB424" i="12"/>
  <c r="AB91" i="12"/>
  <c r="AD1171" i="12"/>
  <c r="AB2723" i="12"/>
  <c r="AF2723" i="12" s="1"/>
  <c r="AG2724" i="12"/>
  <c r="AD1870" i="12"/>
  <c r="AD1452" i="12"/>
  <c r="AF1453" i="12"/>
  <c r="AD992" i="12"/>
  <c r="AF993" i="12"/>
  <c r="AB2641" i="12"/>
  <c r="AG2642" i="12"/>
  <c r="AF1813" i="12"/>
  <c r="AF1913" i="12"/>
  <c r="AF1623" i="12"/>
  <c r="AB1693" i="12"/>
  <c r="AG1693" i="12" s="1"/>
  <c r="AG1694" i="12"/>
  <c r="AF1823" i="12"/>
  <c r="AB965" i="12"/>
  <c r="AF965" i="12" s="1"/>
  <c r="AG966" i="12"/>
  <c r="AB643" i="12"/>
  <c r="AG644" i="12"/>
  <c r="AB714" i="12"/>
  <c r="AG715" i="12"/>
  <c r="AD964" i="12"/>
  <c r="AB2502" i="12"/>
  <c r="AF2502" i="12" s="1"/>
  <c r="AG2503" i="12"/>
  <c r="AB152" i="12"/>
  <c r="AD2251" i="12"/>
  <c r="AF3003" i="12"/>
  <c r="AG3004" i="12"/>
  <c r="AB1481" i="12"/>
  <c r="AF1481" i="12" s="1"/>
  <c r="AG1482" i="12"/>
  <c r="AB2393" i="12"/>
  <c r="AG2393" i="12" s="1"/>
  <c r="AG2394" i="12"/>
  <c r="AB292" i="12"/>
  <c r="AB2935" i="12"/>
  <c r="AG2936" i="12"/>
  <c r="AD1480" i="12"/>
  <c r="AD2041" i="12"/>
  <c r="AF2954" i="12"/>
  <c r="AB1312" i="12"/>
  <c r="AF1312" i="12" s="1"/>
  <c r="AG1313" i="12"/>
  <c r="AB2463" i="12"/>
  <c r="AG2463" i="12" s="1"/>
  <c r="AG2464" i="12"/>
  <c r="AB331" i="12"/>
  <c r="AG332" i="12"/>
  <c r="AB1673" i="12"/>
  <c r="AG1673" i="12" s="1"/>
  <c r="AG1674" i="12"/>
  <c r="AD1061" i="12"/>
  <c r="AF1062" i="12"/>
  <c r="AF1383" i="12"/>
  <c r="AB1802" i="12"/>
  <c r="AG1803" i="12"/>
  <c r="AD1591" i="12"/>
  <c r="AF1313" i="12"/>
  <c r="AD1411" i="12"/>
  <c r="AD2935" i="12"/>
  <c r="AF2936" i="12"/>
  <c r="AB2252" i="12"/>
  <c r="AF2252" i="12" s="1"/>
  <c r="AG2253" i="12"/>
  <c r="AD854" i="12"/>
  <c r="AB1032" i="12"/>
  <c r="AF1032" i="12" s="1"/>
  <c r="AG1033" i="12"/>
  <c r="AD2602" i="12"/>
  <c r="AB1882" i="12"/>
  <c r="AG1882" i="12" s="1"/>
  <c r="AG1883" i="12"/>
  <c r="AD2012" i="12"/>
  <c r="AD2081" i="12"/>
  <c r="AB1412" i="12"/>
  <c r="AF1412" i="12" s="1"/>
  <c r="AG1413" i="12"/>
  <c r="AF2394" i="12"/>
  <c r="AB1953" i="12"/>
  <c r="AG1953" i="12" s="1"/>
  <c r="AG1954" i="12"/>
  <c r="AB2322" i="12"/>
  <c r="AG2323" i="12"/>
  <c r="AB1562" i="12"/>
  <c r="AG1562" i="12" s="1"/>
  <c r="AG1563" i="12"/>
  <c r="AB1343" i="12"/>
  <c r="AG1344" i="12"/>
  <c r="AF1183" i="12"/>
  <c r="AB2013" i="12"/>
  <c r="AF2013" i="12" s="1"/>
  <c r="AG2014" i="12"/>
  <c r="AD298" i="12"/>
  <c r="AF299" i="12"/>
  <c r="AD1941" i="12"/>
  <c r="AF1942" i="12"/>
  <c r="AB1763" i="12"/>
  <c r="AG1763" i="12" s="1"/>
  <c r="AG1764" i="12"/>
  <c r="AB1941" i="12"/>
  <c r="AG1942" i="12"/>
  <c r="AF1633" i="12"/>
  <c r="AB1662" i="12"/>
  <c r="AF1662" i="12" s="1"/>
  <c r="AG1663" i="12"/>
  <c r="AD1381" i="12"/>
  <c r="AF2724" i="12"/>
  <c r="AF2503" i="12"/>
  <c r="AB1452" i="12"/>
  <c r="AG1453" i="12"/>
  <c r="AD1311" i="12"/>
  <c r="AB2362" i="12"/>
  <c r="AG2363" i="12"/>
  <c r="AB2533" i="12"/>
  <c r="AF2533" i="12" s="1"/>
  <c r="AG2534" i="12"/>
  <c r="AB612" i="12"/>
  <c r="AB992" i="12"/>
  <c r="AG993" i="12"/>
  <c r="AB753" i="12"/>
  <c r="AF753" i="12" s="1"/>
  <c r="AG754" i="12"/>
  <c r="AB1833" i="12"/>
  <c r="AG1833" i="12" s="1"/>
  <c r="AG1834" i="12"/>
  <c r="AD2362" i="12"/>
  <c r="AF2363" i="12"/>
  <c r="AD2151" i="12"/>
  <c r="AF2152" i="12"/>
  <c r="AD2532" i="12"/>
  <c r="AF1733" i="12"/>
  <c r="AB1592" i="12"/>
  <c r="AG1593" i="12"/>
  <c r="AE617" i="12"/>
  <c r="AG618" i="12"/>
  <c r="AD2641" i="12"/>
  <c r="AF2642" i="12"/>
  <c r="AB1242" i="12"/>
  <c r="AG1243" i="12"/>
  <c r="AG3034" i="12"/>
  <c r="AD2722" i="12"/>
  <c r="AD2501" i="12"/>
  <c r="AD1343" i="12"/>
  <c r="AF1344" i="12"/>
  <c r="AB2103" i="12"/>
  <c r="AG2104" i="12"/>
  <c r="Q785" i="12"/>
  <c r="Q2604" i="12"/>
  <c r="Q1683" i="12"/>
  <c r="Q1912" i="12"/>
  <c r="Q1085" i="12"/>
  <c r="Q736" i="12"/>
  <c r="Q663" i="12"/>
  <c r="Q2835" i="12"/>
  <c r="Q1483" i="12"/>
  <c r="Q3045" i="12"/>
  <c r="Q224" i="12"/>
  <c r="Q395" i="12"/>
  <c r="Q722" i="12"/>
  <c r="Q803" i="12"/>
  <c r="Q2883" i="12"/>
  <c r="Q2193" i="12"/>
  <c r="Q2745" i="12"/>
  <c r="Q593" i="12"/>
  <c r="Q985" i="12"/>
  <c r="Q254" i="12"/>
  <c r="Q1523" i="12"/>
  <c r="Q913" i="12"/>
  <c r="Q14" i="12"/>
  <c r="AC458" i="12"/>
  <c r="AC222" i="12"/>
  <c r="AE458" i="12"/>
  <c r="J16" i="13"/>
  <c r="AD3301" i="12" l="1"/>
  <c r="AF3302" i="12"/>
  <c r="AB3301" i="12"/>
  <c r="AG3302" i="12"/>
  <c r="O3126" i="12"/>
  <c r="Q3125" i="12"/>
  <c r="AF1953" i="12"/>
  <c r="AD297" i="12"/>
  <c r="AF298" i="12"/>
  <c r="AB151" i="12"/>
  <c r="AB991" i="12"/>
  <c r="AG992" i="12"/>
  <c r="AD1310" i="12"/>
  <c r="AB1661" i="12"/>
  <c r="AF1661" i="12" s="1"/>
  <c r="AG1662" i="12"/>
  <c r="AB1801" i="12"/>
  <c r="AF1801" i="12" s="1"/>
  <c r="AG1802" i="12"/>
  <c r="AD1451" i="12"/>
  <c r="AF1452" i="12"/>
  <c r="AB90" i="12"/>
  <c r="AB370" i="12"/>
  <c r="AD2101" i="12"/>
  <c r="AB1271" i="12"/>
  <c r="AF1271" i="12" s="1"/>
  <c r="AG1272" i="12"/>
  <c r="AD820" i="12"/>
  <c r="AB231" i="12"/>
  <c r="AB61" i="12"/>
  <c r="AG3033" i="12"/>
  <c r="AD2934" i="12"/>
  <c r="AF2935" i="12"/>
  <c r="AB781" i="12"/>
  <c r="AG782" i="12"/>
  <c r="AD1030" i="12"/>
  <c r="AD2430" i="12"/>
  <c r="AF2431" i="12"/>
  <c r="AD713" i="12"/>
  <c r="AF714" i="12"/>
  <c r="AB611" i="12"/>
  <c r="AB1451" i="12"/>
  <c r="AG1452" i="12"/>
  <c r="AB2321" i="12"/>
  <c r="AF2321" i="12" s="1"/>
  <c r="AG2322" i="12"/>
  <c r="AD1869" i="12"/>
  <c r="AB423" i="12"/>
  <c r="AB854" i="12"/>
  <c r="AF854" i="12" s="1"/>
  <c r="AG855" i="12"/>
  <c r="AE297" i="12"/>
  <c r="AG298" i="12"/>
  <c r="AG2954" i="12"/>
  <c r="AD1540" i="12"/>
  <c r="AD1730" i="12"/>
  <c r="AD1660" i="12"/>
  <c r="AB1541" i="12"/>
  <c r="AG1542" i="12"/>
  <c r="AB1591" i="12"/>
  <c r="AF1591" i="12" s="1"/>
  <c r="AG1592" i="12"/>
  <c r="AD2040" i="12"/>
  <c r="AB1171" i="12"/>
  <c r="AF1171" i="12" s="1"/>
  <c r="AG1172" i="12"/>
  <c r="AD1342" i="12"/>
  <c r="AF1343" i="12"/>
  <c r="AB1241" i="12"/>
  <c r="AF1241" i="12" s="1"/>
  <c r="AG1242" i="12"/>
  <c r="AF2393" i="12"/>
  <c r="AB1940" i="12"/>
  <c r="AG1941" i="12"/>
  <c r="AB2012" i="12"/>
  <c r="AF2012" i="12" s="1"/>
  <c r="AG2013" i="12"/>
  <c r="AD2011" i="12"/>
  <c r="AD853" i="12"/>
  <c r="AD1410" i="12"/>
  <c r="AD1060" i="12"/>
  <c r="AF1061" i="12"/>
  <c r="AB1311" i="12"/>
  <c r="AG1312" i="12"/>
  <c r="AD1479" i="12"/>
  <c r="AB1480" i="12"/>
  <c r="AF1480" i="12" s="1"/>
  <c r="AG1481" i="12"/>
  <c r="AB2501" i="12"/>
  <c r="AF2501" i="12" s="1"/>
  <c r="AG2502" i="12"/>
  <c r="AB964" i="12"/>
  <c r="AF964" i="12" s="1"/>
  <c r="AG965" i="12"/>
  <c r="AD751" i="12"/>
  <c r="AD2672" i="12"/>
  <c r="AF2673" i="12"/>
  <c r="AF1242" i="12"/>
  <c r="AD331" i="12"/>
  <c r="AF332" i="12"/>
  <c r="AB1381" i="12"/>
  <c r="AF1381" i="12" s="1"/>
  <c r="AG1382" i="12"/>
  <c r="AB2081" i="12"/>
  <c r="AF2081" i="12" s="1"/>
  <c r="AG2082" i="12"/>
  <c r="AB2041" i="12"/>
  <c r="AG2042" i="12"/>
  <c r="AD2080" i="12"/>
  <c r="AB642" i="12"/>
  <c r="AG643" i="12"/>
  <c r="AB2532" i="12"/>
  <c r="AF2532" i="12" s="1"/>
  <c r="AG2533" i="12"/>
  <c r="AB2640" i="12"/>
  <c r="AG2641" i="12"/>
  <c r="AB2722" i="12"/>
  <c r="AF2722" i="12" s="1"/>
  <c r="AG2723" i="12"/>
  <c r="AB2430" i="12"/>
  <c r="AG2431" i="12"/>
  <c r="AB2602" i="12"/>
  <c r="AF2602" i="12" s="1"/>
  <c r="AG2603" i="12"/>
  <c r="AF1673" i="12"/>
  <c r="AD1240" i="12"/>
  <c r="AB821" i="12"/>
  <c r="AG822" i="12"/>
  <c r="AD235" i="12"/>
  <c r="AF236" i="12"/>
  <c r="AB1060" i="12"/>
  <c r="AG1061" i="12"/>
  <c r="AB1031" i="12"/>
  <c r="AG1032" i="12"/>
  <c r="AD2500" i="12"/>
  <c r="AD2640" i="12"/>
  <c r="AF2641" i="12"/>
  <c r="AD2531" i="12"/>
  <c r="AB2251" i="12"/>
  <c r="AF2251" i="12" s="1"/>
  <c r="AG2252" i="12"/>
  <c r="AF1592" i="12"/>
  <c r="AB2934" i="12"/>
  <c r="AG2935" i="12"/>
  <c r="AG3003" i="12"/>
  <c r="AD963" i="12"/>
  <c r="AF1562" i="12"/>
  <c r="AF1172" i="12"/>
  <c r="AB1212" i="12"/>
  <c r="AG1213" i="12"/>
  <c r="AF1272" i="12"/>
  <c r="AB2672" i="12"/>
  <c r="AG2673" i="12"/>
  <c r="AF2322" i="12"/>
  <c r="AB1731" i="12"/>
  <c r="AF1731" i="12" s="1"/>
  <c r="AG1732" i="12"/>
  <c r="AB2150" i="12"/>
  <c r="AG2151" i="12"/>
  <c r="AB2102" i="12"/>
  <c r="AG2103" i="12"/>
  <c r="AB752" i="12"/>
  <c r="AF752" i="12" s="1"/>
  <c r="AG753" i="12"/>
  <c r="AB2361" i="12"/>
  <c r="AG2362" i="12"/>
  <c r="AD1380" i="12"/>
  <c r="AB1342" i="12"/>
  <c r="AG1343" i="12"/>
  <c r="AF3033" i="12"/>
  <c r="AD1590" i="12"/>
  <c r="AF1763" i="12"/>
  <c r="AD991" i="12"/>
  <c r="AF992" i="12"/>
  <c r="AD1170" i="12"/>
  <c r="AF1833" i="12"/>
  <c r="AD19" i="12"/>
  <c r="AF20" i="12"/>
  <c r="AF2463" i="12"/>
  <c r="AD1270" i="12"/>
  <c r="AF1802" i="12"/>
  <c r="AB482" i="12"/>
  <c r="AG483" i="12"/>
  <c r="AD2320" i="12"/>
  <c r="AE19" i="12"/>
  <c r="AG20" i="12"/>
  <c r="AG3103" i="12"/>
  <c r="AD1212" i="12"/>
  <c r="AF1213" i="12"/>
  <c r="AE235" i="12"/>
  <c r="AG236" i="12"/>
  <c r="AD2361" i="12"/>
  <c r="AF2362" i="12"/>
  <c r="AD2721" i="12"/>
  <c r="AE616" i="12"/>
  <c r="AG617" i="12"/>
  <c r="AD2150" i="12"/>
  <c r="AF2151" i="12"/>
  <c r="AD1940" i="12"/>
  <c r="AF1941" i="12"/>
  <c r="AB1411" i="12"/>
  <c r="AG1412" i="12"/>
  <c r="AD2601" i="12"/>
  <c r="AF3032" i="12"/>
  <c r="AB330" i="12"/>
  <c r="AG331" i="12"/>
  <c r="AF1882" i="12"/>
  <c r="AB291" i="12"/>
  <c r="AD2250" i="12"/>
  <c r="AB713" i="12"/>
  <c r="AG714" i="12"/>
  <c r="AF2103" i="12"/>
  <c r="AF3103" i="12"/>
  <c r="AD1800" i="12"/>
  <c r="AF822" i="12"/>
  <c r="AF1693" i="12"/>
  <c r="AD781" i="12"/>
  <c r="AF782" i="12"/>
  <c r="AB1870" i="12"/>
  <c r="AF1870" i="12" s="1"/>
  <c r="AG1871" i="12"/>
  <c r="AF1603" i="12"/>
  <c r="Q786" i="12"/>
  <c r="Q2605" i="12"/>
  <c r="Q15" i="12"/>
  <c r="Q986" i="12"/>
  <c r="Q396" i="12"/>
  <c r="Q1484" i="12"/>
  <c r="Q737" i="12"/>
  <c r="Q2194" i="12"/>
  <c r="Q914" i="12"/>
  <c r="Q594" i="12"/>
  <c r="Q2884" i="12"/>
  <c r="Q225" i="12"/>
  <c r="Q2836" i="12"/>
  <c r="Q1086" i="12"/>
  <c r="Q1524" i="12"/>
  <c r="Q804" i="12"/>
  <c r="Q3046" i="12"/>
  <c r="Q1913" i="12"/>
  <c r="Q255" i="12"/>
  <c r="Q2746" i="12"/>
  <c r="Q723" i="12"/>
  <c r="Q664" i="12"/>
  <c r="Q1684" i="12"/>
  <c r="AE457" i="12"/>
  <c r="AC221" i="12"/>
  <c r="AC457" i="12"/>
  <c r="J17" i="13"/>
  <c r="AB3300" i="12" l="1"/>
  <c r="AG3301" i="12"/>
  <c r="AD3300" i="12"/>
  <c r="AF3301" i="12"/>
  <c r="O3127" i="12"/>
  <c r="Q3126" i="12"/>
  <c r="AD1799" i="12"/>
  <c r="AD2600" i="12"/>
  <c r="AE615" i="12"/>
  <c r="AG616" i="12"/>
  <c r="AD1211" i="12"/>
  <c r="AF1212" i="12"/>
  <c r="AB481" i="12"/>
  <c r="AG482" i="12"/>
  <c r="AB2671" i="12"/>
  <c r="AG2672" i="12"/>
  <c r="AB2250" i="12"/>
  <c r="AG2251" i="12"/>
  <c r="AB820" i="12"/>
  <c r="AF820" i="12" s="1"/>
  <c r="AG821" i="12"/>
  <c r="AB963" i="12"/>
  <c r="AF963" i="12" s="1"/>
  <c r="AG964" i="12"/>
  <c r="AB1310" i="12"/>
  <c r="AF1310" i="12" s="1"/>
  <c r="AG1311" i="12"/>
  <c r="AD2010" i="12"/>
  <c r="AF821" i="12"/>
  <c r="AF1311" i="12"/>
  <c r="AD1169" i="12"/>
  <c r="AB2101" i="12"/>
  <c r="AF2101" i="12" s="1"/>
  <c r="AG2102" i="12"/>
  <c r="AF3001" i="12"/>
  <c r="AG3002" i="12"/>
  <c r="AB2721" i="12"/>
  <c r="AF2721" i="12" s="1"/>
  <c r="AG2722" i="12"/>
  <c r="AD2079" i="12"/>
  <c r="AD330" i="12"/>
  <c r="AF331" i="12"/>
  <c r="AD1341" i="12"/>
  <c r="AF1342" i="12"/>
  <c r="AB1540" i="12"/>
  <c r="AF1540" i="12" s="1"/>
  <c r="AG1541" i="12"/>
  <c r="AG2953" i="12"/>
  <c r="AD1868" i="12"/>
  <c r="AD712" i="12"/>
  <c r="AF713" i="12"/>
  <c r="AD2933" i="12"/>
  <c r="AF2934" i="12"/>
  <c r="AD819" i="12"/>
  <c r="AB89" i="12"/>
  <c r="AD1309" i="12"/>
  <c r="AB290" i="12"/>
  <c r="AB1341" i="12"/>
  <c r="AG1342" i="12"/>
  <c r="AB1869" i="12"/>
  <c r="AF1869" i="12" s="1"/>
  <c r="AG1870" i="12"/>
  <c r="AF3102" i="12"/>
  <c r="AB1410" i="12"/>
  <c r="AF1410" i="12" s="1"/>
  <c r="AG1411" i="12"/>
  <c r="AD2720" i="12"/>
  <c r="AG3102" i="12"/>
  <c r="AD2530" i="12"/>
  <c r="AB1030" i="12"/>
  <c r="AF1030" i="12" s="1"/>
  <c r="AG1031" i="12"/>
  <c r="AD1239" i="12"/>
  <c r="AB2500" i="12"/>
  <c r="AF2500" i="12" s="1"/>
  <c r="AG2501" i="12"/>
  <c r="AD1059" i="12"/>
  <c r="AF1060" i="12"/>
  <c r="AB2011" i="12"/>
  <c r="AF2011" i="12" s="1"/>
  <c r="AG2012" i="12"/>
  <c r="AD1379" i="12"/>
  <c r="AB2149" i="12"/>
  <c r="AG2150" i="12"/>
  <c r="AB1211" i="12"/>
  <c r="AG1212" i="12"/>
  <c r="AB2933" i="12"/>
  <c r="AG2934" i="12"/>
  <c r="AB2639" i="12"/>
  <c r="AG2640" i="12"/>
  <c r="AB2040" i="12"/>
  <c r="AF2040" i="12" s="1"/>
  <c r="AG2041" i="12"/>
  <c r="AF1411" i="12"/>
  <c r="AB1170" i="12"/>
  <c r="AG1171" i="12"/>
  <c r="AD1659" i="12"/>
  <c r="AE296" i="12"/>
  <c r="AG297" i="12"/>
  <c r="AB2320" i="12"/>
  <c r="AF2320" i="12" s="1"/>
  <c r="AG2321" i="12"/>
  <c r="AD2429" i="12"/>
  <c r="AF2430" i="12"/>
  <c r="AF3031" i="12"/>
  <c r="AG3032" i="12"/>
  <c r="AB1270" i="12"/>
  <c r="AF1270" i="12" s="1"/>
  <c r="AG1271" i="12"/>
  <c r="AD1450" i="12"/>
  <c r="AF1451" i="12"/>
  <c r="AB990" i="12"/>
  <c r="AG991" i="12"/>
  <c r="AD990" i="12"/>
  <c r="AF991" i="12"/>
  <c r="AD780" i="12"/>
  <c r="AF781" i="12"/>
  <c r="AB329" i="12"/>
  <c r="AG330" i="12"/>
  <c r="AD1939" i="12"/>
  <c r="AF1940" i="12"/>
  <c r="AD2360" i="12"/>
  <c r="AF2361" i="12"/>
  <c r="AE18" i="12"/>
  <c r="AG19" i="12"/>
  <c r="AF2953" i="12"/>
  <c r="AD2639" i="12"/>
  <c r="AF2640" i="12"/>
  <c r="AB1059" i="12"/>
  <c r="AG1060" i="12"/>
  <c r="AD2671" i="12"/>
  <c r="AF2672" i="12"/>
  <c r="AB1479" i="12"/>
  <c r="AF1479" i="12" s="1"/>
  <c r="AG1480" i="12"/>
  <c r="AD1409" i="12"/>
  <c r="AB1939" i="12"/>
  <c r="AG1940" i="12"/>
  <c r="AF2041" i="12"/>
  <c r="AF1031" i="12"/>
  <c r="AF2102" i="12"/>
  <c r="AD1269" i="12"/>
  <c r="AB712" i="12"/>
  <c r="AG713" i="12"/>
  <c r="AB1730" i="12"/>
  <c r="AF1730" i="12" s="1"/>
  <c r="AG1731" i="12"/>
  <c r="AF2952" i="12"/>
  <c r="AB2601" i="12"/>
  <c r="AG2602" i="12"/>
  <c r="AB2531" i="12"/>
  <c r="AG2532" i="12"/>
  <c r="AB2080" i="12"/>
  <c r="AF2080" i="12" s="1"/>
  <c r="AG2081" i="12"/>
  <c r="AD2039" i="12"/>
  <c r="AD1729" i="12"/>
  <c r="AB853" i="12"/>
  <c r="AF853" i="12" s="1"/>
  <c r="AG854" i="12"/>
  <c r="AB1450" i="12"/>
  <c r="AG1451" i="12"/>
  <c r="AD1029" i="12"/>
  <c r="AB60" i="12"/>
  <c r="AD2100" i="12"/>
  <c r="AB1800" i="12"/>
  <c r="AG1801" i="12"/>
  <c r="AB150" i="12"/>
  <c r="AB2360" i="12"/>
  <c r="AG2361" i="12"/>
  <c r="AD2149" i="12"/>
  <c r="AF2150" i="12"/>
  <c r="AE234" i="12"/>
  <c r="AG235" i="12"/>
  <c r="AD2319" i="12"/>
  <c r="AD18" i="12"/>
  <c r="AF19" i="12"/>
  <c r="AD1589" i="12"/>
  <c r="AD2499" i="12"/>
  <c r="AD234" i="12"/>
  <c r="AF235" i="12"/>
  <c r="AD750" i="12"/>
  <c r="AD1478" i="12"/>
  <c r="AD852" i="12"/>
  <c r="AF1541" i="12"/>
  <c r="AD2249" i="12"/>
  <c r="AF2250" i="12"/>
  <c r="AB751" i="12"/>
  <c r="AG752" i="12"/>
  <c r="AD962" i="12"/>
  <c r="AF3002" i="12"/>
  <c r="AB2429" i="12"/>
  <c r="AG2430" i="12"/>
  <c r="AB641" i="12"/>
  <c r="AG642" i="12"/>
  <c r="AB1380" i="12"/>
  <c r="AF1380" i="12" s="1"/>
  <c r="AG1381" i="12"/>
  <c r="AB1240" i="12"/>
  <c r="AG1241" i="12"/>
  <c r="AB1590" i="12"/>
  <c r="AG1591" i="12"/>
  <c r="AD1539" i="12"/>
  <c r="AB422" i="12"/>
  <c r="AB610" i="12"/>
  <c r="AB780" i="12"/>
  <c r="AG781" i="12"/>
  <c r="AB230" i="12"/>
  <c r="AB369" i="12"/>
  <c r="AB1660" i="12"/>
  <c r="AG1661" i="12"/>
  <c r="AD296" i="12"/>
  <c r="AF297" i="12"/>
  <c r="Q787" i="12"/>
  <c r="Q724" i="12"/>
  <c r="Q2606" i="12"/>
  <c r="Q1685" i="12"/>
  <c r="Q2747" i="12"/>
  <c r="Q3047" i="12"/>
  <c r="Q1087" i="12"/>
  <c r="Q595" i="12"/>
  <c r="Q1485" i="12"/>
  <c r="Q665" i="12"/>
  <c r="Q256" i="12"/>
  <c r="Q805" i="12"/>
  <c r="Q2837" i="12"/>
  <c r="Q915" i="12"/>
  <c r="Q397" i="12"/>
  <c r="Q1914" i="12"/>
  <c r="Q226" i="12"/>
  <c r="Q2195" i="12"/>
  <c r="Q987" i="12"/>
  <c r="Q1525" i="12"/>
  <c r="Q2885" i="12"/>
  <c r="Q738" i="12"/>
  <c r="Q16" i="12"/>
  <c r="AC456" i="12"/>
  <c r="AC455" i="12" s="1"/>
  <c r="AC454" i="12" s="1"/>
  <c r="AC453" i="12" s="1"/>
  <c r="AC452" i="12" s="1"/>
  <c r="AC451" i="12" s="1"/>
  <c r="AC450" i="12" s="1"/>
  <c r="AC449" i="12" s="1"/>
  <c r="AC448" i="12" s="1"/>
  <c r="AC447" i="12" s="1"/>
  <c r="AC446" i="12" s="1"/>
  <c r="AC445" i="12" s="1"/>
  <c r="AC444" i="12" s="1"/>
  <c r="AC443" i="12" s="1"/>
  <c r="AC442" i="12" s="1"/>
  <c r="AC441" i="12" s="1"/>
  <c r="AC440" i="12" s="1"/>
  <c r="AC439" i="12" s="1"/>
  <c r="AC438" i="12" s="1"/>
  <c r="AC437" i="12" s="1"/>
  <c r="AC436" i="12" s="1"/>
  <c r="AC435" i="12" s="1"/>
  <c r="AC434" i="12" s="1"/>
  <c r="AC433" i="12" s="1"/>
  <c r="AC432" i="12" s="1"/>
  <c r="AC431" i="12" s="1"/>
  <c r="AC430" i="12" s="1"/>
  <c r="AC429" i="12" s="1"/>
  <c r="AC428" i="12" s="1"/>
  <c r="AC427" i="12" s="1"/>
  <c r="AC426" i="12" s="1"/>
  <c r="AC425" i="12" s="1"/>
  <c r="AC424" i="12" s="1"/>
  <c r="AC423" i="12" s="1"/>
  <c r="AC422" i="12" s="1"/>
  <c r="AC421" i="12" s="1"/>
  <c r="AC420" i="12" s="1"/>
  <c r="AC419" i="12" s="1"/>
  <c r="AC418" i="12" s="1"/>
  <c r="AC417" i="12" s="1"/>
  <c r="AC416" i="12" s="1"/>
  <c r="AC415" i="12" s="1"/>
  <c r="AC414" i="12" s="1"/>
  <c r="AC413" i="12" s="1"/>
  <c r="AC412" i="12" s="1"/>
  <c r="AC411" i="12" s="1"/>
  <c r="AC410" i="12" s="1"/>
  <c r="AC409" i="12" s="1"/>
  <c r="AC408" i="12" s="1"/>
  <c r="AC407" i="12" s="1"/>
  <c r="AC406" i="12" s="1"/>
  <c r="AC405" i="12" s="1"/>
  <c r="AC404" i="12" s="1"/>
  <c r="AC403" i="12" s="1"/>
  <c r="AC402" i="12" s="1"/>
  <c r="AC401" i="12" s="1"/>
  <c r="AC400" i="12" s="1"/>
  <c r="AC399" i="12" s="1"/>
  <c r="AC398" i="12" s="1"/>
  <c r="AC397" i="12" s="1"/>
  <c r="AC396" i="12" s="1"/>
  <c r="AC395" i="12" s="1"/>
  <c r="AC394" i="12" s="1"/>
  <c r="AC393" i="12" s="1"/>
  <c r="AC392" i="12" s="1"/>
  <c r="AC391" i="12" s="1"/>
  <c r="AC390" i="12" s="1"/>
  <c r="AC389" i="12" s="1"/>
  <c r="AC388" i="12" s="1"/>
  <c r="AC387" i="12" s="1"/>
  <c r="AC386" i="12" s="1"/>
  <c r="AC385" i="12" s="1"/>
  <c r="AC384" i="12" s="1"/>
  <c r="AC383" i="12" s="1"/>
  <c r="AC382" i="12" s="1"/>
  <c r="AC381" i="12" s="1"/>
  <c r="AC380" i="12" s="1"/>
  <c r="AC379" i="12" s="1"/>
  <c r="AC378" i="12" s="1"/>
  <c r="AC377" i="12" s="1"/>
  <c r="AC376" i="12" s="1"/>
  <c r="AC375" i="12" s="1"/>
  <c r="AC374" i="12" s="1"/>
  <c r="AC373" i="12" s="1"/>
  <c r="AC372" i="12" s="1"/>
  <c r="AC371" i="12" s="1"/>
  <c r="AC370" i="12" s="1"/>
  <c r="AC369" i="12" s="1"/>
  <c r="AC368" i="12" s="1"/>
  <c r="AC367" i="12" s="1"/>
  <c r="AC366" i="12" s="1"/>
  <c r="AC365" i="12" s="1"/>
  <c r="AC364" i="12" s="1"/>
  <c r="AC363" i="12" s="1"/>
  <c r="AC362" i="12" s="1"/>
  <c r="AC361" i="12" s="1"/>
  <c r="AC360" i="12" s="1"/>
  <c r="AC359" i="12" s="1"/>
  <c r="AC358" i="12" s="1"/>
  <c r="AC357" i="12" s="1"/>
  <c r="AC356" i="12" s="1"/>
  <c r="AC355" i="12" s="1"/>
  <c r="AC354" i="12" s="1"/>
  <c r="AC353" i="12" s="1"/>
  <c r="AC352" i="12" s="1"/>
  <c r="AC351" i="12" s="1"/>
  <c r="AC350" i="12" s="1"/>
  <c r="AC349" i="12" s="1"/>
  <c r="AC348" i="12" s="1"/>
  <c r="AC347" i="12" s="1"/>
  <c r="AC346" i="12" s="1"/>
  <c r="AC345" i="12" s="1"/>
  <c r="AC344" i="12" s="1"/>
  <c r="AC343" i="12" s="1"/>
  <c r="AC220" i="12"/>
  <c r="AE456" i="12"/>
  <c r="AE455" i="12" s="1"/>
  <c r="AE454" i="12" s="1"/>
  <c r="AE453" i="12" s="1"/>
  <c r="AE452" i="12" s="1"/>
  <c r="AE451" i="12" s="1"/>
  <c r="AE450" i="12" s="1"/>
  <c r="AE449" i="12" s="1"/>
  <c r="AE448" i="12" s="1"/>
  <c r="AE447" i="12" s="1"/>
  <c r="AE446" i="12" s="1"/>
  <c r="AE445" i="12" s="1"/>
  <c r="AE444" i="12" s="1"/>
  <c r="AE443" i="12" s="1"/>
  <c r="AE442" i="12" s="1"/>
  <c r="AE441" i="12" s="1"/>
  <c r="AE440" i="12" s="1"/>
  <c r="AE439" i="12" s="1"/>
  <c r="AE438" i="12" s="1"/>
  <c r="AE437" i="12" s="1"/>
  <c r="AE436" i="12" s="1"/>
  <c r="AE435" i="12" s="1"/>
  <c r="J18" i="13"/>
  <c r="AD3299" i="12" l="1"/>
  <c r="AF3300" i="12"/>
  <c r="AB3299" i="12"/>
  <c r="AG3300" i="12"/>
  <c r="O3128" i="12"/>
  <c r="Q3127" i="12"/>
  <c r="AB229" i="12"/>
  <c r="AD1538" i="12"/>
  <c r="AB640" i="12"/>
  <c r="AG641" i="12"/>
  <c r="AD749" i="12"/>
  <c r="AD17" i="12"/>
  <c r="AF18" i="12"/>
  <c r="AD2099" i="12"/>
  <c r="AB852" i="12"/>
  <c r="AG853" i="12"/>
  <c r="AB2530" i="12"/>
  <c r="AF2530" i="12" s="1"/>
  <c r="AG2531" i="12"/>
  <c r="AB711" i="12"/>
  <c r="AG712" i="12"/>
  <c r="AD1938" i="12"/>
  <c r="AF1939" i="12"/>
  <c r="AB989" i="12"/>
  <c r="AG990" i="12"/>
  <c r="AD2428" i="12"/>
  <c r="AF2429" i="12"/>
  <c r="AB1169" i="12"/>
  <c r="AF1169" i="12" s="1"/>
  <c r="AG1170" i="12"/>
  <c r="AF2531" i="12"/>
  <c r="AD2248" i="12"/>
  <c r="AD1408" i="12"/>
  <c r="AD2638" i="12"/>
  <c r="AF2639" i="12"/>
  <c r="AB1210" i="12"/>
  <c r="AG1211" i="12"/>
  <c r="AD1058" i="12"/>
  <c r="AF1059" i="12"/>
  <c r="AD2529" i="12"/>
  <c r="AF3101" i="12"/>
  <c r="AD1308" i="12"/>
  <c r="AD711" i="12"/>
  <c r="AF712" i="12"/>
  <c r="AD1340" i="12"/>
  <c r="AF1341" i="12"/>
  <c r="AF3000" i="12"/>
  <c r="AG3001" i="12"/>
  <c r="AD2009" i="12"/>
  <c r="AD1210" i="12"/>
  <c r="AF1211" i="12"/>
  <c r="AD295" i="12"/>
  <c r="AF296" i="12"/>
  <c r="AB779" i="12"/>
  <c r="AG780" i="12"/>
  <c r="AB1589" i="12"/>
  <c r="AF1589" i="12" s="1"/>
  <c r="AG1590" i="12"/>
  <c r="AB2428" i="12"/>
  <c r="AG2429" i="12"/>
  <c r="AD233" i="12"/>
  <c r="AF234" i="12"/>
  <c r="AD2318" i="12"/>
  <c r="AB2359" i="12"/>
  <c r="AG2360" i="12"/>
  <c r="AB59" i="12"/>
  <c r="AD1728" i="12"/>
  <c r="AB2600" i="12"/>
  <c r="AF2600" i="12" s="1"/>
  <c r="AG2601" i="12"/>
  <c r="AD1268" i="12"/>
  <c r="AB328" i="12"/>
  <c r="AG329" i="12"/>
  <c r="AD1449" i="12"/>
  <c r="AF1450" i="12"/>
  <c r="AB2319" i="12"/>
  <c r="AF2319" i="12" s="1"/>
  <c r="AG2320" i="12"/>
  <c r="AB1478" i="12"/>
  <c r="AF1478" i="12" s="1"/>
  <c r="AG1479" i="12"/>
  <c r="AB2039" i="12"/>
  <c r="AG2040" i="12"/>
  <c r="AB2148" i="12"/>
  <c r="AG2149" i="12"/>
  <c r="AB2499" i="12"/>
  <c r="AG2500" i="12"/>
  <c r="AG3101" i="12"/>
  <c r="AB1868" i="12"/>
  <c r="AG1869" i="12"/>
  <c r="AB88" i="12"/>
  <c r="AD1867" i="12"/>
  <c r="AD329" i="12"/>
  <c r="AF330" i="12"/>
  <c r="AB2100" i="12"/>
  <c r="AG2101" i="12"/>
  <c r="AB1309" i="12"/>
  <c r="AF1309" i="12" s="1"/>
  <c r="AG1310" i="12"/>
  <c r="AB2249" i="12"/>
  <c r="AF2249" i="12" s="1"/>
  <c r="AG2250" i="12"/>
  <c r="AE614" i="12"/>
  <c r="AG615" i="12"/>
  <c r="AB1659" i="12"/>
  <c r="AF1659" i="12" s="1"/>
  <c r="AG1660" i="12"/>
  <c r="AB609" i="12"/>
  <c r="AB1239" i="12"/>
  <c r="AF1239" i="12" s="1"/>
  <c r="AG1240" i="12"/>
  <c r="AD851" i="12"/>
  <c r="AF852" i="12"/>
  <c r="AD2498" i="12"/>
  <c r="AE233" i="12"/>
  <c r="AG234" i="12"/>
  <c r="AB149" i="12"/>
  <c r="AD1028" i="12"/>
  <c r="AD2038" i="12"/>
  <c r="AE17" i="12"/>
  <c r="AG18" i="12"/>
  <c r="AD779" i="12"/>
  <c r="AF780" i="12"/>
  <c r="AB1269" i="12"/>
  <c r="AG1270" i="12"/>
  <c r="AE295" i="12"/>
  <c r="AG296" i="12"/>
  <c r="AF1240" i="12"/>
  <c r="AF1170" i="12"/>
  <c r="AF2601" i="12"/>
  <c r="AD961" i="12"/>
  <c r="AF1590" i="12"/>
  <c r="AD2670" i="12"/>
  <c r="AF2671" i="12"/>
  <c r="AF1660" i="12"/>
  <c r="AB2638" i="12"/>
  <c r="AG2639" i="12"/>
  <c r="AD1378" i="12"/>
  <c r="AD1238" i="12"/>
  <c r="AD2719" i="12"/>
  <c r="AB1340" i="12"/>
  <c r="AG1341" i="12"/>
  <c r="AD818" i="12"/>
  <c r="AF2951" i="12"/>
  <c r="AG2952" i="12"/>
  <c r="AD2078" i="12"/>
  <c r="AD1168" i="12"/>
  <c r="AB962" i="12"/>
  <c r="AF962" i="12" s="1"/>
  <c r="AG963" i="12"/>
  <c r="AB2670" i="12"/>
  <c r="AG2671" i="12"/>
  <c r="AD2599" i="12"/>
  <c r="AE434" i="12"/>
  <c r="AG435" i="12"/>
  <c r="AB368" i="12"/>
  <c r="AB421" i="12"/>
  <c r="AB1379" i="12"/>
  <c r="AF1379" i="12" s="1"/>
  <c r="AG1380" i="12"/>
  <c r="AD1477" i="12"/>
  <c r="AD1588" i="12"/>
  <c r="AD2148" i="12"/>
  <c r="AF2149" i="12"/>
  <c r="AB1799" i="12"/>
  <c r="AF1799" i="12" s="1"/>
  <c r="AG1800" i="12"/>
  <c r="AB1449" i="12"/>
  <c r="AG1450" i="12"/>
  <c r="AB2079" i="12"/>
  <c r="AF2079" i="12" s="1"/>
  <c r="AG2080" i="12"/>
  <c r="AB1729" i="12"/>
  <c r="AF1729" i="12" s="1"/>
  <c r="AG1730" i="12"/>
  <c r="AD2359" i="12"/>
  <c r="AF2360" i="12"/>
  <c r="AD989" i="12"/>
  <c r="AF990" i="12"/>
  <c r="AG3031" i="12"/>
  <c r="AD1658" i="12"/>
  <c r="AF1800" i="12"/>
  <c r="AB750" i="12"/>
  <c r="AF750" i="12" s="1"/>
  <c r="AG751" i="12"/>
  <c r="AF751" i="12"/>
  <c r="AB1938" i="12"/>
  <c r="AG1939" i="12"/>
  <c r="AB1058" i="12"/>
  <c r="AG1059" i="12"/>
  <c r="AB2932" i="12"/>
  <c r="AG2933" i="12"/>
  <c r="AB2010" i="12"/>
  <c r="AG2011" i="12"/>
  <c r="AB1029" i="12"/>
  <c r="AG1030" i="12"/>
  <c r="AB1409" i="12"/>
  <c r="AG1410" i="12"/>
  <c r="AB289" i="12"/>
  <c r="AD2932" i="12"/>
  <c r="AF2933" i="12"/>
  <c r="AB1539" i="12"/>
  <c r="AG1540" i="12"/>
  <c r="AB2720" i="12"/>
  <c r="AF2720" i="12" s="1"/>
  <c r="AG2721" i="12"/>
  <c r="AB819" i="12"/>
  <c r="AF819" i="12" s="1"/>
  <c r="AG820" i="12"/>
  <c r="AB480" i="12"/>
  <c r="AG481" i="12"/>
  <c r="AD1798" i="12"/>
  <c r="Q788" i="12"/>
  <c r="Q2607" i="12"/>
  <c r="Q1526" i="12"/>
  <c r="Q227" i="12"/>
  <c r="Q398" i="12"/>
  <c r="Q257" i="12"/>
  <c r="Q1088" i="12"/>
  <c r="Q17" i="12"/>
  <c r="Q666" i="12"/>
  <c r="Q916" i="12"/>
  <c r="Q3048" i="12"/>
  <c r="Q739" i="12"/>
  <c r="Q988" i="12"/>
  <c r="Q1915" i="12"/>
  <c r="Q2838" i="12"/>
  <c r="Q1486" i="12"/>
  <c r="Q2748" i="12"/>
  <c r="Q2886" i="12"/>
  <c r="Q2196" i="12"/>
  <c r="Q806" i="12"/>
  <c r="Q596" i="12"/>
  <c r="Q1686" i="12"/>
  <c r="AC219" i="12"/>
  <c r="J19" i="13"/>
  <c r="AB3298" i="12" l="1"/>
  <c r="AG3299" i="12"/>
  <c r="AD3298" i="12"/>
  <c r="AF3299" i="12"/>
  <c r="O3129" i="12"/>
  <c r="Q3128" i="12"/>
  <c r="AB1268" i="12"/>
  <c r="AF1268" i="12" s="1"/>
  <c r="AG1269" i="12"/>
  <c r="AD2037" i="12"/>
  <c r="AD2497" i="12"/>
  <c r="AB1658" i="12"/>
  <c r="AF1658" i="12" s="1"/>
  <c r="AG1659" i="12"/>
  <c r="AB2099" i="12"/>
  <c r="AF2099" i="12" s="1"/>
  <c r="AG2100" i="12"/>
  <c r="AB1867" i="12"/>
  <c r="AF1867" i="12" s="1"/>
  <c r="AG1868" i="12"/>
  <c r="AB2038" i="12"/>
  <c r="AG2039" i="12"/>
  <c r="AB327" i="12"/>
  <c r="AG328" i="12"/>
  <c r="AB58" i="12"/>
  <c r="AB2427" i="12"/>
  <c r="AG2428" i="12"/>
  <c r="AD1209" i="12"/>
  <c r="AF1210" i="12"/>
  <c r="AD1339" i="12"/>
  <c r="AF1340" i="12"/>
  <c r="AD2528" i="12"/>
  <c r="AD1407" i="12"/>
  <c r="AB1538" i="12"/>
  <c r="AF1538" i="12" s="1"/>
  <c r="AG1539" i="12"/>
  <c r="AB1028" i="12"/>
  <c r="AG1029" i="12"/>
  <c r="AB1937" i="12"/>
  <c r="AG1938" i="12"/>
  <c r="AF3029" i="12"/>
  <c r="AG3030" i="12"/>
  <c r="AB2078" i="12"/>
  <c r="AF2078" i="12" s="1"/>
  <c r="AG2079" i="12"/>
  <c r="AD1587" i="12"/>
  <c r="AB367" i="12"/>
  <c r="AB961" i="12"/>
  <c r="AG962" i="12"/>
  <c r="AD817" i="12"/>
  <c r="AD1377" i="12"/>
  <c r="AD960" i="12"/>
  <c r="AF1029" i="12"/>
  <c r="AF1269" i="12"/>
  <c r="AB988" i="12"/>
  <c r="AG989" i="12"/>
  <c r="AB851" i="12"/>
  <c r="AF851" i="12" s="1"/>
  <c r="AG852" i="12"/>
  <c r="AD748" i="12"/>
  <c r="AD778" i="12"/>
  <c r="AF779" i="12"/>
  <c r="AD1027" i="12"/>
  <c r="AD850" i="12"/>
  <c r="AE613" i="12"/>
  <c r="AG614" i="12"/>
  <c r="AD328" i="12"/>
  <c r="AF329" i="12"/>
  <c r="AG3100" i="12"/>
  <c r="AB1477" i="12"/>
  <c r="AF1477" i="12" s="1"/>
  <c r="AG1478" i="12"/>
  <c r="AD1267" i="12"/>
  <c r="AB2358" i="12"/>
  <c r="AG2359" i="12"/>
  <c r="AB1588" i="12"/>
  <c r="AF1588" i="12" s="1"/>
  <c r="AG1589" i="12"/>
  <c r="AD710" i="12"/>
  <c r="AF711" i="12"/>
  <c r="AD1057" i="12"/>
  <c r="AF1058" i="12"/>
  <c r="AD2247" i="12"/>
  <c r="AF2100" i="12"/>
  <c r="AB479" i="12"/>
  <c r="AG480" i="12"/>
  <c r="AD2931" i="12"/>
  <c r="AF2932" i="12"/>
  <c r="AB2009" i="12"/>
  <c r="AF2009" i="12" s="1"/>
  <c r="AG2010" i="12"/>
  <c r="AD988" i="12"/>
  <c r="AF989" i="12"/>
  <c r="AB1448" i="12"/>
  <c r="AG1449" i="12"/>
  <c r="AD1476" i="12"/>
  <c r="AE433" i="12"/>
  <c r="AG434" i="12"/>
  <c r="AD1167" i="12"/>
  <c r="AB1339" i="12"/>
  <c r="AG1340" i="12"/>
  <c r="AB2637" i="12"/>
  <c r="AG2638" i="12"/>
  <c r="AF1868" i="12"/>
  <c r="AF2010" i="12"/>
  <c r="AD1937" i="12"/>
  <c r="AF1938" i="12"/>
  <c r="AD2098" i="12"/>
  <c r="AB639" i="12"/>
  <c r="AG640" i="12"/>
  <c r="AB749" i="12"/>
  <c r="AG750" i="12"/>
  <c r="AE16" i="12"/>
  <c r="AG17" i="12"/>
  <c r="AB148" i="12"/>
  <c r="AB1238" i="12"/>
  <c r="AF1238" i="12" s="1"/>
  <c r="AG1239" i="12"/>
  <c r="AB2248" i="12"/>
  <c r="AF2248" i="12" s="1"/>
  <c r="AG2249" i="12"/>
  <c r="AD1866" i="12"/>
  <c r="AB2498" i="12"/>
  <c r="AG2499" i="12"/>
  <c r="AB2318" i="12"/>
  <c r="AF2318" i="12" s="1"/>
  <c r="AG2319" i="12"/>
  <c r="AB2599" i="12"/>
  <c r="AF2599" i="12" s="1"/>
  <c r="AG2600" i="12"/>
  <c r="AD2317" i="12"/>
  <c r="AB778" i="12"/>
  <c r="AG779" i="12"/>
  <c r="AD2008" i="12"/>
  <c r="AD1307" i="12"/>
  <c r="AB1209" i="12"/>
  <c r="AG1210" i="12"/>
  <c r="AF3030" i="12"/>
  <c r="AF1539" i="12"/>
  <c r="AD1797" i="12"/>
  <c r="AB818" i="12"/>
  <c r="AF818" i="12" s="1"/>
  <c r="AG819" i="12"/>
  <c r="AB288" i="12"/>
  <c r="AB2931" i="12"/>
  <c r="AG2932" i="12"/>
  <c r="AD2358" i="12"/>
  <c r="AF2359" i="12"/>
  <c r="AB1798" i="12"/>
  <c r="AF1798" i="12" s="1"/>
  <c r="AG1799" i="12"/>
  <c r="AB1378" i="12"/>
  <c r="AF1378" i="12" s="1"/>
  <c r="AG1379" i="12"/>
  <c r="AD2598" i="12"/>
  <c r="AD2077" i="12"/>
  <c r="AD2718" i="12"/>
  <c r="AB1168" i="12"/>
  <c r="AF1168" i="12" s="1"/>
  <c r="AG1169" i="12"/>
  <c r="AB710" i="12"/>
  <c r="AG711" i="12"/>
  <c r="AD1537" i="12"/>
  <c r="AD2669" i="12"/>
  <c r="AF2670" i="12"/>
  <c r="AE294" i="12"/>
  <c r="AG295" i="12"/>
  <c r="AE232" i="12"/>
  <c r="AG233" i="12"/>
  <c r="AB608" i="12"/>
  <c r="AB1308" i="12"/>
  <c r="AG1309" i="12"/>
  <c r="AB87" i="12"/>
  <c r="AB2147" i="12"/>
  <c r="AG2148" i="12"/>
  <c r="AD1448" i="12"/>
  <c r="AF1449" i="12"/>
  <c r="AD1727" i="12"/>
  <c r="AD232" i="12"/>
  <c r="AF233" i="12"/>
  <c r="AD294" i="12"/>
  <c r="AF295" i="12"/>
  <c r="AF2999" i="12"/>
  <c r="AG3000" i="12"/>
  <c r="AF3100" i="12"/>
  <c r="AD2637" i="12"/>
  <c r="AF2638" i="12"/>
  <c r="AB2719" i="12"/>
  <c r="AF2719" i="12" s="1"/>
  <c r="AG2720" i="12"/>
  <c r="AB1408" i="12"/>
  <c r="AG1409" i="12"/>
  <c r="AB1057" i="12"/>
  <c r="AG1058" i="12"/>
  <c r="AD1657" i="12"/>
  <c r="AB1728" i="12"/>
  <c r="AG1729" i="12"/>
  <c r="AD2147" i="12"/>
  <c r="AF2148" i="12"/>
  <c r="AB420" i="12"/>
  <c r="AB2669" i="12"/>
  <c r="AG2670" i="12"/>
  <c r="AG2951" i="12"/>
  <c r="AD1237" i="12"/>
  <c r="AF2039" i="12"/>
  <c r="AF2499" i="12"/>
  <c r="AF1409" i="12"/>
  <c r="AD2427" i="12"/>
  <c r="AF2428" i="12"/>
  <c r="AB2529" i="12"/>
  <c r="AG2530" i="12"/>
  <c r="AD16" i="12"/>
  <c r="AF17" i="12"/>
  <c r="AB228" i="12"/>
  <c r="Q789" i="12"/>
  <c r="Q2608" i="12"/>
  <c r="Q1487" i="12"/>
  <c r="Q740" i="12"/>
  <c r="Q1687" i="12"/>
  <c r="Q2197" i="12"/>
  <c r="Q667" i="12"/>
  <c r="Q258" i="12"/>
  <c r="Q2839" i="12"/>
  <c r="Q3049" i="12"/>
  <c r="Q597" i="12"/>
  <c r="Q2887" i="12"/>
  <c r="Q399" i="12"/>
  <c r="Q1916" i="12"/>
  <c r="Q917" i="12"/>
  <c r="Q807" i="12"/>
  <c r="Q18" i="12"/>
  <c r="Q228" i="12"/>
  <c r="Q2749" i="12"/>
  <c r="Q989" i="12"/>
  <c r="Q1089" i="12"/>
  <c r="Q1527" i="12"/>
  <c r="AC218" i="12"/>
  <c r="AC217" i="12" s="1"/>
  <c r="AC216" i="12" s="1"/>
  <c r="AC215" i="12" s="1"/>
  <c r="AC214" i="12" s="1"/>
  <c r="AC213" i="12" s="1"/>
  <c r="AC212" i="12" s="1"/>
  <c r="AC211" i="12" s="1"/>
  <c r="AC210" i="12" s="1"/>
  <c r="AC209" i="12" s="1"/>
  <c r="AC208" i="12" s="1"/>
  <c r="AC207" i="12" s="1"/>
  <c r="AC206" i="12" s="1"/>
  <c r="AC205" i="12" s="1"/>
  <c r="AC204" i="12" s="1"/>
  <c r="AC203" i="12" s="1"/>
  <c r="AC202" i="12" s="1"/>
  <c r="AC201" i="12" s="1"/>
  <c r="AC200" i="12" s="1"/>
  <c r="AC199" i="12" s="1"/>
  <c r="AC198" i="12" s="1"/>
  <c r="AC197" i="12" s="1"/>
  <c r="AC196" i="12" s="1"/>
  <c r="AC195" i="12" s="1"/>
  <c r="AC194" i="12" s="1"/>
  <c r="AC193" i="12" s="1"/>
  <c r="AC192" i="12" s="1"/>
  <c r="AC191" i="12" s="1"/>
  <c r="AC190" i="12" s="1"/>
  <c r="AC189" i="12" s="1"/>
  <c r="AC188" i="12" s="1"/>
  <c r="AC187" i="12" s="1"/>
  <c r="AC186" i="12" s="1"/>
  <c r="AC185" i="12" s="1"/>
  <c r="AC184" i="12" s="1"/>
  <c r="AC183" i="12" s="1"/>
  <c r="AC182" i="12" s="1"/>
  <c r="AC181" i="12" s="1"/>
  <c r="AC180" i="12" s="1"/>
  <c r="AC179" i="12" s="1"/>
  <c r="AC178" i="12" s="1"/>
  <c r="AC177" i="12" s="1"/>
  <c r="AC176" i="12" s="1"/>
  <c r="AC175" i="12" s="1"/>
  <c r="AC174" i="12" s="1"/>
  <c r="AC173" i="12" s="1"/>
  <c r="AC172" i="12" s="1"/>
  <c r="AC171" i="12" s="1"/>
  <c r="AC170" i="12" s="1"/>
  <c r="AC169" i="12" s="1"/>
  <c r="AC168" i="12" s="1"/>
  <c r="AC167" i="12" s="1"/>
  <c r="AC166" i="12" s="1"/>
  <c r="AC165" i="12" s="1"/>
  <c r="AC164" i="12" s="1"/>
  <c r="AC163" i="12" s="1"/>
  <c r="AC162" i="12" s="1"/>
  <c r="AC161" i="12" s="1"/>
  <c r="AC160" i="12" s="1"/>
  <c r="AC159" i="12" s="1"/>
  <c r="AC158" i="12" s="1"/>
  <c r="AC157" i="12" s="1"/>
  <c r="AC156" i="12" s="1"/>
  <c r="AC155" i="12" s="1"/>
  <c r="AC154" i="12" s="1"/>
  <c r="AC153" i="12" s="1"/>
  <c r="AC152" i="12" s="1"/>
  <c r="AC151" i="12" s="1"/>
  <c r="AC150" i="12" s="1"/>
  <c r="AC149" i="12" s="1"/>
  <c r="AC148" i="12" s="1"/>
  <c r="AC147" i="12" s="1"/>
  <c r="AC146" i="12" s="1"/>
  <c r="AC145" i="12" s="1"/>
  <c r="AC144" i="12" s="1"/>
  <c r="AC143" i="12" s="1"/>
  <c r="AC142" i="12" s="1"/>
  <c r="AC141" i="12" s="1"/>
  <c r="AC140" i="12" s="1"/>
  <c r="AC139" i="12" s="1"/>
  <c r="AC138" i="12" s="1"/>
  <c r="AC137" i="12" s="1"/>
  <c r="AC136" i="12" s="1"/>
  <c r="AC135" i="12" s="1"/>
  <c r="AC134" i="12" s="1"/>
  <c r="AC133" i="12" s="1"/>
  <c r="AC132" i="12" s="1"/>
  <c r="AC131" i="12" s="1"/>
  <c r="AC130" i="12" s="1"/>
  <c r="AC129" i="12" s="1"/>
  <c r="AC128" i="12" s="1"/>
  <c r="AC127" i="12" s="1"/>
  <c r="AC126" i="12" s="1"/>
  <c r="AC125" i="12" s="1"/>
  <c r="AC124" i="12" s="1"/>
  <c r="AC123" i="12" s="1"/>
  <c r="AC122" i="12" s="1"/>
  <c r="AC121" i="12" s="1"/>
  <c r="AC120" i="12" s="1"/>
  <c r="AC119" i="12" s="1"/>
  <c r="AC118" i="12" s="1"/>
  <c r="AC117" i="12" s="1"/>
  <c r="AC116" i="12" s="1"/>
  <c r="AC115" i="12" s="1"/>
  <c r="AC114" i="12" s="1"/>
  <c r="AC113" i="12" s="1"/>
  <c r="AC112" i="12" s="1"/>
  <c r="AC111" i="12" s="1"/>
  <c r="AC110" i="12" s="1"/>
  <c r="AC109" i="12" s="1"/>
  <c r="AC108" i="12" s="1"/>
  <c r="AC107" i="12" s="1"/>
  <c r="AC106" i="12" s="1"/>
  <c r="AC105" i="12" s="1"/>
  <c r="AC104" i="12" s="1"/>
  <c r="AC103" i="12" s="1"/>
  <c r="AC102" i="12" s="1"/>
  <c r="AC101" i="12" s="1"/>
  <c r="AC100" i="12" s="1"/>
  <c r="AC99" i="12" s="1"/>
  <c r="AC98" i="12" s="1"/>
  <c r="AC97" i="12" s="1"/>
  <c r="AC96" i="12" s="1"/>
  <c r="AC95" i="12" s="1"/>
  <c r="AC94" i="12" s="1"/>
  <c r="AC93" i="12" s="1"/>
  <c r="AC92" i="12" s="1"/>
  <c r="AC91" i="12" s="1"/>
  <c r="AC90" i="12" s="1"/>
  <c r="AC89" i="12" s="1"/>
  <c r="AC88" i="12" s="1"/>
  <c r="AC87" i="12" s="1"/>
  <c r="AC86" i="12" s="1"/>
  <c r="AC85" i="12" s="1"/>
  <c r="AC84" i="12" s="1"/>
  <c r="AC83" i="12" s="1"/>
  <c r="AC82" i="12" s="1"/>
  <c r="AC81" i="12" s="1"/>
  <c r="AC80" i="12" s="1"/>
  <c r="AC79" i="12" s="1"/>
  <c r="AC78" i="12" s="1"/>
  <c r="AC77" i="12" s="1"/>
  <c r="AC76" i="12" s="1"/>
  <c r="AC75" i="12" s="1"/>
  <c r="AC74" i="12" s="1"/>
  <c r="AC73" i="12" s="1"/>
  <c r="AC72" i="12" s="1"/>
  <c r="AC71" i="12" s="1"/>
  <c r="AC70" i="12" s="1"/>
  <c r="AC69" i="12" s="1"/>
  <c r="AC68" i="12" s="1"/>
  <c r="AC67" i="12" s="1"/>
  <c r="AC66" i="12" s="1"/>
  <c r="AC65" i="12" s="1"/>
  <c r="AC64" i="12" s="1"/>
  <c r="AC63" i="12" s="1"/>
  <c r="AC62" i="12" s="1"/>
  <c r="AC61" i="12" s="1"/>
  <c r="AC60" i="12" s="1"/>
  <c r="AC59" i="12" s="1"/>
  <c r="AC58" i="12" s="1"/>
  <c r="AC57" i="12" s="1"/>
  <c r="AC56" i="12" s="1"/>
  <c r="AC55" i="12" s="1"/>
  <c r="AC54" i="12" s="1"/>
  <c r="AC53" i="12" s="1"/>
  <c r="AC52" i="12" s="1"/>
  <c r="AC51" i="12" s="1"/>
  <c r="AC50" i="12" s="1"/>
  <c r="AC49" i="12" s="1"/>
  <c r="AC48" i="12" s="1"/>
  <c r="AC47" i="12" s="1"/>
  <c r="AC46" i="12" s="1"/>
  <c r="AC45" i="12" s="1"/>
  <c r="AC44" i="12" s="1"/>
  <c r="AC43" i="12" s="1"/>
  <c r="AC42" i="12" s="1"/>
  <c r="AC41" i="12" s="1"/>
  <c r="AC40" i="12" s="1"/>
  <c r="AC39" i="12" s="1"/>
  <c r="AC38" i="12" s="1"/>
  <c r="AC37" i="12" s="1"/>
  <c r="AC36" i="12" s="1"/>
  <c r="AC35" i="12" s="1"/>
  <c r="J20" i="13"/>
  <c r="AD3297" i="12" l="1"/>
  <c r="AF3298" i="12"/>
  <c r="AB3297" i="12"/>
  <c r="AG3298" i="12"/>
  <c r="O3130" i="12"/>
  <c r="Q3129" i="12"/>
  <c r="AB1056" i="12"/>
  <c r="AG1057" i="12"/>
  <c r="AF3099" i="12"/>
  <c r="AD1726" i="12"/>
  <c r="AB1307" i="12"/>
  <c r="AF1307" i="12" s="1"/>
  <c r="AG1308" i="12"/>
  <c r="AE293" i="12"/>
  <c r="AG294" i="12"/>
  <c r="AB709" i="12"/>
  <c r="AG710" i="12"/>
  <c r="AD2597" i="12"/>
  <c r="AB2930" i="12"/>
  <c r="AG2931" i="12"/>
  <c r="AB777" i="12"/>
  <c r="AG778" i="12"/>
  <c r="AB2497" i="12"/>
  <c r="AF2497" i="12" s="1"/>
  <c r="AG2498" i="12"/>
  <c r="AB147" i="12"/>
  <c r="AD2097" i="12"/>
  <c r="AB1338" i="12"/>
  <c r="AG1339" i="12"/>
  <c r="AB1447" i="12"/>
  <c r="AG1448" i="12"/>
  <c r="AB478" i="12"/>
  <c r="AG479" i="12"/>
  <c r="AD15" i="12"/>
  <c r="AF16" i="12"/>
  <c r="AB1476" i="12"/>
  <c r="AF1476" i="12" s="1"/>
  <c r="AG1477" i="12"/>
  <c r="AD849" i="12"/>
  <c r="AB850" i="12"/>
  <c r="AG851" i="12"/>
  <c r="AD1376" i="12"/>
  <c r="AD1586" i="12"/>
  <c r="AB1027" i="12"/>
  <c r="AF1027" i="12" s="1"/>
  <c r="AG1028" i="12"/>
  <c r="AD1338" i="12"/>
  <c r="AF1339" i="12"/>
  <c r="AB326" i="12"/>
  <c r="AG327" i="12"/>
  <c r="AB1657" i="12"/>
  <c r="AF1657" i="12" s="1"/>
  <c r="AG1658" i="12"/>
  <c r="AD2146" i="12"/>
  <c r="AF2147" i="12"/>
  <c r="AB1407" i="12"/>
  <c r="AF1407" i="12" s="1"/>
  <c r="AG1408" i="12"/>
  <c r="AD1447" i="12"/>
  <c r="AF1448" i="12"/>
  <c r="AB607" i="12"/>
  <c r="AD2668" i="12"/>
  <c r="AF2669" i="12"/>
  <c r="AB1167" i="12"/>
  <c r="AF1167" i="12" s="1"/>
  <c r="AG1168" i="12"/>
  <c r="AB1377" i="12"/>
  <c r="AF1377" i="12" s="1"/>
  <c r="AG1378" i="12"/>
  <c r="AB287" i="12"/>
  <c r="AB1208" i="12"/>
  <c r="AG1209" i="12"/>
  <c r="AD2316" i="12"/>
  <c r="AD1865" i="12"/>
  <c r="AE15" i="12"/>
  <c r="AG16" i="12"/>
  <c r="AD1936" i="12"/>
  <c r="AF1937" i="12"/>
  <c r="AD1166" i="12"/>
  <c r="AD987" i="12"/>
  <c r="AF988" i="12"/>
  <c r="AF1028" i="12"/>
  <c r="AF2498" i="12"/>
  <c r="AD1236" i="12"/>
  <c r="AG2999" i="12"/>
  <c r="AB2528" i="12"/>
  <c r="AF2528" i="12" s="1"/>
  <c r="AG2529" i="12"/>
  <c r="AF1308" i="12"/>
  <c r="AD2246" i="12"/>
  <c r="AB1587" i="12"/>
  <c r="AG1588" i="12"/>
  <c r="AG3099" i="12"/>
  <c r="AD1026" i="12"/>
  <c r="AB987" i="12"/>
  <c r="AG988" i="12"/>
  <c r="AD816" i="12"/>
  <c r="AB2077" i="12"/>
  <c r="AF2077" i="12" s="1"/>
  <c r="AG2078" i="12"/>
  <c r="AB1537" i="12"/>
  <c r="AF1537" i="12" s="1"/>
  <c r="AG1538" i="12"/>
  <c r="AD1208" i="12"/>
  <c r="AF1209" i="12"/>
  <c r="AB2037" i="12"/>
  <c r="AF2037" i="12" s="1"/>
  <c r="AG2038" i="12"/>
  <c r="AD2496" i="12"/>
  <c r="AG2950" i="12"/>
  <c r="AB2718" i="12"/>
  <c r="AF2718" i="12" s="1"/>
  <c r="AG2719" i="12"/>
  <c r="AD293" i="12"/>
  <c r="AF294" i="12"/>
  <c r="AB2146" i="12"/>
  <c r="AG2147" i="12"/>
  <c r="AE231" i="12"/>
  <c r="AG232" i="12"/>
  <c r="AD1536" i="12"/>
  <c r="AD2717" i="12"/>
  <c r="AB1797" i="12"/>
  <c r="AF1797" i="12" s="1"/>
  <c r="AG1798" i="12"/>
  <c r="AB817" i="12"/>
  <c r="AF817" i="12" s="1"/>
  <c r="AG818" i="12"/>
  <c r="AD1306" i="12"/>
  <c r="AB2598" i="12"/>
  <c r="AG2599" i="12"/>
  <c r="AB2247" i="12"/>
  <c r="AF2247" i="12" s="1"/>
  <c r="AG2248" i="12"/>
  <c r="AB748" i="12"/>
  <c r="AF748" i="12" s="1"/>
  <c r="AG749" i="12"/>
  <c r="AE432" i="12"/>
  <c r="AG433" i="12"/>
  <c r="AB2008" i="12"/>
  <c r="AF2008" i="12" s="1"/>
  <c r="AG2009" i="12"/>
  <c r="AF1408" i="12"/>
  <c r="AF2038" i="12"/>
  <c r="AB419" i="12"/>
  <c r="AB1727" i="12"/>
  <c r="AF1727" i="12" s="1"/>
  <c r="AG1728" i="12"/>
  <c r="AD2426" i="12"/>
  <c r="AF2427" i="12"/>
  <c r="AF2950" i="12"/>
  <c r="AD1056" i="12"/>
  <c r="AF1057" i="12"/>
  <c r="AB2357" i="12"/>
  <c r="AG2358" i="12"/>
  <c r="AD327" i="12"/>
  <c r="AF328" i="12"/>
  <c r="AD777" i="12"/>
  <c r="AF778" i="12"/>
  <c r="AB960" i="12"/>
  <c r="AF960" i="12" s="1"/>
  <c r="AG961" i="12"/>
  <c r="AF3028" i="12"/>
  <c r="AG3029" i="12"/>
  <c r="AD1406" i="12"/>
  <c r="AB2426" i="12"/>
  <c r="AG2427" i="12"/>
  <c r="AB1866" i="12"/>
  <c r="AG1867" i="12"/>
  <c r="AD2036" i="12"/>
  <c r="AB2668" i="12"/>
  <c r="AG2669" i="12"/>
  <c r="AD2636" i="12"/>
  <c r="AF2637" i="12"/>
  <c r="AD231" i="12"/>
  <c r="AF232" i="12"/>
  <c r="AB86" i="12"/>
  <c r="AF2949" i="12"/>
  <c r="AD2076" i="12"/>
  <c r="AD2357" i="12"/>
  <c r="AF2358" i="12"/>
  <c r="AD1796" i="12"/>
  <c r="AD2007" i="12"/>
  <c r="AB2317" i="12"/>
  <c r="AF2317" i="12" s="1"/>
  <c r="AG2318" i="12"/>
  <c r="AB1237" i="12"/>
  <c r="AF1237" i="12" s="1"/>
  <c r="AG1238" i="12"/>
  <c r="AB638" i="12"/>
  <c r="AG639" i="12"/>
  <c r="AB2636" i="12"/>
  <c r="AG2637" i="12"/>
  <c r="AD1475" i="12"/>
  <c r="AD2930" i="12"/>
  <c r="AF2931" i="12"/>
  <c r="AF749" i="12"/>
  <c r="AF961" i="12"/>
  <c r="AF2529" i="12"/>
  <c r="AD1656" i="12"/>
  <c r="AB227" i="12"/>
  <c r="AF1728" i="12"/>
  <c r="AD709" i="12"/>
  <c r="AF710" i="12"/>
  <c r="AD1266" i="12"/>
  <c r="AE612" i="12"/>
  <c r="AG613" i="12"/>
  <c r="AD747" i="12"/>
  <c r="AD959" i="12"/>
  <c r="AB366" i="12"/>
  <c r="AB1936" i="12"/>
  <c r="AG1937" i="12"/>
  <c r="AD2527" i="12"/>
  <c r="AB57" i="12"/>
  <c r="AB2098" i="12"/>
  <c r="AF2098" i="12" s="1"/>
  <c r="AG2099" i="12"/>
  <c r="AB1267" i="12"/>
  <c r="AF1267" i="12" s="1"/>
  <c r="AG1268" i="12"/>
  <c r="Q790" i="12"/>
  <c r="Q2609" i="12"/>
  <c r="Q19" i="12"/>
  <c r="Q400" i="12"/>
  <c r="Q3050" i="12"/>
  <c r="Q2198" i="12"/>
  <c r="Q1528" i="12"/>
  <c r="Q990" i="12"/>
  <c r="Q808" i="12"/>
  <c r="Q2840" i="12"/>
  <c r="Q1688" i="12"/>
  <c r="Q1090" i="12"/>
  <c r="Q2750" i="12"/>
  <c r="Q918" i="12"/>
  <c r="Q2888" i="12"/>
  <c r="Q259" i="12"/>
  <c r="Q741" i="12"/>
  <c r="Q229" i="12"/>
  <c r="Q1917" i="12"/>
  <c r="Q598" i="12"/>
  <c r="Q668" i="12"/>
  <c r="Q1488" i="12"/>
  <c r="J21" i="13"/>
  <c r="AB3296" i="12" l="1"/>
  <c r="AG3297" i="12"/>
  <c r="AD3296" i="12"/>
  <c r="AF3297" i="12"/>
  <c r="O3131" i="12"/>
  <c r="Q3130" i="12"/>
  <c r="AB1935" i="12"/>
  <c r="AG1936" i="12"/>
  <c r="AD1474" i="12"/>
  <c r="AD2075" i="12"/>
  <c r="AB1865" i="12"/>
  <c r="AF1865" i="12" s="1"/>
  <c r="AG1866" i="12"/>
  <c r="AD1055" i="12"/>
  <c r="AF1056" i="12"/>
  <c r="AD1655" i="12"/>
  <c r="AB2246" i="12"/>
  <c r="AF2246" i="12" s="1"/>
  <c r="AG2247" i="12"/>
  <c r="AB1796" i="12"/>
  <c r="AG1797" i="12"/>
  <c r="AB2145" i="12"/>
  <c r="AG2146" i="12"/>
  <c r="AD2495" i="12"/>
  <c r="AB2076" i="12"/>
  <c r="AF2076" i="12" s="1"/>
  <c r="AG2077" i="12"/>
  <c r="AG3098" i="12"/>
  <c r="AD1265" i="12"/>
  <c r="AB2635" i="12"/>
  <c r="AG2636" i="12"/>
  <c r="AB2425" i="12"/>
  <c r="AG2426" i="12"/>
  <c r="AF2997" i="12"/>
  <c r="AG2998" i="12"/>
  <c r="AD1165" i="12"/>
  <c r="AD2315" i="12"/>
  <c r="AB1166" i="12"/>
  <c r="AG1167" i="12"/>
  <c r="AB1406" i="12"/>
  <c r="AF1406" i="12" s="1"/>
  <c r="AG1407" i="12"/>
  <c r="AD1337" i="12"/>
  <c r="AF1338" i="12"/>
  <c r="AB849" i="12"/>
  <c r="AF849" i="12" s="1"/>
  <c r="AG850" i="12"/>
  <c r="AD14" i="12"/>
  <c r="AF14" i="12" s="1"/>
  <c r="AF15" i="12"/>
  <c r="AD2096" i="12"/>
  <c r="AB2929" i="12"/>
  <c r="AG2930" i="12"/>
  <c r="AB1306" i="12"/>
  <c r="AF1306" i="12" s="1"/>
  <c r="AG1307" i="12"/>
  <c r="AB2097" i="12"/>
  <c r="AG2098" i="12"/>
  <c r="AB365" i="12"/>
  <c r="AD2006" i="12"/>
  <c r="AD2635" i="12"/>
  <c r="AF2636" i="12"/>
  <c r="AD776" i="12"/>
  <c r="AF777" i="12"/>
  <c r="AD2425" i="12"/>
  <c r="AF2426" i="12"/>
  <c r="AB2007" i="12"/>
  <c r="AF2007" i="12" s="1"/>
  <c r="AG2008" i="12"/>
  <c r="AB2597" i="12"/>
  <c r="AG2598" i="12"/>
  <c r="AD2716" i="12"/>
  <c r="AD292" i="12"/>
  <c r="AF293" i="12"/>
  <c r="AB2036" i="12"/>
  <c r="AF2036" i="12" s="1"/>
  <c r="AG2037" i="12"/>
  <c r="AD815" i="12"/>
  <c r="AB1586" i="12"/>
  <c r="AF1586" i="12" s="1"/>
  <c r="AG1587" i="12"/>
  <c r="AF850" i="12"/>
  <c r="AF2598" i="12"/>
  <c r="AD708" i="12"/>
  <c r="AF709" i="12"/>
  <c r="AD1795" i="12"/>
  <c r="AB2667" i="12"/>
  <c r="AG2668" i="12"/>
  <c r="AD326" i="12"/>
  <c r="AF327" i="12"/>
  <c r="AD1935" i="12"/>
  <c r="AF1936" i="12"/>
  <c r="AB1207" i="12"/>
  <c r="AG1208" i="12"/>
  <c r="AD2667" i="12"/>
  <c r="AF2668" i="12"/>
  <c r="AD2145" i="12"/>
  <c r="AF2146" i="12"/>
  <c r="AB1026" i="12"/>
  <c r="AF1026" i="12" s="1"/>
  <c r="AG1027" i="12"/>
  <c r="AD848" i="12"/>
  <c r="AB477" i="12"/>
  <c r="AG478" i="12"/>
  <c r="AB146" i="12"/>
  <c r="AD2596" i="12"/>
  <c r="AD1725" i="12"/>
  <c r="AD958" i="12"/>
  <c r="AB637" i="12"/>
  <c r="AG638" i="12"/>
  <c r="AD1405" i="12"/>
  <c r="AD1235" i="12"/>
  <c r="AB1726" i="12"/>
  <c r="AF1726" i="12" s="1"/>
  <c r="AG1727" i="12"/>
  <c r="AE431" i="12"/>
  <c r="AG432" i="12"/>
  <c r="AD1305" i="12"/>
  <c r="AD1535" i="12"/>
  <c r="AB2717" i="12"/>
  <c r="AG2718" i="12"/>
  <c r="AD1207" i="12"/>
  <c r="AF1208" i="12"/>
  <c r="AB986" i="12"/>
  <c r="AG987" i="12"/>
  <c r="AD2245" i="12"/>
  <c r="AF1587" i="12"/>
  <c r="AB56" i="12"/>
  <c r="AD746" i="12"/>
  <c r="AB1236" i="12"/>
  <c r="AF1236" i="12" s="1"/>
  <c r="AG1237" i="12"/>
  <c r="AB85" i="12"/>
  <c r="AF3027" i="12"/>
  <c r="AG3028" i="12"/>
  <c r="AE14" i="12"/>
  <c r="AG14" i="12" s="1"/>
  <c r="AG15" i="12"/>
  <c r="AB286" i="12"/>
  <c r="AB606" i="12"/>
  <c r="AB1656" i="12"/>
  <c r="AF1656" i="12" s="1"/>
  <c r="AG1657" i="12"/>
  <c r="AD1585" i="12"/>
  <c r="AB1475" i="12"/>
  <c r="AG1476" i="12"/>
  <c r="AB1446" i="12"/>
  <c r="AG1447" i="12"/>
  <c r="AB2496" i="12"/>
  <c r="AF2496" i="12" s="1"/>
  <c r="AG2497" i="12"/>
  <c r="AB708" i="12"/>
  <c r="AG709" i="12"/>
  <c r="AF3098" i="12"/>
  <c r="AD2526" i="12"/>
  <c r="AD2929" i="12"/>
  <c r="AF2930" i="12"/>
  <c r="AD2356" i="12"/>
  <c r="AF2357" i="12"/>
  <c r="AD2035" i="12"/>
  <c r="AB2356" i="12"/>
  <c r="AG2357" i="12"/>
  <c r="AB226" i="12"/>
  <c r="AB418" i="12"/>
  <c r="AB747" i="12"/>
  <c r="AF747" i="12" s="1"/>
  <c r="AG748" i="12"/>
  <c r="AB816" i="12"/>
  <c r="AG817" i="12"/>
  <c r="AE230" i="12"/>
  <c r="AG231" i="12"/>
  <c r="AG2949" i="12"/>
  <c r="AB1536" i="12"/>
  <c r="AF1536" i="12" s="1"/>
  <c r="AG1537" i="12"/>
  <c r="AD1025" i="12"/>
  <c r="AF1866" i="12"/>
  <c r="AF2998" i="12"/>
  <c r="AB1266" i="12"/>
  <c r="AG1267" i="12"/>
  <c r="AE611" i="12"/>
  <c r="AG612" i="12"/>
  <c r="AB2316" i="12"/>
  <c r="AG2317" i="12"/>
  <c r="AD230" i="12"/>
  <c r="AF231" i="12"/>
  <c r="AB959" i="12"/>
  <c r="AF959" i="12" s="1"/>
  <c r="AG960" i="12"/>
  <c r="AB2527" i="12"/>
  <c r="AF2527" i="12" s="1"/>
  <c r="AG2528" i="12"/>
  <c r="AD986" i="12"/>
  <c r="AF987" i="12"/>
  <c r="AD1864" i="12"/>
  <c r="AB1376" i="12"/>
  <c r="AF1376" i="12" s="1"/>
  <c r="AG1377" i="12"/>
  <c r="AD1446" i="12"/>
  <c r="AF1447" i="12"/>
  <c r="AB325" i="12"/>
  <c r="AG326" i="12"/>
  <c r="AD1375" i="12"/>
  <c r="AB1337" i="12"/>
  <c r="AG1338" i="12"/>
  <c r="AB776" i="12"/>
  <c r="AG777" i="12"/>
  <c r="AE292" i="12"/>
  <c r="AG293" i="12"/>
  <c r="AB1055" i="12"/>
  <c r="AG1056" i="12"/>
  <c r="Q791" i="12"/>
  <c r="Q2610" i="12"/>
  <c r="Q1091" i="12"/>
  <c r="Q599" i="12"/>
  <c r="Q260" i="12"/>
  <c r="Q809" i="12"/>
  <c r="Q3051" i="12"/>
  <c r="Q1918" i="12"/>
  <c r="Q2889" i="12"/>
  <c r="Q1689" i="12"/>
  <c r="Q991" i="12"/>
  <c r="Q401" i="12"/>
  <c r="Q1489" i="12"/>
  <c r="Q230" i="12"/>
  <c r="Q919" i="12"/>
  <c r="Q2841" i="12"/>
  <c r="Q1529" i="12"/>
  <c r="Q20" i="12"/>
  <c r="Q669" i="12"/>
  <c r="Q742" i="12"/>
  <c r="Q2751" i="12"/>
  <c r="Q2199" i="12"/>
  <c r="J22" i="13"/>
  <c r="AD3295" i="12" l="1"/>
  <c r="AF3296" i="12"/>
  <c r="AB3295" i="12"/>
  <c r="AG3296" i="12"/>
  <c r="O3132" i="12"/>
  <c r="Q3131" i="12"/>
  <c r="AB2716" i="12"/>
  <c r="AF2716" i="12" s="1"/>
  <c r="AG2717" i="12"/>
  <c r="AB775" i="12"/>
  <c r="AG776" i="12"/>
  <c r="AB324" i="12"/>
  <c r="AG325" i="12"/>
  <c r="AD985" i="12"/>
  <c r="AF986" i="12"/>
  <c r="AB2315" i="12"/>
  <c r="AF2315" i="12" s="1"/>
  <c r="AG2316" i="12"/>
  <c r="AD1024" i="12"/>
  <c r="AB815" i="12"/>
  <c r="AF815" i="12" s="1"/>
  <c r="AG816" i="12"/>
  <c r="AB2355" i="12"/>
  <c r="AG2356" i="12"/>
  <c r="AD2525" i="12"/>
  <c r="AB1445" i="12"/>
  <c r="AG1446" i="12"/>
  <c r="AB605" i="12"/>
  <c r="AB84" i="12"/>
  <c r="AF2717" i="12"/>
  <c r="AD1534" i="12"/>
  <c r="AD957" i="12"/>
  <c r="AB476" i="12"/>
  <c r="AG477" i="12"/>
  <c r="AD2666" i="12"/>
  <c r="AF2667" i="12"/>
  <c r="AB2666" i="12"/>
  <c r="AG2667" i="12"/>
  <c r="AB1585" i="12"/>
  <c r="AG1586" i="12"/>
  <c r="AD2715" i="12"/>
  <c r="AD775" i="12"/>
  <c r="AF776" i="12"/>
  <c r="AB2096" i="12"/>
  <c r="AF2096" i="12" s="1"/>
  <c r="AG2097" i="12"/>
  <c r="AB1165" i="12"/>
  <c r="AF1165" i="12" s="1"/>
  <c r="AG1166" i="12"/>
  <c r="AB2424" i="12"/>
  <c r="AG2425" i="12"/>
  <c r="AG3097" i="12"/>
  <c r="AB1795" i="12"/>
  <c r="AF1795" i="12" s="1"/>
  <c r="AG1796" i="12"/>
  <c r="AB1864" i="12"/>
  <c r="AF1864" i="12" s="1"/>
  <c r="AG1865" i="12"/>
  <c r="AD2244" i="12"/>
  <c r="AD1234" i="12"/>
  <c r="AB1336" i="12"/>
  <c r="AG1337" i="12"/>
  <c r="AD1445" i="12"/>
  <c r="AF1446" i="12"/>
  <c r="AB2526" i="12"/>
  <c r="AG2527" i="12"/>
  <c r="AE610" i="12"/>
  <c r="AG611" i="12"/>
  <c r="AB1535" i="12"/>
  <c r="AF1535" i="12" s="1"/>
  <c r="AG1536" i="12"/>
  <c r="AB746" i="12"/>
  <c r="AF746" i="12" s="1"/>
  <c r="AG747" i="12"/>
  <c r="AD2034" i="12"/>
  <c r="AF3097" i="12"/>
  <c r="AB1474" i="12"/>
  <c r="AF1474" i="12" s="1"/>
  <c r="AG1475" i="12"/>
  <c r="AB285" i="12"/>
  <c r="AB1235" i="12"/>
  <c r="AG1236" i="12"/>
  <c r="AF1796" i="12"/>
  <c r="AF816" i="12"/>
  <c r="AF2316" i="12"/>
  <c r="AB985" i="12"/>
  <c r="AG986" i="12"/>
  <c r="AD1404" i="12"/>
  <c r="AD1724" i="12"/>
  <c r="AD847" i="12"/>
  <c r="AB1206" i="12"/>
  <c r="AG1207" i="12"/>
  <c r="AD1794" i="12"/>
  <c r="AD814" i="12"/>
  <c r="AB2596" i="12"/>
  <c r="AF2596" i="12" s="1"/>
  <c r="AG2597" i="12"/>
  <c r="AD2634" i="12"/>
  <c r="AF2635" i="12"/>
  <c r="AB1305" i="12"/>
  <c r="AF1305" i="12" s="1"/>
  <c r="AG1306" i="12"/>
  <c r="AB848" i="12"/>
  <c r="AG849" i="12"/>
  <c r="AD2314" i="12"/>
  <c r="AB2075" i="12"/>
  <c r="AG2076" i="12"/>
  <c r="AB2245" i="12"/>
  <c r="AG2246" i="12"/>
  <c r="AD2074" i="12"/>
  <c r="AD1304" i="12"/>
  <c r="AB1054" i="12"/>
  <c r="AG1055" i="12"/>
  <c r="AB1375" i="12"/>
  <c r="AF1375" i="12" s="1"/>
  <c r="AG1376" i="12"/>
  <c r="AB958" i="12"/>
  <c r="AF958" i="12" s="1"/>
  <c r="AG959" i="12"/>
  <c r="AB1265" i="12"/>
  <c r="AF1265" i="12" s="1"/>
  <c r="AG1266" i="12"/>
  <c r="AF2947" i="12"/>
  <c r="AG2948" i="12"/>
  <c r="AB417" i="12"/>
  <c r="AD2355" i="12"/>
  <c r="AF2356" i="12"/>
  <c r="AB707" i="12"/>
  <c r="AG708" i="12"/>
  <c r="AD1584" i="12"/>
  <c r="AF1585" i="12"/>
  <c r="AD745" i="12"/>
  <c r="AF2948" i="12"/>
  <c r="AF2597" i="12"/>
  <c r="AF1166" i="12"/>
  <c r="AF1475" i="12"/>
  <c r="AE430" i="12"/>
  <c r="AG431" i="12"/>
  <c r="AD2595" i="12"/>
  <c r="AB1025" i="12"/>
  <c r="AF1025" i="12" s="1"/>
  <c r="AG1026" i="12"/>
  <c r="AD1934" i="12"/>
  <c r="AF1935" i="12"/>
  <c r="AD707" i="12"/>
  <c r="AF708" i="12"/>
  <c r="AB2035" i="12"/>
  <c r="AF2035" i="12" s="1"/>
  <c r="AG2036" i="12"/>
  <c r="AB2006" i="12"/>
  <c r="AF2006" i="12" s="1"/>
  <c r="AG2007" i="12"/>
  <c r="AD2005" i="12"/>
  <c r="AB2928" i="12"/>
  <c r="AG2929" i="12"/>
  <c r="AD1336" i="12"/>
  <c r="AF1337" i="12"/>
  <c r="AD1164" i="12"/>
  <c r="AB2634" i="12"/>
  <c r="AG2635" i="12"/>
  <c r="AD2494" i="12"/>
  <c r="AD1654" i="12"/>
  <c r="AD1473" i="12"/>
  <c r="AD1206" i="12"/>
  <c r="AF1207" i="12"/>
  <c r="AE291" i="12"/>
  <c r="AG292" i="12"/>
  <c r="AD1374" i="12"/>
  <c r="AD1863" i="12"/>
  <c r="AD229" i="12"/>
  <c r="AF230" i="12"/>
  <c r="AE229" i="12"/>
  <c r="AG230" i="12"/>
  <c r="AB225" i="12"/>
  <c r="AD2928" i="12"/>
  <c r="AF2929" i="12"/>
  <c r="AB2495" i="12"/>
  <c r="AF2495" i="12" s="1"/>
  <c r="AG2496" i="12"/>
  <c r="AB1655" i="12"/>
  <c r="AF1655" i="12" s="1"/>
  <c r="AG1656" i="12"/>
  <c r="AF3026" i="12"/>
  <c r="AG3027" i="12"/>
  <c r="AB55" i="12"/>
  <c r="AF2097" i="12"/>
  <c r="AF1266" i="12"/>
  <c r="AB1725" i="12"/>
  <c r="AG1726" i="12"/>
  <c r="AB636" i="12"/>
  <c r="AG637" i="12"/>
  <c r="AB145" i="12"/>
  <c r="AD2144" i="12"/>
  <c r="AF2145" i="12"/>
  <c r="AD325" i="12"/>
  <c r="AF326" i="12"/>
  <c r="AD291" i="12"/>
  <c r="AF292" i="12"/>
  <c r="AD2424" i="12"/>
  <c r="AF2425" i="12"/>
  <c r="AB364" i="12"/>
  <c r="AD2095" i="12"/>
  <c r="AB1405" i="12"/>
  <c r="AF1405" i="12" s="1"/>
  <c r="AG1406" i="12"/>
  <c r="AF2996" i="12"/>
  <c r="AG2997" i="12"/>
  <c r="AD1264" i="12"/>
  <c r="AB2144" i="12"/>
  <c r="AG2145" i="12"/>
  <c r="AD1054" i="12"/>
  <c r="AF1055" i="12"/>
  <c r="AB1934" i="12"/>
  <c r="AG1935" i="12"/>
  <c r="Q792" i="12"/>
  <c r="Q2611" i="12"/>
  <c r="Q21" i="12"/>
  <c r="Q231" i="12"/>
  <c r="Q1690" i="12"/>
  <c r="Q810" i="12"/>
  <c r="Q2752" i="12"/>
  <c r="Q1530" i="12"/>
  <c r="Q1490" i="12"/>
  <c r="Q2890" i="12"/>
  <c r="Q261" i="12"/>
  <c r="Q743" i="12"/>
  <c r="Q2842" i="12"/>
  <c r="Q402" i="12"/>
  <c r="Q1919" i="12"/>
  <c r="Q600" i="12"/>
  <c r="Q2200" i="12"/>
  <c r="Q670" i="12"/>
  <c r="Q920" i="12"/>
  <c r="Q992" i="12"/>
  <c r="Q3052" i="12"/>
  <c r="Q1092" i="12"/>
  <c r="J23" i="13"/>
  <c r="AB3294" i="12" l="1"/>
  <c r="AG3295" i="12"/>
  <c r="AD3294" i="12"/>
  <c r="AF3295" i="12"/>
  <c r="O3133" i="12"/>
  <c r="Q3132" i="12"/>
  <c r="AD2094" i="12"/>
  <c r="AB1724" i="12"/>
  <c r="AF1724" i="12" s="1"/>
  <c r="AG1725" i="12"/>
  <c r="AE228" i="12"/>
  <c r="AG229" i="12"/>
  <c r="AD1653" i="12"/>
  <c r="AD2594" i="12"/>
  <c r="AF1725" i="12"/>
  <c r="AF3096" i="12"/>
  <c r="AE609" i="12"/>
  <c r="AG610" i="12"/>
  <c r="AD1233" i="12"/>
  <c r="AG3096" i="12"/>
  <c r="AD774" i="12"/>
  <c r="AF775" i="12"/>
  <c r="AD2665" i="12"/>
  <c r="AF2666" i="12"/>
  <c r="AD1263" i="12"/>
  <c r="AB363" i="12"/>
  <c r="AB2494" i="12"/>
  <c r="AF2494" i="12" s="1"/>
  <c r="AG2495" i="12"/>
  <c r="AB2927" i="12"/>
  <c r="AG2928" i="12"/>
  <c r="AE429" i="12"/>
  <c r="AG430" i="12"/>
  <c r="AG2946" i="12"/>
  <c r="AG2947" i="12"/>
  <c r="AB2244" i="12"/>
  <c r="AF2244" i="12" s="1"/>
  <c r="AG2245" i="12"/>
  <c r="AB847" i="12"/>
  <c r="AF847" i="12" s="1"/>
  <c r="AG848" i="12"/>
  <c r="AD813" i="12"/>
  <c r="AD1723" i="12"/>
  <c r="AF2245" i="12"/>
  <c r="AB83" i="12"/>
  <c r="AB2354" i="12"/>
  <c r="AG2355" i="12"/>
  <c r="AD984" i="12"/>
  <c r="AF985" i="12"/>
  <c r="AD2143" i="12"/>
  <c r="AF2144" i="12"/>
  <c r="AD228" i="12"/>
  <c r="AF229" i="12"/>
  <c r="AD2493" i="12"/>
  <c r="AD706" i="12"/>
  <c r="AF707" i="12"/>
  <c r="AD1583" i="12"/>
  <c r="AB1234" i="12"/>
  <c r="AG1235" i="12"/>
  <c r="AD2033" i="12"/>
  <c r="AB2525" i="12"/>
  <c r="AF2525" i="12" s="1"/>
  <c r="AG2526" i="12"/>
  <c r="AD2243" i="12"/>
  <c r="AB2423" i="12"/>
  <c r="AG2424" i="12"/>
  <c r="AD2714" i="12"/>
  <c r="AB475" i="12"/>
  <c r="AG476" i="12"/>
  <c r="AB1933" i="12"/>
  <c r="AG1934" i="12"/>
  <c r="AD2423" i="12"/>
  <c r="AF2424" i="12"/>
  <c r="AD2927" i="12"/>
  <c r="AF2928" i="12"/>
  <c r="AD1205" i="12"/>
  <c r="AF1206" i="12"/>
  <c r="AB2633" i="12"/>
  <c r="AG2634" i="12"/>
  <c r="AD1933" i="12"/>
  <c r="AF1934" i="12"/>
  <c r="AB1264" i="12"/>
  <c r="AG1265" i="12"/>
  <c r="AB1053" i="12"/>
  <c r="AG1054" i="12"/>
  <c r="AB2074" i="12"/>
  <c r="AF2074" i="12" s="1"/>
  <c r="AG2075" i="12"/>
  <c r="AB1304" i="12"/>
  <c r="AG1305" i="12"/>
  <c r="AD1793" i="12"/>
  <c r="AD1403" i="12"/>
  <c r="AB604" i="12"/>
  <c r="AB814" i="12"/>
  <c r="AG815" i="12"/>
  <c r="AB323" i="12"/>
  <c r="AG324" i="12"/>
  <c r="AF2995" i="12"/>
  <c r="AG2996" i="12"/>
  <c r="AB144" i="12"/>
  <c r="AB54" i="12"/>
  <c r="AD1862" i="12"/>
  <c r="AD2004" i="12"/>
  <c r="AB706" i="12"/>
  <c r="AG707" i="12"/>
  <c r="AB284" i="12"/>
  <c r="AB745" i="12"/>
  <c r="AF745" i="12" s="1"/>
  <c r="AG746" i="12"/>
  <c r="AD1444" i="12"/>
  <c r="AF1445" i="12"/>
  <c r="AB1863" i="12"/>
  <c r="AG1864" i="12"/>
  <c r="AB1164" i="12"/>
  <c r="AG1165" i="12"/>
  <c r="AB1584" i="12"/>
  <c r="AF1584" i="12" s="1"/>
  <c r="AG1585" i="12"/>
  <c r="AD956" i="12"/>
  <c r="AB1404" i="12"/>
  <c r="AG1405" i="12"/>
  <c r="AB635" i="12"/>
  <c r="AG636" i="12"/>
  <c r="AB224" i="12"/>
  <c r="AD1472" i="12"/>
  <c r="AB2005" i="12"/>
  <c r="AG2006" i="12"/>
  <c r="AB1024" i="12"/>
  <c r="AG1025" i="12"/>
  <c r="AB957" i="12"/>
  <c r="AF957" i="12" s="1"/>
  <c r="AG958" i="12"/>
  <c r="AD1303" i="12"/>
  <c r="AD2633" i="12"/>
  <c r="AF2634" i="12"/>
  <c r="AB1205" i="12"/>
  <c r="AG1206" i="12"/>
  <c r="AB984" i="12"/>
  <c r="AG985" i="12"/>
  <c r="AB1444" i="12"/>
  <c r="AG1445" i="12"/>
  <c r="AD1023" i="12"/>
  <c r="AB774" i="12"/>
  <c r="AG775" i="12"/>
  <c r="AD1053" i="12"/>
  <c r="AF1054" i="12"/>
  <c r="AD290" i="12"/>
  <c r="AF291" i="12"/>
  <c r="AG3026" i="12"/>
  <c r="AD1373" i="12"/>
  <c r="AD1163" i="12"/>
  <c r="AD2354" i="12"/>
  <c r="AF2355" i="12"/>
  <c r="AF2075" i="12"/>
  <c r="AF848" i="12"/>
  <c r="AB1473" i="12"/>
  <c r="AF1473" i="12" s="1"/>
  <c r="AG1474" i="12"/>
  <c r="AB1534" i="12"/>
  <c r="AF1534" i="12" s="1"/>
  <c r="AG1535" i="12"/>
  <c r="AB1335" i="12"/>
  <c r="AG1336" i="12"/>
  <c r="AB1794" i="12"/>
  <c r="AG1795" i="12"/>
  <c r="AB2095" i="12"/>
  <c r="AF2095" i="12" s="1"/>
  <c r="AG2096" i="12"/>
  <c r="AB2665" i="12"/>
  <c r="AG2666" i="12"/>
  <c r="AD1533" i="12"/>
  <c r="AF2526" i="12"/>
  <c r="AB2143" i="12"/>
  <c r="AG2144" i="12"/>
  <c r="AD324" i="12"/>
  <c r="AF325" i="12"/>
  <c r="AB1654" i="12"/>
  <c r="AF1654" i="12" s="1"/>
  <c r="AG1655" i="12"/>
  <c r="AE290" i="12"/>
  <c r="AG291" i="12"/>
  <c r="AD1335" i="12"/>
  <c r="AF1336" i="12"/>
  <c r="AB2034" i="12"/>
  <c r="AG2035" i="12"/>
  <c r="AD744" i="12"/>
  <c r="AB416" i="12"/>
  <c r="AB1374" i="12"/>
  <c r="AF1374" i="12" s="1"/>
  <c r="AG1375" i="12"/>
  <c r="AD2073" i="12"/>
  <c r="AD2313" i="12"/>
  <c r="AB2595" i="12"/>
  <c r="AG2596" i="12"/>
  <c r="AD846" i="12"/>
  <c r="AF1235" i="12"/>
  <c r="AD2524" i="12"/>
  <c r="AB2314" i="12"/>
  <c r="AG2315" i="12"/>
  <c r="AB2715" i="12"/>
  <c r="AG2716" i="12"/>
  <c r="Q2612" i="12"/>
  <c r="Q993" i="12"/>
  <c r="Q601" i="12"/>
  <c r="Q744" i="12"/>
  <c r="Q1491" i="12"/>
  <c r="Q1691" i="12"/>
  <c r="Q921" i="12"/>
  <c r="Q1531" i="12"/>
  <c r="Q232" i="12"/>
  <c r="Q1920" i="12"/>
  <c r="Q1093" i="12"/>
  <c r="Q671" i="12"/>
  <c r="Q403" i="12"/>
  <c r="Q262" i="12"/>
  <c r="Q2753" i="12"/>
  <c r="Q22" i="12"/>
  <c r="Q811" i="12"/>
  <c r="Q3053" i="12"/>
  <c r="Q2201" i="12"/>
  <c r="Q2843" i="12"/>
  <c r="Q2891" i="12"/>
  <c r="J24" i="13"/>
  <c r="J25" i="13" s="1"/>
  <c r="J26" i="13" s="1"/>
  <c r="AD3293" i="12" l="1"/>
  <c r="AF3294" i="12"/>
  <c r="AB3293" i="12"/>
  <c r="AG3294" i="12"/>
  <c r="O3134" i="12"/>
  <c r="Q3133" i="12"/>
  <c r="AF2946" i="12"/>
  <c r="AG3025" i="12"/>
  <c r="AD2632" i="12"/>
  <c r="AF2633" i="12"/>
  <c r="AB634" i="12"/>
  <c r="AG635" i="12"/>
  <c r="AB1163" i="12"/>
  <c r="AF1163" i="12" s="1"/>
  <c r="AG1164" i="12"/>
  <c r="AB53" i="12"/>
  <c r="AB1303" i="12"/>
  <c r="AF1303" i="12" s="1"/>
  <c r="AG1304" i="12"/>
  <c r="AD1932" i="12"/>
  <c r="AF1933" i="12"/>
  <c r="AD2422" i="12"/>
  <c r="AF2423" i="12"/>
  <c r="AB2422" i="12"/>
  <c r="AG2423" i="12"/>
  <c r="AB1233" i="12"/>
  <c r="AF1233" i="12" s="1"/>
  <c r="AG1234" i="12"/>
  <c r="AF228" i="12"/>
  <c r="AD227" i="12"/>
  <c r="AD1262" i="12"/>
  <c r="AD1232" i="12"/>
  <c r="AB2714" i="12"/>
  <c r="AF2714" i="12" s="1"/>
  <c r="AG2715" i="12"/>
  <c r="AB1793" i="12"/>
  <c r="AF1793" i="12" s="1"/>
  <c r="AG1794" i="12"/>
  <c r="AD1022" i="12"/>
  <c r="AB1023" i="12"/>
  <c r="AF1023" i="12" s="1"/>
  <c r="AG1024" i="12"/>
  <c r="AB283" i="12"/>
  <c r="AB813" i="12"/>
  <c r="AF813" i="12" s="1"/>
  <c r="AG814" i="12"/>
  <c r="AB2594" i="12"/>
  <c r="AF2594" i="12" s="1"/>
  <c r="AG2595" i="12"/>
  <c r="AB415" i="12"/>
  <c r="AE289" i="12"/>
  <c r="AG290" i="12"/>
  <c r="AF3025" i="12"/>
  <c r="AB2243" i="12"/>
  <c r="AG2244" i="12"/>
  <c r="AB2926" i="12"/>
  <c r="AG2927" i="12"/>
  <c r="AD1652" i="12"/>
  <c r="AD1532" i="12"/>
  <c r="AD2353" i="12"/>
  <c r="AF2354" i="12"/>
  <c r="AB1443" i="12"/>
  <c r="AG1444" i="12"/>
  <c r="AB2004" i="12"/>
  <c r="AF2004" i="12" s="1"/>
  <c r="AG2005" i="12"/>
  <c r="AB1862" i="12"/>
  <c r="AG1863" i="12"/>
  <c r="AB143" i="12"/>
  <c r="AB603" i="12"/>
  <c r="AB2073" i="12"/>
  <c r="AF2073" i="12" s="1"/>
  <c r="AG2074" i="12"/>
  <c r="AB2632" i="12"/>
  <c r="AG2633" i="12"/>
  <c r="AB1932" i="12"/>
  <c r="AG1933" i="12"/>
  <c r="AD2242" i="12"/>
  <c r="AD1582" i="12"/>
  <c r="AD2142" i="12"/>
  <c r="AF2143" i="12"/>
  <c r="AD2664" i="12"/>
  <c r="AF2665" i="12"/>
  <c r="AE608" i="12"/>
  <c r="AG609" i="12"/>
  <c r="AB2313" i="12"/>
  <c r="AF2313" i="12" s="1"/>
  <c r="AG2314" i="12"/>
  <c r="AF2314" i="12"/>
  <c r="AB1334" i="12"/>
  <c r="AG1335" i="12"/>
  <c r="AD289" i="12"/>
  <c r="AF290" i="12"/>
  <c r="AF3024" i="12"/>
  <c r="AB1403" i="12"/>
  <c r="AF1403" i="12" s="1"/>
  <c r="AG1404" i="12"/>
  <c r="AB705" i="12"/>
  <c r="AG706" i="12"/>
  <c r="AD2312" i="12"/>
  <c r="AD743" i="12"/>
  <c r="AB1653" i="12"/>
  <c r="AG1654" i="12"/>
  <c r="AF1164" i="12"/>
  <c r="AF1304" i="12"/>
  <c r="AF2005" i="12"/>
  <c r="AF1404" i="12"/>
  <c r="AD1722" i="12"/>
  <c r="AE227" i="12"/>
  <c r="AG228" i="12"/>
  <c r="AB1533" i="12"/>
  <c r="AG1534" i="12"/>
  <c r="AD1052" i="12"/>
  <c r="AF1053" i="12"/>
  <c r="AD1302" i="12"/>
  <c r="AD955" i="12"/>
  <c r="AD2003" i="12"/>
  <c r="AF2994" i="12"/>
  <c r="AG2995" i="12"/>
  <c r="AB1052" i="12"/>
  <c r="AG1053" i="12"/>
  <c r="AD1204" i="12"/>
  <c r="AF1205" i="12"/>
  <c r="AB474" i="12"/>
  <c r="AG475" i="12"/>
  <c r="AB2524" i="12"/>
  <c r="AF2524" i="12" s="1"/>
  <c r="AG2525" i="12"/>
  <c r="AD705" i="12"/>
  <c r="AF706" i="12"/>
  <c r="AD983" i="12"/>
  <c r="AF984" i="12"/>
  <c r="AF814" i="12"/>
  <c r="AB2493" i="12"/>
  <c r="AF2493" i="12" s="1"/>
  <c r="AG2494" i="12"/>
  <c r="AD773" i="12"/>
  <c r="AF774" i="12"/>
  <c r="AF3095" i="12"/>
  <c r="AB2664" i="12"/>
  <c r="AG2665" i="12"/>
  <c r="AD1162" i="12"/>
  <c r="AB983" i="12"/>
  <c r="AG984" i="12"/>
  <c r="AD1471" i="12"/>
  <c r="AD1443" i="12"/>
  <c r="AF1444" i="12"/>
  <c r="AD1402" i="12"/>
  <c r="AD2072" i="12"/>
  <c r="AB2033" i="12"/>
  <c r="AG2033" i="12" s="1"/>
  <c r="AG2034" i="12"/>
  <c r="AD323" i="12"/>
  <c r="AF324" i="12"/>
  <c r="AF1863" i="12"/>
  <c r="AF1794" i="12"/>
  <c r="AF2715" i="12"/>
  <c r="AF2034" i="12"/>
  <c r="AD812" i="12"/>
  <c r="AB1723" i="12"/>
  <c r="AG1724" i="12"/>
  <c r="AB1472" i="12"/>
  <c r="AF1472" i="12" s="1"/>
  <c r="AG1473" i="12"/>
  <c r="AB773" i="12"/>
  <c r="AG773" i="12" s="1"/>
  <c r="AG774" i="12"/>
  <c r="AB956" i="12"/>
  <c r="AF956" i="12" s="1"/>
  <c r="AG957" i="12"/>
  <c r="AB1583" i="12"/>
  <c r="AG1584" i="12"/>
  <c r="AD1861" i="12"/>
  <c r="AF1862" i="12"/>
  <c r="AB322" i="12"/>
  <c r="AG323" i="12"/>
  <c r="AD1792" i="12"/>
  <c r="AB1263" i="12"/>
  <c r="AG1264" i="12"/>
  <c r="AD2926" i="12"/>
  <c r="AF2927" i="12"/>
  <c r="AD2713" i="12"/>
  <c r="AD2492" i="12"/>
  <c r="AB2353" i="12"/>
  <c r="AG2354" i="12"/>
  <c r="AB362" i="12"/>
  <c r="AG3095" i="12"/>
  <c r="AF2595" i="12"/>
  <c r="AD2523" i="12"/>
  <c r="AB2094" i="12"/>
  <c r="AF2094" i="12" s="1"/>
  <c r="AG2095" i="12"/>
  <c r="AD1372" i="12"/>
  <c r="AB1204" i="12"/>
  <c r="AG1205" i="12"/>
  <c r="AB223" i="12"/>
  <c r="AB744" i="12"/>
  <c r="AF744" i="12" s="1"/>
  <c r="AG745" i="12"/>
  <c r="AD845" i="12"/>
  <c r="AB1373" i="12"/>
  <c r="AG1374" i="12"/>
  <c r="AD1334" i="12"/>
  <c r="AF1335" i="12"/>
  <c r="AB2142" i="12"/>
  <c r="AG2143" i="12"/>
  <c r="AF1024" i="12"/>
  <c r="AB846" i="12"/>
  <c r="AG847" i="12"/>
  <c r="AE428" i="12"/>
  <c r="AG429" i="12"/>
  <c r="AF1264" i="12"/>
  <c r="AF1234" i="12"/>
  <c r="AD2593" i="12"/>
  <c r="AD2093" i="12"/>
  <c r="Q2613" i="12"/>
  <c r="Q2844" i="12"/>
  <c r="Q23" i="12"/>
  <c r="Q672" i="12"/>
  <c r="Q1532" i="12"/>
  <c r="Q1492" i="12"/>
  <c r="Q1094" i="12"/>
  <c r="Q745" i="12"/>
  <c r="Q2202" i="12"/>
  <c r="Q2754" i="12"/>
  <c r="Q3054" i="12"/>
  <c r="Q263" i="12"/>
  <c r="Q1921" i="12"/>
  <c r="Q922" i="12"/>
  <c r="Q602" i="12"/>
  <c r="Q2892" i="12"/>
  <c r="Q812" i="12"/>
  <c r="Q404" i="12"/>
  <c r="Q233" i="12"/>
  <c r="Q1692" i="12"/>
  <c r="Q994" i="12"/>
  <c r="J27" i="13"/>
  <c r="AF2033" i="12" l="1"/>
  <c r="AB3292" i="12"/>
  <c r="AG3293" i="12"/>
  <c r="AD3292" i="12"/>
  <c r="AF3293" i="12"/>
  <c r="O3135" i="12"/>
  <c r="Q3134" i="12"/>
  <c r="AB2141" i="12"/>
  <c r="AG2142" i="12"/>
  <c r="AB2093" i="12"/>
  <c r="AG2093" i="12" s="1"/>
  <c r="AG2094" i="12"/>
  <c r="AD1860" i="12"/>
  <c r="AB2352" i="12"/>
  <c r="AG2353" i="12"/>
  <c r="AB473" i="12"/>
  <c r="AG474" i="12"/>
  <c r="AD2002" i="12"/>
  <c r="AB1532" i="12"/>
  <c r="AF1532" i="12" s="1"/>
  <c r="AG1533" i="12"/>
  <c r="AD2311" i="12"/>
  <c r="AD288" i="12"/>
  <c r="AF289" i="12"/>
  <c r="AB2593" i="12"/>
  <c r="AF2593" i="12" s="1"/>
  <c r="AG2594" i="12"/>
  <c r="AD1021" i="12"/>
  <c r="AD1261" i="12"/>
  <c r="AB222" i="12"/>
  <c r="AB1262" i="12"/>
  <c r="AF1262" i="12" s="1"/>
  <c r="AG1263" i="12"/>
  <c r="AB1582" i="12"/>
  <c r="AF1582" i="12" s="1"/>
  <c r="AG1583" i="12"/>
  <c r="AB1722" i="12"/>
  <c r="AG1723" i="12"/>
  <c r="AD322" i="12"/>
  <c r="AF323" i="12"/>
  <c r="AD1442" i="12"/>
  <c r="AF1443" i="12"/>
  <c r="AB2663" i="12"/>
  <c r="AG2664" i="12"/>
  <c r="AD2663" i="12"/>
  <c r="AF2664" i="12"/>
  <c r="AB1931" i="12"/>
  <c r="AG1932" i="12"/>
  <c r="AB142" i="12"/>
  <c r="AD2352" i="12"/>
  <c r="AF2353" i="12"/>
  <c r="AB2242" i="12"/>
  <c r="AF2242" i="12" s="1"/>
  <c r="AG2243" i="12"/>
  <c r="AD2421" i="12"/>
  <c r="AF2422" i="12"/>
  <c r="AB1162" i="12"/>
  <c r="AF1162" i="12" s="1"/>
  <c r="AG1163" i="12"/>
  <c r="AD1333" i="12"/>
  <c r="AF1334" i="12"/>
  <c r="AD2522" i="12"/>
  <c r="AE427" i="12"/>
  <c r="AG428" i="12"/>
  <c r="AD2491" i="12"/>
  <c r="AD982" i="12"/>
  <c r="AF983" i="12"/>
  <c r="AD1203" i="12"/>
  <c r="AF1204" i="12"/>
  <c r="AD954" i="12"/>
  <c r="AE226" i="12"/>
  <c r="AG227" i="12"/>
  <c r="AB704" i="12"/>
  <c r="AG705" i="12"/>
  <c r="AB1333" i="12"/>
  <c r="AG1334" i="12"/>
  <c r="AF1533" i="12"/>
  <c r="AB812" i="12"/>
  <c r="AF812" i="12" s="1"/>
  <c r="AG813" i="12"/>
  <c r="AB1792" i="12"/>
  <c r="AF1792" i="12" s="1"/>
  <c r="AG1793" i="12"/>
  <c r="AF227" i="12"/>
  <c r="AD226" i="12"/>
  <c r="AB1203" i="12"/>
  <c r="AG1204" i="12"/>
  <c r="AD1791" i="12"/>
  <c r="AB955" i="12"/>
  <c r="AG956" i="12"/>
  <c r="AD811" i="12"/>
  <c r="AD1470" i="12"/>
  <c r="AF3094" i="12"/>
  <c r="AD2141" i="12"/>
  <c r="AF2142" i="12"/>
  <c r="AB2631" i="12"/>
  <c r="AG2632" i="12"/>
  <c r="AB1861" i="12"/>
  <c r="AG1862" i="12"/>
  <c r="AD1531" i="12"/>
  <c r="AD1931" i="12"/>
  <c r="AF1932" i="12"/>
  <c r="AB633" i="12"/>
  <c r="AG634" i="12"/>
  <c r="AB1372" i="12"/>
  <c r="AG1373" i="12"/>
  <c r="AF2093" i="12"/>
  <c r="AB845" i="12"/>
  <c r="AF845" i="12" s="1"/>
  <c r="AG846" i="12"/>
  <c r="AF846" i="12"/>
  <c r="AF1373" i="12"/>
  <c r="AG3094" i="12"/>
  <c r="AD704" i="12"/>
  <c r="AF705" i="12"/>
  <c r="AB1051" i="12"/>
  <c r="AG1052" i="12"/>
  <c r="AD1301" i="12"/>
  <c r="AB1652" i="12"/>
  <c r="AF1652" i="12" s="1"/>
  <c r="AG1653" i="12"/>
  <c r="AB1402" i="12"/>
  <c r="AF1402" i="12" s="1"/>
  <c r="AG1403" i="12"/>
  <c r="AF1583" i="12"/>
  <c r="AF1653" i="12"/>
  <c r="AE288" i="12"/>
  <c r="AG289" i="12"/>
  <c r="AB282" i="12"/>
  <c r="AB2713" i="12"/>
  <c r="AG2714" i="12"/>
  <c r="AD1371" i="12"/>
  <c r="AB321" i="12"/>
  <c r="AG322" i="12"/>
  <c r="AD2071" i="12"/>
  <c r="AB982" i="12"/>
  <c r="AG983" i="12"/>
  <c r="AF773" i="12"/>
  <c r="AF1723" i="12"/>
  <c r="AB2312" i="12"/>
  <c r="AF2312" i="12" s="1"/>
  <c r="AG2313" i="12"/>
  <c r="AD1581" i="12"/>
  <c r="AB2072" i="12"/>
  <c r="AG2073" i="12"/>
  <c r="AB2003" i="12"/>
  <c r="AG2004" i="12"/>
  <c r="AD1651" i="12"/>
  <c r="AB1232" i="12"/>
  <c r="AF1232" i="12" s="1"/>
  <c r="AG1233" i="12"/>
  <c r="AB1302" i="12"/>
  <c r="AF1302" i="12" s="1"/>
  <c r="AG1303" i="12"/>
  <c r="AD2631" i="12"/>
  <c r="AF2632" i="12"/>
  <c r="AD844" i="12"/>
  <c r="AD2712" i="12"/>
  <c r="AD2592" i="12"/>
  <c r="AB361" i="12"/>
  <c r="AB2523" i="12"/>
  <c r="AF2523" i="12" s="1"/>
  <c r="AG2524" i="12"/>
  <c r="AG2994" i="12"/>
  <c r="AD1051" i="12"/>
  <c r="AF1052" i="12"/>
  <c r="AD1721" i="12"/>
  <c r="AF1722" i="12"/>
  <c r="AD742" i="12"/>
  <c r="AF2243" i="12"/>
  <c r="AB414" i="12"/>
  <c r="AB1022" i="12"/>
  <c r="AG1023" i="12"/>
  <c r="AD1231" i="12"/>
  <c r="AB743" i="12"/>
  <c r="AF743" i="12" s="1"/>
  <c r="AG744" i="12"/>
  <c r="AD2925" i="12"/>
  <c r="AF2926" i="12"/>
  <c r="AB1471" i="12"/>
  <c r="AF1471" i="12" s="1"/>
  <c r="AG1472" i="12"/>
  <c r="AD1401" i="12"/>
  <c r="AD1161" i="12"/>
  <c r="AB2492" i="12"/>
  <c r="AG2493" i="12"/>
  <c r="AE607" i="12"/>
  <c r="AG608" i="12"/>
  <c r="AD2241" i="12"/>
  <c r="AB602" i="12"/>
  <c r="AB1442" i="12"/>
  <c r="AG1443" i="12"/>
  <c r="AB2925" i="12"/>
  <c r="AG2926" i="12"/>
  <c r="AF1263" i="12"/>
  <c r="AB2421" i="12"/>
  <c r="AG2422" i="12"/>
  <c r="AB52" i="12"/>
  <c r="AG3024" i="12"/>
  <c r="Q2614" i="12"/>
  <c r="Q234" i="12"/>
  <c r="Q603" i="12"/>
  <c r="Q3055" i="12"/>
  <c r="Q746" i="12"/>
  <c r="Q1533" i="12"/>
  <c r="Q405" i="12"/>
  <c r="Q923" i="12"/>
  <c r="Q673" i="12"/>
  <c r="Q995" i="12"/>
  <c r="Q813" i="12"/>
  <c r="Q1922" i="12"/>
  <c r="Q2755" i="12"/>
  <c r="Q1095" i="12"/>
  <c r="Q24" i="12"/>
  <c r="Q1693" i="12"/>
  <c r="Q2893" i="12"/>
  <c r="Q264" i="12"/>
  <c r="Q2203" i="12"/>
  <c r="Q1493" i="12"/>
  <c r="Q2845" i="12"/>
  <c r="J28" i="13"/>
  <c r="AD3291" i="12" l="1"/>
  <c r="AF3292" i="12"/>
  <c r="AB3291" i="12"/>
  <c r="AG3292" i="12"/>
  <c r="O3136" i="12"/>
  <c r="Q3135" i="12"/>
  <c r="AF2992" i="12"/>
  <c r="AG2993" i="12"/>
  <c r="AD1580" i="12"/>
  <c r="AB281" i="12"/>
  <c r="AD2240" i="12"/>
  <c r="AD1400" i="12"/>
  <c r="AD1230" i="12"/>
  <c r="AF2993" i="12"/>
  <c r="AB1371" i="12"/>
  <c r="AF1371" i="12" s="1"/>
  <c r="AG1372" i="12"/>
  <c r="AB1860" i="12"/>
  <c r="AF1860" i="12" s="1"/>
  <c r="AG1861" i="12"/>
  <c r="AD1469" i="12"/>
  <c r="AB1202" i="12"/>
  <c r="AG1203" i="12"/>
  <c r="AD843" i="12"/>
  <c r="AB2311" i="12"/>
  <c r="AF2311" i="12" s="1"/>
  <c r="AG2312" i="12"/>
  <c r="AB320" i="12"/>
  <c r="AG321" i="12"/>
  <c r="AF226" i="12"/>
  <c r="AD225" i="12"/>
  <c r="AB1332" i="12"/>
  <c r="AG1333" i="12"/>
  <c r="AD1202" i="12"/>
  <c r="AF1203" i="12"/>
  <c r="AD2521" i="12"/>
  <c r="AB2241" i="12"/>
  <c r="AG2242" i="12"/>
  <c r="AD2662" i="12"/>
  <c r="AF2663" i="12"/>
  <c r="AB1721" i="12"/>
  <c r="AF1721" i="12" s="1"/>
  <c r="AG1722" i="12"/>
  <c r="AD1260" i="12"/>
  <c r="AD2310" i="12"/>
  <c r="AB2351" i="12"/>
  <c r="AG2352" i="12"/>
  <c r="AD741" i="12"/>
  <c r="AB2522" i="12"/>
  <c r="AF2522" i="12" s="1"/>
  <c r="AG2523" i="12"/>
  <c r="AD1650" i="12"/>
  <c r="AE287" i="12"/>
  <c r="AG288" i="12"/>
  <c r="AG3093" i="12"/>
  <c r="AB2924" i="12"/>
  <c r="AG2925" i="12"/>
  <c r="AE606" i="12"/>
  <c r="AG607" i="12"/>
  <c r="AB1470" i="12"/>
  <c r="AF1470" i="12" s="1"/>
  <c r="AG1471" i="12"/>
  <c r="AB1021" i="12"/>
  <c r="AF1021" i="12" s="1"/>
  <c r="AG1022" i="12"/>
  <c r="AF1372" i="12"/>
  <c r="AB632" i="12"/>
  <c r="AG633" i="12"/>
  <c r="AB2630" i="12"/>
  <c r="AG2631" i="12"/>
  <c r="AD810" i="12"/>
  <c r="AF1022" i="12"/>
  <c r="AF1861" i="12"/>
  <c r="AG3023" i="12"/>
  <c r="AD2630" i="12"/>
  <c r="AF2631" i="12"/>
  <c r="AB2002" i="12"/>
  <c r="AF2002" i="12" s="1"/>
  <c r="AG2003" i="12"/>
  <c r="AD1300" i="12"/>
  <c r="AB703" i="12"/>
  <c r="AG704" i="12"/>
  <c r="AD981" i="12"/>
  <c r="AF982" i="12"/>
  <c r="AD1332" i="12"/>
  <c r="AF1333" i="12"/>
  <c r="AD2351" i="12"/>
  <c r="AF2352" i="12"/>
  <c r="AB2662" i="12"/>
  <c r="AG2663" i="12"/>
  <c r="AB1581" i="12"/>
  <c r="AF1581" i="12" s="1"/>
  <c r="AG1582" i="12"/>
  <c r="AD1020" i="12"/>
  <c r="AB1531" i="12"/>
  <c r="AF1531" i="12" s="1"/>
  <c r="AG1532" i="12"/>
  <c r="AD1859" i="12"/>
  <c r="AD1720" i="12"/>
  <c r="AB360" i="12"/>
  <c r="AD1370" i="12"/>
  <c r="AB1441" i="12"/>
  <c r="AG1442" i="12"/>
  <c r="AB2491" i="12"/>
  <c r="AF2491" i="12" s="1"/>
  <c r="AG2492" i="12"/>
  <c r="AD2924" i="12"/>
  <c r="AF2925" i="12"/>
  <c r="AB413" i="12"/>
  <c r="AD1930" i="12"/>
  <c r="AF1931" i="12"/>
  <c r="AD2140" i="12"/>
  <c r="AF2141" i="12"/>
  <c r="AB954" i="12"/>
  <c r="AF954" i="12" s="1"/>
  <c r="AG955" i="12"/>
  <c r="AB1791" i="12"/>
  <c r="AF1791" i="12" s="1"/>
  <c r="AG1792" i="12"/>
  <c r="AF2492" i="12"/>
  <c r="AF2003" i="12"/>
  <c r="AB51" i="12"/>
  <c r="AD2591" i="12"/>
  <c r="AB2071" i="12"/>
  <c r="AF2071" i="12" s="1"/>
  <c r="AG2072" i="12"/>
  <c r="AB2712" i="12"/>
  <c r="AG2713" i="12"/>
  <c r="AB1050" i="12"/>
  <c r="AG1051" i="12"/>
  <c r="AE225" i="12"/>
  <c r="AG226" i="12"/>
  <c r="AD2490" i="12"/>
  <c r="AB1161" i="12"/>
  <c r="AF1161" i="12" s="1"/>
  <c r="AG1162" i="12"/>
  <c r="AB141" i="12"/>
  <c r="AD1441" i="12"/>
  <c r="AF1442" i="12"/>
  <c r="AB1261" i="12"/>
  <c r="AF1261" i="12" s="1"/>
  <c r="AG1262" i="12"/>
  <c r="AB2592" i="12"/>
  <c r="AG2593" i="12"/>
  <c r="AD2001" i="12"/>
  <c r="AD1050" i="12"/>
  <c r="AF1051" i="12"/>
  <c r="AB1301" i="12"/>
  <c r="AF1301" i="12" s="1"/>
  <c r="AG1302" i="12"/>
  <c r="AB981" i="12"/>
  <c r="AG982" i="12"/>
  <c r="AB1401" i="12"/>
  <c r="AF1401" i="12" s="1"/>
  <c r="AG1402" i="12"/>
  <c r="AB844" i="12"/>
  <c r="AG845" i="12"/>
  <c r="AB601" i="12"/>
  <c r="AD1160" i="12"/>
  <c r="AB742" i="12"/>
  <c r="AG743" i="12"/>
  <c r="AF3023" i="12"/>
  <c r="AF2713" i="12"/>
  <c r="AF2072" i="12"/>
  <c r="AD1530" i="12"/>
  <c r="AF3093" i="12"/>
  <c r="AD1790" i="12"/>
  <c r="AB811" i="12"/>
  <c r="AG812" i="12"/>
  <c r="AF955" i="12"/>
  <c r="AB2420" i="12"/>
  <c r="AG2421" i="12"/>
  <c r="AD2711" i="12"/>
  <c r="AB1231" i="12"/>
  <c r="AF1231" i="12" s="1"/>
  <c r="AG1232" i="12"/>
  <c r="AD2070" i="12"/>
  <c r="AB1651" i="12"/>
  <c r="AG1652" i="12"/>
  <c r="AD703" i="12"/>
  <c r="AF704" i="12"/>
  <c r="AD953" i="12"/>
  <c r="AE426" i="12"/>
  <c r="AG427" i="12"/>
  <c r="AD2420" i="12"/>
  <c r="AF2421" i="12"/>
  <c r="AB1930" i="12"/>
  <c r="AG1931" i="12"/>
  <c r="AD321" i="12"/>
  <c r="AF322" i="12"/>
  <c r="AB221" i="12"/>
  <c r="AD287" i="12"/>
  <c r="AF288" i="12"/>
  <c r="AB472" i="12"/>
  <c r="AG473" i="12"/>
  <c r="AB2140" i="12"/>
  <c r="AG2141" i="12"/>
  <c r="Q2615" i="12"/>
  <c r="Q2204" i="12"/>
  <c r="Q25" i="12"/>
  <c r="Q814" i="12"/>
  <c r="Q747" i="12"/>
  <c r="Q1694" i="12"/>
  <c r="Q265" i="12"/>
  <c r="Q1096" i="12"/>
  <c r="Q996" i="12"/>
  <c r="Q924" i="12"/>
  <c r="Q3056" i="12"/>
  <c r="Q2846" i="12"/>
  <c r="Q2894" i="12"/>
  <c r="Q2756" i="12"/>
  <c r="Q674" i="12"/>
  <c r="Q406" i="12"/>
  <c r="Q604" i="12"/>
  <c r="Q1494" i="12"/>
  <c r="Q1923" i="12"/>
  <c r="Q1534" i="12"/>
  <c r="Q235" i="12"/>
  <c r="J29" i="13"/>
  <c r="AB3290" i="12" l="1"/>
  <c r="AG3291" i="12"/>
  <c r="AD3290" i="12"/>
  <c r="AF3291" i="12"/>
  <c r="O3137" i="12"/>
  <c r="Q3136" i="12"/>
  <c r="AB471" i="12"/>
  <c r="AG472" i="12"/>
  <c r="AD702" i="12"/>
  <c r="AF703" i="12"/>
  <c r="AB741" i="12"/>
  <c r="AF741" i="12" s="1"/>
  <c r="AG742" i="12"/>
  <c r="AD2000" i="12"/>
  <c r="AB1049" i="12"/>
  <c r="AG1050" i="12"/>
  <c r="AF3092" i="12"/>
  <c r="AE605" i="12"/>
  <c r="AG606" i="12"/>
  <c r="AD1649" i="12"/>
  <c r="AD2309" i="12"/>
  <c r="AB2240" i="12"/>
  <c r="AF2240" i="12" s="1"/>
  <c r="AG2241" i="12"/>
  <c r="AD842" i="12"/>
  <c r="AB1370" i="12"/>
  <c r="AF1370" i="12" s="1"/>
  <c r="AG1371" i="12"/>
  <c r="AD286" i="12"/>
  <c r="AF287" i="12"/>
  <c r="AB1650" i="12"/>
  <c r="AF1650" i="12" s="1"/>
  <c r="AG1651" i="12"/>
  <c r="AD1159" i="12"/>
  <c r="AB2591" i="12"/>
  <c r="AF2591" i="12" s="1"/>
  <c r="AG2592" i="12"/>
  <c r="AB2711" i="12"/>
  <c r="AF2711" i="12" s="1"/>
  <c r="AG2712" i="12"/>
  <c r="AD1929" i="12"/>
  <c r="AF1930" i="12"/>
  <c r="AB1440" i="12"/>
  <c r="AG1441" i="12"/>
  <c r="AD1858" i="12"/>
  <c r="AB2661" i="12"/>
  <c r="AG2662" i="12"/>
  <c r="AB702" i="12"/>
  <c r="AG703" i="12"/>
  <c r="AF3021" i="12"/>
  <c r="AG3022" i="12"/>
  <c r="AB631" i="12"/>
  <c r="AG632" i="12"/>
  <c r="AB280" i="12"/>
  <c r="AD2419" i="12"/>
  <c r="AF2420" i="12"/>
  <c r="AB2419" i="12"/>
  <c r="AG2420" i="12"/>
  <c r="AB980" i="12"/>
  <c r="AG981" i="12"/>
  <c r="AB1160" i="12"/>
  <c r="AF1160" i="12" s="1"/>
  <c r="AG1161" i="12"/>
  <c r="AD1529" i="12"/>
  <c r="AB2923" i="12"/>
  <c r="AG2924" i="12"/>
  <c r="AB2521" i="12"/>
  <c r="AG2522" i="12"/>
  <c r="AD1259" i="12"/>
  <c r="AD2520" i="12"/>
  <c r="AB1201" i="12"/>
  <c r="AG1202" i="12"/>
  <c r="AB220" i="12"/>
  <c r="AD2069" i="12"/>
  <c r="AB1300" i="12"/>
  <c r="AF1300" i="12" s="1"/>
  <c r="AG1301" i="12"/>
  <c r="AD2489" i="12"/>
  <c r="AB2070" i="12"/>
  <c r="AF2070" i="12" s="1"/>
  <c r="AG2071" i="12"/>
  <c r="AB1790" i="12"/>
  <c r="AG1791" i="12"/>
  <c r="AB412" i="12"/>
  <c r="AD1369" i="12"/>
  <c r="AB1530" i="12"/>
  <c r="AF1530" i="12" s="1"/>
  <c r="AG1531" i="12"/>
  <c r="AD2350" i="12"/>
  <c r="AF2351" i="12"/>
  <c r="AD1299" i="12"/>
  <c r="AF742" i="12"/>
  <c r="AD1229" i="12"/>
  <c r="AD1579" i="12"/>
  <c r="AE425" i="12"/>
  <c r="AG426" i="12"/>
  <c r="AB600" i="12"/>
  <c r="AB1260" i="12"/>
  <c r="AG1261" i="12"/>
  <c r="AB810" i="12"/>
  <c r="AF810" i="12" s="1"/>
  <c r="AG811" i="12"/>
  <c r="AF2592" i="12"/>
  <c r="AF811" i="12"/>
  <c r="AB1020" i="12"/>
  <c r="AF1020" i="12" s="1"/>
  <c r="AG1021" i="12"/>
  <c r="AG3092" i="12"/>
  <c r="AD740" i="12"/>
  <c r="AB1720" i="12"/>
  <c r="AF1720" i="12" s="1"/>
  <c r="AG1721" i="12"/>
  <c r="AD1201" i="12"/>
  <c r="AF1202" i="12"/>
  <c r="AB319" i="12"/>
  <c r="AG320" i="12"/>
  <c r="AD1468" i="12"/>
  <c r="AB2139" i="12"/>
  <c r="AG2140" i="12"/>
  <c r="AD952" i="12"/>
  <c r="AB843" i="12"/>
  <c r="AG844" i="12"/>
  <c r="AD1440" i="12"/>
  <c r="AF1441" i="12"/>
  <c r="AD2590" i="12"/>
  <c r="AB953" i="12"/>
  <c r="AF953" i="12" s="1"/>
  <c r="AG954" i="12"/>
  <c r="AD2923" i="12"/>
  <c r="AF2924" i="12"/>
  <c r="AB359" i="12"/>
  <c r="AD1019" i="12"/>
  <c r="AD1331" i="12"/>
  <c r="AF1332" i="12"/>
  <c r="AB2001" i="12"/>
  <c r="AG2002" i="12"/>
  <c r="AD809" i="12"/>
  <c r="AD1399" i="12"/>
  <c r="AG2992" i="12"/>
  <c r="AD320" i="12"/>
  <c r="AF321" i="12"/>
  <c r="AB1230" i="12"/>
  <c r="AF1230" i="12" s="1"/>
  <c r="AG1231" i="12"/>
  <c r="AD1049" i="12"/>
  <c r="AF1050" i="12"/>
  <c r="AE224" i="12"/>
  <c r="AG225" i="12"/>
  <c r="AF2712" i="12"/>
  <c r="AD1789" i="12"/>
  <c r="AB1469" i="12"/>
  <c r="AG1470" i="12"/>
  <c r="AE286" i="12"/>
  <c r="AG287" i="12"/>
  <c r="AB2350" i="12"/>
  <c r="AG2351" i="12"/>
  <c r="AD2661" i="12"/>
  <c r="AF2662" i="12"/>
  <c r="AB1331" i="12"/>
  <c r="AG1332" i="12"/>
  <c r="AB2310" i="12"/>
  <c r="AG2311" i="12"/>
  <c r="AB1859" i="12"/>
  <c r="AF1859" i="12" s="1"/>
  <c r="AG1860" i="12"/>
  <c r="AF2241" i="12"/>
  <c r="AF3022" i="12"/>
  <c r="AB1929" i="12"/>
  <c r="AG1930" i="12"/>
  <c r="AD2710" i="12"/>
  <c r="AB1400" i="12"/>
  <c r="AG1401" i="12"/>
  <c r="AB140" i="12"/>
  <c r="AB50" i="12"/>
  <c r="AD2139" i="12"/>
  <c r="AF2140" i="12"/>
  <c r="AB2490" i="12"/>
  <c r="AF2490" i="12" s="1"/>
  <c r="AG2491" i="12"/>
  <c r="AD1719" i="12"/>
  <c r="AB1580" i="12"/>
  <c r="AG1581" i="12"/>
  <c r="AD980" i="12"/>
  <c r="AF981" i="12"/>
  <c r="AD2629" i="12"/>
  <c r="AF2630" i="12"/>
  <c r="AB2629" i="12"/>
  <c r="AG2630" i="12"/>
  <c r="AF1651" i="12"/>
  <c r="AF225" i="12"/>
  <c r="AD224" i="12"/>
  <c r="AF844" i="12"/>
  <c r="AD2239" i="12"/>
  <c r="Q2616" i="12"/>
  <c r="Q407" i="12"/>
  <c r="Q2847" i="12"/>
  <c r="Q1097" i="12"/>
  <c r="Q1924" i="12"/>
  <c r="Q675" i="12"/>
  <c r="Q3057" i="12"/>
  <c r="Q266" i="12"/>
  <c r="Q815" i="12"/>
  <c r="Q236" i="12"/>
  <c r="Q1495" i="12"/>
  <c r="Q2757" i="12"/>
  <c r="Q925" i="12"/>
  <c r="Q1695" i="12"/>
  <c r="Q26" i="12"/>
  <c r="Q1535" i="12"/>
  <c r="Q605" i="12"/>
  <c r="Q2895" i="12"/>
  <c r="Q997" i="12"/>
  <c r="Q748" i="12"/>
  <c r="Q2205" i="12"/>
  <c r="J30" i="13"/>
  <c r="AD3289" i="12" l="1"/>
  <c r="AF3290" i="12"/>
  <c r="AB3289" i="12"/>
  <c r="AG3290" i="12"/>
  <c r="O3138" i="12"/>
  <c r="Q3137" i="12"/>
  <c r="AB2628" i="12"/>
  <c r="AG2629" i="12"/>
  <c r="AB139" i="12"/>
  <c r="AD1788" i="12"/>
  <c r="AD319" i="12"/>
  <c r="AF320" i="12"/>
  <c r="AB2000" i="12"/>
  <c r="AF2000" i="12" s="1"/>
  <c r="AG2001" i="12"/>
  <c r="AD2922" i="12"/>
  <c r="AF2923" i="12"/>
  <c r="AB842" i="12"/>
  <c r="AF842" i="12" s="1"/>
  <c r="AG843" i="12"/>
  <c r="AB318" i="12"/>
  <c r="AG319" i="12"/>
  <c r="AG3091" i="12"/>
  <c r="AB1259" i="12"/>
  <c r="AG1260" i="12"/>
  <c r="AD1228" i="12"/>
  <c r="AF2001" i="12"/>
  <c r="AD2238" i="12"/>
  <c r="AB2489" i="12"/>
  <c r="AF2489" i="12" s="1"/>
  <c r="AG2490" i="12"/>
  <c r="AB1858" i="12"/>
  <c r="AF1858" i="12" s="1"/>
  <c r="AG1859" i="12"/>
  <c r="AD1368" i="12"/>
  <c r="AD2488" i="12"/>
  <c r="AB1200" i="12"/>
  <c r="AG1201" i="12"/>
  <c r="AB2520" i="12"/>
  <c r="AF2520" i="12" s="1"/>
  <c r="AG2521" i="12"/>
  <c r="AB979" i="12"/>
  <c r="AG980" i="12"/>
  <c r="AB630" i="12"/>
  <c r="AG631" i="12"/>
  <c r="AD1857" i="12"/>
  <c r="AB2590" i="12"/>
  <c r="AF2590" i="12" s="1"/>
  <c r="AG2591" i="12"/>
  <c r="AB1369" i="12"/>
  <c r="AF1369" i="12" s="1"/>
  <c r="AG1370" i="12"/>
  <c r="AD1648" i="12"/>
  <c r="AD1999" i="12"/>
  <c r="AD2628" i="12"/>
  <c r="AF2629" i="12"/>
  <c r="AB1399" i="12"/>
  <c r="AF1399" i="12" s="1"/>
  <c r="AG1400" i="12"/>
  <c r="AB2349" i="12"/>
  <c r="AG2350" i="12"/>
  <c r="AE223" i="12"/>
  <c r="AG224" i="12"/>
  <c r="AF2990" i="12"/>
  <c r="AG2991" i="12"/>
  <c r="AD1330" i="12"/>
  <c r="AF1331" i="12"/>
  <c r="AB952" i="12"/>
  <c r="AG953" i="12"/>
  <c r="AD951" i="12"/>
  <c r="AD1200" i="12"/>
  <c r="AF1201" i="12"/>
  <c r="AB1019" i="12"/>
  <c r="AF1019" i="12" s="1"/>
  <c r="AG1020" i="12"/>
  <c r="AB599" i="12"/>
  <c r="AF2991" i="12"/>
  <c r="AF843" i="12"/>
  <c r="AD979" i="12"/>
  <c r="AF980" i="12"/>
  <c r="AD2138" i="12"/>
  <c r="AF2139" i="12"/>
  <c r="AE285" i="12"/>
  <c r="AG286" i="12"/>
  <c r="AD1298" i="12"/>
  <c r="AB1299" i="12"/>
  <c r="AG1300" i="12"/>
  <c r="AB2922" i="12"/>
  <c r="AG2923" i="12"/>
  <c r="AB2418" i="12"/>
  <c r="AG2419" i="12"/>
  <c r="AF3020" i="12"/>
  <c r="AG3021" i="12"/>
  <c r="AB1439" i="12"/>
  <c r="AG1440" i="12"/>
  <c r="AD1158" i="12"/>
  <c r="AD841" i="12"/>
  <c r="AE604" i="12"/>
  <c r="AG605" i="12"/>
  <c r="AB740" i="12"/>
  <c r="AF740" i="12" s="1"/>
  <c r="AG741" i="12"/>
  <c r="AF224" i="12"/>
  <c r="AD223" i="12"/>
  <c r="AD2709" i="12"/>
  <c r="AB2309" i="12"/>
  <c r="AF2309" i="12" s="1"/>
  <c r="AG2310" i="12"/>
  <c r="AF1400" i="12"/>
  <c r="AB411" i="12"/>
  <c r="AD1048" i="12"/>
  <c r="AF1049" i="12"/>
  <c r="AD1398" i="12"/>
  <c r="AD1018" i="12"/>
  <c r="AD2589" i="12"/>
  <c r="AB2138" i="12"/>
  <c r="AG2139" i="12"/>
  <c r="AB1719" i="12"/>
  <c r="AF1719" i="12" s="1"/>
  <c r="AG1720" i="12"/>
  <c r="AE424" i="12"/>
  <c r="AG425" i="12"/>
  <c r="AF2521" i="12"/>
  <c r="AB49" i="12"/>
  <c r="AB1330" i="12"/>
  <c r="AG1331" i="12"/>
  <c r="AD2349" i="12"/>
  <c r="AF2350" i="12"/>
  <c r="AD2068" i="12"/>
  <c r="AD2519" i="12"/>
  <c r="AD1528" i="12"/>
  <c r="AD2418" i="12"/>
  <c r="AF2419" i="12"/>
  <c r="AB701" i="12"/>
  <c r="AG702" i="12"/>
  <c r="AD1928" i="12"/>
  <c r="AF1929" i="12"/>
  <c r="AB1649" i="12"/>
  <c r="AG1650" i="12"/>
  <c r="AB2239" i="12"/>
  <c r="AG2240" i="12"/>
  <c r="AF3091" i="12"/>
  <c r="AD701" i="12"/>
  <c r="AF702" i="12"/>
  <c r="AB1579" i="12"/>
  <c r="AF1579" i="12" s="1"/>
  <c r="AG1580" i="12"/>
  <c r="AB1928" i="12"/>
  <c r="AG1929" i="12"/>
  <c r="AB1468" i="12"/>
  <c r="AF1468" i="12" s="1"/>
  <c r="AG1469" i="12"/>
  <c r="AF1469" i="12"/>
  <c r="AF1580" i="12"/>
  <c r="AB1789" i="12"/>
  <c r="AF1789" i="12" s="1"/>
  <c r="AG1790" i="12"/>
  <c r="AF1790" i="12"/>
  <c r="AB1229" i="12"/>
  <c r="AF1229" i="12" s="1"/>
  <c r="AG1230" i="12"/>
  <c r="AD808" i="12"/>
  <c r="AB358" i="12"/>
  <c r="AD1439" i="12"/>
  <c r="AF1440" i="12"/>
  <c r="AD1467" i="12"/>
  <c r="AD739" i="12"/>
  <c r="AB809" i="12"/>
  <c r="AF809" i="12" s="1"/>
  <c r="AG810" i="12"/>
  <c r="AD1578" i="12"/>
  <c r="AF1260" i="12"/>
  <c r="AF2310" i="12"/>
  <c r="AD1718" i="12"/>
  <c r="AD2660" i="12"/>
  <c r="AF2661" i="12"/>
  <c r="AB1529" i="12"/>
  <c r="AG1530" i="12"/>
  <c r="AB2069" i="12"/>
  <c r="AG2070" i="12"/>
  <c r="AB219" i="12"/>
  <c r="AD1258" i="12"/>
  <c r="AF1259" i="12"/>
  <c r="AB1159" i="12"/>
  <c r="AG1160" i="12"/>
  <c r="AB279" i="12"/>
  <c r="AB2660" i="12"/>
  <c r="AG2661" i="12"/>
  <c r="AB2710" i="12"/>
  <c r="AG2711" i="12"/>
  <c r="AD285" i="12"/>
  <c r="AF286" i="12"/>
  <c r="AD2308" i="12"/>
  <c r="AB1048" i="12"/>
  <c r="AG1049" i="12"/>
  <c r="AB470" i="12"/>
  <c r="AG471" i="12"/>
  <c r="Q2617" i="12"/>
  <c r="Q998" i="12"/>
  <c r="Q27" i="12"/>
  <c r="Q1496" i="12"/>
  <c r="Q3058" i="12"/>
  <c r="Q1098" i="12"/>
  <c r="Q2896" i="12"/>
  <c r="Q1696" i="12"/>
  <c r="Q237" i="12"/>
  <c r="Q676" i="12"/>
  <c r="Q2848" i="12"/>
  <c r="Q2206" i="12"/>
  <c r="Q606" i="12"/>
  <c r="Q926" i="12"/>
  <c r="Q816" i="12"/>
  <c r="Q1925" i="12"/>
  <c r="Q408" i="12"/>
  <c r="Q749" i="12"/>
  <c r="Q1536" i="12"/>
  <c r="Q2758" i="12"/>
  <c r="Q267" i="12"/>
  <c r="J31" i="13"/>
  <c r="AB3288" i="12" l="1"/>
  <c r="AG3289" i="12"/>
  <c r="AD3288" i="12"/>
  <c r="AF3289" i="12"/>
  <c r="O3139" i="12"/>
  <c r="Q3138" i="12"/>
  <c r="AD700" i="12"/>
  <c r="AF701" i="12"/>
  <c r="AD1927" i="12"/>
  <c r="AF1928" i="12"/>
  <c r="AD2518" i="12"/>
  <c r="AB48" i="12"/>
  <c r="AD1157" i="12"/>
  <c r="AB2921" i="12"/>
  <c r="AG2922" i="12"/>
  <c r="AE284" i="12"/>
  <c r="AG285" i="12"/>
  <c r="AB598" i="12"/>
  <c r="AB951" i="12"/>
  <c r="AF951" i="12" s="1"/>
  <c r="AG952" i="12"/>
  <c r="AB2348" i="12"/>
  <c r="AG2349" i="12"/>
  <c r="AD1647" i="12"/>
  <c r="AB629" i="12"/>
  <c r="AG630" i="12"/>
  <c r="AD2487" i="12"/>
  <c r="AD2237" i="12"/>
  <c r="AD2307" i="12"/>
  <c r="AB278" i="12"/>
  <c r="AB2068" i="12"/>
  <c r="AF2068" i="12" s="1"/>
  <c r="AG2069" i="12"/>
  <c r="AD738" i="12"/>
  <c r="AD807" i="12"/>
  <c r="AF2069" i="12"/>
  <c r="AD2588" i="12"/>
  <c r="AB410" i="12"/>
  <c r="AB317" i="12"/>
  <c r="AG318" i="12"/>
  <c r="AD318" i="12"/>
  <c r="AF319" i="12"/>
  <c r="AF3090" i="12"/>
  <c r="AB700" i="12"/>
  <c r="AG701" i="12"/>
  <c r="AD2067" i="12"/>
  <c r="AB739" i="12"/>
  <c r="AG740" i="12"/>
  <c r="AB1438" i="12"/>
  <c r="AG1439" i="12"/>
  <c r="AD2137" i="12"/>
  <c r="AF2138" i="12"/>
  <c r="AB1018" i="12"/>
  <c r="AF1018" i="12" s="1"/>
  <c r="AG1019" i="12"/>
  <c r="AD1329" i="12"/>
  <c r="AF1330" i="12"/>
  <c r="AB1398" i="12"/>
  <c r="AF1398" i="12" s="1"/>
  <c r="AG1399" i="12"/>
  <c r="AB1368" i="12"/>
  <c r="AF1368" i="12" s="1"/>
  <c r="AG1369" i="12"/>
  <c r="AB978" i="12"/>
  <c r="AG979" i="12"/>
  <c r="AD1367" i="12"/>
  <c r="AB1467" i="12"/>
  <c r="AF1467" i="12" s="1"/>
  <c r="AG1468" i="12"/>
  <c r="AD284" i="12"/>
  <c r="AF285" i="12"/>
  <c r="AB1158" i="12"/>
  <c r="AG1159" i="12"/>
  <c r="AB1528" i="12"/>
  <c r="AF1528" i="12" s="1"/>
  <c r="AG1529" i="12"/>
  <c r="AD1466" i="12"/>
  <c r="AB1228" i="12"/>
  <c r="AG1229" i="12"/>
  <c r="AE423" i="12"/>
  <c r="AG424" i="12"/>
  <c r="AD1017" i="12"/>
  <c r="AD1227" i="12"/>
  <c r="AB841" i="12"/>
  <c r="AG842" i="12"/>
  <c r="AD1787" i="12"/>
  <c r="AB1927" i="12"/>
  <c r="AG1928" i="12"/>
  <c r="AD2417" i="12"/>
  <c r="AF2418" i="12"/>
  <c r="AD2348" i="12"/>
  <c r="AF2349" i="12"/>
  <c r="AB2308" i="12"/>
  <c r="AG2309" i="12"/>
  <c r="AE603" i="12"/>
  <c r="AG604" i="12"/>
  <c r="AG3020" i="12"/>
  <c r="AB1298" i="12"/>
  <c r="AG1299" i="12"/>
  <c r="AD978" i="12"/>
  <c r="AF979" i="12"/>
  <c r="AD1199" i="12"/>
  <c r="AF1200" i="12"/>
  <c r="AF2989" i="12"/>
  <c r="AG2990" i="12"/>
  <c r="AD2627" i="12"/>
  <c r="AF2628" i="12"/>
  <c r="AB2589" i="12"/>
  <c r="AG2590" i="12"/>
  <c r="AB2519" i="12"/>
  <c r="AF2519" i="12" s="1"/>
  <c r="AG2520" i="12"/>
  <c r="AB1857" i="12"/>
  <c r="AG1858" i="12"/>
  <c r="AB2238" i="12"/>
  <c r="AG2239" i="12"/>
  <c r="AB469" i="12"/>
  <c r="AG470" i="12"/>
  <c r="AB2709" i="12"/>
  <c r="AF2709" i="12" s="1"/>
  <c r="AG2710" i="12"/>
  <c r="AD1257" i="12"/>
  <c r="AD2659" i="12"/>
  <c r="AF2660" i="12"/>
  <c r="AD1577" i="12"/>
  <c r="AD1438" i="12"/>
  <c r="AF1439" i="12"/>
  <c r="AF1529" i="12"/>
  <c r="AB1718" i="12"/>
  <c r="AF1718" i="12" s="1"/>
  <c r="AG1719" i="12"/>
  <c r="AD1397" i="12"/>
  <c r="AF2710" i="12"/>
  <c r="AF1299" i="12"/>
  <c r="AF952" i="12"/>
  <c r="AB1258" i="12"/>
  <c r="AF1258" i="12" s="1"/>
  <c r="AG1259" i="12"/>
  <c r="AD2921" i="12"/>
  <c r="AF2922" i="12"/>
  <c r="AB138" i="12"/>
  <c r="AB1788" i="12"/>
  <c r="AG1789" i="12"/>
  <c r="AB1648" i="12"/>
  <c r="AF1648" i="12" s="1"/>
  <c r="AG1649" i="12"/>
  <c r="AD1527" i="12"/>
  <c r="AB1329" i="12"/>
  <c r="AG1330" i="12"/>
  <c r="AD2708" i="12"/>
  <c r="AD840" i="12"/>
  <c r="AB2417" i="12"/>
  <c r="AG2418" i="12"/>
  <c r="AD1297" i="12"/>
  <c r="AD950" i="12"/>
  <c r="AE222" i="12"/>
  <c r="AG223" i="12"/>
  <c r="AD1998" i="12"/>
  <c r="AD1856" i="12"/>
  <c r="AB1199" i="12"/>
  <c r="AG1200" i="12"/>
  <c r="AB2488" i="12"/>
  <c r="AG2489" i="12"/>
  <c r="AB1578" i="12"/>
  <c r="AG1579" i="12"/>
  <c r="AB1047" i="12"/>
  <c r="AG1048" i="12"/>
  <c r="AB2659" i="12"/>
  <c r="AG2660" i="12"/>
  <c r="AB218" i="12"/>
  <c r="AD1717" i="12"/>
  <c r="AB808" i="12"/>
  <c r="AG809" i="12"/>
  <c r="AB357" i="12"/>
  <c r="AB2137" i="12"/>
  <c r="AG2138" i="12"/>
  <c r="AD1047" i="12"/>
  <c r="AF1048" i="12"/>
  <c r="AF223" i="12"/>
  <c r="AD222" i="12"/>
  <c r="AF1159" i="12"/>
  <c r="AF1649" i="12"/>
  <c r="AF2239" i="12"/>
  <c r="AG3090" i="12"/>
  <c r="AB1999" i="12"/>
  <c r="AG2000" i="12"/>
  <c r="AB2627" i="12"/>
  <c r="AG2628" i="12"/>
  <c r="Q2618" i="12"/>
  <c r="Q268" i="12"/>
  <c r="Q409" i="12"/>
  <c r="Q607" i="12"/>
  <c r="Q238" i="12"/>
  <c r="Q3059" i="12"/>
  <c r="Q2207" i="12"/>
  <c r="Q1497" i="12"/>
  <c r="Q1537" i="12"/>
  <c r="Q817" i="12"/>
  <c r="Q2849" i="12"/>
  <c r="Q2897" i="12"/>
  <c r="Q28" i="12"/>
  <c r="Q1697" i="12"/>
  <c r="Q2759" i="12"/>
  <c r="Q1926" i="12"/>
  <c r="Q750" i="12"/>
  <c r="Q927" i="12"/>
  <c r="Q677" i="12"/>
  <c r="Q1099" i="12"/>
  <c r="Q999" i="12"/>
  <c r="J32" i="13"/>
  <c r="AD3287" i="12" l="1"/>
  <c r="AF3288" i="12"/>
  <c r="AB3287" i="12"/>
  <c r="AG3288" i="12"/>
  <c r="O3140" i="12"/>
  <c r="Q3139" i="12"/>
  <c r="AB807" i="12"/>
  <c r="AF807" i="12" s="1"/>
  <c r="AG808" i="12"/>
  <c r="AD1855" i="12"/>
  <c r="AB1328" i="12"/>
  <c r="AG1329" i="12"/>
  <c r="AD1576" i="12"/>
  <c r="AB468" i="12"/>
  <c r="AG469" i="12"/>
  <c r="AD977" i="12"/>
  <c r="AF978" i="12"/>
  <c r="AB2307" i="12"/>
  <c r="AF2307" i="12" s="1"/>
  <c r="AG2308" i="12"/>
  <c r="AD1786" i="12"/>
  <c r="AE422" i="12"/>
  <c r="AG423" i="12"/>
  <c r="AB1157" i="12"/>
  <c r="AF1157" i="12" s="1"/>
  <c r="AG1158" i="12"/>
  <c r="AB977" i="12"/>
  <c r="AG978" i="12"/>
  <c r="AB1017" i="12"/>
  <c r="AF1017" i="12" s="1"/>
  <c r="AG1018" i="12"/>
  <c r="AB738" i="12"/>
  <c r="AF738" i="12" s="1"/>
  <c r="AG739" i="12"/>
  <c r="AD317" i="12"/>
  <c r="AF318" i="12"/>
  <c r="AF808" i="12"/>
  <c r="AB1046" i="12"/>
  <c r="AG1047" i="12"/>
  <c r="AD1296" i="12"/>
  <c r="AB137" i="12"/>
  <c r="AB2588" i="12"/>
  <c r="AF2588" i="12" s="1"/>
  <c r="AG2589" i="12"/>
  <c r="AB1998" i="12"/>
  <c r="AF1998" i="12" s="1"/>
  <c r="AG1999" i="12"/>
  <c r="AF1999" i="12"/>
  <c r="AD1396" i="12"/>
  <c r="AD806" i="12"/>
  <c r="AB277" i="12"/>
  <c r="AB628" i="12"/>
  <c r="AG629" i="12"/>
  <c r="AB597" i="12"/>
  <c r="AB47" i="12"/>
  <c r="AD1046" i="12"/>
  <c r="AF1047" i="12"/>
  <c r="AB1577" i="12"/>
  <c r="AF1577" i="12" s="1"/>
  <c r="AG1578" i="12"/>
  <c r="AD1526" i="12"/>
  <c r="AD2658" i="12"/>
  <c r="AF2659" i="12"/>
  <c r="AB2237" i="12"/>
  <c r="AF2237" i="12" s="1"/>
  <c r="AG2238" i="12"/>
  <c r="AB1297" i="12"/>
  <c r="AG1298" i="12"/>
  <c r="AD2347" i="12"/>
  <c r="AF2348" i="12"/>
  <c r="AB840" i="12"/>
  <c r="AG841" i="12"/>
  <c r="AB1227" i="12"/>
  <c r="AG1228" i="12"/>
  <c r="AD283" i="12"/>
  <c r="AF284" i="12"/>
  <c r="AB1367" i="12"/>
  <c r="AF1367" i="12" s="1"/>
  <c r="AG1368" i="12"/>
  <c r="AD2136" i="12"/>
  <c r="AF2137" i="12"/>
  <c r="AD2066" i="12"/>
  <c r="AB316" i="12"/>
  <c r="AG317" i="12"/>
  <c r="AF739" i="12"/>
  <c r="AF2308" i="12"/>
  <c r="AD1716" i="12"/>
  <c r="AD1997" i="12"/>
  <c r="AB2416" i="12"/>
  <c r="AG2417" i="12"/>
  <c r="AD2920" i="12"/>
  <c r="AF2921" i="12"/>
  <c r="AD2626" i="12"/>
  <c r="AF2627" i="12"/>
  <c r="AG3089" i="12"/>
  <c r="AF841" i="12"/>
  <c r="AB1717" i="12"/>
  <c r="AG1718" i="12"/>
  <c r="AF1228" i="12"/>
  <c r="AD737" i="12"/>
  <c r="AD2306" i="12"/>
  <c r="AD1646" i="12"/>
  <c r="AE283" i="12"/>
  <c r="AG284" i="12"/>
  <c r="AD2517" i="12"/>
  <c r="AB2136" i="12"/>
  <c r="AG2137" i="12"/>
  <c r="AB2487" i="12"/>
  <c r="AF2487" i="12" s="1"/>
  <c r="AG2488" i="12"/>
  <c r="AD839" i="12"/>
  <c r="AB1257" i="12"/>
  <c r="AG1258" i="12"/>
  <c r="AB1856" i="12"/>
  <c r="AG1857" i="12"/>
  <c r="AF3018" i="12"/>
  <c r="AG3019" i="12"/>
  <c r="AD2416" i="12"/>
  <c r="AF2417" i="12"/>
  <c r="AD1226" i="12"/>
  <c r="AD1465" i="12"/>
  <c r="AB1466" i="12"/>
  <c r="AG1467" i="12"/>
  <c r="AB1397" i="12"/>
  <c r="AF1397" i="12" s="1"/>
  <c r="AG1398" i="12"/>
  <c r="AB699" i="12"/>
  <c r="AG700" i="12"/>
  <c r="AB409" i="12"/>
  <c r="AF3019" i="12"/>
  <c r="AF2238" i="12"/>
  <c r="AB217" i="12"/>
  <c r="AE221" i="12"/>
  <c r="AG222" i="12"/>
  <c r="AB1647" i="12"/>
  <c r="AF1647" i="12" s="1"/>
  <c r="AG1648" i="12"/>
  <c r="AD1256" i="12"/>
  <c r="AF2988" i="12"/>
  <c r="AG2989" i="12"/>
  <c r="AF2589" i="12"/>
  <c r="AD2236" i="12"/>
  <c r="AB2347" i="12"/>
  <c r="AG2348" i="12"/>
  <c r="AB2920" i="12"/>
  <c r="AG2921" i="12"/>
  <c r="AD1926" i="12"/>
  <c r="AF1927" i="12"/>
  <c r="AB2658" i="12"/>
  <c r="AG2659" i="12"/>
  <c r="AD949" i="12"/>
  <c r="AB1787" i="12"/>
  <c r="AF1787" i="12" s="1"/>
  <c r="AG1788" i="12"/>
  <c r="AB2708" i="12"/>
  <c r="AF2708" i="12" s="1"/>
  <c r="AG2709" i="12"/>
  <c r="AD1198" i="12"/>
  <c r="AF1199" i="12"/>
  <c r="AE602" i="12"/>
  <c r="AG603" i="12"/>
  <c r="AB1926" i="12"/>
  <c r="AG1927" i="12"/>
  <c r="AD1016" i="12"/>
  <c r="AB1527" i="12"/>
  <c r="AG1528" i="12"/>
  <c r="AD1366" i="12"/>
  <c r="AD1328" i="12"/>
  <c r="AF1329" i="12"/>
  <c r="AB1437" i="12"/>
  <c r="AG1438" i="12"/>
  <c r="AF3089" i="12"/>
  <c r="AD2587" i="12"/>
  <c r="AF2488" i="12"/>
  <c r="AF1158" i="12"/>
  <c r="AB356" i="12"/>
  <c r="AB1198" i="12"/>
  <c r="AG1199" i="12"/>
  <c r="AD2707" i="12"/>
  <c r="AD1437" i="12"/>
  <c r="AF1438" i="12"/>
  <c r="AB2518" i="12"/>
  <c r="AG2519" i="12"/>
  <c r="AB2626" i="12"/>
  <c r="AG2627" i="12"/>
  <c r="AF222" i="12"/>
  <c r="AD221" i="12"/>
  <c r="AF1857" i="12"/>
  <c r="AF1298" i="12"/>
  <c r="AF1578" i="12"/>
  <c r="AF1788" i="12"/>
  <c r="AB2067" i="12"/>
  <c r="AG2068" i="12"/>
  <c r="AD2486" i="12"/>
  <c r="AB950" i="12"/>
  <c r="AF950" i="12" s="1"/>
  <c r="AG951" i="12"/>
  <c r="AD1156" i="12"/>
  <c r="AD699" i="12"/>
  <c r="AF700" i="12"/>
  <c r="Q2619" i="12"/>
  <c r="Q678" i="12"/>
  <c r="Q1927" i="12"/>
  <c r="Q2898" i="12"/>
  <c r="Q239" i="12"/>
  <c r="Q928" i="12"/>
  <c r="Q2760" i="12"/>
  <c r="Q2850" i="12"/>
  <c r="Q1498" i="12"/>
  <c r="Q608" i="12"/>
  <c r="Q1000" i="12"/>
  <c r="Q751" i="12"/>
  <c r="Q1698" i="12"/>
  <c r="Q818" i="12"/>
  <c r="Q2208" i="12"/>
  <c r="Q410" i="12"/>
  <c r="Q1100" i="12"/>
  <c r="Q29" i="12"/>
  <c r="Q1538" i="12"/>
  <c r="Q3060" i="12"/>
  <c r="Q269" i="12"/>
  <c r="J33" i="13"/>
  <c r="AB3286" i="12" l="1"/>
  <c r="AG3287" i="12"/>
  <c r="AD3286" i="12"/>
  <c r="AF3287" i="12"/>
  <c r="O3141" i="12"/>
  <c r="Q3140" i="12"/>
  <c r="AD698" i="12"/>
  <c r="AF699" i="12"/>
  <c r="AB2066" i="12"/>
  <c r="AF2066" i="12" s="1"/>
  <c r="AG2067" i="12"/>
  <c r="AB2625" i="12"/>
  <c r="AG2626" i="12"/>
  <c r="AB1197" i="12"/>
  <c r="AG1198" i="12"/>
  <c r="AF3088" i="12"/>
  <c r="AB1526" i="12"/>
  <c r="AF1526" i="12" s="1"/>
  <c r="AG1527" i="12"/>
  <c r="AD1197" i="12"/>
  <c r="AF1198" i="12"/>
  <c r="AB2657" i="12"/>
  <c r="AG2658" i="12"/>
  <c r="AD2235" i="12"/>
  <c r="AB1716" i="12"/>
  <c r="AG1717" i="12"/>
  <c r="AD1295" i="12"/>
  <c r="AB1646" i="12"/>
  <c r="AF1646" i="12" s="1"/>
  <c r="AG1647" i="12"/>
  <c r="AB1465" i="12"/>
  <c r="AF1465" i="12" s="1"/>
  <c r="AG1466" i="12"/>
  <c r="AF3017" i="12"/>
  <c r="AG3018" i="12"/>
  <c r="AB2486" i="12"/>
  <c r="AF2486" i="12" s="1"/>
  <c r="AG2487" i="12"/>
  <c r="AD1645" i="12"/>
  <c r="AB2415" i="12"/>
  <c r="AG2416" i="12"/>
  <c r="AB315" i="12"/>
  <c r="AG316" i="12"/>
  <c r="AD282" i="12"/>
  <c r="AF283" i="12"/>
  <c r="AB1296" i="12"/>
  <c r="AG1297" i="12"/>
  <c r="AB1576" i="12"/>
  <c r="AF1576" i="12" s="1"/>
  <c r="AG1577" i="12"/>
  <c r="AB627" i="12"/>
  <c r="AG628" i="12"/>
  <c r="AB1016" i="12"/>
  <c r="AF1016" i="12" s="1"/>
  <c r="AG1017" i="12"/>
  <c r="AD1785" i="12"/>
  <c r="AD1575" i="12"/>
  <c r="AD1255" i="12"/>
  <c r="AB408" i="12"/>
  <c r="AD1155" i="12"/>
  <c r="AB2517" i="12"/>
  <c r="AG2518" i="12"/>
  <c r="AB355" i="12"/>
  <c r="AB1436" i="12"/>
  <c r="AG1437" i="12"/>
  <c r="AD1015" i="12"/>
  <c r="AB2707" i="12"/>
  <c r="AF2707" i="12" s="1"/>
  <c r="AG2708" i="12"/>
  <c r="AD1925" i="12"/>
  <c r="AF1926" i="12"/>
  <c r="AF1466" i="12"/>
  <c r="AF2067" i="12"/>
  <c r="AB1997" i="12"/>
  <c r="AF1997" i="12" s="1"/>
  <c r="AG1998" i="12"/>
  <c r="AB1045" i="12"/>
  <c r="AG1046" i="12"/>
  <c r="AB698" i="12"/>
  <c r="AG699" i="12"/>
  <c r="AB1855" i="12"/>
  <c r="AG1856" i="12"/>
  <c r="AD2305" i="12"/>
  <c r="AG3088" i="12"/>
  <c r="AD1996" i="12"/>
  <c r="AD2065" i="12"/>
  <c r="AB1226" i="12"/>
  <c r="AF1226" i="12" s="1"/>
  <c r="AG1227" i="12"/>
  <c r="AB2236" i="12"/>
  <c r="AG2237" i="12"/>
  <c r="AD1045" i="12"/>
  <c r="AF1046" i="12"/>
  <c r="AB276" i="12"/>
  <c r="AB976" i="12"/>
  <c r="AG976" i="12" s="1"/>
  <c r="AG977" i="12"/>
  <c r="AB2306" i="12"/>
  <c r="AG2307" i="12"/>
  <c r="AB1327" i="12"/>
  <c r="AG1328" i="12"/>
  <c r="AE220" i="12"/>
  <c r="AG221" i="12"/>
  <c r="AD1464" i="12"/>
  <c r="AB2135" i="12"/>
  <c r="AG2136" i="12"/>
  <c r="AB949" i="12"/>
  <c r="AF949" i="12" s="1"/>
  <c r="AG950" i="12"/>
  <c r="AD1436" i="12"/>
  <c r="AF1437" i="12"/>
  <c r="AD1327" i="12"/>
  <c r="AF1328" i="12"/>
  <c r="AB1925" i="12"/>
  <c r="AG1926" i="12"/>
  <c r="AB1786" i="12"/>
  <c r="AF1786" i="12" s="1"/>
  <c r="AG1787" i="12"/>
  <c r="AB2919" i="12"/>
  <c r="AG2920" i="12"/>
  <c r="AF1227" i="12"/>
  <c r="AF2518" i="12"/>
  <c r="AF1717" i="12"/>
  <c r="AB2587" i="12"/>
  <c r="AG2588" i="12"/>
  <c r="AF1856" i="12"/>
  <c r="AF2987" i="12"/>
  <c r="AG2988" i="12"/>
  <c r="AB216" i="12"/>
  <c r="AD1225" i="12"/>
  <c r="AD2516" i="12"/>
  <c r="AD2625" i="12"/>
  <c r="AF2626" i="12"/>
  <c r="AD1715" i="12"/>
  <c r="AD2135" i="12"/>
  <c r="AF2136" i="12"/>
  <c r="AB839" i="12"/>
  <c r="AF839" i="12" s="1"/>
  <c r="AG840" i="12"/>
  <c r="AD2657" i="12"/>
  <c r="AF2658" i="12"/>
  <c r="AB46" i="12"/>
  <c r="AD805" i="12"/>
  <c r="AD316" i="12"/>
  <c r="AF317" i="12"/>
  <c r="AB1156" i="12"/>
  <c r="AF1156" i="12" s="1"/>
  <c r="AG1157" i="12"/>
  <c r="AD976" i="12"/>
  <c r="AF977" i="12"/>
  <c r="AD1854" i="12"/>
  <c r="AF221" i="12"/>
  <c r="AD220" i="12"/>
  <c r="AB1256" i="12"/>
  <c r="AG1257" i="12"/>
  <c r="AD736" i="12"/>
  <c r="AD2485" i="12"/>
  <c r="AD2706" i="12"/>
  <c r="AD2586" i="12"/>
  <c r="AD1365" i="12"/>
  <c r="AE601" i="12"/>
  <c r="AG602" i="12"/>
  <c r="AD948" i="12"/>
  <c r="AB2346" i="12"/>
  <c r="AG2347" i="12"/>
  <c r="AF1257" i="12"/>
  <c r="AF840" i="12"/>
  <c r="AF1527" i="12"/>
  <c r="AB136" i="12"/>
  <c r="AB1396" i="12"/>
  <c r="AF1396" i="12" s="1"/>
  <c r="AG1397" i="12"/>
  <c r="AD2415" i="12"/>
  <c r="AF2416" i="12"/>
  <c r="AD838" i="12"/>
  <c r="AE282" i="12"/>
  <c r="AG283" i="12"/>
  <c r="AD2919" i="12"/>
  <c r="AF2920" i="12"/>
  <c r="AB1366" i="12"/>
  <c r="AF1366" i="12" s="1"/>
  <c r="AG1367" i="12"/>
  <c r="AD2346" i="12"/>
  <c r="AF2347" i="12"/>
  <c r="AD1525" i="12"/>
  <c r="AB596" i="12"/>
  <c r="AD1395" i="12"/>
  <c r="AF1297" i="12"/>
  <c r="AB737" i="12"/>
  <c r="AG738" i="12"/>
  <c r="AE421" i="12"/>
  <c r="AG422" i="12"/>
  <c r="AB467" i="12"/>
  <c r="AG468" i="12"/>
  <c r="AB806" i="12"/>
  <c r="AF806" i="12" s="1"/>
  <c r="AG807" i="12"/>
  <c r="Q2620" i="12"/>
  <c r="Q1539" i="12"/>
  <c r="Q411" i="12"/>
  <c r="Q752" i="12"/>
  <c r="Q2851" i="12"/>
  <c r="Q30" i="12"/>
  <c r="Q2209" i="12"/>
  <c r="Q1001" i="12"/>
  <c r="Q2761" i="12"/>
  <c r="Q2899" i="12"/>
  <c r="Q270" i="12"/>
  <c r="Q819" i="12"/>
  <c r="Q609" i="12"/>
  <c r="Q929" i="12"/>
  <c r="Q1928" i="12"/>
  <c r="Q3061" i="12"/>
  <c r="Q1101" i="12"/>
  <c r="Q1699" i="12"/>
  <c r="Q1499" i="12"/>
  <c r="Q240" i="12"/>
  <c r="Q679" i="12"/>
  <c r="J34" i="13"/>
  <c r="AD3285" i="12" l="1"/>
  <c r="AF3286" i="12"/>
  <c r="AB3285" i="12"/>
  <c r="AG3286" i="12"/>
  <c r="O3142" i="12"/>
  <c r="Q3141" i="12"/>
  <c r="AF976" i="12"/>
  <c r="AB2345" i="12"/>
  <c r="AG2346" i="12"/>
  <c r="AB1255" i="12"/>
  <c r="AF1255" i="12" s="1"/>
  <c r="AG1256" i="12"/>
  <c r="AB45" i="12"/>
  <c r="AB215" i="12"/>
  <c r="AD1326" i="12"/>
  <c r="AF1327" i="12"/>
  <c r="AD2304" i="12"/>
  <c r="AB2516" i="12"/>
  <c r="AF2516" i="12" s="1"/>
  <c r="AG2517" i="12"/>
  <c r="AB595" i="12"/>
  <c r="AD2918" i="12"/>
  <c r="AF2919" i="12"/>
  <c r="AB1395" i="12"/>
  <c r="AF1395" i="12" s="1"/>
  <c r="AG1396" i="12"/>
  <c r="AD947" i="12"/>
  <c r="AD2656" i="12"/>
  <c r="AF2657" i="12"/>
  <c r="AF2986" i="12"/>
  <c r="AG2987" i="12"/>
  <c r="AD1435" i="12"/>
  <c r="AF1436" i="12"/>
  <c r="AB275" i="12"/>
  <c r="AB1854" i="12"/>
  <c r="AF1854" i="12" s="1"/>
  <c r="AG1855" i="12"/>
  <c r="AD1154" i="12"/>
  <c r="AD1784" i="12"/>
  <c r="AB1295" i="12"/>
  <c r="AF1295" i="12" s="1"/>
  <c r="AG1296" i="12"/>
  <c r="AD1644" i="12"/>
  <c r="AB1645" i="12"/>
  <c r="AG1646" i="12"/>
  <c r="AB2656" i="12"/>
  <c r="AG2657" i="12"/>
  <c r="AB1196" i="12"/>
  <c r="AG1197" i="12"/>
  <c r="AE420" i="12"/>
  <c r="AG421" i="12"/>
  <c r="AD2705" i="12"/>
  <c r="AB1155" i="12"/>
  <c r="AG1156" i="12"/>
  <c r="AD2624" i="12"/>
  <c r="AF2625" i="12"/>
  <c r="AB2918" i="12"/>
  <c r="AG2919" i="12"/>
  <c r="AE219" i="12"/>
  <c r="AG220" i="12"/>
  <c r="AD2064" i="12"/>
  <c r="AD1014" i="12"/>
  <c r="AD1524" i="12"/>
  <c r="AE281" i="12"/>
  <c r="AG282" i="12"/>
  <c r="AB135" i="12"/>
  <c r="AF220" i="12"/>
  <c r="AD219" i="12"/>
  <c r="AF2517" i="12"/>
  <c r="AF1296" i="12"/>
  <c r="AE600" i="12"/>
  <c r="AG601" i="12"/>
  <c r="AD315" i="12"/>
  <c r="AF316" i="12"/>
  <c r="AD2515" i="12"/>
  <c r="AB1326" i="12"/>
  <c r="AG1327" i="12"/>
  <c r="AD1995" i="12"/>
  <c r="AB1435" i="12"/>
  <c r="AG1436" i="12"/>
  <c r="AB1015" i="12"/>
  <c r="AF1015" i="12" s="1"/>
  <c r="AG1016" i="12"/>
  <c r="AD281" i="12"/>
  <c r="AF282" i="12"/>
  <c r="AB2485" i="12"/>
  <c r="AF2485" i="12" s="1"/>
  <c r="AG2486" i="12"/>
  <c r="AD1294" i="12"/>
  <c r="AD1196" i="12"/>
  <c r="AF1197" i="12"/>
  <c r="AB2624" i="12"/>
  <c r="AG2625" i="12"/>
  <c r="AB736" i="12"/>
  <c r="AF736" i="12" s="1"/>
  <c r="AG737" i="12"/>
  <c r="AD2484" i="12"/>
  <c r="AB838" i="12"/>
  <c r="AF838" i="12" s="1"/>
  <c r="AG839" i="12"/>
  <c r="AB1785" i="12"/>
  <c r="AF1785" i="12" s="1"/>
  <c r="AG1786" i="12"/>
  <c r="AB948" i="12"/>
  <c r="AF948" i="12" s="1"/>
  <c r="AG949" i="12"/>
  <c r="AD1044" i="12"/>
  <c r="AF1045" i="12"/>
  <c r="AB697" i="12"/>
  <c r="AG698" i="12"/>
  <c r="AB407" i="12"/>
  <c r="AD2345" i="12"/>
  <c r="AF2346" i="12"/>
  <c r="AD837" i="12"/>
  <c r="AF737" i="12"/>
  <c r="AF1855" i="12"/>
  <c r="AB2586" i="12"/>
  <c r="AF2586" i="12" s="1"/>
  <c r="AG2587" i="12"/>
  <c r="AF1256" i="12"/>
  <c r="AB805" i="12"/>
  <c r="AF805" i="12" s="1"/>
  <c r="AG806" i="12"/>
  <c r="AD735" i="12"/>
  <c r="AD804" i="12"/>
  <c r="AD1224" i="12"/>
  <c r="AB2134" i="12"/>
  <c r="AG2135" i="12"/>
  <c r="AB2235" i="12"/>
  <c r="AF2235" i="12" s="1"/>
  <c r="AG2236" i="12"/>
  <c r="AB1044" i="12"/>
  <c r="AG1045" i="12"/>
  <c r="AD1924" i="12"/>
  <c r="AF1925" i="12"/>
  <c r="AD1254" i="12"/>
  <c r="AB626" i="12"/>
  <c r="AG627" i="12"/>
  <c r="AB314" i="12"/>
  <c r="AG315" i="12"/>
  <c r="AF3016" i="12"/>
  <c r="AG3017" i="12"/>
  <c r="AB1715" i="12"/>
  <c r="AF1715" i="12" s="1"/>
  <c r="AG1716" i="12"/>
  <c r="AB1525" i="12"/>
  <c r="AG1526" i="12"/>
  <c r="AB2065" i="12"/>
  <c r="AF2065" i="12" s="1"/>
  <c r="AG2066" i="12"/>
  <c r="AD1364" i="12"/>
  <c r="AD1853" i="12"/>
  <c r="AD2134" i="12"/>
  <c r="AF2135" i="12"/>
  <c r="AB1924" i="12"/>
  <c r="AG1925" i="12"/>
  <c r="AB2305" i="12"/>
  <c r="AG2306" i="12"/>
  <c r="AG3087" i="12"/>
  <c r="AB354" i="12"/>
  <c r="AD1394" i="12"/>
  <c r="AB1365" i="12"/>
  <c r="AF1365" i="12" s="1"/>
  <c r="AG1366" i="12"/>
  <c r="AD2414" i="12"/>
  <c r="AF2415" i="12"/>
  <c r="AF2587" i="12"/>
  <c r="AF1716" i="12"/>
  <c r="AF2306" i="12"/>
  <c r="AF2236" i="12"/>
  <c r="AB466" i="12"/>
  <c r="AG467" i="12"/>
  <c r="AD2585" i="12"/>
  <c r="AD1714" i="12"/>
  <c r="AD1463" i="12"/>
  <c r="AB1225" i="12"/>
  <c r="AF1225" i="12" s="1"/>
  <c r="AG1226" i="12"/>
  <c r="AB1996" i="12"/>
  <c r="AG1997" i="12"/>
  <c r="AB2706" i="12"/>
  <c r="AG2707" i="12"/>
  <c r="AD1574" i="12"/>
  <c r="AB1575" i="12"/>
  <c r="AF1575" i="12" s="1"/>
  <c r="AG1576" i="12"/>
  <c r="AB2414" i="12"/>
  <c r="AG2415" i="12"/>
  <c r="AB1464" i="12"/>
  <c r="AF1464" i="12" s="1"/>
  <c r="AG1465" i="12"/>
  <c r="AD2234" i="12"/>
  <c r="AF3087" i="12"/>
  <c r="AD697" i="12"/>
  <c r="AF698" i="12"/>
  <c r="Q2621" i="12"/>
  <c r="Q1500" i="12"/>
  <c r="Q1929" i="12"/>
  <c r="Q1002" i="12"/>
  <c r="Q2852" i="12"/>
  <c r="Q271" i="12"/>
  <c r="Q753" i="12"/>
  <c r="Q680" i="12"/>
  <c r="Q1102" i="12"/>
  <c r="Q610" i="12"/>
  <c r="Q2900" i="12"/>
  <c r="Q31" i="12"/>
  <c r="Q412" i="12"/>
  <c r="Q1700" i="12"/>
  <c r="Q2210" i="12"/>
  <c r="Q930" i="12"/>
  <c r="Q241" i="12"/>
  <c r="Q3062" i="12"/>
  <c r="Q820" i="12"/>
  <c r="Q2762" i="12"/>
  <c r="Q1540" i="12"/>
  <c r="J35" i="13"/>
  <c r="AB3284" i="12" l="1"/>
  <c r="AG3285" i="12"/>
  <c r="AD3284" i="12"/>
  <c r="AF3285" i="12"/>
  <c r="O3143" i="12"/>
  <c r="Q3142" i="12"/>
  <c r="AB1463" i="12"/>
  <c r="AG1463" i="12" s="1"/>
  <c r="AG1464" i="12"/>
  <c r="AB2705" i="12"/>
  <c r="AG2706" i="12"/>
  <c r="AB353" i="12"/>
  <c r="AD2133" i="12"/>
  <c r="AF2134" i="12"/>
  <c r="AB1524" i="12"/>
  <c r="AF1524" i="12" s="1"/>
  <c r="AG1525" i="12"/>
  <c r="AB625" i="12"/>
  <c r="AG626" i="12"/>
  <c r="AB2234" i="12"/>
  <c r="AF2234" i="12" s="1"/>
  <c r="AG2235" i="12"/>
  <c r="AD734" i="12"/>
  <c r="AF219" i="12"/>
  <c r="AD218" i="12"/>
  <c r="AD1043" i="12"/>
  <c r="AF1044" i="12"/>
  <c r="AD2483" i="12"/>
  <c r="AD1293" i="12"/>
  <c r="AB1434" i="12"/>
  <c r="AG1435" i="12"/>
  <c r="AD2514" i="12"/>
  <c r="AD1013" i="12"/>
  <c r="AD2623" i="12"/>
  <c r="AF2624" i="12"/>
  <c r="AB1195" i="12"/>
  <c r="AG1196" i="12"/>
  <c r="AB1294" i="12"/>
  <c r="AG1295" i="12"/>
  <c r="AB274" i="12"/>
  <c r="AB594" i="12"/>
  <c r="AB214" i="12"/>
  <c r="AD836" i="12"/>
  <c r="AD696" i="12"/>
  <c r="AF697" i="12"/>
  <c r="AB2413" i="12"/>
  <c r="AG2413" i="12" s="1"/>
  <c r="AG2414" i="12"/>
  <c r="AB1995" i="12"/>
  <c r="AF1995" i="12" s="1"/>
  <c r="AG1996" i="12"/>
  <c r="AD2584" i="12"/>
  <c r="AD2413" i="12"/>
  <c r="AF2414" i="12"/>
  <c r="AG3086" i="12"/>
  <c r="AB1714" i="12"/>
  <c r="AG1714" i="12" s="1"/>
  <c r="AG1715" i="12"/>
  <c r="AD1253" i="12"/>
  <c r="AB2133" i="12"/>
  <c r="AG2133" i="12" s="1"/>
  <c r="AG2134" i="12"/>
  <c r="AB804" i="12"/>
  <c r="AF804" i="12" s="1"/>
  <c r="AG805" i="12"/>
  <c r="AB947" i="12"/>
  <c r="AF947" i="12" s="1"/>
  <c r="AG948" i="12"/>
  <c r="AB2484" i="12"/>
  <c r="AG2485" i="12"/>
  <c r="AD314" i="12"/>
  <c r="AF315" i="12"/>
  <c r="AB134" i="12"/>
  <c r="AD2063" i="12"/>
  <c r="AB1154" i="12"/>
  <c r="AF1154" i="12" s="1"/>
  <c r="AG1155" i="12"/>
  <c r="AB2655" i="12"/>
  <c r="AG2656" i="12"/>
  <c r="AD1783" i="12"/>
  <c r="AD1434" i="12"/>
  <c r="AF1435" i="12"/>
  <c r="AD946" i="12"/>
  <c r="AB2515" i="12"/>
  <c r="AF2515" i="12" s="1"/>
  <c r="AG2516" i="12"/>
  <c r="AB44" i="12"/>
  <c r="AD2344" i="12"/>
  <c r="AF2345" i="12"/>
  <c r="AB735" i="12"/>
  <c r="AG736" i="12"/>
  <c r="AF3086" i="12"/>
  <c r="AB1574" i="12"/>
  <c r="AF1574" i="12" s="1"/>
  <c r="AG1575" i="12"/>
  <c r="AB1224" i="12"/>
  <c r="AG1224" i="12" s="1"/>
  <c r="AG1225" i="12"/>
  <c r="AB465" i="12"/>
  <c r="AG466" i="12"/>
  <c r="AB1364" i="12"/>
  <c r="AF1364" i="12" s="1"/>
  <c r="AG1365" i="12"/>
  <c r="AB2304" i="12"/>
  <c r="AF2304" i="12" s="1"/>
  <c r="AG2305" i="12"/>
  <c r="AD1363" i="12"/>
  <c r="AF3015" i="12"/>
  <c r="AG3016" i="12"/>
  <c r="AD1923" i="12"/>
  <c r="AF1924" i="12"/>
  <c r="AF1996" i="12"/>
  <c r="AF2706" i="12"/>
  <c r="AF1155" i="12"/>
  <c r="AF2305" i="12"/>
  <c r="AB2585" i="12"/>
  <c r="AF2585" i="12" s="1"/>
  <c r="AG2586" i="12"/>
  <c r="AB1784" i="12"/>
  <c r="AF1784" i="12" s="1"/>
  <c r="AG1785" i="12"/>
  <c r="AD280" i="12"/>
  <c r="AF281" i="12"/>
  <c r="AD1994" i="12"/>
  <c r="AE599" i="12"/>
  <c r="AG600" i="12"/>
  <c r="AE280" i="12"/>
  <c r="AG281" i="12"/>
  <c r="AE218" i="12"/>
  <c r="AG219" i="12"/>
  <c r="AD2704" i="12"/>
  <c r="AF2705" i="12"/>
  <c r="AB1644" i="12"/>
  <c r="AF1644" i="12" s="1"/>
  <c r="AG1645" i="12"/>
  <c r="AD1153" i="12"/>
  <c r="AG2986" i="12"/>
  <c r="AB1394" i="12"/>
  <c r="AF1394" i="12" s="1"/>
  <c r="AG1395" i="12"/>
  <c r="AD2303" i="12"/>
  <c r="AB1254" i="12"/>
  <c r="AF1254" i="12" s="1"/>
  <c r="AG1255" i="12"/>
  <c r="AB406" i="12"/>
  <c r="AB2623" i="12"/>
  <c r="AG2624" i="12"/>
  <c r="AD2233" i="12"/>
  <c r="AD1573" i="12"/>
  <c r="AD1393" i="12"/>
  <c r="AB1923" i="12"/>
  <c r="AG1923" i="12" s="1"/>
  <c r="AG1924" i="12"/>
  <c r="AB2064" i="12"/>
  <c r="AF2064" i="12" s="1"/>
  <c r="AG2065" i="12"/>
  <c r="AB313" i="12"/>
  <c r="AG314" i="12"/>
  <c r="AB1043" i="12"/>
  <c r="AG1043" i="12" s="1"/>
  <c r="AG1044" i="12"/>
  <c r="AD803" i="12"/>
  <c r="AF1525" i="12"/>
  <c r="AF1645" i="12"/>
  <c r="AB696" i="12"/>
  <c r="AG697" i="12"/>
  <c r="AB837" i="12"/>
  <c r="AG838" i="12"/>
  <c r="AD1195" i="12"/>
  <c r="AF1196" i="12"/>
  <c r="AB1014" i="12"/>
  <c r="AF1014" i="12" s="1"/>
  <c r="AG1015" i="12"/>
  <c r="AB1325" i="12"/>
  <c r="AG1326" i="12"/>
  <c r="AD1523" i="12"/>
  <c r="AB2917" i="12"/>
  <c r="AG2918" i="12"/>
  <c r="AE419" i="12"/>
  <c r="AG420" i="12"/>
  <c r="AD1643" i="12"/>
  <c r="AB1853" i="12"/>
  <c r="AG1853" i="12" s="1"/>
  <c r="AG1854" i="12"/>
  <c r="AD2655" i="12"/>
  <c r="AF2656" i="12"/>
  <c r="AD2917" i="12"/>
  <c r="AF2918" i="12"/>
  <c r="AD1325" i="12"/>
  <c r="AF1326" i="12"/>
  <c r="AB2344" i="12"/>
  <c r="AG2345" i="12"/>
  <c r="Q242" i="12"/>
  <c r="Q2622" i="12"/>
  <c r="Q2763" i="12"/>
  <c r="Q931" i="12"/>
  <c r="Q32" i="12"/>
  <c r="Q681" i="12"/>
  <c r="Q1003" i="12"/>
  <c r="Q821" i="12"/>
  <c r="Q2211" i="12"/>
  <c r="Q2901" i="12"/>
  <c r="Q754" i="12"/>
  <c r="Q1541" i="12"/>
  <c r="Q3063" i="12"/>
  <c r="Q1701" i="12"/>
  <c r="Q611" i="12"/>
  <c r="Q272" i="12"/>
  <c r="Q1930" i="12"/>
  <c r="Q413" i="12"/>
  <c r="Q1103" i="12"/>
  <c r="Q2853" i="12"/>
  <c r="Q1501" i="12"/>
  <c r="J36" i="13"/>
  <c r="AF1463" i="12" l="1"/>
  <c r="AD3283" i="12"/>
  <c r="AF3284" i="12"/>
  <c r="AB3283" i="12"/>
  <c r="AG3284" i="12"/>
  <c r="O3144" i="12"/>
  <c r="Q3143" i="12"/>
  <c r="AF2413" i="12"/>
  <c r="AF1224" i="12"/>
  <c r="AF1923" i="12"/>
  <c r="AF2133" i="12"/>
  <c r="AB2622" i="12"/>
  <c r="AG2623" i="12"/>
  <c r="AB1393" i="12"/>
  <c r="AG1393" i="12" s="1"/>
  <c r="AG1394" i="12"/>
  <c r="AD2703" i="12"/>
  <c r="AD1993" i="12"/>
  <c r="AD695" i="12"/>
  <c r="AF696" i="12"/>
  <c r="AD2622" i="12"/>
  <c r="AF2623" i="12"/>
  <c r="AD1292" i="12"/>
  <c r="AD733" i="12"/>
  <c r="AB2343" i="12"/>
  <c r="AG2343" i="12" s="1"/>
  <c r="AG2344" i="12"/>
  <c r="AD1522" i="12"/>
  <c r="AB836" i="12"/>
  <c r="AF836" i="12" s="1"/>
  <c r="AG837" i="12"/>
  <c r="AD1362" i="12"/>
  <c r="AD2343" i="12"/>
  <c r="AF2344" i="12"/>
  <c r="AD1433" i="12"/>
  <c r="AF1434" i="12"/>
  <c r="AB2483" i="12"/>
  <c r="AG2483" i="12" s="1"/>
  <c r="AG2484" i="12"/>
  <c r="AF837" i="12"/>
  <c r="AF2484" i="12"/>
  <c r="AB405" i="12"/>
  <c r="AG2985" i="12"/>
  <c r="AE217" i="12"/>
  <c r="AG218" i="12"/>
  <c r="AD279" i="12"/>
  <c r="AF280" i="12"/>
  <c r="AD2583" i="12"/>
  <c r="AD835" i="12"/>
  <c r="AB273" i="12"/>
  <c r="AD1012" i="12"/>
  <c r="AB2233" i="12"/>
  <c r="AF2233" i="12" s="1"/>
  <c r="AG2234" i="12"/>
  <c r="AB352" i="12"/>
  <c r="AB1324" i="12"/>
  <c r="AG1325" i="12"/>
  <c r="AB695" i="12"/>
  <c r="AG696" i="12"/>
  <c r="AB312" i="12"/>
  <c r="AG313" i="12"/>
  <c r="AB2303" i="12"/>
  <c r="AF2303" i="12" s="1"/>
  <c r="AG2304" i="12"/>
  <c r="AB1573" i="12"/>
  <c r="AG1573" i="12" s="1"/>
  <c r="AG1574" i="12"/>
  <c r="AB43" i="12"/>
  <c r="AB133" i="12"/>
  <c r="AB946" i="12"/>
  <c r="AF946" i="12" s="1"/>
  <c r="AG947" i="12"/>
  <c r="AF1714" i="12"/>
  <c r="AD1324" i="12"/>
  <c r="AF1325" i="12"/>
  <c r="AB1253" i="12"/>
  <c r="AG1253" i="12" s="1"/>
  <c r="AG1254" i="12"/>
  <c r="AD1152" i="12"/>
  <c r="AE279" i="12"/>
  <c r="AG280" i="12"/>
  <c r="AB1783" i="12"/>
  <c r="AG1783" i="12" s="1"/>
  <c r="AG1784" i="12"/>
  <c r="AF1853" i="12"/>
  <c r="AB1994" i="12"/>
  <c r="AF1994" i="12" s="1"/>
  <c r="AG1995" i="12"/>
  <c r="AB213" i="12"/>
  <c r="AB1293" i="12"/>
  <c r="AF1293" i="12" s="1"/>
  <c r="AG1294" i="12"/>
  <c r="AD2513" i="12"/>
  <c r="AF1043" i="12"/>
  <c r="AB624" i="12"/>
  <c r="AG624" i="12" s="1"/>
  <c r="AG625" i="12"/>
  <c r="AE418" i="12"/>
  <c r="AG419" i="12"/>
  <c r="AB1013" i="12"/>
  <c r="AG1014" i="12"/>
  <c r="AB2063" i="12"/>
  <c r="AG2063" i="12" s="1"/>
  <c r="AG2064" i="12"/>
  <c r="AB1363" i="12"/>
  <c r="AG1364" i="12"/>
  <c r="AF3085" i="12"/>
  <c r="AB2514" i="12"/>
  <c r="AG2515" i="12"/>
  <c r="AB2654" i="12"/>
  <c r="AG2655" i="12"/>
  <c r="AD313" i="12"/>
  <c r="AF314" i="12"/>
  <c r="AB803" i="12"/>
  <c r="AF803" i="12" s="1"/>
  <c r="AG804" i="12"/>
  <c r="AD217" i="12"/>
  <c r="AF218" i="12"/>
  <c r="AB2704" i="12"/>
  <c r="AG2705" i="12"/>
  <c r="AD2916" i="12"/>
  <c r="AF2917" i="12"/>
  <c r="AD2232" i="12"/>
  <c r="AD2302" i="12"/>
  <c r="AB1643" i="12"/>
  <c r="AG1643" i="12" s="1"/>
  <c r="AG1644" i="12"/>
  <c r="AE598" i="12"/>
  <c r="AG599" i="12"/>
  <c r="AB2584" i="12"/>
  <c r="AF2584" i="12" s="1"/>
  <c r="AG2585" i="12"/>
  <c r="AG3085" i="12"/>
  <c r="AB593" i="12"/>
  <c r="AB1194" i="12"/>
  <c r="AG1195" i="12"/>
  <c r="AB1433" i="12"/>
  <c r="AG1434" i="12"/>
  <c r="AB1523" i="12"/>
  <c r="AG1524" i="12"/>
  <c r="AD2654" i="12"/>
  <c r="AF2655" i="12"/>
  <c r="AB2916" i="12"/>
  <c r="AG2917" i="12"/>
  <c r="AD1194" i="12"/>
  <c r="AF1195" i="12"/>
  <c r="AD802" i="12"/>
  <c r="AG3014" i="12"/>
  <c r="AG3015" i="12"/>
  <c r="AB464" i="12"/>
  <c r="AG465" i="12"/>
  <c r="AB734" i="12"/>
  <c r="AG735" i="12"/>
  <c r="AD945" i="12"/>
  <c r="AB1153" i="12"/>
  <c r="AF1153" i="12" s="1"/>
  <c r="AG1154" i="12"/>
  <c r="AF2985" i="12"/>
  <c r="AF1294" i="12"/>
  <c r="AF735" i="12"/>
  <c r="Q2623" i="12"/>
  <c r="Q2854" i="12"/>
  <c r="Q1931" i="12"/>
  <c r="Q3064" i="12"/>
  <c r="Q2902" i="12"/>
  <c r="Q682" i="12"/>
  <c r="Q1104" i="12"/>
  <c r="Q273" i="12"/>
  <c r="Q1542" i="12"/>
  <c r="Q2212" i="12"/>
  <c r="Q33" i="12"/>
  <c r="Q414" i="12"/>
  <c r="Q612" i="12"/>
  <c r="Q822" i="12"/>
  <c r="Q932" i="12"/>
  <c r="Q1502" i="12"/>
  <c r="Q1702" i="12"/>
  <c r="Q755" i="12"/>
  <c r="Q1004" i="12"/>
  <c r="Q2764" i="12"/>
  <c r="J37" i="13"/>
  <c r="AB3282" i="12" l="1"/>
  <c r="AG3283" i="12"/>
  <c r="AD3282" i="12"/>
  <c r="AF3283" i="12"/>
  <c r="O3145" i="12"/>
  <c r="Q3144" i="12"/>
  <c r="AF1393" i="12"/>
  <c r="AB592" i="12"/>
  <c r="AB2703" i="12"/>
  <c r="AF2703" i="12" s="1"/>
  <c r="AG2704" i="12"/>
  <c r="AF1573" i="12"/>
  <c r="AF1783" i="12"/>
  <c r="AB311" i="12"/>
  <c r="AG312" i="12"/>
  <c r="AD834" i="12"/>
  <c r="AF2983" i="12"/>
  <c r="AG2984" i="12"/>
  <c r="AF2063" i="12"/>
  <c r="AD801" i="12"/>
  <c r="AG3084" i="12"/>
  <c r="AD216" i="12"/>
  <c r="AF217" i="12"/>
  <c r="AB2513" i="12"/>
  <c r="AG2513" i="12" s="1"/>
  <c r="AG2514" i="12"/>
  <c r="AB1012" i="12"/>
  <c r="AG1013" i="12"/>
  <c r="AB2232" i="12"/>
  <c r="AF2232" i="12" s="1"/>
  <c r="AG2233" i="12"/>
  <c r="AB835" i="12"/>
  <c r="AG836" i="12"/>
  <c r="AD1291" i="12"/>
  <c r="AD1992" i="12"/>
  <c r="AD944" i="12"/>
  <c r="AB1522" i="12"/>
  <c r="AF1522" i="12" s="1"/>
  <c r="AG1523" i="12"/>
  <c r="AD2301" i="12"/>
  <c r="AB1292" i="12"/>
  <c r="AG1293" i="12"/>
  <c r="AD1323" i="12"/>
  <c r="AF1324" i="12"/>
  <c r="AB42" i="12"/>
  <c r="AB694" i="12"/>
  <c r="AG695" i="12"/>
  <c r="AF2483" i="12"/>
  <c r="AD2582" i="12"/>
  <c r="AB404" i="12"/>
  <c r="AD1432" i="12"/>
  <c r="AF1433" i="12"/>
  <c r="AF1523" i="12"/>
  <c r="AF2704" i="12"/>
  <c r="AD1193" i="12"/>
  <c r="AF1194" i="12"/>
  <c r="AD2231" i="12"/>
  <c r="AB802" i="12"/>
  <c r="AF802" i="12" s="1"/>
  <c r="AG803" i="12"/>
  <c r="AF3084" i="12"/>
  <c r="AE417" i="12"/>
  <c r="AG418" i="12"/>
  <c r="AE278" i="12"/>
  <c r="AG279" i="12"/>
  <c r="AF1013" i="12"/>
  <c r="AD1521" i="12"/>
  <c r="AD2621" i="12"/>
  <c r="AF2622" i="12"/>
  <c r="AD2702" i="12"/>
  <c r="AB733" i="12"/>
  <c r="AF733" i="12" s="1"/>
  <c r="AG734" i="12"/>
  <c r="AB1432" i="12"/>
  <c r="AG1433" i="12"/>
  <c r="AB2583" i="12"/>
  <c r="AG2584" i="12"/>
  <c r="AB212" i="12"/>
  <c r="AB1323" i="12"/>
  <c r="AG1323" i="12" s="1"/>
  <c r="AG1324" i="12"/>
  <c r="AD1011" i="12"/>
  <c r="AD278" i="12"/>
  <c r="AF279" i="12"/>
  <c r="AF2343" i="12"/>
  <c r="AF2984" i="12"/>
  <c r="AF3014" i="12"/>
  <c r="AB2915" i="12"/>
  <c r="AG2916" i="12"/>
  <c r="AE597" i="12"/>
  <c r="AG598" i="12"/>
  <c r="AD312" i="12"/>
  <c r="AF313" i="12"/>
  <c r="AB1362" i="12"/>
  <c r="AF1362" i="12" s="1"/>
  <c r="AG1363" i="12"/>
  <c r="AD1151" i="12"/>
  <c r="AB945" i="12"/>
  <c r="AG946" i="12"/>
  <c r="AF1643" i="12"/>
  <c r="AF1253" i="12"/>
  <c r="AF1363" i="12"/>
  <c r="AB463" i="12"/>
  <c r="AG464" i="12"/>
  <c r="AB1193" i="12"/>
  <c r="AG1193" i="12" s="1"/>
  <c r="AG1194" i="12"/>
  <c r="AD2915" i="12"/>
  <c r="AF2916" i="12"/>
  <c r="AB1993" i="12"/>
  <c r="AF1993" i="12" s="1"/>
  <c r="AG1994" i="12"/>
  <c r="AB2302" i="12"/>
  <c r="AF2302" i="12" s="1"/>
  <c r="AG2303" i="12"/>
  <c r="AB272" i="12"/>
  <c r="AE216" i="12"/>
  <c r="AG217" i="12"/>
  <c r="AD1361" i="12"/>
  <c r="AF734" i="12"/>
  <c r="AB1152" i="12"/>
  <c r="AF1152" i="12" s="1"/>
  <c r="AG1153" i="12"/>
  <c r="AD2653" i="12"/>
  <c r="AF2654" i="12"/>
  <c r="AB2653" i="12"/>
  <c r="AG2654" i="12"/>
  <c r="AF2514" i="12"/>
  <c r="AB132" i="12"/>
  <c r="AB351" i="12"/>
  <c r="AD732" i="12"/>
  <c r="AD694" i="12"/>
  <c r="AF695" i="12"/>
  <c r="AB2621" i="12"/>
  <c r="AG2622" i="12"/>
  <c r="Q2624" i="12"/>
  <c r="Q1005" i="12"/>
  <c r="Q1503" i="12"/>
  <c r="Q613" i="12"/>
  <c r="Q1543" i="12"/>
  <c r="Q2903" i="12"/>
  <c r="Q756" i="12"/>
  <c r="Q933" i="12"/>
  <c r="Q415" i="12"/>
  <c r="Q274" i="12"/>
  <c r="Q3065" i="12"/>
  <c r="Q1703" i="12"/>
  <c r="Q823" i="12"/>
  <c r="Q34" i="12"/>
  <c r="Q1105" i="12"/>
  <c r="Q1932" i="12"/>
  <c r="Q2213" i="12"/>
  <c r="Q2765" i="12"/>
  <c r="Q683" i="12"/>
  <c r="Q2855" i="12"/>
  <c r="J38" i="13"/>
  <c r="AD3281" i="12" l="1"/>
  <c r="AF3282" i="12"/>
  <c r="AB3281" i="12"/>
  <c r="AG3282" i="12"/>
  <c r="O3146" i="12"/>
  <c r="Q3145" i="12"/>
  <c r="AD2652" i="12"/>
  <c r="AF2653" i="12"/>
  <c r="AD311" i="12"/>
  <c r="AF312" i="12"/>
  <c r="AE416" i="12"/>
  <c r="AG417" i="12"/>
  <c r="AF1193" i="12"/>
  <c r="AD2581" i="12"/>
  <c r="AB310" i="12"/>
  <c r="AG311" i="12"/>
  <c r="AD731" i="12"/>
  <c r="AB2582" i="12"/>
  <c r="AG2583" i="12"/>
  <c r="AD2620" i="12"/>
  <c r="AF2621" i="12"/>
  <c r="AB1291" i="12"/>
  <c r="AF1291" i="12" s="1"/>
  <c r="AG1292" i="12"/>
  <c r="AD1991" i="12"/>
  <c r="AB1011" i="12"/>
  <c r="AF1011" i="12" s="1"/>
  <c r="AG1012" i="12"/>
  <c r="AD800" i="12"/>
  <c r="AB350" i="12"/>
  <c r="AB271" i="12"/>
  <c r="AD277" i="12"/>
  <c r="AF278" i="12"/>
  <c r="AB1151" i="12"/>
  <c r="AF1151" i="12" s="1"/>
  <c r="AG1152" i="12"/>
  <c r="AB944" i="12"/>
  <c r="AF944" i="12" s="1"/>
  <c r="AG945" i="12"/>
  <c r="AE596" i="12"/>
  <c r="AG597" i="12"/>
  <c r="AF1012" i="12"/>
  <c r="AF3083" i="12"/>
  <c r="AF1292" i="12"/>
  <c r="AB131" i="12"/>
  <c r="AB462" i="12"/>
  <c r="AG463" i="12"/>
  <c r="AB1431" i="12"/>
  <c r="AG1432" i="12"/>
  <c r="AD1520" i="12"/>
  <c r="AB693" i="12"/>
  <c r="AG694" i="12"/>
  <c r="AD2300" i="12"/>
  <c r="AD1290" i="12"/>
  <c r="AF2513" i="12"/>
  <c r="AB2620" i="12"/>
  <c r="AG2621" i="12"/>
  <c r="AB2301" i="12"/>
  <c r="AF2301" i="12" s="1"/>
  <c r="AG2302" i="12"/>
  <c r="AD1010" i="12"/>
  <c r="AD1150" i="12"/>
  <c r="AB2914" i="12"/>
  <c r="AG2915" i="12"/>
  <c r="AB801" i="12"/>
  <c r="AG802" i="12"/>
  <c r="AD1431" i="12"/>
  <c r="AF1432" i="12"/>
  <c r="AF2982" i="12"/>
  <c r="AG2983" i="12"/>
  <c r="AD693" i="12"/>
  <c r="AF694" i="12"/>
  <c r="AB732" i="12"/>
  <c r="AG733" i="12"/>
  <c r="AB41" i="12"/>
  <c r="AB1521" i="12"/>
  <c r="AG1522" i="12"/>
  <c r="AB834" i="12"/>
  <c r="AF834" i="12" s="1"/>
  <c r="AG835" i="12"/>
  <c r="AD215" i="12"/>
  <c r="AF216" i="12"/>
  <c r="AF835" i="12"/>
  <c r="AB2702" i="12"/>
  <c r="AF2702" i="12" s="1"/>
  <c r="AG2703" i="12"/>
  <c r="AD1360" i="12"/>
  <c r="AB1992" i="12"/>
  <c r="AF1992" i="12" s="1"/>
  <c r="AG1993" i="12"/>
  <c r="AB2652" i="12"/>
  <c r="AG2652" i="12" s="1"/>
  <c r="AG2653" i="12"/>
  <c r="AB1361" i="12"/>
  <c r="AG1362" i="12"/>
  <c r="AE277" i="12"/>
  <c r="AG278" i="12"/>
  <c r="AD2230" i="12"/>
  <c r="AB403" i="12"/>
  <c r="AF945" i="12"/>
  <c r="AD833" i="12"/>
  <c r="AE215" i="12"/>
  <c r="AG216" i="12"/>
  <c r="AD2914" i="12"/>
  <c r="AF2915" i="12"/>
  <c r="AB211" i="12"/>
  <c r="AD2701" i="12"/>
  <c r="AF2583" i="12"/>
  <c r="AF1323" i="12"/>
  <c r="AD943" i="12"/>
  <c r="AB2231" i="12"/>
  <c r="AG2232" i="12"/>
  <c r="AG3083" i="12"/>
  <c r="AB591" i="12"/>
  <c r="Q2625" i="12"/>
  <c r="Q684" i="12"/>
  <c r="Q2214" i="12"/>
  <c r="Q824" i="12"/>
  <c r="Q416" i="12"/>
  <c r="Q1544" i="12"/>
  <c r="Q1704" i="12"/>
  <c r="Q1933" i="12"/>
  <c r="Q1106" i="12"/>
  <c r="Q3066" i="12"/>
  <c r="Q757" i="12"/>
  <c r="Q1504" i="12"/>
  <c r="Q614" i="12"/>
  <c r="Q934" i="12"/>
  <c r="Q2856" i="12"/>
  <c r="Q2766" i="12"/>
  <c r="Q35" i="12"/>
  <c r="Q275" i="12"/>
  <c r="Q2904" i="12"/>
  <c r="Q1006" i="12"/>
  <c r="J39" i="13"/>
  <c r="AB3280" i="12" l="1"/>
  <c r="AG3281" i="12"/>
  <c r="AD3280" i="12"/>
  <c r="AF3281" i="12"/>
  <c r="O3147" i="12"/>
  <c r="Q3146" i="12"/>
  <c r="AB1360" i="12"/>
  <c r="AG1361" i="12"/>
  <c r="AB2701" i="12"/>
  <c r="AF2701" i="12" s="1"/>
  <c r="AG2702" i="12"/>
  <c r="AD1519" i="12"/>
  <c r="AB1150" i="12"/>
  <c r="AF1150" i="12" s="1"/>
  <c r="AG1151" i="12"/>
  <c r="AD799" i="12"/>
  <c r="AD2619" i="12"/>
  <c r="AF2620" i="12"/>
  <c r="AD2580" i="12"/>
  <c r="AB2230" i="12"/>
  <c r="AF2230" i="12" s="1"/>
  <c r="AG2231" i="12"/>
  <c r="AB210" i="12"/>
  <c r="AB40" i="12"/>
  <c r="AF2981" i="12"/>
  <c r="AG2982" i="12"/>
  <c r="AD1149" i="12"/>
  <c r="AF3082" i="12"/>
  <c r="AB402" i="12"/>
  <c r="AD1289" i="12"/>
  <c r="AB1430" i="12"/>
  <c r="AG1431" i="12"/>
  <c r="AD276" i="12"/>
  <c r="AF277" i="12"/>
  <c r="AB1010" i="12"/>
  <c r="AF1010" i="12" s="1"/>
  <c r="AG1011" i="12"/>
  <c r="AB2581" i="12"/>
  <c r="AF2581" i="12" s="1"/>
  <c r="AG2582" i="12"/>
  <c r="AD942" i="12"/>
  <c r="AD2913" i="12"/>
  <c r="AF2914" i="12"/>
  <c r="AF2231" i="12"/>
  <c r="AD214" i="12"/>
  <c r="AF215" i="12"/>
  <c r="AB731" i="12"/>
  <c r="AF731" i="12" s="1"/>
  <c r="AG732" i="12"/>
  <c r="AD1430" i="12"/>
  <c r="AF1431" i="12"/>
  <c r="AD1009" i="12"/>
  <c r="AF732" i="12"/>
  <c r="AE415" i="12"/>
  <c r="AG416" i="12"/>
  <c r="AD2229" i="12"/>
  <c r="AB1991" i="12"/>
  <c r="AF1991" i="12" s="1"/>
  <c r="AG1992" i="12"/>
  <c r="AD2299" i="12"/>
  <c r="AB461" i="12"/>
  <c r="AG462" i="12"/>
  <c r="AE595" i="12"/>
  <c r="AG596" i="12"/>
  <c r="AB270" i="12"/>
  <c r="AD1990" i="12"/>
  <c r="AD730" i="12"/>
  <c r="AB590" i="12"/>
  <c r="AE214" i="12"/>
  <c r="AG215" i="12"/>
  <c r="AF1361" i="12"/>
  <c r="AB833" i="12"/>
  <c r="AG833" i="12" s="1"/>
  <c r="AG834" i="12"/>
  <c r="AB800" i="12"/>
  <c r="AG801" i="12"/>
  <c r="AB2300" i="12"/>
  <c r="AF2300" i="12" s="1"/>
  <c r="AG2301" i="12"/>
  <c r="AD310" i="12"/>
  <c r="AF311" i="12"/>
  <c r="AE276" i="12"/>
  <c r="AG277" i="12"/>
  <c r="AD1359" i="12"/>
  <c r="AF1360" i="12"/>
  <c r="AB692" i="12"/>
  <c r="AG693" i="12"/>
  <c r="AB130" i="12"/>
  <c r="AB943" i="12"/>
  <c r="AF943" i="12" s="1"/>
  <c r="AG944" i="12"/>
  <c r="AB349" i="12"/>
  <c r="AB1290" i="12"/>
  <c r="AF1290" i="12" s="1"/>
  <c r="AG1291" i="12"/>
  <c r="AB309" i="12"/>
  <c r="AG310" i="12"/>
  <c r="AG3082" i="12"/>
  <c r="AD2700" i="12"/>
  <c r="AB1520" i="12"/>
  <c r="AF1520" i="12" s="1"/>
  <c r="AG1521" i="12"/>
  <c r="AD692" i="12"/>
  <c r="AF693" i="12"/>
  <c r="AB2913" i="12"/>
  <c r="AG2914" i="12"/>
  <c r="AB2619" i="12"/>
  <c r="AG2620" i="12"/>
  <c r="AF1521" i="12"/>
  <c r="AF801" i="12"/>
  <c r="AF2582" i="12"/>
  <c r="AF2652" i="12"/>
  <c r="Q2626" i="12"/>
  <c r="Q2905" i="12"/>
  <c r="Q2857" i="12"/>
  <c r="Q758" i="12"/>
  <c r="Q1934" i="12"/>
  <c r="Q417" i="12"/>
  <c r="Q276" i="12"/>
  <c r="Q935" i="12"/>
  <c r="Q3067" i="12"/>
  <c r="Q1705" i="12"/>
  <c r="Q825" i="12"/>
  <c r="Q36" i="12"/>
  <c r="Q615" i="12"/>
  <c r="Q1107" i="12"/>
  <c r="Q2215" i="12"/>
  <c r="Q1007" i="12"/>
  <c r="Q2767" i="12"/>
  <c r="Q1505" i="12"/>
  <c r="Q1545" i="12"/>
  <c r="Q685" i="12"/>
  <c r="J40" i="13"/>
  <c r="AD3279" i="12" l="1"/>
  <c r="AF3280" i="12"/>
  <c r="AB3279" i="12"/>
  <c r="AG3280" i="12"/>
  <c r="O3148" i="12"/>
  <c r="Q3147" i="12"/>
  <c r="AF833" i="12"/>
  <c r="AE213" i="12"/>
  <c r="AG214" i="12"/>
  <c r="AD2699" i="12"/>
  <c r="AB348" i="12"/>
  <c r="AD1358" i="12"/>
  <c r="AB799" i="12"/>
  <c r="AF799" i="12" s="1"/>
  <c r="AG800" i="12"/>
  <c r="AD1429" i="12"/>
  <c r="AF1430" i="12"/>
  <c r="AB2912" i="12"/>
  <c r="AG2913" i="12"/>
  <c r="AE594" i="12"/>
  <c r="AG595" i="12"/>
  <c r="AD2228" i="12"/>
  <c r="AD941" i="12"/>
  <c r="AB1429" i="12"/>
  <c r="AG1430" i="12"/>
  <c r="AD1148" i="12"/>
  <c r="AB2229" i="12"/>
  <c r="AF2229" i="12" s="1"/>
  <c r="AG2230" i="12"/>
  <c r="AB1149" i="12"/>
  <c r="AF1149" i="12" s="1"/>
  <c r="AG1150" i="12"/>
  <c r="AB589" i="12"/>
  <c r="AG3081" i="12"/>
  <c r="AB942" i="12"/>
  <c r="AF942" i="12" s="1"/>
  <c r="AG943" i="12"/>
  <c r="AE275" i="12"/>
  <c r="AG276" i="12"/>
  <c r="AB730" i="12"/>
  <c r="AG731" i="12"/>
  <c r="AD691" i="12"/>
  <c r="AF692" i="12"/>
  <c r="AB460" i="12"/>
  <c r="AG461" i="12"/>
  <c r="AE414" i="12"/>
  <c r="AG415" i="12"/>
  <c r="AB2580" i="12"/>
  <c r="AG2581" i="12"/>
  <c r="AD1288" i="12"/>
  <c r="AF2980" i="12"/>
  <c r="AG2981" i="12"/>
  <c r="AD2579" i="12"/>
  <c r="AD1518" i="12"/>
  <c r="AD729" i="12"/>
  <c r="AB308" i="12"/>
  <c r="AG309" i="12"/>
  <c r="AB129" i="12"/>
  <c r="AD309" i="12"/>
  <c r="AF310" i="12"/>
  <c r="AD213" i="12"/>
  <c r="AF214" i="12"/>
  <c r="AD1989" i="12"/>
  <c r="AD2298" i="12"/>
  <c r="AB1009" i="12"/>
  <c r="AG1010" i="12"/>
  <c r="AB401" i="12"/>
  <c r="AB39" i="12"/>
  <c r="AD2618" i="12"/>
  <c r="AF2619" i="12"/>
  <c r="AB2700" i="12"/>
  <c r="AG2701" i="12"/>
  <c r="AB1519" i="12"/>
  <c r="AF1519" i="12" s="1"/>
  <c r="AG1520" i="12"/>
  <c r="AB1289" i="12"/>
  <c r="AG1290" i="12"/>
  <c r="AB691" i="12"/>
  <c r="AG692" i="12"/>
  <c r="AB2299" i="12"/>
  <c r="AG2300" i="12"/>
  <c r="AD1008" i="12"/>
  <c r="AF800" i="12"/>
  <c r="AB2618" i="12"/>
  <c r="AG2619" i="12"/>
  <c r="AB269" i="12"/>
  <c r="AB1990" i="12"/>
  <c r="AG1991" i="12"/>
  <c r="AD2912" i="12"/>
  <c r="AF2913" i="12"/>
  <c r="AD275" i="12"/>
  <c r="AF276" i="12"/>
  <c r="AF3081" i="12"/>
  <c r="AB209" i="12"/>
  <c r="AD798" i="12"/>
  <c r="AB1359" i="12"/>
  <c r="AF1359" i="12" s="1"/>
  <c r="AG1360" i="12"/>
  <c r="Q2627" i="12"/>
  <c r="Q1546" i="12"/>
  <c r="Q1008" i="12"/>
  <c r="Q616" i="12"/>
  <c r="Q3068" i="12"/>
  <c r="Q1935" i="12"/>
  <c r="Q2216" i="12"/>
  <c r="Q37" i="12"/>
  <c r="Q936" i="12"/>
  <c r="Q759" i="12"/>
  <c r="Q1506" i="12"/>
  <c r="Q826" i="12"/>
  <c r="Q277" i="12"/>
  <c r="Q2858" i="12"/>
  <c r="Q686" i="12"/>
  <c r="Q2768" i="12"/>
  <c r="Q1108" i="12"/>
  <c r="Q1706" i="12"/>
  <c r="Q418" i="12"/>
  <c r="Q2906" i="12"/>
  <c r="J41" i="13"/>
  <c r="AB3278" i="12" l="1"/>
  <c r="AG3279" i="12"/>
  <c r="AD3278" i="12"/>
  <c r="AF3279" i="12"/>
  <c r="O3149" i="12"/>
  <c r="Q3148" i="12"/>
  <c r="AD1007" i="12"/>
  <c r="AB400" i="12"/>
  <c r="AD212" i="12"/>
  <c r="AF213" i="12"/>
  <c r="AD690" i="12"/>
  <c r="AF691" i="12"/>
  <c r="AB208" i="12"/>
  <c r="AB1989" i="12"/>
  <c r="AF1989" i="12" s="1"/>
  <c r="AG1990" i="12"/>
  <c r="AB2699" i="12"/>
  <c r="AG2700" i="12"/>
  <c r="AD308" i="12"/>
  <c r="AF309" i="12"/>
  <c r="AB2579" i="12"/>
  <c r="AF2579" i="12" s="1"/>
  <c r="AG2580" i="12"/>
  <c r="AG3080" i="12"/>
  <c r="AD1147" i="12"/>
  <c r="AE593" i="12"/>
  <c r="AG594" i="12"/>
  <c r="AD1357" i="12"/>
  <c r="AB2298" i="12"/>
  <c r="AG2299" i="12"/>
  <c r="AB1008" i="12"/>
  <c r="AG1009" i="12"/>
  <c r="AD1517" i="12"/>
  <c r="AB729" i="12"/>
  <c r="AF729" i="12" s="1"/>
  <c r="AG730" i="12"/>
  <c r="AF3080" i="12"/>
  <c r="AB268" i="12"/>
  <c r="AF2299" i="12"/>
  <c r="AF2580" i="12"/>
  <c r="AD2297" i="12"/>
  <c r="AD2578" i="12"/>
  <c r="AB588" i="12"/>
  <c r="AB1428" i="12"/>
  <c r="AG1429" i="12"/>
  <c r="AB2911" i="12"/>
  <c r="AG2912" i="12"/>
  <c r="AB347" i="12"/>
  <c r="AD2617" i="12"/>
  <c r="AF2618" i="12"/>
  <c r="AB128" i="12"/>
  <c r="AE413" i="12"/>
  <c r="AG414" i="12"/>
  <c r="AB1358" i="12"/>
  <c r="AG1359" i="12"/>
  <c r="AD274" i="12"/>
  <c r="AF275" i="12"/>
  <c r="AB2617" i="12"/>
  <c r="AG2618" i="12"/>
  <c r="AF1990" i="12"/>
  <c r="AF2700" i="12"/>
  <c r="AB1288" i="12"/>
  <c r="AF1288" i="12" s="1"/>
  <c r="AG1289" i="12"/>
  <c r="AD1988" i="12"/>
  <c r="AG2980" i="12"/>
  <c r="AE274" i="12"/>
  <c r="AG275" i="12"/>
  <c r="AB1148" i="12"/>
  <c r="AF1148" i="12" s="1"/>
  <c r="AG1149" i="12"/>
  <c r="AD940" i="12"/>
  <c r="AD1428" i="12"/>
  <c r="AF1429" i="12"/>
  <c r="AD2698" i="12"/>
  <c r="AB690" i="12"/>
  <c r="AG691" i="12"/>
  <c r="AB38" i="12"/>
  <c r="AB307" i="12"/>
  <c r="AG308" i="12"/>
  <c r="AB459" i="12"/>
  <c r="AG460" i="12"/>
  <c r="AD797" i="12"/>
  <c r="AD2911" i="12"/>
  <c r="AF2912" i="12"/>
  <c r="AF1009" i="12"/>
  <c r="AF730" i="12"/>
  <c r="AF1289" i="12"/>
  <c r="AB1518" i="12"/>
  <c r="AF1518" i="12" s="1"/>
  <c r="AG1519" i="12"/>
  <c r="AD728" i="12"/>
  <c r="AD1287" i="12"/>
  <c r="AB941" i="12"/>
  <c r="AF941" i="12" s="1"/>
  <c r="AG942" i="12"/>
  <c r="AB2228" i="12"/>
  <c r="AF2228" i="12" s="1"/>
  <c r="AG2229" i="12"/>
  <c r="AD2227" i="12"/>
  <c r="AB798" i="12"/>
  <c r="AG799" i="12"/>
  <c r="AE212" i="12"/>
  <c r="AG213" i="12"/>
  <c r="Q2628" i="12"/>
  <c r="Q419" i="12"/>
  <c r="Q687" i="12"/>
  <c r="Q38" i="12"/>
  <c r="Q3069" i="12"/>
  <c r="Q2217" i="12"/>
  <c r="Q1507" i="12"/>
  <c r="Q1109" i="12"/>
  <c r="Q278" i="12"/>
  <c r="Q760" i="12"/>
  <c r="Q1009" i="12"/>
  <c r="Q1707" i="12"/>
  <c r="Q617" i="12"/>
  <c r="Q2859" i="12"/>
  <c r="Q2907" i="12"/>
  <c r="Q2769" i="12"/>
  <c r="Q827" i="12"/>
  <c r="Q937" i="12"/>
  <c r="Q1936" i="12"/>
  <c r="Q1547" i="12"/>
  <c r="J42" i="13"/>
  <c r="AD3277" i="12" l="1"/>
  <c r="AF3278" i="12"/>
  <c r="AB3277" i="12"/>
  <c r="AG3278" i="12"/>
  <c r="O3150" i="12"/>
  <c r="Q3149" i="12"/>
  <c r="AB306" i="12"/>
  <c r="AG307" i="12"/>
  <c r="AG2979" i="12"/>
  <c r="AB127" i="12"/>
  <c r="AD2296" i="12"/>
  <c r="AB797" i="12"/>
  <c r="AF797" i="12" s="1"/>
  <c r="AG798" i="12"/>
  <c r="AD1286" i="12"/>
  <c r="AB37" i="12"/>
  <c r="AD1987" i="12"/>
  <c r="AD2616" i="12"/>
  <c r="AF2617" i="12"/>
  <c r="AD1516" i="12"/>
  <c r="AE592" i="12"/>
  <c r="AG593" i="12"/>
  <c r="AD307" i="12"/>
  <c r="AF308" i="12"/>
  <c r="AD689" i="12"/>
  <c r="AF690" i="12"/>
  <c r="AD939" i="12"/>
  <c r="AD273" i="12"/>
  <c r="AF274" i="12"/>
  <c r="AB587" i="12"/>
  <c r="AD2226" i="12"/>
  <c r="AD727" i="12"/>
  <c r="AF798" i="12"/>
  <c r="AF2979" i="12"/>
  <c r="AB689" i="12"/>
  <c r="AG690" i="12"/>
  <c r="AB1287" i="12"/>
  <c r="AF1287" i="12" s="1"/>
  <c r="AG1288" i="12"/>
  <c r="AB346" i="12"/>
  <c r="AB267" i="12"/>
  <c r="AB1007" i="12"/>
  <c r="AG1008" i="12"/>
  <c r="AD1146" i="12"/>
  <c r="AB2698" i="12"/>
  <c r="AF2698" i="12" s="1"/>
  <c r="AG2699" i="12"/>
  <c r="AD211" i="12"/>
  <c r="AF212" i="12"/>
  <c r="AD796" i="12"/>
  <c r="AB1147" i="12"/>
  <c r="AG1148" i="12"/>
  <c r="AB1357" i="12"/>
  <c r="AF1357" i="12" s="1"/>
  <c r="AG1358" i="12"/>
  <c r="AF2978" i="12"/>
  <c r="AB2227" i="12"/>
  <c r="AG2228" i="12"/>
  <c r="AB1517" i="12"/>
  <c r="AF1517" i="12" s="1"/>
  <c r="AG1518" i="12"/>
  <c r="AF2699" i="12"/>
  <c r="AD2697" i="12"/>
  <c r="AE412" i="12"/>
  <c r="AG413" i="12"/>
  <c r="AD2577" i="12"/>
  <c r="AB2297" i="12"/>
  <c r="AF2297" i="12" s="1"/>
  <c r="AG2298" i="12"/>
  <c r="AG3079" i="12"/>
  <c r="AB1988" i="12"/>
  <c r="AF1988" i="12" s="1"/>
  <c r="AG1989" i="12"/>
  <c r="AB399" i="12"/>
  <c r="AD2910" i="12"/>
  <c r="AF2911" i="12"/>
  <c r="AB458" i="12"/>
  <c r="AG459" i="12"/>
  <c r="AE273" i="12"/>
  <c r="AG274" i="12"/>
  <c r="AB2910" i="12"/>
  <c r="AG2911" i="12"/>
  <c r="AF3079" i="12"/>
  <c r="AE211" i="12"/>
  <c r="AG212" i="12"/>
  <c r="AB940" i="12"/>
  <c r="AG941" i="12"/>
  <c r="AF2298" i="12"/>
  <c r="AF1358" i="12"/>
  <c r="AF1008" i="12"/>
  <c r="AD1427" i="12"/>
  <c r="AF1428" i="12"/>
  <c r="AB2616" i="12"/>
  <c r="AG2617" i="12"/>
  <c r="AB1427" i="12"/>
  <c r="AG1428" i="12"/>
  <c r="AB728" i="12"/>
  <c r="AG729" i="12"/>
  <c r="AD1356" i="12"/>
  <c r="AB2578" i="12"/>
  <c r="AF2578" i="12" s="1"/>
  <c r="AG2579" i="12"/>
  <c r="AB207" i="12"/>
  <c r="AD1006" i="12"/>
  <c r="Q2629" i="12"/>
  <c r="Q1937" i="12"/>
  <c r="Q2908" i="12"/>
  <c r="Q1010" i="12"/>
  <c r="Q1110" i="12"/>
  <c r="Q39" i="12"/>
  <c r="Q2860" i="12"/>
  <c r="Q1508" i="12"/>
  <c r="Q938" i="12"/>
  <c r="Q828" i="12"/>
  <c r="Q618" i="12"/>
  <c r="Q761" i="12"/>
  <c r="Q2218" i="12"/>
  <c r="Q688" i="12"/>
  <c r="Q1548" i="12"/>
  <c r="Q2770" i="12"/>
  <c r="Q1708" i="12"/>
  <c r="Q279" i="12"/>
  <c r="Q3070" i="12"/>
  <c r="Q420" i="12"/>
  <c r="J43" i="13"/>
  <c r="AB3276" i="12" l="1"/>
  <c r="AG3277" i="12"/>
  <c r="AD3276" i="12"/>
  <c r="AF3277" i="12"/>
  <c r="O3151" i="12"/>
  <c r="Q3150" i="12"/>
  <c r="AB727" i="12"/>
  <c r="AG728" i="12"/>
  <c r="AB1146" i="12"/>
  <c r="AG1147" i="12"/>
  <c r="AB2909" i="12"/>
  <c r="AG2910" i="12"/>
  <c r="AB398" i="12"/>
  <c r="AD2576" i="12"/>
  <c r="AB206" i="12"/>
  <c r="AB2226" i="12"/>
  <c r="AF2226" i="12" s="1"/>
  <c r="AG2227" i="12"/>
  <c r="AB1006" i="12"/>
  <c r="AF1006" i="12" s="1"/>
  <c r="AG1007" i="12"/>
  <c r="AB688" i="12"/>
  <c r="AG689" i="12"/>
  <c r="AB586" i="12"/>
  <c r="AD306" i="12"/>
  <c r="AF307" i="12"/>
  <c r="AD1986" i="12"/>
  <c r="AD2295" i="12"/>
  <c r="AB1426" i="12"/>
  <c r="AG1427" i="12"/>
  <c r="AD795" i="12"/>
  <c r="AB939" i="12"/>
  <c r="AG940" i="12"/>
  <c r="AE272" i="12"/>
  <c r="AG273" i="12"/>
  <c r="AB1987" i="12"/>
  <c r="AF1987" i="12" s="1"/>
  <c r="AG1988" i="12"/>
  <c r="AE411" i="12"/>
  <c r="AG412" i="12"/>
  <c r="AB2615" i="12"/>
  <c r="AG2616" i="12"/>
  <c r="AD210" i="12"/>
  <c r="AF211" i="12"/>
  <c r="AB266" i="12"/>
  <c r="AD272" i="12"/>
  <c r="AF273" i="12"/>
  <c r="AE591" i="12"/>
  <c r="AG592" i="12"/>
  <c r="AB36" i="12"/>
  <c r="AB126" i="12"/>
  <c r="AB2577" i="12"/>
  <c r="AG2578" i="12"/>
  <c r="AE210" i="12"/>
  <c r="AG211" i="12"/>
  <c r="AB457" i="12"/>
  <c r="AG458" i="12"/>
  <c r="AG3078" i="12"/>
  <c r="AD2696" i="12"/>
  <c r="AF728" i="12"/>
  <c r="AF940" i="12"/>
  <c r="AD1426" i="12"/>
  <c r="AF1427" i="12"/>
  <c r="AB2697" i="12"/>
  <c r="AF2697" i="12" s="1"/>
  <c r="AG2698" i="12"/>
  <c r="AD726" i="12"/>
  <c r="AF727" i="12"/>
  <c r="AD938" i="12"/>
  <c r="AD1515" i="12"/>
  <c r="AD1285" i="12"/>
  <c r="AF2977" i="12"/>
  <c r="AG2978" i="12"/>
  <c r="AD1355" i="12"/>
  <c r="AB1356" i="12"/>
  <c r="AG1357" i="12"/>
  <c r="AB345" i="12"/>
  <c r="AF1007" i="12"/>
  <c r="AF3078" i="12"/>
  <c r="AD2909" i="12"/>
  <c r="AF2910" i="12"/>
  <c r="AB2296" i="12"/>
  <c r="AG2297" i="12"/>
  <c r="AF1147" i="12"/>
  <c r="AF2227" i="12"/>
  <c r="AD1005" i="12"/>
  <c r="AB1516" i="12"/>
  <c r="AF1516" i="12" s="1"/>
  <c r="AG1517" i="12"/>
  <c r="AD1145" i="12"/>
  <c r="AF1146" i="12"/>
  <c r="AB1286" i="12"/>
  <c r="AG1287" i="12"/>
  <c r="AD2225" i="12"/>
  <c r="AD688" i="12"/>
  <c r="AF689" i="12"/>
  <c r="AD2615" i="12"/>
  <c r="AF2616" i="12"/>
  <c r="AB796" i="12"/>
  <c r="AG797" i="12"/>
  <c r="AB305" i="12"/>
  <c r="AG306" i="12"/>
  <c r="Q2630" i="12"/>
  <c r="Q762" i="12"/>
  <c r="Q40" i="12"/>
  <c r="Q3071" i="12"/>
  <c r="Q1549" i="12"/>
  <c r="Q619" i="12"/>
  <c r="Q1509" i="12"/>
  <c r="Q1111" i="12"/>
  <c r="Q421" i="12"/>
  <c r="Q2771" i="12"/>
  <c r="Q280" i="12"/>
  <c r="Q689" i="12"/>
  <c r="Q829" i="12"/>
  <c r="Q1011" i="12"/>
  <c r="Q1709" i="12"/>
  <c r="Q2219" i="12"/>
  <c r="Q939" i="12"/>
  <c r="Q2861" i="12"/>
  <c r="Q2909" i="12"/>
  <c r="Q1938" i="12"/>
  <c r="J44" i="13"/>
  <c r="AD3275" i="12" l="1"/>
  <c r="AF3276" i="12"/>
  <c r="AB3275" i="12"/>
  <c r="AG3276" i="12"/>
  <c r="O3152" i="12"/>
  <c r="Q3151" i="12"/>
  <c r="AD1354" i="12"/>
  <c r="AE209" i="12"/>
  <c r="AG210" i="12"/>
  <c r="AB304" i="12"/>
  <c r="AG304" i="12" s="1"/>
  <c r="AG305" i="12"/>
  <c r="AD2224" i="12"/>
  <c r="AD1004" i="12"/>
  <c r="AF3077" i="12"/>
  <c r="AE590" i="12"/>
  <c r="AG591" i="12"/>
  <c r="AB938" i="12"/>
  <c r="AF938" i="12" s="1"/>
  <c r="AG939" i="12"/>
  <c r="AD1985" i="12"/>
  <c r="AB1005" i="12"/>
  <c r="AG1006" i="12"/>
  <c r="AB397" i="12"/>
  <c r="AF2976" i="12"/>
  <c r="AG2977" i="12"/>
  <c r="AD2695" i="12"/>
  <c r="AB2614" i="12"/>
  <c r="AG2614" i="12" s="1"/>
  <c r="AG2615" i="12"/>
  <c r="AB795" i="12"/>
  <c r="AG796" i="12"/>
  <c r="AB1285" i="12"/>
  <c r="AF1285" i="12" s="1"/>
  <c r="AG1286" i="12"/>
  <c r="AF1286" i="12"/>
  <c r="AF796" i="12"/>
  <c r="AB344" i="12"/>
  <c r="AB2696" i="12"/>
  <c r="AG2697" i="12"/>
  <c r="AB2576" i="12"/>
  <c r="AF2576" i="12" s="1"/>
  <c r="AG2577" i="12"/>
  <c r="AE410" i="12"/>
  <c r="AG411" i="12"/>
  <c r="AD794" i="12"/>
  <c r="AD305" i="12"/>
  <c r="AF306" i="12"/>
  <c r="AB2225" i="12"/>
  <c r="AF2225" i="12" s="1"/>
  <c r="AG2226" i="12"/>
  <c r="AB2908" i="12"/>
  <c r="AG2909" i="12"/>
  <c r="AD1284" i="12"/>
  <c r="AG3077" i="12"/>
  <c r="AD271" i="12"/>
  <c r="AF272" i="12"/>
  <c r="AD2614" i="12"/>
  <c r="AF2615" i="12"/>
  <c r="AD1144" i="12"/>
  <c r="AB2295" i="12"/>
  <c r="AG2296" i="12"/>
  <c r="AB1355" i="12"/>
  <c r="AG1356" i="12"/>
  <c r="AD1425" i="12"/>
  <c r="AF1426" i="12"/>
  <c r="AB125" i="12"/>
  <c r="AB1986" i="12"/>
  <c r="AG1987" i="12"/>
  <c r="AB1425" i="12"/>
  <c r="AG1426" i="12"/>
  <c r="AB585" i="12"/>
  <c r="AB205" i="12"/>
  <c r="AB1145" i="12"/>
  <c r="AG1146" i="12"/>
  <c r="AD1514" i="12"/>
  <c r="AB456" i="12"/>
  <c r="AG457" i="12"/>
  <c r="AB265" i="12"/>
  <c r="AD687" i="12"/>
  <c r="AF688" i="12"/>
  <c r="AB1515" i="12"/>
  <c r="AF1515" i="12" s="1"/>
  <c r="AG1516" i="12"/>
  <c r="AD2908" i="12"/>
  <c r="AF2909" i="12"/>
  <c r="AF1356" i="12"/>
  <c r="AF939" i="12"/>
  <c r="AF2296" i="12"/>
  <c r="AF2577" i="12"/>
  <c r="AD937" i="12"/>
  <c r="AB35" i="12"/>
  <c r="AD209" i="12"/>
  <c r="AF210" i="12"/>
  <c r="AE271" i="12"/>
  <c r="AG272" i="12"/>
  <c r="AD2294" i="12"/>
  <c r="AB687" i="12"/>
  <c r="AG688" i="12"/>
  <c r="AD2575" i="12"/>
  <c r="AB726" i="12"/>
  <c r="AG726" i="12" s="1"/>
  <c r="AG727" i="12"/>
  <c r="Q2631" i="12"/>
  <c r="Q690" i="12"/>
  <c r="Q2862" i="12"/>
  <c r="Q422" i="12"/>
  <c r="Q1550" i="12"/>
  <c r="Q1012" i="12"/>
  <c r="Q281" i="12"/>
  <c r="Q940" i="12"/>
  <c r="Q1112" i="12"/>
  <c r="Q3072" i="12"/>
  <c r="Q1939" i="12"/>
  <c r="Q2772" i="12"/>
  <c r="Q2220" i="12"/>
  <c r="Q1510" i="12"/>
  <c r="Q41" i="12"/>
  <c r="Q830" i="12"/>
  <c r="Q763" i="12"/>
  <c r="Q2910" i="12"/>
  <c r="Q1710" i="12"/>
  <c r="Q620" i="12"/>
  <c r="J45" i="13"/>
  <c r="AB3274" i="12" l="1"/>
  <c r="AG3275" i="12"/>
  <c r="AD3274" i="12"/>
  <c r="AF3275" i="12"/>
  <c r="O3153" i="12"/>
  <c r="Q3152" i="12"/>
  <c r="AF2614" i="12"/>
  <c r="AD686" i="12"/>
  <c r="AF687" i="12"/>
  <c r="AB1985" i="12"/>
  <c r="AF1985" i="12" s="1"/>
  <c r="AG1986" i="12"/>
  <c r="AG3076" i="12"/>
  <c r="AB2695" i="12"/>
  <c r="AF2695" i="12" s="1"/>
  <c r="AG2696" i="12"/>
  <c r="AB794" i="12"/>
  <c r="AG794" i="12" s="1"/>
  <c r="AG795" i="12"/>
  <c r="AB396" i="12"/>
  <c r="AE589" i="12"/>
  <c r="AG590" i="12"/>
  <c r="AE270" i="12"/>
  <c r="AG271" i="12"/>
  <c r="AB1144" i="12"/>
  <c r="AF1144" i="12" s="1"/>
  <c r="AG1145" i="12"/>
  <c r="AB2294" i="12"/>
  <c r="AF2294" i="12" s="1"/>
  <c r="AG2295" i="12"/>
  <c r="AD304" i="12"/>
  <c r="AF304" i="12" s="1"/>
  <c r="AF305" i="12"/>
  <c r="AF1145" i="12"/>
  <c r="AF795" i="12"/>
  <c r="AD2223" i="12"/>
  <c r="AD2574" i="12"/>
  <c r="AB264" i="12"/>
  <c r="AB124" i="12"/>
  <c r="AD1283" i="12"/>
  <c r="AB343" i="12"/>
  <c r="AB1004" i="12"/>
  <c r="AF1004" i="12" s="1"/>
  <c r="AG1005" i="12"/>
  <c r="AD208" i="12"/>
  <c r="AF209" i="12"/>
  <c r="AB204" i="12"/>
  <c r="AD1143" i="12"/>
  <c r="AF2696" i="12"/>
  <c r="AF1986" i="12"/>
  <c r="AF726" i="12"/>
  <c r="AB455" i="12"/>
  <c r="AG456" i="12"/>
  <c r="AD1424" i="12"/>
  <c r="AF1425" i="12"/>
  <c r="AB2907" i="12"/>
  <c r="AG2908" i="12"/>
  <c r="AE409" i="12"/>
  <c r="AG410" i="12"/>
  <c r="AD2694" i="12"/>
  <c r="AD1984" i="12"/>
  <c r="AB686" i="12"/>
  <c r="AG687" i="12"/>
  <c r="AD2907" i="12"/>
  <c r="AF2908" i="12"/>
  <c r="AB584" i="12"/>
  <c r="AF2295" i="12"/>
  <c r="AF3076" i="12"/>
  <c r="AE208" i="12"/>
  <c r="AG209" i="12"/>
  <c r="AD936" i="12"/>
  <c r="AD1513" i="12"/>
  <c r="AB1354" i="12"/>
  <c r="AG1354" i="12" s="1"/>
  <c r="AG1355" i="12"/>
  <c r="AB2224" i="12"/>
  <c r="AG2225" i="12"/>
  <c r="AB2575" i="12"/>
  <c r="AF2575" i="12" s="1"/>
  <c r="AG2576" i="12"/>
  <c r="AB1284" i="12"/>
  <c r="AG1285" i="12"/>
  <c r="AF2975" i="12"/>
  <c r="AG2976" i="12"/>
  <c r="AB937" i="12"/>
  <c r="AF937" i="12" s="1"/>
  <c r="AG938" i="12"/>
  <c r="AF1005" i="12"/>
  <c r="AF1355" i="12"/>
  <c r="AD2293" i="12"/>
  <c r="AB1514" i="12"/>
  <c r="AG1515" i="12"/>
  <c r="AB1424" i="12"/>
  <c r="AG1425" i="12"/>
  <c r="AD270" i="12"/>
  <c r="AF271" i="12"/>
  <c r="AD1003" i="12"/>
  <c r="Q2632" i="12"/>
  <c r="Q831" i="12"/>
  <c r="Q2773" i="12"/>
  <c r="Q1113" i="12"/>
  <c r="Q1551" i="12"/>
  <c r="Q1711" i="12"/>
  <c r="Q423" i="12"/>
  <c r="Q42" i="12"/>
  <c r="Q941" i="12"/>
  <c r="Q2911" i="12"/>
  <c r="Q1511" i="12"/>
  <c r="Q1940" i="12"/>
  <c r="Q282" i="12"/>
  <c r="Q2863" i="12"/>
  <c r="Q621" i="12"/>
  <c r="Q764" i="12"/>
  <c r="Q2221" i="12"/>
  <c r="Q3073" i="12"/>
  <c r="Q1013" i="12"/>
  <c r="Q691" i="12"/>
  <c r="J46" i="13"/>
  <c r="AD3273" i="12" l="1"/>
  <c r="AF3274" i="12"/>
  <c r="AB3273" i="12"/>
  <c r="AG3274" i="12"/>
  <c r="O3154" i="12"/>
  <c r="Q3153" i="12"/>
  <c r="AF794" i="12"/>
  <c r="AF1354" i="12"/>
  <c r="AB1423" i="12"/>
  <c r="AG1423" i="12" s="1"/>
  <c r="AG1424" i="12"/>
  <c r="AB2223" i="12"/>
  <c r="AF2223" i="12" s="1"/>
  <c r="AG2224" i="12"/>
  <c r="AD207" i="12"/>
  <c r="AF208" i="12"/>
  <c r="AB685" i="12"/>
  <c r="AG686" i="12"/>
  <c r="AB2906" i="12"/>
  <c r="AG2907" i="12"/>
  <c r="AB1513" i="12"/>
  <c r="AF1513" i="12" s="1"/>
  <c r="AG1514" i="12"/>
  <c r="AB123" i="12"/>
  <c r="AE269" i="12"/>
  <c r="AG270" i="12"/>
  <c r="AB2694" i="12"/>
  <c r="AG2694" i="12" s="1"/>
  <c r="AG2695" i="12"/>
  <c r="AF2974" i="12"/>
  <c r="AG2975" i="12"/>
  <c r="AF3075" i="12"/>
  <c r="AF1514" i="12"/>
  <c r="AD1983" i="12"/>
  <c r="AD1423" i="12"/>
  <c r="AF1424" i="12"/>
  <c r="AB1283" i="12"/>
  <c r="AG1283" i="12" s="1"/>
  <c r="AG1284" i="12"/>
  <c r="AD1142" i="12"/>
  <c r="AB1003" i="12"/>
  <c r="AG1003" i="12" s="1"/>
  <c r="AG1004" i="12"/>
  <c r="AB263" i="12"/>
  <c r="AE588" i="12"/>
  <c r="AG589" i="12"/>
  <c r="AG3075" i="12"/>
  <c r="AD1512" i="12"/>
  <c r="AB583" i="12"/>
  <c r="AB454" i="12"/>
  <c r="AG455" i="12"/>
  <c r="AD269" i="12"/>
  <c r="AF270" i="12"/>
  <c r="AD935" i="12"/>
  <c r="AB203" i="12"/>
  <c r="AD2573" i="12"/>
  <c r="AB2293" i="12"/>
  <c r="AG2294" i="12"/>
  <c r="AB395" i="12"/>
  <c r="AB1984" i="12"/>
  <c r="AG1985" i="12"/>
  <c r="AD2292" i="12"/>
  <c r="AB2574" i="12"/>
  <c r="AG2575" i="12"/>
  <c r="AD2906" i="12"/>
  <c r="AF2907" i="12"/>
  <c r="AE408" i="12"/>
  <c r="AG409" i="12"/>
  <c r="AF1284" i="12"/>
  <c r="AF2224" i="12"/>
  <c r="AB936" i="12"/>
  <c r="AF936" i="12" s="1"/>
  <c r="AG937" i="12"/>
  <c r="AE207" i="12"/>
  <c r="AG208" i="12"/>
  <c r="AD2222" i="12"/>
  <c r="AB1143" i="12"/>
  <c r="AG1144" i="12"/>
  <c r="AD685" i="12"/>
  <c r="AF686" i="12"/>
  <c r="Q1512" i="12"/>
  <c r="Q2633" i="12"/>
  <c r="Q622" i="12"/>
  <c r="Q1114" i="12"/>
  <c r="Q1014" i="12"/>
  <c r="Q1941" i="12"/>
  <c r="Q43" i="12"/>
  <c r="Q3074" i="12"/>
  <c r="Q424" i="12"/>
  <c r="Q2222" i="12"/>
  <c r="Q2864" i="12"/>
  <c r="Q2912" i="12"/>
  <c r="Q1712" i="12"/>
  <c r="Q2774" i="12"/>
  <c r="Q832" i="12"/>
  <c r="Q692" i="12"/>
  <c r="Q765" i="12"/>
  <c r="Q283" i="12"/>
  <c r="Q942" i="12"/>
  <c r="Q1552" i="12"/>
  <c r="J47" i="13"/>
  <c r="AB3272" i="12" l="1"/>
  <c r="AG3273" i="12"/>
  <c r="AD3272" i="12"/>
  <c r="AF3273" i="12"/>
  <c r="O3155" i="12"/>
  <c r="Q3154" i="12"/>
  <c r="AF1423" i="12"/>
  <c r="AF1283" i="12"/>
  <c r="AF1003" i="12"/>
  <c r="AF2694" i="12"/>
  <c r="AD2221" i="12"/>
  <c r="AD2291" i="12"/>
  <c r="AD2572" i="12"/>
  <c r="AG3074" i="12"/>
  <c r="AD1141" i="12"/>
  <c r="AE407" i="12"/>
  <c r="AG408" i="12"/>
  <c r="AB453" i="12"/>
  <c r="AG454" i="12"/>
  <c r="AF3074" i="12"/>
  <c r="AB122" i="12"/>
  <c r="AB684" i="12"/>
  <c r="AG685" i="12"/>
  <c r="AB1983" i="12"/>
  <c r="AF1983" i="12" s="1"/>
  <c r="AG1984" i="12"/>
  <c r="AB202" i="12"/>
  <c r="AE587" i="12"/>
  <c r="AG588" i="12"/>
  <c r="AE206" i="12"/>
  <c r="AG207" i="12"/>
  <c r="AD2905" i="12"/>
  <c r="AF2906" i="12"/>
  <c r="AG2974" i="12"/>
  <c r="AD206" i="12"/>
  <c r="AF207" i="12"/>
  <c r="AD684" i="12"/>
  <c r="AF685" i="12"/>
  <c r="AB394" i="12"/>
  <c r="AD934" i="12"/>
  <c r="AB582" i="12"/>
  <c r="AB262" i="12"/>
  <c r="AB935" i="12"/>
  <c r="AG936" i="12"/>
  <c r="AF1984" i="12"/>
  <c r="AB1512" i="12"/>
  <c r="AF1512" i="12" s="1"/>
  <c r="AG1513" i="12"/>
  <c r="AB2222" i="12"/>
  <c r="AG2223" i="12"/>
  <c r="AB1142" i="12"/>
  <c r="AG1143" i="12"/>
  <c r="AB2292" i="12"/>
  <c r="AG2293" i="12"/>
  <c r="AD268" i="12"/>
  <c r="AF269" i="12"/>
  <c r="AD1511" i="12"/>
  <c r="AD1982" i="12"/>
  <c r="AB2573" i="12"/>
  <c r="AG2574" i="12"/>
  <c r="AF2293" i="12"/>
  <c r="AF2574" i="12"/>
  <c r="AF1143" i="12"/>
  <c r="AE268" i="12"/>
  <c r="AG269" i="12"/>
  <c r="AB2905" i="12"/>
  <c r="AG2906" i="12"/>
  <c r="Q2634" i="12"/>
  <c r="Q1553" i="12"/>
  <c r="Q693" i="12"/>
  <c r="Q2913" i="12"/>
  <c r="Q1942" i="12"/>
  <c r="Q943" i="12"/>
  <c r="Q833" i="12"/>
  <c r="Q2865" i="12"/>
  <c r="Q3075" i="12"/>
  <c r="Q1015" i="12"/>
  <c r="Q284" i="12"/>
  <c r="Q2775" i="12"/>
  <c r="Q2223" i="12"/>
  <c r="Q1115" i="12"/>
  <c r="Q766" i="12"/>
  <c r="Q1713" i="12"/>
  <c r="Q425" i="12"/>
  <c r="Q44" i="12"/>
  <c r="Q623" i="12"/>
  <c r="J48" i="13"/>
  <c r="AD3271" i="12" l="1"/>
  <c r="AF3272" i="12"/>
  <c r="AB3271" i="12"/>
  <c r="AG3272" i="12"/>
  <c r="O3156" i="12"/>
  <c r="Q3155" i="12"/>
  <c r="AD933" i="12"/>
  <c r="AB2572" i="12"/>
  <c r="AF2572" i="12" s="1"/>
  <c r="AG2573" i="12"/>
  <c r="AB2291" i="12"/>
  <c r="AF2291" i="12" s="1"/>
  <c r="AG2292" i="12"/>
  <c r="AB2904" i="12"/>
  <c r="AG2905" i="12"/>
  <c r="AB393" i="12"/>
  <c r="AB201" i="12"/>
  <c r="AF3073" i="12"/>
  <c r="AG3073" i="12"/>
  <c r="AB934" i="12"/>
  <c r="AF934" i="12" s="1"/>
  <c r="AG935" i="12"/>
  <c r="AF2972" i="12"/>
  <c r="AG2973" i="12"/>
  <c r="AD1981" i="12"/>
  <c r="AB1141" i="12"/>
  <c r="AF1141" i="12" s="1"/>
  <c r="AG1142" i="12"/>
  <c r="AF2573" i="12"/>
  <c r="AB261" i="12"/>
  <c r="AD2904" i="12"/>
  <c r="AF2905" i="12"/>
  <c r="AB1982" i="12"/>
  <c r="AG1983" i="12"/>
  <c r="AB452" i="12"/>
  <c r="AG453" i="12"/>
  <c r="AD2571" i="12"/>
  <c r="AE267" i="12"/>
  <c r="AG268" i="12"/>
  <c r="AD683" i="12"/>
  <c r="AF684" i="12"/>
  <c r="AD1510" i="12"/>
  <c r="AB2221" i="12"/>
  <c r="AF2221" i="12" s="1"/>
  <c r="AG2222" i="12"/>
  <c r="AF2292" i="12"/>
  <c r="AB581" i="12"/>
  <c r="AE205" i="12"/>
  <c r="AG206" i="12"/>
  <c r="AB683" i="12"/>
  <c r="AG684" i="12"/>
  <c r="AE406" i="12"/>
  <c r="AG407" i="12"/>
  <c r="AD2290" i="12"/>
  <c r="AD205" i="12"/>
  <c r="AF206" i="12"/>
  <c r="AD267" i="12"/>
  <c r="AF268" i="12"/>
  <c r="AB1511" i="12"/>
  <c r="AG1512" i="12"/>
  <c r="AF935" i="12"/>
  <c r="AF2973" i="12"/>
  <c r="AF1142" i="12"/>
  <c r="AF2222" i="12"/>
  <c r="AE586" i="12"/>
  <c r="AG587" i="12"/>
  <c r="AB121" i="12"/>
  <c r="AD1140" i="12"/>
  <c r="AD2220" i="12"/>
  <c r="Q2635" i="12"/>
  <c r="Q767" i="12"/>
  <c r="Q285" i="12"/>
  <c r="Q834" i="12"/>
  <c r="Q45" i="12"/>
  <c r="Q1116" i="12"/>
  <c r="Q1016" i="12"/>
  <c r="Q944" i="12"/>
  <c r="Q2914" i="12"/>
  <c r="Q1714" i="12"/>
  <c r="Q624" i="12"/>
  <c r="Q426" i="12"/>
  <c r="Q2224" i="12"/>
  <c r="Q3076" i="12"/>
  <c r="Q694" i="12"/>
  <c r="Q2776" i="12"/>
  <c r="Q2866" i="12"/>
  <c r="Q1943" i="12"/>
  <c r="Q1554" i="12"/>
  <c r="J49" i="13"/>
  <c r="AB3270" i="12" l="1"/>
  <c r="AG3271" i="12"/>
  <c r="AD3270" i="12"/>
  <c r="AF3271" i="12"/>
  <c r="O3157" i="12"/>
  <c r="Q3156" i="12"/>
  <c r="AD2219" i="12"/>
  <c r="AD266" i="12"/>
  <c r="AF267" i="12"/>
  <c r="AD1509" i="12"/>
  <c r="AB451" i="12"/>
  <c r="AG452" i="12"/>
  <c r="AE204" i="12"/>
  <c r="AG205" i="12"/>
  <c r="AB1140" i="12"/>
  <c r="AG1141" i="12"/>
  <c r="AG3072" i="12"/>
  <c r="AB2903" i="12"/>
  <c r="AG2904" i="12"/>
  <c r="AD1139" i="12"/>
  <c r="AD204" i="12"/>
  <c r="AF205" i="12"/>
  <c r="AD682" i="12"/>
  <c r="AF683" i="12"/>
  <c r="AB1981" i="12"/>
  <c r="AF1981" i="12" s="1"/>
  <c r="AG1982" i="12"/>
  <c r="AF1982" i="12"/>
  <c r="AB120" i="12"/>
  <c r="AB580" i="12"/>
  <c r="AD1980" i="12"/>
  <c r="AF3072" i="12"/>
  <c r="AB2290" i="12"/>
  <c r="AF2290" i="12" s="1"/>
  <c r="AG2291" i="12"/>
  <c r="AD2289" i="12"/>
  <c r="AE266" i="12"/>
  <c r="AG267" i="12"/>
  <c r="AD2903" i="12"/>
  <c r="AF2904" i="12"/>
  <c r="AE585" i="12"/>
  <c r="AG586" i="12"/>
  <c r="AE405" i="12"/>
  <c r="AG406" i="12"/>
  <c r="AG2972" i="12"/>
  <c r="AB200" i="12"/>
  <c r="AB2571" i="12"/>
  <c r="AG2572" i="12"/>
  <c r="AB1510" i="12"/>
  <c r="AF1510" i="12" s="1"/>
  <c r="AG1511" i="12"/>
  <c r="AB2220" i="12"/>
  <c r="AG2221" i="12"/>
  <c r="AD2570" i="12"/>
  <c r="AB260" i="12"/>
  <c r="AB682" i="12"/>
  <c r="AG683" i="12"/>
  <c r="AF1511" i="12"/>
  <c r="AB933" i="12"/>
  <c r="AF933" i="12" s="1"/>
  <c r="AG934" i="12"/>
  <c r="AB392" i="12"/>
  <c r="AD932" i="12"/>
  <c r="Q2636" i="12"/>
  <c r="Q2867" i="12"/>
  <c r="Q3077" i="12"/>
  <c r="Q1715" i="12"/>
  <c r="Q1117" i="12"/>
  <c r="Q2777" i="12"/>
  <c r="Q2225" i="12"/>
  <c r="Q2915" i="12"/>
  <c r="Q835" i="12"/>
  <c r="Q1555" i="12"/>
  <c r="Q695" i="12"/>
  <c r="Q427" i="12"/>
  <c r="Q945" i="12"/>
  <c r="Q286" i="12"/>
  <c r="Q1944" i="12"/>
  <c r="Q625" i="12"/>
  <c r="Q1017" i="12"/>
  <c r="Q46" i="12"/>
  <c r="Q768" i="12"/>
  <c r="J50" i="13"/>
  <c r="AD3269" i="12" l="1"/>
  <c r="AF3270" i="12"/>
  <c r="AB3269" i="12"/>
  <c r="AG3270" i="12"/>
  <c r="O3158" i="12"/>
  <c r="Q3157" i="12"/>
  <c r="AD2569" i="12"/>
  <c r="AB199" i="12"/>
  <c r="AD2902" i="12"/>
  <c r="AF2903" i="12"/>
  <c r="AF3071" i="12"/>
  <c r="AB1980" i="12"/>
  <c r="AF1980" i="12" s="1"/>
  <c r="AG1981" i="12"/>
  <c r="AB2902" i="12"/>
  <c r="AG2903" i="12"/>
  <c r="AB450" i="12"/>
  <c r="AG451" i="12"/>
  <c r="AB681" i="12"/>
  <c r="AG682" i="12"/>
  <c r="AB2219" i="12"/>
  <c r="AF2219" i="12" s="1"/>
  <c r="AG2220" i="12"/>
  <c r="AF2970" i="12"/>
  <c r="AG2971" i="12"/>
  <c r="AE265" i="12"/>
  <c r="AG266" i="12"/>
  <c r="AD1979" i="12"/>
  <c r="AD931" i="12"/>
  <c r="AF2971" i="12"/>
  <c r="AD681" i="12"/>
  <c r="AF682" i="12"/>
  <c r="AG3071" i="12"/>
  <c r="AD1508" i="12"/>
  <c r="AB1509" i="12"/>
  <c r="AF1509" i="12" s="1"/>
  <c r="AG1510" i="12"/>
  <c r="AE404" i="12"/>
  <c r="AG405" i="12"/>
  <c r="AD2288" i="12"/>
  <c r="AB579" i="12"/>
  <c r="AB391" i="12"/>
  <c r="AD203" i="12"/>
  <c r="AF204" i="12"/>
  <c r="AB1139" i="12"/>
  <c r="AF1139" i="12" s="1"/>
  <c r="AG1140" i="12"/>
  <c r="AD265" i="12"/>
  <c r="AF266" i="12"/>
  <c r="AB259" i="12"/>
  <c r="AB2570" i="12"/>
  <c r="AG2571" i="12"/>
  <c r="AE584" i="12"/>
  <c r="AG585" i="12"/>
  <c r="AB2289" i="12"/>
  <c r="AF2289" i="12" s="1"/>
  <c r="AG2290" i="12"/>
  <c r="AB119" i="12"/>
  <c r="AF1140" i="12"/>
  <c r="AF2220" i="12"/>
  <c r="AB932" i="12"/>
  <c r="AG933" i="12"/>
  <c r="AF2571" i="12"/>
  <c r="AD1138" i="12"/>
  <c r="AE203" i="12"/>
  <c r="AG204" i="12"/>
  <c r="AD2218" i="12"/>
  <c r="Q2637" i="12"/>
  <c r="Q428" i="12"/>
  <c r="Q2916" i="12"/>
  <c r="Q1118" i="12"/>
  <c r="Q1945" i="12"/>
  <c r="Q696" i="12"/>
  <c r="Q2226" i="12"/>
  <c r="Q1716" i="12"/>
  <c r="Q47" i="12"/>
  <c r="Q769" i="12"/>
  <c r="Q1018" i="12"/>
  <c r="Q287" i="12"/>
  <c r="Q1556" i="12"/>
  <c r="Q2778" i="12"/>
  <c r="Q3078" i="12"/>
  <c r="Q626" i="12"/>
  <c r="Q946" i="12"/>
  <c r="Q836" i="12"/>
  <c r="Q2868" i="12"/>
  <c r="J51" i="13"/>
  <c r="AB3268" i="12" l="1"/>
  <c r="AG3269" i="12"/>
  <c r="AD3268" i="12"/>
  <c r="AF3269" i="12"/>
  <c r="O3159" i="12"/>
  <c r="Q3158" i="12"/>
  <c r="AB931" i="12"/>
  <c r="AF931" i="12" s="1"/>
  <c r="AG932" i="12"/>
  <c r="AE583" i="12"/>
  <c r="AG584" i="12"/>
  <c r="AB1138" i="12"/>
  <c r="AG1139" i="12"/>
  <c r="AD2287" i="12"/>
  <c r="AD1507" i="12"/>
  <c r="AD2217" i="12"/>
  <c r="AD1978" i="12"/>
  <c r="AB680" i="12"/>
  <c r="AG681" i="12"/>
  <c r="AF3070" i="12"/>
  <c r="AB2569" i="12"/>
  <c r="AF2569" i="12" s="1"/>
  <c r="AG2570" i="12"/>
  <c r="AD202" i="12"/>
  <c r="AF203" i="12"/>
  <c r="AE403" i="12"/>
  <c r="AG404" i="12"/>
  <c r="AG3070" i="12"/>
  <c r="AE202" i="12"/>
  <c r="AG203" i="12"/>
  <c r="AE264" i="12"/>
  <c r="AG265" i="12"/>
  <c r="AB449" i="12"/>
  <c r="AG450" i="12"/>
  <c r="AD2901" i="12"/>
  <c r="AF2902" i="12"/>
  <c r="AB390" i="12"/>
  <c r="AB1508" i="12"/>
  <c r="AG1509" i="12"/>
  <c r="AD680" i="12"/>
  <c r="AF681" i="12"/>
  <c r="AB258" i="12"/>
  <c r="AD1137" i="12"/>
  <c r="AG2970" i="12"/>
  <c r="AB2901" i="12"/>
  <c r="AG2902" i="12"/>
  <c r="AB198" i="12"/>
  <c r="AB118" i="12"/>
  <c r="AB2288" i="12"/>
  <c r="AF2288" i="12" s="1"/>
  <c r="AG2289" i="12"/>
  <c r="AD264" i="12"/>
  <c r="AF265" i="12"/>
  <c r="AB578" i="12"/>
  <c r="AF932" i="12"/>
  <c r="AF2570" i="12"/>
  <c r="AD930" i="12"/>
  <c r="AB2218" i="12"/>
  <c r="AF2218" i="12" s="1"/>
  <c r="AG2219" i="12"/>
  <c r="AB1979" i="12"/>
  <c r="AF1979" i="12" s="1"/>
  <c r="AG1980" i="12"/>
  <c r="AD2568" i="12"/>
  <c r="Q2638" i="12"/>
  <c r="Q837" i="12"/>
  <c r="Q2779" i="12"/>
  <c r="Q770" i="12"/>
  <c r="Q1717" i="12"/>
  <c r="Q1119" i="12"/>
  <c r="Q947" i="12"/>
  <c r="Q1557" i="12"/>
  <c r="Q2227" i="12"/>
  <c r="Q2917" i="12"/>
  <c r="Q2869" i="12"/>
  <c r="Q627" i="12"/>
  <c r="Q288" i="12"/>
  <c r="Q697" i="12"/>
  <c r="Q429" i="12"/>
  <c r="Q3079" i="12"/>
  <c r="Q1019" i="12"/>
  <c r="Q48" i="12"/>
  <c r="Q1946" i="12"/>
  <c r="J52" i="13"/>
  <c r="AD3267" i="12" l="1"/>
  <c r="AF3268" i="12"/>
  <c r="AB3267" i="12"/>
  <c r="AG3268" i="12"/>
  <c r="O3160" i="12"/>
  <c r="Q3159" i="12"/>
  <c r="AB577" i="12"/>
  <c r="AB257" i="12"/>
  <c r="AG3069" i="12"/>
  <c r="AD263" i="12"/>
  <c r="AF264" i="12"/>
  <c r="AD679" i="12"/>
  <c r="AF680" i="12"/>
  <c r="AE402" i="12"/>
  <c r="AG403" i="12"/>
  <c r="AD2286" i="12"/>
  <c r="AD929" i="12"/>
  <c r="AB2900" i="12"/>
  <c r="AG2901" i="12"/>
  <c r="AB448" i="12"/>
  <c r="AG449" i="12"/>
  <c r="AB679" i="12"/>
  <c r="AG680" i="12"/>
  <c r="AB2287" i="12"/>
  <c r="AG2288" i="12"/>
  <c r="AB1507" i="12"/>
  <c r="AF1507" i="12" s="1"/>
  <c r="AG1508" i="12"/>
  <c r="AD201" i="12"/>
  <c r="AF202" i="12"/>
  <c r="AB1137" i="12"/>
  <c r="AG1138" i="12"/>
  <c r="AD2567" i="12"/>
  <c r="AG2969" i="12"/>
  <c r="AE263" i="12"/>
  <c r="AG264" i="12"/>
  <c r="AD1977" i="12"/>
  <c r="AF2969" i="12"/>
  <c r="AF1138" i="12"/>
  <c r="AD1136" i="12"/>
  <c r="AE201" i="12"/>
  <c r="AG202" i="12"/>
  <c r="AB2568" i="12"/>
  <c r="AF2568" i="12" s="1"/>
  <c r="AG2569" i="12"/>
  <c r="AE582" i="12"/>
  <c r="AG583" i="12"/>
  <c r="AB1978" i="12"/>
  <c r="AF1978" i="12" s="1"/>
  <c r="AG1979" i="12"/>
  <c r="AB117" i="12"/>
  <c r="AB389" i="12"/>
  <c r="AD2216" i="12"/>
  <c r="AF1508" i="12"/>
  <c r="AB2217" i="12"/>
  <c r="AG2218" i="12"/>
  <c r="AB197" i="12"/>
  <c r="AD2900" i="12"/>
  <c r="AF2901" i="12"/>
  <c r="AF3069" i="12"/>
  <c r="AD1506" i="12"/>
  <c r="AB930" i="12"/>
  <c r="AF930" i="12" s="1"/>
  <c r="AG931" i="12"/>
  <c r="Q2639" i="12"/>
  <c r="Q3080" i="12"/>
  <c r="Q289" i="12"/>
  <c r="Q2228" i="12"/>
  <c r="Q1718" i="12"/>
  <c r="Q628" i="12"/>
  <c r="Q1558" i="12"/>
  <c r="Q771" i="12"/>
  <c r="Q49" i="12"/>
  <c r="Q430" i="12"/>
  <c r="Q2870" i="12"/>
  <c r="Q948" i="12"/>
  <c r="Q2780" i="12"/>
  <c r="Q1947" i="12"/>
  <c r="Q1020" i="12"/>
  <c r="Q698" i="12"/>
  <c r="Q2918" i="12"/>
  <c r="Q1120" i="12"/>
  <c r="Q838" i="12"/>
  <c r="J53" i="13"/>
  <c r="AB3266" i="12" l="1"/>
  <c r="AG3267" i="12"/>
  <c r="AD3266" i="12"/>
  <c r="AF3267" i="12"/>
  <c r="O3161" i="12"/>
  <c r="Q3160" i="12"/>
  <c r="AE581" i="12"/>
  <c r="AG582" i="12"/>
  <c r="AF2967" i="12"/>
  <c r="AG2968" i="12"/>
  <c r="AD2899" i="12"/>
  <c r="AF2900" i="12"/>
  <c r="AB2567" i="12"/>
  <c r="AG2568" i="12"/>
  <c r="AB2286" i="12"/>
  <c r="AF2286" i="12" s="1"/>
  <c r="AG2287" i="12"/>
  <c r="AD928" i="12"/>
  <c r="AD262" i="12"/>
  <c r="AF263" i="12"/>
  <c r="AB388" i="12"/>
  <c r="AD2566" i="12"/>
  <c r="AB929" i="12"/>
  <c r="AF929" i="12" s="1"/>
  <c r="AG930" i="12"/>
  <c r="AB196" i="12"/>
  <c r="AF2287" i="12"/>
  <c r="AB116" i="12"/>
  <c r="AD1976" i="12"/>
  <c r="AB678" i="12"/>
  <c r="AG679" i="12"/>
  <c r="AD2285" i="12"/>
  <c r="AG3068" i="12"/>
  <c r="AE200" i="12"/>
  <c r="AG201" i="12"/>
  <c r="AB1136" i="12"/>
  <c r="AF1136" i="12" s="1"/>
  <c r="AG1137" i="12"/>
  <c r="AD1505" i="12"/>
  <c r="AB2216" i="12"/>
  <c r="AG2217" i="12"/>
  <c r="AF1137" i="12"/>
  <c r="AB1977" i="12"/>
  <c r="AG1978" i="12"/>
  <c r="AE262" i="12"/>
  <c r="AG263" i="12"/>
  <c r="AB447" i="12"/>
  <c r="AG448" i="12"/>
  <c r="AE401" i="12"/>
  <c r="AG402" i="12"/>
  <c r="AB256" i="12"/>
  <c r="AD1135" i="12"/>
  <c r="AD200" i="12"/>
  <c r="AF201" i="12"/>
  <c r="AF3068" i="12"/>
  <c r="AF2217" i="12"/>
  <c r="AF2968" i="12"/>
  <c r="AD2215" i="12"/>
  <c r="AB1506" i="12"/>
  <c r="AG1507" i="12"/>
  <c r="AB2899" i="12"/>
  <c r="AG2900" i="12"/>
  <c r="AD678" i="12"/>
  <c r="AF679" i="12"/>
  <c r="AB576" i="12"/>
  <c r="Q2640" i="12"/>
  <c r="Q2919" i="12"/>
  <c r="Q2781" i="12"/>
  <c r="Q772" i="12"/>
  <c r="Q1719" i="12"/>
  <c r="Q1559" i="12"/>
  <c r="Q2229" i="12"/>
  <c r="Q699" i="12"/>
  <c r="Q949" i="12"/>
  <c r="Q839" i="12"/>
  <c r="Q1021" i="12"/>
  <c r="Q2871" i="12"/>
  <c r="Q50" i="12"/>
  <c r="Q629" i="12"/>
  <c r="Q290" i="12"/>
  <c r="Q1121" i="12"/>
  <c r="Q1948" i="12"/>
  <c r="Q431" i="12"/>
  <c r="Q3081" i="12"/>
  <c r="J54" i="13"/>
  <c r="AD3265" i="12" l="1"/>
  <c r="AF3266" i="12"/>
  <c r="AB3265" i="12"/>
  <c r="AG3266" i="12"/>
  <c r="O3162" i="12"/>
  <c r="Q3161" i="12"/>
  <c r="AB1505" i="12"/>
  <c r="AF1505" i="12" s="1"/>
  <c r="AG1506" i="12"/>
  <c r="AB2215" i="12"/>
  <c r="AF2215" i="12" s="1"/>
  <c r="AG2216" i="12"/>
  <c r="AG3067" i="12"/>
  <c r="AB115" i="12"/>
  <c r="AB575" i="12"/>
  <c r="AD199" i="12"/>
  <c r="AF200" i="12"/>
  <c r="AB446" i="12"/>
  <c r="AG447" i="12"/>
  <c r="AF1506" i="12"/>
  <c r="AB387" i="12"/>
  <c r="AB2566" i="12"/>
  <c r="AF2566" i="12" s="1"/>
  <c r="AG2567" i="12"/>
  <c r="AF2216" i="12"/>
  <c r="AD1504" i="12"/>
  <c r="AD2284" i="12"/>
  <c r="AD2214" i="12"/>
  <c r="AE261" i="12"/>
  <c r="AG262" i="12"/>
  <c r="AB195" i="12"/>
  <c r="AD261" i="12"/>
  <c r="AF262" i="12"/>
  <c r="AD2898" i="12"/>
  <c r="AF2899" i="12"/>
  <c r="AD677" i="12"/>
  <c r="AF678" i="12"/>
  <c r="AD1134" i="12"/>
  <c r="AB1135" i="12"/>
  <c r="AF1135" i="12" s="1"/>
  <c r="AG1136" i="12"/>
  <c r="AB677" i="12"/>
  <c r="AG678" i="12"/>
  <c r="AB2898" i="12"/>
  <c r="AG2899" i="12"/>
  <c r="AB1976" i="12"/>
  <c r="AF1976" i="12" s="1"/>
  <c r="AG1977" i="12"/>
  <c r="AF1977" i="12"/>
  <c r="AB928" i="12"/>
  <c r="AF928" i="12" s="1"/>
  <c r="AG929" i="12"/>
  <c r="AD927" i="12"/>
  <c r="AF2966" i="12"/>
  <c r="AG2967" i="12"/>
  <c r="AB255" i="12"/>
  <c r="AE199" i="12"/>
  <c r="AG200" i="12"/>
  <c r="AD1975" i="12"/>
  <c r="AF2567" i="12"/>
  <c r="AF3067" i="12"/>
  <c r="AE400" i="12"/>
  <c r="AG401" i="12"/>
  <c r="AD2565" i="12"/>
  <c r="AB2285" i="12"/>
  <c r="AG2286" i="12"/>
  <c r="AE580" i="12"/>
  <c r="AG581" i="12"/>
  <c r="Q2872" i="12"/>
  <c r="Q2641" i="12"/>
  <c r="Q291" i="12"/>
  <c r="Q51" i="12"/>
  <c r="Q950" i="12"/>
  <c r="Q1720" i="12"/>
  <c r="Q432" i="12"/>
  <c r="Q700" i="12"/>
  <c r="Q773" i="12"/>
  <c r="Q630" i="12"/>
  <c r="Q3082" i="12"/>
  <c r="Q1949" i="12"/>
  <c r="Q1022" i="12"/>
  <c r="Q2230" i="12"/>
  <c r="Q2782" i="12"/>
  <c r="Q1122" i="12"/>
  <c r="Q840" i="12"/>
  <c r="Q1560" i="12"/>
  <c r="Q2920" i="12"/>
  <c r="J55" i="13"/>
  <c r="AB3264" i="12" l="1"/>
  <c r="AG3265" i="12"/>
  <c r="AD3264" i="12"/>
  <c r="AF3265" i="12"/>
  <c r="O3163" i="12"/>
  <c r="Q3162" i="12"/>
  <c r="AE399" i="12"/>
  <c r="AG400" i="12"/>
  <c r="AB254" i="12"/>
  <c r="AB386" i="12"/>
  <c r="AE579" i="12"/>
  <c r="AG580" i="12"/>
  <c r="AB1975" i="12"/>
  <c r="AF1975" i="12" s="1"/>
  <c r="AG1976" i="12"/>
  <c r="AB194" i="12"/>
  <c r="AD1503" i="12"/>
  <c r="AB114" i="12"/>
  <c r="AF3066" i="12"/>
  <c r="AD1133" i="12"/>
  <c r="AG2965" i="12"/>
  <c r="AG2966" i="12"/>
  <c r="AD676" i="12"/>
  <c r="AF677" i="12"/>
  <c r="AE260" i="12"/>
  <c r="AG261" i="12"/>
  <c r="AB445" i="12"/>
  <c r="AG446" i="12"/>
  <c r="AG3066" i="12"/>
  <c r="AD1974" i="12"/>
  <c r="AD926" i="12"/>
  <c r="AB2897" i="12"/>
  <c r="AG2898" i="12"/>
  <c r="AD2564" i="12"/>
  <c r="AD2897" i="12"/>
  <c r="AF2898" i="12"/>
  <c r="AD2213" i="12"/>
  <c r="AD198" i="12"/>
  <c r="AF199" i="12"/>
  <c r="AB2214" i="12"/>
  <c r="AF2214" i="12" s="1"/>
  <c r="AG2215" i="12"/>
  <c r="AB2284" i="12"/>
  <c r="AF2284" i="12" s="1"/>
  <c r="AG2285" i="12"/>
  <c r="AB676" i="12"/>
  <c r="AG677" i="12"/>
  <c r="AE198" i="12"/>
  <c r="AG199" i="12"/>
  <c r="AB927" i="12"/>
  <c r="AG928" i="12"/>
  <c r="AF2285" i="12"/>
  <c r="AB2565" i="12"/>
  <c r="AF2565" i="12" s="1"/>
  <c r="AG2566" i="12"/>
  <c r="AB1134" i="12"/>
  <c r="AF1134" i="12" s="1"/>
  <c r="AG1135" i="12"/>
  <c r="AD260" i="12"/>
  <c r="AF261" i="12"/>
  <c r="AD2283" i="12"/>
  <c r="AB574" i="12"/>
  <c r="AB1504" i="12"/>
  <c r="AF1504" i="12" s="1"/>
  <c r="AG1505" i="12"/>
  <c r="Q774" i="12"/>
  <c r="Q2642" i="12"/>
  <c r="Q1561" i="12"/>
  <c r="Q2783" i="12"/>
  <c r="Q3083" i="12"/>
  <c r="Q433" i="12"/>
  <c r="Q841" i="12"/>
  <c r="Q2231" i="12"/>
  <c r="Q631" i="12"/>
  <c r="Q1721" i="12"/>
  <c r="Q52" i="12"/>
  <c r="Q1123" i="12"/>
  <c r="Q1023" i="12"/>
  <c r="Q951" i="12"/>
  <c r="Q292" i="12"/>
  <c r="Q2921" i="12"/>
  <c r="Q1950" i="12"/>
  <c r="Q701" i="12"/>
  <c r="J56" i="13"/>
  <c r="AD3263" i="12" l="1"/>
  <c r="AF3264" i="12"/>
  <c r="AB3263" i="12"/>
  <c r="AG3264" i="12"/>
  <c r="O3164" i="12"/>
  <c r="Q3163" i="12"/>
  <c r="AF2965" i="12"/>
  <c r="AB2564" i="12"/>
  <c r="AF2564" i="12" s="1"/>
  <c r="AG2565" i="12"/>
  <c r="AB2283" i="12"/>
  <c r="AF2283" i="12" s="1"/>
  <c r="AG2284" i="12"/>
  <c r="AD2896" i="12"/>
  <c r="AF2897" i="12"/>
  <c r="AE578" i="12"/>
  <c r="AG579" i="12"/>
  <c r="AB926" i="12"/>
  <c r="AF926" i="12" s="1"/>
  <c r="AG927" i="12"/>
  <c r="AB2213" i="12"/>
  <c r="AF2213" i="12" s="1"/>
  <c r="AG2214" i="12"/>
  <c r="AD2563" i="12"/>
  <c r="AD2282" i="12"/>
  <c r="AD259" i="12"/>
  <c r="AF260" i="12"/>
  <c r="AG3065" i="12"/>
  <c r="AD1502" i="12"/>
  <c r="AB385" i="12"/>
  <c r="AB113" i="12"/>
  <c r="AE197" i="12"/>
  <c r="AG198" i="12"/>
  <c r="AD197" i="12"/>
  <c r="AF198" i="12"/>
  <c r="AB2896" i="12"/>
  <c r="AG2897" i="12"/>
  <c r="AB1133" i="12"/>
  <c r="AF1133" i="12" s="1"/>
  <c r="AG1134" i="12"/>
  <c r="AB444" i="12"/>
  <c r="AG445" i="12"/>
  <c r="AD1132" i="12"/>
  <c r="AB193" i="12"/>
  <c r="AB253" i="12"/>
  <c r="AD675" i="12"/>
  <c r="AF676" i="12"/>
  <c r="AB1503" i="12"/>
  <c r="AG1504" i="12"/>
  <c r="AB675" i="12"/>
  <c r="AG676" i="12"/>
  <c r="AD2212" i="12"/>
  <c r="AF927" i="12"/>
  <c r="AB573" i="12"/>
  <c r="AD925" i="12"/>
  <c r="AE259" i="12"/>
  <c r="AG260" i="12"/>
  <c r="AF3065" i="12"/>
  <c r="AB1974" i="12"/>
  <c r="AG1974" i="12" s="1"/>
  <c r="AG1975" i="12"/>
  <c r="AE398" i="12"/>
  <c r="AG399" i="12"/>
  <c r="Q2643" i="12"/>
  <c r="Q1722" i="12"/>
  <c r="Q702" i="12"/>
  <c r="Q293" i="12"/>
  <c r="Q632" i="12"/>
  <c r="Q3084" i="12"/>
  <c r="Q434" i="12"/>
  <c r="Q1951" i="12"/>
  <c r="Q952" i="12"/>
  <c r="Q2232" i="12"/>
  <c r="Q2784" i="12"/>
  <c r="Q1124" i="12"/>
  <c r="Q1024" i="12"/>
  <c r="Q53" i="12"/>
  <c r="Q842" i="12"/>
  <c r="Q1562" i="12"/>
  <c r="Q2922" i="12"/>
  <c r="J57" i="13"/>
  <c r="AB3262" i="12" l="1"/>
  <c r="AG3263" i="12"/>
  <c r="AD3262" i="12"/>
  <c r="AF3263" i="12"/>
  <c r="O3165" i="12"/>
  <c r="Q3164" i="12"/>
  <c r="AE258" i="12"/>
  <c r="AG259" i="12"/>
  <c r="AF1974" i="12"/>
  <c r="AB674" i="12"/>
  <c r="AG675" i="12"/>
  <c r="AB192" i="12"/>
  <c r="AB2895" i="12"/>
  <c r="AG2896" i="12"/>
  <c r="AB384" i="12"/>
  <c r="AD2281" i="12"/>
  <c r="AE577" i="12"/>
  <c r="AG578" i="12"/>
  <c r="AD924" i="12"/>
  <c r="AB1502" i="12"/>
  <c r="AF1502" i="12" s="1"/>
  <c r="AG1503" i="12"/>
  <c r="AD1131" i="12"/>
  <c r="AF1503" i="12"/>
  <c r="AD196" i="12"/>
  <c r="AF197" i="12"/>
  <c r="AD1501" i="12"/>
  <c r="AD2562" i="12"/>
  <c r="AD2895" i="12"/>
  <c r="AF2896" i="12"/>
  <c r="AE397" i="12"/>
  <c r="AG398" i="12"/>
  <c r="AB572" i="12"/>
  <c r="AD674" i="12"/>
  <c r="AF675" i="12"/>
  <c r="AB443" i="12"/>
  <c r="AG444" i="12"/>
  <c r="AE196" i="12"/>
  <c r="AG197" i="12"/>
  <c r="AG3064" i="12"/>
  <c r="AB2212" i="12"/>
  <c r="AF2212" i="12" s="1"/>
  <c r="AG2213" i="12"/>
  <c r="AB2282" i="12"/>
  <c r="AG2283" i="12"/>
  <c r="AD2211" i="12"/>
  <c r="AB252" i="12"/>
  <c r="AB1132" i="12"/>
  <c r="AF1132" i="12" s="1"/>
  <c r="AG1133" i="12"/>
  <c r="AF3064" i="12"/>
  <c r="AB112" i="12"/>
  <c r="AD258" i="12"/>
  <c r="AF259" i="12"/>
  <c r="AB925" i="12"/>
  <c r="AG926" i="12"/>
  <c r="AB2563" i="12"/>
  <c r="AF2563" i="12" s="1"/>
  <c r="AG2564" i="12"/>
  <c r="Q2644" i="12"/>
  <c r="Q2923" i="12"/>
  <c r="Q1125" i="12"/>
  <c r="Q1952" i="12"/>
  <c r="Q294" i="12"/>
  <c r="Q1563" i="12"/>
  <c r="Q54" i="12"/>
  <c r="Q2785" i="12"/>
  <c r="Q435" i="12"/>
  <c r="Q703" i="12"/>
  <c r="Q843" i="12"/>
  <c r="Q1025" i="12"/>
  <c r="Q2233" i="12"/>
  <c r="Q3085" i="12"/>
  <c r="Q1723" i="12"/>
  <c r="Q953" i="12"/>
  <c r="Q633" i="12"/>
  <c r="J58" i="13"/>
  <c r="AD3261" i="12" l="1"/>
  <c r="AF3262" i="12"/>
  <c r="AB3261" i="12"/>
  <c r="AG3262" i="12"/>
  <c r="O3166" i="12"/>
  <c r="Q3165" i="12"/>
  <c r="AD257" i="12"/>
  <c r="AF258" i="12"/>
  <c r="AD923" i="12"/>
  <c r="AB2894" i="12"/>
  <c r="AG2895" i="12"/>
  <c r="AD2210" i="12"/>
  <c r="AD195" i="12"/>
  <c r="AF196" i="12"/>
  <c r="AE576" i="12"/>
  <c r="AG577" i="12"/>
  <c r="AB191" i="12"/>
  <c r="AB111" i="12"/>
  <c r="AF3063" i="12"/>
  <c r="AB2281" i="12"/>
  <c r="AF2281" i="12" s="1"/>
  <c r="AG2282" i="12"/>
  <c r="AB442" i="12"/>
  <c r="AG443" i="12"/>
  <c r="AD2894" i="12"/>
  <c r="AF2895" i="12"/>
  <c r="AF2282" i="12"/>
  <c r="AE396" i="12"/>
  <c r="AG397" i="12"/>
  <c r="AD1130" i="12"/>
  <c r="AD2280" i="12"/>
  <c r="AB673" i="12"/>
  <c r="AG674" i="12"/>
  <c r="AB2562" i="12"/>
  <c r="AF2562" i="12" s="1"/>
  <c r="AG2563" i="12"/>
  <c r="AB1131" i="12"/>
  <c r="AF1131" i="12" s="1"/>
  <c r="AG1132" i="12"/>
  <c r="AB2211" i="12"/>
  <c r="AF2211" i="12" s="1"/>
  <c r="AG2212" i="12"/>
  <c r="AD673" i="12"/>
  <c r="AF674" i="12"/>
  <c r="AD2561" i="12"/>
  <c r="AE195" i="12"/>
  <c r="AG196" i="12"/>
  <c r="AB924" i="12"/>
  <c r="AG925" i="12"/>
  <c r="AB1501" i="12"/>
  <c r="AG1502" i="12"/>
  <c r="AB383" i="12"/>
  <c r="AB251" i="12"/>
  <c r="AG3063" i="12"/>
  <c r="AB571" i="12"/>
  <c r="AD1500" i="12"/>
  <c r="AF925" i="12"/>
  <c r="AE257" i="12"/>
  <c r="AG258" i="12"/>
  <c r="Q2645" i="12"/>
  <c r="Q1724" i="12"/>
  <c r="Q844" i="12"/>
  <c r="Q295" i="12"/>
  <c r="Q634" i="12"/>
  <c r="Q3086" i="12"/>
  <c r="Q704" i="12"/>
  <c r="Q1953" i="12"/>
  <c r="Q954" i="12"/>
  <c r="Q2234" i="12"/>
  <c r="Q436" i="12"/>
  <c r="Q55" i="12"/>
  <c r="Q1126" i="12"/>
  <c r="Q1026" i="12"/>
  <c r="Q2786" i="12"/>
  <c r="Q1564" i="12"/>
  <c r="Q2924" i="12"/>
  <c r="J59" i="13"/>
  <c r="AB3260" i="12" l="1"/>
  <c r="AG3261" i="12"/>
  <c r="AD3260" i="12"/>
  <c r="AF3261" i="12"/>
  <c r="O3167" i="12"/>
  <c r="Q3166" i="12"/>
  <c r="AB570" i="12"/>
  <c r="AB1500" i="12"/>
  <c r="AF1500" i="12" s="1"/>
  <c r="AG1501" i="12"/>
  <c r="AD672" i="12"/>
  <c r="AF673" i="12"/>
  <c r="AB672" i="12"/>
  <c r="AG673" i="12"/>
  <c r="AD2893" i="12"/>
  <c r="AF2894" i="12"/>
  <c r="AB110" i="12"/>
  <c r="AD2209" i="12"/>
  <c r="AG3062" i="12"/>
  <c r="AB923" i="12"/>
  <c r="AF923" i="12" s="1"/>
  <c r="AG924" i="12"/>
  <c r="AB2210" i="12"/>
  <c r="AF2210" i="12" s="1"/>
  <c r="AG2211" i="12"/>
  <c r="AD2279" i="12"/>
  <c r="AE256" i="12"/>
  <c r="AG257" i="12"/>
  <c r="AB441" i="12"/>
  <c r="AG442" i="12"/>
  <c r="AB190" i="12"/>
  <c r="AB2893" i="12"/>
  <c r="AG2894" i="12"/>
  <c r="AB250" i="12"/>
  <c r="AE194" i="12"/>
  <c r="AG195" i="12"/>
  <c r="AB1130" i="12"/>
  <c r="AF1130" i="12" s="1"/>
  <c r="AG1131" i="12"/>
  <c r="AD1129" i="12"/>
  <c r="AF924" i="12"/>
  <c r="AF1501" i="12"/>
  <c r="AB2280" i="12"/>
  <c r="AG2281" i="12"/>
  <c r="AE575" i="12"/>
  <c r="AG576" i="12"/>
  <c r="AD922" i="12"/>
  <c r="AD2560" i="12"/>
  <c r="AB2561" i="12"/>
  <c r="AF2561" i="12" s="1"/>
  <c r="AG2562" i="12"/>
  <c r="AE395" i="12"/>
  <c r="AG396" i="12"/>
  <c r="AD1499" i="12"/>
  <c r="AF3062" i="12"/>
  <c r="AD194" i="12"/>
  <c r="AF195" i="12"/>
  <c r="AD256" i="12"/>
  <c r="AF257" i="12"/>
  <c r="Q2646" i="12"/>
  <c r="Q2925" i="12"/>
  <c r="Q56" i="12"/>
  <c r="Q1954" i="12"/>
  <c r="Q296" i="12"/>
  <c r="Q1565" i="12"/>
  <c r="Q1127" i="12"/>
  <c r="Q437" i="12"/>
  <c r="Q705" i="12"/>
  <c r="Q845" i="12"/>
  <c r="Q2787" i="12"/>
  <c r="Q2235" i="12"/>
  <c r="Q3087" i="12"/>
  <c r="Q1725" i="12"/>
  <c r="Q1027" i="12"/>
  <c r="Q955" i="12"/>
  <c r="Q635" i="12"/>
  <c r="J60" i="13"/>
  <c r="AD3259" i="12" l="1"/>
  <c r="AF3260" i="12"/>
  <c r="AB3259" i="12"/>
  <c r="AG3260" i="12"/>
  <c r="O3168" i="12"/>
  <c r="Q3167" i="12"/>
  <c r="AB2279" i="12"/>
  <c r="AF2279" i="12" s="1"/>
  <c r="AG2280" i="12"/>
  <c r="AF3061" i="12"/>
  <c r="AD2559" i="12"/>
  <c r="AE255" i="12"/>
  <c r="AG256" i="12"/>
  <c r="AG3061" i="12"/>
  <c r="AB671" i="12"/>
  <c r="AG672" i="12"/>
  <c r="AB249" i="12"/>
  <c r="AD1498" i="12"/>
  <c r="AF2280" i="12"/>
  <c r="AD1128" i="12"/>
  <c r="AD2278" i="12"/>
  <c r="AD2208" i="12"/>
  <c r="AD671" i="12"/>
  <c r="AF672" i="12"/>
  <c r="AB2892" i="12"/>
  <c r="AG2893" i="12"/>
  <c r="AD255" i="12"/>
  <c r="AF256" i="12"/>
  <c r="AE394" i="12"/>
  <c r="AG395" i="12"/>
  <c r="AE574" i="12"/>
  <c r="AG575" i="12"/>
  <c r="AB189" i="12"/>
  <c r="AB2209" i="12"/>
  <c r="AF2209" i="12" s="1"/>
  <c r="AG2210" i="12"/>
  <c r="AB109" i="12"/>
  <c r="AB1499" i="12"/>
  <c r="AG1500" i="12"/>
  <c r="AD921" i="12"/>
  <c r="AB1129" i="12"/>
  <c r="AG1130" i="12"/>
  <c r="AD193" i="12"/>
  <c r="AF194" i="12"/>
  <c r="AB2560" i="12"/>
  <c r="AG2561" i="12"/>
  <c r="AE193" i="12"/>
  <c r="AG194" i="12"/>
  <c r="AB440" i="12"/>
  <c r="AG441" i="12"/>
  <c r="AB922" i="12"/>
  <c r="AG923" i="12"/>
  <c r="AD2892" i="12"/>
  <c r="AF2893" i="12"/>
  <c r="AB569" i="12"/>
  <c r="Q2647" i="12"/>
  <c r="Q1726" i="12"/>
  <c r="Q846" i="12"/>
  <c r="Q1566" i="12"/>
  <c r="Q636" i="12"/>
  <c r="Q3088" i="12"/>
  <c r="Q706" i="12"/>
  <c r="Q297" i="12"/>
  <c r="Q57" i="12"/>
  <c r="Q956" i="12"/>
  <c r="Q2236" i="12"/>
  <c r="Q438" i="12"/>
  <c r="Q1955" i="12"/>
  <c r="Q1028" i="12"/>
  <c r="Q2788" i="12"/>
  <c r="Q1128" i="12"/>
  <c r="Q2926" i="12"/>
  <c r="J61" i="13"/>
  <c r="AB3258" i="12" l="1"/>
  <c r="AG3259" i="12"/>
  <c r="AD3258" i="12"/>
  <c r="AF3259" i="12"/>
  <c r="O3169" i="12"/>
  <c r="Q3168" i="12"/>
  <c r="AD2891" i="12"/>
  <c r="AF2892" i="12"/>
  <c r="AB2559" i="12"/>
  <c r="AF2559" i="12" s="1"/>
  <c r="AG2560" i="12"/>
  <c r="AB1498" i="12"/>
  <c r="AF1498" i="12" s="1"/>
  <c r="AG1499" i="12"/>
  <c r="AE573" i="12"/>
  <c r="AG574" i="12"/>
  <c r="AD670" i="12"/>
  <c r="AF671" i="12"/>
  <c r="AF1499" i="12"/>
  <c r="AD192" i="12"/>
  <c r="AF193" i="12"/>
  <c r="AB108" i="12"/>
  <c r="AE393" i="12"/>
  <c r="AG394" i="12"/>
  <c r="AD2207" i="12"/>
  <c r="AF2560" i="12"/>
  <c r="AB921" i="12"/>
  <c r="AG922" i="12"/>
  <c r="AB248" i="12"/>
  <c r="AD2558" i="12"/>
  <c r="AD1497" i="12"/>
  <c r="AB1128" i="12"/>
  <c r="AF1128" i="12" s="1"/>
  <c r="AG1129" i="12"/>
  <c r="AB2208" i="12"/>
  <c r="AG2209" i="12"/>
  <c r="AD254" i="12"/>
  <c r="AF255" i="12"/>
  <c r="AD2277" i="12"/>
  <c r="AE254" i="12"/>
  <c r="AG255" i="12"/>
  <c r="AB439" i="12"/>
  <c r="AG440" i="12"/>
  <c r="AF922" i="12"/>
  <c r="AF1129" i="12"/>
  <c r="AB670" i="12"/>
  <c r="AG671" i="12"/>
  <c r="AF3060" i="12"/>
  <c r="AB568" i="12"/>
  <c r="AD920" i="12"/>
  <c r="AB188" i="12"/>
  <c r="AB2891" i="12"/>
  <c r="AG2892" i="12"/>
  <c r="AD1127" i="12"/>
  <c r="AE192" i="12"/>
  <c r="AG193" i="12"/>
  <c r="AG3060" i="12"/>
  <c r="AB2278" i="12"/>
  <c r="AG2279" i="12"/>
  <c r="Q2648" i="12"/>
  <c r="Q957" i="12"/>
  <c r="Q298" i="12"/>
  <c r="Q1567" i="12"/>
  <c r="Q1129" i="12"/>
  <c r="Q1956" i="12"/>
  <c r="Q707" i="12"/>
  <c r="Q847" i="12"/>
  <c r="Q2789" i="12"/>
  <c r="Q439" i="12"/>
  <c r="Q3089" i="12"/>
  <c r="Q1727" i="12"/>
  <c r="Q2927" i="12"/>
  <c r="Q1029" i="12"/>
  <c r="Q2237" i="12"/>
  <c r="Q58" i="12"/>
  <c r="Q637" i="12"/>
  <c r="J62" i="13"/>
  <c r="AD3257" i="12" l="1"/>
  <c r="AF3258" i="12"/>
  <c r="AB3257" i="12"/>
  <c r="AG3258" i="12"/>
  <c r="O3170" i="12"/>
  <c r="Q3169" i="12"/>
  <c r="AE191" i="12"/>
  <c r="AG192" i="12"/>
  <c r="AE392" i="12"/>
  <c r="AG393" i="12"/>
  <c r="AD1126" i="12"/>
  <c r="AB438" i="12"/>
  <c r="AG439" i="12"/>
  <c r="AB247" i="12"/>
  <c r="AE572" i="12"/>
  <c r="AG573" i="12"/>
  <c r="AB567" i="12"/>
  <c r="AB2207" i="12"/>
  <c r="AF2207" i="12" s="1"/>
  <c r="AG2208" i="12"/>
  <c r="AB107" i="12"/>
  <c r="AB2277" i="12"/>
  <c r="AF2277" i="12" s="1"/>
  <c r="AG2278" i="12"/>
  <c r="AF3059" i="12"/>
  <c r="AB1127" i="12"/>
  <c r="AG1128" i="12"/>
  <c r="AB920" i="12"/>
  <c r="AF920" i="12" s="1"/>
  <c r="AG921" i="12"/>
  <c r="AB1497" i="12"/>
  <c r="AF1497" i="12" s="1"/>
  <c r="AG1498" i="12"/>
  <c r="AB2890" i="12"/>
  <c r="AG2891" i="12"/>
  <c r="AE253" i="12"/>
  <c r="AG254" i="12"/>
  <c r="AF2278" i="12"/>
  <c r="AD191" i="12"/>
  <c r="AF192" i="12"/>
  <c r="AG3059" i="12"/>
  <c r="AB669" i="12"/>
  <c r="AG670" i="12"/>
  <c r="AD1496" i="12"/>
  <c r="AF2208" i="12"/>
  <c r="AB2558" i="12"/>
  <c r="AG2559" i="12"/>
  <c r="AB187" i="12"/>
  <c r="AD2276" i="12"/>
  <c r="AF921" i="12"/>
  <c r="AD2206" i="12"/>
  <c r="AD919" i="12"/>
  <c r="AD253" i="12"/>
  <c r="AF254" i="12"/>
  <c r="AD2557" i="12"/>
  <c r="AD669" i="12"/>
  <c r="AF670" i="12"/>
  <c r="AD2890" i="12"/>
  <c r="AF2891" i="12"/>
  <c r="Q2649" i="12"/>
  <c r="Q59" i="12"/>
  <c r="Q1728" i="12"/>
  <c r="Q848" i="12"/>
  <c r="Q1568" i="12"/>
  <c r="Q638" i="12"/>
  <c r="Q2238" i="12"/>
  <c r="Q3090" i="12"/>
  <c r="Q708" i="12"/>
  <c r="Q299" i="12"/>
  <c r="Q1030" i="12"/>
  <c r="Q440" i="12"/>
  <c r="Q1957" i="12"/>
  <c r="Q958" i="12"/>
  <c r="Q2928" i="12"/>
  <c r="Q2790" i="12"/>
  <c r="Q1130" i="12"/>
  <c r="J63" i="13"/>
  <c r="AB3256" i="12" l="1"/>
  <c r="AG3257" i="12"/>
  <c r="AD3256" i="12"/>
  <c r="AF3257" i="12"/>
  <c r="O3171" i="12"/>
  <c r="Q3170" i="12"/>
  <c r="AD2556" i="12"/>
  <c r="AE252" i="12"/>
  <c r="AG253" i="12"/>
  <c r="AB1126" i="12"/>
  <c r="AF1126" i="12" s="1"/>
  <c r="AG1127" i="12"/>
  <c r="AB2206" i="12"/>
  <c r="AF2206" i="12" s="1"/>
  <c r="AG2207" i="12"/>
  <c r="AB437" i="12"/>
  <c r="AG438" i="12"/>
  <c r="AD1495" i="12"/>
  <c r="AD2275" i="12"/>
  <c r="AD252" i="12"/>
  <c r="AF253" i="12"/>
  <c r="AB668" i="12"/>
  <c r="AG669" i="12"/>
  <c r="AF1127" i="12"/>
  <c r="AB2889" i="12"/>
  <c r="AG2890" i="12"/>
  <c r="AF3058" i="12"/>
  <c r="AB566" i="12"/>
  <c r="AD1125" i="12"/>
  <c r="AB186" i="12"/>
  <c r="AD2889" i="12"/>
  <c r="AF2890" i="12"/>
  <c r="AD918" i="12"/>
  <c r="AG3058" i="12"/>
  <c r="AB2557" i="12"/>
  <c r="AG2558" i="12"/>
  <c r="AB1496" i="12"/>
  <c r="AG1497" i="12"/>
  <c r="AB2276" i="12"/>
  <c r="AF2276" i="12" s="1"/>
  <c r="AG2277" i="12"/>
  <c r="AE571" i="12"/>
  <c r="AG572" i="12"/>
  <c r="AE391" i="12"/>
  <c r="AG392" i="12"/>
  <c r="AD668" i="12"/>
  <c r="AF669" i="12"/>
  <c r="AD2205" i="12"/>
  <c r="AD190" i="12"/>
  <c r="AF191" i="12"/>
  <c r="AF2558" i="12"/>
  <c r="AB919" i="12"/>
  <c r="AG920" i="12"/>
  <c r="AB106" i="12"/>
  <c r="AB246" i="12"/>
  <c r="AE190" i="12"/>
  <c r="AG191" i="12"/>
  <c r="Q2650" i="12"/>
  <c r="Q300" i="12"/>
  <c r="Q959" i="12"/>
  <c r="Q639" i="12"/>
  <c r="Q1958" i="12"/>
  <c r="Q709" i="12"/>
  <c r="Q1569" i="12"/>
  <c r="Q1131" i="12"/>
  <c r="Q2791" i="12"/>
  <c r="Q441" i="12"/>
  <c r="Q3091" i="12"/>
  <c r="Q849" i="12"/>
  <c r="Q60" i="12"/>
  <c r="Q2929" i="12"/>
  <c r="Q1031" i="12"/>
  <c r="Q2239" i="12"/>
  <c r="Q1729" i="12"/>
  <c r="J64" i="13"/>
  <c r="AD3255" i="12" l="1"/>
  <c r="AF3256" i="12"/>
  <c r="AB3255" i="12"/>
  <c r="AG3256" i="12"/>
  <c r="O3172" i="12"/>
  <c r="Q3171" i="12"/>
  <c r="AB565" i="12"/>
  <c r="AB105" i="12"/>
  <c r="AD251" i="12"/>
  <c r="AF252" i="12"/>
  <c r="AB2205" i="12"/>
  <c r="AF2205" i="12" s="1"/>
  <c r="AG2206" i="12"/>
  <c r="AB1495" i="12"/>
  <c r="AF1495" i="12" s="1"/>
  <c r="AG1496" i="12"/>
  <c r="AD2888" i="12"/>
  <c r="AF2889" i="12"/>
  <c r="AF3057" i="12"/>
  <c r="AD667" i="12"/>
  <c r="AF668" i="12"/>
  <c r="AB918" i="12"/>
  <c r="AF918" i="12" s="1"/>
  <c r="AG919" i="12"/>
  <c r="AD2274" i="12"/>
  <c r="AB1125" i="12"/>
  <c r="AF1125" i="12" s="1"/>
  <c r="AG1126" i="12"/>
  <c r="AD2204" i="12"/>
  <c r="AE390" i="12"/>
  <c r="AG391" i="12"/>
  <c r="AB2556" i="12"/>
  <c r="AF2556" i="12" s="1"/>
  <c r="AG2557" i="12"/>
  <c r="AB185" i="12"/>
  <c r="AB2888" i="12"/>
  <c r="AG2889" i="12"/>
  <c r="AF1496" i="12"/>
  <c r="AB2275" i="12"/>
  <c r="AF2275" i="12" s="1"/>
  <c r="AG2276" i="12"/>
  <c r="AE189" i="12"/>
  <c r="AG190" i="12"/>
  <c r="AD1494" i="12"/>
  <c r="AE251" i="12"/>
  <c r="AG252" i="12"/>
  <c r="AD189" i="12"/>
  <c r="AF190" i="12"/>
  <c r="AE570" i="12"/>
  <c r="AG571" i="12"/>
  <c r="AG3057" i="12"/>
  <c r="AD1124" i="12"/>
  <c r="AF2557" i="12"/>
  <c r="AD917" i="12"/>
  <c r="AB245" i="12"/>
  <c r="AF919" i="12"/>
  <c r="AB667" i="12"/>
  <c r="AG668" i="12"/>
  <c r="AB436" i="12"/>
  <c r="AG436" i="12" s="1"/>
  <c r="AG437" i="12"/>
  <c r="AD2555" i="12"/>
  <c r="Q710" i="12"/>
  <c r="Q2651" i="12"/>
  <c r="Q640" i="12"/>
  <c r="Q3092" i="12"/>
  <c r="Q1570" i="12"/>
  <c r="Q960" i="12"/>
  <c r="Q850" i="12"/>
  <c r="Q1730" i="12"/>
  <c r="Q2240" i="12"/>
  <c r="Q442" i="12"/>
  <c r="Q1132" i="12"/>
  <c r="Q2930" i="12"/>
  <c r="Q1032" i="12"/>
  <c r="Q61" i="12"/>
  <c r="Q2792" i="12"/>
  <c r="Q1959" i="12"/>
  <c r="Q301" i="12"/>
  <c r="J65" i="13"/>
  <c r="AB3254" i="12" l="1"/>
  <c r="AG3255" i="12"/>
  <c r="AD3254" i="12"/>
  <c r="AF3255" i="12"/>
  <c r="O3173" i="12"/>
  <c r="Q3172" i="12"/>
  <c r="AD666" i="12"/>
  <c r="AF667" i="12"/>
  <c r="AB666" i="12"/>
  <c r="AG667" i="12"/>
  <c r="AD1123" i="12"/>
  <c r="AE250" i="12"/>
  <c r="AG251" i="12"/>
  <c r="AB2204" i="12"/>
  <c r="AF2204" i="12" s="1"/>
  <c r="AG2205" i="12"/>
  <c r="AG3056" i="12"/>
  <c r="AD1493" i="12"/>
  <c r="AD2203" i="12"/>
  <c r="AB184" i="12"/>
  <c r="AB1124" i="12"/>
  <c r="AF1124" i="12" s="1"/>
  <c r="AG1125" i="12"/>
  <c r="AF3056" i="12"/>
  <c r="AD250" i="12"/>
  <c r="AF251" i="12"/>
  <c r="AB244" i="12"/>
  <c r="AD2554" i="12"/>
  <c r="AE569" i="12"/>
  <c r="AG570" i="12"/>
  <c r="AE188" i="12"/>
  <c r="AG189" i="12"/>
  <c r="AB2555" i="12"/>
  <c r="AF2555" i="12" s="1"/>
  <c r="AG2556" i="12"/>
  <c r="AD2273" i="12"/>
  <c r="AD2887" i="12"/>
  <c r="AF2888" i="12"/>
  <c r="AB104" i="12"/>
  <c r="AD916" i="12"/>
  <c r="AD188" i="12"/>
  <c r="AF189" i="12"/>
  <c r="AB2274" i="12"/>
  <c r="AG2275" i="12"/>
  <c r="AB2887" i="12"/>
  <c r="AG2888" i="12"/>
  <c r="AE389" i="12"/>
  <c r="AG390" i="12"/>
  <c r="AB917" i="12"/>
  <c r="AG918" i="12"/>
  <c r="AB1494" i="12"/>
  <c r="AF1494" i="12" s="1"/>
  <c r="AG1495" i="12"/>
  <c r="AB564" i="12"/>
  <c r="Q2652" i="12"/>
  <c r="Q2793" i="12"/>
  <c r="Q2931" i="12"/>
  <c r="Q961" i="12"/>
  <c r="Q2241" i="12"/>
  <c r="Q302" i="12"/>
  <c r="Q1133" i="12"/>
  <c r="Q1731" i="12"/>
  <c r="Q1571" i="12"/>
  <c r="Q1960" i="12"/>
  <c r="Q62" i="12"/>
  <c r="Q851" i="12"/>
  <c r="Q3093" i="12"/>
  <c r="Q1033" i="12"/>
  <c r="Q443" i="12"/>
  <c r="Q641" i="12"/>
  <c r="J66" i="13"/>
  <c r="AD3253" i="12" l="1"/>
  <c r="AF3254" i="12"/>
  <c r="AB3253" i="12"/>
  <c r="AG3254" i="12"/>
  <c r="O3174" i="12"/>
  <c r="Q3173" i="12"/>
  <c r="AB563" i="12"/>
  <c r="AD915" i="12"/>
  <c r="AB103" i="12"/>
  <c r="AD2202" i="12"/>
  <c r="AE249" i="12"/>
  <c r="AG250" i="12"/>
  <c r="AE187" i="12"/>
  <c r="AG188" i="12"/>
  <c r="AB1493" i="12"/>
  <c r="AG1494" i="12"/>
  <c r="AD2886" i="12"/>
  <c r="AF2887" i="12"/>
  <c r="AF3055" i="12"/>
  <c r="AD1122" i="12"/>
  <c r="AD249" i="12"/>
  <c r="AF250" i="12"/>
  <c r="AB2273" i="12"/>
  <c r="AG2274" i="12"/>
  <c r="AE568" i="12"/>
  <c r="AG569" i="12"/>
  <c r="AD1492" i="12"/>
  <c r="AF2274" i="12"/>
  <c r="AD187" i="12"/>
  <c r="AF188" i="12"/>
  <c r="AB1123" i="12"/>
  <c r="AF1123" i="12" s="1"/>
  <c r="AG1124" i="12"/>
  <c r="AB665" i="12"/>
  <c r="AG666" i="12"/>
  <c r="AB916" i="12"/>
  <c r="AG917" i="12"/>
  <c r="AD2272" i="12"/>
  <c r="AG3055" i="12"/>
  <c r="AF917" i="12"/>
  <c r="AB2886" i="12"/>
  <c r="AG2887" i="12"/>
  <c r="AE388" i="12"/>
  <c r="AG389" i="12"/>
  <c r="AB2554" i="12"/>
  <c r="AG2554" i="12" s="1"/>
  <c r="AG2555" i="12"/>
  <c r="AB183" i="12"/>
  <c r="AB2203" i="12"/>
  <c r="AG2204" i="12"/>
  <c r="AD665" i="12"/>
  <c r="AF666" i="12"/>
  <c r="Q2653" i="12"/>
  <c r="Q1572" i="12"/>
  <c r="Q1034" i="12"/>
  <c r="Q642" i="12"/>
  <c r="Q3094" i="12"/>
  <c r="Q1732" i="12"/>
  <c r="Q962" i="12"/>
  <c r="Q2242" i="12"/>
  <c r="Q852" i="12"/>
  <c r="Q63" i="12"/>
  <c r="Q1134" i="12"/>
  <c r="Q2932" i="12"/>
  <c r="Q444" i="12"/>
  <c r="Q1961" i="12"/>
  <c r="Q303" i="12"/>
  <c r="Q2794" i="12"/>
  <c r="J67" i="13"/>
  <c r="AB3252" i="12" l="1"/>
  <c r="AG3253" i="12"/>
  <c r="AD3252" i="12"/>
  <c r="AF3253" i="12"/>
  <c r="O3175" i="12"/>
  <c r="Q3174" i="12"/>
  <c r="AD2271" i="12"/>
  <c r="AE387" i="12"/>
  <c r="AG388" i="12"/>
  <c r="AD186" i="12"/>
  <c r="AF187" i="12"/>
  <c r="AD2885" i="12"/>
  <c r="AF2886" i="12"/>
  <c r="AB915" i="12"/>
  <c r="AF915" i="12" s="1"/>
  <c r="AG916" i="12"/>
  <c r="AD248" i="12"/>
  <c r="AF249" i="12"/>
  <c r="AB1492" i="12"/>
  <c r="AG1492" i="12" s="1"/>
  <c r="AG1493" i="12"/>
  <c r="AD664" i="12"/>
  <c r="AF665" i="12"/>
  <c r="AB2202" i="12"/>
  <c r="AF2202" i="12" s="1"/>
  <c r="AG2203" i="12"/>
  <c r="AB2885" i="12"/>
  <c r="AG2886" i="12"/>
  <c r="AF1493" i="12"/>
  <c r="AD2201" i="12"/>
  <c r="AD1121" i="12"/>
  <c r="AE186" i="12"/>
  <c r="AG187" i="12"/>
  <c r="AF916" i="12"/>
  <c r="AB2272" i="12"/>
  <c r="AG2273" i="12"/>
  <c r="AB664" i="12"/>
  <c r="AG665" i="12"/>
  <c r="AB182" i="12"/>
  <c r="AD914" i="12"/>
  <c r="AG3054" i="12"/>
  <c r="AE567" i="12"/>
  <c r="AG568" i="12"/>
  <c r="AF3054" i="12"/>
  <c r="AE248" i="12"/>
  <c r="AG249" i="12"/>
  <c r="AB1122" i="12"/>
  <c r="AF1122" i="12" s="1"/>
  <c r="AG1123" i="12"/>
  <c r="AF2273" i="12"/>
  <c r="AF2554" i="12"/>
  <c r="AF2203" i="12"/>
  <c r="AB562" i="12"/>
  <c r="Q2654" i="12"/>
  <c r="Q2795" i="12"/>
  <c r="Q445" i="12"/>
  <c r="Q2243" i="12"/>
  <c r="Q643" i="12"/>
  <c r="Q304" i="12"/>
  <c r="Q2933" i="12"/>
  <c r="Q64" i="12"/>
  <c r="Q963" i="12"/>
  <c r="Q1035" i="12"/>
  <c r="Q3095" i="12"/>
  <c r="Q1962" i="12"/>
  <c r="Q1135" i="12"/>
  <c r="Q853" i="12"/>
  <c r="Q1733" i="12"/>
  <c r="Q1573" i="12"/>
  <c r="J68" i="13"/>
  <c r="AD3251" i="12" l="1"/>
  <c r="AF3252" i="12"/>
  <c r="AB3251" i="12"/>
  <c r="AG3252" i="12"/>
  <c r="O3176" i="12"/>
  <c r="Q3175" i="12"/>
  <c r="AE566" i="12"/>
  <c r="AG567" i="12"/>
  <c r="AD663" i="12"/>
  <c r="AF664" i="12"/>
  <c r="AB2271" i="12"/>
  <c r="AF2271" i="12" s="1"/>
  <c r="AG2272" i="12"/>
  <c r="AD2200" i="12"/>
  <c r="AD2884" i="12"/>
  <c r="AF2885" i="12"/>
  <c r="AE247" i="12"/>
  <c r="AG248" i="12"/>
  <c r="AD913" i="12"/>
  <c r="AD185" i="12"/>
  <c r="AF186" i="12"/>
  <c r="AB561" i="12"/>
  <c r="AE185" i="12"/>
  <c r="AG186" i="12"/>
  <c r="AB2884" i="12"/>
  <c r="AG2885" i="12"/>
  <c r="AG3053" i="12"/>
  <c r="AB181" i="12"/>
  <c r="AD247" i="12"/>
  <c r="AF248" i="12"/>
  <c r="AE386" i="12"/>
  <c r="AG387" i="12"/>
  <c r="AF3053" i="12"/>
  <c r="AD1120" i="12"/>
  <c r="AB2201" i="12"/>
  <c r="AF2201" i="12" s="1"/>
  <c r="AG2202" i="12"/>
  <c r="AF2272" i="12"/>
  <c r="AB1121" i="12"/>
  <c r="AG1122" i="12"/>
  <c r="AB663" i="12"/>
  <c r="AG664" i="12"/>
  <c r="AF1492" i="12"/>
  <c r="AB914" i="12"/>
  <c r="AF914" i="12" s="1"/>
  <c r="AG915" i="12"/>
  <c r="AD2270" i="12"/>
  <c r="Q2655" i="12"/>
  <c r="Q1574" i="12"/>
  <c r="Q1963" i="12"/>
  <c r="Q305" i="12"/>
  <c r="Q964" i="12"/>
  <c r="Q2244" i="12"/>
  <c r="Q1136" i="12"/>
  <c r="Q644" i="12"/>
  <c r="Q3096" i="12"/>
  <c r="Q446" i="12"/>
  <c r="Q1734" i="12"/>
  <c r="Q854" i="12"/>
  <c r="Q1036" i="12"/>
  <c r="Q65" i="12"/>
  <c r="Q2934" i="12"/>
  <c r="Q2796" i="12"/>
  <c r="J69" i="13"/>
  <c r="AB3250" i="12" l="1"/>
  <c r="AG3251" i="12"/>
  <c r="AD3250" i="12"/>
  <c r="AF3251" i="12"/>
  <c r="O3177" i="12"/>
  <c r="Q3176" i="12"/>
  <c r="AD1119" i="12"/>
  <c r="AB662" i="12"/>
  <c r="AG663" i="12"/>
  <c r="AF3052" i="12"/>
  <c r="AD184" i="12"/>
  <c r="AF185" i="12"/>
  <c r="AD2199" i="12"/>
  <c r="AG3052" i="12"/>
  <c r="AB1120" i="12"/>
  <c r="AG1121" i="12"/>
  <c r="AE385" i="12"/>
  <c r="AG386" i="12"/>
  <c r="AB2883" i="12"/>
  <c r="AG2884" i="12"/>
  <c r="AB2270" i="12"/>
  <c r="AF2270" i="12" s="1"/>
  <c r="AG2271" i="12"/>
  <c r="AD2269" i="12"/>
  <c r="AD912" i="12"/>
  <c r="AB913" i="12"/>
  <c r="AG914" i="12"/>
  <c r="AD246" i="12"/>
  <c r="AF247" i="12"/>
  <c r="AE184" i="12"/>
  <c r="AG185" i="12"/>
  <c r="AD662" i="12"/>
  <c r="AF663" i="12"/>
  <c r="AB2200" i="12"/>
  <c r="AF2200" i="12" s="1"/>
  <c r="AG2201" i="12"/>
  <c r="AE246" i="12"/>
  <c r="AG247" i="12"/>
  <c r="AF1121" i="12"/>
  <c r="AB180" i="12"/>
  <c r="AB560" i="12"/>
  <c r="AD2883" i="12"/>
  <c r="AF2884" i="12"/>
  <c r="AE565" i="12"/>
  <c r="AG566" i="12"/>
  <c r="Q2656" i="12"/>
  <c r="Q1037" i="12"/>
  <c r="Q855" i="12"/>
  <c r="Q965" i="12"/>
  <c r="Q306" i="12"/>
  <c r="Q2797" i="12"/>
  <c r="Q66" i="12"/>
  <c r="Q447" i="12"/>
  <c r="Q1137" i="12"/>
  <c r="Q1964" i="12"/>
  <c r="Q2935" i="12"/>
  <c r="Q1735" i="12"/>
  <c r="Q645" i="12"/>
  <c r="Q3097" i="12"/>
  <c r="Q2245" i="12"/>
  <c r="Q1575" i="12"/>
  <c r="J70" i="13"/>
  <c r="AD3249" i="12" l="1"/>
  <c r="AF3250" i="12"/>
  <c r="AB3249" i="12"/>
  <c r="AG3250" i="12"/>
  <c r="O3178" i="12"/>
  <c r="Q3177" i="12"/>
  <c r="AD2268" i="12"/>
  <c r="AB912" i="12"/>
  <c r="AF912" i="12" s="1"/>
  <c r="AG913" i="12"/>
  <c r="AB559" i="12"/>
  <c r="AF913" i="12"/>
  <c r="AD661" i="12"/>
  <c r="AF662" i="12"/>
  <c r="AD911" i="12"/>
  <c r="AE384" i="12"/>
  <c r="AG385" i="12"/>
  <c r="AD183" i="12"/>
  <c r="AF184" i="12"/>
  <c r="AB179" i="12"/>
  <c r="AB1119" i="12"/>
  <c r="AF1119" i="12" s="1"/>
  <c r="AG1120" i="12"/>
  <c r="AF3051" i="12"/>
  <c r="AE564" i="12"/>
  <c r="AG565" i="12"/>
  <c r="AE245" i="12"/>
  <c r="AG246" i="12"/>
  <c r="AB2269" i="12"/>
  <c r="AG2270" i="12"/>
  <c r="AG3051" i="12"/>
  <c r="AB661" i="12"/>
  <c r="AG662" i="12"/>
  <c r="AD245" i="12"/>
  <c r="AF246" i="12"/>
  <c r="AD2882" i="12"/>
  <c r="AF2883" i="12"/>
  <c r="AF1120" i="12"/>
  <c r="AE183" i="12"/>
  <c r="AG184" i="12"/>
  <c r="AB2199" i="12"/>
  <c r="AF2199" i="12" s="1"/>
  <c r="AG2200" i="12"/>
  <c r="AB2882" i="12"/>
  <c r="AG2883" i="12"/>
  <c r="AD2198" i="12"/>
  <c r="AD1118" i="12"/>
  <c r="Q2657" i="12"/>
  <c r="Q646" i="12"/>
  <c r="Q67" i="12"/>
  <c r="Q966" i="12"/>
  <c r="Q1576" i="12"/>
  <c r="Q1736" i="12"/>
  <c r="Q448" i="12"/>
  <c r="Q2246" i="12"/>
  <c r="Q2936" i="12"/>
  <c r="Q2798" i="12"/>
  <c r="Q856" i="12"/>
  <c r="Q1138" i="12"/>
  <c r="Q3098" i="12"/>
  <c r="Q1965" i="12"/>
  <c r="Q307" i="12"/>
  <c r="Q1038" i="12"/>
  <c r="J71" i="13"/>
  <c r="AB3248" i="12" l="1"/>
  <c r="AG3249" i="12"/>
  <c r="AD3248" i="12"/>
  <c r="AF3249" i="12"/>
  <c r="O3179" i="12"/>
  <c r="Q3178" i="12"/>
  <c r="AD660" i="12"/>
  <c r="AF661" i="12"/>
  <c r="AB2198" i="12"/>
  <c r="AF2198" i="12" s="1"/>
  <c r="AG2199" i="12"/>
  <c r="AD244" i="12"/>
  <c r="AF244" i="12" s="1"/>
  <c r="AF245" i="12"/>
  <c r="AB660" i="12"/>
  <c r="AG661" i="12"/>
  <c r="AE563" i="12"/>
  <c r="AG564" i="12"/>
  <c r="AD182" i="12"/>
  <c r="AF183" i="12"/>
  <c r="AE244" i="12"/>
  <c r="AG244" i="12" s="1"/>
  <c r="AG245" i="12"/>
  <c r="AD1117" i="12"/>
  <c r="AE182" i="12"/>
  <c r="AG183" i="12"/>
  <c r="AB558" i="12"/>
  <c r="AB178" i="12"/>
  <c r="AF3050" i="12"/>
  <c r="AE383" i="12"/>
  <c r="AG384" i="12"/>
  <c r="AG3050" i="12"/>
  <c r="AD2197" i="12"/>
  <c r="AB911" i="12"/>
  <c r="AG912" i="12"/>
  <c r="AB2268" i="12"/>
  <c r="AF2268" i="12" s="1"/>
  <c r="AG2269" i="12"/>
  <c r="AB1118" i="12"/>
  <c r="AF1118" i="12" s="1"/>
  <c r="AG1119" i="12"/>
  <c r="AD910" i="12"/>
  <c r="AF2269" i="12"/>
  <c r="AD2881" i="12"/>
  <c r="AF2882" i="12"/>
  <c r="AB2881" i="12"/>
  <c r="AG2882" i="12"/>
  <c r="AD2267" i="12"/>
  <c r="Q2658" i="12"/>
  <c r="Q2937" i="12"/>
  <c r="Q449" i="12"/>
  <c r="Q1039" i="12"/>
  <c r="Q1139" i="12"/>
  <c r="Q2247" i="12"/>
  <c r="Q1737" i="12"/>
  <c r="Q857" i="12"/>
  <c r="Q1577" i="12"/>
  <c r="Q68" i="12"/>
  <c r="Q3099" i="12"/>
  <c r="Q308" i="12"/>
  <c r="Q1966" i="12"/>
  <c r="Q2799" i="12"/>
  <c r="Q967" i="12"/>
  <c r="Q647" i="12"/>
  <c r="J72" i="13"/>
  <c r="AD3247" i="12" l="1"/>
  <c r="AF3248" i="12"/>
  <c r="AB3247" i="12"/>
  <c r="AG3248" i="12"/>
  <c r="O3180" i="12"/>
  <c r="Q3179" i="12"/>
  <c r="AD909" i="12"/>
  <c r="AB910" i="12"/>
  <c r="AG911" i="12"/>
  <c r="AF3049" i="12"/>
  <c r="AB659" i="12"/>
  <c r="AG660" i="12"/>
  <c r="AD2196" i="12"/>
  <c r="AD2880" i="12"/>
  <c r="AF2881" i="12"/>
  <c r="AD1116" i="12"/>
  <c r="AF911" i="12"/>
  <c r="AD2266" i="12"/>
  <c r="AB177" i="12"/>
  <c r="AG3049" i="12"/>
  <c r="AD181" i="12"/>
  <c r="AF182" i="12"/>
  <c r="AB2197" i="12"/>
  <c r="AF2197" i="12" s="1"/>
  <c r="AG2198" i="12"/>
  <c r="AB1117" i="12"/>
  <c r="AF1117" i="12" s="1"/>
  <c r="AG1118" i="12"/>
  <c r="AB557" i="12"/>
  <c r="AB2880" i="12"/>
  <c r="AG2881" i="12"/>
  <c r="AB2267" i="12"/>
  <c r="AG2268" i="12"/>
  <c r="AE382" i="12"/>
  <c r="AG383" i="12"/>
  <c r="AE181" i="12"/>
  <c r="AG182" i="12"/>
  <c r="AE562" i="12"/>
  <c r="AG563" i="12"/>
  <c r="AD659" i="12"/>
  <c r="AF660" i="12"/>
  <c r="Q2659" i="12"/>
  <c r="Q1140" i="12"/>
  <c r="Q648" i="12"/>
  <c r="Q1967" i="12"/>
  <c r="Q858" i="12"/>
  <c r="Q1040" i="12"/>
  <c r="Q968" i="12"/>
  <c r="Q309" i="12"/>
  <c r="Q69" i="12"/>
  <c r="Q1738" i="12"/>
  <c r="Q450" i="12"/>
  <c r="Q2800" i="12"/>
  <c r="Q3100" i="12"/>
  <c r="Q1578" i="12"/>
  <c r="Q2248" i="12"/>
  <c r="Q2938" i="12"/>
  <c r="J73" i="13"/>
  <c r="AB3246" i="12" l="1"/>
  <c r="AG3247" i="12"/>
  <c r="AD3246" i="12"/>
  <c r="AF3247" i="12"/>
  <c r="O3181" i="12"/>
  <c r="Q3180" i="12"/>
  <c r="AD2265" i="12"/>
  <c r="AB658" i="12"/>
  <c r="AG659" i="12"/>
  <c r="AE561" i="12"/>
  <c r="AG562" i="12"/>
  <c r="AB2879" i="12"/>
  <c r="AG2880" i="12"/>
  <c r="AD180" i="12"/>
  <c r="AF181" i="12"/>
  <c r="AB2266" i="12"/>
  <c r="AG2267" i="12"/>
  <c r="AD1115" i="12"/>
  <c r="AF3048" i="12"/>
  <c r="AE180" i="12"/>
  <c r="AG181" i="12"/>
  <c r="AB556" i="12"/>
  <c r="AG3048" i="12"/>
  <c r="AD658" i="12"/>
  <c r="AF659" i="12"/>
  <c r="AD2879" i="12"/>
  <c r="AF2880" i="12"/>
  <c r="AB909" i="12"/>
  <c r="AG910" i="12"/>
  <c r="AE381" i="12"/>
  <c r="AG382" i="12"/>
  <c r="AB1116" i="12"/>
  <c r="AG1117" i="12"/>
  <c r="AB176" i="12"/>
  <c r="AF910" i="12"/>
  <c r="AB2196" i="12"/>
  <c r="AF2196" i="12" s="1"/>
  <c r="AG2197" i="12"/>
  <c r="AF2267" i="12"/>
  <c r="AD2195" i="12"/>
  <c r="AD908" i="12"/>
  <c r="Q2660" i="12"/>
  <c r="Q1739" i="12"/>
  <c r="Q2939" i="12"/>
  <c r="Q969" i="12"/>
  <c r="Q1968" i="12"/>
  <c r="Q3101" i="12"/>
  <c r="Q310" i="12"/>
  <c r="Q859" i="12"/>
  <c r="Q2249" i="12"/>
  <c r="Q2801" i="12"/>
  <c r="Q649" i="12"/>
  <c r="Q1579" i="12"/>
  <c r="Q451" i="12"/>
  <c r="Q70" i="12"/>
  <c r="Q1041" i="12"/>
  <c r="Q1141" i="12"/>
  <c r="J74" i="13"/>
  <c r="AD3245" i="12" l="1"/>
  <c r="AF3246" i="12"/>
  <c r="AB3245" i="12"/>
  <c r="AG3246" i="12"/>
  <c r="O3182" i="12"/>
  <c r="Q3181" i="12"/>
  <c r="AB175" i="12"/>
  <c r="AE179" i="12"/>
  <c r="AG180" i="12"/>
  <c r="AB1115" i="12"/>
  <c r="AG1116" i="12"/>
  <c r="AD657" i="12"/>
  <c r="AF658" i="12"/>
  <c r="AB2878" i="12"/>
  <c r="AG2879" i="12"/>
  <c r="AF3047" i="12"/>
  <c r="AF1116" i="12"/>
  <c r="AE380" i="12"/>
  <c r="AG381" i="12"/>
  <c r="AD1114" i="12"/>
  <c r="AE560" i="12"/>
  <c r="AG561" i="12"/>
  <c r="AD2194" i="12"/>
  <c r="AG3047" i="12"/>
  <c r="AB2195" i="12"/>
  <c r="AG2196" i="12"/>
  <c r="AB908" i="12"/>
  <c r="AF908" i="12" s="1"/>
  <c r="AG909" i="12"/>
  <c r="AB555" i="12"/>
  <c r="AB657" i="12"/>
  <c r="AG658" i="12"/>
  <c r="AB2265" i="12"/>
  <c r="AG2266" i="12"/>
  <c r="AF909" i="12"/>
  <c r="AF2266" i="12"/>
  <c r="AD907" i="12"/>
  <c r="AD2878" i="12"/>
  <c r="AF2879" i="12"/>
  <c r="AD179" i="12"/>
  <c r="AF180" i="12"/>
  <c r="AD2264" i="12"/>
  <c r="Q2661" i="12"/>
  <c r="Q311" i="12"/>
  <c r="Q860" i="12"/>
  <c r="Q71" i="12"/>
  <c r="Q970" i="12"/>
  <c r="Q1042" i="12"/>
  <c r="Q452" i="12"/>
  <c r="Q2802" i="12"/>
  <c r="Q3102" i="12"/>
  <c r="Q2940" i="12"/>
  <c r="Q650" i="12"/>
  <c r="Q1142" i="12"/>
  <c r="Q1580" i="12"/>
  <c r="Q2250" i="12"/>
  <c r="Q1969" i="12"/>
  <c r="Q1740" i="12"/>
  <c r="J75" i="13"/>
  <c r="AB3244" i="12" l="1"/>
  <c r="AG3245" i="12"/>
  <c r="AD3244" i="12"/>
  <c r="AF3245" i="12"/>
  <c r="O3183" i="12"/>
  <c r="Q3182" i="12"/>
  <c r="AD178" i="12"/>
  <c r="AF179" i="12"/>
  <c r="AB2194" i="12"/>
  <c r="AF2194" i="12" s="1"/>
  <c r="AG2195" i="12"/>
  <c r="AD1113" i="12"/>
  <c r="AB2264" i="12"/>
  <c r="AG2265" i="12"/>
  <c r="AD656" i="12"/>
  <c r="AF657" i="12"/>
  <c r="AB656" i="12"/>
  <c r="AG657" i="12"/>
  <c r="AG3046" i="12"/>
  <c r="AE379" i="12"/>
  <c r="AG380" i="12"/>
  <c r="AD2877" i="12"/>
  <c r="AF2878" i="12"/>
  <c r="AF2195" i="12"/>
  <c r="AB1114" i="12"/>
  <c r="AF1114" i="12" s="1"/>
  <c r="AG1115" i="12"/>
  <c r="AD906" i="12"/>
  <c r="AB554" i="12"/>
  <c r="AD2193" i="12"/>
  <c r="AF2265" i="12"/>
  <c r="AF3046" i="12"/>
  <c r="AE178" i="12"/>
  <c r="AG179" i="12"/>
  <c r="AD2263" i="12"/>
  <c r="AB907" i="12"/>
  <c r="AF907" i="12" s="1"/>
  <c r="AG908" i="12"/>
  <c r="AE559" i="12"/>
  <c r="AG560" i="12"/>
  <c r="AF1115" i="12"/>
  <c r="AB2877" i="12"/>
  <c r="AG2878" i="12"/>
  <c r="AB174" i="12"/>
  <c r="Q2662" i="12"/>
  <c r="Q861" i="12"/>
  <c r="Q971" i="12"/>
  <c r="Q1741" i="12"/>
  <c r="Q1143" i="12"/>
  <c r="Q2803" i="12"/>
  <c r="Q3103" i="12"/>
  <c r="Q1970" i="12"/>
  <c r="Q651" i="12"/>
  <c r="Q453" i="12"/>
  <c r="Q312" i="12"/>
  <c r="Q1581" i="12"/>
  <c r="Q2251" i="12"/>
  <c r="Q2941" i="12"/>
  <c r="Q1043" i="12"/>
  <c r="Q72" i="12"/>
  <c r="J76" i="13"/>
  <c r="AD3243" i="12" l="1"/>
  <c r="AF3244" i="12"/>
  <c r="AB3243" i="12"/>
  <c r="AG3244" i="12"/>
  <c r="O3184" i="12"/>
  <c r="Q3183" i="12"/>
  <c r="AB2876" i="12"/>
  <c r="AG2877" i="12"/>
  <c r="AB553" i="12"/>
  <c r="AE378" i="12"/>
  <c r="AG379" i="12"/>
  <c r="AB2263" i="12"/>
  <c r="AG2263" i="12" s="1"/>
  <c r="AG2264" i="12"/>
  <c r="AE177" i="12"/>
  <c r="AG178" i="12"/>
  <c r="AD905" i="12"/>
  <c r="AF3045" i="12"/>
  <c r="AG3044" i="12"/>
  <c r="AG3045" i="12"/>
  <c r="AD1112" i="12"/>
  <c r="AE558" i="12"/>
  <c r="AG559" i="12"/>
  <c r="AB1113" i="12"/>
  <c r="AG1114" i="12"/>
  <c r="AB906" i="12"/>
  <c r="AG907" i="12"/>
  <c r="AB655" i="12"/>
  <c r="AG656" i="12"/>
  <c r="AB2193" i="12"/>
  <c r="AG2193" i="12" s="1"/>
  <c r="AG2194" i="12"/>
  <c r="AB173" i="12"/>
  <c r="AF2264" i="12"/>
  <c r="AD2876" i="12"/>
  <c r="AF2877" i="12"/>
  <c r="AD655" i="12"/>
  <c r="AF656" i="12"/>
  <c r="AD177" i="12"/>
  <c r="AF178" i="12"/>
  <c r="Q652" i="12"/>
  <c r="Q2663" i="12"/>
  <c r="Q1582" i="12"/>
  <c r="Q1044" i="12"/>
  <c r="Q313" i="12"/>
  <c r="Q3104" i="12"/>
  <c r="Q1742" i="12"/>
  <c r="Q73" i="12"/>
  <c r="Q1144" i="12"/>
  <c r="Q2942" i="12"/>
  <c r="Q454" i="12"/>
  <c r="Q972" i="12"/>
  <c r="Q1971" i="12"/>
  <c r="Q2252" i="12"/>
  <c r="Q2804" i="12"/>
  <c r="Q862" i="12"/>
  <c r="AB3242" i="12" l="1"/>
  <c r="AG3243" i="12"/>
  <c r="AD3242" i="12"/>
  <c r="AF3243" i="12"/>
  <c r="O3185" i="12"/>
  <c r="Q3184" i="12"/>
  <c r="AF2263" i="12"/>
  <c r="AB654" i="12"/>
  <c r="AG654" i="12" s="1"/>
  <c r="AG655" i="12"/>
  <c r="AF2193" i="12"/>
  <c r="AB905" i="12"/>
  <c r="AF905" i="12" s="1"/>
  <c r="AG906" i="12"/>
  <c r="AD176" i="12"/>
  <c r="AF177" i="12"/>
  <c r="AB1112" i="12"/>
  <c r="AF1112" i="12" s="1"/>
  <c r="AG1113" i="12"/>
  <c r="AF3044" i="12"/>
  <c r="AE377" i="12"/>
  <c r="AG378" i="12"/>
  <c r="AB172" i="12"/>
  <c r="AD654" i="12"/>
  <c r="AF655" i="12"/>
  <c r="AF906" i="12"/>
  <c r="AE557" i="12"/>
  <c r="AG558" i="12"/>
  <c r="AD904" i="12"/>
  <c r="AB552" i="12"/>
  <c r="AD2875" i="12"/>
  <c r="AF2876" i="12"/>
  <c r="AF1113" i="12"/>
  <c r="AD1111" i="12"/>
  <c r="AE176" i="12"/>
  <c r="AG177" i="12"/>
  <c r="AB2875" i="12"/>
  <c r="AG2876" i="12"/>
  <c r="Q2664" i="12"/>
  <c r="Q314" i="12"/>
  <c r="Q1972" i="12"/>
  <c r="Q2943" i="12"/>
  <c r="Q74" i="12"/>
  <c r="Q1045" i="12"/>
  <c r="Q455" i="12"/>
  <c r="Q863" i="12"/>
  <c r="Q973" i="12"/>
  <c r="Q1145" i="12"/>
  <c r="Q1743" i="12"/>
  <c r="Q2253" i="12"/>
  <c r="Q2805" i="12"/>
  <c r="Q3105" i="12"/>
  <c r="Q1583" i="12"/>
  <c r="AD3241" i="12" l="1"/>
  <c r="AF3242" i="12"/>
  <c r="AB3241" i="12"/>
  <c r="AG3242" i="12"/>
  <c r="O3186" i="12"/>
  <c r="Q3185" i="12"/>
  <c r="AD2874" i="12"/>
  <c r="AF2875" i="12"/>
  <c r="AB1111" i="12"/>
  <c r="AF1111" i="12" s="1"/>
  <c r="AG1112" i="12"/>
  <c r="AB2874" i="12"/>
  <c r="AG2875" i="12"/>
  <c r="AD653" i="12"/>
  <c r="AF654" i="12"/>
  <c r="AB551" i="12"/>
  <c r="AD175" i="12"/>
  <c r="AF176" i="12"/>
  <c r="AE175" i="12"/>
  <c r="AG176" i="12"/>
  <c r="AB171" i="12"/>
  <c r="AD903" i="12"/>
  <c r="AB904" i="12"/>
  <c r="AG905" i="12"/>
  <c r="AD1110" i="12"/>
  <c r="AE376" i="12"/>
  <c r="AG377" i="12"/>
  <c r="AE556" i="12"/>
  <c r="AG557" i="12"/>
  <c r="Q974" i="12"/>
  <c r="Q2665" i="12"/>
  <c r="Q1744" i="12"/>
  <c r="Q75" i="12"/>
  <c r="Q2806" i="12"/>
  <c r="Q1146" i="12"/>
  <c r="Q1046" i="12"/>
  <c r="Q2944" i="12"/>
  <c r="Q456" i="12"/>
  <c r="Q1584" i="12"/>
  <c r="Q2254" i="12"/>
  <c r="Q1973" i="12"/>
  <c r="Q3106" i="12"/>
  <c r="Q864" i="12"/>
  <c r="Q315" i="12"/>
  <c r="AB3240" i="12" l="1"/>
  <c r="AG3241" i="12"/>
  <c r="AD3240" i="12"/>
  <c r="AF3241" i="12"/>
  <c r="O3187" i="12"/>
  <c r="Q3186" i="12"/>
  <c r="AE375" i="12"/>
  <c r="AG376" i="12"/>
  <c r="AD652" i="12"/>
  <c r="AF653" i="12"/>
  <c r="AB170" i="12"/>
  <c r="AD1109" i="12"/>
  <c r="AB2873" i="12"/>
  <c r="AG2874" i="12"/>
  <c r="AE174" i="12"/>
  <c r="AG175" i="12"/>
  <c r="AB903" i="12"/>
  <c r="AG904" i="12"/>
  <c r="AB1110" i="12"/>
  <c r="AG1111" i="12"/>
  <c r="AD174" i="12"/>
  <c r="AF175" i="12"/>
  <c r="AF904" i="12"/>
  <c r="AE555" i="12"/>
  <c r="AG556" i="12"/>
  <c r="AD902" i="12"/>
  <c r="AB550" i="12"/>
  <c r="AD2873" i="12"/>
  <c r="AF2874" i="12"/>
  <c r="Q2666" i="12"/>
  <c r="Q865" i="12"/>
  <c r="Q1585" i="12"/>
  <c r="Q1147" i="12"/>
  <c r="Q76" i="12"/>
  <c r="Q1047" i="12"/>
  <c r="Q3107" i="12"/>
  <c r="Q2255" i="12"/>
  <c r="Q457" i="12"/>
  <c r="Q2807" i="12"/>
  <c r="Q1745" i="12"/>
  <c r="Q316" i="12"/>
  <c r="Q1974" i="12"/>
  <c r="Q2945" i="12"/>
  <c r="AD3239" i="12" l="1"/>
  <c r="AF3240" i="12"/>
  <c r="AB3239" i="12"/>
  <c r="AG3240" i="12"/>
  <c r="O3188" i="12"/>
  <c r="Q3187" i="12"/>
  <c r="AB1109" i="12"/>
  <c r="AF1109" i="12" s="1"/>
  <c r="AG1110" i="12"/>
  <c r="AD1108" i="12"/>
  <c r="AF1110" i="12"/>
  <c r="AD901" i="12"/>
  <c r="AB902" i="12"/>
  <c r="AG903" i="12"/>
  <c r="AB169" i="12"/>
  <c r="AB549" i="12"/>
  <c r="AE554" i="12"/>
  <c r="AG555" i="12"/>
  <c r="AF903" i="12"/>
  <c r="AE173" i="12"/>
  <c r="AG174" i="12"/>
  <c r="AD651" i="12"/>
  <c r="AF652" i="12"/>
  <c r="AD2872" i="12"/>
  <c r="AF2873" i="12"/>
  <c r="AD173" i="12"/>
  <c r="AF174" i="12"/>
  <c r="AB2872" i="12"/>
  <c r="AG2873" i="12"/>
  <c r="AE374" i="12"/>
  <c r="AG375" i="12"/>
  <c r="Q2667" i="12"/>
  <c r="Q2946" i="12"/>
  <c r="Q1975" i="12"/>
  <c r="Q458" i="12"/>
  <c r="Q1048" i="12"/>
  <c r="Q1148" i="12"/>
  <c r="Q2808" i="12"/>
  <c r="Q317" i="12"/>
  <c r="Q2256" i="12"/>
  <c r="Q1586" i="12"/>
  <c r="Q77" i="12"/>
  <c r="Q1746" i="12"/>
  <c r="Q3108" i="12"/>
  <c r="Q866" i="12"/>
  <c r="AB3238" i="12" l="1"/>
  <c r="AG3239" i="12"/>
  <c r="AD3238" i="12"/>
  <c r="AF3239" i="12"/>
  <c r="O3189" i="12"/>
  <c r="Q3188" i="12"/>
  <c r="AB901" i="12"/>
  <c r="AF901" i="12" s="1"/>
  <c r="AG902" i="12"/>
  <c r="AD172" i="12"/>
  <c r="AF173" i="12"/>
  <c r="AF902" i="12"/>
  <c r="AD900" i="12"/>
  <c r="AE553" i="12"/>
  <c r="AG554" i="12"/>
  <c r="AD2871" i="12"/>
  <c r="AF2872" i="12"/>
  <c r="AB548" i="12"/>
  <c r="AD650" i="12"/>
  <c r="AF651" i="12"/>
  <c r="AD1107" i="12"/>
  <c r="AE373" i="12"/>
  <c r="AG374" i="12"/>
  <c r="AB168" i="12"/>
  <c r="AB2871" i="12"/>
  <c r="AG2872" i="12"/>
  <c r="AE172" i="12"/>
  <c r="AG173" i="12"/>
  <c r="AB1108" i="12"/>
  <c r="AG1109" i="12"/>
  <c r="Q2668" i="12"/>
  <c r="Q3109" i="12"/>
  <c r="Q78" i="12"/>
  <c r="Q2809" i="12"/>
  <c r="Q1976" i="12"/>
  <c r="Q1747" i="12"/>
  <c r="Q1587" i="12"/>
  <c r="Q1149" i="12"/>
  <c r="Q2947" i="12"/>
  <c r="Q318" i="12"/>
  <c r="Q867" i="12"/>
  <c r="Q459" i="12"/>
  <c r="Q2257" i="12"/>
  <c r="Q1049" i="12"/>
  <c r="AD3237" i="12" l="1"/>
  <c r="AF3238" i="12"/>
  <c r="AB3237" i="12"/>
  <c r="AG3238" i="12"/>
  <c r="O3190" i="12"/>
  <c r="Q3189" i="12"/>
  <c r="AE171" i="12"/>
  <c r="AG172" i="12"/>
  <c r="AE552" i="12"/>
  <c r="AG553" i="12"/>
  <c r="AD1106" i="12"/>
  <c r="AB2870" i="12"/>
  <c r="AG2871" i="12"/>
  <c r="AD899" i="12"/>
  <c r="AD649" i="12"/>
  <c r="AF650" i="12"/>
  <c r="AB547" i="12"/>
  <c r="AB167" i="12"/>
  <c r="AD171" i="12"/>
  <c r="AF172" i="12"/>
  <c r="AE372" i="12"/>
  <c r="AG373" i="12"/>
  <c r="AD2870" i="12"/>
  <c r="AF2871" i="12"/>
  <c r="AB1107" i="12"/>
  <c r="AG1108" i="12"/>
  <c r="AF1108" i="12"/>
  <c r="AB900" i="12"/>
  <c r="AG901" i="12"/>
  <c r="Q2669" i="12"/>
  <c r="Q1050" i="12"/>
  <c r="Q319" i="12"/>
  <c r="Q2258" i="12"/>
  <c r="Q2948" i="12"/>
  <c r="Q1748" i="12"/>
  <c r="Q460" i="12"/>
  <c r="Q1150" i="12"/>
  <c r="Q1977" i="12"/>
  <c r="Q79" i="12"/>
  <c r="Q868" i="12"/>
  <c r="Q1588" i="12"/>
  <c r="Q2810" i="12"/>
  <c r="Q3110" i="12"/>
  <c r="AB3236" i="12" l="1"/>
  <c r="AG3237" i="12"/>
  <c r="AD3236" i="12"/>
  <c r="AF3237" i="12"/>
  <c r="O3191" i="12"/>
  <c r="Q3190" i="12"/>
  <c r="AD170" i="12"/>
  <c r="AF171" i="12"/>
  <c r="AB1106" i="12"/>
  <c r="AF1106" i="12" s="1"/>
  <c r="AG1107" i="12"/>
  <c r="AB2869" i="12"/>
  <c r="AG2870" i="12"/>
  <c r="AB166" i="12"/>
  <c r="AF1107" i="12"/>
  <c r="AD2869" i="12"/>
  <c r="AF2870" i="12"/>
  <c r="AD1105" i="12"/>
  <c r="AB546" i="12"/>
  <c r="AD648" i="12"/>
  <c r="AF649" i="12"/>
  <c r="AE551" i="12"/>
  <c r="AG552" i="12"/>
  <c r="AE371" i="12"/>
  <c r="AG372" i="12"/>
  <c r="AB899" i="12"/>
  <c r="AG900" i="12"/>
  <c r="AF900" i="12"/>
  <c r="AD898" i="12"/>
  <c r="AE170" i="12"/>
  <c r="AG171" i="12"/>
  <c r="Q2670" i="12"/>
  <c r="Q2811" i="12"/>
  <c r="Q1151" i="12"/>
  <c r="Q1589" i="12"/>
  <c r="Q2259" i="12"/>
  <c r="Q869" i="12"/>
  <c r="Q80" i="12"/>
  <c r="Q461" i="12"/>
  <c r="Q320" i="12"/>
  <c r="Q2949" i="12"/>
  <c r="Q3111" i="12"/>
  <c r="Q1978" i="12"/>
  <c r="Q1749" i="12"/>
  <c r="Q1051" i="12"/>
  <c r="AD3235" i="12" l="1"/>
  <c r="AF3236" i="12"/>
  <c r="AB3235" i="12"/>
  <c r="AG3236" i="12"/>
  <c r="O3192" i="12"/>
  <c r="Q3191" i="12"/>
  <c r="AD647" i="12"/>
  <c r="AF648" i="12"/>
  <c r="AB165" i="12"/>
  <c r="AB898" i="12"/>
  <c r="AF898" i="12" s="1"/>
  <c r="AG899" i="12"/>
  <c r="AB545" i="12"/>
  <c r="AB2868" i="12"/>
  <c r="AG2869" i="12"/>
  <c r="AE370" i="12"/>
  <c r="AG371" i="12"/>
  <c r="AD1104" i="12"/>
  <c r="AE169" i="12"/>
  <c r="AG170" i="12"/>
  <c r="AB1105" i="12"/>
  <c r="AF1105" i="12" s="1"/>
  <c r="AG1106" i="12"/>
  <c r="AF899" i="12"/>
  <c r="AE550" i="12"/>
  <c r="AG551" i="12"/>
  <c r="AD2868" i="12"/>
  <c r="AF2869" i="12"/>
  <c r="AD897" i="12"/>
  <c r="AD169" i="12"/>
  <c r="AF170" i="12"/>
  <c r="Q2671" i="12"/>
  <c r="Q2950" i="12"/>
  <c r="Q1979" i="12"/>
  <c r="Q321" i="12"/>
  <c r="Q1590" i="12"/>
  <c r="Q2260" i="12"/>
  <c r="Q81" i="12"/>
  <c r="Q1152" i="12"/>
  <c r="Q1750" i="12"/>
  <c r="Q1052" i="12"/>
  <c r="Q3112" i="12"/>
  <c r="Q462" i="12"/>
  <c r="Q870" i="12"/>
  <c r="Q2812" i="12"/>
  <c r="AB3234" i="12" l="1"/>
  <c r="AG3235" i="12"/>
  <c r="AD3234" i="12"/>
  <c r="AF3235" i="12"/>
  <c r="O3193" i="12"/>
  <c r="Q3192" i="12"/>
  <c r="AE168" i="12"/>
  <c r="AG169" i="12"/>
  <c r="AB544" i="12"/>
  <c r="AD896" i="12"/>
  <c r="AD2867" i="12"/>
  <c r="AF2868" i="12"/>
  <c r="AD1103" i="12"/>
  <c r="AB897" i="12"/>
  <c r="AF897" i="12" s="1"/>
  <c r="AG898" i="12"/>
  <c r="AE549" i="12"/>
  <c r="AG550" i="12"/>
  <c r="AE369" i="12"/>
  <c r="AG370" i="12"/>
  <c r="AB164" i="12"/>
  <c r="AD168" i="12"/>
  <c r="AF169" i="12"/>
  <c r="AB1104" i="12"/>
  <c r="AG1105" i="12"/>
  <c r="AB2867" i="12"/>
  <c r="AG2868" i="12"/>
  <c r="AD646" i="12"/>
  <c r="AF647" i="12"/>
  <c r="Q2672" i="12"/>
  <c r="Q463" i="12"/>
  <c r="Q1153" i="12"/>
  <c r="Q322" i="12"/>
  <c r="Q1751" i="12"/>
  <c r="Q82" i="12"/>
  <c r="Q3113" i="12"/>
  <c r="Q1980" i="12"/>
  <c r="Q1591" i="12"/>
  <c r="Q871" i="12"/>
  <c r="Q2813" i="12"/>
  <c r="Q1053" i="12"/>
  <c r="Q2261" i="12"/>
  <c r="Q2951" i="12"/>
  <c r="AD3233" i="12" l="1"/>
  <c r="AF3234" i="12"/>
  <c r="AB3233" i="12"/>
  <c r="AG3234" i="12"/>
  <c r="O3194" i="12"/>
  <c r="Q3193" i="12"/>
  <c r="AB2866" i="12"/>
  <c r="AG2867" i="12"/>
  <c r="AD2866" i="12"/>
  <c r="AF2867" i="12"/>
  <c r="AE368" i="12"/>
  <c r="AG369" i="12"/>
  <c r="AB1103" i="12"/>
  <c r="AF1103" i="12" s="1"/>
  <c r="AG1104" i="12"/>
  <c r="AD895" i="12"/>
  <c r="AE548" i="12"/>
  <c r="AG549" i="12"/>
  <c r="AD167" i="12"/>
  <c r="AF168" i="12"/>
  <c r="AB543" i="12"/>
  <c r="AB896" i="12"/>
  <c r="AF896" i="12" s="1"/>
  <c r="AG897" i="12"/>
  <c r="AF1104" i="12"/>
  <c r="AD645" i="12"/>
  <c r="AF646" i="12"/>
  <c r="AD1102" i="12"/>
  <c r="AE167" i="12"/>
  <c r="AG168" i="12"/>
  <c r="Q2673" i="12"/>
  <c r="Q1054" i="12"/>
  <c r="Q1981" i="12"/>
  <c r="Q2262" i="12"/>
  <c r="Q1592" i="12"/>
  <c r="Q2814" i="12"/>
  <c r="Q83" i="12"/>
  <c r="Q1154" i="12"/>
  <c r="Q323" i="12"/>
  <c r="Q2952" i="12"/>
  <c r="Q872" i="12"/>
  <c r="Q1752" i="12"/>
  <c r="Q464" i="12"/>
  <c r="AB3232" i="12" l="1"/>
  <c r="AG3233" i="12"/>
  <c r="AD3232" i="12"/>
  <c r="AF3233" i="12"/>
  <c r="O3195" i="12"/>
  <c r="Q3194" i="12"/>
  <c r="AB542" i="12"/>
  <c r="AB1102" i="12"/>
  <c r="AF1102" i="12" s="1"/>
  <c r="AG1103" i="12"/>
  <c r="AD1101" i="12"/>
  <c r="AD166" i="12"/>
  <c r="AF167" i="12"/>
  <c r="AE367" i="12"/>
  <c r="AG368" i="12"/>
  <c r="AF645" i="12"/>
  <c r="AD644" i="12"/>
  <c r="AD2865" i="12"/>
  <c r="AF2866" i="12"/>
  <c r="AE547" i="12"/>
  <c r="AG548" i="12"/>
  <c r="AB895" i="12"/>
  <c r="AG896" i="12"/>
  <c r="AD894" i="12"/>
  <c r="AB2865" i="12"/>
  <c r="AG2866" i="12"/>
  <c r="AE166" i="12"/>
  <c r="AG167" i="12"/>
  <c r="Q2674" i="12"/>
  <c r="Q324" i="12"/>
  <c r="Q1753" i="12"/>
  <c r="Q1155" i="12"/>
  <c r="Q84" i="12"/>
  <c r="Q2263" i="12"/>
  <c r="Q873" i="12"/>
  <c r="Q2815" i="12"/>
  <c r="Q1982" i="12"/>
  <c r="Q465" i="12"/>
  <c r="Q2953" i="12"/>
  <c r="Q1593" i="12"/>
  <c r="Q1055" i="12"/>
  <c r="AD3231" i="12" l="1"/>
  <c r="AF3232" i="12"/>
  <c r="AB3231" i="12"/>
  <c r="AG3232" i="12"/>
  <c r="O3196" i="12"/>
  <c r="Q3195" i="12"/>
  <c r="AB894" i="12"/>
  <c r="AF894" i="12" s="1"/>
  <c r="AG895" i="12"/>
  <c r="AD165" i="12"/>
  <c r="AF166" i="12"/>
  <c r="AE546" i="12"/>
  <c r="AG547" i="12"/>
  <c r="AD2864" i="12"/>
  <c r="AF2865" i="12"/>
  <c r="AD1100" i="12"/>
  <c r="AE165" i="12"/>
  <c r="AG166" i="12"/>
  <c r="AF644" i="12"/>
  <c r="AD643" i="12"/>
  <c r="AB2864" i="12"/>
  <c r="AG2865" i="12"/>
  <c r="AF895" i="12"/>
  <c r="AB1101" i="12"/>
  <c r="AG1102" i="12"/>
  <c r="AD893" i="12"/>
  <c r="AE366" i="12"/>
  <c r="AG367" i="12"/>
  <c r="AB541" i="12"/>
  <c r="Q2675" i="12"/>
  <c r="Q1156" i="12"/>
  <c r="Q2954" i="12"/>
  <c r="Q874" i="12"/>
  <c r="Q85" i="12"/>
  <c r="Q466" i="12"/>
  <c r="Q2264" i="12"/>
  <c r="Q1754" i="12"/>
  <c r="Q1056" i="12"/>
  <c r="Q1983" i="12"/>
  <c r="Q1594" i="12"/>
  <c r="Q2816" i="12"/>
  <c r="Q325" i="12"/>
  <c r="AB3230" i="12" l="1"/>
  <c r="AG3231" i="12"/>
  <c r="AD3230" i="12"/>
  <c r="AF3231" i="12"/>
  <c r="O3197" i="12"/>
  <c r="Q3196" i="12"/>
  <c r="AB540" i="12"/>
  <c r="AB2863" i="12"/>
  <c r="AG2864" i="12"/>
  <c r="AD2863" i="12"/>
  <c r="AF2864" i="12"/>
  <c r="AE365" i="12"/>
  <c r="AG366" i="12"/>
  <c r="AF643" i="12"/>
  <c r="AD642" i="12"/>
  <c r="AE545" i="12"/>
  <c r="AG546" i="12"/>
  <c r="AD892" i="12"/>
  <c r="AE164" i="12"/>
  <c r="AG165" i="12"/>
  <c r="AD164" i="12"/>
  <c r="AF165" i="12"/>
  <c r="AB1100" i="12"/>
  <c r="AF1100" i="12" s="1"/>
  <c r="AG1101" i="12"/>
  <c r="AF1101" i="12"/>
  <c r="AD1099" i="12"/>
  <c r="AB893" i="12"/>
  <c r="AG894" i="12"/>
  <c r="Q2676" i="12"/>
  <c r="Q2817" i="12"/>
  <c r="Q86" i="12"/>
  <c r="Q1595" i="12"/>
  <c r="Q1755" i="12"/>
  <c r="Q875" i="12"/>
  <c r="Q1057" i="12"/>
  <c r="Q467" i="12"/>
  <c r="Q2955" i="12"/>
  <c r="Q326" i="12"/>
  <c r="Q1984" i="12"/>
  <c r="Q2265" i="12"/>
  <c r="Q1157" i="12"/>
  <c r="AD3229" i="12" l="1"/>
  <c r="AF3230" i="12"/>
  <c r="AB3229" i="12"/>
  <c r="AG3230" i="12"/>
  <c r="O3198" i="12"/>
  <c r="Q3197" i="12"/>
  <c r="AB892" i="12"/>
  <c r="AF892" i="12" s="1"/>
  <c r="AG893" i="12"/>
  <c r="AE364" i="12"/>
  <c r="AG365" i="12"/>
  <c r="AD1098" i="12"/>
  <c r="AF893" i="12"/>
  <c r="AE163" i="12"/>
  <c r="AG164" i="12"/>
  <c r="AD2862" i="12"/>
  <c r="AF2863" i="12"/>
  <c r="AD891" i="12"/>
  <c r="AE544" i="12"/>
  <c r="AG545" i="12"/>
  <c r="AB2862" i="12"/>
  <c r="AG2863" i="12"/>
  <c r="AB1099" i="12"/>
  <c r="AF1099" i="12" s="1"/>
  <c r="AG1100" i="12"/>
  <c r="AF642" i="12"/>
  <c r="AD641" i="12"/>
  <c r="AD163" i="12"/>
  <c r="AF164" i="12"/>
  <c r="AB539" i="12"/>
  <c r="Q2677" i="12"/>
  <c r="Q876" i="12"/>
  <c r="Q1985" i="12"/>
  <c r="Q468" i="12"/>
  <c r="Q327" i="12"/>
  <c r="Q1058" i="12"/>
  <c r="Q1756" i="12"/>
  <c r="Q1158" i="12"/>
  <c r="Q87" i="12"/>
  <c r="Q2956" i="12"/>
  <c r="Q1596" i="12"/>
  <c r="Q2266" i="12"/>
  <c r="Q2818" i="12"/>
  <c r="AB3228" i="12" l="1"/>
  <c r="AG3229" i="12"/>
  <c r="AD3228" i="12"/>
  <c r="AF3229" i="12"/>
  <c r="O3199" i="12"/>
  <c r="Q3198" i="12"/>
  <c r="AB538" i="12"/>
  <c r="AE162" i="12"/>
  <c r="AG163" i="12"/>
  <c r="AB2861" i="12"/>
  <c r="AG2862" i="12"/>
  <c r="AD162" i="12"/>
  <c r="AF163" i="12"/>
  <c r="AE543" i="12"/>
  <c r="AG544" i="12"/>
  <c r="AF641" i="12"/>
  <c r="AD640" i="12"/>
  <c r="AD1097" i="12"/>
  <c r="AD890" i="12"/>
  <c r="AE363" i="12"/>
  <c r="AG364" i="12"/>
  <c r="AB1098" i="12"/>
  <c r="AF1098" i="12" s="1"/>
  <c r="AG1099" i="12"/>
  <c r="AD2861" i="12"/>
  <c r="AF2862" i="12"/>
  <c r="AB891" i="12"/>
  <c r="AF891" i="12" s="1"/>
  <c r="AG892" i="12"/>
  <c r="Q2678" i="12"/>
  <c r="Q2267" i="12"/>
  <c r="Q1757" i="12"/>
  <c r="Q469" i="12"/>
  <c r="Q1597" i="12"/>
  <c r="Q1059" i="12"/>
  <c r="Q1986" i="12"/>
  <c r="Q88" i="12"/>
  <c r="Q328" i="12"/>
  <c r="Q877" i="12"/>
  <c r="Q2819" i="12"/>
  <c r="Q2957" i="12"/>
  <c r="Q1159" i="12"/>
  <c r="AD3227" i="12" l="1"/>
  <c r="AF3228" i="12"/>
  <c r="AB3227" i="12"/>
  <c r="AG3228" i="12"/>
  <c r="O3200" i="12"/>
  <c r="Q3199" i="12"/>
  <c r="AE362" i="12"/>
  <c r="AG363" i="12"/>
  <c r="AD161" i="12"/>
  <c r="AF162" i="12"/>
  <c r="AD889" i="12"/>
  <c r="AD1096" i="12"/>
  <c r="AB2860" i="12"/>
  <c r="AG2861" i="12"/>
  <c r="AB890" i="12"/>
  <c r="AF890" i="12" s="1"/>
  <c r="AG891" i="12"/>
  <c r="AD639" i="12"/>
  <c r="AF640" i="12"/>
  <c r="AD2860" i="12"/>
  <c r="AF2861" i="12"/>
  <c r="AE161" i="12"/>
  <c r="AG162" i="12"/>
  <c r="AB1097" i="12"/>
  <c r="AF1097" i="12" s="1"/>
  <c r="AG1098" i="12"/>
  <c r="AE542" i="12"/>
  <c r="AG543" i="12"/>
  <c r="AB537" i="12"/>
  <c r="Q2679" i="12"/>
  <c r="Q878" i="12"/>
  <c r="Q89" i="12"/>
  <c r="Q1598" i="12"/>
  <c r="Q1758" i="12"/>
  <c r="Q1160" i="12"/>
  <c r="Q1987" i="12"/>
  <c r="Q329" i="12"/>
  <c r="Q470" i="12"/>
  <c r="Q2958" i="12"/>
  <c r="Q2820" i="12"/>
  <c r="Q1060" i="12"/>
  <c r="Q2268" i="12"/>
  <c r="AB3226" i="12" l="1"/>
  <c r="AG3227" i="12"/>
  <c r="AD3226" i="12"/>
  <c r="AF3227" i="12"/>
  <c r="O3201" i="12"/>
  <c r="Q3200" i="12"/>
  <c r="AE160" i="12"/>
  <c r="AG161" i="12"/>
  <c r="AB536" i="12"/>
  <c r="AD1095" i="12"/>
  <c r="AD2859" i="12"/>
  <c r="AF2860" i="12"/>
  <c r="AD888" i="12"/>
  <c r="AE541" i="12"/>
  <c r="AG542" i="12"/>
  <c r="AD638" i="12"/>
  <c r="AF639" i="12"/>
  <c r="AB1096" i="12"/>
  <c r="AG1097" i="12"/>
  <c r="AD160" i="12"/>
  <c r="AF161" i="12"/>
  <c r="AB889" i="12"/>
  <c r="AG890" i="12"/>
  <c r="AB2859" i="12"/>
  <c r="AG2860" i="12"/>
  <c r="AE361" i="12"/>
  <c r="AG362" i="12"/>
  <c r="Q2680" i="12"/>
  <c r="Q1061" i="12"/>
  <c r="Q471" i="12"/>
  <c r="Q1161" i="12"/>
  <c r="Q2821" i="12"/>
  <c r="Q1759" i="12"/>
  <c r="Q90" i="12"/>
  <c r="Q330" i="12"/>
  <c r="Q1599" i="12"/>
  <c r="Q879" i="12"/>
  <c r="Q2269" i="12"/>
  <c r="Q2959" i="12"/>
  <c r="Q1988" i="12"/>
  <c r="AD3225" i="12" l="1"/>
  <c r="AF3226" i="12"/>
  <c r="AB3225" i="12"/>
  <c r="AG3226" i="12"/>
  <c r="O3202" i="12"/>
  <c r="Q3201" i="12"/>
  <c r="AE360" i="12"/>
  <c r="AG361" i="12"/>
  <c r="AD2858" i="12"/>
  <c r="AF2859" i="12"/>
  <c r="AB1095" i="12"/>
  <c r="AG1096" i="12"/>
  <c r="AF1096" i="12"/>
  <c r="AD1094" i="12"/>
  <c r="AB2858" i="12"/>
  <c r="AG2859" i="12"/>
  <c r="AD637" i="12"/>
  <c r="AF638" i="12"/>
  <c r="AB888" i="12"/>
  <c r="AF888" i="12" s="1"/>
  <c r="AG889" i="12"/>
  <c r="AB535" i="12"/>
  <c r="AE540" i="12"/>
  <c r="AG541" i="12"/>
  <c r="AF889" i="12"/>
  <c r="AD159" i="12"/>
  <c r="AF160" i="12"/>
  <c r="AD887" i="12"/>
  <c r="AE159" i="12"/>
  <c r="AG160" i="12"/>
  <c r="Q2681" i="12"/>
  <c r="Q1989" i="12"/>
  <c r="Q1600" i="12"/>
  <c r="Q2822" i="12"/>
  <c r="Q2960" i="12"/>
  <c r="Q331" i="12"/>
  <c r="Q91" i="12"/>
  <c r="Q1162" i="12"/>
  <c r="Q2270" i="12"/>
  <c r="Q1760" i="12"/>
  <c r="Q472" i="12"/>
  <c r="Q880" i="12"/>
  <c r="Q1062" i="12"/>
  <c r="AB3224" i="12" l="1"/>
  <c r="AG3225" i="12"/>
  <c r="AD3224" i="12"/>
  <c r="AF3225" i="12"/>
  <c r="O3203" i="12"/>
  <c r="Q3202" i="12"/>
  <c r="AD1093" i="12"/>
  <c r="AD886" i="12"/>
  <c r="AB534" i="12"/>
  <c r="AB887" i="12"/>
  <c r="AG888" i="12"/>
  <c r="AB1094" i="12"/>
  <c r="AF1094" i="12" s="1"/>
  <c r="AG1095" i="12"/>
  <c r="AD636" i="12"/>
  <c r="AF637" i="12"/>
  <c r="AD158" i="12"/>
  <c r="AF159" i="12"/>
  <c r="AD2857" i="12"/>
  <c r="AF2858" i="12"/>
  <c r="AE539" i="12"/>
  <c r="AG540" i="12"/>
  <c r="AB2857" i="12"/>
  <c r="AG2858" i="12"/>
  <c r="AE158" i="12"/>
  <c r="AG159" i="12"/>
  <c r="AF1095" i="12"/>
  <c r="AE359" i="12"/>
  <c r="AG360" i="12"/>
  <c r="Q2823" i="12"/>
  <c r="Q2682" i="12"/>
  <c r="Q1761" i="12"/>
  <c r="Q2961" i="12"/>
  <c r="Q881" i="12"/>
  <c r="Q2271" i="12"/>
  <c r="Q92" i="12"/>
  <c r="Q1601" i="12"/>
  <c r="Q1063" i="12"/>
  <c r="Q473" i="12"/>
  <c r="Q1163" i="12"/>
  <c r="Q332" i="12"/>
  <c r="Q1990" i="12"/>
  <c r="AD3223" i="12" l="1"/>
  <c r="AF3224" i="12"/>
  <c r="AB3223" i="12"/>
  <c r="AG3224" i="12"/>
  <c r="O3204" i="12"/>
  <c r="Q3203" i="12"/>
  <c r="AE358" i="12"/>
  <c r="AG359" i="12"/>
  <c r="AB886" i="12"/>
  <c r="AF886" i="12" s="1"/>
  <c r="AG887" i="12"/>
  <c r="AE538" i="12"/>
  <c r="AG539" i="12"/>
  <c r="AD2856" i="12"/>
  <c r="AF2857" i="12"/>
  <c r="AE157" i="12"/>
  <c r="AG158" i="12"/>
  <c r="AB533" i="12"/>
  <c r="AD157" i="12"/>
  <c r="AF158" i="12"/>
  <c r="AF887" i="12"/>
  <c r="AB2856" i="12"/>
  <c r="AG2857" i="12"/>
  <c r="AD885" i="12"/>
  <c r="AD635" i="12"/>
  <c r="AF636" i="12"/>
  <c r="AB1093" i="12"/>
  <c r="AF1093" i="12" s="1"/>
  <c r="AG1094" i="12"/>
  <c r="AD1092" i="12"/>
  <c r="Q2683" i="12"/>
  <c r="Q1991" i="12"/>
  <c r="Q1064" i="12"/>
  <c r="Q93" i="12"/>
  <c r="Q882" i="12"/>
  <c r="Q333" i="12"/>
  <c r="Q1602" i="12"/>
  <c r="Q2272" i="12"/>
  <c r="Q2962" i="12"/>
  <c r="Q1164" i="12"/>
  <c r="Q1762" i="12"/>
  <c r="Q474" i="12"/>
  <c r="AB3222" i="12" l="1"/>
  <c r="AG3223" i="12"/>
  <c r="AD3222" i="12"/>
  <c r="AF3223" i="12"/>
  <c r="O3205" i="12"/>
  <c r="Q3204" i="12"/>
  <c r="AB2855" i="12"/>
  <c r="AG2856" i="12"/>
  <c r="AD2855" i="12"/>
  <c r="AF2856" i="12"/>
  <c r="AD1091" i="12"/>
  <c r="AB1092" i="12"/>
  <c r="AG1093" i="12"/>
  <c r="AE537" i="12"/>
  <c r="AG538" i="12"/>
  <c r="AD156" i="12"/>
  <c r="AF157" i="12"/>
  <c r="AD634" i="12"/>
  <c r="AF635" i="12"/>
  <c r="AB532" i="12"/>
  <c r="AB885" i="12"/>
  <c r="AG886" i="12"/>
  <c r="AD884" i="12"/>
  <c r="AE156" i="12"/>
  <c r="AG157" i="12"/>
  <c r="AE357" i="12"/>
  <c r="AG358" i="12"/>
  <c r="Q2684" i="12"/>
  <c r="Q1603" i="12"/>
  <c r="Q1165" i="12"/>
  <c r="Q334" i="12"/>
  <c r="Q94" i="12"/>
  <c r="Q475" i="12"/>
  <c r="Q2963" i="12"/>
  <c r="Q1763" i="12"/>
  <c r="Q883" i="12"/>
  <c r="Q1065" i="12"/>
  <c r="Q2273" i="12"/>
  <c r="Q1992" i="12"/>
  <c r="AD3221" i="12" l="1"/>
  <c r="AF3222" i="12"/>
  <c r="AB3221" i="12"/>
  <c r="AG3222" i="12"/>
  <c r="O3206" i="12"/>
  <c r="Q3205" i="12"/>
  <c r="AB884" i="12"/>
  <c r="AF884" i="12" s="1"/>
  <c r="AG885" i="12"/>
  <c r="AB1091" i="12"/>
  <c r="AG1092" i="12"/>
  <c r="AB531" i="12"/>
  <c r="AF1092" i="12"/>
  <c r="AD1090" i="12"/>
  <c r="AD633" i="12"/>
  <c r="AF634" i="12"/>
  <c r="AF885" i="12"/>
  <c r="AE155" i="12"/>
  <c r="AG156" i="12"/>
  <c r="AD2854" i="12"/>
  <c r="AF2855" i="12"/>
  <c r="AE356" i="12"/>
  <c r="AG357" i="12"/>
  <c r="AD883" i="12"/>
  <c r="AD155" i="12"/>
  <c r="AF156" i="12"/>
  <c r="AE536" i="12"/>
  <c r="AG537" i="12"/>
  <c r="AB2854" i="12"/>
  <c r="AG2855" i="12"/>
  <c r="Q2685" i="12"/>
  <c r="Q884" i="12"/>
  <c r="Q335" i="12"/>
  <c r="Q2274" i="12"/>
  <c r="Q1764" i="12"/>
  <c r="Q1166" i="12"/>
  <c r="Q1993" i="12"/>
  <c r="Q2964" i="12"/>
  <c r="Q1066" i="12"/>
  <c r="Q476" i="12"/>
  <c r="Q95" i="12"/>
  <c r="Q1604" i="12"/>
  <c r="AB3220" i="12" l="1"/>
  <c r="AG3221" i="12"/>
  <c r="AD3220" i="12"/>
  <c r="AF3221" i="12"/>
  <c r="O3207" i="12"/>
  <c r="Q3206" i="12"/>
  <c r="AD1089" i="12"/>
  <c r="AD2853" i="12"/>
  <c r="AF2854" i="12"/>
  <c r="AE535" i="12"/>
  <c r="AG536" i="12"/>
  <c r="AD154" i="12"/>
  <c r="AF155" i="12"/>
  <c r="AB530" i="12"/>
  <c r="AE154" i="12"/>
  <c r="AG155" i="12"/>
  <c r="AD882" i="12"/>
  <c r="AB1090" i="12"/>
  <c r="AG1091" i="12"/>
  <c r="AD632" i="12"/>
  <c r="AF633" i="12"/>
  <c r="AB2853" i="12"/>
  <c r="AG2854" i="12"/>
  <c r="AE355" i="12"/>
  <c r="AG356" i="12"/>
  <c r="AF1091" i="12"/>
  <c r="AB883" i="12"/>
  <c r="AG884" i="12"/>
  <c r="Q2686" i="12"/>
  <c r="Q1605" i="12"/>
  <c r="Q477" i="12"/>
  <c r="Q2275" i="12"/>
  <c r="Q1067" i="12"/>
  <c r="Q1994" i="12"/>
  <c r="Q336" i="12"/>
  <c r="Q1167" i="12"/>
  <c r="Q96" i="12"/>
  <c r="Q2965" i="12"/>
  <c r="Q1765" i="12"/>
  <c r="Q885" i="12"/>
  <c r="AD3219" i="12" l="1"/>
  <c r="AF3220" i="12"/>
  <c r="AB3219" i="12"/>
  <c r="AG3220" i="12"/>
  <c r="O3208" i="12"/>
  <c r="Q3207" i="12"/>
  <c r="AB882" i="12"/>
  <c r="AF882" i="12" s="1"/>
  <c r="AG883" i="12"/>
  <c r="AD153" i="12"/>
  <c r="AF154" i="12"/>
  <c r="AB1089" i="12"/>
  <c r="AF1089" i="12" s="1"/>
  <c r="AG1090" i="12"/>
  <c r="AF883" i="12"/>
  <c r="AE354" i="12"/>
  <c r="AG355" i="12"/>
  <c r="AE534" i="12"/>
  <c r="AG535" i="12"/>
  <c r="AD881" i="12"/>
  <c r="AB2852" i="12"/>
  <c r="AG2853" i="12"/>
  <c r="AD2852" i="12"/>
  <c r="AF2853" i="12"/>
  <c r="AE153" i="12"/>
  <c r="AG154" i="12"/>
  <c r="AF1090" i="12"/>
  <c r="AD631" i="12"/>
  <c r="AF632" i="12"/>
  <c r="AB529" i="12"/>
  <c r="AD1088" i="12"/>
  <c r="Q2687" i="12"/>
  <c r="Q886" i="12"/>
  <c r="Q2276" i="12"/>
  <c r="Q1766" i="12"/>
  <c r="Q97" i="12"/>
  <c r="Q337" i="12"/>
  <c r="Q2966" i="12"/>
  <c r="Q1995" i="12"/>
  <c r="Q478" i="12"/>
  <c r="Q1168" i="12"/>
  <c r="Q1068" i="12"/>
  <c r="Q1606" i="12"/>
  <c r="AB3218" i="12" l="1"/>
  <c r="AG3219" i="12"/>
  <c r="AD3218" i="12"/>
  <c r="AF3219" i="12"/>
  <c r="O3209" i="12"/>
  <c r="Q3208" i="12"/>
  <c r="AD2851" i="12"/>
  <c r="AF2852" i="12"/>
  <c r="AE353" i="12"/>
  <c r="AG354" i="12"/>
  <c r="AB528" i="12"/>
  <c r="AB2851" i="12"/>
  <c r="AG2852" i="12"/>
  <c r="AD630" i="12"/>
  <c r="AF631" i="12"/>
  <c r="AB1088" i="12"/>
  <c r="AF1088" i="12" s="1"/>
  <c r="AG1089" i="12"/>
  <c r="AD880" i="12"/>
  <c r="AD152" i="12"/>
  <c r="AF153" i="12"/>
  <c r="AE152" i="12"/>
  <c r="AG153" i="12"/>
  <c r="AE533" i="12"/>
  <c r="AG534" i="12"/>
  <c r="AD1087" i="12"/>
  <c r="AB881" i="12"/>
  <c r="AG882" i="12"/>
  <c r="Q2688" i="12"/>
  <c r="Q1607" i="12"/>
  <c r="Q1996" i="12"/>
  <c r="Q338" i="12"/>
  <c r="Q1767" i="12"/>
  <c r="Q1069" i="12"/>
  <c r="Q2277" i="12"/>
  <c r="Q1169" i="12"/>
  <c r="Q2967" i="12"/>
  <c r="Q479" i="12"/>
  <c r="Q98" i="12"/>
  <c r="Q887" i="12"/>
  <c r="AD3217" i="12" l="1"/>
  <c r="AF3218" i="12"/>
  <c r="AB3217" i="12"/>
  <c r="AG3218" i="12"/>
  <c r="O3210" i="12"/>
  <c r="Q3209" i="12"/>
  <c r="AE151" i="12"/>
  <c r="AG152" i="12"/>
  <c r="AB880" i="12"/>
  <c r="AF880" i="12" s="1"/>
  <c r="AG881" i="12"/>
  <c r="AB2850" i="12"/>
  <c r="AG2851" i="12"/>
  <c r="AD151" i="12"/>
  <c r="AF152" i="12"/>
  <c r="AF881" i="12"/>
  <c r="AD1086" i="12"/>
  <c r="AB527" i="12"/>
  <c r="AD879" i="12"/>
  <c r="AE532" i="12"/>
  <c r="AG533" i="12"/>
  <c r="AE352" i="12"/>
  <c r="AG353" i="12"/>
  <c r="AB1087" i="12"/>
  <c r="AG1088" i="12"/>
  <c r="AD629" i="12"/>
  <c r="AF630" i="12"/>
  <c r="AD2850" i="12"/>
  <c r="AF2851" i="12"/>
  <c r="Q2689" i="12"/>
  <c r="Q888" i="12"/>
  <c r="Q1170" i="12"/>
  <c r="Q1768" i="12"/>
  <c r="Q480" i="12"/>
  <c r="Q2278" i="12"/>
  <c r="Q339" i="12"/>
  <c r="Q1997" i="12"/>
  <c r="Q99" i="12"/>
  <c r="Q2968" i="12"/>
  <c r="Q1070" i="12"/>
  <c r="Q1608" i="12"/>
  <c r="AB3216" i="12" l="1"/>
  <c r="AG3217" i="12"/>
  <c r="AD3216" i="12"/>
  <c r="AF3217" i="12"/>
  <c r="O3211" i="12"/>
  <c r="Q3210" i="12"/>
  <c r="AD2849" i="12"/>
  <c r="AF2850" i="12"/>
  <c r="AE531" i="12"/>
  <c r="AG532" i="12"/>
  <c r="AD150" i="12"/>
  <c r="AF151" i="12"/>
  <c r="AD628" i="12"/>
  <c r="AF629" i="12"/>
  <c r="AD878" i="12"/>
  <c r="AB2849" i="12"/>
  <c r="AG2850" i="12"/>
  <c r="AB1086" i="12"/>
  <c r="AF1086" i="12" s="1"/>
  <c r="AG1087" i="12"/>
  <c r="AB526" i="12"/>
  <c r="AF1087" i="12"/>
  <c r="AB879" i="12"/>
  <c r="AG880" i="12"/>
  <c r="AE351" i="12"/>
  <c r="AG352" i="12"/>
  <c r="AD1085" i="12"/>
  <c r="AE150" i="12"/>
  <c r="AG151" i="12"/>
  <c r="Q2690" i="12"/>
  <c r="Q1609" i="12"/>
  <c r="Q1769" i="12"/>
  <c r="Q1071" i="12"/>
  <c r="Q100" i="12"/>
  <c r="Q340" i="12"/>
  <c r="Q1171" i="12"/>
  <c r="Q2969" i="12"/>
  <c r="Q1998" i="12"/>
  <c r="Q2279" i="12"/>
  <c r="Q481" i="12"/>
  <c r="Q889" i="12"/>
  <c r="AD3215" i="12" l="1"/>
  <c r="AF3216" i="12"/>
  <c r="AB3215" i="12"/>
  <c r="AG3216" i="12"/>
  <c r="O3212" i="12"/>
  <c r="Q3211" i="12"/>
  <c r="AE149" i="12"/>
  <c r="AG150" i="12"/>
  <c r="AB525" i="12"/>
  <c r="AD627" i="12"/>
  <c r="AF628" i="12"/>
  <c r="AD1084" i="12"/>
  <c r="AB1085" i="12"/>
  <c r="AF1085" i="12" s="1"/>
  <c r="AG1086" i="12"/>
  <c r="AD149" i="12"/>
  <c r="AF150" i="12"/>
  <c r="AE350" i="12"/>
  <c r="AG351" i="12"/>
  <c r="AB2848" i="12"/>
  <c r="AG2849" i="12"/>
  <c r="AE530" i="12"/>
  <c r="AG531" i="12"/>
  <c r="AB878" i="12"/>
  <c r="AF878" i="12" s="1"/>
  <c r="AG879" i="12"/>
  <c r="AF879" i="12"/>
  <c r="AD877" i="12"/>
  <c r="AD2848" i="12"/>
  <c r="AF2849" i="12"/>
  <c r="Q2691" i="12"/>
  <c r="Q890" i="12"/>
  <c r="Q2280" i="12"/>
  <c r="Q341" i="12"/>
  <c r="Q1072" i="12"/>
  <c r="Q482" i="12"/>
  <c r="Q1999" i="12"/>
  <c r="Q1770" i="12"/>
  <c r="Q2970" i="12"/>
  <c r="Q1172" i="12"/>
  <c r="Q101" i="12"/>
  <c r="Q1610" i="12"/>
  <c r="AB3214" i="12" l="1"/>
  <c r="AG3215" i="12"/>
  <c r="AD3214" i="12"/>
  <c r="AF3215" i="12"/>
  <c r="O3213" i="12"/>
  <c r="Q3212" i="12"/>
  <c r="AD2847" i="12"/>
  <c r="AF2848" i="12"/>
  <c r="AB2847" i="12"/>
  <c r="AG2848" i="12"/>
  <c r="AD1083" i="12"/>
  <c r="AD876" i="12"/>
  <c r="AD626" i="12"/>
  <c r="AF627" i="12"/>
  <c r="AE349" i="12"/>
  <c r="AG350" i="12"/>
  <c r="AB877" i="12"/>
  <c r="AF877" i="12" s="1"/>
  <c r="AG878" i="12"/>
  <c r="AB524" i="12"/>
  <c r="AD148" i="12"/>
  <c r="AF149" i="12"/>
  <c r="AE529" i="12"/>
  <c r="AG530" i="12"/>
  <c r="AB1084" i="12"/>
  <c r="AF1084" i="12" s="1"/>
  <c r="AG1085" i="12"/>
  <c r="AE148" i="12"/>
  <c r="AG149" i="12"/>
  <c r="Q2692" i="12"/>
  <c r="Q1611" i="12"/>
  <c r="Q1173" i="12"/>
  <c r="Q1073" i="12"/>
  <c r="Q1771" i="12"/>
  <c r="Q342" i="12"/>
  <c r="Q2000" i="12"/>
  <c r="Q2281" i="12"/>
  <c r="Q102" i="12"/>
  <c r="Q2971" i="12"/>
  <c r="Q483" i="12"/>
  <c r="Q891" i="12"/>
  <c r="AD3213" i="12" l="1"/>
  <c r="AF3214" i="12"/>
  <c r="AB3213" i="12"/>
  <c r="AG3214" i="12"/>
  <c r="O3214" i="12"/>
  <c r="Q3213" i="12"/>
  <c r="AD147" i="12"/>
  <c r="AF148" i="12"/>
  <c r="AE147" i="12"/>
  <c r="AG148" i="12"/>
  <c r="AD875" i="12"/>
  <c r="AB523" i="12"/>
  <c r="AB1083" i="12"/>
  <c r="AG1084" i="12"/>
  <c r="AD1082" i="12"/>
  <c r="AB876" i="12"/>
  <c r="AF876" i="12" s="1"/>
  <c r="AG877" i="12"/>
  <c r="AE528" i="12"/>
  <c r="AG529" i="12"/>
  <c r="AB2846" i="12"/>
  <c r="AG2847" i="12"/>
  <c r="AE348" i="12"/>
  <c r="AG349" i="12"/>
  <c r="AD625" i="12"/>
  <c r="AF626" i="12"/>
  <c r="AD2846" i="12"/>
  <c r="AF2847" i="12"/>
  <c r="Q1074" i="12"/>
  <c r="Q2693" i="12"/>
  <c r="Q892" i="12"/>
  <c r="Q484" i="12"/>
  <c r="Q103" i="12"/>
  <c r="Q343" i="12"/>
  <c r="Q2972" i="12"/>
  <c r="Q2282" i="12"/>
  <c r="Q1772" i="12"/>
  <c r="Q1174" i="12"/>
  <c r="Q2001" i="12"/>
  <c r="Q1612" i="12"/>
  <c r="AB3212" i="12" l="1"/>
  <c r="AG3213" i="12"/>
  <c r="AD3212" i="12"/>
  <c r="AF3213" i="12"/>
  <c r="O3215" i="12"/>
  <c r="Q3214" i="12"/>
  <c r="AB1082" i="12"/>
  <c r="AF1082" i="12" s="1"/>
  <c r="AG1083" i="12"/>
  <c r="AD2845" i="12"/>
  <c r="AF2846" i="12"/>
  <c r="AB522" i="12"/>
  <c r="AE527" i="12"/>
  <c r="AG528" i="12"/>
  <c r="AD624" i="12"/>
  <c r="AF625" i="12"/>
  <c r="AD874" i="12"/>
  <c r="AB875" i="12"/>
  <c r="AG876" i="12"/>
  <c r="AF1083" i="12"/>
  <c r="AE347" i="12"/>
  <c r="AG348" i="12"/>
  <c r="AE146" i="12"/>
  <c r="AG147" i="12"/>
  <c r="AD1081" i="12"/>
  <c r="AB2845" i="12"/>
  <c r="AG2846" i="12"/>
  <c r="AD146" i="12"/>
  <c r="AF147" i="12"/>
  <c r="Q2694" i="12"/>
  <c r="Q1175" i="12"/>
  <c r="Q104" i="12"/>
  <c r="Q1613" i="12"/>
  <c r="Q1773" i="12"/>
  <c r="Q344" i="12"/>
  <c r="Q485" i="12"/>
  <c r="Q2283" i="12"/>
  <c r="Q2002" i="12"/>
  <c r="Q2973" i="12"/>
  <c r="Q893" i="12"/>
  <c r="AD3211" i="12" l="1"/>
  <c r="AF3212" i="12"/>
  <c r="AB3211" i="12"/>
  <c r="AG3212" i="12"/>
  <c r="O3216" i="12"/>
  <c r="Q3215" i="12"/>
  <c r="AD145" i="12"/>
  <c r="AF146" i="12"/>
  <c r="AE346" i="12"/>
  <c r="AG347" i="12"/>
  <c r="AE526" i="12"/>
  <c r="AG527" i="12"/>
  <c r="AB2844" i="12"/>
  <c r="AG2845" i="12"/>
  <c r="AB521" i="12"/>
  <c r="AB874" i="12"/>
  <c r="AF874" i="12" s="1"/>
  <c r="AG875" i="12"/>
  <c r="AD1080" i="12"/>
  <c r="AF875" i="12"/>
  <c r="AD873" i="12"/>
  <c r="AD2844" i="12"/>
  <c r="AF2845" i="12"/>
  <c r="AE145" i="12"/>
  <c r="AG146" i="12"/>
  <c r="AD623" i="12"/>
  <c r="AF624" i="12"/>
  <c r="AB1081" i="12"/>
  <c r="AG1082" i="12"/>
  <c r="Q2695" i="12"/>
  <c r="Q894" i="12"/>
  <c r="Q2284" i="12"/>
  <c r="Q1774" i="12"/>
  <c r="Q105" i="12"/>
  <c r="Q345" i="12"/>
  <c r="Q2974" i="12"/>
  <c r="Q1614" i="12"/>
  <c r="Q2003" i="12"/>
  <c r="Q486" i="12"/>
  <c r="Q1176" i="12"/>
  <c r="AB3210" i="12" l="1"/>
  <c r="AG3211" i="12"/>
  <c r="AD3210" i="12"/>
  <c r="AF3211" i="12"/>
  <c r="O3217" i="12"/>
  <c r="Q3216" i="12"/>
  <c r="AB1080" i="12"/>
  <c r="AF1080" i="12" s="1"/>
  <c r="AG1081" i="12"/>
  <c r="AD872" i="12"/>
  <c r="AB2843" i="12"/>
  <c r="AG2844" i="12"/>
  <c r="AD622" i="12"/>
  <c r="AF623" i="12"/>
  <c r="AF1081" i="12"/>
  <c r="AD1079" i="12"/>
  <c r="AE525" i="12"/>
  <c r="AG526" i="12"/>
  <c r="AE144" i="12"/>
  <c r="AG145" i="12"/>
  <c r="AB873" i="12"/>
  <c r="AG874" i="12"/>
  <c r="AE345" i="12"/>
  <c r="AG346" i="12"/>
  <c r="AD2843" i="12"/>
  <c r="AF2844" i="12"/>
  <c r="AB520" i="12"/>
  <c r="AD144" i="12"/>
  <c r="AF145" i="12"/>
  <c r="Q2696" i="12"/>
  <c r="Q1177" i="12"/>
  <c r="Q1615" i="12"/>
  <c r="Q1775" i="12"/>
  <c r="Q487" i="12"/>
  <c r="Q2285" i="12"/>
  <c r="Q2004" i="12"/>
  <c r="Q2975" i="12"/>
  <c r="Q895" i="12"/>
  <c r="Q346" i="12"/>
  <c r="Q106" i="12"/>
  <c r="AD3209" i="12" l="1"/>
  <c r="AF3210" i="12"/>
  <c r="AB3209" i="12"/>
  <c r="AG3210" i="12"/>
  <c r="O3218" i="12"/>
  <c r="Q3217" i="12"/>
  <c r="AD143" i="12"/>
  <c r="AF144" i="12"/>
  <c r="AB872" i="12"/>
  <c r="AF872" i="12" s="1"/>
  <c r="AG873" i="12"/>
  <c r="AD621" i="12"/>
  <c r="AF622" i="12"/>
  <c r="AE143" i="12"/>
  <c r="AG144" i="12"/>
  <c r="AB519" i="12"/>
  <c r="AB2842" i="12"/>
  <c r="AG2843" i="12"/>
  <c r="AD2842" i="12"/>
  <c r="AF2843" i="12"/>
  <c r="AE524" i="12"/>
  <c r="AG525" i="12"/>
  <c r="AF873" i="12"/>
  <c r="AD871" i="12"/>
  <c r="AE344" i="12"/>
  <c r="AG345" i="12"/>
  <c r="AD1078" i="12"/>
  <c r="AB1079" i="12"/>
  <c r="AF1079" i="12" s="1"/>
  <c r="AG1080" i="12"/>
  <c r="Q2697" i="12"/>
  <c r="Q107" i="12"/>
  <c r="Q2976" i="12"/>
  <c r="Q488" i="12"/>
  <c r="Q347" i="12"/>
  <c r="Q2005" i="12"/>
  <c r="Q1776" i="12"/>
  <c r="Q2286" i="12"/>
  <c r="Q1616" i="12"/>
  <c r="Q896" i="12"/>
  <c r="Q1178" i="12"/>
  <c r="AB3208" i="12" l="1"/>
  <c r="AG3209" i="12"/>
  <c r="AD3208" i="12"/>
  <c r="AF3209" i="12"/>
  <c r="O3219" i="12"/>
  <c r="Q3218" i="12"/>
  <c r="AB1078" i="12"/>
  <c r="AF1078" i="12" s="1"/>
  <c r="AG1079" i="12"/>
  <c r="AE142" i="12"/>
  <c r="AG143" i="12"/>
  <c r="AD1077" i="12"/>
  <c r="AD2841" i="12"/>
  <c r="AF2842" i="12"/>
  <c r="AD620" i="12"/>
  <c r="AF621" i="12"/>
  <c r="AE343" i="12"/>
  <c r="AG343" i="12" s="1"/>
  <c r="AG344" i="12"/>
  <c r="AB2841" i="12"/>
  <c r="AG2842" i="12"/>
  <c r="AB871" i="12"/>
  <c r="AG872" i="12"/>
  <c r="AE523" i="12"/>
  <c r="AG524" i="12"/>
  <c r="AD870" i="12"/>
  <c r="AB518" i="12"/>
  <c r="AD142" i="12"/>
  <c r="AF143" i="12"/>
  <c r="Q2698" i="12"/>
  <c r="Q2006" i="12"/>
  <c r="Q2977" i="12"/>
  <c r="Q1179" i="12"/>
  <c r="Q2287" i="12"/>
  <c r="Q348" i="12"/>
  <c r="Q489" i="12"/>
  <c r="Q897" i="12"/>
  <c r="Q1777" i="12"/>
  <c r="Q1617" i="12"/>
  <c r="Q108" i="12"/>
  <c r="AD3207" i="12" l="1"/>
  <c r="AF3208" i="12"/>
  <c r="AB3207" i="12"/>
  <c r="AG3208" i="12"/>
  <c r="O3220" i="12"/>
  <c r="Q3219" i="12"/>
  <c r="AE522" i="12"/>
  <c r="AG523" i="12"/>
  <c r="AD2840" i="12"/>
  <c r="AF2841" i="12"/>
  <c r="AB870" i="12"/>
  <c r="AF870" i="12" s="1"/>
  <c r="AG871" i="12"/>
  <c r="AB517" i="12"/>
  <c r="AD1076" i="12"/>
  <c r="AB2840" i="12"/>
  <c r="AG2841" i="12"/>
  <c r="AF871" i="12"/>
  <c r="AD869" i="12"/>
  <c r="AE141" i="12"/>
  <c r="AG142" i="12"/>
  <c r="AD141" i="12"/>
  <c r="AF142" i="12"/>
  <c r="AD619" i="12"/>
  <c r="AF620" i="12"/>
  <c r="AB1077" i="12"/>
  <c r="AG1078" i="12"/>
  <c r="Q2699" i="12"/>
  <c r="Q1618" i="12"/>
  <c r="Q490" i="12"/>
  <c r="Q2288" i="12"/>
  <c r="Q1180" i="12"/>
  <c r="Q1778" i="12"/>
  <c r="Q2978" i="12"/>
  <c r="Q109" i="12"/>
  <c r="Q898" i="12"/>
  <c r="Q349" i="12"/>
  <c r="Q2007" i="12"/>
  <c r="AB3206" i="12" l="1"/>
  <c r="AG3207" i="12"/>
  <c r="AD3206" i="12"/>
  <c r="AF3207" i="12"/>
  <c r="O3221" i="12"/>
  <c r="Q3220" i="12"/>
  <c r="AE140" i="12"/>
  <c r="AG141" i="12"/>
  <c r="AB516" i="12"/>
  <c r="AB1076" i="12"/>
  <c r="AG1077" i="12"/>
  <c r="AD868" i="12"/>
  <c r="AB869" i="12"/>
  <c r="AF869" i="12" s="1"/>
  <c r="AG870" i="12"/>
  <c r="AD618" i="12"/>
  <c r="AF619" i="12"/>
  <c r="AB2839" i="12"/>
  <c r="AG2840" i="12"/>
  <c r="AD2839" i="12"/>
  <c r="AF2840" i="12"/>
  <c r="AD140" i="12"/>
  <c r="AF141" i="12"/>
  <c r="AF1077" i="12"/>
  <c r="AD1075" i="12"/>
  <c r="AE521" i="12"/>
  <c r="AG522" i="12"/>
  <c r="Q2700" i="12"/>
  <c r="Q2008" i="12"/>
  <c r="Q350" i="12"/>
  <c r="Q1779" i="12"/>
  <c r="Q2289" i="12"/>
  <c r="Q110" i="12"/>
  <c r="Q899" i="12"/>
  <c r="Q1181" i="12"/>
  <c r="Q491" i="12"/>
  <c r="Q2979" i="12"/>
  <c r="Q1619" i="12"/>
  <c r="AD3205" i="12" l="1"/>
  <c r="AF3206" i="12"/>
  <c r="AB3205" i="12"/>
  <c r="AG3206" i="12"/>
  <c r="O3222" i="12"/>
  <c r="Q3221" i="12"/>
  <c r="AD139" i="12"/>
  <c r="AF140" i="12"/>
  <c r="AD867" i="12"/>
  <c r="AE520" i="12"/>
  <c r="AG521" i="12"/>
  <c r="AB1075" i="12"/>
  <c r="AG1076" i="12"/>
  <c r="AD1074" i="12"/>
  <c r="AB2838" i="12"/>
  <c r="AG2839" i="12"/>
  <c r="AB515" i="12"/>
  <c r="AD2838" i="12"/>
  <c r="AF2839" i="12"/>
  <c r="AF1076" i="12"/>
  <c r="AD617" i="12"/>
  <c r="AF618" i="12"/>
  <c r="AB868" i="12"/>
  <c r="AG869" i="12"/>
  <c r="AE139" i="12"/>
  <c r="AG140" i="12"/>
  <c r="Q2701" i="12"/>
  <c r="Q492" i="12"/>
  <c r="Q1620" i="12"/>
  <c r="Q351" i="12"/>
  <c r="Q1182" i="12"/>
  <c r="Q111" i="12"/>
  <c r="Q900" i="12"/>
  <c r="Q2980" i="12"/>
  <c r="Q2290" i="12"/>
  <c r="Q2009" i="12"/>
  <c r="Q1780" i="12"/>
  <c r="AB3204" i="12" l="1"/>
  <c r="AG3205" i="12"/>
  <c r="AD3204" i="12"/>
  <c r="AF3205" i="12"/>
  <c r="O3223" i="12"/>
  <c r="Q3222" i="12"/>
  <c r="AD2837" i="12"/>
  <c r="AF2838" i="12"/>
  <c r="AB1074" i="12"/>
  <c r="AF1074" i="12" s="1"/>
  <c r="AG1075" i="12"/>
  <c r="AE138" i="12"/>
  <c r="AG139" i="12"/>
  <c r="AB514" i="12"/>
  <c r="AE519" i="12"/>
  <c r="AG520" i="12"/>
  <c r="AB867" i="12"/>
  <c r="AF867" i="12" s="1"/>
  <c r="AG868" i="12"/>
  <c r="AF868" i="12"/>
  <c r="AB2837" i="12"/>
  <c r="AG2838" i="12"/>
  <c r="AD866" i="12"/>
  <c r="AD616" i="12"/>
  <c r="AF617" i="12"/>
  <c r="AF1075" i="12"/>
  <c r="AD1073" i="12"/>
  <c r="AD138" i="12"/>
  <c r="AF139" i="12"/>
  <c r="Q2702" i="12"/>
  <c r="Q2981" i="12"/>
  <c r="Q1781" i="12"/>
  <c r="Q901" i="12"/>
  <c r="Q352" i="12"/>
  <c r="Q112" i="12"/>
  <c r="Q1183" i="12"/>
  <c r="Q2010" i="12"/>
  <c r="Q1621" i="12"/>
  <c r="Q2291" i="12"/>
  <c r="Q493" i="12"/>
  <c r="AD3203" i="12" l="1"/>
  <c r="AF3204" i="12"/>
  <c r="AB3203" i="12"/>
  <c r="AG3204" i="12"/>
  <c r="O3224" i="12"/>
  <c r="Q3223" i="12"/>
  <c r="AD137" i="12"/>
  <c r="AF138" i="12"/>
  <c r="AB513" i="12"/>
  <c r="AB2836" i="12"/>
  <c r="AG2837" i="12"/>
  <c r="AE137" i="12"/>
  <c r="AG138" i="12"/>
  <c r="AB866" i="12"/>
  <c r="AG866" i="12" s="1"/>
  <c r="AG867" i="12"/>
  <c r="AB1073" i="12"/>
  <c r="AG1073" i="12" s="1"/>
  <c r="AG1074" i="12"/>
  <c r="AD615" i="12"/>
  <c r="AF616" i="12"/>
  <c r="AE518" i="12"/>
  <c r="AG519" i="12"/>
  <c r="AD2836" i="12"/>
  <c r="AF2837" i="12"/>
  <c r="Q902" i="12"/>
  <c r="Q2703" i="12"/>
  <c r="Q1622" i="12"/>
  <c r="Q353" i="12"/>
  <c r="Q494" i="12"/>
  <c r="Q2292" i="12"/>
  <c r="Q2011" i="12"/>
  <c r="Q1782" i="12"/>
  <c r="Q113" i="12"/>
  <c r="Q1184" i="12"/>
  <c r="Q2982" i="12"/>
  <c r="AB3202" i="12" l="1"/>
  <c r="AG3203" i="12"/>
  <c r="AD3202" i="12"/>
  <c r="AF3203" i="12"/>
  <c r="O3225" i="12"/>
  <c r="Q3224" i="12"/>
  <c r="AE136" i="12"/>
  <c r="AG137" i="12"/>
  <c r="AD614" i="12"/>
  <c r="AF615" i="12"/>
  <c r="AB2835" i="12"/>
  <c r="AG2836" i="12"/>
  <c r="AB512" i="12"/>
  <c r="AD2835" i="12"/>
  <c r="AF2836" i="12"/>
  <c r="AF1073" i="12"/>
  <c r="AD136" i="12"/>
  <c r="AF137" i="12"/>
  <c r="AE517" i="12"/>
  <c r="AG518" i="12"/>
  <c r="AF866" i="12"/>
  <c r="Q2704" i="12"/>
  <c r="Q114" i="12"/>
  <c r="Q1783" i="12"/>
  <c r="Q495" i="12"/>
  <c r="Q2983" i="12"/>
  <c r="Q2012" i="12"/>
  <c r="Q354" i="12"/>
  <c r="Q1185" i="12"/>
  <c r="Q2293" i="12"/>
  <c r="Q1623" i="12"/>
  <c r="AD3201" i="12" l="1"/>
  <c r="AF3202" i="12"/>
  <c r="AB3201" i="12"/>
  <c r="AG3202" i="12"/>
  <c r="O3226" i="12"/>
  <c r="Q3225" i="12"/>
  <c r="AB511" i="12"/>
  <c r="AE516" i="12"/>
  <c r="AG517" i="12"/>
  <c r="AB2834" i="12"/>
  <c r="AG2835" i="12"/>
  <c r="AD135" i="12"/>
  <c r="AF136" i="12"/>
  <c r="AD613" i="12"/>
  <c r="AF614" i="12"/>
  <c r="AD2834" i="12"/>
  <c r="AF2835" i="12"/>
  <c r="AE135" i="12"/>
  <c r="AG136" i="12"/>
  <c r="Q2705" i="12"/>
  <c r="Q2984" i="12"/>
  <c r="Q1186" i="12"/>
  <c r="Q496" i="12"/>
  <c r="Q355" i="12"/>
  <c r="Q1784" i="12"/>
  <c r="Q1624" i="12"/>
  <c r="Q115" i="12"/>
  <c r="Q2013" i="12"/>
  <c r="Q2294" i="12"/>
  <c r="AB3200" i="12" l="1"/>
  <c r="AG3201" i="12"/>
  <c r="AD3200" i="12"/>
  <c r="AF3201" i="12"/>
  <c r="O3227" i="12"/>
  <c r="Q3226" i="12"/>
  <c r="AD134" i="12"/>
  <c r="AF135" i="12"/>
  <c r="AB2833" i="12"/>
  <c r="AG2834" i="12"/>
  <c r="AE134" i="12"/>
  <c r="AG135" i="12"/>
  <c r="AE515" i="12"/>
  <c r="AG516" i="12"/>
  <c r="AD2833" i="12"/>
  <c r="AF2834" i="12"/>
  <c r="AD612" i="12"/>
  <c r="AF613" i="12"/>
  <c r="AB510" i="12"/>
  <c r="Q2706" i="12"/>
  <c r="Q356" i="12"/>
  <c r="Q2014" i="12"/>
  <c r="Q116" i="12"/>
  <c r="Q497" i="12"/>
  <c r="Q1625" i="12"/>
  <c r="Q1187" i="12"/>
  <c r="Q2295" i="12"/>
  <c r="Q1785" i="12"/>
  <c r="Q2985" i="12"/>
  <c r="AD3199" i="12" l="1"/>
  <c r="AF3200" i="12"/>
  <c r="AB3199" i="12"/>
  <c r="AG3200" i="12"/>
  <c r="O3228" i="12"/>
  <c r="Q3227" i="12"/>
  <c r="AE514" i="12"/>
  <c r="AG515" i="12"/>
  <c r="AD2832" i="12"/>
  <c r="AF2833" i="12"/>
  <c r="AE133" i="12"/>
  <c r="AG134" i="12"/>
  <c r="AB509" i="12"/>
  <c r="AB2832" i="12"/>
  <c r="AG2833" i="12"/>
  <c r="AD611" i="12"/>
  <c r="AF612" i="12"/>
  <c r="AD133" i="12"/>
  <c r="AF134" i="12"/>
  <c r="Q2707" i="12"/>
  <c r="Q2296" i="12"/>
  <c r="Q117" i="12"/>
  <c r="Q498" i="12"/>
  <c r="Q1188" i="12"/>
  <c r="Q2015" i="12"/>
  <c r="Q2986" i="12"/>
  <c r="Q1626" i="12"/>
  <c r="Q357" i="12"/>
  <c r="Q1786" i="12"/>
  <c r="AB3198" i="12" l="1"/>
  <c r="AG3199" i="12"/>
  <c r="AD3198" i="12"/>
  <c r="AF3199" i="12"/>
  <c r="O3229" i="12"/>
  <c r="Q3228" i="12"/>
  <c r="AB508" i="12"/>
  <c r="AE132" i="12"/>
  <c r="AG133" i="12"/>
  <c r="AD132" i="12"/>
  <c r="AF133" i="12"/>
  <c r="AD2831" i="12"/>
  <c r="AF2832" i="12"/>
  <c r="AD610" i="12"/>
  <c r="AF611" i="12"/>
  <c r="AB2831" i="12"/>
  <c r="AG2832" i="12"/>
  <c r="AE513" i="12"/>
  <c r="AG514" i="12"/>
  <c r="Q2708" i="12"/>
  <c r="Q358" i="12"/>
  <c r="Q1189" i="12"/>
  <c r="Q118" i="12"/>
  <c r="Q1787" i="12"/>
  <c r="Q1627" i="12"/>
  <c r="Q499" i="12"/>
  <c r="Q2016" i="12"/>
  <c r="Q2297" i="12"/>
  <c r="Q2987" i="12"/>
  <c r="AD3197" i="12" l="1"/>
  <c r="AF3198" i="12"/>
  <c r="AB3197" i="12"/>
  <c r="AG3198" i="12"/>
  <c r="O3230" i="12"/>
  <c r="Q3229" i="12"/>
  <c r="AD2830" i="12"/>
  <c r="AF2831" i="12"/>
  <c r="AD131" i="12"/>
  <c r="AF132" i="12"/>
  <c r="AE512" i="12"/>
  <c r="AG513" i="12"/>
  <c r="AE131" i="12"/>
  <c r="AG132" i="12"/>
  <c r="AB2830" i="12"/>
  <c r="AG2831" i="12"/>
  <c r="AD609" i="12"/>
  <c r="AF610" i="12"/>
  <c r="AB507" i="12"/>
  <c r="Q2709" i="12"/>
  <c r="Q2298" i="12"/>
  <c r="Q2017" i="12"/>
  <c r="Q119" i="12"/>
  <c r="Q1788" i="12"/>
  <c r="Q2988" i="12"/>
  <c r="Q500" i="12"/>
  <c r="Q1190" i="12"/>
  <c r="Q1628" i="12"/>
  <c r="Q359" i="12"/>
  <c r="AB3196" i="12" l="1"/>
  <c r="AG3197" i="12"/>
  <c r="AD3196" i="12"/>
  <c r="AF3197" i="12"/>
  <c r="O3231" i="12"/>
  <c r="Q3230" i="12"/>
  <c r="AB2829" i="12"/>
  <c r="AG2830" i="12"/>
  <c r="AE130" i="12"/>
  <c r="AG131" i="12"/>
  <c r="AE511" i="12"/>
  <c r="AG512" i="12"/>
  <c r="AB506" i="12"/>
  <c r="AD130" i="12"/>
  <c r="AF131" i="12"/>
  <c r="AD608" i="12"/>
  <c r="AF609" i="12"/>
  <c r="AD2829" i="12"/>
  <c r="AF2830" i="12"/>
  <c r="Q2710" i="12"/>
  <c r="Q120" i="12"/>
  <c r="Q1789" i="12"/>
  <c r="Q2018" i="12"/>
  <c r="Q1191" i="12"/>
  <c r="Q501" i="12"/>
  <c r="Q360" i="12"/>
  <c r="Q1629" i="12"/>
  <c r="Q2989" i="12"/>
  <c r="Q2299" i="12"/>
  <c r="AD3195" i="12" l="1"/>
  <c r="AF3196" i="12"/>
  <c r="AB3195" i="12"/>
  <c r="AG3196" i="12"/>
  <c r="O3232" i="12"/>
  <c r="Q3231" i="12"/>
  <c r="AD129" i="12"/>
  <c r="AF130" i="12"/>
  <c r="AB505" i="12"/>
  <c r="AE510" i="12"/>
  <c r="AG511" i="12"/>
  <c r="AD2828" i="12"/>
  <c r="AF2829" i="12"/>
  <c r="AE129" i="12"/>
  <c r="AG130" i="12"/>
  <c r="AD607" i="12"/>
  <c r="AF608" i="12"/>
  <c r="AB2828" i="12"/>
  <c r="AG2829" i="12"/>
  <c r="Q2711" i="12"/>
  <c r="Q502" i="12"/>
  <c r="Q1630" i="12"/>
  <c r="Q1192" i="12"/>
  <c r="Q361" i="12"/>
  <c r="Q2019" i="12"/>
  <c r="Q2300" i="12"/>
  <c r="Q1790" i="12"/>
  <c r="Q2990" i="12"/>
  <c r="Q121" i="12"/>
  <c r="AB3194" i="12" l="1"/>
  <c r="AG3195" i="12"/>
  <c r="AD3194" i="12"/>
  <c r="AF3195" i="12"/>
  <c r="O3233" i="12"/>
  <c r="Q3232" i="12"/>
  <c r="AE128" i="12"/>
  <c r="AG129" i="12"/>
  <c r="AD2827" i="12"/>
  <c r="AF2828" i="12"/>
  <c r="AE509" i="12"/>
  <c r="AG510" i="12"/>
  <c r="AB2827" i="12"/>
  <c r="AG2828" i="12"/>
  <c r="AB504" i="12"/>
  <c r="AD606" i="12"/>
  <c r="AF607" i="12"/>
  <c r="AD128" i="12"/>
  <c r="AF129" i="12"/>
  <c r="Q2712" i="12"/>
  <c r="Q1791" i="12"/>
  <c r="Q1193" i="12"/>
  <c r="Q122" i="12"/>
  <c r="Q2301" i="12"/>
  <c r="Q1631" i="12"/>
  <c r="Q2991" i="12"/>
  <c r="Q2020" i="12"/>
  <c r="Q362" i="12"/>
  <c r="Q503" i="12"/>
  <c r="AD3193" i="12" l="1"/>
  <c r="AF3194" i="12"/>
  <c r="AB3193" i="12"/>
  <c r="AG3194" i="12"/>
  <c r="O3234" i="12"/>
  <c r="Q3233" i="12"/>
  <c r="AB2826" i="12"/>
  <c r="AG2827" i="12"/>
  <c r="AE508" i="12"/>
  <c r="AG509" i="12"/>
  <c r="AD127" i="12"/>
  <c r="AF128" i="12"/>
  <c r="AD2826" i="12"/>
  <c r="AF2827" i="12"/>
  <c r="AD605" i="12"/>
  <c r="AF606" i="12"/>
  <c r="AB503" i="12"/>
  <c r="AE127" i="12"/>
  <c r="AG128" i="12"/>
  <c r="Q2713" i="12"/>
  <c r="Q1632" i="12"/>
  <c r="Q123" i="12"/>
  <c r="Q2302" i="12"/>
  <c r="Q504" i="12"/>
  <c r="Q2021" i="12"/>
  <c r="Q1194" i="12"/>
  <c r="Q363" i="12"/>
  <c r="Q2992" i="12"/>
  <c r="Q1792" i="12"/>
  <c r="AB3192" i="12" l="1"/>
  <c r="AG3193" i="12"/>
  <c r="AD3192" i="12"/>
  <c r="AF3193" i="12"/>
  <c r="O3235" i="12"/>
  <c r="Q3234" i="12"/>
  <c r="AD2825" i="12"/>
  <c r="AF2826" i="12"/>
  <c r="AD604" i="12"/>
  <c r="AF605" i="12"/>
  <c r="AD126" i="12"/>
  <c r="AF127" i="12"/>
  <c r="AE126" i="12"/>
  <c r="AG127" i="12"/>
  <c r="AE507" i="12"/>
  <c r="AG508" i="12"/>
  <c r="AB502" i="12"/>
  <c r="AB2825" i="12"/>
  <c r="AG2826" i="12"/>
  <c r="Q2714" i="12"/>
  <c r="Q364" i="12"/>
  <c r="Q2303" i="12"/>
  <c r="Q1195" i="12"/>
  <c r="Q124" i="12"/>
  <c r="Q1633" i="12"/>
  <c r="Q1793" i="12"/>
  <c r="Q2022" i="12"/>
  <c r="Q2993" i="12"/>
  <c r="Q505" i="12"/>
  <c r="AD3191" i="12" l="1"/>
  <c r="AF3192" i="12"/>
  <c r="AB3191" i="12"/>
  <c r="AG3192" i="12"/>
  <c r="O3236" i="12"/>
  <c r="Q3235" i="12"/>
  <c r="AE125" i="12"/>
  <c r="AG126" i="12"/>
  <c r="AD125" i="12"/>
  <c r="AF126" i="12"/>
  <c r="AB2824" i="12"/>
  <c r="AG2825" i="12"/>
  <c r="AD603" i="12"/>
  <c r="AF604" i="12"/>
  <c r="AB501" i="12"/>
  <c r="AE506" i="12"/>
  <c r="AG507" i="12"/>
  <c r="AD2824" i="12"/>
  <c r="AF2825" i="12"/>
  <c r="Q2715" i="12"/>
  <c r="Q1196" i="12"/>
  <c r="Q2023" i="12"/>
  <c r="Q506" i="12"/>
  <c r="Q1794" i="12"/>
  <c r="Q2304" i="12"/>
  <c r="Q125" i="12"/>
  <c r="Q2994" i="12"/>
  <c r="Q1634" i="12"/>
  <c r="Q365" i="12"/>
  <c r="AB3190" i="12" l="1"/>
  <c r="AG3191" i="12"/>
  <c r="AD3190" i="12"/>
  <c r="AF3191" i="12"/>
  <c r="O3237" i="12"/>
  <c r="Q3236" i="12"/>
  <c r="AD602" i="12"/>
  <c r="AF603" i="12"/>
  <c r="AB500" i="12"/>
  <c r="AB2823" i="12"/>
  <c r="AG2824" i="12"/>
  <c r="AD2823" i="12"/>
  <c r="AF2824" i="12"/>
  <c r="AD124" i="12"/>
  <c r="AF125" i="12"/>
  <c r="AE505" i="12"/>
  <c r="AG506" i="12"/>
  <c r="AE124" i="12"/>
  <c r="AG125" i="12"/>
  <c r="Q2716" i="12"/>
  <c r="Q2024" i="12"/>
  <c r="Q2995" i="12"/>
  <c r="Q126" i="12"/>
  <c r="Q2305" i="12"/>
  <c r="Q1795" i="12"/>
  <c r="Q366" i="12"/>
  <c r="Q507" i="12"/>
  <c r="Q1635" i="12"/>
  <c r="Q1197" i="12"/>
  <c r="AD3189" i="12" l="1"/>
  <c r="AF3190" i="12"/>
  <c r="AB3189" i="12"/>
  <c r="AG3190" i="12"/>
  <c r="O3238" i="12"/>
  <c r="Q3237" i="12"/>
  <c r="AD2822" i="12"/>
  <c r="AF2823" i="12"/>
  <c r="AB2822" i="12"/>
  <c r="AG2823" i="12"/>
  <c r="AE123" i="12"/>
  <c r="AG124" i="12"/>
  <c r="AB499" i="12"/>
  <c r="AE504" i="12"/>
  <c r="AG505" i="12"/>
  <c r="AD123" i="12"/>
  <c r="AF124" i="12"/>
  <c r="AD601" i="12"/>
  <c r="AF602" i="12"/>
  <c r="Q2717" i="12"/>
  <c r="Q1796" i="12"/>
  <c r="Q508" i="12"/>
  <c r="Q127" i="12"/>
  <c r="Q2306" i="12"/>
  <c r="Q1198" i="12"/>
  <c r="Q2996" i="12"/>
  <c r="Q367" i="12"/>
  <c r="Q1636" i="12"/>
  <c r="Q2025" i="12"/>
  <c r="AB3188" i="12" l="1"/>
  <c r="AG3189" i="12"/>
  <c r="AD3188" i="12"/>
  <c r="AF3189" i="12"/>
  <c r="O3239" i="12"/>
  <c r="Q3238" i="12"/>
  <c r="AB498" i="12"/>
  <c r="AE122" i="12"/>
  <c r="AG123" i="12"/>
  <c r="AD600" i="12"/>
  <c r="AF601" i="12"/>
  <c r="AB2821" i="12"/>
  <c r="AG2822" i="12"/>
  <c r="AD122" i="12"/>
  <c r="AF123" i="12"/>
  <c r="AE503" i="12"/>
  <c r="AG504" i="12"/>
  <c r="AD2821" i="12"/>
  <c r="AF2822" i="12"/>
  <c r="Q2718" i="12"/>
  <c r="Q368" i="12"/>
  <c r="Q128" i="12"/>
  <c r="Q2997" i="12"/>
  <c r="Q1637" i="12"/>
  <c r="Q2307" i="12"/>
  <c r="Q509" i="12"/>
  <c r="Q2026" i="12"/>
  <c r="Q1199" i="12"/>
  <c r="Q1797" i="12"/>
  <c r="AD3187" i="12" l="1"/>
  <c r="AF3188" i="12"/>
  <c r="AB3187" i="12"/>
  <c r="AG3188" i="12"/>
  <c r="O3240" i="12"/>
  <c r="Q3239" i="12"/>
  <c r="AB2820" i="12"/>
  <c r="AG2821" i="12"/>
  <c r="AD599" i="12"/>
  <c r="AF600" i="12"/>
  <c r="AD2820" i="12"/>
  <c r="AF2821" i="12"/>
  <c r="AE121" i="12"/>
  <c r="AG122" i="12"/>
  <c r="AE502" i="12"/>
  <c r="AG503" i="12"/>
  <c r="AD121" i="12"/>
  <c r="AF122" i="12"/>
  <c r="AB497" i="12"/>
  <c r="Q2719" i="12"/>
  <c r="Q2027" i="12"/>
  <c r="Q2998" i="12"/>
  <c r="Q129" i="12"/>
  <c r="Q510" i="12"/>
  <c r="Q1798" i="12"/>
  <c r="Q2308" i="12"/>
  <c r="Q1200" i="12"/>
  <c r="Q1638" i="12"/>
  <c r="Q369" i="12"/>
  <c r="AB3186" i="12" l="1"/>
  <c r="AG3187" i="12"/>
  <c r="AD3186" i="12"/>
  <c r="AF3187" i="12"/>
  <c r="O3241" i="12"/>
  <c r="Q3240" i="12"/>
  <c r="AE120" i="12"/>
  <c r="AG121" i="12"/>
  <c r="AD2819" i="12"/>
  <c r="AF2820" i="12"/>
  <c r="AB496" i="12"/>
  <c r="AD598" i="12"/>
  <c r="AF599" i="12"/>
  <c r="AD120" i="12"/>
  <c r="AF121" i="12"/>
  <c r="AE501" i="12"/>
  <c r="AG502" i="12"/>
  <c r="AB2819" i="12"/>
  <c r="AG2820" i="12"/>
  <c r="Q2720" i="12"/>
  <c r="Q1201" i="12"/>
  <c r="Q511" i="12"/>
  <c r="Q130" i="12"/>
  <c r="Q370" i="12"/>
  <c r="Q2309" i="12"/>
  <c r="Q2999" i="12"/>
  <c r="Q1639" i="12"/>
  <c r="Q1799" i="12"/>
  <c r="Q2028" i="12"/>
  <c r="AD3185" i="12" l="1"/>
  <c r="AF3186" i="12"/>
  <c r="AB3185" i="12"/>
  <c r="AG3186" i="12"/>
  <c r="O3242" i="12"/>
  <c r="Q3241" i="12"/>
  <c r="AD597" i="12"/>
  <c r="AF598" i="12"/>
  <c r="AB495" i="12"/>
  <c r="AB2818" i="12"/>
  <c r="AG2819" i="12"/>
  <c r="AD2818" i="12"/>
  <c r="AF2819" i="12"/>
  <c r="AE500" i="12"/>
  <c r="AG501" i="12"/>
  <c r="AD119" i="12"/>
  <c r="AF120" i="12"/>
  <c r="AE119" i="12"/>
  <c r="AG120" i="12"/>
  <c r="Q2721" i="12"/>
  <c r="Q1640" i="12"/>
  <c r="Q512" i="12"/>
  <c r="Q3000" i="12"/>
  <c r="Q2029" i="12"/>
  <c r="Q2310" i="12"/>
  <c r="Q1800" i="12"/>
  <c r="Q371" i="12"/>
  <c r="Q131" i="12"/>
  <c r="Q1202" i="12"/>
  <c r="AB3184" i="12" l="1"/>
  <c r="AG3185" i="12"/>
  <c r="AD3184" i="12"/>
  <c r="AF3185" i="12"/>
  <c r="O3243" i="12"/>
  <c r="Q3242" i="12"/>
  <c r="AD2817" i="12"/>
  <c r="AF2818" i="12"/>
  <c r="AE499" i="12"/>
  <c r="AG500" i="12"/>
  <c r="AB2817" i="12"/>
  <c r="AG2818" i="12"/>
  <c r="AE118" i="12"/>
  <c r="AG119" i="12"/>
  <c r="AD118" i="12"/>
  <c r="AF119" i="12"/>
  <c r="AD596" i="12"/>
  <c r="AF597" i="12"/>
  <c r="Q2722" i="12"/>
  <c r="Q1801" i="12"/>
  <c r="Q3001" i="12"/>
  <c r="Q132" i="12"/>
  <c r="Q2311" i="12"/>
  <c r="Q1203" i="12"/>
  <c r="Q513" i="12"/>
  <c r="Q372" i="12"/>
  <c r="Q2030" i="12"/>
  <c r="Q1641" i="12"/>
  <c r="AD3183" i="12" l="1"/>
  <c r="AF3184" i="12"/>
  <c r="AB3183" i="12"/>
  <c r="AG3184" i="12"/>
  <c r="O3244" i="12"/>
  <c r="Q3243" i="12"/>
  <c r="AE117" i="12"/>
  <c r="AG118" i="12"/>
  <c r="AB2816" i="12"/>
  <c r="AG2817" i="12"/>
  <c r="AD595" i="12"/>
  <c r="AF596" i="12"/>
  <c r="AE498" i="12"/>
  <c r="AG499" i="12"/>
  <c r="AD117" i="12"/>
  <c r="AF118" i="12"/>
  <c r="AD2816" i="12"/>
  <c r="AF2817" i="12"/>
  <c r="Q2723" i="12"/>
  <c r="Q2312" i="12"/>
  <c r="Q373" i="12"/>
  <c r="Q3002" i="12"/>
  <c r="Q514" i="12"/>
  <c r="Q1642" i="12"/>
  <c r="Q1204" i="12"/>
  <c r="Q2031" i="12"/>
  <c r="Q133" i="12"/>
  <c r="Q1802" i="12"/>
  <c r="AB3182" i="12" l="1"/>
  <c r="AG3183" i="12"/>
  <c r="AD3182" i="12"/>
  <c r="AF3183" i="12"/>
  <c r="O3245" i="12"/>
  <c r="Q3244" i="12"/>
  <c r="AE497" i="12"/>
  <c r="AG498" i="12"/>
  <c r="AD594" i="12"/>
  <c r="AF595" i="12"/>
  <c r="AD116" i="12"/>
  <c r="AF117" i="12"/>
  <c r="AB2815" i="12"/>
  <c r="AG2816" i="12"/>
  <c r="AD2815" i="12"/>
  <c r="AF2816" i="12"/>
  <c r="AE116" i="12"/>
  <c r="AG117" i="12"/>
  <c r="Q2724" i="12"/>
  <c r="Q3003" i="12"/>
  <c r="Q134" i="12"/>
  <c r="Q1643" i="12"/>
  <c r="Q374" i="12"/>
  <c r="Q1803" i="12"/>
  <c r="Q515" i="12"/>
  <c r="Q2313" i="12"/>
  <c r="Q1205" i="12"/>
  <c r="Q2032" i="12"/>
  <c r="AD3181" i="12" l="1"/>
  <c r="AF3182" i="12"/>
  <c r="AB3181" i="12"/>
  <c r="AG3182" i="12"/>
  <c r="O3246" i="12"/>
  <c r="Q3245" i="12"/>
  <c r="AB2814" i="12"/>
  <c r="AG2815" i="12"/>
  <c r="AD2814" i="12"/>
  <c r="AF2815" i="12"/>
  <c r="AD115" i="12"/>
  <c r="AF116" i="12"/>
  <c r="AD593" i="12"/>
  <c r="AF594" i="12"/>
  <c r="AE115" i="12"/>
  <c r="AG116" i="12"/>
  <c r="AE496" i="12"/>
  <c r="AG497" i="12"/>
  <c r="Q2725" i="12"/>
  <c r="Q2314" i="12"/>
  <c r="Q375" i="12"/>
  <c r="Q516" i="12"/>
  <c r="Q135" i="12"/>
  <c r="Q1644" i="12"/>
  <c r="Q2033" i="12"/>
  <c r="Q1804" i="12"/>
  <c r="Q3004" i="12"/>
  <c r="Q1206" i="12"/>
  <c r="AB3180" i="12" l="1"/>
  <c r="AG3181" i="12"/>
  <c r="AD3180" i="12"/>
  <c r="AF3181" i="12"/>
  <c r="O3247" i="12"/>
  <c r="Q3246" i="12"/>
  <c r="AD114" i="12"/>
  <c r="AF115" i="12"/>
  <c r="AD592" i="12"/>
  <c r="AF593" i="12"/>
  <c r="AD2813" i="12"/>
  <c r="AF2814" i="12"/>
  <c r="AE495" i="12"/>
  <c r="AG495" i="12" s="1"/>
  <c r="AG496" i="12"/>
  <c r="AE114" i="12"/>
  <c r="AG115" i="12"/>
  <c r="AB2813" i="12"/>
  <c r="AG2814" i="12"/>
  <c r="Q2726" i="12"/>
  <c r="Q3005" i="12"/>
  <c r="Q517" i="12"/>
  <c r="Q1805" i="12"/>
  <c r="Q376" i="12"/>
  <c r="Q2034" i="12"/>
  <c r="Q1207" i="12"/>
  <c r="Q1645" i="12"/>
  <c r="Q136" i="12"/>
  <c r="Q2315" i="12"/>
  <c r="AD3179" i="12" l="1"/>
  <c r="AF3180" i="12"/>
  <c r="AB3179" i="12"/>
  <c r="AG3180" i="12"/>
  <c r="O3248" i="12"/>
  <c r="Q3247" i="12"/>
  <c r="AD2812" i="12"/>
  <c r="AF2813" i="12"/>
  <c r="AD591" i="12"/>
  <c r="AF592" i="12"/>
  <c r="AB2812" i="12"/>
  <c r="AG2813" i="12"/>
  <c r="AE113" i="12"/>
  <c r="AG114" i="12"/>
  <c r="AD113" i="12"/>
  <c r="AF114" i="12"/>
  <c r="Q2727" i="12"/>
  <c r="Q1208" i="12"/>
  <c r="Q377" i="12"/>
  <c r="Q1806" i="12"/>
  <c r="Q3006" i="12"/>
  <c r="Q137" i="12"/>
  <c r="Q2316" i="12"/>
  <c r="Q2035" i="12"/>
  <c r="Q518" i="12"/>
  <c r="Q1646" i="12"/>
  <c r="AB3178" i="12" l="1"/>
  <c r="AG3179" i="12"/>
  <c r="AD3178" i="12"/>
  <c r="AF3179" i="12"/>
  <c r="O3249" i="12"/>
  <c r="Q3248" i="12"/>
  <c r="AB2811" i="12"/>
  <c r="AG2812" i="12"/>
  <c r="AD590" i="12"/>
  <c r="AF591" i="12"/>
  <c r="AE112" i="12"/>
  <c r="AG113" i="12"/>
  <c r="AD112" i="12"/>
  <c r="AF113" i="12"/>
  <c r="AD2811" i="12"/>
  <c r="AF2812" i="12"/>
  <c r="Q2728" i="12"/>
  <c r="Q2036" i="12"/>
  <c r="Q138" i="12"/>
  <c r="Q2317" i="12"/>
  <c r="Q3007" i="12"/>
  <c r="Q1647" i="12"/>
  <c r="Q378" i="12"/>
  <c r="Q1807" i="12"/>
  <c r="Q519" i="12"/>
  <c r="Q1209" i="12"/>
  <c r="AD3177" i="12" l="1"/>
  <c r="AF3178" i="12"/>
  <c r="AB3177" i="12"/>
  <c r="AG3178" i="12"/>
  <c r="O3250" i="12"/>
  <c r="Q3249" i="12"/>
  <c r="AE111" i="12"/>
  <c r="AG112" i="12"/>
  <c r="AD111" i="12"/>
  <c r="AF112" i="12"/>
  <c r="AD589" i="12"/>
  <c r="AF590" i="12"/>
  <c r="AD2810" i="12"/>
  <c r="AF2811" i="12"/>
  <c r="AB2810" i="12"/>
  <c r="AG2811" i="12"/>
  <c r="Q2729" i="12"/>
  <c r="Q3008" i="12"/>
  <c r="Q1808" i="12"/>
  <c r="Q520" i="12"/>
  <c r="Q379" i="12"/>
  <c r="Q2318" i="12"/>
  <c r="Q139" i="12"/>
  <c r="Q1210" i="12"/>
  <c r="Q1648" i="12"/>
  <c r="Q2037" i="12"/>
  <c r="AB3176" i="12" l="1"/>
  <c r="AG3177" i="12"/>
  <c r="AD3176" i="12"/>
  <c r="AF3177" i="12"/>
  <c r="O3251" i="12"/>
  <c r="Q3250" i="12"/>
  <c r="AD588" i="12"/>
  <c r="AF589" i="12"/>
  <c r="AB2809" i="12"/>
  <c r="AG2810" i="12"/>
  <c r="AD110" i="12"/>
  <c r="AF111" i="12"/>
  <c r="AD2809" i="12"/>
  <c r="AF2810" i="12"/>
  <c r="AE110" i="12"/>
  <c r="AG111" i="12"/>
  <c r="Q2730" i="12"/>
  <c r="Q1649" i="12"/>
  <c r="Q521" i="12"/>
  <c r="Q1211" i="12"/>
  <c r="Q140" i="12"/>
  <c r="Q2319" i="12"/>
  <c r="Q1809" i="12"/>
  <c r="Q2038" i="12"/>
  <c r="Q380" i="12"/>
  <c r="Q3009" i="12"/>
  <c r="AD3175" i="12" l="1"/>
  <c r="AF3176" i="12"/>
  <c r="AB3175" i="12"/>
  <c r="AG3176" i="12"/>
  <c r="O3252" i="12"/>
  <c r="Q3251" i="12"/>
  <c r="AE109" i="12"/>
  <c r="AG110" i="12"/>
  <c r="AD109" i="12"/>
  <c r="AF110" i="12"/>
  <c r="AB2808" i="12"/>
  <c r="AG2809" i="12"/>
  <c r="AD2808" i="12"/>
  <c r="AF2809" i="12"/>
  <c r="AD587" i="12"/>
  <c r="AF588" i="12"/>
  <c r="Q2731" i="12"/>
  <c r="Q141" i="12"/>
  <c r="Q2039" i="12"/>
  <c r="Q1212" i="12"/>
  <c r="Q1810" i="12"/>
  <c r="Q522" i="12"/>
  <c r="Q3010" i="12"/>
  <c r="Q2320" i="12"/>
  <c r="Q381" i="12"/>
  <c r="Q1650" i="12"/>
  <c r="AB3174" i="12" l="1"/>
  <c r="AG3175" i="12"/>
  <c r="AD3174" i="12"/>
  <c r="AF3175" i="12"/>
  <c r="O3253" i="12"/>
  <c r="Q3252" i="12"/>
  <c r="AD586" i="12"/>
  <c r="AF587" i="12"/>
  <c r="AB2807" i="12"/>
  <c r="AG2808" i="12"/>
  <c r="AD2807" i="12"/>
  <c r="AF2808" i="12"/>
  <c r="AD108" i="12"/>
  <c r="AF109" i="12"/>
  <c r="AE108" i="12"/>
  <c r="AG109" i="12"/>
  <c r="Q2732" i="12"/>
  <c r="Q142" i="12"/>
  <c r="Q523" i="12"/>
  <c r="Q2040" i="12"/>
  <c r="Q382" i="12"/>
  <c r="Q1811" i="12"/>
  <c r="Q2321" i="12"/>
  <c r="Q1213" i="12"/>
  <c r="Q1651" i="12"/>
  <c r="Q3011" i="12"/>
  <c r="AD3173" i="12" l="1"/>
  <c r="AF3174" i="12"/>
  <c r="AB3173" i="12"/>
  <c r="AG3174" i="12"/>
  <c r="O3254" i="12"/>
  <c r="Q3253" i="12"/>
  <c r="AD2806" i="12"/>
  <c r="AF2807" i="12"/>
  <c r="AD107" i="12"/>
  <c r="AF108" i="12"/>
  <c r="AB2806" i="12"/>
  <c r="AG2807" i="12"/>
  <c r="AE107" i="12"/>
  <c r="AG108" i="12"/>
  <c r="AD585" i="12"/>
  <c r="AF586" i="12"/>
  <c r="Q2733" i="12"/>
  <c r="Q1812" i="12"/>
  <c r="Q1652" i="12"/>
  <c r="Q1214" i="12"/>
  <c r="Q383" i="12"/>
  <c r="Q524" i="12"/>
  <c r="Q2322" i="12"/>
  <c r="Q2041" i="12"/>
  <c r="Q3012" i="12"/>
  <c r="Q143" i="12"/>
  <c r="AB3172" i="12" l="1"/>
  <c r="AG3173" i="12"/>
  <c r="AD3172" i="12"/>
  <c r="AF3173" i="12"/>
  <c r="O3255" i="12"/>
  <c r="Q3254" i="12"/>
  <c r="AB2805" i="12"/>
  <c r="AG2806" i="12"/>
  <c r="AD584" i="12"/>
  <c r="AF585" i="12"/>
  <c r="AD106" i="12"/>
  <c r="AF107" i="12"/>
  <c r="AE106" i="12"/>
  <c r="AG107" i="12"/>
  <c r="AD2805" i="12"/>
  <c r="AF2806" i="12"/>
  <c r="Q384" i="12"/>
  <c r="Q2734" i="12"/>
  <c r="Q1215" i="12"/>
  <c r="Q2323" i="12"/>
  <c r="Q144" i="12"/>
  <c r="Q2042" i="12"/>
  <c r="Q525" i="12"/>
  <c r="Q1653" i="12"/>
  <c r="Q3013" i="12"/>
  <c r="Q1813" i="12"/>
  <c r="AD3171" i="12" l="1"/>
  <c r="AF3172" i="12"/>
  <c r="AB3171" i="12"/>
  <c r="AG3172" i="12"/>
  <c r="O3256" i="12"/>
  <c r="Q3255" i="12"/>
  <c r="AD105" i="12"/>
  <c r="AF106" i="12"/>
  <c r="AE105" i="12"/>
  <c r="AG106" i="12"/>
  <c r="AD583" i="12"/>
  <c r="AF584" i="12"/>
  <c r="AD2804" i="12"/>
  <c r="AF2805" i="12"/>
  <c r="AB2804" i="12"/>
  <c r="AG2805" i="12"/>
  <c r="Q1814" i="12"/>
  <c r="Q145" i="12"/>
  <c r="Q2043" i="12"/>
  <c r="Q3014" i="12"/>
  <c r="Q1654" i="12"/>
  <c r="Q2324" i="12"/>
  <c r="Q526" i="12"/>
  <c r="Q1216" i="12"/>
  <c r="AB3170" i="12" l="1"/>
  <c r="AG3171" i="12"/>
  <c r="AD3170" i="12"/>
  <c r="AF3171" i="12"/>
  <c r="O3257" i="12"/>
  <c r="Q3256" i="12"/>
  <c r="AD582" i="12"/>
  <c r="AF583" i="12"/>
  <c r="AB2803" i="12"/>
  <c r="AG2804" i="12"/>
  <c r="AE104" i="12"/>
  <c r="AG105" i="12"/>
  <c r="AD2803" i="12"/>
  <c r="AF2804" i="12"/>
  <c r="AD104" i="12"/>
  <c r="AF105" i="12"/>
  <c r="Q1655" i="12"/>
  <c r="Q1217" i="12"/>
  <c r="Q527" i="12"/>
  <c r="Q3015" i="12"/>
  <c r="Q146" i="12"/>
  <c r="Q2325" i="12"/>
  <c r="Q2044" i="12"/>
  <c r="Q1815" i="12"/>
  <c r="AD3169" i="12" l="1"/>
  <c r="AF3170" i="12"/>
  <c r="AB3169" i="12"/>
  <c r="AG3170" i="12"/>
  <c r="O3258" i="12"/>
  <c r="Q3257" i="12"/>
  <c r="AD103" i="12"/>
  <c r="AF104" i="12"/>
  <c r="AD2802" i="12"/>
  <c r="AF2803" i="12"/>
  <c r="AE103" i="12"/>
  <c r="AG104" i="12"/>
  <c r="AB2802" i="12"/>
  <c r="AG2803" i="12"/>
  <c r="AD581" i="12"/>
  <c r="AF582" i="12"/>
  <c r="Q528" i="12"/>
  <c r="Q1816" i="12"/>
  <c r="Q2045" i="12"/>
  <c r="Q147" i="12"/>
  <c r="Q1218" i="12"/>
  <c r="Q2326" i="12"/>
  <c r="Q3016" i="12"/>
  <c r="Q1656" i="12"/>
  <c r="AB3168" i="12" l="1"/>
  <c r="AG3169" i="12"/>
  <c r="AD3168" i="12"/>
  <c r="AF3169" i="12"/>
  <c r="O3259" i="12"/>
  <c r="Q3258" i="12"/>
  <c r="AE102" i="12"/>
  <c r="AG103" i="12"/>
  <c r="AD580" i="12"/>
  <c r="AF581" i="12"/>
  <c r="AD2801" i="12"/>
  <c r="AF2802" i="12"/>
  <c r="AB2801" i="12"/>
  <c r="AG2802" i="12"/>
  <c r="AD102" i="12"/>
  <c r="AF103" i="12"/>
  <c r="Q1219" i="12"/>
  <c r="Q1657" i="12"/>
  <c r="Q2046" i="12"/>
  <c r="Q3017" i="12"/>
  <c r="Q2327" i="12"/>
  <c r="Q1817" i="12"/>
  <c r="Q148" i="12"/>
  <c r="Q529" i="12"/>
  <c r="AD3167" i="12" l="1"/>
  <c r="AF3168" i="12"/>
  <c r="AB3167" i="12"/>
  <c r="AG3168" i="12"/>
  <c r="O3260" i="12"/>
  <c r="Q3259" i="12"/>
  <c r="AD2800" i="12"/>
  <c r="AF2801" i="12"/>
  <c r="AD579" i="12"/>
  <c r="AF580" i="12"/>
  <c r="AB2800" i="12"/>
  <c r="AG2801" i="12"/>
  <c r="AD101" i="12"/>
  <c r="AF102" i="12"/>
  <c r="AE101" i="12"/>
  <c r="AG102" i="12"/>
  <c r="Q149" i="12"/>
  <c r="Q530" i="12"/>
  <c r="Q3018" i="12"/>
  <c r="Q1818" i="12"/>
  <c r="Q2047" i="12"/>
  <c r="Q2328" i="12"/>
  <c r="Q1658" i="12"/>
  <c r="Q1220" i="12"/>
  <c r="AB3166" i="12" l="1"/>
  <c r="AG3167" i="12"/>
  <c r="AD3166" i="12"/>
  <c r="AF3167" i="12"/>
  <c r="O3261" i="12"/>
  <c r="Q3260" i="12"/>
  <c r="AE100" i="12"/>
  <c r="AG101" i="12"/>
  <c r="AD100" i="12"/>
  <c r="AF101" i="12"/>
  <c r="AB2799" i="12"/>
  <c r="AG2800" i="12"/>
  <c r="AD578" i="12"/>
  <c r="AF579" i="12"/>
  <c r="AD2799" i="12"/>
  <c r="AF2800" i="12"/>
  <c r="Q1221" i="12"/>
  <c r="Q2329" i="12"/>
  <c r="Q531" i="12"/>
  <c r="Q2048" i="12"/>
  <c r="Q1819" i="12"/>
  <c r="Q1659" i="12"/>
  <c r="Q3019" i="12"/>
  <c r="Q150" i="12"/>
  <c r="AD3165" i="12" l="1"/>
  <c r="AF3166" i="12"/>
  <c r="AB3165" i="12"/>
  <c r="AG3166" i="12"/>
  <c r="O3262" i="12"/>
  <c r="Q3261" i="12"/>
  <c r="AD2798" i="12"/>
  <c r="AF2799" i="12"/>
  <c r="AB2798" i="12"/>
  <c r="AG2799" i="12"/>
  <c r="AD99" i="12"/>
  <c r="AF100" i="12"/>
  <c r="AD577" i="12"/>
  <c r="AF578" i="12"/>
  <c r="AE99" i="12"/>
  <c r="AG100" i="12"/>
  <c r="Q3020" i="12"/>
  <c r="Q2049" i="12"/>
  <c r="Q1660" i="12"/>
  <c r="Q532" i="12"/>
  <c r="Q1820" i="12"/>
  <c r="Q2330" i="12"/>
  <c r="Q151" i="12"/>
  <c r="Q1222" i="12"/>
  <c r="AB3164" i="12" l="1"/>
  <c r="AG3165" i="12"/>
  <c r="AD3164" i="12"/>
  <c r="AF3165" i="12"/>
  <c r="O3263" i="12"/>
  <c r="Q3262" i="12"/>
  <c r="AE98" i="12"/>
  <c r="AG99" i="12"/>
  <c r="AD98" i="12"/>
  <c r="AF99" i="12"/>
  <c r="AB2797" i="12"/>
  <c r="AG2798" i="12"/>
  <c r="AD576" i="12"/>
  <c r="AF577" i="12"/>
  <c r="AD2797" i="12"/>
  <c r="AF2798" i="12"/>
  <c r="Q533" i="12"/>
  <c r="Q1223" i="12"/>
  <c r="Q152" i="12"/>
  <c r="Q1661" i="12"/>
  <c r="Q2331" i="12"/>
  <c r="Q2050" i="12"/>
  <c r="Q1821" i="12"/>
  <c r="Q3021" i="12"/>
  <c r="AD3163" i="12" l="1"/>
  <c r="AF3164" i="12"/>
  <c r="AB3163" i="12"/>
  <c r="AG3164" i="12"/>
  <c r="O3264" i="12"/>
  <c r="Q3263" i="12"/>
  <c r="AD2796" i="12"/>
  <c r="AF2797" i="12"/>
  <c r="AB2796" i="12"/>
  <c r="AG2797" i="12"/>
  <c r="AD575" i="12"/>
  <c r="AF576" i="12"/>
  <c r="AD97" i="12"/>
  <c r="AF98" i="12"/>
  <c r="AE97" i="12"/>
  <c r="AG98" i="12"/>
  <c r="Q3022" i="12"/>
  <c r="Q153" i="12"/>
  <c r="Q1822" i="12"/>
  <c r="Q1662" i="12"/>
  <c r="Q1224" i="12"/>
  <c r="Q2051" i="12"/>
  <c r="Q2332" i="12"/>
  <c r="Q534" i="12"/>
  <c r="AB3162" i="12" l="1"/>
  <c r="AG3163" i="12"/>
  <c r="AD3162" i="12"/>
  <c r="AF3163" i="12"/>
  <c r="O3265" i="12"/>
  <c r="Q3264" i="12"/>
  <c r="AE96" i="12"/>
  <c r="AG97" i="12"/>
  <c r="AD574" i="12"/>
  <c r="AF575" i="12"/>
  <c r="AD96" i="12"/>
  <c r="AF97" i="12"/>
  <c r="AB2795" i="12"/>
  <c r="AG2796" i="12"/>
  <c r="AD2795" i="12"/>
  <c r="AF2796" i="12"/>
  <c r="Q1225" i="12"/>
  <c r="Q535" i="12"/>
  <c r="Q1663" i="12"/>
  <c r="Q2333" i="12"/>
  <c r="Q154" i="12"/>
  <c r="Q1823" i="12"/>
  <c r="Q2052" i="12"/>
  <c r="Q3023" i="12"/>
  <c r="AD3161" i="12" l="1"/>
  <c r="AF3162" i="12"/>
  <c r="AB3161" i="12"/>
  <c r="AG3162" i="12"/>
  <c r="O3266" i="12"/>
  <c r="Q3265" i="12"/>
  <c r="AD2794" i="12"/>
  <c r="AF2795" i="12"/>
  <c r="AD95" i="12"/>
  <c r="AF96" i="12"/>
  <c r="AB2794" i="12"/>
  <c r="AG2795" i="12"/>
  <c r="AD573" i="12"/>
  <c r="AF574" i="12"/>
  <c r="AE95" i="12"/>
  <c r="AG96" i="12"/>
  <c r="Q3024" i="12"/>
  <c r="Q1664" i="12"/>
  <c r="Q2334" i="12"/>
  <c r="Q2053" i="12"/>
  <c r="Q536" i="12"/>
  <c r="Q155" i="12"/>
  <c r="Q1824" i="12"/>
  <c r="Q1226" i="12"/>
  <c r="AB3160" i="12" l="1"/>
  <c r="AG3161" i="12"/>
  <c r="AD3160" i="12"/>
  <c r="AF3161" i="12"/>
  <c r="O3267" i="12"/>
  <c r="Q3266" i="12"/>
  <c r="AD572" i="12"/>
  <c r="AF573" i="12"/>
  <c r="AB2793" i="12"/>
  <c r="AG2794" i="12"/>
  <c r="AD94" i="12"/>
  <c r="AF95" i="12"/>
  <c r="AE94" i="12"/>
  <c r="AG95" i="12"/>
  <c r="AD2793" i="12"/>
  <c r="AF2794" i="12"/>
  <c r="Q2054" i="12"/>
  <c r="Q1227" i="12"/>
  <c r="Q156" i="12"/>
  <c r="Q2335" i="12"/>
  <c r="Q1825" i="12"/>
  <c r="Q537" i="12"/>
  <c r="Q1665" i="12"/>
  <c r="Q3025" i="12"/>
  <c r="AD3159" i="12" l="1"/>
  <c r="AF3160" i="12"/>
  <c r="AB3159" i="12"/>
  <c r="AG3160" i="12"/>
  <c r="O3268" i="12"/>
  <c r="Q3267" i="12"/>
  <c r="AE93" i="12"/>
  <c r="AG94" i="12"/>
  <c r="AD93" i="12"/>
  <c r="AF94" i="12"/>
  <c r="AB2792" i="12"/>
  <c r="AG2793" i="12"/>
  <c r="AD2792" i="12"/>
  <c r="AF2793" i="12"/>
  <c r="AD571" i="12"/>
  <c r="AF572" i="12"/>
  <c r="Q538" i="12"/>
  <c r="Q3026" i="12"/>
  <c r="Q1826" i="12"/>
  <c r="Q157" i="12"/>
  <c r="Q2336" i="12"/>
  <c r="Q1228" i="12"/>
  <c r="Q1666" i="12"/>
  <c r="Q2055" i="12"/>
  <c r="AB3158" i="12" l="1"/>
  <c r="AG3159" i="12"/>
  <c r="AD3158" i="12"/>
  <c r="AF3159" i="12"/>
  <c r="O3269" i="12"/>
  <c r="Q3268" i="12"/>
  <c r="AD2791" i="12"/>
  <c r="AF2792" i="12"/>
  <c r="AB2791" i="12"/>
  <c r="AG2792" i="12"/>
  <c r="AD92" i="12"/>
  <c r="AF93" i="12"/>
  <c r="AD570" i="12"/>
  <c r="AF571" i="12"/>
  <c r="AE92" i="12"/>
  <c r="AG93" i="12"/>
  <c r="Q2056" i="12"/>
  <c r="Q1667" i="12"/>
  <c r="Q1827" i="12"/>
  <c r="Q1229" i="12"/>
  <c r="Q3027" i="12"/>
  <c r="Q2337" i="12"/>
  <c r="Q158" i="12"/>
  <c r="Q539" i="12"/>
  <c r="AD3157" i="12" l="1"/>
  <c r="AF3158" i="12"/>
  <c r="AB3157" i="12"/>
  <c r="AG3158" i="12"/>
  <c r="O3270" i="12"/>
  <c r="Q3269" i="12"/>
  <c r="AD569" i="12"/>
  <c r="AF570" i="12"/>
  <c r="AD91" i="12"/>
  <c r="AF92" i="12"/>
  <c r="AB2790" i="12"/>
  <c r="AG2791" i="12"/>
  <c r="AE91" i="12"/>
  <c r="AG92" i="12"/>
  <c r="AD2790" i="12"/>
  <c r="AF2791" i="12"/>
  <c r="Q159" i="12"/>
  <c r="Q540" i="12"/>
  <c r="Q1828" i="12"/>
  <c r="Q2338" i="12"/>
  <c r="Q1668" i="12"/>
  <c r="Q3028" i="12"/>
  <c r="Q1230" i="12"/>
  <c r="Q2057" i="12"/>
  <c r="AB3156" i="12" l="1"/>
  <c r="AG3157" i="12"/>
  <c r="AD3156" i="12"/>
  <c r="AF3157" i="12"/>
  <c r="O3271" i="12"/>
  <c r="Q3270" i="12"/>
  <c r="AD2789" i="12"/>
  <c r="AF2790" i="12"/>
  <c r="AB2789" i="12"/>
  <c r="AG2790" i="12"/>
  <c r="AD90" i="12"/>
  <c r="AF91" i="12"/>
  <c r="AE90" i="12"/>
  <c r="AG91" i="12"/>
  <c r="AD568" i="12"/>
  <c r="AF569" i="12"/>
  <c r="Q541" i="12"/>
  <c r="Q2058" i="12"/>
  <c r="Q1669" i="12"/>
  <c r="Q1231" i="12"/>
  <c r="Q2339" i="12"/>
  <c r="Q1829" i="12"/>
  <c r="Q3029" i="12"/>
  <c r="Q160" i="12"/>
  <c r="AD3155" i="12" l="1"/>
  <c r="AF3156" i="12"/>
  <c r="AB3155" i="12"/>
  <c r="AG3156" i="12"/>
  <c r="O3272" i="12"/>
  <c r="Q3271" i="12"/>
  <c r="AE89" i="12"/>
  <c r="AG90" i="12"/>
  <c r="AD89" i="12"/>
  <c r="AF90" i="12"/>
  <c r="AB2788" i="12"/>
  <c r="AG2789" i="12"/>
  <c r="AD567" i="12"/>
  <c r="AF568" i="12"/>
  <c r="AD2788" i="12"/>
  <c r="AF2789" i="12"/>
  <c r="Q3030" i="12"/>
  <c r="Q1232" i="12"/>
  <c r="Q1830" i="12"/>
  <c r="Q1670" i="12"/>
  <c r="Q2059" i="12"/>
  <c r="Q161" i="12"/>
  <c r="Q2340" i="12"/>
  <c r="Q542" i="12"/>
  <c r="AB3154" i="12" l="1"/>
  <c r="AG3155" i="12"/>
  <c r="AD3154" i="12"/>
  <c r="AF3155" i="12"/>
  <c r="O3273" i="12"/>
  <c r="Q3272" i="12"/>
  <c r="AD2787" i="12"/>
  <c r="AF2788" i="12"/>
  <c r="AB2787" i="12"/>
  <c r="AG2788" i="12"/>
  <c r="AD88" i="12"/>
  <c r="AF89" i="12"/>
  <c r="AD566" i="12"/>
  <c r="AF567" i="12"/>
  <c r="AE88" i="12"/>
  <c r="AG89" i="12"/>
  <c r="Q543" i="12"/>
  <c r="Q1671" i="12"/>
  <c r="Q162" i="12"/>
  <c r="Q2341" i="12"/>
  <c r="Q1831" i="12"/>
  <c r="Q2060" i="12"/>
  <c r="Q1233" i="12"/>
  <c r="Q3031" i="12"/>
  <c r="AD3153" i="12" l="1"/>
  <c r="AF3154" i="12"/>
  <c r="AB3153" i="12"/>
  <c r="AG3154" i="12"/>
  <c r="O3274" i="12"/>
  <c r="Q3273" i="12"/>
  <c r="AD87" i="12"/>
  <c r="AF88" i="12"/>
  <c r="AB2786" i="12"/>
  <c r="AG2787" i="12"/>
  <c r="AD565" i="12"/>
  <c r="AF566" i="12"/>
  <c r="AE87" i="12"/>
  <c r="AG88" i="12"/>
  <c r="AD2786" i="12"/>
  <c r="AF2787" i="12"/>
  <c r="Q1672" i="12"/>
  <c r="Q3032" i="12"/>
  <c r="Q1832" i="12"/>
  <c r="Q163" i="12"/>
  <c r="Q2342" i="12"/>
  <c r="Q1234" i="12"/>
  <c r="Q2061" i="12"/>
  <c r="Q544" i="12"/>
  <c r="AB3152" i="12" l="1"/>
  <c r="AG3153" i="12"/>
  <c r="AD3152" i="12"/>
  <c r="AF3153" i="12"/>
  <c r="O3275" i="12"/>
  <c r="Q3274" i="12"/>
  <c r="AD2785" i="12"/>
  <c r="AF2786" i="12"/>
  <c r="AE86" i="12"/>
  <c r="AG87" i="12"/>
  <c r="AD564" i="12"/>
  <c r="AF565" i="12"/>
  <c r="AB2785" i="12"/>
  <c r="AG2786" i="12"/>
  <c r="AD86" i="12"/>
  <c r="AF87" i="12"/>
  <c r="Q164" i="12"/>
  <c r="Q2343" i="12"/>
  <c r="Q545" i="12"/>
  <c r="Q2062" i="12"/>
  <c r="Q1833" i="12"/>
  <c r="Q1235" i="12"/>
  <c r="Q3033" i="12"/>
  <c r="AD3151" i="12" l="1"/>
  <c r="AF3152" i="12"/>
  <c r="AB3151" i="12"/>
  <c r="AG3152" i="12"/>
  <c r="O3276" i="12"/>
  <c r="Q3275" i="12"/>
  <c r="AB2784" i="12"/>
  <c r="AG2785" i="12"/>
  <c r="AD563" i="12"/>
  <c r="AF564" i="12"/>
  <c r="AE85" i="12"/>
  <c r="AG86" i="12"/>
  <c r="AD85" i="12"/>
  <c r="AF86" i="12"/>
  <c r="AD2784" i="12"/>
  <c r="AF2785" i="12"/>
  <c r="Q3034" i="12"/>
  <c r="Q1834" i="12"/>
  <c r="Q2344" i="12"/>
  <c r="Q2063" i="12"/>
  <c r="Q1236" i="12"/>
  <c r="Q546" i="12"/>
  <c r="Q165" i="12"/>
  <c r="AB3150" i="12" l="1"/>
  <c r="AG3151" i="12"/>
  <c r="AD3150" i="12"/>
  <c r="AF3151" i="12"/>
  <c r="O3277" i="12"/>
  <c r="Q3276" i="12"/>
  <c r="AE84" i="12"/>
  <c r="AG85" i="12"/>
  <c r="AD84" i="12"/>
  <c r="AF85" i="12"/>
  <c r="AD562" i="12"/>
  <c r="AF563" i="12"/>
  <c r="AD2783" i="12"/>
  <c r="AF2784" i="12"/>
  <c r="AB2783" i="12"/>
  <c r="AG2784" i="12"/>
  <c r="Q166" i="12"/>
  <c r="Q2064" i="12"/>
  <c r="Q547" i="12"/>
  <c r="Q2345" i="12"/>
  <c r="Q1237" i="12"/>
  <c r="Q1835" i="12"/>
  <c r="AD3149" i="12" l="1"/>
  <c r="AF3150" i="12"/>
  <c r="AB3149" i="12"/>
  <c r="AG3150" i="12"/>
  <c r="O3278" i="12"/>
  <c r="Q3277" i="12"/>
  <c r="AD2782" i="12"/>
  <c r="AF2783" i="12"/>
  <c r="AD561" i="12"/>
  <c r="AF562" i="12"/>
  <c r="AD83" i="12"/>
  <c r="AF84" i="12"/>
  <c r="AB2782" i="12"/>
  <c r="AG2783" i="12"/>
  <c r="AE83" i="12"/>
  <c r="AG84" i="12"/>
  <c r="Q2346" i="12"/>
  <c r="Q2065" i="12"/>
  <c r="Q548" i="12"/>
  <c r="Q1836" i="12"/>
  <c r="Q1238" i="12"/>
  <c r="Q167" i="12"/>
  <c r="AB3148" i="12" l="1"/>
  <c r="AG3149" i="12"/>
  <c r="AD3148" i="12"/>
  <c r="AF3149" i="12"/>
  <c r="O3279" i="12"/>
  <c r="Q3278" i="12"/>
  <c r="AD82" i="12"/>
  <c r="AF83" i="12"/>
  <c r="AB2781" i="12"/>
  <c r="AG2782" i="12"/>
  <c r="AD560" i="12"/>
  <c r="AF561" i="12"/>
  <c r="AE82" i="12"/>
  <c r="AG83" i="12"/>
  <c r="AD2781" i="12"/>
  <c r="AF2782" i="12"/>
  <c r="Q1837" i="12"/>
  <c r="Q168" i="12"/>
  <c r="Q549" i="12"/>
  <c r="Q1239" i="12"/>
  <c r="Q2066" i="12"/>
  <c r="Q2347" i="12"/>
  <c r="AD3147" i="12" l="1"/>
  <c r="AF3148" i="12"/>
  <c r="AB3147" i="12"/>
  <c r="AG3148" i="12"/>
  <c r="O3280" i="12"/>
  <c r="Q3279" i="12"/>
  <c r="AE81" i="12"/>
  <c r="AG82" i="12"/>
  <c r="AB2780" i="12"/>
  <c r="AG2781" i="12"/>
  <c r="AD559" i="12"/>
  <c r="AF560" i="12"/>
  <c r="AD2780" i="12"/>
  <c r="AF2781" i="12"/>
  <c r="AD81" i="12"/>
  <c r="AF82" i="12"/>
  <c r="Q2067" i="12"/>
  <c r="Q1240" i="12"/>
  <c r="Q2348" i="12"/>
  <c r="Q169" i="12"/>
  <c r="Q550" i="12"/>
  <c r="Q1838" i="12"/>
  <c r="AB3146" i="12" l="1"/>
  <c r="AG3147" i="12"/>
  <c r="AD3146" i="12"/>
  <c r="AF3147" i="12"/>
  <c r="O3281" i="12"/>
  <c r="Q3280" i="12"/>
  <c r="AD2779" i="12"/>
  <c r="AF2780" i="12"/>
  <c r="AD558" i="12"/>
  <c r="AF559" i="12"/>
  <c r="AD80" i="12"/>
  <c r="AF81" i="12"/>
  <c r="AB2779" i="12"/>
  <c r="AG2780" i="12"/>
  <c r="AE80" i="12"/>
  <c r="AG81" i="12"/>
  <c r="Q170" i="12"/>
  <c r="Q551" i="12"/>
  <c r="Q2349" i="12"/>
  <c r="Q1839" i="12"/>
  <c r="Q1241" i="12"/>
  <c r="Q2068" i="12"/>
  <c r="AD3145" i="12" l="1"/>
  <c r="AF3146" i="12"/>
  <c r="AB3145" i="12"/>
  <c r="AG3146" i="12"/>
  <c r="O3282" i="12"/>
  <c r="Q3281" i="12"/>
  <c r="AE79" i="12"/>
  <c r="AG80" i="12"/>
  <c r="AD79" i="12"/>
  <c r="AF80" i="12"/>
  <c r="AD557" i="12"/>
  <c r="AF558" i="12"/>
  <c r="AB2778" i="12"/>
  <c r="AG2779" i="12"/>
  <c r="AD2778" i="12"/>
  <c r="AF2779" i="12"/>
  <c r="Q1242" i="12"/>
  <c r="Q552" i="12"/>
  <c r="Q1840" i="12"/>
  <c r="Q2069" i="12"/>
  <c r="Q2350" i="12"/>
  <c r="Q171" i="12"/>
  <c r="AB3144" i="12" l="1"/>
  <c r="AG3145" i="12"/>
  <c r="AD3144" i="12"/>
  <c r="AF3145" i="12"/>
  <c r="O3283" i="12"/>
  <c r="Q3282" i="12"/>
  <c r="AB2777" i="12"/>
  <c r="AG2778" i="12"/>
  <c r="AD556" i="12"/>
  <c r="AF557" i="12"/>
  <c r="AD2777" i="12"/>
  <c r="AF2778" i="12"/>
  <c r="AD78" i="12"/>
  <c r="AF79" i="12"/>
  <c r="AE78" i="12"/>
  <c r="AG79" i="12"/>
  <c r="Q2070" i="12"/>
  <c r="Q172" i="12"/>
  <c r="Q1841" i="12"/>
  <c r="Q553" i="12"/>
  <c r="Q2351" i="12"/>
  <c r="Q1243" i="12"/>
  <c r="AD3143" i="12" l="1"/>
  <c r="AF3144" i="12"/>
  <c r="AB3143" i="12"/>
  <c r="AG3144" i="12"/>
  <c r="O3284" i="12"/>
  <c r="Q3283" i="12"/>
  <c r="AE77" i="12"/>
  <c r="AG78" i="12"/>
  <c r="AD2776" i="12"/>
  <c r="AF2777" i="12"/>
  <c r="AD555" i="12"/>
  <c r="AF556" i="12"/>
  <c r="AD77" i="12"/>
  <c r="AF78" i="12"/>
  <c r="AB2776" i="12"/>
  <c r="AG2777" i="12"/>
  <c r="Q2352" i="12"/>
  <c r="Q554" i="12"/>
  <c r="Q1244" i="12"/>
  <c r="Q173" i="12"/>
  <c r="Q1842" i="12"/>
  <c r="Q2071" i="12"/>
  <c r="AB3142" i="12" l="1"/>
  <c r="AG3143" i="12"/>
  <c r="AD3142" i="12"/>
  <c r="AF3143" i="12"/>
  <c r="O3285" i="12"/>
  <c r="Q3284" i="12"/>
  <c r="AB2775" i="12"/>
  <c r="AG2776" i="12"/>
  <c r="AD554" i="12"/>
  <c r="AF555" i="12"/>
  <c r="AD76" i="12"/>
  <c r="AF77" i="12"/>
  <c r="AD2775" i="12"/>
  <c r="AF2776" i="12"/>
  <c r="AE76" i="12"/>
  <c r="AG77" i="12"/>
  <c r="Q1245" i="12"/>
  <c r="Q555" i="12"/>
  <c r="Q2072" i="12"/>
  <c r="Q1843" i="12"/>
  <c r="Q174" i="12"/>
  <c r="Q2353" i="12"/>
  <c r="AD3141" i="12" l="1"/>
  <c r="AF3142" i="12"/>
  <c r="AB3141" i="12"/>
  <c r="AG3142" i="12"/>
  <c r="O3286" i="12"/>
  <c r="Q3285" i="12"/>
  <c r="AD2774" i="12"/>
  <c r="AF2775" i="12"/>
  <c r="AE75" i="12"/>
  <c r="AG76" i="12"/>
  <c r="AD553" i="12"/>
  <c r="AF554" i="12"/>
  <c r="AD75" i="12"/>
  <c r="AF76" i="12"/>
  <c r="AB2774" i="12"/>
  <c r="AG2775" i="12"/>
  <c r="Q2073" i="12"/>
  <c r="Q556" i="12"/>
  <c r="Q175" i="12"/>
  <c r="Q2354" i="12"/>
  <c r="Q1844" i="12"/>
  <c r="Q1246" i="12"/>
  <c r="AB3140" i="12" l="1"/>
  <c r="AG3141" i="12"/>
  <c r="AD3140" i="12"/>
  <c r="AF3141" i="12"/>
  <c r="O3287" i="12"/>
  <c r="Q3286" i="12"/>
  <c r="AB2773" i="12"/>
  <c r="AG2774" i="12"/>
  <c r="AD74" i="12"/>
  <c r="AF75" i="12"/>
  <c r="AE74" i="12"/>
  <c r="AG75" i="12"/>
  <c r="AD552" i="12"/>
  <c r="AF553" i="12"/>
  <c r="AD2773" i="12"/>
  <c r="AF2774" i="12"/>
  <c r="Q176" i="12"/>
  <c r="Q2355" i="12"/>
  <c r="Q557" i="12"/>
  <c r="Q1247" i="12"/>
  <c r="Q2074" i="12"/>
  <c r="Q1845" i="12"/>
  <c r="AD3139" i="12" l="1"/>
  <c r="AF3140" i="12"/>
  <c r="AB3139" i="12"/>
  <c r="AG3140" i="12"/>
  <c r="O3288" i="12"/>
  <c r="Q3287" i="12"/>
  <c r="AD2772" i="12"/>
  <c r="AF2773" i="12"/>
  <c r="AE73" i="12"/>
  <c r="AG74" i="12"/>
  <c r="AD73" i="12"/>
  <c r="AF74" i="12"/>
  <c r="AD551" i="12"/>
  <c r="AF552" i="12"/>
  <c r="AB2772" i="12"/>
  <c r="AG2773" i="12"/>
  <c r="Q1248" i="12"/>
  <c r="Q558" i="12"/>
  <c r="Q1846" i="12"/>
  <c r="Q177" i="12"/>
  <c r="Q2356" i="12"/>
  <c r="Q2075" i="12"/>
  <c r="AB3138" i="12" l="1"/>
  <c r="AG3139" i="12"/>
  <c r="AD3138" i="12"/>
  <c r="AF3139" i="12"/>
  <c r="O3289" i="12"/>
  <c r="Q3288" i="12"/>
  <c r="AB2771" i="12"/>
  <c r="AG2772" i="12"/>
  <c r="AD550" i="12"/>
  <c r="AF551" i="12"/>
  <c r="AE72" i="12"/>
  <c r="AG73" i="12"/>
  <c r="AD72" i="12"/>
  <c r="AF73" i="12"/>
  <c r="AD2771" i="12"/>
  <c r="AF2772" i="12"/>
  <c r="Q178" i="12"/>
  <c r="Q1847" i="12"/>
  <c r="Q2357" i="12"/>
  <c r="Q559" i="12"/>
  <c r="Q2076" i="12"/>
  <c r="Q1249" i="12"/>
  <c r="AD3137" i="12" l="1"/>
  <c r="AF3138" i="12"/>
  <c r="AB3137" i="12"/>
  <c r="AG3138" i="12"/>
  <c r="O3290" i="12"/>
  <c r="Q3289" i="12"/>
  <c r="AD2770" i="12"/>
  <c r="AF2771" i="12"/>
  <c r="AD71" i="12"/>
  <c r="AF72" i="12"/>
  <c r="AD549" i="12"/>
  <c r="AF550" i="12"/>
  <c r="AE71" i="12"/>
  <c r="AG72" i="12"/>
  <c r="AB2770" i="12"/>
  <c r="AG2771" i="12"/>
  <c r="Q1848" i="12"/>
  <c r="Q1250" i="12"/>
  <c r="Q560" i="12"/>
  <c r="Q2077" i="12"/>
  <c r="Q2358" i="12"/>
  <c r="Q179" i="12"/>
  <c r="AB3136" i="12" l="1"/>
  <c r="AG3137" i="12"/>
  <c r="AD3136" i="12"/>
  <c r="AF3137" i="12"/>
  <c r="O3291" i="12"/>
  <c r="Q3290" i="12"/>
  <c r="AB2769" i="12"/>
  <c r="AG2770" i="12"/>
  <c r="AE70" i="12"/>
  <c r="AG71" i="12"/>
  <c r="AD70" i="12"/>
  <c r="AF71" i="12"/>
  <c r="AD548" i="12"/>
  <c r="AF549" i="12"/>
  <c r="AD2769" i="12"/>
  <c r="AF2770" i="12"/>
  <c r="Q561" i="12"/>
  <c r="Q180" i="12"/>
  <c r="Q1251" i="12"/>
  <c r="Q2359" i="12"/>
  <c r="Q2078" i="12"/>
  <c r="Q1849" i="12"/>
  <c r="AD3135" i="12" l="1"/>
  <c r="AF3136" i="12"/>
  <c r="AB3135" i="12"/>
  <c r="AG3136" i="12"/>
  <c r="O3292" i="12"/>
  <c r="Q3291" i="12"/>
  <c r="AD2768" i="12"/>
  <c r="AF2769" i="12"/>
  <c r="AD547" i="12"/>
  <c r="AF548" i="12"/>
  <c r="AE69" i="12"/>
  <c r="AG70" i="12"/>
  <c r="AD69" i="12"/>
  <c r="AF70" i="12"/>
  <c r="AB2768" i="12"/>
  <c r="AG2769" i="12"/>
  <c r="Q2360" i="12"/>
  <c r="Q1850" i="12"/>
  <c r="Q181" i="12"/>
  <c r="Q1252" i="12"/>
  <c r="Q2079" i="12"/>
  <c r="Q562" i="12"/>
  <c r="AB3134" i="12" l="1"/>
  <c r="AG3135" i="12"/>
  <c r="AD3134" i="12"/>
  <c r="AF3135" i="12"/>
  <c r="O3293" i="12"/>
  <c r="Q3292" i="12"/>
  <c r="AD68" i="12"/>
  <c r="AF69" i="12"/>
  <c r="AB2767" i="12"/>
  <c r="AG2768" i="12"/>
  <c r="AD546" i="12"/>
  <c r="AF547" i="12"/>
  <c r="AE68" i="12"/>
  <c r="AG69" i="12"/>
  <c r="AD2767" i="12"/>
  <c r="AF2768" i="12"/>
  <c r="Q1253" i="12"/>
  <c r="Q182" i="12"/>
  <c r="Q563" i="12"/>
  <c r="Q1851" i="12"/>
  <c r="Q2080" i="12"/>
  <c r="Q2361" i="12"/>
  <c r="AD3133" i="12" l="1"/>
  <c r="AF3134" i="12"/>
  <c r="AB3133" i="12"/>
  <c r="AG3134" i="12"/>
  <c r="O3294" i="12"/>
  <c r="Q3293" i="12"/>
  <c r="AD545" i="12"/>
  <c r="AF546" i="12"/>
  <c r="AE67" i="12"/>
  <c r="AG68" i="12"/>
  <c r="AB2766" i="12"/>
  <c r="AG2767" i="12"/>
  <c r="AD2766" i="12"/>
  <c r="AF2767" i="12"/>
  <c r="AD67" i="12"/>
  <c r="AF68" i="12"/>
  <c r="Q1852" i="12"/>
  <c r="Q564" i="12"/>
  <c r="Q2362" i="12"/>
  <c r="Q183" i="12"/>
  <c r="Q2081" i="12"/>
  <c r="Q1254" i="12"/>
  <c r="AB3132" i="12" l="1"/>
  <c r="AG3133" i="12"/>
  <c r="AD3132" i="12"/>
  <c r="AF3133" i="12"/>
  <c r="O3295" i="12"/>
  <c r="Q3294" i="12"/>
  <c r="AD2765" i="12"/>
  <c r="AF2766" i="12"/>
  <c r="AB2765" i="12"/>
  <c r="AG2766" i="12"/>
  <c r="AE66" i="12"/>
  <c r="AG67" i="12"/>
  <c r="AD66" i="12"/>
  <c r="AF67" i="12"/>
  <c r="AD544" i="12"/>
  <c r="AF545" i="12"/>
  <c r="Q184" i="12"/>
  <c r="Q2363" i="12"/>
  <c r="Q1255" i="12"/>
  <c r="Q565" i="12"/>
  <c r="Q2082" i="12"/>
  <c r="Q1853" i="12"/>
  <c r="AD3131" i="12" l="1"/>
  <c r="AF3132" i="12"/>
  <c r="AB3131" i="12"/>
  <c r="AG3132" i="12"/>
  <c r="O3296" i="12"/>
  <c r="Q3295" i="12"/>
  <c r="AD65" i="12"/>
  <c r="AF66" i="12"/>
  <c r="AE65" i="12"/>
  <c r="AG66" i="12"/>
  <c r="AB2764" i="12"/>
  <c r="AG2765" i="12"/>
  <c r="AD543" i="12"/>
  <c r="AF544" i="12"/>
  <c r="AD2764" i="12"/>
  <c r="AF2765" i="12"/>
  <c r="Q566" i="12"/>
  <c r="Q1256" i="12"/>
  <c r="Q1854" i="12"/>
  <c r="Q2364" i="12"/>
  <c r="Q2083" i="12"/>
  <c r="Q185" i="12"/>
  <c r="AB3130" i="12" l="1"/>
  <c r="AG3131" i="12"/>
  <c r="AD3130" i="12"/>
  <c r="AF3131" i="12"/>
  <c r="O3297" i="12"/>
  <c r="Q3296" i="12"/>
  <c r="AD2763" i="12"/>
  <c r="AF2764" i="12"/>
  <c r="AB2763" i="12"/>
  <c r="AG2764" i="12"/>
  <c r="AE64" i="12"/>
  <c r="AG65" i="12"/>
  <c r="AD542" i="12"/>
  <c r="AF543" i="12"/>
  <c r="AD64" i="12"/>
  <c r="AF65" i="12"/>
  <c r="Q1855" i="12"/>
  <c r="Q186" i="12"/>
  <c r="Q1257" i="12"/>
  <c r="Q2084" i="12"/>
  <c r="Q2365" i="12"/>
  <c r="Q567" i="12"/>
  <c r="AD3129" i="12" l="1"/>
  <c r="AF3130" i="12"/>
  <c r="AB3129" i="12"/>
  <c r="AG3130" i="12"/>
  <c r="O3298" i="12"/>
  <c r="Q3297" i="12"/>
  <c r="AE63" i="12"/>
  <c r="AG64" i="12"/>
  <c r="AD63" i="12"/>
  <c r="AF64" i="12"/>
  <c r="AB2762" i="12"/>
  <c r="AG2763" i="12"/>
  <c r="AD541" i="12"/>
  <c r="AF542" i="12"/>
  <c r="AD2762" i="12"/>
  <c r="AF2763" i="12"/>
  <c r="Q2085" i="12"/>
  <c r="Q568" i="12"/>
  <c r="Q1258" i="12"/>
  <c r="Q187" i="12"/>
  <c r="Q2366" i="12"/>
  <c r="Q1856" i="12"/>
  <c r="AB3128" i="12" l="1"/>
  <c r="AG3129" i="12"/>
  <c r="AD3128" i="12"/>
  <c r="AF3129" i="12"/>
  <c r="O3299" i="12"/>
  <c r="Q3298" i="12"/>
  <c r="AD2761" i="12"/>
  <c r="AF2762" i="12"/>
  <c r="AB2761" i="12"/>
  <c r="AG2762" i="12"/>
  <c r="AD62" i="12"/>
  <c r="AF63" i="12"/>
  <c r="AD540" i="12"/>
  <c r="AF541" i="12"/>
  <c r="AE62" i="12"/>
  <c r="AG63" i="12"/>
  <c r="Q569" i="12"/>
  <c r="Q2086" i="12"/>
  <c r="Q1857" i="12"/>
  <c r="Q1259" i="12"/>
  <c r="Q188" i="12"/>
  <c r="Q2367" i="12"/>
  <c r="AD3127" i="12" l="1"/>
  <c r="AF3128" i="12"/>
  <c r="AB3127" i="12"/>
  <c r="AG3128" i="12"/>
  <c r="O3300" i="12"/>
  <c r="Q3299" i="12"/>
  <c r="AE61" i="12"/>
  <c r="AG62" i="12"/>
  <c r="AD61" i="12"/>
  <c r="AF62" i="12"/>
  <c r="AB2760" i="12"/>
  <c r="AG2761" i="12"/>
  <c r="AD539" i="12"/>
  <c r="AF540" i="12"/>
  <c r="AD2760" i="12"/>
  <c r="AF2761" i="12"/>
  <c r="Q1858" i="12"/>
  <c r="Q1260" i="12"/>
  <c r="Q2368" i="12"/>
  <c r="Q2087" i="12"/>
  <c r="Q189" i="12"/>
  <c r="Q570" i="12"/>
  <c r="AB3126" i="12" l="1"/>
  <c r="AG3127" i="12"/>
  <c r="AD3126" i="12"/>
  <c r="AF3127" i="12"/>
  <c r="O3301" i="12"/>
  <c r="Q3300" i="12"/>
  <c r="AB2759" i="12"/>
  <c r="AG2760" i="12"/>
  <c r="AD2759" i="12"/>
  <c r="AF2760" i="12"/>
  <c r="AD60" i="12"/>
  <c r="AF61" i="12"/>
  <c r="AD538" i="12"/>
  <c r="AF539" i="12"/>
  <c r="AE60" i="12"/>
  <c r="AG61" i="12"/>
  <c r="Q2088" i="12"/>
  <c r="Q2369" i="12"/>
  <c r="Q571" i="12"/>
  <c r="Q1261" i="12"/>
  <c r="Q190" i="12"/>
  <c r="Q1859" i="12"/>
  <c r="AD3125" i="12" l="1"/>
  <c r="AF3126" i="12"/>
  <c r="AB3125" i="12"/>
  <c r="AG3126" i="12"/>
  <c r="O3302" i="12"/>
  <c r="Q3301" i="12"/>
  <c r="AD59" i="12"/>
  <c r="AF60" i="12"/>
  <c r="AD537" i="12"/>
  <c r="AF538" i="12"/>
  <c r="AD2758" i="12"/>
  <c r="AF2759" i="12"/>
  <c r="AE59" i="12"/>
  <c r="AG60" i="12"/>
  <c r="AB2758" i="12"/>
  <c r="AG2759" i="12"/>
  <c r="Q1262" i="12"/>
  <c r="Q572" i="12"/>
  <c r="Q1860" i="12"/>
  <c r="Q2370" i="12"/>
  <c r="Q191" i="12"/>
  <c r="Q2089" i="12"/>
  <c r="AB3124" i="12" l="1"/>
  <c r="AG3125" i="12"/>
  <c r="AD3124" i="12"/>
  <c r="AF3125" i="12"/>
  <c r="O3303" i="12"/>
  <c r="Q3302" i="12"/>
  <c r="AB2757" i="12"/>
  <c r="AG2758" i="12"/>
  <c r="AD2757" i="12"/>
  <c r="AF2758" i="12"/>
  <c r="AD536" i="12"/>
  <c r="AF537" i="12"/>
  <c r="AE58" i="12"/>
  <c r="AG59" i="12"/>
  <c r="AD58" i="12"/>
  <c r="AF59" i="12"/>
  <c r="Q2371" i="12"/>
  <c r="Q1861" i="12"/>
  <c r="Q2090" i="12"/>
  <c r="Q573" i="12"/>
  <c r="Q192" i="12"/>
  <c r="Q1263" i="12"/>
  <c r="AD3123" i="12" l="1"/>
  <c r="AF3124" i="12"/>
  <c r="AB3123" i="12"/>
  <c r="AG3124" i="12"/>
  <c r="O3304" i="12"/>
  <c r="Q3303" i="12"/>
  <c r="AD535" i="12"/>
  <c r="AF536" i="12"/>
  <c r="AE57" i="12"/>
  <c r="AG58" i="12"/>
  <c r="AD2756" i="12"/>
  <c r="AF2757" i="12"/>
  <c r="AD57" i="12"/>
  <c r="AF58" i="12"/>
  <c r="AB2756" i="12"/>
  <c r="AG2757" i="12"/>
  <c r="Q574" i="12"/>
  <c r="Q2091" i="12"/>
  <c r="Q193" i="12"/>
  <c r="Q1264" i="12"/>
  <c r="Q1862" i="12"/>
  <c r="Q2372" i="12"/>
  <c r="AB3122" i="12" l="1"/>
  <c r="AG3123" i="12"/>
  <c r="AD3122" i="12"/>
  <c r="AF3123" i="12"/>
  <c r="O3305" i="12"/>
  <c r="Q3304" i="12"/>
  <c r="AB2755" i="12"/>
  <c r="AG2756" i="12"/>
  <c r="AD2755" i="12"/>
  <c r="AF2756" i="12"/>
  <c r="AE56" i="12"/>
  <c r="AG57" i="12"/>
  <c r="AD56" i="12"/>
  <c r="AF57" i="12"/>
  <c r="AD534" i="12"/>
  <c r="AF535" i="12"/>
  <c r="Q1863" i="12"/>
  <c r="Q194" i="12"/>
  <c r="Q1265" i="12"/>
  <c r="Q2373" i="12"/>
  <c r="Q2092" i="12"/>
  <c r="Q575" i="12"/>
  <c r="AD3121" i="12" l="1"/>
  <c r="AF3122" i="12"/>
  <c r="AB3121" i="12"/>
  <c r="AG3122" i="12"/>
  <c r="O3306" i="12"/>
  <c r="Q3305" i="12"/>
  <c r="AD533" i="12"/>
  <c r="AF534" i="12"/>
  <c r="AE55" i="12"/>
  <c r="AG56" i="12"/>
  <c r="AD2754" i="12"/>
  <c r="AF2755" i="12"/>
  <c r="AD55" i="12"/>
  <c r="AF56" i="12"/>
  <c r="AB2754" i="12"/>
  <c r="AG2755" i="12"/>
  <c r="Q2093" i="12"/>
  <c r="Q2374" i="12"/>
  <c r="Q576" i="12"/>
  <c r="Q195" i="12"/>
  <c r="Q1266" i="12"/>
  <c r="Q1864" i="12"/>
  <c r="AB3120" i="12" l="1"/>
  <c r="AG3121" i="12"/>
  <c r="AD3120" i="12"/>
  <c r="AF3121" i="12"/>
  <c r="O3307" i="12"/>
  <c r="Q3306" i="12"/>
  <c r="AB2753" i="12"/>
  <c r="AG2754" i="12"/>
  <c r="AD2753" i="12"/>
  <c r="AF2754" i="12"/>
  <c r="AE54" i="12"/>
  <c r="AG55" i="12"/>
  <c r="AD54" i="12"/>
  <c r="AF55" i="12"/>
  <c r="AD532" i="12"/>
  <c r="AF533" i="12"/>
  <c r="Q196" i="12"/>
  <c r="Q1267" i="12"/>
  <c r="Q577" i="12"/>
  <c r="Q2375" i="12"/>
  <c r="Q1865" i="12"/>
  <c r="Q2094" i="12"/>
  <c r="AD3119" i="12" l="1"/>
  <c r="AF3120" i="12"/>
  <c r="AB3119" i="12"/>
  <c r="AG3120" i="12"/>
  <c r="O3308" i="12"/>
  <c r="Q3307" i="12"/>
  <c r="AD531" i="12"/>
  <c r="AF532" i="12"/>
  <c r="AE53" i="12"/>
  <c r="AG54" i="12"/>
  <c r="AD2752" i="12"/>
  <c r="AF2753" i="12"/>
  <c r="AD53" i="12"/>
  <c r="AF54" i="12"/>
  <c r="AB2752" i="12"/>
  <c r="AG2753" i="12"/>
  <c r="Q1268" i="12"/>
  <c r="Q1866" i="12"/>
  <c r="Q2376" i="12"/>
  <c r="Q578" i="12"/>
  <c r="Q2095" i="12"/>
  <c r="Q197" i="12"/>
  <c r="AB3118" i="12" l="1"/>
  <c r="AG3119" i="12"/>
  <c r="AD3118" i="12"/>
  <c r="AF3119" i="12"/>
  <c r="O3309" i="12"/>
  <c r="Q3308" i="12"/>
  <c r="AB2751" i="12"/>
  <c r="AG2752" i="12"/>
  <c r="AD2751" i="12"/>
  <c r="AF2752" i="12"/>
  <c r="AE52" i="12"/>
  <c r="AG53" i="12"/>
  <c r="AD52" i="12"/>
  <c r="AF53" i="12"/>
  <c r="AD530" i="12"/>
  <c r="AF531" i="12"/>
  <c r="Q198" i="12"/>
  <c r="Q2377" i="12"/>
  <c r="Q2096" i="12"/>
  <c r="Q1867" i="12"/>
  <c r="Q579" i="12"/>
  <c r="Q1269" i="12"/>
  <c r="AD3117" i="12" l="1"/>
  <c r="AF3118" i="12"/>
  <c r="AB3117" i="12"/>
  <c r="AG3118" i="12"/>
  <c r="O3310" i="12"/>
  <c r="Q3309" i="12"/>
  <c r="AD529" i="12"/>
  <c r="AF530" i="12"/>
  <c r="AE51" i="12"/>
  <c r="AG52" i="12"/>
  <c r="AD2750" i="12"/>
  <c r="AF2751" i="12"/>
  <c r="AD51" i="12"/>
  <c r="AF52" i="12"/>
  <c r="AB2750" i="12"/>
  <c r="AG2751" i="12"/>
  <c r="Q580" i="12"/>
  <c r="Q1868" i="12"/>
  <c r="Q2097" i="12"/>
  <c r="Q1270" i="12"/>
  <c r="Q199" i="12"/>
  <c r="Q2378" i="12"/>
  <c r="AB3116" i="12" l="1"/>
  <c r="AG3117" i="12"/>
  <c r="AD3116" i="12"/>
  <c r="AF3117" i="12"/>
  <c r="O3311" i="12"/>
  <c r="Q3310" i="12"/>
  <c r="AB2749" i="12"/>
  <c r="AG2750" i="12"/>
  <c r="AD2749" i="12"/>
  <c r="AF2750" i="12"/>
  <c r="AE50" i="12"/>
  <c r="AG51" i="12"/>
  <c r="AD50" i="12"/>
  <c r="AF51" i="12"/>
  <c r="AD528" i="12"/>
  <c r="AF529" i="12"/>
  <c r="Q2379" i="12"/>
  <c r="Q1271" i="12"/>
  <c r="Q2098" i="12"/>
  <c r="Q1869" i="12"/>
  <c r="Q200" i="12"/>
  <c r="Q581" i="12"/>
  <c r="AD3115" i="12" l="1"/>
  <c r="AF3116" i="12"/>
  <c r="AB3115" i="12"/>
  <c r="AG3116" i="12"/>
  <c r="O3312" i="12"/>
  <c r="Q3311" i="12"/>
  <c r="AD527" i="12"/>
  <c r="AF528" i="12"/>
  <c r="AE49" i="12"/>
  <c r="AG50" i="12"/>
  <c r="AD2748" i="12"/>
  <c r="AF2749" i="12"/>
  <c r="AD49" i="12"/>
  <c r="AF50" i="12"/>
  <c r="AB2748" i="12"/>
  <c r="AG2749" i="12"/>
  <c r="Q582" i="12"/>
  <c r="Q1870" i="12"/>
  <c r="Q2099" i="12"/>
  <c r="Q1272" i="12"/>
  <c r="Q201" i="12"/>
  <c r="Q2380" i="12"/>
  <c r="AB3114" i="12" l="1"/>
  <c r="AG3114" i="12" s="1"/>
  <c r="AG3115" i="12"/>
  <c r="AD3114" i="12"/>
  <c r="AF3115" i="12"/>
  <c r="O3313" i="12"/>
  <c r="Q3313" i="12" s="1"/>
  <c r="Q3312" i="12"/>
  <c r="AB2747" i="12"/>
  <c r="AG2748" i="12"/>
  <c r="AD2747" i="12"/>
  <c r="AF2748" i="12"/>
  <c r="AE48" i="12"/>
  <c r="AG49" i="12"/>
  <c r="AD48" i="12"/>
  <c r="AF49" i="12"/>
  <c r="AD526" i="12"/>
  <c r="AF527" i="12"/>
  <c r="Q202" i="12"/>
  <c r="Q2381" i="12"/>
  <c r="Q1273" i="12"/>
  <c r="Q2100" i="12"/>
  <c r="Q1871" i="12"/>
  <c r="AF3114" i="12" l="1"/>
  <c r="AE47" i="12"/>
  <c r="AG48" i="12"/>
  <c r="AD525" i="12"/>
  <c r="AF526" i="12"/>
  <c r="AD2746" i="12"/>
  <c r="AF2747" i="12"/>
  <c r="AD47" i="12"/>
  <c r="AF48" i="12"/>
  <c r="AB2746" i="12"/>
  <c r="AG2747" i="12"/>
  <c r="Q2382" i="12"/>
  <c r="Q1872" i="12"/>
  <c r="Q2101" i="12"/>
  <c r="Q1274" i="12"/>
  <c r="Q203" i="12"/>
  <c r="AD2745" i="12" l="1"/>
  <c r="AF2746" i="12"/>
  <c r="AD524" i="12"/>
  <c r="AF525" i="12"/>
  <c r="AD46" i="12"/>
  <c r="AF47" i="12"/>
  <c r="AB2745" i="12"/>
  <c r="AG2746" i="12"/>
  <c r="AE46" i="12"/>
  <c r="AG47" i="12"/>
  <c r="Q1275" i="12"/>
  <c r="Q2102" i="12"/>
  <c r="Q1873" i="12"/>
  <c r="Q204" i="12"/>
  <c r="Q2383" i="12"/>
  <c r="AE45" i="12" l="1"/>
  <c r="AG46" i="12"/>
  <c r="AB2744" i="12"/>
  <c r="AG2745" i="12"/>
  <c r="AD523" i="12"/>
  <c r="AF524" i="12"/>
  <c r="AD45" i="12"/>
  <c r="AF46" i="12"/>
  <c r="AD2744" i="12"/>
  <c r="AF2745" i="12"/>
  <c r="Q2384" i="12"/>
  <c r="Q205" i="12"/>
  <c r="Q1874" i="12"/>
  <c r="Q2103" i="12"/>
  <c r="Q1276" i="12"/>
  <c r="AD522" i="12" l="1"/>
  <c r="AF523" i="12"/>
  <c r="AD2743" i="12"/>
  <c r="AF2744" i="12"/>
  <c r="AB2743" i="12"/>
  <c r="AG2744" i="12"/>
  <c r="AD44" i="12"/>
  <c r="AF45" i="12"/>
  <c r="AE44" i="12"/>
  <c r="AG45" i="12"/>
  <c r="Q1277" i="12"/>
  <c r="Q2104" i="12"/>
  <c r="Q1875" i="12"/>
  <c r="Q2385" i="12"/>
  <c r="AB2742" i="12" l="1"/>
  <c r="AG2743" i="12"/>
  <c r="AE43" i="12"/>
  <c r="AG44" i="12"/>
  <c r="AD2742" i="12"/>
  <c r="AF2743" i="12"/>
  <c r="AD43" i="12"/>
  <c r="AF44" i="12"/>
  <c r="AD521" i="12"/>
  <c r="AF522" i="12"/>
  <c r="Q2386" i="12"/>
  <c r="Q1876" i="12"/>
  <c r="Q2105" i="12"/>
  <c r="Q1278" i="12"/>
  <c r="AD2741" i="12" l="1"/>
  <c r="AF2742" i="12"/>
  <c r="AD520" i="12"/>
  <c r="AF521" i="12"/>
  <c r="AE42" i="12"/>
  <c r="AG43" i="12"/>
  <c r="AD42" i="12"/>
  <c r="AF43" i="12"/>
  <c r="AB2741" i="12"/>
  <c r="AG2742" i="12"/>
  <c r="Q1279" i="12"/>
  <c r="Q2106" i="12"/>
  <c r="Q1877" i="12"/>
  <c r="Q2387" i="12"/>
  <c r="AE41" i="12" l="1"/>
  <c r="AG42" i="12"/>
  <c r="AB2740" i="12"/>
  <c r="AG2741" i="12"/>
  <c r="AD519" i="12"/>
  <c r="AF520" i="12"/>
  <c r="AD41" i="12"/>
  <c r="AF42" i="12"/>
  <c r="AD2740" i="12"/>
  <c r="AF2741" i="12"/>
  <c r="Q2388" i="12"/>
  <c r="Q1878" i="12"/>
  <c r="Q2107" i="12"/>
  <c r="Q1280" i="12"/>
  <c r="AD518" i="12" l="1"/>
  <c r="AF519" i="12"/>
  <c r="AD2739" i="12"/>
  <c r="AF2740" i="12"/>
  <c r="AB2739" i="12"/>
  <c r="AG2740" i="12"/>
  <c r="AD40" i="12"/>
  <c r="AF41" i="12"/>
  <c r="AE40" i="12"/>
  <c r="AG41" i="12"/>
  <c r="Q1281" i="12"/>
  <c r="Q2108" i="12"/>
  <c r="Q1879" i="12"/>
  <c r="Q2389" i="12"/>
  <c r="AE39" i="12" l="1"/>
  <c r="AG40" i="12"/>
  <c r="AD39" i="12"/>
  <c r="AF40" i="12"/>
  <c r="AD2738" i="12"/>
  <c r="AF2739" i="12"/>
  <c r="AB2738" i="12"/>
  <c r="AG2739" i="12"/>
  <c r="AD517" i="12"/>
  <c r="AF518" i="12"/>
  <c r="Q2390" i="12"/>
  <c r="Q1880" i="12"/>
  <c r="Q2109" i="12"/>
  <c r="Q1282" i="12"/>
  <c r="AD516" i="12" l="1"/>
  <c r="AF517" i="12"/>
  <c r="AD2737" i="12"/>
  <c r="AF2738" i="12"/>
  <c r="AD38" i="12"/>
  <c r="AF39" i="12"/>
  <c r="AB2737" i="12"/>
  <c r="AG2738" i="12"/>
  <c r="AE38" i="12"/>
  <c r="AG39" i="12"/>
  <c r="Q1283" i="12"/>
  <c r="Q2110" i="12"/>
  <c r="Q1881" i="12"/>
  <c r="Q2391" i="12"/>
  <c r="AD37" i="12" l="1"/>
  <c r="AF38" i="12"/>
  <c r="AE37" i="12"/>
  <c r="AG38" i="12"/>
  <c r="AD2736" i="12"/>
  <c r="AF2737" i="12"/>
  <c r="AB2736" i="12"/>
  <c r="AG2737" i="12"/>
  <c r="AD515" i="12"/>
  <c r="AF516" i="12"/>
  <c r="Q2392" i="12"/>
  <c r="Q1882" i="12"/>
  <c r="Q2111" i="12"/>
  <c r="Q1284" i="12"/>
  <c r="AD2735" i="12" l="1"/>
  <c r="AF2736" i="12"/>
  <c r="AB2735" i="12"/>
  <c r="AG2736" i="12"/>
  <c r="AE36" i="12"/>
  <c r="AG37" i="12"/>
  <c r="AD514" i="12"/>
  <c r="AF515" i="12"/>
  <c r="AD36" i="12"/>
  <c r="AF37" i="12"/>
  <c r="Q1285" i="12"/>
  <c r="Q2112" i="12"/>
  <c r="Q1883" i="12"/>
  <c r="Q2393" i="12"/>
  <c r="AD35" i="12" l="1"/>
  <c r="AF35" i="12" s="1"/>
  <c r="AF36" i="12"/>
  <c r="AD513" i="12"/>
  <c r="AF514" i="12"/>
  <c r="AB2734" i="12"/>
  <c r="AG2734" i="12" s="1"/>
  <c r="AG2735" i="12"/>
  <c r="AE35" i="12"/>
  <c r="AG35" i="12" s="1"/>
  <c r="AG36" i="12"/>
  <c r="AD2734" i="12"/>
  <c r="AF2735" i="12"/>
  <c r="Q2394" i="12"/>
  <c r="Q1884" i="12"/>
  <c r="Q2113" i="12"/>
  <c r="Q1286" i="12"/>
  <c r="AF2734" i="12" l="1"/>
  <c r="AD512" i="12"/>
  <c r="AF513" i="12"/>
  <c r="Q2114" i="12"/>
  <c r="Q1287" i="12"/>
  <c r="Q1885" i="12"/>
  <c r="Q2395" i="12"/>
  <c r="AD511" i="12" l="1"/>
  <c r="AF512" i="12"/>
  <c r="Q2396" i="12"/>
  <c r="Q1886" i="12"/>
  <c r="Q1288" i="12"/>
  <c r="Q2115" i="12"/>
  <c r="AD510" i="12" l="1"/>
  <c r="AF511" i="12"/>
  <c r="Q1289" i="12"/>
  <c r="Q2116" i="12"/>
  <c r="Q1887" i="12"/>
  <c r="Q2397" i="12"/>
  <c r="AD509" i="12" l="1"/>
  <c r="AF510" i="12"/>
  <c r="Q2398" i="12"/>
  <c r="Q1888" i="12"/>
  <c r="Q2117" i="12"/>
  <c r="Q1290" i="12"/>
  <c r="AD508" i="12" l="1"/>
  <c r="AF509" i="12"/>
  <c r="Q2118" i="12"/>
  <c r="Q1291" i="12"/>
  <c r="Q1889" i="12"/>
  <c r="Q2399" i="12"/>
  <c r="AD507" i="12" l="1"/>
  <c r="AF508" i="12"/>
  <c r="Q2400" i="12"/>
  <c r="Q1890" i="12"/>
  <c r="Q1292" i="12"/>
  <c r="Q2119" i="12"/>
  <c r="AD506" i="12" l="1"/>
  <c r="AF507" i="12"/>
  <c r="Q1293" i="12"/>
  <c r="Q1891" i="12"/>
  <c r="Q2120" i="12"/>
  <c r="Q2401" i="12"/>
  <c r="AD505" i="12" l="1"/>
  <c r="AF506" i="12"/>
  <c r="Q2402" i="12"/>
  <c r="Q2121" i="12"/>
  <c r="Q1892" i="12"/>
  <c r="Q1294" i="12"/>
  <c r="AD504" i="12" l="1"/>
  <c r="AF505" i="12"/>
  <c r="Q1295" i="12"/>
  <c r="Q1893" i="12"/>
  <c r="Q2122" i="12"/>
  <c r="Q2403" i="12"/>
  <c r="AD503" i="12" l="1"/>
  <c r="AF504" i="12"/>
  <c r="Q2404" i="12"/>
  <c r="Q2123" i="12"/>
  <c r="Q1894" i="12"/>
  <c r="Q1296" i="12"/>
  <c r="AD502" i="12" l="1"/>
  <c r="AF503" i="12"/>
  <c r="Q1297" i="12"/>
  <c r="Q1895" i="12"/>
  <c r="Q2124" i="12"/>
  <c r="Q2405" i="12"/>
  <c r="AD501" i="12" l="1"/>
  <c r="AF502" i="12"/>
  <c r="Q2406" i="12"/>
  <c r="Q2125" i="12"/>
  <c r="Q1896" i="12"/>
  <c r="Q1298" i="12"/>
  <c r="AD500" i="12" l="1"/>
  <c r="AF501" i="12"/>
  <c r="Q1299" i="12"/>
  <c r="Q1897" i="12"/>
  <c r="Q2126" i="12"/>
  <c r="Q2407" i="12"/>
  <c r="AD499" i="12" l="1"/>
  <c r="AF500" i="12"/>
  <c r="Q2408" i="12"/>
  <c r="Q2127" i="12"/>
  <c r="Q1898" i="12"/>
  <c r="Q1300" i="12"/>
  <c r="AD498" i="12" l="1"/>
  <c r="AF499" i="12"/>
  <c r="Q1301" i="12"/>
  <c r="Q1899" i="12"/>
  <c r="Q2128" i="12"/>
  <c r="Q2409" i="12"/>
  <c r="AD497" i="12" l="1"/>
  <c r="AF498" i="12"/>
  <c r="Q2129" i="12"/>
  <c r="Q1900" i="12"/>
  <c r="Q2410" i="12"/>
  <c r="Q1302" i="12"/>
  <c r="AD496" i="12" l="1"/>
  <c r="AF497" i="12"/>
  <c r="Q1901" i="12"/>
  <c r="Q1303" i="12"/>
  <c r="Q2411" i="12"/>
  <c r="Q2130" i="12"/>
  <c r="AD495" i="12" l="1"/>
  <c r="AF496" i="12"/>
  <c r="Q2131" i="12"/>
  <c r="Q2412" i="12"/>
  <c r="Q1304" i="12"/>
  <c r="AD494" i="12" l="1"/>
  <c r="AF495" i="12"/>
  <c r="Q1305" i="12"/>
  <c r="Q2413" i="12"/>
  <c r="Q2132" i="12"/>
  <c r="AD493" i="12" l="1"/>
  <c r="AF494" i="12"/>
  <c r="Q2133" i="12"/>
  <c r="Q2414" i="12"/>
  <c r="Q1306" i="12"/>
  <c r="AD492" i="12" l="1"/>
  <c r="AF493" i="12"/>
  <c r="Q1307" i="12"/>
  <c r="Q2415" i="12"/>
  <c r="Q2134" i="12"/>
  <c r="AD491" i="12" l="1"/>
  <c r="AF492" i="12"/>
  <c r="Q2135" i="12"/>
  <c r="Q2416" i="12"/>
  <c r="Q1308" i="12"/>
  <c r="AD490" i="12" l="1"/>
  <c r="AF491" i="12"/>
  <c r="Q1309" i="12"/>
  <c r="Q2417" i="12"/>
  <c r="Q2136" i="12"/>
  <c r="AD489" i="12" l="1"/>
  <c r="AF490" i="12"/>
  <c r="Q2418" i="12"/>
  <c r="Q2137" i="12"/>
  <c r="Q1310" i="12"/>
  <c r="AD488" i="12" l="1"/>
  <c r="AF489" i="12"/>
  <c r="Q1311" i="12"/>
  <c r="Q2138" i="12"/>
  <c r="Q2419" i="12"/>
  <c r="AD487" i="12" l="1"/>
  <c r="AF488" i="12"/>
  <c r="Q2420" i="12"/>
  <c r="Q2139" i="12"/>
  <c r="Q1312" i="12"/>
  <c r="AD486" i="12" l="1"/>
  <c r="AF487" i="12"/>
  <c r="Q2140" i="12"/>
  <c r="Q1313" i="12"/>
  <c r="Q2421" i="12"/>
  <c r="AD485" i="12" l="1"/>
  <c r="AF486" i="12"/>
  <c r="Q2422" i="12"/>
  <c r="Q1314" i="12"/>
  <c r="Q2141" i="12"/>
  <c r="AD484" i="12" l="1"/>
  <c r="AF485" i="12"/>
  <c r="Q2142" i="12"/>
  <c r="Q1315" i="12"/>
  <c r="Q2423" i="12"/>
  <c r="AD483" i="12" l="1"/>
  <c r="AF484" i="12"/>
  <c r="Q2424" i="12"/>
  <c r="Q1316" i="12"/>
  <c r="Q2143" i="12"/>
  <c r="AD482" i="12" l="1"/>
  <c r="AF483" i="12"/>
  <c r="Q2144" i="12"/>
  <c r="Q1317" i="12"/>
  <c r="Q2425" i="12"/>
  <c r="AD481" i="12" l="1"/>
  <c r="AF482" i="12"/>
  <c r="Q2426" i="12"/>
  <c r="Q1318" i="12"/>
  <c r="Q2145" i="12"/>
  <c r="AD480" i="12" l="1"/>
  <c r="AF481" i="12"/>
  <c r="Q2146" i="12"/>
  <c r="Q1319" i="12"/>
  <c r="Q2427" i="12"/>
  <c r="AD479" i="12" l="1"/>
  <c r="AF480" i="12"/>
  <c r="Q2428" i="12"/>
  <c r="Q1320" i="12"/>
  <c r="Q2147" i="12"/>
  <c r="AD478" i="12" l="1"/>
  <c r="AF479" i="12"/>
  <c r="Q2148" i="12"/>
  <c r="Q1321" i="12"/>
  <c r="Q2429" i="12"/>
  <c r="AD477" i="12" l="1"/>
  <c r="AF478" i="12"/>
  <c r="Q2430" i="12"/>
  <c r="Q1322" i="12"/>
  <c r="Q2149" i="12"/>
  <c r="AD476" i="12" l="1"/>
  <c r="AF477" i="12"/>
  <c r="Q2150" i="12"/>
  <c r="Q1323" i="12"/>
  <c r="Q2431" i="12"/>
  <c r="AD475" i="12" l="1"/>
  <c r="AF476" i="12"/>
  <c r="Q2432" i="12"/>
  <c r="Q1324" i="12"/>
  <c r="Q2151" i="12"/>
  <c r="AD474" i="12" l="1"/>
  <c r="AF475" i="12"/>
  <c r="Q2152" i="12"/>
  <c r="Q1325" i="12"/>
  <c r="Q2433" i="12"/>
  <c r="AD473" i="12" l="1"/>
  <c r="AF474" i="12"/>
  <c r="Q2434" i="12"/>
  <c r="Q1326" i="12"/>
  <c r="Q2153" i="12"/>
  <c r="AD472" i="12" l="1"/>
  <c r="AF473" i="12"/>
  <c r="Q1327" i="12"/>
  <c r="Q2154" i="12"/>
  <c r="Q2435" i="12"/>
  <c r="AD471" i="12" l="1"/>
  <c r="AF472" i="12"/>
  <c r="Q2436" i="12"/>
  <c r="Q2155" i="12"/>
  <c r="Q1328" i="12"/>
  <c r="AD470" i="12" l="1"/>
  <c r="AF471" i="12"/>
  <c r="Q1329" i="12"/>
  <c r="Q2156" i="12"/>
  <c r="Q2437" i="12"/>
  <c r="AD469" i="12" l="1"/>
  <c r="AF470" i="12"/>
  <c r="Q2157" i="12"/>
  <c r="Q2438" i="12"/>
  <c r="Q1330" i="12"/>
  <c r="AD468" i="12" l="1"/>
  <c r="AF469" i="12"/>
  <c r="Q2439" i="12"/>
  <c r="Q1331" i="12"/>
  <c r="Q2158" i="12"/>
  <c r="AD467" i="12" l="1"/>
  <c r="AF468" i="12"/>
  <c r="Q2159" i="12"/>
  <c r="Q1332" i="12"/>
  <c r="Q2440" i="12"/>
  <c r="AD466" i="12" l="1"/>
  <c r="AF467" i="12"/>
  <c r="Q2441" i="12"/>
  <c r="Q1333" i="12"/>
  <c r="Q2160" i="12"/>
  <c r="AD465" i="12" l="1"/>
  <c r="AF466" i="12"/>
  <c r="Q2161" i="12"/>
  <c r="Q1334" i="12"/>
  <c r="Q2442" i="12"/>
  <c r="AD464" i="12" l="1"/>
  <c r="AF465" i="12"/>
  <c r="Q2443" i="12"/>
  <c r="Q1335" i="12"/>
  <c r="Q2162" i="12"/>
  <c r="AF464" i="12" l="1"/>
  <c r="AD463" i="12"/>
  <c r="Q2163" i="12"/>
  <c r="Q1336" i="12"/>
  <c r="Q2444" i="12"/>
  <c r="AF463" i="12" l="1"/>
  <c r="AD462" i="12"/>
  <c r="Q2445" i="12"/>
  <c r="Q1337" i="12"/>
  <c r="Q2164" i="12"/>
  <c r="AF462" i="12" l="1"/>
  <c r="AD461" i="12"/>
  <c r="Q2165" i="12"/>
  <c r="Q1338" i="12"/>
  <c r="Q2446" i="12"/>
  <c r="AF461" i="12" l="1"/>
  <c r="AD460" i="12"/>
  <c r="Q2447" i="12"/>
  <c r="Q1339" i="12"/>
  <c r="Q2166" i="12"/>
  <c r="AF460" i="12" l="1"/>
  <c r="AD459" i="12"/>
  <c r="Q2167" i="12"/>
  <c r="Q1340" i="12"/>
  <c r="Q2448" i="12"/>
  <c r="AF459" i="12" l="1"/>
  <c r="AD458" i="12"/>
  <c r="Q2449" i="12"/>
  <c r="Q1341" i="12"/>
  <c r="Q2168" i="12"/>
  <c r="AF458" i="12" l="1"/>
  <c r="AD457" i="12"/>
  <c r="Q2169" i="12"/>
  <c r="Q1342" i="12"/>
  <c r="Q2450" i="12"/>
  <c r="AF457" i="12" l="1"/>
  <c r="AD456" i="12"/>
  <c r="Q2451" i="12"/>
  <c r="Q1343" i="12"/>
  <c r="Q2170" i="12"/>
  <c r="AD455" i="12" l="1"/>
  <c r="AF456" i="12"/>
  <c r="Q2171" i="12"/>
  <c r="Q1344" i="12"/>
  <c r="Q2452" i="12"/>
  <c r="AD454" i="12" l="1"/>
  <c r="AF455" i="12"/>
  <c r="Q2453" i="12"/>
  <c r="Q1345" i="12"/>
  <c r="Q2172" i="12"/>
  <c r="AD453" i="12" l="1"/>
  <c r="AF454" i="12"/>
  <c r="Q2173" i="12"/>
  <c r="Q1346" i="12"/>
  <c r="Q2454" i="12"/>
  <c r="AD452" i="12" l="1"/>
  <c r="AF453" i="12"/>
  <c r="Q2455" i="12"/>
  <c r="Q1347" i="12"/>
  <c r="Q2174" i="12"/>
  <c r="AD451" i="12" l="1"/>
  <c r="AF452" i="12"/>
  <c r="Q2175" i="12"/>
  <c r="Q1348" i="12"/>
  <c r="Q2456" i="12"/>
  <c r="AD450" i="12" l="1"/>
  <c r="AF451" i="12"/>
  <c r="Q2457" i="12"/>
  <c r="Q1349" i="12"/>
  <c r="Q2176" i="12"/>
  <c r="AD449" i="12" l="1"/>
  <c r="AF450" i="12"/>
  <c r="Q2177" i="12"/>
  <c r="Q1350" i="12"/>
  <c r="Q2458" i="12"/>
  <c r="AD448" i="12" l="1"/>
  <c r="AF449" i="12"/>
  <c r="Q2459" i="12"/>
  <c r="Q1351" i="12"/>
  <c r="Q2178" i="12"/>
  <c r="AD447" i="12" l="1"/>
  <c r="AF448" i="12"/>
  <c r="Q2179" i="12"/>
  <c r="Q1352" i="12"/>
  <c r="Q2460" i="12"/>
  <c r="AD446" i="12" l="1"/>
  <c r="AF447" i="12"/>
  <c r="Q2461" i="12"/>
  <c r="Q1353" i="12"/>
  <c r="Q2180" i="12"/>
  <c r="AD445" i="12" l="1"/>
  <c r="AF446" i="12"/>
  <c r="Q2181" i="12"/>
  <c r="Q1354" i="12"/>
  <c r="Q2462" i="12"/>
  <c r="AD444" i="12" l="1"/>
  <c r="AF445" i="12"/>
  <c r="Q2182" i="12"/>
  <c r="Q2463" i="12"/>
  <c r="Q1355" i="12"/>
  <c r="AD443" i="12" l="1"/>
  <c r="AF444" i="12"/>
  <c r="Q1356" i="12"/>
  <c r="Q2464" i="12"/>
  <c r="AD442" i="12" l="1"/>
  <c r="AF443" i="12"/>
  <c r="Q2465" i="12"/>
  <c r="Q1357" i="12"/>
  <c r="AD441" i="12" l="1"/>
  <c r="AF442" i="12"/>
  <c r="Q1358" i="12"/>
  <c r="Q2466" i="12"/>
  <c r="AD440" i="12" l="1"/>
  <c r="AF441" i="12"/>
  <c r="Q2467" i="12"/>
  <c r="Q1359" i="12"/>
  <c r="AD439" i="12" l="1"/>
  <c r="AF440" i="12"/>
  <c r="Q1360" i="12"/>
  <c r="Q2468" i="12"/>
  <c r="AD438" i="12" l="1"/>
  <c r="AF439" i="12"/>
  <c r="Q2469" i="12"/>
  <c r="Q1361" i="12"/>
  <c r="AD437" i="12" l="1"/>
  <c r="AF438" i="12"/>
  <c r="Q2470" i="12"/>
  <c r="Q1362" i="12"/>
  <c r="AD436" i="12" l="1"/>
  <c r="AF437" i="12"/>
  <c r="Q1363" i="12"/>
  <c r="Q2471" i="12"/>
  <c r="AD435" i="12" l="1"/>
  <c r="AF436" i="12"/>
  <c r="Q2472" i="12"/>
  <c r="Q1364" i="12"/>
  <c r="AD434" i="12" l="1"/>
  <c r="AF435" i="12"/>
  <c r="Q1365" i="12"/>
  <c r="Q2473" i="12"/>
  <c r="AD433" i="12" l="1"/>
  <c r="AF434" i="12"/>
  <c r="Q2474" i="12"/>
  <c r="Q1366" i="12"/>
  <c r="AD432" i="12" l="1"/>
  <c r="AF433" i="12"/>
  <c r="Q1367" i="12"/>
  <c r="Q2475" i="12"/>
  <c r="AD431" i="12" l="1"/>
  <c r="AF432" i="12"/>
  <c r="Q2476" i="12"/>
  <c r="Q1368" i="12"/>
  <c r="AD430" i="12" l="1"/>
  <c r="AF431" i="12"/>
  <c r="Q1369" i="12"/>
  <c r="Q2477" i="12"/>
  <c r="AD429" i="12" l="1"/>
  <c r="AF430" i="12"/>
  <c r="Q2478" i="12"/>
  <c r="Q1370" i="12"/>
  <c r="AD428" i="12" l="1"/>
  <c r="AF429" i="12"/>
  <c r="Q1371" i="12"/>
  <c r="Q2479" i="12"/>
  <c r="AD427" i="12" l="1"/>
  <c r="AF428" i="12"/>
  <c r="Q1372" i="12"/>
  <c r="Q2480" i="12"/>
  <c r="AD426" i="12" l="1"/>
  <c r="AF427" i="12"/>
  <c r="Q2481" i="12"/>
  <c r="Q1373" i="12"/>
  <c r="AD425" i="12" l="1"/>
  <c r="AF426" i="12"/>
  <c r="Q1374" i="12"/>
  <c r="Q2482" i="12"/>
  <c r="AD424" i="12" l="1"/>
  <c r="AF425" i="12"/>
  <c r="Q2483" i="12"/>
  <c r="Q1375" i="12"/>
  <c r="AD423" i="12" l="1"/>
  <c r="AF424" i="12"/>
  <c r="Q1376" i="12"/>
  <c r="Q2484" i="12"/>
  <c r="AD422" i="12" l="1"/>
  <c r="AF423" i="12"/>
  <c r="Q2485" i="12"/>
  <c r="Q1377" i="12"/>
  <c r="AD421" i="12" l="1"/>
  <c r="AF422" i="12"/>
  <c r="Q1378" i="12"/>
  <c r="Q2486" i="12"/>
  <c r="AD420" i="12" l="1"/>
  <c r="AF421" i="12"/>
  <c r="Q2487" i="12"/>
  <c r="Q1379" i="12"/>
  <c r="AD419" i="12" l="1"/>
  <c r="AF420" i="12"/>
  <c r="Q1380" i="12"/>
  <c r="Q2488" i="12"/>
  <c r="AD418" i="12" l="1"/>
  <c r="AF419" i="12"/>
  <c r="Q2489" i="12"/>
  <c r="Q1381" i="12"/>
  <c r="AD417" i="12" l="1"/>
  <c r="AF418" i="12"/>
  <c r="Q1382" i="12"/>
  <c r="Q2490" i="12"/>
  <c r="AD416" i="12" l="1"/>
  <c r="AF417" i="12"/>
  <c r="Q2491" i="12"/>
  <c r="Q1383" i="12"/>
  <c r="AD415" i="12" l="1"/>
  <c r="AF416" i="12"/>
  <c r="Q1384" i="12"/>
  <c r="Q2492" i="12"/>
  <c r="AD414" i="12" l="1"/>
  <c r="AF415" i="12"/>
  <c r="Q2493" i="12"/>
  <c r="Q1385" i="12"/>
  <c r="AD413" i="12" l="1"/>
  <c r="AF414" i="12"/>
  <c r="Q1386" i="12"/>
  <c r="Q2494" i="12"/>
  <c r="AD412" i="12" l="1"/>
  <c r="AF413" i="12"/>
  <c r="Q2495" i="12"/>
  <c r="Q1387" i="12"/>
  <c r="AD411" i="12" l="1"/>
  <c r="AF412" i="12"/>
  <c r="Q1388" i="12"/>
  <c r="Q2496" i="12"/>
  <c r="AD410" i="12" l="1"/>
  <c r="AF411" i="12"/>
  <c r="Q2497" i="12"/>
  <c r="Q1389" i="12"/>
  <c r="AD409" i="12" l="1"/>
  <c r="AF410" i="12"/>
  <c r="Q1390" i="12"/>
  <c r="Q2498" i="12"/>
  <c r="AD408" i="12" l="1"/>
  <c r="AF409" i="12"/>
  <c r="Q2499" i="12"/>
  <c r="Q1391" i="12"/>
  <c r="AD407" i="12" l="1"/>
  <c r="AF408" i="12"/>
  <c r="Q1392" i="12"/>
  <c r="Q2500" i="12"/>
  <c r="AD406" i="12" l="1"/>
  <c r="AF407" i="12"/>
  <c r="Q2501" i="12"/>
  <c r="Q1393" i="12"/>
  <c r="AD405" i="12" l="1"/>
  <c r="AF406" i="12"/>
  <c r="Q1394" i="12"/>
  <c r="Q2502" i="12"/>
  <c r="AD404" i="12" l="1"/>
  <c r="AF405" i="12"/>
  <c r="Q2503" i="12"/>
  <c r="Q1395" i="12"/>
  <c r="AD403" i="12" l="1"/>
  <c r="AF404" i="12"/>
  <c r="Q1396" i="12"/>
  <c r="Q2504" i="12"/>
  <c r="AD402" i="12" l="1"/>
  <c r="AF403" i="12"/>
  <c r="Q2505" i="12"/>
  <c r="Q1397" i="12"/>
  <c r="AD401" i="12" l="1"/>
  <c r="AF402" i="12"/>
  <c r="Q1398" i="12"/>
  <c r="Q2506" i="12"/>
  <c r="AD400" i="12" l="1"/>
  <c r="AF401" i="12"/>
  <c r="Q2507" i="12"/>
  <c r="Q1399" i="12"/>
  <c r="AD399" i="12" l="1"/>
  <c r="AF400" i="12"/>
  <c r="Q1400" i="12"/>
  <c r="Q2508" i="12"/>
  <c r="AD398" i="12" l="1"/>
  <c r="AF399" i="12"/>
  <c r="Q2509" i="12"/>
  <c r="Q1401" i="12"/>
  <c r="AD397" i="12" l="1"/>
  <c r="AF398" i="12"/>
  <c r="Q1402" i="12"/>
  <c r="Q2510" i="12"/>
  <c r="AD396" i="12" l="1"/>
  <c r="AF397" i="12"/>
  <c r="Q2511" i="12"/>
  <c r="Q1403" i="12"/>
  <c r="AD395" i="12" l="1"/>
  <c r="AF396" i="12"/>
  <c r="Q1404" i="12"/>
  <c r="Q2512" i="12"/>
  <c r="AD394" i="12" l="1"/>
  <c r="AF395" i="12"/>
  <c r="Q2513" i="12"/>
  <c r="Q1405" i="12"/>
  <c r="AD393" i="12" l="1"/>
  <c r="AF394" i="12"/>
  <c r="Q1406" i="12"/>
  <c r="Q2514" i="12"/>
  <c r="AD392" i="12" l="1"/>
  <c r="AF393" i="12"/>
  <c r="Q2515" i="12"/>
  <c r="Q1407" i="12"/>
  <c r="AD391" i="12" l="1"/>
  <c r="AF392" i="12"/>
  <c r="Q1408" i="12"/>
  <c r="Q2516" i="12"/>
  <c r="AD390" i="12" l="1"/>
  <c r="AF391" i="12"/>
  <c r="Q2517" i="12"/>
  <c r="Q1409" i="12"/>
  <c r="AD389" i="12" l="1"/>
  <c r="AF390" i="12"/>
  <c r="Q1410" i="12"/>
  <c r="Q2518" i="12"/>
  <c r="AD388" i="12" l="1"/>
  <c r="AF389" i="12"/>
  <c r="Q2519" i="12"/>
  <c r="Q1411" i="12"/>
  <c r="AD387" i="12" l="1"/>
  <c r="AF388" i="12"/>
  <c r="Q1412" i="12"/>
  <c r="Q2520" i="12"/>
  <c r="AD386" i="12" l="1"/>
  <c r="AF387" i="12"/>
  <c r="Q2521" i="12"/>
  <c r="Q1413" i="12"/>
  <c r="AD385" i="12" l="1"/>
  <c r="AF386" i="12"/>
  <c r="Q2522" i="12"/>
  <c r="Q1414" i="12"/>
  <c r="AD384" i="12" l="1"/>
  <c r="AF385" i="12"/>
  <c r="Q1415" i="12"/>
  <c r="Q2523" i="12"/>
  <c r="AD383" i="12" l="1"/>
  <c r="AF384" i="12"/>
  <c r="Q2524" i="12"/>
  <c r="Q1416" i="12"/>
  <c r="AD382" i="12" l="1"/>
  <c r="AF383" i="12"/>
  <c r="Q1417" i="12"/>
  <c r="Q2525" i="12"/>
  <c r="AD381" i="12" l="1"/>
  <c r="AF382" i="12"/>
  <c r="Q2526" i="12"/>
  <c r="Q1418" i="12"/>
  <c r="AD380" i="12" l="1"/>
  <c r="AF381" i="12"/>
  <c r="Q1419" i="12"/>
  <c r="Q2527" i="12"/>
  <c r="AD379" i="12" l="1"/>
  <c r="AF380" i="12"/>
  <c r="Q2528" i="12"/>
  <c r="Q1420" i="12"/>
  <c r="AD378" i="12" l="1"/>
  <c r="AF379" i="12"/>
  <c r="Q1421" i="12"/>
  <c r="Q2529" i="12"/>
  <c r="AD377" i="12" l="1"/>
  <c r="AF378" i="12"/>
  <c r="Q2530" i="12"/>
  <c r="Q1422" i="12"/>
  <c r="AD376" i="12" l="1"/>
  <c r="AF377" i="12"/>
  <c r="Q1423" i="12"/>
  <c r="Q2531" i="12"/>
  <c r="AD375" i="12" l="1"/>
  <c r="AF376" i="12"/>
  <c r="Q2532" i="12"/>
  <c r="Q1424" i="12"/>
  <c r="AD374" i="12" l="1"/>
  <c r="AF375" i="12"/>
  <c r="Q1425" i="12"/>
  <c r="Q2533" i="12"/>
  <c r="AD373" i="12" l="1"/>
  <c r="AF374" i="12"/>
  <c r="Q2534" i="12"/>
  <c r="Q1426" i="12"/>
  <c r="AD372" i="12" l="1"/>
  <c r="AF373" i="12"/>
  <c r="Q1427" i="12"/>
  <c r="Q2535" i="12"/>
  <c r="AD371" i="12" l="1"/>
  <c r="AF372" i="12"/>
  <c r="Q2536" i="12"/>
  <c r="Q1428" i="12"/>
  <c r="AD370" i="12" l="1"/>
  <c r="AF371" i="12"/>
  <c r="Q1429" i="12"/>
  <c r="Q2537" i="12"/>
  <c r="AD369" i="12" l="1"/>
  <c r="AF370" i="12"/>
  <c r="Q2538" i="12"/>
  <c r="Q1430" i="12"/>
  <c r="AD368" i="12" l="1"/>
  <c r="AF369" i="12"/>
  <c r="Q1431" i="12"/>
  <c r="Q2539" i="12"/>
  <c r="AD367" i="12" l="1"/>
  <c r="AF368" i="12"/>
  <c r="Q2540" i="12"/>
  <c r="Q1432" i="12"/>
  <c r="AD366" i="12" l="1"/>
  <c r="AF367" i="12"/>
  <c r="Q1433" i="12"/>
  <c r="Q2541" i="12"/>
  <c r="AD365" i="12" l="1"/>
  <c r="AF366" i="12"/>
  <c r="Q2542" i="12"/>
  <c r="Q1434" i="12"/>
  <c r="AD364" i="12" l="1"/>
  <c r="AF365" i="12"/>
  <c r="Q1435" i="12"/>
  <c r="Q2543" i="12"/>
  <c r="AD363" i="12" l="1"/>
  <c r="AF364" i="12"/>
  <c r="Q2544" i="12"/>
  <c r="Q1436" i="12"/>
  <c r="AD362" i="12" l="1"/>
  <c r="AF363" i="12"/>
  <c r="Q1437" i="12"/>
  <c r="Q2545" i="12"/>
  <c r="AD361" i="12" l="1"/>
  <c r="AF362" i="12"/>
  <c r="Q2546" i="12"/>
  <c r="Q1438" i="12"/>
  <c r="AD360" i="12" l="1"/>
  <c r="AF361" i="12"/>
  <c r="Q1439" i="12"/>
  <c r="Q2547" i="12"/>
  <c r="AD359" i="12" l="1"/>
  <c r="AF360" i="12"/>
  <c r="Q2548" i="12"/>
  <c r="Q1440" i="12"/>
  <c r="AD358" i="12" l="1"/>
  <c r="AF359" i="12"/>
  <c r="Q1441" i="12"/>
  <c r="Q2549" i="12"/>
  <c r="AD357" i="12" l="1"/>
  <c r="AF358" i="12"/>
  <c r="Q2550" i="12"/>
  <c r="Q1442" i="12"/>
  <c r="AD356" i="12" l="1"/>
  <c r="AF357" i="12"/>
  <c r="Q1443" i="12"/>
  <c r="Q2551" i="12"/>
  <c r="AD355" i="12" l="1"/>
  <c r="AF356" i="12"/>
  <c r="Q2552" i="12"/>
  <c r="Q1444" i="12"/>
  <c r="AD354" i="12" l="1"/>
  <c r="AF355" i="12"/>
  <c r="Q1445" i="12"/>
  <c r="Q2553" i="12"/>
  <c r="AD353" i="12" l="1"/>
  <c r="AF354" i="12"/>
  <c r="Q2554" i="12"/>
  <c r="Q1446" i="12"/>
  <c r="AD352" i="12" l="1"/>
  <c r="AF353" i="12"/>
  <c r="Q1447" i="12"/>
  <c r="Q2555" i="12"/>
  <c r="AD351" i="12" l="1"/>
  <c r="AF352" i="12"/>
  <c r="Q2556" i="12"/>
  <c r="Q1448" i="12"/>
  <c r="AD350" i="12" l="1"/>
  <c r="AF351" i="12"/>
  <c r="Q1449" i="12"/>
  <c r="Q2557" i="12"/>
  <c r="AD349" i="12" l="1"/>
  <c r="AF350" i="12"/>
  <c r="Q2558" i="12"/>
  <c r="Q1450" i="12"/>
  <c r="AD348" i="12" l="1"/>
  <c r="AF349" i="12"/>
  <c r="Q1451" i="12"/>
  <c r="Q2559" i="12"/>
  <c r="AD347" i="12" l="1"/>
  <c r="AF348" i="12"/>
  <c r="Q2560" i="12"/>
  <c r="Q1452" i="12"/>
  <c r="AD346" i="12" l="1"/>
  <c r="AF347" i="12"/>
  <c r="Q1453" i="12"/>
  <c r="Q2561" i="12"/>
  <c r="AD345" i="12" l="1"/>
  <c r="AF346" i="12"/>
  <c r="Q2562" i="12"/>
  <c r="Q1454" i="12"/>
  <c r="AD344" i="12" l="1"/>
  <c r="AF345" i="12"/>
  <c r="Q1455" i="12"/>
  <c r="Q2563" i="12"/>
  <c r="AD343" i="12" l="1"/>
  <c r="AF343" i="12" s="1"/>
  <c r="AF344" i="12"/>
  <c r="Q2564" i="12"/>
  <c r="Q1456" i="12"/>
  <c r="Q1457" i="12" l="1"/>
  <c r="Q2565" i="12"/>
  <c r="Q2566" i="12" l="1"/>
  <c r="Q1458" i="12"/>
  <c r="Q1459" i="12" l="1"/>
  <c r="Q2567" i="12"/>
  <c r="Q2568" i="12" l="1"/>
  <c r="Q1460" i="12"/>
  <c r="Q1461" i="12" l="1"/>
  <c r="Q2569" i="12"/>
  <c r="Q2570" i="12" l="1"/>
  <c r="Q1462" i="12"/>
  <c r="Q1463" i="12" l="1"/>
  <c r="Q2571" i="12"/>
  <c r="Q2572" i="12" l="1"/>
  <c r="Q1464" i="12"/>
  <c r="Q1465" i="12" l="1"/>
  <c r="Q2573" i="12"/>
  <c r="Q2574" i="12" l="1"/>
  <c r="Q1466" i="12"/>
  <c r="Q1467" i="12" l="1"/>
  <c r="Q2575" i="12"/>
  <c r="Q2576" i="12" l="1"/>
  <c r="Q1468" i="12"/>
  <c r="Q1469" i="12" l="1"/>
  <c r="Q2577" i="12"/>
  <c r="Q2578" i="12" l="1"/>
  <c r="Q1470" i="12"/>
  <c r="Q1471" i="12" l="1"/>
  <c r="Q2579" i="12"/>
  <c r="Q1472" i="12" l="1"/>
  <c r="Q2580" i="12"/>
  <c r="Q2581" i="12" l="1"/>
  <c r="Q2582" i="12" l="1"/>
  <c r="Q2583" i="12" l="1"/>
  <c r="Q2584" i="12" l="1"/>
  <c r="Q2585" i="12" l="1"/>
  <c r="Q2586" i="12" l="1"/>
  <c r="Q2587" i="12" l="1"/>
  <c r="Q2588" i="12" l="1"/>
  <c r="Q2589" i="12" l="1"/>
  <c r="Q2590" i="12" l="1"/>
  <c r="Q2591" i="12" l="1"/>
  <c r="Q2592" i="12" l="1"/>
  <c r="Q2593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Heather Nielsen</author>
  </authors>
  <commentList>
    <comment ref="D22" authorId="0" shapeId="0" xr:uid="{6A71988A-2DD2-4DBB-84E4-8DBF7581ACC0}">
      <text>
        <r>
          <rPr>
            <b/>
            <sz val="9"/>
            <color indexed="81"/>
            <rFont val="Tahoma"/>
            <family val="2"/>
          </rPr>
          <t>Heather Nielsen:</t>
        </r>
        <r>
          <rPr>
            <sz val="9"/>
            <color indexed="81"/>
            <rFont val="Tahoma"/>
            <family val="2"/>
          </rPr>
          <t xml:space="preserve">
this is a fake time, need to figure out what actually happened here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Heather Dawn Nielsen</author>
  </authors>
  <commentList>
    <comment ref="AA17" authorId="0" shapeId="0" xr:uid="{6E08BE51-E327-4F93-A691-EB2A0CB1F707}">
      <text>
        <r>
          <rPr>
            <sz val="11"/>
            <color theme="1"/>
            <rFont val="Calibri"/>
            <family val="2"/>
            <scheme val="minor"/>
          </rPr>
          <t xml:space="preserve">Heather Dawn Nielsen:
Sampling time assumed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Heather Dawn Nielsen</author>
  </authors>
  <commentList>
    <comment ref="B42" authorId="0" shapeId="0" xr:uid="{56137DC3-A361-4BF4-B99C-EC642A038D82}">
      <text>
        <r>
          <rPr>
            <sz val="11"/>
            <color theme="1"/>
            <rFont val="Calibri"/>
            <family val="2"/>
            <scheme val="minor"/>
          </rPr>
          <t xml:space="preserve">Heather Dawn Nielsen:
Assumed I disconnected extra bottle at this time, needs verification
</t>
        </r>
      </text>
    </comment>
  </commentList>
</comments>
</file>

<file path=xl/sharedStrings.xml><?xml version="1.0" encoding="utf-8"?>
<sst xmlns="http://schemas.openxmlformats.org/spreadsheetml/2006/main" count="1341" uniqueCount="759">
  <si>
    <t>Reactor Volume (L)</t>
  </si>
  <si>
    <t>membrane surface area</t>
  </si>
  <si>
    <t>m2</t>
  </si>
  <si>
    <t>Reactor body (L)</t>
  </si>
  <si>
    <t>Correction</t>
  </si>
  <si>
    <t>CH4 Prod Rate (m3CH4/m3rv.d)</t>
  </si>
  <si>
    <t>Time Interval</t>
  </si>
  <si>
    <t>Downtime (min) time when reactor was not receiving CO2 and H2 gas</t>
  </si>
  <si>
    <t>BlueVCount Values (if applicable)</t>
  </si>
  <si>
    <t>Volume</t>
  </si>
  <si>
    <t>Flow Rate (mL/min)</t>
  </si>
  <si>
    <t>H2</t>
  </si>
  <si>
    <t>CH4</t>
  </si>
  <si>
    <t>CO2</t>
  </si>
  <si>
    <r>
      <t>H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</si>
  <si>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</si>
  <si>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</si>
  <si>
    <t>RV 0.45 L</t>
  </si>
  <si>
    <t>RV 0.155 L</t>
  </si>
  <si>
    <t>Surface area normalized (m3/m2d)</t>
  </si>
  <si>
    <t>CH4 prod rate (mL/min)</t>
  </si>
  <si>
    <t>CO2 pressure (psi)</t>
  </si>
  <si>
    <t>Location of Raw Results</t>
  </si>
  <si>
    <t>Sample ID</t>
  </si>
  <si>
    <t>Notes</t>
  </si>
  <si>
    <t>Date/Time of Analysis</t>
  </si>
  <si>
    <t>Start</t>
  </si>
  <si>
    <t>End</t>
  </si>
  <si>
    <t>Time Since Inoculation (d)</t>
  </si>
  <si>
    <t>av</t>
  </si>
  <si>
    <t>stdev</t>
  </si>
  <si>
    <t>Description</t>
  </si>
  <si>
    <t>H2 Setpoint (SCCM)</t>
  </si>
  <si>
    <t>upstream</t>
  </si>
  <si>
    <t>downstream</t>
  </si>
  <si>
    <t>TMP (psi)</t>
  </si>
  <si>
    <t>Screenshot</t>
  </si>
  <si>
    <t>.CHD file path</t>
  </si>
  <si>
    <t>Number of Replicates</t>
  </si>
  <si>
    <t xml:space="preserve">Reactor Flowthrough </t>
  </si>
  <si>
    <t>H2 vs. CO2 gas flowthrough composition test, with media</t>
  </si>
  <si>
    <t>Reactor Flowthrough 2</t>
  </si>
  <si>
    <t>Reactor Flowthrough 3</t>
  </si>
  <si>
    <t>Reactor Flowthrough 4</t>
  </si>
  <si>
    <t> </t>
  </si>
  <si>
    <t>MBfR_01</t>
  </si>
  <si>
    <t>Inoculated reactor gas composition</t>
  </si>
  <si>
    <t>C:\Peak495Win10\MBfR_01_01.CHR, C:\Peak495Win10\MBfR_01_02.CHR,C:\Peak495Win10\MBfR_01_03.CHR</t>
  </si>
  <si>
    <t>MBfR_02</t>
  </si>
  <si>
    <t>C:\Peak495Win10\MBfR_02_01.CHR, C:\Peak495Win10\MBfR_02_02.CHR,C:\Peak495Win10\MBfR_02_03.CHR</t>
  </si>
  <si>
    <t>MBfR_03</t>
  </si>
  <si>
    <t>C:\Peak495Win10\MBfR_03_01.CHR, C:\Peak495Win10\MBfR_03_02.CHR,C:\Peak495Win10\MBfR_03_03(2).CHR</t>
  </si>
  <si>
    <t>MBfR_04</t>
  </si>
  <si>
    <t>C:\Peak495Win10\MBfR_04_01.CHR, C:\Peak495Win10\MBfR_04_02.CHR,C:\Peak495Win10\MBfR_04_03.CHR</t>
  </si>
  <si>
    <t>did not change bag, actually partially emptied manually before leaving the lab</t>
  </si>
  <si>
    <t>MBfR_05</t>
  </si>
  <si>
    <t>C:\Peak495Win10\MBfR_05_01.CHR, C:\Peak495Win10\MBfR_05_02.CHR,C:\Peak495Win10\MBfR_05_03.CHR</t>
  </si>
  <si>
    <t>Leak discovered in bag</t>
  </si>
  <si>
    <t>MBfR_06</t>
  </si>
  <si>
    <t>C:\Peak495Win10\MBfR_06_01.CHR, C:\Peak495Win10\MBfR_06_02.CHR,C:\Peak495Win10\MBfR_06_03.CHR</t>
  </si>
  <si>
    <t>MBfR_07</t>
  </si>
  <si>
    <t>C:\Peak495Win10\MBfR_07_01.CHR, C:\Peak495Win10\MBfR_07_02.CHR,C:\Peak495Win10\MBfR_07_03.CHR</t>
  </si>
  <si>
    <t>MBfR_08</t>
  </si>
  <si>
    <t>C:\Peak495Win10\MBfR_08_01.CHR, C:\Peak495Win10\MBfR_08_02.CHR,C:\Peak495Win10\MBfR_08_03.CHR</t>
  </si>
  <si>
    <t>MBfR_09</t>
  </si>
  <si>
    <t>MBfR_10</t>
  </si>
  <si>
    <t>MBfR_11b</t>
  </si>
  <si>
    <t>MBfR_12</t>
  </si>
  <si>
    <t>MBfR_13</t>
  </si>
  <si>
    <t>MBfR_14</t>
  </si>
  <si>
    <t>MBfR_15</t>
  </si>
  <si>
    <t>MBfR_16</t>
  </si>
  <si>
    <t>MBfR_17</t>
  </si>
  <si>
    <t>get to washout SRT</t>
  </si>
  <si>
    <t>MBfR_18</t>
  </si>
  <si>
    <t>theta xmin</t>
  </si>
  <si>
    <t>1/yqhat-b</t>
  </si>
  <si>
    <t>MBfR_19</t>
  </si>
  <si>
    <t>MBfR_20</t>
  </si>
  <si>
    <t>MBfR_21</t>
  </si>
  <si>
    <t>MBfR_22</t>
  </si>
  <si>
    <t>MBfR_23</t>
  </si>
  <si>
    <t>MBfR_24</t>
  </si>
  <si>
    <t>MBfR_25</t>
  </si>
  <si>
    <t>MBfR_26</t>
  </si>
  <si>
    <t>MBfR_27a</t>
  </si>
  <si>
    <t>MBfR_27b</t>
  </si>
  <si>
    <t>MBfR_28</t>
  </si>
  <si>
    <t>MBfR_29</t>
  </si>
  <si>
    <t>MBfR_30</t>
  </si>
  <si>
    <t>31a</t>
  </si>
  <si>
    <t>51 mL removed for sample</t>
  </si>
  <si>
    <t>31c</t>
  </si>
  <si>
    <t xml:space="preserve">gas removed for sampling 31b (50 mL) previously </t>
  </si>
  <si>
    <t>MBfR_32</t>
  </si>
  <si>
    <t>MBfR_33</t>
  </si>
  <si>
    <t>MBfR_34</t>
  </si>
  <si>
    <t>MBfR_35</t>
  </si>
  <si>
    <t>MBfR_36</t>
  </si>
  <si>
    <t>MBfR_37</t>
  </si>
  <si>
    <t>MBfR_38</t>
  </si>
  <si>
    <t>MBfR_39</t>
  </si>
  <si>
    <t>After 08.15.24 recalibration</t>
  </si>
  <si>
    <t>MBfR_40</t>
  </si>
  <si>
    <t>After switching media - low COD, no HCO3</t>
  </si>
  <si>
    <t>MBfR_41</t>
  </si>
  <si>
    <t>MBfR_42</t>
  </si>
  <si>
    <t>MBfR_43</t>
  </si>
  <si>
    <t>MBfR_45</t>
  </si>
  <si>
    <t>MBfR_46</t>
  </si>
  <si>
    <t>MBfR_47</t>
  </si>
  <si>
    <t>MBfR_48</t>
  </si>
  <si>
    <t>MBfR_49</t>
  </si>
  <si>
    <t>MBfR_50</t>
  </si>
  <si>
    <t>MBfR_51</t>
  </si>
  <si>
    <t>MBfR_52</t>
  </si>
  <si>
    <t>MBfR_53</t>
  </si>
  <si>
    <t>MBfR_54</t>
  </si>
  <si>
    <t>MBfR_55</t>
  </si>
  <si>
    <t>MBfR_56</t>
  </si>
  <si>
    <t>MBfR_57</t>
  </si>
  <si>
    <t>MBfR_60</t>
  </si>
  <si>
    <t>MBfR_61</t>
  </si>
  <si>
    <t>MBfR_62</t>
  </si>
  <si>
    <t>MBfR_63</t>
  </si>
  <si>
    <t>MBfR_64</t>
  </si>
  <si>
    <t>MBfR_65</t>
  </si>
  <si>
    <t>MBfR_66</t>
  </si>
  <si>
    <t>MBfR_67</t>
  </si>
  <si>
    <t>MBfR_68</t>
  </si>
  <si>
    <t>MBfR_69</t>
  </si>
  <si>
    <t>MBfR_70</t>
  </si>
  <si>
    <t>MBfR_71</t>
  </si>
  <si>
    <t>MBfR_72</t>
  </si>
  <si>
    <t>MBfR_73</t>
  </si>
  <si>
    <t>MBfR_74</t>
  </si>
  <si>
    <t>MBfR_75</t>
  </si>
  <si>
    <t>MBfR_76</t>
  </si>
  <si>
    <t>MBfR_77</t>
  </si>
  <si>
    <t>MBfR_78</t>
  </si>
  <si>
    <t>MBfR_79</t>
  </si>
  <si>
    <t>MBfR_80</t>
  </si>
  <si>
    <t>MBfR_81</t>
  </si>
  <si>
    <t>MBfR_82</t>
  </si>
  <si>
    <t>MBfR_83</t>
  </si>
  <si>
    <t>MBfR_84</t>
  </si>
  <si>
    <t>MBfR_85</t>
  </si>
  <si>
    <t>MBfR_86</t>
  </si>
  <si>
    <t>MBfR_87</t>
  </si>
  <si>
    <t>MBfR_88</t>
  </si>
  <si>
    <t>MBfR_89</t>
  </si>
  <si>
    <t>MBfR_90</t>
  </si>
  <si>
    <t>MBfR_92</t>
  </si>
  <si>
    <t>MBfR_93</t>
  </si>
  <si>
    <t>MBfR_94</t>
  </si>
  <si>
    <t>MBfR_95</t>
  </si>
  <si>
    <t>MBfR_96</t>
  </si>
  <si>
    <t>MBfR_97</t>
  </si>
  <si>
    <t>MBfR_98</t>
  </si>
  <si>
    <t>MBfR_100</t>
  </si>
  <si>
    <t>MBfR_101</t>
  </si>
  <si>
    <t>MBfR_102</t>
  </si>
  <si>
    <t>MBfR_103</t>
  </si>
  <si>
    <t>MBfR_104</t>
  </si>
  <si>
    <t>MBfR_105</t>
  </si>
  <si>
    <t>MBfR_106</t>
  </si>
  <si>
    <t>MBfR_107</t>
  </si>
  <si>
    <t>MBfR_108</t>
  </si>
  <si>
    <t>MBfR_109</t>
  </si>
  <si>
    <t>MBfR_110</t>
  </si>
  <si>
    <t>MBfR_111</t>
  </si>
  <si>
    <t>MBfR_112</t>
  </si>
  <si>
    <t>MBfR_113</t>
  </si>
  <si>
    <t>MBfR_114</t>
  </si>
  <si>
    <t>MBfR_115</t>
  </si>
  <si>
    <t>MBfR_116</t>
  </si>
  <si>
    <t>MBfR_117</t>
  </si>
  <si>
    <t>MBfR_118</t>
  </si>
  <si>
    <t>MBfR_119</t>
  </si>
  <si>
    <t>MBfR_120</t>
  </si>
  <si>
    <t>MBfR_121</t>
  </si>
  <si>
    <t>MBfR_122</t>
  </si>
  <si>
    <t>MBfR_123</t>
  </si>
  <si>
    <t>MBfR_124</t>
  </si>
  <si>
    <t>MBfR_125</t>
  </si>
  <si>
    <t>MBfR_126</t>
  </si>
  <si>
    <t>MBfR_127</t>
  </si>
  <si>
    <t>MBfR_128</t>
  </si>
  <si>
    <t>MBfR_129</t>
  </si>
  <si>
    <t>MBfR_130</t>
  </si>
  <si>
    <t>MBfR_131</t>
  </si>
  <si>
    <t>MBfR_132</t>
  </si>
  <si>
    <t>MBfR_133</t>
  </si>
  <si>
    <t>MBfR_134</t>
  </si>
  <si>
    <t>MBfR_135</t>
  </si>
  <si>
    <t>MBfR_136</t>
  </si>
  <si>
    <t>MBfR_137</t>
  </si>
  <si>
    <t>MBfR_138</t>
  </si>
  <si>
    <t>MBfR_139</t>
  </si>
  <si>
    <t>MBfR_140</t>
  </si>
  <si>
    <t>MBfR_141</t>
  </si>
  <si>
    <t>MBfR_142</t>
  </si>
  <si>
    <t>MBfR_143</t>
  </si>
  <si>
    <t>MBfR_144</t>
  </si>
  <si>
    <t>MBfR_145</t>
  </si>
  <si>
    <t>MBfR_146</t>
  </si>
  <si>
    <t>MBfR_147</t>
  </si>
  <si>
    <t>MBfR_148</t>
  </si>
  <si>
    <t>MBfR_149</t>
  </si>
  <si>
    <t>MBfR_150</t>
  </si>
  <si>
    <t>MBfR_151</t>
  </si>
  <si>
    <t>MBfR_152</t>
  </si>
  <si>
    <t>MBfR_153</t>
  </si>
  <si>
    <t>MBfR_154</t>
  </si>
  <si>
    <t>MBfR_155</t>
  </si>
  <si>
    <t>MBfR_156</t>
  </si>
  <si>
    <t>MBfR_157</t>
  </si>
  <si>
    <t>MBfR_158</t>
  </si>
  <si>
    <t>MBfR_159</t>
  </si>
  <si>
    <t>MBfR_160</t>
  </si>
  <si>
    <t>MBfR_161</t>
  </si>
  <si>
    <t>MBfR_162</t>
  </si>
  <si>
    <t>MBfR_163</t>
  </si>
  <si>
    <t>MBfR_164</t>
  </si>
  <si>
    <t>MBfR_165</t>
  </si>
  <si>
    <t>MBfR_166</t>
  </si>
  <si>
    <t>MBfR_167</t>
  </si>
  <si>
    <t>MBfR_168</t>
  </si>
  <si>
    <t>MBfR_169</t>
  </si>
  <si>
    <t>MBfR_170</t>
  </si>
  <si>
    <t>MBfR_171</t>
  </si>
  <si>
    <t>MBfR_172</t>
  </si>
  <si>
    <t>MBfR_173</t>
  </si>
  <si>
    <t>MBfR_174</t>
  </si>
  <si>
    <t>MBfR_175</t>
  </si>
  <si>
    <t>MBfR_176</t>
  </si>
  <si>
    <t>MBfR_177</t>
  </si>
  <si>
    <t>Start Date</t>
  </si>
  <si>
    <t>Biomass Sample</t>
  </si>
  <si>
    <t>Ins - Media</t>
  </si>
  <si>
    <t>Ins - Substrate Gases</t>
  </si>
  <si>
    <t>Outs - Passive Waste Effluent</t>
  </si>
  <si>
    <t>Outs - Gas</t>
  </si>
  <si>
    <t>TSS/VSS</t>
  </si>
  <si>
    <t>Days of Operation</t>
  </si>
  <si>
    <t>Biomass Sample ID</t>
  </si>
  <si>
    <t>Media description</t>
  </si>
  <si>
    <t>Media changes</t>
  </si>
  <si>
    <t>Media Acetate (mg/L)</t>
  </si>
  <si>
    <t>Media Propionate (mg/L)</t>
  </si>
  <si>
    <t>Media Butyrate (mg/L)</t>
  </si>
  <si>
    <t>Media Total VFA (mg COD/L)</t>
  </si>
  <si>
    <t>Media Total COD (mg/L) Hach</t>
  </si>
  <si>
    <t>Media Ammonia (mg/L)</t>
  </si>
  <si>
    <t>Media Dissolved Inorganic Carbon (ppm C)</t>
  </si>
  <si>
    <t>Media Dissolved Organic Carbon (ppm C)</t>
  </si>
  <si>
    <t>H2 delivery rate setpoint (mL/min)</t>
  </si>
  <si>
    <t>CO2 delivery rate setpoint (mL/min)</t>
  </si>
  <si>
    <t>H2:CO2 ratio</t>
  </si>
  <si>
    <t>Effluent waste flow rate, measured based 21-day rolling HRT (mL/min)</t>
  </si>
  <si>
    <t>Effluent waste flow rate, measured based on HRT (mL/min)</t>
  </si>
  <si>
    <t>Waste Effluent Acetate (mg/L)</t>
  </si>
  <si>
    <t>Waste Effluent Propionate (mg/L)</t>
  </si>
  <si>
    <t>Waste Effluent Butyrate (mg/L)</t>
  </si>
  <si>
    <t>Waste Effluent Total VFA (mg COD/L)</t>
  </si>
  <si>
    <t>Waste Effluent Total COD (mg/L) Hach</t>
  </si>
  <si>
    <t>Waste Effluent Ammonia (mg/L)</t>
  </si>
  <si>
    <t>Waste Effluent Dissolved Inorganic Carbon (ppm C)</t>
  </si>
  <si>
    <t>Waste Effluent Dissolved Organic Carbon (ppm C)</t>
  </si>
  <si>
    <t>Gas Flow Out (mL/min at STP)</t>
  </si>
  <si>
    <t>Gas Composition (% CH4)</t>
  </si>
  <si>
    <t>Gas Composition (% H2)</t>
  </si>
  <si>
    <t>Gas Composition (% CO2)</t>
  </si>
  <si>
    <t>H2 breakthrough (mL/min)</t>
  </si>
  <si>
    <t>CO2 breakthrough (mL/min)</t>
  </si>
  <si>
    <t>R-TSS</t>
  </si>
  <si>
    <t>W-TSS</t>
  </si>
  <si>
    <t>R-VSS</t>
  </si>
  <si>
    <t>W-VSS</t>
  </si>
  <si>
    <t>SRT (reverse projected)</t>
  </si>
  <si>
    <t>HRT (reverse projected)</t>
  </si>
  <si>
    <t>mg COD/g</t>
  </si>
  <si>
    <t>mg COD/mL</t>
  </si>
  <si>
    <t>g/L</t>
  </si>
  <si>
    <t>mL/L</t>
  </si>
  <si>
    <t>mg COD/L</t>
  </si>
  <si>
    <t>Influent flow rate (mL/min)</t>
  </si>
  <si>
    <t>Yeast Extract</t>
  </si>
  <si>
    <t>Casitone</t>
  </si>
  <si>
    <t>Na-Acetate</t>
  </si>
  <si>
    <t>NaHCO3</t>
  </si>
  <si>
    <t>Methanol</t>
  </si>
  <si>
    <t>Using DSMZ 120 without NaHCO3</t>
  </si>
  <si>
    <t>Dropped Na-Ac out of DSMZ 120 media</t>
  </si>
  <si>
    <t>not sure, but it seems like something happened</t>
  </si>
  <si>
    <t>dropped yeast, casitone, and bicarb out of DSMZ 120</t>
  </si>
  <si>
    <t>still using DSMZ 120 with methanol</t>
  </si>
  <si>
    <t>8/29/24 or 8/30/2024</t>
  </si>
  <si>
    <t>dropped out methanol</t>
  </si>
  <si>
    <t>9/16/2024??</t>
  </si>
  <si>
    <t>put in Speece media + EDTA + cysteine + vitamins as in DSMZ 120</t>
  </si>
  <si>
    <t xml:space="preserve">put in modified wolfe + EDTA </t>
  </si>
  <si>
    <t>put in KILLER wolfe + EDTA + switch to HCl in trace elements</t>
  </si>
  <si>
    <t>went back to modified wolfe + EDTA and switched CuSO4 to CUCl2</t>
  </si>
  <si>
    <t>Feed Rate Actual</t>
  </si>
  <si>
    <t>H2 Feed Rate</t>
  </si>
  <si>
    <t>CO2 feed rate</t>
  </si>
  <si>
    <t>CH4 Theoretical</t>
  </si>
  <si>
    <t>CH4 prod actual</t>
  </si>
  <si>
    <t>CH4 mL/min</t>
  </si>
  <si>
    <t>Actual</t>
  </si>
  <si>
    <t>% increase</t>
  </si>
  <si>
    <t>approx day</t>
  </si>
  <si>
    <t>plotted</t>
  </si>
  <si>
    <t>for bars</t>
  </si>
  <si>
    <t>Day</t>
  </si>
  <si>
    <t>R TSS</t>
  </si>
  <si>
    <t>R VSS</t>
  </si>
  <si>
    <t>reactor body</t>
  </si>
  <si>
    <t>high range (&gt;1 RPM)</t>
  </si>
  <si>
    <t>m</t>
  </si>
  <si>
    <t>b</t>
  </si>
  <si>
    <t>Gas Composition</t>
  </si>
  <si>
    <t>mm</t>
  </si>
  <si>
    <t xml:space="preserve">VFA </t>
  </si>
  <si>
    <t>Media Influent Pump</t>
  </si>
  <si>
    <t>Low range (&lt;1 RPM)</t>
  </si>
  <si>
    <t>Media Changes</t>
  </si>
  <si>
    <t>SRT/HRT</t>
  </si>
  <si>
    <t>H2 Delivery</t>
  </si>
  <si>
    <t>CO2 Delivery</t>
  </si>
  <si>
    <t>Dissolved Inorganic Carbon (ppm C)</t>
  </si>
  <si>
    <t>Dissolved Organic Carbon (ppm C)</t>
  </si>
  <si>
    <t>Liquid Sampling</t>
  </si>
  <si>
    <t>Ammonia (mg/L)</t>
  </si>
  <si>
    <t>COD (mg/L) Hach test</t>
  </si>
  <si>
    <t>Biomass Sampling</t>
  </si>
  <si>
    <t>Reactor</t>
  </si>
  <si>
    <t>Waste</t>
  </si>
  <si>
    <t>Media</t>
  </si>
  <si>
    <t>Liquid In/Out</t>
  </si>
  <si>
    <t>Approx Days</t>
  </si>
  <si>
    <t>Days</t>
  </si>
  <si>
    <t>Collection Gas Flow Rate (mL/min)</t>
  </si>
  <si>
    <t>Specific CH4 Prod Rate (m3/m3rv/d) (0.45 L)</t>
  </si>
  <si>
    <t>Specific CH4 Prod Rate (m3/m3rv/d) (0.155 L)</t>
  </si>
  <si>
    <t>Specific CH4 prod rate (m3/m2.d)</t>
  </si>
  <si>
    <t>CH4 produced (m3/d)</t>
  </si>
  <si>
    <t>Reactor Vol</t>
  </si>
  <si>
    <t>Acetate (mg COD/L)</t>
  </si>
  <si>
    <t>Propionate (mg COD/L)</t>
  </si>
  <si>
    <t>Butyrate (mg COD/L)</t>
  </si>
  <si>
    <t>Total (mg COD/L)</t>
  </si>
  <si>
    <t>Date</t>
  </si>
  <si>
    <t>Setpoint (RPM)</t>
  </si>
  <si>
    <t>Rolling average (mL/min)</t>
  </si>
  <si>
    <t>Place-holder</t>
  </si>
  <si>
    <t>TSS</t>
  </si>
  <si>
    <t>VSS</t>
  </si>
  <si>
    <t>SRT</t>
  </si>
  <si>
    <t>HRT</t>
  </si>
  <si>
    <t>21-day rolling average (HRT)</t>
  </si>
  <si>
    <t>HRT Effluent flow rate (mL/min)</t>
  </si>
  <si>
    <t>21-day HRT flow rate (mL/min)</t>
  </si>
  <si>
    <t>Approx days</t>
  </si>
  <si>
    <t>H2 delivery rate (mL/min)</t>
  </si>
  <si>
    <t>CO2 delivery rate (mL/min)</t>
  </si>
  <si>
    <t>Media Influent Conc.</t>
  </si>
  <si>
    <t>st dev</t>
  </si>
  <si>
    <t>Waste Effluent Conc.</t>
  </si>
  <si>
    <t>Reactor Volume</t>
  </si>
  <si>
    <t>DSMZ v1: Using DSMZ 120 without NaHCO3</t>
  </si>
  <si>
    <t>0</t>
  </si>
  <si>
    <t>10AB</t>
  </si>
  <si>
    <t>Innoculum, anaerobic digestate biomass from municipal digester</t>
  </si>
  <si>
    <t>DSMZ v1.5: Using DSMZ 120 with NaHCO3</t>
  </si>
  <si>
    <t>38</t>
  </si>
  <si>
    <t>A34</t>
  </si>
  <si>
    <t>highest production rate to date in subsequent days</t>
  </si>
  <si>
    <t>DSMZ v2: Dropped Na-Ac out of DSMZ 120 media</t>
  </si>
  <si>
    <t>39</t>
  </si>
  <si>
    <t>B34</t>
  </si>
  <si>
    <t>methanogen inhibition due to lack of wasting (i.e. super high HRT), what microbes were hanging out here?</t>
  </si>
  <si>
    <t>DSMZ v3: dropped yeast, casitone, and bicarb out of DSMZ 120</t>
  </si>
  <si>
    <t>94</t>
  </si>
  <si>
    <t>C3</t>
  </si>
  <si>
    <t>before highest production rate in subsequent days ever observed, before cutting out influent COD</t>
  </si>
  <si>
    <t>DSMZ v4: dropped out methanol</t>
  </si>
  <si>
    <t/>
  </si>
  <si>
    <t>95</t>
  </si>
  <si>
    <t>D34</t>
  </si>
  <si>
    <t>after highest production rate in subsequent days ever observed, after cutting out influent COD</t>
  </si>
  <si>
    <t>Speece: put in Speece media + EDTA + cysteine + vitamins as in DSMZ 120</t>
  </si>
  <si>
    <t>E34</t>
  </si>
  <si>
    <t>before dropping yeast, casitone, and bicarb out of DSMZ 120, high CO2 in product gas</t>
  </si>
  <si>
    <t xml:space="preserve">Wolfe v1: put in modified wolfe + EDTA </t>
  </si>
  <si>
    <t>F34</t>
  </si>
  <si>
    <t>Wolfe v2: put in KILLER wolfe + EDTA + switch to HCl in trace elements</t>
  </si>
  <si>
    <t>G12</t>
  </si>
  <si>
    <t>after dropping methanol, best performance in DSMZ 120 before switching to Speece</t>
  </si>
  <si>
    <t>Wolfe v3: went back to modified wolfe + EDTA and switched CuSO4 to CUCl2</t>
  </si>
  <si>
    <t>G3</t>
  </si>
  <si>
    <t>Wolfe v4: increased EDTA conc to 0.3 g/L in Wolfe to try to reduce mineral precipitation</t>
  </si>
  <si>
    <t>H34</t>
  </si>
  <si>
    <t>98% methane, modified wolfe + EDTA , best performance before adding KILLER media</t>
  </si>
  <si>
    <t>I34</t>
  </si>
  <si>
    <t>butyrate production in reactor, major failure in CH4 production (10%)</t>
  </si>
  <si>
    <t>J12</t>
  </si>
  <si>
    <t>recovery, 93% ch4, extracted for analysis on recovery</t>
  </si>
  <si>
    <t>J34</t>
  </si>
  <si>
    <t>K12</t>
  </si>
  <si>
    <t>1 week before transitioning to biofilm-only sampling</t>
  </si>
  <si>
    <t>L12</t>
  </si>
  <si>
    <t>first biofilm-only sample, first direct biofilm sample</t>
  </si>
  <si>
    <t>M12</t>
  </si>
  <si>
    <t>extracted because there was good time spacing between this and other samples</t>
  </si>
  <si>
    <t>N12</t>
  </si>
  <si>
    <t>fluffy biofilm, mostly located on underside of membranes</t>
  </si>
  <si>
    <t>P12</t>
  </si>
  <si>
    <t>very large biofilm growth between this and 1/7/25 sampling date, represents doubling of feed rate</t>
  </si>
  <si>
    <t>281</t>
  </si>
  <si>
    <t>Min SRT Calcs for GAME</t>
  </si>
  <si>
    <t>Governing Equation</t>
  </si>
  <si>
    <t>[Ɵₓmin]lim = 1/(Yq&lt;hat&gt; - b)</t>
  </si>
  <si>
    <t>Inoculation Date</t>
  </si>
  <si>
    <t>Parameter name &amp; description</t>
  </si>
  <si>
    <t>Parameter Symbol</t>
  </si>
  <si>
    <t>Value</t>
  </si>
  <si>
    <t>Unit</t>
  </si>
  <si>
    <t>Source</t>
  </si>
  <si>
    <t>SRT=V*Cd/Qout*Cout</t>
  </si>
  <si>
    <t>yield coefficient, amount of biomass produced per unit substrate provided</t>
  </si>
  <si>
    <t>Y</t>
  </si>
  <si>
    <t>g VSS/g COD</t>
  </si>
  <si>
    <t xml:space="preserve"> "Environmental Biotechnology: Principles and Applications" by Bruce E. Rittmann and Perry L. McCarty (2001)</t>
  </si>
  <si>
    <t>mL</t>
  </si>
  <si>
    <t>maximum specific substrate utilization rate</t>
  </si>
  <si>
    <t>q&lt;hat&gt;</t>
  </si>
  <si>
    <t>g COD/(g VSS.day)</t>
  </si>
  <si>
    <t>V</t>
  </si>
  <si>
    <t>digester volume</t>
  </si>
  <si>
    <t>decay coefficient, how fast these buggers die</t>
  </si>
  <si>
    <t>1/d</t>
  </si>
  <si>
    <t>Cd</t>
  </si>
  <si>
    <t>solids conc</t>
  </si>
  <si>
    <t>d</t>
  </si>
  <si>
    <t>Limiting SRT, washout for SRT below this threshold</t>
  </si>
  <si>
    <t>[Ɵₓmin]lim</t>
  </si>
  <si>
    <t>days</t>
  </si>
  <si>
    <t>Qout</t>
  </si>
  <si>
    <t>flow out</t>
  </si>
  <si>
    <t>Smin</t>
  </si>
  <si>
    <t>Cout</t>
  </si>
  <si>
    <t>solids conc in effluent</t>
  </si>
  <si>
    <t>Reactor Volume (mL)</t>
  </si>
  <si>
    <t>Volume Sampled (mL)</t>
  </si>
  <si>
    <t>Total Volume (mL)</t>
  </si>
  <si>
    <t>Av. Cd Wasted, Cout (mg/L)</t>
  </si>
  <si>
    <t>Time Elapsed since last measurement (d)</t>
  </si>
  <si>
    <t>Av Qout (mL/d)</t>
  </si>
  <si>
    <t>Instantaneous SRT (d)</t>
  </si>
  <si>
    <t>HRT (d)</t>
  </si>
  <si>
    <t>Rolling Average HRT (d), 21-day</t>
  </si>
  <si>
    <t>Effluent flow rate (mL/min)</t>
  </si>
  <si>
    <t>Rolling average effluent flow rate (mL/min)</t>
  </si>
  <si>
    <t>Days Since Inoculation</t>
  </si>
  <si>
    <t>R</t>
  </si>
  <si>
    <t>W</t>
  </si>
  <si>
    <t>WW</t>
  </si>
  <si>
    <t>removed date 9/9/24 9:53 to see if it helps smooth HRT dataset</t>
  </si>
  <si>
    <t>removed date 11/4/24 12:47 to see if it helps smooth HRT dataset</t>
  </si>
  <si>
    <t>DNA Processing</t>
  </si>
  <si>
    <t>RNA Processing</t>
  </si>
  <si>
    <t>Dates of Interest</t>
  </si>
  <si>
    <t>Sampling Date/Time</t>
  </si>
  <si>
    <t>Notes/Comments</t>
  </si>
  <si>
    <t>Operating Day</t>
  </si>
  <si>
    <t>Analysis Date</t>
  </si>
  <si>
    <t>DNA/RNA/both</t>
  </si>
  <si>
    <t>Number of Samples Taken (DNA, RNA)</t>
  </si>
  <si>
    <t>Number of Samples Remaining (DNA, RNA)</t>
  </si>
  <si>
    <t>DNA Extracted?</t>
  </si>
  <si>
    <t>Extraction Date</t>
  </si>
  <si>
    <t>Replicates</t>
  </si>
  <si>
    <t>DNA Storage Location</t>
  </si>
  <si>
    <t>RNA Extracted?</t>
  </si>
  <si>
    <t>RNA Storage Location</t>
  </si>
  <si>
    <t>MEDIA RELATED</t>
  </si>
  <si>
    <t>PERFORMANCE RELATED</t>
  </si>
  <si>
    <t>1</t>
  </si>
  <si>
    <t>5-10a</t>
  </si>
  <si>
    <t>inoculum (from old bioreactor)</t>
  </si>
  <si>
    <t>Reactor body liquid sample</t>
  </si>
  <si>
    <t>yes</t>
  </si>
  <si>
    <t>5-10AB</t>
  </si>
  <si>
    <t>-20C freezer, box</t>
  </si>
  <si>
    <t>methanogen inhibition due to lack of wasting, what microbes were hanging out here?</t>
  </si>
  <si>
    <t>5-10b</t>
  </si>
  <si>
    <t>Waste liquid sample</t>
  </si>
  <si>
    <t>52</t>
  </si>
  <si>
    <t>62-94</t>
  </si>
  <si>
    <t>7/15/24 to 8/16/24</t>
  </si>
  <si>
    <t>lots of CO2 in product gas (methanol?)</t>
  </si>
  <si>
    <t>DNA</t>
  </si>
  <si>
    <t>A1, A2, A3, A4</t>
  </si>
  <si>
    <t>104</t>
  </si>
  <si>
    <t>no liquid wasting, acetate accumulation (NOT FOUND!)</t>
  </si>
  <si>
    <t>107</t>
  </si>
  <si>
    <t>x</t>
  </si>
  <si>
    <t>no liquid wasting, acetate accumulation, stagnation phase because forgot to put influent pump</t>
  </si>
  <si>
    <t>B1, B2, B3, B4</t>
  </si>
  <si>
    <t>112</t>
  </si>
  <si>
    <t>118-124</t>
  </si>
  <si>
    <t>9/9/24 to 9/16/24</t>
  </si>
  <si>
    <t>&gt;93% methane in product gas, Speece, &lt;7% CO2</t>
  </si>
  <si>
    <t>NOT DECANTED, may be damaged</t>
  </si>
  <si>
    <t>129</t>
  </si>
  <si>
    <t>138-145</t>
  </si>
  <si>
    <t>9/29/24 to 10/6/24</t>
  </si>
  <si>
    <t>&gt;97% methane, Wolfe, &lt;2% CO2</t>
  </si>
  <si>
    <t>C1, C2, C3, C4</t>
  </si>
  <si>
    <t>146</t>
  </si>
  <si>
    <t>10/7/24 to 10/10/24</t>
  </si>
  <si>
    <t>D1, D2, D3, D4</t>
  </si>
  <si>
    <t>both</t>
  </si>
  <si>
    <t>5 each</t>
  </si>
  <si>
    <t>1, 5</t>
  </si>
  <si>
    <t>E1, E2, E3, E4</t>
  </si>
  <si>
    <t>150</t>
  </si>
  <si>
    <t>5, 5</t>
  </si>
  <si>
    <t>F1, F2, F3, F4</t>
  </si>
  <si>
    <t>G1, G2, G3, G4</t>
  </si>
  <si>
    <t>methanol free for 2-3 weeks</t>
  </si>
  <si>
    <t xml:space="preserve">speece </t>
  </si>
  <si>
    <t>H1, H2, H3, H4</t>
  </si>
  <si>
    <t>butyrate production, massive reduction in CH4 production after KILLER Wolfe fuck-up</t>
  </si>
  <si>
    <t>I1, I2, I3, I4</t>
  </si>
  <si>
    <t>J1, J2, J3, J</t>
  </si>
  <si>
    <t>liquid sample</t>
  </si>
  <si>
    <t>interested</t>
  </si>
  <si>
    <t>biomass sample very small, so combined 2 replicate into 1 twice to try to extract more DNA</t>
  </si>
  <si>
    <t>K1, K2</t>
  </si>
  <si>
    <t>Interested</t>
  </si>
  <si>
    <t>biofilm</t>
  </si>
  <si>
    <t>L1, L2</t>
  </si>
  <si>
    <t>M1, M2</t>
  </si>
  <si>
    <t>N1, N2</t>
  </si>
  <si>
    <t>6 each</t>
  </si>
  <si>
    <t>6, 6</t>
  </si>
  <si>
    <t>4, 6</t>
  </si>
  <si>
    <t>P1, P2</t>
  </si>
  <si>
    <t>Vol (uL)</t>
  </si>
  <si>
    <t>Conc (ug)</t>
  </si>
  <si>
    <t>First Dilution</t>
  </si>
  <si>
    <t>Second Dilution</t>
  </si>
  <si>
    <t>Extracted DNA ID</t>
  </si>
  <si>
    <t>Sample Date</t>
  </si>
  <si>
    <t>PCR Date</t>
  </si>
  <si>
    <t>Concentration</t>
  </si>
  <si>
    <t>A260/A280</t>
  </si>
  <si>
    <t>A260</t>
  </si>
  <si>
    <t>A230</t>
  </si>
  <si>
    <t>A280</t>
  </si>
  <si>
    <t>A260/A230</t>
  </si>
  <si>
    <t>bkgrnd</t>
  </si>
  <si>
    <t>Extracted DNA (uL)</t>
  </si>
  <si>
    <t>DES water (uL)</t>
  </si>
  <si>
    <t>-</t>
  </si>
  <si>
    <t>A1</t>
  </si>
  <si>
    <t>A2</t>
  </si>
  <si>
    <t>B1</t>
  </si>
  <si>
    <t>B2</t>
  </si>
  <si>
    <t>C1</t>
  </si>
  <si>
    <t>C2</t>
  </si>
  <si>
    <t>D1</t>
  </si>
  <si>
    <t>D2</t>
  </si>
  <si>
    <t>E1</t>
  </si>
  <si>
    <t>E2</t>
  </si>
  <si>
    <t>F1</t>
  </si>
  <si>
    <t>F2</t>
  </si>
  <si>
    <t>G1</t>
  </si>
  <si>
    <t>H1</t>
  </si>
  <si>
    <t>I1</t>
  </si>
  <si>
    <t>I2</t>
  </si>
  <si>
    <t>J1</t>
  </si>
  <si>
    <t>J2</t>
  </si>
  <si>
    <t>A3</t>
  </si>
  <si>
    <t>2/20/2025 failed, 3/6/25 success</t>
  </si>
  <si>
    <t>A4</t>
  </si>
  <si>
    <t>B3</t>
  </si>
  <si>
    <t>B4</t>
  </si>
  <si>
    <t>D3</t>
  </si>
  <si>
    <t>D4</t>
  </si>
  <si>
    <t>und</t>
  </si>
  <si>
    <t>E3</t>
  </si>
  <si>
    <t>E4</t>
  </si>
  <si>
    <t>F3</t>
  </si>
  <si>
    <t>2/20/2025 failed, 3/6/25 failed</t>
  </si>
  <si>
    <t>F4</t>
  </si>
  <si>
    <t>G4</t>
  </si>
  <si>
    <t>H3</t>
  </si>
  <si>
    <t>H4</t>
  </si>
  <si>
    <t>udn</t>
  </si>
  <si>
    <t>I3</t>
  </si>
  <si>
    <t>I4</t>
  </si>
  <si>
    <t>J3</t>
  </si>
  <si>
    <t>J4</t>
  </si>
  <si>
    <t>K1</t>
  </si>
  <si>
    <t>K2</t>
  </si>
  <si>
    <t>L1</t>
  </si>
  <si>
    <t>L2</t>
  </si>
  <si>
    <t>M1</t>
  </si>
  <si>
    <t>M2</t>
  </si>
  <si>
    <t>N1</t>
  </si>
  <si>
    <t>N2</t>
  </si>
  <si>
    <t>P1</t>
  </si>
  <si>
    <t>P2</t>
  </si>
  <si>
    <t>Blank</t>
  </si>
  <si>
    <t>none</t>
  </si>
  <si>
    <t>Consumption</t>
  </si>
  <si>
    <t>Date/Time</t>
  </si>
  <si>
    <t>Dilution</t>
  </si>
  <si>
    <t>Average (mg/L)</t>
  </si>
  <si>
    <t>St. dev</t>
  </si>
  <si>
    <t>this is the new media, HCl Wolfe, old media was something else</t>
  </si>
  <si>
    <t>Antoine equation</t>
  </si>
  <si>
    <t>log10(P)=A-B/(T+C), P = 10^(A-B/(T+C))</t>
  </si>
  <si>
    <t>Pressure Conversions</t>
  </si>
  <si>
    <t>P</t>
  </si>
  <si>
    <t xml:space="preserve">vapor pressure </t>
  </si>
  <si>
    <t>mmHg</t>
  </si>
  <si>
    <t>bar</t>
  </si>
  <si>
    <t>T</t>
  </si>
  <si>
    <t>temperature</t>
  </si>
  <si>
    <t>C</t>
  </si>
  <si>
    <t>mmhg</t>
  </si>
  <si>
    <t>A</t>
  </si>
  <si>
    <t>constant</t>
  </si>
  <si>
    <t>inhg</t>
  </si>
  <si>
    <t>B</t>
  </si>
  <si>
    <t>atm</t>
  </si>
  <si>
    <t>psi</t>
  </si>
  <si>
    <t>reactor volume</t>
  </si>
  <si>
    <t>L</t>
  </si>
  <si>
    <t>For 5/14-7/11, CO2 was delivered via pressure gauges, not via a flow controller, flow rate of delivery is approximate based on a curve measured</t>
  </si>
  <si>
    <t>Start Date/Time</t>
  </si>
  <si>
    <t>End Date/Time</t>
  </si>
  <si>
    <t>Setpoint (SCCM)</t>
  </si>
  <si>
    <t>Time Elapsed (min)</t>
  </si>
  <si>
    <t>CO2 delivered (m3/m3rv.d)</t>
  </si>
  <si>
    <t>CO2 delivered (m3)</t>
  </si>
  <si>
    <t>Cumulative CO2 delivered (m3)</t>
  </si>
  <si>
    <t>?</t>
  </si>
  <si>
    <t>chose this arbitrary, need to determine actual date of switch</t>
  </si>
  <si>
    <t>was there a flush here??</t>
  </si>
  <si>
    <t>all off (ASSUMED 15 minutes of down time for flushing, not recorded)</t>
  </si>
  <si>
    <t xml:space="preserve">W </t>
  </si>
  <si>
    <t>W+WW</t>
  </si>
  <si>
    <t>Screen</t>
  </si>
  <si>
    <t>flushing</t>
  </si>
  <si>
    <t>No flushing</t>
  </si>
  <si>
    <t>start SRT control</t>
  </si>
  <si>
    <t>1089</t>
  </si>
  <si>
    <t>TONS of MICROBIAL GROWTH</t>
  </si>
  <si>
    <t>874</t>
  </si>
  <si>
    <t>waste taken from WW bottle</t>
  </si>
  <si>
    <t>increased our mixing rate back to level 10-12</t>
  </si>
  <si>
    <t>sample out of the reactor was chunky, sample TSS/VSS right after flushing</t>
  </si>
  <si>
    <t>VSS missing because 550 muffle furnace broken this day</t>
  </si>
  <si>
    <t>mol H2 to mg COD</t>
  </si>
  <si>
    <t>Days since innoc</t>
  </si>
  <si>
    <t>to 0C</t>
  </si>
  <si>
    <t>not sure if h2 was changed to 1 before or at this time</t>
  </si>
  <si>
    <t>changed T for STP on 0-10SCCM MFC from 25C to 0C</t>
  </si>
  <si>
    <t xml:space="preserve"> </t>
  </si>
  <si>
    <t>Butyrate to COD</t>
  </si>
  <si>
    <t>REACTOR</t>
  </si>
  <si>
    <t>Detection Limit (mg/L)</t>
  </si>
  <si>
    <t>WASTE</t>
  </si>
  <si>
    <t>MEDIA</t>
  </si>
  <si>
    <t>Conversion factors</t>
  </si>
  <si>
    <t>Acetate to COD</t>
  </si>
  <si>
    <t>Raw Acetate</t>
  </si>
  <si>
    <t>Raw Propionate</t>
  </si>
  <si>
    <t>Raw Butyrate</t>
  </si>
  <si>
    <t>Av</t>
  </si>
  <si>
    <t>Sample ID in location</t>
  </si>
  <si>
    <t>Propionate to COD</t>
  </si>
  <si>
    <t>W_01</t>
  </si>
  <si>
    <t>M_01</t>
  </si>
  <si>
    <t>Media sample</t>
  </si>
  <si>
    <t>W_03</t>
  </si>
  <si>
    <t>M_02</t>
  </si>
  <si>
    <t>W_o4</t>
  </si>
  <si>
    <t>W_05</t>
  </si>
  <si>
    <t>New media installed (modified Wolfe), this is old media</t>
  </si>
  <si>
    <t>changed sampling line to be separated from influent line</t>
  </si>
  <si>
    <t>acetate</t>
  </si>
  <si>
    <t>propionate</t>
  </si>
  <si>
    <t>R1</t>
  </si>
  <si>
    <t>R2</t>
  </si>
  <si>
    <t>R3</t>
  </si>
  <si>
    <t>R4</t>
  </si>
  <si>
    <t>R5</t>
  </si>
  <si>
    <t>Started measuring Butyrate, started low range measurements too</t>
  </si>
  <si>
    <t>COD conversions</t>
  </si>
  <si>
    <t>methanol to COD</t>
  </si>
  <si>
    <t>mg COD/mL methanol</t>
  </si>
  <si>
    <t>from internet</t>
  </si>
  <si>
    <t>casitone</t>
  </si>
  <si>
    <t>mg COD/g casiton</t>
  </si>
  <si>
    <t>from Hach test</t>
  </si>
  <si>
    <t>yeast extract</t>
  </si>
  <si>
    <t>mg COD/g yeast extract</t>
  </si>
  <si>
    <t>pre methanol stuff</t>
  </si>
  <si>
    <t>pre-methanol stuff</t>
  </si>
  <si>
    <t xml:space="preserve">mg COD </t>
  </si>
  <si>
    <t>g</t>
  </si>
  <si>
    <t>Media COD sources</t>
  </si>
  <si>
    <t>methanol</t>
  </si>
  <si>
    <t>mL methanol</t>
  </si>
  <si>
    <t>mg COD</t>
  </si>
  <si>
    <t>L media</t>
  </si>
  <si>
    <t>L methanol</t>
  </si>
  <si>
    <t>g cas</t>
  </si>
  <si>
    <t>note: Wolfe media (inorganic acid) added this day</t>
  </si>
  <si>
    <t>using Emily's vials? most likely start date</t>
  </si>
  <si>
    <t>back to using our vials</t>
  </si>
  <si>
    <t>dilution?</t>
  </si>
  <si>
    <t>DOC</t>
  </si>
  <si>
    <t>IC</t>
  </si>
  <si>
    <t>Stdev</t>
  </si>
  <si>
    <t>R_01</t>
  </si>
  <si>
    <t>R_02</t>
  </si>
  <si>
    <t>W_02</t>
  </si>
  <si>
    <t>Effluent (mL)</t>
  </si>
  <si>
    <t>Influent Flow Rate (RPM)</t>
  </si>
  <si>
    <t>Days since inoculation</t>
  </si>
  <si>
    <t>Waste Bucket</t>
  </si>
  <si>
    <t>Nutrient Soln.</t>
  </si>
  <si>
    <t>Bicarb.</t>
  </si>
  <si>
    <t>Duration</t>
  </si>
  <si>
    <t>Start Day</t>
  </si>
  <si>
    <t>End Day</t>
  </si>
  <si>
    <t>Phase</t>
  </si>
  <si>
    <t>Lag Phase</t>
  </si>
  <si>
    <t>Poor CO2 control - Pre-CO2 MFC installed</t>
  </si>
  <si>
    <t>Good CO2 control - Post-CO2 MFC installed</t>
  </si>
  <si>
    <t>High influent COD - Media unmodified</t>
  </si>
  <si>
    <t>Low influent COD - Removed NaHCO3, casitone, yeast extract, and resazurin from media</t>
  </si>
  <si>
    <t>Acetoclastic Period</t>
  </si>
  <si>
    <t>Linear Curve Flow Rate (mL/min)</t>
  </si>
  <si>
    <t>Scale Flow Rate (mL/min)</t>
  </si>
  <si>
    <t>Pumping Rates based on scales</t>
  </si>
  <si>
    <t>RPM</t>
  </si>
  <si>
    <t>Rate (mL/min)</t>
  </si>
  <si>
    <t>scale m</t>
  </si>
  <si>
    <t>scale b</t>
  </si>
  <si>
    <t>Media Influent Flow Rate (mL/min) based on scales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</si>
</sst>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.0_);_(* \(#,##0.0\);_(* &quot;-&quot;??_);_(@_)"/>
    <numFmt numFmtId="165" formatCode="0.0"/>
    <numFmt numFmtId="166" formatCode="m/d/yy\ h:mm;@"/>
    <numFmt numFmtId="167" formatCode="0.000"/>
    <numFmt numFmtId="168" formatCode="_(* #,##0.0000_);_(* \(#,##0.0000\);_(* &quot;-&quot;?_);_(@_)"/>
    <numFmt numFmtId="169" formatCode="0.0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sz val="11"/>
      <color rgb="FF444444"/>
      <name val="Aptos Narrow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42424"/>
      <name val="Aptos Narrow"/>
      <family val="2"/>
    </font>
    <font>
      <b/>
      <sz val="11"/>
      <color rgb="FF000000"/>
      <name val="Aptos Narrow"/>
      <family val="2"/>
    </font>
    <font>
      <b/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wrapText="1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0" xfId="0" applyFont="1"/>
    <xf numFmtId="0" fontId="4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5" fillId="0" borderId="0" xfId="0" applyFont="1"/>
    <xf numFmtId="14" fontId="5" fillId="0" borderId="0" xfId="0" applyNumberFormat="1" applyFont="1"/>
    <xf numFmtId="164" fontId="3" fillId="0" borderId="0" xfId="1" applyNumberFormat="1" applyFont="1"/>
    <xf numFmtId="22" fontId="7" fillId="0" borderId="0" xfId="0" applyNumberFormat="1" applyFont="1"/>
    <xf numFmtId="0" fontId="7" fillId="0" borderId="0" xfId="0" applyFont="1"/>
    <xf numFmtId="0" fontId="7" fillId="0" borderId="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14" fontId="7" fillId="0" borderId="0" xfId="0" applyNumberFormat="1" applyFont="1"/>
    <xf numFmtId="2" fontId="0" fillId="0" borderId="0" xfId="0" applyNumberFormat="1"/>
    <xf numFmtId="165" fontId="0" fillId="0" borderId="0" xfId="0" applyNumberFormat="1"/>
    <xf numFmtId="22" fontId="1" fillId="0" borderId="0" xfId="0" applyNumberFormat="1" applyFont="1"/>
    <xf numFmtId="43" fontId="3" fillId="0" borderId="0" xfId="0" applyNumberFormat="1" applyFont="1"/>
    <xf numFmtId="43" fontId="0" fillId="0" borderId="0" xfId="0" applyNumberFormat="1"/>
    <xf numFmtId="22" fontId="8" fillId="0" borderId="0" xfId="0" applyNumberFormat="1" applyFont="1"/>
    <xf numFmtId="166" fontId="0" fillId="0" borderId="0" xfId="0" applyNumberFormat="1"/>
    <xf numFmtId="1" fontId="0" fillId="0" borderId="0" xfId="0" applyNumberFormat="1"/>
    <xf numFmtId="0" fontId="9" fillId="0" borderId="0" xfId="0" applyFont="1"/>
    <xf numFmtId="22" fontId="0" fillId="2" borderId="0" xfId="0" applyNumberFormat="1" applyFill="1"/>
    <xf numFmtId="0" fontId="1" fillId="0" borderId="8" xfId="0" applyFont="1" applyBorder="1"/>
    <xf numFmtId="0" fontId="1" fillId="0" borderId="14" xfId="0" applyFont="1" applyBorder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167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11" fontId="0" fillId="0" borderId="0" xfId="0" applyNumberFormat="1"/>
    <xf numFmtId="0" fontId="13" fillId="0" borderId="0" xfId="0" applyFont="1"/>
    <xf numFmtId="0" fontId="0" fillId="2" borderId="8" xfId="0" applyFill="1" applyBorder="1" applyAlignment="1">
      <alignment horizontal="center"/>
    </xf>
    <xf numFmtId="0" fontId="14" fillId="0" borderId="0" xfId="0" applyFont="1"/>
    <xf numFmtId="22" fontId="4" fillId="0" borderId="0" xfId="0" applyNumberFormat="1" applyFont="1"/>
    <xf numFmtId="22" fontId="5" fillId="0" borderId="0" xfId="0" applyNumberFormat="1" applyFont="1"/>
    <xf numFmtId="0" fontId="15" fillId="0" borderId="0" xfId="0" applyFont="1"/>
    <xf numFmtId="165" fontId="0" fillId="2" borderId="0" xfId="0" applyNumberFormat="1" applyFill="1"/>
    <xf numFmtId="0" fontId="16" fillId="0" borderId="0" xfId="0" applyFont="1"/>
    <xf numFmtId="0" fontId="0" fillId="2" borderId="0" xfId="0" applyFill="1"/>
    <xf numFmtId="165" fontId="0" fillId="3" borderId="0" xfId="0" applyNumberFormat="1" applyFill="1"/>
    <xf numFmtId="1" fontId="0" fillId="3" borderId="0" xfId="0" applyNumberFormat="1" applyFill="1"/>
    <xf numFmtId="0" fontId="0" fillId="3" borderId="0" xfId="0" applyFill="1"/>
    <xf numFmtId="22" fontId="0" fillId="2" borderId="5" xfId="0" applyNumberFormat="1" applyFill="1" applyBorder="1"/>
    <xf numFmtId="0" fontId="0" fillId="2" borderId="15" xfId="0" applyFill="1" applyBorder="1"/>
    <xf numFmtId="0" fontId="0" fillId="2" borderId="15" xfId="0" applyFill="1" applyBorder="1" applyAlignment="1">
      <alignment wrapText="1"/>
    </xf>
    <xf numFmtId="22" fontId="7" fillId="0" borderId="5" xfId="0" applyNumberFormat="1" applyFont="1" applyBorder="1"/>
    <xf numFmtId="22" fontId="7" fillId="4" borderId="5" xfId="0" applyNumberFormat="1" applyFont="1" applyFill="1" applyBorder="1"/>
    <xf numFmtId="22" fontId="10" fillId="0" borderId="5" xfId="0" applyNumberFormat="1" applyFont="1" applyBorder="1"/>
    <xf numFmtId="0" fontId="1" fillId="0" borderId="0" xfId="0" applyFont="1" applyAlignment="1">
      <alignment horizontal="left"/>
    </xf>
    <xf numFmtId="0" fontId="0" fillId="0" borderId="0" xfId="0" applyAlignment="1">
      <alignment horizontal="left" wrapText="1"/>
    </xf>
    <xf numFmtId="49" fontId="1" fillId="0" borderId="0" xfId="0" applyNumberFormat="1" applyFont="1" applyAlignment="1">
      <alignment horizontal="center" wrapText="1"/>
    </xf>
    <xf numFmtId="0" fontId="14" fillId="0" borderId="0" xfId="0" applyFont="1" applyAlignment="1">
      <alignment horizontal="left"/>
    </xf>
    <xf numFmtId="49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22" fontId="0" fillId="0" borderId="5" xfId="0" applyNumberFormat="1" applyBorder="1"/>
    <xf numFmtId="22" fontId="3" fillId="0" borderId="0" xfId="0" applyNumberFormat="1" applyFont="1"/>
    <xf numFmtId="164" fontId="3" fillId="0" borderId="0" xfId="1" applyNumberFormat="1" applyFont="1" applyBorder="1"/>
    <xf numFmtId="167" fontId="3" fillId="0" borderId="0" xfId="0" applyNumberFormat="1" applyFont="1"/>
    <xf numFmtId="14" fontId="0" fillId="0" borderId="5" xfId="0" applyNumberFormat="1" applyBorder="1"/>
    <xf numFmtId="22" fontId="0" fillId="0" borderId="16" xfId="0" applyNumberFormat="1" applyBorder="1"/>
    <xf numFmtId="0" fontId="0" fillId="0" borderId="0" xfId="0" applyAlignment="1">
      <alignment horizontal="left"/>
    </xf>
    <xf numFmtId="0" fontId="17" fillId="0" borderId="0" xfId="0" applyFont="1"/>
    <xf numFmtId="0" fontId="0" fillId="0" borderId="5" xfId="0" applyBorder="1" applyAlignment="1">
      <alignment horizontal="center"/>
    </xf>
    <xf numFmtId="0" fontId="0" fillId="0" borderId="5" xfId="0" applyBorder="1"/>
    <xf numFmtId="14" fontId="0" fillId="0" borderId="5" xfId="0" applyNumberFormat="1" applyBorder="1" applyAlignment="1">
      <alignment horizontal="center"/>
    </xf>
    <xf numFmtId="0" fontId="4" fillId="0" borderId="0" xfId="0" quotePrefix="1" applyFont="1"/>
    <xf numFmtId="2" fontId="4" fillId="0" borderId="5" xfId="0" applyNumberFormat="1" applyFont="1" applyBorder="1"/>
    <xf numFmtId="2" fontId="0" fillId="0" borderId="5" xfId="0" applyNumberFormat="1" applyBorder="1"/>
    <xf numFmtId="0" fontId="0" fillId="0" borderId="6" xfId="0" applyBorder="1" applyAlignment="1">
      <alignment horizontal="center"/>
    </xf>
    <xf numFmtId="16" fontId="0" fillId="0" borderId="0" xfId="0" applyNumberFormat="1"/>
    <xf numFmtId="2" fontId="0" fillId="0" borderId="0" xfId="0" applyNumberFormat="1" applyAlignment="1">
      <alignment horizontal="center" wrapText="1"/>
    </xf>
    <xf numFmtId="167" fontId="0" fillId="0" borderId="0" xfId="0" applyNumberFormat="1" applyAlignment="1">
      <alignment horizontal="center"/>
    </xf>
    <xf numFmtId="9" fontId="0" fillId="0" borderId="0" xfId="2" applyFont="1"/>
    <xf numFmtId="22" fontId="16" fillId="0" borderId="0" xfId="0" applyNumberFormat="1" applyFont="1"/>
    <xf numFmtId="0" fontId="16" fillId="0" borderId="0" xfId="0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wrapText="1"/>
    </xf>
    <xf numFmtId="169" fontId="20" fillId="0" borderId="0" xfId="0" applyNumberFormat="1" applyFont="1"/>
    <xf numFmtId="2" fontId="1" fillId="0" borderId="0" xfId="0" applyNumberFormat="1" applyFont="1"/>
    <xf numFmtId="2" fontId="3" fillId="0" borderId="0" xfId="0" applyNumberFormat="1" applyFont="1" applyAlignment="1">
      <alignment horizontal="center"/>
    </xf>
    <xf numFmtId="0" fontId="10" fillId="0" borderId="0" xfId="0" applyFont="1"/>
    <xf numFmtId="1" fontId="3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9" fontId="3" fillId="0" borderId="0" xfId="0" applyNumberFormat="1" applyFont="1" applyAlignment="1">
      <alignment horizontal="center"/>
    </xf>
    <xf numFmtId="164" fontId="3" fillId="0" borderId="0" xfId="1" applyNumberFormat="1" applyFont="1" applyFill="1" applyBorder="1"/>
    <xf numFmtId="168" fontId="3" fillId="0" borderId="0" xfId="0" applyNumberFormat="1" applyFont="1"/>
    <xf numFmtId="0" fontId="19" fillId="0" borderId="0" xfId="0" applyFont="1"/>
    <xf numFmtId="10" fontId="0" fillId="0" borderId="0" xfId="0" applyNumberFormat="1" applyAlignment="1">
      <alignment horizontal="center"/>
    </xf>
    <xf numFmtId="14" fontId="6" fillId="0" borderId="0" xfId="0" applyNumberFormat="1" applyFont="1"/>
    <xf numFmtId="11" fontId="0" fillId="0" borderId="0" xfId="0" applyNumberFormat="1" applyAlignment="1">
      <alignment horizontal="center"/>
    </xf>
    <xf numFmtId="22" fontId="10" fillId="0" borderId="0" xfId="0" applyNumberFormat="1" applyFont="1"/>
    <xf numFmtId="165" fontId="0" fillId="0" borderId="0" xfId="0" applyNumberFormat="1" applyAlignment="1">
      <alignment horizontal="center"/>
    </xf>
    <xf numFmtId="2" fontId="0" fillId="0" borderId="0" xfId="1" applyNumberFormat="1" applyFont="1"/>
    <xf numFmtId="166" fontId="0" fillId="2" borderId="0" xfId="0" applyNumberFormat="1" applyFill="1"/>
    <xf numFmtId="0" fontId="0" fillId="0" borderId="15" xfId="0" applyBorder="1"/>
    <xf numFmtId="22" fontId="7" fillId="0" borderId="17" xfId="0" applyNumberFormat="1" applyFont="1" applyBorder="1"/>
    <xf numFmtId="22" fontId="7" fillId="4" borderId="17" xfId="0" applyNumberFormat="1" applyFont="1" applyFill="1" applyBorder="1"/>
    <xf numFmtId="22" fontId="10" fillId="0" borderId="17" xfId="0" applyNumberFormat="1" applyFont="1" applyBorder="1"/>
    <xf numFmtId="22" fontId="7" fillId="0" borderId="12" xfId="0" applyNumberFormat="1" applyFont="1" applyBorder="1"/>
    <xf numFmtId="14" fontId="0" fillId="0" borderId="17" xfId="0" applyNumberFormat="1" applyBorder="1" applyAlignment="1">
      <alignment horizontal="center"/>
    </xf>
    <xf numFmtId="0" fontId="0" fillId="0" borderId="6" xfId="0" applyBorder="1"/>
    <xf numFmtId="0" fontId="9" fillId="0" borderId="0" xfId="0" applyFont="1" applyAlignment="1">
      <alignment wrapText="1"/>
    </xf>
    <xf numFmtId="14" fontId="20" fillId="0" borderId="0" xfId="0" applyNumberFormat="1" applyFont="1" applyAlignment="1">
      <alignment horizontal="center"/>
    </xf>
    <xf numFmtId="22" fontId="20" fillId="0" borderId="0" xfId="0" applyNumberFormat="1" applyFont="1"/>
    <xf numFmtId="0" fontId="21" fillId="0" borderId="0" xfId="0" applyFont="1"/>
    <xf numFmtId="0" fontId="21" fillId="0" borderId="0" xfId="0" applyFont="1" applyAlignment="1">
      <alignment wrapText="1"/>
    </xf>
    <xf numFmtId="0" fontId="0" fillId="0" borderId="5" xfId="0" applyBorder="1" applyAlignment="1">
      <alignment horizontal="center"/>
    </xf>
    <xf numFmtId="0" fontId="0" fillId="0" borderId="15" xfId="0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D966"/>
      <color rgb="FFA5A5A5"/>
      <color rgb="FFC78E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MBfR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GC_TCD!$AA$2</c:f>
              <c:strCache>
                <c:ptCount val="1"/>
                <c:pt idx="0">
                  <c:v>RV 0.45 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GC_TCD!$G$8:$G$35</c:f>
              <c:numCache>
                <c:formatCode>_(* #,##0.0_);_(* \(#,##0.0\);_(* "-"??_);_(@_)</c:formatCode>
                <c:ptCount val="28"/>
                <c:pt idx="0">
                  <c:v>5.0000000002910383E-2</c:v>
                </c:pt>
                <c:pt idx="1">
                  <c:v>6.3888888886140194E-2</c:v>
                </c:pt>
                <c:pt idx="2">
                  <c:v>1.0090277777781012</c:v>
                </c:pt>
                <c:pt idx="3">
                  <c:v>2.1465277777751908</c:v>
                </c:pt>
                <c:pt idx="4">
                  <c:v>3.1027777777781012</c:v>
                </c:pt>
                <c:pt idx="5">
                  <c:v>6.0520833333357587</c:v>
                </c:pt>
                <c:pt idx="6">
                  <c:v>6.9798611111109494</c:v>
                </c:pt>
                <c:pt idx="7">
                  <c:v>7.859722222223354</c:v>
                </c:pt>
                <c:pt idx="8">
                  <c:v>9.9124999999985448</c:v>
                </c:pt>
                <c:pt idx="9">
                  <c:v>10.166666666664241</c:v>
                </c:pt>
                <c:pt idx="10">
                  <c:v>14.365972222221899</c:v>
                </c:pt>
                <c:pt idx="11">
                  <c:v>15.124305555553292</c:v>
                </c:pt>
                <c:pt idx="12">
                  <c:v>15.970833333332848</c:v>
                </c:pt>
                <c:pt idx="13">
                  <c:v>17.901388888887595</c:v>
                </c:pt>
                <c:pt idx="14">
                  <c:v>23.198611111110949</c:v>
                </c:pt>
                <c:pt idx="15">
                  <c:v>23.995138888887595</c:v>
                </c:pt>
                <c:pt idx="16">
                  <c:v>26.858333333329938</c:v>
                </c:pt>
                <c:pt idx="17">
                  <c:v>27.945833333331393</c:v>
                </c:pt>
                <c:pt idx="18">
                  <c:v>29.957638888889051</c:v>
                </c:pt>
                <c:pt idx="19">
                  <c:v>33.884027777778101</c:v>
                </c:pt>
                <c:pt idx="20">
                  <c:v>37.874305555553292</c:v>
                </c:pt>
                <c:pt idx="21">
                  <c:v>40.355555555557657</c:v>
                </c:pt>
                <c:pt idx="22">
                  <c:v>41.909027777779556</c:v>
                </c:pt>
                <c:pt idx="23">
                  <c:v>43.179166666668607</c:v>
                </c:pt>
                <c:pt idx="24">
                  <c:v>44.253472222218988</c:v>
                </c:pt>
                <c:pt idx="25">
                  <c:v>44.922222222223354</c:v>
                </c:pt>
                <c:pt idx="26">
                  <c:v>49.079166666662786</c:v>
                </c:pt>
                <c:pt idx="27">
                  <c:v>51.94999999999709</c:v>
                </c:pt>
              </c:numCache>
            </c:numRef>
          </c:xVal>
          <c:yVal>
            <c:numRef>
              <c:f>GC_TCD!$AA$8:$AA$35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9.2232258072889289E-2</c:v>
                </c:pt>
                <c:pt idx="6">
                  <c:v>0.21125560486478087</c:v>
                </c:pt>
                <c:pt idx="7">
                  <c:v>0.22294008479318983</c:v>
                </c:pt>
                <c:pt idx="8">
                  <c:v>0.30000768286904744</c:v>
                </c:pt>
                <c:pt idx="9">
                  <c:v>0.38988780319361904</c:v>
                </c:pt>
                <c:pt idx="10">
                  <c:v>0</c:v>
                </c:pt>
                <c:pt idx="11">
                  <c:v>0.29185642102091758</c:v>
                </c:pt>
                <c:pt idx="12">
                  <c:v>1.4169339827290994</c:v>
                </c:pt>
                <c:pt idx="13">
                  <c:v>0.5171908044984419</c:v>
                </c:pt>
                <c:pt idx="14">
                  <c:v>0.52665463455449002</c:v>
                </c:pt>
                <c:pt idx="15">
                  <c:v>2.6931721999884823</c:v>
                </c:pt>
                <c:pt idx="16">
                  <c:v>1.086023310522185</c:v>
                </c:pt>
                <c:pt idx="17">
                  <c:v>0.30186190385873596</c:v>
                </c:pt>
                <c:pt idx="18">
                  <c:v>0.37251143887767746</c:v>
                </c:pt>
                <c:pt idx="19">
                  <c:v>0.21746929409183893</c:v>
                </c:pt>
                <c:pt idx="20">
                  <c:v>0.47884936725962135</c:v>
                </c:pt>
                <c:pt idx="21">
                  <c:v>2.2082927459947319</c:v>
                </c:pt>
                <c:pt idx="22">
                  <c:v>1.8047328434928613</c:v>
                </c:pt>
                <c:pt idx="23">
                  <c:v>1.4836925022042045</c:v>
                </c:pt>
                <c:pt idx="24">
                  <c:v>1.050971596124042</c:v>
                </c:pt>
                <c:pt idx="25">
                  <c:v>0.84107637315570549</c:v>
                </c:pt>
                <c:pt idx="26">
                  <c:v>0.88589197089400551</c:v>
                </c:pt>
                <c:pt idx="27">
                  <c:v>1.0641348802909996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F5-4071-B9E6-B1A8BD7F5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491951"/>
        <c:axId val="265492911"/>
      </c:scatterChart>
      <c:valAx>
        <c:axId val="26549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92911"/>
        <c:crosses val="autoZero"/>
        <c:crossBetween val="midCat"/>
      </c:valAx>
      <c:valAx>
        <c:axId val="26549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CH4 Production Rate 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(m3CH4/m3rv.d)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9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v>Methane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GC_TCD!$W$50:$W$81</c:f>
              <c:numCache>
                <c:formatCode>General</c:formatCode>
                <c:ptCount val="32"/>
                <c:pt idx="0">
                  <c:v>90.877666666666656</c:v>
                </c:pt>
                <c:pt idx="1">
                  <c:v>86.886866666666677</c:v>
                </c:pt>
                <c:pt idx="2">
                  <c:v>90.854199999999992</c:v>
                </c:pt>
                <c:pt idx="3">
                  <c:v>89.807866666666669</c:v>
                </c:pt>
                <c:pt idx="4">
                  <c:v>91.911466666666669</c:v>
                </c:pt>
                <c:pt idx="5">
                  <c:v>95.201066666666676</c:v>
                </c:pt>
                <c:pt idx="6">
                  <c:v>96.409233333333347</c:v>
                </c:pt>
                <c:pt idx="7">
                  <c:v>95.326399999999992</c:v>
                </c:pt>
                <c:pt idx="8">
                  <c:v>87.194233333333329</c:v>
                </c:pt>
                <c:pt idx="9">
                  <c:v>92.992700000000013</c:v>
                </c:pt>
                <c:pt idx="10">
                  <c:v>97.350766666666672</c:v>
                </c:pt>
                <c:pt idx="11">
                  <c:v>98.266966666666676</c:v>
                </c:pt>
                <c:pt idx="12">
                  <c:v>97.370999999999995</c:v>
                </c:pt>
                <c:pt idx="13">
                  <c:v>65.938400000000001</c:v>
                </c:pt>
                <c:pt idx="14">
                  <c:v>19.745766666666668</c:v>
                </c:pt>
                <c:pt idx="15">
                  <c:v>10.5124</c:v>
                </c:pt>
                <c:pt idx="16">
                  <c:v>71.615799999999993</c:v>
                </c:pt>
                <c:pt idx="17">
                  <c:v>71.589233333333326</c:v>
                </c:pt>
                <c:pt idx="18">
                  <c:v>74.730599999999995</c:v>
                </c:pt>
                <c:pt idx="19">
                  <c:v>79.926699999999997</c:v>
                </c:pt>
                <c:pt idx="20">
                  <c:v>90.001266666666666</c:v>
                </c:pt>
                <c:pt idx="21">
                  <c:v>91.200566666666688</c:v>
                </c:pt>
                <c:pt idx="22">
                  <c:v>93.713833333333312</c:v>
                </c:pt>
                <c:pt idx="23">
                  <c:v>94.147400000000005</c:v>
                </c:pt>
                <c:pt idx="24">
                  <c:v>95.646433333333334</c:v>
                </c:pt>
                <c:pt idx="25">
                  <c:v>88.87406666666665</c:v>
                </c:pt>
                <c:pt idx="26">
                  <c:v>62.658066666666663</c:v>
                </c:pt>
                <c:pt idx="27">
                  <c:v>50.542533333333331</c:v>
                </c:pt>
                <c:pt idx="28">
                  <c:v>46.880633333333343</c:v>
                </c:pt>
                <c:pt idx="29">
                  <c:v>70.126166666666663</c:v>
                </c:pt>
                <c:pt idx="30">
                  <c:v>84.628766666666664</c:v>
                </c:pt>
                <c:pt idx="31">
                  <c:v>86.59793333333333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GC_TCD!$G$50:$G$81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32"/>
                      <c:pt idx="0">
                        <c:v>99.902777777773736</c:v>
                      </c:pt>
                      <c:pt idx="1">
                        <c:v>103.89166666666279</c:v>
                      </c:pt>
                      <c:pt idx="2">
                        <c:v>106.94583333333139</c:v>
                      </c:pt>
                      <c:pt idx="3">
                        <c:v>117.89236111110949</c:v>
                      </c:pt>
                      <c:pt idx="4">
                        <c:v>118.9416666666657</c:v>
                      </c:pt>
                      <c:pt idx="5">
                        <c:v>121.99930555555329</c:v>
                      </c:pt>
                      <c:pt idx="6">
                        <c:v>124.90694444444671</c:v>
                      </c:pt>
                      <c:pt idx="7">
                        <c:v>127.9152777777781</c:v>
                      </c:pt>
                      <c:pt idx="8">
                        <c:v>131.8840277777781</c:v>
                      </c:pt>
                      <c:pt idx="9">
                        <c:v>135.03125</c:v>
                      </c:pt>
                      <c:pt idx="10">
                        <c:v>138.90625</c:v>
                      </c:pt>
                      <c:pt idx="11">
                        <c:v>141.92291666666279</c:v>
                      </c:pt>
                      <c:pt idx="12">
                        <c:v>145.90625</c:v>
                      </c:pt>
                      <c:pt idx="13">
                        <c:v>147.15625</c:v>
                      </c:pt>
                      <c:pt idx="14">
                        <c:v>148.18958333333285</c:v>
                      </c:pt>
                      <c:pt idx="15">
                        <c:v>148.84722222221899</c:v>
                      </c:pt>
                      <c:pt idx="16">
                        <c:v>154.9013888888876</c:v>
                      </c:pt>
                      <c:pt idx="17">
                        <c:v>155.83750000000146</c:v>
                      </c:pt>
                      <c:pt idx="18">
                        <c:v>156.9423611111124</c:v>
                      </c:pt>
                      <c:pt idx="19">
                        <c:v>159.92569444444234</c:v>
                      </c:pt>
                      <c:pt idx="20">
                        <c:v>161.01597222222335</c:v>
                      </c:pt>
                      <c:pt idx="21">
                        <c:v>161.91388888889196</c:v>
                      </c:pt>
                      <c:pt idx="22">
                        <c:v>162.94583333333139</c:v>
                      </c:pt>
                      <c:pt idx="23">
                        <c:v>163.91458333333139</c:v>
                      </c:pt>
                      <c:pt idx="24">
                        <c:v>166.92013888889051</c:v>
                      </c:pt>
                      <c:pt idx="25">
                        <c:v>167.95138888889051</c:v>
                      </c:pt>
                      <c:pt idx="26">
                        <c:v>168.91597222222481</c:v>
                      </c:pt>
                      <c:pt idx="27">
                        <c:v>169.96180555555475</c:v>
                      </c:pt>
                      <c:pt idx="28">
                        <c:v>170.95486111110949</c:v>
                      </c:pt>
                      <c:pt idx="29">
                        <c:v>173.93472222222044</c:v>
                      </c:pt>
                      <c:pt idx="30">
                        <c:v>174.93541666666715</c:v>
                      </c:pt>
                      <c:pt idx="31">
                        <c:v>175.90555555555329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4328-4630-9C5E-835E456BA898}"/>
            </c:ext>
          </c:extLst>
        </c:ser>
        <c:ser>
          <c:idx val="2"/>
          <c:order val="1"/>
          <c:tx>
            <c:v>Carbon Dioxide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GC_TCD!$Y$50:$Y$81</c:f>
              <c:numCache>
                <c:formatCode>General</c:formatCode>
                <c:ptCount val="32"/>
                <c:pt idx="0">
                  <c:v>6.618966666666668</c:v>
                </c:pt>
                <c:pt idx="1">
                  <c:v>8.5740333333333325</c:v>
                </c:pt>
                <c:pt idx="2">
                  <c:v>7.9512999999999998</c:v>
                </c:pt>
                <c:pt idx="3">
                  <c:v>8.6004666666666676</c:v>
                </c:pt>
                <c:pt idx="4">
                  <c:v>7.0522999999999998</c:v>
                </c:pt>
                <c:pt idx="5">
                  <c:v>4.1046000000000005</c:v>
                </c:pt>
                <c:pt idx="6">
                  <c:v>2.8365666666666667</c:v>
                </c:pt>
                <c:pt idx="7">
                  <c:v>0.70663333333333334</c:v>
                </c:pt>
                <c:pt idx="8">
                  <c:v>1.0085666666666666</c:v>
                </c:pt>
                <c:pt idx="9">
                  <c:v>0.64483333333333337</c:v>
                </c:pt>
                <c:pt idx="10">
                  <c:v>1.1251</c:v>
                </c:pt>
                <c:pt idx="11">
                  <c:v>0.74129999999999996</c:v>
                </c:pt>
                <c:pt idx="12">
                  <c:v>1.6468333333333334</c:v>
                </c:pt>
                <c:pt idx="13">
                  <c:v>7.686666666666668E-2</c:v>
                </c:pt>
                <c:pt idx="14">
                  <c:v>0</c:v>
                </c:pt>
                <c:pt idx="15">
                  <c:v>0</c:v>
                </c:pt>
                <c:pt idx="16">
                  <c:v>4.3467666666666664</c:v>
                </c:pt>
                <c:pt idx="17">
                  <c:v>3.0678999999999998</c:v>
                </c:pt>
                <c:pt idx="18">
                  <c:v>2.7005666666666666</c:v>
                </c:pt>
                <c:pt idx="19">
                  <c:v>1.5954666666666668</c:v>
                </c:pt>
                <c:pt idx="20">
                  <c:v>1.7744</c:v>
                </c:pt>
                <c:pt idx="21">
                  <c:v>3.6055666666666668</c:v>
                </c:pt>
                <c:pt idx="22">
                  <c:v>3.7717666666666667</c:v>
                </c:pt>
                <c:pt idx="23">
                  <c:v>4.0145</c:v>
                </c:pt>
                <c:pt idx="24">
                  <c:v>3.0146999999999999</c:v>
                </c:pt>
                <c:pt idx="25">
                  <c:v>1.3337333333333337</c:v>
                </c:pt>
                <c:pt idx="26">
                  <c:v>0.16493333333333335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0.77619999999999989</c:v>
                </c:pt>
                <c:pt idx="31">
                  <c:v>1.0083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GC_TCD!$G$50:$G$81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32"/>
                      <c:pt idx="0">
                        <c:v>99.902777777773736</c:v>
                      </c:pt>
                      <c:pt idx="1">
                        <c:v>103.89166666666279</c:v>
                      </c:pt>
                      <c:pt idx="2">
                        <c:v>106.94583333333139</c:v>
                      </c:pt>
                      <c:pt idx="3">
                        <c:v>117.89236111110949</c:v>
                      </c:pt>
                      <c:pt idx="4">
                        <c:v>118.9416666666657</c:v>
                      </c:pt>
                      <c:pt idx="5">
                        <c:v>121.99930555555329</c:v>
                      </c:pt>
                      <c:pt idx="6">
                        <c:v>124.90694444444671</c:v>
                      </c:pt>
                      <c:pt idx="7">
                        <c:v>127.9152777777781</c:v>
                      </c:pt>
                      <c:pt idx="8">
                        <c:v>131.8840277777781</c:v>
                      </c:pt>
                      <c:pt idx="9">
                        <c:v>135.03125</c:v>
                      </c:pt>
                      <c:pt idx="10">
                        <c:v>138.90625</c:v>
                      </c:pt>
                      <c:pt idx="11">
                        <c:v>141.92291666666279</c:v>
                      </c:pt>
                      <c:pt idx="12">
                        <c:v>145.90625</c:v>
                      </c:pt>
                      <c:pt idx="13">
                        <c:v>147.15625</c:v>
                      </c:pt>
                      <c:pt idx="14">
                        <c:v>148.18958333333285</c:v>
                      </c:pt>
                      <c:pt idx="15">
                        <c:v>148.84722222221899</c:v>
                      </c:pt>
                      <c:pt idx="16">
                        <c:v>154.9013888888876</c:v>
                      </c:pt>
                      <c:pt idx="17">
                        <c:v>155.83750000000146</c:v>
                      </c:pt>
                      <c:pt idx="18">
                        <c:v>156.9423611111124</c:v>
                      </c:pt>
                      <c:pt idx="19">
                        <c:v>159.92569444444234</c:v>
                      </c:pt>
                      <c:pt idx="20">
                        <c:v>161.01597222222335</c:v>
                      </c:pt>
                      <c:pt idx="21">
                        <c:v>161.91388888889196</c:v>
                      </c:pt>
                      <c:pt idx="22">
                        <c:v>162.94583333333139</c:v>
                      </c:pt>
                      <c:pt idx="23">
                        <c:v>163.91458333333139</c:v>
                      </c:pt>
                      <c:pt idx="24">
                        <c:v>166.92013888889051</c:v>
                      </c:pt>
                      <c:pt idx="25">
                        <c:v>167.95138888889051</c:v>
                      </c:pt>
                      <c:pt idx="26">
                        <c:v>168.91597222222481</c:v>
                      </c:pt>
                      <c:pt idx="27">
                        <c:v>169.96180555555475</c:v>
                      </c:pt>
                      <c:pt idx="28">
                        <c:v>170.95486111110949</c:v>
                      </c:pt>
                      <c:pt idx="29">
                        <c:v>173.93472222222044</c:v>
                      </c:pt>
                      <c:pt idx="30">
                        <c:v>174.93541666666715</c:v>
                      </c:pt>
                      <c:pt idx="31">
                        <c:v>175.90555555555329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328-4630-9C5E-835E456BA898}"/>
            </c:ext>
          </c:extLst>
        </c:ser>
        <c:ser>
          <c:idx val="0"/>
          <c:order val="2"/>
          <c:tx>
            <c:v>Hydrogen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GC_TCD!$U$50:$U$81</c:f>
              <c:numCache>
                <c:formatCode>General</c:formatCode>
                <c:ptCount val="32"/>
                <c:pt idx="0">
                  <c:v>2.5033666666666665</c:v>
                </c:pt>
                <c:pt idx="1">
                  <c:v>4.5391000000000004</c:v>
                </c:pt>
                <c:pt idx="2">
                  <c:v>1.1944999999999999</c:v>
                </c:pt>
                <c:pt idx="3">
                  <c:v>1.5917000000000001</c:v>
                </c:pt>
                <c:pt idx="4">
                  <c:v>1.0362666666666667</c:v>
                </c:pt>
                <c:pt idx="5">
                  <c:v>0.69433333333333336</c:v>
                </c:pt>
                <c:pt idx="6">
                  <c:v>0.75419999999999998</c:v>
                </c:pt>
                <c:pt idx="7">
                  <c:v>3.9489333333333332</c:v>
                </c:pt>
                <c:pt idx="8">
                  <c:v>11.797166666666667</c:v>
                </c:pt>
                <c:pt idx="9">
                  <c:v>6.3624666666666663</c:v>
                </c:pt>
                <c:pt idx="10">
                  <c:v>1.5241</c:v>
                </c:pt>
                <c:pt idx="11">
                  <c:v>0.99173333333333324</c:v>
                </c:pt>
                <c:pt idx="12">
                  <c:v>0.96713333333333329</c:v>
                </c:pt>
                <c:pt idx="13">
                  <c:v>33.984766666666665</c:v>
                </c:pt>
                <c:pt idx="14">
                  <c:v>80.254233333333332</c:v>
                </c:pt>
                <c:pt idx="15">
                  <c:v>89.4876</c:v>
                </c:pt>
                <c:pt idx="16">
                  <c:v>24.037466666666671</c:v>
                </c:pt>
                <c:pt idx="17">
                  <c:v>25.342833333333331</c:v>
                </c:pt>
                <c:pt idx="18">
                  <c:v>22.568866666666665</c:v>
                </c:pt>
                <c:pt idx="19">
                  <c:v>18.477833333333333</c:v>
                </c:pt>
                <c:pt idx="20">
                  <c:v>8.2243333333333339</c:v>
                </c:pt>
                <c:pt idx="21">
                  <c:v>5.1938666666666675</c:v>
                </c:pt>
                <c:pt idx="22">
                  <c:v>2.5143999999999997</c:v>
                </c:pt>
                <c:pt idx="23">
                  <c:v>1.8381333333333334</c:v>
                </c:pt>
                <c:pt idx="24">
                  <c:v>1.3388333333333333</c:v>
                </c:pt>
                <c:pt idx="25">
                  <c:v>9.7922333333333338</c:v>
                </c:pt>
                <c:pt idx="26">
                  <c:v>37.177033333333334</c:v>
                </c:pt>
                <c:pt idx="27">
                  <c:v>49.457466666666669</c:v>
                </c:pt>
                <c:pt idx="28">
                  <c:v>53.119366666666657</c:v>
                </c:pt>
                <c:pt idx="29">
                  <c:v>29.873833333333334</c:v>
                </c:pt>
                <c:pt idx="30">
                  <c:v>14.595033333333333</c:v>
                </c:pt>
                <c:pt idx="31">
                  <c:v>12.393833333333333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GC_TCD!$G$50:$G$81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32"/>
                      <c:pt idx="0">
                        <c:v>99.902777777773736</c:v>
                      </c:pt>
                      <c:pt idx="1">
                        <c:v>103.89166666666279</c:v>
                      </c:pt>
                      <c:pt idx="2">
                        <c:v>106.94583333333139</c:v>
                      </c:pt>
                      <c:pt idx="3">
                        <c:v>117.89236111110949</c:v>
                      </c:pt>
                      <c:pt idx="4">
                        <c:v>118.9416666666657</c:v>
                      </c:pt>
                      <c:pt idx="5">
                        <c:v>121.99930555555329</c:v>
                      </c:pt>
                      <c:pt idx="6">
                        <c:v>124.90694444444671</c:v>
                      </c:pt>
                      <c:pt idx="7">
                        <c:v>127.9152777777781</c:v>
                      </c:pt>
                      <c:pt idx="8">
                        <c:v>131.8840277777781</c:v>
                      </c:pt>
                      <c:pt idx="9">
                        <c:v>135.03125</c:v>
                      </c:pt>
                      <c:pt idx="10">
                        <c:v>138.90625</c:v>
                      </c:pt>
                      <c:pt idx="11">
                        <c:v>141.92291666666279</c:v>
                      </c:pt>
                      <c:pt idx="12">
                        <c:v>145.90625</c:v>
                      </c:pt>
                      <c:pt idx="13">
                        <c:v>147.15625</c:v>
                      </c:pt>
                      <c:pt idx="14">
                        <c:v>148.18958333333285</c:v>
                      </c:pt>
                      <c:pt idx="15">
                        <c:v>148.84722222221899</c:v>
                      </c:pt>
                      <c:pt idx="16">
                        <c:v>154.9013888888876</c:v>
                      </c:pt>
                      <c:pt idx="17">
                        <c:v>155.83750000000146</c:v>
                      </c:pt>
                      <c:pt idx="18">
                        <c:v>156.9423611111124</c:v>
                      </c:pt>
                      <c:pt idx="19">
                        <c:v>159.92569444444234</c:v>
                      </c:pt>
                      <c:pt idx="20">
                        <c:v>161.01597222222335</c:v>
                      </c:pt>
                      <c:pt idx="21">
                        <c:v>161.91388888889196</c:v>
                      </c:pt>
                      <c:pt idx="22">
                        <c:v>162.94583333333139</c:v>
                      </c:pt>
                      <c:pt idx="23">
                        <c:v>163.91458333333139</c:v>
                      </c:pt>
                      <c:pt idx="24">
                        <c:v>166.92013888889051</c:v>
                      </c:pt>
                      <c:pt idx="25">
                        <c:v>167.95138888889051</c:v>
                      </c:pt>
                      <c:pt idx="26">
                        <c:v>168.91597222222481</c:v>
                      </c:pt>
                      <c:pt idx="27">
                        <c:v>169.96180555555475</c:v>
                      </c:pt>
                      <c:pt idx="28">
                        <c:v>170.95486111110949</c:v>
                      </c:pt>
                      <c:pt idx="29">
                        <c:v>173.93472222222044</c:v>
                      </c:pt>
                      <c:pt idx="30">
                        <c:v>174.93541666666715</c:v>
                      </c:pt>
                      <c:pt idx="31">
                        <c:v>175.90555555555329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4328-4630-9C5E-835E456BA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GC_TCD!$AA$50:$AA$81</c:f>
              <c:numCache>
                <c:formatCode>General</c:formatCode>
                <c:ptCount val="32"/>
                <c:pt idx="0">
                  <c:v>1.6488505126702582</c:v>
                </c:pt>
                <c:pt idx="1">
                  <c:v>1.149508634685801</c:v>
                </c:pt>
                <c:pt idx="2">
                  <c:v>1.4811330883295306</c:v>
                </c:pt>
                <c:pt idx="3">
                  <c:v>1.3085728498989129</c:v>
                </c:pt>
                <c:pt idx="4">
                  <c:v>0.88823747477546766</c:v>
                </c:pt>
                <c:pt idx="5">
                  <c:v>0.86721942993724621</c:v>
                </c:pt>
                <c:pt idx="6">
                  <c:v>0.92104001425513449</c:v>
                </c:pt>
                <c:pt idx="7">
                  <c:v>0.72364965433368944</c:v>
                </c:pt>
                <c:pt idx="8">
                  <c:v>0.83569840837831966</c:v>
                </c:pt>
                <c:pt idx="9">
                  <c:v>0.85380583978382318</c:v>
                </c:pt>
                <c:pt idx="10">
                  <c:v>0.8889100918422419</c:v>
                </c:pt>
                <c:pt idx="11">
                  <c:v>0.8252230707381053</c:v>
                </c:pt>
                <c:pt idx="12">
                  <c:v>0.88707753297709735</c:v>
                </c:pt>
                <c:pt idx="13">
                  <c:v>2.0237501912632871</c:v>
                </c:pt>
                <c:pt idx="14">
                  <c:v>0.52668325055773768</c:v>
                </c:pt>
                <c:pt idx="15">
                  <c:v>0.11998535953393052</c:v>
                </c:pt>
                <c:pt idx="16">
                  <c:v>0.80625903157792722</c:v>
                </c:pt>
                <c:pt idx="17">
                  <c:v>1.0095096618232262</c:v>
                </c:pt>
                <c:pt idx="18">
                  <c:v>0.6655208313600931</c:v>
                </c:pt>
                <c:pt idx="19">
                  <c:v>0.73715080179514791</c:v>
                </c:pt>
                <c:pt idx="20">
                  <c:v>1.0326665998606497</c:v>
                </c:pt>
                <c:pt idx="21">
                  <c:v>0.85562625222637345</c:v>
                </c:pt>
                <c:pt idx="22">
                  <c:v>0.83720480259147334</c:v>
                </c:pt>
                <c:pt idx="23">
                  <c:v>0.92099897192418811</c:v>
                </c:pt>
                <c:pt idx="24">
                  <c:v>0.86432108697251309</c:v>
                </c:pt>
                <c:pt idx="25">
                  <c:v>1.7652685403769246</c:v>
                </c:pt>
                <c:pt idx="26">
                  <c:v>1.0526045635179369</c:v>
                </c:pt>
                <c:pt idx="27">
                  <c:v>0.86706770116127996</c:v>
                </c:pt>
                <c:pt idx="28">
                  <c:v>0.47071645759746383</c:v>
                </c:pt>
                <c:pt idx="29">
                  <c:v>0.6978585939986055</c:v>
                </c:pt>
                <c:pt idx="30">
                  <c:v>0.9388099187289165</c:v>
                </c:pt>
                <c:pt idx="31">
                  <c:v>0.88124596009174916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GC_TCD!$G$50:$G$81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32"/>
                      <c:pt idx="0">
                        <c:v>99.902777777773736</c:v>
                      </c:pt>
                      <c:pt idx="1">
                        <c:v>103.89166666666279</c:v>
                      </c:pt>
                      <c:pt idx="2">
                        <c:v>106.94583333333139</c:v>
                      </c:pt>
                      <c:pt idx="3">
                        <c:v>117.89236111110949</c:v>
                      </c:pt>
                      <c:pt idx="4">
                        <c:v>118.9416666666657</c:v>
                      </c:pt>
                      <c:pt idx="5">
                        <c:v>121.99930555555329</c:v>
                      </c:pt>
                      <c:pt idx="6">
                        <c:v>124.90694444444671</c:v>
                      </c:pt>
                      <c:pt idx="7">
                        <c:v>127.9152777777781</c:v>
                      </c:pt>
                      <c:pt idx="8">
                        <c:v>131.8840277777781</c:v>
                      </c:pt>
                      <c:pt idx="9">
                        <c:v>135.03125</c:v>
                      </c:pt>
                      <c:pt idx="10">
                        <c:v>138.90625</c:v>
                      </c:pt>
                      <c:pt idx="11">
                        <c:v>141.92291666666279</c:v>
                      </c:pt>
                      <c:pt idx="12">
                        <c:v>145.90625</c:v>
                      </c:pt>
                      <c:pt idx="13">
                        <c:v>147.15625</c:v>
                      </c:pt>
                      <c:pt idx="14">
                        <c:v>148.18958333333285</c:v>
                      </c:pt>
                      <c:pt idx="15">
                        <c:v>148.84722222221899</c:v>
                      </c:pt>
                      <c:pt idx="16">
                        <c:v>154.9013888888876</c:v>
                      </c:pt>
                      <c:pt idx="17">
                        <c:v>155.83750000000146</c:v>
                      </c:pt>
                      <c:pt idx="18">
                        <c:v>156.9423611111124</c:v>
                      </c:pt>
                      <c:pt idx="19">
                        <c:v>159.92569444444234</c:v>
                      </c:pt>
                      <c:pt idx="20">
                        <c:v>161.01597222222335</c:v>
                      </c:pt>
                      <c:pt idx="21">
                        <c:v>161.91388888889196</c:v>
                      </c:pt>
                      <c:pt idx="22">
                        <c:v>162.94583333333139</c:v>
                      </c:pt>
                      <c:pt idx="23">
                        <c:v>163.91458333333139</c:v>
                      </c:pt>
                      <c:pt idx="24">
                        <c:v>166.92013888889051</c:v>
                      </c:pt>
                      <c:pt idx="25">
                        <c:v>167.95138888889051</c:v>
                      </c:pt>
                      <c:pt idx="26">
                        <c:v>168.91597222222481</c:v>
                      </c:pt>
                      <c:pt idx="27">
                        <c:v>169.96180555555475</c:v>
                      </c:pt>
                      <c:pt idx="28">
                        <c:v>170.95486111110949</c:v>
                      </c:pt>
                      <c:pt idx="29">
                        <c:v>173.93472222222044</c:v>
                      </c:pt>
                      <c:pt idx="30">
                        <c:v>174.93541666666715</c:v>
                      </c:pt>
                      <c:pt idx="31">
                        <c:v>175.90555555555329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4328-4630-9C5E-835E456BA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</a:rPr>
                  <a:t>CH</a:t>
                </a: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₄</a:t>
                </a: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</a:rPr>
                  <a:t> Production Rate </a:t>
                </a:r>
              </a:p>
              <a:p>
                <a:pPr>
                  <a:defRPr sz="1600"/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(m3CH</a:t>
                </a: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₄</a:t>
                </a: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/m3rv.d)</a:t>
                </a:r>
              </a:p>
            </c:rich>
          </c:tx>
          <c:layout>
            <c:manualLayout>
              <c:xMode val="edge"/>
              <c:yMode val="edge"/>
              <c:x val="0.91456689966303051"/>
              <c:y val="0.318909191375001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2764994510973614"/>
          <c:y val="0.28023903621242746"/>
          <c:w val="0.17713156204967051"/>
          <c:h val="0.2700151346024276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v>Methane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GC_TCD!$W$34:$W$60</c:f>
              <c:numCache>
                <c:formatCode>General</c:formatCode>
                <c:ptCount val="27"/>
                <c:pt idx="0">
                  <c:v>50.395600000000002</c:v>
                </c:pt>
                <c:pt idx="1">
                  <c:v>61.748454647266271</c:v>
                </c:pt>
                <c:pt idx="2">
                  <c:v>51.3217</c:v>
                </c:pt>
                <c:pt idx="3">
                  <c:v>57.428500000000007</c:v>
                </c:pt>
                <c:pt idx="4">
                  <c:v>67.272566666666663</c:v>
                </c:pt>
                <c:pt idx="5">
                  <c:v>72.243166666666653</c:v>
                </c:pt>
                <c:pt idx="6">
                  <c:v>77.505331832279211</c:v>
                </c:pt>
                <c:pt idx="7">
                  <c:v>67.773133333333348</c:v>
                </c:pt>
                <c:pt idx="8">
                  <c:v>73.17540000000001</c:v>
                </c:pt>
                <c:pt idx="9">
                  <c:v>60.329133333333338</c:v>
                </c:pt>
                <c:pt idx="10">
                  <c:v>62.433033333333334</c:v>
                </c:pt>
                <c:pt idx="11">
                  <c:v>75.598666666666659</c:v>
                </c:pt>
                <c:pt idx="12">
                  <c:v>79.696000000000012</c:v>
                </c:pt>
                <c:pt idx="13">
                  <c:v>82.476333333333329</c:v>
                </c:pt>
                <c:pt idx="14">
                  <c:v>80.593699999999998</c:v>
                </c:pt>
                <c:pt idx="15">
                  <c:v>83.335766666666657</c:v>
                </c:pt>
                <c:pt idx="16">
                  <c:v>90.877666666666656</c:v>
                </c:pt>
                <c:pt idx="17">
                  <c:v>86.886866666666677</c:v>
                </c:pt>
                <c:pt idx="18">
                  <c:v>90.854199999999992</c:v>
                </c:pt>
                <c:pt idx="19">
                  <c:v>89.807866666666669</c:v>
                </c:pt>
                <c:pt idx="20">
                  <c:v>91.911466666666669</c:v>
                </c:pt>
                <c:pt idx="21">
                  <c:v>95.201066666666676</c:v>
                </c:pt>
                <c:pt idx="22">
                  <c:v>96.409233333333347</c:v>
                </c:pt>
                <c:pt idx="23">
                  <c:v>95.326399999999992</c:v>
                </c:pt>
                <c:pt idx="24">
                  <c:v>87.194233333333329</c:v>
                </c:pt>
                <c:pt idx="25">
                  <c:v>92.992700000000013</c:v>
                </c:pt>
                <c:pt idx="26">
                  <c:v>97.350766666666672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GC_TCD!$G$34:$G$60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27"/>
                      <c:pt idx="0">
                        <c:v>49.079166666662786</c:v>
                      </c:pt>
                      <c:pt idx="1">
                        <c:v>51.94999999999709</c:v>
                      </c:pt>
                      <c:pt idx="2">
                        <c:v>55.897222222221899</c:v>
                      </c:pt>
                      <c:pt idx="3">
                        <c:v>58.947916666664241</c:v>
                      </c:pt>
                      <c:pt idx="4">
                        <c:v>61.977777777778101</c:v>
                      </c:pt>
                      <c:pt idx="5">
                        <c:v>64.977777777778101</c:v>
                      </c:pt>
                      <c:pt idx="6">
                        <c:v>72.150000000001455</c:v>
                      </c:pt>
                      <c:pt idx="7">
                        <c:v>73.108333333329938</c:v>
                      </c:pt>
                      <c:pt idx="8">
                        <c:v>76.004861111112405</c:v>
                      </c:pt>
                      <c:pt idx="9">
                        <c:v>76.905555555553292</c:v>
                      </c:pt>
                      <c:pt idx="10">
                        <c:v>78.956944444442343</c:v>
                      </c:pt>
                      <c:pt idx="11">
                        <c:v>82.864583333335759</c:v>
                      </c:pt>
                      <c:pt idx="12">
                        <c:v>86.159027777779556</c:v>
                      </c:pt>
                      <c:pt idx="13">
                        <c:v>90.096527777779556</c:v>
                      </c:pt>
                      <c:pt idx="14">
                        <c:v>93.086111111108039</c:v>
                      </c:pt>
                      <c:pt idx="15">
                        <c:v>97.154166666667152</c:v>
                      </c:pt>
                      <c:pt idx="16">
                        <c:v>99.902777777773736</c:v>
                      </c:pt>
                      <c:pt idx="17">
                        <c:v>103.89166666666279</c:v>
                      </c:pt>
                      <c:pt idx="18">
                        <c:v>106.94583333333139</c:v>
                      </c:pt>
                      <c:pt idx="19">
                        <c:v>117.89236111110949</c:v>
                      </c:pt>
                      <c:pt idx="20">
                        <c:v>118.9416666666657</c:v>
                      </c:pt>
                      <c:pt idx="21">
                        <c:v>121.99930555555329</c:v>
                      </c:pt>
                      <c:pt idx="22">
                        <c:v>124.90694444444671</c:v>
                      </c:pt>
                      <c:pt idx="23">
                        <c:v>127.9152777777781</c:v>
                      </c:pt>
                      <c:pt idx="24">
                        <c:v>131.8840277777781</c:v>
                      </c:pt>
                      <c:pt idx="25">
                        <c:v>135.03125</c:v>
                      </c:pt>
                      <c:pt idx="26">
                        <c:v>138.90625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1D8-4FA0-9E3F-6B2E8D30BBFC}"/>
            </c:ext>
          </c:extLst>
        </c:ser>
        <c:ser>
          <c:idx val="2"/>
          <c:order val="1"/>
          <c:tx>
            <c:v>Carbon Dioxide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GC_TCD!$Y$34:$Y$60</c:f>
              <c:numCache>
                <c:formatCode>General</c:formatCode>
                <c:ptCount val="27"/>
                <c:pt idx="0">
                  <c:v>1.0624666666666667</c:v>
                </c:pt>
                <c:pt idx="1">
                  <c:v>3.7780622344374013</c:v>
                </c:pt>
                <c:pt idx="2">
                  <c:v>1.2834999999999999</c:v>
                </c:pt>
                <c:pt idx="3">
                  <c:v>0.3957</c:v>
                </c:pt>
                <c:pt idx="4">
                  <c:v>23.818233333333335</c:v>
                </c:pt>
                <c:pt idx="5">
                  <c:v>27.756833333333333</c:v>
                </c:pt>
                <c:pt idx="6">
                  <c:v>22.126423296090699</c:v>
                </c:pt>
                <c:pt idx="7">
                  <c:v>26.232033333333334</c:v>
                </c:pt>
                <c:pt idx="8">
                  <c:v>18.237166666666667</c:v>
                </c:pt>
                <c:pt idx="9">
                  <c:v>20.364166666666666</c:v>
                </c:pt>
                <c:pt idx="10">
                  <c:v>21.314966666666667</c:v>
                </c:pt>
                <c:pt idx="11">
                  <c:v>20.7075</c:v>
                </c:pt>
                <c:pt idx="12">
                  <c:v>18.726333333333333</c:v>
                </c:pt>
                <c:pt idx="13">
                  <c:v>17.524266666666666</c:v>
                </c:pt>
                <c:pt idx="14">
                  <c:v>14.019866666666667</c:v>
                </c:pt>
                <c:pt idx="15">
                  <c:v>10.4064</c:v>
                </c:pt>
                <c:pt idx="16">
                  <c:v>6.618966666666668</c:v>
                </c:pt>
                <c:pt idx="17">
                  <c:v>8.5740333333333325</c:v>
                </c:pt>
                <c:pt idx="18">
                  <c:v>7.9512999999999998</c:v>
                </c:pt>
                <c:pt idx="19">
                  <c:v>8.6004666666666676</c:v>
                </c:pt>
                <c:pt idx="20">
                  <c:v>7.0522999999999998</c:v>
                </c:pt>
                <c:pt idx="21">
                  <c:v>4.1046000000000005</c:v>
                </c:pt>
                <c:pt idx="22">
                  <c:v>2.8365666666666667</c:v>
                </c:pt>
                <c:pt idx="23">
                  <c:v>0.70663333333333334</c:v>
                </c:pt>
                <c:pt idx="24">
                  <c:v>1.0085666666666666</c:v>
                </c:pt>
                <c:pt idx="25">
                  <c:v>0.64483333333333337</c:v>
                </c:pt>
                <c:pt idx="26">
                  <c:v>1.1251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GC_TCD!$G$34:$G$60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27"/>
                      <c:pt idx="0">
                        <c:v>49.079166666662786</c:v>
                      </c:pt>
                      <c:pt idx="1">
                        <c:v>51.94999999999709</c:v>
                      </c:pt>
                      <c:pt idx="2">
                        <c:v>55.897222222221899</c:v>
                      </c:pt>
                      <c:pt idx="3">
                        <c:v>58.947916666664241</c:v>
                      </c:pt>
                      <c:pt idx="4">
                        <c:v>61.977777777778101</c:v>
                      </c:pt>
                      <c:pt idx="5">
                        <c:v>64.977777777778101</c:v>
                      </c:pt>
                      <c:pt idx="6">
                        <c:v>72.150000000001455</c:v>
                      </c:pt>
                      <c:pt idx="7">
                        <c:v>73.108333333329938</c:v>
                      </c:pt>
                      <c:pt idx="8">
                        <c:v>76.004861111112405</c:v>
                      </c:pt>
                      <c:pt idx="9">
                        <c:v>76.905555555553292</c:v>
                      </c:pt>
                      <c:pt idx="10">
                        <c:v>78.956944444442343</c:v>
                      </c:pt>
                      <c:pt idx="11">
                        <c:v>82.864583333335759</c:v>
                      </c:pt>
                      <c:pt idx="12">
                        <c:v>86.159027777779556</c:v>
                      </c:pt>
                      <c:pt idx="13">
                        <c:v>90.096527777779556</c:v>
                      </c:pt>
                      <c:pt idx="14">
                        <c:v>93.086111111108039</c:v>
                      </c:pt>
                      <c:pt idx="15">
                        <c:v>97.154166666667152</c:v>
                      </c:pt>
                      <c:pt idx="16">
                        <c:v>99.902777777773736</c:v>
                      </c:pt>
                      <c:pt idx="17">
                        <c:v>103.89166666666279</c:v>
                      </c:pt>
                      <c:pt idx="18">
                        <c:v>106.94583333333139</c:v>
                      </c:pt>
                      <c:pt idx="19">
                        <c:v>117.89236111110949</c:v>
                      </c:pt>
                      <c:pt idx="20">
                        <c:v>118.9416666666657</c:v>
                      </c:pt>
                      <c:pt idx="21">
                        <c:v>121.99930555555329</c:v>
                      </c:pt>
                      <c:pt idx="22">
                        <c:v>124.90694444444671</c:v>
                      </c:pt>
                      <c:pt idx="23">
                        <c:v>127.9152777777781</c:v>
                      </c:pt>
                      <c:pt idx="24">
                        <c:v>131.8840277777781</c:v>
                      </c:pt>
                      <c:pt idx="25">
                        <c:v>135.03125</c:v>
                      </c:pt>
                      <c:pt idx="26">
                        <c:v>138.90625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91D8-4FA0-9E3F-6B2E8D30BBFC}"/>
            </c:ext>
          </c:extLst>
        </c:ser>
        <c:ser>
          <c:idx val="0"/>
          <c:order val="2"/>
          <c:tx>
            <c:v>Hydrogen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GC_TCD!$U$34:$U$60</c:f>
              <c:numCache>
                <c:formatCode>General</c:formatCode>
                <c:ptCount val="27"/>
                <c:pt idx="0">
                  <c:v>48.541899999999998</c:v>
                </c:pt>
                <c:pt idx="1">
                  <c:v>34.473530854777252</c:v>
                </c:pt>
                <c:pt idx="2">
                  <c:v>50.728133333333325</c:v>
                </c:pt>
                <c:pt idx="3">
                  <c:v>42.175800000000002</c:v>
                </c:pt>
                <c:pt idx="4">
                  <c:v>8.9092333333333329</c:v>
                </c:pt>
                <c:pt idx="5">
                  <c:v>0</c:v>
                </c:pt>
                <c:pt idx="6">
                  <c:v>0.36833887159730255</c:v>
                </c:pt>
                <c:pt idx="7">
                  <c:v>5.9948333333333332</c:v>
                </c:pt>
                <c:pt idx="8">
                  <c:v>8.5874333333333315</c:v>
                </c:pt>
                <c:pt idx="9">
                  <c:v>19.306700000000003</c:v>
                </c:pt>
                <c:pt idx="10">
                  <c:v>16.251999999999999</c:v>
                </c:pt>
                <c:pt idx="11">
                  <c:v>3.6938666666666666</c:v>
                </c:pt>
                <c:pt idx="12">
                  <c:v>1.5776333333333337</c:v>
                </c:pt>
                <c:pt idx="13">
                  <c:v>0</c:v>
                </c:pt>
                <c:pt idx="14">
                  <c:v>5.3864666666666672</c:v>
                </c:pt>
                <c:pt idx="15">
                  <c:v>6.2578333333333331</c:v>
                </c:pt>
                <c:pt idx="16">
                  <c:v>2.5033666666666665</c:v>
                </c:pt>
                <c:pt idx="17">
                  <c:v>4.5391000000000004</c:v>
                </c:pt>
                <c:pt idx="18">
                  <c:v>1.1944999999999999</c:v>
                </c:pt>
                <c:pt idx="19">
                  <c:v>1.5917000000000001</c:v>
                </c:pt>
                <c:pt idx="20">
                  <c:v>1.0362666666666667</c:v>
                </c:pt>
                <c:pt idx="21">
                  <c:v>0.69433333333333336</c:v>
                </c:pt>
                <c:pt idx="22">
                  <c:v>0.75419999999999998</c:v>
                </c:pt>
                <c:pt idx="23">
                  <c:v>3.9489333333333332</c:v>
                </c:pt>
                <c:pt idx="24">
                  <c:v>11.797166666666667</c:v>
                </c:pt>
                <c:pt idx="25">
                  <c:v>6.3624666666666663</c:v>
                </c:pt>
                <c:pt idx="26">
                  <c:v>1.5241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GC_TCD!$G$34:$G$60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27"/>
                      <c:pt idx="0">
                        <c:v>49.079166666662786</c:v>
                      </c:pt>
                      <c:pt idx="1">
                        <c:v>51.94999999999709</c:v>
                      </c:pt>
                      <c:pt idx="2">
                        <c:v>55.897222222221899</c:v>
                      </c:pt>
                      <c:pt idx="3">
                        <c:v>58.947916666664241</c:v>
                      </c:pt>
                      <c:pt idx="4">
                        <c:v>61.977777777778101</c:v>
                      </c:pt>
                      <c:pt idx="5">
                        <c:v>64.977777777778101</c:v>
                      </c:pt>
                      <c:pt idx="6">
                        <c:v>72.150000000001455</c:v>
                      </c:pt>
                      <c:pt idx="7">
                        <c:v>73.108333333329938</c:v>
                      </c:pt>
                      <c:pt idx="8">
                        <c:v>76.004861111112405</c:v>
                      </c:pt>
                      <c:pt idx="9">
                        <c:v>76.905555555553292</c:v>
                      </c:pt>
                      <c:pt idx="10">
                        <c:v>78.956944444442343</c:v>
                      </c:pt>
                      <c:pt idx="11">
                        <c:v>82.864583333335759</c:v>
                      </c:pt>
                      <c:pt idx="12">
                        <c:v>86.159027777779556</c:v>
                      </c:pt>
                      <c:pt idx="13">
                        <c:v>90.096527777779556</c:v>
                      </c:pt>
                      <c:pt idx="14">
                        <c:v>93.086111111108039</c:v>
                      </c:pt>
                      <c:pt idx="15">
                        <c:v>97.154166666667152</c:v>
                      </c:pt>
                      <c:pt idx="16">
                        <c:v>99.902777777773736</c:v>
                      </c:pt>
                      <c:pt idx="17">
                        <c:v>103.89166666666279</c:v>
                      </c:pt>
                      <c:pt idx="18">
                        <c:v>106.94583333333139</c:v>
                      </c:pt>
                      <c:pt idx="19">
                        <c:v>117.89236111110949</c:v>
                      </c:pt>
                      <c:pt idx="20">
                        <c:v>118.9416666666657</c:v>
                      </c:pt>
                      <c:pt idx="21">
                        <c:v>121.99930555555329</c:v>
                      </c:pt>
                      <c:pt idx="22">
                        <c:v>124.90694444444671</c:v>
                      </c:pt>
                      <c:pt idx="23">
                        <c:v>127.9152777777781</c:v>
                      </c:pt>
                      <c:pt idx="24">
                        <c:v>131.8840277777781</c:v>
                      </c:pt>
                      <c:pt idx="25">
                        <c:v>135.03125</c:v>
                      </c:pt>
                      <c:pt idx="26">
                        <c:v>138.90625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91D8-4FA0-9E3F-6B2E8D30B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GC_TCD!$AA$34:$AA$60</c:f>
              <c:numCache>
                <c:formatCode>General</c:formatCode>
                <c:ptCount val="27"/>
                <c:pt idx="0">
                  <c:v>0.88589197089400551</c:v>
                </c:pt>
                <c:pt idx="1">
                  <c:v>1.0641348802909996</c:v>
                </c:pt>
                <c:pt idx="2">
                  <c:v>0.90435616654263118</c:v>
                </c:pt>
                <c:pt idx="3">
                  <c:v>0.94360412224778534</c:v>
                </c:pt>
                <c:pt idx="4">
                  <c:v>1.8913487562907934</c:v>
                </c:pt>
                <c:pt idx="5">
                  <c:v>1.9774825547116053</c:v>
                </c:pt>
                <c:pt idx="6">
                  <c:v>2.105214087571059</c:v>
                </c:pt>
                <c:pt idx="7">
                  <c:v>2.1220364450347344</c:v>
                </c:pt>
                <c:pt idx="8">
                  <c:v>1.3107817366939623</c:v>
                </c:pt>
                <c:pt idx="9">
                  <c:v>3.6743283297650122</c:v>
                </c:pt>
                <c:pt idx="10">
                  <c:v>1.728624146890855</c:v>
                </c:pt>
                <c:pt idx="11">
                  <c:v>1.977032982578655</c:v>
                </c:pt>
                <c:pt idx="12">
                  <c:v>1.9110168639032392</c:v>
                </c:pt>
                <c:pt idx="13">
                  <c:v>2.0476115511532549</c:v>
                </c:pt>
                <c:pt idx="14">
                  <c:v>2.4109817163894283</c:v>
                </c:pt>
                <c:pt idx="15">
                  <c:v>1.362917137544442</c:v>
                </c:pt>
                <c:pt idx="16">
                  <c:v>1.6488505126702582</c:v>
                </c:pt>
                <c:pt idx="17">
                  <c:v>1.149508634685801</c:v>
                </c:pt>
                <c:pt idx="18">
                  <c:v>1.4811330883295306</c:v>
                </c:pt>
                <c:pt idx="19">
                  <c:v>1.3085728498989129</c:v>
                </c:pt>
                <c:pt idx="20">
                  <c:v>0.88823747477546766</c:v>
                </c:pt>
                <c:pt idx="21">
                  <c:v>0.86721942993724621</c:v>
                </c:pt>
                <c:pt idx="22">
                  <c:v>0.92104001425513449</c:v>
                </c:pt>
                <c:pt idx="23">
                  <c:v>0.72364965433368944</c:v>
                </c:pt>
                <c:pt idx="24">
                  <c:v>0.83569840837831966</c:v>
                </c:pt>
                <c:pt idx="25">
                  <c:v>0.85380583978382318</c:v>
                </c:pt>
                <c:pt idx="26">
                  <c:v>0.8889100918422419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GC_TCD!$G$34:$G$60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27"/>
                      <c:pt idx="0">
                        <c:v>49.079166666662786</c:v>
                      </c:pt>
                      <c:pt idx="1">
                        <c:v>51.94999999999709</c:v>
                      </c:pt>
                      <c:pt idx="2">
                        <c:v>55.897222222221899</c:v>
                      </c:pt>
                      <c:pt idx="3">
                        <c:v>58.947916666664241</c:v>
                      </c:pt>
                      <c:pt idx="4">
                        <c:v>61.977777777778101</c:v>
                      </c:pt>
                      <c:pt idx="5">
                        <c:v>64.977777777778101</c:v>
                      </c:pt>
                      <c:pt idx="6">
                        <c:v>72.150000000001455</c:v>
                      </c:pt>
                      <c:pt idx="7">
                        <c:v>73.108333333329938</c:v>
                      </c:pt>
                      <c:pt idx="8">
                        <c:v>76.004861111112405</c:v>
                      </c:pt>
                      <c:pt idx="9">
                        <c:v>76.905555555553292</c:v>
                      </c:pt>
                      <c:pt idx="10">
                        <c:v>78.956944444442343</c:v>
                      </c:pt>
                      <c:pt idx="11">
                        <c:v>82.864583333335759</c:v>
                      </c:pt>
                      <c:pt idx="12">
                        <c:v>86.159027777779556</c:v>
                      </c:pt>
                      <c:pt idx="13">
                        <c:v>90.096527777779556</c:v>
                      </c:pt>
                      <c:pt idx="14">
                        <c:v>93.086111111108039</c:v>
                      </c:pt>
                      <c:pt idx="15">
                        <c:v>97.154166666667152</c:v>
                      </c:pt>
                      <c:pt idx="16">
                        <c:v>99.902777777773736</c:v>
                      </c:pt>
                      <c:pt idx="17">
                        <c:v>103.89166666666279</c:v>
                      </c:pt>
                      <c:pt idx="18">
                        <c:v>106.94583333333139</c:v>
                      </c:pt>
                      <c:pt idx="19">
                        <c:v>117.89236111110949</c:v>
                      </c:pt>
                      <c:pt idx="20">
                        <c:v>118.9416666666657</c:v>
                      </c:pt>
                      <c:pt idx="21">
                        <c:v>121.99930555555329</c:v>
                      </c:pt>
                      <c:pt idx="22">
                        <c:v>124.90694444444671</c:v>
                      </c:pt>
                      <c:pt idx="23">
                        <c:v>127.9152777777781</c:v>
                      </c:pt>
                      <c:pt idx="24">
                        <c:v>131.8840277777781</c:v>
                      </c:pt>
                      <c:pt idx="25">
                        <c:v>135.03125</c:v>
                      </c:pt>
                      <c:pt idx="26">
                        <c:v>138.90625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91D8-4FA0-9E3F-6B2E8D30B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</a:rPr>
                  <a:t>CH</a:t>
                </a: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₄</a:t>
                </a:r>
                <a:r>
                  <a:rPr lang="en-US" sz="1800" b="0" i="0" u="none" strike="noStrike" kern="1200" spc="0" baseline="0">
                    <a:solidFill>
                      <a:sysClr val="windowText" lastClr="000000"/>
                    </a:solidFill>
                  </a:rPr>
                  <a:t> Production Rate </a:t>
                </a:r>
              </a:p>
              <a:p>
                <a:pPr>
                  <a:defRPr sz="1600"/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(m3CH</a:t>
                </a: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₄</a:t>
                </a: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/m3rv.d)</a:t>
                </a:r>
              </a:p>
            </c:rich>
          </c:tx>
          <c:layout>
            <c:manualLayout>
              <c:xMode val="edge"/>
              <c:yMode val="edge"/>
              <c:x val="0.91456689966303051"/>
              <c:y val="0.318909191375001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64062177309473523"/>
          <c:y val="0.26427482449861234"/>
          <c:w val="0.20268584185867397"/>
          <c:h val="0.31790779741049119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GC_TCD!$W$2</c:f>
              <c:strCache>
                <c:ptCount val="1"/>
                <c:pt idx="0">
                  <c:v>CH4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GC_TCD!$W$8:$W$102</c:f>
              <c:numCache>
                <c:formatCode>General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5.1048</c:v>
                </c:pt>
                <c:pt idx="6">
                  <c:v>12.2433</c:v>
                </c:pt>
                <c:pt idx="7">
                  <c:v>12.663466666666666</c:v>
                </c:pt>
                <c:pt idx="8">
                  <c:v>19.379933333333334</c:v>
                </c:pt>
                <c:pt idx="9">
                  <c:v>20.246700000000001</c:v>
                </c:pt>
                <c:pt idx="10">
                  <c:v>0</c:v>
                </c:pt>
                <c:pt idx="11">
                  <c:v>17.937966666666668</c:v>
                </c:pt>
                <c:pt idx="12">
                  <c:v>89.163000000000011</c:v>
                </c:pt>
                <c:pt idx="13">
                  <c:v>30.431166666666666</c:v>
                </c:pt>
                <c:pt idx="14">
                  <c:v>40.495633333333338</c:v>
                </c:pt>
                <c:pt idx="15">
                  <c:v>88.412199999999984</c:v>
                </c:pt>
                <c:pt idx="16">
                  <c:v>49.019033333333333</c:v>
                </c:pt>
                <c:pt idx="17">
                  <c:v>14.133866666666668</c:v>
                </c:pt>
                <c:pt idx="18">
                  <c:v>11.5633</c:v>
                </c:pt>
                <c:pt idx="19">
                  <c:v>13.57256667</c:v>
                </c:pt>
                <c:pt idx="20">
                  <c:v>27.094999999999999</c:v>
                </c:pt>
                <c:pt idx="21">
                  <c:v>68.988200000000006</c:v>
                </c:pt>
                <c:pt idx="22">
                  <c:v>75.657033333333331</c:v>
                </c:pt>
                <c:pt idx="23">
                  <c:v>82.638300000000001</c:v>
                </c:pt>
                <c:pt idx="24">
                  <c:v>50.960233333333328</c:v>
                </c:pt>
                <c:pt idx="25">
                  <c:v>45.264699999999998</c:v>
                </c:pt>
                <c:pt idx="26">
                  <c:v>50.395600000000002</c:v>
                </c:pt>
                <c:pt idx="27">
                  <c:v>61.748454647266271</c:v>
                </c:pt>
                <c:pt idx="28">
                  <c:v>51.3217</c:v>
                </c:pt>
                <c:pt idx="29">
                  <c:v>57.428500000000007</c:v>
                </c:pt>
                <c:pt idx="30">
                  <c:v>67.272566666666663</c:v>
                </c:pt>
                <c:pt idx="31">
                  <c:v>72.243166666666653</c:v>
                </c:pt>
                <c:pt idx="32">
                  <c:v>77.505331832279211</c:v>
                </c:pt>
                <c:pt idx="33">
                  <c:v>67.773133333333348</c:v>
                </c:pt>
                <c:pt idx="34">
                  <c:v>73.17540000000001</c:v>
                </c:pt>
                <c:pt idx="35">
                  <c:v>60.329133333333338</c:v>
                </c:pt>
                <c:pt idx="36">
                  <c:v>62.433033333333334</c:v>
                </c:pt>
                <c:pt idx="37">
                  <c:v>75.598666666666659</c:v>
                </c:pt>
                <c:pt idx="38">
                  <c:v>79.696000000000012</c:v>
                </c:pt>
                <c:pt idx="39">
                  <c:v>82.476333333333329</c:v>
                </c:pt>
                <c:pt idx="40">
                  <c:v>80.593699999999998</c:v>
                </c:pt>
                <c:pt idx="41">
                  <c:v>83.335766666666657</c:v>
                </c:pt>
                <c:pt idx="42">
                  <c:v>90.877666666666656</c:v>
                </c:pt>
                <c:pt idx="43">
                  <c:v>86.886866666666677</c:v>
                </c:pt>
                <c:pt idx="44">
                  <c:v>90.854199999999992</c:v>
                </c:pt>
                <c:pt idx="45">
                  <c:v>89.807866666666669</c:v>
                </c:pt>
                <c:pt idx="46">
                  <c:v>91.911466666666669</c:v>
                </c:pt>
                <c:pt idx="47">
                  <c:v>95.201066666666676</c:v>
                </c:pt>
                <c:pt idx="48">
                  <c:v>96.409233333333347</c:v>
                </c:pt>
                <c:pt idx="49">
                  <c:v>95.326399999999992</c:v>
                </c:pt>
                <c:pt idx="50">
                  <c:v>87.194233333333329</c:v>
                </c:pt>
                <c:pt idx="51">
                  <c:v>92.992700000000013</c:v>
                </c:pt>
                <c:pt idx="52">
                  <c:v>97.350766666666672</c:v>
                </c:pt>
                <c:pt idx="53">
                  <c:v>98.266966666666676</c:v>
                </c:pt>
                <c:pt idx="54">
                  <c:v>97.370999999999995</c:v>
                </c:pt>
                <c:pt idx="55">
                  <c:v>65.938400000000001</c:v>
                </c:pt>
                <c:pt idx="56">
                  <c:v>19.745766666666668</c:v>
                </c:pt>
                <c:pt idx="57">
                  <c:v>10.5124</c:v>
                </c:pt>
                <c:pt idx="58">
                  <c:v>71.615799999999993</c:v>
                </c:pt>
                <c:pt idx="59">
                  <c:v>71.589233333333326</c:v>
                </c:pt>
                <c:pt idx="60">
                  <c:v>74.730599999999995</c:v>
                </c:pt>
                <c:pt idx="61">
                  <c:v>79.926699999999997</c:v>
                </c:pt>
                <c:pt idx="62">
                  <c:v>90.001266666666666</c:v>
                </c:pt>
                <c:pt idx="63">
                  <c:v>91.200566666666688</c:v>
                </c:pt>
                <c:pt idx="64">
                  <c:v>93.713833333333312</c:v>
                </c:pt>
                <c:pt idx="65">
                  <c:v>94.147400000000005</c:v>
                </c:pt>
                <c:pt idx="66">
                  <c:v>95.646433333333334</c:v>
                </c:pt>
                <c:pt idx="67">
                  <c:v>88.87406666666665</c:v>
                </c:pt>
                <c:pt idx="68">
                  <c:v>62.658066666666663</c:v>
                </c:pt>
                <c:pt idx="69">
                  <c:v>50.542533333333331</c:v>
                </c:pt>
                <c:pt idx="70">
                  <c:v>46.880633333333343</c:v>
                </c:pt>
                <c:pt idx="71">
                  <c:v>70.126166666666663</c:v>
                </c:pt>
                <c:pt idx="72">
                  <c:v>84.628766666666664</c:v>
                </c:pt>
                <c:pt idx="73">
                  <c:v>86.59793333333333</c:v>
                </c:pt>
                <c:pt idx="74">
                  <c:v>88.067666666666653</c:v>
                </c:pt>
                <c:pt idx="75">
                  <c:v>88.793700000000001</c:v>
                </c:pt>
                <c:pt idx="76">
                  <c:v>88.337933333333339</c:v>
                </c:pt>
                <c:pt idx="77">
                  <c:v>91.960399999999993</c:v>
                </c:pt>
                <c:pt idx="78">
                  <c:v>91.56883333333333</c:v>
                </c:pt>
                <c:pt idx="79">
                  <c:v>93.164333333333332</c:v>
                </c:pt>
                <c:pt idx="80">
                  <c:v>92.946966666666654</c:v>
                </c:pt>
                <c:pt idx="81">
                  <c:v>94.007199999999997</c:v>
                </c:pt>
                <c:pt idx="82">
                  <c:v>94.854466666666667</c:v>
                </c:pt>
                <c:pt idx="83">
                  <c:v>94.832299999999989</c:v>
                </c:pt>
                <c:pt idx="84">
                  <c:v>95.474533333333326</c:v>
                </c:pt>
                <c:pt idx="85">
                  <c:v>95.596299999999999</c:v>
                </c:pt>
                <c:pt idx="86">
                  <c:v>96.390199999999993</c:v>
                </c:pt>
                <c:pt idx="87">
                  <c:v>98.34559999999999</c:v>
                </c:pt>
                <c:pt idx="88">
                  <c:v>97.274333333333331</c:v>
                </c:pt>
                <c:pt idx="89">
                  <c:v>96.960766666666657</c:v>
                </c:pt>
                <c:pt idx="90">
                  <c:v>95.914699999999996</c:v>
                </c:pt>
                <c:pt idx="91">
                  <c:v>94.801700000000025</c:v>
                </c:pt>
                <c:pt idx="92">
                  <c:v>95.407366666666675</c:v>
                </c:pt>
                <c:pt idx="93">
                  <c:v>94.092399999999998</c:v>
                </c:pt>
                <c:pt idx="94">
                  <c:v>95.091600000000014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2C1-4D86-A7BC-3D80B334F5C6}"/>
            </c:ext>
          </c:extLst>
        </c:ser>
        <c:ser>
          <c:idx val="2"/>
          <c:order val="1"/>
          <c:tx>
            <c:strRef>
              <c:f>GC_TCD!$Y$2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GC_TCD!$Y$8:$Y$102</c:f>
              <c:numCache>
                <c:formatCode>General</c:formatCode>
                <c:ptCount val="95"/>
                <c:pt idx="0">
                  <c:v>12.411466666666668</c:v>
                </c:pt>
                <c:pt idx="1">
                  <c:v>12.101033333333334</c:v>
                </c:pt>
                <c:pt idx="2">
                  <c:v>11.754399999999999</c:v>
                </c:pt>
                <c:pt idx="3">
                  <c:v>11.538133333333334</c:v>
                </c:pt>
                <c:pt idx="4">
                  <c:v>6.8155000000000001</c:v>
                </c:pt>
                <c:pt idx="5">
                  <c:v>1.4856666666666667</c:v>
                </c:pt>
                <c:pt idx="6">
                  <c:v>1.5905666666666667</c:v>
                </c:pt>
                <c:pt idx="7">
                  <c:v>0.7546666666666666</c:v>
                </c:pt>
                <c:pt idx="8">
                  <c:v>2.1787666666666667</c:v>
                </c:pt>
                <c:pt idx="9">
                  <c:v>0.96950000000000003</c:v>
                </c:pt>
                <c:pt idx="10">
                  <c:v>0</c:v>
                </c:pt>
                <c:pt idx="11">
                  <c:v>1.2280666666666666</c:v>
                </c:pt>
                <c:pt idx="12">
                  <c:v>10.837000000000002</c:v>
                </c:pt>
                <c:pt idx="13">
                  <c:v>0.61726666666666663</c:v>
                </c:pt>
                <c:pt idx="14">
                  <c:v>0.78633333333333333</c:v>
                </c:pt>
                <c:pt idx="15">
                  <c:v>11.587800000000001</c:v>
                </c:pt>
                <c:pt idx="16">
                  <c:v>4.7115333333333336</c:v>
                </c:pt>
                <c:pt idx="17">
                  <c:v>0.93376666666666674</c:v>
                </c:pt>
                <c:pt idx="18">
                  <c:v>0.30949999999999994</c:v>
                </c:pt>
                <c:pt idx="19">
                  <c:v>0.27350000000000002</c:v>
                </c:pt>
                <c:pt idx="20">
                  <c:v>0.64139999999999997</c:v>
                </c:pt>
                <c:pt idx="21">
                  <c:v>7.890733333</c:v>
                </c:pt>
                <c:pt idx="22">
                  <c:v>6.5735666666666672</c:v>
                </c:pt>
                <c:pt idx="23">
                  <c:v>6.6886666666666663</c:v>
                </c:pt>
                <c:pt idx="24">
                  <c:v>2.6753999999999998</c:v>
                </c:pt>
                <c:pt idx="25">
                  <c:v>1.5496666666666667</c:v>
                </c:pt>
                <c:pt idx="26">
                  <c:v>1.0624666666666667</c:v>
                </c:pt>
                <c:pt idx="27">
                  <c:v>3.7780622344374013</c:v>
                </c:pt>
                <c:pt idx="28">
                  <c:v>1.2834999999999999</c:v>
                </c:pt>
                <c:pt idx="29">
                  <c:v>0.3957</c:v>
                </c:pt>
                <c:pt idx="30">
                  <c:v>23.818233333333335</c:v>
                </c:pt>
                <c:pt idx="31">
                  <c:v>27.756833333333333</c:v>
                </c:pt>
                <c:pt idx="32">
                  <c:v>22.126423296090699</c:v>
                </c:pt>
                <c:pt idx="33">
                  <c:v>26.232033333333334</c:v>
                </c:pt>
                <c:pt idx="34">
                  <c:v>18.237166666666667</c:v>
                </c:pt>
                <c:pt idx="35">
                  <c:v>20.364166666666666</c:v>
                </c:pt>
                <c:pt idx="36">
                  <c:v>21.314966666666667</c:v>
                </c:pt>
                <c:pt idx="37">
                  <c:v>20.7075</c:v>
                </c:pt>
                <c:pt idx="38">
                  <c:v>18.726333333333333</c:v>
                </c:pt>
                <c:pt idx="39">
                  <c:v>17.524266666666666</c:v>
                </c:pt>
                <c:pt idx="40">
                  <c:v>14.019866666666667</c:v>
                </c:pt>
                <c:pt idx="41">
                  <c:v>10.4064</c:v>
                </c:pt>
                <c:pt idx="42">
                  <c:v>6.618966666666668</c:v>
                </c:pt>
                <c:pt idx="43">
                  <c:v>8.5740333333333325</c:v>
                </c:pt>
                <c:pt idx="44">
                  <c:v>7.9512999999999998</c:v>
                </c:pt>
                <c:pt idx="45">
                  <c:v>8.6004666666666676</c:v>
                </c:pt>
                <c:pt idx="46">
                  <c:v>7.0522999999999998</c:v>
                </c:pt>
                <c:pt idx="47">
                  <c:v>4.1046000000000005</c:v>
                </c:pt>
                <c:pt idx="48">
                  <c:v>2.8365666666666667</c:v>
                </c:pt>
                <c:pt idx="49">
                  <c:v>0.70663333333333334</c:v>
                </c:pt>
                <c:pt idx="50">
                  <c:v>1.0085666666666666</c:v>
                </c:pt>
                <c:pt idx="51">
                  <c:v>0.64483333333333337</c:v>
                </c:pt>
                <c:pt idx="52">
                  <c:v>1.1251</c:v>
                </c:pt>
                <c:pt idx="53">
                  <c:v>0.74129999999999996</c:v>
                </c:pt>
                <c:pt idx="54">
                  <c:v>1.6468333333333334</c:v>
                </c:pt>
                <c:pt idx="55">
                  <c:v>7.686666666666668E-2</c:v>
                </c:pt>
                <c:pt idx="56">
                  <c:v>0</c:v>
                </c:pt>
                <c:pt idx="57">
                  <c:v>0</c:v>
                </c:pt>
                <c:pt idx="58">
                  <c:v>4.3467666666666664</c:v>
                </c:pt>
                <c:pt idx="59">
                  <c:v>3.0678999999999998</c:v>
                </c:pt>
                <c:pt idx="60">
                  <c:v>2.7005666666666666</c:v>
                </c:pt>
                <c:pt idx="61">
                  <c:v>1.5954666666666668</c:v>
                </c:pt>
                <c:pt idx="62">
                  <c:v>1.7744</c:v>
                </c:pt>
                <c:pt idx="63">
                  <c:v>3.6055666666666668</c:v>
                </c:pt>
                <c:pt idx="64">
                  <c:v>3.7717666666666667</c:v>
                </c:pt>
                <c:pt idx="65">
                  <c:v>4.0145</c:v>
                </c:pt>
                <c:pt idx="66">
                  <c:v>3.0146999999999999</c:v>
                </c:pt>
                <c:pt idx="67">
                  <c:v>1.3337333333333337</c:v>
                </c:pt>
                <c:pt idx="68">
                  <c:v>0.16493333333333335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0.77619999999999989</c:v>
                </c:pt>
                <c:pt idx="73">
                  <c:v>1.0083</c:v>
                </c:pt>
                <c:pt idx="74">
                  <c:v>2.7566000000000002</c:v>
                </c:pt>
                <c:pt idx="75">
                  <c:v>3.0946333333333329</c:v>
                </c:pt>
                <c:pt idx="76">
                  <c:v>4.9634999999999998</c:v>
                </c:pt>
                <c:pt idx="77">
                  <c:v>3.1055333333333337</c:v>
                </c:pt>
                <c:pt idx="78">
                  <c:v>3.0125999999999995</c:v>
                </c:pt>
                <c:pt idx="79">
                  <c:v>2.7912999999999997</c:v>
                </c:pt>
                <c:pt idx="80">
                  <c:v>3.2565666666666666</c:v>
                </c:pt>
                <c:pt idx="81">
                  <c:v>2.7439</c:v>
                </c:pt>
                <c:pt idx="82">
                  <c:v>1.9735333333333334</c:v>
                </c:pt>
                <c:pt idx="83">
                  <c:v>1.6606666666666667</c:v>
                </c:pt>
                <c:pt idx="84">
                  <c:v>1.6232666666666666</c:v>
                </c:pt>
                <c:pt idx="85">
                  <c:v>1.3059666666666667</c:v>
                </c:pt>
                <c:pt idx="86">
                  <c:v>1.3154333333333332</c:v>
                </c:pt>
                <c:pt idx="87">
                  <c:v>0.41156666666666669</c:v>
                </c:pt>
                <c:pt idx="88">
                  <c:v>0.86790000000000012</c:v>
                </c:pt>
                <c:pt idx="89">
                  <c:v>0.13576666666666667</c:v>
                </c:pt>
                <c:pt idx="90">
                  <c:v>0.56443333333333334</c:v>
                </c:pt>
                <c:pt idx="91">
                  <c:v>0.80446666666666677</c:v>
                </c:pt>
                <c:pt idx="92">
                  <c:v>1.4832999999999998</c:v>
                </c:pt>
                <c:pt idx="93">
                  <c:v>1.1700666666666668</c:v>
                </c:pt>
                <c:pt idx="94">
                  <c:v>0.56593333333333329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2C1-4D86-A7BC-3D80B334F5C6}"/>
            </c:ext>
          </c:extLst>
        </c:ser>
        <c:ser>
          <c:idx val="0"/>
          <c:order val="2"/>
          <c:tx>
            <c:strRef>
              <c:f>GC_TCD!$U$2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GC_TCD!$U$8:$U$102</c:f>
              <c:numCache>
                <c:formatCode>General</c:formatCode>
                <c:ptCount val="95"/>
                <c:pt idx="0">
                  <c:v>87.588533333333331</c:v>
                </c:pt>
                <c:pt idx="1">
                  <c:v>87.898966666666681</c:v>
                </c:pt>
                <c:pt idx="2">
                  <c:v>88.24560000000001</c:v>
                </c:pt>
                <c:pt idx="3">
                  <c:v>88.461866666666666</c:v>
                </c:pt>
                <c:pt idx="4">
                  <c:v>93.1845</c:v>
                </c:pt>
                <c:pt idx="5">
                  <c:v>93.409566666666663</c:v>
                </c:pt>
                <c:pt idx="6">
                  <c:v>86.166133333333335</c:v>
                </c:pt>
                <c:pt idx="7">
                  <c:v>86.58186666666667</c:v>
                </c:pt>
                <c:pt idx="8">
                  <c:v>78.441233333333329</c:v>
                </c:pt>
                <c:pt idx="9">
                  <c:v>78.783799999999999</c:v>
                </c:pt>
                <c:pt idx="10">
                  <c:v>0</c:v>
                </c:pt>
                <c:pt idx="11">
                  <c:v>80.83393333333332</c:v>
                </c:pt>
                <c:pt idx="12">
                  <c:v>0</c:v>
                </c:pt>
                <c:pt idx="13">
                  <c:v>68.950699999999998</c:v>
                </c:pt>
                <c:pt idx="14">
                  <c:v>58.7181</c:v>
                </c:pt>
                <c:pt idx="15">
                  <c:v>0</c:v>
                </c:pt>
                <c:pt idx="16">
                  <c:v>46.269433333333332</c:v>
                </c:pt>
                <c:pt idx="17">
                  <c:v>84.932399999999987</c:v>
                </c:pt>
                <c:pt idx="18">
                  <c:v>88.127200000000002</c:v>
                </c:pt>
                <c:pt idx="19">
                  <c:v>86.153966670000003</c:v>
                </c:pt>
                <c:pt idx="20">
                  <c:v>72.263599999999997</c:v>
                </c:pt>
                <c:pt idx="21">
                  <c:v>23.121066670000001</c:v>
                </c:pt>
                <c:pt idx="22">
                  <c:v>17.769400000000001</c:v>
                </c:pt>
                <c:pt idx="23">
                  <c:v>10.673033333333334</c:v>
                </c:pt>
                <c:pt idx="24">
                  <c:v>46.364399999999996</c:v>
                </c:pt>
                <c:pt idx="25">
                  <c:v>53.185566666666666</c:v>
                </c:pt>
                <c:pt idx="26">
                  <c:v>48.541899999999998</c:v>
                </c:pt>
                <c:pt idx="27">
                  <c:v>34.473530854777252</c:v>
                </c:pt>
                <c:pt idx="28">
                  <c:v>50.728133333333325</c:v>
                </c:pt>
                <c:pt idx="29">
                  <c:v>42.175800000000002</c:v>
                </c:pt>
                <c:pt idx="30">
                  <c:v>8.9092333333333329</c:v>
                </c:pt>
                <c:pt idx="31">
                  <c:v>0</c:v>
                </c:pt>
                <c:pt idx="32">
                  <c:v>0.36833887159730255</c:v>
                </c:pt>
                <c:pt idx="33">
                  <c:v>5.9948333333333332</c:v>
                </c:pt>
                <c:pt idx="34">
                  <c:v>8.5874333333333315</c:v>
                </c:pt>
                <c:pt idx="35">
                  <c:v>19.306700000000003</c:v>
                </c:pt>
                <c:pt idx="36">
                  <c:v>16.251999999999999</c:v>
                </c:pt>
                <c:pt idx="37">
                  <c:v>3.6938666666666666</c:v>
                </c:pt>
                <c:pt idx="38">
                  <c:v>1.5776333333333337</c:v>
                </c:pt>
                <c:pt idx="39">
                  <c:v>0</c:v>
                </c:pt>
                <c:pt idx="40">
                  <c:v>5.3864666666666672</c:v>
                </c:pt>
                <c:pt idx="41">
                  <c:v>6.2578333333333331</c:v>
                </c:pt>
                <c:pt idx="42">
                  <c:v>2.5033666666666665</c:v>
                </c:pt>
                <c:pt idx="43">
                  <c:v>4.5391000000000004</c:v>
                </c:pt>
                <c:pt idx="44">
                  <c:v>1.1944999999999999</c:v>
                </c:pt>
                <c:pt idx="45">
                  <c:v>1.5917000000000001</c:v>
                </c:pt>
                <c:pt idx="46">
                  <c:v>1.0362666666666667</c:v>
                </c:pt>
                <c:pt idx="47">
                  <c:v>0.69433333333333336</c:v>
                </c:pt>
                <c:pt idx="48">
                  <c:v>0.75419999999999998</c:v>
                </c:pt>
                <c:pt idx="49">
                  <c:v>3.9489333333333332</c:v>
                </c:pt>
                <c:pt idx="50">
                  <c:v>11.797166666666667</c:v>
                </c:pt>
                <c:pt idx="51">
                  <c:v>6.3624666666666663</c:v>
                </c:pt>
                <c:pt idx="52">
                  <c:v>1.5241</c:v>
                </c:pt>
                <c:pt idx="53">
                  <c:v>0.99173333333333324</c:v>
                </c:pt>
                <c:pt idx="54">
                  <c:v>0.96713333333333329</c:v>
                </c:pt>
                <c:pt idx="55">
                  <c:v>33.984766666666665</c:v>
                </c:pt>
                <c:pt idx="56">
                  <c:v>80.254233333333332</c:v>
                </c:pt>
                <c:pt idx="57">
                  <c:v>89.4876</c:v>
                </c:pt>
                <c:pt idx="58">
                  <c:v>24.037466666666671</c:v>
                </c:pt>
                <c:pt idx="59">
                  <c:v>25.342833333333331</c:v>
                </c:pt>
                <c:pt idx="60">
                  <c:v>22.568866666666665</c:v>
                </c:pt>
                <c:pt idx="61">
                  <c:v>18.477833333333333</c:v>
                </c:pt>
                <c:pt idx="62">
                  <c:v>8.2243333333333339</c:v>
                </c:pt>
                <c:pt idx="63">
                  <c:v>5.1938666666666675</c:v>
                </c:pt>
                <c:pt idx="64">
                  <c:v>2.5143999999999997</c:v>
                </c:pt>
                <c:pt idx="65">
                  <c:v>1.8381333333333334</c:v>
                </c:pt>
                <c:pt idx="66">
                  <c:v>1.3388333333333333</c:v>
                </c:pt>
                <c:pt idx="67">
                  <c:v>9.7922333333333338</c:v>
                </c:pt>
                <c:pt idx="68">
                  <c:v>37.177033333333334</c:v>
                </c:pt>
                <c:pt idx="69">
                  <c:v>49.457466666666669</c:v>
                </c:pt>
                <c:pt idx="70">
                  <c:v>53.119366666666657</c:v>
                </c:pt>
                <c:pt idx="71">
                  <c:v>29.873833333333334</c:v>
                </c:pt>
                <c:pt idx="72">
                  <c:v>14.595033333333333</c:v>
                </c:pt>
                <c:pt idx="73">
                  <c:v>12.393833333333333</c:v>
                </c:pt>
                <c:pt idx="74">
                  <c:v>9.1757333333333317</c:v>
                </c:pt>
                <c:pt idx="75">
                  <c:v>8.1131900000000012</c:v>
                </c:pt>
                <c:pt idx="76">
                  <c:v>6.6985666666666672</c:v>
                </c:pt>
                <c:pt idx="77">
                  <c:v>4.9340333333333328</c:v>
                </c:pt>
                <c:pt idx="78">
                  <c:v>5.418566666666667</c:v>
                </c:pt>
                <c:pt idx="79">
                  <c:v>4.0443666666666669</c:v>
                </c:pt>
                <c:pt idx="80">
                  <c:v>3.7964333333333333</c:v>
                </c:pt>
                <c:pt idx="81">
                  <c:v>3.2489000000000003</c:v>
                </c:pt>
                <c:pt idx="82">
                  <c:v>3.1720333333333333</c:v>
                </c:pt>
                <c:pt idx="83">
                  <c:v>3.5070333333333337</c:v>
                </c:pt>
                <c:pt idx="84">
                  <c:v>2.9022000000000001</c:v>
                </c:pt>
                <c:pt idx="85">
                  <c:v>3.0977333333333337</c:v>
                </c:pt>
                <c:pt idx="86">
                  <c:v>2.2943666666666664</c:v>
                </c:pt>
                <c:pt idx="87">
                  <c:v>1.2428333333333332</c:v>
                </c:pt>
                <c:pt idx="88">
                  <c:v>1.8589666666666667</c:v>
                </c:pt>
                <c:pt idx="89">
                  <c:v>2.9034666666666666</c:v>
                </c:pt>
                <c:pt idx="90">
                  <c:v>3.5208666666666666</c:v>
                </c:pt>
                <c:pt idx="91">
                  <c:v>4.393933333333333</c:v>
                </c:pt>
                <c:pt idx="92">
                  <c:v>3.1092999999999997</c:v>
                </c:pt>
                <c:pt idx="93">
                  <c:v>4.7375333333333334</c:v>
                </c:pt>
                <c:pt idx="94">
                  <c:v>4.3424666666666667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2C1-4D86-A7BC-3D80B334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GC_TCD!$AA$8:$AA$102</c:f>
              <c:numCache>
                <c:formatCode>General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9.2232258072889289E-2</c:v>
                </c:pt>
                <c:pt idx="6">
                  <c:v>0.21125560486478087</c:v>
                </c:pt>
                <c:pt idx="7">
                  <c:v>0.22294008479318983</c:v>
                </c:pt>
                <c:pt idx="8">
                  <c:v>0.30000768286904744</c:v>
                </c:pt>
                <c:pt idx="9">
                  <c:v>0.38988780319361904</c:v>
                </c:pt>
                <c:pt idx="10">
                  <c:v>0</c:v>
                </c:pt>
                <c:pt idx="11">
                  <c:v>0.29185642102091758</c:v>
                </c:pt>
                <c:pt idx="12">
                  <c:v>1.4169339827290994</c:v>
                </c:pt>
                <c:pt idx="13">
                  <c:v>0.5171908044984419</c:v>
                </c:pt>
                <c:pt idx="14">
                  <c:v>0.52665463455449002</c:v>
                </c:pt>
                <c:pt idx="15">
                  <c:v>2.6931721999884823</c:v>
                </c:pt>
                <c:pt idx="16">
                  <c:v>1.086023310522185</c:v>
                </c:pt>
                <c:pt idx="17">
                  <c:v>0.30186190385873596</c:v>
                </c:pt>
                <c:pt idx="18">
                  <c:v>0.37251143887767746</c:v>
                </c:pt>
                <c:pt idx="19">
                  <c:v>0.21746929409183893</c:v>
                </c:pt>
                <c:pt idx="20">
                  <c:v>0.47884936725962135</c:v>
                </c:pt>
                <c:pt idx="21">
                  <c:v>2.2082927459947319</c:v>
                </c:pt>
                <c:pt idx="22">
                  <c:v>1.8047328434928613</c:v>
                </c:pt>
                <c:pt idx="23">
                  <c:v>1.4836925022042045</c:v>
                </c:pt>
                <c:pt idx="24">
                  <c:v>1.050971596124042</c:v>
                </c:pt>
                <c:pt idx="25">
                  <c:v>0.84107637315570549</c:v>
                </c:pt>
                <c:pt idx="26">
                  <c:v>0.88589197089400551</c:v>
                </c:pt>
                <c:pt idx="27">
                  <c:v>1.0641348802909996</c:v>
                </c:pt>
                <c:pt idx="28">
                  <c:v>0.90435616654263118</c:v>
                </c:pt>
                <c:pt idx="29">
                  <c:v>0.94360412224778534</c:v>
                </c:pt>
                <c:pt idx="30">
                  <c:v>1.8913487562907934</c:v>
                </c:pt>
                <c:pt idx="31">
                  <c:v>1.9774825547116053</c:v>
                </c:pt>
                <c:pt idx="32">
                  <c:v>2.105214087571059</c:v>
                </c:pt>
                <c:pt idx="33">
                  <c:v>2.1220364450347344</c:v>
                </c:pt>
                <c:pt idx="34">
                  <c:v>1.3107817366939623</c:v>
                </c:pt>
                <c:pt idx="35">
                  <c:v>3.6743283297650122</c:v>
                </c:pt>
                <c:pt idx="36">
                  <c:v>1.728624146890855</c:v>
                </c:pt>
                <c:pt idx="37">
                  <c:v>1.977032982578655</c:v>
                </c:pt>
                <c:pt idx="38">
                  <c:v>1.9110168639032392</c:v>
                </c:pt>
                <c:pt idx="39">
                  <c:v>2.0476115511532549</c:v>
                </c:pt>
                <c:pt idx="40">
                  <c:v>2.4109817163894283</c:v>
                </c:pt>
                <c:pt idx="41">
                  <c:v>1.362917137544442</c:v>
                </c:pt>
                <c:pt idx="42">
                  <c:v>1.6488505126702582</c:v>
                </c:pt>
                <c:pt idx="43">
                  <c:v>1.149508634685801</c:v>
                </c:pt>
                <c:pt idx="44">
                  <c:v>1.4811330883295306</c:v>
                </c:pt>
                <c:pt idx="45">
                  <c:v>1.3085728498989129</c:v>
                </c:pt>
                <c:pt idx="46">
                  <c:v>0.88823747477546766</c:v>
                </c:pt>
                <c:pt idx="47">
                  <c:v>0.86721942993724621</c:v>
                </c:pt>
                <c:pt idx="48">
                  <c:v>0.92104001425513449</c:v>
                </c:pt>
                <c:pt idx="49">
                  <c:v>0.72364965433368944</c:v>
                </c:pt>
                <c:pt idx="50">
                  <c:v>0.83569840837831966</c:v>
                </c:pt>
                <c:pt idx="51">
                  <c:v>0.85380583978382318</c:v>
                </c:pt>
                <c:pt idx="52">
                  <c:v>0.8889100918422419</c:v>
                </c:pt>
                <c:pt idx="53">
                  <c:v>0.8252230707381053</c:v>
                </c:pt>
                <c:pt idx="54">
                  <c:v>0.88707753297709735</c:v>
                </c:pt>
                <c:pt idx="55">
                  <c:v>2.0237501912632871</c:v>
                </c:pt>
                <c:pt idx="56">
                  <c:v>0.52668325055773768</c:v>
                </c:pt>
                <c:pt idx="57">
                  <c:v>0.11998535953393052</c:v>
                </c:pt>
                <c:pt idx="58">
                  <c:v>0.80625903157792722</c:v>
                </c:pt>
                <c:pt idx="59">
                  <c:v>1.0095096618232262</c:v>
                </c:pt>
                <c:pt idx="60">
                  <c:v>0.6655208313600931</c:v>
                </c:pt>
                <c:pt idx="61">
                  <c:v>0.73715080179514791</c:v>
                </c:pt>
                <c:pt idx="62">
                  <c:v>1.0326665998606497</c:v>
                </c:pt>
                <c:pt idx="63">
                  <c:v>0.85562625222637345</c:v>
                </c:pt>
                <c:pt idx="64">
                  <c:v>0.83720480259147334</c:v>
                </c:pt>
                <c:pt idx="65">
                  <c:v>0.92099897192418811</c:v>
                </c:pt>
                <c:pt idx="66">
                  <c:v>0.86432108697251309</c:v>
                </c:pt>
                <c:pt idx="67">
                  <c:v>1.7652685403769246</c:v>
                </c:pt>
                <c:pt idx="68">
                  <c:v>1.0526045635179369</c:v>
                </c:pt>
                <c:pt idx="69">
                  <c:v>0.86706770116127996</c:v>
                </c:pt>
                <c:pt idx="70">
                  <c:v>0.47071645759746383</c:v>
                </c:pt>
                <c:pt idx="71">
                  <c:v>0.6978585939986055</c:v>
                </c:pt>
                <c:pt idx="72">
                  <c:v>0.9388099187289165</c:v>
                </c:pt>
                <c:pt idx="73">
                  <c:v>0.88124596009174916</c:v>
                </c:pt>
                <c:pt idx="74">
                  <c:v>0.88562044216731994</c:v>
                </c:pt>
                <c:pt idx="75">
                  <c:v>0.93551342338191212</c:v>
                </c:pt>
                <c:pt idx="76">
                  <c:v>0.85208479422189332</c:v>
                </c:pt>
                <c:pt idx="77">
                  <c:v>0.8931589059715197</c:v>
                </c:pt>
                <c:pt idx="78">
                  <c:v>0.87037017527008986</c:v>
                </c:pt>
                <c:pt idx="79">
                  <c:v>0.88831952950162185</c:v>
                </c:pt>
                <c:pt idx="80">
                  <c:v>0.9136743154852458</c:v>
                </c:pt>
                <c:pt idx="81">
                  <c:v>0.93933157307851844</c:v>
                </c:pt>
                <c:pt idx="82">
                  <c:v>1.0347443767561417</c:v>
                </c:pt>
                <c:pt idx="83">
                  <c:v>0.9209570995528189</c:v>
                </c:pt>
                <c:pt idx="84">
                  <c:v>0.975182165030409</c:v>
                </c:pt>
                <c:pt idx="85">
                  <c:v>0.90630739927203585</c:v>
                </c:pt>
                <c:pt idx="86">
                  <c:v>0.92671318818154258</c:v>
                </c:pt>
                <c:pt idx="87">
                  <c:v>0.9016411968551078</c:v>
                </c:pt>
                <c:pt idx="88">
                  <c:v>0.90181318454992665</c:v>
                </c:pt>
                <c:pt idx="89">
                  <c:v>1.019931817265586</c:v>
                </c:pt>
                <c:pt idx="90">
                  <c:v>1.0633590865160523</c:v>
                </c:pt>
                <c:pt idx="91">
                  <c:v>1.1084319632474537</c:v>
                </c:pt>
                <c:pt idx="92">
                  <c:v>1.0960333061936671</c:v>
                </c:pt>
                <c:pt idx="93">
                  <c:v>0.99724002592196337</c:v>
                </c:pt>
                <c:pt idx="94">
                  <c:v>1.0712710158410916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2C1-4D86-A7BC-3D80B334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CH4 Production Rate </a:t>
                </a:r>
              </a:p>
              <a:p>
                <a:pPr>
                  <a:defRPr sz="1600"/>
                </a:pPr>
                <a:r>
                  <a:rPr lang="en-US" sz="1100" b="0" i="0" u="none" strike="noStrike" kern="1200" spc="0" baseline="0">
                    <a:solidFill>
                      <a:sysClr val="windowText" lastClr="000000"/>
                    </a:solidFill>
                  </a:rPr>
                  <a:t>(m3CH4/m3rv.d)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6.9571547156935684E-2"/>
          <c:y val="0.1568615764621307"/>
          <c:w val="0.1226062060161555"/>
          <c:h val="0.30935757493832589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GC_TCD!$W$2</c:f>
              <c:strCache>
                <c:ptCount val="1"/>
                <c:pt idx="0">
                  <c:v>CH4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GC_TCD!$W$66:$W$115</c:f>
              <c:numCache>
                <c:formatCode>General</c:formatCode>
                <c:ptCount val="50"/>
                <c:pt idx="0">
                  <c:v>71.615799999999993</c:v>
                </c:pt>
                <c:pt idx="1">
                  <c:v>71.589233333333326</c:v>
                </c:pt>
                <c:pt idx="2">
                  <c:v>74.730599999999995</c:v>
                </c:pt>
                <c:pt idx="3">
                  <c:v>79.926699999999997</c:v>
                </c:pt>
                <c:pt idx="4">
                  <c:v>90.001266666666666</c:v>
                </c:pt>
                <c:pt idx="5">
                  <c:v>91.200566666666688</c:v>
                </c:pt>
                <c:pt idx="6">
                  <c:v>93.713833333333312</c:v>
                </c:pt>
                <c:pt idx="7">
                  <c:v>94.147400000000005</c:v>
                </c:pt>
                <c:pt idx="8">
                  <c:v>95.646433333333334</c:v>
                </c:pt>
                <c:pt idx="9">
                  <c:v>88.87406666666665</c:v>
                </c:pt>
                <c:pt idx="10">
                  <c:v>62.658066666666663</c:v>
                </c:pt>
                <c:pt idx="11">
                  <c:v>50.542533333333331</c:v>
                </c:pt>
                <c:pt idx="12">
                  <c:v>46.880633333333343</c:v>
                </c:pt>
                <c:pt idx="13">
                  <c:v>70.126166666666663</c:v>
                </c:pt>
                <c:pt idx="14">
                  <c:v>84.628766666666664</c:v>
                </c:pt>
                <c:pt idx="15">
                  <c:v>86.59793333333333</c:v>
                </c:pt>
                <c:pt idx="16">
                  <c:v>88.067666666666653</c:v>
                </c:pt>
                <c:pt idx="17">
                  <c:v>88.793700000000001</c:v>
                </c:pt>
                <c:pt idx="18">
                  <c:v>88.337933333333339</c:v>
                </c:pt>
                <c:pt idx="19">
                  <c:v>91.960399999999993</c:v>
                </c:pt>
                <c:pt idx="20">
                  <c:v>91.56883333333333</c:v>
                </c:pt>
                <c:pt idx="21">
                  <c:v>93.164333333333332</c:v>
                </c:pt>
                <c:pt idx="22">
                  <c:v>92.946966666666654</c:v>
                </c:pt>
                <c:pt idx="23">
                  <c:v>94.007199999999997</c:v>
                </c:pt>
                <c:pt idx="24">
                  <c:v>94.854466666666667</c:v>
                </c:pt>
                <c:pt idx="25">
                  <c:v>94.832299999999989</c:v>
                </c:pt>
                <c:pt idx="26">
                  <c:v>95.474533333333326</c:v>
                </c:pt>
                <c:pt idx="27">
                  <c:v>95.596299999999999</c:v>
                </c:pt>
                <c:pt idx="28">
                  <c:v>96.390199999999993</c:v>
                </c:pt>
                <c:pt idx="29">
                  <c:v>98.34559999999999</c:v>
                </c:pt>
                <c:pt idx="30">
                  <c:v>97.274333333333331</c:v>
                </c:pt>
                <c:pt idx="31">
                  <c:v>96.960766666666657</c:v>
                </c:pt>
                <c:pt idx="32">
                  <c:v>95.914699999999996</c:v>
                </c:pt>
                <c:pt idx="33">
                  <c:v>94.801700000000025</c:v>
                </c:pt>
                <c:pt idx="34">
                  <c:v>95.407366666666675</c:v>
                </c:pt>
                <c:pt idx="35">
                  <c:v>94.092399999999998</c:v>
                </c:pt>
                <c:pt idx="36">
                  <c:v>95.091600000000014</c:v>
                </c:pt>
                <c:pt idx="37">
                  <c:v>98.159100000000009</c:v>
                </c:pt>
                <c:pt idx="38">
                  <c:v>94.680200000000013</c:v>
                </c:pt>
                <c:pt idx="39">
                  <c:v>94.402733333333344</c:v>
                </c:pt>
                <c:pt idx="40">
                  <c:v>94.91436666666668</c:v>
                </c:pt>
                <c:pt idx="41">
                  <c:v>95.479399999999998</c:v>
                </c:pt>
                <c:pt idx="42">
                  <c:v>94.610566666666671</c:v>
                </c:pt>
                <c:pt idx="43">
                  <c:v>95.237866666666676</c:v>
                </c:pt>
                <c:pt idx="44">
                  <c:v>94.664333333333346</c:v>
                </c:pt>
                <c:pt idx="45">
                  <c:v>94.276500000000013</c:v>
                </c:pt>
                <c:pt idx="46">
                  <c:v>95.838633333333334</c:v>
                </c:pt>
                <c:pt idx="47">
                  <c:v>95.826766666666671</c:v>
                </c:pt>
                <c:pt idx="48">
                  <c:v>95.883799999999994</c:v>
                </c:pt>
                <c:pt idx="49">
                  <c:v>95.724033333333338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GC_TCD!$G$66:$G$115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50"/>
                      <c:pt idx="0">
                        <c:v>154.9013888888876</c:v>
                      </c:pt>
                      <c:pt idx="1">
                        <c:v>155.83750000000146</c:v>
                      </c:pt>
                      <c:pt idx="2">
                        <c:v>156.9423611111124</c:v>
                      </c:pt>
                      <c:pt idx="3">
                        <c:v>159.92569444444234</c:v>
                      </c:pt>
                      <c:pt idx="4">
                        <c:v>161.01597222222335</c:v>
                      </c:pt>
                      <c:pt idx="5">
                        <c:v>161.91388888889196</c:v>
                      </c:pt>
                      <c:pt idx="6">
                        <c:v>162.94583333333139</c:v>
                      </c:pt>
                      <c:pt idx="7">
                        <c:v>163.91458333333139</c:v>
                      </c:pt>
                      <c:pt idx="8">
                        <c:v>166.92013888889051</c:v>
                      </c:pt>
                      <c:pt idx="9">
                        <c:v>167.95138888889051</c:v>
                      </c:pt>
                      <c:pt idx="10">
                        <c:v>168.91597222222481</c:v>
                      </c:pt>
                      <c:pt idx="11">
                        <c:v>169.96180555555475</c:v>
                      </c:pt>
                      <c:pt idx="12">
                        <c:v>170.95486111110949</c:v>
                      </c:pt>
                      <c:pt idx="13">
                        <c:v>173.93472222222044</c:v>
                      </c:pt>
                      <c:pt idx="14">
                        <c:v>174.93541666666715</c:v>
                      </c:pt>
                      <c:pt idx="15">
                        <c:v>175.90555555555329</c:v>
                      </c:pt>
                      <c:pt idx="16">
                        <c:v>176.9506944444438</c:v>
                      </c:pt>
                      <c:pt idx="17">
                        <c:v>177.92569444444234</c:v>
                      </c:pt>
                      <c:pt idx="18">
                        <c:v>180.89583333333576</c:v>
                      </c:pt>
                      <c:pt idx="19">
                        <c:v>181.87361111111386</c:v>
                      </c:pt>
                      <c:pt idx="20">
                        <c:v>182.9013888888876</c:v>
                      </c:pt>
                      <c:pt idx="21">
                        <c:v>183.99166666666861</c:v>
                      </c:pt>
                      <c:pt idx="22">
                        <c:v>184.90833333333285</c:v>
                      </c:pt>
                      <c:pt idx="23">
                        <c:v>187.82847222222335</c:v>
                      </c:pt>
                      <c:pt idx="24">
                        <c:v>188.94930555555766</c:v>
                      </c:pt>
                      <c:pt idx="25">
                        <c:v>189.88055555555184</c:v>
                      </c:pt>
                      <c:pt idx="26">
                        <c:v>190.92500000000291</c:v>
                      </c:pt>
                      <c:pt idx="27">
                        <c:v>191.8840277777781</c:v>
                      </c:pt>
                      <c:pt idx="28">
                        <c:v>194.9013888888876</c:v>
                      </c:pt>
                      <c:pt idx="29">
                        <c:v>195.95208333332994</c:v>
                      </c:pt>
                      <c:pt idx="30">
                        <c:v>196.9645833333343</c:v>
                      </c:pt>
                      <c:pt idx="31">
                        <c:v>199.12569444444671</c:v>
                      </c:pt>
                      <c:pt idx="32">
                        <c:v>201.96319444444089</c:v>
                      </c:pt>
                      <c:pt idx="33">
                        <c:v>202.87222222222044</c:v>
                      </c:pt>
                      <c:pt idx="34">
                        <c:v>204.07499999999709</c:v>
                      </c:pt>
                      <c:pt idx="35">
                        <c:v>204.94583333333139</c:v>
                      </c:pt>
                      <c:pt idx="36">
                        <c:v>205.90000000000146</c:v>
                      </c:pt>
                      <c:pt idx="37">
                        <c:v>208.9194444444438</c:v>
                      </c:pt>
                      <c:pt idx="38">
                        <c:v>210.99027777777519</c:v>
                      </c:pt>
                      <c:pt idx="39">
                        <c:v>211.98750000000291</c:v>
                      </c:pt>
                      <c:pt idx="40">
                        <c:v>212.90416666666715</c:v>
                      </c:pt>
                      <c:pt idx="41">
                        <c:v>215.94583333333139</c:v>
                      </c:pt>
                      <c:pt idx="42">
                        <c:v>216.92222222222335</c:v>
                      </c:pt>
                      <c:pt idx="43">
                        <c:v>217.9333333333343</c:v>
                      </c:pt>
                      <c:pt idx="44">
                        <c:v>218.8972222222219</c:v>
                      </c:pt>
                      <c:pt idx="45">
                        <c:v>225.8701388888876</c:v>
                      </c:pt>
                      <c:pt idx="46">
                        <c:v>232.90486111111386</c:v>
                      </c:pt>
                      <c:pt idx="47">
                        <c:v>233.92291666666279</c:v>
                      </c:pt>
                      <c:pt idx="48">
                        <c:v>236.91249999999854</c:v>
                      </c:pt>
                      <c:pt idx="49">
                        <c:v>237.93541666666715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04C-4B35-827E-60DA7CA44370}"/>
            </c:ext>
          </c:extLst>
        </c:ser>
        <c:ser>
          <c:idx val="2"/>
          <c:order val="1"/>
          <c:tx>
            <c:strRef>
              <c:f>GC_TCD!$Y$2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GC_TCD!$Y$66:$Y$115</c:f>
              <c:numCache>
                <c:formatCode>General</c:formatCode>
                <c:ptCount val="50"/>
                <c:pt idx="0">
                  <c:v>4.3467666666666664</c:v>
                </c:pt>
                <c:pt idx="1">
                  <c:v>3.0678999999999998</c:v>
                </c:pt>
                <c:pt idx="2">
                  <c:v>2.7005666666666666</c:v>
                </c:pt>
                <c:pt idx="3">
                  <c:v>1.5954666666666668</c:v>
                </c:pt>
                <c:pt idx="4">
                  <c:v>1.7744</c:v>
                </c:pt>
                <c:pt idx="5">
                  <c:v>3.6055666666666668</c:v>
                </c:pt>
                <c:pt idx="6">
                  <c:v>3.7717666666666667</c:v>
                </c:pt>
                <c:pt idx="7">
                  <c:v>4.0145</c:v>
                </c:pt>
                <c:pt idx="8">
                  <c:v>3.0146999999999999</c:v>
                </c:pt>
                <c:pt idx="9">
                  <c:v>1.3337333333333337</c:v>
                </c:pt>
                <c:pt idx="10">
                  <c:v>0.16493333333333335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0.77619999999999989</c:v>
                </c:pt>
                <c:pt idx="15">
                  <c:v>1.0083</c:v>
                </c:pt>
                <c:pt idx="16">
                  <c:v>2.7566000000000002</c:v>
                </c:pt>
                <c:pt idx="17">
                  <c:v>3.0946333333333329</c:v>
                </c:pt>
                <c:pt idx="18">
                  <c:v>4.9634999999999998</c:v>
                </c:pt>
                <c:pt idx="19">
                  <c:v>3.1055333333333337</c:v>
                </c:pt>
                <c:pt idx="20">
                  <c:v>3.0125999999999995</c:v>
                </c:pt>
                <c:pt idx="21">
                  <c:v>2.7912999999999997</c:v>
                </c:pt>
                <c:pt idx="22">
                  <c:v>3.2565666666666666</c:v>
                </c:pt>
                <c:pt idx="23">
                  <c:v>2.7439</c:v>
                </c:pt>
                <c:pt idx="24">
                  <c:v>1.9735333333333334</c:v>
                </c:pt>
                <c:pt idx="25">
                  <c:v>1.6606666666666667</c:v>
                </c:pt>
                <c:pt idx="26">
                  <c:v>1.6232666666666666</c:v>
                </c:pt>
                <c:pt idx="27">
                  <c:v>1.3059666666666667</c:v>
                </c:pt>
                <c:pt idx="28">
                  <c:v>1.3154333333333332</c:v>
                </c:pt>
                <c:pt idx="29">
                  <c:v>0.41156666666666669</c:v>
                </c:pt>
                <c:pt idx="30">
                  <c:v>0.86790000000000012</c:v>
                </c:pt>
                <c:pt idx="31">
                  <c:v>0.13576666666666667</c:v>
                </c:pt>
                <c:pt idx="32">
                  <c:v>0.56443333333333334</c:v>
                </c:pt>
                <c:pt idx="33">
                  <c:v>0.80446666666666677</c:v>
                </c:pt>
                <c:pt idx="34">
                  <c:v>1.4832999999999998</c:v>
                </c:pt>
                <c:pt idx="35">
                  <c:v>1.1700666666666668</c:v>
                </c:pt>
                <c:pt idx="36">
                  <c:v>0.56593333333333329</c:v>
                </c:pt>
                <c:pt idx="37">
                  <c:v>0.59083333333333332</c:v>
                </c:pt>
                <c:pt idx="38">
                  <c:v>1.3526666666666667</c:v>
                </c:pt>
                <c:pt idx="39">
                  <c:v>1.4257666666666664</c:v>
                </c:pt>
                <c:pt idx="40">
                  <c:v>1.3079999999999998</c:v>
                </c:pt>
                <c:pt idx="41">
                  <c:v>0.88266666666666671</c:v>
                </c:pt>
                <c:pt idx="42">
                  <c:v>1.0483666666666667</c:v>
                </c:pt>
                <c:pt idx="43">
                  <c:v>0.6744</c:v>
                </c:pt>
                <c:pt idx="44">
                  <c:v>1.3442999999999998</c:v>
                </c:pt>
                <c:pt idx="45">
                  <c:v>1.4417</c:v>
                </c:pt>
                <c:pt idx="46">
                  <c:v>1.3180333333333334</c:v>
                </c:pt>
                <c:pt idx="47">
                  <c:v>0.79139999999999988</c:v>
                </c:pt>
                <c:pt idx="48">
                  <c:v>0.75729999999999997</c:v>
                </c:pt>
                <c:pt idx="49">
                  <c:v>0.50666666666666671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GC_TCD!$G$66:$G$115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50"/>
                      <c:pt idx="0">
                        <c:v>154.9013888888876</c:v>
                      </c:pt>
                      <c:pt idx="1">
                        <c:v>155.83750000000146</c:v>
                      </c:pt>
                      <c:pt idx="2">
                        <c:v>156.9423611111124</c:v>
                      </c:pt>
                      <c:pt idx="3">
                        <c:v>159.92569444444234</c:v>
                      </c:pt>
                      <c:pt idx="4">
                        <c:v>161.01597222222335</c:v>
                      </c:pt>
                      <c:pt idx="5">
                        <c:v>161.91388888889196</c:v>
                      </c:pt>
                      <c:pt idx="6">
                        <c:v>162.94583333333139</c:v>
                      </c:pt>
                      <c:pt idx="7">
                        <c:v>163.91458333333139</c:v>
                      </c:pt>
                      <c:pt idx="8">
                        <c:v>166.92013888889051</c:v>
                      </c:pt>
                      <c:pt idx="9">
                        <c:v>167.95138888889051</c:v>
                      </c:pt>
                      <c:pt idx="10">
                        <c:v>168.91597222222481</c:v>
                      </c:pt>
                      <c:pt idx="11">
                        <c:v>169.96180555555475</c:v>
                      </c:pt>
                      <c:pt idx="12">
                        <c:v>170.95486111110949</c:v>
                      </c:pt>
                      <c:pt idx="13">
                        <c:v>173.93472222222044</c:v>
                      </c:pt>
                      <c:pt idx="14">
                        <c:v>174.93541666666715</c:v>
                      </c:pt>
                      <c:pt idx="15">
                        <c:v>175.90555555555329</c:v>
                      </c:pt>
                      <c:pt idx="16">
                        <c:v>176.9506944444438</c:v>
                      </c:pt>
                      <c:pt idx="17">
                        <c:v>177.92569444444234</c:v>
                      </c:pt>
                      <c:pt idx="18">
                        <c:v>180.89583333333576</c:v>
                      </c:pt>
                      <c:pt idx="19">
                        <c:v>181.87361111111386</c:v>
                      </c:pt>
                      <c:pt idx="20">
                        <c:v>182.9013888888876</c:v>
                      </c:pt>
                      <c:pt idx="21">
                        <c:v>183.99166666666861</c:v>
                      </c:pt>
                      <c:pt idx="22">
                        <c:v>184.90833333333285</c:v>
                      </c:pt>
                      <c:pt idx="23">
                        <c:v>187.82847222222335</c:v>
                      </c:pt>
                      <c:pt idx="24">
                        <c:v>188.94930555555766</c:v>
                      </c:pt>
                      <c:pt idx="25">
                        <c:v>189.88055555555184</c:v>
                      </c:pt>
                      <c:pt idx="26">
                        <c:v>190.92500000000291</c:v>
                      </c:pt>
                      <c:pt idx="27">
                        <c:v>191.8840277777781</c:v>
                      </c:pt>
                      <c:pt idx="28">
                        <c:v>194.9013888888876</c:v>
                      </c:pt>
                      <c:pt idx="29">
                        <c:v>195.95208333332994</c:v>
                      </c:pt>
                      <c:pt idx="30">
                        <c:v>196.9645833333343</c:v>
                      </c:pt>
                      <c:pt idx="31">
                        <c:v>199.12569444444671</c:v>
                      </c:pt>
                      <c:pt idx="32">
                        <c:v>201.96319444444089</c:v>
                      </c:pt>
                      <c:pt idx="33">
                        <c:v>202.87222222222044</c:v>
                      </c:pt>
                      <c:pt idx="34">
                        <c:v>204.07499999999709</c:v>
                      </c:pt>
                      <c:pt idx="35">
                        <c:v>204.94583333333139</c:v>
                      </c:pt>
                      <c:pt idx="36">
                        <c:v>205.90000000000146</c:v>
                      </c:pt>
                      <c:pt idx="37">
                        <c:v>208.9194444444438</c:v>
                      </c:pt>
                      <c:pt idx="38">
                        <c:v>210.99027777777519</c:v>
                      </c:pt>
                      <c:pt idx="39">
                        <c:v>211.98750000000291</c:v>
                      </c:pt>
                      <c:pt idx="40">
                        <c:v>212.90416666666715</c:v>
                      </c:pt>
                      <c:pt idx="41">
                        <c:v>215.94583333333139</c:v>
                      </c:pt>
                      <c:pt idx="42">
                        <c:v>216.92222222222335</c:v>
                      </c:pt>
                      <c:pt idx="43">
                        <c:v>217.9333333333343</c:v>
                      </c:pt>
                      <c:pt idx="44">
                        <c:v>218.8972222222219</c:v>
                      </c:pt>
                      <c:pt idx="45">
                        <c:v>225.8701388888876</c:v>
                      </c:pt>
                      <c:pt idx="46">
                        <c:v>232.90486111111386</c:v>
                      </c:pt>
                      <c:pt idx="47">
                        <c:v>233.92291666666279</c:v>
                      </c:pt>
                      <c:pt idx="48">
                        <c:v>236.91249999999854</c:v>
                      </c:pt>
                      <c:pt idx="49">
                        <c:v>237.93541666666715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04C-4B35-827E-60DA7CA44370}"/>
            </c:ext>
          </c:extLst>
        </c:ser>
        <c:ser>
          <c:idx val="0"/>
          <c:order val="2"/>
          <c:tx>
            <c:strRef>
              <c:f>GC_TCD!$U$2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GC_TCD!$U$66:$U$115</c:f>
              <c:numCache>
                <c:formatCode>General</c:formatCode>
                <c:ptCount val="50"/>
                <c:pt idx="0">
                  <c:v>24.037466666666671</c:v>
                </c:pt>
                <c:pt idx="1">
                  <c:v>25.342833333333331</c:v>
                </c:pt>
                <c:pt idx="2">
                  <c:v>22.568866666666665</c:v>
                </c:pt>
                <c:pt idx="3">
                  <c:v>18.477833333333333</c:v>
                </c:pt>
                <c:pt idx="4">
                  <c:v>8.2243333333333339</c:v>
                </c:pt>
                <c:pt idx="5">
                  <c:v>5.1938666666666675</c:v>
                </c:pt>
                <c:pt idx="6">
                  <c:v>2.5143999999999997</c:v>
                </c:pt>
                <c:pt idx="7">
                  <c:v>1.8381333333333334</c:v>
                </c:pt>
                <c:pt idx="8">
                  <c:v>1.3388333333333333</c:v>
                </c:pt>
                <c:pt idx="9">
                  <c:v>9.7922333333333338</c:v>
                </c:pt>
                <c:pt idx="10">
                  <c:v>37.177033333333334</c:v>
                </c:pt>
                <c:pt idx="11">
                  <c:v>49.457466666666669</c:v>
                </c:pt>
                <c:pt idx="12">
                  <c:v>53.119366666666657</c:v>
                </c:pt>
                <c:pt idx="13">
                  <c:v>29.873833333333334</c:v>
                </c:pt>
                <c:pt idx="14">
                  <c:v>14.595033333333333</c:v>
                </c:pt>
                <c:pt idx="15">
                  <c:v>12.393833333333333</c:v>
                </c:pt>
                <c:pt idx="16">
                  <c:v>9.1757333333333317</c:v>
                </c:pt>
                <c:pt idx="17">
                  <c:v>8.1131900000000012</c:v>
                </c:pt>
                <c:pt idx="18">
                  <c:v>6.6985666666666672</c:v>
                </c:pt>
                <c:pt idx="19">
                  <c:v>4.9340333333333328</c:v>
                </c:pt>
                <c:pt idx="20">
                  <c:v>5.418566666666667</c:v>
                </c:pt>
                <c:pt idx="21">
                  <c:v>4.0443666666666669</c:v>
                </c:pt>
                <c:pt idx="22">
                  <c:v>3.7964333333333333</c:v>
                </c:pt>
                <c:pt idx="23">
                  <c:v>3.2489000000000003</c:v>
                </c:pt>
                <c:pt idx="24">
                  <c:v>3.1720333333333333</c:v>
                </c:pt>
                <c:pt idx="25">
                  <c:v>3.5070333333333337</c:v>
                </c:pt>
                <c:pt idx="26">
                  <c:v>2.9022000000000001</c:v>
                </c:pt>
                <c:pt idx="27">
                  <c:v>3.0977333333333337</c:v>
                </c:pt>
                <c:pt idx="28">
                  <c:v>2.2943666666666664</c:v>
                </c:pt>
                <c:pt idx="29">
                  <c:v>1.2428333333333332</c:v>
                </c:pt>
                <c:pt idx="30">
                  <c:v>1.8589666666666667</c:v>
                </c:pt>
                <c:pt idx="31">
                  <c:v>2.9034666666666666</c:v>
                </c:pt>
                <c:pt idx="32">
                  <c:v>3.5208666666666666</c:v>
                </c:pt>
                <c:pt idx="33">
                  <c:v>4.393933333333333</c:v>
                </c:pt>
                <c:pt idx="34">
                  <c:v>3.1092999999999997</c:v>
                </c:pt>
                <c:pt idx="35">
                  <c:v>4.7375333333333334</c:v>
                </c:pt>
                <c:pt idx="36">
                  <c:v>4.3424666666666667</c:v>
                </c:pt>
                <c:pt idx="37">
                  <c:v>1.2500666666666667</c:v>
                </c:pt>
                <c:pt idx="38">
                  <c:v>3.9670999999999998</c:v>
                </c:pt>
                <c:pt idx="39">
                  <c:v>4.1715333333333335</c:v>
                </c:pt>
                <c:pt idx="40">
                  <c:v>3.7776666666666667</c:v>
                </c:pt>
                <c:pt idx="41">
                  <c:v>3.6379333333333332</c:v>
                </c:pt>
                <c:pt idx="42">
                  <c:v>4.3410333333333329</c:v>
                </c:pt>
                <c:pt idx="43">
                  <c:v>4.0876999999999999</c:v>
                </c:pt>
                <c:pt idx="44">
                  <c:v>3.9913666666666665</c:v>
                </c:pt>
                <c:pt idx="45">
                  <c:v>4.2818000000000005</c:v>
                </c:pt>
                <c:pt idx="46">
                  <c:v>2.8433333333333333</c:v>
                </c:pt>
                <c:pt idx="47">
                  <c:v>3.3821333333333334</c:v>
                </c:pt>
                <c:pt idx="48">
                  <c:v>3.3588666666666662</c:v>
                </c:pt>
                <c:pt idx="49">
                  <c:v>3.7687000000000004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GC_TCD!$G$66:$G$115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50"/>
                      <c:pt idx="0">
                        <c:v>154.9013888888876</c:v>
                      </c:pt>
                      <c:pt idx="1">
                        <c:v>155.83750000000146</c:v>
                      </c:pt>
                      <c:pt idx="2">
                        <c:v>156.9423611111124</c:v>
                      </c:pt>
                      <c:pt idx="3">
                        <c:v>159.92569444444234</c:v>
                      </c:pt>
                      <c:pt idx="4">
                        <c:v>161.01597222222335</c:v>
                      </c:pt>
                      <c:pt idx="5">
                        <c:v>161.91388888889196</c:v>
                      </c:pt>
                      <c:pt idx="6">
                        <c:v>162.94583333333139</c:v>
                      </c:pt>
                      <c:pt idx="7">
                        <c:v>163.91458333333139</c:v>
                      </c:pt>
                      <c:pt idx="8">
                        <c:v>166.92013888889051</c:v>
                      </c:pt>
                      <c:pt idx="9">
                        <c:v>167.95138888889051</c:v>
                      </c:pt>
                      <c:pt idx="10">
                        <c:v>168.91597222222481</c:v>
                      </c:pt>
                      <c:pt idx="11">
                        <c:v>169.96180555555475</c:v>
                      </c:pt>
                      <c:pt idx="12">
                        <c:v>170.95486111110949</c:v>
                      </c:pt>
                      <c:pt idx="13">
                        <c:v>173.93472222222044</c:v>
                      </c:pt>
                      <c:pt idx="14">
                        <c:v>174.93541666666715</c:v>
                      </c:pt>
                      <c:pt idx="15">
                        <c:v>175.90555555555329</c:v>
                      </c:pt>
                      <c:pt idx="16">
                        <c:v>176.9506944444438</c:v>
                      </c:pt>
                      <c:pt idx="17">
                        <c:v>177.92569444444234</c:v>
                      </c:pt>
                      <c:pt idx="18">
                        <c:v>180.89583333333576</c:v>
                      </c:pt>
                      <c:pt idx="19">
                        <c:v>181.87361111111386</c:v>
                      </c:pt>
                      <c:pt idx="20">
                        <c:v>182.9013888888876</c:v>
                      </c:pt>
                      <c:pt idx="21">
                        <c:v>183.99166666666861</c:v>
                      </c:pt>
                      <c:pt idx="22">
                        <c:v>184.90833333333285</c:v>
                      </c:pt>
                      <c:pt idx="23">
                        <c:v>187.82847222222335</c:v>
                      </c:pt>
                      <c:pt idx="24">
                        <c:v>188.94930555555766</c:v>
                      </c:pt>
                      <c:pt idx="25">
                        <c:v>189.88055555555184</c:v>
                      </c:pt>
                      <c:pt idx="26">
                        <c:v>190.92500000000291</c:v>
                      </c:pt>
                      <c:pt idx="27">
                        <c:v>191.8840277777781</c:v>
                      </c:pt>
                      <c:pt idx="28">
                        <c:v>194.9013888888876</c:v>
                      </c:pt>
                      <c:pt idx="29">
                        <c:v>195.95208333332994</c:v>
                      </c:pt>
                      <c:pt idx="30">
                        <c:v>196.9645833333343</c:v>
                      </c:pt>
                      <c:pt idx="31">
                        <c:v>199.12569444444671</c:v>
                      </c:pt>
                      <c:pt idx="32">
                        <c:v>201.96319444444089</c:v>
                      </c:pt>
                      <c:pt idx="33">
                        <c:v>202.87222222222044</c:v>
                      </c:pt>
                      <c:pt idx="34">
                        <c:v>204.07499999999709</c:v>
                      </c:pt>
                      <c:pt idx="35">
                        <c:v>204.94583333333139</c:v>
                      </c:pt>
                      <c:pt idx="36">
                        <c:v>205.90000000000146</c:v>
                      </c:pt>
                      <c:pt idx="37">
                        <c:v>208.9194444444438</c:v>
                      </c:pt>
                      <c:pt idx="38">
                        <c:v>210.99027777777519</c:v>
                      </c:pt>
                      <c:pt idx="39">
                        <c:v>211.98750000000291</c:v>
                      </c:pt>
                      <c:pt idx="40">
                        <c:v>212.90416666666715</c:v>
                      </c:pt>
                      <c:pt idx="41">
                        <c:v>215.94583333333139</c:v>
                      </c:pt>
                      <c:pt idx="42">
                        <c:v>216.92222222222335</c:v>
                      </c:pt>
                      <c:pt idx="43">
                        <c:v>217.9333333333343</c:v>
                      </c:pt>
                      <c:pt idx="44">
                        <c:v>218.8972222222219</c:v>
                      </c:pt>
                      <c:pt idx="45">
                        <c:v>225.8701388888876</c:v>
                      </c:pt>
                      <c:pt idx="46">
                        <c:v>232.90486111111386</c:v>
                      </c:pt>
                      <c:pt idx="47">
                        <c:v>233.92291666666279</c:v>
                      </c:pt>
                      <c:pt idx="48">
                        <c:v>236.91249999999854</c:v>
                      </c:pt>
                      <c:pt idx="49">
                        <c:v>237.93541666666715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04C-4B35-827E-60DA7CA4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GC_TCD!$AA$66:$AA$115</c:f>
              <c:numCache>
                <c:formatCode>General</c:formatCode>
                <c:ptCount val="50"/>
                <c:pt idx="0">
                  <c:v>0.80625903157792722</c:v>
                </c:pt>
                <c:pt idx="1">
                  <c:v>1.0095096618232262</c:v>
                </c:pt>
                <c:pt idx="2">
                  <c:v>0.6655208313600931</c:v>
                </c:pt>
                <c:pt idx="3">
                  <c:v>0.73715080179514791</c:v>
                </c:pt>
                <c:pt idx="4">
                  <c:v>1.0326665998606497</c:v>
                </c:pt>
                <c:pt idx="5">
                  <c:v>0.85562625222637345</c:v>
                </c:pt>
                <c:pt idx="6">
                  <c:v>0.83720480259147334</c:v>
                </c:pt>
                <c:pt idx="7">
                  <c:v>0.92099897192418811</c:v>
                </c:pt>
                <c:pt idx="8">
                  <c:v>0.86432108697251309</c:v>
                </c:pt>
                <c:pt idx="9">
                  <c:v>1.7652685403769246</c:v>
                </c:pt>
                <c:pt idx="10">
                  <c:v>1.0526045635179369</c:v>
                </c:pt>
                <c:pt idx="11">
                  <c:v>0.86706770116127996</c:v>
                </c:pt>
                <c:pt idx="12">
                  <c:v>0.47071645759746383</c:v>
                </c:pt>
                <c:pt idx="13">
                  <c:v>0.6978585939986055</c:v>
                </c:pt>
                <c:pt idx="14">
                  <c:v>0.9388099187289165</c:v>
                </c:pt>
                <c:pt idx="15">
                  <c:v>0.88124596009174916</c:v>
                </c:pt>
                <c:pt idx="16">
                  <c:v>0.88562044216731994</c:v>
                </c:pt>
                <c:pt idx="17">
                  <c:v>0.93551342338191212</c:v>
                </c:pt>
                <c:pt idx="18">
                  <c:v>0.85208479422189332</c:v>
                </c:pt>
                <c:pt idx="19">
                  <c:v>0.8931589059715197</c:v>
                </c:pt>
                <c:pt idx="20">
                  <c:v>0.87037017527008986</c:v>
                </c:pt>
                <c:pt idx="21">
                  <c:v>0.88831952950162185</c:v>
                </c:pt>
                <c:pt idx="22">
                  <c:v>0.9136743154852458</c:v>
                </c:pt>
                <c:pt idx="23">
                  <c:v>0.93933157307851844</c:v>
                </c:pt>
                <c:pt idx="24">
                  <c:v>1.0347443767561417</c:v>
                </c:pt>
                <c:pt idx="25">
                  <c:v>0.9209570995528189</c:v>
                </c:pt>
                <c:pt idx="26">
                  <c:v>0.975182165030409</c:v>
                </c:pt>
                <c:pt idx="27">
                  <c:v>0.90630739927203585</c:v>
                </c:pt>
                <c:pt idx="28">
                  <c:v>0.92671318818154258</c:v>
                </c:pt>
                <c:pt idx="29">
                  <c:v>0.9016411968551078</c:v>
                </c:pt>
                <c:pt idx="30">
                  <c:v>0.90181318454992665</c:v>
                </c:pt>
                <c:pt idx="31">
                  <c:v>1.019931817265586</c:v>
                </c:pt>
                <c:pt idx="32">
                  <c:v>1.0633590865160523</c:v>
                </c:pt>
                <c:pt idx="33">
                  <c:v>1.1084319632474537</c:v>
                </c:pt>
                <c:pt idx="34">
                  <c:v>1.0960333061936671</c:v>
                </c:pt>
                <c:pt idx="35">
                  <c:v>0.99724002592196337</c:v>
                </c:pt>
                <c:pt idx="36">
                  <c:v>1.0712710158410916</c:v>
                </c:pt>
                <c:pt idx="37">
                  <c:v>1.0900099841983806</c:v>
                </c:pt>
                <c:pt idx="38">
                  <c:v>1.0875040024769718</c:v>
                </c:pt>
                <c:pt idx="39">
                  <c:v>1.0356235647563925</c:v>
                </c:pt>
                <c:pt idx="40">
                  <c:v>1.0242672949327269</c:v>
                </c:pt>
                <c:pt idx="41">
                  <c:v>1.0795068447139695</c:v>
                </c:pt>
                <c:pt idx="42">
                  <c:v>1.0965374904801413</c:v>
                </c:pt>
                <c:pt idx="43">
                  <c:v>1.0474783860983361</c:v>
                </c:pt>
                <c:pt idx="44">
                  <c:v>1.1387281438255905</c:v>
                </c:pt>
                <c:pt idx="45">
                  <c:v>1.0699406615946507</c:v>
                </c:pt>
                <c:pt idx="46">
                  <c:v>1.0765861993223795</c:v>
                </c:pt>
                <c:pt idx="47">
                  <c:v>1.0393187564602859</c:v>
                </c:pt>
                <c:pt idx="48">
                  <c:v>1.0428856051935746</c:v>
                </c:pt>
                <c:pt idx="49">
                  <c:v>1.1068995371136583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GC_TCD!$G$66:$G$115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50"/>
                      <c:pt idx="0">
                        <c:v>154.9013888888876</c:v>
                      </c:pt>
                      <c:pt idx="1">
                        <c:v>155.83750000000146</c:v>
                      </c:pt>
                      <c:pt idx="2">
                        <c:v>156.9423611111124</c:v>
                      </c:pt>
                      <c:pt idx="3">
                        <c:v>159.92569444444234</c:v>
                      </c:pt>
                      <c:pt idx="4">
                        <c:v>161.01597222222335</c:v>
                      </c:pt>
                      <c:pt idx="5">
                        <c:v>161.91388888889196</c:v>
                      </c:pt>
                      <c:pt idx="6">
                        <c:v>162.94583333333139</c:v>
                      </c:pt>
                      <c:pt idx="7">
                        <c:v>163.91458333333139</c:v>
                      </c:pt>
                      <c:pt idx="8">
                        <c:v>166.92013888889051</c:v>
                      </c:pt>
                      <c:pt idx="9">
                        <c:v>167.95138888889051</c:v>
                      </c:pt>
                      <c:pt idx="10">
                        <c:v>168.91597222222481</c:v>
                      </c:pt>
                      <c:pt idx="11">
                        <c:v>169.96180555555475</c:v>
                      </c:pt>
                      <c:pt idx="12">
                        <c:v>170.95486111110949</c:v>
                      </c:pt>
                      <c:pt idx="13">
                        <c:v>173.93472222222044</c:v>
                      </c:pt>
                      <c:pt idx="14">
                        <c:v>174.93541666666715</c:v>
                      </c:pt>
                      <c:pt idx="15">
                        <c:v>175.90555555555329</c:v>
                      </c:pt>
                      <c:pt idx="16">
                        <c:v>176.9506944444438</c:v>
                      </c:pt>
                      <c:pt idx="17">
                        <c:v>177.92569444444234</c:v>
                      </c:pt>
                      <c:pt idx="18">
                        <c:v>180.89583333333576</c:v>
                      </c:pt>
                      <c:pt idx="19">
                        <c:v>181.87361111111386</c:v>
                      </c:pt>
                      <c:pt idx="20">
                        <c:v>182.9013888888876</c:v>
                      </c:pt>
                      <c:pt idx="21">
                        <c:v>183.99166666666861</c:v>
                      </c:pt>
                      <c:pt idx="22">
                        <c:v>184.90833333333285</c:v>
                      </c:pt>
                      <c:pt idx="23">
                        <c:v>187.82847222222335</c:v>
                      </c:pt>
                      <c:pt idx="24">
                        <c:v>188.94930555555766</c:v>
                      </c:pt>
                      <c:pt idx="25">
                        <c:v>189.88055555555184</c:v>
                      </c:pt>
                      <c:pt idx="26">
                        <c:v>190.92500000000291</c:v>
                      </c:pt>
                      <c:pt idx="27">
                        <c:v>191.8840277777781</c:v>
                      </c:pt>
                      <c:pt idx="28">
                        <c:v>194.9013888888876</c:v>
                      </c:pt>
                      <c:pt idx="29">
                        <c:v>195.95208333332994</c:v>
                      </c:pt>
                      <c:pt idx="30">
                        <c:v>196.9645833333343</c:v>
                      </c:pt>
                      <c:pt idx="31">
                        <c:v>199.12569444444671</c:v>
                      </c:pt>
                      <c:pt idx="32">
                        <c:v>201.96319444444089</c:v>
                      </c:pt>
                      <c:pt idx="33">
                        <c:v>202.87222222222044</c:v>
                      </c:pt>
                      <c:pt idx="34">
                        <c:v>204.07499999999709</c:v>
                      </c:pt>
                      <c:pt idx="35">
                        <c:v>204.94583333333139</c:v>
                      </c:pt>
                      <c:pt idx="36">
                        <c:v>205.90000000000146</c:v>
                      </c:pt>
                      <c:pt idx="37">
                        <c:v>208.9194444444438</c:v>
                      </c:pt>
                      <c:pt idx="38">
                        <c:v>210.99027777777519</c:v>
                      </c:pt>
                      <c:pt idx="39">
                        <c:v>211.98750000000291</c:v>
                      </c:pt>
                      <c:pt idx="40">
                        <c:v>212.90416666666715</c:v>
                      </c:pt>
                      <c:pt idx="41">
                        <c:v>215.94583333333139</c:v>
                      </c:pt>
                      <c:pt idx="42">
                        <c:v>216.92222222222335</c:v>
                      </c:pt>
                      <c:pt idx="43">
                        <c:v>217.9333333333343</c:v>
                      </c:pt>
                      <c:pt idx="44">
                        <c:v>218.8972222222219</c:v>
                      </c:pt>
                      <c:pt idx="45">
                        <c:v>225.8701388888876</c:v>
                      </c:pt>
                      <c:pt idx="46">
                        <c:v>232.90486111111386</c:v>
                      </c:pt>
                      <c:pt idx="47">
                        <c:v>233.92291666666279</c:v>
                      </c:pt>
                      <c:pt idx="48">
                        <c:v>236.91249999999854</c:v>
                      </c:pt>
                      <c:pt idx="49">
                        <c:v>237.93541666666715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B04C-4B35-827E-60DA7CA4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CH4 Production Rate </a:t>
                </a:r>
              </a:p>
              <a:p>
                <a:pPr>
                  <a:defRPr sz="1600"/>
                </a:pPr>
                <a:r>
                  <a:rPr lang="en-US" sz="1100" b="0" i="0" u="none" strike="noStrike" kern="1200" spc="0" baseline="0">
                    <a:solidFill>
                      <a:sysClr val="windowText" lastClr="000000"/>
                    </a:solidFill>
                  </a:rPr>
                  <a:t>(m3CH4/m3rv.d)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22461034635584604"/>
          <c:y val="0.58621360854483351"/>
          <c:w val="0.19338471214859518"/>
          <c:h val="0.21307869303222343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GC_TCD!$W$2</c:f>
              <c:strCache>
                <c:ptCount val="1"/>
                <c:pt idx="0">
                  <c:v>CH4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GC_TCD!$W$80:$W$167</c:f>
              <c:numCache>
                <c:formatCode>General</c:formatCode>
                <c:ptCount val="88"/>
                <c:pt idx="0">
                  <c:v>84.628766666666664</c:v>
                </c:pt>
                <c:pt idx="1">
                  <c:v>86.59793333333333</c:v>
                </c:pt>
                <c:pt idx="2">
                  <c:v>88.067666666666653</c:v>
                </c:pt>
                <c:pt idx="3">
                  <c:v>88.793700000000001</c:v>
                </c:pt>
                <c:pt idx="4">
                  <c:v>88.337933333333339</c:v>
                </c:pt>
                <c:pt idx="5">
                  <c:v>91.960399999999993</c:v>
                </c:pt>
                <c:pt idx="6">
                  <c:v>91.56883333333333</c:v>
                </c:pt>
                <c:pt idx="7">
                  <c:v>93.164333333333332</c:v>
                </c:pt>
                <c:pt idx="8">
                  <c:v>92.946966666666654</c:v>
                </c:pt>
                <c:pt idx="9">
                  <c:v>94.007199999999997</c:v>
                </c:pt>
                <c:pt idx="10">
                  <c:v>94.854466666666667</c:v>
                </c:pt>
                <c:pt idx="11">
                  <c:v>94.832299999999989</c:v>
                </c:pt>
                <c:pt idx="12">
                  <c:v>95.474533333333326</c:v>
                </c:pt>
                <c:pt idx="13">
                  <c:v>95.596299999999999</c:v>
                </c:pt>
                <c:pt idx="14">
                  <c:v>96.390199999999993</c:v>
                </c:pt>
                <c:pt idx="15">
                  <c:v>98.34559999999999</c:v>
                </c:pt>
                <c:pt idx="16">
                  <c:v>97.274333333333331</c:v>
                </c:pt>
                <c:pt idx="17">
                  <c:v>96.960766666666657</c:v>
                </c:pt>
                <c:pt idx="18">
                  <c:v>95.914699999999996</c:v>
                </c:pt>
                <c:pt idx="19">
                  <c:v>94.801700000000025</c:v>
                </c:pt>
                <c:pt idx="20">
                  <c:v>95.407366666666675</c:v>
                </c:pt>
                <c:pt idx="21">
                  <c:v>94.092399999999998</c:v>
                </c:pt>
                <c:pt idx="22">
                  <c:v>95.091600000000014</c:v>
                </c:pt>
                <c:pt idx="23">
                  <c:v>98.159100000000009</c:v>
                </c:pt>
                <c:pt idx="24">
                  <c:v>94.680200000000013</c:v>
                </c:pt>
                <c:pt idx="25">
                  <c:v>94.402733333333344</c:v>
                </c:pt>
                <c:pt idx="26">
                  <c:v>94.91436666666668</c:v>
                </c:pt>
                <c:pt idx="27">
                  <c:v>95.479399999999998</c:v>
                </c:pt>
                <c:pt idx="28">
                  <c:v>94.610566666666671</c:v>
                </c:pt>
                <c:pt idx="29">
                  <c:v>95.237866666666676</c:v>
                </c:pt>
                <c:pt idx="30">
                  <c:v>94.664333333333346</c:v>
                </c:pt>
                <c:pt idx="31">
                  <c:v>94.276500000000013</c:v>
                </c:pt>
                <c:pt idx="32">
                  <c:v>95.838633333333334</c:v>
                </c:pt>
                <c:pt idx="33">
                  <c:v>95.826766666666671</c:v>
                </c:pt>
                <c:pt idx="34">
                  <c:v>95.883799999999994</c:v>
                </c:pt>
                <c:pt idx="35">
                  <c:v>95.724033333333338</c:v>
                </c:pt>
                <c:pt idx="36">
                  <c:v>95.182900000000004</c:v>
                </c:pt>
                <c:pt idx="37">
                  <c:v>94.508233333333337</c:v>
                </c:pt>
                <c:pt idx="38">
                  <c:v>93.948033333333328</c:v>
                </c:pt>
                <c:pt idx="39">
                  <c:v>92.695399999999992</c:v>
                </c:pt>
                <c:pt idx="40">
                  <c:v>92.401933333333318</c:v>
                </c:pt>
                <c:pt idx="41">
                  <c:v>92.186266666666668</c:v>
                </c:pt>
                <c:pt idx="42">
                  <c:v>93.231133333333332</c:v>
                </c:pt>
                <c:pt idx="43">
                  <c:v>94.580233333333339</c:v>
                </c:pt>
                <c:pt idx="44">
                  <c:v>96.895166666666668</c:v>
                </c:pt>
                <c:pt idx="45">
                  <c:v>98.776766666666674</c:v>
                </c:pt>
                <c:pt idx="46">
                  <c:v>98.701300000000003</c:v>
                </c:pt>
                <c:pt idx="47">
                  <c:v>98.581599999999995</c:v>
                </c:pt>
                <c:pt idx="48">
                  <c:v>98.313400000000001</c:v>
                </c:pt>
                <c:pt idx="49">
                  <c:v>97.114166666666662</c:v>
                </c:pt>
                <c:pt idx="50">
                  <c:v>96.290499999999994</c:v>
                </c:pt>
                <c:pt idx="51">
                  <c:v>95.227766666666682</c:v>
                </c:pt>
                <c:pt idx="52">
                  <c:v>93.941800000000001</c:v>
                </c:pt>
                <c:pt idx="53">
                  <c:v>92.513799999999989</c:v>
                </c:pt>
                <c:pt idx="54">
                  <c:v>94.922266666666658</c:v>
                </c:pt>
                <c:pt idx="55">
                  <c:v>95.692499999999995</c:v>
                </c:pt>
                <c:pt idx="56">
                  <c:v>96.581999999999994</c:v>
                </c:pt>
                <c:pt idx="57">
                  <c:v>97.002133333333333</c:v>
                </c:pt>
                <c:pt idx="58">
                  <c:v>98.781466666666674</c:v>
                </c:pt>
                <c:pt idx="59">
                  <c:v>96.537533333333329</c:v>
                </c:pt>
                <c:pt idx="60">
                  <c:v>94.927900000000008</c:v>
                </c:pt>
                <c:pt idx="61">
                  <c:v>93.972999999999999</c:v>
                </c:pt>
                <c:pt idx="62">
                  <c:v>89.501533333333327</c:v>
                </c:pt>
                <c:pt idx="63">
                  <c:v>90.349266666666665</c:v>
                </c:pt>
                <c:pt idx="64">
                  <c:v>93.301266666666663</c:v>
                </c:pt>
                <c:pt idx="65">
                  <c:v>95.63709999999999</c:v>
                </c:pt>
                <c:pt idx="66">
                  <c:v>95.630299999999991</c:v>
                </c:pt>
                <c:pt idx="67">
                  <c:v>88.866366666666678</c:v>
                </c:pt>
                <c:pt idx="68">
                  <c:v>85.323633333333333</c:v>
                </c:pt>
                <c:pt idx="69">
                  <c:v>89.277199999999993</c:v>
                </c:pt>
                <c:pt idx="70">
                  <c:v>90.534400000000005</c:v>
                </c:pt>
                <c:pt idx="71">
                  <c:v>91.807200000000009</c:v>
                </c:pt>
                <c:pt idx="72">
                  <c:v>92.907799999999995</c:v>
                </c:pt>
                <c:pt idx="73">
                  <c:v>92.607166666666672</c:v>
                </c:pt>
                <c:pt idx="74">
                  <c:v>92.79</c:v>
                </c:pt>
                <c:pt idx="75">
                  <c:v>92.365066666666664</c:v>
                </c:pt>
                <c:pt idx="76">
                  <c:v>87.33120000000001</c:v>
                </c:pt>
                <c:pt idx="77">
                  <c:v>74.356333333333339</c:v>
                </c:pt>
                <c:pt idx="78">
                  <c:v>87.368533333333332</c:v>
                </c:pt>
                <c:pt idx="79">
                  <c:v>92.963666666666654</c:v>
                </c:pt>
                <c:pt idx="80">
                  <c:v>94.372466666666654</c:v>
                </c:pt>
                <c:pt idx="81">
                  <c:v>94.746399999999994</c:v>
                </c:pt>
                <c:pt idx="82">
                  <c:v>94.994933333333336</c:v>
                </c:pt>
                <c:pt idx="83">
                  <c:v>92.482533333333336</c:v>
                </c:pt>
                <c:pt idx="84">
                  <c:v>92.666466666666665</c:v>
                </c:pt>
                <c:pt idx="85">
                  <c:v>93.599400000000003</c:v>
                </c:pt>
                <c:pt idx="86">
                  <c:v>94.180300000000003</c:v>
                </c:pt>
                <c:pt idx="87">
                  <c:v>83.1858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GC_TCD!$G$80:$G$167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88"/>
                      <c:pt idx="0">
                        <c:v>174.93541666666715</c:v>
                      </c:pt>
                      <c:pt idx="1">
                        <c:v>175.90555555555329</c:v>
                      </c:pt>
                      <c:pt idx="2">
                        <c:v>176.9506944444438</c:v>
                      </c:pt>
                      <c:pt idx="3">
                        <c:v>177.92569444444234</c:v>
                      </c:pt>
                      <c:pt idx="4">
                        <c:v>180.89583333333576</c:v>
                      </c:pt>
                      <c:pt idx="5">
                        <c:v>181.87361111111386</c:v>
                      </c:pt>
                      <c:pt idx="6">
                        <c:v>182.9013888888876</c:v>
                      </c:pt>
                      <c:pt idx="7">
                        <c:v>183.99166666666861</c:v>
                      </c:pt>
                      <c:pt idx="8">
                        <c:v>184.90833333333285</c:v>
                      </c:pt>
                      <c:pt idx="9">
                        <c:v>187.82847222222335</c:v>
                      </c:pt>
                      <c:pt idx="10">
                        <c:v>188.94930555555766</c:v>
                      </c:pt>
                      <c:pt idx="11">
                        <c:v>189.88055555555184</c:v>
                      </c:pt>
                      <c:pt idx="12">
                        <c:v>190.92500000000291</c:v>
                      </c:pt>
                      <c:pt idx="13">
                        <c:v>191.8840277777781</c:v>
                      </c:pt>
                      <c:pt idx="14">
                        <c:v>194.9013888888876</c:v>
                      </c:pt>
                      <c:pt idx="15">
                        <c:v>195.95208333332994</c:v>
                      </c:pt>
                      <c:pt idx="16">
                        <c:v>196.9645833333343</c:v>
                      </c:pt>
                      <c:pt idx="17">
                        <c:v>199.12569444444671</c:v>
                      </c:pt>
                      <c:pt idx="18">
                        <c:v>201.96319444444089</c:v>
                      </c:pt>
                      <c:pt idx="19">
                        <c:v>202.87222222222044</c:v>
                      </c:pt>
                      <c:pt idx="20">
                        <c:v>204.07499999999709</c:v>
                      </c:pt>
                      <c:pt idx="21">
                        <c:v>204.94583333333139</c:v>
                      </c:pt>
                      <c:pt idx="22">
                        <c:v>205.90000000000146</c:v>
                      </c:pt>
                      <c:pt idx="23">
                        <c:v>208.9194444444438</c:v>
                      </c:pt>
                      <c:pt idx="24">
                        <c:v>210.99027777777519</c:v>
                      </c:pt>
                      <c:pt idx="25">
                        <c:v>211.98750000000291</c:v>
                      </c:pt>
                      <c:pt idx="26">
                        <c:v>212.90416666666715</c:v>
                      </c:pt>
                      <c:pt idx="27">
                        <c:v>215.94583333333139</c:v>
                      </c:pt>
                      <c:pt idx="28">
                        <c:v>216.92222222222335</c:v>
                      </c:pt>
                      <c:pt idx="29">
                        <c:v>217.9333333333343</c:v>
                      </c:pt>
                      <c:pt idx="30">
                        <c:v>218.8972222222219</c:v>
                      </c:pt>
                      <c:pt idx="31">
                        <c:v>225.8701388888876</c:v>
                      </c:pt>
                      <c:pt idx="32">
                        <c:v>232.90486111111386</c:v>
                      </c:pt>
                      <c:pt idx="33">
                        <c:v>233.92291666666279</c:v>
                      </c:pt>
                      <c:pt idx="34">
                        <c:v>236.91249999999854</c:v>
                      </c:pt>
                      <c:pt idx="35">
                        <c:v>237.93541666666715</c:v>
                      </c:pt>
                      <c:pt idx="36">
                        <c:v>238.88958333332994</c:v>
                      </c:pt>
                      <c:pt idx="37">
                        <c:v>240.04305555555766</c:v>
                      </c:pt>
                      <c:pt idx="38">
                        <c:v>240.91458333333139</c:v>
                      </c:pt>
                      <c:pt idx="39">
                        <c:v>243.88541666666424</c:v>
                      </c:pt>
                      <c:pt idx="40">
                        <c:v>244.91249999999854</c:v>
                      </c:pt>
                      <c:pt idx="41">
                        <c:v>245.94027777777956</c:v>
                      </c:pt>
                      <c:pt idx="42">
                        <c:v>246.96250000000146</c:v>
                      </c:pt>
                      <c:pt idx="43">
                        <c:v>247.94027777777956</c:v>
                      </c:pt>
                      <c:pt idx="44">
                        <c:v>250.93819444444671</c:v>
                      </c:pt>
                      <c:pt idx="45">
                        <c:v>254.01527777777665</c:v>
                      </c:pt>
                      <c:pt idx="46">
                        <c:v>255.02847222222044</c:v>
                      </c:pt>
                      <c:pt idx="47">
                        <c:v>257.87291666666715</c:v>
                      </c:pt>
                      <c:pt idx="48">
                        <c:v>258.85972222222335</c:v>
                      </c:pt>
                      <c:pt idx="49">
                        <c:v>259.91249999999854</c:v>
                      </c:pt>
                      <c:pt idx="50">
                        <c:v>260.95833333333576</c:v>
                      </c:pt>
                      <c:pt idx="51">
                        <c:v>261.92500000000291</c:v>
                      </c:pt>
                      <c:pt idx="52">
                        <c:v>264.82499999999709</c:v>
                      </c:pt>
                      <c:pt idx="53">
                        <c:v>265.90347222222044</c:v>
                      </c:pt>
                      <c:pt idx="54">
                        <c:v>266.86805555555475</c:v>
                      </c:pt>
                      <c:pt idx="55">
                        <c:v>267.95277777777665</c:v>
                      </c:pt>
                      <c:pt idx="56">
                        <c:v>268.9506944444438</c:v>
                      </c:pt>
                      <c:pt idx="57">
                        <c:v>271.91180555555184</c:v>
                      </c:pt>
                      <c:pt idx="58">
                        <c:v>272.95625000000291</c:v>
                      </c:pt>
                      <c:pt idx="59">
                        <c:v>273.91874999999709</c:v>
                      </c:pt>
                      <c:pt idx="60">
                        <c:v>274.91388888889196</c:v>
                      </c:pt>
                      <c:pt idx="61">
                        <c:v>275.9416666666657</c:v>
                      </c:pt>
                      <c:pt idx="62">
                        <c:v>278.9152777777781</c:v>
                      </c:pt>
                      <c:pt idx="63">
                        <c:v>279.91319444444525</c:v>
                      </c:pt>
                      <c:pt idx="64">
                        <c:v>280.92500000000291</c:v>
                      </c:pt>
                      <c:pt idx="65">
                        <c:v>281.9416666666657</c:v>
                      </c:pt>
                      <c:pt idx="66">
                        <c:v>282.89375000000291</c:v>
                      </c:pt>
                      <c:pt idx="67">
                        <c:v>285.92708333333576</c:v>
                      </c:pt>
                      <c:pt idx="68">
                        <c:v>286.92708333333576</c:v>
                      </c:pt>
                      <c:pt idx="69">
                        <c:v>287.88541666666424</c:v>
                      </c:pt>
                      <c:pt idx="70">
                        <c:v>288.90833333333285</c:v>
                      </c:pt>
                      <c:pt idx="71">
                        <c:v>289.93958333333285</c:v>
                      </c:pt>
                      <c:pt idx="72">
                        <c:v>292.92638888888905</c:v>
                      </c:pt>
                      <c:pt idx="73">
                        <c:v>294.1604166666657</c:v>
                      </c:pt>
                      <c:pt idx="74">
                        <c:v>294.92916666666861</c:v>
                      </c:pt>
                      <c:pt idx="75">
                        <c:v>295.88888888889051</c:v>
                      </c:pt>
                      <c:pt idx="76">
                        <c:v>296.08611111110804</c:v>
                      </c:pt>
                      <c:pt idx="77">
                        <c:v>296.89375000000291</c:v>
                      </c:pt>
                      <c:pt idx="78">
                        <c:v>299.89930555555475</c:v>
                      </c:pt>
                      <c:pt idx="79">
                        <c:v>301.0090277777781</c:v>
                      </c:pt>
                      <c:pt idx="80">
                        <c:v>301.9326388888876</c:v>
                      </c:pt>
                      <c:pt idx="81">
                        <c:v>302.8881944444438</c:v>
                      </c:pt>
                      <c:pt idx="82">
                        <c:v>304.00833333333139</c:v>
                      </c:pt>
                      <c:pt idx="83">
                        <c:v>306.87152777777374</c:v>
                      </c:pt>
                      <c:pt idx="84">
                        <c:v>307.8798611111124</c:v>
                      </c:pt>
                      <c:pt idx="85">
                        <c:v>308.92361111110949</c:v>
                      </c:pt>
                      <c:pt idx="86">
                        <c:v>309.90277777777374</c:v>
                      </c:pt>
                      <c:pt idx="87">
                        <c:v>310.97430555555184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3ACB-46B5-8724-5A2A1A28E246}"/>
            </c:ext>
          </c:extLst>
        </c:ser>
        <c:ser>
          <c:idx val="2"/>
          <c:order val="1"/>
          <c:tx>
            <c:strRef>
              <c:f>GC_TCD!$Y$2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GC_TCD!$Y$80:$Y$167</c:f>
              <c:numCache>
                <c:formatCode>General</c:formatCode>
                <c:ptCount val="88"/>
                <c:pt idx="0">
                  <c:v>0.77619999999999989</c:v>
                </c:pt>
                <c:pt idx="1">
                  <c:v>1.0083</c:v>
                </c:pt>
                <c:pt idx="2">
                  <c:v>2.7566000000000002</c:v>
                </c:pt>
                <c:pt idx="3">
                  <c:v>3.0946333333333329</c:v>
                </c:pt>
                <c:pt idx="4">
                  <c:v>4.9634999999999998</c:v>
                </c:pt>
                <c:pt idx="5">
                  <c:v>3.1055333333333337</c:v>
                </c:pt>
                <c:pt idx="6">
                  <c:v>3.0125999999999995</c:v>
                </c:pt>
                <c:pt idx="7">
                  <c:v>2.7912999999999997</c:v>
                </c:pt>
                <c:pt idx="8">
                  <c:v>3.2565666666666666</c:v>
                </c:pt>
                <c:pt idx="9">
                  <c:v>2.7439</c:v>
                </c:pt>
                <c:pt idx="10">
                  <c:v>1.9735333333333334</c:v>
                </c:pt>
                <c:pt idx="11">
                  <c:v>1.6606666666666667</c:v>
                </c:pt>
                <c:pt idx="12">
                  <c:v>1.6232666666666666</c:v>
                </c:pt>
                <c:pt idx="13">
                  <c:v>1.3059666666666667</c:v>
                </c:pt>
                <c:pt idx="14">
                  <c:v>1.3154333333333332</c:v>
                </c:pt>
                <c:pt idx="15">
                  <c:v>0.41156666666666669</c:v>
                </c:pt>
                <c:pt idx="16">
                  <c:v>0.86790000000000012</c:v>
                </c:pt>
                <c:pt idx="17">
                  <c:v>0.13576666666666667</c:v>
                </c:pt>
                <c:pt idx="18">
                  <c:v>0.56443333333333334</c:v>
                </c:pt>
                <c:pt idx="19">
                  <c:v>0.80446666666666677</c:v>
                </c:pt>
                <c:pt idx="20">
                  <c:v>1.4832999999999998</c:v>
                </c:pt>
                <c:pt idx="21">
                  <c:v>1.1700666666666668</c:v>
                </c:pt>
                <c:pt idx="22">
                  <c:v>0.56593333333333329</c:v>
                </c:pt>
                <c:pt idx="23">
                  <c:v>0.59083333333333332</c:v>
                </c:pt>
                <c:pt idx="24">
                  <c:v>1.3526666666666667</c:v>
                </c:pt>
                <c:pt idx="25">
                  <c:v>1.4257666666666664</c:v>
                </c:pt>
                <c:pt idx="26">
                  <c:v>1.3079999999999998</c:v>
                </c:pt>
                <c:pt idx="27">
                  <c:v>0.88266666666666671</c:v>
                </c:pt>
                <c:pt idx="28">
                  <c:v>1.0483666666666667</c:v>
                </c:pt>
                <c:pt idx="29">
                  <c:v>0.6744</c:v>
                </c:pt>
                <c:pt idx="30">
                  <c:v>1.3442999999999998</c:v>
                </c:pt>
                <c:pt idx="31">
                  <c:v>1.4417</c:v>
                </c:pt>
                <c:pt idx="32">
                  <c:v>1.3180333333333334</c:v>
                </c:pt>
                <c:pt idx="33">
                  <c:v>0.79139999999999988</c:v>
                </c:pt>
                <c:pt idx="34">
                  <c:v>0.75729999999999997</c:v>
                </c:pt>
                <c:pt idx="35">
                  <c:v>0.50666666666666671</c:v>
                </c:pt>
                <c:pt idx="36">
                  <c:v>0.50109999999999999</c:v>
                </c:pt>
                <c:pt idx="37">
                  <c:v>0.70520000000000005</c:v>
                </c:pt>
                <c:pt idx="38">
                  <c:v>0.77900000000000003</c:v>
                </c:pt>
                <c:pt idx="39">
                  <c:v>0.98456666666666681</c:v>
                </c:pt>
                <c:pt idx="40">
                  <c:v>1.1906999999999999</c:v>
                </c:pt>
                <c:pt idx="41">
                  <c:v>1.4882333333333335</c:v>
                </c:pt>
                <c:pt idx="42">
                  <c:v>1.1762333333333332</c:v>
                </c:pt>
                <c:pt idx="43">
                  <c:v>1.3468333333333333</c:v>
                </c:pt>
                <c:pt idx="44">
                  <c:v>1.0990333333333335</c:v>
                </c:pt>
                <c:pt idx="45">
                  <c:v>1.0021666666666667</c:v>
                </c:pt>
                <c:pt idx="46">
                  <c:v>0.89603333333333335</c:v>
                </c:pt>
                <c:pt idx="47">
                  <c:v>1.0697333333333334</c:v>
                </c:pt>
                <c:pt idx="48">
                  <c:v>0.97223333333333339</c:v>
                </c:pt>
                <c:pt idx="49">
                  <c:v>1.131</c:v>
                </c:pt>
                <c:pt idx="50">
                  <c:v>0.64959999999999996</c:v>
                </c:pt>
                <c:pt idx="51">
                  <c:v>0.93959999999999999</c:v>
                </c:pt>
                <c:pt idx="52">
                  <c:v>1.1586666666666667</c:v>
                </c:pt>
                <c:pt idx="53">
                  <c:v>0.18323333333333333</c:v>
                </c:pt>
                <c:pt idx="54">
                  <c:v>0</c:v>
                </c:pt>
                <c:pt idx="55">
                  <c:v>0.93456666666666666</c:v>
                </c:pt>
                <c:pt idx="56">
                  <c:v>0.19733333333333333</c:v>
                </c:pt>
                <c:pt idx="57">
                  <c:v>1.2232666666666667</c:v>
                </c:pt>
                <c:pt idx="58">
                  <c:v>0.43839999999999996</c:v>
                </c:pt>
                <c:pt idx="59">
                  <c:v>2.2787333333333333</c:v>
                </c:pt>
                <c:pt idx="60">
                  <c:v>2.6757666666666666</c:v>
                </c:pt>
                <c:pt idx="61">
                  <c:v>0.56473333333333342</c:v>
                </c:pt>
                <c:pt idx="62">
                  <c:v>2.5542333333333329</c:v>
                </c:pt>
                <c:pt idx="63">
                  <c:v>1.5689000000000002</c:v>
                </c:pt>
                <c:pt idx="64">
                  <c:v>1.2863333333333333</c:v>
                </c:pt>
                <c:pt idx="65">
                  <c:v>1.0440666666666667</c:v>
                </c:pt>
                <c:pt idx="66">
                  <c:v>1.0709333333333333</c:v>
                </c:pt>
                <c:pt idx="67">
                  <c:v>0.13253333333333334</c:v>
                </c:pt>
                <c:pt idx="68">
                  <c:v>0.49110000000000004</c:v>
                </c:pt>
                <c:pt idx="69">
                  <c:v>1.1016333333333332</c:v>
                </c:pt>
                <c:pt idx="70">
                  <c:v>2.5032000000000001</c:v>
                </c:pt>
                <c:pt idx="71">
                  <c:v>3.4922</c:v>
                </c:pt>
                <c:pt idx="72">
                  <c:v>1.4723999999999997</c:v>
                </c:pt>
                <c:pt idx="73">
                  <c:v>1.8946666666666667</c:v>
                </c:pt>
                <c:pt idx="74">
                  <c:v>0.72223333333333339</c:v>
                </c:pt>
                <c:pt idx="75">
                  <c:v>0.62370000000000003</c:v>
                </c:pt>
                <c:pt idx="76">
                  <c:v>2.0549666666666666</c:v>
                </c:pt>
                <c:pt idx="77">
                  <c:v>13.3489</c:v>
                </c:pt>
                <c:pt idx="78">
                  <c:v>7.1922333333333341</c:v>
                </c:pt>
                <c:pt idx="79">
                  <c:v>3.2219333333333338</c:v>
                </c:pt>
                <c:pt idx="80">
                  <c:v>1.9217000000000002</c:v>
                </c:pt>
                <c:pt idx="81">
                  <c:v>1.4157666666666666</c:v>
                </c:pt>
                <c:pt idx="82">
                  <c:v>0.2864666666666667</c:v>
                </c:pt>
                <c:pt idx="83">
                  <c:v>1.6011999999999997</c:v>
                </c:pt>
                <c:pt idx="84">
                  <c:v>1.2945</c:v>
                </c:pt>
                <c:pt idx="85">
                  <c:v>0.14176666666666668</c:v>
                </c:pt>
                <c:pt idx="86">
                  <c:v>9.9699999999999997E-2</c:v>
                </c:pt>
                <c:pt idx="87">
                  <c:v>3.4334666666666664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GC_TCD!$G$80:$G$167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88"/>
                      <c:pt idx="0">
                        <c:v>174.93541666666715</c:v>
                      </c:pt>
                      <c:pt idx="1">
                        <c:v>175.90555555555329</c:v>
                      </c:pt>
                      <c:pt idx="2">
                        <c:v>176.9506944444438</c:v>
                      </c:pt>
                      <c:pt idx="3">
                        <c:v>177.92569444444234</c:v>
                      </c:pt>
                      <c:pt idx="4">
                        <c:v>180.89583333333576</c:v>
                      </c:pt>
                      <c:pt idx="5">
                        <c:v>181.87361111111386</c:v>
                      </c:pt>
                      <c:pt idx="6">
                        <c:v>182.9013888888876</c:v>
                      </c:pt>
                      <c:pt idx="7">
                        <c:v>183.99166666666861</c:v>
                      </c:pt>
                      <c:pt idx="8">
                        <c:v>184.90833333333285</c:v>
                      </c:pt>
                      <c:pt idx="9">
                        <c:v>187.82847222222335</c:v>
                      </c:pt>
                      <c:pt idx="10">
                        <c:v>188.94930555555766</c:v>
                      </c:pt>
                      <c:pt idx="11">
                        <c:v>189.88055555555184</c:v>
                      </c:pt>
                      <c:pt idx="12">
                        <c:v>190.92500000000291</c:v>
                      </c:pt>
                      <c:pt idx="13">
                        <c:v>191.8840277777781</c:v>
                      </c:pt>
                      <c:pt idx="14">
                        <c:v>194.9013888888876</c:v>
                      </c:pt>
                      <c:pt idx="15">
                        <c:v>195.95208333332994</c:v>
                      </c:pt>
                      <c:pt idx="16">
                        <c:v>196.9645833333343</c:v>
                      </c:pt>
                      <c:pt idx="17">
                        <c:v>199.12569444444671</c:v>
                      </c:pt>
                      <c:pt idx="18">
                        <c:v>201.96319444444089</c:v>
                      </c:pt>
                      <c:pt idx="19">
                        <c:v>202.87222222222044</c:v>
                      </c:pt>
                      <c:pt idx="20">
                        <c:v>204.07499999999709</c:v>
                      </c:pt>
                      <c:pt idx="21">
                        <c:v>204.94583333333139</c:v>
                      </c:pt>
                      <c:pt idx="22">
                        <c:v>205.90000000000146</c:v>
                      </c:pt>
                      <c:pt idx="23">
                        <c:v>208.9194444444438</c:v>
                      </c:pt>
                      <c:pt idx="24">
                        <c:v>210.99027777777519</c:v>
                      </c:pt>
                      <c:pt idx="25">
                        <c:v>211.98750000000291</c:v>
                      </c:pt>
                      <c:pt idx="26">
                        <c:v>212.90416666666715</c:v>
                      </c:pt>
                      <c:pt idx="27">
                        <c:v>215.94583333333139</c:v>
                      </c:pt>
                      <c:pt idx="28">
                        <c:v>216.92222222222335</c:v>
                      </c:pt>
                      <c:pt idx="29">
                        <c:v>217.9333333333343</c:v>
                      </c:pt>
                      <c:pt idx="30">
                        <c:v>218.8972222222219</c:v>
                      </c:pt>
                      <c:pt idx="31">
                        <c:v>225.8701388888876</c:v>
                      </c:pt>
                      <c:pt idx="32">
                        <c:v>232.90486111111386</c:v>
                      </c:pt>
                      <c:pt idx="33">
                        <c:v>233.92291666666279</c:v>
                      </c:pt>
                      <c:pt idx="34">
                        <c:v>236.91249999999854</c:v>
                      </c:pt>
                      <c:pt idx="35">
                        <c:v>237.93541666666715</c:v>
                      </c:pt>
                      <c:pt idx="36">
                        <c:v>238.88958333332994</c:v>
                      </c:pt>
                      <c:pt idx="37">
                        <c:v>240.04305555555766</c:v>
                      </c:pt>
                      <c:pt idx="38">
                        <c:v>240.91458333333139</c:v>
                      </c:pt>
                      <c:pt idx="39">
                        <c:v>243.88541666666424</c:v>
                      </c:pt>
                      <c:pt idx="40">
                        <c:v>244.91249999999854</c:v>
                      </c:pt>
                      <c:pt idx="41">
                        <c:v>245.94027777777956</c:v>
                      </c:pt>
                      <c:pt idx="42">
                        <c:v>246.96250000000146</c:v>
                      </c:pt>
                      <c:pt idx="43">
                        <c:v>247.94027777777956</c:v>
                      </c:pt>
                      <c:pt idx="44">
                        <c:v>250.93819444444671</c:v>
                      </c:pt>
                      <c:pt idx="45">
                        <c:v>254.01527777777665</c:v>
                      </c:pt>
                      <c:pt idx="46">
                        <c:v>255.02847222222044</c:v>
                      </c:pt>
                      <c:pt idx="47">
                        <c:v>257.87291666666715</c:v>
                      </c:pt>
                      <c:pt idx="48">
                        <c:v>258.85972222222335</c:v>
                      </c:pt>
                      <c:pt idx="49">
                        <c:v>259.91249999999854</c:v>
                      </c:pt>
                      <c:pt idx="50">
                        <c:v>260.95833333333576</c:v>
                      </c:pt>
                      <c:pt idx="51">
                        <c:v>261.92500000000291</c:v>
                      </c:pt>
                      <c:pt idx="52">
                        <c:v>264.82499999999709</c:v>
                      </c:pt>
                      <c:pt idx="53">
                        <c:v>265.90347222222044</c:v>
                      </c:pt>
                      <c:pt idx="54">
                        <c:v>266.86805555555475</c:v>
                      </c:pt>
                      <c:pt idx="55">
                        <c:v>267.95277777777665</c:v>
                      </c:pt>
                      <c:pt idx="56">
                        <c:v>268.9506944444438</c:v>
                      </c:pt>
                      <c:pt idx="57">
                        <c:v>271.91180555555184</c:v>
                      </c:pt>
                      <c:pt idx="58">
                        <c:v>272.95625000000291</c:v>
                      </c:pt>
                      <c:pt idx="59">
                        <c:v>273.91874999999709</c:v>
                      </c:pt>
                      <c:pt idx="60">
                        <c:v>274.91388888889196</c:v>
                      </c:pt>
                      <c:pt idx="61">
                        <c:v>275.9416666666657</c:v>
                      </c:pt>
                      <c:pt idx="62">
                        <c:v>278.9152777777781</c:v>
                      </c:pt>
                      <c:pt idx="63">
                        <c:v>279.91319444444525</c:v>
                      </c:pt>
                      <c:pt idx="64">
                        <c:v>280.92500000000291</c:v>
                      </c:pt>
                      <c:pt idx="65">
                        <c:v>281.9416666666657</c:v>
                      </c:pt>
                      <c:pt idx="66">
                        <c:v>282.89375000000291</c:v>
                      </c:pt>
                      <c:pt idx="67">
                        <c:v>285.92708333333576</c:v>
                      </c:pt>
                      <c:pt idx="68">
                        <c:v>286.92708333333576</c:v>
                      </c:pt>
                      <c:pt idx="69">
                        <c:v>287.88541666666424</c:v>
                      </c:pt>
                      <c:pt idx="70">
                        <c:v>288.90833333333285</c:v>
                      </c:pt>
                      <c:pt idx="71">
                        <c:v>289.93958333333285</c:v>
                      </c:pt>
                      <c:pt idx="72">
                        <c:v>292.92638888888905</c:v>
                      </c:pt>
                      <c:pt idx="73">
                        <c:v>294.1604166666657</c:v>
                      </c:pt>
                      <c:pt idx="74">
                        <c:v>294.92916666666861</c:v>
                      </c:pt>
                      <c:pt idx="75">
                        <c:v>295.88888888889051</c:v>
                      </c:pt>
                      <c:pt idx="76">
                        <c:v>296.08611111110804</c:v>
                      </c:pt>
                      <c:pt idx="77">
                        <c:v>296.89375000000291</c:v>
                      </c:pt>
                      <c:pt idx="78">
                        <c:v>299.89930555555475</c:v>
                      </c:pt>
                      <c:pt idx="79">
                        <c:v>301.0090277777781</c:v>
                      </c:pt>
                      <c:pt idx="80">
                        <c:v>301.9326388888876</c:v>
                      </c:pt>
                      <c:pt idx="81">
                        <c:v>302.8881944444438</c:v>
                      </c:pt>
                      <c:pt idx="82">
                        <c:v>304.00833333333139</c:v>
                      </c:pt>
                      <c:pt idx="83">
                        <c:v>306.87152777777374</c:v>
                      </c:pt>
                      <c:pt idx="84">
                        <c:v>307.8798611111124</c:v>
                      </c:pt>
                      <c:pt idx="85">
                        <c:v>308.92361111110949</c:v>
                      </c:pt>
                      <c:pt idx="86">
                        <c:v>309.90277777777374</c:v>
                      </c:pt>
                      <c:pt idx="87">
                        <c:v>310.97430555555184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ACB-46B5-8724-5A2A1A28E246}"/>
            </c:ext>
          </c:extLst>
        </c:ser>
        <c:ser>
          <c:idx val="0"/>
          <c:order val="2"/>
          <c:tx>
            <c:strRef>
              <c:f>GC_TCD!$U$2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GC_TCD!$U$80:$U$167</c:f>
              <c:numCache>
                <c:formatCode>General</c:formatCode>
                <c:ptCount val="88"/>
                <c:pt idx="0">
                  <c:v>14.595033333333333</c:v>
                </c:pt>
                <c:pt idx="1">
                  <c:v>12.393833333333333</c:v>
                </c:pt>
                <c:pt idx="2">
                  <c:v>9.1757333333333317</c:v>
                </c:pt>
                <c:pt idx="3">
                  <c:v>8.1131900000000012</c:v>
                </c:pt>
                <c:pt idx="4">
                  <c:v>6.6985666666666672</c:v>
                </c:pt>
                <c:pt idx="5">
                  <c:v>4.9340333333333328</c:v>
                </c:pt>
                <c:pt idx="6">
                  <c:v>5.418566666666667</c:v>
                </c:pt>
                <c:pt idx="7">
                  <c:v>4.0443666666666669</c:v>
                </c:pt>
                <c:pt idx="8">
                  <c:v>3.7964333333333333</c:v>
                </c:pt>
                <c:pt idx="9">
                  <c:v>3.2489000000000003</c:v>
                </c:pt>
                <c:pt idx="10">
                  <c:v>3.1720333333333333</c:v>
                </c:pt>
                <c:pt idx="11">
                  <c:v>3.5070333333333337</c:v>
                </c:pt>
                <c:pt idx="12">
                  <c:v>2.9022000000000001</c:v>
                </c:pt>
                <c:pt idx="13">
                  <c:v>3.0977333333333337</c:v>
                </c:pt>
                <c:pt idx="14">
                  <c:v>2.2943666666666664</c:v>
                </c:pt>
                <c:pt idx="15">
                  <c:v>1.2428333333333332</c:v>
                </c:pt>
                <c:pt idx="16">
                  <c:v>1.8589666666666667</c:v>
                </c:pt>
                <c:pt idx="17">
                  <c:v>2.9034666666666666</c:v>
                </c:pt>
                <c:pt idx="18">
                  <c:v>3.5208666666666666</c:v>
                </c:pt>
                <c:pt idx="19">
                  <c:v>4.393933333333333</c:v>
                </c:pt>
                <c:pt idx="20">
                  <c:v>3.1092999999999997</c:v>
                </c:pt>
                <c:pt idx="21">
                  <c:v>4.7375333333333334</c:v>
                </c:pt>
                <c:pt idx="22">
                  <c:v>4.3424666666666667</c:v>
                </c:pt>
                <c:pt idx="23">
                  <c:v>1.2500666666666667</c:v>
                </c:pt>
                <c:pt idx="24">
                  <c:v>3.9670999999999998</c:v>
                </c:pt>
                <c:pt idx="25">
                  <c:v>4.1715333333333335</c:v>
                </c:pt>
                <c:pt idx="26">
                  <c:v>3.7776666666666667</c:v>
                </c:pt>
                <c:pt idx="27">
                  <c:v>3.6379333333333332</c:v>
                </c:pt>
                <c:pt idx="28">
                  <c:v>4.3410333333333329</c:v>
                </c:pt>
                <c:pt idx="29">
                  <c:v>4.0876999999999999</c:v>
                </c:pt>
                <c:pt idx="30">
                  <c:v>3.9913666666666665</c:v>
                </c:pt>
                <c:pt idx="31">
                  <c:v>4.2818000000000005</c:v>
                </c:pt>
                <c:pt idx="32">
                  <c:v>2.8433333333333333</c:v>
                </c:pt>
                <c:pt idx="33">
                  <c:v>3.3821333333333334</c:v>
                </c:pt>
                <c:pt idx="34">
                  <c:v>3.3588666666666662</c:v>
                </c:pt>
                <c:pt idx="35">
                  <c:v>3.7687000000000004</c:v>
                </c:pt>
                <c:pt idx="36">
                  <c:v>4.3159666666666672</c:v>
                </c:pt>
                <c:pt idx="37">
                  <c:v>4.7865666666666664</c:v>
                </c:pt>
                <c:pt idx="38">
                  <c:v>5.2729666666666661</c:v>
                </c:pt>
                <c:pt idx="39">
                  <c:v>6.32</c:v>
                </c:pt>
                <c:pt idx="40">
                  <c:v>6.4073666666666673</c:v>
                </c:pt>
                <c:pt idx="41">
                  <c:v>6.325499999999999</c:v>
                </c:pt>
                <c:pt idx="42">
                  <c:v>5.5926333333333327</c:v>
                </c:pt>
                <c:pt idx="43">
                  <c:v>4.0728999999999997</c:v>
                </c:pt>
                <c:pt idx="44">
                  <c:v>2.0058333333333334</c:v>
                </c:pt>
                <c:pt idx="45">
                  <c:v>0.22106666666666666</c:v>
                </c:pt>
                <c:pt idx="46">
                  <c:v>0.4027</c:v>
                </c:pt>
                <c:pt idx="47">
                  <c:v>0.34873333333333334</c:v>
                </c:pt>
                <c:pt idx="48">
                  <c:v>0.71436666666666671</c:v>
                </c:pt>
                <c:pt idx="49">
                  <c:v>1.7548333333333332</c:v>
                </c:pt>
                <c:pt idx="50">
                  <c:v>3.0608333333333331</c:v>
                </c:pt>
                <c:pt idx="51">
                  <c:v>3.8207</c:v>
                </c:pt>
                <c:pt idx="52">
                  <c:v>4.8995666666666668</c:v>
                </c:pt>
                <c:pt idx="53">
                  <c:v>7.3029666666666664</c:v>
                </c:pt>
                <c:pt idx="54">
                  <c:v>5.0777333333333337</c:v>
                </c:pt>
                <c:pt idx="55">
                  <c:v>3.3729333333333336</c:v>
                </c:pt>
                <c:pt idx="56">
                  <c:v>3.2206333333333337</c:v>
                </c:pt>
                <c:pt idx="57">
                  <c:v>1.7746000000000002</c:v>
                </c:pt>
                <c:pt idx="58">
                  <c:v>0.78013333333333323</c:v>
                </c:pt>
                <c:pt idx="59">
                  <c:v>1.1837333333333333</c:v>
                </c:pt>
                <c:pt idx="60">
                  <c:v>2.3963666666666668</c:v>
                </c:pt>
                <c:pt idx="61">
                  <c:v>5.464266666666667</c:v>
                </c:pt>
                <c:pt idx="62">
                  <c:v>8.2779000000000007</c:v>
                </c:pt>
                <c:pt idx="63">
                  <c:v>8.0817999999999994</c:v>
                </c:pt>
                <c:pt idx="64">
                  <c:v>5.412399999999999</c:v>
                </c:pt>
                <c:pt idx="65">
                  <c:v>3.3188</c:v>
                </c:pt>
                <c:pt idx="66">
                  <c:v>3.2987000000000002</c:v>
                </c:pt>
                <c:pt idx="67">
                  <c:v>11.001100000000001</c:v>
                </c:pt>
                <c:pt idx="68">
                  <c:v>14.185266666666669</c:v>
                </c:pt>
                <c:pt idx="69">
                  <c:v>9.6211666666666673</c:v>
                </c:pt>
                <c:pt idx="70">
                  <c:v>6.9622333333333337</c:v>
                </c:pt>
                <c:pt idx="71">
                  <c:v>4.7005999999999997</c:v>
                </c:pt>
                <c:pt idx="72">
                  <c:v>5.6198000000000006</c:v>
                </c:pt>
                <c:pt idx="73">
                  <c:v>5.4963666666666668</c:v>
                </c:pt>
                <c:pt idx="74">
                  <c:v>6.4877333333333338</c:v>
                </c:pt>
                <c:pt idx="75">
                  <c:v>7.0112333333333332</c:v>
                </c:pt>
                <c:pt idx="76">
                  <c:v>10.613833333333334</c:v>
                </c:pt>
                <c:pt idx="77">
                  <c:v>12.294766666666666</c:v>
                </c:pt>
                <c:pt idx="78">
                  <c:v>5.4392333333333331</c:v>
                </c:pt>
                <c:pt idx="79">
                  <c:v>3.8144666666666667</c:v>
                </c:pt>
                <c:pt idx="80">
                  <c:v>3.7058999999999997</c:v>
                </c:pt>
                <c:pt idx="81">
                  <c:v>3.8378333333333337</c:v>
                </c:pt>
                <c:pt idx="82">
                  <c:v>4.7186000000000003</c:v>
                </c:pt>
                <c:pt idx="83">
                  <c:v>5.9162333333333335</c:v>
                </c:pt>
                <c:pt idx="84">
                  <c:v>6.0390333333333333</c:v>
                </c:pt>
                <c:pt idx="85">
                  <c:v>6.2588333333333326</c:v>
                </c:pt>
                <c:pt idx="86">
                  <c:v>5.7200666666666669</c:v>
                </c:pt>
                <c:pt idx="87">
                  <c:v>13.380733333333334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GC_TCD!$G$80:$G$167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88"/>
                      <c:pt idx="0">
                        <c:v>174.93541666666715</c:v>
                      </c:pt>
                      <c:pt idx="1">
                        <c:v>175.90555555555329</c:v>
                      </c:pt>
                      <c:pt idx="2">
                        <c:v>176.9506944444438</c:v>
                      </c:pt>
                      <c:pt idx="3">
                        <c:v>177.92569444444234</c:v>
                      </c:pt>
                      <c:pt idx="4">
                        <c:v>180.89583333333576</c:v>
                      </c:pt>
                      <c:pt idx="5">
                        <c:v>181.87361111111386</c:v>
                      </c:pt>
                      <c:pt idx="6">
                        <c:v>182.9013888888876</c:v>
                      </c:pt>
                      <c:pt idx="7">
                        <c:v>183.99166666666861</c:v>
                      </c:pt>
                      <c:pt idx="8">
                        <c:v>184.90833333333285</c:v>
                      </c:pt>
                      <c:pt idx="9">
                        <c:v>187.82847222222335</c:v>
                      </c:pt>
                      <c:pt idx="10">
                        <c:v>188.94930555555766</c:v>
                      </c:pt>
                      <c:pt idx="11">
                        <c:v>189.88055555555184</c:v>
                      </c:pt>
                      <c:pt idx="12">
                        <c:v>190.92500000000291</c:v>
                      </c:pt>
                      <c:pt idx="13">
                        <c:v>191.8840277777781</c:v>
                      </c:pt>
                      <c:pt idx="14">
                        <c:v>194.9013888888876</c:v>
                      </c:pt>
                      <c:pt idx="15">
                        <c:v>195.95208333332994</c:v>
                      </c:pt>
                      <c:pt idx="16">
                        <c:v>196.9645833333343</c:v>
                      </c:pt>
                      <c:pt idx="17">
                        <c:v>199.12569444444671</c:v>
                      </c:pt>
                      <c:pt idx="18">
                        <c:v>201.96319444444089</c:v>
                      </c:pt>
                      <c:pt idx="19">
                        <c:v>202.87222222222044</c:v>
                      </c:pt>
                      <c:pt idx="20">
                        <c:v>204.07499999999709</c:v>
                      </c:pt>
                      <c:pt idx="21">
                        <c:v>204.94583333333139</c:v>
                      </c:pt>
                      <c:pt idx="22">
                        <c:v>205.90000000000146</c:v>
                      </c:pt>
                      <c:pt idx="23">
                        <c:v>208.9194444444438</c:v>
                      </c:pt>
                      <c:pt idx="24">
                        <c:v>210.99027777777519</c:v>
                      </c:pt>
                      <c:pt idx="25">
                        <c:v>211.98750000000291</c:v>
                      </c:pt>
                      <c:pt idx="26">
                        <c:v>212.90416666666715</c:v>
                      </c:pt>
                      <c:pt idx="27">
                        <c:v>215.94583333333139</c:v>
                      </c:pt>
                      <c:pt idx="28">
                        <c:v>216.92222222222335</c:v>
                      </c:pt>
                      <c:pt idx="29">
                        <c:v>217.9333333333343</c:v>
                      </c:pt>
                      <c:pt idx="30">
                        <c:v>218.8972222222219</c:v>
                      </c:pt>
                      <c:pt idx="31">
                        <c:v>225.8701388888876</c:v>
                      </c:pt>
                      <c:pt idx="32">
                        <c:v>232.90486111111386</c:v>
                      </c:pt>
                      <c:pt idx="33">
                        <c:v>233.92291666666279</c:v>
                      </c:pt>
                      <c:pt idx="34">
                        <c:v>236.91249999999854</c:v>
                      </c:pt>
                      <c:pt idx="35">
                        <c:v>237.93541666666715</c:v>
                      </c:pt>
                      <c:pt idx="36">
                        <c:v>238.88958333332994</c:v>
                      </c:pt>
                      <c:pt idx="37">
                        <c:v>240.04305555555766</c:v>
                      </c:pt>
                      <c:pt idx="38">
                        <c:v>240.91458333333139</c:v>
                      </c:pt>
                      <c:pt idx="39">
                        <c:v>243.88541666666424</c:v>
                      </c:pt>
                      <c:pt idx="40">
                        <c:v>244.91249999999854</c:v>
                      </c:pt>
                      <c:pt idx="41">
                        <c:v>245.94027777777956</c:v>
                      </c:pt>
                      <c:pt idx="42">
                        <c:v>246.96250000000146</c:v>
                      </c:pt>
                      <c:pt idx="43">
                        <c:v>247.94027777777956</c:v>
                      </c:pt>
                      <c:pt idx="44">
                        <c:v>250.93819444444671</c:v>
                      </c:pt>
                      <c:pt idx="45">
                        <c:v>254.01527777777665</c:v>
                      </c:pt>
                      <c:pt idx="46">
                        <c:v>255.02847222222044</c:v>
                      </c:pt>
                      <c:pt idx="47">
                        <c:v>257.87291666666715</c:v>
                      </c:pt>
                      <c:pt idx="48">
                        <c:v>258.85972222222335</c:v>
                      </c:pt>
                      <c:pt idx="49">
                        <c:v>259.91249999999854</c:v>
                      </c:pt>
                      <c:pt idx="50">
                        <c:v>260.95833333333576</c:v>
                      </c:pt>
                      <c:pt idx="51">
                        <c:v>261.92500000000291</c:v>
                      </c:pt>
                      <c:pt idx="52">
                        <c:v>264.82499999999709</c:v>
                      </c:pt>
                      <c:pt idx="53">
                        <c:v>265.90347222222044</c:v>
                      </c:pt>
                      <c:pt idx="54">
                        <c:v>266.86805555555475</c:v>
                      </c:pt>
                      <c:pt idx="55">
                        <c:v>267.95277777777665</c:v>
                      </c:pt>
                      <c:pt idx="56">
                        <c:v>268.9506944444438</c:v>
                      </c:pt>
                      <c:pt idx="57">
                        <c:v>271.91180555555184</c:v>
                      </c:pt>
                      <c:pt idx="58">
                        <c:v>272.95625000000291</c:v>
                      </c:pt>
                      <c:pt idx="59">
                        <c:v>273.91874999999709</c:v>
                      </c:pt>
                      <c:pt idx="60">
                        <c:v>274.91388888889196</c:v>
                      </c:pt>
                      <c:pt idx="61">
                        <c:v>275.9416666666657</c:v>
                      </c:pt>
                      <c:pt idx="62">
                        <c:v>278.9152777777781</c:v>
                      </c:pt>
                      <c:pt idx="63">
                        <c:v>279.91319444444525</c:v>
                      </c:pt>
                      <c:pt idx="64">
                        <c:v>280.92500000000291</c:v>
                      </c:pt>
                      <c:pt idx="65">
                        <c:v>281.9416666666657</c:v>
                      </c:pt>
                      <c:pt idx="66">
                        <c:v>282.89375000000291</c:v>
                      </c:pt>
                      <c:pt idx="67">
                        <c:v>285.92708333333576</c:v>
                      </c:pt>
                      <c:pt idx="68">
                        <c:v>286.92708333333576</c:v>
                      </c:pt>
                      <c:pt idx="69">
                        <c:v>287.88541666666424</c:v>
                      </c:pt>
                      <c:pt idx="70">
                        <c:v>288.90833333333285</c:v>
                      </c:pt>
                      <c:pt idx="71">
                        <c:v>289.93958333333285</c:v>
                      </c:pt>
                      <c:pt idx="72">
                        <c:v>292.92638888888905</c:v>
                      </c:pt>
                      <c:pt idx="73">
                        <c:v>294.1604166666657</c:v>
                      </c:pt>
                      <c:pt idx="74">
                        <c:v>294.92916666666861</c:v>
                      </c:pt>
                      <c:pt idx="75">
                        <c:v>295.88888888889051</c:v>
                      </c:pt>
                      <c:pt idx="76">
                        <c:v>296.08611111110804</c:v>
                      </c:pt>
                      <c:pt idx="77">
                        <c:v>296.89375000000291</c:v>
                      </c:pt>
                      <c:pt idx="78">
                        <c:v>299.89930555555475</c:v>
                      </c:pt>
                      <c:pt idx="79">
                        <c:v>301.0090277777781</c:v>
                      </c:pt>
                      <c:pt idx="80">
                        <c:v>301.9326388888876</c:v>
                      </c:pt>
                      <c:pt idx="81">
                        <c:v>302.8881944444438</c:v>
                      </c:pt>
                      <c:pt idx="82">
                        <c:v>304.00833333333139</c:v>
                      </c:pt>
                      <c:pt idx="83">
                        <c:v>306.87152777777374</c:v>
                      </c:pt>
                      <c:pt idx="84">
                        <c:v>307.8798611111124</c:v>
                      </c:pt>
                      <c:pt idx="85">
                        <c:v>308.92361111110949</c:v>
                      </c:pt>
                      <c:pt idx="86">
                        <c:v>309.90277777777374</c:v>
                      </c:pt>
                      <c:pt idx="87">
                        <c:v>310.97430555555184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3ACB-46B5-8724-5A2A1A28E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GC_TCD!$AA$80:$AA$167</c:f>
              <c:numCache>
                <c:formatCode>General</c:formatCode>
                <c:ptCount val="88"/>
                <c:pt idx="0">
                  <c:v>0.9388099187289165</c:v>
                </c:pt>
                <c:pt idx="1">
                  <c:v>0.88124596009174916</c:v>
                </c:pt>
                <c:pt idx="2">
                  <c:v>0.88562044216731994</c:v>
                </c:pt>
                <c:pt idx="3">
                  <c:v>0.93551342338191212</c:v>
                </c:pt>
                <c:pt idx="4">
                  <c:v>0.85208479422189332</c:v>
                </c:pt>
                <c:pt idx="5">
                  <c:v>0.8931589059715197</c:v>
                </c:pt>
                <c:pt idx="6">
                  <c:v>0.87037017527008986</c:v>
                </c:pt>
                <c:pt idx="7">
                  <c:v>0.88831952950162185</c:v>
                </c:pt>
                <c:pt idx="8">
                  <c:v>0.9136743154852458</c:v>
                </c:pt>
                <c:pt idx="9">
                  <c:v>0.93933157307851844</c:v>
                </c:pt>
                <c:pt idx="10">
                  <c:v>1.0347443767561417</c:v>
                </c:pt>
                <c:pt idx="11">
                  <c:v>0.9209570995528189</c:v>
                </c:pt>
                <c:pt idx="12">
                  <c:v>0.975182165030409</c:v>
                </c:pt>
                <c:pt idx="13">
                  <c:v>0.90630739927203585</c:v>
                </c:pt>
                <c:pt idx="14">
                  <c:v>0.92671318818154258</c:v>
                </c:pt>
                <c:pt idx="15">
                  <c:v>0.9016411968551078</c:v>
                </c:pt>
                <c:pt idx="16">
                  <c:v>0.90181318454992665</c:v>
                </c:pt>
                <c:pt idx="17">
                  <c:v>1.019931817265586</c:v>
                </c:pt>
                <c:pt idx="18">
                  <c:v>1.0633590865160523</c:v>
                </c:pt>
                <c:pt idx="19">
                  <c:v>1.1084319632474537</c:v>
                </c:pt>
                <c:pt idx="20">
                  <c:v>1.0960333061936671</c:v>
                </c:pt>
                <c:pt idx="21">
                  <c:v>0.99724002592196337</c:v>
                </c:pt>
                <c:pt idx="22">
                  <c:v>1.0712710158410916</c:v>
                </c:pt>
                <c:pt idx="23">
                  <c:v>1.0900099841983806</c:v>
                </c:pt>
                <c:pt idx="24">
                  <c:v>1.0875040024769718</c:v>
                </c:pt>
                <c:pt idx="25">
                  <c:v>1.0356235647563925</c:v>
                </c:pt>
                <c:pt idx="26">
                  <c:v>1.0242672949327269</c:v>
                </c:pt>
                <c:pt idx="27">
                  <c:v>1.0795068447139695</c:v>
                </c:pt>
                <c:pt idx="28">
                  <c:v>1.0965374904801413</c:v>
                </c:pt>
                <c:pt idx="29">
                  <c:v>1.0474783860983361</c:v>
                </c:pt>
                <c:pt idx="30">
                  <c:v>1.1387281438255905</c:v>
                </c:pt>
                <c:pt idx="31">
                  <c:v>1.0699406615946507</c:v>
                </c:pt>
                <c:pt idx="32">
                  <c:v>1.0765861993223795</c:v>
                </c:pt>
                <c:pt idx="33">
                  <c:v>1.0393187564602859</c:v>
                </c:pt>
                <c:pt idx="34">
                  <c:v>1.0428856051935746</c:v>
                </c:pt>
                <c:pt idx="35">
                  <c:v>1.1068995371136583</c:v>
                </c:pt>
                <c:pt idx="36">
                  <c:v>1.1685872601977965</c:v>
                </c:pt>
                <c:pt idx="37">
                  <c:v>1.1169049079287343</c:v>
                </c:pt>
                <c:pt idx="38">
                  <c:v>1.3152306845212816</c:v>
                </c:pt>
                <c:pt idx="39">
                  <c:v>1.1018457951599707</c:v>
                </c:pt>
                <c:pt idx="40">
                  <c:v>1.2132338110410361</c:v>
                </c:pt>
                <c:pt idx="41">
                  <c:v>1.0560206927479798</c:v>
                </c:pt>
                <c:pt idx="42">
                  <c:v>1.0692557743882622</c:v>
                </c:pt>
                <c:pt idx="43">
                  <c:v>1.1156753109620308</c:v>
                </c:pt>
                <c:pt idx="44">
                  <c:v>1.0925566421210171</c:v>
                </c:pt>
                <c:pt idx="45">
                  <c:v>1.2036599460345709</c:v>
                </c:pt>
                <c:pt idx="46">
                  <c:v>1.1843935190519355</c:v>
                </c:pt>
                <c:pt idx="47">
                  <c:v>1.1839170928468952</c:v>
                </c:pt>
                <c:pt idx="48">
                  <c:v>1.3461664621183014</c:v>
                </c:pt>
                <c:pt idx="49">
                  <c:v>1.3238623699065071</c:v>
                </c:pt>
                <c:pt idx="50">
                  <c:v>1.3569215411361624</c:v>
                </c:pt>
                <c:pt idx="51">
                  <c:v>1.377196877482604</c:v>
                </c:pt>
                <c:pt idx="52">
                  <c:v>1.3101543509529197</c:v>
                </c:pt>
                <c:pt idx="53">
                  <c:v>1.2576861396348944</c:v>
                </c:pt>
                <c:pt idx="54">
                  <c:v>1.2537629297338186</c:v>
                </c:pt>
                <c:pt idx="55">
                  <c:v>1.3603704117447606</c:v>
                </c:pt>
                <c:pt idx="56">
                  <c:v>1.274764539042387</c:v>
                </c:pt>
                <c:pt idx="57">
                  <c:v>1.266127461250995</c:v>
                </c:pt>
                <c:pt idx="58">
                  <c:v>1.3281257030271958</c:v>
                </c:pt>
                <c:pt idx="59">
                  <c:v>1.5370886037935749</c:v>
                </c:pt>
                <c:pt idx="60">
                  <c:v>1.5555997271130488</c:v>
                </c:pt>
                <c:pt idx="61">
                  <c:v>1.6897871318401585</c:v>
                </c:pt>
                <c:pt idx="62">
                  <c:v>1.6417088597106451</c:v>
                </c:pt>
                <c:pt idx="63">
                  <c:v>1.5811122169647256</c:v>
                </c:pt>
                <c:pt idx="64">
                  <c:v>1.5933357383949711</c:v>
                </c:pt>
                <c:pt idx="65">
                  <c:v>1.667718091131311</c:v>
                </c:pt>
                <c:pt idx="66">
                  <c:v>1.9748459658520869</c:v>
                </c:pt>
                <c:pt idx="67">
                  <c:v>2.0590454994123184</c:v>
                </c:pt>
                <c:pt idx="68">
                  <c:v>1.9117526887029583</c:v>
                </c:pt>
                <c:pt idx="69">
                  <c:v>1.8901816398602354</c:v>
                </c:pt>
                <c:pt idx="70">
                  <c:v>1.8952809686835921</c:v>
                </c:pt>
                <c:pt idx="71">
                  <c:v>2.0544040261818188</c:v>
                </c:pt>
                <c:pt idx="72">
                  <c:v>1.964707575663913</c:v>
                </c:pt>
                <c:pt idx="73">
                  <c:v>2.0774763628582527</c:v>
                </c:pt>
                <c:pt idx="74">
                  <c:v>2.0964852232766233</c:v>
                </c:pt>
                <c:pt idx="75">
                  <c:v>2.2844187151196023</c:v>
                </c:pt>
                <c:pt idx="76">
                  <c:v>3.106420476756679</c:v>
                </c:pt>
                <c:pt idx="77">
                  <c:v>1.7490381364882728</c:v>
                </c:pt>
                <c:pt idx="78">
                  <c:v>1.8501884003443487</c:v>
                </c:pt>
                <c:pt idx="79">
                  <c:v>2.0500901599411714</c:v>
                </c:pt>
                <c:pt idx="80">
                  <c:v>2.0017243508460947</c:v>
                </c:pt>
                <c:pt idx="81">
                  <c:v>1.9873239684574611</c:v>
                </c:pt>
                <c:pt idx="82">
                  <c:v>2.391513571661843</c:v>
                </c:pt>
                <c:pt idx="83">
                  <c:v>2.3689826158043159</c:v>
                </c:pt>
                <c:pt idx="84">
                  <c:v>2.4992040485597156</c:v>
                </c:pt>
                <c:pt idx="85">
                  <c:v>2.4334464981362869</c:v>
                </c:pt>
                <c:pt idx="86">
                  <c:v>2.3952754667354657</c:v>
                </c:pt>
                <c:pt idx="87">
                  <c:v>3.2621165648889887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GC_TCD!$G$80:$G$167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88"/>
                      <c:pt idx="0">
                        <c:v>174.93541666666715</c:v>
                      </c:pt>
                      <c:pt idx="1">
                        <c:v>175.90555555555329</c:v>
                      </c:pt>
                      <c:pt idx="2">
                        <c:v>176.9506944444438</c:v>
                      </c:pt>
                      <c:pt idx="3">
                        <c:v>177.92569444444234</c:v>
                      </c:pt>
                      <c:pt idx="4">
                        <c:v>180.89583333333576</c:v>
                      </c:pt>
                      <c:pt idx="5">
                        <c:v>181.87361111111386</c:v>
                      </c:pt>
                      <c:pt idx="6">
                        <c:v>182.9013888888876</c:v>
                      </c:pt>
                      <c:pt idx="7">
                        <c:v>183.99166666666861</c:v>
                      </c:pt>
                      <c:pt idx="8">
                        <c:v>184.90833333333285</c:v>
                      </c:pt>
                      <c:pt idx="9">
                        <c:v>187.82847222222335</c:v>
                      </c:pt>
                      <c:pt idx="10">
                        <c:v>188.94930555555766</c:v>
                      </c:pt>
                      <c:pt idx="11">
                        <c:v>189.88055555555184</c:v>
                      </c:pt>
                      <c:pt idx="12">
                        <c:v>190.92500000000291</c:v>
                      </c:pt>
                      <c:pt idx="13">
                        <c:v>191.8840277777781</c:v>
                      </c:pt>
                      <c:pt idx="14">
                        <c:v>194.9013888888876</c:v>
                      </c:pt>
                      <c:pt idx="15">
                        <c:v>195.95208333332994</c:v>
                      </c:pt>
                      <c:pt idx="16">
                        <c:v>196.9645833333343</c:v>
                      </c:pt>
                      <c:pt idx="17">
                        <c:v>199.12569444444671</c:v>
                      </c:pt>
                      <c:pt idx="18">
                        <c:v>201.96319444444089</c:v>
                      </c:pt>
                      <c:pt idx="19">
                        <c:v>202.87222222222044</c:v>
                      </c:pt>
                      <c:pt idx="20">
                        <c:v>204.07499999999709</c:v>
                      </c:pt>
                      <c:pt idx="21">
                        <c:v>204.94583333333139</c:v>
                      </c:pt>
                      <c:pt idx="22">
                        <c:v>205.90000000000146</c:v>
                      </c:pt>
                      <c:pt idx="23">
                        <c:v>208.9194444444438</c:v>
                      </c:pt>
                      <c:pt idx="24">
                        <c:v>210.99027777777519</c:v>
                      </c:pt>
                      <c:pt idx="25">
                        <c:v>211.98750000000291</c:v>
                      </c:pt>
                      <c:pt idx="26">
                        <c:v>212.90416666666715</c:v>
                      </c:pt>
                      <c:pt idx="27">
                        <c:v>215.94583333333139</c:v>
                      </c:pt>
                      <c:pt idx="28">
                        <c:v>216.92222222222335</c:v>
                      </c:pt>
                      <c:pt idx="29">
                        <c:v>217.9333333333343</c:v>
                      </c:pt>
                      <c:pt idx="30">
                        <c:v>218.8972222222219</c:v>
                      </c:pt>
                      <c:pt idx="31">
                        <c:v>225.8701388888876</c:v>
                      </c:pt>
                      <c:pt idx="32">
                        <c:v>232.90486111111386</c:v>
                      </c:pt>
                      <c:pt idx="33">
                        <c:v>233.92291666666279</c:v>
                      </c:pt>
                      <c:pt idx="34">
                        <c:v>236.91249999999854</c:v>
                      </c:pt>
                      <c:pt idx="35">
                        <c:v>237.93541666666715</c:v>
                      </c:pt>
                      <c:pt idx="36">
                        <c:v>238.88958333332994</c:v>
                      </c:pt>
                      <c:pt idx="37">
                        <c:v>240.04305555555766</c:v>
                      </c:pt>
                      <c:pt idx="38">
                        <c:v>240.91458333333139</c:v>
                      </c:pt>
                      <c:pt idx="39">
                        <c:v>243.88541666666424</c:v>
                      </c:pt>
                      <c:pt idx="40">
                        <c:v>244.91249999999854</c:v>
                      </c:pt>
                      <c:pt idx="41">
                        <c:v>245.94027777777956</c:v>
                      </c:pt>
                      <c:pt idx="42">
                        <c:v>246.96250000000146</c:v>
                      </c:pt>
                      <c:pt idx="43">
                        <c:v>247.94027777777956</c:v>
                      </c:pt>
                      <c:pt idx="44">
                        <c:v>250.93819444444671</c:v>
                      </c:pt>
                      <c:pt idx="45">
                        <c:v>254.01527777777665</c:v>
                      </c:pt>
                      <c:pt idx="46">
                        <c:v>255.02847222222044</c:v>
                      </c:pt>
                      <c:pt idx="47">
                        <c:v>257.87291666666715</c:v>
                      </c:pt>
                      <c:pt idx="48">
                        <c:v>258.85972222222335</c:v>
                      </c:pt>
                      <c:pt idx="49">
                        <c:v>259.91249999999854</c:v>
                      </c:pt>
                      <c:pt idx="50">
                        <c:v>260.95833333333576</c:v>
                      </c:pt>
                      <c:pt idx="51">
                        <c:v>261.92500000000291</c:v>
                      </c:pt>
                      <c:pt idx="52">
                        <c:v>264.82499999999709</c:v>
                      </c:pt>
                      <c:pt idx="53">
                        <c:v>265.90347222222044</c:v>
                      </c:pt>
                      <c:pt idx="54">
                        <c:v>266.86805555555475</c:v>
                      </c:pt>
                      <c:pt idx="55">
                        <c:v>267.95277777777665</c:v>
                      </c:pt>
                      <c:pt idx="56">
                        <c:v>268.9506944444438</c:v>
                      </c:pt>
                      <c:pt idx="57">
                        <c:v>271.91180555555184</c:v>
                      </c:pt>
                      <c:pt idx="58">
                        <c:v>272.95625000000291</c:v>
                      </c:pt>
                      <c:pt idx="59">
                        <c:v>273.91874999999709</c:v>
                      </c:pt>
                      <c:pt idx="60">
                        <c:v>274.91388888889196</c:v>
                      </c:pt>
                      <c:pt idx="61">
                        <c:v>275.9416666666657</c:v>
                      </c:pt>
                      <c:pt idx="62">
                        <c:v>278.9152777777781</c:v>
                      </c:pt>
                      <c:pt idx="63">
                        <c:v>279.91319444444525</c:v>
                      </c:pt>
                      <c:pt idx="64">
                        <c:v>280.92500000000291</c:v>
                      </c:pt>
                      <c:pt idx="65">
                        <c:v>281.9416666666657</c:v>
                      </c:pt>
                      <c:pt idx="66">
                        <c:v>282.89375000000291</c:v>
                      </c:pt>
                      <c:pt idx="67">
                        <c:v>285.92708333333576</c:v>
                      </c:pt>
                      <c:pt idx="68">
                        <c:v>286.92708333333576</c:v>
                      </c:pt>
                      <c:pt idx="69">
                        <c:v>287.88541666666424</c:v>
                      </c:pt>
                      <c:pt idx="70">
                        <c:v>288.90833333333285</c:v>
                      </c:pt>
                      <c:pt idx="71">
                        <c:v>289.93958333333285</c:v>
                      </c:pt>
                      <c:pt idx="72">
                        <c:v>292.92638888888905</c:v>
                      </c:pt>
                      <c:pt idx="73">
                        <c:v>294.1604166666657</c:v>
                      </c:pt>
                      <c:pt idx="74">
                        <c:v>294.92916666666861</c:v>
                      </c:pt>
                      <c:pt idx="75">
                        <c:v>295.88888888889051</c:v>
                      </c:pt>
                      <c:pt idx="76">
                        <c:v>296.08611111110804</c:v>
                      </c:pt>
                      <c:pt idx="77">
                        <c:v>296.89375000000291</c:v>
                      </c:pt>
                      <c:pt idx="78">
                        <c:v>299.89930555555475</c:v>
                      </c:pt>
                      <c:pt idx="79">
                        <c:v>301.0090277777781</c:v>
                      </c:pt>
                      <c:pt idx="80">
                        <c:v>301.9326388888876</c:v>
                      </c:pt>
                      <c:pt idx="81">
                        <c:v>302.8881944444438</c:v>
                      </c:pt>
                      <c:pt idx="82">
                        <c:v>304.00833333333139</c:v>
                      </c:pt>
                      <c:pt idx="83">
                        <c:v>306.87152777777374</c:v>
                      </c:pt>
                      <c:pt idx="84">
                        <c:v>307.8798611111124</c:v>
                      </c:pt>
                      <c:pt idx="85">
                        <c:v>308.92361111110949</c:v>
                      </c:pt>
                      <c:pt idx="86">
                        <c:v>309.90277777777374</c:v>
                      </c:pt>
                      <c:pt idx="87">
                        <c:v>310.97430555555184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3ACB-46B5-8724-5A2A1A28E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CH4 Production Rate </a:t>
                </a:r>
              </a:p>
              <a:p>
                <a:pPr>
                  <a:defRPr sz="1600"/>
                </a:pPr>
                <a:r>
                  <a:rPr lang="en-US" sz="1100" b="0" i="0" u="none" strike="noStrike" kern="1200" spc="0" baseline="0">
                    <a:solidFill>
                      <a:sysClr val="windowText" lastClr="000000"/>
                    </a:solidFill>
                  </a:rPr>
                  <a:t>(m3CH4/m3rv.d)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1273571847786904"/>
          <c:y val="0.23878281345557451"/>
          <c:w val="0.15728043459201838"/>
          <c:h val="0.19972359652158828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Reactor Performance</a:t>
            </a:r>
          </a:p>
        </c:rich>
      </c:tx>
      <c:layout>
        <c:manualLayout>
          <c:xMode val="edge"/>
          <c:yMode val="edge"/>
          <c:x val="0.41593737680914566"/>
          <c:y val="4.122011541632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1"/>
          <c:order val="0"/>
          <c:tx>
            <c:strRef>
              <c:f>GC_TCD!$W$2</c:f>
              <c:strCache>
                <c:ptCount val="1"/>
                <c:pt idx="0">
                  <c:v>CH4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GC_TCD!$W$8:$W$102</c:f>
              <c:numCache>
                <c:formatCode>General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5.1048</c:v>
                </c:pt>
                <c:pt idx="6">
                  <c:v>12.2433</c:v>
                </c:pt>
                <c:pt idx="7">
                  <c:v>12.663466666666666</c:v>
                </c:pt>
                <c:pt idx="8">
                  <c:v>19.379933333333334</c:v>
                </c:pt>
                <c:pt idx="9">
                  <c:v>20.246700000000001</c:v>
                </c:pt>
                <c:pt idx="10">
                  <c:v>0</c:v>
                </c:pt>
                <c:pt idx="11">
                  <c:v>17.937966666666668</c:v>
                </c:pt>
                <c:pt idx="12">
                  <c:v>89.163000000000011</c:v>
                </c:pt>
                <c:pt idx="13">
                  <c:v>30.431166666666666</c:v>
                </c:pt>
                <c:pt idx="14">
                  <c:v>40.495633333333338</c:v>
                </c:pt>
                <c:pt idx="15">
                  <c:v>88.412199999999984</c:v>
                </c:pt>
                <c:pt idx="16">
                  <c:v>49.019033333333333</c:v>
                </c:pt>
                <c:pt idx="17">
                  <c:v>14.133866666666668</c:v>
                </c:pt>
                <c:pt idx="18">
                  <c:v>11.5633</c:v>
                </c:pt>
                <c:pt idx="19">
                  <c:v>13.57256667</c:v>
                </c:pt>
                <c:pt idx="20">
                  <c:v>27.094999999999999</c:v>
                </c:pt>
                <c:pt idx="21">
                  <c:v>68.988200000000006</c:v>
                </c:pt>
                <c:pt idx="22">
                  <c:v>75.657033333333331</c:v>
                </c:pt>
                <c:pt idx="23">
                  <c:v>82.638300000000001</c:v>
                </c:pt>
                <c:pt idx="24">
                  <c:v>50.960233333333328</c:v>
                </c:pt>
                <c:pt idx="25">
                  <c:v>45.264699999999998</c:v>
                </c:pt>
                <c:pt idx="26">
                  <c:v>50.395600000000002</c:v>
                </c:pt>
                <c:pt idx="27">
                  <c:v>61.748454647266271</c:v>
                </c:pt>
                <c:pt idx="28">
                  <c:v>51.3217</c:v>
                </c:pt>
                <c:pt idx="29">
                  <c:v>57.428500000000007</c:v>
                </c:pt>
                <c:pt idx="30">
                  <c:v>67.272566666666663</c:v>
                </c:pt>
                <c:pt idx="31">
                  <c:v>72.243166666666653</c:v>
                </c:pt>
                <c:pt idx="32">
                  <c:v>77.505331832279211</c:v>
                </c:pt>
                <c:pt idx="33">
                  <c:v>67.773133333333348</c:v>
                </c:pt>
                <c:pt idx="34">
                  <c:v>73.17540000000001</c:v>
                </c:pt>
                <c:pt idx="35">
                  <c:v>60.329133333333338</c:v>
                </c:pt>
                <c:pt idx="36">
                  <c:v>62.433033333333334</c:v>
                </c:pt>
                <c:pt idx="37">
                  <c:v>75.598666666666659</c:v>
                </c:pt>
                <c:pt idx="38">
                  <c:v>79.696000000000012</c:v>
                </c:pt>
                <c:pt idx="39">
                  <c:v>82.476333333333329</c:v>
                </c:pt>
                <c:pt idx="40">
                  <c:v>80.593699999999998</c:v>
                </c:pt>
                <c:pt idx="41">
                  <c:v>83.335766666666657</c:v>
                </c:pt>
                <c:pt idx="42">
                  <c:v>90.877666666666656</c:v>
                </c:pt>
                <c:pt idx="43">
                  <c:v>86.886866666666677</c:v>
                </c:pt>
                <c:pt idx="44">
                  <c:v>90.854199999999992</c:v>
                </c:pt>
                <c:pt idx="45">
                  <c:v>89.807866666666669</c:v>
                </c:pt>
                <c:pt idx="46">
                  <c:v>91.911466666666669</c:v>
                </c:pt>
                <c:pt idx="47">
                  <c:v>95.201066666666676</c:v>
                </c:pt>
                <c:pt idx="48">
                  <c:v>96.409233333333347</c:v>
                </c:pt>
                <c:pt idx="49">
                  <c:v>95.326399999999992</c:v>
                </c:pt>
                <c:pt idx="50">
                  <c:v>87.194233333333329</c:v>
                </c:pt>
                <c:pt idx="51">
                  <c:v>92.992700000000013</c:v>
                </c:pt>
                <c:pt idx="52">
                  <c:v>97.350766666666672</c:v>
                </c:pt>
                <c:pt idx="53">
                  <c:v>98.266966666666676</c:v>
                </c:pt>
                <c:pt idx="54">
                  <c:v>97.370999999999995</c:v>
                </c:pt>
                <c:pt idx="55">
                  <c:v>65.938400000000001</c:v>
                </c:pt>
                <c:pt idx="56">
                  <c:v>19.745766666666668</c:v>
                </c:pt>
                <c:pt idx="57">
                  <c:v>10.5124</c:v>
                </c:pt>
                <c:pt idx="58">
                  <c:v>71.615799999999993</c:v>
                </c:pt>
                <c:pt idx="59">
                  <c:v>71.589233333333326</c:v>
                </c:pt>
                <c:pt idx="60">
                  <c:v>74.730599999999995</c:v>
                </c:pt>
                <c:pt idx="61">
                  <c:v>79.926699999999997</c:v>
                </c:pt>
                <c:pt idx="62">
                  <c:v>90.001266666666666</c:v>
                </c:pt>
                <c:pt idx="63">
                  <c:v>91.200566666666688</c:v>
                </c:pt>
                <c:pt idx="64">
                  <c:v>93.713833333333312</c:v>
                </c:pt>
                <c:pt idx="65">
                  <c:v>94.147400000000005</c:v>
                </c:pt>
                <c:pt idx="66">
                  <c:v>95.646433333333334</c:v>
                </c:pt>
                <c:pt idx="67">
                  <c:v>88.87406666666665</c:v>
                </c:pt>
                <c:pt idx="68">
                  <c:v>62.658066666666663</c:v>
                </c:pt>
                <c:pt idx="69">
                  <c:v>50.542533333333331</c:v>
                </c:pt>
                <c:pt idx="70">
                  <c:v>46.880633333333343</c:v>
                </c:pt>
                <c:pt idx="71">
                  <c:v>70.126166666666663</c:v>
                </c:pt>
                <c:pt idx="72">
                  <c:v>84.628766666666664</c:v>
                </c:pt>
                <c:pt idx="73">
                  <c:v>86.59793333333333</c:v>
                </c:pt>
                <c:pt idx="74">
                  <c:v>88.067666666666653</c:v>
                </c:pt>
                <c:pt idx="75">
                  <c:v>88.793700000000001</c:v>
                </c:pt>
                <c:pt idx="76">
                  <c:v>88.337933333333339</c:v>
                </c:pt>
                <c:pt idx="77">
                  <c:v>91.960399999999993</c:v>
                </c:pt>
                <c:pt idx="78">
                  <c:v>91.56883333333333</c:v>
                </c:pt>
                <c:pt idx="79">
                  <c:v>93.164333333333332</c:v>
                </c:pt>
                <c:pt idx="80">
                  <c:v>92.946966666666654</c:v>
                </c:pt>
                <c:pt idx="81">
                  <c:v>94.007199999999997</c:v>
                </c:pt>
                <c:pt idx="82">
                  <c:v>94.854466666666667</c:v>
                </c:pt>
                <c:pt idx="83">
                  <c:v>94.832299999999989</c:v>
                </c:pt>
                <c:pt idx="84">
                  <c:v>95.474533333333326</c:v>
                </c:pt>
                <c:pt idx="85">
                  <c:v>95.596299999999999</c:v>
                </c:pt>
                <c:pt idx="86">
                  <c:v>96.390199999999993</c:v>
                </c:pt>
                <c:pt idx="87">
                  <c:v>98.34559999999999</c:v>
                </c:pt>
                <c:pt idx="88">
                  <c:v>97.274333333333331</c:v>
                </c:pt>
                <c:pt idx="89">
                  <c:v>96.960766666666657</c:v>
                </c:pt>
                <c:pt idx="90">
                  <c:v>95.914699999999996</c:v>
                </c:pt>
                <c:pt idx="91">
                  <c:v>94.801700000000025</c:v>
                </c:pt>
                <c:pt idx="92">
                  <c:v>95.407366666666675</c:v>
                </c:pt>
                <c:pt idx="93">
                  <c:v>94.092399999999998</c:v>
                </c:pt>
                <c:pt idx="94">
                  <c:v>95.091600000000014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C72-4475-8659-3F6BFD6B3752}"/>
            </c:ext>
          </c:extLst>
        </c:ser>
        <c:ser>
          <c:idx val="2"/>
          <c:order val="1"/>
          <c:tx>
            <c:strRef>
              <c:f>GC_TCD!$Y$2</c:f>
              <c:strCache>
                <c:ptCount val="1"/>
                <c:pt idx="0">
                  <c:v>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GC_TCD!$Y$8:$Y$102</c:f>
              <c:numCache>
                <c:formatCode>General</c:formatCode>
                <c:ptCount val="95"/>
                <c:pt idx="0">
                  <c:v>12.411466666666668</c:v>
                </c:pt>
                <c:pt idx="1">
                  <c:v>12.101033333333334</c:v>
                </c:pt>
                <c:pt idx="2">
                  <c:v>11.754399999999999</c:v>
                </c:pt>
                <c:pt idx="3">
                  <c:v>11.538133333333334</c:v>
                </c:pt>
                <c:pt idx="4">
                  <c:v>6.8155000000000001</c:v>
                </c:pt>
                <c:pt idx="5">
                  <c:v>1.4856666666666667</c:v>
                </c:pt>
                <c:pt idx="6">
                  <c:v>1.5905666666666667</c:v>
                </c:pt>
                <c:pt idx="7">
                  <c:v>0.7546666666666666</c:v>
                </c:pt>
                <c:pt idx="8">
                  <c:v>2.1787666666666667</c:v>
                </c:pt>
                <c:pt idx="9">
                  <c:v>0.96950000000000003</c:v>
                </c:pt>
                <c:pt idx="10">
                  <c:v>0</c:v>
                </c:pt>
                <c:pt idx="11">
                  <c:v>1.2280666666666666</c:v>
                </c:pt>
                <c:pt idx="12">
                  <c:v>10.837000000000002</c:v>
                </c:pt>
                <c:pt idx="13">
                  <c:v>0.61726666666666663</c:v>
                </c:pt>
                <c:pt idx="14">
                  <c:v>0.78633333333333333</c:v>
                </c:pt>
                <c:pt idx="15">
                  <c:v>11.587800000000001</c:v>
                </c:pt>
                <c:pt idx="16">
                  <c:v>4.7115333333333336</c:v>
                </c:pt>
                <c:pt idx="17">
                  <c:v>0.93376666666666674</c:v>
                </c:pt>
                <c:pt idx="18">
                  <c:v>0.30949999999999994</c:v>
                </c:pt>
                <c:pt idx="19">
                  <c:v>0.27350000000000002</c:v>
                </c:pt>
                <c:pt idx="20">
                  <c:v>0.64139999999999997</c:v>
                </c:pt>
                <c:pt idx="21">
                  <c:v>7.890733333</c:v>
                </c:pt>
                <c:pt idx="22">
                  <c:v>6.5735666666666672</c:v>
                </c:pt>
                <c:pt idx="23">
                  <c:v>6.6886666666666663</c:v>
                </c:pt>
                <c:pt idx="24">
                  <c:v>2.6753999999999998</c:v>
                </c:pt>
                <c:pt idx="25">
                  <c:v>1.5496666666666667</c:v>
                </c:pt>
                <c:pt idx="26">
                  <c:v>1.0624666666666667</c:v>
                </c:pt>
                <c:pt idx="27">
                  <c:v>3.7780622344374013</c:v>
                </c:pt>
                <c:pt idx="28">
                  <c:v>1.2834999999999999</c:v>
                </c:pt>
                <c:pt idx="29">
                  <c:v>0.3957</c:v>
                </c:pt>
                <c:pt idx="30">
                  <c:v>23.818233333333335</c:v>
                </c:pt>
                <c:pt idx="31">
                  <c:v>27.756833333333333</c:v>
                </c:pt>
                <c:pt idx="32">
                  <c:v>22.126423296090699</c:v>
                </c:pt>
                <c:pt idx="33">
                  <c:v>26.232033333333334</c:v>
                </c:pt>
                <c:pt idx="34">
                  <c:v>18.237166666666667</c:v>
                </c:pt>
                <c:pt idx="35">
                  <c:v>20.364166666666666</c:v>
                </c:pt>
                <c:pt idx="36">
                  <c:v>21.314966666666667</c:v>
                </c:pt>
                <c:pt idx="37">
                  <c:v>20.7075</c:v>
                </c:pt>
                <c:pt idx="38">
                  <c:v>18.726333333333333</c:v>
                </c:pt>
                <c:pt idx="39">
                  <c:v>17.524266666666666</c:v>
                </c:pt>
                <c:pt idx="40">
                  <c:v>14.019866666666667</c:v>
                </c:pt>
                <c:pt idx="41">
                  <c:v>10.4064</c:v>
                </c:pt>
                <c:pt idx="42">
                  <c:v>6.618966666666668</c:v>
                </c:pt>
                <c:pt idx="43">
                  <c:v>8.5740333333333325</c:v>
                </c:pt>
                <c:pt idx="44">
                  <c:v>7.9512999999999998</c:v>
                </c:pt>
                <c:pt idx="45">
                  <c:v>8.6004666666666676</c:v>
                </c:pt>
                <c:pt idx="46">
                  <c:v>7.0522999999999998</c:v>
                </c:pt>
                <c:pt idx="47">
                  <c:v>4.1046000000000005</c:v>
                </c:pt>
                <c:pt idx="48">
                  <c:v>2.8365666666666667</c:v>
                </c:pt>
                <c:pt idx="49">
                  <c:v>0.70663333333333334</c:v>
                </c:pt>
                <c:pt idx="50">
                  <c:v>1.0085666666666666</c:v>
                </c:pt>
                <c:pt idx="51">
                  <c:v>0.64483333333333337</c:v>
                </c:pt>
                <c:pt idx="52">
                  <c:v>1.1251</c:v>
                </c:pt>
                <c:pt idx="53">
                  <c:v>0.74129999999999996</c:v>
                </c:pt>
                <c:pt idx="54">
                  <c:v>1.6468333333333334</c:v>
                </c:pt>
                <c:pt idx="55">
                  <c:v>7.686666666666668E-2</c:v>
                </c:pt>
                <c:pt idx="56">
                  <c:v>0</c:v>
                </c:pt>
                <c:pt idx="57">
                  <c:v>0</c:v>
                </c:pt>
                <c:pt idx="58">
                  <c:v>4.3467666666666664</c:v>
                </c:pt>
                <c:pt idx="59">
                  <c:v>3.0678999999999998</c:v>
                </c:pt>
                <c:pt idx="60">
                  <c:v>2.7005666666666666</c:v>
                </c:pt>
                <c:pt idx="61">
                  <c:v>1.5954666666666668</c:v>
                </c:pt>
                <c:pt idx="62">
                  <c:v>1.7744</c:v>
                </c:pt>
                <c:pt idx="63">
                  <c:v>3.6055666666666668</c:v>
                </c:pt>
                <c:pt idx="64">
                  <c:v>3.7717666666666667</c:v>
                </c:pt>
                <c:pt idx="65">
                  <c:v>4.0145</c:v>
                </c:pt>
                <c:pt idx="66">
                  <c:v>3.0146999999999999</c:v>
                </c:pt>
                <c:pt idx="67">
                  <c:v>1.3337333333333337</c:v>
                </c:pt>
                <c:pt idx="68">
                  <c:v>0.16493333333333335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0.77619999999999989</c:v>
                </c:pt>
                <c:pt idx="73">
                  <c:v>1.0083</c:v>
                </c:pt>
                <c:pt idx="74">
                  <c:v>2.7566000000000002</c:v>
                </c:pt>
                <c:pt idx="75">
                  <c:v>3.0946333333333329</c:v>
                </c:pt>
                <c:pt idx="76">
                  <c:v>4.9634999999999998</c:v>
                </c:pt>
                <c:pt idx="77">
                  <c:v>3.1055333333333337</c:v>
                </c:pt>
                <c:pt idx="78">
                  <c:v>3.0125999999999995</c:v>
                </c:pt>
                <c:pt idx="79">
                  <c:v>2.7912999999999997</c:v>
                </c:pt>
                <c:pt idx="80">
                  <c:v>3.2565666666666666</c:v>
                </c:pt>
                <c:pt idx="81">
                  <c:v>2.7439</c:v>
                </c:pt>
                <c:pt idx="82">
                  <c:v>1.9735333333333334</c:v>
                </c:pt>
                <c:pt idx="83">
                  <c:v>1.6606666666666667</c:v>
                </c:pt>
                <c:pt idx="84">
                  <c:v>1.6232666666666666</c:v>
                </c:pt>
                <c:pt idx="85">
                  <c:v>1.3059666666666667</c:v>
                </c:pt>
                <c:pt idx="86">
                  <c:v>1.3154333333333332</c:v>
                </c:pt>
                <c:pt idx="87">
                  <c:v>0.41156666666666669</c:v>
                </c:pt>
                <c:pt idx="88">
                  <c:v>0.86790000000000012</c:v>
                </c:pt>
                <c:pt idx="89">
                  <c:v>0.13576666666666667</c:v>
                </c:pt>
                <c:pt idx="90">
                  <c:v>0.56443333333333334</c:v>
                </c:pt>
                <c:pt idx="91">
                  <c:v>0.80446666666666677</c:v>
                </c:pt>
                <c:pt idx="92">
                  <c:v>1.4832999999999998</c:v>
                </c:pt>
                <c:pt idx="93">
                  <c:v>1.1700666666666668</c:v>
                </c:pt>
                <c:pt idx="94">
                  <c:v>0.56593333333333329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C72-4475-8659-3F6BFD6B3752}"/>
            </c:ext>
          </c:extLst>
        </c:ser>
        <c:ser>
          <c:idx val="0"/>
          <c:order val="2"/>
          <c:tx>
            <c:strRef>
              <c:f>GC_TCD!$U$2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GC_TCD!$U$8:$U$102</c:f>
              <c:numCache>
                <c:formatCode>General</c:formatCode>
                <c:ptCount val="95"/>
                <c:pt idx="0">
                  <c:v>87.588533333333331</c:v>
                </c:pt>
                <c:pt idx="1">
                  <c:v>87.898966666666681</c:v>
                </c:pt>
                <c:pt idx="2">
                  <c:v>88.24560000000001</c:v>
                </c:pt>
                <c:pt idx="3">
                  <c:v>88.461866666666666</c:v>
                </c:pt>
                <c:pt idx="4">
                  <c:v>93.1845</c:v>
                </c:pt>
                <c:pt idx="5">
                  <c:v>93.409566666666663</c:v>
                </c:pt>
                <c:pt idx="6">
                  <c:v>86.166133333333335</c:v>
                </c:pt>
                <c:pt idx="7">
                  <c:v>86.58186666666667</c:v>
                </c:pt>
                <c:pt idx="8">
                  <c:v>78.441233333333329</c:v>
                </c:pt>
                <c:pt idx="9">
                  <c:v>78.783799999999999</c:v>
                </c:pt>
                <c:pt idx="10">
                  <c:v>0</c:v>
                </c:pt>
                <c:pt idx="11">
                  <c:v>80.83393333333332</c:v>
                </c:pt>
                <c:pt idx="12">
                  <c:v>0</c:v>
                </c:pt>
                <c:pt idx="13">
                  <c:v>68.950699999999998</c:v>
                </c:pt>
                <c:pt idx="14">
                  <c:v>58.7181</c:v>
                </c:pt>
                <c:pt idx="15">
                  <c:v>0</c:v>
                </c:pt>
                <c:pt idx="16">
                  <c:v>46.269433333333332</c:v>
                </c:pt>
                <c:pt idx="17">
                  <c:v>84.932399999999987</c:v>
                </c:pt>
                <c:pt idx="18">
                  <c:v>88.127200000000002</c:v>
                </c:pt>
                <c:pt idx="19">
                  <c:v>86.153966670000003</c:v>
                </c:pt>
                <c:pt idx="20">
                  <c:v>72.263599999999997</c:v>
                </c:pt>
                <c:pt idx="21">
                  <c:v>23.121066670000001</c:v>
                </c:pt>
                <c:pt idx="22">
                  <c:v>17.769400000000001</c:v>
                </c:pt>
                <c:pt idx="23">
                  <c:v>10.673033333333334</c:v>
                </c:pt>
                <c:pt idx="24">
                  <c:v>46.364399999999996</c:v>
                </c:pt>
                <c:pt idx="25">
                  <c:v>53.185566666666666</c:v>
                </c:pt>
                <c:pt idx="26">
                  <c:v>48.541899999999998</c:v>
                </c:pt>
                <c:pt idx="27">
                  <c:v>34.473530854777252</c:v>
                </c:pt>
                <c:pt idx="28">
                  <c:v>50.728133333333325</c:v>
                </c:pt>
                <c:pt idx="29">
                  <c:v>42.175800000000002</c:v>
                </c:pt>
                <c:pt idx="30">
                  <c:v>8.9092333333333329</c:v>
                </c:pt>
                <c:pt idx="31">
                  <c:v>0</c:v>
                </c:pt>
                <c:pt idx="32">
                  <c:v>0.36833887159730255</c:v>
                </c:pt>
                <c:pt idx="33">
                  <c:v>5.9948333333333332</c:v>
                </c:pt>
                <c:pt idx="34">
                  <c:v>8.5874333333333315</c:v>
                </c:pt>
                <c:pt idx="35">
                  <c:v>19.306700000000003</c:v>
                </c:pt>
                <c:pt idx="36">
                  <c:v>16.251999999999999</c:v>
                </c:pt>
                <c:pt idx="37">
                  <c:v>3.6938666666666666</c:v>
                </c:pt>
                <c:pt idx="38">
                  <c:v>1.5776333333333337</c:v>
                </c:pt>
                <c:pt idx="39">
                  <c:v>0</c:v>
                </c:pt>
                <c:pt idx="40">
                  <c:v>5.3864666666666672</c:v>
                </c:pt>
                <c:pt idx="41">
                  <c:v>6.2578333333333331</c:v>
                </c:pt>
                <c:pt idx="42">
                  <c:v>2.5033666666666665</c:v>
                </c:pt>
                <c:pt idx="43">
                  <c:v>4.5391000000000004</c:v>
                </c:pt>
                <c:pt idx="44">
                  <c:v>1.1944999999999999</c:v>
                </c:pt>
                <c:pt idx="45">
                  <c:v>1.5917000000000001</c:v>
                </c:pt>
                <c:pt idx="46">
                  <c:v>1.0362666666666667</c:v>
                </c:pt>
                <c:pt idx="47">
                  <c:v>0.69433333333333336</c:v>
                </c:pt>
                <c:pt idx="48">
                  <c:v>0.75419999999999998</c:v>
                </c:pt>
                <c:pt idx="49">
                  <c:v>3.9489333333333332</c:v>
                </c:pt>
                <c:pt idx="50">
                  <c:v>11.797166666666667</c:v>
                </c:pt>
                <c:pt idx="51">
                  <c:v>6.3624666666666663</c:v>
                </c:pt>
                <c:pt idx="52">
                  <c:v>1.5241</c:v>
                </c:pt>
                <c:pt idx="53">
                  <c:v>0.99173333333333324</c:v>
                </c:pt>
                <c:pt idx="54">
                  <c:v>0.96713333333333329</c:v>
                </c:pt>
                <c:pt idx="55">
                  <c:v>33.984766666666665</c:v>
                </c:pt>
                <c:pt idx="56">
                  <c:v>80.254233333333332</c:v>
                </c:pt>
                <c:pt idx="57">
                  <c:v>89.4876</c:v>
                </c:pt>
                <c:pt idx="58">
                  <c:v>24.037466666666671</c:v>
                </c:pt>
                <c:pt idx="59">
                  <c:v>25.342833333333331</c:v>
                </c:pt>
                <c:pt idx="60">
                  <c:v>22.568866666666665</c:v>
                </c:pt>
                <c:pt idx="61">
                  <c:v>18.477833333333333</c:v>
                </c:pt>
                <c:pt idx="62">
                  <c:v>8.2243333333333339</c:v>
                </c:pt>
                <c:pt idx="63">
                  <c:v>5.1938666666666675</c:v>
                </c:pt>
                <c:pt idx="64">
                  <c:v>2.5143999999999997</c:v>
                </c:pt>
                <c:pt idx="65">
                  <c:v>1.8381333333333334</c:v>
                </c:pt>
                <c:pt idx="66">
                  <c:v>1.3388333333333333</c:v>
                </c:pt>
                <c:pt idx="67">
                  <c:v>9.7922333333333338</c:v>
                </c:pt>
                <c:pt idx="68">
                  <c:v>37.177033333333334</c:v>
                </c:pt>
                <c:pt idx="69">
                  <c:v>49.457466666666669</c:v>
                </c:pt>
                <c:pt idx="70">
                  <c:v>53.119366666666657</c:v>
                </c:pt>
                <c:pt idx="71">
                  <c:v>29.873833333333334</c:v>
                </c:pt>
                <c:pt idx="72">
                  <c:v>14.595033333333333</c:v>
                </c:pt>
                <c:pt idx="73">
                  <c:v>12.393833333333333</c:v>
                </c:pt>
                <c:pt idx="74">
                  <c:v>9.1757333333333317</c:v>
                </c:pt>
                <c:pt idx="75">
                  <c:v>8.1131900000000012</c:v>
                </c:pt>
                <c:pt idx="76">
                  <c:v>6.6985666666666672</c:v>
                </c:pt>
                <c:pt idx="77">
                  <c:v>4.9340333333333328</c:v>
                </c:pt>
                <c:pt idx="78">
                  <c:v>5.418566666666667</c:v>
                </c:pt>
                <c:pt idx="79">
                  <c:v>4.0443666666666669</c:v>
                </c:pt>
                <c:pt idx="80">
                  <c:v>3.7964333333333333</c:v>
                </c:pt>
                <c:pt idx="81">
                  <c:v>3.2489000000000003</c:v>
                </c:pt>
                <c:pt idx="82">
                  <c:v>3.1720333333333333</c:v>
                </c:pt>
                <c:pt idx="83">
                  <c:v>3.5070333333333337</c:v>
                </c:pt>
                <c:pt idx="84">
                  <c:v>2.9022000000000001</c:v>
                </c:pt>
                <c:pt idx="85">
                  <c:v>3.0977333333333337</c:v>
                </c:pt>
                <c:pt idx="86">
                  <c:v>2.2943666666666664</c:v>
                </c:pt>
                <c:pt idx="87">
                  <c:v>1.2428333333333332</c:v>
                </c:pt>
                <c:pt idx="88">
                  <c:v>1.8589666666666667</c:v>
                </c:pt>
                <c:pt idx="89">
                  <c:v>2.9034666666666666</c:v>
                </c:pt>
                <c:pt idx="90">
                  <c:v>3.5208666666666666</c:v>
                </c:pt>
                <c:pt idx="91">
                  <c:v>4.393933333333333</c:v>
                </c:pt>
                <c:pt idx="92">
                  <c:v>3.1092999999999997</c:v>
                </c:pt>
                <c:pt idx="93">
                  <c:v>4.7375333333333334</c:v>
                </c:pt>
                <c:pt idx="94">
                  <c:v>4.3424666666666667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C72-4475-8659-3F6BFD6B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5192255"/>
        <c:axId val="274141519"/>
      </c:barChart>
      <c:lineChart>
        <c:grouping val="standard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GC_TCD!$AA$8:$AA$102</c:f>
              <c:numCache>
                <c:formatCode>General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9.2232258072889289E-2</c:v>
                </c:pt>
                <c:pt idx="6">
                  <c:v>0.21125560486478087</c:v>
                </c:pt>
                <c:pt idx="7">
                  <c:v>0.22294008479318983</c:v>
                </c:pt>
                <c:pt idx="8">
                  <c:v>0.30000768286904744</c:v>
                </c:pt>
                <c:pt idx="9">
                  <c:v>0.38988780319361904</c:v>
                </c:pt>
                <c:pt idx="10">
                  <c:v>0</c:v>
                </c:pt>
                <c:pt idx="11">
                  <c:v>0.29185642102091758</c:v>
                </c:pt>
                <c:pt idx="12">
                  <c:v>1.4169339827290994</c:v>
                </c:pt>
                <c:pt idx="13">
                  <c:v>0.5171908044984419</c:v>
                </c:pt>
                <c:pt idx="14">
                  <c:v>0.52665463455449002</c:v>
                </c:pt>
                <c:pt idx="15">
                  <c:v>2.6931721999884823</c:v>
                </c:pt>
                <c:pt idx="16">
                  <c:v>1.086023310522185</c:v>
                </c:pt>
                <c:pt idx="17">
                  <c:v>0.30186190385873596</c:v>
                </c:pt>
                <c:pt idx="18">
                  <c:v>0.37251143887767746</c:v>
                </c:pt>
                <c:pt idx="19">
                  <c:v>0.21746929409183893</c:v>
                </c:pt>
                <c:pt idx="20">
                  <c:v>0.47884936725962135</c:v>
                </c:pt>
                <c:pt idx="21">
                  <c:v>2.2082927459947319</c:v>
                </c:pt>
                <c:pt idx="22">
                  <c:v>1.8047328434928613</c:v>
                </c:pt>
                <c:pt idx="23">
                  <c:v>1.4836925022042045</c:v>
                </c:pt>
                <c:pt idx="24">
                  <c:v>1.050971596124042</c:v>
                </c:pt>
                <c:pt idx="25">
                  <c:v>0.84107637315570549</c:v>
                </c:pt>
                <c:pt idx="26">
                  <c:v>0.88589197089400551</c:v>
                </c:pt>
                <c:pt idx="27">
                  <c:v>1.0641348802909996</c:v>
                </c:pt>
                <c:pt idx="28">
                  <c:v>0.90435616654263118</c:v>
                </c:pt>
                <c:pt idx="29">
                  <c:v>0.94360412224778534</c:v>
                </c:pt>
                <c:pt idx="30">
                  <c:v>1.8913487562907934</c:v>
                </c:pt>
                <c:pt idx="31">
                  <c:v>1.9774825547116053</c:v>
                </c:pt>
                <c:pt idx="32">
                  <c:v>2.105214087571059</c:v>
                </c:pt>
                <c:pt idx="33">
                  <c:v>2.1220364450347344</c:v>
                </c:pt>
                <c:pt idx="34">
                  <c:v>1.3107817366939623</c:v>
                </c:pt>
                <c:pt idx="35">
                  <c:v>3.6743283297650122</c:v>
                </c:pt>
                <c:pt idx="36">
                  <c:v>1.728624146890855</c:v>
                </c:pt>
                <c:pt idx="37">
                  <c:v>1.977032982578655</c:v>
                </c:pt>
                <c:pt idx="38">
                  <c:v>1.9110168639032392</c:v>
                </c:pt>
                <c:pt idx="39">
                  <c:v>2.0476115511532549</c:v>
                </c:pt>
                <c:pt idx="40">
                  <c:v>2.4109817163894283</c:v>
                </c:pt>
                <c:pt idx="41">
                  <c:v>1.362917137544442</c:v>
                </c:pt>
                <c:pt idx="42">
                  <c:v>1.6488505126702582</c:v>
                </c:pt>
                <c:pt idx="43">
                  <c:v>1.149508634685801</c:v>
                </c:pt>
                <c:pt idx="44">
                  <c:v>1.4811330883295306</c:v>
                </c:pt>
                <c:pt idx="45">
                  <c:v>1.3085728498989129</c:v>
                </c:pt>
                <c:pt idx="46">
                  <c:v>0.88823747477546766</c:v>
                </c:pt>
                <c:pt idx="47">
                  <c:v>0.86721942993724621</c:v>
                </c:pt>
                <c:pt idx="48">
                  <c:v>0.92104001425513449</c:v>
                </c:pt>
                <c:pt idx="49">
                  <c:v>0.72364965433368944</c:v>
                </c:pt>
                <c:pt idx="50">
                  <c:v>0.83569840837831966</c:v>
                </c:pt>
                <c:pt idx="51">
                  <c:v>0.85380583978382318</c:v>
                </c:pt>
                <c:pt idx="52">
                  <c:v>0.8889100918422419</c:v>
                </c:pt>
                <c:pt idx="53">
                  <c:v>0.8252230707381053</c:v>
                </c:pt>
                <c:pt idx="54">
                  <c:v>0.88707753297709735</c:v>
                </c:pt>
                <c:pt idx="55">
                  <c:v>2.0237501912632871</c:v>
                </c:pt>
                <c:pt idx="56">
                  <c:v>0.52668325055773768</c:v>
                </c:pt>
                <c:pt idx="57">
                  <c:v>0.11998535953393052</c:v>
                </c:pt>
                <c:pt idx="58">
                  <c:v>0.80625903157792722</c:v>
                </c:pt>
                <c:pt idx="59">
                  <c:v>1.0095096618232262</c:v>
                </c:pt>
                <c:pt idx="60">
                  <c:v>0.6655208313600931</c:v>
                </c:pt>
                <c:pt idx="61">
                  <c:v>0.73715080179514791</c:v>
                </c:pt>
                <c:pt idx="62">
                  <c:v>1.0326665998606497</c:v>
                </c:pt>
                <c:pt idx="63">
                  <c:v>0.85562625222637345</c:v>
                </c:pt>
                <c:pt idx="64">
                  <c:v>0.83720480259147334</c:v>
                </c:pt>
                <c:pt idx="65">
                  <c:v>0.92099897192418811</c:v>
                </c:pt>
                <c:pt idx="66">
                  <c:v>0.86432108697251309</c:v>
                </c:pt>
                <c:pt idx="67">
                  <c:v>1.7652685403769246</c:v>
                </c:pt>
                <c:pt idx="68">
                  <c:v>1.0526045635179369</c:v>
                </c:pt>
                <c:pt idx="69">
                  <c:v>0.86706770116127996</c:v>
                </c:pt>
                <c:pt idx="70">
                  <c:v>0.47071645759746383</c:v>
                </c:pt>
                <c:pt idx="71">
                  <c:v>0.6978585939986055</c:v>
                </c:pt>
                <c:pt idx="72">
                  <c:v>0.9388099187289165</c:v>
                </c:pt>
                <c:pt idx="73">
                  <c:v>0.88124596009174916</c:v>
                </c:pt>
                <c:pt idx="74">
                  <c:v>0.88562044216731994</c:v>
                </c:pt>
                <c:pt idx="75">
                  <c:v>0.93551342338191212</c:v>
                </c:pt>
                <c:pt idx="76">
                  <c:v>0.85208479422189332</c:v>
                </c:pt>
                <c:pt idx="77">
                  <c:v>0.8931589059715197</c:v>
                </c:pt>
                <c:pt idx="78">
                  <c:v>0.87037017527008986</c:v>
                </c:pt>
                <c:pt idx="79">
                  <c:v>0.88831952950162185</c:v>
                </c:pt>
                <c:pt idx="80">
                  <c:v>0.9136743154852458</c:v>
                </c:pt>
                <c:pt idx="81">
                  <c:v>0.93933157307851844</c:v>
                </c:pt>
                <c:pt idx="82">
                  <c:v>1.0347443767561417</c:v>
                </c:pt>
                <c:pt idx="83">
                  <c:v>0.9209570995528189</c:v>
                </c:pt>
                <c:pt idx="84">
                  <c:v>0.975182165030409</c:v>
                </c:pt>
                <c:pt idx="85">
                  <c:v>0.90630739927203585</c:v>
                </c:pt>
                <c:pt idx="86">
                  <c:v>0.92671318818154258</c:v>
                </c:pt>
                <c:pt idx="87">
                  <c:v>0.9016411968551078</c:v>
                </c:pt>
                <c:pt idx="88">
                  <c:v>0.90181318454992665</c:v>
                </c:pt>
                <c:pt idx="89">
                  <c:v>1.019931817265586</c:v>
                </c:pt>
                <c:pt idx="90">
                  <c:v>1.0633590865160523</c:v>
                </c:pt>
                <c:pt idx="91">
                  <c:v>1.1084319632474537</c:v>
                </c:pt>
                <c:pt idx="92">
                  <c:v>1.0960333061936671</c:v>
                </c:pt>
                <c:pt idx="93">
                  <c:v>0.99724002592196337</c:v>
                </c:pt>
                <c:pt idx="94">
                  <c:v>1.0712710158410916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GC_TCD!$G$8:$G$102</c15:sqref>
                        </c15:formulaRef>
                      </c:ext>
                    </c:extLst>
                    <c:numCache>
                      <c:formatCode>_(* #,##0.0_);_(* \(#,##0.0\);_(* "-"??_);_(@_)</c:formatCode>
                      <c:ptCount val="95"/>
                      <c:pt idx="0">
                        <c:v>5.0000000002910383E-2</c:v>
                      </c:pt>
                      <c:pt idx="1">
                        <c:v>6.3888888886140194E-2</c:v>
                      </c:pt>
                      <c:pt idx="2">
                        <c:v>1.0090277777781012</c:v>
                      </c:pt>
                      <c:pt idx="3">
                        <c:v>2.1465277777751908</c:v>
                      </c:pt>
                      <c:pt idx="4">
                        <c:v>3.1027777777781012</c:v>
                      </c:pt>
                      <c:pt idx="5">
                        <c:v>6.0520833333357587</c:v>
                      </c:pt>
                      <c:pt idx="6">
                        <c:v>6.9798611111109494</c:v>
                      </c:pt>
                      <c:pt idx="7">
                        <c:v>7.859722222223354</c:v>
                      </c:pt>
                      <c:pt idx="8">
                        <c:v>9.9124999999985448</c:v>
                      </c:pt>
                      <c:pt idx="9">
                        <c:v>10.166666666664241</c:v>
                      </c:pt>
                      <c:pt idx="10">
                        <c:v>14.365972222221899</c:v>
                      </c:pt>
                      <c:pt idx="11">
                        <c:v>15.124305555553292</c:v>
                      </c:pt>
                      <c:pt idx="12">
                        <c:v>15.970833333332848</c:v>
                      </c:pt>
                      <c:pt idx="13">
                        <c:v>17.901388888887595</c:v>
                      </c:pt>
                      <c:pt idx="14">
                        <c:v>23.198611111110949</c:v>
                      </c:pt>
                      <c:pt idx="15">
                        <c:v>23.995138888887595</c:v>
                      </c:pt>
                      <c:pt idx="16">
                        <c:v>26.858333333329938</c:v>
                      </c:pt>
                      <c:pt idx="17">
                        <c:v>27.945833333331393</c:v>
                      </c:pt>
                      <c:pt idx="18">
                        <c:v>29.957638888889051</c:v>
                      </c:pt>
                      <c:pt idx="19">
                        <c:v>33.884027777778101</c:v>
                      </c:pt>
                      <c:pt idx="20">
                        <c:v>37.874305555553292</c:v>
                      </c:pt>
                      <c:pt idx="21">
                        <c:v>40.355555555557657</c:v>
                      </c:pt>
                      <c:pt idx="22">
                        <c:v>41.909027777779556</c:v>
                      </c:pt>
                      <c:pt idx="23">
                        <c:v>43.179166666668607</c:v>
                      </c:pt>
                      <c:pt idx="24">
                        <c:v>44.253472222218988</c:v>
                      </c:pt>
                      <c:pt idx="25">
                        <c:v>44.922222222223354</c:v>
                      </c:pt>
                      <c:pt idx="26">
                        <c:v>49.079166666662786</c:v>
                      </c:pt>
                      <c:pt idx="27">
                        <c:v>51.94999999999709</c:v>
                      </c:pt>
                      <c:pt idx="28">
                        <c:v>55.897222222221899</c:v>
                      </c:pt>
                      <c:pt idx="29">
                        <c:v>58.947916666664241</c:v>
                      </c:pt>
                      <c:pt idx="30">
                        <c:v>61.977777777778101</c:v>
                      </c:pt>
                      <c:pt idx="31">
                        <c:v>64.977777777778101</c:v>
                      </c:pt>
                      <c:pt idx="32">
                        <c:v>72.150000000001455</c:v>
                      </c:pt>
                      <c:pt idx="33">
                        <c:v>73.108333333329938</c:v>
                      </c:pt>
                      <c:pt idx="34">
                        <c:v>76.004861111112405</c:v>
                      </c:pt>
                      <c:pt idx="35">
                        <c:v>76.905555555553292</c:v>
                      </c:pt>
                      <c:pt idx="36">
                        <c:v>78.956944444442343</c:v>
                      </c:pt>
                      <c:pt idx="37">
                        <c:v>82.864583333335759</c:v>
                      </c:pt>
                      <c:pt idx="38">
                        <c:v>86.159027777779556</c:v>
                      </c:pt>
                      <c:pt idx="39">
                        <c:v>90.096527777779556</c:v>
                      </c:pt>
                      <c:pt idx="40">
                        <c:v>93.086111111108039</c:v>
                      </c:pt>
                      <c:pt idx="41">
                        <c:v>97.154166666667152</c:v>
                      </c:pt>
                      <c:pt idx="42">
                        <c:v>99.902777777773736</c:v>
                      </c:pt>
                      <c:pt idx="43">
                        <c:v>103.89166666666279</c:v>
                      </c:pt>
                      <c:pt idx="44">
                        <c:v>106.94583333333139</c:v>
                      </c:pt>
                      <c:pt idx="45">
                        <c:v>117.89236111110949</c:v>
                      </c:pt>
                      <c:pt idx="46">
                        <c:v>118.9416666666657</c:v>
                      </c:pt>
                      <c:pt idx="47">
                        <c:v>121.99930555555329</c:v>
                      </c:pt>
                      <c:pt idx="48">
                        <c:v>124.90694444444671</c:v>
                      </c:pt>
                      <c:pt idx="49">
                        <c:v>127.9152777777781</c:v>
                      </c:pt>
                      <c:pt idx="50">
                        <c:v>131.8840277777781</c:v>
                      </c:pt>
                      <c:pt idx="51">
                        <c:v>135.03125</c:v>
                      </c:pt>
                      <c:pt idx="52">
                        <c:v>138.90625</c:v>
                      </c:pt>
                      <c:pt idx="53">
                        <c:v>141.92291666666279</c:v>
                      </c:pt>
                      <c:pt idx="54">
                        <c:v>145.90625</c:v>
                      </c:pt>
                      <c:pt idx="55">
                        <c:v>147.15625</c:v>
                      </c:pt>
                      <c:pt idx="56">
                        <c:v>148.18958333333285</c:v>
                      </c:pt>
                      <c:pt idx="57">
                        <c:v>148.84722222221899</c:v>
                      </c:pt>
                      <c:pt idx="58">
                        <c:v>154.9013888888876</c:v>
                      </c:pt>
                      <c:pt idx="59">
                        <c:v>155.83750000000146</c:v>
                      </c:pt>
                      <c:pt idx="60">
                        <c:v>156.9423611111124</c:v>
                      </c:pt>
                      <c:pt idx="61">
                        <c:v>159.92569444444234</c:v>
                      </c:pt>
                      <c:pt idx="62">
                        <c:v>161.01597222222335</c:v>
                      </c:pt>
                      <c:pt idx="63">
                        <c:v>161.91388888889196</c:v>
                      </c:pt>
                      <c:pt idx="64">
                        <c:v>162.94583333333139</c:v>
                      </c:pt>
                      <c:pt idx="65">
                        <c:v>163.91458333333139</c:v>
                      </c:pt>
                      <c:pt idx="66">
                        <c:v>166.92013888889051</c:v>
                      </c:pt>
                      <c:pt idx="67">
                        <c:v>167.95138888889051</c:v>
                      </c:pt>
                      <c:pt idx="68">
                        <c:v>168.91597222222481</c:v>
                      </c:pt>
                      <c:pt idx="69">
                        <c:v>169.96180555555475</c:v>
                      </c:pt>
                      <c:pt idx="70">
                        <c:v>170.95486111110949</c:v>
                      </c:pt>
                      <c:pt idx="71">
                        <c:v>173.93472222222044</c:v>
                      </c:pt>
                      <c:pt idx="72">
                        <c:v>174.93541666666715</c:v>
                      </c:pt>
                      <c:pt idx="73">
                        <c:v>175.90555555555329</c:v>
                      </c:pt>
                      <c:pt idx="74">
                        <c:v>176.9506944444438</c:v>
                      </c:pt>
                      <c:pt idx="75">
                        <c:v>177.92569444444234</c:v>
                      </c:pt>
                      <c:pt idx="76">
                        <c:v>180.89583333333576</c:v>
                      </c:pt>
                      <c:pt idx="77">
                        <c:v>181.87361111111386</c:v>
                      </c:pt>
                      <c:pt idx="78">
                        <c:v>182.9013888888876</c:v>
                      </c:pt>
                      <c:pt idx="79">
                        <c:v>183.99166666666861</c:v>
                      </c:pt>
                      <c:pt idx="80">
                        <c:v>184.90833333333285</c:v>
                      </c:pt>
                      <c:pt idx="81">
                        <c:v>187.82847222222335</c:v>
                      </c:pt>
                      <c:pt idx="82">
                        <c:v>188.94930555555766</c:v>
                      </c:pt>
                      <c:pt idx="83">
                        <c:v>189.88055555555184</c:v>
                      </c:pt>
                      <c:pt idx="84">
                        <c:v>190.92500000000291</c:v>
                      </c:pt>
                      <c:pt idx="85">
                        <c:v>191.8840277777781</c:v>
                      </c:pt>
                      <c:pt idx="86">
                        <c:v>194.9013888888876</c:v>
                      </c:pt>
                      <c:pt idx="87">
                        <c:v>195.95208333332994</c:v>
                      </c:pt>
                      <c:pt idx="88">
                        <c:v>196.9645833333343</c:v>
                      </c:pt>
                      <c:pt idx="89">
                        <c:v>199.12569444444671</c:v>
                      </c:pt>
                      <c:pt idx="90">
                        <c:v>201.96319444444089</c:v>
                      </c:pt>
                      <c:pt idx="91">
                        <c:v>202.87222222222044</c:v>
                      </c:pt>
                      <c:pt idx="92">
                        <c:v>204.07499999999709</c:v>
                      </c:pt>
                      <c:pt idx="93">
                        <c:v>204.94583333333139</c:v>
                      </c:pt>
                      <c:pt idx="94">
                        <c:v>205.90000000000146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C72-4475-8659-3F6BFD6B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1"/>
        <c:lblAlgn val="ctr"/>
        <c:lblOffset val="100"/>
        <c:noMultiLvlLbl val="0"/>
      </c:catAx>
      <c:valAx>
        <c:axId val="27414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</c:valAx>
      <c:valAx>
        <c:axId val="1543454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spc="0" baseline="0">
                    <a:solidFill>
                      <a:sysClr val="windowText" lastClr="000000"/>
                    </a:solidFill>
                  </a:rPr>
                  <a:t>CH4 Production Rate </a:t>
                </a:r>
              </a:p>
              <a:p>
                <a:pPr>
                  <a:defRPr sz="1600"/>
                </a:pPr>
                <a:r>
                  <a:rPr lang="en-US" sz="1100" b="0" i="0" u="none" strike="noStrike" kern="1200" spc="0" baseline="0">
                    <a:solidFill>
                      <a:sysClr val="windowText" lastClr="000000"/>
                    </a:solidFill>
                  </a:rPr>
                  <a:t>(m3CH4/m3rv.d)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</c:valAx>
      <c:catAx>
        <c:axId val="1543466095"/>
        <c:scaling>
          <c:orientation val="minMax"/>
        </c:scaling>
        <c:delete val="1"/>
        <c:axPos val="b"/>
        <c:numFmt formatCode="_(* #,##0.0_);_(* \(#,##0.0\);_(* &quot;-&quot;??_);_(@_)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6.9571547156935684E-2"/>
          <c:y val="0.1568615764621307"/>
          <c:w val="0.1226062060161555"/>
          <c:h val="0.30935757493832589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 - VFA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Summary!$AP$7:$AP$16</c:f>
              <c:numCache>
                <c:formatCode>General</c:formatCode>
                <c:ptCount val="10"/>
              </c:numCache>
            </c:numRef>
          </c:xVal>
          <c:yVal>
            <c:numRef>
              <c:f>Summary!$AQ$7:$AQ$16</c:f>
              <c:numCache>
                <c:formatCode>General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5-4827-9B2E-9047EA9B47B6}"/>
            </c:ext>
          </c:extLst>
        </c:ser>
        <c:ser>
          <c:idx val="1"/>
          <c:order val="1"/>
          <c:tx>
            <c:v>W - VFA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Summary!$AP$7:$AP$16</c:f>
              <c:numCache>
                <c:formatCode>General</c:formatCode>
                <c:ptCount val="10"/>
              </c:numCache>
            </c:numRef>
          </c:xVal>
          <c:yVal>
            <c:numRef>
              <c:f>Summary!$AR$7:$AR$16</c:f>
              <c:numCache>
                <c:formatCode>General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15-4827-9B2E-9047EA9B47B6}"/>
            </c:ext>
          </c:extLst>
        </c:ser>
        <c:ser>
          <c:idx val="2"/>
          <c:order val="2"/>
          <c:tx>
            <c:v>M - VFA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Summary!$AT$7:$AT$13</c:f>
              <c:numCache>
                <c:formatCode>General</c:formatCode>
                <c:ptCount val="7"/>
              </c:numCache>
            </c:numRef>
          </c:xVal>
          <c:yVal>
            <c:numRef>
              <c:f>Summary!$AU$7:$AU$13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15-4827-9B2E-9047EA9B4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87568"/>
        <c:axId val="243988048"/>
      </c:scatterChart>
      <c:scatterChart>
        <c:scatterStyle val="smoothMarker"/>
        <c:varyColors val="0"/>
        <c:ser>
          <c:idx val="3"/>
          <c:order val="3"/>
          <c:tx>
            <c:v>CH4 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Summary!$AC$7:$AC$35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0.122433</c:v>
                </c:pt>
              </c:numCache>
            </c:numRef>
          </c:xVal>
          <c:yVal>
            <c:numRef>
              <c:f>Summary!$AM$7:$AM$35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15-4827-9B2E-9047EA9B4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58224"/>
        <c:axId val="1275148624"/>
      </c:scatterChart>
      <c:valAx>
        <c:axId val="24398756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of Operation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88048"/>
        <c:crosses val="autoZero"/>
        <c:crossBetween val="midCat"/>
      </c:valAx>
      <c:valAx>
        <c:axId val="2439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Acetate (mg COD/L)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87568"/>
        <c:crosses val="autoZero"/>
        <c:crossBetween val="midCat"/>
        <c:majorUnit val="1000"/>
      </c:valAx>
      <c:valAx>
        <c:axId val="1275148624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Methane Production Rate (m3 CH4/m3 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58224"/>
        <c:crosses val="max"/>
        <c:crossBetween val="midCat"/>
        <c:majorUnit val="1"/>
        <c:minorUnit val="0.5"/>
      </c:valAx>
      <c:valAx>
        <c:axId val="1275158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514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ysClr val="windowText" lastClr="000000"/>
                </a:solidFill>
              </a:rPr>
              <a:t>Retention</a:t>
            </a:r>
            <a:r>
              <a:rPr lang="en-US" sz="1600" b="0" baseline="0">
                <a:solidFill>
                  <a:sysClr val="windowText" lastClr="000000"/>
                </a:solidFill>
              </a:rPr>
              <a:t> Time vs. CH</a:t>
            </a:r>
            <a:r>
              <a:rPr lang="en-US" sz="1600" b="0" baseline="-25000">
                <a:solidFill>
                  <a:sysClr val="windowText" lastClr="000000"/>
                </a:solidFill>
              </a:rPr>
              <a:t>4</a:t>
            </a:r>
            <a:r>
              <a:rPr lang="en-US" sz="1600" b="0" baseline="0">
                <a:solidFill>
                  <a:sysClr val="windowText" lastClr="000000"/>
                </a:solidFill>
              </a:rPr>
              <a:t> vs. Acetate Conc.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66229285558776"/>
          <c:y val="0.12896161417322835"/>
          <c:w val="0.75769955217519736"/>
          <c:h val="0.71329908335321723"/>
        </c:manualLayout>
      </c:layout>
      <c:scatterChart>
        <c:scatterStyle val="lineMarker"/>
        <c:varyColors val="0"/>
        <c:ser>
          <c:idx val="0"/>
          <c:order val="0"/>
          <c:tx>
            <c:v>CH4 - SRT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C78EE6"/>
              </a:solidFill>
              <a:ln w="19050">
                <a:solidFill>
                  <a:srgbClr val="7030A0"/>
                </a:solidFill>
              </a:ln>
              <a:effectLst/>
            </c:spPr>
          </c:marker>
          <c:trendline>
            <c:spPr>
              <a:ln w="22225" cap="rnd">
                <a:solidFill>
                  <a:srgbClr val="7030A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895115848772822"/>
                  <c:y val="6.87578253248379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Summary!$AL$20:$AL$65</c:f>
            </c:str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9-4F3A-B6E5-9EA06E16AAF2}"/>
            </c:ext>
          </c:extLst>
        </c:ser>
        <c:ser>
          <c:idx val="1"/>
          <c:order val="1"/>
          <c:tx>
            <c:v>CH4 - HRT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C78EE6"/>
              </a:solidFill>
              <a:ln w="19050">
                <a:solidFill>
                  <a:srgbClr val="7030A0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7030A0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4701995308395442"/>
                  <c:y val="4.35551783942201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Summary!$AM$20:$AM$65</c:f>
            </c:str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C9-4F3A-B6E5-9EA06E16A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581360"/>
        <c:axId val="690584240"/>
      </c:scatterChart>
      <c:scatterChart>
        <c:scatterStyle val="lineMarker"/>
        <c:varyColors val="0"/>
        <c:ser>
          <c:idx val="2"/>
          <c:order val="2"/>
          <c:tx>
            <c:v>Ac - SRT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3"/>
              </a:solidFill>
              <a:ln w="19050">
                <a:solidFill>
                  <a:schemeClr val="accent2">
                    <a:alpha val="98000"/>
                  </a:schemeClr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741097915021636"/>
                  <c:y val="0.19395305268820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Summary!$AL$20:$AL$65</c:f>
            </c:str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3-4CE5-810D-305F0688307F}"/>
            </c:ext>
          </c:extLst>
        </c:ser>
        <c:ser>
          <c:idx val="3"/>
          <c:order val="3"/>
          <c:tx>
            <c:v>Ac - HRT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19050">
                <a:solidFill>
                  <a:schemeClr val="accent2">
                    <a:alpha val="98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4856013242146631"/>
                  <c:y val="0.285867347411962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Summary!$AM$20:$AM$65</c:f>
            </c:str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3-4CE5-810D-305F06883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602752"/>
        <c:axId val="1644595072"/>
      </c:scatterChart>
      <c:valAx>
        <c:axId val="690581360"/>
        <c:scaling>
          <c:orientation val="minMax"/>
          <c:max val="6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(d)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4240"/>
        <c:crosses val="autoZero"/>
        <c:crossBetween val="midCat"/>
      </c:valAx>
      <c:valAx>
        <c:axId val="690584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Methane Production Rate</a:t>
                </a:r>
              </a:p>
              <a:p>
                <a:pPr>
                  <a:defRPr/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(m</a:t>
                </a:r>
                <a:r>
                  <a:rPr lang="en-US" sz="1100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CH</a:t>
                </a:r>
                <a:r>
                  <a:rPr lang="en-US" sz="1100" baseline="-25000">
                    <a:solidFill>
                      <a:sysClr val="windowText" lastClr="000000"/>
                    </a:solidFill>
                  </a:rPr>
                  <a:t>4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/m</a:t>
                </a:r>
                <a:r>
                  <a:rPr lang="en-US" sz="1100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100" baseline="-25000">
                    <a:solidFill>
                      <a:sysClr val="windowText" lastClr="000000"/>
                    </a:solidFill>
                  </a:rPr>
                  <a:t>rv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d)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1360"/>
        <c:crosses val="autoZero"/>
        <c:crossBetween val="midCat"/>
      </c:valAx>
      <c:valAx>
        <c:axId val="1644595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Acetate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Concentration </a:t>
                </a:r>
              </a:p>
              <a:p>
                <a:pPr>
                  <a:defRPr/>
                </a:pPr>
                <a:r>
                  <a:rPr lang="en-US" sz="1100" baseline="0">
                    <a:solidFill>
                      <a:sysClr val="windowText" lastClr="000000"/>
                    </a:solidFill>
                  </a:rPr>
                  <a:t>(mg COD/L)</a:t>
                </a:r>
                <a:endParaRPr lang="en-US" sz="11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602752"/>
        <c:crosses val="max"/>
        <c:crossBetween val="midCat"/>
      </c:valAx>
      <c:valAx>
        <c:axId val="164460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4595072"/>
        <c:crosses val="autoZero"/>
        <c:crossBetween val="midCat"/>
      </c:valAx>
      <c:spPr>
        <a:noFill/>
        <a:ln>
          <a:solidFill>
            <a:schemeClr val="tx1">
              <a:alpha val="98000"/>
            </a:schemeClr>
          </a:solidFill>
        </a:ln>
        <a:effectLst/>
      </c:spPr>
    </c:plotArea>
    <c:legend>
      <c:legendPos val="tr"/>
      <c:layout>
        <c:manualLayout>
          <c:xMode val="edge"/>
          <c:yMode val="edge"/>
          <c:x val="0.65637192202132666"/>
          <c:y val="0.13377734806117433"/>
          <c:w val="0.23888101157461517"/>
          <c:h val="0.70596466111592515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ysClr val="windowText" lastClr="000000"/>
                </a:solidFill>
              </a:rPr>
              <a:t>H</a:t>
            </a:r>
            <a:r>
              <a:rPr lang="en-US" sz="1600" b="0" baseline="-25000">
                <a:solidFill>
                  <a:sysClr val="windowText" lastClr="000000"/>
                </a:solidFill>
              </a:rPr>
              <a:t>2</a:t>
            </a:r>
            <a:r>
              <a:rPr lang="en-US" sz="1600" b="0" baseline="0">
                <a:solidFill>
                  <a:sysClr val="windowText" lastClr="000000"/>
                </a:solidFill>
              </a:rPr>
              <a:t> Utilization Rate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66229285558776"/>
          <c:y val="0.12896161417322835"/>
          <c:w val="0.75769955217519736"/>
          <c:h val="0.71329908335321723"/>
        </c:manualLayout>
      </c:layout>
      <c:lineChart>
        <c:grouping val="standard"/>
        <c:varyColors val="0"/>
        <c:ser>
          <c:idx val="2"/>
          <c:order val="0"/>
          <c:spPr>
            <a:ln w="25400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C78EE6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Summary!$B$3:$B$93</c:f>
              <c:numCache>
                <c:formatCode>General</c:formatCode>
                <c:ptCount val="9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</c:numCache>
            </c:numRef>
          </c:cat>
          <c:val>
            <c:numRef>
              <c:f>Summary!#REF!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8-4CB3-8AFC-98B597041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581360"/>
        <c:axId val="690584240"/>
      </c:lineChart>
      <c:catAx>
        <c:axId val="69058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Days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of Operation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[Red]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4240"/>
        <c:crosses val="autoZero"/>
        <c:auto val="0"/>
        <c:lblAlgn val="ctr"/>
        <c:lblOffset val="100"/>
        <c:tickLblSkip val="10"/>
        <c:tickMarkSkip val="5"/>
        <c:noMultiLvlLbl val="0"/>
      </c:catAx>
      <c:valAx>
        <c:axId val="690584240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Utilization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Rate (%)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1360"/>
        <c:crosses val="autoZero"/>
        <c:crossBetween val="between"/>
      </c:valAx>
      <c:spPr>
        <a:noFill/>
        <a:ln>
          <a:solidFill>
            <a:schemeClr val="tx1">
              <a:alpha val="98000"/>
            </a:schemeClr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ysClr val="windowText" lastClr="000000"/>
                </a:solidFill>
              </a:rPr>
              <a:t>H</a:t>
            </a:r>
            <a:r>
              <a:rPr lang="en-US" sz="1600" b="0" baseline="-25000">
                <a:solidFill>
                  <a:sysClr val="windowText" lastClr="000000"/>
                </a:solidFill>
              </a:rPr>
              <a:t>2</a:t>
            </a:r>
            <a:r>
              <a:rPr lang="en-US" sz="1600" b="0" baseline="0">
                <a:solidFill>
                  <a:sysClr val="windowText" lastClr="000000"/>
                </a:solidFill>
              </a:rPr>
              <a:t> Utilization Rate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166229285558776"/>
          <c:y val="0.12896161417322835"/>
          <c:w val="0.75769955217519736"/>
          <c:h val="0.71329908335321723"/>
        </c:manualLayout>
      </c:layout>
      <c:lineChart>
        <c:grouping val="standard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C78EE6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f>Summary!$B$3:$B$182</c:f>
              <c:numCache>
                <c:formatCode>General</c:formatCode>
                <c:ptCount val="18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</c:numCache>
            </c:numRef>
          </c:cat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E-4BFC-8236-D7F90DA5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581360"/>
        <c:axId val="690584240"/>
      </c:lineChart>
      <c:catAx>
        <c:axId val="69058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Days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of Operation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[Red]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4240"/>
        <c:crosses val="autoZero"/>
        <c:auto val="0"/>
        <c:lblAlgn val="ctr"/>
        <c:lblOffset val="100"/>
        <c:tickLblSkip val="10"/>
        <c:tickMarkSkip val="5"/>
        <c:noMultiLvlLbl val="0"/>
      </c:catAx>
      <c:valAx>
        <c:axId val="690584240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Utilization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Rate (%)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81360"/>
        <c:crosses val="autoZero"/>
        <c:crossBetween val="between"/>
      </c:valAx>
      <c:spPr>
        <a:noFill/>
        <a:ln>
          <a:solidFill>
            <a:schemeClr val="tx1">
              <a:alpha val="98000"/>
            </a:schemeClr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solidFill>
                  <a:sysClr val="windowText" lastClr="000000"/>
                </a:solidFill>
              </a:rPr>
              <a:t>Substrate Utilization &amp; Methane Production Rates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4559378852252"/>
          <c:y val="0.11956408775116723"/>
          <c:w val="0.82102110177167986"/>
          <c:h val="0.71275436452622587"/>
        </c:manualLayout>
      </c:layout>
      <c:scatterChart>
        <c:scatterStyle val="lineMarker"/>
        <c:varyColors val="0"/>
        <c:ser>
          <c:idx val="0"/>
          <c:order val="0"/>
          <c:tx>
            <c:v>Hydrogen Utilization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Summary!$B$3:$B$665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1C-4905-8B86-81F4AE8EE7EC}"/>
            </c:ext>
          </c:extLst>
        </c:ser>
        <c:ser>
          <c:idx val="1"/>
          <c:order val="1"/>
          <c:tx>
            <c:v>Carbon Dioxide Utilization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Summary!$B$3:$B$665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1C-4905-8B86-81F4AE8EE7EC}"/>
            </c:ext>
          </c:extLst>
        </c:ser>
        <c:ser>
          <c:idx val="2"/>
          <c:order val="2"/>
          <c:tx>
            <c:v>Target</c:v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Summary!$B$3:$B$299</c:f>
              <c:numCache>
                <c:formatCode>General</c:formatCode>
                <c:ptCount val="297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</c:numCache>
            </c:numRef>
          </c:xVal>
          <c:yVal>
            <c:numRef>
              <c:f>Summary!#REF!</c:f>
              <c:numCache>
                <c:formatCode>0%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1C-4905-8B86-81F4AE8EE7EC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D42-41A1-8F27-96E5A7073796}"/>
              </c:ext>
            </c:extLst>
          </c:dPt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xVal>
            <c:numRef>
              <c:f>Plots!$B$6:$B$15</c:f>
              <c:numCache>
                <c:formatCode>@</c:formatCode>
                <c:ptCount val="10"/>
                <c:pt idx="0">
                  <c:v>1</c:v>
                </c:pt>
                <c:pt idx="1">
                  <c:v>38</c:v>
                </c:pt>
                <c:pt idx="2">
                  <c:v>52</c:v>
                </c:pt>
                <c:pt idx="3">
                  <c:v>94</c:v>
                </c:pt>
                <c:pt idx="4">
                  <c:v>104</c:v>
                </c:pt>
                <c:pt idx="5">
                  <c:v>107</c:v>
                </c:pt>
                <c:pt idx="6">
                  <c:v>112</c:v>
                </c:pt>
                <c:pt idx="7">
                  <c:v>129</c:v>
                </c:pt>
                <c:pt idx="8">
                  <c:v>146</c:v>
                </c:pt>
                <c:pt idx="9">
                  <c:v>150</c:v>
                </c:pt>
              </c:numCache>
            </c:numRef>
          </c:xVal>
          <c:yVal>
            <c:numRef>
              <c:f>Plots!$H$6:$H$15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42-41A1-8F27-96E5A7073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414496"/>
        <c:axId val="747357968"/>
      </c:scatterChart>
      <c:scatterChart>
        <c:scatterStyle val="lineMarker"/>
        <c:varyColors val="0"/>
        <c:ser>
          <c:idx val="3"/>
          <c:order val="3"/>
          <c:tx>
            <c:v>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Summary!$B$3:$B$665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1C-4905-8B86-81F4AE8EE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947056"/>
        <c:axId val="404939856"/>
      </c:scatterChart>
      <c:valAx>
        <c:axId val="2063414496"/>
        <c:scaling>
          <c:orientation val="minMax"/>
          <c:max val="33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Days of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Operation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7968"/>
        <c:crosses val="autoZero"/>
        <c:crossBetween val="midCat"/>
      </c:valAx>
      <c:valAx>
        <c:axId val="747357968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Substrate Utilization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414496"/>
        <c:crosses val="autoZero"/>
        <c:crossBetween val="midCat"/>
      </c:valAx>
      <c:valAx>
        <c:axId val="4049398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Production Rate (m3 CH4/m3rv.d)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47056"/>
        <c:crosses val="max"/>
        <c:crossBetween val="midCat"/>
      </c:valAx>
      <c:valAx>
        <c:axId val="40494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39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1912418197839014"/>
          <c:y val="0.14751184400374207"/>
          <c:w val="0.17805093065656866"/>
          <c:h val="0.2142616462633663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H2 utilization rate during stabilization phase</a:t>
            </a:r>
          </a:p>
        </c:rich>
      </c:tx>
      <c:layout>
        <c:manualLayout>
          <c:xMode val="edge"/>
          <c:yMode val="edge"/>
          <c:x val="0.21114267471549986"/>
          <c:y val="1.4153484330874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17737356123312"/>
          <c:y val="0.16663496424995997"/>
          <c:w val="0.85137324490657651"/>
          <c:h val="0.66498605335589533"/>
        </c:manualLayout>
      </c:layout>
      <c:scatterChart>
        <c:scatterStyle val="lineMarker"/>
        <c:varyColors val="0"/>
        <c:ser>
          <c:idx val="2"/>
          <c:order val="0"/>
          <c:tx>
            <c:v>via residual hydrogen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Summary!$B$383:$B$453</c:f>
              <c:numCache>
                <c:formatCode>General</c:formatCode>
                <c:ptCount val="71"/>
                <c:pt idx="0">
                  <c:v>38</c:v>
                </c:pt>
                <c:pt idx="1">
                  <c:v>38.1</c:v>
                </c:pt>
                <c:pt idx="2">
                  <c:v>38.200000000000003</c:v>
                </c:pt>
                <c:pt idx="3">
                  <c:v>38.299999999999997</c:v>
                </c:pt>
                <c:pt idx="4">
                  <c:v>38.4</c:v>
                </c:pt>
                <c:pt idx="5">
                  <c:v>38.5</c:v>
                </c:pt>
                <c:pt idx="6">
                  <c:v>38.6</c:v>
                </c:pt>
                <c:pt idx="7">
                  <c:v>38.700000000000003</c:v>
                </c:pt>
                <c:pt idx="8">
                  <c:v>38.799999999999997</c:v>
                </c:pt>
                <c:pt idx="9">
                  <c:v>38.9</c:v>
                </c:pt>
                <c:pt idx="10">
                  <c:v>39</c:v>
                </c:pt>
                <c:pt idx="11">
                  <c:v>39.1</c:v>
                </c:pt>
                <c:pt idx="12">
                  <c:v>39.200000000000003</c:v>
                </c:pt>
                <c:pt idx="13">
                  <c:v>39.299999999999997</c:v>
                </c:pt>
                <c:pt idx="14">
                  <c:v>39.4</c:v>
                </c:pt>
                <c:pt idx="15">
                  <c:v>39.5</c:v>
                </c:pt>
                <c:pt idx="16">
                  <c:v>39.6</c:v>
                </c:pt>
                <c:pt idx="17">
                  <c:v>39.700000000000003</c:v>
                </c:pt>
                <c:pt idx="18">
                  <c:v>39.799999999999997</c:v>
                </c:pt>
                <c:pt idx="19">
                  <c:v>39.9</c:v>
                </c:pt>
                <c:pt idx="20">
                  <c:v>40</c:v>
                </c:pt>
                <c:pt idx="21">
                  <c:v>40.1</c:v>
                </c:pt>
                <c:pt idx="22">
                  <c:v>40.200000000000003</c:v>
                </c:pt>
                <c:pt idx="23">
                  <c:v>40.299999999999997</c:v>
                </c:pt>
                <c:pt idx="24">
                  <c:v>40.4</c:v>
                </c:pt>
                <c:pt idx="25">
                  <c:v>40.5</c:v>
                </c:pt>
                <c:pt idx="26">
                  <c:v>40.6</c:v>
                </c:pt>
                <c:pt idx="27">
                  <c:v>40.700000000000003</c:v>
                </c:pt>
                <c:pt idx="28">
                  <c:v>40.799999999999997</c:v>
                </c:pt>
                <c:pt idx="29">
                  <c:v>40.9</c:v>
                </c:pt>
                <c:pt idx="30">
                  <c:v>41</c:v>
                </c:pt>
                <c:pt idx="31">
                  <c:v>41.1</c:v>
                </c:pt>
                <c:pt idx="32">
                  <c:v>41.2</c:v>
                </c:pt>
                <c:pt idx="33">
                  <c:v>41.3</c:v>
                </c:pt>
                <c:pt idx="34">
                  <c:v>41.4</c:v>
                </c:pt>
                <c:pt idx="35">
                  <c:v>41.5</c:v>
                </c:pt>
                <c:pt idx="36">
                  <c:v>41.6</c:v>
                </c:pt>
                <c:pt idx="37">
                  <c:v>41.7</c:v>
                </c:pt>
                <c:pt idx="38">
                  <c:v>41.8</c:v>
                </c:pt>
                <c:pt idx="39">
                  <c:v>41.9</c:v>
                </c:pt>
                <c:pt idx="40">
                  <c:v>42</c:v>
                </c:pt>
                <c:pt idx="41">
                  <c:v>42.1</c:v>
                </c:pt>
                <c:pt idx="42">
                  <c:v>42.2</c:v>
                </c:pt>
                <c:pt idx="43">
                  <c:v>42.3</c:v>
                </c:pt>
                <c:pt idx="44">
                  <c:v>42.4</c:v>
                </c:pt>
                <c:pt idx="45">
                  <c:v>42.5</c:v>
                </c:pt>
                <c:pt idx="46">
                  <c:v>42.6</c:v>
                </c:pt>
                <c:pt idx="47">
                  <c:v>42.7</c:v>
                </c:pt>
                <c:pt idx="48">
                  <c:v>42.8</c:v>
                </c:pt>
                <c:pt idx="49">
                  <c:v>42.9</c:v>
                </c:pt>
                <c:pt idx="50">
                  <c:v>43</c:v>
                </c:pt>
                <c:pt idx="51">
                  <c:v>43.1</c:v>
                </c:pt>
                <c:pt idx="52">
                  <c:v>43.2</c:v>
                </c:pt>
                <c:pt idx="53">
                  <c:v>43.3</c:v>
                </c:pt>
                <c:pt idx="54">
                  <c:v>43.4</c:v>
                </c:pt>
                <c:pt idx="55">
                  <c:v>43.5</c:v>
                </c:pt>
                <c:pt idx="56">
                  <c:v>43.6</c:v>
                </c:pt>
                <c:pt idx="57">
                  <c:v>43.7</c:v>
                </c:pt>
                <c:pt idx="58">
                  <c:v>43.8</c:v>
                </c:pt>
                <c:pt idx="59">
                  <c:v>43.9</c:v>
                </c:pt>
                <c:pt idx="60">
                  <c:v>44</c:v>
                </c:pt>
                <c:pt idx="61">
                  <c:v>44.1</c:v>
                </c:pt>
                <c:pt idx="62">
                  <c:v>44.2</c:v>
                </c:pt>
                <c:pt idx="63">
                  <c:v>44.3</c:v>
                </c:pt>
                <c:pt idx="64">
                  <c:v>44.4</c:v>
                </c:pt>
                <c:pt idx="65">
                  <c:v>44.5</c:v>
                </c:pt>
                <c:pt idx="66">
                  <c:v>44.6</c:v>
                </c:pt>
                <c:pt idx="67">
                  <c:v>44.7</c:v>
                </c:pt>
                <c:pt idx="68">
                  <c:v>44.8</c:v>
                </c:pt>
                <c:pt idx="69">
                  <c:v>44.9</c:v>
                </c:pt>
                <c:pt idx="70">
                  <c:v>45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81-4DE9-95A0-877B6B81E2C6}"/>
            </c:ext>
          </c:extLst>
        </c:ser>
        <c:ser>
          <c:idx val="1"/>
          <c:order val="1"/>
          <c:tx>
            <c:v>via conversion to methane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Summary!$B$383:$B$453</c:f>
              <c:numCache>
                <c:formatCode>General</c:formatCode>
                <c:ptCount val="71"/>
                <c:pt idx="0">
                  <c:v>38</c:v>
                </c:pt>
                <c:pt idx="1">
                  <c:v>38.1</c:v>
                </c:pt>
                <c:pt idx="2">
                  <c:v>38.200000000000003</c:v>
                </c:pt>
                <c:pt idx="3">
                  <c:v>38.299999999999997</c:v>
                </c:pt>
                <c:pt idx="4">
                  <c:v>38.4</c:v>
                </c:pt>
                <c:pt idx="5">
                  <c:v>38.5</c:v>
                </c:pt>
                <c:pt idx="6">
                  <c:v>38.6</c:v>
                </c:pt>
                <c:pt idx="7">
                  <c:v>38.700000000000003</c:v>
                </c:pt>
                <c:pt idx="8">
                  <c:v>38.799999999999997</c:v>
                </c:pt>
                <c:pt idx="9">
                  <c:v>38.9</c:v>
                </c:pt>
                <c:pt idx="10">
                  <c:v>39</c:v>
                </c:pt>
                <c:pt idx="11">
                  <c:v>39.1</c:v>
                </c:pt>
                <c:pt idx="12">
                  <c:v>39.200000000000003</c:v>
                </c:pt>
                <c:pt idx="13">
                  <c:v>39.299999999999997</c:v>
                </c:pt>
                <c:pt idx="14">
                  <c:v>39.4</c:v>
                </c:pt>
                <c:pt idx="15">
                  <c:v>39.5</c:v>
                </c:pt>
                <c:pt idx="16">
                  <c:v>39.6</c:v>
                </c:pt>
                <c:pt idx="17">
                  <c:v>39.700000000000003</c:v>
                </c:pt>
                <c:pt idx="18">
                  <c:v>39.799999999999997</c:v>
                </c:pt>
                <c:pt idx="19">
                  <c:v>39.9</c:v>
                </c:pt>
                <c:pt idx="20">
                  <c:v>40</c:v>
                </c:pt>
                <c:pt idx="21">
                  <c:v>40.1</c:v>
                </c:pt>
                <c:pt idx="22">
                  <c:v>40.200000000000003</c:v>
                </c:pt>
                <c:pt idx="23">
                  <c:v>40.299999999999997</c:v>
                </c:pt>
                <c:pt idx="24">
                  <c:v>40.4</c:v>
                </c:pt>
                <c:pt idx="25">
                  <c:v>40.5</c:v>
                </c:pt>
                <c:pt idx="26">
                  <c:v>40.6</c:v>
                </c:pt>
                <c:pt idx="27">
                  <c:v>40.700000000000003</c:v>
                </c:pt>
                <c:pt idx="28">
                  <c:v>40.799999999999997</c:v>
                </c:pt>
                <c:pt idx="29">
                  <c:v>40.9</c:v>
                </c:pt>
                <c:pt idx="30">
                  <c:v>41</c:v>
                </c:pt>
                <c:pt idx="31">
                  <c:v>41.1</c:v>
                </c:pt>
                <c:pt idx="32">
                  <c:v>41.2</c:v>
                </c:pt>
                <c:pt idx="33">
                  <c:v>41.3</c:v>
                </c:pt>
                <c:pt idx="34">
                  <c:v>41.4</c:v>
                </c:pt>
                <c:pt idx="35">
                  <c:v>41.5</c:v>
                </c:pt>
                <c:pt idx="36">
                  <c:v>41.6</c:v>
                </c:pt>
                <c:pt idx="37">
                  <c:v>41.7</c:v>
                </c:pt>
                <c:pt idx="38">
                  <c:v>41.8</c:v>
                </c:pt>
                <c:pt idx="39">
                  <c:v>41.9</c:v>
                </c:pt>
                <c:pt idx="40">
                  <c:v>42</c:v>
                </c:pt>
                <c:pt idx="41">
                  <c:v>42.1</c:v>
                </c:pt>
                <c:pt idx="42">
                  <c:v>42.2</c:v>
                </c:pt>
                <c:pt idx="43">
                  <c:v>42.3</c:v>
                </c:pt>
                <c:pt idx="44">
                  <c:v>42.4</c:v>
                </c:pt>
                <c:pt idx="45">
                  <c:v>42.5</c:v>
                </c:pt>
                <c:pt idx="46">
                  <c:v>42.6</c:v>
                </c:pt>
                <c:pt idx="47">
                  <c:v>42.7</c:v>
                </c:pt>
                <c:pt idx="48">
                  <c:v>42.8</c:v>
                </c:pt>
                <c:pt idx="49">
                  <c:v>42.9</c:v>
                </c:pt>
                <c:pt idx="50">
                  <c:v>43</c:v>
                </c:pt>
                <c:pt idx="51">
                  <c:v>43.1</c:v>
                </c:pt>
                <c:pt idx="52">
                  <c:v>43.2</c:v>
                </c:pt>
                <c:pt idx="53">
                  <c:v>43.3</c:v>
                </c:pt>
                <c:pt idx="54">
                  <c:v>43.4</c:v>
                </c:pt>
                <c:pt idx="55">
                  <c:v>43.5</c:v>
                </c:pt>
                <c:pt idx="56">
                  <c:v>43.6</c:v>
                </c:pt>
                <c:pt idx="57">
                  <c:v>43.7</c:v>
                </c:pt>
                <c:pt idx="58">
                  <c:v>43.8</c:v>
                </c:pt>
                <c:pt idx="59">
                  <c:v>43.9</c:v>
                </c:pt>
                <c:pt idx="60">
                  <c:v>44</c:v>
                </c:pt>
                <c:pt idx="61">
                  <c:v>44.1</c:v>
                </c:pt>
                <c:pt idx="62">
                  <c:v>44.2</c:v>
                </c:pt>
                <c:pt idx="63">
                  <c:v>44.3</c:v>
                </c:pt>
                <c:pt idx="64">
                  <c:v>44.4</c:v>
                </c:pt>
                <c:pt idx="65">
                  <c:v>44.5</c:v>
                </c:pt>
                <c:pt idx="66">
                  <c:v>44.6</c:v>
                </c:pt>
                <c:pt idx="67">
                  <c:v>44.7</c:v>
                </c:pt>
                <c:pt idx="68">
                  <c:v>44.8</c:v>
                </c:pt>
                <c:pt idx="69">
                  <c:v>44.9</c:v>
                </c:pt>
                <c:pt idx="70">
                  <c:v>45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1-4DE9-95A0-877B6B81E2C6}"/>
            </c:ext>
          </c:extLst>
        </c:ser>
        <c:ser>
          <c:idx val="0"/>
          <c:order val="2"/>
          <c:tx>
            <c:v>average CH4</c:v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Plots!$B$123:$B$124</c:f>
              <c:numCache>
                <c:formatCode>General</c:formatCode>
                <c:ptCount val="2"/>
                <c:pt idx="0">
                  <c:v>190</c:v>
                </c:pt>
                <c:pt idx="1">
                  <c:v>225</c:v>
                </c:pt>
              </c:numCache>
            </c:numRef>
          </c:xVal>
          <c:yVal>
            <c:numRef>
              <c:f>Plots!$C$123:$C$124</c:f>
              <c:numCache>
                <c:formatCode>General</c:formatCode>
                <c:ptCount val="2"/>
                <c:pt idx="0">
                  <c:v>0.9</c:v>
                </c:pt>
                <c:pt idx="1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81-4DE9-95A0-877B6B81E2C6}"/>
            </c:ext>
          </c:extLst>
        </c:ser>
        <c:ser>
          <c:idx val="3"/>
          <c:order val="3"/>
          <c:tx>
            <c:v>h2 breakthrough</c:v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Plots!$B$123:$B$124</c:f>
              <c:numCache>
                <c:formatCode>General</c:formatCode>
                <c:ptCount val="2"/>
                <c:pt idx="0">
                  <c:v>190</c:v>
                </c:pt>
                <c:pt idx="1">
                  <c:v>225</c:v>
                </c:pt>
              </c:numCache>
            </c:numRef>
          </c:xVal>
          <c:yVal>
            <c:numRef>
              <c:f>Plots!$D$123:$D$124</c:f>
              <c:numCache>
                <c:formatCode>General</c:formatCode>
                <c:ptCount val="2"/>
                <c:pt idx="0">
                  <c:v>0.99</c:v>
                </c:pt>
                <c:pt idx="1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81-4DE9-95A0-877B6B81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92255"/>
        <c:axId val="274141519"/>
      </c:scatterChart>
      <c:valAx>
        <c:axId val="885192255"/>
        <c:scaling>
          <c:orientation val="minMax"/>
          <c:max val="225"/>
          <c:min val="19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crossBetween val="midCat"/>
      </c:valAx>
      <c:valAx>
        <c:axId val="274141519"/>
        <c:scaling>
          <c:orientation val="minMax"/>
          <c:max val="1.0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H</a:t>
                </a:r>
                <a:r>
                  <a:rPr lang="en-US" sz="2000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2000" baseline="0">
                    <a:solidFill>
                      <a:sysClr val="windowText" lastClr="000000"/>
                    </a:solidFill>
                  </a:rPr>
                  <a:t> Utilization</a:t>
                </a:r>
                <a:r>
                  <a:rPr lang="en-US" sz="2000">
                    <a:solidFill>
                      <a:sysClr val="windowText" lastClr="000000"/>
                    </a:solidFill>
                  </a:rPr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t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0486186377791216"/>
          <c:y val="0.64608291856048261"/>
          <c:w val="0.26118124649980912"/>
          <c:h val="0.16978001814250604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H2 utilization rate during ramping phase</a:t>
            </a:r>
          </a:p>
        </c:rich>
      </c:tx>
      <c:layout>
        <c:manualLayout>
          <c:xMode val="edge"/>
          <c:yMode val="edge"/>
          <c:x val="0.21114267471549986"/>
          <c:y val="1.4153484330874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528671211491057E-2"/>
          <c:y val="0.16663496424995997"/>
          <c:w val="0.87602199215457899"/>
          <c:h val="0.72234258194588563"/>
        </c:manualLayout>
      </c:layout>
      <c:scatterChart>
        <c:scatterStyle val="lineMarker"/>
        <c:varyColors val="0"/>
        <c:ser>
          <c:idx val="2"/>
          <c:order val="0"/>
          <c:tx>
            <c:v>via residual hydrogen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Summary!$B$453:$B$647</c:f>
              <c:numCache>
                <c:formatCode>General</c:formatCode>
                <c:ptCount val="195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6A-49B0-9A29-F2396B05A213}"/>
            </c:ext>
          </c:extLst>
        </c:ser>
        <c:ser>
          <c:idx val="1"/>
          <c:order val="1"/>
          <c:tx>
            <c:v>via conversion to methane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Summary!$B$453:$B$647</c:f>
              <c:numCache>
                <c:formatCode>General</c:formatCode>
                <c:ptCount val="195"/>
                <c:pt idx="0">
                  <c:v>45</c:v>
                </c:pt>
                <c:pt idx="1">
                  <c:v>45.1</c:v>
                </c:pt>
                <c:pt idx="2">
                  <c:v>45.2</c:v>
                </c:pt>
                <c:pt idx="3">
                  <c:v>45.3</c:v>
                </c:pt>
                <c:pt idx="4">
                  <c:v>45.4</c:v>
                </c:pt>
                <c:pt idx="5">
                  <c:v>45.5</c:v>
                </c:pt>
                <c:pt idx="6">
                  <c:v>45.6</c:v>
                </c:pt>
                <c:pt idx="7">
                  <c:v>45.7</c:v>
                </c:pt>
                <c:pt idx="8">
                  <c:v>45.8</c:v>
                </c:pt>
                <c:pt idx="9">
                  <c:v>45.9</c:v>
                </c:pt>
                <c:pt idx="10">
                  <c:v>46</c:v>
                </c:pt>
                <c:pt idx="11">
                  <c:v>46.1</c:v>
                </c:pt>
                <c:pt idx="12">
                  <c:v>46.2</c:v>
                </c:pt>
                <c:pt idx="13">
                  <c:v>46.3</c:v>
                </c:pt>
                <c:pt idx="14">
                  <c:v>46.4</c:v>
                </c:pt>
                <c:pt idx="15">
                  <c:v>46.5</c:v>
                </c:pt>
                <c:pt idx="16">
                  <c:v>46.6</c:v>
                </c:pt>
                <c:pt idx="17">
                  <c:v>46.7</c:v>
                </c:pt>
                <c:pt idx="18">
                  <c:v>46.8</c:v>
                </c:pt>
                <c:pt idx="19">
                  <c:v>46.9</c:v>
                </c:pt>
                <c:pt idx="20">
                  <c:v>47</c:v>
                </c:pt>
                <c:pt idx="21">
                  <c:v>47.1</c:v>
                </c:pt>
                <c:pt idx="22">
                  <c:v>47.2</c:v>
                </c:pt>
                <c:pt idx="23">
                  <c:v>47.3</c:v>
                </c:pt>
                <c:pt idx="24">
                  <c:v>47.4</c:v>
                </c:pt>
                <c:pt idx="25">
                  <c:v>47.5</c:v>
                </c:pt>
                <c:pt idx="26">
                  <c:v>47.6</c:v>
                </c:pt>
                <c:pt idx="27">
                  <c:v>47.7</c:v>
                </c:pt>
                <c:pt idx="28">
                  <c:v>47.8</c:v>
                </c:pt>
                <c:pt idx="29">
                  <c:v>47.9</c:v>
                </c:pt>
                <c:pt idx="30">
                  <c:v>48</c:v>
                </c:pt>
                <c:pt idx="31">
                  <c:v>48.1</c:v>
                </c:pt>
                <c:pt idx="32">
                  <c:v>48.2</c:v>
                </c:pt>
                <c:pt idx="33">
                  <c:v>48.3</c:v>
                </c:pt>
                <c:pt idx="34">
                  <c:v>48.4</c:v>
                </c:pt>
                <c:pt idx="35">
                  <c:v>48.5</c:v>
                </c:pt>
                <c:pt idx="36">
                  <c:v>48.6</c:v>
                </c:pt>
                <c:pt idx="37">
                  <c:v>48.7</c:v>
                </c:pt>
                <c:pt idx="38">
                  <c:v>48.8</c:v>
                </c:pt>
                <c:pt idx="39">
                  <c:v>48.9</c:v>
                </c:pt>
                <c:pt idx="40">
                  <c:v>49</c:v>
                </c:pt>
                <c:pt idx="41">
                  <c:v>49.1</c:v>
                </c:pt>
                <c:pt idx="42">
                  <c:v>49.2</c:v>
                </c:pt>
                <c:pt idx="43">
                  <c:v>49.3</c:v>
                </c:pt>
                <c:pt idx="44">
                  <c:v>49.4</c:v>
                </c:pt>
                <c:pt idx="45">
                  <c:v>49.5</c:v>
                </c:pt>
                <c:pt idx="46">
                  <c:v>49.6</c:v>
                </c:pt>
                <c:pt idx="47">
                  <c:v>49.7</c:v>
                </c:pt>
                <c:pt idx="48">
                  <c:v>49.8</c:v>
                </c:pt>
                <c:pt idx="49">
                  <c:v>49.9</c:v>
                </c:pt>
                <c:pt idx="50">
                  <c:v>50</c:v>
                </c:pt>
                <c:pt idx="51">
                  <c:v>50.1</c:v>
                </c:pt>
                <c:pt idx="52">
                  <c:v>50.2</c:v>
                </c:pt>
                <c:pt idx="53">
                  <c:v>50.3</c:v>
                </c:pt>
                <c:pt idx="54">
                  <c:v>50.4</c:v>
                </c:pt>
                <c:pt idx="55">
                  <c:v>50.5</c:v>
                </c:pt>
                <c:pt idx="56">
                  <c:v>50.6</c:v>
                </c:pt>
                <c:pt idx="57">
                  <c:v>50.7</c:v>
                </c:pt>
                <c:pt idx="58">
                  <c:v>50.8</c:v>
                </c:pt>
                <c:pt idx="59">
                  <c:v>50.9</c:v>
                </c:pt>
                <c:pt idx="60">
                  <c:v>51</c:v>
                </c:pt>
                <c:pt idx="61">
                  <c:v>51.1</c:v>
                </c:pt>
                <c:pt idx="62">
                  <c:v>51.2</c:v>
                </c:pt>
                <c:pt idx="63">
                  <c:v>51.3</c:v>
                </c:pt>
                <c:pt idx="64">
                  <c:v>51.4</c:v>
                </c:pt>
                <c:pt idx="65">
                  <c:v>51.5</c:v>
                </c:pt>
                <c:pt idx="66">
                  <c:v>51.6</c:v>
                </c:pt>
                <c:pt idx="67">
                  <c:v>51.7</c:v>
                </c:pt>
                <c:pt idx="68">
                  <c:v>51.8</c:v>
                </c:pt>
                <c:pt idx="69">
                  <c:v>51.9</c:v>
                </c:pt>
                <c:pt idx="70">
                  <c:v>52</c:v>
                </c:pt>
                <c:pt idx="71">
                  <c:v>52.1</c:v>
                </c:pt>
                <c:pt idx="72">
                  <c:v>52.2</c:v>
                </c:pt>
                <c:pt idx="73">
                  <c:v>52.3</c:v>
                </c:pt>
                <c:pt idx="74">
                  <c:v>52.4</c:v>
                </c:pt>
                <c:pt idx="75">
                  <c:v>52.5</c:v>
                </c:pt>
                <c:pt idx="76">
                  <c:v>52.6</c:v>
                </c:pt>
                <c:pt idx="77">
                  <c:v>52.7</c:v>
                </c:pt>
                <c:pt idx="78">
                  <c:v>52.8</c:v>
                </c:pt>
                <c:pt idx="79">
                  <c:v>52.9</c:v>
                </c:pt>
                <c:pt idx="80">
                  <c:v>53</c:v>
                </c:pt>
                <c:pt idx="81">
                  <c:v>53.1</c:v>
                </c:pt>
                <c:pt idx="82">
                  <c:v>53.2</c:v>
                </c:pt>
                <c:pt idx="83">
                  <c:v>53.3</c:v>
                </c:pt>
                <c:pt idx="84">
                  <c:v>53.4</c:v>
                </c:pt>
                <c:pt idx="85">
                  <c:v>53.5</c:v>
                </c:pt>
                <c:pt idx="86">
                  <c:v>53.6</c:v>
                </c:pt>
                <c:pt idx="87">
                  <c:v>53.7</c:v>
                </c:pt>
                <c:pt idx="88">
                  <c:v>53.8</c:v>
                </c:pt>
                <c:pt idx="89">
                  <c:v>53.9</c:v>
                </c:pt>
                <c:pt idx="90">
                  <c:v>54</c:v>
                </c:pt>
                <c:pt idx="91">
                  <c:v>54.1</c:v>
                </c:pt>
                <c:pt idx="92">
                  <c:v>54.2</c:v>
                </c:pt>
                <c:pt idx="93">
                  <c:v>54.3</c:v>
                </c:pt>
                <c:pt idx="94">
                  <c:v>54.4</c:v>
                </c:pt>
                <c:pt idx="95">
                  <c:v>54.5</c:v>
                </c:pt>
                <c:pt idx="96">
                  <c:v>54.6</c:v>
                </c:pt>
                <c:pt idx="97">
                  <c:v>54.7</c:v>
                </c:pt>
                <c:pt idx="98">
                  <c:v>54.8</c:v>
                </c:pt>
                <c:pt idx="99">
                  <c:v>54.9</c:v>
                </c:pt>
                <c:pt idx="100">
                  <c:v>55</c:v>
                </c:pt>
                <c:pt idx="101">
                  <c:v>55.1</c:v>
                </c:pt>
                <c:pt idx="102">
                  <c:v>55.2</c:v>
                </c:pt>
                <c:pt idx="103">
                  <c:v>55.3</c:v>
                </c:pt>
                <c:pt idx="104">
                  <c:v>55.4</c:v>
                </c:pt>
                <c:pt idx="105">
                  <c:v>55.5</c:v>
                </c:pt>
                <c:pt idx="106">
                  <c:v>55.6</c:v>
                </c:pt>
                <c:pt idx="107">
                  <c:v>55.7</c:v>
                </c:pt>
                <c:pt idx="108">
                  <c:v>55.8</c:v>
                </c:pt>
                <c:pt idx="109">
                  <c:v>55.9</c:v>
                </c:pt>
                <c:pt idx="110">
                  <c:v>56</c:v>
                </c:pt>
                <c:pt idx="111">
                  <c:v>56.1</c:v>
                </c:pt>
                <c:pt idx="112">
                  <c:v>56.2</c:v>
                </c:pt>
                <c:pt idx="113">
                  <c:v>56.3</c:v>
                </c:pt>
                <c:pt idx="114">
                  <c:v>56.4</c:v>
                </c:pt>
                <c:pt idx="115">
                  <c:v>56.5</c:v>
                </c:pt>
                <c:pt idx="116">
                  <c:v>56.6</c:v>
                </c:pt>
                <c:pt idx="117">
                  <c:v>56.7</c:v>
                </c:pt>
                <c:pt idx="118">
                  <c:v>56.8</c:v>
                </c:pt>
                <c:pt idx="119">
                  <c:v>56.9</c:v>
                </c:pt>
                <c:pt idx="120">
                  <c:v>57</c:v>
                </c:pt>
                <c:pt idx="121">
                  <c:v>57.1</c:v>
                </c:pt>
                <c:pt idx="122">
                  <c:v>57.2</c:v>
                </c:pt>
                <c:pt idx="123">
                  <c:v>57.3</c:v>
                </c:pt>
                <c:pt idx="124">
                  <c:v>57.4</c:v>
                </c:pt>
                <c:pt idx="125">
                  <c:v>57.5</c:v>
                </c:pt>
                <c:pt idx="126">
                  <c:v>57.6</c:v>
                </c:pt>
                <c:pt idx="127">
                  <c:v>57.7</c:v>
                </c:pt>
                <c:pt idx="128">
                  <c:v>57.8</c:v>
                </c:pt>
                <c:pt idx="129">
                  <c:v>57.9</c:v>
                </c:pt>
                <c:pt idx="130">
                  <c:v>58</c:v>
                </c:pt>
                <c:pt idx="131">
                  <c:v>58.1</c:v>
                </c:pt>
                <c:pt idx="132">
                  <c:v>58.2</c:v>
                </c:pt>
                <c:pt idx="133">
                  <c:v>58.3</c:v>
                </c:pt>
                <c:pt idx="134">
                  <c:v>58.4</c:v>
                </c:pt>
                <c:pt idx="135">
                  <c:v>58.5</c:v>
                </c:pt>
                <c:pt idx="136">
                  <c:v>58.6</c:v>
                </c:pt>
                <c:pt idx="137">
                  <c:v>58.7</c:v>
                </c:pt>
                <c:pt idx="138">
                  <c:v>58.8</c:v>
                </c:pt>
                <c:pt idx="139">
                  <c:v>58.9</c:v>
                </c:pt>
                <c:pt idx="140">
                  <c:v>59</c:v>
                </c:pt>
                <c:pt idx="141">
                  <c:v>59.1</c:v>
                </c:pt>
                <c:pt idx="142">
                  <c:v>59.2</c:v>
                </c:pt>
                <c:pt idx="143">
                  <c:v>59.3</c:v>
                </c:pt>
                <c:pt idx="144">
                  <c:v>59.4</c:v>
                </c:pt>
                <c:pt idx="145">
                  <c:v>59.5</c:v>
                </c:pt>
                <c:pt idx="146">
                  <c:v>59.6</c:v>
                </c:pt>
                <c:pt idx="147">
                  <c:v>59.7</c:v>
                </c:pt>
                <c:pt idx="148">
                  <c:v>59.8</c:v>
                </c:pt>
                <c:pt idx="149">
                  <c:v>59.9</c:v>
                </c:pt>
                <c:pt idx="150">
                  <c:v>60</c:v>
                </c:pt>
                <c:pt idx="151">
                  <c:v>60.1</c:v>
                </c:pt>
                <c:pt idx="152">
                  <c:v>60.2</c:v>
                </c:pt>
                <c:pt idx="153">
                  <c:v>60.3</c:v>
                </c:pt>
                <c:pt idx="154">
                  <c:v>60.4</c:v>
                </c:pt>
                <c:pt idx="155">
                  <c:v>60.5</c:v>
                </c:pt>
                <c:pt idx="156">
                  <c:v>60.6</c:v>
                </c:pt>
                <c:pt idx="157">
                  <c:v>60.7</c:v>
                </c:pt>
                <c:pt idx="158">
                  <c:v>60.8</c:v>
                </c:pt>
                <c:pt idx="159">
                  <c:v>60.9</c:v>
                </c:pt>
                <c:pt idx="160">
                  <c:v>61</c:v>
                </c:pt>
                <c:pt idx="161">
                  <c:v>61.1</c:v>
                </c:pt>
                <c:pt idx="162">
                  <c:v>61.2</c:v>
                </c:pt>
                <c:pt idx="163">
                  <c:v>61.3</c:v>
                </c:pt>
                <c:pt idx="164">
                  <c:v>61.4</c:v>
                </c:pt>
                <c:pt idx="165">
                  <c:v>61.5</c:v>
                </c:pt>
                <c:pt idx="166">
                  <c:v>61.6</c:v>
                </c:pt>
                <c:pt idx="167">
                  <c:v>61.7</c:v>
                </c:pt>
                <c:pt idx="168">
                  <c:v>61.8</c:v>
                </c:pt>
                <c:pt idx="169">
                  <c:v>61.9</c:v>
                </c:pt>
                <c:pt idx="170">
                  <c:v>62</c:v>
                </c:pt>
                <c:pt idx="171">
                  <c:v>62.1</c:v>
                </c:pt>
                <c:pt idx="172">
                  <c:v>62.2</c:v>
                </c:pt>
                <c:pt idx="173">
                  <c:v>62.3</c:v>
                </c:pt>
                <c:pt idx="174">
                  <c:v>62.4</c:v>
                </c:pt>
                <c:pt idx="175">
                  <c:v>62.5</c:v>
                </c:pt>
                <c:pt idx="176">
                  <c:v>62.6</c:v>
                </c:pt>
                <c:pt idx="177">
                  <c:v>62.7</c:v>
                </c:pt>
                <c:pt idx="178">
                  <c:v>62.8</c:v>
                </c:pt>
                <c:pt idx="179">
                  <c:v>62.9</c:v>
                </c:pt>
                <c:pt idx="180">
                  <c:v>63</c:v>
                </c:pt>
                <c:pt idx="181">
                  <c:v>63.1</c:v>
                </c:pt>
                <c:pt idx="182">
                  <c:v>63.2</c:v>
                </c:pt>
                <c:pt idx="183">
                  <c:v>63.3</c:v>
                </c:pt>
                <c:pt idx="184">
                  <c:v>63.4</c:v>
                </c:pt>
                <c:pt idx="185">
                  <c:v>63.5</c:v>
                </c:pt>
                <c:pt idx="186">
                  <c:v>63.6</c:v>
                </c:pt>
                <c:pt idx="187">
                  <c:v>63.7</c:v>
                </c:pt>
                <c:pt idx="188">
                  <c:v>63.8</c:v>
                </c:pt>
                <c:pt idx="189">
                  <c:v>63.9</c:v>
                </c:pt>
                <c:pt idx="190">
                  <c:v>64</c:v>
                </c:pt>
                <c:pt idx="191">
                  <c:v>64.099999999999994</c:v>
                </c:pt>
                <c:pt idx="192">
                  <c:v>64.2</c:v>
                </c:pt>
                <c:pt idx="193">
                  <c:v>64.3</c:v>
                </c:pt>
                <c:pt idx="194">
                  <c:v>64.400000000000006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6A-49B0-9A29-F2396B05A213}"/>
            </c:ext>
          </c:extLst>
        </c:ser>
        <c:ser>
          <c:idx val="0"/>
          <c:order val="2"/>
          <c:tx>
            <c:v>average CH4</c:v>
          </c:tx>
          <c:spPr>
            <a:ln w="2857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Plots!$B$125:$B$126</c:f>
              <c:numCache>
                <c:formatCode>General</c:formatCode>
                <c:ptCount val="2"/>
                <c:pt idx="0">
                  <c:v>225</c:v>
                </c:pt>
                <c:pt idx="1">
                  <c:v>322</c:v>
                </c:pt>
              </c:numCache>
            </c:numRef>
          </c:xVal>
          <c:yVal>
            <c:numRef>
              <c:f>Plots!$C$125:$C$126</c:f>
              <c:numCache>
                <c:formatCode>General</c:formatCode>
                <c:ptCount val="2"/>
                <c:pt idx="0">
                  <c:v>0.9</c:v>
                </c:pt>
                <c:pt idx="1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6A-49B0-9A29-F2396B05A213}"/>
            </c:ext>
          </c:extLst>
        </c:ser>
        <c:ser>
          <c:idx val="3"/>
          <c:order val="3"/>
          <c:tx>
            <c:v>h2 breakthrough</c:v>
          </c:tx>
          <c:spPr>
            <a:ln w="2540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46A-49B0-9A29-F2396B05A213}"/>
              </c:ext>
            </c:extLst>
          </c:dPt>
          <c:xVal>
            <c:numRef>
              <c:f>Plots!$B$125:$B$126</c:f>
              <c:numCache>
                <c:formatCode>General</c:formatCode>
                <c:ptCount val="2"/>
                <c:pt idx="0">
                  <c:v>225</c:v>
                </c:pt>
                <c:pt idx="1">
                  <c:v>322</c:v>
                </c:pt>
              </c:numCache>
            </c:numRef>
          </c:xVal>
          <c:yVal>
            <c:numRef>
              <c:f>Plots!$D$125:$D$126</c:f>
              <c:numCache>
                <c:formatCode>General</c:formatCode>
                <c:ptCount val="2"/>
                <c:pt idx="0">
                  <c:v>0.98</c:v>
                </c:pt>
                <c:pt idx="1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6A-49B0-9A29-F2396B05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92255"/>
        <c:axId val="274141519"/>
      </c:scatterChart>
      <c:valAx>
        <c:axId val="885192255"/>
        <c:scaling>
          <c:orientation val="minMax"/>
          <c:max val="330"/>
          <c:min val="2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crossBetween val="midCat"/>
      </c:valAx>
      <c:valAx>
        <c:axId val="274141519"/>
        <c:scaling>
          <c:orientation val="minMax"/>
          <c:max val="1.05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>
                    <a:solidFill>
                      <a:sysClr val="windowText" lastClr="000000"/>
                    </a:solidFill>
                  </a:rPr>
                  <a:t>H</a:t>
                </a:r>
                <a:r>
                  <a:rPr lang="en-US" sz="2000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2000" baseline="0">
                    <a:solidFill>
                      <a:sysClr val="windowText" lastClr="000000"/>
                    </a:solidFill>
                  </a:rPr>
                  <a:t> Utilization</a:t>
                </a:r>
                <a:r>
                  <a:rPr lang="en-US" sz="2000">
                    <a:solidFill>
                      <a:sysClr val="windowText" lastClr="000000"/>
                    </a:solidFill>
                  </a:rPr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t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2751726644856415"/>
          <c:y val="0.64731359510617481"/>
          <c:w val="0.24348872017625464"/>
          <c:h val="0.21043013769423433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H2 utilization rate stabilizaiton</a:t>
            </a:r>
            <a:r>
              <a:rPr lang="en-US" sz="1600" baseline="0">
                <a:solidFill>
                  <a:sysClr val="windowText" lastClr="000000"/>
                </a:solidFill>
              </a:rPr>
              <a:t> and rapming phase together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1114267471549986"/>
          <c:y val="1.4153484330874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62064393874179"/>
          <c:y val="0.16850758630126361"/>
          <c:w val="0.84411070373269459"/>
          <c:h val="0.6755539515611706"/>
        </c:manualLayout>
      </c:layout>
      <c:scatterChart>
        <c:scatterStyle val="lineMarker"/>
        <c:varyColors val="0"/>
        <c:ser>
          <c:idx val="2"/>
          <c:order val="0"/>
          <c:tx>
            <c:v>via residual hydrogen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30"/>
            <c:dispRSqr val="0"/>
            <c:dispEq val="0"/>
          </c:trendline>
          <c:xVal>
            <c:numRef>
              <c:f>Summary!$B$3:$B$647</c:f>
              <c:numCache>
                <c:formatCode>General</c:formatCode>
                <c:ptCount val="64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3-4CD6-AFFE-751AFFA93256}"/>
            </c:ext>
          </c:extLst>
        </c:ser>
        <c:ser>
          <c:idx val="1"/>
          <c:order val="1"/>
          <c:tx>
            <c:v>via conversion to methane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30"/>
            <c:dispRSqr val="0"/>
            <c:dispEq val="0"/>
          </c:trendline>
          <c:xVal>
            <c:numRef>
              <c:f>Summary!$B$3:$B$647</c:f>
              <c:numCache>
                <c:formatCode>General</c:formatCode>
                <c:ptCount val="64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3-4CD6-AFFE-751AFFA93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92255"/>
        <c:axId val="274141519"/>
      </c:scatterChart>
      <c:valAx>
        <c:axId val="885192255"/>
        <c:scaling>
          <c:orientation val="minMax"/>
          <c:max val="33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crossBetween val="midCat"/>
      </c:valAx>
      <c:valAx>
        <c:axId val="274141519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>
                    <a:solidFill>
                      <a:sysClr val="windowText" lastClr="000000"/>
                    </a:solidFill>
                  </a:rPr>
                  <a:t>H</a:t>
                </a:r>
                <a:r>
                  <a:rPr lang="en-US" sz="2800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2800" baseline="0">
                    <a:solidFill>
                      <a:sysClr val="windowText" lastClr="000000"/>
                    </a:solidFill>
                  </a:rPr>
                  <a:t> Utilization</a:t>
                </a:r>
                <a:r>
                  <a:rPr lang="en-US" sz="2800">
                    <a:solidFill>
                      <a:sysClr val="windowText" lastClr="000000"/>
                    </a:solidFill>
                  </a:rPr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midCat"/>
        <c:majorUnit val="0.5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Reactor Performance (RV</a:t>
            </a:r>
            <a:r>
              <a:rPr lang="en-US" sz="1600" baseline="0">
                <a:solidFill>
                  <a:sysClr val="windowText" lastClr="000000"/>
                </a:solidFill>
              </a:rPr>
              <a:t> 0.155)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1593736547978982"/>
          <c:y val="9.002051686431280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08111017545077"/>
          <c:y val="0.1639495478738475"/>
          <c:w val="0.76309173040249789"/>
          <c:h val="0.67016785245481225"/>
        </c:manualLayout>
      </c:layout>
      <c:areaChart>
        <c:grouping val="percentStacked"/>
        <c:varyColors val="0"/>
        <c:ser>
          <c:idx val="1"/>
          <c:order val="0"/>
          <c:tx>
            <c:v>Methane</c:v>
          </c:tx>
          <c:spPr>
            <a:solidFill>
              <a:srgbClr val="FFC000">
                <a:alpha val="75000"/>
              </a:srgbClr>
            </a:solidFill>
            <a:ln>
              <a:solidFill>
                <a:schemeClr val="accent2"/>
              </a:solidFill>
            </a:ln>
            <a:effectLst/>
          </c:spPr>
          <c:cat>
            <c:numRef>
              <c:f>Summary!$B$3:$B$666</c:f>
              <c:numCache>
                <c:formatCode>General</c:formatCode>
                <c:ptCount val="6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</c:numCache>
            </c:numRef>
          </c:cat>
          <c:val>
            <c:numRef>
              <c:f>Summary!$AC$3:$AC$666</c:f>
              <c:numCache>
                <c:formatCode>General</c:formatCode>
                <c:ptCount val="6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0.122433</c:v>
                </c:pt>
                <c:pt idx="33">
                  <c:v>0.122433</c:v>
                </c:pt>
                <c:pt idx="34">
                  <c:v>0.122433</c:v>
                </c:pt>
                <c:pt idx="35">
                  <c:v>0.122433</c:v>
                </c:pt>
                <c:pt idx="36">
                  <c:v>0.122433</c:v>
                </c:pt>
                <c:pt idx="37">
                  <c:v>0.122433</c:v>
                </c:pt>
                <c:pt idx="38">
                  <c:v>0.122433</c:v>
                </c:pt>
                <c:pt idx="39">
                  <c:v>0.122433</c:v>
                </c:pt>
                <c:pt idx="40">
                  <c:v>0.122433</c:v>
                </c:pt>
                <c:pt idx="41">
                  <c:v>0.122433</c:v>
                </c:pt>
                <c:pt idx="42">
                  <c:v>0.122433</c:v>
                </c:pt>
                <c:pt idx="43">
                  <c:v>0.122433</c:v>
                </c:pt>
                <c:pt idx="44">
                  <c:v>0.122433</c:v>
                </c:pt>
                <c:pt idx="45">
                  <c:v>0.122433</c:v>
                </c:pt>
                <c:pt idx="46">
                  <c:v>0.122433</c:v>
                </c:pt>
                <c:pt idx="47">
                  <c:v>0.122433</c:v>
                </c:pt>
                <c:pt idx="48">
                  <c:v>0.122433</c:v>
                </c:pt>
                <c:pt idx="49">
                  <c:v>0.122433</c:v>
                </c:pt>
                <c:pt idx="50">
                  <c:v>0.122433</c:v>
                </c:pt>
                <c:pt idx="51">
                  <c:v>0.122433</c:v>
                </c:pt>
                <c:pt idx="52">
                  <c:v>0.122433</c:v>
                </c:pt>
                <c:pt idx="53">
                  <c:v>0.122433</c:v>
                </c:pt>
                <c:pt idx="54">
                  <c:v>0.122433</c:v>
                </c:pt>
                <c:pt idx="55">
                  <c:v>0.122433</c:v>
                </c:pt>
                <c:pt idx="56">
                  <c:v>0.122433</c:v>
                </c:pt>
                <c:pt idx="57">
                  <c:v>0.122433</c:v>
                </c:pt>
                <c:pt idx="58">
                  <c:v>0.122433</c:v>
                </c:pt>
                <c:pt idx="59">
                  <c:v>0.122433</c:v>
                </c:pt>
                <c:pt idx="60">
                  <c:v>0.122433</c:v>
                </c:pt>
                <c:pt idx="61">
                  <c:v>0.122433</c:v>
                </c:pt>
                <c:pt idx="62">
                  <c:v>0.122433</c:v>
                </c:pt>
                <c:pt idx="63">
                  <c:v>0.122433</c:v>
                </c:pt>
                <c:pt idx="64">
                  <c:v>0.122433</c:v>
                </c:pt>
                <c:pt idx="65">
                  <c:v>0.122433</c:v>
                </c:pt>
                <c:pt idx="66">
                  <c:v>0.122433</c:v>
                </c:pt>
                <c:pt idx="67">
                  <c:v>0.122433</c:v>
                </c:pt>
                <c:pt idx="68">
                  <c:v>0.122433</c:v>
                </c:pt>
                <c:pt idx="69">
                  <c:v>0.122433</c:v>
                </c:pt>
                <c:pt idx="70">
                  <c:v>0.122433</c:v>
                </c:pt>
                <c:pt idx="71">
                  <c:v>0.12663466666666667</c:v>
                </c:pt>
                <c:pt idx="72">
                  <c:v>0.12663466666666667</c:v>
                </c:pt>
                <c:pt idx="73">
                  <c:v>0.12663466666666667</c:v>
                </c:pt>
                <c:pt idx="74">
                  <c:v>0.12663466666666667</c:v>
                </c:pt>
                <c:pt idx="75">
                  <c:v>0.12663466666666667</c:v>
                </c:pt>
                <c:pt idx="76">
                  <c:v>0.12663466666666667</c:v>
                </c:pt>
                <c:pt idx="77">
                  <c:v>0.12663466666666667</c:v>
                </c:pt>
                <c:pt idx="78">
                  <c:v>0.12663466666666667</c:v>
                </c:pt>
                <c:pt idx="79">
                  <c:v>0.12663466666666667</c:v>
                </c:pt>
                <c:pt idx="80">
                  <c:v>0.19379933333333332</c:v>
                </c:pt>
                <c:pt idx="81">
                  <c:v>0.19379933333333332</c:v>
                </c:pt>
                <c:pt idx="82">
                  <c:v>0.19379933333333332</c:v>
                </c:pt>
                <c:pt idx="83">
                  <c:v>0.19379933333333332</c:v>
                </c:pt>
                <c:pt idx="84">
                  <c:v>0.19379933333333332</c:v>
                </c:pt>
                <c:pt idx="85">
                  <c:v>0.19379933333333332</c:v>
                </c:pt>
                <c:pt idx="86">
                  <c:v>0.19379933333333332</c:v>
                </c:pt>
                <c:pt idx="87">
                  <c:v>0.19379933333333332</c:v>
                </c:pt>
                <c:pt idx="88">
                  <c:v>0.19379933333333332</c:v>
                </c:pt>
                <c:pt idx="89">
                  <c:v>0.19379933333333332</c:v>
                </c:pt>
                <c:pt idx="90">
                  <c:v>0.19379933333333332</c:v>
                </c:pt>
                <c:pt idx="91">
                  <c:v>0.19379933333333332</c:v>
                </c:pt>
                <c:pt idx="92">
                  <c:v>0.19379933333333332</c:v>
                </c:pt>
                <c:pt idx="93">
                  <c:v>0.19379933333333332</c:v>
                </c:pt>
                <c:pt idx="94">
                  <c:v>0.19379933333333332</c:v>
                </c:pt>
                <c:pt idx="95">
                  <c:v>0.19379933333333332</c:v>
                </c:pt>
                <c:pt idx="96">
                  <c:v>0.19379933333333332</c:v>
                </c:pt>
                <c:pt idx="97">
                  <c:v>0.19379933333333332</c:v>
                </c:pt>
                <c:pt idx="98">
                  <c:v>0.19379933333333332</c:v>
                </c:pt>
                <c:pt idx="99">
                  <c:v>0.19379933333333332</c:v>
                </c:pt>
                <c:pt idx="100">
                  <c:v>0.89163000000000014</c:v>
                </c:pt>
                <c:pt idx="101">
                  <c:v>0.89163000000000014</c:v>
                </c:pt>
                <c:pt idx="102">
                  <c:v>0.89163000000000014</c:v>
                </c:pt>
                <c:pt idx="103">
                  <c:v>0.89163000000000014</c:v>
                </c:pt>
                <c:pt idx="104">
                  <c:v>0.89163000000000014</c:v>
                </c:pt>
                <c:pt idx="105">
                  <c:v>0.89163000000000014</c:v>
                </c:pt>
                <c:pt idx="106">
                  <c:v>0.89163000000000014</c:v>
                </c:pt>
                <c:pt idx="107">
                  <c:v>0.89163000000000014</c:v>
                </c:pt>
                <c:pt idx="108">
                  <c:v>0.89163000000000014</c:v>
                </c:pt>
                <c:pt idx="109">
                  <c:v>0.89163000000000014</c:v>
                </c:pt>
                <c:pt idx="110">
                  <c:v>0.89163000000000014</c:v>
                </c:pt>
                <c:pt idx="111">
                  <c:v>0.89163000000000014</c:v>
                </c:pt>
                <c:pt idx="112">
                  <c:v>0.89163000000000014</c:v>
                </c:pt>
                <c:pt idx="113">
                  <c:v>0.89163000000000014</c:v>
                </c:pt>
                <c:pt idx="114">
                  <c:v>0.89163000000000014</c:v>
                </c:pt>
                <c:pt idx="115">
                  <c:v>0.89163000000000014</c:v>
                </c:pt>
                <c:pt idx="116">
                  <c:v>0.89163000000000014</c:v>
                </c:pt>
                <c:pt idx="117">
                  <c:v>0.89163000000000014</c:v>
                </c:pt>
                <c:pt idx="118">
                  <c:v>0.89163000000000014</c:v>
                </c:pt>
                <c:pt idx="119">
                  <c:v>0.89163000000000014</c:v>
                </c:pt>
                <c:pt idx="120">
                  <c:v>0.89163000000000014</c:v>
                </c:pt>
                <c:pt idx="121">
                  <c:v>0.89163000000000014</c:v>
                </c:pt>
                <c:pt idx="122">
                  <c:v>0.89163000000000014</c:v>
                </c:pt>
                <c:pt idx="123">
                  <c:v>0.89163000000000014</c:v>
                </c:pt>
                <c:pt idx="124">
                  <c:v>0.89163000000000014</c:v>
                </c:pt>
                <c:pt idx="125">
                  <c:v>0.89163000000000014</c:v>
                </c:pt>
                <c:pt idx="126">
                  <c:v>0.89163000000000014</c:v>
                </c:pt>
                <c:pt idx="127">
                  <c:v>0.89163000000000014</c:v>
                </c:pt>
                <c:pt idx="128">
                  <c:v>0.89163000000000014</c:v>
                </c:pt>
                <c:pt idx="129">
                  <c:v>0.89163000000000014</c:v>
                </c:pt>
                <c:pt idx="130">
                  <c:v>0.89163000000000014</c:v>
                </c:pt>
                <c:pt idx="131">
                  <c:v>0.89163000000000014</c:v>
                </c:pt>
                <c:pt idx="132">
                  <c:v>0.89163000000000014</c:v>
                </c:pt>
                <c:pt idx="133">
                  <c:v>0.89163000000000014</c:v>
                </c:pt>
                <c:pt idx="134">
                  <c:v>0.89163000000000014</c:v>
                </c:pt>
                <c:pt idx="135">
                  <c:v>0.89163000000000014</c:v>
                </c:pt>
                <c:pt idx="136">
                  <c:v>0.89163000000000014</c:v>
                </c:pt>
                <c:pt idx="137">
                  <c:v>0.89163000000000014</c:v>
                </c:pt>
                <c:pt idx="138">
                  <c:v>0.89163000000000014</c:v>
                </c:pt>
                <c:pt idx="139">
                  <c:v>0.89163000000000014</c:v>
                </c:pt>
                <c:pt idx="140">
                  <c:v>0.89163000000000014</c:v>
                </c:pt>
                <c:pt idx="141">
                  <c:v>0.89163000000000014</c:v>
                </c:pt>
                <c:pt idx="142">
                  <c:v>0.89163000000000014</c:v>
                </c:pt>
                <c:pt idx="143">
                  <c:v>0.89163000000000014</c:v>
                </c:pt>
                <c:pt idx="144">
                  <c:v>0.89163000000000014</c:v>
                </c:pt>
                <c:pt idx="145">
                  <c:v>0.89163000000000014</c:v>
                </c:pt>
                <c:pt idx="146">
                  <c:v>0.89163000000000014</c:v>
                </c:pt>
                <c:pt idx="147">
                  <c:v>0.89163000000000014</c:v>
                </c:pt>
                <c:pt idx="148">
                  <c:v>0.89163000000000014</c:v>
                </c:pt>
                <c:pt idx="149">
                  <c:v>0.89163000000000014</c:v>
                </c:pt>
                <c:pt idx="150">
                  <c:v>0.89163000000000014</c:v>
                </c:pt>
                <c:pt idx="151">
                  <c:v>0.89163000000000014</c:v>
                </c:pt>
                <c:pt idx="152">
                  <c:v>0.89163000000000014</c:v>
                </c:pt>
                <c:pt idx="153">
                  <c:v>0.89163000000000014</c:v>
                </c:pt>
                <c:pt idx="154">
                  <c:v>0.89163000000000014</c:v>
                </c:pt>
                <c:pt idx="155">
                  <c:v>0.89163000000000014</c:v>
                </c:pt>
                <c:pt idx="156">
                  <c:v>0.89163000000000014</c:v>
                </c:pt>
                <c:pt idx="157">
                  <c:v>0.89163000000000014</c:v>
                </c:pt>
                <c:pt idx="158">
                  <c:v>0.89163000000000014</c:v>
                </c:pt>
                <c:pt idx="159">
                  <c:v>0.89163000000000014</c:v>
                </c:pt>
                <c:pt idx="160">
                  <c:v>0.89163000000000014</c:v>
                </c:pt>
                <c:pt idx="161">
                  <c:v>0.88412199999999985</c:v>
                </c:pt>
                <c:pt idx="162">
                  <c:v>0.88412199999999985</c:v>
                </c:pt>
                <c:pt idx="163">
                  <c:v>0.88412199999999985</c:v>
                </c:pt>
                <c:pt idx="164">
                  <c:v>0.88412199999999985</c:v>
                </c:pt>
                <c:pt idx="165">
                  <c:v>0.88412199999999985</c:v>
                </c:pt>
                <c:pt idx="166">
                  <c:v>0.88412199999999985</c:v>
                </c:pt>
                <c:pt idx="167">
                  <c:v>0.88412199999999985</c:v>
                </c:pt>
                <c:pt idx="168">
                  <c:v>0.88412199999999985</c:v>
                </c:pt>
                <c:pt idx="169">
                  <c:v>0.88412199999999985</c:v>
                </c:pt>
                <c:pt idx="170">
                  <c:v>0.88412199999999985</c:v>
                </c:pt>
                <c:pt idx="171">
                  <c:v>0.88412199999999985</c:v>
                </c:pt>
                <c:pt idx="172">
                  <c:v>0.88412199999999985</c:v>
                </c:pt>
                <c:pt idx="173">
                  <c:v>0.88412199999999985</c:v>
                </c:pt>
                <c:pt idx="174">
                  <c:v>0.88412199999999985</c:v>
                </c:pt>
                <c:pt idx="175">
                  <c:v>0.88412199999999985</c:v>
                </c:pt>
                <c:pt idx="176">
                  <c:v>0.88412199999999985</c:v>
                </c:pt>
                <c:pt idx="177">
                  <c:v>0.88412199999999985</c:v>
                </c:pt>
                <c:pt idx="178">
                  <c:v>0.88412199999999985</c:v>
                </c:pt>
                <c:pt idx="179">
                  <c:v>0.88412199999999985</c:v>
                </c:pt>
                <c:pt idx="180">
                  <c:v>0.88412199999999985</c:v>
                </c:pt>
                <c:pt idx="181">
                  <c:v>0.88412199999999985</c:v>
                </c:pt>
                <c:pt idx="182">
                  <c:v>0.88412199999999985</c:v>
                </c:pt>
                <c:pt idx="183">
                  <c:v>0.88412199999999985</c:v>
                </c:pt>
                <c:pt idx="184">
                  <c:v>0.88412199999999985</c:v>
                </c:pt>
                <c:pt idx="185">
                  <c:v>0.88412199999999985</c:v>
                </c:pt>
                <c:pt idx="186">
                  <c:v>0.88412199999999985</c:v>
                </c:pt>
                <c:pt idx="187">
                  <c:v>0.88412199999999985</c:v>
                </c:pt>
                <c:pt idx="188">
                  <c:v>0.88412199999999985</c:v>
                </c:pt>
                <c:pt idx="189">
                  <c:v>0.88412199999999985</c:v>
                </c:pt>
                <c:pt idx="190">
                  <c:v>0.88412199999999985</c:v>
                </c:pt>
                <c:pt idx="191">
                  <c:v>0.88412199999999985</c:v>
                </c:pt>
                <c:pt idx="192">
                  <c:v>0.88412199999999985</c:v>
                </c:pt>
                <c:pt idx="193">
                  <c:v>0.88412199999999985</c:v>
                </c:pt>
                <c:pt idx="194">
                  <c:v>0.88412199999999985</c:v>
                </c:pt>
                <c:pt idx="195">
                  <c:v>0.88412199999999985</c:v>
                </c:pt>
                <c:pt idx="196">
                  <c:v>0.88412199999999985</c:v>
                </c:pt>
                <c:pt idx="197">
                  <c:v>0.88412199999999985</c:v>
                </c:pt>
                <c:pt idx="198">
                  <c:v>0.88412199999999985</c:v>
                </c:pt>
                <c:pt idx="199">
                  <c:v>0.88412199999999985</c:v>
                </c:pt>
                <c:pt idx="200">
                  <c:v>0.88412199999999985</c:v>
                </c:pt>
                <c:pt idx="201">
                  <c:v>0.88412199999999985</c:v>
                </c:pt>
                <c:pt idx="202">
                  <c:v>0.88412199999999985</c:v>
                </c:pt>
                <c:pt idx="203">
                  <c:v>0.88412199999999985</c:v>
                </c:pt>
                <c:pt idx="204">
                  <c:v>0.88412199999999985</c:v>
                </c:pt>
                <c:pt idx="205">
                  <c:v>0.88412199999999985</c:v>
                </c:pt>
                <c:pt idx="206">
                  <c:v>0.88412199999999985</c:v>
                </c:pt>
                <c:pt idx="207">
                  <c:v>0.88412199999999985</c:v>
                </c:pt>
                <c:pt idx="208">
                  <c:v>0.88412199999999985</c:v>
                </c:pt>
                <c:pt idx="209">
                  <c:v>0.88412199999999985</c:v>
                </c:pt>
                <c:pt idx="210">
                  <c:v>0.88412199999999985</c:v>
                </c:pt>
                <c:pt idx="211">
                  <c:v>0.88412199999999985</c:v>
                </c:pt>
                <c:pt idx="212">
                  <c:v>0.88412199999999985</c:v>
                </c:pt>
                <c:pt idx="213">
                  <c:v>0.88412199999999985</c:v>
                </c:pt>
                <c:pt idx="214">
                  <c:v>0.88412199999999985</c:v>
                </c:pt>
                <c:pt idx="215">
                  <c:v>0.88412199999999985</c:v>
                </c:pt>
                <c:pt idx="216">
                  <c:v>0.88412199999999985</c:v>
                </c:pt>
                <c:pt idx="217">
                  <c:v>0.88412199999999985</c:v>
                </c:pt>
                <c:pt idx="218">
                  <c:v>0.88412199999999985</c:v>
                </c:pt>
                <c:pt idx="219">
                  <c:v>0.88412199999999985</c:v>
                </c:pt>
                <c:pt idx="220">
                  <c:v>0.88412199999999985</c:v>
                </c:pt>
                <c:pt idx="221">
                  <c:v>0.88412199999999985</c:v>
                </c:pt>
                <c:pt idx="222">
                  <c:v>0.88412199999999985</c:v>
                </c:pt>
                <c:pt idx="223">
                  <c:v>0.88412199999999985</c:v>
                </c:pt>
                <c:pt idx="224">
                  <c:v>0.88412199999999985</c:v>
                </c:pt>
                <c:pt idx="225">
                  <c:v>0.88412199999999985</c:v>
                </c:pt>
                <c:pt idx="226">
                  <c:v>0.88412199999999985</c:v>
                </c:pt>
                <c:pt idx="227">
                  <c:v>0.88412199999999985</c:v>
                </c:pt>
                <c:pt idx="228">
                  <c:v>0.88412199999999985</c:v>
                </c:pt>
                <c:pt idx="229">
                  <c:v>0.88412199999999985</c:v>
                </c:pt>
                <c:pt idx="230">
                  <c:v>0.88412199999999985</c:v>
                </c:pt>
                <c:pt idx="231">
                  <c:v>0.88412199999999985</c:v>
                </c:pt>
                <c:pt idx="232">
                  <c:v>0.88412199999999985</c:v>
                </c:pt>
                <c:pt idx="233">
                  <c:v>0.88412199999999985</c:v>
                </c:pt>
                <c:pt idx="234">
                  <c:v>0.88412199999999985</c:v>
                </c:pt>
                <c:pt idx="235">
                  <c:v>0.88412199999999985</c:v>
                </c:pt>
                <c:pt idx="236">
                  <c:v>0.88412199999999985</c:v>
                </c:pt>
                <c:pt idx="237">
                  <c:v>0.88412199999999985</c:v>
                </c:pt>
                <c:pt idx="238">
                  <c:v>0.88412199999999985</c:v>
                </c:pt>
                <c:pt idx="239">
                  <c:v>0.88412199999999985</c:v>
                </c:pt>
                <c:pt idx="240">
                  <c:v>0.88412199999999985</c:v>
                </c:pt>
                <c:pt idx="241">
                  <c:v>0.115633</c:v>
                </c:pt>
                <c:pt idx="242">
                  <c:v>0.115633</c:v>
                </c:pt>
                <c:pt idx="243">
                  <c:v>0.115633</c:v>
                </c:pt>
                <c:pt idx="244">
                  <c:v>0.115633</c:v>
                </c:pt>
                <c:pt idx="245">
                  <c:v>0.115633</c:v>
                </c:pt>
                <c:pt idx="246">
                  <c:v>0.115633</c:v>
                </c:pt>
                <c:pt idx="247">
                  <c:v>0.115633</c:v>
                </c:pt>
                <c:pt idx="248">
                  <c:v>0.115633</c:v>
                </c:pt>
                <c:pt idx="249">
                  <c:v>0.115633</c:v>
                </c:pt>
                <c:pt idx="250">
                  <c:v>0.115633</c:v>
                </c:pt>
                <c:pt idx="251">
                  <c:v>0.115633</c:v>
                </c:pt>
                <c:pt idx="252">
                  <c:v>0.115633</c:v>
                </c:pt>
                <c:pt idx="253">
                  <c:v>0.115633</c:v>
                </c:pt>
                <c:pt idx="254">
                  <c:v>0.115633</c:v>
                </c:pt>
                <c:pt idx="255">
                  <c:v>0.115633</c:v>
                </c:pt>
                <c:pt idx="256">
                  <c:v>0.115633</c:v>
                </c:pt>
                <c:pt idx="257">
                  <c:v>0.115633</c:v>
                </c:pt>
                <c:pt idx="258">
                  <c:v>0.115633</c:v>
                </c:pt>
                <c:pt idx="259">
                  <c:v>0.115633</c:v>
                </c:pt>
                <c:pt idx="260">
                  <c:v>0.115633</c:v>
                </c:pt>
                <c:pt idx="261">
                  <c:v>0.115633</c:v>
                </c:pt>
                <c:pt idx="262">
                  <c:v>0.115633</c:v>
                </c:pt>
                <c:pt idx="263">
                  <c:v>0.115633</c:v>
                </c:pt>
                <c:pt idx="264">
                  <c:v>0.115633</c:v>
                </c:pt>
                <c:pt idx="265">
                  <c:v>0.115633</c:v>
                </c:pt>
                <c:pt idx="266">
                  <c:v>0.115633</c:v>
                </c:pt>
                <c:pt idx="267">
                  <c:v>0.115633</c:v>
                </c:pt>
                <c:pt idx="268">
                  <c:v>0.115633</c:v>
                </c:pt>
                <c:pt idx="269">
                  <c:v>0.115633</c:v>
                </c:pt>
                <c:pt idx="270">
                  <c:v>0.115633</c:v>
                </c:pt>
                <c:pt idx="271">
                  <c:v>0.115633</c:v>
                </c:pt>
                <c:pt idx="272">
                  <c:v>0.115633</c:v>
                </c:pt>
                <c:pt idx="273">
                  <c:v>0.115633</c:v>
                </c:pt>
                <c:pt idx="274">
                  <c:v>0.115633</c:v>
                </c:pt>
                <c:pt idx="275">
                  <c:v>0.115633</c:v>
                </c:pt>
                <c:pt idx="276">
                  <c:v>0.115633</c:v>
                </c:pt>
                <c:pt idx="277">
                  <c:v>0.115633</c:v>
                </c:pt>
                <c:pt idx="278">
                  <c:v>0.115633</c:v>
                </c:pt>
                <c:pt idx="279">
                  <c:v>0.115633</c:v>
                </c:pt>
                <c:pt idx="280">
                  <c:v>0.115633</c:v>
                </c:pt>
                <c:pt idx="281">
                  <c:v>0.115633</c:v>
                </c:pt>
                <c:pt idx="282">
                  <c:v>0.115633</c:v>
                </c:pt>
                <c:pt idx="283">
                  <c:v>0.115633</c:v>
                </c:pt>
                <c:pt idx="284">
                  <c:v>0.115633</c:v>
                </c:pt>
                <c:pt idx="285">
                  <c:v>0.115633</c:v>
                </c:pt>
                <c:pt idx="286">
                  <c:v>0.115633</c:v>
                </c:pt>
                <c:pt idx="287">
                  <c:v>0.115633</c:v>
                </c:pt>
                <c:pt idx="288">
                  <c:v>0.115633</c:v>
                </c:pt>
                <c:pt idx="289">
                  <c:v>0.115633</c:v>
                </c:pt>
                <c:pt idx="290">
                  <c:v>0.115633</c:v>
                </c:pt>
                <c:pt idx="291">
                  <c:v>0.115633</c:v>
                </c:pt>
                <c:pt idx="292">
                  <c:v>0.115633</c:v>
                </c:pt>
                <c:pt idx="293">
                  <c:v>0.115633</c:v>
                </c:pt>
                <c:pt idx="294">
                  <c:v>0.115633</c:v>
                </c:pt>
                <c:pt idx="295">
                  <c:v>0.115633</c:v>
                </c:pt>
                <c:pt idx="296">
                  <c:v>0.115633</c:v>
                </c:pt>
                <c:pt idx="297">
                  <c:v>0.115633</c:v>
                </c:pt>
                <c:pt idx="298">
                  <c:v>0.115633</c:v>
                </c:pt>
                <c:pt idx="299">
                  <c:v>0.115633</c:v>
                </c:pt>
                <c:pt idx="300">
                  <c:v>0.115633</c:v>
                </c:pt>
                <c:pt idx="301">
                  <c:v>0.1357256667</c:v>
                </c:pt>
                <c:pt idx="302">
                  <c:v>0.1357256667</c:v>
                </c:pt>
                <c:pt idx="303">
                  <c:v>0.1357256667</c:v>
                </c:pt>
                <c:pt idx="304">
                  <c:v>0.1357256667</c:v>
                </c:pt>
                <c:pt idx="305">
                  <c:v>0.1357256667</c:v>
                </c:pt>
                <c:pt idx="306">
                  <c:v>0.1357256667</c:v>
                </c:pt>
                <c:pt idx="307">
                  <c:v>0.1357256667</c:v>
                </c:pt>
                <c:pt idx="308">
                  <c:v>0.1357256667</c:v>
                </c:pt>
                <c:pt idx="309">
                  <c:v>0.1357256667</c:v>
                </c:pt>
                <c:pt idx="310">
                  <c:v>0.1357256667</c:v>
                </c:pt>
                <c:pt idx="311">
                  <c:v>0.1357256667</c:v>
                </c:pt>
                <c:pt idx="312">
                  <c:v>0.1357256667</c:v>
                </c:pt>
                <c:pt idx="313">
                  <c:v>0.1357256667</c:v>
                </c:pt>
                <c:pt idx="314">
                  <c:v>0.1357256667</c:v>
                </c:pt>
                <c:pt idx="315">
                  <c:v>0.1357256667</c:v>
                </c:pt>
                <c:pt idx="316">
                  <c:v>0.1357256667</c:v>
                </c:pt>
                <c:pt idx="317">
                  <c:v>0.1357256667</c:v>
                </c:pt>
                <c:pt idx="318">
                  <c:v>0.1357256667</c:v>
                </c:pt>
                <c:pt idx="319">
                  <c:v>0.1357256667</c:v>
                </c:pt>
                <c:pt idx="320">
                  <c:v>0.1357256667</c:v>
                </c:pt>
                <c:pt idx="321">
                  <c:v>0.1357256667</c:v>
                </c:pt>
                <c:pt idx="322">
                  <c:v>0.1357256667</c:v>
                </c:pt>
                <c:pt idx="323">
                  <c:v>0.1357256667</c:v>
                </c:pt>
                <c:pt idx="324">
                  <c:v>0.1357256667</c:v>
                </c:pt>
                <c:pt idx="325">
                  <c:v>0.1357256667</c:v>
                </c:pt>
                <c:pt idx="326">
                  <c:v>0.1357256667</c:v>
                </c:pt>
                <c:pt idx="327">
                  <c:v>0.1357256667</c:v>
                </c:pt>
                <c:pt idx="328">
                  <c:v>0.1357256667</c:v>
                </c:pt>
                <c:pt idx="329">
                  <c:v>0.1357256667</c:v>
                </c:pt>
                <c:pt idx="330">
                  <c:v>0.1357256667</c:v>
                </c:pt>
                <c:pt idx="331">
                  <c:v>0.1357256667</c:v>
                </c:pt>
                <c:pt idx="332">
                  <c:v>0.1357256667</c:v>
                </c:pt>
                <c:pt idx="333">
                  <c:v>0.1357256667</c:v>
                </c:pt>
                <c:pt idx="334">
                  <c:v>0.1357256667</c:v>
                </c:pt>
                <c:pt idx="335">
                  <c:v>0.1357256667</c:v>
                </c:pt>
                <c:pt idx="336">
                  <c:v>0.1357256667</c:v>
                </c:pt>
                <c:pt idx="337">
                  <c:v>0.1357256667</c:v>
                </c:pt>
                <c:pt idx="338">
                  <c:v>0.1357256667</c:v>
                </c:pt>
                <c:pt idx="339">
                  <c:v>0.1357256667</c:v>
                </c:pt>
                <c:pt idx="340">
                  <c:v>0.27094999999999997</c:v>
                </c:pt>
                <c:pt idx="341">
                  <c:v>0.27094999999999997</c:v>
                </c:pt>
                <c:pt idx="342">
                  <c:v>0.27094999999999997</c:v>
                </c:pt>
                <c:pt idx="343">
                  <c:v>0.27094999999999997</c:v>
                </c:pt>
                <c:pt idx="344">
                  <c:v>0.27094999999999997</c:v>
                </c:pt>
                <c:pt idx="345">
                  <c:v>0.27094999999999997</c:v>
                </c:pt>
                <c:pt idx="346">
                  <c:v>0.27094999999999997</c:v>
                </c:pt>
                <c:pt idx="347">
                  <c:v>0.27094999999999997</c:v>
                </c:pt>
                <c:pt idx="348">
                  <c:v>0.27094999999999997</c:v>
                </c:pt>
                <c:pt idx="349">
                  <c:v>0.27094999999999997</c:v>
                </c:pt>
                <c:pt idx="350">
                  <c:v>0.27094999999999997</c:v>
                </c:pt>
                <c:pt idx="351">
                  <c:v>0.27094999999999997</c:v>
                </c:pt>
                <c:pt idx="352">
                  <c:v>0.27094999999999997</c:v>
                </c:pt>
                <c:pt idx="353">
                  <c:v>0.27094999999999997</c:v>
                </c:pt>
                <c:pt idx="354">
                  <c:v>0.27094999999999997</c:v>
                </c:pt>
                <c:pt idx="355">
                  <c:v>0.27094999999999997</c:v>
                </c:pt>
                <c:pt idx="356">
                  <c:v>0.27094999999999997</c:v>
                </c:pt>
                <c:pt idx="357">
                  <c:v>0.27094999999999997</c:v>
                </c:pt>
                <c:pt idx="358">
                  <c:v>0.27094999999999997</c:v>
                </c:pt>
                <c:pt idx="359">
                  <c:v>0.27094999999999997</c:v>
                </c:pt>
                <c:pt idx="360">
                  <c:v>0.27094999999999997</c:v>
                </c:pt>
                <c:pt idx="361">
                  <c:v>0.27094999999999997</c:v>
                </c:pt>
                <c:pt idx="362">
                  <c:v>0.27094999999999997</c:v>
                </c:pt>
                <c:pt idx="363">
                  <c:v>0.27094999999999997</c:v>
                </c:pt>
                <c:pt idx="364">
                  <c:v>0.27094999999999997</c:v>
                </c:pt>
                <c:pt idx="365">
                  <c:v>0.27094999999999997</c:v>
                </c:pt>
                <c:pt idx="366">
                  <c:v>0.27094999999999997</c:v>
                </c:pt>
                <c:pt idx="367">
                  <c:v>0.27094999999999997</c:v>
                </c:pt>
                <c:pt idx="368">
                  <c:v>0.27094999999999997</c:v>
                </c:pt>
                <c:pt idx="369">
                  <c:v>0.27094999999999997</c:v>
                </c:pt>
                <c:pt idx="370">
                  <c:v>0.27094999999999997</c:v>
                </c:pt>
                <c:pt idx="371">
                  <c:v>0.27094999999999997</c:v>
                </c:pt>
                <c:pt idx="372">
                  <c:v>0.27094999999999997</c:v>
                </c:pt>
                <c:pt idx="373">
                  <c:v>0.27094999999999997</c:v>
                </c:pt>
                <c:pt idx="374">
                  <c:v>0.27094999999999997</c:v>
                </c:pt>
                <c:pt idx="375">
                  <c:v>0.27094999999999997</c:v>
                </c:pt>
                <c:pt idx="376">
                  <c:v>0.27094999999999997</c:v>
                </c:pt>
                <c:pt idx="377">
                  <c:v>0.27094999999999997</c:v>
                </c:pt>
                <c:pt idx="378">
                  <c:v>0.27094999999999997</c:v>
                </c:pt>
                <c:pt idx="379">
                  <c:v>0.27094999999999997</c:v>
                </c:pt>
                <c:pt idx="380">
                  <c:v>0.82638299999999998</c:v>
                </c:pt>
                <c:pt idx="381">
                  <c:v>0.82638299999999998</c:v>
                </c:pt>
                <c:pt idx="382">
                  <c:v>0.82638299999999998</c:v>
                </c:pt>
                <c:pt idx="383">
                  <c:v>0.82638299999999998</c:v>
                </c:pt>
                <c:pt idx="384">
                  <c:v>0.82638299999999998</c:v>
                </c:pt>
                <c:pt idx="385">
                  <c:v>0.82638299999999998</c:v>
                </c:pt>
                <c:pt idx="386">
                  <c:v>0.82638299999999998</c:v>
                </c:pt>
                <c:pt idx="387">
                  <c:v>0.82638299999999998</c:v>
                </c:pt>
                <c:pt idx="388">
                  <c:v>0.82638299999999998</c:v>
                </c:pt>
                <c:pt idx="389">
                  <c:v>0.82638299999999998</c:v>
                </c:pt>
                <c:pt idx="390">
                  <c:v>0.82638299999999998</c:v>
                </c:pt>
                <c:pt idx="391">
                  <c:v>0.82638299999999998</c:v>
                </c:pt>
                <c:pt idx="392">
                  <c:v>0.82638299999999998</c:v>
                </c:pt>
                <c:pt idx="393">
                  <c:v>0.82638299999999998</c:v>
                </c:pt>
                <c:pt idx="394">
                  <c:v>0.82638299999999998</c:v>
                </c:pt>
                <c:pt idx="395">
                  <c:v>0.82638299999999998</c:v>
                </c:pt>
                <c:pt idx="396">
                  <c:v>0.82638299999999998</c:v>
                </c:pt>
                <c:pt idx="397">
                  <c:v>0.82638299999999998</c:v>
                </c:pt>
                <c:pt idx="398">
                  <c:v>0.82638299999999998</c:v>
                </c:pt>
                <c:pt idx="399">
                  <c:v>0.82638299999999998</c:v>
                </c:pt>
                <c:pt idx="400">
                  <c:v>0.82638299999999998</c:v>
                </c:pt>
                <c:pt idx="401">
                  <c:v>0.82638299999999998</c:v>
                </c:pt>
                <c:pt idx="402">
                  <c:v>0.82638299999999998</c:v>
                </c:pt>
                <c:pt idx="403">
                  <c:v>0.82638299999999998</c:v>
                </c:pt>
                <c:pt idx="404">
                  <c:v>0.82638299999999998</c:v>
                </c:pt>
                <c:pt idx="405">
                  <c:v>0.82638299999999998</c:v>
                </c:pt>
                <c:pt idx="406">
                  <c:v>0.82638299999999998</c:v>
                </c:pt>
                <c:pt idx="407">
                  <c:v>0.82638299999999998</c:v>
                </c:pt>
                <c:pt idx="408">
                  <c:v>0.82638299999999998</c:v>
                </c:pt>
                <c:pt idx="409">
                  <c:v>0.82638299999999998</c:v>
                </c:pt>
                <c:pt idx="410">
                  <c:v>0.82638299999999998</c:v>
                </c:pt>
                <c:pt idx="411">
                  <c:v>0.82638299999999998</c:v>
                </c:pt>
                <c:pt idx="412">
                  <c:v>0.82638299999999998</c:v>
                </c:pt>
                <c:pt idx="413">
                  <c:v>0.82638299999999998</c:v>
                </c:pt>
                <c:pt idx="414">
                  <c:v>0.82638299999999998</c:v>
                </c:pt>
                <c:pt idx="415">
                  <c:v>0.82638299999999998</c:v>
                </c:pt>
                <c:pt idx="416">
                  <c:v>0.82638299999999998</c:v>
                </c:pt>
                <c:pt idx="417">
                  <c:v>0.82638299999999998</c:v>
                </c:pt>
                <c:pt idx="418">
                  <c:v>0.82638299999999998</c:v>
                </c:pt>
                <c:pt idx="419">
                  <c:v>0.82638299999999998</c:v>
                </c:pt>
                <c:pt idx="420">
                  <c:v>0.82638299999999998</c:v>
                </c:pt>
                <c:pt idx="421">
                  <c:v>0.82638299999999998</c:v>
                </c:pt>
                <c:pt idx="422">
                  <c:v>0.82638299999999998</c:v>
                </c:pt>
                <c:pt idx="423">
                  <c:v>0.82638299999999998</c:v>
                </c:pt>
                <c:pt idx="424">
                  <c:v>0.82638299999999998</c:v>
                </c:pt>
                <c:pt idx="425">
                  <c:v>0.82638299999999998</c:v>
                </c:pt>
                <c:pt idx="426">
                  <c:v>0.82638299999999998</c:v>
                </c:pt>
                <c:pt idx="427">
                  <c:v>0.82638299999999998</c:v>
                </c:pt>
                <c:pt idx="428">
                  <c:v>0.82638299999999998</c:v>
                </c:pt>
                <c:pt idx="429">
                  <c:v>0.82638299999999998</c:v>
                </c:pt>
                <c:pt idx="430">
                  <c:v>0.82638299999999998</c:v>
                </c:pt>
                <c:pt idx="431">
                  <c:v>0.82638299999999998</c:v>
                </c:pt>
                <c:pt idx="432">
                  <c:v>0.82638299999999998</c:v>
                </c:pt>
                <c:pt idx="433">
                  <c:v>0.50395600000000007</c:v>
                </c:pt>
                <c:pt idx="434">
                  <c:v>0.50395600000000007</c:v>
                </c:pt>
                <c:pt idx="435">
                  <c:v>0.50395600000000007</c:v>
                </c:pt>
                <c:pt idx="436">
                  <c:v>0.50395600000000007</c:v>
                </c:pt>
                <c:pt idx="437">
                  <c:v>0.50395600000000007</c:v>
                </c:pt>
                <c:pt idx="438">
                  <c:v>0.50395600000000007</c:v>
                </c:pt>
                <c:pt idx="439">
                  <c:v>0.50395600000000007</c:v>
                </c:pt>
                <c:pt idx="440">
                  <c:v>0.50395600000000007</c:v>
                </c:pt>
                <c:pt idx="441">
                  <c:v>0.50395600000000007</c:v>
                </c:pt>
                <c:pt idx="442">
                  <c:v>0.50395600000000007</c:v>
                </c:pt>
                <c:pt idx="443">
                  <c:v>0.50395600000000007</c:v>
                </c:pt>
                <c:pt idx="444">
                  <c:v>0.50395600000000007</c:v>
                </c:pt>
                <c:pt idx="445">
                  <c:v>0.50395600000000007</c:v>
                </c:pt>
                <c:pt idx="446">
                  <c:v>0.50395600000000007</c:v>
                </c:pt>
                <c:pt idx="447">
                  <c:v>0.50395600000000007</c:v>
                </c:pt>
                <c:pt idx="448">
                  <c:v>0.50395600000000007</c:v>
                </c:pt>
                <c:pt idx="449">
                  <c:v>0.50395600000000007</c:v>
                </c:pt>
                <c:pt idx="450">
                  <c:v>0.50395600000000007</c:v>
                </c:pt>
                <c:pt idx="451">
                  <c:v>0.50395600000000007</c:v>
                </c:pt>
                <c:pt idx="452">
                  <c:v>0.50395600000000007</c:v>
                </c:pt>
                <c:pt idx="453">
                  <c:v>0.50395600000000007</c:v>
                </c:pt>
                <c:pt idx="454">
                  <c:v>0.50395600000000007</c:v>
                </c:pt>
                <c:pt idx="455">
                  <c:v>0.50395600000000007</c:v>
                </c:pt>
                <c:pt idx="456">
                  <c:v>0.50395600000000007</c:v>
                </c:pt>
                <c:pt idx="457">
                  <c:v>0.50395600000000007</c:v>
                </c:pt>
                <c:pt idx="458">
                  <c:v>0.50395600000000007</c:v>
                </c:pt>
                <c:pt idx="459">
                  <c:v>0.50395600000000007</c:v>
                </c:pt>
                <c:pt idx="460">
                  <c:v>0.50395600000000007</c:v>
                </c:pt>
                <c:pt idx="461">
                  <c:v>0.50395600000000007</c:v>
                </c:pt>
                <c:pt idx="462">
                  <c:v>0.50395600000000007</c:v>
                </c:pt>
                <c:pt idx="463">
                  <c:v>0.50395600000000007</c:v>
                </c:pt>
                <c:pt idx="464">
                  <c:v>0.50395600000000007</c:v>
                </c:pt>
                <c:pt idx="465">
                  <c:v>0.50395600000000007</c:v>
                </c:pt>
                <c:pt idx="466">
                  <c:v>0.50395600000000007</c:v>
                </c:pt>
                <c:pt idx="467">
                  <c:v>0.50395600000000007</c:v>
                </c:pt>
                <c:pt idx="468">
                  <c:v>0.50395600000000007</c:v>
                </c:pt>
                <c:pt idx="469">
                  <c:v>0.50395600000000007</c:v>
                </c:pt>
                <c:pt idx="470">
                  <c:v>0.50395600000000007</c:v>
                </c:pt>
                <c:pt idx="471">
                  <c:v>0.50395600000000007</c:v>
                </c:pt>
                <c:pt idx="472">
                  <c:v>0.50395600000000007</c:v>
                </c:pt>
                <c:pt idx="473">
                  <c:v>0.50395600000000007</c:v>
                </c:pt>
                <c:pt idx="474">
                  <c:v>0.50395600000000007</c:v>
                </c:pt>
                <c:pt idx="475">
                  <c:v>0.50395600000000007</c:v>
                </c:pt>
                <c:pt idx="476">
                  <c:v>0.50395600000000007</c:v>
                </c:pt>
                <c:pt idx="477">
                  <c:v>0.50395600000000007</c:v>
                </c:pt>
                <c:pt idx="478">
                  <c:v>0.50395600000000007</c:v>
                </c:pt>
                <c:pt idx="479">
                  <c:v>0.50395600000000007</c:v>
                </c:pt>
                <c:pt idx="480">
                  <c:v>0.50395600000000007</c:v>
                </c:pt>
                <c:pt idx="481">
                  <c:v>0.50395600000000007</c:v>
                </c:pt>
                <c:pt idx="482">
                  <c:v>0.50395600000000007</c:v>
                </c:pt>
                <c:pt idx="483">
                  <c:v>0.50395600000000007</c:v>
                </c:pt>
                <c:pt idx="484">
                  <c:v>0.50395600000000007</c:v>
                </c:pt>
                <c:pt idx="485">
                  <c:v>0.50395600000000007</c:v>
                </c:pt>
                <c:pt idx="486">
                  <c:v>0.50395600000000007</c:v>
                </c:pt>
                <c:pt idx="487">
                  <c:v>0.50395600000000007</c:v>
                </c:pt>
                <c:pt idx="488">
                  <c:v>0.50395600000000007</c:v>
                </c:pt>
                <c:pt idx="489">
                  <c:v>0.50395600000000007</c:v>
                </c:pt>
                <c:pt idx="490">
                  <c:v>0.50395600000000007</c:v>
                </c:pt>
                <c:pt idx="491">
                  <c:v>0.50395600000000007</c:v>
                </c:pt>
                <c:pt idx="492">
                  <c:v>0.67272566666666667</c:v>
                </c:pt>
                <c:pt idx="493">
                  <c:v>0.67272566666666667</c:v>
                </c:pt>
                <c:pt idx="494">
                  <c:v>0.67272566666666667</c:v>
                </c:pt>
                <c:pt idx="495">
                  <c:v>0.67272566666666667</c:v>
                </c:pt>
                <c:pt idx="496">
                  <c:v>0.67272566666666667</c:v>
                </c:pt>
                <c:pt idx="497">
                  <c:v>0.67272566666666667</c:v>
                </c:pt>
                <c:pt idx="498">
                  <c:v>0.67272566666666667</c:v>
                </c:pt>
                <c:pt idx="499">
                  <c:v>0.67272566666666667</c:v>
                </c:pt>
                <c:pt idx="500">
                  <c:v>0.67272566666666667</c:v>
                </c:pt>
                <c:pt idx="501">
                  <c:v>0.67272566666666667</c:v>
                </c:pt>
                <c:pt idx="502">
                  <c:v>0.67272566666666667</c:v>
                </c:pt>
                <c:pt idx="503">
                  <c:v>0.67272566666666667</c:v>
                </c:pt>
                <c:pt idx="504">
                  <c:v>0.67272566666666667</c:v>
                </c:pt>
                <c:pt idx="505">
                  <c:v>0.67272566666666667</c:v>
                </c:pt>
                <c:pt idx="506">
                  <c:v>0.67272566666666667</c:v>
                </c:pt>
                <c:pt idx="507">
                  <c:v>0.67272566666666667</c:v>
                </c:pt>
                <c:pt idx="508">
                  <c:v>0.67272566666666667</c:v>
                </c:pt>
                <c:pt idx="509">
                  <c:v>0.67272566666666667</c:v>
                </c:pt>
                <c:pt idx="510">
                  <c:v>0.67272566666666667</c:v>
                </c:pt>
                <c:pt idx="511">
                  <c:v>0.67272566666666667</c:v>
                </c:pt>
                <c:pt idx="512">
                  <c:v>0.67272566666666667</c:v>
                </c:pt>
                <c:pt idx="513">
                  <c:v>0.67272566666666667</c:v>
                </c:pt>
                <c:pt idx="514">
                  <c:v>0.67272566666666667</c:v>
                </c:pt>
                <c:pt idx="515">
                  <c:v>0.67272566666666667</c:v>
                </c:pt>
                <c:pt idx="516">
                  <c:v>0.67272566666666667</c:v>
                </c:pt>
                <c:pt idx="517">
                  <c:v>0.67272566666666667</c:v>
                </c:pt>
                <c:pt idx="518">
                  <c:v>0.67272566666666667</c:v>
                </c:pt>
                <c:pt idx="519">
                  <c:v>0.67272566666666667</c:v>
                </c:pt>
                <c:pt idx="520">
                  <c:v>0.67272566666666667</c:v>
                </c:pt>
                <c:pt idx="521">
                  <c:v>0.67272566666666667</c:v>
                </c:pt>
                <c:pt idx="522">
                  <c:v>0.67272566666666667</c:v>
                </c:pt>
                <c:pt idx="523">
                  <c:v>0.67272566666666667</c:v>
                </c:pt>
                <c:pt idx="524">
                  <c:v>0.67272566666666667</c:v>
                </c:pt>
                <c:pt idx="525">
                  <c:v>0.67272566666666667</c:v>
                </c:pt>
                <c:pt idx="526">
                  <c:v>0.67272566666666667</c:v>
                </c:pt>
                <c:pt idx="527">
                  <c:v>0.67272566666666667</c:v>
                </c:pt>
                <c:pt idx="528">
                  <c:v>0.67272566666666667</c:v>
                </c:pt>
                <c:pt idx="529">
                  <c:v>0.67272566666666667</c:v>
                </c:pt>
                <c:pt idx="530">
                  <c:v>0.67272566666666667</c:v>
                </c:pt>
                <c:pt idx="531">
                  <c:v>0.67272566666666667</c:v>
                </c:pt>
                <c:pt idx="532">
                  <c:v>0.67272566666666667</c:v>
                </c:pt>
                <c:pt idx="533">
                  <c:v>0.67272566666666667</c:v>
                </c:pt>
                <c:pt idx="534">
                  <c:v>0.67272566666666667</c:v>
                </c:pt>
                <c:pt idx="535">
                  <c:v>0.67272566666666667</c:v>
                </c:pt>
                <c:pt idx="536">
                  <c:v>0.67272566666666667</c:v>
                </c:pt>
                <c:pt idx="537">
                  <c:v>0.67272566666666667</c:v>
                </c:pt>
                <c:pt idx="538">
                  <c:v>0.67272566666666667</c:v>
                </c:pt>
                <c:pt idx="539">
                  <c:v>0.67272566666666667</c:v>
                </c:pt>
                <c:pt idx="540">
                  <c:v>0.67272566666666667</c:v>
                </c:pt>
                <c:pt idx="541">
                  <c:v>0.67272566666666667</c:v>
                </c:pt>
                <c:pt idx="542">
                  <c:v>0.67272566666666667</c:v>
                </c:pt>
                <c:pt idx="543">
                  <c:v>0.67272566666666667</c:v>
                </c:pt>
                <c:pt idx="544">
                  <c:v>0.67272566666666667</c:v>
                </c:pt>
                <c:pt idx="545">
                  <c:v>0.67272566666666667</c:v>
                </c:pt>
                <c:pt idx="546">
                  <c:v>0.67272566666666667</c:v>
                </c:pt>
                <c:pt idx="547">
                  <c:v>0.67272566666666667</c:v>
                </c:pt>
                <c:pt idx="548">
                  <c:v>0.67272566666666667</c:v>
                </c:pt>
                <c:pt idx="549">
                  <c:v>0.67272566666666667</c:v>
                </c:pt>
                <c:pt idx="550">
                  <c:v>0.67272566666666667</c:v>
                </c:pt>
                <c:pt idx="551">
                  <c:v>0.67272566666666667</c:v>
                </c:pt>
                <c:pt idx="552">
                  <c:v>0.67272566666666667</c:v>
                </c:pt>
                <c:pt idx="553">
                  <c:v>0.67272566666666667</c:v>
                </c:pt>
                <c:pt idx="554">
                  <c:v>0.67272566666666667</c:v>
                </c:pt>
                <c:pt idx="555">
                  <c:v>0.67272566666666667</c:v>
                </c:pt>
                <c:pt idx="556">
                  <c:v>0.67272566666666667</c:v>
                </c:pt>
                <c:pt idx="557">
                  <c:v>0.67272566666666667</c:v>
                </c:pt>
                <c:pt idx="558">
                  <c:v>0.67272566666666667</c:v>
                </c:pt>
                <c:pt idx="559">
                  <c:v>0.67272566666666667</c:v>
                </c:pt>
                <c:pt idx="560">
                  <c:v>0.67272566666666667</c:v>
                </c:pt>
                <c:pt idx="561">
                  <c:v>0.67272566666666667</c:v>
                </c:pt>
                <c:pt idx="562">
                  <c:v>0.67272566666666667</c:v>
                </c:pt>
                <c:pt idx="563">
                  <c:v>0.67272566666666667</c:v>
                </c:pt>
                <c:pt idx="564">
                  <c:v>0.67272566666666667</c:v>
                </c:pt>
                <c:pt idx="565">
                  <c:v>0.67272566666666667</c:v>
                </c:pt>
                <c:pt idx="566">
                  <c:v>0.67272566666666667</c:v>
                </c:pt>
                <c:pt idx="567">
                  <c:v>0.67272566666666667</c:v>
                </c:pt>
                <c:pt idx="568">
                  <c:v>0.67272566666666667</c:v>
                </c:pt>
                <c:pt idx="569">
                  <c:v>0.67272566666666667</c:v>
                </c:pt>
                <c:pt idx="570">
                  <c:v>0.67272566666666667</c:v>
                </c:pt>
                <c:pt idx="571">
                  <c:v>0.67272566666666667</c:v>
                </c:pt>
                <c:pt idx="572">
                  <c:v>0.67272566666666667</c:v>
                </c:pt>
                <c:pt idx="573">
                  <c:v>0.67272566666666667</c:v>
                </c:pt>
                <c:pt idx="574">
                  <c:v>0.67272566666666667</c:v>
                </c:pt>
                <c:pt idx="575">
                  <c:v>0.67272566666666667</c:v>
                </c:pt>
                <c:pt idx="576">
                  <c:v>0.67272566666666667</c:v>
                </c:pt>
                <c:pt idx="577">
                  <c:v>0.67272566666666667</c:v>
                </c:pt>
                <c:pt idx="578">
                  <c:v>0.67272566666666667</c:v>
                </c:pt>
                <c:pt idx="579">
                  <c:v>0.67272566666666667</c:v>
                </c:pt>
                <c:pt idx="580">
                  <c:v>0.67272566666666667</c:v>
                </c:pt>
                <c:pt idx="581">
                  <c:v>0.67272566666666667</c:v>
                </c:pt>
                <c:pt idx="582">
                  <c:v>0.67272566666666667</c:v>
                </c:pt>
                <c:pt idx="583">
                  <c:v>0.67272566666666667</c:v>
                </c:pt>
                <c:pt idx="584">
                  <c:v>0.67272566666666667</c:v>
                </c:pt>
                <c:pt idx="585">
                  <c:v>0.67272566666666667</c:v>
                </c:pt>
                <c:pt idx="586">
                  <c:v>0.67272566666666667</c:v>
                </c:pt>
                <c:pt idx="587">
                  <c:v>0.67272566666666667</c:v>
                </c:pt>
                <c:pt idx="588">
                  <c:v>0.67272566666666667</c:v>
                </c:pt>
                <c:pt idx="589">
                  <c:v>0.67272566666666667</c:v>
                </c:pt>
                <c:pt idx="590">
                  <c:v>0.67272566666666667</c:v>
                </c:pt>
                <c:pt idx="591">
                  <c:v>0.67272566666666667</c:v>
                </c:pt>
                <c:pt idx="592">
                  <c:v>0.67272566666666667</c:v>
                </c:pt>
                <c:pt idx="593">
                  <c:v>0.67272566666666667</c:v>
                </c:pt>
                <c:pt idx="594">
                  <c:v>0.67272566666666667</c:v>
                </c:pt>
                <c:pt idx="595">
                  <c:v>0.67272566666666667</c:v>
                </c:pt>
                <c:pt idx="596">
                  <c:v>0.67272566666666667</c:v>
                </c:pt>
                <c:pt idx="597">
                  <c:v>0.67272566666666667</c:v>
                </c:pt>
                <c:pt idx="598">
                  <c:v>0.67272566666666667</c:v>
                </c:pt>
                <c:pt idx="599">
                  <c:v>0.67272566666666667</c:v>
                </c:pt>
                <c:pt idx="600">
                  <c:v>0.67272566666666667</c:v>
                </c:pt>
                <c:pt idx="601">
                  <c:v>0.67272566666666667</c:v>
                </c:pt>
                <c:pt idx="602">
                  <c:v>0.67272566666666667</c:v>
                </c:pt>
                <c:pt idx="603">
                  <c:v>0.67272566666666667</c:v>
                </c:pt>
                <c:pt idx="604">
                  <c:v>0.67272566666666667</c:v>
                </c:pt>
                <c:pt idx="605">
                  <c:v>0.67272566666666667</c:v>
                </c:pt>
                <c:pt idx="606">
                  <c:v>0.67272566666666667</c:v>
                </c:pt>
                <c:pt idx="607">
                  <c:v>0.67272566666666667</c:v>
                </c:pt>
                <c:pt idx="608">
                  <c:v>0.67272566666666667</c:v>
                </c:pt>
                <c:pt idx="609">
                  <c:v>0.67272566666666667</c:v>
                </c:pt>
                <c:pt idx="610">
                  <c:v>0.67272566666666667</c:v>
                </c:pt>
                <c:pt idx="611">
                  <c:v>0.67272566666666667</c:v>
                </c:pt>
                <c:pt idx="612">
                  <c:v>0.67272566666666667</c:v>
                </c:pt>
                <c:pt idx="613">
                  <c:v>0.67272566666666667</c:v>
                </c:pt>
                <c:pt idx="614">
                  <c:v>0.67272566666666667</c:v>
                </c:pt>
                <c:pt idx="615">
                  <c:v>0.67272566666666667</c:v>
                </c:pt>
                <c:pt idx="616">
                  <c:v>0.67272566666666667</c:v>
                </c:pt>
                <c:pt idx="617">
                  <c:v>0.67272566666666667</c:v>
                </c:pt>
                <c:pt idx="618">
                  <c:v>0.67272566666666667</c:v>
                </c:pt>
                <c:pt idx="619">
                  <c:v>0.67272566666666667</c:v>
                </c:pt>
                <c:pt idx="620">
                  <c:v>0.67272566666666667</c:v>
                </c:pt>
                <c:pt idx="621">
                  <c:v>0.72243166666666658</c:v>
                </c:pt>
                <c:pt idx="622">
                  <c:v>0.72243166666666658</c:v>
                </c:pt>
                <c:pt idx="623">
                  <c:v>0.72243166666666658</c:v>
                </c:pt>
                <c:pt idx="624">
                  <c:v>0.72243166666666658</c:v>
                </c:pt>
                <c:pt idx="625">
                  <c:v>0.72243166666666658</c:v>
                </c:pt>
                <c:pt idx="626">
                  <c:v>0.72243166666666658</c:v>
                </c:pt>
                <c:pt idx="627">
                  <c:v>0.72243166666666658</c:v>
                </c:pt>
                <c:pt idx="628">
                  <c:v>0.72243166666666658</c:v>
                </c:pt>
                <c:pt idx="629">
                  <c:v>0.72243166666666658</c:v>
                </c:pt>
                <c:pt idx="630">
                  <c:v>0.72243166666666658</c:v>
                </c:pt>
                <c:pt idx="631">
                  <c:v>0.72243166666666658</c:v>
                </c:pt>
                <c:pt idx="632">
                  <c:v>0.72243166666666658</c:v>
                </c:pt>
                <c:pt idx="633">
                  <c:v>0.72243166666666658</c:v>
                </c:pt>
                <c:pt idx="634">
                  <c:v>0.72243166666666658</c:v>
                </c:pt>
                <c:pt idx="635">
                  <c:v>0.72243166666666658</c:v>
                </c:pt>
                <c:pt idx="636">
                  <c:v>0.72243166666666658</c:v>
                </c:pt>
                <c:pt idx="637">
                  <c:v>0.72243166666666658</c:v>
                </c:pt>
                <c:pt idx="638">
                  <c:v>0.72243166666666658</c:v>
                </c:pt>
                <c:pt idx="639">
                  <c:v>0.72243166666666658</c:v>
                </c:pt>
                <c:pt idx="640">
                  <c:v>0.72243166666666658</c:v>
                </c:pt>
                <c:pt idx="641">
                  <c:v>0.72243166666666658</c:v>
                </c:pt>
                <c:pt idx="642">
                  <c:v>0.72243166666666658</c:v>
                </c:pt>
                <c:pt idx="643">
                  <c:v>0.72243166666666658</c:v>
                </c:pt>
                <c:pt idx="644">
                  <c:v>0.72243166666666658</c:v>
                </c:pt>
                <c:pt idx="645">
                  <c:v>0.72243166666666658</c:v>
                </c:pt>
                <c:pt idx="646">
                  <c:v>0.72243166666666658</c:v>
                </c:pt>
                <c:pt idx="647">
                  <c:v>0.72243166666666658</c:v>
                </c:pt>
                <c:pt idx="648">
                  <c:v>0.72243166666666658</c:v>
                </c:pt>
                <c:pt idx="649">
                  <c:v>0.72243166666666658</c:v>
                </c:pt>
                <c:pt idx="650">
                  <c:v>0.72243166666666658</c:v>
                </c:pt>
                <c:pt idx="651">
                  <c:v>0.77505331832279212</c:v>
                </c:pt>
                <c:pt idx="652">
                  <c:v>0.77505331832279212</c:v>
                </c:pt>
                <c:pt idx="653">
                  <c:v>0.77505331832279212</c:v>
                </c:pt>
                <c:pt idx="654">
                  <c:v>0.77505331832279212</c:v>
                </c:pt>
                <c:pt idx="655">
                  <c:v>0.77505331832279212</c:v>
                </c:pt>
                <c:pt idx="656">
                  <c:v>0.77505331832279212</c:v>
                </c:pt>
                <c:pt idx="657">
                  <c:v>0.77505331832279212</c:v>
                </c:pt>
                <c:pt idx="658">
                  <c:v>0.77505331832279212</c:v>
                </c:pt>
                <c:pt idx="659">
                  <c:v>0.77505331832279212</c:v>
                </c:pt>
                <c:pt idx="660">
                  <c:v>0.77505331832279212</c:v>
                </c:pt>
                <c:pt idx="661">
                  <c:v>0.77505331832279212</c:v>
                </c:pt>
                <c:pt idx="662">
                  <c:v>0.77505331832279212</c:v>
                </c:pt>
                <c:pt idx="663">
                  <c:v>0.77505331832279212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C-46D4-ADF1-7E726112EC46}"/>
            </c:ext>
          </c:extLst>
        </c:ser>
        <c:ser>
          <c:idx val="2"/>
          <c:order val="1"/>
          <c:tx>
            <c:v>Carbon Dioxide</c:v>
          </c:tx>
          <c:spPr>
            <a:solidFill>
              <a:srgbClr val="A5A5A5">
                <a:alpha val="75000"/>
              </a:srgb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cat>
            <c:numRef>
              <c:f>Summary!$B$3:$B$666</c:f>
              <c:numCache>
                <c:formatCode>General</c:formatCode>
                <c:ptCount val="6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</c:numCache>
            </c:numRef>
          </c:cat>
          <c:val>
            <c:numRef>
              <c:f>Summary!$AD$3:$AD$666</c:f>
              <c:numCache>
                <c:formatCode>General</c:formatCode>
                <c:ptCount val="664"/>
                <c:pt idx="0">
                  <c:v>0.87588533333333329</c:v>
                </c:pt>
                <c:pt idx="1">
                  <c:v>0.87588533333333329</c:v>
                </c:pt>
                <c:pt idx="2">
                  <c:v>0.88245600000000013</c:v>
                </c:pt>
                <c:pt idx="3">
                  <c:v>0.88245600000000013</c:v>
                </c:pt>
                <c:pt idx="4">
                  <c:v>0.88245600000000013</c:v>
                </c:pt>
                <c:pt idx="5">
                  <c:v>0.88245600000000013</c:v>
                </c:pt>
                <c:pt idx="6">
                  <c:v>0.88245600000000013</c:v>
                </c:pt>
                <c:pt idx="7">
                  <c:v>0.88245600000000013</c:v>
                </c:pt>
                <c:pt idx="8">
                  <c:v>0.88245600000000013</c:v>
                </c:pt>
                <c:pt idx="9">
                  <c:v>0.88245600000000013</c:v>
                </c:pt>
                <c:pt idx="10">
                  <c:v>0.88245600000000013</c:v>
                </c:pt>
                <c:pt idx="11">
                  <c:v>0.88461866666666666</c:v>
                </c:pt>
                <c:pt idx="12">
                  <c:v>0.88461866666666666</c:v>
                </c:pt>
                <c:pt idx="13">
                  <c:v>0.88461866666666666</c:v>
                </c:pt>
                <c:pt idx="14">
                  <c:v>0.88461866666666666</c:v>
                </c:pt>
                <c:pt idx="15">
                  <c:v>0.88461866666666666</c:v>
                </c:pt>
                <c:pt idx="16">
                  <c:v>0.88461866666666666</c:v>
                </c:pt>
                <c:pt idx="17">
                  <c:v>0.88461866666666666</c:v>
                </c:pt>
                <c:pt idx="18">
                  <c:v>0.88461866666666666</c:v>
                </c:pt>
                <c:pt idx="19">
                  <c:v>0.88461866666666666</c:v>
                </c:pt>
                <c:pt idx="20">
                  <c:v>0.88461866666666666</c:v>
                </c:pt>
                <c:pt idx="21">
                  <c:v>0.88461866666666666</c:v>
                </c:pt>
                <c:pt idx="22">
                  <c:v>0.93184500000000003</c:v>
                </c:pt>
                <c:pt idx="23">
                  <c:v>0.93184500000000003</c:v>
                </c:pt>
                <c:pt idx="24">
                  <c:v>0.93184500000000003</c:v>
                </c:pt>
                <c:pt idx="25">
                  <c:v>0.93184500000000003</c:v>
                </c:pt>
                <c:pt idx="26">
                  <c:v>0.93184500000000003</c:v>
                </c:pt>
                <c:pt idx="27">
                  <c:v>0.93184500000000003</c:v>
                </c:pt>
                <c:pt idx="28">
                  <c:v>0.93184500000000003</c:v>
                </c:pt>
                <c:pt idx="29">
                  <c:v>0.93184500000000003</c:v>
                </c:pt>
                <c:pt idx="30">
                  <c:v>0.93184500000000003</c:v>
                </c:pt>
                <c:pt idx="31">
                  <c:v>0.93184500000000003</c:v>
                </c:pt>
                <c:pt idx="32">
                  <c:v>0.86166133333333339</c:v>
                </c:pt>
                <c:pt idx="33">
                  <c:v>0.86166133333333339</c:v>
                </c:pt>
                <c:pt idx="34">
                  <c:v>0.86166133333333339</c:v>
                </c:pt>
                <c:pt idx="35">
                  <c:v>0.86166133333333339</c:v>
                </c:pt>
                <c:pt idx="36">
                  <c:v>0.86166133333333339</c:v>
                </c:pt>
                <c:pt idx="37">
                  <c:v>0.86166133333333339</c:v>
                </c:pt>
                <c:pt idx="38">
                  <c:v>0.86166133333333339</c:v>
                </c:pt>
                <c:pt idx="39">
                  <c:v>0.86166133333333339</c:v>
                </c:pt>
                <c:pt idx="40">
                  <c:v>0.86166133333333339</c:v>
                </c:pt>
                <c:pt idx="41">
                  <c:v>0.86166133333333339</c:v>
                </c:pt>
                <c:pt idx="42">
                  <c:v>0.86166133333333339</c:v>
                </c:pt>
                <c:pt idx="43">
                  <c:v>0.86166133333333339</c:v>
                </c:pt>
                <c:pt idx="44">
                  <c:v>0.86166133333333339</c:v>
                </c:pt>
                <c:pt idx="45">
                  <c:v>0.86166133333333339</c:v>
                </c:pt>
                <c:pt idx="46">
                  <c:v>0.86166133333333339</c:v>
                </c:pt>
                <c:pt idx="47">
                  <c:v>0.86166133333333339</c:v>
                </c:pt>
                <c:pt idx="48">
                  <c:v>0.86166133333333339</c:v>
                </c:pt>
                <c:pt idx="49">
                  <c:v>0.86166133333333339</c:v>
                </c:pt>
                <c:pt idx="50">
                  <c:v>0.86166133333333339</c:v>
                </c:pt>
                <c:pt idx="51">
                  <c:v>0.86166133333333339</c:v>
                </c:pt>
                <c:pt idx="52">
                  <c:v>0.86166133333333339</c:v>
                </c:pt>
                <c:pt idx="53">
                  <c:v>0.86166133333333339</c:v>
                </c:pt>
                <c:pt idx="54">
                  <c:v>0.86166133333333339</c:v>
                </c:pt>
                <c:pt idx="55">
                  <c:v>0.86166133333333339</c:v>
                </c:pt>
                <c:pt idx="56">
                  <c:v>0.86166133333333339</c:v>
                </c:pt>
                <c:pt idx="57">
                  <c:v>0.86166133333333339</c:v>
                </c:pt>
                <c:pt idx="58">
                  <c:v>0.86166133333333339</c:v>
                </c:pt>
                <c:pt idx="59">
                  <c:v>0.86166133333333339</c:v>
                </c:pt>
                <c:pt idx="60">
                  <c:v>0.86166133333333339</c:v>
                </c:pt>
                <c:pt idx="61">
                  <c:v>0.86166133333333339</c:v>
                </c:pt>
                <c:pt idx="62">
                  <c:v>0.86166133333333339</c:v>
                </c:pt>
                <c:pt idx="63">
                  <c:v>0.86166133333333339</c:v>
                </c:pt>
                <c:pt idx="64">
                  <c:v>0.86166133333333339</c:v>
                </c:pt>
                <c:pt idx="65">
                  <c:v>0.86166133333333339</c:v>
                </c:pt>
                <c:pt idx="66">
                  <c:v>0.86166133333333339</c:v>
                </c:pt>
                <c:pt idx="67">
                  <c:v>0.86166133333333339</c:v>
                </c:pt>
                <c:pt idx="68">
                  <c:v>0.86166133333333339</c:v>
                </c:pt>
                <c:pt idx="69">
                  <c:v>0.86166133333333339</c:v>
                </c:pt>
                <c:pt idx="70">
                  <c:v>0.86166133333333339</c:v>
                </c:pt>
                <c:pt idx="71">
                  <c:v>0.86581866666666674</c:v>
                </c:pt>
                <c:pt idx="72">
                  <c:v>0.86581866666666674</c:v>
                </c:pt>
                <c:pt idx="73">
                  <c:v>0.86581866666666674</c:v>
                </c:pt>
                <c:pt idx="74">
                  <c:v>0.86581866666666674</c:v>
                </c:pt>
                <c:pt idx="75">
                  <c:v>0.86581866666666674</c:v>
                </c:pt>
                <c:pt idx="76">
                  <c:v>0.86581866666666674</c:v>
                </c:pt>
                <c:pt idx="77">
                  <c:v>0.86581866666666674</c:v>
                </c:pt>
                <c:pt idx="78">
                  <c:v>0.86581866666666674</c:v>
                </c:pt>
                <c:pt idx="79">
                  <c:v>0.86581866666666674</c:v>
                </c:pt>
                <c:pt idx="80">
                  <c:v>0.78441233333333327</c:v>
                </c:pt>
                <c:pt idx="81">
                  <c:v>0.78441233333333327</c:v>
                </c:pt>
                <c:pt idx="82">
                  <c:v>0.78441233333333327</c:v>
                </c:pt>
                <c:pt idx="83">
                  <c:v>0.78441233333333327</c:v>
                </c:pt>
                <c:pt idx="84">
                  <c:v>0.78441233333333327</c:v>
                </c:pt>
                <c:pt idx="85">
                  <c:v>0.78441233333333327</c:v>
                </c:pt>
                <c:pt idx="86">
                  <c:v>0.78441233333333327</c:v>
                </c:pt>
                <c:pt idx="87">
                  <c:v>0.78441233333333327</c:v>
                </c:pt>
                <c:pt idx="88">
                  <c:v>0.78441233333333327</c:v>
                </c:pt>
                <c:pt idx="89">
                  <c:v>0.78441233333333327</c:v>
                </c:pt>
                <c:pt idx="90">
                  <c:v>0.78441233333333327</c:v>
                </c:pt>
                <c:pt idx="91">
                  <c:v>0.78441233333333327</c:v>
                </c:pt>
                <c:pt idx="92">
                  <c:v>0.78441233333333327</c:v>
                </c:pt>
                <c:pt idx="93">
                  <c:v>0.78441233333333327</c:v>
                </c:pt>
                <c:pt idx="94">
                  <c:v>0.78441233333333327</c:v>
                </c:pt>
                <c:pt idx="95">
                  <c:v>0.78441233333333327</c:v>
                </c:pt>
                <c:pt idx="96">
                  <c:v>0.78441233333333327</c:v>
                </c:pt>
                <c:pt idx="97">
                  <c:v>0.78441233333333327</c:v>
                </c:pt>
                <c:pt idx="98">
                  <c:v>0.78441233333333327</c:v>
                </c:pt>
                <c:pt idx="99">
                  <c:v>0.78441233333333327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0.88127200000000006</c:v>
                </c:pt>
                <c:pt idx="242">
                  <c:v>0.88127200000000006</c:v>
                </c:pt>
                <c:pt idx="243">
                  <c:v>0.88127200000000006</c:v>
                </c:pt>
                <c:pt idx="244">
                  <c:v>0.88127200000000006</c:v>
                </c:pt>
                <c:pt idx="245">
                  <c:v>0.88127200000000006</c:v>
                </c:pt>
                <c:pt idx="246">
                  <c:v>0.88127200000000006</c:v>
                </c:pt>
                <c:pt idx="247">
                  <c:v>0.88127200000000006</c:v>
                </c:pt>
                <c:pt idx="248">
                  <c:v>0.88127200000000006</c:v>
                </c:pt>
                <c:pt idx="249">
                  <c:v>0.88127200000000006</c:v>
                </c:pt>
                <c:pt idx="250">
                  <c:v>0.88127200000000006</c:v>
                </c:pt>
                <c:pt idx="251">
                  <c:v>0.88127200000000006</c:v>
                </c:pt>
                <c:pt idx="252">
                  <c:v>0.88127200000000006</c:v>
                </c:pt>
                <c:pt idx="253">
                  <c:v>0.88127200000000006</c:v>
                </c:pt>
                <c:pt idx="254">
                  <c:v>0.88127200000000006</c:v>
                </c:pt>
                <c:pt idx="255">
                  <c:v>0.88127200000000006</c:v>
                </c:pt>
                <c:pt idx="256">
                  <c:v>0.88127200000000006</c:v>
                </c:pt>
                <c:pt idx="257">
                  <c:v>0.88127200000000006</c:v>
                </c:pt>
                <c:pt idx="258">
                  <c:v>0.88127200000000006</c:v>
                </c:pt>
                <c:pt idx="259">
                  <c:v>0.88127200000000006</c:v>
                </c:pt>
                <c:pt idx="260">
                  <c:v>0.88127200000000006</c:v>
                </c:pt>
                <c:pt idx="261">
                  <c:v>0.88127200000000006</c:v>
                </c:pt>
                <c:pt idx="262">
                  <c:v>0.88127200000000006</c:v>
                </c:pt>
                <c:pt idx="263">
                  <c:v>0.88127200000000006</c:v>
                </c:pt>
                <c:pt idx="264">
                  <c:v>0.88127200000000006</c:v>
                </c:pt>
                <c:pt idx="265">
                  <c:v>0.88127200000000006</c:v>
                </c:pt>
                <c:pt idx="266">
                  <c:v>0.88127200000000006</c:v>
                </c:pt>
                <c:pt idx="267">
                  <c:v>0.88127200000000006</c:v>
                </c:pt>
                <c:pt idx="268">
                  <c:v>0.88127200000000006</c:v>
                </c:pt>
                <c:pt idx="269">
                  <c:v>0.88127200000000006</c:v>
                </c:pt>
                <c:pt idx="270">
                  <c:v>0.88127200000000006</c:v>
                </c:pt>
                <c:pt idx="271">
                  <c:v>0.88127200000000006</c:v>
                </c:pt>
                <c:pt idx="272">
                  <c:v>0.88127200000000006</c:v>
                </c:pt>
                <c:pt idx="273">
                  <c:v>0.88127200000000006</c:v>
                </c:pt>
                <c:pt idx="274">
                  <c:v>0.88127200000000006</c:v>
                </c:pt>
                <c:pt idx="275">
                  <c:v>0.88127200000000006</c:v>
                </c:pt>
                <c:pt idx="276">
                  <c:v>0.88127200000000006</c:v>
                </c:pt>
                <c:pt idx="277">
                  <c:v>0.88127200000000006</c:v>
                </c:pt>
                <c:pt idx="278">
                  <c:v>0.88127200000000006</c:v>
                </c:pt>
                <c:pt idx="279">
                  <c:v>0.88127200000000006</c:v>
                </c:pt>
                <c:pt idx="280">
                  <c:v>0.88127200000000006</c:v>
                </c:pt>
                <c:pt idx="281">
                  <c:v>0.88127200000000006</c:v>
                </c:pt>
                <c:pt idx="282">
                  <c:v>0.88127200000000006</c:v>
                </c:pt>
                <c:pt idx="283">
                  <c:v>0.88127200000000006</c:v>
                </c:pt>
                <c:pt idx="284">
                  <c:v>0.88127200000000006</c:v>
                </c:pt>
                <c:pt idx="285">
                  <c:v>0.88127200000000006</c:v>
                </c:pt>
                <c:pt idx="286">
                  <c:v>0.88127200000000006</c:v>
                </c:pt>
                <c:pt idx="287">
                  <c:v>0.88127200000000006</c:v>
                </c:pt>
                <c:pt idx="288">
                  <c:v>0.88127200000000006</c:v>
                </c:pt>
                <c:pt idx="289">
                  <c:v>0.88127200000000006</c:v>
                </c:pt>
                <c:pt idx="290">
                  <c:v>0.88127200000000006</c:v>
                </c:pt>
                <c:pt idx="291">
                  <c:v>0.88127200000000006</c:v>
                </c:pt>
                <c:pt idx="292">
                  <c:v>0.88127200000000006</c:v>
                </c:pt>
                <c:pt idx="293">
                  <c:v>0.88127200000000006</c:v>
                </c:pt>
                <c:pt idx="294">
                  <c:v>0.88127200000000006</c:v>
                </c:pt>
                <c:pt idx="295">
                  <c:v>0.88127200000000006</c:v>
                </c:pt>
                <c:pt idx="296">
                  <c:v>0.88127200000000006</c:v>
                </c:pt>
                <c:pt idx="297">
                  <c:v>0.88127200000000006</c:v>
                </c:pt>
                <c:pt idx="298">
                  <c:v>0.88127200000000006</c:v>
                </c:pt>
                <c:pt idx="299">
                  <c:v>0.88127200000000006</c:v>
                </c:pt>
                <c:pt idx="300">
                  <c:v>0.88127200000000006</c:v>
                </c:pt>
                <c:pt idx="301">
                  <c:v>0.86153966670000004</c:v>
                </c:pt>
                <c:pt idx="302">
                  <c:v>0.86153966670000004</c:v>
                </c:pt>
                <c:pt idx="303">
                  <c:v>0.86153966670000004</c:v>
                </c:pt>
                <c:pt idx="304">
                  <c:v>0.86153966670000004</c:v>
                </c:pt>
                <c:pt idx="305">
                  <c:v>0.86153966670000004</c:v>
                </c:pt>
                <c:pt idx="306">
                  <c:v>0.86153966670000004</c:v>
                </c:pt>
                <c:pt idx="307">
                  <c:v>0.86153966670000004</c:v>
                </c:pt>
                <c:pt idx="308">
                  <c:v>0.86153966670000004</c:v>
                </c:pt>
                <c:pt idx="309">
                  <c:v>0.86153966670000004</c:v>
                </c:pt>
                <c:pt idx="310">
                  <c:v>0.86153966670000004</c:v>
                </c:pt>
                <c:pt idx="311">
                  <c:v>0.86153966670000004</c:v>
                </c:pt>
                <c:pt idx="312">
                  <c:v>0.86153966670000004</c:v>
                </c:pt>
                <c:pt idx="313">
                  <c:v>0.86153966670000004</c:v>
                </c:pt>
                <c:pt idx="314">
                  <c:v>0.86153966670000004</c:v>
                </c:pt>
                <c:pt idx="315">
                  <c:v>0.86153966670000004</c:v>
                </c:pt>
                <c:pt idx="316">
                  <c:v>0.86153966670000004</c:v>
                </c:pt>
                <c:pt idx="317">
                  <c:v>0.86153966670000004</c:v>
                </c:pt>
                <c:pt idx="318">
                  <c:v>0.86153966670000004</c:v>
                </c:pt>
                <c:pt idx="319">
                  <c:v>0.86153966670000004</c:v>
                </c:pt>
                <c:pt idx="320">
                  <c:v>0.86153966670000004</c:v>
                </c:pt>
                <c:pt idx="321">
                  <c:v>0.86153966670000004</c:v>
                </c:pt>
                <c:pt idx="322">
                  <c:v>0.86153966670000004</c:v>
                </c:pt>
                <c:pt idx="323">
                  <c:v>0.86153966670000004</c:v>
                </c:pt>
                <c:pt idx="324">
                  <c:v>0.86153966670000004</c:v>
                </c:pt>
                <c:pt idx="325">
                  <c:v>0.86153966670000004</c:v>
                </c:pt>
                <c:pt idx="326">
                  <c:v>0.86153966670000004</c:v>
                </c:pt>
                <c:pt idx="327">
                  <c:v>0.86153966670000004</c:v>
                </c:pt>
                <c:pt idx="328">
                  <c:v>0.86153966670000004</c:v>
                </c:pt>
                <c:pt idx="329">
                  <c:v>0.86153966670000004</c:v>
                </c:pt>
                <c:pt idx="330">
                  <c:v>0.86153966670000004</c:v>
                </c:pt>
                <c:pt idx="331">
                  <c:v>0.86153966670000004</c:v>
                </c:pt>
                <c:pt idx="332">
                  <c:v>0.86153966670000004</c:v>
                </c:pt>
                <c:pt idx="333">
                  <c:v>0.86153966670000004</c:v>
                </c:pt>
                <c:pt idx="334">
                  <c:v>0.86153966670000004</c:v>
                </c:pt>
                <c:pt idx="335">
                  <c:v>0.86153966670000004</c:v>
                </c:pt>
                <c:pt idx="336">
                  <c:v>0.86153966670000004</c:v>
                </c:pt>
                <c:pt idx="337">
                  <c:v>0.86153966670000004</c:v>
                </c:pt>
                <c:pt idx="338">
                  <c:v>0.86153966670000004</c:v>
                </c:pt>
                <c:pt idx="339">
                  <c:v>0.86153966670000004</c:v>
                </c:pt>
                <c:pt idx="340">
                  <c:v>0.72263599999999995</c:v>
                </c:pt>
                <c:pt idx="341">
                  <c:v>0.72263599999999995</c:v>
                </c:pt>
                <c:pt idx="342">
                  <c:v>0.72263599999999995</c:v>
                </c:pt>
                <c:pt idx="343">
                  <c:v>0.72263599999999995</c:v>
                </c:pt>
                <c:pt idx="344">
                  <c:v>0.72263599999999995</c:v>
                </c:pt>
                <c:pt idx="345">
                  <c:v>0.72263599999999995</c:v>
                </c:pt>
                <c:pt idx="346">
                  <c:v>0.72263599999999995</c:v>
                </c:pt>
                <c:pt idx="347">
                  <c:v>0.72263599999999995</c:v>
                </c:pt>
                <c:pt idx="348">
                  <c:v>0.72263599999999995</c:v>
                </c:pt>
                <c:pt idx="349">
                  <c:v>0.72263599999999995</c:v>
                </c:pt>
                <c:pt idx="350">
                  <c:v>0.72263599999999995</c:v>
                </c:pt>
                <c:pt idx="351">
                  <c:v>0.72263599999999995</c:v>
                </c:pt>
                <c:pt idx="352">
                  <c:v>0.72263599999999995</c:v>
                </c:pt>
                <c:pt idx="353">
                  <c:v>0.72263599999999995</c:v>
                </c:pt>
                <c:pt idx="354">
                  <c:v>0.72263599999999995</c:v>
                </c:pt>
                <c:pt idx="355">
                  <c:v>0.72263599999999995</c:v>
                </c:pt>
                <c:pt idx="356">
                  <c:v>0.72263599999999995</c:v>
                </c:pt>
                <c:pt idx="357">
                  <c:v>0.72263599999999995</c:v>
                </c:pt>
                <c:pt idx="358">
                  <c:v>0.72263599999999995</c:v>
                </c:pt>
                <c:pt idx="359">
                  <c:v>0.72263599999999995</c:v>
                </c:pt>
                <c:pt idx="360">
                  <c:v>0.72263599999999995</c:v>
                </c:pt>
                <c:pt idx="361">
                  <c:v>0.72263599999999995</c:v>
                </c:pt>
                <c:pt idx="362">
                  <c:v>0.72263599999999995</c:v>
                </c:pt>
                <c:pt idx="363">
                  <c:v>0.72263599999999995</c:v>
                </c:pt>
                <c:pt idx="364">
                  <c:v>0.72263599999999995</c:v>
                </c:pt>
                <c:pt idx="365">
                  <c:v>0.72263599999999995</c:v>
                </c:pt>
                <c:pt idx="366">
                  <c:v>0.72263599999999995</c:v>
                </c:pt>
                <c:pt idx="367">
                  <c:v>0.72263599999999995</c:v>
                </c:pt>
                <c:pt idx="368">
                  <c:v>0.72263599999999995</c:v>
                </c:pt>
                <c:pt idx="369">
                  <c:v>0.72263599999999995</c:v>
                </c:pt>
                <c:pt idx="370">
                  <c:v>0.72263599999999995</c:v>
                </c:pt>
                <c:pt idx="371">
                  <c:v>0.72263599999999995</c:v>
                </c:pt>
                <c:pt idx="372">
                  <c:v>0.72263599999999995</c:v>
                </c:pt>
                <c:pt idx="373">
                  <c:v>0.72263599999999995</c:v>
                </c:pt>
                <c:pt idx="374">
                  <c:v>0.72263599999999995</c:v>
                </c:pt>
                <c:pt idx="375">
                  <c:v>0.72263599999999995</c:v>
                </c:pt>
                <c:pt idx="376">
                  <c:v>0.72263599999999995</c:v>
                </c:pt>
                <c:pt idx="377">
                  <c:v>0.72263599999999995</c:v>
                </c:pt>
                <c:pt idx="378">
                  <c:v>0.72263599999999995</c:v>
                </c:pt>
                <c:pt idx="379">
                  <c:v>0.72263599999999995</c:v>
                </c:pt>
                <c:pt idx="380">
                  <c:v>0.10673033333333334</c:v>
                </c:pt>
                <c:pt idx="381">
                  <c:v>0.10673033333333334</c:v>
                </c:pt>
                <c:pt idx="382">
                  <c:v>0.10673033333333334</c:v>
                </c:pt>
                <c:pt idx="383">
                  <c:v>0.10673033333333334</c:v>
                </c:pt>
                <c:pt idx="384">
                  <c:v>0.10673033333333334</c:v>
                </c:pt>
                <c:pt idx="385">
                  <c:v>0.10673033333333334</c:v>
                </c:pt>
                <c:pt idx="386">
                  <c:v>0.10673033333333334</c:v>
                </c:pt>
                <c:pt idx="387">
                  <c:v>0.10673033333333334</c:v>
                </c:pt>
                <c:pt idx="388">
                  <c:v>0.10673033333333334</c:v>
                </c:pt>
                <c:pt idx="389">
                  <c:v>0.10673033333333334</c:v>
                </c:pt>
                <c:pt idx="390">
                  <c:v>0.10673033333333334</c:v>
                </c:pt>
                <c:pt idx="391">
                  <c:v>0.10673033333333334</c:v>
                </c:pt>
                <c:pt idx="392">
                  <c:v>0.10673033333333334</c:v>
                </c:pt>
                <c:pt idx="393">
                  <c:v>0.10673033333333334</c:v>
                </c:pt>
                <c:pt idx="394">
                  <c:v>0.10673033333333334</c:v>
                </c:pt>
                <c:pt idx="395">
                  <c:v>0.10673033333333334</c:v>
                </c:pt>
                <c:pt idx="396">
                  <c:v>0.10673033333333334</c:v>
                </c:pt>
                <c:pt idx="397">
                  <c:v>0.10673033333333334</c:v>
                </c:pt>
                <c:pt idx="398">
                  <c:v>0.10673033333333334</c:v>
                </c:pt>
                <c:pt idx="399">
                  <c:v>0.10673033333333334</c:v>
                </c:pt>
                <c:pt idx="400">
                  <c:v>0.10673033333333334</c:v>
                </c:pt>
                <c:pt idx="401">
                  <c:v>0.10673033333333334</c:v>
                </c:pt>
                <c:pt idx="402">
                  <c:v>0.10673033333333334</c:v>
                </c:pt>
                <c:pt idx="403">
                  <c:v>0.10673033333333334</c:v>
                </c:pt>
                <c:pt idx="404">
                  <c:v>0.10673033333333334</c:v>
                </c:pt>
                <c:pt idx="405">
                  <c:v>0.10673033333333334</c:v>
                </c:pt>
                <c:pt idx="406">
                  <c:v>0.10673033333333334</c:v>
                </c:pt>
                <c:pt idx="407">
                  <c:v>0.10673033333333334</c:v>
                </c:pt>
                <c:pt idx="408">
                  <c:v>0.10673033333333334</c:v>
                </c:pt>
                <c:pt idx="409">
                  <c:v>0.10673033333333334</c:v>
                </c:pt>
                <c:pt idx="410">
                  <c:v>0.10673033333333334</c:v>
                </c:pt>
                <c:pt idx="411">
                  <c:v>0.10673033333333334</c:v>
                </c:pt>
                <c:pt idx="412">
                  <c:v>0.10673033333333334</c:v>
                </c:pt>
                <c:pt idx="413">
                  <c:v>0.10673033333333334</c:v>
                </c:pt>
                <c:pt idx="414">
                  <c:v>0.10673033333333334</c:v>
                </c:pt>
                <c:pt idx="415">
                  <c:v>0.10673033333333334</c:v>
                </c:pt>
                <c:pt idx="416">
                  <c:v>0.10673033333333334</c:v>
                </c:pt>
                <c:pt idx="417">
                  <c:v>0.10673033333333334</c:v>
                </c:pt>
                <c:pt idx="418">
                  <c:v>0.10673033333333334</c:v>
                </c:pt>
                <c:pt idx="419">
                  <c:v>0.10673033333333334</c:v>
                </c:pt>
                <c:pt idx="420">
                  <c:v>0.10673033333333334</c:v>
                </c:pt>
                <c:pt idx="421">
                  <c:v>0.10673033333333334</c:v>
                </c:pt>
                <c:pt idx="422">
                  <c:v>0.10673033333333334</c:v>
                </c:pt>
                <c:pt idx="423">
                  <c:v>0.10673033333333334</c:v>
                </c:pt>
                <c:pt idx="424">
                  <c:v>0.10673033333333334</c:v>
                </c:pt>
                <c:pt idx="425">
                  <c:v>0.10673033333333334</c:v>
                </c:pt>
                <c:pt idx="426">
                  <c:v>0.10673033333333334</c:v>
                </c:pt>
                <c:pt idx="427">
                  <c:v>0.10673033333333334</c:v>
                </c:pt>
                <c:pt idx="428">
                  <c:v>0.10673033333333334</c:v>
                </c:pt>
                <c:pt idx="429">
                  <c:v>0.10673033333333334</c:v>
                </c:pt>
                <c:pt idx="430">
                  <c:v>0.10673033333333334</c:v>
                </c:pt>
                <c:pt idx="431">
                  <c:v>0.10673033333333334</c:v>
                </c:pt>
                <c:pt idx="432">
                  <c:v>0.10673033333333334</c:v>
                </c:pt>
                <c:pt idx="433">
                  <c:v>0.48541899999999999</c:v>
                </c:pt>
                <c:pt idx="434">
                  <c:v>0.48541899999999999</c:v>
                </c:pt>
                <c:pt idx="435">
                  <c:v>0.48541899999999999</c:v>
                </c:pt>
                <c:pt idx="436">
                  <c:v>0.48541899999999999</c:v>
                </c:pt>
                <c:pt idx="437">
                  <c:v>0.48541899999999999</c:v>
                </c:pt>
                <c:pt idx="438">
                  <c:v>0.48541899999999999</c:v>
                </c:pt>
                <c:pt idx="439">
                  <c:v>0.48541899999999999</c:v>
                </c:pt>
                <c:pt idx="440">
                  <c:v>0.48541899999999999</c:v>
                </c:pt>
                <c:pt idx="441">
                  <c:v>0.48541899999999999</c:v>
                </c:pt>
                <c:pt idx="442">
                  <c:v>0.48541899999999999</c:v>
                </c:pt>
                <c:pt idx="443">
                  <c:v>0.48541899999999999</c:v>
                </c:pt>
                <c:pt idx="444">
                  <c:v>0.48541899999999999</c:v>
                </c:pt>
                <c:pt idx="445">
                  <c:v>0.48541899999999999</c:v>
                </c:pt>
                <c:pt idx="446">
                  <c:v>0.48541899999999999</c:v>
                </c:pt>
                <c:pt idx="447">
                  <c:v>0.48541899999999999</c:v>
                </c:pt>
                <c:pt idx="448">
                  <c:v>0.48541899999999999</c:v>
                </c:pt>
                <c:pt idx="449">
                  <c:v>0.48541899999999999</c:v>
                </c:pt>
                <c:pt idx="450">
                  <c:v>0.48541899999999999</c:v>
                </c:pt>
                <c:pt idx="451">
                  <c:v>0.48541899999999999</c:v>
                </c:pt>
                <c:pt idx="452">
                  <c:v>0.48541899999999999</c:v>
                </c:pt>
                <c:pt idx="453">
                  <c:v>0.48541899999999999</c:v>
                </c:pt>
                <c:pt idx="454">
                  <c:v>0.48541899999999999</c:v>
                </c:pt>
                <c:pt idx="455">
                  <c:v>0.48541899999999999</c:v>
                </c:pt>
                <c:pt idx="456">
                  <c:v>0.48541899999999999</c:v>
                </c:pt>
                <c:pt idx="457">
                  <c:v>0.48541899999999999</c:v>
                </c:pt>
                <c:pt idx="458">
                  <c:v>0.48541899999999999</c:v>
                </c:pt>
                <c:pt idx="459">
                  <c:v>0.48541899999999999</c:v>
                </c:pt>
                <c:pt idx="460">
                  <c:v>0.48541899999999999</c:v>
                </c:pt>
                <c:pt idx="461">
                  <c:v>0.48541899999999999</c:v>
                </c:pt>
                <c:pt idx="462">
                  <c:v>0.48541899999999999</c:v>
                </c:pt>
                <c:pt idx="463">
                  <c:v>0.48541899999999999</c:v>
                </c:pt>
                <c:pt idx="464">
                  <c:v>0.48541899999999999</c:v>
                </c:pt>
                <c:pt idx="465">
                  <c:v>0.48541899999999999</c:v>
                </c:pt>
                <c:pt idx="466">
                  <c:v>0.48541899999999999</c:v>
                </c:pt>
                <c:pt idx="467">
                  <c:v>0.48541899999999999</c:v>
                </c:pt>
                <c:pt idx="468">
                  <c:v>0.48541899999999999</c:v>
                </c:pt>
                <c:pt idx="469">
                  <c:v>0.48541899999999999</c:v>
                </c:pt>
                <c:pt idx="470">
                  <c:v>0.48541899999999999</c:v>
                </c:pt>
                <c:pt idx="471">
                  <c:v>0.48541899999999999</c:v>
                </c:pt>
                <c:pt idx="472">
                  <c:v>0.48541899999999999</c:v>
                </c:pt>
                <c:pt idx="473">
                  <c:v>0.48541899999999999</c:v>
                </c:pt>
                <c:pt idx="474">
                  <c:v>0.48541899999999999</c:v>
                </c:pt>
                <c:pt idx="475">
                  <c:v>0.48541899999999999</c:v>
                </c:pt>
                <c:pt idx="476">
                  <c:v>0.48541899999999999</c:v>
                </c:pt>
                <c:pt idx="477">
                  <c:v>0.48541899999999999</c:v>
                </c:pt>
                <c:pt idx="478">
                  <c:v>0.48541899999999999</c:v>
                </c:pt>
                <c:pt idx="479">
                  <c:v>0.48541899999999999</c:v>
                </c:pt>
                <c:pt idx="480">
                  <c:v>0.48541899999999999</c:v>
                </c:pt>
                <c:pt idx="481">
                  <c:v>0.48541899999999999</c:v>
                </c:pt>
                <c:pt idx="482">
                  <c:v>0.48541899999999999</c:v>
                </c:pt>
                <c:pt idx="483">
                  <c:v>0.48541899999999999</c:v>
                </c:pt>
                <c:pt idx="484">
                  <c:v>0.48541899999999999</c:v>
                </c:pt>
                <c:pt idx="485">
                  <c:v>0.48541899999999999</c:v>
                </c:pt>
                <c:pt idx="486">
                  <c:v>0.48541899999999999</c:v>
                </c:pt>
                <c:pt idx="487">
                  <c:v>0.48541899999999999</c:v>
                </c:pt>
                <c:pt idx="488">
                  <c:v>0.48541899999999999</c:v>
                </c:pt>
                <c:pt idx="489">
                  <c:v>0.48541899999999999</c:v>
                </c:pt>
                <c:pt idx="490">
                  <c:v>0.48541899999999999</c:v>
                </c:pt>
                <c:pt idx="491">
                  <c:v>0.48541899999999999</c:v>
                </c:pt>
                <c:pt idx="492">
                  <c:v>8.9092333333333329E-2</c:v>
                </c:pt>
                <c:pt idx="493">
                  <c:v>8.9092333333333329E-2</c:v>
                </c:pt>
                <c:pt idx="494">
                  <c:v>8.9092333333333329E-2</c:v>
                </c:pt>
                <c:pt idx="495">
                  <c:v>8.9092333333333329E-2</c:v>
                </c:pt>
                <c:pt idx="496">
                  <c:v>8.9092333333333329E-2</c:v>
                </c:pt>
                <c:pt idx="497">
                  <c:v>8.9092333333333329E-2</c:v>
                </c:pt>
                <c:pt idx="498">
                  <c:v>8.9092333333333329E-2</c:v>
                </c:pt>
                <c:pt idx="499">
                  <c:v>8.9092333333333329E-2</c:v>
                </c:pt>
                <c:pt idx="500">
                  <c:v>8.9092333333333329E-2</c:v>
                </c:pt>
                <c:pt idx="501">
                  <c:v>8.9092333333333329E-2</c:v>
                </c:pt>
                <c:pt idx="502">
                  <c:v>8.9092333333333329E-2</c:v>
                </c:pt>
                <c:pt idx="503">
                  <c:v>8.9092333333333329E-2</c:v>
                </c:pt>
                <c:pt idx="504">
                  <c:v>8.9092333333333329E-2</c:v>
                </c:pt>
                <c:pt idx="505">
                  <c:v>8.9092333333333329E-2</c:v>
                </c:pt>
                <c:pt idx="506">
                  <c:v>8.9092333333333329E-2</c:v>
                </c:pt>
                <c:pt idx="507">
                  <c:v>8.9092333333333329E-2</c:v>
                </c:pt>
                <c:pt idx="508">
                  <c:v>8.9092333333333329E-2</c:v>
                </c:pt>
                <c:pt idx="509">
                  <c:v>8.9092333333333329E-2</c:v>
                </c:pt>
                <c:pt idx="510">
                  <c:v>8.9092333333333329E-2</c:v>
                </c:pt>
                <c:pt idx="511">
                  <c:v>8.9092333333333329E-2</c:v>
                </c:pt>
                <c:pt idx="512">
                  <c:v>8.9092333333333329E-2</c:v>
                </c:pt>
                <c:pt idx="513">
                  <c:v>8.9092333333333329E-2</c:v>
                </c:pt>
                <c:pt idx="514">
                  <c:v>8.9092333333333329E-2</c:v>
                </c:pt>
                <c:pt idx="515">
                  <c:v>8.9092333333333329E-2</c:v>
                </c:pt>
                <c:pt idx="516">
                  <c:v>8.9092333333333329E-2</c:v>
                </c:pt>
                <c:pt idx="517">
                  <c:v>8.9092333333333329E-2</c:v>
                </c:pt>
                <c:pt idx="518">
                  <c:v>8.9092333333333329E-2</c:v>
                </c:pt>
                <c:pt idx="519">
                  <c:v>8.9092333333333329E-2</c:v>
                </c:pt>
                <c:pt idx="520">
                  <c:v>8.9092333333333329E-2</c:v>
                </c:pt>
                <c:pt idx="521">
                  <c:v>8.9092333333333329E-2</c:v>
                </c:pt>
                <c:pt idx="522">
                  <c:v>8.9092333333333329E-2</c:v>
                </c:pt>
                <c:pt idx="523">
                  <c:v>8.9092333333333329E-2</c:v>
                </c:pt>
                <c:pt idx="524">
                  <c:v>8.9092333333333329E-2</c:v>
                </c:pt>
                <c:pt idx="525">
                  <c:v>8.9092333333333329E-2</c:v>
                </c:pt>
                <c:pt idx="526">
                  <c:v>8.9092333333333329E-2</c:v>
                </c:pt>
                <c:pt idx="527">
                  <c:v>8.9092333333333329E-2</c:v>
                </c:pt>
                <c:pt idx="528">
                  <c:v>8.9092333333333329E-2</c:v>
                </c:pt>
                <c:pt idx="529">
                  <c:v>8.9092333333333329E-2</c:v>
                </c:pt>
                <c:pt idx="530">
                  <c:v>8.9092333333333329E-2</c:v>
                </c:pt>
                <c:pt idx="531">
                  <c:v>8.9092333333333329E-2</c:v>
                </c:pt>
                <c:pt idx="532">
                  <c:v>8.9092333333333329E-2</c:v>
                </c:pt>
                <c:pt idx="533">
                  <c:v>8.9092333333333329E-2</c:v>
                </c:pt>
                <c:pt idx="534">
                  <c:v>8.9092333333333329E-2</c:v>
                </c:pt>
                <c:pt idx="535">
                  <c:v>8.9092333333333329E-2</c:v>
                </c:pt>
                <c:pt idx="536">
                  <c:v>8.9092333333333329E-2</c:v>
                </c:pt>
                <c:pt idx="537">
                  <c:v>8.9092333333333329E-2</c:v>
                </c:pt>
                <c:pt idx="538">
                  <c:v>8.9092333333333329E-2</c:v>
                </c:pt>
                <c:pt idx="539">
                  <c:v>8.9092333333333329E-2</c:v>
                </c:pt>
                <c:pt idx="540">
                  <c:v>8.9092333333333329E-2</c:v>
                </c:pt>
                <c:pt idx="541">
                  <c:v>8.9092333333333329E-2</c:v>
                </c:pt>
                <c:pt idx="542">
                  <c:v>8.9092333333333329E-2</c:v>
                </c:pt>
                <c:pt idx="543">
                  <c:v>8.9092333333333329E-2</c:v>
                </c:pt>
                <c:pt idx="544">
                  <c:v>8.9092333333333329E-2</c:v>
                </c:pt>
                <c:pt idx="545">
                  <c:v>8.9092333333333329E-2</c:v>
                </c:pt>
                <c:pt idx="546">
                  <c:v>8.9092333333333329E-2</c:v>
                </c:pt>
                <c:pt idx="547">
                  <c:v>8.9092333333333329E-2</c:v>
                </c:pt>
                <c:pt idx="548">
                  <c:v>8.9092333333333329E-2</c:v>
                </c:pt>
                <c:pt idx="549">
                  <c:v>8.9092333333333329E-2</c:v>
                </c:pt>
                <c:pt idx="550">
                  <c:v>8.9092333333333329E-2</c:v>
                </c:pt>
                <c:pt idx="551">
                  <c:v>8.9092333333333329E-2</c:v>
                </c:pt>
                <c:pt idx="552">
                  <c:v>8.9092333333333329E-2</c:v>
                </c:pt>
                <c:pt idx="553">
                  <c:v>8.9092333333333329E-2</c:v>
                </c:pt>
                <c:pt idx="554">
                  <c:v>8.9092333333333329E-2</c:v>
                </c:pt>
                <c:pt idx="555">
                  <c:v>8.9092333333333329E-2</c:v>
                </c:pt>
                <c:pt idx="556">
                  <c:v>8.9092333333333329E-2</c:v>
                </c:pt>
                <c:pt idx="557">
                  <c:v>8.9092333333333329E-2</c:v>
                </c:pt>
                <c:pt idx="558">
                  <c:v>8.9092333333333329E-2</c:v>
                </c:pt>
                <c:pt idx="559">
                  <c:v>8.9092333333333329E-2</c:v>
                </c:pt>
                <c:pt idx="560">
                  <c:v>8.9092333333333329E-2</c:v>
                </c:pt>
                <c:pt idx="561">
                  <c:v>8.9092333333333329E-2</c:v>
                </c:pt>
                <c:pt idx="562">
                  <c:v>8.9092333333333329E-2</c:v>
                </c:pt>
                <c:pt idx="563">
                  <c:v>8.9092333333333329E-2</c:v>
                </c:pt>
                <c:pt idx="564">
                  <c:v>8.9092333333333329E-2</c:v>
                </c:pt>
                <c:pt idx="565">
                  <c:v>8.9092333333333329E-2</c:v>
                </c:pt>
                <c:pt idx="566">
                  <c:v>8.9092333333333329E-2</c:v>
                </c:pt>
                <c:pt idx="567">
                  <c:v>8.9092333333333329E-2</c:v>
                </c:pt>
                <c:pt idx="568">
                  <c:v>8.9092333333333329E-2</c:v>
                </c:pt>
                <c:pt idx="569">
                  <c:v>8.9092333333333329E-2</c:v>
                </c:pt>
                <c:pt idx="570">
                  <c:v>8.9092333333333329E-2</c:v>
                </c:pt>
                <c:pt idx="571">
                  <c:v>8.9092333333333329E-2</c:v>
                </c:pt>
                <c:pt idx="572">
                  <c:v>8.9092333333333329E-2</c:v>
                </c:pt>
                <c:pt idx="573">
                  <c:v>8.9092333333333329E-2</c:v>
                </c:pt>
                <c:pt idx="574">
                  <c:v>8.9092333333333329E-2</c:v>
                </c:pt>
                <c:pt idx="575">
                  <c:v>8.9092333333333329E-2</c:v>
                </c:pt>
                <c:pt idx="576">
                  <c:v>8.9092333333333329E-2</c:v>
                </c:pt>
                <c:pt idx="577">
                  <c:v>8.9092333333333329E-2</c:v>
                </c:pt>
                <c:pt idx="578">
                  <c:v>8.9092333333333329E-2</c:v>
                </c:pt>
                <c:pt idx="579">
                  <c:v>8.9092333333333329E-2</c:v>
                </c:pt>
                <c:pt idx="580">
                  <c:v>8.9092333333333329E-2</c:v>
                </c:pt>
                <c:pt idx="581">
                  <c:v>8.9092333333333329E-2</c:v>
                </c:pt>
                <c:pt idx="582">
                  <c:v>8.9092333333333329E-2</c:v>
                </c:pt>
                <c:pt idx="583">
                  <c:v>8.9092333333333329E-2</c:v>
                </c:pt>
                <c:pt idx="584">
                  <c:v>8.9092333333333329E-2</c:v>
                </c:pt>
                <c:pt idx="585">
                  <c:v>8.9092333333333329E-2</c:v>
                </c:pt>
                <c:pt idx="586">
                  <c:v>8.9092333333333329E-2</c:v>
                </c:pt>
                <c:pt idx="587">
                  <c:v>8.9092333333333329E-2</c:v>
                </c:pt>
                <c:pt idx="588">
                  <c:v>8.9092333333333329E-2</c:v>
                </c:pt>
                <c:pt idx="589">
                  <c:v>8.9092333333333329E-2</c:v>
                </c:pt>
                <c:pt idx="590">
                  <c:v>8.9092333333333329E-2</c:v>
                </c:pt>
                <c:pt idx="591">
                  <c:v>8.9092333333333329E-2</c:v>
                </c:pt>
                <c:pt idx="592">
                  <c:v>8.9092333333333329E-2</c:v>
                </c:pt>
                <c:pt idx="593">
                  <c:v>8.9092333333333329E-2</c:v>
                </c:pt>
                <c:pt idx="594">
                  <c:v>8.9092333333333329E-2</c:v>
                </c:pt>
                <c:pt idx="595">
                  <c:v>8.9092333333333329E-2</c:v>
                </c:pt>
                <c:pt idx="596">
                  <c:v>8.9092333333333329E-2</c:v>
                </c:pt>
                <c:pt idx="597">
                  <c:v>8.9092333333333329E-2</c:v>
                </c:pt>
                <c:pt idx="598">
                  <c:v>8.9092333333333329E-2</c:v>
                </c:pt>
                <c:pt idx="599">
                  <c:v>8.9092333333333329E-2</c:v>
                </c:pt>
                <c:pt idx="600">
                  <c:v>8.9092333333333329E-2</c:v>
                </c:pt>
                <c:pt idx="601">
                  <c:v>8.9092333333333329E-2</c:v>
                </c:pt>
                <c:pt idx="602">
                  <c:v>8.9092333333333329E-2</c:v>
                </c:pt>
                <c:pt idx="603">
                  <c:v>8.9092333333333329E-2</c:v>
                </c:pt>
                <c:pt idx="604">
                  <c:v>8.9092333333333329E-2</c:v>
                </c:pt>
                <c:pt idx="605">
                  <c:v>8.9092333333333329E-2</c:v>
                </c:pt>
                <c:pt idx="606">
                  <c:v>8.9092333333333329E-2</c:v>
                </c:pt>
                <c:pt idx="607">
                  <c:v>8.9092333333333329E-2</c:v>
                </c:pt>
                <c:pt idx="608">
                  <c:v>8.9092333333333329E-2</c:v>
                </c:pt>
                <c:pt idx="609">
                  <c:v>8.9092333333333329E-2</c:v>
                </c:pt>
                <c:pt idx="610">
                  <c:v>8.9092333333333329E-2</c:v>
                </c:pt>
                <c:pt idx="611">
                  <c:v>8.9092333333333329E-2</c:v>
                </c:pt>
                <c:pt idx="612">
                  <c:v>8.9092333333333329E-2</c:v>
                </c:pt>
                <c:pt idx="613">
                  <c:v>8.9092333333333329E-2</c:v>
                </c:pt>
                <c:pt idx="614">
                  <c:v>8.9092333333333329E-2</c:v>
                </c:pt>
                <c:pt idx="615">
                  <c:v>8.9092333333333329E-2</c:v>
                </c:pt>
                <c:pt idx="616">
                  <c:v>8.9092333333333329E-2</c:v>
                </c:pt>
                <c:pt idx="617">
                  <c:v>8.9092333333333329E-2</c:v>
                </c:pt>
                <c:pt idx="618">
                  <c:v>8.9092333333333329E-2</c:v>
                </c:pt>
                <c:pt idx="619">
                  <c:v>8.9092333333333329E-2</c:v>
                </c:pt>
                <c:pt idx="620">
                  <c:v>8.9092333333333329E-2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3.6833887159730253E-3</c:v>
                </c:pt>
                <c:pt idx="652">
                  <c:v>3.6833887159730253E-3</c:v>
                </c:pt>
                <c:pt idx="653">
                  <c:v>3.6833887159730253E-3</c:v>
                </c:pt>
                <c:pt idx="654">
                  <c:v>3.6833887159730253E-3</c:v>
                </c:pt>
                <c:pt idx="655">
                  <c:v>3.6833887159730253E-3</c:v>
                </c:pt>
                <c:pt idx="656">
                  <c:v>3.6833887159730253E-3</c:v>
                </c:pt>
                <c:pt idx="657">
                  <c:v>3.6833887159730253E-3</c:v>
                </c:pt>
                <c:pt idx="658">
                  <c:v>3.6833887159730253E-3</c:v>
                </c:pt>
                <c:pt idx="659">
                  <c:v>3.6833887159730253E-3</c:v>
                </c:pt>
                <c:pt idx="660">
                  <c:v>3.6833887159730253E-3</c:v>
                </c:pt>
                <c:pt idx="661">
                  <c:v>3.6833887159730253E-3</c:v>
                </c:pt>
                <c:pt idx="662">
                  <c:v>3.6833887159730253E-3</c:v>
                </c:pt>
                <c:pt idx="663">
                  <c:v>3.6833887159730253E-3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C-46D4-ADF1-7E726112EC46}"/>
            </c:ext>
          </c:extLst>
        </c:ser>
        <c:ser>
          <c:idx val="0"/>
          <c:order val="2"/>
          <c:tx>
            <c:v>Hydrogen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Summary!$B$3:$B$666</c:f>
              <c:numCache>
                <c:formatCode>General</c:formatCode>
                <c:ptCount val="66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</c:numCache>
            </c:numRef>
          </c:cat>
          <c:val>
            <c:numRef>
              <c:f>Summary!$AD$3:$AD$666</c:f>
              <c:numCache>
                <c:formatCode>General</c:formatCode>
                <c:ptCount val="664"/>
                <c:pt idx="0">
                  <c:v>0.87588533333333329</c:v>
                </c:pt>
                <c:pt idx="1">
                  <c:v>0.87588533333333329</c:v>
                </c:pt>
                <c:pt idx="2">
                  <c:v>0.88245600000000013</c:v>
                </c:pt>
                <c:pt idx="3">
                  <c:v>0.88245600000000013</c:v>
                </c:pt>
                <c:pt idx="4">
                  <c:v>0.88245600000000013</c:v>
                </c:pt>
                <c:pt idx="5">
                  <c:v>0.88245600000000013</c:v>
                </c:pt>
                <c:pt idx="6">
                  <c:v>0.88245600000000013</c:v>
                </c:pt>
                <c:pt idx="7">
                  <c:v>0.88245600000000013</c:v>
                </c:pt>
                <c:pt idx="8">
                  <c:v>0.88245600000000013</c:v>
                </c:pt>
                <c:pt idx="9">
                  <c:v>0.88245600000000013</c:v>
                </c:pt>
                <c:pt idx="10">
                  <c:v>0.88245600000000013</c:v>
                </c:pt>
                <c:pt idx="11">
                  <c:v>0.88461866666666666</c:v>
                </c:pt>
                <c:pt idx="12">
                  <c:v>0.88461866666666666</c:v>
                </c:pt>
                <c:pt idx="13">
                  <c:v>0.88461866666666666</c:v>
                </c:pt>
                <c:pt idx="14">
                  <c:v>0.88461866666666666</c:v>
                </c:pt>
                <c:pt idx="15">
                  <c:v>0.88461866666666666</c:v>
                </c:pt>
                <c:pt idx="16">
                  <c:v>0.88461866666666666</c:v>
                </c:pt>
                <c:pt idx="17">
                  <c:v>0.88461866666666666</c:v>
                </c:pt>
                <c:pt idx="18">
                  <c:v>0.88461866666666666</c:v>
                </c:pt>
                <c:pt idx="19">
                  <c:v>0.88461866666666666</c:v>
                </c:pt>
                <c:pt idx="20">
                  <c:v>0.88461866666666666</c:v>
                </c:pt>
                <c:pt idx="21">
                  <c:v>0.88461866666666666</c:v>
                </c:pt>
                <c:pt idx="22">
                  <c:v>0.93184500000000003</c:v>
                </c:pt>
                <c:pt idx="23">
                  <c:v>0.93184500000000003</c:v>
                </c:pt>
                <c:pt idx="24">
                  <c:v>0.93184500000000003</c:v>
                </c:pt>
                <c:pt idx="25">
                  <c:v>0.93184500000000003</c:v>
                </c:pt>
                <c:pt idx="26">
                  <c:v>0.93184500000000003</c:v>
                </c:pt>
                <c:pt idx="27">
                  <c:v>0.93184500000000003</c:v>
                </c:pt>
                <c:pt idx="28">
                  <c:v>0.93184500000000003</c:v>
                </c:pt>
                <c:pt idx="29">
                  <c:v>0.93184500000000003</c:v>
                </c:pt>
                <c:pt idx="30">
                  <c:v>0.93184500000000003</c:v>
                </c:pt>
                <c:pt idx="31">
                  <c:v>0.93184500000000003</c:v>
                </c:pt>
                <c:pt idx="32">
                  <c:v>0.86166133333333339</c:v>
                </c:pt>
                <c:pt idx="33">
                  <c:v>0.86166133333333339</c:v>
                </c:pt>
                <c:pt idx="34">
                  <c:v>0.86166133333333339</c:v>
                </c:pt>
                <c:pt idx="35">
                  <c:v>0.86166133333333339</c:v>
                </c:pt>
                <c:pt idx="36">
                  <c:v>0.86166133333333339</c:v>
                </c:pt>
                <c:pt idx="37">
                  <c:v>0.86166133333333339</c:v>
                </c:pt>
                <c:pt idx="38">
                  <c:v>0.86166133333333339</c:v>
                </c:pt>
                <c:pt idx="39">
                  <c:v>0.86166133333333339</c:v>
                </c:pt>
                <c:pt idx="40">
                  <c:v>0.86166133333333339</c:v>
                </c:pt>
                <c:pt idx="41">
                  <c:v>0.86166133333333339</c:v>
                </c:pt>
                <c:pt idx="42">
                  <c:v>0.86166133333333339</c:v>
                </c:pt>
                <c:pt idx="43">
                  <c:v>0.86166133333333339</c:v>
                </c:pt>
                <c:pt idx="44">
                  <c:v>0.86166133333333339</c:v>
                </c:pt>
                <c:pt idx="45">
                  <c:v>0.86166133333333339</c:v>
                </c:pt>
                <c:pt idx="46">
                  <c:v>0.86166133333333339</c:v>
                </c:pt>
                <c:pt idx="47">
                  <c:v>0.86166133333333339</c:v>
                </c:pt>
                <c:pt idx="48">
                  <c:v>0.86166133333333339</c:v>
                </c:pt>
                <c:pt idx="49">
                  <c:v>0.86166133333333339</c:v>
                </c:pt>
                <c:pt idx="50">
                  <c:v>0.86166133333333339</c:v>
                </c:pt>
                <c:pt idx="51">
                  <c:v>0.86166133333333339</c:v>
                </c:pt>
                <c:pt idx="52">
                  <c:v>0.86166133333333339</c:v>
                </c:pt>
                <c:pt idx="53">
                  <c:v>0.86166133333333339</c:v>
                </c:pt>
                <c:pt idx="54">
                  <c:v>0.86166133333333339</c:v>
                </c:pt>
                <c:pt idx="55">
                  <c:v>0.86166133333333339</c:v>
                </c:pt>
                <c:pt idx="56">
                  <c:v>0.86166133333333339</c:v>
                </c:pt>
                <c:pt idx="57">
                  <c:v>0.86166133333333339</c:v>
                </c:pt>
                <c:pt idx="58">
                  <c:v>0.86166133333333339</c:v>
                </c:pt>
                <c:pt idx="59">
                  <c:v>0.86166133333333339</c:v>
                </c:pt>
                <c:pt idx="60">
                  <c:v>0.86166133333333339</c:v>
                </c:pt>
                <c:pt idx="61">
                  <c:v>0.86166133333333339</c:v>
                </c:pt>
                <c:pt idx="62">
                  <c:v>0.86166133333333339</c:v>
                </c:pt>
                <c:pt idx="63">
                  <c:v>0.86166133333333339</c:v>
                </c:pt>
                <c:pt idx="64">
                  <c:v>0.86166133333333339</c:v>
                </c:pt>
                <c:pt idx="65">
                  <c:v>0.86166133333333339</c:v>
                </c:pt>
                <c:pt idx="66">
                  <c:v>0.86166133333333339</c:v>
                </c:pt>
                <c:pt idx="67">
                  <c:v>0.86166133333333339</c:v>
                </c:pt>
                <c:pt idx="68">
                  <c:v>0.86166133333333339</c:v>
                </c:pt>
                <c:pt idx="69">
                  <c:v>0.86166133333333339</c:v>
                </c:pt>
                <c:pt idx="70">
                  <c:v>0.86166133333333339</c:v>
                </c:pt>
                <c:pt idx="71">
                  <c:v>0.86581866666666674</c:v>
                </c:pt>
                <c:pt idx="72">
                  <c:v>0.86581866666666674</c:v>
                </c:pt>
                <c:pt idx="73">
                  <c:v>0.86581866666666674</c:v>
                </c:pt>
                <c:pt idx="74">
                  <c:v>0.86581866666666674</c:v>
                </c:pt>
                <c:pt idx="75">
                  <c:v>0.86581866666666674</c:v>
                </c:pt>
                <c:pt idx="76">
                  <c:v>0.86581866666666674</c:v>
                </c:pt>
                <c:pt idx="77">
                  <c:v>0.86581866666666674</c:v>
                </c:pt>
                <c:pt idx="78">
                  <c:v>0.86581866666666674</c:v>
                </c:pt>
                <c:pt idx="79">
                  <c:v>0.86581866666666674</c:v>
                </c:pt>
                <c:pt idx="80">
                  <c:v>0.78441233333333327</c:v>
                </c:pt>
                <c:pt idx="81">
                  <c:v>0.78441233333333327</c:v>
                </c:pt>
                <c:pt idx="82">
                  <c:v>0.78441233333333327</c:v>
                </c:pt>
                <c:pt idx="83">
                  <c:v>0.78441233333333327</c:v>
                </c:pt>
                <c:pt idx="84">
                  <c:v>0.78441233333333327</c:v>
                </c:pt>
                <c:pt idx="85">
                  <c:v>0.78441233333333327</c:v>
                </c:pt>
                <c:pt idx="86">
                  <c:v>0.78441233333333327</c:v>
                </c:pt>
                <c:pt idx="87">
                  <c:v>0.78441233333333327</c:v>
                </c:pt>
                <c:pt idx="88">
                  <c:v>0.78441233333333327</c:v>
                </c:pt>
                <c:pt idx="89">
                  <c:v>0.78441233333333327</c:v>
                </c:pt>
                <c:pt idx="90">
                  <c:v>0.78441233333333327</c:v>
                </c:pt>
                <c:pt idx="91">
                  <c:v>0.78441233333333327</c:v>
                </c:pt>
                <c:pt idx="92">
                  <c:v>0.78441233333333327</c:v>
                </c:pt>
                <c:pt idx="93">
                  <c:v>0.78441233333333327</c:v>
                </c:pt>
                <c:pt idx="94">
                  <c:v>0.78441233333333327</c:v>
                </c:pt>
                <c:pt idx="95">
                  <c:v>0.78441233333333327</c:v>
                </c:pt>
                <c:pt idx="96">
                  <c:v>0.78441233333333327</c:v>
                </c:pt>
                <c:pt idx="97">
                  <c:v>0.78441233333333327</c:v>
                </c:pt>
                <c:pt idx="98">
                  <c:v>0.78441233333333327</c:v>
                </c:pt>
                <c:pt idx="99">
                  <c:v>0.78441233333333327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0.88127200000000006</c:v>
                </c:pt>
                <c:pt idx="242">
                  <c:v>0.88127200000000006</c:v>
                </c:pt>
                <c:pt idx="243">
                  <c:v>0.88127200000000006</c:v>
                </c:pt>
                <c:pt idx="244">
                  <c:v>0.88127200000000006</c:v>
                </c:pt>
                <c:pt idx="245">
                  <c:v>0.88127200000000006</c:v>
                </c:pt>
                <c:pt idx="246">
                  <c:v>0.88127200000000006</c:v>
                </c:pt>
                <c:pt idx="247">
                  <c:v>0.88127200000000006</c:v>
                </c:pt>
                <c:pt idx="248">
                  <c:v>0.88127200000000006</c:v>
                </c:pt>
                <c:pt idx="249">
                  <c:v>0.88127200000000006</c:v>
                </c:pt>
                <c:pt idx="250">
                  <c:v>0.88127200000000006</c:v>
                </c:pt>
                <c:pt idx="251">
                  <c:v>0.88127200000000006</c:v>
                </c:pt>
                <c:pt idx="252">
                  <c:v>0.88127200000000006</c:v>
                </c:pt>
                <c:pt idx="253">
                  <c:v>0.88127200000000006</c:v>
                </c:pt>
                <c:pt idx="254">
                  <c:v>0.88127200000000006</c:v>
                </c:pt>
                <c:pt idx="255">
                  <c:v>0.88127200000000006</c:v>
                </c:pt>
                <c:pt idx="256">
                  <c:v>0.88127200000000006</c:v>
                </c:pt>
                <c:pt idx="257">
                  <c:v>0.88127200000000006</c:v>
                </c:pt>
                <c:pt idx="258">
                  <c:v>0.88127200000000006</c:v>
                </c:pt>
                <c:pt idx="259">
                  <c:v>0.88127200000000006</c:v>
                </c:pt>
                <c:pt idx="260">
                  <c:v>0.88127200000000006</c:v>
                </c:pt>
                <c:pt idx="261">
                  <c:v>0.88127200000000006</c:v>
                </c:pt>
                <c:pt idx="262">
                  <c:v>0.88127200000000006</c:v>
                </c:pt>
                <c:pt idx="263">
                  <c:v>0.88127200000000006</c:v>
                </c:pt>
                <c:pt idx="264">
                  <c:v>0.88127200000000006</c:v>
                </c:pt>
                <c:pt idx="265">
                  <c:v>0.88127200000000006</c:v>
                </c:pt>
                <c:pt idx="266">
                  <c:v>0.88127200000000006</c:v>
                </c:pt>
                <c:pt idx="267">
                  <c:v>0.88127200000000006</c:v>
                </c:pt>
                <c:pt idx="268">
                  <c:v>0.88127200000000006</c:v>
                </c:pt>
                <c:pt idx="269">
                  <c:v>0.88127200000000006</c:v>
                </c:pt>
                <c:pt idx="270">
                  <c:v>0.88127200000000006</c:v>
                </c:pt>
                <c:pt idx="271">
                  <c:v>0.88127200000000006</c:v>
                </c:pt>
                <c:pt idx="272">
                  <c:v>0.88127200000000006</c:v>
                </c:pt>
                <c:pt idx="273">
                  <c:v>0.88127200000000006</c:v>
                </c:pt>
                <c:pt idx="274">
                  <c:v>0.88127200000000006</c:v>
                </c:pt>
                <c:pt idx="275">
                  <c:v>0.88127200000000006</c:v>
                </c:pt>
                <c:pt idx="276">
                  <c:v>0.88127200000000006</c:v>
                </c:pt>
                <c:pt idx="277">
                  <c:v>0.88127200000000006</c:v>
                </c:pt>
                <c:pt idx="278">
                  <c:v>0.88127200000000006</c:v>
                </c:pt>
                <c:pt idx="279">
                  <c:v>0.88127200000000006</c:v>
                </c:pt>
                <c:pt idx="280">
                  <c:v>0.88127200000000006</c:v>
                </c:pt>
                <c:pt idx="281">
                  <c:v>0.88127200000000006</c:v>
                </c:pt>
                <c:pt idx="282">
                  <c:v>0.88127200000000006</c:v>
                </c:pt>
                <c:pt idx="283">
                  <c:v>0.88127200000000006</c:v>
                </c:pt>
                <c:pt idx="284">
                  <c:v>0.88127200000000006</c:v>
                </c:pt>
                <c:pt idx="285">
                  <c:v>0.88127200000000006</c:v>
                </c:pt>
                <c:pt idx="286">
                  <c:v>0.88127200000000006</c:v>
                </c:pt>
                <c:pt idx="287">
                  <c:v>0.88127200000000006</c:v>
                </c:pt>
                <c:pt idx="288">
                  <c:v>0.88127200000000006</c:v>
                </c:pt>
                <c:pt idx="289">
                  <c:v>0.88127200000000006</c:v>
                </c:pt>
                <c:pt idx="290">
                  <c:v>0.88127200000000006</c:v>
                </c:pt>
                <c:pt idx="291">
                  <c:v>0.88127200000000006</c:v>
                </c:pt>
                <c:pt idx="292">
                  <c:v>0.88127200000000006</c:v>
                </c:pt>
                <c:pt idx="293">
                  <c:v>0.88127200000000006</c:v>
                </c:pt>
                <c:pt idx="294">
                  <c:v>0.88127200000000006</c:v>
                </c:pt>
                <c:pt idx="295">
                  <c:v>0.88127200000000006</c:v>
                </c:pt>
                <c:pt idx="296">
                  <c:v>0.88127200000000006</c:v>
                </c:pt>
                <c:pt idx="297">
                  <c:v>0.88127200000000006</c:v>
                </c:pt>
                <c:pt idx="298">
                  <c:v>0.88127200000000006</c:v>
                </c:pt>
                <c:pt idx="299">
                  <c:v>0.88127200000000006</c:v>
                </c:pt>
                <c:pt idx="300">
                  <c:v>0.88127200000000006</c:v>
                </c:pt>
                <c:pt idx="301">
                  <c:v>0.86153966670000004</c:v>
                </c:pt>
                <c:pt idx="302">
                  <c:v>0.86153966670000004</c:v>
                </c:pt>
                <c:pt idx="303">
                  <c:v>0.86153966670000004</c:v>
                </c:pt>
                <c:pt idx="304">
                  <c:v>0.86153966670000004</c:v>
                </c:pt>
                <c:pt idx="305">
                  <c:v>0.86153966670000004</c:v>
                </c:pt>
                <c:pt idx="306">
                  <c:v>0.86153966670000004</c:v>
                </c:pt>
                <c:pt idx="307">
                  <c:v>0.86153966670000004</c:v>
                </c:pt>
                <c:pt idx="308">
                  <c:v>0.86153966670000004</c:v>
                </c:pt>
                <c:pt idx="309">
                  <c:v>0.86153966670000004</c:v>
                </c:pt>
                <c:pt idx="310">
                  <c:v>0.86153966670000004</c:v>
                </c:pt>
                <c:pt idx="311">
                  <c:v>0.86153966670000004</c:v>
                </c:pt>
                <c:pt idx="312">
                  <c:v>0.86153966670000004</c:v>
                </c:pt>
                <c:pt idx="313">
                  <c:v>0.86153966670000004</c:v>
                </c:pt>
                <c:pt idx="314">
                  <c:v>0.86153966670000004</c:v>
                </c:pt>
                <c:pt idx="315">
                  <c:v>0.86153966670000004</c:v>
                </c:pt>
                <c:pt idx="316">
                  <c:v>0.86153966670000004</c:v>
                </c:pt>
                <c:pt idx="317">
                  <c:v>0.86153966670000004</c:v>
                </c:pt>
                <c:pt idx="318">
                  <c:v>0.86153966670000004</c:v>
                </c:pt>
                <c:pt idx="319">
                  <c:v>0.86153966670000004</c:v>
                </c:pt>
                <c:pt idx="320">
                  <c:v>0.86153966670000004</c:v>
                </c:pt>
                <c:pt idx="321">
                  <c:v>0.86153966670000004</c:v>
                </c:pt>
                <c:pt idx="322">
                  <c:v>0.86153966670000004</c:v>
                </c:pt>
                <c:pt idx="323">
                  <c:v>0.86153966670000004</c:v>
                </c:pt>
                <c:pt idx="324">
                  <c:v>0.86153966670000004</c:v>
                </c:pt>
                <c:pt idx="325">
                  <c:v>0.86153966670000004</c:v>
                </c:pt>
                <c:pt idx="326">
                  <c:v>0.86153966670000004</c:v>
                </c:pt>
                <c:pt idx="327">
                  <c:v>0.86153966670000004</c:v>
                </c:pt>
                <c:pt idx="328">
                  <c:v>0.86153966670000004</c:v>
                </c:pt>
                <c:pt idx="329">
                  <c:v>0.86153966670000004</c:v>
                </c:pt>
                <c:pt idx="330">
                  <c:v>0.86153966670000004</c:v>
                </c:pt>
                <c:pt idx="331">
                  <c:v>0.86153966670000004</c:v>
                </c:pt>
                <c:pt idx="332">
                  <c:v>0.86153966670000004</c:v>
                </c:pt>
                <c:pt idx="333">
                  <c:v>0.86153966670000004</c:v>
                </c:pt>
                <c:pt idx="334">
                  <c:v>0.86153966670000004</c:v>
                </c:pt>
                <c:pt idx="335">
                  <c:v>0.86153966670000004</c:v>
                </c:pt>
                <c:pt idx="336">
                  <c:v>0.86153966670000004</c:v>
                </c:pt>
                <c:pt idx="337">
                  <c:v>0.86153966670000004</c:v>
                </c:pt>
                <c:pt idx="338">
                  <c:v>0.86153966670000004</c:v>
                </c:pt>
                <c:pt idx="339">
                  <c:v>0.86153966670000004</c:v>
                </c:pt>
                <c:pt idx="340">
                  <c:v>0.72263599999999995</c:v>
                </c:pt>
                <c:pt idx="341">
                  <c:v>0.72263599999999995</c:v>
                </c:pt>
                <c:pt idx="342">
                  <c:v>0.72263599999999995</c:v>
                </c:pt>
                <c:pt idx="343">
                  <c:v>0.72263599999999995</c:v>
                </c:pt>
                <c:pt idx="344">
                  <c:v>0.72263599999999995</c:v>
                </c:pt>
                <c:pt idx="345">
                  <c:v>0.72263599999999995</c:v>
                </c:pt>
                <c:pt idx="346">
                  <c:v>0.72263599999999995</c:v>
                </c:pt>
                <c:pt idx="347">
                  <c:v>0.72263599999999995</c:v>
                </c:pt>
                <c:pt idx="348">
                  <c:v>0.72263599999999995</c:v>
                </c:pt>
                <c:pt idx="349">
                  <c:v>0.72263599999999995</c:v>
                </c:pt>
                <c:pt idx="350">
                  <c:v>0.72263599999999995</c:v>
                </c:pt>
                <c:pt idx="351">
                  <c:v>0.72263599999999995</c:v>
                </c:pt>
                <c:pt idx="352">
                  <c:v>0.72263599999999995</c:v>
                </c:pt>
                <c:pt idx="353">
                  <c:v>0.72263599999999995</c:v>
                </c:pt>
                <c:pt idx="354">
                  <c:v>0.72263599999999995</c:v>
                </c:pt>
                <c:pt idx="355">
                  <c:v>0.72263599999999995</c:v>
                </c:pt>
                <c:pt idx="356">
                  <c:v>0.72263599999999995</c:v>
                </c:pt>
                <c:pt idx="357">
                  <c:v>0.72263599999999995</c:v>
                </c:pt>
                <c:pt idx="358">
                  <c:v>0.72263599999999995</c:v>
                </c:pt>
                <c:pt idx="359">
                  <c:v>0.72263599999999995</c:v>
                </c:pt>
                <c:pt idx="360">
                  <c:v>0.72263599999999995</c:v>
                </c:pt>
                <c:pt idx="361">
                  <c:v>0.72263599999999995</c:v>
                </c:pt>
                <c:pt idx="362">
                  <c:v>0.72263599999999995</c:v>
                </c:pt>
                <c:pt idx="363">
                  <c:v>0.72263599999999995</c:v>
                </c:pt>
                <c:pt idx="364">
                  <c:v>0.72263599999999995</c:v>
                </c:pt>
                <c:pt idx="365">
                  <c:v>0.72263599999999995</c:v>
                </c:pt>
                <c:pt idx="366">
                  <c:v>0.72263599999999995</c:v>
                </c:pt>
                <c:pt idx="367">
                  <c:v>0.72263599999999995</c:v>
                </c:pt>
                <c:pt idx="368">
                  <c:v>0.72263599999999995</c:v>
                </c:pt>
                <c:pt idx="369">
                  <c:v>0.72263599999999995</c:v>
                </c:pt>
                <c:pt idx="370">
                  <c:v>0.72263599999999995</c:v>
                </c:pt>
                <c:pt idx="371">
                  <c:v>0.72263599999999995</c:v>
                </c:pt>
                <c:pt idx="372">
                  <c:v>0.72263599999999995</c:v>
                </c:pt>
                <c:pt idx="373">
                  <c:v>0.72263599999999995</c:v>
                </c:pt>
                <c:pt idx="374">
                  <c:v>0.72263599999999995</c:v>
                </c:pt>
                <c:pt idx="375">
                  <c:v>0.72263599999999995</c:v>
                </c:pt>
                <c:pt idx="376">
                  <c:v>0.72263599999999995</c:v>
                </c:pt>
                <c:pt idx="377">
                  <c:v>0.72263599999999995</c:v>
                </c:pt>
                <c:pt idx="378">
                  <c:v>0.72263599999999995</c:v>
                </c:pt>
                <c:pt idx="379">
                  <c:v>0.72263599999999995</c:v>
                </c:pt>
                <c:pt idx="380">
                  <c:v>0.10673033333333334</c:v>
                </c:pt>
                <c:pt idx="381">
                  <c:v>0.10673033333333334</c:v>
                </c:pt>
                <c:pt idx="382">
                  <c:v>0.10673033333333334</c:v>
                </c:pt>
                <c:pt idx="383">
                  <c:v>0.10673033333333334</c:v>
                </c:pt>
                <c:pt idx="384">
                  <c:v>0.10673033333333334</c:v>
                </c:pt>
                <c:pt idx="385">
                  <c:v>0.10673033333333334</c:v>
                </c:pt>
                <c:pt idx="386">
                  <c:v>0.10673033333333334</c:v>
                </c:pt>
                <c:pt idx="387">
                  <c:v>0.10673033333333334</c:v>
                </c:pt>
                <c:pt idx="388">
                  <c:v>0.10673033333333334</c:v>
                </c:pt>
                <c:pt idx="389">
                  <c:v>0.10673033333333334</c:v>
                </c:pt>
                <c:pt idx="390">
                  <c:v>0.10673033333333334</c:v>
                </c:pt>
                <c:pt idx="391">
                  <c:v>0.10673033333333334</c:v>
                </c:pt>
                <c:pt idx="392">
                  <c:v>0.10673033333333334</c:v>
                </c:pt>
                <c:pt idx="393">
                  <c:v>0.10673033333333334</c:v>
                </c:pt>
                <c:pt idx="394">
                  <c:v>0.10673033333333334</c:v>
                </c:pt>
                <c:pt idx="395">
                  <c:v>0.10673033333333334</c:v>
                </c:pt>
                <c:pt idx="396">
                  <c:v>0.10673033333333334</c:v>
                </c:pt>
                <c:pt idx="397">
                  <c:v>0.10673033333333334</c:v>
                </c:pt>
                <c:pt idx="398">
                  <c:v>0.10673033333333334</c:v>
                </c:pt>
                <c:pt idx="399">
                  <c:v>0.10673033333333334</c:v>
                </c:pt>
                <c:pt idx="400">
                  <c:v>0.10673033333333334</c:v>
                </c:pt>
                <c:pt idx="401">
                  <c:v>0.10673033333333334</c:v>
                </c:pt>
                <c:pt idx="402">
                  <c:v>0.10673033333333334</c:v>
                </c:pt>
                <c:pt idx="403">
                  <c:v>0.10673033333333334</c:v>
                </c:pt>
                <c:pt idx="404">
                  <c:v>0.10673033333333334</c:v>
                </c:pt>
                <c:pt idx="405">
                  <c:v>0.10673033333333334</c:v>
                </c:pt>
                <c:pt idx="406">
                  <c:v>0.10673033333333334</c:v>
                </c:pt>
                <c:pt idx="407">
                  <c:v>0.10673033333333334</c:v>
                </c:pt>
                <c:pt idx="408">
                  <c:v>0.10673033333333334</c:v>
                </c:pt>
                <c:pt idx="409">
                  <c:v>0.10673033333333334</c:v>
                </c:pt>
                <c:pt idx="410">
                  <c:v>0.10673033333333334</c:v>
                </c:pt>
                <c:pt idx="411">
                  <c:v>0.10673033333333334</c:v>
                </c:pt>
                <c:pt idx="412">
                  <c:v>0.10673033333333334</c:v>
                </c:pt>
                <c:pt idx="413">
                  <c:v>0.10673033333333334</c:v>
                </c:pt>
                <c:pt idx="414">
                  <c:v>0.10673033333333334</c:v>
                </c:pt>
                <c:pt idx="415">
                  <c:v>0.10673033333333334</c:v>
                </c:pt>
                <c:pt idx="416">
                  <c:v>0.10673033333333334</c:v>
                </c:pt>
                <c:pt idx="417">
                  <c:v>0.10673033333333334</c:v>
                </c:pt>
                <c:pt idx="418">
                  <c:v>0.10673033333333334</c:v>
                </c:pt>
                <c:pt idx="419">
                  <c:v>0.10673033333333334</c:v>
                </c:pt>
                <c:pt idx="420">
                  <c:v>0.10673033333333334</c:v>
                </c:pt>
                <c:pt idx="421">
                  <c:v>0.10673033333333334</c:v>
                </c:pt>
                <c:pt idx="422">
                  <c:v>0.10673033333333334</c:v>
                </c:pt>
                <c:pt idx="423">
                  <c:v>0.10673033333333334</c:v>
                </c:pt>
                <c:pt idx="424">
                  <c:v>0.10673033333333334</c:v>
                </c:pt>
                <c:pt idx="425">
                  <c:v>0.10673033333333334</c:v>
                </c:pt>
                <c:pt idx="426">
                  <c:v>0.10673033333333334</c:v>
                </c:pt>
                <c:pt idx="427">
                  <c:v>0.10673033333333334</c:v>
                </c:pt>
                <c:pt idx="428">
                  <c:v>0.10673033333333334</c:v>
                </c:pt>
                <c:pt idx="429">
                  <c:v>0.10673033333333334</c:v>
                </c:pt>
                <c:pt idx="430">
                  <c:v>0.10673033333333334</c:v>
                </c:pt>
                <c:pt idx="431">
                  <c:v>0.10673033333333334</c:v>
                </c:pt>
                <c:pt idx="432">
                  <c:v>0.10673033333333334</c:v>
                </c:pt>
                <c:pt idx="433">
                  <c:v>0.48541899999999999</c:v>
                </c:pt>
                <c:pt idx="434">
                  <c:v>0.48541899999999999</c:v>
                </c:pt>
                <c:pt idx="435">
                  <c:v>0.48541899999999999</c:v>
                </c:pt>
                <c:pt idx="436">
                  <c:v>0.48541899999999999</c:v>
                </c:pt>
                <c:pt idx="437">
                  <c:v>0.48541899999999999</c:v>
                </c:pt>
                <c:pt idx="438">
                  <c:v>0.48541899999999999</c:v>
                </c:pt>
                <c:pt idx="439">
                  <c:v>0.48541899999999999</c:v>
                </c:pt>
                <c:pt idx="440">
                  <c:v>0.48541899999999999</c:v>
                </c:pt>
                <c:pt idx="441">
                  <c:v>0.48541899999999999</c:v>
                </c:pt>
                <c:pt idx="442">
                  <c:v>0.48541899999999999</c:v>
                </c:pt>
                <c:pt idx="443">
                  <c:v>0.48541899999999999</c:v>
                </c:pt>
                <c:pt idx="444">
                  <c:v>0.48541899999999999</c:v>
                </c:pt>
                <c:pt idx="445">
                  <c:v>0.48541899999999999</c:v>
                </c:pt>
                <c:pt idx="446">
                  <c:v>0.48541899999999999</c:v>
                </c:pt>
                <c:pt idx="447">
                  <c:v>0.48541899999999999</c:v>
                </c:pt>
                <c:pt idx="448">
                  <c:v>0.48541899999999999</c:v>
                </c:pt>
                <c:pt idx="449">
                  <c:v>0.48541899999999999</c:v>
                </c:pt>
                <c:pt idx="450">
                  <c:v>0.48541899999999999</c:v>
                </c:pt>
                <c:pt idx="451">
                  <c:v>0.48541899999999999</c:v>
                </c:pt>
                <c:pt idx="452">
                  <c:v>0.48541899999999999</c:v>
                </c:pt>
                <c:pt idx="453">
                  <c:v>0.48541899999999999</c:v>
                </c:pt>
                <c:pt idx="454">
                  <c:v>0.48541899999999999</c:v>
                </c:pt>
                <c:pt idx="455">
                  <c:v>0.48541899999999999</c:v>
                </c:pt>
                <c:pt idx="456">
                  <c:v>0.48541899999999999</c:v>
                </c:pt>
                <c:pt idx="457">
                  <c:v>0.48541899999999999</c:v>
                </c:pt>
                <c:pt idx="458">
                  <c:v>0.48541899999999999</c:v>
                </c:pt>
                <c:pt idx="459">
                  <c:v>0.48541899999999999</c:v>
                </c:pt>
                <c:pt idx="460">
                  <c:v>0.48541899999999999</c:v>
                </c:pt>
                <c:pt idx="461">
                  <c:v>0.48541899999999999</c:v>
                </c:pt>
                <c:pt idx="462">
                  <c:v>0.48541899999999999</c:v>
                </c:pt>
                <c:pt idx="463">
                  <c:v>0.48541899999999999</c:v>
                </c:pt>
                <c:pt idx="464">
                  <c:v>0.48541899999999999</c:v>
                </c:pt>
                <c:pt idx="465">
                  <c:v>0.48541899999999999</c:v>
                </c:pt>
                <c:pt idx="466">
                  <c:v>0.48541899999999999</c:v>
                </c:pt>
                <c:pt idx="467">
                  <c:v>0.48541899999999999</c:v>
                </c:pt>
                <c:pt idx="468">
                  <c:v>0.48541899999999999</c:v>
                </c:pt>
                <c:pt idx="469">
                  <c:v>0.48541899999999999</c:v>
                </c:pt>
                <c:pt idx="470">
                  <c:v>0.48541899999999999</c:v>
                </c:pt>
                <c:pt idx="471">
                  <c:v>0.48541899999999999</c:v>
                </c:pt>
                <c:pt idx="472">
                  <c:v>0.48541899999999999</c:v>
                </c:pt>
                <c:pt idx="473">
                  <c:v>0.48541899999999999</c:v>
                </c:pt>
                <c:pt idx="474">
                  <c:v>0.48541899999999999</c:v>
                </c:pt>
                <c:pt idx="475">
                  <c:v>0.48541899999999999</c:v>
                </c:pt>
                <c:pt idx="476">
                  <c:v>0.48541899999999999</c:v>
                </c:pt>
                <c:pt idx="477">
                  <c:v>0.48541899999999999</c:v>
                </c:pt>
                <c:pt idx="478">
                  <c:v>0.48541899999999999</c:v>
                </c:pt>
                <c:pt idx="479">
                  <c:v>0.48541899999999999</c:v>
                </c:pt>
                <c:pt idx="480">
                  <c:v>0.48541899999999999</c:v>
                </c:pt>
                <c:pt idx="481">
                  <c:v>0.48541899999999999</c:v>
                </c:pt>
                <c:pt idx="482">
                  <c:v>0.48541899999999999</c:v>
                </c:pt>
                <c:pt idx="483">
                  <c:v>0.48541899999999999</c:v>
                </c:pt>
                <c:pt idx="484">
                  <c:v>0.48541899999999999</c:v>
                </c:pt>
                <c:pt idx="485">
                  <c:v>0.48541899999999999</c:v>
                </c:pt>
                <c:pt idx="486">
                  <c:v>0.48541899999999999</c:v>
                </c:pt>
                <c:pt idx="487">
                  <c:v>0.48541899999999999</c:v>
                </c:pt>
                <c:pt idx="488">
                  <c:v>0.48541899999999999</c:v>
                </c:pt>
                <c:pt idx="489">
                  <c:v>0.48541899999999999</c:v>
                </c:pt>
                <c:pt idx="490">
                  <c:v>0.48541899999999999</c:v>
                </c:pt>
                <c:pt idx="491">
                  <c:v>0.48541899999999999</c:v>
                </c:pt>
                <c:pt idx="492">
                  <c:v>8.9092333333333329E-2</c:v>
                </c:pt>
                <c:pt idx="493">
                  <c:v>8.9092333333333329E-2</c:v>
                </c:pt>
                <c:pt idx="494">
                  <c:v>8.9092333333333329E-2</c:v>
                </c:pt>
                <c:pt idx="495">
                  <c:v>8.9092333333333329E-2</c:v>
                </c:pt>
                <c:pt idx="496">
                  <c:v>8.9092333333333329E-2</c:v>
                </c:pt>
                <c:pt idx="497">
                  <c:v>8.9092333333333329E-2</c:v>
                </c:pt>
                <c:pt idx="498">
                  <c:v>8.9092333333333329E-2</c:v>
                </c:pt>
                <c:pt idx="499">
                  <c:v>8.9092333333333329E-2</c:v>
                </c:pt>
                <c:pt idx="500">
                  <c:v>8.9092333333333329E-2</c:v>
                </c:pt>
                <c:pt idx="501">
                  <c:v>8.9092333333333329E-2</c:v>
                </c:pt>
                <c:pt idx="502">
                  <c:v>8.9092333333333329E-2</c:v>
                </c:pt>
                <c:pt idx="503">
                  <c:v>8.9092333333333329E-2</c:v>
                </c:pt>
                <c:pt idx="504">
                  <c:v>8.9092333333333329E-2</c:v>
                </c:pt>
                <c:pt idx="505">
                  <c:v>8.9092333333333329E-2</c:v>
                </c:pt>
                <c:pt idx="506">
                  <c:v>8.9092333333333329E-2</c:v>
                </c:pt>
                <c:pt idx="507">
                  <c:v>8.9092333333333329E-2</c:v>
                </c:pt>
                <c:pt idx="508">
                  <c:v>8.9092333333333329E-2</c:v>
                </c:pt>
                <c:pt idx="509">
                  <c:v>8.9092333333333329E-2</c:v>
                </c:pt>
                <c:pt idx="510">
                  <c:v>8.9092333333333329E-2</c:v>
                </c:pt>
                <c:pt idx="511">
                  <c:v>8.9092333333333329E-2</c:v>
                </c:pt>
                <c:pt idx="512">
                  <c:v>8.9092333333333329E-2</c:v>
                </c:pt>
                <c:pt idx="513">
                  <c:v>8.9092333333333329E-2</c:v>
                </c:pt>
                <c:pt idx="514">
                  <c:v>8.9092333333333329E-2</c:v>
                </c:pt>
                <c:pt idx="515">
                  <c:v>8.9092333333333329E-2</c:v>
                </c:pt>
                <c:pt idx="516">
                  <c:v>8.9092333333333329E-2</c:v>
                </c:pt>
                <c:pt idx="517">
                  <c:v>8.9092333333333329E-2</c:v>
                </c:pt>
                <c:pt idx="518">
                  <c:v>8.9092333333333329E-2</c:v>
                </c:pt>
                <c:pt idx="519">
                  <c:v>8.9092333333333329E-2</c:v>
                </c:pt>
                <c:pt idx="520">
                  <c:v>8.9092333333333329E-2</c:v>
                </c:pt>
                <c:pt idx="521">
                  <c:v>8.9092333333333329E-2</c:v>
                </c:pt>
                <c:pt idx="522">
                  <c:v>8.9092333333333329E-2</c:v>
                </c:pt>
                <c:pt idx="523">
                  <c:v>8.9092333333333329E-2</c:v>
                </c:pt>
                <c:pt idx="524">
                  <c:v>8.9092333333333329E-2</c:v>
                </c:pt>
                <c:pt idx="525">
                  <c:v>8.9092333333333329E-2</c:v>
                </c:pt>
                <c:pt idx="526">
                  <c:v>8.9092333333333329E-2</c:v>
                </c:pt>
                <c:pt idx="527">
                  <c:v>8.9092333333333329E-2</c:v>
                </c:pt>
                <c:pt idx="528">
                  <c:v>8.9092333333333329E-2</c:v>
                </c:pt>
                <c:pt idx="529">
                  <c:v>8.9092333333333329E-2</c:v>
                </c:pt>
                <c:pt idx="530">
                  <c:v>8.9092333333333329E-2</c:v>
                </c:pt>
                <c:pt idx="531">
                  <c:v>8.9092333333333329E-2</c:v>
                </c:pt>
                <c:pt idx="532">
                  <c:v>8.9092333333333329E-2</c:v>
                </c:pt>
                <c:pt idx="533">
                  <c:v>8.9092333333333329E-2</c:v>
                </c:pt>
                <c:pt idx="534">
                  <c:v>8.9092333333333329E-2</c:v>
                </c:pt>
                <c:pt idx="535">
                  <c:v>8.9092333333333329E-2</c:v>
                </c:pt>
                <c:pt idx="536">
                  <c:v>8.9092333333333329E-2</c:v>
                </c:pt>
                <c:pt idx="537">
                  <c:v>8.9092333333333329E-2</c:v>
                </c:pt>
                <c:pt idx="538">
                  <c:v>8.9092333333333329E-2</c:v>
                </c:pt>
                <c:pt idx="539">
                  <c:v>8.9092333333333329E-2</c:v>
                </c:pt>
                <c:pt idx="540">
                  <c:v>8.9092333333333329E-2</c:v>
                </c:pt>
                <c:pt idx="541">
                  <c:v>8.9092333333333329E-2</c:v>
                </c:pt>
                <c:pt idx="542">
                  <c:v>8.9092333333333329E-2</c:v>
                </c:pt>
                <c:pt idx="543">
                  <c:v>8.9092333333333329E-2</c:v>
                </c:pt>
                <c:pt idx="544">
                  <c:v>8.9092333333333329E-2</c:v>
                </c:pt>
                <c:pt idx="545">
                  <c:v>8.9092333333333329E-2</c:v>
                </c:pt>
                <c:pt idx="546">
                  <c:v>8.9092333333333329E-2</c:v>
                </c:pt>
                <c:pt idx="547">
                  <c:v>8.9092333333333329E-2</c:v>
                </c:pt>
                <c:pt idx="548">
                  <c:v>8.9092333333333329E-2</c:v>
                </c:pt>
                <c:pt idx="549">
                  <c:v>8.9092333333333329E-2</c:v>
                </c:pt>
                <c:pt idx="550">
                  <c:v>8.9092333333333329E-2</c:v>
                </c:pt>
                <c:pt idx="551">
                  <c:v>8.9092333333333329E-2</c:v>
                </c:pt>
                <c:pt idx="552">
                  <c:v>8.9092333333333329E-2</c:v>
                </c:pt>
                <c:pt idx="553">
                  <c:v>8.9092333333333329E-2</c:v>
                </c:pt>
                <c:pt idx="554">
                  <c:v>8.9092333333333329E-2</c:v>
                </c:pt>
                <c:pt idx="555">
                  <c:v>8.9092333333333329E-2</c:v>
                </c:pt>
                <c:pt idx="556">
                  <c:v>8.9092333333333329E-2</c:v>
                </c:pt>
                <c:pt idx="557">
                  <c:v>8.9092333333333329E-2</c:v>
                </c:pt>
                <c:pt idx="558">
                  <c:v>8.9092333333333329E-2</c:v>
                </c:pt>
                <c:pt idx="559">
                  <c:v>8.9092333333333329E-2</c:v>
                </c:pt>
                <c:pt idx="560">
                  <c:v>8.9092333333333329E-2</c:v>
                </c:pt>
                <c:pt idx="561">
                  <c:v>8.9092333333333329E-2</c:v>
                </c:pt>
                <c:pt idx="562">
                  <c:v>8.9092333333333329E-2</c:v>
                </c:pt>
                <c:pt idx="563">
                  <c:v>8.9092333333333329E-2</c:v>
                </c:pt>
                <c:pt idx="564">
                  <c:v>8.9092333333333329E-2</c:v>
                </c:pt>
                <c:pt idx="565">
                  <c:v>8.9092333333333329E-2</c:v>
                </c:pt>
                <c:pt idx="566">
                  <c:v>8.9092333333333329E-2</c:v>
                </c:pt>
                <c:pt idx="567">
                  <c:v>8.9092333333333329E-2</c:v>
                </c:pt>
                <c:pt idx="568">
                  <c:v>8.9092333333333329E-2</c:v>
                </c:pt>
                <c:pt idx="569">
                  <c:v>8.9092333333333329E-2</c:v>
                </c:pt>
                <c:pt idx="570">
                  <c:v>8.9092333333333329E-2</c:v>
                </c:pt>
                <c:pt idx="571">
                  <c:v>8.9092333333333329E-2</c:v>
                </c:pt>
                <c:pt idx="572">
                  <c:v>8.9092333333333329E-2</c:v>
                </c:pt>
                <c:pt idx="573">
                  <c:v>8.9092333333333329E-2</c:v>
                </c:pt>
                <c:pt idx="574">
                  <c:v>8.9092333333333329E-2</c:v>
                </c:pt>
                <c:pt idx="575">
                  <c:v>8.9092333333333329E-2</c:v>
                </c:pt>
                <c:pt idx="576">
                  <c:v>8.9092333333333329E-2</c:v>
                </c:pt>
                <c:pt idx="577">
                  <c:v>8.9092333333333329E-2</c:v>
                </c:pt>
                <c:pt idx="578">
                  <c:v>8.9092333333333329E-2</c:v>
                </c:pt>
                <c:pt idx="579">
                  <c:v>8.9092333333333329E-2</c:v>
                </c:pt>
                <c:pt idx="580">
                  <c:v>8.9092333333333329E-2</c:v>
                </c:pt>
                <c:pt idx="581">
                  <c:v>8.9092333333333329E-2</c:v>
                </c:pt>
                <c:pt idx="582">
                  <c:v>8.9092333333333329E-2</c:v>
                </c:pt>
                <c:pt idx="583">
                  <c:v>8.9092333333333329E-2</c:v>
                </c:pt>
                <c:pt idx="584">
                  <c:v>8.9092333333333329E-2</c:v>
                </c:pt>
                <c:pt idx="585">
                  <c:v>8.9092333333333329E-2</c:v>
                </c:pt>
                <c:pt idx="586">
                  <c:v>8.9092333333333329E-2</c:v>
                </c:pt>
                <c:pt idx="587">
                  <c:v>8.9092333333333329E-2</c:v>
                </c:pt>
                <c:pt idx="588">
                  <c:v>8.9092333333333329E-2</c:v>
                </c:pt>
                <c:pt idx="589">
                  <c:v>8.9092333333333329E-2</c:v>
                </c:pt>
                <c:pt idx="590">
                  <c:v>8.9092333333333329E-2</c:v>
                </c:pt>
                <c:pt idx="591">
                  <c:v>8.9092333333333329E-2</c:v>
                </c:pt>
                <c:pt idx="592">
                  <c:v>8.9092333333333329E-2</c:v>
                </c:pt>
                <c:pt idx="593">
                  <c:v>8.9092333333333329E-2</c:v>
                </c:pt>
                <c:pt idx="594">
                  <c:v>8.9092333333333329E-2</c:v>
                </c:pt>
                <c:pt idx="595">
                  <c:v>8.9092333333333329E-2</c:v>
                </c:pt>
                <c:pt idx="596">
                  <c:v>8.9092333333333329E-2</c:v>
                </c:pt>
                <c:pt idx="597">
                  <c:v>8.9092333333333329E-2</c:v>
                </c:pt>
                <c:pt idx="598">
                  <c:v>8.9092333333333329E-2</c:v>
                </c:pt>
                <c:pt idx="599">
                  <c:v>8.9092333333333329E-2</c:v>
                </c:pt>
                <c:pt idx="600">
                  <c:v>8.9092333333333329E-2</c:v>
                </c:pt>
                <c:pt idx="601">
                  <c:v>8.9092333333333329E-2</c:v>
                </c:pt>
                <c:pt idx="602">
                  <c:v>8.9092333333333329E-2</c:v>
                </c:pt>
                <c:pt idx="603">
                  <c:v>8.9092333333333329E-2</c:v>
                </c:pt>
                <c:pt idx="604">
                  <c:v>8.9092333333333329E-2</c:v>
                </c:pt>
                <c:pt idx="605">
                  <c:v>8.9092333333333329E-2</c:v>
                </c:pt>
                <c:pt idx="606">
                  <c:v>8.9092333333333329E-2</c:v>
                </c:pt>
                <c:pt idx="607">
                  <c:v>8.9092333333333329E-2</c:v>
                </c:pt>
                <c:pt idx="608">
                  <c:v>8.9092333333333329E-2</c:v>
                </c:pt>
                <c:pt idx="609">
                  <c:v>8.9092333333333329E-2</c:v>
                </c:pt>
                <c:pt idx="610">
                  <c:v>8.9092333333333329E-2</c:v>
                </c:pt>
                <c:pt idx="611">
                  <c:v>8.9092333333333329E-2</c:v>
                </c:pt>
                <c:pt idx="612">
                  <c:v>8.9092333333333329E-2</c:v>
                </c:pt>
                <c:pt idx="613">
                  <c:v>8.9092333333333329E-2</c:v>
                </c:pt>
                <c:pt idx="614">
                  <c:v>8.9092333333333329E-2</c:v>
                </c:pt>
                <c:pt idx="615">
                  <c:v>8.9092333333333329E-2</c:v>
                </c:pt>
                <c:pt idx="616">
                  <c:v>8.9092333333333329E-2</c:v>
                </c:pt>
                <c:pt idx="617">
                  <c:v>8.9092333333333329E-2</c:v>
                </c:pt>
                <c:pt idx="618">
                  <c:v>8.9092333333333329E-2</c:v>
                </c:pt>
                <c:pt idx="619">
                  <c:v>8.9092333333333329E-2</c:v>
                </c:pt>
                <c:pt idx="620">
                  <c:v>8.9092333333333329E-2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3.6833887159730253E-3</c:v>
                </c:pt>
                <c:pt idx="652">
                  <c:v>3.6833887159730253E-3</c:v>
                </c:pt>
                <c:pt idx="653">
                  <c:v>3.6833887159730253E-3</c:v>
                </c:pt>
                <c:pt idx="654">
                  <c:v>3.6833887159730253E-3</c:v>
                </c:pt>
                <c:pt idx="655">
                  <c:v>3.6833887159730253E-3</c:v>
                </c:pt>
                <c:pt idx="656">
                  <c:v>3.6833887159730253E-3</c:v>
                </c:pt>
                <c:pt idx="657">
                  <c:v>3.6833887159730253E-3</c:v>
                </c:pt>
                <c:pt idx="658">
                  <c:v>3.6833887159730253E-3</c:v>
                </c:pt>
                <c:pt idx="659">
                  <c:v>3.6833887159730253E-3</c:v>
                </c:pt>
                <c:pt idx="660">
                  <c:v>3.6833887159730253E-3</c:v>
                </c:pt>
                <c:pt idx="661">
                  <c:v>3.6833887159730253E-3</c:v>
                </c:pt>
                <c:pt idx="662">
                  <c:v>3.6833887159730253E-3</c:v>
                </c:pt>
                <c:pt idx="663">
                  <c:v>3.6833887159730253E-3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C-46D4-ADF1-7E726112E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192255"/>
        <c:axId val="274141519"/>
      </c:areaChart>
      <c:lineChart>
        <c:grouping val="standard"/>
        <c:varyColors val="0"/>
        <c:ser>
          <c:idx val="3"/>
          <c:order val="3"/>
          <c:tx>
            <c:v>Methane 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Summary!$B$3:$B$665</c:f>
              <c:numCache>
                <c:formatCode>General</c:formatCode>
                <c:ptCount val="663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</c:numCache>
            </c:numRef>
          </c:cat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0C-46D4-ADF1-7E726112E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466095"/>
        <c:axId val="1543454575"/>
      </c:lineChart>
      <c:catAx>
        <c:axId val="885192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>
                    <a:solidFill>
                      <a:sysClr val="windowText" lastClr="000000"/>
                    </a:solidFill>
                  </a:rPr>
                  <a:t>Days of Operation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41519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27414151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>
                    <a:solidFill>
                      <a:sysClr val="windowText" lastClr="000000"/>
                    </a:solidFill>
                  </a:rPr>
                  <a:t>Product Gas Composition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92255"/>
        <c:crosses val="autoZero"/>
        <c:crossBetween val="between"/>
        <c:majorUnit val="0.1"/>
        <c:minorUnit val="5.000000000000001E-2"/>
      </c:valAx>
      <c:valAx>
        <c:axId val="1543454575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800" b="0" i="0" u="none" strike="noStrike" kern="1200" spc="0" baseline="0">
                    <a:solidFill>
                      <a:sysClr val="windowText" lastClr="000000"/>
                    </a:solidFill>
                  </a:rPr>
                  <a:t>Methane Production Rate  (m</a:t>
                </a:r>
                <a:r>
                  <a:rPr lang="en-US" sz="2800" b="0" i="0" u="none" strike="noStrike" kern="1200" spc="0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2800" b="0" i="0" u="none" strike="noStrike" kern="1200" spc="0" baseline="0">
                    <a:solidFill>
                      <a:sysClr val="windowText" lastClr="000000"/>
                    </a:solidFill>
                  </a:rPr>
                  <a:t>CH</a:t>
                </a:r>
                <a:r>
                  <a:rPr lang="en-US" sz="2800" b="0" i="0" u="none" strike="noStrike" kern="1200" spc="0" baseline="-25000">
                    <a:solidFill>
                      <a:sysClr val="windowText" lastClr="000000"/>
                    </a:solidFill>
                  </a:rPr>
                  <a:t>4</a:t>
                </a:r>
                <a:r>
                  <a:rPr lang="en-US" sz="2800" b="0" i="0" u="none" strike="noStrike" kern="1200" spc="0" baseline="0">
                    <a:solidFill>
                      <a:sysClr val="windowText" lastClr="000000"/>
                    </a:solidFill>
                  </a:rPr>
                  <a:t>/m</a:t>
                </a:r>
                <a:r>
                  <a:rPr lang="en-US" sz="2800" b="0" i="0" u="none" strike="noStrike" kern="1200" spc="0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2800" b="0" i="0" u="none" strike="noStrike" kern="1200" spc="0" baseline="0">
                    <a:solidFill>
                      <a:sysClr val="windowText" lastClr="000000"/>
                    </a:solidFill>
                  </a:rPr>
                  <a:t>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66095"/>
        <c:crosses val="max"/>
        <c:crossBetween val="between"/>
        <c:majorUnit val="1"/>
      </c:valAx>
      <c:catAx>
        <c:axId val="15434660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3454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4655248816725073"/>
          <c:y val="0.6161931023167434"/>
          <c:w val="0.14225906612694514"/>
          <c:h val="0.20888528706691065"/>
        </c:manualLayout>
      </c:layout>
      <c:overlay val="1"/>
      <c:spPr>
        <a:solidFill>
          <a:srgbClr val="FFFFFF"/>
        </a:solidFill>
        <a:ln w="19050"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solidFill>
                  <a:sysClr val="windowText" lastClr="000000"/>
                </a:solidFill>
              </a:rPr>
              <a:t>Substrate Utilization &amp; Methane Production Rates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04559378852252"/>
          <c:y val="0.11956408775116723"/>
          <c:w val="0.82102110177167986"/>
          <c:h val="0.71275436452622587"/>
        </c:manualLayout>
      </c:layout>
      <c:areaChart>
        <c:grouping val="stacked"/>
        <c:varyColors val="0"/>
        <c:ser>
          <c:idx val="2"/>
          <c:order val="1"/>
          <c:tx>
            <c:v>Methane (%)</c:v>
          </c:tx>
          <c:spPr>
            <a:solidFill>
              <a:srgbClr val="FFD966"/>
            </a:solidFill>
            <a:ln>
              <a:noFill/>
              <a:prstDash val="sysDot"/>
            </a:ln>
            <a:effectLst/>
          </c:spPr>
          <c:cat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cat>
          <c:val>
            <c:numRef>
              <c:f>Summary!$AC$3:$AC$3113</c:f>
              <c:numCache>
                <c:formatCode>General</c:formatCode>
                <c:ptCount val="3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0.122433</c:v>
                </c:pt>
                <c:pt idx="33">
                  <c:v>0.122433</c:v>
                </c:pt>
                <c:pt idx="34">
                  <c:v>0.122433</c:v>
                </c:pt>
                <c:pt idx="35">
                  <c:v>0.122433</c:v>
                </c:pt>
                <c:pt idx="36">
                  <c:v>0.122433</c:v>
                </c:pt>
                <c:pt idx="37">
                  <c:v>0.122433</c:v>
                </c:pt>
                <c:pt idx="38">
                  <c:v>0.122433</c:v>
                </c:pt>
                <c:pt idx="39">
                  <c:v>0.122433</c:v>
                </c:pt>
                <c:pt idx="40">
                  <c:v>0.122433</c:v>
                </c:pt>
                <c:pt idx="41">
                  <c:v>0.122433</c:v>
                </c:pt>
                <c:pt idx="42">
                  <c:v>0.122433</c:v>
                </c:pt>
                <c:pt idx="43">
                  <c:v>0.122433</c:v>
                </c:pt>
                <c:pt idx="44">
                  <c:v>0.122433</c:v>
                </c:pt>
                <c:pt idx="45">
                  <c:v>0.122433</c:v>
                </c:pt>
                <c:pt idx="46">
                  <c:v>0.122433</c:v>
                </c:pt>
                <c:pt idx="47">
                  <c:v>0.122433</c:v>
                </c:pt>
                <c:pt idx="48">
                  <c:v>0.122433</c:v>
                </c:pt>
                <c:pt idx="49">
                  <c:v>0.122433</c:v>
                </c:pt>
                <c:pt idx="50">
                  <c:v>0.122433</c:v>
                </c:pt>
                <c:pt idx="51">
                  <c:v>0.122433</c:v>
                </c:pt>
                <c:pt idx="52">
                  <c:v>0.122433</c:v>
                </c:pt>
                <c:pt idx="53">
                  <c:v>0.122433</c:v>
                </c:pt>
                <c:pt idx="54">
                  <c:v>0.122433</c:v>
                </c:pt>
                <c:pt idx="55">
                  <c:v>0.122433</c:v>
                </c:pt>
                <c:pt idx="56">
                  <c:v>0.122433</c:v>
                </c:pt>
                <c:pt idx="57">
                  <c:v>0.122433</c:v>
                </c:pt>
                <c:pt idx="58">
                  <c:v>0.122433</c:v>
                </c:pt>
                <c:pt idx="59">
                  <c:v>0.122433</c:v>
                </c:pt>
                <c:pt idx="60">
                  <c:v>0.122433</c:v>
                </c:pt>
                <c:pt idx="61">
                  <c:v>0.122433</c:v>
                </c:pt>
                <c:pt idx="62">
                  <c:v>0.122433</c:v>
                </c:pt>
                <c:pt idx="63">
                  <c:v>0.122433</c:v>
                </c:pt>
                <c:pt idx="64">
                  <c:v>0.122433</c:v>
                </c:pt>
                <c:pt idx="65">
                  <c:v>0.122433</c:v>
                </c:pt>
                <c:pt idx="66">
                  <c:v>0.122433</c:v>
                </c:pt>
                <c:pt idx="67">
                  <c:v>0.122433</c:v>
                </c:pt>
                <c:pt idx="68">
                  <c:v>0.122433</c:v>
                </c:pt>
                <c:pt idx="69">
                  <c:v>0.122433</c:v>
                </c:pt>
                <c:pt idx="70">
                  <c:v>0.122433</c:v>
                </c:pt>
                <c:pt idx="71">
                  <c:v>0.12663466666666667</c:v>
                </c:pt>
                <c:pt idx="72">
                  <c:v>0.12663466666666667</c:v>
                </c:pt>
                <c:pt idx="73">
                  <c:v>0.12663466666666667</c:v>
                </c:pt>
                <c:pt idx="74">
                  <c:v>0.12663466666666667</c:v>
                </c:pt>
                <c:pt idx="75">
                  <c:v>0.12663466666666667</c:v>
                </c:pt>
                <c:pt idx="76">
                  <c:v>0.12663466666666667</c:v>
                </c:pt>
                <c:pt idx="77">
                  <c:v>0.12663466666666667</c:v>
                </c:pt>
                <c:pt idx="78">
                  <c:v>0.12663466666666667</c:v>
                </c:pt>
                <c:pt idx="79">
                  <c:v>0.12663466666666667</c:v>
                </c:pt>
                <c:pt idx="80">
                  <c:v>0.19379933333333332</c:v>
                </c:pt>
                <c:pt idx="81">
                  <c:v>0.19379933333333332</c:v>
                </c:pt>
                <c:pt idx="82">
                  <c:v>0.19379933333333332</c:v>
                </c:pt>
                <c:pt idx="83">
                  <c:v>0.19379933333333332</c:v>
                </c:pt>
                <c:pt idx="84">
                  <c:v>0.19379933333333332</c:v>
                </c:pt>
                <c:pt idx="85">
                  <c:v>0.19379933333333332</c:v>
                </c:pt>
                <c:pt idx="86">
                  <c:v>0.19379933333333332</c:v>
                </c:pt>
                <c:pt idx="87">
                  <c:v>0.19379933333333332</c:v>
                </c:pt>
                <c:pt idx="88">
                  <c:v>0.19379933333333332</c:v>
                </c:pt>
                <c:pt idx="89">
                  <c:v>0.19379933333333332</c:v>
                </c:pt>
                <c:pt idx="90">
                  <c:v>0.19379933333333332</c:v>
                </c:pt>
                <c:pt idx="91">
                  <c:v>0.19379933333333332</c:v>
                </c:pt>
                <c:pt idx="92">
                  <c:v>0.19379933333333332</c:v>
                </c:pt>
                <c:pt idx="93">
                  <c:v>0.19379933333333332</c:v>
                </c:pt>
                <c:pt idx="94">
                  <c:v>0.19379933333333332</c:v>
                </c:pt>
                <c:pt idx="95">
                  <c:v>0.19379933333333332</c:v>
                </c:pt>
                <c:pt idx="96">
                  <c:v>0.19379933333333332</c:v>
                </c:pt>
                <c:pt idx="97">
                  <c:v>0.19379933333333332</c:v>
                </c:pt>
                <c:pt idx="98">
                  <c:v>0.19379933333333332</c:v>
                </c:pt>
                <c:pt idx="99">
                  <c:v>0.19379933333333332</c:v>
                </c:pt>
                <c:pt idx="100">
                  <c:v>0.89163000000000014</c:v>
                </c:pt>
                <c:pt idx="101">
                  <c:v>0.89163000000000014</c:v>
                </c:pt>
                <c:pt idx="102">
                  <c:v>0.89163000000000014</c:v>
                </c:pt>
                <c:pt idx="103">
                  <c:v>0.89163000000000014</c:v>
                </c:pt>
                <c:pt idx="104">
                  <c:v>0.89163000000000014</c:v>
                </c:pt>
                <c:pt idx="105">
                  <c:v>0.89163000000000014</c:v>
                </c:pt>
                <c:pt idx="106">
                  <c:v>0.89163000000000014</c:v>
                </c:pt>
                <c:pt idx="107">
                  <c:v>0.89163000000000014</c:v>
                </c:pt>
                <c:pt idx="108">
                  <c:v>0.89163000000000014</c:v>
                </c:pt>
                <c:pt idx="109">
                  <c:v>0.89163000000000014</c:v>
                </c:pt>
                <c:pt idx="110">
                  <c:v>0.89163000000000014</c:v>
                </c:pt>
                <c:pt idx="111">
                  <c:v>0.89163000000000014</c:v>
                </c:pt>
                <c:pt idx="112">
                  <c:v>0.89163000000000014</c:v>
                </c:pt>
                <c:pt idx="113">
                  <c:v>0.89163000000000014</c:v>
                </c:pt>
                <c:pt idx="114">
                  <c:v>0.89163000000000014</c:v>
                </c:pt>
                <c:pt idx="115">
                  <c:v>0.89163000000000014</c:v>
                </c:pt>
                <c:pt idx="116">
                  <c:v>0.89163000000000014</c:v>
                </c:pt>
                <c:pt idx="117">
                  <c:v>0.89163000000000014</c:v>
                </c:pt>
                <c:pt idx="118">
                  <c:v>0.89163000000000014</c:v>
                </c:pt>
                <c:pt idx="119">
                  <c:v>0.89163000000000014</c:v>
                </c:pt>
                <c:pt idx="120">
                  <c:v>0.89163000000000014</c:v>
                </c:pt>
                <c:pt idx="121">
                  <c:v>0.89163000000000014</c:v>
                </c:pt>
                <c:pt idx="122">
                  <c:v>0.89163000000000014</c:v>
                </c:pt>
                <c:pt idx="123">
                  <c:v>0.89163000000000014</c:v>
                </c:pt>
                <c:pt idx="124">
                  <c:v>0.89163000000000014</c:v>
                </c:pt>
                <c:pt idx="125">
                  <c:v>0.89163000000000014</c:v>
                </c:pt>
                <c:pt idx="126">
                  <c:v>0.89163000000000014</c:v>
                </c:pt>
                <c:pt idx="127">
                  <c:v>0.89163000000000014</c:v>
                </c:pt>
                <c:pt idx="128">
                  <c:v>0.89163000000000014</c:v>
                </c:pt>
                <c:pt idx="129">
                  <c:v>0.89163000000000014</c:v>
                </c:pt>
                <c:pt idx="130">
                  <c:v>0.89163000000000014</c:v>
                </c:pt>
                <c:pt idx="131">
                  <c:v>0.89163000000000014</c:v>
                </c:pt>
                <c:pt idx="132">
                  <c:v>0.89163000000000014</c:v>
                </c:pt>
                <c:pt idx="133">
                  <c:v>0.89163000000000014</c:v>
                </c:pt>
                <c:pt idx="134">
                  <c:v>0.89163000000000014</c:v>
                </c:pt>
                <c:pt idx="135">
                  <c:v>0.89163000000000014</c:v>
                </c:pt>
                <c:pt idx="136">
                  <c:v>0.89163000000000014</c:v>
                </c:pt>
                <c:pt idx="137">
                  <c:v>0.89163000000000014</c:v>
                </c:pt>
                <c:pt idx="138">
                  <c:v>0.89163000000000014</c:v>
                </c:pt>
                <c:pt idx="139">
                  <c:v>0.89163000000000014</c:v>
                </c:pt>
                <c:pt idx="140">
                  <c:v>0.89163000000000014</c:v>
                </c:pt>
                <c:pt idx="141">
                  <c:v>0.89163000000000014</c:v>
                </c:pt>
                <c:pt idx="142">
                  <c:v>0.89163000000000014</c:v>
                </c:pt>
                <c:pt idx="143">
                  <c:v>0.89163000000000014</c:v>
                </c:pt>
                <c:pt idx="144">
                  <c:v>0.89163000000000014</c:v>
                </c:pt>
                <c:pt idx="145">
                  <c:v>0.89163000000000014</c:v>
                </c:pt>
                <c:pt idx="146">
                  <c:v>0.89163000000000014</c:v>
                </c:pt>
                <c:pt idx="147">
                  <c:v>0.89163000000000014</c:v>
                </c:pt>
                <c:pt idx="148">
                  <c:v>0.89163000000000014</c:v>
                </c:pt>
                <c:pt idx="149">
                  <c:v>0.89163000000000014</c:v>
                </c:pt>
                <c:pt idx="150">
                  <c:v>0.89163000000000014</c:v>
                </c:pt>
                <c:pt idx="151">
                  <c:v>0.89163000000000014</c:v>
                </c:pt>
                <c:pt idx="152">
                  <c:v>0.89163000000000014</c:v>
                </c:pt>
                <c:pt idx="153">
                  <c:v>0.89163000000000014</c:v>
                </c:pt>
                <c:pt idx="154">
                  <c:v>0.89163000000000014</c:v>
                </c:pt>
                <c:pt idx="155">
                  <c:v>0.89163000000000014</c:v>
                </c:pt>
                <c:pt idx="156">
                  <c:v>0.89163000000000014</c:v>
                </c:pt>
                <c:pt idx="157">
                  <c:v>0.89163000000000014</c:v>
                </c:pt>
                <c:pt idx="158">
                  <c:v>0.89163000000000014</c:v>
                </c:pt>
                <c:pt idx="159">
                  <c:v>0.89163000000000014</c:v>
                </c:pt>
                <c:pt idx="160">
                  <c:v>0.89163000000000014</c:v>
                </c:pt>
                <c:pt idx="161">
                  <c:v>0.88412199999999985</c:v>
                </c:pt>
                <c:pt idx="162">
                  <c:v>0.88412199999999985</c:v>
                </c:pt>
                <c:pt idx="163">
                  <c:v>0.88412199999999985</c:v>
                </c:pt>
                <c:pt idx="164">
                  <c:v>0.88412199999999985</c:v>
                </c:pt>
                <c:pt idx="165">
                  <c:v>0.88412199999999985</c:v>
                </c:pt>
                <c:pt idx="166">
                  <c:v>0.88412199999999985</c:v>
                </c:pt>
                <c:pt idx="167">
                  <c:v>0.88412199999999985</c:v>
                </c:pt>
                <c:pt idx="168">
                  <c:v>0.88412199999999985</c:v>
                </c:pt>
                <c:pt idx="169">
                  <c:v>0.88412199999999985</c:v>
                </c:pt>
                <c:pt idx="170">
                  <c:v>0.88412199999999985</c:v>
                </c:pt>
                <c:pt idx="171">
                  <c:v>0.88412199999999985</c:v>
                </c:pt>
                <c:pt idx="172">
                  <c:v>0.88412199999999985</c:v>
                </c:pt>
                <c:pt idx="173">
                  <c:v>0.88412199999999985</c:v>
                </c:pt>
                <c:pt idx="174">
                  <c:v>0.88412199999999985</c:v>
                </c:pt>
                <c:pt idx="175">
                  <c:v>0.88412199999999985</c:v>
                </c:pt>
                <c:pt idx="176">
                  <c:v>0.88412199999999985</c:v>
                </c:pt>
                <c:pt idx="177">
                  <c:v>0.88412199999999985</c:v>
                </c:pt>
                <c:pt idx="178">
                  <c:v>0.88412199999999985</c:v>
                </c:pt>
                <c:pt idx="179">
                  <c:v>0.88412199999999985</c:v>
                </c:pt>
                <c:pt idx="180">
                  <c:v>0.88412199999999985</c:v>
                </c:pt>
                <c:pt idx="181">
                  <c:v>0.88412199999999985</c:v>
                </c:pt>
                <c:pt idx="182">
                  <c:v>0.88412199999999985</c:v>
                </c:pt>
                <c:pt idx="183">
                  <c:v>0.88412199999999985</c:v>
                </c:pt>
                <c:pt idx="184">
                  <c:v>0.88412199999999985</c:v>
                </c:pt>
                <c:pt idx="185">
                  <c:v>0.88412199999999985</c:v>
                </c:pt>
                <c:pt idx="186">
                  <c:v>0.88412199999999985</c:v>
                </c:pt>
                <c:pt idx="187">
                  <c:v>0.88412199999999985</c:v>
                </c:pt>
                <c:pt idx="188">
                  <c:v>0.88412199999999985</c:v>
                </c:pt>
                <c:pt idx="189">
                  <c:v>0.88412199999999985</c:v>
                </c:pt>
                <c:pt idx="190">
                  <c:v>0.88412199999999985</c:v>
                </c:pt>
                <c:pt idx="191">
                  <c:v>0.88412199999999985</c:v>
                </c:pt>
                <c:pt idx="192">
                  <c:v>0.88412199999999985</c:v>
                </c:pt>
                <c:pt idx="193">
                  <c:v>0.88412199999999985</c:v>
                </c:pt>
                <c:pt idx="194">
                  <c:v>0.88412199999999985</c:v>
                </c:pt>
                <c:pt idx="195">
                  <c:v>0.88412199999999985</c:v>
                </c:pt>
                <c:pt idx="196">
                  <c:v>0.88412199999999985</c:v>
                </c:pt>
                <c:pt idx="197">
                  <c:v>0.88412199999999985</c:v>
                </c:pt>
                <c:pt idx="198">
                  <c:v>0.88412199999999985</c:v>
                </c:pt>
                <c:pt idx="199">
                  <c:v>0.88412199999999985</c:v>
                </c:pt>
                <c:pt idx="200">
                  <c:v>0.88412199999999985</c:v>
                </c:pt>
                <c:pt idx="201">
                  <c:v>0.88412199999999985</c:v>
                </c:pt>
                <c:pt idx="202">
                  <c:v>0.88412199999999985</c:v>
                </c:pt>
                <c:pt idx="203">
                  <c:v>0.88412199999999985</c:v>
                </c:pt>
                <c:pt idx="204">
                  <c:v>0.88412199999999985</c:v>
                </c:pt>
                <c:pt idx="205">
                  <c:v>0.88412199999999985</c:v>
                </c:pt>
                <c:pt idx="206">
                  <c:v>0.88412199999999985</c:v>
                </c:pt>
                <c:pt idx="207">
                  <c:v>0.88412199999999985</c:v>
                </c:pt>
                <c:pt idx="208">
                  <c:v>0.88412199999999985</c:v>
                </c:pt>
                <c:pt idx="209">
                  <c:v>0.88412199999999985</c:v>
                </c:pt>
                <c:pt idx="210">
                  <c:v>0.88412199999999985</c:v>
                </c:pt>
                <c:pt idx="211">
                  <c:v>0.88412199999999985</c:v>
                </c:pt>
                <c:pt idx="212">
                  <c:v>0.88412199999999985</c:v>
                </c:pt>
                <c:pt idx="213">
                  <c:v>0.88412199999999985</c:v>
                </c:pt>
                <c:pt idx="214">
                  <c:v>0.88412199999999985</c:v>
                </c:pt>
                <c:pt idx="215">
                  <c:v>0.88412199999999985</c:v>
                </c:pt>
                <c:pt idx="216">
                  <c:v>0.88412199999999985</c:v>
                </c:pt>
                <c:pt idx="217">
                  <c:v>0.88412199999999985</c:v>
                </c:pt>
                <c:pt idx="218">
                  <c:v>0.88412199999999985</c:v>
                </c:pt>
                <c:pt idx="219">
                  <c:v>0.88412199999999985</c:v>
                </c:pt>
                <c:pt idx="220">
                  <c:v>0.88412199999999985</c:v>
                </c:pt>
                <c:pt idx="221">
                  <c:v>0.88412199999999985</c:v>
                </c:pt>
                <c:pt idx="222">
                  <c:v>0.88412199999999985</c:v>
                </c:pt>
                <c:pt idx="223">
                  <c:v>0.88412199999999985</c:v>
                </c:pt>
                <c:pt idx="224">
                  <c:v>0.88412199999999985</c:v>
                </c:pt>
                <c:pt idx="225">
                  <c:v>0.88412199999999985</c:v>
                </c:pt>
                <c:pt idx="226">
                  <c:v>0.88412199999999985</c:v>
                </c:pt>
                <c:pt idx="227">
                  <c:v>0.88412199999999985</c:v>
                </c:pt>
                <c:pt idx="228">
                  <c:v>0.88412199999999985</c:v>
                </c:pt>
                <c:pt idx="229">
                  <c:v>0.88412199999999985</c:v>
                </c:pt>
                <c:pt idx="230">
                  <c:v>0.88412199999999985</c:v>
                </c:pt>
                <c:pt idx="231">
                  <c:v>0.88412199999999985</c:v>
                </c:pt>
                <c:pt idx="232">
                  <c:v>0.88412199999999985</c:v>
                </c:pt>
                <c:pt idx="233">
                  <c:v>0.88412199999999985</c:v>
                </c:pt>
                <c:pt idx="234">
                  <c:v>0.88412199999999985</c:v>
                </c:pt>
                <c:pt idx="235">
                  <c:v>0.88412199999999985</c:v>
                </c:pt>
                <c:pt idx="236">
                  <c:v>0.88412199999999985</c:v>
                </c:pt>
                <c:pt idx="237">
                  <c:v>0.88412199999999985</c:v>
                </c:pt>
                <c:pt idx="238">
                  <c:v>0.88412199999999985</c:v>
                </c:pt>
                <c:pt idx="239">
                  <c:v>0.88412199999999985</c:v>
                </c:pt>
                <c:pt idx="240">
                  <c:v>0.88412199999999985</c:v>
                </c:pt>
                <c:pt idx="241">
                  <c:v>0.115633</c:v>
                </c:pt>
                <c:pt idx="242">
                  <c:v>0.115633</c:v>
                </c:pt>
                <c:pt idx="243">
                  <c:v>0.115633</c:v>
                </c:pt>
                <c:pt idx="244">
                  <c:v>0.115633</c:v>
                </c:pt>
                <c:pt idx="245">
                  <c:v>0.115633</c:v>
                </c:pt>
                <c:pt idx="246">
                  <c:v>0.115633</c:v>
                </c:pt>
                <c:pt idx="247">
                  <c:v>0.115633</c:v>
                </c:pt>
                <c:pt idx="248">
                  <c:v>0.115633</c:v>
                </c:pt>
                <c:pt idx="249">
                  <c:v>0.115633</c:v>
                </c:pt>
                <c:pt idx="250">
                  <c:v>0.115633</c:v>
                </c:pt>
                <c:pt idx="251">
                  <c:v>0.115633</c:v>
                </c:pt>
                <c:pt idx="252">
                  <c:v>0.115633</c:v>
                </c:pt>
                <c:pt idx="253">
                  <c:v>0.115633</c:v>
                </c:pt>
                <c:pt idx="254">
                  <c:v>0.115633</c:v>
                </c:pt>
                <c:pt idx="255">
                  <c:v>0.115633</c:v>
                </c:pt>
                <c:pt idx="256">
                  <c:v>0.115633</c:v>
                </c:pt>
                <c:pt idx="257">
                  <c:v>0.115633</c:v>
                </c:pt>
                <c:pt idx="258">
                  <c:v>0.115633</c:v>
                </c:pt>
                <c:pt idx="259">
                  <c:v>0.115633</c:v>
                </c:pt>
                <c:pt idx="260">
                  <c:v>0.115633</c:v>
                </c:pt>
                <c:pt idx="261">
                  <c:v>0.115633</c:v>
                </c:pt>
                <c:pt idx="262">
                  <c:v>0.115633</c:v>
                </c:pt>
                <c:pt idx="263">
                  <c:v>0.115633</c:v>
                </c:pt>
                <c:pt idx="264">
                  <c:v>0.115633</c:v>
                </c:pt>
                <c:pt idx="265">
                  <c:v>0.115633</c:v>
                </c:pt>
                <c:pt idx="266">
                  <c:v>0.115633</c:v>
                </c:pt>
                <c:pt idx="267">
                  <c:v>0.115633</c:v>
                </c:pt>
                <c:pt idx="268">
                  <c:v>0.115633</c:v>
                </c:pt>
                <c:pt idx="269">
                  <c:v>0.115633</c:v>
                </c:pt>
                <c:pt idx="270">
                  <c:v>0.115633</c:v>
                </c:pt>
                <c:pt idx="271">
                  <c:v>0.115633</c:v>
                </c:pt>
                <c:pt idx="272">
                  <c:v>0.115633</c:v>
                </c:pt>
                <c:pt idx="273">
                  <c:v>0.115633</c:v>
                </c:pt>
                <c:pt idx="274">
                  <c:v>0.115633</c:v>
                </c:pt>
                <c:pt idx="275">
                  <c:v>0.115633</c:v>
                </c:pt>
                <c:pt idx="276">
                  <c:v>0.115633</c:v>
                </c:pt>
                <c:pt idx="277">
                  <c:v>0.115633</c:v>
                </c:pt>
                <c:pt idx="278">
                  <c:v>0.115633</c:v>
                </c:pt>
                <c:pt idx="279">
                  <c:v>0.115633</c:v>
                </c:pt>
                <c:pt idx="280">
                  <c:v>0.115633</c:v>
                </c:pt>
                <c:pt idx="281">
                  <c:v>0.115633</c:v>
                </c:pt>
                <c:pt idx="282">
                  <c:v>0.115633</c:v>
                </c:pt>
                <c:pt idx="283">
                  <c:v>0.115633</c:v>
                </c:pt>
                <c:pt idx="284">
                  <c:v>0.115633</c:v>
                </c:pt>
                <c:pt idx="285">
                  <c:v>0.115633</c:v>
                </c:pt>
                <c:pt idx="286">
                  <c:v>0.115633</c:v>
                </c:pt>
                <c:pt idx="287">
                  <c:v>0.115633</c:v>
                </c:pt>
                <c:pt idx="288">
                  <c:v>0.115633</c:v>
                </c:pt>
                <c:pt idx="289">
                  <c:v>0.115633</c:v>
                </c:pt>
                <c:pt idx="290">
                  <c:v>0.115633</c:v>
                </c:pt>
                <c:pt idx="291">
                  <c:v>0.115633</c:v>
                </c:pt>
                <c:pt idx="292">
                  <c:v>0.115633</c:v>
                </c:pt>
                <c:pt idx="293">
                  <c:v>0.115633</c:v>
                </c:pt>
                <c:pt idx="294">
                  <c:v>0.115633</c:v>
                </c:pt>
                <c:pt idx="295">
                  <c:v>0.115633</c:v>
                </c:pt>
                <c:pt idx="296">
                  <c:v>0.115633</c:v>
                </c:pt>
                <c:pt idx="297">
                  <c:v>0.115633</c:v>
                </c:pt>
                <c:pt idx="298">
                  <c:v>0.115633</c:v>
                </c:pt>
                <c:pt idx="299">
                  <c:v>0.115633</c:v>
                </c:pt>
                <c:pt idx="300">
                  <c:v>0.115633</c:v>
                </c:pt>
                <c:pt idx="301">
                  <c:v>0.1357256667</c:v>
                </c:pt>
                <c:pt idx="302">
                  <c:v>0.1357256667</c:v>
                </c:pt>
                <c:pt idx="303">
                  <c:v>0.1357256667</c:v>
                </c:pt>
                <c:pt idx="304">
                  <c:v>0.1357256667</c:v>
                </c:pt>
                <c:pt idx="305">
                  <c:v>0.1357256667</c:v>
                </c:pt>
                <c:pt idx="306">
                  <c:v>0.1357256667</c:v>
                </c:pt>
                <c:pt idx="307">
                  <c:v>0.1357256667</c:v>
                </c:pt>
                <c:pt idx="308">
                  <c:v>0.1357256667</c:v>
                </c:pt>
                <c:pt idx="309">
                  <c:v>0.1357256667</c:v>
                </c:pt>
                <c:pt idx="310">
                  <c:v>0.1357256667</c:v>
                </c:pt>
                <c:pt idx="311">
                  <c:v>0.1357256667</c:v>
                </c:pt>
                <c:pt idx="312">
                  <c:v>0.1357256667</c:v>
                </c:pt>
                <c:pt idx="313">
                  <c:v>0.1357256667</c:v>
                </c:pt>
                <c:pt idx="314">
                  <c:v>0.1357256667</c:v>
                </c:pt>
                <c:pt idx="315">
                  <c:v>0.1357256667</c:v>
                </c:pt>
                <c:pt idx="316">
                  <c:v>0.1357256667</c:v>
                </c:pt>
                <c:pt idx="317">
                  <c:v>0.1357256667</c:v>
                </c:pt>
                <c:pt idx="318">
                  <c:v>0.1357256667</c:v>
                </c:pt>
                <c:pt idx="319">
                  <c:v>0.1357256667</c:v>
                </c:pt>
                <c:pt idx="320">
                  <c:v>0.1357256667</c:v>
                </c:pt>
                <c:pt idx="321">
                  <c:v>0.1357256667</c:v>
                </c:pt>
                <c:pt idx="322">
                  <c:v>0.1357256667</c:v>
                </c:pt>
                <c:pt idx="323">
                  <c:v>0.1357256667</c:v>
                </c:pt>
                <c:pt idx="324">
                  <c:v>0.1357256667</c:v>
                </c:pt>
                <c:pt idx="325">
                  <c:v>0.1357256667</c:v>
                </c:pt>
                <c:pt idx="326">
                  <c:v>0.1357256667</c:v>
                </c:pt>
                <c:pt idx="327">
                  <c:v>0.1357256667</c:v>
                </c:pt>
                <c:pt idx="328">
                  <c:v>0.1357256667</c:v>
                </c:pt>
                <c:pt idx="329">
                  <c:v>0.1357256667</c:v>
                </c:pt>
                <c:pt idx="330">
                  <c:v>0.1357256667</c:v>
                </c:pt>
                <c:pt idx="331">
                  <c:v>0.1357256667</c:v>
                </c:pt>
                <c:pt idx="332">
                  <c:v>0.1357256667</c:v>
                </c:pt>
                <c:pt idx="333">
                  <c:v>0.1357256667</c:v>
                </c:pt>
                <c:pt idx="334">
                  <c:v>0.1357256667</c:v>
                </c:pt>
                <c:pt idx="335">
                  <c:v>0.1357256667</c:v>
                </c:pt>
                <c:pt idx="336">
                  <c:v>0.1357256667</c:v>
                </c:pt>
                <c:pt idx="337">
                  <c:v>0.1357256667</c:v>
                </c:pt>
                <c:pt idx="338">
                  <c:v>0.1357256667</c:v>
                </c:pt>
                <c:pt idx="339">
                  <c:v>0.1357256667</c:v>
                </c:pt>
                <c:pt idx="340">
                  <c:v>0.27094999999999997</c:v>
                </c:pt>
                <c:pt idx="341">
                  <c:v>0.27094999999999997</c:v>
                </c:pt>
                <c:pt idx="342">
                  <c:v>0.27094999999999997</c:v>
                </c:pt>
                <c:pt idx="343">
                  <c:v>0.27094999999999997</c:v>
                </c:pt>
                <c:pt idx="344">
                  <c:v>0.27094999999999997</c:v>
                </c:pt>
                <c:pt idx="345">
                  <c:v>0.27094999999999997</c:v>
                </c:pt>
                <c:pt idx="346">
                  <c:v>0.27094999999999997</c:v>
                </c:pt>
                <c:pt idx="347">
                  <c:v>0.27094999999999997</c:v>
                </c:pt>
                <c:pt idx="348">
                  <c:v>0.27094999999999997</c:v>
                </c:pt>
                <c:pt idx="349">
                  <c:v>0.27094999999999997</c:v>
                </c:pt>
                <c:pt idx="350">
                  <c:v>0.27094999999999997</c:v>
                </c:pt>
                <c:pt idx="351">
                  <c:v>0.27094999999999997</c:v>
                </c:pt>
                <c:pt idx="352">
                  <c:v>0.27094999999999997</c:v>
                </c:pt>
                <c:pt idx="353">
                  <c:v>0.27094999999999997</c:v>
                </c:pt>
                <c:pt idx="354">
                  <c:v>0.27094999999999997</c:v>
                </c:pt>
                <c:pt idx="355">
                  <c:v>0.27094999999999997</c:v>
                </c:pt>
                <c:pt idx="356">
                  <c:v>0.27094999999999997</c:v>
                </c:pt>
                <c:pt idx="357">
                  <c:v>0.27094999999999997</c:v>
                </c:pt>
                <c:pt idx="358">
                  <c:v>0.27094999999999997</c:v>
                </c:pt>
                <c:pt idx="359">
                  <c:v>0.27094999999999997</c:v>
                </c:pt>
                <c:pt idx="360">
                  <c:v>0.27094999999999997</c:v>
                </c:pt>
                <c:pt idx="361">
                  <c:v>0.27094999999999997</c:v>
                </c:pt>
                <c:pt idx="362">
                  <c:v>0.27094999999999997</c:v>
                </c:pt>
                <c:pt idx="363">
                  <c:v>0.27094999999999997</c:v>
                </c:pt>
                <c:pt idx="364">
                  <c:v>0.27094999999999997</c:v>
                </c:pt>
                <c:pt idx="365">
                  <c:v>0.27094999999999997</c:v>
                </c:pt>
                <c:pt idx="366">
                  <c:v>0.27094999999999997</c:v>
                </c:pt>
                <c:pt idx="367">
                  <c:v>0.27094999999999997</c:v>
                </c:pt>
                <c:pt idx="368">
                  <c:v>0.27094999999999997</c:v>
                </c:pt>
                <c:pt idx="369">
                  <c:v>0.27094999999999997</c:v>
                </c:pt>
                <c:pt idx="370">
                  <c:v>0.27094999999999997</c:v>
                </c:pt>
                <c:pt idx="371">
                  <c:v>0.27094999999999997</c:v>
                </c:pt>
                <c:pt idx="372">
                  <c:v>0.27094999999999997</c:v>
                </c:pt>
                <c:pt idx="373">
                  <c:v>0.27094999999999997</c:v>
                </c:pt>
                <c:pt idx="374">
                  <c:v>0.27094999999999997</c:v>
                </c:pt>
                <c:pt idx="375">
                  <c:v>0.27094999999999997</c:v>
                </c:pt>
                <c:pt idx="376">
                  <c:v>0.27094999999999997</c:v>
                </c:pt>
                <c:pt idx="377">
                  <c:v>0.27094999999999997</c:v>
                </c:pt>
                <c:pt idx="378">
                  <c:v>0.27094999999999997</c:v>
                </c:pt>
                <c:pt idx="379">
                  <c:v>0.27094999999999997</c:v>
                </c:pt>
                <c:pt idx="380">
                  <c:v>0.82638299999999998</c:v>
                </c:pt>
                <c:pt idx="381">
                  <c:v>0.82638299999999998</c:v>
                </c:pt>
                <c:pt idx="382">
                  <c:v>0.82638299999999998</c:v>
                </c:pt>
                <c:pt idx="383">
                  <c:v>0.82638299999999998</c:v>
                </c:pt>
                <c:pt idx="384">
                  <c:v>0.82638299999999998</c:v>
                </c:pt>
                <c:pt idx="385">
                  <c:v>0.82638299999999998</c:v>
                </c:pt>
                <c:pt idx="386">
                  <c:v>0.82638299999999998</c:v>
                </c:pt>
                <c:pt idx="387">
                  <c:v>0.82638299999999998</c:v>
                </c:pt>
                <c:pt idx="388">
                  <c:v>0.82638299999999998</c:v>
                </c:pt>
                <c:pt idx="389">
                  <c:v>0.82638299999999998</c:v>
                </c:pt>
                <c:pt idx="390">
                  <c:v>0.82638299999999998</c:v>
                </c:pt>
                <c:pt idx="391">
                  <c:v>0.82638299999999998</c:v>
                </c:pt>
                <c:pt idx="392">
                  <c:v>0.82638299999999998</c:v>
                </c:pt>
                <c:pt idx="393">
                  <c:v>0.82638299999999998</c:v>
                </c:pt>
                <c:pt idx="394">
                  <c:v>0.82638299999999998</c:v>
                </c:pt>
                <c:pt idx="395">
                  <c:v>0.82638299999999998</c:v>
                </c:pt>
                <c:pt idx="396">
                  <c:v>0.82638299999999998</c:v>
                </c:pt>
                <c:pt idx="397">
                  <c:v>0.82638299999999998</c:v>
                </c:pt>
                <c:pt idx="398">
                  <c:v>0.82638299999999998</c:v>
                </c:pt>
                <c:pt idx="399">
                  <c:v>0.82638299999999998</c:v>
                </c:pt>
                <c:pt idx="400">
                  <c:v>0.82638299999999998</c:v>
                </c:pt>
                <c:pt idx="401">
                  <c:v>0.82638299999999998</c:v>
                </c:pt>
                <c:pt idx="402">
                  <c:v>0.82638299999999998</c:v>
                </c:pt>
                <c:pt idx="403">
                  <c:v>0.82638299999999998</c:v>
                </c:pt>
                <c:pt idx="404">
                  <c:v>0.82638299999999998</c:v>
                </c:pt>
                <c:pt idx="405">
                  <c:v>0.82638299999999998</c:v>
                </c:pt>
                <c:pt idx="406">
                  <c:v>0.82638299999999998</c:v>
                </c:pt>
                <c:pt idx="407">
                  <c:v>0.82638299999999998</c:v>
                </c:pt>
                <c:pt idx="408">
                  <c:v>0.82638299999999998</c:v>
                </c:pt>
                <c:pt idx="409">
                  <c:v>0.82638299999999998</c:v>
                </c:pt>
                <c:pt idx="410">
                  <c:v>0.82638299999999998</c:v>
                </c:pt>
                <c:pt idx="411">
                  <c:v>0.82638299999999998</c:v>
                </c:pt>
                <c:pt idx="412">
                  <c:v>0.82638299999999998</c:v>
                </c:pt>
                <c:pt idx="413">
                  <c:v>0.82638299999999998</c:v>
                </c:pt>
                <c:pt idx="414">
                  <c:v>0.82638299999999998</c:v>
                </c:pt>
                <c:pt idx="415">
                  <c:v>0.82638299999999998</c:v>
                </c:pt>
                <c:pt idx="416">
                  <c:v>0.82638299999999998</c:v>
                </c:pt>
                <c:pt idx="417">
                  <c:v>0.82638299999999998</c:v>
                </c:pt>
                <c:pt idx="418">
                  <c:v>0.82638299999999998</c:v>
                </c:pt>
                <c:pt idx="419">
                  <c:v>0.82638299999999998</c:v>
                </c:pt>
                <c:pt idx="420">
                  <c:v>0.82638299999999998</c:v>
                </c:pt>
                <c:pt idx="421">
                  <c:v>0.82638299999999998</c:v>
                </c:pt>
                <c:pt idx="422">
                  <c:v>0.82638299999999998</c:v>
                </c:pt>
                <c:pt idx="423">
                  <c:v>0.82638299999999998</c:v>
                </c:pt>
                <c:pt idx="424">
                  <c:v>0.82638299999999998</c:v>
                </c:pt>
                <c:pt idx="425">
                  <c:v>0.82638299999999998</c:v>
                </c:pt>
                <c:pt idx="426">
                  <c:v>0.82638299999999998</c:v>
                </c:pt>
                <c:pt idx="427">
                  <c:v>0.82638299999999998</c:v>
                </c:pt>
                <c:pt idx="428">
                  <c:v>0.82638299999999998</c:v>
                </c:pt>
                <c:pt idx="429">
                  <c:v>0.82638299999999998</c:v>
                </c:pt>
                <c:pt idx="430">
                  <c:v>0.82638299999999998</c:v>
                </c:pt>
                <c:pt idx="431">
                  <c:v>0.82638299999999998</c:v>
                </c:pt>
                <c:pt idx="432">
                  <c:v>0.82638299999999998</c:v>
                </c:pt>
                <c:pt idx="433">
                  <c:v>0.50395600000000007</c:v>
                </c:pt>
                <c:pt idx="434">
                  <c:v>0.50395600000000007</c:v>
                </c:pt>
                <c:pt idx="435">
                  <c:v>0.50395600000000007</c:v>
                </c:pt>
                <c:pt idx="436">
                  <c:v>0.50395600000000007</c:v>
                </c:pt>
                <c:pt idx="437">
                  <c:v>0.50395600000000007</c:v>
                </c:pt>
                <c:pt idx="438">
                  <c:v>0.50395600000000007</c:v>
                </c:pt>
                <c:pt idx="439">
                  <c:v>0.50395600000000007</c:v>
                </c:pt>
                <c:pt idx="440">
                  <c:v>0.50395600000000007</c:v>
                </c:pt>
                <c:pt idx="441">
                  <c:v>0.50395600000000007</c:v>
                </c:pt>
                <c:pt idx="442">
                  <c:v>0.50395600000000007</c:v>
                </c:pt>
                <c:pt idx="443">
                  <c:v>0.50395600000000007</c:v>
                </c:pt>
                <c:pt idx="444">
                  <c:v>0.50395600000000007</c:v>
                </c:pt>
                <c:pt idx="445">
                  <c:v>0.50395600000000007</c:v>
                </c:pt>
                <c:pt idx="446">
                  <c:v>0.50395600000000007</c:v>
                </c:pt>
                <c:pt idx="447">
                  <c:v>0.50395600000000007</c:v>
                </c:pt>
                <c:pt idx="448">
                  <c:v>0.50395600000000007</c:v>
                </c:pt>
                <c:pt idx="449">
                  <c:v>0.50395600000000007</c:v>
                </c:pt>
                <c:pt idx="450">
                  <c:v>0.50395600000000007</c:v>
                </c:pt>
                <c:pt idx="451">
                  <c:v>0.50395600000000007</c:v>
                </c:pt>
                <c:pt idx="452">
                  <c:v>0.50395600000000007</c:v>
                </c:pt>
                <c:pt idx="453">
                  <c:v>0.50395600000000007</c:v>
                </c:pt>
                <c:pt idx="454">
                  <c:v>0.50395600000000007</c:v>
                </c:pt>
                <c:pt idx="455">
                  <c:v>0.50395600000000007</c:v>
                </c:pt>
                <c:pt idx="456">
                  <c:v>0.50395600000000007</c:v>
                </c:pt>
                <c:pt idx="457">
                  <c:v>0.50395600000000007</c:v>
                </c:pt>
                <c:pt idx="458">
                  <c:v>0.50395600000000007</c:v>
                </c:pt>
                <c:pt idx="459">
                  <c:v>0.50395600000000007</c:v>
                </c:pt>
                <c:pt idx="460">
                  <c:v>0.50395600000000007</c:v>
                </c:pt>
                <c:pt idx="461">
                  <c:v>0.50395600000000007</c:v>
                </c:pt>
                <c:pt idx="462">
                  <c:v>0.50395600000000007</c:v>
                </c:pt>
                <c:pt idx="463">
                  <c:v>0.50395600000000007</c:v>
                </c:pt>
                <c:pt idx="464">
                  <c:v>0.50395600000000007</c:v>
                </c:pt>
                <c:pt idx="465">
                  <c:v>0.50395600000000007</c:v>
                </c:pt>
                <c:pt idx="466">
                  <c:v>0.50395600000000007</c:v>
                </c:pt>
                <c:pt idx="467">
                  <c:v>0.50395600000000007</c:v>
                </c:pt>
                <c:pt idx="468">
                  <c:v>0.50395600000000007</c:v>
                </c:pt>
                <c:pt idx="469">
                  <c:v>0.50395600000000007</c:v>
                </c:pt>
                <c:pt idx="470">
                  <c:v>0.50395600000000007</c:v>
                </c:pt>
                <c:pt idx="471">
                  <c:v>0.50395600000000007</c:v>
                </c:pt>
                <c:pt idx="472">
                  <c:v>0.50395600000000007</c:v>
                </c:pt>
                <c:pt idx="473">
                  <c:v>0.50395600000000007</c:v>
                </c:pt>
                <c:pt idx="474">
                  <c:v>0.50395600000000007</c:v>
                </c:pt>
                <c:pt idx="475">
                  <c:v>0.50395600000000007</c:v>
                </c:pt>
                <c:pt idx="476">
                  <c:v>0.50395600000000007</c:v>
                </c:pt>
                <c:pt idx="477">
                  <c:v>0.50395600000000007</c:v>
                </c:pt>
                <c:pt idx="478">
                  <c:v>0.50395600000000007</c:v>
                </c:pt>
                <c:pt idx="479">
                  <c:v>0.50395600000000007</c:v>
                </c:pt>
                <c:pt idx="480">
                  <c:v>0.50395600000000007</c:v>
                </c:pt>
                <c:pt idx="481">
                  <c:v>0.50395600000000007</c:v>
                </c:pt>
                <c:pt idx="482">
                  <c:v>0.50395600000000007</c:v>
                </c:pt>
                <c:pt idx="483">
                  <c:v>0.50395600000000007</c:v>
                </c:pt>
                <c:pt idx="484">
                  <c:v>0.50395600000000007</c:v>
                </c:pt>
                <c:pt idx="485">
                  <c:v>0.50395600000000007</c:v>
                </c:pt>
                <c:pt idx="486">
                  <c:v>0.50395600000000007</c:v>
                </c:pt>
                <c:pt idx="487">
                  <c:v>0.50395600000000007</c:v>
                </c:pt>
                <c:pt idx="488">
                  <c:v>0.50395600000000007</c:v>
                </c:pt>
                <c:pt idx="489">
                  <c:v>0.50395600000000007</c:v>
                </c:pt>
                <c:pt idx="490">
                  <c:v>0.50395600000000007</c:v>
                </c:pt>
                <c:pt idx="491">
                  <c:v>0.50395600000000007</c:v>
                </c:pt>
                <c:pt idx="492">
                  <c:v>0.67272566666666667</c:v>
                </c:pt>
                <c:pt idx="493">
                  <c:v>0.67272566666666667</c:v>
                </c:pt>
                <c:pt idx="494">
                  <c:v>0.67272566666666667</c:v>
                </c:pt>
                <c:pt idx="495">
                  <c:v>0.67272566666666667</c:v>
                </c:pt>
                <c:pt idx="496">
                  <c:v>0.67272566666666667</c:v>
                </c:pt>
                <c:pt idx="497">
                  <c:v>0.67272566666666667</c:v>
                </c:pt>
                <c:pt idx="498">
                  <c:v>0.67272566666666667</c:v>
                </c:pt>
                <c:pt idx="499">
                  <c:v>0.67272566666666667</c:v>
                </c:pt>
                <c:pt idx="500">
                  <c:v>0.67272566666666667</c:v>
                </c:pt>
                <c:pt idx="501">
                  <c:v>0.67272566666666667</c:v>
                </c:pt>
                <c:pt idx="502">
                  <c:v>0.67272566666666667</c:v>
                </c:pt>
                <c:pt idx="503">
                  <c:v>0.67272566666666667</c:v>
                </c:pt>
                <c:pt idx="504">
                  <c:v>0.67272566666666667</c:v>
                </c:pt>
                <c:pt idx="505">
                  <c:v>0.67272566666666667</c:v>
                </c:pt>
                <c:pt idx="506">
                  <c:v>0.67272566666666667</c:v>
                </c:pt>
                <c:pt idx="507">
                  <c:v>0.67272566666666667</c:v>
                </c:pt>
                <c:pt idx="508">
                  <c:v>0.67272566666666667</c:v>
                </c:pt>
                <c:pt idx="509">
                  <c:v>0.67272566666666667</c:v>
                </c:pt>
                <c:pt idx="510">
                  <c:v>0.67272566666666667</c:v>
                </c:pt>
                <c:pt idx="511">
                  <c:v>0.67272566666666667</c:v>
                </c:pt>
                <c:pt idx="512">
                  <c:v>0.67272566666666667</c:v>
                </c:pt>
                <c:pt idx="513">
                  <c:v>0.67272566666666667</c:v>
                </c:pt>
                <c:pt idx="514">
                  <c:v>0.67272566666666667</c:v>
                </c:pt>
                <c:pt idx="515">
                  <c:v>0.67272566666666667</c:v>
                </c:pt>
                <c:pt idx="516">
                  <c:v>0.67272566666666667</c:v>
                </c:pt>
                <c:pt idx="517">
                  <c:v>0.67272566666666667</c:v>
                </c:pt>
                <c:pt idx="518">
                  <c:v>0.67272566666666667</c:v>
                </c:pt>
                <c:pt idx="519">
                  <c:v>0.67272566666666667</c:v>
                </c:pt>
                <c:pt idx="520">
                  <c:v>0.67272566666666667</c:v>
                </c:pt>
                <c:pt idx="521">
                  <c:v>0.67272566666666667</c:v>
                </c:pt>
                <c:pt idx="522">
                  <c:v>0.67272566666666667</c:v>
                </c:pt>
                <c:pt idx="523">
                  <c:v>0.67272566666666667</c:v>
                </c:pt>
                <c:pt idx="524">
                  <c:v>0.67272566666666667</c:v>
                </c:pt>
                <c:pt idx="525">
                  <c:v>0.67272566666666667</c:v>
                </c:pt>
                <c:pt idx="526">
                  <c:v>0.67272566666666667</c:v>
                </c:pt>
                <c:pt idx="527">
                  <c:v>0.67272566666666667</c:v>
                </c:pt>
                <c:pt idx="528">
                  <c:v>0.67272566666666667</c:v>
                </c:pt>
                <c:pt idx="529">
                  <c:v>0.67272566666666667</c:v>
                </c:pt>
                <c:pt idx="530">
                  <c:v>0.67272566666666667</c:v>
                </c:pt>
                <c:pt idx="531">
                  <c:v>0.67272566666666667</c:v>
                </c:pt>
                <c:pt idx="532">
                  <c:v>0.67272566666666667</c:v>
                </c:pt>
                <c:pt idx="533">
                  <c:v>0.67272566666666667</c:v>
                </c:pt>
                <c:pt idx="534">
                  <c:v>0.67272566666666667</c:v>
                </c:pt>
                <c:pt idx="535">
                  <c:v>0.67272566666666667</c:v>
                </c:pt>
                <c:pt idx="536">
                  <c:v>0.67272566666666667</c:v>
                </c:pt>
                <c:pt idx="537">
                  <c:v>0.67272566666666667</c:v>
                </c:pt>
                <c:pt idx="538">
                  <c:v>0.67272566666666667</c:v>
                </c:pt>
                <c:pt idx="539">
                  <c:v>0.67272566666666667</c:v>
                </c:pt>
                <c:pt idx="540">
                  <c:v>0.67272566666666667</c:v>
                </c:pt>
                <c:pt idx="541">
                  <c:v>0.67272566666666667</c:v>
                </c:pt>
                <c:pt idx="542">
                  <c:v>0.67272566666666667</c:v>
                </c:pt>
                <c:pt idx="543">
                  <c:v>0.67272566666666667</c:v>
                </c:pt>
                <c:pt idx="544">
                  <c:v>0.67272566666666667</c:v>
                </c:pt>
                <c:pt idx="545">
                  <c:v>0.67272566666666667</c:v>
                </c:pt>
                <c:pt idx="546">
                  <c:v>0.67272566666666667</c:v>
                </c:pt>
                <c:pt idx="547">
                  <c:v>0.67272566666666667</c:v>
                </c:pt>
                <c:pt idx="548">
                  <c:v>0.67272566666666667</c:v>
                </c:pt>
                <c:pt idx="549">
                  <c:v>0.67272566666666667</c:v>
                </c:pt>
                <c:pt idx="550">
                  <c:v>0.67272566666666667</c:v>
                </c:pt>
                <c:pt idx="551">
                  <c:v>0.67272566666666667</c:v>
                </c:pt>
                <c:pt idx="552">
                  <c:v>0.67272566666666667</c:v>
                </c:pt>
                <c:pt idx="553">
                  <c:v>0.67272566666666667</c:v>
                </c:pt>
                <c:pt idx="554">
                  <c:v>0.67272566666666667</c:v>
                </c:pt>
                <c:pt idx="555">
                  <c:v>0.67272566666666667</c:v>
                </c:pt>
                <c:pt idx="556">
                  <c:v>0.67272566666666667</c:v>
                </c:pt>
                <c:pt idx="557">
                  <c:v>0.67272566666666667</c:v>
                </c:pt>
                <c:pt idx="558">
                  <c:v>0.67272566666666667</c:v>
                </c:pt>
                <c:pt idx="559">
                  <c:v>0.67272566666666667</c:v>
                </c:pt>
                <c:pt idx="560">
                  <c:v>0.67272566666666667</c:v>
                </c:pt>
                <c:pt idx="561">
                  <c:v>0.67272566666666667</c:v>
                </c:pt>
                <c:pt idx="562">
                  <c:v>0.67272566666666667</c:v>
                </c:pt>
                <c:pt idx="563">
                  <c:v>0.67272566666666667</c:v>
                </c:pt>
                <c:pt idx="564">
                  <c:v>0.67272566666666667</c:v>
                </c:pt>
                <c:pt idx="565">
                  <c:v>0.67272566666666667</c:v>
                </c:pt>
                <c:pt idx="566">
                  <c:v>0.67272566666666667</c:v>
                </c:pt>
                <c:pt idx="567">
                  <c:v>0.67272566666666667</c:v>
                </c:pt>
                <c:pt idx="568">
                  <c:v>0.67272566666666667</c:v>
                </c:pt>
                <c:pt idx="569">
                  <c:v>0.67272566666666667</c:v>
                </c:pt>
                <c:pt idx="570">
                  <c:v>0.67272566666666667</c:v>
                </c:pt>
                <c:pt idx="571">
                  <c:v>0.67272566666666667</c:v>
                </c:pt>
                <c:pt idx="572">
                  <c:v>0.67272566666666667</c:v>
                </c:pt>
                <c:pt idx="573">
                  <c:v>0.67272566666666667</c:v>
                </c:pt>
                <c:pt idx="574">
                  <c:v>0.67272566666666667</c:v>
                </c:pt>
                <c:pt idx="575">
                  <c:v>0.67272566666666667</c:v>
                </c:pt>
                <c:pt idx="576">
                  <c:v>0.67272566666666667</c:v>
                </c:pt>
                <c:pt idx="577">
                  <c:v>0.67272566666666667</c:v>
                </c:pt>
                <c:pt idx="578">
                  <c:v>0.67272566666666667</c:v>
                </c:pt>
                <c:pt idx="579">
                  <c:v>0.67272566666666667</c:v>
                </c:pt>
                <c:pt idx="580">
                  <c:v>0.67272566666666667</c:v>
                </c:pt>
                <c:pt idx="581">
                  <c:v>0.67272566666666667</c:v>
                </c:pt>
                <c:pt idx="582">
                  <c:v>0.67272566666666667</c:v>
                </c:pt>
                <c:pt idx="583">
                  <c:v>0.67272566666666667</c:v>
                </c:pt>
                <c:pt idx="584">
                  <c:v>0.67272566666666667</c:v>
                </c:pt>
                <c:pt idx="585">
                  <c:v>0.67272566666666667</c:v>
                </c:pt>
                <c:pt idx="586">
                  <c:v>0.67272566666666667</c:v>
                </c:pt>
                <c:pt idx="587">
                  <c:v>0.67272566666666667</c:v>
                </c:pt>
                <c:pt idx="588">
                  <c:v>0.67272566666666667</c:v>
                </c:pt>
                <c:pt idx="589">
                  <c:v>0.67272566666666667</c:v>
                </c:pt>
                <c:pt idx="590">
                  <c:v>0.67272566666666667</c:v>
                </c:pt>
                <c:pt idx="591">
                  <c:v>0.67272566666666667</c:v>
                </c:pt>
                <c:pt idx="592">
                  <c:v>0.67272566666666667</c:v>
                </c:pt>
                <c:pt idx="593">
                  <c:v>0.67272566666666667</c:v>
                </c:pt>
                <c:pt idx="594">
                  <c:v>0.67272566666666667</c:v>
                </c:pt>
                <c:pt idx="595">
                  <c:v>0.67272566666666667</c:v>
                </c:pt>
                <c:pt idx="596">
                  <c:v>0.67272566666666667</c:v>
                </c:pt>
                <c:pt idx="597">
                  <c:v>0.67272566666666667</c:v>
                </c:pt>
                <c:pt idx="598">
                  <c:v>0.67272566666666667</c:v>
                </c:pt>
                <c:pt idx="599">
                  <c:v>0.67272566666666667</c:v>
                </c:pt>
                <c:pt idx="600">
                  <c:v>0.67272566666666667</c:v>
                </c:pt>
                <c:pt idx="601">
                  <c:v>0.67272566666666667</c:v>
                </c:pt>
                <c:pt idx="602">
                  <c:v>0.67272566666666667</c:v>
                </c:pt>
                <c:pt idx="603">
                  <c:v>0.67272566666666667</c:v>
                </c:pt>
                <c:pt idx="604">
                  <c:v>0.67272566666666667</c:v>
                </c:pt>
                <c:pt idx="605">
                  <c:v>0.67272566666666667</c:v>
                </c:pt>
                <c:pt idx="606">
                  <c:v>0.67272566666666667</c:v>
                </c:pt>
                <c:pt idx="607">
                  <c:v>0.67272566666666667</c:v>
                </c:pt>
                <c:pt idx="608">
                  <c:v>0.67272566666666667</c:v>
                </c:pt>
                <c:pt idx="609">
                  <c:v>0.67272566666666667</c:v>
                </c:pt>
                <c:pt idx="610">
                  <c:v>0.67272566666666667</c:v>
                </c:pt>
                <c:pt idx="611">
                  <c:v>0.67272566666666667</c:v>
                </c:pt>
                <c:pt idx="612">
                  <c:v>0.67272566666666667</c:v>
                </c:pt>
                <c:pt idx="613">
                  <c:v>0.67272566666666667</c:v>
                </c:pt>
                <c:pt idx="614">
                  <c:v>0.67272566666666667</c:v>
                </c:pt>
                <c:pt idx="615">
                  <c:v>0.67272566666666667</c:v>
                </c:pt>
                <c:pt idx="616">
                  <c:v>0.67272566666666667</c:v>
                </c:pt>
                <c:pt idx="617">
                  <c:v>0.67272566666666667</c:v>
                </c:pt>
                <c:pt idx="618">
                  <c:v>0.67272566666666667</c:v>
                </c:pt>
                <c:pt idx="619">
                  <c:v>0.67272566666666667</c:v>
                </c:pt>
                <c:pt idx="620">
                  <c:v>0.67272566666666667</c:v>
                </c:pt>
                <c:pt idx="621">
                  <c:v>0.72243166666666658</c:v>
                </c:pt>
                <c:pt idx="622">
                  <c:v>0.72243166666666658</c:v>
                </c:pt>
                <c:pt idx="623">
                  <c:v>0.72243166666666658</c:v>
                </c:pt>
                <c:pt idx="624">
                  <c:v>0.72243166666666658</c:v>
                </c:pt>
                <c:pt idx="625">
                  <c:v>0.72243166666666658</c:v>
                </c:pt>
                <c:pt idx="626">
                  <c:v>0.72243166666666658</c:v>
                </c:pt>
                <c:pt idx="627">
                  <c:v>0.72243166666666658</c:v>
                </c:pt>
                <c:pt idx="628">
                  <c:v>0.72243166666666658</c:v>
                </c:pt>
                <c:pt idx="629">
                  <c:v>0.72243166666666658</c:v>
                </c:pt>
                <c:pt idx="630">
                  <c:v>0.72243166666666658</c:v>
                </c:pt>
                <c:pt idx="631">
                  <c:v>0.72243166666666658</c:v>
                </c:pt>
                <c:pt idx="632">
                  <c:v>0.72243166666666658</c:v>
                </c:pt>
                <c:pt idx="633">
                  <c:v>0.72243166666666658</c:v>
                </c:pt>
                <c:pt idx="634">
                  <c:v>0.72243166666666658</c:v>
                </c:pt>
                <c:pt idx="635">
                  <c:v>0.72243166666666658</c:v>
                </c:pt>
                <c:pt idx="636">
                  <c:v>0.72243166666666658</c:v>
                </c:pt>
                <c:pt idx="637">
                  <c:v>0.72243166666666658</c:v>
                </c:pt>
                <c:pt idx="638">
                  <c:v>0.72243166666666658</c:v>
                </c:pt>
                <c:pt idx="639">
                  <c:v>0.72243166666666658</c:v>
                </c:pt>
                <c:pt idx="640">
                  <c:v>0.72243166666666658</c:v>
                </c:pt>
                <c:pt idx="641">
                  <c:v>0.72243166666666658</c:v>
                </c:pt>
                <c:pt idx="642">
                  <c:v>0.72243166666666658</c:v>
                </c:pt>
                <c:pt idx="643">
                  <c:v>0.72243166666666658</c:v>
                </c:pt>
                <c:pt idx="644">
                  <c:v>0.72243166666666658</c:v>
                </c:pt>
                <c:pt idx="645">
                  <c:v>0.72243166666666658</c:v>
                </c:pt>
                <c:pt idx="646">
                  <c:v>0.72243166666666658</c:v>
                </c:pt>
                <c:pt idx="647">
                  <c:v>0.72243166666666658</c:v>
                </c:pt>
                <c:pt idx="648">
                  <c:v>0.72243166666666658</c:v>
                </c:pt>
                <c:pt idx="649">
                  <c:v>0.72243166666666658</c:v>
                </c:pt>
                <c:pt idx="650">
                  <c:v>0.72243166666666658</c:v>
                </c:pt>
                <c:pt idx="651">
                  <c:v>0.77505331832279212</c:v>
                </c:pt>
                <c:pt idx="652">
                  <c:v>0.77505331832279212</c:v>
                </c:pt>
                <c:pt idx="653">
                  <c:v>0.77505331832279212</c:v>
                </c:pt>
                <c:pt idx="654">
                  <c:v>0.77505331832279212</c:v>
                </c:pt>
                <c:pt idx="655">
                  <c:v>0.77505331832279212</c:v>
                </c:pt>
                <c:pt idx="656">
                  <c:v>0.77505331832279212</c:v>
                </c:pt>
                <c:pt idx="657">
                  <c:v>0.77505331832279212</c:v>
                </c:pt>
                <c:pt idx="658">
                  <c:v>0.77505331832279212</c:v>
                </c:pt>
                <c:pt idx="659">
                  <c:v>0.77505331832279212</c:v>
                </c:pt>
                <c:pt idx="660">
                  <c:v>0.77505331832279212</c:v>
                </c:pt>
                <c:pt idx="661">
                  <c:v>0.77505331832279212</c:v>
                </c:pt>
                <c:pt idx="662">
                  <c:v>0.77505331832279212</c:v>
                </c:pt>
                <c:pt idx="663">
                  <c:v>0.77505331832279212</c:v>
                </c:pt>
                <c:pt idx="664">
                  <c:v>0.77505331832279212</c:v>
                </c:pt>
                <c:pt idx="665">
                  <c:v>0.77505331832279212</c:v>
                </c:pt>
                <c:pt idx="666">
                  <c:v>0.77505331832279212</c:v>
                </c:pt>
                <c:pt idx="667">
                  <c:v>0.77505331832279212</c:v>
                </c:pt>
                <c:pt idx="668">
                  <c:v>0.77505331832279212</c:v>
                </c:pt>
                <c:pt idx="669">
                  <c:v>0.77505331832279212</c:v>
                </c:pt>
                <c:pt idx="670">
                  <c:v>0.77505331832279212</c:v>
                </c:pt>
                <c:pt idx="671">
                  <c:v>0.77505331832279212</c:v>
                </c:pt>
                <c:pt idx="672">
                  <c:v>0.77505331832279212</c:v>
                </c:pt>
                <c:pt idx="673">
                  <c:v>0.77505331832279212</c:v>
                </c:pt>
                <c:pt idx="674">
                  <c:v>0.77505331832279212</c:v>
                </c:pt>
                <c:pt idx="675">
                  <c:v>0.77505331832279212</c:v>
                </c:pt>
                <c:pt idx="676">
                  <c:v>0.77505331832279212</c:v>
                </c:pt>
                <c:pt idx="677">
                  <c:v>0.77505331832279212</c:v>
                </c:pt>
                <c:pt idx="678">
                  <c:v>0.77505331832279212</c:v>
                </c:pt>
                <c:pt idx="679">
                  <c:v>0.77505331832279212</c:v>
                </c:pt>
                <c:pt idx="680">
                  <c:v>0.77505331832279212</c:v>
                </c:pt>
                <c:pt idx="681">
                  <c:v>0.77505331832279212</c:v>
                </c:pt>
                <c:pt idx="682">
                  <c:v>0.77505331832279212</c:v>
                </c:pt>
                <c:pt idx="683">
                  <c:v>0.77505331832279212</c:v>
                </c:pt>
                <c:pt idx="684">
                  <c:v>0.77505331832279212</c:v>
                </c:pt>
                <c:pt idx="685">
                  <c:v>0.77505331832279212</c:v>
                </c:pt>
                <c:pt idx="686">
                  <c:v>0.77505331832279212</c:v>
                </c:pt>
                <c:pt idx="687">
                  <c:v>0.77505331832279212</c:v>
                </c:pt>
                <c:pt idx="688">
                  <c:v>0.77505331832279212</c:v>
                </c:pt>
                <c:pt idx="689">
                  <c:v>0.77505331832279212</c:v>
                </c:pt>
                <c:pt idx="690">
                  <c:v>0.77505331832279212</c:v>
                </c:pt>
                <c:pt idx="691">
                  <c:v>0.77505331832279212</c:v>
                </c:pt>
                <c:pt idx="692">
                  <c:v>0.77505331832279212</c:v>
                </c:pt>
                <c:pt idx="693">
                  <c:v>0.77505331832279212</c:v>
                </c:pt>
                <c:pt idx="694">
                  <c:v>0.77505331832279212</c:v>
                </c:pt>
                <c:pt idx="695">
                  <c:v>0.77505331832279212</c:v>
                </c:pt>
                <c:pt idx="696">
                  <c:v>0.77505331832279212</c:v>
                </c:pt>
                <c:pt idx="697">
                  <c:v>0.77505331832279212</c:v>
                </c:pt>
                <c:pt idx="698">
                  <c:v>0.77505331832279212</c:v>
                </c:pt>
                <c:pt idx="699">
                  <c:v>0.77505331832279212</c:v>
                </c:pt>
                <c:pt idx="700">
                  <c:v>0.77505331832279212</c:v>
                </c:pt>
                <c:pt idx="701">
                  <c:v>0.77505331832279212</c:v>
                </c:pt>
                <c:pt idx="702">
                  <c:v>0.77505331832279212</c:v>
                </c:pt>
                <c:pt idx="703">
                  <c:v>0.77505331832279212</c:v>
                </c:pt>
                <c:pt idx="704">
                  <c:v>0.77505331832279212</c:v>
                </c:pt>
                <c:pt idx="705">
                  <c:v>0.77505331832279212</c:v>
                </c:pt>
                <c:pt idx="706">
                  <c:v>0.77505331832279212</c:v>
                </c:pt>
                <c:pt idx="707">
                  <c:v>0.77505331832279212</c:v>
                </c:pt>
                <c:pt idx="708">
                  <c:v>0.77505331832279212</c:v>
                </c:pt>
                <c:pt idx="709">
                  <c:v>0.77505331832279212</c:v>
                </c:pt>
                <c:pt idx="710">
                  <c:v>0.77505331832279212</c:v>
                </c:pt>
                <c:pt idx="711">
                  <c:v>0.77505331832279212</c:v>
                </c:pt>
                <c:pt idx="712">
                  <c:v>0.77505331832279212</c:v>
                </c:pt>
                <c:pt idx="713">
                  <c:v>0.77505331832279212</c:v>
                </c:pt>
                <c:pt idx="714">
                  <c:v>0.77505331832279212</c:v>
                </c:pt>
                <c:pt idx="715">
                  <c:v>0.77505331832279212</c:v>
                </c:pt>
                <c:pt idx="716">
                  <c:v>0.77505331832279212</c:v>
                </c:pt>
                <c:pt idx="717">
                  <c:v>0.77505331832279212</c:v>
                </c:pt>
                <c:pt idx="718">
                  <c:v>0.77505331832279212</c:v>
                </c:pt>
                <c:pt idx="719">
                  <c:v>0.77505331832279212</c:v>
                </c:pt>
                <c:pt idx="720">
                  <c:v>0.77505331832279212</c:v>
                </c:pt>
                <c:pt idx="721">
                  <c:v>0.77505331832279212</c:v>
                </c:pt>
                <c:pt idx="722">
                  <c:v>0.77505331832279212</c:v>
                </c:pt>
                <c:pt idx="723">
                  <c:v>0.73175400000000013</c:v>
                </c:pt>
                <c:pt idx="724">
                  <c:v>0.73175400000000013</c:v>
                </c:pt>
                <c:pt idx="725">
                  <c:v>0.73175400000000013</c:v>
                </c:pt>
                <c:pt idx="726">
                  <c:v>0.73175400000000013</c:v>
                </c:pt>
                <c:pt idx="727">
                  <c:v>0.73175400000000013</c:v>
                </c:pt>
                <c:pt idx="728">
                  <c:v>0.73175400000000013</c:v>
                </c:pt>
                <c:pt idx="729">
                  <c:v>0.73175400000000013</c:v>
                </c:pt>
                <c:pt idx="730">
                  <c:v>0.73175400000000013</c:v>
                </c:pt>
                <c:pt idx="731">
                  <c:v>0.73175400000000013</c:v>
                </c:pt>
                <c:pt idx="732">
                  <c:v>0.73175400000000013</c:v>
                </c:pt>
                <c:pt idx="733">
                  <c:v>0.73175400000000013</c:v>
                </c:pt>
                <c:pt idx="734">
                  <c:v>0.73175400000000013</c:v>
                </c:pt>
                <c:pt idx="735">
                  <c:v>0.73175400000000013</c:v>
                </c:pt>
                <c:pt idx="736">
                  <c:v>0.73175400000000013</c:v>
                </c:pt>
                <c:pt idx="737">
                  <c:v>0.73175400000000013</c:v>
                </c:pt>
                <c:pt idx="738">
                  <c:v>0.73175400000000013</c:v>
                </c:pt>
                <c:pt idx="739">
                  <c:v>0.73175400000000013</c:v>
                </c:pt>
                <c:pt idx="740">
                  <c:v>0.73175400000000013</c:v>
                </c:pt>
                <c:pt idx="741">
                  <c:v>0.73175400000000013</c:v>
                </c:pt>
                <c:pt idx="742">
                  <c:v>0.73175400000000013</c:v>
                </c:pt>
                <c:pt idx="743">
                  <c:v>0.73175400000000013</c:v>
                </c:pt>
                <c:pt idx="744">
                  <c:v>0.73175400000000013</c:v>
                </c:pt>
                <c:pt idx="745">
                  <c:v>0.73175400000000013</c:v>
                </c:pt>
                <c:pt idx="746">
                  <c:v>0.73175400000000013</c:v>
                </c:pt>
                <c:pt idx="747">
                  <c:v>0.73175400000000013</c:v>
                </c:pt>
                <c:pt idx="748">
                  <c:v>0.73175400000000013</c:v>
                </c:pt>
                <c:pt idx="749">
                  <c:v>0.73175400000000013</c:v>
                </c:pt>
                <c:pt idx="750">
                  <c:v>0.73175400000000013</c:v>
                </c:pt>
                <c:pt idx="751">
                  <c:v>0.73175400000000013</c:v>
                </c:pt>
                <c:pt idx="752">
                  <c:v>0.73175400000000013</c:v>
                </c:pt>
                <c:pt idx="753">
                  <c:v>0.73175400000000013</c:v>
                </c:pt>
                <c:pt idx="754">
                  <c:v>0.73175400000000013</c:v>
                </c:pt>
                <c:pt idx="755">
                  <c:v>0.73175400000000013</c:v>
                </c:pt>
                <c:pt idx="756">
                  <c:v>0.73175400000000013</c:v>
                </c:pt>
                <c:pt idx="757">
                  <c:v>0.73175400000000013</c:v>
                </c:pt>
                <c:pt idx="758">
                  <c:v>0.73175400000000013</c:v>
                </c:pt>
                <c:pt idx="759">
                  <c:v>0.73175400000000013</c:v>
                </c:pt>
                <c:pt idx="760">
                  <c:v>0.73175400000000013</c:v>
                </c:pt>
                <c:pt idx="761">
                  <c:v>0.6032913333333334</c:v>
                </c:pt>
                <c:pt idx="762">
                  <c:v>0.6032913333333334</c:v>
                </c:pt>
                <c:pt idx="763">
                  <c:v>0.6032913333333334</c:v>
                </c:pt>
                <c:pt idx="764">
                  <c:v>0.6032913333333334</c:v>
                </c:pt>
                <c:pt idx="765">
                  <c:v>0.6032913333333334</c:v>
                </c:pt>
                <c:pt idx="766">
                  <c:v>0.6032913333333334</c:v>
                </c:pt>
                <c:pt idx="767">
                  <c:v>0.6032913333333334</c:v>
                </c:pt>
                <c:pt idx="768">
                  <c:v>0.6032913333333334</c:v>
                </c:pt>
                <c:pt idx="769">
                  <c:v>0.6032913333333334</c:v>
                </c:pt>
                <c:pt idx="770">
                  <c:v>0.62433033333333332</c:v>
                </c:pt>
                <c:pt idx="771">
                  <c:v>0.62433033333333332</c:v>
                </c:pt>
                <c:pt idx="772">
                  <c:v>0.62433033333333332</c:v>
                </c:pt>
                <c:pt idx="773">
                  <c:v>0.62433033333333332</c:v>
                </c:pt>
                <c:pt idx="774">
                  <c:v>0.62433033333333332</c:v>
                </c:pt>
                <c:pt idx="775">
                  <c:v>0.62433033333333332</c:v>
                </c:pt>
                <c:pt idx="776">
                  <c:v>0.62433033333333332</c:v>
                </c:pt>
                <c:pt idx="777">
                  <c:v>0.62433033333333332</c:v>
                </c:pt>
                <c:pt idx="778">
                  <c:v>0.62433033333333332</c:v>
                </c:pt>
                <c:pt idx="779">
                  <c:v>0.62433033333333332</c:v>
                </c:pt>
                <c:pt idx="780">
                  <c:v>0.62433033333333332</c:v>
                </c:pt>
                <c:pt idx="781">
                  <c:v>0.62433033333333332</c:v>
                </c:pt>
                <c:pt idx="782">
                  <c:v>0.62433033333333332</c:v>
                </c:pt>
                <c:pt idx="783">
                  <c:v>0.62433033333333332</c:v>
                </c:pt>
                <c:pt idx="784">
                  <c:v>0.62433033333333332</c:v>
                </c:pt>
                <c:pt idx="785">
                  <c:v>0.62433033333333332</c:v>
                </c:pt>
                <c:pt idx="786">
                  <c:v>0.62433033333333332</c:v>
                </c:pt>
                <c:pt idx="787">
                  <c:v>0.62433033333333332</c:v>
                </c:pt>
                <c:pt idx="788">
                  <c:v>0.62433033333333332</c:v>
                </c:pt>
                <c:pt idx="789">
                  <c:v>0.62433033333333332</c:v>
                </c:pt>
                <c:pt idx="790">
                  <c:v>0.62433033333333332</c:v>
                </c:pt>
                <c:pt idx="791">
                  <c:v>0.75598666666666658</c:v>
                </c:pt>
                <c:pt idx="792">
                  <c:v>0.75598666666666658</c:v>
                </c:pt>
                <c:pt idx="793">
                  <c:v>0.75598666666666658</c:v>
                </c:pt>
                <c:pt idx="794">
                  <c:v>0.75598666666666658</c:v>
                </c:pt>
                <c:pt idx="795">
                  <c:v>0.75598666666666658</c:v>
                </c:pt>
                <c:pt idx="796">
                  <c:v>0.75598666666666658</c:v>
                </c:pt>
                <c:pt idx="797">
                  <c:v>0.75598666666666658</c:v>
                </c:pt>
                <c:pt idx="798">
                  <c:v>0.75598666666666658</c:v>
                </c:pt>
                <c:pt idx="799">
                  <c:v>0.75598666666666658</c:v>
                </c:pt>
                <c:pt idx="800">
                  <c:v>0.75598666666666658</c:v>
                </c:pt>
                <c:pt idx="801">
                  <c:v>0.75598666666666658</c:v>
                </c:pt>
                <c:pt idx="802">
                  <c:v>0.75598666666666658</c:v>
                </c:pt>
                <c:pt idx="803">
                  <c:v>0.75598666666666658</c:v>
                </c:pt>
                <c:pt idx="804">
                  <c:v>0.75598666666666658</c:v>
                </c:pt>
                <c:pt idx="805">
                  <c:v>0.75598666666666658</c:v>
                </c:pt>
                <c:pt idx="806">
                  <c:v>0.75598666666666658</c:v>
                </c:pt>
                <c:pt idx="807">
                  <c:v>0.75598666666666658</c:v>
                </c:pt>
                <c:pt idx="808">
                  <c:v>0.75598666666666658</c:v>
                </c:pt>
                <c:pt idx="809">
                  <c:v>0.75598666666666658</c:v>
                </c:pt>
                <c:pt idx="810">
                  <c:v>0.75598666666666658</c:v>
                </c:pt>
                <c:pt idx="811">
                  <c:v>0.75598666666666658</c:v>
                </c:pt>
                <c:pt idx="812">
                  <c:v>0.75598666666666658</c:v>
                </c:pt>
                <c:pt idx="813">
                  <c:v>0.75598666666666658</c:v>
                </c:pt>
                <c:pt idx="814">
                  <c:v>0.75598666666666658</c:v>
                </c:pt>
                <c:pt idx="815">
                  <c:v>0.75598666666666658</c:v>
                </c:pt>
                <c:pt idx="816">
                  <c:v>0.75598666666666658</c:v>
                </c:pt>
                <c:pt idx="817">
                  <c:v>0.75598666666666658</c:v>
                </c:pt>
                <c:pt idx="818">
                  <c:v>0.75598666666666658</c:v>
                </c:pt>
                <c:pt idx="819">
                  <c:v>0.75598666666666658</c:v>
                </c:pt>
                <c:pt idx="820">
                  <c:v>0.75598666666666658</c:v>
                </c:pt>
                <c:pt idx="821">
                  <c:v>0.75598666666666658</c:v>
                </c:pt>
                <c:pt idx="822">
                  <c:v>0.75598666666666658</c:v>
                </c:pt>
                <c:pt idx="823">
                  <c:v>0.75598666666666658</c:v>
                </c:pt>
                <c:pt idx="824">
                  <c:v>0.75598666666666658</c:v>
                </c:pt>
                <c:pt idx="825">
                  <c:v>0.75598666666666658</c:v>
                </c:pt>
                <c:pt idx="826">
                  <c:v>0.75598666666666658</c:v>
                </c:pt>
                <c:pt idx="827">
                  <c:v>0.75598666666666658</c:v>
                </c:pt>
                <c:pt idx="828">
                  <c:v>0.75598666666666658</c:v>
                </c:pt>
                <c:pt idx="829">
                  <c:v>0.75598666666666658</c:v>
                </c:pt>
                <c:pt idx="830">
                  <c:v>0.79696000000000011</c:v>
                </c:pt>
                <c:pt idx="831">
                  <c:v>0.79696000000000011</c:v>
                </c:pt>
                <c:pt idx="832">
                  <c:v>0.79696000000000011</c:v>
                </c:pt>
                <c:pt idx="833">
                  <c:v>0.79696000000000011</c:v>
                </c:pt>
                <c:pt idx="834">
                  <c:v>0.79696000000000011</c:v>
                </c:pt>
                <c:pt idx="835">
                  <c:v>0.79696000000000011</c:v>
                </c:pt>
                <c:pt idx="836">
                  <c:v>0.79696000000000011</c:v>
                </c:pt>
                <c:pt idx="837">
                  <c:v>0.79696000000000011</c:v>
                </c:pt>
                <c:pt idx="838">
                  <c:v>0.79696000000000011</c:v>
                </c:pt>
                <c:pt idx="839">
                  <c:v>0.79696000000000011</c:v>
                </c:pt>
                <c:pt idx="840">
                  <c:v>0.79696000000000011</c:v>
                </c:pt>
                <c:pt idx="841">
                  <c:v>0.79696000000000011</c:v>
                </c:pt>
                <c:pt idx="842">
                  <c:v>0.79696000000000011</c:v>
                </c:pt>
                <c:pt idx="843">
                  <c:v>0.79696000000000011</c:v>
                </c:pt>
                <c:pt idx="844">
                  <c:v>0.79696000000000011</c:v>
                </c:pt>
                <c:pt idx="845">
                  <c:v>0.79696000000000011</c:v>
                </c:pt>
                <c:pt idx="846">
                  <c:v>0.79696000000000011</c:v>
                </c:pt>
                <c:pt idx="847">
                  <c:v>0.79696000000000011</c:v>
                </c:pt>
                <c:pt idx="848">
                  <c:v>0.79696000000000011</c:v>
                </c:pt>
                <c:pt idx="849">
                  <c:v>0.79696000000000011</c:v>
                </c:pt>
                <c:pt idx="850">
                  <c:v>0.79696000000000011</c:v>
                </c:pt>
                <c:pt idx="851">
                  <c:v>0.79696000000000011</c:v>
                </c:pt>
                <c:pt idx="852">
                  <c:v>0.79696000000000011</c:v>
                </c:pt>
                <c:pt idx="853">
                  <c:v>0.79696000000000011</c:v>
                </c:pt>
                <c:pt idx="854">
                  <c:v>0.79696000000000011</c:v>
                </c:pt>
                <c:pt idx="855">
                  <c:v>0.79696000000000011</c:v>
                </c:pt>
                <c:pt idx="856">
                  <c:v>0.79696000000000011</c:v>
                </c:pt>
                <c:pt idx="857">
                  <c:v>0.79696000000000011</c:v>
                </c:pt>
                <c:pt idx="858">
                  <c:v>0.79696000000000011</c:v>
                </c:pt>
                <c:pt idx="859">
                  <c:v>0.79696000000000011</c:v>
                </c:pt>
                <c:pt idx="860">
                  <c:v>0.79696000000000011</c:v>
                </c:pt>
                <c:pt idx="861">
                  <c:v>0.79696000000000011</c:v>
                </c:pt>
                <c:pt idx="862">
                  <c:v>0.79696000000000011</c:v>
                </c:pt>
                <c:pt idx="863">
                  <c:v>0.83335766666666655</c:v>
                </c:pt>
                <c:pt idx="864">
                  <c:v>0.83335766666666655</c:v>
                </c:pt>
                <c:pt idx="865">
                  <c:v>0.83335766666666655</c:v>
                </c:pt>
                <c:pt idx="866">
                  <c:v>0.83335766666666655</c:v>
                </c:pt>
                <c:pt idx="867">
                  <c:v>0.83335766666666655</c:v>
                </c:pt>
                <c:pt idx="868">
                  <c:v>0.83335766666666655</c:v>
                </c:pt>
                <c:pt idx="869">
                  <c:v>0.83335766666666655</c:v>
                </c:pt>
                <c:pt idx="870">
                  <c:v>0.83335766666666655</c:v>
                </c:pt>
                <c:pt idx="871">
                  <c:v>0.83335766666666655</c:v>
                </c:pt>
                <c:pt idx="872">
                  <c:v>0.83335766666666655</c:v>
                </c:pt>
                <c:pt idx="873">
                  <c:v>0.83335766666666655</c:v>
                </c:pt>
                <c:pt idx="874">
                  <c:v>0.83335766666666655</c:v>
                </c:pt>
                <c:pt idx="875">
                  <c:v>0.83335766666666655</c:v>
                </c:pt>
                <c:pt idx="876">
                  <c:v>0.83335766666666655</c:v>
                </c:pt>
                <c:pt idx="877">
                  <c:v>0.83335766666666655</c:v>
                </c:pt>
                <c:pt idx="878">
                  <c:v>0.83335766666666655</c:v>
                </c:pt>
                <c:pt idx="879">
                  <c:v>0.83335766666666655</c:v>
                </c:pt>
                <c:pt idx="880">
                  <c:v>0.83335766666666655</c:v>
                </c:pt>
                <c:pt idx="881">
                  <c:v>0.83335766666666655</c:v>
                </c:pt>
                <c:pt idx="882">
                  <c:v>0.83335766666666655</c:v>
                </c:pt>
                <c:pt idx="883">
                  <c:v>0.83335766666666655</c:v>
                </c:pt>
                <c:pt idx="884">
                  <c:v>0.83335766666666655</c:v>
                </c:pt>
                <c:pt idx="885">
                  <c:v>0.83335766666666655</c:v>
                </c:pt>
                <c:pt idx="886">
                  <c:v>0.83335766666666655</c:v>
                </c:pt>
                <c:pt idx="887">
                  <c:v>0.83335766666666655</c:v>
                </c:pt>
                <c:pt idx="888">
                  <c:v>0.83335766666666655</c:v>
                </c:pt>
                <c:pt idx="889">
                  <c:v>0.83335766666666655</c:v>
                </c:pt>
                <c:pt idx="890">
                  <c:v>0.83335766666666655</c:v>
                </c:pt>
                <c:pt idx="891">
                  <c:v>0.83335766666666655</c:v>
                </c:pt>
                <c:pt idx="892">
                  <c:v>0.83335766666666655</c:v>
                </c:pt>
                <c:pt idx="893">
                  <c:v>0.83335766666666655</c:v>
                </c:pt>
                <c:pt idx="894">
                  <c:v>0.83335766666666655</c:v>
                </c:pt>
                <c:pt idx="895">
                  <c:v>0.83335766666666655</c:v>
                </c:pt>
                <c:pt idx="896">
                  <c:v>0.83335766666666655</c:v>
                </c:pt>
                <c:pt idx="897">
                  <c:v>0.83335766666666655</c:v>
                </c:pt>
                <c:pt idx="898">
                  <c:v>0.83335766666666655</c:v>
                </c:pt>
                <c:pt idx="899">
                  <c:v>0.83335766666666655</c:v>
                </c:pt>
                <c:pt idx="900">
                  <c:v>0.83335766666666655</c:v>
                </c:pt>
                <c:pt idx="901">
                  <c:v>0.83335766666666655</c:v>
                </c:pt>
                <c:pt idx="902">
                  <c:v>0.83335766666666655</c:v>
                </c:pt>
                <c:pt idx="903">
                  <c:v>0.83335766666666655</c:v>
                </c:pt>
                <c:pt idx="904">
                  <c:v>0.83335766666666655</c:v>
                </c:pt>
                <c:pt idx="905">
                  <c:v>0.83335766666666655</c:v>
                </c:pt>
                <c:pt idx="906">
                  <c:v>0.83335766666666655</c:v>
                </c:pt>
                <c:pt idx="907">
                  <c:v>0.83335766666666655</c:v>
                </c:pt>
                <c:pt idx="908">
                  <c:v>0.83335766666666655</c:v>
                </c:pt>
                <c:pt idx="909">
                  <c:v>0.83335766666666655</c:v>
                </c:pt>
                <c:pt idx="910">
                  <c:v>0.83335766666666655</c:v>
                </c:pt>
                <c:pt idx="911">
                  <c:v>0.83335766666666655</c:v>
                </c:pt>
                <c:pt idx="912">
                  <c:v>0.83335766666666655</c:v>
                </c:pt>
                <c:pt idx="913">
                  <c:v>0.83335766666666655</c:v>
                </c:pt>
                <c:pt idx="914">
                  <c:v>0.83335766666666655</c:v>
                </c:pt>
                <c:pt idx="915">
                  <c:v>0.83335766666666655</c:v>
                </c:pt>
                <c:pt idx="916">
                  <c:v>0.83335766666666655</c:v>
                </c:pt>
                <c:pt idx="917">
                  <c:v>0.83335766666666655</c:v>
                </c:pt>
                <c:pt idx="918">
                  <c:v>0.83335766666666655</c:v>
                </c:pt>
                <c:pt idx="919">
                  <c:v>0.83335766666666655</c:v>
                </c:pt>
                <c:pt idx="920">
                  <c:v>0.83335766666666655</c:v>
                </c:pt>
                <c:pt idx="921">
                  <c:v>0.83335766666666655</c:v>
                </c:pt>
                <c:pt idx="922">
                  <c:v>0.83335766666666655</c:v>
                </c:pt>
                <c:pt idx="923">
                  <c:v>0.83335766666666655</c:v>
                </c:pt>
                <c:pt idx="924">
                  <c:v>0.83335766666666655</c:v>
                </c:pt>
                <c:pt idx="925">
                  <c:v>0.83335766666666655</c:v>
                </c:pt>
                <c:pt idx="926">
                  <c:v>0.83335766666666655</c:v>
                </c:pt>
                <c:pt idx="927">
                  <c:v>0.83335766666666655</c:v>
                </c:pt>
                <c:pt idx="928">
                  <c:v>0.83335766666666655</c:v>
                </c:pt>
                <c:pt idx="929">
                  <c:v>0.83335766666666655</c:v>
                </c:pt>
                <c:pt idx="930">
                  <c:v>0.83335766666666655</c:v>
                </c:pt>
                <c:pt idx="931">
                  <c:v>0.83335766666666655</c:v>
                </c:pt>
                <c:pt idx="932">
                  <c:v>0.83335766666666655</c:v>
                </c:pt>
                <c:pt idx="933">
                  <c:v>0.83335766666666655</c:v>
                </c:pt>
                <c:pt idx="934">
                  <c:v>0.83335766666666655</c:v>
                </c:pt>
                <c:pt idx="935">
                  <c:v>0.83335766666666655</c:v>
                </c:pt>
                <c:pt idx="936">
                  <c:v>0.83335766666666655</c:v>
                </c:pt>
                <c:pt idx="937">
                  <c:v>0.83335766666666655</c:v>
                </c:pt>
                <c:pt idx="938">
                  <c:v>0.83335766666666655</c:v>
                </c:pt>
                <c:pt idx="939">
                  <c:v>0.83335766666666655</c:v>
                </c:pt>
                <c:pt idx="940">
                  <c:v>0.83335766666666655</c:v>
                </c:pt>
                <c:pt idx="941">
                  <c:v>0.83335766666666655</c:v>
                </c:pt>
                <c:pt idx="942">
                  <c:v>0.83335766666666655</c:v>
                </c:pt>
                <c:pt idx="943">
                  <c:v>0.83335766666666655</c:v>
                </c:pt>
                <c:pt idx="944">
                  <c:v>0.83335766666666655</c:v>
                </c:pt>
                <c:pt idx="945">
                  <c:v>0.83335766666666655</c:v>
                </c:pt>
                <c:pt idx="946">
                  <c:v>0.83335766666666655</c:v>
                </c:pt>
                <c:pt idx="947">
                  <c:v>0.83335766666666655</c:v>
                </c:pt>
                <c:pt idx="948">
                  <c:v>0.83335766666666655</c:v>
                </c:pt>
                <c:pt idx="949">
                  <c:v>0.83335766666666655</c:v>
                </c:pt>
                <c:pt idx="950">
                  <c:v>0.83335766666666655</c:v>
                </c:pt>
                <c:pt idx="951">
                  <c:v>0.83335766666666655</c:v>
                </c:pt>
                <c:pt idx="952">
                  <c:v>0.83335766666666655</c:v>
                </c:pt>
                <c:pt idx="953">
                  <c:v>0.83335766666666655</c:v>
                </c:pt>
                <c:pt idx="954">
                  <c:v>0.83335766666666655</c:v>
                </c:pt>
                <c:pt idx="955">
                  <c:v>0.83335766666666655</c:v>
                </c:pt>
                <c:pt idx="956">
                  <c:v>0.83335766666666655</c:v>
                </c:pt>
                <c:pt idx="957">
                  <c:v>0.83335766666666655</c:v>
                </c:pt>
                <c:pt idx="958">
                  <c:v>0.83335766666666655</c:v>
                </c:pt>
                <c:pt idx="959">
                  <c:v>0.83335766666666655</c:v>
                </c:pt>
                <c:pt idx="960">
                  <c:v>0.83335766666666655</c:v>
                </c:pt>
                <c:pt idx="961">
                  <c:v>0.83335766666666655</c:v>
                </c:pt>
                <c:pt idx="962">
                  <c:v>0.83335766666666655</c:v>
                </c:pt>
                <c:pt idx="963">
                  <c:v>0.83335766666666655</c:v>
                </c:pt>
                <c:pt idx="964">
                  <c:v>0.83335766666666655</c:v>
                </c:pt>
                <c:pt idx="965">
                  <c:v>0.83335766666666655</c:v>
                </c:pt>
                <c:pt idx="966">
                  <c:v>0.83335766666666655</c:v>
                </c:pt>
                <c:pt idx="967">
                  <c:v>0.83335766666666655</c:v>
                </c:pt>
                <c:pt idx="968">
                  <c:v>0.83335766666666655</c:v>
                </c:pt>
                <c:pt idx="969">
                  <c:v>0.83335766666666655</c:v>
                </c:pt>
                <c:pt idx="970">
                  <c:v>0.83335766666666655</c:v>
                </c:pt>
                <c:pt idx="971">
                  <c:v>0.83335766666666655</c:v>
                </c:pt>
                <c:pt idx="972">
                  <c:v>0.83335766666666655</c:v>
                </c:pt>
                <c:pt idx="973">
                  <c:v>0.90877666666666657</c:v>
                </c:pt>
                <c:pt idx="974">
                  <c:v>0.90877666666666657</c:v>
                </c:pt>
                <c:pt idx="975">
                  <c:v>0.90877666666666657</c:v>
                </c:pt>
                <c:pt idx="976">
                  <c:v>0.90877666666666657</c:v>
                </c:pt>
                <c:pt idx="977">
                  <c:v>0.90877666666666657</c:v>
                </c:pt>
                <c:pt idx="978">
                  <c:v>0.90877666666666657</c:v>
                </c:pt>
                <c:pt idx="979">
                  <c:v>0.90877666666666657</c:v>
                </c:pt>
                <c:pt idx="980">
                  <c:v>0.90877666666666657</c:v>
                </c:pt>
                <c:pt idx="981">
                  <c:v>0.90877666666666657</c:v>
                </c:pt>
                <c:pt idx="982">
                  <c:v>0.90877666666666657</c:v>
                </c:pt>
                <c:pt idx="983">
                  <c:v>0.90877666666666657</c:v>
                </c:pt>
                <c:pt idx="984">
                  <c:v>0.90877666666666657</c:v>
                </c:pt>
                <c:pt idx="985">
                  <c:v>0.90877666666666657</c:v>
                </c:pt>
                <c:pt idx="986">
                  <c:v>0.90877666666666657</c:v>
                </c:pt>
                <c:pt idx="987">
                  <c:v>0.90877666666666657</c:v>
                </c:pt>
                <c:pt idx="988">
                  <c:v>0.90877666666666657</c:v>
                </c:pt>
                <c:pt idx="989">
                  <c:v>0.90877666666666657</c:v>
                </c:pt>
                <c:pt idx="990">
                  <c:v>0.90877666666666657</c:v>
                </c:pt>
                <c:pt idx="991">
                  <c:v>0.90877666666666657</c:v>
                </c:pt>
                <c:pt idx="992">
                  <c:v>0.90877666666666657</c:v>
                </c:pt>
                <c:pt idx="993">
                  <c:v>0.90877666666666657</c:v>
                </c:pt>
                <c:pt idx="994">
                  <c:v>0.90877666666666657</c:v>
                </c:pt>
                <c:pt idx="995">
                  <c:v>0.90877666666666657</c:v>
                </c:pt>
                <c:pt idx="996">
                  <c:v>0.90877666666666657</c:v>
                </c:pt>
                <c:pt idx="997">
                  <c:v>0.90877666666666657</c:v>
                </c:pt>
                <c:pt idx="998">
                  <c:v>0.90877666666666657</c:v>
                </c:pt>
                <c:pt idx="999">
                  <c:v>0.90877666666666657</c:v>
                </c:pt>
                <c:pt idx="1000">
                  <c:v>0.86886866666666673</c:v>
                </c:pt>
                <c:pt idx="1001">
                  <c:v>0.86886866666666673</c:v>
                </c:pt>
                <c:pt idx="1002">
                  <c:v>0.86886866666666673</c:v>
                </c:pt>
                <c:pt idx="1003">
                  <c:v>0.86886866666666673</c:v>
                </c:pt>
                <c:pt idx="1004">
                  <c:v>0.86886866666666673</c:v>
                </c:pt>
                <c:pt idx="1005">
                  <c:v>0.86886866666666673</c:v>
                </c:pt>
                <c:pt idx="1006">
                  <c:v>0.86886866666666673</c:v>
                </c:pt>
                <c:pt idx="1007">
                  <c:v>0.86886866666666673</c:v>
                </c:pt>
                <c:pt idx="1008">
                  <c:v>0.86886866666666673</c:v>
                </c:pt>
                <c:pt idx="1009">
                  <c:v>0.86886866666666673</c:v>
                </c:pt>
                <c:pt idx="1010">
                  <c:v>0.86886866666666673</c:v>
                </c:pt>
                <c:pt idx="1011">
                  <c:v>0.86886866666666673</c:v>
                </c:pt>
                <c:pt idx="1012">
                  <c:v>0.86886866666666673</c:v>
                </c:pt>
                <c:pt idx="1013">
                  <c:v>0.86886866666666673</c:v>
                </c:pt>
                <c:pt idx="1014">
                  <c:v>0.86886866666666673</c:v>
                </c:pt>
                <c:pt idx="1015">
                  <c:v>0.86886866666666673</c:v>
                </c:pt>
                <c:pt idx="1016">
                  <c:v>0.86886866666666673</c:v>
                </c:pt>
                <c:pt idx="1017">
                  <c:v>0.86886866666666673</c:v>
                </c:pt>
                <c:pt idx="1018">
                  <c:v>0.86886866666666673</c:v>
                </c:pt>
                <c:pt idx="1019">
                  <c:v>0.86886866666666673</c:v>
                </c:pt>
                <c:pt idx="1020">
                  <c:v>0.86886866666666673</c:v>
                </c:pt>
                <c:pt idx="1021">
                  <c:v>0.86886866666666673</c:v>
                </c:pt>
                <c:pt idx="1022">
                  <c:v>0.86886866666666673</c:v>
                </c:pt>
                <c:pt idx="1023">
                  <c:v>0.86886866666666673</c:v>
                </c:pt>
                <c:pt idx="1024">
                  <c:v>0.86886866666666673</c:v>
                </c:pt>
                <c:pt idx="1025">
                  <c:v>0.86886866666666673</c:v>
                </c:pt>
                <c:pt idx="1026">
                  <c:v>0.86886866666666673</c:v>
                </c:pt>
                <c:pt idx="1027">
                  <c:v>0.86886866666666673</c:v>
                </c:pt>
                <c:pt idx="1028">
                  <c:v>0.86886866666666673</c:v>
                </c:pt>
                <c:pt idx="1029">
                  <c:v>0.86886866666666673</c:v>
                </c:pt>
                <c:pt idx="1030">
                  <c:v>0.86886866666666673</c:v>
                </c:pt>
                <c:pt idx="1031">
                  <c:v>0.86886866666666673</c:v>
                </c:pt>
                <c:pt idx="1032">
                  <c:v>0.86886866666666673</c:v>
                </c:pt>
                <c:pt idx="1033">
                  <c:v>0.86886866666666673</c:v>
                </c:pt>
                <c:pt idx="1034">
                  <c:v>0.86886866666666673</c:v>
                </c:pt>
                <c:pt idx="1035">
                  <c:v>0.86886866666666673</c:v>
                </c:pt>
                <c:pt idx="1036">
                  <c:v>0.86886866666666673</c:v>
                </c:pt>
                <c:pt idx="1037">
                  <c:v>0.86886866666666673</c:v>
                </c:pt>
                <c:pt idx="1038">
                  <c:v>0.86886866666666673</c:v>
                </c:pt>
                <c:pt idx="1039">
                  <c:v>0.86886866666666673</c:v>
                </c:pt>
                <c:pt idx="1040">
                  <c:v>0.90854199999999996</c:v>
                </c:pt>
                <c:pt idx="1041">
                  <c:v>0.90854199999999996</c:v>
                </c:pt>
                <c:pt idx="1042">
                  <c:v>0.90854199999999996</c:v>
                </c:pt>
                <c:pt idx="1043">
                  <c:v>0.90854199999999996</c:v>
                </c:pt>
                <c:pt idx="1044">
                  <c:v>0.90854199999999996</c:v>
                </c:pt>
                <c:pt idx="1045">
                  <c:v>0.90854199999999996</c:v>
                </c:pt>
                <c:pt idx="1046">
                  <c:v>0.90854199999999996</c:v>
                </c:pt>
                <c:pt idx="1047">
                  <c:v>0.90854199999999996</c:v>
                </c:pt>
                <c:pt idx="1048">
                  <c:v>0.90854199999999996</c:v>
                </c:pt>
                <c:pt idx="1049">
                  <c:v>0.90854199999999996</c:v>
                </c:pt>
                <c:pt idx="1050">
                  <c:v>0.90854199999999996</c:v>
                </c:pt>
                <c:pt idx="1051">
                  <c:v>0.90854199999999996</c:v>
                </c:pt>
                <c:pt idx="1052">
                  <c:v>0.90854199999999996</c:v>
                </c:pt>
                <c:pt idx="1053">
                  <c:v>0.90854199999999996</c:v>
                </c:pt>
                <c:pt idx="1054">
                  <c:v>0.90854199999999996</c:v>
                </c:pt>
                <c:pt idx="1055">
                  <c:v>0.90854199999999996</c:v>
                </c:pt>
                <c:pt idx="1056">
                  <c:v>0.90854199999999996</c:v>
                </c:pt>
                <c:pt idx="1057">
                  <c:v>0.90854199999999996</c:v>
                </c:pt>
                <c:pt idx="1058">
                  <c:v>0.90854199999999996</c:v>
                </c:pt>
                <c:pt idx="1059">
                  <c:v>0.90854199999999996</c:v>
                </c:pt>
                <c:pt idx="1060">
                  <c:v>0.90854199999999996</c:v>
                </c:pt>
                <c:pt idx="1061">
                  <c:v>0.90854199999999996</c:v>
                </c:pt>
                <c:pt idx="1062">
                  <c:v>0.90854199999999996</c:v>
                </c:pt>
                <c:pt idx="1063">
                  <c:v>0.90854199999999996</c:v>
                </c:pt>
                <c:pt idx="1064">
                  <c:v>0.90854199999999996</c:v>
                </c:pt>
                <c:pt idx="1065">
                  <c:v>0.90854199999999996</c:v>
                </c:pt>
                <c:pt idx="1066">
                  <c:v>0.90854199999999996</c:v>
                </c:pt>
                <c:pt idx="1067">
                  <c:v>0.90854199999999996</c:v>
                </c:pt>
                <c:pt idx="1068">
                  <c:v>0.90854199999999996</c:v>
                </c:pt>
                <c:pt idx="1069">
                  <c:v>0.90854199999999996</c:v>
                </c:pt>
                <c:pt idx="1070">
                  <c:v>0.89807866666666669</c:v>
                </c:pt>
                <c:pt idx="1071">
                  <c:v>0.89807866666666669</c:v>
                </c:pt>
                <c:pt idx="1072">
                  <c:v>0.89807866666666669</c:v>
                </c:pt>
                <c:pt idx="1073">
                  <c:v>0.89807866666666669</c:v>
                </c:pt>
                <c:pt idx="1074">
                  <c:v>0.89807866666666669</c:v>
                </c:pt>
                <c:pt idx="1075">
                  <c:v>0.89807866666666669</c:v>
                </c:pt>
                <c:pt idx="1076">
                  <c:v>0.89807866666666669</c:v>
                </c:pt>
                <c:pt idx="1077">
                  <c:v>0.89807866666666669</c:v>
                </c:pt>
                <c:pt idx="1078">
                  <c:v>0.89807866666666669</c:v>
                </c:pt>
                <c:pt idx="1079">
                  <c:v>0.89807866666666669</c:v>
                </c:pt>
                <c:pt idx="1080">
                  <c:v>0.89807866666666669</c:v>
                </c:pt>
                <c:pt idx="1081">
                  <c:v>0.89807866666666669</c:v>
                </c:pt>
                <c:pt idx="1082">
                  <c:v>0.89807866666666669</c:v>
                </c:pt>
                <c:pt idx="1083">
                  <c:v>0.89807866666666669</c:v>
                </c:pt>
                <c:pt idx="1084">
                  <c:v>0.89807866666666669</c:v>
                </c:pt>
                <c:pt idx="1085">
                  <c:v>0.89807866666666669</c:v>
                </c:pt>
                <c:pt idx="1086">
                  <c:v>0.89807866666666669</c:v>
                </c:pt>
                <c:pt idx="1087">
                  <c:v>0.89807866666666669</c:v>
                </c:pt>
                <c:pt idx="1088">
                  <c:v>0.89807866666666669</c:v>
                </c:pt>
                <c:pt idx="1089">
                  <c:v>0.89807866666666669</c:v>
                </c:pt>
                <c:pt idx="1090">
                  <c:v>0.89807866666666669</c:v>
                </c:pt>
                <c:pt idx="1091">
                  <c:v>0.89807866666666669</c:v>
                </c:pt>
                <c:pt idx="1092">
                  <c:v>0.89807866666666669</c:v>
                </c:pt>
                <c:pt idx="1093">
                  <c:v>0.89807866666666669</c:v>
                </c:pt>
                <c:pt idx="1094">
                  <c:v>0.89807866666666669</c:v>
                </c:pt>
                <c:pt idx="1095">
                  <c:v>0.89807866666666669</c:v>
                </c:pt>
                <c:pt idx="1096">
                  <c:v>0.89807866666666669</c:v>
                </c:pt>
                <c:pt idx="1097">
                  <c:v>0.89807866666666669</c:v>
                </c:pt>
                <c:pt idx="1098">
                  <c:v>0.89807866666666669</c:v>
                </c:pt>
                <c:pt idx="1099">
                  <c:v>0.89807866666666669</c:v>
                </c:pt>
                <c:pt idx="1100">
                  <c:v>0.89807866666666669</c:v>
                </c:pt>
                <c:pt idx="1101">
                  <c:v>0.89807866666666669</c:v>
                </c:pt>
                <c:pt idx="1102">
                  <c:v>0.89807866666666669</c:v>
                </c:pt>
                <c:pt idx="1103">
                  <c:v>0.89807866666666669</c:v>
                </c:pt>
                <c:pt idx="1104">
                  <c:v>0.89807866666666669</c:v>
                </c:pt>
                <c:pt idx="1105">
                  <c:v>0.89807866666666669</c:v>
                </c:pt>
                <c:pt idx="1106">
                  <c:v>0.89807866666666669</c:v>
                </c:pt>
                <c:pt idx="1107">
                  <c:v>0.89807866666666669</c:v>
                </c:pt>
                <c:pt idx="1108">
                  <c:v>0.89807866666666669</c:v>
                </c:pt>
                <c:pt idx="1109">
                  <c:v>0.89807866666666669</c:v>
                </c:pt>
                <c:pt idx="1110">
                  <c:v>0.89807866666666669</c:v>
                </c:pt>
                <c:pt idx="1111">
                  <c:v>0.89807866666666669</c:v>
                </c:pt>
                <c:pt idx="1112">
                  <c:v>0.89807866666666669</c:v>
                </c:pt>
                <c:pt idx="1113">
                  <c:v>0.89807866666666669</c:v>
                </c:pt>
                <c:pt idx="1114">
                  <c:v>0.89807866666666669</c:v>
                </c:pt>
                <c:pt idx="1115">
                  <c:v>0.89807866666666669</c:v>
                </c:pt>
                <c:pt idx="1116">
                  <c:v>0.89807866666666669</c:v>
                </c:pt>
                <c:pt idx="1117">
                  <c:v>0.89807866666666669</c:v>
                </c:pt>
                <c:pt idx="1118">
                  <c:v>0.89807866666666669</c:v>
                </c:pt>
                <c:pt idx="1119">
                  <c:v>0.89807866666666669</c:v>
                </c:pt>
                <c:pt idx="1120">
                  <c:v>0.89807866666666669</c:v>
                </c:pt>
                <c:pt idx="1121">
                  <c:v>0.89807866666666669</c:v>
                </c:pt>
                <c:pt idx="1122">
                  <c:v>0.89807866666666669</c:v>
                </c:pt>
                <c:pt idx="1123">
                  <c:v>0.89807866666666669</c:v>
                </c:pt>
                <c:pt idx="1124">
                  <c:v>0.89807866666666669</c:v>
                </c:pt>
                <c:pt idx="1125">
                  <c:v>0.89807866666666669</c:v>
                </c:pt>
                <c:pt idx="1126">
                  <c:v>0.89807866666666669</c:v>
                </c:pt>
                <c:pt idx="1127">
                  <c:v>0.89807866666666669</c:v>
                </c:pt>
                <c:pt idx="1128">
                  <c:v>0.89807866666666669</c:v>
                </c:pt>
                <c:pt idx="1129">
                  <c:v>0.89807866666666669</c:v>
                </c:pt>
                <c:pt idx="1130">
                  <c:v>0.89807866666666669</c:v>
                </c:pt>
                <c:pt idx="1131">
                  <c:v>0.89807866666666669</c:v>
                </c:pt>
                <c:pt idx="1132">
                  <c:v>0.89807866666666669</c:v>
                </c:pt>
                <c:pt idx="1133">
                  <c:v>0.89807866666666669</c:v>
                </c:pt>
                <c:pt idx="1134">
                  <c:v>0.89807866666666669</c:v>
                </c:pt>
                <c:pt idx="1135">
                  <c:v>0.89807866666666669</c:v>
                </c:pt>
                <c:pt idx="1136">
                  <c:v>0.89807866666666669</c:v>
                </c:pt>
                <c:pt idx="1137">
                  <c:v>0.89807866666666669</c:v>
                </c:pt>
                <c:pt idx="1138">
                  <c:v>0.89807866666666669</c:v>
                </c:pt>
                <c:pt idx="1139">
                  <c:v>0.89807866666666669</c:v>
                </c:pt>
                <c:pt idx="1140">
                  <c:v>0.89807866666666669</c:v>
                </c:pt>
                <c:pt idx="1141">
                  <c:v>0.89807866666666669</c:v>
                </c:pt>
                <c:pt idx="1142">
                  <c:v>0.89807866666666669</c:v>
                </c:pt>
                <c:pt idx="1143">
                  <c:v>0.89807866666666669</c:v>
                </c:pt>
                <c:pt idx="1144">
                  <c:v>0.89807866666666669</c:v>
                </c:pt>
                <c:pt idx="1145">
                  <c:v>0.89807866666666669</c:v>
                </c:pt>
                <c:pt idx="1146">
                  <c:v>0.89807866666666669</c:v>
                </c:pt>
                <c:pt idx="1147">
                  <c:v>0.89807866666666669</c:v>
                </c:pt>
                <c:pt idx="1148">
                  <c:v>0.89807866666666669</c:v>
                </c:pt>
                <c:pt idx="1149">
                  <c:v>0.89807866666666669</c:v>
                </c:pt>
                <c:pt idx="1150">
                  <c:v>0.89807866666666669</c:v>
                </c:pt>
                <c:pt idx="1151">
                  <c:v>0.89807866666666669</c:v>
                </c:pt>
                <c:pt idx="1152">
                  <c:v>0.89807866666666669</c:v>
                </c:pt>
                <c:pt idx="1153">
                  <c:v>0.89807866666666669</c:v>
                </c:pt>
                <c:pt idx="1154">
                  <c:v>0.89807866666666669</c:v>
                </c:pt>
                <c:pt idx="1155">
                  <c:v>0.89807866666666669</c:v>
                </c:pt>
                <c:pt idx="1156">
                  <c:v>0.89807866666666669</c:v>
                </c:pt>
                <c:pt idx="1157">
                  <c:v>0.89807866666666669</c:v>
                </c:pt>
                <c:pt idx="1158">
                  <c:v>0.89807866666666669</c:v>
                </c:pt>
                <c:pt idx="1159">
                  <c:v>0.89807866666666669</c:v>
                </c:pt>
                <c:pt idx="1160">
                  <c:v>0.89807866666666669</c:v>
                </c:pt>
                <c:pt idx="1161">
                  <c:v>0.89807866666666669</c:v>
                </c:pt>
                <c:pt idx="1162">
                  <c:v>0.89807866666666669</c:v>
                </c:pt>
                <c:pt idx="1163">
                  <c:v>0.89807866666666669</c:v>
                </c:pt>
                <c:pt idx="1164">
                  <c:v>0.89807866666666669</c:v>
                </c:pt>
                <c:pt idx="1165">
                  <c:v>0.89807866666666669</c:v>
                </c:pt>
                <c:pt idx="1166">
                  <c:v>0.89807866666666669</c:v>
                </c:pt>
                <c:pt idx="1167">
                  <c:v>0.89807866666666669</c:v>
                </c:pt>
                <c:pt idx="1168">
                  <c:v>0.89807866666666669</c:v>
                </c:pt>
                <c:pt idx="1169">
                  <c:v>0.89807866666666669</c:v>
                </c:pt>
                <c:pt idx="1170">
                  <c:v>0.89807866666666669</c:v>
                </c:pt>
                <c:pt idx="1171">
                  <c:v>0.89807866666666669</c:v>
                </c:pt>
                <c:pt idx="1172">
                  <c:v>0.89807866666666669</c:v>
                </c:pt>
                <c:pt idx="1173">
                  <c:v>0.89807866666666669</c:v>
                </c:pt>
                <c:pt idx="1174">
                  <c:v>0.89807866666666669</c:v>
                </c:pt>
                <c:pt idx="1175">
                  <c:v>0.89807866666666669</c:v>
                </c:pt>
                <c:pt idx="1176">
                  <c:v>0.89807866666666669</c:v>
                </c:pt>
                <c:pt idx="1177">
                  <c:v>0.89807866666666669</c:v>
                </c:pt>
                <c:pt idx="1178">
                  <c:v>0.89807866666666669</c:v>
                </c:pt>
                <c:pt idx="1179">
                  <c:v>0.89807866666666669</c:v>
                </c:pt>
                <c:pt idx="1180">
                  <c:v>0.91911466666666675</c:v>
                </c:pt>
                <c:pt idx="1181">
                  <c:v>0.91911466666666675</c:v>
                </c:pt>
                <c:pt idx="1182">
                  <c:v>0.91911466666666675</c:v>
                </c:pt>
                <c:pt idx="1183">
                  <c:v>0.91911466666666675</c:v>
                </c:pt>
                <c:pt idx="1184">
                  <c:v>0.91911466666666675</c:v>
                </c:pt>
                <c:pt idx="1185">
                  <c:v>0.91911466666666675</c:v>
                </c:pt>
                <c:pt idx="1186">
                  <c:v>0.91911466666666675</c:v>
                </c:pt>
                <c:pt idx="1187">
                  <c:v>0.91911466666666675</c:v>
                </c:pt>
                <c:pt idx="1188">
                  <c:v>0.91911466666666675</c:v>
                </c:pt>
                <c:pt idx="1189">
                  <c:v>0.91911466666666675</c:v>
                </c:pt>
                <c:pt idx="1190">
                  <c:v>0.95201066666666678</c:v>
                </c:pt>
                <c:pt idx="1191">
                  <c:v>0.95201066666666678</c:v>
                </c:pt>
                <c:pt idx="1192">
                  <c:v>0.95201066666666678</c:v>
                </c:pt>
                <c:pt idx="1193">
                  <c:v>0.95201066666666678</c:v>
                </c:pt>
                <c:pt idx="1194">
                  <c:v>0.95201066666666678</c:v>
                </c:pt>
                <c:pt idx="1195">
                  <c:v>0.95201066666666678</c:v>
                </c:pt>
                <c:pt idx="1196">
                  <c:v>0.95201066666666678</c:v>
                </c:pt>
                <c:pt idx="1197">
                  <c:v>0.95201066666666678</c:v>
                </c:pt>
                <c:pt idx="1198">
                  <c:v>0.95201066666666678</c:v>
                </c:pt>
                <c:pt idx="1199">
                  <c:v>0.95201066666666678</c:v>
                </c:pt>
                <c:pt idx="1200">
                  <c:v>0.95201066666666678</c:v>
                </c:pt>
                <c:pt idx="1201">
                  <c:v>0.95201066666666678</c:v>
                </c:pt>
                <c:pt idx="1202">
                  <c:v>0.95201066666666678</c:v>
                </c:pt>
                <c:pt idx="1203">
                  <c:v>0.95201066666666678</c:v>
                </c:pt>
                <c:pt idx="1204">
                  <c:v>0.95201066666666678</c:v>
                </c:pt>
                <c:pt idx="1205">
                  <c:v>0.95201066666666678</c:v>
                </c:pt>
                <c:pt idx="1206">
                  <c:v>0.95201066666666678</c:v>
                </c:pt>
                <c:pt idx="1207">
                  <c:v>0.95201066666666678</c:v>
                </c:pt>
                <c:pt idx="1208">
                  <c:v>0.95201066666666678</c:v>
                </c:pt>
                <c:pt idx="1209">
                  <c:v>0.95201066666666678</c:v>
                </c:pt>
                <c:pt idx="1210">
                  <c:v>0.95201066666666678</c:v>
                </c:pt>
                <c:pt idx="1211">
                  <c:v>0.95201066666666678</c:v>
                </c:pt>
                <c:pt idx="1212">
                  <c:v>0.95201066666666678</c:v>
                </c:pt>
                <c:pt idx="1213">
                  <c:v>0.95201066666666678</c:v>
                </c:pt>
                <c:pt idx="1214">
                  <c:v>0.95201066666666678</c:v>
                </c:pt>
                <c:pt idx="1215">
                  <c:v>0.95201066666666678</c:v>
                </c:pt>
                <c:pt idx="1216">
                  <c:v>0.95201066666666678</c:v>
                </c:pt>
                <c:pt idx="1217">
                  <c:v>0.95201066666666678</c:v>
                </c:pt>
                <c:pt idx="1218">
                  <c:v>0.95201066666666678</c:v>
                </c:pt>
                <c:pt idx="1219">
                  <c:v>0.95201066666666678</c:v>
                </c:pt>
                <c:pt idx="1220">
                  <c:v>0.95201066666666678</c:v>
                </c:pt>
                <c:pt idx="1221">
                  <c:v>0.96409233333333344</c:v>
                </c:pt>
                <c:pt idx="1222">
                  <c:v>0.96409233333333344</c:v>
                </c:pt>
                <c:pt idx="1223">
                  <c:v>0.96409233333333344</c:v>
                </c:pt>
                <c:pt idx="1224">
                  <c:v>0.96409233333333344</c:v>
                </c:pt>
                <c:pt idx="1225">
                  <c:v>0.96409233333333344</c:v>
                </c:pt>
                <c:pt idx="1226">
                  <c:v>0.96409233333333344</c:v>
                </c:pt>
                <c:pt idx="1227">
                  <c:v>0.96409233333333344</c:v>
                </c:pt>
                <c:pt idx="1228">
                  <c:v>0.96409233333333344</c:v>
                </c:pt>
                <c:pt idx="1229">
                  <c:v>0.96409233333333344</c:v>
                </c:pt>
                <c:pt idx="1230">
                  <c:v>0.96409233333333344</c:v>
                </c:pt>
                <c:pt idx="1231">
                  <c:v>0.96409233333333344</c:v>
                </c:pt>
                <c:pt idx="1232">
                  <c:v>0.96409233333333344</c:v>
                </c:pt>
                <c:pt idx="1233">
                  <c:v>0.96409233333333344</c:v>
                </c:pt>
                <c:pt idx="1234">
                  <c:v>0.96409233333333344</c:v>
                </c:pt>
                <c:pt idx="1235">
                  <c:v>0.96409233333333344</c:v>
                </c:pt>
                <c:pt idx="1236">
                  <c:v>0.96409233333333344</c:v>
                </c:pt>
                <c:pt idx="1237">
                  <c:v>0.96409233333333344</c:v>
                </c:pt>
                <c:pt idx="1238">
                  <c:v>0.96409233333333344</c:v>
                </c:pt>
                <c:pt idx="1239">
                  <c:v>0.96409233333333344</c:v>
                </c:pt>
                <c:pt idx="1240">
                  <c:v>0.96409233333333344</c:v>
                </c:pt>
                <c:pt idx="1241">
                  <c:v>0.96409233333333344</c:v>
                </c:pt>
                <c:pt idx="1242">
                  <c:v>0.96409233333333344</c:v>
                </c:pt>
                <c:pt idx="1243">
                  <c:v>0.96409233333333344</c:v>
                </c:pt>
                <c:pt idx="1244">
                  <c:v>0.96409233333333344</c:v>
                </c:pt>
                <c:pt idx="1245">
                  <c:v>0.96409233333333344</c:v>
                </c:pt>
                <c:pt idx="1246">
                  <c:v>0.96409233333333344</c:v>
                </c:pt>
                <c:pt idx="1247">
                  <c:v>0.96409233333333344</c:v>
                </c:pt>
                <c:pt idx="1248">
                  <c:v>0.96409233333333344</c:v>
                </c:pt>
                <c:pt idx="1249">
                  <c:v>0.96409233333333344</c:v>
                </c:pt>
                <c:pt idx="1250">
                  <c:v>0.95326399999999989</c:v>
                </c:pt>
                <c:pt idx="1251">
                  <c:v>0.95326399999999989</c:v>
                </c:pt>
                <c:pt idx="1252">
                  <c:v>0.95326399999999989</c:v>
                </c:pt>
                <c:pt idx="1253">
                  <c:v>0.95326399999999989</c:v>
                </c:pt>
                <c:pt idx="1254">
                  <c:v>0.95326399999999989</c:v>
                </c:pt>
                <c:pt idx="1255">
                  <c:v>0.95326399999999989</c:v>
                </c:pt>
                <c:pt idx="1256">
                  <c:v>0.95326399999999989</c:v>
                </c:pt>
                <c:pt idx="1257">
                  <c:v>0.95326399999999989</c:v>
                </c:pt>
                <c:pt idx="1258">
                  <c:v>0.95326399999999989</c:v>
                </c:pt>
                <c:pt idx="1259">
                  <c:v>0.95326399999999989</c:v>
                </c:pt>
                <c:pt idx="1260">
                  <c:v>0.95326399999999989</c:v>
                </c:pt>
                <c:pt idx="1261">
                  <c:v>0.95326399999999989</c:v>
                </c:pt>
                <c:pt idx="1262">
                  <c:v>0.95326399999999989</c:v>
                </c:pt>
                <c:pt idx="1263">
                  <c:v>0.95326399999999989</c:v>
                </c:pt>
                <c:pt idx="1264">
                  <c:v>0.95326399999999989</c:v>
                </c:pt>
                <c:pt idx="1265">
                  <c:v>0.95326399999999989</c:v>
                </c:pt>
                <c:pt idx="1266">
                  <c:v>0.95326399999999989</c:v>
                </c:pt>
                <c:pt idx="1267">
                  <c:v>0.95326399999999989</c:v>
                </c:pt>
                <c:pt idx="1268">
                  <c:v>0.95326399999999989</c:v>
                </c:pt>
                <c:pt idx="1269">
                  <c:v>0.95326399999999989</c:v>
                </c:pt>
                <c:pt idx="1270">
                  <c:v>0.95326399999999989</c:v>
                </c:pt>
                <c:pt idx="1271">
                  <c:v>0.95326399999999989</c:v>
                </c:pt>
                <c:pt idx="1272">
                  <c:v>0.95326399999999989</c:v>
                </c:pt>
                <c:pt idx="1273">
                  <c:v>0.95326399999999989</c:v>
                </c:pt>
                <c:pt idx="1274">
                  <c:v>0.95326399999999989</c:v>
                </c:pt>
                <c:pt idx="1275">
                  <c:v>0.95326399999999989</c:v>
                </c:pt>
                <c:pt idx="1276">
                  <c:v>0.95326399999999989</c:v>
                </c:pt>
                <c:pt idx="1277">
                  <c:v>0.95326399999999989</c:v>
                </c:pt>
                <c:pt idx="1278">
                  <c:v>0.95326399999999989</c:v>
                </c:pt>
                <c:pt idx="1279">
                  <c:v>0.95326399999999989</c:v>
                </c:pt>
                <c:pt idx="1280">
                  <c:v>0.87194233333333326</c:v>
                </c:pt>
                <c:pt idx="1281">
                  <c:v>0.87194233333333326</c:v>
                </c:pt>
                <c:pt idx="1282">
                  <c:v>0.87194233333333326</c:v>
                </c:pt>
                <c:pt idx="1283">
                  <c:v>0.87194233333333326</c:v>
                </c:pt>
                <c:pt idx="1284">
                  <c:v>0.87194233333333326</c:v>
                </c:pt>
                <c:pt idx="1285">
                  <c:v>0.87194233333333326</c:v>
                </c:pt>
                <c:pt idx="1286">
                  <c:v>0.87194233333333326</c:v>
                </c:pt>
                <c:pt idx="1287">
                  <c:v>0.87194233333333326</c:v>
                </c:pt>
                <c:pt idx="1288">
                  <c:v>0.87194233333333326</c:v>
                </c:pt>
                <c:pt idx="1289">
                  <c:v>0.87194233333333326</c:v>
                </c:pt>
                <c:pt idx="1290">
                  <c:v>0.87194233333333326</c:v>
                </c:pt>
                <c:pt idx="1291">
                  <c:v>0.87194233333333326</c:v>
                </c:pt>
                <c:pt idx="1292">
                  <c:v>0.87194233333333326</c:v>
                </c:pt>
                <c:pt idx="1293">
                  <c:v>0.87194233333333326</c:v>
                </c:pt>
                <c:pt idx="1294">
                  <c:v>0.87194233333333326</c:v>
                </c:pt>
                <c:pt idx="1295">
                  <c:v>0.87194233333333326</c:v>
                </c:pt>
                <c:pt idx="1296">
                  <c:v>0.87194233333333326</c:v>
                </c:pt>
                <c:pt idx="1297">
                  <c:v>0.87194233333333326</c:v>
                </c:pt>
                <c:pt idx="1298">
                  <c:v>0.87194233333333326</c:v>
                </c:pt>
                <c:pt idx="1299">
                  <c:v>0.87194233333333326</c:v>
                </c:pt>
                <c:pt idx="1300">
                  <c:v>0.87194233333333326</c:v>
                </c:pt>
                <c:pt idx="1301">
                  <c:v>0.87194233333333326</c:v>
                </c:pt>
                <c:pt idx="1302">
                  <c:v>0.87194233333333326</c:v>
                </c:pt>
                <c:pt idx="1303">
                  <c:v>0.87194233333333326</c:v>
                </c:pt>
                <c:pt idx="1304">
                  <c:v>0.87194233333333326</c:v>
                </c:pt>
                <c:pt idx="1305">
                  <c:v>0.87194233333333326</c:v>
                </c:pt>
                <c:pt idx="1306">
                  <c:v>0.87194233333333326</c:v>
                </c:pt>
                <c:pt idx="1307">
                  <c:v>0.87194233333333326</c:v>
                </c:pt>
                <c:pt idx="1308">
                  <c:v>0.87194233333333326</c:v>
                </c:pt>
                <c:pt idx="1309">
                  <c:v>0.87194233333333326</c:v>
                </c:pt>
                <c:pt idx="1310">
                  <c:v>0.87194233333333326</c:v>
                </c:pt>
                <c:pt idx="1311">
                  <c:v>0.87194233333333326</c:v>
                </c:pt>
                <c:pt idx="1312">
                  <c:v>0.87194233333333326</c:v>
                </c:pt>
                <c:pt idx="1313">
                  <c:v>0.87194233333333326</c:v>
                </c:pt>
                <c:pt idx="1314">
                  <c:v>0.87194233333333326</c:v>
                </c:pt>
                <c:pt idx="1315">
                  <c:v>0.87194233333333326</c:v>
                </c:pt>
                <c:pt idx="1316">
                  <c:v>0.87194233333333326</c:v>
                </c:pt>
                <c:pt idx="1317">
                  <c:v>0.87194233333333326</c:v>
                </c:pt>
                <c:pt idx="1318">
                  <c:v>0.87194233333333326</c:v>
                </c:pt>
                <c:pt idx="1319">
                  <c:v>0.87194233333333326</c:v>
                </c:pt>
                <c:pt idx="1320">
                  <c:v>0.92992700000000017</c:v>
                </c:pt>
                <c:pt idx="1321">
                  <c:v>0.92992700000000017</c:v>
                </c:pt>
                <c:pt idx="1322">
                  <c:v>0.92992700000000017</c:v>
                </c:pt>
                <c:pt idx="1323">
                  <c:v>0.92992700000000017</c:v>
                </c:pt>
                <c:pt idx="1324">
                  <c:v>0.92992700000000017</c:v>
                </c:pt>
                <c:pt idx="1325">
                  <c:v>0.92992700000000017</c:v>
                </c:pt>
                <c:pt idx="1326">
                  <c:v>0.92992700000000017</c:v>
                </c:pt>
                <c:pt idx="1327">
                  <c:v>0.92992700000000017</c:v>
                </c:pt>
                <c:pt idx="1328">
                  <c:v>0.92992700000000017</c:v>
                </c:pt>
                <c:pt idx="1329">
                  <c:v>0.92992700000000017</c:v>
                </c:pt>
                <c:pt idx="1330">
                  <c:v>0.92992700000000017</c:v>
                </c:pt>
                <c:pt idx="1331">
                  <c:v>0.92992700000000017</c:v>
                </c:pt>
                <c:pt idx="1332">
                  <c:v>0.92992700000000017</c:v>
                </c:pt>
                <c:pt idx="1333">
                  <c:v>0.92992700000000017</c:v>
                </c:pt>
                <c:pt idx="1334">
                  <c:v>0.92992700000000017</c:v>
                </c:pt>
                <c:pt idx="1335">
                  <c:v>0.92992700000000017</c:v>
                </c:pt>
                <c:pt idx="1336">
                  <c:v>0.92992700000000017</c:v>
                </c:pt>
                <c:pt idx="1337">
                  <c:v>0.92992700000000017</c:v>
                </c:pt>
                <c:pt idx="1338">
                  <c:v>0.92992700000000017</c:v>
                </c:pt>
                <c:pt idx="1339">
                  <c:v>0.92992700000000017</c:v>
                </c:pt>
                <c:pt idx="1340">
                  <c:v>0.92992700000000017</c:v>
                </c:pt>
                <c:pt idx="1341">
                  <c:v>0.92992700000000017</c:v>
                </c:pt>
                <c:pt idx="1342">
                  <c:v>0.92992700000000017</c:v>
                </c:pt>
                <c:pt idx="1343">
                  <c:v>0.92992700000000017</c:v>
                </c:pt>
                <c:pt idx="1344">
                  <c:v>0.92992700000000017</c:v>
                </c:pt>
                <c:pt idx="1345">
                  <c:v>0.92992700000000017</c:v>
                </c:pt>
                <c:pt idx="1346">
                  <c:v>0.92992700000000017</c:v>
                </c:pt>
                <c:pt idx="1347">
                  <c:v>0.92992700000000017</c:v>
                </c:pt>
                <c:pt idx="1348">
                  <c:v>0.92992700000000017</c:v>
                </c:pt>
                <c:pt idx="1349">
                  <c:v>0.92992700000000017</c:v>
                </c:pt>
                <c:pt idx="1350">
                  <c:v>0.92992700000000017</c:v>
                </c:pt>
                <c:pt idx="1351">
                  <c:v>0.97350766666666677</c:v>
                </c:pt>
                <c:pt idx="1352">
                  <c:v>0.97350766666666677</c:v>
                </c:pt>
                <c:pt idx="1353">
                  <c:v>0.97350766666666677</c:v>
                </c:pt>
                <c:pt idx="1354">
                  <c:v>0.97350766666666677</c:v>
                </c:pt>
                <c:pt idx="1355">
                  <c:v>0.97350766666666677</c:v>
                </c:pt>
                <c:pt idx="1356">
                  <c:v>0.97350766666666677</c:v>
                </c:pt>
                <c:pt idx="1357">
                  <c:v>0.97350766666666677</c:v>
                </c:pt>
                <c:pt idx="1358">
                  <c:v>0.97350766666666677</c:v>
                </c:pt>
                <c:pt idx="1359">
                  <c:v>0.97350766666666677</c:v>
                </c:pt>
                <c:pt idx="1360">
                  <c:v>0.97350766666666677</c:v>
                </c:pt>
                <c:pt idx="1361">
                  <c:v>0.97350766666666677</c:v>
                </c:pt>
                <c:pt idx="1362">
                  <c:v>0.97350766666666677</c:v>
                </c:pt>
                <c:pt idx="1363">
                  <c:v>0.97350766666666677</c:v>
                </c:pt>
                <c:pt idx="1364">
                  <c:v>0.97350766666666677</c:v>
                </c:pt>
                <c:pt idx="1365">
                  <c:v>0.97350766666666677</c:v>
                </c:pt>
                <c:pt idx="1366">
                  <c:v>0.97350766666666677</c:v>
                </c:pt>
                <c:pt idx="1367">
                  <c:v>0.97350766666666677</c:v>
                </c:pt>
                <c:pt idx="1368">
                  <c:v>0.97350766666666677</c:v>
                </c:pt>
                <c:pt idx="1369">
                  <c:v>0.97350766666666677</c:v>
                </c:pt>
                <c:pt idx="1370">
                  <c:v>0.97350766666666677</c:v>
                </c:pt>
                <c:pt idx="1371">
                  <c:v>0.97350766666666677</c:v>
                </c:pt>
                <c:pt idx="1372">
                  <c:v>0.97350766666666677</c:v>
                </c:pt>
                <c:pt idx="1373">
                  <c:v>0.97350766666666677</c:v>
                </c:pt>
                <c:pt idx="1374">
                  <c:v>0.97350766666666677</c:v>
                </c:pt>
                <c:pt idx="1375">
                  <c:v>0.97350766666666677</c:v>
                </c:pt>
                <c:pt idx="1376">
                  <c:v>0.97350766666666677</c:v>
                </c:pt>
                <c:pt idx="1377">
                  <c:v>0.97350766666666677</c:v>
                </c:pt>
                <c:pt idx="1378">
                  <c:v>0.97350766666666677</c:v>
                </c:pt>
                <c:pt idx="1379">
                  <c:v>0.97350766666666677</c:v>
                </c:pt>
                <c:pt idx="1380">
                  <c:v>0.97350766666666677</c:v>
                </c:pt>
                <c:pt idx="1381">
                  <c:v>0.97350766666666677</c:v>
                </c:pt>
                <c:pt idx="1382">
                  <c:v>0.97350766666666677</c:v>
                </c:pt>
                <c:pt idx="1383">
                  <c:v>0.97350766666666677</c:v>
                </c:pt>
                <c:pt idx="1384">
                  <c:v>0.97350766666666677</c:v>
                </c:pt>
                <c:pt idx="1385">
                  <c:v>0.97350766666666677</c:v>
                </c:pt>
                <c:pt idx="1386">
                  <c:v>0.97350766666666677</c:v>
                </c:pt>
                <c:pt idx="1387">
                  <c:v>0.97350766666666677</c:v>
                </c:pt>
                <c:pt idx="1388">
                  <c:v>0.97350766666666677</c:v>
                </c:pt>
                <c:pt idx="1389">
                  <c:v>0.97350766666666677</c:v>
                </c:pt>
                <c:pt idx="1390">
                  <c:v>0.98266966666666677</c:v>
                </c:pt>
                <c:pt idx="1391">
                  <c:v>0.98266966666666677</c:v>
                </c:pt>
                <c:pt idx="1392">
                  <c:v>0.98266966666666677</c:v>
                </c:pt>
                <c:pt idx="1393">
                  <c:v>0.98266966666666677</c:v>
                </c:pt>
                <c:pt idx="1394">
                  <c:v>0.98266966666666677</c:v>
                </c:pt>
                <c:pt idx="1395">
                  <c:v>0.98266966666666677</c:v>
                </c:pt>
                <c:pt idx="1396">
                  <c:v>0.98266966666666677</c:v>
                </c:pt>
                <c:pt idx="1397">
                  <c:v>0.98266966666666677</c:v>
                </c:pt>
                <c:pt idx="1398">
                  <c:v>0.98266966666666677</c:v>
                </c:pt>
                <c:pt idx="1399">
                  <c:v>0.98266966666666677</c:v>
                </c:pt>
                <c:pt idx="1400">
                  <c:v>0.98266966666666677</c:v>
                </c:pt>
                <c:pt idx="1401">
                  <c:v>0.98266966666666677</c:v>
                </c:pt>
                <c:pt idx="1402">
                  <c:v>0.98266966666666677</c:v>
                </c:pt>
                <c:pt idx="1403">
                  <c:v>0.98266966666666677</c:v>
                </c:pt>
                <c:pt idx="1404">
                  <c:v>0.98266966666666677</c:v>
                </c:pt>
                <c:pt idx="1405">
                  <c:v>0.98266966666666677</c:v>
                </c:pt>
                <c:pt idx="1406">
                  <c:v>0.98266966666666677</c:v>
                </c:pt>
                <c:pt idx="1407">
                  <c:v>0.98266966666666677</c:v>
                </c:pt>
                <c:pt idx="1408">
                  <c:v>0.98266966666666677</c:v>
                </c:pt>
                <c:pt idx="1409">
                  <c:v>0.98266966666666677</c:v>
                </c:pt>
                <c:pt idx="1410">
                  <c:v>0.98266966666666677</c:v>
                </c:pt>
                <c:pt idx="1411">
                  <c:v>0.98266966666666677</c:v>
                </c:pt>
                <c:pt idx="1412">
                  <c:v>0.98266966666666677</c:v>
                </c:pt>
                <c:pt idx="1413">
                  <c:v>0.98266966666666677</c:v>
                </c:pt>
                <c:pt idx="1414">
                  <c:v>0.98266966666666677</c:v>
                </c:pt>
                <c:pt idx="1415">
                  <c:v>0.98266966666666677</c:v>
                </c:pt>
                <c:pt idx="1416">
                  <c:v>0.98266966666666677</c:v>
                </c:pt>
                <c:pt idx="1417">
                  <c:v>0.98266966666666677</c:v>
                </c:pt>
                <c:pt idx="1418">
                  <c:v>0.98266966666666677</c:v>
                </c:pt>
                <c:pt idx="1419">
                  <c:v>0.98266966666666677</c:v>
                </c:pt>
                <c:pt idx="1420">
                  <c:v>0.97370999999999996</c:v>
                </c:pt>
                <c:pt idx="1421">
                  <c:v>0.97370999999999996</c:v>
                </c:pt>
                <c:pt idx="1422">
                  <c:v>0.97370999999999996</c:v>
                </c:pt>
                <c:pt idx="1423">
                  <c:v>0.97370999999999996</c:v>
                </c:pt>
                <c:pt idx="1424">
                  <c:v>0.97370999999999996</c:v>
                </c:pt>
                <c:pt idx="1425">
                  <c:v>0.97370999999999996</c:v>
                </c:pt>
                <c:pt idx="1426">
                  <c:v>0.97370999999999996</c:v>
                </c:pt>
                <c:pt idx="1427">
                  <c:v>0.97370999999999996</c:v>
                </c:pt>
                <c:pt idx="1428">
                  <c:v>0.97370999999999996</c:v>
                </c:pt>
                <c:pt idx="1429">
                  <c:v>0.97370999999999996</c:v>
                </c:pt>
                <c:pt idx="1430">
                  <c:v>0.97370999999999996</c:v>
                </c:pt>
                <c:pt idx="1431">
                  <c:v>0.97370999999999996</c:v>
                </c:pt>
                <c:pt idx="1432">
                  <c:v>0.97370999999999996</c:v>
                </c:pt>
                <c:pt idx="1433">
                  <c:v>0.97370999999999996</c:v>
                </c:pt>
                <c:pt idx="1434">
                  <c:v>0.97370999999999996</c:v>
                </c:pt>
                <c:pt idx="1435">
                  <c:v>0.97370999999999996</c:v>
                </c:pt>
                <c:pt idx="1436">
                  <c:v>0.97370999999999996</c:v>
                </c:pt>
                <c:pt idx="1437">
                  <c:v>0.97370999999999996</c:v>
                </c:pt>
                <c:pt idx="1438">
                  <c:v>0.97370999999999996</c:v>
                </c:pt>
                <c:pt idx="1439">
                  <c:v>0.97370999999999996</c:v>
                </c:pt>
                <c:pt idx="1440">
                  <c:v>0.97370999999999996</c:v>
                </c:pt>
                <c:pt idx="1441">
                  <c:v>0.97370999999999996</c:v>
                </c:pt>
                <c:pt idx="1442">
                  <c:v>0.97370999999999996</c:v>
                </c:pt>
                <c:pt idx="1443">
                  <c:v>0.97370999999999996</c:v>
                </c:pt>
                <c:pt idx="1444">
                  <c:v>0.97370999999999996</c:v>
                </c:pt>
                <c:pt idx="1445">
                  <c:v>0.97370999999999996</c:v>
                </c:pt>
                <c:pt idx="1446">
                  <c:v>0.97370999999999996</c:v>
                </c:pt>
                <c:pt idx="1447">
                  <c:v>0.97370999999999996</c:v>
                </c:pt>
                <c:pt idx="1448">
                  <c:v>0.97370999999999996</c:v>
                </c:pt>
                <c:pt idx="1449">
                  <c:v>0.97370999999999996</c:v>
                </c:pt>
                <c:pt idx="1450">
                  <c:v>0.97370999999999996</c:v>
                </c:pt>
                <c:pt idx="1451">
                  <c:v>0.97370999999999996</c:v>
                </c:pt>
                <c:pt idx="1452">
                  <c:v>0.97370999999999996</c:v>
                </c:pt>
                <c:pt idx="1453">
                  <c:v>0.97370999999999996</c:v>
                </c:pt>
                <c:pt idx="1454">
                  <c:v>0.97370999999999996</c:v>
                </c:pt>
                <c:pt idx="1455">
                  <c:v>0.97370999999999996</c:v>
                </c:pt>
                <c:pt idx="1456">
                  <c:v>0.97370999999999996</c:v>
                </c:pt>
                <c:pt idx="1457">
                  <c:v>0.97370999999999996</c:v>
                </c:pt>
                <c:pt idx="1458">
                  <c:v>0.97370999999999996</c:v>
                </c:pt>
                <c:pt idx="1459">
                  <c:v>0.97370999999999996</c:v>
                </c:pt>
                <c:pt idx="1460">
                  <c:v>0.105124</c:v>
                </c:pt>
                <c:pt idx="1461">
                  <c:v>0.105124</c:v>
                </c:pt>
                <c:pt idx="1462">
                  <c:v>0.105124</c:v>
                </c:pt>
                <c:pt idx="1463">
                  <c:v>0.105124</c:v>
                </c:pt>
                <c:pt idx="1464">
                  <c:v>0.105124</c:v>
                </c:pt>
                <c:pt idx="1465">
                  <c:v>0.105124</c:v>
                </c:pt>
                <c:pt idx="1466">
                  <c:v>0.105124</c:v>
                </c:pt>
                <c:pt idx="1467">
                  <c:v>0.105124</c:v>
                </c:pt>
                <c:pt idx="1468">
                  <c:v>0.105124</c:v>
                </c:pt>
                <c:pt idx="1469">
                  <c:v>0.105124</c:v>
                </c:pt>
                <c:pt idx="1470">
                  <c:v>0.105124</c:v>
                </c:pt>
                <c:pt idx="1471">
                  <c:v>0.105124</c:v>
                </c:pt>
                <c:pt idx="1472">
                  <c:v>0.105124</c:v>
                </c:pt>
                <c:pt idx="1473">
                  <c:v>0.105124</c:v>
                </c:pt>
                <c:pt idx="1474">
                  <c:v>0.105124</c:v>
                </c:pt>
                <c:pt idx="1475">
                  <c:v>0.105124</c:v>
                </c:pt>
                <c:pt idx="1476">
                  <c:v>0.105124</c:v>
                </c:pt>
                <c:pt idx="1477">
                  <c:v>0.105124</c:v>
                </c:pt>
                <c:pt idx="1478">
                  <c:v>0.105124</c:v>
                </c:pt>
                <c:pt idx="1479">
                  <c:v>0.105124</c:v>
                </c:pt>
                <c:pt idx="1480">
                  <c:v>0.105124</c:v>
                </c:pt>
                <c:pt idx="1481">
                  <c:v>0.105124</c:v>
                </c:pt>
                <c:pt idx="1482">
                  <c:v>0.105124</c:v>
                </c:pt>
                <c:pt idx="1483">
                  <c:v>0.105124</c:v>
                </c:pt>
                <c:pt idx="1484">
                  <c:v>0.105124</c:v>
                </c:pt>
                <c:pt idx="1485">
                  <c:v>0.105124</c:v>
                </c:pt>
                <c:pt idx="1486">
                  <c:v>0.105124</c:v>
                </c:pt>
                <c:pt idx="1487">
                  <c:v>0.105124</c:v>
                </c:pt>
                <c:pt idx="1488">
                  <c:v>0.105124</c:v>
                </c:pt>
                <c:pt idx="1489">
                  <c:v>0.71615799999999996</c:v>
                </c:pt>
                <c:pt idx="1490">
                  <c:v>0.71615799999999996</c:v>
                </c:pt>
                <c:pt idx="1491">
                  <c:v>0.71615799999999996</c:v>
                </c:pt>
                <c:pt idx="1492">
                  <c:v>0.71615799999999996</c:v>
                </c:pt>
                <c:pt idx="1493">
                  <c:v>0.71615799999999996</c:v>
                </c:pt>
                <c:pt idx="1494">
                  <c:v>0.71615799999999996</c:v>
                </c:pt>
                <c:pt idx="1495">
                  <c:v>0.71615799999999996</c:v>
                </c:pt>
                <c:pt idx="1496">
                  <c:v>0.71615799999999996</c:v>
                </c:pt>
                <c:pt idx="1497">
                  <c:v>0.71615799999999996</c:v>
                </c:pt>
                <c:pt idx="1498">
                  <c:v>0.71615799999999996</c:v>
                </c:pt>
                <c:pt idx="1499">
                  <c:v>0.71615799999999996</c:v>
                </c:pt>
                <c:pt idx="1500">
                  <c:v>0.71615799999999996</c:v>
                </c:pt>
                <c:pt idx="1501">
                  <c:v>0.71615799999999996</c:v>
                </c:pt>
                <c:pt idx="1502">
                  <c:v>0.71615799999999996</c:v>
                </c:pt>
                <c:pt idx="1503">
                  <c:v>0.71615799999999996</c:v>
                </c:pt>
                <c:pt idx="1504">
                  <c:v>0.71615799999999996</c:v>
                </c:pt>
                <c:pt idx="1505">
                  <c:v>0.71615799999999996</c:v>
                </c:pt>
                <c:pt idx="1506">
                  <c:v>0.71615799999999996</c:v>
                </c:pt>
                <c:pt idx="1507">
                  <c:v>0.71615799999999996</c:v>
                </c:pt>
                <c:pt idx="1508">
                  <c:v>0.71615799999999996</c:v>
                </c:pt>
                <c:pt idx="1509">
                  <c:v>0.71615799999999996</c:v>
                </c:pt>
                <c:pt idx="1510">
                  <c:v>0.71615799999999996</c:v>
                </c:pt>
                <c:pt idx="1511">
                  <c:v>0.71615799999999996</c:v>
                </c:pt>
                <c:pt idx="1512">
                  <c:v>0.71615799999999996</c:v>
                </c:pt>
                <c:pt idx="1513">
                  <c:v>0.71615799999999996</c:v>
                </c:pt>
                <c:pt idx="1514">
                  <c:v>0.71615799999999996</c:v>
                </c:pt>
                <c:pt idx="1515">
                  <c:v>0.71615799999999996</c:v>
                </c:pt>
                <c:pt idx="1516">
                  <c:v>0.71615799999999996</c:v>
                </c:pt>
                <c:pt idx="1517">
                  <c:v>0.71615799999999996</c:v>
                </c:pt>
                <c:pt idx="1518">
                  <c:v>0.71615799999999996</c:v>
                </c:pt>
                <c:pt idx="1519">
                  <c:v>0.71615799999999996</c:v>
                </c:pt>
                <c:pt idx="1520">
                  <c:v>0.71615799999999996</c:v>
                </c:pt>
                <c:pt idx="1521">
                  <c:v>0.71615799999999996</c:v>
                </c:pt>
                <c:pt idx="1522">
                  <c:v>0.71615799999999996</c:v>
                </c:pt>
                <c:pt idx="1523">
                  <c:v>0.71615799999999996</c:v>
                </c:pt>
                <c:pt idx="1524">
                  <c:v>0.71615799999999996</c:v>
                </c:pt>
                <c:pt idx="1525">
                  <c:v>0.71615799999999996</c:v>
                </c:pt>
                <c:pt idx="1526">
                  <c:v>0.71615799999999996</c:v>
                </c:pt>
                <c:pt idx="1527">
                  <c:v>0.71615799999999996</c:v>
                </c:pt>
                <c:pt idx="1528">
                  <c:v>0.71615799999999996</c:v>
                </c:pt>
                <c:pt idx="1529">
                  <c:v>0.71615799999999996</c:v>
                </c:pt>
                <c:pt idx="1530">
                  <c:v>0.71615799999999996</c:v>
                </c:pt>
                <c:pt idx="1531">
                  <c:v>0.71615799999999996</c:v>
                </c:pt>
                <c:pt idx="1532">
                  <c:v>0.71615799999999996</c:v>
                </c:pt>
                <c:pt idx="1533">
                  <c:v>0.71615799999999996</c:v>
                </c:pt>
                <c:pt idx="1534">
                  <c:v>0.71615799999999996</c:v>
                </c:pt>
                <c:pt idx="1535">
                  <c:v>0.71615799999999996</c:v>
                </c:pt>
                <c:pt idx="1536">
                  <c:v>0.71615799999999996</c:v>
                </c:pt>
                <c:pt idx="1537">
                  <c:v>0.71615799999999996</c:v>
                </c:pt>
                <c:pt idx="1538">
                  <c:v>0.71615799999999996</c:v>
                </c:pt>
                <c:pt idx="1539">
                  <c:v>0.71615799999999996</c:v>
                </c:pt>
                <c:pt idx="1540">
                  <c:v>0.71615799999999996</c:v>
                </c:pt>
                <c:pt idx="1541">
                  <c:v>0.71615799999999996</c:v>
                </c:pt>
                <c:pt idx="1542">
                  <c:v>0.71615799999999996</c:v>
                </c:pt>
                <c:pt idx="1543">
                  <c:v>0.71615799999999996</c:v>
                </c:pt>
                <c:pt idx="1544">
                  <c:v>0.71615799999999996</c:v>
                </c:pt>
                <c:pt idx="1545">
                  <c:v>0.71615799999999996</c:v>
                </c:pt>
                <c:pt idx="1546">
                  <c:v>0.71615799999999996</c:v>
                </c:pt>
                <c:pt idx="1547">
                  <c:v>0.71615799999999996</c:v>
                </c:pt>
                <c:pt idx="1548">
                  <c:v>0.71615799999999996</c:v>
                </c:pt>
                <c:pt idx="1549">
                  <c:v>0.71615799999999996</c:v>
                </c:pt>
                <c:pt idx="1550">
                  <c:v>0.71589233333333324</c:v>
                </c:pt>
                <c:pt idx="1551">
                  <c:v>0.71589233333333324</c:v>
                </c:pt>
                <c:pt idx="1552">
                  <c:v>0.71589233333333324</c:v>
                </c:pt>
                <c:pt idx="1553">
                  <c:v>0.71589233333333324</c:v>
                </c:pt>
                <c:pt idx="1554">
                  <c:v>0.71589233333333324</c:v>
                </c:pt>
                <c:pt idx="1555">
                  <c:v>0.71589233333333324</c:v>
                </c:pt>
                <c:pt idx="1556">
                  <c:v>0.71589233333333324</c:v>
                </c:pt>
                <c:pt idx="1557">
                  <c:v>0.71589233333333324</c:v>
                </c:pt>
                <c:pt idx="1558">
                  <c:v>0.71589233333333324</c:v>
                </c:pt>
                <c:pt idx="1559">
                  <c:v>0.74730599999999991</c:v>
                </c:pt>
                <c:pt idx="1560">
                  <c:v>0.74730599999999991</c:v>
                </c:pt>
                <c:pt idx="1561">
                  <c:v>0.74730599999999991</c:v>
                </c:pt>
                <c:pt idx="1562">
                  <c:v>0.74730599999999991</c:v>
                </c:pt>
                <c:pt idx="1563">
                  <c:v>0.74730599999999991</c:v>
                </c:pt>
                <c:pt idx="1564">
                  <c:v>0.74730599999999991</c:v>
                </c:pt>
                <c:pt idx="1565">
                  <c:v>0.74730599999999991</c:v>
                </c:pt>
                <c:pt idx="1566">
                  <c:v>0.74730599999999991</c:v>
                </c:pt>
                <c:pt idx="1567">
                  <c:v>0.74730599999999991</c:v>
                </c:pt>
                <c:pt idx="1568">
                  <c:v>0.74730599999999991</c:v>
                </c:pt>
                <c:pt idx="1569">
                  <c:v>0.74730599999999991</c:v>
                </c:pt>
                <c:pt idx="1570">
                  <c:v>0.79926699999999995</c:v>
                </c:pt>
                <c:pt idx="1571">
                  <c:v>0.79926699999999995</c:v>
                </c:pt>
                <c:pt idx="1572">
                  <c:v>0.79926699999999995</c:v>
                </c:pt>
                <c:pt idx="1573">
                  <c:v>0.79926699999999995</c:v>
                </c:pt>
                <c:pt idx="1574">
                  <c:v>0.79926699999999995</c:v>
                </c:pt>
                <c:pt idx="1575">
                  <c:v>0.79926699999999995</c:v>
                </c:pt>
                <c:pt idx="1576">
                  <c:v>0.79926699999999995</c:v>
                </c:pt>
                <c:pt idx="1577">
                  <c:v>0.79926699999999995</c:v>
                </c:pt>
                <c:pt idx="1578">
                  <c:v>0.79926699999999995</c:v>
                </c:pt>
                <c:pt idx="1579">
                  <c:v>0.79926699999999995</c:v>
                </c:pt>
                <c:pt idx="1580">
                  <c:v>0.79926699999999995</c:v>
                </c:pt>
                <c:pt idx="1581">
                  <c:v>0.79926699999999995</c:v>
                </c:pt>
                <c:pt idx="1582">
                  <c:v>0.79926699999999995</c:v>
                </c:pt>
                <c:pt idx="1583">
                  <c:v>0.79926699999999995</c:v>
                </c:pt>
                <c:pt idx="1584">
                  <c:v>0.79926699999999995</c:v>
                </c:pt>
                <c:pt idx="1585">
                  <c:v>0.79926699999999995</c:v>
                </c:pt>
                <c:pt idx="1586">
                  <c:v>0.79926699999999995</c:v>
                </c:pt>
                <c:pt idx="1587">
                  <c:v>0.79926699999999995</c:v>
                </c:pt>
                <c:pt idx="1588">
                  <c:v>0.79926699999999995</c:v>
                </c:pt>
                <c:pt idx="1589">
                  <c:v>0.79926699999999995</c:v>
                </c:pt>
                <c:pt idx="1590">
                  <c:v>0.79926699999999995</c:v>
                </c:pt>
                <c:pt idx="1591">
                  <c:v>0.79926699999999995</c:v>
                </c:pt>
                <c:pt idx="1592">
                  <c:v>0.79926699999999995</c:v>
                </c:pt>
                <c:pt idx="1593">
                  <c:v>0.79926699999999995</c:v>
                </c:pt>
                <c:pt idx="1594">
                  <c:v>0.79926699999999995</c:v>
                </c:pt>
                <c:pt idx="1595">
                  <c:v>0.79926699999999995</c:v>
                </c:pt>
                <c:pt idx="1596">
                  <c:v>0.79926699999999995</c:v>
                </c:pt>
                <c:pt idx="1597">
                  <c:v>0.79926699999999995</c:v>
                </c:pt>
                <c:pt idx="1598">
                  <c:v>0.79926699999999995</c:v>
                </c:pt>
                <c:pt idx="1599">
                  <c:v>0.79926699999999995</c:v>
                </c:pt>
                <c:pt idx="1600">
                  <c:v>0.90001266666666668</c:v>
                </c:pt>
                <c:pt idx="1601">
                  <c:v>0.90001266666666668</c:v>
                </c:pt>
                <c:pt idx="1602">
                  <c:v>0.90001266666666668</c:v>
                </c:pt>
                <c:pt idx="1603">
                  <c:v>0.90001266666666668</c:v>
                </c:pt>
                <c:pt idx="1604">
                  <c:v>0.90001266666666668</c:v>
                </c:pt>
                <c:pt idx="1605">
                  <c:v>0.90001266666666668</c:v>
                </c:pt>
                <c:pt idx="1606">
                  <c:v>0.90001266666666668</c:v>
                </c:pt>
                <c:pt idx="1607">
                  <c:v>0.90001266666666668</c:v>
                </c:pt>
                <c:pt idx="1608">
                  <c:v>0.90001266666666668</c:v>
                </c:pt>
                <c:pt idx="1609">
                  <c:v>0.90001266666666668</c:v>
                </c:pt>
                <c:pt idx="1610">
                  <c:v>0.90001266666666668</c:v>
                </c:pt>
                <c:pt idx="1611">
                  <c:v>0.91200566666666694</c:v>
                </c:pt>
                <c:pt idx="1612">
                  <c:v>0.91200566666666694</c:v>
                </c:pt>
                <c:pt idx="1613">
                  <c:v>0.91200566666666694</c:v>
                </c:pt>
                <c:pt idx="1614">
                  <c:v>0.91200566666666694</c:v>
                </c:pt>
                <c:pt idx="1615">
                  <c:v>0.91200566666666694</c:v>
                </c:pt>
                <c:pt idx="1616">
                  <c:v>0.91200566666666694</c:v>
                </c:pt>
                <c:pt idx="1617">
                  <c:v>0.91200566666666694</c:v>
                </c:pt>
                <c:pt idx="1618">
                  <c:v>0.91200566666666694</c:v>
                </c:pt>
                <c:pt idx="1619">
                  <c:v>0.91200566666666694</c:v>
                </c:pt>
                <c:pt idx="1620">
                  <c:v>0.93713833333333307</c:v>
                </c:pt>
                <c:pt idx="1621">
                  <c:v>0.93713833333333307</c:v>
                </c:pt>
                <c:pt idx="1622">
                  <c:v>0.93713833333333307</c:v>
                </c:pt>
                <c:pt idx="1623">
                  <c:v>0.93713833333333307</c:v>
                </c:pt>
                <c:pt idx="1624">
                  <c:v>0.93713833333333307</c:v>
                </c:pt>
                <c:pt idx="1625">
                  <c:v>0.93713833333333307</c:v>
                </c:pt>
                <c:pt idx="1626">
                  <c:v>0.93713833333333307</c:v>
                </c:pt>
                <c:pt idx="1627">
                  <c:v>0.93713833333333307</c:v>
                </c:pt>
                <c:pt idx="1628">
                  <c:v>0.93713833333333307</c:v>
                </c:pt>
                <c:pt idx="1629">
                  <c:v>0.93713833333333307</c:v>
                </c:pt>
                <c:pt idx="1630">
                  <c:v>0.94147400000000003</c:v>
                </c:pt>
                <c:pt idx="1631">
                  <c:v>0.94147400000000003</c:v>
                </c:pt>
                <c:pt idx="1632">
                  <c:v>0.94147400000000003</c:v>
                </c:pt>
                <c:pt idx="1633">
                  <c:v>0.94147400000000003</c:v>
                </c:pt>
                <c:pt idx="1634">
                  <c:v>0.94147400000000003</c:v>
                </c:pt>
                <c:pt idx="1635">
                  <c:v>0.94147400000000003</c:v>
                </c:pt>
                <c:pt idx="1636">
                  <c:v>0.94147400000000003</c:v>
                </c:pt>
                <c:pt idx="1637">
                  <c:v>0.94147400000000003</c:v>
                </c:pt>
                <c:pt idx="1638">
                  <c:v>0.94147400000000003</c:v>
                </c:pt>
                <c:pt idx="1639">
                  <c:v>0.94147400000000003</c:v>
                </c:pt>
                <c:pt idx="1640">
                  <c:v>0.95646433333333336</c:v>
                </c:pt>
                <c:pt idx="1641">
                  <c:v>0.95646433333333336</c:v>
                </c:pt>
                <c:pt idx="1642">
                  <c:v>0.95646433333333336</c:v>
                </c:pt>
                <c:pt idx="1643">
                  <c:v>0.95646433333333336</c:v>
                </c:pt>
                <c:pt idx="1644">
                  <c:v>0.95646433333333336</c:v>
                </c:pt>
                <c:pt idx="1645">
                  <c:v>0.95646433333333336</c:v>
                </c:pt>
                <c:pt idx="1646">
                  <c:v>0.95646433333333336</c:v>
                </c:pt>
                <c:pt idx="1647">
                  <c:v>0.95646433333333336</c:v>
                </c:pt>
                <c:pt idx="1648">
                  <c:v>0.95646433333333336</c:v>
                </c:pt>
                <c:pt idx="1649">
                  <c:v>0.95646433333333336</c:v>
                </c:pt>
                <c:pt idx="1650">
                  <c:v>0.95646433333333336</c:v>
                </c:pt>
                <c:pt idx="1651">
                  <c:v>0.95646433333333336</c:v>
                </c:pt>
                <c:pt idx="1652">
                  <c:v>0.95646433333333336</c:v>
                </c:pt>
                <c:pt idx="1653">
                  <c:v>0.95646433333333336</c:v>
                </c:pt>
                <c:pt idx="1654">
                  <c:v>0.95646433333333336</c:v>
                </c:pt>
                <c:pt idx="1655">
                  <c:v>0.95646433333333336</c:v>
                </c:pt>
                <c:pt idx="1656">
                  <c:v>0.95646433333333336</c:v>
                </c:pt>
                <c:pt idx="1657">
                  <c:v>0.95646433333333336</c:v>
                </c:pt>
                <c:pt idx="1658">
                  <c:v>0.95646433333333336</c:v>
                </c:pt>
                <c:pt idx="1659">
                  <c:v>0.95646433333333336</c:v>
                </c:pt>
                <c:pt idx="1660">
                  <c:v>0.95646433333333336</c:v>
                </c:pt>
                <c:pt idx="1661">
                  <c:v>0.95646433333333336</c:v>
                </c:pt>
                <c:pt idx="1662">
                  <c:v>0.95646433333333336</c:v>
                </c:pt>
                <c:pt idx="1663">
                  <c:v>0.95646433333333336</c:v>
                </c:pt>
                <c:pt idx="1664">
                  <c:v>0.95646433333333336</c:v>
                </c:pt>
                <c:pt idx="1665">
                  <c:v>0.95646433333333336</c:v>
                </c:pt>
                <c:pt idx="1666">
                  <c:v>0.95646433333333336</c:v>
                </c:pt>
                <c:pt idx="1667">
                  <c:v>0.95646433333333336</c:v>
                </c:pt>
                <c:pt idx="1668">
                  <c:v>0.95646433333333336</c:v>
                </c:pt>
                <c:pt idx="1669">
                  <c:v>0.95646433333333336</c:v>
                </c:pt>
                <c:pt idx="1670">
                  <c:v>0.88874066666666651</c:v>
                </c:pt>
                <c:pt idx="1671">
                  <c:v>0.88874066666666651</c:v>
                </c:pt>
                <c:pt idx="1672">
                  <c:v>0.88874066666666651</c:v>
                </c:pt>
                <c:pt idx="1673">
                  <c:v>0.88874066666666651</c:v>
                </c:pt>
                <c:pt idx="1674">
                  <c:v>0.88874066666666651</c:v>
                </c:pt>
                <c:pt idx="1675">
                  <c:v>0.88874066666666651</c:v>
                </c:pt>
                <c:pt idx="1676">
                  <c:v>0.88874066666666651</c:v>
                </c:pt>
                <c:pt idx="1677">
                  <c:v>0.88874066666666651</c:v>
                </c:pt>
                <c:pt idx="1678">
                  <c:v>0.88874066666666651</c:v>
                </c:pt>
                <c:pt idx="1679">
                  <c:v>0.88874066666666651</c:v>
                </c:pt>
                <c:pt idx="1680">
                  <c:v>0.88874066666666651</c:v>
                </c:pt>
                <c:pt idx="1681">
                  <c:v>0.62658066666666667</c:v>
                </c:pt>
                <c:pt idx="1682">
                  <c:v>0.62658066666666667</c:v>
                </c:pt>
                <c:pt idx="1683">
                  <c:v>0.62658066666666667</c:v>
                </c:pt>
                <c:pt idx="1684">
                  <c:v>0.62658066666666667</c:v>
                </c:pt>
                <c:pt idx="1685">
                  <c:v>0.62658066666666667</c:v>
                </c:pt>
                <c:pt idx="1686">
                  <c:v>0.62658066666666667</c:v>
                </c:pt>
                <c:pt idx="1687">
                  <c:v>0.62658066666666667</c:v>
                </c:pt>
                <c:pt idx="1688">
                  <c:v>0.62658066666666667</c:v>
                </c:pt>
                <c:pt idx="1689">
                  <c:v>0.62658066666666667</c:v>
                </c:pt>
                <c:pt idx="1690">
                  <c:v>0.50542533333333328</c:v>
                </c:pt>
                <c:pt idx="1691">
                  <c:v>0.50542533333333328</c:v>
                </c:pt>
                <c:pt idx="1692">
                  <c:v>0.50542533333333328</c:v>
                </c:pt>
                <c:pt idx="1693">
                  <c:v>0.50542533333333328</c:v>
                </c:pt>
                <c:pt idx="1694">
                  <c:v>0.50542533333333328</c:v>
                </c:pt>
                <c:pt idx="1695">
                  <c:v>0.50542533333333328</c:v>
                </c:pt>
                <c:pt idx="1696">
                  <c:v>0.50542533333333328</c:v>
                </c:pt>
                <c:pt idx="1697">
                  <c:v>0.50542533333333328</c:v>
                </c:pt>
                <c:pt idx="1698">
                  <c:v>0.50542533333333328</c:v>
                </c:pt>
                <c:pt idx="1699">
                  <c:v>0.50542533333333328</c:v>
                </c:pt>
                <c:pt idx="1700">
                  <c:v>0.50542533333333328</c:v>
                </c:pt>
                <c:pt idx="1701">
                  <c:v>0.46880633333333344</c:v>
                </c:pt>
                <c:pt idx="1702">
                  <c:v>0.46880633333333344</c:v>
                </c:pt>
                <c:pt idx="1703">
                  <c:v>0.46880633333333344</c:v>
                </c:pt>
                <c:pt idx="1704">
                  <c:v>0.46880633333333344</c:v>
                </c:pt>
                <c:pt idx="1705">
                  <c:v>0.46880633333333344</c:v>
                </c:pt>
                <c:pt idx="1706">
                  <c:v>0.46880633333333344</c:v>
                </c:pt>
                <c:pt idx="1707">
                  <c:v>0.46880633333333344</c:v>
                </c:pt>
                <c:pt idx="1708">
                  <c:v>0.46880633333333344</c:v>
                </c:pt>
                <c:pt idx="1709">
                  <c:v>0.46880633333333344</c:v>
                </c:pt>
                <c:pt idx="1710">
                  <c:v>0.46880633333333344</c:v>
                </c:pt>
                <c:pt idx="1711">
                  <c:v>0.70126166666666667</c:v>
                </c:pt>
                <c:pt idx="1712">
                  <c:v>0.70126166666666667</c:v>
                </c:pt>
                <c:pt idx="1713">
                  <c:v>0.70126166666666667</c:v>
                </c:pt>
                <c:pt idx="1714">
                  <c:v>0.70126166666666667</c:v>
                </c:pt>
                <c:pt idx="1715">
                  <c:v>0.70126166666666667</c:v>
                </c:pt>
                <c:pt idx="1716">
                  <c:v>0.70126166666666667</c:v>
                </c:pt>
                <c:pt idx="1717">
                  <c:v>0.70126166666666667</c:v>
                </c:pt>
                <c:pt idx="1718">
                  <c:v>0.70126166666666667</c:v>
                </c:pt>
                <c:pt idx="1719">
                  <c:v>0.70126166666666667</c:v>
                </c:pt>
                <c:pt idx="1720">
                  <c:v>0.70126166666666667</c:v>
                </c:pt>
                <c:pt idx="1721">
                  <c:v>0.70126166666666667</c:v>
                </c:pt>
                <c:pt idx="1722">
                  <c:v>0.70126166666666667</c:v>
                </c:pt>
                <c:pt idx="1723">
                  <c:v>0.70126166666666667</c:v>
                </c:pt>
                <c:pt idx="1724">
                  <c:v>0.70126166666666667</c:v>
                </c:pt>
                <c:pt idx="1725">
                  <c:v>0.70126166666666667</c:v>
                </c:pt>
                <c:pt idx="1726">
                  <c:v>0.70126166666666667</c:v>
                </c:pt>
                <c:pt idx="1727">
                  <c:v>0.70126166666666667</c:v>
                </c:pt>
                <c:pt idx="1728">
                  <c:v>0.70126166666666667</c:v>
                </c:pt>
                <c:pt idx="1729">
                  <c:v>0.70126166666666667</c:v>
                </c:pt>
                <c:pt idx="1730">
                  <c:v>0.70126166666666667</c:v>
                </c:pt>
                <c:pt idx="1731">
                  <c:v>0.70126166666666667</c:v>
                </c:pt>
                <c:pt idx="1732">
                  <c:v>0.70126166666666667</c:v>
                </c:pt>
                <c:pt idx="1733">
                  <c:v>0.70126166666666667</c:v>
                </c:pt>
                <c:pt idx="1734">
                  <c:v>0.70126166666666667</c:v>
                </c:pt>
                <c:pt idx="1735">
                  <c:v>0.70126166666666667</c:v>
                </c:pt>
                <c:pt idx="1736">
                  <c:v>0.70126166666666667</c:v>
                </c:pt>
                <c:pt idx="1737">
                  <c:v>0.70126166666666667</c:v>
                </c:pt>
                <c:pt idx="1738">
                  <c:v>0.70126166666666667</c:v>
                </c:pt>
                <c:pt idx="1739">
                  <c:v>0.70126166666666667</c:v>
                </c:pt>
                <c:pt idx="1740">
                  <c:v>0.84628766666666666</c:v>
                </c:pt>
                <c:pt idx="1741">
                  <c:v>0.84628766666666666</c:v>
                </c:pt>
                <c:pt idx="1742">
                  <c:v>0.84628766666666666</c:v>
                </c:pt>
                <c:pt idx="1743">
                  <c:v>0.84628766666666666</c:v>
                </c:pt>
                <c:pt idx="1744">
                  <c:v>0.84628766666666666</c:v>
                </c:pt>
                <c:pt idx="1745">
                  <c:v>0.84628766666666666</c:v>
                </c:pt>
                <c:pt idx="1746">
                  <c:v>0.84628766666666666</c:v>
                </c:pt>
                <c:pt idx="1747">
                  <c:v>0.84628766666666666</c:v>
                </c:pt>
                <c:pt idx="1748">
                  <c:v>0.84628766666666666</c:v>
                </c:pt>
                <c:pt idx="1749">
                  <c:v>0.84628766666666666</c:v>
                </c:pt>
                <c:pt idx="1750">
                  <c:v>0.86597933333333332</c:v>
                </c:pt>
                <c:pt idx="1751">
                  <c:v>0.86597933333333332</c:v>
                </c:pt>
                <c:pt idx="1752">
                  <c:v>0.86597933333333332</c:v>
                </c:pt>
                <c:pt idx="1753">
                  <c:v>0.86597933333333332</c:v>
                </c:pt>
                <c:pt idx="1754">
                  <c:v>0.86597933333333332</c:v>
                </c:pt>
                <c:pt idx="1755">
                  <c:v>0.86597933333333332</c:v>
                </c:pt>
                <c:pt idx="1756">
                  <c:v>0.86597933333333332</c:v>
                </c:pt>
                <c:pt idx="1757">
                  <c:v>0.86597933333333332</c:v>
                </c:pt>
                <c:pt idx="1758">
                  <c:v>0.86597933333333332</c:v>
                </c:pt>
                <c:pt idx="1759">
                  <c:v>0.86597933333333332</c:v>
                </c:pt>
                <c:pt idx="1760">
                  <c:v>0.88067666666666655</c:v>
                </c:pt>
                <c:pt idx="1761">
                  <c:v>0.88067666666666655</c:v>
                </c:pt>
                <c:pt idx="1762">
                  <c:v>0.88067666666666655</c:v>
                </c:pt>
                <c:pt idx="1763">
                  <c:v>0.88067666666666655</c:v>
                </c:pt>
                <c:pt idx="1764">
                  <c:v>0.88067666666666655</c:v>
                </c:pt>
                <c:pt idx="1765">
                  <c:v>0.88067666666666655</c:v>
                </c:pt>
                <c:pt idx="1766">
                  <c:v>0.88067666666666655</c:v>
                </c:pt>
                <c:pt idx="1767">
                  <c:v>0.88067666666666655</c:v>
                </c:pt>
                <c:pt idx="1768">
                  <c:v>0.88067666666666655</c:v>
                </c:pt>
                <c:pt idx="1769">
                  <c:v>0.88067666666666655</c:v>
                </c:pt>
                <c:pt idx="1770">
                  <c:v>0.88067666666666655</c:v>
                </c:pt>
                <c:pt idx="1771">
                  <c:v>0.88793699999999998</c:v>
                </c:pt>
                <c:pt idx="1772">
                  <c:v>0.88793699999999998</c:v>
                </c:pt>
                <c:pt idx="1773">
                  <c:v>0.88793699999999998</c:v>
                </c:pt>
                <c:pt idx="1774">
                  <c:v>0.88793699999999998</c:v>
                </c:pt>
                <c:pt idx="1775">
                  <c:v>0.88793699999999998</c:v>
                </c:pt>
                <c:pt idx="1776">
                  <c:v>0.88793699999999998</c:v>
                </c:pt>
                <c:pt idx="1777">
                  <c:v>0.88793699999999998</c:v>
                </c:pt>
                <c:pt idx="1778">
                  <c:v>0.88793699999999998</c:v>
                </c:pt>
                <c:pt idx="1779">
                  <c:v>0.88793699999999998</c:v>
                </c:pt>
                <c:pt idx="1780">
                  <c:v>0.88337933333333341</c:v>
                </c:pt>
                <c:pt idx="1781">
                  <c:v>0.88337933333333341</c:v>
                </c:pt>
                <c:pt idx="1782">
                  <c:v>0.88337933333333341</c:v>
                </c:pt>
                <c:pt idx="1783">
                  <c:v>0.88337933333333341</c:v>
                </c:pt>
                <c:pt idx="1784">
                  <c:v>0.88337933333333341</c:v>
                </c:pt>
                <c:pt idx="1785">
                  <c:v>0.88337933333333341</c:v>
                </c:pt>
                <c:pt idx="1786">
                  <c:v>0.88337933333333341</c:v>
                </c:pt>
                <c:pt idx="1787">
                  <c:v>0.88337933333333341</c:v>
                </c:pt>
                <c:pt idx="1788">
                  <c:v>0.88337933333333341</c:v>
                </c:pt>
                <c:pt idx="1789">
                  <c:v>0.88337933333333341</c:v>
                </c:pt>
                <c:pt idx="1790">
                  <c:v>0.88337933333333341</c:v>
                </c:pt>
                <c:pt idx="1791">
                  <c:v>0.88337933333333341</c:v>
                </c:pt>
                <c:pt idx="1792">
                  <c:v>0.88337933333333341</c:v>
                </c:pt>
                <c:pt idx="1793">
                  <c:v>0.88337933333333341</c:v>
                </c:pt>
                <c:pt idx="1794">
                  <c:v>0.88337933333333341</c:v>
                </c:pt>
                <c:pt idx="1795">
                  <c:v>0.88337933333333341</c:v>
                </c:pt>
                <c:pt idx="1796">
                  <c:v>0.88337933333333341</c:v>
                </c:pt>
                <c:pt idx="1797">
                  <c:v>0.88337933333333341</c:v>
                </c:pt>
                <c:pt idx="1798">
                  <c:v>0.88337933333333341</c:v>
                </c:pt>
                <c:pt idx="1799">
                  <c:v>0.88337933333333341</c:v>
                </c:pt>
                <c:pt idx="1800">
                  <c:v>0.88337933333333341</c:v>
                </c:pt>
                <c:pt idx="1801">
                  <c:v>0.88337933333333341</c:v>
                </c:pt>
                <c:pt idx="1802">
                  <c:v>0.88337933333333341</c:v>
                </c:pt>
                <c:pt idx="1803">
                  <c:v>0.88337933333333341</c:v>
                </c:pt>
                <c:pt idx="1804">
                  <c:v>0.88337933333333341</c:v>
                </c:pt>
                <c:pt idx="1805">
                  <c:v>0.88337933333333341</c:v>
                </c:pt>
                <c:pt idx="1806">
                  <c:v>0.88337933333333341</c:v>
                </c:pt>
                <c:pt idx="1807">
                  <c:v>0.88337933333333341</c:v>
                </c:pt>
                <c:pt idx="1808">
                  <c:v>0.88337933333333341</c:v>
                </c:pt>
                <c:pt idx="1809">
                  <c:v>0.88337933333333341</c:v>
                </c:pt>
                <c:pt idx="1810">
                  <c:v>0.91960399999999998</c:v>
                </c:pt>
                <c:pt idx="1811">
                  <c:v>0.91960399999999998</c:v>
                </c:pt>
                <c:pt idx="1812">
                  <c:v>0.91960399999999998</c:v>
                </c:pt>
                <c:pt idx="1813">
                  <c:v>0.91960399999999998</c:v>
                </c:pt>
                <c:pt idx="1814">
                  <c:v>0.91960399999999998</c:v>
                </c:pt>
                <c:pt idx="1815">
                  <c:v>0.91960399999999998</c:v>
                </c:pt>
                <c:pt idx="1816">
                  <c:v>0.91960399999999998</c:v>
                </c:pt>
                <c:pt idx="1817">
                  <c:v>0.91960399999999998</c:v>
                </c:pt>
                <c:pt idx="1818">
                  <c:v>0.91960399999999998</c:v>
                </c:pt>
                <c:pt idx="1819">
                  <c:v>0.91960399999999998</c:v>
                </c:pt>
                <c:pt idx="1820">
                  <c:v>0.91568833333333333</c:v>
                </c:pt>
                <c:pt idx="1821">
                  <c:v>0.91568833333333333</c:v>
                </c:pt>
                <c:pt idx="1822">
                  <c:v>0.91568833333333333</c:v>
                </c:pt>
                <c:pt idx="1823">
                  <c:v>0.91568833333333333</c:v>
                </c:pt>
                <c:pt idx="1824">
                  <c:v>0.91568833333333333</c:v>
                </c:pt>
                <c:pt idx="1825">
                  <c:v>0.91568833333333333</c:v>
                </c:pt>
                <c:pt idx="1826">
                  <c:v>0.91568833333333333</c:v>
                </c:pt>
                <c:pt idx="1827">
                  <c:v>0.91568833333333333</c:v>
                </c:pt>
                <c:pt idx="1828">
                  <c:v>0.91568833333333333</c:v>
                </c:pt>
                <c:pt idx="1829">
                  <c:v>0.91568833333333333</c:v>
                </c:pt>
                <c:pt idx="1830">
                  <c:v>0.93164333333333327</c:v>
                </c:pt>
                <c:pt idx="1831">
                  <c:v>0.93164333333333327</c:v>
                </c:pt>
                <c:pt idx="1832">
                  <c:v>0.93164333333333327</c:v>
                </c:pt>
                <c:pt idx="1833">
                  <c:v>0.93164333333333327</c:v>
                </c:pt>
                <c:pt idx="1834">
                  <c:v>0.93164333333333327</c:v>
                </c:pt>
                <c:pt idx="1835">
                  <c:v>0.93164333333333327</c:v>
                </c:pt>
                <c:pt idx="1836">
                  <c:v>0.93164333333333327</c:v>
                </c:pt>
                <c:pt idx="1837">
                  <c:v>0.93164333333333327</c:v>
                </c:pt>
                <c:pt idx="1838">
                  <c:v>0.93164333333333327</c:v>
                </c:pt>
                <c:pt idx="1839">
                  <c:v>0.93164333333333327</c:v>
                </c:pt>
                <c:pt idx="1840">
                  <c:v>0.93164333333333327</c:v>
                </c:pt>
                <c:pt idx="1841">
                  <c:v>0.92946966666666653</c:v>
                </c:pt>
                <c:pt idx="1842">
                  <c:v>0.92946966666666653</c:v>
                </c:pt>
                <c:pt idx="1843">
                  <c:v>0.92946966666666653</c:v>
                </c:pt>
                <c:pt idx="1844">
                  <c:v>0.92946966666666653</c:v>
                </c:pt>
                <c:pt idx="1845">
                  <c:v>0.92946966666666653</c:v>
                </c:pt>
                <c:pt idx="1846">
                  <c:v>0.92946966666666653</c:v>
                </c:pt>
                <c:pt idx="1847">
                  <c:v>0.92946966666666653</c:v>
                </c:pt>
                <c:pt idx="1848">
                  <c:v>0.92946966666666653</c:v>
                </c:pt>
                <c:pt idx="1849">
                  <c:v>0.92946966666666653</c:v>
                </c:pt>
                <c:pt idx="1850">
                  <c:v>0.94007200000000002</c:v>
                </c:pt>
                <c:pt idx="1851">
                  <c:v>0.94007200000000002</c:v>
                </c:pt>
                <c:pt idx="1852">
                  <c:v>0.94007200000000002</c:v>
                </c:pt>
                <c:pt idx="1853">
                  <c:v>0.94007200000000002</c:v>
                </c:pt>
                <c:pt idx="1854">
                  <c:v>0.94007200000000002</c:v>
                </c:pt>
                <c:pt idx="1855">
                  <c:v>0.94007200000000002</c:v>
                </c:pt>
                <c:pt idx="1856">
                  <c:v>0.94007200000000002</c:v>
                </c:pt>
                <c:pt idx="1857">
                  <c:v>0.94007200000000002</c:v>
                </c:pt>
                <c:pt idx="1858">
                  <c:v>0.94007200000000002</c:v>
                </c:pt>
                <c:pt idx="1859">
                  <c:v>0.94007200000000002</c:v>
                </c:pt>
                <c:pt idx="1860">
                  <c:v>0.94007200000000002</c:v>
                </c:pt>
                <c:pt idx="1861">
                  <c:v>0.94007200000000002</c:v>
                </c:pt>
                <c:pt idx="1862">
                  <c:v>0.94007200000000002</c:v>
                </c:pt>
                <c:pt idx="1863">
                  <c:v>0.94007200000000002</c:v>
                </c:pt>
                <c:pt idx="1864">
                  <c:v>0.94007200000000002</c:v>
                </c:pt>
                <c:pt idx="1865">
                  <c:v>0.94007200000000002</c:v>
                </c:pt>
                <c:pt idx="1866">
                  <c:v>0.94007200000000002</c:v>
                </c:pt>
                <c:pt idx="1867">
                  <c:v>0.94007200000000002</c:v>
                </c:pt>
                <c:pt idx="1868">
                  <c:v>0.94007200000000002</c:v>
                </c:pt>
                <c:pt idx="1869">
                  <c:v>0.94007200000000002</c:v>
                </c:pt>
                <c:pt idx="1870">
                  <c:v>0.94007200000000002</c:v>
                </c:pt>
                <c:pt idx="1871">
                  <c:v>0.94007200000000002</c:v>
                </c:pt>
                <c:pt idx="1872">
                  <c:v>0.94007200000000002</c:v>
                </c:pt>
                <c:pt idx="1873">
                  <c:v>0.94007200000000002</c:v>
                </c:pt>
                <c:pt idx="1874">
                  <c:v>0.94007200000000002</c:v>
                </c:pt>
                <c:pt idx="1875">
                  <c:v>0.94007200000000002</c:v>
                </c:pt>
                <c:pt idx="1876">
                  <c:v>0.94007200000000002</c:v>
                </c:pt>
                <c:pt idx="1877">
                  <c:v>0.94007200000000002</c:v>
                </c:pt>
                <c:pt idx="1878">
                  <c:v>0.94007200000000002</c:v>
                </c:pt>
                <c:pt idx="1879">
                  <c:v>0.9485446666666667</c:v>
                </c:pt>
                <c:pt idx="1880">
                  <c:v>0.9485446666666667</c:v>
                </c:pt>
                <c:pt idx="1881">
                  <c:v>0.9485446666666667</c:v>
                </c:pt>
                <c:pt idx="1882">
                  <c:v>0.9485446666666667</c:v>
                </c:pt>
                <c:pt idx="1883">
                  <c:v>0.9485446666666667</c:v>
                </c:pt>
                <c:pt idx="1884">
                  <c:v>0.9485446666666667</c:v>
                </c:pt>
                <c:pt idx="1885">
                  <c:v>0.9485446666666667</c:v>
                </c:pt>
                <c:pt idx="1886">
                  <c:v>0.9485446666666667</c:v>
                </c:pt>
                <c:pt idx="1887">
                  <c:v>0.9485446666666667</c:v>
                </c:pt>
                <c:pt idx="1888">
                  <c:v>0.9485446666666667</c:v>
                </c:pt>
                <c:pt idx="1889">
                  <c:v>0.9485446666666667</c:v>
                </c:pt>
                <c:pt idx="1890">
                  <c:v>0.94832299999999992</c:v>
                </c:pt>
                <c:pt idx="1891">
                  <c:v>0.94832299999999992</c:v>
                </c:pt>
                <c:pt idx="1892">
                  <c:v>0.94832299999999992</c:v>
                </c:pt>
                <c:pt idx="1893">
                  <c:v>0.94832299999999992</c:v>
                </c:pt>
                <c:pt idx="1894">
                  <c:v>0.94832299999999992</c:v>
                </c:pt>
                <c:pt idx="1895">
                  <c:v>0.94832299999999992</c:v>
                </c:pt>
                <c:pt idx="1896">
                  <c:v>0.94832299999999992</c:v>
                </c:pt>
                <c:pt idx="1897">
                  <c:v>0.94832299999999992</c:v>
                </c:pt>
                <c:pt idx="1898">
                  <c:v>0.94832299999999992</c:v>
                </c:pt>
                <c:pt idx="1899">
                  <c:v>0.94832299999999992</c:v>
                </c:pt>
                <c:pt idx="1900">
                  <c:v>0.95474533333333322</c:v>
                </c:pt>
                <c:pt idx="1901">
                  <c:v>0.95474533333333322</c:v>
                </c:pt>
                <c:pt idx="1902">
                  <c:v>0.95474533333333322</c:v>
                </c:pt>
                <c:pt idx="1903">
                  <c:v>0.95474533333333322</c:v>
                </c:pt>
                <c:pt idx="1904">
                  <c:v>0.95474533333333322</c:v>
                </c:pt>
                <c:pt idx="1905">
                  <c:v>0.95474533333333322</c:v>
                </c:pt>
                <c:pt idx="1906">
                  <c:v>0.95474533333333322</c:v>
                </c:pt>
                <c:pt idx="1907">
                  <c:v>0.95474533333333322</c:v>
                </c:pt>
                <c:pt idx="1908">
                  <c:v>0.95474533333333322</c:v>
                </c:pt>
                <c:pt idx="1909">
                  <c:v>0.95474533333333322</c:v>
                </c:pt>
                <c:pt idx="1910">
                  <c:v>0.95596300000000001</c:v>
                </c:pt>
                <c:pt idx="1911">
                  <c:v>0.95596300000000001</c:v>
                </c:pt>
                <c:pt idx="1912">
                  <c:v>0.95596300000000001</c:v>
                </c:pt>
                <c:pt idx="1913">
                  <c:v>0.95596300000000001</c:v>
                </c:pt>
                <c:pt idx="1914">
                  <c:v>0.95596300000000001</c:v>
                </c:pt>
                <c:pt idx="1915">
                  <c:v>0.95596300000000001</c:v>
                </c:pt>
                <c:pt idx="1916">
                  <c:v>0.95596300000000001</c:v>
                </c:pt>
                <c:pt idx="1917">
                  <c:v>0.95596300000000001</c:v>
                </c:pt>
                <c:pt idx="1918">
                  <c:v>0.95596300000000001</c:v>
                </c:pt>
                <c:pt idx="1919">
                  <c:v>0.95596300000000001</c:v>
                </c:pt>
                <c:pt idx="1920">
                  <c:v>0.96390199999999993</c:v>
                </c:pt>
                <c:pt idx="1921">
                  <c:v>0.96390199999999993</c:v>
                </c:pt>
                <c:pt idx="1922">
                  <c:v>0.96390199999999993</c:v>
                </c:pt>
                <c:pt idx="1923">
                  <c:v>0.96390199999999993</c:v>
                </c:pt>
                <c:pt idx="1924">
                  <c:v>0.96390199999999993</c:v>
                </c:pt>
                <c:pt idx="1925">
                  <c:v>0.96390199999999993</c:v>
                </c:pt>
                <c:pt idx="1926">
                  <c:v>0.96390199999999993</c:v>
                </c:pt>
                <c:pt idx="1927">
                  <c:v>0.96390199999999993</c:v>
                </c:pt>
                <c:pt idx="1928">
                  <c:v>0.96390199999999993</c:v>
                </c:pt>
                <c:pt idx="1929">
                  <c:v>0.96390199999999993</c:v>
                </c:pt>
                <c:pt idx="1930">
                  <c:v>0.96390199999999993</c:v>
                </c:pt>
                <c:pt idx="1931">
                  <c:v>0.96390199999999993</c:v>
                </c:pt>
                <c:pt idx="1932">
                  <c:v>0.96390199999999993</c:v>
                </c:pt>
                <c:pt idx="1933">
                  <c:v>0.96390199999999993</c:v>
                </c:pt>
                <c:pt idx="1934">
                  <c:v>0.96390199999999993</c:v>
                </c:pt>
                <c:pt idx="1935">
                  <c:v>0.96390199999999993</c:v>
                </c:pt>
                <c:pt idx="1936">
                  <c:v>0.96390199999999993</c:v>
                </c:pt>
                <c:pt idx="1937">
                  <c:v>0.96390199999999993</c:v>
                </c:pt>
                <c:pt idx="1938">
                  <c:v>0.96390199999999993</c:v>
                </c:pt>
                <c:pt idx="1939">
                  <c:v>0.96390199999999993</c:v>
                </c:pt>
                <c:pt idx="1940">
                  <c:v>0.96390199999999993</c:v>
                </c:pt>
                <c:pt idx="1941">
                  <c:v>0.96390199999999993</c:v>
                </c:pt>
                <c:pt idx="1942">
                  <c:v>0.96390199999999993</c:v>
                </c:pt>
                <c:pt idx="1943">
                  <c:v>0.96390199999999993</c:v>
                </c:pt>
                <c:pt idx="1944">
                  <c:v>0.96390199999999993</c:v>
                </c:pt>
                <c:pt idx="1945">
                  <c:v>0.96390199999999993</c:v>
                </c:pt>
                <c:pt idx="1946">
                  <c:v>0.96390199999999993</c:v>
                </c:pt>
                <c:pt idx="1947">
                  <c:v>0.96390199999999993</c:v>
                </c:pt>
                <c:pt idx="1948">
                  <c:v>0.96390199999999993</c:v>
                </c:pt>
                <c:pt idx="1949">
                  <c:v>0.96390199999999993</c:v>
                </c:pt>
                <c:pt idx="1950">
                  <c:v>0.98345599999999989</c:v>
                </c:pt>
                <c:pt idx="1951">
                  <c:v>0.98345599999999989</c:v>
                </c:pt>
                <c:pt idx="1952">
                  <c:v>0.98345599999999989</c:v>
                </c:pt>
                <c:pt idx="1953">
                  <c:v>0.98345599999999989</c:v>
                </c:pt>
                <c:pt idx="1954">
                  <c:v>0.98345599999999989</c:v>
                </c:pt>
                <c:pt idx="1955">
                  <c:v>0.98345599999999989</c:v>
                </c:pt>
                <c:pt idx="1956">
                  <c:v>0.98345599999999989</c:v>
                </c:pt>
                <c:pt idx="1957">
                  <c:v>0.98345599999999989</c:v>
                </c:pt>
                <c:pt idx="1958">
                  <c:v>0.98345599999999989</c:v>
                </c:pt>
                <c:pt idx="1959">
                  <c:v>0.98345599999999989</c:v>
                </c:pt>
                <c:pt idx="1960">
                  <c:v>0.98345599999999989</c:v>
                </c:pt>
                <c:pt idx="1961">
                  <c:v>0.97274333333333329</c:v>
                </c:pt>
                <c:pt idx="1962">
                  <c:v>0.97274333333333329</c:v>
                </c:pt>
                <c:pt idx="1963">
                  <c:v>0.97274333333333329</c:v>
                </c:pt>
                <c:pt idx="1964">
                  <c:v>0.97274333333333329</c:v>
                </c:pt>
                <c:pt idx="1965">
                  <c:v>0.97274333333333329</c:v>
                </c:pt>
                <c:pt idx="1966">
                  <c:v>0.97274333333333329</c:v>
                </c:pt>
                <c:pt idx="1967">
                  <c:v>0.97274333333333329</c:v>
                </c:pt>
                <c:pt idx="1968">
                  <c:v>0.97274333333333329</c:v>
                </c:pt>
                <c:pt idx="1969">
                  <c:v>0.97274333333333329</c:v>
                </c:pt>
                <c:pt idx="1970">
                  <c:v>0.97274333333333329</c:v>
                </c:pt>
                <c:pt idx="1971">
                  <c:v>0.95914699999999997</c:v>
                </c:pt>
                <c:pt idx="1972">
                  <c:v>0.95914699999999997</c:v>
                </c:pt>
                <c:pt idx="1973">
                  <c:v>0.95914699999999997</c:v>
                </c:pt>
                <c:pt idx="1974">
                  <c:v>0.95914699999999997</c:v>
                </c:pt>
                <c:pt idx="1975">
                  <c:v>0.95914699999999997</c:v>
                </c:pt>
                <c:pt idx="1976">
                  <c:v>0.95914699999999997</c:v>
                </c:pt>
                <c:pt idx="1977">
                  <c:v>0.95914699999999997</c:v>
                </c:pt>
                <c:pt idx="1978">
                  <c:v>0.95914699999999997</c:v>
                </c:pt>
                <c:pt idx="1979">
                  <c:v>0.95914699999999997</c:v>
                </c:pt>
                <c:pt idx="1980">
                  <c:v>0.95914699999999997</c:v>
                </c:pt>
                <c:pt idx="1981">
                  <c:v>0.95914699999999997</c:v>
                </c:pt>
                <c:pt idx="1982">
                  <c:v>0.95914699999999997</c:v>
                </c:pt>
                <c:pt idx="1983">
                  <c:v>0.95914699999999997</c:v>
                </c:pt>
                <c:pt idx="1984">
                  <c:v>0.95914699999999997</c:v>
                </c:pt>
                <c:pt idx="1985">
                  <c:v>0.95914699999999997</c:v>
                </c:pt>
                <c:pt idx="1986">
                  <c:v>0.95914699999999997</c:v>
                </c:pt>
                <c:pt idx="1987">
                  <c:v>0.95914699999999997</c:v>
                </c:pt>
                <c:pt idx="1988">
                  <c:v>0.95914699999999997</c:v>
                </c:pt>
                <c:pt idx="1989">
                  <c:v>0.95914699999999997</c:v>
                </c:pt>
                <c:pt idx="1990">
                  <c:v>0.95914699999999997</c:v>
                </c:pt>
                <c:pt idx="1991">
                  <c:v>0.95914699999999997</c:v>
                </c:pt>
                <c:pt idx="1992">
                  <c:v>0.95914699999999997</c:v>
                </c:pt>
                <c:pt idx="1993">
                  <c:v>0.95914699999999997</c:v>
                </c:pt>
                <c:pt idx="1994">
                  <c:v>0.95914699999999997</c:v>
                </c:pt>
                <c:pt idx="1995">
                  <c:v>0.95914699999999997</c:v>
                </c:pt>
                <c:pt idx="1996">
                  <c:v>0.95914699999999997</c:v>
                </c:pt>
                <c:pt idx="1997">
                  <c:v>0.95914699999999997</c:v>
                </c:pt>
                <c:pt idx="1998">
                  <c:v>0.95914699999999997</c:v>
                </c:pt>
                <c:pt idx="1999">
                  <c:v>0.95914699999999997</c:v>
                </c:pt>
                <c:pt idx="2000">
                  <c:v>0.95914699999999997</c:v>
                </c:pt>
                <c:pt idx="2001">
                  <c:v>0.95914699999999997</c:v>
                </c:pt>
                <c:pt idx="2002">
                  <c:v>0.95914699999999997</c:v>
                </c:pt>
                <c:pt idx="2003">
                  <c:v>0.95914699999999997</c:v>
                </c:pt>
                <c:pt idx="2004">
                  <c:v>0.95914699999999997</c:v>
                </c:pt>
                <c:pt idx="2005">
                  <c:v>0.95914699999999997</c:v>
                </c:pt>
                <c:pt idx="2006">
                  <c:v>0.95914699999999997</c:v>
                </c:pt>
                <c:pt idx="2007">
                  <c:v>0.95914699999999997</c:v>
                </c:pt>
                <c:pt idx="2008">
                  <c:v>0.95914699999999997</c:v>
                </c:pt>
                <c:pt idx="2009">
                  <c:v>0.95914699999999997</c:v>
                </c:pt>
                <c:pt idx="2010">
                  <c:v>0.95914699999999997</c:v>
                </c:pt>
                <c:pt idx="2011">
                  <c:v>0.95914699999999997</c:v>
                </c:pt>
                <c:pt idx="2012">
                  <c:v>0.95914699999999997</c:v>
                </c:pt>
                <c:pt idx="2013">
                  <c:v>0.95914699999999997</c:v>
                </c:pt>
                <c:pt idx="2014">
                  <c:v>0.95914699999999997</c:v>
                </c:pt>
                <c:pt idx="2015">
                  <c:v>0.95914699999999997</c:v>
                </c:pt>
                <c:pt idx="2016">
                  <c:v>0.95914699999999997</c:v>
                </c:pt>
                <c:pt idx="2017">
                  <c:v>0.95914699999999997</c:v>
                </c:pt>
                <c:pt idx="2018">
                  <c:v>0.95914699999999997</c:v>
                </c:pt>
                <c:pt idx="2019">
                  <c:v>0.95914699999999997</c:v>
                </c:pt>
                <c:pt idx="2020">
                  <c:v>0.95914699999999997</c:v>
                </c:pt>
                <c:pt idx="2021">
                  <c:v>0.94801700000000022</c:v>
                </c:pt>
                <c:pt idx="2022">
                  <c:v>0.94801700000000022</c:v>
                </c:pt>
                <c:pt idx="2023">
                  <c:v>0.94801700000000022</c:v>
                </c:pt>
                <c:pt idx="2024">
                  <c:v>0.94801700000000022</c:v>
                </c:pt>
                <c:pt idx="2025">
                  <c:v>0.94801700000000022</c:v>
                </c:pt>
                <c:pt idx="2026">
                  <c:v>0.94801700000000022</c:v>
                </c:pt>
                <c:pt idx="2027">
                  <c:v>0.94801700000000022</c:v>
                </c:pt>
                <c:pt idx="2028">
                  <c:v>0.94801700000000022</c:v>
                </c:pt>
                <c:pt idx="2029">
                  <c:v>0.94801700000000022</c:v>
                </c:pt>
                <c:pt idx="2030">
                  <c:v>0.94092399999999998</c:v>
                </c:pt>
                <c:pt idx="2031">
                  <c:v>0.94092399999999998</c:v>
                </c:pt>
                <c:pt idx="2032">
                  <c:v>0.94092399999999998</c:v>
                </c:pt>
                <c:pt idx="2033">
                  <c:v>0.94092399999999998</c:v>
                </c:pt>
                <c:pt idx="2034">
                  <c:v>0.94092399999999998</c:v>
                </c:pt>
                <c:pt idx="2035">
                  <c:v>0.94092399999999998</c:v>
                </c:pt>
                <c:pt idx="2036">
                  <c:v>0.94092399999999998</c:v>
                </c:pt>
                <c:pt idx="2037">
                  <c:v>0.94092399999999998</c:v>
                </c:pt>
                <c:pt idx="2038">
                  <c:v>0.94092399999999998</c:v>
                </c:pt>
                <c:pt idx="2039">
                  <c:v>0.94092399999999998</c:v>
                </c:pt>
                <c:pt idx="2040">
                  <c:v>0.94092399999999998</c:v>
                </c:pt>
                <c:pt idx="2041">
                  <c:v>0.94092399999999998</c:v>
                </c:pt>
                <c:pt idx="2042">
                  <c:v>0.94092399999999998</c:v>
                </c:pt>
                <c:pt idx="2043">
                  <c:v>0.94092399999999998</c:v>
                </c:pt>
                <c:pt idx="2044">
                  <c:v>0.94092399999999998</c:v>
                </c:pt>
                <c:pt idx="2045">
                  <c:v>0.94092399999999998</c:v>
                </c:pt>
                <c:pt idx="2046">
                  <c:v>0.94092399999999998</c:v>
                </c:pt>
                <c:pt idx="2047">
                  <c:v>0.94092399999999998</c:v>
                </c:pt>
                <c:pt idx="2048">
                  <c:v>0.94092399999999998</c:v>
                </c:pt>
                <c:pt idx="2049">
                  <c:v>0.94092399999999998</c:v>
                </c:pt>
                <c:pt idx="2050">
                  <c:v>0.95091600000000009</c:v>
                </c:pt>
                <c:pt idx="2051">
                  <c:v>0.95091600000000009</c:v>
                </c:pt>
                <c:pt idx="2052">
                  <c:v>0.95091600000000009</c:v>
                </c:pt>
                <c:pt idx="2053">
                  <c:v>0.95091600000000009</c:v>
                </c:pt>
                <c:pt idx="2054">
                  <c:v>0.95091600000000009</c:v>
                </c:pt>
                <c:pt idx="2055">
                  <c:v>0.95091600000000009</c:v>
                </c:pt>
                <c:pt idx="2056">
                  <c:v>0.95091600000000009</c:v>
                </c:pt>
                <c:pt idx="2057">
                  <c:v>0.95091600000000009</c:v>
                </c:pt>
                <c:pt idx="2058">
                  <c:v>0.95091600000000009</c:v>
                </c:pt>
                <c:pt idx="2059">
                  <c:v>0.95091600000000009</c:v>
                </c:pt>
                <c:pt idx="2060">
                  <c:v>0.9815910000000001</c:v>
                </c:pt>
                <c:pt idx="2061">
                  <c:v>0.9815910000000001</c:v>
                </c:pt>
                <c:pt idx="2062">
                  <c:v>0.9815910000000001</c:v>
                </c:pt>
                <c:pt idx="2063">
                  <c:v>0.9815910000000001</c:v>
                </c:pt>
                <c:pt idx="2064">
                  <c:v>0.9815910000000001</c:v>
                </c:pt>
                <c:pt idx="2065">
                  <c:v>0.9815910000000001</c:v>
                </c:pt>
                <c:pt idx="2066">
                  <c:v>0.9815910000000001</c:v>
                </c:pt>
                <c:pt idx="2067">
                  <c:v>0.9815910000000001</c:v>
                </c:pt>
                <c:pt idx="2068">
                  <c:v>0.9815910000000001</c:v>
                </c:pt>
                <c:pt idx="2069">
                  <c:v>0.9815910000000001</c:v>
                </c:pt>
                <c:pt idx="2070">
                  <c:v>0.9815910000000001</c:v>
                </c:pt>
                <c:pt idx="2071">
                  <c:v>0.9815910000000001</c:v>
                </c:pt>
                <c:pt idx="2072">
                  <c:v>0.9815910000000001</c:v>
                </c:pt>
                <c:pt idx="2073">
                  <c:v>0.9815910000000001</c:v>
                </c:pt>
                <c:pt idx="2074">
                  <c:v>0.9815910000000001</c:v>
                </c:pt>
                <c:pt idx="2075">
                  <c:v>0.9815910000000001</c:v>
                </c:pt>
                <c:pt idx="2076">
                  <c:v>0.9815910000000001</c:v>
                </c:pt>
                <c:pt idx="2077">
                  <c:v>0.9815910000000001</c:v>
                </c:pt>
                <c:pt idx="2078">
                  <c:v>0.9815910000000001</c:v>
                </c:pt>
                <c:pt idx="2079">
                  <c:v>0.9815910000000001</c:v>
                </c:pt>
                <c:pt idx="2080">
                  <c:v>0.9815910000000001</c:v>
                </c:pt>
                <c:pt idx="2081">
                  <c:v>0.9815910000000001</c:v>
                </c:pt>
                <c:pt idx="2082">
                  <c:v>0.9815910000000001</c:v>
                </c:pt>
                <c:pt idx="2083">
                  <c:v>0.9815910000000001</c:v>
                </c:pt>
                <c:pt idx="2084">
                  <c:v>0.9815910000000001</c:v>
                </c:pt>
                <c:pt idx="2085">
                  <c:v>0.9815910000000001</c:v>
                </c:pt>
                <c:pt idx="2086">
                  <c:v>0.9815910000000001</c:v>
                </c:pt>
                <c:pt idx="2087">
                  <c:v>0.9815910000000001</c:v>
                </c:pt>
                <c:pt idx="2088">
                  <c:v>0.9815910000000001</c:v>
                </c:pt>
                <c:pt idx="2089">
                  <c:v>0.9815910000000001</c:v>
                </c:pt>
                <c:pt idx="2090">
                  <c:v>0.94680200000000014</c:v>
                </c:pt>
                <c:pt idx="2091">
                  <c:v>0.94680200000000014</c:v>
                </c:pt>
                <c:pt idx="2092">
                  <c:v>0.94680200000000014</c:v>
                </c:pt>
                <c:pt idx="2093">
                  <c:v>0.94680200000000014</c:v>
                </c:pt>
                <c:pt idx="2094">
                  <c:v>0.94680200000000014</c:v>
                </c:pt>
                <c:pt idx="2095">
                  <c:v>0.94680200000000014</c:v>
                </c:pt>
                <c:pt idx="2096">
                  <c:v>0.94680200000000014</c:v>
                </c:pt>
                <c:pt idx="2097">
                  <c:v>0.94680200000000014</c:v>
                </c:pt>
                <c:pt idx="2098">
                  <c:v>0.94680200000000014</c:v>
                </c:pt>
                <c:pt idx="2099">
                  <c:v>0.94680200000000014</c:v>
                </c:pt>
                <c:pt idx="2100">
                  <c:v>0.94680200000000014</c:v>
                </c:pt>
                <c:pt idx="2101">
                  <c:v>0.94680200000000014</c:v>
                </c:pt>
                <c:pt idx="2102">
                  <c:v>0.94680200000000014</c:v>
                </c:pt>
                <c:pt idx="2103">
                  <c:v>0.94680200000000014</c:v>
                </c:pt>
                <c:pt idx="2104">
                  <c:v>0.94680200000000014</c:v>
                </c:pt>
                <c:pt idx="2105">
                  <c:v>0.94680200000000014</c:v>
                </c:pt>
                <c:pt idx="2106">
                  <c:v>0.94680200000000014</c:v>
                </c:pt>
                <c:pt idx="2107">
                  <c:v>0.94680200000000014</c:v>
                </c:pt>
                <c:pt idx="2108">
                  <c:v>0.94680200000000014</c:v>
                </c:pt>
                <c:pt idx="2109">
                  <c:v>0.94680200000000014</c:v>
                </c:pt>
                <c:pt idx="2110">
                  <c:v>0.94680200000000014</c:v>
                </c:pt>
                <c:pt idx="2111">
                  <c:v>0.94402733333333344</c:v>
                </c:pt>
                <c:pt idx="2112">
                  <c:v>0.94402733333333344</c:v>
                </c:pt>
                <c:pt idx="2113">
                  <c:v>0.94402733333333344</c:v>
                </c:pt>
                <c:pt idx="2114">
                  <c:v>0.94402733333333344</c:v>
                </c:pt>
                <c:pt idx="2115">
                  <c:v>0.94402733333333344</c:v>
                </c:pt>
                <c:pt idx="2116">
                  <c:v>0.94402733333333344</c:v>
                </c:pt>
                <c:pt idx="2117">
                  <c:v>0.94402733333333344</c:v>
                </c:pt>
                <c:pt idx="2118">
                  <c:v>0.94402733333333344</c:v>
                </c:pt>
                <c:pt idx="2119">
                  <c:v>0.94402733333333344</c:v>
                </c:pt>
                <c:pt idx="2120">
                  <c:v>0.94402733333333344</c:v>
                </c:pt>
                <c:pt idx="2121">
                  <c:v>0.94914366666666683</c:v>
                </c:pt>
                <c:pt idx="2122">
                  <c:v>0.94914366666666683</c:v>
                </c:pt>
                <c:pt idx="2123">
                  <c:v>0.94914366666666683</c:v>
                </c:pt>
                <c:pt idx="2124">
                  <c:v>0.94914366666666683</c:v>
                </c:pt>
                <c:pt idx="2125">
                  <c:v>0.94914366666666683</c:v>
                </c:pt>
                <c:pt idx="2126">
                  <c:v>0.94914366666666683</c:v>
                </c:pt>
                <c:pt idx="2127">
                  <c:v>0.94914366666666683</c:v>
                </c:pt>
                <c:pt idx="2128">
                  <c:v>0.94914366666666683</c:v>
                </c:pt>
                <c:pt idx="2129">
                  <c:v>0.94914366666666683</c:v>
                </c:pt>
                <c:pt idx="2130">
                  <c:v>0.95479400000000003</c:v>
                </c:pt>
                <c:pt idx="2131">
                  <c:v>0.95479400000000003</c:v>
                </c:pt>
                <c:pt idx="2132">
                  <c:v>0.95479400000000003</c:v>
                </c:pt>
                <c:pt idx="2133">
                  <c:v>0.95479400000000003</c:v>
                </c:pt>
                <c:pt idx="2134">
                  <c:v>0.95479400000000003</c:v>
                </c:pt>
                <c:pt idx="2135">
                  <c:v>0.95479400000000003</c:v>
                </c:pt>
                <c:pt idx="2136">
                  <c:v>0.95479400000000003</c:v>
                </c:pt>
                <c:pt idx="2137">
                  <c:v>0.95479400000000003</c:v>
                </c:pt>
                <c:pt idx="2138">
                  <c:v>0.95479400000000003</c:v>
                </c:pt>
                <c:pt idx="2139">
                  <c:v>0.95479400000000003</c:v>
                </c:pt>
                <c:pt idx="2140">
                  <c:v>0.95479400000000003</c:v>
                </c:pt>
                <c:pt idx="2141">
                  <c:v>0.95479400000000003</c:v>
                </c:pt>
                <c:pt idx="2142">
                  <c:v>0.95479400000000003</c:v>
                </c:pt>
                <c:pt idx="2143">
                  <c:v>0.95479400000000003</c:v>
                </c:pt>
                <c:pt idx="2144">
                  <c:v>0.95479400000000003</c:v>
                </c:pt>
                <c:pt idx="2145">
                  <c:v>0.95479400000000003</c:v>
                </c:pt>
                <c:pt idx="2146">
                  <c:v>0.95479400000000003</c:v>
                </c:pt>
                <c:pt idx="2147">
                  <c:v>0.95479400000000003</c:v>
                </c:pt>
                <c:pt idx="2148">
                  <c:v>0.95479400000000003</c:v>
                </c:pt>
                <c:pt idx="2149">
                  <c:v>0.95479400000000003</c:v>
                </c:pt>
                <c:pt idx="2150">
                  <c:v>0.95479400000000003</c:v>
                </c:pt>
                <c:pt idx="2151">
                  <c:v>0.95479400000000003</c:v>
                </c:pt>
                <c:pt idx="2152">
                  <c:v>0.95479400000000003</c:v>
                </c:pt>
                <c:pt idx="2153">
                  <c:v>0.95479400000000003</c:v>
                </c:pt>
                <c:pt idx="2154">
                  <c:v>0.95479400000000003</c:v>
                </c:pt>
                <c:pt idx="2155">
                  <c:v>0.95479400000000003</c:v>
                </c:pt>
                <c:pt idx="2156">
                  <c:v>0.95479400000000003</c:v>
                </c:pt>
                <c:pt idx="2157">
                  <c:v>0.95479400000000003</c:v>
                </c:pt>
                <c:pt idx="2158">
                  <c:v>0.95479400000000003</c:v>
                </c:pt>
                <c:pt idx="2159">
                  <c:v>0.95479400000000003</c:v>
                </c:pt>
                <c:pt idx="2160">
                  <c:v>0.94610566666666673</c:v>
                </c:pt>
                <c:pt idx="2161">
                  <c:v>0.94610566666666673</c:v>
                </c:pt>
                <c:pt idx="2162">
                  <c:v>0.94610566666666673</c:v>
                </c:pt>
                <c:pt idx="2163">
                  <c:v>0.94610566666666673</c:v>
                </c:pt>
                <c:pt idx="2164">
                  <c:v>0.94610566666666673</c:v>
                </c:pt>
                <c:pt idx="2165">
                  <c:v>0.94610566666666673</c:v>
                </c:pt>
                <c:pt idx="2166">
                  <c:v>0.94610566666666673</c:v>
                </c:pt>
                <c:pt idx="2167">
                  <c:v>0.94610566666666673</c:v>
                </c:pt>
                <c:pt idx="2168">
                  <c:v>0.94610566666666673</c:v>
                </c:pt>
                <c:pt idx="2169">
                  <c:v>0.94610566666666673</c:v>
                </c:pt>
                <c:pt idx="2170">
                  <c:v>0.95237866666666671</c:v>
                </c:pt>
                <c:pt idx="2171">
                  <c:v>0.95237866666666671</c:v>
                </c:pt>
                <c:pt idx="2172">
                  <c:v>0.95237866666666671</c:v>
                </c:pt>
                <c:pt idx="2173">
                  <c:v>0.95237866666666671</c:v>
                </c:pt>
                <c:pt idx="2174">
                  <c:v>0.95237866666666671</c:v>
                </c:pt>
                <c:pt idx="2175">
                  <c:v>0.95237866666666671</c:v>
                </c:pt>
                <c:pt idx="2176">
                  <c:v>0.95237866666666671</c:v>
                </c:pt>
                <c:pt idx="2177">
                  <c:v>0.95237866666666671</c:v>
                </c:pt>
                <c:pt idx="2178">
                  <c:v>0.95237866666666671</c:v>
                </c:pt>
                <c:pt idx="2179">
                  <c:v>0.95237866666666671</c:v>
                </c:pt>
                <c:pt idx="2180">
                  <c:v>0.9466433333333335</c:v>
                </c:pt>
                <c:pt idx="2181">
                  <c:v>0.9466433333333335</c:v>
                </c:pt>
                <c:pt idx="2182">
                  <c:v>0.9466433333333335</c:v>
                </c:pt>
                <c:pt idx="2183">
                  <c:v>0.9466433333333335</c:v>
                </c:pt>
                <c:pt idx="2184">
                  <c:v>0.9466433333333335</c:v>
                </c:pt>
                <c:pt idx="2185">
                  <c:v>0.9466433333333335</c:v>
                </c:pt>
                <c:pt idx="2186">
                  <c:v>0.9466433333333335</c:v>
                </c:pt>
                <c:pt idx="2187">
                  <c:v>0.9466433333333335</c:v>
                </c:pt>
                <c:pt idx="2188">
                  <c:v>0.9466433333333335</c:v>
                </c:pt>
                <c:pt idx="2189">
                  <c:v>0.9466433333333335</c:v>
                </c:pt>
                <c:pt idx="2190">
                  <c:v>0.94276500000000008</c:v>
                </c:pt>
                <c:pt idx="2191">
                  <c:v>0.94276500000000008</c:v>
                </c:pt>
                <c:pt idx="2192">
                  <c:v>0.94276500000000008</c:v>
                </c:pt>
                <c:pt idx="2193">
                  <c:v>0.94276500000000008</c:v>
                </c:pt>
                <c:pt idx="2194">
                  <c:v>0.94276500000000008</c:v>
                </c:pt>
                <c:pt idx="2195">
                  <c:v>0.94276500000000008</c:v>
                </c:pt>
                <c:pt idx="2196">
                  <c:v>0.94276500000000008</c:v>
                </c:pt>
                <c:pt idx="2197">
                  <c:v>0.94276500000000008</c:v>
                </c:pt>
                <c:pt idx="2198">
                  <c:v>0.94276500000000008</c:v>
                </c:pt>
                <c:pt idx="2199">
                  <c:v>0.94276500000000008</c:v>
                </c:pt>
                <c:pt idx="2200">
                  <c:v>0.94276500000000008</c:v>
                </c:pt>
                <c:pt idx="2201">
                  <c:v>0.94276500000000008</c:v>
                </c:pt>
                <c:pt idx="2202">
                  <c:v>0.94276500000000008</c:v>
                </c:pt>
                <c:pt idx="2203">
                  <c:v>0.94276500000000008</c:v>
                </c:pt>
                <c:pt idx="2204">
                  <c:v>0.94276500000000008</c:v>
                </c:pt>
                <c:pt idx="2205">
                  <c:v>0.94276500000000008</c:v>
                </c:pt>
                <c:pt idx="2206">
                  <c:v>0.94276500000000008</c:v>
                </c:pt>
                <c:pt idx="2207">
                  <c:v>0.94276500000000008</c:v>
                </c:pt>
                <c:pt idx="2208">
                  <c:v>0.94276500000000008</c:v>
                </c:pt>
                <c:pt idx="2209">
                  <c:v>0.94276500000000008</c:v>
                </c:pt>
                <c:pt idx="2210">
                  <c:v>0.94276500000000008</c:v>
                </c:pt>
                <c:pt idx="2211">
                  <c:v>0.94276500000000008</c:v>
                </c:pt>
                <c:pt idx="2212">
                  <c:v>0.94276500000000008</c:v>
                </c:pt>
                <c:pt idx="2213">
                  <c:v>0.94276500000000008</c:v>
                </c:pt>
                <c:pt idx="2214">
                  <c:v>0.94276500000000008</c:v>
                </c:pt>
                <c:pt idx="2215">
                  <c:v>0.94276500000000008</c:v>
                </c:pt>
                <c:pt idx="2216">
                  <c:v>0.94276500000000008</c:v>
                </c:pt>
                <c:pt idx="2217">
                  <c:v>0.94276500000000008</c:v>
                </c:pt>
                <c:pt idx="2218">
                  <c:v>0.94276500000000008</c:v>
                </c:pt>
                <c:pt idx="2219">
                  <c:v>0.94276500000000008</c:v>
                </c:pt>
                <c:pt idx="2220">
                  <c:v>0.94276500000000008</c:v>
                </c:pt>
                <c:pt idx="2221">
                  <c:v>0.94276500000000008</c:v>
                </c:pt>
                <c:pt idx="2222">
                  <c:v>0.94276500000000008</c:v>
                </c:pt>
                <c:pt idx="2223">
                  <c:v>0.94276500000000008</c:v>
                </c:pt>
                <c:pt idx="2224">
                  <c:v>0.94276500000000008</c:v>
                </c:pt>
                <c:pt idx="2225">
                  <c:v>0.94276500000000008</c:v>
                </c:pt>
                <c:pt idx="2226">
                  <c:v>0.94276500000000008</c:v>
                </c:pt>
                <c:pt idx="2227">
                  <c:v>0.94276500000000008</c:v>
                </c:pt>
                <c:pt idx="2228">
                  <c:v>0.94276500000000008</c:v>
                </c:pt>
                <c:pt idx="2229">
                  <c:v>0.94276500000000008</c:v>
                </c:pt>
                <c:pt idx="2230">
                  <c:v>0.94276500000000008</c:v>
                </c:pt>
                <c:pt idx="2231">
                  <c:v>0.94276500000000008</c:v>
                </c:pt>
                <c:pt idx="2232">
                  <c:v>0.94276500000000008</c:v>
                </c:pt>
                <c:pt idx="2233">
                  <c:v>0.94276500000000008</c:v>
                </c:pt>
                <c:pt idx="2234">
                  <c:v>0.94276500000000008</c:v>
                </c:pt>
                <c:pt idx="2235">
                  <c:v>0.94276500000000008</c:v>
                </c:pt>
                <c:pt idx="2236">
                  <c:v>0.94276500000000008</c:v>
                </c:pt>
                <c:pt idx="2237">
                  <c:v>0.94276500000000008</c:v>
                </c:pt>
                <c:pt idx="2238">
                  <c:v>0.94276500000000008</c:v>
                </c:pt>
                <c:pt idx="2239">
                  <c:v>0.94276500000000008</c:v>
                </c:pt>
                <c:pt idx="2240">
                  <c:v>0.94276500000000008</c:v>
                </c:pt>
                <c:pt idx="2241">
                  <c:v>0.94276500000000008</c:v>
                </c:pt>
                <c:pt idx="2242">
                  <c:v>0.94276500000000008</c:v>
                </c:pt>
                <c:pt idx="2243">
                  <c:v>0.94276500000000008</c:v>
                </c:pt>
                <c:pt idx="2244">
                  <c:v>0.94276500000000008</c:v>
                </c:pt>
                <c:pt idx="2245">
                  <c:v>0.94276500000000008</c:v>
                </c:pt>
                <c:pt idx="2246">
                  <c:v>0.94276500000000008</c:v>
                </c:pt>
                <c:pt idx="2247">
                  <c:v>0.94276500000000008</c:v>
                </c:pt>
                <c:pt idx="2248">
                  <c:v>0.94276500000000008</c:v>
                </c:pt>
                <c:pt idx="2249">
                  <c:v>0.94276500000000008</c:v>
                </c:pt>
                <c:pt idx="2250">
                  <c:v>0.94276500000000008</c:v>
                </c:pt>
                <c:pt idx="2251">
                  <c:v>0.94276500000000008</c:v>
                </c:pt>
                <c:pt idx="2252">
                  <c:v>0.94276500000000008</c:v>
                </c:pt>
                <c:pt idx="2253">
                  <c:v>0.94276500000000008</c:v>
                </c:pt>
                <c:pt idx="2254">
                  <c:v>0.94276500000000008</c:v>
                </c:pt>
                <c:pt idx="2255">
                  <c:v>0.94276500000000008</c:v>
                </c:pt>
                <c:pt idx="2256">
                  <c:v>0.94276500000000008</c:v>
                </c:pt>
                <c:pt idx="2257">
                  <c:v>0.94276500000000008</c:v>
                </c:pt>
                <c:pt idx="2258">
                  <c:v>0.94276500000000008</c:v>
                </c:pt>
                <c:pt idx="2259">
                  <c:v>0.94276500000000008</c:v>
                </c:pt>
                <c:pt idx="2260">
                  <c:v>0.95838633333333334</c:v>
                </c:pt>
                <c:pt idx="2261">
                  <c:v>0.95838633333333334</c:v>
                </c:pt>
                <c:pt idx="2262">
                  <c:v>0.95838633333333334</c:v>
                </c:pt>
                <c:pt idx="2263">
                  <c:v>0.95838633333333334</c:v>
                </c:pt>
                <c:pt idx="2264">
                  <c:v>0.95838633333333334</c:v>
                </c:pt>
                <c:pt idx="2265">
                  <c:v>0.95838633333333334</c:v>
                </c:pt>
                <c:pt idx="2266">
                  <c:v>0.95838633333333334</c:v>
                </c:pt>
                <c:pt idx="2267">
                  <c:v>0.95838633333333334</c:v>
                </c:pt>
                <c:pt idx="2268">
                  <c:v>0.95838633333333334</c:v>
                </c:pt>
                <c:pt idx="2269">
                  <c:v>0.95838633333333334</c:v>
                </c:pt>
                <c:pt idx="2270">
                  <c:v>0.95838633333333334</c:v>
                </c:pt>
                <c:pt idx="2271">
                  <c:v>0.95838633333333334</c:v>
                </c:pt>
                <c:pt idx="2272">
                  <c:v>0.95838633333333334</c:v>
                </c:pt>
                <c:pt idx="2273">
                  <c:v>0.95838633333333334</c:v>
                </c:pt>
                <c:pt idx="2274">
                  <c:v>0.95838633333333334</c:v>
                </c:pt>
                <c:pt idx="2275">
                  <c:v>0.95838633333333334</c:v>
                </c:pt>
                <c:pt idx="2276">
                  <c:v>0.95838633333333334</c:v>
                </c:pt>
                <c:pt idx="2277">
                  <c:v>0.95838633333333334</c:v>
                </c:pt>
                <c:pt idx="2278">
                  <c:v>0.95838633333333334</c:v>
                </c:pt>
                <c:pt idx="2279">
                  <c:v>0.95838633333333334</c:v>
                </c:pt>
                <c:pt idx="2280">
                  <c:v>0.95838633333333334</c:v>
                </c:pt>
                <c:pt idx="2281">
                  <c:v>0.95838633333333334</c:v>
                </c:pt>
                <c:pt idx="2282">
                  <c:v>0.95838633333333334</c:v>
                </c:pt>
                <c:pt idx="2283">
                  <c:v>0.95838633333333334</c:v>
                </c:pt>
                <c:pt idx="2284">
                  <c:v>0.95838633333333334</c:v>
                </c:pt>
                <c:pt idx="2285">
                  <c:v>0.95838633333333334</c:v>
                </c:pt>
                <c:pt idx="2286">
                  <c:v>0.95838633333333334</c:v>
                </c:pt>
                <c:pt idx="2287">
                  <c:v>0.95838633333333334</c:v>
                </c:pt>
                <c:pt idx="2288">
                  <c:v>0.95838633333333334</c:v>
                </c:pt>
                <c:pt idx="2289">
                  <c:v>0.95838633333333334</c:v>
                </c:pt>
                <c:pt idx="2290">
                  <c:v>0.95838633333333334</c:v>
                </c:pt>
                <c:pt idx="2291">
                  <c:v>0.95838633333333334</c:v>
                </c:pt>
                <c:pt idx="2292">
                  <c:v>0.95838633333333334</c:v>
                </c:pt>
                <c:pt idx="2293">
                  <c:v>0.95838633333333334</c:v>
                </c:pt>
                <c:pt idx="2294">
                  <c:v>0.95838633333333334</c:v>
                </c:pt>
                <c:pt idx="2295">
                  <c:v>0.95838633333333334</c:v>
                </c:pt>
                <c:pt idx="2296">
                  <c:v>0.95838633333333334</c:v>
                </c:pt>
                <c:pt idx="2297">
                  <c:v>0.95838633333333334</c:v>
                </c:pt>
                <c:pt idx="2298">
                  <c:v>0.95838633333333334</c:v>
                </c:pt>
                <c:pt idx="2299">
                  <c:v>0.95838633333333334</c:v>
                </c:pt>
                <c:pt idx="2300">
                  <c:v>0.95838633333333334</c:v>
                </c:pt>
                <c:pt idx="2301">
                  <c:v>0.95838633333333334</c:v>
                </c:pt>
                <c:pt idx="2302">
                  <c:v>0.95838633333333334</c:v>
                </c:pt>
                <c:pt idx="2303">
                  <c:v>0.95838633333333334</c:v>
                </c:pt>
                <c:pt idx="2304">
                  <c:v>0.95838633333333334</c:v>
                </c:pt>
                <c:pt idx="2305">
                  <c:v>0.95838633333333334</c:v>
                </c:pt>
                <c:pt idx="2306">
                  <c:v>0.95838633333333334</c:v>
                </c:pt>
                <c:pt idx="2307">
                  <c:v>0.95838633333333334</c:v>
                </c:pt>
                <c:pt idx="2308">
                  <c:v>0.95838633333333334</c:v>
                </c:pt>
                <c:pt idx="2309">
                  <c:v>0.95838633333333334</c:v>
                </c:pt>
                <c:pt idx="2310">
                  <c:v>0.95838633333333334</c:v>
                </c:pt>
                <c:pt idx="2311">
                  <c:v>0.95838633333333334</c:v>
                </c:pt>
                <c:pt idx="2312">
                  <c:v>0.95838633333333334</c:v>
                </c:pt>
                <c:pt idx="2313">
                  <c:v>0.95838633333333334</c:v>
                </c:pt>
                <c:pt idx="2314">
                  <c:v>0.95838633333333334</c:v>
                </c:pt>
                <c:pt idx="2315">
                  <c:v>0.95838633333333334</c:v>
                </c:pt>
                <c:pt idx="2316">
                  <c:v>0.95838633333333334</c:v>
                </c:pt>
                <c:pt idx="2317">
                  <c:v>0.95838633333333334</c:v>
                </c:pt>
                <c:pt idx="2318">
                  <c:v>0.95838633333333334</c:v>
                </c:pt>
                <c:pt idx="2319">
                  <c:v>0.95838633333333334</c:v>
                </c:pt>
                <c:pt idx="2320">
                  <c:v>0.95838633333333334</c:v>
                </c:pt>
                <c:pt idx="2321">
                  <c:v>0.95838633333333334</c:v>
                </c:pt>
                <c:pt idx="2322">
                  <c:v>0.95838633333333334</c:v>
                </c:pt>
                <c:pt idx="2323">
                  <c:v>0.95838633333333334</c:v>
                </c:pt>
                <c:pt idx="2324">
                  <c:v>0.95838633333333334</c:v>
                </c:pt>
                <c:pt idx="2325">
                  <c:v>0.95838633333333334</c:v>
                </c:pt>
                <c:pt idx="2326">
                  <c:v>0.95838633333333334</c:v>
                </c:pt>
                <c:pt idx="2327">
                  <c:v>0.95838633333333334</c:v>
                </c:pt>
                <c:pt idx="2328">
                  <c:v>0.95838633333333334</c:v>
                </c:pt>
                <c:pt idx="2329">
                  <c:v>0.95838633333333334</c:v>
                </c:pt>
                <c:pt idx="2330">
                  <c:v>0.95826766666666674</c:v>
                </c:pt>
                <c:pt idx="2331">
                  <c:v>0.95826766666666674</c:v>
                </c:pt>
                <c:pt idx="2332">
                  <c:v>0.95826766666666674</c:v>
                </c:pt>
                <c:pt idx="2333">
                  <c:v>0.95826766666666674</c:v>
                </c:pt>
                <c:pt idx="2334">
                  <c:v>0.95826766666666674</c:v>
                </c:pt>
                <c:pt idx="2335">
                  <c:v>0.95826766666666674</c:v>
                </c:pt>
                <c:pt idx="2336">
                  <c:v>0.95826766666666674</c:v>
                </c:pt>
                <c:pt idx="2337">
                  <c:v>0.95826766666666674</c:v>
                </c:pt>
                <c:pt idx="2338">
                  <c:v>0.95826766666666674</c:v>
                </c:pt>
                <c:pt idx="2339">
                  <c:v>0.95826766666666674</c:v>
                </c:pt>
                <c:pt idx="2340">
                  <c:v>0.95883799999999997</c:v>
                </c:pt>
                <c:pt idx="2341">
                  <c:v>0.95883799999999997</c:v>
                </c:pt>
                <c:pt idx="2342">
                  <c:v>0.95883799999999997</c:v>
                </c:pt>
                <c:pt idx="2343">
                  <c:v>0.95883799999999997</c:v>
                </c:pt>
                <c:pt idx="2344">
                  <c:v>0.95883799999999997</c:v>
                </c:pt>
                <c:pt idx="2345">
                  <c:v>0.95883799999999997</c:v>
                </c:pt>
                <c:pt idx="2346">
                  <c:v>0.95883799999999997</c:v>
                </c:pt>
                <c:pt idx="2347">
                  <c:v>0.95883799999999997</c:v>
                </c:pt>
                <c:pt idx="2348">
                  <c:v>0.95883799999999997</c:v>
                </c:pt>
                <c:pt idx="2349">
                  <c:v>0.95883799999999997</c:v>
                </c:pt>
                <c:pt idx="2350">
                  <c:v>0.95883799999999997</c:v>
                </c:pt>
                <c:pt idx="2351">
                  <c:v>0.95883799999999997</c:v>
                </c:pt>
                <c:pt idx="2352">
                  <c:v>0.95883799999999997</c:v>
                </c:pt>
                <c:pt idx="2353">
                  <c:v>0.95883799999999997</c:v>
                </c:pt>
                <c:pt idx="2354">
                  <c:v>0.95883799999999997</c:v>
                </c:pt>
                <c:pt idx="2355">
                  <c:v>0.95883799999999997</c:v>
                </c:pt>
                <c:pt idx="2356">
                  <c:v>0.95883799999999997</c:v>
                </c:pt>
                <c:pt idx="2357">
                  <c:v>0.95883799999999997</c:v>
                </c:pt>
                <c:pt idx="2358">
                  <c:v>0.95883799999999997</c:v>
                </c:pt>
                <c:pt idx="2359">
                  <c:v>0.95883799999999997</c:v>
                </c:pt>
                <c:pt idx="2360">
                  <c:v>0.95883799999999997</c:v>
                </c:pt>
                <c:pt idx="2361">
                  <c:v>0.95883799999999997</c:v>
                </c:pt>
                <c:pt idx="2362">
                  <c:v>0.95883799999999997</c:v>
                </c:pt>
                <c:pt idx="2363">
                  <c:v>0.95883799999999997</c:v>
                </c:pt>
                <c:pt idx="2364">
                  <c:v>0.95883799999999997</c:v>
                </c:pt>
                <c:pt idx="2365">
                  <c:v>0.95883799999999997</c:v>
                </c:pt>
                <c:pt idx="2366">
                  <c:v>0.95883799999999997</c:v>
                </c:pt>
                <c:pt idx="2367">
                  <c:v>0.95883799999999997</c:v>
                </c:pt>
                <c:pt idx="2368">
                  <c:v>0.95883799999999997</c:v>
                </c:pt>
                <c:pt idx="2369">
                  <c:v>0.95883799999999997</c:v>
                </c:pt>
                <c:pt idx="2370">
                  <c:v>0.95724033333333336</c:v>
                </c:pt>
                <c:pt idx="2371">
                  <c:v>0.95724033333333336</c:v>
                </c:pt>
                <c:pt idx="2372">
                  <c:v>0.95724033333333336</c:v>
                </c:pt>
                <c:pt idx="2373">
                  <c:v>0.95724033333333336</c:v>
                </c:pt>
                <c:pt idx="2374">
                  <c:v>0.95724033333333336</c:v>
                </c:pt>
                <c:pt idx="2375">
                  <c:v>0.95724033333333336</c:v>
                </c:pt>
                <c:pt idx="2376">
                  <c:v>0.95724033333333336</c:v>
                </c:pt>
                <c:pt idx="2377">
                  <c:v>0.95724033333333336</c:v>
                </c:pt>
                <c:pt idx="2378">
                  <c:v>0.95724033333333336</c:v>
                </c:pt>
                <c:pt idx="2379">
                  <c:v>0.95724033333333336</c:v>
                </c:pt>
                <c:pt idx="2380">
                  <c:v>0.95182900000000004</c:v>
                </c:pt>
                <c:pt idx="2381">
                  <c:v>0.95182900000000004</c:v>
                </c:pt>
                <c:pt idx="2382">
                  <c:v>0.95182900000000004</c:v>
                </c:pt>
                <c:pt idx="2383">
                  <c:v>0.95182900000000004</c:v>
                </c:pt>
                <c:pt idx="2384">
                  <c:v>0.95182900000000004</c:v>
                </c:pt>
                <c:pt idx="2385">
                  <c:v>0.95182900000000004</c:v>
                </c:pt>
                <c:pt idx="2386">
                  <c:v>0.95182900000000004</c:v>
                </c:pt>
                <c:pt idx="2387">
                  <c:v>0.95182900000000004</c:v>
                </c:pt>
                <c:pt idx="2388">
                  <c:v>0.95182900000000004</c:v>
                </c:pt>
                <c:pt idx="2389">
                  <c:v>0.95182900000000004</c:v>
                </c:pt>
                <c:pt idx="2390">
                  <c:v>0.94508233333333336</c:v>
                </c:pt>
                <c:pt idx="2391">
                  <c:v>0.94508233333333336</c:v>
                </c:pt>
                <c:pt idx="2392">
                  <c:v>0.94508233333333336</c:v>
                </c:pt>
                <c:pt idx="2393">
                  <c:v>0.94508233333333336</c:v>
                </c:pt>
                <c:pt idx="2394">
                  <c:v>0.94508233333333336</c:v>
                </c:pt>
                <c:pt idx="2395">
                  <c:v>0.94508233333333336</c:v>
                </c:pt>
                <c:pt idx="2396">
                  <c:v>0.94508233333333336</c:v>
                </c:pt>
                <c:pt idx="2397">
                  <c:v>0.94508233333333336</c:v>
                </c:pt>
                <c:pt idx="2398">
                  <c:v>0.94508233333333336</c:v>
                </c:pt>
                <c:pt idx="2399">
                  <c:v>0.94508233333333336</c:v>
                </c:pt>
                <c:pt idx="2400">
                  <c:v>0.94508233333333336</c:v>
                </c:pt>
                <c:pt idx="2401">
                  <c:v>0.93948033333333325</c:v>
                </c:pt>
                <c:pt idx="2402">
                  <c:v>0.93948033333333325</c:v>
                </c:pt>
                <c:pt idx="2403">
                  <c:v>0.93948033333333325</c:v>
                </c:pt>
                <c:pt idx="2404">
                  <c:v>0.93948033333333325</c:v>
                </c:pt>
                <c:pt idx="2405">
                  <c:v>0.93948033333333325</c:v>
                </c:pt>
                <c:pt idx="2406">
                  <c:v>0.93948033333333325</c:v>
                </c:pt>
                <c:pt idx="2407">
                  <c:v>0.93948033333333325</c:v>
                </c:pt>
                <c:pt idx="2408">
                  <c:v>0.93948033333333325</c:v>
                </c:pt>
                <c:pt idx="2409">
                  <c:v>0.93948033333333325</c:v>
                </c:pt>
                <c:pt idx="2410">
                  <c:v>0.92695399999999994</c:v>
                </c:pt>
                <c:pt idx="2411">
                  <c:v>0.92695399999999994</c:v>
                </c:pt>
                <c:pt idx="2412">
                  <c:v>0.92695399999999994</c:v>
                </c:pt>
                <c:pt idx="2413">
                  <c:v>0.92695399999999994</c:v>
                </c:pt>
                <c:pt idx="2414">
                  <c:v>0.92695399999999994</c:v>
                </c:pt>
                <c:pt idx="2415">
                  <c:v>0.92695399999999994</c:v>
                </c:pt>
                <c:pt idx="2416">
                  <c:v>0.92695399999999994</c:v>
                </c:pt>
                <c:pt idx="2417">
                  <c:v>0.92695399999999994</c:v>
                </c:pt>
                <c:pt idx="2418">
                  <c:v>0.92695399999999994</c:v>
                </c:pt>
                <c:pt idx="2419">
                  <c:v>0.92695399999999994</c:v>
                </c:pt>
                <c:pt idx="2420">
                  <c:v>0.92695399999999994</c:v>
                </c:pt>
                <c:pt idx="2421">
                  <c:v>0.92695399999999994</c:v>
                </c:pt>
                <c:pt idx="2422">
                  <c:v>0.92695399999999994</c:v>
                </c:pt>
                <c:pt idx="2423">
                  <c:v>0.92695399999999994</c:v>
                </c:pt>
                <c:pt idx="2424">
                  <c:v>0.92695399999999994</c:v>
                </c:pt>
                <c:pt idx="2425">
                  <c:v>0.92695399999999994</c:v>
                </c:pt>
                <c:pt idx="2426">
                  <c:v>0.92695399999999994</c:v>
                </c:pt>
                <c:pt idx="2427">
                  <c:v>0.92695399999999994</c:v>
                </c:pt>
                <c:pt idx="2428">
                  <c:v>0.92695399999999994</c:v>
                </c:pt>
                <c:pt idx="2429">
                  <c:v>0.92695399999999994</c:v>
                </c:pt>
                <c:pt idx="2430">
                  <c:v>0.92695399999999994</c:v>
                </c:pt>
                <c:pt idx="2431">
                  <c:v>0.92695399999999994</c:v>
                </c:pt>
                <c:pt idx="2432">
                  <c:v>0.92695399999999994</c:v>
                </c:pt>
                <c:pt idx="2433">
                  <c:v>0.92695399999999994</c:v>
                </c:pt>
                <c:pt idx="2434">
                  <c:v>0.92695399999999994</c:v>
                </c:pt>
                <c:pt idx="2435">
                  <c:v>0.92695399999999994</c:v>
                </c:pt>
                <c:pt idx="2436">
                  <c:v>0.92695399999999994</c:v>
                </c:pt>
                <c:pt idx="2437">
                  <c:v>0.92695399999999994</c:v>
                </c:pt>
                <c:pt idx="2438">
                  <c:v>0.92695399999999994</c:v>
                </c:pt>
                <c:pt idx="2439">
                  <c:v>0.92695399999999994</c:v>
                </c:pt>
                <c:pt idx="2440">
                  <c:v>0.92401933333333319</c:v>
                </c:pt>
                <c:pt idx="2441">
                  <c:v>0.92401933333333319</c:v>
                </c:pt>
                <c:pt idx="2442">
                  <c:v>0.92401933333333319</c:v>
                </c:pt>
                <c:pt idx="2443">
                  <c:v>0.92401933333333319</c:v>
                </c:pt>
                <c:pt idx="2444">
                  <c:v>0.92401933333333319</c:v>
                </c:pt>
                <c:pt idx="2445">
                  <c:v>0.92401933333333319</c:v>
                </c:pt>
                <c:pt idx="2446">
                  <c:v>0.92401933333333319</c:v>
                </c:pt>
                <c:pt idx="2447">
                  <c:v>0.92401933333333319</c:v>
                </c:pt>
                <c:pt idx="2448">
                  <c:v>0.92401933333333319</c:v>
                </c:pt>
                <c:pt idx="2449">
                  <c:v>0.92401933333333319</c:v>
                </c:pt>
                <c:pt idx="2450">
                  <c:v>0.92186266666666672</c:v>
                </c:pt>
                <c:pt idx="2451">
                  <c:v>0.92186266666666672</c:v>
                </c:pt>
                <c:pt idx="2452">
                  <c:v>0.92186266666666672</c:v>
                </c:pt>
                <c:pt idx="2453">
                  <c:v>0.92186266666666672</c:v>
                </c:pt>
                <c:pt idx="2454">
                  <c:v>0.92186266666666672</c:v>
                </c:pt>
                <c:pt idx="2455">
                  <c:v>0.92186266666666672</c:v>
                </c:pt>
                <c:pt idx="2456">
                  <c:v>0.92186266666666672</c:v>
                </c:pt>
                <c:pt idx="2457">
                  <c:v>0.92186266666666672</c:v>
                </c:pt>
                <c:pt idx="2458">
                  <c:v>0.92186266666666672</c:v>
                </c:pt>
                <c:pt idx="2459">
                  <c:v>0.92186266666666672</c:v>
                </c:pt>
                <c:pt idx="2460">
                  <c:v>0.93231133333333327</c:v>
                </c:pt>
                <c:pt idx="2461">
                  <c:v>0.93231133333333327</c:v>
                </c:pt>
                <c:pt idx="2462">
                  <c:v>0.93231133333333327</c:v>
                </c:pt>
                <c:pt idx="2463">
                  <c:v>0.93231133333333327</c:v>
                </c:pt>
                <c:pt idx="2464">
                  <c:v>0.93231133333333327</c:v>
                </c:pt>
                <c:pt idx="2465">
                  <c:v>0.93231133333333327</c:v>
                </c:pt>
                <c:pt idx="2466">
                  <c:v>0.93231133333333327</c:v>
                </c:pt>
                <c:pt idx="2467">
                  <c:v>0.93231133333333327</c:v>
                </c:pt>
                <c:pt idx="2468">
                  <c:v>0.93231133333333327</c:v>
                </c:pt>
                <c:pt idx="2469">
                  <c:v>0.93231133333333327</c:v>
                </c:pt>
                <c:pt idx="2470">
                  <c:v>0.93231133333333327</c:v>
                </c:pt>
                <c:pt idx="2471">
                  <c:v>0.94580233333333341</c:v>
                </c:pt>
                <c:pt idx="2472">
                  <c:v>0.94580233333333341</c:v>
                </c:pt>
                <c:pt idx="2473">
                  <c:v>0.94580233333333341</c:v>
                </c:pt>
                <c:pt idx="2474">
                  <c:v>0.94580233333333341</c:v>
                </c:pt>
                <c:pt idx="2475">
                  <c:v>0.94580233333333341</c:v>
                </c:pt>
                <c:pt idx="2476">
                  <c:v>0.94580233333333341</c:v>
                </c:pt>
                <c:pt idx="2477">
                  <c:v>0.94580233333333341</c:v>
                </c:pt>
                <c:pt idx="2478">
                  <c:v>0.94580233333333341</c:v>
                </c:pt>
                <c:pt idx="2479">
                  <c:v>0.94580233333333341</c:v>
                </c:pt>
                <c:pt idx="2480">
                  <c:v>0.96895166666666666</c:v>
                </c:pt>
                <c:pt idx="2481">
                  <c:v>0.96895166666666666</c:v>
                </c:pt>
                <c:pt idx="2482">
                  <c:v>0.96895166666666666</c:v>
                </c:pt>
                <c:pt idx="2483">
                  <c:v>0.96895166666666666</c:v>
                </c:pt>
                <c:pt idx="2484">
                  <c:v>0.96895166666666666</c:v>
                </c:pt>
                <c:pt idx="2485">
                  <c:v>0.96895166666666666</c:v>
                </c:pt>
                <c:pt idx="2486">
                  <c:v>0.96895166666666666</c:v>
                </c:pt>
                <c:pt idx="2487">
                  <c:v>0.96895166666666666</c:v>
                </c:pt>
                <c:pt idx="2488">
                  <c:v>0.96895166666666666</c:v>
                </c:pt>
                <c:pt idx="2489">
                  <c:v>0.96895166666666666</c:v>
                </c:pt>
                <c:pt idx="2490">
                  <c:v>0.96895166666666666</c:v>
                </c:pt>
                <c:pt idx="2491">
                  <c:v>0.96895166666666666</c:v>
                </c:pt>
                <c:pt idx="2492">
                  <c:v>0.96895166666666666</c:v>
                </c:pt>
                <c:pt idx="2493">
                  <c:v>0.96895166666666666</c:v>
                </c:pt>
                <c:pt idx="2494">
                  <c:v>0.96895166666666666</c:v>
                </c:pt>
                <c:pt idx="2495">
                  <c:v>0.96895166666666666</c:v>
                </c:pt>
                <c:pt idx="2496">
                  <c:v>0.96895166666666666</c:v>
                </c:pt>
                <c:pt idx="2497">
                  <c:v>0.96895166666666666</c:v>
                </c:pt>
                <c:pt idx="2498">
                  <c:v>0.96895166666666666</c:v>
                </c:pt>
                <c:pt idx="2499">
                  <c:v>0.96895166666666666</c:v>
                </c:pt>
                <c:pt idx="2500">
                  <c:v>0.96895166666666666</c:v>
                </c:pt>
                <c:pt idx="2501">
                  <c:v>0.96895166666666666</c:v>
                </c:pt>
                <c:pt idx="2502">
                  <c:v>0.96895166666666666</c:v>
                </c:pt>
                <c:pt idx="2503">
                  <c:v>0.96895166666666666</c:v>
                </c:pt>
                <c:pt idx="2504">
                  <c:v>0.96895166666666666</c:v>
                </c:pt>
                <c:pt idx="2505">
                  <c:v>0.96895166666666666</c:v>
                </c:pt>
                <c:pt idx="2506">
                  <c:v>0.96895166666666666</c:v>
                </c:pt>
                <c:pt idx="2507">
                  <c:v>0.96895166666666666</c:v>
                </c:pt>
                <c:pt idx="2508">
                  <c:v>0.96895166666666666</c:v>
                </c:pt>
                <c:pt idx="2509">
                  <c:v>0.96895166666666666</c:v>
                </c:pt>
                <c:pt idx="2510">
                  <c:v>0.98776766666666671</c:v>
                </c:pt>
                <c:pt idx="2511">
                  <c:v>0.98776766666666671</c:v>
                </c:pt>
                <c:pt idx="2512">
                  <c:v>0.98776766666666671</c:v>
                </c:pt>
                <c:pt idx="2513">
                  <c:v>0.98776766666666671</c:v>
                </c:pt>
                <c:pt idx="2514">
                  <c:v>0.98776766666666671</c:v>
                </c:pt>
                <c:pt idx="2515">
                  <c:v>0.98776766666666671</c:v>
                </c:pt>
                <c:pt idx="2516">
                  <c:v>0.98776766666666671</c:v>
                </c:pt>
                <c:pt idx="2517">
                  <c:v>0.98776766666666671</c:v>
                </c:pt>
                <c:pt idx="2518">
                  <c:v>0.98776766666666671</c:v>
                </c:pt>
                <c:pt idx="2519">
                  <c:v>0.98776766666666671</c:v>
                </c:pt>
                <c:pt idx="2520">
                  <c:v>0.98776766666666671</c:v>
                </c:pt>
                <c:pt idx="2521">
                  <c:v>0.98776766666666671</c:v>
                </c:pt>
                <c:pt idx="2522">
                  <c:v>0.98776766666666671</c:v>
                </c:pt>
                <c:pt idx="2523">
                  <c:v>0.98776766666666671</c:v>
                </c:pt>
                <c:pt idx="2524">
                  <c:v>0.98776766666666671</c:v>
                </c:pt>
                <c:pt idx="2525">
                  <c:v>0.98776766666666671</c:v>
                </c:pt>
                <c:pt idx="2526">
                  <c:v>0.98776766666666671</c:v>
                </c:pt>
                <c:pt idx="2527">
                  <c:v>0.98776766666666671</c:v>
                </c:pt>
                <c:pt idx="2528">
                  <c:v>0.98776766666666671</c:v>
                </c:pt>
                <c:pt idx="2529">
                  <c:v>0.98776766666666671</c:v>
                </c:pt>
                <c:pt idx="2530">
                  <c:v>0.98776766666666671</c:v>
                </c:pt>
                <c:pt idx="2531">
                  <c:v>0.98776766666666671</c:v>
                </c:pt>
                <c:pt idx="2532">
                  <c:v>0.98776766666666671</c:v>
                </c:pt>
                <c:pt idx="2533">
                  <c:v>0.98776766666666671</c:v>
                </c:pt>
                <c:pt idx="2534">
                  <c:v>0.98776766666666671</c:v>
                </c:pt>
                <c:pt idx="2535">
                  <c:v>0.98776766666666671</c:v>
                </c:pt>
                <c:pt idx="2536">
                  <c:v>0.98776766666666671</c:v>
                </c:pt>
                <c:pt idx="2537">
                  <c:v>0.98776766666666671</c:v>
                </c:pt>
                <c:pt idx="2538">
                  <c:v>0.98776766666666671</c:v>
                </c:pt>
                <c:pt idx="2539">
                  <c:v>0.98776766666666671</c:v>
                </c:pt>
                <c:pt idx="2540">
                  <c:v>0.98776766666666671</c:v>
                </c:pt>
                <c:pt idx="2541">
                  <c:v>0.98701300000000003</c:v>
                </c:pt>
                <c:pt idx="2542">
                  <c:v>0.98701300000000003</c:v>
                </c:pt>
                <c:pt idx="2543">
                  <c:v>0.98701300000000003</c:v>
                </c:pt>
                <c:pt idx="2544">
                  <c:v>0.98701300000000003</c:v>
                </c:pt>
                <c:pt idx="2545">
                  <c:v>0.98701300000000003</c:v>
                </c:pt>
                <c:pt idx="2546">
                  <c:v>0.98701300000000003</c:v>
                </c:pt>
                <c:pt idx="2547">
                  <c:v>0.98701300000000003</c:v>
                </c:pt>
                <c:pt idx="2548">
                  <c:v>0.98701300000000003</c:v>
                </c:pt>
                <c:pt idx="2549">
                  <c:v>0.98701300000000003</c:v>
                </c:pt>
                <c:pt idx="2550">
                  <c:v>0.98701300000000003</c:v>
                </c:pt>
                <c:pt idx="2551">
                  <c:v>0.9629049999999999</c:v>
                </c:pt>
                <c:pt idx="2552">
                  <c:v>0.9629049999999999</c:v>
                </c:pt>
                <c:pt idx="2553">
                  <c:v>0.9629049999999999</c:v>
                </c:pt>
                <c:pt idx="2554">
                  <c:v>0.9629049999999999</c:v>
                </c:pt>
                <c:pt idx="2555">
                  <c:v>0.9629049999999999</c:v>
                </c:pt>
                <c:pt idx="2556">
                  <c:v>0.9629049999999999</c:v>
                </c:pt>
                <c:pt idx="2557">
                  <c:v>0.9629049999999999</c:v>
                </c:pt>
                <c:pt idx="2558">
                  <c:v>0.9629049999999999</c:v>
                </c:pt>
                <c:pt idx="2559">
                  <c:v>0.9629049999999999</c:v>
                </c:pt>
                <c:pt idx="2560">
                  <c:v>0.9629049999999999</c:v>
                </c:pt>
                <c:pt idx="2561">
                  <c:v>0.9629049999999999</c:v>
                </c:pt>
                <c:pt idx="2562">
                  <c:v>0.9629049999999999</c:v>
                </c:pt>
                <c:pt idx="2563">
                  <c:v>0.9629049999999999</c:v>
                </c:pt>
                <c:pt idx="2564">
                  <c:v>0.9629049999999999</c:v>
                </c:pt>
                <c:pt idx="2565">
                  <c:v>0.9629049999999999</c:v>
                </c:pt>
                <c:pt idx="2566">
                  <c:v>0.9629049999999999</c:v>
                </c:pt>
                <c:pt idx="2567">
                  <c:v>0.9629049999999999</c:v>
                </c:pt>
                <c:pt idx="2568">
                  <c:v>0.9629049999999999</c:v>
                </c:pt>
                <c:pt idx="2569">
                  <c:v>0.9629049999999999</c:v>
                </c:pt>
                <c:pt idx="2570">
                  <c:v>0.9629049999999999</c:v>
                </c:pt>
                <c:pt idx="2571">
                  <c:v>0.9629049999999999</c:v>
                </c:pt>
                <c:pt idx="2572">
                  <c:v>0.9629049999999999</c:v>
                </c:pt>
                <c:pt idx="2573">
                  <c:v>0.9629049999999999</c:v>
                </c:pt>
                <c:pt idx="2574">
                  <c:v>0.9629049999999999</c:v>
                </c:pt>
                <c:pt idx="2575">
                  <c:v>0.9629049999999999</c:v>
                </c:pt>
                <c:pt idx="2576">
                  <c:v>0.9629049999999999</c:v>
                </c:pt>
                <c:pt idx="2577">
                  <c:v>0.9629049999999999</c:v>
                </c:pt>
                <c:pt idx="2578">
                  <c:v>0.9629049999999999</c:v>
                </c:pt>
                <c:pt idx="2579">
                  <c:v>0.9629049999999999</c:v>
                </c:pt>
                <c:pt idx="2580">
                  <c:v>0.9629049999999999</c:v>
                </c:pt>
                <c:pt idx="2581">
                  <c:v>0.9629049999999999</c:v>
                </c:pt>
                <c:pt idx="2582">
                  <c:v>0.9629049999999999</c:v>
                </c:pt>
                <c:pt idx="2583">
                  <c:v>0.9629049999999999</c:v>
                </c:pt>
                <c:pt idx="2584">
                  <c:v>0.9629049999999999</c:v>
                </c:pt>
                <c:pt idx="2585">
                  <c:v>0.9629049999999999</c:v>
                </c:pt>
                <c:pt idx="2586">
                  <c:v>0.9629049999999999</c:v>
                </c:pt>
                <c:pt idx="2587">
                  <c:v>0.9629049999999999</c:v>
                </c:pt>
                <c:pt idx="2588">
                  <c:v>0.9629049999999999</c:v>
                </c:pt>
                <c:pt idx="2589">
                  <c:v>0.9629049999999999</c:v>
                </c:pt>
                <c:pt idx="2590">
                  <c:v>0.9629049999999999</c:v>
                </c:pt>
                <c:pt idx="2591">
                  <c:v>0.9629049999999999</c:v>
                </c:pt>
                <c:pt idx="2592">
                  <c:v>0.9629049999999999</c:v>
                </c:pt>
                <c:pt idx="2593">
                  <c:v>0.9629049999999999</c:v>
                </c:pt>
                <c:pt idx="2594">
                  <c:v>0.9629049999999999</c:v>
                </c:pt>
                <c:pt idx="2595">
                  <c:v>0.9629049999999999</c:v>
                </c:pt>
                <c:pt idx="2596">
                  <c:v>0.9629049999999999</c:v>
                </c:pt>
                <c:pt idx="2597">
                  <c:v>0.9629049999999999</c:v>
                </c:pt>
                <c:pt idx="2598">
                  <c:v>0.9629049999999999</c:v>
                </c:pt>
                <c:pt idx="2599">
                  <c:v>0.9629049999999999</c:v>
                </c:pt>
                <c:pt idx="2600">
                  <c:v>0.9629049999999999</c:v>
                </c:pt>
                <c:pt idx="2601">
                  <c:v>0.9629049999999999</c:v>
                </c:pt>
                <c:pt idx="2602">
                  <c:v>0.9629049999999999</c:v>
                </c:pt>
                <c:pt idx="2603">
                  <c:v>0.9629049999999999</c:v>
                </c:pt>
                <c:pt idx="2604">
                  <c:v>0.9629049999999999</c:v>
                </c:pt>
                <c:pt idx="2605">
                  <c:v>0.9629049999999999</c:v>
                </c:pt>
                <c:pt idx="2606">
                  <c:v>0.9629049999999999</c:v>
                </c:pt>
                <c:pt idx="2607">
                  <c:v>0.9629049999999999</c:v>
                </c:pt>
                <c:pt idx="2608">
                  <c:v>0.9629049999999999</c:v>
                </c:pt>
                <c:pt idx="2609">
                  <c:v>0.9629049999999999</c:v>
                </c:pt>
                <c:pt idx="2610">
                  <c:v>0.9629049999999999</c:v>
                </c:pt>
                <c:pt idx="2611">
                  <c:v>0.93941799999999998</c:v>
                </c:pt>
                <c:pt idx="2612">
                  <c:v>0.93941799999999998</c:v>
                </c:pt>
                <c:pt idx="2613">
                  <c:v>0.93941799999999998</c:v>
                </c:pt>
                <c:pt idx="2614">
                  <c:v>0.93941799999999998</c:v>
                </c:pt>
                <c:pt idx="2615">
                  <c:v>0.93941799999999998</c:v>
                </c:pt>
                <c:pt idx="2616">
                  <c:v>0.93941799999999998</c:v>
                </c:pt>
                <c:pt idx="2617">
                  <c:v>0.93941799999999998</c:v>
                </c:pt>
                <c:pt idx="2618">
                  <c:v>0.93941799999999998</c:v>
                </c:pt>
                <c:pt idx="2619">
                  <c:v>0.93941799999999998</c:v>
                </c:pt>
                <c:pt idx="2620">
                  <c:v>0.93941799999999998</c:v>
                </c:pt>
                <c:pt idx="2621">
                  <c:v>0.93941799999999998</c:v>
                </c:pt>
                <c:pt idx="2622">
                  <c:v>0.93941799999999998</c:v>
                </c:pt>
                <c:pt idx="2623">
                  <c:v>0.93941799999999998</c:v>
                </c:pt>
                <c:pt idx="2624">
                  <c:v>0.93941799999999998</c:v>
                </c:pt>
                <c:pt idx="2625">
                  <c:v>0.93941799999999998</c:v>
                </c:pt>
                <c:pt idx="2626">
                  <c:v>0.93941799999999998</c:v>
                </c:pt>
                <c:pt idx="2627">
                  <c:v>0.93941799999999998</c:v>
                </c:pt>
                <c:pt idx="2628">
                  <c:v>0.93941799999999998</c:v>
                </c:pt>
                <c:pt idx="2629">
                  <c:v>0.93941799999999998</c:v>
                </c:pt>
                <c:pt idx="2630">
                  <c:v>0.93941799999999998</c:v>
                </c:pt>
                <c:pt idx="2631">
                  <c:v>0.93941799999999998</c:v>
                </c:pt>
                <c:pt idx="2632">
                  <c:v>0.93941799999999998</c:v>
                </c:pt>
                <c:pt idx="2633">
                  <c:v>0.93941799999999998</c:v>
                </c:pt>
                <c:pt idx="2634">
                  <c:v>0.93941799999999998</c:v>
                </c:pt>
                <c:pt idx="2635">
                  <c:v>0.93941799999999998</c:v>
                </c:pt>
                <c:pt idx="2636">
                  <c:v>0.93941799999999998</c:v>
                </c:pt>
                <c:pt idx="2637">
                  <c:v>0.93941799999999998</c:v>
                </c:pt>
                <c:pt idx="2638">
                  <c:v>0.93941799999999998</c:v>
                </c:pt>
                <c:pt idx="2639">
                  <c:v>0.93941799999999998</c:v>
                </c:pt>
                <c:pt idx="2640">
                  <c:v>0.93941799999999998</c:v>
                </c:pt>
                <c:pt idx="2641">
                  <c:v>0.93941799999999998</c:v>
                </c:pt>
                <c:pt idx="2642">
                  <c:v>0.93941799999999998</c:v>
                </c:pt>
                <c:pt idx="2643">
                  <c:v>0.93941799999999998</c:v>
                </c:pt>
                <c:pt idx="2644">
                  <c:v>0.93941799999999998</c:v>
                </c:pt>
                <c:pt idx="2645">
                  <c:v>0.93941799999999998</c:v>
                </c:pt>
                <c:pt idx="2646">
                  <c:v>0.93941799999999998</c:v>
                </c:pt>
                <c:pt idx="2647">
                  <c:v>0.93941799999999998</c:v>
                </c:pt>
                <c:pt idx="2648">
                  <c:v>0.93941799999999998</c:v>
                </c:pt>
                <c:pt idx="2649">
                  <c:v>0.95692499999999991</c:v>
                </c:pt>
                <c:pt idx="2650">
                  <c:v>0.95692499999999991</c:v>
                </c:pt>
                <c:pt idx="2651">
                  <c:v>0.95692499999999991</c:v>
                </c:pt>
                <c:pt idx="2652">
                  <c:v>0.95692499999999991</c:v>
                </c:pt>
                <c:pt idx="2653">
                  <c:v>0.95692499999999991</c:v>
                </c:pt>
                <c:pt idx="2654">
                  <c:v>0.95692499999999991</c:v>
                </c:pt>
                <c:pt idx="2655">
                  <c:v>0.95692499999999991</c:v>
                </c:pt>
                <c:pt idx="2656">
                  <c:v>0.95692499999999991</c:v>
                </c:pt>
                <c:pt idx="2657">
                  <c:v>0.95692499999999991</c:v>
                </c:pt>
                <c:pt idx="2658">
                  <c:v>0.95692499999999991</c:v>
                </c:pt>
                <c:pt idx="2659">
                  <c:v>0.95692499999999991</c:v>
                </c:pt>
                <c:pt idx="2660">
                  <c:v>0.95692499999999991</c:v>
                </c:pt>
                <c:pt idx="2661">
                  <c:v>0.95692499999999991</c:v>
                </c:pt>
                <c:pt idx="2662">
                  <c:v>0.95692499999999991</c:v>
                </c:pt>
                <c:pt idx="2663">
                  <c:v>0.95692499999999991</c:v>
                </c:pt>
                <c:pt idx="2664">
                  <c:v>0.95692499999999991</c:v>
                </c:pt>
                <c:pt idx="2665">
                  <c:v>0.95692499999999991</c:v>
                </c:pt>
                <c:pt idx="2666">
                  <c:v>0.95692499999999991</c:v>
                </c:pt>
                <c:pt idx="2667">
                  <c:v>0.95692499999999991</c:v>
                </c:pt>
                <c:pt idx="2668">
                  <c:v>0.95692499999999991</c:v>
                </c:pt>
                <c:pt idx="2669">
                  <c:v>0.95692499999999991</c:v>
                </c:pt>
                <c:pt idx="2670">
                  <c:v>0.95692499999999991</c:v>
                </c:pt>
                <c:pt idx="2671">
                  <c:v>0.95692499999999991</c:v>
                </c:pt>
                <c:pt idx="2672">
                  <c:v>0.95692499999999991</c:v>
                </c:pt>
                <c:pt idx="2673">
                  <c:v>0.95692499999999991</c:v>
                </c:pt>
                <c:pt idx="2674">
                  <c:v>0.95692499999999991</c:v>
                </c:pt>
                <c:pt idx="2675">
                  <c:v>0.95692499999999991</c:v>
                </c:pt>
                <c:pt idx="2676">
                  <c:v>0.95692499999999991</c:v>
                </c:pt>
                <c:pt idx="2677">
                  <c:v>0.95692499999999991</c:v>
                </c:pt>
                <c:pt idx="2678">
                  <c:v>0.95692499999999991</c:v>
                </c:pt>
                <c:pt idx="2679">
                  <c:v>0.95692499999999991</c:v>
                </c:pt>
                <c:pt idx="2680">
                  <c:v>0.95692499999999991</c:v>
                </c:pt>
                <c:pt idx="2681">
                  <c:v>0.9658199999999999</c:v>
                </c:pt>
                <c:pt idx="2682">
                  <c:v>0.9658199999999999</c:v>
                </c:pt>
                <c:pt idx="2683">
                  <c:v>0.9658199999999999</c:v>
                </c:pt>
                <c:pt idx="2684">
                  <c:v>0.9658199999999999</c:v>
                </c:pt>
                <c:pt idx="2685">
                  <c:v>0.9658199999999999</c:v>
                </c:pt>
                <c:pt idx="2686">
                  <c:v>0.9658199999999999</c:v>
                </c:pt>
                <c:pt idx="2687">
                  <c:v>0.9658199999999999</c:v>
                </c:pt>
                <c:pt idx="2688">
                  <c:v>0.9658199999999999</c:v>
                </c:pt>
                <c:pt idx="2689">
                  <c:v>0.9658199999999999</c:v>
                </c:pt>
                <c:pt idx="2690">
                  <c:v>0.9658199999999999</c:v>
                </c:pt>
                <c:pt idx="2691">
                  <c:v>0.98781466666666673</c:v>
                </c:pt>
                <c:pt idx="2692">
                  <c:v>0.98781466666666673</c:v>
                </c:pt>
                <c:pt idx="2693">
                  <c:v>0.98781466666666673</c:v>
                </c:pt>
                <c:pt idx="2694">
                  <c:v>0.98781466666666673</c:v>
                </c:pt>
                <c:pt idx="2695">
                  <c:v>0.98781466666666673</c:v>
                </c:pt>
                <c:pt idx="2696">
                  <c:v>0.98781466666666673</c:v>
                </c:pt>
                <c:pt idx="2697">
                  <c:v>0.98781466666666673</c:v>
                </c:pt>
                <c:pt idx="2698">
                  <c:v>0.98781466666666673</c:v>
                </c:pt>
                <c:pt idx="2699">
                  <c:v>0.98781466666666673</c:v>
                </c:pt>
                <c:pt idx="2700">
                  <c:v>0.98781466666666673</c:v>
                </c:pt>
                <c:pt idx="2701">
                  <c:v>0.98781466666666673</c:v>
                </c:pt>
                <c:pt idx="2702">
                  <c:v>0.98781466666666673</c:v>
                </c:pt>
                <c:pt idx="2703">
                  <c:v>0.98781466666666673</c:v>
                </c:pt>
                <c:pt idx="2704">
                  <c:v>0.98781466666666673</c:v>
                </c:pt>
                <c:pt idx="2705">
                  <c:v>0.98781466666666673</c:v>
                </c:pt>
                <c:pt idx="2706">
                  <c:v>0.98781466666666673</c:v>
                </c:pt>
                <c:pt idx="2707">
                  <c:v>0.98781466666666673</c:v>
                </c:pt>
                <c:pt idx="2708">
                  <c:v>0.98781466666666673</c:v>
                </c:pt>
                <c:pt idx="2709">
                  <c:v>0.98781466666666673</c:v>
                </c:pt>
                <c:pt idx="2710">
                  <c:v>0.98781466666666673</c:v>
                </c:pt>
                <c:pt idx="2711">
                  <c:v>0.98781466666666673</c:v>
                </c:pt>
                <c:pt idx="2712">
                  <c:v>0.98781466666666673</c:v>
                </c:pt>
                <c:pt idx="2713">
                  <c:v>0.98781466666666673</c:v>
                </c:pt>
                <c:pt idx="2714">
                  <c:v>0.98781466666666673</c:v>
                </c:pt>
                <c:pt idx="2715">
                  <c:v>0.98781466666666673</c:v>
                </c:pt>
                <c:pt idx="2716">
                  <c:v>0.98781466666666673</c:v>
                </c:pt>
                <c:pt idx="2717">
                  <c:v>0.98781466666666673</c:v>
                </c:pt>
                <c:pt idx="2718">
                  <c:v>0.98781466666666673</c:v>
                </c:pt>
                <c:pt idx="2719">
                  <c:v>0.98781466666666673</c:v>
                </c:pt>
                <c:pt idx="2720">
                  <c:v>0.98781466666666673</c:v>
                </c:pt>
                <c:pt idx="2721">
                  <c:v>0.98781466666666673</c:v>
                </c:pt>
                <c:pt idx="2722">
                  <c:v>0.98781466666666673</c:v>
                </c:pt>
                <c:pt idx="2723">
                  <c:v>0.98781466666666673</c:v>
                </c:pt>
                <c:pt idx="2724">
                  <c:v>0.98781466666666673</c:v>
                </c:pt>
                <c:pt idx="2725">
                  <c:v>0.98781466666666673</c:v>
                </c:pt>
                <c:pt idx="2726">
                  <c:v>0.98781466666666673</c:v>
                </c:pt>
                <c:pt idx="2727">
                  <c:v>0.98781466666666673</c:v>
                </c:pt>
                <c:pt idx="2728">
                  <c:v>0.98781466666666673</c:v>
                </c:pt>
                <c:pt idx="2729">
                  <c:v>0.98781466666666673</c:v>
                </c:pt>
                <c:pt idx="2730">
                  <c:v>0.98781466666666673</c:v>
                </c:pt>
                <c:pt idx="2731">
                  <c:v>0.92607166666666674</c:v>
                </c:pt>
                <c:pt idx="2732">
                  <c:v>0.92607166666666674</c:v>
                </c:pt>
                <c:pt idx="2733">
                  <c:v>0.92607166666666674</c:v>
                </c:pt>
                <c:pt idx="2734">
                  <c:v>0.92607166666666674</c:v>
                </c:pt>
                <c:pt idx="2735">
                  <c:v>0.92607166666666674</c:v>
                </c:pt>
                <c:pt idx="2736">
                  <c:v>0.92607166666666674</c:v>
                </c:pt>
                <c:pt idx="2737">
                  <c:v>0.92607166666666674</c:v>
                </c:pt>
                <c:pt idx="2738">
                  <c:v>0.92607166666666674</c:v>
                </c:pt>
                <c:pt idx="2739">
                  <c:v>0.92607166666666674</c:v>
                </c:pt>
                <c:pt idx="2740">
                  <c:v>0.92607166666666674</c:v>
                </c:pt>
                <c:pt idx="2741">
                  <c:v>0.92607166666666674</c:v>
                </c:pt>
                <c:pt idx="2742">
                  <c:v>0.92607166666666674</c:v>
                </c:pt>
                <c:pt idx="2743">
                  <c:v>0.92607166666666674</c:v>
                </c:pt>
                <c:pt idx="2744">
                  <c:v>0.92607166666666674</c:v>
                </c:pt>
                <c:pt idx="2745">
                  <c:v>0.92607166666666674</c:v>
                </c:pt>
                <c:pt idx="2746">
                  <c:v>0.92607166666666674</c:v>
                </c:pt>
                <c:pt idx="2747">
                  <c:v>0.92607166666666674</c:v>
                </c:pt>
                <c:pt idx="2748">
                  <c:v>0.92607166666666674</c:v>
                </c:pt>
                <c:pt idx="2749">
                  <c:v>0.92607166666666674</c:v>
                </c:pt>
                <c:pt idx="2750">
                  <c:v>0.92607166666666674</c:v>
                </c:pt>
                <c:pt idx="2751">
                  <c:v>0.92607166666666674</c:v>
                </c:pt>
                <c:pt idx="2752">
                  <c:v>0.92607166666666674</c:v>
                </c:pt>
                <c:pt idx="2753">
                  <c:v>0.92607166666666674</c:v>
                </c:pt>
                <c:pt idx="2754">
                  <c:v>0.92607166666666674</c:v>
                </c:pt>
                <c:pt idx="2755">
                  <c:v>0.92607166666666674</c:v>
                </c:pt>
                <c:pt idx="2756">
                  <c:v>0.92607166666666674</c:v>
                </c:pt>
                <c:pt idx="2757">
                  <c:v>0.92607166666666674</c:v>
                </c:pt>
                <c:pt idx="2758">
                  <c:v>0.92607166666666674</c:v>
                </c:pt>
                <c:pt idx="2759">
                  <c:v>0.92607166666666674</c:v>
                </c:pt>
                <c:pt idx="2760">
                  <c:v>0.92607166666666674</c:v>
                </c:pt>
                <c:pt idx="2761">
                  <c:v>0.92607166666666674</c:v>
                </c:pt>
                <c:pt idx="2762">
                  <c:v>0.92607166666666674</c:v>
                </c:pt>
                <c:pt idx="2763">
                  <c:v>0.92607166666666674</c:v>
                </c:pt>
                <c:pt idx="2764">
                  <c:v>0.92607166666666674</c:v>
                </c:pt>
                <c:pt idx="2765">
                  <c:v>0.92607166666666674</c:v>
                </c:pt>
                <c:pt idx="2766">
                  <c:v>0.92607166666666674</c:v>
                </c:pt>
                <c:pt idx="2767">
                  <c:v>0.92607166666666674</c:v>
                </c:pt>
                <c:pt idx="2768">
                  <c:v>0.92607166666666674</c:v>
                </c:pt>
                <c:pt idx="2769">
                  <c:v>0.92607166666666674</c:v>
                </c:pt>
                <c:pt idx="2770">
                  <c:v>0.92607166666666674</c:v>
                </c:pt>
                <c:pt idx="2771">
                  <c:v>0.92607166666666674</c:v>
                </c:pt>
                <c:pt idx="2772">
                  <c:v>0.92607166666666674</c:v>
                </c:pt>
                <c:pt idx="2773">
                  <c:v>0.92607166666666674</c:v>
                </c:pt>
                <c:pt idx="2774">
                  <c:v>0.92607166666666674</c:v>
                </c:pt>
                <c:pt idx="2775">
                  <c:v>0.92607166666666674</c:v>
                </c:pt>
                <c:pt idx="2776">
                  <c:v>0.92607166666666674</c:v>
                </c:pt>
                <c:pt idx="2777">
                  <c:v>0.92607166666666674</c:v>
                </c:pt>
                <c:pt idx="2778">
                  <c:v>0.92607166666666674</c:v>
                </c:pt>
                <c:pt idx="2779">
                  <c:v>0.92607166666666674</c:v>
                </c:pt>
                <c:pt idx="2780">
                  <c:v>0.92607166666666674</c:v>
                </c:pt>
                <c:pt idx="2781">
                  <c:v>0.92607166666666674</c:v>
                </c:pt>
                <c:pt idx="2782">
                  <c:v>0.92607166666666674</c:v>
                </c:pt>
                <c:pt idx="2783">
                  <c:v>0.92607166666666674</c:v>
                </c:pt>
                <c:pt idx="2784">
                  <c:v>0.92607166666666674</c:v>
                </c:pt>
                <c:pt idx="2785">
                  <c:v>0.92607166666666674</c:v>
                </c:pt>
                <c:pt idx="2786">
                  <c:v>0.92607166666666674</c:v>
                </c:pt>
                <c:pt idx="2787">
                  <c:v>0.92607166666666674</c:v>
                </c:pt>
                <c:pt idx="2788">
                  <c:v>0.92607166666666674</c:v>
                </c:pt>
                <c:pt idx="2789">
                  <c:v>0.92607166666666674</c:v>
                </c:pt>
                <c:pt idx="2790">
                  <c:v>0.92607166666666674</c:v>
                </c:pt>
                <c:pt idx="2791">
                  <c:v>0.92607166666666674</c:v>
                </c:pt>
                <c:pt idx="2792">
                  <c:v>0.92607166666666674</c:v>
                </c:pt>
                <c:pt idx="2793">
                  <c:v>0.92607166666666674</c:v>
                </c:pt>
                <c:pt idx="2794">
                  <c:v>0.92607166666666674</c:v>
                </c:pt>
                <c:pt idx="2795">
                  <c:v>0.92607166666666674</c:v>
                </c:pt>
                <c:pt idx="2796">
                  <c:v>0.92607166666666674</c:v>
                </c:pt>
                <c:pt idx="2797">
                  <c:v>0.92607166666666674</c:v>
                </c:pt>
                <c:pt idx="2798">
                  <c:v>0.92607166666666674</c:v>
                </c:pt>
                <c:pt idx="2799">
                  <c:v>0.92607166666666674</c:v>
                </c:pt>
                <c:pt idx="2800">
                  <c:v>0.92607166666666674</c:v>
                </c:pt>
                <c:pt idx="2801">
                  <c:v>0.92607166666666674</c:v>
                </c:pt>
                <c:pt idx="2802">
                  <c:v>0.92607166666666674</c:v>
                </c:pt>
                <c:pt idx="2803">
                  <c:v>0.92607166666666674</c:v>
                </c:pt>
                <c:pt idx="2804">
                  <c:v>0.92607166666666674</c:v>
                </c:pt>
                <c:pt idx="2805">
                  <c:v>0.92607166666666674</c:v>
                </c:pt>
                <c:pt idx="2806">
                  <c:v>0.92607166666666674</c:v>
                </c:pt>
                <c:pt idx="2807">
                  <c:v>0.92607166666666674</c:v>
                </c:pt>
                <c:pt idx="2808">
                  <c:v>0.92607166666666674</c:v>
                </c:pt>
                <c:pt idx="2809">
                  <c:v>0.92607166666666674</c:v>
                </c:pt>
                <c:pt idx="2810">
                  <c:v>0.92607166666666674</c:v>
                </c:pt>
                <c:pt idx="2811">
                  <c:v>0.92607166666666674</c:v>
                </c:pt>
                <c:pt idx="2812">
                  <c:v>0.92607166666666674</c:v>
                </c:pt>
                <c:pt idx="2813">
                  <c:v>0.92607166666666674</c:v>
                </c:pt>
                <c:pt idx="2814">
                  <c:v>0.92607166666666674</c:v>
                </c:pt>
                <c:pt idx="2815">
                  <c:v>0.92607166666666674</c:v>
                </c:pt>
                <c:pt idx="2816">
                  <c:v>0.92607166666666674</c:v>
                </c:pt>
                <c:pt idx="2817">
                  <c:v>0.92607166666666674</c:v>
                </c:pt>
                <c:pt idx="2818">
                  <c:v>0.92607166666666674</c:v>
                </c:pt>
                <c:pt idx="2819">
                  <c:v>0.92607166666666674</c:v>
                </c:pt>
                <c:pt idx="2820">
                  <c:v>0.92607166666666674</c:v>
                </c:pt>
                <c:pt idx="2821">
                  <c:v>0.92607166666666674</c:v>
                </c:pt>
                <c:pt idx="2822">
                  <c:v>0.92607166666666674</c:v>
                </c:pt>
                <c:pt idx="2823">
                  <c:v>0.92607166666666674</c:v>
                </c:pt>
                <c:pt idx="2824">
                  <c:v>0.92607166666666674</c:v>
                </c:pt>
                <c:pt idx="2825">
                  <c:v>0.92607166666666674</c:v>
                </c:pt>
                <c:pt idx="2826">
                  <c:v>0.92607166666666674</c:v>
                </c:pt>
                <c:pt idx="2827">
                  <c:v>0.92607166666666674</c:v>
                </c:pt>
                <c:pt idx="2828">
                  <c:v>0.92607166666666674</c:v>
                </c:pt>
                <c:pt idx="2829">
                  <c:v>0.92607166666666674</c:v>
                </c:pt>
                <c:pt idx="2830">
                  <c:v>0.92607166666666674</c:v>
                </c:pt>
                <c:pt idx="2831">
                  <c:v>0.92607166666666674</c:v>
                </c:pt>
                <c:pt idx="2832">
                  <c:v>0.92607166666666674</c:v>
                </c:pt>
                <c:pt idx="2833">
                  <c:v>0.92607166666666674</c:v>
                </c:pt>
                <c:pt idx="2834">
                  <c:v>0.92607166666666674</c:v>
                </c:pt>
                <c:pt idx="2835">
                  <c:v>0.92607166666666674</c:v>
                </c:pt>
                <c:pt idx="2836">
                  <c:v>0.92607166666666674</c:v>
                </c:pt>
                <c:pt idx="2837">
                  <c:v>0.92607166666666674</c:v>
                </c:pt>
                <c:pt idx="2838">
                  <c:v>0.92607166666666674</c:v>
                </c:pt>
                <c:pt idx="2839">
                  <c:v>0.92607166666666674</c:v>
                </c:pt>
                <c:pt idx="2840">
                  <c:v>0.92607166666666674</c:v>
                </c:pt>
                <c:pt idx="2841">
                  <c:v>0.92607166666666674</c:v>
                </c:pt>
                <c:pt idx="2842">
                  <c:v>0.92607166666666674</c:v>
                </c:pt>
                <c:pt idx="2843">
                  <c:v>0.92607166666666674</c:v>
                </c:pt>
                <c:pt idx="2844">
                  <c:v>0.92607166666666674</c:v>
                </c:pt>
                <c:pt idx="2845">
                  <c:v>0.92607166666666674</c:v>
                </c:pt>
                <c:pt idx="2846">
                  <c:v>0.92607166666666674</c:v>
                </c:pt>
                <c:pt idx="2847">
                  <c:v>0.92607166666666674</c:v>
                </c:pt>
                <c:pt idx="2848">
                  <c:v>0.92607166666666674</c:v>
                </c:pt>
                <c:pt idx="2849">
                  <c:v>0.92607166666666674</c:v>
                </c:pt>
                <c:pt idx="2850">
                  <c:v>0.92607166666666674</c:v>
                </c:pt>
                <c:pt idx="2851">
                  <c:v>0.92607166666666674</c:v>
                </c:pt>
                <c:pt idx="2852">
                  <c:v>0.92607166666666674</c:v>
                </c:pt>
                <c:pt idx="2853">
                  <c:v>0.92607166666666674</c:v>
                </c:pt>
                <c:pt idx="2854">
                  <c:v>0.92607166666666674</c:v>
                </c:pt>
                <c:pt idx="2855">
                  <c:v>0.92607166666666674</c:v>
                </c:pt>
                <c:pt idx="2856">
                  <c:v>0.92607166666666674</c:v>
                </c:pt>
                <c:pt idx="2857">
                  <c:v>0.92607166666666674</c:v>
                </c:pt>
                <c:pt idx="2858">
                  <c:v>0.92607166666666674</c:v>
                </c:pt>
                <c:pt idx="2859">
                  <c:v>0.92607166666666674</c:v>
                </c:pt>
                <c:pt idx="2860">
                  <c:v>0.92607166666666674</c:v>
                </c:pt>
                <c:pt idx="2861">
                  <c:v>0.92607166666666674</c:v>
                </c:pt>
                <c:pt idx="2862">
                  <c:v>0.92607166666666674</c:v>
                </c:pt>
                <c:pt idx="2863">
                  <c:v>0.92607166666666674</c:v>
                </c:pt>
                <c:pt idx="2864">
                  <c:v>0.92607166666666674</c:v>
                </c:pt>
                <c:pt idx="2865">
                  <c:v>0.92607166666666674</c:v>
                </c:pt>
                <c:pt idx="2866">
                  <c:v>0.92607166666666674</c:v>
                </c:pt>
                <c:pt idx="2867">
                  <c:v>0.92607166666666674</c:v>
                </c:pt>
                <c:pt idx="2868">
                  <c:v>0.92607166666666674</c:v>
                </c:pt>
                <c:pt idx="2869">
                  <c:v>0.92607166666666674</c:v>
                </c:pt>
                <c:pt idx="2870">
                  <c:v>0.92607166666666674</c:v>
                </c:pt>
                <c:pt idx="2871">
                  <c:v>0.92607166666666674</c:v>
                </c:pt>
                <c:pt idx="2872">
                  <c:v>0.92607166666666674</c:v>
                </c:pt>
                <c:pt idx="2873">
                  <c:v>0.92607166666666674</c:v>
                </c:pt>
                <c:pt idx="2874">
                  <c:v>0.92607166666666674</c:v>
                </c:pt>
                <c:pt idx="2875">
                  <c:v>0.92607166666666674</c:v>
                </c:pt>
                <c:pt idx="2876">
                  <c:v>0.92607166666666674</c:v>
                </c:pt>
                <c:pt idx="2877">
                  <c:v>0.92607166666666674</c:v>
                </c:pt>
                <c:pt idx="2878">
                  <c:v>0.92607166666666674</c:v>
                </c:pt>
                <c:pt idx="2879">
                  <c:v>0.92607166666666674</c:v>
                </c:pt>
                <c:pt idx="2880">
                  <c:v>0.92607166666666674</c:v>
                </c:pt>
                <c:pt idx="2881">
                  <c:v>0.92607166666666674</c:v>
                </c:pt>
                <c:pt idx="2882">
                  <c:v>0.92607166666666674</c:v>
                </c:pt>
                <c:pt idx="2883">
                  <c:v>0.92607166666666674</c:v>
                </c:pt>
                <c:pt idx="2884">
                  <c:v>0.92607166666666674</c:v>
                </c:pt>
                <c:pt idx="2885">
                  <c:v>0.92607166666666674</c:v>
                </c:pt>
                <c:pt idx="2886">
                  <c:v>0.92607166666666674</c:v>
                </c:pt>
                <c:pt idx="2887">
                  <c:v>0.92607166666666674</c:v>
                </c:pt>
                <c:pt idx="2888">
                  <c:v>0.92607166666666674</c:v>
                </c:pt>
                <c:pt idx="2889">
                  <c:v>0.92607166666666674</c:v>
                </c:pt>
                <c:pt idx="2890">
                  <c:v>0.92607166666666674</c:v>
                </c:pt>
                <c:pt idx="2891">
                  <c:v>0.92607166666666674</c:v>
                </c:pt>
                <c:pt idx="2892">
                  <c:v>0.92607166666666674</c:v>
                </c:pt>
                <c:pt idx="2893">
                  <c:v>0.92607166666666674</c:v>
                </c:pt>
                <c:pt idx="2894">
                  <c:v>0.92607166666666674</c:v>
                </c:pt>
                <c:pt idx="2895">
                  <c:v>0.92607166666666674</c:v>
                </c:pt>
                <c:pt idx="2896">
                  <c:v>0.92607166666666674</c:v>
                </c:pt>
                <c:pt idx="2897">
                  <c:v>0.92607166666666674</c:v>
                </c:pt>
                <c:pt idx="2898">
                  <c:v>0.92607166666666674</c:v>
                </c:pt>
                <c:pt idx="2899">
                  <c:v>0.92607166666666674</c:v>
                </c:pt>
                <c:pt idx="2900">
                  <c:v>0.92607166666666674</c:v>
                </c:pt>
                <c:pt idx="2901">
                  <c:v>0.92607166666666674</c:v>
                </c:pt>
                <c:pt idx="2902">
                  <c:v>0.92607166666666674</c:v>
                </c:pt>
                <c:pt idx="2903">
                  <c:v>0.92607166666666674</c:v>
                </c:pt>
                <c:pt idx="2904">
                  <c:v>0.92607166666666674</c:v>
                </c:pt>
                <c:pt idx="2905">
                  <c:v>0.92607166666666674</c:v>
                </c:pt>
                <c:pt idx="2906">
                  <c:v>0.92607166666666674</c:v>
                </c:pt>
                <c:pt idx="2907">
                  <c:v>0.92607166666666674</c:v>
                </c:pt>
                <c:pt idx="2908">
                  <c:v>0.92607166666666674</c:v>
                </c:pt>
                <c:pt idx="2909">
                  <c:v>0.92607166666666674</c:v>
                </c:pt>
                <c:pt idx="2910">
                  <c:v>0.92607166666666674</c:v>
                </c:pt>
                <c:pt idx="2911">
                  <c:v>0.92607166666666674</c:v>
                </c:pt>
                <c:pt idx="2912">
                  <c:v>0.92607166666666674</c:v>
                </c:pt>
                <c:pt idx="2913">
                  <c:v>0.92607166666666674</c:v>
                </c:pt>
                <c:pt idx="2914">
                  <c:v>0.92607166666666674</c:v>
                </c:pt>
                <c:pt idx="2915">
                  <c:v>0.92607166666666674</c:v>
                </c:pt>
                <c:pt idx="2916">
                  <c:v>0.92607166666666674</c:v>
                </c:pt>
                <c:pt idx="2917">
                  <c:v>0.92607166666666674</c:v>
                </c:pt>
                <c:pt idx="2918">
                  <c:v>0.92607166666666674</c:v>
                </c:pt>
                <c:pt idx="2919">
                  <c:v>0.92607166666666674</c:v>
                </c:pt>
                <c:pt idx="2920">
                  <c:v>0.92607166666666674</c:v>
                </c:pt>
                <c:pt idx="2921">
                  <c:v>0.92607166666666674</c:v>
                </c:pt>
                <c:pt idx="2922">
                  <c:v>0.92607166666666674</c:v>
                </c:pt>
                <c:pt idx="2923">
                  <c:v>0.92607166666666674</c:v>
                </c:pt>
                <c:pt idx="2924">
                  <c:v>0.92607166666666674</c:v>
                </c:pt>
                <c:pt idx="2925">
                  <c:v>0.92607166666666674</c:v>
                </c:pt>
                <c:pt idx="2926">
                  <c:v>0.92607166666666674</c:v>
                </c:pt>
                <c:pt idx="2927">
                  <c:v>0.92607166666666674</c:v>
                </c:pt>
                <c:pt idx="2928">
                  <c:v>0.92607166666666674</c:v>
                </c:pt>
                <c:pt idx="2929">
                  <c:v>0.92607166666666674</c:v>
                </c:pt>
                <c:pt idx="2930">
                  <c:v>0.92607166666666674</c:v>
                </c:pt>
                <c:pt idx="2931">
                  <c:v>0.92607166666666674</c:v>
                </c:pt>
                <c:pt idx="2932">
                  <c:v>0.92607166666666674</c:v>
                </c:pt>
                <c:pt idx="2933">
                  <c:v>0.92607166666666674</c:v>
                </c:pt>
                <c:pt idx="2934">
                  <c:v>0.92607166666666674</c:v>
                </c:pt>
                <c:pt idx="2935">
                  <c:v>0.92607166666666674</c:v>
                </c:pt>
                <c:pt idx="2936">
                  <c:v>0.92607166666666674</c:v>
                </c:pt>
                <c:pt idx="2937">
                  <c:v>0.92607166666666674</c:v>
                </c:pt>
                <c:pt idx="2938">
                  <c:v>0.92607166666666674</c:v>
                </c:pt>
                <c:pt idx="2939">
                  <c:v>0.92607166666666674</c:v>
                </c:pt>
                <c:pt idx="2940">
                  <c:v>0.92607166666666674</c:v>
                </c:pt>
                <c:pt idx="2941">
                  <c:v>0.92607166666666674</c:v>
                </c:pt>
                <c:pt idx="2942">
                  <c:v>0.92607166666666674</c:v>
                </c:pt>
                <c:pt idx="2943">
                  <c:v>0.87331200000000009</c:v>
                </c:pt>
                <c:pt idx="2944">
                  <c:v>0.87331200000000009</c:v>
                </c:pt>
                <c:pt idx="2945">
                  <c:v>0.87331200000000009</c:v>
                </c:pt>
                <c:pt idx="2946">
                  <c:v>0.87331200000000009</c:v>
                </c:pt>
                <c:pt idx="2947">
                  <c:v>0.87331200000000009</c:v>
                </c:pt>
                <c:pt idx="2948">
                  <c:v>0.87331200000000009</c:v>
                </c:pt>
                <c:pt idx="2949">
                  <c:v>0.87331200000000009</c:v>
                </c:pt>
                <c:pt idx="2950">
                  <c:v>0.87331200000000009</c:v>
                </c:pt>
                <c:pt idx="2951">
                  <c:v>0.87331200000000009</c:v>
                </c:pt>
                <c:pt idx="2952">
                  <c:v>0.87331200000000009</c:v>
                </c:pt>
                <c:pt idx="2953">
                  <c:v>0.87331200000000009</c:v>
                </c:pt>
                <c:pt idx="2954">
                  <c:v>0.87331200000000009</c:v>
                </c:pt>
                <c:pt idx="2955">
                  <c:v>0.87331200000000009</c:v>
                </c:pt>
                <c:pt idx="2956">
                  <c:v>0.87331200000000009</c:v>
                </c:pt>
                <c:pt idx="2957">
                  <c:v>0.87331200000000009</c:v>
                </c:pt>
                <c:pt idx="2958">
                  <c:v>0.87331200000000009</c:v>
                </c:pt>
                <c:pt idx="2959">
                  <c:v>0.87331200000000009</c:v>
                </c:pt>
                <c:pt idx="2960">
                  <c:v>0.87331200000000009</c:v>
                </c:pt>
                <c:pt idx="2961">
                  <c:v>0.87331200000000009</c:v>
                </c:pt>
                <c:pt idx="2962">
                  <c:v>0.92963666666666656</c:v>
                </c:pt>
                <c:pt idx="2963">
                  <c:v>0.92963666666666656</c:v>
                </c:pt>
                <c:pt idx="2964">
                  <c:v>0.92963666666666656</c:v>
                </c:pt>
                <c:pt idx="2965">
                  <c:v>0.92963666666666656</c:v>
                </c:pt>
                <c:pt idx="2966">
                  <c:v>0.92963666666666656</c:v>
                </c:pt>
                <c:pt idx="2967">
                  <c:v>0.92963666666666656</c:v>
                </c:pt>
                <c:pt idx="2968">
                  <c:v>0.92963666666666656</c:v>
                </c:pt>
                <c:pt idx="2969">
                  <c:v>0.92963666666666656</c:v>
                </c:pt>
                <c:pt idx="2970">
                  <c:v>0.92963666666666656</c:v>
                </c:pt>
                <c:pt idx="2971">
                  <c:v>0.92963666666666656</c:v>
                </c:pt>
                <c:pt idx="2972">
                  <c:v>0.92963666666666656</c:v>
                </c:pt>
                <c:pt idx="2973">
                  <c:v>0.92963666666666656</c:v>
                </c:pt>
                <c:pt idx="2974">
                  <c:v>0.92963666666666656</c:v>
                </c:pt>
                <c:pt idx="2975">
                  <c:v>0.92963666666666656</c:v>
                </c:pt>
                <c:pt idx="2976">
                  <c:v>0.92963666666666656</c:v>
                </c:pt>
                <c:pt idx="2977">
                  <c:v>0.92963666666666656</c:v>
                </c:pt>
                <c:pt idx="2978">
                  <c:v>0.92963666666666656</c:v>
                </c:pt>
                <c:pt idx="2979">
                  <c:v>0.92963666666666656</c:v>
                </c:pt>
                <c:pt idx="2980">
                  <c:v>0.92963666666666656</c:v>
                </c:pt>
                <c:pt idx="2981">
                  <c:v>0.92963666666666656</c:v>
                </c:pt>
                <c:pt idx="2982">
                  <c:v>0.92963666666666656</c:v>
                </c:pt>
                <c:pt idx="2983">
                  <c:v>0.92963666666666656</c:v>
                </c:pt>
                <c:pt idx="2984">
                  <c:v>0.92963666666666656</c:v>
                </c:pt>
                <c:pt idx="2985">
                  <c:v>0.92963666666666656</c:v>
                </c:pt>
                <c:pt idx="2986">
                  <c:v>0.92963666666666656</c:v>
                </c:pt>
                <c:pt idx="2987">
                  <c:v>0.92963666666666656</c:v>
                </c:pt>
                <c:pt idx="2988">
                  <c:v>0.92963666666666656</c:v>
                </c:pt>
                <c:pt idx="2989">
                  <c:v>0.92963666666666656</c:v>
                </c:pt>
                <c:pt idx="2990">
                  <c:v>0.92963666666666656</c:v>
                </c:pt>
                <c:pt idx="2991">
                  <c:v>0.92963666666666656</c:v>
                </c:pt>
                <c:pt idx="2992">
                  <c:v>0.92963666666666656</c:v>
                </c:pt>
                <c:pt idx="2993">
                  <c:v>0.92963666666666656</c:v>
                </c:pt>
                <c:pt idx="2994">
                  <c:v>0.92963666666666656</c:v>
                </c:pt>
                <c:pt idx="2995">
                  <c:v>0.92963666666666656</c:v>
                </c:pt>
                <c:pt idx="2996">
                  <c:v>0.92963666666666656</c:v>
                </c:pt>
                <c:pt idx="2997">
                  <c:v>0.92963666666666656</c:v>
                </c:pt>
                <c:pt idx="2998">
                  <c:v>0.92963666666666656</c:v>
                </c:pt>
                <c:pt idx="2999">
                  <c:v>0.92963666666666656</c:v>
                </c:pt>
                <c:pt idx="3000">
                  <c:v>0.92963666666666656</c:v>
                </c:pt>
                <c:pt idx="3001">
                  <c:v>0.92963666666666656</c:v>
                </c:pt>
                <c:pt idx="3002">
                  <c:v>0.92963666666666656</c:v>
                </c:pt>
                <c:pt idx="3003">
                  <c:v>0.92963666666666656</c:v>
                </c:pt>
                <c:pt idx="3004">
                  <c:v>0.92963666666666656</c:v>
                </c:pt>
                <c:pt idx="3005">
                  <c:v>0.92963666666666656</c:v>
                </c:pt>
                <c:pt idx="3006">
                  <c:v>0.92963666666666656</c:v>
                </c:pt>
                <c:pt idx="3007">
                  <c:v>0.92963666666666656</c:v>
                </c:pt>
                <c:pt idx="3008">
                  <c:v>0.92963666666666656</c:v>
                </c:pt>
                <c:pt idx="3009">
                  <c:v>0.92963666666666656</c:v>
                </c:pt>
                <c:pt idx="3010">
                  <c:v>0.92963666666666656</c:v>
                </c:pt>
                <c:pt idx="3011">
                  <c:v>0.94994933333333331</c:v>
                </c:pt>
                <c:pt idx="3012">
                  <c:v>0.94994933333333331</c:v>
                </c:pt>
                <c:pt idx="3013">
                  <c:v>0.94994933333333331</c:v>
                </c:pt>
                <c:pt idx="3014">
                  <c:v>0.94994933333333331</c:v>
                </c:pt>
                <c:pt idx="3015">
                  <c:v>0.94994933333333331</c:v>
                </c:pt>
                <c:pt idx="3016">
                  <c:v>0.94994933333333331</c:v>
                </c:pt>
                <c:pt idx="3017">
                  <c:v>0.94994933333333331</c:v>
                </c:pt>
                <c:pt idx="3018">
                  <c:v>0.94994933333333331</c:v>
                </c:pt>
                <c:pt idx="3019">
                  <c:v>0.94994933333333331</c:v>
                </c:pt>
                <c:pt idx="3020">
                  <c:v>0.94994933333333331</c:v>
                </c:pt>
                <c:pt idx="3021">
                  <c:v>0.94994933333333331</c:v>
                </c:pt>
                <c:pt idx="3022">
                  <c:v>0.94994933333333331</c:v>
                </c:pt>
                <c:pt idx="3023">
                  <c:v>0.94994933333333331</c:v>
                </c:pt>
                <c:pt idx="3024">
                  <c:v>0.94994933333333331</c:v>
                </c:pt>
                <c:pt idx="3025">
                  <c:v>0.94994933333333331</c:v>
                </c:pt>
                <c:pt idx="3026">
                  <c:v>0.94994933333333331</c:v>
                </c:pt>
                <c:pt idx="3027">
                  <c:v>0.94994933333333331</c:v>
                </c:pt>
                <c:pt idx="3028">
                  <c:v>0.94994933333333331</c:v>
                </c:pt>
                <c:pt idx="3029">
                  <c:v>0.94994933333333331</c:v>
                </c:pt>
                <c:pt idx="3030">
                  <c:v>0.94994933333333331</c:v>
                </c:pt>
                <c:pt idx="3031">
                  <c:v>0.94994933333333331</c:v>
                </c:pt>
                <c:pt idx="3032">
                  <c:v>0.94994933333333331</c:v>
                </c:pt>
                <c:pt idx="3033">
                  <c:v>0.94994933333333331</c:v>
                </c:pt>
                <c:pt idx="3034">
                  <c:v>0.94994933333333331</c:v>
                </c:pt>
                <c:pt idx="3035">
                  <c:v>0.94994933333333331</c:v>
                </c:pt>
                <c:pt idx="3036">
                  <c:v>0.94994933333333331</c:v>
                </c:pt>
                <c:pt idx="3037">
                  <c:v>0.94994933333333331</c:v>
                </c:pt>
                <c:pt idx="3038">
                  <c:v>0.94994933333333331</c:v>
                </c:pt>
                <c:pt idx="3039">
                  <c:v>0.94994933333333331</c:v>
                </c:pt>
                <c:pt idx="3040">
                  <c:v>0.94994933333333331</c:v>
                </c:pt>
                <c:pt idx="3041">
                  <c:v>0.83185799999999999</c:v>
                </c:pt>
                <c:pt idx="3042">
                  <c:v>0.83185799999999999</c:v>
                </c:pt>
                <c:pt idx="3043">
                  <c:v>0.83185799999999999</c:v>
                </c:pt>
                <c:pt idx="3044">
                  <c:v>0.83185799999999999</c:v>
                </c:pt>
                <c:pt idx="3045">
                  <c:v>0.83185799999999999</c:v>
                </c:pt>
                <c:pt idx="3046">
                  <c:v>0.83185799999999999</c:v>
                </c:pt>
                <c:pt idx="3047">
                  <c:v>0.83185799999999999</c:v>
                </c:pt>
                <c:pt idx="3048">
                  <c:v>0.83185799999999999</c:v>
                </c:pt>
                <c:pt idx="3049">
                  <c:v>0.83185799999999999</c:v>
                </c:pt>
                <c:pt idx="3050">
                  <c:v>0.83185799999999999</c:v>
                </c:pt>
                <c:pt idx="3051">
                  <c:v>0.83185799999999999</c:v>
                </c:pt>
                <c:pt idx="3052">
                  <c:v>0.83185799999999999</c:v>
                </c:pt>
                <c:pt idx="3053">
                  <c:v>0.83185799999999999</c:v>
                </c:pt>
                <c:pt idx="3054">
                  <c:v>0.83185799999999999</c:v>
                </c:pt>
                <c:pt idx="3055">
                  <c:v>0.83185799999999999</c:v>
                </c:pt>
                <c:pt idx="3056">
                  <c:v>0.83185799999999999</c:v>
                </c:pt>
                <c:pt idx="3057">
                  <c:v>0.83185799999999999</c:v>
                </c:pt>
                <c:pt idx="3058">
                  <c:v>0.83185799999999999</c:v>
                </c:pt>
                <c:pt idx="3059">
                  <c:v>0.83185799999999999</c:v>
                </c:pt>
                <c:pt idx="3060">
                  <c:v>0.83185799999999999</c:v>
                </c:pt>
                <c:pt idx="3061">
                  <c:v>0.83185799999999999</c:v>
                </c:pt>
                <c:pt idx="3062">
                  <c:v>0.83185799999999999</c:v>
                </c:pt>
                <c:pt idx="3063">
                  <c:v>0.83185799999999999</c:v>
                </c:pt>
                <c:pt idx="3064">
                  <c:v>0.83185799999999999</c:v>
                </c:pt>
                <c:pt idx="3065">
                  <c:v>0.83185799999999999</c:v>
                </c:pt>
                <c:pt idx="3066">
                  <c:v>0.83185799999999999</c:v>
                </c:pt>
                <c:pt idx="3067">
                  <c:v>0.83185799999999999</c:v>
                </c:pt>
                <c:pt idx="3068">
                  <c:v>0.83185799999999999</c:v>
                </c:pt>
                <c:pt idx="3069">
                  <c:v>0.83185799999999999</c:v>
                </c:pt>
                <c:pt idx="3070">
                  <c:v>0.83185799999999999</c:v>
                </c:pt>
                <c:pt idx="3071">
                  <c:v>0.83185799999999999</c:v>
                </c:pt>
                <c:pt idx="3072">
                  <c:v>0.83185799999999999</c:v>
                </c:pt>
                <c:pt idx="3073">
                  <c:v>0.83185799999999999</c:v>
                </c:pt>
                <c:pt idx="3074">
                  <c:v>0.83185799999999999</c:v>
                </c:pt>
                <c:pt idx="3075">
                  <c:v>0.83185799999999999</c:v>
                </c:pt>
                <c:pt idx="3076">
                  <c:v>0.83185799999999999</c:v>
                </c:pt>
                <c:pt idx="3077">
                  <c:v>0.83185799999999999</c:v>
                </c:pt>
                <c:pt idx="3078">
                  <c:v>0.83185799999999999</c:v>
                </c:pt>
                <c:pt idx="3079">
                  <c:v>0.83185799999999999</c:v>
                </c:pt>
                <c:pt idx="3080">
                  <c:v>0.83185799999999999</c:v>
                </c:pt>
                <c:pt idx="3081">
                  <c:v>0.83185799999999999</c:v>
                </c:pt>
                <c:pt idx="3082">
                  <c:v>0.83185799999999999</c:v>
                </c:pt>
                <c:pt idx="3083">
                  <c:v>0.83185799999999999</c:v>
                </c:pt>
                <c:pt idx="3084">
                  <c:v>0.83185799999999999</c:v>
                </c:pt>
                <c:pt idx="3085">
                  <c:v>0.83185799999999999</c:v>
                </c:pt>
                <c:pt idx="3086">
                  <c:v>0.83185799999999999</c:v>
                </c:pt>
                <c:pt idx="3087">
                  <c:v>0.83185799999999999</c:v>
                </c:pt>
                <c:pt idx="3088">
                  <c:v>0.83185799999999999</c:v>
                </c:pt>
                <c:pt idx="3089">
                  <c:v>0.83185799999999999</c:v>
                </c:pt>
                <c:pt idx="3090">
                  <c:v>0.83185799999999999</c:v>
                </c:pt>
                <c:pt idx="3091">
                  <c:v>0.83185799999999999</c:v>
                </c:pt>
                <c:pt idx="3092">
                  <c:v>0.83185799999999999</c:v>
                </c:pt>
                <c:pt idx="3093">
                  <c:v>0.83185799999999999</c:v>
                </c:pt>
                <c:pt idx="3094">
                  <c:v>0.83185799999999999</c:v>
                </c:pt>
                <c:pt idx="3095">
                  <c:v>0.83185799999999999</c:v>
                </c:pt>
                <c:pt idx="3096">
                  <c:v>0.83185799999999999</c:v>
                </c:pt>
                <c:pt idx="3097">
                  <c:v>0.83185799999999999</c:v>
                </c:pt>
                <c:pt idx="3098">
                  <c:v>0.83185799999999999</c:v>
                </c:pt>
                <c:pt idx="3099">
                  <c:v>0.83185799999999999</c:v>
                </c:pt>
                <c:pt idx="3100">
                  <c:v>0.83185799999999999</c:v>
                </c:pt>
                <c:pt idx="3101">
                  <c:v>0.83185799999999999</c:v>
                </c:pt>
                <c:pt idx="3102">
                  <c:v>0.83185799999999999</c:v>
                </c:pt>
                <c:pt idx="3103">
                  <c:v>0.83185799999999999</c:v>
                </c:pt>
                <c:pt idx="3104">
                  <c:v>0.83185799999999999</c:v>
                </c:pt>
                <c:pt idx="3105">
                  <c:v>0.83185799999999999</c:v>
                </c:pt>
                <c:pt idx="3106">
                  <c:v>0.83185799999999999</c:v>
                </c:pt>
                <c:pt idx="3107">
                  <c:v>0.83185799999999999</c:v>
                </c:pt>
                <c:pt idx="3108">
                  <c:v>0.83185799999999999</c:v>
                </c:pt>
                <c:pt idx="3109">
                  <c:v>0.83185799999999999</c:v>
                </c:pt>
                <c:pt idx="3110">
                  <c:v>0.83185799999999999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8-4C62-8C1B-9A0A5115E59D}"/>
            </c:ext>
          </c:extLst>
        </c:ser>
        <c:ser>
          <c:idx val="5"/>
          <c:order val="3"/>
          <c:tx>
            <c:v>Carbon Dioxide (%)</c:v>
          </c:tx>
          <c:spPr>
            <a:solidFill>
              <a:srgbClr val="C78EE6"/>
            </a:solidFill>
            <a:ln>
              <a:noFill/>
            </a:ln>
            <a:effectLst/>
          </c:spPr>
          <c:cat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cat>
          <c:val>
            <c:numRef>
              <c:f>Summary!$AE$3:$AE$3113</c:f>
              <c:numCache>
                <c:formatCode>General</c:formatCode>
                <c:ptCount val="3111"/>
                <c:pt idx="0">
                  <c:v>0.12411466666666668</c:v>
                </c:pt>
                <c:pt idx="1">
                  <c:v>0.12411466666666668</c:v>
                </c:pt>
                <c:pt idx="2">
                  <c:v>0.11754399999999998</c:v>
                </c:pt>
                <c:pt idx="3">
                  <c:v>0.11754399999999998</c:v>
                </c:pt>
                <c:pt idx="4">
                  <c:v>0.11754399999999998</c:v>
                </c:pt>
                <c:pt idx="5">
                  <c:v>0.11754399999999998</c:v>
                </c:pt>
                <c:pt idx="6">
                  <c:v>0.11754399999999998</c:v>
                </c:pt>
                <c:pt idx="7">
                  <c:v>0.11754399999999998</c:v>
                </c:pt>
                <c:pt idx="8">
                  <c:v>0.11754399999999998</c:v>
                </c:pt>
                <c:pt idx="9">
                  <c:v>0.11754399999999998</c:v>
                </c:pt>
                <c:pt idx="10">
                  <c:v>0.11754399999999998</c:v>
                </c:pt>
                <c:pt idx="11">
                  <c:v>0.11538133333333335</c:v>
                </c:pt>
                <c:pt idx="12">
                  <c:v>0.11538133333333335</c:v>
                </c:pt>
                <c:pt idx="13">
                  <c:v>0.11538133333333335</c:v>
                </c:pt>
                <c:pt idx="14">
                  <c:v>0.11538133333333335</c:v>
                </c:pt>
                <c:pt idx="15">
                  <c:v>0.11538133333333335</c:v>
                </c:pt>
                <c:pt idx="16">
                  <c:v>0.11538133333333335</c:v>
                </c:pt>
                <c:pt idx="17">
                  <c:v>0.11538133333333335</c:v>
                </c:pt>
                <c:pt idx="18">
                  <c:v>0.11538133333333335</c:v>
                </c:pt>
                <c:pt idx="19">
                  <c:v>0.11538133333333335</c:v>
                </c:pt>
                <c:pt idx="20">
                  <c:v>0.11538133333333335</c:v>
                </c:pt>
                <c:pt idx="21">
                  <c:v>0.11538133333333335</c:v>
                </c:pt>
                <c:pt idx="22">
                  <c:v>6.8155000000000007E-2</c:v>
                </c:pt>
                <c:pt idx="23">
                  <c:v>6.8155000000000007E-2</c:v>
                </c:pt>
                <c:pt idx="24">
                  <c:v>6.8155000000000007E-2</c:v>
                </c:pt>
                <c:pt idx="25">
                  <c:v>6.8155000000000007E-2</c:v>
                </c:pt>
                <c:pt idx="26">
                  <c:v>6.8155000000000007E-2</c:v>
                </c:pt>
                <c:pt idx="27">
                  <c:v>6.8155000000000007E-2</c:v>
                </c:pt>
                <c:pt idx="28">
                  <c:v>6.8155000000000007E-2</c:v>
                </c:pt>
                <c:pt idx="29">
                  <c:v>6.8155000000000007E-2</c:v>
                </c:pt>
                <c:pt idx="30">
                  <c:v>6.8155000000000007E-2</c:v>
                </c:pt>
                <c:pt idx="31">
                  <c:v>6.8155000000000007E-2</c:v>
                </c:pt>
                <c:pt idx="32">
                  <c:v>1.5905666666666665E-2</c:v>
                </c:pt>
                <c:pt idx="33">
                  <c:v>1.5905666666666665E-2</c:v>
                </c:pt>
                <c:pt idx="34">
                  <c:v>1.5905666666666665E-2</c:v>
                </c:pt>
                <c:pt idx="35">
                  <c:v>1.5905666666666665E-2</c:v>
                </c:pt>
                <c:pt idx="36">
                  <c:v>1.5905666666666665E-2</c:v>
                </c:pt>
                <c:pt idx="37">
                  <c:v>1.5905666666666665E-2</c:v>
                </c:pt>
                <c:pt idx="38">
                  <c:v>1.5905666666666665E-2</c:v>
                </c:pt>
                <c:pt idx="39">
                  <c:v>1.5905666666666665E-2</c:v>
                </c:pt>
                <c:pt idx="40">
                  <c:v>1.5905666666666665E-2</c:v>
                </c:pt>
                <c:pt idx="41">
                  <c:v>1.5905666666666665E-2</c:v>
                </c:pt>
                <c:pt idx="42">
                  <c:v>1.5905666666666665E-2</c:v>
                </c:pt>
                <c:pt idx="43">
                  <c:v>1.5905666666666665E-2</c:v>
                </c:pt>
                <c:pt idx="44">
                  <c:v>1.5905666666666665E-2</c:v>
                </c:pt>
                <c:pt idx="45">
                  <c:v>1.5905666666666665E-2</c:v>
                </c:pt>
                <c:pt idx="46">
                  <c:v>1.5905666666666665E-2</c:v>
                </c:pt>
                <c:pt idx="47">
                  <c:v>1.5905666666666665E-2</c:v>
                </c:pt>
                <c:pt idx="48">
                  <c:v>1.5905666666666665E-2</c:v>
                </c:pt>
                <c:pt idx="49">
                  <c:v>1.5905666666666665E-2</c:v>
                </c:pt>
                <c:pt idx="50">
                  <c:v>1.5905666666666665E-2</c:v>
                </c:pt>
                <c:pt idx="51">
                  <c:v>1.5905666666666665E-2</c:v>
                </c:pt>
                <c:pt idx="52">
                  <c:v>1.5905666666666665E-2</c:v>
                </c:pt>
                <c:pt idx="53">
                  <c:v>1.5905666666666665E-2</c:v>
                </c:pt>
                <c:pt idx="54">
                  <c:v>1.5905666666666665E-2</c:v>
                </c:pt>
                <c:pt idx="55">
                  <c:v>1.5905666666666665E-2</c:v>
                </c:pt>
                <c:pt idx="56">
                  <c:v>1.5905666666666665E-2</c:v>
                </c:pt>
                <c:pt idx="57">
                  <c:v>1.5905666666666665E-2</c:v>
                </c:pt>
                <c:pt idx="58">
                  <c:v>1.5905666666666665E-2</c:v>
                </c:pt>
                <c:pt idx="59">
                  <c:v>1.5905666666666665E-2</c:v>
                </c:pt>
                <c:pt idx="60">
                  <c:v>1.5905666666666665E-2</c:v>
                </c:pt>
                <c:pt idx="61">
                  <c:v>1.5905666666666665E-2</c:v>
                </c:pt>
                <c:pt idx="62">
                  <c:v>1.5905666666666665E-2</c:v>
                </c:pt>
                <c:pt idx="63">
                  <c:v>1.5905666666666665E-2</c:v>
                </c:pt>
                <c:pt idx="64">
                  <c:v>1.5905666666666665E-2</c:v>
                </c:pt>
                <c:pt idx="65">
                  <c:v>1.5905666666666665E-2</c:v>
                </c:pt>
                <c:pt idx="66">
                  <c:v>1.5905666666666665E-2</c:v>
                </c:pt>
                <c:pt idx="67">
                  <c:v>1.5905666666666665E-2</c:v>
                </c:pt>
                <c:pt idx="68">
                  <c:v>1.5905666666666665E-2</c:v>
                </c:pt>
                <c:pt idx="69">
                  <c:v>1.5905666666666665E-2</c:v>
                </c:pt>
                <c:pt idx="70">
                  <c:v>1.5905666666666665E-2</c:v>
                </c:pt>
                <c:pt idx="71">
                  <c:v>7.5466666666666659E-3</c:v>
                </c:pt>
                <c:pt idx="72">
                  <c:v>7.5466666666666659E-3</c:v>
                </c:pt>
                <c:pt idx="73">
                  <c:v>7.5466666666666659E-3</c:v>
                </c:pt>
                <c:pt idx="74">
                  <c:v>7.5466666666666659E-3</c:v>
                </c:pt>
                <c:pt idx="75">
                  <c:v>7.5466666666666659E-3</c:v>
                </c:pt>
                <c:pt idx="76">
                  <c:v>7.5466666666666659E-3</c:v>
                </c:pt>
                <c:pt idx="77">
                  <c:v>7.5466666666666659E-3</c:v>
                </c:pt>
                <c:pt idx="78">
                  <c:v>7.5466666666666659E-3</c:v>
                </c:pt>
                <c:pt idx="79">
                  <c:v>7.5466666666666659E-3</c:v>
                </c:pt>
                <c:pt idx="80">
                  <c:v>2.1787666666666667E-2</c:v>
                </c:pt>
                <c:pt idx="81">
                  <c:v>2.1787666666666667E-2</c:v>
                </c:pt>
                <c:pt idx="82">
                  <c:v>2.1787666666666667E-2</c:v>
                </c:pt>
                <c:pt idx="83">
                  <c:v>2.1787666666666667E-2</c:v>
                </c:pt>
                <c:pt idx="84">
                  <c:v>2.1787666666666667E-2</c:v>
                </c:pt>
                <c:pt idx="85">
                  <c:v>2.1787666666666667E-2</c:v>
                </c:pt>
                <c:pt idx="86">
                  <c:v>2.1787666666666667E-2</c:v>
                </c:pt>
                <c:pt idx="87">
                  <c:v>2.1787666666666667E-2</c:v>
                </c:pt>
                <c:pt idx="88">
                  <c:v>2.1787666666666667E-2</c:v>
                </c:pt>
                <c:pt idx="89">
                  <c:v>2.1787666666666667E-2</c:v>
                </c:pt>
                <c:pt idx="90">
                  <c:v>2.1787666666666667E-2</c:v>
                </c:pt>
                <c:pt idx="91">
                  <c:v>2.1787666666666667E-2</c:v>
                </c:pt>
                <c:pt idx="92">
                  <c:v>2.1787666666666667E-2</c:v>
                </c:pt>
                <c:pt idx="93">
                  <c:v>2.1787666666666667E-2</c:v>
                </c:pt>
                <c:pt idx="94">
                  <c:v>2.1787666666666667E-2</c:v>
                </c:pt>
                <c:pt idx="95">
                  <c:v>2.1787666666666667E-2</c:v>
                </c:pt>
                <c:pt idx="96">
                  <c:v>2.1787666666666667E-2</c:v>
                </c:pt>
                <c:pt idx="97">
                  <c:v>2.1787666666666667E-2</c:v>
                </c:pt>
                <c:pt idx="98">
                  <c:v>2.1787666666666667E-2</c:v>
                </c:pt>
                <c:pt idx="99">
                  <c:v>2.1787666666666667E-2</c:v>
                </c:pt>
                <c:pt idx="100">
                  <c:v>0.10837000000000002</c:v>
                </c:pt>
                <c:pt idx="101">
                  <c:v>0.10837000000000002</c:v>
                </c:pt>
                <c:pt idx="102">
                  <c:v>0.10837000000000002</c:v>
                </c:pt>
                <c:pt idx="103">
                  <c:v>0.10837000000000002</c:v>
                </c:pt>
                <c:pt idx="104">
                  <c:v>0.10837000000000002</c:v>
                </c:pt>
                <c:pt idx="105">
                  <c:v>0.10837000000000002</c:v>
                </c:pt>
                <c:pt idx="106">
                  <c:v>0.10837000000000002</c:v>
                </c:pt>
                <c:pt idx="107">
                  <c:v>0.10837000000000002</c:v>
                </c:pt>
                <c:pt idx="108">
                  <c:v>0.10837000000000002</c:v>
                </c:pt>
                <c:pt idx="109">
                  <c:v>0.10837000000000002</c:v>
                </c:pt>
                <c:pt idx="110">
                  <c:v>0.10837000000000002</c:v>
                </c:pt>
                <c:pt idx="111">
                  <c:v>0.10837000000000002</c:v>
                </c:pt>
                <c:pt idx="112">
                  <c:v>0.10837000000000002</c:v>
                </c:pt>
                <c:pt idx="113">
                  <c:v>0.10837000000000002</c:v>
                </c:pt>
                <c:pt idx="114">
                  <c:v>0.10837000000000002</c:v>
                </c:pt>
                <c:pt idx="115">
                  <c:v>0.10837000000000002</c:v>
                </c:pt>
                <c:pt idx="116">
                  <c:v>0.10837000000000002</c:v>
                </c:pt>
                <c:pt idx="117">
                  <c:v>0.10837000000000002</c:v>
                </c:pt>
                <c:pt idx="118">
                  <c:v>0.10837000000000002</c:v>
                </c:pt>
                <c:pt idx="119">
                  <c:v>0.10837000000000002</c:v>
                </c:pt>
                <c:pt idx="120">
                  <c:v>0.10837000000000002</c:v>
                </c:pt>
                <c:pt idx="121">
                  <c:v>0.10837000000000002</c:v>
                </c:pt>
                <c:pt idx="122">
                  <c:v>0.10837000000000002</c:v>
                </c:pt>
                <c:pt idx="123">
                  <c:v>0.10837000000000002</c:v>
                </c:pt>
                <c:pt idx="124">
                  <c:v>0.10837000000000002</c:v>
                </c:pt>
                <c:pt idx="125">
                  <c:v>0.10837000000000002</c:v>
                </c:pt>
                <c:pt idx="126">
                  <c:v>0.10837000000000002</c:v>
                </c:pt>
                <c:pt idx="127">
                  <c:v>0.10837000000000002</c:v>
                </c:pt>
                <c:pt idx="128">
                  <c:v>0.10837000000000002</c:v>
                </c:pt>
                <c:pt idx="129">
                  <c:v>0.10837000000000002</c:v>
                </c:pt>
                <c:pt idx="130">
                  <c:v>0.10837000000000002</c:v>
                </c:pt>
                <c:pt idx="131">
                  <c:v>0.10837000000000002</c:v>
                </c:pt>
                <c:pt idx="132">
                  <c:v>0.10837000000000002</c:v>
                </c:pt>
                <c:pt idx="133">
                  <c:v>0.10837000000000002</c:v>
                </c:pt>
                <c:pt idx="134">
                  <c:v>0.10837000000000002</c:v>
                </c:pt>
                <c:pt idx="135">
                  <c:v>0.10837000000000002</c:v>
                </c:pt>
                <c:pt idx="136">
                  <c:v>0.10837000000000002</c:v>
                </c:pt>
                <c:pt idx="137">
                  <c:v>0.10837000000000002</c:v>
                </c:pt>
                <c:pt idx="138">
                  <c:v>0.10837000000000002</c:v>
                </c:pt>
                <c:pt idx="139">
                  <c:v>0.10837000000000002</c:v>
                </c:pt>
                <c:pt idx="140">
                  <c:v>0.10837000000000002</c:v>
                </c:pt>
                <c:pt idx="141">
                  <c:v>0.10837000000000002</c:v>
                </c:pt>
                <c:pt idx="142">
                  <c:v>0.10837000000000002</c:v>
                </c:pt>
                <c:pt idx="143">
                  <c:v>0.10837000000000002</c:v>
                </c:pt>
                <c:pt idx="144">
                  <c:v>0.10837000000000002</c:v>
                </c:pt>
                <c:pt idx="145">
                  <c:v>0.10837000000000002</c:v>
                </c:pt>
                <c:pt idx="146">
                  <c:v>0.10837000000000002</c:v>
                </c:pt>
                <c:pt idx="147">
                  <c:v>0.10837000000000002</c:v>
                </c:pt>
                <c:pt idx="148">
                  <c:v>0.10837000000000002</c:v>
                </c:pt>
                <c:pt idx="149">
                  <c:v>0.10837000000000002</c:v>
                </c:pt>
                <c:pt idx="150">
                  <c:v>0.10837000000000002</c:v>
                </c:pt>
                <c:pt idx="151">
                  <c:v>0.10837000000000002</c:v>
                </c:pt>
                <c:pt idx="152">
                  <c:v>0.10837000000000002</c:v>
                </c:pt>
                <c:pt idx="153">
                  <c:v>0.10837000000000002</c:v>
                </c:pt>
                <c:pt idx="154">
                  <c:v>0.10837000000000002</c:v>
                </c:pt>
                <c:pt idx="155">
                  <c:v>0.10837000000000002</c:v>
                </c:pt>
                <c:pt idx="156">
                  <c:v>0.10837000000000002</c:v>
                </c:pt>
                <c:pt idx="157">
                  <c:v>0.10837000000000002</c:v>
                </c:pt>
                <c:pt idx="158">
                  <c:v>0.10837000000000002</c:v>
                </c:pt>
                <c:pt idx="159">
                  <c:v>0.10837000000000002</c:v>
                </c:pt>
                <c:pt idx="160">
                  <c:v>0.10837000000000002</c:v>
                </c:pt>
                <c:pt idx="161">
                  <c:v>0.11587800000000001</c:v>
                </c:pt>
                <c:pt idx="162">
                  <c:v>0.11587800000000001</c:v>
                </c:pt>
                <c:pt idx="163">
                  <c:v>0.11587800000000001</c:v>
                </c:pt>
                <c:pt idx="164">
                  <c:v>0.11587800000000001</c:v>
                </c:pt>
                <c:pt idx="165">
                  <c:v>0.11587800000000001</c:v>
                </c:pt>
                <c:pt idx="166">
                  <c:v>0.11587800000000001</c:v>
                </c:pt>
                <c:pt idx="167">
                  <c:v>0.11587800000000001</c:v>
                </c:pt>
                <c:pt idx="168">
                  <c:v>0.11587800000000001</c:v>
                </c:pt>
                <c:pt idx="169">
                  <c:v>0.11587800000000001</c:v>
                </c:pt>
                <c:pt idx="170">
                  <c:v>0.11587800000000001</c:v>
                </c:pt>
                <c:pt idx="171">
                  <c:v>0.11587800000000001</c:v>
                </c:pt>
                <c:pt idx="172">
                  <c:v>0.11587800000000001</c:v>
                </c:pt>
                <c:pt idx="173">
                  <c:v>0.11587800000000001</c:v>
                </c:pt>
                <c:pt idx="174">
                  <c:v>0.11587800000000001</c:v>
                </c:pt>
                <c:pt idx="175">
                  <c:v>0.11587800000000001</c:v>
                </c:pt>
                <c:pt idx="176">
                  <c:v>0.11587800000000001</c:v>
                </c:pt>
                <c:pt idx="177">
                  <c:v>0.11587800000000001</c:v>
                </c:pt>
                <c:pt idx="178">
                  <c:v>0.11587800000000001</c:v>
                </c:pt>
                <c:pt idx="179">
                  <c:v>0.11587800000000001</c:v>
                </c:pt>
                <c:pt idx="180">
                  <c:v>0.11587800000000001</c:v>
                </c:pt>
                <c:pt idx="181">
                  <c:v>0.11587800000000001</c:v>
                </c:pt>
                <c:pt idx="182">
                  <c:v>0.11587800000000001</c:v>
                </c:pt>
                <c:pt idx="183">
                  <c:v>0.11587800000000001</c:v>
                </c:pt>
                <c:pt idx="184">
                  <c:v>0.11587800000000001</c:v>
                </c:pt>
                <c:pt idx="185">
                  <c:v>0.11587800000000001</c:v>
                </c:pt>
                <c:pt idx="186">
                  <c:v>0.11587800000000001</c:v>
                </c:pt>
                <c:pt idx="187">
                  <c:v>0.11587800000000001</c:v>
                </c:pt>
                <c:pt idx="188">
                  <c:v>0.11587800000000001</c:v>
                </c:pt>
                <c:pt idx="189">
                  <c:v>0.11587800000000001</c:v>
                </c:pt>
                <c:pt idx="190">
                  <c:v>0.11587800000000001</c:v>
                </c:pt>
                <c:pt idx="191">
                  <c:v>0.11587800000000001</c:v>
                </c:pt>
                <c:pt idx="192">
                  <c:v>0.11587800000000001</c:v>
                </c:pt>
                <c:pt idx="193">
                  <c:v>0.11587800000000001</c:v>
                </c:pt>
                <c:pt idx="194">
                  <c:v>0.11587800000000001</c:v>
                </c:pt>
                <c:pt idx="195">
                  <c:v>0.11587800000000001</c:v>
                </c:pt>
                <c:pt idx="196">
                  <c:v>0.11587800000000001</c:v>
                </c:pt>
                <c:pt idx="197">
                  <c:v>0.11587800000000001</c:v>
                </c:pt>
                <c:pt idx="198">
                  <c:v>0.11587800000000001</c:v>
                </c:pt>
                <c:pt idx="199">
                  <c:v>0.11587800000000001</c:v>
                </c:pt>
                <c:pt idx="200">
                  <c:v>0.11587800000000001</c:v>
                </c:pt>
                <c:pt idx="201">
                  <c:v>0.11587800000000001</c:v>
                </c:pt>
                <c:pt idx="202">
                  <c:v>0.11587800000000001</c:v>
                </c:pt>
                <c:pt idx="203">
                  <c:v>0.11587800000000001</c:v>
                </c:pt>
                <c:pt idx="204">
                  <c:v>0.11587800000000001</c:v>
                </c:pt>
                <c:pt idx="205">
                  <c:v>0.11587800000000001</c:v>
                </c:pt>
                <c:pt idx="206">
                  <c:v>0.11587800000000001</c:v>
                </c:pt>
                <c:pt idx="207">
                  <c:v>0.11587800000000001</c:v>
                </c:pt>
                <c:pt idx="208">
                  <c:v>0.11587800000000001</c:v>
                </c:pt>
                <c:pt idx="209">
                  <c:v>0.11587800000000001</c:v>
                </c:pt>
                <c:pt idx="210">
                  <c:v>0.11587800000000001</c:v>
                </c:pt>
                <c:pt idx="211">
                  <c:v>0.11587800000000001</c:v>
                </c:pt>
                <c:pt idx="212">
                  <c:v>0.11587800000000001</c:v>
                </c:pt>
                <c:pt idx="213">
                  <c:v>0.11587800000000001</c:v>
                </c:pt>
                <c:pt idx="214">
                  <c:v>0.11587800000000001</c:v>
                </c:pt>
                <c:pt idx="215">
                  <c:v>0.11587800000000001</c:v>
                </c:pt>
                <c:pt idx="216">
                  <c:v>0.11587800000000001</c:v>
                </c:pt>
                <c:pt idx="217">
                  <c:v>0.11587800000000001</c:v>
                </c:pt>
                <c:pt idx="218">
                  <c:v>0.11587800000000001</c:v>
                </c:pt>
                <c:pt idx="219">
                  <c:v>0.11587800000000001</c:v>
                </c:pt>
                <c:pt idx="220">
                  <c:v>0.11587800000000001</c:v>
                </c:pt>
                <c:pt idx="221">
                  <c:v>0.11587800000000001</c:v>
                </c:pt>
                <c:pt idx="222">
                  <c:v>0.11587800000000001</c:v>
                </c:pt>
                <c:pt idx="223">
                  <c:v>0.11587800000000001</c:v>
                </c:pt>
                <c:pt idx="224">
                  <c:v>0.11587800000000001</c:v>
                </c:pt>
                <c:pt idx="225">
                  <c:v>0.11587800000000001</c:v>
                </c:pt>
                <c:pt idx="226">
                  <c:v>0.11587800000000001</c:v>
                </c:pt>
                <c:pt idx="227">
                  <c:v>0.11587800000000001</c:v>
                </c:pt>
                <c:pt idx="228">
                  <c:v>0.11587800000000001</c:v>
                </c:pt>
                <c:pt idx="229">
                  <c:v>0.11587800000000001</c:v>
                </c:pt>
                <c:pt idx="230">
                  <c:v>0.11587800000000001</c:v>
                </c:pt>
                <c:pt idx="231">
                  <c:v>0.11587800000000001</c:v>
                </c:pt>
                <c:pt idx="232">
                  <c:v>0.11587800000000001</c:v>
                </c:pt>
                <c:pt idx="233">
                  <c:v>0.11587800000000001</c:v>
                </c:pt>
                <c:pt idx="234">
                  <c:v>0.11587800000000001</c:v>
                </c:pt>
                <c:pt idx="235">
                  <c:v>0.11587800000000001</c:v>
                </c:pt>
                <c:pt idx="236">
                  <c:v>0.11587800000000001</c:v>
                </c:pt>
                <c:pt idx="237">
                  <c:v>0.11587800000000001</c:v>
                </c:pt>
                <c:pt idx="238">
                  <c:v>0.11587800000000001</c:v>
                </c:pt>
                <c:pt idx="239">
                  <c:v>0.11587800000000001</c:v>
                </c:pt>
                <c:pt idx="240">
                  <c:v>0.11587800000000001</c:v>
                </c:pt>
                <c:pt idx="241">
                  <c:v>3.0949999999999992E-3</c:v>
                </c:pt>
                <c:pt idx="242">
                  <c:v>3.0949999999999992E-3</c:v>
                </c:pt>
                <c:pt idx="243">
                  <c:v>3.0949999999999992E-3</c:v>
                </c:pt>
                <c:pt idx="244">
                  <c:v>3.0949999999999992E-3</c:v>
                </c:pt>
                <c:pt idx="245">
                  <c:v>3.0949999999999992E-3</c:v>
                </c:pt>
                <c:pt idx="246">
                  <c:v>3.0949999999999992E-3</c:v>
                </c:pt>
                <c:pt idx="247">
                  <c:v>3.0949999999999992E-3</c:v>
                </c:pt>
                <c:pt idx="248">
                  <c:v>3.0949999999999992E-3</c:v>
                </c:pt>
                <c:pt idx="249">
                  <c:v>3.0949999999999992E-3</c:v>
                </c:pt>
                <c:pt idx="250">
                  <c:v>3.0949999999999992E-3</c:v>
                </c:pt>
                <c:pt idx="251">
                  <c:v>3.0949999999999992E-3</c:v>
                </c:pt>
                <c:pt idx="252">
                  <c:v>3.0949999999999992E-3</c:v>
                </c:pt>
                <c:pt idx="253">
                  <c:v>3.0949999999999992E-3</c:v>
                </c:pt>
                <c:pt idx="254">
                  <c:v>3.0949999999999992E-3</c:v>
                </c:pt>
                <c:pt idx="255">
                  <c:v>3.0949999999999992E-3</c:v>
                </c:pt>
                <c:pt idx="256">
                  <c:v>3.0949999999999992E-3</c:v>
                </c:pt>
                <c:pt idx="257">
                  <c:v>3.0949999999999992E-3</c:v>
                </c:pt>
                <c:pt idx="258">
                  <c:v>3.0949999999999992E-3</c:v>
                </c:pt>
                <c:pt idx="259">
                  <c:v>3.0949999999999992E-3</c:v>
                </c:pt>
                <c:pt idx="260">
                  <c:v>3.0949999999999992E-3</c:v>
                </c:pt>
                <c:pt idx="261">
                  <c:v>3.0949999999999992E-3</c:v>
                </c:pt>
                <c:pt idx="262">
                  <c:v>3.0949999999999992E-3</c:v>
                </c:pt>
                <c:pt idx="263">
                  <c:v>3.0949999999999992E-3</c:v>
                </c:pt>
                <c:pt idx="264">
                  <c:v>3.0949999999999992E-3</c:v>
                </c:pt>
                <c:pt idx="265">
                  <c:v>3.0949999999999992E-3</c:v>
                </c:pt>
                <c:pt idx="266">
                  <c:v>3.0949999999999992E-3</c:v>
                </c:pt>
                <c:pt idx="267">
                  <c:v>3.0949999999999992E-3</c:v>
                </c:pt>
                <c:pt idx="268">
                  <c:v>3.0949999999999992E-3</c:v>
                </c:pt>
                <c:pt idx="269">
                  <c:v>3.0949999999999992E-3</c:v>
                </c:pt>
                <c:pt idx="270">
                  <c:v>3.0949999999999992E-3</c:v>
                </c:pt>
                <c:pt idx="271">
                  <c:v>3.0949999999999992E-3</c:v>
                </c:pt>
                <c:pt idx="272">
                  <c:v>3.0949999999999992E-3</c:v>
                </c:pt>
                <c:pt idx="273">
                  <c:v>3.0949999999999992E-3</c:v>
                </c:pt>
                <c:pt idx="274">
                  <c:v>3.0949999999999992E-3</c:v>
                </c:pt>
                <c:pt idx="275">
                  <c:v>3.0949999999999992E-3</c:v>
                </c:pt>
                <c:pt idx="276">
                  <c:v>3.0949999999999992E-3</c:v>
                </c:pt>
                <c:pt idx="277">
                  <c:v>3.0949999999999992E-3</c:v>
                </c:pt>
                <c:pt idx="278">
                  <c:v>3.0949999999999992E-3</c:v>
                </c:pt>
                <c:pt idx="279">
                  <c:v>3.0949999999999992E-3</c:v>
                </c:pt>
                <c:pt idx="280">
                  <c:v>3.0949999999999992E-3</c:v>
                </c:pt>
                <c:pt idx="281">
                  <c:v>3.0949999999999992E-3</c:v>
                </c:pt>
                <c:pt idx="282">
                  <c:v>3.0949999999999992E-3</c:v>
                </c:pt>
                <c:pt idx="283">
                  <c:v>3.0949999999999992E-3</c:v>
                </c:pt>
                <c:pt idx="284">
                  <c:v>3.0949999999999992E-3</c:v>
                </c:pt>
                <c:pt idx="285">
                  <c:v>3.0949999999999992E-3</c:v>
                </c:pt>
                <c:pt idx="286">
                  <c:v>3.0949999999999992E-3</c:v>
                </c:pt>
                <c:pt idx="287">
                  <c:v>3.0949999999999992E-3</c:v>
                </c:pt>
                <c:pt idx="288">
                  <c:v>3.0949999999999992E-3</c:v>
                </c:pt>
                <c:pt idx="289">
                  <c:v>3.0949999999999992E-3</c:v>
                </c:pt>
                <c:pt idx="290">
                  <c:v>3.0949999999999992E-3</c:v>
                </c:pt>
                <c:pt idx="291">
                  <c:v>3.0949999999999992E-3</c:v>
                </c:pt>
                <c:pt idx="292">
                  <c:v>3.0949999999999992E-3</c:v>
                </c:pt>
                <c:pt idx="293">
                  <c:v>3.0949999999999992E-3</c:v>
                </c:pt>
                <c:pt idx="294">
                  <c:v>3.0949999999999992E-3</c:v>
                </c:pt>
                <c:pt idx="295">
                  <c:v>3.0949999999999992E-3</c:v>
                </c:pt>
                <c:pt idx="296">
                  <c:v>3.0949999999999992E-3</c:v>
                </c:pt>
                <c:pt idx="297">
                  <c:v>3.0949999999999992E-3</c:v>
                </c:pt>
                <c:pt idx="298">
                  <c:v>3.0949999999999992E-3</c:v>
                </c:pt>
                <c:pt idx="299">
                  <c:v>3.0949999999999992E-3</c:v>
                </c:pt>
                <c:pt idx="300">
                  <c:v>3.0949999999999992E-3</c:v>
                </c:pt>
                <c:pt idx="301">
                  <c:v>2.735E-3</c:v>
                </c:pt>
                <c:pt idx="302">
                  <c:v>2.735E-3</c:v>
                </c:pt>
                <c:pt idx="303">
                  <c:v>2.735E-3</c:v>
                </c:pt>
                <c:pt idx="304">
                  <c:v>2.735E-3</c:v>
                </c:pt>
                <c:pt idx="305">
                  <c:v>2.735E-3</c:v>
                </c:pt>
                <c:pt idx="306">
                  <c:v>2.735E-3</c:v>
                </c:pt>
                <c:pt idx="307">
                  <c:v>2.735E-3</c:v>
                </c:pt>
                <c:pt idx="308">
                  <c:v>2.735E-3</c:v>
                </c:pt>
                <c:pt idx="309">
                  <c:v>2.735E-3</c:v>
                </c:pt>
                <c:pt idx="310">
                  <c:v>2.735E-3</c:v>
                </c:pt>
                <c:pt idx="311">
                  <c:v>2.735E-3</c:v>
                </c:pt>
                <c:pt idx="312">
                  <c:v>2.735E-3</c:v>
                </c:pt>
                <c:pt idx="313">
                  <c:v>2.735E-3</c:v>
                </c:pt>
                <c:pt idx="314">
                  <c:v>2.735E-3</c:v>
                </c:pt>
                <c:pt idx="315">
                  <c:v>2.735E-3</c:v>
                </c:pt>
                <c:pt idx="316">
                  <c:v>2.735E-3</c:v>
                </c:pt>
                <c:pt idx="317">
                  <c:v>2.735E-3</c:v>
                </c:pt>
                <c:pt idx="318">
                  <c:v>2.735E-3</c:v>
                </c:pt>
                <c:pt idx="319">
                  <c:v>2.735E-3</c:v>
                </c:pt>
                <c:pt idx="320">
                  <c:v>2.735E-3</c:v>
                </c:pt>
                <c:pt idx="321">
                  <c:v>2.735E-3</c:v>
                </c:pt>
                <c:pt idx="322">
                  <c:v>2.735E-3</c:v>
                </c:pt>
                <c:pt idx="323">
                  <c:v>2.735E-3</c:v>
                </c:pt>
                <c:pt idx="324">
                  <c:v>2.735E-3</c:v>
                </c:pt>
                <c:pt idx="325">
                  <c:v>2.735E-3</c:v>
                </c:pt>
                <c:pt idx="326">
                  <c:v>2.735E-3</c:v>
                </c:pt>
                <c:pt idx="327">
                  <c:v>2.735E-3</c:v>
                </c:pt>
                <c:pt idx="328">
                  <c:v>2.735E-3</c:v>
                </c:pt>
                <c:pt idx="329">
                  <c:v>2.735E-3</c:v>
                </c:pt>
                <c:pt idx="330">
                  <c:v>2.735E-3</c:v>
                </c:pt>
                <c:pt idx="331">
                  <c:v>2.735E-3</c:v>
                </c:pt>
                <c:pt idx="332">
                  <c:v>2.735E-3</c:v>
                </c:pt>
                <c:pt idx="333">
                  <c:v>2.735E-3</c:v>
                </c:pt>
                <c:pt idx="334">
                  <c:v>2.735E-3</c:v>
                </c:pt>
                <c:pt idx="335">
                  <c:v>2.735E-3</c:v>
                </c:pt>
                <c:pt idx="336">
                  <c:v>2.735E-3</c:v>
                </c:pt>
                <c:pt idx="337">
                  <c:v>2.735E-3</c:v>
                </c:pt>
                <c:pt idx="338">
                  <c:v>2.735E-3</c:v>
                </c:pt>
                <c:pt idx="339">
                  <c:v>2.735E-3</c:v>
                </c:pt>
                <c:pt idx="340">
                  <c:v>6.4139999999999996E-3</c:v>
                </c:pt>
                <c:pt idx="341">
                  <c:v>6.4139999999999996E-3</c:v>
                </c:pt>
                <c:pt idx="342">
                  <c:v>6.4139999999999996E-3</c:v>
                </c:pt>
                <c:pt idx="343">
                  <c:v>6.4139999999999996E-3</c:v>
                </c:pt>
                <c:pt idx="344">
                  <c:v>6.4139999999999996E-3</c:v>
                </c:pt>
                <c:pt idx="345">
                  <c:v>6.4139999999999996E-3</c:v>
                </c:pt>
                <c:pt idx="346">
                  <c:v>6.4139999999999996E-3</c:v>
                </c:pt>
                <c:pt idx="347">
                  <c:v>6.4139999999999996E-3</c:v>
                </c:pt>
                <c:pt idx="348">
                  <c:v>6.4139999999999996E-3</c:v>
                </c:pt>
                <c:pt idx="349">
                  <c:v>6.4139999999999996E-3</c:v>
                </c:pt>
                <c:pt idx="350">
                  <c:v>6.4139999999999996E-3</c:v>
                </c:pt>
                <c:pt idx="351">
                  <c:v>6.4139999999999996E-3</c:v>
                </c:pt>
                <c:pt idx="352">
                  <c:v>6.4139999999999996E-3</c:v>
                </c:pt>
                <c:pt idx="353">
                  <c:v>6.4139999999999996E-3</c:v>
                </c:pt>
                <c:pt idx="354">
                  <c:v>6.4139999999999996E-3</c:v>
                </c:pt>
                <c:pt idx="355">
                  <c:v>6.4139999999999996E-3</c:v>
                </c:pt>
                <c:pt idx="356">
                  <c:v>6.4139999999999996E-3</c:v>
                </c:pt>
                <c:pt idx="357">
                  <c:v>6.4139999999999996E-3</c:v>
                </c:pt>
                <c:pt idx="358">
                  <c:v>6.4139999999999996E-3</c:v>
                </c:pt>
                <c:pt idx="359">
                  <c:v>6.4139999999999996E-3</c:v>
                </c:pt>
                <c:pt idx="360">
                  <c:v>6.4139999999999996E-3</c:v>
                </c:pt>
                <c:pt idx="361">
                  <c:v>6.4139999999999996E-3</c:v>
                </c:pt>
                <c:pt idx="362">
                  <c:v>6.4139999999999996E-3</c:v>
                </c:pt>
                <c:pt idx="363">
                  <c:v>6.4139999999999996E-3</c:v>
                </c:pt>
                <c:pt idx="364">
                  <c:v>6.4139999999999996E-3</c:v>
                </c:pt>
                <c:pt idx="365">
                  <c:v>6.4139999999999996E-3</c:v>
                </c:pt>
                <c:pt idx="366">
                  <c:v>6.4139999999999996E-3</c:v>
                </c:pt>
                <c:pt idx="367">
                  <c:v>6.4139999999999996E-3</c:v>
                </c:pt>
                <c:pt idx="368">
                  <c:v>6.4139999999999996E-3</c:v>
                </c:pt>
                <c:pt idx="369">
                  <c:v>6.4139999999999996E-3</c:v>
                </c:pt>
                <c:pt idx="370">
                  <c:v>6.4139999999999996E-3</c:v>
                </c:pt>
                <c:pt idx="371">
                  <c:v>6.4139999999999996E-3</c:v>
                </c:pt>
                <c:pt idx="372">
                  <c:v>6.4139999999999996E-3</c:v>
                </c:pt>
                <c:pt idx="373">
                  <c:v>6.4139999999999996E-3</c:v>
                </c:pt>
                <c:pt idx="374">
                  <c:v>6.4139999999999996E-3</c:v>
                </c:pt>
                <c:pt idx="375">
                  <c:v>6.4139999999999996E-3</c:v>
                </c:pt>
                <c:pt idx="376">
                  <c:v>6.4139999999999996E-3</c:v>
                </c:pt>
                <c:pt idx="377">
                  <c:v>6.4139999999999996E-3</c:v>
                </c:pt>
                <c:pt idx="378">
                  <c:v>6.4139999999999996E-3</c:v>
                </c:pt>
                <c:pt idx="379">
                  <c:v>6.4139999999999996E-3</c:v>
                </c:pt>
                <c:pt idx="380">
                  <c:v>6.6886666666666664E-2</c:v>
                </c:pt>
                <c:pt idx="381">
                  <c:v>6.6886666666666664E-2</c:v>
                </c:pt>
                <c:pt idx="382">
                  <c:v>6.6886666666666664E-2</c:v>
                </c:pt>
                <c:pt idx="383">
                  <c:v>6.6886666666666664E-2</c:v>
                </c:pt>
                <c:pt idx="384">
                  <c:v>6.6886666666666664E-2</c:v>
                </c:pt>
                <c:pt idx="385">
                  <c:v>6.6886666666666664E-2</c:v>
                </c:pt>
                <c:pt idx="386">
                  <c:v>6.6886666666666664E-2</c:v>
                </c:pt>
                <c:pt idx="387">
                  <c:v>6.6886666666666664E-2</c:v>
                </c:pt>
                <c:pt idx="388">
                  <c:v>6.6886666666666664E-2</c:v>
                </c:pt>
                <c:pt idx="389">
                  <c:v>6.6886666666666664E-2</c:v>
                </c:pt>
                <c:pt idx="390">
                  <c:v>6.6886666666666664E-2</c:v>
                </c:pt>
                <c:pt idx="391">
                  <c:v>6.6886666666666664E-2</c:v>
                </c:pt>
                <c:pt idx="392">
                  <c:v>6.6886666666666664E-2</c:v>
                </c:pt>
                <c:pt idx="393">
                  <c:v>6.6886666666666664E-2</c:v>
                </c:pt>
                <c:pt idx="394">
                  <c:v>6.6886666666666664E-2</c:v>
                </c:pt>
                <c:pt idx="395">
                  <c:v>6.6886666666666664E-2</c:v>
                </c:pt>
                <c:pt idx="396">
                  <c:v>6.6886666666666664E-2</c:v>
                </c:pt>
                <c:pt idx="397">
                  <c:v>6.6886666666666664E-2</c:v>
                </c:pt>
                <c:pt idx="398">
                  <c:v>6.6886666666666664E-2</c:v>
                </c:pt>
                <c:pt idx="399">
                  <c:v>6.6886666666666664E-2</c:v>
                </c:pt>
                <c:pt idx="400">
                  <c:v>6.6886666666666664E-2</c:v>
                </c:pt>
                <c:pt idx="401">
                  <c:v>6.6886666666666664E-2</c:v>
                </c:pt>
                <c:pt idx="402">
                  <c:v>6.6886666666666664E-2</c:v>
                </c:pt>
                <c:pt idx="403">
                  <c:v>6.6886666666666664E-2</c:v>
                </c:pt>
                <c:pt idx="404">
                  <c:v>6.6886666666666664E-2</c:v>
                </c:pt>
                <c:pt idx="405">
                  <c:v>6.6886666666666664E-2</c:v>
                </c:pt>
                <c:pt idx="406">
                  <c:v>6.6886666666666664E-2</c:v>
                </c:pt>
                <c:pt idx="407">
                  <c:v>6.6886666666666664E-2</c:v>
                </c:pt>
                <c:pt idx="408">
                  <c:v>6.6886666666666664E-2</c:v>
                </c:pt>
                <c:pt idx="409">
                  <c:v>6.6886666666666664E-2</c:v>
                </c:pt>
                <c:pt idx="410">
                  <c:v>6.6886666666666664E-2</c:v>
                </c:pt>
                <c:pt idx="411">
                  <c:v>6.6886666666666664E-2</c:v>
                </c:pt>
                <c:pt idx="412">
                  <c:v>6.6886666666666664E-2</c:v>
                </c:pt>
                <c:pt idx="413">
                  <c:v>6.6886666666666664E-2</c:v>
                </c:pt>
                <c:pt idx="414">
                  <c:v>6.6886666666666664E-2</c:v>
                </c:pt>
                <c:pt idx="415">
                  <c:v>6.6886666666666664E-2</c:v>
                </c:pt>
                <c:pt idx="416">
                  <c:v>6.6886666666666664E-2</c:v>
                </c:pt>
                <c:pt idx="417">
                  <c:v>6.6886666666666664E-2</c:v>
                </c:pt>
                <c:pt idx="418">
                  <c:v>6.6886666666666664E-2</c:v>
                </c:pt>
                <c:pt idx="419">
                  <c:v>6.6886666666666664E-2</c:v>
                </c:pt>
                <c:pt idx="420">
                  <c:v>6.6886666666666664E-2</c:v>
                </c:pt>
                <c:pt idx="421">
                  <c:v>6.6886666666666664E-2</c:v>
                </c:pt>
                <c:pt idx="422">
                  <c:v>6.6886666666666664E-2</c:v>
                </c:pt>
                <c:pt idx="423">
                  <c:v>6.6886666666666664E-2</c:v>
                </c:pt>
                <c:pt idx="424">
                  <c:v>6.6886666666666664E-2</c:v>
                </c:pt>
                <c:pt idx="425">
                  <c:v>6.6886666666666664E-2</c:v>
                </c:pt>
                <c:pt idx="426">
                  <c:v>6.6886666666666664E-2</c:v>
                </c:pt>
                <c:pt idx="427">
                  <c:v>6.6886666666666664E-2</c:v>
                </c:pt>
                <c:pt idx="428">
                  <c:v>6.6886666666666664E-2</c:v>
                </c:pt>
                <c:pt idx="429">
                  <c:v>6.6886666666666664E-2</c:v>
                </c:pt>
                <c:pt idx="430">
                  <c:v>6.6886666666666664E-2</c:v>
                </c:pt>
                <c:pt idx="431">
                  <c:v>6.6886666666666664E-2</c:v>
                </c:pt>
                <c:pt idx="432">
                  <c:v>6.6886666666666664E-2</c:v>
                </c:pt>
                <c:pt idx="433">
                  <c:v>1.0624666666666666E-2</c:v>
                </c:pt>
                <c:pt idx="434">
                  <c:v>1.0624666666666666E-2</c:v>
                </c:pt>
                <c:pt idx="435">
                  <c:v>1.0624666666666666E-2</c:v>
                </c:pt>
                <c:pt idx="436">
                  <c:v>1.0624666666666666E-2</c:v>
                </c:pt>
                <c:pt idx="437">
                  <c:v>1.0624666666666666E-2</c:v>
                </c:pt>
                <c:pt idx="438">
                  <c:v>1.0624666666666666E-2</c:v>
                </c:pt>
                <c:pt idx="439">
                  <c:v>1.0624666666666666E-2</c:v>
                </c:pt>
                <c:pt idx="440">
                  <c:v>1.0624666666666666E-2</c:v>
                </c:pt>
                <c:pt idx="441">
                  <c:v>1.0624666666666666E-2</c:v>
                </c:pt>
                <c:pt idx="442">
                  <c:v>1.0624666666666666E-2</c:v>
                </c:pt>
                <c:pt idx="443">
                  <c:v>1.0624666666666666E-2</c:v>
                </c:pt>
                <c:pt idx="444">
                  <c:v>1.0624666666666666E-2</c:v>
                </c:pt>
                <c:pt idx="445">
                  <c:v>1.0624666666666666E-2</c:v>
                </c:pt>
                <c:pt idx="446">
                  <c:v>1.0624666666666666E-2</c:v>
                </c:pt>
                <c:pt idx="447">
                  <c:v>1.0624666666666666E-2</c:v>
                </c:pt>
                <c:pt idx="448">
                  <c:v>1.0624666666666666E-2</c:v>
                </c:pt>
                <c:pt idx="449">
                  <c:v>1.0624666666666666E-2</c:v>
                </c:pt>
                <c:pt idx="450">
                  <c:v>1.0624666666666666E-2</c:v>
                </c:pt>
                <c:pt idx="451">
                  <c:v>1.0624666666666666E-2</c:v>
                </c:pt>
                <c:pt idx="452">
                  <c:v>1.0624666666666666E-2</c:v>
                </c:pt>
                <c:pt idx="453">
                  <c:v>1.0624666666666666E-2</c:v>
                </c:pt>
                <c:pt idx="454">
                  <c:v>1.0624666666666666E-2</c:v>
                </c:pt>
                <c:pt idx="455">
                  <c:v>1.0624666666666666E-2</c:v>
                </c:pt>
                <c:pt idx="456">
                  <c:v>1.0624666666666666E-2</c:v>
                </c:pt>
                <c:pt idx="457">
                  <c:v>1.0624666666666666E-2</c:v>
                </c:pt>
                <c:pt idx="458">
                  <c:v>1.0624666666666666E-2</c:v>
                </c:pt>
                <c:pt idx="459">
                  <c:v>1.0624666666666666E-2</c:v>
                </c:pt>
                <c:pt idx="460">
                  <c:v>1.0624666666666666E-2</c:v>
                </c:pt>
                <c:pt idx="461">
                  <c:v>1.0624666666666666E-2</c:v>
                </c:pt>
                <c:pt idx="462">
                  <c:v>1.0624666666666666E-2</c:v>
                </c:pt>
                <c:pt idx="463">
                  <c:v>1.0624666666666666E-2</c:v>
                </c:pt>
                <c:pt idx="464">
                  <c:v>1.0624666666666666E-2</c:v>
                </c:pt>
                <c:pt idx="465">
                  <c:v>1.0624666666666666E-2</c:v>
                </c:pt>
                <c:pt idx="466">
                  <c:v>1.0624666666666666E-2</c:v>
                </c:pt>
                <c:pt idx="467">
                  <c:v>1.0624666666666666E-2</c:v>
                </c:pt>
                <c:pt idx="468">
                  <c:v>1.0624666666666666E-2</c:v>
                </c:pt>
                <c:pt idx="469">
                  <c:v>1.0624666666666666E-2</c:v>
                </c:pt>
                <c:pt idx="470">
                  <c:v>1.0624666666666666E-2</c:v>
                </c:pt>
                <c:pt idx="471">
                  <c:v>1.0624666666666666E-2</c:v>
                </c:pt>
                <c:pt idx="472">
                  <c:v>1.0624666666666666E-2</c:v>
                </c:pt>
                <c:pt idx="473">
                  <c:v>1.0624666666666666E-2</c:v>
                </c:pt>
                <c:pt idx="474">
                  <c:v>1.0624666666666666E-2</c:v>
                </c:pt>
                <c:pt idx="475">
                  <c:v>1.0624666666666666E-2</c:v>
                </c:pt>
                <c:pt idx="476">
                  <c:v>1.0624666666666666E-2</c:v>
                </c:pt>
                <c:pt idx="477">
                  <c:v>1.0624666666666666E-2</c:v>
                </c:pt>
                <c:pt idx="478">
                  <c:v>1.0624666666666666E-2</c:v>
                </c:pt>
                <c:pt idx="479">
                  <c:v>1.0624666666666666E-2</c:v>
                </c:pt>
                <c:pt idx="480">
                  <c:v>1.0624666666666666E-2</c:v>
                </c:pt>
                <c:pt idx="481">
                  <c:v>1.0624666666666666E-2</c:v>
                </c:pt>
                <c:pt idx="482">
                  <c:v>1.0624666666666666E-2</c:v>
                </c:pt>
                <c:pt idx="483">
                  <c:v>1.0624666666666666E-2</c:v>
                </c:pt>
                <c:pt idx="484">
                  <c:v>1.0624666666666666E-2</c:v>
                </c:pt>
                <c:pt idx="485">
                  <c:v>1.0624666666666666E-2</c:v>
                </c:pt>
                <c:pt idx="486">
                  <c:v>1.0624666666666666E-2</c:v>
                </c:pt>
                <c:pt idx="487">
                  <c:v>1.0624666666666666E-2</c:v>
                </c:pt>
                <c:pt idx="488">
                  <c:v>1.0624666666666666E-2</c:v>
                </c:pt>
                <c:pt idx="489">
                  <c:v>1.0624666666666666E-2</c:v>
                </c:pt>
                <c:pt idx="490">
                  <c:v>1.0624666666666666E-2</c:v>
                </c:pt>
                <c:pt idx="491">
                  <c:v>1.0624666666666666E-2</c:v>
                </c:pt>
                <c:pt idx="492">
                  <c:v>0.23818233333333336</c:v>
                </c:pt>
                <c:pt idx="493">
                  <c:v>0.23818233333333336</c:v>
                </c:pt>
                <c:pt idx="494">
                  <c:v>0.23818233333333336</c:v>
                </c:pt>
                <c:pt idx="495">
                  <c:v>0.23818233333333336</c:v>
                </c:pt>
                <c:pt idx="496">
                  <c:v>0.23818233333333336</c:v>
                </c:pt>
                <c:pt idx="497">
                  <c:v>0.23818233333333336</c:v>
                </c:pt>
                <c:pt idx="498">
                  <c:v>0.23818233333333336</c:v>
                </c:pt>
                <c:pt idx="499">
                  <c:v>0.23818233333333336</c:v>
                </c:pt>
                <c:pt idx="500">
                  <c:v>0.23818233333333336</c:v>
                </c:pt>
                <c:pt idx="501">
                  <c:v>0.23818233333333336</c:v>
                </c:pt>
                <c:pt idx="502">
                  <c:v>0.23818233333333336</c:v>
                </c:pt>
                <c:pt idx="503">
                  <c:v>0.23818233333333336</c:v>
                </c:pt>
                <c:pt idx="504">
                  <c:v>0.23818233333333336</c:v>
                </c:pt>
                <c:pt idx="505">
                  <c:v>0.23818233333333336</c:v>
                </c:pt>
                <c:pt idx="506">
                  <c:v>0.23818233333333336</c:v>
                </c:pt>
                <c:pt idx="507">
                  <c:v>0.23818233333333336</c:v>
                </c:pt>
                <c:pt idx="508">
                  <c:v>0.23818233333333336</c:v>
                </c:pt>
                <c:pt idx="509">
                  <c:v>0.23818233333333336</c:v>
                </c:pt>
                <c:pt idx="510">
                  <c:v>0.23818233333333336</c:v>
                </c:pt>
                <c:pt idx="511">
                  <c:v>0.23818233333333336</c:v>
                </c:pt>
                <c:pt idx="512">
                  <c:v>0.23818233333333336</c:v>
                </c:pt>
                <c:pt idx="513">
                  <c:v>0.23818233333333336</c:v>
                </c:pt>
                <c:pt idx="514">
                  <c:v>0.23818233333333336</c:v>
                </c:pt>
                <c:pt idx="515">
                  <c:v>0.23818233333333336</c:v>
                </c:pt>
                <c:pt idx="516">
                  <c:v>0.23818233333333336</c:v>
                </c:pt>
                <c:pt idx="517">
                  <c:v>0.23818233333333336</c:v>
                </c:pt>
                <c:pt idx="518">
                  <c:v>0.23818233333333336</c:v>
                </c:pt>
                <c:pt idx="519">
                  <c:v>0.23818233333333336</c:v>
                </c:pt>
                <c:pt idx="520">
                  <c:v>0.23818233333333336</c:v>
                </c:pt>
                <c:pt idx="521">
                  <c:v>0.23818233333333336</c:v>
                </c:pt>
                <c:pt idx="522">
                  <c:v>0.23818233333333336</c:v>
                </c:pt>
                <c:pt idx="523">
                  <c:v>0.23818233333333336</c:v>
                </c:pt>
                <c:pt idx="524">
                  <c:v>0.23818233333333336</c:v>
                </c:pt>
                <c:pt idx="525">
                  <c:v>0.23818233333333336</c:v>
                </c:pt>
                <c:pt idx="526">
                  <c:v>0.23818233333333336</c:v>
                </c:pt>
                <c:pt idx="527">
                  <c:v>0.23818233333333336</c:v>
                </c:pt>
                <c:pt idx="528">
                  <c:v>0.23818233333333336</c:v>
                </c:pt>
                <c:pt idx="529">
                  <c:v>0.23818233333333336</c:v>
                </c:pt>
                <c:pt idx="530">
                  <c:v>0.23818233333333336</c:v>
                </c:pt>
                <c:pt idx="531">
                  <c:v>0.23818233333333336</c:v>
                </c:pt>
                <c:pt idx="532">
                  <c:v>0.23818233333333336</c:v>
                </c:pt>
                <c:pt idx="533">
                  <c:v>0.23818233333333336</c:v>
                </c:pt>
                <c:pt idx="534">
                  <c:v>0.23818233333333336</c:v>
                </c:pt>
                <c:pt idx="535">
                  <c:v>0.23818233333333336</c:v>
                </c:pt>
                <c:pt idx="536">
                  <c:v>0.23818233333333336</c:v>
                </c:pt>
                <c:pt idx="537">
                  <c:v>0.23818233333333336</c:v>
                </c:pt>
                <c:pt idx="538">
                  <c:v>0.23818233333333336</c:v>
                </c:pt>
                <c:pt idx="539">
                  <c:v>0.23818233333333336</c:v>
                </c:pt>
                <c:pt idx="540">
                  <c:v>0.23818233333333336</c:v>
                </c:pt>
                <c:pt idx="541">
                  <c:v>0.23818233333333336</c:v>
                </c:pt>
                <c:pt idx="542">
                  <c:v>0.23818233333333336</c:v>
                </c:pt>
                <c:pt idx="543">
                  <c:v>0.23818233333333336</c:v>
                </c:pt>
                <c:pt idx="544">
                  <c:v>0.23818233333333336</c:v>
                </c:pt>
                <c:pt idx="545">
                  <c:v>0.23818233333333336</c:v>
                </c:pt>
                <c:pt idx="546">
                  <c:v>0.23818233333333336</c:v>
                </c:pt>
                <c:pt idx="547">
                  <c:v>0.23818233333333336</c:v>
                </c:pt>
                <c:pt idx="548">
                  <c:v>0.23818233333333336</c:v>
                </c:pt>
                <c:pt idx="549">
                  <c:v>0.23818233333333336</c:v>
                </c:pt>
                <c:pt idx="550">
                  <c:v>0.23818233333333336</c:v>
                </c:pt>
                <c:pt idx="551">
                  <c:v>0.23818233333333336</c:v>
                </c:pt>
                <c:pt idx="552">
                  <c:v>0.23818233333333336</c:v>
                </c:pt>
                <c:pt idx="553">
                  <c:v>0.23818233333333336</c:v>
                </c:pt>
                <c:pt idx="554">
                  <c:v>0.23818233333333336</c:v>
                </c:pt>
                <c:pt idx="555">
                  <c:v>0.23818233333333336</c:v>
                </c:pt>
                <c:pt idx="556">
                  <c:v>0.23818233333333336</c:v>
                </c:pt>
                <c:pt idx="557">
                  <c:v>0.23818233333333336</c:v>
                </c:pt>
                <c:pt idx="558">
                  <c:v>0.23818233333333336</c:v>
                </c:pt>
                <c:pt idx="559">
                  <c:v>0.23818233333333336</c:v>
                </c:pt>
                <c:pt idx="560">
                  <c:v>0.23818233333333336</c:v>
                </c:pt>
                <c:pt idx="561">
                  <c:v>0.23818233333333336</c:v>
                </c:pt>
                <c:pt idx="562">
                  <c:v>0.23818233333333336</c:v>
                </c:pt>
                <c:pt idx="563">
                  <c:v>0.23818233333333336</c:v>
                </c:pt>
                <c:pt idx="564">
                  <c:v>0.23818233333333336</c:v>
                </c:pt>
                <c:pt idx="565">
                  <c:v>0.23818233333333336</c:v>
                </c:pt>
                <c:pt idx="566">
                  <c:v>0.23818233333333336</c:v>
                </c:pt>
                <c:pt idx="567">
                  <c:v>0.23818233333333336</c:v>
                </c:pt>
                <c:pt idx="568">
                  <c:v>0.23818233333333336</c:v>
                </c:pt>
                <c:pt idx="569">
                  <c:v>0.23818233333333336</c:v>
                </c:pt>
                <c:pt idx="570">
                  <c:v>0.23818233333333336</c:v>
                </c:pt>
                <c:pt idx="571">
                  <c:v>0.23818233333333336</c:v>
                </c:pt>
                <c:pt idx="572">
                  <c:v>0.23818233333333336</c:v>
                </c:pt>
                <c:pt idx="573">
                  <c:v>0.23818233333333336</c:v>
                </c:pt>
                <c:pt idx="574">
                  <c:v>0.23818233333333336</c:v>
                </c:pt>
                <c:pt idx="575">
                  <c:v>0.23818233333333336</c:v>
                </c:pt>
                <c:pt idx="576">
                  <c:v>0.23818233333333336</c:v>
                </c:pt>
                <c:pt idx="577">
                  <c:v>0.23818233333333336</c:v>
                </c:pt>
                <c:pt idx="578">
                  <c:v>0.23818233333333336</c:v>
                </c:pt>
                <c:pt idx="579">
                  <c:v>0.23818233333333336</c:v>
                </c:pt>
                <c:pt idx="580">
                  <c:v>0.23818233333333336</c:v>
                </c:pt>
                <c:pt idx="581">
                  <c:v>0.23818233333333336</c:v>
                </c:pt>
                <c:pt idx="582">
                  <c:v>0.23818233333333336</c:v>
                </c:pt>
                <c:pt idx="583">
                  <c:v>0.23818233333333336</c:v>
                </c:pt>
                <c:pt idx="584">
                  <c:v>0.23818233333333336</c:v>
                </c:pt>
                <c:pt idx="585">
                  <c:v>0.23818233333333336</c:v>
                </c:pt>
                <c:pt idx="586">
                  <c:v>0.23818233333333336</c:v>
                </c:pt>
                <c:pt idx="587">
                  <c:v>0.23818233333333336</c:v>
                </c:pt>
                <c:pt idx="588">
                  <c:v>0.23818233333333336</c:v>
                </c:pt>
                <c:pt idx="589">
                  <c:v>0.23818233333333336</c:v>
                </c:pt>
                <c:pt idx="590">
                  <c:v>0.23818233333333336</c:v>
                </c:pt>
                <c:pt idx="591">
                  <c:v>0.23818233333333336</c:v>
                </c:pt>
                <c:pt idx="592">
                  <c:v>0.23818233333333336</c:v>
                </c:pt>
                <c:pt idx="593">
                  <c:v>0.23818233333333336</c:v>
                </c:pt>
                <c:pt idx="594">
                  <c:v>0.23818233333333336</c:v>
                </c:pt>
                <c:pt idx="595">
                  <c:v>0.23818233333333336</c:v>
                </c:pt>
                <c:pt idx="596">
                  <c:v>0.23818233333333336</c:v>
                </c:pt>
                <c:pt idx="597">
                  <c:v>0.23818233333333336</c:v>
                </c:pt>
                <c:pt idx="598">
                  <c:v>0.23818233333333336</c:v>
                </c:pt>
                <c:pt idx="599">
                  <c:v>0.23818233333333336</c:v>
                </c:pt>
                <c:pt idx="600">
                  <c:v>0.23818233333333336</c:v>
                </c:pt>
                <c:pt idx="601">
                  <c:v>0.23818233333333336</c:v>
                </c:pt>
                <c:pt idx="602">
                  <c:v>0.23818233333333336</c:v>
                </c:pt>
                <c:pt idx="603">
                  <c:v>0.23818233333333336</c:v>
                </c:pt>
                <c:pt idx="604">
                  <c:v>0.23818233333333336</c:v>
                </c:pt>
                <c:pt idx="605">
                  <c:v>0.23818233333333336</c:v>
                </c:pt>
                <c:pt idx="606">
                  <c:v>0.23818233333333336</c:v>
                </c:pt>
                <c:pt idx="607">
                  <c:v>0.23818233333333336</c:v>
                </c:pt>
                <c:pt idx="608">
                  <c:v>0.23818233333333336</c:v>
                </c:pt>
                <c:pt idx="609">
                  <c:v>0.23818233333333336</c:v>
                </c:pt>
                <c:pt idx="610">
                  <c:v>0.23818233333333336</c:v>
                </c:pt>
                <c:pt idx="611">
                  <c:v>0.23818233333333336</c:v>
                </c:pt>
                <c:pt idx="612">
                  <c:v>0.23818233333333336</c:v>
                </c:pt>
                <c:pt idx="613">
                  <c:v>0.23818233333333336</c:v>
                </c:pt>
                <c:pt idx="614">
                  <c:v>0.23818233333333336</c:v>
                </c:pt>
                <c:pt idx="615">
                  <c:v>0.23818233333333336</c:v>
                </c:pt>
                <c:pt idx="616">
                  <c:v>0.23818233333333336</c:v>
                </c:pt>
                <c:pt idx="617">
                  <c:v>0.23818233333333336</c:v>
                </c:pt>
                <c:pt idx="618">
                  <c:v>0.23818233333333336</c:v>
                </c:pt>
                <c:pt idx="619">
                  <c:v>0.23818233333333336</c:v>
                </c:pt>
                <c:pt idx="620">
                  <c:v>0.23818233333333336</c:v>
                </c:pt>
                <c:pt idx="621">
                  <c:v>0.27756833333333331</c:v>
                </c:pt>
                <c:pt idx="622">
                  <c:v>0.27756833333333331</c:v>
                </c:pt>
                <c:pt idx="623">
                  <c:v>0.27756833333333331</c:v>
                </c:pt>
                <c:pt idx="624">
                  <c:v>0.27756833333333331</c:v>
                </c:pt>
                <c:pt idx="625">
                  <c:v>0.27756833333333331</c:v>
                </c:pt>
                <c:pt idx="626">
                  <c:v>0.27756833333333331</c:v>
                </c:pt>
                <c:pt idx="627">
                  <c:v>0.27756833333333331</c:v>
                </c:pt>
                <c:pt idx="628">
                  <c:v>0.27756833333333331</c:v>
                </c:pt>
                <c:pt idx="629">
                  <c:v>0.27756833333333331</c:v>
                </c:pt>
                <c:pt idx="630">
                  <c:v>0.27756833333333331</c:v>
                </c:pt>
                <c:pt idx="631">
                  <c:v>0.27756833333333331</c:v>
                </c:pt>
                <c:pt idx="632">
                  <c:v>0.27756833333333331</c:v>
                </c:pt>
                <c:pt idx="633">
                  <c:v>0.27756833333333331</c:v>
                </c:pt>
                <c:pt idx="634">
                  <c:v>0.27756833333333331</c:v>
                </c:pt>
                <c:pt idx="635">
                  <c:v>0.27756833333333331</c:v>
                </c:pt>
                <c:pt idx="636">
                  <c:v>0.27756833333333331</c:v>
                </c:pt>
                <c:pt idx="637">
                  <c:v>0.27756833333333331</c:v>
                </c:pt>
                <c:pt idx="638">
                  <c:v>0.27756833333333331</c:v>
                </c:pt>
                <c:pt idx="639">
                  <c:v>0.27756833333333331</c:v>
                </c:pt>
                <c:pt idx="640">
                  <c:v>0.27756833333333331</c:v>
                </c:pt>
                <c:pt idx="641">
                  <c:v>0.27756833333333331</c:v>
                </c:pt>
                <c:pt idx="642">
                  <c:v>0.27756833333333331</c:v>
                </c:pt>
                <c:pt idx="643">
                  <c:v>0.27756833333333331</c:v>
                </c:pt>
                <c:pt idx="644">
                  <c:v>0.27756833333333331</c:v>
                </c:pt>
                <c:pt idx="645">
                  <c:v>0.27756833333333331</c:v>
                </c:pt>
                <c:pt idx="646">
                  <c:v>0.27756833333333331</c:v>
                </c:pt>
                <c:pt idx="647">
                  <c:v>0.27756833333333331</c:v>
                </c:pt>
                <c:pt idx="648">
                  <c:v>0.27756833333333331</c:v>
                </c:pt>
                <c:pt idx="649">
                  <c:v>0.27756833333333331</c:v>
                </c:pt>
                <c:pt idx="650">
                  <c:v>0.27756833333333331</c:v>
                </c:pt>
                <c:pt idx="651">
                  <c:v>0.221264232960907</c:v>
                </c:pt>
                <c:pt idx="652">
                  <c:v>0.221264232960907</c:v>
                </c:pt>
                <c:pt idx="653">
                  <c:v>0.221264232960907</c:v>
                </c:pt>
                <c:pt idx="654">
                  <c:v>0.221264232960907</c:v>
                </c:pt>
                <c:pt idx="655">
                  <c:v>0.221264232960907</c:v>
                </c:pt>
                <c:pt idx="656">
                  <c:v>0.221264232960907</c:v>
                </c:pt>
                <c:pt idx="657">
                  <c:v>0.221264232960907</c:v>
                </c:pt>
                <c:pt idx="658">
                  <c:v>0.221264232960907</c:v>
                </c:pt>
                <c:pt idx="659">
                  <c:v>0.221264232960907</c:v>
                </c:pt>
                <c:pt idx="660">
                  <c:v>0.221264232960907</c:v>
                </c:pt>
                <c:pt idx="661">
                  <c:v>0.221264232960907</c:v>
                </c:pt>
                <c:pt idx="662">
                  <c:v>0.221264232960907</c:v>
                </c:pt>
                <c:pt idx="663">
                  <c:v>0.221264232960907</c:v>
                </c:pt>
                <c:pt idx="664">
                  <c:v>0.221264232960907</c:v>
                </c:pt>
                <c:pt idx="665">
                  <c:v>0.221264232960907</c:v>
                </c:pt>
                <c:pt idx="666">
                  <c:v>0.221264232960907</c:v>
                </c:pt>
                <c:pt idx="667">
                  <c:v>0.221264232960907</c:v>
                </c:pt>
                <c:pt idx="668">
                  <c:v>0.221264232960907</c:v>
                </c:pt>
                <c:pt idx="669">
                  <c:v>0.221264232960907</c:v>
                </c:pt>
                <c:pt idx="670">
                  <c:v>0.221264232960907</c:v>
                </c:pt>
                <c:pt idx="671">
                  <c:v>0.221264232960907</c:v>
                </c:pt>
                <c:pt idx="672">
                  <c:v>0.221264232960907</c:v>
                </c:pt>
                <c:pt idx="673">
                  <c:v>0.221264232960907</c:v>
                </c:pt>
                <c:pt idx="674">
                  <c:v>0.221264232960907</c:v>
                </c:pt>
                <c:pt idx="675">
                  <c:v>0.221264232960907</c:v>
                </c:pt>
                <c:pt idx="676">
                  <c:v>0.221264232960907</c:v>
                </c:pt>
                <c:pt idx="677">
                  <c:v>0.221264232960907</c:v>
                </c:pt>
                <c:pt idx="678">
                  <c:v>0.221264232960907</c:v>
                </c:pt>
                <c:pt idx="679">
                  <c:v>0.221264232960907</c:v>
                </c:pt>
                <c:pt idx="680">
                  <c:v>0.221264232960907</c:v>
                </c:pt>
                <c:pt idx="681">
                  <c:v>0.221264232960907</c:v>
                </c:pt>
                <c:pt idx="682">
                  <c:v>0.221264232960907</c:v>
                </c:pt>
                <c:pt idx="683">
                  <c:v>0.221264232960907</c:v>
                </c:pt>
                <c:pt idx="684">
                  <c:v>0.221264232960907</c:v>
                </c:pt>
                <c:pt idx="685">
                  <c:v>0.221264232960907</c:v>
                </c:pt>
                <c:pt idx="686">
                  <c:v>0.221264232960907</c:v>
                </c:pt>
                <c:pt idx="687">
                  <c:v>0.221264232960907</c:v>
                </c:pt>
                <c:pt idx="688">
                  <c:v>0.221264232960907</c:v>
                </c:pt>
                <c:pt idx="689">
                  <c:v>0.221264232960907</c:v>
                </c:pt>
                <c:pt idx="690">
                  <c:v>0.221264232960907</c:v>
                </c:pt>
                <c:pt idx="691">
                  <c:v>0.221264232960907</c:v>
                </c:pt>
                <c:pt idx="692">
                  <c:v>0.221264232960907</c:v>
                </c:pt>
                <c:pt idx="693">
                  <c:v>0.221264232960907</c:v>
                </c:pt>
                <c:pt idx="694">
                  <c:v>0.221264232960907</c:v>
                </c:pt>
                <c:pt idx="695">
                  <c:v>0.221264232960907</c:v>
                </c:pt>
                <c:pt idx="696">
                  <c:v>0.221264232960907</c:v>
                </c:pt>
                <c:pt idx="697">
                  <c:v>0.221264232960907</c:v>
                </c:pt>
                <c:pt idx="698">
                  <c:v>0.221264232960907</c:v>
                </c:pt>
                <c:pt idx="699">
                  <c:v>0.221264232960907</c:v>
                </c:pt>
                <c:pt idx="700">
                  <c:v>0.221264232960907</c:v>
                </c:pt>
                <c:pt idx="701">
                  <c:v>0.221264232960907</c:v>
                </c:pt>
                <c:pt idx="702">
                  <c:v>0.221264232960907</c:v>
                </c:pt>
                <c:pt idx="703">
                  <c:v>0.221264232960907</c:v>
                </c:pt>
                <c:pt idx="704">
                  <c:v>0.221264232960907</c:v>
                </c:pt>
                <c:pt idx="705">
                  <c:v>0.221264232960907</c:v>
                </c:pt>
                <c:pt idx="706">
                  <c:v>0.221264232960907</c:v>
                </c:pt>
                <c:pt idx="707">
                  <c:v>0.221264232960907</c:v>
                </c:pt>
                <c:pt idx="708">
                  <c:v>0.221264232960907</c:v>
                </c:pt>
                <c:pt idx="709">
                  <c:v>0.221264232960907</c:v>
                </c:pt>
                <c:pt idx="710">
                  <c:v>0.221264232960907</c:v>
                </c:pt>
                <c:pt idx="711">
                  <c:v>0.221264232960907</c:v>
                </c:pt>
                <c:pt idx="712">
                  <c:v>0.221264232960907</c:v>
                </c:pt>
                <c:pt idx="713">
                  <c:v>0.221264232960907</c:v>
                </c:pt>
                <c:pt idx="714">
                  <c:v>0.221264232960907</c:v>
                </c:pt>
                <c:pt idx="715">
                  <c:v>0.221264232960907</c:v>
                </c:pt>
                <c:pt idx="716">
                  <c:v>0.221264232960907</c:v>
                </c:pt>
                <c:pt idx="717">
                  <c:v>0.221264232960907</c:v>
                </c:pt>
                <c:pt idx="718">
                  <c:v>0.221264232960907</c:v>
                </c:pt>
                <c:pt idx="719">
                  <c:v>0.221264232960907</c:v>
                </c:pt>
                <c:pt idx="720">
                  <c:v>0.221264232960907</c:v>
                </c:pt>
                <c:pt idx="721">
                  <c:v>0.221264232960907</c:v>
                </c:pt>
                <c:pt idx="722">
                  <c:v>0.221264232960907</c:v>
                </c:pt>
                <c:pt idx="723">
                  <c:v>0.18237166666666668</c:v>
                </c:pt>
                <c:pt idx="724">
                  <c:v>0.18237166666666668</c:v>
                </c:pt>
                <c:pt idx="725">
                  <c:v>0.18237166666666668</c:v>
                </c:pt>
                <c:pt idx="726">
                  <c:v>0.18237166666666668</c:v>
                </c:pt>
                <c:pt idx="727">
                  <c:v>0.18237166666666668</c:v>
                </c:pt>
                <c:pt idx="728">
                  <c:v>0.18237166666666668</c:v>
                </c:pt>
                <c:pt idx="729">
                  <c:v>0.18237166666666668</c:v>
                </c:pt>
                <c:pt idx="730">
                  <c:v>0.18237166666666668</c:v>
                </c:pt>
                <c:pt idx="731">
                  <c:v>0.18237166666666668</c:v>
                </c:pt>
                <c:pt idx="732">
                  <c:v>0.18237166666666668</c:v>
                </c:pt>
                <c:pt idx="733">
                  <c:v>0.18237166666666668</c:v>
                </c:pt>
                <c:pt idx="734">
                  <c:v>0.18237166666666668</c:v>
                </c:pt>
                <c:pt idx="735">
                  <c:v>0.18237166666666668</c:v>
                </c:pt>
                <c:pt idx="736">
                  <c:v>0.18237166666666668</c:v>
                </c:pt>
                <c:pt idx="737">
                  <c:v>0.18237166666666668</c:v>
                </c:pt>
                <c:pt idx="738">
                  <c:v>0.18237166666666668</c:v>
                </c:pt>
                <c:pt idx="739">
                  <c:v>0.18237166666666668</c:v>
                </c:pt>
                <c:pt idx="740">
                  <c:v>0.18237166666666668</c:v>
                </c:pt>
                <c:pt idx="741">
                  <c:v>0.18237166666666668</c:v>
                </c:pt>
                <c:pt idx="742">
                  <c:v>0.18237166666666668</c:v>
                </c:pt>
                <c:pt idx="743">
                  <c:v>0.18237166666666668</c:v>
                </c:pt>
                <c:pt idx="744">
                  <c:v>0.18237166666666668</c:v>
                </c:pt>
                <c:pt idx="745">
                  <c:v>0.18237166666666668</c:v>
                </c:pt>
                <c:pt idx="746">
                  <c:v>0.18237166666666668</c:v>
                </c:pt>
                <c:pt idx="747">
                  <c:v>0.18237166666666668</c:v>
                </c:pt>
                <c:pt idx="748">
                  <c:v>0.18237166666666668</c:v>
                </c:pt>
                <c:pt idx="749">
                  <c:v>0.18237166666666668</c:v>
                </c:pt>
                <c:pt idx="750">
                  <c:v>0.18237166666666668</c:v>
                </c:pt>
                <c:pt idx="751">
                  <c:v>0.18237166666666668</c:v>
                </c:pt>
                <c:pt idx="752">
                  <c:v>0.18237166666666668</c:v>
                </c:pt>
                <c:pt idx="753">
                  <c:v>0.18237166666666668</c:v>
                </c:pt>
                <c:pt idx="754">
                  <c:v>0.18237166666666668</c:v>
                </c:pt>
                <c:pt idx="755">
                  <c:v>0.18237166666666668</c:v>
                </c:pt>
                <c:pt idx="756">
                  <c:v>0.18237166666666668</c:v>
                </c:pt>
                <c:pt idx="757">
                  <c:v>0.18237166666666668</c:v>
                </c:pt>
                <c:pt idx="758">
                  <c:v>0.18237166666666668</c:v>
                </c:pt>
                <c:pt idx="759">
                  <c:v>0.18237166666666668</c:v>
                </c:pt>
                <c:pt idx="760">
                  <c:v>0.18237166666666668</c:v>
                </c:pt>
                <c:pt idx="761">
                  <c:v>0.20364166666666667</c:v>
                </c:pt>
                <c:pt idx="762">
                  <c:v>0.20364166666666667</c:v>
                </c:pt>
                <c:pt idx="763">
                  <c:v>0.20364166666666667</c:v>
                </c:pt>
                <c:pt idx="764">
                  <c:v>0.20364166666666667</c:v>
                </c:pt>
                <c:pt idx="765">
                  <c:v>0.20364166666666667</c:v>
                </c:pt>
                <c:pt idx="766">
                  <c:v>0.20364166666666667</c:v>
                </c:pt>
                <c:pt idx="767">
                  <c:v>0.20364166666666667</c:v>
                </c:pt>
                <c:pt idx="768">
                  <c:v>0.20364166666666667</c:v>
                </c:pt>
                <c:pt idx="769">
                  <c:v>0.20364166666666667</c:v>
                </c:pt>
                <c:pt idx="770">
                  <c:v>0.21314966666666668</c:v>
                </c:pt>
                <c:pt idx="771">
                  <c:v>0.21314966666666668</c:v>
                </c:pt>
                <c:pt idx="772">
                  <c:v>0.21314966666666668</c:v>
                </c:pt>
                <c:pt idx="773">
                  <c:v>0.21314966666666668</c:v>
                </c:pt>
                <c:pt idx="774">
                  <c:v>0.21314966666666668</c:v>
                </c:pt>
                <c:pt idx="775">
                  <c:v>0.21314966666666668</c:v>
                </c:pt>
                <c:pt idx="776">
                  <c:v>0.21314966666666668</c:v>
                </c:pt>
                <c:pt idx="777">
                  <c:v>0.21314966666666668</c:v>
                </c:pt>
                <c:pt idx="778">
                  <c:v>0.21314966666666668</c:v>
                </c:pt>
                <c:pt idx="779">
                  <c:v>0.21314966666666668</c:v>
                </c:pt>
                <c:pt idx="780">
                  <c:v>0.21314966666666668</c:v>
                </c:pt>
                <c:pt idx="781">
                  <c:v>0.21314966666666668</c:v>
                </c:pt>
                <c:pt idx="782">
                  <c:v>0.21314966666666668</c:v>
                </c:pt>
                <c:pt idx="783">
                  <c:v>0.21314966666666668</c:v>
                </c:pt>
                <c:pt idx="784">
                  <c:v>0.21314966666666668</c:v>
                </c:pt>
                <c:pt idx="785">
                  <c:v>0.21314966666666668</c:v>
                </c:pt>
                <c:pt idx="786">
                  <c:v>0.21314966666666668</c:v>
                </c:pt>
                <c:pt idx="787">
                  <c:v>0.21314966666666668</c:v>
                </c:pt>
                <c:pt idx="788">
                  <c:v>0.21314966666666668</c:v>
                </c:pt>
                <c:pt idx="789">
                  <c:v>0.21314966666666668</c:v>
                </c:pt>
                <c:pt idx="790">
                  <c:v>0.21314966666666668</c:v>
                </c:pt>
                <c:pt idx="791">
                  <c:v>0.20707500000000001</c:v>
                </c:pt>
                <c:pt idx="792">
                  <c:v>0.20707500000000001</c:v>
                </c:pt>
                <c:pt idx="793">
                  <c:v>0.20707500000000001</c:v>
                </c:pt>
                <c:pt idx="794">
                  <c:v>0.20707500000000001</c:v>
                </c:pt>
                <c:pt idx="795">
                  <c:v>0.20707500000000001</c:v>
                </c:pt>
                <c:pt idx="796">
                  <c:v>0.20707500000000001</c:v>
                </c:pt>
                <c:pt idx="797">
                  <c:v>0.20707500000000001</c:v>
                </c:pt>
                <c:pt idx="798">
                  <c:v>0.20707500000000001</c:v>
                </c:pt>
                <c:pt idx="799">
                  <c:v>0.20707500000000001</c:v>
                </c:pt>
                <c:pt idx="800">
                  <c:v>0.20707500000000001</c:v>
                </c:pt>
                <c:pt idx="801">
                  <c:v>0.20707500000000001</c:v>
                </c:pt>
                <c:pt idx="802">
                  <c:v>0.20707500000000001</c:v>
                </c:pt>
                <c:pt idx="803">
                  <c:v>0.20707500000000001</c:v>
                </c:pt>
                <c:pt idx="804">
                  <c:v>0.20707500000000001</c:v>
                </c:pt>
                <c:pt idx="805">
                  <c:v>0.20707500000000001</c:v>
                </c:pt>
                <c:pt idx="806">
                  <c:v>0.20707500000000001</c:v>
                </c:pt>
                <c:pt idx="807">
                  <c:v>0.20707500000000001</c:v>
                </c:pt>
                <c:pt idx="808">
                  <c:v>0.20707500000000001</c:v>
                </c:pt>
                <c:pt idx="809">
                  <c:v>0.20707500000000001</c:v>
                </c:pt>
                <c:pt idx="810">
                  <c:v>0.20707500000000001</c:v>
                </c:pt>
                <c:pt idx="811">
                  <c:v>0.20707500000000001</c:v>
                </c:pt>
                <c:pt idx="812">
                  <c:v>0.20707500000000001</c:v>
                </c:pt>
                <c:pt idx="813">
                  <c:v>0.20707500000000001</c:v>
                </c:pt>
                <c:pt idx="814">
                  <c:v>0.20707500000000001</c:v>
                </c:pt>
                <c:pt idx="815">
                  <c:v>0.20707500000000001</c:v>
                </c:pt>
                <c:pt idx="816">
                  <c:v>0.20707500000000001</c:v>
                </c:pt>
                <c:pt idx="817">
                  <c:v>0.20707500000000001</c:v>
                </c:pt>
                <c:pt idx="818">
                  <c:v>0.20707500000000001</c:v>
                </c:pt>
                <c:pt idx="819">
                  <c:v>0.20707500000000001</c:v>
                </c:pt>
                <c:pt idx="820">
                  <c:v>0.20707500000000001</c:v>
                </c:pt>
                <c:pt idx="821">
                  <c:v>0.20707500000000001</c:v>
                </c:pt>
                <c:pt idx="822">
                  <c:v>0.20707500000000001</c:v>
                </c:pt>
                <c:pt idx="823">
                  <c:v>0.20707500000000001</c:v>
                </c:pt>
                <c:pt idx="824">
                  <c:v>0.20707500000000001</c:v>
                </c:pt>
                <c:pt idx="825">
                  <c:v>0.20707500000000001</c:v>
                </c:pt>
                <c:pt idx="826">
                  <c:v>0.20707500000000001</c:v>
                </c:pt>
                <c:pt idx="827">
                  <c:v>0.20707500000000001</c:v>
                </c:pt>
                <c:pt idx="828">
                  <c:v>0.20707500000000001</c:v>
                </c:pt>
                <c:pt idx="829">
                  <c:v>0.20707500000000001</c:v>
                </c:pt>
                <c:pt idx="830">
                  <c:v>0.18726333333333334</c:v>
                </c:pt>
                <c:pt idx="831">
                  <c:v>0.18726333333333334</c:v>
                </c:pt>
                <c:pt idx="832">
                  <c:v>0.18726333333333334</c:v>
                </c:pt>
                <c:pt idx="833">
                  <c:v>0.18726333333333334</c:v>
                </c:pt>
                <c:pt idx="834">
                  <c:v>0.18726333333333334</c:v>
                </c:pt>
                <c:pt idx="835">
                  <c:v>0.18726333333333334</c:v>
                </c:pt>
                <c:pt idx="836">
                  <c:v>0.18726333333333334</c:v>
                </c:pt>
                <c:pt idx="837">
                  <c:v>0.18726333333333334</c:v>
                </c:pt>
                <c:pt idx="838">
                  <c:v>0.18726333333333334</c:v>
                </c:pt>
                <c:pt idx="839">
                  <c:v>0.18726333333333334</c:v>
                </c:pt>
                <c:pt idx="840">
                  <c:v>0.18726333333333334</c:v>
                </c:pt>
                <c:pt idx="841">
                  <c:v>0.18726333333333334</c:v>
                </c:pt>
                <c:pt idx="842">
                  <c:v>0.18726333333333334</c:v>
                </c:pt>
                <c:pt idx="843">
                  <c:v>0.18726333333333334</c:v>
                </c:pt>
                <c:pt idx="844">
                  <c:v>0.18726333333333334</c:v>
                </c:pt>
                <c:pt idx="845">
                  <c:v>0.18726333333333334</c:v>
                </c:pt>
                <c:pt idx="846">
                  <c:v>0.18726333333333334</c:v>
                </c:pt>
                <c:pt idx="847">
                  <c:v>0.18726333333333334</c:v>
                </c:pt>
                <c:pt idx="848">
                  <c:v>0.18726333333333334</c:v>
                </c:pt>
                <c:pt idx="849">
                  <c:v>0.18726333333333334</c:v>
                </c:pt>
                <c:pt idx="850">
                  <c:v>0.18726333333333334</c:v>
                </c:pt>
                <c:pt idx="851">
                  <c:v>0.18726333333333334</c:v>
                </c:pt>
                <c:pt idx="852">
                  <c:v>0.18726333333333334</c:v>
                </c:pt>
                <c:pt idx="853">
                  <c:v>0.18726333333333334</c:v>
                </c:pt>
                <c:pt idx="854">
                  <c:v>0.18726333333333334</c:v>
                </c:pt>
                <c:pt idx="855">
                  <c:v>0.18726333333333334</c:v>
                </c:pt>
                <c:pt idx="856">
                  <c:v>0.18726333333333334</c:v>
                </c:pt>
                <c:pt idx="857">
                  <c:v>0.18726333333333334</c:v>
                </c:pt>
                <c:pt idx="858">
                  <c:v>0.18726333333333334</c:v>
                </c:pt>
                <c:pt idx="859">
                  <c:v>0.18726333333333334</c:v>
                </c:pt>
                <c:pt idx="860">
                  <c:v>0.18726333333333334</c:v>
                </c:pt>
                <c:pt idx="861">
                  <c:v>0.18726333333333334</c:v>
                </c:pt>
                <c:pt idx="862">
                  <c:v>0.18726333333333334</c:v>
                </c:pt>
                <c:pt idx="863">
                  <c:v>0.10406399999999999</c:v>
                </c:pt>
                <c:pt idx="864">
                  <c:v>0.10406399999999999</c:v>
                </c:pt>
                <c:pt idx="865">
                  <c:v>0.10406399999999999</c:v>
                </c:pt>
                <c:pt idx="866">
                  <c:v>0.10406399999999999</c:v>
                </c:pt>
                <c:pt idx="867">
                  <c:v>0.10406399999999999</c:v>
                </c:pt>
                <c:pt idx="868">
                  <c:v>0.10406399999999999</c:v>
                </c:pt>
                <c:pt idx="869">
                  <c:v>0.10406399999999999</c:v>
                </c:pt>
                <c:pt idx="870">
                  <c:v>0.10406399999999999</c:v>
                </c:pt>
                <c:pt idx="871">
                  <c:v>0.10406399999999999</c:v>
                </c:pt>
                <c:pt idx="872">
                  <c:v>0.10406399999999999</c:v>
                </c:pt>
                <c:pt idx="873">
                  <c:v>0.10406399999999999</c:v>
                </c:pt>
                <c:pt idx="874">
                  <c:v>0.10406399999999999</c:v>
                </c:pt>
                <c:pt idx="875">
                  <c:v>0.10406399999999999</c:v>
                </c:pt>
                <c:pt idx="876">
                  <c:v>0.10406399999999999</c:v>
                </c:pt>
                <c:pt idx="877">
                  <c:v>0.10406399999999999</c:v>
                </c:pt>
                <c:pt idx="878">
                  <c:v>0.10406399999999999</c:v>
                </c:pt>
                <c:pt idx="879">
                  <c:v>0.10406399999999999</c:v>
                </c:pt>
                <c:pt idx="880">
                  <c:v>0.10406399999999999</c:v>
                </c:pt>
                <c:pt idx="881">
                  <c:v>0.10406399999999999</c:v>
                </c:pt>
                <c:pt idx="882">
                  <c:v>0.10406399999999999</c:v>
                </c:pt>
                <c:pt idx="883">
                  <c:v>0.10406399999999999</c:v>
                </c:pt>
                <c:pt idx="884">
                  <c:v>0.10406399999999999</c:v>
                </c:pt>
                <c:pt idx="885">
                  <c:v>0.10406399999999999</c:v>
                </c:pt>
                <c:pt idx="886">
                  <c:v>0.10406399999999999</c:v>
                </c:pt>
                <c:pt idx="887">
                  <c:v>0.10406399999999999</c:v>
                </c:pt>
                <c:pt idx="888">
                  <c:v>0.10406399999999999</c:v>
                </c:pt>
                <c:pt idx="889">
                  <c:v>0.10406399999999999</c:v>
                </c:pt>
                <c:pt idx="890">
                  <c:v>0.10406399999999999</c:v>
                </c:pt>
                <c:pt idx="891">
                  <c:v>0.10406399999999999</c:v>
                </c:pt>
                <c:pt idx="892">
                  <c:v>0.10406399999999999</c:v>
                </c:pt>
                <c:pt idx="893">
                  <c:v>0.10406399999999999</c:v>
                </c:pt>
                <c:pt idx="894">
                  <c:v>0.10406399999999999</c:v>
                </c:pt>
                <c:pt idx="895">
                  <c:v>0.10406399999999999</c:v>
                </c:pt>
                <c:pt idx="896">
                  <c:v>0.10406399999999999</c:v>
                </c:pt>
                <c:pt idx="897">
                  <c:v>0.10406399999999999</c:v>
                </c:pt>
                <c:pt idx="898">
                  <c:v>0.10406399999999999</c:v>
                </c:pt>
                <c:pt idx="899">
                  <c:v>0.10406399999999999</c:v>
                </c:pt>
                <c:pt idx="900">
                  <c:v>0.10406399999999999</c:v>
                </c:pt>
                <c:pt idx="901">
                  <c:v>0.10406399999999999</c:v>
                </c:pt>
                <c:pt idx="902">
                  <c:v>0.10406399999999999</c:v>
                </c:pt>
                <c:pt idx="903">
                  <c:v>0.10406399999999999</c:v>
                </c:pt>
                <c:pt idx="904">
                  <c:v>0.10406399999999999</c:v>
                </c:pt>
                <c:pt idx="905">
                  <c:v>0.10406399999999999</c:v>
                </c:pt>
                <c:pt idx="906">
                  <c:v>0.10406399999999999</c:v>
                </c:pt>
                <c:pt idx="907">
                  <c:v>0.10406399999999999</c:v>
                </c:pt>
                <c:pt idx="908">
                  <c:v>0.10406399999999999</c:v>
                </c:pt>
                <c:pt idx="909">
                  <c:v>0.10406399999999999</c:v>
                </c:pt>
                <c:pt idx="910">
                  <c:v>0.10406399999999999</c:v>
                </c:pt>
                <c:pt idx="911">
                  <c:v>0.10406399999999999</c:v>
                </c:pt>
                <c:pt idx="912">
                  <c:v>0.10406399999999999</c:v>
                </c:pt>
                <c:pt idx="913">
                  <c:v>0.10406399999999999</c:v>
                </c:pt>
                <c:pt idx="914">
                  <c:v>0.10406399999999999</c:v>
                </c:pt>
                <c:pt idx="915">
                  <c:v>0.10406399999999999</c:v>
                </c:pt>
                <c:pt idx="916">
                  <c:v>0.10406399999999999</c:v>
                </c:pt>
                <c:pt idx="917">
                  <c:v>0.10406399999999999</c:v>
                </c:pt>
                <c:pt idx="918">
                  <c:v>0.10406399999999999</c:v>
                </c:pt>
                <c:pt idx="919">
                  <c:v>0.10406399999999999</c:v>
                </c:pt>
                <c:pt idx="920">
                  <c:v>0.10406399999999999</c:v>
                </c:pt>
                <c:pt idx="921">
                  <c:v>0.10406399999999999</c:v>
                </c:pt>
                <c:pt idx="922">
                  <c:v>0.10406399999999999</c:v>
                </c:pt>
                <c:pt idx="923">
                  <c:v>0.10406399999999999</c:v>
                </c:pt>
                <c:pt idx="924">
                  <c:v>0.10406399999999999</c:v>
                </c:pt>
                <c:pt idx="925">
                  <c:v>0.10406399999999999</c:v>
                </c:pt>
                <c:pt idx="926">
                  <c:v>0.10406399999999999</c:v>
                </c:pt>
                <c:pt idx="927">
                  <c:v>0.10406399999999999</c:v>
                </c:pt>
                <c:pt idx="928">
                  <c:v>0.10406399999999999</c:v>
                </c:pt>
                <c:pt idx="929">
                  <c:v>0.10406399999999999</c:v>
                </c:pt>
                <c:pt idx="930">
                  <c:v>0.10406399999999999</c:v>
                </c:pt>
                <c:pt idx="931">
                  <c:v>0.10406399999999999</c:v>
                </c:pt>
                <c:pt idx="932">
                  <c:v>0.10406399999999999</c:v>
                </c:pt>
                <c:pt idx="933">
                  <c:v>0.10406399999999999</c:v>
                </c:pt>
                <c:pt idx="934">
                  <c:v>0.10406399999999999</c:v>
                </c:pt>
                <c:pt idx="935">
                  <c:v>0.10406399999999999</c:v>
                </c:pt>
                <c:pt idx="936">
                  <c:v>0.10406399999999999</c:v>
                </c:pt>
                <c:pt idx="937">
                  <c:v>0.10406399999999999</c:v>
                </c:pt>
                <c:pt idx="938">
                  <c:v>0.10406399999999999</c:v>
                </c:pt>
                <c:pt idx="939">
                  <c:v>0.10406399999999999</c:v>
                </c:pt>
                <c:pt idx="940">
                  <c:v>0.10406399999999999</c:v>
                </c:pt>
                <c:pt idx="941">
                  <c:v>0.10406399999999999</c:v>
                </c:pt>
                <c:pt idx="942">
                  <c:v>0.10406399999999999</c:v>
                </c:pt>
                <c:pt idx="943">
                  <c:v>0.10406399999999999</c:v>
                </c:pt>
                <c:pt idx="944">
                  <c:v>0.10406399999999999</c:v>
                </c:pt>
                <c:pt idx="945">
                  <c:v>0.10406399999999999</c:v>
                </c:pt>
                <c:pt idx="946">
                  <c:v>0.10406399999999999</c:v>
                </c:pt>
                <c:pt idx="947">
                  <c:v>0.10406399999999999</c:v>
                </c:pt>
                <c:pt idx="948">
                  <c:v>0.10406399999999999</c:v>
                </c:pt>
                <c:pt idx="949">
                  <c:v>0.10406399999999999</c:v>
                </c:pt>
                <c:pt idx="950">
                  <c:v>0.10406399999999999</c:v>
                </c:pt>
                <c:pt idx="951">
                  <c:v>0.10406399999999999</c:v>
                </c:pt>
                <c:pt idx="952">
                  <c:v>0.10406399999999999</c:v>
                </c:pt>
                <c:pt idx="953">
                  <c:v>0.10406399999999999</c:v>
                </c:pt>
                <c:pt idx="954">
                  <c:v>0.10406399999999999</c:v>
                </c:pt>
                <c:pt idx="955">
                  <c:v>0.10406399999999999</c:v>
                </c:pt>
                <c:pt idx="956">
                  <c:v>0.10406399999999999</c:v>
                </c:pt>
                <c:pt idx="957">
                  <c:v>0.10406399999999999</c:v>
                </c:pt>
                <c:pt idx="958">
                  <c:v>0.10406399999999999</c:v>
                </c:pt>
                <c:pt idx="959">
                  <c:v>0.10406399999999999</c:v>
                </c:pt>
                <c:pt idx="960">
                  <c:v>0.10406399999999999</c:v>
                </c:pt>
                <c:pt idx="961">
                  <c:v>0.10406399999999999</c:v>
                </c:pt>
                <c:pt idx="962">
                  <c:v>0.10406399999999999</c:v>
                </c:pt>
                <c:pt idx="963">
                  <c:v>0.10406399999999999</c:v>
                </c:pt>
                <c:pt idx="964">
                  <c:v>0.10406399999999999</c:v>
                </c:pt>
                <c:pt idx="965">
                  <c:v>0.10406399999999999</c:v>
                </c:pt>
                <c:pt idx="966">
                  <c:v>0.10406399999999999</c:v>
                </c:pt>
                <c:pt idx="967">
                  <c:v>0.10406399999999999</c:v>
                </c:pt>
                <c:pt idx="968">
                  <c:v>0.10406399999999999</c:v>
                </c:pt>
                <c:pt idx="969">
                  <c:v>0.10406399999999999</c:v>
                </c:pt>
                <c:pt idx="970">
                  <c:v>0.10406399999999999</c:v>
                </c:pt>
                <c:pt idx="971">
                  <c:v>0.10406399999999999</c:v>
                </c:pt>
                <c:pt idx="972">
                  <c:v>0.10406399999999999</c:v>
                </c:pt>
                <c:pt idx="973">
                  <c:v>6.6189666666666674E-2</c:v>
                </c:pt>
                <c:pt idx="974">
                  <c:v>6.6189666666666674E-2</c:v>
                </c:pt>
                <c:pt idx="975">
                  <c:v>6.6189666666666674E-2</c:v>
                </c:pt>
                <c:pt idx="976">
                  <c:v>6.6189666666666674E-2</c:v>
                </c:pt>
                <c:pt idx="977">
                  <c:v>6.6189666666666674E-2</c:v>
                </c:pt>
                <c:pt idx="978">
                  <c:v>6.6189666666666674E-2</c:v>
                </c:pt>
                <c:pt idx="979">
                  <c:v>6.6189666666666674E-2</c:v>
                </c:pt>
                <c:pt idx="980">
                  <c:v>6.6189666666666674E-2</c:v>
                </c:pt>
                <c:pt idx="981">
                  <c:v>6.6189666666666674E-2</c:v>
                </c:pt>
                <c:pt idx="982">
                  <c:v>6.6189666666666674E-2</c:v>
                </c:pt>
                <c:pt idx="983">
                  <c:v>6.6189666666666674E-2</c:v>
                </c:pt>
                <c:pt idx="984">
                  <c:v>6.6189666666666674E-2</c:v>
                </c:pt>
                <c:pt idx="985">
                  <c:v>6.6189666666666674E-2</c:v>
                </c:pt>
                <c:pt idx="986">
                  <c:v>6.6189666666666674E-2</c:v>
                </c:pt>
                <c:pt idx="987">
                  <c:v>6.6189666666666674E-2</c:v>
                </c:pt>
                <c:pt idx="988">
                  <c:v>6.6189666666666674E-2</c:v>
                </c:pt>
                <c:pt idx="989">
                  <c:v>6.6189666666666674E-2</c:v>
                </c:pt>
                <c:pt idx="990">
                  <c:v>6.6189666666666674E-2</c:v>
                </c:pt>
                <c:pt idx="991">
                  <c:v>6.6189666666666674E-2</c:v>
                </c:pt>
                <c:pt idx="992">
                  <c:v>6.6189666666666674E-2</c:v>
                </c:pt>
                <c:pt idx="993">
                  <c:v>6.6189666666666674E-2</c:v>
                </c:pt>
                <c:pt idx="994">
                  <c:v>6.6189666666666674E-2</c:v>
                </c:pt>
                <c:pt idx="995">
                  <c:v>6.6189666666666674E-2</c:v>
                </c:pt>
                <c:pt idx="996">
                  <c:v>6.6189666666666674E-2</c:v>
                </c:pt>
                <c:pt idx="997">
                  <c:v>6.6189666666666674E-2</c:v>
                </c:pt>
                <c:pt idx="998">
                  <c:v>6.6189666666666674E-2</c:v>
                </c:pt>
                <c:pt idx="999">
                  <c:v>6.6189666666666674E-2</c:v>
                </c:pt>
                <c:pt idx="1000">
                  <c:v>8.5740333333333321E-2</c:v>
                </c:pt>
                <c:pt idx="1001">
                  <c:v>8.5740333333333321E-2</c:v>
                </c:pt>
                <c:pt idx="1002">
                  <c:v>8.5740333333333321E-2</c:v>
                </c:pt>
                <c:pt idx="1003">
                  <c:v>8.5740333333333321E-2</c:v>
                </c:pt>
                <c:pt idx="1004">
                  <c:v>8.5740333333333321E-2</c:v>
                </c:pt>
                <c:pt idx="1005">
                  <c:v>8.5740333333333321E-2</c:v>
                </c:pt>
                <c:pt idx="1006">
                  <c:v>8.5740333333333321E-2</c:v>
                </c:pt>
                <c:pt idx="1007">
                  <c:v>8.5740333333333321E-2</c:v>
                </c:pt>
                <c:pt idx="1008">
                  <c:v>8.5740333333333321E-2</c:v>
                </c:pt>
                <c:pt idx="1009">
                  <c:v>8.5740333333333321E-2</c:v>
                </c:pt>
                <c:pt idx="1010">
                  <c:v>8.5740333333333321E-2</c:v>
                </c:pt>
                <c:pt idx="1011">
                  <c:v>8.5740333333333321E-2</c:v>
                </c:pt>
                <c:pt idx="1012">
                  <c:v>8.5740333333333321E-2</c:v>
                </c:pt>
                <c:pt idx="1013">
                  <c:v>8.5740333333333321E-2</c:v>
                </c:pt>
                <c:pt idx="1014">
                  <c:v>8.5740333333333321E-2</c:v>
                </c:pt>
                <c:pt idx="1015">
                  <c:v>8.5740333333333321E-2</c:v>
                </c:pt>
                <c:pt idx="1016">
                  <c:v>8.5740333333333321E-2</c:v>
                </c:pt>
                <c:pt idx="1017">
                  <c:v>8.5740333333333321E-2</c:v>
                </c:pt>
                <c:pt idx="1018">
                  <c:v>8.5740333333333321E-2</c:v>
                </c:pt>
                <c:pt idx="1019">
                  <c:v>8.5740333333333321E-2</c:v>
                </c:pt>
                <c:pt idx="1020">
                  <c:v>8.5740333333333321E-2</c:v>
                </c:pt>
                <c:pt idx="1021">
                  <c:v>8.5740333333333321E-2</c:v>
                </c:pt>
                <c:pt idx="1022">
                  <c:v>8.5740333333333321E-2</c:v>
                </c:pt>
                <c:pt idx="1023">
                  <c:v>8.5740333333333321E-2</c:v>
                </c:pt>
                <c:pt idx="1024">
                  <c:v>8.5740333333333321E-2</c:v>
                </c:pt>
                <c:pt idx="1025">
                  <c:v>8.5740333333333321E-2</c:v>
                </c:pt>
                <c:pt idx="1026">
                  <c:v>8.5740333333333321E-2</c:v>
                </c:pt>
                <c:pt idx="1027">
                  <c:v>8.5740333333333321E-2</c:v>
                </c:pt>
                <c:pt idx="1028">
                  <c:v>8.5740333333333321E-2</c:v>
                </c:pt>
                <c:pt idx="1029">
                  <c:v>8.5740333333333321E-2</c:v>
                </c:pt>
                <c:pt idx="1030">
                  <c:v>8.5740333333333321E-2</c:v>
                </c:pt>
                <c:pt idx="1031">
                  <c:v>8.5740333333333321E-2</c:v>
                </c:pt>
                <c:pt idx="1032">
                  <c:v>8.5740333333333321E-2</c:v>
                </c:pt>
                <c:pt idx="1033">
                  <c:v>8.5740333333333321E-2</c:v>
                </c:pt>
                <c:pt idx="1034">
                  <c:v>8.5740333333333321E-2</c:v>
                </c:pt>
                <c:pt idx="1035">
                  <c:v>8.5740333333333321E-2</c:v>
                </c:pt>
                <c:pt idx="1036">
                  <c:v>8.5740333333333321E-2</c:v>
                </c:pt>
                <c:pt idx="1037">
                  <c:v>8.5740333333333321E-2</c:v>
                </c:pt>
                <c:pt idx="1038">
                  <c:v>8.5740333333333321E-2</c:v>
                </c:pt>
                <c:pt idx="1039">
                  <c:v>8.5740333333333321E-2</c:v>
                </c:pt>
                <c:pt idx="1040">
                  <c:v>7.9513E-2</c:v>
                </c:pt>
                <c:pt idx="1041">
                  <c:v>7.9513E-2</c:v>
                </c:pt>
                <c:pt idx="1042">
                  <c:v>7.9513E-2</c:v>
                </c:pt>
                <c:pt idx="1043">
                  <c:v>7.9513E-2</c:v>
                </c:pt>
                <c:pt idx="1044">
                  <c:v>7.9513E-2</c:v>
                </c:pt>
                <c:pt idx="1045">
                  <c:v>7.9513E-2</c:v>
                </c:pt>
                <c:pt idx="1046">
                  <c:v>7.9513E-2</c:v>
                </c:pt>
                <c:pt idx="1047">
                  <c:v>7.9513E-2</c:v>
                </c:pt>
                <c:pt idx="1048">
                  <c:v>7.9513E-2</c:v>
                </c:pt>
                <c:pt idx="1049">
                  <c:v>7.9513E-2</c:v>
                </c:pt>
                <c:pt idx="1050">
                  <c:v>7.9513E-2</c:v>
                </c:pt>
                <c:pt idx="1051">
                  <c:v>7.9513E-2</c:v>
                </c:pt>
                <c:pt idx="1052">
                  <c:v>7.9513E-2</c:v>
                </c:pt>
                <c:pt idx="1053">
                  <c:v>7.9513E-2</c:v>
                </c:pt>
                <c:pt idx="1054">
                  <c:v>7.9513E-2</c:v>
                </c:pt>
                <c:pt idx="1055">
                  <c:v>7.9513E-2</c:v>
                </c:pt>
                <c:pt idx="1056">
                  <c:v>7.9513E-2</c:v>
                </c:pt>
                <c:pt idx="1057">
                  <c:v>7.9513E-2</c:v>
                </c:pt>
                <c:pt idx="1058">
                  <c:v>7.9513E-2</c:v>
                </c:pt>
                <c:pt idx="1059">
                  <c:v>7.9513E-2</c:v>
                </c:pt>
                <c:pt idx="1060">
                  <c:v>7.9513E-2</c:v>
                </c:pt>
                <c:pt idx="1061">
                  <c:v>7.9513E-2</c:v>
                </c:pt>
                <c:pt idx="1062">
                  <c:v>7.9513E-2</c:v>
                </c:pt>
                <c:pt idx="1063">
                  <c:v>7.9513E-2</c:v>
                </c:pt>
                <c:pt idx="1064">
                  <c:v>7.9513E-2</c:v>
                </c:pt>
                <c:pt idx="1065">
                  <c:v>7.9513E-2</c:v>
                </c:pt>
                <c:pt idx="1066">
                  <c:v>7.9513E-2</c:v>
                </c:pt>
                <c:pt idx="1067">
                  <c:v>7.9513E-2</c:v>
                </c:pt>
                <c:pt idx="1068">
                  <c:v>7.9513E-2</c:v>
                </c:pt>
                <c:pt idx="1069">
                  <c:v>7.9513E-2</c:v>
                </c:pt>
                <c:pt idx="1070">
                  <c:v>8.6004666666666674E-2</c:v>
                </c:pt>
                <c:pt idx="1071">
                  <c:v>8.6004666666666674E-2</c:v>
                </c:pt>
                <c:pt idx="1072">
                  <c:v>8.6004666666666674E-2</c:v>
                </c:pt>
                <c:pt idx="1073">
                  <c:v>8.6004666666666674E-2</c:v>
                </c:pt>
                <c:pt idx="1074">
                  <c:v>8.6004666666666674E-2</c:v>
                </c:pt>
                <c:pt idx="1075">
                  <c:v>8.6004666666666674E-2</c:v>
                </c:pt>
                <c:pt idx="1076">
                  <c:v>8.6004666666666674E-2</c:v>
                </c:pt>
                <c:pt idx="1077">
                  <c:v>8.6004666666666674E-2</c:v>
                </c:pt>
                <c:pt idx="1078">
                  <c:v>8.6004666666666674E-2</c:v>
                </c:pt>
                <c:pt idx="1079">
                  <c:v>8.6004666666666674E-2</c:v>
                </c:pt>
                <c:pt idx="1080">
                  <c:v>8.6004666666666674E-2</c:v>
                </c:pt>
                <c:pt idx="1081">
                  <c:v>8.6004666666666674E-2</c:v>
                </c:pt>
                <c:pt idx="1082">
                  <c:v>8.6004666666666674E-2</c:v>
                </c:pt>
                <c:pt idx="1083">
                  <c:v>8.6004666666666674E-2</c:v>
                </c:pt>
                <c:pt idx="1084">
                  <c:v>8.6004666666666674E-2</c:v>
                </c:pt>
                <c:pt idx="1085">
                  <c:v>8.6004666666666674E-2</c:v>
                </c:pt>
                <c:pt idx="1086">
                  <c:v>8.6004666666666674E-2</c:v>
                </c:pt>
                <c:pt idx="1087">
                  <c:v>8.6004666666666674E-2</c:v>
                </c:pt>
                <c:pt idx="1088">
                  <c:v>8.6004666666666674E-2</c:v>
                </c:pt>
                <c:pt idx="1089">
                  <c:v>8.6004666666666674E-2</c:v>
                </c:pt>
                <c:pt idx="1090">
                  <c:v>8.6004666666666674E-2</c:v>
                </c:pt>
                <c:pt idx="1091">
                  <c:v>8.6004666666666674E-2</c:v>
                </c:pt>
                <c:pt idx="1092">
                  <c:v>8.6004666666666674E-2</c:v>
                </c:pt>
                <c:pt idx="1093">
                  <c:v>8.6004666666666674E-2</c:v>
                </c:pt>
                <c:pt idx="1094">
                  <c:v>8.6004666666666674E-2</c:v>
                </c:pt>
                <c:pt idx="1095">
                  <c:v>8.6004666666666674E-2</c:v>
                </c:pt>
                <c:pt idx="1096">
                  <c:v>8.6004666666666674E-2</c:v>
                </c:pt>
                <c:pt idx="1097">
                  <c:v>8.6004666666666674E-2</c:v>
                </c:pt>
                <c:pt idx="1098">
                  <c:v>8.6004666666666674E-2</c:v>
                </c:pt>
                <c:pt idx="1099">
                  <c:v>8.6004666666666674E-2</c:v>
                </c:pt>
                <c:pt idx="1100">
                  <c:v>8.6004666666666674E-2</c:v>
                </c:pt>
                <c:pt idx="1101">
                  <c:v>8.6004666666666674E-2</c:v>
                </c:pt>
                <c:pt idx="1102">
                  <c:v>8.6004666666666674E-2</c:v>
                </c:pt>
                <c:pt idx="1103">
                  <c:v>8.6004666666666674E-2</c:v>
                </c:pt>
                <c:pt idx="1104">
                  <c:v>8.6004666666666674E-2</c:v>
                </c:pt>
                <c:pt idx="1105">
                  <c:v>8.6004666666666674E-2</c:v>
                </c:pt>
                <c:pt idx="1106">
                  <c:v>8.6004666666666674E-2</c:v>
                </c:pt>
                <c:pt idx="1107">
                  <c:v>8.6004666666666674E-2</c:v>
                </c:pt>
                <c:pt idx="1108">
                  <c:v>8.6004666666666674E-2</c:v>
                </c:pt>
                <c:pt idx="1109">
                  <c:v>8.6004666666666674E-2</c:v>
                </c:pt>
                <c:pt idx="1110">
                  <c:v>8.6004666666666674E-2</c:v>
                </c:pt>
                <c:pt idx="1111">
                  <c:v>8.6004666666666674E-2</c:v>
                </c:pt>
                <c:pt idx="1112">
                  <c:v>8.6004666666666674E-2</c:v>
                </c:pt>
                <c:pt idx="1113">
                  <c:v>8.6004666666666674E-2</c:v>
                </c:pt>
                <c:pt idx="1114">
                  <c:v>8.6004666666666674E-2</c:v>
                </c:pt>
                <c:pt idx="1115">
                  <c:v>8.6004666666666674E-2</c:v>
                </c:pt>
                <c:pt idx="1116">
                  <c:v>8.6004666666666674E-2</c:v>
                </c:pt>
                <c:pt idx="1117">
                  <c:v>8.6004666666666674E-2</c:v>
                </c:pt>
                <c:pt idx="1118">
                  <c:v>8.6004666666666674E-2</c:v>
                </c:pt>
                <c:pt idx="1119">
                  <c:v>8.6004666666666674E-2</c:v>
                </c:pt>
                <c:pt idx="1120">
                  <c:v>8.6004666666666674E-2</c:v>
                </c:pt>
                <c:pt idx="1121">
                  <c:v>8.6004666666666674E-2</c:v>
                </c:pt>
                <c:pt idx="1122">
                  <c:v>8.6004666666666674E-2</c:v>
                </c:pt>
                <c:pt idx="1123">
                  <c:v>8.6004666666666674E-2</c:v>
                </c:pt>
                <c:pt idx="1124">
                  <c:v>8.6004666666666674E-2</c:v>
                </c:pt>
                <c:pt idx="1125">
                  <c:v>8.6004666666666674E-2</c:v>
                </c:pt>
                <c:pt idx="1126">
                  <c:v>8.6004666666666674E-2</c:v>
                </c:pt>
                <c:pt idx="1127">
                  <c:v>8.6004666666666674E-2</c:v>
                </c:pt>
                <c:pt idx="1128">
                  <c:v>8.6004666666666674E-2</c:v>
                </c:pt>
                <c:pt idx="1129">
                  <c:v>8.6004666666666674E-2</c:v>
                </c:pt>
                <c:pt idx="1130">
                  <c:v>8.6004666666666674E-2</c:v>
                </c:pt>
                <c:pt idx="1131">
                  <c:v>8.6004666666666674E-2</c:v>
                </c:pt>
                <c:pt idx="1132">
                  <c:v>8.6004666666666674E-2</c:v>
                </c:pt>
                <c:pt idx="1133">
                  <c:v>8.6004666666666674E-2</c:v>
                </c:pt>
                <c:pt idx="1134">
                  <c:v>8.6004666666666674E-2</c:v>
                </c:pt>
                <c:pt idx="1135">
                  <c:v>8.6004666666666674E-2</c:v>
                </c:pt>
                <c:pt idx="1136">
                  <c:v>8.6004666666666674E-2</c:v>
                </c:pt>
                <c:pt idx="1137">
                  <c:v>8.6004666666666674E-2</c:v>
                </c:pt>
                <c:pt idx="1138">
                  <c:v>8.6004666666666674E-2</c:v>
                </c:pt>
                <c:pt idx="1139">
                  <c:v>8.6004666666666674E-2</c:v>
                </c:pt>
                <c:pt idx="1140">
                  <c:v>8.6004666666666674E-2</c:v>
                </c:pt>
                <c:pt idx="1141">
                  <c:v>8.6004666666666674E-2</c:v>
                </c:pt>
                <c:pt idx="1142">
                  <c:v>8.6004666666666674E-2</c:v>
                </c:pt>
                <c:pt idx="1143">
                  <c:v>8.6004666666666674E-2</c:v>
                </c:pt>
                <c:pt idx="1144">
                  <c:v>8.6004666666666674E-2</c:v>
                </c:pt>
                <c:pt idx="1145">
                  <c:v>8.6004666666666674E-2</c:v>
                </c:pt>
                <c:pt idx="1146">
                  <c:v>8.6004666666666674E-2</c:v>
                </c:pt>
                <c:pt idx="1147">
                  <c:v>8.6004666666666674E-2</c:v>
                </c:pt>
                <c:pt idx="1148">
                  <c:v>8.6004666666666674E-2</c:v>
                </c:pt>
                <c:pt idx="1149">
                  <c:v>8.6004666666666674E-2</c:v>
                </c:pt>
                <c:pt idx="1150">
                  <c:v>8.6004666666666674E-2</c:v>
                </c:pt>
                <c:pt idx="1151">
                  <c:v>8.6004666666666674E-2</c:v>
                </c:pt>
                <c:pt idx="1152">
                  <c:v>8.6004666666666674E-2</c:v>
                </c:pt>
                <c:pt idx="1153">
                  <c:v>8.6004666666666674E-2</c:v>
                </c:pt>
                <c:pt idx="1154">
                  <c:v>8.6004666666666674E-2</c:v>
                </c:pt>
                <c:pt idx="1155">
                  <c:v>8.6004666666666674E-2</c:v>
                </c:pt>
                <c:pt idx="1156">
                  <c:v>8.6004666666666674E-2</c:v>
                </c:pt>
                <c:pt idx="1157">
                  <c:v>8.6004666666666674E-2</c:v>
                </c:pt>
                <c:pt idx="1158">
                  <c:v>8.6004666666666674E-2</c:v>
                </c:pt>
                <c:pt idx="1159">
                  <c:v>8.6004666666666674E-2</c:v>
                </c:pt>
                <c:pt idx="1160">
                  <c:v>8.6004666666666674E-2</c:v>
                </c:pt>
                <c:pt idx="1161">
                  <c:v>8.6004666666666674E-2</c:v>
                </c:pt>
                <c:pt idx="1162">
                  <c:v>8.6004666666666674E-2</c:v>
                </c:pt>
                <c:pt idx="1163">
                  <c:v>8.6004666666666674E-2</c:v>
                </c:pt>
                <c:pt idx="1164">
                  <c:v>8.6004666666666674E-2</c:v>
                </c:pt>
                <c:pt idx="1165">
                  <c:v>8.6004666666666674E-2</c:v>
                </c:pt>
                <c:pt idx="1166">
                  <c:v>8.6004666666666674E-2</c:v>
                </c:pt>
                <c:pt idx="1167">
                  <c:v>8.6004666666666674E-2</c:v>
                </c:pt>
                <c:pt idx="1168">
                  <c:v>8.6004666666666674E-2</c:v>
                </c:pt>
                <c:pt idx="1169">
                  <c:v>8.6004666666666674E-2</c:v>
                </c:pt>
                <c:pt idx="1170">
                  <c:v>8.6004666666666674E-2</c:v>
                </c:pt>
                <c:pt idx="1171">
                  <c:v>8.6004666666666674E-2</c:v>
                </c:pt>
                <c:pt idx="1172">
                  <c:v>8.6004666666666674E-2</c:v>
                </c:pt>
                <c:pt idx="1173">
                  <c:v>8.6004666666666674E-2</c:v>
                </c:pt>
                <c:pt idx="1174">
                  <c:v>8.6004666666666674E-2</c:v>
                </c:pt>
                <c:pt idx="1175">
                  <c:v>8.6004666666666674E-2</c:v>
                </c:pt>
                <c:pt idx="1176">
                  <c:v>8.6004666666666674E-2</c:v>
                </c:pt>
                <c:pt idx="1177">
                  <c:v>8.6004666666666674E-2</c:v>
                </c:pt>
                <c:pt idx="1178">
                  <c:v>8.6004666666666674E-2</c:v>
                </c:pt>
                <c:pt idx="1179">
                  <c:v>8.6004666666666674E-2</c:v>
                </c:pt>
                <c:pt idx="1180">
                  <c:v>7.0523000000000002E-2</c:v>
                </c:pt>
                <c:pt idx="1181">
                  <c:v>7.0523000000000002E-2</c:v>
                </c:pt>
                <c:pt idx="1182">
                  <c:v>7.0523000000000002E-2</c:v>
                </c:pt>
                <c:pt idx="1183">
                  <c:v>7.0523000000000002E-2</c:v>
                </c:pt>
                <c:pt idx="1184">
                  <c:v>7.0523000000000002E-2</c:v>
                </c:pt>
                <c:pt idx="1185">
                  <c:v>7.0523000000000002E-2</c:v>
                </c:pt>
                <c:pt idx="1186">
                  <c:v>7.0523000000000002E-2</c:v>
                </c:pt>
                <c:pt idx="1187">
                  <c:v>7.0523000000000002E-2</c:v>
                </c:pt>
                <c:pt idx="1188">
                  <c:v>7.0523000000000002E-2</c:v>
                </c:pt>
                <c:pt idx="1189">
                  <c:v>7.0523000000000002E-2</c:v>
                </c:pt>
                <c:pt idx="1190">
                  <c:v>4.1046000000000006E-2</c:v>
                </c:pt>
                <c:pt idx="1191">
                  <c:v>4.1046000000000006E-2</c:v>
                </c:pt>
                <c:pt idx="1192">
                  <c:v>4.1046000000000006E-2</c:v>
                </c:pt>
                <c:pt idx="1193">
                  <c:v>4.1046000000000006E-2</c:v>
                </c:pt>
                <c:pt idx="1194">
                  <c:v>4.1046000000000006E-2</c:v>
                </c:pt>
                <c:pt idx="1195">
                  <c:v>4.1046000000000006E-2</c:v>
                </c:pt>
                <c:pt idx="1196">
                  <c:v>4.1046000000000006E-2</c:v>
                </c:pt>
                <c:pt idx="1197">
                  <c:v>4.1046000000000006E-2</c:v>
                </c:pt>
                <c:pt idx="1198">
                  <c:v>4.1046000000000006E-2</c:v>
                </c:pt>
                <c:pt idx="1199">
                  <c:v>4.1046000000000006E-2</c:v>
                </c:pt>
                <c:pt idx="1200">
                  <c:v>4.1046000000000006E-2</c:v>
                </c:pt>
                <c:pt idx="1201">
                  <c:v>4.1046000000000006E-2</c:v>
                </c:pt>
                <c:pt idx="1202">
                  <c:v>4.1046000000000006E-2</c:v>
                </c:pt>
                <c:pt idx="1203">
                  <c:v>4.1046000000000006E-2</c:v>
                </c:pt>
                <c:pt idx="1204">
                  <c:v>4.1046000000000006E-2</c:v>
                </c:pt>
                <c:pt idx="1205">
                  <c:v>4.1046000000000006E-2</c:v>
                </c:pt>
                <c:pt idx="1206">
                  <c:v>4.1046000000000006E-2</c:v>
                </c:pt>
                <c:pt idx="1207">
                  <c:v>4.1046000000000006E-2</c:v>
                </c:pt>
                <c:pt idx="1208">
                  <c:v>4.1046000000000006E-2</c:v>
                </c:pt>
                <c:pt idx="1209">
                  <c:v>4.1046000000000006E-2</c:v>
                </c:pt>
                <c:pt idx="1210">
                  <c:v>4.1046000000000006E-2</c:v>
                </c:pt>
                <c:pt idx="1211">
                  <c:v>4.1046000000000006E-2</c:v>
                </c:pt>
                <c:pt idx="1212">
                  <c:v>4.1046000000000006E-2</c:v>
                </c:pt>
                <c:pt idx="1213">
                  <c:v>4.1046000000000006E-2</c:v>
                </c:pt>
                <c:pt idx="1214">
                  <c:v>4.1046000000000006E-2</c:v>
                </c:pt>
                <c:pt idx="1215">
                  <c:v>4.1046000000000006E-2</c:v>
                </c:pt>
                <c:pt idx="1216">
                  <c:v>4.1046000000000006E-2</c:v>
                </c:pt>
                <c:pt idx="1217">
                  <c:v>4.1046000000000006E-2</c:v>
                </c:pt>
                <c:pt idx="1218">
                  <c:v>4.1046000000000006E-2</c:v>
                </c:pt>
                <c:pt idx="1219">
                  <c:v>4.1046000000000006E-2</c:v>
                </c:pt>
                <c:pt idx="1220">
                  <c:v>4.1046000000000006E-2</c:v>
                </c:pt>
                <c:pt idx="1221">
                  <c:v>2.8365666666666668E-2</c:v>
                </c:pt>
                <c:pt idx="1222">
                  <c:v>2.8365666666666668E-2</c:v>
                </c:pt>
                <c:pt idx="1223">
                  <c:v>2.8365666666666668E-2</c:v>
                </c:pt>
                <c:pt idx="1224">
                  <c:v>2.8365666666666668E-2</c:v>
                </c:pt>
                <c:pt idx="1225">
                  <c:v>2.8365666666666668E-2</c:v>
                </c:pt>
                <c:pt idx="1226">
                  <c:v>2.8365666666666668E-2</c:v>
                </c:pt>
                <c:pt idx="1227">
                  <c:v>2.8365666666666668E-2</c:v>
                </c:pt>
                <c:pt idx="1228">
                  <c:v>2.8365666666666668E-2</c:v>
                </c:pt>
                <c:pt idx="1229">
                  <c:v>2.8365666666666668E-2</c:v>
                </c:pt>
                <c:pt idx="1230">
                  <c:v>2.8365666666666668E-2</c:v>
                </c:pt>
                <c:pt idx="1231">
                  <c:v>2.8365666666666668E-2</c:v>
                </c:pt>
                <c:pt idx="1232">
                  <c:v>2.8365666666666668E-2</c:v>
                </c:pt>
                <c:pt idx="1233">
                  <c:v>2.8365666666666668E-2</c:v>
                </c:pt>
                <c:pt idx="1234">
                  <c:v>2.8365666666666668E-2</c:v>
                </c:pt>
                <c:pt idx="1235">
                  <c:v>2.8365666666666668E-2</c:v>
                </c:pt>
                <c:pt idx="1236">
                  <c:v>2.8365666666666668E-2</c:v>
                </c:pt>
                <c:pt idx="1237">
                  <c:v>2.8365666666666668E-2</c:v>
                </c:pt>
                <c:pt idx="1238">
                  <c:v>2.8365666666666668E-2</c:v>
                </c:pt>
                <c:pt idx="1239">
                  <c:v>2.8365666666666668E-2</c:v>
                </c:pt>
                <c:pt idx="1240">
                  <c:v>2.8365666666666668E-2</c:v>
                </c:pt>
                <c:pt idx="1241">
                  <c:v>2.8365666666666668E-2</c:v>
                </c:pt>
                <c:pt idx="1242">
                  <c:v>2.8365666666666668E-2</c:v>
                </c:pt>
                <c:pt idx="1243">
                  <c:v>2.8365666666666668E-2</c:v>
                </c:pt>
                <c:pt idx="1244">
                  <c:v>2.8365666666666668E-2</c:v>
                </c:pt>
                <c:pt idx="1245">
                  <c:v>2.8365666666666668E-2</c:v>
                </c:pt>
                <c:pt idx="1246">
                  <c:v>2.8365666666666668E-2</c:v>
                </c:pt>
                <c:pt idx="1247">
                  <c:v>2.8365666666666668E-2</c:v>
                </c:pt>
                <c:pt idx="1248">
                  <c:v>2.8365666666666668E-2</c:v>
                </c:pt>
                <c:pt idx="1249">
                  <c:v>2.8365666666666668E-2</c:v>
                </c:pt>
                <c:pt idx="1250">
                  <c:v>7.0663333333333333E-3</c:v>
                </c:pt>
                <c:pt idx="1251">
                  <c:v>7.0663333333333333E-3</c:v>
                </c:pt>
                <c:pt idx="1252">
                  <c:v>7.0663333333333333E-3</c:v>
                </c:pt>
                <c:pt idx="1253">
                  <c:v>7.0663333333333333E-3</c:v>
                </c:pt>
                <c:pt idx="1254">
                  <c:v>7.0663333333333333E-3</c:v>
                </c:pt>
                <c:pt idx="1255">
                  <c:v>7.0663333333333333E-3</c:v>
                </c:pt>
                <c:pt idx="1256">
                  <c:v>7.0663333333333333E-3</c:v>
                </c:pt>
                <c:pt idx="1257">
                  <c:v>7.0663333333333333E-3</c:v>
                </c:pt>
                <c:pt idx="1258">
                  <c:v>7.0663333333333333E-3</c:v>
                </c:pt>
                <c:pt idx="1259">
                  <c:v>7.0663333333333333E-3</c:v>
                </c:pt>
                <c:pt idx="1260">
                  <c:v>7.0663333333333333E-3</c:v>
                </c:pt>
                <c:pt idx="1261">
                  <c:v>7.0663333333333333E-3</c:v>
                </c:pt>
                <c:pt idx="1262">
                  <c:v>7.0663333333333333E-3</c:v>
                </c:pt>
                <c:pt idx="1263">
                  <c:v>7.0663333333333333E-3</c:v>
                </c:pt>
                <c:pt idx="1264">
                  <c:v>7.0663333333333333E-3</c:v>
                </c:pt>
                <c:pt idx="1265">
                  <c:v>7.0663333333333333E-3</c:v>
                </c:pt>
                <c:pt idx="1266">
                  <c:v>7.0663333333333333E-3</c:v>
                </c:pt>
                <c:pt idx="1267">
                  <c:v>7.0663333333333333E-3</c:v>
                </c:pt>
                <c:pt idx="1268">
                  <c:v>7.0663333333333333E-3</c:v>
                </c:pt>
                <c:pt idx="1269">
                  <c:v>7.0663333333333333E-3</c:v>
                </c:pt>
                <c:pt idx="1270">
                  <c:v>7.0663333333333333E-3</c:v>
                </c:pt>
                <c:pt idx="1271">
                  <c:v>7.0663333333333333E-3</c:v>
                </c:pt>
                <c:pt idx="1272">
                  <c:v>7.0663333333333333E-3</c:v>
                </c:pt>
                <c:pt idx="1273">
                  <c:v>7.0663333333333333E-3</c:v>
                </c:pt>
                <c:pt idx="1274">
                  <c:v>7.0663333333333333E-3</c:v>
                </c:pt>
                <c:pt idx="1275">
                  <c:v>7.0663333333333333E-3</c:v>
                </c:pt>
                <c:pt idx="1276">
                  <c:v>7.0663333333333333E-3</c:v>
                </c:pt>
                <c:pt idx="1277">
                  <c:v>7.0663333333333333E-3</c:v>
                </c:pt>
                <c:pt idx="1278">
                  <c:v>7.0663333333333333E-3</c:v>
                </c:pt>
                <c:pt idx="1279">
                  <c:v>7.0663333333333333E-3</c:v>
                </c:pt>
                <c:pt idx="1280">
                  <c:v>1.0085666666666666E-2</c:v>
                </c:pt>
                <c:pt idx="1281">
                  <c:v>1.0085666666666666E-2</c:v>
                </c:pt>
                <c:pt idx="1282">
                  <c:v>1.0085666666666666E-2</c:v>
                </c:pt>
                <c:pt idx="1283">
                  <c:v>1.0085666666666666E-2</c:v>
                </c:pt>
                <c:pt idx="1284">
                  <c:v>1.0085666666666666E-2</c:v>
                </c:pt>
                <c:pt idx="1285">
                  <c:v>1.0085666666666666E-2</c:v>
                </c:pt>
                <c:pt idx="1286">
                  <c:v>1.0085666666666666E-2</c:v>
                </c:pt>
                <c:pt idx="1287">
                  <c:v>1.0085666666666666E-2</c:v>
                </c:pt>
                <c:pt idx="1288">
                  <c:v>1.0085666666666666E-2</c:v>
                </c:pt>
                <c:pt idx="1289">
                  <c:v>1.0085666666666666E-2</c:v>
                </c:pt>
                <c:pt idx="1290">
                  <c:v>1.0085666666666666E-2</c:v>
                </c:pt>
                <c:pt idx="1291">
                  <c:v>1.0085666666666666E-2</c:v>
                </c:pt>
                <c:pt idx="1292">
                  <c:v>1.0085666666666666E-2</c:v>
                </c:pt>
                <c:pt idx="1293">
                  <c:v>1.0085666666666666E-2</c:v>
                </c:pt>
                <c:pt idx="1294">
                  <c:v>1.0085666666666666E-2</c:v>
                </c:pt>
                <c:pt idx="1295">
                  <c:v>1.0085666666666666E-2</c:v>
                </c:pt>
                <c:pt idx="1296">
                  <c:v>1.0085666666666666E-2</c:v>
                </c:pt>
                <c:pt idx="1297">
                  <c:v>1.0085666666666666E-2</c:v>
                </c:pt>
                <c:pt idx="1298">
                  <c:v>1.0085666666666666E-2</c:v>
                </c:pt>
                <c:pt idx="1299">
                  <c:v>1.0085666666666666E-2</c:v>
                </c:pt>
                <c:pt idx="1300">
                  <c:v>1.0085666666666666E-2</c:v>
                </c:pt>
                <c:pt idx="1301">
                  <c:v>1.0085666666666666E-2</c:v>
                </c:pt>
                <c:pt idx="1302">
                  <c:v>1.0085666666666666E-2</c:v>
                </c:pt>
                <c:pt idx="1303">
                  <c:v>1.0085666666666666E-2</c:v>
                </c:pt>
                <c:pt idx="1304">
                  <c:v>1.0085666666666666E-2</c:v>
                </c:pt>
                <c:pt idx="1305">
                  <c:v>1.0085666666666666E-2</c:v>
                </c:pt>
                <c:pt idx="1306">
                  <c:v>1.0085666666666666E-2</c:v>
                </c:pt>
                <c:pt idx="1307">
                  <c:v>1.0085666666666666E-2</c:v>
                </c:pt>
                <c:pt idx="1308">
                  <c:v>1.0085666666666666E-2</c:v>
                </c:pt>
                <c:pt idx="1309">
                  <c:v>1.0085666666666666E-2</c:v>
                </c:pt>
                <c:pt idx="1310">
                  <c:v>1.0085666666666666E-2</c:v>
                </c:pt>
                <c:pt idx="1311">
                  <c:v>1.0085666666666666E-2</c:v>
                </c:pt>
                <c:pt idx="1312">
                  <c:v>1.0085666666666666E-2</c:v>
                </c:pt>
                <c:pt idx="1313">
                  <c:v>1.0085666666666666E-2</c:v>
                </c:pt>
                <c:pt idx="1314">
                  <c:v>1.0085666666666666E-2</c:v>
                </c:pt>
                <c:pt idx="1315">
                  <c:v>1.0085666666666666E-2</c:v>
                </c:pt>
                <c:pt idx="1316">
                  <c:v>1.0085666666666666E-2</c:v>
                </c:pt>
                <c:pt idx="1317">
                  <c:v>1.0085666666666666E-2</c:v>
                </c:pt>
                <c:pt idx="1318">
                  <c:v>1.0085666666666666E-2</c:v>
                </c:pt>
                <c:pt idx="1319">
                  <c:v>1.0085666666666666E-2</c:v>
                </c:pt>
                <c:pt idx="1320">
                  <c:v>6.4483333333333337E-3</c:v>
                </c:pt>
                <c:pt idx="1321">
                  <c:v>6.4483333333333337E-3</c:v>
                </c:pt>
                <c:pt idx="1322">
                  <c:v>6.4483333333333337E-3</c:v>
                </c:pt>
                <c:pt idx="1323">
                  <c:v>6.4483333333333337E-3</c:v>
                </c:pt>
                <c:pt idx="1324">
                  <c:v>6.4483333333333337E-3</c:v>
                </c:pt>
                <c:pt idx="1325">
                  <c:v>6.4483333333333337E-3</c:v>
                </c:pt>
                <c:pt idx="1326">
                  <c:v>6.4483333333333337E-3</c:v>
                </c:pt>
                <c:pt idx="1327">
                  <c:v>6.4483333333333337E-3</c:v>
                </c:pt>
                <c:pt idx="1328">
                  <c:v>6.4483333333333337E-3</c:v>
                </c:pt>
                <c:pt idx="1329">
                  <c:v>6.4483333333333337E-3</c:v>
                </c:pt>
                <c:pt idx="1330">
                  <c:v>6.4483333333333337E-3</c:v>
                </c:pt>
                <c:pt idx="1331">
                  <c:v>6.4483333333333337E-3</c:v>
                </c:pt>
                <c:pt idx="1332">
                  <c:v>6.4483333333333337E-3</c:v>
                </c:pt>
                <c:pt idx="1333">
                  <c:v>6.4483333333333337E-3</c:v>
                </c:pt>
                <c:pt idx="1334">
                  <c:v>6.4483333333333337E-3</c:v>
                </c:pt>
                <c:pt idx="1335">
                  <c:v>6.4483333333333337E-3</c:v>
                </c:pt>
                <c:pt idx="1336">
                  <c:v>6.4483333333333337E-3</c:v>
                </c:pt>
                <c:pt idx="1337">
                  <c:v>6.4483333333333337E-3</c:v>
                </c:pt>
                <c:pt idx="1338">
                  <c:v>6.4483333333333337E-3</c:v>
                </c:pt>
                <c:pt idx="1339">
                  <c:v>6.4483333333333337E-3</c:v>
                </c:pt>
                <c:pt idx="1340">
                  <c:v>6.4483333333333337E-3</c:v>
                </c:pt>
                <c:pt idx="1341">
                  <c:v>6.4483333333333337E-3</c:v>
                </c:pt>
                <c:pt idx="1342">
                  <c:v>6.4483333333333337E-3</c:v>
                </c:pt>
                <c:pt idx="1343">
                  <c:v>6.4483333333333337E-3</c:v>
                </c:pt>
                <c:pt idx="1344">
                  <c:v>6.4483333333333337E-3</c:v>
                </c:pt>
                <c:pt idx="1345">
                  <c:v>6.4483333333333337E-3</c:v>
                </c:pt>
                <c:pt idx="1346">
                  <c:v>6.4483333333333337E-3</c:v>
                </c:pt>
                <c:pt idx="1347">
                  <c:v>6.4483333333333337E-3</c:v>
                </c:pt>
                <c:pt idx="1348">
                  <c:v>6.4483333333333337E-3</c:v>
                </c:pt>
                <c:pt idx="1349">
                  <c:v>6.4483333333333337E-3</c:v>
                </c:pt>
                <c:pt idx="1350">
                  <c:v>6.4483333333333337E-3</c:v>
                </c:pt>
                <c:pt idx="1351">
                  <c:v>1.1251000000000001E-2</c:v>
                </c:pt>
                <c:pt idx="1352">
                  <c:v>1.1251000000000001E-2</c:v>
                </c:pt>
                <c:pt idx="1353">
                  <c:v>1.1251000000000001E-2</c:v>
                </c:pt>
                <c:pt idx="1354">
                  <c:v>1.1251000000000001E-2</c:v>
                </c:pt>
                <c:pt idx="1355">
                  <c:v>1.1251000000000001E-2</c:v>
                </c:pt>
                <c:pt idx="1356">
                  <c:v>1.1251000000000001E-2</c:v>
                </c:pt>
                <c:pt idx="1357">
                  <c:v>1.1251000000000001E-2</c:v>
                </c:pt>
                <c:pt idx="1358">
                  <c:v>1.1251000000000001E-2</c:v>
                </c:pt>
                <c:pt idx="1359">
                  <c:v>1.1251000000000001E-2</c:v>
                </c:pt>
                <c:pt idx="1360">
                  <c:v>1.1251000000000001E-2</c:v>
                </c:pt>
                <c:pt idx="1361">
                  <c:v>1.1251000000000001E-2</c:v>
                </c:pt>
                <c:pt idx="1362">
                  <c:v>1.1251000000000001E-2</c:v>
                </c:pt>
                <c:pt idx="1363">
                  <c:v>1.1251000000000001E-2</c:v>
                </c:pt>
                <c:pt idx="1364">
                  <c:v>1.1251000000000001E-2</c:v>
                </c:pt>
                <c:pt idx="1365">
                  <c:v>1.1251000000000001E-2</c:v>
                </c:pt>
                <c:pt idx="1366">
                  <c:v>1.1251000000000001E-2</c:v>
                </c:pt>
                <c:pt idx="1367">
                  <c:v>1.1251000000000001E-2</c:v>
                </c:pt>
                <c:pt idx="1368">
                  <c:v>1.1251000000000001E-2</c:v>
                </c:pt>
                <c:pt idx="1369">
                  <c:v>1.1251000000000001E-2</c:v>
                </c:pt>
                <c:pt idx="1370">
                  <c:v>1.1251000000000001E-2</c:v>
                </c:pt>
                <c:pt idx="1371">
                  <c:v>1.1251000000000001E-2</c:v>
                </c:pt>
                <c:pt idx="1372">
                  <c:v>1.1251000000000001E-2</c:v>
                </c:pt>
                <c:pt idx="1373">
                  <c:v>1.1251000000000001E-2</c:v>
                </c:pt>
                <c:pt idx="1374">
                  <c:v>1.1251000000000001E-2</c:v>
                </c:pt>
                <c:pt idx="1375">
                  <c:v>1.1251000000000001E-2</c:v>
                </c:pt>
                <c:pt idx="1376">
                  <c:v>1.1251000000000001E-2</c:v>
                </c:pt>
                <c:pt idx="1377">
                  <c:v>1.1251000000000001E-2</c:v>
                </c:pt>
                <c:pt idx="1378">
                  <c:v>1.1251000000000001E-2</c:v>
                </c:pt>
                <c:pt idx="1379">
                  <c:v>1.1251000000000001E-2</c:v>
                </c:pt>
                <c:pt idx="1380">
                  <c:v>1.1251000000000001E-2</c:v>
                </c:pt>
                <c:pt idx="1381">
                  <c:v>1.1251000000000001E-2</c:v>
                </c:pt>
                <c:pt idx="1382">
                  <c:v>1.1251000000000001E-2</c:v>
                </c:pt>
                <c:pt idx="1383">
                  <c:v>1.1251000000000001E-2</c:v>
                </c:pt>
                <c:pt idx="1384">
                  <c:v>1.1251000000000001E-2</c:v>
                </c:pt>
                <c:pt idx="1385">
                  <c:v>1.1251000000000001E-2</c:v>
                </c:pt>
                <c:pt idx="1386">
                  <c:v>1.1251000000000001E-2</c:v>
                </c:pt>
                <c:pt idx="1387">
                  <c:v>1.1251000000000001E-2</c:v>
                </c:pt>
                <c:pt idx="1388">
                  <c:v>1.1251000000000001E-2</c:v>
                </c:pt>
                <c:pt idx="1389">
                  <c:v>1.1251000000000001E-2</c:v>
                </c:pt>
                <c:pt idx="1390">
                  <c:v>7.4129999999999995E-3</c:v>
                </c:pt>
                <c:pt idx="1391">
                  <c:v>7.4129999999999995E-3</c:v>
                </c:pt>
                <c:pt idx="1392">
                  <c:v>7.4129999999999995E-3</c:v>
                </c:pt>
                <c:pt idx="1393">
                  <c:v>7.4129999999999995E-3</c:v>
                </c:pt>
                <c:pt idx="1394">
                  <c:v>7.4129999999999995E-3</c:v>
                </c:pt>
                <c:pt idx="1395">
                  <c:v>7.4129999999999995E-3</c:v>
                </c:pt>
                <c:pt idx="1396">
                  <c:v>7.4129999999999995E-3</c:v>
                </c:pt>
                <c:pt idx="1397">
                  <c:v>7.4129999999999995E-3</c:v>
                </c:pt>
                <c:pt idx="1398">
                  <c:v>7.4129999999999995E-3</c:v>
                </c:pt>
                <c:pt idx="1399">
                  <c:v>7.4129999999999995E-3</c:v>
                </c:pt>
                <c:pt idx="1400">
                  <c:v>7.4129999999999995E-3</c:v>
                </c:pt>
                <c:pt idx="1401">
                  <c:v>7.4129999999999995E-3</c:v>
                </c:pt>
                <c:pt idx="1402">
                  <c:v>7.4129999999999995E-3</c:v>
                </c:pt>
                <c:pt idx="1403">
                  <c:v>7.4129999999999995E-3</c:v>
                </c:pt>
                <c:pt idx="1404">
                  <c:v>7.4129999999999995E-3</c:v>
                </c:pt>
                <c:pt idx="1405">
                  <c:v>7.4129999999999995E-3</c:v>
                </c:pt>
                <c:pt idx="1406">
                  <c:v>7.4129999999999995E-3</c:v>
                </c:pt>
                <c:pt idx="1407">
                  <c:v>7.4129999999999995E-3</c:v>
                </c:pt>
                <c:pt idx="1408">
                  <c:v>7.4129999999999995E-3</c:v>
                </c:pt>
                <c:pt idx="1409">
                  <c:v>7.4129999999999995E-3</c:v>
                </c:pt>
                <c:pt idx="1410">
                  <c:v>7.4129999999999995E-3</c:v>
                </c:pt>
                <c:pt idx="1411">
                  <c:v>7.4129999999999995E-3</c:v>
                </c:pt>
                <c:pt idx="1412">
                  <c:v>7.4129999999999995E-3</c:v>
                </c:pt>
                <c:pt idx="1413">
                  <c:v>7.4129999999999995E-3</c:v>
                </c:pt>
                <c:pt idx="1414">
                  <c:v>7.4129999999999995E-3</c:v>
                </c:pt>
                <c:pt idx="1415">
                  <c:v>7.4129999999999995E-3</c:v>
                </c:pt>
                <c:pt idx="1416">
                  <c:v>7.4129999999999995E-3</c:v>
                </c:pt>
                <c:pt idx="1417">
                  <c:v>7.4129999999999995E-3</c:v>
                </c:pt>
                <c:pt idx="1418">
                  <c:v>7.4129999999999995E-3</c:v>
                </c:pt>
                <c:pt idx="1419">
                  <c:v>7.4129999999999995E-3</c:v>
                </c:pt>
                <c:pt idx="1420">
                  <c:v>1.6468333333333335E-2</c:v>
                </c:pt>
                <c:pt idx="1421">
                  <c:v>1.6468333333333335E-2</c:v>
                </c:pt>
                <c:pt idx="1422">
                  <c:v>1.6468333333333335E-2</c:v>
                </c:pt>
                <c:pt idx="1423">
                  <c:v>1.6468333333333335E-2</c:v>
                </c:pt>
                <c:pt idx="1424">
                  <c:v>1.6468333333333335E-2</c:v>
                </c:pt>
                <c:pt idx="1425">
                  <c:v>1.6468333333333335E-2</c:v>
                </c:pt>
                <c:pt idx="1426">
                  <c:v>1.6468333333333335E-2</c:v>
                </c:pt>
                <c:pt idx="1427">
                  <c:v>1.6468333333333335E-2</c:v>
                </c:pt>
                <c:pt idx="1428">
                  <c:v>1.6468333333333335E-2</c:v>
                </c:pt>
                <c:pt idx="1429">
                  <c:v>1.6468333333333335E-2</c:v>
                </c:pt>
                <c:pt idx="1430">
                  <c:v>1.6468333333333335E-2</c:v>
                </c:pt>
                <c:pt idx="1431">
                  <c:v>1.6468333333333335E-2</c:v>
                </c:pt>
                <c:pt idx="1432">
                  <c:v>1.6468333333333335E-2</c:v>
                </c:pt>
                <c:pt idx="1433">
                  <c:v>1.6468333333333335E-2</c:v>
                </c:pt>
                <c:pt idx="1434">
                  <c:v>1.6468333333333335E-2</c:v>
                </c:pt>
                <c:pt idx="1435">
                  <c:v>1.6468333333333335E-2</c:v>
                </c:pt>
                <c:pt idx="1436">
                  <c:v>1.6468333333333335E-2</c:v>
                </c:pt>
                <c:pt idx="1437">
                  <c:v>1.6468333333333335E-2</c:v>
                </c:pt>
                <c:pt idx="1438">
                  <c:v>1.6468333333333335E-2</c:v>
                </c:pt>
                <c:pt idx="1439">
                  <c:v>1.6468333333333335E-2</c:v>
                </c:pt>
                <c:pt idx="1440">
                  <c:v>1.6468333333333335E-2</c:v>
                </c:pt>
                <c:pt idx="1441">
                  <c:v>1.6468333333333335E-2</c:v>
                </c:pt>
                <c:pt idx="1442">
                  <c:v>1.6468333333333335E-2</c:v>
                </c:pt>
                <c:pt idx="1443">
                  <c:v>1.6468333333333335E-2</c:v>
                </c:pt>
                <c:pt idx="1444">
                  <c:v>1.6468333333333335E-2</c:v>
                </c:pt>
                <c:pt idx="1445">
                  <c:v>1.6468333333333335E-2</c:v>
                </c:pt>
                <c:pt idx="1446">
                  <c:v>1.6468333333333335E-2</c:v>
                </c:pt>
                <c:pt idx="1447">
                  <c:v>1.6468333333333335E-2</c:v>
                </c:pt>
                <c:pt idx="1448">
                  <c:v>1.6468333333333335E-2</c:v>
                </c:pt>
                <c:pt idx="1449">
                  <c:v>1.6468333333333335E-2</c:v>
                </c:pt>
                <c:pt idx="1450">
                  <c:v>1.6468333333333335E-2</c:v>
                </c:pt>
                <c:pt idx="1451">
                  <c:v>1.6468333333333335E-2</c:v>
                </c:pt>
                <c:pt idx="1452">
                  <c:v>1.6468333333333335E-2</c:v>
                </c:pt>
                <c:pt idx="1453">
                  <c:v>1.6468333333333335E-2</c:v>
                </c:pt>
                <c:pt idx="1454">
                  <c:v>1.6468333333333335E-2</c:v>
                </c:pt>
                <c:pt idx="1455">
                  <c:v>1.6468333333333335E-2</c:v>
                </c:pt>
                <c:pt idx="1456">
                  <c:v>1.6468333333333335E-2</c:v>
                </c:pt>
                <c:pt idx="1457">
                  <c:v>1.6468333333333335E-2</c:v>
                </c:pt>
                <c:pt idx="1458">
                  <c:v>1.6468333333333335E-2</c:v>
                </c:pt>
                <c:pt idx="1459">
                  <c:v>1.6468333333333335E-2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4.3467666666666661E-2</c:v>
                </c:pt>
                <c:pt idx="1490">
                  <c:v>4.3467666666666661E-2</c:v>
                </c:pt>
                <c:pt idx="1491">
                  <c:v>4.3467666666666661E-2</c:v>
                </c:pt>
                <c:pt idx="1492">
                  <c:v>4.3467666666666661E-2</c:v>
                </c:pt>
                <c:pt idx="1493">
                  <c:v>4.3467666666666661E-2</c:v>
                </c:pt>
                <c:pt idx="1494">
                  <c:v>4.3467666666666661E-2</c:v>
                </c:pt>
                <c:pt idx="1495">
                  <c:v>4.3467666666666661E-2</c:v>
                </c:pt>
                <c:pt idx="1496">
                  <c:v>4.3467666666666661E-2</c:v>
                </c:pt>
                <c:pt idx="1497">
                  <c:v>4.3467666666666661E-2</c:v>
                </c:pt>
                <c:pt idx="1498">
                  <c:v>4.3467666666666661E-2</c:v>
                </c:pt>
                <c:pt idx="1499">
                  <c:v>4.3467666666666661E-2</c:v>
                </c:pt>
                <c:pt idx="1500">
                  <c:v>4.3467666666666661E-2</c:v>
                </c:pt>
                <c:pt idx="1501">
                  <c:v>4.3467666666666661E-2</c:v>
                </c:pt>
                <c:pt idx="1502">
                  <c:v>4.3467666666666661E-2</c:v>
                </c:pt>
                <c:pt idx="1503">
                  <c:v>4.3467666666666661E-2</c:v>
                </c:pt>
                <c:pt idx="1504">
                  <c:v>4.3467666666666661E-2</c:v>
                </c:pt>
                <c:pt idx="1505">
                  <c:v>4.3467666666666661E-2</c:v>
                </c:pt>
                <c:pt idx="1506">
                  <c:v>4.3467666666666661E-2</c:v>
                </c:pt>
                <c:pt idx="1507">
                  <c:v>4.3467666666666661E-2</c:v>
                </c:pt>
                <c:pt idx="1508">
                  <c:v>4.3467666666666661E-2</c:v>
                </c:pt>
                <c:pt idx="1509">
                  <c:v>4.3467666666666661E-2</c:v>
                </c:pt>
                <c:pt idx="1510">
                  <c:v>4.3467666666666661E-2</c:v>
                </c:pt>
                <c:pt idx="1511">
                  <c:v>4.3467666666666661E-2</c:v>
                </c:pt>
                <c:pt idx="1512">
                  <c:v>4.3467666666666661E-2</c:v>
                </c:pt>
                <c:pt idx="1513">
                  <c:v>4.3467666666666661E-2</c:v>
                </c:pt>
                <c:pt idx="1514">
                  <c:v>4.3467666666666661E-2</c:v>
                </c:pt>
                <c:pt idx="1515">
                  <c:v>4.3467666666666661E-2</c:v>
                </c:pt>
                <c:pt idx="1516">
                  <c:v>4.3467666666666661E-2</c:v>
                </c:pt>
                <c:pt idx="1517">
                  <c:v>4.3467666666666661E-2</c:v>
                </c:pt>
                <c:pt idx="1518">
                  <c:v>4.3467666666666661E-2</c:v>
                </c:pt>
                <c:pt idx="1519">
                  <c:v>4.3467666666666661E-2</c:v>
                </c:pt>
                <c:pt idx="1520">
                  <c:v>4.3467666666666661E-2</c:v>
                </c:pt>
                <c:pt idx="1521">
                  <c:v>4.3467666666666661E-2</c:v>
                </c:pt>
                <c:pt idx="1522">
                  <c:v>4.3467666666666661E-2</c:v>
                </c:pt>
                <c:pt idx="1523">
                  <c:v>4.3467666666666661E-2</c:v>
                </c:pt>
                <c:pt idx="1524">
                  <c:v>4.3467666666666661E-2</c:v>
                </c:pt>
                <c:pt idx="1525">
                  <c:v>4.3467666666666661E-2</c:v>
                </c:pt>
                <c:pt idx="1526">
                  <c:v>4.3467666666666661E-2</c:v>
                </c:pt>
                <c:pt idx="1527">
                  <c:v>4.3467666666666661E-2</c:v>
                </c:pt>
                <c:pt idx="1528">
                  <c:v>4.3467666666666661E-2</c:v>
                </c:pt>
                <c:pt idx="1529">
                  <c:v>4.3467666666666661E-2</c:v>
                </c:pt>
                <c:pt idx="1530">
                  <c:v>4.3467666666666661E-2</c:v>
                </c:pt>
                <c:pt idx="1531">
                  <c:v>4.3467666666666661E-2</c:v>
                </c:pt>
                <c:pt idx="1532">
                  <c:v>4.3467666666666661E-2</c:v>
                </c:pt>
                <c:pt idx="1533">
                  <c:v>4.3467666666666661E-2</c:v>
                </c:pt>
                <c:pt idx="1534">
                  <c:v>4.3467666666666661E-2</c:v>
                </c:pt>
                <c:pt idx="1535">
                  <c:v>4.3467666666666661E-2</c:v>
                </c:pt>
                <c:pt idx="1536">
                  <c:v>4.3467666666666661E-2</c:v>
                </c:pt>
                <c:pt idx="1537">
                  <c:v>4.3467666666666661E-2</c:v>
                </c:pt>
                <c:pt idx="1538">
                  <c:v>4.3467666666666661E-2</c:v>
                </c:pt>
                <c:pt idx="1539">
                  <c:v>4.3467666666666661E-2</c:v>
                </c:pt>
                <c:pt idx="1540">
                  <c:v>4.3467666666666661E-2</c:v>
                </c:pt>
                <c:pt idx="1541">
                  <c:v>4.3467666666666661E-2</c:v>
                </c:pt>
                <c:pt idx="1542">
                  <c:v>4.3467666666666661E-2</c:v>
                </c:pt>
                <c:pt idx="1543">
                  <c:v>4.3467666666666661E-2</c:v>
                </c:pt>
                <c:pt idx="1544">
                  <c:v>4.3467666666666661E-2</c:v>
                </c:pt>
                <c:pt idx="1545">
                  <c:v>4.3467666666666661E-2</c:v>
                </c:pt>
                <c:pt idx="1546">
                  <c:v>4.3467666666666661E-2</c:v>
                </c:pt>
                <c:pt idx="1547">
                  <c:v>4.3467666666666661E-2</c:v>
                </c:pt>
                <c:pt idx="1548">
                  <c:v>4.3467666666666661E-2</c:v>
                </c:pt>
                <c:pt idx="1549">
                  <c:v>4.3467666666666661E-2</c:v>
                </c:pt>
                <c:pt idx="1550">
                  <c:v>3.0678999999999998E-2</c:v>
                </c:pt>
                <c:pt idx="1551">
                  <c:v>3.0678999999999998E-2</c:v>
                </c:pt>
                <c:pt idx="1552">
                  <c:v>3.0678999999999998E-2</c:v>
                </c:pt>
                <c:pt idx="1553">
                  <c:v>3.0678999999999998E-2</c:v>
                </c:pt>
                <c:pt idx="1554">
                  <c:v>3.0678999999999998E-2</c:v>
                </c:pt>
                <c:pt idx="1555">
                  <c:v>3.0678999999999998E-2</c:v>
                </c:pt>
                <c:pt idx="1556">
                  <c:v>3.0678999999999998E-2</c:v>
                </c:pt>
                <c:pt idx="1557">
                  <c:v>3.0678999999999998E-2</c:v>
                </c:pt>
                <c:pt idx="1558">
                  <c:v>3.0678999999999998E-2</c:v>
                </c:pt>
                <c:pt idx="1559">
                  <c:v>2.7005666666666664E-2</c:v>
                </c:pt>
                <c:pt idx="1560">
                  <c:v>2.7005666666666664E-2</c:v>
                </c:pt>
                <c:pt idx="1561">
                  <c:v>2.7005666666666664E-2</c:v>
                </c:pt>
                <c:pt idx="1562">
                  <c:v>2.7005666666666664E-2</c:v>
                </c:pt>
                <c:pt idx="1563">
                  <c:v>2.7005666666666664E-2</c:v>
                </c:pt>
                <c:pt idx="1564">
                  <c:v>2.7005666666666664E-2</c:v>
                </c:pt>
                <c:pt idx="1565">
                  <c:v>2.7005666666666664E-2</c:v>
                </c:pt>
                <c:pt idx="1566">
                  <c:v>2.7005666666666664E-2</c:v>
                </c:pt>
                <c:pt idx="1567">
                  <c:v>2.7005666666666664E-2</c:v>
                </c:pt>
                <c:pt idx="1568">
                  <c:v>2.7005666666666664E-2</c:v>
                </c:pt>
                <c:pt idx="1569">
                  <c:v>2.7005666666666664E-2</c:v>
                </c:pt>
                <c:pt idx="1570">
                  <c:v>1.5954666666666669E-2</c:v>
                </c:pt>
                <c:pt idx="1571">
                  <c:v>1.5954666666666669E-2</c:v>
                </c:pt>
                <c:pt idx="1572">
                  <c:v>1.5954666666666669E-2</c:v>
                </c:pt>
                <c:pt idx="1573">
                  <c:v>1.5954666666666669E-2</c:v>
                </c:pt>
                <c:pt idx="1574">
                  <c:v>1.5954666666666669E-2</c:v>
                </c:pt>
                <c:pt idx="1575">
                  <c:v>1.5954666666666669E-2</c:v>
                </c:pt>
                <c:pt idx="1576">
                  <c:v>1.5954666666666669E-2</c:v>
                </c:pt>
                <c:pt idx="1577">
                  <c:v>1.5954666666666669E-2</c:v>
                </c:pt>
                <c:pt idx="1578">
                  <c:v>1.5954666666666669E-2</c:v>
                </c:pt>
                <c:pt idx="1579">
                  <c:v>1.5954666666666669E-2</c:v>
                </c:pt>
                <c:pt idx="1580">
                  <c:v>1.5954666666666669E-2</c:v>
                </c:pt>
                <c:pt idx="1581">
                  <c:v>1.5954666666666669E-2</c:v>
                </c:pt>
                <c:pt idx="1582">
                  <c:v>1.5954666666666669E-2</c:v>
                </c:pt>
                <c:pt idx="1583">
                  <c:v>1.5954666666666669E-2</c:v>
                </c:pt>
                <c:pt idx="1584">
                  <c:v>1.5954666666666669E-2</c:v>
                </c:pt>
                <c:pt idx="1585">
                  <c:v>1.5954666666666669E-2</c:v>
                </c:pt>
                <c:pt idx="1586">
                  <c:v>1.5954666666666669E-2</c:v>
                </c:pt>
                <c:pt idx="1587">
                  <c:v>1.5954666666666669E-2</c:v>
                </c:pt>
                <c:pt idx="1588">
                  <c:v>1.5954666666666669E-2</c:v>
                </c:pt>
                <c:pt idx="1589">
                  <c:v>1.5954666666666669E-2</c:v>
                </c:pt>
                <c:pt idx="1590">
                  <c:v>1.5954666666666669E-2</c:v>
                </c:pt>
                <c:pt idx="1591">
                  <c:v>1.5954666666666669E-2</c:v>
                </c:pt>
                <c:pt idx="1592">
                  <c:v>1.5954666666666669E-2</c:v>
                </c:pt>
                <c:pt idx="1593">
                  <c:v>1.5954666666666669E-2</c:v>
                </c:pt>
                <c:pt idx="1594">
                  <c:v>1.5954666666666669E-2</c:v>
                </c:pt>
                <c:pt idx="1595">
                  <c:v>1.5954666666666669E-2</c:v>
                </c:pt>
                <c:pt idx="1596">
                  <c:v>1.5954666666666669E-2</c:v>
                </c:pt>
                <c:pt idx="1597">
                  <c:v>1.5954666666666669E-2</c:v>
                </c:pt>
                <c:pt idx="1598">
                  <c:v>1.5954666666666669E-2</c:v>
                </c:pt>
                <c:pt idx="1599">
                  <c:v>1.5954666666666669E-2</c:v>
                </c:pt>
                <c:pt idx="1600">
                  <c:v>1.7743999999999999E-2</c:v>
                </c:pt>
                <c:pt idx="1601">
                  <c:v>1.7743999999999999E-2</c:v>
                </c:pt>
                <c:pt idx="1602">
                  <c:v>1.7743999999999999E-2</c:v>
                </c:pt>
                <c:pt idx="1603">
                  <c:v>1.7743999999999999E-2</c:v>
                </c:pt>
                <c:pt idx="1604">
                  <c:v>1.7743999999999999E-2</c:v>
                </c:pt>
                <c:pt idx="1605">
                  <c:v>1.7743999999999999E-2</c:v>
                </c:pt>
                <c:pt idx="1606">
                  <c:v>1.7743999999999999E-2</c:v>
                </c:pt>
                <c:pt idx="1607">
                  <c:v>1.7743999999999999E-2</c:v>
                </c:pt>
                <c:pt idx="1608">
                  <c:v>1.7743999999999999E-2</c:v>
                </c:pt>
                <c:pt idx="1609">
                  <c:v>1.7743999999999999E-2</c:v>
                </c:pt>
                <c:pt idx="1610">
                  <c:v>1.7743999999999999E-2</c:v>
                </c:pt>
                <c:pt idx="1611">
                  <c:v>3.6055666666666666E-2</c:v>
                </c:pt>
                <c:pt idx="1612">
                  <c:v>3.6055666666666666E-2</c:v>
                </c:pt>
                <c:pt idx="1613">
                  <c:v>3.6055666666666666E-2</c:v>
                </c:pt>
                <c:pt idx="1614">
                  <c:v>3.6055666666666666E-2</c:v>
                </c:pt>
                <c:pt idx="1615">
                  <c:v>3.6055666666666666E-2</c:v>
                </c:pt>
                <c:pt idx="1616">
                  <c:v>3.6055666666666666E-2</c:v>
                </c:pt>
                <c:pt idx="1617">
                  <c:v>3.6055666666666666E-2</c:v>
                </c:pt>
                <c:pt idx="1618">
                  <c:v>3.6055666666666666E-2</c:v>
                </c:pt>
                <c:pt idx="1619">
                  <c:v>3.6055666666666666E-2</c:v>
                </c:pt>
                <c:pt idx="1620">
                  <c:v>3.771766666666667E-2</c:v>
                </c:pt>
                <c:pt idx="1621">
                  <c:v>3.771766666666667E-2</c:v>
                </c:pt>
                <c:pt idx="1622">
                  <c:v>3.771766666666667E-2</c:v>
                </c:pt>
                <c:pt idx="1623">
                  <c:v>3.771766666666667E-2</c:v>
                </c:pt>
                <c:pt idx="1624">
                  <c:v>3.771766666666667E-2</c:v>
                </c:pt>
                <c:pt idx="1625">
                  <c:v>3.771766666666667E-2</c:v>
                </c:pt>
                <c:pt idx="1626">
                  <c:v>3.771766666666667E-2</c:v>
                </c:pt>
                <c:pt idx="1627">
                  <c:v>3.771766666666667E-2</c:v>
                </c:pt>
                <c:pt idx="1628">
                  <c:v>3.771766666666667E-2</c:v>
                </c:pt>
                <c:pt idx="1629">
                  <c:v>3.771766666666667E-2</c:v>
                </c:pt>
                <c:pt idx="1630">
                  <c:v>4.0145E-2</c:v>
                </c:pt>
                <c:pt idx="1631">
                  <c:v>4.0145E-2</c:v>
                </c:pt>
                <c:pt idx="1632">
                  <c:v>4.0145E-2</c:v>
                </c:pt>
                <c:pt idx="1633">
                  <c:v>4.0145E-2</c:v>
                </c:pt>
                <c:pt idx="1634">
                  <c:v>4.0145E-2</c:v>
                </c:pt>
                <c:pt idx="1635">
                  <c:v>4.0145E-2</c:v>
                </c:pt>
                <c:pt idx="1636">
                  <c:v>4.0145E-2</c:v>
                </c:pt>
                <c:pt idx="1637">
                  <c:v>4.0145E-2</c:v>
                </c:pt>
                <c:pt idx="1638">
                  <c:v>4.0145E-2</c:v>
                </c:pt>
                <c:pt idx="1639">
                  <c:v>4.0145E-2</c:v>
                </c:pt>
                <c:pt idx="1640">
                  <c:v>3.0147E-2</c:v>
                </c:pt>
                <c:pt idx="1641">
                  <c:v>3.0147E-2</c:v>
                </c:pt>
                <c:pt idx="1642">
                  <c:v>3.0147E-2</c:v>
                </c:pt>
                <c:pt idx="1643">
                  <c:v>3.0147E-2</c:v>
                </c:pt>
                <c:pt idx="1644">
                  <c:v>3.0147E-2</c:v>
                </c:pt>
                <c:pt idx="1645">
                  <c:v>3.0147E-2</c:v>
                </c:pt>
                <c:pt idx="1646">
                  <c:v>3.0147E-2</c:v>
                </c:pt>
                <c:pt idx="1647">
                  <c:v>3.0147E-2</c:v>
                </c:pt>
                <c:pt idx="1648">
                  <c:v>3.0147E-2</c:v>
                </c:pt>
                <c:pt idx="1649">
                  <c:v>3.0147E-2</c:v>
                </c:pt>
                <c:pt idx="1650">
                  <c:v>3.0147E-2</c:v>
                </c:pt>
                <c:pt idx="1651">
                  <c:v>3.0147E-2</c:v>
                </c:pt>
                <c:pt idx="1652">
                  <c:v>3.0147E-2</c:v>
                </c:pt>
                <c:pt idx="1653">
                  <c:v>3.0147E-2</c:v>
                </c:pt>
                <c:pt idx="1654">
                  <c:v>3.0147E-2</c:v>
                </c:pt>
                <c:pt idx="1655">
                  <c:v>3.0147E-2</c:v>
                </c:pt>
                <c:pt idx="1656">
                  <c:v>3.0147E-2</c:v>
                </c:pt>
                <c:pt idx="1657">
                  <c:v>3.0147E-2</c:v>
                </c:pt>
                <c:pt idx="1658">
                  <c:v>3.0147E-2</c:v>
                </c:pt>
                <c:pt idx="1659">
                  <c:v>3.0147E-2</c:v>
                </c:pt>
                <c:pt idx="1660">
                  <c:v>3.0147E-2</c:v>
                </c:pt>
                <c:pt idx="1661">
                  <c:v>3.0147E-2</c:v>
                </c:pt>
                <c:pt idx="1662">
                  <c:v>3.0147E-2</c:v>
                </c:pt>
                <c:pt idx="1663">
                  <c:v>3.0147E-2</c:v>
                </c:pt>
                <c:pt idx="1664">
                  <c:v>3.0147E-2</c:v>
                </c:pt>
                <c:pt idx="1665">
                  <c:v>3.0147E-2</c:v>
                </c:pt>
                <c:pt idx="1666">
                  <c:v>3.0147E-2</c:v>
                </c:pt>
                <c:pt idx="1667">
                  <c:v>3.0147E-2</c:v>
                </c:pt>
                <c:pt idx="1668">
                  <c:v>3.0147E-2</c:v>
                </c:pt>
                <c:pt idx="1669">
                  <c:v>3.0147E-2</c:v>
                </c:pt>
                <c:pt idx="1670">
                  <c:v>1.3337333333333336E-2</c:v>
                </c:pt>
                <c:pt idx="1671">
                  <c:v>1.3337333333333336E-2</c:v>
                </c:pt>
                <c:pt idx="1672">
                  <c:v>1.3337333333333336E-2</c:v>
                </c:pt>
                <c:pt idx="1673">
                  <c:v>1.3337333333333336E-2</c:v>
                </c:pt>
                <c:pt idx="1674">
                  <c:v>1.3337333333333336E-2</c:v>
                </c:pt>
                <c:pt idx="1675">
                  <c:v>1.3337333333333336E-2</c:v>
                </c:pt>
                <c:pt idx="1676">
                  <c:v>1.3337333333333336E-2</c:v>
                </c:pt>
                <c:pt idx="1677">
                  <c:v>1.3337333333333336E-2</c:v>
                </c:pt>
                <c:pt idx="1678">
                  <c:v>1.3337333333333336E-2</c:v>
                </c:pt>
                <c:pt idx="1679">
                  <c:v>1.3337333333333336E-2</c:v>
                </c:pt>
                <c:pt idx="1680">
                  <c:v>1.3337333333333336E-2</c:v>
                </c:pt>
                <c:pt idx="1681">
                  <c:v>1.6493333333333334E-3</c:v>
                </c:pt>
                <c:pt idx="1682">
                  <c:v>1.6493333333333334E-3</c:v>
                </c:pt>
                <c:pt idx="1683">
                  <c:v>1.6493333333333334E-3</c:v>
                </c:pt>
                <c:pt idx="1684">
                  <c:v>1.6493333333333334E-3</c:v>
                </c:pt>
                <c:pt idx="1685">
                  <c:v>1.6493333333333334E-3</c:v>
                </c:pt>
                <c:pt idx="1686">
                  <c:v>1.6493333333333334E-3</c:v>
                </c:pt>
                <c:pt idx="1687">
                  <c:v>1.6493333333333334E-3</c:v>
                </c:pt>
                <c:pt idx="1688">
                  <c:v>1.6493333333333334E-3</c:v>
                </c:pt>
                <c:pt idx="1689">
                  <c:v>1.6493333333333334E-3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7.7619999999999989E-3</c:v>
                </c:pt>
                <c:pt idx="1741">
                  <c:v>7.7619999999999989E-3</c:v>
                </c:pt>
                <c:pt idx="1742">
                  <c:v>7.7619999999999989E-3</c:v>
                </c:pt>
                <c:pt idx="1743">
                  <c:v>7.7619999999999989E-3</c:v>
                </c:pt>
                <c:pt idx="1744">
                  <c:v>7.7619999999999989E-3</c:v>
                </c:pt>
                <c:pt idx="1745">
                  <c:v>7.7619999999999989E-3</c:v>
                </c:pt>
                <c:pt idx="1746">
                  <c:v>7.7619999999999989E-3</c:v>
                </c:pt>
                <c:pt idx="1747">
                  <c:v>7.7619999999999989E-3</c:v>
                </c:pt>
                <c:pt idx="1748">
                  <c:v>7.7619999999999989E-3</c:v>
                </c:pt>
                <c:pt idx="1749">
                  <c:v>7.7619999999999989E-3</c:v>
                </c:pt>
                <c:pt idx="1750">
                  <c:v>1.0083E-2</c:v>
                </c:pt>
                <c:pt idx="1751">
                  <c:v>1.0083E-2</c:v>
                </c:pt>
                <c:pt idx="1752">
                  <c:v>1.0083E-2</c:v>
                </c:pt>
                <c:pt idx="1753">
                  <c:v>1.0083E-2</c:v>
                </c:pt>
                <c:pt idx="1754">
                  <c:v>1.0083E-2</c:v>
                </c:pt>
                <c:pt idx="1755">
                  <c:v>1.0083E-2</c:v>
                </c:pt>
                <c:pt idx="1756">
                  <c:v>1.0083E-2</c:v>
                </c:pt>
                <c:pt idx="1757">
                  <c:v>1.0083E-2</c:v>
                </c:pt>
                <c:pt idx="1758">
                  <c:v>1.0083E-2</c:v>
                </c:pt>
                <c:pt idx="1759">
                  <c:v>1.0083E-2</c:v>
                </c:pt>
                <c:pt idx="1760">
                  <c:v>2.7566E-2</c:v>
                </c:pt>
                <c:pt idx="1761">
                  <c:v>2.7566E-2</c:v>
                </c:pt>
                <c:pt idx="1762">
                  <c:v>2.7566E-2</c:v>
                </c:pt>
                <c:pt idx="1763">
                  <c:v>2.7566E-2</c:v>
                </c:pt>
                <c:pt idx="1764">
                  <c:v>2.7566E-2</c:v>
                </c:pt>
                <c:pt idx="1765">
                  <c:v>2.7566E-2</c:v>
                </c:pt>
                <c:pt idx="1766">
                  <c:v>2.7566E-2</c:v>
                </c:pt>
                <c:pt idx="1767">
                  <c:v>2.7566E-2</c:v>
                </c:pt>
                <c:pt idx="1768">
                  <c:v>2.7566E-2</c:v>
                </c:pt>
                <c:pt idx="1769">
                  <c:v>2.7566E-2</c:v>
                </c:pt>
                <c:pt idx="1770">
                  <c:v>2.7566E-2</c:v>
                </c:pt>
                <c:pt idx="1771">
                  <c:v>3.0946333333333329E-2</c:v>
                </c:pt>
                <c:pt idx="1772">
                  <c:v>3.0946333333333329E-2</c:v>
                </c:pt>
                <c:pt idx="1773">
                  <c:v>3.0946333333333329E-2</c:v>
                </c:pt>
                <c:pt idx="1774">
                  <c:v>3.0946333333333329E-2</c:v>
                </c:pt>
                <c:pt idx="1775">
                  <c:v>3.0946333333333329E-2</c:v>
                </c:pt>
                <c:pt idx="1776">
                  <c:v>3.0946333333333329E-2</c:v>
                </c:pt>
                <c:pt idx="1777">
                  <c:v>3.0946333333333329E-2</c:v>
                </c:pt>
                <c:pt idx="1778">
                  <c:v>3.0946333333333329E-2</c:v>
                </c:pt>
                <c:pt idx="1779">
                  <c:v>3.0946333333333329E-2</c:v>
                </c:pt>
                <c:pt idx="1780">
                  <c:v>4.9634999999999999E-2</c:v>
                </c:pt>
                <c:pt idx="1781">
                  <c:v>4.9634999999999999E-2</c:v>
                </c:pt>
                <c:pt idx="1782">
                  <c:v>4.9634999999999999E-2</c:v>
                </c:pt>
                <c:pt idx="1783">
                  <c:v>4.9634999999999999E-2</c:v>
                </c:pt>
                <c:pt idx="1784">
                  <c:v>4.9634999999999999E-2</c:v>
                </c:pt>
                <c:pt idx="1785">
                  <c:v>4.9634999999999999E-2</c:v>
                </c:pt>
                <c:pt idx="1786">
                  <c:v>4.9634999999999999E-2</c:v>
                </c:pt>
                <c:pt idx="1787">
                  <c:v>4.9634999999999999E-2</c:v>
                </c:pt>
                <c:pt idx="1788">
                  <c:v>4.9634999999999999E-2</c:v>
                </c:pt>
                <c:pt idx="1789">
                  <c:v>4.9634999999999999E-2</c:v>
                </c:pt>
                <c:pt idx="1790">
                  <c:v>4.9634999999999999E-2</c:v>
                </c:pt>
                <c:pt idx="1791">
                  <c:v>4.9634999999999999E-2</c:v>
                </c:pt>
                <c:pt idx="1792">
                  <c:v>4.9634999999999999E-2</c:v>
                </c:pt>
                <c:pt idx="1793">
                  <c:v>4.9634999999999999E-2</c:v>
                </c:pt>
                <c:pt idx="1794">
                  <c:v>4.9634999999999999E-2</c:v>
                </c:pt>
                <c:pt idx="1795">
                  <c:v>4.9634999999999999E-2</c:v>
                </c:pt>
                <c:pt idx="1796">
                  <c:v>4.9634999999999999E-2</c:v>
                </c:pt>
                <c:pt idx="1797">
                  <c:v>4.9634999999999999E-2</c:v>
                </c:pt>
                <c:pt idx="1798">
                  <c:v>4.9634999999999999E-2</c:v>
                </c:pt>
                <c:pt idx="1799">
                  <c:v>4.9634999999999999E-2</c:v>
                </c:pt>
                <c:pt idx="1800">
                  <c:v>4.9634999999999999E-2</c:v>
                </c:pt>
                <c:pt idx="1801">
                  <c:v>4.9634999999999999E-2</c:v>
                </c:pt>
                <c:pt idx="1802">
                  <c:v>4.9634999999999999E-2</c:v>
                </c:pt>
                <c:pt idx="1803">
                  <c:v>4.9634999999999999E-2</c:v>
                </c:pt>
                <c:pt idx="1804">
                  <c:v>4.9634999999999999E-2</c:v>
                </c:pt>
                <c:pt idx="1805">
                  <c:v>4.9634999999999999E-2</c:v>
                </c:pt>
                <c:pt idx="1806">
                  <c:v>4.9634999999999999E-2</c:v>
                </c:pt>
                <c:pt idx="1807">
                  <c:v>4.9634999999999999E-2</c:v>
                </c:pt>
                <c:pt idx="1808">
                  <c:v>4.9634999999999999E-2</c:v>
                </c:pt>
                <c:pt idx="1809">
                  <c:v>4.9634999999999999E-2</c:v>
                </c:pt>
                <c:pt idx="1810">
                  <c:v>3.1055333333333338E-2</c:v>
                </c:pt>
                <c:pt idx="1811">
                  <c:v>3.1055333333333338E-2</c:v>
                </c:pt>
                <c:pt idx="1812">
                  <c:v>3.1055333333333338E-2</c:v>
                </c:pt>
                <c:pt idx="1813">
                  <c:v>3.1055333333333338E-2</c:v>
                </c:pt>
                <c:pt idx="1814">
                  <c:v>3.1055333333333338E-2</c:v>
                </c:pt>
                <c:pt idx="1815">
                  <c:v>3.1055333333333338E-2</c:v>
                </c:pt>
                <c:pt idx="1816">
                  <c:v>3.1055333333333338E-2</c:v>
                </c:pt>
                <c:pt idx="1817">
                  <c:v>3.1055333333333338E-2</c:v>
                </c:pt>
                <c:pt idx="1818">
                  <c:v>3.1055333333333338E-2</c:v>
                </c:pt>
                <c:pt idx="1819">
                  <c:v>3.1055333333333338E-2</c:v>
                </c:pt>
                <c:pt idx="1820">
                  <c:v>3.0125999999999997E-2</c:v>
                </c:pt>
                <c:pt idx="1821">
                  <c:v>3.0125999999999997E-2</c:v>
                </c:pt>
                <c:pt idx="1822">
                  <c:v>3.0125999999999997E-2</c:v>
                </c:pt>
                <c:pt idx="1823">
                  <c:v>3.0125999999999997E-2</c:v>
                </c:pt>
                <c:pt idx="1824">
                  <c:v>3.0125999999999997E-2</c:v>
                </c:pt>
                <c:pt idx="1825">
                  <c:v>3.0125999999999997E-2</c:v>
                </c:pt>
                <c:pt idx="1826">
                  <c:v>3.0125999999999997E-2</c:v>
                </c:pt>
                <c:pt idx="1827">
                  <c:v>3.0125999999999997E-2</c:v>
                </c:pt>
                <c:pt idx="1828">
                  <c:v>3.0125999999999997E-2</c:v>
                </c:pt>
                <c:pt idx="1829">
                  <c:v>3.0125999999999997E-2</c:v>
                </c:pt>
                <c:pt idx="1830">
                  <c:v>2.7912999999999997E-2</c:v>
                </c:pt>
                <c:pt idx="1831">
                  <c:v>2.7912999999999997E-2</c:v>
                </c:pt>
                <c:pt idx="1832">
                  <c:v>2.7912999999999997E-2</c:v>
                </c:pt>
                <c:pt idx="1833">
                  <c:v>2.7912999999999997E-2</c:v>
                </c:pt>
                <c:pt idx="1834">
                  <c:v>2.7912999999999997E-2</c:v>
                </c:pt>
                <c:pt idx="1835">
                  <c:v>2.7912999999999997E-2</c:v>
                </c:pt>
                <c:pt idx="1836">
                  <c:v>2.7912999999999997E-2</c:v>
                </c:pt>
                <c:pt idx="1837">
                  <c:v>2.7912999999999997E-2</c:v>
                </c:pt>
                <c:pt idx="1838">
                  <c:v>2.7912999999999997E-2</c:v>
                </c:pt>
                <c:pt idx="1839">
                  <c:v>2.7912999999999997E-2</c:v>
                </c:pt>
                <c:pt idx="1840">
                  <c:v>2.7912999999999997E-2</c:v>
                </c:pt>
                <c:pt idx="1841">
                  <c:v>3.2565666666666666E-2</c:v>
                </c:pt>
                <c:pt idx="1842">
                  <c:v>3.2565666666666666E-2</c:v>
                </c:pt>
                <c:pt idx="1843">
                  <c:v>3.2565666666666666E-2</c:v>
                </c:pt>
                <c:pt idx="1844">
                  <c:v>3.2565666666666666E-2</c:v>
                </c:pt>
                <c:pt idx="1845">
                  <c:v>3.2565666666666666E-2</c:v>
                </c:pt>
                <c:pt idx="1846">
                  <c:v>3.2565666666666666E-2</c:v>
                </c:pt>
                <c:pt idx="1847">
                  <c:v>3.2565666666666666E-2</c:v>
                </c:pt>
                <c:pt idx="1848">
                  <c:v>3.2565666666666666E-2</c:v>
                </c:pt>
                <c:pt idx="1849">
                  <c:v>3.2565666666666666E-2</c:v>
                </c:pt>
                <c:pt idx="1850">
                  <c:v>2.7439000000000002E-2</c:v>
                </c:pt>
                <c:pt idx="1851">
                  <c:v>2.7439000000000002E-2</c:v>
                </c:pt>
                <c:pt idx="1852">
                  <c:v>2.7439000000000002E-2</c:v>
                </c:pt>
                <c:pt idx="1853">
                  <c:v>2.7439000000000002E-2</c:v>
                </c:pt>
                <c:pt idx="1854">
                  <c:v>2.7439000000000002E-2</c:v>
                </c:pt>
                <c:pt idx="1855">
                  <c:v>2.7439000000000002E-2</c:v>
                </c:pt>
                <c:pt idx="1856">
                  <c:v>2.7439000000000002E-2</c:v>
                </c:pt>
                <c:pt idx="1857">
                  <c:v>2.7439000000000002E-2</c:v>
                </c:pt>
                <c:pt idx="1858">
                  <c:v>2.7439000000000002E-2</c:v>
                </c:pt>
                <c:pt idx="1859">
                  <c:v>2.7439000000000002E-2</c:v>
                </c:pt>
                <c:pt idx="1860">
                  <c:v>2.7439000000000002E-2</c:v>
                </c:pt>
                <c:pt idx="1861">
                  <c:v>2.7439000000000002E-2</c:v>
                </c:pt>
                <c:pt idx="1862">
                  <c:v>2.7439000000000002E-2</c:v>
                </c:pt>
                <c:pt idx="1863">
                  <c:v>2.7439000000000002E-2</c:v>
                </c:pt>
                <c:pt idx="1864">
                  <c:v>2.7439000000000002E-2</c:v>
                </c:pt>
                <c:pt idx="1865">
                  <c:v>2.7439000000000002E-2</c:v>
                </c:pt>
                <c:pt idx="1866">
                  <c:v>2.7439000000000002E-2</c:v>
                </c:pt>
                <c:pt idx="1867">
                  <c:v>2.7439000000000002E-2</c:v>
                </c:pt>
                <c:pt idx="1868">
                  <c:v>2.7439000000000002E-2</c:v>
                </c:pt>
                <c:pt idx="1869">
                  <c:v>2.7439000000000002E-2</c:v>
                </c:pt>
                <c:pt idx="1870">
                  <c:v>2.7439000000000002E-2</c:v>
                </c:pt>
                <c:pt idx="1871">
                  <c:v>2.7439000000000002E-2</c:v>
                </c:pt>
                <c:pt idx="1872">
                  <c:v>2.7439000000000002E-2</c:v>
                </c:pt>
                <c:pt idx="1873">
                  <c:v>2.7439000000000002E-2</c:v>
                </c:pt>
                <c:pt idx="1874">
                  <c:v>2.7439000000000002E-2</c:v>
                </c:pt>
                <c:pt idx="1875">
                  <c:v>2.7439000000000002E-2</c:v>
                </c:pt>
                <c:pt idx="1876">
                  <c:v>2.7439000000000002E-2</c:v>
                </c:pt>
                <c:pt idx="1877">
                  <c:v>2.7439000000000002E-2</c:v>
                </c:pt>
                <c:pt idx="1878">
                  <c:v>2.7439000000000002E-2</c:v>
                </c:pt>
                <c:pt idx="1879">
                  <c:v>1.9735333333333334E-2</c:v>
                </c:pt>
                <c:pt idx="1880">
                  <c:v>1.9735333333333334E-2</c:v>
                </c:pt>
                <c:pt idx="1881">
                  <c:v>1.9735333333333334E-2</c:v>
                </c:pt>
                <c:pt idx="1882">
                  <c:v>1.9735333333333334E-2</c:v>
                </c:pt>
                <c:pt idx="1883">
                  <c:v>1.9735333333333334E-2</c:v>
                </c:pt>
                <c:pt idx="1884">
                  <c:v>1.9735333333333334E-2</c:v>
                </c:pt>
                <c:pt idx="1885">
                  <c:v>1.9735333333333334E-2</c:v>
                </c:pt>
                <c:pt idx="1886">
                  <c:v>1.9735333333333334E-2</c:v>
                </c:pt>
                <c:pt idx="1887">
                  <c:v>1.9735333333333334E-2</c:v>
                </c:pt>
                <c:pt idx="1888">
                  <c:v>1.9735333333333334E-2</c:v>
                </c:pt>
                <c:pt idx="1889">
                  <c:v>1.9735333333333334E-2</c:v>
                </c:pt>
                <c:pt idx="1890">
                  <c:v>1.6606666666666669E-2</c:v>
                </c:pt>
                <c:pt idx="1891">
                  <c:v>1.6606666666666669E-2</c:v>
                </c:pt>
                <c:pt idx="1892">
                  <c:v>1.6606666666666669E-2</c:v>
                </c:pt>
                <c:pt idx="1893">
                  <c:v>1.6606666666666669E-2</c:v>
                </c:pt>
                <c:pt idx="1894">
                  <c:v>1.6606666666666669E-2</c:v>
                </c:pt>
                <c:pt idx="1895">
                  <c:v>1.6606666666666669E-2</c:v>
                </c:pt>
                <c:pt idx="1896">
                  <c:v>1.6606666666666669E-2</c:v>
                </c:pt>
                <c:pt idx="1897">
                  <c:v>1.6606666666666669E-2</c:v>
                </c:pt>
                <c:pt idx="1898">
                  <c:v>1.6606666666666669E-2</c:v>
                </c:pt>
                <c:pt idx="1899">
                  <c:v>1.6606666666666669E-2</c:v>
                </c:pt>
                <c:pt idx="1900">
                  <c:v>1.6232666666666666E-2</c:v>
                </c:pt>
                <c:pt idx="1901">
                  <c:v>1.6232666666666666E-2</c:v>
                </c:pt>
                <c:pt idx="1902">
                  <c:v>1.6232666666666666E-2</c:v>
                </c:pt>
                <c:pt idx="1903">
                  <c:v>1.6232666666666666E-2</c:v>
                </c:pt>
                <c:pt idx="1904">
                  <c:v>1.6232666666666666E-2</c:v>
                </c:pt>
                <c:pt idx="1905">
                  <c:v>1.6232666666666666E-2</c:v>
                </c:pt>
                <c:pt idx="1906">
                  <c:v>1.6232666666666666E-2</c:v>
                </c:pt>
                <c:pt idx="1907">
                  <c:v>1.6232666666666666E-2</c:v>
                </c:pt>
                <c:pt idx="1908">
                  <c:v>1.6232666666666666E-2</c:v>
                </c:pt>
                <c:pt idx="1909">
                  <c:v>1.6232666666666666E-2</c:v>
                </c:pt>
                <c:pt idx="1910">
                  <c:v>1.3059666666666667E-2</c:v>
                </c:pt>
                <c:pt idx="1911">
                  <c:v>1.3059666666666667E-2</c:v>
                </c:pt>
                <c:pt idx="1912">
                  <c:v>1.3059666666666667E-2</c:v>
                </c:pt>
                <c:pt idx="1913">
                  <c:v>1.3059666666666667E-2</c:v>
                </c:pt>
                <c:pt idx="1914">
                  <c:v>1.3059666666666667E-2</c:v>
                </c:pt>
                <c:pt idx="1915">
                  <c:v>1.3059666666666667E-2</c:v>
                </c:pt>
                <c:pt idx="1916">
                  <c:v>1.3059666666666667E-2</c:v>
                </c:pt>
                <c:pt idx="1917">
                  <c:v>1.3059666666666667E-2</c:v>
                </c:pt>
                <c:pt idx="1918">
                  <c:v>1.3059666666666667E-2</c:v>
                </c:pt>
                <c:pt idx="1919">
                  <c:v>1.3059666666666667E-2</c:v>
                </c:pt>
                <c:pt idx="1920">
                  <c:v>1.3154333333333332E-2</c:v>
                </c:pt>
                <c:pt idx="1921">
                  <c:v>1.3154333333333332E-2</c:v>
                </c:pt>
                <c:pt idx="1922">
                  <c:v>1.3154333333333332E-2</c:v>
                </c:pt>
                <c:pt idx="1923">
                  <c:v>1.3154333333333332E-2</c:v>
                </c:pt>
                <c:pt idx="1924">
                  <c:v>1.3154333333333332E-2</c:v>
                </c:pt>
                <c:pt idx="1925">
                  <c:v>1.3154333333333332E-2</c:v>
                </c:pt>
                <c:pt idx="1926">
                  <c:v>1.3154333333333332E-2</c:v>
                </c:pt>
                <c:pt idx="1927">
                  <c:v>1.3154333333333332E-2</c:v>
                </c:pt>
                <c:pt idx="1928">
                  <c:v>1.3154333333333332E-2</c:v>
                </c:pt>
                <c:pt idx="1929">
                  <c:v>1.3154333333333332E-2</c:v>
                </c:pt>
                <c:pt idx="1930">
                  <c:v>1.3154333333333332E-2</c:v>
                </c:pt>
                <c:pt idx="1931">
                  <c:v>1.3154333333333332E-2</c:v>
                </c:pt>
                <c:pt idx="1932">
                  <c:v>1.3154333333333332E-2</c:v>
                </c:pt>
                <c:pt idx="1933">
                  <c:v>1.3154333333333332E-2</c:v>
                </c:pt>
                <c:pt idx="1934">
                  <c:v>1.3154333333333332E-2</c:v>
                </c:pt>
                <c:pt idx="1935">
                  <c:v>1.3154333333333332E-2</c:v>
                </c:pt>
                <c:pt idx="1936">
                  <c:v>1.3154333333333332E-2</c:v>
                </c:pt>
                <c:pt idx="1937">
                  <c:v>1.3154333333333332E-2</c:v>
                </c:pt>
                <c:pt idx="1938">
                  <c:v>1.3154333333333332E-2</c:v>
                </c:pt>
                <c:pt idx="1939">
                  <c:v>1.3154333333333332E-2</c:v>
                </c:pt>
                <c:pt idx="1940">
                  <c:v>1.3154333333333332E-2</c:v>
                </c:pt>
                <c:pt idx="1941">
                  <c:v>1.3154333333333332E-2</c:v>
                </c:pt>
                <c:pt idx="1942">
                  <c:v>1.3154333333333332E-2</c:v>
                </c:pt>
                <c:pt idx="1943">
                  <c:v>1.3154333333333332E-2</c:v>
                </c:pt>
                <c:pt idx="1944">
                  <c:v>1.3154333333333332E-2</c:v>
                </c:pt>
                <c:pt idx="1945">
                  <c:v>1.3154333333333332E-2</c:v>
                </c:pt>
                <c:pt idx="1946">
                  <c:v>1.3154333333333332E-2</c:v>
                </c:pt>
                <c:pt idx="1947">
                  <c:v>1.3154333333333332E-2</c:v>
                </c:pt>
                <c:pt idx="1948">
                  <c:v>1.3154333333333332E-2</c:v>
                </c:pt>
                <c:pt idx="1949">
                  <c:v>1.3154333333333332E-2</c:v>
                </c:pt>
                <c:pt idx="1950">
                  <c:v>4.1156666666666668E-3</c:v>
                </c:pt>
                <c:pt idx="1951">
                  <c:v>4.1156666666666668E-3</c:v>
                </c:pt>
                <c:pt idx="1952">
                  <c:v>4.1156666666666668E-3</c:v>
                </c:pt>
                <c:pt idx="1953">
                  <c:v>4.1156666666666668E-3</c:v>
                </c:pt>
                <c:pt idx="1954">
                  <c:v>4.1156666666666668E-3</c:v>
                </c:pt>
                <c:pt idx="1955">
                  <c:v>4.1156666666666668E-3</c:v>
                </c:pt>
                <c:pt idx="1956">
                  <c:v>4.1156666666666668E-3</c:v>
                </c:pt>
                <c:pt idx="1957">
                  <c:v>4.1156666666666668E-3</c:v>
                </c:pt>
                <c:pt idx="1958">
                  <c:v>4.1156666666666668E-3</c:v>
                </c:pt>
                <c:pt idx="1959">
                  <c:v>4.1156666666666668E-3</c:v>
                </c:pt>
                <c:pt idx="1960">
                  <c:v>4.1156666666666668E-3</c:v>
                </c:pt>
                <c:pt idx="1961">
                  <c:v>8.679000000000001E-3</c:v>
                </c:pt>
                <c:pt idx="1962">
                  <c:v>8.679000000000001E-3</c:v>
                </c:pt>
                <c:pt idx="1963">
                  <c:v>8.679000000000001E-3</c:v>
                </c:pt>
                <c:pt idx="1964">
                  <c:v>8.679000000000001E-3</c:v>
                </c:pt>
                <c:pt idx="1965">
                  <c:v>8.679000000000001E-3</c:v>
                </c:pt>
                <c:pt idx="1966">
                  <c:v>8.679000000000001E-3</c:v>
                </c:pt>
                <c:pt idx="1967">
                  <c:v>8.679000000000001E-3</c:v>
                </c:pt>
                <c:pt idx="1968">
                  <c:v>8.679000000000001E-3</c:v>
                </c:pt>
                <c:pt idx="1969">
                  <c:v>8.679000000000001E-3</c:v>
                </c:pt>
                <c:pt idx="1970">
                  <c:v>8.679000000000001E-3</c:v>
                </c:pt>
                <c:pt idx="1971">
                  <c:v>5.6443333333333337E-3</c:v>
                </c:pt>
                <c:pt idx="1972">
                  <c:v>5.6443333333333337E-3</c:v>
                </c:pt>
                <c:pt idx="1973">
                  <c:v>5.6443333333333337E-3</c:v>
                </c:pt>
                <c:pt idx="1974">
                  <c:v>5.6443333333333337E-3</c:v>
                </c:pt>
                <c:pt idx="1975">
                  <c:v>5.6443333333333337E-3</c:v>
                </c:pt>
                <c:pt idx="1976">
                  <c:v>5.6443333333333337E-3</c:v>
                </c:pt>
                <c:pt idx="1977">
                  <c:v>5.6443333333333337E-3</c:v>
                </c:pt>
                <c:pt idx="1978">
                  <c:v>5.6443333333333337E-3</c:v>
                </c:pt>
                <c:pt idx="1979">
                  <c:v>5.6443333333333337E-3</c:v>
                </c:pt>
                <c:pt idx="1980">
                  <c:v>5.6443333333333337E-3</c:v>
                </c:pt>
                <c:pt idx="1981">
                  <c:v>5.6443333333333337E-3</c:v>
                </c:pt>
                <c:pt idx="1982">
                  <c:v>5.6443333333333337E-3</c:v>
                </c:pt>
                <c:pt idx="1983">
                  <c:v>5.6443333333333337E-3</c:v>
                </c:pt>
                <c:pt idx="1984">
                  <c:v>5.6443333333333337E-3</c:v>
                </c:pt>
                <c:pt idx="1985">
                  <c:v>5.6443333333333337E-3</c:v>
                </c:pt>
                <c:pt idx="1986">
                  <c:v>5.6443333333333337E-3</c:v>
                </c:pt>
                <c:pt idx="1987">
                  <c:v>5.6443333333333337E-3</c:v>
                </c:pt>
                <c:pt idx="1988">
                  <c:v>5.6443333333333337E-3</c:v>
                </c:pt>
                <c:pt idx="1989">
                  <c:v>5.6443333333333337E-3</c:v>
                </c:pt>
                <c:pt idx="1990">
                  <c:v>5.6443333333333337E-3</c:v>
                </c:pt>
                <c:pt idx="1991">
                  <c:v>5.6443333333333337E-3</c:v>
                </c:pt>
                <c:pt idx="1992">
                  <c:v>5.6443333333333337E-3</c:v>
                </c:pt>
                <c:pt idx="1993">
                  <c:v>5.6443333333333337E-3</c:v>
                </c:pt>
                <c:pt idx="1994">
                  <c:v>5.6443333333333337E-3</c:v>
                </c:pt>
                <c:pt idx="1995">
                  <c:v>5.6443333333333337E-3</c:v>
                </c:pt>
                <c:pt idx="1996">
                  <c:v>5.6443333333333337E-3</c:v>
                </c:pt>
                <c:pt idx="1997">
                  <c:v>5.6443333333333337E-3</c:v>
                </c:pt>
                <c:pt idx="1998">
                  <c:v>5.6443333333333337E-3</c:v>
                </c:pt>
                <c:pt idx="1999">
                  <c:v>5.6443333333333337E-3</c:v>
                </c:pt>
                <c:pt idx="2000">
                  <c:v>5.6443333333333337E-3</c:v>
                </c:pt>
                <c:pt idx="2001">
                  <c:v>5.6443333333333337E-3</c:v>
                </c:pt>
                <c:pt idx="2002">
                  <c:v>5.6443333333333337E-3</c:v>
                </c:pt>
                <c:pt idx="2003">
                  <c:v>5.6443333333333337E-3</c:v>
                </c:pt>
                <c:pt idx="2004">
                  <c:v>5.6443333333333337E-3</c:v>
                </c:pt>
                <c:pt idx="2005">
                  <c:v>5.6443333333333337E-3</c:v>
                </c:pt>
                <c:pt idx="2006">
                  <c:v>5.6443333333333337E-3</c:v>
                </c:pt>
                <c:pt idx="2007">
                  <c:v>5.6443333333333337E-3</c:v>
                </c:pt>
                <c:pt idx="2008">
                  <c:v>5.6443333333333337E-3</c:v>
                </c:pt>
                <c:pt idx="2009">
                  <c:v>5.6443333333333337E-3</c:v>
                </c:pt>
                <c:pt idx="2010">
                  <c:v>5.6443333333333337E-3</c:v>
                </c:pt>
                <c:pt idx="2011">
                  <c:v>5.6443333333333337E-3</c:v>
                </c:pt>
                <c:pt idx="2012">
                  <c:v>5.6443333333333337E-3</c:v>
                </c:pt>
                <c:pt idx="2013">
                  <c:v>5.6443333333333337E-3</c:v>
                </c:pt>
                <c:pt idx="2014">
                  <c:v>5.6443333333333337E-3</c:v>
                </c:pt>
                <c:pt idx="2015">
                  <c:v>5.6443333333333337E-3</c:v>
                </c:pt>
                <c:pt idx="2016">
                  <c:v>5.6443333333333337E-3</c:v>
                </c:pt>
                <c:pt idx="2017">
                  <c:v>5.6443333333333337E-3</c:v>
                </c:pt>
                <c:pt idx="2018">
                  <c:v>5.6443333333333337E-3</c:v>
                </c:pt>
                <c:pt idx="2019">
                  <c:v>5.6443333333333337E-3</c:v>
                </c:pt>
                <c:pt idx="2020">
                  <c:v>5.6443333333333337E-3</c:v>
                </c:pt>
                <c:pt idx="2021">
                  <c:v>8.044666666666667E-3</c:v>
                </c:pt>
                <c:pt idx="2022">
                  <c:v>8.044666666666667E-3</c:v>
                </c:pt>
                <c:pt idx="2023">
                  <c:v>8.044666666666667E-3</c:v>
                </c:pt>
                <c:pt idx="2024">
                  <c:v>8.044666666666667E-3</c:v>
                </c:pt>
                <c:pt idx="2025">
                  <c:v>8.044666666666667E-3</c:v>
                </c:pt>
                <c:pt idx="2026">
                  <c:v>8.044666666666667E-3</c:v>
                </c:pt>
                <c:pt idx="2027">
                  <c:v>8.044666666666667E-3</c:v>
                </c:pt>
                <c:pt idx="2028">
                  <c:v>8.044666666666667E-3</c:v>
                </c:pt>
                <c:pt idx="2029">
                  <c:v>8.044666666666667E-3</c:v>
                </c:pt>
                <c:pt idx="2030">
                  <c:v>1.1700666666666668E-2</c:v>
                </c:pt>
                <c:pt idx="2031">
                  <c:v>1.1700666666666668E-2</c:v>
                </c:pt>
                <c:pt idx="2032">
                  <c:v>1.1700666666666668E-2</c:v>
                </c:pt>
                <c:pt idx="2033">
                  <c:v>1.1700666666666668E-2</c:v>
                </c:pt>
                <c:pt idx="2034">
                  <c:v>1.1700666666666668E-2</c:v>
                </c:pt>
                <c:pt idx="2035">
                  <c:v>1.1700666666666668E-2</c:v>
                </c:pt>
                <c:pt idx="2036">
                  <c:v>1.1700666666666668E-2</c:v>
                </c:pt>
                <c:pt idx="2037">
                  <c:v>1.1700666666666668E-2</c:v>
                </c:pt>
                <c:pt idx="2038">
                  <c:v>1.1700666666666668E-2</c:v>
                </c:pt>
                <c:pt idx="2039">
                  <c:v>1.1700666666666668E-2</c:v>
                </c:pt>
                <c:pt idx="2040">
                  <c:v>1.1700666666666668E-2</c:v>
                </c:pt>
                <c:pt idx="2041">
                  <c:v>1.1700666666666668E-2</c:v>
                </c:pt>
                <c:pt idx="2042">
                  <c:v>1.1700666666666668E-2</c:v>
                </c:pt>
                <c:pt idx="2043">
                  <c:v>1.1700666666666668E-2</c:v>
                </c:pt>
                <c:pt idx="2044">
                  <c:v>1.1700666666666668E-2</c:v>
                </c:pt>
                <c:pt idx="2045">
                  <c:v>1.1700666666666668E-2</c:v>
                </c:pt>
                <c:pt idx="2046">
                  <c:v>1.1700666666666668E-2</c:v>
                </c:pt>
                <c:pt idx="2047">
                  <c:v>1.1700666666666668E-2</c:v>
                </c:pt>
                <c:pt idx="2048">
                  <c:v>1.1700666666666668E-2</c:v>
                </c:pt>
                <c:pt idx="2049">
                  <c:v>1.1700666666666668E-2</c:v>
                </c:pt>
                <c:pt idx="2050">
                  <c:v>5.6593333333333331E-3</c:v>
                </c:pt>
                <c:pt idx="2051">
                  <c:v>5.6593333333333331E-3</c:v>
                </c:pt>
                <c:pt idx="2052">
                  <c:v>5.6593333333333331E-3</c:v>
                </c:pt>
                <c:pt idx="2053">
                  <c:v>5.6593333333333331E-3</c:v>
                </c:pt>
                <c:pt idx="2054">
                  <c:v>5.6593333333333331E-3</c:v>
                </c:pt>
                <c:pt idx="2055">
                  <c:v>5.6593333333333331E-3</c:v>
                </c:pt>
                <c:pt idx="2056">
                  <c:v>5.6593333333333331E-3</c:v>
                </c:pt>
                <c:pt idx="2057">
                  <c:v>5.6593333333333331E-3</c:v>
                </c:pt>
                <c:pt idx="2058">
                  <c:v>5.6593333333333331E-3</c:v>
                </c:pt>
                <c:pt idx="2059">
                  <c:v>5.6593333333333331E-3</c:v>
                </c:pt>
                <c:pt idx="2060">
                  <c:v>5.9083333333333331E-3</c:v>
                </c:pt>
                <c:pt idx="2061">
                  <c:v>5.9083333333333331E-3</c:v>
                </c:pt>
                <c:pt idx="2062">
                  <c:v>5.9083333333333331E-3</c:v>
                </c:pt>
                <c:pt idx="2063">
                  <c:v>5.9083333333333331E-3</c:v>
                </c:pt>
                <c:pt idx="2064">
                  <c:v>5.9083333333333331E-3</c:v>
                </c:pt>
                <c:pt idx="2065">
                  <c:v>5.9083333333333331E-3</c:v>
                </c:pt>
                <c:pt idx="2066">
                  <c:v>5.9083333333333331E-3</c:v>
                </c:pt>
                <c:pt idx="2067">
                  <c:v>5.9083333333333331E-3</c:v>
                </c:pt>
                <c:pt idx="2068">
                  <c:v>5.9083333333333331E-3</c:v>
                </c:pt>
                <c:pt idx="2069">
                  <c:v>5.9083333333333331E-3</c:v>
                </c:pt>
                <c:pt idx="2070">
                  <c:v>5.9083333333333331E-3</c:v>
                </c:pt>
                <c:pt idx="2071">
                  <c:v>5.9083333333333331E-3</c:v>
                </c:pt>
                <c:pt idx="2072">
                  <c:v>5.9083333333333331E-3</c:v>
                </c:pt>
                <c:pt idx="2073">
                  <c:v>5.9083333333333331E-3</c:v>
                </c:pt>
                <c:pt idx="2074">
                  <c:v>5.9083333333333331E-3</c:v>
                </c:pt>
                <c:pt idx="2075">
                  <c:v>5.9083333333333331E-3</c:v>
                </c:pt>
                <c:pt idx="2076">
                  <c:v>5.9083333333333331E-3</c:v>
                </c:pt>
                <c:pt idx="2077">
                  <c:v>5.9083333333333331E-3</c:v>
                </c:pt>
                <c:pt idx="2078">
                  <c:v>5.9083333333333331E-3</c:v>
                </c:pt>
                <c:pt idx="2079">
                  <c:v>5.9083333333333331E-3</c:v>
                </c:pt>
                <c:pt idx="2080">
                  <c:v>5.9083333333333331E-3</c:v>
                </c:pt>
                <c:pt idx="2081">
                  <c:v>5.9083333333333331E-3</c:v>
                </c:pt>
                <c:pt idx="2082">
                  <c:v>5.9083333333333331E-3</c:v>
                </c:pt>
                <c:pt idx="2083">
                  <c:v>5.9083333333333331E-3</c:v>
                </c:pt>
                <c:pt idx="2084">
                  <c:v>5.9083333333333331E-3</c:v>
                </c:pt>
                <c:pt idx="2085">
                  <c:v>5.9083333333333331E-3</c:v>
                </c:pt>
                <c:pt idx="2086">
                  <c:v>5.9083333333333331E-3</c:v>
                </c:pt>
                <c:pt idx="2087">
                  <c:v>5.9083333333333331E-3</c:v>
                </c:pt>
                <c:pt idx="2088">
                  <c:v>5.9083333333333331E-3</c:v>
                </c:pt>
                <c:pt idx="2089">
                  <c:v>5.9083333333333331E-3</c:v>
                </c:pt>
                <c:pt idx="2090">
                  <c:v>1.3526666666666666E-2</c:v>
                </c:pt>
                <c:pt idx="2091">
                  <c:v>1.3526666666666666E-2</c:v>
                </c:pt>
                <c:pt idx="2092">
                  <c:v>1.3526666666666666E-2</c:v>
                </c:pt>
                <c:pt idx="2093">
                  <c:v>1.3526666666666666E-2</c:v>
                </c:pt>
                <c:pt idx="2094">
                  <c:v>1.3526666666666666E-2</c:v>
                </c:pt>
                <c:pt idx="2095">
                  <c:v>1.3526666666666666E-2</c:v>
                </c:pt>
                <c:pt idx="2096">
                  <c:v>1.3526666666666666E-2</c:v>
                </c:pt>
                <c:pt idx="2097">
                  <c:v>1.3526666666666666E-2</c:v>
                </c:pt>
                <c:pt idx="2098">
                  <c:v>1.3526666666666666E-2</c:v>
                </c:pt>
                <c:pt idx="2099">
                  <c:v>1.3526666666666666E-2</c:v>
                </c:pt>
                <c:pt idx="2100">
                  <c:v>1.3526666666666666E-2</c:v>
                </c:pt>
                <c:pt idx="2101">
                  <c:v>1.3526666666666666E-2</c:v>
                </c:pt>
                <c:pt idx="2102">
                  <c:v>1.3526666666666666E-2</c:v>
                </c:pt>
                <c:pt idx="2103">
                  <c:v>1.3526666666666666E-2</c:v>
                </c:pt>
                <c:pt idx="2104">
                  <c:v>1.3526666666666666E-2</c:v>
                </c:pt>
                <c:pt idx="2105">
                  <c:v>1.3526666666666666E-2</c:v>
                </c:pt>
                <c:pt idx="2106">
                  <c:v>1.3526666666666666E-2</c:v>
                </c:pt>
                <c:pt idx="2107">
                  <c:v>1.3526666666666666E-2</c:v>
                </c:pt>
                <c:pt idx="2108">
                  <c:v>1.3526666666666666E-2</c:v>
                </c:pt>
                <c:pt idx="2109">
                  <c:v>1.3526666666666666E-2</c:v>
                </c:pt>
                <c:pt idx="2110">
                  <c:v>1.3526666666666666E-2</c:v>
                </c:pt>
                <c:pt idx="2111">
                  <c:v>1.4257666666666663E-2</c:v>
                </c:pt>
                <c:pt idx="2112">
                  <c:v>1.4257666666666663E-2</c:v>
                </c:pt>
                <c:pt idx="2113">
                  <c:v>1.4257666666666663E-2</c:v>
                </c:pt>
                <c:pt idx="2114">
                  <c:v>1.4257666666666663E-2</c:v>
                </c:pt>
                <c:pt idx="2115">
                  <c:v>1.4257666666666663E-2</c:v>
                </c:pt>
                <c:pt idx="2116">
                  <c:v>1.4257666666666663E-2</c:v>
                </c:pt>
                <c:pt idx="2117">
                  <c:v>1.4257666666666663E-2</c:v>
                </c:pt>
                <c:pt idx="2118">
                  <c:v>1.4257666666666663E-2</c:v>
                </c:pt>
                <c:pt idx="2119">
                  <c:v>1.4257666666666663E-2</c:v>
                </c:pt>
                <c:pt idx="2120">
                  <c:v>1.4257666666666663E-2</c:v>
                </c:pt>
                <c:pt idx="2121">
                  <c:v>1.3079999999999998E-2</c:v>
                </c:pt>
                <c:pt idx="2122">
                  <c:v>1.3079999999999998E-2</c:v>
                </c:pt>
                <c:pt idx="2123">
                  <c:v>1.3079999999999998E-2</c:v>
                </c:pt>
                <c:pt idx="2124">
                  <c:v>1.3079999999999998E-2</c:v>
                </c:pt>
                <c:pt idx="2125">
                  <c:v>1.3079999999999998E-2</c:v>
                </c:pt>
                <c:pt idx="2126">
                  <c:v>1.3079999999999998E-2</c:v>
                </c:pt>
                <c:pt idx="2127">
                  <c:v>1.3079999999999998E-2</c:v>
                </c:pt>
                <c:pt idx="2128">
                  <c:v>1.3079999999999998E-2</c:v>
                </c:pt>
                <c:pt idx="2129">
                  <c:v>1.3079999999999998E-2</c:v>
                </c:pt>
                <c:pt idx="2130">
                  <c:v>8.8266666666666667E-3</c:v>
                </c:pt>
                <c:pt idx="2131">
                  <c:v>8.8266666666666667E-3</c:v>
                </c:pt>
                <c:pt idx="2132">
                  <c:v>8.8266666666666667E-3</c:v>
                </c:pt>
                <c:pt idx="2133">
                  <c:v>8.8266666666666667E-3</c:v>
                </c:pt>
                <c:pt idx="2134">
                  <c:v>8.8266666666666667E-3</c:v>
                </c:pt>
                <c:pt idx="2135">
                  <c:v>8.8266666666666667E-3</c:v>
                </c:pt>
                <c:pt idx="2136">
                  <c:v>8.8266666666666667E-3</c:v>
                </c:pt>
                <c:pt idx="2137">
                  <c:v>8.8266666666666667E-3</c:v>
                </c:pt>
                <c:pt idx="2138">
                  <c:v>8.8266666666666667E-3</c:v>
                </c:pt>
                <c:pt idx="2139">
                  <c:v>8.8266666666666667E-3</c:v>
                </c:pt>
                <c:pt idx="2140">
                  <c:v>8.8266666666666667E-3</c:v>
                </c:pt>
                <c:pt idx="2141">
                  <c:v>8.8266666666666667E-3</c:v>
                </c:pt>
                <c:pt idx="2142">
                  <c:v>8.8266666666666667E-3</c:v>
                </c:pt>
                <c:pt idx="2143">
                  <c:v>8.8266666666666667E-3</c:v>
                </c:pt>
                <c:pt idx="2144">
                  <c:v>8.8266666666666667E-3</c:v>
                </c:pt>
                <c:pt idx="2145">
                  <c:v>8.8266666666666667E-3</c:v>
                </c:pt>
                <c:pt idx="2146">
                  <c:v>8.8266666666666667E-3</c:v>
                </c:pt>
                <c:pt idx="2147">
                  <c:v>8.8266666666666667E-3</c:v>
                </c:pt>
                <c:pt idx="2148">
                  <c:v>8.8266666666666667E-3</c:v>
                </c:pt>
                <c:pt idx="2149">
                  <c:v>8.8266666666666667E-3</c:v>
                </c:pt>
                <c:pt idx="2150">
                  <c:v>8.8266666666666667E-3</c:v>
                </c:pt>
                <c:pt idx="2151">
                  <c:v>8.8266666666666667E-3</c:v>
                </c:pt>
                <c:pt idx="2152">
                  <c:v>8.8266666666666667E-3</c:v>
                </c:pt>
                <c:pt idx="2153">
                  <c:v>8.8266666666666667E-3</c:v>
                </c:pt>
                <c:pt idx="2154">
                  <c:v>8.8266666666666667E-3</c:v>
                </c:pt>
                <c:pt idx="2155">
                  <c:v>8.8266666666666667E-3</c:v>
                </c:pt>
                <c:pt idx="2156">
                  <c:v>8.8266666666666667E-3</c:v>
                </c:pt>
                <c:pt idx="2157">
                  <c:v>8.8266666666666667E-3</c:v>
                </c:pt>
                <c:pt idx="2158">
                  <c:v>8.8266666666666667E-3</c:v>
                </c:pt>
                <c:pt idx="2159">
                  <c:v>8.8266666666666667E-3</c:v>
                </c:pt>
                <c:pt idx="2160">
                  <c:v>1.0483666666666667E-2</c:v>
                </c:pt>
                <c:pt idx="2161">
                  <c:v>1.0483666666666667E-2</c:v>
                </c:pt>
                <c:pt idx="2162">
                  <c:v>1.0483666666666667E-2</c:v>
                </c:pt>
                <c:pt idx="2163">
                  <c:v>1.0483666666666667E-2</c:v>
                </c:pt>
                <c:pt idx="2164">
                  <c:v>1.0483666666666667E-2</c:v>
                </c:pt>
                <c:pt idx="2165">
                  <c:v>1.0483666666666667E-2</c:v>
                </c:pt>
                <c:pt idx="2166">
                  <c:v>1.0483666666666667E-2</c:v>
                </c:pt>
                <c:pt idx="2167">
                  <c:v>1.0483666666666667E-2</c:v>
                </c:pt>
                <c:pt idx="2168">
                  <c:v>1.0483666666666667E-2</c:v>
                </c:pt>
                <c:pt idx="2169">
                  <c:v>1.0483666666666667E-2</c:v>
                </c:pt>
                <c:pt idx="2170">
                  <c:v>6.744E-3</c:v>
                </c:pt>
                <c:pt idx="2171">
                  <c:v>6.744E-3</c:v>
                </c:pt>
                <c:pt idx="2172">
                  <c:v>6.744E-3</c:v>
                </c:pt>
                <c:pt idx="2173">
                  <c:v>6.744E-3</c:v>
                </c:pt>
                <c:pt idx="2174">
                  <c:v>6.744E-3</c:v>
                </c:pt>
                <c:pt idx="2175">
                  <c:v>6.744E-3</c:v>
                </c:pt>
                <c:pt idx="2176">
                  <c:v>6.744E-3</c:v>
                </c:pt>
                <c:pt idx="2177">
                  <c:v>6.744E-3</c:v>
                </c:pt>
                <c:pt idx="2178">
                  <c:v>6.744E-3</c:v>
                </c:pt>
                <c:pt idx="2179">
                  <c:v>6.744E-3</c:v>
                </c:pt>
                <c:pt idx="2180">
                  <c:v>1.3442999999999998E-2</c:v>
                </c:pt>
                <c:pt idx="2181">
                  <c:v>1.3442999999999998E-2</c:v>
                </c:pt>
                <c:pt idx="2182">
                  <c:v>1.3442999999999998E-2</c:v>
                </c:pt>
                <c:pt idx="2183">
                  <c:v>1.3442999999999998E-2</c:v>
                </c:pt>
                <c:pt idx="2184">
                  <c:v>1.3442999999999998E-2</c:v>
                </c:pt>
                <c:pt idx="2185">
                  <c:v>1.3442999999999998E-2</c:v>
                </c:pt>
                <c:pt idx="2186">
                  <c:v>1.3442999999999998E-2</c:v>
                </c:pt>
                <c:pt idx="2187">
                  <c:v>1.3442999999999998E-2</c:v>
                </c:pt>
                <c:pt idx="2188">
                  <c:v>1.3442999999999998E-2</c:v>
                </c:pt>
                <c:pt idx="2189">
                  <c:v>1.3442999999999998E-2</c:v>
                </c:pt>
                <c:pt idx="2190">
                  <c:v>1.4416999999999999E-2</c:v>
                </c:pt>
                <c:pt idx="2191">
                  <c:v>1.4416999999999999E-2</c:v>
                </c:pt>
                <c:pt idx="2192">
                  <c:v>1.4416999999999999E-2</c:v>
                </c:pt>
                <c:pt idx="2193">
                  <c:v>1.4416999999999999E-2</c:v>
                </c:pt>
                <c:pt idx="2194">
                  <c:v>1.4416999999999999E-2</c:v>
                </c:pt>
                <c:pt idx="2195">
                  <c:v>1.4416999999999999E-2</c:v>
                </c:pt>
                <c:pt idx="2196">
                  <c:v>1.4416999999999999E-2</c:v>
                </c:pt>
                <c:pt idx="2197">
                  <c:v>1.4416999999999999E-2</c:v>
                </c:pt>
                <c:pt idx="2198">
                  <c:v>1.4416999999999999E-2</c:v>
                </c:pt>
                <c:pt idx="2199">
                  <c:v>1.4416999999999999E-2</c:v>
                </c:pt>
                <c:pt idx="2200">
                  <c:v>1.4416999999999999E-2</c:v>
                </c:pt>
                <c:pt idx="2201">
                  <c:v>1.4416999999999999E-2</c:v>
                </c:pt>
                <c:pt idx="2202">
                  <c:v>1.4416999999999999E-2</c:v>
                </c:pt>
                <c:pt idx="2203">
                  <c:v>1.4416999999999999E-2</c:v>
                </c:pt>
                <c:pt idx="2204">
                  <c:v>1.4416999999999999E-2</c:v>
                </c:pt>
                <c:pt idx="2205">
                  <c:v>1.4416999999999999E-2</c:v>
                </c:pt>
                <c:pt idx="2206">
                  <c:v>1.4416999999999999E-2</c:v>
                </c:pt>
                <c:pt idx="2207">
                  <c:v>1.4416999999999999E-2</c:v>
                </c:pt>
                <c:pt idx="2208">
                  <c:v>1.4416999999999999E-2</c:v>
                </c:pt>
                <c:pt idx="2209">
                  <c:v>1.4416999999999999E-2</c:v>
                </c:pt>
                <c:pt idx="2210">
                  <c:v>1.4416999999999999E-2</c:v>
                </c:pt>
                <c:pt idx="2211">
                  <c:v>1.4416999999999999E-2</c:v>
                </c:pt>
                <c:pt idx="2212">
                  <c:v>1.4416999999999999E-2</c:v>
                </c:pt>
                <c:pt idx="2213">
                  <c:v>1.4416999999999999E-2</c:v>
                </c:pt>
                <c:pt idx="2214">
                  <c:v>1.4416999999999999E-2</c:v>
                </c:pt>
                <c:pt idx="2215">
                  <c:v>1.4416999999999999E-2</c:v>
                </c:pt>
                <c:pt idx="2216">
                  <c:v>1.4416999999999999E-2</c:v>
                </c:pt>
                <c:pt idx="2217">
                  <c:v>1.4416999999999999E-2</c:v>
                </c:pt>
                <c:pt idx="2218">
                  <c:v>1.4416999999999999E-2</c:v>
                </c:pt>
                <c:pt idx="2219">
                  <c:v>1.4416999999999999E-2</c:v>
                </c:pt>
                <c:pt idx="2220">
                  <c:v>1.4416999999999999E-2</c:v>
                </c:pt>
                <c:pt idx="2221">
                  <c:v>1.4416999999999999E-2</c:v>
                </c:pt>
                <c:pt idx="2222">
                  <c:v>1.4416999999999999E-2</c:v>
                </c:pt>
                <c:pt idx="2223">
                  <c:v>1.4416999999999999E-2</c:v>
                </c:pt>
                <c:pt idx="2224">
                  <c:v>1.4416999999999999E-2</c:v>
                </c:pt>
                <c:pt idx="2225">
                  <c:v>1.4416999999999999E-2</c:v>
                </c:pt>
                <c:pt idx="2226">
                  <c:v>1.4416999999999999E-2</c:v>
                </c:pt>
                <c:pt idx="2227">
                  <c:v>1.4416999999999999E-2</c:v>
                </c:pt>
                <c:pt idx="2228">
                  <c:v>1.4416999999999999E-2</c:v>
                </c:pt>
                <c:pt idx="2229">
                  <c:v>1.4416999999999999E-2</c:v>
                </c:pt>
                <c:pt idx="2230">
                  <c:v>1.4416999999999999E-2</c:v>
                </c:pt>
                <c:pt idx="2231">
                  <c:v>1.4416999999999999E-2</c:v>
                </c:pt>
                <c:pt idx="2232">
                  <c:v>1.4416999999999999E-2</c:v>
                </c:pt>
                <c:pt idx="2233">
                  <c:v>1.4416999999999999E-2</c:v>
                </c:pt>
                <c:pt idx="2234">
                  <c:v>1.4416999999999999E-2</c:v>
                </c:pt>
                <c:pt idx="2235">
                  <c:v>1.4416999999999999E-2</c:v>
                </c:pt>
                <c:pt idx="2236">
                  <c:v>1.4416999999999999E-2</c:v>
                </c:pt>
                <c:pt idx="2237">
                  <c:v>1.4416999999999999E-2</c:v>
                </c:pt>
                <c:pt idx="2238">
                  <c:v>1.4416999999999999E-2</c:v>
                </c:pt>
                <c:pt idx="2239">
                  <c:v>1.4416999999999999E-2</c:v>
                </c:pt>
                <c:pt idx="2240">
                  <c:v>1.4416999999999999E-2</c:v>
                </c:pt>
                <c:pt idx="2241">
                  <c:v>1.4416999999999999E-2</c:v>
                </c:pt>
                <c:pt idx="2242">
                  <c:v>1.4416999999999999E-2</c:v>
                </c:pt>
                <c:pt idx="2243">
                  <c:v>1.4416999999999999E-2</c:v>
                </c:pt>
                <c:pt idx="2244">
                  <c:v>1.4416999999999999E-2</c:v>
                </c:pt>
                <c:pt idx="2245">
                  <c:v>1.4416999999999999E-2</c:v>
                </c:pt>
                <c:pt idx="2246">
                  <c:v>1.4416999999999999E-2</c:v>
                </c:pt>
                <c:pt idx="2247">
                  <c:v>1.4416999999999999E-2</c:v>
                </c:pt>
                <c:pt idx="2248">
                  <c:v>1.4416999999999999E-2</c:v>
                </c:pt>
                <c:pt idx="2249">
                  <c:v>1.4416999999999999E-2</c:v>
                </c:pt>
                <c:pt idx="2250">
                  <c:v>1.4416999999999999E-2</c:v>
                </c:pt>
                <c:pt idx="2251">
                  <c:v>1.4416999999999999E-2</c:v>
                </c:pt>
                <c:pt idx="2252">
                  <c:v>1.4416999999999999E-2</c:v>
                </c:pt>
                <c:pt idx="2253">
                  <c:v>1.4416999999999999E-2</c:v>
                </c:pt>
                <c:pt idx="2254">
                  <c:v>1.4416999999999999E-2</c:v>
                </c:pt>
                <c:pt idx="2255">
                  <c:v>1.4416999999999999E-2</c:v>
                </c:pt>
                <c:pt idx="2256">
                  <c:v>1.4416999999999999E-2</c:v>
                </c:pt>
                <c:pt idx="2257">
                  <c:v>1.4416999999999999E-2</c:v>
                </c:pt>
                <c:pt idx="2258">
                  <c:v>1.4416999999999999E-2</c:v>
                </c:pt>
                <c:pt idx="2259">
                  <c:v>1.4416999999999999E-2</c:v>
                </c:pt>
                <c:pt idx="2260">
                  <c:v>1.3180333333333334E-2</c:v>
                </c:pt>
                <c:pt idx="2261">
                  <c:v>1.3180333333333334E-2</c:v>
                </c:pt>
                <c:pt idx="2262">
                  <c:v>1.3180333333333334E-2</c:v>
                </c:pt>
                <c:pt idx="2263">
                  <c:v>1.3180333333333334E-2</c:v>
                </c:pt>
                <c:pt idx="2264">
                  <c:v>1.3180333333333334E-2</c:v>
                </c:pt>
                <c:pt idx="2265">
                  <c:v>1.3180333333333334E-2</c:v>
                </c:pt>
                <c:pt idx="2266">
                  <c:v>1.3180333333333334E-2</c:v>
                </c:pt>
                <c:pt idx="2267">
                  <c:v>1.3180333333333334E-2</c:v>
                </c:pt>
                <c:pt idx="2268">
                  <c:v>1.3180333333333334E-2</c:v>
                </c:pt>
                <c:pt idx="2269">
                  <c:v>1.3180333333333334E-2</c:v>
                </c:pt>
                <c:pt idx="2270">
                  <c:v>1.3180333333333334E-2</c:v>
                </c:pt>
                <c:pt idx="2271">
                  <c:v>1.3180333333333334E-2</c:v>
                </c:pt>
                <c:pt idx="2272">
                  <c:v>1.3180333333333334E-2</c:v>
                </c:pt>
                <c:pt idx="2273">
                  <c:v>1.3180333333333334E-2</c:v>
                </c:pt>
                <c:pt idx="2274">
                  <c:v>1.3180333333333334E-2</c:v>
                </c:pt>
                <c:pt idx="2275">
                  <c:v>1.3180333333333334E-2</c:v>
                </c:pt>
                <c:pt idx="2276">
                  <c:v>1.3180333333333334E-2</c:v>
                </c:pt>
                <c:pt idx="2277">
                  <c:v>1.3180333333333334E-2</c:v>
                </c:pt>
                <c:pt idx="2278">
                  <c:v>1.3180333333333334E-2</c:v>
                </c:pt>
                <c:pt idx="2279">
                  <c:v>1.3180333333333334E-2</c:v>
                </c:pt>
                <c:pt idx="2280">
                  <c:v>1.3180333333333334E-2</c:v>
                </c:pt>
                <c:pt idx="2281">
                  <c:v>1.3180333333333334E-2</c:v>
                </c:pt>
                <c:pt idx="2282">
                  <c:v>1.3180333333333334E-2</c:v>
                </c:pt>
                <c:pt idx="2283">
                  <c:v>1.3180333333333334E-2</c:v>
                </c:pt>
                <c:pt idx="2284">
                  <c:v>1.3180333333333334E-2</c:v>
                </c:pt>
                <c:pt idx="2285">
                  <c:v>1.3180333333333334E-2</c:v>
                </c:pt>
                <c:pt idx="2286">
                  <c:v>1.3180333333333334E-2</c:v>
                </c:pt>
                <c:pt idx="2287">
                  <c:v>1.3180333333333334E-2</c:v>
                </c:pt>
                <c:pt idx="2288">
                  <c:v>1.3180333333333334E-2</c:v>
                </c:pt>
                <c:pt idx="2289">
                  <c:v>1.3180333333333334E-2</c:v>
                </c:pt>
                <c:pt idx="2290">
                  <c:v>1.3180333333333334E-2</c:v>
                </c:pt>
                <c:pt idx="2291">
                  <c:v>1.3180333333333334E-2</c:v>
                </c:pt>
                <c:pt idx="2292">
                  <c:v>1.3180333333333334E-2</c:v>
                </c:pt>
                <c:pt idx="2293">
                  <c:v>1.3180333333333334E-2</c:v>
                </c:pt>
                <c:pt idx="2294">
                  <c:v>1.3180333333333334E-2</c:v>
                </c:pt>
                <c:pt idx="2295">
                  <c:v>1.3180333333333334E-2</c:v>
                </c:pt>
                <c:pt idx="2296">
                  <c:v>1.3180333333333334E-2</c:v>
                </c:pt>
                <c:pt idx="2297">
                  <c:v>1.3180333333333334E-2</c:v>
                </c:pt>
                <c:pt idx="2298">
                  <c:v>1.3180333333333334E-2</c:v>
                </c:pt>
                <c:pt idx="2299">
                  <c:v>1.3180333333333334E-2</c:v>
                </c:pt>
                <c:pt idx="2300">
                  <c:v>1.3180333333333334E-2</c:v>
                </c:pt>
                <c:pt idx="2301">
                  <c:v>1.3180333333333334E-2</c:v>
                </c:pt>
                <c:pt idx="2302">
                  <c:v>1.3180333333333334E-2</c:v>
                </c:pt>
                <c:pt idx="2303">
                  <c:v>1.3180333333333334E-2</c:v>
                </c:pt>
                <c:pt idx="2304">
                  <c:v>1.3180333333333334E-2</c:v>
                </c:pt>
                <c:pt idx="2305">
                  <c:v>1.3180333333333334E-2</c:v>
                </c:pt>
                <c:pt idx="2306">
                  <c:v>1.3180333333333334E-2</c:v>
                </c:pt>
                <c:pt idx="2307">
                  <c:v>1.3180333333333334E-2</c:v>
                </c:pt>
                <c:pt idx="2308">
                  <c:v>1.3180333333333334E-2</c:v>
                </c:pt>
                <c:pt idx="2309">
                  <c:v>1.3180333333333334E-2</c:v>
                </c:pt>
                <c:pt idx="2310">
                  <c:v>1.3180333333333334E-2</c:v>
                </c:pt>
                <c:pt idx="2311">
                  <c:v>1.3180333333333334E-2</c:v>
                </c:pt>
                <c:pt idx="2312">
                  <c:v>1.3180333333333334E-2</c:v>
                </c:pt>
                <c:pt idx="2313">
                  <c:v>1.3180333333333334E-2</c:v>
                </c:pt>
                <c:pt idx="2314">
                  <c:v>1.3180333333333334E-2</c:v>
                </c:pt>
                <c:pt idx="2315">
                  <c:v>1.3180333333333334E-2</c:v>
                </c:pt>
                <c:pt idx="2316">
                  <c:v>1.3180333333333334E-2</c:v>
                </c:pt>
                <c:pt idx="2317">
                  <c:v>1.3180333333333334E-2</c:v>
                </c:pt>
                <c:pt idx="2318">
                  <c:v>1.3180333333333334E-2</c:v>
                </c:pt>
                <c:pt idx="2319">
                  <c:v>1.3180333333333334E-2</c:v>
                </c:pt>
                <c:pt idx="2320">
                  <c:v>1.3180333333333334E-2</c:v>
                </c:pt>
                <c:pt idx="2321">
                  <c:v>1.3180333333333334E-2</c:v>
                </c:pt>
                <c:pt idx="2322">
                  <c:v>1.3180333333333334E-2</c:v>
                </c:pt>
                <c:pt idx="2323">
                  <c:v>1.3180333333333334E-2</c:v>
                </c:pt>
                <c:pt idx="2324">
                  <c:v>1.3180333333333334E-2</c:v>
                </c:pt>
                <c:pt idx="2325">
                  <c:v>1.3180333333333334E-2</c:v>
                </c:pt>
                <c:pt idx="2326">
                  <c:v>1.3180333333333334E-2</c:v>
                </c:pt>
                <c:pt idx="2327">
                  <c:v>1.3180333333333334E-2</c:v>
                </c:pt>
                <c:pt idx="2328">
                  <c:v>1.3180333333333334E-2</c:v>
                </c:pt>
                <c:pt idx="2329">
                  <c:v>1.3180333333333334E-2</c:v>
                </c:pt>
                <c:pt idx="2330">
                  <c:v>7.9139999999999992E-3</c:v>
                </c:pt>
                <c:pt idx="2331">
                  <c:v>7.9139999999999992E-3</c:v>
                </c:pt>
                <c:pt idx="2332">
                  <c:v>7.9139999999999992E-3</c:v>
                </c:pt>
                <c:pt idx="2333">
                  <c:v>7.9139999999999992E-3</c:v>
                </c:pt>
                <c:pt idx="2334">
                  <c:v>7.9139999999999992E-3</c:v>
                </c:pt>
                <c:pt idx="2335">
                  <c:v>7.9139999999999992E-3</c:v>
                </c:pt>
                <c:pt idx="2336">
                  <c:v>7.9139999999999992E-3</c:v>
                </c:pt>
                <c:pt idx="2337">
                  <c:v>7.9139999999999992E-3</c:v>
                </c:pt>
                <c:pt idx="2338">
                  <c:v>7.9139999999999992E-3</c:v>
                </c:pt>
                <c:pt idx="2339">
                  <c:v>7.9139999999999992E-3</c:v>
                </c:pt>
                <c:pt idx="2340">
                  <c:v>7.5729999999999999E-3</c:v>
                </c:pt>
                <c:pt idx="2341">
                  <c:v>7.5729999999999999E-3</c:v>
                </c:pt>
                <c:pt idx="2342">
                  <c:v>7.5729999999999999E-3</c:v>
                </c:pt>
                <c:pt idx="2343">
                  <c:v>7.5729999999999999E-3</c:v>
                </c:pt>
                <c:pt idx="2344">
                  <c:v>7.5729999999999999E-3</c:v>
                </c:pt>
                <c:pt idx="2345">
                  <c:v>7.5729999999999999E-3</c:v>
                </c:pt>
                <c:pt idx="2346">
                  <c:v>7.5729999999999999E-3</c:v>
                </c:pt>
                <c:pt idx="2347">
                  <c:v>7.5729999999999999E-3</c:v>
                </c:pt>
                <c:pt idx="2348">
                  <c:v>7.5729999999999999E-3</c:v>
                </c:pt>
                <c:pt idx="2349">
                  <c:v>7.5729999999999999E-3</c:v>
                </c:pt>
                <c:pt idx="2350">
                  <c:v>7.5729999999999999E-3</c:v>
                </c:pt>
                <c:pt idx="2351">
                  <c:v>7.5729999999999999E-3</c:v>
                </c:pt>
                <c:pt idx="2352">
                  <c:v>7.5729999999999999E-3</c:v>
                </c:pt>
                <c:pt idx="2353">
                  <c:v>7.5729999999999999E-3</c:v>
                </c:pt>
                <c:pt idx="2354">
                  <c:v>7.5729999999999999E-3</c:v>
                </c:pt>
                <c:pt idx="2355">
                  <c:v>7.5729999999999999E-3</c:v>
                </c:pt>
                <c:pt idx="2356">
                  <c:v>7.5729999999999999E-3</c:v>
                </c:pt>
                <c:pt idx="2357">
                  <c:v>7.5729999999999999E-3</c:v>
                </c:pt>
                <c:pt idx="2358">
                  <c:v>7.5729999999999999E-3</c:v>
                </c:pt>
                <c:pt idx="2359">
                  <c:v>7.5729999999999999E-3</c:v>
                </c:pt>
                <c:pt idx="2360">
                  <c:v>7.5729999999999999E-3</c:v>
                </c:pt>
                <c:pt idx="2361">
                  <c:v>7.5729999999999999E-3</c:v>
                </c:pt>
                <c:pt idx="2362">
                  <c:v>7.5729999999999999E-3</c:v>
                </c:pt>
                <c:pt idx="2363">
                  <c:v>7.5729999999999999E-3</c:v>
                </c:pt>
                <c:pt idx="2364">
                  <c:v>7.5729999999999999E-3</c:v>
                </c:pt>
                <c:pt idx="2365">
                  <c:v>7.5729999999999999E-3</c:v>
                </c:pt>
                <c:pt idx="2366">
                  <c:v>7.5729999999999999E-3</c:v>
                </c:pt>
                <c:pt idx="2367">
                  <c:v>7.5729999999999999E-3</c:v>
                </c:pt>
                <c:pt idx="2368">
                  <c:v>7.5729999999999999E-3</c:v>
                </c:pt>
                <c:pt idx="2369">
                  <c:v>7.5729999999999999E-3</c:v>
                </c:pt>
                <c:pt idx="2370">
                  <c:v>5.0666666666666672E-3</c:v>
                </c:pt>
                <c:pt idx="2371">
                  <c:v>5.0666666666666672E-3</c:v>
                </c:pt>
                <c:pt idx="2372">
                  <c:v>5.0666666666666672E-3</c:v>
                </c:pt>
                <c:pt idx="2373">
                  <c:v>5.0666666666666672E-3</c:v>
                </c:pt>
                <c:pt idx="2374">
                  <c:v>5.0666666666666672E-3</c:v>
                </c:pt>
                <c:pt idx="2375">
                  <c:v>5.0666666666666672E-3</c:v>
                </c:pt>
                <c:pt idx="2376">
                  <c:v>5.0666666666666672E-3</c:v>
                </c:pt>
                <c:pt idx="2377">
                  <c:v>5.0666666666666672E-3</c:v>
                </c:pt>
                <c:pt idx="2378">
                  <c:v>5.0666666666666672E-3</c:v>
                </c:pt>
                <c:pt idx="2379">
                  <c:v>5.0666666666666672E-3</c:v>
                </c:pt>
                <c:pt idx="2380">
                  <c:v>5.0109999999999998E-3</c:v>
                </c:pt>
                <c:pt idx="2381">
                  <c:v>5.0109999999999998E-3</c:v>
                </c:pt>
                <c:pt idx="2382">
                  <c:v>5.0109999999999998E-3</c:v>
                </c:pt>
                <c:pt idx="2383">
                  <c:v>5.0109999999999998E-3</c:v>
                </c:pt>
                <c:pt idx="2384">
                  <c:v>5.0109999999999998E-3</c:v>
                </c:pt>
                <c:pt idx="2385">
                  <c:v>5.0109999999999998E-3</c:v>
                </c:pt>
                <c:pt idx="2386">
                  <c:v>5.0109999999999998E-3</c:v>
                </c:pt>
                <c:pt idx="2387">
                  <c:v>5.0109999999999998E-3</c:v>
                </c:pt>
                <c:pt idx="2388">
                  <c:v>5.0109999999999998E-3</c:v>
                </c:pt>
                <c:pt idx="2389">
                  <c:v>5.0109999999999998E-3</c:v>
                </c:pt>
                <c:pt idx="2390">
                  <c:v>7.0520000000000001E-3</c:v>
                </c:pt>
                <c:pt idx="2391">
                  <c:v>7.0520000000000001E-3</c:v>
                </c:pt>
                <c:pt idx="2392">
                  <c:v>7.0520000000000001E-3</c:v>
                </c:pt>
                <c:pt idx="2393">
                  <c:v>7.0520000000000001E-3</c:v>
                </c:pt>
                <c:pt idx="2394">
                  <c:v>7.0520000000000001E-3</c:v>
                </c:pt>
                <c:pt idx="2395">
                  <c:v>7.0520000000000001E-3</c:v>
                </c:pt>
                <c:pt idx="2396">
                  <c:v>7.0520000000000001E-3</c:v>
                </c:pt>
                <c:pt idx="2397">
                  <c:v>7.0520000000000001E-3</c:v>
                </c:pt>
                <c:pt idx="2398">
                  <c:v>7.0520000000000001E-3</c:v>
                </c:pt>
                <c:pt idx="2399">
                  <c:v>7.0520000000000001E-3</c:v>
                </c:pt>
                <c:pt idx="2400">
                  <c:v>7.0520000000000001E-3</c:v>
                </c:pt>
                <c:pt idx="2401">
                  <c:v>7.79E-3</c:v>
                </c:pt>
                <c:pt idx="2402">
                  <c:v>7.79E-3</c:v>
                </c:pt>
                <c:pt idx="2403">
                  <c:v>7.79E-3</c:v>
                </c:pt>
                <c:pt idx="2404">
                  <c:v>7.79E-3</c:v>
                </c:pt>
                <c:pt idx="2405">
                  <c:v>7.79E-3</c:v>
                </c:pt>
                <c:pt idx="2406">
                  <c:v>7.79E-3</c:v>
                </c:pt>
                <c:pt idx="2407">
                  <c:v>7.79E-3</c:v>
                </c:pt>
                <c:pt idx="2408">
                  <c:v>7.79E-3</c:v>
                </c:pt>
                <c:pt idx="2409">
                  <c:v>7.79E-3</c:v>
                </c:pt>
                <c:pt idx="2410">
                  <c:v>9.8456666666666675E-3</c:v>
                </c:pt>
                <c:pt idx="2411">
                  <c:v>9.8456666666666675E-3</c:v>
                </c:pt>
                <c:pt idx="2412">
                  <c:v>9.8456666666666675E-3</c:v>
                </c:pt>
                <c:pt idx="2413">
                  <c:v>9.8456666666666675E-3</c:v>
                </c:pt>
                <c:pt idx="2414">
                  <c:v>9.8456666666666675E-3</c:v>
                </c:pt>
                <c:pt idx="2415">
                  <c:v>9.8456666666666675E-3</c:v>
                </c:pt>
                <c:pt idx="2416">
                  <c:v>9.8456666666666675E-3</c:v>
                </c:pt>
                <c:pt idx="2417">
                  <c:v>9.8456666666666675E-3</c:v>
                </c:pt>
                <c:pt idx="2418">
                  <c:v>9.8456666666666675E-3</c:v>
                </c:pt>
                <c:pt idx="2419">
                  <c:v>9.8456666666666675E-3</c:v>
                </c:pt>
                <c:pt idx="2420">
                  <c:v>9.8456666666666675E-3</c:v>
                </c:pt>
                <c:pt idx="2421">
                  <c:v>9.8456666666666675E-3</c:v>
                </c:pt>
                <c:pt idx="2422">
                  <c:v>9.8456666666666675E-3</c:v>
                </c:pt>
                <c:pt idx="2423">
                  <c:v>9.8456666666666675E-3</c:v>
                </c:pt>
                <c:pt idx="2424">
                  <c:v>9.8456666666666675E-3</c:v>
                </c:pt>
                <c:pt idx="2425">
                  <c:v>9.8456666666666675E-3</c:v>
                </c:pt>
                <c:pt idx="2426">
                  <c:v>9.8456666666666675E-3</c:v>
                </c:pt>
                <c:pt idx="2427">
                  <c:v>9.8456666666666675E-3</c:v>
                </c:pt>
                <c:pt idx="2428">
                  <c:v>9.8456666666666675E-3</c:v>
                </c:pt>
                <c:pt idx="2429">
                  <c:v>9.8456666666666675E-3</c:v>
                </c:pt>
                <c:pt idx="2430">
                  <c:v>9.8456666666666675E-3</c:v>
                </c:pt>
                <c:pt idx="2431">
                  <c:v>9.8456666666666675E-3</c:v>
                </c:pt>
                <c:pt idx="2432">
                  <c:v>9.8456666666666675E-3</c:v>
                </c:pt>
                <c:pt idx="2433">
                  <c:v>9.8456666666666675E-3</c:v>
                </c:pt>
                <c:pt idx="2434">
                  <c:v>9.8456666666666675E-3</c:v>
                </c:pt>
                <c:pt idx="2435">
                  <c:v>9.8456666666666675E-3</c:v>
                </c:pt>
                <c:pt idx="2436">
                  <c:v>9.8456666666666675E-3</c:v>
                </c:pt>
                <c:pt idx="2437">
                  <c:v>9.8456666666666675E-3</c:v>
                </c:pt>
                <c:pt idx="2438">
                  <c:v>9.8456666666666675E-3</c:v>
                </c:pt>
                <c:pt idx="2439">
                  <c:v>9.8456666666666675E-3</c:v>
                </c:pt>
                <c:pt idx="2440">
                  <c:v>1.1906999999999999E-2</c:v>
                </c:pt>
                <c:pt idx="2441">
                  <c:v>1.1906999999999999E-2</c:v>
                </c:pt>
                <c:pt idx="2442">
                  <c:v>1.1906999999999999E-2</c:v>
                </c:pt>
                <c:pt idx="2443">
                  <c:v>1.1906999999999999E-2</c:v>
                </c:pt>
                <c:pt idx="2444">
                  <c:v>1.1906999999999999E-2</c:v>
                </c:pt>
                <c:pt idx="2445">
                  <c:v>1.1906999999999999E-2</c:v>
                </c:pt>
                <c:pt idx="2446">
                  <c:v>1.1906999999999999E-2</c:v>
                </c:pt>
                <c:pt idx="2447">
                  <c:v>1.1906999999999999E-2</c:v>
                </c:pt>
                <c:pt idx="2448">
                  <c:v>1.1906999999999999E-2</c:v>
                </c:pt>
                <c:pt idx="2449">
                  <c:v>1.1906999999999999E-2</c:v>
                </c:pt>
                <c:pt idx="2450">
                  <c:v>1.4882333333333336E-2</c:v>
                </c:pt>
                <c:pt idx="2451">
                  <c:v>1.4882333333333336E-2</c:v>
                </c:pt>
                <c:pt idx="2452">
                  <c:v>1.4882333333333336E-2</c:v>
                </c:pt>
                <c:pt idx="2453">
                  <c:v>1.4882333333333336E-2</c:v>
                </c:pt>
                <c:pt idx="2454">
                  <c:v>1.4882333333333336E-2</c:v>
                </c:pt>
                <c:pt idx="2455">
                  <c:v>1.4882333333333336E-2</c:v>
                </c:pt>
                <c:pt idx="2456">
                  <c:v>1.4882333333333336E-2</c:v>
                </c:pt>
                <c:pt idx="2457">
                  <c:v>1.4882333333333336E-2</c:v>
                </c:pt>
                <c:pt idx="2458">
                  <c:v>1.4882333333333336E-2</c:v>
                </c:pt>
                <c:pt idx="2459">
                  <c:v>1.4882333333333336E-2</c:v>
                </c:pt>
                <c:pt idx="2460">
                  <c:v>1.1762333333333333E-2</c:v>
                </c:pt>
                <c:pt idx="2461">
                  <c:v>1.1762333333333333E-2</c:v>
                </c:pt>
                <c:pt idx="2462">
                  <c:v>1.1762333333333333E-2</c:v>
                </c:pt>
                <c:pt idx="2463">
                  <c:v>1.1762333333333333E-2</c:v>
                </c:pt>
                <c:pt idx="2464">
                  <c:v>1.1762333333333333E-2</c:v>
                </c:pt>
                <c:pt idx="2465">
                  <c:v>1.1762333333333333E-2</c:v>
                </c:pt>
                <c:pt idx="2466">
                  <c:v>1.1762333333333333E-2</c:v>
                </c:pt>
                <c:pt idx="2467">
                  <c:v>1.1762333333333333E-2</c:v>
                </c:pt>
                <c:pt idx="2468">
                  <c:v>1.1762333333333333E-2</c:v>
                </c:pt>
                <c:pt idx="2469">
                  <c:v>1.1762333333333333E-2</c:v>
                </c:pt>
                <c:pt idx="2470">
                  <c:v>1.1762333333333333E-2</c:v>
                </c:pt>
                <c:pt idx="2471">
                  <c:v>1.3468333333333334E-2</c:v>
                </c:pt>
                <c:pt idx="2472">
                  <c:v>1.3468333333333334E-2</c:v>
                </c:pt>
                <c:pt idx="2473">
                  <c:v>1.3468333333333334E-2</c:v>
                </c:pt>
                <c:pt idx="2474">
                  <c:v>1.3468333333333334E-2</c:v>
                </c:pt>
                <c:pt idx="2475">
                  <c:v>1.3468333333333334E-2</c:v>
                </c:pt>
                <c:pt idx="2476">
                  <c:v>1.3468333333333334E-2</c:v>
                </c:pt>
                <c:pt idx="2477">
                  <c:v>1.3468333333333334E-2</c:v>
                </c:pt>
                <c:pt idx="2478">
                  <c:v>1.3468333333333334E-2</c:v>
                </c:pt>
                <c:pt idx="2479">
                  <c:v>1.3468333333333334E-2</c:v>
                </c:pt>
                <c:pt idx="2480">
                  <c:v>1.0990333333333335E-2</c:v>
                </c:pt>
                <c:pt idx="2481">
                  <c:v>1.0990333333333335E-2</c:v>
                </c:pt>
                <c:pt idx="2482">
                  <c:v>1.0990333333333335E-2</c:v>
                </c:pt>
                <c:pt idx="2483">
                  <c:v>1.0990333333333335E-2</c:v>
                </c:pt>
                <c:pt idx="2484">
                  <c:v>1.0990333333333335E-2</c:v>
                </c:pt>
                <c:pt idx="2485">
                  <c:v>1.0990333333333335E-2</c:v>
                </c:pt>
                <c:pt idx="2486">
                  <c:v>1.0990333333333335E-2</c:v>
                </c:pt>
                <c:pt idx="2487">
                  <c:v>1.0990333333333335E-2</c:v>
                </c:pt>
                <c:pt idx="2488">
                  <c:v>1.0990333333333335E-2</c:v>
                </c:pt>
                <c:pt idx="2489">
                  <c:v>1.0990333333333335E-2</c:v>
                </c:pt>
                <c:pt idx="2490">
                  <c:v>1.0990333333333335E-2</c:v>
                </c:pt>
                <c:pt idx="2491">
                  <c:v>1.0990333333333335E-2</c:v>
                </c:pt>
                <c:pt idx="2492">
                  <c:v>1.0990333333333335E-2</c:v>
                </c:pt>
                <c:pt idx="2493">
                  <c:v>1.0990333333333335E-2</c:v>
                </c:pt>
                <c:pt idx="2494">
                  <c:v>1.0990333333333335E-2</c:v>
                </c:pt>
                <c:pt idx="2495">
                  <c:v>1.0990333333333335E-2</c:v>
                </c:pt>
                <c:pt idx="2496">
                  <c:v>1.0990333333333335E-2</c:v>
                </c:pt>
                <c:pt idx="2497">
                  <c:v>1.0990333333333335E-2</c:v>
                </c:pt>
                <c:pt idx="2498">
                  <c:v>1.0990333333333335E-2</c:v>
                </c:pt>
                <c:pt idx="2499">
                  <c:v>1.0990333333333335E-2</c:v>
                </c:pt>
                <c:pt idx="2500">
                  <c:v>1.0990333333333335E-2</c:v>
                </c:pt>
                <c:pt idx="2501">
                  <c:v>1.0990333333333335E-2</c:v>
                </c:pt>
                <c:pt idx="2502">
                  <c:v>1.0990333333333335E-2</c:v>
                </c:pt>
                <c:pt idx="2503">
                  <c:v>1.0990333333333335E-2</c:v>
                </c:pt>
                <c:pt idx="2504">
                  <c:v>1.0990333333333335E-2</c:v>
                </c:pt>
                <c:pt idx="2505">
                  <c:v>1.0990333333333335E-2</c:v>
                </c:pt>
                <c:pt idx="2506">
                  <c:v>1.0990333333333335E-2</c:v>
                </c:pt>
                <c:pt idx="2507">
                  <c:v>1.0990333333333335E-2</c:v>
                </c:pt>
                <c:pt idx="2508">
                  <c:v>1.0990333333333335E-2</c:v>
                </c:pt>
                <c:pt idx="2509">
                  <c:v>1.0990333333333335E-2</c:v>
                </c:pt>
                <c:pt idx="2510">
                  <c:v>1.0021666666666667E-2</c:v>
                </c:pt>
                <c:pt idx="2511">
                  <c:v>1.0021666666666667E-2</c:v>
                </c:pt>
                <c:pt idx="2512">
                  <c:v>1.0021666666666667E-2</c:v>
                </c:pt>
                <c:pt idx="2513">
                  <c:v>1.0021666666666667E-2</c:v>
                </c:pt>
                <c:pt idx="2514">
                  <c:v>1.0021666666666667E-2</c:v>
                </c:pt>
                <c:pt idx="2515">
                  <c:v>1.0021666666666667E-2</c:v>
                </c:pt>
                <c:pt idx="2516">
                  <c:v>1.0021666666666667E-2</c:v>
                </c:pt>
                <c:pt idx="2517">
                  <c:v>1.0021666666666667E-2</c:v>
                </c:pt>
                <c:pt idx="2518">
                  <c:v>1.0021666666666667E-2</c:v>
                </c:pt>
                <c:pt idx="2519">
                  <c:v>1.0021666666666667E-2</c:v>
                </c:pt>
                <c:pt idx="2520">
                  <c:v>1.0021666666666667E-2</c:v>
                </c:pt>
                <c:pt idx="2521">
                  <c:v>1.0021666666666667E-2</c:v>
                </c:pt>
                <c:pt idx="2522">
                  <c:v>1.0021666666666667E-2</c:v>
                </c:pt>
                <c:pt idx="2523">
                  <c:v>1.0021666666666667E-2</c:v>
                </c:pt>
                <c:pt idx="2524">
                  <c:v>1.0021666666666667E-2</c:v>
                </c:pt>
                <c:pt idx="2525">
                  <c:v>1.0021666666666667E-2</c:v>
                </c:pt>
                <c:pt idx="2526">
                  <c:v>1.0021666666666667E-2</c:v>
                </c:pt>
                <c:pt idx="2527">
                  <c:v>1.0021666666666667E-2</c:v>
                </c:pt>
                <c:pt idx="2528">
                  <c:v>1.0021666666666667E-2</c:v>
                </c:pt>
                <c:pt idx="2529">
                  <c:v>1.0021666666666667E-2</c:v>
                </c:pt>
                <c:pt idx="2530">
                  <c:v>1.0021666666666667E-2</c:v>
                </c:pt>
                <c:pt idx="2531">
                  <c:v>1.0021666666666667E-2</c:v>
                </c:pt>
                <c:pt idx="2532">
                  <c:v>1.0021666666666667E-2</c:v>
                </c:pt>
                <c:pt idx="2533">
                  <c:v>1.0021666666666667E-2</c:v>
                </c:pt>
                <c:pt idx="2534">
                  <c:v>1.0021666666666667E-2</c:v>
                </c:pt>
                <c:pt idx="2535">
                  <c:v>1.0021666666666667E-2</c:v>
                </c:pt>
                <c:pt idx="2536">
                  <c:v>1.0021666666666667E-2</c:v>
                </c:pt>
                <c:pt idx="2537">
                  <c:v>1.0021666666666667E-2</c:v>
                </c:pt>
                <c:pt idx="2538">
                  <c:v>1.0021666666666667E-2</c:v>
                </c:pt>
                <c:pt idx="2539">
                  <c:v>1.0021666666666667E-2</c:v>
                </c:pt>
                <c:pt idx="2540">
                  <c:v>1.0021666666666667E-2</c:v>
                </c:pt>
                <c:pt idx="2541">
                  <c:v>8.960333333333334E-3</c:v>
                </c:pt>
                <c:pt idx="2542">
                  <c:v>8.960333333333334E-3</c:v>
                </c:pt>
                <c:pt idx="2543">
                  <c:v>8.960333333333334E-3</c:v>
                </c:pt>
                <c:pt idx="2544">
                  <c:v>8.960333333333334E-3</c:v>
                </c:pt>
                <c:pt idx="2545">
                  <c:v>8.960333333333334E-3</c:v>
                </c:pt>
                <c:pt idx="2546">
                  <c:v>8.960333333333334E-3</c:v>
                </c:pt>
                <c:pt idx="2547">
                  <c:v>8.960333333333334E-3</c:v>
                </c:pt>
                <c:pt idx="2548">
                  <c:v>8.960333333333334E-3</c:v>
                </c:pt>
                <c:pt idx="2549">
                  <c:v>8.960333333333334E-3</c:v>
                </c:pt>
                <c:pt idx="2550">
                  <c:v>8.960333333333334E-3</c:v>
                </c:pt>
                <c:pt idx="2551">
                  <c:v>6.4959999999999992E-3</c:v>
                </c:pt>
                <c:pt idx="2552">
                  <c:v>6.4959999999999992E-3</c:v>
                </c:pt>
                <c:pt idx="2553">
                  <c:v>6.4959999999999992E-3</c:v>
                </c:pt>
                <c:pt idx="2554">
                  <c:v>6.4959999999999992E-3</c:v>
                </c:pt>
                <c:pt idx="2555">
                  <c:v>6.4959999999999992E-3</c:v>
                </c:pt>
                <c:pt idx="2556">
                  <c:v>6.4959999999999992E-3</c:v>
                </c:pt>
                <c:pt idx="2557">
                  <c:v>6.4959999999999992E-3</c:v>
                </c:pt>
                <c:pt idx="2558">
                  <c:v>6.4959999999999992E-3</c:v>
                </c:pt>
                <c:pt idx="2559">
                  <c:v>6.4959999999999992E-3</c:v>
                </c:pt>
                <c:pt idx="2560">
                  <c:v>6.4959999999999992E-3</c:v>
                </c:pt>
                <c:pt idx="2561">
                  <c:v>6.4959999999999992E-3</c:v>
                </c:pt>
                <c:pt idx="2562">
                  <c:v>6.4959999999999992E-3</c:v>
                </c:pt>
                <c:pt idx="2563">
                  <c:v>6.4959999999999992E-3</c:v>
                </c:pt>
                <c:pt idx="2564">
                  <c:v>6.4959999999999992E-3</c:v>
                </c:pt>
                <c:pt idx="2565">
                  <c:v>6.4959999999999992E-3</c:v>
                </c:pt>
                <c:pt idx="2566">
                  <c:v>6.4959999999999992E-3</c:v>
                </c:pt>
                <c:pt idx="2567">
                  <c:v>6.4959999999999992E-3</c:v>
                </c:pt>
                <c:pt idx="2568">
                  <c:v>6.4959999999999992E-3</c:v>
                </c:pt>
                <c:pt idx="2569">
                  <c:v>6.4959999999999992E-3</c:v>
                </c:pt>
                <c:pt idx="2570">
                  <c:v>6.4959999999999992E-3</c:v>
                </c:pt>
                <c:pt idx="2571">
                  <c:v>6.4959999999999992E-3</c:v>
                </c:pt>
                <c:pt idx="2572">
                  <c:v>6.4959999999999992E-3</c:v>
                </c:pt>
                <c:pt idx="2573">
                  <c:v>6.4959999999999992E-3</c:v>
                </c:pt>
                <c:pt idx="2574">
                  <c:v>6.4959999999999992E-3</c:v>
                </c:pt>
                <c:pt idx="2575">
                  <c:v>6.4959999999999992E-3</c:v>
                </c:pt>
                <c:pt idx="2576">
                  <c:v>6.4959999999999992E-3</c:v>
                </c:pt>
                <c:pt idx="2577">
                  <c:v>6.4959999999999992E-3</c:v>
                </c:pt>
                <c:pt idx="2578">
                  <c:v>6.4959999999999992E-3</c:v>
                </c:pt>
                <c:pt idx="2579">
                  <c:v>6.4959999999999992E-3</c:v>
                </c:pt>
                <c:pt idx="2580">
                  <c:v>6.4959999999999992E-3</c:v>
                </c:pt>
                <c:pt idx="2581">
                  <c:v>6.4959999999999992E-3</c:v>
                </c:pt>
                <c:pt idx="2582">
                  <c:v>6.4959999999999992E-3</c:v>
                </c:pt>
                <c:pt idx="2583">
                  <c:v>6.4959999999999992E-3</c:v>
                </c:pt>
                <c:pt idx="2584">
                  <c:v>6.4959999999999992E-3</c:v>
                </c:pt>
                <c:pt idx="2585">
                  <c:v>6.4959999999999992E-3</c:v>
                </c:pt>
                <c:pt idx="2586">
                  <c:v>6.4959999999999992E-3</c:v>
                </c:pt>
                <c:pt idx="2587">
                  <c:v>6.4959999999999992E-3</c:v>
                </c:pt>
                <c:pt idx="2588">
                  <c:v>6.4959999999999992E-3</c:v>
                </c:pt>
                <c:pt idx="2589">
                  <c:v>6.4959999999999992E-3</c:v>
                </c:pt>
                <c:pt idx="2590">
                  <c:v>6.4959999999999992E-3</c:v>
                </c:pt>
                <c:pt idx="2591">
                  <c:v>6.4959999999999992E-3</c:v>
                </c:pt>
                <c:pt idx="2592">
                  <c:v>6.4959999999999992E-3</c:v>
                </c:pt>
                <c:pt idx="2593">
                  <c:v>6.4959999999999992E-3</c:v>
                </c:pt>
                <c:pt idx="2594">
                  <c:v>6.4959999999999992E-3</c:v>
                </c:pt>
                <c:pt idx="2595">
                  <c:v>6.4959999999999992E-3</c:v>
                </c:pt>
                <c:pt idx="2596">
                  <c:v>6.4959999999999992E-3</c:v>
                </c:pt>
                <c:pt idx="2597">
                  <c:v>6.4959999999999992E-3</c:v>
                </c:pt>
                <c:pt idx="2598">
                  <c:v>6.4959999999999992E-3</c:v>
                </c:pt>
                <c:pt idx="2599">
                  <c:v>6.4959999999999992E-3</c:v>
                </c:pt>
                <c:pt idx="2600">
                  <c:v>6.4959999999999992E-3</c:v>
                </c:pt>
                <c:pt idx="2601">
                  <c:v>6.4959999999999992E-3</c:v>
                </c:pt>
                <c:pt idx="2602">
                  <c:v>6.4959999999999992E-3</c:v>
                </c:pt>
                <c:pt idx="2603">
                  <c:v>6.4959999999999992E-3</c:v>
                </c:pt>
                <c:pt idx="2604">
                  <c:v>6.4959999999999992E-3</c:v>
                </c:pt>
                <c:pt idx="2605">
                  <c:v>6.4959999999999992E-3</c:v>
                </c:pt>
                <c:pt idx="2606">
                  <c:v>6.4959999999999992E-3</c:v>
                </c:pt>
                <c:pt idx="2607">
                  <c:v>6.4959999999999992E-3</c:v>
                </c:pt>
                <c:pt idx="2608">
                  <c:v>6.4959999999999992E-3</c:v>
                </c:pt>
                <c:pt idx="2609">
                  <c:v>6.4959999999999992E-3</c:v>
                </c:pt>
                <c:pt idx="2610">
                  <c:v>6.4959999999999992E-3</c:v>
                </c:pt>
                <c:pt idx="2611">
                  <c:v>1.1586666666666667E-2</c:v>
                </c:pt>
                <c:pt idx="2612">
                  <c:v>1.1586666666666667E-2</c:v>
                </c:pt>
                <c:pt idx="2613">
                  <c:v>1.1586666666666667E-2</c:v>
                </c:pt>
                <c:pt idx="2614">
                  <c:v>1.1586666666666667E-2</c:v>
                </c:pt>
                <c:pt idx="2615">
                  <c:v>1.1586666666666667E-2</c:v>
                </c:pt>
                <c:pt idx="2616">
                  <c:v>1.1586666666666667E-2</c:v>
                </c:pt>
                <c:pt idx="2617">
                  <c:v>1.1586666666666667E-2</c:v>
                </c:pt>
                <c:pt idx="2618">
                  <c:v>1.1586666666666667E-2</c:v>
                </c:pt>
                <c:pt idx="2619">
                  <c:v>1.1586666666666667E-2</c:v>
                </c:pt>
                <c:pt idx="2620">
                  <c:v>1.1586666666666667E-2</c:v>
                </c:pt>
                <c:pt idx="2621">
                  <c:v>1.1586666666666667E-2</c:v>
                </c:pt>
                <c:pt idx="2622">
                  <c:v>1.1586666666666667E-2</c:v>
                </c:pt>
                <c:pt idx="2623">
                  <c:v>1.1586666666666667E-2</c:v>
                </c:pt>
                <c:pt idx="2624">
                  <c:v>1.1586666666666667E-2</c:v>
                </c:pt>
                <c:pt idx="2625">
                  <c:v>1.1586666666666667E-2</c:v>
                </c:pt>
                <c:pt idx="2626">
                  <c:v>1.1586666666666667E-2</c:v>
                </c:pt>
                <c:pt idx="2627">
                  <c:v>1.1586666666666667E-2</c:v>
                </c:pt>
                <c:pt idx="2628">
                  <c:v>1.1586666666666667E-2</c:v>
                </c:pt>
                <c:pt idx="2629">
                  <c:v>1.1586666666666667E-2</c:v>
                </c:pt>
                <c:pt idx="2630">
                  <c:v>1.1586666666666667E-2</c:v>
                </c:pt>
                <c:pt idx="2631">
                  <c:v>1.1586666666666667E-2</c:v>
                </c:pt>
                <c:pt idx="2632">
                  <c:v>1.1586666666666667E-2</c:v>
                </c:pt>
                <c:pt idx="2633">
                  <c:v>1.1586666666666667E-2</c:v>
                </c:pt>
                <c:pt idx="2634">
                  <c:v>1.1586666666666667E-2</c:v>
                </c:pt>
                <c:pt idx="2635">
                  <c:v>1.1586666666666667E-2</c:v>
                </c:pt>
                <c:pt idx="2636">
                  <c:v>1.1586666666666667E-2</c:v>
                </c:pt>
                <c:pt idx="2637">
                  <c:v>1.1586666666666667E-2</c:v>
                </c:pt>
                <c:pt idx="2638">
                  <c:v>1.1586666666666667E-2</c:v>
                </c:pt>
                <c:pt idx="2639">
                  <c:v>1.1586666666666667E-2</c:v>
                </c:pt>
                <c:pt idx="2640">
                  <c:v>1.1586666666666667E-2</c:v>
                </c:pt>
                <c:pt idx="2641">
                  <c:v>1.1586666666666667E-2</c:v>
                </c:pt>
                <c:pt idx="2642">
                  <c:v>1.1586666666666667E-2</c:v>
                </c:pt>
                <c:pt idx="2643">
                  <c:v>1.1586666666666667E-2</c:v>
                </c:pt>
                <c:pt idx="2644">
                  <c:v>1.1586666666666667E-2</c:v>
                </c:pt>
                <c:pt idx="2645">
                  <c:v>1.1586666666666667E-2</c:v>
                </c:pt>
                <c:pt idx="2646">
                  <c:v>1.1586666666666667E-2</c:v>
                </c:pt>
                <c:pt idx="2647">
                  <c:v>1.1586666666666667E-2</c:v>
                </c:pt>
                <c:pt idx="2648">
                  <c:v>1.1586666666666667E-2</c:v>
                </c:pt>
                <c:pt idx="2649">
                  <c:v>9.3456666666666671E-3</c:v>
                </c:pt>
                <c:pt idx="2650">
                  <c:v>9.3456666666666671E-3</c:v>
                </c:pt>
                <c:pt idx="2651">
                  <c:v>9.3456666666666671E-3</c:v>
                </c:pt>
                <c:pt idx="2652">
                  <c:v>9.3456666666666671E-3</c:v>
                </c:pt>
                <c:pt idx="2653">
                  <c:v>9.3456666666666671E-3</c:v>
                </c:pt>
                <c:pt idx="2654">
                  <c:v>9.3456666666666671E-3</c:v>
                </c:pt>
                <c:pt idx="2655">
                  <c:v>9.3456666666666671E-3</c:v>
                </c:pt>
                <c:pt idx="2656">
                  <c:v>9.3456666666666671E-3</c:v>
                </c:pt>
                <c:pt idx="2657">
                  <c:v>9.3456666666666671E-3</c:v>
                </c:pt>
                <c:pt idx="2658">
                  <c:v>9.3456666666666671E-3</c:v>
                </c:pt>
                <c:pt idx="2659">
                  <c:v>9.3456666666666671E-3</c:v>
                </c:pt>
                <c:pt idx="2660">
                  <c:v>9.3456666666666671E-3</c:v>
                </c:pt>
                <c:pt idx="2661">
                  <c:v>9.3456666666666671E-3</c:v>
                </c:pt>
                <c:pt idx="2662">
                  <c:v>9.3456666666666671E-3</c:v>
                </c:pt>
                <c:pt idx="2663">
                  <c:v>9.3456666666666671E-3</c:v>
                </c:pt>
                <c:pt idx="2664">
                  <c:v>9.3456666666666671E-3</c:v>
                </c:pt>
                <c:pt idx="2665">
                  <c:v>9.3456666666666671E-3</c:v>
                </c:pt>
                <c:pt idx="2666">
                  <c:v>9.3456666666666671E-3</c:v>
                </c:pt>
                <c:pt idx="2667">
                  <c:v>9.3456666666666671E-3</c:v>
                </c:pt>
                <c:pt idx="2668">
                  <c:v>9.3456666666666671E-3</c:v>
                </c:pt>
                <c:pt idx="2669">
                  <c:v>9.3456666666666671E-3</c:v>
                </c:pt>
                <c:pt idx="2670">
                  <c:v>9.3456666666666671E-3</c:v>
                </c:pt>
                <c:pt idx="2671">
                  <c:v>9.3456666666666671E-3</c:v>
                </c:pt>
                <c:pt idx="2672">
                  <c:v>9.3456666666666671E-3</c:v>
                </c:pt>
                <c:pt idx="2673">
                  <c:v>9.3456666666666671E-3</c:v>
                </c:pt>
                <c:pt idx="2674">
                  <c:v>9.3456666666666671E-3</c:v>
                </c:pt>
                <c:pt idx="2675">
                  <c:v>9.3456666666666671E-3</c:v>
                </c:pt>
                <c:pt idx="2676">
                  <c:v>9.3456666666666671E-3</c:v>
                </c:pt>
                <c:pt idx="2677">
                  <c:v>9.3456666666666671E-3</c:v>
                </c:pt>
                <c:pt idx="2678">
                  <c:v>9.3456666666666671E-3</c:v>
                </c:pt>
                <c:pt idx="2679">
                  <c:v>9.3456666666666671E-3</c:v>
                </c:pt>
                <c:pt idx="2680">
                  <c:v>9.3456666666666671E-3</c:v>
                </c:pt>
                <c:pt idx="2681">
                  <c:v>1.9733333333333334E-3</c:v>
                </c:pt>
                <c:pt idx="2682">
                  <c:v>1.9733333333333334E-3</c:v>
                </c:pt>
                <c:pt idx="2683">
                  <c:v>1.9733333333333334E-3</c:v>
                </c:pt>
                <c:pt idx="2684">
                  <c:v>1.9733333333333334E-3</c:v>
                </c:pt>
                <c:pt idx="2685">
                  <c:v>1.9733333333333334E-3</c:v>
                </c:pt>
                <c:pt idx="2686">
                  <c:v>1.9733333333333334E-3</c:v>
                </c:pt>
                <c:pt idx="2687">
                  <c:v>1.9733333333333334E-3</c:v>
                </c:pt>
                <c:pt idx="2688">
                  <c:v>1.9733333333333334E-3</c:v>
                </c:pt>
                <c:pt idx="2689">
                  <c:v>1.9733333333333334E-3</c:v>
                </c:pt>
                <c:pt idx="2690">
                  <c:v>1.9733333333333334E-3</c:v>
                </c:pt>
                <c:pt idx="2691">
                  <c:v>4.3839999999999999E-3</c:v>
                </c:pt>
                <c:pt idx="2692">
                  <c:v>4.3839999999999999E-3</c:v>
                </c:pt>
                <c:pt idx="2693">
                  <c:v>4.3839999999999999E-3</c:v>
                </c:pt>
                <c:pt idx="2694">
                  <c:v>4.3839999999999999E-3</c:v>
                </c:pt>
                <c:pt idx="2695">
                  <c:v>4.3839999999999999E-3</c:v>
                </c:pt>
                <c:pt idx="2696">
                  <c:v>4.3839999999999999E-3</c:v>
                </c:pt>
                <c:pt idx="2697">
                  <c:v>4.3839999999999999E-3</c:v>
                </c:pt>
                <c:pt idx="2698">
                  <c:v>4.3839999999999999E-3</c:v>
                </c:pt>
                <c:pt idx="2699">
                  <c:v>4.3839999999999999E-3</c:v>
                </c:pt>
                <c:pt idx="2700">
                  <c:v>4.3839999999999999E-3</c:v>
                </c:pt>
                <c:pt idx="2701">
                  <c:v>4.3839999999999999E-3</c:v>
                </c:pt>
                <c:pt idx="2702">
                  <c:v>4.3839999999999999E-3</c:v>
                </c:pt>
                <c:pt idx="2703">
                  <c:v>4.3839999999999999E-3</c:v>
                </c:pt>
                <c:pt idx="2704">
                  <c:v>4.3839999999999999E-3</c:v>
                </c:pt>
                <c:pt idx="2705">
                  <c:v>4.3839999999999999E-3</c:v>
                </c:pt>
                <c:pt idx="2706">
                  <c:v>4.3839999999999999E-3</c:v>
                </c:pt>
                <c:pt idx="2707">
                  <c:v>4.3839999999999999E-3</c:v>
                </c:pt>
                <c:pt idx="2708">
                  <c:v>4.3839999999999999E-3</c:v>
                </c:pt>
                <c:pt idx="2709">
                  <c:v>4.3839999999999999E-3</c:v>
                </c:pt>
                <c:pt idx="2710">
                  <c:v>4.3839999999999999E-3</c:v>
                </c:pt>
                <c:pt idx="2711">
                  <c:v>4.3839999999999999E-3</c:v>
                </c:pt>
                <c:pt idx="2712">
                  <c:v>4.3839999999999999E-3</c:v>
                </c:pt>
                <c:pt idx="2713">
                  <c:v>4.3839999999999999E-3</c:v>
                </c:pt>
                <c:pt idx="2714">
                  <c:v>4.3839999999999999E-3</c:v>
                </c:pt>
                <c:pt idx="2715">
                  <c:v>4.3839999999999999E-3</c:v>
                </c:pt>
                <c:pt idx="2716">
                  <c:v>4.3839999999999999E-3</c:v>
                </c:pt>
                <c:pt idx="2717">
                  <c:v>4.3839999999999999E-3</c:v>
                </c:pt>
                <c:pt idx="2718">
                  <c:v>4.3839999999999999E-3</c:v>
                </c:pt>
                <c:pt idx="2719">
                  <c:v>4.3839999999999999E-3</c:v>
                </c:pt>
                <c:pt idx="2720">
                  <c:v>4.3839999999999999E-3</c:v>
                </c:pt>
                <c:pt idx="2721">
                  <c:v>4.3839999999999999E-3</c:v>
                </c:pt>
                <c:pt idx="2722">
                  <c:v>4.3839999999999999E-3</c:v>
                </c:pt>
                <c:pt idx="2723">
                  <c:v>4.3839999999999999E-3</c:v>
                </c:pt>
                <c:pt idx="2724">
                  <c:v>4.3839999999999999E-3</c:v>
                </c:pt>
                <c:pt idx="2725">
                  <c:v>4.3839999999999999E-3</c:v>
                </c:pt>
                <c:pt idx="2726">
                  <c:v>4.3839999999999999E-3</c:v>
                </c:pt>
                <c:pt idx="2727">
                  <c:v>4.3839999999999999E-3</c:v>
                </c:pt>
                <c:pt idx="2728">
                  <c:v>4.3839999999999999E-3</c:v>
                </c:pt>
                <c:pt idx="2729">
                  <c:v>4.3839999999999999E-3</c:v>
                </c:pt>
                <c:pt idx="2730">
                  <c:v>4.3839999999999999E-3</c:v>
                </c:pt>
                <c:pt idx="2731">
                  <c:v>1.8946666666666667E-2</c:v>
                </c:pt>
                <c:pt idx="2732">
                  <c:v>1.8946666666666667E-2</c:v>
                </c:pt>
                <c:pt idx="2733">
                  <c:v>1.8946666666666667E-2</c:v>
                </c:pt>
                <c:pt idx="2734">
                  <c:v>1.8946666666666667E-2</c:v>
                </c:pt>
                <c:pt idx="2735">
                  <c:v>1.8946666666666667E-2</c:v>
                </c:pt>
                <c:pt idx="2736">
                  <c:v>1.8946666666666667E-2</c:v>
                </c:pt>
                <c:pt idx="2737">
                  <c:v>1.8946666666666667E-2</c:v>
                </c:pt>
                <c:pt idx="2738">
                  <c:v>1.8946666666666667E-2</c:v>
                </c:pt>
                <c:pt idx="2739">
                  <c:v>1.8946666666666667E-2</c:v>
                </c:pt>
                <c:pt idx="2740">
                  <c:v>1.8946666666666667E-2</c:v>
                </c:pt>
                <c:pt idx="2741">
                  <c:v>1.8946666666666667E-2</c:v>
                </c:pt>
                <c:pt idx="2742">
                  <c:v>1.8946666666666667E-2</c:v>
                </c:pt>
                <c:pt idx="2743">
                  <c:v>1.8946666666666667E-2</c:v>
                </c:pt>
                <c:pt idx="2744">
                  <c:v>1.8946666666666667E-2</c:v>
                </c:pt>
                <c:pt idx="2745">
                  <c:v>1.8946666666666667E-2</c:v>
                </c:pt>
                <c:pt idx="2746">
                  <c:v>1.8946666666666667E-2</c:v>
                </c:pt>
                <c:pt idx="2747">
                  <c:v>1.8946666666666667E-2</c:v>
                </c:pt>
                <c:pt idx="2748">
                  <c:v>1.8946666666666667E-2</c:v>
                </c:pt>
                <c:pt idx="2749">
                  <c:v>1.8946666666666667E-2</c:v>
                </c:pt>
                <c:pt idx="2750">
                  <c:v>1.8946666666666667E-2</c:v>
                </c:pt>
                <c:pt idx="2751">
                  <c:v>1.8946666666666667E-2</c:v>
                </c:pt>
                <c:pt idx="2752">
                  <c:v>1.8946666666666667E-2</c:v>
                </c:pt>
                <c:pt idx="2753">
                  <c:v>1.8946666666666667E-2</c:v>
                </c:pt>
                <c:pt idx="2754">
                  <c:v>1.8946666666666667E-2</c:v>
                </c:pt>
                <c:pt idx="2755">
                  <c:v>1.8946666666666667E-2</c:v>
                </c:pt>
                <c:pt idx="2756">
                  <c:v>1.8946666666666667E-2</c:v>
                </c:pt>
                <c:pt idx="2757">
                  <c:v>1.8946666666666667E-2</c:v>
                </c:pt>
                <c:pt idx="2758">
                  <c:v>1.8946666666666667E-2</c:v>
                </c:pt>
                <c:pt idx="2759">
                  <c:v>1.8946666666666667E-2</c:v>
                </c:pt>
                <c:pt idx="2760">
                  <c:v>1.8946666666666667E-2</c:v>
                </c:pt>
                <c:pt idx="2761">
                  <c:v>1.8946666666666667E-2</c:v>
                </c:pt>
                <c:pt idx="2762">
                  <c:v>1.8946666666666667E-2</c:v>
                </c:pt>
                <c:pt idx="2763">
                  <c:v>1.8946666666666667E-2</c:v>
                </c:pt>
                <c:pt idx="2764">
                  <c:v>1.8946666666666667E-2</c:v>
                </c:pt>
                <c:pt idx="2765">
                  <c:v>1.8946666666666667E-2</c:v>
                </c:pt>
                <c:pt idx="2766">
                  <c:v>1.8946666666666667E-2</c:v>
                </c:pt>
                <c:pt idx="2767">
                  <c:v>1.8946666666666667E-2</c:v>
                </c:pt>
                <c:pt idx="2768">
                  <c:v>1.8946666666666667E-2</c:v>
                </c:pt>
                <c:pt idx="2769">
                  <c:v>1.8946666666666667E-2</c:v>
                </c:pt>
                <c:pt idx="2770">
                  <c:v>1.8946666666666667E-2</c:v>
                </c:pt>
                <c:pt idx="2771">
                  <c:v>1.8946666666666667E-2</c:v>
                </c:pt>
                <c:pt idx="2772">
                  <c:v>1.8946666666666667E-2</c:v>
                </c:pt>
                <c:pt idx="2773">
                  <c:v>1.8946666666666667E-2</c:v>
                </c:pt>
                <c:pt idx="2774">
                  <c:v>1.8946666666666667E-2</c:v>
                </c:pt>
                <c:pt idx="2775">
                  <c:v>1.8946666666666667E-2</c:v>
                </c:pt>
                <c:pt idx="2776">
                  <c:v>1.8946666666666667E-2</c:v>
                </c:pt>
                <c:pt idx="2777">
                  <c:v>1.8946666666666667E-2</c:v>
                </c:pt>
                <c:pt idx="2778">
                  <c:v>1.8946666666666667E-2</c:v>
                </c:pt>
                <c:pt idx="2779">
                  <c:v>1.8946666666666667E-2</c:v>
                </c:pt>
                <c:pt idx="2780">
                  <c:v>1.8946666666666667E-2</c:v>
                </c:pt>
                <c:pt idx="2781">
                  <c:v>1.8946666666666667E-2</c:v>
                </c:pt>
                <c:pt idx="2782">
                  <c:v>1.8946666666666667E-2</c:v>
                </c:pt>
                <c:pt idx="2783">
                  <c:v>1.8946666666666667E-2</c:v>
                </c:pt>
                <c:pt idx="2784">
                  <c:v>1.8946666666666667E-2</c:v>
                </c:pt>
                <c:pt idx="2785">
                  <c:v>1.8946666666666667E-2</c:v>
                </c:pt>
                <c:pt idx="2786">
                  <c:v>1.8946666666666667E-2</c:v>
                </c:pt>
                <c:pt idx="2787">
                  <c:v>1.8946666666666667E-2</c:v>
                </c:pt>
                <c:pt idx="2788">
                  <c:v>1.8946666666666667E-2</c:v>
                </c:pt>
                <c:pt idx="2789">
                  <c:v>1.8946666666666667E-2</c:v>
                </c:pt>
                <c:pt idx="2790">
                  <c:v>1.8946666666666667E-2</c:v>
                </c:pt>
                <c:pt idx="2791">
                  <c:v>1.8946666666666667E-2</c:v>
                </c:pt>
                <c:pt idx="2792">
                  <c:v>1.8946666666666667E-2</c:v>
                </c:pt>
                <c:pt idx="2793">
                  <c:v>1.8946666666666667E-2</c:v>
                </c:pt>
                <c:pt idx="2794">
                  <c:v>1.8946666666666667E-2</c:v>
                </c:pt>
                <c:pt idx="2795">
                  <c:v>1.8946666666666667E-2</c:v>
                </c:pt>
                <c:pt idx="2796">
                  <c:v>1.8946666666666667E-2</c:v>
                </c:pt>
                <c:pt idx="2797">
                  <c:v>1.8946666666666667E-2</c:v>
                </c:pt>
                <c:pt idx="2798">
                  <c:v>1.8946666666666667E-2</c:v>
                </c:pt>
                <c:pt idx="2799">
                  <c:v>1.8946666666666667E-2</c:v>
                </c:pt>
                <c:pt idx="2800">
                  <c:v>1.8946666666666667E-2</c:v>
                </c:pt>
                <c:pt idx="2801">
                  <c:v>1.8946666666666667E-2</c:v>
                </c:pt>
                <c:pt idx="2802">
                  <c:v>1.8946666666666667E-2</c:v>
                </c:pt>
                <c:pt idx="2803">
                  <c:v>1.8946666666666667E-2</c:v>
                </c:pt>
                <c:pt idx="2804">
                  <c:v>1.8946666666666667E-2</c:v>
                </c:pt>
                <c:pt idx="2805">
                  <c:v>1.8946666666666667E-2</c:v>
                </c:pt>
                <c:pt idx="2806">
                  <c:v>1.8946666666666667E-2</c:v>
                </c:pt>
                <c:pt idx="2807">
                  <c:v>1.8946666666666667E-2</c:v>
                </c:pt>
                <c:pt idx="2808">
                  <c:v>1.8946666666666667E-2</c:v>
                </c:pt>
                <c:pt idx="2809">
                  <c:v>1.8946666666666667E-2</c:v>
                </c:pt>
                <c:pt idx="2810">
                  <c:v>1.8946666666666667E-2</c:v>
                </c:pt>
                <c:pt idx="2811">
                  <c:v>1.8946666666666667E-2</c:v>
                </c:pt>
                <c:pt idx="2812">
                  <c:v>1.8946666666666667E-2</c:v>
                </c:pt>
                <c:pt idx="2813">
                  <c:v>1.8946666666666667E-2</c:v>
                </c:pt>
                <c:pt idx="2814">
                  <c:v>1.8946666666666667E-2</c:v>
                </c:pt>
                <c:pt idx="2815">
                  <c:v>1.8946666666666667E-2</c:v>
                </c:pt>
                <c:pt idx="2816">
                  <c:v>1.8946666666666667E-2</c:v>
                </c:pt>
                <c:pt idx="2817">
                  <c:v>1.8946666666666667E-2</c:v>
                </c:pt>
                <c:pt idx="2818">
                  <c:v>1.8946666666666667E-2</c:v>
                </c:pt>
                <c:pt idx="2819">
                  <c:v>1.8946666666666667E-2</c:v>
                </c:pt>
                <c:pt idx="2820">
                  <c:v>1.8946666666666667E-2</c:v>
                </c:pt>
                <c:pt idx="2821">
                  <c:v>1.8946666666666667E-2</c:v>
                </c:pt>
                <c:pt idx="2822">
                  <c:v>1.8946666666666667E-2</c:v>
                </c:pt>
                <c:pt idx="2823">
                  <c:v>1.8946666666666667E-2</c:v>
                </c:pt>
                <c:pt idx="2824">
                  <c:v>1.8946666666666667E-2</c:v>
                </c:pt>
                <c:pt idx="2825">
                  <c:v>1.8946666666666667E-2</c:v>
                </c:pt>
                <c:pt idx="2826">
                  <c:v>1.8946666666666667E-2</c:v>
                </c:pt>
                <c:pt idx="2827">
                  <c:v>1.8946666666666667E-2</c:v>
                </c:pt>
                <c:pt idx="2828">
                  <c:v>1.8946666666666667E-2</c:v>
                </c:pt>
                <c:pt idx="2829">
                  <c:v>1.8946666666666667E-2</c:v>
                </c:pt>
                <c:pt idx="2830">
                  <c:v>1.8946666666666667E-2</c:v>
                </c:pt>
                <c:pt idx="2831">
                  <c:v>1.8946666666666667E-2</c:v>
                </c:pt>
                <c:pt idx="2832">
                  <c:v>1.8946666666666667E-2</c:v>
                </c:pt>
                <c:pt idx="2833">
                  <c:v>1.8946666666666667E-2</c:v>
                </c:pt>
                <c:pt idx="2834">
                  <c:v>1.8946666666666667E-2</c:v>
                </c:pt>
                <c:pt idx="2835">
                  <c:v>1.8946666666666667E-2</c:v>
                </c:pt>
                <c:pt idx="2836">
                  <c:v>1.8946666666666667E-2</c:v>
                </c:pt>
                <c:pt idx="2837">
                  <c:v>1.8946666666666667E-2</c:v>
                </c:pt>
                <c:pt idx="2838">
                  <c:v>1.8946666666666667E-2</c:v>
                </c:pt>
                <c:pt idx="2839">
                  <c:v>1.8946666666666667E-2</c:v>
                </c:pt>
                <c:pt idx="2840">
                  <c:v>1.8946666666666667E-2</c:v>
                </c:pt>
                <c:pt idx="2841">
                  <c:v>1.8946666666666667E-2</c:v>
                </c:pt>
                <c:pt idx="2842">
                  <c:v>1.8946666666666667E-2</c:v>
                </c:pt>
                <c:pt idx="2843">
                  <c:v>1.8946666666666667E-2</c:v>
                </c:pt>
                <c:pt idx="2844">
                  <c:v>1.8946666666666667E-2</c:v>
                </c:pt>
                <c:pt idx="2845">
                  <c:v>1.8946666666666667E-2</c:v>
                </c:pt>
                <c:pt idx="2846">
                  <c:v>1.8946666666666667E-2</c:v>
                </c:pt>
                <c:pt idx="2847">
                  <c:v>1.8946666666666667E-2</c:v>
                </c:pt>
                <c:pt idx="2848">
                  <c:v>1.8946666666666667E-2</c:v>
                </c:pt>
                <c:pt idx="2849">
                  <c:v>1.8946666666666667E-2</c:v>
                </c:pt>
                <c:pt idx="2850">
                  <c:v>1.8946666666666667E-2</c:v>
                </c:pt>
                <c:pt idx="2851">
                  <c:v>1.8946666666666667E-2</c:v>
                </c:pt>
                <c:pt idx="2852">
                  <c:v>1.8946666666666667E-2</c:v>
                </c:pt>
                <c:pt idx="2853">
                  <c:v>1.8946666666666667E-2</c:v>
                </c:pt>
                <c:pt idx="2854">
                  <c:v>1.8946666666666667E-2</c:v>
                </c:pt>
                <c:pt idx="2855">
                  <c:v>1.8946666666666667E-2</c:v>
                </c:pt>
                <c:pt idx="2856">
                  <c:v>1.8946666666666667E-2</c:v>
                </c:pt>
                <c:pt idx="2857">
                  <c:v>1.8946666666666667E-2</c:v>
                </c:pt>
                <c:pt idx="2858">
                  <c:v>1.8946666666666667E-2</c:v>
                </c:pt>
                <c:pt idx="2859">
                  <c:v>1.8946666666666667E-2</c:v>
                </c:pt>
                <c:pt idx="2860">
                  <c:v>1.8946666666666667E-2</c:v>
                </c:pt>
                <c:pt idx="2861">
                  <c:v>1.8946666666666667E-2</c:v>
                </c:pt>
                <c:pt idx="2862">
                  <c:v>1.8946666666666667E-2</c:v>
                </c:pt>
                <c:pt idx="2863">
                  <c:v>1.8946666666666667E-2</c:v>
                </c:pt>
                <c:pt idx="2864">
                  <c:v>1.8946666666666667E-2</c:v>
                </c:pt>
                <c:pt idx="2865">
                  <c:v>1.8946666666666667E-2</c:v>
                </c:pt>
                <c:pt idx="2866">
                  <c:v>1.8946666666666667E-2</c:v>
                </c:pt>
                <c:pt idx="2867">
                  <c:v>1.8946666666666667E-2</c:v>
                </c:pt>
                <c:pt idx="2868">
                  <c:v>1.8946666666666667E-2</c:v>
                </c:pt>
                <c:pt idx="2869">
                  <c:v>1.8946666666666667E-2</c:v>
                </c:pt>
                <c:pt idx="2870">
                  <c:v>1.8946666666666667E-2</c:v>
                </c:pt>
                <c:pt idx="2871">
                  <c:v>1.8946666666666667E-2</c:v>
                </c:pt>
                <c:pt idx="2872">
                  <c:v>1.8946666666666667E-2</c:v>
                </c:pt>
                <c:pt idx="2873">
                  <c:v>1.8946666666666667E-2</c:v>
                </c:pt>
                <c:pt idx="2874">
                  <c:v>1.8946666666666667E-2</c:v>
                </c:pt>
                <c:pt idx="2875">
                  <c:v>1.8946666666666667E-2</c:v>
                </c:pt>
                <c:pt idx="2876">
                  <c:v>1.8946666666666667E-2</c:v>
                </c:pt>
                <c:pt idx="2877">
                  <c:v>1.8946666666666667E-2</c:v>
                </c:pt>
                <c:pt idx="2878">
                  <c:v>1.8946666666666667E-2</c:v>
                </c:pt>
                <c:pt idx="2879">
                  <c:v>1.8946666666666667E-2</c:v>
                </c:pt>
                <c:pt idx="2880">
                  <c:v>1.8946666666666667E-2</c:v>
                </c:pt>
                <c:pt idx="2881">
                  <c:v>1.8946666666666667E-2</c:v>
                </c:pt>
                <c:pt idx="2882">
                  <c:v>1.8946666666666667E-2</c:v>
                </c:pt>
                <c:pt idx="2883">
                  <c:v>1.8946666666666667E-2</c:v>
                </c:pt>
                <c:pt idx="2884">
                  <c:v>1.8946666666666667E-2</c:v>
                </c:pt>
                <c:pt idx="2885">
                  <c:v>1.8946666666666667E-2</c:v>
                </c:pt>
                <c:pt idx="2886">
                  <c:v>1.8946666666666667E-2</c:v>
                </c:pt>
                <c:pt idx="2887">
                  <c:v>1.8946666666666667E-2</c:v>
                </c:pt>
                <c:pt idx="2888">
                  <c:v>1.8946666666666667E-2</c:v>
                </c:pt>
                <c:pt idx="2889">
                  <c:v>1.8946666666666667E-2</c:v>
                </c:pt>
                <c:pt idx="2890">
                  <c:v>1.8946666666666667E-2</c:v>
                </c:pt>
                <c:pt idx="2891">
                  <c:v>1.8946666666666667E-2</c:v>
                </c:pt>
                <c:pt idx="2892">
                  <c:v>1.8946666666666667E-2</c:v>
                </c:pt>
                <c:pt idx="2893">
                  <c:v>1.8946666666666667E-2</c:v>
                </c:pt>
                <c:pt idx="2894">
                  <c:v>1.8946666666666667E-2</c:v>
                </c:pt>
                <c:pt idx="2895">
                  <c:v>1.8946666666666667E-2</c:v>
                </c:pt>
                <c:pt idx="2896">
                  <c:v>1.8946666666666667E-2</c:v>
                </c:pt>
                <c:pt idx="2897">
                  <c:v>1.8946666666666667E-2</c:v>
                </c:pt>
                <c:pt idx="2898">
                  <c:v>1.8946666666666667E-2</c:v>
                </c:pt>
                <c:pt idx="2899">
                  <c:v>1.8946666666666667E-2</c:v>
                </c:pt>
                <c:pt idx="2900">
                  <c:v>1.8946666666666667E-2</c:v>
                </c:pt>
                <c:pt idx="2901">
                  <c:v>1.8946666666666667E-2</c:v>
                </c:pt>
                <c:pt idx="2902">
                  <c:v>1.8946666666666667E-2</c:v>
                </c:pt>
                <c:pt idx="2903">
                  <c:v>1.8946666666666667E-2</c:v>
                </c:pt>
                <c:pt idx="2904">
                  <c:v>1.8946666666666667E-2</c:v>
                </c:pt>
                <c:pt idx="2905">
                  <c:v>1.8946666666666667E-2</c:v>
                </c:pt>
                <c:pt idx="2906">
                  <c:v>1.8946666666666667E-2</c:v>
                </c:pt>
                <c:pt idx="2907">
                  <c:v>1.8946666666666667E-2</c:v>
                </c:pt>
                <c:pt idx="2908">
                  <c:v>1.8946666666666667E-2</c:v>
                </c:pt>
                <c:pt idx="2909">
                  <c:v>1.8946666666666667E-2</c:v>
                </c:pt>
                <c:pt idx="2910">
                  <c:v>1.8946666666666667E-2</c:v>
                </c:pt>
                <c:pt idx="2911">
                  <c:v>1.8946666666666667E-2</c:v>
                </c:pt>
                <c:pt idx="2912">
                  <c:v>1.8946666666666667E-2</c:v>
                </c:pt>
                <c:pt idx="2913">
                  <c:v>1.8946666666666667E-2</c:v>
                </c:pt>
                <c:pt idx="2914">
                  <c:v>1.8946666666666667E-2</c:v>
                </c:pt>
                <c:pt idx="2915">
                  <c:v>1.8946666666666667E-2</c:v>
                </c:pt>
                <c:pt idx="2916">
                  <c:v>1.8946666666666667E-2</c:v>
                </c:pt>
                <c:pt idx="2917">
                  <c:v>1.8946666666666667E-2</c:v>
                </c:pt>
                <c:pt idx="2918">
                  <c:v>1.8946666666666667E-2</c:v>
                </c:pt>
                <c:pt idx="2919">
                  <c:v>1.8946666666666667E-2</c:v>
                </c:pt>
                <c:pt idx="2920">
                  <c:v>1.8946666666666667E-2</c:v>
                </c:pt>
                <c:pt idx="2921">
                  <c:v>1.8946666666666667E-2</c:v>
                </c:pt>
                <c:pt idx="2922">
                  <c:v>1.8946666666666667E-2</c:v>
                </c:pt>
                <c:pt idx="2923">
                  <c:v>1.8946666666666667E-2</c:v>
                </c:pt>
                <c:pt idx="2924">
                  <c:v>1.8946666666666667E-2</c:v>
                </c:pt>
                <c:pt idx="2925">
                  <c:v>1.8946666666666667E-2</c:v>
                </c:pt>
                <c:pt idx="2926">
                  <c:v>1.8946666666666667E-2</c:v>
                </c:pt>
                <c:pt idx="2927">
                  <c:v>1.8946666666666667E-2</c:v>
                </c:pt>
                <c:pt idx="2928">
                  <c:v>1.8946666666666667E-2</c:v>
                </c:pt>
                <c:pt idx="2929">
                  <c:v>1.8946666666666667E-2</c:v>
                </c:pt>
                <c:pt idx="2930">
                  <c:v>1.8946666666666667E-2</c:v>
                </c:pt>
                <c:pt idx="2931">
                  <c:v>1.8946666666666667E-2</c:v>
                </c:pt>
                <c:pt idx="2932">
                  <c:v>1.8946666666666667E-2</c:v>
                </c:pt>
                <c:pt idx="2933">
                  <c:v>1.8946666666666667E-2</c:v>
                </c:pt>
                <c:pt idx="2934">
                  <c:v>1.8946666666666667E-2</c:v>
                </c:pt>
                <c:pt idx="2935">
                  <c:v>1.8946666666666667E-2</c:v>
                </c:pt>
                <c:pt idx="2936">
                  <c:v>1.8946666666666667E-2</c:v>
                </c:pt>
                <c:pt idx="2937">
                  <c:v>1.8946666666666667E-2</c:v>
                </c:pt>
                <c:pt idx="2938">
                  <c:v>1.8946666666666667E-2</c:v>
                </c:pt>
                <c:pt idx="2939">
                  <c:v>1.8946666666666667E-2</c:v>
                </c:pt>
                <c:pt idx="2940">
                  <c:v>1.8946666666666667E-2</c:v>
                </c:pt>
                <c:pt idx="2941">
                  <c:v>1.8946666666666667E-2</c:v>
                </c:pt>
                <c:pt idx="2942">
                  <c:v>1.8946666666666667E-2</c:v>
                </c:pt>
                <c:pt idx="2943">
                  <c:v>2.0549666666666667E-2</c:v>
                </c:pt>
                <c:pt idx="2944">
                  <c:v>2.0549666666666667E-2</c:v>
                </c:pt>
                <c:pt idx="2945">
                  <c:v>2.0549666666666667E-2</c:v>
                </c:pt>
                <c:pt idx="2946">
                  <c:v>2.0549666666666667E-2</c:v>
                </c:pt>
                <c:pt idx="2947">
                  <c:v>2.0549666666666667E-2</c:v>
                </c:pt>
                <c:pt idx="2948">
                  <c:v>2.0549666666666667E-2</c:v>
                </c:pt>
                <c:pt idx="2949">
                  <c:v>2.0549666666666667E-2</c:v>
                </c:pt>
                <c:pt idx="2950">
                  <c:v>2.0549666666666667E-2</c:v>
                </c:pt>
                <c:pt idx="2951">
                  <c:v>2.0549666666666667E-2</c:v>
                </c:pt>
                <c:pt idx="2952">
                  <c:v>2.0549666666666667E-2</c:v>
                </c:pt>
                <c:pt idx="2953">
                  <c:v>2.0549666666666667E-2</c:v>
                </c:pt>
                <c:pt idx="2954">
                  <c:v>2.0549666666666667E-2</c:v>
                </c:pt>
                <c:pt idx="2955">
                  <c:v>2.0549666666666667E-2</c:v>
                </c:pt>
                <c:pt idx="2956">
                  <c:v>2.0549666666666667E-2</c:v>
                </c:pt>
                <c:pt idx="2957">
                  <c:v>2.0549666666666667E-2</c:v>
                </c:pt>
                <c:pt idx="2958">
                  <c:v>2.0549666666666667E-2</c:v>
                </c:pt>
                <c:pt idx="2959">
                  <c:v>2.0549666666666667E-2</c:v>
                </c:pt>
                <c:pt idx="2960">
                  <c:v>2.0549666666666667E-2</c:v>
                </c:pt>
                <c:pt idx="2961">
                  <c:v>2.0549666666666667E-2</c:v>
                </c:pt>
                <c:pt idx="2962">
                  <c:v>3.2219333333333336E-2</c:v>
                </c:pt>
                <c:pt idx="2963">
                  <c:v>3.2219333333333336E-2</c:v>
                </c:pt>
                <c:pt idx="2964">
                  <c:v>3.2219333333333336E-2</c:v>
                </c:pt>
                <c:pt idx="2965">
                  <c:v>3.2219333333333336E-2</c:v>
                </c:pt>
                <c:pt idx="2966">
                  <c:v>3.2219333333333336E-2</c:v>
                </c:pt>
                <c:pt idx="2967">
                  <c:v>3.2219333333333336E-2</c:v>
                </c:pt>
                <c:pt idx="2968">
                  <c:v>3.2219333333333336E-2</c:v>
                </c:pt>
                <c:pt idx="2969">
                  <c:v>3.2219333333333336E-2</c:v>
                </c:pt>
                <c:pt idx="2970">
                  <c:v>3.2219333333333336E-2</c:v>
                </c:pt>
                <c:pt idx="2971">
                  <c:v>3.2219333333333336E-2</c:v>
                </c:pt>
                <c:pt idx="2972">
                  <c:v>3.2219333333333336E-2</c:v>
                </c:pt>
                <c:pt idx="2973">
                  <c:v>3.2219333333333336E-2</c:v>
                </c:pt>
                <c:pt idx="2974">
                  <c:v>3.2219333333333336E-2</c:v>
                </c:pt>
                <c:pt idx="2975">
                  <c:v>3.2219333333333336E-2</c:v>
                </c:pt>
                <c:pt idx="2976">
                  <c:v>3.2219333333333336E-2</c:v>
                </c:pt>
                <c:pt idx="2977">
                  <c:v>3.2219333333333336E-2</c:v>
                </c:pt>
                <c:pt idx="2978">
                  <c:v>3.2219333333333336E-2</c:v>
                </c:pt>
                <c:pt idx="2979">
                  <c:v>3.2219333333333336E-2</c:v>
                </c:pt>
                <c:pt idx="2980">
                  <c:v>3.2219333333333336E-2</c:v>
                </c:pt>
                <c:pt idx="2981">
                  <c:v>3.2219333333333336E-2</c:v>
                </c:pt>
                <c:pt idx="2982">
                  <c:v>3.2219333333333336E-2</c:v>
                </c:pt>
                <c:pt idx="2983">
                  <c:v>3.2219333333333336E-2</c:v>
                </c:pt>
                <c:pt idx="2984">
                  <c:v>3.2219333333333336E-2</c:v>
                </c:pt>
                <c:pt idx="2985">
                  <c:v>3.2219333333333336E-2</c:v>
                </c:pt>
                <c:pt idx="2986">
                  <c:v>3.2219333333333336E-2</c:v>
                </c:pt>
                <c:pt idx="2987">
                  <c:v>3.2219333333333336E-2</c:v>
                </c:pt>
                <c:pt idx="2988">
                  <c:v>3.2219333333333336E-2</c:v>
                </c:pt>
                <c:pt idx="2989">
                  <c:v>3.2219333333333336E-2</c:v>
                </c:pt>
                <c:pt idx="2990">
                  <c:v>3.2219333333333336E-2</c:v>
                </c:pt>
                <c:pt idx="2991">
                  <c:v>3.2219333333333336E-2</c:v>
                </c:pt>
                <c:pt idx="2992">
                  <c:v>3.2219333333333336E-2</c:v>
                </c:pt>
                <c:pt idx="2993">
                  <c:v>3.2219333333333336E-2</c:v>
                </c:pt>
                <c:pt idx="2994">
                  <c:v>3.2219333333333336E-2</c:v>
                </c:pt>
                <c:pt idx="2995">
                  <c:v>3.2219333333333336E-2</c:v>
                </c:pt>
                <c:pt idx="2996">
                  <c:v>3.2219333333333336E-2</c:v>
                </c:pt>
                <c:pt idx="2997">
                  <c:v>3.2219333333333336E-2</c:v>
                </c:pt>
                <c:pt idx="2998">
                  <c:v>3.2219333333333336E-2</c:v>
                </c:pt>
                <c:pt idx="2999">
                  <c:v>3.2219333333333336E-2</c:v>
                </c:pt>
                <c:pt idx="3000">
                  <c:v>3.2219333333333336E-2</c:v>
                </c:pt>
                <c:pt idx="3001">
                  <c:v>3.2219333333333336E-2</c:v>
                </c:pt>
                <c:pt idx="3002">
                  <c:v>3.2219333333333336E-2</c:v>
                </c:pt>
                <c:pt idx="3003">
                  <c:v>3.2219333333333336E-2</c:v>
                </c:pt>
                <c:pt idx="3004">
                  <c:v>3.2219333333333336E-2</c:v>
                </c:pt>
                <c:pt idx="3005">
                  <c:v>3.2219333333333336E-2</c:v>
                </c:pt>
                <c:pt idx="3006">
                  <c:v>3.2219333333333336E-2</c:v>
                </c:pt>
                <c:pt idx="3007">
                  <c:v>3.2219333333333336E-2</c:v>
                </c:pt>
                <c:pt idx="3008">
                  <c:v>3.2219333333333336E-2</c:v>
                </c:pt>
                <c:pt idx="3009">
                  <c:v>3.2219333333333336E-2</c:v>
                </c:pt>
                <c:pt idx="3010">
                  <c:v>3.2219333333333336E-2</c:v>
                </c:pt>
                <c:pt idx="3011">
                  <c:v>2.8646666666666668E-3</c:v>
                </c:pt>
                <c:pt idx="3012">
                  <c:v>2.8646666666666668E-3</c:v>
                </c:pt>
                <c:pt idx="3013">
                  <c:v>2.8646666666666668E-3</c:v>
                </c:pt>
                <c:pt idx="3014">
                  <c:v>2.8646666666666668E-3</c:v>
                </c:pt>
                <c:pt idx="3015">
                  <c:v>2.8646666666666668E-3</c:v>
                </c:pt>
                <c:pt idx="3016">
                  <c:v>2.8646666666666668E-3</c:v>
                </c:pt>
                <c:pt idx="3017">
                  <c:v>2.8646666666666668E-3</c:v>
                </c:pt>
                <c:pt idx="3018">
                  <c:v>2.8646666666666668E-3</c:v>
                </c:pt>
                <c:pt idx="3019">
                  <c:v>2.8646666666666668E-3</c:v>
                </c:pt>
                <c:pt idx="3020">
                  <c:v>2.8646666666666668E-3</c:v>
                </c:pt>
                <c:pt idx="3021">
                  <c:v>2.8646666666666668E-3</c:v>
                </c:pt>
                <c:pt idx="3022">
                  <c:v>2.8646666666666668E-3</c:v>
                </c:pt>
                <c:pt idx="3023">
                  <c:v>2.8646666666666668E-3</c:v>
                </c:pt>
                <c:pt idx="3024">
                  <c:v>2.8646666666666668E-3</c:v>
                </c:pt>
                <c:pt idx="3025">
                  <c:v>2.8646666666666668E-3</c:v>
                </c:pt>
                <c:pt idx="3026">
                  <c:v>2.8646666666666668E-3</c:v>
                </c:pt>
                <c:pt idx="3027">
                  <c:v>2.8646666666666668E-3</c:v>
                </c:pt>
                <c:pt idx="3028">
                  <c:v>2.8646666666666668E-3</c:v>
                </c:pt>
                <c:pt idx="3029">
                  <c:v>2.8646666666666668E-3</c:v>
                </c:pt>
                <c:pt idx="3030">
                  <c:v>2.8646666666666668E-3</c:v>
                </c:pt>
                <c:pt idx="3031">
                  <c:v>2.8646666666666668E-3</c:v>
                </c:pt>
                <c:pt idx="3032">
                  <c:v>2.8646666666666668E-3</c:v>
                </c:pt>
                <c:pt idx="3033">
                  <c:v>2.8646666666666668E-3</c:v>
                </c:pt>
                <c:pt idx="3034">
                  <c:v>2.8646666666666668E-3</c:v>
                </c:pt>
                <c:pt idx="3035">
                  <c:v>2.8646666666666668E-3</c:v>
                </c:pt>
                <c:pt idx="3036">
                  <c:v>2.8646666666666668E-3</c:v>
                </c:pt>
                <c:pt idx="3037">
                  <c:v>2.8646666666666668E-3</c:v>
                </c:pt>
                <c:pt idx="3038">
                  <c:v>2.8646666666666668E-3</c:v>
                </c:pt>
                <c:pt idx="3039">
                  <c:v>2.8646666666666668E-3</c:v>
                </c:pt>
                <c:pt idx="3040">
                  <c:v>2.8646666666666668E-3</c:v>
                </c:pt>
                <c:pt idx="3041">
                  <c:v>3.4334666666666666E-2</c:v>
                </c:pt>
                <c:pt idx="3042">
                  <c:v>3.4334666666666666E-2</c:v>
                </c:pt>
                <c:pt idx="3043">
                  <c:v>3.4334666666666666E-2</c:v>
                </c:pt>
                <c:pt idx="3044">
                  <c:v>3.4334666666666666E-2</c:v>
                </c:pt>
                <c:pt idx="3045">
                  <c:v>3.4334666666666666E-2</c:v>
                </c:pt>
                <c:pt idx="3046">
                  <c:v>3.4334666666666666E-2</c:v>
                </c:pt>
                <c:pt idx="3047">
                  <c:v>3.4334666666666666E-2</c:v>
                </c:pt>
                <c:pt idx="3048">
                  <c:v>3.4334666666666666E-2</c:v>
                </c:pt>
                <c:pt idx="3049">
                  <c:v>3.4334666666666666E-2</c:v>
                </c:pt>
                <c:pt idx="3050">
                  <c:v>3.4334666666666666E-2</c:v>
                </c:pt>
                <c:pt idx="3051">
                  <c:v>3.4334666666666666E-2</c:v>
                </c:pt>
                <c:pt idx="3052">
                  <c:v>3.4334666666666666E-2</c:v>
                </c:pt>
                <c:pt idx="3053">
                  <c:v>3.4334666666666666E-2</c:v>
                </c:pt>
                <c:pt idx="3054">
                  <c:v>3.4334666666666666E-2</c:v>
                </c:pt>
                <c:pt idx="3055">
                  <c:v>3.4334666666666666E-2</c:v>
                </c:pt>
                <c:pt idx="3056">
                  <c:v>3.4334666666666666E-2</c:v>
                </c:pt>
                <c:pt idx="3057">
                  <c:v>3.4334666666666666E-2</c:v>
                </c:pt>
                <c:pt idx="3058">
                  <c:v>3.4334666666666666E-2</c:v>
                </c:pt>
                <c:pt idx="3059">
                  <c:v>3.4334666666666666E-2</c:v>
                </c:pt>
                <c:pt idx="3060">
                  <c:v>3.4334666666666666E-2</c:v>
                </c:pt>
                <c:pt idx="3061">
                  <c:v>3.4334666666666666E-2</c:v>
                </c:pt>
                <c:pt idx="3062">
                  <c:v>3.4334666666666666E-2</c:v>
                </c:pt>
                <c:pt idx="3063">
                  <c:v>3.4334666666666666E-2</c:v>
                </c:pt>
                <c:pt idx="3064">
                  <c:v>3.4334666666666666E-2</c:v>
                </c:pt>
                <c:pt idx="3065">
                  <c:v>3.4334666666666666E-2</c:v>
                </c:pt>
                <c:pt idx="3066">
                  <c:v>3.4334666666666666E-2</c:v>
                </c:pt>
                <c:pt idx="3067">
                  <c:v>3.4334666666666666E-2</c:v>
                </c:pt>
                <c:pt idx="3068">
                  <c:v>3.4334666666666666E-2</c:v>
                </c:pt>
                <c:pt idx="3069">
                  <c:v>3.4334666666666666E-2</c:v>
                </c:pt>
                <c:pt idx="3070">
                  <c:v>3.4334666666666666E-2</c:v>
                </c:pt>
                <c:pt idx="3071">
                  <c:v>3.4334666666666666E-2</c:v>
                </c:pt>
                <c:pt idx="3072">
                  <c:v>3.4334666666666666E-2</c:v>
                </c:pt>
                <c:pt idx="3073">
                  <c:v>3.4334666666666666E-2</c:v>
                </c:pt>
                <c:pt idx="3074">
                  <c:v>3.4334666666666666E-2</c:v>
                </c:pt>
                <c:pt idx="3075">
                  <c:v>3.4334666666666666E-2</c:v>
                </c:pt>
                <c:pt idx="3076">
                  <c:v>3.4334666666666666E-2</c:v>
                </c:pt>
                <c:pt idx="3077">
                  <c:v>3.4334666666666666E-2</c:v>
                </c:pt>
                <c:pt idx="3078">
                  <c:v>3.4334666666666666E-2</c:v>
                </c:pt>
                <c:pt idx="3079">
                  <c:v>3.4334666666666666E-2</c:v>
                </c:pt>
                <c:pt idx="3080">
                  <c:v>3.4334666666666666E-2</c:v>
                </c:pt>
                <c:pt idx="3081">
                  <c:v>3.4334666666666666E-2</c:v>
                </c:pt>
                <c:pt idx="3082">
                  <c:v>3.4334666666666666E-2</c:v>
                </c:pt>
                <c:pt idx="3083">
                  <c:v>3.4334666666666666E-2</c:v>
                </c:pt>
                <c:pt idx="3084">
                  <c:v>3.4334666666666666E-2</c:v>
                </c:pt>
                <c:pt idx="3085">
                  <c:v>3.4334666666666666E-2</c:v>
                </c:pt>
                <c:pt idx="3086">
                  <c:v>3.4334666666666666E-2</c:v>
                </c:pt>
                <c:pt idx="3087">
                  <c:v>3.4334666666666666E-2</c:v>
                </c:pt>
                <c:pt idx="3088">
                  <c:v>3.4334666666666666E-2</c:v>
                </c:pt>
                <c:pt idx="3089">
                  <c:v>3.4334666666666666E-2</c:v>
                </c:pt>
                <c:pt idx="3090">
                  <c:v>3.4334666666666666E-2</c:v>
                </c:pt>
                <c:pt idx="3091">
                  <c:v>3.4334666666666666E-2</c:v>
                </c:pt>
                <c:pt idx="3092">
                  <c:v>3.4334666666666666E-2</c:v>
                </c:pt>
                <c:pt idx="3093">
                  <c:v>3.4334666666666666E-2</c:v>
                </c:pt>
                <c:pt idx="3094">
                  <c:v>3.4334666666666666E-2</c:v>
                </c:pt>
                <c:pt idx="3095">
                  <c:v>3.4334666666666666E-2</c:v>
                </c:pt>
                <c:pt idx="3096">
                  <c:v>3.4334666666666666E-2</c:v>
                </c:pt>
                <c:pt idx="3097">
                  <c:v>3.4334666666666666E-2</c:v>
                </c:pt>
                <c:pt idx="3098">
                  <c:v>3.4334666666666666E-2</c:v>
                </c:pt>
                <c:pt idx="3099">
                  <c:v>3.4334666666666666E-2</c:v>
                </c:pt>
                <c:pt idx="3100">
                  <c:v>3.4334666666666666E-2</c:v>
                </c:pt>
                <c:pt idx="3101">
                  <c:v>3.4334666666666666E-2</c:v>
                </c:pt>
                <c:pt idx="3102">
                  <c:v>3.4334666666666666E-2</c:v>
                </c:pt>
                <c:pt idx="3103">
                  <c:v>3.4334666666666666E-2</c:v>
                </c:pt>
                <c:pt idx="3104">
                  <c:v>3.4334666666666666E-2</c:v>
                </c:pt>
                <c:pt idx="3105">
                  <c:v>3.4334666666666666E-2</c:v>
                </c:pt>
                <c:pt idx="3106">
                  <c:v>3.4334666666666666E-2</c:v>
                </c:pt>
                <c:pt idx="3107">
                  <c:v>3.4334666666666666E-2</c:v>
                </c:pt>
                <c:pt idx="3108">
                  <c:v>3.4334666666666666E-2</c:v>
                </c:pt>
                <c:pt idx="3109">
                  <c:v>3.4334666666666666E-2</c:v>
                </c:pt>
                <c:pt idx="3110">
                  <c:v>3.4334666666666666E-2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C8-4C62-8C1B-9A0A5115E59D}"/>
            </c:ext>
          </c:extLst>
        </c:ser>
        <c:ser>
          <c:idx val="6"/>
          <c:order val="4"/>
          <c:tx>
            <c:v>Hydrogen (%)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cat>
          <c:val>
            <c:numRef>
              <c:f>Summary!$AD$3:$AD$3113</c:f>
              <c:numCache>
                <c:formatCode>General</c:formatCode>
                <c:ptCount val="3111"/>
                <c:pt idx="0">
                  <c:v>0.87588533333333329</c:v>
                </c:pt>
                <c:pt idx="1">
                  <c:v>0.87588533333333329</c:v>
                </c:pt>
                <c:pt idx="2">
                  <c:v>0.88245600000000013</c:v>
                </c:pt>
                <c:pt idx="3">
                  <c:v>0.88245600000000013</c:v>
                </c:pt>
                <c:pt idx="4">
                  <c:v>0.88245600000000013</c:v>
                </c:pt>
                <c:pt idx="5">
                  <c:v>0.88245600000000013</c:v>
                </c:pt>
                <c:pt idx="6">
                  <c:v>0.88245600000000013</c:v>
                </c:pt>
                <c:pt idx="7">
                  <c:v>0.88245600000000013</c:v>
                </c:pt>
                <c:pt idx="8">
                  <c:v>0.88245600000000013</c:v>
                </c:pt>
                <c:pt idx="9">
                  <c:v>0.88245600000000013</c:v>
                </c:pt>
                <c:pt idx="10">
                  <c:v>0.88245600000000013</c:v>
                </c:pt>
                <c:pt idx="11">
                  <c:v>0.88461866666666666</c:v>
                </c:pt>
                <c:pt idx="12">
                  <c:v>0.88461866666666666</c:v>
                </c:pt>
                <c:pt idx="13">
                  <c:v>0.88461866666666666</c:v>
                </c:pt>
                <c:pt idx="14">
                  <c:v>0.88461866666666666</c:v>
                </c:pt>
                <c:pt idx="15">
                  <c:v>0.88461866666666666</c:v>
                </c:pt>
                <c:pt idx="16">
                  <c:v>0.88461866666666666</c:v>
                </c:pt>
                <c:pt idx="17">
                  <c:v>0.88461866666666666</c:v>
                </c:pt>
                <c:pt idx="18">
                  <c:v>0.88461866666666666</c:v>
                </c:pt>
                <c:pt idx="19">
                  <c:v>0.88461866666666666</c:v>
                </c:pt>
                <c:pt idx="20">
                  <c:v>0.88461866666666666</c:v>
                </c:pt>
                <c:pt idx="21">
                  <c:v>0.88461866666666666</c:v>
                </c:pt>
                <c:pt idx="22">
                  <c:v>0.93184500000000003</c:v>
                </c:pt>
                <c:pt idx="23">
                  <c:v>0.93184500000000003</c:v>
                </c:pt>
                <c:pt idx="24">
                  <c:v>0.93184500000000003</c:v>
                </c:pt>
                <c:pt idx="25">
                  <c:v>0.93184500000000003</c:v>
                </c:pt>
                <c:pt idx="26">
                  <c:v>0.93184500000000003</c:v>
                </c:pt>
                <c:pt idx="27">
                  <c:v>0.93184500000000003</c:v>
                </c:pt>
                <c:pt idx="28">
                  <c:v>0.93184500000000003</c:v>
                </c:pt>
                <c:pt idx="29">
                  <c:v>0.93184500000000003</c:v>
                </c:pt>
                <c:pt idx="30">
                  <c:v>0.93184500000000003</c:v>
                </c:pt>
                <c:pt idx="31">
                  <c:v>0.93184500000000003</c:v>
                </c:pt>
                <c:pt idx="32">
                  <c:v>0.86166133333333339</c:v>
                </c:pt>
                <c:pt idx="33">
                  <c:v>0.86166133333333339</c:v>
                </c:pt>
                <c:pt idx="34">
                  <c:v>0.86166133333333339</c:v>
                </c:pt>
                <c:pt idx="35">
                  <c:v>0.86166133333333339</c:v>
                </c:pt>
                <c:pt idx="36">
                  <c:v>0.86166133333333339</c:v>
                </c:pt>
                <c:pt idx="37">
                  <c:v>0.86166133333333339</c:v>
                </c:pt>
                <c:pt idx="38">
                  <c:v>0.86166133333333339</c:v>
                </c:pt>
                <c:pt idx="39">
                  <c:v>0.86166133333333339</c:v>
                </c:pt>
                <c:pt idx="40">
                  <c:v>0.86166133333333339</c:v>
                </c:pt>
                <c:pt idx="41">
                  <c:v>0.86166133333333339</c:v>
                </c:pt>
                <c:pt idx="42">
                  <c:v>0.86166133333333339</c:v>
                </c:pt>
                <c:pt idx="43">
                  <c:v>0.86166133333333339</c:v>
                </c:pt>
                <c:pt idx="44">
                  <c:v>0.86166133333333339</c:v>
                </c:pt>
                <c:pt idx="45">
                  <c:v>0.86166133333333339</c:v>
                </c:pt>
                <c:pt idx="46">
                  <c:v>0.86166133333333339</c:v>
                </c:pt>
                <c:pt idx="47">
                  <c:v>0.86166133333333339</c:v>
                </c:pt>
                <c:pt idx="48">
                  <c:v>0.86166133333333339</c:v>
                </c:pt>
                <c:pt idx="49">
                  <c:v>0.86166133333333339</c:v>
                </c:pt>
                <c:pt idx="50">
                  <c:v>0.86166133333333339</c:v>
                </c:pt>
                <c:pt idx="51">
                  <c:v>0.86166133333333339</c:v>
                </c:pt>
                <c:pt idx="52">
                  <c:v>0.86166133333333339</c:v>
                </c:pt>
                <c:pt idx="53">
                  <c:v>0.86166133333333339</c:v>
                </c:pt>
                <c:pt idx="54">
                  <c:v>0.86166133333333339</c:v>
                </c:pt>
                <c:pt idx="55">
                  <c:v>0.86166133333333339</c:v>
                </c:pt>
                <c:pt idx="56">
                  <c:v>0.86166133333333339</c:v>
                </c:pt>
                <c:pt idx="57">
                  <c:v>0.86166133333333339</c:v>
                </c:pt>
                <c:pt idx="58">
                  <c:v>0.86166133333333339</c:v>
                </c:pt>
                <c:pt idx="59">
                  <c:v>0.86166133333333339</c:v>
                </c:pt>
                <c:pt idx="60">
                  <c:v>0.86166133333333339</c:v>
                </c:pt>
                <c:pt idx="61">
                  <c:v>0.86166133333333339</c:v>
                </c:pt>
                <c:pt idx="62">
                  <c:v>0.86166133333333339</c:v>
                </c:pt>
                <c:pt idx="63">
                  <c:v>0.86166133333333339</c:v>
                </c:pt>
                <c:pt idx="64">
                  <c:v>0.86166133333333339</c:v>
                </c:pt>
                <c:pt idx="65">
                  <c:v>0.86166133333333339</c:v>
                </c:pt>
                <c:pt idx="66">
                  <c:v>0.86166133333333339</c:v>
                </c:pt>
                <c:pt idx="67">
                  <c:v>0.86166133333333339</c:v>
                </c:pt>
                <c:pt idx="68">
                  <c:v>0.86166133333333339</c:v>
                </c:pt>
                <c:pt idx="69">
                  <c:v>0.86166133333333339</c:v>
                </c:pt>
                <c:pt idx="70">
                  <c:v>0.86166133333333339</c:v>
                </c:pt>
                <c:pt idx="71">
                  <c:v>0.86581866666666674</c:v>
                </c:pt>
                <c:pt idx="72">
                  <c:v>0.86581866666666674</c:v>
                </c:pt>
                <c:pt idx="73">
                  <c:v>0.86581866666666674</c:v>
                </c:pt>
                <c:pt idx="74">
                  <c:v>0.86581866666666674</c:v>
                </c:pt>
                <c:pt idx="75">
                  <c:v>0.86581866666666674</c:v>
                </c:pt>
                <c:pt idx="76">
                  <c:v>0.86581866666666674</c:v>
                </c:pt>
                <c:pt idx="77">
                  <c:v>0.86581866666666674</c:v>
                </c:pt>
                <c:pt idx="78">
                  <c:v>0.86581866666666674</c:v>
                </c:pt>
                <c:pt idx="79">
                  <c:v>0.86581866666666674</c:v>
                </c:pt>
                <c:pt idx="80">
                  <c:v>0.78441233333333327</c:v>
                </c:pt>
                <c:pt idx="81">
                  <c:v>0.78441233333333327</c:v>
                </c:pt>
                <c:pt idx="82">
                  <c:v>0.78441233333333327</c:v>
                </c:pt>
                <c:pt idx="83">
                  <c:v>0.78441233333333327</c:v>
                </c:pt>
                <c:pt idx="84">
                  <c:v>0.78441233333333327</c:v>
                </c:pt>
                <c:pt idx="85">
                  <c:v>0.78441233333333327</c:v>
                </c:pt>
                <c:pt idx="86">
                  <c:v>0.78441233333333327</c:v>
                </c:pt>
                <c:pt idx="87">
                  <c:v>0.78441233333333327</c:v>
                </c:pt>
                <c:pt idx="88">
                  <c:v>0.78441233333333327</c:v>
                </c:pt>
                <c:pt idx="89">
                  <c:v>0.78441233333333327</c:v>
                </c:pt>
                <c:pt idx="90">
                  <c:v>0.78441233333333327</c:v>
                </c:pt>
                <c:pt idx="91">
                  <c:v>0.78441233333333327</c:v>
                </c:pt>
                <c:pt idx="92">
                  <c:v>0.78441233333333327</c:v>
                </c:pt>
                <c:pt idx="93">
                  <c:v>0.78441233333333327</c:v>
                </c:pt>
                <c:pt idx="94">
                  <c:v>0.78441233333333327</c:v>
                </c:pt>
                <c:pt idx="95">
                  <c:v>0.78441233333333327</c:v>
                </c:pt>
                <c:pt idx="96">
                  <c:v>0.78441233333333327</c:v>
                </c:pt>
                <c:pt idx="97">
                  <c:v>0.78441233333333327</c:v>
                </c:pt>
                <c:pt idx="98">
                  <c:v>0.78441233333333327</c:v>
                </c:pt>
                <c:pt idx="99">
                  <c:v>0.78441233333333327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0.88127200000000006</c:v>
                </c:pt>
                <c:pt idx="242">
                  <c:v>0.88127200000000006</c:v>
                </c:pt>
                <c:pt idx="243">
                  <c:v>0.88127200000000006</c:v>
                </c:pt>
                <c:pt idx="244">
                  <c:v>0.88127200000000006</c:v>
                </c:pt>
                <c:pt idx="245">
                  <c:v>0.88127200000000006</c:v>
                </c:pt>
                <c:pt idx="246">
                  <c:v>0.88127200000000006</c:v>
                </c:pt>
                <c:pt idx="247">
                  <c:v>0.88127200000000006</c:v>
                </c:pt>
                <c:pt idx="248">
                  <c:v>0.88127200000000006</c:v>
                </c:pt>
                <c:pt idx="249">
                  <c:v>0.88127200000000006</c:v>
                </c:pt>
                <c:pt idx="250">
                  <c:v>0.88127200000000006</c:v>
                </c:pt>
                <c:pt idx="251">
                  <c:v>0.88127200000000006</c:v>
                </c:pt>
                <c:pt idx="252">
                  <c:v>0.88127200000000006</c:v>
                </c:pt>
                <c:pt idx="253">
                  <c:v>0.88127200000000006</c:v>
                </c:pt>
                <c:pt idx="254">
                  <c:v>0.88127200000000006</c:v>
                </c:pt>
                <c:pt idx="255">
                  <c:v>0.88127200000000006</c:v>
                </c:pt>
                <c:pt idx="256">
                  <c:v>0.88127200000000006</c:v>
                </c:pt>
                <c:pt idx="257">
                  <c:v>0.88127200000000006</c:v>
                </c:pt>
                <c:pt idx="258">
                  <c:v>0.88127200000000006</c:v>
                </c:pt>
                <c:pt idx="259">
                  <c:v>0.88127200000000006</c:v>
                </c:pt>
                <c:pt idx="260">
                  <c:v>0.88127200000000006</c:v>
                </c:pt>
                <c:pt idx="261">
                  <c:v>0.88127200000000006</c:v>
                </c:pt>
                <c:pt idx="262">
                  <c:v>0.88127200000000006</c:v>
                </c:pt>
                <c:pt idx="263">
                  <c:v>0.88127200000000006</c:v>
                </c:pt>
                <c:pt idx="264">
                  <c:v>0.88127200000000006</c:v>
                </c:pt>
                <c:pt idx="265">
                  <c:v>0.88127200000000006</c:v>
                </c:pt>
                <c:pt idx="266">
                  <c:v>0.88127200000000006</c:v>
                </c:pt>
                <c:pt idx="267">
                  <c:v>0.88127200000000006</c:v>
                </c:pt>
                <c:pt idx="268">
                  <c:v>0.88127200000000006</c:v>
                </c:pt>
                <c:pt idx="269">
                  <c:v>0.88127200000000006</c:v>
                </c:pt>
                <c:pt idx="270">
                  <c:v>0.88127200000000006</c:v>
                </c:pt>
                <c:pt idx="271">
                  <c:v>0.88127200000000006</c:v>
                </c:pt>
                <c:pt idx="272">
                  <c:v>0.88127200000000006</c:v>
                </c:pt>
                <c:pt idx="273">
                  <c:v>0.88127200000000006</c:v>
                </c:pt>
                <c:pt idx="274">
                  <c:v>0.88127200000000006</c:v>
                </c:pt>
                <c:pt idx="275">
                  <c:v>0.88127200000000006</c:v>
                </c:pt>
                <c:pt idx="276">
                  <c:v>0.88127200000000006</c:v>
                </c:pt>
                <c:pt idx="277">
                  <c:v>0.88127200000000006</c:v>
                </c:pt>
                <c:pt idx="278">
                  <c:v>0.88127200000000006</c:v>
                </c:pt>
                <c:pt idx="279">
                  <c:v>0.88127200000000006</c:v>
                </c:pt>
                <c:pt idx="280">
                  <c:v>0.88127200000000006</c:v>
                </c:pt>
                <c:pt idx="281">
                  <c:v>0.88127200000000006</c:v>
                </c:pt>
                <c:pt idx="282">
                  <c:v>0.88127200000000006</c:v>
                </c:pt>
                <c:pt idx="283">
                  <c:v>0.88127200000000006</c:v>
                </c:pt>
                <c:pt idx="284">
                  <c:v>0.88127200000000006</c:v>
                </c:pt>
                <c:pt idx="285">
                  <c:v>0.88127200000000006</c:v>
                </c:pt>
                <c:pt idx="286">
                  <c:v>0.88127200000000006</c:v>
                </c:pt>
                <c:pt idx="287">
                  <c:v>0.88127200000000006</c:v>
                </c:pt>
                <c:pt idx="288">
                  <c:v>0.88127200000000006</c:v>
                </c:pt>
                <c:pt idx="289">
                  <c:v>0.88127200000000006</c:v>
                </c:pt>
                <c:pt idx="290">
                  <c:v>0.88127200000000006</c:v>
                </c:pt>
                <c:pt idx="291">
                  <c:v>0.88127200000000006</c:v>
                </c:pt>
                <c:pt idx="292">
                  <c:v>0.88127200000000006</c:v>
                </c:pt>
                <c:pt idx="293">
                  <c:v>0.88127200000000006</c:v>
                </c:pt>
                <c:pt idx="294">
                  <c:v>0.88127200000000006</c:v>
                </c:pt>
                <c:pt idx="295">
                  <c:v>0.88127200000000006</c:v>
                </c:pt>
                <c:pt idx="296">
                  <c:v>0.88127200000000006</c:v>
                </c:pt>
                <c:pt idx="297">
                  <c:v>0.88127200000000006</c:v>
                </c:pt>
                <c:pt idx="298">
                  <c:v>0.88127200000000006</c:v>
                </c:pt>
                <c:pt idx="299">
                  <c:v>0.88127200000000006</c:v>
                </c:pt>
                <c:pt idx="300">
                  <c:v>0.88127200000000006</c:v>
                </c:pt>
                <c:pt idx="301">
                  <c:v>0.86153966670000004</c:v>
                </c:pt>
                <c:pt idx="302">
                  <c:v>0.86153966670000004</c:v>
                </c:pt>
                <c:pt idx="303">
                  <c:v>0.86153966670000004</c:v>
                </c:pt>
                <c:pt idx="304">
                  <c:v>0.86153966670000004</c:v>
                </c:pt>
                <c:pt idx="305">
                  <c:v>0.86153966670000004</c:v>
                </c:pt>
                <c:pt idx="306">
                  <c:v>0.86153966670000004</c:v>
                </c:pt>
                <c:pt idx="307">
                  <c:v>0.86153966670000004</c:v>
                </c:pt>
                <c:pt idx="308">
                  <c:v>0.86153966670000004</c:v>
                </c:pt>
                <c:pt idx="309">
                  <c:v>0.86153966670000004</c:v>
                </c:pt>
                <c:pt idx="310">
                  <c:v>0.86153966670000004</c:v>
                </c:pt>
                <c:pt idx="311">
                  <c:v>0.86153966670000004</c:v>
                </c:pt>
                <c:pt idx="312">
                  <c:v>0.86153966670000004</c:v>
                </c:pt>
                <c:pt idx="313">
                  <c:v>0.86153966670000004</c:v>
                </c:pt>
                <c:pt idx="314">
                  <c:v>0.86153966670000004</c:v>
                </c:pt>
                <c:pt idx="315">
                  <c:v>0.86153966670000004</c:v>
                </c:pt>
                <c:pt idx="316">
                  <c:v>0.86153966670000004</c:v>
                </c:pt>
                <c:pt idx="317">
                  <c:v>0.86153966670000004</c:v>
                </c:pt>
                <c:pt idx="318">
                  <c:v>0.86153966670000004</c:v>
                </c:pt>
                <c:pt idx="319">
                  <c:v>0.86153966670000004</c:v>
                </c:pt>
                <c:pt idx="320">
                  <c:v>0.86153966670000004</c:v>
                </c:pt>
                <c:pt idx="321">
                  <c:v>0.86153966670000004</c:v>
                </c:pt>
                <c:pt idx="322">
                  <c:v>0.86153966670000004</c:v>
                </c:pt>
                <c:pt idx="323">
                  <c:v>0.86153966670000004</c:v>
                </c:pt>
                <c:pt idx="324">
                  <c:v>0.86153966670000004</c:v>
                </c:pt>
                <c:pt idx="325">
                  <c:v>0.86153966670000004</c:v>
                </c:pt>
                <c:pt idx="326">
                  <c:v>0.86153966670000004</c:v>
                </c:pt>
                <c:pt idx="327">
                  <c:v>0.86153966670000004</c:v>
                </c:pt>
                <c:pt idx="328">
                  <c:v>0.86153966670000004</c:v>
                </c:pt>
                <c:pt idx="329">
                  <c:v>0.86153966670000004</c:v>
                </c:pt>
                <c:pt idx="330">
                  <c:v>0.86153966670000004</c:v>
                </c:pt>
                <c:pt idx="331">
                  <c:v>0.86153966670000004</c:v>
                </c:pt>
                <c:pt idx="332">
                  <c:v>0.86153966670000004</c:v>
                </c:pt>
                <c:pt idx="333">
                  <c:v>0.86153966670000004</c:v>
                </c:pt>
                <c:pt idx="334">
                  <c:v>0.86153966670000004</c:v>
                </c:pt>
                <c:pt idx="335">
                  <c:v>0.86153966670000004</c:v>
                </c:pt>
                <c:pt idx="336">
                  <c:v>0.86153966670000004</c:v>
                </c:pt>
                <c:pt idx="337">
                  <c:v>0.86153966670000004</c:v>
                </c:pt>
                <c:pt idx="338">
                  <c:v>0.86153966670000004</c:v>
                </c:pt>
                <c:pt idx="339">
                  <c:v>0.86153966670000004</c:v>
                </c:pt>
                <c:pt idx="340">
                  <c:v>0.72263599999999995</c:v>
                </c:pt>
                <c:pt idx="341">
                  <c:v>0.72263599999999995</c:v>
                </c:pt>
                <c:pt idx="342">
                  <c:v>0.72263599999999995</c:v>
                </c:pt>
                <c:pt idx="343">
                  <c:v>0.72263599999999995</c:v>
                </c:pt>
                <c:pt idx="344">
                  <c:v>0.72263599999999995</c:v>
                </c:pt>
                <c:pt idx="345">
                  <c:v>0.72263599999999995</c:v>
                </c:pt>
                <c:pt idx="346">
                  <c:v>0.72263599999999995</c:v>
                </c:pt>
                <c:pt idx="347">
                  <c:v>0.72263599999999995</c:v>
                </c:pt>
                <c:pt idx="348">
                  <c:v>0.72263599999999995</c:v>
                </c:pt>
                <c:pt idx="349">
                  <c:v>0.72263599999999995</c:v>
                </c:pt>
                <c:pt idx="350">
                  <c:v>0.72263599999999995</c:v>
                </c:pt>
                <c:pt idx="351">
                  <c:v>0.72263599999999995</c:v>
                </c:pt>
                <c:pt idx="352">
                  <c:v>0.72263599999999995</c:v>
                </c:pt>
                <c:pt idx="353">
                  <c:v>0.72263599999999995</c:v>
                </c:pt>
                <c:pt idx="354">
                  <c:v>0.72263599999999995</c:v>
                </c:pt>
                <c:pt idx="355">
                  <c:v>0.72263599999999995</c:v>
                </c:pt>
                <c:pt idx="356">
                  <c:v>0.72263599999999995</c:v>
                </c:pt>
                <c:pt idx="357">
                  <c:v>0.72263599999999995</c:v>
                </c:pt>
                <c:pt idx="358">
                  <c:v>0.72263599999999995</c:v>
                </c:pt>
                <c:pt idx="359">
                  <c:v>0.72263599999999995</c:v>
                </c:pt>
                <c:pt idx="360">
                  <c:v>0.72263599999999995</c:v>
                </c:pt>
                <c:pt idx="361">
                  <c:v>0.72263599999999995</c:v>
                </c:pt>
                <c:pt idx="362">
                  <c:v>0.72263599999999995</c:v>
                </c:pt>
                <c:pt idx="363">
                  <c:v>0.72263599999999995</c:v>
                </c:pt>
                <c:pt idx="364">
                  <c:v>0.72263599999999995</c:v>
                </c:pt>
                <c:pt idx="365">
                  <c:v>0.72263599999999995</c:v>
                </c:pt>
                <c:pt idx="366">
                  <c:v>0.72263599999999995</c:v>
                </c:pt>
                <c:pt idx="367">
                  <c:v>0.72263599999999995</c:v>
                </c:pt>
                <c:pt idx="368">
                  <c:v>0.72263599999999995</c:v>
                </c:pt>
                <c:pt idx="369">
                  <c:v>0.72263599999999995</c:v>
                </c:pt>
                <c:pt idx="370">
                  <c:v>0.72263599999999995</c:v>
                </c:pt>
                <c:pt idx="371">
                  <c:v>0.72263599999999995</c:v>
                </c:pt>
                <c:pt idx="372">
                  <c:v>0.72263599999999995</c:v>
                </c:pt>
                <c:pt idx="373">
                  <c:v>0.72263599999999995</c:v>
                </c:pt>
                <c:pt idx="374">
                  <c:v>0.72263599999999995</c:v>
                </c:pt>
                <c:pt idx="375">
                  <c:v>0.72263599999999995</c:v>
                </c:pt>
                <c:pt idx="376">
                  <c:v>0.72263599999999995</c:v>
                </c:pt>
                <c:pt idx="377">
                  <c:v>0.72263599999999995</c:v>
                </c:pt>
                <c:pt idx="378">
                  <c:v>0.72263599999999995</c:v>
                </c:pt>
                <c:pt idx="379">
                  <c:v>0.72263599999999995</c:v>
                </c:pt>
                <c:pt idx="380">
                  <c:v>0.10673033333333334</c:v>
                </c:pt>
                <c:pt idx="381">
                  <c:v>0.10673033333333334</c:v>
                </c:pt>
                <c:pt idx="382">
                  <c:v>0.10673033333333334</c:v>
                </c:pt>
                <c:pt idx="383">
                  <c:v>0.10673033333333334</c:v>
                </c:pt>
                <c:pt idx="384">
                  <c:v>0.10673033333333334</c:v>
                </c:pt>
                <c:pt idx="385">
                  <c:v>0.10673033333333334</c:v>
                </c:pt>
                <c:pt idx="386">
                  <c:v>0.10673033333333334</c:v>
                </c:pt>
                <c:pt idx="387">
                  <c:v>0.10673033333333334</c:v>
                </c:pt>
                <c:pt idx="388">
                  <c:v>0.10673033333333334</c:v>
                </c:pt>
                <c:pt idx="389">
                  <c:v>0.10673033333333334</c:v>
                </c:pt>
                <c:pt idx="390">
                  <c:v>0.10673033333333334</c:v>
                </c:pt>
                <c:pt idx="391">
                  <c:v>0.10673033333333334</c:v>
                </c:pt>
                <c:pt idx="392">
                  <c:v>0.10673033333333334</c:v>
                </c:pt>
                <c:pt idx="393">
                  <c:v>0.10673033333333334</c:v>
                </c:pt>
                <c:pt idx="394">
                  <c:v>0.10673033333333334</c:v>
                </c:pt>
                <c:pt idx="395">
                  <c:v>0.10673033333333334</c:v>
                </c:pt>
                <c:pt idx="396">
                  <c:v>0.10673033333333334</c:v>
                </c:pt>
                <c:pt idx="397">
                  <c:v>0.10673033333333334</c:v>
                </c:pt>
                <c:pt idx="398">
                  <c:v>0.10673033333333334</c:v>
                </c:pt>
                <c:pt idx="399">
                  <c:v>0.10673033333333334</c:v>
                </c:pt>
                <c:pt idx="400">
                  <c:v>0.10673033333333334</c:v>
                </c:pt>
                <c:pt idx="401">
                  <c:v>0.10673033333333334</c:v>
                </c:pt>
                <c:pt idx="402">
                  <c:v>0.10673033333333334</c:v>
                </c:pt>
                <c:pt idx="403">
                  <c:v>0.10673033333333334</c:v>
                </c:pt>
                <c:pt idx="404">
                  <c:v>0.10673033333333334</c:v>
                </c:pt>
                <c:pt idx="405">
                  <c:v>0.10673033333333334</c:v>
                </c:pt>
                <c:pt idx="406">
                  <c:v>0.10673033333333334</c:v>
                </c:pt>
                <c:pt idx="407">
                  <c:v>0.10673033333333334</c:v>
                </c:pt>
                <c:pt idx="408">
                  <c:v>0.10673033333333334</c:v>
                </c:pt>
                <c:pt idx="409">
                  <c:v>0.10673033333333334</c:v>
                </c:pt>
                <c:pt idx="410">
                  <c:v>0.10673033333333334</c:v>
                </c:pt>
                <c:pt idx="411">
                  <c:v>0.10673033333333334</c:v>
                </c:pt>
                <c:pt idx="412">
                  <c:v>0.10673033333333334</c:v>
                </c:pt>
                <c:pt idx="413">
                  <c:v>0.10673033333333334</c:v>
                </c:pt>
                <c:pt idx="414">
                  <c:v>0.10673033333333334</c:v>
                </c:pt>
                <c:pt idx="415">
                  <c:v>0.10673033333333334</c:v>
                </c:pt>
                <c:pt idx="416">
                  <c:v>0.10673033333333334</c:v>
                </c:pt>
                <c:pt idx="417">
                  <c:v>0.10673033333333334</c:v>
                </c:pt>
                <c:pt idx="418">
                  <c:v>0.10673033333333334</c:v>
                </c:pt>
                <c:pt idx="419">
                  <c:v>0.10673033333333334</c:v>
                </c:pt>
                <c:pt idx="420">
                  <c:v>0.10673033333333334</c:v>
                </c:pt>
                <c:pt idx="421">
                  <c:v>0.10673033333333334</c:v>
                </c:pt>
                <c:pt idx="422">
                  <c:v>0.10673033333333334</c:v>
                </c:pt>
                <c:pt idx="423">
                  <c:v>0.10673033333333334</c:v>
                </c:pt>
                <c:pt idx="424">
                  <c:v>0.10673033333333334</c:v>
                </c:pt>
                <c:pt idx="425">
                  <c:v>0.10673033333333334</c:v>
                </c:pt>
                <c:pt idx="426">
                  <c:v>0.10673033333333334</c:v>
                </c:pt>
                <c:pt idx="427">
                  <c:v>0.10673033333333334</c:v>
                </c:pt>
                <c:pt idx="428">
                  <c:v>0.10673033333333334</c:v>
                </c:pt>
                <c:pt idx="429">
                  <c:v>0.10673033333333334</c:v>
                </c:pt>
                <c:pt idx="430">
                  <c:v>0.10673033333333334</c:v>
                </c:pt>
                <c:pt idx="431">
                  <c:v>0.10673033333333334</c:v>
                </c:pt>
                <c:pt idx="432">
                  <c:v>0.10673033333333334</c:v>
                </c:pt>
                <c:pt idx="433">
                  <c:v>0.48541899999999999</c:v>
                </c:pt>
                <c:pt idx="434">
                  <c:v>0.48541899999999999</c:v>
                </c:pt>
                <c:pt idx="435">
                  <c:v>0.48541899999999999</c:v>
                </c:pt>
                <c:pt idx="436">
                  <c:v>0.48541899999999999</c:v>
                </c:pt>
                <c:pt idx="437">
                  <c:v>0.48541899999999999</c:v>
                </c:pt>
                <c:pt idx="438">
                  <c:v>0.48541899999999999</c:v>
                </c:pt>
                <c:pt idx="439">
                  <c:v>0.48541899999999999</c:v>
                </c:pt>
                <c:pt idx="440">
                  <c:v>0.48541899999999999</c:v>
                </c:pt>
                <c:pt idx="441">
                  <c:v>0.48541899999999999</c:v>
                </c:pt>
                <c:pt idx="442">
                  <c:v>0.48541899999999999</c:v>
                </c:pt>
                <c:pt idx="443">
                  <c:v>0.48541899999999999</c:v>
                </c:pt>
                <c:pt idx="444">
                  <c:v>0.48541899999999999</c:v>
                </c:pt>
                <c:pt idx="445">
                  <c:v>0.48541899999999999</c:v>
                </c:pt>
                <c:pt idx="446">
                  <c:v>0.48541899999999999</c:v>
                </c:pt>
                <c:pt idx="447">
                  <c:v>0.48541899999999999</c:v>
                </c:pt>
                <c:pt idx="448">
                  <c:v>0.48541899999999999</c:v>
                </c:pt>
                <c:pt idx="449">
                  <c:v>0.48541899999999999</c:v>
                </c:pt>
                <c:pt idx="450">
                  <c:v>0.48541899999999999</c:v>
                </c:pt>
                <c:pt idx="451">
                  <c:v>0.48541899999999999</c:v>
                </c:pt>
                <c:pt idx="452">
                  <c:v>0.48541899999999999</c:v>
                </c:pt>
                <c:pt idx="453">
                  <c:v>0.48541899999999999</c:v>
                </c:pt>
                <c:pt idx="454">
                  <c:v>0.48541899999999999</c:v>
                </c:pt>
                <c:pt idx="455">
                  <c:v>0.48541899999999999</c:v>
                </c:pt>
                <c:pt idx="456">
                  <c:v>0.48541899999999999</c:v>
                </c:pt>
                <c:pt idx="457">
                  <c:v>0.48541899999999999</c:v>
                </c:pt>
                <c:pt idx="458">
                  <c:v>0.48541899999999999</c:v>
                </c:pt>
                <c:pt idx="459">
                  <c:v>0.48541899999999999</c:v>
                </c:pt>
                <c:pt idx="460">
                  <c:v>0.48541899999999999</c:v>
                </c:pt>
                <c:pt idx="461">
                  <c:v>0.48541899999999999</c:v>
                </c:pt>
                <c:pt idx="462">
                  <c:v>0.48541899999999999</c:v>
                </c:pt>
                <c:pt idx="463">
                  <c:v>0.48541899999999999</c:v>
                </c:pt>
                <c:pt idx="464">
                  <c:v>0.48541899999999999</c:v>
                </c:pt>
                <c:pt idx="465">
                  <c:v>0.48541899999999999</c:v>
                </c:pt>
                <c:pt idx="466">
                  <c:v>0.48541899999999999</c:v>
                </c:pt>
                <c:pt idx="467">
                  <c:v>0.48541899999999999</c:v>
                </c:pt>
                <c:pt idx="468">
                  <c:v>0.48541899999999999</c:v>
                </c:pt>
                <c:pt idx="469">
                  <c:v>0.48541899999999999</c:v>
                </c:pt>
                <c:pt idx="470">
                  <c:v>0.48541899999999999</c:v>
                </c:pt>
                <c:pt idx="471">
                  <c:v>0.48541899999999999</c:v>
                </c:pt>
                <c:pt idx="472">
                  <c:v>0.48541899999999999</c:v>
                </c:pt>
                <c:pt idx="473">
                  <c:v>0.48541899999999999</c:v>
                </c:pt>
                <c:pt idx="474">
                  <c:v>0.48541899999999999</c:v>
                </c:pt>
                <c:pt idx="475">
                  <c:v>0.48541899999999999</c:v>
                </c:pt>
                <c:pt idx="476">
                  <c:v>0.48541899999999999</c:v>
                </c:pt>
                <c:pt idx="477">
                  <c:v>0.48541899999999999</c:v>
                </c:pt>
                <c:pt idx="478">
                  <c:v>0.48541899999999999</c:v>
                </c:pt>
                <c:pt idx="479">
                  <c:v>0.48541899999999999</c:v>
                </c:pt>
                <c:pt idx="480">
                  <c:v>0.48541899999999999</c:v>
                </c:pt>
                <c:pt idx="481">
                  <c:v>0.48541899999999999</c:v>
                </c:pt>
                <c:pt idx="482">
                  <c:v>0.48541899999999999</c:v>
                </c:pt>
                <c:pt idx="483">
                  <c:v>0.48541899999999999</c:v>
                </c:pt>
                <c:pt idx="484">
                  <c:v>0.48541899999999999</c:v>
                </c:pt>
                <c:pt idx="485">
                  <c:v>0.48541899999999999</c:v>
                </c:pt>
                <c:pt idx="486">
                  <c:v>0.48541899999999999</c:v>
                </c:pt>
                <c:pt idx="487">
                  <c:v>0.48541899999999999</c:v>
                </c:pt>
                <c:pt idx="488">
                  <c:v>0.48541899999999999</c:v>
                </c:pt>
                <c:pt idx="489">
                  <c:v>0.48541899999999999</c:v>
                </c:pt>
                <c:pt idx="490">
                  <c:v>0.48541899999999999</c:v>
                </c:pt>
                <c:pt idx="491">
                  <c:v>0.48541899999999999</c:v>
                </c:pt>
                <c:pt idx="492">
                  <c:v>8.9092333333333329E-2</c:v>
                </c:pt>
                <c:pt idx="493">
                  <c:v>8.9092333333333329E-2</c:v>
                </c:pt>
                <c:pt idx="494">
                  <c:v>8.9092333333333329E-2</c:v>
                </c:pt>
                <c:pt idx="495">
                  <c:v>8.9092333333333329E-2</c:v>
                </c:pt>
                <c:pt idx="496">
                  <c:v>8.9092333333333329E-2</c:v>
                </c:pt>
                <c:pt idx="497">
                  <c:v>8.9092333333333329E-2</c:v>
                </c:pt>
                <c:pt idx="498">
                  <c:v>8.9092333333333329E-2</c:v>
                </c:pt>
                <c:pt idx="499">
                  <c:v>8.9092333333333329E-2</c:v>
                </c:pt>
                <c:pt idx="500">
                  <c:v>8.9092333333333329E-2</c:v>
                </c:pt>
                <c:pt idx="501">
                  <c:v>8.9092333333333329E-2</c:v>
                </c:pt>
                <c:pt idx="502">
                  <c:v>8.9092333333333329E-2</c:v>
                </c:pt>
                <c:pt idx="503">
                  <c:v>8.9092333333333329E-2</c:v>
                </c:pt>
                <c:pt idx="504">
                  <c:v>8.9092333333333329E-2</c:v>
                </c:pt>
                <c:pt idx="505">
                  <c:v>8.9092333333333329E-2</c:v>
                </c:pt>
                <c:pt idx="506">
                  <c:v>8.9092333333333329E-2</c:v>
                </c:pt>
                <c:pt idx="507">
                  <c:v>8.9092333333333329E-2</c:v>
                </c:pt>
                <c:pt idx="508">
                  <c:v>8.9092333333333329E-2</c:v>
                </c:pt>
                <c:pt idx="509">
                  <c:v>8.9092333333333329E-2</c:v>
                </c:pt>
                <c:pt idx="510">
                  <c:v>8.9092333333333329E-2</c:v>
                </c:pt>
                <c:pt idx="511">
                  <c:v>8.9092333333333329E-2</c:v>
                </c:pt>
                <c:pt idx="512">
                  <c:v>8.9092333333333329E-2</c:v>
                </c:pt>
                <c:pt idx="513">
                  <c:v>8.9092333333333329E-2</c:v>
                </c:pt>
                <c:pt idx="514">
                  <c:v>8.9092333333333329E-2</c:v>
                </c:pt>
                <c:pt idx="515">
                  <c:v>8.9092333333333329E-2</c:v>
                </c:pt>
                <c:pt idx="516">
                  <c:v>8.9092333333333329E-2</c:v>
                </c:pt>
                <c:pt idx="517">
                  <c:v>8.9092333333333329E-2</c:v>
                </c:pt>
                <c:pt idx="518">
                  <c:v>8.9092333333333329E-2</c:v>
                </c:pt>
                <c:pt idx="519">
                  <c:v>8.9092333333333329E-2</c:v>
                </c:pt>
                <c:pt idx="520">
                  <c:v>8.9092333333333329E-2</c:v>
                </c:pt>
                <c:pt idx="521">
                  <c:v>8.9092333333333329E-2</c:v>
                </c:pt>
                <c:pt idx="522">
                  <c:v>8.9092333333333329E-2</c:v>
                </c:pt>
                <c:pt idx="523">
                  <c:v>8.9092333333333329E-2</c:v>
                </c:pt>
                <c:pt idx="524">
                  <c:v>8.9092333333333329E-2</c:v>
                </c:pt>
                <c:pt idx="525">
                  <c:v>8.9092333333333329E-2</c:v>
                </c:pt>
                <c:pt idx="526">
                  <c:v>8.9092333333333329E-2</c:v>
                </c:pt>
                <c:pt idx="527">
                  <c:v>8.9092333333333329E-2</c:v>
                </c:pt>
                <c:pt idx="528">
                  <c:v>8.9092333333333329E-2</c:v>
                </c:pt>
                <c:pt idx="529">
                  <c:v>8.9092333333333329E-2</c:v>
                </c:pt>
                <c:pt idx="530">
                  <c:v>8.9092333333333329E-2</c:v>
                </c:pt>
                <c:pt idx="531">
                  <c:v>8.9092333333333329E-2</c:v>
                </c:pt>
                <c:pt idx="532">
                  <c:v>8.9092333333333329E-2</c:v>
                </c:pt>
                <c:pt idx="533">
                  <c:v>8.9092333333333329E-2</c:v>
                </c:pt>
                <c:pt idx="534">
                  <c:v>8.9092333333333329E-2</c:v>
                </c:pt>
                <c:pt idx="535">
                  <c:v>8.9092333333333329E-2</c:v>
                </c:pt>
                <c:pt idx="536">
                  <c:v>8.9092333333333329E-2</c:v>
                </c:pt>
                <c:pt idx="537">
                  <c:v>8.9092333333333329E-2</c:v>
                </c:pt>
                <c:pt idx="538">
                  <c:v>8.9092333333333329E-2</c:v>
                </c:pt>
                <c:pt idx="539">
                  <c:v>8.9092333333333329E-2</c:v>
                </c:pt>
                <c:pt idx="540">
                  <c:v>8.9092333333333329E-2</c:v>
                </c:pt>
                <c:pt idx="541">
                  <c:v>8.9092333333333329E-2</c:v>
                </c:pt>
                <c:pt idx="542">
                  <c:v>8.9092333333333329E-2</c:v>
                </c:pt>
                <c:pt idx="543">
                  <c:v>8.9092333333333329E-2</c:v>
                </c:pt>
                <c:pt idx="544">
                  <c:v>8.9092333333333329E-2</c:v>
                </c:pt>
                <c:pt idx="545">
                  <c:v>8.9092333333333329E-2</c:v>
                </c:pt>
                <c:pt idx="546">
                  <c:v>8.9092333333333329E-2</c:v>
                </c:pt>
                <c:pt idx="547">
                  <c:v>8.9092333333333329E-2</c:v>
                </c:pt>
                <c:pt idx="548">
                  <c:v>8.9092333333333329E-2</c:v>
                </c:pt>
                <c:pt idx="549">
                  <c:v>8.9092333333333329E-2</c:v>
                </c:pt>
                <c:pt idx="550">
                  <c:v>8.9092333333333329E-2</c:v>
                </c:pt>
                <c:pt idx="551">
                  <c:v>8.9092333333333329E-2</c:v>
                </c:pt>
                <c:pt idx="552">
                  <c:v>8.9092333333333329E-2</c:v>
                </c:pt>
                <c:pt idx="553">
                  <c:v>8.9092333333333329E-2</c:v>
                </c:pt>
                <c:pt idx="554">
                  <c:v>8.9092333333333329E-2</c:v>
                </c:pt>
                <c:pt idx="555">
                  <c:v>8.9092333333333329E-2</c:v>
                </c:pt>
                <c:pt idx="556">
                  <c:v>8.9092333333333329E-2</c:v>
                </c:pt>
                <c:pt idx="557">
                  <c:v>8.9092333333333329E-2</c:v>
                </c:pt>
                <c:pt idx="558">
                  <c:v>8.9092333333333329E-2</c:v>
                </c:pt>
                <c:pt idx="559">
                  <c:v>8.9092333333333329E-2</c:v>
                </c:pt>
                <c:pt idx="560">
                  <c:v>8.9092333333333329E-2</c:v>
                </c:pt>
                <c:pt idx="561">
                  <c:v>8.9092333333333329E-2</c:v>
                </c:pt>
                <c:pt idx="562">
                  <c:v>8.9092333333333329E-2</c:v>
                </c:pt>
                <c:pt idx="563">
                  <c:v>8.9092333333333329E-2</c:v>
                </c:pt>
                <c:pt idx="564">
                  <c:v>8.9092333333333329E-2</c:v>
                </c:pt>
                <c:pt idx="565">
                  <c:v>8.9092333333333329E-2</c:v>
                </c:pt>
                <c:pt idx="566">
                  <c:v>8.9092333333333329E-2</c:v>
                </c:pt>
                <c:pt idx="567">
                  <c:v>8.9092333333333329E-2</c:v>
                </c:pt>
                <c:pt idx="568">
                  <c:v>8.9092333333333329E-2</c:v>
                </c:pt>
                <c:pt idx="569">
                  <c:v>8.9092333333333329E-2</c:v>
                </c:pt>
                <c:pt idx="570">
                  <c:v>8.9092333333333329E-2</c:v>
                </c:pt>
                <c:pt idx="571">
                  <c:v>8.9092333333333329E-2</c:v>
                </c:pt>
                <c:pt idx="572">
                  <c:v>8.9092333333333329E-2</c:v>
                </c:pt>
                <c:pt idx="573">
                  <c:v>8.9092333333333329E-2</c:v>
                </c:pt>
                <c:pt idx="574">
                  <c:v>8.9092333333333329E-2</c:v>
                </c:pt>
                <c:pt idx="575">
                  <c:v>8.9092333333333329E-2</c:v>
                </c:pt>
                <c:pt idx="576">
                  <c:v>8.9092333333333329E-2</c:v>
                </c:pt>
                <c:pt idx="577">
                  <c:v>8.9092333333333329E-2</c:v>
                </c:pt>
                <c:pt idx="578">
                  <c:v>8.9092333333333329E-2</c:v>
                </c:pt>
                <c:pt idx="579">
                  <c:v>8.9092333333333329E-2</c:v>
                </c:pt>
                <c:pt idx="580">
                  <c:v>8.9092333333333329E-2</c:v>
                </c:pt>
                <c:pt idx="581">
                  <c:v>8.9092333333333329E-2</c:v>
                </c:pt>
                <c:pt idx="582">
                  <c:v>8.9092333333333329E-2</c:v>
                </c:pt>
                <c:pt idx="583">
                  <c:v>8.9092333333333329E-2</c:v>
                </c:pt>
                <c:pt idx="584">
                  <c:v>8.9092333333333329E-2</c:v>
                </c:pt>
                <c:pt idx="585">
                  <c:v>8.9092333333333329E-2</c:v>
                </c:pt>
                <c:pt idx="586">
                  <c:v>8.9092333333333329E-2</c:v>
                </c:pt>
                <c:pt idx="587">
                  <c:v>8.9092333333333329E-2</c:v>
                </c:pt>
                <c:pt idx="588">
                  <c:v>8.9092333333333329E-2</c:v>
                </c:pt>
                <c:pt idx="589">
                  <c:v>8.9092333333333329E-2</c:v>
                </c:pt>
                <c:pt idx="590">
                  <c:v>8.9092333333333329E-2</c:v>
                </c:pt>
                <c:pt idx="591">
                  <c:v>8.9092333333333329E-2</c:v>
                </c:pt>
                <c:pt idx="592">
                  <c:v>8.9092333333333329E-2</c:v>
                </c:pt>
                <c:pt idx="593">
                  <c:v>8.9092333333333329E-2</c:v>
                </c:pt>
                <c:pt idx="594">
                  <c:v>8.9092333333333329E-2</c:v>
                </c:pt>
                <c:pt idx="595">
                  <c:v>8.9092333333333329E-2</c:v>
                </c:pt>
                <c:pt idx="596">
                  <c:v>8.9092333333333329E-2</c:v>
                </c:pt>
                <c:pt idx="597">
                  <c:v>8.9092333333333329E-2</c:v>
                </c:pt>
                <c:pt idx="598">
                  <c:v>8.9092333333333329E-2</c:v>
                </c:pt>
                <c:pt idx="599">
                  <c:v>8.9092333333333329E-2</c:v>
                </c:pt>
                <c:pt idx="600">
                  <c:v>8.9092333333333329E-2</c:v>
                </c:pt>
                <c:pt idx="601">
                  <c:v>8.9092333333333329E-2</c:v>
                </c:pt>
                <c:pt idx="602">
                  <c:v>8.9092333333333329E-2</c:v>
                </c:pt>
                <c:pt idx="603">
                  <c:v>8.9092333333333329E-2</c:v>
                </c:pt>
                <c:pt idx="604">
                  <c:v>8.9092333333333329E-2</c:v>
                </c:pt>
                <c:pt idx="605">
                  <c:v>8.9092333333333329E-2</c:v>
                </c:pt>
                <c:pt idx="606">
                  <c:v>8.9092333333333329E-2</c:v>
                </c:pt>
                <c:pt idx="607">
                  <c:v>8.9092333333333329E-2</c:v>
                </c:pt>
                <c:pt idx="608">
                  <c:v>8.9092333333333329E-2</c:v>
                </c:pt>
                <c:pt idx="609">
                  <c:v>8.9092333333333329E-2</c:v>
                </c:pt>
                <c:pt idx="610">
                  <c:v>8.9092333333333329E-2</c:v>
                </c:pt>
                <c:pt idx="611">
                  <c:v>8.9092333333333329E-2</c:v>
                </c:pt>
                <c:pt idx="612">
                  <c:v>8.9092333333333329E-2</c:v>
                </c:pt>
                <c:pt idx="613">
                  <c:v>8.9092333333333329E-2</c:v>
                </c:pt>
                <c:pt idx="614">
                  <c:v>8.9092333333333329E-2</c:v>
                </c:pt>
                <c:pt idx="615">
                  <c:v>8.9092333333333329E-2</c:v>
                </c:pt>
                <c:pt idx="616">
                  <c:v>8.9092333333333329E-2</c:v>
                </c:pt>
                <c:pt idx="617">
                  <c:v>8.9092333333333329E-2</c:v>
                </c:pt>
                <c:pt idx="618">
                  <c:v>8.9092333333333329E-2</c:v>
                </c:pt>
                <c:pt idx="619">
                  <c:v>8.9092333333333329E-2</c:v>
                </c:pt>
                <c:pt idx="620">
                  <c:v>8.9092333333333329E-2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3.6833887159730253E-3</c:v>
                </c:pt>
                <c:pt idx="652">
                  <c:v>3.6833887159730253E-3</c:v>
                </c:pt>
                <c:pt idx="653">
                  <c:v>3.6833887159730253E-3</c:v>
                </c:pt>
                <c:pt idx="654">
                  <c:v>3.6833887159730253E-3</c:v>
                </c:pt>
                <c:pt idx="655">
                  <c:v>3.6833887159730253E-3</c:v>
                </c:pt>
                <c:pt idx="656">
                  <c:v>3.6833887159730253E-3</c:v>
                </c:pt>
                <c:pt idx="657">
                  <c:v>3.6833887159730253E-3</c:v>
                </c:pt>
                <c:pt idx="658">
                  <c:v>3.6833887159730253E-3</c:v>
                </c:pt>
                <c:pt idx="659">
                  <c:v>3.6833887159730253E-3</c:v>
                </c:pt>
                <c:pt idx="660">
                  <c:v>3.6833887159730253E-3</c:v>
                </c:pt>
                <c:pt idx="661">
                  <c:v>3.6833887159730253E-3</c:v>
                </c:pt>
                <c:pt idx="662">
                  <c:v>3.6833887159730253E-3</c:v>
                </c:pt>
                <c:pt idx="663">
                  <c:v>3.6833887159730253E-3</c:v>
                </c:pt>
                <c:pt idx="664">
                  <c:v>3.6833887159730253E-3</c:v>
                </c:pt>
                <c:pt idx="665">
                  <c:v>3.6833887159730253E-3</c:v>
                </c:pt>
                <c:pt idx="666">
                  <c:v>3.6833887159730253E-3</c:v>
                </c:pt>
                <c:pt idx="667">
                  <c:v>3.6833887159730253E-3</c:v>
                </c:pt>
                <c:pt idx="668">
                  <c:v>3.6833887159730253E-3</c:v>
                </c:pt>
                <c:pt idx="669">
                  <c:v>3.6833887159730253E-3</c:v>
                </c:pt>
                <c:pt idx="670">
                  <c:v>3.6833887159730253E-3</c:v>
                </c:pt>
                <c:pt idx="671">
                  <c:v>3.6833887159730253E-3</c:v>
                </c:pt>
                <c:pt idx="672">
                  <c:v>3.6833887159730253E-3</c:v>
                </c:pt>
                <c:pt idx="673">
                  <c:v>3.6833887159730253E-3</c:v>
                </c:pt>
                <c:pt idx="674">
                  <c:v>3.6833887159730253E-3</c:v>
                </c:pt>
                <c:pt idx="675">
                  <c:v>3.6833887159730253E-3</c:v>
                </c:pt>
                <c:pt idx="676">
                  <c:v>3.6833887159730253E-3</c:v>
                </c:pt>
                <c:pt idx="677">
                  <c:v>3.6833887159730253E-3</c:v>
                </c:pt>
                <c:pt idx="678">
                  <c:v>3.6833887159730253E-3</c:v>
                </c:pt>
                <c:pt idx="679">
                  <c:v>3.6833887159730253E-3</c:v>
                </c:pt>
                <c:pt idx="680">
                  <c:v>3.6833887159730253E-3</c:v>
                </c:pt>
                <c:pt idx="681">
                  <c:v>3.6833887159730253E-3</c:v>
                </c:pt>
                <c:pt idx="682">
                  <c:v>3.6833887159730253E-3</c:v>
                </c:pt>
                <c:pt idx="683">
                  <c:v>3.6833887159730253E-3</c:v>
                </c:pt>
                <c:pt idx="684">
                  <c:v>3.6833887159730253E-3</c:v>
                </c:pt>
                <c:pt idx="685">
                  <c:v>3.6833887159730253E-3</c:v>
                </c:pt>
                <c:pt idx="686">
                  <c:v>3.6833887159730253E-3</c:v>
                </c:pt>
                <c:pt idx="687">
                  <c:v>3.6833887159730253E-3</c:v>
                </c:pt>
                <c:pt idx="688">
                  <c:v>3.6833887159730253E-3</c:v>
                </c:pt>
                <c:pt idx="689">
                  <c:v>3.6833887159730253E-3</c:v>
                </c:pt>
                <c:pt idx="690">
                  <c:v>3.6833887159730253E-3</c:v>
                </c:pt>
                <c:pt idx="691">
                  <c:v>3.6833887159730253E-3</c:v>
                </c:pt>
                <c:pt idx="692">
                  <c:v>3.6833887159730253E-3</c:v>
                </c:pt>
                <c:pt idx="693">
                  <c:v>3.6833887159730253E-3</c:v>
                </c:pt>
                <c:pt idx="694">
                  <c:v>3.6833887159730253E-3</c:v>
                </c:pt>
                <c:pt idx="695">
                  <c:v>3.6833887159730253E-3</c:v>
                </c:pt>
                <c:pt idx="696">
                  <c:v>3.6833887159730253E-3</c:v>
                </c:pt>
                <c:pt idx="697">
                  <c:v>3.6833887159730253E-3</c:v>
                </c:pt>
                <c:pt idx="698">
                  <c:v>3.6833887159730253E-3</c:v>
                </c:pt>
                <c:pt idx="699">
                  <c:v>3.6833887159730253E-3</c:v>
                </c:pt>
                <c:pt idx="700">
                  <c:v>3.6833887159730253E-3</c:v>
                </c:pt>
                <c:pt idx="701">
                  <c:v>3.6833887159730253E-3</c:v>
                </c:pt>
                <c:pt idx="702">
                  <c:v>3.6833887159730253E-3</c:v>
                </c:pt>
                <c:pt idx="703">
                  <c:v>3.6833887159730253E-3</c:v>
                </c:pt>
                <c:pt idx="704">
                  <c:v>3.6833887159730253E-3</c:v>
                </c:pt>
                <c:pt idx="705">
                  <c:v>3.6833887159730253E-3</c:v>
                </c:pt>
                <c:pt idx="706">
                  <c:v>3.6833887159730253E-3</c:v>
                </c:pt>
                <c:pt idx="707">
                  <c:v>3.6833887159730253E-3</c:v>
                </c:pt>
                <c:pt idx="708">
                  <c:v>3.6833887159730253E-3</c:v>
                </c:pt>
                <c:pt idx="709">
                  <c:v>3.6833887159730253E-3</c:v>
                </c:pt>
                <c:pt idx="710">
                  <c:v>3.6833887159730253E-3</c:v>
                </c:pt>
                <c:pt idx="711">
                  <c:v>3.6833887159730253E-3</c:v>
                </c:pt>
                <c:pt idx="712">
                  <c:v>3.6833887159730253E-3</c:v>
                </c:pt>
                <c:pt idx="713">
                  <c:v>3.6833887159730253E-3</c:v>
                </c:pt>
                <c:pt idx="714">
                  <c:v>3.6833887159730253E-3</c:v>
                </c:pt>
                <c:pt idx="715">
                  <c:v>3.6833887159730253E-3</c:v>
                </c:pt>
                <c:pt idx="716">
                  <c:v>3.6833887159730253E-3</c:v>
                </c:pt>
                <c:pt idx="717">
                  <c:v>3.6833887159730253E-3</c:v>
                </c:pt>
                <c:pt idx="718">
                  <c:v>3.6833887159730253E-3</c:v>
                </c:pt>
                <c:pt idx="719">
                  <c:v>3.6833887159730253E-3</c:v>
                </c:pt>
                <c:pt idx="720">
                  <c:v>3.6833887159730253E-3</c:v>
                </c:pt>
                <c:pt idx="721">
                  <c:v>3.6833887159730253E-3</c:v>
                </c:pt>
                <c:pt idx="722">
                  <c:v>3.6833887159730253E-3</c:v>
                </c:pt>
                <c:pt idx="723">
                  <c:v>8.5874333333333316E-2</c:v>
                </c:pt>
                <c:pt idx="724">
                  <c:v>8.5874333333333316E-2</c:v>
                </c:pt>
                <c:pt idx="725">
                  <c:v>8.5874333333333316E-2</c:v>
                </c:pt>
                <c:pt idx="726">
                  <c:v>8.5874333333333316E-2</c:v>
                </c:pt>
                <c:pt idx="727">
                  <c:v>8.5874333333333316E-2</c:v>
                </c:pt>
                <c:pt idx="728">
                  <c:v>8.5874333333333316E-2</c:v>
                </c:pt>
                <c:pt idx="729">
                  <c:v>8.5874333333333316E-2</c:v>
                </c:pt>
                <c:pt idx="730">
                  <c:v>8.5874333333333316E-2</c:v>
                </c:pt>
                <c:pt idx="731">
                  <c:v>8.5874333333333316E-2</c:v>
                </c:pt>
                <c:pt idx="732">
                  <c:v>8.5874333333333316E-2</c:v>
                </c:pt>
                <c:pt idx="733">
                  <c:v>8.5874333333333316E-2</c:v>
                </c:pt>
                <c:pt idx="734">
                  <c:v>8.5874333333333316E-2</c:v>
                </c:pt>
                <c:pt idx="735">
                  <c:v>8.5874333333333316E-2</c:v>
                </c:pt>
                <c:pt idx="736">
                  <c:v>8.5874333333333316E-2</c:v>
                </c:pt>
                <c:pt idx="737">
                  <c:v>8.5874333333333316E-2</c:v>
                </c:pt>
                <c:pt idx="738">
                  <c:v>8.5874333333333316E-2</c:v>
                </c:pt>
                <c:pt idx="739">
                  <c:v>8.5874333333333316E-2</c:v>
                </c:pt>
                <c:pt idx="740">
                  <c:v>8.5874333333333316E-2</c:v>
                </c:pt>
                <c:pt idx="741">
                  <c:v>8.5874333333333316E-2</c:v>
                </c:pt>
                <c:pt idx="742">
                  <c:v>8.5874333333333316E-2</c:v>
                </c:pt>
                <c:pt idx="743">
                  <c:v>8.5874333333333316E-2</c:v>
                </c:pt>
                <c:pt idx="744">
                  <c:v>8.5874333333333316E-2</c:v>
                </c:pt>
                <c:pt idx="745">
                  <c:v>8.5874333333333316E-2</c:v>
                </c:pt>
                <c:pt idx="746">
                  <c:v>8.5874333333333316E-2</c:v>
                </c:pt>
                <c:pt idx="747">
                  <c:v>8.5874333333333316E-2</c:v>
                </c:pt>
                <c:pt idx="748">
                  <c:v>8.5874333333333316E-2</c:v>
                </c:pt>
                <c:pt idx="749">
                  <c:v>8.5874333333333316E-2</c:v>
                </c:pt>
                <c:pt idx="750">
                  <c:v>8.5874333333333316E-2</c:v>
                </c:pt>
                <c:pt idx="751">
                  <c:v>8.5874333333333316E-2</c:v>
                </c:pt>
                <c:pt idx="752">
                  <c:v>8.5874333333333316E-2</c:v>
                </c:pt>
                <c:pt idx="753">
                  <c:v>8.5874333333333316E-2</c:v>
                </c:pt>
                <c:pt idx="754">
                  <c:v>8.5874333333333316E-2</c:v>
                </c:pt>
                <c:pt idx="755">
                  <c:v>8.5874333333333316E-2</c:v>
                </c:pt>
                <c:pt idx="756">
                  <c:v>8.5874333333333316E-2</c:v>
                </c:pt>
                <c:pt idx="757">
                  <c:v>8.5874333333333316E-2</c:v>
                </c:pt>
                <c:pt idx="758">
                  <c:v>8.5874333333333316E-2</c:v>
                </c:pt>
                <c:pt idx="759">
                  <c:v>8.5874333333333316E-2</c:v>
                </c:pt>
                <c:pt idx="760">
                  <c:v>8.5874333333333316E-2</c:v>
                </c:pt>
                <c:pt idx="761">
                  <c:v>0.19306700000000002</c:v>
                </c:pt>
                <c:pt idx="762">
                  <c:v>0.19306700000000002</c:v>
                </c:pt>
                <c:pt idx="763">
                  <c:v>0.19306700000000002</c:v>
                </c:pt>
                <c:pt idx="764">
                  <c:v>0.19306700000000002</c:v>
                </c:pt>
                <c:pt idx="765">
                  <c:v>0.19306700000000002</c:v>
                </c:pt>
                <c:pt idx="766">
                  <c:v>0.19306700000000002</c:v>
                </c:pt>
                <c:pt idx="767">
                  <c:v>0.19306700000000002</c:v>
                </c:pt>
                <c:pt idx="768">
                  <c:v>0.19306700000000002</c:v>
                </c:pt>
                <c:pt idx="769">
                  <c:v>0.19306700000000002</c:v>
                </c:pt>
                <c:pt idx="770">
                  <c:v>0.16252</c:v>
                </c:pt>
                <c:pt idx="771">
                  <c:v>0.16252</c:v>
                </c:pt>
                <c:pt idx="772">
                  <c:v>0.16252</c:v>
                </c:pt>
                <c:pt idx="773">
                  <c:v>0.16252</c:v>
                </c:pt>
                <c:pt idx="774">
                  <c:v>0.16252</c:v>
                </c:pt>
                <c:pt idx="775">
                  <c:v>0.16252</c:v>
                </c:pt>
                <c:pt idx="776">
                  <c:v>0.16252</c:v>
                </c:pt>
                <c:pt idx="777">
                  <c:v>0.16252</c:v>
                </c:pt>
                <c:pt idx="778">
                  <c:v>0.16252</c:v>
                </c:pt>
                <c:pt idx="779">
                  <c:v>0.16252</c:v>
                </c:pt>
                <c:pt idx="780">
                  <c:v>0.16252</c:v>
                </c:pt>
                <c:pt idx="781">
                  <c:v>0.16252</c:v>
                </c:pt>
                <c:pt idx="782">
                  <c:v>0.16252</c:v>
                </c:pt>
                <c:pt idx="783">
                  <c:v>0.16252</c:v>
                </c:pt>
                <c:pt idx="784">
                  <c:v>0.16252</c:v>
                </c:pt>
                <c:pt idx="785">
                  <c:v>0.16252</c:v>
                </c:pt>
                <c:pt idx="786">
                  <c:v>0.16252</c:v>
                </c:pt>
                <c:pt idx="787">
                  <c:v>0.16252</c:v>
                </c:pt>
                <c:pt idx="788">
                  <c:v>0.16252</c:v>
                </c:pt>
                <c:pt idx="789">
                  <c:v>0.16252</c:v>
                </c:pt>
                <c:pt idx="790">
                  <c:v>0.16252</c:v>
                </c:pt>
                <c:pt idx="791">
                  <c:v>3.6938666666666668E-2</c:v>
                </c:pt>
                <c:pt idx="792">
                  <c:v>3.6938666666666668E-2</c:v>
                </c:pt>
                <c:pt idx="793">
                  <c:v>3.6938666666666668E-2</c:v>
                </c:pt>
                <c:pt idx="794">
                  <c:v>3.6938666666666668E-2</c:v>
                </c:pt>
                <c:pt idx="795">
                  <c:v>3.6938666666666668E-2</c:v>
                </c:pt>
                <c:pt idx="796">
                  <c:v>3.6938666666666668E-2</c:v>
                </c:pt>
                <c:pt idx="797">
                  <c:v>3.6938666666666668E-2</c:v>
                </c:pt>
                <c:pt idx="798">
                  <c:v>3.6938666666666668E-2</c:v>
                </c:pt>
                <c:pt idx="799">
                  <c:v>3.6938666666666668E-2</c:v>
                </c:pt>
                <c:pt idx="800">
                  <c:v>3.6938666666666668E-2</c:v>
                </c:pt>
                <c:pt idx="801">
                  <c:v>3.6938666666666668E-2</c:v>
                </c:pt>
                <c:pt idx="802">
                  <c:v>3.6938666666666668E-2</c:v>
                </c:pt>
                <c:pt idx="803">
                  <c:v>3.6938666666666668E-2</c:v>
                </c:pt>
                <c:pt idx="804">
                  <c:v>3.6938666666666668E-2</c:v>
                </c:pt>
                <c:pt idx="805">
                  <c:v>3.6938666666666668E-2</c:v>
                </c:pt>
                <c:pt idx="806">
                  <c:v>3.6938666666666668E-2</c:v>
                </c:pt>
                <c:pt idx="807">
                  <c:v>3.6938666666666668E-2</c:v>
                </c:pt>
                <c:pt idx="808">
                  <c:v>3.6938666666666668E-2</c:v>
                </c:pt>
                <c:pt idx="809">
                  <c:v>3.6938666666666668E-2</c:v>
                </c:pt>
                <c:pt idx="810">
                  <c:v>3.6938666666666668E-2</c:v>
                </c:pt>
                <c:pt idx="811">
                  <c:v>3.6938666666666668E-2</c:v>
                </c:pt>
                <c:pt idx="812">
                  <c:v>3.6938666666666668E-2</c:v>
                </c:pt>
                <c:pt idx="813">
                  <c:v>3.6938666666666668E-2</c:v>
                </c:pt>
                <c:pt idx="814">
                  <c:v>3.6938666666666668E-2</c:v>
                </c:pt>
                <c:pt idx="815">
                  <c:v>3.6938666666666668E-2</c:v>
                </c:pt>
                <c:pt idx="816">
                  <c:v>3.6938666666666668E-2</c:v>
                </c:pt>
                <c:pt idx="817">
                  <c:v>3.6938666666666668E-2</c:v>
                </c:pt>
                <c:pt idx="818">
                  <c:v>3.6938666666666668E-2</c:v>
                </c:pt>
                <c:pt idx="819">
                  <c:v>3.6938666666666668E-2</c:v>
                </c:pt>
                <c:pt idx="820">
                  <c:v>3.6938666666666668E-2</c:v>
                </c:pt>
                <c:pt idx="821">
                  <c:v>3.6938666666666668E-2</c:v>
                </c:pt>
                <c:pt idx="822">
                  <c:v>3.6938666666666668E-2</c:v>
                </c:pt>
                <c:pt idx="823">
                  <c:v>3.6938666666666668E-2</c:v>
                </c:pt>
                <c:pt idx="824">
                  <c:v>3.6938666666666668E-2</c:v>
                </c:pt>
                <c:pt idx="825">
                  <c:v>3.6938666666666668E-2</c:v>
                </c:pt>
                <c:pt idx="826">
                  <c:v>3.6938666666666668E-2</c:v>
                </c:pt>
                <c:pt idx="827">
                  <c:v>3.6938666666666668E-2</c:v>
                </c:pt>
                <c:pt idx="828">
                  <c:v>3.6938666666666668E-2</c:v>
                </c:pt>
                <c:pt idx="829">
                  <c:v>3.6938666666666668E-2</c:v>
                </c:pt>
                <c:pt idx="830">
                  <c:v>1.5776333333333337E-2</c:v>
                </c:pt>
                <c:pt idx="831">
                  <c:v>1.5776333333333337E-2</c:v>
                </c:pt>
                <c:pt idx="832">
                  <c:v>1.5776333333333337E-2</c:v>
                </c:pt>
                <c:pt idx="833">
                  <c:v>1.5776333333333337E-2</c:v>
                </c:pt>
                <c:pt idx="834">
                  <c:v>1.5776333333333337E-2</c:v>
                </c:pt>
                <c:pt idx="835">
                  <c:v>1.5776333333333337E-2</c:v>
                </c:pt>
                <c:pt idx="836">
                  <c:v>1.5776333333333337E-2</c:v>
                </c:pt>
                <c:pt idx="837">
                  <c:v>1.5776333333333337E-2</c:v>
                </c:pt>
                <c:pt idx="838">
                  <c:v>1.5776333333333337E-2</c:v>
                </c:pt>
                <c:pt idx="839">
                  <c:v>1.5776333333333337E-2</c:v>
                </c:pt>
                <c:pt idx="840">
                  <c:v>1.5776333333333337E-2</c:v>
                </c:pt>
                <c:pt idx="841">
                  <c:v>1.5776333333333337E-2</c:v>
                </c:pt>
                <c:pt idx="842">
                  <c:v>1.5776333333333337E-2</c:v>
                </c:pt>
                <c:pt idx="843">
                  <c:v>1.5776333333333337E-2</c:v>
                </c:pt>
                <c:pt idx="844">
                  <c:v>1.5776333333333337E-2</c:v>
                </c:pt>
                <c:pt idx="845">
                  <c:v>1.5776333333333337E-2</c:v>
                </c:pt>
                <c:pt idx="846">
                  <c:v>1.5776333333333337E-2</c:v>
                </c:pt>
                <c:pt idx="847">
                  <c:v>1.5776333333333337E-2</c:v>
                </c:pt>
                <c:pt idx="848">
                  <c:v>1.5776333333333337E-2</c:v>
                </c:pt>
                <c:pt idx="849">
                  <c:v>1.5776333333333337E-2</c:v>
                </c:pt>
                <c:pt idx="850">
                  <c:v>1.5776333333333337E-2</c:v>
                </c:pt>
                <c:pt idx="851">
                  <c:v>1.5776333333333337E-2</c:v>
                </c:pt>
                <c:pt idx="852">
                  <c:v>1.5776333333333337E-2</c:v>
                </c:pt>
                <c:pt idx="853">
                  <c:v>1.5776333333333337E-2</c:v>
                </c:pt>
                <c:pt idx="854">
                  <c:v>1.5776333333333337E-2</c:v>
                </c:pt>
                <c:pt idx="855">
                  <c:v>1.5776333333333337E-2</c:v>
                </c:pt>
                <c:pt idx="856">
                  <c:v>1.5776333333333337E-2</c:v>
                </c:pt>
                <c:pt idx="857">
                  <c:v>1.5776333333333337E-2</c:v>
                </c:pt>
                <c:pt idx="858">
                  <c:v>1.5776333333333337E-2</c:v>
                </c:pt>
                <c:pt idx="859">
                  <c:v>1.5776333333333337E-2</c:v>
                </c:pt>
                <c:pt idx="860">
                  <c:v>1.5776333333333337E-2</c:v>
                </c:pt>
                <c:pt idx="861">
                  <c:v>1.5776333333333337E-2</c:v>
                </c:pt>
                <c:pt idx="862">
                  <c:v>1.5776333333333337E-2</c:v>
                </c:pt>
                <c:pt idx="863">
                  <c:v>6.2578333333333333E-2</c:v>
                </c:pt>
                <c:pt idx="864">
                  <c:v>6.2578333333333333E-2</c:v>
                </c:pt>
                <c:pt idx="865">
                  <c:v>6.2578333333333333E-2</c:v>
                </c:pt>
                <c:pt idx="866">
                  <c:v>6.2578333333333333E-2</c:v>
                </c:pt>
                <c:pt idx="867">
                  <c:v>6.2578333333333333E-2</c:v>
                </c:pt>
                <c:pt idx="868">
                  <c:v>6.2578333333333333E-2</c:v>
                </c:pt>
                <c:pt idx="869">
                  <c:v>6.2578333333333333E-2</c:v>
                </c:pt>
                <c:pt idx="870">
                  <c:v>6.2578333333333333E-2</c:v>
                </c:pt>
                <c:pt idx="871">
                  <c:v>6.2578333333333333E-2</c:v>
                </c:pt>
                <c:pt idx="872">
                  <c:v>6.2578333333333333E-2</c:v>
                </c:pt>
                <c:pt idx="873">
                  <c:v>6.2578333333333333E-2</c:v>
                </c:pt>
                <c:pt idx="874">
                  <c:v>6.2578333333333333E-2</c:v>
                </c:pt>
                <c:pt idx="875">
                  <c:v>6.2578333333333333E-2</c:v>
                </c:pt>
                <c:pt idx="876">
                  <c:v>6.2578333333333333E-2</c:v>
                </c:pt>
                <c:pt idx="877">
                  <c:v>6.2578333333333333E-2</c:v>
                </c:pt>
                <c:pt idx="878">
                  <c:v>6.2578333333333333E-2</c:v>
                </c:pt>
                <c:pt idx="879">
                  <c:v>6.2578333333333333E-2</c:v>
                </c:pt>
                <c:pt idx="880">
                  <c:v>6.2578333333333333E-2</c:v>
                </c:pt>
                <c:pt idx="881">
                  <c:v>6.2578333333333333E-2</c:v>
                </c:pt>
                <c:pt idx="882">
                  <c:v>6.2578333333333333E-2</c:v>
                </c:pt>
                <c:pt idx="883">
                  <c:v>6.2578333333333333E-2</c:v>
                </c:pt>
                <c:pt idx="884">
                  <c:v>6.2578333333333333E-2</c:v>
                </c:pt>
                <c:pt idx="885">
                  <c:v>6.2578333333333333E-2</c:v>
                </c:pt>
                <c:pt idx="886">
                  <c:v>6.2578333333333333E-2</c:v>
                </c:pt>
                <c:pt idx="887">
                  <c:v>6.2578333333333333E-2</c:v>
                </c:pt>
                <c:pt idx="888">
                  <c:v>6.2578333333333333E-2</c:v>
                </c:pt>
                <c:pt idx="889">
                  <c:v>6.2578333333333333E-2</c:v>
                </c:pt>
                <c:pt idx="890">
                  <c:v>6.2578333333333333E-2</c:v>
                </c:pt>
                <c:pt idx="891">
                  <c:v>6.2578333333333333E-2</c:v>
                </c:pt>
                <c:pt idx="892">
                  <c:v>6.2578333333333333E-2</c:v>
                </c:pt>
                <c:pt idx="893">
                  <c:v>6.2578333333333333E-2</c:v>
                </c:pt>
                <c:pt idx="894">
                  <c:v>6.2578333333333333E-2</c:v>
                </c:pt>
                <c:pt idx="895">
                  <c:v>6.2578333333333333E-2</c:v>
                </c:pt>
                <c:pt idx="896">
                  <c:v>6.2578333333333333E-2</c:v>
                </c:pt>
                <c:pt idx="897">
                  <c:v>6.2578333333333333E-2</c:v>
                </c:pt>
                <c:pt idx="898">
                  <c:v>6.2578333333333333E-2</c:v>
                </c:pt>
                <c:pt idx="899">
                  <c:v>6.2578333333333333E-2</c:v>
                </c:pt>
                <c:pt idx="900">
                  <c:v>6.2578333333333333E-2</c:v>
                </c:pt>
                <c:pt idx="901">
                  <c:v>6.2578333333333333E-2</c:v>
                </c:pt>
                <c:pt idx="902">
                  <c:v>6.2578333333333333E-2</c:v>
                </c:pt>
                <c:pt idx="903">
                  <c:v>6.2578333333333333E-2</c:v>
                </c:pt>
                <c:pt idx="904">
                  <c:v>6.2578333333333333E-2</c:v>
                </c:pt>
                <c:pt idx="905">
                  <c:v>6.2578333333333333E-2</c:v>
                </c:pt>
                <c:pt idx="906">
                  <c:v>6.2578333333333333E-2</c:v>
                </c:pt>
                <c:pt idx="907">
                  <c:v>6.2578333333333333E-2</c:v>
                </c:pt>
                <c:pt idx="908">
                  <c:v>6.2578333333333333E-2</c:v>
                </c:pt>
                <c:pt idx="909">
                  <c:v>6.2578333333333333E-2</c:v>
                </c:pt>
                <c:pt idx="910">
                  <c:v>6.2578333333333333E-2</c:v>
                </c:pt>
                <c:pt idx="911">
                  <c:v>6.2578333333333333E-2</c:v>
                </c:pt>
                <c:pt idx="912">
                  <c:v>6.2578333333333333E-2</c:v>
                </c:pt>
                <c:pt idx="913">
                  <c:v>6.2578333333333333E-2</c:v>
                </c:pt>
                <c:pt idx="914">
                  <c:v>6.2578333333333333E-2</c:v>
                </c:pt>
                <c:pt idx="915">
                  <c:v>6.2578333333333333E-2</c:v>
                </c:pt>
                <c:pt idx="916">
                  <c:v>6.2578333333333333E-2</c:v>
                </c:pt>
                <c:pt idx="917">
                  <c:v>6.2578333333333333E-2</c:v>
                </c:pt>
                <c:pt idx="918">
                  <c:v>6.2578333333333333E-2</c:v>
                </c:pt>
                <c:pt idx="919">
                  <c:v>6.2578333333333333E-2</c:v>
                </c:pt>
                <c:pt idx="920">
                  <c:v>6.2578333333333333E-2</c:v>
                </c:pt>
                <c:pt idx="921">
                  <c:v>6.2578333333333333E-2</c:v>
                </c:pt>
                <c:pt idx="922">
                  <c:v>6.2578333333333333E-2</c:v>
                </c:pt>
                <c:pt idx="923">
                  <c:v>6.2578333333333333E-2</c:v>
                </c:pt>
                <c:pt idx="924">
                  <c:v>6.2578333333333333E-2</c:v>
                </c:pt>
                <c:pt idx="925">
                  <c:v>6.2578333333333333E-2</c:v>
                </c:pt>
                <c:pt idx="926">
                  <c:v>6.2578333333333333E-2</c:v>
                </c:pt>
                <c:pt idx="927">
                  <c:v>6.2578333333333333E-2</c:v>
                </c:pt>
                <c:pt idx="928">
                  <c:v>6.2578333333333333E-2</c:v>
                </c:pt>
                <c:pt idx="929">
                  <c:v>6.2578333333333333E-2</c:v>
                </c:pt>
                <c:pt idx="930">
                  <c:v>6.2578333333333333E-2</c:v>
                </c:pt>
                <c:pt idx="931">
                  <c:v>6.2578333333333333E-2</c:v>
                </c:pt>
                <c:pt idx="932">
                  <c:v>6.2578333333333333E-2</c:v>
                </c:pt>
                <c:pt idx="933">
                  <c:v>6.2578333333333333E-2</c:v>
                </c:pt>
                <c:pt idx="934">
                  <c:v>6.2578333333333333E-2</c:v>
                </c:pt>
                <c:pt idx="935">
                  <c:v>6.2578333333333333E-2</c:v>
                </c:pt>
                <c:pt idx="936">
                  <c:v>6.2578333333333333E-2</c:v>
                </c:pt>
                <c:pt idx="937">
                  <c:v>6.2578333333333333E-2</c:v>
                </c:pt>
                <c:pt idx="938">
                  <c:v>6.2578333333333333E-2</c:v>
                </c:pt>
                <c:pt idx="939">
                  <c:v>6.2578333333333333E-2</c:v>
                </c:pt>
                <c:pt idx="940">
                  <c:v>6.2578333333333333E-2</c:v>
                </c:pt>
                <c:pt idx="941">
                  <c:v>6.2578333333333333E-2</c:v>
                </c:pt>
                <c:pt idx="942">
                  <c:v>6.2578333333333333E-2</c:v>
                </c:pt>
                <c:pt idx="943">
                  <c:v>6.2578333333333333E-2</c:v>
                </c:pt>
                <c:pt idx="944">
                  <c:v>6.2578333333333333E-2</c:v>
                </c:pt>
                <c:pt idx="945">
                  <c:v>6.2578333333333333E-2</c:v>
                </c:pt>
                <c:pt idx="946">
                  <c:v>6.2578333333333333E-2</c:v>
                </c:pt>
                <c:pt idx="947">
                  <c:v>6.2578333333333333E-2</c:v>
                </c:pt>
                <c:pt idx="948">
                  <c:v>6.2578333333333333E-2</c:v>
                </c:pt>
                <c:pt idx="949">
                  <c:v>6.2578333333333333E-2</c:v>
                </c:pt>
                <c:pt idx="950">
                  <c:v>6.2578333333333333E-2</c:v>
                </c:pt>
                <c:pt idx="951">
                  <c:v>6.2578333333333333E-2</c:v>
                </c:pt>
                <c:pt idx="952">
                  <c:v>6.2578333333333333E-2</c:v>
                </c:pt>
                <c:pt idx="953">
                  <c:v>6.2578333333333333E-2</c:v>
                </c:pt>
                <c:pt idx="954">
                  <c:v>6.2578333333333333E-2</c:v>
                </c:pt>
                <c:pt idx="955">
                  <c:v>6.2578333333333333E-2</c:v>
                </c:pt>
                <c:pt idx="956">
                  <c:v>6.2578333333333333E-2</c:v>
                </c:pt>
                <c:pt idx="957">
                  <c:v>6.2578333333333333E-2</c:v>
                </c:pt>
                <c:pt idx="958">
                  <c:v>6.2578333333333333E-2</c:v>
                </c:pt>
                <c:pt idx="959">
                  <c:v>6.2578333333333333E-2</c:v>
                </c:pt>
                <c:pt idx="960">
                  <c:v>6.2578333333333333E-2</c:v>
                </c:pt>
                <c:pt idx="961">
                  <c:v>6.2578333333333333E-2</c:v>
                </c:pt>
                <c:pt idx="962">
                  <c:v>6.2578333333333333E-2</c:v>
                </c:pt>
                <c:pt idx="963">
                  <c:v>6.2578333333333333E-2</c:v>
                </c:pt>
                <c:pt idx="964">
                  <c:v>6.2578333333333333E-2</c:v>
                </c:pt>
                <c:pt idx="965">
                  <c:v>6.2578333333333333E-2</c:v>
                </c:pt>
                <c:pt idx="966">
                  <c:v>6.2578333333333333E-2</c:v>
                </c:pt>
                <c:pt idx="967">
                  <c:v>6.2578333333333333E-2</c:v>
                </c:pt>
                <c:pt idx="968">
                  <c:v>6.2578333333333333E-2</c:v>
                </c:pt>
                <c:pt idx="969">
                  <c:v>6.2578333333333333E-2</c:v>
                </c:pt>
                <c:pt idx="970">
                  <c:v>6.2578333333333333E-2</c:v>
                </c:pt>
                <c:pt idx="971">
                  <c:v>6.2578333333333333E-2</c:v>
                </c:pt>
                <c:pt idx="972">
                  <c:v>6.2578333333333333E-2</c:v>
                </c:pt>
                <c:pt idx="973">
                  <c:v>2.5033666666666666E-2</c:v>
                </c:pt>
                <c:pt idx="974">
                  <c:v>2.5033666666666666E-2</c:v>
                </c:pt>
                <c:pt idx="975">
                  <c:v>2.5033666666666666E-2</c:v>
                </c:pt>
                <c:pt idx="976">
                  <c:v>2.5033666666666666E-2</c:v>
                </c:pt>
                <c:pt idx="977">
                  <c:v>2.5033666666666666E-2</c:v>
                </c:pt>
                <c:pt idx="978">
                  <c:v>2.5033666666666666E-2</c:v>
                </c:pt>
                <c:pt idx="979">
                  <c:v>2.5033666666666666E-2</c:v>
                </c:pt>
                <c:pt idx="980">
                  <c:v>2.5033666666666666E-2</c:v>
                </c:pt>
                <c:pt idx="981">
                  <c:v>2.5033666666666666E-2</c:v>
                </c:pt>
                <c:pt idx="982">
                  <c:v>2.5033666666666666E-2</c:v>
                </c:pt>
                <c:pt idx="983">
                  <c:v>2.5033666666666666E-2</c:v>
                </c:pt>
                <c:pt idx="984">
                  <c:v>2.5033666666666666E-2</c:v>
                </c:pt>
                <c:pt idx="985">
                  <c:v>2.5033666666666666E-2</c:v>
                </c:pt>
                <c:pt idx="986">
                  <c:v>2.5033666666666666E-2</c:v>
                </c:pt>
                <c:pt idx="987">
                  <c:v>2.5033666666666666E-2</c:v>
                </c:pt>
                <c:pt idx="988">
                  <c:v>2.5033666666666666E-2</c:v>
                </c:pt>
                <c:pt idx="989">
                  <c:v>2.5033666666666666E-2</c:v>
                </c:pt>
                <c:pt idx="990">
                  <c:v>2.5033666666666666E-2</c:v>
                </c:pt>
                <c:pt idx="991">
                  <c:v>2.5033666666666666E-2</c:v>
                </c:pt>
                <c:pt idx="992">
                  <c:v>2.5033666666666666E-2</c:v>
                </c:pt>
                <c:pt idx="993">
                  <c:v>2.5033666666666666E-2</c:v>
                </c:pt>
                <c:pt idx="994">
                  <c:v>2.5033666666666666E-2</c:v>
                </c:pt>
                <c:pt idx="995">
                  <c:v>2.5033666666666666E-2</c:v>
                </c:pt>
                <c:pt idx="996">
                  <c:v>2.5033666666666666E-2</c:v>
                </c:pt>
                <c:pt idx="997">
                  <c:v>2.5033666666666666E-2</c:v>
                </c:pt>
                <c:pt idx="998">
                  <c:v>2.5033666666666666E-2</c:v>
                </c:pt>
                <c:pt idx="999">
                  <c:v>2.5033666666666666E-2</c:v>
                </c:pt>
                <c:pt idx="1000">
                  <c:v>4.5391000000000001E-2</c:v>
                </c:pt>
                <c:pt idx="1001">
                  <c:v>4.5391000000000001E-2</c:v>
                </c:pt>
                <c:pt idx="1002">
                  <c:v>4.5391000000000001E-2</c:v>
                </c:pt>
                <c:pt idx="1003">
                  <c:v>4.5391000000000001E-2</c:v>
                </c:pt>
                <c:pt idx="1004">
                  <c:v>4.5391000000000001E-2</c:v>
                </c:pt>
                <c:pt idx="1005">
                  <c:v>4.5391000000000001E-2</c:v>
                </c:pt>
                <c:pt idx="1006">
                  <c:v>4.5391000000000001E-2</c:v>
                </c:pt>
                <c:pt idx="1007">
                  <c:v>4.5391000000000001E-2</c:v>
                </c:pt>
                <c:pt idx="1008">
                  <c:v>4.5391000000000001E-2</c:v>
                </c:pt>
                <c:pt idx="1009">
                  <c:v>4.5391000000000001E-2</c:v>
                </c:pt>
                <c:pt idx="1010">
                  <c:v>4.5391000000000001E-2</c:v>
                </c:pt>
                <c:pt idx="1011">
                  <c:v>4.5391000000000001E-2</c:v>
                </c:pt>
                <c:pt idx="1012">
                  <c:v>4.5391000000000001E-2</c:v>
                </c:pt>
                <c:pt idx="1013">
                  <c:v>4.5391000000000001E-2</c:v>
                </c:pt>
                <c:pt idx="1014">
                  <c:v>4.5391000000000001E-2</c:v>
                </c:pt>
                <c:pt idx="1015">
                  <c:v>4.5391000000000001E-2</c:v>
                </c:pt>
                <c:pt idx="1016">
                  <c:v>4.5391000000000001E-2</c:v>
                </c:pt>
                <c:pt idx="1017">
                  <c:v>4.5391000000000001E-2</c:v>
                </c:pt>
                <c:pt idx="1018">
                  <c:v>4.5391000000000001E-2</c:v>
                </c:pt>
                <c:pt idx="1019">
                  <c:v>4.5391000000000001E-2</c:v>
                </c:pt>
                <c:pt idx="1020">
                  <c:v>4.5391000000000001E-2</c:v>
                </c:pt>
                <c:pt idx="1021">
                  <c:v>4.5391000000000001E-2</c:v>
                </c:pt>
                <c:pt idx="1022">
                  <c:v>4.5391000000000001E-2</c:v>
                </c:pt>
                <c:pt idx="1023">
                  <c:v>4.5391000000000001E-2</c:v>
                </c:pt>
                <c:pt idx="1024">
                  <c:v>4.5391000000000001E-2</c:v>
                </c:pt>
                <c:pt idx="1025">
                  <c:v>4.5391000000000001E-2</c:v>
                </c:pt>
                <c:pt idx="1026">
                  <c:v>4.5391000000000001E-2</c:v>
                </c:pt>
                <c:pt idx="1027">
                  <c:v>4.5391000000000001E-2</c:v>
                </c:pt>
                <c:pt idx="1028">
                  <c:v>4.5391000000000001E-2</c:v>
                </c:pt>
                <c:pt idx="1029">
                  <c:v>4.5391000000000001E-2</c:v>
                </c:pt>
                <c:pt idx="1030">
                  <c:v>4.5391000000000001E-2</c:v>
                </c:pt>
                <c:pt idx="1031">
                  <c:v>4.5391000000000001E-2</c:v>
                </c:pt>
                <c:pt idx="1032">
                  <c:v>4.5391000000000001E-2</c:v>
                </c:pt>
                <c:pt idx="1033">
                  <c:v>4.5391000000000001E-2</c:v>
                </c:pt>
                <c:pt idx="1034">
                  <c:v>4.5391000000000001E-2</c:v>
                </c:pt>
                <c:pt idx="1035">
                  <c:v>4.5391000000000001E-2</c:v>
                </c:pt>
                <c:pt idx="1036">
                  <c:v>4.5391000000000001E-2</c:v>
                </c:pt>
                <c:pt idx="1037">
                  <c:v>4.5391000000000001E-2</c:v>
                </c:pt>
                <c:pt idx="1038">
                  <c:v>4.5391000000000001E-2</c:v>
                </c:pt>
                <c:pt idx="1039">
                  <c:v>4.5391000000000001E-2</c:v>
                </c:pt>
                <c:pt idx="1040">
                  <c:v>1.1944999999999999E-2</c:v>
                </c:pt>
                <c:pt idx="1041">
                  <c:v>1.1944999999999999E-2</c:v>
                </c:pt>
                <c:pt idx="1042">
                  <c:v>1.1944999999999999E-2</c:v>
                </c:pt>
                <c:pt idx="1043">
                  <c:v>1.1944999999999999E-2</c:v>
                </c:pt>
                <c:pt idx="1044">
                  <c:v>1.1944999999999999E-2</c:v>
                </c:pt>
                <c:pt idx="1045">
                  <c:v>1.1944999999999999E-2</c:v>
                </c:pt>
                <c:pt idx="1046">
                  <c:v>1.1944999999999999E-2</c:v>
                </c:pt>
                <c:pt idx="1047">
                  <c:v>1.1944999999999999E-2</c:v>
                </c:pt>
                <c:pt idx="1048">
                  <c:v>1.1944999999999999E-2</c:v>
                </c:pt>
                <c:pt idx="1049">
                  <c:v>1.1944999999999999E-2</c:v>
                </c:pt>
                <c:pt idx="1050">
                  <c:v>1.1944999999999999E-2</c:v>
                </c:pt>
                <c:pt idx="1051">
                  <c:v>1.1944999999999999E-2</c:v>
                </c:pt>
                <c:pt idx="1052">
                  <c:v>1.1944999999999999E-2</c:v>
                </c:pt>
                <c:pt idx="1053">
                  <c:v>1.1944999999999999E-2</c:v>
                </c:pt>
                <c:pt idx="1054">
                  <c:v>1.1944999999999999E-2</c:v>
                </c:pt>
                <c:pt idx="1055">
                  <c:v>1.1944999999999999E-2</c:v>
                </c:pt>
                <c:pt idx="1056">
                  <c:v>1.1944999999999999E-2</c:v>
                </c:pt>
                <c:pt idx="1057">
                  <c:v>1.1944999999999999E-2</c:v>
                </c:pt>
                <c:pt idx="1058">
                  <c:v>1.1944999999999999E-2</c:v>
                </c:pt>
                <c:pt idx="1059">
                  <c:v>1.1944999999999999E-2</c:v>
                </c:pt>
                <c:pt idx="1060">
                  <c:v>1.1944999999999999E-2</c:v>
                </c:pt>
                <c:pt idx="1061">
                  <c:v>1.1944999999999999E-2</c:v>
                </c:pt>
                <c:pt idx="1062">
                  <c:v>1.1944999999999999E-2</c:v>
                </c:pt>
                <c:pt idx="1063">
                  <c:v>1.1944999999999999E-2</c:v>
                </c:pt>
                <c:pt idx="1064">
                  <c:v>1.1944999999999999E-2</c:v>
                </c:pt>
                <c:pt idx="1065">
                  <c:v>1.1944999999999999E-2</c:v>
                </c:pt>
                <c:pt idx="1066">
                  <c:v>1.1944999999999999E-2</c:v>
                </c:pt>
                <c:pt idx="1067">
                  <c:v>1.1944999999999999E-2</c:v>
                </c:pt>
                <c:pt idx="1068">
                  <c:v>1.1944999999999999E-2</c:v>
                </c:pt>
                <c:pt idx="1069">
                  <c:v>1.1944999999999999E-2</c:v>
                </c:pt>
                <c:pt idx="1070">
                  <c:v>1.5917000000000001E-2</c:v>
                </c:pt>
                <c:pt idx="1071">
                  <c:v>1.5917000000000001E-2</c:v>
                </c:pt>
                <c:pt idx="1072">
                  <c:v>1.5917000000000001E-2</c:v>
                </c:pt>
                <c:pt idx="1073">
                  <c:v>1.5917000000000001E-2</c:v>
                </c:pt>
                <c:pt idx="1074">
                  <c:v>1.5917000000000001E-2</c:v>
                </c:pt>
                <c:pt idx="1075">
                  <c:v>1.5917000000000001E-2</c:v>
                </c:pt>
                <c:pt idx="1076">
                  <c:v>1.5917000000000001E-2</c:v>
                </c:pt>
                <c:pt idx="1077">
                  <c:v>1.5917000000000001E-2</c:v>
                </c:pt>
                <c:pt idx="1078">
                  <c:v>1.5917000000000001E-2</c:v>
                </c:pt>
                <c:pt idx="1079">
                  <c:v>1.5917000000000001E-2</c:v>
                </c:pt>
                <c:pt idx="1080">
                  <c:v>1.5917000000000001E-2</c:v>
                </c:pt>
                <c:pt idx="1081">
                  <c:v>1.5917000000000001E-2</c:v>
                </c:pt>
                <c:pt idx="1082">
                  <c:v>1.5917000000000001E-2</c:v>
                </c:pt>
                <c:pt idx="1083">
                  <c:v>1.5917000000000001E-2</c:v>
                </c:pt>
                <c:pt idx="1084">
                  <c:v>1.5917000000000001E-2</c:v>
                </c:pt>
                <c:pt idx="1085">
                  <c:v>1.5917000000000001E-2</c:v>
                </c:pt>
                <c:pt idx="1086">
                  <c:v>1.5917000000000001E-2</c:v>
                </c:pt>
                <c:pt idx="1087">
                  <c:v>1.5917000000000001E-2</c:v>
                </c:pt>
                <c:pt idx="1088">
                  <c:v>1.5917000000000001E-2</c:v>
                </c:pt>
                <c:pt idx="1089">
                  <c:v>1.5917000000000001E-2</c:v>
                </c:pt>
                <c:pt idx="1090">
                  <c:v>1.5917000000000001E-2</c:v>
                </c:pt>
                <c:pt idx="1091">
                  <c:v>1.5917000000000001E-2</c:v>
                </c:pt>
                <c:pt idx="1092">
                  <c:v>1.5917000000000001E-2</c:v>
                </c:pt>
                <c:pt idx="1093">
                  <c:v>1.5917000000000001E-2</c:v>
                </c:pt>
                <c:pt idx="1094">
                  <c:v>1.5917000000000001E-2</c:v>
                </c:pt>
                <c:pt idx="1095">
                  <c:v>1.5917000000000001E-2</c:v>
                </c:pt>
                <c:pt idx="1096">
                  <c:v>1.5917000000000001E-2</c:v>
                </c:pt>
                <c:pt idx="1097">
                  <c:v>1.5917000000000001E-2</c:v>
                </c:pt>
                <c:pt idx="1098">
                  <c:v>1.5917000000000001E-2</c:v>
                </c:pt>
                <c:pt idx="1099">
                  <c:v>1.5917000000000001E-2</c:v>
                </c:pt>
                <c:pt idx="1100">
                  <c:v>1.5917000000000001E-2</c:v>
                </c:pt>
                <c:pt idx="1101">
                  <c:v>1.5917000000000001E-2</c:v>
                </c:pt>
                <c:pt idx="1102">
                  <c:v>1.5917000000000001E-2</c:v>
                </c:pt>
                <c:pt idx="1103">
                  <c:v>1.5917000000000001E-2</c:v>
                </c:pt>
                <c:pt idx="1104">
                  <c:v>1.5917000000000001E-2</c:v>
                </c:pt>
                <c:pt idx="1105">
                  <c:v>1.5917000000000001E-2</c:v>
                </c:pt>
                <c:pt idx="1106">
                  <c:v>1.5917000000000001E-2</c:v>
                </c:pt>
                <c:pt idx="1107">
                  <c:v>1.5917000000000001E-2</c:v>
                </c:pt>
                <c:pt idx="1108">
                  <c:v>1.5917000000000001E-2</c:v>
                </c:pt>
                <c:pt idx="1109">
                  <c:v>1.5917000000000001E-2</c:v>
                </c:pt>
                <c:pt idx="1110">
                  <c:v>1.5917000000000001E-2</c:v>
                </c:pt>
                <c:pt idx="1111">
                  <c:v>1.5917000000000001E-2</c:v>
                </c:pt>
                <c:pt idx="1112">
                  <c:v>1.5917000000000001E-2</c:v>
                </c:pt>
                <c:pt idx="1113">
                  <c:v>1.5917000000000001E-2</c:v>
                </c:pt>
                <c:pt idx="1114">
                  <c:v>1.5917000000000001E-2</c:v>
                </c:pt>
                <c:pt idx="1115">
                  <c:v>1.5917000000000001E-2</c:v>
                </c:pt>
                <c:pt idx="1116">
                  <c:v>1.5917000000000001E-2</c:v>
                </c:pt>
                <c:pt idx="1117">
                  <c:v>1.5917000000000001E-2</c:v>
                </c:pt>
                <c:pt idx="1118">
                  <c:v>1.5917000000000001E-2</c:v>
                </c:pt>
                <c:pt idx="1119">
                  <c:v>1.5917000000000001E-2</c:v>
                </c:pt>
                <c:pt idx="1120">
                  <c:v>1.5917000000000001E-2</c:v>
                </c:pt>
                <c:pt idx="1121">
                  <c:v>1.5917000000000001E-2</c:v>
                </c:pt>
                <c:pt idx="1122">
                  <c:v>1.5917000000000001E-2</c:v>
                </c:pt>
                <c:pt idx="1123">
                  <c:v>1.5917000000000001E-2</c:v>
                </c:pt>
                <c:pt idx="1124">
                  <c:v>1.5917000000000001E-2</c:v>
                </c:pt>
                <c:pt idx="1125">
                  <c:v>1.5917000000000001E-2</c:v>
                </c:pt>
                <c:pt idx="1126">
                  <c:v>1.5917000000000001E-2</c:v>
                </c:pt>
                <c:pt idx="1127">
                  <c:v>1.5917000000000001E-2</c:v>
                </c:pt>
                <c:pt idx="1128">
                  <c:v>1.5917000000000001E-2</c:v>
                </c:pt>
                <c:pt idx="1129">
                  <c:v>1.5917000000000001E-2</c:v>
                </c:pt>
                <c:pt idx="1130">
                  <c:v>1.5917000000000001E-2</c:v>
                </c:pt>
                <c:pt idx="1131">
                  <c:v>1.5917000000000001E-2</c:v>
                </c:pt>
                <c:pt idx="1132">
                  <c:v>1.5917000000000001E-2</c:v>
                </c:pt>
                <c:pt idx="1133">
                  <c:v>1.5917000000000001E-2</c:v>
                </c:pt>
                <c:pt idx="1134">
                  <c:v>1.5917000000000001E-2</c:v>
                </c:pt>
                <c:pt idx="1135">
                  <c:v>1.5917000000000001E-2</c:v>
                </c:pt>
                <c:pt idx="1136">
                  <c:v>1.5917000000000001E-2</c:v>
                </c:pt>
                <c:pt idx="1137">
                  <c:v>1.5917000000000001E-2</c:v>
                </c:pt>
                <c:pt idx="1138">
                  <c:v>1.5917000000000001E-2</c:v>
                </c:pt>
                <c:pt idx="1139">
                  <c:v>1.5917000000000001E-2</c:v>
                </c:pt>
                <c:pt idx="1140">
                  <c:v>1.5917000000000001E-2</c:v>
                </c:pt>
                <c:pt idx="1141">
                  <c:v>1.5917000000000001E-2</c:v>
                </c:pt>
                <c:pt idx="1142">
                  <c:v>1.5917000000000001E-2</c:v>
                </c:pt>
                <c:pt idx="1143">
                  <c:v>1.5917000000000001E-2</c:v>
                </c:pt>
                <c:pt idx="1144">
                  <c:v>1.5917000000000001E-2</c:v>
                </c:pt>
                <c:pt idx="1145">
                  <c:v>1.5917000000000001E-2</c:v>
                </c:pt>
                <c:pt idx="1146">
                  <c:v>1.5917000000000001E-2</c:v>
                </c:pt>
                <c:pt idx="1147">
                  <c:v>1.5917000000000001E-2</c:v>
                </c:pt>
                <c:pt idx="1148">
                  <c:v>1.5917000000000001E-2</c:v>
                </c:pt>
                <c:pt idx="1149">
                  <c:v>1.5917000000000001E-2</c:v>
                </c:pt>
                <c:pt idx="1150">
                  <c:v>1.5917000000000001E-2</c:v>
                </c:pt>
                <c:pt idx="1151">
                  <c:v>1.5917000000000001E-2</c:v>
                </c:pt>
                <c:pt idx="1152">
                  <c:v>1.5917000000000001E-2</c:v>
                </c:pt>
                <c:pt idx="1153">
                  <c:v>1.5917000000000001E-2</c:v>
                </c:pt>
                <c:pt idx="1154">
                  <c:v>1.5917000000000001E-2</c:v>
                </c:pt>
                <c:pt idx="1155">
                  <c:v>1.5917000000000001E-2</c:v>
                </c:pt>
                <c:pt idx="1156">
                  <c:v>1.5917000000000001E-2</c:v>
                </c:pt>
                <c:pt idx="1157">
                  <c:v>1.5917000000000001E-2</c:v>
                </c:pt>
                <c:pt idx="1158">
                  <c:v>1.5917000000000001E-2</c:v>
                </c:pt>
                <c:pt idx="1159">
                  <c:v>1.5917000000000001E-2</c:v>
                </c:pt>
                <c:pt idx="1160">
                  <c:v>1.5917000000000001E-2</c:v>
                </c:pt>
                <c:pt idx="1161">
                  <c:v>1.5917000000000001E-2</c:v>
                </c:pt>
                <c:pt idx="1162">
                  <c:v>1.5917000000000001E-2</c:v>
                </c:pt>
                <c:pt idx="1163">
                  <c:v>1.5917000000000001E-2</c:v>
                </c:pt>
                <c:pt idx="1164">
                  <c:v>1.5917000000000001E-2</c:v>
                </c:pt>
                <c:pt idx="1165">
                  <c:v>1.5917000000000001E-2</c:v>
                </c:pt>
                <c:pt idx="1166">
                  <c:v>1.5917000000000001E-2</c:v>
                </c:pt>
                <c:pt idx="1167">
                  <c:v>1.5917000000000001E-2</c:v>
                </c:pt>
                <c:pt idx="1168">
                  <c:v>1.5917000000000001E-2</c:v>
                </c:pt>
                <c:pt idx="1169">
                  <c:v>1.5917000000000001E-2</c:v>
                </c:pt>
                <c:pt idx="1170">
                  <c:v>1.5917000000000001E-2</c:v>
                </c:pt>
                <c:pt idx="1171">
                  <c:v>1.5917000000000001E-2</c:v>
                </c:pt>
                <c:pt idx="1172">
                  <c:v>1.5917000000000001E-2</c:v>
                </c:pt>
                <c:pt idx="1173">
                  <c:v>1.5917000000000001E-2</c:v>
                </c:pt>
                <c:pt idx="1174">
                  <c:v>1.5917000000000001E-2</c:v>
                </c:pt>
                <c:pt idx="1175">
                  <c:v>1.5917000000000001E-2</c:v>
                </c:pt>
                <c:pt idx="1176">
                  <c:v>1.5917000000000001E-2</c:v>
                </c:pt>
                <c:pt idx="1177">
                  <c:v>1.5917000000000001E-2</c:v>
                </c:pt>
                <c:pt idx="1178">
                  <c:v>1.5917000000000001E-2</c:v>
                </c:pt>
                <c:pt idx="1179">
                  <c:v>1.5917000000000001E-2</c:v>
                </c:pt>
                <c:pt idx="1180">
                  <c:v>1.0362666666666666E-2</c:v>
                </c:pt>
                <c:pt idx="1181">
                  <c:v>1.0362666666666666E-2</c:v>
                </c:pt>
                <c:pt idx="1182">
                  <c:v>1.0362666666666666E-2</c:v>
                </c:pt>
                <c:pt idx="1183">
                  <c:v>1.0362666666666666E-2</c:v>
                </c:pt>
                <c:pt idx="1184">
                  <c:v>1.0362666666666666E-2</c:v>
                </c:pt>
                <c:pt idx="1185">
                  <c:v>1.0362666666666666E-2</c:v>
                </c:pt>
                <c:pt idx="1186">
                  <c:v>1.0362666666666666E-2</c:v>
                </c:pt>
                <c:pt idx="1187">
                  <c:v>1.0362666666666666E-2</c:v>
                </c:pt>
                <c:pt idx="1188">
                  <c:v>1.0362666666666666E-2</c:v>
                </c:pt>
                <c:pt idx="1189">
                  <c:v>1.0362666666666666E-2</c:v>
                </c:pt>
                <c:pt idx="1190">
                  <c:v>6.9433333333333335E-3</c:v>
                </c:pt>
                <c:pt idx="1191">
                  <c:v>6.9433333333333335E-3</c:v>
                </c:pt>
                <c:pt idx="1192">
                  <c:v>6.9433333333333335E-3</c:v>
                </c:pt>
                <c:pt idx="1193">
                  <c:v>6.9433333333333335E-3</c:v>
                </c:pt>
                <c:pt idx="1194">
                  <c:v>6.9433333333333335E-3</c:v>
                </c:pt>
                <c:pt idx="1195">
                  <c:v>6.9433333333333335E-3</c:v>
                </c:pt>
                <c:pt idx="1196">
                  <c:v>6.9433333333333335E-3</c:v>
                </c:pt>
                <c:pt idx="1197">
                  <c:v>6.9433333333333335E-3</c:v>
                </c:pt>
                <c:pt idx="1198">
                  <c:v>6.9433333333333335E-3</c:v>
                </c:pt>
                <c:pt idx="1199">
                  <c:v>6.9433333333333335E-3</c:v>
                </c:pt>
                <c:pt idx="1200">
                  <c:v>6.9433333333333335E-3</c:v>
                </c:pt>
                <c:pt idx="1201">
                  <c:v>6.9433333333333335E-3</c:v>
                </c:pt>
                <c:pt idx="1202">
                  <c:v>6.9433333333333335E-3</c:v>
                </c:pt>
                <c:pt idx="1203">
                  <c:v>6.9433333333333335E-3</c:v>
                </c:pt>
                <c:pt idx="1204">
                  <c:v>6.9433333333333335E-3</c:v>
                </c:pt>
                <c:pt idx="1205">
                  <c:v>6.9433333333333335E-3</c:v>
                </c:pt>
                <c:pt idx="1206">
                  <c:v>6.9433333333333335E-3</c:v>
                </c:pt>
                <c:pt idx="1207">
                  <c:v>6.9433333333333335E-3</c:v>
                </c:pt>
                <c:pt idx="1208">
                  <c:v>6.9433333333333335E-3</c:v>
                </c:pt>
                <c:pt idx="1209">
                  <c:v>6.9433333333333335E-3</c:v>
                </c:pt>
                <c:pt idx="1210">
                  <c:v>6.9433333333333335E-3</c:v>
                </c:pt>
                <c:pt idx="1211">
                  <c:v>6.9433333333333335E-3</c:v>
                </c:pt>
                <c:pt idx="1212">
                  <c:v>6.9433333333333335E-3</c:v>
                </c:pt>
                <c:pt idx="1213">
                  <c:v>6.9433333333333335E-3</c:v>
                </c:pt>
                <c:pt idx="1214">
                  <c:v>6.9433333333333335E-3</c:v>
                </c:pt>
                <c:pt idx="1215">
                  <c:v>6.9433333333333335E-3</c:v>
                </c:pt>
                <c:pt idx="1216">
                  <c:v>6.9433333333333335E-3</c:v>
                </c:pt>
                <c:pt idx="1217">
                  <c:v>6.9433333333333335E-3</c:v>
                </c:pt>
                <c:pt idx="1218">
                  <c:v>6.9433333333333335E-3</c:v>
                </c:pt>
                <c:pt idx="1219">
                  <c:v>6.9433333333333335E-3</c:v>
                </c:pt>
                <c:pt idx="1220">
                  <c:v>6.9433333333333335E-3</c:v>
                </c:pt>
                <c:pt idx="1221">
                  <c:v>7.5420000000000001E-3</c:v>
                </c:pt>
                <c:pt idx="1222">
                  <c:v>7.5420000000000001E-3</c:v>
                </c:pt>
                <c:pt idx="1223">
                  <c:v>7.5420000000000001E-3</c:v>
                </c:pt>
                <c:pt idx="1224">
                  <c:v>7.5420000000000001E-3</c:v>
                </c:pt>
                <c:pt idx="1225">
                  <c:v>7.5420000000000001E-3</c:v>
                </c:pt>
                <c:pt idx="1226">
                  <c:v>7.5420000000000001E-3</c:v>
                </c:pt>
                <c:pt idx="1227">
                  <c:v>7.5420000000000001E-3</c:v>
                </c:pt>
                <c:pt idx="1228">
                  <c:v>7.5420000000000001E-3</c:v>
                </c:pt>
                <c:pt idx="1229">
                  <c:v>7.5420000000000001E-3</c:v>
                </c:pt>
                <c:pt idx="1230">
                  <c:v>7.5420000000000001E-3</c:v>
                </c:pt>
                <c:pt idx="1231">
                  <c:v>7.5420000000000001E-3</c:v>
                </c:pt>
                <c:pt idx="1232">
                  <c:v>7.5420000000000001E-3</c:v>
                </c:pt>
                <c:pt idx="1233">
                  <c:v>7.5420000000000001E-3</c:v>
                </c:pt>
                <c:pt idx="1234">
                  <c:v>7.5420000000000001E-3</c:v>
                </c:pt>
                <c:pt idx="1235">
                  <c:v>7.5420000000000001E-3</c:v>
                </c:pt>
                <c:pt idx="1236">
                  <c:v>7.5420000000000001E-3</c:v>
                </c:pt>
                <c:pt idx="1237">
                  <c:v>7.5420000000000001E-3</c:v>
                </c:pt>
                <c:pt idx="1238">
                  <c:v>7.5420000000000001E-3</c:v>
                </c:pt>
                <c:pt idx="1239">
                  <c:v>7.5420000000000001E-3</c:v>
                </c:pt>
                <c:pt idx="1240">
                  <c:v>7.5420000000000001E-3</c:v>
                </c:pt>
                <c:pt idx="1241">
                  <c:v>7.5420000000000001E-3</c:v>
                </c:pt>
                <c:pt idx="1242">
                  <c:v>7.5420000000000001E-3</c:v>
                </c:pt>
                <c:pt idx="1243">
                  <c:v>7.5420000000000001E-3</c:v>
                </c:pt>
                <c:pt idx="1244">
                  <c:v>7.5420000000000001E-3</c:v>
                </c:pt>
                <c:pt idx="1245">
                  <c:v>7.5420000000000001E-3</c:v>
                </c:pt>
                <c:pt idx="1246">
                  <c:v>7.5420000000000001E-3</c:v>
                </c:pt>
                <c:pt idx="1247">
                  <c:v>7.5420000000000001E-3</c:v>
                </c:pt>
                <c:pt idx="1248">
                  <c:v>7.5420000000000001E-3</c:v>
                </c:pt>
                <c:pt idx="1249">
                  <c:v>7.5420000000000001E-3</c:v>
                </c:pt>
                <c:pt idx="1250">
                  <c:v>3.9489333333333335E-2</c:v>
                </c:pt>
                <c:pt idx="1251">
                  <c:v>3.9489333333333335E-2</c:v>
                </c:pt>
                <c:pt idx="1252">
                  <c:v>3.9489333333333335E-2</c:v>
                </c:pt>
                <c:pt idx="1253">
                  <c:v>3.9489333333333335E-2</c:v>
                </c:pt>
                <c:pt idx="1254">
                  <c:v>3.9489333333333335E-2</c:v>
                </c:pt>
                <c:pt idx="1255">
                  <c:v>3.9489333333333335E-2</c:v>
                </c:pt>
                <c:pt idx="1256">
                  <c:v>3.9489333333333335E-2</c:v>
                </c:pt>
                <c:pt idx="1257">
                  <c:v>3.9489333333333335E-2</c:v>
                </c:pt>
                <c:pt idx="1258">
                  <c:v>3.9489333333333335E-2</c:v>
                </c:pt>
                <c:pt idx="1259">
                  <c:v>3.9489333333333335E-2</c:v>
                </c:pt>
                <c:pt idx="1260">
                  <c:v>3.9489333333333335E-2</c:v>
                </c:pt>
                <c:pt idx="1261">
                  <c:v>3.9489333333333335E-2</c:v>
                </c:pt>
                <c:pt idx="1262">
                  <c:v>3.9489333333333335E-2</c:v>
                </c:pt>
                <c:pt idx="1263">
                  <c:v>3.9489333333333335E-2</c:v>
                </c:pt>
                <c:pt idx="1264">
                  <c:v>3.9489333333333335E-2</c:v>
                </c:pt>
                <c:pt idx="1265">
                  <c:v>3.9489333333333335E-2</c:v>
                </c:pt>
                <c:pt idx="1266">
                  <c:v>3.9489333333333335E-2</c:v>
                </c:pt>
                <c:pt idx="1267">
                  <c:v>3.9489333333333335E-2</c:v>
                </c:pt>
                <c:pt idx="1268">
                  <c:v>3.9489333333333335E-2</c:v>
                </c:pt>
                <c:pt idx="1269">
                  <c:v>3.9489333333333335E-2</c:v>
                </c:pt>
                <c:pt idx="1270">
                  <c:v>3.9489333333333335E-2</c:v>
                </c:pt>
                <c:pt idx="1271">
                  <c:v>3.9489333333333335E-2</c:v>
                </c:pt>
                <c:pt idx="1272">
                  <c:v>3.9489333333333335E-2</c:v>
                </c:pt>
                <c:pt idx="1273">
                  <c:v>3.9489333333333335E-2</c:v>
                </c:pt>
                <c:pt idx="1274">
                  <c:v>3.9489333333333335E-2</c:v>
                </c:pt>
                <c:pt idx="1275">
                  <c:v>3.9489333333333335E-2</c:v>
                </c:pt>
                <c:pt idx="1276">
                  <c:v>3.9489333333333335E-2</c:v>
                </c:pt>
                <c:pt idx="1277">
                  <c:v>3.9489333333333335E-2</c:v>
                </c:pt>
                <c:pt idx="1278">
                  <c:v>3.9489333333333335E-2</c:v>
                </c:pt>
                <c:pt idx="1279">
                  <c:v>3.9489333333333335E-2</c:v>
                </c:pt>
                <c:pt idx="1280">
                  <c:v>0.11797166666666667</c:v>
                </c:pt>
                <c:pt idx="1281">
                  <c:v>0.11797166666666667</c:v>
                </c:pt>
                <c:pt idx="1282">
                  <c:v>0.11797166666666667</c:v>
                </c:pt>
                <c:pt idx="1283">
                  <c:v>0.11797166666666667</c:v>
                </c:pt>
                <c:pt idx="1284">
                  <c:v>0.11797166666666667</c:v>
                </c:pt>
                <c:pt idx="1285">
                  <c:v>0.11797166666666667</c:v>
                </c:pt>
                <c:pt idx="1286">
                  <c:v>0.11797166666666667</c:v>
                </c:pt>
                <c:pt idx="1287">
                  <c:v>0.11797166666666667</c:v>
                </c:pt>
                <c:pt idx="1288">
                  <c:v>0.11797166666666667</c:v>
                </c:pt>
                <c:pt idx="1289">
                  <c:v>0.11797166666666667</c:v>
                </c:pt>
                <c:pt idx="1290">
                  <c:v>0.11797166666666667</c:v>
                </c:pt>
                <c:pt idx="1291">
                  <c:v>0.11797166666666667</c:v>
                </c:pt>
                <c:pt idx="1292">
                  <c:v>0.11797166666666667</c:v>
                </c:pt>
                <c:pt idx="1293">
                  <c:v>0.11797166666666667</c:v>
                </c:pt>
                <c:pt idx="1294">
                  <c:v>0.11797166666666667</c:v>
                </c:pt>
                <c:pt idx="1295">
                  <c:v>0.11797166666666667</c:v>
                </c:pt>
                <c:pt idx="1296">
                  <c:v>0.11797166666666667</c:v>
                </c:pt>
                <c:pt idx="1297">
                  <c:v>0.11797166666666667</c:v>
                </c:pt>
                <c:pt idx="1298">
                  <c:v>0.11797166666666667</c:v>
                </c:pt>
                <c:pt idx="1299">
                  <c:v>0.11797166666666667</c:v>
                </c:pt>
                <c:pt idx="1300">
                  <c:v>0.11797166666666667</c:v>
                </c:pt>
                <c:pt idx="1301">
                  <c:v>0.11797166666666667</c:v>
                </c:pt>
                <c:pt idx="1302">
                  <c:v>0.11797166666666667</c:v>
                </c:pt>
                <c:pt idx="1303">
                  <c:v>0.11797166666666667</c:v>
                </c:pt>
                <c:pt idx="1304">
                  <c:v>0.11797166666666667</c:v>
                </c:pt>
                <c:pt idx="1305">
                  <c:v>0.11797166666666667</c:v>
                </c:pt>
                <c:pt idx="1306">
                  <c:v>0.11797166666666667</c:v>
                </c:pt>
                <c:pt idx="1307">
                  <c:v>0.11797166666666667</c:v>
                </c:pt>
                <c:pt idx="1308">
                  <c:v>0.11797166666666667</c:v>
                </c:pt>
                <c:pt idx="1309">
                  <c:v>0.11797166666666667</c:v>
                </c:pt>
                <c:pt idx="1310">
                  <c:v>0.11797166666666667</c:v>
                </c:pt>
                <c:pt idx="1311">
                  <c:v>0.11797166666666667</c:v>
                </c:pt>
                <c:pt idx="1312">
                  <c:v>0.11797166666666667</c:v>
                </c:pt>
                <c:pt idx="1313">
                  <c:v>0.11797166666666667</c:v>
                </c:pt>
                <c:pt idx="1314">
                  <c:v>0.11797166666666667</c:v>
                </c:pt>
                <c:pt idx="1315">
                  <c:v>0.11797166666666667</c:v>
                </c:pt>
                <c:pt idx="1316">
                  <c:v>0.11797166666666667</c:v>
                </c:pt>
                <c:pt idx="1317">
                  <c:v>0.11797166666666667</c:v>
                </c:pt>
                <c:pt idx="1318">
                  <c:v>0.11797166666666667</c:v>
                </c:pt>
                <c:pt idx="1319">
                  <c:v>0.11797166666666667</c:v>
                </c:pt>
                <c:pt idx="1320">
                  <c:v>6.3624666666666663E-2</c:v>
                </c:pt>
                <c:pt idx="1321">
                  <c:v>6.3624666666666663E-2</c:v>
                </c:pt>
                <c:pt idx="1322">
                  <c:v>6.3624666666666663E-2</c:v>
                </c:pt>
                <c:pt idx="1323">
                  <c:v>6.3624666666666663E-2</c:v>
                </c:pt>
                <c:pt idx="1324">
                  <c:v>6.3624666666666663E-2</c:v>
                </c:pt>
                <c:pt idx="1325">
                  <c:v>6.3624666666666663E-2</c:v>
                </c:pt>
                <c:pt idx="1326">
                  <c:v>6.3624666666666663E-2</c:v>
                </c:pt>
                <c:pt idx="1327">
                  <c:v>6.3624666666666663E-2</c:v>
                </c:pt>
                <c:pt idx="1328">
                  <c:v>6.3624666666666663E-2</c:v>
                </c:pt>
                <c:pt idx="1329">
                  <c:v>6.3624666666666663E-2</c:v>
                </c:pt>
                <c:pt idx="1330">
                  <c:v>6.3624666666666663E-2</c:v>
                </c:pt>
                <c:pt idx="1331">
                  <c:v>6.3624666666666663E-2</c:v>
                </c:pt>
                <c:pt idx="1332">
                  <c:v>6.3624666666666663E-2</c:v>
                </c:pt>
                <c:pt idx="1333">
                  <c:v>6.3624666666666663E-2</c:v>
                </c:pt>
                <c:pt idx="1334">
                  <c:v>6.3624666666666663E-2</c:v>
                </c:pt>
                <c:pt idx="1335">
                  <c:v>6.3624666666666663E-2</c:v>
                </c:pt>
                <c:pt idx="1336">
                  <c:v>6.3624666666666663E-2</c:v>
                </c:pt>
                <c:pt idx="1337">
                  <c:v>6.3624666666666663E-2</c:v>
                </c:pt>
                <c:pt idx="1338">
                  <c:v>6.3624666666666663E-2</c:v>
                </c:pt>
                <c:pt idx="1339">
                  <c:v>6.3624666666666663E-2</c:v>
                </c:pt>
                <c:pt idx="1340">
                  <c:v>6.3624666666666663E-2</c:v>
                </c:pt>
                <c:pt idx="1341">
                  <c:v>6.3624666666666663E-2</c:v>
                </c:pt>
                <c:pt idx="1342">
                  <c:v>6.3624666666666663E-2</c:v>
                </c:pt>
                <c:pt idx="1343">
                  <c:v>6.3624666666666663E-2</c:v>
                </c:pt>
                <c:pt idx="1344">
                  <c:v>6.3624666666666663E-2</c:v>
                </c:pt>
                <c:pt idx="1345">
                  <c:v>6.3624666666666663E-2</c:v>
                </c:pt>
                <c:pt idx="1346">
                  <c:v>6.3624666666666663E-2</c:v>
                </c:pt>
                <c:pt idx="1347">
                  <c:v>6.3624666666666663E-2</c:v>
                </c:pt>
                <c:pt idx="1348">
                  <c:v>6.3624666666666663E-2</c:v>
                </c:pt>
                <c:pt idx="1349">
                  <c:v>6.3624666666666663E-2</c:v>
                </c:pt>
                <c:pt idx="1350">
                  <c:v>6.3624666666666663E-2</c:v>
                </c:pt>
                <c:pt idx="1351">
                  <c:v>1.5240999999999999E-2</c:v>
                </c:pt>
                <c:pt idx="1352">
                  <c:v>1.5240999999999999E-2</c:v>
                </c:pt>
                <c:pt idx="1353">
                  <c:v>1.5240999999999999E-2</c:v>
                </c:pt>
                <c:pt idx="1354">
                  <c:v>1.5240999999999999E-2</c:v>
                </c:pt>
                <c:pt idx="1355">
                  <c:v>1.5240999999999999E-2</c:v>
                </c:pt>
                <c:pt idx="1356">
                  <c:v>1.5240999999999999E-2</c:v>
                </c:pt>
                <c:pt idx="1357">
                  <c:v>1.5240999999999999E-2</c:v>
                </c:pt>
                <c:pt idx="1358">
                  <c:v>1.5240999999999999E-2</c:v>
                </c:pt>
                <c:pt idx="1359">
                  <c:v>1.5240999999999999E-2</c:v>
                </c:pt>
                <c:pt idx="1360">
                  <c:v>1.5240999999999999E-2</c:v>
                </c:pt>
                <c:pt idx="1361">
                  <c:v>1.5240999999999999E-2</c:v>
                </c:pt>
                <c:pt idx="1362">
                  <c:v>1.5240999999999999E-2</c:v>
                </c:pt>
                <c:pt idx="1363">
                  <c:v>1.5240999999999999E-2</c:v>
                </c:pt>
                <c:pt idx="1364">
                  <c:v>1.5240999999999999E-2</c:v>
                </c:pt>
                <c:pt idx="1365">
                  <c:v>1.5240999999999999E-2</c:v>
                </c:pt>
                <c:pt idx="1366">
                  <c:v>1.5240999999999999E-2</c:v>
                </c:pt>
                <c:pt idx="1367">
                  <c:v>1.5240999999999999E-2</c:v>
                </c:pt>
                <c:pt idx="1368">
                  <c:v>1.5240999999999999E-2</c:v>
                </c:pt>
                <c:pt idx="1369">
                  <c:v>1.5240999999999999E-2</c:v>
                </c:pt>
                <c:pt idx="1370">
                  <c:v>1.5240999999999999E-2</c:v>
                </c:pt>
                <c:pt idx="1371">
                  <c:v>1.5240999999999999E-2</c:v>
                </c:pt>
                <c:pt idx="1372">
                  <c:v>1.5240999999999999E-2</c:v>
                </c:pt>
                <c:pt idx="1373">
                  <c:v>1.5240999999999999E-2</c:v>
                </c:pt>
                <c:pt idx="1374">
                  <c:v>1.5240999999999999E-2</c:v>
                </c:pt>
                <c:pt idx="1375">
                  <c:v>1.5240999999999999E-2</c:v>
                </c:pt>
                <c:pt idx="1376">
                  <c:v>1.5240999999999999E-2</c:v>
                </c:pt>
                <c:pt idx="1377">
                  <c:v>1.5240999999999999E-2</c:v>
                </c:pt>
                <c:pt idx="1378">
                  <c:v>1.5240999999999999E-2</c:v>
                </c:pt>
                <c:pt idx="1379">
                  <c:v>1.5240999999999999E-2</c:v>
                </c:pt>
                <c:pt idx="1380">
                  <c:v>1.5240999999999999E-2</c:v>
                </c:pt>
                <c:pt idx="1381">
                  <c:v>1.5240999999999999E-2</c:v>
                </c:pt>
                <c:pt idx="1382">
                  <c:v>1.5240999999999999E-2</c:v>
                </c:pt>
                <c:pt idx="1383">
                  <c:v>1.5240999999999999E-2</c:v>
                </c:pt>
                <c:pt idx="1384">
                  <c:v>1.5240999999999999E-2</c:v>
                </c:pt>
                <c:pt idx="1385">
                  <c:v>1.5240999999999999E-2</c:v>
                </c:pt>
                <c:pt idx="1386">
                  <c:v>1.5240999999999999E-2</c:v>
                </c:pt>
                <c:pt idx="1387">
                  <c:v>1.5240999999999999E-2</c:v>
                </c:pt>
                <c:pt idx="1388">
                  <c:v>1.5240999999999999E-2</c:v>
                </c:pt>
                <c:pt idx="1389">
                  <c:v>1.5240999999999999E-2</c:v>
                </c:pt>
                <c:pt idx="1390">
                  <c:v>9.9173333333333318E-3</c:v>
                </c:pt>
                <c:pt idx="1391">
                  <c:v>9.9173333333333318E-3</c:v>
                </c:pt>
                <c:pt idx="1392">
                  <c:v>9.9173333333333318E-3</c:v>
                </c:pt>
                <c:pt idx="1393">
                  <c:v>9.9173333333333318E-3</c:v>
                </c:pt>
                <c:pt idx="1394">
                  <c:v>9.9173333333333318E-3</c:v>
                </c:pt>
                <c:pt idx="1395">
                  <c:v>9.9173333333333318E-3</c:v>
                </c:pt>
                <c:pt idx="1396">
                  <c:v>9.9173333333333318E-3</c:v>
                </c:pt>
                <c:pt idx="1397">
                  <c:v>9.9173333333333318E-3</c:v>
                </c:pt>
                <c:pt idx="1398">
                  <c:v>9.9173333333333318E-3</c:v>
                </c:pt>
                <c:pt idx="1399">
                  <c:v>9.9173333333333318E-3</c:v>
                </c:pt>
                <c:pt idx="1400">
                  <c:v>9.9173333333333318E-3</c:v>
                </c:pt>
                <c:pt idx="1401">
                  <c:v>9.9173333333333318E-3</c:v>
                </c:pt>
                <c:pt idx="1402">
                  <c:v>9.9173333333333318E-3</c:v>
                </c:pt>
                <c:pt idx="1403">
                  <c:v>9.9173333333333318E-3</c:v>
                </c:pt>
                <c:pt idx="1404">
                  <c:v>9.9173333333333318E-3</c:v>
                </c:pt>
                <c:pt idx="1405">
                  <c:v>9.9173333333333318E-3</c:v>
                </c:pt>
                <c:pt idx="1406">
                  <c:v>9.9173333333333318E-3</c:v>
                </c:pt>
                <c:pt idx="1407">
                  <c:v>9.9173333333333318E-3</c:v>
                </c:pt>
                <c:pt idx="1408">
                  <c:v>9.9173333333333318E-3</c:v>
                </c:pt>
                <c:pt idx="1409">
                  <c:v>9.9173333333333318E-3</c:v>
                </c:pt>
                <c:pt idx="1410">
                  <c:v>9.9173333333333318E-3</c:v>
                </c:pt>
                <c:pt idx="1411">
                  <c:v>9.9173333333333318E-3</c:v>
                </c:pt>
                <c:pt idx="1412">
                  <c:v>9.9173333333333318E-3</c:v>
                </c:pt>
                <c:pt idx="1413">
                  <c:v>9.9173333333333318E-3</c:v>
                </c:pt>
                <c:pt idx="1414">
                  <c:v>9.9173333333333318E-3</c:v>
                </c:pt>
                <c:pt idx="1415">
                  <c:v>9.9173333333333318E-3</c:v>
                </c:pt>
                <c:pt idx="1416">
                  <c:v>9.9173333333333318E-3</c:v>
                </c:pt>
                <c:pt idx="1417">
                  <c:v>9.9173333333333318E-3</c:v>
                </c:pt>
                <c:pt idx="1418">
                  <c:v>9.9173333333333318E-3</c:v>
                </c:pt>
                <c:pt idx="1419">
                  <c:v>9.9173333333333318E-3</c:v>
                </c:pt>
                <c:pt idx="1420">
                  <c:v>9.6713333333333321E-3</c:v>
                </c:pt>
                <c:pt idx="1421">
                  <c:v>9.6713333333333321E-3</c:v>
                </c:pt>
                <c:pt idx="1422">
                  <c:v>9.6713333333333321E-3</c:v>
                </c:pt>
                <c:pt idx="1423">
                  <c:v>9.6713333333333321E-3</c:v>
                </c:pt>
                <c:pt idx="1424">
                  <c:v>9.6713333333333321E-3</c:v>
                </c:pt>
                <c:pt idx="1425">
                  <c:v>9.6713333333333321E-3</c:v>
                </c:pt>
                <c:pt idx="1426">
                  <c:v>9.6713333333333321E-3</c:v>
                </c:pt>
                <c:pt idx="1427">
                  <c:v>9.6713333333333321E-3</c:v>
                </c:pt>
                <c:pt idx="1428">
                  <c:v>9.6713333333333321E-3</c:v>
                </c:pt>
                <c:pt idx="1429">
                  <c:v>9.6713333333333321E-3</c:v>
                </c:pt>
                <c:pt idx="1430">
                  <c:v>9.6713333333333321E-3</c:v>
                </c:pt>
                <c:pt idx="1431">
                  <c:v>9.6713333333333321E-3</c:v>
                </c:pt>
                <c:pt idx="1432">
                  <c:v>9.6713333333333321E-3</c:v>
                </c:pt>
                <c:pt idx="1433">
                  <c:v>9.6713333333333321E-3</c:v>
                </c:pt>
                <c:pt idx="1434">
                  <c:v>9.6713333333333321E-3</c:v>
                </c:pt>
                <c:pt idx="1435">
                  <c:v>9.6713333333333321E-3</c:v>
                </c:pt>
                <c:pt idx="1436">
                  <c:v>9.6713333333333321E-3</c:v>
                </c:pt>
                <c:pt idx="1437">
                  <c:v>9.6713333333333321E-3</c:v>
                </c:pt>
                <c:pt idx="1438">
                  <c:v>9.6713333333333321E-3</c:v>
                </c:pt>
                <c:pt idx="1439">
                  <c:v>9.6713333333333321E-3</c:v>
                </c:pt>
                <c:pt idx="1440">
                  <c:v>9.6713333333333321E-3</c:v>
                </c:pt>
                <c:pt idx="1441">
                  <c:v>9.6713333333333321E-3</c:v>
                </c:pt>
                <c:pt idx="1442">
                  <c:v>9.6713333333333321E-3</c:v>
                </c:pt>
                <c:pt idx="1443">
                  <c:v>9.6713333333333321E-3</c:v>
                </c:pt>
                <c:pt idx="1444">
                  <c:v>9.6713333333333321E-3</c:v>
                </c:pt>
                <c:pt idx="1445">
                  <c:v>9.6713333333333321E-3</c:v>
                </c:pt>
                <c:pt idx="1446">
                  <c:v>9.6713333333333321E-3</c:v>
                </c:pt>
                <c:pt idx="1447">
                  <c:v>9.6713333333333321E-3</c:v>
                </c:pt>
                <c:pt idx="1448">
                  <c:v>9.6713333333333321E-3</c:v>
                </c:pt>
                <c:pt idx="1449">
                  <c:v>9.6713333333333321E-3</c:v>
                </c:pt>
                <c:pt idx="1450">
                  <c:v>9.6713333333333321E-3</c:v>
                </c:pt>
                <c:pt idx="1451">
                  <c:v>9.6713333333333321E-3</c:v>
                </c:pt>
                <c:pt idx="1452">
                  <c:v>9.6713333333333321E-3</c:v>
                </c:pt>
                <c:pt idx="1453">
                  <c:v>9.6713333333333321E-3</c:v>
                </c:pt>
                <c:pt idx="1454">
                  <c:v>9.6713333333333321E-3</c:v>
                </c:pt>
                <c:pt idx="1455">
                  <c:v>9.6713333333333321E-3</c:v>
                </c:pt>
                <c:pt idx="1456">
                  <c:v>9.6713333333333321E-3</c:v>
                </c:pt>
                <c:pt idx="1457">
                  <c:v>9.6713333333333321E-3</c:v>
                </c:pt>
                <c:pt idx="1458">
                  <c:v>9.6713333333333321E-3</c:v>
                </c:pt>
                <c:pt idx="1459">
                  <c:v>9.6713333333333321E-3</c:v>
                </c:pt>
                <c:pt idx="1460">
                  <c:v>0.894876</c:v>
                </c:pt>
                <c:pt idx="1461">
                  <c:v>0.894876</c:v>
                </c:pt>
                <c:pt idx="1462">
                  <c:v>0.894876</c:v>
                </c:pt>
                <c:pt idx="1463">
                  <c:v>0.894876</c:v>
                </c:pt>
                <c:pt idx="1464">
                  <c:v>0.894876</c:v>
                </c:pt>
                <c:pt idx="1465">
                  <c:v>0.894876</c:v>
                </c:pt>
                <c:pt idx="1466">
                  <c:v>0.894876</c:v>
                </c:pt>
                <c:pt idx="1467">
                  <c:v>0.894876</c:v>
                </c:pt>
                <c:pt idx="1468">
                  <c:v>0.894876</c:v>
                </c:pt>
                <c:pt idx="1469">
                  <c:v>0.894876</c:v>
                </c:pt>
                <c:pt idx="1470">
                  <c:v>0.894876</c:v>
                </c:pt>
                <c:pt idx="1471">
                  <c:v>0.894876</c:v>
                </c:pt>
                <c:pt idx="1472">
                  <c:v>0.894876</c:v>
                </c:pt>
                <c:pt idx="1473">
                  <c:v>0.894876</c:v>
                </c:pt>
                <c:pt idx="1474">
                  <c:v>0.894876</c:v>
                </c:pt>
                <c:pt idx="1475">
                  <c:v>0.894876</c:v>
                </c:pt>
                <c:pt idx="1476">
                  <c:v>0.894876</c:v>
                </c:pt>
                <c:pt idx="1477">
                  <c:v>0.894876</c:v>
                </c:pt>
                <c:pt idx="1478">
                  <c:v>0.894876</c:v>
                </c:pt>
                <c:pt idx="1479">
                  <c:v>0.894876</c:v>
                </c:pt>
                <c:pt idx="1480">
                  <c:v>0.894876</c:v>
                </c:pt>
                <c:pt idx="1481">
                  <c:v>0.894876</c:v>
                </c:pt>
                <c:pt idx="1482">
                  <c:v>0.894876</c:v>
                </c:pt>
                <c:pt idx="1483">
                  <c:v>0.894876</c:v>
                </c:pt>
                <c:pt idx="1484">
                  <c:v>0.894876</c:v>
                </c:pt>
                <c:pt idx="1485">
                  <c:v>0.894876</c:v>
                </c:pt>
                <c:pt idx="1486">
                  <c:v>0.894876</c:v>
                </c:pt>
                <c:pt idx="1487">
                  <c:v>0.894876</c:v>
                </c:pt>
                <c:pt idx="1488">
                  <c:v>0.894876</c:v>
                </c:pt>
                <c:pt idx="1489">
                  <c:v>0.24037466666666671</c:v>
                </c:pt>
                <c:pt idx="1490">
                  <c:v>0.24037466666666671</c:v>
                </c:pt>
                <c:pt idx="1491">
                  <c:v>0.24037466666666671</c:v>
                </c:pt>
                <c:pt idx="1492">
                  <c:v>0.24037466666666671</c:v>
                </c:pt>
                <c:pt idx="1493">
                  <c:v>0.24037466666666671</c:v>
                </c:pt>
                <c:pt idx="1494">
                  <c:v>0.24037466666666671</c:v>
                </c:pt>
                <c:pt idx="1495">
                  <c:v>0.24037466666666671</c:v>
                </c:pt>
                <c:pt idx="1496">
                  <c:v>0.24037466666666671</c:v>
                </c:pt>
                <c:pt idx="1497">
                  <c:v>0.24037466666666671</c:v>
                </c:pt>
                <c:pt idx="1498">
                  <c:v>0.24037466666666671</c:v>
                </c:pt>
                <c:pt idx="1499">
                  <c:v>0.24037466666666671</c:v>
                </c:pt>
                <c:pt idx="1500">
                  <c:v>0.24037466666666671</c:v>
                </c:pt>
                <c:pt idx="1501">
                  <c:v>0.24037466666666671</c:v>
                </c:pt>
                <c:pt idx="1502">
                  <c:v>0.24037466666666671</c:v>
                </c:pt>
                <c:pt idx="1503">
                  <c:v>0.24037466666666671</c:v>
                </c:pt>
                <c:pt idx="1504">
                  <c:v>0.24037466666666671</c:v>
                </c:pt>
                <c:pt idx="1505">
                  <c:v>0.24037466666666671</c:v>
                </c:pt>
                <c:pt idx="1506">
                  <c:v>0.24037466666666671</c:v>
                </c:pt>
                <c:pt idx="1507">
                  <c:v>0.24037466666666671</c:v>
                </c:pt>
                <c:pt idx="1508">
                  <c:v>0.24037466666666671</c:v>
                </c:pt>
                <c:pt idx="1509">
                  <c:v>0.24037466666666671</c:v>
                </c:pt>
                <c:pt idx="1510">
                  <c:v>0.24037466666666671</c:v>
                </c:pt>
                <c:pt idx="1511">
                  <c:v>0.24037466666666671</c:v>
                </c:pt>
                <c:pt idx="1512">
                  <c:v>0.24037466666666671</c:v>
                </c:pt>
                <c:pt idx="1513">
                  <c:v>0.24037466666666671</c:v>
                </c:pt>
                <c:pt idx="1514">
                  <c:v>0.24037466666666671</c:v>
                </c:pt>
                <c:pt idx="1515">
                  <c:v>0.24037466666666671</c:v>
                </c:pt>
                <c:pt idx="1516">
                  <c:v>0.24037466666666671</c:v>
                </c:pt>
                <c:pt idx="1517">
                  <c:v>0.24037466666666671</c:v>
                </c:pt>
                <c:pt idx="1518">
                  <c:v>0.24037466666666671</c:v>
                </c:pt>
                <c:pt idx="1519">
                  <c:v>0.24037466666666671</c:v>
                </c:pt>
                <c:pt idx="1520">
                  <c:v>0.24037466666666671</c:v>
                </c:pt>
                <c:pt idx="1521">
                  <c:v>0.24037466666666671</c:v>
                </c:pt>
                <c:pt idx="1522">
                  <c:v>0.24037466666666671</c:v>
                </c:pt>
                <c:pt idx="1523">
                  <c:v>0.24037466666666671</c:v>
                </c:pt>
                <c:pt idx="1524">
                  <c:v>0.24037466666666671</c:v>
                </c:pt>
                <c:pt idx="1525">
                  <c:v>0.24037466666666671</c:v>
                </c:pt>
                <c:pt idx="1526">
                  <c:v>0.24037466666666671</c:v>
                </c:pt>
                <c:pt idx="1527">
                  <c:v>0.24037466666666671</c:v>
                </c:pt>
                <c:pt idx="1528">
                  <c:v>0.24037466666666671</c:v>
                </c:pt>
                <c:pt idx="1529">
                  <c:v>0.24037466666666671</c:v>
                </c:pt>
                <c:pt idx="1530">
                  <c:v>0.24037466666666671</c:v>
                </c:pt>
                <c:pt idx="1531">
                  <c:v>0.24037466666666671</c:v>
                </c:pt>
                <c:pt idx="1532">
                  <c:v>0.24037466666666671</c:v>
                </c:pt>
                <c:pt idx="1533">
                  <c:v>0.24037466666666671</c:v>
                </c:pt>
                <c:pt idx="1534">
                  <c:v>0.24037466666666671</c:v>
                </c:pt>
                <c:pt idx="1535">
                  <c:v>0.24037466666666671</c:v>
                </c:pt>
                <c:pt idx="1536">
                  <c:v>0.24037466666666671</c:v>
                </c:pt>
                <c:pt idx="1537">
                  <c:v>0.24037466666666671</c:v>
                </c:pt>
                <c:pt idx="1538">
                  <c:v>0.24037466666666671</c:v>
                </c:pt>
                <c:pt idx="1539">
                  <c:v>0.24037466666666671</c:v>
                </c:pt>
                <c:pt idx="1540">
                  <c:v>0.24037466666666671</c:v>
                </c:pt>
                <c:pt idx="1541">
                  <c:v>0.24037466666666671</c:v>
                </c:pt>
                <c:pt idx="1542">
                  <c:v>0.24037466666666671</c:v>
                </c:pt>
                <c:pt idx="1543">
                  <c:v>0.24037466666666671</c:v>
                </c:pt>
                <c:pt idx="1544">
                  <c:v>0.24037466666666671</c:v>
                </c:pt>
                <c:pt idx="1545">
                  <c:v>0.24037466666666671</c:v>
                </c:pt>
                <c:pt idx="1546">
                  <c:v>0.24037466666666671</c:v>
                </c:pt>
                <c:pt idx="1547">
                  <c:v>0.24037466666666671</c:v>
                </c:pt>
                <c:pt idx="1548">
                  <c:v>0.24037466666666671</c:v>
                </c:pt>
                <c:pt idx="1549">
                  <c:v>0.24037466666666671</c:v>
                </c:pt>
                <c:pt idx="1550">
                  <c:v>0.25342833333333331</c:v>
                </c:pt>
                <c:pt idx="1551">
                  <c:v>0.25342833333333331</c:v>
                </c:pt>
                <c:pt idx="1552">
                  <c:v>0.25342833333333331</c:v>
                </c:pt>
                <c:pt idx="1553">
                  <c:v>0.25342833333333331</c:v>
                </c:pt>
                <c:pt idx="1554">
                  <c:v>0.25342833333333331</c:v>
                </c:pt>
                <c:pt idx="1555">
                  <c:v>0.25342833333333331</c:v>
                </c:pt>
                <c:pt idx="1556">
                  <c:v>0.25342833333333331</c:v>
                </c:pt>
                <c:pt idx="1557">
                  <c:v>0.25342833333333331</c:v>
                </c:pt>
                <c:pt idx="1558">
                  <c:v>0.25342833333333331</c:v>
                </c:pt>
                <c:pt idx="1559">
                  <c:v>0.22568866666666665</c:v>
                </c:pt>
                <c:pt idx="1560">
                  <c:v>0.22568866666666665</c:v>
                </c:pt>
                <c:pt idx="1561">
                  <c:v>0.22568866666666665</c:v>
                </c:pt>
                <c:pt idx="1562">
                  <c:v>0.22568866666666665</c:v>
                </c:pt>
                <c:pt idx="1563">
                  <c:v>0.22568866666666665</c:v>
                </c:pt>
                <c:pt idx="1564">
                  <c:v>0.22568866666666665</c:v>
                </c:pt>
                <c:pt idx="1565">
                  <c:v>0.22568866666666665</c:v>
                </c:pt>
                <c:pt idx="1566">
                  <c:v>0.22568866666666665</c:v>
                </c:pt>
                <c:pt idx="1567">
                  <c:v>0.22568866666666665</c:v>
                </c:pt>
                <c:pt idx="1568">
                  <c:v>0.22568866666666665</c:v>
                </c:pt>
                <c:pt idx="1569">
                  <c:v>0.22568866666666665</c:v>
                </c:pt>
                <c:pt idx="1570">
                  <c:v>0.18477833333333332</c:v>
                </c:pt>
                <c:pt idx="1571">
                  <c:v>0.18477833333333332</c:v>
                </c:pt>
                <c:pt idx="1572">
                  <c:v>0.18477833333333332</c:v>
                </c:pt>
                <c:pt idx="1573">
                  <c:v>0.18477833333333332</c:v>
                </c:pt>
                <c:pt idx="1574">
                  <c:v>0.18477833333333332</c:v>
                </c:pt>
                <c:pt idx="1575">
                  <c:v>0.18477833333333332</c:v>
                </c:pt>
                <c:pt idx="1576">
                  <c:v>0.18477833333333332</c:v>
                </c:pt>
                <c:pt idx="1577">
                  <c:v>0.18477833333333332</c:v>
                </c:pt>
                <c:pt idx="1578">
                  <c:v>0.18477833333333332</c:v>
                </c:pt>
                <c:pt idx="1579">
                  <c:v>0.18477833333333332</c:v>
                </c:pt>
                <c:pt idx="1580">
                  <c:v>0.18477833333333332</c:v>
                </c:pt>
                <c:pt idx="1581">
                  <c:v>0.18477833333333332</c:v>
                </c:pt>
                <c:pt idx="1582">
                  <c:v>0.18477833333333332</c:v>
                </c:pt>
                <c:pt idx="1583">
                  <c:v>0.18477833333333332</c:v>
                </c:pt>
                <c:pt idx="1584">
                  <c:v>0.18477833333333332</c:v>
                </c:pt>
                <c:pt idx="1585">
                  <c:v>0.18477833333333332</c:v>
                </c:pt>
                <c:pt idx="1586">
                  <c:v>0.18477833333333332</c:v>
                </c:pt>
                <c:pt idx="1587">
                  <c:v>0.18477833333333332</c:v>
                </c:pt>
                <c:pt idx="1588">
                  <c:v>0.18477833333333332</c:v>
                </c:pt>
                <c:pt idx="1589">
                  <c:v>0.18477833333333332</c:v>
                </c:pt>
                <c:pt idx="1590">
                  <c:v>0.18477833333333332</c:v>
                </c:pt>
                <c:pt idx="1591">
                  <c:v>0.18477833333333332</c:v>
                </c:pt>
                <c:pt idx="1592">
                  <c:v>0.18477833333333332</c:v>
                </c:pt>
                <c:pt idx="1593">
                  <c:v>0.18477833333333332</c:v>
                </c:pt>
                <c:pt idx="1594">
                  <c:v>0.18477833333333332</c:v>
                </c:pt>
                <c:pt idx="1595">
                  <c:v>0.18477833333333332</c:v>
                </c:pt>
                <c:pt idx="1596">
                  <c:v>0.18477833333333332</c:v>
                </c:pt>
                <c:pt idx="1597">
                  <c:v>0.18477833333333332</c:v>
                </c:pt>
                <c:pt idx="1598">
                  <c:v>0.18477833333333332</c:v>
                </c:pt>
                <c:pt idx="1599">
                  <c:v>0.18477833333333332</c:v>
                </c:pt>
                <c:pt idx="1600">
                  <c:v>8.2243333333333335E-2</c:v>
                </c:pt>
                <c:pt idx="1601">
                  <c:v>8.2243333333333335E-2</c:v>
                </c:pt>
                <c:pt idx="1602">
                  <c:v>8.2243333333333335E-2</c:v>
                </c:pt>
                <c:pt idx="1603">
                  <c:v>8.2243333333333335E-2</c:v>
                </c:pt>
                <c:pt idx="1604">
                  <c:v>8.2243333333333335E-2</c:v>
                </c:pt>
                <c:pt idx="1605">
                  <c:v>8.2243333333333335E-2</c:v>
                </c:pt>
                <c:pt idx="1606">
                  <c:v>8.2243333333333335E-2</c:v>
                </c:pt>
                <c:pt idx="1607">
                  <c:v>8.2243333333333335E-2</c:v>
                </c:pt>
                <c:pt idx="1608">
                  <c:v>8.2243333333333335E-2</c:v>
                </c:pt>
                <c:pt idx="1609">
                  <c:v>8.2243333333333335E-2</c:v>
                </c:pt>
                <c:pt idx="1610">
                  <c:v>8.2243333333333335E-2</c:v>
                </c:pt>
                <c:pt idx="1611">
                  <c:v>5.1938666666666675E-2</c:v>
                </c:pt>
                <c:pt idx="1612">
                  <c:v>5.1938666666666675E-2</c:v>
                </c:pt>
                <c:pt idx="1613">
                  <c:v>5.1938666666666675E-2</c:v>
                </c:pt>
                <c:pt idx="1614">
                  <c:v>5.1938666666666675E-2</c:v>
                </c:pt>
                <c:pt idx="1615">
                  <c:v>5.1938666666666675E-2</c:v>
                </c:pt>
                <c:pt idx="1616">
                  <c:v>5.1938666666666675E-2</c:v>
                </c:pt>
                <c:pt idx="1617">
                  <c:v>5.1938666666666675E-2</c:v>
                </c:pt>
                <c:pt idx="1618">
                  <c:v>5.1938666666666675E-2</c:v>
                </c:pt>
                <c:pt idx="1619">
                  <c:v>5.1938666666666675E-2</c:v>
                </c:pt>
                <c:pt idx="1620">
                  <c:v>2.5143999999999996E-2</c:v>
                </c:pt>
                <c:pt idx="1621">
                  <c:v>2.5143999999999996E-2</c:v>
                </c:pt>
                <c:pt idx="1622">
                  <c:v>2.5143999999999996E-2</c:v>
                </c:pt>
                <c:pt idx="1623">
                  <c:v>2.5143999999999996E-2</c:v>
                </c:pt>
                <c:pt idx="1624">
                  <c:v>2.5143999999999996E-2</c:v>
                </c:pt>
                <c:pt idx="1625">
                  <c:v>2.5143999999999996E-2</c:v>
                </c:pt>
                <c:pt idx="1626">
                  <c:v>2.5143999999999996E-2</c:v>
                </c:pt>
                <c:pt idx="1627">
                  <c:v>2.5143999999999996E-2</c:v>
                </c:pt>
                <c:pt idx="1628">
                  <c:v>2.5143999999999996E-2</c:v>
                </c:pt>
                <c:pt idx="1629">
                  <c:v>2.5143999999999996E-2</c:v>
                </c:pt>
                <c:pt idx="1630">
                  <c:v>1.8381333333333333E-2</c:v>
                </c:pt>
                <c:pt idx="1631">
                  <c:v>1.8381333333333333E-2</c:v>
                </c:pt>
                <c:pt idx="1632">
                  <c:v>1.8381333333333333E-2</c:v>
                </c:pt>
                <c:pt idx="1633">
                  <c:v>1.8381333333333333E-2</c:v>
                </c:pt>
                <c:pt idx="1634">
                  <c:v>1.8381333333333333E-2</c:v>
                </c:pt>
                <c:pt idx="1635">
                  <c:v>1.8381333333333333E-2</c:v>
                </c:pt>
                <c:pt idx="1636">
                  <c:v>1.8381333333333333E-2</c:v>
                </c:pt>
                <c:pt idx="1637">
                  <c:v>1.8381333333333333E-2</c:v>
                </c:pt>
                <c:pt idx="1638">
                  <c:v>1.8381333333333333E-2</c:v>
                </c:pt>
                <c:pt idx="1639">
                  <c:v>1.8381333333333333E-2</c:v>
                </c:pt>
                <c:pt idx="1640">
                  <c:v>1.3388333333333334E-2</c:v>
                </c:pt>
                <c:pt idx="1641">
                  <c:v>1.3388333333333334E-2</c:v>
                </c:pt>
                <c:pt idx="1642">
                  <c:v>1.3388333333333334E-2</c:v>
                </c:pt>
                <c:pt idx="1643">
                  <c:v>1.3388333333333334E-2</c:v>
                </c:pt>
                <c:pt idx="1644">
                  <c:v>1.3388333333333334E-2</c:v>
                </c:pt>
                <c:pt idx="1645">
                  <c:v>1.3388333333333334E-2</c:v>
                </c:pt>
                <c:pt idx="1646">
                  <c:v>1.3388333333333334E-2</c:v>
                </c:pt>
                <c:pt idx="1647">
                  <c:v>1.3388333333333334E-2</c:v>
                </c:pt>
                <c:pt idx="1648">
                  <c:v>1.3388333333333334E-2</c:v>
                </c:pt>
                <c:pt idx="1649">
                  <c:v>1.3388333333333334E-2</c:v>
                </c:pt>
                <c:pt idx="1650">
                  <c:v>1.3388333333333334E-2</c:v>
                </c:pt>
                <c:pt idx="1651">
                  <c:v>1.3388333333333334E-2</c:v>
                </c:pt>
                <c:pt idx="1652">
                  <c:v>1.3388333333333334E-2</c:v>
                </c:pt>
                <c:pt idx="1653">
                  <c:v>1.3388333333333334E-2</c:v>
                </c:pt>
                <c:pt idx="1654">
                  <c:v>1.3388333333333334E-2</c:v>
                </c:pt>
                <c:pt idx="1655">
                  <c:v>1.3388333333333334E-2</c:v>
                </c:pt>
                <c:pt idx="1656">
                  <c:v>1.3388333333333334E-2</c:v>
                </c:pt>
                <c:pt idx="1657">
                  <c:v>1.3388333333333334E-2</c:v>
                </c:pt>
                <c:pt idx="1658">
                  <c:v>1.3388333333333334E-2</c:v>
                </c:pt>
                <c:pt idx="1659">
                  <c:v>1.3388333333333334E-2</c:v>
                </c:pt>
                <c:pt idx="1660">
                  <c:v>1.3388333333333334E-2</c:v>
                </c:pt>
                <c:pt idx="1661">
                  <c:v>1.3388333333333334E-2</c:v>
                </c:pt>
                <c:pt idx="1662">
                  <c:v>1.3388333333333334E-2</c:v>
                </c:pt>
                <c:pt idx="1663">
                  <c:v>1.3388333333333334E-2</c:v>
                </c:pt>
                <c:pt idx="1664">
                  <c:v>1.3388333333333334E-2</c:v>
                </c:pt>
                <c:pt idx="1665">
                  <c:v>1.3388333333333334E-2</c:v>
                </c:pt>
                <c:pt idx="1666">
                  <c:v>1.3388333333333334E-2</c:v>
                </c:pt>
                <c:pt idx="1667">
                  <c:v>1.3388333333333334E-2</c:v>
                </c:pt>
                <c:pt idx="1668">
                  <c:v>1.3388333333333334E-2</c:v>
                </c:pt>
                <c:pt idx="1669">
                  <c:v>1.3388333333333334E-2</c:v>
                </c:pt>
                <c:pt idx="1670">
                  <c:v>9.7922333333333333E-2</c:v>
                </c:pt>
                <c:pt idx="1671">
                  <c:v>9.7922333333333333E-2</c:v>
                </c:pt>
                <c:pt idx="1672">
                  <c:v>9.7922333333333333E-2</c:v>
                </c:pt>
                <c:pt idx="1673">
                  <c:v>9.7922333333333333E-2</c:v>
                </c:pt>
                <c:pt idx="1674">
                  <c:v>9.7922333333333333E-2</c:v>
                </c:pt>
                <c:pt idx="1675">
                  <c:v>9.7922333333333333E-2</c:v>
                </c:pt>
                <c:pt idx="1676">
                  <c:v>9.7922333333333333E-2</c:v>
                </c:pt>
                <c:pt idx="1677">
                  <c:v>9.7922333333333333E-2</c:v>
                </c:pt>
                <c:pt idx="1678">
                  <c:v>9.7922333333333333E-2</c:v>
                </c:pt>
                <c:pt idx="1679">
                  <c:v>9.7922333333333333E-2</c:v>
                </c:pt>
                <c:pt idx="1680">
                  <c:v>9.7922333333333333E-2</c:v>
                </c:pt>
                <c:pt idx="1681">
                  <c:v>0.37177033333333331</c:v>
                </c:pt>
                <c:pt idx="1682">
                  <c:v>0.37177033333333331</c:v>
                </c:pt>
                <c:pt idx="1683">
                  <c:v>0.37177033333333331</c:v>
                </c:pt>
                <c:pt idx="1684">
                  <c:v>0.37177033333333331</c:v>
                </c:pt>
                <c:pt idx="1685">
                  <c:v>0.37177033333333331</c:v>
                </c:pt>
                <c:pt idx="1686">
                  <c:v>0.37177033333333331</c:v>
                </c:pt>
                <c:pt idx="1687">
                  <c:v>0.37177033333333331</c:v>
                </c:pt>
                <c:pt idx="1688">
                  <c:v>0.37177033333333331</c:v>
                </c:pt>
                <c:pt idx="1689">
                  <c:v>0.37177033333333331</c:v>
                </c:pt>
                <c:pt idx="1690">
                  <c:v>0.49457466666666666</c:v>
                </c:pt>
                <c:pt idx="1691">
                  <c:v>0.49457466666666666</c:v>
                </c:pt>
                <c:pt idx="1692">
                  <c:v>0.49457466666666666</c:v>
                </c:pt>
                <c:pt idx="1693">
                  <c:v>0.49457466666666666</c:v>
                </c:pt>
                <c:pt idx="1694">
                  <c:v>0.49457466666666666</c:v>
                </c:pt>
                <c:pt idx="1695">
                  <c:v>0.49457466666666666</c:v>
                </c:pt>
                <c:pt idx="1696">
                  <c:v>0.49457466666666666</c:v>
                </c:pt>
                <c:pt idx="1697">
                  <c:v>0.49457466666666666</c:v>
                </c:pt>
                <c:pt idx="1698">
                  <c:v>0.49457466666666666</c:v>
                </c:pt>
                <c:pt idx="1699">
                  <c:v>0.49457466666666666</c:v>
                </c:pt>
                <c:pt idx="1700">
                  <c:v>0.49457466666666666</c:v>
                </c:pt>
                <c:pt idx="1701">
                  <c:v>0.53119366666666656</c:v>
                </c:pt>
                <c:pt idx="1702">
                  <c:v>0.53119366666666656</c:v>
                </c:pt>
                <c:pt idx="1703">
                  <c:v>0.53119366666666656</c:v>
                </c:pt>
                <c:pt idx="1704">
                  <c:v>0.53119366666666656</c:v>
                </c:pt>
                <c:pt idx="1705">
                  <c:v>0.53119366666666656</c:v>
                </c:pt>
                <c:pt idx="1706">
                  <c:v>0.53119366666666656</c:v>
                </c:pt>
                <c:pt idx="1707">
                  <c:v>0.53119366666666656</c:v>
                </c:pt>
                <c:pt idx="1708">
                  <c:v>0.53119366666666656</c:v>
                </c:pt>
                <c:pt idx="1709">
                  <c:v>0.53119366666666656</c:v>
                </c:pt>
                <c:pt idx="1710">
                  <c:v>0.53119366666666656</c:v>
                </c:pt>
                <c:pt idx="1711">
                  <c:v>0.29873833333333333</c:v>
                </c:pt>
                <c:pt idx="1712">
                  <c:v>0.29873833333333333</c:v>
                </c:pt>
                <c:pt idx="1713">
                  <c:v>0.29873833333333333</c:v>
                </c:pt>
                <c:pt idx="1714">
                  <c:v>0.29873833333333333</c:v>
                </c:pt>
                <c:pt idx="1715">
                  <c:v>0.29873833333333333</c:v>
                </c:pt>
                <c:pt idx="1716">
                  <c:v>0.29873833333333333</c:v>
                </c:pt>
                <c:pt idx="1717">
                  <c:v>0.29873833333333333</c:v>
                </c:pt>
                <c:pt idx="1718">
                  <c:v>0.29873833333333333</c:v>
                </c:pt>
                <c:pt idx="1719">
                  <c:v>0.29873833333333333</c:v>
                </c:pt>
                <c:pt idx="1720">
                  <c:v>0.29873833333333333</c:v>
                </c:pt>
                <c:pt idx="1721">
                  <c:v>0.29873833333333333</c:v>
                </c:pt>
                <c:pt idx="1722">
                  <c:v>0.29873833333333333</c:v>
                </c:pt>
                <c:pt idx="1723">
                  <c:v>0.29873833333333333</c:v>
                </c:pt>
                <c:pt idx="1724">
                  <c:v>0.29873833333333333</c:v>
                </c:pt>
                <c:pt idx="1725">
                  <c:v>0.29873833333333333</c:v>
                </c:pt>
                <c:pt idx="1726">
                  <c:v>0.29873833333333333</c:v>
                </c:pt>
                <c:pt idx="1727">
                  <c:v>0.29873833333333333</c:v>
                </c:pt>
                <c:pt idx="1728">
                  <c:v>0.29873833333333333</c:v>
                </c:pt>
                <c:pt idx="1729">
                  <c:v>0.29873833333333333</c:v>
                </c:pt>
                <c:pt idx="1730">
                  <c:v>0.29873833333333333</c:v>
                </c:pt>
                <c:pt idx="1731">
                  <c:v>0.29873833333333333</c:v>
                </c:pt>
                <c:pt idx="1732">
                  <c:v>0.29873833333333333</c:v>
                </c:pt>
                <c:pt idx="1733">
                  <c:v>0.29873833333333333</c:v>
                </c:pt>
                <c:pt idx="1734">
                  <c:v>0.29873833333333333</c:v>
                </c:pt>
                <c:pt idx="1735">
                  <c:v>0.29873833333333333</c:v>
                </c:pt>
                <c:pt idx="1736">
                  <c:v>0.29873833333333333</c:v>
                </c:pt>
                <c:pt idx="1737">
                  <c:v>0.29873833333333333</c:v>
                </c:pt>
                <c:pt idx="1738">
                  <c:v>0.29873833333333333</c:v>
                </c:pt>
                <c:pt idx="1739">
                  <c:v>0.29873833333333333</c:v>
                </c:pt>
                <c:pt idx="1740">
                  <c:v>0.14595033333333332</c:v>
                </c:pt>
                <c:pt idx="1741">
                  <c:v>0.14595033333333332</c:v>
                </c:pt>
                <c:pt idx="1742">
                  <c:v>0.14595033333333332</c:v>
                </c:pt>
                <c:pt idx="1743">
                  <c:v>0.14595033333333332</c:v>
                </c:pt>
                <c:pt idx="1744">
                  <c:v>0.14595033333333332</c:v>
                </c:pt>
                <c:pt idx="1745">
                  <c:v>0.14595033333333332</c:v>
                </c:pt>
                <c:pt idx="1746">
                  <c:v>0.14595033333333332</c:v>
                </c:pt>
                <c:pt idx="1747">
                  <c:v>0.14595033333333332</c:v>
                </c:pt>
                <c:pt idx="1748">
                  <c:v>0.14595033333333332</c:v>
                </c:pt>
                <c:pt idx="1749">
                  <c:v>0.14595033333333332</c:v>
                </c:pt>
                <c:pt idx="1750">
                  <c:v>0.12393833333333333</c:v>
                </c:pt>
                <c:pt idx="1751">
                  <c:v>0.12393833333333333</c:v>
                </c:pt>
                <c:pt idx="1752">
                  <c:v>0.12393833333333333</c:v>
                </c:pt>
                <c:pt idx="1753">
                  <c:v>0.12393833333333333</c:v>
                </c:pt>
                <c:pt idx="1754">
                  <c:v>0.12393833333333333</c:v>
                </c:pt>
                <c:pt idx="1755">
                  <c:v>0.12393833333333333</c:v>
                </c:pt>
                <c:pt idx="1756">
                  <c:v>0.12393833333333333</c:v>
                </c:pt>
                <c:pt idx="1757">
                  <c:v>0.12393833333333333</c:v>
                </c:pt>
                <c:pt idx="1758">
                  <c:v>0.12393833333333333</c:v>
                </c:pt>
                <c:pt idx="1759">
                  <c:v>0.12393833333333333</c:v>
                </c:pt>
                <c:pt idx="1760">
                  <c:v>9.1757333333333316E-2</c:v>
                </c:pt>
                <c:pt idx="1761">
                  <c:v>9.1757333333333316E-2</c:v>
                </c:pt>
                <c:pt idx="1762">
                  <c:v>9.1757333333333316E-2</c:v>
                </c:pt>
                <c:pt idx="1763">
                  <c:v>9.1757333333333316E-2</c:v>
                </c:pt>
                <c:pt idx="1764">
                  <c:v>9.1757333333333316E-2</c:v>
                </c:pt>
                <c:pt idx="1765">
                  <c:v>9.1757333333333316E-2</c:v>
                </c:pt>
                <c:pt idx="1766">
                  <c:v>9.1757333333333316E-2</c:v>
                </c:pt>
                <c:pt idx="1767">
                  <c:v>9.1757333333333316E-2</c:v>
                </c:pt>
                <c:pt idx="1768">
                  <c:v>9.1757333333333316E-2</c:v>
                </c:pt>
                <c:pt idx="1769">
                  <c:v>9.1757333333333316E-2</c:v>
                </c:pt>
                <c:pt idx="1770">
                  <c:v>9.1757333333333316E-2</c:v>
                </c:pt>
                <c:pt idx="1771">
                  <c:v>8.1131900000000007E-2</c:v>
                </c:pt>
                <c:pt idx="1772">
                  <c:v>8.1131900000000007E-2</c:v>
                </c:pt>
                <c:pt idx="1773">
                  <c:v>8.1131900000000007E-2</c:v>
                </c:pt>
                <c:pt idx="1774">
                  <c:v>8.1131900000000007E-2</c:v>
                </c:pt>
                <c:pt idx="1775">
                  <c:v>8.1131900000000007E-2</c:v>
                </c:pt>
                <c:pt idx="1776">
                  <c:v>8.1131900000000007E-2</c:v>
                </c:pt>
                <c:pt idx="1777">
                  <c:v>8.1131900000000007E-2</c:v>
                </c:pt>
                <c:pt idx="1778">
                  <c:v>8.1131900000000007E-2</c:v>
                </c:pt>
                <c:pt idx="1779">
                  <c:v>8.1131900000000007E-2</c:v>
                </c:pt>
                <c:pt idx="1780">
                  <c:v>6.6985666666666666E-2</c:v>
                </c:pt>
                <c:pt idx="1781">
                  <c:v>6.6985666666666666E-2</c:v>
                </c:pt>
                <c:pt idx="1782">
                  <c:v>6.6985666666666666E-2</c:v>
                </c:pt>
                <c:pt idx="1783">
                  <c:v>6.6985666666666666E-2</c:v>
                </c:pt>
                <c:pt idx="1784">
                  <c:v>6.6985666666666666E-2</c:v>
                </c:pt>
                <c:pt idx="1785">
                  <c:v>6.6985666666666666E-2</c:v>
                </c:pt>
                <c:pt idx="1786">
                  <c:v>6.6985666666666666E-2</c:v>
                </c:pt>
                <c:pt idx="1787">
                  <c:v>6.6985666666666666E-2</c:v>
                </c:pt>
                <c:pt idx="1788">
                  <c:v>6.6985666666666666E-2</c:v>
                </c:pt>
                <c:pt idx="1789">
                  <c:v>6.6985666666666666E-2</c:v>
                </c:pt>
                <c:pt idx="1790">
                  <c:v>6.6985666666666666E-2</c:v>
                </c:pt>
                <c:pt idx="1791">
                  <c:v>6.6985666666666666E-2</c:v>
                </c:pt>
                <c:pt idx="1792">
                  <c:v>6.6985666666666666E-2</c:v>
                </c:pt>
                <c:pt idx="1793">
                  <c:v>6.6985666666666666E-2</c:v>
                </c:pt>
                <c:pt idx="1794">
                  <c:v>6.6985666666666666E-2</c:v>
                </c:pt>
                <c:pt idx="1795">
                  <c:v>6.6985666666666666E-2</c:v>
                </c:pt>
                <c:pt idx="1796">
                  <c:v>6.6985666666666666E-2</c:v>
                </c:pt>
                <c:pt idx="1797">
                  <c:v>6.6985666666666666E-2</c:v>
                </c:pt>
                <c:pt idx="1798">
                  <c:v>6.6985666666666666E-2</c:v>
                </c:pt>
                <c:pt idx="1799">
                  <c:v>6.6985666666666666E-2</c:v>
                </c:pt>
                <c:pt idx="1800">
                  <c:v>6.6985666666666666E-2</c:v>
                </c:pt>
                <c:pt idx="1801">
                  <c:v>6.6985666666666666E-2</c:v>
                </c:pt>
                <c:pt idx="1802">
                  <c:v>6.6985666666666666E-2</c:v>
                </c:pt>
                <c:pt idx="1803">
                  <c:v>6.6985666666666666E-2</c:v>
                </c:pt>
                <c:pt idx="1804">
                  <c:v>6.6985666666666666E-2</c:v>
                </c:pt>
                <c:pt idx="1805">
                  <c:v>6.6985666666666666E-2</c:v>
                </c:pt>
                <c:pt idx="1806">
                  <c:v>6.6985666666666666E-2</c:v>
                </c:pt>
                <c:pt idx="1807">
                  <c:v>6.6985666666666666E-2</c:v>
                </c:pt>
                <c:pt idx="1808">
                  <c:v>6.6985666666666666E-2</c:v>
                </c:pt>
                <c:pt idx="1809">
                  <c:v>6.6985666666666666E-2</c:v>
                </c:pt>
                <c:pt idx="1810">
                  <c:v>4.9340333333333326E-2</c:v>
                </c:pt>
                <c:pt idx="1811">
                  <c:v>4.9340333333333326E-2</c:v>
                </c:pt>
                <c:pt idx="1812">
                  <c:v>4.9340333333333326E-2</c:v>
                </c:pt>
                <c:pt idx="1813">
                  <c:v>4.9340333333333326E-2</c:v>
                </c:pt>
                <c:pt idx="1814">
                  <c:v>4.9340333333333326E-2</c:v>
                </c:pt>
                <c:pt idx="1815">
                  <c:v>4.9340333333333326E-2</c:v>
                </c:pt>
                <c:pt idx="1816">
                  <c:v>4.9340333333333326E-2</c:v>
                </c:pt>
                <c:pt idx="1817">
                  <c:v>4.9340333333333326E-2</c:v>
                </c:pt>
                <c:pt idx="1818">
                  <c:v>4.9340333333333326E-2</c:v>
                </c:pt>
                <c:pt idx="1819">
                  <c:v>4.9340333333333326E-2</c:v>
                </c:pt>
                <c:pt idx="1820">
                  <c:v>5.4185666666666667E-2</c:v>
                </c:pt>
                <c:pt idx="1821">
                  <c:v>5.4185666666666667E-2</c:v>
                </c:pt>
                <c:pt idx="1822">
                  <c:v>5.4185666666666667E-2</c:v>
                </c:pt>
                <c:pt idx="1823">
                  <c:v>5.4185666666666667E-2</c:v>
                </c:pt>
                <c:pt idx="1824">
                  <c:v>5.4185666666666667E-2</c:v>
                </c:pt>
                <c:pt idx="1825">
                  <c:v>5.4185666666666667E-2</c:v>
                </c:pt>
                <c:pt idx="1826">
                  <c:v>5.4185666666666667E-2</c:v>
                </c:pt>
                <c:pt idx="1827">
                  <c:v>5.4185666666666667E-2</c:v>
                </c:pt>
                <c:pt idx="1828">
                  <c:v>5.4185666666666667E-2</c:v>
                </c:pt>
                <c:pt idx="1829">
                  <c:v>5.4185666666666667E-2</c:v>
                </c:pt>
                <c:pt idx="1830">
                  <c:v>4.0443666666666669E-2</c:v>
                </c:pt>
                <c:pt idx="1831">
                  <c:v>4.0443666666666669E-2</c:v>
                </c:pt>
                <c:pt idx="1832">
                  <c:v>4.0443666666666669E-2</c:v>
                </c:pt>
                <c:pt idx="1833">
                  <c:v>4.0443666666666669E-2</c:v>
                </c:pt>
                <c:pt idx="1834">
                  <c:v>4.0443666666666669E-2</c:v>
                </c:pt>
                <c:pt idx="1835">
                  <c:v>4.0443666666666669E-2</c:v>
                </c:pt>
                <c:pt idx="1836">
                  <c:v>4.0443666666666669E-2</c:v>
                </c:pt>
                <c:pt idx="1837">
                  <c:v>4.0443666666666669E-2</c:v>
                </c:pt>
                <c:pt idx="1838">
                  <c:v>4.0443666666666669E-2</c:v>
                </c:pt>
                <c:pt idx="1839">
                  <c:v>4.0443666666666669E-2</c:v>
                </c:pt>
                <c:pt idx="1840">
                  <c:v>4.0443666666666669E-2</c:v>
                </c:pt>
                <c:pt idx="1841">
                  <c:v>3.7964333333333336E-2</c:v>
                </c:pt>
                <c:pt idx="1842">
                  <c:v>3.7964333333333336E-2</c:v>
                </c:pt>
                <c:pt idx="1843">
                  <c:v>3.7964333333333336E-2</c:v>
                </c:pt>
                <c:pt idx="1844">
                  <c:v>3.7964333333333336E-2</c:v>
                </c:pt>
                <c:pt idx="1845">
                  <c:v>3.7964333333333336E-2</c:v>
                </c:pt>
                <c:pt idx="1846">
                  <c:v>3.7964333333333336E-2</c:v>
                </c:pt>
                <c:pt idx="1847">
                  <c:v>3.7964333333333336E-2</c:v>
                </c:pt>
                <c:pt idx="1848">
                  <c:v>3.7964333333333336E-2</c:v>
                </c:pt>
                <c:pt idx="1849">
                  <c:v>3.7964333333333336E-2</c:v>
                </c:pt>
                <c:pt idx="1850">
                  <c:v>3.2489000000000004E-2</c:v>
                </c:pt>
                <c:pt idx="1851">
                  <c:v>3.2489000000000004E-2</c:v>
                </c:pt>
                <c:pt idx="1852">
                  <c:v>3.2489000000000004E-2</c:v>
                </c:pt>
                <c:pt idx="1853">
                  <c:v>3.2489000000000004E-2</c:v>
                </c:pt>
                <c:pt idx="1854">
                  <c:v>3.2489000000000004E-2</c:v>
                </c:pt>
                <c:pt idx="1855">
                  <c:v>3.2489000000000004E-2</c:v>
                </c:pt>
                <c:pt idx="1856">
                  <c:v>3.2489000000000004E-2</c:v>
                </c:pt>
                <c:pt idx="1857">
                  <c:v>3.2489000000000004E-2</c:v>
                </c:pt>
                <c:pt idx="1858">
                  <c:v>3.2489000000000004E-2</c:v>
                </c:pt>
                <c:pt idx="1859">
                  <c:v>3.2489000000000004E-2</c:v>
                </c:pt>
                <c:pt idx="1860">
                  <c:v>3.2489000000000004E-2</c:v>
                </c:pt>
                <c:pt idx="1861">
                  <c:v>3.2489000000000004E-2</c:v>
                </c:pt>
                <c:pt idx="1862">
                  <c:v>3.2489000000000004E-2</c:v>
                </c:pt>
                <c:pt idx="1863">
                  <c:v>3.2489000000000004E-2</c:v>
                </c:pt>
                <c:pt idx="1864">
                  <c:v>3.2489000000000004E-2</c:v>
                </c:pt>
                <c:pt idx="1865">
                  <c:v>3.2489000000000004E-2</c:v>
                </c:pt>
                <c:pt idx="1866">
                  <c:v>3.2489000000000004E-2</c:v>
                </c:pt>
                <c:pt idx="1867">
                  <c:v>3.2489000000000004E-2</c:v>
                </c:pt>
                <c:pt idx="1868">
                  <c:v>3.2489000000000004E-2</c:v>
                </c:pt>
                <c:pt idx="1869">
                  <c:v>3.2489000000000004E-2</c:v>
                </c:pt>
                <c:pt idx="1870">
                  <c:v>3.2489000000000004E-2</c:v>
                </c:pt>
                <c:pt idx="1871">
                  <c:v>3.2489000000000004E-2</c:v>
                </c:pt>
                <c:pt idx="1872">
                  <c:v>3.2489000000000004E-2</c:v>
                </c:pt>
                <c:pt idx="1873">
                  <c:v>3.2489000000000004E-2</c:v>
                </c:pt>
                <c:pt idx="1874">
                  <c:v>3.2489000000000004E-2</c:v>
                </c:pt>
                <c:pt idx="1875">
                  <c:v>3.2489000000000004E-2</c:v>
                </c:pt>
                <c:pt idx="1876">
                  <c:v>3.2489000000000004E-2</c:v>
                </c:pt>
                <c:pt idx="1877">
                  <c:v>3.2489000000000004E-2</c:v>
                </c:pt>
                <c:pt idx="1878">
                  <c:v>3.2489000000000004E-2</c:v>
                </c:pt>
                <c:pt idx="1879">
                  <c:v>3.172033333333333E-2</c:v>
                </c:pt>
                <c:pt idx="1880">
                  <c:v>3.172033333333333E-2</c:v>
                </c:pt>
                <c:pt idx="1881">
                  <c:v>3.172033333333333E-2</c:v>
                </c:pt>
                <c:pt idx="1882">
                  <c:v>3.172033333333333E-2</c:v>
                </c:pt>
                <c:pt idx="1883">
                  <c:v>3.172033333333333E-2</c:v>
                </c:pt>
                <c:pt idx="1884">
                  <c:v>3.172033333333333E-2</c:v>
                </c:pt>
                <c:pt idx="1885">
                  <c:v>3.172033333333333E-2</c:v>
                </c:pt>
                <c:pt idx="1886">
                  <c:v>3.172033333333333E-2</c:v>
                </c:pt>
                <c:pt idx="1887">
                  <c:v>3.172033333333333E-2</c:v>
                </c:pt>
                <c:pt idx="1888">
                  <c:v>3.172033333333333E-2</c:v>
                </c:pt>
                <c:pt idx="1889">
                  <c:v>3.172033333333333E-2</c:v>
                </c:pt>
                <c:pt idx="1890">
                  <c:v>3.5070333333333335E-2</c:v>
                </c:pt>
                <c:pt idx="1891">
                  <c:v>3.5070333333333335E-2</c:v>
                </c:pt>
                <c:pt idx="1892">
                  <c:v>3.5070333333333335E-2</c:v>
                </c:pt>
                <c:pt idx="1893">
                  <c:v>3.5070333333333335E-2</c:v>
                </c:pt>
                <c:pt idx="1894">
                  <c:v>3.5070333333333335E-2</c:v>
                </c:pt>
                <c:pt idx="1895">
                  <c:v>3.5070333333333335E-2</c:v>
                </c:pt>
                <c:pt idx="1896">
                  <c:v>3.5070333333333335E-2</c:v>
                </c:pt>
                <c:pt idx="1897">
                  <c:v>3.5070333333333335E-2</c:v>
                </c:pt>
                <c:pt idx="1898">
                  <c:v>3.5070333333333335E-2</c:v>
                </c:pt>
                <c:pt idx="1899">
                  <c:v>3.5070333333333335E-2</c:v>
                </c:pt>
                <c:pt idx="1900">
                  <c:v>2.9022000000000003E-2</c:v>
                </c:pt>
                <c:pt idx="1901">
                  <c:v>2.9022000000000003E-2</c:v>
                </c:pt>
                <c:pt idx="1902">
                  <c:v>2.9022000000000003E-2</c:v>
                </c:pt>
                <c:pt idx="1903">
                  <c:v>2.9022000000000003E-2</c:v>
                </c:pt>
                <c:pt idx="1904">
                  <c:v>2.9022000000000003E-2</c:v>
                </c:pt>
                <c:pt idx="1905">
                  <c:v>2.9022000000000003E-2</c:v>
                </c:pt>
                <c:pt idx="1906">
                  <c:v>2.9022000000000003E-2</c:v>
                </c:pt>
                <c:pt idx="1907">
                  <c:v>2.9022000000000003E-2</c:v>
                </c:pt>
                <c:pt idx="1908">
                  <c:v>2.9022000000000003E-2</c:v>
                </c:pt>
                <c:pt idx="1909">
                  <c:v>2.9022000000000003E-2</c:v>
                </c:pt>
                <c:pt idx="1910">
                  <c:v>3.0977333333333336E-2</c:v>
                </c:pt>
                <c:pt idx="1911">
                  <c:v>3.0977333333333336E-2</c:v>
                </c:pt>
                <c:pt idx="1912">
                  <c:v>3.0977333333333336E-2</c:v>
                </c:pt>
                <c:pt idx="1913">
                  <c:v>3.0977333333333336E-2</c:v>
                </c:pt>
                <c:pt idx="1914">
                  <c:v>3.0977333333333336E-2</c:v>
                </c:pt>
                <c:pt idx="1915">
                  <c:v>3.0977333333333336E-2</c:v>
                </c:pt>
                <c:pt idx="1916">
                  <c:v>3.0977333333333336E-2</c:v>
                </c:pt>
                <c:pt idx="1917">
                  <c:v>3.0977333333333336E-2</c:v>
                </c:pt>
                <c:pt idx="1918">
                  <c:v>3.0977333333333336E-2</c:v>
                </c:pt>
                <c:pt idx="1919">
                  <c:v>3.0977333333333336E-2</c:v>
                </c:pt>
                <c:pt idx="1920">
                  <c:v>2.2943666666666664E-2</c:v>
                </c:pt>
                <c:pt idx="1921">
                  <c:v>2.2943666666666664E-2</c:v>
                </c:pt>
                <c:pt idx="1922">
                  <c:v>2.2943666666666664E-2</c:v>
                </c:pt>
                <c:pt idx="1923">
                  <c:v>2.2943666666666664E-2</c:v>
                </c:pt>
                <c:pt idx="1924">
                  <c:v>2.2943666666666664E-2</c:v>
                </c:pt>
                <c:pt idx="1925">
                  <c:v>2.2943666666666664E-2</c:v>
                </c:pt>
                <c:pt idx="1926">
                  <c:v>2.2943666666666664E-2</c:v>
                </c:pt>
                <c:pt idx="1927">
                  <c:v>2.2943666666666664E-2</c:v>
                </c:pt>
                <c:pt idx="1928">
                  <c:v>2.2943666666666664E-2</c:v>
                </c:pt>
                <c:pt idx="1929">
                  <c:v>2.2943666666666664E-2</c:v>
                </c:pt>
                <c:pt idx="1930">
                  <c:v>2.2943666666666664E-2</c:v>
                </c:pt>
                <c:pt idx="1931">
                  <c:v>2.2943666666666664E-2</c:v>
                </c:pt>
                <c:pt idx="1932">
                  <c:v>2.2943666666666664E-2</c:v>
                </c:pt>
                <c:pt idx="1933">
                  <c:v>2.2943666666666664E-2</c:v>
                </c:pt>
                <c:pt idx="1934">
                  <c:v>2.2943666666666664E-2</c:v>
                </c:pt>
                <c:pt idx="1935">
                  <c:v>2.2943666666666664E-2</c:v>
                </c:pt>
                <c:pt idx="1936">
                  <c:v>2.2943666666666664E-2</c:v>
                </c:pt>
                <c:pt idx="1937">
                  <c:v>2.2943666666666664E-2</c:v>
                </c:pt>
                <c:pt idx="1938">
                  <c:v>2.2943666666666664E-2</c:v>
                </c:pt>
                <c:pt idx="1939">
                  <c:v>2.2943666666666664E-2</c:v>
                </c:pt>
                <c:pt idx="1940">
                  <c:v>2.2943666666666664E-2</c:v>
                </c:pt>
                <c:pt idx="1941">
                  <c:v>2.2943666666666664E-2</c:v>
                </c:pt>
                <c:pt idx="1942">
                  <c:v>2.2943666666666664E-2</c:v>
                </c:pt>
                <c:pt idx="1943">
                  <c:v>2.2943666666666664E-2</c:v>
                </c:pt>
                <c:pt idx="1944">
                  <c:v>2.2943666666666664E-2</c:v>
                </c:pt>
                <c:pt idx="1945">
                  <c:v>2.2943666666666664E-2</c:v>
                </c:pt>
                <c:pt idx="1946">
                  <c:v>2.2943666666666664E-2</c:v>
                </c:pt>
                <c:pt idx="1947">
                  <c:v>2.2943666666666664E-2</c:v>
                </c:pt>
                <c:pt idx="1948">
                  <c:v>2.2943666666666664E-2</c:v>
                </c:pt>
                <c:pt idx="1949">
                  <c:v>2.2943666666666664E-2</c:v>
                </c:pt>
                <c:pt idx="1950">
                  <c:v>1.2428333333333333E-2</c:v>
                </c:pt>
                <c:pt idx="1951">
                  <c:v>1.2428333333333333E-2</c:v>
                </c:pt>
                <c:pt idx="1952">
                  <c:v>1.2428333333333333E-2</c:v>
                </c:pt>
                <c:pt idx="1953">
                  <c:v>1.2428333333333333E-2</c:v>
                </c:pt>
                <c:pt idx="1954">
                  <c:v>1.2428333333333333E-2</c:v>
                </c:pt>
                <c:pt idx="1955">
                  <c:v>1.2428333333333333E-2</c:v>
                </c:pt>
                <c:pt idx="1956">
                  <c:v>1.2428333333333333E-2</c:v>
                </c:pt>
                <c:pt idx="1957">
                  <c:v>1.2428333333333333E-2</c:v>
                </c:pt>
                <c:pt idx="1958">
                  <c:v>1.2428333333333333E-2</c:v>
                </c:pt>
                <c:pt idx="1959">
                  <c:v>1.2428333333333333E-2</c:v>
                </c:pt>
                <c:pt idx="1960">
                  <c:v>1.2428333333333333E-2</c:v>
                </c:pt>
                <c:pt idx="1961">
                  <c:v>1.8589666666666668E-2</c:v>
                </c:pt>
                <c:pt idx="1962">
                  <c:v>1.8589666666666668E-2</c:v>
                </c:pt>
                <c:pt idx="1963">
                  <c:v>1.8589666666666668E-2</c:v>
                </c:pt>
                <c:pt idx="1964">
                  <c:v>1.8589666666666668E-2</c:v>
                </c:pt>
                <c:pt idx="1965">
                  <c:v>1.8589666666666668E-2</c:v>
                </c:pt>
                <c:pt idx="1966">
                  <c:v>1.8589666666666668E-2</c:v>
                </c:pt>
                <c:pt idx="1967">
                  <c:v>1.8589666666666668E-2</c:v>
                </c:pt>
                <c:pt idx="1968">
                  <c:v>1.8589666666666668E-2</c:v>
                </c:pt>
                <c:pt idx="1969">
                  <c:v>1.8589666666666668E-2</c:v>
                </c:pt>
                <c:pt idx="1970">
                  <c:v>1.8589666666666668E-2</c:v>
                </c:pt>
                <c:pt idx="1971">
                  <c:v>3.5208666666666666E-2</c:v>
                </c:pt>
                <c:pt idx="1972">
                  <c:v>3.5208666666666666E-2</c:v>
                </c:pt>
                <c:pt idx="1973">
                  <c:v>3.5208666666666666E-2</c:v>
                </c:pt>
                <c:pt idx="1974">
                  <c:v>3.5208666666666666E-2</c:v>
                </c:pt>
                <c:pt idx="1975">
                  <c:v>3.5208666666666666E-2</c:v>
                </c:pt>
                <c:pt idx="1976">
                  <c:v>3.5208666666666666E-2</c:v>
                </c:pt>
                <c:pt idx="1977">
                  <c:v>3.5208666666666666E-2</c:v>
                </c:pt>
                <c:pt idx="1978">
                  <c:v>3.5208666666666666E-2</c:v>
                </c:pt>
                <c:pt idx="1979">
                  <c:v>3.5208666666666666E-2</c:v>
                </c:pt>
                <c:pt idx="1980">
                  <c:v>3.5208666666666666E-2</c:v>
                </c:pt>
                <c:pt idx="1981">
                  <c:v>3.5208666666666666E-2</c:v>
                </c:pt>
                <c:pt idx="1982">
                  <c:v>3.5208666666666666E-2</c:v>
                </c:pt>
                <c:pt idx="1983">
                  <c:v>3.5208666666666666E-2</c:v>
                </c:pt>
                <c:pt idx="1984">
                  <c:v>3.5208666666666666E-2</c:v>
                </c:pt>
                <c:pt idx="1985">
                  <c:v>3.5208666666666666E-2</c:v>
                </c:pt>
                <c:pt idx="1986">
                  <c:v>3.5208666666666666E-2</c:v>
                </c:pt>
                <c:pt idx="1987">
                  <c:v>3.5208666666666666E-2</c:v>
                </c:pt>
                <c:pt idx="1988">
                  <c:v>3.5208666666666666E-2</c:v>
                </c:pt>
                <c:pt idx="1989">
                  <c:v>3.5208666666666666E-2</c:v>
                </c:pt>
                <c:pt idx="1990">
                  <c:v>3.5208666666666666E-2</c:v>
                </c:pt>
                <c:pt idx="1991">
                  <c:v>3.5208666666666666E-2</c:v>
                </c:pt>
                <c:pt idx="1992">
                  <c:v>3.5208666666666666E-2</c:v>
                </c:pt>
                <c:pt idx="1993">
                  <c:v>3.5208666666666666E-2</c:v>
                </c:pt>
                <c:pt idx="1994">
                  <c:v>3.5208666666666666E-2</c:v>
                </c:pt>
                <c:pt idx="1995">
                  <c:v>3.5208666666666666E-2</c:v>
                </c:pt>
                <c:pt idx="1996">
                  <c:v>3.5208666666666666E-2</c:v>
                </c:pt>
                <c:pt idx="1997">
                  <c:v>3.5208666666666666E-2</c:v>
                </c:pt>
                <c:pt idx="1998">
                  <c:v>3.5208666666666666E-2</c:v>
                </c:pt>
                <c:pt idx="1999">
                  <c:v>3.5208666666666666E-2</c:v>
                </c:pt>
                <c:pt idx="2000">
                  <c:v>3.5208666666666666E-2</c:v>
                </c:pt>
                <c:pt idx="2001">
                  <c:v>3.5208666666666666E-2</c:v>
                </c:pt>
                <c:pt idx="2002">
                  <c:v>3.5208666666666666E-2</c:v>
                </c:pt>
                <c:pt idx="2003">
                  <c:v>3.5208666666666666E-2</c:v>
                </c:pt>
                <c:pt idx="2004">
                  <c:v>3.5208666666666666E-2</c:v>
                </c:pt>
                <c:pt idx="2005">
                  <c:v>3.5208666666666666E-2</c:v>
                </c:pt>
                <c:pt idx="2006">
                  <c:v>3.5208666666666666E-2</c:v>
                </c:pt>
                <c:pt idx="2007">
                  <c:v>3.5208666666666666E-2</c:v>
                </c:pt>
                <c:pt idx="2008">
                  <c:v>3.5208666666666666E-2</c:v>
                </c:pt>
                <c:pt idx="2009">
                  <c:v>3.5208666666666666E-2</c:v>
                </c:pt>
                <c:pt idx="2010">
                  <c:v>3.5208666666666666E-2</c:v>
                </c:pt>
                <c:pt idx="2011">
                  <c:v>3.5208666666666666E-2</c:v>
                </c:pt>
                <c:pt idx="2012">
                  <c:v>3.5208666666666666E-2</c:v>
                </c:pt>
                <c:pt idx="2013">
                  <c:v>3.5208666666666666E-2</c:v>
                </c:pt>
                <c:pt idx="2014">
                  <c:v>3.5208666666666666E-2</c:v>
                </c:pt>
                <c:pt idx="2015">
                  <c:v>3.5208666666666666E-2</c:v>
                </c:pt>
                <c:pt idx="2016">
                  <c:v>3.5208666666666666E-2</c:v>
                </c:pt>
                <c:pt idx="2017">
                  <c:v>3.5208666666666666E-2</c:v>
                </c:pt>
                <c:pt idx="2018">
                  <c:v>3.5208666666666666E-2</c:v>
                </c:pt>
                <c:pt idx="2019">
                  <c:v>3.5208666666666666E-2</c:v>
                </c:pt>
                <c:pt idx="2020">
                  <c:v>3.5208666666666666E-2</c:v>
                </c:pt>
                <c:pt idx="2021">
                  <c:v>4.393933333333333E-2</c:v>
                </c:pt>
                <c:pt idx="2022">
                  <c:v>4.393933333333333E-2</c:v>
                </c:pt>
                <c:pt idx="2023">
                  <c:v>4.393933333333333E-2</c:v>
                </c:pt>
                <c:pt idx="2024">
                  <c:v>4.393933333333333E-2</c:v>
                </c:pt>
                <c:pt idx="2025">
                  <c:v>4.393933333333333E-2</c:v>
                </c:pt>
                <c:pt idx="2026">
                  <c:v>4.393933333333333E-2</c:v>
                </c:pt>
                <c:pt idx="2027">
                  <c:v>4.393933333333333E-2</c:v>
                </c:pt>
                <c:pt idx="2028">
                  <c:v>4.393933333333333E-2</c:v>
                </c:pt>
                <c:pt idx="2029">
                  <c:v>4.393933333333333E-2</c:v>
                </c:pt>
                <c:pt idx="2030">
                  <c:v>4.7375333333333332E-2</c:v>
                </c:pt>
                <c:pt idx="2031">
                  <c:v>4.7375333333333332E-2</c:v>
                </c:pt>
                <c:pt idx="2032">
                  <c:v>4.7375333333333332E-2</c:v>
                </c:pt>
                <c:pt idx="2033">
                  <c:v>4.7375333333333332E-2</c:v>
                </c:pt>
                <c:pt idx="2034">
                  <c:v>4.7375333333333332E-2</c:v>
                </c:pt>
                <c:pt idx="2035">
                  <c:v>4.7375333333333332E-2</c:v>
                </c:pt>
                <c:pt idx="2036">
                  <c:v>4.7375333333333332E-2</c:v>
                </c:pt>
                <c:pt idx="2037">
                  <c:v>4.7375333333333332E-2</c:v>
                </c:pt>
                <c:pt idx="2038">
                  <c:v>4.7375333333333332E-2</c:v>
                </c:pt>
                <c:pt idx="2039">
                  <c:v>4.7375333333333332E-2</c:v>
                </c:pt>
                <c:pt idx="2040">
                  <c:v>4.7375333333333332E-2</c:v>
                </c:pt>
                <c:pt idx="2041">
                  <c:v>4.7375333333333332E-2</c:v>
                </c:pt>
                <c:pt idx="2042">
                  <c:v>4.7375333333333332E-2</c:v>
                </c:pt>
                <c:pt idx="2043">
                  <c:v>4.7375333333333332E-2</c:v>
                </c:pt>
                <c:pt idx="2044">
                  <c:v>4.7375333333333332E-2</c:v>
                </c:pt>
                <c:pt idx="2045">
                  <c:v>4.7375333333333332E-2</c:v>
                </c:pt>
                <c:pt idx="2046">
                  <c:v>4.7375333333333332E-2</c:v>
                </c:pt>
                <c:pt idx="2047">
                  <c:v>4.7375333333333332E-2</c:v>
                </c:pt>
                <c:pt idx="2048">
                  <c:v>4.7375333333333332E-2</c:v>
                </c:pt>
                <c:pt idx="2049">
                  <c:v>4.7375333333333332E-2</c:v>
                </c:pt>
                <c:pt idx="2050">
                  <c:v>4.3424666666666667E-2</c:v>
                </c:pt>
                <c:pt idx="2051">
                  <c:v>4.3424666666666667E-2</c:v>
                </c:pt>
                <c:pt idx="2052">
                  <c:v>4.3424666666666667E-2</c:v>
                </c:pt>
                <c:pt idx="2053">
                  <c:v>4.3424666666666667E-2</c:v>
                </c:pt>
                <c:pt idx="2054">
                  <c:v>4.3424666666666667E-2</c:v>
                </c:pt>
                <c:pt idx="2055">
                  <c:v>4.3424666666666667E-2</c:v>
                </c:pt>
                <c:pt idx="2056">
                  <c:v>4.3424666666666667E-2</c:v>
                </c:pt>
                <c:pt idx="2057">
                  <c:v>4.3424666666666667E-2</c:v>
                </c:pt>
                <c:pt idx="2058">
                  <c:v>4.3424666666666667E-2</c:v>
                </c:pt>
                <c:pt idx="2059">
                  <c:v>4.3424666666666667E-2</c:v>
                </c:pt>
                <c:pt idx="2060">
                  <c:v>1.2500666666666667E-2</c:v>
                </c:pt>
                <c:pt idx="2061">
                  <c:v>1.2500666666666667E-2</c:v>
                </c:pt>
                <c:pt idx="2062">
                  <c:v>1.2500666666666667E-2</c:v>
                </c:pt>
                <c:pt idx="2063">
                  <c:v>1.2500666666666667E-2</c:v>
                </c:pt>
                <c:pt idx="2064">
                  <c:v>1.2500666666666667E-2</c:v>
                </c:pt>
                <c:pt idx="2065">
                  <c:v>1.2500666666666667E-2</c:v>
                </c:pt>
                <c:pt idx="2066">
                  <c:v>1.2500666666666667E-2</c:v>
                </c:pt>
                <c:pt idx="2067">
                  <c:v>1.2500666666666667E-2</c:v>
                </c:pt>
                <c:pt idx="2068">
                  <c:v>1.2500666666666667E-2</c:v>
                </c:pt>
                <c:pt idx="2069">
                  <c:v>1.2500666666666667E-2</c:v>
                </c:pt>
                <c:pt idx="2070">
                  <c:v>1.2500666666666667E-2</c:v>
                </c:pt>
                <c:pt idx="2071">
                  <c:v>1.2500666666666667E-2</c:v>
                </c:pt>
                <c:pt idx="2072">
                  <c:v>1.2500666666666667E-2</c:v>
                </c:pt>
                <c:pt idx="2073">
                  <c:v>1.2500666666666667E-2</c:v>
                </c:pt>
                <c:pt idx="2074">
                  <c:v>1.2500666666666667E-2</c:v>
                </c:pt>
                <c:pt idx="2075">
                  <c:v>1.2500666666666667E-2</c:v>
                </c:pt>
                <c:pt idx="2076">
                  <c:v>1.2500666666666667E-2</c:v>
                </c:pt>
                <c:pt idx="2077">
                  <c:v>1.2500666666666667E-2</c:v>
                </c:pt>
                <c:pt idx="2078">
                  <c:v>1.2500666666666667E-2</c:v>
                </c:pt>
                <c:pt idx="2079">
                  <c:v>1.2500666666666667E-2</c:v>
                </c:pt>
                <c:pt idx="2080">
                  <c:v>1.2500666666666667E-2</c:v>
                </c:pt>
                <c:pt idx="2081">
                  <c:v>1.2500666666666667E-2</c:v>
                </c:pt>
                <c:pt idx="2082">
                  <c:v>1.2500666666666667E-2</c:v>
                </c:pt>
                <c:pt idx="2083">
                  <c:v>1.2500666666666667E-2</c:v>
                </c:pt>
                <c:pt idx="2084">
                  <c:v>1.2500666666666667E-2</c:v>
                </c:pt>
                <c:pt idx="2085">
                  <c:v>1.2500666666666667E-2</c:v>
                </c:pt>
                <c:pt idx="2086">
                  <c:v>1.2500666666666667E-2</c:v>
                </c:pt>
                <c:pt idx="2087">
                  <c:v>1.2500666666666667E-2</c:v>
                </c:pt>
                <c:pt idx="2088">
                  <c:v>1.2500666666666667E-2</c:v>
                </c:pt>
                <c:pt idx="2089">
                  <c:v>1.2500666666666667E-2</c:v>
                </c:pt>
                <c:pt idx="2090">
                  <c:v>3.9670999999999998E-2</c:v>
                </c:pt>
                <c:pt idx="2091">
                  <c:v>3.9670999999999998E-2</c:v>
                </c:pt>
                <c:pt idx="2092">
                  <c:v>3.9670999999999998E-2</c:v>
                </c:pt>
                <c:pt idx="2093">
                  <c:v>3.9670999999999998E-2</c:v>
                </c:pt>
                <c:pt idx="2094">
                  <c:v>3.9670999999999998E-2</c:v>
                </c:pt>
                <c:pt idx="2095">
                  <c:v>3.9670999999999998E-2</c:v>
                </c:pt>
                <c:pt idx="2096">
                  <c:v>3.9670999999999998E-2</c:v>
                </c:pt>
                <c:pt idx="2097">
                  <c:v>3.9670999999999998E-2</c:v>
                </c:pt>
                <c:pt idx="2098">
                  <c:v>3.9670999999999998E-2</c:v>
                </c:pt>
                <c:pt idx="2099">
                  <c:v>3.9670999999999998E-2</c:v>
                </c:pt>
                <c:pt idx="2100">
                  <c:v>3.9670999999999998E-2</c:v>
                </c:pt>
                <c:pt idx="2101">
                  <c:v>3.9670999999999998E-2</c:v>
                </c:pt>
                <c:pt idx="2102">
                  <c:v>3.9670999999999998E-2</c:v>
                </c:pt>
                <c:pt idx="2103">
                  <c:v>3.9670999999999998E-2</c:v>
                </c:pt>
                <c:pt idx="2104">
                  <c:v>3.9670999999999998E-2</c:v>
                </c:pt>
                <c:pt idx="2105">
                  <c:v>3.9670999999999998E-2</c:v>
                </c:pt>
                <c:pt idx="2106">
                  <c:v>3.9670999999999998E-2</c:v>
                </c:pt>
                <c:pt idx="2107">
                  <c:v>3.9670999999999998E-2</c:v>
                </c:pt>
                <c:pt idx="2108">
                  <c:v>3.9670999999999998E-2</c:v>
                </c:pt>
                <c:pt idx="2109">
                  <c:v>3.9670999999999998E-2</c:v>
                </c:pt>
                <c:pt idx="2110">
                  <c:v>3.9670999999999998E-2</c:v>
                </c:pt>
                <c:pt idx="2111">
                  <c:v>4.1715333333333333E-2</c:v>
                </c:pt>
                <c:pt idx="2112">
                  <c:v>4.1715333333333333E-2</c:v>
                </c:pt>
                <c:pt idx="2113">
                  <c:v>4.1715333333333333E-2</c:v>
                </c:pt>
                <c:pt idx="2114">
                  <c:v>4.1715333333333333E-2</c:v>
                </c:pt>
                <c:pt idx="2115">
                  <c:v>4.1715333333333333E-2</c:v>
                </c:pt>
                <c:pt idx="2116">
                  <c:v>4.1715333333333333E-2</c:v>
                </c:pt>
                <c:pt idx="2117">
                  <c:v>4.1715333333333333E-2</c:v>
                </c:pt>
                <c:pt idx="2118">
                  <c:v>4.1715333333333333E-2</c:v>
                </c:pt>
                <c:pt idx="2119">
                  <c:v>4.1715333333333333E-2</c:v>
                </c:pt>
                <c:pt idx="2120">
                  <c:v>4.1715333333333333E-2</c:v>
                </c:pt>
                <c:pt idx="2121">
                  <c:v>3.7776666666666667E-2</c:v>
                </c:pt>
                <c:pt idx="2122">
                  <c:v>3.7776666666666667E-2</c:v>
                </c:pt>
                <c:pt idx="2123">
                  <c:v>3.7776666666666667E-2</c:v>
                </c:pt>
                <c:pt idx="2124">
                  <c:v>3.7776666666666667E-2</c:v>
                </c:pt>
                <c:pt idx="2125">
                  <c:v>3.7776666666666667E-2</c:v>
                </c:pt>
                <c:pt idx="2126">
                  <c:v>3.7776666666666667E-2</c:v>
                </c:pt>
                <c:pt idx="2127">
                  <c:v>3.7776666666666667E-2</c:v>
                </c:pt>
                <c:pt idx="2128">
                  <c:v>3.7776666666666667E-2</c:v>
                </c:pt>
                <c:pt idx="2129">
                  <c:v>3.7776666666666667E-2</c:v>
                </c:pt>
                <c:pt idx="2130">
                  <c:v>3.6379333333333333E-2</c:v>
                </c:pt>
                <c:pt idx="2131">
                  <c:v>3.6379333333333333E-2</c:v>
                </c:pt>
                <c:pt idx="2132">
                  <c:v>3.6379333333333333E-2</c:v>
                </c:pt>
                <c:pt idx="2133">
                  <c:v>3.6379333333333333E-2</c:v>
                </c:pt>
                <c:pt idx="2134">
                  <c:v>3.6379333333333333E-2</c:v>
                </c:pt>
                <c:pt idx="2135">
                  <c:v>3.6379333333333333E-2</c:v>
                </c:pt>
                <c:pt idx="2136">
                  <c:v>3.6379333333333333E-2</c:v>
                </c:pt>
                <c:pt idx="2137">
                  <c:v>3.6379333333333333E-2</c:v>
                </c:pt>
                <c:pt idx="2138">
                  <c:v>3.6379333333333333E-2</c:v>
                </c:pt>
                <c:pt idx="2139">
                  <c:v>3.6379333333333333E-2</c:v>
                </c:pt>
                <c:pt idx="2140">
                  <c:v>3.6379333333333333E-2</c:v>
                </c:pt>
                <c:pt idx="2141">
                  <c:v>3.6379333333333333E-2</c:v>
                </c:pt>
                <c:pt idx="2142">
                  <c:v>3.6379333333333333E-2</c:v>
                </c:pt>
                <c:pt idx="2143">
                  <c:v>3.6379333333333333E-2</c:v>
                </c:pt>
                <c:pt idx="2144">
                  <c:v>3.6379333333333333E-2</c:v>
                </c:pt>
                <c:pt idx="2145">
                  <c:v>3.6379333333333333E-2</c:v>
                </c:pt>
                <c:pt idx="2146">
                  <c:v>3.6379333333333333E-2</c:v>
                </c:pt>
                <c:pt idx="2147">
                  <c:v>3.6379333333333333E-2</c:v>
                </c:pt>
                <c:pt idx="2148">
                  <c:v>3.6379333333333333E-2</c:v>
                </c:pt>
                <c:pt idx="2149">
                  <c:v>3.6379333333333333E-2</c:v>
                </c:pt>
                <c:pt idx="2150">
                  <c:v>3.6379333333333333E-2</c:v>
                </c:pt>
                <c:pt idx="2151">
                  <c:v>3.6379333333333333E-2</c:v>
                </c:pt>
                <c:pt idx="2152">
                  <c:v>3.6379333333333333E-2</c:v>
                </c:pt>
                <c:pt idx="2153">
                  <c:v>3.6379333333333333E-2</c:v>
                </c:pt>
                <c:pt idx="2154">
                  <c:v>3.6379333333333333E-2</c:v>
                </c:pt>
                <c:pt idx="2155">
                  <c:v>3.6379333333333333E-2</c:v>
                </c:pt>
                <c:pt idx="2156">
                  <c:v>3.6379333333333333E-2</c:v>
                </c:pt>
                <c:pt idx="2157">
                  <c:v>3.6379333333333333E-2</c:v>
                </c:pt>
                <c:pt idx="2158">
                  <c:v>3.6379333333333333E-2</c:v>
                </c:pt>
                <c:pt idx="2159">
                  <c:v>3.6379333333333333E-2</c:v>
                </c:pt>
                <c:pt idx="2160">
                  <c:v>4.3410333333333329E-2</c:v>
                </c:pt>
                <c:pt idx="2161">
                  <c:v>4.3410333333333329E-2</c:v>
                </c:pt>
                <c:pt idx="2162">
                  <c:v>4.3410333333333329E-2</c:v>
                </c:pt>
                <c:pt idx="2163">
                  <c:v>4.3410333333333329E-2</c:v>
                </c:pt>
                <c:pt idx="2164">
                  <c:v>4.3410333333333329E-2</c:v>
                </c:pt>
                <c:pt idx="2165">
                  <c:v>4.3410333333333329E-2</c:v>
                </c:pt>
                <c:pt idx="2166">
                  <c:v>4.3410333333333329E-2</c:v>
                </c:pt>
                <c:pt idx="2167">
                  <c:v>4.3410333333333329E-2</c:v>
                </c:pt>
                <c:pt idx="2168">
                  <c:v>4.3410333333333329E-2</c:v>
                </c:pt>
                <c:pt idx="2169">
                  <c:v>4.3410333333333329E-2</c:v>
                </c:pt>
                <c:pt idx="2170">
                  <c:v>4.0876999999999997E-2</c:v>
                </c:pt>
                <c:pt idx="2171">
                  <c:v>4.0876999999999997E-2</c:v>
                </c:pt>
                <c:pt idx="2172">
                  <c:v>4.0876999999999997E-2</c:v>
                </c:pt>
                <c:pt idx="2173">
                  <c:v>4.0876999999999997E-2</c:v>
                </c:pt>
                <c:pt idx="2174">
                  <c:v>4.0876999999999997E-2</c:v>
                </c:pt>
                <c:pt idx="2175">
                  <c:v>4.0876999999999997E-2</c:v>
                </c:pt>
                <c:pt idx="2176">
                  <c:v>4.0876999999999997E-2</c:v>
                </c:pt>
                <c:pt idx="2177">
                  <c:v>4.0876999999999997E-2</c:v>
                </c:pt>
                <c:pt idx="2178">
                  <c:v>4.0876999999999997E-2</c:v>
                </c:pt>
                <c:pt idx="2179">
                  <c:v>4.0876999999999997E-2</c:v>
                </c:pt>
                <c:pt idx="2180">
                  <c:v>3.9913666666666667E-2</c:v>
                </c:pt>
                <c:pt idx="2181">
                  <c:v>3.9913666666666667E-2</c:v>
                </c:pt>
                <c:pt idx="2182">
                  <c:v>3.9913666666666667E-2</c:v>
                </c:pt>
                <c:pt idx="2183">
                  <c:v>3.9913666666666667E-2</c:v>
                </c:pt>
                <c:pt idx="2184">
                  <c:v>3.9913666666666667E-2</c:v>
                </c:pt>
                <c:pt idx="2185">
                  <c:v>3.9913666666666667E-2</c:v>
                </c:pt>
                <c:pt idx="2186">
                  <c:v>3.9913666666666667E-2</c:v>
                </c:pt>
                <c:pt idx="2187">
                  <c:v>3.9913666666666667E-2</c:v>
                </c:pt>
                <c:pt idx="2188">
                  <c:v>3.9913666666666667E-2</c:v>
                </c:pt>
                <c:pt idx="2189">
                  <c:v>3.9913666666666667E-2</c:v>
                </c:pt>
                <c:pt idx="2190">
                  <c:v>4.2818000000000002E-2</c:v>
                </c:pt>
                <c:pt idx="2191">
                  <c:v>4.2818000000000002E-2</c:v>
                </c:pt>
                <c:pt idx="2192">
                  <c:v>4.2818000000000002E-2</c:v>
                </c:pt>
                <c:pt idx="2193">
                  <c:v>4.2818000000000002E-2</c:v>
                </c:pt>
                <c:pt idx="2194">
                  <c:v>4.2818000000000002E-2</c:v>
                </c:pt>
                <c:pt idx="2195">
                  <c:v>4.2818000000000002E-2</c:v>
                </c:pt>
                <c:pt idx="2196">
                  <c:v>4.2818000000000002E-2</c:v>
                </c:pt>
                <c:pt idx="2197">
                  <c:v>4.2818000000000002E-2</c:v>
                </c:pt>
                <c:pt idx="2198">
                  <c:v>4.2818000000000002E-2</c:v>
                </c:pt>
                <c:pt idx="2199">
                  <c:v>4.2818000000000002E-2</c:v>
                </c:pt>
                <c:pt idx="2200">
                  <c:v>4.2818000000000002E-2</c:v>
                </c:pt>
                <c:pt idx="2201">
                  <c:v>4.2818000000000002E-2</c:v>
                </c:pt>
                <c:pt idx="2202">
                  <c:v>4.2818000000000002E-2</c:v>
                </c:pt>
                <c:pt idx="2203">
                  <c:v>4.2818000000000002E-2</c:v>
                </c:pt>
                <c:pt idx="2204">
                  <c:v>4.2818000000000002E-2</c:v>
                </c:pt>
                <c:pt idx="2205">
                  <c:v>4.2818000000000002E-2</c:v>
                </c:pt>
                <c:pt idx="2206">
                  <c:v>4.2818000000000002E-2</c:v>
                </c:pt>
                <c:pt idx="2207">
                  <c:v>4.2818000000000002E-2</c:v>
                </c:pt>
                <c:pt idx="2208">
                  <c:v>4.2818000000000002E-2</c:v>
                </c:pt>
                <c:pt idx="2209">
                  <c:v>4.2818000000000002E-2</c:v>
                </c:pt>
                <c:pt idx="2210">
                  <c:v>4.2818000000000002E-2</c:v>
                </c:pt>
                <c:pt idx="2211">
                  <c:v>4.2818000000000002E-2</c:v>
                </c:pt>
                <c:pt idx="2212">
                  <c:v>4.2818000000000002E-2</c:v>
                </c:pt>
                <c:pt idx="2213">
                  <c:v>4.2818000000000002E-2</c:v>
                </c:pt>
                <c:pt idx="2214">
                  <c:v>4.2818000000000002E-2</c:v>
                </c:pt>
                <c:pt idx="2215">
                  <c:v>4.2818000000000002E-2</c:v>
                </c:pt>
                <c:pt idx="2216">
                  <c:v>4.2818000000000002E-2</c:v>
                </c:pt>
                <c:pt idx="2217">
                  <c:v>4.2818000000000002E-2</c:v>
                </c:pt>
                <c:pt idx="2218">
                  <c:v>4.2818000000000002E-2</c:v>
                </c:pt>
                <c:pt idx="2219">
                  <c:v>4.2818000000000002E-2</c:v>
                </c:pt>
                <c:pt idx="2220">
                  <c:v>4.2818000000000002E-2</c:v>
                </c:pt>
                <c:pt idx="2221">
                  <c:v>4.2818000000000002E-2</c:v>
                </c:pt>
                <c:pt idx="2222">
                  <c:v>4.2818000000000002E-2</c:v>
                </c:pt>
                <c:pt idx="2223">
                  <c:v>4.2818000000000002E-2</c:v>
                </c:pt>
                <c:pt idx="2224">
                  <c:v>4.2818000000000002E-2</c:v>
                </c:pt>
                <c:pt idx="2225">
                  <c:v>4.2818000000000002E-2</c:v>
                </c:pt>
                <c:pt idx="2226">
                  <c:v>4.2818000000000002E-2</c:v>
                </c:pt>
                <c:pt idx="2227">
                  <c:v>4.2818000000000002E-2</c:v>
                </c:pt>
                <c:pt idx="2228">
                  <c:v>4.2818000000000002E-2</c:v>
                </c:pt>
                <c:pt idx="2229">
                  <c:v>4.2818000000000002E-2</c:v>
                </c:pt>
                <c:pt idx="2230">
                  <c:v>4.2818000000000002E-2</c:v>
                </c:pt>
                <c:pt idx="2231">
                  <c:v>4.2818000000000002E-2</c:v>
                </c:pt>
                <c:pt idx="2232">
                  <c:v>4.2818000000000002E-2</c:v>
                </c:pt>
                <c:pt idx="2233">
                  <c:v>4.2818000000000002E-2</c:v>
                </c:pt>
                <c:pt idx="2234">
                  <c:v>4.2818000000000002E-2</c:v>
                </c:pt>
                <c:pt idx="2235">
                  <c:v>4.2818000000000002E-2</c:v>
                </c:pt>
                <c:pt idx="2236">
                  <c:v>4.2818000000000002E-2</c:v>
                </c:pt>
                <c:pt idx="2237">
                  <c:v>4.2818000000000002E-2</c:v>
                </c:pt>
                <c:pt idx="2238">
                  <c:v>4.2818000000000002E-2</c:v>
                </c:pt>
                <c:pt idx="2239">
                  <c:v>4.2818000000000002E-2</c:v>
                </c:pt>
                <c:pt idx="2240">
                  <c:v>4.2818000000000002E-2</c:v>
                </c:pt>
                <c:pt idx="2241">
                  <c:v>4.2818000000000002E-2</c:v>
                </c:pt>
                <c:pt idx="2242">
                  <c:v>4.2818000000000002E-2</c:v>
                </c:pt>
                <c:pt idx="2243">
                  <c:v>4.2818000000000002E-2</c:v>
                </c:pt>
                <c:pt idx="2244">
                  <c:v>4.2818000000000002E-2</c:v>
                </c:pt>
                <c:pt idx="2245">
                  <c:v>4.2818000000000002E-2</c:v>
                </c:pt>
                <c:pt idx="2246">
                  <c:v>4.2818000000000002E-2</c:v>
                </c:pt>
                <c:pt idx="2247">
                  <c:v>4.2818000000000002E-2</c:v>
                </c:pt>
                <c:pt idx="2248">
                  <c:v>4.2818000000000002E-2</c:v>
                </c:pt>
                <c:pt idx="2249">
                  <c:v>4.2818000000000002E-2</c:v>
                </c:pt>
                <c:pt idx="2250">
                  <c:v>4.2818000000000002E-2</c:v>
                </c:pt>
                <c:pt idx="2251">
                  <c:v>4.2818000000000002E-2</c:v>
                </c:pt>
                <c:pt idx="2252">
                  <c:v>4.2818000000000002E-2</c:v>
                </c:pt>
                <c:pt idx="2253">
                  <c:v>4.2818000000000002E-2</c:v>
                </c:pt>
                <c:pt idx="2254">
                  <c:v>4.2818000000000002E-2</c:v>
                </c:pt>
                <c:pt idx="2255">
                  <c:v>4.2818000000000002E-2</c:v>
                </c:pt>
                <c:pt idx="2256">
                  <c:v>4.2818000000000002E-2</c:v>
                </c:pt>
                <c:pt idx="2257">
                  <c:v>4.2818000000000002E-2</c:v>
                </c:pt>
                <c:pt idx="2258">
                  <c:v>4.2818000000000002E-2</c:v>
                </c:pt>
                <c:pt idx="2259">
                  <c:v>4.2818000000000002E-2</c:v>
                </c:pt>
                <c:pt idx="2260">
                  <c:v>2.8433333333333331E-2</c:v>
                </c:pt>
                <c:pt idx="2261">
                  <c:v>2.8433333333333331E-2</c:v>
                </c:pt>
                <c:pt idx="2262">
                  <c:v>2.8433333333333331E-2</c:v>
                </c:pt>
                <c:pt idx="2263">
                  <c:v>2.8433333333333331E-2</c:v>
                </c:pt>
                <c:pt idx="2264">
                  <c:v>2.8433333333333331E-2</c:v>
                </c:pt>
                <c:pt idx="2265">
                  <c:v>2.8433333333333331E-2</c:v>
                </c:pt>
                <c:pt idx="2266">
                  <c:v>2.8433333333333331E-2</c:v>
                </c:pt>
                <c:pt idx="2267">
                  <c:v>2.8433333333333331E-2</c:v>
                </c:pt>
                <c:pt idx="2268">
                  <c:v>2.8433333333333331E-2</c:v>
                </c:pt>
                <c:pt idx="2269">
                  <c:v>2.8433333333333331E-2</c:v>
                </c:pt>
                <c:pt idx="2270">
                  <c:v>2.8433333333333331E-2</c:v>
                </c:pt>
                <c:pt idx="2271">
                  <c:v>2.8433333333333331E-2</c:v>
                </c:pt>
                <c:pt idx="2272">
                  <c:v>2.8433333333333331E-2</c:v>
                </c:pt>
                <c:pt idx="2273">
                  <c:v>2.8433333333333331E-2</c:v>
                </c:pt>
                <c:pt idx="2274">
                  <c:v>2.8433333333333331E-2</c:v>
                </c:pt>
                <c:pt idx="2275">
                  <c:v>2.8433333333333331E-2</c:v>
                </c:pt>
                <c:pt idx="2276">
                  <c:v>2.8433333333333331E-2</c:v>
                </c:pt>
                <c:pt idx="2277">
                  <c:v>2.8433333333333331E-2</c:v>
                </c:pt>
                <c:pt idx="2278">
                  <c:v>2.8433333333333331E-2</c:v>
                </c:pt>
                <c:pt idx="2279">
                  <c:v>2.8433333333333331E-2</c:v>
                </c:pt>
                <c:pt idx="2280">
                  <c:v>2.8433333333333331E-2</c:v>
                </c:pt>
                <c:pt idx="2281">
                  <c:v>2.8433333333333331E-2</c:v>
                </c:pt>
                <c:pt idx="2282">
                  <c:v>2.8433333333333331E-2</c:v>
                </c:pt>
                <c:pt idx="2283">
                  <c:v>2.8433333333333331E-2</c:v>
                </c:pt>
                <c:pt idx="2284">
                  <c:v>2.8433333333333331E-2</c:v>
                </c:pt>
                <c:pt idx="2285">
                  <c:v>2.8433333333333331E-2</c:v>
                </c:pt>
                <c:pt idx="2286">
                  <c:v>2.8433333333333331E-2</c:v>
                </c:pt>
                <c:pt idx="2287">
                  <c:v>2.8433333333333331E-2</c:v>
                </c:pt>
                <c:pt idx="2288">
                  <c:v>2.8433333333333331E-2</c:v>
                </c:pt>
                <c:pt idx="2289">
                  <c:v>2.8433333333333331E-2</c:v>
                </c:pt>
                <c:pt idx="2290">
                  <c:v>2.8433333333333331E-2</c:v>
                </c:pt>
                <c:pt idx="2291">
                  <c:v>2.8433333333333331E-2</c:v>
                </c:pt>
                <c:pt idx="2292">
                  <c:v>2.8433333333333331E-2</c:v>
                </c:pt>
                <c:pt idx="2293">
                  <c:v>2.8433333333333331E-2</c:v>
                </c:pt>
                <c:pt idx="2294">
                  <c:v>2.8433333333333331E-2</c:v>
                </c:pt>
                <c:pt idx="2295">
                  <c:v>2.8433333333333331E-2</c:v>
                </c:pt>
                <c:pt idx="2296">
                  <c:v>2.8433333333333331E-2</c:v>
                </c:pt>
                <c:pt idx="2297">
                  <c:v>2.8433333333333331E-2</c:v>
                </c:pt>
                <c:pt idx="2298">
                  <c:v>2.8433333333333331E-2</c:v>
                </c:pt>
                <c:pt idx="2299">
                  <c:v>2.8433333333333331E-2</c:v>
                </c:pt>
                <c:pt idx="2300">
                  <c:v>2.8433333333333331E-2</c:v>
                </c:pt>
                <c:pt idx="2301">
                  <c:v>2.8433333333333331E-2</c:v>
                </c:pt>
                <c:pt idx="2302">
                  <c:v>2.8433333333333331E-2</c:v>
                </c:pt>
                <c:pt idx="2303">
                  <c:v>2.8433333333333331E-2</c:v>
                </c:pt>
                <c:pt idx="2304">
                  <c:v>2.8433333333333331E-2</c:v>
                </c:pt>
                <c:pt idx="2305">
                  <c:v>2.8433333333333331E-2</c:v>
                </c:pt>
                <c:pt idx="2306">
                  <c:v>2.8433333333333331E-2</c:v>
                </c:pt>
                <c:pt idx="2307">
                  <c:v>2.8433333333333331E-2</c:v>
                </c:pt>
                <c:pt idx="2308">
                  <c:v>2.8433333333333331E-2</c:v>
                </c:pt>
                <c:pt idx="2309">
                  <c:v>2.8433333333333331E-2</c:v>
                </c:pt>
                <c:pt idx="2310">
                  <c:v>2.8433333333333331E-2</c:v>
                </c:pt>
                <c:pt idx="2311">
                  <c:v>2.8433333333333331E-2</c:v>
                </c:pt>
                <c:pt idx="2312">
                  <c:v>2.8433333333333331E-2</c:v>
                </c:pt>
                <c:pt idx="2313">
                  <c:v>2.8433333333333331E-2</c:v>
                </c:pt>
                <c:pt idx="2314">
                  <c:v>2.8433333333333331E-2</c:v>
                </c:pt>
                <c:pt idx="2315">
                  <c:v>2.8433333333333331E-2</c:v>
                </c:pt>
                <c:pt idx="2316">
                  <c:v>2.8433333333333331E-2</c:v>
                </c:pt>
                <c:pt idx="2317">
                  <c:v>2.8433333333333331E-2</c:v>
                </c:pt>
                <c:pt idx="2318">
                  <c:v>2.8433333333333331E-2</c:v>
                </c:pt>
                <c:pt idx="2319">
                  <c:v>2.8433333333333331E-2</c:v>
                </c:pt>
                <c:pt idx="2320">
                  <c:v>2.8433333333333331E-2</c:v>
                </c:pt>
                <c:pt idx="2321">
                  <c:v>2.8433333333333331E-2</c:v>
                </c:pt>
                <c:pt idx="2322">
                  <c:v>2.8433333333333331E-2</c:v>
                </c:pt>
                <c:pt idx="2323">
                  <c:v>2.8433333333333331E-2</c:v>
                </c:pt>
                <c:pt idx="2324">
                  <c:v>2.8433333333333331E-2</c:v>
                </c:pt>
                <c:pt idx="2325">
                  <c:v>2.8433333333333331E-2</c:v>
                </c:pt>
                <c:pt idx="2326">
                  <c:v>2.8433333333333331E-2</c:v>
                </c:pt>
                <c:pt idx="2327">
                  <c:v>2.8433333333333331E-2</c:v>
                </c:pt>
                <c:pt idx="2328">
                  <c:v>2.8433333333333331E-2</c:v>
                </c:pt>
                <c:pt idx="2329">
                  <c:v>2.8433333333333331E-2</c:v>
                </c:pt>
                <c:pt idx="2330">
                  <c:v>3.3821333333333335E-2</c:v>
                </c:pt>
                <c:pt idx="2331">
                  <c:v>3.3821333333333335E-2</c:v>
                </c:pt>
                <c:pt idx="2332">
                  <c:v>3.3821333333333335E-2</c:v>
                </c:pt>
                <c:pt idx="2333">
                  <c:v>3.3821333333333335E-2</c:v>
                </c:pt>
                <c:pt idx="2334">
                  <c:v>3.3821333333333335E-2</c:v>
                </c:pt>
                <c:pt idx="2335">
                  <c:v>3.3821333333333335E-2</c:v>
                </c:pt>
                <c:pt idx="2336">
                  <c:v>3.3821333333333335E-2</c:v>
                </c:pt>
                <c:pt idx="2337">
                  <c:v>3.3821333333333335E-2</c:v>
                </c:pt>
                <c:pt idx="2338">
                  <c:v>3.3821333333333335E-2</c:v>
                </c:pt>
                <c:pt idx="2339">
                  <c:v>3.3821333333333335E-2</c:v>
                </c:pt>
                <c:pt idx="2340">
                  <c:v>3.3588666666666663E-2</c:v>
                </c:pt>
                <c:pt idx="2341">
                  <c:v>3.3588666666666663E-2</c:v>
                </c:pt>
                <c:pt idx="2342">
                  <c:v>3.3588666666666663E-2</c:v>
                </c:pt>
                <c:pt idx="2343">
                  <c:v>3.3588666666666663E-2</c:v>
                </c:pt>
                <c:pt idx="2344">
                  <c:v>3.3588666666666663E-2</c:v>
                </c:pt>
                <c:pt idx="2345">
                  <c:v>3.3588666666666663E-2</c:v>
                </c:pt>
                <c:pt idx="2346">
                  <c:v>3.3588666666666663E-2</c:v>
                </c:pt>
                <c:pt idx="2347">
                  <c:v>3.3588666666666663E-2</c:v>
                </c:pt>
                <c:pt idx="2348">
                  <c:v>3.3588666666666663E-2</c:v>
                </c:pt>
                <c:pt idx="2349">
                  <c:v>3.3588666666666663E-2</c:v>
                </c:pt>
                <c:pt idx="2350">
                  <c:v>3.3588666666666663E-2</c:v>
                </c:pt>
                <c:pt idx="2351">
                  <c:v>3.3588666666666663E-2</c:v>
                </c:pt>
                <c:pt idx="2352">
                  <c:v>3.3588666666666663E-2</c:v>
                </c:pt>
                <c:pt idx="2353">
                  <c:v>3.3588666666666663E-2</c:v>
                </c:pt>
                <c:pt idx="2354">
                  <c:v>3.3588666666666663E-2</c:v>
                </c:pt>
                <c:pt idx="2355">
                  <c:v>3.3588666666666663E-2</c:v>
                </c:pt>
                <c:pt idx="2356">
                  <c:v>3.3588666666666663E-2</c:v>
                </c:pt>
                <c:pt idx="2357">
                  <c:v>3.3588666666666663E-2</c:v>
                </c:pt>
                <c:pt idx="2358">
                  <c:v>3.3588666666666663E-2</c:v>
                </c:pt>
                <c:pt idx="2359">
                  <c:v>3.3588666666666663E-2</c:v>
                </c:pt>
                <c:pt idx="2360">
                  <c:v>3.3588666666666663E-2</c:v>
                </c:pt>
                <c:pt idx="2361">
                  <c:v>3.3588666666666663E-2</c:v>
                </c:pt>
                <c:pt idx="2362">
                  <c:v>3.3588666666666663E-2</c:v>
                </c:pt>
                <c:pt idx="2363">
                  <c:v>3.3588666666666663E-2</c:v>
                </c:pt>
                <c:pt idx="2364">
                  <c:v>3.3588666666666663E-2</c:v>
                </c:pt>
                <c:pt idx="2365">
                  <c:v>3.3588666666666663E-2</c:v>
                </c:pt>
                <c:pt idx="2366">
                  <c:v>3.3588666666666663E-2</c:v>
                </c:pt>
                <c:pt idx="2367">
                  <c:v>3.3588666666666663E-2</c:v>
                </c:pt>
                <c:pt idx="2368">
                  <c:v>3.3588666666666663E-2</c:v>
                </c:pt>
                <c:pt idx="2369">
                  <c:v>3.3588666666666663E-2</c:v>
                </c:pt>
                <c:pt idx="2370">
                  <c:v>3.7687000000000005E-2</c:v>
                </c:pt>
                <c:pt idx="2371">
                  <c:v>3.7687000000000005E-2</c:v>
                </c:pt>
                <c:pt idx="2372">
                  <c:v>3.7687000000000005E-2</c:v>
                </c:pt>
                <c:pt idx="2373">
                  <c:v>3.7687000000000005E-2</c:v>
                </c:pt>
                <c:pt idx="2374">
                  <c:v>3.7687000000000005E-2</c:v>
                </c:pt>
                <c:pt idx="2375">
                  <c:v>3.7687000000000005E-2</c:v>
                </c:pt>
                <c:pt idx="2376">
                  <c:v>3.7687000000000005E-2</c:v>
                </c:pt>
                <c:pt idx="2377">
                  <c:v>3.7687000000000005E-2</c:v>
                </c:pt>
                <c:pt idx="2378">
                  <c:v>3.7687000000000005E-2</c:v>
                </c:pt>
                <c:pt idx="2379">
                  <c:v>3.7687000000000005E-2</c:v>
                </c:pt>
                <c:pt idx="2380">
                  <c:v>4.3159666666666673E-2</c:v>
                </c:pt>
                <c:pt idx="2381">
                  <c:v>4.3159666666666673E-2</c:v>
                </c:pt>
                <c:pt idx="2382">
                  <c:v>4.3159666666666673E-2</c:v>
                </c:pt>
                <c:pt idx="2383">
                  <c:v>4.3159666666666673E-2</c:v>
                </c:pt>
                <c:pt idx="2384">
                  <c:v>4.3159666666666673E-2</c:v>
                </c:pt>
                <c:pt idx="2385">
                  <c:v>4.3159666666666673E-2</c:v>
                </c:pt>
                <c:pt idx="2386">
                  <c:v>4.3159666666666673E-2</c:v>
                </c:pt>
                <c:pt idx="2387">
                  <c:v>4.3159666666666673E-2</c:v>
                </c:pt>
                <c:pt idx="2388">
                  <c:v>4.3159666666666673E-2</c:v>
                </c:pt>
                <c:pt idx="2389">
                  <c:v>4.3159666666666673E-2</c:v>
                </c:pt>
                <c:pt idx="2390">
                  <c:v>4.7865666666666667E-2</c:v>
                </c:pt>
                <c:pt idx="2391">
                  <c:v>4.7865666666666667E-2</c:v>
                </c:pt>
                <c:pt idx="2392">
                  <c:v>4.7865666666666667E-2</c:v>
                </c:pt>
                <c:pt idx="2393">
                  <c:v>4.7865666666666667E-2</c:v>
                </c:pt>
                <c:pt idx="2394">
                  <c:v>4.7865666666666667E-2</c:v>
                </c:pt>
                <c:pt idx="2395">
                  <c:v>4.7865666666666667E-2</c:v>
                </c:pt>
                <c:pt idx="2396">
                  <c:v>4.7865666666666667E-2</c:v>
                </c:pt>
                <c:pt idx="2397">
                  <c:v>4.7865666666666667E-2</c:v>
                </c:pt>
                <c:pt idx="2398">
                  <c:v>4.7865666666666667E-2</c:v>
                </c:pt>
                <c:pt idx="2399">
                  <c:v>4.7865666666666667E-2</c:v>
                </c:pt>
                <c:pt idx="2400">
                  <c:v>4.7865666666666667E-2</c:v>
                </c:pt>
                <c:pt idx="2401">
                  <c:v>5.2729666666666661E-2</c:v>
                </c:pt>
                <c:pt idx="2402">
                  <c:v>5.2729666666666661E-2</c:v>
                </c:pt>
                <c:pt idx="2403">
                  <c:v>5.2729666666666661E-2</c:v>
                </c:pt>
                <c:pt idx="2404">
                  <c:v>5.2729666666666661E-2</c:v>
                </c:pt>
                <c:pt idx="2405">
                  <c:v>5.2729666666666661E-2</c:v>
                </c:pt>
                <c:pt idx="2406">
                  <c:v>5.2729666666666661E-2</c:v>
                </c:pt>
                <c:pt idx="2407">
                  <c:v>5.2729666666666661E-2</c:v>
                </c:pt>
                <c:pt idx="2408">
                  <c:v>5.2729666666666661E-2</c:v>
                </c:pt>
                <c:pt idx="2409">
                  <c:v>5.2729666666666661E-2</c:v>
                </c:pt>
                <c:pt idx="2410">
                  <c:v>6.3200000000000006E-2</c:v>
                </c:pt>
                <c:pt idx="2411">
                  <c:v>6.3200000000000006E-2</c:v>
                </c:pt>
                <c:pt idx="2412">
                  <c:v>6.3200000000000006E-2</c:v>
                </c:pt>
                <c:pt idx="2413">
                  <c:v>6.3200000000000006E-2</c:v>
                </c:pt>
                <c:pt idx="2414">
                  <c:v>6.3200000000000006E-2</c:v>
                </c:pt>
                <c:pt idx="2415">
                  <c:v>6.3200000000000006E-2</c:v>
                </c:pt>
                <c:pt idx="2416">
                  <c:v>6.3200000000000006E-2</c:v>
                </c:pt>
                <c:pt idx="2417">
                  <c:v>6.3200000000000006E-2</c:v>
                </c:pt>
                <c:pt idx="2418">
                  <c:v>6.3200000000000006E-2</c:v>
                </c:pt>
                <c:pt idx="2419">
                  <c:v>6.3200000000000006E-2</c:v>
                </c:pt>
                <c:pt idx="2420">
                  <c:v>6.3200000000000006E-2</c:v>
                </c:pt>
                <c:pt idx="2421">
                  <c:v>6.3200000000000006E-2</c:v>
                </c:pt>
                <c:pt idx="2422">
                  <c:v>6.3200000000000006E-2</c:v>
                </c:pt>
                <c:pt idx="2423">
                  <c:v>6.3200000000000006E-2</c:v>
                </c:pt>
                <c:pt idx="2424">
                  <c:v>6.3200000000000006E-2</c:v>
                </c:pt>
                <c:pt idx="2425">
                  <c:v>6.3200000000000006E-2</c:v>
                </c:pt>
                <c:pt idx="2426">
                  <c:v>6.3200000000000006E-2</c:v>
                </c:pt>
                <c:pt idx="2427">
                  <c:v>6.3200000000000006E-2</c:v>
                </c:pt>
                <c:pt idx="2428">
                  <c:v>6.3200000000000006E-2</c:v>
                </c:pt>
                <c:pt idx="2429">
                  <c:v>6.3200000000000006E-2</c:v>
                </c:pt>
                <c:pt idx="2430">
                  <c:v>6.3200000000000006E-2</c:v>
                </c:pt>
                <c:pt idx="2431">
                  <c:v>6.3200000000000006E-2</c:v>
                </c:pt>
                <c:pt idx="2432">
                  <c:v>6.3200000000000006E-2</c:v>
                </c:pt>
                <c:pt idx="2433">
                  <c:v>6.3200000000000006E-2</c:v>
                </c:pt>
                <c:pt idx="2434">
                  <c:v>6.3200000000000006E-2</c:v>
                </c:pt>
                <c:pt idx="2435">
                  <c:v>6.3200000000000006E-2</c:v>
                </c:pt>
                <c:pt idx="2436">
                  <c:v>6.3200000000000006E-2</c:v>
                </c:pt>
                <c:pt idx="2437">
                  <c:v>6.3200000000000006E-2</c:v>
                </c:pt>
                <c:pt idx="2438">
                  <c:v>6.3200000000000006E-2</c:v>
                </c:pt>
                <c:pt idx="2439">
                  <c:v>6.3200000000000006E-2</c:v>
                </c:pt>
                <c:pt idx="2440">
                  <c:v>6.4073666666666668E-2</c:v>
                </c:pt>
                <c:pt idx="2441">
                  <c:v>6.4073666666666668E-2</c:v>
                </c:pt>
                <c:pt idx="2442">
                  <c:v>6.4073666666666668E-2</c:v>
                </c:pt>
                <c:pt idx="2443">
                  <c:v>6.4073666666666668E-2</c:v>
                </c:pt>
                <c:pt idx="2444">
                  <c:v>6.4073666666666668E-2</c:v>
                </c:pt>
                <c:pt idx="2445">
                  <c:v>6.4073666666666668E-2</c:v>
                </c:pt>
                <c:pt idx="2446">
                  <c:v>6.4073666666666668E-2</c:v>
                </c:pt>
                <c:pt idx="2447">
                  <c:v>6.4073666666666668E-2</c:v>
                </c:pt>
                <c:pt idx="2448">
                  <c:v>6.4073666666666668E-2</c:v>
                </c:pt>
                <c:pt idx="2449">
                  <c:v>6.4073666666666668E-2</c:v>
                </c:pt>
                <c:pt idx="2450">
                  <c:v>6.3254999999999992E-2</c:v>
                </c:pt>
                <c:pt idx="2451">
                  <c:v>6.3254999999999992E-2</c:v>
                </c:pt>
                <c:pt idx="2452">
                  <c:v>6.3254999999999992E-2</c:v>
                </c:pt>
                <c:pt idx="2453">
                  <c:v>6.3254999999999992E-2</c:v>
                </c:pt>
                <c:pt idx="2454">
                  <c:v>6.3254999999999992E-2</c:v>
                </c:pt>
                <c:pt idx="2455">
                  <c:v>6.3254999999999992E-2</c:v>
                </c:pt>
                <c:pt idx="2456">
                  <c:v>6.3254999999999992E-2</c:v>
                </c:pt>
                <c:pt idx="2457">
                  <c:v>6.3254999999999992E-2</c:v>
                </c:pt>
                <c:pt idx="2458">
                  <c:v>6.3254999999999992E-2</c:v>
                </c:pt>
                <c:pt idx="2459">
                  <c:v>6.3254999999999992E-2</c:v>
                </c:pt>
                <c:pt idx="2460">
                  <c:v>5.5926333333333328E-2</c:v>
                </c:pt>
                <c:pt idx="2461">
                  <c:v>5.5926333333333328E-2</c:v>
                </c:pt>
                <c:pt idx="2462">
                  <c:v>5.5926333333333328E-2</c:v>
                </c:pt>
                <c:pt idx="2463">
                  <c:v>5.5926333333333328E-2</c:v>
                </c:pt>
                <c:pt idx="2464">
                  <c:v>5.5926333333333328E-2</c:v>
                </c:pt>
                <c:pt idx="2465">
                  <c:v>5.5926333333333328E-2</c:v>
                </c:pt>
                <c:pt idx="2466">
                  <c:v>5.5926333333333328E-2</c:v>
                </c:pt>
                <c:pt idx="2467">
                  <c:v>5.5926333333333328E-2</c:v>
                </c:pt>
                <c:pt idx="2468">
                  <c:v>5.5926333333333328E-2</c:v>
                </c:pt>
                <c:pt idx="2469">
                  <c:v>5.5926333333333328E-2</c:v>
                </c:pt>
                <c:pt idx="2470">
                  <c:v>5.5926333333333328E-2</c:v>
                </c:pt>
                <c:pt idx="2471">
                  <c:v>4.0728999999999994E-2</c:v>
                </c:pt>
                <c:pt idx="2472">
                  <c:v>4.0728999999999994E-2</c:v>
                </c:pt>
                <c:pt idx="2473">
                  <c:v>4.0728999999999994E-2</c:v>
                </c:pt>
                <c:pt idx="2474">
                  <c:v>4.0728999999999994E-2</c:v>
                </c:pt>
                <c:pt idx="2475">
                  <c:v>4.0728999999999994E-2</c:v>
                </c:pt>
                <c:pt idx="2476">
                  <c:v>4.0728999999999994E-2</c:v>
                </c:pt>
                <c:pt idx="2477">
                  <c:v>4.0728999999999994E-2</c:v>
                </c:pt>
                <c:pt idx="2478">
                  <c:v>4.0728999999999994E-2</c:v>
                </c:pt>
                <c:pt idx="2479">
                  <c:v>4.0728999999999994E-2</c:v>
                </c:pt>
                <c:pt idx="2480">
                  <c:v>2.0058333333333334E-2</c:v>
                </c:pt>
                <c:pt idx="2481">
                  <c:v>2.0058333333333334E-2</c:v>
                </c:pt>
                <c:pt idx="2482">
                  <c:v>2.0058333333333334E-2</c:v>
                </c:pt>
                <c:pt idx="2483">
                  <c:v>2.0058333333333334E-2</c:v>
                </c:pt>
                <c:pt idx="2484">
                  <c:v>2.0058333333333334E-2</c:v>
                </c:pt>
                <c:pt idx="2485">
                  <c:v>2.0058333333333334E-2</c:v>
                </c:pt>
                <c:pt idx="2486">
                  <c:v>2.0058333333333334E-2</c:v>
                </c:pt>
                <c:pt idx="2487">
                  <c:v>2.0058333333333334E-2</c:v>
                </c:pt>
                <c:pt idx="2488">
                  <c:v>2.0058333333333334E-2</c:v>
                </c:pt>
                <c:pt idx="2489">
                  <c:v>2.0058333333333334E-2</c:v>
                </c:pt>
                <c:pt idx="2490">
                  <c:v>2.0058333333333334E-2</c:v>
                </c:pt>
                <c:pt idx="2491">
                  <c:v>2.0058333333333334E-2</c:v>
                </c:pt>
                <c:pt idx="2492">
                  <c:v>2.0058333333333334E-2</c:v>
                </c:pt>
                <c:pt idx="2493">
                  <c:v>2.0058333333333334E-2</c:v>
                </c:pt>
                <c:pt idx="2494">
                  <c:v>2.0058333333333334E-2</c:v>
                </c:pt>
                <c:pt idx="2495">
                  <c:v>2.0058333333333334E-2</c:v>
                </c:pt>
                <c:pt idx="2496">
                  <c:v>2.0058333333333334E-2</c:v>
                </c:pt>
                <c:pt idx="2497">
                  <c:v>2.0058333333333334E-2</c:v>
                </c:pt>
                <c:pt idx="2498">
                  <c:v>2.0058333333333334E-2</c:v>
                </c:pt>
                <c:pt idx="2499">
                  <c:v>2.0058333333333334E-2</c:v>
                </c:pt>
                <c:pt idx="2500">
                  <c:v>2.0058333333333334E-2</c:v>
                </c:pt>
                <c:pt idx="2501">
                  <c:v>2.0058333333333334E-2</c:v>
                </c:pt>
                <c:pt idx="2502">
                  <c:v>2.0058333333333334E-2</c:v>
                </c:pt>
                <c:pt idx="2503">
                  <c:v>2.0058333333333334E-2</c:v>
                </c:pt>
                <c:pt idx="2504">
                  <c:v>2.0058333333333334E-2</c:v>
                </c:pt>
                <c:pt idx="2505">
                  <c:v>2.0058333333333334E-2</c:v>
                </c:pt>
                <c:pt idx="2506">
                  <c:v>2.0058333333333334E-2</c:v>
                </c:pt>
                <c:pt idx="2507">
                  <c:v>2.0058333333333334E-2</c:v>
                </c:pt>
                <c:pt idx="2508">
                  <c:v>2.0058333333333334E-2</c:v>
                </c:pt>
                <c:pt idx="2509">
                  <c:v>2.0058333333333334E-2</c:v>
                </c:pt>
                <c:pt idx="2510">
                  <c:v>2.2106666666666668E-3</c:v>
                </c:pt>
                <c:pt idx="2511">
                  <c:v>2.2106666666666668E-3</c:v>
                </c:pt>
                <c:pt idx="2512">
                  <c:v>2.2106666666666668E-3</c:v>
                </c:pt>
                <c:pt idx="2513">
                  <c:v>2.2106666666666668E-3</c:v>
                </c:pt>
                <c:pt idx="2514">
                  <c:v>2.2106666666666668E-3</c:v>
                </c:pt>
                <c:pt idx="2515">
                  <c:v>2.2106666666666668E-3</c:v>
                </c:pt>
                <c:pt idx="2516">
                  <c:v>2.2106666666666668E-3</c:v>
                </c:pt>
                <c:pt idx="2517">
                  <c:v>2.2106666666666668E-3</c:v>
                </c:pt>
                <c:pt idx="2518">
                  <c:v>2.2106666666666668E-3</c:v>
                </c:pt>
                <c:pt idx="2519">
                  <c:v>2.2106666666666668E-3</c:v>
                </c:pt>
                <c:pt idx="2520">
                  <c:v>2.2106666666666668E-3</c:v>
                </c:pt>
                <c:pt idx="2521">
                  <c:v>2.2106666666666668E-3</c:v>
                </c:pt>
                <c:pt idx="2522">
                  <c:v>2.2106666666666668E-3</c:v>
                </c:pt>
                <c:pt idx="2523">
                  <c:v>2.2106666666666668E-3</c:v>
                </c:pt>
                <c:pt idx="2524">
                  <c:v>2.2106666666666668E-3</c:v>
                </c:pt>
                <c:pt idx="2525">
                  <c:v>2.2106666666666668E-3</c:v>
                </c:pt>
                <c:pt idx="2526">
                  <c:v>2.2106666666666668E-3</c:v>
                </c:pt>
                <c:pt idx="2527">
                  <c:v>2.2106666666666668E-3</c:v>
                </c:pt>
                <c:pt idx="2528">
                  <c:v>2.2106666666666668E-3</c:v>
                </c:pt>
                <c:pt idx="2529">
                  <c:v>2.2106666666666668E-3</c:v>
                </c:pt>
                <c:pt idx="2530">
                  <c:v>2.2106666666666668E-3</c:v>
                </c:pt>
                <c:pt idx="2531">
                  <c:v>2.2106666666666668E-3</c:v>
                </c:pt>
                <c:pt idx="2532">
                  <c:v>2.2106666666666668E-3</c:v>
                </c:pt>
                <c:pt idx="2533">
                  <c:v>2.2106666666666668E-3</c:v>
                </c:pt>
                <c:pt idx="2534">
                  <c:v>2.2106666666666668E-3</c:v>
                </c:pt>
                <c:pt idx="2535">
                  <c:v>2.2106666666666668E-3</c:v>
                </c:pt>
                <c:pt idx="2536">
                  <c:v>2.2106666666666668E-3</c:v>
                </c:pt>
                <c:pt idx="2537">
                  <c:v>2.2106666666666668E-3</c:v>
                </c:pt>
                <c:pt idx="2538">
                  <c:v>2.2106666666666668E-3</c:v>
                </c:pt>
                <c:pt idx="2539">
                  <c:v>2.2106666666666668E-3</c:v>
                </c:pt>
                <c:pt idx="2540">
                  <c:v>2.2106666666666668E-3</c:v>
                </c:pt>
                <c:pt idx="2541">
                  <c:v>4.0270000000000002E-3</c:v>
                </c:pt>
                <c:pt idx="2542">
                  <c:v>4.0270000000000002E-3</c:v>
                </c:pt>
                <c:pt idx="2543">
                  <c:v>4.0270000000000002E-3</c:v>
                </c:pt>
                <c:pt idx="2544">
                  <c:v>4.0270000000000002E-3</c:v>
                </c:pt>
                <c:pt idx="2545">
                  <c:v>4.0270000000000002E-3</c:v>
                </c:pt>
                <c:pt idx="2546">
                  <c:v>4.0270000000000002E-3</c:v>
                </c:pt>
                <c:pt idx="2547">
                  <c:v>4.0270000000000002E-3</c:v>
                </c:pt>
                <c:pt idx="2548">
                  <c:v>4.0270000000000002E-3</c:v>
                </c:pt>
                <c:pt idx="2549">
                  <c:v>4.0270000000000002E-3</c:v>
                </c:pt>
                <c:pt idx="2550">
                  <c:v>4.0270000000000002E-3</c:v>
                </c:pt>
                <c:pt idx="2551">
                  <c:v>3.0608333333333331E-2</c:v>
                </c:pt>
                <c:pt idx="2552">
                  <c:v>3.0608333333333331E-2</c:v>
                </c:pt>
                <c:pt idx="2553">
                  <c:v>3.0608333333333331E-2</c:v>
                </c:pt>
                <c:pt idx="2554">
                  <c:v>3.0608333333333331E-2</c:v>
                </c:pt>
                <c:pt idx="2555">
                  <c:v>3.0608333333333331E-2</c:v>
                </c:pt>
                <c:pt idx="2556">
                  <c:v>3.0608333333333331E-2</c:v>
                </c:pt>
                <c:pt idx="2557">
                  <c:v>3.0608333333333331E-2</c:v>
                </c:pt>
                <c:pt idx="2558">
                  <c:v>3.0608333333333331E-2</c:v>
                </c:pt>
                <c:pt idx="2559">
                  <c:v>3.0608333333333331E-2</c:v>
                </c:pt>
                <c:pt idx="2560">
                  <c:v>3.0608333333333331E-2</c:v>
                </c:pt>
                <c:pt idx="2561">
                  <c:v>3.0608333333333331E-2</c:v>
                </c:pt>
                <c:pt idx="2562">
                  <c:v>3.0608333333333331E-2</c:v>
                </c:pt>
                <c:pt idx="2563">
                  <c:v>3.0608333333333331E-2</c:v>
                </c:pt>
                <c:pt idx="2564">
                  <c:v>3.0608333333333331E-2</c:v>
                </c:pt>
                <c:pt idx="2565">
                  <c:v>3.0608333333333331E-2</c:v>
                </c:pt>
                <c:pt idx="2566">
                  <c:v>3.0608333333333331E-2</c:v>
                </c:pt>
                <c:pt idx="2567">
                  <c:v>3.0608333333333331E-2</c:v>
                </c:pt>
                <c:pt idx="2568">
                  <c:v>3.0608333333333331E-2</c:v>
                </c:pt>
                <c:pt idx="2569">
                  <c:v>3.0608333333333331E-2</c:v>
                </c:pt>
                <c:pt idx="2570">
                  <c:v>3.0608333333333331E-2</c:v>
                </c:pt>
                <c:pt idx="2571">
                  <c:v>3.0608333333333331E-2</c:v>
                </c:pt>
                <c:pt idx="2572">
                  <c:v>3.0608333333333331E-2</c:v>
                </c:pt>
                <c:pt idx="2573">
                  <c:v>3.0608333333333331E-2</c:v>
                </c:pt>
                <c:pt idx="2574">
                  <c:v>3.0608333333333331E-2</c:v>
                </c:pt>
                <c:pt idx="2575">
                  <c:v>3.0608333333333331E-2</c:v>
                </c:pt>
                <c:pt idx="2576">
                  <c:v>3.0608333333333331E-2</c:v>
                </c:pt>
                <c:pt idx="2577">
                  <c:v>3.0608333333333331E-2</c:v>
                </c:pt>
                <c:pt idx="2578">
                  <c:v>3.0608333333333331E-2</c:v>
                </c:pt>
                <c:pt idx="2579">
                  <c:v>3.0608333333333331E-2</c:v>
                </c:pt>
                <c:pt idx="2580">
                  <c:v>3.0608333333333331E-2</c:v>
                </c:pt>
                <c:pt idx="2581">
                  <c:v>3.0608333333333331E-2</c:v>
                </c:pt>
                <c:pt idx="2582">
                  <c:v>3.0608333333333331E-2</c:v>
                </c:pt>
                <c:pt idx="2583">
                  <c:v>3.0608333333333331E-2</c:v>
                </c:pt>
                <c:pt idx="2584">
                  <c:v>3.0608333333333331E-2</c:v>
                </c:pt>
                <c:pt idx="2585">
                  <c:v>3.0608333333333331E-2</c:v>
                </c:pt>
                <c:pt idx="2586">
                  <c:v>3.0608333333333331E-2</c:v>
                </c:pt>
                <c:pt idx="2587">
                  <c:v>3.0608333333333331E-2</c:v>
                </c:pt>
                <c:pt idx="2588">
                  <c:v>3.0608333333333331E-2</c:v>
                </c:pt>
                <c:pt idx="2589">
                  <c:v>3.0608333333333331E-2</c:v>
                </c:pt>
                <c:pt idx="2590">
                  <c:v>3.0608333333333331E-2</c:v>
                </c:pt>
                <c:pt idx="2591">
                  <c:v>3.0608333333333331E-2</c:v>
                </c:pt>
                <c:pt idx="2592">
                  <c:v>3.0608333333333331E-2</c:v>
                </c:pt>
                <c:pt idx="2593">
                  <c:v>3.0608333333333331E-2</c:v>
                </c:pt>
                <c:pt idx="2594">
                  <c:v>3.0608333333333331E-2</c:v>
                </c:pt>
                <c:pt idx="2595">
                  <c:v>3.0608333333333331E-2</c:v>
                </c:pt>
                <c:pt idx="2596">
                  <c:v>3.0608333333333331E-2</c:v>
                </c:pt>
                <c:pt idx="2597">
                  <c:v>3.0608333333333331E-2</c:v>
                </c:pt>
                <c:pt idx="2598">
                  <c:v>3.0608333333333331E-2</c:v>
                </c:pt>
                <c:pt idx="2599">
                  <c:v>3.0608333333333331E-2</c:v>
                </c:pt>
                <c:pt idx="2600">
                  <c:v>3.0608333333333331E-2</c:v>
                </c:pt>
                <c:pt idx="2601">
                  <c:v>3.0608333333333331E-2</c:v>
                </c:pt>
                <c:pt idx="2602">
                  <c:v>3.0608333333333331E-2</c:v>
                </c:pt>
                <c:pt idx="2603">
                  <c:v>3.0608333333333331E-2</c:v>
                </c:pt>
                <c:pt idx="2604">
                  <c:v>3.0608333333333331E-2</c:v>
                </c:pt>
                <c:pt idx="2605">
                  <c:v>3.0608333333333331E-2</c:v>
                </c:pt>
                <c:pt idx="2606">
                  <c:v>3.0608333333333331E-2</c:v>
                </c:pt>
                <c:pt idx="2607">
                  <c:v>3.0608333333333331E-2</c:v>
                </c:pt>
                <c:pt idx="2608">
                  <c:v>3.0608333333333331E-2</c:v>
                </c:pt>
                <c:pt idx="2609">
                  <c:v>3.0608333333333331E-2</c:v>
                </c:pt>
                <c:pt idx="2610">
                  <c:v>3.0608333333333331E-2</c:v>
                </c:pt>
                <c:pt idx="2611">
                  <c:v>4.8995666666666667E-2</c:v>
                </c:pt>
                <c:pt idx="2612">
                  <c:v>4.8995666666666667E-2</c:v>
                </c:pt>
                <c:pt idx="2613">
                  <c:v>4.8995666666666667E-2</c:v>
                </c:pt>
                <c:pt idx="2614">
                  <c:v>4.8995666666666667E-2</c:v>
                </c:pt>
                <c:pt idx="2615">
                  <c:v>4.8995666666666667E-2</c:v>
                </c:pt>
                <c:pt idx="2616">
                  <c:v>4.8995666666666667E-2</c:v>
                </c:pt>
                <c:pt idx="2617">
                  <c:v>4.8995666666666667E-2</c:v>
                </c:pt>
                <c:pt idx="2618">
                  <c:v>4.8995666666666667E-2</c:v>
                </c:pt>
                <c:pt idx="2619">
                  <c:v>4.8995666666666667E-2</c:v>
                </c:pt>
                <c:pt idx="2620">
                  <c:v>4.8995666666666667E-2</c:v>
                </c:pt>
                <c:pt idx="2621">
                  <c:v>4.8995666666666667E-2</c:v>
                </c:pt>
                <c:pt idx="2622">
                  <c:v>4.8995666666666667E-2</c:v>
                </c:pt>
                <c:pt idx="2623">
                  <c:v>4.8995666666666667E-2</c:v>
                </c:pt>
                <c:pt idx="2624">
                  <c:v>4.8995666666666667E-2</c:v>
                </c:pt>
                <c:pt idx="2625">
                  <c:v>4.8995666666666667E-2</c:v>
                </c:pt>
                <c:pt idx="2626">
                  <c:v>4.8995666666666667E-2</c:v>
                </c:pt>
                <c:pt idx="2627">
                  <c:v>4.8995666666666667E-2</c:v>
                </c:pt>
                <c:pt idx="2628">
                  <c:v>4.8995666666666667E-2</c:v>
                </c:pt>
                <c:pt idx="2629">
                  <c:v>4.8995666666666667E-2</c:v>
                </c:pt>
                <c:pt idx="2630">
                  <c:v>4.8995666666666667E-2</c:v>
                </c:pt>
                <c:pt idx="2631">
                  <c:v>4.8995666666666667E-2</c:v>
                </c:pt>
                <c:pt idx="2632">
                  <c:v>4.8995666666666667E-2</c:v>
                </c:pt>
                <c:pt idx="2633">
                  <c:v>4.8995666666666667E-2</c:v>
                </c:pt>
                <c:pt idx="2634">
                  <c:v>4.8995666666666667E-2</c:v>
                </c:pt>
                <c:pt idx="2635">
                  <c:v>4.8995666666666667E-2</c:v>
                </c:pt>
                <c:pt idx="2636">
                  <c:v>4.8995666666666667E-2</c:v>
                </c:pt>
                <c:pt idx="2637">
                  <c:v>4.8995666666666667E-2</c:v>
                </c:pt>
                <c:pt idx="2638">
                  <c:v>4.8995666666666667E-2</c:v>
                </c:pt>
                <c:pt idx="2639">
                  <c:v>4.8995666666666667E-2</c:v>
                </c:pt>
                <c:pt idx="2640">
                  <c:v>4.8995666666666667E-2</c:v>
                </c:pt>
                <c:pt idx="2641">
                  <c:v>4.8995666666666667E-2</c:v>
                </c:pt>
                <c:pt idx="2642">
                  <c:v>4.8995666666666667E-2</c:v>
                </c:pt>
                <c:pt idx="2643">
                  <c:v>4.8995666666666667E-2</c:v>
                </c:pt>
                <c:pt idx="2644">
                  <c:v>4.8995666666666667E-2</c:v>
                </c:pt>
                <c:pt idx="2645">
                  <c:v>4.8995666666666667E-2</c:v>
                </c:pt>
                <c:pt idx="2646">
                  <c:v>4.8995666666666667E-2</c:v>
                </c:pt>
                <c:pt idx="2647">
                  <c:v>4.8995666666666667E-2</c:v>
                </c:pt>
                <c:pt idx="2648">
                  <c:v>4.8995666666666667E-2</c:v>
                </c:pt>
                <c:pt idx="2649">
                  <c:v>3.3729333333333333E-2</c:v>
                </c:pt>
                <c:pt idx="2650">
                  <c:v>3.3729333333333333E-2</c:v>
                </c:pt>
                <c:pt idx="2651">
                  <c:v>3.3729333333333333E-2</c:v>
                </c:pt>
                <c:pt idx="2652">
                  <c:v>3.3729333333333333E-2</c:v>
                </c:pt>
                <c:pt idx="2653">
                  <c:v>3.3729333333333333E-2</c:v>
                </c:pt>
                <c:pt idx="2654">
                  <c:v>3.3729333333333333E-2</c:v>
                </c:pt>
                <c:pt idx="2655">
                  <c:v>3.3729333333333333E-2</c:v>
                </c:pt>
                <c:pt idx="2656">
                  <c:v>3.3729333333333333E-2</c:v>
                </c:pt>
                <c:pt idx="2657">
                  <c:v>3.3729333333333333E-2</c:v>
                </c:pt>
                <c:pt idx="2658">
                  <c:v>3.3729333333333333E-2</c:v>
                </c:pt>
                <c:pt idx="2659">
                  <c:v>3.3729333333333333E-2</c:v>
                </c:pt>
                <c:pt idx="2660">
                  <c:v>3.3729333333333333E-2</c:v>
                </c:pt>
                <c:pt idx="2661">
                  <c:v>3.3729333333333333E-2</c:v>
                </c:pt>
                <c:pt idx="2662">
                  <c:v>3.3729333333333333E-2</c:v>
                </c:pt>
                <c:pt idx="2663">
                  <c:v>3.3729333333333333E-2</c:v>
                </c:pt>
                <c:pt idx="2664">
                  <c:v>3.3729333333333333E-2</c:v>
                </c:pt>
                <c:pt idx="2665">
                  <c:v>3.3729333333333333E-2</c:v>
                </c:pt>
                <c:pt idx="2666">
                  <c:v>3.3729333333333333E-2</c:v>
                </c:pt>
                <c:pt idx="2667">
                  <c:v>3.3729333333333333E-2</c:v>
                </c:pt>
                <c:pt idx="2668">
                  <c:v>3.3729333333333333E-2</c:v>
                </c:pt>
                <c:pt idx="2669">
                  <c:v>3.3729333333333333E-2</c:v>
                </c:pt>
                <c:pt idx="2670">
                  <c:v>3.3729333333333333E-2</c:v>
                </c:pt>
                <c:pt idx="2671">
                  <c:v>3.3729333333333333E-2</c:v>
                </c:pt>
                <c:pt idx="2672">
                  <c:v>3.3729333333333333E-2</c:v>
                </c:pt>
                <c:pt idx="2673">
                  <c:v>3.3729333333333333E-2</c:v>
                </c:pt>
                <c:pt idx="2674">
                  <c:v>3.3729333333333333E-2</c:v>
                </c:pt>
                <c:pt idx="2675">
                  <c:v>3.3729333333333333E-2</c:v>
                </c:pt>
                <c:pt idx="2676">
                  <c:v>3.3729333333333333E-2</c:v>
                </c:pt>
                <c:pt idx="2677">
                  <c:v>3.3729333333333333E-2</c:v>
                </c:pt>
                <c:pt idx="2678">
                  <c:v>3.3729333333333333E-2</c:v>
                </c:pt>
                <c:pt idx="2679">
                  <c:v>3.3729333333333333E-2</c:v>
                </c:pt>
                <c:pt idx="2680">
                  <c:v>3.3729333333333333E-2</c:v>
                </c:pt>
                <c:pt idx="2681">
                  <c:v>3.2206333333333337E-2</c:v>
                </c:pt>
                <c:pt idx="2682">
                  <c:v>3.2206333333333337E-2</c:v>
                </c:pt>
                <c:pt idx="2683">
                  <c:v>3.2206333333333337E-2</c:v>
                </c:pt>
                <c:pt idx="2684">
                  <c:v>3.2206333333333337E-2</c:v>
                </c:pt>
                <c:pt idx="2685">
                  <c:v>3.2206333333333337E-2</c:v>
                </c:pt>
                <c:pt idx="2686">
                  <c:v>3.2206333333333337E-2</c:v>
                </c:pt>
                <c:pt idx="2687">
                  <c:v>3.2206333333333337E-2</c:v>
                </c:pt>
                <c:pt idx="2688">
                  <c:v>3.2206333333333337E-2</c:v>
                </c:pt>
                <c:pt idx="2689">
                  <c:v>3.2206333333333337E-2</c:v>
                </c:pt>
                <c:pt idx="2690">
                  <c:v>3.2206333333333337E-2</c:v>
                </c:pt>
                <c:pt idx="2691">
                  <c:v>7.801333333333332E-3</c:v>
                </c:pt>
                <c:pt idx="2692">
                  <c:v>7.801333333333332E-3</c:v>
                </c:pt>
                <c:pt idx="2693">
                  <c:v>7.801333333333332E-3</c:v>
                </c:pt>
                <c:pt idx="2694">
                  <c:v>7.801333333333332E-3</c:v>
                </c:pt>
                <c:pt idx="2695">
                  <c:v>7.801333333333332E-3</c:v>
                </c:pt>
                <c:pt idx="2696">
                  <c:v>7.801333333333332E-3</c:v>
                </c:pt>
                <c:pt idx="2697">
                  <c:v>7.801333333333332E-3</c:v>
                </c:pt>
                <c:pt idx="2698">
                  <c:v>7.801333333333332E-3</c:v>
                </c:pt>
                <c:pt idx="2699">
                  <c:v>7.801333333333332E-3</c:v>
                </c:pt>
                <c:pt idx="2700">
                  <c:v>7.801333333333332E-3</c:v>
                </c:pt>
                <c:pt idx="2701">
                  <c:v>7.801333333333332E-3</c:v>
                </c:pt>
                <c:pt idx="2702">
                  <c:v>7.801333333333332E-3</c:v>
                </c:pt>
                <c:pt idx="2703">
                  <c:v>7.801333333333332E-3</c:v>
                </c:pt>
                <c:pt idx="2704">
                  <c:v>7.801333333333332E-3</c:v>
                </c:pt>
                <c:pt idx="2705">
                  <c:v>7.801333333333332E-3</c:v>
                </c:pt>
                <c:pt idx="2706">
                  <c:v>7.801333333333332E-3</c:v>
                </c:pt>
                <c:pt idx="2707">
                  <c:v>7.801333333333332E-3</c:v>
                </c:pt>
                <c:pt idx="2708">
                  <c:v>7.801333333333332E-3</c:v>
                </c:pt>
                <c:pt idx="2709">
                  <c:v>7.801333333333332E-3</c:v>
                </c:pt>
                <c:pt idx="2710">
                  <c:v>7.801333333333332E-3</c:v>
                </c:pt>
                <c:pt idx="2711">
                  <c:v>7.801333333333332E-3</c:v>
                </c:pt>
                <c:pt idx="2712">
                  <c:v>7.801333333333332E-3</c:v>
                </c:pt>
                <c:pt idx="2713">
                  <c:v>7.801333333333332E-3</c:v>
                </c:pt>
                <c:pt idx="2714">
                  <c:v>7.801333333333332E-3</c:v>
                </c:pt>
                <c:pt idx="2715">
                  <c:v>7.801333333333332E-3</c:v>
                </c:pt>
                <c:pt idx="2716">
                  <c:v>7.801333333333332E-3</c:v>
                </c:pt>
                <c:pt idx="2717">
                  <c:v>7.801333333333332E-3</c:v>
                </c:pt>
                <c:pt idx="2718">
                  <c:v>7.801333333333332E-3</c:v>
                </c:pt>
                <c:pt idx="2719">
                  <c:v>7.801333333333332E-3</c:v>
                </c:pt>
                <c:pt idx="2720">
                  <c:v>7.801333333333332E-3</c:v>
                </c:pt>
                <c:pt idx="2721">
                  <c:v>7.801333333333332E-3</c:v>
                </c:pt>
                <c:pt idx="2722">
                  <c:v>7.801333333333332E-3</c:v>
                </c:pt>
                <c:pt idx="2723">
                  <c:v>7.801333333333332E-3</c:v>
                </c:pt>
                <c:pt idx="2724">
                  <c:v>7.801333333333332E-3</c:v>
                </c:pt>
                <c:pt idx="2725">
                  <c:v>7.801333333333332E-3</c:v>
                </c:pt>
                <c:pt idx="2726">
                  <c:v>7.801333333333332E-3</c:v>
                </c:pt>
                <c:pt idx="2727">
                  <c:v>7.801333333333332E-3</c:v>
                </c:pt>
                <c:pt idx="2728">
                  <c:v>7.801333333333332E-3</c:v>
                </c:pt>
                <c:pt idx="2729">
                  <c:v>7.801333333333332E-3</c:v>
                </c:pt>
                <c:pt idx="2730">
                  <c:v>7.801333333333332E-3</c:v>
                </c:pt>
                <c:pt idx="2731">
                  <c:v>5.4963666666666668E-2</c:v>
                </c:pt>
                <c:pt idx="2732">
                  <c:v>5.4963666666666668E-2</c:v>
                </c:pt>
                <c:pt idx="2733">
                  <c:v>5.4963666666666668E-2</c:v>
                </c:pt>
                <c:pt idx="2734">
                  <c:v>5.4963666666666668E-2</c:v>
                </c:pt>
                <c:pt idx="2735">
                  <c:v>5.4963666666666668E-2</c:v>
                </c:pt>
                <c:pt idx="2736">
                  <c:v>5.4963666666666668E-2</c:v>
                </c:pt>
                <c:pt idx="2737">
                  <c:v>5.4963666666666668E-2</c:v>
                </c:pt>
                <c:pt idx="2738">
                  <c:v>5.4963666666666668E-2</c:v>
                </c:pt>
                <c:pt idx="2739">
                  <c:v>5.4963666666666668E-2</c:v>
                </c:pt>
                <c:pt idx="2740">
                  <c:v>5.4963666666666668E-2</c:v>
                </c:pt>
                <c:pt idx="2741">
                  <c:v>5.4963666666666668E-2</c:v>
                </c:pt>
                <c:pt idx="2742">
                  <c:v>5.4963666666666668E-2</c:v>
                </c:pt>
                <c:pt idx="2743">
                  <c:v>5.4963666666666668E-2</c:v>
                </c:pt>
                <c:pt idx="2744">
                  <c:v>5.4963666666666668E-2</c:v>
                </c:pt>
                <c:pt idx="2745">
                  <c:v>5.4963666666666668E-2</c:v>
                </c:pt>
                <c:pt idx="2746">
                  <c:v>5.4963666666666668E-2</c:v>
                </c:pt>
                <c:pt idx="2747">
                  <c:v>5.4963666666666668E-2</c:v>
                </c:pt>
                <c:pt idx="2748">
                  <c:v>5.4963666666666668E-2</c:v>
                </c:pt>
                <c:pt idx="2749">
                  <c:v>5.4963666666666668E-2</c:v>
                </c:pt>
                <c:pt idx="2750">
                  <c:v>5.4963666666666668E-2</c:v>
                </c:pt>
                <c:pt idx="2751">
                  <c:v>5.4963666666666668E-2</c:v>
                </c:pt>
                <c:pt idx="2752">
                  <c:v>5.4963666666666668E-2</c:v>
                </c:pt>
                <c:pt idx="2753">
                  <c:v>5.4963666666666668E-2</c:v>
                </c:pt>
                <c:pt idx="2754">
                  <c:v>5.4963666666666668E-2</c:v>
                </c:pt>
                <c:pt idx="2755">
                  <c:v>5.4963666666666668E-2</c:v>
                </c:pt>
                <c:pt idx="2756">
                  <c:v>5.4963666666666668E-2</c:v>
                </c:pt>
                <c:pt idx="2757">
                  <c:v>5.4963666666666668E-2</c:v>
                </c:pt>
                <c:pt idx="2758">
                  <c:v>5.4963666666666668E-2</c:v>
                </c:pt>
                <c:pt idx="2759">
                  <c:v>5.4963666666666668E-2</c:v>
                </c:pt>
                <c:pt idx="2760">
                  <c:v>5.4963666666666668E-2</c:v>
                </c:pt>
                <c:pt idx="2761">
                  <c:v>5.4963666666666668E-2</c:v>
                </c:pt>
                <c:pt idx="2762">
                  <c:v>5.4963666666666668E-2</c:v>
                </c:pt>
                <c:pt idx="2763">
                  <c:v>5.4963666666666668E-2</c:v>
                </c:pt>
                <c:pt idx="2764">
                  <c:v>5.4963666666666668E-2</c:v>
                </c:pt>
                <c:pt idx="2765">
                  <c:v>5.4963666666666668E-2</c:v>
                </c:pt>
                <c:pt idx="2766">
                  <c:v>5.4963666666666668E-2</c:v>
                </c:pt>
                <c:pt idx="2767">
                  <c:v>5.4963666666666668E-2</c:v>
                </c:pt>
                <c:pt idx="2768">
                  <c:v>5.4963666666666668E-2</c:v>
                </c:pt>
                <c:pt idx="2769">
                  <c:v>5.4963666666666668E-2</c:v>
                </c:pt>
                <c:pt idx="2770">
                  <c:v>5.4963666666666668E-2</c:v>
                </c:pt>
                <c:pt idx="2771">
                  <c:v>5.4963666666666668E-2</c:v>
                </c:pt>
                <c:pt idx="2772">
                  <c:v>5.4963666666666668E-2</c:v>
                </c:pt>
                <c:pt idx="2773">
                  <c:v>5.4963666666666668E-2</c:v>
                </c:pt>
                <c:pt idx="2774">
                  <c:v>5.4963666666666668E-2</c:v>
                </c:pt>
                <c:pt idx="2775">
                  <c:v>5.4963666666666668E-2</c:v>
                </c:pt>
                <c:pt idx="2776">
                  <c:v>5.4963666666666668E-2</c:v>
                </c:pt>
                <c:pt idx="2777">
                  <c:v>5.4963666666666668E-2</c:v>
                </c:pt>
                <c:pt idx="2778">
                  <c:v>5.4963666666666668E-2</c:v>
                </c:pt>
                <c:pt idx="2779">
                  <c:v>5.4963666666666668E-2</c:v>
                </c:pt>
                <c:pt idx="2780">
                  <c:v>5.4963666666666668E-2</c:v>
                </c:pt>
                <c:pt idx="2781">
                  <c:v>5.4963666666666668E-2</c:v>
                </c:pt>
                <c:pt idx="2782">
                  <c:v>5.4963666666666668E-2</c:v>
                </c:pt>
                <c:pt idx="2783">
                  <c:v>5.4963666666666668E-2</c:v>
                </c:pt>
                <c:pt idx="2784">
                  <c:v>5.4963666666666668E-2</c:v>
                </c:pt>
                <c:pt idx="2785">
                  <c:v>5.4963666666666668E-2</c:v>
                </c:pt>
                <c:pt idx="2786">
                  <c:v>5.4963666666666668E-2</c:v>
                </c:pt>
                <c:pt idx="2787">
                  <c:v>5.4963666666666668E-2</c:v>
                </c:pt>
                <c:pt idx="2788">
                  <c:v>5.4963666666666668E-2</c:v>
                </c:pt>
                <c:pt idx="2789">
                  <c:v>5.4963666666666668E-2</c:v>
                </c:pt>
                <c:pt idx="2790">
                  <c:v>5.4963666666666668E-2</c:v>
                </c:pt>
                <c:pt idx="2791">
                  <c:v>5.4963666666666668E-2</c:v>
                </c:pt>
                <c:pt idx="2792">
                  <c:v>5.4963666666666668E-2</c:v>
                </c:pt>
                <c:pt idx="2793">
                  <c:v>5.4963666666666668E-2</c:v>
                </c:pt>
                <c:pt idx="2794">
                  <c:v>5.4963666666666668E-2</c:v>
                </c:pt>
                <c:pt idx="2795">
                  <c:v>5.4963666666666668E-2</c:v>
                </c:pt>
                <c:pt idx="2796">
                  <c:v>5.4963666666666668E-2</c:v>
                </c:pt>
                <c:pt idx="2797">
                  <c:v>5.4963666666666668E-2</c:v>
                </c:pt>
                <c:pt idx="2798">
                  <c:v>5.4963666666666668E-2</c:v>
                </c:pt>
                <c:pt idx="2799">
                  <c:v>5.4963666666666668E-2</c:v>
                </c:pt>
                <c:pt idx="2800">
                  <c:v>5.4963666666666668E-2</c:v>
                </c:pt>
                <c:pt idx="2801">
                  <c:v>5.4963666666666668E-2</c:v>
                </c:pt>
                <c:pt idx="2802">
                  <c:v>5.4963666666666668E-2</c:v>
                </c:pt>
                <c:pt idx="2803">
                  <c:v>5.4963666666666668E-2</c:v>
                </c:pt>
                <c:pt idx="2804">
                  <c:v>5.4963666666666668E-2</c:v>
                </c:pt>
                <c:pt idx="2805">
                  <c:v>5.4963666666666668E-2</c:v>
                </c:pt>
                <c:pt idx="2806">
                  <c:v>5.4963666666666668E-2</c:v>
                </c:pt>
                <c:pt idx="2807">
                  <c:v>5.4963666666666668E-2</c:v>
                </c:pt>
                <c:pt idx="2808">
                  <c:v>5.4963666666666668E-2</c:v>
                </c:pt>
                <c:pt idx="2809">
                  <c:v>5.4963666666666668E-2</c:v>
                </c:pt>
                <c:pt idx="2810">
                  <c:v>5.4963666666666668E-2</c:v>
                </c:pt>
                <c:pt idx="2811">
                  <c:v>5.4963666666666668E-2</c:v>
                </c:pt>
                <c:pt idx="2812">
                  <c:v>5.4963666666666668E-2</c:v>
                </c:pt>
                <c:pt idx="2813">
                  <c:v>5.4963666666666668E-2</c:v>
                </c:pt>
                <c:pt idx="2814">
                  <c:v>5.4963666666666668E-2</c:v>
                </c:pt>
                <c:pt idx="2815">
                  <c:v>5.4963666666666668E-2</c:v>
                </c:pt>
                <c:pt idx="2816">
                  <c:v>5.4963666666666668E-2</c:v>
                </c:pt>
                <c:pt idx="2817">
                  <c:v>5.4963666666666668E-2</c:v>
                </c:pt>
                <c:pt idx="2818">
                  <c:v>5.4963666666666668E-2</c:v>
                </c:pt>
                <c:pt idx="2819">
                  <c:v>5.4963666666666668E-2</c:v>
                </c:pt>
                <c:pt idx="2820">
                  <c:v>5.4963666666666668E-2</c:v>
                </c:pt>
                <c:pt idx="2821">
                  <c:v>5.4963666666666668E-2</c:v>
                </c:pt>
                <c:pt idx="2822">
                  <c:v>5.4963666666666668E-2</c:v>
                </c:pt>
                <c:pt idx="2823">
                  <c:v>5.4963666666666668E-2</c:v>
                </c:pt>
                <c:pt idx="2824">
                  <c:v>5.4963666666666668E-2</c:v>
                </c:pt>
                <c:pt idx="2825">
                  <c:v>5.4963666666666668E-2</c:v>
                </c:pt>
                <c:pt idx="2826">
                  <c:v>5.4963666666666668E-2</c:v>
                </c:pt>
                <c:pt idx="2827">
                  <c:v>5.4963666666666668E-2</c:v>
                </c:pt>
                <c:pt idx="2828">
                  <c:v>5.4963666666666668E-2</c:v>
                </c:pt>
                <c:pt idx="2829">
                  <c:v>5.4963666666666668E-2</c:v>
                </c:pt>
                <c:pt idx="2830">
                  <c:v>5.4963666666666668E-2</c:v>
                </c:pt>
                <c:pt idx="2831">
                  <c:v>5.4963666666666668E-2</c:v>
                </c:pt>
                <c:pt idx="2832">
                  <c:v>5.4963666666666668E-2</c:v>
                </c:pt>
                <c:pt idx="2833">
                  <c:v>5.4963666666666668E-2</c:v>
                </c:pt>
                <c:pt idx="2834">
                  <c:v>5.4963666666666668E-2</c:v>
                </c:pt>
                <c:pt idx="2835">
                  <c:v>5.4963666666666668E-2</c:v>
                </c:pt>
                <c:pt idx="2836">
                  <c:v>5.4963666666666668E-2</c:v>
                </c:pt>
                <c:pt idx="2837">
                  <c:v>5.4963666666666668E-2</c:v>
                </c:pt>
                <c:pt idx="2838">
                  <c:v>5.4963666666666668E-2</c:v>
                </c:pt>
                <c:pt idx="2839">
                  <c:v>5.4963666666666668E-2</c:v>
                </c:pt>
                <c:pt idx="2840">
                  <c:v>5.4963666666666668E-2</c:v>
                </c:pt>
                <c:pt idx="2841">
                  <c:v>5.4963666666666668E-2</c:v>
                </c:pt>
                <c:pt idx="2842">
                  <c:v>5.4963666666666668E-2</c:v>
                </c:pt>
                <c:pt idx="2843">
                  <c:v>5.4963666666666668E-2</c:v>
                </c:pt>
                <c:pt idx="2844">
                  <c:v>5.4963666666666668E-2</c:v>
                </c:pt>
                <c:pt idx="2845">
                  <c:v>5.4963666666666668E-2</c:v>
                </c:pt>
                <c:pt idx="2846">
                  <c:v>5.4963666666666668E-2</c:v>
                </c:pt>
                <c:pt idx="2847">
                  <c:v>5.4963666666666668E-2</c:v>
                </c:pt>
                <c:pt idx="2848">
                  <c:v>5.4963666666666668E-2</c:v>
                </c:pt>
                <c:pt idx="2849">
                  <c:v>5.4963666666666668E-2</c:v>
                </c:pt>
                <c:pt idx="2850">
                  <c:v>5.4963666666666668E-2</c:v>
                </c:pt>
                <c:pt idx="2851">
                  <c:v>5.4963666666666668E-2</c:v>
                </c:pt>
                <c:pt idx="2852">
                  <c:v>5.4963666666666668E-2</c:v>
                </c:pt>
                <c:pt idx="2853">
                  <c:v>5.4963666666666668E-2</c:v>
                </c:pt>
                <c:pt idx="2854">
                  <c:v>5.4963666666666668E-2</c:v>
                </c:pt>
                <c:pt idx="2855">
                  <c:v>5.4963666666666668E-2</c:v>
                </c:pt>
                <c:pt idx="2856">
                  <c:v>5.4963666666666668E-2</c:v>
                </c:pt>
                <c:pt idx="2857">
                  <c:v>5.4963666666666668E-2</c:v>
                </c:pt>
                <c:pt idx="2858">
                  <c:v>5.4963666666666668E-2</c:v>
                </c:pt>
                <c:pt idx="2859">
                  <c:v>5.4963666666666668E-2</c:v>
                </c:pt>
                <c:pt idx="2860">
                  <c:v>5.4963666666666668E-2</c:v>
                </c:pt>
                <c:pt idx="2861">
                  <c:v>5.4963666666666668E-2</c:v>
                </c:pt>
                <c:pt idx="2862">
                  <c:v>5.4963666666666668E-2</c:v>
                </c:pt>
                <c:pt idx="2863">
                  <c:v>5.4963666666666668E-2</c:v>
                </c:pt>
                <c:pt idx="2864">
                  <c:v>5.4963666666666668E-2</c:v>
                </c:pt>
                <c:pt idx="2865">
                  <c:v>5.4963666666666668E-2</c:v>
                </c:pt>
                <c:pt idx="2866">
                  <c:v>5.4963666666666668E-2</c:v>
                </c:pt>
                <c:pt idx="2867">
                  <c:v>5.4963666666666668E-2</c:v>
                </c:pt>
                <c:pt idx="2868">
                  <c:v>5.4963666666666668E-2</c:v>
                </c:pt>
                <c:pt idx="2869">
                  <c:v>5.4963666666666668E-2</c:v>
                </c:pt>
                <c:pt idx="2870">
                  <c:v>5.4963666666666668E-2</c:v>
                </c:pt>
                <c:pt idx="2871">
                  <c:v>5.4963666666666668E-2</c:v>
                </c:pt>
                <c:pt idx="2872">
                  <c:v>5.4963666666666668E-2</c:v>
                </c:pt>
                <c:pt idx="2873">
                  <c:v>5.4963666666666668E-2</c:v>
                </c:pt>
                <c:pt idx="2874">
                  <c:v>5.4963666666666668E-2</c:v>
                </c:pt>
                <c:pt idx="2875">
                  <c:v>5.4963666666666668E-2</c:v>
                </c:pt>
                <c:pt idx="2876">
                  <c:v>5.4963666666666668E-2</c:v>
                </c:pt>
                <c:pt idx="2877">
                  <c:v>5.4963666666666668E-2</c:v>
                </c:pt>
                <c:pt idx="2878">
                  <c:v>5.4963666666666668E-2</c:v>
                </c:pt>
                <c:pt idx="2879">
                  <c:v>5.4963666666666668E-2</c:v>
                </c:pt>
                <c:pt idx="2880">
                  <c:v>5.4963666666666668E-2</c:v>
                </c:pt>
                <c:pt idx="2881">
                  <c:v>5.4963666666666668E-2</c:v>
                </c:pt>
                <c:pt idx="2882">
                  <c:v>5.4963666666666668E-2</c:v>
                </c:pt>
                <c:pt idx="2883">
                  <c:v>5.4963666666666668E-2</c:v>
                </c:pt>
                <c:pt idx="2884">
                  <c:v>5.4963666666666668E-2</c:v>
                </c:pt>
                <c:pt idx="2885">
                  <c:v>5.4963666666666668E-2</c:v>
                </c:pt>
                <c:pt idx="2886">
                  <c:v>5.4963666666666668E-2</c:v>
                </c:pt>
                <c:pt idx="2887">
                  <c:v>5.4963666666666668E-2</c:v>
                </c:pt>
                <c:pt idx="2888">
                  <c:v>5.4963666666666668E-2</c:v>
                </c:pt>
                <c:pt idx="2889">
                  <c:v>5.4963666666666668E-2</c:v>
                </c:pt>
                <c:pt idx="2890">
                  <c:v>5.4963666666666668E-2</c:v>
                </c:pt>
                <c:pt idx="2891">
                  <c:v>5.4963666666666668E-2</c:v>
                </c:pt>
                <c:pt idx="2892">
                  <c:v>5.4963666666666668E-2</c:v>
                </c:pt>
                <c:pt idx="2893">
                  <c:v>5.4963666666666668E-2</c:v>
                </c:pt>
                <c:pt idx="2894">
                  <c:v>5.4963666666666668E-2</c:v>
                </c:pt>
                <c:pt idx="2895">
                  <c:v>5.4963666666666668E-2</c:v>
                </c:pt>
                <c:pt idx="2896">
                  <c:v>5.4963666666666668E-2</c:v>
                </c:pt>
                <c:pt idx="2897">
                  <c:v>5.4963666666666668E-2</c:v>
                </c:pt>
                <c:pt idx="2898">
                  <c:v>5.4963666666666668E-2</c:v>
                </c:pt>
                <c:pt idx="2899">
                  <c:v>5.4963666666666668E-2</c:v>
                </c:pt>
                <c:pt idx="2900">
                  <c:v>5.4963666666666668E-2</c:v>
                </c:pt>
                <c:pt idx="2901">
                  <c:v>5.4963666666666668E-2</c:v>
                </c:pt>
                <c:pt idx="2902">
                  <c:v>5.4963666666666668E-2</c:v>
                </c:pt>
                <c:pt idx="2903">
                  <c:v>5.4963666666666668E-2</c:v>
                </c:pt>
                <c:pt idx="2904">
                  <c:v>5.4963666666666668E-2</c:v>
                </c:pt>
                <c:pt idx="2905">
                  <c:v>5.4963666666666668E-2</c:v>
                </c:pt>
                <c:pt idx="2906">
                  <c:v>5.4963666666666668E-2</c:v>
                </c:pt>
                <c:pt idx="2907">
                  <c:v>5.4963666666666668E-2</c:v>
                </c:pt>
                <c:pt idx="2908">
                  <c:v>5.4963666666666668E-2</c:v>
                </c:pt>
                <c:pt idx="2909">
                  <c:v>5.4963666666666668E-2</c:v>
                </c:pt>
                <c:pt idx="2910">
                  <c:v>5.4963666666666668E-2</c:v>
                </c:pt>
                <c:pt idx="2911">
                  <c:v>5.4963666666666668E-2</c:v>
                </c:pt>
                <c:pt idx="2912">
                  <c:v>5.4963666666666668E-2</c:v>
                </c:pt>
                <c:pt idx="2913">
                  <c:v>5.4963666666666668E-2</c:v>
                </c:pt>
                <c:pt idx="2914">
                  <c:v>5.4963666666666668E-2</c:v>
                </c:pt>
                <c:pt idx="2915">
                  <c:v>5.4963666666666668E-2</c:v>
                </c:pt>
                <c:pt idx="2916">
                  <c:v>5.4963666666666668E-2</c:v>
                </c:pt>
                <c:pt idx="2917">
                  <c:v>5.4963666666666668E-2</c:v>
                </c:pt>
                <c:pt idx="2918">
                  <c:v>5.4963666666666668E-2</c:v>
                </c:pt>
                <c:pt idx="2919">
                  <c:v>5.4963666666666668E-2</c:v>
                </c:pt>
                <c:pt idx="2920">
                  <c:v>5.4963666666666668E-2</c:v>
                </c:pt>
                <c:pt idx="2921">
                  <c:v>5.4963666666666668E-2</c:v>
                </c:pt>
                <c:pt idx="2922">
                  <c:v>5.4963666666666668E-2</c:v>
                </c:pt>
                <c:pt idx="2923">
                  <c:v>5.4963666666666668E-2</c:v>
                </c:pt>
                <c:pt idx="2924">
                  <c:v>5.4963666666666668E-2</c:v>
                </c:pt>
                <c:pt idx="2925">
                  <c:v>5.4963666666666668E-2</c:v>
                </c:pt>
                <c:pt idx="2926">
                  <c:v>5.4963666666666668E-2</c:v>
                </c:pt>
                <c:pt idx="2927">
                  <c:v>5.4963666666666668E-2</c:v>
                </c:pt>
                <c:pt idx="2928">
                  <c:v>5.4963666666666668E-2</c:v>
                </c:pt>
                <c:pt idx="2929">
                  <c:v>5.4963666666666668E-2</c:v>
                </c:pt>
                <c:pt idx="2930">
                  <c:v>5.4963666666666668E-2</c:v>
                </c:pt>
                <c:pt idx="2931">
                  <c:v>5.4963666666666668E-2</c:v>
                </c:pt>
                <c:pt idx="2932">
                  <c:v>5.4963666666666668E-2</c:v>
                </c:pt>
                <c:pt idx="2933">
                  <c:v>5.4963666666666668E-2</c:v>
                </c:pt>
                <c:pt idx="2934">
                  <c:v>5.4963666666666668E-2</c:v>
                </c:pt>
                <c:pt idx="2935">
                  <c:v>5.4963666666666668E-2</c:v>
                </c:pt>
                <c:pt idx="2936">
                  <c:v>5.4963666666666668E-2</c:v>
                </c:pt>
                <c:pt idx="2937">
                  <c:v>5.4963666666666668E-2</c:v>
                </c:pt>
                <c:pt idx="2938">
                  <c:v>5.4963666666666668E-2</c:v>
                </c:pt>
                <c:pt idx="2939">
                  <c:v>5.4963666666666668E-2</c:v>
                </c:pt>
                <c:pt idx="2940">
                  <c:v>5.4963666666666668E-2</c:v>
                </c:pt>
                <c:pt idx="2941">
                  <c:v>5.4963666666666668E-2</c:v>
                </c:pt>
                <c:pt idx="2942">
                  <c:v>5.4963666666666668E-2</c:v>
                </c:pt>
                <c:pt idx="2943">
                  <c:v>0.10613833333333333</c:v>
                </c:pt>
                <c:pt idx="2944">
                  <c:v>0.10613833333333333</c:v>
                </c:pt>
                <c:pt idx="2945">
                  <c:v>0.10613833333333333</c:v>
                </c:pt>
                <c:pt idx="2946">
                  <c:v>0.10613833333333333</c:v>
                </c:pt>
                <c:pt idx="2947">
                  <c:v>0.10613833333333333</c:v>
                </c:pt>
                <c:pt idx="2948">
                  <c:v>0.10613833333333333</c:v>
                </c:pt>
                <c:pt idx="2949">
                  <c:v>0.10613833333333333</c:v>
                </c:pt>
                <c:pt idx="2950">
                  <c:v>0.10613833333333333</c:v>
                </c:pt>
                <c:pt idx="2951">
                  <c:v>0.10613833333333333</c:v>
                </c:pt>
                <c:pt idx="2952">
                  <c:v>0.10613833333333333</c:v>
                </c:pt>
                <c:pt idx="2953">
                  <c:v>0.10613833333333333</c:v>
                </c:pt>
                <c:pt idx="2954">
                  <c:v>0.10613833333333333</c:v>
                </c:pt>
                <c:pt idx="2955">
                  <c:v>0.10613833333333333</c:v>
                </c:pt>
                <c:pt idx="2956">
                  <c:v>0.10613833333333333</c:v>
                </c:pt>
                <c:pt idx="2957">
                  <c:v>0.10613833333333333</c:v>
                </c:pt>
                <c:pt idx="2958">
                  <c:v>0.10613833333333333</c:v>
                </c:pt>
                <c:pt idx="2959">
                  <c:v>0.10613833333333333</c:v>
                </c:pt>
                <c:pt idx="2960">
                  <c:v>0.10613833333333333</c:v>
                </c:pt>
                <c:pt idx="2961">
                  <c:v>0.10613833333333333</c:v>
                </c:pt>
                <c:pt idx="2962">
                  <c:v>3.8144666666666667E-2</c:v>
                </c:pt>
                <c:pt idx="2963">
                  <c:v>3.8144666666666667E-2</c:v>
                </c:pt>
                <c:pt idx="2964">
                  <c:v>3.8144666666666667E-2</c:v>
                </c:pt>
                <c:pt idx="2965">
                  <c:v>3.8144666666666667E-2</c:v>
                </c:pt>
                <c:pt idx="2966">
                  <c:v>3.8144666666666667E-2</c:v>
                </c:pt>
                <c:pt idx="2967">
                  <c:v>3.8144666666666667E-2</c:v>
                </c:pt>
                <c:pt idx="2968">
                  <c:v>3.8144666666666667E-2</c:v>
                </c:pt>
                <c:pt idx="2969">
                  <c:v>3.8144666666666667E-2</c:v>
                </c:pt>
                <c:pt idx="2970">
                  <c:v>3.8144666666666667E-2</c:v>
                </c:pt>
                <c:pt idx="2971">
                  <c:v>3.8144666666666667E-2</c:v>
                </c:pt>
                <c:pt idx="2972">
                  <c:v>3.8144666666666667E-2</c:v>
                </c:pt>
                <c:pt idx="2973">
                  <c:v>3.8144666666666667E-2</c:v>
                </c:pt>
                <c:pt idx="2974">
                  <c:v>3.8144666666666667E-2</c:v>
                </c:pt>
                <c:pt idx="2975">
                  <c:v>3.8144666666666667E-2</c:v>
                </c:pt>
                <c:pt idx="2976">
                  <c:v>3.8144666666666667E-2</c:v>
                </c:pt>
                <c:pt idx="2977">
                  <c:v>3.8144666666666667E-2</c:v>
                </c:pt>
                <c:pt idx="2978">
                  <c:v>3.8144666666666667E-2</c:v>
                </c:pt>
                <c:pt idx="2979">
                  <c:v>3.8144666666666667E-2</c:v>
                </c:pt>
                <c:pt idx="2980">
                  <c:v>3.8144666666666667E-2</c:v>
                </c:pt>
                <c:pt idx="2981">
                  <c:v>3.8144666666666667E-2</c:v>
                </c:pt>
                <c:pt idx="2982">
                  <c:v>3.8144666666666667E-2</c:v>
                </c:pt>
                <c:pt idx="2983">
                  <c:v>3.8144666666666667E-2</c:v>
                </c:pt>
                <c:pt idx="2984">
                  <c:v>3.8144666666666667E-2</c:v>
                </c:pt>
                <c:pt idx="2985">
                  <c:v>3.8144666666666667E-2</c:v>
                </c:pt>
                <c:pt idx="2986">
                  <c:v>3.8144666666666667E-2</c:v>
                </c:pt>
                <c:pt idx="2987">
                  <c:v>3.8144666666666667E-2</c:v>
                </c:pt>
                <c:pt idx="2988">
                  <c:v>3.8144666666666667E-2</c:v>
                </c:pt>
                <c:pt idx="2989">
                  <c:v>3.8144666666666667E-2</c:v>
                </c:pt>
                <c:pt idx="2990">
                  <c:v>3.8144666666666667E-2</c:v>
                </c:pt>
                <c:pt idx="2991">
                  <c:v>3.8144666666666667E-2</c:v>
                </c:pt>
                <c:pt idx="2992">
                  <c:v>3.8144666666666667E-2</c:v>
                </c:pt>
                <c:pt idx="2993">
                  <c:v>3.8144666666666667E-2</c:v>
                </c:pt>
                <c:pt idx="2994">
                  <c:v>3.8144666666666667E-2</c:v>
                </c:pt>
                <c:pt idx="2995">
                  <c:v>3.8144666666666667E-2</c:v>
                </c:pt>
                <c:pt idx="2996">
                  <c:v>3.8144666666666667E-2</c:v>
                </c:pt>
                <c:pt idx="2997">
                  <c:v>3.8144666666666667E-2</c:v>
                </c:pt>
                <c:pt idx="2998">
                  <c:v>3.8144666666666667E-2</c:v>
                </c:pt>
                <c:pt idx="2999">
                  <c:v>3.8144666666666667E-2</c:v>
                </c:pt>
                <c:pt idx="3000">
                  <c:v>3.8144666666666667E-2</c:v>
                </c:pt>
                <c:pt idx="3001">
                  <c:v>3.8144666666666667E-2</c:v>
                </c:pt>
                <c:pt idx="3002">
                  <c:v>3.8144666666666667E-2</c:v>
                </c:pt>
                <c:pt idx="3003">
                  <c:v>3.8144666666666667E-2</c:v>
                </c:pt>
                <c:pt idx="3004">
                  <c:v>3.8144666666666667E-2</c:v>
                </c:pt>
                <c:pt idx="3005">
                  <c:v>3.8144666666666667E-2</c:v>
                </c:pt>
                <c:pt idx="3006">
                  <c:v>3.8144666666666667E-2</c:v>
                </c:pt>
                <c:pt idx="3007">
                  <c:v>3.8144666666666667E-2</c:v>
                </c:pt>
                <c:pt idx="3008">
                  <c:v>3.8144666666666667E-2</c:v>
                </c:pt>
                <c:pt idx="3009">
                  <c:v>3.8144666666666667E-2</c:v>
                </c:pt>
                <c:pt idx="3010">
                  <c:v>3.8144666666666667E-2</c:v>
                </c:pt>
                <c:pt idx="3011">
                  <c:v>4.7186000000000006E-2</c:v>
                </c:pt>
                <c:pt idx="3012">
                  <c:v>4.7186000000000006E-2</c:v>
                </c:pt>
                <c:pt idx="3013">
                  <c:v>4.7186000000000006E-2</c:v>
                </c:pt>
                <c:pt idx="3014">
                  <c:v>4.7186000000000006E-2</c:v>
                </c:pt>
                <c:pt idx="3015">
                  <c:v>4.7186000000000006E-2</c:v>
                </c:pt>
                <c:pt idx="3016">
                  <c:v>4.7186000000000006E-2</c:v>
                </c:pt>
                <c:pt idx="3017">
                  <c:v>4.7186000000000006E-2</c:v>
                </c:pt>
                <c:pt idx="3018">
                  <c:v>4.7186000000000006E-2</c:v>
                </c:pt>
                <c:pt idx="3019">
                  <c:v>4.7186000000000006E-2</c:v>
                </c:pt>
                <c:pt idx="3020">
                  <c:v>4.7186000000000006E-2</c:v>
                </c:pt>
                <c:pt idx="3021">
                  <c:v>4.7186000000000006E-2</c:v>
                </c:pt>
                <c:pt idx="3022">
                  <c:v>4.7186000000000006E-2</c:v>
                </c:pt>
                <c:pt idx="3023">
                  <c:v>4.7186000000000006E-2</c:v>
                </c:pt>
                <c:pt idx="3024">
                  <c:v>4.7186000000000006E-2</c:v>
                </c:pt>
                <c:pt idx="3025">
                  <c:v>4.7186000000000006E-2</c:v>
                </c:pt>
                <c:pt idx="3026">
                  <c:v>4.7186000000000006E-2</c:v>
                </c:pt>
                <c:pt idx="3027">
                  <c:v>4.7186000000000006E-2</c:v>
                </c:pt>
                <c:pt idx="3028">
                  <c:v>4.7186000000000006E-2</c:v>
                </c:pt>
                <c:pt idx="3029">
                  <c:v>4.7186000000000006E-2</c:v>
                </c:pt>
                <c:pt idx="3030">
                  <c:v>4.7186000000000006E-2</c:v>
                </c:pt>
                <c:pt idx="3031">
                  <c:v>4.7186000000000006E-2</c:v>
                </c:pt>
                <c:pt idx="3032">
                  <c:v>4.7186000000000006E-2</c:v>
                </c:pt>
                <c:pt idx="3033">
                  <c:v>4.7186000000000006E-2</c:v>
                </c:pt>
                <c:pt idx="3034">
                  <c:v>4.7186000000000006E-2</c:v>
                </c:pt>
                <c:pt idx="3035">
                  <c:v>4.7186000000000006E-2</c:v>
                </c:pt>
                <c:pt idx="3036">
                  <c:v>4.7186000000000006E-2</c:v>
                </c:pt>
                <c:pt idx="3037">
                  <c:v>4.7186000000000006E-2</c:v>
                </c:pt>
                <c:pt idx="3038">
                  <c:v>4.7186000000000006E-2</c:v>
                </c:pt>
                <c:pt idx="3039">
                  <c:v>4.7186000000000006E-2</c:v>
                </c:pt>
                <c:pt idx="3040">
                  <c:v>4.7186000000000006E-2</c:v>
                </c:pt>
                <c:pt idx="3041">
                  <c:v>0.13380733333333333</c:v>
                </c:pt>
                <c:pt idx="3042">
                  <c:v>0.13380733333333333</c:v>
                </c:pt>
                <c:pt idx="3043">
                  <c:v>0.13380733333333333</c:v>
                </c:pt>
                <c:pt idx="3044">
                  <c:v>0.13380733333333333</c:v>
                </c:pt>
                <c:pt idx="3045">
                  <c:v>0.13380733333333333</c:v>
                </c:pt>
                <c:pt idx="3046">
                  <c:v>0.13380733333333333</c:v>
                </c:pt>
                <c:pt idx="3047">
                  <c:v>0.13380733333333333</c:v>
                </c:pt>
                <c:pt idx="3048">
                  <c:v>0.13380733333333333</c:v>
                </c:pt>
                <c:pt idx="3049">
                  <c:v>0.13380733333333333</c:v>
                </c:pt>
                <c:pt idx="3050">
                  <c:v>0.13380733333333333</c:v>
                </c:pt>
                <c:pt idx="3051">
                  <c:v>0.13380733333333333</c:v>
                </c:pt>
                <c:pt idx="3052">
                  <c:v>0.13380733333333333</c:v>
                </c:pt>
                <c:pt idx="3053">
                  <c:v>0.13380733333333333</c:v>
                </c:pt>
                <c:pt idx="3054">
                  <c:v>0.13380733333333333</c:v>
                </c:pt>
                <c:pt idx="3055">
                  <c:v>0.13380733333333333</c:v>
                </c:pt>
                <c:pt idx="3056">
                  <c:v>0.13380733333333333</c:v>
                </c:pt>
                <c:pt idx="3057">
                  <c:v>0.13380733333333333</c:v>
                </c:pt>
                <c:pt idx="3058">
                  <c:v>0.13380733333333333</c:v>
                </c:pt>
                <c:pt idx="3059">
                  <c:v>0.13380733333333333</c:v>
                </c:pt>
                <c:pt idx="3060">
                  <c:v>0.13380733333333333</c:v>
                </c:pt>
                <c:pt idx="3061">
                  <c:v>0.13380733333333333</c:v>
                </c:pt>
                <c:pt idx="3062">
                  <c:v>0.13380733333333333</c:v>
                </c:pt>
                <c:pt idx="3063">
                  <c:v>0.13380733333333333</c:v>
                </c:pt>
                <c:pt idx="3064">
                  <c:v>0.13380733333333333</c:v>
                </c:pt>
                <c:pt idx="3065">
                  <c:v>0.13380733333333333</c:v>
                </c:pt>
                <c:pt idx="3066">
                  <c:v>0.13380733333333333</c:v>
                </c:pt>
                <c:pt idx="3067">
                  <c:v>0.13380733333333333</c:v>
                </c:pt>
                <c:pt idx="3068">
                  <c:v>0.13380733333333333</c:v>
                </c:pt>
                <c:pt idx="3069">
                  <c:v>0.13380733333333333</c:v>
                </c:pt>
                <c:pt idx="3070">
                  <c:v>0.13380733333333333</c:v>
                </c:pt>
                <c:pt idx="3071">
                  <c:v>0.13380733333333333</c:v>
                </c:pt>
                <c:pt idx="3072">
                  <c:v>0.13380733333333333</c:v>
                </c:pt>
                <c:pt idx="3073">
                  <c:v>0.13380733333333333</c:v>
                </c:pt>
                <c:pt idx="3074">
                  <c:v>0.13380733333333333</c:v>
                </c:pt>
                <c:pt idx="3075">
                  <c:v>0.13380733333333333</c:v>
                </c:pt>
                <c:pt idx="3076">
                  <c:v>0.13380733333333333</c:v>
                </c:pt>
                <c:pt idx="3077">
                  <c:v>0.13380733333333333</c:v>
                </c:pt>
                <c:pt idx="3078">
                  <c:v>0.13380733333333333</c:v>
                </c:pt>
                <c:pt idx="3079">
                  <c:v>0.13380733333333333</c:v>
                </c:pt>
                <c:pt idx="3080">
                  <c:v>0.13380733333333333</c:v>
                </c:pt>
                <c:pt idx="3081">
                  <c:v>0.13380733333333333</c:v>
                </c:pt>
                <c:pt idx="3082">
                  <c:v>0.13380733333333333</c:v>
                </c:pt>
                <c:pt idx="3083">
                  <c:v>0.13380733333333333</c:v>
                </c:pt>
                <c:pt idx="3084">
                  <c:v>0.13380733333333333</c:v>
                </c:pt>
                <c:pt idx="3085">
                  <c:v>0.13380733333333333</c:v>
                </c:pt>
                <c:pt idx="3086">
                  <c:v>0.13380733333333333</c:v>
                </c:pt>
                <c:pt idx="3087">
                  <c:v>0.13380733333333333</c:v>
                </c:pt>
                <c:pt idx="3088">
                  <c:v>0.13380733333333333</c:v>
                </c:pt>
                <c:pt idx="3089">
                  <c:v>0.13380733333333333</c:v>
                </c:pt>
                <c:pt idx="3090">
                  <c:v>0.13380733333333333</c:v>
                </c:pt>
                <c:pt idx="3091">
                  <c:v>0.13380733333333333</c:v>
                </c:pt>
                <c:pt idx="3092">
                  <c:v>0.13380733333333333</c:v>
                </c:pt>
                <c:pt idx="3093">
                  <c:v>0.13380733333333333</c:v>
                </c:pt>
                <c:pt idx="3094">
                  <c:v>0.13380733333333333</c:v>
                </c:pt>
                <c:pt idx="3095">
                  <c:v>0.13380733333333333</c:v>
                </c:pt>
                <c:pt idx="3096">
                  <c:v>0.13380733333333333</c:v>
                </c:pt>
                <c:pt idx="3097">
                  <c:v>0.13380733333333333</c:v>
                </c:pt>
                <c:pt idx="3098">
                  <c:v>0.13380733333333333</c:v>
                </c:pt>
                <c:pt idx="3099">
                  <c:v>0.13380733333333333</c:v>
                </c:pt>
                <c:pt idx="3100">
                  <c:v>0.13380733333333333</c:v>
                </c:pt>
                <c:pt idx="3101">
                  <c:v>0.13380733333333333</c:v>
                </c:pt>
                <c:pt idx="3102">
                  <c:v>0.13380733333333333</c:v>
                </c:pt>
                <c:pt idx="3103">
                  <c:v>0.13380733333333333</c:v>
                </c:pt>
                <c:pt idx="3104">
                  <c:v>0.13380733333333333</c:v>
                </c:pt>
                <c:pt idx="3105">
                  <c:v>0.13380733333333333</c:v>
                </c:pt>
                <c:pt idx="3106">
                  <c:v>0.13380733333333333</c:v>
                </c:pt>
                <c:pt idx="3107">
                  <c:v>0.13380733333333333</c:v>
                </c:pt>
                <c:pt idx="3108">
                  <c:v>0.13380733333333333</c:v>
                </c:pt>
                <c:pt idx="3109">
                  <c:v>0.13380733333333333</c:v>
                </c:pt>
                <c:pt idx="3110">
                  <c:v>0.13380733333333333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0C8-4C62-8C1B-9A0A5115E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414496"/>
        <c:axId val="747357968"/>
      </c:areaChart>
      <c:lineChart>
        <c:grouping val="standard"/>
        <c:varyColors val="0"/>
        <c:ser>
          <c:idx val="0"/>
          <c:order val="0"/>
          <c:tx>
            <c:v>Projected Production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cat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8-4C62-8C1B-9A0A5115E59D}"/>
            </c:ext>
          </c:extLst>
        </c:ser>
        <c:ser>
          <c:idx val="3"/>
          <c:order val="2"/>
          <c:tx>
            <c:v>Observed Production Rate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cat>
          <c: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C8-4C62-8C1B-9A0A5115E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47056"/>
        <c:axId val="404939856"/>
      </c:lineChart>
      <c:catAx>
        <c:axId val="206341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Days of</a:t>
                </a:r>
                <a:r>
                  <a:rPr lang="en-US" sz="1600" baseline="0">
                    <a:solidFill>
                      <a:sysClr val="windowText" lastClr="000000"/>
                    </a:solidFill>
                  </a:rPr>
                  <a:t> Operation</a:t>
                </a:r>
                <a:endParaRPr lang="en-US" sz="16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7968"/>
        <c:crosses val="autoZero"/>
        <c:auto val="1"/>
        <c:lblAlgn val="ctr"/>
        <c:lblOffset val="100"/>
        <c:tickLblSkip val="300"/>
        <c:tickMarkSkip val="50"/>
        <c:noMultiLvlLbl val="0"/>
      </c:catAx>
      <c:valAx>
        <c:axId val="74735796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Product</a:t>
                </a:r>
                <a:r>
                  <a:rPr lang="en-US" sz="1400" baseline="0">
                    <a:solidFill>
                      <a:sysClr val="windowText" lastClr="000000"/>
                    </a:solidFill>
                  </a:rPr>
                  <a:t> Gas Composition</a:t>
                </a:r>
                <a:r>
                  <a:rPr lang="en-US" sz="1400">
                    <a:solidFill>
                      <a:sysClr val="windowText" lastClr="000000"/>
                    </a:solidFill>
                  </a:rPr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414496"/>
        <c:crosses val="autoZero"/>
        <c:crossBetween val="between"/>
        <c:majorUnit val="0.2"/>
      </c:valAx>
      <c:valAx>
        <c:axId val="404939856"/>
        <c:scaling>
          <c:orientation val="minMax"/>
          <c:max val="1.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P</a:t>
                </a:r>
                <a:r>
                  <a:rPr lang="en-US" sz="1400">
                    <a:solidFill>
                      <a:sysClr val="windowText" lastClr="000000"/>
                    </a:solidFill>
                  </a:rPr>
                  <a:t>roduction Rate (mL CH</a:t>
                </a:r>
                <a:r>
                  <a:rPr lang="en-US" sz="1400" baseline="-25000">
                    <a:solidFill>
                      <a:sysClr val="windowText" lastClr="000000"/>
                    </a:solidFill>
                  </a:rPr>
                  <a:t>4</a:t>
                </a:r>
                <a:r>
                  <a:rPr lang="en-US" sz="1400">
                    <a:solidFill>
                      <a:sysClr val="windowText" lastClr="000000"/>
                    </a:solidFill>
                  </a:rPr>
                  <a:t>/min)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47056"/>
        <c:crosses val="max"/>
        <c:crossBetween val="between"/>
        <c:majorUnit val="0.2"/>
      </c:valAx>
      <c:catAx>
        <c:axId val="404947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04939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393247925274902"/>
          <c:y val="0.23051332436195324"/>
          <c:w val="0.21798051777543956"/>
          <c:h val="0.3747817300483802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xVal>
          <c:yVal>
            <c:numRef>
              <c:f>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7-4EDC-A64D-D19A99012A74}"/>
            </c:ext>
          </c:extLst>
        </c:ser>
        <c:ser>
          <c:idx val="3"/>
          <c:order val="1"/>
          <c:tx>
            <c:strRef>
              <c:f>Summary!$S$2</c:f>
              <c:strCache>
                <c:ptCount val="1"/>
                <c:pt idx="0">
                  <c:v>Effluent waste flow rate, measured based on HRT (mL/min)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xVal>
          <c:yVal>
            <c:numRef>
              <c:f>Summary!$S$3:$S$3113</c:f>
              <c:numCache>
                <c:formatCode>0.000</c:formatCode>
                <c:ptCount val="3111"/>
                <c:pt idx="0">
                  <c:v>3.3978715219895171E-2</c:v>
                </c:pt>
                <c:pt idx="1">
                  <c:v>3.3978715219895171E-2</c:v>
                </c:pt>
                <c:pt idx="2">
                  <c:v>3.3978715219895171E-2</c:v>
                </c:pt>
                <c:pt idx="3">
                  <c:v>3.3978715219895171E-2</c:v>
                </c:pt>
                <c:pt idx="4">
                  <c:v>3.3978715219895171E-2</c:v>
                </c:pt>
                <c:pt idx="5">
                  <c:v>3.3978715219895171E-2</c:v>
                </c:pt>
                <c:pt idx="6">
                  <c:v>3.3978715219895171E-2</c:v>
                </c:pt>
                <c:pt idx="7">
                  <c:v>3.3978715219895171E-2</c:v>
                </c:pt>
                <c:pt idx="8">
                  <c:v>3.3978715219895171E-2</c:v>
                </c:pt>
                <c:pt idx="9">
                  <c:v>3.3978715219895171E-2</c:v>
                </c:pt>
                <c:pt idx="10">
                  <c:v>3.3978715219895171E-2</c:v>
                </c:pt>
                <c:pt idx="11">
                  <c:v>3.3978715219895171E-2</c:v>
                </c:pt>
                <c:pt idx="12">
                  <c:v>3.3978715219895171E-2</c:v>
                </c:pt>
                <c:pt idx="13">
                  <c:v>3.3978715219895171E-2</c:v>
                </c:pt>
                <c:pt idx="14">
                  <c:v>3.3978715219895171E-2</c:v>
                </c:pt>
                <c:pt idx="15">
                  <c:v>3.3978715219895171E-2</c:v>
                </c:pt>
                <c:pt idx="16">
                  <c:v>3.3978715219895171E-2</c:v>
                </c:pt>
                <c:pt idx="17">
                  <c:v>3.3978715219895171E-2</c:v>
                </c:pt>
                <c:pt idx="18">
                  <c:v>3.3978715219895171E-2</c:v>
                </c:pt>
                <c:pt idx="19">
                  <c:v>3.3978715219895171E-2</c:v>
                </c:pt>
                <c:pt idx="20">
                  <c:v>3.3978715219895171E-2</c:v>
                </c:pt>
                <c:pt idx="21">
                  <c:v>3.3978715219895171E-2</c:v>
                </c:pt>
                <c:pt idx="22">
                  <c:v>3.3978715219895171E-2</c:v>
                </c:pt>
                <c:pt idx="23">
                  <c:v>3.3978715219895171E-2</c:v>
                </c:pt>
                <c:pt idx="24">
                  <c:v>3.3978715219895171E-2</c:v>
                </c:pt>
                <c:pt idx="25">
                  <c:v>3.3978715219895171E-2</c:v>
                </c:pt>
                <c:pt idx="26">
                  <c:v>3.3978715219895171E-2</c:v>
                </c:pt>
                <c:pt idx="27">
                  <c:v>3.3978715219895171E-2</c:v>
                </c:pt>
                <c:pt idx="28">
                  <c:v>3.3978715219895171E-2</c:v>
                </c:pt>
                <c:pt idx="29">
                  <c:v>3.3978715219895171E-2</c:v>
                </c:pt>
                <c:pt idx="30">
                  <c:v>3.3978715219895171E-2</c:v>
                </c:pt>
                <c:pt idx="31">
                  <c:v>3.3978715219895171E-2</c:v>
                </c:pt>
                <c:pt idx="32">
                  <c:v>3.3978715219895171E-2</c:v>
                </c:pt>
                <c:pt idx="33">
                  <c:v>3.3978715219895171E-2</c:v>
                </c:pt>
                <c:pt idx="34">
                  <c:v>3.3978715219895171E-2</c:v>
                </c:pt>
                <c:pt idx="35">
                  <c:v>3.3978715219895171E-2</c:v>
                </c:pt>
                <c:pt idx="36">
                  <c:v>3.3978715219895171E-2</c:v>
                </c:pt>
                <c:pt idx="37">
                  <c:v>3.3978715219895171E-2</c:v>
                </c:pt>
                <c:pt idx="38">
                  <c:v>3.3978715219895171E-2</c:v>
                </c:pt>
                <c:pt idx="39">
                  <c:v>3.3978715219895171E-2</c:v>
                </c:pt>
                <c:pt idx="40">
                  <c:v>3.3978715219895171E-2</c:v>
                </c:pt>
                <c:pt idx="41">
                  <c:v>3.3978715219895171E-2</c:v>
                </c:pt>
                <c:pt idx="42">
                  <c:v>3.3978715219895171E-2</c:v>
                </c:pt>
                <c:pt idx="43">
                  <c:v>3.3978715219895171E-2</c:v>
                </c:pt>
                <c:pt idx="44">
                  <c:v>3.3978715219895171E-2</c:v>
                </c:pt>
                <c:pt idx="45">
                  <c:v>3.3978715219895171E-2</c:v>
                </c:pt>
                <c:pt idx="46">
                  <c:v>3.3978715219895171E-2</c:v>
                </c:pt>
                <c:pt idx="47">
                  <c:v>3.3978715219895171E-2</c:v>
                </c:pt>
                <c:pt idx="48">
                  <c:v>3.3978715219895171E-2</c:v>
                </c:pt>
                <c:pt idx="49">
                  <c:v>3.3978715219895171E-2</c:v>
                </c:pt>
                <c:pt idx="50">
                  <c:v>3.3978715219895171E-2</c:v>
                </c:pt>
                <c:pt idx="51">
                  <c:v>3.3978715219895171E-2</c:v>
                </c:pt>
                <c:pt idx="52">
                  <c:v>3.3978715219895171E-2</c:v>
                </c:pt>
                <c:pt idx="53">
                  <c:v>3.3978715219895171E-2</c:v>
                </c:pt>
                <c:pt idx="54">
                  <c:v>3.3978715219895171E-2</c:v>
                </c:pt>
                <c:pt idx="55">
                  <c:v>3.3978715219895171E-2</c:v>
                </c:pt>
                <c:pt idx="56">
                  <c:v>3.3978715219895171E-2</c:v>
                </c:pt>
                <c:pt idx="57">
                  <c:v>3.3978715219895171E-2</c:v>
                </c:pt>
                <c:pt idx="58">
                  <c:v>3.3978715219895171E-2</c:v>
                </c:pt>
                <c:pt idx="59">
                  <c:v>3.3978715219895171E-2</c:v>
                </c:pt>
                <c:pt idx="60">
                  <c:v>3.3978715219895171E-2</c:v>
                </c:pt>
                <c:pt idx="61">
                  <c:v>3.3978715219895171E-2</c:v>
                </c:pt>
                <c:pt idx="62">
                  <c:v>3.3978715219895171E-2</c:v>
                </c:pt>
                <c:pt idx="63">
                  <c:v>3.3978715219895171E-2</c:v>
                </c:pt>
                <c:pt idx="64">
                  <c:v>3.3978715219895171E-2</c:v>
                </c:pt>
                <c:pt idx="65">
                  <c:v>3.3978715219895171E-2</c:v>
                </c:pt>
                <c:pt idx="66">
                  <c:v>3.3978715219895171E-2</c:v>
                </c:pt>
                <c:pt idx="67">
                  <c:v>3.3978715219895171E-2</c:v>
                </c:pt>
                <c:pt idx="68">
                  <c:v>3.3978715219895171E-2</c:v>
                </c:pt>
                <c:pt idx="69">
                  <c:v>3.3978715219895171E-2</c:v>
                </c:pt>
                <c:pt idx="70">
                  <c:v>3.3978715219895171E-2</c:v>
                </c:pt>
                <c:pt idx="71">
                  <c:v>3.3978715219895171E-2</c:v>
                </c:pt>
                <c:pt idx="72">
                  <c:v>3.3978715219895171E-2</c:v>
                </c:pt>
                <c:pt idx="73">
                  <c:v>3.3978715219895171E-2</c:v>
                </c:pt>
                <c:pt idx="74">
                  <c:v>3.3978715219895171E-2</c:v>
                </c:pt>
                <c:pt idx="75">
                  <c:v>3.3978715219895171E-2</c:v>
                </c:pt>
                <c:pt idx="76">
                  <c:v>3.3978715219895171E-2</c:v>
                </c:pt>
                <c:pt idx="77">
                  <c:v>3.3978715219895171E-2</c:v>
                </c:pt>
                <c:pt idx="78">
                  <c:v>3.3978715219895171E-2</c:v>
                </c:pt>
                <c:pt idx="79">
                  <c:v>3.3978715219895171E-2</c:v>
                </c:pt>
                <c:pt idx="80">
                  <c:v>3.3978715219895171E-2</c:v>
                </c:pt>
                <c:pt idx="81">
                  <c:v>3.3978715219895171E-2</c:v>
                </c:pt>
                <c:pt idx="82">
                  <c:v>3.3978715219895171E-2</c:v>
                </c:pt>
                <c:pt idx="83">
                  <c:v>3.3978715219895171E-2</c:v>
                </c:pt>
                <c:pt idx="84">
                  <c:v>3.3978715219895171E-2</c:v>
                </c:pt>
                <c:pt idx="85">
                  <c:v>3.3978715219895171E-2</c:v>
                </c:pt>
                <c:pt idx="86">
                  <c:v>3.3978715219895171E-2</c:v>
                </c:pt>
                <c:pt idx="87">
                  <c:v>3.3978715219895171E-2</c:v>
                </c:pt>
                <c:pt idx="88">
                  <c:v>3.3978715219895171E-2</c:v>
                </c:pt>
                <c:pt idx="89">
                  <c:v>3.3978715219895171E-2</c:v>
                </c:pt>
                <c:pt idx="90">
                  <c:v>3.3978715219895171E-2</c:v>
                </c:pt>
                <c:pt idx="91">
                  <c:v>3.3978715219895171E-2</c:v>
                </c:pt>
                <c:pt idx="92">
                  <c:v>3.3978715219895171E-2</c:v>
                </c:pt>
                <c:pt idx="93">
                  <c:v>3.3978715219895171E-2</c:v>
                </c:pt>
                <c:pt idx="94">
                  <c:v>3.3978715219895171E-2</c:v>
                </c:pt>
                <c:pt idx="95">
                  <c:v>3.3978715219895171E-2</c:v>
                </c:pt>
                <c:pt idx="96">
                  <c:v>3.3978715219895171E-2</c:v>
                </c:pt>
                <c:pt idx="97">
                  <c:v>3.3978715219895171E-2</c:v>
                </c:pt>
                <c:pt idx="98">
                  <c:v>3.3978715219895171E-2</c:v>
                </c:pt>
                <c:pt idx="99">
                  <c:v>3.3978715219895171E-2</c:v>
                </c:pt>
                <c:pt idx="100">
                  <c:v>3.3978715219895171E-2</c:v>
                </c:pt>
                <c:pt idx="101">
                  <c:v>3.3978715219895171E-2</c:v>
                </c:pt>
                <c:pt idx="102">
                  <c:v>3.3978715219895171E-2</c:v>
                </c:pt>
                <c:pt idx="103">
                  <c:v>3.3978715219895171E-2</c:v>
                </c:pt>
                <c:pt idx="104">
                  <c:v>3.3978715219895171E-2</c:v>
                </c:pt>
                <c:pt idx="105">
                  <c:v>3.3978715219895171E-2</c:v>
                </c:pt>
                <c:pt idx="106">
                  <c:v>3.3978715219895171E-2</c:v>
                </c:pt>
                <c:pt idx="107">
                  <c:v>3.3978715219895171E-2</c:v>
                </c:pt>
                <c:pt idx="108">
                  <c:v>3.3978715219895171E-2</c:v>
                </c:pt>
                <c:pt idx="109">
                  <c:v>3.3978715219895171E-2</c:v>
                </c:pt>
                <c:pt idx="110">
                  <c:v>3.3978715219895171E-2</c:v>
                </c:pt>
                <c:pt idx="111">
                  <c:v>3.3978715219895171E-2</c:v>
                </c:pt>
                <c:pt idx="112">
                  <c:v>3.3978715219895171E-2</c:v>
                </c:pt>
                <c:pt idx="113">
                  <c:v>3.3978715219895171E-2</c:v>
                </c:pt>
                <c:pt idx="114">
                  <c:v>3.3978715219895171E-2</c:v>
                </c:pt>
                <c:pt idx="115">
                  <c:v>3.3978715219895171E-2</c:v>
                </c:pt>
                <c:pt idx="116">
                  <c:v>3.3978715219895171E-2</c:v>
                </c:pt>
                <c:pt idx="117">
                  <c:v>3.3978715219895171E-2</c:v>
                </c:pt>
                <c:pt idx="118">
                  <c:v>3.3978715219895171E-2</c:v>
                </c:pt>
                <c:pt idx="119">
                  <c:v>3.3978715219895171E-2</c:v>
                </c:pt>
                <c:pt idx="120">
                  <c:v>3.3978715219895171E-2</c:v>
                </c:pt>
                <c:pt idx="121">
                  <c:v>3.3978715219895171E-2</c:v>
                </c:pt>
                <c:pt idx="122">
                  <c:v>3.3978715219895171E-2</c:v>
                </c:pt>
                <c:pt idx="123">
                  <c:v>3.3978715219895171E-2</c:v>
                </c:pt>
                <c:pt idx="124">
                  <c:v>3.3978715219895171E-2</c:v>
                </c:pt>
                <c:pt idx="125">
                  <c:v>3.3978715219895171E-2</c:v>
                </c:pt>
                <c:pt idx="126">
                  <c:v>3.3978715219895171E-2</c:v>
                </c:pt>
                <c:pt idx="127">
                  <c:v>3.3978715219895171E-2</c:v>
                </c:pt>
                <c:pt idx="128">
                  <c:v>3.3978715219895171E-2</c:v>
                </c:pt>
                <c:pt idx="129">
                  <c:v>3.3978715219895171E-2</c:v>
                </c:pt>
                <c:pt idx="130">
                  <c:v>3.3978715219895171E-2</c:v>
                </c:pt>
                <c:pt idx="131">
                  <c:v>3.3978715219895171E-2</c:v>
                </c:pt>
                <c:pt idx="132">
                  <c:v>3.3978715219895171E-2</c:v>
                </c:pt>
                <c:pt idx="133">
                  <c:v>3.3978715219895171E-2</c:v>
                </c:pt>
                <c:pt idx="134">
                  <c:v>3.3978715219895171E-2</c:v>
                </c:pt>
                <c:pt idx="135">
                  <c:v>3.3978715219895171E-2</c:v>
                </c:pt>
                <c:pt idx="136">
                  <c:v>3.3978715219895171E-2</c:v>
                </c:pt>
                <c:pt idx="137">
                  <c:v>3.3978715219895171E-2</c:v>
                </c:pt>
                <c:pt idx="138">
                  <c:v>3.3978715219895171E-2</c:v>
                </c:pt>
                <c:pt idx="139">
                  <c:v>3.3978715219895171E-2</c:v>
                </c:pt>
                <c:pt idx="140">
                  <c:v>3.3978715219895171E-2</c:v>
                </c:pt>
                <c:pt idx="141">
                  <c:v>3.3978715219895171E-2</c:v>
                </c:pt>
                <c:pt idx="142">
                  <c:v>3.3978715219895171E-2</c:v>
                </c:pt>
                <c:pt idx="143">
                  <c:v>3.3978715219895171E-2</c:v>
                </c:pt>
                <c:pt idx="144">
                  <c:v>3.3978715219895171E-2</c:v>
                </c:pt>
                <c:pt idx="145">
                  <c:v>3.3978715219895171E-2</c:v>
                </c:pt>
                <c:pt idx="146">
                  <c:v>3.3978715219895171E-2</c:v>
                </c:pt>
                <c:pt idx="147">
                  <c:v>3.3978715219895171E-2</c:v>
                </c:pt>
                <c:pt idx="148">
                  <c:v>3.3978715219895171E-2</c:v>
                </c:pt>
                <c:pt idx="149">
                  <c:v>3.3978715219895171E-2</c:v>
                </c:pt>
                <c:pt idx="150">
                  <c:v>3.3978715219895171E-2</c:v>
                </c:pt>
                <c:pt idx="151">
                  <c:v>3.3978715219895171E-2</c:v>
                </c:pt>
                <c:pt idx="152">
                  <c:v>3.3978715219895171E-2</c:v>
                </c:pt>
                <c:pt idx="153">
                  <c:v>3.3978715219895171E-2</c:v>
                </c:pt>
                <c:pt idx="154">
                  <c:v>3.3978715219895171E-2</c:v>
                </c:pt>
                <c:pt idx="155">
                  <c:v>3.3978715219895171E-2</c:v>
                </c:pt>
                <c:pt idx="156">
                  <c:v>3.3978715219895171E-2</c:v>
                </c:pt>
                <c:pt idx="157">
                  <c:v>3.3978715219895171E-2</c:v>
                </c:pt>
                <c:pt idx="158">
                  <c:v>3.3978715219895171E-2</c:v>
                </c:pt>
                <c:pt idx="159">
                  <c:v>3.3978715219895171E-2</c:v>
                </c:pt>
                <c:pt idx="160">
                  <c:v>3.3978715219895171E-2</c:v>
                </c:pt>
                <c:pt idx="161">
                  <c:v>3.3978715219895171E-2</c:v>
                </c:pt>
                <c:pt idx="162">
                  <c:v>3.3978715219895171E-2</c:v>
                </c:pt>
                <c:pt idx="163">
                  <c:v>3.3978715219895171E-2</c:v>
                </c:pt>
                <c:pt idx="164">
                  <c:v>3.3978715219895171E-2</c:v>
                </c:pt>
                <c:pt idx="165">
                  <c:v>3.3978715219895171E-2</c:v>
                </c:pt>
                <c:pt idx="166">
                  <c:v>3.3978715219895171E-2</c:v>
                </c:pt>
                <c:pt idx="167">
                  <c:v>3.3978715219895171E-2</c:v>
                </c:pt>
                <c:pt idx="168">
                  <c:v>3.3978715219895171E-2</c:v>
                </c:pt>
                <c:pt idx="169">
                  <c:v>3.3978715219895171E-2</c:v>
                </c:pt>
                <c:pt idx="170">
                  <c:v>3.3978715219895171E-2</c:v>
                </c:pt>
                <c:pt idx="171">
                  <c:v>3.3978715219895171E-2</c:v>
                </c:pt>
                <c:pt idx="172">
                  <c:v>3.3978715219895171E-2</c:v>
                </c:pt>
                <c:pt idx="173">
                  <c:v>3.3978715219895171E-2</c:v>
                </c:pt>
                <c:pt idx="174">
                  <c:v>3.3978715219895171E-2</c:v>
                </c:pt>
                <c:pt idx="175">
                  <c:v>3.3978715219895171E-2</c:v>
                </c:pt>
                <c:pt idx="176">
                  <c:v>3.3978715219895171E-2</c:v>
                </c:pt>
                <c:pt idx="177">
                  <c:v>3.3978715219895171E-2</c:v>
                </c:pt>
                <c:pt idx="178">
                  <c:v>3.3978715219895171E-2</c:v>
                </c:pt>
                <c:pt idx="179">
                  <c:v>3.3978715219895171E-2</c:v>
                </c:pt>
                <c:pt idx="180">
                  <c:v>3.3978715219895171E-2</c:v>
                </c:pt>
                <c:pt idx="181">
                  <c:v>3.3978715219895171E-2</c:v>
                </c:pt>
                <c:pt idx="182">
                  <c:v>3.3978715219895171E-2</c:v>
                </c:pt>
                <c:pt idx="183">
                  <c:v>3.3978715219895171E-2</c:v>
                </c:pt>
                <c:pt idx="184">
                  <c:v>3.3978715219895171E-2</c:v>
                </c:pt>
                <c:pt idx="185">
                  <c:v>3.3978715219895171E-2</c:v>
                </c:pt>
                <c:pt idx="186">
                  <c:v>3.3978715219895171E-2</c:v>
                </c:pt>
                <c:pt idx="187">
                  <c:v>3.3978715219895171E-2</c:v>
                </c:pt>
                <c:pt idx="188">
                  <c:v>3.3978715219895171E-2</c:v>
                </c:pt>
                <c:pt idx="189">
                  <c:v>3.3978715219895171E-2</c:v>
                </c:pt>
                <c:pt idx="190">
                  <c:v>3.3978715219895171E-2</c:v>
                </c:pt>
                <c:pt idx="191">
                  <c:v>3.3978715219895171E-2</c:v>
                </c:pt>
                <c:pt idx="192">
                  <c:v>3.3978715219895171E-2</c:v>
                </c:pt>
                <c:pt idx="193">
                  <c:v>3.3978715219895171E-2</c:v>
                </c:pt>
                <c:pt idx="194">
                  <c:v>3.3978715219895171E-2</c:v>
                </c:pt>
                <c:pt idx="195">
                  <c:v>3.3978715219895171E-2</c:v>
                </c:pt>
                <c:pt idx="196">
                  <c:v>3.3978715219895171E-2</c:v>
                </c:pt>
                <c:pt idx="197">
                  <c:v>3.3978715219895171E-2</c:v>
                </c:pt>
                <c:pt idx="198">
                  <c:v>3.3978715219895171E-2</c:v>
                </c:pt>
                <c:pt idx="199">
                  <c:v>3.3978715219895171E-2</c:v>
                </c:pt>
                <c:pt idx="200">
                  <c:v>3.3978715219895171E-2</c:v>
                </c:pt>
                <c:pt idx="201">
                  <c:v>3.3978715219895171E-2</c:v>
                </c:pt>
                <c:pt idx="202">
                  <c:v>3.3978715219895171E-2</c:v>
                </c:pt>
                <c:pt idx="203">
                  <c:v>3.3978715219895171E-2</c:v>
                </c:pt>
                <c:pt idx="204">
                  <c:v>3.3978715219895171E-2</c:v>
                </c:pt>
                <c:pt idx="205">
                  <c:v>3.3978715219895171E-2</c:v>
                </c:pt>
                <c:pt idx="206">
                  <c:v>3.3978715219895171E-2</c:v>
                </c:pt>
                <c:pt idx="207">
                  <c:v>3.3978715219895171E-2</c:v>
                </c:pt>
                <c:pt idx="208">
                  <c:v>3.3978715219895171E-2</c:v>
                </c:pt>
                <c:pt idx="209">
                  <c:v>3.3978715219895171E-2</c:v>
                </c:pt>
                <c:pt idx="210">
                  <c:v>3.3978715219895171E-2</c:v>
                </c:pt>
                <c:pt idx="211">
                  <c:v>3.3978715219895171E-2</c:v>
                </c:pt>
                <c:pt idx="212">
                  <c:v>3.3978715219895171E-2</c:v>
                </c:pt>
                <c:pt idx="213">
                  <c:v>3.3978715219895171E-2</c:v>
                </c:pt>
                <c:pt idx="214">
                  <c:v>3.3978715219895171E-2</c:v>
                </c:pt>
                <c:pt idx="215">
                  <c:v>3.3978715219895171E-2</c:v>
                </c:pt>
                <c:pt idx="216">
                  <c:v>3.3978715219895171E-2</c:v>
                </c:pt>
                <c:pt idx="217">
                  <c:v>3.3978715219895171E-2</c:v>
                </c:pt>
                <c:pt idx="218">
                  <c:v>3.3978715219895171E-2</c:v>
                </c:pt>
                <c:pt idx="219">
                  <c:v>3.3978715219895171E-2</c:v>
                </c:pt>
                <c:pt idx="220">
                  <c:v>3.3978715219895171E-2</c:v>
                </c:pt>
                <c:pt idx="221">
                  <c:v>3.3978715219895171E-2</c:v>
                </c:pt>
                <c:pt idx="222">
                  <c:v>3.3978715219895171E-2</c:v>
                </c:pt>
                <c:pt idx="223">
                  <c:v>3.3978715219895171E-2</c:v>
                </c:pt>
                <c:pt idx="224">
                  <c:v>3.3978715219895171E-2</c:v>
                </c:pt>
                <c:pt idx="225">
                  <c:v>3.3978715219895171E-2</c:v>
                </c:pt>
                <c:pt idx="226">
                  <c:v>3.3978715219895171E-2</c:v>
                </c:pt>
                <c:pt idx="227">
                  <c:v>3.3978715219895171E-2</c:v>
                </c:pt>
                <c:pt idx="228">
                  <c:v>3.3978715219895171E-2</c:v>
                </c:pt>
                <c:pt idx="229">
                  <c:v>3.3978715219895171E-2</c:v>
                </c:pt>
                <c:pt idx="230">
                  <c:v>3.3978715219895171E-2</c:v>
                </c:pt>
                <c:pt idx="231">
                  <c:v>3.3978715219895171E-2</c:v>
                </c:pt>
                <c:pt idx="232">
                  <c:v>3.3978715219895171E-2</c:v>
                </c:pt>
                <c:pt idx="233">
                  <c:v>3.3978715219895171E-2</c:v>
                </c:pt>
                <c:pt idx="234">
                  <c:v>3.3978715219895171E-2</c:v>
                </c:pt>
                <c:pt idx="235">
                  <c:v>3.3978715219895171E-2</c:v>
                </c:pt>
                <c:pt idx="236">
                  <c:v>3.3978715219895171E-2</c:v>
                </c:pt>
                <c:pt idx="237">
                  <c:v>3.3978715219895171E-2</c:v>
                </c:pt>
                <c:pt idx="238">
                  <c:v>3.3978715219895171E-2</c:v>
                </c:pt>
                <c:pt idx="239">
                  <c:v>3.3978715219895171E-2</c:v>
                </c:pt>
                <c:pt idx="240">
                  <c:v>3.3978715219895171E-2</c:v>
                </c:pt>
                <c:pt idx="241">
                  <c:v>3.3978715219895171E-2</c:v>
                </c:pt>
                <c:pt idx="242">
                  <c:v>3.3978715219895171E-2</c:v>
                </c:pt>
                <c:pt idx="243">
                  <c:v>3.3978715219895171E-2</c:v>
                </c:pt>
                <c:pt idx="244">
                  <c:v>3.3978715219895171E-2</c:v>
                </c:pt>
                <c:pt idx="245">
                  <c:v>3.3978715219895171E-2</c:v>
                </c:pt>
                <c:pt idx="246">
                  <c:v>3.3978715219895171E-2</c:v>
                </c:pt>
                <c:pt idx="247">
                  <c:v>3.3978715219895171E-2</c:v>
                </c:pt>
                <c:pt idx="248">
                  <c:v>3.3978715219895171E-2</c:v>
                </c:pt>
                <c:pt idx="249">
                  <c:v>3.3978715219895171E-2</c:v>
                </c:pt>
                <c:pt idx="250">
                  <c:v>3.3978715219895171E-2</c:v>
                </c:pt>
                <c:pt idx="251">
                  <c:v>3.3978715219895171E-2</c:v>
                </c:pt>
                <c:pt idx="252">
                  <c:v>3.3978715219895171E-2</c:v>
                </c:pt>
                <c:pt idx="253">
                  <c:v>3.3978715219895171E-2</c:v>
                </c:pt>
                <c:pt idx="254">
                  <c:v>3.3978715219895171E-2</c:v>
                </c:pt>
                <c:pt idx="255">
                  <c:v>3.3978715219895171E-2</c:v>
                </c:pt>
                <c:pt idx="256">
                  <c:v>3.3978715219895171E-2</c:v>
                </c:pt>
                <c:pt idx="257">
                  <c:v>3.3978715219895171E-2</c:v>
                </c:pt>
                <c:pt idx="258">
                  <c:v>3.3978715219895171E-2</c:v>
                </c:pt>
                <c:pt idx="259">
                  <c:v>3.3978715219895171E-2</c:v>
                </c:pt>
                <c:pt idx="260">
                  <c:v>3.3978715219895171E-2</c:v>
                </c:pt>
                <c:pt idx="261">
                  <c:v>3.3978715219895171E-2</c:v>
                </c:pt>
                <c:pt idx="262">
                  <c:v>3.3978715219895171E-2</c:v>
                </c:pt>
                <c:pt idx="263">
                  <c:v>3.3978715219895171E-2</c:v>
                </c:pt>
                <c:pt idx="264">
                  <c:v>3.3978715219895171E-2</c:v>
                </c:pt>
                <c:pt idx="265">
                  <c:v>3.3978715219895171E-2</c:v>
                </c:pt>
                <c:pt idx="266">
                  <c:v>3.3978715219895171E-2</c:v>
                </c:pt>
                <c:pt idx="267">
                  <c:v>3.3978715219895171E-2</c:v>
                </c:pt>
                <c:pt idx="268">
                  <c:v>3.3978715219895171E-2</c:v>
                </c:pt>
                <c:pt idx="269">
                  <c:v>3.3978715219895171E-2</c:v>
                </c:pt>
                <c:pt idx="270">
                  <c:v>3.3978715219895171E-2</c:v>
                </c:pt>
                <c:pt idx="271">
                  <c:v>3.3978715219895171E-2</c:v>
                </c:pt>
                <c:pt idx="272">
                  <c:v>3.3978715219895171E-2</c:v>
                </c:pt>
                <c:pt idx="273">
                  <c:v>3.3978715219895171E-2</c:v>
                </c:pt>
                <c:pt idx="274">
                  <c:v>3.3978715219895171E-2</c:v>
                </c:pt>
                <c:pt idx="275">
                  <c:v>3.3978715219895171E-2</c:v>
                </c:pt>
                <c:pt idx="276">
                  <c:v>3.3978715219895171E-2</c:v>
                </c:pt>
                <c:pt idx="277">
                  <c:v>3.3978715219895171E-2</c:v>
                </c:pt>
                <c:pt idx="278">
                  <c:v>3.3978715219895171E-2</c:v>
                </c:pt>
                <c:pt idx="279">
                  <c:v>3.3978715219895171E-2</c:v>
                </c:pt>
                <c:pt idx="280">
                  <c:v>3.3978715219895171E-2</c:v>
                </c:pt>
                <c:pt idx="281">
                  <c:v>3.3978715219895171E-2</c:v>
                </c:pt>
                <c:pt idx="282">
                  <c:v>3.3978715219895171E-2</c:v>
                </c:pt>
                <c:pt idx="283">
                  <c:v>3.3978715219895171E-2</c:v>
                </c:pt>
                <c:pt idx="284">
                  <c:v>3.3978715219895171E-2</c:v>
                </c:pt>
                <c:pt idx="285">
                  <c:v>3.3978715219895171E-2</c:v>
                </c:pt>
                <c:pt idx="286">
                  <c:v>3.3978715219895171E-2</c:v>
                </c:pt>
                <c:pt idx="287">
                  <c:v>3.3978715219895171E-2</c:v>
                </c:pt>
                <c:pt idx="288">
                  <c:v>3.3978715219895171E-2</c:v>
                </c:pt>
                <c:pt idx="289">
                  <c:v>3.3978715219895171E-2</c:v>
                </c:pt>
                <c:pt idx="290">
                  <c:v>3.3978715219895171E-2</c:v>
                </c:pt>
                <c:pt idx="291">
                  <c:v>3.3978715219895171E-2</c:v>
                </c:pt>
                <c:pt idx="292">
                  <c:v>3.3978715219895171E-2</c:v>
                </c:pt>
                <c:pt idx="293">
                  <c:v>3.3978715219895171E-2</c:v>
                </c:pt>
                <c:pt idx="294">
                  <c:v>3.3978715219895171E-2</c:v>
                </c:pt>
                <c:pt idx="295">
                  <c:v>3.3978715219895171E-2</c:v>
                </c:pt>
                <c:pt idx="296">
                  <c:v>3.3978715219895171E-2</c:v>
                </c:pt>
                <c:pt idx="297">
                  <c:v>3.3978715219895171E-2</c:v>
                </c:pt>
                <c:pt idx="298">
                  <c:v>3.3978715219895171E-2</c:v>
                </c:pt>
                <c:pt idx="299">
                  <c:v>3.3978715219895171E-2</c:v>
                </c:pt>
                <c:pt idx="300">
                  <c:v>3.3978715219895171E-2</c:v>
                </c:pt>
                <c:pt idx="301">
                  <c:v>3.3978715219895171E-2</c:v>
                </c:pt>
                <c:pt idx="302">
                  <c:v>3.3978715219895171E-2</c:v>
                </c:pt>
                <c:pt idx="303">
                  <c:v>3.3978715219895171E-2</c:v>
                </c:pt>
                <c:pt idx="304">
                  <c:v>3.3978715219895171E-2</c:v>
                </c:pt>
                <c:pt idx="305">
                  <c:v>3.3978715219895171E-2</c:v>
                </c:pt>
                <c:pt idx="306">
                  <c:v>3.3978715219895171E-2</c:v>
                </c:pt>
                <c:pt idx="307">
                  <c:v>3.3978715219895171E-2</c:v>
                </c:pt>
                <c:pt idx="308">
                  <c:v>3.3978715219895171E-2</c:v>
                </c:pt>
                <c:pt idx="309">
                  <c:v>3.3978715219895171E-2</c:v>
                </c:pt>
                <c:pt idx="310">
                  <c:v>3.3978715219895171E-2</c:v>
                </c:pt>
                <c:pt idx="311">
                  <c:v>3.3978715219895171E-2</c:v>
                </c:pt>
                <c:pt idx="312">
                  <c:v>3.3978715219895171E-2</c:v>
                </c:pt>
                <c:pt idx="313">
                  <c:v>3.3978715219895171E-2</c:v>
                </c:pt>
                <c:pt idx="314">
                  <c:v>3.3978715219895171E-2</c:v>
                </c:pt>
                <c:pt idx="315">
                  <c:v>3.3978715219895171E-2</c:v>
                </c:pt>
                <c:pt idx="316">
                  <c:v>3.3978715219895171E-2</c:v>
                </c:pt>
                <c:pt idx="317">
                  <c:v>3.3978715219895171E-2</c:v>
                </c:pt>
                <c:pt idx="318">
                  <c:v>3.3978715219895171E-2</c:v>
                </c:pt>
                <c:pt idx="319">
                  <c:v>3.3978715219895171E-2</c:v>
                </c:pt>
                <c:pt idx="320">
                  <c:v>3.3978715219895171E-2</c:v>
                </c:pt>
                <c:pt idx="321">
                  <c:v>3.3978715219895171E-2</c:v>
                </c:pt>
                <c:pt idx="322">
                  <c:v>3.3978715219895171E-2</c:v>
                </c:pt>
                <c:pt idx="323">
                  <c:v>3.3978715219895171E-2</c:v>
                </c:pt>
                <c:pt idx="324">
                  <c:v>3.3978715219895171E-2</c:v>
                </c:pt>
                <c:pt idx="325">
                  <c:v>3.3978715219895171E-2</c:v>
                </c:pt>
                <c:pt idx="326">
                  <c:v>3.3978715219895171E-2</c:v>
                </c:pt>
                <c:pt idx="327">
                  <c:v>3.3978715219895171E-2</c:v>
                </c:pt>
                <c:pt idx="328">
                  <c:v>3.3978715219895171E-2</c:v>
                </c:pt>
                <c:pt idx="329">
                  <c:v>3.3978715219895171E-2</c:v>
                </c:pt>
                <c:pt idx="330">
                  <c:v>3.3978715219895171E-2</c:v>
                </c:pt>
                <c:pt idx="331">
                  <c:v>3.3978715219895171E-2</c:v>
                </c:pt>
                <c:pt idx="332">
                  <c:v>3.3978715219895171E-2</c:v>
                </c:pt>
                <c:pt idx="333">
                  <c:v>3.3978715219895171E-2</c:v>
                </c:pt>
                <c:pt idx="334">
                  <c:v>3.3978715219895171E-2</c:v>
                </c:pt>
                <c:pt idx="335">
                  <c:v>3.3978715219895171E-2</c:v>
                </c:pt>
                <c:pt idx="336">
                  <c:v>3.3978715219895171E-2</c:v>
                </c:pt>
                <c:pt idx="337">
                  <c:v>3.3978715219895171E-2</c:v>
                </c:pt>
                <c:pt idx="338">
                  <c:v>3.3978715219895171E-2</c:v>
                </c:pt>
                <c:pt idx="339">
                  <c:v>3.3978715219895171E-2</c:v>
                </c:pt>
                <c:pt idx="340">
                  <c:v>3.3978715219895171E-2</c:v>
                </c:pt>
                <c:pt idx="341">
                  <c:v>3.3978715219895171E-2</c:v>
                </c:pt>
                <c:pt idx="342">
                  <c:v>3.3978715219895171E-2</c:v>
                </c:pt>
                <c:pt idx="343">
                  <c:v>3.3978715219895171E-2</c:v>
                </c:pt>
                <c:pt idx="344">
                  <c:v>3.3978715219895171E-2</c:v>
                </c:pt>
                <c:pt idx="345">
                  <c:v>3.3978715219895171E-2</c:v>
                </c:pt>
                <c:pt idx="346">
                  <c:v>3.3978715219895171E-2</c:v>
                </c:pt>
                <c:pt idx="347">
                  <c:v>3.3978715219895171E-2</c:v>
                </c:pt>
                <c:pt idx="348">
                  <c:v>3.3978715219895171E-2</c:v>
                </c:pt>
                <c:pt idx="349">
                  <c:v>3.3978715219895171E-2</c:v>
                </c:pt>
                <c:pt idx="350">
                  <c:v>3.3978715219895171E-2</c:v>
                </c:pt>
                <c:pt idx="351">
                  <c:v>3.3978715219895171E-2</c:v>
                </c:pt>
                <c:pt idx="352">
                  <c:v>3.3978715219895171E-2</c:v>
                </c:pt>
                <c:pt idx="353">
                  <c:v>3.3978715219895171E-2</c:v>
                </c:pt>
                <c:pt idx="354">
                  <c:v>3.3978715219895171E-2</c:v>
                </c:pt>
                <c:pt idx="355">
                  <c:v>3.3978715219895171E-2</c:v>
                </c:pt>
                <c:pt idx="356">
                  <c:v>3.3978715219895171E-2</c:v>
                </c:pt>
                <c:pt idx="357">
                  <c:v>3.3978715219895171E-2</c:v>
                </c:pt>
                <c:pt idx="358">
                  <c:v>3.3978715219895171E-2</c:v>
                </c:pt>
                <c:pt idx="359">
                  <c:v>3.3978715219895171E-2</c:v>
                </c:pt>
                <c:pt idx="360">
                  <c:v>3.3978715219895171E-2</c:v>
                </c:pt>
                <c:pt idx="361">
                  <c:v>3.3978715219895171E-2</c:v>
                </c:pt>
                <c:pt idx="362">
                  <c:v>3.3978715219895171E-2</c:v>
                </c:pt>
                <c:pt idx="363">
                  <c:v>3.3978715219895171E-2</c:v>
                </c:pt>
                <c:pt idx="364">
                  <c:v>3.3978715219895171E-2</c:v>
                </c:pt>
                <c:pt idx="365">
                  <c:v>3.3978715219895171E-2</c:v>
                </c:pt>
                <c:pt idx="366">
                  <c:v>3.3978715219895171E-2</c:v>
                </c:pt>
                <c:pt idx="367">
                  <c:v>3.3978715219895171E-2</c:v>
                </c:pt>
                <c:pt idx="368">
                  <c:v>3.3978715219895171E-2</c:v>
                </c:pt>
                <c:pt idx="369">
                  <c:v>3.3978715219895171E-2</c:v>
                </c:pt>
                <c:pt idx="370">
                  <c:v>3.3978715219895171E-2</c:v>
                </c:pt>
                <c:pt idx="371">
                  <c:v>3.3978715219895171E-2</c:v>
                </c:pt>
                <c:pt idx="372">
                  <c:v>3.3978715219895171E-2</c:v>
                </c:pt>
                <c:pt idx="373">
                  <c:v>3.3978715219895171E-2</c:v>
                </c:pt>
                <c:pt idx="374">
                  <c:v>3.3978715219895171E-2</c:v>
                </c:pt>
                <c:pt idx="375">
                  <c:v>3.3978715219895171E-2</c:v>
                </c:pt>
                <c:pt idx="376">
                  <c:v>3.3978715219895171E-2</c:v>
                </c:pt>
                <c:pt idx="377">
                  <c:v>3.3978715219895171E-2</c:v>
                </c:pt>
                <c:pt idx="378">
                  <c:v>3.3978715219895171E-2</c:v>
                </c:pt>
                <c:pt idx="379">
                  <c:v>3.3978715219895171E-2</c:v>
                </c:pt>
                <c:pt idx="380">
                  <c:v>3.3978715219895171E-2</c:v>
                </c:pt>
                <c:pt idx="381">
                  <c:v>3.3978715219895171E-2</c:v>
                </c:pt>
                <c:pt idx="382">
                  <c:v>5.2897473997019086E-2</c:v>
                </c:pt>
                <c:pt idx="383">
                  <c:v>5.2897473997019086E-2</c:v>
                </c:pt>
                <c:pt idx="384">
                  <c:v>5.2897473997019086E-2</c:v>
                </c:pt>
                <c:pt idx="385">
                  <c:v>5.2897473997019086E-2</c:v>
                </c:pt>
                <c:pt idx="386">
                  <c:v>5.2897473997019086E-2</c:v>
                </c:pt>
                <c:pt idx="387">
                  <c:v>5.2897473997019086E-2</c:v>
                </c:pt>
                <c:pt idx="388">
                  <c:v>5.2897473997019086E-2</c:v>
                </c:pt>
                <c:pt idx="389">
                  <c:v>5.2897473997019086E-2</c:v>
                </c:pt>
                <c:pt idx="390">
                  <c:v>5.2897473997019086E-2</c:v>
                </c:pt>
                <c:pt idx="391">
                  <c:v>5.2897473997019086E-2</c:v>
                </c:pt>
                <c:pt idx="392">
                  <c:v>5.2897473997019086E-2</c:v>
                </c:pt>
                <c:pt idx="393">
                  <c:v>5.2897473997019086E-2</c:v>
                </c:pt>
                <c:pt idx="394">
                  <c:v>5.2897473997019086E-2</c:v>
                </c:pt>
                <c:pt idx="395">
                  <c:v>5.2897473997019086E-2</c:v>
                </c:pt>
                <c:pt idx="396">
                  <c:v>5.2897473997019086E-2</c:v>
                </c:pt>
                <c:pt idx="397">
                  <c:v>5.2897473997019086E-2</c:v>
                </c:pt>
                <c:pt idx="398">
                  <c:v>5.2897473997019086E-2</c:v>
                </c:pt>
                <c:pt idx="399">
                  <c:v>5.2897473997019086E-2</c:v>
                </c:pt>
                <c:pt idx="400">
                  <c:v>5.2897473997019086E-2</c:v>
                </c:pt>
                <c:pt idx="401">
                  <c:v>5.2897473997019086E-2</c:v>
                </c:pt>
                <c:pt idx="402">
                  <c:v>5.2897473997019086E-2</c:v>
                </c:pt>
                <c:pt idx="403">
                  <c:v>5.2897473997019086E-2</c:v>
                </c:pt>
                <c:pt idx="404">
                  <c:v>5.2897473997019086E-2</c:v>
                </c:pt>
                <c:pt idx="405">
                  <c:v>5.2897473997019086E-2</c:v>
                </c:pt>
                <c:pt idx="406">
                  <c:v>5.2897473997019086E-2</c:v>
                </c:pt>
                <c:pt idx="407">
                  <c:v>5.2897473997019086E-2</c:v>
                </c:pt>
                <c:pt idx="408">
                  <c:v>5.2897473997019086E-2</c:v>
                </c:pt>
                <c:pt idx="409">
                  <c:v>5.2897473997019086E-2</c:v>
                </c:pt>
                <c:pt idx="410">
                  <c:v>5.2897473997019086E-2</c:v>
                </c:pt>
                <c:pt idx="411">
                  <c:v>5.2897473997019086E-2</c:v>
                </c:pt>
                <c:pt idx="412">
                  <c:v>5.2897473997019086E-2</c:v>
                </c:pt>
                <c:pt idx="413">
                  <c:v>5.2897473997019086E-2</c:v>
                </c:pt>
                <c:pt idx="414">
                  <c:v>5.2897473997019086E-2</c:v>
                </c:pt>
                <c:pt idx="415">
                  <c:v>5.2897473997019086E-2</c:v>
                </c:pt>
                <c:pt idx="416">
                  <c:v>5.2897473997019086E-2</c:v>
                </c:pt>
                <c:pt idx="417">
                  <c:v>5.2897473997019086E-2</c:v>
                </c:pt>
                <c:pt idx="418">
                  <c:v>5.2897473997019086E-2</c:v>
                </c:pt>
                <c:pt idx="419">
                  <c:v>5.2897473997019086E-2</c:v>
                </c:pt>
                <c:pt idx="420">
                  <c:v>5.2897473997019086E-2</c:v>
                </c:pt>
                <c:pt idx="421">
                  <c:v>5.2897473997019086E-2</c:v>
                </c:pt>
                <c:pt idx="422">
                  <c:v>5.2897473997019086E-2</c:v>
                </c:pt>
                <c:pt idx="423">
                  <c:v>5.2897473997019086E-2</c:v>
                </c:pt>
                <c:pt idx="424">
                  <c:v>5.2897473997019086E-2</c:v>
                </c:pt>
                <c:pt idx="425">
                  <c:v>5.2897473997019086E-2</c:v>
                </c:pt>
                <c:pt idx="426">
                  <c:v>5.2897473997019086E-2</c:v>
                </c:pt>
                <c:pt idx="427">
                  <c:v>5.2897473997019086E-2</c:v>
                </c:pt>
                <c:pt idx="428">
                  <c:v>5.2897473997019086E-2</c:v>
                </c:pt>
                <c:pt idx="429">
                  <c:v>5.2897473997019086E-2</c:v>
                </c:pt>
                <c:pt idx="430">
                  <c:v>5.2897473997019086E-2</c:v>
                </c:pt>
                <c:pt idx="431">
                  <c:v>5.2897473997019086E-2</c:v>
                </c:pt>
                <c:pt idx="432">
                  <c:v>5.2897473997019086E-2</c:v>
                </c:pt>
                <c:pt idx="433">
                  <c:v>5.2897473997019086E-2</c:v>
                </c:pt>
                <c:pt idx="434">
                  <c:v>5.2897473997019086E-2</c:v>
                </c:pt>
                <c:pt idx="435">
                  <c:v>5.2897473997019086E-2</c:v>
                </c:pt>
                <c:pt idx="436">
                  <c:v>5.2897473997019086E-2</c:v>
                </c:pt>
                <c:pt idx="437">
                  <c:v>5.2897473997019086E-2</c:v>
                </c:pt>
                <c:pt idx="438">
                  <c:v>5.2897473997019086E-2</c:v>
                </c:pt>
                <c:pt idx="439">
                  <c:v>5.2897473997019086E-2</c:v>
                </c:pt>
                <c:pt idx="440">
                  <c:v>5.2897473997019086E-2</c:v>
                </c:pt>
                <c:pt idx="441">
                  <c:v>5.2897473997019086E-2</c:v>
                </c:pt>
                <c:pt idx="442">
                  <c:v>5.2897473997019086E-2</c:v>
                </c:pt>
                <c:pt idx="443">
                  <c:v>5.2897473997019086E-2</c:v>
                </c:pt>
                <c:pt idx="444">
                  <c:v>5.2897473997019086E-2</c:v>
                </c:pt>
                <c:pt idx="445">
                  <c:v>5.2897473997019086E-2</c:v>
                </c:pt>
                <c:pt idx="446">
                  <c:v>5.2897473997019086E-2</c:v>
                </c:pt>
                <c:pt idx="447">
                  <c:v>5.2897473997019086E-2</c:v>
                </c:pt>
                <c:pt idx="448">
                  <c:v>5.2897473997019086E-2</c:v>
                </c:pt>
                <c:pt idx="449">
                  <c:v>5.2897473997019086E-2</c:v>
                </c:pt>
                <c:pt idx="450">
                  <c:v>5.2897473997019086E-2</c:v>
                </c:pt>
                <c:pt idx="451">
                  <c:v>5.2897473997019086E-2</c:v>
                </c:pt>
                <c:pt idx="452">
                  <c:v>5.2897473997019086E-2</c:v>
                </c:pt>
                <c:pt idx="453">
                  <c:v>5.2897473997019086E-2</c:v>
                </c:pt>
                <c:pt idx="454">
                  <c:v>5.2897473997019086E-2</c:v>
                </c:pt>
                <c:pt idx="455">
                  <c:v>5.2897473997019086E-2</c:v>
                </c:pt>
                <c:pt idx="456">
                  <c:v>5.2897473997019086E-2</c:v>
                </c:pt>
                <c:pt idx="457">
                  <c:v>5.2897473997019086E-2</c:v>
                </c:pt>
                <c:pt idx="458">
                  <c:v>5.2897473997019086E-2</c:v>
                </c:pt>
                <c:pt idx="459">
                  <c:v>5.2897473997019086E-2</c:v>
                </c:pt>
                <c:pt idx="460">
                  <c:v>5.2897473997019086E-2</c:v>
                </c:pt>
                <c:pt idx="461">
                  <c:v>5.2897473997019086E-2</c:v>
                </c:pt>
                <c:pt idx="462">
                  <c:v>5.2897473997019086E-2</c:v>
                </c:pt>
                <c:pt idx="463">
                  <c:v>5.2897473997019086E-2</c:v>
                </c:pt>
                <c:pt idx="464">
                  <c:v>5.2897473997019086E-2</c:v>
                </c:pt>
                <c:pt idx="465">
                  <c:v>5.2897473997019086E-2</c:v>
                </c:pt>
                <c:pt idx="466">
                  <c:v>5.2897473997019086E-2</c:v>
                </c:pt>
                <c:pt idx="467">
                  <c:v>5.2897473997019086E-2</c:v>
                </c:pt>
                <c:pt idx="468">
                  <c:v>5.2897473997019086E-2</c:v>
                </c:pt>
                <c:pt idx="469">
                  <c:v>5.2897473997019086E-2</c:v>
                </c:pt>
                <c:pt idx="470">
                  <c:v>5.2897473997019086E-2</c:v>
                </c:pt>
                <c:pt idx="471">
                  <c:v>5.2897473997019086E-2</c:v>
                </c:pt>
                <c:pt idx="472">
                  <c:v>5.2897473997019086E-2</c:v>
                </c:pt>
                <c:pt idx="473">
                  <c:v>5.2897473997019086E-2</c:v>
                </c:pt>
                <c:pt idx="474">
                  <c:v>5.2897473997019086E-2</c:v>
                </c:pt>
                <c:pt idx="475">
                  <c:v>5.2897473997019086E-2</c:v>
                </c:pt>
                <c:pt idx="476">
                  <c:v>5.2897473997019086E-2</c:v>
                </c:pt>
                <c:pt idx="477">
                  <c:v>5.2897473997019086E-2</c:v>
                </c:pt>
                <c:pt idx="478">
                  <c:v>5.2897473997019086E-2</c:v>
                </c:pt>
                <c:pt idx="479">
                  <c:v>5.2897473997019086E-2</c:v>
                </c:pt>
                <c:pt idx="480">
                  <c:v>5.2897473997019086E-2</c:v>
                </c:pt>
                <c:pt idx="481">
                  <c:v>5.2897473997019086E-2</c:v>
                </c:pt>
                <c:pt idx="482">
                  <c:v>5.2897473997019086E-2</c:v>
                </c:pt>
                <c:pt idx="483">
                  <c:v>5.2897473997019086E-2</c:v>
                </c:pt>
                <c:pt idx="484">
                  <c:v>5.2897473997019086E-2</c:v>
                </c:pt>
                <c:pt idx="485">
                  <c:v>5.2897473997019086E-2</c:v>
                </c:pt>
                <c:pt idx="486">
                  <c:v>5.2897473997019086E-2</c:v>
                </c:pt>
                <c:pt idx="487">
                  <c:v>5.2897473997019086E-2</c:v>
                </c:pt>
                <c:pt idx="488">
                  <c:v>5.2897473997019086E-2</c:v>
                </c:pt>
                <c:pt idx="489">
                  <c:v>5.2897473997019086E-2</c:v>
                </c:pt>
                <c:pt idx="490">
                  <c:v>5.2897473997019086E-2</c:v>
                </c:pt>
                <c:pt idx="491">
                  <c:v>5.2897473997019086E-2</c:v>
                </c:pt>
                <c:pt idx="492">
                  <c:v>5.2897473997019086E-2</c:v>
                </c:pt>
                <c:pt idx="493">
                  <c:v>5.2897473997019086E-2</c:v>
                </c:pt>
                <c:pt idx="494">
                  <c:v>5.2897473997019086E-2</c:v>
                </c:pt>
                <c:pt idx="495">
                  <c:v>5.2897473997019086E-2</c:v>
                </c:pt>
                <c:pt idx="496">
                  <c:v>5.2897473997019086E-2</c:v>
                </c:pt>
                <c:pt idx="497">
                  <c:v>5.2897473997019086E-2</c:v>
                </c:pt>
                <c:pt idx="498">
                  <c:v>5.2897473997019086E-2</c:v>
                </c:pt>
                <c:pt idx="499">
                  <c:v>5.2897473997019086E-2</c:v>
                </c:pt>
                <c:pt idx="500">
                  <c:v>5.2897473997019086E-2</c:v>
                </c:pt>
                <c:pt idx="501">
                  <c:v>5.2897473997019086E-2</c:v>
                </c:pt>
                <c:pt idx="502">
                  <c:v>5.2897473997019086E-2</c:v>
                </c:pt>
                <c:pt idx="503">
                  <c:v>5.2897473997019086E-2</c:v>
                </c:pt>
                <c:pt idx="504">
                  <c:v>5.2897473997019086E-2</c:v>
                </c:pt>
                <c:pt idx="505">
                  <c:v>5.2897473997019086E-2</c:v>
                </c:pt>
                <c:pt idx="506">
                  <c:v>5.2897473997019086E-2</c:v>
                </c:pt>
                <c:pt idx="507">
                  <c:v>5.2897473997019086E-2</c:v>
                </c:pt>
                <c:pt idx="508">
                  <c:v>5.2897473997019086E-2</c:v>
                </c:pt>
                <c:pt idx="509">
                  <c:v>5.2897473997019086E-2</c:v>
                </c:pt>
                <c:pt idx="510">
                  <c:v>5.2897473997019086E-2</c:v>
                </c:pt>
                <c:pt idx="511">
                  <c:v>5.2897473997019086E-2</c:v>
                </c:pt>
                <c:pt idx="512">
                  <c:v>5.2897473997019086E-2</c:v>
                </c:pt>
                <c:pt idx="513">
                  <c:v>5.2897473997019086E-2</c:v>
                </c:pt>
                <c:pt idx="514">
                  <c:v>5.2897473997019086E-2</c:v>
                </c:pt>
                <c:pt idx="515">
                  <c:v>5.2897473997019086E-2</c:v>
                </c:pt>
                <c:pt idx="516">
                  <c:v>5.2897473997019086E-2</c:v>
                </c:pt>
                <c:pt idx="517">
                  <c:v>5.2897473997019086E-2</c:v>
                </c:pt>
                <c:pt idx="518">
                  <c:v>5.2897473997019086E-2</c:v>
                </c:pt>
                <c:pt idx="519">
                  <c:v>5.2897473997019086E-2</c:v>
                </c:pt>
                <c:pt idx="520">
                  <c:v>5.2897473997019086E-2</c:v>
                </c:pt>
                <c:pt idx="521">
                  <c:v>5.2897473997019086E-2</c:v>
                </c:pt>
                <c:pt idx="522">
                  <c:v>5.2897473997019086E-2</c:v>
                </c:pt>
                <c:pt idx="523">
                  <c:v>5.2897473997019086E-2</c:v>
                </c:pt>
                <c:pt idx="524">
                  <c:v>5.2897473997019086E-2</c:v>
                </c:pt>
                <c:pt idx="525">
                  <c:v>5.2897473997019086E-2</c:v>
                </c:pt>
                <c:pt idx="526">
                  <c:v>5.2897473997019086E-2</c:v>
                </c:pt>
                <c:pt idx="527">
                  <c:v>5.2897473997019086E-2</c:v>
                </c:pt>
                <c:pt idx="528">
                  <c:v>5.2897473997019086E-2</c:v>
                </c:pt>
                <c:pt idx="529">
                  <c:v>5.2897473997019086E-2</c:v>
                </c:pt>
                <c:pt idx="530">
                  <c:v>5.2897473997019086E-2</c:v>
                </c:pt>
                <c:pt idx="531">
                  <c:v>5.2897473997019086E-2</c:v>
                </c:pt>
                <c:pt idx="532">
                  <c:v>5.2897473997019086E-2</c:v>
                </c:pt>
                <c:pt idx="533">
                  <c:v>5.2897473997019086E-2</c:v>
                </c:pt>
                <c:pt idx="534">
                  <c:v>5.2897473997019086E-2</c:v>
                </c:pt>
                <c:pt idx="535">
                  <c:v>5.2897473997019086E-2</c:v>
                </c:pt>
                <c:pt idx="536">
                  <c:v>5.2897473997019086E-2</c:v>
                </c:pt>
                <c:pt idx="537">
                  <c:v>5.2897473997019086E-2</c:v>
                </c:pt>
                <c:pt idx="538">
                  <c:v>5.2897473997019086E-2</c:v>
                </c:pt>
                <c:pt idx="539">
                  <c:v>5.2897473997019086E-2</c:v>
                </c:pt>
                <c:pt idx="540">
                  <c:v>5.2897473997019086E-2</c:v>
                </c:pt>
                <c:pt idx="541">
                  <c:v>5.2897473997019086E-2</c:v>
                </c:pt>
                <c:pt idx="542">
                  <c:v>5.2897473997019086E-2</c:v>
                </c:pt>
                <c:pt idx="543">
                  <c:v>5.2897473997019086E-2</c:v>
                </c:pt>
                <c:pt idx="544">
                  <c:v>5.2897473997019086E-2</c:v>
                </c:pt>
                <c:pt idx="545">
                  <c:v>5.2897473997019086E-2</c:v>
                </c:pt>
                <c:pt idx="546">
                  <c:v>5.2897473997019086E-2</c:v>
                </c:pt>
                <c:pt idx="547">
                  <c:v>5.2897473997019086E-2</c:v>
                </c:pt>
                <c:pt idx="548">
                  <c:v>5.2897473997019086E-2</c:v>
                </c:pt>
                <c:pt idx="549">
                  <c:v>5.2897473997019086E-2</c:v>
                </c:pt>
                <c:pt idx="550">
                  <c:v>5.2897473997019086E-2</c:v>
                </c:pt>
                <c:pt idx="551">
                  <c:v>5.2897473997019086E-2</c:v>
                </c:pt>
                <c:pt idx="552">
                  <c:v>5.2897473997019086E-2</c:v>
                </c:pt>
                <c:pt idx="553">
                  <c:v>5.2897473997019086E-2</c:v>
                </c:pt>
                <c:pt idx="554">
                  <c:v>5.2897473997019086E-2</c:v>
                </c:pt>
                <c:pt idx="555">
                  <c:v>5.2897473997019086E-2</c:v>
                </c:pt>
                <c:pt idx="556">
                  <c:v>5.2897473997019086E-2</c:v>
                </c:pt>
                <c:pt idx="557">
                  <c:v>5.2897473997019086E-2</c:v>
                </c:pt>
                <c:pt idx="558">
                  <c:v>5.2897473997019086E-2</c:v>
                </c:pt>
                <c:pt idx="559">
                  <c:v>5.2897473997019086E-2</c:v>
                </c:pt>
                <c:pt idx="560">
                  <c:v>5.2897473997019086E-2</c:v>
                </c:pt>
                <c:pt idx="561">
                  <c:v>5.2897473997019086E-2</c:v>
                </c:pt>
                <c:pt idx="562">
                  <c:v>5.2897473997019086E-2</c:v>
                </c:pt>
                <c:pt idx="563">
                  <c:v>5.2897473997019086E-2</c:v>
                </c:pt>
                <c:pt idx="564">
                  <c:v>5.2897473997019086E-2</c:v>
                </c:pt>
                <c:pt idx="565">
                  <c:v>5.2897473997019086E-2</c:v>
                </c:pt>
                <c:pt idx="566">
                  <c:v>5.2897473997019086E-2</c:v>
                </c:pt>
                <c:pt idx="567">
                  <c:v>5.2897473997019086E-2</c:v>
                </c:pt>
                <c:pt idx="568">
                  <c:v>5.2897473997019086E-2</c:v>
                </c:pt>
                <c:pt idx="569">
                  <c:v>5.2897473997019086E-2</c:v>
                </c:pt>
                <c:pt idx="570">
                  <c:v>5.2897473997019086E-2</c:v>
                </c:pt>
                <c:pt idx="571">
                  <c:v>5.2897473997019086E-2</c:v>
                </c:pt>
                <c:pt idx="572">
                  <c:v>5.2897473997019086E-2</c:v>
                </c:pt>
                <c:pt idx="573">
                  <c:v>5.2897473997019086E-2</c:v>
                </c:pt>
                <c:pt idx="574">
                  <c:v>5.2897473997019086E-2</c:v>
                </c:pt>
                <c:pt idx="575">
                  <c:v>5.2897473997019086E-2</c:v>
                </c:pt>
                <c:pt idx="576">
                  <c:v>5.2897473997019086E-2</c:v>
                </c:pt>
                <c:pt idx="577">
                  <c:v>5.2897473997019086E-2</c:v>
                </c:pt>
                <c:pt idx="578">
                  <c:v>5.2897473997019086E-2</c:v>
                </c:pt>
                <c:pt idx="579">
                  <c:v>5.2897473997019086E-2</c:v>
                </c:pt>
                <c:pt idx="580">
                  <c:v>5.2897473997019086E-2</c:v>
                </c:pt>
                <c:pt idx="581">
                  <c:v>5.2897473997019086E-2</c:v>
                </c:pt>
                <c:pt idx="582">
                  <c:v>5.2897473997019086E-2</c:v>
                </c:pt>
                <c:pt idx="583">
                  <c:v>5.2897473997019086E-2</c:v>
                </c:pt>
                <c:pt idx="584">
                  <c:v>5.2897473997019086E-2</c:v>
                </c:pt>
                <c:pt idx="585">
                  <c:v>5.2897473997019086E-2</c:v>
                </c:pt>
                <c:pt idx="586">
                  <c:v>5.2897473997019086E-2</c:v>
                </c:pt>
                <c:pt idx="587">
                  <c:v>5.2897473997019086E-2</c:v>
                </c:pt>
                <c:pt idx="588">
                  <c:v>5.2897473997019086E-2</c:v>
                </c:pt>
                <c:pt idx="589">
                  <c:v>5.2897473997019086E-2</c:v>
                </c:pt>
                <c:pt idx="590">
                  <c:v>5.2897473997019086E-2</c:v>
                </c:pt>
                <c:pt idx="591">
                  <c:v>5.2897473997019086E-2</c:v>
                </c:pt>
                <c:pt idx="592">
                  <c:v>5.2897473997019086E-2</c:v>
                </c:pt>
                <c:pt idx="593">
                  <c:v>5.2897473997019086E-2</c:v>
                </c:pt>
                <c:pt idx="594">
                  <c:v>5.2897473997019086E-2</c:v>
                </c:pt>
                <c:pt idx="595">
                  <c:v>5.2897473997019086E-2</c:v>
                </c:pt>
                <c:pt idx="596">
                  <c:v>5.2897473997019086E-2</c:v>
                </c:pt>
                <c:pt idx="597">
                  <c:v>5.2897473997019086E-2</c:v>
                </c:pt>
                <c:pt idx="598">
                  <c:v>5.2897473997019086E-2</c:v>
                </c:pt>
                <c:pt idx="599">
                  <c:v>5.2897473997019086E-2</c:v>
                </c:pt>
                <c:pt idx="600">
                  <c:v>5.2897473997019086E-2</c:v>
                </c:pt>
                <c:pt idx="601">
                  <c:v>5.2897473997019086E-2</c:v>
                </c:pt>
                <c:pt idx="602">
                  <c:v>5.2897473997019086E-2</c:v>
                </c:pt>
                <c:pt idx="603">
                  <c:v>5.2897473997019086E-2</c:v>
                </c:pt>
                <c:pt idx="604">
                  <c:v>5.2897473997019086E-2</c:v>
                </c:pt>
                <c:pt idx="605">
                  <c:v>5.2897473997019086E-2</c:v>
                </c:pt>
                <c:pt idx="606">
                  <c:v>5.2897473997019086E-2</c:v>
                </c:pt>
                <c:pt idx="607">
                  <c:v>5.2897473997019086E-2</c:v>
                </c:pt>
                <c:pt idx="608">
                  <c:v>5.2897473997019086E-2</c:v>
                </c:pt>
                <c:pt idx="609">
                  <c:v>5.2897473997019086E-2</c:v>
                </c:pt>
                <c:pt idx="610">
                  <c:v>5.2897473997019086E-2</c:v>
                </c:pt>
                <c:pt idx="611">
                  <c:v>5.2897473997019086E-2</c:v>
                </c:pt>
                <c:pt idx="612">
                  <c:v>5.2897473997019086E-2</c:v>
                </c:pt>
                <c:pt idx="613">
                  <c:v>5.2897473997019086E-2</c:v>
                </c:pt>
                <c:pt idx="614">
                  <c:v>5.2897473997019086E-2</c:v>
                </c:pt>
                <c:pt idx="615">
                  <c:v>5.2897473997019086E-2</c:v>
                </c:pt>
                <c:pt idx="616">
                  <c:v>5.2897473997019086E-2</c:v>
                </c:pt>
                <c:pt idx="617">
                  <c:v>5.2897473997019086E-2</c:v>
                </c:pt>
                <c:pt idx="618">
                  <c:v>5.2897473997019086E-2</c:v>
                </c:pt>
                <c:pt idx="619">
                  <c:v>5.2897473997019086E-2</c:v>
                </c:pt>
                <c:pt idx="620">
                  <c:v>5.2897473997019086E-2</c:v>
                </c:pt>
                <c:pt idx="621">
                  <c:v>5.2897473997019086E-2</c:v>
                </c:pt>
                <c:pt idx="622">
                  <c:v>5.2897473997019086E-2</c:v>
                </c:pt>
                <c:pt idx="623">
                  <c:v>5.2897473997019086E-2</c:v>
                </c:pt>
                <c:pt idx="624">
                  <c:v>5.2897473997019086E-2</c:v>
                </c:pt>
                <c:pt idx="625">
                  <c:v>5.2897473997019086E-2</c:v>
                </c:pt>
                <c:pt idx="626">
                  <c:v>5.2897473997019086E-2</c:v>
                </c:pt>
                <c:pt idx="627">
                  <c:v>5.2897473997019086E-2</c:v>
                </c:pt>
                <c:pt idx="628">
                  <c:v>5.2897473997019086E-2</c:v>
                </c:pt>
                <c:pt idx="629">
                  <c:v>5.2897473997019086E-2</c:v>
                </c:pt>
                <c:pt idx="630">
                  <c:v>5.2897473997019086E-2</c:v>
                </c:pt>
                <c:pt idx="631">
                  <c:v>5.2897473997019086E-2</c:v>
                </c:pt>
                <c:pt idx="632">
                  <c:v>5.2897473997019086E-2</c:v>
                </c:pt>
                <c:pt idx="633">
                  <c:v>5.2897473997019086E-2</c:v>
                </c:pt>
                <c:pt idx="634">
                  <c:v>5.2897473997019086E-2</c:v>
                </c:pt>
                <c:pt idx="635">
                  <c:v>5.2897473997019086E-2</c:v>
                </c:pt>
                <c:pt idx="636">
                  <c:v>5.2897473997019086E-2</c:v>
                </c:pt>
                <c:pt idx="637">
                  <c:v>5.2897473997019086E-2</c:v>
                </c:pt>
                <c:pt idx="638">
                  <c:v>5.2897473997019086E-2</c:v>
                </c:pt>
                <c:pt idx="639">
                  <c:v>5.2897473997019086E-2</c:v>
                </c:pt>
                <c:pt idx="640">
                  <c:v>5.2897473997019086E-2</c:v>
                </c:pt>
                <c:pt idx="641">
                  <c:v>5.2897473997019086E-2</c:v>
                </c:pt>
                <c:pt idx="642">
                  <c:v>5.2897473997019086E-2</c:v>
                </c:pt>
                <c:pt idx="643">
                  <c:v>5.2897473997019086E-2</c:v>
                </c:pt>
                <c:pt idx="644">
                  <c:v>5.2897473997019086E-2</c:v>
                </c:pt>
                <c:pt idx="645">
                  <c:v>5.2897473997019086E-2</c:v>
                </c:pt>
                <c:pt idx="646">
                  <c:v>5.2897473997019086E-2</c:v>
                </c:pt>
                <c:pt idx="647">
                  <c:v>5.2897473997019086E-2</c:v>
                </c:pt>
                <c:pt idx="648">
                  <c:v>5.2897473997019086E-2</c:v>
                </c:pt>
                <c:pt idx="649">
                  <c:v>5.2897473997019086E-2</c:v>
                </c:pt>
                <c:pt idx="650">
                  <c:v>5.2897473997019086E-2</c:v>
                </c:pt>
                <c:pt idx="651">
                  <c:v>5.2897473997019086E-2</c:v>
                </c:pt>
                <c:pt idx="652">
                  <c:v>5.2897473997019086E-2</c:v>
                </c:pt>
                <c:pt idx="653">
                  <c:v>5.2897473997019086E-2</c:v>
                </c:pt>
                <c:pt idx="654">
                  <c:v>5.2897473997019086E-2</c:v>
                </c:pt>
                <c:pt idx="655">
                  <c:v>5.2897473997019086E-2</c:v>
                </c:pt>
                <c:pt idx="656">
                  <c:v>5.2897473997019086E-2</c:v>
                </c:pt>
                <c:pt idx="657">
                  <c:v>5.2897473997019086E-2</c:v>
                </c:pt>
                <c:pt idx="658">
                  <c:v>5.2897473997019086E-2</c:v>
                </c:pt>
                <c:pt idx="659">
                  <c:v>5.2897473997019086E-2</c:v>
                </c:pt>
                <c:pt idx="660">
                  <c:v>5.2897473997019086E-2</c:v>
                </c:pt>
                <c:pt idx="661">
                  <c:v>5.2897473997019086E-2</c:v>
                </c:pt>
                <c:pt idx="662">
                  <c:v>5.2897473997019086E-2</c:v>
                </c:pt>
                <c:pt idx="663">
                  <c:v>5.2897473997019086E-2</c:v>
                </c:pt>
                <c:pt idx="664">
                  <c:v>5.2897473997019086E-2</c:v>
                </c:pt>
                <c:pt idx="665">
                  <c:v>5.2897473997019086E-2</c:v>
                </c:pt>
                <c:pt idx="666">
                  <c:v>5.2897473997019086E-2</c:v>
                </c:pt>
                <c:pt idx="667">
                  <c:v>5.2897473997019086E-2</c:v>
                </c:pt>
                <c:pt idx="668">
                  <c:v>5.2897473997019086E-2</c:v>
                </c:pt>
                <c:pt idx="669">
                  <c:v>5.2897473997019086E-2</c:v>
                </c:pt>
                <c:pt idx="670">
                  <c:v>5.2897473997019086E-2</c:v>
                </c:pt>
                <c:pt idx="671">
                  <c:v>5.2897473997019086E-2</c:v>
                </c:pt>
                <c:pt idx="672">
                  <c:v>5.2897473997019086E-2</c:v>
                </c:pt>
                <c:pt idx="673">
                  <c:v>5.2897473997019086E-2</c:v>
                </c:pt>
                <c:pt idx="674">
                  <c:v>5.2897473997019086E-2</c:v>
                </c:pt>
                <c:pt idx="675">
                  <c:v>5.2897473997019086E-2</c:v>
                </c:pt>
                <c:pt idx="676">
                  <c:v>5.2897473997019086E-2</c:v>
                </c:pt>
                <c:pt idx="677">
                  <c:v>5.2897473997019086E-2</c:v>
                </c:pt>
                <c:pt idx="678">
                  <c:v>5.2897473997019086E-2</c:v>
                </c:pt>
                <c:pt idx="679">
                  <c:v>5.2897473997019086E-2</c:v>
                </c:pt>
                <c:pt idx="680">
                  <c:v>5.2897473997019086E-2</c:v>
                </c:pt>
                <c:pt idx="681">
                  <c:v>5.2897473997019086E-2</c:v>
                </c:pt>
                <c:pt idx="682">
                  <c:v>5.2897473997019086E-2</c:v>
                </c:pt>
                <c:pt idx="683">
                  <c:v>5.2897473997019086E-2</c:v>
                </c:pt>
                <c:pt idx="684">
                  <c:v>5.2897473997019086E-2</c:v>
                </c:pt>
                <c:pt idx="685">
                  <c:v>5.2897473997019086E-2</c:v>
                </c:pt>
                <c:pt idx="686">
                  <c:v>5.2897473997019086E-2</c:v>
                </c:pt>
                <c:pt idx="687">
                  <c:v>5.2897473997019086E-2</c:v>
                </c:pt>
                <c:pt idx="688">
                  <c:v>5.2897473997019086E-2</c:v>
                </c:pt>
                <c:pt idx="689">
                  <c:v>5.2897473997019086E-2</c:v>
                </c:pt>
                <c:pt idx="690">
                  <c:v>5.2897473997019086E-2</c:v>
                </c:pt>
                <c:pt idx="691">
                  <c:v>5.2897473997019086E-2</c:v>
                </c:pt>
                <c:pt idx="692">
                  <c:v>5.2897473997019086E-2</c:v>
                </c:pt>
                <c:pt idx="693">
                  <c:v>5.2897473997019086E-2</c:v>
                </c:pt>
                <c:pt idx="694">
                  <c:v>5.2897473997019086E-2</c:v>
                </c:pt>
                <c:pt idx="695">
                  <c:v>5.2897473997019086E-2</c:v>
                </c:pt>
                <c:pt idx="696">
                  <c:v>5.2897473997019086E-2</c:v>
                </c:pt>
                <c:pt idx="697">
                  <c:v>5.2897473997019086E-2</c:v>
                </c:pt>
                <c:pt idx="698">
                  <c:v>5.2897473997019086E-2</c:v>
                </c:pt>
                <c:pt idx="699">
                  <c:v>5.2897473997019086E-2</c:v>
                </c:pt>
                <c:pt idx="700">
                  <c:v>5.2897473997019086E-2</c:v>
                </c:pt>
                <c:pt idx="701">
                  <c:v>5.2897473997019086E-2</c:v>
                </c:pt>
                <c:pt idx="702">
                  <c:v>5.2897473997019086E-2</c:v>
                </c:pt>
                <c:pt idx="703">
                  <c:v>5.2897473997019086E-2</c:v>
                </c:pt>
                <c:pt idx="704">
                  <c:v>5.2897473997019086E-2</c:v>
                </c:pt>
                <c:pt idx="705">
                  <c:v>5.2897473997019086E-2</c:v>
                </c:pt>
                <c:pt idx="706">
                  <c:v>5.2897473997019086E-2</c:v>
                </c:pt>
                <c:pt idx="707">
                  <c:v>5.2897473997019086E-2</c:v>
                </c:pt>
                <c:pt idx="708">
                  <c:v>5.2897473997019086E-2</c:v>
                </c:pt>
                <c:pt idx="709">
                  <c:v>5.2897473997019086E-2</c:v>
                </c:pt>
                <c:pt idx="710">
                  <c:v>5.2897473997019086E-2</c:v>
                </c:pt>
                <c:pt idx="711">
                  <c:v>5.2897473997019086E-2</c:v>
                </c:pt>
                <c:pt idx="712">
                  <c:v>5.2897473997019086E-2</c:v>
                </c:pt>
                <c:pt idx="713">
                  <c:v>5.2897473997019086E-2</c:v>
                </c:pt>
                <c:pt idx="714">
                  <c:v>5.2897473997019086E-2</c:v>
                </c:pt>
                <c:pt idx="715">
                  <c:v>5.2897473997019086E-2</c:v>
                </c:pt>
                <c:pt idx="716">
                  <c:v>5.2897473997019086E-2</c:v>
                </c:pt>
                <c:pt idx="717">
                  <c:v>5.2897473997019086E-2</c:v>
                </c:pt>
                <c:pt idx="718">
                  <c:v>5.2897473997019086E-2</c:v>
                </c:pt>
                <c:pt idx="719">
                  <c:v>5.2897473997019086E-2</c:v>
                </c:pt>
                <c:pt idx="720">
                  <c:v>5.2897473997019086E-2</c:v>
                </c:pt>
                <c:pt idx="721">
                  <c:v>5.2897473997019086E-2</c:v>
                </c:pt>
                <c:pt idx="722">
                  <c:v>5.2897473997019086E-2</c:v>
                </c:pt>
                <c:pt idx="723">
                  <c:v>5.2897473997019086E-2</c:v>
                </c:pt>
                <c:pt idx="724">
                  <c:v>5.2897473997019086E-2</c:v>
                </c:pt>
                <c:pt idx="725">
                  <c:v>5.2897473997019086E-2</c:v>
                </c:pt>
                <c:pt idx="726">
                  <c:v>5.2897473997019086E-2</c:v>
                </c:pt>
                <c:pt idx="727">
                  <c:v>5.2897473997019086E-2</c:v>
                </c:pt>
                <c:pt idx="728">
                  <c:v>5.2897473997019086E-2</c:v>
                </c:pt>
                <c:pt idx="729">
                  <c:v>5.2897473997019086E-2</c:v>
                </c:pt>
                <c:pt idx="730">
                  <c:v>5.2897473997019086E-2</c:v>
                </c:pt>
                <c:pt idx="731">
                  <c:v>5.2897473997019086E-2</c:v>
                </c:pt>
                <c:pt idx="732">
                  <c:v>5.2897473997019086E-2</c:v>
                </c:pt>
                <c:pt idx="733">
                  <c:v>5.2897473997019086E-2</c:v>
                </c:pt>
                <c:pt idx="734">
                  <c:v>5.2897473997019086E-2</c:v>
                </c:pt>
                <c:pt idx="735">
                  <c:v>5.2897473997019086E-2</c:v>
                </c:pt>
                <c:pt idx="736">
                  <c:v>5.2897473997019086E-2</c:v>
                </c:pt>
                <c:pt idx="737">
                  <c:v>5.2897473997019086E-2</c:v>
                </c:pt>
                <c:pt idx="738">
                  <c:v>5.2897473997019086E-2</c:v>
                </c:pt>
                <c:pt idx="739">
                  <c:v>5.2897473997019086E-2</c:v>
                </c:pt>
                <c:pt idx="740">
                  <c:v>5.2897473997019086E-2</c:v>
                </c:pt>
                <c:pt idx="741">
                  <c:v>5.2897473997019086E-2</c:v>
                </c:pt>
                <c:pt idx="742">
                  <c:v>5.2897473997019086E-2</c:v>
                </c:pt>
                <c:pt idx="743">
                  <c:v>5.2897473997019086E-2</c:v>
                </c:pt>
                <c:pt idx="744">
                  <c:v>5.2897473997019086E-2</c:v>
                </c:pt>
                <c:pt idx="745">
                  <c:v>5.2897473997019086E-2</c:v>
                </c:pt>
                <c:pt idx="746">
                  <c:v>5.2897473997019086E-2</c:v>
                </c:pt>
                <c:pt idx="747">
                  <c:v>5.2897473997019086E-2</c:v>
                </c:pt>
                <c:pt idx="748">
                  <c:v>5.2897473997019086E-2</c:v>
                </c:pt>
                <c:pt idx="749">
                  <c:v>5.2897473997019086E-2</c:v>
                </c:pt>
                <c:pt idx="750">
                  <c:v>5.2897473997019086E-2</c:v>
                </c:pt>
                <c:pt idx="751">
                  <c:v>5.2897473997019086E-2</c:v>
                </c:pt>
                <c:pt idx="752">
                  <c:v>5.2897473997019086E-2</c:v>
                </c:pt>
                <c:pt idx="753">
                  <c:v>5.2897473997019086E-2</c:v>
                </c:pt>
                <c:pt idx="754">
                  <c:v>5.2897473997019086E-2</c:v>
                </c:pt>
                <c:pt idx="755">
                  <c:v>5.2897473997019086E-2</c:v>
                </c:pt>
                <c:pt idx="756">
                  <c:v>5.2897473997019086E-2</c:v>
                </c:pt>
                <c:pt idx="757">
                  <c:v>5.2897473997019086E-2</c:v>
                </c:pt>
                <c:pt idx="758">
                  <c:v>5.2897473997019086E-2</c:v>
                </c:pt>
                <c:pt idx="759">
                  <c:v>5.2897473997019086E-2</c:v>
                </c:pt>
                <c:pt idx="760">
                  <c:v>9.9527233330079901E-2</c:v>
                </c:pt>
                <c:pt idx="761">
                  <c:v>9.9527233330079901E-2</c:v>
                </c:pt>
                <c:pt idx="762">
                  <c:v>9.9527233330079901E-2</c:v>
                </c:pt>
                <c:pt idx="763">
                  <c:v>9.9527233330079901E-2</c:v>
                </c:pt>
                <c:pt idx="764">
                  <c:v>9.9527233330079901E-2</c:v>
                </c:pt>
                <c:pt idx="765">
                  <c:v>9.9527233330079901E-2</c:v>
                </c:pt>
                <c:pt idx="766">
                  <c:v>9.9527233330079901E-2</c:v>
                </c:pt>
                <c:pt idx="767">
                  <c:v>9.9527233330079901E-2</c:v>
                </c:pt>
                <c:pt idx="768">
                  <c:v>9.9527233330079901E-2</c:v>
                </c:pt>
                <c:pt idx="769">
                  <c:v>9.9527233330079901E-2</c:v>
                </c:pt>
                <c:pt idx="770">
                  <c:v>9.9527233330079901E-2</c:v>
                </c:pt>
                <c:pt idx="771">
                  <c:v>9.9527233330079901E-2</c:v>
                </c:pt>
                <c:pt idx="772">
                  <c:v>9.9527233330079901E-2</c:v>
                </c:pt>
                <c:pt idx="773">
                  <c:v>9.9527233330079901E-2</c:v>
                </c:pt>
                <c:pt idx="774">
                  <c:v>9.9527233330079901E-2</c:v>
                </c:pt>
                <c:pt idx="775">
                  <c:v>9.9527233330079901E-2</c:v>
                </c:pt>
                <c:pt idx="776">
                  <c:v>9.9527233330079901E-2</c:v>
                </c:pt>
                <c:pt idx="777">
                  <c:v>9.9527233330079901E-2</c:v>
                </c:pt>
                <c:pt idx="778">
                  <c:v>9.9527233330079901E-2</c:v>
                </c:pt>
                <c:pt idx="779">
                  <c:v>9.9527233330079901E-2</c:v>
                </c:pt>
                <c:pt idx="780">
                  <c:v>9.9527233330079901E-2</c:v>
                </c:pt>
                <c:pt idx="781">
                  <c:v>9.9527233330079901E-2</c:v>
                </c:pt>
                <c:pt idx="782">
                  <c:v>9.9527233330079901E-2</c:v>
                </c:pt>
                <c:pt idx="783">
                  <c:v>9.9527233330079901E-2</c:v>
                </c:pt>
                <c:pt idx="784">
                  <c:v>9.9527233330079901E-2</c:v>
                </c:pt>
                <c:pt idx="785">
                  <c:v>9.9527233330079901E-2</c:v>
                </c:pt>
                <c:pt idx="786">
                  <c:v>9.9527233330079901E-2</c:v>
                </c:pt>
                <c:pt idx="787">
                  <c:v>9.9527233330079901E-2</c:v>
                </c:pt>
                <c:pt idx="788">
                  <c:v>9.9527233330079901E-2</c:v>
                </c:pt>
                <c:pt idx="789">
                  <c:v>9.9527233330079901E-2</c:v>
                </c:pt>
                <c:pt idx="790">
                  <c:v>9.9527233330079901E-2</c:v>
                </c:pt>
                <c:pt idx="791">
                  <c:v>9.9527233330079901E-2</c:v>
                </c:pt>
                <c:pt idx="792">
                  <c:v>9.9527233330079901E-2</c:v>
                </c:pt>
                <c:pt idx="793">
                  <c:v>9.9527233330079901E-2</c:v>
                </c:pt>
                <c:pt idx="794">
                  <c:v>9.9527233330079901E-2</c:v>
                </c:pt>
                <c:pt idx="795">
                  <c:v>9.9527233330079901E-2</c:v>
                </c:pt>
                <c:pt idx="796">
                  <c:v>9.9527233330079901E-2</c:v>
                </c:pt>
                <c:pt idx="797">
                  <c:v>9.9527233330079901E-2</c:v>
                </c:pt>
                <c:pt idx="798">
                  <c:v>9.9527233330079901E-2</c:v>
                </c:pt>
                <c:pt idx="799">
                  <c:v>9.9527233330079901E-2</c:v>
                </c:pt>
                <c:pt idx="800">
                  <c:v>9.9527233330079901E-2</c:v>
                </c:pt>
                <c:pt idx="801">
                  <c:v>9.9527233330079901E-2</c:v>
                </c:pt>
                <c:pt idx="802">
                  <c:v>9.9527233330079901E-2</c:v>
                </c:pt>
                <c:pt idx="803">
                  <c:v>9.9527233330079901E-2</c:v>
                </c:pt>
                <c:pt idx="804">
                  <c:v>9.9527233330079901E-2</c:v>
                </c:pt>
                <c:pt idx="805">
                  <c:v>9.9527233330079901E-2</c:v>
                </c:pt>
                <c:pt idx="806">
                  <c:v>9.9527233330079901E-2</c:v>
                </c:pt>
                <c:pt idx="807">
                  <c:v>9.9527233330079901E-2</c:v>
                </c:pt>
                <c:pt idx="808">
                  <c:v>9.9527233330079901E-2</c:v>
                </c:pt>
                <c:pt idx="809">
                  <c:v>9.9527233330079901E-2</c:v>
                </c:pt>
                <c:pt idx="810">
                  <c:v>9.9527233330079901E-2</c:v>
                </c:pt>
                <c:pt idx="811">
                  <c:v>9.9527233330079901E-2</c:v>
                </c:pt>
                <c:pt idx="812">
                  <c:v>9.9527233330079901E-2</c:v>
                </c:pt>
                <c:pt idx="813">
                  <c:v>9.9527233330079901E-2</c:v>
                </c:pt>
                <c:pt idx="814">
                  <c:v>9.9527233330079901E-2</c:v>
                </c:pt>
                <c:pt idx="815">
                  <c:v>9.9527233330079901E-2</c:v>
                </c:pt>
                <c:pt idx="816">
                  <c:v>9.9527233330079901E-2</c:v>
                </c:pt>
                <c:pt idx="817">
                  <c:v>9.9527233330079901E-2</c:v>
                </c:pt>
                <c:pt idx="818">
                  <c:v>9.9527233330079901E-2</c:v>
                </c:pt>
                <c:pt idx="819">
                  <c:v>9.9527233330079901E-2</c:v>
                </c:pt>
                <c:pt idx="820">
                  <c:v>9.9527233330079901E-2</c:v>
                </c:pt>
                <c:pt idx="821">
                  <c:v>9.9527233330079901E-2</c:v>
                </c:pt>
                <c:pt idx="822">
                  <c:v>9.9527233330079901E-2</c:v>
                </c:pt>
                <c:pt idx="823">
                  <c:v>9.9527233330079901E-2</c:v>
                </c:pt>
                <c:pt idx="824">
                  <c:v>9.9527233330079901E-2</c:v>
                </c:pt>
                <c:pt idx="825">
                  <c:v>9.9527233330079901E-2</c:v>
                </c:pt>
                <c:pt idx="826">
                  <c:v>9.9527233330079901E-2</c:v>
                </c:pt>
                <c:pt idx="827">
                  <c:v>9.9527233330079901E-2</c:v>
                </c:pt>
                <c:pt idx="828">
                  <c:v>9.9527233330079901E-2</c:v>
                </c:pt>
                <c:pt idx="829">
                  <c:v>9.9527233330079901E-2</c:v>
                </c:pt>
                <c:pt idx="830">
                  <c:v>9.9527233330079901E-2</c:v>
                </c:pt>
                <c:pt idx="831">
                  <c:v>9.4647776465945271E-2</c:v>
                </c:pt>
                <c:pt idx="832">
                  <c:v>9.4647776465945271E-2</c:v>
                </c:pt>
                <c:pt idx="833">
                  <c:v>9.4647776465945271E-2</c:v>
                </c:pt>
                <c:pt idx="834">
                  <c:v>9.4647776465945271E-2</c:v>
                </c:pt>
                <c:pt idx="835">
                  <c:v>9.4647776465945271E-2</c:v>
                </c:pt>
                <c:pt idx="836">
                  <c:v>9.4647776465945271E-2</c:v>
                </c:pt>
                <c:pt idx="837">
                  <c:v>9.4647776465945271E-2</c:v>
                </c:pt>
                <c:pt idx="838">
                  <c:v>9.4647776465945271E-2</c:v>
                </c:pt>
                <c:pt idx="839">
                  <c:v>9.4647776465945271E-2</c:v>
                </c:pt>
                <c:pt idx="840">
                  <c:v>9.4647776465945271E-2</c:v>
                </c:pt>
                <c:pt idx="841">
                  <c:v>9.4647776465945271E-2</c:v>
                </c:pt>
                <c:pt idx="842">
                  <c:v>9.4647776465945271E-2</c:v>
                </c:pt>
                <c:pt idx="843">
                  <c:v>9.4647776465945271E-2</c:v>
                </c:pt>
                <c:pt idx="844">
                  <c:v>9.4647776465945271E-2</c:v>
                </c:pt>
                <c:pt idx="845">
                  <c:v>9.4647776465945271E-2</c:v>
                </c:pt>
                <c:pt idx="846">
                  <c:v>9.4647776465945271E-2</c:v>
                </c:pt>
                <c:pt idx="847">
                  <c:v>9.4647776465945271E-2</c:v>
                </c:pt>
                <c:pt idx="848">
                  <c:v>9.4647776465945271E-2</c:v>
                </c:pt>
                <c:pt idx="849">
                  <c:v>9.4647776465945271E-2</c:v>
                </c:pt>
                <c:pt idx="850">
                  <c:v>9.4647776465945271E-2</c:v>
                </c:pt>
                <c:pt idx="851">
                  <c:v>9.4647776465945271E-2</c:v>
                </c:pt>
                <c:pt idx="852">
                  <c:v>9.4647776465945271E-2</c:v>
                </c:pt>
                <c:pt idx="853">
                  <c:v>9.4647776465945271E-2</c:v>
                </c:pt>
                <c:pt idx="854">
                  <c:v>9.4647776465945271E-2</c:v>
                </c:pt>
                <c:pt idx="855">
                  <c:v>9.4647776465945271E-2</c:v>
                </c:pt>
                <c:pt idx="856">
                  <c:v>9.4647776465945271E-2</c:v>
                </c:pt>
                <c:pt idx="857">
                  <c:v>9.4647776465945271E-2</c:v>
                </c:pt>
                <c:pt idx="858">
                  <c:v>9.4647776465945271E-2</c:v>
                </c:pt>
                <c:pt idx="859">
                  <c:v>9.4647776465945271E-2</c:v>
                </c:pt>
                <c:pt idx="860">
                  <c:v>9.4647776465945271E-2</c:v>
                </c:pt>
                <c:pt idx="861">
                  <c:v>9.4647776465945271E-2</c:v>
                </c:pt>
                <c:pt idx="862">
                  <c:v>9.4647776465945271E-2</c:v>
                </c:pt>
                <c:pt idx="863">
                  <c:v>9.4647776465945271E-2</c:v>
                </c:pt>
                <c:pt idx="864">
                  <c:v>9.4647776465945271E-2</c:v>
                </c:pt>
                <c:pt idx="865">
                  <c:v>9.4647776465945271E-2</c:v>
                </c:pt>
                <c:pt idx="866">
                  <c:v>9.4647776465945271E-2</c:v>
                </c:pt>
                <c:pt idx="867">
                  <c:v>9.4647776465945271E-2</c:v>
                </c:pt>
                <c:pt idx="868">
                  <c:v>9.4647776465945271E-2</c:v>
                </c:pt>
                <c:pt idx="869">
                  <c:v>9.4647776465945271E-2</c:v>
                </c:pt>
                <c:pt idx="870">
                  <c:v>9.4647776465945271E-2</c:v>
                </c:pt>
                <c:pt idx="871">
                  <c:v>9.4647776465945271E-2</c:v>
                </c:pt>
                <c:pt idx="872">
                  <c:v>9.4647776465945271E-2</c:v>
                </c:pt>
                <c:pt idx="873">
                  <c:v>9.4647776465945271E-2</c:v>
                </c:pt>
                <c:pt idx="874">
                  <c:v>9.4647776465945271E-2</c:v>
                </c:pt>
                <c:pt idx="875">
                  <c:v>9.4647776465945271E-2</c:v>
                </c:pt>
                <c:pt idx="876">
                  <c:v>9.4647776465945271E-2</c:v>
                </c:pt>
                <c:pt idx="877">
                  <c:v>9.4647776465945271E-2</c:v>
                </c:pt>
                <c:pt idx="878">
                  <c:v>9.4647776465945271E-2</c:v>
                </c:pt>
                <c:pt idx="879">
                  <c:v>9.4647776465945271E-2</c:v>
                </c:pt>
                <c:pt idx="880">
                  <c:v>9.4647776465945271E-2</c:v>
                </c:pt>
                <c:pt idx="881">
                  <c:v>9.4647776465945271E-2</c:v>
                </c:pt>
                <c:pt idx="882">
                  <c:v>9.4647776465945271E-2</c:v>
                </c:pt>
                <c:pt idx="883">
                  <c:v>9.4647776465945271E-2</c:v>
                </c:pt>
                <c:pt idx="884">
                  <c:v>9.4647776465945271E-2</c:v>
                </c:pt>
                <c:pt idx="885">
                  <c:v>9.4647776465945271E-2</c:v>
                </c:pt>
                <c:pt idx="886">
                  <c:v>9.4647776465945271E-2</c:v>
                </c:pt>
                <c:pt idx="887">
                  <c:v>9.4647776465945271E-2</c:v>
                </c:pt>
                <c:pt idx="888">
                  <c:v>9.4647776465945271E-2</c:v>
                </c:pt>
                <c:pt idx="889">
                  <c:v>9.4647776465945271E-2</c:v>
                </c:pt>
                <c:pt idx="890">
                  <c:v>9.4647776465945271E-2</c:v>
                </c:pt>
                <c:pt idx="891">
                  <c:v>9.4647776465945271E-2</c:v>
                </c:pt>
                <c:pt idx="892">
                  <c:v>9.4647776465945271E-2</c:v>
                </c:pt>
                <c:pt idx="893">
                  <c:v>9.4647776465945271E-2</c:v>
                </c:pt>
                <c:pt idx="894">
                  <c:v>9.4647776465945271E-2</c:v>
                </c:pt>
                <c:pt idx="895">
                  <c:v>9.4647776465945271E-2</c:v>
                </c:pt>
                <c:pt idx="896">
                  <c:v>9.4647776465945271E-2</c:v>
                </c:pt>
                <c:pt idx="897">
                  <c:v>9.4647776465945271E-2</c:v>
                </c:pt>
                <c:pt idx="898">
                  <c:v>9.4647776465945271E-2</c:v>
                </c:pt>
                <c:pt idx="899">
                  <c:v>9.4647776465945271E-2</c:v>
                </c:pt>
                <c:pt idx="900">
                  <c:v>9.4647776465945271E-2</c:v>
                </c:pt>
                <c:pt idx="901">
                  <c:v>3.561480302426305E-2</c:v>
                </c:pt>
                <c:pt idx="902">
                  <c:v>3.561480302426305E-2</c:v>
                </c:pt>
                <c:pt idx="903">
                  <c:v>3.561480302426305E-2</c:v>
                </c:pt>
                <c:pt idx="904">
                  <c:v>3.561480302426305E-2</c:v>
                </c:pt>
                <c:pt idx="905">
                  <c:v>3.561480302426305E-2</c:v>
                </c:pt>
                <c:pt idx="906">
                  <c:v>3.561480302426305E-2</c:v>
                </c:pt>
                <c:pt idx="907">
                  <c:v>3.561480302426305E-2</c:v>
                </c:pt>
                <c:pt idx="908">
                  <c:v>3.561480302426305E-2</c:v>
                </c:pt>
                <c:pt idx="909">
                  <c:v>3.561480302426305E-2</c:v>
                </c:pt>
                <c:pt idx="910">
                  <c:v>3.561480302426305E-2</c:v>
                </c:pt>
                <c:pt idx="911">
                  <c:v>3.561480302426305E-2</c:v>
                </c:pt>
                <c:pt idx="912">
                  <c:v>3.561480302426305E-2</c:v>
                </c:pt>
                <c:pt idx="913">
                  <c:v>3.561480302426305E-2</c:v>
                </c:pt>
                <c:pt idx="914">
                  <c:v>3.561480302426305E-2</c:v>
                </c:pt>
                <c:pt idx="915">
                  <c:v>3.561480302426305E-2</c:v>
                </c:pt>
                <c:pt idx="916">
                  <c:v>3.561480302426305E-2</c:v>
                </c:pt>
                <c:pt idx="917">
                  <c:v>3.561480302426305E-2</c:v>
                </c:pt>
                <c:pt idx="918">
                  <c:v>3.561480302426305E-2</c:v>
                </c:pt>
                <c:pt idx="919">
                  <c:v>3.561480302426305E-2</c:v>
                </c:pt>
                <c:pt idx="920">
                  <c:v>3.561480302426305E-2</c:v>
                </c:pt>
                <c:pt idx="921">
                  <c:v>3.561480302426305E-2</c:v>
                </c:pt>
                <c:pt idx="922">
                  <c:v>3.561480302426305E-2</c:v>
                </c:pt>
                <c:pt idx="923">
                  <c:v>3.561480302426305E-2</c:v>
                </c:pt>
                <c:pt idx="924">
                  <c:v>3.561480302426305E-2</c:v>
                </c:pt>
                <c:pt idx="925">
                  <c:v>3.561480302426305E-2</c:v>
                </c:pt>
                <c:pt idx="926">
                  <c:v>3.561480302426305E-2</c:v>
                </c:pt>
                <c:pt idx="927">
                  <c:v>3.561480302426305E-2</c:v>
                </c:pt>
                <c:pt idx="928">
                  <c:v>3.561480302426305E-2</c:v>
                </c:pt>
                <c:pt idx="929">
                  <c:v>3.561480302426305E-2</c:v>
                </c:pt>
                <c:pt idx="930">
                  <c:v>3.561480302426305E-2</c:v>
                </c:pt>
                <c:pt idx="931">
                  <c:v>3.561480302426305E-2</c:v>
                </c:pt>
                <c:pt idx="932">
                  <c:v>3.561480302426305E-2</c:v>
                </c:pt>
                <c:pt idx="933">
                  <c:v>3.561480302426305E-2</c:v>
                </c:pt>
                <c:pt idx="934">
                  <c:v>3.561480302426305E-2</c:v>
                </c:pt>
                <c:pt idx="935">
                  <c:v>3.561480302426305E-2</c:v>
                </c:pt>
                <c:pt idx="936">
                  <c:v>3.561480302426305E-2</c:v>
                </c:pt>
                <c:pt idx="937">
                  <c:v>3.561480302426305E-2</c:v>
                </c:pt>
                <c:pt idx="938">
                  <c:v>3.561480302426305E-2</c:v>
                </c:pt>
                <c:pt idx="939">
                  <c:v>3.561480302426305E-2</c:v>
                </c:pt>
                <c:pt idx="940">
                  <c:v>3.561480302426305E-2</c:v>
                </c:pt>
                <c:pt idx="941">
                  <c:v>3.561480302426305E-2</c:v>
                </c:pt>
                <c:pt idx="942">
                  <c:v>3.561480302426305E-2</c:v>
                </c:pt>
                <c:pt idx="943">
                  <c:v>3.561480302426305E-2</c:v>
                </c:pt>
                <c:pt idx="944">
                  <c:v>3.561480302426305E-2</c:v>
                </c:pt>
                <c:pt idx="945">
                  <c:v>3.561480302426305E-2</c:v>
                </c:pt>
                <c:pt idx="946">
                  <c:v>3.561480302426305E-2</c:v>
                </c:pt>
                <c:pt idx="947">
                  <c:v>3.561480302426305E-2</c:v>
                </c:pt>
                <c:pt idx="948">
                  <c:v>3.561480302426305E-2</c:v>
                </c:pt>
                <c:pt idx="949">
                  <c:v>3.561480302426305E-2</c:v>
                </c:pt>
                <c:pt idx="950">
                  <c:v>3.561480302426305E-2</c:v>
                </c:pt>
                <c:pt idx="951">
                  <c:v>3.561480302426305E-2</c:v>
                </c:pt>
                <c:pt idx="952">
                  <c:v>3.561480302426305E-2</c:v>
                </c:pt>
                <c:pt idx="953">
                  <c:v>3.561480302426305E-2</c:v>
                </c:pt>
                <c:pt idx="954">
                  <c:v>3.561480302426305E-2</c:v>
                </c:pt>
                <c:pt idx="955">
                  <c:v>3.561480302426305E-2</c:v>
                </c:pt>
                <c:pt idx="956">
                  <c:v>3.561480302426305E-2</c:v>
                </c:pt>
                <c:pt idx="957">
                  <c:v>3.561480302426305E-2</c:v>
                </c:pt>
                <c:pt idx="958">
                  <c:v>3.561480302426305E-2</c:v>
                </c:pt>
                <c:pt idx="959">
                  <c:v>3.561480302426305E-2</c:v>
                </c:pt>
                <c:pt idx="960">
                  <c:v>3.561480302426305E-2</c:v>
                </c:pt>
                <c:pt idx="961">
                  <c:v>3.561480302426305E-2</c:v>
                </c:pt>
                <c:pt idx="962">
                  <c:v>3.561480302426305E-2</c:v>
                </c:pt>
                <c:pt idx="963">
                  <c:v>3.561480302426305E-2</c:v>
                </c:pt>
                <c:pt idx="964">
                  <c:v>3.561480302426305E-2</c:v>
                </c:pt>
                <c:pt idx="965">
                  <c:v>3.561480302426305E-2</c:v>
                </c:pt>
                <c:pt idx="966">
                  <c:v>3.561480302426305E-2</c:v>
                </c:pt>
                <c:pt idx="967">
                  <c:v>3.561480302426305E-2</c:v>
                </c:pt>
                <c:pt idx="968">
                  <c:v>3.561480302426305E-2</c:v>
                </c:pt>
                <c:pt idx="969">
                  <c:v>3.561480302426305E-2</c:v>
                </c:pt>
                <c:pt idx="970">
                  <c:v>3.561480302426305E-2</c:v>
                </c:pt>
                <c:pt idx="971">
                  <c:v>3.561480302426305E-2</c:v>
                </c:pt>
                <c:pt idx="972">
                  <c:v>3.561480302426305E-2</c:v>
                </c:pt>
                <c:pt idx="973">
                  <c:v>3.561480302426305E-2</c:v>
                </c:pt>
                <c:pt idx="974">
                  <c:v>3.561480302426305E-2</c:v>
                </c:pt>
                <c:pt idx="975">
                  <c:v>3.561480302426305E-2</c:v>
                </c:pt>
                <c:pt idx="976">
                  <c:v>3.561480302426305E-2</c:v>
                </c:pt>
                <c:pt idx="977">
                  <c:v>3.561480302426305E-2</c:v>
                </c:pt>
                <c:pt idx="978">
                  <c:v>3.561480302426305E-2</c:v>
                </c:pt>
                <c:pt idx="979">
                  <c:v>3.561480302426305E-2</c:v>
                </c:pt>
                <c:pt idx="980">
                  <c:v>3.561480302426305E-2</c:v>
                </c:pt>
                <c:pt idx="981">
                  <c:v>3.561480302426305E-2</c:v>
                </c:pt>
                <c:pt idx="982">
                  <c:v>3.561480302426305E-2</c:v>
                </c:pt>
                <c:pt idx="983">
                  <c:v>3.561480302426305E-2</c:v>
                </c:pt>
                <c:pt idx="984">
                  <c:v>3.561480302426305E-2</c:v>
                </c:pt>
                <c:pt idx="985">
                  <c:v>3.561480302426305E-2</c:v>
                </c:pt>
                <c:pt idx="986">
                  <c:v>3.561480302426305E-2</c:v>
                </c:pt>
                <c:pt idx="987">
                  <c:v>3.561480302426305E-2</c:v>
                </c:pt>
                <c:pt idx="988">
                  <c:v>3.561480302426305E-2</c:v>
                </c:pt>
                <c:pt idx="989">
                  <c:v>3.561480302426305E-2</c:v>
                </c:pt>
                <c:pt idx="990">
                  <c:v>3.561480302426305E-2</c:v>
                </c:pt>
                <c:pt idx="991">
                  <c:v>3.561480302426305E-2</c:v>
                </c:pt>
                <c:pt idx="992">
                  <c:v>3.561480302426305E-2</c:v>
                </c:pt>
                <c:pt idx="993">
                  <c:v>3.561480302426305E-2</c:v>
                </c:pt>
                <c:pt idx="994">
                  <c:v>3.561480302426305E-2</c:v>
                </c:pt>
                <c:pt idx="995">
                  <c:v>3.561480302426305E-2</c:v>
                </c:pt>
                <c:pt idx="996">
                  <c:v>3.561480302426305E-2</c:v>
                </c:pt>
                <c:pt idx="997">
                  <c:v>3.561480302426305E-2</c:v>
                </c:pt>
                <c:pt idx="998">
                  <c:v>3.561480302426305E-2</c:v>
                </c:pt>
                <c:pt idx="999">
                  <c:v>3.561480302426305E-2</c:v>
                </c:pt>
                <c:pt idx="1000">
                  <c:v>3.561480302426305E-2</c:v>
                </c:pt>
                <c:pt idx="1001">
                  <c:v>3.561480302426305E-2</c:v>
                </c:pt>
                <c:pt idx="1002">
                  <c:v>3.561480302426305E-2</c:v>
                </c:pt>
                <c:pt idx="1003">
                  <c:v>3.561480302426305E-2</c:v>
                </c:pt>
                <c:pt idx="1004">
                  <c:v>3.561480302426305E-2</c:v>
                </c:pt>
                <c:pt idx="1005">
                  <c:v>3.561480302426305E-2</c:v>
                </c:pt>
                <c:pt idx="1006">
                  <c:v>3.561480302426305E-2</c:v>
                </c:pt>
                <c:pt idx="1007">
                  <c:v>3.561480302426305E-2</c:v>
                </c:pt>
                <c:pt idx="1008">
                  <c:v>3.561480302426305E-2</c:v>
                </c:pt>
                <c:pt idx="1009">
                  <c:v>3.561480302426305E-2</c:v>
                </c:pt>
                <c:pt idx="1010">
                  <c:v>3.561480302426305E-2</c:v>
                </c:pt>
                <c:pt idx="1011">
                  <c:v>3.561480302426305E-2</c:v>
                </c:pt>
                <c:pt idx="1012">
                  <c:v>3.561480302426305E-2</c:v>
                </c:pt>
                <c:pt idx="1013">
                  <c:v>3.561480302426305E-2</c:v>
                </c:pt>
                <c:pt idx="1014">
                  <c:v>3.561480302426305E-2</c:v>
                </c:pt>
                <c:pt idx="1015">
                  <c:v>3.561480302426305E-2</c:v>
                </c:pt>
                <c:pt idx="1016">
                  <c:v>3.561480302426305E-2</c:v>
                </c:pt>
                <c:pt idx="1017">
                  <c:v>3.561480302426305E-2</c:v>
                </c:pt>
                <c:pt idx="1018">
                  <c:v>3.561480302426305E-2</c:v>
                </c:pt>
                <c:pt idx="1019">
                  <c:v>3.561480302426305E-2</c:v>
                </c:pt>
                <c:pt idx="1020">
                  <c:v>3.561480302426305E-2</c:v>
                </c:pt>
                <c:pt idx="1021">
                  <c:v>3.561480302426305E-2</c:v>
                </c:pt>
                <c:pt idx="1022">
                  <c:v>3.561480302426305E-2</c:v>
                </c:pt>
                <c:pt idx="1023">
                  <c:v>3.561480302426305E-2</c:v>
                </c:pt>
                <c:pt idx="1024">
                  <c:v>3.561480302426305E-2</c:v>
                </c:pt>
                <c:pt idx="1025">
                  <c:v>3.561480302426305E-2</c:v>
                </c:pt>
                <c:pt idx="1026">
                  <c:v>3.561480302426305E-2</c:v>
                </c:pt>
                <c:pt idx="1027">
                  <c:v>3.561480302426305E-2</c:v>
                </c:pt>
                <c:pt idx="1028">
                  <c:v>3.561480302426305E-2</c:v>
                </c:pt>
                <c:pt idx="1029">
                  <c:v>3.561480302426305E-2</c:v>
                </c:pt>
                <c:pt idx="1030">
                  <c:v>3.561480302426305E-2</c:v>
                </c:pt>
                <c:pt idx="1031">
                  <c:v>3.561480302426305E-2</c:v>
                </c:pt>
                <c:pt idx="1032">
                  <c:v>3.561480302426305E-2</c:v>
                </c:pt>
                <c:pt idx="1033">
                  <c:v>3.561480302426305E-2</c:v>
                </c:pt>
                <c:pt idx="1034">
                  <c:v>3.561480302426305E-2</c:v>
                </c:pt>
                <c:pt idx="1035">
                  <c:v>3.561480302426305E-2</c:v>
                </c:pt>
                <c:pt idx="1036">
                  <c:v>3.561480302426305E-2</c:v>
                </c:pt>
                <c:pt idx="1037">
                  <c:v>3.561480302426305E-2</c:v>
                </c:pt>
                <c:pt idx="1038">
                  <c:v>3.561480302426305E-2</c:v>
                </c:pt>
                <c:pt idx="1039">
                  <c:v>3.561480302426305E-2</c:v>
                </c:pt>
                <c:pt idx="1040">
                  <c:v>3.561480302426305E-2</c:v>
                </c:pt>
                <c:pt idx="1041">
                  <c:v>6.8761751275839902E-2</c:v>
                </c:pt>
                <c:pt idx="1042">
                  <c:v>6.8761751275839902E-2</c:v>
                </c:pt>
                <c:pt idx="1043">
                  <c:v>6.8761751275839902E-2</c:v>
                </c:pt>
                <c:pt idx="1044">
                  <c:v>6.8761751275839902E-2</c:v>
                </c:pt>
                <c:pt idx="1045">
                  <c:v>6.8761751275839902E-2</c:v>
                </c:pt>
                <c:pt idx="1046">
                  <c:v>6.8761751275839902E-2</c:v>
                </c:pt>
                <c:pt idx="1047">
                  <c:v>6.8761751275839902E-2</c:v>
                </c:pt>
                <c:pt idx="1048">
                  <c:v>6.8761751275839902E-2</c:v>
                </c:pt>
                <c:pt idx="1049">
                  <c:v>6.8761751275839902E-2</c:v>
                </c:pt>
                <c:pt idx="1050">
                  <c:v>6.8761751275839902E-2</c:v>
                </c:pt>
                <c:pt idx="1051">
                  <c:v>6.8761751275839902E-2</c:v>
                </c:pt>
                <c:pt idx="1052">
                  <c:v>6.8761751275839902E-2</c:v>
                </c:pt>
                <c:pt idx="1053">
                  <c:v>6.8761751275839902E-2</c:v>
                </c:pt>
                <c:pt idx="1054">
                  <c:v>6.8761751275839902E-2</c:v>
                </c:pt>
                <c:pt idx="1055">
                  <c:v>6.8761751275839902E-2</c:v>
                </c:pt>
                <c:pt idx="1056">
                  <c:v>6.8761751275839902E-2</c:v>
                </c:pt>
                <c:pt idx="1057">
                  <c:v>6.8761751275839902E-2</c:v>
                </c:pt>
                <c:pt idx="1058">
                  <c:v>6.8761751275839902E-2</c:v>
                </c:pt>
                <c:pt idx="1059">
                  <c:v>6.8761751275839902E-2</c:v>
                </c:pt>
                <c:pt idx="1060">
                  <c:v>6.8761751275839902E-2</c:v>
                </c:pt>
                <c:pt idx="1061">
                  <c:v>6.8761751275839902E-2</c:v>
                </c:pt>
                <c:pt idx="1062">
                  <c:v>6.8761751275839902E-2</c:v>
                </c:pt>
                <c:pt idx="1063">
                  <c:v>6.8761751275839902E-2</c:v>
                </c:pt>
                <c:pt idx="1064">
                  <c:v>6.8761751275839902E-2</c:v>
                </c:pt>
                <c:pt idx="1065">
                  <c:v>6.8761751275839902E-2</c:v>
                </c:pt>
                <c:pt idx="1066">
                  <c:v>6.8761751275839902E-2</c:v>
                </c:pt>
                <c:pt idx="1067">
                  <c:v>6.8761751275839902E-2</c:v>
                </c:pt>
                <c:pt idx="1068">
                  <c:v>6.8761751275839902E-2</c:v>
                </c:pt>
                <c:pt idx="1069">
                  <c:v>6.8761751275839902E-2</c:v>
                </c:pt>
                <c:pt idx="1070">
                  <c:v>6.8761751275839902E-2</c:v>
                </c:pt>
                <c:pt idx="1071">
                  <c:v>6.8761751275839902E-2</c:v>
                </c:pt>
                <c:pt idx="1072">
                  <c:v>6.8761751275839902E-2</c:v>
                </c:pt>
                <c:pt idx="1073">
                  <c:v>6.8761751275839902E-2</c:v>
                </c:pt>
                <c:pt idx="1074">
                  <c:v>6.8761751275839902E-2</c:v>
                </c:pt>
                <c:pt idx="1075">
                  <c:v>6.8761751275839902E-2</c:v>
                </c:pt>
                <c:pt idx="1076">
                  <c:v>6.8761751275839902E-2</c:v>
                </c:pt>
                <c:pt idx="1077">
                  <c:v>6.8761751275839902E-2</c:v>
                </c:pt>
                <c:pt idx="1078">
                  <c:v>6.8761751275839902E-2</c:v>
                </c:pt>
                <c:pt idx="1079">
                  <c:v>6.8761751275839902E-2</c:v>
                </c:pt>
                <c:pt idx="1080">
                  <c:v>6.8761751275839902E-2</c:v>
                </c:pt>
                <c:pt idx="1081">
                  <c:v>6.8761751275839902E-2</c:v>
                </c:pt>
                <c:pt idx="1082">
                  <c:v>6.8761751275839902E-2</c:v>
                </c:pt>
                <c:pt idx="1083">
                  <c:v>6.8761751275839902E-2</c:v>
                </c:pt>
                <c:pt idx="1084">
                  <c:v>6.8761751275839902E-2</c:v>
                </c:pt>
                <c:pt idx="1085">
                  <c:v>6.8761751275839902E-2</c:v>
                </c:pt>
                <c:pt idx="1086">
                  <c:v>6.8761751275839902E-2</c:v>
                </c:pt>
                <c:pt idx="1087">
                  <c:v>6.8761751275839902E-2</c:v>
                </c:pt>
                <c:pt idx="1088">
                  <c:v>6.8761751275839902E-2</c:v>
                </c:pt>
                <c:pt idx="1089">
                  <c:v>6.8761751275839902E-2</c:v>
                </c:pt>
                <c:pt idx="1090">
                  <c:v>6.8761751275839902E-2</c:v>
                </c:pt>
                <c:pt idx="1091">
                  <c:v>6.8761751275839902E-2</c:v>
                </c:pt>
                <c:pt idx="1092">
                  <c:v>6.8761751275839902E-2</c:v>
                </c:pt>
                <c:pt idx="1093">
                  <c:v>6.8761751275839902E-2</c:v>
                </c:pt>
                <c:pt idx="1094">
                  <c:v>6.8761751275839902E-2</c:v>
                </c:pt>
                <c:pt idx="1095">
                  <c:v>6.8761751275839902E-2</c:v>
                </c:pt>
                <c:pt idx="1096">
                  <c:v>6.8761751275839902E-2</c:v>
                </c:pt>
                <c:pt idx="1097">
                  <c:v>6.8761751275839902E-2</c:v>
                </c:pt>
                <c:pt idx="1098">
                  <c:v>6.8761751275839902E-2</c:v>
                </c:pt>
                <c:pt idx="1099">
                  <c:v>6.8761751275839902E-2</c:v>
                </c:pt>
                <c:pt idx="1100">
                  <c:v>6.8761751275839902E-2</c:v>
                </c:pt>
                <c:pt idx="1101">
                  <c:v>6.8761751275839902E-2</c:v>
                </c:pt>
                <c:pt idx="1102">
                  <c:v>6.8761751275839902E-2</c:v>
                </c:pt>
                <c:pt idx="1103">
                  <c:v>6.8761751275839902E-2</c:v>
                </c:pt>
                <c:pt idx="1104">
                  <c:v>6.8761751275839902E-2</c:v>
                </c:pt>
                <c:pt idx="1105">
                  <c:v>6.8761751275839902E-2</c:v>
                </c:pt>
                <c:pt idx="1106">
                  <c:v>6.8761751275839902E-2</c:v>
                </c:pt>
                <c:pt idx="1107">
                  <c:v>6.8761751275839902E-2</c:v>
                </c:pt>
                <c:pt idx="1108">
                  <c:v>6.8761751275839902E-2</c:v>
                </c:pt>
                <c:pt idx="1109">
                  <c:v>6.8761751275839902E-2</c:v>
                </c:pt>
                <c:pt idx="1110">
                  <c:v>6.8761751275839902E-2</c:v>
                </c:pt>
                <c:pt idx="1111">
                  <c:v>6.8761751275839902E-2</c:v>
                </c:pt>
                <c:pt idx="1112">
                  <c:v>6.8761751275839902E-2</c:v>
                </c:pt>
                <c:pt idx="1113">
                  <c:v>6.8761751275839902E-2</c:v>
                </c:pt>
                <c:pt idx="1114">
                  <c:v>6.8761751275839902E-2</c:v>
                </c:pt>
                <c:pt idx="1115">
                  <c:v>6.8761751275839902E-2</c:v>
                </c:pt>
                <c:pt idx="1116">
                  <c:v>6.8761751275839902E-2</c:v>
                </c:pt>
                <c:pt idx="1117">
                  <c:v>6.8761751275839902E-2</c:v>
                </c:pt>
                <c:pt idx="1118">
                  <c:v>6.8761751275839902E-2</c:v>
                </c:pt>
                <c:pt idx="1119">
                  <c:v>6.8761751275839902E-2</c:v>
                </c:pt>
                <c:pt idx="1120">
                  <c:v>6.8761751275839902E-2</c:v>
                </c:pt>
                <c:pt idx="1121">
                  <c:v>6.8761751275839902E-2</c:v>
                </c:pt>
                <c:pt idx="1122">
                  <c:v>6.8761751275839902E-2</c:v>
                </c:pt>
                <c:pt idx="1123">
                  <c:v>6.8761751275839902E-2</c:v>
                </c:pt>
                <c:pt idx="1124">
                  <c:v>6.8761751275839902E-2</c:v>
                </c:pt>
                <c:pt idx="1125">
                  <c:v>6.8761751275839902E-2</c:v>
                </c:pt>
                <c:pt idx="1126">
                  <c:v>6.8761751275839902E-2</c:v>
                </c:pt>
                <c:pt idx="1127">
                  <c:v>6.8761751275839902E-2</c:v>
                </c:pt>
                <c:pt idx="1128">
                  <c:v>6.8761751275839902E-2</c:v>
                </c:pt>
                <c:pt idx="1129">
                  <c:v>6.8761751275839902E-2</c:v>
                </c:pt>
                <c:pt idx="1130">
                  <c:v>6.8761751275839902E-2</c:v>
                </c:pt>
                <c:pt idx="1131">
                  <c:v>6.8761751275839902E-2</c:v>
                </c:pt>
                <c:pt idx="1132">
                  <c:v>6.8761751275839902E-2</c:v>
                </c:pt>
                <c:pt idx="1133">
                  <c:v>6.8761751275839902E-2</c:v>
                </c:pt>
                <c:pt idx="1134">
                  <c:v>6.8761751275839902E-2</c:v>
                </c:pt>
                <c:pt idx="1135">
                  <c:v>6.8761751275839902E-2</c:v>
                </c:pt>
                <c:pt idx="1136">
                  <c:v>6.8761751275839902E-2</c:v>
                </c:pt>
                <c:pt idx="1137">
                  <c:v>6.8761751275839902E-2</c:v>
                </c:pt>
                <c:pt idx="1138">
                  <c:v>6.8761751275839902E-2</c:v>
                </c:pt>
                <c:pt idx="1139">
                  <c:v>6.8761751275839902E-2</c:v>
                </c:pt>
                <c:pt idx="1140">
                  <c:v>6.8761751275839902E-2</c:v>
                </c:pt>
                <c:pt idx="1141">
                  <c:v>6.8761751275839902E-2</c:v>
                </c:pt>
                <c:pt idx="1142">
                  <c:v>6.8761751275839902E-2</c:v>
                </c:pt>
                <c:pt idx="1143">
                  <c:v>6.8761751275839902E-2</c:v>
                </c:pt>
                <c:pt idx="1144">
                  <c:v>6.8761751275839902E-2</c:v>
                </c:pt>
                <c:pt idx="1145">
                  <c:v>6.8761751275839902E-2</c:v>
                </c:pt>
                <c:pt idx="1146">
                  <c:v>6.8761751275839902E-2</c:v>
                </c:pt>
                <c:pt idx="1147">
                  <c:v>6.8761751275839902E-2</c:v>
                </c:pt>
                <c:pt idx="1148">
                  <c:v>6.8761751275839902E-2</c:v>
                </c:pt>
                <c:pt idx="1149">
                  <c:v>6.8761751275839902E-2</c:v>
                </c:pt>
                <c:pt idx="1150">
                  <c:v>6.8761751275839902E-2</c:v>
                </c:pt>
                <c:pt idx="1151">
                  <c:v>6.8761751275839902E-2</c:v>
                </c:pt>
                <c:pt idx="1152">
                  <c:v>6.8761751275839902E-2</c:v>
                </c:pt>
                <c:pt idx="1153">
                  <c:v>6.8761751275839902E-2</c:v>
                </c:pt>
                <c:pt idx="1154">
                  <c:v>6.8761751275839902E-2</c:v>
                </c:pt>
                <c:pt idx="1155">
                  <c:v>6.8761751275839902E-2</c:v>
                </c:pt>
                <c:pt idx="1156">
                  <c:v>6.8761751275839902E-2</c:v>
                </c:pt>
                <c:pt idx="1157">
                  <c:v>6.8761751275839902E-2</c:v>
                </c:pt>
                <c:pt idx="1158">
                  <c:v>6.8761751275839902E-2</c:v>
                </c:pt>
                <c:pt idx="1159">
                  <c:v>6.8761751275839902E-2</c:v>
                </c:pt>
                <c:pt idx="1160">
                  <c:v>6.8761751275839902E-2</c:v>
                </c:pt>
                <c:pt idx="1161">
                  <c:v>6.8761751275839902E-2</c:v>
                </c:pt>
                <c:pt idx="1162">
                  <c:v>6.8761751275839902E-2</c:v>
                </c:pt>
                <c:pt idx="1163">
                  <c:v>6.8761751275839902E-2</c:v>
                </c:pt>
                <c:pt idx="1164">
                  <c:v>6.8761751275839902E-2</c:v>
                </c:pt>
                <c:pt idx="1165">
                  <c:v>6.8761751275839902E-2</c:v>
                </c:pt>
                <c:pt idx="1166">
                  <c:v>6.8761751275839902E-2</c:v>
                </c:pt>
                <c:pt idx="1167">
                  <c:v>6.8761751275839902E-2</c:v>
                </c:pt>
                <c:pt idx="1168">
                  <c:v>6.8761751275839902E-2</c:v>
                </c:pt>
                <c:pt idx="1169">
                  <c:v>6.8761751275839902E-2</c:v>
                </c:pt>
                <c:pt idx="1170">
                  <c:v>6.8761751275839902E-2</c:v>
                </c:pt>
                <c:pt idx="1171">
                  <c:v>6.8761751275839902E-2</c:v>
                </c:pt>
                <c:pt idx="1172">
                  <c:v>6.8761751275839902E-2</c:v>
                </c:pt>
                <c:pt idx="1173">
                  <c:v>6.8761751275839902E-2</c:v>
                </c:pt>
                <c:pt idx="1174">
                  <c:v>6.8761751275839902E-2</c:v>
                </c:pt>
                <c:pt idx="1175">
                  <c:v>6.8761751275839902E-2</c:v>
                </c:pt>
                <c:pt idx="1176">
                  <c:v>6.8761751275839902E-2</c:v>
                </c:pt>
                <c:pt idx="1177">
                  <c:v>6.8761751275839902E-2</c:v>
                </c:pt>
                <c:pt idx="1178">
                  <c:v>6.8761751275839902E-2</c:v>
                </c:pt>
                <c:pt idx="1179">
                  <c:v>6.8761751275839902E-2</c:v>
                </c:pt>
                <c:pt idx="1180">
                  <c:v>6.8761751275839902E-2</c:v>
                </c:pt>
                <c:pt idx="1181">
                  <c:v>6.8761751275839902E-2</c:v>
                </c:pt>
                <c:pt idx="1182">
                  <c:v>6.8761751275839902E-2</c:v>
                </c:pt>
                <c:pt idx="1183">
                  <c:v>6.8761751275839902E-2</c:v>
                </c:pt>
                <c:pt idx="1184">
                  <c:v>6.8761751275839902E-2</c:v>
                </c:pt>
                <c:pt idx="1185">
                  <c:v>6.8761751275839902E-2</c:v>
                </c:pt>
                <c:pt idx="1186">
                  <c:v>6.8761751275839902E-2</c:v>
                </c:pt>
                <c:pt idx="1187">
                  <c:v>6.8761751275839902E-2</c:v>
                </c:pt>
                <c:pt idx="1188">
                  <c:v>6.8761751275839902E-2</c:v>
                </c:pt>
                <c:pt idx="1189">
                  <c:v>6.8761751275839902E-2</c:v>
                </c:pt>
                <c:pt idx="1190">
                  <c:v>6.8761751275839902E-2</c:v>
                </c:pt>
                <c:pt idx="1191">
                  <c:v>6.8761751275839902E-2</c:v>
                </c:pt>
                <c:pt idx="1192">
                  <c:v>6.8761751275839902E-2</c:v>
                </c:pt>
                <c:pt idx="1193">
                  <c:v>6.8761751275839902E-2</c:v>
                </c:pt>
                <c:pt idx="1194">
                  <c:v>6.8761751275839902E-2</c:v>
                </c:pt>
                <c:pt idx="1195">
                  <c:v>6.8761751275839902E-2</c:v>
                </c:pt>
                <c:pt idx="1196">
                  <c:v>6.8761751275839902E-2</c:v>
                </c:pt>
                <c:pt idx="1197">
                  <c:v>6.8761751275839902E-2</c:v>
                </c:pt>
                <c:pt idx="1198">
                  <c:v>6.8761751275839902E-2</c:v>
                </c:pt>
                <c:pt idx="1199">
                  <c:v>6.8761751275839902E-2</c:v>
                </c:pt>
                <c:pt idx="1200">
                  <c:v>6.8761751275839902E-2</c:v>
                </c:pt>
                <c:pt idx="1201">
                  <c:v>6.8761751275839902E-2</c:v>
                </c:pt>
                <c:pt idx="1202">
                  <c:v>6.8761751275839902E-2</c:v>
                </c:pt>
                <c:pt idx="1203">
                  <c:v>6.8761751275839902E-2</c:v>
                </c:pt>
                <c:pt idx="1204">
                  <c:v>6.8761751275839902E-2</c:v>
                </c:pt>
                <c:pt idx="1205">
                  <c:v>6.8761751275839902E-2</c:v>
                </c:pt>
                <c:pt idx="1206">
                  <c:v>6.8761751275839902E-2</c:v>
                </c:pt>
                <c:pt idx="1207">
                  <c:v>6.8761751275839902E-2</c:v>
                </c:pt>
                <c:pt idx="1208">
                  <c:v>6.8761751275839902E-2</c:v>
                </c:pt>
                <c:pt idx="1209">
                  <c:v>6.8761751275839902E-2</c:v>
                </c:pt>
                <c:pt idx="1210">
                  <c:v>6.8761751275839902E-2</c:v>
                </c:pt>
                <c:pt idx="1211">
                  <c:v>6.8761751275839902E-2</c:v>
                </c:pt>
                <c:pt idx="1212">
                  <c:v>6.8761751275839902E-2</c:v>
                </c:pt>
                <c:pt idx="1213">
                  <c:v>6.8761751275839902E-2</c:v>
                </c:pt>
                <c:pt idx="1214">
                  <c:v>6.8761751275839902E-2</c:v>
                </c:pt>
                <c:pt idx="1215">
                  <c:v>6.8761751275839902E-2</c:v>
                </c:pt>
                <c:pt idx="1216">
                  <c:v>6.8761751275839902E-2</c:v>
                </c:pt>
                <c:pt idx="1217">
                  <c:v>6.8761751275839902E-2</c:v>
                </c:pt>
                <c:pt idx="1218">
                  <c:v>6.8761751275839902E-2</c:v>
                </c:pt>
                <c:pt idx="1219">
                  <c:v>6.8761751275839902E-2</c:v>
                </c:pt>
                <c:pt idx="1220">
                  <c:v>6.8761751275839902E-2</c:v>
                </c:pt>
                <c:pt idx="1221">
                  <c:v>6.8761751275839902E-2</c:v>
                </c:pt>
                <c:pt idx="1222">
                  <c:v>6.8761751275839902E-2</c:v>
                </c:pt>
                <c:pt idx="1223">
                  <c:v>6.8761751275839902E-2</c:v>
                </c:pt>
                <c:pt idx="1224">
                  <c:v>6.8761751275839902E-2</c:v>
                </c:pt>
                <c:pt idx="1225">
                  <c:v>6.8761751275839902E-2</c:v>
                </c:pt>
                <c:pt idx="1226">
                  <c:v>6.8761751275839902E-2</c:v>
                </c:pt>
                <c:pt idx="1227">
                  <c:v>6.8761751275839902E-2</c:v>
                </c:pt>
                <c:pt idx="1228">
                  <c:v>6.8761751275839902E-2</c:v>
                </c:pt>
                <c:pt idx="1229">
                  <c:v>6.8761751275839902E-2</c:v>
                </c:pt>
                <c:pt idx="1230">
                  <c:v>6.8761751275839902E-2</c:v>
                </c:pt>
                <c:pt idx="1231">
                  <c:v>6.8761751275839902E-2</c:v>
                </c:pt>
                <c:pt idx="1232">
                  <c:v>6.8761751275839902E-2</c:v>
                </c:pt>
                <c:pt idx="1233">
                  <c:v>6.8761751275839902E-2</c:v>
                </c:pt>
                <c:pt idx="1234">
                  <c:v>6.8761751275839902E-2</c:v>
                </c:pt>
                <c:pt idx="1235">
                  <c:v>6.8761751275839902E-2</c:v>
                </c:pt>
                <c:pt idx="1236">
                  <c:v>6.8761751275839902E-2</c:v>
                </c:pt>
                <c:pt idx="1237">
                  <c:v>6.8761751275839902E-2</c:v>
                </c:pt>
                <c:pt idx="1238">
                  <c:v>6.8761751275839902E-2</c:v>
                </c:pt>
                <c:pt idx="1239">
                  <c:v>6.8761751275839902E-2</c:v>
                </c:pt>
                <c:pt idx="1240">
                  <c:v>6.8761751275839902E-2</c:v>
                </c:pt>
                <c:pt idx="1241">
                  <c:v>6.8761751275839902E-2</c:v>
                </c:pt>
                <c:pt idx="1242">
                  <c:v>6.8761751275839902E-2</c:v>
                </c:pt>
                <c:pt idx="1243">
                  <c:v>6.8761751275839902E-2</c:v>
                </c:pt>
                <c:pt idx="1244">
                  <c:v>6.8761751275839902E-2</c:v>
                </c:pt>
                <c:pt idx="1245">
                  <c:v>6.8761751275839902E-2</c:v>
                </c:pt>
                <c:pt idx="1246">
                  <c:v>6.8761751275839902E-2</c:v>
                </c:pt>
                <c:pt idx="1247">
                  <c:v>6.8761751275839902E-2</c:v>
                </c:pt>
                <c:pt idx="1248">
                  <c:v>6.8761751275839902E-2</c:v>
                </c:pt>
                <c:pt idx="1249">
                  <c:v>6.8761751275839902E-2</c:v>
                </c:pt>
                <c:pt idx="1250">
                  <c:v>6.8761751275839902E-2</c:v>
                </c:pt>
                <c:pt idx="1251">
                  <c:v>7.7866004962824142E-2</c:v>
                </c:pt>
                <c:pt idx="1252">
                  <c:v>7.7866004962824142E-2</c:v>
                </c:pt>
                <c:pt idx="1253">
                  <c:v>7.7866004962824142E-2</c:v>
                </c:pt>
                <c:pt idx="1254">
                  <c:v>7.7866004962824142E-2</c:v>
                </c:pt>
                <c:pt idx="1255">
                  <c:v>7.7866004962824142E-2</c:v>
                </c:pt>
                <c:pt idx="1256">
                  <c:v>7.7866004962824142E-2</c:v>
                </c:pt>
                <c:pt idx="1257">
                  <c:v>7.7866004962824142E-2</c:v>
                </c:pt>
                <c:pt idx="1258">
                  <c:v>7.7866004962824142E-2</c:v>
                </c:pt>
                <c:pt idx="1259">
                  <c:v>7.7866004962824142E-2</c:v>
                </c:pt>
                <c:pt idx="1260">
                  <c:v>7.7866004962824142E-2</c:v>
                </c:pt>
                <c:pt idx="1261">
                  <c:v>7.7866004962824142E-2</c:v>
                </c:pt>
                <c:pt idx="1262">
                  <c:v>7.7866004962824142E-2</c:v>
                </c:pt>
                <c:pt idx="1263">
                  <c:v>7.7866004962824142E-2</c:v>
                </c:pt>
                <c:pt idx="1264">
                  <c:v>7.7866004962824142E-2</c:v>
                </c:pt>
                <c:pt idx="1265">
                  <c:v>7.7866004962824142E-2</c:v>
                </c:pt>
                <c:pt idx="1266">
                  <c:v>7.7866004962824142E-2</c:v>
                </c:pt>
                <c:pt idx="1267">
                  <c:v>7.7866004962824142E-2</c:v>
                </c:pt>
                <c:pt idx="1268">
                  <c:v>7.7866004962824142E-2</c:v>
                </c:pt>
                <c:pt idx="1269">
                  <c:v>7.7866004962824142E-2</c:v>
                </c:pt>
                <c:pt idx="1270">
                  <c:v>7.7866004962824142E-2</c:v>
                </c:pt>
                <c:pt idx="1271">
                  <c:v>7.7866004962824142E-2</c:v>
                </c:pt>
                <c:pt idx="1272">
                  <c:v>7.7866004962824142E-2</c:v>
                </c:pt>
                <c:pt idx="1273">
                  <c:v>7.7866004962824142E-2</c:v>
                </c:pt>
                <c:pt idx="1274">
                  <c:v>7.7866004962824142E-2</c:v>
                </c:pt>
                <c:pt idx="1275">
                  <c:v>7.7866004962824142E-2</c:v>
                </c:pt>
                <c:pt idx="1276">
                  <c:v>7.7866004962824142E-2</c:v>
                </c:pt>
                <c:pt idx="1277">
                  <c:v>7.7866004962824142E-2</c:v>
                </c:pt>
                <c:pt idx="1278">
                  <c:v>7.7866004962824142E-2</c:v>
                </c:pt>
                <c:pt idx="1279">
                  <c:v>7.7866004962824142E-2</c:v>
                </c:pt>
                <c:pt idx="1280">
                  <c:v>7.7866004962824142E-2</c:v>
                </c:pt>
                <c:pt idx="1281">
                  <c:v>7.7866004962824142E-2</c:v>
                </c:pt>
                <c:pt idx="1282">
                  <c:v>7.7866004962824142E-2</c:v>
                </c:pt>
                <c:pt idx="1283">
                  <c:v>7.7866004962824142E-2</c:v>
                </c:pt>
                <c:pt idx="1284">
                  <c:v>7.7866004962824142E-2</c:v>
                </c:pt>
                <c:pt idx="1285">
                  <c:v>7.7866004962824142E-2</c:v>
                </c:pt>
                <c:pt idx="1286">
                  <c:v>7.7866004962824142E-2</c:v>
                </c:pt>
                <c:pt idx="1287">
                  <c:v>7.7866004962824142E-2</c:v>
                </c:pt>
                <c:pt idx="1288">
                  <c:v>7.7866004962824142E-2</c:v>
                </c:pt>
                <c:pt idx="1289">
                  <c:v>7.7866004962824142E-2</c:v>
                </c:pt>
                <c:pt idx="1290">
                  <c:v>7.7866004962824142E-2</c:v>
                </c:pt>
                <c:pt idx="1291">
                  <c:v>7.7866004962824142E-2</c:v>
                </c:pt>
                <c:pt idx="1292">
                  <c:v>7.7866004962824142E-2</c:v>
                </c:pt>
                <c:pt idx="1293">
                  <c:v>7.7866004962824142E-2</c:v>
                </c:pt>
                <c:pt idx="1294">
                  <c:v>7.7866004962824142E-2</c:v>
                </c:pt>
                <c:pt idx="1295">
                  <c:v>7.7866004962824142E-2</c:v>
                </c:pt>
                <c:pt idx="1296">
                  <c:v>7.7866004962824142E-2</c:v>
                </c:pt>
                <c:pt idx="1297">
                  <c:v>7.7866004962824142E-2</c:v>
                </c:pt>
                <c:pt idx="1298">
                  <c:v>7.7866004962824142E-2</c:v>
                </c:pt>
                <c:pt idx="1299">
                  <c:v>7.7866004962824142E-2</c:v>
                </c:pt>
                <c:pt idx="1300">
                  <c:v>7.7866004962824142E-2</c:v>
                </c:pt>
                <c:pt idx="1301">
                  <c:v>7.7866004962824142E-2</c:v>
                </c:pt>
                <c:pt idx="1302">
                  <c:v>7.7866004962824142E-2</c:v>
                </c:pt>
                <c:pt idx="1303">
                  <c:v>7.7866004962824142E-2</c:v>
                </c:pt>
                <c:pt idx="1304">
                  <c:v>7.7866004962824142E-2</c:v>
                </c:pt>
                <c:pt idx="1305">
                  <c:v>7.7866004962824142E-2</c:v>
                </c:pt>
                <c:pt idx="1306">
                  <c:v>7.7866004962824142E-2</c:v>
                </c:pt>
                <c:pt idx="1307">
                  <c:v>7.7866004962824142E-2</c:v>
                </c:pt>
                <c:pt idx="1308">
                  <c:v>7.7866004962824142E-2</c:v>
                </c:pt>
                <c:pt idx="1309">
                  <c:v>7.7866004962824142E-2</c:v>
                </c:pt>
                <c:pt idx="1310">
                  <c:v>7.7866004962824142E-2</c:v>
                </c:pt>
                <c:pt idx="1311">
                  <c:v>7.7866004962824142E-2</c:v>
                </c:pt>
                <c:pt idx="1312">
                  <c:v>7.7866004962824142E-2</c:v>
                </c:pt>
                <c:pt idx="1313">
                  <c:v>7.7866004962824142E-2</c:v>
                </c:pt>
                <c:pt idx="1314">
                  <c:v>7.7866004962824142E-2</c:v>
                </c:pt>
                <c:pt idx="1315">
                  <c:v>7.7866004962824142E-2</c:v>
                </c:pt>
                <c:pt idx="1316">
                  <c:v>7.7866004962824142E-2</c:v>
                </c:pt>
                <c:pt idx="1317">
                  <c:v>7.7866004962824142E-2</c:v>
                </c:pt>
                <c:pt idx="1318">
                  <c:v>7.7866004962824142E-2</c:v>
                </c:pt>
                <c:pt idx="1319">
                  <c:v>7.7866004962824142E-2</c:v>
                </c:pt>
                <c:pt idx="1320">
                  <c:v>7.7866004962824142E-2</c:v>
                </c:pt>
                <c:pt idx="1321">
                  <c:v>8.4804948618154546E-2</c:v>
                </c:pt>
                <c:pt idx="1322">
                  <c:v>8.4804948618154546E-2</c:v>
                </c:pt>
                <c:pt idx="1323">
                  <c:v>8.4804948618154546E-2</c:v>
                </c:pt>
                <c:pt idx="1324">
                  <c:v>8.4804948618154546E-2</c:v>
                </c:pt>
                <c:pt idx="1325">
                  <c:v>8.4804948618154546E-2</c:v>
                </c:pt>
                <c:pt idx="1326">
                  <c:v>8.4804948618154546E-2</c:v>
                </c:pt>
                <c:pt idx="1327">
                  <c:v>8.4804948618154546E-2</c:v>
                </c:pt>
                <c:pt idx="1328">
                  <c:v>8.4804948618154546E-2</c:v>
                </c:pt>
                <c:pt idx="1329">
                  <c:v>8.4804948618154546E-2</c:v>
                </c:pt>
                <c:pt idx="1330">
                  <c:v>8.4804948618154546E-2</c:v>
                </c:pt>
                <c:pt idx="1331">
                  <c:v>8.4804948618154546E-2</c:v>
                </c:pt>
                <c:pt idx="1332">
                  <c:v>8.4804948618154546E-2</c:v>
                </c:pt>
                <c:pt idx="1333">
                  <c:v>8.4804948618154546E-2</c:v>
                </c:pt>
                <c:pt idx="1334">
                  <c:v>8.4804948618154546E-2</c:v>
                </c:pt>
                <c:pt idx="1335">
                  <c:v>8.4804948618154546E-2</c:v>
                </c:pt>
                <c:pt idx="1336">
                  <c:v>8.4804948618154546E-2</c:v>
                </c:pt>
                <c:pt idx="1337">
                  <c:v>8.4804948618154546E-2</c:v>
                </c:pt>
                <c:pt idx="1338">
                  <c:v>8.4804948618154546E-2</c:v>
                </c:pt>
                <c:pt idx="1339">
                  <c:v>8.4804948618154546E-2</c:v>
                </c:pt>
                <c:pt idx="1340">
                  <c:v>8.4804948618154546E-2</c:v>
                </c:pt>
                <c:pt idx="1341">
                  <c:v>8.4804948618154546E-2</c:v>
                </c:pt>
                <c:pt idx="1342">
                  <c:v>8.4804948618154546E-2</c:v>
                </c:pt>
                <c:pt idx="1343">
                  <c:v>8.4804948618154546E-2</c:v>
                </c:pt>
                <c:pt idx="1344">
                  <c:v>8.4804948618154546E-2</c:v>
                </c:pt>
                <c:pt idx="1345">
                  <c:v>8.4804948618154546E-2</c:v>
                </c:pt>
                <c:pt idx="1346">
                  <c:v>8.4804948618154546E-2</c:v>
                </c:pt>
                <c:pt idx="1347">
                  <c:v>8.4804948618154546E-2</c:v>
                </c:pt>
                <c:pt idx="1348">
                  <c:v>8.4804948618154546E-2</c:v>
                </c:pt>
                <c:pt idx="1349">
                  <c:v>8.4804948618154546E-2</c:v>
                </c:pt>
                <c:pt idx="1350">
                  <c:v>8.4804948618154546E-2</c:v>
                </c:pt>
                <c:pt idx="1351">
                  <c:v>8.4804948618154546E-2</c:v>
                </c:pt>
                <c:pt idx="1352">
                  <c:v>8.4804948618154546E-2</c:v>
                </c:pt>
                <c:pt idx="1353">
                  <c:v>8.4804948618154546E-2</c:v>
                </c:pt>
                <c:pt idx="1354">
                  <c:v>8.4804948618154546E-2</c:v>
                </c:pt>
                <c:pt idx="1355">
                  <c:v>8.4804948618154546E-2</c:v>
                </c:pt>
                <c:pt idx="1356">
                  <c:v>8.4804948618154546E-2</c:v>
                </c:pt>
                <c:pt idx="1357">
                  <c:v>8.4804948618154546E-2</c:v>
                </c:pt>
                <c:pt idx="1358">
                  <c:v>8.4804948618154546E-2</c:v>
                </c:pt>
                <c:pt idx="1359">
                  <c:v>8.4804948618154546E-2</c:v>
                </c:pt>
                <c:pt idx="1360">
                  <c:v>8.4804948618154546E-2</c:v>
                </c:pt>
                <c:pt idx="1361">
                  <c:v>8.4804948618154546E-2</c:v>
                </c:pt>
                <c:pt idx="1362">
                  <c:v>8.4804948618154546E-2</c:v>
                </c:pt>
                <c:pt idx="1363">
                  <c:v>8.4804948618154546E-2</c:v>
                </c:pt>
                <c:pt idx="1364">
                  <c:v>8.4804948618154546E-2</c:v>
                </c:pt>
                <c:pt idx="1365">
                  <c:v>8.4804948618154546E-2</c:v>
                </c:pt>
                <c:pt idx="1366">
                  <c:v>8.4804948618154546E-2</c:v>
                </c:pt>
                <c:pt idx="1367">
                  <c:v>8.4804948618154546E-2</c:v>
                </c:pt>
                <c:pt idx="1368">
                  <c:v>8.4804948618154546E-2</c:v>
                </c:pt>
                <c:pt idx="1369">
                  <c:v>8.4804948618154546E-2</c:v>
                </c:pt>
                <c:pt idx="1370">
                  <c:v>8.4804948618154546E-2</c:v>
                </c:pt>
                <c:pt idx="1371">
                  <c:v>8.4804948618154546E-2</c:v>
                </c:pt>
                <c:pt idx="1372">
                  <c:v>8.4804948618154546E-2</c:v>
                </c:pt>
                <c:pt idx="1373">
                  <c:v>8.4804948618154546E-2</c:v>
                </c:pt>
                <c:pt idx="1374">
                  <c:v>8.4804948618154546E-2</c:v>
                </c:pt>
                <c:pt idx="1375">
                  <c:v>8.4804948618154546E-2</c:v>
                </c:pt>
                <c:pt idx="1376">
                  <c:v>8.4804948618154546E-2</c:v>
                </c:pt>
                <c:pt idx="1377">
                  <c:v>8.4804948618154546E-2</c:v>
                </c:pt>
                <c:pt idx="1378">
                  <c:v>8.4804948618154546E-2</c:v>
                </c:pt>
                <c:pt idx="1379">
                  <c:v>8.4804948618154546E-2</c:v>
                </c:pt>
                <c:pt idx="1380">
                  <c:v>8.4804948618154546E-2</c:v>
                </c:pt>
                <c:pt idx="1381">
                  <c:v>8.4804948618154546E-2</c:v>
                </c:pt>
                <c:pt idx="1382">
                  <c:v>8.4804948618154546E-2</c:v>
                </c:pt>
                <c:pt idx="1383">
                  <c:v>8.4804948618154546E-2</c:v>
                </c:pt>
                <c:pt idx="1384">
                  <c:v>8.4804948618154546E-2</c:v>
                </c:pt>
                <c:pt idx="1385">
                  <c:v>8.4804948618154546E-2</c:v>
                </c:pt>
                <c:pt idx="1386">
                  <c:v>8.4804948618154546E-2</c:v>
                </c:pt>
                <c:pt idx="1387">
                  <c:v>8.4804948618154546E-2</c:v>
                </c:pt>
                <c:pt idx="1388">
                  <c:v>8.4804948618154546E-2</c:v>
                </c:pt>
                <c:pt idx="1389">
                  <c:v>8.4804948618154546E-2</c:v>
                </c:pt>
                <c:pt idx="1390">
                  <c:v>8.4804948618154546E-2</c:v>
                </c:pt>
                <c:pt idx="1391">
                  <c:v>8.6010874938220475E-2</c:v>
                </c:pt>
                <c:pt idx="1392">
                  <c:v>8.6010874938220475E-2</c:v>
                </c:pt>
                <c:pt idx="1393">
                  <c:v>8.6010874938220475E-2</c:v>
                </c:pt>
                <c:pt idx="1394">
                  <c:v>8.6010874938220475E-2</c:v>
                </c:pt>
                <c:pt idx="1395">
                  <c:v>8.6010874938220475E-2</c:v>
                </c:pt>
                <c:pt idx="1396">
                  <c:v>8.6010874938220475E-2</c:v>
                </c:pt>
                <c:pt idx="1397">
                  <c:v>8.6010874938220475E-2</c:v>
                </c:pt>
                <c:pt idx="1398">
                  <c:v>8.6010874938220475E-2</c:v>
                </c:pt>
                <c:pt idx="1399">
                  <c:v>8.6010874938220475E-2</c:v>
                </c:pt>
                <c:pt idx="1400">
                  <c:v>8.6010874938220475E-2</c:v>
                </c:pt>
                <c:pt idx="1401">
                  <c:v>8.6010874938220475E-2</c:v>
                </c:pt>
                <c:pt idx="1402">
                  <c:v>8.6010874938220475E-2</c:v>
                </c:pt>
                <c:pt idx="1403">
                  <c:v>8.6010874938220475E-2</c:v>
                </c:pt>
                <c:pt idx="1404">
                  <c:v>8.6010874938220475E-2</c:v>
                </c:pt>
                <c:pt idx="1405">
                  <c:v>8.6010874938220475E-2</c:v>
                </c:pt>
                <c:pt idx="1406">
                  <c:v>8.6010874938220475E-2</c:v>
                </c:pt>
                <c:pt idx="1407">
                  <c:v>8.6010874938220475E-2</c:v>
                </c:pt>
                <c:pt idx="1408">
                  <c:v>8.6010874938220475E-2</c:v>
                </c:pt>
                <c:pt idx="1409">
                  <c:v>8.6010874938220475E-2</c:v>
                </c:pt>
                <c:pt idx="1410">
                  <c:v>8.6010874938220475E-2</c:v>
                </c:pt>
                <c:pt idx="1411">
                  <c:v>8.6010874938220475E-2</c:v>
                </c:pt>
                <c:pt idx="1412">
                  <c:v>8.6010874938220475E-2</c:v>
                </c:pt>
                <c:pt idx="1413">
                  <c:v>8.6010874938220475E-2</c:v>
                </c:pt>
                <c:pt idx="1414">
                  <c:v>8.6010874938220475E-2</c:v>
                </c:pt>
                <c:pt idx="1415">
                  <c:v>8.6010874938220475E-2</c:v>
                </c:pt>
                <c:pt idx="1416">
                  <c:v>8.6010874938220475E-2</c:v>
                </c:pt>
                <c:pt idx="1417">
                  <c:v>8.6010874938220475E-2</c:v>
                </c:pt>
                <c:pt idx="1418">
                  <c:v>8.6010874938220475E-2</c:v>
                </c:pt>
                <c:pt idx="1419">
                  <c:v>8.6010874938220475E-2</c:v>
                </c:pt>
                <c:pt idx="1420">
                  <c:v>8.6010874938220475E-2</c:v>
                </c:pt>
                <c:pt idx="1421">
                  <c:v>8.6010874938220475E-2</c:v>
                </c:pt>
                <c:pt idx="1422">
                  <c:v>8.6010874938220475E-2</c:v>
                </c:pt>
                <c:pt idx="1423">
                  <c:v>8.6010874938220475E-2</c:v>
                </c:pt>
                <c:pt idx="1424">
                  <c:v>8.6010874938220475E-2</c:v>
                </c:pt>
                <c:pt idx="1425">
                  <c:v>8.6010874938220475E-2</c:v>
                </c:pt>
                <c:pt idx="1426">
                  <c:v>8.6010874938220475E-2</c:v>
                </c:pt>
                <c:pt idx="1427">
                  <c:v>8.6010874938220475E-2</c:v>
                </c:pt>
                <c:pt idx="1428">
                  <c:v>8.6010874938220475E-2</c:v>
                </c:pt>
                <c:pt idx="1429">
                  <c:v>8.6010874938220475E-2</c:v>
                </c:pt>
                <c:pt idx="1430">
                  <c:v>8.6010874938220475E-2</c:v>
                </c:pt>
                <c:pt idx="1431">
                  <c:v>8.6010874938220475E-2</c:v>
                </c:pt>
                <c:pt idx="1432">
                  <c:v>8.6010874938220475E-2</c:v>
                </c:pt>
                <c:pt idx="1433">
                  <c:v>8.6010874938220475E-2</c:v>
                </c:pt>
                <c:pt idx="1434">
                  <c:v>8.6010874938220475E-2</c:v>
                </c:pt>
                <c:pt idx="1435">
                  <c:v>8.6010874938220475E-2</c:v>
                </c:pt>
                <c:pt idx="1436">
                  <c:v>8.6010874938220475E-2</c:v>
                </c:pt>
                <c:pt idx="1437">
                  <c:v>8.6010874938220475E-2</c:v>
                </c:pt>
                <c:pt idx="1438">
                  <c:v>8.6010874938220475E-2</c:v>
                </c:pt>
                <c:pt idx="1439">
                  <c:v>8.6010874938220475E-2</c:v>
                </c:pt>
                <c:pt idx="1440">
                  <c:v>8.6010874938220475E-2</c:v>
                </c:pt>
                <c:pt idx="1441">
                  <c:v>8.6010874938220475E-2</c:v>
                </c:pt>
                <c:pt idx="1442">
                  <c:v>8.6010874938220475E-2</c:v>
                </c:pt>
                <c:pt idx="1443">
                  <c:v>8.6010874938220475E-2</c:v>
                </c:pt>
                <c:pt idx="1444">
                  <c:v>8.6010874938220475E-2</c:v>
                </c:pt>
                <c:pt idx="1445">
                  <c:v>8.6010874938220475E-2</c:v>
                </c:pt>
                <c:pt idx="1446">
                  <c:v>8.6010874938220475E-2</c:v>
                </c:pt>
                <c:pt idx="1447">
                  <c:v>8.6010874938220475E-2</c:v>
                </c:pt>
                <c:pt idx="1448">
                  <c:v>8.6010874938220475E-2</c:v>
                </c:pt>
                <c:pt idx="1449">
                  <c:v>8.6010874938220475E-2</c:v>
                </c:pt>
                <c:pt idx="1450">
                  <c:v>8.6010874938220475E-2</c:v>
                </c:pt>
                <c:pt idx="1451">
                  <c:v>8.6010874938220475E-2</c:v>
                </c:pt>
                <c:pt idx="1452">
                  <c:v>8.6010874938220475E-2</c:v>
                </c:pt>
                <c:pt idx="1453">
                  <c:v>8.6010874938220475E-2</c:v>
                </c:pt>
                <c:pt idx="1454">
                  <c:v>8.6010874938220475E-2</c:v>
                </c:pt>
                <c:pt idx="1455">
                  <c:v>8.6010874938220475E-2</c:v>
                </c:pt>
                <c:pt idx="1456">
                  <c:v>8.6010874938220475E-2</c:v>
                </c:pt>
                <c:pt idx="1457">
                  <c:v>8.6010874938220475E-2</c:v>
                </c:pt>
                <c:pt idx="1458">
                  <c:v>8.6010874938220475E-2</c:v>
                </c:pt>
                <c:pt idx="1459">
                  <c:v>8.6010874938220475E-2</c:v>
                </c:pt>
                <c:pt idx="1460">
                  <c:v>8.6010874938220475E-2</c:v>
                </c:pt>
                <c:pt idx="1461">
                  <c:v>9.6637565908873055E-2</c:v>
                </c:pt>
                <c:pt idx="1462">
                  <c:v>9.6637565908873055E-2</c:v>
                </c:pt>
                <c:pt idx="1463">
                  <c:v>9.6637565908873055E-2</c:v>
                </c:pt>
                <c:pt idx="1464">
                  <c:v>9.6637565908873055E-2</c:v>
                </c:pt>
                <c:pt idx="1465">
                  <c:v>9.6637565908873055E-2</c:v>
                </c:pt>
                <c:pt idx="1466">
                  <c:v>9.6637565908873055E-2</c:v>
                </c:pt>
                <c:pt idx="1467">
                  <c:v>9.6637565908873055E-2</c:v>
                </c:pt>
                <c:pt idx="1468">
                  <c:v>9.6637565908873055E-2</c:v>
                </c:pt>
                <c:pt idx="1469">
                  <c:v>9.6637565908873055E-2</c:v>
                </c:pt>
                <c:pt idx="1470">
                  <c:v>9.6637565908873055E-2</c:v>
                </c:pt>
                <c:pt idx="1471">
                  <c:v>9.6637565908873055E-2</c:v>
                </c:pt>
                <c:pt idx="1472">
                  <c:v>9.6637565908873055E-2</c:v>
                </c:pt>
                <c:pt idx="1473">
                  <c:v>9.6637565908873055E-2</c:v>
                </c:pt>
                <c:pt idx="1474">
                  <c:v>9.6637565908873055E-2</c:v>
                </c:pt>
                <c:pt idx="1475">
                  <c:v>9.6637565908873055E-2</c:v>
                </c:pt>
                <c:pt idx="1476">
                  <c:v>9.6637565908873055E-2</c:v>
                </c:pt>
                <c:pt idx="1477">
                  <c:v>9.6637565908873055E-2</c:v>
                </c:pt>
                <c:pt idx="1478">
                  <c:v>9.6637565908873055E-2</c:v>
                </c:pt>
                <c:pt idx="1479">
                  <c:v>9.6637565908873055E-2</c:v>
                </c:pt>
                <c:pt idx="1480">
                  <c:v>9.6637565908873055E-2</c:v>
                </c:pt>
                <c:pt idx="1481">
                  <c:v>9.6637565908873055E-2</c:v>
                </c:pt>
                <c:pt idx="1482">
                  <c:v>9.6637565908873055E-2</c:v>
                </c:pt>
                <c:pt idx="1483">
                  <c:v>9.6637565908873055E-2</c:v>
                </c:pt>
                <c:pt idx="1484">
                  <c:v>9.6637565908873055E-2</c:v>
                </c:pt>
                <c:pt idx="1485">
                  <c:v>9.6637565908873055E-2</c:v>
                </c:pt>
                <c:pt idx="1486">
                  <c:v>9.6637565908873055E-2</c:v>
                </c:pt>
                <c:pt idx="1487">
                  <c:v>9.6637565908873055E-2</c:v>
                </c:pt>
                <c:pt idx="1488">
                  <c:v>9.6637565908873055E-2</c:v>
                </c:pt>
                <c:pt idx="1489">
                  <c:v>9.6637565908873055E-2</c:v>
                </c:pt>
                <c:pt idx="1490">
                  <c:v>9.6637565908873055E-2</c:v>
                </c:pt>
                <c:pt idx="1491">
                  <c:v>9.6637565908873055E-2</c:v>
                </c:pt>
                <c:pt idx="1492">
                  <c:v>9.6637565908873055E-2</c:v>
                </c:pt>
                <c:pt idx="1493">
                  <c:v>9.6637565908873055E-2</c:v>
                </c:pt>
                <c:pt idx="1494">
                  <c:v>9.6637565908873055E-2</c:v>
                </c:pt>
                <c:pt idx="1495">
                  <c:v>9.6637565908873055E-2</c:v>
                </c:pt>
                <c:pt idx="1496">
                  <c:v>9.6637565908873055E-2</c:v>
                </c:pt>
                <c:pt idx="1497">
                  <c:v>9.6637565908873055E-2</c:v>
                </c:pt>
                <c:pt idx="1498">
                  <c:v>9.6637565908873055E-2</c:v>
                </c:pt>
                <c:pt idx="1499">
                  <c:v>9.6637565908873055E-2</c:v>
                </c:pt>
                <c:pt idx="1500">
                  <c:v>9.6637565908873055E-2</c:v>
                </c:pt>
                <c:pt idx="1501">
                  <c:v>9.6637565908873055E-2</c:v>
                </c:pt>
                <c:pt idx="1502">
                  <c:v>9.6637565908873055E-2</c:v>
                </c:pt>
                <c:pt idx="1503">
                  <c:v>9.6637565908873055E-2</c:v>
                </c:pt>
                <c:pt idx="1504">
                  <c:v>9.6637565908873055E-2</c:v>
                </c:pt>
                <c:pt idx="1505">
                  <c:v>9.6637565908873055E-2</c:v>
                </c:pt>
                <c:pt idx="1506">
                  <c:v>9.6637565908873055E-2</c:v>
                </c:pt>
                <c:pt idx="1507">
                  <c:v>9.6637565908873055E-2</c:v>
                </c:pt>
                <c:pt idx="1508">
                  <c:v>9.6637565908873055E-2</c:v>
                </c:pt>
                <c:pt idx="1509">
                  <c:v>9.6637565908873055E-2</c:v>
                </c:pt>
                <c:pt idx="1510">
                  <c:v>9.6637565908873055E-2</c:v>
                </c:pt>
                <c:pt idx="1511">
                  <c:v>9.6637565908873055E-2</c:v>
                </c:pt>
                <c:pt idx="1512">
                  <c:v>9.6637565908873055E-2</c:v>
                </c:pt>
                <c:pt idx="1513">
                  <c:v>9.6637565908873055E-2</c:v>
                </c:pt>
                <c:pt idx="1514">
                  <c:v>9.6637565908873055E-2</c:v>
                </c:pt>
                <c:pt idx="1515">
                  <c:v>9.6637565908873055E-2</c:v>
                </c:pt>
                <c:pt idx="1516">
                  <c:v>9.6637565908873055E-2</c:v>
                </c:pt>
                <c:pt idx="1517">
                  <c:v>9.6637565908873055E-2</c:v>
                </c:pt>
                <c:pt idx="1518">
                  <c:v>9.6637565908873055E-2</c:v>
                </c:pt>
                <c:pt idx="1519">
                  <c:v>9.6637565908873055E-2</c:v>
                </c:pt>
                <c:pt idx="1520">
                  <c:v>9.6637565908873055E-2</c:v>
                </c:pt>
                <c:pt idx="1521">
                  <c:v>9.6637565908873055E-2</c:v>
                </c:pt>
                <c:pt idx="1522">
                  <c:v>9.6637565908873055E-2</c:v>
                </c:pt>
                <c:pt idx="1523">
                  <c:v>9.6637565908873055E-2</c:v>
                </c:pt>
                <c:pt idx="1524">
                  <c:v>9.6637565908873055E-2</c:v>
                </c:pt>
                <c:pt idx="1525">
                  <c:v>9.6637565908873055E-2</c:v>
                </c:pt>
                <c:pt idx="1526">
                  <c:v>9.6637565908873055E-2</c:v>
                </c:pt>
                <c:pt idx="1527">
                  <c:v>9.6637565908873055E-2</c:v>
                </c:pt>
                <c:pt idx="1528">
                  <c:v>9.6637565908873055E-2</c:v>
                </c:pt>
                <c:pt idx="1529">
                  <c:v>9.6637565908873055E-2</c:v>
                </c:pt>
                <c:pt idx="1530">
                  <c:v>9.6637565908873055E-2</c:v>
                </c:pt>
                <c:pt idx="1531">
                  <c:v>9.6637565908873055E-2</c:v>
                </c:pt>
                <c:pt idx="1532">
                  <c:v>9.6637565908873055E-2</c:v>
                </c:pt>
                <c:pt idx="1533">
                  <c:v>9.6637565908873055E-2</c:v>
                </c:pt>
                <c:pt idx="1534">
                  <c:v>9.6637565908873055E-2</c:v>
                </c:pt>
                <c:pt idx="1535">
                  <c:v>9.6637565908873055E-2</c:v>
                </c:pt>
                <c:pt idx="1536">
                  <c:v>9.6637565908873055E-2</c:v>
                </c:pt>
                <c:pt idx="1537">
                  <c:v>9.6637565908873055E-2</c:v>
                </c:pt>
                <c:pt idx="1538">
                  <c:v>9.6637565908873055E-2</c:v>
                </c:pt>
                <c:pt idx="1539">
                  <c:v>9.6637565908873055E-2</c:v>
                </c:pt>
                <c:pt idx="1540">
                  <c:v>9.6637565908873055E-2</c:v>
                </c:pt>
                <c:pt idx="1541">
                  <c:v>0.10600540604063093</c:v>
                </c:pt>
                <c:pt idx="1542">
                  <c:v>0.10600540604063093</c:v>
                </c:pt>
                <c:pt idx="1543">
                  <c:v>0.10600540604063093</c:v>
                </c:pt>
                <c:pt idx="1544">
                  <c:v>0.10600540604063093</c:v>
                </c:pt>
                <c:pt idx="1545">
                  <c:v>0.10600540604063093</c:v>
                </c:pt>
                <c:pt idx="1546">
                  <c:v>0.10600540604063093</c:v>
                </c:pt>
                <c:pt idx="1547">
                  <c:v>0.10600540604063093</c:v>
                </c:pt>
                <c:pt idx="1548">
                  <c:v>0.10600540604063093</c:v>
                </c:pt>
                <c:pt idx="1549">
                  <c:v>0.10600540604063093</c:v>
                </c:pt>
                <c:pt idx="1550">
                  <c:v>0.10600540604063093</c:v>
                </c:pt>
                <c:pt idx="1551">
                  <c:v>0.10600540604063093</c:v>
                </c:pt>
                <c:pt idx="1552">
                  <c:v>0.10600540604063093</c:v>
                </c:pt>
                <c:pt idx="1553">
                  <c:v>0.10600540604063093</c:v>
                </c:pt>
                <c:pt idx="1554">
                  <c:v>0.10600540604063093</c:v>
                </c:pt>
                <c:pt idx="1555">
                  <c:v>0.10600540604063093</c:v>
                </c:pt>
                <c:pt idx="1556">
                  <c:v>0.10600540604063093</c:v>
                </c:pt>
                <c:pt idx="1557">
                  <c:v>0.10600540604063093</c:v>
                </c:pt>
                <c:pt idx="1558">
                  <c:v>0.10600540604063093</c:v>
                </c:pt>
                <c:pt idx="1559">
                  <c:v>0.10600540604063093</c:v>
                </c:pt>
                <c:pt idx="1560">
                  <c:v>0.10600540604063093</c:v>
                </c:pt>
                <c:pt idx="1561">
                  <c:v>0.10600540604063093</c:v>
                </c:pt>
                <c:pt idx="1562">
                  <c:v>0.10600540604063093</c:v>
                </c:pt>
                <c:pt idx="1563">
                  <c:v>0.10600540604063093</c:v>
                </c:pt>
                <c:pt idx="1564">
                  <c:v>0.10600540604063093</c:v>
                </c:pt>
                <c:pt idx="1565">
                  <c:v>0.10600540604063093</c:v>
                </c:pt>
                <c:pt idx="1566">
                  <c:v>0.10600540604063093</c:v>
                </c:pt>
                <c:pt idx="1567">
                  <c:v>0.10600540604063093</c:v>
                </c:pt>
                <c:pt idx="1568">
                  <c:v>0.10600540604063093</c:v>
                </c:pt>
                <c:pt idx="1569">
                  <c:v>0.10600540604063093</c:v>
                </c:pt>
                <c:pt idx="1570">
                  <c:v>0.10600540604063093</c:v>
                </c:pt>
                <c:pt idx="1571">
                  <c:v>0.10600540604063093</c:v>
                </c:pt>
                <c:pt idx="1572">
                  <c:v>0.10600540604063093</c:v>
                </c:pt>
                <c:pt idx="1573">
                  <c:v>0.10600540604063093</c:v>
                </c:pt>
                <c:pt idx="1574">
                  <c:v>0.10600540604063093</c:v>
                </c:pt>
                <c:pt idx="1575">
                  <c:v>0.10600540604063093</c:v>
                </c:pt>
                <c:pt idx="1576">
                  <c:v>0.10600540604063093</c:v>
                </c:pt>
                <c:pt idx="1577">
                  <c:v>0.10600540604063093</c:v>
                </c:pt>
                <c:pt idx="1578">
                  <c:v>0.10600540604063093</c:v>
                </c:pt>
                <c:pt idx="1579">
                  <c:v>0.10600540604063093</c:v>
                </c:pt>
                <c:pt idx="1580">
                  <c:v>0.10600540604063093</c:v>
                </c:pt>
                <c:pt idx="1581">
                  <c:v>0.10600540604063093</c:v>
                </c:pt>
                <c:pt idx="1582">
                  <c:v>0.10600540604063093</c:v>
                </c:pt>
                <c:pt idx="1583">
                  <c:v>0.10600540604063093</c:v>
                </c:pt>
                <c:pt idx="1584">
                  <c:v>0.10600540604063093</c:v>
                </c:pt>
                <c:pt idx="1585">
                  <c:v>0.10600540604063093</c:v>
                </c:pt>
                <c:pt idx="1586">
                  <c:v>0.10600540604063093</c:v>
                </c:pt>
                <c:pt idx="1587">
                  <c:v>0.10600540604063093</c:v>
                </c:pt>
                <c:pt idx="1588">
                  <c:v>0.10600540604063093</c:v>
                </c:pt>
                <c:pt idx="1589">
                  <c:v>0.10600540604063093</c:v>
                </c:pt>
                <c:pt idx="1590">
                  <c:v>0.10600540604063093</c:v>
                </c:pt>
                <c:pt idx="1591">
                  <c:v>0.10600540604063093</c:v>
                </c:pt>
                <c:pt idx="1592">
                  <c:v>0.10600540604063093</c:v>
                </c:pt>
                <c:pt idx="1593">
                  <c:v>0.10600540604063093</c:v>
                </c:pt>
                <c:pt idx="1594">
                  <c:v>0.10600540604063093</c:v>
                </c:pt>
                <c:pt idx="1595">
                  <c:v>0.10600540604063093</c:v>
                </c:pt>
                <c:pt idx="1596">
                  <c:v>0.10600540604063093</c:v>
                </c:pt>
                <c:pt idx="1597">
                  <c:v>0.10600540604063093</c:v>
                </c:pt>
                <c:pt idx="1598">
                  <c:v>0.10600540604063093</c:v>
                </c:pt>
                <c:pt idx="1599">
                  <c:v>0.10600540604063093</c:v>
                </c:pt>
                <c:pt idx="1600">
                  <c:v>0.10174646781791266</c:v>
                </c:pt>
                <c:pt idx="1601">
                  <c:v>0.10174646781791266</c:v>
                </c:pt>
                <c:pt idx="1602">
                  <c:v>0.10174646781791266</c:v>
                </c:pt>
                <c:pt idx="1603">
                  <c:v>0.10174646781791266</c:v>
                </c:pt>
                <c:pt idx="1604">
                  <c:v>0.10174646781791266</c:v>
                </c:pt>
                <c:pt idx="1605">
                  <c:v>0.10174646781791266</c:v>
                </c:pt>
                <c:pt idx="1606">
                  <c:v>0.10174646781791266</c:v>
                </c:pt>
                <c:pt idx="1607">
                  <c:v>0.10174646781791266</c:v>
                </c:pt>
                <c:pt idx="1608">
                  <c:v>0.10174646781791266</c:v>
                </c:pt>
                <c:pt idx="1609">
                  <c:v>0.10174646781791266</c:v>
                </c:pt>
                <c:pt idx="1610">
                  <c:v>0.10174646781791266</c:v>
                </c:pt>
                <c:pt idx="1611">
                  <c:v>0.10174646781791266</c:v>
                </c:pt>
                <c:pt idx="1612">
                  <c:v>0.10174646781791266</c:v>
                </c:pt>
                <c:pt idx="1613">
                  <c:v>0.10174646781791266</c:v>
                </c:pt>
                <c:pt idx="1614">
                  <c:v>0.10174646781791266</c:v>
                </c:pt>
                <c:pt idx="1615">
                  <c:v>0.10174646781791266</c:v>
                </c:pt>
                <c:pt idx="1616">
                  <c:v>0.10174646781791266</c:v>
                </c:pt>
                <c:pt idx="1617">
                  <c:v>0.10174646781791266</c:v>
                </c:pt>
                <c:pt idx="1618">
                  <c:v>0.10174646781791266</c:v>
                </c:pt>
                <c:pt idx="1619">
                  <c:v>0.10174646781791266</c:v>
                </c:pt>
                <c:pt idx="1620">
                  <c:v>0.10174646781791266</c:v>
                </c:pt>
                <c:pt idx="1621">
                  <c:v>0.10174646781791266</c:v>
                </c:pt>
                <c:pt idx="1622">
                  <c:v>0.10174646781791266</c:v>
                </c:pt>
                <c:pt idx="1623">
                  <c:v>0.10174646781791266</c:v>
                </c:pt>
                <c:pt idx="1624">
                  <c:v>0.10174646781791266</c:v>
                </c:pt>
                <c:pt idx="1625">
                  <c:v>0.10174646781791266</c:v>
                </c:pt>
                <c:pt idx="1626">
                  <c:v>0.10174646781791266</c:v>
                </c:pt>
                <c:pt idx="1627">
                  <c:v>0.10174646781791266</c:v>
                </c:pt>
                <c:pt idx="1628">
                  <c:v>0.10174646781791266</c:v>
                </c:pt>
                <c:pt idx="1629">
                  <c:v>0.10174646781791266</c:v>
                </c:pt>
                <c:pt idx="1630">
                  <c:v>0.10174646781791266</c:v>
                </c:pt>
                <c:pt idx="1631">
                  <c:v>0.10174646781791266</c:v>
                </c:pt>
                <c:pt idx="1632">
                  <c:v>0.10174646781791266</c:v>
                </c:pt>
                <c:pt idx="1633">
                  <c:v>0.10174646781791266</c:v>
                </c:pt>
                <c:pt idx="1634">
                  <c:v>0.10174646781791266</c:v>
                </c:pt>
                <c:pt idx="1635">
                  <c:v>0.10174646781791266</c:v>
                </c:pt>
                <c:pt idx="1636">
                  <c:v>0.10174646781791266</c:v>
                </c:pt>
                <c:pt idx="1637">
                  <c:v>0.10174646781791266</c:v>
                </c:pt>
                <c:pt idx="1638">
                  <c:v>0.10174646781791266</c:v>
                </c:pt>
                <c:pt idx="1639">
                  <c:v>0.10174646781791266</c:v>
                </c:pt>
                <c:pt idx="1640">
                  <c:v>0.10174646781791266</c:v>
                </c:pt>
                <c:pt idx="1641">
                  <c:v>0.10174646781791266</c:v>
                </c:pt>
                <c:pt idx="1642">
                  <c:v>0.10174646781791266</c:v>
                </c:pt>
                <c:pt idx="1643">
                  <c:v>0.10174646781791266</c:v>
                </c:pt>
                <c:pt idx="1644">
                  <c:v>0.10174646781791266</c:v>
                </c:pt>
                <c:pt idx="1645">
                  <c:v>0.10174646781791266</c:v>
                </c:pt>
                <c:pt idx="1646">
                  <c:v>0.10174646781791266</c:v>
                </c:pt>
                <c:pt idx="1647">
                  <c:v>0.10174646781791266</c:v>
                </c:pt>
                <c:pt idx="1648">
                  <c:v>0.10174646781791266</c:v>
                </c:pt>
                <c:pt idx="1649">
                  <c:v>0.10174646781791266</c:v>
                </c:pt>
                <c:pt idx="1650">
                  <c:v>0.10174646781791266</c:v>
                </c:pt>
                <c:pt idx="1651">
                  <c:v>0.10174646781791266</c:v>
                </c:pt>
                <c:pt idx="1652">
                  <c:v>0.10174646781791266</c:v>
                </c:pt>
                <c:pt idx="1653">
                  <c:v>0.10174646781791266</c:v>
                </c:pt>
                <c:pt idx="1654">
                  <c:v>0.10174646781791266</c:v>
                </c:pt>
                <c:pt idx="1655">
                  <c:v>0.10174646781791266</c:v>
                </c:pt>
                <c:pt idx="1656">
                  <c:v>0.10174646781791266</c:v>
                </c:pt>
                <c:pt idx="1657">
                  <c:v>0.10174646781791266</c:v>
                </c:pt>
                <c:pt idx="1658">
                  <c:v>0.10174646781791266</c:v>
                </c:pt>
                <c:pt idx="1659">
                  <c:v>0.10174646781791266</c:v>
                </c:pt>
                <c:pt idx="1660">
                  <c:v>0.10174646781791266</c:v>
                </c:pt>
                <c:pt idx="1661">
                  <c:v>0.10174646781791266</c:v>
                </c:pt>
                <c:pt idx="1662">
                  <c:v>0.10174646781791266</c:v>
                </c:pt>
                <c:pt idx="1663">
                  <c:v>0.10174646781791266</c:v>
                </c:pt>
                <c:pt idx="1664">
                  <c:v>0.10174646781791266</c:v>
                </c:pt>
                <c:pt idx="1665">
                  <c:v>0.10174646781791266</c:v>
                </c:pt>
                <c:pt idx="1666">
                  <c:v>0.10174646781791266</c:v>
                </c:pt>
                <c:pt idx="1667">
                  <c:v>0.10174646781791266</c:v>
                </c:pt>
                <c:pt idx="1668">
                  <c:v>0.10174646781791266</c:v>
                </c:pt>
                <c:pt idx="1669">
                  <c:v>0.10174646781791266</c:v>
                </c:pt>
                <c:pt idx="1670">
                  <c:v>0.10174646781791266</c:v>
                </c:pt>
                <c:pt idx="1671">
                  <c:v>6.1014931296205117E-2</c:v>
                </c:pt>
                <c:pt idx="1672">
                  <c:v>6.1014931296205117E-2</c:v>
                </c:pt>
                <c:pt idx="1673">
                  <c:v>6.1014931296205117E-2</c:v>
                </c:pt>
                <c:pt idx="1674">
                  <c:v>6.1014931296205117E-2</c:v>
                </c:pt>
                <c:pt idx="1675">
                  <c:v>6.1014931296205117E-2</c:v>
                </c:pt>
                <c:pt idx="1676">
                  <c:v>6.1014931296205117E-2</c:v>
                </c:pt>
                <c:pt idx="1677">
                  <c:v>6.1014931296205117E-2</c:v>
                </c:pt>
                <c:pt idx="1678">
                  <c:v>6.1014931296205117E-2</c:v>
                </c:pt>
                <c:pt idx="1679">
                  <c:v>6.1014931296205117E-2</c:v>
                </c:pt>
                <c:pt idx="1680">
                  <c:v>6.1014931296205117E-2</c:v>
                </c:pt>
                <c:pt idx="1681">
                  <c:v>6.1014931296205117E-2</c:v>
                </c:pt>
                <c:pt idx="1682">
                  <c:v>6.1014931296205117E-2</c:v>
                </c:pt>
                <c:pt idx="1683">
                  <c:v>6.1014931296205117E-2</c:v>
                </c:pt>
                <c:pt idx="1684">
                  <c:v>6.1014931296205117E-2</c:v>
                </c:pt>
                <c:pt idx="1685">
                  <c:v>6.1014931296205117E-2</c:v>
                </c:pt>
                <c:pt idx="1686">
                  <c:v>6.1014931296205117E-2</c:v>
                </c:pt>
                <c:pt idx="1687">
                  <c:v>6.1014931296205117E-2</c:v>
                </c:pt>
                <c:pt idx="1688">
                  <c:v>6.1014931296205117E-2</c:v>
                </c:pt>
                <c:pt idx="1689">
                  <c:v>6.1014931296205117E-2</c:v>
                </c:pt>
                <c:pt idx="1690">
                  <c:v>6.1014931296205117E-2</c:v>
                </c:pt>
                <c:pt idx="1691">
                  <c:v>6.1014931296205117E-2</c:v>
                </c:pt>
                <c:pt idx="1692">
                  <c:v>6.1014931296205117E-2</c:v>
                </c:pt>
                <c:pt idx="1693">
                  <c:v>6.1014931296205117E-2</c:v>
                </c:pt>
                <c:pt idx="1694">
                  <c:v>6.1014931296205117E-2</c:v>
                </c:pt>
                <c:pt idx="1695">
                  <c:v>6.1014931296205117E-2</c:v>
                </c:pt>
                <c:pt idx="1696">
                  <c:v>6.1014931296205117E-2</c:v>
                </c:pt>
                <c:pt idx="1697">
                  <c:v>6.1014931296205117E-2</c:v>
                </c:pt>
                <c:pt idx="1698">
                  <c:v>6.1014931296205117E-2</c:v>
                </c:pt>
                <c:pt idx="1699">
                  <c:v>6.1014931296205117E-2</c:v>
                </c:pt>
                <c:pt idx="1700">
                  <c:v>6.1014931296205117E-2</c:v>
                </c:pt>
                <c:pt idx="1701">
                  <c:v>6.1014931296205117E-2</c:v>
                </c:pt>
                <c:pt idx="1702">
                  <c:v>6.1014931296205117E-2</c:v>
                </c:pt>
                <c:pt idx="1703">
                  <c:v>6.1014931296205117E-2</c:v>
                </c:pt>
                <c:pt idx="1704">
                  <c:v>6.1014931296205117E-2</c:v>
                </c:pt>
                <c:pt idx="1705">
                  <c:v>6.1014931296205117E-2</c:v>
                </c:pt>
                <c:pt idx="1706">
                  <c:v>6.1014931296205117E-2</c:v>
                </c:pt>
                <c:pt idx="1707">
                  <c:v>6.1014931296205117E-2</c:v>
                </c:pt>
                <c:pt idx="1708">
                  <c:v>6.1014931296205117E-2</c:v>
                </c:pt>
                <c:pt idx="1709">
                  <c:v>6.1014931296205117E-2</c:v>
                </c:pt>
                <c:pt idx="1710">
                  <c:v>6.1014931296205117E-2</c:v>
                </c:pt>
                <c:pt idx="1711">
                  <c:v>6.1014931296205117E-2</c:v>
                </c:pt>
                <c:pt idx="1712">
                  <c:v>6.1014931296205117E-2</c:v>
                </c:pt>
                <c:pt idx="1713">
                  <c:v>6.1014931296205117E-2</c:v>
                </c:pt>
                <c:pt idx="1714">
                  <c:v>6.1014931296205117E-2</c:v>
                </c:pt>
                <c:pt idx="1715">
                  <c:v>6.1014931296205117E-2</c:v>
                </c:pt>
                <c:pt idx="1716">
                  <c:v>6.1014931296205117E-2</c:v>
                </c:pt>
                <c:pt idx="1717">
                  <c:v>6.1014931296205117E-2</c:v>
                </c:pt>
                <c:pt idx="1718">
                  <c:v>6.1014931296205117E-2</c:v>
                </c:pt>
                <c:pt idx="1719">
                  <c:v>6.1014931296205117E-2</c:v>
                </c:pt>
                <c:pt idx="1720">
                  <c:v>6.1014931296205117E-2</c:v>
                </c:pt>
                <c:pt idx="1721">
                  <c:v>6.1014931296205117E-2</c:v>
                </c:pt>
                <c:pt idx="1722">
                  <c:v>6.1014931296205117E-2</c:v>
                </c:pt>
                <c:pt idx="1723">
                  <c:v>6.1014931296205117E-2</c:v>
                </c:pt>
                <c:pt idx="1724">
                  <c:v>6.1014931296205117E-2</c:v>
                </c:pt>
                <c:pt idx="1725">
                  <c:v>6.1014931296205117E-2</c:v>
                </c:pt>
                <c:pt idx="1726">
                  <c:v>6.1014931296205117E-2</c:v>
                </c:pt>
                <c:pt idx="1727">
                  <c:v>6.1014931296205117E-2</c:v>
                </c:pt>
                <c:pt idx="1728">
                  <c:v>6.1014931296205117E-2</c:v>
                </c:pt>
                <c:pt idx="1729">
                  <c:v>6.1014931296205117E-2</c:v>
                </c:pt>
                <c:pt idx="1730">
                  <c:v>6.1014931296205117E-2</c:v>
                </c:pt>
                <c:pt idx="1731">
                  <c:v>6.1014931296205117E-2</c:v>
                </c:pt>
                <c:pt idx="1732">
                  <c:v>6.1014931296205117E-2</c:v>
                </c:pt>
                <c:pt idx="1733">
                  <c:v>6.1014931296205117E-2</c:v>
                </c:pt>
                <c:pt idx="1734">
                  <c:v>6.1014931296205117E-2</c:v>
                </c:pt>
                <c:pt idx="1735">
                  <c:v>6.1014931296205117E-2</c:v>
                </c:pt>
                <c:pt idx="1736">
                  <c:v>6.1014931296205117E-2</c:v>
                </c:pt>
                <c:pt idx="1737">
                  <c:v>6.1014931296205117E-2</c:v>
                </c:pt>
                <c:pt idx="1738">
                  <c:v>6.1014931296205117E-2</c:v>
                </c:pt>
                <c:pt idx="1739">
                  <c:v>6.1014931296205117E-2</c:v>
                </c:pt>
                <c:pt idx="1740">
                  <c:v>6.1014931296205117E-2</c:v>
                </c:pt>
                <c:pt idx="1741">
                  <c:v>6.1014931296205117E-2</c:v>
                </c:pt>
                <c:pt idx="1742">
                  <c:v>6.1014931296205117E-2</c:v>
                </c:pt>
                <c:pt idx="1743">
                  <c:v>6.1014931296205117E-2</c:v>
                </c:pt>
                <c:pt idx="1744">
                  <c:v>6.1014931296205117E-2</c:v>
                </c:pt>
                <c:pt idx="1745">
                  <c:v>6.1014931296205117E-2</c:v>
                </c:pt>
                <c:pt idx="1746">
                  <c:v>6.1014931296205117E-2</c:v>
                </c:pt>
                <c:pt idx="1747">
                  <c:v>6.1014931296205117E-2</c:v>
                </c:pt>
                <c:pt idx="1748">
                  <c:v>6.1014931296205117E-2</c:v>
                </c:pt>
                <c:pt idx="1749">
                  <c:v>6.1014931296205117E-2</c:v>
                </c:pt>
                <c:pt idx="1750">
                  <c:v>6.1014931296205117E-2</c:v>
                </c:pt>
                <c:pt idx="1751">
                  <c:v>6.1014931296205117E-2</c:v>
                </c:pt>
                <c:pt idx="1752">
                  <c:v>6.1014931296205117E-2</c:v>
                </c:pt>
                <c:pt idx="1753">
                  <c:v>6.1014931296205117E-2</c:v>
                </c:pt>
                <c:pt idx="1754">
                  <c:v>6.1014931296205117E-2</c:v>
                </c:pt>
                <c:pt idx="1755">
                  <c:v>6.1014931296205117E-2</c:v>
                </c:pt>
                <c:pt idx="1756">
                  <c:v>6.1014931296205117E-2</c:v>
                </c:pt>
                <c:pt idx="1757">
                  <c:v>6.1014931296205117E-2</c:v>
                </c:pt>
                <c:pt idx="1758">
                  <c:v>6.1014931296205117E-2</c:v>
                </c:pt>
                <c:pt idx="1759">
                  <c:v>6.1014931296205117E-2</c:v>
                </c:pt>
                <c:pt idx="1760">
                  <c:v>6.1014931296205117E-2</c:v>
                </c:pt>
                <c:pt idx="1761">
                  <c:v>6.1014931296205117E-2</c:v>
                </c:pt>
                <c:pt idx="1762">
                  <c:v>6.1014931296205117E-2</c:v>
                </c:pt>
                <c:pt idx="1763">
                  <c:v>6.1014931296205117E-2</c:v>
                </c:pt>
                <c:pt idx="1764">
                  <c:v>6.1014931296205117E-2</c:v>
                </c:pt>
                <c:pt idx="1765">
                  <c:v>6.1014931296205117E-2</c:v>
                </c:pt>
                <c:pt idx="1766">
                  <c:v>6.1014931296205117E-2</c:v>
                </c:pt>
                <c:pt idx="1767">
                  <c:v>6.1014931296205117E-2</c:v>
                </c:pt>
                <c:pt idx="1768">
                  <c:v>6.1014931296205117E-2</c:v>
                </c:pt>
                <c:pt idx="1769">
                  <c:v>6.1014931296205117E-2</c:v>
                </c:pt>
                <c:pt idx="1770">
                  <c:v>6.1014931296205117E-2</c:v>
                </c:pt>
                <c:pt idx="1771">
                  <c:v>6.1014931296205117E-2</c:v>
                </c:pt>
                <c:pt idx="1772">
                  <c:v>6.1014931296205117E-2</c:v>
                </c:pt>
                <c:pt idx="1773">
                  <c:v>6.1014931296205117E-2</c:v>
                </c:pt>
                <c:pt idx="1774">
                  <c:v>6.1014931296205117E-2</c:v>
                </c:pt>
                <c:pt idx="1775">
                  <c:v>6.1014931296205117E-2</c:v>
                </c:pt>
                <c:pt idx="1776">
                  <c:v>6.1014931296205117E-2</c:v>
                </c:pt>
                <c:pt idx="1777">
                  <c:v>6.1014931296205117E-2</c:v>
                </c:pt>
                <c:pt idx="1778">
                  <c:v>6.1014931296205117E-2</c:v>
                </c:pt>
                <c:pt idx="1779">
                  <c:v>6.1014931296205117E-2</c:v>
                </c:pt>
                <c:pt idx="1780">
                  <c:v>6.1014931296205117E-2</c:v>
                </c:pt>
                <c:pt idx="1781">
                  <c:v>6.1014931296205117E-2</c:v>
                </c:pt>
                <c:pt idx="1782">
                  <c:v>6.1014931296205117E-2</c:v>
                </c:pt>
                <c:pt idx="1783">
                  <c:v>6.1014931296205117E-2</c:v>
                </c:pt>
                <c:pt idx="1784">
                  <c:v>6.1014931296205117E-2</c:v>
                </c:pt>
                <c:pt idx="1785">
                  <c:v>6.1014931296205117E-2</c:v>
                </c:pt>
                <c:pt idx="1786">
                  <c:v>6.1014931296205117E-2</c:v>
                </c:pt>
                <c:pt idx="1787">
                  <c:v>6.1014931296205117E-2</c:v>
                </c:pt>
                <c:pt idx="1788">
                  <c:v>6.1014931296205117E-2</c:v>
                </c:pt>
                <c:pt idx="1789">
                  <c:v>6.1014931296205117E-2</c:v>
                </c:pt>
                <c:pt idx="1790">
                  <c:v>6.1014931296205117E-2</c:v>
                </c:pt>
                <c:pt idx="1791">
                  <c:v>6.1014931296205117E-2</c:v>
                </c:pt>
                <c:pt idx="1792">
                  <c:v>6.1014931296205117E-2</c:v>
                </c:pt>
                <c:pt idx="1793">
                  <c:v>6.1014931296205117E-2</c:v>
                </c:pt>
                <c:pt idx="1794">
                  <c:v>6.1014931296205117E-2</c:v>
                </c:pt>
                <c:pt idx="1795">
                  <c:v>6.1014931296205117E-2</c:v>
                </c:pt>
                <c:pt idx="1796">
                  <c:v>6.1014931296205117E-2</c:v>
                </c:pt>
                <c:pt idx="1797">
                  <c:v>6.1014931296205117E-2</c:v>
                </c:pt>
                <c:pt idx="1798">
                  <c:v>6.1014931296205117E-2</c:v>
                </c:pt>
                <c:pt idx="1799">
                  <c:v>6.1014931296205117E-2</c:v>
                </c:pt>
                <c:pt idx="1800">
                  <c:v>6.1014931296205117E-2</c:v>
                </c:pt>
                <c:pt idx="1801">
                  <c:v>6.1014931296205117E-2</c:v>
                </c:pt>
                <c:pt idx="1802">
                  <c:v>6.1014931296205117E-2</c:v>
                </c:pt>
                <c:pt idx="1803">
                  <c:v>6.1014931296205117E-2</c:v>
                </c:pt>
                <c:pt idx="1804">
                  <c:v>6.1014931296205117E-2</c:v>
                </c:pt>
                <c:pt idx="1805">
                  <c:v>6.1014931296205117E-2</c:v>
                </c:pt>
                <c:pt idx="1806">
                  <c:v>6.1014931296205117E-2</c:v>
                </c:pt>
                <c:pt idx="1807">
                  <c:v>6.1014931296205117E-2</c:v>
                </c:pt>
                <c:pt idx="1808">
                  <c:v>6.1014931296205117E-2</c:v>
                </c:pt>
                <c:pt idx="1809">
                  <c:v>6.1014931296205117E-2</c:v>
                </c:pt>
                <c:pt idx="1810">
                  <c:v>6.1014931296205117E-2</c:v>
                </c:pt>
                <c:pt idx="1811">
                  <c:v>0.10333499253358684</c:v>
                </c:pt>
                <c:pt idx="1812">
                  <c:v>0.10333499253358684</c:v>
                </c:pt>
                <c:pt idx="1813">
                  <c:v>0.10333499253358684</c:v>
                </c:pt>
                <c:pt idx="1814">
                  <c:v>0.10333499253358684</c:v>
                </c:pt>
                <c:pt idx="1815">
                  <c:v>0.10333499253358684</c:v>
                </c:pt>
                <c:pt idx="1816">
                  <c:v>0.10333499253358684</c:v>
                </c:pt>
                <c:pt idx="1817">
                  <c:v>0.10333499253358684</c:v>
                </c:pt>
                <c:pt idx="1818">
                  <c:v>0.10333499253358684</c:v>
                </c:pt>
                <c:pt idx="1819">
                  <c:v>0.10333499253358684</c:v>
                </c:pt>
                <c:pt idx="1820">
                  <c:v>0.10333499253358684</c:v>
                </c:pt>
                <c:pt idx="1821">
                  <c:v>0.10333499253358684</c:v>
                </c:pt>
                <c:pt idx="1822">
                  <c:v>0.10333499253358684</c:v>
                </c:pt>
                <c:pt idx="1823">
                  <c:v>0.10333499253358684</c:v>
                </c:pt>
                <c:pt idx="1824">
                  <c:v>0.10333499253358684</c:v>
                </c:pt>
                <c:pt idx="1825">
                  <c:v>0.10333499253358684</c:v>
                </c:pt>
                <c:pt idx="1826">
                  <c:v>0.10333499253358684</c:v>
                </c:pt>
                <c:pt idx="1827">
                  <c:v>0.10333499253358684</c:v>
                </c:pt>
                <c:pt idx="1828">
                  <c:v>0.10333499253358684</c:v>
                </c:pt>
                <c:pt idx="1829">
                  <c:v>0.10333499253358684</c:v>
                </c:pt>
                <c:pt idx="1830">
                  <c:v>0.10333499253358684</c:v>
                </c:pt>
                <c:pt idx="1831">
                  <c:v>0.10333499253358684</c:v>
                </c:pt>
                <c:pt idx="1832">
                  <c:v>0.10333499253358684</c:v>
                </c:pt>
                <c:pt idx="1833">
                  <c:v>0.10333499253358684</c:v>
                </c:pt>
                <c:pt idx="1834">
                  <c:v>0.10333499253358684</c:v>
                </c:pt>
                <c:pt idx="1835">
                  <c:v>0.10333499253358684</c:v>
                </c:pt>
                <c:pt idx="1836">
                  <c:v>0.10333499253358684</c:v>
                </c:pt>
                <c:pt idx="1837">
                  <c:v>0.10333499253358684</c:v>
                </c:pt>
                <c:pt idx="1838">
                  <c:v>0.10333499253358684</c:v>
                </c:pt>
                <c:pt idx="1839">
                  <c:v>0.10333499253358684</c:v>
                </c:pt>
                <c:pt idx="1840">
                  <c:v>0.10333499253358684</c:v>
                </c:pt>
                <c:pt idx="1841">
                  <c:v>0.10333499253358684</c:v>
                </c:pt>
                <c:pt idx="1842">
                  <c:v>0.10333499253358684</c:v>
                </c:pt>
                <c:pt idx="1843">
                  <c:v>0.10333499253358684</c:v>
                </c:pt>
                <c:pt idx="1844">
                  <c:v>0.10333499253358684</c:v>
                </c:pt>
                <c:pt idx="1845">
                  <c:v>0.10333499253358684</c:v>
                </c:pt>
                <c:pt idx="1846">
                  <c:v>0.10333499253358684</c:v>
                </c:pt>
                <c:pt idx="1847">
                  <c:v>0.10333499253358684</c:v>
                </c:pt>
                <c:pt idx="1848">
                  <c:v>0.10333499253358684</c:v>
                </c:pt>
                <c:pt idx="1849">
                  <c:v>0.10333499253358684</c:v>
                </c:pt>
                <c:pt idx="1850">
                  <c:v>0.10333499253358684</c:v>
                </c:pt>
                <c:pt idx="1851">
                  <c:v>0.10333499253358684</c:v>
                </c:pt>
                <c:pt idx="1852">
                  <c:v>0.10333499253358684</c:v>
                </c:pt>
                <c:pt idx="1853">
                  <c:v>0.10333499253358684</c:v>
                </c:pt>
                <c:pt idx="1854">
                  <c:v>0.10333499253358684</c:v>
                </c:pt>
                <c:pt idx="1855">
                  <c:v>0.10333499253358684</c:v>
                </c:pt>
                <c:pt idx="1856">
                  <c:v>0.10333499253358684</c:v>
                </c:pt>
                <c:pt idx="1857">
                  <c:v>0.10333499253358684</c:v>
                </c:pt>
                <c:pt idx="1858">
                  <c:v>0.10333499253358684</c:v>
                </c:pt>
                <c:pt idx="1859">
                  <c:v>0.10333499253358684</c:v>
                </c:pt>
                <c:pt idx="1860">
                  <c:v>0.10333499253358684</c:v>
                </c:pt>
                <c:pt idx="1861">
                  <c:v>0.10333499253358684</c:v>
                </c:pt>
                <c:pt idx="1862">
                  <c:v>0.10333499253358684</c:v>
                </c:pt>
                <c:pt idx="1863">
                  <c:v>0.10333499253358684</c:v>
                </c:pt>
                <c:pt idx="1864">
                  <c:v>0.10333499253358684</c:v>
                </c:pt>
                <c:pt idx="1865">
                  <c:v>0.10333499253358684</c:v>
                </c:pt>
                <c:pt idx="1866">
                  <c:v>0.10333499253358684</c:v>
                </c:pt>
                <c:pt idx="1867">
                  <c:v>0.10333499253358684</c:v>
                </c:pt>
                <c:pt idx="1868">
                  <c:v>0.10333499253358684</c:v>
                </c:pt>
                <c:pt idx="1869">
                  <c:v>0.10333499253358684</c:v>
                </c:pt>
                <c:pt idx="1870">
                  <c:v>0.10333499253358684</c:v>
                </c:pt>
                <c:pt idx="1871">
                  <c:v>0.10333499253358684</c:v>
                </c:pt>
                <c:pt idx="1872">
                  <c:v>0.10333499253358684</c:v>
                </c:pt>
                <c:pt idx="1873">
                  <c:v>0.10333499253358684</c:v>
                </c:pt>
                <c:pt idx="1874">
                  <c:v>0.10333499253358684</c:v>
                </c:pt>
                <c:pt idx="1875">
                  <c:v>0.10333499253358684</c:v>
                </c:pt>
                <c:pt idx="1876">
                  <c:v>0.10333499253358684</c:v>
                </c:pt>
                <c:pt idx="1877">
                  <c:v>0.10333499253358684</c:v>
                </c:pt>
                <c:pt idx="1878">
                  <c:v>0.10333499253358684</c:v>
                </c:pt>
                <c:pt idx="1879">
                  <c:v>0.10333499253358684</c:v>
                </c:pt>
                <c:pt idx="1880">
                  <c:v>0.10333499253358684</c:v>
                </c:pt>
                <c:pt idx="1881">
                  <c:v>9.0755969483796467E-2</c:v>
                </c:pt>
                <c:pt idx="1882">
                  <c:v>9.0755969483796467E-2</c:v>
                </c:pt>
                <c:pt idx="1883">
                  <c:v>9.0755969483796467E-2</c:v>
                </c:pt>
                <c:pt idx="1884">
                  <c:v>9.0755969483796467E-2</c:v>
                </c:pt>
                <c:pt idx="1885">
                  <c:v>9.0755969483796467E-2</c:v>
                </c:pt>
                <c:pt idx="1886">
                  <c:v>9.0755969483796467E-2</c:v>
                </c:pt>
                <c:pt idx="1887">
                  <c:v>9.0755969483796467E-2</c:v>
                </c:pt>
                <c:pt idx="1888">
                  <c:v>9.0755969483796467E-2</c:v>
                </c:pt>
                <c:pt idx="1889">
                  <c:v>9.0755969483796467E-2</c:v>
                </c:pt>
                <c:pt idx="1890">
                  <c:v>9.0755969483796467E-2</c:v>
                </c:pt>
                <c:pt idx="1891">
                  <c:v>9.0755969483796467E-2</c:v>
                </c:pt>
                <c:pt idx="1892">
                  <c:v>9.0755969483796467E-2</c:v>
                </c:pt>
                <c:pt idx="1893">
                  <c:v>9.0755969483796467E-2</c:v>
                </c:pt>
                <c:pt idx="1894">
                  <c:v>9.0755969483796467E-2</c:v>
                </c:pt>
                <c:pt idx="1895">
                  <c:v>9.0755969483796467E-2</c:v>
                </c:pt>
                <c:pt idx="1896">
                  <c:v>9.0755969483796467E-2</c:v>
                </c:pt>
                <c:pt idx="1897">
                  <c:v>9.0755969483796467E-2</c:v>
                </c:pt>
                <c:pt idx="1898">
                  <c:v>9.0755969483796467E-2</c:v>
                </c:pt>
                <c:pt idx="1899">
                  <c:v>9.0755969483796467E-2</c:v>
                </c:pt>
                <c:pt idx="1900">
                  <c:v>9.0755969483796467E-2</c:v>
                </c:pt>
                <c:pt idx="1901">
                  <c:v>9.0755969483796467E-2</c:v>
                </c:pt>
                <c:pt idx="1902">
                  <c:v>9.0755969483796467E-2</c:v>
                </c:pt>
                <c:pt idx="1903">
                  <c:v>9.0755969483796467E-2</c:v>
                </c:pt>
                <c:pt idx="1904">
                  <c:v>9.0755969483796467E-2</c:v>
                </c:pt>
                <c:pt idx="1905">
                  <c:v>9.0755969483796467E-2</c:v>
                </c:pt>
                <c:pt idx="1906">
                  <c:v>9.0755969483796467E-2</c:v>
                </c:pt>
                <c:pt idx="1907">
                  <c:v>9.0755969483796467E-2</c:v>
                </c:pt>
                <c:pt idx="1908">
                  <c:v>9.0755969483796467E-2</c:v>
                </c:pt>
                <c:pt idx="1909">
                  <c:v>9.0755969483796467E-2</c:v>
                </c:pt>
                <c:pt idx="1910">
                  <c:v>9.0755969483796467E-2</c:v>
                </c:pt>
                <c:pt idx="1911">
                  <c:v>9.0755969483796467E-2</c:v>
                </c:pt>
                <c:pt idx="1912">
                  <c:v>9.0755969483796467E-2</c:v>
                </c:pt>
                <c:pt idx="1913">
                  <c:v>9.0755969483796467E-2</c:v>
                </c:pt>
                <c:pt idx="1914">
                  <c:v>9.0755969483796467E-2</c:v>
                </c:pt>
                <c:pt idx="1915">
                  <c:v>9.0755969483796467E-2</c:v>
                </c:pt>
                <c:pt idx="1916">
                  <c:v>9.0755969483796467E-2</c:v>
                </c:pt>
                <c:pt idx="1917">
                  <c:v>9.0755969483796467E-2</c:v>
                </c:pt>
                <c:pt idx="1918">
                  <c:v>9.0755969483796467E-2</c:v>
                </c:pt>
                <c:pt idx="1919">
                  <c:v>9.0755969483796467E-2</c:v>
                </c:pt>
                <c:pt idx="1920">
                  <c:v>9.0755969483796467E-2</c:v>
                </c:pt>
                <c:pt idx="1921">
                  <c:v>9.0755969483796467E-2</c:v>
                </c:pt>
                <c:pt idx="1922">
                  <c:v>9.0755969483796467E-2</c:v>
                </c:pt>
                <c:pt idx="1923">
                  <c:v>9.0755969483796467E-2</c:v>
                </c:pt>
                <c:pt idx="1924">
                  <c:v>9.0755969483796467E-2</c:v>
                </c:pt>
                <c:pt idx="1925">
                  <c:v>9.0755969483796467E-2</c:v>
                </c:pt>
                <c:pt idx="1926">
                  <c:v>9.0755969483796467E-2</c:v>
                </c:pt>
                <c:pt idx="1927">
                  <c:v>9.0755969483796467E-2</c:v>
                </c:pt>
                <c:pt idx="1928">
                  <c:v>9.0755969483796467E-2</c:v>
                </c:pt>
                <c:pt idx="1929">
                  <c:v>9.0755969483796467E-2</c:v>
                </c:pt>
                <c:pt idx="1930">
                  <c:v>9.0755969483796467E-2</c:v>
                </c:pt>
                <c:pt idx="1931">
                  <c:v>9.0755969483796467E-2</c:v>
                </c:pt>
                <c:pt idx="1932">
                  <c:v>9.0755969483796467E-2</c:v>
                </c:pt>
                <c:pt idx="1933">
                  <c:v>9.0755969483796467E-2</c:v>
                </c:pt>
                <c:pt idx="1934">
                  <c:v>9.0755969483796467E-2</c:v>
                </c:pt>
                <c:pt idx="1935">
                  <c:v>9.0755969483796467E-2</c:v>
                </c:pt>
                <c:pt idx="1936">
                  <c:v>9.0755969483796467E-2</c:v>
                </c:pt>
                <c:pt idx="1937">
                  <c:v>9.0755969483796467E-2</c:v>
                </c:pt>
                <c:pt idx="1938">
                  <c:v>9.0755969483796467E-2</c:v>
                </c:pt>
                <c:pt idx="1939">
                  <c:v>9.0755969483796467E-2</c:v>
                </c:pt>
                <c:pt idx="1940">
                  <c:v>9.0755969483796467E-2</c:v>
                </c:pt>
                <c:pt idx="1941">
                  <c:v>9.0755969483796467E-2</c:v>
                </c:pt>
                <c:pt idx="1942">
                  <c:v>9.0755969483796467E-2</c:v>
                </c:pt>
                <c:pt idx="1943">
                  <c:v>9.0755969483796467E-2</c:v>
                </c:pt>
                <c:pt idx="1944">
                  <c:v>9.0755969483796467E-2</c:v>
                </c:pt>
                <c:pt idx="1945">
                  <c:v>9.0755969483796467E-2</c:v>
                </c:pt>
                <c:pt idx="1946">
                  <c:v>9.0755969483796467E-2</c:v>
                </c:pt>
                <c:pt idx="1947">
                  <c:v>9.0755969483796467E-2</c:v>
                </c:pt>
                <c:pt idx="1948">
                  <c:v>9.0755969483796467E-2</c:v>
                </c:pt>
                <c:pt idx="1949">
                  <c:v>9.0755969483796467E-2</c:v>
                </c:pt>
                <c:pt idx="1950">
                  <c:v>9.0755969483796467E-2</c:v>
                </c:pt>
                <c:pt idx="1951">
                  <c:v>5.8400630293479062E-2</c:v>
                </c:pt>
                <c:pt idx="1952">
                  <c:v>5.8400630293479062E-2</c:v>
                </c:pt>
                <c:pt idx="1953">
                  <c:v>5.8400630293479062E-2</c:v>
                </c:pt>
                <c:pt idx="1954">
                  <c:v>5.8400630293479062E-2</c:v>
                </c:pt>
                <c:pt idx="1955">
                  <c:v>5.8400630293479062E-2</c:v>
                </c:pt>
                <c:pt idx="1956">
                  <c:v>5.8400630293479062E-2</c:v>
                </c:pt>
                <c:pt idx="1957">
                  <c:v>5.8400630293479062E-2</c:v>
                </c:pt>
                <c:pt idx="1958">
                  <c:v>5.8400630293479062E-2</c:v>
                </c:pt>
                <c:pt idx="1959">
                  <c:v>5.8400630293479062E-2</c:v>
                </c:pt>
                <c:pt idx="1960">
                  <c:v>5.8400630293479062E-2</c:v>
                </c:pt>
                <c:pt idx="1961">
                  <c:v>5.8400630293479062E-2</c:v>
                </c:pt>
                <c:pt idx="1962">
                  <c:v>5.8400630293479062E-2</c:v>
                </c:pt>
                <c:pt idx="1963">
                  <c:v>5.8400630293479062E-2</c:v>
                </c:pt>
                <c:pt idx="1964">
                  <c:v>5.8400630293479062E-2</c:v>
                </c:pt>
                <c:pt idx="1965">
                  <c:v>5.8400630293479062E-2</c:v>
                </c:pt>
                <c:pt idx="1966">
                  <c:v>5.8400630293479062E-2</c:v>
                </c:pt>
                <c:pt idx="1967">
                  <c:v>5.8400630293479062E-2</c:v>
                </c:pt>
                <c:pt idx="1968">
                  <c:v>5.8400630293479062E-2</c:v>
                </c:pt>
                <c:pt idx="1969">
                  <c:v>5.8400630293479062E-2</c:v>
                </c:pt>
                <c:pt idx="1970">
                  <c:v>5.8400630293479062E-2</c:v>
                </c:pt>
                <c:pt idx="1971">
                  <c:v>5.8400630293479062E-2</c:v>
                </c:pt>
                <c:pt idx="1972">
                  <c:v>5.8400630293479062E-2</c:v>
                </c:pt>
                <c:pt idx="1973">
                  <c:v>5.8400630293479062E-2</c:v>
                </c:pt>
                <c:pt idx="1974">
                  <c:v>5.8400630293479062E-2</c:v>
                </c:pt>
                <c:pt idx="1975">
                  <c:v>5.8400630293479062E-2</c:v>
                </c:pt>
                <c:pt idx="1976">
                  <c:v>5.8400630293479062E-2</c:v>
                </c:pt>
                <c:pt idx="1977">
                  <c:v>5.8400630293479062E-2</c:v>
                </c:pt>
                <c:pt idx="1978">
                  <c:v>5.8400630293479062E-2</c:v>
                </c:pt>
                <c:pt idx="1979">
                  <c:v>5.8400630293479062E-2</c:v>
                </c:pt>
                <c:pt idx="1980">
                  <c:v>5.8400630293479062E-2</c:v>
                </c:pt>
                <c:pt idx="1981">
                  <c:v>5.8400630293479062E-2</c:v>
                </c:pt>
                <c:pt idx="1982">
                  <c:v>5.8400630293479062E-2</c:v>
                </c:pt>
                <c:pt idx="1983">
                  <c:v>5.8400630293479062E-2</c:v>
                </c:pt>
                <c:pt idx="1984">
                  <c:v>5.8400630293479062E-2</c:v>
                </c:pt>
                <c:pt idx="1985">
                  <c:v>5.8400630293479062E-2</c:v>
                </c:pt>
                <c:pt idx="1986">
                  <c:v>5.8400630293479062E-2</c:v>
                </c:pt>
                <c:pt idx="1987">
                  <c:v>5.8400630293479062E-2</c:v>
                </c:pt>
                <c:pt idx="1988">
                  <c:v>5.8400630293479062E-2</c:v>
                </c:pt>
                <c:pt idx="1989">
                  <c:v>5.8400630293479062E-2</c:v>
                </c:pt>
                <c:pt idx="1990">
                  <c:v>5.8400630293479062E-2</c:v>
                </c:pt>
                <c:pt idx="1991">
                  <c:v>5.8400630293479062E-2</c:v>
                </c:pt>
                <c:pt idx="1992">
                  <c:v>5.8400630293479062E-2</c:v>
                </c:pt>
                <c:pt idx="1993">
                  <c:v>5.8400630293479062E-2</c:v>
                </c:pt>
                <c:pt idx="1994">
                  <c:v>5.8400630293479062E-2</c:v>
                </c:pt>
                <c:pt idx="1995">
                  <c:v>5.8400630293479062E-2</c:v>
                </c:pt>
                <c:pt idx="1996">
                  <c:v>5.8400630293479062E-2</c:v>
                </c:pt>
                <c:pt idx="1997">
                  <c:v>5.8400630293479062E-2</c:v>
                </c:pt>
                <c:pt idx="1998">
                  <c:v>5.8400630293479062E-2</c:v>
                </c:pt>
                <c:pt idx="1999">
                  <c:v>5.8400630293479062E-2</c:v>
                </c:pt>
                <c:pt idx="2000">
                  <c:v>5.8400630293479062E-2</c:v>
                </c:pt>
                <c:pt idx="2001">
                  <c:v>5.8400630293479062E-2</c:v>
                </c:pt>
                <c:pt idx="2002">
                  <c:v>5.8400630293479062E-2</c:v>
                </c:pt>
                <c:pt idx="2003">
                  <c:v>5.8400630293479062E-2</c:v>
                </c:pt>
                <c:pt idx="2004">
                  <c:v>5.8400630293479062E-2</c:v>
                </c:pt>
                <c:pt idx="2005">
                  <c:v>5.8400630293479062E-2</c:v>
                </c:pt>
                <c:pt idx="2006">
                  <c:v>5.8400630293479062E-2</c:v>
                </c:pt>
                <c:pt idx="2007">
                  <c:v>5.8400630293479062E-2</c:v>
                </c:pt>
                <c:pt idx="2008">
                  <c:v>5.8400630293479062E-2</c:v>
                </c:pt>
                <c:pt idx="2009">
                  <c:v>5.8400630293479062E-2</c:v>
                </c:pt>
                <c:pt idx="2010">
                  <c:v>5.8400630293479062E-2</c:v>
                </c:pt>
                <c:pt idx="2011">
                  <c:v>5.8400630293479062E-2</c:v>
                </c:pt>
                <c:pt idx="2012">
                  <c:v>5.8400630293479062E-2</c:v>
                </c:pt>
                <c:pt idx="2013">
                  <c:v>5.8400630293479062E-2</c:v>
                </c:pt>
                <c:pt idx="2014">
                  <c:v>5.8400630293479062E-2</c:v>
                </c:pt>
                <c:pt idx="2015">
                  <c:v>5.8400630293479062E-2</c:v>
                </c:pt>
                <c:pt idx="2016">
                  <c:v>5.8400630293479062E-2</c:v>
                </c:pt>
                <c:pt idx="2017">
                  <c:v>5.8400630293479062E-2</c:v>
                </c:pt>
                <c:pt idx="2018">
                  <c:v>5.8400630293479062E-2</c:v>
                </c:pt>
                <c:pt idx="2019">
                  <c:v>5.8400630293479062E-2</c:v>
                </c:pt>
                <c:pt idx="2020">
                  <c:v>5.8400630293479062E-2</c:v>
                </c:pt>
                <c:pt idx="2021">
                  <c:v>5.2064631956901149E-2</c:v>
                </c:pt>
                <c:pt idx="2022">
                  <c:v>5.2064631956901149E-2</c:v>
                </c:pt>
                <c:pt idx="2023">
                  <c:v>5.2064631956901149E-2</c:v>
                </c:pt>
                <c:pt idx="2024">
                  <c:v>5.2064631956901149E-2</c:v>
                </c:pt>
                <c:pt idx="2025">
                  <c:v>5.2064631956901149E-2</c:v>
                </c:pt>
                <c:pt idx="2026">
                  <c:v>5.2064631956901149E-2</c:v>
                </c:pt>
                <c:pt idx="2027">
                  <c:v>5.2064631956901149E-2</c:v>
                </c:pt>
                <c:pt idx="2028">
                  <c:v>5.2064631956901149E-2</c:v>
                </c:pt>
                <c:pt idx="2029">
                  <c:v>5.2064631956901149E-2</c:v>
                </c:pt>
                <c:pt idx="2030">
                  <c:v>5.2064631956901149E-2</c:v>
                </c:pt>
                <c:pt idx="2031">
                  <c:v>5.2064631956901149E-2</c:v>
                </c:pt>
                <c:pt idx="2032">
                  <c:v>5.2064631956901149E-2</c:v>
                </c:pt>
                <c:pt idx="2033">
                  <c:v>5.2064631956901149E-2</c:v>
                </c:pt>
                <c:pt idx="2034">
                  <c:v>5.2064631956901149E-2</c:v>
                </c:pt>
                <c:pt idx="2035">
                  <c:v>5.2064631956901149E-2</c:v>
                </c:pt>
                <c:pt idx="2036">
                  <c:v>5.2064631956901149E-2</c:v>
                </c:pt>
                <c:pt idx="2037">
                  <c:v>5.2064631956901149E-2</c:v>
                </c:pt>
                <c:pt idx="2038">
                  <c:v>5.2064631956901149E-2</c:v>
                </c:pt>
                <c:pt idx="2039">
                  <c:v>5.2064631956901149E-2</c:v>
                </c:pt>
                <c:pt idx="2040">
                  <c:v>5.2064631956901149E-2</c:v>
                </c:pt>
                <c:pt idx="2041">
                  <c:v>5.2064631956901149E-2</c:v>
                </c:pt>
                <c:pt idx="2042">
                  <c:v>5.2064631956901149E-2</c:v>
                </c:pt>
                <c:pt idx="2043">
                  <c:v>5.2064631956901149E-2</c:v>
                </c:pt>
                <c:pt idx="2044">
                  <c:v>5.2064631956901149E-2</c:v>
                </c:pt>
                <c:pt idx="2045">
                  <c:v>5.2064631956901149E-2</c:v>
                </c:pt>
                <c:pt idx="2046">
                  <c:v>5.2064631956901149E-2</c:v>
                </c:pt>
                <c:pt idx="2047">
                  <c:v>5.2064631956901149E-2</c:v>
                </c:pt>
                <c:pt idx="2048">
                  <c:v>5.2064631956901149E-2</c:v>
                </c:pt>
                <c:pt idx="2049">
                  <c:v>5.2064631956901149E-2</c:v>
                </c:pt>
                <c:pt idx="2050">
                  <c:v>5.2064631956901149E-2</c:v>
                </c:pt>
                <c:pt idx="2051">
                  <c:v>5.2064631956901149E-2</c:v>
                </c:pt>
                <c:pt idx="2052">
                  <c:v>5.2064631956901149E-2</c:v>
                </c:pt>
                <c:pt idx="2053">
                  <c:v>5.2064631956901149E-2</c:v>
                </c:pt>
                <c:pt idx="2054">
                  <c:v>5.2064631956901149E-2</c:v>
                </c:pt>
                <c:pt idx="2055">
                  <c:v>5.2064631956901149E-2</c:v>
                </c:pt>
                <c:pt idx="2056">
                  <c:v>5.2064631956901149E-2</c:v>
                </c:pt>
                <c:pt idx="2057">
                  <c:v>5.2064631956901149E-2</c:v>
                </c:pt>
                <c:pt idx="2058">
                  <c:v>5.2064631956901149E-2</c:v>
                </c:pt>
                <c:pt idx="2059">
                  <c:v>5.2064631956901149E-2</c:v>
                </c:pt>
                <c:pt idx="2060">
                  <c:v>5.2064631956901149E-2</c:v>
                </c:pt>
                <c:pt idx="2061">
                  <c:v>5.2064631956901149E-2</c:v>
                </c:pt>
                <c:pt idx="2062">
                  <c:v>5.2064631956901149E-2</c:v>
                </c:pt>
                <c:pt idx="2063">
                  <c:v>5.2064631956901149E-2</c:v>
                </c:pt>
                <c:pt idx="2064">
                  <c:v>5.2064631956901149E-2</c:v>
                </c:pt>
                <c:pt idx="2065">
                  <c:v>5.2064631956901149E-2</c:v>
                </c:pt>
                <c:pt idx="2066">
                  <c:v>5.2064631956901149E-2</c:v>
                </c:pt>
                <c:pt idx="2067">
                  <c:v>5.2064631956901149E-2</c:v>
                </c:pt>
                <c:pt idx="2068">
                  <c:v>5.2064631956901149E-2</c:v>
                </c:pt>
                <c:pt idx="2069">
                  <c:v>5.2064631956901149E-2</c:v>
                </c:pt>
                <c:pt idx="2070">
                  <c:v>5.2064631956901149E-2</c:v>
                </c:pt>
                <c:pt idx="2071">
                  <c:v>5.2064631956901149E-2</c:v>
                </c:pt>
                <c:pt idx="2072">
                  <c:v>5.2064631956901149E-2</c:v>
                </c:pt>
                <c:pt idx="2073">
                  <c:v>5.2064631956901149E-2</c:v>
                </c:pt>
                <c:pt idx="2074">
                  <c:v>5.2064631956901149E-2</c:v>
                </c:pt>
                <c:pt idx="2075">
                  <c:v>5.2064631956901149E-2</c:v>
                </c:pt>
                <c:pt idx="2076">
                  <c:v>5.2064631956901149E-2</c:v>
                </c:pt>
                <c:pt idx="2077">
                  <c:v>5.2064631956901149E-2</c:v>
                </c:pt>
                <c:pt idx="2078">
                  <c:v>5.2064631956901149E-2</c:v>
                </c:pt>
                <c:pt idx="2079">
                  <c:v>5.2064631956901149E-2</c:v>
                </c:pt>
                <c:pt idx="2080">
                  <c:v>5.2064631956901149E-2</c:v>
                </c:pt>
                <c:pt idx="2081">
                  <c:v>5.2064631956901149E-2</c:v>
                </c:pt>
                <c:pt idx="2082">
                  <c:v>5.2064631956901149E-2</c:v>
                </c:pt>
                <c:pt idx="2083">
                  <c:v>5.2064631956901149E-2</c:v>
                </c:pt>
                <c:pt idx="2084">
                  <c:v>5.2064631956901149E-2</c:v>
                </c:pt>
                <c:pt idx="2085">
                  <c:v>5.2064631956901149E-2</c:v>
                </c:pt>
                <c:pt idx="2086">
                  <c:v>5.2064631956901149E-2</c:v>
                </c:pt>
                <c:pt idx="2087">
                  <c:v>5.2064631956901149E-2</c:v>
                </c:pt>
                <c:pt idx="2088">
                  <c:v>5.2064631956901149E-2</c:v>
                </c:pt>
                <c:pt idx="2089">
                  <c:v>5.2064631956901149E-2</c:v>
                </c:pt>
                <c:pt idx="2090">
                  <c:v>5.2064631956901149E-2</c:v>
                </c:pt>
                <c:pt idx="2091">
                  <c:v>8.3142487304634596E-2</c:v>
                </c:pt>
                <c:pt idx="2092">
                  <c:v>8.3142487304634596E-2</c:v>
                </c:pt>
                <c:pt idx="2093">
                  <c:v>8.3142487304634596E-2</c:v>
                </c:pt>
                <c:pt idx="2094">
                  <c:v>8.3142487304634596E-2</c:v>
                </c:pt>
                <c:pt idx="2095">
                  <c:v>8.3142487304634596E-2</c:v>
                </c:pt>
                <c:pt idx="2096">
                  <c:v>8.3142487304634596E-2</c:v>
                </c:pt>
                <c:pt idx="2097">
                  <c:v>8.3142487304634596E-2</c:v>
                </c:pt>
                <c:pt idx="2098">
                  <c:v>8.3142487304634596E-2</c:v>
                </c:pt>
                <c:pt idx="2099">
                  <c:v>8.3142487304634596E-2</c:v>
                </c:pt>
                <c:pt idx="2100">
                  <c:v>8.3142487304634596E-2</c:v>
                </c:pt>
                <c:pt idx="2101">
                  <c:v>8.3142487304634596E-2</c:v>
                </c:pt>
                <c:pt idx="2102">
                  <c:v>8.3142487304634596E-2</c:v>
                </c:pt>
                <c:pt idx="2103">
                  <c:v>8.3142487304634596E-2</c:v>
                </c:pt>
                <c:pt idx="2104">
                  <c:v>8.3142487304634596E-2</c:v>
                </c:pt>
                <c:pt idx="2105">
                  <c:v>8.3142487304634596E-2</c:v>
                </c:pt>
                <c:pt idx="2106">
                  <c:v>8.3142487304634596E-2</c:v>
                </c:pt>
                <c:pt idx="2107">
                  <c:v>8.3142487304634596E-2</c:v>
                </c:pt>
                <c:pt idx="2108">
                  <c:v>8.3142487304634596E-2</c:v>
                </c:pt>
                <c:pt idx="2109">
                  <c:v>8.3142487304634596E-2</c:v>
                </c:pt>
                <c:pt idx="2110">
                  <c:v>8.3142487304634596E-2</c:v>
                </c:pt>
                <c:pt idx="2111">
                  <c:v>8.3142487304634596E-2</c:v>
                </c:pt>
                <c:pt idx="2112">
                  <c:v>8.3142487304634596E-2</c:v>
                </c:pt>
                <c:pt idx="2113">
                  <c:v>8.3142487304634596E-2</c:v>
                </c:pt>
                <c:pt idx="2114">
                  <c:v>8.3142487304634596E-2</c:v>
                </c:pt>
                <c:pt idx="2115">
                  <c:v>8.3142487304634596E-2</c:v>
                </c:pt>
                <c:pt idx="2116">
                  <c:v>8.3142487304634596E-2</c:v>
                </c:pt>
                <c:pt idx="2117">
                  <c:v>8.3142487304634596E-2</c:v>
                </c:pt>
                <c:pt idx="2118">
                  <c:v>8.3142487304634596E-2</c:v>
                </c:pt>
                <c:pt idx="2119">
                  <c:v>8.3142487304634596E-2</c:v>
                </c:pt>
                <c:pt idx="2120">
                  <c:v>8.3142487304634596E-2</c:v>
                </c:pt>
                <c:pt idx="2121">
                  <c:v>8.3142487304634596E-2</c:v>
                </c:pt>
                <c:pt idx="2122">
                  <c:v>8.3142487304634596E-2</c:v>
                </c:pt>
                <c:pt idx="2123">
                  <c:v>8.3142487304634596E-2</c:v>
                </c:pt>
                <c:pt idx="2124">
                  <c:v>8.3142487304634596E-2</c:v>
                </c:pt>
                <c:pt idx="2125">
                  <c:v>8.3142487304634596E-2</c:v>
                </c:pt>
                <c:pt idx="2126">
                  <c:v>8.3142487304634596E-2</c:v>
                </c:pt>
                <c:pt idx="2127">
                  <c:v>8.3142487304634596E-2</c:v>
                </c:pt>
                <c:pt idx="2128">
                  <c:v>8.3142487304634596E-2</c:v>
                </c:pt>
                <c:pt idx="2129">
                  <c:v>8.3142487304634596E-2</c:v>
                </c:pt>
                <c:pt idx="2130">
                  <c:v>8.3142487304634596E-2</c:v>
                </c:pt>
                <c:pt idx="2131">
                  <c:v>8.3142487304634596E-2</c:v>
                </c:pt>
                <c:pt idx="2132">
                  <c:v>8.3142487304634596E-2</c:v>
                </c:pt>
                <c:pt idx="2133">
                  <c:v>8.3142487304634596E-2</c:v>
                </c:pt>
                <c:pt idx="2134">
                  <c:v>8.3142487304634596E-2</c:v>
                </c:pt>
                <c:pt idx="2135">
                  <c:v>8.3142487304634596E-2</c:v>
                </c:pt>
                <c:pt idx="2136">
                  <c:v>8.3142487304634596E-2</c:v>
                </c:pt>
                <c:pt idx="2137">
                  <c:v>8.3142487304634596E-2</c:v>
                </c:pt>
                <c:pt idx="2138">
                  <c:v>8.3142487304634596E-2</c:v>
                </c:pt>
                <c:pt idx="2139">
                  <c:v>8.3142487304634596E-2</c:v>
                </c:pt>
                <c:pt idx="2140">
                  <c:v>8.3142487304634596E-2</c:v>
                </c:pt>
                <c:pt idx="2141">
                  <c:v>8.3142487304634596E-2</c:v>
                </c:pt>
                <c:pt idx="2142">
                  <c:v>8.3142487304634596E-2</c:v>
                </c:pt>
                <c:pt idx="2143">
                  <c:v>8.3142487304634596E-2</c:v>
                </c:pt>
                <c:pt idx="2144">
                  <c:v>8.3142487304634596E-2</c:v>
                </c:pt>
                <c:pt idx="2145">
                  <c:v>8.3142487304634596E-2</c:v>
                </c:pt>
                <c:pt idx="2146">
                  <c:v>8.3142487304634596E-2</c:v>
                </c:pt>
                <c:pt idx="2147">
                  <c:v>8.3142487304634596E-2</c:v>
                </c:pt>
                <c:pt idx="2148">
                  <c:v>8.3142487304634596E-2</c:v>
                </c:pt>
                <c:pt idx="2149">
                  <c:v>8.3142487304634596E-2</c:v>
                </c:pt>
                <c:pt idx="2150">
                  <c:v>8.3142487304634596E-2</c:v>
                </c:pt>
                <c:pt idx="2151">
                  <c:v>8.3142487304634596E-2</c:v>
                </c:pt>
                <c:pt idx="2152">
                  <c:v>8.3142487304634596E-2</c:v>
                </c:pt>
                <c:pt idx="2153">
                  <c:v>8.3142487304634596E-2</c:v>
                </c:pt>
                <c:pt idx="2154">
                  <c:v>8.3142487304634596E-2</c:v>
                </c:pt>
                <c:pt idx="2155">
                  <c:v>8.3142487304634596E-2</c:v>
                </c:pt>
                <c:pt idx="2156">
                  <c:v>8.3142487304634596E-2</c:v>
                </c:pt>
                <c:pt idx="2157">
                  <c:v>8.3142487304634596E-2</c:v>
                </c:pt>
                <c:pt idx="2158">
                  <c:v>8.3142487304634596E-2</c:v>
                </c:pt>
                <c:pt idx="2159">
                  <c:v>8.3142487304634596E-2</c:v>
                </c:pt>
                <c:pt idx="2160">
                  <c:v>8.3142487304634596E-2</c:v>
                </c:pt>
                <c:pt idx="2161">
                  <c:v>0.10614035087720526</c:v>
                </c:pt>
                <c:pt idx="2162">
                  <c:v>0.10614035087720526</c:v>
                </c:pt>
                <c:pt idx="2163">
                  <c:v>0.10614035087720526</c:v>
                </c:pt>
                <c:pt idx="2164">
                  <c:v>0.10614035087720526</c:v>
                </c:pt>
                <c:pt idx="2165">
                  <c:v>0.10614035087720526</c:v>
                </c:pt>
                <c:pt idx="2166">
                  <c:v>0.10614035087720526</c:v>
                </c:pt>
                <c:pt idx="2167">
                  <c:v>0.10614035087720526</c:v>
                </c:pt>
                <c:pt idx="2168">
                  <c:v>0.10614035087720526</c:v>
                </c:pt>
                <c:pt idx="2169">
                  <c:v>0.10614035087720526</c:v>
                </c:pt>
                <c:pt idx="2170">
                  <c:v>0.10614035087720526</c:v>
                </c:pt>
                <c:pt idx="2171">
                  <c:v>0.10614035087720526</c:v>
                </c:pt>
                <c:pt idx="2172">
                  <c:v>0.10614035087720526</c:v>
                </c:pt>
                <c:pt idx="2173">
                  <c:v>0.10614035087720526</c:v>
                </c:pt>
                <c:pt idx="2174">
                  <c:v>0.10614035087720526</c:v>
                </c:pt>
                <c:pt idx="2175">
                  <c:v>0.10614035087720526</c:v>
                </c:pt>
                <c:pt idx="2176">
                  <c:v>0.10614035087720526</c:v>
                </c:pt>
                <c:pt idx="2177">
                  <c:v>0.10614035087720526</c:v>
                </c:pt>
                <c:pt idx="2178">
                  <c:v>0.10614035087720526</c:v>
                </c:pt>
                <c:pt idx="2179">
                  <c:v>0.10614035087720526</c:v>
                </c:pt>
                <c:pt idx="2180">
                  <c:v>0.10614035087720526</c:v>
                </c:pt>
                <c:pt idx="2181">
                  <c:v>0.10614035087720526</c:v>
                </c:pt>
                <c:pt idx="2182">
                  <c:v>0.10614035087720526</c:v>
                </c:pt>
                <c:pt idx="2183">
                  <c:v>0.10614035087720526</c:v>
                </c:pt>
                <c:pt idx="2184">
                  <c:v>0.10614035087720526</c:v>
                </c:pt>
                <c:pt idx="2185">
                  <c:v>0.10614035087720526</c:v>
                </c:pt>
                <c:pt idx="2186">
                  <c:v>0.10614035087720526</c:v>
                </c:pt>
                <c:pt idx="2187">
                  <c:v>0.10614035087720526</c:v>
                </c:pt>
                <c:pt idx="2188">
                  <c:v>0.10614035087720526</c:v>
                </c:pt>
                <c:pt idx="2189">
                  <c:v>0.10614035087720526</c:v>
                </c:pt>
                <c:pt idx="2190">
                  <c:v>0.10614035087720526</c:v>
                </c:pt>
                <c:pt idx="2191">
                  <c:v>0.10614035087720526</c:v>
                </c:pt>
                <c:pt idx="2192">
                  <c:v>0.10614035087720526</c:v>
                </c:pt>
                <c:pt idx="2193">
                  <c:v>0.10614035087720526</c:v>
                </c:pt>
                <c:pt idx="2194">
                  <c:v>0.10614035087720526</c:v>
                </c:pt>
                <c:pt idx="2195">
                  <c:v>0.10614035087720526</c:v>
                </c:pt>
                <c:pt idx="2196">
                  <c:v>0.10614035087720526</c:v>
                </c:pt>
                <c:pt idx="2197">
                  <c:v>0.10614035087720526</c:v>
                </c:pt>
                <c:pt idx="2198">
                  <c:v>0.10614035087720526</c:v>
                </c:pt>
                <c:pt idx="2199">
                  <c:v>0.10614035087720526</c:v>
                </c:pt>
                <c:pt idx="2200">
                  <c:v>0.10614035087720526</c:v>
                </c:pt>
                <c:pt idx="2201">
                  <c:v>0.10614035087720526</c:v>
                </c:pt>
                <c:pt idx="2202">
                  <c:v>0.10614035087720526</c:v>
                </c:pt>
                <c:pt idx="2203">
                  <c:v>0.10614035087720526</c:v>
                </c:pt>
                <c:pt idx="2204">
                  <c:v>0.10614035087720526</c:v>
                </c:pt>
                <c:pt idx="2205">
                  <c:v>0.10614035087720526</c:v>
                </c:pt>
                <c:pt idx="2206">
                  <c:v>0.10614035087720526</c:v>
                </c:pt>
                <c:pt idx="2207">
                  <c:v>0.10614035087720526</c:v>
                </c:pt>
                <c:pt idx="2208">
                  <c:v>0.10614035087720526</c:v>
                </c:pt>
                <c:pt idx="2209">
                  <c:v>0.10614035087720526</c:v>
                </c:pt>
                <c:pt idx="2210">
                  <c:v>0.10614035087720526</c:v>
                </c:pt>
                <c:pt idx="2211">
                  <c:v>0.10614035087720526</c:v>
                </c:pt>
                <c:pt idx="2212">
                  <c:v>0.10614035087720526</c:v>
                </c:pt>
                <c:pt idx="2213">
                  <c:v>0.10614035087720526</c:v>
                </c:pt>
                <c:pt idx="2214">
                  <c:v>0.10614035087720526</c:v>
                </c:pt>
                <c:pt idx="2215">
                  <c:v>0.10614035087720526</c:v>
                </c:pt>
                <c:pt idx="2216">
                  <c:v>0.10614035087720526</c:v>
                </c:pt>
                <c:pt idx="2217">
                  <c:v>0.10614035087720526</c:v>
                </c:pt>
                <c:pt idx="2218">
                  <c:v>0.10614035087720526</c:v>
                </c:pt>
                <c:pt idx="2219">
                  <c:v>0.10614035087720526</c:v>
                </c:pt>
                <c:pt idx="2220">
                  <c:v>0.10614035087720526</c:v>
                </c:pt>
                <c:pt idx="2221">
                  <c:v>0.10614035087720526</c:v>
                </c:pt>
                <c:pt idx="2222">
                  <c:v>0.10614035087720526</c:v>
                </c:pt>
                <c:pt idx="2223">
                  <c:v>0.10614035087720526</c:v>
                </c:pt>
                <c:pt idx="2224">
                  <c:v>0.10614035087720526</c:v>
                </c:pt>
                <c:pt idx="2225">
                  <c:v>0.10614035087720526</c:v>
                </c:pt>
                <c:pt idx="2226">
                  <c:v>0.10614035087720526</c:v>
                </c:pt>
                <c:pt idx="2227">
                  <c:v>0.10614035087720526</c:v>
                </c:pt>
                <c:pt idx="2228">
                  <c:v>0.10614035087720526</c:v>
                </c:pt>
                <c:pt idx="2229">
                  <c:v>0.10614035087720526</c:v>
                </c:pt>
                <c:pt idx="2230">
                  <c:v>0.10614035087720526</c:v>
                </c:pt>
                <c:pt idx="2231">
                  <c:v>0.10614035087720526</c:v>
                </c:pt>
                <c:pt idx="2232">
                  <c:v>0.10614035087720526</c:v>
                </c:pt>
                <c:pt idx="2233">
                  <c:v>0.10614035087720526</c:v>
                </c:pt>
                <c:pt idx="2234">
                  <c:v>0.10614035087720526</c:v>
                </c:pt>
                <c:pt idx="2235">
                  <c:v>0.10614035087720526</c:v>
                </c:pt>
                <c:pt idx="2236">
                  <c:v>0.10614035087720526</c:v>
                </c:pt>
                <c:pt idx="2237">
                  <c:v>0.10614035087720526</c:v>
                </c:pt>
                <c:pt idx="2238">
                  <c:v>0.10614035087720526</c:v>
                </c:pt>
                <c:pt idx="2239">
                  <c:v>0.10614035087720526</c:v>
                </c:pt>
                <c:pt idx="2240">
                  <c:v>0.10614035087720526</c:v>
                </c:pt>
                <c:pt idx="2241">
                  <c:v>0.10614035087720526</c:v>
                </c:pt>
                <c:pt idx="2242">
                  <c:v>0.10614035087720526</c:v>
                </c:pt>
                <c:pt idx="2243">
                  <c:v>0.10614035087720526</c:v>
                </c:pt>
                <c:pt idx="2244">
                  <c:v>0.10614035087720526</c:v>
                </c:pt>
                <c:pt idx="2245">
                  <c:v>0.10614035087720526</c:v>
                </c:pt>
                <c:pt idx="2246">
                  <c:v>0.10614035087720526</c:v>
                </c:pt>
                <c:pt idx="2247">
                  <c:v>0.10614035087720526</c:v>
                </c:pt>
                <c:pt idx="2248">
                  <c:v>0.10614035087720526</c:v>
                </c:pt>
                <c:pt idx="2249">
                  <c:v>0.10614035087720526</c:v>
                </c:pt>
                <c:pt idx="2250">
                  <c:v>0.10614035087720526</c:v>
                </c:pt>
                <c:pt idx="2251">
                  <c:v>0.10614035087720526</c:v>
                </c:pt>
                <c:pt idx="2252">
                  <c:v>0.10614035087720526</c:v>
                </c:pt>
                <c:pt idx="2253">
                  <c:v>0.10614035087720526</c:v>
                </c:pt>
                <c:pt idx="2254">
                  <c:v>0.10614035087720526</c:v>
                </c:pt>
                <c:pt idx="2255">
                  <c:v>0.10614035087720526</c:v>
                </c:pt>
                <c:pt idx="2256">
                  <c:v>0.10614035087720526</c:v>
                </c:pt>
                <c:pt idx="2257">
                  <c:v>0.10614035087720526</c:v>
                </c:pt>
                <c:pt idx="2258">
                  <c:v>0.10614035087720526</c:v>
                </c:pt>
                <c:pt idx="2259">
                  <c:v>0.10614035087720526</c:v>
                </c:pt>
                <c:pt idx="2260">
                  <c:v>0.10614035087720526</c:v>
                </c:pt>
                <c:pt idx="2261">
                  <c:v>0.10614035087720526</c:v>
                </c:pt>
                <c:pt idx="2262">
                  <c:v>0.10614035087720526</c:v>
                </c:pt>
                <c:pt idx="2263">
                  <c:v>0.10614035087720526</c:v>
                </c:pt>
                <c:pt idx="2264">
                  <c:v>0.10614035087720526</c:v>
                </c:pt>
                <c:pt idx="2265">
                  <c:v>0.10614035087720526</c:v>
                </c:pt>
                <c:pt idx="2266">
                  <c:v>0.10614035087720526</c:v>
                </c:pt>
                <c:pt idx="2267">
                  <c:v>0.10614035087720526</c:v>
                </c:pt>
                <c:pt idx="2268">
                  <c:v>0.10614035087720526</c:v>
                </c:pt>
                <c:pt idx="2269">
                  <c:v>0.10614035087720526</c:v>
                </c:pt>
                <c:pt idx="2270">
                  <c:v>0.10614035087720526</c:v>
                </c:pt>
                <c:pt idx="2271">
                  <c:v>0.10614035087720526</c:v>
                </c:pt>
                <c:pt idx="2272">
                  <c:v>0.10614035087720526</c:v>
                </c:pt>
                <c:pt idx="2273">
                  <c:v>0.10614035087720526</c:v>
                </c:pt>
                <c:pt idx="2274">
                  <c:v>0.10614035087720526</c:v>
                </c:pt>
                <c:pt idx="2275">
                  <c:v>0.10614035087720526</c:v>
                </c:pt>
                <c:pt idx="2276">
                  <c:v>0.10614035087720526</c:v>
                </c:pt>
                <c:pt idx="2277">
                  <c:v>0.10614035087720526</c:v>
                </c:pt>
                <c:pt idx="2278">
                  <c:v>0.10614035087720526</c:v>
                </c:pt>
                <c:pt idx="2279">
                  <c:v>0.10614035087720526</c:v>
                </c:pt>
                <c:pt idx="2280">
                  <c:v>0.10614035087720526</c:v>
                </c:pt>
                <c:pt idx="2281">
                  <c:v>0.10614035087720526</c:v>
                </c:pt>
                <c:pt idx="2282">
                  <c:v>0.10614035087720526</c:v>
                </c:pt>
                <c:pt idx="2283">
                  <c:v>0.10614035087720526</c:v>
                </c:pt>
                <c:pt idx="2284">
                  <c:v>0.10614035087720526</c:v>
                </c:pt>
                <c:pt idx="2285">
                  <c:v>0.10614035087720526</c:v>
                </c:pt>
                <c:pt idx="2286">
                  <c:v>0.10614035087720526</c:v>
                </c:pt>
                <c:pt idx="2287">
                  <c:v>0.10614035087720526</c:v>
                </c:pt>
                <c:pt idx="2288">
                  <c:v>0.10614035087720526</c:v>
                </c:pt>
                <c:pt idx="2289">
                  <c:v>0.10614035087720526</c:v>
                </c:pt>
                <c:pt idx="2290">
                  <c:v>0.10614035087720526</c:v>
                </c:pt>
                <c:pt idx="2291">
                  <c:v>0.10614035087720526</c:v>
                </c:pt>
                <c:pt idx="2292">
                  <c:v>0.10614035087720526</c:v>
                </c:pt>
                <c:pt idx="2293">
                  <c:v>0.10614035087720526</c:v>
                </c:pt>
                <c:pt idx="2294">
                  <c:v>0.10614035087720526</c:v>
                </c:pt>
                <c:pt idx="2295">
                  <c:v>0.10614035087720526</c:v>
                </c:pt>
                <c:pt idx="2296">
                  <c:v>0.10614035087720526</c:v>
                </c:pt>
                <c:pt idx="2297">
                  <c:v>0.10614035087720526</c:v>
                </c:pt>
                <c:pt idx="2298">
                  <c:v>0.10614035087720526</c:v>
                </c:pt>
                <c:pt idx="2299">
                  <c:v>0.10614035087720526</c:v>
                </c:pt>
                <c:pt idx="2300">
                  <c:v>0.10614035087720526</c:v>
                </c:pt>
                <c:pt idx="2301">
                  <c:v>0.10614035087720526</c:v>
                </c:pt>
                <c:pt idx="2302">
                  <c:v>0.10614035087720526</c:v>
                </c:pt>
                <c:pt idx="2303">
                  <c:v>0.10614035087720526</c:v>
                </c:pt>
                <c:pt idx="2304">
                  <c:v>0.10614035087720526</c:v>
                </c:pt>
                <c:pt idx="2305">
                  <c:v>0.10614035087720526</c:v>
                </c:pt>
                <c:pt idx="2306">
                  <c:v>0.10614035087720526</c:v>
                </c:pt>
                <c:pt idx="2307">
                  <c:v>0.10614035087720526</c:v>
                </c:pt>
                <c:pt idx="2308">
                  <c:v>0.10614035087720526</c:v>
                </c:pt>
                <c:pt idx="2309">
                  <c:v>0.10614035087720526</c:v>
                </c:pt>
                <c:pt idx="2310">
                  <c:v>0.10614035087720526</c:v>
                </c:pt>
                <c:pt idx="2311">
                  <c:v>0.10614035087720526</c:v>
                </c:pt>
                <c:pt idx="2312">
                  <c:v>0.10614035087720526</c:v>
                </c:pt>
                <c:pt idx="2313">
                  <c:v>0.10614035087720526</c:v>
                </c:pt>
                <c:pt idx="2314">
                  <c:v>0.10614035087720526</c:v>
                </c:pt>
                <c:pt idx="2315">
                  <c:v>0.10614035087720526</c:v>
                </c:pt>
                <c:pt idx="2316">
                  <c:v>0.10614035087720526</c:v>
                </c:pt>
                <c:pt idx="2317">
                  <c:v>0.10614035087720526</c:v>
                </c:pt>
                <c:pt idx="2318">
                  <c:v>0.10614035087720526</c:v>
                </c:pt>
                <c:pt idx="2319">
                  <c:v>0.10614035087720526</c:v>
                </c:pt>
                <c:pt idx="2320">
                  <c:v>0.10614035087720526</c:v>
                </c:pt>
                <c:pt idx="2321">
                  <c:v>0.10614035087720526</c:v>
                </c:pt>
                <c:pt idx="2322">
                  <c:v>0.10614035087720526</c:v>
                </c:pt>
                <c:pt idx="2323">
                  <c:v>0.10614035087720526</c:v>
                </c:pt>
                <c:pt idx="2324">
                  <c:v>0.10614035087720526</c:v>
                </c:pt>
                <c:pt idx="2325">
                  <c:v>0.10614035087720526</c:v>
                </c:pt>
                <c:pt idx="2326">
                  <c:v>0.10614035087720526</c:v>
                </c:pt>
                <c:pt idx="2327">
                  <c:v>0.10614035087720526</c:v>
                </c:pt>
                <c:pt idx="2328">
                  <c:v>0.10614035087720526</c:v>
                </c:pt>
                <c:pt idx="2329">
                  <c:v>0.10614035087720526</c:v>
                </c:pt>
                <c:pt idx="2330">
                  <c:v>0.10614035087720526</c:v>
                </c:pt>
                <c:pt idx="2331">
                  <c:v>0.10614035087720526</c:v>
                </c:pt>
                <c:pt idx="2332">
                  <c:v>0.10614035087720526</c:v>
                </c:pt>
                <c:pt idx="2333">
                  <c:v>0.10614035087720526</c:v>
                </c:pt>
                <c:pt idx="2334">
                  <c:v>0.10614035087720526</c:v>
                </c:pt>
                <c:pt idx="2335">
                  <c:v>0.10614035087720526</c:v>
                </c:pt>
                <c:pt idx="2336">
                  <c:v>0.10614035087720526</c:v>
                </c:pt>
                <c:pt idx="2337">
                  <c:v>0.10614035087720526</c:v>
                </c:pt>
                <c:pt idx="2338">
                  <c:v>0.10614035087720526</c:v>
                </c:pt>
                <c:pt idx="2339">
                  <c:v>0.10614035087720526</c:v>
                </c:pt>
                <c:pt idx="2340">
                  <c:v>0.10614035087720526</c:v>
                </c:pt>
                <c:pt idx="2341">
                  <c:v>0.10614035087720526</c:v>
                </c:pt>
                <c:pt idx="2342">
                  <c:v>0.10614035087720526</c:v>
                </c:pt>
                <c:pt idx="2343">
                  <c:v>0.10614035087720526</c:v>
                </c:pt>
                <c:pt idx="2344">
                  <c:v>0.10614035087720526</c:v>
                </c:pt>
                <c:pt idx="2345">
                  <c:v>0.10614035087720526</c:v>
                </c:pt>
                <c:pt idx="2346">
                  <c:v>0.10614035087720526</c:v>
                </c:pt>
                <c:pt idx="2347">
                  <c:v>0.10614035087720526</c:v>
                </c:pt>
                <c:pt idx="2348">
                  <c:v>0.10614035087720526</c:v>
                </c:pt>
                <c:pt idx="2349">
                  <c:v>0.10614035087720526</c:v>
                </c:pt>
                <c:pt idx="2350">
                  <c:v>0.10614035087720526</c:v>
                </c:pt>
                <c:pt idx="2351">
                  <c:v>0.10614035087720526</c:v>
                </c:pt>
                <c:pt idx="2352">
                  <c:v>0.10614035087720526</c:v>
                </c:pt>
                <c:pt idx="2353">
                  <c:v>0.10614035087720526</c:v>
                </c:pt>
                <c:pt idx="2354">
                  <c:v>0.10614035087720526</c:v>
                </c:pt>
                <c:pt idx="2355">
                  <c:v>0.10614035087720526</c:v>
                </c:pt>
                <c:pt idx="2356">
                  <c:v>0.10614035087720526</c:v>
                </c:pt>
                <c:pt idx="2357">
                  <c:v>0.10614035087720526</c:v>
                </c:pt>
                <c:pt idx="2358">
                  <c:v>0.10614035087720526</c:v>
                </c:pt>
                <c:pt idx="2359">
                  <c:v>0.10614035087720526</c:v>
                </c:pt>
                <c:pt idx="2360">
                  <c:v>0.10614035087720526</c:v>
                </c:pt>
                <c:pt idx="2361">
                  <c:v>0.10614035087720526</c:v>
                </c:pt>
                <c:pt idx="2362">
                  <c:v>0.10614035087720526</c:v>
                </c:pt>
                <c:pt idx="2363">
                  <c:v>0.10614035087720526</c:v>
                </c:pt>
                <c:pt idx="2364">
                  <c:v>0.10614035087720526</c:v>
                </c:pt>
                <c:pt idx="2365">
                  <c:v>0.10614035087720526</c:v>
                </c:pt>
                <c:pt idx="2366">
                  <c:v>0.10614035087720526</c:v>
                </c:pt>
                <c:pt idx="2367">
                  <c:v>0.10614035087720526</c:v>
                </c:pt>
                <c:pt idx="2368">
                  <c:v>0.10614035087720526</c:v>
                </c:pt>
                <c:pt idx="2369">
                  <c:v>0.10614035087720526</c:v>
                </c:pt>
                <c:pt idx="2370">
                  <c:v>0.10614035087720526</c:v>
                </c:pt>
                <c:pt idx="2371">
                  <c:v>9.2355104881156017E-2</c:v>
                </c:pt>
                <c:pt idx="2372">
                  <c:v>9.2355104881156017E-2</c:v>
                </c:pt>
                <c:pt idx="2373">
                  <c:v>9.2355104881156017E-2</c:v>
                </c:pt>
                <c:pt idx="2374">
                  <c:v>9.2355104881156017E-2</c:v>
                </c:pt>
                <c:pt idx="2375">
                  <c:v>9.2355104881156017E-2</c:v>
                </c:pt>
                <c:pt idx="2376">
                  <c:v>9.2355104881156017E-2</c:v>
                </c:pt>
                <c:pt idx="2377">
                  <c:v>9.2355104881156017E-2</c:v>
                </c:pt>
                <c:pt idx="2378">
                  <c:v>9.2355104881156017E-2</c:v>
                </c:pt>
                <c:pt idx="2379">
                  <c:v>9.2355104881156017E-2</c:v>
                </c:pt>
                <c:pt idx="2380">
                  <c:v>9.2355104881156017E-2</c:v>
                </c:pt>
                <c:pt idx="2381">
                  <c:v>9.2355104881156017E-2</c:v>
                </c:pt>
                <c:pt idx="2382">
                  <c:v>9.2355104881156017E-2</c:v>
                </c:pt>
                <c:pt idx="2383">
                  <c:v>9.2355104881156017E-2</c:v>
                </c:pt>
                <c:pt idx="2384">
                  <c:v>9.2355104881156017E-2</c:v>
                </c:pt>
                <c:pt idx="2385">
                  <c:v>9.2355104881156017E-2</c:v>
                </c:pt>
                <c:pt idx="2386">
                  <c:v>9.2355104881156017E-2</c:v>
                </c:pt>
                <c:pt idx="2387">
                  <c:v>9.2355104881156017E-2</c:v>
                </c:pt>
                <c:pt idx="2388">
                  <c:v>9.2355104881156017E-2</c:v>
                </c:pt>
                <c:pt idx="2389">
                  <c:v>9.2355104881156017E-2</c:v>
                </c:pt>
                <c:pt idx="2390">
                  <c:v>9.2355104881156017E-2</c:v>
                </c:pt>
                <c:pt idx="2391">
                  <c:v>9.2355104881156017E-2</c:v>
                </c:pt>
                <c:pt idx="2392">
                  <c:v>9.2355104881156017E-2</c:v>
                </c:pt>
                <c:pt idx="2393">
                  <c:v>9.2355104881156017E-2</c:v>
                </c:pt>
                <c:pt idx="2394">
                  <c:v>9.2355104881156017E-2</c:v>
                </c:pt>
                <c:pt idx="2395">
                  <c:v>9.2355104881156017E-2</c:v>
                </c:pt>
                <c:pt idx="2396">
                  <c:v>9.2355104881156017E-2</c:v>
                </c:pt>
                <c:pt idx="2397">
                  <c:v>9.2355104881156017E-2</c:v>
                </c:pt>
                <c:pt idx="2398">
                  <c:v>9.2355104881156017E-2</c:v>
                </c:pt>
                <c:pt idx="2399">
                  <c:v>9.2355104881156017E-2</c:v>
                </c:pt>
                <c:pt idx="2400">
                  <c:v>9.2355104881156017E-2</c:v>
                </c:pt>
                <c:pt idx="2401">
                  <c:v>9.2355104881156017E-2</c:v>
                </c:pt>
                <c:pt idx="2402">
                  <c:v>9.2355104881156017E-2</c:v>
                </c:pt>
                <c:pt idx="2403">
                  <c:v>9.2355104881156017E-2</c:v>
                </c:pt>
                <c:pt idx="2404">
                  <c:v>9.2355104881156017E-2</c:v>
                </c:pt>
                <c:pt idx="2405">
                  <c:v>9.2355104881156017E-2</c:v>
                </c:pt>
                <c:pt idx="2406">
                  <c:v>9.2355104881156017E-2</c:v>
                </c:pt>
                <c:pt idx="2407">
                  <c:v>9.2355104881156017E-2</c:v>
                </c:pt>
                <c:pt idx="2408">
                  <c:v>9.2355104881156017E-2</c:v>
                </c:pt>
                <c:pt idx="2409">
                  <c:v>9.2355104881156017E-2</c:v>
                </c:pt>
                <c:pt idx="2410">
                  <c:v>9.2355104881156017E-2</c:v>
                </c:pt>
                <c:pt idx="2411">
                  <c:v>9.2355104881156017E-2</c:v>
                </c:pt>
                <c:pt idx="2412">
                  <c:v>9.2355104881156017E-2</c:v>
                </c:pt>
                <c:pt idx="2413">
                  <c:v>9.2355104881156017E-2</c:v>
                </c:pt>
                <c:pt idx="2414">
                  <c:v>9.2355104881156017E-2</c:v>
                </c:pt>
                <c:pt idx="2415">
                  <c:v>9.2355104881156017E-2</c:v>
                </c:pt>
                <c:pt idx="2416">
                  <c:v>9.2355104881156017E-2</c:v>
                </c:pt>
                <c:pt idx="2417">
                  <c:v>9.2355104881156017E-2</c:v>
                </c:pt>
                <c:pt idx="2418">
                  <c:v>9.2355104881156017E-2</c:v>
                </c:pt>
                <c:pt idx="2419">
                  <c:v>9.2355104881156017E-2</c:v>
                </c:pt>
                <c:pt idx="2420">
                  <c:v>9.2355104881156017E-2</c:v>
                </c:pt>
                <c:pt idx="2421">
                  <c:v>9.2355104881156017E-2</c:v>
                </c:pt>
                <c:pt idx="2422">
                  <c:v>9.2355104881156017E-2</c:v>
                </c:pt>
                <c:pt idx="2423">
                  <c:v>9.2355104881156017E-2</c:v>
                </c:pt>
                <c:pt idx="2424">
                  <c:v>9.2355104881156017E-2</c:v>
                </c:pt>
                <c:pt idx="2425">
                  <c:v>9.2355104881156017E-2</c:v>
                </c:pt>
                <c:pt idx="2426">
                  <c:v>9.2355104881156017E-2</c:v>
                </c:pt>
                <c:pt idx="2427">
                  <c:v>9.2355104881156017E-2</c:v>
                </c:pt>
                <c:pt idx="2428">
                  <c:v>9.2355104881156017E-2</c:v>
                </c:pt>
                <c:pt idx="2429">
                  <c:v>9.2355104881156017E-2</c:v>
                </c:pt>
                <c:pt idx="2430">
                  <c:v>9.2355104881156017E-2</c:v>
                </c:pt>
                <c:pt idx="2431">
                  <c:v>9.2355104881156017E-2</c:v>
                </c:pt>
                <c:pt idx="2432">
                  <c:v>9.2355104881156017E-2</c:v>
                </c:pt>
                <c:pt idx="2433">
                  <c:v>9.2355104881156017E-2</c:v>
                </c:pt>
                <c:pt idx="2434">
                  <c:v>9.2355104881156017E-2</c:v>
                </c:pt>
                <c:pt idx="2435">
                  <c:v>9.2355104881156017E-2</c:v>
                </c:pt>
                <c:pt idx="2436">
                  <c:v>9.2355104881156017E-2</c:v>
                </c:pt>
                <c:pt idx="2437">
                  <c:v>9.2355104881156017E-2</c:v>
                </c:pt>
                <c:pt idx="2438">
                  <c:v>9.2355104881156017E-2</c:v>
                </c:pt>
                <c:pt idx="2439">
                  <c:v>9.2355104881156017E-2</c:v>
                </c:pt>
                <c:pt idx="2440">
                  <c:v>9.6348174087088401E-2</c:v>
                </c:pt>
                <c:pt idx="2441">
                  <c:v>9.6348174087088401E-2</c:v>
                </c:pt>
                <c:pt idx="2442">
                  <c:v>9.6348174087088401E-2</c:v>
                </c:pt>
                <c:pt idx="2443">
                  <c:v>9.6348174087088401E-2</c:v>
                </c:pt>
                <c:pt idx="2444">
                  <c:v>9.6348174087088401E-2</c:v>
                </c:pt>
                <c:pt idx="2445">
                  <c:v>9.6348174087088401E-2</c:v>
                </c:pt>
                <c:pt idx="2446">
                  <c:v>9.6348174087088401E-2</c:v>
                </c:pt>
                <c:pt idx="2447">
                  <c:v>9.6348174087088401E-2</c:v>
                </c:pt>
                <c:pt idx="2448">
                  <c:v>9.6348174087088401E-2</c:v>
                </c:pt>
                <c:pt idx="2449">
                  <c:v>9.6348174087088401E-2</c:v>
                </c:pt>
                <c:pt idx="2450">
                  <c:v>9.6348174087088401E-2</c:v>
                </c:pt>
                <c:pt idx="2451">
                  <c:v>9.6348174087088401E-2</c:v>
                </c:pt>
                <c:pt idx="2452">
                  <c:v>9.6348174087088401E-2</c:v>
                </c:pt>
                <c:pt idx="2453">
                  <c:v>9.6348174087088401E-2</c:v>
                </c:pt>
                <c:pt idx="2454">
                  <c:v>9.6348174087088401E-2</c:v>
                </c:pt>
                <c:pt idx="2455">
                  <c:v>9.6348174087088401E-2</c:v>
                </c:pt>
                <c:pt idx="2456">
                  <c:v>9.6348174087088401E-2</c:v>
                </c:pt>
                <c:pt idx="2457">
                  <c:v>9.6348174087088401E-2</c:v>
                </c:pt>
                <c:pt idx="2458">
                  <c:v>9.6348174087088401E-2</c:v>
                </c:pt>
                <c:pt idx="2459">
                  <c:v>9.6348174087088401E-2</c:v>
                </c:pt>
                <c:pt idx="2460">
                  <c:v>9.6348174087088401E-2</c:v>
                </c:pt>
                <c:pt idx="2461">
                  <c:v>9.6348174087088401E-2</c:v>
                </c:pt>
                <c:pt idx="2462">
                  <c:v>9.6348174087088401E-2</c:v>
                </c:pt>
                <c:pt idx="2463">
                  <c:v>9.6348174087088401E-2</c:v>
                </c:pt>
                <c:pt idx="2464">
                  <c:v>9.6348174087088401E-2</c:v>
                </c:pt>
                <c:pt idx="2465">
                  <c:v>9.6348174087088401E-2</c:v>
                </c:pt>
                <c:pt idx="2466">
                  <c:v>9.6348174087088401E-2</c:v>
                </c:pt>
                <c:pt idx="2467">
                  <c:v>9.6348174087088401E-2</c:v>
                </c:pt>
                <c:pt idx="2468">
                  <c:v>9.6348174087088401E-2</c:v>
                </c:pt>
                <c:pt idx="2469">
                  <c:v>9.6348174087088401E-2</c:v>
                </c:pt>
                <c:pt idx="2470">
                  <c:v>9.6348174087088401E-2</c:v>
                </c:pt>
                <c:pt idx="2471">
                  <c:v>9.6348174087088401E-2</c:v>
                </c:pt>
                <c:pt idx="2472">
                  <c:v>9.6348174087088401E-2</c:v>
                </c:pt>
                <c:pt idx="2473">
                  <c:v>9.6348174087088401E-2</c:v>
                </c:pt>
                <c:pt idx="2474">
                  <c:v>9.6348174087088401E-2</c:v>
                </c:pt>
                <c:pt idx="2475">
                  <c:v>9.6348174087088401E-2</c:v>
                </c:pt>
                <c:pt idx="2476">
                  <c:v>9.6348174087088401E-2</c:v>
                </c:pt>
                <c:pt idx="2477">
                  <c:v>9.6348174087088401E-2</c:v>
                </c:pt>
                <c:pt idx="2478">
                  <c:v>9.6348174087088401E-2</c:v>
                </c:pt>
                <c:pt idx="2479">
                  <c:v>9.6348174087088401E-2</c:v>
                </c:pt>
                <c:pt idx="2480">
                  <c:v>9.6348174087088401E-2</c:v>
                </c:pt>
                <c:pt idx="2481">
                  <c:v>9.6348174087088401E-2</c:v>
                </c:pt>
                <c:pt idx="2482">
                  <c:v>9.6348174087088401E-2</c:v>
                </c:pt>
                <c:pt idx="2483">
                  <c:v>9.6348174087088401E-2</c:v>
                </c:pt>
                <c:pt idx="2484">
                  <c:v>9.6348174087088401E-2</c:v>
                </c:pt>
                <c:pt idx="2485">
                  <c:v>9.6348174087088401E-2</c:v>
                </c:pt>
                <c:pt idx="2486">
                  <c:v>9.6348174087088401E-2</c:v>
                </c:pt>
                <c:pt idx="2487">
                  <c:v>9.6348174087088401E-2</c:v>
                </c:pt>
                <c:pt idx="2488">
                  <c:v>9.6348174087088401E-2</c:v>
                </c:pt>
                <c:pt idx="2489">
                  <c:v>9.6348174087088401E-2</c:v>
                </c:pt>
                <c:pt idx="2490">
                  <c:v>9.6348174087088401E-2</c:v>
                </c:pt>
                <c:pt idx="2491">
                  <c:v>9.6348174087088401E-2</c:v>
                </c:pt>
                <c:pt idx="2492">
                  <c:v>9.6348174087088401E-2</c:v>
                </c:pt>
                <c:pt idx="2493">
                  <c:v>9.6348174087088401E-2</c:v>
                </c:pt>
                <c:pt idx="2494">
                  <c:v>9.6348174087088401E-2</c:v>
                </c:pt>
                <c:pt idx="2495">
                  <c:v>9.6348174087088401E-2</c:v>
                </c:pt>
                <c:pt idx="2496">
                  <c:v>9.6348174087088401E-2</c:v>
                </c:pt>
                <c:pt idx="2497">
                  <c:v>9.6348174087088401E-2</c:v>
                </c:pt>
                <c:pt idx="2498">
                  <c:v>9.6348174087088401E-2</c:v>
                </c:pt>
                <c:pt idx="2499">
                  <c:v>9.6348174087088401E-2</c:v>
                </c:pt>
                <c:pt idx="2500">
                  <c:v>9.6348174087088401E-2</c:v>
                </c:pt>
                <c:pt idx="2501">
                  <c:v>9.6348174087088401E-2</c:v>
                </c:pt>
                <c:pt idx="2502">
                  <c:v>9.6348174087088401E-2</c:v>
                </c:pt>
                <c:pt idx="2503">
                  <c:v>9.6348174087088401E-2</c:v>
                </c:pt>
                <c:pt idx="2504">
                  <c:v>9.6348174087088401E-2</c:v>
                </c:pt>
                <c:pt idx="2505">
                  <c:v>9.6348174087088401E-2</c:v>
                </c:pt>
                <c:pt idx="2506">
                  <c:v>9.6348174087088401E-2</c:v>
                </c:pt>
                <c:pt idx="2507">
                  <c:v>9.6348174087088401E-2</c:v>
                </c:pt>
                <c:pt idx="2508">
                  <c:v>9.6348174087088401E-2</c:v>
                </c:pt>
                <c:pt idx="2509">
                  <c:v>9.6348174087088401E-2</c:v>
                </c:pt>
                <c:pt idx="2510">
                  <c:v>0.11504859134187218</c:v>
                </c:pt>
                <c:pt idx="2511">
                  <c:v>0.11504859134187218</c:v>
                </c:pt>
                <c:pt idx="2512">
                  <c:v>0.11504859134187218</c:v>
                </c:pt>
                <c:pt idx="2513">
                  <c:v>0.11504859134187218</c:v>
                </c:pt>
                <c:pt idx="2514">
                  <c:v>0.11504859134187218</c:v>
                </c:pt>
                <c:pt idx="2515">
                  <c:v>0.11504859134187218</c:v>
                </c:pt>
                <c:pt idx="2516">
                  <c:v>0.11504859134187218</c:v>
                </c:pt>
                <c:pt idx="2517">
                  <c:v>0.11504859134187218</c:v>
                </c:pt>
                <c:pt idx="2518">
                  <c:v>0.11504859134187218</c:v>
                </c:pt>
                <c:pt idx="2519">
                  <c:v>0.11504859134187218</c:v>
                </c:pt>
                <c:pt idx="2520">
                  <c:v>0.11504859134187218</c:v>
                </c:pt>
                <c:pt idx="2521">
                  <c:v>0.11504859134187218</c:v>
                </c:pt>
                <c:pt idx="2522">
                  <c:v>0.11504859134187218</c:v>
                </c:pt>
                <c:pt idx="2523">
                  <c:v>0.11504859134187218</c:v>
                </c:pt>
                <c:pt idx="2524">
                  <c:v>0.11504859134187218</c:v>
                </c:pt>
                <c:pt idx="2525">
                  <c:v>0.11504859134187218</c:v>
                </c:pt>
                <c:pt idx="2526">
                  <c:v>0.11504859134187218</c:v>
                </c:pt>
                <c:pt idx="2527">
                  <c:v>0.11504859134187218</c:v>
                </c:pt>
                <c:pt idx="2528">
                  <c:v>0.11504859134187218</c:v>
                </c:pt>
                <c:pt idx="2529">
                  <c:v>0.11504859134187218</c:v>
                </c:pt>
                <c:pt idx="2530">
                  <c:v>0.11504859134187218</c:v>
                </c:pt>
                <c:pt idx="2531">
                  <c:v>0.11504859134187218</c:v>
                </c:pt>
                <c:pt idx="2532">
                  <c:v>0.11504859134187218</c:v>
                </c:pt>
                <c:pt idx="2533">
                  <c:v>0.11504859134187218</c:v>
                </c:pt>
                <c:pt idx="2534">
                  <c:v>0.11504859134187218</c:v>
                </c:pt>
                <c:pt idx="2535">
                  <c:v>0.11504859134187218</c:v>
                </c:pt>
                <c:pt idx="2536">
                  <c:v>0.11504859134187218</c:v>
                </c:pt>
                <c:pt idx="2537">
                  <c:v>0.11504859134187218</c:v>
                </c:pt>
                <c:pt idx="2538">
                  <c:v>0.11504859134187218</c:v>
                </c:pt>
                <c:pt idx="2539">
                  <c:v>0.11504859134187218</c:v>
                </c:pt>
                <c:pt idx="2540">
                  <c:v>0.11504859134187218</c:v>
                </c:pt>
                <c:pt idx="2541">
                  <c:v>0.11504859134187218</c:v>
                </c:pt>
                <c:pt idx="2542">
                  <c:v>0.11504859134187218</c:v>
                </c:pt>
                <c:pt idx="2543">
                  <c:v>0.11504859134187218</c:v>
                </c:pt>
                <c:pt idx="2544">
                  <c:v>0.11504859134187218</c:v>
                </c:pt>
                <c:pt idx="2545">
                  <c:v>0.11504859134187218</c:v>
                </c:pt>
                <c:pt idx="2546">
                  <c:v>0.11504859134187218</c:v>
                </c:pt>
                <c:pt idx="2547">
                  <c:v>0.11504859134187218</c:v>
                </c:pt>
                <c:pt idx="2548">
                  <c:v>0.11504859134187218</c:v>
                </c:pt>
                <c:pt idx="2549">
                  <c:v>0.11504859134187218</c:v>
                </c:pt>
                <c:pt idx="2550">
                  <c:v>0.11504859134187218</c:v>
                </c:pt>
                <c:pt idx="2551">
                  <c:v>0.11504859134187218</c:v>
                </c:pt>
                <c:pt idx="2552">
                  <c:v>0.11504859134187218</c:v>
                </c:pt>
                <c:pt idx="2553">
                  <c:v>0.11504859134187218</c:v>
                </c:pt>
                <c:pt idx="2554">
                  <c:v>0.11504859134187218</c:v>
                </c:pt>
                <c:pt idx="2555">
                  <c:v>0.11504859134187218</c:v>
                </c:pt>
                <c:pt idx="2556">
                  <c:v>0.11504859134187218</c:v>
                </c:pt>
                <c:pt idx="2557">
                  <c:v>0.11504859134187218</c:v>
                </c:pt>
                <c:pt idx="2558">
                  <c:v>0.11504859134187218</c:v>
                </c:pt>
                <c:pt idx="2559">
                  <c:v>0.11504859134187218</c:v>
                </c:pt>
                <c:pt idx="2560">
                  <c:v>0.11504859134187218</c:v>
                </c:pt>
                <c:pt idx="2561">
                  <c:v>0.11504859134187218</c:v>
                </c:pt>
                <c:pt idx="2562">
                  <c:v>0.11504859134187218</c:v>
                </c:pt>
                <c:pt idx="2563">
                  <c:v>0.11504859134187218</c:v>
                </c:pt>
                <c:pt idx="2564">
                  <c:v>0.11504859134187218</c:v>
                </c:pt>
                <c:pt idx="2565">
                  <c:v>0.11504859134187218</c:v>
                </c:pt>
                <c:pt idx="2566">
                  <c:v>0.11504859134187218</c:v>
                </c:pt>
                <c:pt idx="2567">
                  <c:v>0.11504859134187218</c:v>
                </c:pt>
                <c:pt idx="2568">
                  <c:v>0.11504859134187218</c:v>
                </c:pt>
                <c:pt idx="2569">
                  <c:v>0.11504859134187218</c:v>
                </c:pt>
                <c:pt idx="2570">
                  <c:v>0.11504859134187218</c:v>
                </c:pt>
                <c:pt idx="2571">
                  <c:v>0.11504859134187218</c:v>
                </c:pt>
                <c:pt idx="2572">
                  <c:v>0.11504859134187218</c:v>
                </c:pt>
                <c:pt idx="2573">
                  <c:v>0.11504859134187218</c:v>
                </c:pt>
                <c:pt idx="2574">
                  <c:v>0.11504859134187218</c:v>
                </c:pt>
                <c:pt idx="2575">
                  <c:v>0.11504859134187218</c:v>
                </c:pt>
                <c:pt idx="2576">
                  <c:v>0.11504859134187218</c:v>
                </c:pt>
                <c:pt idx="2577">
                  <c:v>0.11504859134187218</c:v>
                </c:pt>
                <c:pt idx="2578">
                  <c:v>0.11504859134187218</c:v>
                </c:pt>
                <c:pt idx="2579">
                  <c:v>0.11504859134187218</c:v>
                </c:pt>
                <c:pt idx="2580">
                  <c:v>0.11504859134187218</c:v>
                </c:pt>
                <c:pt idx="2581">
                  <c:v>0.10567591412599613</c:v>
                </c:pt>
                <c:pt idx="2582">
                  <c:v>0.10567591412599613</c:v>
                </c:pt>
                <c:pt idx="2583">
                  <c:v>0.10567591412599613</c:v>
                </c:pt>
                <c:pt idx="2584">
                  <c:v>0.10567591412599613</c:v>
                </c:pt>
                <c:pt idx="2585">
                  <c:v>0.10567591412599613</c:v>
                </c:pt>
                <c:pt idx="2586">
                  <c:v>0.10567591412599613</c:v>
                </c:pt>
                <c:pt idx="2587">
                  <c:v>0.10567591412599613</c:v>
                </c:pt>
                <c:pt idx="2588">
                  <c:v>0.10567591412599613</c:v>
                </c:pt>
                <c:pt idx="2589">
                  <c:v>0.10567591412599613</c:v>
                </c:pt>
                <c:pt idx="2590">
                  <c:v>0.10567591412599613</c:v>
                </c:pt>
                <c:pt idx="2591">
                  <c:v>0.10567591412599613</c:v>
                </c:pt>
                <c:pt idx="2592">
                  <c:v>0.10567591412599613</c:v>
                </c:pt>
                <c:pt idx="2593">
                  <c:v>0.10567591412599613</c:v>
                </c:pt>
                <c:pt idx="2594">
                  <c:v>0.10567591412599613</c:v>
                </c:pt>
                <c:pt idx="2595">
                  <c:v>0.10567591412599613</c:v>
                </c:pt>
                <c:pt idx="2596">
                  <c:v>0.10567591412599613</c:v>
                </c:pt>
                <c:pt idx="2597">
                  <c:v>0.10567591412599613</c:v>
                </c:pt>
                <c:pt idx="2598">
                  <c:v>0.10567591412599613</c:v>
                </c:pt>
                <c:pt idx="2599">
                  <c:v>0.10567591412599613</c:v>
                </c:pt>
                <c:pt idx="2600">
                  <c:v>0.10567591412599613</c:v>
                </c:pt>
                <c:pt idx="2601">
                  <c:v>0.10567591412599613</c:v>
                </c:pt>
                <c:pt idx="2602">
                  <c:v>0.10567591412599613</c:v>
                </c:pt>
                <c:pt idx="2603">
                  <c:v>0.10567591412599613</c:v>
                </c:pt>
                <c:pt idx="2604">
                  <c:v>0.10567591412599613</c:v>
                </c:pt>
                <c:pt idx="2605">
                  <c:v>0.10567591412599613</c:v>
                </c:pt>
                <c:pt idx="2606">
                  <c:v>0.10567591412599613</c:v>
                </c:pt>
                <c:pt idx="2607">
                  <c:v>0.10567591412599613</c:v>
                </c:pt>
                <c:pt idx="2608">
                  <c:v>0.10567591412599613</c:v>
                </c:pt>
                <c:pt idx="2609">
                  <c:v>0.10567591412599613</c:v>
                </c:pt>
                <c:pt idx="2610">
                  <c:v>0.10567591412599613</c:v>
                </c:pt>
                <c:pt idx="2611">
                  <c:v>0.10567591412599613</c:v>
                </c:pt>
                <c:pt idx="2612">
                  <c:v>0.10567591412599613</c:v>
                </c:pt>
                <c:pt idx="2613">
                  <c:v>0.10567591412599613</c:v>
                </c:pt>
                <c:pt idx="2614">
                  <c:v>0.10567591412599613</c:v>
                </c:pt>
                <c:pt idx="2615">
                  <c:v>0.10567591412599613</c:v>
                </c:pt>
                <c:pt idx="2616">
                  <c:v>0.10567591412599613</c:v>
                </c:pt>
                <c:pt idx="2617">
                  <c:v>0.10567591412599613</c:v>
                </c:pt>
                <c:pt idx="2618">
                  <c:v>0.10567591412599613</c:v>
                </c:pt>
                <c:pt idx="2619">
                  <c:v>0.10567591412599613</c:v>
                </c:pt>
                <c:pt idx="2620">
                  <c:v>0.10567591412599613</c:v>
                </c:pt>
                <c:pt idx="2621">
                  <c:v>0.10567591412599613</c:v>
                </c:pt>
                <c:pt idx="2622">
                  <c:v>0.10567591412599613</c:v>
                </c:pt>
                <c:pt idx="2623">
                  <c:v>0.10567591412599613</c:v>
                </c:pt>
                <c:pt idx="2624">
                  <c:v>0.10567591412599613</c:v>
                </c:pt>
                <c:pt idx="2625">
                  <c:v>0.10567591412599613</c:v>
                </c:pt>
                <c:pt idx="2626">
                  <c:v>0.10567591412599613</c:v>
                </c:pt>
                <c:pt idx="2627">
                  <c:v>0.10567591412599613</c:v>
                </c:pt>
                <c:pt idx="2628">
                  <c:v>0.10567591412599613</c:v>
                </c:pt>
                <c:pt idx="2629">
                  <c:v>0.10567591412599613</c:v>
                </c:pt>
                <c:pt idx="2630">
                  <c:v>0.10567591412599613</c:v>
                </c:pt>
                <c:pt idx="2631">
                  <c:v>0.10567591412599613</c:v>
                </c:pt>
                <c:pt idx="2632">
                  <c:v>0.10567591412599613</c:v>
                </c:pt>
                <c:pt idx="2633">
                  <c:v>0.10567591412599613</c:v>
                </c:pt>
                <c:pt idx="2634">
                  <c:v>0.10567591412599613</c:v>
                </c:pt>
                <c:pt idx="2635">
                  <c:v>0.10567591412599613</c:v>
                </c:pt>
                <c:pt idx="2636">
                  <c:v>0.10567591412599613</c:v>
                </c:pt>
                <c:pt idx="2637">
                  <c:v>0.10567591412599613</c:v>
                </c:pt>
                <c:pt idx="2638">
                  <c:v>0.10567591412599613</c:v>
                </c:pt>
                <c:pt idx="2639">
                  <c:v>0.10567591412599613</c:v>
                </c:pt>
                <c:pt idx="2640">
                  <c:v>0.10567591412599613</c:v>
                </c:pt>
                <c:pt idx="2641">
                  <c:v>0.10567591412599613</c:v>
                </c:pt>
                <c:pt idx="2642">
                  <c:v>0.10567591412599613</c:v>
                </c:pt>
                <c:pt idx="2643">
                  <c:v>0.10567591412599613</c:v>
                </c:pt>
                <c:pt idx="2644">
                  <c:v>0.10567591412599613</c:v>
                </c:pt>
                <c:pt idx="2645">
                  <c:v>0.10567591412599613</c:v>
                </c:pt>
                <c:pt idx="2646">
                  <c:v>0.10567591412599613</c:v>
                </c:pt>
                <c:pt idx="2647">
                  <c:v>0.10567591412599613</c:v>
                </c:pt>
                <c:pt idx="2648">
                  <c:v>0.10567591412599613</c:v>
                </c:pt>
                <c:pt idx="2649">
                  <c:v>0.10567591412599613</c:v>
                </c:pt>
                <c:pt idx="2650">
                  <c:v>0.10567591412599613</c:v>
                </c:pt>
                <c:pt idx="2651">
                  <c:v>0.1105986773408305</c:v>
                </c:pt>
                <c:pt idx="2652">
                  <c:v>0.1105986773408305</c:v>
                </c:pt>
                <c:pt idx="2653">
                  <c:v>0.1105986773408305</c:v>
                </c:pt>
                <c:pt idx="2654">
                  <c:v>0.1105986773408305</c:v>
                </c:pt>
                <c:pt idx="2655">
                  <c:v>0.1105986773408305</c:v>
                </c:pt>
                <c:pt idx="2656">
                  <c:v>0.1105986773408305</c:v>
                </c:pt>
                <c:pt idx="2657">
                  <c:v>0.1105986773408305</c:v>
                </c:pt>
                <c:pt idx="2658">
                  <c:v>0.1105986773408305</c:v>
                </c:pt>
                <c:pt idx="2659">
                  <c:v>0.1105986773408305</c:v>
                </c:pt>
                <c:pt idx="2660">
                  <c:v>0.1105986773408305</c:v>
                </c:pt>
                <c:pt idx="2661">
                  <c:v>0.1105986773408305</c:v>
                </c:pt>
                <c:pt idx="2662">
                  <c:v>0.1105986773408305</c:v>
                </c:pt>
                <c:pt idx="2663">
                  <c:v>0.1105986773408305</c:v>
                </c:pt>
                <c:pt idx="2664">
                  <c:v>0.1105986773408305</c:v>
                </c:pt>
                <c:pt idx="2665">
                  <c:v>0.1105986773408305</c:v>
                </c:pt>
                <c:pt idx="2666">
                  <c:v>0.1105986773408305</c:v>
                </c:pt>
                <c:pt idx="2667">
                  <c:v>0.1105986773408305</c:v>
                </c:pt>
                <c:pt idx="2668">
                  <c:v>0.1105986773408305</c:v>
                </c:pt>
                <c:pt idx="2669">
                  <c:v>0.1105986773408305</c:v>
                </c:pt>
                <c:pt idx="2670">
                  <c:v>0.1105986773408305</c:v>
                </c:pt>
                <c:pt idx="2671">
                  <c:v>0.1105986773408305</c:v>
                </c:pt>
                <c:pt idx="2672">
                  <c:v>0.1105986773408305</c:v>
                </c:pt>
                <c:pt idx="2673">
                  <c:v>0.1105986773408305</c:v>
                </c:pt>
                <c:pt idx="2674">
                  <c:v>0.1105986773408305</c:v>
                </c:pt>
                <c:pt idx="2675">
                  <c:v>0.1105986773408305</c:v>
                </c:pt>
                <c:pt idx="2676">
                  <c:v>0.1105986773408305</c:v>
                </c:pt>
                <c:pt idx="2677">
                  <c:v>0.1105986773408305</c:v>
                </c:pt>
                <c:pt idx="2678">
                  <c:v>0.1105986773408305</c:v>
                </c:pt>
                <c:pt idx="2679">
                  <c:v>0.1105986773408305</c:v>
                </c:pt>
                <c:pt idx="2680">
                  <c:v>0.1105986773408305</c:v>
                </c:pt>
                <c:pt idx="2681">
                  <c:v>0.1105986773408305</c:v>
                </c:pt>
                <c:pt idx="2682">
                  <c:v>0.1105986773408305</c:v>
                </c:pt>
                <c:pt idx="2683">
                  <c:v>0.1105986773408305</c:v>
                </c:pt>
                <c:pt idx="2684">
                  <c:v>0.1105986773408305</c:v>
                </c:pt>
                <c:pt idx="2685">
                  <c:v>0.1105986773408305</c:v>
                </c:pt>
                <c:pt idx="2686">
                  <c:v>0.1105986773408305</c:v>
                </c:pt>
                <c:pt idx="2687">
                  <c:v>0.1105986773408305</c:v>
                </c:pt>
                <c:pt idx="2688">
                  <c:v>0.1105986773408305</c:v>
                </c:pt>
                <c:pt idx="2689">
                  <c:v>0.1105986773408305</c:v>
                </c:pt>
                <c:pt idx="2690">
                  <c:v>0.1105986773408305</c:v>
                </c:pt>
                <c:pt idx="2691">
                  <c:v>0.1105986773408305</c:v>
                </c:pt>
                <c:pt idx="2692">
                  <c:v>0.1105986773408305</c:v>
                </c:pt>
                <c:pt idx="2693">
                  <c:v>0.1105986773408305</c:v>
                </c:pt>
                <c:pt idx="2694">
                  <c:v>0.1105986773408305</c:v>
                </c:pt>
                <c:pt idx="2695">
                  <c:v>0.1105986773408305</c:v>
                </c:pt>
                <c:pt idx="2696">
                  <c:v>0.1105986773408305</c:v>
                </c:pt>
                <c:pt idx="2697">
                  <c:v>0.1105986773408305</c:v>
                </c:pt>
                <c:pt idx="2698">
                  <c:v>0.1105986773408305</c:v>
                </c:pt>
                <c:pt idx="2699">
                  <c:v>0.1105986773408305</c:v>
                </c:pt>
                <c:pt idx="2700">
                  <c:v>0.1105986773408305</c:v>
                </c:pt>
                <c:pt idx="2701">
                  <c:v>0.1105986773408305</c:v>
                </c:pt>
                <c:pt idx="2702">
                  <c:v>0.1105986773408305</c:v>
                </c:pt>
                <c:pt idx="2703">
                  <c:v>0.1105986773408305</c:v>
                </c:pt>
                <c:pt idx="2704">
                  <c:v>0.1105986773408305</c:v>
                </c:pt>
                <c:pt idx="2705">
                  <c:v>0.1105986773408305</c:v>
                </c:pt>
                <c:pt idx="2706">
                  <c:v>0.1105986773408305</c:v>
                </c:pt>
                <c:pt idx="2707">
                  <c:v>0.1105986773408305</c:v>
                </c:pt>
                <c:pt idx="2708">
                  <c:v>0.1105986773408305</c:v>
                </c:pt>
                <c:pt idx="2709">
                  <c:v>0.1105986773408305</c:v>
                </c:pt>
                <c:pt idx="2710">
                  <c:v>0.1105986773408305</c:v>
                </c:pt>
                <c:pt idx="2711">
                  <c:v>0.1105986773408305</c:v>
                </c:pt>
                <c:pt idx="2712">
                  <c:v>0.1105986773408305</c:v>
                </c:pt>
                <c:pt idx="2713">
                  <c:v>0.1105986773408305</c:v>
                </c:pt>
                <c:pt idx="2714">
                  <c:v>0.1105986773408305</c:v>
                </c:pt>
                <c:pt idx="2715">
                  <c:v>0.1105986773408305</c:v>
                </c:pt>
                <c:pt idx="2716">
                  <c:v>0.1105986773408305</c:v>
                </c:pt>
                <c:pt idx="2717">
                  <c:v>0.1105986773408305</c:v>
                </c:pt>
                <c:pt idx="2718">
                  <c:v>0.1105986773408305</c:v>
                </c:pt>
                <c:pt idx="2719">
                  <c:v>0.1105986773408305</c:v>
                </c:pt>
                <c:pt idx="2720">
                  <c:v>0.1105986773408305</c:v>
                </c:pt>
                <c:pt idx="2721">
                  <c:v>0.1105986773408305</c:v>
                </c:pt>
                <c:pt idx="2722">
                  <c:v>0.1105986773408305</c:v>
                </c:pt>
                <c:pt idx="2723">
                  <c:v>0.1105986773408305</c:v>
                </c:pt>
                <c:pt idx="2724">
                  <c:v>0.1105986773408305</c:v>
                </c:pt>
                <c:pt idx="2725">
                  <c:v>0.1105986773408305</c:v>
                </c:pt>
                <c:pt idx="2726">
                  <c:v>0.1105986773408305</c:v>
                </c:pt>
                <c:pt idx="2727">
                  <c:v>0.1105986773408305</c:v>
                </c:pt>
                <c:pt idx="2728">
                  <c:v>0.1105986773408305</c:v>
                </c:pt>
                <c:pt idx="2729">
                  <c:v>0.1105986773408305</c:v>
                </c:pt>
                <c:pt idx="2730">
                  <c:v>0.1105986773408305</c:v>
                </c:pt>
                <c:pt idx="2731">
                  <c:v>0.10009321836402316</c:v>
                </c:pt>
                <c:pt idx="2732">
                  <c:v>0.10009321836402316</c:v>
                </c:pt>
                <c:pt idx="2733">
                  <c:v>0.10009321836402316</c:v>
                </c:pt>
                <c:pt idx="2734">
                  <c:v>0.10009321836402316</c:v>
                </c:pt>
                <c:pt idx="2735">
                  <c:v>0.10009321836402316</c:v>
                </c:pt>
                <c:pt idx="2736">
                  <c:v>0.10009321836402316</c:v>
                </c:pt>
                <c:pt idx="2737">
                  <c:v>0.10009321836402316</c:v>
                </c:pt>
                <c:pt idx="2738">
                  <c:v>0.10009321836402316</c:v>
                </c:pt>
                <c:pt idx="2739">
                  <c:v>0.10009321836402316</c:v>
                </c:pt>
                <c:pt idx="2740">
                  <c:v>0.10009321836402316</c:v>
                </c:pt>
                <c:pt idx="2741">
                  <c:v>0.10009321836402316</c:v>
                </c:pt>
                <c:pt idx="2742">
                  <c:v>0.10009321836402316</c:v>
                </c:pt>
                <c:pt idx="2743">
                  <c:v>0.10009321836402316</c:v>
                </c:pt>
                <c:pt idx="2744">
                  <c:v>0.10009321836402316</c:v>
                </c:pt>
                <c:pt idx="2745">
                  <c:v>0.10009321836402316</c:v>
                </c:pt>
                <c:pt idx="2746">
                  <c:v>0.10009321836402316</c:v>
                </c:pt>
                <c:pt idx="2747">
                  <c:v>0.10009321836402316</c:v>
                </c:pt>
                <c:pt idx="2748">
                  <c:v>0.10009321836402316</c:v>
                </c:pt>
                <c:pt idx="2749">
                  <c:v>0.10009321836402316</c:v>
                </c:pt>
                <c:pt idx="2750">
                  <c:v>0.10009321836402316</c:v>
                </c:pt>
                <c:pt idx="2751">
                  <c:v>0.10009321836402316</c:v>
                </c:pt>
                <c:pt idx="2752">
                  <c:v>0.10009321836402316</c:v>
                </c:pt>
                <c:pt idx="2753">
                  <c:v>0.10009321836402316</c:v>
                </c:pt>
                <c:pt idx="2754">
                  <c:v>0.10009321836402316</c:v>
                </c:pt>
                <c:pt idx="2755">
                  <c:v>0.10009321836402316</c:v>
                </c:pt>
                <c:pt idx="2756">
                  <c:v>0.10009321836402316</c:v>
                </c:pt>
                <c:pt idx="2757">
                  <c:v>0.10009321836402316</c:v>
                </c:pt>
                <c:pt idx="2758">
                  <c:v>0.10009321836402316</c:v>
                </c:pt>
                <c:pt idx="2759">
                  <c:v>0.10009321836402316</c:v>
                </c:pt>
                <c:pt idx="2760">
                  <c:v>0.10009321836402316</c:v>
                </c:pt>
                <c:pt idx="2761">
                  <c:v>0.10009321836402316</c:v>
                </c:pt>
                <c:pt idx="2762">
                  <c:v>0.10009321836402316</c:v>
                </c:pt>
                <c:pt idx="2763">
                  <c:v>0.10009321836402316</c:v>
                </c:pt>
                <c:pt idx="2764">
                  <c:v>0.10009321836402316</c:v>
                </c:pt>
                <c:pt idx="2765">
                  <c:v>0.10009321836402316</c:v>
                </c:pt>
                <c:pt idx="2766">
                  <c:v>0.10009321836402316</c:v>
                </c:pt>
                <c:pt idx="2767">
                  <c:v>0.10009321836402316</c:v>
                </c:pt>
                <c:pt idx="2768">
                  <c:v>0.10009321836402316</c:v>
                </c:pt>
                <c:pt idx="2769">
                  <c:v>0.10009321836402316</c:v>
                </c:pt>
                <c:pt idx="2770">
                  <c:v>0.10009321836402316</c:v>
                </c:pt>
                <c:pt idx="2771">
                  <c:v>0.10009321836402316</c:v>
                </c:pt>
                <c:pt idx="2772">
                  <c:v>0.10009321836402316</c:v>
                </c:pt>
                <c:pt idx="2773">
                  <c:v>0.10009321836402316</c:v>
                </c:pt>
                <c:pt idx="2774">
                  <c:v>0.10009321836402316</c:v>
                </c:pt>
                <c:pt idx="2775">
                  <c:v>0.10009321836402316</c:v>
                </c:pt>
                <c:pt idx="2776">
                  <c:v>0.10009321836402316</c:v>
                </c:pt>
                <c:pt idx="2777">
                  <c:v>0.10009321836402316</c:v>
                </c:pt>
                <c:pt idx="2778">
                  <c:v>0.10009321836402316</c:v>
                </c:pt>
                <c:pt idx="2779">
                  <c:v>0.10009321836402316</c:v>
                </c:pt>
                <c:pt idx="2780">
                  <c:v>0.10009321836402316</c:v>
                </c:pt>
                <c:pt idx="2781">
                  <c:v>0.10009321836402316</c:v>
                </c:pt>
                <c:pt idx="2782">
                  <c:v>0.10009321836402316</c:v>
                </c:pt>
                <c:pt idx="2783">
                  <c:v>0.10009321836402316</c:v>
                </c:pt>
                <c:pt idx="2784">
                  <c:v>0.10009321836402316</c:v>
                </c:pt>
                <c:pt idx="2785">
                  <c:v>0.10009321836402316</c:v>
                </c:pt>
                <c:pt idx="2786">
                  <c:v>0.10009321836402316</c:v>
                </c:pt>
                <c:pt idx="2787">
                  <c:v>0.10009321836402316</c:v>
                </c:pt>
                <c:pt idx="2788">
                  <c:v>0.10009321836402316</c:v>
                </c:pt>
                <c:pt idx="2789">
                  <c:v>0.10009321836402316</c:v>
                </c:pt>
                <c:pt idx="2790">
                  <c:v>0.10009321836402316</c:v>
                </c:pt>
                <c:pt idx="2791">
                  <c:v>8.6132390492961911E-2</c:v>
                </c:pt>
                <c:pt idx="2792">
                  <c:v>8.6132390492961911E-2</c:v>
                </c:pt>
                <c:pt idx="2793">
                  <c:v>8.6132390492961911E-2</c:v>
                </c:pt>
                <c:pt idx="2794">
                  <c:v>8.6132390492961911E-2</c:v>
                </c:pt>
                <c:pt idx="2795">
                  <c:v>8.6132390492961911E-2</c:v>
                </c:pt>
                <c:pt idx="2796">
                  <c:v>8.6132390492961911E-2</c:v>
                </c:pt>
                <c:pt idx="2797">
                  <c:v>8.6132390492961911E-2</c:v>
                </c:pt>
                <c:pt idx="2798">
                  <c:v>8.6132390492961911E-2</c:v>
                </c:pt>
                <c:pt idx="2799">
                  <c:v>8.6132390492961911E-2</c:v>
                </c:pt>
                <c:pt idx="2800">
                  <c:v>8.6132390492961911E-2</c:v>
                </c:pt>
                <c:pt idx="2801">
                  <c:v>8.6132390492961911E-2</c:v>
                </c:pt>
                <c:pt idx="2802">
                  <c:v>8.6132390492961911E-2</c:v>
                </c:pt>
                <c:pt idx="2803">
                  <c:v>8.6132390492961911E-2</c:v>
                </c:pt>
                <c:pt idx="2804">
                  <c:v>8.6132390492961911E-2</c:v>
                </c:pt>
                <c:pt idx="2805">
                  <c:v>8.6132390492961911E-2</c:v>
                </c:pt>
                <c:pt idx="2806">
                  <c:v>8.6132390492961911E-2</c:v>
                </c:pt>
                <c:pt idx="2807">
                  <c:v>8.6132390492961911E-2</c:v>
                </c:pt>
                <c:pt idx="2808">
                  <c:v>8.6132390492961911E-2</c:v>
                </c:pt>
                <c:pt idx="2809">
                  <c:v>8.6132390492961911E-2</c:v>
                </c:pt>
                <c:pt idx="2810">
                  <c:v>8.6132390492961911E-2</c:v>
                </c:pt>
                <c:pt idx="2811">
                  <c:v>8.6132390492961911E-2</c:v>
                </c:pt>
                <c:pt idx="2812">
                  <c:v>8.6132390492961911E-2</c:v>
                </c:pt>
                <c:pt idx="2813">
                  <c:v>8.6132390492961911E-2</c:v>
                </c:pt>
                <c:pt idx="2814">
                  <c:v>8.6132390492961911E-2</c:v>
                </c:pt>
                <c:pt idx="2815">
                  <c:v>8.6132390492961911E-2</c:v>
                </c:pt>
                <c:pt idx="2816">
                  <c:v>8.6132390492961911E-2</c:v>
                </c:pt>
                <c:pt idx="2817">
                  <c:v>8.6132390492961911E-2</c:v>
                </c:pt>
                <c:pt idx="2818">
                  <c:v>8.6132390492961911E-2</c:v>
                </c:pt>
                <c:pt idx="2819">
                  <c:v>8.6132390492961911E-2</c:v>
                </c:pt>
                <c:pt idx="2820">
                  <c:v>8.6132390492961911E-2</c:v>
                </c:pt>
                <c:pt idx="2821">
                  <c:v>8.6132390492961911E-2</c:v>
                </c:pt>
                <c:pt idx="2822">
                  <c:v>8.6132390492961911E-2</c:v>
                </c:pt>
                <c:pt idx="2823">
                  <c:v>8.6132390492961911E-2</c:v>
                </c:pt>
                <c:pt idx="2824">
                  <c:v>8.6132390492961911E-2</c:v>
                </c:pt>
                <c:pt idx="2825">
                  <c:v>8.6132390492961911E-2</c:v>
                </c:pt>
                <c:pt idx="2826">
                  <c:v>8.6132390492961911E-2</c:v>
                </c:pt>
                <c:pt idx="2827">
                  <c:v>8.6132390492961911E-2</c:v>
                </c:pt>
                <c:pt idx="2828">
                  <c:v>8.6132390492961911E-2</c:v>
                </c:pt>
                <c:pt idx="2829">
                  <c:v>8.6132390492961911E-2</c:v>
                </c:pt>
                <c:pt idx="2830">
                  <c:v>8.6132390492961911E-2</c:v>
                </c:pt>
                <c:pt idx="2831">
                  <c:v>8.6132390492961911E-2</c:v>
                </c:pt>
                <c:pt idx="2832">
                  <c:v>8.6132390492961911E-2</c:v>
                </c:pt>
                <c:pt idx="2833">
                  <c:v>8.6132390492961911E-2</c:v>
                </c:pt>
                <c:pt idx="2834">
                  <c:v>8.6132390492961911E-2</c:v>
                </c:pt>
                <c:pt idx="2835">
                  <c:v>8.6132390492961911E-2</c:v>
                </c:pt>
                <c:pt idx="2836">
                  <c:v>8.6132390492961911E-2</c:v>
                </c:pt>
                <c:pt idx="2837">
                  <c:v>8.6132390492961911E-2</c:v>
                </c:pt>
                <c:pt idx="2838">
                  <c:v>8.6132390492961911E-2</c:v>
                </c:pt>
                <c:pt idx="2839">
                  <c:v>8.6132390492961911E-2</c:v>
                </c:pt>
                <c:pt idx="2840">
                  <c:v>8.6132390492961911E-2</c:v>
                </c:pt>
                <c:pt idx="2841">
                  <c:v>8.6132390492961911E-2</c:v>
                </c:pt>
                <c:pt idx="2842">
                  <c:v>8.6132390492961911E-2</c:v>
                </c:pt>
                <c:pt idx="2843">
                  <c:v>8.6132390492961911E-2</c:v>
                </c:pt>
                <c:pt idx="2844">
                  <c:v>8.6132390492961911E-2</c:v>
                </c:pt>
                <c:pt idx="2845">
                  <c:v>8.6132390492961911E-2</c:v>
                </c:pt>
                <c:pt idx="2846">
                  <c:v>8.6132390492961911E-2</c:v>
                </c:pt>
                <c:pt idx="2847">
                  <c:v>8.6132390492961911E-2</c:v>
                </c:pt>
                <c:pt idx="2848">
                  <c:v>8.6132390492961911E-2</c:v>
                </c:pt>
                <c:pt idx="2849">
                  <c:v>8.6132390492961911E-2</c:v>
                </c:pt>
                <c:pt idx="2850">
                  <c:v>8.6132390492961911E-2</c:v>
                </c:pt>
                <c:pt idx="2851">
                  <c:v>8.6132390492961911E-2</c:v>
                </c:pt>
                <c:pt idx="2852">
                  <c:v>8.6132390492961911E-2</c:v>
                </c:pt>
                <c:pt idx="2853">
                  <c:v>8.6132390492961911E-2</c:v>
                </c:pt>
                <c:pt idx="2854">
                  <c:v>8.6132390492961911E-2</c:v>
                </c:pt>
                <c:pt idx="2855">
                  <c:v>8.6132390492961911E-2</c:v>
                </c:pt>
                <c:pt idx="2856">
                  <c:v>8.6132390492961911E-2</c:v>
                </c:pt>
                <c:pt idx="2857">
                  <c:v>8.6132390492961911E-2</c:v>
                </c:pt>
                <c:pt idx="2858">
                  <c:v>8.6132390492961911E-2</c:v>
                </c:pt>
                <c:pt idx="2859">
                  <c:v>8.6132390492961911E-2</c:v>
                </c:pt>
                <c:pt idx="2860">
                  <c:v>8.6132390492961911E-2</c:v>
                </c:pt>
                <c:pt idx="2861">
                  <c:v>8.6132390492961911E-2</c:v>
                </c:pt>
                <c:pt idx="2862">
                  <c:v>0.10140000000009444</c:v>
                </c:pt>
                <c:pt idx="2863">
                  <c:v>0.10140000000009444</c:v>
                </c:pt>
                <c:pt idx="2864">
                  <c:v>0.10140000000009444</c:v>
                </c:pt>
                <c:pt idx="2865">
                  <c:v>0.10140000000009444</c:v>
                </c:pt>
                <c:pt idx="2866">
                  <c:v>0.10140000000009444</c:v>
                </c:pt>
                <c:pt idx="2867">
                  <c:v>0.10140000000009444</c:v>
                </c:pt>
                <c:pt idx="2868">
                  <c:v>0.10140000000009444</c:v>
                </c:pt>
                <c:pt idx="2869">
                  <c:v>0.10140000000009444</c:v>
                </c:pt>
                <c:pt idx="2870">
                  <c:v>0.10140000000009444</c:v>
                </c:pt>
                <c:pt idx="2871">
                  <c:v>0.10140000000009444</c:v>
                </c:pt>
                <c:pt idx="2872">
                  <c:v>0.10140000000009444</c:v>
                </c:pt>
                <c:pt idx="2873">
                  <c:v>0.10140000000009444</c:v>
                </c:pt>
                <c:pt idx="2874">
                  <c:v>0.10140000000009444</c:v>
                </c:pt>
                <c:pt idx="2875">
                  <c:v>0.10140000000009444</c:v>
                </c:pt>
                <c:pt idx="2876">
                  <c:v>0.10140000000009444</c:v>
                </c:pt>
                <c:pt idx="2877">
                  <c:v>0.10140000000009444</c:v>
                </c:pt>
                <c:pt idx="2878">
                  <c:v>0.10140000000009444</c:v>
                </c:pt>
                <c:pt idx="2879">
                  <c:v>0.10140000000009444</c:v>
                </c:pt>
                <c:pt idx="2880">
                  <c:v>0.10140000000009444</c:v>
                </c:pt>
                <c:pt idx="2881">
                  <c:v>0.10140000000009444</c:v>
                </c:pt>
                <c:pt idx="2882">
                  <c:v>0.10140000000009444</c:v>
                </c:pt>
                <c:pt idx="2883">
                  <c:v>0.10140000000009444</c:v>
                </c:pt>
                <c:pt idx="2884">
                  <c:v>0.10140000000009444</c:v>
                </c:pt>
                <c:pt idx="2885">
                  <c:v>0.10140000000009444</c:v>
                </c:pt>
                <c:pt idx="2886">
                  <c:v>0.10140000000009444</c:v>
                </c:pt>
                <c:pt idx="2887">
                  <c:v>0.10140000000009444</c:v>
                </c:pt>
                <c:pt idx="2888">
                  <c:v>0.10140000000009444</c:v>
                </c:pt>
                <c:pt idx="2889">
                  <c:v>0.10140000000009444</c:v>
                </c:pt>
                <c:pt idx="2890">
                  <c:v>0.10140000000009444</c:v>
                </c:pt>
                <c:pt idx="2891">
                  <c:v>0.10140000000009444</c:v>
                </c:pt>
                <c:pt idx="2892">
                  <c:v>0.10140000000009444</c:v>
                </c:pt>
                <c:pt idx="2893">
                  <c:v>0.10140000000009444</c:v>
                </c:pt>
                <c:pt idx="2894">
                  <c:v>0.10140000000009444</c:v>
                </c:pt>
                <c:pt idx="2895">
                  <c:v>0.10140000000009444</c:v>
                </c:pt>
                <c:pt idx="2896">
                  <c:v>0.10140000000009444</c:v>
                </c:pt>
                <c:pt idx="2897">
                  <c:v>0.10140000000009444</c:v>
                </c:pt>
                <c:pt idx="2898">
                  <c:v>0.10140000000009444</c:v>
                </c:pt>
                <c:pt idx="2899">
                  <c:v>0.10140000000009444</c:v>
                </c:pt>
                <c:pt idx="2900">
                  <c:v>0.10140000000009444</c:v>
                </c:pt>
                <c:pt idx="2901">
                  <c:v>0.10140000000009444</c:v>
                </c:pt>
                <c:pt idx="2902">
                  <c:v>0.10140000000009444</c:v>
                </c:pt>
                <c:pt idx="2903">
                  <c:v>0.10140000000009444</c:v>
                </c:pt>
                <c:pt idx="2904">
                  <c:v>0.10140000000009444</c:v>
                </c:pt>
                <c:pt idx="2905">
                  <c:v>0.10140000000009444</c:v>
                </c:pt>
                <c:pt idx="2906">
                  <c:v>0.10140000000009444</c:v>
                </c:pt>
                <c:pt idx="2907">
                  <c:v>0.10140000000009444</c:v>
                </c:pt>
                <c:pt idx="2908">
                  <c:v>0.10140000000009444</c:v>
                </c:pt>
                <c:pt idx="2909">
                  <c:v>0.10140000000009444</c:v>
                </c:pt>
                <c:pt idx="2910">
                  <c:v>0.10140000000009444</c:v>
                </c:pt>
                <c:pt idx="2911">
                  <c:v>0.10140000000009444</c:v>
                </c:pt>
                <c:pt idx="2912">
                  <c:v>0.10140000000009444</c:v>
                </c:pt>
                <c:pt idx="2913">
                  <c:v>0.10140000000009444</c:v>
                </c:pt>
                <c:pt idx="2914">
                  <c:v>0.10140000000009444</c:v>
                </c:pt>
                <c:pt idx="2915">
                  <c:v>0.10140000000009444</c:v>
                </c:pt>
                <c:pt idx="2916">
                  <c:v>0.10140000000009444</c:v>
                </c:pt>
                <c:pt idx="2917">
                  <c:v>0.10140000000009444</c:v>
                </c:pt>
                <c:pt idx="2918">
                  <c:v>0.10140000000009444</c:v>
                </c:pt>
                <c:pt idx="2919">
                  <c:v>0.10140000000009444</c:v>
                </c:pt>
                <c:pt idx="2920">
                  <c:v>0.10140000000009444</c:v>
                </c:pt>
                <c:pt idx="2921">
                  <c:v>0.10140000000009444</c:v>
                </c:pt>
                <c:pt idx="2922">
                  <c:v>0.10140000000009444</c:v>
                </c:pt>
                <c:pt idx="2923">
                  <c:v>0.10140000000009444</c:v>
                </c:pt>
                <c:pt idx="2924">
                  <c:v>0.10140000000009444</c:v>
                </c:pt>
                <c:pt idx="2925">
                  <c:v>0.10140000000009444</c:v>
                </c:pt>
                <c:pt idx="2926">
                  <c:v>0.10140000000009444</c:v>
                </c:pt>
                <c:pt idx="2927">
                  <c:v>0.10140000000009444</c:v>
                </c:pt>
                <c:pt idx="2928">
                  <c:v>0.10140000000009444</c:v>
                </c:pt>
                <c:pt idx="2929">
                  <c:v>0.10140000000009444</c:v>
                </c:pt>
                <c:pt idx="2930">
                  <c:v>0.10140000000009444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F2-4EE0-BCC2-08CB7B924132}"/>
            </c:ext>
          </c:extLst>
        </c:ser>
        <c:ser>
          <c:idx val="1"/>
          <c:order val="2"/>
          <c:tx>
            <c:v>Media influent based on scales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Summary!$B$3:$B$3113</c:f>
              <c:numCache>
                <c:formatCode>General</c:formatCode>
                <c:ptCount val="31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</c:numCache>
            </c:numRef>
          </c:xVal>
          <c:yVal>
            <c:numRef>
              <c:f>Summary!$F$3:$F$3113</c:f>
              <c:numCache>
                <c:formatCode>General</c:formatCode>
                <c:ptCount val="3111"/>
                <c:pt idx="0">
                  <c:v>5.9405263157894746E-2</c:v>
                </c:pt>
                <c:pt idx="1">
                  <c:v>5.9405263157894746E-2</c:v>
                </c:pt>
                <c:pt idx="2">
                  <c:v>5.9405263157894746E-2</c:v>
                </c:pt>
                <c:pt idx="3">
                  <c:v>5.9405263157894746E-2</c:v>
                </c:pt>
                <c:pt idx="4">
                  <c:v>5.9405263157894746E-2</c:v>
                </c:pt>
                <c:pt idx="5">
                  <c:v>5.9405263157894746E-2</c:v>
                </c:pt>
                <c:pt idx="6">
                  <c:v>5.9405263157894746E-2</c:v>
                </c:pt>
                <c:pt idx="7">
                  <c:v>5.9405263157894746E-2</c:v>
                </c:pt>
                <c:pt idx="8">
                  <c:v>5.9405263157894746E-2</c:v>
                </c:pt>
                <c:pt idx="9">
                  <c:v>5.9405263157894746E-2</c:v>
                </c:pt>
                <c:pt idx="10">
                  <c:v>5.9405263157894746E-2</c:v>
                </c:pt>
                <c:pt idx="11">
                  <c:v>5.9405263157894746E-2</c:v>
                </c:pt>
                <c:pt idx="12">
                  <c:v>5.9405263157894746E-2</c:v>
                </c:pt>
                <c:pt idx="13">
                  <c:v>5.9405263157894746E-2</c:v>
                </c:pt>
                <c:pt idx="14">
                  <c:v>5.9405263157894746E-2</c:v>
                </c:pt>
                <c:pt idx="15">
                  <c:v>5.9405263157894746E-2</c:v>
                </c:pt>
                <c:pt idx="16">
                  <c:v>5.9405263157894746E-2</c:v>
                </c:pt>
                <c:pt idx="17">
                  <c:v>5.9405263157894746E-2</c:v>
                </c:pt>
                <c:pt idx="18">
                  <c:v>5.9405263157894746E-2</c:v>
                </c:pt>
                <c:pt idx="19">
                  <c:v>5.9405263157894746E-2</c:v>
                </c:pt>
                <c:pt idx="20">
                  <c:v>5.9405263157894746E-2</c:v>
                </c:pt>
                <c:pt idx="21">
                  <c:v>5.9405263157894746E-2</c:v>
                </c:pt>
                <c:pt idx="22">
                  <c:v>5.9405263157894746E-2</c:v>
                </c:pt>
                <c:pt idx="23">
                  <c:v>5.9405263157894746E-2</c:v>
                </c:pt>
                <c:pt idx="24">
                  <c:v>5.9405263157894746E-2</c:v>
                </c:pt>
                <c:pt idx="25">
                  <c:v>5.9405263157894746E-2</c:v>
                </c:pt>
                <c:pt idx="26">
                  <c:v>5.9405263157894746E-2</c:v>
                </c:pt>
                <c:pt idx="27">
                  <c:v>5.9405263157894746E-2</c:v>
                </c:pt>
                <c:pt idx="28">
                  <c:v>5.9405263157894746E-2</c:v>
                </c:pt>
                <c:pt idx="29">
                  <c:v>5.9405263157894746E-2</c:v>
                </c:pt>
                <c:pt idx="30">
                  <c:v>5.9405263157894746E-2</c:v>
                </c:pt>
                <c:pt idx="31">
                  <c:v>5.9405263157894746E-2</c:v>
                </c:pt>
                <c:pt idx="32">
                  <c:v>5.9405263157894746E-2</c:v>
                </c:pt>
                <c:pt idx="33">
                  <c:v>5.9405263157894746E-2</c:v>
                </c:pt>
                <c:pt idx="34">
                  <c:v>5.9405263157894746E-2</c:v>
                </c:pt>
                <c:pt idx="35">
                  <c:v>5.9405263157894746E-2</c:v>
                </c:pt>
                <c:pt idx="36">
                  <c:v>5.9405263157894746E-2</c:v>
                </c:pt>
                <c:pt idx="37">
                  <c:v>5.9405263157894746E-2</c:v>
                </c:pt>
                <c:pt idx="38">
                  <c:v>5.9405263157894746E-2</c:v>
                </c:pt>
                <c:pt idx="39">
                  <c:v>5.9405263157894746E-2</c:v>
                </c:pt>
                <c:pt idx="40">
                  <c:v>5.9405263157894746E-2</c:v>
                </c:pt>
                <c:pt idx="41">
                  <c:v>5.9405263157894746E-2</c:v>
                </c:pt>
                <c:pt idx="42">
                  <c:v>5.9405263157894746E-2</c:v>
                </c:pt>
                <c:pt idx="43">
                  <c:v>5.9405263157894746E-2</c:v>
                </c:pt>
                <c:pt idx="44">
                  <c:v>5.9405263157894746E-2</c:v>
                </c:pt>
                <c:pt idx="45">
                  <c:v>5.9405263157894746E-2</c:v>
                </c:pt>
                <c:pt idx="46">
                  <c:v>5.9405263157894746E-2</c:v>
                </c:pt>
                <c:pt idx="47">
                  <c:v>5.9405263157894746E-2</c:v>
                </c:pt>
                <c:pt idx="48">
                  <c:v>5.9405263157894746E-2</c:v>
                </c:pt>
                <c:pt idx="49">
                  <c:v>5.9405263157894746E-2</c:v>
                </c:pt>
                <c:pt idx="50">
                  <c:v>5.9405263157894746E-2</c:v>
                </c:pt>
                <c:pt idx="51">
                  <c:v>5.9405263157894746E-2</c:v>
                </c:pt>
                <c:pt idx="52">
                  <c:v>5.9405263157894746E-2</c:v>
                </c:pt>
                <c:pt idx="53">
                  <c:v>5.9405263157894746E-2</c:v>
                </c:pt>
                <c:pt idx="54">
                  <c:v>5.9405263157894746E-2</c:v>
                </c:pt>
                <c:pt idx="55">
                  <c:v>5.9405263157894746E-2</c:v>
                </c:pt>
                <c:pt idx="56">
                  <c:v>5.9405263157894746E-2</c:v>
                </c:pt>
                <c:pt idx="57">
                  <c:v>5.9405263157894746E-2</c:v>
                </c:pt>
                <c:pt idx="58">
                  <c:v>5.9405263157894746E-2</c:v>
                </c:pt>
                <c:pt idx="59">
                  <c:v>5.9405263157894746E-2</c:v>
                </c:pt>
                <c:pt idx="60">
                  <c:v>5.9405263157894746E-2</c:v>
                </c:pt>
                <c:pt idx="61">
                  <c:v>5.9405263157894746E-2</c:v>
                </c:pt>
                <c:pt idx="62">
                  <c:v>5.9405263157894746E-2</c:v>
                </c:pt>
                <c:pt idx="63">
                  <c:v>5.9405263157894746E-2</c:v>
                </c:pt>
                <c:pt idx="64">
                  <c:v>5.9405263157894746E-2</c:v>
                </c:pt>
                <c:pt idx="65">
                  <c:v>5.9405263157894746E-2</c:v>
                </c:pt>
                <c:pt idx="66">
                  <c:v>5.9405263157894746E-2</c:v>
                </c:pt>
                <c:pt idx="67">
                  <c:v>5.9405263157894746E-2</c:v>
                </c:pt>
                <c:pt idx="68">
                  <c:v>5.9405263157894746E-2</c:v>
                </c:pt>
                <c:pt idx="69">
                  <c:v>5.9405263157894746E-2</c:v>
                </c:pt>
                <c:pt idx="70">
                  <c:v>5.9405263157894746E-2</c:v>
                </c:pt>
                <c:pt idx="71">
                  <c:v>5.9405263157894746E-2</c:v>
                </c:pt>
                <c:pt idx="72">
                  <c:v>5.9405263157894746E-2</c:v>
                </c:pt>
                <c:pt idx="73">
                  <c:v>5.9405263157894746E-2</c:v>
                </c:pt>
                <c:pt idx="74">
                  <c:v>5.9405263157894746E-2</c:v>
                </c:pt>
                <c:pt idx="75">
                  <c:v>5.9405263157894746E-2</c:v>
                </c:pt>
                <c:pt idx="76">
                  <c:v>5.9405263157894746E-2</c:v>
                </c:pt>
                <c:pt idx="77">
                  <c:v>5.9405263157894746E-2</c:v>
                </c:pt>
                <c:pt idx="78">
                  <c:v>5.9405263157894746E-2</c:v>
                </c:pt>
                <c:pt idx="79">
                  <c:v>5.9405263157894746E-2</c:v>
                </c:pt>
                <c:pt idx="80">
                  <c:v>5.9405263157894746E-2</c:v>
                </c:pt>
                <c:pt idx="81">
                  <c:v>5.9405263157894746E-2</c:v>
                </c:pt>
                <c:pt idx="82">
                  <c:v>5.9405263157894746E-2</c:v>
                </c:pt>
                <c:pt idx="83">
                  <c:v>5.9405263157894746E-2</c:v>
                </c:pt>
                <c:pt idx="84">
                  <c:v>5.9405263157894746E-2</c:v>
                </c:pt>
                <c:pt idx="85">
                  <c:v>5.9405263157894746E-2</c:v>
                </c:pt>
                <c:pt idx="86">
                  <c:v>5.9405263157894746E-2</c:v>
                </c:pt>
                <c:pt idx="87">
                  <c:v>5.9405263157894746E-2</c:v>
                </c:pt>
                <c:pt idx="88">
                  <c:v>5.9405263157894746E-2</c:v>
                </c:pt>
                <c:pt idx="89">
                  <c:v>5.9405263157894746E-2</c:v>
                </c:pt>
                <c:pt idx="90">
                  <c:v>5.9405263157894746E-2</c:v>
                </c:pt>
                <c:pt idx="91">
                  <c:v>5.9405263157894746E-2</c:v>
                </c:pt>
                <c:pt idx="92">
                  <c:v>5.9405263157894746E-2</c:v>
                </c:pt>
                <c:pt idx="93">
                  <c:v>5.9405263157894746E-2</c:v>
                </c:pt>
                <c:pt idx="94">
                  <c:v>5.9405263157894746E-2</c:v>
                </c:pt>
                <c:pt idx="95">
                  <c:v>5.9405263157894746E-2</c:v>
                </c:pt>
                <c:pt idx="96">
                  <c:v>5.9405263157894746E-2</c:v>
                </c:pt>
                <c:pt idx="97">
                  <c:v>5.9405263157894746E-2</c:v>
                </c:pt>
                <c:pt idx="98">
                  <c:v>5.9405263157894746E-2</c:v>
                </c:pt>
                <c:pt idx="99">
                  <c:v>5.9405263157894746E-2</c:v>
                </c:pt>
                <c:pt idx="100">
                  <c:v>5.9405263157894746E-2</c:v>
                </c:pt>
                <c:pt idx="101">
                  <c:v>5.9405263157894746E-2</c:v>
                </c:pt>
                <c:pt idx="102">
                  <c:v>5.9405263157894746E-2</c:v>
                </c:pt>
                <c:pt idx="103">
                  <c:v>5.9405263157894746E-2</c:v>
                </c:pt>
                <c:pt idx="104">
                  <c:v>5.9405263157894746E-2</c:v>
                </c:pt>
                <c:pt idx="105">
                  <c:v>5.9405263157894746E-2</c:v>
                </c:pt>
                <c:pt idx="106">
                  <c:v>5.9405263157894746E-2</c:v>
                </c:pt>
                <c:pt idx="107">
                  <c:v>5.9405263157894746E-2</c:v>
                </c:pt>
                <c:pt idx="108">
                  <c:v>5.9405263157894746E-2</c:v>
                </c:pt>
                <c:pt idx="109">
                  <c:v>5.9405263157894746E-2</c:v>
                </c:pt>
                <c:pt idx="110">
                  <c:v>5.9405263157894746E-2</c:v>
                </c:pt>
                <c:pt idx="111">
                  <c:v>5.9405263157894746E-2</c:v>
                </c:pt>
                <c:pt idx="112">
                  <c:v>5.9405263157894746E-2</c:v>
                </c:pt>
                <c:pt idx="113">
                  <c:v>5.9405263157894746E-2</c:v>
                </c:pt>
                <c:pt idx="114">
                  <c:v>5.9405263157894746E-2</c:v>
                </c:pt>
                <c:pt idx="115">
                  <c:v>5.9405263157894746E-2</c:v>
                </c:pt>
                <c:pt idx="116">
                  <c:v>5.9405263157894746E-2</c:v>
                </c:pt>
                <c:pt idx="117">
                  <c:v>5.9405263157894746E-2</c:v>
                </c:pt>
                <c:pt idx="118">
                  <c:v>5.9405263157894746E-2</c:v>
                </c:pt>
                <c:pt idx="119">
                  <c:v>5.9405263157894746E-2</c:v>
                </c:pt>
                <c:pt idx="120">
                  <c:v>5.9405263157894746E-2</c:v>
                </c:pt>
                <c:pt idx="121">
                  <c:v>5.9405263157894746E-2</c:v>
                </c:pt>
                <c:pt idx="122">
                  <c:v>5.9405263157894746E-2</c:v>
                </c:pt>
                <c:pt idx="123">
                  <c:v>5.9405263157894746E-2</c:v>
                </c:pt>
                <c:pt idx="124">
                  <c:v>5.9405263157894746E-2</c:v>
                </c:pt>
                <c:pt idx="125">
                  <c:v>5.9405263157894746E-2</c:v>
                </c:pt>
                <c:pt idx="126">
                  <c:v>5.9405263157894746E-2</c:v>
                </c:pt>
                <c:pt idx="127">
                  <c:v>5.9405263157894746E-2</c:v>
                </c:pt>
                <c:pt idx="128">
                  <c:v>5.9405263157894746E-2</c:v>
                </c:pt>
                <c:pt idx="129">
                  <c:v>5.9405263157894746E-2</c:v>
                </c:pt>
                <c:pt idx="130">
                  <c:v>5.9405263157894746E-2</c:v>
                </c:pt>
                <c:pt idx="131">
                  <c:v>5.9405263157894746E-2</c:v>
                </c:pt>
                <c:pt idx="132">
                  <c:v>5.9405263157894746E-2</c:v>
                </c:pt>
                <c:pt idx="133">
                  <c:v>5.9405263157894746E-2</c:v>
                </c:pt>
                <c:pt idx="134">
                  <c:v>5.9405263157894746E-2</c:v>
                </c:pt>
                <c:pt idx="135">
                  <c:v>5.9405263157894746E-2</c:v>
                </c:pt>
                <c:pt idx="136">
                  <c:v>5.9405263157894746E-2</c:v>
                </c:pt>
                <c:pt idx="137">
                  <c:v>5.9405263157894746E-2</c:v>
                </c:pt>
                <c:pt idx="138">
                  <c:v>5.9405263157894746E-2</c:v>
                </c:pt>
                <c:pt idx="139">
                  <c:v>5.9405263157894746E-2</c:v>
                </c:pt>
                <c:pt idx="140">
                  <c:v>5.9405263157894746E-2</c:v>
                </c:pt>
                <c:pt idx="141">
                  <c:v>5.9405263157894746E-2</c:v>
                </c:pt>
                <c:pt idx="142">
                  <c:v>5.9405263157894746E-2</c:v>
                </c:pt>
                <c:pt idx="143">
                  <c:v>5.9405263157894746E-2</c:v>
                </c:pt>
                <c:pt idx="144">
                  <c:v>5.9405263157894746E-2</c:v>
                </c:pt>
                <c:pt idx="145">
                  <c:v>5.9405263157894746E-2</c:v>
                </c:pt>
                <c:pt idx="146">
                  <c:v>5.9405263157894746E-2</c:v>
                </c:pt>
                <c:pt idx="147">
                  <c:v>5.9405263157894746E-2</c:v>
                </c:pt>
                <c:pt idx="148">
                  <c:v>5.9405263157894746E-2</c:v>
                </c:pt>
                <c:pt idx="149">
                  <c:v>5.9405263157894746E-2</c:v>
                </c:pt>
                <c:pt idx="150">
                  <c:v>5.9405263157894746E-2</c:v>
                </c:pt>
                <c:pt idx="151">
                  <c:v>5.9405263157894746E-2</c:v>
                </c:pt>
                <c:pt idx="152">
                  <c:v>5.9405263157894746E-2</c:v>
                </c:pt>
                <c:pt idx="153">
                  <c:v>5.9405263157894746E-2</c:v>
                </c:pt>
                <c:pt idx="154">
                  <c:v>5.9405263157894746E-2</c:v>
                </c:pt>
                <c:pt idx="155">
                  <c:v>5.9405263157894746E-2</c:v>
                </c:pt>
                <c:pt idx="156">
                  <c:v>5.9405263157894746E-2</c:v>
                </c:pt>
                <c:pt idx="157">
                  <c:v>5.9405263157894746E-2</c:v>
                </c:pt>
                <c:pt idx="158">
                  <c:v>5.9405263157894746E-2</c:v>
                </c:pt>
                <c:pt idx="159">
                  <c:v>5.9405263157894746E-2</c:v>
                </c:pt>
                <c:pt idx="160">
                  <c:v>5.9405263157894746E-2</c:v>
                </c:pt>
                <c:pt idx="161">
                  <c:v>5.9405263157894746E-2</c:v>
                </c:pt>
                <c:pt idx="162">
                  <c:v>5.9405263157894746E-2</c:v>
                </c:pt>
                <c:pt idx="163">
                  <c:v>5.9405263157894746E-2</c:v>
                </c:pt>
                <c:pt idx="164">
                  <c:v>5.9405263157894746E-2</c:v>
                </c:pt>
                <c:pt idx="165">
                  <c:v>5.9405263157894746E-2</c:v>
                </c:pt>
                <c:pt idx="166">
                  <c:v>5.9405263157894746E-2</c:v>
                </c:pt>
                <c:pt idx="167">
                  <c:v>5.9405263157894746E-2</c:v>
                </c:pt>
                <c:pt idx="168">
                  <c:v>5.9405263157894746E-2</c:v>
                </c:pt>
                <c:pt idx="169">
                  <c:v>5.9405263157894746E-2</c:v>
                </c:pt>
                <c:pt idx="170">
                  <c:v>5.9405263157894746E-2</c:v>
                </c:pt>
                <c:pt idx="171">
                  <c:v>5.9405263157894746E-2</c:v>
                </c:pt>
                <c:pt idx="172">
                  <c:v>5.9405263157894746E-2</c:v>
                </c:pt>
                <c:pt idx="173">
                  <c:v>5.9405263157894746E-2</c:v>
                </c:pt>
                <c:pt idx="174">
                  <c:v>5.9405263157894746E-2</c:v>
                </c:pt>
                <c:pt idx="175">
                  <c:v>5.9405263157894746E-2</c:v>
                </c:pt>
                <c:pt idx="176">
                  <c:v>5.9405263157894746E-2</c:v>
                </c:pt>
                <c:pt idx="177">
                  <c:v>5.9405263157894746E-2</c:v>
                </c:pt>
                <c:pt idx="178">
                  <c:v>5.9405263157894746E-2</c:v>
                </c:pt>
                <c:pt idx="179">
                  <c:v>5.9405263157894746E-2</c:v>
                </c:pt>
                <c:pt idx="180">
                  <c:v>5.9405263157894746E-2</c:v>
                </c:pt>
                <c:pt idx="181">
                  <c:v>5.9405263157894746E-2</c:v>
                </c:pt>
                <c:pt idx="182">
                  <c:v>5.9405263157894746E-2</c:v>
                </c:pt>
                <c:pt idx="183">
                  <c:v>5.9405263157894746E-2</c:v>
                </c:pt>
                <c:pt idx="184">
                  <c:v>5.9405263157894746E-2</c:v>
                </c:pt>
                <c:pt idx="185">
                  <c:v>5.9405263157894746E-2</c:v>
                </c:pt>
                <c:pt idx="186">
                  <c:v>5.9405263157894746E-2</c:v>
                </c:pt>
                <c:pt idx="187">
                  <c:v>5.9405263157894746E-2</c:v>
                </c:pt>
                <c:pt idx="188">
                  <c:v>5.9405263157894746E-2</c:v>
                </c:pt>
                <c:pt idx="189">
                  <c:v>5.9405263157894746E-2</c:v>
                </c:pt>
                <c:pt idx="190">
                  <c:v>5.9405263157894746E-2</c:v>
                </c:pt>
                <c:pt idx="191">
                  <c:v>5.9405263157894746E-2</c:v>
                </c:pt>
                <c:pt idx="192">
                  <c:v>5.9405263157894746E-2</c:v>
                </c:pt>
                <c:pt idx="193">
                  <c:v>5.9405263157894746E-2</c:v>
                </c:pt>
                <c:pt idx="194">
                  <c:v>5.9405263157894746E-2</c:v>
                </c:pt>
                <c:pt idx="195">
                  <c:v>5.9405263157894746E-2</c:v>
                </c:pt>
                <c:pt idx="196">
                  <c:v>5.9405263157894746E-2</c:v>
                </c:pt>
                <c:pt idx="197">
                  <c:v>5.9405263157894746E-2</c:v>
                </c:pt>
                <c:pt idx="198">
                  <c:v>5.9405263157894746E-2</c:v>
                </c:pt>
                <c:pt idx="199">
                  <c:v>5.9405263157894746E-2</c:v>
                </c:pt>
                <c:pt idx="200">
                  <c:v>5.9405263157894746E-2</c:v>
                </c:pt>
                <c:pt idx="201">
                  <c:v>5.9405263157894746E-2</c:v>
                </c:pt>
                <c:pt idx="202">
                  <c:v>5.9405263157894746E-2</c:v>
                </c:pt>
                <c:pt idx="203">
                  <c:v>5.9405263157894746E-2</c:v>
                </c:pt>
                <c:pt idx="204">
                  <c:v>5.9405263157894746E-2</c:v>
                </c:pt>
                <c:pt idx="205">
                  <c:v>5.9405263157894746E-2</c:v>
                </c:pt>
                <c:pt idx="206">
                  <c:v>5.9405263157894746E-2</c:v>
                </c:pt>
                <c:pt idx="207">
                  <c:v>5.9405263157894746E-2</c:v>
                </c:pt>
                <c:pt idx="208">
                  <c:v>5.9405263157894746E-2</c:v>
                </c:pt>
                <c:pt idx="209">
                  <c:v>5.9405263157894746E-2</c:v>
                </c:pt>
                <c:pt idx="210">
                  <c:v>5.9405263157894746E-2</c:v>
                </c:pt>
                <c:pt idx="211">
                  <c:v>5.9405263157894746E-2</c:v>
                </c:pt>
                <c:pt idx="212">
                  <c:v>5.9405263157894746E-2</c:v>
                </c:pt>
                <c:pt idx="213">
                  <c:v>5.9405263157894746E-2</c:v>
                </c:pt>
                <c:pt idx="214">
                  <c:v>5.9405263157894746E-2</c:v>
                </c:pt>
                <c:pt idx="215">
                  <c:v>5.9405263157894746E-2</c:v>
                </c:pt>
                <c:pt idx="216">
                  <c:v>5.9405263157894746E-2</c:v>
                </c:pt>
                <c:pt idx="217">
                  <c:v>5.9405263157894746E-2</c:v>
                </c:pt>
                <c:pt idx="218">
                  <c:v>5.9405263157894746E-2</c:v>
                </c:pt>
                <c:pt idx="219">
                  <c:v>5.9405263157894746E-2</c:v>
                </c:pt>
                <c:pt idx="220">
                  <c:v>5.9405263157894746E-2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1.9981842105263166</c:v>
                </c:pt>
                <c:pt idx="350">
                  <c:v>5.9405263157894746E-2</c:v>
                </c:pt>
                <c:pt idx="351">
                  <c:v>5.9405263157894746E-2</c:v>
                </c:pt>
                <c:pt idx="352">
                  <c:v>5.9405263157894746E-2</c:v>
                </c:pt>
                <c:pt idx="353">
                  <c:v>5.9405263157894746E-2</c:v>
                </c:pt>
                <c:pt idx="354">
                  <c:v>5.9405263157894746E-2</c:v>
                </c:pt>
                <c:pt idx="355">
                  <c:v>5.9405263157894746E-2</c:v>
                </c:pt>
                <c:pt idx="356">
                  <c:v>5.9405263157894746E-2</c:v>
                </c:pt>
                <c:pt idx="357">
                  <c:v>5.9405263157894746E-2</c:v>
                </c:pt>
                <c:pt idx="358">
                  <c:v>5.9405263157894746E-2</c:v>
                </c:pt>
                <c:pt idx="359">
                  <c:v>5.9405263157894746E-2</c:v>
                </c:pt>
                <c:pt idx="360">
                  <c:v>5.9405263157894746E-2</c:v>
                </c:pt>
                <c:pt idx="361">
                  <c:v>5.9405263157894746E-2</c:v>
                </c:pt>
                <c:pt idx="362">
                  <c:v>5.9405263157894746E-2</c:v>
                </c:pt>
                <c:pt idx="363">
                  <c:v>5.9405263157894746E-2</c:v>
                </c:pt>
                <c:pt idx="364">
                  <c:v>5.9405263157894746E-2</c:v>
                </c:pt>
                <c:pt idx="365">
                  <c:v>5.9405263157894746E-2</c:v>
                </c:pt>
                <c:pt idx="366">
                  <c:v>5.9405263157894746E-2</c:v>
                </c:pt>
                <c:pt idx="367">
                  <c:v>5.9405263157894746E-2</c:v>
                </c:pt>
                <c:pt idx="368">
                  <c:v>5.9405263157894746E-2</c:v>
                </c:pt>
                <c:pt idx="369">
                  <c:v>5.9405263157894746E-2</c:v>
                </c:pt>
                <c:pt idx="370">
                  <c:v>5.9405263157894746E-2</c:v>
                </c:pt>
                <c:pt idx="371">
                  <c:v>5.9405263157894746E-2</c:v>
                </c:pt>
                <c:pt idx="372">
                  <c:v>5.9405263157894746E-2</c:v>
                </c:pt>
                <c:pt idx="373">
                  <c:v>5.9405263157894746E-2</c:v>
                </c:pt>
                <c:pt idx="374">
                  <c:v>5.9405263157894746E-2</c:v>
                </c:pt>
                <c:pt idx="375">
                  <c:v>5.9405263157894746E-2</c:v>
                </c:pt>
                <c:pt idx="376">
                  <c:v>5.9405263157894746E-2</c:v>
                </c:pt>
                <c:pt idx="377">
                  <c:v>5.9405263157894746E-2</c:v>
                </c:pt>
                <c:pt idx="378">
                  <c:v>5.9405263157894746E-2</c:v>
                </c:pt>
                <c:pt idx="379">
                  <c:v>5.9405263157894746E-2</c:v>
                </c:pt>
                <c:pt idx="380">
                  <c:v>5.9405263157894746E-2</c:v>
                </c:pt>
                <c:pt idx="381">
                  <c:v>5.9405263157894746E-2</c:v>
                </c:pt>
                <c:pt idx="382">
                  <c:v>5.9405263157894746E-2</c:v>
                </c:pt>
                <c:pt idx="383">
                  <c:v>5.9405263157894746E-2</c:v>
                </c:pt>
                <c:pt idx="384">
                  <c:v>5.9405263157894746E-2</c:v>
                </c:pt>
                <c:pt idx="385">
                  <c:v>5.9405263157894746E-2</c:v>
                </c:pt>
                <c:pt idx="386">
                  <c:v>5.9405263157894746E-2</c:v>
                </c:pt>
                <c:pt idx="387">
                  <c:v>5.9405263157894746E-2</c:v>
                </c:pt>
                <c:pt idx="388">
                  <c:v>5.9405263157894746E-2</c:v>
                </c:pt>
                <c:pt idx="389">
                  <c:v>5.9405263157894746E-2</c:v>
                </c:pt>
                <c:pt idx="390">
                  <c:v>5.9405263157894746E-2</c:v>
                </c:pt>
                <c:pt idx="391">
                  <c:v>5.9405263157894746E-2</c:v>
                </c:pt>
                <c:pt idx="392">
                  <c:v>5.9405263157894746E-2</c:v>
                </c:pt>
                <c:pt idx="393">
                  <c:v>5.9405263157894746E-2</c:v>
                </c:pt>
                <c:pt idx="394">
                  <c:v>5.9405263157894746E-2</c:v>
                </c:pt>
                <c:pt idx="395">
                  <c:v>5.9405263157894746E-2</c:v>
                </c:pt>
                <c:pt idx="396">
                  <c:v>5.9405263157894746E-2</c:v>
                </c:pt>
                <c:pt idx="397">
                  <c:v>5.9405263157894746E-2</c:v>
                </c:pt>
                <c:pt idx="398">
                  <c:v>5.9405263157894746E-2</c:v>
                </c:pt>
                <c:pt idx="399">
                  <c:v>5.9405263157894746E-2</c:v>
                </c:pt>
                <c:pt idx="400">
                  <c:v>5.9405263157894746E-2</c:v>
                </c:pt>
                <c:pt idx="401">
                  <c:v>5.9405263157894746E-2</c:v>
                </c:pt>
                <c:pt idx="402">
                  <c:v>5.9405263157894746E-2</c:v>
                </c:pt>
                <c:pt idx="403">
                  <c:v>5.9405263157894746E-2</c:v>
                </c:pt>
                <c:pt idx="404">
                  <c:v>5.9405263157894746E-2</c:v>
                </c:pt>
                <c:pt idx="405">
                  <c:v>5.9405263157894746E-2</c:v>
                </c:pt>
                <c:pt idx="406">
                  <c:v>5.9405263157894746E-2</c:v>
                </c:pt>
                <c:pt idx="407">
                  <c:v>5.9405263157894746E-2</c:v>
                </c:pt>
                <c:pt idx="408">
                  <c:v>5.9405263157894746E-2</c:v>
                </c:pt>
                <c:pt idx="409">
                  <c:v>5.9405263157894746E-2</c:v>
                </c:pt>
                <c:pt idx="410">
                  <c:v>5.9405263157894746E-2</c:v>
                </c:pt>
                <c:pt idx="411">
                  <c:v>5.9405263157894746E-2</c:v>
                </c:pt>
                <c:pt idx="412">
                  <c:v>5.9405263157894746E-2</c:v>
                </c:pt>
                <c:pt idx="413">
                  <c:v>5.9405263157894746E-2</c:v>
                </c:pt>
                <c:pt idx="414">
                  <c:v>5.9405263157894746E-2</c:v>
                </c:pt>
                <c:pt idx="415">
                  <c:v>5.9405263157894746E-2</c:v>
                </c:pt>
                <c:pt idx="416">
                  <c:v>5.9405263157894746E-2</c:v>
                </c:pt>
                <c:pt idx="417">
                  <c:v>5.9405263157894746E-2</c:v>
                </c:pt>
                <c:pt idx="418">
                  <c:v>5.9405263157894746E-2</c:v>
                </c:pt>
                <c:pt idx="419">
                  <c:v>5.9405263157894746E-2</c:v>
                </c:pt>
                <c:pt idx="420">
                  <c:v>5.9405263157894746E-2</c:v>
                </c:pt>
                <c:pt idx="421">
                  <c:v>5.9405263157894746E-2</c:v>
                </c:pt>
                <c:pt idx="422">
                  <c:v>5.9405263157894746E-2</c:v>
                </c:pt>
                <c:pt idx="423">
                  <c:v>5.9405263157894746E-2</c:v>
                </c:pt>
                <c:pt idx="424">
                  <c:v>5.9405263157894746E-2</c:v>
                </c:pt>
                <c:pt idx="425">
                  <c:v>5.9405263157894746E-2</c:v>
                </c:pt>
                <c:pt idx="426">
                  <c:v>5.9405263157894746E-2</c:v>
                </c:pt>
                <c:pt idx="427">
                  <c:v>5.9405263157894746E-2</c:v>
                </c:pt>
                <c:pt idx="428">
                  <c:v>5.9405263157894746E-2</c:v>
                </c:pt>
                <c:pt idx="429">
                  <c:v>5.9405263157894746E-2</c:v>
                </c:pt>
                <c:pt idx="430">
                  <c:v>5.9405263157894746E-2</c:v>
                </c:pt>
                <c:pt idx="431">
                  <c:v>5.9405263157894746E-2</c:v>
                </c:pt>
                <c:pt idx="432">
                  <c:v>5.9405263157894746E-2</c:v>
                </c:pt>
                <c:pt idx="433">
                  <c:v>5.9405263157894746E-2</c:v>
                </c:pt>
                <c:pt idx="434">
                  <c:v>5.9405263157894746E-2</c:v>
                </c:pt>
                <c:pt idx="435">
                  <c:v>5.9405263157894746E-2</c:v>
                </c:pt>
                <c:pt idx="436">
                  <c:v>5.9405263157894746E-2</c:v>
                </c:pt>
                <c:pt idx="437">
                  <c:v>5.9405263157894746E-2</c:v>
                </c:pt>
                <c:pt idx="438">
                  <c:v>5.9405263157894746E-2</c:v>
                </c:pt>
                <c:pt idx="439">
                  <c:v>5.9405263157894746E-2</c:v>
                </c:pt>
                <c:pt idx="440">
                  <c:v>5.9405263157894746E-2</c:v>
                </c:pt>
                <c:pt idx="441">
                  <c:v>5.9405263157894746E-2</c:v>
                </c:pt>
                <c:pt idx="442">
                  <c:v>5.9405263157894746E-2</c:v>
                </c:pt>
                <c:pt idx="443">
                  <c:v>5.9405263157894746E-2</c:v>
                </c:pt>
                <c:pt idx="444">
                  <c:v>5.9405263157894746E-2</c:v>
                </c:pt>
                <c:pt idx="445">
                  <c:v>5.9405263157894746E-2</c:v>
                </c:pt>
                <c:pt idx="446">
                  <c:v>5.9405263157894746E-2</c:v>
                </c:pt>
                <c:pt idx="447">
                  <c:v>5.9405263157894746E-2</c:v>
                </c:pt>
                <c:pt idx="448">
                  <c:v>5.9405263157894746E-2</c:v>
                </c:pt>
                <c:pt idx="449">
                  <c:v>5.9405263157894746E-2</c:v>
                </c:pt>
                <c:pt idx="450">
                  <c:v>5.9405263157894746E-2</c:v>
                </c:pt>
                <c:pt idx="451">
                  <c:v>5.9405263157894746E-2</c:v>
                </c:pt>
                <c:pt idx="452">
                  <c:v>5.9405263157894746E-2</c:v>
                </c:pt>
                <c:pt idx="453">
                  <c:v>5.9405263157894746E-2</c:v>
                </c:pt>
                <c:pt idx="454">
                  <c:v>5.9405263157894746E-2</c:v>
                </c:pt>
                <c:pt idx="455">
                  <c:v>5.9405263157894746E-2</c:v>
                </c:pt>
                <c:pt idx="456">
                  <c:v>5.9405263157894746E-2</c:v>
                </c:pt>
                <c:pt idx="457">
                  <c:v>5.9405263157894746E-2</c:v>
                </c:pt>
                <c:pt idx="458">
                  <c:v>5.9405263157894746E-2</c:v>
                </c:pt>
                <c:pt idx="459">
                  <c:v>5.9405263157894746E-2</c:v>
                </c:pt>
                <c:pt idx="460">
                  <c:v>5.9405263157894746E-2</c:v>
                </c:pt>
                <c:pt idx="461">
                  <c:v>5.9405263157894746E-2</c:v>
                </c:pt>
                <c:pt idx="462">
                  <c:v>5.9405263157894746E-2</c:v>
                </c:pt>
                <c:pt idx="463">
                  <c:v>5.9405263157894746E-2</c:v>
                </c:pt>
                <c:pt idx="464">
                  <c:v>5.9405263157894746E-2</c:v>
                </c:pt>
                <c:pt idx="465">
                  <c:v>5.9405263157894746E-2</c:v>
                </c:pt>
                <c:pt idx="466">
                  <c:v>5.9405263157894746E-2</c:v>
                </c:pt>
                <c:pt idx="467">
                  <c:v>5.9405263157894746E-2</c:v>
                </c:pt>
                <c:pt idx="468">
                  <c:v>5.9405263157894746E-2</c:v>
                </c:pt>
                <c:pt idx="469">
                  <c:v>5.9405263157894746E-2</c:v>
                </c:pt>
                <c:pt idx="470">
                  <c:v>5.9405263157894746E-2</c:v>
                </c:pt>
                <c:pt idx="471">
                  <c:v>5.9405263157894746E-2</c:v>
                </c:pt>
                <c:pt idx="472">
                  <c:v>5.9405263157894746E-2</c:v>
                </c:pt>
                <c:pt idx="473">
                  <c:v>5.9405263157894746E-2</c:v>
                </c:pt>
                <c:pt idx="474">
                  <c:v>5.9405263157894746E-2</c:v>
                </c:pt>
                <c:pt idx="475">
                  <c:v>5.9405263157894746E-2</c:v>
                </c:pt>
                <c:pt idx="476">
                  <c:v>5.9405263157894746E-2</c:v>
                </c:pt>
                <c:pt idx="477">
                  <c:v>5.9405263157894746E-2</c:v>
                </c:pt>
                <c:pt idx="478">
                  <c:v>5.9405263157894746E-2</c:v>
                </c:pt>
                <c:pt idx="479">
                  <c:v>5.9405263157894746E-2</c:v>
                </c:pt>
                <c:pt idx="480">
                  <c:v>5.9405263157894746E-2</c:v>
                </c:pt>
                <c:pt idx="481">
                  <c:v>5.9405263157894746E-2</c:v>
                </c:pt>
                <c:pt idx="482">
                  <c:v>5.9405263157894746E-2</c:v>
                </c:pt>
                <c:pt idx="483">
                  <c:v>5.9405263157894746E-2</c:v>
                </c:pt>
                <c:pt idx="484">
                  <c:v>5.9405263157894746E-2</c:v>
                </c:pt>
                <c:pt idx="485">
                  <c:v>5.9405263157894746E-2</c:v>
                </c:pt>
                <c:pt idx="486">
                  <c:v>5.9405263157894746E-2</c:v>
                </c:pt>
                <c:pt idx="487">
                  <c:v>5.9405263157894746E-2</c:v>
                </c:pt>
                <c:pt idx="488">
                  <c:v>5.9405263157894746E-2</c:v>
                </c:pt>
                <c:pt idx="489">
                  <c:v>5.9405263157894746E-2</c:v>
                </c:pt>
                <c:pt idx="490">
                  <c:v>5.9405263157894746E-2</c:v>
                </c:pt>
                <c:pt idx="491">
                  <c:v>5.9405263157894746E-2</c:v>
                </c:pt>
                <c:pt idx="492">
                  <c:v>5.9405263157894746E-2</c:v>
                </c:pt>
                <c:pt idx="493">
                  <c:v>5.9405263157894746E-2</c:v>
                </c:pt>
                <c:pt idx="494">
                  <c:v>5.9405263157894746E-2</c:v>
                </c:pt>
                <c:pt idx="495">
                  <c:v>5.9405263157894746E-2</c:v>
                </c:pt>
                <c:pt idx="496">
                  <c:v>5.9405263157894746E-2</c:v>
                </c:pt>
                <c:pt idx="497">
                  <c:v>5.9405263157894746E-2</c:v>
                </c:pt>
                <c:pt idx="498">
                  <c:v>5.9405263157894746E-2</c:v>
                </c:pt>
                <c:pt idx="499">
                  <c:v>5.9405263157894746E-2</c:v>
                </c:pt>
                <c:pt idx="500">
                  <c:v>5.9405263157894746E-2</c:v>
                </c:pt>
                <c:pt idx="501">
                  <c:v>5.9405263157894746E-2</c:v>
                </c:pt>
                <c:pt idx="502">
                  <c:v>5.9405263157894746E-2</c:v>
                </c:pt>
                <c:pt idx="503">
                  <c:v>5.9405263157894746E-2</c:v>
                </c:pt>
                <c:pt idx="504">
                  <c:v>5.9405263157894746E-2</c:v>
                </c:pt>
                <c:pt idx="505">
                  <c:v>5.9405263157894746E-2</c:v>
                </c:pt>
                <c:pt idx="506">
                  <c:v>5.9405263157894746E-2</c:v>
                </c:pt>
                <c:pt idx="507">
                  <c:v>5.9405263157894746E-2</c:v>
                </c:pt>
                <c:pt idx="508">
                  <c:v>5.9405263157894746E-2</c:v>
                </c:pt>
                <c:pt idx="509">
                  <c:v>5.9405263157894746E-2</c:v>
                </c:pt>
                <c:pt idx="510">
                  <c:v>5.9405263157894746E-2</c:v>
                </c:pt>
                <c:pt idx="511">
                  <c:v>5.9405263157894746E-2</c:v>
                </c:pt>
                <c:pt idx="512">
                  <c:v>5.9405263157894746E-2</c:v>
                </c:pt>
                <c:pt idx="513">
                  <c:v>5.9405263157894746E-2</c:v>
                </c:pt>
                <c:pt idx="514">
                  <c:v>5.9405263157894746E-2</c:v>
                </c:pt>
                <c:pt idx="515">
                  <c:v>5.9405263157894746E-2</c:v>
                </c:pt>
                <c:pt idx="516">
                  <c:v>5.9405263157894746E-2</c:v>
                </c:pt>
                <c:pt idx="517">
                  <c:v>5.9405263157894746E-2</c:v>
                </c:pt>
                <c:pt idx="518">
                  <c:v>5.9405263157894746E-2</c:v>
                </c:pt>
                <c:pt idx="519">
                  <c:v>5.9405263157894746E-2</c:v>
                </c:pt>
                <c:pt idx="520">
                  <c:v>5.9405263157894746E-2</c:v>
                </c:pt>
                <c:pt idx="521">
                  <c:v>5.9405263157894746E-2</c:v>
                </c:pt>
                <c:pt idx="522">
                  <c:v>5.9405263157894746E-2</c:v>
                </c:pt>
                <c:pt idx="523">
                  <c:v>5.9405263157894746E-2</c:v>
                </c:pt>
                <c:pt idx="524">
                  <c:v>5.9405263157894746E-2</c:v>
                </c:pt>
                <c:pt idx="525">
                  <c:v>5.9405263157894746E-2</c:v>
                </c:pt>
                <c:pt idx="526">
                  <c:v>5.9405263157894746E-2</c:v>
                </c:pt>
                <c:pt idx="527">
                  <c:v>5.9405263157894746E-2</c:v>
                </c:pt>
                <c:pt idx="528">
                  <c:v>5.9405263157894746E-2</c:v>
                </c:pt>
                <c:pt idx="529">
                  <c:v>5.9405263157894746E-2</c:v>
                </c:pt>
                <c:pt idx="530">
                  <c:v>5.9405263157894746E-2</c:v>
                </c:pt>
                <c:pt idx="531">
                  <c:v>5.9405263157894746E-2</c:v>
                </c:pt>
                <c:pt idx="532">
                  <c:v>5.9405263157894746E-2</c:v>
                </c:pt>
                <c:pt idx="533">
                  <c:v>5.9405263157894746E-2</c:v>
                </c:pt>
                <c:pt idx="534">
                  <c:v>5.9405263157894746E-2</c:v>
                </c:pt>
                <c:pt idx="535">
                  <c:v>5.9405263157894746E-2</c:v>
                </c:pt>
                <c:pt idx="536">
                  <c:v>5.9405263157894746E-2</c:v>
                </c:pt>
                <c:pt idx="537">
                  <c:v>5.9405263157894746E-2</c:v>
                </c:pt>
                <c:pt idx="538">
                  <c:v>5.9405263157894746E-2</c:v>
                </c:pt>
                <c:pt idx="539">
                  <c:v>5.9405263157894746E-2</c:v>
                </c:pt>
                <c:pt idx="540">
                  <c:v>5.9405263157894746E-2</c:v>
                </c:pt>
                <c:pt idx="541">
                  <c:v>5.9405263157894746E-2</c:v>
                </c:pt>
                <c:pt idx="542">
                  <c:v>5.9405263157894746E-2</c:v>
                </c:pt>
                <c:pt idx="543">
                  <c:v>5.9405263157894746E-2</c:v>
                </c:pt>
                <c:pt idx="544">
                  <c:v>5.9405263157894746E-2</c:v>
                </c:pt>
                <c:pt idx="545">
                  <c:v>5.9405263157894746E-2</c:v>
                </c:pt>
                <c:pt idx="546">
                  <c:v>5.9405263157894746E-2</c:v>
                </c:pt>
                <c:pt idx="547">
                  <c:v>5.9405263157894746E-2</c:v>
                </c:pt>
                <c:pt idx="548">
                  <c:v>5.9405263157894746E-2</c:v>
                </c:pt>
                <c:pt idx="549">
                  <c:v>5.9405263157894746E-2</c:v>
                </c:pt>
                <c:pt idx="550">
                  <c:v>5.9405263157894746E-2</c:v>
                </c:pt>
                <c:pt idx="551">
                  <c:v>5.9405263157894746E-2</c:v>
                </c:pt>
                <c:pt idx="552">
                  <c:v>5.9405263157894746E-2</c:v>
                </c:pt>
                <c:pt idx="553">
                  <c:v>5.9405263157894746E-2</c:v>
                </c:pt>
                <c:pt idx="554">
                  <c:v>5.9405263157894746E-2</c:v>
                </c:pt>
                <c:pt idx="555">
                  <c:v>5.9405263157894746E-2</c:v>
                </c:pt>
                <c:pt idx="556">
                  <c:v>5.9405263157894746E-2</c:v>
                </c:pt>
                <c:pt idx="557">
                  <c:v>5.9405263157894746E-2</c:v>
                </c:pt>
                <c:pt idx="558">
                  <c:v>5.9405263157894746E-2</c:v>
                </c:pt>
                <c:pt idx="559">
                  <c:v>5.9405263157894746E-2</c:v>
                </c:pt>
                <c:pt idx="560">
                  <c:v>5.9405263157894746E-2</c:v>
                </c:pt>
                <c:pt idx="561">
                  <c:v>5.9405263157894746E-2</c:v>
                </c:pt>
                <c:pt idx="562">
                  <c:v>5.9405263157894746E-2</c:v>
                </c:pt>
                <c:pt idx="563">
                  <c:v>5.9405263157894746E-2</c:v>
                </c:pt>
                <c:pt idx="564">
                  <c:v>5.9405263157894746E-2</c:v>
                </c:pt>
                <c:pt idx="565">
                  <c:v>5.9405263157894746E-2</c:v>
                </c:pt>
                <c:pt idx="566">
                  <c:v>5.9405263157894746E-2</c:v>
                </c:pt>
                <c:pt idx="567">
                  <c:v>5.9405263157894746E-2</c:v>
                </c:pt>
                <c:pt idx="568">
                  <c:v>5.9405263157894746E-2</c:v>
                </c:pt>
                <c:pt idx="569">
                  <c:v>5.9405263157894746E-2</c:v>
                </c:pt>
                <c:pt idx="570">
                  <c:v>5.9405263157894746E-2</c:v>
                </c:pt>
                <c:pt idx="571">
                  <c:v>5.9405263157894746E-2</c:v>
                </c:pt>
                <c:pt idx="572">
                  <c:v>5.9405263157894746E-2</c:v>
                </c:pt>
                <c:pt idx="573">
                  <c:v>5.9405263157894746E-2</c:v>
                </c:pt>
                <c:pt idx="574">
                  <c:v>5.9405263157894746E-2</c:v>
                </c:pt>
                <c:pt idx="575">
                  <c:v>5.9405263157894746E-2</c:v>
                </c:pt>
                <c:pt idx="576">
                  <c:v>5.9405263157894746E-2</c:v>
                </c:pt>
                <c:pt idx="577">
                  <c:v>5.9405263157894746E-2</c:v>
                </c:pt>
                <c:pt idx="578">
                  <c:v>5.9405263157894746E-2</c:v>
                </c:pt>
                <c:pt idx="579">
                  <c:v>5.9405263157894746E-2</c:v>
                </c:pt>
                <c:pt idx="580">
                  <c:v>5.9405263157894746E-2</c:v>
                </c:pt>
                <c:pt idx="581">
                  <c:v>5.9405263157894746E-2</c:v>
                </c:pt>
                <c:pt idx="582">
                  <c:v>5.9405263157894746E-2</c:v>
                </c:pt>
                <c:pt idx="583">
                  <c:v>5.9405263157894746E-2</c:v>
                </c:pt>
                <c:pt idx="584">
                  <c:v>5.9405263157894746E-2</c:v>
                </c:pt>
                <c:pt idx="585">
                  <c:v>5.9405263157894746E-2</c:v>
                </c:pt>
                <c:pt idx="586">
                  <c:v>5.9405263157894746E-2</c:v>
                </c:pt>
                <c:pt idx="587">
                  <c:v>5.9405263157894746E-2</c:v>
                </c:pt>
                <c:pt idx="588">
                  <c:v>5.9405263157894746E-2</c:v>
                </c:pt>
                <c:pt idx="589">
                  <c:v>5.9405263157894746E-2</c:v>
                </c:pt>
                <c:pt idx="590">
                  <c:v>5.9405263157894746E-2</c:v>
                </c:pt>
                <c:pt idx="591">
                  <c:v>5.9405263157894746E-2</c:v>
                </c:pt>
                <c:pt idx="592">
                  <c:v>5.9405263157894746E-2</c:v>
                </c:pt>
                <c:pt idx="593">
                  <c:v>5.9405263157894746E-2</c:v>
                </c:pt>
                <c:pt idx="594">
                  <c:v>5.9405263157894746E-2</c:v>
                </c:pt>
                <c:pt idx="595">
                  <c:v>5.9405263157894746E-2</c:v>
                </c:pt>
                <c:pt idx="596">
                  <c:v>5.9405263157894746E-2</c:v>
                </c:pt>
                <c:pt idx="597">
                  <c:v>5.9405263157894746E-2</c:v>
                </c:pt>
                <c:pt idx="598">
                  <c:v>5.9405263157894746E-2</c:v>
                </c:pt>
                <c:pt idx="599">
                  <c:v>5.9405263157894746E-2</c:v>
                </c:pt>
                <c:pt idx="600">
                  <c:v>5.9405263157894746E-2</c:v>
                </c:pt>
                <c:pt idx="601">
                  <c:v>5.9405263157894746E-2</c:v>
                </c:pt>
                <c:pt idx="602">
                  <c:v>5.9405263157894746E-2</c:v>
                </c:pt>
                <c:pt idx="603">
                  <c:v>5.9405263157894746E-2</c:v>
                </c:pt>
                <c:pt idx="604">
                  <c:v>5.9405263157894746E-2</c:v>
                </c:pt>
                <c:pt idx="605">
                  <c:v>5.9405263157894746E-2</c:v>
                </c:pt>
                <c:pt idx="606">
                  <c:v>5.9405263157894746E-2</c:v>
                </c:pt>
                <c:pt idx="607">
                  <c:v>5.9405263157894746E-2</c:v>
                </c:pt>
                <c:pt idx="608">
                  <c:v>5.9405263157894746E-2</c:v>
                </c:pt>
                <c:pt idx="609">
                  <c:v>5.9405263157894746E-2</c:v>
                </c:pt>
                <c:pt idx="610">
                  <c:v>5.9405263157894746E-2</c:v>
                </c:pt>
                <c:pt idx="611">
                  <c:v>5.9405263157894746E-2</c:v>
                </c:pt>
                <c:pt idx="612">
                  <c:v>5.9405263157894746E-2</c:v>
                </c:pt>
                <c:pt idx="613">
                  <c:v>5.9405263157894746E-2</c:v>
                </c:pt>
                <c:pt idx="614">
                  <c:v>5.9405263157894746E-2</c:v>
                </c:pt>
                <c:pt idx="615">
                  <c:v>5.9405263157894746E-2</c:v>
                </c:pt>
                <c:pt idx="616">
                  <c:v>5.9405263157894746E-2</c:v>
                </c:pt>
                <c:pt idx="617">
                  <c:v>5.9405263157894746E-2</c:v>
                </c:pt>
                <c:pt idx="618">
                  <c:v>5.9405263157894746E-2</c:v>
                </c:pt>
                <c:pt idx="619">
                  <c:v>5.9405263157894746E-2</c:v>
                </c:pt>
                <c:pt idx="620">
                  <c:v>5.9405263157894746E-2</c:v>
                </c:pt>
                <c:pt idx="621">
                  <c:v>5.9405263157894746E-2</c:v>
                </c:pt>
                <c:pt idx="622">
                  <c:v>5.9405263157894746E-2</c:v>
                </c:pt>
                <c:pt idx="623">
                  <c:v>5.9405263157894746E-2</c:v>
                </c:pt>
                <c:pt idx="624">
                  <c:v>5.9405263157894746E-2</c:v>
                </c:pt>
                <c:pt idx="625">
                  <c:v>5.9405263157894746E-2</c:v>
                </c:pt>
                <c:pt idx="626">
                  <c:v>5.9405263157894746E-2</c:v>
                </c:pt>
                <c:pt idx="627">
                  <c:v>5.9405263157894746E-2</c:v>
                </c:pt>
                <c:pt idx="628">
                  <c:v>5.9405263157894746E-2</c:v>
                </c:pt>
                <c:pt idx="629">
                  <c:v>5.9405263157894746E-2</c:v>
                </c:pt>
                <c:pt idx="630">
                  <c:v>5.9405263157894746E-2</c:v>
                </c:pt>
                <c:pt idx="631">
                  <c:v>5.9405263157894746E-2</c:v>
                </c:pt>
                <c:pt idx="632">
                  <c:v>5.9405263157894746E-2</c:v>
                </c:pt>
                <c:pt idx="633">
                  <c:v>5.9405263157894746E-2</c:v>
                </c:pt>
                <c:pt idx="634">
                  <c:v>5.9405263157894746E-2</c:v>
                </c:pt>
                <c:pt idx="635">
                  <c:v>5.9405263157894746E-2</c:v>
                </c:pt>
                <c:pt idx="636">
                  <c:v>5.9405263157894746E-2</c:v>
                </c:pt>
                <c:pt idx="637">
                  <c:v>5.9405263157894746E-2</c:v>
                </c:pt>
                <c:pt idx="638">
                  <c:v>5.9405263157894746E-2</c:v>
                </c:pt>
                <c:pt idx="639">
                  <c:v>5.9405263157894746E-2</c:v>
                </c:pt>
                <c:pt idx="640">
                  <c:v>5.9405263157894746E-2</c:v>
                </c:pt>
                <c:pt idx="641">
                  <c:v>5.9405263157894746E-2</c:v>
                </c:pt>
                <c:pt idx="642">
                  <c:v>5.9405263157894746E-2</c:v>
                </c:pt>
                <c:pt idx="643">
                  <c:v>5.9405263157894746E-2</c:v>
                </c:pt>
                <c:pt idx="644">
                  <c:v>5.9405263157894746E-2</c:v>
                </c:pt>
                <c:pt idx="645">
                  <c:v>5.9405263157894746E-2</c:v>
                </c:pt>
                <c:pt idx="646">
                  <c:v>5.9405263157894746E-2</c:v>
                </c:pt>
                <c:pt idx="647">
                  <c:v>5.9405263157894746E-2</c:v>
                </c:pt>
                <c:pt idx="648">
                  <c:v>5.9405263157894746E-2</c:v>
                </c:pt>
                <c:pt idx="649">
                  <c:v>5.9405263157894746E-2</c:v>
                </c:pt>
                <c:pt idx="650">
                  <c:v>5.9405263157894746E-2</c:v>
                </c:pt>
                <c:pt idx="651">
                  <c:v>5.9405263157894746E-2</c:v>
                </c:pt>
                <c:pt idx="652">
                  <c:v>5.9405263157894746E-2</c:v>
                </c:pt>
                <c:pt idx="653">
                  <c:v>5.9405263157894746E-2</c:v>
                </c:pt>
                <c:pt idx="654">
                  <c:v>5.9405263157894746E-2</c:v>
                </c:pt>
                <c:pt idx="655">
                  <c:v>5.9405263157894746E-2</c:v>
                </c:pt>
                <c:pt idx="656">
                  <c:v>5.9405263157894746E-2</c:v>
                </c:pt>
                <c:pt idx="657">
                  <c:v>5.9405263157894746E-2</c:v>
                </c:pt>
                <c:pt idx="658">
                  <c:v>5.9405263157894746E-2</c:v>
                </c:pt>
                <c:pt idx="659">
                  <c:v>5.9405263157894746E-2</c:v>
                </c:pt>
                <c:pt idx="660">
                  <c:v>5.9405263157894746E-2</c:v>
                </c:pt>
                <c:pt idx="661">
                  <c:v>5.9405263157894746E-2</c:v>
                </c:pt>
                <c:pt idx="662">
                  <c:v>5.9405263157894746E-2</c:v>
                </c:pt>
                <c:pt idx="663">
                  <c:v>5.9405263157894746E-2</c:v>
                </c:pt>
                <c:pt idx="664">
                  <c:v>5.9405263157894746E-2</c:v>
                </c:pt>
                <c:pt idx="665">
                  <c:v>5.9405263157894746E-2</c:v>
                </c:pt>
                <c:pt idx="666">
                  <c:v>5.9405263157894746E-2</c:v>
                </c:pt>
                <c:pt idx="667">
                  <c:v>5.9405263157894746E-2</c:v>
                </c:pt>
                <c:pt idx="668">
                  <c:v>5.9405263157894746E-2</c:v>
                </c:pt>
                <c:pt idx="669">
                  <c:v>5.9405263157894746E-2</c:v>
                </c:pt>
                <c:pt idx="670">
                  <c:v>5.9405263157894746E-2</c:v>
                </c:pt>
                <c:pt idx="671">
                  <c:v>5.9405263157894746E-2</c:v>
                </c:pt>
                <c:pt idx="672">
                  <c:v>5.9405263157894746E-2</c:v>
                </c:pt>
                <c:pt idx="673">
                  <c:v>5.9405263157894746E-2</c:v>
                </c:pt>
                <c:pt idx="674">
                  <c:v>5.9405263157894746E-2</c:v>
                </c:pt>
                <c:pt idx="675">
                  <c:v>5.9405263157894746E-2</c:v>
                </c:pt>
                <c:pt idx="676">
                  <c:v>5.9405263157894746E-2</c:v>
                </c:pt>
                <c:pt idx="677">
                  <c:v>5.9405263157894746E-2</c:v>
                </c:pt>
                <c:pt idx="678">
                  <c:v>5.9405263157894746E-2</c:v>
                </c:pt>
                <c:pt idx="679">
                  <c:v>5.9405263157894746E-2</c:v>
                </c:pt>
                <c:pt idx="680">
                  <c:v>5.9405263157894746E-2</c:v>
                </c:pt>
                <c:pt idx="681">
                  <c:v>5.9405263157894746E-2</c:v>
                </c:pt>
                <c:pt idx="682">
                  <c:v>5.9405263157894746E-2</c:v>
                </c:pt>
                <c:pt idx="683">
                  <c:v>5.9405263157894746E-2</c:v>
                </c:pt>
                <c:pt idx="684">
                  <c:v>5.9405263157894746E-2</c:v>
                </c:pt>
                <c:pt idx="685">
                  <c:v>5.9405263157894746E-2</c:v>
                </c:pt>
                <c:pt idx="686">
                  <c:v>5.9405263157894746E-2</c:v>
                </c:pt>
                <c:pt idx="687">
                  <c:v>5.9405263157894746E-2</c:v>
                </c:pt>
                <c:pt idx="688">
                  <c:v>5.9405263157894746E-2</c:v>
                </c:pt>
                <c:pt idx="689">
                  <c:v>5.9405263157894746E-2</c:v>
                </c:pt>
                <c:pt idx="690">
                  <c:v>5.9405263157894746E-2</c:v>
                </c:pt>
                <c:pt idx="691">
                  <c:v>5.9405263157894746E-2</c:v>
                </c:pt>
                <c:pt idx="692">
                  <c:v>5.9405263157894746E-2</c:v>
                </c:pt>
                <c:pt idx="693">
                  <c:v>5.9405263157894746E-2</c:v>
                </c:pt>
                <c:pt idx="694">
                  <c:v>5.9405263157894746E-2</c:v>
                </c:pt>
                <c:pt idx="695">
                  <c:v>5.9405263157894746E-2</c:v>
                </c:pt>
                <c:pt idx="696">
                  <c:v>5.9405263157894746E-2</c:v>
                </c:pt>
                <c:pt idx="697">
                  <c:v>5.9405263157894746E-2</c:v>
                </c:pt>
                <c:pt idx="698">
                  <c:v>5.9405263157894746E-2</c:v>
                </c:pt>
                <c:pt idx="699">
                  <c:v>5.9405263157894746E-2</c:v>
                </c:pt>
                <c:pt idx="700">
                  <c:v>5.9405263157894746E-2</c:v>
                </c:pt>
                <c:pt idx="701">
                  <c:v>5.9405263157894746E-2</c:v>
                </c:pt>
                <c:pt idx="702">
                  <c:v>5.9405263157894746E-2</c:v>
                </c:pt>
                <c:pt idx="703">
                  <c:v>5.9405263157894746E-2</c:v>
                </c:pt>
                <c:pt idx="704">
                  <c:v>5.9405263157894746E-2</c:v>
                </c:pt>
                <c:pt idx="705">
                  <c:v>5.9405263157894746E-2</c:v>
                </c:pt>
                <c:pt idx="706">
                  <c:v>5.9405263157894746E-2</c:v>
                </c:pt>
                <c:pt idx="707">
                  <c:v>5.9405263157894746E-2</c:v>
                </c:pt>
                <c:pt idx="708">
                  <c:v>5.9405263157894746E-2</c:v>
                </c:pt>
                <c:pt idx="709">
                  <c:v>5.9405263157894746E-2</c:v>
                </c:pt>
                <c:pt idx="710">
                  <c:v>5.9405263157894746E-2</c:v>
                </c:pt>
                <c:pt idx="711">
                  <c:v>5.9405263157894746E-2</c:v>
                </c:pt>
                <c:pt idx="712">
                  <c:v>5.9405263157894746E-2</c:v>
                </c:pt>
                <c:pt idx="713">
                  <c:v>5.9405263157894746E-2</c:v>
                </c:pt>
                <c:pt idx="714">
                  <c:v>5.9405263157894746E-2</c:v>
                </c:pt>
                <c:pt idx="715">
                  <c:v>5.9405263157894746E-2</c:v>
                </c:pt>
                <c:pt idx="716">
                  <c:v>5.9405263157894746E-2</c:v>
                </c:pt>
                <c:pt idx="717">
                  <c:v>5.9405263157894746E-2</c:v>
                </c:pt>
                <c:pt idx="718">
                  <c:v>5.9405263157894746E-2</c:v>
                </c:pt>
                <c:pt idx="719">
                  <c:v>5.9405263157894746E-2</c:v>
                </c:pt>
                <c:pt idx="720">
                  <c:v>5.9405263157894746E-2</c:v>
                </c:pt>
                <c:pt idx="721">
                  <c:v>5.9405263157894746E-2</c:v>
                </c:pt>
                <c:pt idx="722">
                  <c:v>5.9405263157894746E-2</c:v>
                </c:pt>
                <c:pt idx="723">
                  <c:v>5.9405263157894746E-2</c:v>
                </c:pt>
                <c:pt idx="724">
                  <c:v>5.9405263157894746E-2</c:v>
                </c:pt>
                <c:pt idx="725">
                  <c:v>5.9405263157894746E-2</c:v>
                </c:pt>
                <c:pt idx="726">
                  <c:v>5.9405263157894746E-2</c:v>
                </c:pt>
                <c:pt idx="727">
                  <c:v>5.9405263157894746E-2</c:v>
                </c:pt>
                <c:pt idx="728">
                  <c:v>5.9405263157894746E-2</c:v>
                </c:pt>
                <c:pt idx="729">
                  <c:v>5.9405263157894746E-2</c:v>
                </c:pt>
                <c:pt idx="730">
                  <c:v>5.9405263157894746E-2</c:v>
                </c:pt>
                <c:pt idx="731">
                  <c:v>5.9405263157894746E-2</c:v>
                </c:pt>
                <c:pt idx="732">
                  <c:v>5.9405263157894746E-2</c:v>
                </c:pt>
                <c:pt idx="733">
                  <c:v>5.9405263157894746E-2</c:v>
                </c:pt>
                <c:pt idx="734">
                  <c:v>5.9405263157894746E-2</c:v>
                </c:pt>
                <c:pt idx="735">
                  <c:v>5.9405263157894746E-2</c:v>
                </c:pt>
                <c:pt idx="736">
                  <c:v>5.9405263157894746E-2</c:v>
                </c:pt>
                <c:pt idx="737">
                  <c:v>5.9405263157894746E-2</c:v>
                </c:pt>
                <c:pt idx="738">
                  <c:v>5.9405263157894746E-2</c:v>
                </c:pt>
                <c:pt idx="739">
                  <c:v>5.9405263157894746E-2</c:v>
                </c:pt>
                <c:pt idx="740">
                  <c:v>5.9405263157894746E-2</c:v>
                </c:pt>
                <c:pt idx="741">
                  <c:v>5.9405263157894746E-2</c:v>
                </c:pt>
                <c:pt idx="742">
                  <c:v>5.9405263157894746E-2</c:v>
                </c:pt>
                <c:pt idx="743">
                  <c:v>5.9405263157894746E-2</c:v>
                </c:pt>
                <c:pt idx="744">
                  <c:v>5.9405263157894746E-2</c:v>
                </c:pt>
                <c:pt idx="745">
                  <c:v>5.9405263157894746E-2</c:v>
                </c:pt>
                <c:pt idx="746">
                  <c:v>5.9405263157894746E-2</c:v>
                </c:pt>
                <c:pt idx="747">
                  <c:v>5.9405263157894746E-2</c:v>
                </c:pt>
                <c:pt idx="748">
                  <c:v>5.9405263157894746E-2</c:v>
                </c:pt>
                <c:pt idx="749">
                  <c:v>5.9405263157894746E-2</c:v>
                </c:pt>
                <c:pt idx="750">
                  <c:v>5.9405263157894746E-2</c:v>
                </c:pt>
                <c:pt idx="751">
                  <c:v>5.9405263157894746E-2</c:v>
                </c:pt>
                <c:pt idx="752">
                  <c:v>5.9405263157894746E-2</c:v>
                </c:pt>
                <c:pt idx="753">
                  <c:v>5.9405263157894746E-2</c:v>
                </c:pt>
                <c:pt idx="754">
                  <c:v>5.9405263157894746E-2</c:v>
                </c:pt>
                <c:pt idx="755">
                  <c:v>5.9405263157894746E-2</c:v>
                </c:pt>
                <c:pt idx="756">
                  <c:v>5.9405263157894746E-2</c:v>
                </c:pt>
                <c:pt idx="757">
                  <c:v>5.9405263157894746E-2</c:v>
                </c:pt>
                <c:pt idx="758">
                  <c:v>5.9405263157894746E-2</c:v>
                </c:pt>
                <c:pt idx="759">
                  <c:v>5.9405263157894746E-2</c:v>
                </c:pt>
                <c:pt idx="760">
                  <c:v>5.9405263157894746E-2</c:v>
                </c:pt>
                <c:pt idx="761">
                  <c:v>5.9405263157894746E-2</c:v>
                </c:pt>
                <c:pt idx="762">
                  <c:v>5.9405263157894746E-2</c:v>
                </c:pt>
                <c:pt idx="763">
                  <c:v>5.9405263157894746E-2</c:v>
                </c:pt>
                <c:pt idx="764">
                  <c:v>5.9405263157894746E-2</c:v>
                </c:pt>
                <c:pt idx="765">
                  <c:v>5.9405263157894746E-2</c:v>
                </c:pt>
                <c:pt idx="766">
                  <c:v>5.9405263157894746E-2</c:v>
                </c:pt>
                <c:pt idx="767">
                  <c:v>5.9405263157894746E-2</c:v>
                </c:pt>
                <c:pt idx="768">
                  <c:v>5.9405263157894746E-2</c:v>
                </c:pt>
                <c:pt idx="769">
                  <c:v>5.9405263157894746E-2</c:v>
                </c:pt>
                <c:pt idx="770">
                  <c:v>5.9405263157894746E-2</c:v>
                </c:pt>
                <c:pt idx="771">
                  <c:v>5.9405263157894746E-2</c:v>
                </c:pt>
                <c:pt idx="772">
                  <c:v>5.9405263157894746E-2</c:v>
                </c:pt>
                <c:pt idx="773">
                  <c:v>5.9405263157894746E-2</c:v>
                </c:pt>
                <c:pt idx="774">
                  <c:v>5.9405263157894746E-2</c:v>
                </c:pt>
                <c:pt idx="775">
                  <c:v>5.9405263157894746E-2</c:v>
                </c:pt>
                <c:pt idx="776">
                  <c:v>5.9405263157894746E-2</c:v>
                </c:pt>
                <c:pt idx="777">
                  <c:v>5.9405263157894746E-2</c:v>
                </c:pt>
                <c:pt idx="778">
                  <c:v>5.9405263157894746E-2</c:v>
                </c:pt>
                <c:pt idx="779">
                  <c:v>5.9405263157894746E-2</c:v>
                </c:pt>
                <c:pt idx="780">
                  <c:v>5.9405263157894746E-2</c:v>
                </c:pt>
                <c:pt idx="781">
                  <c:v>5.9405263157894746E-2</c:v>
                </c:pt>
                <c:pt idx="782">
                  <c:v>5.9405263157894746E-2</c:v>
                </c:pt>
                <c:pt idx="783">
                  <c:v>5.9405263157894746E-2</c:v>
                </c:pt>
                <c:pt idx="784">
                  <c:v>5.9405263157894746E-2</c:v>
                </c:pt>
                <c:pt idx="785">
                  <c:v>5.9405263157894746E-2</c:v>
                </c:pt>
                <c:pt idx="786">
                  <c:v>5.9405263157894746E-2</c:v>
                </c:pt>
                <c:pt idx="787">
                  <c:v>5.9405263157894746E-2</c:v>
                </c:pt>
                <c:pt idx="788">
                  <c:v>5.9405263157894746E-2</c:v>
                </c:pt>
                <c:pt idx="789">
                  <c:v>5.9405263157894746E-2</c:v>
                </c:pt>
                <c:pt idx="790">
                  <c:v>5.9405263157894746E-2</c:v>
                </c:pt>
                <c:pt idx="791">
                  <c:v>5.9405263157894746E-2</c:v>
                </c:pt>
                <c:pt idx="792">
                  <c:v>5.9405263157894746E-2</c:v>
                </c:pt>
                <c:pt idx="793">
                  <c:v>5.9405263157894746E-2</c:v>
                </c:pt>
                <c:pt idx="794">
                  <c:v>5.9405263157894746E-2</c:v>
                </c:pt>
                <c:pt idx="795">
                  <c:v>5.9405263157894746E-2</c:v>
                </c:pt>
                <c:pt idx="796">
                  <c:v>5.9405263157894746E-2</c:v>
                </c:pt>
                <c:pt idx="797">
                  <c:v>5.9405263157894746E-2</c:v>
                </c:pt>
                <c:pt idx="798">
                  <c:v>5.9405263157894746E-2</c:v>
                </c:pt>
                <c:pt idx="799">
                  <c:v>5.9405263157894746E-2</c:v>
                </c:pt>
                <c:pt idx="800">
                  <c:v>5.9405263157894746E-2</c:v>
                </c:pt>
                <c:pt idx="801">
                  <c:v>5.9405263157894746E-2</c:v>
                </c:pt>
                <c:pt idx="802">
                  <c:v>5.9405263157894746E-2</c:v>
                </c:pt>
                <c:pt idx="803">
                  <c:v>5.9405263157894746E-2</c:v>
                </c:pt>
                <c:pt idx="804">
                  <c:v>5.9405263157894746E-2</c:v>
                </c:pt>
                <c:pt idx="805">
                  <c:v>5.9405263157894746E-2</c:v>
                </c:pt>
                <c:pt idx="806">
                  <c:v>5.9405263157894746E-2</c:v>
                </c:pt>
                <c:pt idx="807">
                  <c:v>5.9405263157894746E-2</c:v>
                </c:pt>
                <c:pt idx="808">
                  <c:v>5.9405263157894746E-2</c:v>
                </c:pt>
                <c:pt idx="809">
                  <c:v>5.9405263157894746E-2</c:v>
                </c:pt>
                <c:pt idx="810">
                  <c:v>5.9405263157894746E-2</c:v>
                </c:pt>
                <c:pt idx="811">
                  <c:v>5.9405263157894746E-2</c:v>
                </c:pt>
                <c:pt idx="812">
                  <c:v>5.9405263157894746E-2</c:v>
                </c:pt>
                <c:pt idx="813">
                  <c:v>5.9405263157894746E-2</c:v>
                </c:pt>
                <c:pt idx="814">
                  <c:v>5.9405263157894746E-2</c:v>
                </c:pt>
                <c:pt idx="815">
                  <c:v>5.9405263157894746E-2</c:v>
                </c:pt>
                <c:pt idx="816">
                  <c:v>5.9405263157894746E-2</c:v>
                </c:pt>
                <c:pt idx="817">
                  <c:v>5.9405263157894746E-2</c:v>
                </c:pt>
                <c:pt idx="818">
                  <c:v>5.9405263157894746E-2</c:v>
                </c:pt>
                <c:pt idx="819">
                  <c:v>5.9405263157894746E-2</c:v>
                </c:pt>
                <c:pt idx="820">
                  <c:v>5.9405263157894746E-2</c:v>
                </c:pt>
                <c:pt idx="821">
                  <c:v>5.9405263157894746E-2</c:v>
                </c:pt>
                <c:pt idx="822">
                  <c:v>5.9405263157894746E-2</c:v>
                </c:pt>
                <c:pt idx="823">
                  <c:v>5.9405263157894746E-2</c:v>
                </c:pt>
                <c:pt idx="824">
                  <c:v>5.9405263157894746E-2</c:v>
                </c:pt>
                <c:pt idx="825">
                  <c:v>5.9405263157894746E-2</c:v>
                </c:pt>
                <c:pt idx="826">
                  <c:v>5.9405263157894746E-2</c:v>
                </c:pt>
                <c:pt idx="827">
                  <c:v>5.9405263157894746E-2</c:v>
                </c:pt>
                <c:pt idx="828">
                  <c:v>5.9405263157894746E-2</c:v>
                </c:pt>
                <c:pt idx="829">
                  <c:v>5.9405263157894746E-2</c:v>
                </c:pt>
                <c:pt idx="830">
                  <c:v>5.9405263157894746E-2</c:v>
                </c:pt>
                <c:pt idx="831">
                  <c:v>5.9405263157894746E-2</c:v>
                </c:pt>
                <c:pt idx="832">
                  <c:v>5.9405263157894746E-2</c:v>
                </c:pt>
                <c:pt idx="833">
                  <c:v>5.9405263157894746E-2</c:v>
                </c:pt>
                <c:pt idx="834">
                  <c:v>5.9405263157894746E-2</c:v>
                </c:pt>
                <c:pt idx="835">
                  <c:v>5.9405263157894746E-2</c:v>
                </c:pt>
                <c:pt idx="836">
                  <c:v>5.9405263157894746E-2</c:v>
                </c:pt>
                <c:pt idx="837">
                  <c:v>5.9405263157894746E-2</c:v>
                </c:pt>
                <c:pt idx="838">
                  <c:v>5.9405263157894746E-2</c:v>
                </c:pt>
                <c:pt idx="839">
                  <c:v>5.9405263157894746E-2</c:v>
                </c:pt>
                <c:pt idx="840">
                  <c:v>5.9405263157894746E-2</c:v>
                </c:pt>
                <c:pt idx="841">
                  <c:v>5.9405263157894746E-2</c:v>
                </c:pt>
                <c:pt idx="842">
                  <c:v>5.9405263157894746E-2</c:v>
                </c:pt>
                <c:pt idx="843">
                  <c:v>5.9405263157894746E-2</c:v>
                </c:pt>
                <c:pt idx="844">
                  <c:v>5.9405263157894746E-2</c:v>
                </c:pt>
                <c:pt idx="845">
                  <c:v>5.9405263157894746E-2</c:v>
                </c:pt>
                <c:pt idx="846">
                  <c:v>5.9405263157894746E-2</c:v>
                </c:pt>
                <c:pt idx="847">
                  <c:v>5.9405263157894746E-2</c:v>
                </c:pt>
                <c:pt idx="848">
                  <c:v>5.9405263157894746E-2</c:v>
                </c:pt>
                <c:pt idx="849">
                  <c:v>5.9405263157894746E-2</c:v>
                </c:pt>
                <c:pt idx="850">
                  <c:v>5.9405263157894746E-2</c:v>
                </c:pt>
                <c:pt idx="851">
                  <c:v>5.9405263157894746E-2</c:v>
                </c:pt>
                <c:pt idx="852">
                  <c:v>5.9405263157894746E-2</c:v>
                </c:pt>
                <c:pt idx="853">
                  <c:v>5.9405263157894746E-2</c:v>
                </c:pt>
                <c:pt idx="854">
                  <c:v>5.9405263157894746E-2</c:v>
                </c:pt>
                <c:pt idx="855">
                  <c:v>5.9405263157894746E-2</c:v>
                </c:pt>
                <c:pt idx="856">
                  <c:v>5.9405263157894746E-2</c:v>
                </c:pt>
                <c:pt idx="857">
                  <c:v>5.9405263157894746E-2</c:v>
                </c:pt>
                <c:pt idx="858">
                  <c:v>5.9405263157894746E-2</c:v>
                </c:pt>
                <c:pt idx="859">
                  <c:v>5.9405263157894746E-2</c:v>
                </c:pt>
                <c:pt idx="860">
                  <c:v>5.9405263157894746E-2</c:v>
                </c:pt>
                <c:pt idx="861">
                  <c:v>5.9405263157894746E-2</c:v>
                </c:pt>
                <c:pt idx="862">
                  <c:v>5.9405263157894746E-2</c:v>
                </c:pt>
                <c:pt idx="863">
                  <c:v>5.9405263157894746E-2</c:v>
                </c:pt>
                <c:pt idx="864">
                  <c:v>5.9405263157894746E-2</c:v>
                </c:pt>
                <c:pt idx="865">
                  <c:v>5.9405263157894746E-2</c:v>
                </c:pt>
                <c:pt idx="866">
                  <c:v>5.9405263157894746E-2</c:v>
                </c:pt>
                <c:pt idx="867">
                  <c:v>5.9405263157894746E-2</c:v>
                </c:pt>
                <c:pt idx="868">
                  <c:v>5.9405263157894746E-2</c:v>
                </c:pt>
                <c:pt idx="869">
                  <c:v>5.9405263157894746E-2</c:v>
                </c:pt>
                <c:pt idx="870">
                  <c:v>5.9405263157894746E-2</c:v>
                </c:pt>
                <c:pt idx="871">
                  <c:v>5.9405263157894746E-2</c:v>
                </c:pt>
                <c:pt idx="872">
                  <c:v>5.9405263157894746E-2</c:v>
                </c:pt>
                <c:pt idx="873">
                  <c:v>5.9405263157894746E-2</c:v>
                </c:pt>
                <c:pt idx="874">
                  <c:v>5.9405263157894746E-2</c:v>
                </c:pt>
                <c:pt idx="875">
                  <c:v>5.9405263157894746E-2</c:v>
                </c:pt>
                <c:pt idx="876">
                  <c:v>5.9405263157894746E-2</c:v>
                </c:pt>
                <c:pt idx="877">
                  <c:v>5.9405263157894746E-2</c:v>
                </c:pt>
                <c:pt idx="878">
                  <c:v>5.9405263157894746E-2</c:v>
                </c:pt>
                <c:pt idx="879">
                  <c:v>5.9405263157894746E-2</c:v>
                </c:pt>
                <c:pt idx="880">
                  <c:v>5.9405263157894746E-2</c:v>
                </c:pt>
                <c:pt idx="881">
                  <c:v>5.9405263157894746E-2</c:v>
                </c:pt>
                <c:pt idx="882">
                  <c:v>5.9405263157894746E-2</c:v>
                </c:pt>
                <c:pt idx="883">
                  <c:v>5.9405263157894746E-2</c:v>
                </c:pt>
                <c:pt idx="884">
                  <c:v>5.9405263157894746E-2</c:v>
                </c:pt>
                <c:pt idx="885">
                  <c:v>5.9405263157894746E-2</c:v>
                </c:pt>
                <c:pt idx="886">
                  <c:v>5.9405263157894746E-2</c:v>
                </c:pt>
                <c:pt idx="887">
                  <c:v>5.9405263157894746E-2</c:v>
                </c:pt>
                <c:pt idx="888">
                  <c:v>5.9405263157894746E-2</c:v>
                </c:pt>
                <c:pt idx="889">
                  <c:v>5.9405263157894746E-2</c:v>
                </c:pt>
                <c:pt idx="890">
                  <c:v>5.9405263157894746E-2</c:v>
                </c:pt>
                <c:pt idx="891">
                  <c:v>5.9405263157894746E-2</c:v>
                </c:pt>
                <c:pt idx="892">
                  <c:v>5.9405263157894746E-2</c:v>
                </c:pt>
                <c:pt idx="893">
                  <c:v>5.9405263157894746E-2</c:v>
                </c:pt>
                <c:pt idx="894">
                  <c:v>5.9405263157894746E-2</c:v>
                </c:pt>
                <c:pt idx="895">
                  <c:v>5.9405263157894746E-2</c:v>
                </c:pt>
                <c:pt idx="896">
                  <c:v>5.9405263157894746E-2</c:v>
                </c:pt>
                <c:pt idx="897">
                  <c:v>5.9405263157894746E-2</c:v>
                </c:pt>
                <c:pt idx="898">
                  <c:v>5.9405263157894746E-2</c:v>
                </c:pt>
                <c:pt idx="899">
                  <c:v>5.9405263157894746E-2</c:v>
                </c:pt>
                <c:pt idx="900">
                  <c:v>5.9405263157894746E-2</c:v>
                </c:pt>
                <c:pt idx="901">
                  <c:v>5.9405263157894746E-2</c:v>
                </c:pt>
                <c:pt idx="902">
                  <c:v>5.9405263157894746E-2</c:v>
                </c:pt>
                <c:pt idx="903">
                  <c:v>5.9405263157894746E-2</c:v>
                </c:pt>
                <c:pt idx="904">
                  <c:v>5.9405263157894746E-2</c:v>
                </c:pt>
                <c:pt idx="905">
                  <c:v>5.9405263157894746E-2</c:v>
                </c:pt>
                <c:pt idx="906">
                  <c:v>5.9405263157894746E-2</c:v>
                </c:pt>
                <c:pt idx="907">
                  <c:v>5.9405263157894746E-2</c:v>
                </c:pt>
                <c:pt idx="908">
                  <c:v>5.9405263157894746E-2</c:v>
                </c:pt>
                <c:pt idx="909">
                  <c:v>5.9405263157894746E-2</c:v>
                </c:pt>
                <c:pt idx="910">
                  <c:v>5.9405263157894746E-2</c:v>
                </c:pt>
                <c:pt idx="911">
                  <c:v>5.9405263157894746E-2</c:v>
                </c:pt>
                <c:pt idx="912">
                  <c:v>5.9405263157894746E-2</c:v>
                </c:pt>
                <c:pt idx="913">
                  <c:v>5.9405263157894746E-2</c:v>
                </c:pt>
                <c:pt idx="914">
                  <c:v>5.9405263157894746E-2</c:v>
                </c:pt>
                <c:pt idx="915">
                  <c:v>5.9405263157894746E-2</c:v>
                </c:pt>
                <c:pt idx="916">
                  <c:v>5.9405263157894746E-2</c:v>
                </c:pt>
                <c:pt idx="917">
                  <c:v>5.9405263157894746E-2</c:v>
                </c:pt>
                <c:pt idx="918">
                  <c:v>5.9405263157894746E-2</c:v>
                </c:pt>
                <c:pt idx="919">
                  <c:v>5.9405263157894746E-2</c:v>
                </c:pt>
                <c:pt idx="920">
                  <c:v>5.9405263157894746E-2</c:v>
                </c:pt>
                <c:pt idx="921">
                  <c:v>5.9405263157894746E-2</c:v>
                </c:pt>
                <c:pt idx="922">
                  <c:v>5.9405263157894746E-2</c:v>
                </c:pt>
                <c:pt idx="923">
                  <c:v>5.9405263157894746E-2</c:v>
                </c:pt>
                <c:pt idx="924">
                  <c:v>5.9405263157894746E-2</c:v>
                </c:pt>
                <c:pt idx="925">
                  <c:v>5.9405263157894746E-2</c:v>
                </c:pt>
                <c:pt idx="926">
                  <c:v>5.9405263157894746E-2</c:v>
                </c:pt>
                <c:pt idx="927">
                  <c:v>5.9405263157894746E-2</c:v>
                </c:pt>
                <c:pt idx="928">
                  <c:v>5.9405263157894746E-2</c:v>
                </c:pt>
                <c:pt idx="929">
                  <c:v>5.9405263157894746E-2</c:v>
                </c:pt>
                <c:pt idx="930">
                  <c:v>5.9405263157894746E-2</c:v>
                </c:pt>
                <c:pt idx="931">
                  <c:v>5.9405263157894746E-2</c:v>
                </c:pt>
                <c:pt idx="932">
                  <c:v>5.9405263157894746E-2</c:v>
                </c:pt>
                <c:pt idx="933">
                  <c:v>5.9405263157894746E-2</c:v>
                </c:pt>
                <c:pt idx="934">
                  <c:v>5.9405263157894746E-2</c:v>
                </c:pt>
                <c:pt idx="935">
                  <c:v>5.9405263157894746E-2</c:v>
                </c:pt>
                <c:pt idx="936">
                  <c:v>5.9405263157894746E-2</c:v>
                </c:pt>
                <c:pt idx="937">
                  <c:v>5.9405263157894746E-2</c:v>
                </c:pt>
                <c:pt idx="938">
                  <c:v>5.9405263157894746E-2</c:v>
                </c:pt>
                <c:pt idx="939">
                  <c:v>5.9405263157894746E-2</c:v>
                </c:pt>
                <c:pt idx="940">
                  <c:v>5.9405263157894746E-2</c:v>
                </c:pt>
                <c:pt idx="941">
                  <c:v>5.9405263157894746E-2</c:v>
                </c:pt>
                <c:pt idx="942">
                  <c:v>5.9405263157894746E-2</c:v>
                </c:pt>
                <c:pt idx="943">
                  <c:v>5.9405263157894746E-2</c:v>
                </c:pt>
                <c:pt idx="944">
                  <c:v>5.9405263157894746E-2</c:v>
                </c:pt>
                <c:pt idx="945">
                  <c:v>5.9405263157894746E-2</c:v>
                </c:pt>
                <c:pt idx="946">
                  <c:v>5.9405263157894746E-2</c:v>
                </c:pt>
                <c:pt idx="947">
                  <c:v>5.9405263157894746E-2</c:v>
                </c:pt>
                <c:pt idx="948">
                  <c:v>5.9405263157894746E-2</c:v>
                </c:pt>
                <c:pt idx="949">
                  <c:v>5.9405263157894746E-2</c:v>
                </c:pt>
                <c:pt idx="950">
                  <c:v>5.9405263157894746E-2</c:v>
                </c:pt>
                <c:pt idx="951">
                  <c:v>5.9405263157894746E-2</c:v>
                </c:pt>
                <c:pt idx="952">
                  <c:v>5.9405263157894746E-2</c:v>
                </c:pt>
                <c:pt idx="953">
                  <c:v>5.9405263157894746E-2</c:v>
                </c:pt>
                <c:pt idx="954">
                  <c:v>5.9405263157894746E-2</c:v>
                </c:pt>
                <c:pt idx="955">
                  <c:v>5.9405263157894746E-2</c:v>
                </c:pt>
                <c:pt idx="956">
                  <c:v>5.9405263157894746E-2</c:v>
                </c:pt>
                <c:pt idx="957">
                  <c:v>5.9405263157894746E-2</c:v>
                </c:pt>
                <c:pt idx="958">
                  <c:v>5.9405263157894746E-2</c:v>
                </c:pt>
                <c:pt idx="959">
                  <c:v>5.9405263157894746E-2</c:v>
                </c:pt>
                <c:pt idx="960">
                  <c:v>5.9405263157894746E-2</c:v>
                </c:pt>
                <c:pt idx="961">
                  <c:v>5.9405263157894746E-2</c:v>
                </c:pt>
                <c:pt idx="962">
                  <c:v>5.9405263157894746E-2</c:v>
                </c:pt>
                <c:pt idx="963">
                  <c:v>5.9405263157894746E-2</c:v>
                </c:pt>
                <c:pt idx="964">
                  <c:v>5.9405263157894746E-2</c:v>
                </c:pt>
                <c:pt idx="965">
                  <c:v>5.9405263157894746E-2</c:v>
                </c:pt>
                <c:pt idx="966">
                  <c:v>5.9405263157894746E-2</c:v>
                </c:pt>
                <c:pt idx="967">
                  <c:v>5.9405263157894746E-2</c:v>
                </c:pt>
                <c:pt idx="968">
                  <c:v>5.9405263157894746E-2</c:v>
                </c:pt>
                <c:pt idx="969">
                  <c:v>5.9405263157894746E-2</c:v>
                </c:pt>
                <c:pt idx="970">
                  <c:v>5.9405263157894746E-2</c:v>
                </c:pt>
                <c:pt idx="971">
                  <c:v>5.9405263157894746E-2</c:v>
                </c:pt>
                <c:pt idx="972">
                  <c:v>5.9405263157894746E-2</c:v>
                </c:pt>
                <c:pt idx="973">
                  <c:v>5.9405263157894746E-2</c:v>
                </c:pt>
                <c:pt idx="974">
                  <c:v>5.9405263157894746E-2</c:v>
                </c:pt>
                <c:pt idx="975">
                  <c:v>5.9405263157894746E-2</c:v>
                </c:pt>
                <c:pt idx="976">
                  <c:v>5.9405263157894746E-2</c:v>
                </c:pt>
                <c:pt idx="977">
                  <c:v>5.9405263157894746E-2</c:v>
                </c:pt>
                <c:pt idx="978">
                  <c:v>5.9405263157894746E-2</c:v>
                </c:pt>
                <c:pt idx="979">
                  <c:v>5.9405263157894746E-2</c:v>
                </c:pt>
                <c:pt idx="980">
                  <c:v>5.9405263157894746E-2</c:v>
                </c:pt>
                <c:pt idx="981">
                  <c:v>5.9405263157894746E-2</c:v>
                </c:pt>
                <c:pt idx="982">
                  <c:v>5.9405263157894746E-2</c:v>
                </c:pt>
                <c:pt idx="983">
                  <c:v>5.9405263157894746E-2</c:v>
                </c:pt>
                <c:pt idx="984">
                  <c:v>5.9405263157894746E-2</c:v>
                </c:pt>
                <c:pt idx="985">
                  <c:v>5.9405263157894746E-2</c:v>
                </c:pt>
                <c:pt idx="986">
                  <c:v>5.9405263157894746E-2</c:v>
                </c:pt>
                <c:pt idx="987">
                  <c:v>5.9405263157894746E-2</c:v>
                </c:pt>
                <c:pt idx="988">
                  <c:v>5.9405263157894746E-2</c:v>
                </c:pt>
                <c:pt idx="989">
                  <c:v>5.9405263157894746E-2</c:v>
                </c:pt>
                <c:pt idx="990">
                  <c:v>5.9405263157894746E-2</c:v>
                </c:pt>
                <c:pt idx="991">
                  <c:v>5.9405263157894746E-2</c:v>
                </c:pt>
                <c:pt idx="992">
                  <c:v>5.9405263157894746E-2</c:v>
                </c:pt>
                <c:pt idx="993">
                  <c:v>5.9405263157894746E-2</c:v>
                </c:pt>
                <c:pt idx="994">
                  <c:v>5.9405263157894746E-2</c:v>
                </c:pt>
                <c:pt idx="995">
                  <c:v>5.9405263157894746E-2</c:v>
                </c:pt>
                <c:pt idx="996">
                  <c:v>5.9405263157894746E-2</c:v>
                </c:pt>
                <c:pt idx="997">
                  <c:v>5.9405263157894746E-2</c:v>
                </c:pt>
                <c:pt idx="998">
                  <c:v>5.9405263157894746E-2</c:v>
                </c:pt>
                <c:pt idx="999">
                  <c:v>5.9405263157894746E-2</c:v>
                </c:pt>
                <c:pt idx="1000">
                  <c:v>5.9405263157894746E-2</c:v>
                </c:pt>
                <c:pt idx="1001">
                  <c:v>5.9405263157894746E-2</c:v>
                </c:pt>
                <c:pt idx="1002">
                  <c:v>5.9405263157894746E-2</c:v>
                </c:pt>
                <c:pt idx="1003">
                  <c:v>5.9405263157894746E-2</c:v>
                </c:pt>
                <c:pt idx="1004">
                  <c:v>5.9405263157894746E-2</c:v>
                </c:pt>
                <c:pt idx="1005">
                  <c:v>5.9405263157894746E-2</c:v>
                </c:pt>
                <c:pt idx="1006">
                  <c:v>5.9405263157894746E-2</c:v>
                </c:pt>
                <c:pt idx="1007">
                  <c:v>5.9405263157894746E-2</c:v>
                </c:pt>
                <c:pt idx="1008">
                  <c:v>5.9405263157894746E-2</c:v>
                </c:pt>
                <c:pt idx="1009">
                  <c:v>5.9405263157894746E-2</c:v>
                </c:pt>
                <c:pt idx="1010">
                  <c:v>5.9405263157894746E-2</c:v>
                </c:pt>
                <c:pt idx="1011">
                  <c:v>5.9405263157894746E-2</c:v>
                </c:pt>
                <c:pt idx="1012">
                  <c:v>5.9405263157894746E-2</c:v>
                </c:pt>
                <c:pt idx="1013">
                  <c:v>5.9405263157894746E-2</c:v>
                </c:pt>
                <c:pt idx="1014">
                  <c:v>5.9405263157894746E-2</c:v>
                </c:pt>
                <c:pt idx="1015">
                  <c:v>5.9405263157894746E-2</c:v>
                </c:pt>
                <c:pt idx="1016">
                  <c:v>5.9405263157894746E-2</c:v>
                </c:pt>
                <c:pt idx="1017">
                  <c:v>5.9405263157894746E-2</c:v>
                </c:pt>
                <c:pt idx="1018">
                  <c:v>5.9405263157894746E-2</c:v>
                </c:pt>
                <c:pt idx="1019">
                  <c:v>5.9405263157894746E-2</c:v>
                </c:pt>
                <c:pt idx="1020">
                  <c:v>5.9405263157894746E-2</c:v>
                </c:pt>
                <c:pt idx="1021">
                  <c:v>5.9405263157894746E-2</c:v>
                </c:pt>
                <c:pt idx="1022">
                  <c:v>5.9405263157894746E-2</c:v>
                </c:pt>
                <c:pt idx="1023">
                  <c:v>5.9405263157894746E-2</c:v>
                </c:pt>
                <c:pt idx="1024">
                  <c:v>5.9405263157894746E-2</c:v>
                </c:pt>
                <c:pt idx="1025">
                  <c:v>5.9405263157894746E-2</c:v>
                </c:pt>
                <c:pt idx="1026">
                  <c:v>5.9405263157894746E-2</c:v>
                </c:pt>
                <c:pt idx="1027">
                  <c:v>5.9405263157894746E-2</c:v>
                </c:pt>
                <c:pt idx="1028">
                  <c:v>5.9405263157894746E-2</c:v>
                </c:pt>
                <c:pt idx="1029">
                  <c:v>5.9405263157894746E-2</c:v>
                </c:pt>
                <c:pt idx="1030">
                  <c:v>5.9405263157894746E-2</c:v>
                </c:pt>
                <c:pt idx="1031">
                  <c:v>5.9405263157894746E-2</c:v>
                </c:pt>
                <c:pt idx="1032">
                  <c:v>5.9405263157894746E-2</c:v>
                </c:pt>
                <c:pt idx="1033">
                  <c:v>5.9405263157894746E-2</c:v>
                </c:pt>
                <c:pt idx="1034">
                  <c:v>5.9405263157894746E-2</c:v>
                </c:pt>
                <c:pt idx="1035">
                  <c:v>5.9405263157894746E-2</c:v>
                </c:pt>
                <c:pt idx="1036">
                  <c:v>5.9405263157894746E-2</c:v>
                </c:pt>
                <c:pt idx="1037">
                  <c:v>5.9405263157894746E-2</c:v>
                </c:pt>
                <c:pt idx="1038">
                  <c:v>5.9405263157894746E-2</c:v>
                </c:pt>
                <c:pt idx="1039">
                  <c:v>5.9405263157894746E-2</c:v>
                </c:pt>
                <c:pt idx="1040">
                  <c:v>5.9405263157894746E-2</c:v>
                </c:pt>
                <c:pt idx="1041">
                  <c:v>5.9405263157894746E-2</c:v>
                </c:pt>
                <c:pt idx="1042">
                  <c:v>5.9405263157894746E-2</c:v>
                </c:pt>
                <c:pt idx="1043">
                  <c:v>5.9405263157894746E-2</c:v>
                </c:pt>
                <c:pt idx="1044">
                  <c:v>5.9405263157894746E-2</c:v>
                </c:pt>
                <c:pt idx="1045">
                  <c:v>5.9405263157894746E-2</c:v>
                </c:pt>
                <c:pt idx="1046">
                  <c:v>5.9405263157894746E-2</c:v>
                </c:pt>
                <c:pt idx="1047">
                  <c:v>5.9405263157894746E-2</c:v>
                </c:pt>
                <c:pt idx="1048">
                  <c:v>5.9405263157894746E-2</c:v>
                </c:pt>
                <c:pt idx="1049">
                  <c:v>5.9405263157894746E-2</c:v>
                </c:pt>
                <c:pt idx="1050">
                  <c:v>5.9405263157894746E-2</c:v>
                </c:pt>
                <c:pt idx="1051">
                  <c:v>5.9405263157894746E-2</c:v>
                </c:pt>
                <c:pt idx="1052">
                  <c:v>5.9405263157894746E-2</c:v>
                </c:pt>
                <c:pt idx="1053">
                  <c:v>5.9405263157894746E-2</c:v>
                </c:pt>
                <c:pt idx="1054">
                  <c:v>5.9405263157894746E-2</c:v>
                </c:pt>
                <c:pt idx="1055">
                  <c:v>5.9405263157894746E-2</c:v>
                </c:pt>
                <c:pt idx="1056">
                  <c:v>5.9405263157894746E-2</c:v>
                </c:pt>
                <c:pt idx="1057">
                  <c:v>5.9405263157894746E-2</c:v>
                </c:pt>
                <c:pt idx="1058">
                  <c:v>5.9405263157894746E-2</c:v>
                </c:pt>
                <c:pt idx="1059">
                  <c:v>5.9405263157894746E-2</c:v>
                </c:pt>
                <c:pt idx="1060">
                  <c:v>5.9405263157894746E-2</c:v>
                </c:pt>
                <c:pt idx="1061">
                  <c:v>5.9405263157894746E-2</c:v>
                </c:pt>
                <c:pt idx="1062">
                  <c:v>5.9405263157894746E-2</c:v>
                </c:pt>
                <c:pt idx="1063">
                  <c:v>5.9405263157894746E-2</c:v>
                </c:pt>
                <c:pt idx="1064">
                  <c:v>5.9405263157894746E-2</c:v>
                </c:pt>
                <c:pt idx="1065">
                  <c:v>5.9405263157894746E-2</c:v>
                </c:pt>
                <c:pt idx="1066">
                  <c:v>5.9405263157894746E-2</c:v>
                </c:pt>
                <c:pt idx="1067">
                  <c:v>5.9405263157894746E-2</c:v>
                </c:pt>
                <c:pt idx="1068">
                  <c:v>5.9405263157894746E-2</c:v>
                </c:pt>
                <c:pt idx="1069">
                  <c:v>5.9405263157894746E-2</c:v>
                </c:pt>
                <c:pt idx="1070">
                  <c:v>5.9405263157894746E-2</c:v>
                </c:pt>
                <c:pt idx="1071">
                  <c:v>5.9405263157894746E-2</c:v>
                </c:pt>
                <c:pt idx="1072">
                  <c:v>4.8389473684210538E-2</c:v>
                </c:pt>
                <c:pt idx="1073">
                  <c:v>4.8389473684210538E-2</c:v>
                </c:pt>
                <c:pt idx="1074">
                  <c:v>4.8389473684210538E-2</c:v>
                </c:pt>
                <c:pt idx="1075">
                  <c:v>4.8389473684210538E-2</c:v>
                </c:pt>
                <c:pt idx="1076">
                  <c:v>4.8389473684210538E-2</c:v>
                </c:pt>
                <c:pt idx="1077">
                  <c:v>4.8389473684210538E-2</c:v>
                </c:pt>
                <c:pt idx="1078">
                  <c:v>4.8389473684210538E-2</c:v>
                </c:pt>
                <c:pt idx="1079">
                  <c:v>4.8389473684210538E-2</c:v>
                </c:pt>
                <c:pt idx="1080">
                  <c:v>5.9405263157894746E-2</c:v>
                </c:pt>
                <c:pt idx="1081">
                  <c:v>5.9405263157894746E-2</c:v>
                </c:pt>
                <c:pt idx="1082">
                  <c:v>5.9405263157894746E-2</c:v>
                </c:pt>
                <c:pt idx="1083">
                  <c:v>5.9405263157894746E-2</c:v>
                </c:pt>
                <c:pt idx="1084">
                  <c:v>5.9405263157894746E-2</c:v>
                </c:pt>
                <c:pt idx="1085">
                  <c:v>5.9405263157894746E-2</c:v>
                </c:pt>
                <c:pt idx="1086">
                  <c:v>5.9405263157894746E-2</c:v>
                </c:pt>
                <c:pt idx="1087">
                  <c:v>5.9405263157894746E-2</c:v>
                </c:pt>
                <c:pt idx="1088">
                  <c:v>5.9405263157894746E-2</c:v>
                </c:pt>
                <c:pt idx="1089">
                  <c:v>5.9405263157894746E-2</c:v>
                </c:pt>
                <c:pt idx="1090">
                  <c:v>5.9405263157894746E-2</c:v>
                </c:pt>
                <c:pt idx="1091">
                  <c:v>5.9405263157894746E-2</c:v>
                </c:pt>
                <c:pt idx="1092">
                  <c:v>5.9405263157894746E-2</c:v>
                </c:pt>
                <c:pt idx="1093">
                  <c:v>5.9405263157894746E-2</c:v>
                </c:pt>
                <c:pt idx="1094">
                  <c:v>5.9405263157894746E-2</c:v>
                </c:pt>
                <c:pt idx="1095">
                  <c:v>5.9405263157894746E-2</c:v>
                </c:pt>
                <c:pt idx="1096">
                  <c:v>5.9405263157894746E-2</c:v>
                </c:pt>
                <c:pt idx="1097">
                  <c:v>5.9405263157894746E-2</c:v>
                </c:pt>
                <c:pt idx="1098">
                  <c:v>5.9405263157894746E-2</c:v>
                </c:pt>
                <c:pt idx="1099">
                  <c:v>5.9405263157894746E-2</c:v>
                </c:pt>
                <c:pt idx="1100">
                  <c:v>5.9405263157894746E-2</c:v>
                </c:pt>
                <c:pt idx="1101">
                  <c:v>5.9405263157894746E-2</c:v>
                </c:pt>
                <c:pt idx="1102">
                  <c:v>5.9405263157894746E-2</c:v>
                </c:pt>
                <c:pt idx="1103">
                  <c:v>5.9405263157894746E-2</c:v>
                </c:pt>
                <c:pt idx="1104">
                  <c:v>5.9405263157894746E-2</c:v>
                </c:pt>
                <c:pt idx="1105">
                  <c:v>5.9405263157894746E-2</c:v>
                </c:pt>
                <c:pt idx="1106">
                  <c:v>5.9405263157894746E-2</c:v>
                </c:pt>
                <c:pt idx="1107">
                  <c:v>5.9405263157894746E-2</c:v>
                </c:pt>
                <c:pt idx="1108">
                  <c:v>5.9405263157894746E-2</c:v>
                </c:pt>
                <c:pt idx="1109">
                  <c:v>5.9405263157894746E-2</c:v>
                </c:pt>
                <c:pt idx="1110">
                  <c:v>5.9405263157894746E-2</c:v>
                </c:pt>
                <c:pt idx="1111">
                  <c:v>5.9405263157894746E-2</c:v>
                </c:pt>
                <c:pt idx="1112">
                  <c:v>5.9405263157894746E-2</c:v>
                </c:pt>
                <c:pt idx="1113">
                  <c:v>5.9405263157894746E-2</c:v>
                </c:pt>
                <c:pt idx="1114">
                  <c:v>5.9405263157894746E-2</c:v>
                </c:pt>
                <c:pt idx="1115">
                  <c:v>5.9405263157894746E-2</c:v>
                </c:pt>
                <c:pt idx="1116">
                  <c:v>5.9405263157894746E-2</c:v>
                </c:pt>
                <c:pt idx="1117">
                  <c:v>5.9405263157894746E-2</c:v>
                </c:pt>
                <c:pt idx="1118">
                  <c:v>5.9405263157894746E-2</c:v>
                </c:pt>
                <c:pt idx="1119">
                  <c:v>5.9405263157894746E-2</c:v>
                </c:pt>
                <c:pt idx="1120">
                  <c:v>5.9405263157894746E-2</c:v>
                </c:pt>
                <c:pt idx="1121">
                  <c:v>5.9405263157894746E-2</c:v>
                </c:pt>
                <c:pt idx="1122">
                  <c:v>5.9405263157894746E-2</c:v>
                </c:pt>
                <c:pt idx="1123">
                  <c:v>5.9405263157894746E-2</c:v>
                </c:pt>
                <c:pt idx="1124">
                  <c:v>5.9405263157894746E-2</c:v>
                </c:pt>
                <c:pt idx="1125">
                  <c:v>5.9405263157894746E-2</c:v>
                </c:pt>
                <c:pt idx="1126">
                  <c:v>5.9405263157894746E-2</c:v>
                </c:pt>
                <c:pt idx="1127">
                  <c:v>5.9405263157894746E-2</c:v>
                </c:pt>
                <c:pt idx="1128">
                  <c:v>5.9405263157894746E-2</c:v>
                </c:pt>
                <c:pt idx="1129">
                  <c:v>5.9405263157894746E-2</c:v>
                </c:pt>
                <c:pt idx="1130">
                  <c:v>5.9405263157894746E-2</c:v>
                </c:pt>
                <c:pt idx="1131">
                  <c:v>5.9405263157894746E-2</c:v>
                </c:pt>
                <c:pt idx="1132">
                  <c:v>5.9405263157894746E-2</c:v>
                </c:pt>
                <c:pt idx="1133">
                  <c:v>5.9405263157894746E-2</c:v>
                </c:pt>
                <c:pt idx="1134">
                  <c:v>5.9405263157894746E-2</c:v>
                </c:pt>
                <c:pt idx="1135">
                  <c:v>5.9405263157894746E-2</c:v>
                </c:pt>
                <c:pt idx="1136">
                  <c:v>5.9405263157894746E-2</c:v>
                </c:pt>
                <c:pt idx="1137">
                  <c:v>5.9405263157894746E-2</c:v>
                </c:pt>
                <c:pt idx="1138">
                  <c:v>5.9405263157894746E-2</c:v>
                </c:pt>
                <c:pt idx="1139">
                  <c:v>5.9405263157894746E-2</c:v>
                </c:pt>
                <c:pt idx="1140">
                  <c:v>5.9405263157894746E-2</c:v>
                </c:pt>
                <c:pt idx="1141">
                  <c:v>5.9405263157894746E-2</c:v>
                </c:pt>
                <c:pt idx="1142">
                  <c:v>5.9405263157894746E-2</c:v>
                </c:pt>
                <c:pt idx="1143">
                  <c:v>5.9405263157894746E-2</c:v>
                </c:pt>
                <c:pt idx="1144">
                  <c:v>5.9405263157894746E-2</c:v>
                </c:pt>
                <c:pt idx="1145">
                  <c:v>5.9405263157894746E-2</c:v>
                </c:pt>
                <c:pt idx="1146">
                  <c:v>5.9405263157894746E-2</c:v>
                </c:pt>
                <c:pt idx="1147">
                  <c:v>5.9405263157894746E-2</c:v>
                </c:pt>
                <c:pt idx="1148">
                  <c:v>5.9405263157894746E-2</c:v>
                </c:pt>
                <c:pt idx="1149">
                  <c:v>5.9405263157894746E-2</c:v>
                </c:pt>
                <c:pt idx="1150">
                  <c:v>5.9405263157894746E-2</c:v>
                </c:pt>
                <c:pt idx="1151">
                  <c:v>5.9405263157894746E-2</c:v>
                </c:pt>
                <c:pt idx="1152">
                  <c:v>5.9405263157894746E-2</c:v>
                </c:pt>
                <c:pt idx="1153">
                  <c:v>5.9405263157894746E-2</c:v>
                </c:pt>
                <c:pt idx="1154">
                  <c:v>5.9405263157894746E-2</c:v>
                </c:pt>
                <c:pt idx="1155">
                  <c:v>5.9405263157894746E-2</c:v>
                </c:pt>
                <c:pt idx="1156">
                  <c:v>5.9405263157894746E-2</c:v>
                </c:pt>
                <c:pt idx="1157">
                  <c:v>5.9405263157894746E-2</c:v>
                </c:pt>
                <c:pt idx="1158">
                  <c:v>5.9405263157894746E-2</c:v>
                </c:pt>
                <c:pt idx="1159">
                  <c:v>5.9405263157894746E-2</c:v>
                </c:pt>
                <c:pt idx="1160">
                  <c:v>5.9405263157894746E-2</c:v>
                </c:pt>
                <c:pt idx="1161">
                  <c:v>5.9405263157894746E-2</c:v>
                </c:pt>
                <c:pt idx="1162">
                  <c:v>5.9405263157894746E-2</c:v>
                </c:pt>
                <c:pt idx="1163">
                  <c:v>5.9405263157894746E-2</c:v>
                </c:pt>
                <c:pt idx="1164">
                  <c:v>5.9405263157894746E-2</c:v>
                </c:pt>
                <c:pt idx="1165">
                  <c:v>5.9405263157894746E-2</c:v>
                </c:pt>
                <c:pt idx="1166">
                  <c:v>5.9405263157894746E-2</c:v>
                </c:pt>
                <c:pt idx="1167">
                  <c:v>5.9405263157894746E-2</c:v>
                </c:pt>
                <c:pt idx="1168">
                  <c:v>5.9405263157894746E-2</c:v>
                </c:pt>
                <c:pt idx="1169">
                  <c:v>5.9405263157894746E-2</c:v>
                </c:pt>
                <c:pt idx="1170">
                  <c:v>5.9405263157894746E-2</c:v>
                </c:pt>
                <c:pt idx="1171">
                  <c:v>5.9405263157894746E-2</c:v>
                </c:pt>
                <c:pt idx="1172">
                  <c:v>5.9405263157894746E-2</c:v>
                </c:pt>
                <c:pt idx="1173">
                  <c:v>5.9405263157894746E-2</c:v>
                </c:pt>
                <c:pt idx="1174">
                  <c:v>5.9405263157894746E-2</c:v>
                </c:pt>
                <c:pt idx="1175">
                  <c:v>5.9405263157894746E-2</c:v>
                </c:pt>
                <c:pt idx="1176">
                  <c:v>5.9405263157894746E-2</c:v>
                </c:pt>
                <c:pt idx="1177">
                  <c:v>5.9405263157894746E-2</c:v>
                </c:pt>
                <c:pt idx="1178">
                  <c:v>5.9405263157894746E-2</c:v>
                </c:pt>
                <c:pt idx="1179">
                  <c:v>5.9405263157894746E-2</c:v>
                </c:pt>
                <c:pt idx="1180">
                  <c:v>5.9405263157894746E-2</c:v>
                </c:pt>
                <c:pt idx="1181">
                  <c:v>5.9405263157894746E-2</c:v>
                </c:pt>
                <c:pt idx="1182">
                  <c:v>5.9405263157894746E-2</c:v>
                </c:pt>
                <c:pt idx="1183">
                  <c:v>5.9405263157894746E-2</c:v>
                </c:pt>
                <c:pt idx="1184">
                  <c:v>5.9405263157894746E-2</c:v>
                </c:pt>
                <c:pt idx="1185">
                  <c:v>5.9405263157894746E-2</c:v>
                </c:pt>
                <c:pt idx="1186">
                  <c:v>5.9405263157894746E-2</c:v>
                </c:pt>
                <c:pt idx="1187">
                  <c:v>5.9405263157894746E-2</c:v>
                </c:pt>
                <c:pt idx="1188">
                  <c:v>5.9405263157894746E-2</c:v>
                </c:pt>
                <c:pt idx="1189">
                  <c:v>5.9405263157894746E-2</c:v>
                </c:pt>
                <c:pt idx="1190">
                  <c:v>5.9405263157894746E-2</c:v>
                </c:pt>
                <c:pt idx="1191">
                  <c:v>5.9405263157894746E-2</c:v>
                </c:pt>
                <c:pt idx="1192">
                  <c:v>5.9405263157894746E-2</c:v>
                </c:pt>
                <c:pt idx="1193">
                  <c:v>5.9405263157894746E-2</c:v>
                </c:pt>
                <c:pt idx="1194">
                  <c:v>5.9405263157894746E-2</c:v>
                </c:pt>
                <c:pt idx="1195">
                  <c:v>5.9405263157894746E-2</c:v>
                </c:pt>
                <c:pt idx="1196">
                  <c:v>5.9405263157894746E-2</c:v>
                </c:pt>
                <c:pt idx="1197">
                  <c:v>5.9405263157894746E-2</c:v>
                </c:pt>
                <c:pt idx="1198">
                  <c:v>5.9405263157894746E-2</c:v>
                </c:pt>
                <c:pt idx="1199">
                  <c:v>5.9405263157894746E-2</c:v>
                </c:pt>
                <c:pt idx="1200">
                  <c:v>5.9405263157894746E-2</c:v>
                </c:pt>
                <c:pt idx="1201">
                  <c:v>5.9405263157894746E-2</c:v>
                </c:pt>
                <c:pt idx="1202">
                  <c:v>5.9405263157894746E-2</c:v>
                </c:pt>
                <c:pt idx="1203">
                  <c:v>5.9405263157894746E-2</c:v>
                </c:pt>
                <c:pt idx="1204">
                  <c:v>5.9405263157894746E-2</c:v>
                </c:pt>
                <c:pt idx="1205">
                  <c:v>5.9405263157894746E-2</c:v>
                </c:pt>
                <c:pt idx="1206">
                  <c:v>5.9405263157894746E-2</c:v>
                </c:pt>
                <c:pt idx="1207">
                  <c:v>5.9405263157894746E-2</c:v>
                </c:pt>
                <c:pt idx="1208">
                  <c:v>5.9405263157894746E-2</c:v>
                </c:pt>
                <c:pt idx="1209">
                  <c:v>5.9405263157894746E-2</c:v>
                </c:pt>
                <c:pt idx="1210">
                  <c:v>5.9405263157894746E-2</c:v>
                </c:pt>
                <c:pt idx="1211">
                  <c:v>5.9405263157894746E-2</c:v>
                </c:pt>
                <c:pt idx="1212">
                  <c:v>5.9405263157894746E-2</c:v>
                </c:pt>
                <c:pt idx="1213">
                  <c:v>5.9405263157894746E-2</c:v>
                </c:pt>
                <c:pt idx="1214">
                  <c:v>5.9405263157894746E-2</c:v>
                </c:pt>
                <c:pt idx="1215">
                  <c:v>5.9405263157894746E-2</c:v>
                </c:pt>
                <c:pt idx="1216">
                  <c:v>5.9405263157894746E-2</c:v>
                </c:pt>
                <c:pt idx="1217">
                  <c:v>5.9405263157894746E-2</c:v>
                </c:pt>
                <c:pt idx="1218">
                  <c:v>5.9405263157894746E-2</c:v>
                </c:pt>
                <c:pt idx="1219">
                  <c:v>5.9405263157894746E-2</c:v>
                </c:pt>
                <c:pt idx="1220">
                  <c:v>5.9405263157894746E-2</c:v>
                </c:pt>
                <c:pt idx="1221">
                  <c:v>5.9405263157894746E-2</c:v>
                </c:pt>
                <c:pt idx="1222">
                  <c:v>5.9405263157894746E-2</c:v>
                </c:pt>
                <c:pt idx="1223">
                  <c:v>5.9405263157894746E-2</c:v>
                </c:pt>
                <c:pt idx="1224">
                  <c:v>5.9405263157894746E-2</c:v>
                </c:pt>
                <c:pt idx="1225">
                  <c:v>5.9405263157894746E-2</c:v>
                </c:pt>
                <c:pt idx="1226">
                  <c:v>5.9405263157894746E-2</c:v>
                </c:pt>
                <c:pt idx="1227">
                  <c:v>5.9405263157894746E-2</c:v>
                </c:pt>
                <c:pt idx="1228">
                  <c:v>5.9405263157894746E-2</c:v>
                </c:pt>
                <c:pt idx="1229">
                  <c:v>5.9405263157894746E-2</c:v>
                </c:pt>
                <c:pt idx="1230">
                  <c:v>5.9405263157894746E-2</c:v>
                </c:pt>
                <c:pt idx="1231">
                  <c:v>5.9405263157894746E-2</c:v>
                </c:pt>
                <c:pt idx="1232">
                  <c:v>5.9405263157894746E-2</c:v>
                </c:pt>
                <c:pt idx="1233">
                  <c:v>5.9405263157894746E-2</c:v>
                </c:pt>
                <c:pt idx="1234">
                  <c:v>5.9405263157894746E-2</c:v>
                </c:pt>
                <c:pt idx="1235">
                  <c:v>5.9405263157894746E-2</c:v>
                </c:pt>
                <c:pt idx="1236">
                  <c:v>5.9405263157894746E-2</c:v>
                </c:pt>
                <c:pt idx="1237">
                  <c:v>5.9405263157894746E-2</c:v>
                </c:pt>
                <c:pt idx="1238">
                  <c:v>5.9405263157894746E-2</c:v>
                </c:pt>
                <c:pt idx="1239">
                  <c:v>5.9405263157894746E-2</c:v>
                </c:pt>
                <c:pt idx="1240">
                  <c:v>5.9405263157894746E-2</c:v>
                </c:pt>
                <c:pt idx="1241">
                  <c:v>5.9405263157894746E-2</c:v>
                </c:pt>
                <c:pt idx="1242">
                  <c:v>5.9405263157894746E-2</c:v>
                </c:pt>
                <c:pt idx="1243">
                  <c:v>5.9405263157894746E-2</c:v>
                </c:pt>
                <c:pt idx="1244">
                  <c:v>5.9405263157894746E-2</c:v>
                </c:pt>
                <c:pt idx="1245">
                  <c:v>5.9405263157894746E-2</c:v>
                </c:pt>
                <c:pt idx="1246">
                  <c:v>5.9405263157894746E-2</c:v>
                </c:pt>
                <c:pt idx="1247">
                  <c:v>5.9405263157894746E-2</c:v>
                </c:pt>
                <c:pt idx="1248">
                  <c:v>5.9405263157894746E-2</c:v>
                </c:pt>
                <c:pt idx="1249">
                  <c:v>5.9405263157894746E-2</c:v>
                </c:pt>
                <c:pt idx="1250">
                  <c:v>5.9405263157894746E-2</c:v>
                </c:pt>
                <c:pt idx="1251">
                  <c:v>5.9405263157894746E-2</c:v>
                </c:pt>
                <c:pt idx="1252">
                  <c:v>5.9405263157894746E-2</c:v>
                </c:pt>
                <c:pt idx="1253">
                  <c:v>5.9405263157894746E-2</c:v>
                </c:pt>
                <c:pt idx="1254">
                  <c:v>5.9405263157894746E-2</c:v>
                </c:pt>
                <c:pt idx="1255">
                  <c:v>5.9405263157894746E-2</c:v>
                </c:pt>
                <c:pt idx="1256">
                  <c:v>5.9405263157894746E-2</c:v>
                </c:pt>
                <c:pt idx="1257">
                  <c:v>5.9405263157894746E-2</c:v>
                </c:pt>
                <c:pt idx="1258">
                  <c:v>5.9405263157894746E-2</c:v>
                </c:pt>
                <c:pt idx="1259">
                  <c:v>5.9405263157894746E-2</c:v>
                </c:pt>
                <c:pt idx="1260">
                  <c:v>5.9405263157894746E-2</c:v>
                </c:pt>
                <c:pt idx="1261">
                  <c:v>5.9405263157894746E-2</c:v>
                </c:pt>
                <c:pt idx="1262">
                  <c:v>5.9405263157894746E-2</c:v>
                </c:pt>
                <c:pt idx="1263">
                  <c:v>5.9405263157894746E-2</c:v>
                </c:pt>
                <c:pt idx="1264">
                  <c:v>5.9405263157894746E-2</c:v>
                </c:pt>
                <c:pt idx="1265">
                  <c:v>5.9405263157894746E-2</c:v>
                </c:pt>
                <c:pt idx="1266">
                  <c:v>5.9405263157894746E-2</c:v>
                </c:pt>
                <c:pt idx="1267">
                  <c:v>5.9405263157894746E-2</c:v>
                </c:pt>
                <c:pt idx="1268">
                  <c:v>5.9405263157894746E-2</c:v>
                </c:pt>
                <c:pt idx="1269">
                  <c:v>5.9405263157894746E-2</c:v>
                </c:pt>
                <c:pt idx="1270">
                  <c:v>5.9405263157894746E-2</c:v>
                </c:pt>
                <c:pt idx="1271">
                  <c:v>5.9405263157894746E-2</c:v>
                </c:pt>
                <c:pt idx="1272">
                  <c:v>5.9405263157894746E-2</c:v>
                </c:pt>
                <c:pt idx="1273">
                  <c:v>5.9405263157894746E-2</c:v>
                </c:pt>
                <c:pt idx="1274">
                  <c:v>5.9405263157894746E-2</c:v>
                </c:pt>
                <c:pt idx="1275">
                  <c:v>5.9405263157894746E-2</c:v>
                </c:pt>
                <c:pt idx="1276">
                  <c:v>5.9405263157894746E-2</c:v>
                </c:pt>
                <c:pt idx="1277">
                  <c:v>5.9405263157894746E-2</c:v>
                </c:pt>
                <c:pt idx="1278">
                  <c:v>5.9405263157894746E-2</c:v>
                </c:pt>
                <c:pt idx="1279">
                  <c:v>5.9405263157894746E-2</c:v>
                </c:pt>
                <c:pt idx="1280">
                  <c:v>5.9405263157894746E-2</c:v>
                </c:pt>
                <c:pt idx="1281">
                  <c:v>5.9405263157894746E-2</c:v>
                </c:pt>
                <c:pt idx="1282">
                  <c:v>5.9405263157894746E-2</c:v>
                </c:pt>
                <c:pt idx="1283">
                  <c:v>5.9405263157894746E-2</c:v>
                </c:pt>
                <c:pt idx="1284">
                  <c:v>5.9405263157894746E-2</c:v>
                </c:pt>
                <c:pt idx="1285">
                  <c:v>5.9405263157894746E-2</c:v>
                </c:pt>
                <c:pt idx="1286">
                  <c:v>5.9405263157894746E-2</c:v>
                </c:pt>
                <c:pt idx="1287">
                  <c:v>5.9405263157894746E-2</c:v>
                </c:pt>
                <c:pt idx="1288">
                  <c:v>5.9405263157894746E-2</c:v>
                </c:pt>
                <c:pt idx="1289">
                  <c:v>5.9405263157894746E-2</c:v>
                </c:pt>
                <c:pt idx="1290">
                  <c:v>5.9405263157894746E-2</c:v>
                </c:pt>
                <c:pt idx="1291">
                  <c:v>5.9405263157894746E-2</c:v>
                </c:pt>
                <c:pt idx="1292">
                  <c:v>5.9405263157894746E-2</c:v>
                </c:pt>
                <c:pt idx="1293">
                  <c:v>5.9405263157894746E-2</c:v>
                </c:pt>
                <c:pt idx="1294">
                  <c:v>5.9405263157894746E-2</c:v>
                </c:pt>
                <c:pt idx="1295">
                  <c:v>5.9405263157894746E-2</c:v>
                </c:pt>
                <c:pt idx="1296">
                  <c:v>5.9405263157894746E-2</c:v>
                </c:pt>
                <c:pt idx="1297">
                  <c:v>5.9405263157894746E-2</c:v>
                </c:pt>
                <c:pt idx="1298">
                  <c:v>5.9405263157894746E-2</c:v>
                </c:pt>
                <c:pt idx="1299">
                  <c:v>5.9405263157894746E-2</c:v>
                </c:pt>
                <c:pt idx="1300">
                  <c:v>5.9405263157894746E-2</c:v>
                </c:pt>
                <c:pt idx="1301">
                  <c:v>5.9405263157894746E-2</c:v>
                </c:pt>
                <c:pt idx="1302">
                  <c:v>5.9405263157894746E-2</c:v>
                </c:pt>
                <c:pt idx="1303">
                  <c:v>5.9405263157894746E-2</c:v>
                </c:pt>
                <c:pt idx="1304">
                  <c:v>5.9405263157894746E-2</c:v>
                </c:pt>
                <c:pt idx="1305">
                  <c:v>5.9405263157894746E-2</c:v>
                </c:pt>
                <c:pt idx="1306">
                  <c:v>5.9405263157894746E-2</c:v>
                </c:pt>
                <c:pt idx="1307">
                  <c:v>5.9405263157894746E-2</c:v>
                </c:pt>
                <c:pt idx="1308">
                  <c:v>5.9405263157894746E-2</c:v>
                </c:pt>
                <c:pt idx="1309">
                  <c:v>5.9405263157894746E-2</c:v>
                </c:pt>
                <c:pt idx="1310">
                  <c:v>5.9405263157894746E-2</c:v>
                </c:pt>
                <c:pt idx="1311">
                  <c:v>5.9405263157894746E-2</c:v>
                </c:pt>
                <c:pt idx="1312">
                  <c:v>5.9405263157894746E-2</c:v>
                </c:pt>
                <c:pt idx="1313">
                  <c:v>5.9405263157894746E-2</c:v>
                </c:pt>
                <c:pt idx="1314">
                  <c:v>5.9405263157894746E-2</c:v>
                </c:pt>
                <c:pt idx="1315">
                  <c:v>5.9405263157894746E-2</c:v>
                </c:pt>
                <c:pt idx="1316">
                  <c:v>5.9405263157894746E-2</c:v>
                </c:pt>
                <c:pt idx="1317">
                  <c:v>5.9405263157894746E-2</c:v>
                </c:pt>
                <c:pt idx="1318">
                  <c:v>5.9405263157894746E-2</c:v>
                </c:pt>
                <c:pt idx="1319">
                  <c:v>5.9405263157894746E-2</c:v>
                </c:pt>
                <c:pt idx="1320">
                  <c:v>5.9405263157894746E-2</c:v>
                </c:pt>
                <c:pt idx="1321">
                  <c:v>5.9405263157894746E-2</c:v>
                </c:pt>
                <c:pt idx="1322">
                  <c:v>5.9405263157894746E-2</c:v>
                </c:pt>
                <c:pt idx="1323">
                  <c:v>5.9405263157894746E-2</c:v>
                </c:pt>
                <c:pt idx="1324">
                  <c:v>5.9405263157894746E-2</c:v>
                </c:pt>
                <c:pt idx="1325">
                  <c:v>5.9405263157894746E-2</c:v>
                </c:pt>
                <c:pt idx="1326">
                  <c:v>5.9405263157894746E-2</c:v>
                </c:pt>
                <c:pt idx="1327">
                  <c:v>5.9405263157894746E-2</c:v>
                </c:pt>
                <c:pt idx="1328">
                  <c:v>5.9405263157894746E-2</c:v>
                </c:pt>
                <c:pt idx="1329">
                  <c:v>5.9405263157894746E-2</c:v>
                </c:pt>
                <c:pt idx="1330">
                  <c:v>5.9405263157894746E-2</c:v>
                </c:pt>
                <c:pt idx="1331">
                  <c:v>5.9405263157894746E-2</c:v>
                </c:pt>
                <c:pt idx="1332">
                  <c:v>5.9405263157894746E-2</c:v>
                </c:pt>
                <c:pt idx="1333">
                  <c:v>5.9405263157894746E-2</c:v>
                </c:pt>
                <c:pt idx="1334">
                  <c:v>5.9405263157894746E-2</c:v>
                </c:pt>
                <c:pt idx="1335">
                  <c:v>5.9405263157894746E-2</c:v>
                </c:pt>
                <c:pt idx="1336">
                  <c:v>5.9405263157894746E-2</c:v>
                </c:pt>
                <c:pt idx="1337">
                  <c:v>5.9405263157894746E-2</c:v>
                </c:pt>
                <c:pt idx="1338">
                  <c:v>5.9405263157894746E-2</c:v>
                </c:pt>
                <c:pt idx="1339">
                  <c:v>5.9405263157894746E-2</c:v>
                </c:pt>
                <c:pt idx="1340">
                  <c:v>5.9405263157894746E-2</c:v>
                </c:pt>
                <c:pt idx="1341">
                  <c:v>5.9405263157894746E-2</c:v>
                </c:pt>
                <c:pt idx="1342">
                  <c:v>5.9405263157894746E-2</c:v>
                </c:pt>
                <c:pt idx="1343">
                  <c:v>5.9405263157894746E-2</c:v>
                </c:pt>
                <c:pt idx="1344">
                  <c:v>5.9405263157894746E-2</c:v>
                </c:pt>
                <c:pt idx="1345">
                  <c:v>5.9405263157894746E-2</c:v>
                </c:pt>
                <c:pt idx="1346">
                  <c:v>5.9405263157894746E-2</c:v>
                </c:pt>
                <c:pt idx="1347">
                  <c:v>5.9405263157894746E-2</c:v>
                </c:pt>
                <c:pt idx="1348">
                  <c:v>5.9405263157894746E-2</c:v>
                </c:pt>
                <c:pt idx="1349">
                  <c:v>5.9405263157894746E-2</c:v>
                </c:pt>
                <c:pt idx="1350">
                  <c:v>5.3897368421052638E-2</c:v>
                </c:pt>
                <c:pt idx="1351">
                  <c:v>5.3897368421052638E-2</c:v>
                </c:pt>
                <c:pt idx="1352">
                  <c:v>5.3897368421052638E-2</c:v>
                </c:pt>
                <c:pt idx="1353">
                  <c:v>5.3897368421052638E-2</c:v>
                </c:pt>
                <c:pt idx="1354">
                  <c:v>5.3897368421052638E-2</c:v>
                </c:pt>
                <c:pt idx="1355">
                  <c:v>5.3897368421052638E-2</c:v>
                </c:pt>
                <c:pt idx="1356">
                  <c:v>5.3897368421052638E-2</c:v>
                </c:pt>
                <c:pt idx="1357">
                  <c:v>5.3897368421052638E-2</c:v>
                </c:pt>
                <c:pt idx="1358">
                  <c:v>5.3897368421052638E-2</c:v>
                </c:pt>
                <c:pt idx="1359">
                  <c:v>5.3897368421052638E-2</c:v>
                </c:pt>
                <c:pt idx="1360">
                  <c:v>5.3897368421052638E-2</c:v>
                </c:pt>
                <c:pt idx="1361">
                  <c:v>5.3897368421052638E-2</c:v>
                </c:pt>
                <c:pt idx="1362">
                  <c:v>5.3897368421052638E-2</c:v>
                </c:pt>
                <c:pt idx="1363">
                  <c:v>5.3897368421052638E-2</c:v>
                </c:pt>
                <c:pt idx="1364">
                  <c:v>5.3897368421052638E-2</c:v>
                </c:pt>
                <c:pt idx="1365">
                  <c:v>5.3897368421052638E-2</c:v>
                </c:pt>
                <c:pt idx="1366">
                  <c:v>5.3897368421052638E-2</c:v>
                </c:pt>
                <c:pt idx="1367">
                  <c:v>5.3897368421052638E-2</c:v>
                </c:pt>
                <c:pt idx="1368">
                  <c:v>5.3897368421052638E-2</c:v>
                </c:pt>
                <c:pt idx="1369">
                  <c:v>5.3897368421052638E-2</c:v>
                </c:pt>
                <c:pt idx="1370">
                  <c:v>5.3897368421052638E-2</c:v>
                </c:pt>
                <c:pt idx="1371">
                  <c:v>5.3897368421052638E-2</c:v>
                </c:pt>
                <c:pt idx="1372">
                  <c:v>5.3897368421052638E-2</c:v>
                </c:pt>
                <c:pt idx="1373">
                  <c:v>5.3897368421052638E-2</c:v>
                </c:pt>
                <c:pt idx="1374">
                  <c:v>5.3897368421052638E-2</c:v>
                </c:pt>
                <c:pt idx="1375">
                  <c:v>5.3897368421052638E-2</c:v>
                </c:pt>
                <c:pt idx="1376">
                  <c:v>5.3897368421052638E-2</c:v>
                </c:pt>
                <c:pt idx="1377">
                  <c:v>5.3897368421052638E-2</c:v>
                </c:pt>
                <c:pt idx="1378">
                  <c:v>5.3897368421052638E-2</c:v>
                </c:pt>
                <c:pt idx="1379">
                  <c:v>5.3897368421052638E-2</c:v>
                </c:pt>
                <c:pt idx="1380">
                  <c:v>5.3897368421052638E-2</c:v>
                </c:pt>
                <c:pt idx="1381">
                  <c:v>5.3897368421052638E-2</c:v>
                </c:pt>
                <c:pt idx="1382">
                  <c:v>5.3897368421052638E-2</c:v>
                </c:pt>
                <c:pt idx="1383">
                  <c:v>5.3897368421052638E-2</c:v>
                </c:pt>
                <c:pt idx="1384">
                  <c:v>5.3897368421052638E-2</c:v>
                </c:pt>
                <c:pt idx="1385">
                  <c:v>5.3897368421052638E-2</c:v>
                </c:pt>
                <c:pt idx="1386">
                  <c:v>5.3897368421052638E-2</c:v>
                </c:pt>
                <c:pt idx="1387">
                  <c:v>5.3897368421052638E-2</c:v>
                </c:pt>
                <c:pt idx="1388">
                  <c:v>5.3897368421052638E-2</c:v>
                </c:pt>
                <c:pt idx="1389">
                  <c:v>5.3897368421052638E-2</c:v>
                </c:pt>
                <c:pt idx="1390">
                  <c:v>5.3897368421052638E-2</c:v>
                </c:pt>
                <c:pt idx="1391">
                  <c:v>5.3897368421052638E-2</c:v>
                </c:pt>
                <c:pt idx="1392">
                  <c:v>5.3897368421052638E-2</c:v>
                </c:pt>
                <c:pt idx="1393">
                  <c:v>5.3897368421052638E-2</c:v>
                </c:pt>
                <c:pt idx="1394">
                  <c:v>5.3897368421052638E-2</c:v>
                </c:pt>
                <c:pt idx="1395">
                  <c:v>5.3897368421052638E-2</c:v>
                </c:pt>
                <c:pt idx="1396">
                  <c:v>5.3897368421052638E-2</c:v>
                </c:pt>
                <c:pt idx="1397">
                  <c:v>5.3897368421052638E-2</c:v>
                </c:pt>
                <c:pt idx="1398">
                  <c:v>5.3897368421052638E-2</c:v>
                </c:pt>
                <c:pt idx="1399">
                  <c:v>5.3897368421052638E-2</c:v>
                </c:pt>
                <c:pt idx="1400">
                  <c:v>5.3897368421052638E-2</c:v>
                </c:pt>
                <c:pt idx="1401">
                  <c:v>5.3897368421052638E-2</c:v>
                </c:pt>
                <c:pt idx="1402">
                  <c:v>5.3897368421052638E-2</c:v>
                </c:pt>
                <c:pt idx="1403">
                  <c:v>5.3897368421052638E-2</c:v>
                </c:pt>
                <c:pt idx="1404">
                  <c:v>5.3897368421052638E-2</c:v>
                </c:pt>
                <c:pt idx="1405">
                  <c:v>5.3897368421052638E-2</c:v>
                </c:pt>
                <c:pt idx="1406">
                  <c:v>5.3897368421052638E-2</c:v>
                </c:pt>
                <c:pt idx="1407">
                  <c:v>5.3897368421052638E-2</c:v>
                </c:pt>
                <c:pt idx="1408">
                  <c:v>5.3897368421052638E-2</c:v>
                </c:pt>
                <c:pt idx="1409">
                  <c:v>5.3897368421052638E-2</c:v>
                </c:pt>
                <c:pt idx="1410">
                  <c:v>5.3897368421052638E-2</c:v>
                </c:pt>
                <c:pt idx="1411">
                  <c:v>5.3897368421052638E-2</c:v>
                </c:pt>
                <c:pt idx="1412">
                  <c:v>5.3897368421052638E-2</c:v>
                </c:pt>
                <c:pt idx="1413">
                  <c:v>5.3897368421052638E-2</c:v>
                </c:pt>
                <c:pt idx="1414">
                  <c:v>5.3897368421052638E-2</c:v>
                </c:pt>
                <c:pt idx="1415">
                  <c:v>5.3897368421052638E-2</c:v>
                </c:pt>
                <c:pt idx="1416">
                  <c:v>5.3897368421052638E-2</c:v>
                </c:pt>
                <c:pt idx="1417">
                  <c:v>5.3897368421052638E-2</c:v>
                </c:pt>
                <c:pt idx="1418">
                  <c:v>5.3897368421052638E-2</c:v>
                </c:pt>
                <c:pt idx="1419">
                  <c:v>5.3897368421052638E-2</c:v>
                </c:pt>
                <c:pt idx="1420">
                  <c:v>5.3897368421052638E-2</c:v>
                </c:pt>
                <c:pt idx="1421">
                  <c:v>5.3897368421052638E-2</c:v>
                </c:pt>
                <c:pt idx="1422">
                  <c:v>5.3897368421052638E-2</c:v>
                </c:pt>
                <c:pt idx="1423">
                  <c:v>5.3897368421052638E-2</c:v>
                </c:pt>
                <c:pt idx="1424">
                  <c:v>5.3897368421052638E-2</c:v>
                </c:pt>
                <c:pt idx="1425">
                  <c:v>5.3897368421052638E-2</c:v>
                </c:pt>
                <c:pt idx="1426">
                  <c:v>5.3897368421052638E-2</c:v>
                </c:pt>
                <c:pt idx="1427">
                  <c:v>5.3897368421052638E-2</c:v>
                </c:pt>
                <c:pt idx="1428">
                  <c:v>5.3897368421052638E-2</c:v>
                </c:pt>
                <c:pt idx="1429">
                  <c:v>5.3897368421052638E-2</c:v>
                </c:pt>
                <c:pt idx="1430">
                  <c:v>5.3897368421052638E-2</c:v>
                </c:pt>
                <c:pt idx="1431">
                  <c:v>5.3897368421052638E-2</c:v>
                </c:pt>
                <c:pt idx="1432">
                  <c:v>5.3897368421052638E-2</c:v>
                </c:pt>
                <c:pt idx="1433">
                  <c:v>5.3897368421052638E-2</c:v>
                </c:pt>
                <c:pt idx="1434">
                  <c:v>5.3897368421052638E-2</c:v>
                </c:pt>
                <c:pt idx="1435">
                  <c:v>5.3897368421052638E-2</c:v>
                </c:pt>
                <c:pt idx="1436">
                  <c:v>5.3897368421052638E-2</c:v>
                </c:pt>
                <c:pt idx="1437">
                  <c:v>5.3897368421052638E-2</c:v>
                </c:pt>
                <c:pt idx="1438">
                  <c:v>5.3897368421052638E-2</c:v>
                </c:pt>
                <c:pt idx="1439">
                  <c:v>5.3897368421052638E-2</c:v>
                </c:pt>
                <c:pt idx="1440">
                  <c:v>5.3897368421052638E-2</c:v>
                </c:pt>
                <c:pt idx="1441">
                  <c:v>5.3897368421052638E-2</c:v>
                </c:pt>
                <c:pt idx="1442">
                  <c:v>5.3897368421052638E-2</c:v>
                </c:pt>
                <c:pt idx="1443">
                  <c:v>5.3897368421052638E-2</c:v>
                </c:pt>
                <c:pt idx="1444">
                  <c:v>5.3897368421052638E-2</c:v>
                </c:pt>
                <c:pt idx="1445">
                  <c:v>5.3897368421052638E-2</c:v>
                </c:pt>
                <c:pt idx="1446">
                  <c:v>5.3897368421052638E-2</c:v>
                </c:pt>
                <c:pt idx="1447">
                  <c:v>5.3897368421052638E-2</c:v>
                </c:pt>
                <c:pt idx="1448">
                  <c:v>5.3897368421052638E-2</c:v>
                </c:pt>
                <c:pt idx="1449">
                  <c:v>5.3897368421052638E-2</c:v>
                </c:pt>
                <c:pt idx="1450">
                  <c:v>5.3897368421052638E-2</c:v>
                </c:pt>
                <c:pt idx="1451">
                  <c:v>5.3897368421052638E-2</c:v>
                </c:pt>
                <c:pt idx="1452">
                  <c:v>5.3897368421052638E-2</c:v>
                </c:pt>
                <c:pt idx="1453">
                  <c:v>5.3897368421052638E-2</c:v>
                </c:pt>
                <c:pt idx="1454">
                  <c:v>5.3897368421052638E-2</c:v>
                </c:pt>
                <c:pt idx="1455">
                  <c:v>5.3897368421052638E-2</c:v>
                </c:pt>
                <c:pt idx="1456">
                  <c:v>5.3897368421052638E-2</c:v>
                </c:pt>
                <c:pt idx="1457">
                  <c:v>5.3897368421052638E-2</c:v>
                </c:pt>
                <c:pt idx="1458">
                  <c:v>5.3897368421052638E-2</c:v>
                </c:pt>
                <c:pt idx="1459">
                  <c:v>5.3897368421052638E-2</c:v>
                </c:pt>
                <c:pt idx="1460">
                  <c:v>5.3897368421052638E-2</c:v>
                </c:pt>
                <c:pt idx="1461">
                  <c:v>5.3897368421052638E-2</c:v>
                </c:pt>
                <c:pt idx="1462">
                  <c:v>5.3897368421052638E-2</c:v>
                </c:pt>
                <c:pt idx="1463">
                  <c:v>5.3897368421052638E-2</c:v>
                </c:pt>
                <c:pt idx="1464">
                  <c:v>5.3897368421052638E-2</c:v>
                </c:pt>
                <c:pt idx="1465">
                  <c:v>5.3897368421052638E-2</c:v>
                </c:pt>
                <c:pt idx="1466">
                  <c:v>5.3897368421052638E-2</c:v>
                </c:pt>
                <c:pt idx="1467">
                  <c:v>5.3897368421052638E-2</c:v>
                </c:pt>
                <c:pt idx="1468">
                  <c:v>5.3897368421052638E-2</c:v>
                </c:pt>
                <c:pt idx="1469">
                  <c:v>5.3897368421052638E-2</c:v>
                </c:pt>
                <c:pt idx="1470">
                  <c:v>5.3897368421052638E-2</c:v>
                </c:pt>
                <c:pt idx="1471">
                  <c:v>5.3897368421052638E-2</c:v>
                </c:pt>
                <c:pt idx="1472">
                  <c:v>5.3897368421052638E-2</c:v>
                </c:pt>
                <c:pt idx="1473">
                  <c:v>5.3897368421052638E-2</c:v>
                </c:pt>
                <c:pt idx="1474">
                  <c:v>5.3897368421052638E-2</c:v>
                </c:pt>
                <c:pt idx="1475">
                  <c:v>5.3897368421052638E-2</c:v>
                </c:pt>
                <c:pt idx="1476">
                  <c:v>5.3897368421052638E-2</c:v>
                </c:pt>
                <c:pt idx="1477">
                  <c:v>5.3897368421052638E-2</c:v>
                </c:pt>
                <c:pt idx="1478">
                  <c:v>5.3897368421052638E-2</c:v>
                </c:pt>
                <c:pt idx="1479">
                  <c:v>5.3897368421052638E-2</c:v>
                </c:pt>
                <c:pt idx="1480">
                  <c:v>5.3897368421052638E-2</c:v>
                </c:pt>
                <c:pt idx="1481">
                  <c:v>5.3897368421052638E-2</c:v>
                </c:pt>
                <c:pt idx="1482">
                  <c:v>5.3897368421052638E-2</c:v>
                </c:pt>
                <c:pt idx="1483">
                  <c:v>5.3897368421052638E-2</c:v>
                </c:pt>
                <c:pt idx="1484">
                  <c:v>5.3897368421052638E-2</c:v>
                </c:pt>
                <c:pt idx="1485">
                  <c:v>5.3897368421052638E-2</c:v>
                </c:pt>
                <c:pt idx="1486">
                  <c:v>5.3897368421052638E-2</c:v>
                </c:pt>
                <c:pt idx="1487">
                  <c:v>5.3897368421052638E-2</c:v>
                </c:pt>
                <c:pt idx="1488">
                  <c:v>5.3897368421052638E-2</c:v>
                </c:pt>
                <c:pt idx="1489">
                  <c:v>5.3897368421052638E-2</c:v>
                </c:pt>
                <c:pt idx="1490">
                  <c:v>5.3897368421052638E-2</c:v>
                </c:pt>
                <c:pt idx="1491">
                  <c:v>5.3897368421052638E-2</c:v>
                </c:pt>
                <c:pt idx="1492">
                  <c:v>5.3897368421052638E-2</c:v>
                </c:pt>
                <c:pt idx="1493">
                  <c:v>5.3897368421052638E-2</c:v>
                </c:pt>
                <c:pt idx="1494">
                  <c:v>5.3897368421052638E-2</c:v>
                </c:pt>
                <c:pt idx="1495">
                  <c:v>5.3897368421052638E-2</c:v>
                </c:pt>
                <c:pt idx="1496">
                  <c:v>5.3897368421052638E-2</c:v>
                </c:pt>
                <c:pt idx="1497">
                  <c:v>5.3897368421052638E-2</c:v>
                </c:pt>
                <c:pt idx="1498">
                  <c:v>5.3897368421052638E-2</c:v>
                </c:pt>
                <c:pt idx="1499">
                  <c:v>5.3897368421052638E-2</c:v>
                </c:pt>
                <c:pt idx="1500">
                  <c:v>5.3897368421052638E-2</c:v>
                </c:pt>
                <c:pt idx="1501">
                  <c:v>5.3897368421052638E-2</c:v>
                </c:pt>
                <c:pt idx="1502">
                  <c:v>5.3897368421052638E-2</c:v>
                </c:pt>
                <c:pt idx="1503">
                  <c:v>5.3897368421052638E-2</c:v>
                </c:pt>
                <c:pt idx="1504">
                  <c:v>5.3897368421052638E-2</c:v>
                </c:pt>
                <c:pt idx="1505">
                  <c:v>5.3897368421052638E-2</c:v>
                </c:pt>
                <c:pt idx="1506">
                  <c:v>5.3897368421052638E-2</c:v>
                </c:pt>
                <c:pt idx="1507">
                  <c:v>5.3897368421052638E-2</c:v>
                </c:pt>
                <c:pt idx="1508">
                  <c:v>5.3897368421052638E-2</c:v>
                </c:pt>
                <c:pt idx="1509">
                  <c:v>5.3897368421052638E-2</c:v>
                </c:pt>
                <c:pt idx="1510">
                  <c:v>5.3897368421052638E-2</c:v>
                </c:pt>
                <c:pt idx="1511">
                  <c:v>5.3897368421052638E-2</c:v>
                </c:pt>
                <c:pt idx="1512">
                  <c:v>5.3897368421052638E-2</c:v>
                </c:pt>
                <c:pt idx="1513">
                  <c:v>5.3897368421052638E-2</c:v>
                </c:pt>
                <c:pt idx="1514">
                  <c:v>5.3897368421052638E-2</c:v>
                </c:pt>
                <c:pt idx="1515">
                  <c:v>5.3897368421052638E-2</c:v>
                </c:pt>
                <c:pt idx="1516">
                  <c:v>5.3897368421052638E-2</c:v>
                </c:pt>
                <c:pt idx="1517">
                  <c:v>5.3897368421052638E-2</c:v>
                </c:pt>
                <c:pt idx="1518">
                  <c:v>5.3897368421052638E-2</c:v>
                </c:pt>
                <c:pt idx="1519">
                  <c:v>5.3897368421052638E-2</c:v>
                </c:pt>
                <c:pt idx="1520">
                  <c:v>5.3897368421052638E-2</c:v>
                </c:pt>
                <c:pt idx="1521">
                  <c:v>5.3897368421052638E-2</c:v>
                </c:pt>
                <c:pt idx="1522">
                  <c:v>5.3897368421052638E-2</c:v>
                </c:pt>
                <c:pt idx="1523">
                  <c:v>5.3897368421052638E-2</c:v>
                </c:pt>
                <c:pt idx="1524">
                  <c:v>5.3897368421052638E-2</c:v>
                </c:pt>
                <c:pt idx="1525">
                  <c:v>5.3897368421052638E-2</c:v>
                </c:pt>
                <c:pt idx="1526">
                  <c:v>5.3897368421052638E-2</c:v>
                </c:pt>
                <c:pt idx="1527">
                  <c:v>5.3897368421052638E-2</c:v>
                </c:pt>
                <c:pt idx="1528">
                  <c:v>5.3897368421052638E-2</c:v>
                </c:pt>
                <c:pt idx="1529">
                  <c:v>5.3897368421052638E-2</c:v>
                </c:pt>
                <c:pt idx="1530">
                  <c:v>5.3897368421052638E-2</c:v>
                </c:pt>
                <c:pt idx="1531">
                  <c:v>5.3897368421052638E-2</c:v>
                </c:pt>
                <c:pt idx="1532">
                  <c:v>5.3897368421052638E-2</c:v>
                </c:pt>
                <c:pt idx="1533">
                  <c:v>5.3897368421052638E-2</c:v>
                </c:pt>
                <c:pt idx="1534">
                  <c:v>5.3897368421052638E-2</c:v>
                </c:pt>
                <c:pt idx="1535">
                  <c:v>5.3897368421052638E-2</c:v>
                </c:pt>
                <c:pt idx="1536">
                  <c:v>5.3897368421052638E-2</c:v>
                </c:pt>
                <c:pt idx="1537">
                  <c:v>5.3897368421052638E-2</c:v>
                </c:pt>
                <c:pt idx="1538">
                  <c:v>5.3897368421052638E-2</c:v>
                </c:pt>
                <c:pt idx="1539">
                  <c:v>5.3897368421052638E-2</c:v>
                </c:pt>
                <c:pt idx="1540">
                  <c:v>5.9405263157894746E-2</c:v>
                </c:pt>
                <c:pt idx="1541">
                  <c:v>5.9405263157894746E-2</c:v>
                </c:pt>
                <c:pt idx="1542">
                  <c:v>5.9405263157894746E-2</c:v>
                </c:pt>
                <c:pt idx="1543">
                  <c:v>5.9405263157894746E-2</c:v>
                </c:pt>
                <c:pt idx="1544">
                  <c:v>5.9405263157894746E-2</c:v>
                </c:pt>
                <c:pt idx="1545">
                  <c:v>5.9405263157894746E-2</c:v>
                </c:pt>
                <c:pt idx="1546">
                  <c:v>5.9405263157894746E-2</c:v>
                </c:pt>
                <c:pt idx="1547">
                  <c:v>5.9405263157894746E-2</c:v>
                </c:pt>
                <c:pt idx="1548">
                  <c:v>5.9405263157894746E-2</c:v>
                </c:pt>
                <c:pt idx="1549">
                  <c:v>5.9405263157894746E-2</c:v>
                </c:pt>
                <c:pt idx="1550">
                  <c:v>5.9405263157894746E-2</c:v>
                </c:pt>
                <c:pt idx="1551">
                  <c:v>5.9405263157894746E-2</c:v>
                </c:pt>
                <c:pt idx="1552">
                  <c:v>5.9405263157894746E-2</c:v>
                </c:pt>
                <c:pt idx="1553">
                  <c:v>5.9405263157894746E-2</c:v>
                </c:pt>
                <c:pt idx="1554">
                  <c:v>5.9405263157894746E-2</c:v>
                </c:pt>
                <c:pt idx="1555">
                  <c:v>5.9405263157894746E-2</c:v>
                </c:pt>
                <c:pt idx="1556">
                  <c:v>5.9405263157894746E-2</c:v>
                </c:pt>
                <c:pt idx="1557">
                  <c:v>5.9405263157894746E-2</c:v>
                </c:pt>
                <c:pt idx="1558">
                  <c:v>5.9405263157894746E-2</c:v>
                </c:pt>
                <c:pt idx="1559">
                  <c:v>5.9405263157894746E-2</c:v>
                </c:pt>
                <c:pt idx="1560">
                  <c:v>5.9405263157894746E-2</c:v>
                </c:pt>
                <c:pt idx="1561">
                  <c:v>5.9405263157894746E-2</c:v>
                </c:pt>
                <c:pt idx="1562">
                  <c:v>5.9405263157894746E-2</c:v>
                </c:pt>
                <c:pt idx="1563">
                  <c:v>5.9405263157894746E-2</c:v>
                </c:pt>
                <c:pt idx="1564">
                  <c:v>5.9405263157894746E-2</c:v>
                </c:pt>
                <c:pt idx="1565">
                  <c:v>5.9405263157894746E-2</c:v>
                </c:pt>
                <c:pt idx="1566">
                  <c:v>5.9405263157894746E-2</c:v>
                </c:pt>
                <c:pt idx="1567">
                  <c:v>5.9405263157894746E-2</c:v>
                </c:pt>
                <c:pt idx="1568">
                  <c:v>5.9405263157894746E-2</c:v>
                </c:pt>
                <c:pt idx="1569">
                  <c:v>5.9405263157894746E-2</c:v>
                </c:pt>
                <c:pt idx="1570">
                  <c:v>5.9405263157894746E-2</c:v>
                </c:pt>
                <c:pt idx="1571">
                  <c:v>5.9405263157894746E-2</c:v>
                </c:pt>
                <c:pt idx="1572">
                  <c:v>5.9405263157894746E-2</c:v>
                </c:pt>
                <c:pt idx="1573">
                  <c:v>5.9405263157894746E-2</c:v>
                </c:pt>
                <c:pt idx="1574">
                  <c:v>5.9405263157894746E-2</c:v>
                </c:pt>
                <c:pt idx="1575">
                  <c:v>5.9405263157894746E-2</c:v>
                </c:pt>
                <c:pt idx="1576">
                  <c:v>5.9405263157894746E-2</c:v>
                </c:pt>
                <c:pt idx="1577">
                  <c:v>5.9405263157894746E-2</c:v>
                </c:pt>
                <c:pt idx="1578">
                  <c:v>5.9405263157894746E-2</c:v>
                </c:pt>
                <c:pt idx="1579">
                  <c:v>5.9405263157894746E-2</c:v>
                </c:pt>
                <c:pt idx="1580">
                  <c:v>5.9405263157894746E-2</c:v>
                </c:pt>
                <c:pt idx="1581">
                  <c:v>5.9405263157894746E-2</c:v>
                </c:pt>
                <c:pt idx="1582">
                  <c:v>5.9405263157894746E-2</c:v>
                </c:pt>
                <c:pt idx="1583">
                  <c:v>5.9405263157894746E-2</c:v>
                </c:pt>
                <c:pt idx="1584">
                  <c:v>5.9405263157894746E-2</c:v>
                </c:pt>
                <c:pt idx="1585">
                  <c:v>5.9405263157894746E-2</c:v>
                </c:pt>
                <c:pt idx="1586">
                  <c:v>5.9405263157894746E-2</c:v>
                </c:pt>
                <c:pt idx="1587">
                  <c:v>5.9405263157894746E-2</c:v>
                </c:pt>
                <c:pt idx="1588">
                  <c:v>5.9405263157894746E-2</c:v>
                </c:pt>
                <c:pt idx="1589">
                  <c:v>5.9405263157894746E-2</c:v>
                </c:pt>
                <c:pt idx="1590">
                  <c:v>5.9405263157894746E-2</c:v>
                </c:pt>
                <c:pt idx="1591">
                  <c:v>5.9405263157894746E-2</c:v>
                </c:pt>
                <c:pt idx="1592">
                  <c:v>5.9405263157894746E-2</c:v>
                </c:pt>
                <c:pt idx="1593">
                  <c:v>5.9405263157894746E-2</c:v>
                </c:pt>
                <c:pt idx="1594">
                  <c:v>5.9405263157894746E-2</c:v>
                </c:pt>
                <c:pt idx="1595">
                  <c:v>5.9405263157894746E-2</c:v>
                </c:pt>
                <c:pt idx="1596">
                  <c:v>5.9405263157894746E-2</c:v>
                </c:pt>
                <c:pt idx="1597">
                  <c:v>5.9405263157894746E-2</c:v>
                </c:pt>
                <c:pt idx="1598">
                  <c:v>5.9405263157894746E-2</c:v>
                </c:pt>
                <c:pt idx="1599">
                  <c:v>5.9405263157894746E-2</c:v>
                </c:pt>
                <c:pt idx="1600">
                  <c:v>5.9405263157894746E-2</c:v>
                </c:pt>
                <c:pt idx="1601">
                  <c:v>5.9405263157894746E-2</c:v>
                </c:pt>
                <c:pt idx="1602">
                  <c:v>5.9405263157894746E-2</c:v>
                </c:pt>
                <c:pt idx="1603">
                  <c:v>5.9405263157894746E-2</c:v>
                </c:pt>
                <c:pt idx="1604">
                  <c:v>5.9405263157894746E-2</c:v>
                </c:pt>
                <c:pt idx="1605">
                  <c:v>5.9405263157894746E-2</c:v>
                </c:pt>
                <c:pt idx="1606">
                  <c:v>5.9405263157894746E-2</c:v>
                </c:pt>
                <c:pt idx="1607">
                  <c:v>5.9405263157894746E-2</c:v>
                </c:pt>
                <c:pt idx="1608">
                  <c:v>5.9405263157894746E-2</c:v>
                </c:pt>
                <c:pt idx="1609">
                  <c:v>5.9405263157894746E-2</c:v>
                </c:pt>
                <c:pt idx="1610">
                  <c:v>5.9405263157894746E-2</c:v>
                </c:pt>
                <c:pt idx="1611">
                  <c:v>5.9405263157894746E-2</c:v>
                </c:pt>
                <c:pt idx="1612">
                  <c:v>5.9405263157894746E-2</c:v>
                </c:pt>
                <c:pt idx="1613">
                  <c:v>5.9405263157894746E-2</c:v>
                </c:pt>
                <c:pt idx="1614">
                  <c:v>5.9405263157894746E-2</c:v>
                </c:pt>
                <c:pt idx="1615">
                  <c:v>5.9405263157894746E-2</c:v>
                </c:pt>
                <c:pt idx="1616">
                  <c:v>5.9405263157894746E-2</c:v>
                </c:pt>
                <c:pt idx="1617">
                  <c:v>5.9405263157894746E-2</c:v>
                </c:pt>
                <c:pt idx="1618">
                  <c:v>5.9405263157894746E-2</c:v>
                </c:pt>
                <c:pt idx="1619">
                  <c:v>5.9405263157894746E-2</c:v>
                </c:pt>
                <c:pt idx="1620">
                  <c:v>5.9405263157894746E-2</c:v>
                </c:pt>
                <c:pt idx="1621">
                  <c:v>5.9405263157894746E-2</c:v>
                </c:pt>
                <c:pt idx="1622">
                  <c:v>5.9405263157894746E-2</c:v>
                </c:pt>
                <c:pt idx="1623">
                  <c:v>5.9405263157894746E-2</c:v>
                </c:pt>
                <c:pt idx="1624">
                  <c:v>5.9405263157894746E-2</c:v>
                </c:pt>
                <c:pt idx="1625">
                  <c:v>5.9405263157894746E-2</c:v>
                </c:pt>
                <c:pt idx="1626">
                  <c:v>5.9405263157894746E-2</c:v>
                </c:pt>
                <c:pt idx="1627">
                  <c:v>5.9405263157894746E-2</c:v>
                </c:pt>
                <c:pt idx="1628">
                  <c:v>5.9405263157894746E-2</c:v>
                </c:pt>
                <c:pt idx="1629">
                  <c:v>5.9405263157894746E-2</c:v>
                </c:pt>
                <c:pt idx="1630">
                  <c:v>5.9405263157894746E-2</c:v>
                </c:pt>
                <c:pt idx="1631">
                  <c:v>5.9405263157894746E-2</c:v>
                </c:pt>
                <c:pt idx="1632">
                  <c:v>5.9405263157894746E-2</c:v>
                </c:pt>
                <c:pt idx="1633">
                  <c:v>5.9405263157894746E-2</c:v>
                </c:pt>
                <c:pt idx="1634">
                  <c:v>5.9405263157894746E-2</c:v>
                </c:pt>
                <c:pt idx="1635">
                  <c:v>5.9405263157894746E-2</c:v>
                </c:pt>
                <c:pt idx="1636">
                  <c:v>5.9405263157894746E-2</c:v>
                </c:pt>
                <c:pt idx="1637">
                  <c:v>5.9405263157894746E-2</c:v>
                </c:pt>
                <c:pt idx="1638">
                  <c:v>5.9405263157894746E-2</c:v>
                </c:pt>
                <c:pt idx="1639">
                  <c:v>5.9405263157894746E-2</c:v>
                </c:pt>
                <c:pt idx="1640">
                  <c:v>5.9405263157894746E-2</c:v>
                </c:pt>
                <c:pt idx="1641">
                  <c:v>5.9405263157894746E-2</c:v>
                </c:pt>
                <c:pt idx="1642">
                  <c:v>5.9405263157894746E-2</c:v>
                </c:pt>
                <c:pt idx="1643">
                  <c:v>5.9405263157894746E-2</c:v>
                </c:pt>
                <c:pt idx="1644">
                  <c:v>5.9405263157894746E-2</c:v>
                </c:pt>
                <c:pt idx="1645">
                  <c:v>5.9405263157894746E-2</c:v>
                </c:pt>
                <c:pt idx="1646">
                  <c:v>5.9405263157894746E-2</c:v>
                </c:pt>
                <c:pt idx="1647">
                  <c:v>5.9405263157894746E-2</c:v>
                </c:pt>
                <c:pt idx="1648">
                  <c:v>5.9405263157894746E-2</c:v>
                </c:pt>
                <c:pt idx="1649">
                  <c:v>5.9405263157894746E-2</c:v>
                </c:pt>
                <c:pt idx="1650">
                  <c:v>5.9405263157894746E-2</c:v>
                </c:pt>
                <c:pt idx="1651">
                  <c:v>5.9405263157894746E-2</c:v>
                </c:pt>
                <c:pt idx="1652">
                  <c:v>5.9405263157894746E-2</c:v>
                </c:pt>
                <c:pt idx="1653">
                  <c:v>5.9405263157894746E-2</c:v>
                </c:pt>
                <c:pt idx="1654">
                  <c:v>5.9405263157894746E-2</c:v>
                </c:pt>
                <c:pt idx="1655">
                  <c:v>5.9405263157894746E-2</c:v>
                </c:pt>
                <c:pt idx="1656">
                  <c:v>5.9405263157894746E-2</c:v>
                </c:pt>
                <c:pt idx="1657">
                  <c:v>5.9405263157894746E-2</c:v>
                </c:pt>
                <c:pt idx="1658">
                  <c:v>5.9405263157894746E-2</c:v>
                </c:pt>
                <c:pt idx="1659">
                  <c:v>5.9405263157894746E-2</c:v>
                </c:pt>
                <c:pt idx="1660">
                  <c:v>5.9405263157894746E-2</c:v>
                </c:pt>
                <c:pt idx="1661">
                  <c:v>5.9405263157894746E-2</c:v>
                </c:pt>
                <c:pt idx="1662">
                  <c:v>5.9405263157894746E-2</c:v>
                </c:pt>
                <c:pt idx="1663">
                  <c:v>5.9405263157894746E-2</c:v>
                </c:pt>
                <c:pt idx="1664">
                  <c:v>5.9405263157894746E-2</c:v>
                </c:pt>
                <c:pt idx="1665">
                  <c:v>5.9405263157894746E-2</c:v>
                </c:pt>
                <c:pt idx="1666">
                  <c:v>5.9405263157894746E-2</c:v>
                </c:pt>
                <c:pt idx="1667">
                  <c:v>5.9405263157894746E-2</c:v>
                </c:pt>
                <c:pt idx="1668">
                  <c:v>5.9405263157894746E-2</c:v>
                </c:pt>
                <c:pt idx="1669">
                  <c:v>5.9405263157894746E-2</c:v>
                </c:pt>
                <c:pt idx="1670">
                  <c:v>5.9405263157894746E-2</c:v>
                </c:pt>
                <c:pt idx="1671">
                  <c:v>5.9405263157894746E-2</c:v>
                </c:pt>
                <c:pt idx="1672">
                  <c:v>5.9405263157894746E-2</c:v>
                </c:pt>
                <c:pt idx="1673">
                  <c:v>5.9405263157894746E-2</c:v>
                </c:pt>
                <c:pt idx="1674">
                  <c:v>5.9405263157894746E-2</c:v>
                </c:pt>
                <c:pt idx="1675">
                  <c:v>5.9405263157894746E-2</c:v>
                </c:pt>
                <c:pt idx="1676">
                  <c:v>5.9405263157894746E-2</c:v>
                </c:pt>
                <c:pt idx="1677">
                  <c:v>5.9405263157894746E-2</c:v>
                </c:pt>
                <c:pt idx="1678">
                  <c:v>5.9405263157894746E-2</c:v>
                </c:pt>
                <c:pt idx="1679">
                  <c:v>5.9405263157894746E-2</c:v>
                </c:pt>
                <c:pt idx="1680">
                  <c:v>5.9405263157894746E-2</c:v>
                </c:pt>
                <c:pt idx="1681">
                  <c:v>5.9405263157894746E-2</c:v>
                </c:pt>
                <c:pt idx="1682">
                  <c:v>5.9405263157894746E-2</c:v>
                </c:pt>
                <c:pt idx="1683">
                  <c:v>5.9405263157894746E-2</c:v>
                </c:pt>
                <c:pt idx="1684">
                  <c:v>5.9405263157894746E-2</c:v>
                </c:pt>
                <c:pt idx="1685">
                  <c:v>5.9405263157894746E-2</c:v>
                </c:pt>
                <c:pt idx="1686">
                  <c:v>5.9405263157894746E-2</c:v>
                </c:pt>
                <c:pt idx="1687">
                  <c:v>5.9405263157894746E-2</c:v>
                </c:pt>
                <c:pt idx="1688">
                  <c:v>5.9405263157894746E-2</c:v>
                </c:pt>
                <c:pt idx="1689">
                  <c:v>5.9405263157894746E-2</c:v>
                </c:pt>
                <c:pt idx="1690">
                  <c:v>5.9405263157894746E-2</c:v>
                </c:pt>
                <c:pt idx="1691">
                  <c:v>5.9405263157894746E-2</c:v>
                </c:pt>
                <c:pt idx="1692">
                  <c:v>5.9405263157894746E-2</c:v>
                </c:pt>
                <c:pt idx="1693">
                  <c:v>5.9405263157894746E-2</c:v>
                </c:pt>
                <c:pt idx="1694">
                  <c:v>5.9405263157894746E-2</c:v>
                </c:pt>
                <c:pt idx="1695">
                  <c:v>5.9405263157894746E-2</c:v>
                </c:pt>
                <c:pt idx="1696">
                  <c:v>5.9405263157894746E-2</c:v>
                </c:pt>
                <c:pt idx="1697">
                  <c:v>5.9405263157894746E-2</c:v>
                </c:pt>
                <c:pt idx="1698">
                  <c:v>5.9405263157894746E-2</c:v>
                </c:pt>
                <c:pt idx="1699">
                  <c:v>5.9405263157894746E-2</c:v>
                </c:pt>
                <c:pt idx="1700">
                  <c:v>5.9405263157894746E-2</c:v>
                </c:pt>
                <c:pt idx="1701">
                  <c:v>5.9405263157894746E-2</c:v>
                </c:pt>
                <c:pt idx="1702">
                  <c:v>5.9405263157894746E-2</c:v>
                </c:pt>
                <c:pt idx="1703">
                  <c:v>5.9405263157894746E-2</c:v>
                </c:pt>
                <c:pt idx="1704">
                  <c:v>5.9405263157894746E-2</c:v>
                </c:pt>
                <c:pt idx="1705">
                  <c:v>5.9405263157894746E-2</c:v>
                </c:pt>
                <c:pt idx="1706">
                  <c:v>5.9405263157894746E-2</c:v>
                </c:pt>
                <c:pt idx="1707">
                  <c:v>5.9405263157894746E-2</c:v>
                </c:pt>
                <c:pt idx="1708">
                  <c:v>5.9405263157894746E-2</c:v>
                </c:pt>
                <c:pt idx="1709">
                  <c:v>5.9405263157894746E-2</c:v>
                </c:pt>
                <c:pt idx="1710">
                  <c:v>5.9405263157894746E-2</c:v>
                </c:pt>
                <c:pt idx="1711">
                  <c:v>5.9405263157894746E-2</c:v>
                </c:pt>
                <c:pt idx="1712">
                  <c:v>5.9405263157894746E-2</c:v>
                </c:pt>
                <c:pt idx="1713">
                  <c:v>5.9405263157894746E-2</c:v>
                </c:pt>
                <c:pt idx="1714">
                  <c:v>5.9405263157894746E-2</c:v>
                </c:pt>
                <c:pt idx="1715">
                  <c:v>5.9405263157894746E-2</c:v>
                </c:pt>
                <c:pt idx="1716">
                  <c:v>5.9405263157894746E-2</c:v>
                </c:pt>
                <c:pt idx="1717">
                  <c:v>5.9405263157894746E-2</c:v>
                </c:pt>
                <c:pt idx="1718">
                  <c:v>5.9405263157894746E-2</c:v>
                </c:pt>
                <c:pt idx="1719">
                  <c:v>5.9405263157894746E-2</c:v>
                </c:pt>
                <c:pt idx="1720">
                  <c:v>5.9405263157894746E-2</c:v>
                </c:pt>
                <c:pt idx="1721">
                  <c:v>5.9405263157894746E-2</c:v>
                </c:pt>
                <c:pt idx="1722">
                  <c:v>5.9405263157894746E-2</c:v>
                </c:pt>
                <c:pt idx="1723">
                  <c:v>5.9405263157894746E-2</c:v>
                </c:pt>
                <c:pt idx="1724">
                  <c:v>5.9405263157894746E-2</c:v>
                </c:pt>
                <c:pt idx="1725">
                  <c:v>5.9405263157894746E-2</c:v>
                </c:pt>
                <c:pt idx="1726">
                  <c:v>5.9405263157894746E-2</c:v>
                </c:pt>
                <c:pt idx="1727">
                  <c:v>5.9405263157894746E-2</c:v>
                </c:pt>
                <c:pt idx="1728">
                  <c:v>5.9405263157894746E-2</c:v>
                </c:pt>
                <c:pt idx="1729">
                  <c:v>5.9405263157894746E-2</c:v>
                </c:pt>
                <c:pt idx="1730">
                  <c:v>5.9405263157894746E-2</c:v>
                </c:pt>
                <c:pt idx="1731">
                  <c:v>5.9405263157894746E-2</c:v>
                </c:pt>
                <c:pt idx="1732">
                  <c:v>5.9405263157894746E-2</c:v>
                </c:pt>
                <c:pt idx="1733">
                  <c:v>5.9405263157894746E-2</c:v>
                </c:pt>
                <c:pt idx="1734">
                  <c:v>5.9405263157894746E-2</c:v>
                </c:pt>
                <c:pt idx="1735">
                  <c:v>5.9405263157894746E-2</c:v>
                </c:pt>
                <c:pt idx="1736">
                  <c:v>5.9405263157894746E-2</c:v>
                </c:pt>
                <c:pt idx="1737">
                  <c:v>5.9405263157894746E-2</c:v>
                </c:pt>
                <c:pt idx="1738">
                  <c:v>5.9405263157894746E-2</c:v>
                </c:pt>
                <c:pt idx="1739">
                  <c:v>5.9405263157894746E-2</c:v>
                </c:pt>
                <c:pt idx="1740">
                  <c:v>5.9405263157894746E-2</c:v>
                </c:pt>
                <c:pt idx="1741">
                  <c:v>5.9405263157894746E-2</c:v>
                </c:pt>
                <c:pt idx="1742">
                  <c:v>5.9405263157894746E-2</c:v>
                </c:pt>
                <c:pt idx="1743">
                  <c:v>5.9405263157894746E-2</c:v>
                </c:pt>
                <c:pt idx="1744">
                  <c:v>5.9405263157894746E-2</c:v>
                </c:pt>
                <c:pt idx="1745">
                  <c:v>5.9405263157894746E-2</c:v>
                </c:pt>
                <c:pt idx="1746">
                  <c:v>5.9405263157894746E-2</c:v>
                </c:pt>
                <c:pt idx="1747">
                  <c:v>5.9405263157894746E-2</c:v>
                </c:pt>
                <c:pt idx="1748">
                  <c:v>5.9405263157894746E-2</c:v>
                </c:pt>
                <c:pt idx="1749">
                  <c:v>5.9405263157894746E-2</c:v>
                </c:pt>
                <c:pt idx="1750">
                  <c:v>5.9405263157894746E-2</c:v>
                </c:pt>
                <c:pt idx="1751">
                  <c:v>5.9405263157894746E-2</c:v>
                </c:pt>
                <c:pt idx="1752">
                  <c:v>5.9405263157894746E-2</c:v>
                </c:pt>
                <c:pt idx="1753">
                  <c:v>5.9405263157894746E-2</c:v>
                </c:pt>
                <c:pt idx="1754">
                  <c:v>5.9405263157894746E-2</c:v>
                </c:pt>
                <c:pt idx="1755">
                  <c:v>5.9405263157894746E-2</c:v>
                </c:pt>
                <c:pt idx="1756">
                  <c:v>5.9405263157894746E-2</c:v>
                </c:pt>
                <c:pt idx="1757">
                  <c:v>5.9405263157894746E-2</c:v>
                </c:pt>
                <c:pt idx="1758">
                  <c:v>5.9405263157894746E-2</c:v>
                </c:pt>
                <c:pt idx="1759">
                  <c:v>5.9405263157894746E-2</c:v>
                </c:pt>
                <c:pt idx="1760">
                  <c:v>5.9405263157894746E-2</c:v>
                </c:pt>
                <c:pt idx="1761">
                  <c:v>5.9405263157894746E-2</c:v>
                </c:pt>
                <c:pt idx="1762">
                  <c:v>5.9405263157894746E-2</c:v>
                </c:pt>
                <c:pt idx="1763">
                  <c:v>5.9405263157894746E-2</c:v>
                </c:pt>
                <c:pt idx="1764">
                  <c:v>5.9405263157894746E-2</c:v>
                </c:pt>
                <c:pt idx="1765">
                  <c:v>5.9405263157894746E-2</c:v>
                </c:pt>
                <c:pt idx="1766">
                  <c:v>5.9405263157894746E-2</c:v>
                </c:pt>
                <c:pt idx="1767">
                  <c:v>5.9405263157894746E-2</c:v>
                </c:pt>
                <c:pt idx="1768">
                  <c:v>5.9405263157894746E-2</c:v>
                </c:pt>
                <c:pt idx="1769">
                  <c:v>5.9405263157894746E-2</c:v>
                </c:pt>
                <c:pt idx="1770">
                  <c:v>5.9405263157894746E-2</c:v>
                </c:pt>
                <c:pt idx="1771">
                  <c:v>5.9405263157894746E-2</c:v>
                </c:pt>
                <c:pt idx="1772">
                  <c:v>5.9405263157894746E-2</c:v>
                </c:pt>
                <c:pt idx="1773">
                  <c:v>5.9405263157894746E-2</c:v>
                </c:pt>
                <c:pt idx="1774">
                  <c:v>5.9405263157894746E-2</c:v>
                </c:pt>
                <c:pt idx="1775">
                  <c:v>5.9405263157894746E-2</c:v>
                </c:pt>
                <c:pt idx="1776">
                  <c:v>5.9405263157894746E-2</c:v>
                </c:pt>
                <c:pt idx="1777">
                  <c:v>5.9405263157894746E-2</c:v>
                </c:pt>
                <c:pt idx="1778">
                  <c:v>5.9405263157894746E-2</c:v>
                </c:pt>
                <c:pt idx="1779">
                  <c:v>5.9405263157894746E-2</c:v>
                </c:pt>
                <c:pt idx="1780">
                  <c:v>5.9405263157894746E-2</c:v>
                </c:pt>
                <c:pt idx="1781">
                  <c:v>5.9405263157894746E-2</c:v>
                </c:pt>
                <c:pt idx="1782">
                  <c:v>5.9405263157894746E-2</c:v>
                </c:pt>
                <c:pt idx="1783">
                  <c:v>5.9405263157894746E-2</c:v>
                </c:pt>
                <c:pt idx="1784">
                  <c:v>5.9405263157894746E-2</c:v>
                </c:pt>
                <c:pt idx="1785">
                  <c:v>5.9405263157894746E-2</c:v>
                </c:pt>
                <c:pt idx="1786">
                  <c:v>5.9405263157894746E-2</c:v>
                </c:pt>
                <c:pt idx="1787">
                  <c:v>5.9405263157894746E-2</c:v>
                </c:pt>
                <c:pt idx="1788">
                  <c:v>5.9405263157894746E-2</c:v>
                </c:pt>
                <c:pt idx="1789">
                  <c:v>5.9405263157894746E-2</c:v>
                </c:pt>
                <c:pt idx="1790">
                  <c:v>5.9405263157894746E-2</c:v>
                </c:pt>
                <c:pt idx="1791">
                  <c:v>5.9405263157894746E-2</c:v>
                </c:pt>
                <c:pt idx="1792">
                  <c:v>5.9405263157894746E-2</c:v>
                </c:pt>
                <c:pt idx="1793">
                  <c:v>5.9405263157894746E-2</c:v>
                </c:pt>
                <c:pt idx="1794">
                  <c:v>5.9405263157894746E-2</c:v>
                </c:pt>
                <c:pt idx="1795">
                  <c:v>5.9405263157894746E-2</c:v>
                </c:pt>
                <c:pt idx="1796">
                  <c:v>5.9405263157894746E-2</c:v>
                </c:pt>
                <c:pt idx="1797">
                  <c:v>5.9405263157894746E-2</c:v>
                </c:pt>
                <c:pt idx="1798">
                  <c:v>5.9405263157894746E-2</c:v>
                </c:pt>
                <c:pt idx="1799">
                  <c:v>5.9405263157894746E-2</c:v>
                </c:pt>
                <c:pt idx="1800">
                  <c:v>5.9405263157894746E-2</c:v>
                </c:pt>
                <c:pt idx="1801">
                  <c:v>5.9405263157894746E-2</c:v>
                </c:pt>
                <c:pt idx="1802">
                  <c:v>5.9405263157894746E-2</c:v>
                </c:pt>
                <c:pt idx="1803">
                  <c:v>5.9405263157894746E-2</c:v>
                </c:pt>
                <c:pt idx="1804">
                  <c:v>5.9405263157894746E-2</c:v>
                </c:pt>
                <c:pt idx="1805">
                  <c:v>5.9405263157894746E-2</c:v>
                </c:pt>
                <c:pt idx="1806">
                  <c:v>5.9405263157894746E-2</c:v>
                </c:pt>
                <c:pt idx="1807">
                  <c:v>5.9405263157894746E-2</c:v>
                </c:pt>
                <c:pt idx="1808">
                  <c:v>5.9405263157894746E-2</c:v>
                </c:pt>
                <c:pt idx="1809">
                  <c:v>5.9405263157894746E-2</c:v>
                </c:pt>
                <c:pt idx="1810">
                  <c:v>5.9405263157894746E-2</c:v>
                </c:pt>
                <c:pt idx="1811">
                  <c:v>5.9405263157894746E-2</c:v>
                </c:pt>
                <c:pt idx="1812">
                  <c:v>5.9405263157894746E-2</c:v>
                </c:pt>
                <c:pt idx="1813">
                  <c:v>5.9405263157894746E-2</c:v>
                </c:pt>
                <c:pt idx="1814">
                  <c:v>5.9405263157894746E-2</c:v>
                </c:pt>
                <c:pt idx="1815">
                  <c:v>5.9405263157894746E-2</c:v>
                </c:pt>
                <c:pt idx="1816">
                  <c:v>5.9405263157894746E-2</c:v>
                </c:pt>
                <c:pt idx="1817">
                  <c:v>5.9405263157894746E-2</c:v>
                </c:pt>
                <c:pt idx="1818">
                  <c:v>5.9405263157894746E-2</c:v>
                </c:pt>
                <c:pt idx="1819">
                  <c:v>5.9405263157894746E-2</c:v>
                </c:pt>
                <c:pt idx="1820">
                  <c:v>5.9405263157894746E-2</c:v>
                </c:pt>
                <c:pt idx="1821">
                  <c:v>5.9405263157894746E-2</c:v>
                </c:pt>
                <c:pt idx="1822">
                  <c:v>5.9405263157894746E-2</c:v>
                </c:pt>
                <c:pt idx="1823">
                  <c:v>5.9405263157894746E-2</c:v>
                </c:pt>
                <c:pt idx="1824">
                  <c:v>5.9405263157894746E-2</c:v>
                </c:pt>
                <c:pt idx="1825">
                  <c:v>5.9405263157894746E-2</c:v>
                </c:pt>
                <c:pt idx="1826">
                  <c:v>5.9405263157894746E-2</c:v>
                </c:pt>
                <c:pt idx="1827">
                  <c:v>5.9405263157894746E-2</c:v>
                </c:pt>
                <c:pt idx="1828">
                  <c:v>5.9405263157894746E-2</c:v>
                </c:pt>
                <c:pt idx="1829">
                  <c:v>5.9405263157894746E-2</c:v>
                </c:pt>
                <c:pt idx="1830">
                  <c:v>5.9405263157894746E-2</c:v>
                </c:pt>
                <c:pt idx="1831">
                  <c:v>5.9405263157894746E-2</c:v>
                </c:pt>
                <c:pt idx="1832">
                  <c:v>5.9405263157894746E-2</c:v>
                </c:pt>
                <c:pt idx="1833">
                  <c:v>5.9405263157894746E-2</c:v>
                </c:pt>
                <c:pt idx="1834">
                  <c:v>5.9405263157894746E-2</c:v>
                </c:pt>
                <c:pt idx="1835">
                  <c:v>5.9405263157894746E-2</c:v>
                </c:pt>
                <c:pt idx="1836">
                  <c:v>5.9405263157894746E-2</c:v>
                </c:pt>
                <c:pt idx="1837">
                  <c:v>5.9405263157894746E-2</c:v>
                </c:pt>
                <c:pt idx="1838">
                  <c:v>5.9405263157894746E-2</c:v>
                </c:pt>
                <c:pt idx="1839">
                  <c:v>5.9405263157894746E-2</c:v>
                </c:pt>
                <c:pt idx="1840">
                  <c:v>5.9405263157894746E-2</c:v>
                </c:pt>
                <c:pt idx="1841">
                  <c:v>5.9405263157894746E-2</c:v>
                </c:pt>
                <c:pt idx="1842">
                  <c:v>5.9405263157894746E-2</c:v>
                </c:pt>
                <c:pt idx="1843">
                  <c:v>5.9405263157894746E-2</c:v>
                </c:pt>
                <c:pt idx="1844">
                  <c:v>5.9405263157894746E-2</c:v>
                </c:pt>
                <c:pt idx="1845">
                  <c:v>5.9405263157894746E-2</c:v>
                </c:pt>
                <c:pt idx="1846">
                  <c:v>5.9405263157894746E-2</c:v>
                </c:pt>
                <c:pt idx="1847">
                  <c:v>5.9405263157894746E-2</c:v>
                </c:pt>
                <c:pt idx="1848">
                  <c:v>5.9405263157894746E-2</c:v>
                </c:pt>
                <c:pt idx="1849">
                  <c:v>5.9405263157894746E-2</c:v>
                </c:pt>
                <c:pt idx="1850">
                  <c:v>5.9405263157894746E-2</c:v>
                </c:pt>
                <c:pt idx="1851">
                  <c:v>5.9405263157894746E-2</c:v>
                </c:pt>
                <c:pt idx="1852">
                  <c:v>5.9405263157894746E-2</c:v>
                </c:pt>
                <c:pt idx="1853">
                  <c:v>5.9405263157894746E-2</c:v>
                </c:pt>
                <c:pt idx="1854">
                  <c:v>5.9405263157894746E-2</c:v>
                </c:pt>
                <c:pt idx="1855">
                  <c:v>5.9405263157894746E-2</c:v>
                </c:pt>
                <c:pt idx="1856">
                  <c:v>5.9405263157894746E-2</c:v>
                </c:pt>
                <c:pt idx="1857">
                  <c:v>5.9405263157894746E-2</c:v>
                </c:pt>
                <c:pt idx="1858">
                  <c:v>5.9405263157894746E-2</c:v>
                </c:pt>
                <c:pt idx="1859">
                  <c:v>5.9405263157894746E-2</c:v>
                </c:pt>
                <c:pt idx="1860">
                  <c:v>5.9405263157894746E-2</c:v>
                </c:pt>
                <c:pt idx="1861">
                  <c:v>5.9405263157894746E-2</c:v>
                </c:pt>
                <c:pt idx="1862">
                  <c:v>5.9405263157894746E-2</c:v>
                </c:pt>
                <c:pt idx="1863">
                  <c:v>5.9405263157894746E-2</c:v>
                </c:pt>
                <c:pt idx="1864">
                  <c:v>5.9405263157894746E-2</c:v>
                </c:pt>
                <c:pt idx="1865">
                  <c:v>5.9405263157894746E-2</c:v>
                </c:pt>
                <c:pt idx="1866">
                  <c:v>5.9405263157894746E-2</c:v>
                </c:pt>
                <c:pt idx="1867">
                  <c:v>5.9405263157894746E-2</c:v>
                </c:pt>
                <c:pt idx="1868">
                  <c:v>5.9405263157894746E-2</c:v>
                </c:pt>
                <c:pt idx="1869">
                  <c:v>5.9405263157894746E-2</c:v>
                </c:pt>
                <c:pt idx="1870">
                  <c:v>5.9405263157894746E-2</c:v>
                </c:pt>
                <c:pt idx="1871">
                  <c:v>5.9405263157894746E-2</c:v>
                </c:pt>
                <c:pt idx="1872">
                  <c:v>5.9405263157894746E-2</c:v>
                </c:pt>
                <c:pt idx="1873">
                  <c:v>5.9405263157894746E-2</c:v>
                </c:pt>
                <c:pt idx="1874">
                  <c:v>5.9405263157894746E-2</c:v>
                </c:pt>
                <c:pt idx="1875">
                  <c:v>5.9405263157894746E-2</c:v>
                </c:pt>
                <c:pt idx="1876">
                  <c:v>5.9405263157894746E-2</c:v>
                </c:pt>
                <c:pt idx="1877">
                  <c:v>5.9405263157894746E-2</c:v>
                </c:pt>
                <c:pt idx="1878">
                  <c:v>5.9405263157894746E-2</c:v>
                </c:pt>
                <c:pt idx="1879">
                  <c:v>5.9405263157894746E-2</c:v>
                </c:pt>
                <c:pt idx="1880">
                  <c:v>5.9405263157894746E-2</c:v>
                </c:pt>
                <c:pt idx="1881">
                  <c:v>5.9405263157894746E-2</c:v>
                </c:pt>
                <c:pt idx="1882">
                  <c:v>5.9405263157894746E-2</c:v>
                </c:pt>
                <c:pt idx="1883">
                  <c:v>5.9405263157894746E-2</c:v>
                </c:pt>
                <c:pt idx="1884">
                  <c:v>5.9405263157894746E-2</c:v>
                </c:pt>
                <c:pt idx="1885">
                  <c:v>5.9405263157894746E-2</c:v>
                </c:pt>
                <c:pt idx="1886">
                  <c:v>5.9405263157894746E-2</c:v>
                </c:pt>
                <c:pt idx="1887">
                  <c:v>5.9405263157894746E-2</c:v>
                </c:pt>
                <c:pt idx="1888">
                  <c:v>5.9405263157894746E-2</c:v>
                </c:pt>
                <c:pt idx="1889">
                  <c:v>5.9405263157894746E-2</c:v>
                </c:pt>
                <c:pt idx="1890">
                  <c:v>5.9405263157894746E-2</c:v>
                </c:pt>
                <c:pt idx="1891">
                  <c:v>5.9405263157894746E-2</c:v>
                </c:pt>
                <c:pt idx="1892">
                  <c:v>5.9405263157894746E-2</c:v>
                </c:pt>
                <c:pt idx="1893">
                  <c:v>5.9405263157894746E-2</c:v>
                </c:pt>
                <c:pt idx="1894">
                  <c:v>5.9405263157894746E-2</c:v>
                </c:pt>
                <c:pt idx="1895">
                  <c:v>5.9405263157894746E-2</c:v>
                </c:pt>
                <c:pt idx="1896">
                  <c:v>5.9405263157894746E-2</c:v>
                </c:pt>
                <c:pt idx="1897">
                  <c:v>5.9405263157894746E-2</c:v>
                </c:pt>
                <c:pt idx="1898">
                  <c:v>5.9405263157894746E-2</c:v>
                </c:pt>
                <c:pt idx="1899">
                  <c:v>5.9405263157894746E-2</c:v>
                </c:pt>
                <c:pt idx="1900">
                  <c:v>5.9405263157894746E-2</c:v>
                </c:pt>
                <c:pt idx="1901">
                  <c:v>5.9405263157894746E-2</c:v>
                </c:pt>
                <c:pt idx="1902">
                  <c:v>5.9405263157894746E-2</c:v>
                </c:pt>
                <c:pt idx="1903">
                  <c:v>5.9405263157894746E-2</c:v>
                </c:pt>
                <c:pt idx="1904">
                  <c:v>5.9405263157894746E-2</c:v>
                </c:pt>
                <c:pt idx="1905">
                  <c:v>5.9405263157894746E-2</c:v>
                </c:pt>
                <c:pt idx="1906">
                  <c:v>5.9405263157894746E-2</c:v>
                </c:pt>
                <c:pt idx="1907">
                  <c:v>5.9405263157894746E-2</c:v>
                </c:pt>
                <c:pt idx="1908">
                  <c:v>5.9405263157894746E-2</c:v>
                </c:pt>
                <c:pt idx="1909">
                  <c:v>5.9405263157894746E-2</c:v>
                </c:pt>
                <c:pt idx="1910">
                  <c:v>5.9405263157894746E-2</c:v>
                </c:pt>
                <c:pt idx="1911">
                  <c:v>5.9405263157894746E-2</c:v>
                </c:pt>
                <c:pt idx="1912">
                  <c:v>5.9405263157894746E-2</c:v>
                </c:pt>
                <c:pt idx="1913">
                  <c:v>5.9405263157894746E-2</c:v>
                </c:pt>
                <c:pt idx="1914">
                  <c:v>5.9405263157894746E-2</c:v>
                </c:pt>
                <c:pt idx="1915">
                  <c:v>5.9405263157894746E-2</c:v>
                </c:pt>
                <c:pt idx="1916">
                  <c:v>5.9405263157894746E-2</c:v>
                </c:pt>
                <c:pt idx="1917">
                  <c:v>5.9405263157894746E-2</c:v>
                </c:pt>
                <c:pt idx="1918">
                  <c:v>5.9405263157894746E-2</c:v>
                </c:pt>
                <c:pt idx="1919">
                  <c:v>5.9405263157894746E-2</c:v>
                </c:pt>
                <c:pt idx="1920">
                  <c:v>5.9405263157894746E-2</c:v>
                </c:pt>
                <c:pt idx="1921">
                  <c:v>5.9405263157894746E-2</c:v>
                </c:pt>
                <c:pt idx="1922">
                  <c:v>5.9405263157894746E-2</c:v>
                </c:pt>
                <c:pt idx="1923">
                  <c:v>5.9405263157894746E-2</c:v>
                </c:pt>
                <c:pt idx="1924">
                  <c:v>5.9405263157894746E-2</c:v>
                </c:pt>
                <c:pt idx="1925">
                  <c:v>5.9405263157894746E-2</c:v>
                </c:pt>
                <c:pt idx="1926">
                  <c:v>5.9405263157894746E-2</c:v>
                </c:pt>
                <c:pt idx="1927">
                  <c:v>5.9405263157894746E-2</c:v>
                </c:pt>
                <c:pt idx="1928">
                  <c:v>5.9405263157894746E-2</c:v>
                </c:pt>
                <c:pt idx="1929">
                  <c:v>5.9405263157894746E-2</c:v>
                </c:pt>
                <c:pt idx="1930">
                  <c:v>5.9405263157894746E-2</c:v>
                </c:pt>
                <c:pt idx="1931">
                  <c:v>5.9405263157894746E-2</c:v>
                </c:pt>
                <c:pt idx="1932">
                  <c:v>5.9405263157894746E-2</c:v>
                </c:pt>
                <c:pt idx="1933">
                  <c:v>5.9405263157894746E-2</c:v>
                </c:pt>
                <c:pt idx="1934">
                  <c:v>5.9405263157894746E-2</c:v>
                </c:pt>
                <c:pt idx="1935">
                  <c:v>5.9405263157894746E-2</c:v>
                </c:pt>
                <c:pt idx="1936">
                  <c:v>5.9405263157894746E-2</c:v>
                </c:pt>
                <c:pt idx="1937">
                  <c:v>5.9405263157894746E-2</c:v>
                </c:pt>
                <c:pt idx="1938">
                  <c:v>5.9405263157894746E-2</c:v>
                </c:pt>
                <c:pt idx="1939">
                  <c:v>5.9405263157894746E-2</c:v>
                </c:pt>
                <c:pt idx="1940">
                  <c:v>5.9405263157894746E-2</c:v>
                </c:pt>
                <c:pt idx="1941">
                  <c:v>5.9405263157894746E-2</c:v>
                </c:pt>
                <c:pt idx="1942">
                  <c:v>5.9405263157894746E-2</c:v>
                </c:pt>
                <c:pt idx="1943">
                  <c:v>5.9405263157894746E-2</c:v>
                </c:pt>
                <c:pt idx="1944">
                  <c:v>5.9405263157894746E-2</c:v>
                </c:pt>
                <c:pt idx="1945">
                  <c:v>5.9405263157894746E-2</c:v>
                </c:pt>
                <c:pt idx="1946">
                  <c:v>5.9405263157894746E-2</c:v>
                </c:pt>
                <c:pt idx="1947">
                  <c:v>5.9405263157894746E-2</c:v>
                </c:pt>
                <c:pt idx="1948">
                  <c:v>5.9405263157894746E-2</c:v>
                </c:pt>
                <c:pt idx="1949">
                  <c:v>5.9405263157894746E-2</c:v>
                </c:pt>
                <c:pt idx="1950">
                  <c:v>5.9405263157894746E-2</c:v>
                </c:pt>
                <c:pt idx="1951">
                  <c:v>5.9405263157894746E-2</c:v>
                </c:pt>
                <c:pt idx="1952">
                  <c:v>5.9405263157894746E-2</c:v>
                </c:pt>
                <c:pt idx="1953">
                  <c:v>5.9405263157894746E-2</c:v>
                </c:pt>
                <c:pt idx="1954">
                  <c:v>5.9405263157894746E-2</c:v>
                </c:pt>
                <c:pt idx="1955">
                  <c:v>5.9405263157894746E-2</c:v>
                </c:pt>
                <c:pt idx="1956">
                  <c:v>5.9405263157894746E-2</c:v>
                </c:pt>
                <c:pt idx="1957">
                  <c:v>5.9405263157894746E-2</c:v>
                </c:pt>
                <c:pt idx="1958">
                  <c:v>5.9405263157894746E-2</c:v>
                </c:pt>
                <c:pt idx="1959">
                  <c:v>5.9405263157894746E-2</c:v>
                </c:pt>
                <c:pt idx="1960">
                  <c:v>5.9405263157894746E-2</c:v>
                </c:pt>
                <c:pt idx="1961">
                  <c:v>5.9405263157894746E-2</c:v>
                </c:pt>
                <c:pt idx="1962">
                  <c:v>5.9405263157894746E-2</c:v>
                </c:pt>
                <c:pt idx="1963">
                  <c:v>5.9405263157894746E-2</c:v>
                </c:pt>
                <c:pt idx="1964">
                  <c:v>5.9405263157894746E-2</c:v>
                </c:pt>
                <c:pt idx="1965">
                  <c:v>5.9405263157894746E-2</c:v>
                </c:pt>
                <c:pt idx="1966">
                  <c:v>5.9405263157894746E-2</c:v>
                </c:pt>
                <c:pt idx="1967">
                  <c:v>5.9405263157894746E-2</c:v>
                </c:pt>
                <c:pt idx="1968">
                  <c:v>5.9405263157894746E-2</c:v>
                </c:pt>
                <c:pt idx="1969">
                  <c:v>5.9405263157894746E-2</c:v>
                </c:pt>
                <c:pt idx="1970">
                  <c:v>5.9405263157894746E-2</c:v>
                </c:pt>
                <c:pt idx="1971">
                  <c:v>5.9405263157894746E-2</c:v>
                </c:pt>
                <c:pt idx="1972">
                  <c:v>5.9405263157894746E-2</c:v>
                </c:pt>
                <c:pt idx="1973">
                  <c:v>5.9405263157894746E-2</c:v>
                </c:pt>
                <c:pt idx="1974">
                  <c:v>5.9405263157894746E-2</c:v>
                </c:pt>
                <c:pt idx="1975">
                  <c:v>5.9405263157894746E-2</c:v>
                </c:pt>
                <c:pt idx="1976">
                  <c:v>5.9405263157894746E-2</c:v>
                </c:pt>
                <c:pt idx="1977">
                  <c:v>5.9405263157894746E-2</c:v>
                </c:pt>
                <c:pt idx="1978">
                  <c:v>5.9405263157894746E-2</c:v>
                </c:pt>
                <c:pt idx="1979">
                  <c:v>5.9405263157894746E-2</c:v>
                </c:pt>
                <c:pt idx="1980">
                  <c:v>5.9405263157894746E-2</c:v>
                </c:pt>
                <c:pt idx="1981">
                  <c:v>5.9405263157894746E-2</c:v>
                </c:pt>
                <c:pt idx="1982">
                  <c:v>5.9405263157894746E-2</c:v>
                </c:pt>
                <c:pt idx="1983">
                  <c:v>5.9405263157894746E-2</c:v>
                </c:pt>
                <c:pt idx="1984">
                  <c:v>5.9405263157894746E-2</c:v>
                </c:pt>
                <c:pt idx="1985">
                  <c:v>5.9405263157894746E-2</c:v>
                </c:pt>
                <c:pt idx="1986">
                  <c:v>5.9405263157894746E-2</c:v>
                </c:pt>
                <c:pt idx="1987">
                  <c:v>5.9405263157894746E-2</c:v>
                </c:pt>
                <c:pt idx="1988">
                  <c:v>5.9405263157894746E-2</c:v>
                </c:pt>
                <c:pt idx="1989">
                  <c:v>5.9405263157894746E-2</c:v>
                </c:pt>
                <c:pt idx="1990">
                  <c:v>5.9405263157894746E-2</c:v>
                </c:pt>
                <c:pt idx="1991">
                  <c:v>5.9405263157894746E-2</c:v>
                </c:pt>
                <c:pt idx="1992">
                  <c:v>5.9405263157894746E-2</c:v>
                </c:pt>
                <c:pt idx="1993">
                  <c:v>5.9405263157894746E-2</c:v>
                </c:pt>
                <c:pt idx="1994">
                  <c:v>5.9405263157894746E-2</c:v>
                </c:pt>
                <c:pt idx="1995">
                  <c:v>5.9405263157894746E-2</c:v>
                </c:pt>
                <c:pt idx="1996">
                  <c:v>5.9405263157894746E-2</c:v>
                </c:pt>
                <c:pt idx="1997">
                  <c:v>5.9405263157894746E-2</c:v>
                </c:pt>
                <c:pt idx="1998">
                  <c:v>5.9405263157894746E-2</c:v>
                </c:pt>
                <c:pt idx="1999">
                  <c:v>5.9405263157894746E-2</c:v>
                </c:pt>
                <c:pt idx="2000">
                  <c:v>5.9405263157894746E-2</c:v>
                </c:pt>
                <c:pt idx="2001">
                  <c:v>5.9405263157894746E-2</c:v>
                </c:pt>
                <c:pt idx="2002">
                  <c:v>5.9405263157894746E-2</c:v>
                </c:pt>
                <c:pt idx="2003">
                  <c:v>5.9405263157894746E-2</c:v>
                </c:pt>
                <c:pt idx="2004">
                  <c:v>5.9405263157894746E-2</c:v>
                </c:pt>
                <c:pt idx="2005">
                  <c:v>5.9405263157894746E-2</c:v>
                </c:pt>
                <c:pt idx="2006">
                  <c:v>5.9405263157894746E-2</c:v>
                </c:pt>
                <c:pt idx="2007">
                  <c:v>5.9405263157894746E-2</c:v>
                </c:pt>
                <c:pt idx="2008">
                  <c:v>5.9405263157894746E-2</c:v>
                </c:pt>
                <c:pt idx="2009">
                  <c:v>5.9405263157894746E-2</c:v>
                </c:pt>
                <c:pt idx="2010">
                  <c:v>5.9405263157894746E-2</c:v>
                </c:pt>
                <c:pt idx="2011">
                  <c:v>5.9405263157894746E-2</c:v>
                </c:pt>
                <c:pt idx="2012">
                  <c:v>5.9405263157894746E-2</c:v>
                </c:pt>
                <c:pt idx="2013">
                  <c:v>5.9405263157894746E-2</c:v>
                </c:pt>
                <c:pt idx="2014">
                  <c:v>5.9405263157894746E-2</c:v>
                </c:pt>
                <c:pt idx="2015">
                  <c:v>5.9405263157894746E-2</c:v>
                </c:pt>
                <c:pt idx="2016">
                  <c:v>5.9405263157894746E-2</c:v>
                </c:pt>
                <c:pt idx="2017">
                  <c:v>5.9405263157894746E-2</c:v>
                </c:pt>
                <c:pt idx="2018">
                  <c:v>5.9405263157894746E-2</c:v>
                </c:pt>
                <c:pt idx="2019">
                  <c:v>5.9405263157894746E-2</c:v>
                </c:pt>
                <c:pt idx="2020">
                  <c:v>5.9405263157894746E-2</c:v>
                </c:pt>
                <c:pt idx="2021">
                  <c:v>5.9405263157894746E-2</c:v>
                </c:pt>
                <c:pt idx="2022">
                  <c:v>5.9405263157894746E-2</c:v>
                </c:pt>
                <c:pt idx="2023">
                  <c:v>5.9405263157894746E-2</c:v>
                </c:pt>
                <c:pt idx="2024">
                  <c:v>5.9405263157894746E-2</c:v>
                </c:pt>
                <c:pt idx="2025">
                  <c:v>5.9405263157894746E-2</c:v>
                </c:pt>
                <c:pt idx="2026">
                  <c:v>5.9405263157894746E-2</c:v>
                </c:pt>
                <c:pt idx="2027">
                  <c:v>5.9405263157894746E-2</c:v>
                </c:pt>
                <c:pt idx="2028">
                  <c:v>5.9405263157894746E-2</c:v>
                </c:pt>
                <c:pt idx="2029">
                  <c:v>5.9405263157894746E-2</c:v>
                </c:pt>
                <c:pt idx="2030">
                  <c:v>5.9405263157894746E-2</c:v>
                </c:pt>
                <c:pt idx="2031">
                  <c:v>5.9405263157894746E-2</c:v>
                </c:pt>
                <c:pt idx="2032">
                  <c:v>5.9405263157894746E-2</c:v>
                </c:pt>
                <c:pt idx="2033">
                  <c:v>5.9405263157894746E-2</c:v>
                </c:pt>
                <c:pt idx="2034">
                  <c:v>5.9405263157894746E-2</c:v>
                </c:pt>
                <c:pt idx="2035">
                  <c:v>5.9405263157894746E-2</c:v>
                </c:pt>
                <c:pt idx="2036">
                  <c:v>5.9405263157894746E-2</c:v>
                </c:pt>
                <c:pt idx="2037">
                  <c:v>5.9405263157894746E-2</c:v>
                </c:pt>
                <c:pt idx="2038">
                  <c:v>5.9405263157894746E-2</c:v>
                </c:pt>
                <c:pt idx="2039">
                  <c:v>5.9405263157894746E-2</c:v>
                </c:pt>
                <c:pt idx="2040">
                  <c:v>5.9405263157894746E-2</c:v>
                </c:pt>
                <c:pt idx="2041">
                  <c:v>5.9405263157894746E-2</c:v>
                </c:pt>
                <c:pt idx="2042">
                  <c:v>5.9405263157894746E-2</c:v>
                </c:pt>
                <c:pt idx="2043">
                  <c:v>5.9405263157894746E-2</c:v>
                </c:pt>
                <c:pt idx="2044">
                  <c:v>5.9405263157894746E-2</c:v>
                </c:pt>
                <c:pt idx="2045">
                  <c:v>5.9405263157894746E-2</c:v>
                </c:pt>
                <c:pt idx="2046">
                  <c:v>5.9405263157894746E-2</c:v>
                </c:pt>
                <c:pt idx="2047">
                  <c:v>5.9405263157894746E-2</c:v>
                </c:pt>
                <c:pt idx="2048">
                  <c:v>5.9405263157894746E-2</c:v>
                </c:pt>
                <c:pt idx="2049">
                  <c:v>5.9405263157894746E-2</c:v>
                </c:pt>
                <c:pt idx="2050">
                  <c:v>5.9405263157894746E-2</c:v>
                </c:pt>
                <c:pt idx="2051">
                  <c:v>5.9405263157894746E-2</c:v>
                </c:pt>
                <c:pt idx="2052">
                  <c:v>5.9405263157894746E-2</c:v>
                </c:pt>
                <c:pt idx="2053">
                  <c:v>5.9405263157894746E-2</c:v>
                </c:pt>
                <c:pt idx="2054">
                  <c:v>5.9405263157894746E-2</c:v>
                </c:pt>
                <c:pt idx="2055">
                  <c:v>5.9405263157894746E-2</c:v>
                </c:pt>
                <c:pt idx="2056">
                  <c:v>5.9405263157894746E-2</c:v>
                </c:pt>
                <c:pt idx="2057">
                  <c:v>5.9405263157894746E-2</c:v>
                </c:pt>
                <c:pt idx="2058">
                  <c:v>5.9405263157894746E-2</c:v>
                </c:pt>
                <c:pt idx="2059">
                  <c:v>5.9405263157894746E-2</c:v>
                </c:pt>
                <c:pt idx="2060">
                  <c:v>5.9405263157894746E-2</c:v>
                </c:pt>
                <c:pt idx="2061">
                  <c:v>5.9405263157894746E-2</c:v>
                </c:pt>
                <c:pt idx="2062">
                  <c:v>5.9405263157894746E-2</c:v>
                </c:pt>
                <c:pt idx="2063">
                  <c:v>5.9405263157894746E-2</c:v>
                </c:pt>
                <c:pt idx="2064">
                  <c:v>5.9405263157894746E-2</c:v>
                </c:pt>
                <c:pt idx="2065">
                  <c:v>5.9405263157894746E-2</c:v>
                </c:pt>
                <c:pt idx="2066">
                  <c:v>5.9405263157894746E-2</c:v>
                </c:pt>
                <c:pt idx="2067">
                  <c:v>5.9405263157894746E-2</c:v>
                </c:pt>
                <c:pt idx="2068">
                  <c:v>5.9405263157894746E-2</c:v>
                </c:pt>
                <c:pt idx="2069">
                  <c:v>5.9405263157894746E-2</c:v>
                </c:pt>
                <c:pt idx="2070">
                  <c:v>5.9405263157894746E-2</c:v>
                </c:pt>
                <c:pt idx="2071">
                  <c:v>5.9405263157894746E-2</c:v>
                </c:pt>
                <c:pt idx="2072">
                  <c:v>5.9405263157894746E-2</c:v>
                </c:pt>
                <c:pt idx="2073">
                  <c:v>5.9405263157894746E-2</c:v>
                </c:pt>
                <c:pt idx="2074">
                  <c:v>5.9405263157894746E-2</c:v>
                </c:pt>
                <c:pt idx="2075">
                  <c:v>5.9405263157894746E-2</c:v>
                </c:pt>
                <c:pt idx="2076">
                  <c:v>5.9405263157894746E-2</c:v>
                </c:pt>
                <c:pt idx="2077">
                  <c:v>5.9405263157894746E-2</c:v>
                </c:pt>
                <c:pt idx="2078">
                  <c:v>5.9405263157894746E-2</c:v>
                </c:pt>
                <c:pt idx="2079">
                  <c:v>5.9405263157894746E-2</c:v>
                </c:pt>
                <c:pt idx="2080">
                  <c:v>5.9405263157894746E-2</c:v>
                </c:pt>
                <c:pt idx="2081">
                  <c:v>5.9405263157894746E-2</c:v>
                </c:pt>
                <c:pt idx="2082">
                  <c:v>5.9405263157894746E-2</c:v>
                </c:pt>
                <c:pt idx="2083">
                  <c:v>5.9405263157894746E-2</c:v>
                </c:pt>
                <c:pt idx="2084">
                  <c:v>5.9405263157894746E-2</c:v>
                </c:pt>
                <c:pt idx="2085">
                  <c:v>5.9405263157894746E-2</c:v>
                </c:pt>
                <c:pt idx="2086">
                  <c:v>5.9405263157894746E-2</c:v>
                </c:pt>
                <c:pt idx="2087">
                  <c:v>5.9405263157894746E-2</c:v>
                </c:pt>
                <c:pt idx="2088">
                  <c:v>5.9405263157894746E-2</c:v>
                </c:pt>
                <c:pt idx="2089">
                  <c:v>5.9405263157894746E-2</c:v>
                </c:pt>
                <c:pt idx="2090">
                  <c:v>5.9405263157894746E-2</c:v>
                </c:pt>
                <c:pt idx="2091">
                  <c:v>5.9405263157894746E-2</c:v>
                </c:pt>
                <c:pt idx="2092">
                  <c:v>5.9405263157894746E-2</c:v>
                </c:pt>
                <c:pt idx="2093">
                  <c:v>5.9405263157894746E-2</c:v>
                </c:pt>
                <c:pt idx="2094">
                  <c:v>5.9405263157894746E-2</c:v>
                </c:pt>
                <c:pt idx="2095">
                  <c:v>5.9405263157894746E-2</c:v>
                </c:pt>
                <c:pt idx="2096">
                  <c:v>5.9405263157894746E-2</c:v>
                </c:pt>
                <c:pt idx="2097">
                  <c:v>5.9405263157894746E-2</c:v>
                </c:pt>
                <c:pt idx="2098">
                  <c:v>5.9405263157894746E-2</c:v>
                </c:pt>
                <c:pt idx="2099">
                  <c:v>5.9405263157894746E-2</c:v>
                </c:pt>
                <c:pt idx="2100">
                  <c:v>5.9405263157894746E-2</c:v>
                </c:pt>
                <c:pt idx="2101">
                  <c:v>5.9405263157894746E-2</c:v>
                </c:pt>
                <c:pt idx="2102">
                  <c:v>5.9405263157894746E-2</c:v>
                </c:pt>
                <c:pt idx="2103">
                  <c:v>5.9405263157894746E-2</c:v>
                </c:pt>
                <c:pt idx="2104">
                  <c:v>5.9405263157894746E-2</c:v>
                </c:pt>
                <c:pt idx="2105">
                  <c:v>5.9405263157894746E-2</c:v>
                </c:pt>
                <c:pt idx="2106">
                  <c:v>5.9405263157894746E-2</c:v>
                </c:pt>
                <c:pt idx="2107">
                  <c:v>5.9405263157894746E-2</c:v>
                </c:pt>
                <c:pt idx="2108">
                  <c:v>5.9405263157894746E-2</c:v>
                </c:pt>
                <c:pt idx="2109">
                  <c:v>5.9405263157894746E-2</c:v>
                </c:pt>
                <c:pt idx="2110">
                  <c:v>5.9405263157894746E-2</c:v>
                </c:pt>
                <c:pt idx="2111">
                  <c:v>5.9405263157894746E-2</c:v>
                </c:pt>
                <c:pt idx="2112">
                  <c:v>5.9405263157894746E-2</c:v>
                </c:pt>
                <c:pt idx="2113">
                  <c:v>5.9405263157894746E-2</c:v>
                </c:pt>
                <c:pt idx="2114">
                  <c:v>5.9405263157894746E-2</c:v>
                </c:pt>
                <c:pt idx="2115">
                  <c:v>5.9405263157894746E-2</c:v>
                </c:pt>
                <c:pt idx="2116">
                  <c:v>5.9405263157894746E-2</c:v>
                </c:pt>
                <c:pt idx="2117">
                  <c:v>5.9405263157894746E-2</c:v>
                </c:pt>
                <c:pt idx="2118">
                  <c:v>5.9405263157894746E-2</c:v>
                </c:pt>
                <c:pt idx="2119">
                  <c:v>5.9405263157894746E-2</c:v>
                </c:pt>
                <c:pt idx="2120">
                  <c:v>5.9405263157894746E-2</c:v>
                </c:pt>
                <c:pt idx="2121">
                  <c:v>5.9405263157894746E-2</c:v>
                </c:pt>
                <c:pt idx="2122">
                  <c:v>5.9405263157894746E-2</c:v>
                </c:pt>
                <c:pt idx="2123">
                  <c:v>5.9405263157894746E-2</c:v>
                </c:pt>
                <c:pt idx="2124">
                  <c:v>5.9405263157894746E-2</c:v>
                </c:pt>
                <c:pt idx="2125">
                  <c:v>5.9405263157894746E-2</c:v>
                </c:pt>
                <c:pt idx="2126">
                  <c:v>5.9405263157894746E-2</c:v>
                </c:pt>
                <c:pt idx="2127">
                  <c:v>5.9405263157894746E-2</c:v>
                </c:pt>
                <c:pt idx="2128">
                  <c:v>5.9405263157894746E-2</c:v>
                </c:pt>
                <c:pt idx="2129">
                  <c:v>5.9405263157894746E-2</c:v>
                </c:pt>
                <c:pt idx="2130">
                  <c:v>5.9405263157894746E-2</c:v>
                </c:pt>
                <c:pt idx="2131">
                  <c:v>5.9405263157894746E-2</c:v>
                </c:pt>
                <c:pt idx="2132">
                  <c:v>5.9405263157894746E-2</c:v>
                </c:pt>
                <c:pt idx="2133">
                  <c:v>5.9405263157894746E-2</c:v>
                </c:pt>
                <c:pt idx="2134">
                  <c:v>5.9405263157894746E-2</c:v>
                </c:pt>
                <c:pt idx="2135">
                  <c:v>5.9405263157894746E-2</c:v>
                </c:pt>
                <c:pt idx="2136">
                  <c:v>5.9405263157894746E-2</c:v>
                </c:pt>
                <c:pt idx="2137">
                  <c:v>5.9405263157894746E-2</c:v>
                </c:pt>
                <c:pt idx="2138">
                  <c:v>5.9405263157894746E-2</c:v>
                </c:pt>
                <c:pt idx="2139">
                  <c:v>5.9405263157894746E-2</c:v>
                </c:pt>
                <c:pt idx="2140">
                  <c:v>5.9405263157894746E-2</c:v>
                </c:pt>
                <c:pt idx="2141">
                  <c:v>5.9405263157894746E-2</c:v>
                </c:pt>
                <c:pt idx="2142">
                  <c:v>5.9405263157894746E-2</c:v>
                </c:pt>
                <c:pt idx="2143">
                  <c:v>5.9405263157894746E-2</c:v>
                </c:pt>
                <c:pt idx="2144">
                  <c:v>5.9405263157894746E-2</c:v>
                </c:pt>
                <c:pt idx="2145">
                  <c:v>5.9405263157894746E-2</c:v>
                </c:pt>
                <c:pt idx="2146">
                  <c:v>5.9405263157894746E-2</c:v>
                </c:pt>
                <c:pt idx="2147">
                  <c:v>5.9405263157894746E-2</c:v>
                </c:pt>
                <c:pt idx="2148">
                  <c:v>5.9405263157894746E-2</c:v>
                </c:pt>
                <c:pt idx="2149">
                  <c:v>5.9405263157894746E-2</c:v>
                </c:pt>
                <c:pt idx="2150">
                  <c:v>5.9405263157894746E-2</c:v>
                </c:pt>
                <c:pt idx="2151">
                  <c:v>5.9405263157894746E-2</c:v>
                </c:pt>
                <c:pt idx="2152">
                  <c:v>5.9405263157894746E-2</c:v>
                </c:pt>
                <c:pt idx="2153">
                  <c:v>5.9405263157894746E-2</c:v>
                </c:pt>
                <c:pt idx="2154">
                  <c:v>5.9405263157894746E-2</c:v>
                </c:pt>
                <c:pt idx="2155">
                  <c:v>5.9405263157894746E-2</c:v>
                </c:pt>
                <c:pt idx="2156">
                  <c:v>5.9405263157894746E-2</c:v>
                </c:pt>
                <c:pt idx="2157">
                  <c:v>5.9405263157894746E-2</c:v>
                </c:pt>
                <c:pt idx="2158">
                  <c:v>5.9405263157894746E-2</c:v>
                </c:pt>
                <c:pt idx="2159">
                  <c:v>5.9405263157894746E-2</c:v>
                </c:pt>
                <c:pt idx="2160">
                  <c:v>5.9405263157894746E-2</c:v>
                </c:pt>
                <c:pt idx="2161">
                  <c:v>5.9405263157894746E-2</c:v>
                </c:pt>
                <c:pt idx="2162">
                  <c:v>5.9405263157894746E-2</c:v>
                </c:pt>
                <c:pt idx="2163">
                  <c:v>5.9405263157894746E-2</c:v>
                </c:pt>
                <c:pt idx="2164">
                  <c:v>5.9405263157894746E-2</c:v>
                </c:pt>
                <c:pt idx="2165">
                  <c:v>5.9405263157894746E-2</c:v>
                </c:pt>
                <c:pt idx="2166">
                  <c:v>5.9405263157894746E-2</c:v>
                </c:pt>
                <c:pt idx="2167">
                  <c:v>5.9405263157894746E-2</c:v>
                </c:pt>
                <c:pt idx="2168">
                  <c:v>5.9405263157894746E-2</c:v>
                </c:pt>
                <c:pt idx="2169">
                  <c:v>5.9405263157894746E-2</c:v>
                </c:pt>
                <c:pt idx="2170">
                  <c:v>5.9405263157894746E-2</c:v>
                </c:pt>
                <c:pt idx="2171">
                  <c:v>5.9405263157894746E-2</c:v>
                </c:pt>
                <c:pt idx="2172">
                  <c:v>5.9405263157894746E-2</c:v>
                </c:pt>
                <c:pt idx="2173">
                  <c:v>5.9405263157894746E-2</c:v>
                </c:pt>
                <c:pt idx="2174">
                  <c:v>5.9405263157894746E-2</c:v>
                </c:pt>
                <c:pt idx="2175">
                  <c:v>5.9405263157894746E-2</c:v>
                </c:pt>
                <c:pt idx="2176">
                  <c:v>5.9405263157894746E-2</c:v>
                </c:pt>
                <c:pt idx="2177">
                  <c:v>5.9405263157894746E-2</c:v>
                </c:pt>
                <c:pt idx="2178">
                  <c:v>5.9405263157894746E-2</c:v>
                </c:pt>
                <c:pt idx="2179">
                  <c:v>5.9405263157894746E-2</c:v>
                </c:pt>
                <c:pt idx="2180">
                  <c:v>5.9405263157894746E-2</c:v>
                </c:pt>
                <c:pt idx="2181">
                  <c:v>5.9405263157894746E-2</c:v>
                </c:pt>
                <c:pt idx="2182">
                  <c:v>5.9405263157894746E-2</c:v>
                </c:pt>
                <c:pt idx="2183">
                  <c:v>5.9405263157894746E-2</c:v>
                </c:pt>
                <c:pt idx="2184">
                  <c:v>5.9405263157894746E-2</c:v>
                </c:pt>
                <c:pt idx="2185">
                  <c:v>5.9405263157894746E-2</c:v>
                </c:pt>
                <c:pt idx="2186">
                  <c:v>5.9405263157894746E-2</c:v>
                </c:pt>
                <c:pt idx="2187">
                  <c:v>5.9405263157894746E-2</c:v>
                </c:pt>
                <c:pt idx="2188">
                  <c:v>5.9405263157894746E-2</c:v>
                </c:pt>
                <c:pt idx="2189">
                  <c:v>5.9405263157894746E-2</c:v>
                </c:pt>
                <c:pt idx="2190">
                  <c:v>5.9405263157894746E-2</c:v>
                </c:pt>
                <c:pt idx="2191">
                  <c:v>5.9405263157894746E-2</c:v>
                </c:pt>
                <c:pt idx="2192">
                  <c:v>5.9405263157894746E-2</c:v>
                </c:pt>
                <c:pt idx="2193">
                  <c:v>5.9405263157894746E-2</c:v>
                </c:pt>
                <c:pt idx="2194">
                  <c:v>5.9405263157894746E-2</c:v>
                </c:pt>
                <c:pt idx="2195">
                  <c:v>5.9405263157894746E-2</c:v>
                </c:pt>
                <c:pt idx="2196">
                  <c:v>5.9405263157894746E-2</c:v>
                </c:pt>
                <c:pt idx="2197">
                  <c:v>5.9405263157894746E-2</c:v>
                </c:pt>
                <c:pt idx="2198">
                  <c:v>5.9405263157894746E-2</c:v>
                </c:pt>
                <c:pt idx="2199">
                  <c:v>5.9405263157894746E-2</c:v>
                </c:pt>
                <c:pt idx="2200">
                  <c:v>5.9405263157894746E-2</c:v>
                </c:pt>
                <c:pt idx="2201">
                  <c:v>5.9405263157894746E-2</c:v>
                </c:pt>
                <c:pt idx="2202">
                  <c:v>5.9405263157894746E-2</c:v>
                </c:pt>
                <c:pt idx="2203">
                  <c:v>5.9405263157894746E-2</c:v>
                </c:pt>
                <c:pt idx="2204">
                  <c:v>5.9405263157894746E-2</c:v>
                </c:pt>
                <c:pt idx="2205">
                  <c:v>5.9405263157894746E-2</c:v>
                </c:pt>
                <c:pt idx="2206">
                  <c:v>5.9405263157894746E-2</c:v>
                </c:pt>
                <c:pt idx="2207">
                  <c:v>5.9405263157894746E-2</c:v>
                </c:pt>
                <c:pt idx="2208">
                  <c:v>5.9405263157894746E-2</c:v>
                </c:pt>
                <c:pt idx="2209">
                  <c:v>5.9405263157894746E-2</c:v>
                </c:pt>
                <c:pt idx="2210">
                  <c:v>5.9405263157894746E-2</c:v>
                </c:pt>
                <c:pt idx="2211">
                  <c:v>5.9405263157894746E-2</c:v>
                </c:pt>
                <c:pt idx="2212">
                  <c:v>5.9405263157894746E-2</c:v>
                </c:pt>
                <c:pt idx="2213">
                  <c:v>5.9405263157894746E-2</c:v>
                </c:pt>
                <c:pt idx="2214">
                  <c:v>5.9405263157894746E-2</c:v>
                </c:pt>
                <c:pt idx="2215">
                  <c:v>5.9405263157894746E-2</c:v>
                </c:pt>
                <c:pt idx="2216">
                  <c:v>5.9405263157894746E-2</c:v>
                </c:pt>
                <c:pt idx="2217">
                  <c:v>5.9405263157894746E-2</c:v>
                </c:pt>
                <c:pt idx="2218">
                  <c:v>5.9405263157894746E-2</c:v>
                </c:pt>
                <c:pt idx="2219">
                  <c:v>5.9405263157894746E-2</c:v>
                </c:pt>
                <c:pt idx="2220">
                  <c:v>5.9405263157894746E-2</c:v>
                </c:pt>
                <c:pt idx="2221">
                  <c:v>5.9405263157894746E-2</c:v>
                </c:pt>
                <c:pt idx="2222">
                  <c:v>5.9405263157894746E-2</c:v>
                </c:pt>
                <c:pt idx="2223">
                  <c:v>5.9405263157894746E-2</c:v>
                </c:pt>
                <c:pt idx="2224">
                  <c:v>5.9405263157894746E-2</c:v>
                </c:pt>
                <c:pt idx="2225">
                  <c:v>5.9405263157894746E-2</c:v>
                </c:pt>
                <c:pt idx="2226">
                  <c:v>5.9405263157894746E-2</c:v>
                </c:pt>
                <c:pt idx="2227">
                  <c:v>5.9405263157894746E-2</c:v>
                </c:pt>
                <c:pt idx="2228">
                  <c:v>5.9405263157894746E-2</c:v>
                </c:pt>
                <c:pt idx="2229">
                  <c:v>5.9405263157894746E-2</c:v>
                </c:pt>
                <c:pt idx="2230">
                  <c:v>5.9405263157894746E-2</c:v>
                </c:pt>
                <c:pt idx="2231">
                  <c:v>5.9405263157894746E-2</c:v>
                </c:pt>
                <c:pt idx="2232">
                  <c:v>5.9405263157894746E-2</c:v>
                </c:pt>
                <c:pt idx="2233">
                  <c:v>5.9405263157894746E-2</c:v>
                </c:pt>
                <c:pt idx="2234">
                  <c:v>5.9405263157894746E-2</c:v>
                </c:pt>
                <c:pt idx="2235">
                  <c:v>5.9405263157894746E-2</c:v>
                </c:pt>
                <c:pt idx="2236">
                  <c:v>5.9405263157894746E-2</c:v>
                </c:pt>
                <c:pt idx="2237">
                  <c:v>5.9405263157894746E-2</c:v>
                </c:pt>
                <c:pt idx="2238">
                  <c:v>5.9405263157894746E-2</c:v>
                </c:pt>
                <c:pt idx="2239">
                  <c:v>5.9405263157894746E-2</c:v>
                </c:pt>
                <c:pt idx="2240">
                  <c:v>5.9405263157894746E-2</c:v>
                </c:pt>
                <c:pt idx="2241">
                  <c:v>5.9405263157894746E-2</c:v>
                </c:pt>
                <c:pt idx="2242">
                  <c:v>5.9405263157894746E-2</c:v>
                </c:pt>
                <c:pt idx="2243">
                  <c:v>5.9405263157894746E-2</c:v>
                </c:pt>
                <c:pt idx="2244">
                  <c:v>5.9405263157894746E-2</c:v>
                </c:pt>
                <c:pt idx="2245">
                  <c:v>5.9405263157894746E-2</c:v>
                </c:pt>
                <c:pt idx="2246">
                  <c:v>5.9405263157894746E-2</c:v>
                </c:pt>
                <c:pt idx="2247">
                  <c:v>5.9405263157894746E-2</c:v>
                </c:pt>
                <c:pt idx="2248">
                  <c:v>5.9405263157894746E-2</c:v>
                </c:pt>
                <c:pt idx="2249">
                  <c:v>5.9405263157894746E-2</c:v>
                </c:pt>
                <c:pt idx="2250">
                  <c:v>5.9405263157894746E-2</c:v>
                </c:pt>
                <c:pt idx="2251">
                  <c:v>5.9405263157894746E-2</c:v>
                </c:pt>
                <c:pt idx="2252">
                  <c:v>5.9405263157894746E-2</c:v>
                </c:pt>
                <c:pt idx="2253">
                  <c:v>5.9405263157894746E-2</c:v>
                </c:pt>
                <c:pt idx="2254">
                  <c:v>5.9405263157894746E-2</c:v>
                </c:pt>
                <c:pt idx="2255">
                  <c:v>5.9405263157894746E-2</c:v>
                </c:pt>
                <c:pt idx="2256">
                  <c:v>5.9405263157894746E-2</c:v>
                </c:pt>
                <c:pt idx="2257">
                  <c:v>5.9405263157894746E-2</c:v>
                </c:pt>
                <c:pt idx="2258">
                  <c:v>5.9405263157894746E-2</c:v>
                </c:pt>
                <c:pt idx="2259">
                  <c:v>5.9405263157894746E-2</c:v>
                </c:pt>
                <c:pt idx="2260">
                  <c:v>5.9405263157894746E-2</c:v>
                </c:pt>
                <c:pt idx="2261">
                  <c:v>5.9405263157894746E-2</c:v>
                </c:pt>
                <c:pt idx="2262">
                  <c:v>5.9405263157894746E-2</c:v>
                </c:pt>
                <c:pt idx="2263">
                  <c:v>5.9405263157894746E-2</c:v>
                </c:pt>
                <c:pt idx="2264">
                  <c:v>5.9405263157894746E-2</c:v>
                </c:pt>
                <c:pt idx="2265">
                  <c:v>5.9405263157894746E-2</c:v>
                </c:pt>
                <c:pt idx="2266">
                  <c:v>5.9405263157894746E-2</c:v>
                </c:pt>
                <c:pt idx="2267">
                  <c:v>5.9405263157894746E-2</c:v>
                </c:pt>
                <c:pt idx="2268">
                  <c:v>5.9405263157894746E-2</c:v>
                </c:pt>
                <c:pt idx="2269">
                  <c:v>5.9405263157894746E-2</c:v>
                </c:pt>
                <c:pt idx="2270">
                  <c:v>5.9405263157894746E-2</c:v>
                </c:pt>
                <c:pt idx="2271">
                  <c:v>5.9405263157894746E-2</c:v>
                </c:pt>
                <c:pt idx="2272">
                  <c:v>5.9405263157894746E-2</c:v>
                </c:pt>
                <c:pt idx="2273">
                  <c:v>5.9405263157894746E-2</c:v>
                </c:pt>
                <c:pt idx="2274">
                  <c:v>5.9405263157894746E-2</c:v>
                </c:pt>
                <c:pt idx="2275">
                  <c:v>5.9405263157894746E-2</c:v>
                </c:pt>
                <c:pt idx="2276">
                  <c:v>5.9405263157894746E-2</c:v>
                </c:pt>
                <c:pt idx="2277">
                  <c:v>5.9405263157894746E-2</c:v>
                </c:pt>
                <c:pt idx="2278">
                  <c:v>5.9405263157894746E-2</c:v>
                </c:pt>
                <c:pt idx="2279">
                  <c:v>5.9405263157894746E-2</c:v>
                </c:pt>
                <c:pt idx="2280">
                  <c:v>5.9405263157894746E-2</c:v>
                </c:pt>
                <c:pt idx="2281">
                  <c:v>5.9405263157894746E-2</c:v>
                </c:pt>
                <c:pt idx="2282">
                  <c:v>5.9405263157894746E-2</c:v>
                </c:pt>
                <c:pt idx="2283">
                  <c:v>5.9405263157894746E-2</c:v>
                </c:pt>
                <c:pt idx="2284">
                  <c:v>5.9405263157894746E-2</c:v>
                </c:pt>
                <c:pt idx="2285">
                  <c:v>5.9405263157894746E-2</c:v>
                </c:pt>
                <c:pt idx="2286">
                  <c:v>5.9405263157894746E-2</c:v>
                </c:pt>
                <c:pt idx="2287">
                  <c:v>5.9405263157894746E-2</c:v>
                </c:pt>
                <c:pt idx="2288">
                  <c:v>5.9405263157894746E-2</c:v>
                </c:pt>
                <c:pt idx="2289">
                  <c:v>5.9405263157894746E-2</c:v>
                </c:pt>
                <c:pt idx="2290">
                  <c:v>5.9405263157894746E-2</c:v>
                </c:pt>
                <c:pt idx="2291">
                  <c:v>5.9405263157894746E-2</c:v>
                </c:pt>
                <c:pt idx="2292">
                  <c:v>5.9405263157894746E-2</c:v>
                </c:pt>
                <c:pt idx="2293">
                  <c:v>5.9405263157894746E-2</c:v>
                </c:pt>
                <c:pt idx="2294">
                  <c:v>5.9405263157894746E-2</c:v>
                </c:pt>
                <c:pt idx="2295">
                  <c:v>5.9405263157894746E-2</c:v>
                </c:pt>
                <c:pt idx="2296">
                  <c:v>5.9405263157894746E-2</c:v>
                </c:pt>
                <c:pt idx="2297">
                  <c:v>5.9405263157894746E-2</c:v>
                </c:pt>
                <c:pt idx="2298">
                  <c:v>5.9405263157894746E-2</c:v>
                </c:pt>
                <c:pt idx="2299">
                  <c:v>5.9405263157894746E-2</c:v>
                </c:pt>
                <c:pt idx="2300">
                  <c:v>5.9405263157894746E-2</c:v>
                </c:pt>
                <c:pt idx="2301">
                  <c:v>5.9405263157894746E-2</c:v>
                </c:pt>
                <c:pt idx="2302">
                  <c:v>5.9405263157894746E-2</c:v>
                </c:pt>
                <c:pt idx="2303">
                  <c:v>5.9405263157894746E-2</c:v>
                </c:pt>
                <c:pt idx="2304">
                  <c:v>5.9405263157894746E-2</c:v>
                </c:pt>
                <c:pt idx="2305">
                  <c:v>5.9405263157894746E-2</c:v>
                </c:pt>
                <c:pt idx="2306">
                  <c:v>5.9405263157894746E-2</c:v>
                </c:pt>
                <c:pt idx="2307">
                  <c:v>5.9405263157894746E-2</c:v>
                </c:pt>
                <c:pt idx="2308">
                  <c:v>5.9405263157894746E-2</c:v>
                </c:pt>
                <c:pt idx="2309">
                  <c:v>5.9405263157894746E-2</c:v>
                </c:pt>
                <c:pt idx="2310">
                  <c:v>5.9405263157894746E-2</c:v>
                </c:pt>
                <c:pt idx="2311">
                  <c:v>5.9405263157894746E-2</c:v>
                </c:pt>
                <c:pt idx="2312">
                  <c:v>5.9405263157894746E-2</c:v>
                </c:pt>
                <c:pt idx="2313">
                  <c:v>5.9405263157894746E-2</c:v>
                </c:pt>
                <c:pt idx="2314">
                  <c:v>5.9405263157894746E-2</c:v>
                </c:pt>
                <c:pt idx="2315">
                  <c:v>5.9405263157894746E-2</c:v>
                </c:pt>
                <c:pt idx="2316">
                  <c:v>5.9405263157894746E-2</c:v>
                </c:pt>
                <c:pt idx="2317">
                  <c:v>5.9405263157894746E-2</c:v>
                </c:pt>
                <c:pt idx="2318">
                  <c:v>5.9405263157894746E-2</c:v>
                </c:pt>
                <c:pt idx="2319">
                  <c:v>5.9405263157894746E-2</c:v>
                </c:pt>
                <c:pt idx="2320">
                  <c:v>5.9405263157894746E-2</c:v>
                </c:pt>
                <c:pt idx="2321">
                  <c:v>5.9405263157894746E-2</c:v>
                </c:pt>
                <c:pt idx="2322">
                  <c:v>5.9405263157894746E-2</c:v>
                </c:pt>
                <c:pt idx="2323">
                  <c:v>5.9405263157894746E-2</c:v>
                </c:pt>
                <c:pt idx="2324">
                  <c:v>5.9405263157894746E-2</c:v>
                </c:pt>
                <c:pt idx="2325">
                  <c:v>5.9405263157894746E-2</c:v>
                </c:pt>
                <c:pt idx="2326">
                  <c:v>5.9405263157894746E-2</c:v>
                </c:pt>
                <c:pt idx="2327">
                  <c:v>5.9405263157894746E-2</c:v>
                </c:pt>
                <c:pt idx="2328">
                  <c:v>5.9405263157894746E-2</c:v>
                </c:pt>
                <c:pt idx="2329">
                  <c:v>5.9405263157894746E-2</c:v>
                </c:pt>
                <c:pt idx="2330">
                  <c:v>5.9405263157894746E-2</c:v>
                </c:pt>
                <c:pt idx="2331">
                  <c:v>5.9405263157894746E-2</c:v>
                </c:pt>
                <c:pt idx="2332">
                  <c:v>5.9405263157894746E-2</c:v>
                </c:pt>
                <c:pt idx="2333">
                  <c:v>5.9405263157894746E-2</c:v>
                </c:pt>
                <c:pt idx="2334">
                  <c:v>5.9405263157894746E-2</c:v>
                </c:pt>
                <c:pt idx="2335">
                  <c:v>5.9405263157894746E-2</c:v>
                </c:pt>
                <c:pt idx="2336">
                  <c:v>5.9405263157894746E-2</c:v>
                </c:pt>
                <c:pt idx="2337">
                  <c:v>5.9405263157894746E-2</c:v>
                </c:pt>
                <c:pt idx="2338">
                  <c:v>5.9405263157894746E-2</c:v>
                </c:pt>
                <c:pt idx="2339">
                  <c:v>5.9405263157894746E-2</c:v>
                </c:pt>
                <c:pt idx="2340">
                  <c:v>5.9405263157894746E-2</c:v>
                </c:pt>
                <c:pt idx="2341">
                  <c:v>5.9405263157894746E-2</c:v>
                </c:pt>
                <c:pt idx="2342">
                  <c:v>5.9405263157894746E-2</c:v>
                </c:pt>
                <c:pt idx="2343">
                  <c:v>5.9405263157894746E-2</c:v>
                </c:pt>
                <c:pt idx="2344">
                  <c:v>5.9405263157894746E-2</c:v>
                </c:pt>
                <c:pt idx="2345">
                  <c:v>5.9405263157894746E-2</c:v>
                </c:pt>
                <c:pt idx="2346">
                  <c:v>5.9405263157894746E-2</c:v>
                </c:pt>
                <c:pt idx="2347">
                  <c:v>5.9405263157894746E-2</c:v>
                </c:pt>
                <c:pt idx="2348">
                  <c:v>5.9405263157894746E-2</c:v>
                </c:pt>
                <c:pt idx="2349">
                  <c:v>5.9405263157894746E-2</c:v>
                </c:pt>
                <c:pt idx="2350">
                  <c:v>5.9405263157894746E-2</c:v>
                </c:pt>
                <c:pt idx="2351">
                  <c:v>5.9405263157894746E-2</c:v>
                </c:pt>
                <c:pt idx="2352">
                  <c:v>5.9405263157894746E-2</c:v>
                </c:pt>
                <c:pt idx="2353">
                  <c:v>5.9405263157894746E-2</c:v>
                </c:pt>
                <c:pt idx="2354">
                  <c:v>5.9405263157894746E-2</c:v>
                </c:pt>
                <c:pt idx="2355">
                  <c:v>5.9405263157894746E-2</c:v>
                </c:pt>
                <c:pt idx="2356">
                  <c:v>5.9405263157894746E-2</c:v>
                </c:pt>
                <c:pt idx="2357">
                  <c:v>5.9405263157894746E-2</c:v>
                </c:pt>
                <c:pt idx="2358">
                  <c:v>5.9405263157894746E-2</c:v>
                </c:pt>
                <c:pt idx="2359">
                  <c:v>5.9405263157894746E-2</c:v>
                </c:pt>
                <c:pt idx="2360">
                  <c:v>5.9405263157894746E-2</c:v>
                </c:pt>
                <c:pt idx="2361">
                  <c:v>5.9405263157894746E-2</c:v>
                </c:pt>
                <c:pt idx="2362">
                  <c:v>5.9405263157894746E-2</c:v>
                </c:pt>
                <c:pt idx="2363">
                  <c:v>5.9405263157894746E-2</c:v>
                </c:pt>
                <c:pt idx="2364">
                  <c:v>5.9405263157894746E-2</c:v>
                </c:pt>
                <c:pt idx="2365">
                  <c:v>5.9405263157894746E-2</c:v>
                </c:pt>
                <c:pt idx="2366">
                  <c:v>5.9405263157894746E-2</c:v>
                </c:pt>
                <c:pt idx="2367">
                  <c:v>5.9405263157894746E-2</c:v>
                </c:pt>
                <c:pt idx="2368">
                  <c:v>5.9405263157894746E-2</c:v>
                </c:pt>
                <c:pt idx="2369">
                  <c:v>5.9405263157894746E-2</c:v>
                </c:pt>
                <c:pt idx="2370">
                  <c:v>5.9405263157894746E-2</c:v>
                </c:pt>
                <c:pt idx="2371">
                  <c:v>5.9405263157894746E-2</c:v>
                </c:pt>
                <c:pt idx="2372">
                  <c:v>5.9405263157894746E-2</c:v>
                </c:pt>
                <c:pt idx="2373">
                  <c:v>5.9405263157894746E-2</c:v>
                </c:pt>
                <c:pt idx="2374">
                  <c:v>5.9405263157894746E-2</c:v>
                </c:pt>
                <c:pt idx="2375">
                  <c:v>5.9405263157894746E-2</c:v>
                </c:pt>
                <c:pt idx="2376">
                  <c:v>5.9405263157894746E-2</c:v>
                </c:pt>
                <c:pt idx="2377">
                  <c:v>5.9405263157894746E-2</c:v>
                </c:pt>
                <c:pt idx="2378">
                  <c:v>5.9405263157894746E-2</c:v>
                </c:pt>
                <c:pt idx="2379">
                  <c:v>5.9405263157894746E-2</c:v>
                </c:pt>
                <c:pt idx="2380">
                  <c:v>5.9405263157894746E-2</c:v>
                </c:pt>
                <c:pt idx="2381">
                  <c:v>5.9405263157894746E-2</c:v>
                </c:pt>
                <c:pt idx="2382">
                  <c:v>5.9405263157894746E-2</c:v>
                </c:pt>
                <c:pt idx="2383">
                  <c:v>5.9405263157894746E-2</c:v>
                </c:pt>
                <c:pt idx="2384">
                  <c:v>5.9405263157894746E-2</c:v>
                </c:pt>
                <c:pt idx="2385">
                  <c:v>5.9405263157894746E-2</c:v>
                </c:pt>
                <c:pt idx="2386">
                  <c:v>5.9405263157894746E-2</c:v>
                </c:pt>
                <c:pt idx="2387">
                  <c:v>5.9405263157894746E-2</c:v>
                </c:pt>
                <c:pt idx="2388">
                  <c:v>5.9405263157894746E-2</c:v>
                </c:pt>
                <c:pt idx="2389">
                  <c:v>5.9405263157894746E-2</c:v>
                </c:pt>
                <c:pt idx="2390">
                  <c:v>5.9405263157894746E-2</c:v>
                </c:pt>
                <c:pt idx="2391">
                  <c:v>5.9405263157894746E-2</c:v>
                </c:pt>
                <c:pt idx="2392">
                  <c:v>5.9405263157894746E-2</c:v>
                </c:pt>
                <c:pt idx="2393">
                  <c:v>5.9405263157894746E-2</c:v>
                </c:pt>
                <c:pt idx="2394">
                  <c:v>5.9405263157894746E-2</c:v>
                </c:pt>
                <c:pt idx="2395">
                  <c:v>5.9405263157894746E-2</c:v>
                </c:pt>
                <c:pt idx="2396">
                  <c:v>5.9405263157894746E-2</c:v>
                </c:pt>
                <c:pt idx="2397">
                  <c:v>5.9405263157894746E-2</c:v>
                </c:pt>
                <c:pt idx="2398">
                  <c:v>5.9405263157894746E-2</c:v>
                </c:pt>
                <c:pt idx="2399">
                  <c:v>5.9405263157894746E-2</c:v>
                </c:pt>
                <c:pt idx="2400">
                  <c:v>5.9405263157894746E-2</c:v>
                </c:pt>
                <c:pt idx="2401">
                  <c:v>5.9405263157894746E-2</c:v>
                </c:pt>
                <c:pt idx="2402">
                  <c:v>5.9405263157894746E-2</c:v>
                </c:pt>
                <c:pt idx="2403">
                  <c:v>5.9405263157894746E-2</c:v>
                </c:pt>
                <c:pt idx="2404">
                  <c:v>5.9405263157894746E-2</c:v>
                </c:pt>
                <c:pt idx="2405">
                  <c:v>5.9405263157894746E-2</c:v>
                </c:pt>
                <c:pt idx="2406">
                  <c:v>5.9405263157894746E-2</c:v>
                </c:pt>
                <c:pt idx="2407">
                  <c:v>5.9405263157894746E-2</c:v>
                </c:pt>
                <c:pt idx="2408">
                  <c:v>5.9405263157894746E-2</c:v>
                </c:pt>
                <c:pt idx="2409">
                  <c:v>5.9405263157894746E-2</c:v>
                </c:pt>
                <c:pt idx="2410">
                  <c:v>5.9405263157894746E-2</c:v>
                </c:pt>
                <c:pt idx="2411">
                  <c:v>5.9405263157894746E-2</c:v>
                </c:pt>
                <c:pt idx="2412">
                  <c:v>5.9405263157894746E-2</c:v>
                </c:pt>
                <c:pt idx="2413">
                  <c:v>5.9405263157894746E-2</c:v>
                </c:pt>
                <c:pt idx="2414">
                  <c:v>5.9405263157894746E-2</c:v>
                </c:pt>
                <c:pt idx="2415">
                  <c:v>5.9405263157894746E-2</c:v>
                </c:pt>
                <c:pt idx="2416">
                  <c:v>5.9405263157894746E-2</c:v>
                </c:pt>
                <c:pt idx="2417">
                  <c:v>5.9405263157894746E-2</c:v>
                </c:pt>
                <c:pt idx="2418">
                  <c:v>5.9405263157894746E-2</c:v>
                </c:pt>
                <c:pt idx="2419">
                  <c:v>5.9405263157894746E-2</c:v>
                </c:pt>
                <c:pt idx="2420">
                  <c:v>5.9405263157894746E-2</c:v>
                </c:pt>
                <c:pt idx="2421">
                  <c:v>5.9405263157894746E-2</c:v>
                </c:pt>
                <c:pt idx="2422">
                  <c:v>5.9405263157894746E-2</c:v>
                </c:pt>
                <c:pt idx="2423">
                  <c:v>5.9405263157894746E-2</c:v>
                </c:pt>
                <c:pt idx="2424">
                  <c:v>5.9405263157894746E-2</c:v>
                </c:pt>
                <c:pt idx="2425">
                  <c:v>5.9405263157894746E-2</c:v>
                </c:pt>
                <c:pt idx="2426">
                  <c:v>5.9405263157894746E-2</c:v>
                </c:pt>
                <c:pt idx="2427">
                  <c:v>5.9405263157894746E-2</c:v>
                </c:pt>
                <c:pt idx="2428">
                  <c:v>5.9405263157894746E-2</c:v>
                </c:pt>
                <c:pt idx="2429">
                  <c:v>5.9405263157894746E-2</c:v>
                </c:pt>
                <c:pt idx="2430">
                  <c:v>5.9405263157894746E-2</c:v>
                </c:pt>
                <c:pt idx="2431">
                  <c:v>5.9405263157894746E-2</c:v>
                </c:pt>
                <c:pt idx="2432">
                  <c:v>5.9405263157894746E-2</c:v>
                </c:pt>
                <c:pt idx="2433">
                  <c:v>5.9405263157894746E-2</c:v>
                </c:pt>
                <c:pt idx="2434">
                  <c:v>5.9405263157894746E-2</c:v>
                </c:pt>
                <c:pt idx="2435">
                  <c:v>5.9405263157894746E-2</c:v>
                </c:pt>
                <c:pt idx="2436">
                  <c:v>5.9405263157894746E-2</c:v>
                </c:pt>
                <c:pt idx="2437">
                  <c:v>5.9405263157894746E-2</c:v>
                </c:pt>
                <c:pt idx="2438">
                  <c:v>5.9405263157894746E-2</c:v>
                </c:pt>
                <c:pt idx="2439">
                  <c:v>5.9405263157894746E-2</c:v>
                </c:pt>
                <c:pt idx="2440">
                  <c:v>5.9405263157894746E-2</c:v>
                </c:pt>
                <c:pt idx="2441">
                  <c:v>5.9405263157894746E-2</c:v>
                </c:pt>
                <c:pt idx="2442">
                  <c:v>5.9405263157894746E-2</c:v>
                </c:pt>
                <c:pt idx="2443">
                  <c:v>5.9405263157894746E-2</c:v>
                </c:pt>
                <c:pt idx="2444">
                  <c:v>5.9405263157894746E-2</c:v>
                </c:pt>
                <c:pt idx="2445">
                  <c:v>5.9405263157894746E-2</c:v>
                </c:pt>
                <c:pt idx="2446">
                  <c:v>5.9405263157894746E-2</c:v>
                </c:pt>
                <c:pt idx="2447">
                  <c:v>5.9405263157894746E-2</c:v>
                </c:pt>
                <c:pt idx="2448">
                  <c:v>5.9405263157894746E-2</c:v>
                </c:pt>
                <c:pt idx="2449">
                  <c:v>5.9405263157894746E-2</c:v>
                </c:pt>
                <c:pt idx="2450">
                  <c:v>5.9405263157894746E-2</c:v>
                </c:pt>
                <c:pt idx="2451">
                  <c:v>5.9405263157894746E-2</c:v>
                </c:pt>
                <c:pt idx="2452">
                  <c:v>5.9405263157894746E-2</c:v>
                </c:pt>
                <c:pt idx="2453">
                  <c:v>5.9405263157894746E-2</c:v>
                </c:pt>
                <c:pt idx="2454">
                  <c:v>5.9405263157894746E-2</c:v>
                </c:pt>
                <c:pt idx="2455">
                  <c:v>5.9405263157894746E-2</c:v>
                </c:pt>
                <c:pt idx="2456">
                  <c:v>5.9405263157894746E-2</c:v>
                </c:pt>
                <c:pt idx="2457">
                  <c:v>5.9405263157894746E-2</c:v>
                </c:pt>
                <c:pt idx="2458">
                  <c:v>5.9405263157894746E-2</c:v>
                </c:pt>
                <c:pt idx="2459">
                  <c:v>5.9405263157894746E-2</c:v>
                </c:pt>
                <c:pt idx="2460">
                  <c:v>5.9405263157894746E-2</c:v>
                </c:pt>
                <c:pt idx="2461">
                  <c:v>5.9405263157894746E-2</c:v>
                </c:pt>
                <c:pt idx="2462">
                  <c:v>5.9405263157894746E-2</c:v>
                </c:pt>
                <c:pt idx="2463">
                  <c:v>5.9405263157894746E-2</c:v>
                </c:pt>
                <c:pt idx="2464">
                  <c:v>5.9405263157894746E-2</c:v>
                </c:pt>
                <c:pt idx="2465">
                  <c:v>5.9405263157894746E-2</c:v>
                </c:pt>
                <c:pt idx="2466">
                  <c:v>5.9405263157894746E-2</c:v>
                </c:pt>
                <c:pt idx="2467">
                  <c:v>5.9405263157894746E-2</c:v>
                </c:pt>
                <c:pt idx="2468">
                  <c:v>5.9405263157894746E-2</c:v>
                </c:pt>
                <c:pt idx="2469">
                  <c:v>5.9405263157894746E-2</c:v>
                </c:pt>
                <c:pt idx="2470">
                  <c:v>5.9405263157894746E-2</c:v>
                </c:pt>
                <c:pt idx="2471">
                  <c:v>5.9405263157894746E-2</c:v>
                </c:pt>
                <c:pt idx="2472">
                  <c:v>5.9405263157894746E-2</c:v>
                </c:pt>
                <c:pt idx="2473">
                  <c:v>5.9405263157894746E-2</c:v>
                </c:pt>
                <c:pt idx="2474">
                  <c:v>5.9405263157894746E-2</c:v>
                </c:pt>
                <c:pt idx="2475">
                  <c:v>5.9405263157894746E-2</c:v>
                </c:pt>
                <c:pt idx="2476">
                  <c:v>5.9405263157894746E-2</c:v>
                </c:pt>
                <c:pt idx="2477">
                  <c:v>5.9405263157894746E-2</c:v>
                </c:pt>
                <c:pt idx="2478">
                  <c:v>5.9405263157894746E-2</c:v>
                </c:pt>
                <c:pt idx="2479">
                  <c:v>5.9405263157894746E-2</c:v>
                </c:pt>
                <c:pt idx="2480">
                  <c:v>5.9405263157894746E-2</c:v>
                </c:pt>
                <c:pt idx="2481">
                  <c:v>5.9405263157894746E-2</c:v>
                </c:pt>
                <c:pt idx="2482">
                  <c:v>5.9405263157894746E-2</c:v>
                </c:pt>
                <c:pt idx="2483">
                  <c:v>5.9405263157894746E-2</c:v>
                </c:pt>
                <c:pt idx="2484">
                  <c:v>5.9405263157894746E-2</c:v>
                </c:pt>
                <c:pt idx="2485">
                  <c:v>5.9405263157894746E-2</c:v>
                </c:pt>
                <c:pt idx="2486">
                  <c:v>5.9405263157894746E-2</c:v>
                </c:pt>
                <c:pt idx="2487">
                  <c:v>5.9405263157894746E-2</c:v>
                </c:pt>
                <c:pt idx="2488">
                  <c:v>5.9405263157894746E-2</c:v>
                </c:pt>
                <c:pt idx="2489">
                  <c:v>5.9405263157894746E-2</c:v>
                </c:pt>
                <c:pt idx="2490">
                  <c:v>5.9405263157894746E-2</c:v>
                </c:pt>
                <c:pt idx="2491">
                  <c:v>5.9405263157894746E-2</c:v>
                </c:pt>
                <c:pt idx="2492">
                  <c:v>5.9405263157894746E-2</c:v>
                </c:pt>
                <c:pt idx="2493">
                  <c:v>5.9405263157894746E-2</c:v>
                </c:pt>
                <c:pt idx="2494">
                  <c:v>5.9405263157894746E-2</c:v>
                </c:pt>
                <c:pt idx="2495">
                  <c:v>5.9405263157894746E-2</c:v>
                </c:pt>
                <c:pt idx="2496">
                  <c:v>5.9405263157894746E-2</c:v>
                </c:pt>
                <c:pt idx="2497">
                  <c:v>5.9405263157894746E-2</c:v>
                </c:pt>
                <c:pt idx="2498">
                  <c:v>5.9405263157894746E-2</c:v>
                </c:pt>
                <c:pt idx="2499">
                  <c:v>5.9405263157894746E-2</c:v>
                </c:pt>
                <c:pt idx="2500">
                  <c:v>5.9405263157894746E-2</c:v>
                </c:pt>
                <c:pt idx="2501">
                  <c:v>5.9405263157894746E-2</c:v>
                </c:pt>
                <c:pt idx="2502">
                  <c:v>5.9405263157894746E-2</c:v>
                </c:pt>
                <c:pt idx="2503">
                  <c:v>5.9405263157894746E-2</c:v>
                </c:pt>
                <c:pt idx="2504">
                  <c:v>5.9405263157894746E-2</c:v>
                </c:pt>
                <c:pt idx="2505">
                  <c:v>5.9405263157894746E-2</c:v>
                </c:pt>
                <c:pt idx="2506">
                  <c:v>5.9405263157894746E-2</c:v>
                </c:pt>
                <c:pt idx="2507">
                  <c:v>5.9405263157894746E-2</c:v>
                </c:pt>
                <c:pt idx="2508">
                  <c:v>5.9405263157894746E-2</c:v>
                </c:pt>
                <c:pt idx="2509">
                  <c:v>5.9405263157894746E-2</c:v>
                </c:pt>
                <c:pt idx="2510">
                  <c:v>5.9405263157894746E-2</c:v>
                </c:pt>
                <c:pt idx="2511">
                  <c:v>5.9405263157894746E-2</c:v>
                </c:pt>
                <c:pt idx="2512">
                  <c:v>5.9405263157894746E-2</c:v>
                </c:pt>
                <c:pt idx="2513">
                  <c:v>5.9405263157894746E-2</c:v>
                </c:pt>
                <c:pt idx="2514">
                  <c:v>5.9405263157894746E-2</c:v>
                </c:pt>
                <c:pt idx="2515">
                  <c:v>5.9405263157894746E-2</c:v>
                </c:pt>
                <c:pt idx="2516">
                  <c:v>5.9405263157894746E-2</c:v>
                </c:pt>
                <c:pt idx="2517">
                  <c:v>5.9405263157894746E-2</c:v>
                </c:pt>
                <c:pt idx="2518">
                  <c:v>5.9405263157894746E-2</c:v>
                </c:pt>
                <c:pt idx="2519">
                  <c:v>5.9405263157894746E-2</c:v>
                </c:pt>
                <c:pt idx="2520">
                  <c:v>5.9405263157894746E-2</c:v>
                </c:pt>
                <c:pt idx="2521">
                  <c:v>5.9405263157894746E-2</c:v>
                </c:pt>
                <c:pt idx="2522">
                  <c:v>5.9405263157894746E-2</c:v>
                </c:pt>
                <c:pt idx="2523">
                  <c:v>5.9405263157894746E-2</c:v>
                </c:pt>
                <c:pt idx="2524">
                  <c:v>5.9405263157894746E-2</c:v>
                </c:pt>
                <c:pt idx="2525">
                  <c:v>5.9405263157894746E-2</c:v>
                </c:pt>
                <c:pt idx="2526">
                  <c:v>5.9405263157894746E-2</c:v>
                </c:pt>
                <c:pt idx="2527">
                  <c:v>5.9405263157894746E-2</c:v>
                </c:pt>
                <c:pt idx="2528">
                  <c:v>5.9405263157894746E-2</c:v>
                </c:pt>
                <c:pt idx="2529">
                  <c:v>5.9405263157894746E-2</c:v>
                </c:pt>
                <c:pt idx="2530">
                  <c:v>5.9405263157894746E-2</c:v>
                </c:pt>
                <c:pt idx="2531">
                  <c:v>5.9405263157894746E-2</c:v>
                </c:pt>
                <c:pt idx="2532">
                  <c:v>5.9405263157894746E-2</c:v>
                </c:pt>
                <c:pt idx="2533">
                  <c:v>5.9405263157894746E-2</c:v>
                </c:pt>
                <c:pt idx="2534">
                  <c:v>5.9405263157894746E-2</c:v>
                </c:pt>
                <c:pt idx="2535">
                  <c:v>5.9405263157894746E-2</c:v>
                </c:pt>
                <c:pt idx="2536">
                  <c:v>5.9405263157894746E-2</c:v>
                </c:pt>
                <c:pt idx="2537">
                  <c:v>5.9405263157894746E-2</c:v>
                </c:pt>
                <c:pt idx="2538">
                  <c:v>5.9405263157894746E-2</c:v>
                </c:pt>
                <c:pt idx="2539">
                  <c:v>5.9405263157894746E-2</c:v>
                </c:pt>
                <c:pt idx="2540">
                  <c:v>5.9405263157894746E-2</c:v>
                </c:pt>
                <c:pt idx="2541">
                  <c:v>5.9405263157894746E-2</c:v>
                </c:pt>
                <c:pt idx="2542">
                  <c:v>5.9405263157894746E-2</c:v>
                </c:pt>
                <c:pt idx="2543">
                  <c:v>5.9405263157894746E-2</c:v>
                </c:pt>
                <c:pt idx="2544">
                  <c:v>5.9405263157894746E-2</c:v>
                </c:pt>
                <c:pt idx="2545">
                  <c:v>5.9405263157894746E-2</c:v>
                </c:pt>
                <c:pt idx="2546">
                  <c:v>5.9405263157894746E-2</c:v>
                </c:pt>
                <c:pt idx="2547">
                  <c:v>5.9405263157894746E-2</c:v>
                </c:pt>
                <c:pt idx="2548">
                  <c:v>5.9405263157894746E-2</c:v>
                </c:pt>
                <c:pt idx="2549">
                  <c:v>5.9405263157894746E-2</c:v>
                </c:pt>
                <c:pt idx="2550">
                  <c:v>5.9405263157894746E-2</c:v>
                </c:pt>
                <c:pt idx="2551">
                  <c:v>5.9405263157894746E-2</c:v>
                </c:pt>
                <c:pt idx="2552">
                  <c:v>5.9405263157894746E-2</c:v>
                </c:pt>
                <c:pt idx="2553">
                  <c:v>5.9405263157894746E-2</c:v>
                </c:pt>
                <c:pt idx="2554">
                  <c:v>5.9405263157894746E-2</c:v>
                </c:pt>
                <c:pt idx="2555">
                  <c:v>5.9405263157894746E-2</c:v>
                </c:pt>
                <c:pt idx="2556">
                  <c:v>5.9405263157894746E-2</c:v>
                </c:pt>
                <c:pt idx="2557">
                  <c:v>5.9405263157894746E-2</c:v>
                </c:pt>
                <c:pt idx="2558">
                  <c:v>5.9405263157894746E-2</c:v>
                </c:pt>
                <c:pt idx="2559">
                  <c:v>5.9405263157894746E-2</c:v>
                </c:pt>
                <c:pt idx="2560">
                  <c:v>5.9405263157894746E-2</c:v>
                </c:pt>
                <c:pt idx="2561">
                  <c:v>5.9405263157894746E-2</c:v>
                </c:pt>
                <c:pt idx="2562">
                  <c:v>5.9405263157894746E-2</c:v>
                </c:pt>
                <c:pt idx="2563">
                  <c:v>5.9405263157894746E-2</c:v>
                </c:pt>
                <c:pt idx="2564">
                  <c:v>5.9405263157894746E-2</c:v>
                </c:pt>
                <c:pt idx="2565">
                  <c:v>5.9405263157894746E-2</c:v>
                </c:pt>
                <c:pt idx="2566">
                  <c:v>5.9405263157894746E-2</c:v>
                </c:pt>
                <c:pt idx="2567">
                  <c:v>5.9405263157894746E-2</c:v>
                </c:pt>
                <c:pt idx="2568">
                  <c:v>5.9405263157894746E-2</c:v>
                </c:pt>
                <c:pt idx="2569">
                  <c:v>5.9405263157894746E-2</c:v>
                </c:pt>
                <c:pt idx="2570">
                  <c:v>5.9405263157894746E-2</c:v>
                </c:pt>
                <c:pt idx="2571">
                  <c:v>5.9405263157894746E-2</c:v>
                </c:pt>
                <c:pt idx="2572">
                  <c:v>5.9405263157894746E-2</c:v>
                </c:pt>
                <c:pt idx="2573">
                  <c:v>5.9405263157894746E-2</c:v>
                </c:pt>
                <c:pt idx="2574">
                  <c:v>5.9405263157894746E-2</c:v>
                </c:pt>
                <c:pt idx="2575">
                  <c:v>5.9405263157894746E-2</c:v>
                </c:pt>
                <c:pt idx="2576">
                  <c:v>5.9405263157894746E-2</c:v>
                </c:pt>
                <c:pt idx="2577">
                  <c:v>5.9405263157894746E-2</c:v>
                </c:pt>
                <c:pt idx="2578">
                  <c:v>5.9405263157894746E-2</c:v>
                </c:pt>
                <c:pt idx="2579">
                  <c:v>5.9405263157894746E-2</c:v>
                </c:pt>
                <c:pt idx="2580">
                  <c:v>5.9405263157894746E-2</c:v>
                </c:pt>
                <c:pt idx="2581">
                  <c:v>5.9405263157894746E-2</c:v>
                </c:pt>
                <c:pt idx="2582">
                  <c:v>5.9405263157894746E-2</c:v>
                </c:pt>
                <c:pt idx="2583">
                  <c:v>5.9405263157894746E-2</c:v>
                </c:pt>
                <c:pt idx="2584">
                  <c:v>5.9405263157894746E-2</c:v>
                </c:pt>
                <c:pt idx="2585">
                  <c:v>5.9405263157894746E-2</c:v>
                </c:pt>
                <c:pt idx="2586">
                  <c:v>5.9405263157894746E-2</c:v>
                </c:pt>
                <c:pt idx="2587">
                  <c:v>5.9405263157894746E-2</c:v>
                </c:pt>
                <c:pt idx="2588">
                  <c:v>5.9405263157894746E-2</c:v>
                </c:pt>
                <c:pt idx="2589">
                  <c:v>5.9405263157894746E-2</c:v>
                </c:pt>
                <c:pt idx="2590">
                  <c:v>5.9405263157894746E-2</c:v>
                </c:pt>
                <c:pt idx="2591">
                  <c:v>5.9405263157894746E-2</c:v>
                </c:pt>
                <c:pt idx="2592">
                  <c:v>5.9405263157894746E-2</c:v>
                </c:pt>
                <c:pt idx="2593">
                  <c:v>5.9405263157894746E-2</c:v>
                </c:pt>
                <c:pt idx="2594">
                  <c:v>5.9405263157894746E-2</c:v>
                </c:pt>
                <c:pt idx="2595">
                  <c:v>5.9405263157894746E-2</c:v>
                </c:pt>
                <c:pt idx="2596">
                  <c:v>5.9405263157894746E-2</c:v>
                </c:pt>
                <c:pt idx="2597">
                  <c:v>5.9405263157894746E-2</c:v>
                </c:pt>
                <c:pt idx="2598">
                  <c:v>5.9405263157894746E-2</c:v>
                </c:pt>
                <c:pt idx="2599">
                  <c:v>5.9405263157894746E-2</c:v>
                </c:pt>
                <c:pt idx="2600">
                  <c:v>5.9405263157894746E-2</c:v>
                </c:pt>
                <c:pt idx="2601">
                  <c:v>5.9405263157894746E-2</c:v>
                </c:pt>
                <c:pt idx="2602">
                  <c:v>5.9405263157894746E-2</c:v>
                </c:pt>
                <c:pt idx="2603">
                  <c:v>5.9405263157894746E-2</c:v>
                </c:pt>
                <c:pt idx="2604">
                  <c:v>5.9405263157894746E-2</c:v>
                </c:pt>
                <c:pt idx="2605">
                  <c:v>5.9405263157894746E-2</c:v>
                </c:pt>
                <c:pt idx="2606">
                  <c:v>5.9405263157894746E-2</c:v>
                </c:pt>
                <c:pt idx="2607">
                  <c:v>5.9405263157894746E-2</c:v>
                </c:pt>
                <c:pt idx="2608">
                  <c:v>5.9405263157894746E-2</c:v>
                </c:pt>
                <c:pt idx="2609">
                  <c:v>5.9405263157894746E-2</c:v>
                </c:pt>
                <c:pt idx="2610">
                  <c:v>5.9405263157894746E-2</c:v>
                </c:pt>
                <c:pt idx="2611">
                  <c:v>5.9405263157894746E-2</c:v>
                </c:pt>
                <c:pt idx="2612">
                  <c:v>5.9405263157894746E-2</c:v>
                </c:pt>
                <c:pt idx="2613">
                  <c:v>5.9405263157894746E-2</c:v>
                </c:pt>
                <c:pt idx="2614">
                  <c:v>5.9405263157894746E-2</c:v>
                </c:pt>
                <c:pt idx="2615">
                  <c:v>5.9405263157894746E-2</c:v>
                </c:pt>
                <c:pt idx="2616">
                  <c:v>5.9405263157894746E-2</c:v>
                </c:pt>
                <c:pt idx="2617">
                  <c:v>5.9405263157894746E-2</c:v>
                </c:pt>
                <c:pt idx="2618">
                  <c:v>5.9405263157894746E-2</c:v>
                </c:pt>
                <c:pt idx="2619">
                  <c:v>5.9405263157894746E-2</c:v>
                </c:pt>
                <c:pt idx="2620">
                  <c:v>5.9405263157894746E-2</c:v>
                </c:pt>
                <c:pt idx="2621">
                  <c:v>5.9405263157894746E-2</c:v>
                </c:pt>
                <c:pt idx="2622">
                  <c:v>5.9405263157894746E-2</c:v>
                </c:pt>
                <c:pt idx="2623">
                  <c:v>5.9405263157894746E-2</c:v>
                </c:pt>
                <c:pt idx="2624">
                  <c:v>5.9405263157894746E-2</c:v>
                </c:pt>
                <c:pt idx="2625">
                  <c:v>5.9405263157894746E-2</c:v>
                </c:pt>
                <c:pt idx="2626">
                  <c:v>5.9405263157894746E-2</c:v>
                </c:pt>
                <c:pt idx="2627">
                  <c:v>5.9405263157894746E-2</c:v>
                </c:pt>
                <c:pt idx="2628">
                  <c:v>5.9405263157894746E-2</c:v>
                </c:pt>
                <c:pt idx="2629">
                  <c:v>5.9405263157894746E-2</c:v>
                </c:pt>
                <c:pt idx="2630">
                  <c:v>5.9405263157894746E-2</c:v>
                </c:pt>
                <c:pt idx="2631">
                  <c:v>5.9405263157894746E-2</c:v>
                </c:pt>
                <c:pt idx="2632">
                  <c:v>5.9405263157894746E-2</c:v>
                </c:pt>
                <c:pt idx="2633">
                  <c:v>5.9405263157894746E-2</c:v>
                </c:pt>
                <c:pt idx="2634">
                  <c:v>5.9405263157894746E-2</c:v>
                </c:pt>
                <c:pt idx="2635">
                  <c:v>5.9405263157894746E-2</c:v>
                </c:pt>
                <c:pt idx="2636">
                  <c:v>5.9405263157894746E-2</c:v>
                </c:pt>
                <c:pt idx="2637">
                  <c:v>5.9405263157894746E-2</c:v>
                </c:pt>
                <c:pt idx="2638">
                  <c:v>5.9405263157894746E-2</c:v>
                </c:pt>
                <c:pt idx="2639">
                  <c:v>5.9405263157894746E-2</c:v>
                </c:pt>
                <c:pt idx="2640">
                  <c:v>5.9405263157894746E-2</c:v>
                </c:pt>
                <c:pt idx="2641">
                  <c:v>5.9405263157894746E-2</c:v>
                </c:pt>
                <c:pt idx="2642">
                  <c:v>5.9405263157894746E-2</c:v>
                </c:pt>
                <c:pt idx="2643">
                  <c:v>5.9405263157894746E-2</c:v>
                </c:pt>
                <c:pt idx="2644">
                  <c:v>5.9405263157894746E-2</c:v>
                </c:pt>
                <c:pt idx="2645">
                  <c:v>5.9405263157894746E-2</c:v>
                </c:pt>
                <c:pt idx="2646">
                  <c:v>5.9405263157894746E-2</c:v>
                </c:pt>
                <c:pt idx="2647">
                  <c:v>5.9405263157894746E-2</c:v>
                </c:pt>
                <c:pt idx="2648">
                  <c:v>5.9405263157894746E-2</c:v>
                </c:pt>
                <c:pt idx="2649">
                  <c:v>5.9405263157894746E-2</c:v>
                </c:pt>
                <c:pt idx="2650">
                  <c:v>5.9405263157894746E-2</c:v>
                </c:pt>
                <c:pt idx="2651">
                  <c:v>5.9405263157894746E-2</c:v>
                </c:pt>
                <c:pt idx="2652">
                  <c:v>5.9405263157894746E-2</c:v>
                </c:pt>
                <c:pt idx="2653">
                  <c:v>5.9405263157894746E-2</c:v>
                </c:pt>
                <c:pt idx="2654">
                  <c:v>5.9405263157894746E-2</c:v>
                </c:pt>
                <c:pt idx="2655">
                  <c:v>5.9405263157894746E-2</c:v>
                </c:pt>
                <c:pt idx="2656">
                  <c:v>5.9405263157894746E-2</c:v>
                </c:pt>
                <c:pt idx="2657">
                  <c:v>5.9405263157894746E-2</c:v>
                </c:pt>
                <c:pt idx="2658">
                  <c:v>5.9405263157894746E-2</c:v>
                </c:pt>
                <c:pt idx="2659">
                  <c:v>5.9405263157894746E-2</c:v>
                </c:pt>
                <c:pt idx="2660">
                  <c:v>5.9405263157894746E-2</c:v>
                </c:pt>
                <c:pt idx="2661">
                  <c:v>5.9405263157894746E-2</c:v>
                </c:pt>
                <c:pt idx="2662">
                  <c:v>5.9405263157894746E-2</c:v>
                </c:pt>
                <c:pt idx="2663">
                  <c:v>5.9405263157894746E-2</c:v>
                </c:pt>
                <c:pt idx="2664">
                  <c:v>5.9405263157894746E-2</c:v>
                </c:pt>
                <c:pt idx="2665">
                  <c:v>5.9405263157894746E-2</c:v>
                </c:pt>
                <c:pt idx="2666">
                  <c:v>5.9405263157894746E-2</c:v>
                </c:pt>
                <c:pt idx="2667">
                  <c:v>5.9405263157894746E-2</c:v>
                </c:pt>
                <c:pt idx="2668">
                  <c:v>5.9405263157894746E-2</c:v>
                </c:pt>
                <c:pt idx="2669">
                  <c:v>5.9405263157894746E-2</c:v>
                </c:pt>
                <c:pt idx="2670">
                  <c:v>5.9405263157894746E-2</c:v>
                </c:pt>
                <c:pt idx="2671">
                  <c:v>5.9405263157894746E-2</c:v>
                </c:pt>
                <c:pt idx="2672">
                  <c:v>5.9405263157894746E-2</c:v>
                </c:pt>
                <c:pt idx="2673">
                  <c:v>5.9405263157894746E-2</c:v>
                </c:pt>
                <c:pt idx="2674">
                  <c:v>5.9405263157894746E-2</c:v>
                </c:pt>
                <c:pt idx="2675">
                  <c:v>5.9405263157894746E-2</c:v>
                </c:pt>
                <c:pt idx="2676">
                  <c:v>5.9405263157894746E-2</c:v>
                </c:pt>
                <c:pt idx="2677">
                  <c:v>5.9405263157894746E-2</c:v>
                </c:pt>
                <c:pt idx="2678">
                  <c:v>5.9405263157894746E-2</c:v>
                </c:pt>
                <c:pt idx="2679">
                  <c:v>5.9405263157894746E-2</c:v>
                </c:pt>
                <c:pt idx="2680">
                  <c:v>5.9405263157894746E-2</c:v>
                </c:pt>
                <c:pt idx="2681">
                  <c:v>5.9405263157894746E-2</c:v>
                </c:pt>
                <c:pt idx="2682">
                  <c:v>5.9405263157894746E-2</c:v>
                </c:pt>
                <c:pt idx="2683">
                  <c:v>5.9405263157894746E-2</c:v>
                </c:pt>
                <c:pt idx="2684">
                  <c:v>5.9405263157894746E-2</c:v>
                </c:pt>
                <c:pt idx="2685">
                  <c:v>5.9405263157894746E-2</c:v>
                </c:pt>
                <c:pt idx="2686">
                  <c:v>5.9405263157894746E-2</c:v>
                </c:pt>
                <c:pt idx="2687">
                  <c:v>5.9405263157894746E-2</c:v>
                </c:pt>
                <c:pt idx="2688">
                  <c:v>5.9405263157894746E-2</c:v>
                </c:pt>
                <c:pt idx="2689">
                  <c:v>5.9405263157894746E-2</c:v>
                </c:pt>
                <c:pt idx="2690">
                  <c:v>5.9405263157894746E-2</c:v>
                </c:pt>
                <c:pt idx="2691">
                  <c:v>5.9405263157894746E-2</c:v>
                </c:pt>
                <c:pt idx="2692">
                  <c:v>5.9405263157894746E-2</c:v>
                </c:pt>
                <c:pt idx="2693">
                  <c:v>5.9405263157894746E-2</c:v>
                </c:pt>
                <c:pt idx="2694">
                  <c:v>5.9405263157894746E-2</c:v>
                </c:pt>
                <c:pt idx="2695">
                  <c:v>5.9405263157894746E-2</c:v>
                </c:pt>
                <c:pt idx="2696">
                  <c:v>5.9405263157894746E-2</c:v>
                </c:pt>
                <c:pt idx="2697">
                  <c:v>5.9405263157894746E-2</c:v>
                </c:pt>
                <c:pt idx="2698">
                  <c:v>5.9405263157894746E-2</c:v>
                </c:pt>
                <c:pt idx="2699">
                  <c:v>5.9405263157894746E-2</c:v>
                </c:pt>
                <c:pt idx="2700">
                  <c:v>5.9405263157894746E-2</c:v>
                </c:pt>
                <c:pt idx="2701">
                  <c:v>5.9405263157894746E-2</c:v>
                </c:pt>
                <c:pt idx="2702">
                  <c:v>5.9405263157894746E-2</c:v>
                </c:pt>
                <c:pt idx="2703">
                  <c:v>5.9405263157894746E-2</c:v>
                </c:pt>
                <c:pt idx="2704">
                  <c:v>5.9405263157894746E-2</c:v>
                </c:pt>
                <c:pt idx="2705">
                  <c:v>5.9405263157894746E-2</c:v>
                </c:pt>
                <c:pt idx="2706">
                  <c:v>5.9405263157894746E-2</c:v>
                </c:pt>
                <c:pt idx="2707">
                  <c:v>5.9405263157894746E-2</c:v>
                </c:pt>
                <c:pt idx="2708">
                  <c:v>5.9405263157894746E-2</c:v>
                </c:pt>
                <c:pt idx="2709">
                  <c:v>5.9405263157894746E-2</c:v>
                </c:pt>
                <c:pt idx="2710">
                  <c:v>5.9405263157894746E-2</c:v>
                </c:pt>
                <c:pt idx="2711">
                  <c:v>5.9405263157894746E-2</c:v>
                </c:pt>
                <c:pt idx="2712">
                  <c:v>5.9405263157894746E-2</c:v>
                </c:pt>
                <c:pt idx="2713">
                  <c:v>5.9405263157894746E-2</c:v>
                </c:pt>
                <c:pt idx="2714">
                  <c:v>5.9405263157894746E-2</c:v>
                </c:pt>
                <c:pt idx="2715">
                  <c:v>5.9405263157894746E-2</c:v>
                </c:pt>
                <c:pt idx="2716">
                  <c:v>5.9405263157894746E-2</c:v>
                </c:pt>
                <c:pt idx="2717">
                  <c:v>5.9405263157894746E-2</c:v>
                </c:pt>
                <c:pt idx="2718">
                  <c:v>5.9405263157894746E-2</c:v>
                </c:pt>
                <c:pt idx="2719">
                  <c:v>5.9405263157894746E-2</c:v>
                </c:pt>
                <c:pt idx="2720">
                  <c:v>5.9405263157894746E-2</c:v>
                </c:pt>
                <c:pt idx="2721">
                  <c:v>5.9405263157894746E-2</c:v>
                </c:pt>
                <c:pt idx="2722">
                  <c:v>5.9405263157894746E-2</c:v>
                </c:pt>
                <c:pt idx="2723">
                  <c:v>5.9405263157894746E-2</c:v>
                </c:pt>
                <c:pt idx="2724">
                  <c:v>5.9405263157894746E-2</c:v>
                </c:pt>
                <c:pt idx="2725">
                  <c:v>5.9405263157894746E-2</c:v>
                </c:pt>
                <c:pt idx="2726">
                  <c:v>5.9405263157894746E-2</c:v>
                </c:pt>
                <c:pt idx="2727">
                  <c:v>5.9405263157894746E-2</c:v>
                </c:pt>
                <c:pt idx="2728">
                  <c:v>5.9405263157894746E-2</c:v>
                </c:pt>
                <c:pt idx="2729">
                  <c:v>5.9405263157894746E-2</c:v>
                </c:pt>
                <c:pt idx="2730">
                  <c:v>5.9405263157894746E-2</c:v>
                </c:pt>
                <c:pt idx="2731">
                  <c:v>5.9405263157894746E-2</c:v>
                </c:pt>
                <c:pt idx="2732">
                  <c:v>5.9405263157894746E-2</c:v>
                </c:pt>
                <c:pt idx="2733">
                  <c:v>5.9405263157894746E-2</c:v>
                </c:pt>
                <c:pt idx="2734">
                  <c:v>5.9405263157894746E-2</c:v>
                </c:pt>
                <c:pt idx="2735">
                  <c:v>5.9405263157894746E-2</c:v>
                </c:pt>
                <c:pt idx="2736">
                  <c:v>5.9405263157894746E-2</c:v>
                </c:pt>
                <c:pt idx="2737">
                  <c:v>5.9405263157894746E-2</c:v>
                </c:pt>
                <c:pt idx="2738">
                  <c:v>5.9405263157894746E-2</c:v>
                </c:pt>
                <c:pt idx="2739">
                  <c:v>5.9405263157894746E-2</c:v>
                </c:pt>
                <c:pt idx="2740">
                  <c:v>5.9405263157894746E-2</c:v>
                </c:pt>
                <c:pt idx="2741">
                  <c:v>5.9405263157894746E-2</c:v>
                </c:pt>
                <c:pt idx="2742">
                  <c:v>5.9405263157894746E-2</c:v>
                </c:pt>
                <c:pt idx="2743">
                  <c:v>5.9405263157894746E-2</c:v>
                </c:pt>
                <c:pt idx="2744">
                  <c:v>5.9405263157894746E-2</c:v>
                </c:pt>
                <c:pt idx="2745">
                  <c:v>5.9405263157894746E-2</c:v>
                </c:pt>
                <c:pt idx="2746">
                  <c:v>5.9405263157894746E-2</c:v>
                </c:pt>
                <c:pt idx="2747">
                  <c:v>5.9405263157894746E-2</c:v>
                </c:pt>
                <c:pt idx="2748">
                  <c:v>5.9405263157894746E-2</c:v>
                </c:pt>
                <c:pt idx="2749">
                  <c:v>5.9405263157894746E-2</c:v>
                </c:pt>
                <c:pt idx="2750">
                  <c:v>5.9405263157894746E-2</c:v>
                </c:pt>
                <c:pt idx="2751">
                  <c:v>5.9405263157894746E-2</c:v>
                </c:pt>
                <c:pt idx="2752">
                  <c:v>5.9405263157894746E-2</c:v>
                </c:pt>
                <c:pt idx="2753">
                  <c:v>5.9405263157894746E-2</c:v>
                </c:pt>
                <c:pt idx="2754">
                  <c:v>5.9405263157894746E-2</c:v>
                </c:pt>
                <c:pt idx="2755">
                  <c:v>5.9405263157894746E-2</c:v>
                </c:pt>
                <c:pt idx="2756">
                  <c:v>5.9405263157894746E-2</c:v>
                </c:pt>
                <c:pt idx="2757">
                  <c:v>5.9405263157894746E-2</c:v>
                </c:pt>
                <c:pt idx="2758">
                  <c:v>5.9405263157894746E-2</c:v>
                </c:pt>
                <c:pt idx="2759">
                  <c:v>5.9405263157894746E-2</c:v>
                </c:pt>
                <c:pt idx="2760">
                  <c:v>5.9405263157894746E-2</c:v>
                </c:pt>
                <c:pt idx="2761">
                  <c:v>5.9405263157894746E-2</c:v>
                </c:pt>
                <c:pt idx="2762">
                  <c:v>5.9405263157894746E-2</c:v>
                </c:pt>
                <c:pt idx="2763">
                  <c:v>5.9405263157894746E-2</c:v>
                </c:pt>
                <c:pt idx="2764">
                  <c:v>5.9405263157894746E-2</c:v>
                </c:pt>
                <c:pt idx="2765">
                  <c:v>5.9405263157894746E-2</c:v>
                </c:pt>
                <c:pt idx="2766">
                  <c:v>5.9405263157894746E-2</c:v>
                </c:pt>
                <c:pt idx="2767">
                  <c:v>5.9405263157894746E-2</c:v>
                </c:pt>
                <c:pt idx="2768">
                  <c:v>5.9405263157894746E-2</c:v>
                </c:pt>
                <c:pt idx="2769">
                  <c:v>5.9405263157894746E-2</c:v>
                </c:pt>
                <c:pt idx="2770">
                  <c:v>5.9405263157894746E-2</c:v>
                </c:pt>
                <c:pt idx="2771">
                  <c:v>5.9405263157894746E-2</c:v>
                </c:pt>
                <c:pt idx="2772">
                  <c:v>5.9405263157894746E-2</c:v>
                </c:pt>
                <c:pt idx="2773">
                  <c:v>5.9405263157894746E-2</c:v>
                </c:pt>
                <c:pt idx="2774">
                  <c:v>5.9405263157894746E-2</c:v>
                </c:pt>
                <c:pt idx="2775">
                  <c:v>5.9405263157894746E-2</c:v>
                </c:pt>
                <c:pt idx="2776">
                  <c:v>5.9405263157894746E-2</c:v>
                </c:pt>
                <c:pt idx="2777">
                  <c:v>5.9405263157894746E-2</c:v>
                </c:pt>
                <c:pt idx="2778">
                  <c:v>5.9405263157894746E-2</c:v>
                </c:pt>
                <c:pt idx="2779">
                  <c:v>5.9405263157894746E-2</c:v>
                </c:pt>
                <c:pt idx="2780">
                  <c:v>5.9405263157894746E-2</c:v>
                </c:pt>
                <c:pt idx="2781">
                  <c:v>5.9405263157894746E-2</c:v>
                </c:pt>
                <c:pt idx="2782">
                  <c:v>5.9405263157894746E-2</c:v>
                </c:pt>
                <c:pt idx="2783">
                  <c:v>5.9405263157894746E-2</c:v>
                </c:pt>
                <c:pt idx="2784">
                  <c:v>5.9405263157894746E-2</c:v>
                </c:pt>
                <c:pt idx="2785">
                  <c:v>5.9405263157894746E-2</c:v>
                </c:pt>
                <c:pt idx="2786">
                  <c:v>5.9405263157894746E-2</c:v>
                </c:pt>
                <c:pt idx="2787">
                  <c:v>5.9405263157894746E-2</c:v>
                </c:pt>
                <c:pt idx="2788">
                  <c:v>5.9405263157894746E-2</c:v>
                </c:pt>
                <c:pt idx="2789">
                  <c:v>5.9405263157894746E-2</c:v>
                </c:pt>
                <c:pt idx="2790">
                  <c:v>5.9405263157894746E-2</c:v>
                </c:pt>
                <c:pt idx="2791">
                  <c:v>5.9405263157894746E-2</c:v>
                </c:pt>
                <c:pt idx="2792">
                  <c:v>5.9405263157894746E-2</c:v>
                </c:pt>
                <c:pt idx="2793">
                  <c:v>5.9405263157894746E-2</c:v>
                </c:pt>
                <c:pt idx="2794">
                  <c:v>5.9405263157894746E-2</c:v>
                </c:pt>
                <c:pt idx="2795">
                  <c:v>5.9405263157894746E-2</c:v>
                </c:pt>
                <c:pt idx="2796">
                  <c:v>5.9405263157894746E-2</c:v>
                </c:pt>
                <c:pt idx="2797">
                  <c:v>5.9405263157894746E-2</c:v>
                </c:pt>
                <c:pt idx="2798">
                  <c:v>5.9405263157894746E-2</c:v>
                </c:pt>
                <c:pt idx="2799">
                  <c:v>5.9405263157894746E-2</c:v>
                </c:pt>
                <c:pt idx="2800">
                  <c:v>5.9405263157894746E-2</c:v>
                </c:pt>
                <c:pt idx="2801">
                  <c:v>5.9405263157894746E-2</c:v>
                </c:pt>
                <c:pt idx="2802">
                  <c:v>5.9405263157894746E-2</c:v>
                </c:pt>
                <c:pt idx="2803">
                  <c:v>5.9405263157894746E-2</c:v>
                </c:pt>
                <c:pt idx="2804">
                  <c:v>5.9405263157894746E-2</c:v>
                </c:pt>
                <c:pt idx="2805">
                  <c:v>5.9405263157894746E-2</c:v>
                </c:pt>
                <c:pt idx="2806">
                  <c:v>5.9405263157894746E-2</c:v>
                </c:pt>
                <c:pt idx="2807">
                  <c:v>5.9405263157894746E-2</c:v>
                </c:pt>
                <c:pt idx="2808">
                  <c:v>5.9405263157894746E-2</c:v>
                </c:pt>
                <c:pt idx="2809">
                  <c:v>5.9405263157894746E-2</c:v>
                </c:pt>
                <c:pt idx="2810">
                  <c:v>5.9405263157894746E-2</c:v>
                </c:pt>
                <c:pt idx="2811">
                  <c:v>5.9405263157894746E-2</c:v>
                </c:pt>
                <c:pt idx="2812">
                  <c:v>5.9405263157894746E-2</c:v>
                </c:pt>
                <c:pt idx="2813">
                  <c:v>5.9405263157894746E-2</c:v>
                </c:pt>
                <c:pt idx="2814">
                  <c:v>5.9405263157894746E-2</c:v>
                </c:pt>
                <c:pt idx="2815">
                  <c:v>5.9405263157894746E-2</c:v>
                </c:pt>
                <c:pt idx="2816">
                  <c:v>5.9405263157894746E-2</c:v>
                </c:pt>
                <c:pt idx="2817">
                  <c:v>5.9405263157894746E-2</c:v>
                </c:pt>
                <c:pt idx="2818">
                  <c:v>5.9405263157894746E-2</c:v>
                </c:pt>
                <c:pt idx="2819">
                  <c:v>5.9405263157894746E-2</c:v>
                </c:pt>
                <c:pt idx="2820">
                  <c:v>5.9405263157894746E-2</c:v>
                </c:pt>
                <c:pt idx="2821">
                  <c:v>5.9405263157894746E-2</c:v>
                </c:pt>
                <c:pt idx="2822">
                  <c:v>5.9405263157894746E-2</c:v>
                </c:pt>
                <c:pt idx="2823">
                  <c:v>5.9405263157894746E-2</c:v>
                </c:pt>
                <c:pt idx="2824">
                  <c:v>5.9405263157894746E-2</c:v>
                </c:pt>
                <c:pt idx="2825">
                  <c:v>5.9405263157894746E-2</c:v>
                </c:pt>
                <c:pt idx="2826">
                  <c:v>5.9405263157894746E-2</c:v>
                </c:pt>
                <c:pt idx="2827">
                  <c:v>5.9405263157894746E-2</c:v>
                </c:pt>
                <c:pt idx="2828">
                  <c:v>5.9405263157894746E-2</c:v>
                </c:pt>
                <c:pt idx="2829">
                  <c:v>5.9405263157894746E-2</c:v>
                </c:pt>
                <c:pt idx="2830">
                  <c:v>5.9405263157894746E-2</c:v>
                </c:pt>
                <c:pt idx="2831">
                  <c:v>5.9405263157894746E-2</c:v>
                </c:pt>
                <c:pt idx="2832">
                  <c:v>5.9405263157894746E-2</c:v>
                </c:pt>
                <c:pt idx="2833">
                  <c:v>5.9405263157894746E-2</c:v>
                </c:pt>
                <c:pt idx="2834">
                  <c:v>5.9405263157894746E-2</c:v>
                </c:pt>
                <c:pt idx="2835">
                  <c:v>5.9405263157894746E-2</c:v>
                </c:pt>
                <c:pt idx="2836">
                  <c:v>5.9405263157894746E-2</c:v>
                </c:pt>
                <c:pt idx="2837">
                  <c:v>5.9405263157894746E-2</c:v>
                </c:pt>
                <c:pt idx="2838">
                  <c:v>5.9405263157894746E-2</c:v>
                </c:pt>
                <c:pt idx="2839">
                  <c:v>5.9405263157894746E-2</c:v>
                </c:pt>
                <c:pt idx="2840">
                  <c:v>5.9405263157894746E-2</c:v>
                </c:pt>
                <c:pt idx="2841">
                  <c:v>5.9405263157894746E-2</c:v>
                </c:pt>
                <c:pt idx="2842">
                  <c:v>5.9405263157894746E-2</c:v>
                </c:pt>
                <c:pt idx="2843">
                  <c:v>5.9405263157894746E-2</c:v>
                </c:pt>
                <c:pt idx="2844">
                  <c:v>5.9405263157894746E-2</c:v>
                </c:pt>
                <c:pt idx="2845">
                  <c:v>5.9405263157894746E-2</c:v>
                </c:pt>
                <c:pt idx="2846">
                  <c:v>5.9405263157894746E-2</c:v>
                </c:pt>
                <c:pt idx="2847">
                  <c:v>5.9405263157894746E-2</c:v>
                </c:pt>
                <c:pt idx="2848">
                  <c:v>5.9405263157894746E-2</c:v>
                </c:pt>
                <c:pt idx="2849">
                  <c:v>5.9405263157894746E-2</c:v>
                </c:pt>
                <c:pt idx="2850">
                  <c:v>5.9405263157894746E-2</c:v>
                </c:pt>
                <c:pt idx="2851">
                  <c:v>5.9405263157894746E-2</c:v>
                </c:pt>
                <c:pt idx="2852">
                  <c:v>5.9405263157894746E-2</c:v>
                </c:pt>
                <c:pt idx="2853">
                  <c:v>5.9405263157894746E-2</c:v>
                </c:pt>
                <c:pt idx="2854">
                  <c:v>5.9405263157894746E-2</c:v>
                </c:pt>
                <c:pt idx="2855">
                  <c:v>5.9405263157894746E-2</c:v>
                </c:pt>
                <c:pt idx="2856">
                  <c:v>5.9405263157894746E-2</c:v>
                </c:pt>
                <c:pt idx="2857">
                  <c:v>5.9405263157894746E-2</c:v>
                </c:pt>
                <c:pt idx="2858">
                  <c:v>5.9405263157894746E-2</c:v>
                </c:pt>
                <c:pt idx="2859">
                  <c:v>5.9405263157894746E-2</c:v>
                </c:pt>
                <c:pt idx="2860">
                  <c:v>5.9405263157894746E-2</c:v>
                </c:pt>
                <c:pt idx="2861">
                  <c:v>5.9405263157894746E-2</c:v>
                </c:pt>
                <c:pt idx="2862">
                  <c:v>5.9405263157894746E-2</c:v>
                </c:pt>
                <c:pt idx="2863">
                  <c:v>5.9405263157894746E-2</c:v>
                </c:pt>
                <c:pt idx="2864">
                  <c:v>5.9405263157894746E-2</c:v>
                </c:pt>
                <c:pt idx="2865">
                  <c:v>5.9405263157894746E-2</c:v>
                </c:pt>
                <c:pt idx="2866">
                  <c:v>5.9405263157894746E-2</c:v>
                </c:pt>
                <c:pt idx="2867">
                  <c:v>5.9405263157894746E-2</c:v>
                </c:pt>
                <c:pt idx="2868">
                  <c:v>5.9405263157894746E-2</c:v>
                </c:pt>
                <c:pt idx="2869">
                  <c:v>5.9405263157894746E-2</c:v>
                </c:pt>
                <c:pt idx="2870">
                  <c:v>5.9405263157894746E-2</c:v>
                </c:pt>
                <c:pt idx="2871">
                  <c:v>5.9405263157894746E-2</c:v>
                </c:pt>
                <c:pt idx="2872">
                  <c:v>5.9405263157894746E-2</c:v>
                </c:pt>
                <c:pt idx="2873">
                  <c:v>5.9405263157894746E-2</c:v>
                </c:pt>
                <c:pt idx="2874">
                  <c:v>5.9405263157894746E-2</c:v>
                </c:pt>
                <c:pt idx="2875">
                  <c:v>5.9405263157894746E-2</c:v>
                </c:pt>
                <c:pt idx="2876">
                  <c:v>5.9405263157894746E-2</c:v>
                </c:pt>
                <c:pt idx="2877">
                  <c:v>5.9405263157894746E-2</c:v>
                </c:pt>
                <c:pt idx="2878">
                  <c:v>5.9405263157894746E-2</c:v>
                </c:pt>
                <c:pt idx="2879">
                  <c:v>5.9405263157894746E-2</c:v>
                </c:pt>
                <c:pt idx="2880">
                  <c:v>5.9405263157894746E-2</c:v>
                </c:pt>
                <c:pt idx="2881">
                  <c:v>5.9405263157894746E-2</c:v>
                </c:pt>
                <c:pt idx="2882">
                  <c:v>5.9405263157894746E-2</c:v>
                </c:pt>
                <c:pt idx="2883">
                  <c:v>5.9405263157894746E-2</c:v>
                </c:pt>
                <c:pt idx="2884">
                  <c:v>5.9405263157894746E-2</c:v>
                </c:pt>
                <c:pt idx="2885">
                  <c:v>5.9405263157894746E-2</c:v>
                </c:pt>
                <c:pt idx="2886">
                  <c:v>5.9405263157894746E-2</c:v>
                </c:pt>
                <c:pt idx="2887">
                  <c:v>5.9405263157894746E-2</c:v>
                </c:pt>
                <c:pt idx="2888">
                  <c:v>5.9405263157894746E-2</c:v>
                </c:pt>
                <c:pt idx="2889">
                  <c:v>5.9405263157894746E-2</c:v>
                </c:pt>
                <c:pt idx="2890">
                  <c:v>5.9405263157894746E-2</c:v>
                </c:pt>
                <c:pt idx="2891">
                  <c:v>5.9405263157894746E-2</c:v>
                </c:pt>
                <c:pt idx="2892">
                  <c:v>5.9405263157894746E-2</c:v>
                </c:pt>
                <c:pt idx="2893">
                  <c:v>5.9405263157894746E-2</c:v>
                </c:pt>
                <c:pt idx="2894">
                  <c:v>5.9405263157894746E-2</c:v>
                </c:pt>
                <c:pt idx="2895">
                  <c:v>5.9405263157894746E-2</c:v>
                </c:pt>
                <c:pt idx="2896">
                  <c:v>5.9405263157894746E-2</c:v>
                </c:pt>
                <c:pt idx="2897">
                  <c:v>5.9405263157894746E-2</c:v>
                </c:pt>
                <c:pt idx="2898">
                  <c:v>5.9405263157894746E-2</c:v>
                </c:pt>
                <c:pt idx="2899">
                  <c:v>5.9405263157894746E-2</c:v>
                </c:pt>
                <c:pt idx="2900">
                  <c:v>5.9405263157894746E-2</c:v>
                </c:pt>
                <c:pt idx="2901">
                  <c:v>5.9405263157894746E-2</c:v>
                </c:pt>
                <c:pt idx="2902">
                  <c:v>5.9405263157894746E-2</c:v>
                </c:pt>
                <c:pt idx="2903">
                  <c:v>5.9405263157894746E-2</c:v>
                </c:pt>
                <c:pt idx="2904">
                  <c:v>5.9405263157894746E-2</c:v>
                </c:pt>
                <c:pt idx="2905">
                  <c:v>5.9405263157894746E-2</c:v>
                </c:pt>
                <c:pt idx="2906">
                  <c:v>5.9405263157894746E-2</c:v>
                </c:pt>
                <c:pt idx="2907">
                  <c:v>5.9405263157894746E-2</c:v>
                </c:pt>
                <c:pt idx="2908">
                  <c:v>5.9405263157894746E-2</c:v>
                </c:pt>
                <c:pt idx="2909">
                  <c:v>5.9405263157894746E-2</c:v>
                </c:pt>
                <c:pt idx="2910">
                  <c:v>5.9405263157894746E-2</c:v>
                </c:pt>
                <c:pt idx="2911">
                  <c:v>5.9405263157894746E-2</c:v>
                </c:pt>
                <c:pt idx="2912">
                  <c:v>5.9405263157894746E-2</c:v>
                </c:pt>
                <c:pt idx="2913">
                  <c:v>5.9405263157894746E-2</c:v>
                </c:pt>
                <c:pt idx="2914">
                  <c:v>5.9405263157894746E-2</c:v>
                </c:pt>
                <c:pt idx="2915">
                  <c:v>5.9405263157894746E-2</c:v>
                </c:pt>
                <c:pt idx="2916">
                  <c:v>5.9405263157894746E-2</c:v>
                </c:pt>
                <c:pt idx="2917">
                  <c:v>5.9405263157894746E-2</c:v>
                </c:pt>
                <c:pt idx="2918">
                  <c:v>5.9405263157894746E-2</c:v>
                </c:pt>
                <c:pt idx="2919">
                  <c:v>5.9405263157894746E-2</c:v>
                </c:pt>
                <c:pt idx="2920">
                  <c:v>5.9405263157894746E-2</c:v>
                </c:pt>
                <c:pt idx="2921">
                  <c:v>5.9405263157894746E-2</c:v>
                </c:pt>
                <c:pt idx="2922">
                  <c:v>5.9405263157894746E-2</c:v>
                </c:pt>
                <c:pt idx="2923">
                  <c:v>5.9405263157894746E-2</c:v>
                </c:pt>
                <c:pt idx="2924">
                  <c:v>5.9405263157894746E-2</c:v>
                </c:pt>
                <c:pt idx="2925">
                  <c:v>5.9405263157894746E-2</c:v>
                </c:pt>
                <c:pt idx="2926">
                  <c:v>5.9405263157894746E-2</c:v>
                </c:pt>
                <c:pt idx="2927">
                  <c:v>5.9405263157894746E-2</c:v>
                </c:pt>
                <c:pt idx="2928">
                  <c:v>5.9405263157894746E-2</c:v>
                </c:pt>
                <c:pt idx="2929">
                  <c:v>5.9405263157894746E-2</c:v>
                </c:pt>
                <c:pt idx="2930">
                  <c:v>5.9405263157894746E-2</c:v>
                </c:pt>
                <c:pt idx="2931">
                  <c:v>5.9405263157894746E-2</c:v>
                </c:pt>
                <c:pt idx="2932">
                  <c:v>5.9405263157894746E-2</c:v>
                </c:pt>
                <c:pt idx="2933">
                  <c:v>5.9405263157894746E-2</c:v>
                </c:pt>
                <c:pt idx="2934">
                  <c:v>5.9405263157894746E-2</c:v>
                </c:pt>
                <c:pt idx="2935">
                  <c:v>5.9405263157894746E-2</c:v>
                </c:pt>
                <c:pt idx="2936">
                  <c:v>5.9405263157894746E-2</c:v>
                </c:pt>
                <c:pt idx="2937">
                  <c:v>5.9405263157894746E-2</c:v>
                </c:pt>
                <c:pt idx="2938">
                  <c:v>5.9405263157894746E-2</c:v>
                </c:pt>
                <c:pt idx="2939">
                  <c:v>5.9405263157894746E-2</c:v>
                </c:pt>
                <c:pt idx="2940">
                  <c:v>5.9405263157894746E-2</c:v>
                </c:pt>
                <c:pt idx="2941">
                  <c:v>5.9405263157894746E-2</c:v>
                </c:pt>
                <c:pt idx="2942">
                  <c:v>5.9405263157894746E-2</c:v>
                </c:pt>
                <c:pt idx="2943">
                  <c:v>5.9405263157894746E-2</c:v>
                </c:pt>
                <c:pt idx="2944">
                  <c:v>5.9405263157894746E-2</c:v>
                </c:pt>
                <c:pt idx="2945">
                  <c:v>5.9405263157894746E-2</c:v>
                </c:pt>
                <c:pt idx="2946">
                  <c:v>5.9405263157894746E-2</c:v>
                </c:pt>
                <c:pt idx="2947">
                  <c:v>5.9405263157894746E-2</c:v>
                </c:pt>
                <c:pt idx="2948">
                  <c:v>5.9405263157894746E-2</c:v>
                </c:pt>
                <c:pt idx="2949">
                  <c:v>5.9405263157894746E-2</c:v>
                </c:pt>
                <c:pt idx="2950">
                  <c:v>5.9405263157894746E-2</c:v>
                </c:pt>
                <c:pt idx="2951">
                  <c:v>5.9405263157894746E-2</c:v>
                </c:pt>
                <c:pt idx="2952">
                  <c:v>5.9405263157894746E-2</c:v>
                </c:pt>
                <c:pt idx="2953">
                  <c:v>5.9405263157894746E-2</c:v>
                </c:pt>
                <c:pt idx="2954">
                  <c:v>5.9405263157894746E-2</c:v>
                </c:pt>
                <c:pt idx="2955">
                  <c:v>5.9405263157894746E-2</c:v>
                </c:pt>
                <c:pt idx="2956">
                  <c:v>5.9405263157894746E-2</c:v>
                </c:pt>
                <c:pt idx="2957">
                  <c:v>5.9405263157894746E-2</c:v>
                </c:pt>
                <c:pt idx="2958">
                  <c:v>5.9405263157894746E-2</c:v>
                </c:pt>
                <c:pt idx="2959">
                  <c:v>5.9405263157894746E-2</c:v>
                </c:pt>
                <c:pt idx="2960">
                  <c:v>5.9405263157894746E-2</c:v>
                </c:pt>
                <c:pt idx="2961">
                  <c:v>5.9405263157894746E-2</c:v>
                </c:pt>
                <c:pt idx="2962">
                  <c:v>5.9405263157894746E-2</c:v>
                </c:pt>
                <c:pt idx="2963">
                  <c:v>5.9405263157894746E-2</c:v>
                </c:pt>
                <c:pt idx="2964">
                  <c:v>5.9405263157894746E-2</c:v>
                </c:pt>
                <c:pt idx="2965">
                  <c:v>5.9405263157894746E-2</c:v>
                </c:pt>
                <c:pt idx="2966">
                  <c:v>5.9405263157894746E-2</c:v>
                </c:pt>
                <c:pt idx="2967">
                  <c:v>5.9405263157894746E-2</c:v>
                </c:pt>
                <c:pt idx="2968">
                  <c:v>5.9405263157894746E-2</c:v>
                </c:pt>
                <c:pt idx="2969">
                  <c:v>5.9405263157894746E-2</c:v>
                </c:pt>
                <c:pt idx="2970">
                  <c:v>5.9405263157894746E-2</c:v>
                </c:pt>
                <c:pt idx="2971">
                  <c:v>5.9405263157894746E-2</c:v>
                </c:pt>
                <c:pt idx="2972">
                  <c:v>5.9405263157894746E-2</c:v>
                </c:pt>
                <c:pt idx="2973">
                  <c:v>5.9405263157894746E-2</c:v>
                </c:pt>
                <c:pt idx="2974">
                  <c:v>5.9405263157894746E-2</c:v>
                </c:pt>
                <c:pt idx="2975">
                  <c:v>5.9405263157894746E-2</c:v>
                </c:pt>
                <c:pt idx="2976">
                  <c:v>5.9405263157894746E-2</c:v>
                </c:pt>
                <c:pt idx="2977">
                  <c:v>5.9405263157894746E-2</c:v>
                </c:pt>
                <c:pt idx="2978">
                  <c:v>5.9405263157894746E-2</c:v>
                </c:pt>
                <c:pt idx="2979">
                  <c:v>5.9405263157894746E-2</c:v>
                </c:pt>
                <c:pt idx="2980">
                  <c:v>5.9405263157894746E-2</c:v>
                </c:pt>
                <c:pt idx="2981">
                  <c:v>5.9405263157894746E-2</c:v>
                </c:pt>
                <c:pt idx="2982">
                  <c:v>5.9405263157894746E-2</c:v>
                </c:pt>
                <c:pt idx="2983">
                  <c:v>5.9405263157894746E-2</c:v>
                </c:pt>
                <c:pt idx="2984">
                  <c:v>5.9405263157894746E-2</c:v>
                </c:pt>
                <c:pt idx="2985">
                  <c:v>5.9405263157894746E-2</c:v>
                </c:pt>
                <c:pt idx="2986">
                  <c:v>5.9405263157894746E-2</c:v>
                </c:pt>
                <c:pt idx="2987">
                  <c:v>5.9405263157894746E-2</c:v>
                </c:pt>
                <c:pt idx="2988">
                  <c:v>5.9405263157894746E-2</c:v>
                </c:pt>
                <c:pt idx="2989">
                  <c:v>5.9405263157894746E-2</c:v>
                </c:pt>
                <c:pt idx="2990">
                  <c:v>5.9405263157894746E-2</c:v>
                </c:pt>
                <c:pt idx="2991">
                  <c:v>5.9405263157894746E-2</c:v>
                </c:pt>
                <c:pt idx="2992">
                  <c:v>5.9405263157894746E-2</c:v>
                </c:pt>
                <c:pt idx="2993">
                  <c:v>5.9405263157894746E-2</c:v>
                </c:pt>
                <c:pt idx="2994">
                  <c:v>5.9405263157894746E-2</c:v>
                </c:pt>
                <c:pt idx="2995">
                  <c:v>5.9405263157894746E-2</c:v>
                </c:pt>
                <c:pt idx="2996">
                  <c:v>5.9405263157894746E-2</c:v>
                </c:pt>
                <c:pt idx="2997">
                  <c:v>5.9405263157894746E-2</c:v>
                </c:pt>
                <c:pt idx="2998">
                  <c:v>5.9405263157894746E-2</c:v>
                </c:pt>
                <c:pt idx="2999">
                  <c:v>5.9405263157894746E-2</c:v>
                </c:pt>
                <c:pt idx="3000">
                  <c:v>5.9405263157894746E-2</c:v>
                </c:pt>
                <c:pt idx="3001">
                  <c:v>5.9405263157894746E-2</c:v>
                </c:pt>
                <c:pt idx="3002">
                  <c:v>5.9405263157894746E-2</c:v>
                </c:pt>
                <c:pt idx="3003">
                  <c:v>5.9405263157894746E-2</c:v>
                </c:pt>
                <c:pt idx="3004">
                  <c:v>5.9405263157894746E-2</c:v>
                </c:pt>
                <c:pt idx="3005">
                  <c:v>5.9405263157894746E-2</c:v>
                </c:pt>
                <c:pt idx="3006">
                  <c:v>5.9405263157894746E-2</c:v>
                </c:pt>
                <c:pt idx="3007">
                  <c:v>5.9405263157894746E-2</c:v>
                </c:pt>
                <c:pt idx="3008">
                  <c:v>5.9405263157894746E-2</c:v>
                </c:pt>
                <c:pt idx="3009">
                  <c:v>5.9405263157894746E-2</c:v>
                </c:pt>
                <c:pt idx="3010">
                  <c:v>5.9405263157894746E-2</c:v>
                </c:pt>
                <c:pt idx="3011">
                  <c:v>5.9405263157894746E-2</c:v>
                </c:pt>
                <c:pt idx="3012">
                  <c:v>5.9405263157894746E-2</c:v>
                </c:pt>
                <c:pt idx="3013">
                  <c:v>5.9405263157894746E-2</c:v>
                </c:pt>
                <c:pt idx="3014">
                  <c:v>5.9405263157894746E-2</c:v>
                </c:pt>
                <c:pt idx="3015">
                  <c:v>5.9405263157894746E-2</c:v>
                </c:pt>
                <c:pt idx="3016">
                  <c:v>5.9405263157894746E-2</c:v>
                </c:pt>
                <c:pt idx="3017">
                  <c:v>5.9405263157894746E-2</c:v>
                </c:pt>
                <c:pt idx="3018">
                  <c:v>5.9405263157894746E-2</c:v>
                </c:pt>
                <c:pt idx="3019">
                  <c:v>5.9405263157894746E-2</c:v>
                </c:pt>
                <c:pt idx="3020">
                  <c:v>5.9405263157894746E-2</c:v>
                </c:pt>
                <c:pt idx="3021">
                  <c:v>5.9405263157894746E-2</c:v>
                </c:pt>
                <c:pt idx="3022">
                  <c:v>5.9405263157894746E-2</c:v>
                </c:pt>
                <c:pt idx="3023">
                  <c:v>5.9405263157894746E-2</c:v>
                </c:pt>
                <c:pt idx="3024">
                  <c:v>5.9405263157894746E-2</c:v>
                </c:pt>
                <c:pt idx="3025">
                  <c:v>5.9405263157894746E-2</c:v>
                </c:pt>
                <c:pt idx="3026">
                  <c:v>5.9405263157894746E-2</c:v>
                </c:pt>
                <c:pt idx="3027">
                  <c:v>5.9405263157894746E-2</c:v>
                </c:pt>
                <c:pt idx="3028">
                  <c:v>5.9405263157894746E-2</c:v>
                </c:pt>
                <c:pt idx="3029">
                  <c:v>5.9405263157894746E-2</c:v>
                </c:pt>
                <c:pt idx="3030">
                  <c:v>5.9405263157894746E-2</c:v>
                </c:pt>
                <c:pt idx="3031">
                  <c:v>5.9405263157894746E-2</c:v>
                </c:pt>
                <c:pt idx="3032">
                  <c:v>5.9405263157894746E-2</c:v>
                </c:pt>
                <c:pt idx="3033">
                  <c:v>5.9405263157894746E-2</c:v>
                </c:pt>
                <c:pt idx="3034">
                  <c:v>5.9405263157894746E-2</c:v>
                </c:pt>
                <c:pt idx="3035">
                  <c:v>5.9405263157894746E-2</c:v>
                </c:pt>
                <c:pt idx="3036">
                  <c:v>5.9405263157894746E-2</c:v>
                </c:pt>
                <c:pt idx="3037">
                  <c:v>5.9405263157894746E-2</c:v>
                </c:pt>
                <c:pt idx="3038">
                  <c:v>5.9405263157894746E-2</c:v>
                </c:pt>
                <c:pt idx="3039">
                  <c:v>5.9405263157894746E-2</c:v>
                </c:pt>
                <c:pt idx="3040">
                  <c:v>5.9405263157894746E-2</c:v>
                </c:pt>
                <c:pt idx="3041">
                  <c:v>5.9405263157894746E-2</c:v>
                </c:pt>
                <c:pt idx="3042">
                  <c:v>5.9405263157894746E-2</c:v>
                </c:pt>
                <c:pt idx="3043">
                  <c:v>5.9405263157894746E-2</c:v>
                </c:pt>
                <c:pt idx="3044">
                  <c:v>5.9405263157894746E-2</c:v>
                </c:pt>
                <c:pt idx="3045">
                  <c:v>5.9405263157894746E-2</c:v>
                </c:pt>
                <c:pt idx="3046">
                  <c:v>5.9405263157894746E-2</c:v>
                </c:pt>
                <c:pt idx="3047">
                  <c:v>5.9405263157894746E-2</c:v>
                </c:pt>
                <c:pt idx="3048">
                  <c:v>5.9405263157894746E-2</c:v>
                </c:pt>
                <c:pt idx="3049">
                  <c:v>5.9405263157894746E-2</c:v>
                </c:pt>
                <c:pt idx="3050">
                  <c:v>5.9405263157894746E-2</c:v>
                </c:pt>
                <c:pt idx="3051">
                  <c:v>5.9405263157894746E-2</c:v>
                </c:pt>
                <c:pt idx="3052">
                  <c:v>5.9405263157894746E-2</c:v>
                </c:pt>
                <c:pt idx="3053">
                  <c:v>5.9405263157894746E-2</c:v>
                </c:pt>
                <c:pt idx="3054">
                  <c:v>5.9405263157894746E-2</c:v>
                </c:pt>
                <c:pt idx="3055">
                  <c:v>5.9405263157894746E-2</c:v>
                </c:pt>
                <c:pt idx="3056">
                  <c:v>5.9405263157894746E-2</c:v>
                </c:pt>
                <c:pt idx="3057">
                  <c:v>5.9405263157894746E-2</c:v>
                </c:pt>
                <c:pt idx="3058">
                  <c:v>5.9405263157894746E-2</c:v>
                </c:pt>
                <c:pt idx="3059">
                  <c:v>5.9405263157894746E-2</c:v>
                </c:pt>
                <c:pt idx="3060">
                  <c:v>5.9405263157894746E-2</c:v>
                </c:pt>
                <c:pt idx="3061">
                  <c:v>5.9405263157894746E-2</c:v>
                </c:pt>
                <c:pt idx="3062">
                  <c:v>5.9405263157894746E-2</c:v>
                </c:pt>
                <c:pt idx="3063">
                  <c:v>5.9405263157894746E-2</c:v>
                </c:pt>
                <c:pt idx="3064">
                  <c:v>5.9405263157894746E-2</c:v>
                </c:pt>
                <c:pt idx="3065">
                  <c:v>5.9405263157894746E-2</c:v>
                </c:pt>
                <c:pt idx="3066">
                  <c:v>5.9405263157894746E-2</c:v>
                </c:pt>
                <c:pt idx="3067">
                  <c:v>5.9405263157894746E-2</c:v>
                </c:pt>
                <c:pt idx="3068">
                  <c:v>5.9405263157894746E-2</c:v>
                </c:pt>
                <c:pt idx="3069">
                  <c:v>5.9405263157894746E-2</c:v>
                </c:pt>
                <c:pt idx="3070">
                  <c:v>5.9405263157894746E-2</c:v>
                </c:pt>
                <c:pt idx="3071">
                  <c:v>5.9405263157894746E-2</c:v>
                </c:pt>
                <c:pt idx="3072">
                  <c:v>5.9405263157894746E-2</c:v>
                </c:pt>
                <c:pt idx="3073">
                  <c:v>5.9405263157894746E-2</c:v>
                </c:pt>
                <c:pt idx="3074">
                  <c:v>5.9405263157894746E-2</c:v>
                </c:pt>
                <c:pt idx="3075">
                  <c:v>5.9405263157894746E-2</c:v>
                </c:pt>
                <c:pt idx="3076">
                  <c:v>5.9405263157894746E-2</c:v>
                </c:pt>
                <c:pt idx="3077">
                  <c:v>5.9405263157894746E-2</c:v>
                </c:pt>
                <c:pt idx="3078">
                  <c:v>5.9405263157894746E-2</c:v>
                </c:pt>
                <c:pt idx="3079">
                  <c:v>5.9405263157894746E-2</c:v>
                </c:pt>
                <c:pt idx="3080">
                  <c:v>5.9405263157894746E-2</c:v>
                </c:pt>
                <c:pt idx="3081">
                  <c:v>5.9405263157894746E-2</c:v>
                </c:pt>
                <c:pt idx="3082">
                  <c:v>5.9405263157894746E-2</c:v>
                </c:pt>
                <c:pt idx="3083">
                  <c:v>5.9405263157894746E-2</c:v>
                </c:pt>
                <c:pt idx="3084">
                  <c:v>5.9405263157894746E-2</c:v>
                </c:pt>
                <c:pt idx="3085">
                  <c:v>5.9405263157894746E-2</c:v>
                </c:pt>
                <c:pt idx="3086">
                  <c:v>5.9405263157894746E-2</c:v>
                </c:pt>
                <c:pt idx="3087">
                  <c:v>5.9405263157894746E-2</c:v>
                </c:pt>
                <c:pt idx="3088">
                  <c:v>5.9405263157894746E-2</c:v>
                </c:pt>
                <c:pt idx="3089">
                  <c:v>5.9405263157894746E-2</c:v>
                </c:pt>
                <c:pt idx="3090">
                  <c:v>5.9405263157894746E-2</c:v>
                </c:pt>
                <c:pt idx="3091">
                  <c:v>5.9405263157894746E-2</c:v>
                </c:pt>
                <c:pt idx="3092">
                  <c:v>5.9405263157894746E-2</c:v>
                </c:pt>
                <c:pt idx="3093">
                  <c:v>5.9405263157894746E-2</c:v>
                </c:pt>
                <c:pt idx="3094">
                  <c:v>5.9405263157894746E-2</c:v>
                </c:pt>
                <c:pt idx="3095">
                  <c:v>5.9405263157894746E-2</c:v>
                </c:pt>
                <c:pt idx="3096">
                  <c:v>5.9405263157894746E-2</c:v>
                </c:pt>
                <c:pt idx="3097">
                  <c:v>5.9405263157894746E-2</c:v>
                </c:pt>
                <c:pt idx="3098">
                  <c:v>5.9405263157894746E-2</c:v>
                </c:pt>
                <c:pt idx="3099">
                  <c:v>5.9405263157894746E-2</c:v>
                </c:pt>
                <c:pt idx="3100">
                  <c:v>5.9405263157894746E-2</c:v>
                </c:pt>
                <c:pt idx="3101">
                  <c:v>5.9405263157894746E-2</c:v>
                </c:pt>
                <c:pt idx="3102">
                  <c:v>5.9405263157894746E-2</c:v>
                </c:pt>
                <c:pt idx="3103">
                  <c:v>5.9405263157894746E-2</c:v>
                </c:pt>
                <c:pt idx="3104">
                  <c:v>5.9405263157894746E-2</c:v>
                </c:pt>
                <c:pt idx="3105">
                  <c:v>5.9405263157894746E-2</c:v>
                </c:pt>
                <c:pt idx="3106">
                  <c:v>5.9405263157894746E-2</c:v>
                </c:pt>
                <c:pt idx="3107">
                  <c:v>5.9405263157894746E-2</c:v>
                </c:pt>
                <c:pt idx="3108">
                  <c:v>5.9405263157894746E-2</c:v>
                </c:pt>
                <c:pt idx="3109">
                  <c:v>5.9405263157894746E-2</c:v>
                </c:pt>
                <c:pt idx="3110">
                  <c:v>5.9405263157894746E-2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1-4214-94D1-9423E416C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04527"/>
        <c:axId val="926275727"/>
      </c:scatterChart>
      <c:valAx>
        <c:axId val="92630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75727"/>
        <c:crosses val="autoZero"/>
        <c:crossBetween val="midCat"/>
      </c:valAx>
      <c:valAx>
        <c:axId val="926275727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04527"/>
        <c:crossesAt val="0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513090347791271E-2"/>
          <c:y val="5.983660710265671E-2"/>
          <c:w val="0.28339890554711888"/>
          <c:h val="0.2463105329650840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VFA</a:t>
            </a:r>
            <a:r>
              <a:rPr lang="en-US" sz="1600" baseline="0">
                <a:solidFill>
                  <a:sysClr val="windowText" lastClr="000000"/>
                </a:solidFill>
              </a:rPr>
              <a:t> Variation Test - 08/09/24</a:t>
            </a:r>
            <a:endParaRPr lang="en-US" sz="16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Acetate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587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VFA!$C$33:$C$40</c:f>
              <c:numCache>
                <c:formatCode>General</c:formatCode>
                <c:ptCount val="8"/>
                <c:pt idx="0">
                  <c:v>0</c:v>
                </c:pt>
                <c:pt idx="1">
                  <c:v>0.99999999994179234</c:v>
                </c:pt>
                <c:pt idx="2">
                  <c:v>1.9999999998835847</c:v>
                </c:pt>
                <c:pt idx="3">
                  <c:v>3</c:v>
                </c:pt>
                <c:pt idx="4">
                  <c:v>3.9999999999417923</c:v>
                </c:pt>
                <c:pt idx="5">
                  <c:v>4.9999999998835847</c:v>
                </c:pt>
                <c:pt idx="6">
                  <c:v>6</c:v>
                </c:pt>
                <c:pt idx="7">
                  <c:v>6.9999999999417923</c:v>
                </c:pt>
              </c:numCache>
            </c:numRef>
          </c:xVal>
          <c:yVal>
            <c:numRef>
              <c:f>VFA!$K$33:$K$40</c:f>
              <c:numCache>
                <c:formatCode>0.0</c:formatCode>
                <c:ptCount val="8"/>
                <c:pt idx="0">
                  <c:v>46.375</c:v>
                </c:pt>
                <c:pt idx="1">
                  <c:v>45.214999999999996</c:v>
                </c:pt>
                <c:pt idx="2">
                  <c:v>46.83</c:v>
                </c:pt>
                <c:pt idx="3">
                  <c:v>44.94</c:v>
                </c:pt>
                <c:pt idx="4">
                  <c:v>43.730000000000004</c:v>
                </c:pt>
                <c:pt idx="5">
                  <c:v>47.244999999999997</c:v>
                </c:pt>
                <c:pt idx="6">
                  <c:v>44.394999999999996</c:v>
                </c:pt>
                <c:pt idx="7">
                  <c:v>47.220000000000006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461-4D08-95C1-DE1ECCC89813}"/>
            </c:ext>
          </c:extLst>
        </c:ser>
        <c:ser>
          <c:idx val="1"/>
          <c:order val="1"/>
          <c:tx>
            <c:v>Propionate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1587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VFA!$C$33:$C$40</c:f>
              <c:numCache>
                <c:formatCode>General</c:formatCode>
                <c:ptCount val="8"/>
                <c:pt idx="0">
                  <c:v>0</c:v>
                </c:pt>
                <c:pt idx="1">
                  <c:v>0.99999999994179234</c:v>
                </c:pt>
                <c:pt idx="2">
                  <c:v>1.9999999998835847</c:v>
                </c:pt>
                <c:pt idx="3">
                  <c:v>3</c:v>
                </c:pt>
                <c:pt idx="4">
                  <c:v>3.9999999999417923</c:v>
                </c:pt>
                <c:pt idx="5">
                  <c:v>4.9999999998835847</c:v>
                </c:pt>
                <c:pt idx="6">
                  <c:v>6</c:v>
                </c:pt>
                <c:pt idx="7">
                  <c:v>6.9999999999417923</c:v>
                </c:pt>
              </c:numCache>
            </c:numRef>
          </c:xVal>
          <c:yVal>
            <c:numRef>
              <c:f>VFA!$L$33:$L$40</c:f>
              <c:numCache>
                <c:formatCode>0.0</c:formatCode>
                <c:ptCount val="8"/>
                <c:pt idx="0">
                  <c:v>644.76090000000011</c:v>
                </c:pt>
                <c:pt idx="1">
                  <c:v>628.30763999999999</c:v>
                </c:pt>
                <c:pt idx="2">
                  <c:v>700.60489799999993</c:v>
                </c:pt>
                <c:pt idx="3">
                  <c:v>650.67727200000002</c:v>
                </c:pt>
                <c:pt idx="4">
                  <c:v>606.03657800000008</c:v>
                </c:pt>
                <c:pt idx="5">
                  <c:v>729.32106499999998</c:v>
                </c:pt>
                <c:pt idx="6">
                  <c:v>568.868651</c:v>
                </c:pt>
                <c:pt idx="7">
                  <c:v>675.59542800000008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461-4D08-95C1-DE1ECCC89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92176"/>
        <c:axId val="1894103216"/>
      </c:scatterChart>
      <c:valAx>
        <c:axId val="1894092176"/>
        <c:scaling>
          <c:orientation val="minMax"/>
          <c:max val="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Time</a:t>
                </a:r>
                <a:r>
                  <a:rPr lang="en-US" sz="1200" baseline="0">
                    <a:solidFill>
                      <a:sysClr val="windowText" lastClr="000000"/>
                    </a:solidFill>
                  </a:rPr>
                  <a:t> (hr)</a:t>
                </a:r>
                <a:endParaRPr lang="en-US" sz="12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103216"/>
        <c:crosses val="autoZero"/>
        <c:crossBetween val="midCat"/>
      </c:valAx>
      <c:valAx>
        <c:axId val="1894103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COD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9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7470888013998251"/>
          <c:y val="0.44257586286773221"/>
          <c:w val="0.17251334208223973"/>
          <c:h val="0.16766725438875077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VFA in</a:t>
            </a:r>
            <a:r>
              <a:rPr lang="en-US" baseline="0"/>
              <a:t> Media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Acetate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VFA!$Z$17:$Z$22</c:f>
              <c:numCache>
                <c:formatCode>0.00</c:formatCode>
                <c:ptCount val="6"/>
                <c:pt idx="0">
                  <c:v>0.93680555555329192</c:v>
                </c:pt>
                <c:pt idx="1">
                  <c:v>2.9618055555547471</c:v>
                </c:pt>
                <c:pt idx="2">
                  <c:v>3.953472222223354</c:v>
                </c:pt>
                <c:pt idx="3">
                  <c:v>4.9541666666627862</c:v>
                </c:pt>
                <c:pt idx="4">
                  <c:v>5.9472222222175333</c:v>
                </c:pt>
                <c:pt idx="5">
                  <c:v>6.898611111108039</c:v>
                </c:pt>
              </c:numCache>
            </c:numRef>
          </c:xVal>
          <c:yVal>
            <c:numRef>
              <c:f>VFA!$AG$17:$AG$22</c:f>
              <c:numCache>
                <c:formatCode>0</c:formatCode>
                <c:ptCount val="6"/>
                <c:pt idx="0">
                  <c:v>41.155000000000001</c:v>
                </c:pt>
                <c:pt idx="1">
                  <c:v>758.58</c:v>
                </c:pt>
                <c:pt idx="2">
                  <c:v>796.61</c:v>
                </c:pt>
                <c:pt idx="3">
                  <c:v>887.19499999999994</c:v>
                </c:pt>
                <c:pt idx="4">
                  <c:v>995.84</c:v>
                </c:pt>
                <c:pt idx="5">
                  <c:v>908.3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4C3-428E-9202-3149FEC45341}"/>
            </c:ext>
          </c:extLst>
        </c:ser>
        <c:ser>
          <c:idx val="1"/>
          <c:order val="1"/>
          <c:tx>
            <c:v>Propionate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VFA!$Z$17:$Z$22</c:f>
              <c:numCache>
                <c:formatCode>0.00</c:formatCode>
                <c:ptCount val="6"/>
                <c:pt idx="0">
                  <c:v>0.93680555555329192</c:v>
                </c:pt>
                <c:pt idx="1">
                  <c:v>2.9618055555547471</c:v>
                </c:pt>
                <c:pt idx="2">
                  <c:v>3.953472222223354</c:v>
                </c:pt>
                <c:pt idx="3">
                  <c:v>4.9541666666627862</c:v>
                </c:pt>
                <c:pt idx="4">
                  <c:v>5.9472222222175333</c:v>
                </c:pt>
                <c:pt idx="5">
                  <c:v>6.898611111108039</c:v>
                </c:pt>
              </c:numCache>
            </c:numRef>
          </c:xVal>
          <c:yVal>
            <c:numRef>
              <c:f>VFA!$AH$17:$AH$22</c:f>
              <c:numCache>
                <c:formatCode>0</c:formatCode>
                <c:ptCount val="6"/>
                <c:pt idx="0">
                  <c:v>24.81</c:v>
                </c:pt>
                <c:pt idx="1">
                  <c:v>186.1</c:v>
                </c:pt>
                <c:pt idx="2">
                  <c:v>204.17500000000001</c:v>
                </c:pt>
                <c:pt idx="3">
                  <c:v>228.58</c:v>
                </c:pt>
                <c:pt idx="4">
                  <c:v>257.935</c:v>
                </c:pt>
                <c:pt idx="5">
                  <c:v>220.99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4C3-428E-9202-3149FEC45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095183"/>
        <c:axId val="1167093263"/>
      </c:scatterChart>
      <c:valAx>
        <c:axId val="116709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Media Prep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093263"/>
        <c:crosses val="autoZero"/>
        <c:crossBetween val="midCat"/>
      </c:valAx>
      <c:valAx>
        <c:axId val="116709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VFA (mg</a:t>
                </a:r>
                <a:r>
                  <a:rPr lang="en-US" baseline="0"/>
                  <a:t> COD/L)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095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Media VFA 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VFA!$H$2</c:f>
              <c:strCache>
                <c:ptCount val="1"/>
                <c:pt idx="0">
                  <c:v>Raw Acetate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VFA!$AB$3:$AB$45</c:f>
              <c:numCache>
                <c:formatCode>0.0</c:formatCode>
                <c:ptCount val="43"/>
                <c:pt idx="0">
                  <c:v>0.47083333333284827</c:v>
                </c:pt>
                <c:pt idx="1">
                  <c:v>5.9083333333328483</c:v>
                </c:pt>
                <c:pt idx="2">
                  <c:v>13.470833333332848</c:v>
                </c:pt>
                <c:pt idx="3">
                  <c:v>41.913888888891961</c:v>
                </c:pt>
                <c:pt idx="4">
                  <c:v>48.857638888890506</c:v>
                </c:pt>
                <c:pt idx="5">
                  <c:v>51.988194444442343</c:v>
                </c:pt>
                <c:pt idx="6">
                  <c:v>55.847222222218988</c:v>
                </c:pt>
                <c:pt idx="7">
                  <c:v>58.868750000001455</c:v>
                </c:pt>
                <c:pt idx="8">
                  <c:v>61.908333333332848</c:v>
                </c:pt>
                <c:pt idx="9">
                  <c:v>64.88749999999709</c:v>
                </c:pt>
                <c:pt idx="10">
                  <c:v>68.88749999999709</c:v>
                </c:pt>
                <c:pt idx="11">
                  <c:v>70.470833333332848</c:v>
                </c:pt>
                <c:pt idx="12">
                  <c:v>71.924305555556202</c:v>
                </c:pt>
                <c:pt idx="13">
                  <c:v>72.909027777779556</c:v>
                </c:pt>
                <c:pt idx="14">
                  <c:v>73.845833333332848</c:v>
                </c:pt>
                <c:pt idx="15">
                  <c:v>75.870833333334303</c:v>
                </c:pt>
                <c:pt idx="16">
                  <c:v>76.86250000000291</c:v>
                </c:pt>
                <c:pt idx="17">
                  <c:v>77.863194444442343</c:v>
                </c:pt>
                <c:pt idx="18">
                  <c:v>78.85624999999709</c:v>
                </c:pt>
                <c:pt idx="19">
                  <c:v>79.807638888887595</c:v>
                </c:pt>
                <c:pt idx="20">
                  <c:v>82.979861111110949</c:v>
                </c:pt>
                <c:pt idx="21">
                  <c:v>85.860416666662786</c:v>
                </c:pt>
                <c:pt idx="22">
                  <c:v>89.861111111109494</c:v>
                </c:pt>
                <c:pt idx="23">
                  <c:v>92.863888888889051</c:v>
                </c:pt>
                <c:pt idx="24">
                  <c:v>96.856944444443798</c:v>
                </c:pt>
                <c:pt idx="25">
                  <c:v>99.897222222221899</c:v>
                </c:pt>
                <c:pt idx="26">
                  <c:v>103.47083333333285</c:v>
                </c:pt>
                <c:pt idx="27">
                  <c:v>106.93541666666715</c:v>
                </c:pt>
                <c:pt idx="28">
                  <c:v>108.0222222222219</c:v>
                </c:pt>
                <c:pt idx="29">
                  <c:v>111.8659722222219</c:v>
                </c:pt>
                <c:pt idx="30">
                  <c:v>114.9111111111124</c:v>
                </c:pt>
                <c:pt idx="31">
                  <c:v>117.89166666666279</c:v>
                </c:pt>
                <c:pt idx="32">
                  <c:v>120.47083333333285</c:v>
                </c:pt>
                <c:pt idx="33">
                  <c:v>124.90555555555329</c:v>
                </c:pt>
                <c:pt idx="34">
                  <c:v>127.9111111111124</c:v>
                </c:pt>
                <c:pt idx="35">
                  <c:v>131.87569444444671</c:v>
                </c:pt>
                <c:pt idx="36">
                  <c:v>135.02430555555475</c:v>
                </c:pt>
                <c:pt idx="37">
                  <c:v>138.9020833333343</c:v>
                </c:pt>
                <c:pt idx="38">
                  <c:v>141.92638888888905</c:v>
                </c:pt>
                <c:pt idx="39">
                  <c:v>145.90416666666715</c:v>
                </c:pt>
                <c:pt idx="40">
                  <c:v>148.84166666666715</c:v>
                </c:pt>
                <c:pt idx="41">
                  <c:v>155.47083333333285</c:v>
                </c:pt>
                <c:pt idx="42">
                  <c:v>159.47083333333285</c:v>
                </c:pt>
              </c:numCache>
            </c:numRef>
          </c:xVal>
          <c:yVal>
            <c:numRef>
              <c:f>VFA!$AD$3:$AD$45</c:f>
              <c:numCache>
                <c:formatCode>0</c:formatCode>
                <c:ptCount val="43"/>
                <c:pt idx="0">
                  <c:v>209.16200000000003</c:v>
                </c:pt>
                <c:pt idx="1">
                  <c:v>88.93</c:v>
                </c:pt>
                <c:pt idx="2">
                  <c:v>206.64066666666668</c:v>
                </c:pt>
                <c:pt idx="3">
                  <c:v>76.222333333333339</c:v>
                </c:pt>
                <c:pt idx="4">
                  <c:v>92.891999999999996</c:v>
                </c:pt>
                <c:pt idx="5">
                  <c:v>90.976333333333329</c:v>
                </c:pt>
                <c:pt idx="6">
                  <c:v>96.92349999999999</c:v>
                </c:pt>
                <c:pt idx="7">
                  <c:v>89.213999999999999</c:v>
                </c:pt>
                <c:pt idx="8">
                  <c:v>45.854500000000002</c:v>
                </c:pt>
                <c:pt idx="9">
                  <c:v>14.638</c:v>
                </c:pt>
                <c:pt idx="10">
                  <c:v>101.81399999999999</c:v>
                </c:pt>
                <c:pt idx="11">
                  <c:v>6.0119999999999996</c:v>
                </c:pt>
                <c:pt idx="12">
                  <c:v>4.484</c:v>
                </c:pt>
                <c:pt idx="13">
                  <c:v>33.027000000000001</c:v>
                </c:pt>
                <c:pt idx="14">
                  <c:v>8.2309999999999999</c:v>
                </c:pt>
                <c:pt idx="15">
                  <c:v>151.71600000000001</c:v>
                </c:pt>
                <c:pt idx="16">
                  <c:v>159.322</c:v>
                </c:pt>
                <c:pt idx="17">
                  <c:v>177.43899999999999</c:v>
                </c:pt>
                <c:pt idx="18">
                  <c:v>199.16800000000001</c:v>
                </c:pt>
                <c:pt idx="19">
                  <c:v>90.83</c:v>
                </c:pt>
                <c:pt idx="20">
                  <c:v>78.415000000000006</c:v>
                </c:pt>
                <c:pt idx="21">
                  <c:v>198.584</c:v>
                </c:pt>
                <c:pt idx="22">
                  <c:v>199.17599999999999</c:v>
                </c:pt>
                <c:pt idx="23">
                  <c:v>242.876</c:v>
                </c:pt>
                <c:pt idx="24" formatCode="General">
                  <c:v>4.3630000000000004</c:v>
                </c:pt>
                <c:pt idx="25">
                  <c:v>14.214</c:v>
                </c:pt>
                <c:pt idx="26" formatCode="General">
                  <c:v>7.0019999999999998</c:v>
                </c:pt>
                <c:pt idx="27" formatCode="General">
                  <c:v>9.0280000000000005</c:v>
                </c:pt>
                <c:pt idx="28" formatCode="General">
                  <c:v>11.53</c:v>
                </c:pt>
                <c:pt idx="29" formatCode="General">
                  <c:v>30.675000000000001</c:v>
                </c:pt>
                <c:pt idx="30" formatCode="General">
                  <c:v>62.597000000000001</c:v>
                </c:pt>
                <c:pt idx="31" formatCode="General">
                  <c:v>26.917999999999999</c:v>
                </c:pt>
                <c:pt idx="32" formatCode="General">
                  <c:v>74.061999999999998</c:v>
                </c:pt>
                <c:pt idx="33" formatCode="General">
                  <c:v>8.6310000000000002</c:v>
                </c:pt>
                <c:pt idx="34" formatCode="General">
                  <c:v>5.8689999999999998</c:v>
                </c:pt>
                <c:pt idx="35" formatCode="General">
                  <c:v>1.228</c:v>
                </c:pt>
                <c:pt idx="36" formatCode="General">
                  <c:v>2.1520000000000001</c:v>
                </c:pt>
                <c:pt idx="37" formatCode="General">
                  <c:v>5.3890000000000002</c:v>
                </c:pt>
                <c:pt idx="38" formatCode="General">
                  <c:v>97.400999999999996</c:v>
                </c:pt>
                <c:pt idx="39" formatCode="General">
                  <c:v>94.772000000000006</c:v>
                </c:pt>
                <c:pt idx="40" formatCode="General">
                  <c:v>90.656999999999996</c:v>
                </c:pt>
                <c:pt idx="41" formatCode="General">
                  <c:v>9.5519999999999996</c:v>
                </c:pt>
                <c:pt idx="42" formatCode="General">
                  <c:v>107.88930000000001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18-40EF-AADC-92E3FB6CC412}"/>
            </c:ext>
          </c:extLst>
        </c:ser>
        <c:ser>
          <c:idx val="1"/>
          <c:order val="1"/>
          <c:tx>
            <c:strRef>
              <c:f>VFA!$AE$2</c:f>
              <c:strCache>
                <c:ptCount val="1"/>
                <c:pt idx="0">
                  <c:v>Raw Propionate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VFA!$AB$3:$AB$45</c:f>
              <c:numCache>
                <c:formatCode>0.0</c:formatCode>
                <c:ptCount val="43"/>
                <c:pt idx="0">
                  <c:v>0.47083333333284827</c:v>
                </c:pt>
                <c:pt idx="1">
                  <c:v>5.9083333333328483</c:v>
                </c:pt>
                <c:pt idx="2">
                  <c:v>13.470833333332848</c:v>
                </c:pt>
                <c:pt idx="3">
                  <c:v>41.913888888891961</c:v>
                </c:pt>
                <c:pt idx="4">
                  <c:v>48.857638888890506</c:v>
                </c:pt>
                <c:pt idx="5">
                  <c:v>51.988194444442343</c:v>
                </c:pt>
                <c:pt idx="6">
                  <c:v>55.847222222218988</c:v>
                </c:pt>
                <c:pt idx="7">
                  <c:v>58.868750000001455</c:v>
                </c:pt>
                <c:pt idx="8">
                  <c:v>61.908333333332848</c:v>
                </c:pt>
                <c:pt idx="9">
                  <c:v>64.88749999999709</c:v>
                </c:pt>
                <c:pt idx="10">
                  <c:v>68.88749999999709</c:v>
                </c:pt>
                <c:pt idx="11">
                  <c:v>70.470833333332848</c:v>
                </c:pt>
                <c:pt idx="12">
                  <c:v>71.924305555556202</c:v>
                </c:pt>
                <c:pt idx="13">
                  <c:v>72.909027777779556</c:v>
                </c:pt>
                <c:pt idx="14">
                  <c:v>73.845833333332848</c:v>
                </c:pt>
                <c:pt idx="15">
                  <c:v>75.870833333334303</c:v>
                </c:pt>
                <c:pt idx="16">
                  <c:v>76.86250000000291</c:v>
                </c:pt>
                <c:pt idx="17">
                  <c:v>77.863194444442343</c:v>
                </c:pt>
                <c:pt idx="18">
                  <c:v>78.85624999999709</c:v>
                </c:pt>
                <c:pt idx="19">
                  <c:v>79.807638888887595</c:v>
                </c:pt>
                <c:pt idx="20">
                  <c:v>82.979861111110949</c:v>
                </c:pt>
                <c:pt idx="21">
                  <c:v>85.860416666662786</c:v>
                </c:pt>
                <c:pt idx="22">
                  <c:v>89.861111111109494</c:v>
                </c:pt>
                <c:pt idx="23">
                  <c:v>92.863888888889051</c:v>
                </c:pt>
                <c:pt idx="24">
                  <c:v>96.856944444443798</c:v>
                </c:pt>
                <c:pt idx="25">
                  <c:v>99.897222222221899</c:v>
                </c:pt>
                <c:pt idx="26">
                  <c:v>103.47083333333285</c:v>
                </c:pt>
                <c:pt idx="27">
                  <c:v>106.93541666666715</c:v>
                </c:pt>
                <c:pt idx="28">
                  <c:v>108.0222222222219</c:v>
                </c:pt>
                <c:pt idx="29">
                  <c:v>111.8659722222219</c:v>
                </c:pt>
                <c:pt idx="30">
                  <c:v>114.9111111111124</c:v>
                </c:pt>
                <c:pt idx="31">
                  <c:v>117.89166666666279</c:v>
                </c:pt>
                <c:pt idx="32">
                  <c:v>120.47083333333285</c:v>
                </c:pt>
                <c:pt idx="33">
                  <c:v>124.90555555555329</c:v>
                </c:pt>
                <c:pt idx="34">
                  <c:v>127.9111111111124</c:v>
                </c:pt>
                <c:pt idx="35">
                  <c:v>131.87569444444671</c:v>
                </c:pt>
                <c:pt idx="36">
                  <c:v>135.02430555555475</c:v>
                </c:pt>
                <c:pt idx="37">
                  <c:v>138.9020833333343</c:v>
                </c:pt>
                <c:pt idx="38">
                  <c:v>141.92638888888905</c:v>
                </c:pt>
                <c:pt idx="39">
                  <c:v>145.90416666666715</c:v>
                </c:pt>
                <c:pt idx="40">
                  <c:v>148.84166666666715</c:v>
                </c:pt>
                <c:pt idx="41">
                  <c:v>155.47083333333285</c:v>
                </c:pt>
                <c:pt idx="42">
                  <c:v>159.47083333333285</c:v>
                </c:pt>
              </c:numCache>
            </c:numRef>
          </c:xVal>
          <c:yVal>
            <c:numRef>
              <c:f>VFA!$AE$3:$AE$45</c:f>
              <c:numCache>
                <c:formatCode>0</c:formatCode>
                <c:ptCount val="43"/>
                <c:pt idx="0">
                  <c:v>16.433333333333334</c:v>
                </c:pt>
                <c:pt idx="1">
                  <c:v>18.073</c:v>
                </c:pt>
                <c:pt idx="2">
                  <c:v>17.096666666666668</c:v>
                </c:pt>
                <c:pt idx="3">
                  <c:v>27.701333333333334</c:v>
                </c:pt>
                <c:pt idx="4">
                  <c:v>30.103999999999999</c:v>
                </c:pt>
                <c:pt idx="5">
                  <c:v>23.641333333333336</c:v>
                </c:pt>
                <c:pt idx="6">
                  <c:v>27.6265</c:v>
                </c:pt>
                <c:pt idx="7">
                  <c:v>21.962000000000003</c:v>
                </c:pt>
                <c:pt idx="8">
                  <c:v>12.708500000000001</c:v>
                </c:pt>
                <c:pt idx="9">
                  <c:v>7.157</c:v>
                </c:pt>
                <c:pt idx="10">
                  <c:v>21.181000000000001</c:v>
                </c:pt>
                <c:pt idx="11">
                  <c:v>4.585</c:v>
                </c:pt>
                <c:pt idx="12">
                  <c:v>2.0150000000000001</c:v>
                </c:pt>
                <c:pt idx="13">
                  <c:v>4.87</c:v>
                </c:pt>
                <c:pt idx="14">
                  <c:v>4.9619999999999997</c:v>
                </c:pt>
                <c:pt idx="15">
                  <c:v>37.22</c:v>
                </c:pt>
                <c:pt idx="16">
                  <c:v>40.835000000000001</c:v>
                </c:pt>
                <c:pt idx="17">
                  <c:v>45.716000000000001</c:v>
                </c:pt>
                <c:pt idx="18">
                  <c:v>51.587000000000003</c:v>
                </c:pt>
                <c:pt idx="19">
                  <c:v>22.099</c:v>
                </c:pt>
                <c:pt idx="20">
                  <c:v>25.466999999999999</c:v>
                </c:pt>
                <c:pt idx="21">
                  <c:v>64.673000000000002</c:v>
                </c:pt>
                <c:pt idx="22">
                  <c:v>30.225999999999999</c:v>
                </c:pt>
                <c:pt idx="23">
                  <c:v>38.241999999999997</c:v>
                </c:pt>
                <c:pt idx="24" formatCode="General">
                  <c:v>1.1120000000000001</c:v>
                </c:pt>
                <c:pt idx="25">
                  <c:v>0</c:v>
                </c:pt>
                <c:pt idx="26" formatCode="General">
                  <c:v>0.92</c:v>
                </c:pt>
                <c:pt idx="27" formatCode="General">
                  <c:v>0.79700000000000004</c:v>
                </c:pt>
                <c:pt idx="28" formatCode="General">
                  <c:v>0.184</c:v>
                </c:pt>
                <c:pt idx="29" formatCode="General">
                  <c:v>0.24199999999999999</c:v>
                </c:pt>
                <c:pt idx="30" formatCode="General">
                  <c:v>2.1659999999999999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3.2130000000000001</c:v>
                </c:pt>
                <c:pt idx="34" formatCode="General">
                  <c:v>0</c:v>
                </c:pt>
                <c:pt idx="35" formatCode="General">
                  <c:v>0.377</c:v>
                </c:pt>
                <c:pt idx="36" formatCode="General">
                  <c:v>0</c:v>
                </c:pt>
                <c:pt idx="37" formatCode="General">
                  <c:v>0.748</c:v>
                </c:pt>
                <c:pt idx="38" formatCode="General">
                  <c:v>3.2189999999999999</c:v>
                </c:pt>
                <c:pt idx="39" formatCode="General">
                  <c:v>0</c:v>
                </c:pt>
                <c:pt idx="40" formatCode="General">
                  <c:v>8.2000000000000003E-2</c:v>
                </c:pt>
                <c:pt idx="41" formatCode="General">
                  <c:v>0</c:v>
                </c:pt>
                <c:pt idx="42" formatCode="General">
                  <c:v>1.52139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18-40EF-AADC-92E3FB6C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112207"/>
        <c:axId val="2069103087"/>
      </c:scatterChart>
      <c:scatterChart>
        <c:scatterStyle val="lineMarker"/>
        <c:varyColors val="0"/>
        <c:ser>
          <c:idx val="2"/>
          <c:order val="2"/>
          <c:tx>
            <c:strRef>
              <c:f>VFA!$J$2</c:f>
              <c:strCache>
                <c:ptCount val="1"/>
                <c:pt idx="0">
                  <c:v>Raw Butyrate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VFA!$AB$3:$AB$45</c:f>
              <c:numCache>
                <c:formatCode>0.0</c:formatCode>
                <c:ptCount val="43"/>
                <c:pt idx="0">
                  <c:v>0.47083333333284827</c:v>
                </c:pt>
                <c:pt idx="1">
                  <c:v>5.9083333333328483</c:v>
                </c:pt>
                <c:pt idx="2">
                  <c:v>13.470833333332848</c:v>
                </c:pt>
                <c:pt idx="3">
                  <c:v>41.913888888891961</c:v>
                </c:pt>
                <c:pt idx="4">
                  <c:v>48.857638888890506</c:v>
                </c:pt>
                <c:pt idx="5">
                  <c:v>51.988194444442343</c:v>
                </c:pt>
                <c:pt idx="6">
                  <c:v>55.847222222218988</c:v>
                </c:pt>
                <c:pt idx="7">
                  <c:v>58.868750000001455</c:v>
                </c:pt>
                <c:pt idx="8">
                  <c:v>61.908333333332848</c:v>
                </c:pt>
                <c:pt idx="9">
                  <c:v>64.88749999999709</c:v>
                </c:pt>
                <c:pt idx="10">
                  <c:v>68.88749999999709</c:v>
                </c:pt>
                <c:pt idx="11">
                  <c:v>70.470833333332848</c:v>
                </c:pt>
                <c:pt idx="12">
                  <c:v>71.924305555556202</c:v>
                </c:pt>
                <c:pt idx="13">
                  <c:v>72.909027777779556</c:v>
                </c:pt>
                <c:pt idx="14">
                  <c:v>73.845833333332848</c:v>
                </c:pt>
                <c:pt idx="15">
                  <c:v>75.870833333334303</c:v>
                </c:pt>
                <c:pt idx="16">
                  <c:v>76.86250000000291</c:v>
                </c:pt>
                <c:pt idx="17">
                  <c:v>77.863194444442343</c:v>
                </c:pt>
                <c:pt idx="18">
                  <c:v>78.85624999999709</c:v>
                </c:pt>
                <c:pt idx="19">
                  <c:v>79.807638888887595</c:v>
                </c:pt>
                <c:pt idx="20">
                  <c:v>82.979861111110949</c:v>
                </c:pt>
                <c:pt idx="21">
                  <c:v>85.860416666662786</c:v>
                </c:pt>
                <c:pt idx="22">
                  <c:v>89.861111111109494</c:v>
                </c:pt>
                <c:pt idx="23">
                  <c:v>92.863888888889051</c:v>
                </c:pt>
                <c:pt idx="24">
                  <c:v>96.856944444443798</c:v>
                </c:pt>
                <c:pt idx="25">
                  <c:v>99.897222222221899</c:v>
                </c:pt>
                <c:pt idx="26">
                  <c:v>103.47083333333285</c:v>
                </c:pt>
                <c:pt idx="27">
                  <c:v>106.93541666666715</c:v>
                </c:pt>
                <c:pt idx="28">
                  <c:v>108.0222222222219</c:v>
                </c:pt>
                <c:pt idx="29">
                  <c:v>111.8659722222219</c:v>
                </c:pt>
                <c:pt idx="30">
                  <c:v>114.9111111111124</c:v>
                </c:pt>
                <c:pt idx="31">
                  <c:v>117.89166666666279</c:v>
                </c:pt>
                <c:pt idx="32">
                  <c:v>120.47083333333285</c:v>
                </c:pt>
                <c:pt idx="33">
                  <c:v>124.90555555555329</c:v>
                </c:pt>
                <c:pt idx="34">
                  <c:v>127.9111111111124</c:v>
                </c:pt>
                <c:pt idx="35">
                  <c:v>131.87569444444671</c:v>
                </c:pt>
                <c:pt idx="36">
                  <c:v>135.02430555555475</c:v>
                </c:pt>
                <c:pt idx="37">
                  <c:v>138.9020833333343</c:v>
                </c:pt>
                <c:pt idx="38">
                  <c:v>141.92638888888905</c:v>
                </c:pt>
                <c:pt idx="39">
                  <c:v>145.90416666666715</c:v>
                </c:pt>
                <c:pt idx="40">
                  <c:v>148.84166666666715</c:v>
                </c:pt>
                <c:pt idx="41">
                  <c:v>155.47083333333285</c:v>
                </c:pt>
                <c:pt idx="42">
                  <c:v>159.47083333333285</c:v>
                </c:pt>
              </c:numCache>
            </c:numRef>
          </c:xVal>
          <c:yVal>
            <c:numRef>
              <c:f>VFA!$AF$3:$AF$45</c:f>
              <c:numCache>
                <c:formatCode>0</c:formatCode>
                <c:ptCount val="43"/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18-40EF-AADC-92E3FB6C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368383"/>
        <c:axId val="547393343"/>
      </c:scatterChart>
      <c:valAx>
        <c:axId val="206911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03087"/>
        <c:crosses val="autoZero"/>
        <c:crossBetween val="midCat"/>
      </c:valAx>
      <c:valAx>
        <c:axId val="206910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12207"/>
        <c:crosses val="autoZero"/>
        <c:crossBetween val="midCat"/>
      </c:valAx>
      <c:valAx>
        <c:axId val="54739334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68383"/>
        <c:crosses val="max"/>
        <c:crossBetween val="midCat"/>
      </c:valAx>
      <c:valAx>
        <c:axId val="547368383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547393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57150</xdr:colOff>
      <xdr:row>37</xdr:row>
      <xdr:rowOff>17145</xdr:rowOff>
    </xdr:from>
    <xdr:to>
      <xdr:col>69</xdr:col>
      <xdr:colOff>249555</xdr:colOff>
      <xdr:row>51</xdr:row>
      <xdr:rowOff>78105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CD13E-38D7-8598-7313-DDB4E4200EEA}"/>
            </a:ext>
            <a:ext uri="{147F2762-F138-4A5C-976F-8EAC2B608ADB}">
              <a16:predDERef xmlns:a16="http://schemas.microsoft.com/office/drawing/2014/main" pred="{52AC3DE0-3672-44A0-18C2-14D51BC28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533400</xdr:colOff>
      <xdr:row>64</xdr:row>
      <xdr:rowOff>81915</xdr:rowOff>
    </xdr:from>
    <xdr:to>
      <xdr:col>99</xdr:col>
      <xdr:colOff>72390</xdr:colOff>
      <xdr:row>83</xdr:row>
      <xdr:rowOff>62865</xdr:rowOff>
    </xdr:to>
    <xdr:graphicFrame macro="">
      <xdr:nvGraphicFramePr>
        <xdr:cNvPr id="15" name="Chart 3">
          <a:extLst>
            <a:ext uri="{FF2B5EF4-FFF2-40B4-BE49-F238E27FC236}">
              <a16:creationId xmlns:a16="http://schemas.microsoft.com/office/drawing/2014/main" id="{25880B77-A9A3-4E04-8C39-50B9278DBA6C}"/>
            </a:ext>
            <a:ext uri="{147F2762-F138-4A5C-976F-8EAC2B608ADB}">
              <a16:predDERef xmlns:a16="http://schemas.microsoft.com/office/drawing/2014/main" pred="{A9BCD13E-38D7-8598-7313-DDB4E4200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57150</xdr:colOff>
      <xdr:row>71</xdr:row>
      <xdr:rowOff>85725</xdr:rowOff>
    </xdr:from>
    <xdr:to>
      <xdr:col>88</xdr:col>
      <xdr:colOff>386715</xdr:colOff>
      <xdr:row>92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29A594-0F3B-492F-AA28-AA1BA54E5754}"/>
            </a:ext>
            <a:ext uri="{147F2762-F138-4A5C-976F-8EAC2B608ADB}">
              <a16:predDERef xmlns:a16="http://schemas.microsoft.com/office/drawing/2014/main" pred="{25880B77-A9A3-4E04-8C39-50B9278DB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813824</xdr:colOff>
      <xdr:row>154</xdr:row>
      <xdr:rowOff>45065</xdr:rowOff>
    </xdr:from>
    <xdr:to>
      <xdr:col>57</xdr:col>
      <xdr:colOff>128024</xdr:colOff>
      <xdr:row>179</xdr:row>
      <xdr:rowOff>86034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F56F9234-0344-4ADA-9F77-11F4C731CAAB}"/>
            </a:ext>
            <a:ext uri="{147F2762-F138-4A5C-976F-8EAC2B608ADB}">
              <a16:predDERef xmlns:a16="http://schemas.microsoft.com/office/drawing/2014/main" pred="{4529A594-0F3B-492F-AA28-AA1BA54E5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885825</xdr:colOff>
      <xdr:row>0</xdr:row>
      <xdr:rowOff>-21326475</xdr:rowOff>
    </xdr:from>
    <xdr:to>
      <xdr:col>38</xdr:col>
      <xdr:colOff>923925</xdr:colOff>
      <xdr:row>0</xdr:row>
      <xdr:rowOff>-16897350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94CDF7-B1B3-460F-ACE2-5B000B91E469}"/>
            </a:ext>
            <a:ext uri="{147F2762-F138-4A5C-976F-8EAC2B608ADB}">
              <a16:predDERef xmlns:a16="http://schemas.microsoft.com/office/drawing/2014/main" pred="{F56F9234-0344-4ADA-9F77-11F4C731C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1010059</xdr:colOff>
      <xdr:row>146</xdr:row>
      <xdr:rowOff>136627</xdr:rowOff>
    </xdr:from>
    <xdr:to>
      <xdr:col>53</xdr:col>
      <xdr:colOff>933244</xdr:colOff>
      <xdr:row>165</xdr:row>
      <xdr:rowOff>108052</xdr:rowOff>
    </xdr:to>
    <xdr:graphicFrame macro="">
      <xdr:nvGraphicFramePr>
        <xdr:cNvPr id="19" name="Chart 6">
          <a:extLst>
            <a:ext uri="{FF2B5EF4-FFF2-40B4-BE49-F238E27FC236}">
              <a16:creationId xmlns:a16="http://schemas.microsoft.com/office/drawing/2014/main" id="{A135ECF4-B94A-4694-B0A7-39DFFEE8AE94}"/>
            </a:ext>
            <a:ext uri="{147F2762-F138-4A5C-976F-8EAC2B608ADB}">
              <a16:predDERef xmlns:a16="http://schemas.microsoft.com/office/drawing/2014/main" pred="{6594CDF7-B1B3-460F-ACE2-5B000B91E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332863</xdr:colOff>
      <xdr:row>186</xdr:row>
      <xdr:rowOff>51210</xdr:rowOff>
    </xdr:from>
    <xdr:to>
      <xdr:col>56</xdr:col>
      <xdr:colOff>440813</xdr:colOff>
      <xdr:row>211</xdr:row>
      <xdr:rowOff>92179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00F23-9AB2-427C-97DD-EF4CD7D2207B}"/>
            </a:ext>
            <a:ext uri="{147F2762-F138-4A5C-976F-8EAC2B608ADB}">
              <a16:predDERef xmlns:a16="http://schemas.microsoft.com/office/drawing/2014/main" pred="{A135ECF4-B94A-4694-B0A7-39DFFEE8A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320040</xdr:colOff>
      <xdr:row>13</xdr:row>
      <xdr:rowOff>22860</xdr:rowOff>
    </xdr:from>
    <xdr:to>
      <xdr:col>78</xdr:col>
      <xdr:colOff>205740</xdr:colOff>
      <xdr:row>32</xdr:row>
      <xdr:rowOff>106680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3F97908-8A4A-44C6-8136-7B2EB361E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431482</xdr:colOff>
      <xdr:row>59</xdr:row>
      <xdr:rowOff>5715</xdr:rowOff>
    </xdr:from>
    <xdr:to>
      <xdr:col>80</xdr:col>
      <xdr:colOff>565785</xdr:colOff>
      <xdr:row>82</xdr:row>
      <xdr:rowOff>154305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4FA0B9-B8FE-4933-973E-3E8CC4DFBB64}"/>
            </a:ext>
            <a:ext uri="{147F2762-F138-4A5C-976F-8EAC2B608ADB}">
              <a16:predDERef xmlns:a16="http://schemas.microsoft.com/office/drawing/2014/main" pred="{715BE1B4-48E8-A499-58A4-519A33E43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533400</xdr:colOff>
      <xdr:row>30</xdr:row>
      <xdr:rowOff>106680</xdr:rowOff>
    </xdr:from>
    <xdr:to>
      <xdr:col>84</xdr:col>
      <xdr:colOff>31433</xdr:colOff>
      <xdr:row>54</xdr:row>
      <xdr:rowOff>102870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B2A8D5-AEA4-47E1-9BD2-64F795FF5F62}"/>
            </a:ext>
            <a:ext uri="{147F2762-F138-4A5C-976F-8EAC2B608ADB}">
              <a16:predDERef xmlns:a16="http://schemas.microsoft.com/office/drawing/2014/main" pred="{8A1E7DCE-DC7C-443C-BC27-3CED9EFC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127635</xdr:colOff>
      <xdr:row>49</xdr:row>
      <xdr:rowOff>129540</xdr:rowOff>
    </xdr:from>
    <xdr:to>
      <xdr:col>84</xdr:col>
      <xdr:colOff>166688</xdr:colOff>
      <xdr:row>73</xdr:row>
      <xdr:rowOff>125730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087952-0D14-4402-A814-360274543166}"/>
            </a:ext>
            <a:ext uri="{147F2762-F138-4A5C-976F-8EAC2B608ADB}">
              <a16:predDERef xmlns:a16="http://schemas.microsoft.com/office/drawing/2014/main" pred="{22B2A8D5-AEA4-47E1-9BD2-64F795FF5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398629</xdr:colOff>
      <xdr:row>2</xdr:row>
      <xdr:rowOff>73116</xdr:rowOff>
    </xdr:from>
    <xdr:to>
      <xdr:col>37</xdr:col>
      <xdr:colOff>148735</xdr:colOff>
      <xdr:row>26</xdr:row>
      <xdr:rowOff>63591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88EC0-11B6-C316-8B49-DE133005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534575</xdr:colOff>
      <xdr:row>54</xdr:row>
      <xdr:rowOff>105380</xdr:rowOff>
    </xdr:from>
    <xdr:to>
      <xdr:col>64</xdr:col>
      <xdr:colOff>391391</xdr:colOff>
      <xdr:row>90</xdr:row>
      <xdr:rowOff>165444</xdr:rowOff>
    </xdr:to>
    <xdr:graphicFrame macro="">
      <xdr:nvGraphicFramePr>
        <xdr:cNvPr id="13" name="Chart 1">
          <a:extLst>
            <a:ext uri="{FF2B5EF4-FFF2-40B4-BE49-F238E27FC236}">
              <a16:creationId xmlns:a16="http://schemas.microsoft.com/office/drawing/2014/main" id="{87A0EECE-5533-44C9-83A3-2388507DC455}"/>
            </a:ext>
            <a:ext uri="{147F2762-F138-4A5C-976F-8EAC2B608ADB}">
              <a16:predDERef xmlns:a16="http://schemas.microsoft.com/office/drawing/2014/main" pred="{3CA367D0-748B-46C4-97FA-4E448271C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50557</xdr:colOff>
      <xdr:row>16</xdr:row>
      <xdr:rowOff>98019</xdr:rowOff>
    </xdr:from>
    <xdr:to>
      <xdr:col>64</xdr:col>
      <xdr:colOff>514153</xdr:colOff>
      <xdr:row>55</xdr:row>
      <xdr:rowOff>112621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DE1CED34-D25C-4000-974C-6F4AF347038D}"/>
            </a:ext>
            <a:ext uri="{147F2762-F138-4A5C-976F-8EAC2B608ADB}">
              <a16:predDERef xmlns:a16="http://schemas.microsoft.com/office/drawing/2014/main" pred="{87A0EECE-5533-44C9-83A3-2388507DC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114175</xdr:colOff>
      <xdr:row>3</xdr:row>
      <xdr:rowOff>133301</xdr:rowOff>
    </xdr:from>
    <xdr:to>
      <xdr:col>89</xdr:col>
      <xdr:colOff>435430</xdr:colOff>
      <xdr:row>42</xdr:row>
      <xdr:rowOff>172668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3F1CBC3-17F8-4183-B258-5496BF66D14E}"/>
            </a:ext>
            <a:ext uri="{147F2762-F138-4A5C-976F-8EAC2B608ADB}">
              <a16:predDERef xmlns:a16="http://schemas.microsoft.com/office/drawing/2014/main" pred="{E684BAC9-5029-487D-966B-13260236D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567888</xdr:colOff>
      <xdr:row>55</xdr:row>
      <xdr:rowOff>136939</xdr:rowOff>
    </xdr:from>
    <xdr:to>
      <xdr:col>109</xdr:col>
      <xdr:colOff>364467</xdr:colOff>
      <xdr:row>101</xdr:row>
      <xdr:rowOff>128176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155AF12-9AB3-4771-89B2-DD5A88CFEF4D}"/>
            </a:ext>
            <a:ext uri="{147F2762-F138-4A5C-976F-8EAC2B608ADB}">
              <a16:predDERef xmlns:a16="http://schemas.microsoft.com/office/drawing/2014/main" pred="{BF7FBEF4-C140-454A-B5C2-56E2C6766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387670</xdr:colOff>
      <xdr:row>24</xdr:row>
      <xdr:rowOff>88260</xdr:rowOff>
    </xdr:from>
    <xdr:to>
      <xdr:col>39</xdr:col>
      <xdr:colOff>236811</xdr:colOff>
      <xdr:row>48</xdr:row>
      <xdr:rowOff>49525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E156FAC-8053-4947-BAFD-19D8246FF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291354</xdr:colOff>
      <xdr:row>42</xdr:row>
      <xdr:rowOff>28461</xdr:rowOff>
    </xdr:from>
    <xdr:to>
      <xdr:col>38</xdr:col>
      <xdr:colOff>435741</xdr:colOff>
      <xdr:row>78</xdr:row>
      <xdr:rowOff>97715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3B8CA7-6383-CA2D-7368-7E7CB76B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0.20821</cdr:x>
      <cdr:y>0.37774</cdr:y>
    </cdr:from>
    <cdr:to>
      <cdr:x>0.31818</cdr:x>
      <cdr:y>0.43107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367334B-1C56-E448-C030-C795FA1C7E7F}"/>
            </a:ext>
          </a:extLst>
        </cdr:cNvPr>
        <cdr:cNvSpPr txBox="1"/>
      </cdr:nvSpPr>
      <cdr:spPr>
        <a:xfrm xmlns:a="http://schemas.openxmlformats.org/drawingml/2006/main">
          <a:off x="2241831" y="2377707"/>
          <a:ext cx="1184077" cy="33569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kern="1200"/>
            <a:t>Avg: 99%</a:t>
          </a:r>
        </a:p>
      </cdr:txBody>
    </cdr:sp>
  </cdr:relSizeAnchor>
  <cdr:relSizeAnchor xmlns:cdr="http://schemas.openxmlformats.org/drawingml/2006/chartDrawing">
    <cdr:from>
      <cdr:x>0.20692</cdr:x>
      <cdr:y>0.46853</cdr:y>
    </cdr:from>
    <cdr:to>
      <cdr:x>0.31947</cdr:x>
      <cdr:y>0.51604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2D67A52-5863-EC7E-99D8-F421F629842B}"/>
            </a:ext>
          </a:extLst>
        </cdr:cNvPr>
        <cdr:cNvSpPr txBox="1"/>
      </cdr:nvSpPr>
      <cdr:spPr>
        <a:xfrm xmlns:a="http://schemas.openxmlformats.org/drawingml/2006/main">
          <a:off x="2227942" y="2949204"/>
          <a:ext cx="1211857" cy="29905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kern="1200"/>
            <a:t>Avg: 90%</a:t>
          </a:r>
        </a:p>
      </cdr:txBody>
    </cdr:sp>
  </cdr:relSizeAnchor>
  <cdr:relSizeAnchor xmlns:cdr="http://schemas.openxmlformats.org/drawingml/2006/chartDrawing">
    <cdr:from>
      <cdr:x>0.26319</cdr:x>
      <cdr:y>0.33542</cdr:y>
    </cdr:from>
    <cdr:to>
      <cdr:x>0.28651</cdr:x>
      <cdr:y>0.37774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955FD20F-305C-6C76-5F69-9689401765DC}"/>
            </a:ext>
          </a:extLst>
        </cdr:cNvPr>
        <cdr:cNvCxnSpPr>
          <a:stCxn xmlns:a="http://schemas.openxmlformats.org/drawingml/2006/main" id="2" idx="0"/>
        </cdr:cNvCxnSpPr>
      </cdr:nvCxnSpPr>
      <cdr:spPr>
        <a:xfrm xmlns:a="http://schemas.openxmlformats.org/drawingml/2006/main" flipV="1">
          <a:off x="2833870" y="2111348"/>
          <a:ext cx="251055" cy="266359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0.26319</cdr:x>
      <cdr:y>0.51604</cdr:y>
    </cdr:from>
    <cdr:to>
      <cdr:x>0.31064</cdr:x>
      <cdr:y>0.56378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CC53D37F-C555-2393-C1B4-94BCBC534BAA}"/>
            </a:ext>
          </a:extLst>
        </cdr:cNvPr>
        <cdr:cNvCxnSpPr>
          <a:stCxn xmlns:a="http://schemas.openxmlformats.org/drawingml/2006/main" id="3" idx="2"/>
        </cdr:cNvCxnSpPr>
      </cdr:nvCxnSpPr>
      <cdr:spPr>
        <a:xfrm xmlns:a="http://schemas.openxmlformats.org/drawingml/2006/main">
          <a:off x="2833871" y="3248260"/>
          <a:ext cx="510826" cy="300497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0.22323</cdr:x>
      <cdr:y>0.39362</cdr:y>
    </cdr:from>
    <cdr:to>
      <cdr:x>0.30581</cdr:x>
      <cdr:y>0.44695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367334B-1C56-E448-C030-C795FA1C7E7F}"/>
            </a:ext>
          </a:extLst>
        </cdr:cNvPr>
        <cdr:cNvSpPr txBox="1"/>
      </cdr:nvSpPr>
      <cdr:spPr>
        <a:xfrm xmlns:a="http://schemas.openxmlformats.org/drawingml/2006/main">
          <a:off x="3047291" y="3031613"/>
          <a:ext cx="1127401" cy="41074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 kern="1200"/>
            <a:t>Avg: 98%</a:t>
          </a:r>
        </a:p>
      </cdr:txBody>
    </cdr:sp>
  </cdr:relSizeAnchor>
  <cdr:relSizeAnchor xmlns:cdr="http://schemas.openxmlformats.org/drawingml/2006/chartDrawing">
    <cdr:from>
      <cdr:x>0.3266</cdr:x>
      <cdr:y>0.52973</cdr:y>
    </cdr:from>
    <cdr:to>
      <cdr:x>0.41048</cdr:x>
      <cdr:y>0.57507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2D67A52-5863-EC7E-99D8-F421F629842B}"/>
            </a:ext>
          </a:extLst>
        </cdr:cNvPr>
        <cdr:cNvSpPr txBox="1"/>
      </cdr:nvSpPr>
      <cdr:spPr>
        <a:xfrm xmlns:a="http://schemas.openxmlformats.org/drawingml/2006/main">
          <a:off x="4458431" y="4079920"/>
          <a:ext cx="1145011" cy="34920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kern="1200"/>
            <a:t>Avg: 90%</a:t>
          </a:r>
        </a:p>
      </cdr:txBody>
    </cdr:sp>
  </cdr:relSizeAnchor>
  <cdr:relSizeAnchor xmlns:cdr="http://schemas.openxmlformats.org/drawingml/2006/chartDrawing">
    <cdr:from>
      <cdr:x>0.26452</cdr:x>
      <cdr:y>0.31965</cdr:y>
    </cdr:from>
    <cdr:to>
      <cdr:x>0.33708</cdr:x>
      <cdr:y>0.39362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955FD20F-305C-6C76-5F69-9689401765DC}"/>
            </a:ext>
          </a:extLst>
        </cdr:cNvPr>
        <cdr:cNvCxnSpPr>
          <a:stCxn xmlns:a="http://schemas.openxmlformats.org/drawingml/2006/main" id="2" idx="0"/>
        </cdr:cNvCxnSpPr>
      </cdr:nvCxnSpPr>
      <cdr:spPr>
        <a:xfrm xmlns:a="http://schemas.openxmlformats.org/drawingml/2006/main" flipV="1">
          <a:off x="3610992" y="2461903"/>
          <a:ext cx="990472" cy="569710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0.36854</cdr:x>
      <cdr:y>0.48438</cdr:y>
    </cdr:from>
    <cdr:to>
      <cdr:x>0.39303</cdr:x>
      <cdr:y>0.52973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CC53D37F-C555-2393-C1B4-94BCBC534BAA}"/>
            </a:ext>
          </a:extLst>
        </cdr:cNvPr>
        <cdr:cNvCxnSpPr>
          <a:stCxn xmlns:a="http://schemas.openxmlformats.org/drawingml/2006/main" id="3" idx="0"/>
        </cdr:cNvCxnSpPr>
      </cdr:nvCxnSpPr>
      <cdr:spPr>
        <a:xfrm xmlns:a="http://schemas.openxmlformats.org/drawingml/2006/main" flipV="1">
          <a:off x="5030937" y="3730625"/>
          <a:ext cx="334380" cy="349295"/>
        </a:xfrm>
        <a:prstGeom xmlns:a="http://schemas.openxmlformats.org/drawingml/2006/main" prst="straightConnector1">
          <a:avLst/>
        </a:prstGeom>
        <a:ln xmlns:a="http://schemas.openxmlformats.org/drawingml/2006/main" w="127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0.6181</cdr:x>
      <cdr:y>0.46791</cdr:y>
    </cdr:from>
    <cdr:to>
      <cdr:x>0.81286</cdr:x>
      <cdr:y>0.52564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367334B-1C56-E448-C030-C795FA1C7E7F}"/>
            </a:ext>
          </a:extLst>
        </cdr:cNvPr>
        <cdr:cNvSpPr txBox="1"/>
      </cdr:nvSpPr>
      <cdr:spPr>
        <a:xfrm xmlns:a="http://schemas.openxmlformats.org/drawingml/2006/main">
          <a:off x="9564939" y="3178752"/>
          <a:ext cx="3013780" cy="392158"/>
        </a:xfrm>
        <a:prstGeom xmlns:a="http://schemas.openxmlformats.org/drawingml/2006/main" prst="rect">
          <a:avLst/>
        </a:prstGeom>
        <a:ln xmlns:a="http://schemas.openxmlformats.org/drawingml/2006/main" w="254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kern="1200"/>
            <a:t>Based </a:t>
          </a:r>
          <a:r>
            <a:rPr lang="en-US" sz="2000" kern="1200" baseline="0"/>
            <a:t>on</a:t>
          </a:r>
          <a:r>
            <a:rPr lang="en-US" sz="2000" kern="1200"/>
            <a:t> H</a:t>
          </a:r>
          <a:r>
            <a:rPr lang="en-US" sz="2000" kern="1200" baseline="-25000"/>
            <a:t>2</a:t>
          </a:r>
          <a:r>
            <a:rPr lang="en-US" sz="2000" kern="1200" baseline="0"/>
            <a:t> in product gas</a:t>
          </a:r>
          <a:endParaRPr lang="en-US" sz="2000" kern="1200"/>
        </a:p>
      </cdr:txBody>
    </cdr:sp>
  </cdr:relSizeAnchor>
  <cdr:relSizeAnchor xmlns:cdr="http://schemas.openxmlformats.org/drawingml/2006/chartDrawing">
    <cdr:from>
      <cdr:x>0.42929</cdr:x>
      <cdr:y>0.31588</cdr:y>
    </cdr:from>
    <cdr:to>
      <cdr:x>0.61589</cdr:x>
      <cdr:y>0.37713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2D67A52-5863-EC7E-99D8-F421F629842B}"/>
            </a:ext>
          </a:extLst>
        </cdr:cNvPr>
        <cdr:cNvSpPr txBox="1"/>
      </cdr:nvSpPr>
      <cdr:spPr>
        <a:xfrm xmlns:a="http://schemas.openxmlformats.org/drawingml/2006/main">
          <a:off x="6643042" y="2145888"/>
          <a:ext cx="2887677" cy="4161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kern="1200"/>
            <a:t>Based on CH</a:t>
          </a:r>
          <a:r>
            <a:rPr lang="en-US" sz="2000" kern="1200" baseline="-25000"/>
            <a:t>4</a:t>
          </a:r>
          <a:r>
            <a:rPr lang="en-US" sz="2000" kern="1200" baseline="0"/>
            <a:t> production</a:t>
          </a:r>
          <a:endParaRPr lang="en-US" sz="2000" kern="1200"/>
        </a:p>
      </cdr:txBody>
    </cdr:sp>
  </cdr:relSizeAnchor>
  <cdr:relSizeAnchor xmlns:cdr="http://schemas.openxmlformats.org/drawingml/2006/chartDrawing">
    <cdr:from>
      <cdr:x>0.71548</cdr:x>
      <cdr:y>0.52564</cdr:y>
    </cdr:from>
    <cdr:to>
      <cdr:x>0.748</cdr:x>
      <cdr:y>0.61313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955FD20F-305C-6C76-5F69-9689401765DC}"/>
            </a:ext>
          </a:extLst>
        </cdr:cNvPr>
        <cdr:cNvCxnSpPr>
          <a:stCxn xmlns:a="http://schemas.openxmlformats.org/drawingml/2006/main" id="2" idx="2"/>
        </cdr:cNvCxnSpPr>
      </cdr:nvCxnSpPr>
      <cdr:spPr>
        <a:xfrm xmlns:a="http://schemas.openxmlformats.org/drawingml/2006/main">
          <a:off x="11071829" y="3570910"/>
          <a:ext cx="503194" cy="594366"/>
        </a:xfrm>
        <a:prstGeom xmlns:a="http://schemas.openxmlformats.org/drawingml/2006/main" prst="straightConnector1">
          <a:avLst/>
        </a:prstGeom>
        <a:ln xmlns:a="http://schemas.openxmlformats.org/drawingml/2006/main" w="381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0.38983</cdr:x>
      <cdr:y>0.3465</cdr:y>
    </cdr:from>
    <cdr:to>
      <cdr:x>0.42929</cdr:x>
      <cdr:y>0.38379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CC53D37F-C555-2393-C1B4-94BCBC534BAA}"/>
            </a:ext>
          </a:extLst>
        </cdr:cNvPr>
        <cdr:cNvCxnSpPr>
          <a:stCxn xmlns:a="http://schemas.openxmlformats.org/drawingml/2006/main" id="3" idx="1"/>
        </cdr:cNvCxnSpPr>
      </cdr:nvCxnSpPr>
      <cdr:spPr>
        <a:xfrm xmlns:a="http://schemas.openxmlformats.org/drawingml/2006/main" flipH="1">
          <a:off x="6032445" y="2353938"/>
          <a:ext cx="610597" cy="253314"/>
        </a:xfrm>
        <a:prstGeom xmlns:a="http://schemas.openxmlformats.org/drawingml/2006/main" prst="straightConnector1">
          <a:avLst/>
        </a:prstGeom>
        <a:ln xmlns:a="http://schemas.openxmlformats.org/drawingml/2006/main" w="38100">
          <a:solidFill>
            <a:sysClr val="windowText" lastClr="00000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1735455</xdr:colOff>
      <xdr:row>10</xdr:row>
      <xdr:rowOff>234315</xdr:rowOff>
    </xdr:from>
    <xdr:to>
      <xdr:col>29</xdr:col>
      <xdr:colOff>606758</xdr:colOff>
      <xdr:row>31</xdr:row>
      <xdr:rowOff>56600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C90594-6B94-45C4-8DD2-39F362EA7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18055" y="3034665"/>
          <a:ext cx="7377128" cy="43542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53346</xdr:rowOff>
    </xdr:from>
    <xdr:to>
      <xdr:col>4</xdr:col>
      <xdr:colOff>1045845</xdr:colOff>
      <xdr:row>30</xdr:row>
      <xdr:rowOff>144786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9CCC1-2537-E64F-69BB-536F3B5E8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243504</xdr:colOff>
      <xdr:row>11</xdr:row>
      <xdr:rowOff>42806</xdr:rowOff>
    </xdr:from>
    <xdr:to>
      <xdr:col>41</xdr:col>
      <xdr:colOff>598058</xdr:colOff>
      <xdr:row>25</xdr:row>
      <xdr:rowOff>128531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1AEA8D-FF1A-E992-509C-C0731B6E8CB7}"/>
            </a:ext>
            <a:ext uri="{147F2762-F138-4A5C-976F-8EAC2B608ADB}">
              <a16:predDERef xmlns:a16="http://schemas.microsoft.com/office/drawing/2014/main" pred="{FFF9CCC1-2537-E64F-69BB-536F3B5E8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226695</xdr:colOff>
      <xdr:row>119</xdr:row>
      <xdr:rowOff>129540</xdr:rowOff>
    </xdr:from>
    <xdr:to>
      <xdr:col>21</xdr:col>
      <xdr:colOff>687705</xdr:colOff>
      <xdr:row>134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8E2788-BCC9-4DDF-A2D0-ACE6CC98CA1D}"/>
            </a:ext>
            <a:ext uri="{147F2762-F138-4A5C-976F-8EAC2B608ADB}">
              <a16:predDERef xmlns:a16="http://schemas.microsoft.com/office/drawing/2014/main" pred="{AC1AEA8D-FF1A-E992-509C-C0731B6E8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43A3E-D7B4-4566-A083-A5B3DA2DBA67}">
  <dimension ref="A1:BJ185"/>
  <sheetViews>
    <sheetView zoomScale="93" workbookViewId="0">
      <pane ySplit="2" topLeftCell="A3" activePane="bottomLeft" state="frozen"/>
      <selection activeCell="S9" sqref="S9"/>
      <selection pane="bottomLeft" activeCell="B28" sqref="B28"/>
    </sheetView>
  </sheetViews>
  <sheetFormatPr defaultRowHeight="15" customHeight="1" x14ac:dyDescent="0.3"/>
  <cols>
    <col min="1" max="1" width="23.6640625" customWidth="1"/>
    <col min="2" max="2" width="22.6640625" customWidth="1"/>
    <col min="3" max="3" width="21.6640625" customWidth="1"/>
    <col min="4" max="4" width="18.33203125" customWidth="1"/>
    <col min="5" max="5" width="20" customWidth="1"/>
    <col min="6" max="6" width="17.44140625" customWidth="1"/>
    <col min="7" max="7" width="19.109375" customWidth="1"/>
    <col min="8" max="8" width="14.6640625" customWidth="1"/>
    <col min="9" max="10" width="15.5546875" customWidth="1"/>
    <col min="11" max="11" width="9.109375" customWidth="1"/>
    <col min="12" max="12" width="9.109375" style="21" customWidth="1"/>
    <col min="13" max="14" width="9.109375" style="10" customWidth="1"/>
    <col min="15" max="15" width="9.109375" style="21" customWidth="1"/>
    <col min="16" max="17" width="9.109375" style="10" customWidth="1"/>
    <col min="18" max="18" width="9.109375" style="21" customWidth="1"/>
    <col min="19" max="20" width="9.109375" style="10" customWidth="1"/>
    <col min="21" max="21" width="9.109375" style="21" customWidth="1"/>
    <col min="22" max="22" width="9.109375" style="10" customWidth="1"/>
    <col min="23" max="23" width="9.109375" style="21" customWidth="1"/>
    <col min="24" max="24" width="9.109375" style="10" customWidth="1"/>
    <col min="25" max="25" width="9.109375" style="21" customWidth="1"/>
    <col min="26" max="26" width="9.109375" style="22" customWidth="1"/>
    <col min="27" max="46" width="15.5546875" customWidth="1"/>
    <col min="47" max="47" width="35.109375" customWidth="1"/>
    <col min="48" max="48" width="16.5546875" customWidth="1"/>
    <col min="49" max="49" width="10.33203125" customWidth="1"/>
    <col min="50" max="50" width="14" customWidth="1"/>
    <col min="51" max="51" width="15.33203125" customWidth="1"/>
    <col min="53" max="53" width="11.6640625" customWidth="1"/>
    <col min="54" max="54" width="23.109375" customWidth="1"/>
    <col min="55" max="55" width="20" customWidth="1"/>
    <col min="56" max="56" width="11.6640625" customWidth="1"/>
    <col min="57" max="57" width="11.109375" customWidth="1"/>
  </cols>
  <sheetData>
    <row r="1" spans="1:62" ht="15" customHeight="1" x14ac:dyDescent="0.3">
      <c r="A1" t="s">
        <v>0</v>
      </c>
      <c r="B1">
        <v>0.45</v>
      </c>
      <c r="C1" t="s">
        <v>1</v>
      </c>
      <c r="D1">
        <v>0.14510000000000001</v>
      </c>
      <c r="E1" t="s">
        <v>2</v>
      </c>
      <c r="G1" t="s">
        <v>3</v>
      </c>
      <c r="H1">
        <v>0.155</v>
      </c>
      <c r="I1" t="s">
        <v>4</v>
      </c>
      <c r="J1">
        <f>0.011</f>
        <v>1.0999999999999999E-2</v>
      </c>
      <c r="O1" s="21">
        <f>MAX(O95:O138)</f>
        <v>98.954599999999999</v>
      </c>
      <c r="U1" s="22"/>
      <c r="V1" s="22">
        <f>AVERAGE(V8:V181)</f>
        <v>0.31643518792379233</v>
      </c>
      <c r="W1" s="22"/>
      <c r="X1" s="22">
        <f>AVERAGE(X8:X181)</f>
        <v>0.42958081417065008</v>
      </c>
      <c r="Y1" s="22"/>
      <c r="Z1" s="22">
        <f>AVERAGE(Z8:Z181)</f>
        <v>0.47506796823905839</v>
      </c>
      <c r="AA1" t="s">
        <v>5</v>
      </c>
    </row>
    <row r="2" spans="1:62" ht="58.2" x14ac:dyDescent="0.35">
      <c r="A2" s="3"/>
      <c r="B2" s="3"/>
      <c r="C2" s="3"/>
      <c r="D2" s="3" t="s">
        <v>6</v>
      </c>
      <c r="E2" s="3"/>
      <c r="F2" s="12" t="s">
        <v>7</v>
      </c>
      <c r="G2" s="3"/>
      <c r="H2" s="3" t="s">
        <v>8</v>
      </c>
      <c r="I2" s="3"/>
      <c r="J2" s="3" t="s">
        <v>9</v>
      </c>
      <c r="K2" s="3" t="s">
        <v>10</v>
      </c>
      <c r="L2" s="23" t="s">
        <v>11</v>
      </c>
      <c r="M2" s="24"/>
      <c r="N2" s="24"/>
      <c r="O2" s="23" t="s">
        <v>12</v>
      </c>
      <c r="P2" s="24"/>
      <c r="Q2" s="24"/>
      <c r="R2" s="23" t="s">
        <v>13</v>
      </c>
      <c r="S2" s="24"/>
      <c r="T2" s="24"/>
      <c r="U2" s="23" t="s">
        <v>14</v>
      </c>
      <c r="V2" s="24"/>
      <c r="W2" s="23" t="s">
        <v>15</v>
      </c>
      <c r="X2" s="24"/>
      <c r="Y2" s="23" t="s">
        <v>16</v>
      </c>
      <c r="Z2" s="25"/>
      <c r="AA2" s="12" t="s">
        <v>17</v>
      </c>
      <c r="AB2" s="12" t="s">
        <v>18</v>
      </c>
      <c r="AC2" s="12" t="s">
        <v>19</v>
      </c>
      <c r="AD2" s="12" t="s">
        <v>20</v>
      </c>
      <c r="AE2" s="23" t="s">
        <v>11</v>
      </c>
      <c r="AF2" s="24"/>
      <c r="AG2" s="24"/>
      <c r="AH2" s="23" t="s">
        <v>12</v>
      </c>
      <c r="AI2" s="24"/>
      <c r="AJ2" s="24"/>
      <c r="AK2" s="23" t="s">
        <v>13</v>
      </c>
      <c r="AL2" s="24"/>
      <c r="AM2" s="24"/>
      <c r="AN2" s="23" t="s">
        <v>14</v>
      </c>
      <c r="AO2" s="24"/>
      <c r="AP2" s="23" t="s">
        <v>15</v>
      </c>
      <c r="AQ2" s="24"/>
      <c r="AR2" s="23" t="s">
        <v>16</v>
      </c>
      <c r="AS2" s="25"/>
      <c r="AT2" s="3"/>
      <c r="AU2" s="3"/>
      <c r="AV2" s="3"/>
      <c r="AW2" s="3" t="s">
        <v>21</v>
      </c>
      <c r="AX2" s="3"/>
      <c r="AY2" s="3"/>
      <c r="BA2" s="3" t="s">
        <v>22</v>
      </c>
      <c r="BB2" s="3"/>
      <c r="BC2" s="3"/>
      <c r="BD2" s="3"/>
      <c r="BE2" t="s">
        <v>11</v>
      </c>
      <c r="BG2" t="s">
        <v>12</v>
      </c>
      <c r="BI2" t="s">
        <v>13</v>
      </c>
    </row>
    <row r="3" spans="1:62" ht="28.8" x14ac:dyDescent="0.3">
      <c r="A3" s="3" t="s">
        <v>23</v>
      </c>
      <c r="B3" s="3" t="s">
        <v>24</v>
      </c>
      <c r="C3" s="3" t="s">
        <v>25</v>
      </c>
      <c r="D3" s="3" t="s">
        <v>26</v>
      </c>
      <c r="E3" s="3" t="s">
        <v>27</v>
      </c>
      <c r="F3" s="106"/>
      <c r="G3" s="12" t="s">
        <v>28</v>
      </c>
      <c r="H3" s="3" t="s">
        <v>26</v>
      </c>
      <c r="I3" s="3" t="s">
        <v>27</v>
      </c>
      <c r="J3" s="3"/>
      <c r="K3" s="3"/>
      <c r="L3" s="26">
        <v>1</v>
      </c>
      <c r="M3" s="27">
        <v>2</v>
      </c>
      <c r="N3" s="27">
        <v>3</v>
      </c>
      <c r="O3" s="26">
        <v>1</v>
      </c>
      <c r="P3" s="27">
        <v>2</v>
      </c>
      <c r="Q3" s="27">
        <v>3</v>
      </c>
      <c r="R3" s="26">
        <v>1</v>
      </c>
      <c r="S3" s="27">
        <v>2</v>
      </c>
      <c r="T3" s="27">
        <v>3</v>
      </c>
      <c r="U3" s="26" t="s">
        <v>29</v>
      </c>
      <c r="V3" s="27" t="s">
        <v>30</v>
      </c>
      <c r="W3" s="26" t="s">
        <v>29</v>
      </c>
      <c r="X3" s="27" t="s">
        <v>30</v>
      </c>
      <c r="Y3" s="26" t="s">
        <v>29</v>
      </c>
      <c r="Z3" s="28" t="s">
        <v>30</v>
      </c>
      <c r="AA3" s="3"/>
      <c r="AB3" s="3"/>
      <c r="AC3" s="3"/>
      <c r="AD3" s="3"/>
      <c r="AE3" s="26">
        <v>1</v>
      </c>
      <c r="AF3" s="27">
        <v>2</v>
      </c>
      <c r="AG3" s="27">
        <v>3</v>
      </c>
      <c r="AH3" s="26">
        <v>1</v>
      </c>
      <c r="AI3" s="27">
        <v>2</v>
      </c>
      <c r="AJ3" s="27">
        <v>3</v>
      </c>
      <c r="AK3" s="26">
        <v>1</v>
      </c>
      <c r="AL3" s="27">
        <v>2</v>
      </c>
      <c r="AM3" s="27">
        <v>3</v>
      </c>
      <c r="AN3" s="26" t="s">
        <v>29</v>
      </c>
      <c r="AO3" s="27" t="s">
        <v>30</v>
      </c>
      <c r="AP3" s="26" t="s">
        <v>29</v>
      </c>
      <c r="AQ3" s="27" t="s">
        <v>30</v>
      </c>
      <c r="AR3" s="26" t="s">
        <v>29</v>
      </c>
      <c r="AS3" s="28" t="s">
        <v>30</v>
      </c>
      <c r="AT3" s="3"/>
      <c r="AU3" s="3" t="s">
        <v>31</v>
      </c>
      <c r="AV3" s="3" t="s">
        <v>32</v>
      </c>
      <c r="AW3" s="3" t="s">
        <v>33</v>
      </c>
      <c r="AX3" s="3" t="s">
        <v>34</v>
      </c>
      <c r="AY3" s="3" t="s">
        <v>35</v>
      </c>
      <c r="BA3" s="3" t="s">
        <v>36</v>
      </c>
      <c r="BB3" s="3" t="s">
        <v>37</v>
      </c>
      <c r="BC3" s="3" t="s">
        <v>38</v>
      </c>
      <c r="BD3" s="3" t="s">
        <v>24</v>
      </c>
      <c r="BE3" t="s">
        <v>29</v>
      </c>
      <c r="BF3" t="s">
        <v>30</v>
      </c>
      <c r="BG3" t="s">
        <v>29</v>
      </c>
      <c r="BH3" t="s">
        <v>30</v>
      </c>
      <c r="BI3" t="s">
        <v>29</v>
      </c>
      <c r="BJ3" t="s">
        <v>30</v>
      </c>
    </row>
    <row r="4" spans="1:62" ht="28.8" x14ac:dyDescent="0.3">
      <c r="A4" t="s">
        <v>39</v>
      </c>
      <c r="C4" s="4">
        <v>45425</v>
      </c>
      <c r="F4" s="38"/>
      <c r="AU4" s="1" t="s">
        <v>40</v>
      </c>
      <c r="AV4" s="1">
        <v>1</v>
      </c>
      <c r="AW4" s="1"/>
      <c r="AX4" s="1"/>
      <c r="AY4" s="1"/>
      <c r="BC4">
        <v>1</v>
      </c>
    </row>
    <row r="5" spans="1:62" ht="28.8" x14ac:dyDescent="0.3">
      <c r="A5" t="s">
        <v>41</v>
      </c>
      <c r="C5" s="4">
        <v>45425</v>
      </c>
      <c r="F5" s="38"/>
      <c r="AU5" s="1" t="s">
        <v>40</v>
      </c>
      <c r="AV5" s="1">
        <v>1</v>
      </c>
      <c r="AW5" s="1"/>
      <c r="AX5" s="1"/>
      <c r="AY5" s="1"/>
      <c r="BC5">
        <v>1</v>
      </c>
    </row>
    <row r="6" spans="1:62" ht="28.8" x14ac:dyDescent="0.3">
      <c r="A6" t="s">
        <v>42</v>
      </c>
      <c r="C6" s="4">
        <v>45425</v>
      </c>
      <c r="F6" s="38"/>
      <c r="AU6" s="1" t="s">
        <v>40</v>
      </c>
      <c r="AV6" s="1">
        <v>1</v>
      </c>
      <c r="AW6" s="1"/>
      <c r="AX6" s="1"/>
      <c r="AY6" s="1"/>
      <c r="BC6">
        <v>1</v>
      </c>
    </row>
    <row r="7" spans="1:62" ht="28.8" x14ac:dyDescent="0.3">
      <c r="A7" t="s">
        <v>43</v>
      </c>
      <c r="C7" s="4">
        <v>45426</v>
      </c>
      <c r="D7" s="83">
        <v>45426.491666666669</v>
      </c>
      <c r="E7" s="83">
        <v>45426.491666666669</v>
      </c>
      <c r="F7" s="109"/>
      <c r="G7" s="84"/>
      <c r="H7" s="19" t="s">
        <v>44</v>
      </c>
      <c r="I7" s="19">
        <v>1464.8</v>
      </c>
      <c r="J7" s="19" t="e">
        <f>I7-H7</f>
        <v>#VALUE!</v>
      </c>
      <c r="K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" t="s">
        <v>40</v>
      </c>
      <c r="AV7" s="1">
        <v>1</v>
      </c>
      <c r="AW7" s="13">
        <v>15</v>
      </c>
      <c r="AX7" s="14">
        <v>9</v>
      </c>
      <c r="AY7" s="17">
        <v>0.5</v>
      </c>
      <c r="BC7">
        <v>1</v>
      </c>
    </row>
    <row r="8" spans="1:62" ht="14.4" x14ac:dyDescent="0.3">
      <c r="A8" t="s">
        <v>45</v>
      </c>
      <c r="C8" s="4">
        <v>45426</v>
      </c>
      <c r="D8" s="83">
        <v>45426.529166666667</v>
      </c>
      <c r="E8" s="83">
        <v>45426.57916666667</v>
      </c>
      <c r="F8" s="109"/>
      <c r="G8" s="84">
        <f>E8-'Pre-Summary'!$C$1</f>
        <v>5.0000000002910383E-2</v>
      </c>
      <c r="H8" s="19">
        <v>0</v>
      </c>
      <c r="I8" s="19">
        <v>74.8</v>
      </c>
      <c r="J8" s="107">
        <f>(I8-H8)*(1-$J$1)</f>
        <v>73.977199999999996</v>
      </c>
      <c r="K8" s="107">
        <f t="shared" ref="K8:K28" si="0">J8/((E8-D8)*1440-F8)</f>
        <v>1.027461111051305</v>
      </c>
      <c r="L8" s="21">
        <v>87.570400000000006</v>
      </c>
      <c r="M8" s="10">
        <v>87.455299999999994</v>
      </c>
      <c r="N8" s="10">
        <v>87.739900000000006</v>
      </c>
      <c r="O8" s="21">
        <v>0</v>
      </c>
      <c r="P8" s="10">
        <v>0</v>
      </c>
      <c r="Q8" s="10">
        <v>0</v>
      </c>
      <c r="R8" s="21">
        <v>12.429600000000001</v>
      </c>
      <c r="S8" s="10">
        <v>12.544700000000001</v>
      </c>
      <c r="T8" s="10">
        <v>12.2601</v>
      </c>
      <c r="U8" s="21">
        <f t="shared" ref="U8:U14" si="1">AVERAGE(L8:N8)</f>
        <v>87.588533333333331</v>
      </c>
      <c r="V8" s="10">
        <f t="shared" ref="V8:V14" si="2">STDEV(L8:N8)</f>
        <v>0.1431639037374117</v>
      </c>
      <c r="W8" s="21">
        <f t="shared" ref="W8:W14" si="3">AVERAGE(O8:Q8)</f>
        <v>0</v>
      </c>
      <c r="X8" s="10">
        <f t="shared" ref="X8:X14" si="4">STDEV(O8:Q8)</f>
        <v>0</v>
      </c>
      <c r="Y8" s="21">
        <f t="shared" ref="Y8:Y14" si="5">AVERAGE(R8:T8)</f>
        <v>12.411466666666668</v>
      </c>
      <c r="Z8" s="22">
        <f t="shared" ref="Z8:Z14" si="6">STDEV(R8:T8)</f>
        <v>0.14316390373740684</v>
      </c>
      <c r="AA8" s="19">
        <f>(K8/100*W8*(1440/10^6))/($B$1/1000)</f>
        <v>0</v>
      </c>
      <c r="AB8" s="19">
        <f>(K8/100*W8*(1440/10^6))/($H$1/1000)</f>
        <v>0</v>
      </c>
      <c r="AC8" s="19">
        <f>(K8/100*W8*(1440/10^6))/($D$1)</f>
        <v>0</v>
      </c>
      <c r="AD8" s="19">
        <f>K8*W8/100</f>
        <v>0</v>
      </c>
      <c r="AE8" s="19">
        <v>68.4465</v>
      </c>
      <c r="AF8" s="19">
        <v>69.407499999999999</v>
      </c>
      <c r="AG8" s="41">
        <v>70.518900000000002</v>
      </c>
      <c r="AH8" s="41">
        <v>0</v>
      </c>
      <c r="AI8" s="41">
        <v>0</v>
      </c>
      <c r="AJ8" s="41">
        <v>0</v>
      </c>
      <c r="AK8" s="41">
        <v>9.7151999999999994</v>
      </c>
      <c r="AL8" s="41">
        <v>9.9558999999999997</v>
      </c>
      <c r="AM8" s="41">
        <v>9.8536999999999999</v>
      </c>
      <c r="AN8" s="41"/>
      <c r="AO8" s="41"/>
      <c r="AP8" s="41"/>
      <c r="AQ8" s="41"/>
      <c r="AR8" s="41"/>
      <c r="AS8" s="41"/>
      <c r="AT8" s="41"/>
      <c r="AU8" s="1" t="s">
        <v>46</v>
      </c>
      <c r="AV8" s="1">
        <v>1</v>
      </c>
      <c r="AW8" s="15">
        <v>15</v>
      </c>
      <c r="AX8" s="16">
        <v>9</v>
      </c>
      <c r="AY8" s="18">
        <v>0.6</v>
      </c>
      <c r="BB8" t="s">
        <v>47</v>
      </c>
      <c r="BC8">
        <v>3</v>
      </c>
      <c r="BE8" s="21">
        <v>87.588533333333331</v>
      </c>
      <c r="BF8" s="10">
        <v>0.1431639037374117</v>
      </c>
      <c r="BG8" s="21">
        <v>0</v>
      </c>
      <c r="BH8" s="10">
        <v>0</v>
      </c>
      <c r="BI8" s="21">
        <v>12.411466666666668</v>
      </c>
      <c r="BJ8" s="22">
        <v>0.14316390373740684</v>
      </c>
    </row>
    <row r="9" spans="1:62" ht="14.4" x14ac:dyDescent="0.3">
      <c r="A9" t="s">
        <v>48</v>
      </c>
      <c r="C9" s="4">
        <v>45426</v>
      </c>
      <c r="D9" s="83">
        <v>45426.57916666667</v>
      </c>
      <c r="E9" s="83">
        <v>45426.593055555553</v>
      </c>
      <c r="F9" s="109"/>
      <c r="G9" s="84">
        <f>E9-'Pre-Summary'!$C$1</f>
        <v>6.3888888886140194E-2</v>
      </c>
      <c r="H9" s="19">
        <v>74.8</v>
      </c>
      <c r="I9" s="19">
        <v>93.6</v>
      </c>
      <c r="J9" s="107">
        <f t="shared" ref="J9:J68" si="7">(I9-H9)*(1-$J$1)</f>
        <v>18.593199999999996</v>
      </c>
      <c r="K9" s="107">
        <f t="shared" si="0"/>
        <v>0.92966000037879315</v>
      </c>
      <c r="L9" s="21">
        <v>87.895600000000002</v>
      </c>
      <c r="M9" s="10">
        <v>87.825999999999993</v>
      </c>
      <c r="N9" s="10">
        <v>87.975300000000004</v>
      </c>
      <c r="O9" s="21">
        <v>0</v>
      </c>
      <c r="P9" s="10">
        <v>0</v>
      </c>
      <c r="Q9" s="10">
        <v>0</v>
      </c>
      <c r="R9" s="21">
        <v>12.1044</v>
      </c>
      <c r="S9" s="10">
        <v>12.173999999999999</v>
      </c>
      <c r="T9" s="10">
        <v>12.024699999999999</v>
      </c>
      <c r="U9" s="21">
        <f t="shared" si="1"/>
        <v>87.898966666666681</v>
      </c>
      <c r="V9" s="10">
        <f t="shared" si="2"/>
        <v>7.4706916234938622E-2</v>
      </c>
      <c r="W9" s="21">
        <f t="shared" si="3"/>
        <v>0</v>
      </c>
      <c r="X9" s="10">
        <f t="shared" si="4"/>
        <v>0</v>
      </c>
      <c r="Y9" s="21">
        <f t="shared" si="5"/>
        <v>12.101033333333334</v>
      </c>
      <c r="Z9" s="22">
        <f t="shared" si="6"/>
        <v>7.4706916234933363E-2</v>
      </c>
      <c r="AA9" s="19">
        <f>(K9*W9/100*(1440/10^6)*(1000/$B$1))</f>
        <v>0</v>
      </c>
      <c r="AB9" s="19">
        <f t="shared" ref="AB9:AB68" si="8">(K9/100*W9*(1440/10^6))/($H$1/1000)</f>
        <v>0</v>
      </c>
      <c r="AC9" s="19">
        <f t="shared" ref="AC9:AC68" si="9">(K9/100*W9*(1440/10^6))/($D$1)</f>
        <v>0</v>
      </c>
      <c r="AD9" s="19">
        <f t="shared" ref="AD9:AD68" si="10">K9*W9/100</f>
        <v>0</v>
      </c>
      <c r="AE9" s="19">
        <v>78.161199999999994</v>
      </c>
      <c r="AF9" s="19">
        <v>78.000900000000001</v>
      </c>
      <c r="AG9" s="41">
        <v>78.018799999999999</v>
      </c>
      <c r="AH9" s="41">
        <v>0</v>
      </c>
      <c r="AI9" s="41"/>
      <c r="AJ9" s="41"/>
      <c r="AK9" s="41">
        <v>10.7639</v>
      </c>
      <c r="AL9" s="41">
        <v>10.812099999999999</v>
      </c>
      <c r="AM9" s="41">
        <v>10.6638</v>
      </c>
      <c r="AN9" s="41"/>
      <c r="AO9" s="41"/>
      <c r="AP9" s="41"/>
      <c r="AQ9" s="41"/>
      <c r="AR9" s="41"/>
      <c r="AS9" s="41"/>
      <c r="AT9" s="41"/>
      <c r="AU9" s="1" t="s">
        <v>46</v>
      </c>
      <c r="AV9" s="1">
        <v>1</v>
      </c>
      <c r="AW9" s="15">
        <v>15</v>
      </c>
      <c r="AX9" s="16">
        <v>9</v>
      </c>
      <c r="AY9" s="18">
        <v>0.6</v>
      </c>
      <c r="BB9" t="s">
        <v>49</v>
      </c>
      <c r="BC9">
        <v>3</v>
      </c>
      <c r="BE9" s="21">
        <v>87.898966666666681</v>
      </c>
      <c r="BF9" s="10">
        <v>7.4706916234938622E-2</v>
      </c>
      <c r="BG9" s="21">
        <v>0</v>
      </c>
      <c r="BH9" s="10">
        <v>0</v>
      </c>
      <c r="BI9" s="21">
        <v>12.101033333333334</v>
      </c>
      <c r="BJ9" s="22">
        <v>7.4706916234933363E-2</v>
      </c>
    </row>
    <row r="10" spans="1:62" ht="14.4" x14ac:dyDescent="0.3">
      <c r="A10" t="s">
        <v>50</v>
      </c>
      <c r="C10" s="4"/>
      <c r="D10" s="83">
        <v>45426.593055555553</v>
      </c>
      <c r="E10" s="83">
        <v>45427.538194444445</v>
      </c>
      <c r="F10" s="109"/>
      <c r="G10" s="84">
        <f>E10-'Pre-Summary'!$C$1</f>
        <v>1.0090277777781012</v>
      </c>
      <c r="H10" s="19">
        <v>93.6</v>
      </c>
      <c r="I10" s="19">
        <v>323.39999999999998</v>
      </c>
      <c r="J10" s="107">
        <f t="shared" si="7"/>
        <v>227.27219999999997</v>
      </c>
      <c r="K10" s="107">
        <f t="shared" si="0"/>
        <v>0.16698912564236681</v>
      </c>
      <c r="L10" s="21">
        <v>87.424199999999999</v>
      </c>
      <c r="M10" s="10">
        <v>88.716099999999997</v>
      </c>
      <c r="N10" s="10">
        <v>88.596500000000006</v>
      </c>
      <c r="O10" s="21">
        <v>0</v>
      </c>
      <c r="P10" s="10">
        <v>0</v>
      </c>
      <c r="Q10" s="10">
        <v>0</v>
      </c>
      <c r="R10" s="21">
        <v>12.575799999999999</v>
      </c>
      <c r="S10" s="10">
        <v>11.283899999999999</v>
      </c>
      <c r="T10" s="10">
        <v>11.403499999999999</v>
      </c>
      <c r="U10" s="21">
        <f t="shared" si="1"/>
        <v>88.24560000000001</v>
      </c>
      <c r="V10" s="10">
        <f t="shared" si="2"/>
        <v>0.71386238869967211</v>
      </c>
      <c r="W10" s="21">
        <f t="shared" si="3"/>
        <v>0</v>
      </c>
      <c r="X10" s="10">
        <f t="shared" si="4"/>
        <v>0</v>
      </c>
      <c r="Y10" s="21">
        <f t="shared" si="5"/>
        <v>11.754399999999999</v>
      </c>
      <c r="Z10" s="22">
        <f t="shared" si="6"/>
        <v>0.71386238869967089</v>
      </c>
      <c r="AA10" s="19">
        <f t="shared" ref="AA10:AA69" si="11">(K10*W10/100*(1440/10^6)*(1000/$B$1))</f>
        <v>0</v>
      </c>
      <c r="AB10" s="19">
        <f t="shared" si="8"/>
        <v>0</v>
      </c>
      <c r="AC10" s="19">
        <f t="shared" si="9"/>
        <v>0</v>
      </c>
      <c r="AD10" s="19">
        <f t="shared" si="10"/>
        <v>0</v>
      </c>
      <c r="AE10" s="19">
        <v>83.147900000000007</v>
      </c>
      <c r="AF10" s="19">
        <v>81.7226</v>
      </c>
      <c r="AG10" s="41">
        <v>81.429400000000001</v>
      </c>
      <c r="AH10" s="41"/>
      <c r="AI10" s="41"/>
      <c r="AJ10" s="41"/>
      <c r="AK10" s="41">
        <v>11.960699999999999</v>
      </c>
      <c r="AL10" s="41">
        <v>10.394399999999999</v>
      </c>
      <c r="AM10" s="41">
        <v>10.4811</v>
      </c>
      <c r="AN10" s="41"/>
      <c r="AO10" s="41"/>
      <c r="AP10" s="41"/>
      <c r="AQ10" s="41"/>
      <c r="AR10" s="41"/>
      <c r="AS10" s="41"/>
      <c r="AT10" s="41"/>
      <c r="AV10">
        <v>1</v>
      </c>
      <c r="AW10" s="15">
        <v>15</v>
      </c>
      <c r="AX10" s="16">
        <v>9</v>
      </c>
      <c r="AY10" s="18">
        <v>0.55000000000000004</v>
      </c>
      <c r="BB10" t="s">
        <v>51</v>
      </c>
      <c r="BC10">
        <v>3</v>
      </c>
      <c r="BE10" s="21">
        <v>88.24560000000001</v>
      </c>
      <c r="BF10" s="10">
        <v>0.71386238869967211</v>
      </c>
      <c r="BG10" s="21">
        <v>0</v>
      </c>
      <c r="BH10" s="10">
        <v>0</v>
      </c>
      <c r="BI10" s="21">
        <v>11.754399999999999</v>
      </c>
      <c r="BJ10" s="22">
        <v>0.71386238869967089</v>
      </c>
    </row>
    <row r="11" spans="1:62" ht="14.4" x14ac:dyDescent="0.3">
      <c r="A11" t="s">
        <v>52</v>
      </c>
      <c r="C11" s="4">
        <v>45429</v>
      </c>
      <c r="D11" s="83">
        <v>45427.538194444445</v>
      </c>
      <c r="E11" s="83">
        <v>45428.675694444442</v>
      </c>
      <c r="F11" s="109"/>
      <c r="G11" s="84">
        <f>E11-'Pre-Summary'!$C$1</f>
        <v>2.1465277777751908</v>
      </c>
      <c r="H11" s="19">
        <v>323.39999999999998</v>
      </c>
      <c r="I11" s="19">
        <v>1791.5</v>
      </c>
      <c r="J11" s="107">
        <f t="shared" si="7"/>
        <v>1451.9508999999998</v>
      </c>
      <c r="K11" s="107">
        <f t="shared" si="0"/>
        <v>0.88641691086917873</v>
      </c>
      <c r="L11" s="21">
        <v>88.264300000000006</v>
      </c>
      <c r="M11" s="10">
        <v>88.558199999999999</v>
      </c>
      <c r="N11" s="10">
        <v>88.563100000000006</v>
      </c>
      <c r="O11" s="21">
        <v>0</v>
      </c>
      <c r="P11" s="10">
        <v>0</v>
      </c>
      <c r="Q11" s="10">
        <v>0</v>
      </c>
      <c r="R11" s="21">
        <v>11.7357</v>
      </c>
      <c r="S11" s="10">
        <v>11.441800000000001</v>
      </c>
      <c r="T11" s="10">
        <v>11.4369</v>
      </c>
      <c r="U11" s="21">
        <f t="shared" si="1"/>
        <v>88.461866666666666</v>
      </c>
      <c r="V11" s="10">
        <f t="shared" si="2"/>
        <v>0.17111529251745067</v>
      </c>
      <c r="W11" s="21">
        <f t="shared" si="3"/>
        <v>0</v>
      </c>
      <c r="X11" s="10">
        <f t="shared" si="4"/>
        <v>0</v>
      </c>
      <c r="Y11" s="21">
        <f t="shared" si="5"/>
        <v>11.538133333333334</v>
      </c>
      <c r="Z11" s="22">
        <f t="shared" si="6"/>
        <v>0.17111529251745217</v>
      </c>
      <c r="AA11" s="19">
        <f t="shared" si="11"/>
        <v>0</v>
      </c>
      <c r="AB11" s="19">
        <f t="shared" si="8"/>
        <v>0</v>
      </c>
      <c r="AC11" s="19">
        <f t="shared" si="9"/>
        <v>0</v>
      </c>
      <c r="AD11" s="19">
        <f t="shared" si="10"/>
        <v>0</v>
      </c>
      <c r="AE11" s="19">
        <v>76.021299999999997</v>
      </c>
      <c r="AF11" s="19">
        <v>76.572299999999998</v>
      </c>
      <c r="AG11" s="41">
        <v>76.821799999999996</v>
      </c>
      <c r="AH11" s="41"/>
      <c r="AI11" s="41"/>
      <c r="AJ11" s="41"/>
      <c r="AK11" s="41">
        <v>10.107900000000001</v>
      </c>
      <c r="AL11" s="41">
        <v>9.8932000000000002</v>
      </c>
      <c r="AM11" s="41">
        <v>9.9207000000000001</v>
      </c>
      <c r="AN11" s="41"/>
      <c r="AO11" s="41"/>
      <c r="AP11" s="41"/>
      <c r="AQ11" s="41"/>
      <c r="AR11" s="41"/>
      <c r="AS11" s="41"/>
      <c r="AT11" s="41"/>
      <c r="AV11">
        <v>1</v>
      </c>
      <c r="AW11" s="15">
        <v>15</v>
      </c>
      <c r="AX11" s="16">
        <v>9.6999999999999993</v>
      </c>
      <c r="AY11" s="18">
        <v>0.42499999999999999</v>
      </c>
      <c r="BB11" t="s">
        <v>53</v>
      </c>
      <c r="BC11">
        <v>3</v>
      </c>
      <c r="BD11" t="s">
        <v>54</v>
      </c>
      <c r="BE11" s="21">
        <v>88.461866666666666</v>
      </c>
      <c r="BF11" s="10">
        <v>0.17111529251745067</v>
      </c>
      <c r="BG11" s="21">
        <v>0</v>
      </c>
      <c r="BH11" s="10">
        <v>0</v>
      </c>
      <c r="BI11" s="21">
        <v>11.538133333333334</v>
      </c>
      <c r="BJ11" s="22">
        <v>0.17111529251745217</v>
      </c>
    </row>
    <row r="12" spans="1:62" ht="14.4" x14ac:dyDescent="0.3">
      <c r="A12" t="s">
        <v>55</v>
      </c>
      <c r="C12" s="4">
        <v>45432</v>
      </c>
      <c r="D12" s="83">
        <v>45428.675694444442</v>
      </c>
      <c r="E12" s="83">
        <v>45429.631944444445</v>
      </c>
      <c r="F12" s="109"/>
      <c r="G12" s="84">
        <f>E12-'Pre-Summary'!$C$1</f>
        <v>3.1027777777781012</v>
      </c>
      <c r="H12" s="19">
        <v>1791.5</v>
      </c>
      <c r="I12" s="19">
        <v>2617.8000000000002</v>
      </c>
      <c r="J12" s="107">
        <f t="shared" si="7"/>
        <v>817.2107000000002</v>
      </c>
      <c r="K12" s="107">
        <f t="shared" si="0"/>
        <v>0.59347182280138921</v>
      </c>
      <c r="L12" s="21">
        <v>93.078299999999999</v>
      </c>
      <c r="M12" s="10">
        <v>93.111900000000006</v>
      </c>
      <c r="N12" s="10">
        <v>93.363299999999995</v>
      </c>
      <c r="O12" s="21">
        <v>0</v>
      </c>
      <c r="P12" s="10">
        <v>0</v>
      </c>
      <c r="Q12" s="10">
        <v>0</v>
      </c>
      <c r="R12" s="21">
        <v>6.9217000000000004</v>
      </c>
      <c r="S12" s="10">
        <v>6.8880999999999997</v>
      </c>
      <c r="T12" s="10">
        <v>6.6367000000000003</v>
      </c>
      <c r="U12" s="21">
        <f t="shared" si="1"/>
        <v>93.1845</v>
      </c>
      <c r="V12" s="10">
        <f t="shared" si="2"/>
        <v>0.15575403686581893</v>
      </c>
      <c r="W12" s="21">
        <f t="shared" si="3"/>
        <v>0</v>
      </c>
      <c r="X12" s="10">
        <f t="shared" si="4"/>
        <v>0</v>
      </c>
      <c r="Y12" s="21">
        <f t="shared" si="5"/>
        <v>6.8155000000000001</v>
      </c>
      <c r="Z12" s="22">
        <f t="shared" si="6"/>
        <v>0.15575403686582243</v>
      </c>
      <c r="AA12" s="19">
        <f t="shared" si="11"/>
        <v>0</v>
      </c>
      <c r="AB12" s="19">
        <f t="shared" si="8"/>
        <v>0</v>
      </c>
      <c r="AC12" s="19">
        <f t="shared" si="9"/>
        <v>0</v>
      </c>
      <c r="AD12" s="19">
        <f t="shared" si="10"/>
        <v>0</v>
      </c>
      <c r="AE12" s="19">
        <v>55.840899999999998</v>
      </c>
      <c r="AF12" s="19">
        <v>56.238999999999997</v>
      </c>
      <c r="AG12" s="41">
        <v>55.858400000000003</v>
      </c>
      <c r="AH12" s="41"/>
      <c r="AI12" s="41"/>
      <c r="AJ12" s="41"/>
      <c r="AK12" s="41">
        <v>4.1524999999999999</v>
      </c>
      <c r="AL12" s="41">
        <v>4.1604000000000001</v>
      </c>
      <c r="AM12" s="41">
        <v>3.9706999999999999</v>
      </c>
      <c r="AN12" s="41"/>
      <c r="AO12" s="41"/>
      <c r="AP12" s="41"/>
      <c r="AQ12" s="41"/>
      <c r="AR12" s="41"/>
      <c r="AS12" s="41"/>
      <c r="AT12" s="41"/>
      <c r="AU12" s="1" t="s">
        <v>46</v>
      </c>
      <c r="AV12">
        <v>1</v>
      </c>
      <c r="AW12" s="15">
        <v>15</v>
      </c>
      <c r="AX12" s="16">
        <v>9.8000000000000007</v>
      </c>
      <c r="AY12" s="18">
        <v>0.4</v>
      </c>
      <c r="BB12" s="20" t="s">
        <v>56</v>
      </c>
      <c r="BC12">
        <v>3</v>
      </c>
      <c r="BD12" t="s">
        <v>57</v>
      </c>
      <c r="BE12" s="21">
        <v>93.1845</v>
      </c>
      <c r="BF12" s="10">
        <v>0.15575403686581893</v>
      </c>
      <c r="BG12" s="21">
        <v>0</v>
      </c>
      <c r="BH12" s="10">
        <v>0</v>
      </c>
      <c r="BI12" s="21">
        <v>6.8155000000000001</v>
      </c>
      <c r="BJ12" s="22">
        <v>0.15575403686582243</v>
      </c>
    </row>
    <row r="13" spans="1:62" ht="15" customHeight="1" x14ac:dyDescent="0.3">
      <c r="A13" t="s">
        <v>58</v>
      </c>
      <c r="C13" s="4">
        <v>45432</v>
      </c>
      <c r="D13" s="83">
        <v>45429.631944444445</v>
      </c>
      <c r="E13" s="83">
        <v>45432.581250000003</v>
      </c>
      <c r="F13" s="109"/>
      <c r="G13" s="84">
        <f>E13-'Pre-Summary'!$C$1</f>
        <v>6.0520833333357587</v>
      </c>
      <c r="H13" s="19">
        <v>2617.8000000000002</v>
      </c>
      <c r="I13">
        <v>5042.3999999999996</v>
      </c>
      <c r="J13" s="107">
        <f t="shared" si="7"/>
        <v>2397.9293999999995</v>
      </c>
      <c r="K13" s="107">
        <f t="shared" si="0"/>
        <v>0.5646172356953828</v>
      </c>
      <c r="L13" s="21">
        <v>93.121700000000004</v>
      </c>
      <c r="M13" s="10">
        <v>93.537499999999994</v>
      </c>
      <c r="N13" s="10">
        <v>93.569500000000005</v>
      </c>
      <c r="O13" s="21">
        <v>5.3327</v>
      </c>
      <c r="P13" s="10">
        <v>5.0450999999999997</v>
      </c>
      <c r="Q13" s="10">
        <v>4.9366000000000003</v>
      </c>
      <c r="R13" s="21">
        <v>1.5457000000000001</v>
      </c>
      <c r="S13" s="10">
        <v>1.4174</v>
      </c>
      <c r="T13" s="10">
        <v>1.4939</v>
      </c>
      <c r="U13" s="21">
        <f t="shared" si="1"/>
        <v>93.409566666666663</v>
      </c>
      <c r="V13" s="10">
        <f t="shared" si="2"/>
        <v>0.24981275654644264</v>
      </c>
      <c r="W13" s="21">
        <f t="shared" si="3"/>
        <v>5.1048</v>
      </c>
      <c r="X13" s="10">
        <f t="shared" si="4"/>
        <v>0.20468724923648751</v>
      </c>
      <c r="Y13" s="21">
        <f t="shared" si="5"/>
        <v>1.4856666666666667</v>
      </c>
      <c r="Z13" s="22">
        <f t="shared" si="6"/>
        <v>6.4545048867696575E-2</v>
      </c>
      <c r="AA13" s="19">
        <f t="shared" si="11"/>
        <v>9.2232258072889289E-2</v>
      </c>
      <c r="AB13" s="19">
        <f t="shared" si="8"/>
        <v>0.26777107182451731</v>
      </c>
      <c r="AC13" s="19">
        <f t="shared" si="9"/>
        <v>2.8604077279669317E-4</v>
      </c>
      <c r="AD13" s="19">
        <f t="shared" si="10"/>
        <v>2.8822580647777901E-2</v>
      </c>
      <c r="AE13" s="19"/>
      <c r="AF13" s="19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1" t="s">
        <v>46</v>
      </c>
      <c r="AV13">
        <v>1</v>
      </c>
      <c r="AW13">
        <v>15</v>
      </c>
      <c r="AX13">
        <v>9.8000000000000007</v>
      </c>
      <c r="AY13">
        <v>0.45</v>
      </c>
      <c r="BB13" s="20" t="s">
        <v>59</v>
      </c>
      <c r="BC13">
        <v>3</v>
      </c>
      <c r="BE13" s="21">
        <v>93.409566666666663</v>
      </c>
      <c r="BF13" s="10">
        <v>0.24981275654644264</v>
      </c>
      <c r="BG13" s="21">
        <v>5.1048</v>
      </c>
      <c r="BH13" s="10">
        <v>0.20468724923648751</v>
      </c>
      <c r="BI13" s="21">
        <v>1.4856666666666667</v>
      </c>
      <c r="BJ13" s="22">
        <v>6.4545048867696575E-2</v>
      </c>
    </row>
    <row r="14" spans="1:62" ht="15" customHeight="1" x14ac:dyDescent="0.3">
      <c r="A14" t="s">
        <v>60</v>
      </c>
      <c r="C14" s="4">
        <v>45433</v>
      </c>
      <c r="D14" s="83">
        <v>45432.581250000003</v>
      </c>
      <c r="E14" s="83">
        <v>45433.509027777778</v>
      </c>
      <c r="F14" s="109"/>
      <c r="G14" s="84">
        <f>E14-'Pre-Summary'!$C$1</f>
        <v>6.9798611111109494</v>
      </c>
      <c r="H14">
        <v>5042.3999999999996</v>
      </c>
      <c r="I14">
        <v>5770.8</v>
      </c>
      <c r="J14" s="107">
        <f t="shared" si="7"/>
        <v>720.38760000000059</v>
      </c>
      <c r="K14" s="107">
        <f t="shared" si="0"/>
        <v>0.53921227545060579</v>
      </c>
      <c r="L14" s="21">
        <v>86.407399999999996</v>
      </c>
      <c r="M14" s="10">
        <v>85.627300000000005</v>
      </c>
      <c r="N14" s="10">
        <v>86.463700000000003</v>
      </c>
      <c r="O14" s="21">
        <v>12.428100000000001</v>
      </c>
      <c r="P14" s="10">
        <v>12.939299999999999</v>
      </c>
      <c r="Q14" s="10">
        <v>11.362500000000001</v>
      </c>
      <c r="R14" s="21">
        <v>1.1646000000000001</v>
      </c>
      <c r="S14" s="10">
        <v>1.4334</v>
      </c>
      <c r="T14" s="10">
        <v>2.1737000000000002</v>
      </c>
      <c r="U14" s="21">
        <f t="shared" si="1"/>
        <v>86.166133333333335</v>
      </c>
      <c r="V14" s="10">
        <f t="shared" si="2"/>
        <v>0.4674916505493229</v>
      </c>
      <c r="W14" s="21">
        <f t="shared" si="3"/>
        <v>12.2433</v>
      </c>
      <c r="X14" s="10">
        <f t="shared" si="4"/>
        <v>0.80447985680189593</v>
      </c>
      <c r="Y14" s="21">
        <f t="shared" si="5"/>
        <v>1.5905666666666667</v>
      </c>
      <c r="Z14" s="22">
        <f t="shared" si="6"/>
        <v>0.52258657018080168</v>
      </c>
      <c r="AA14" s="19">
        <f t="shared" si="11"/>
        <v>0.21125560486478087</v>
      </c>
      <c r="AB14" s="19">
        <f t="shared" si="8"/>
        <v>0.61332272380097674</v>
      </c>
      <c r="AC14" s="19">
        <f t="shared" si="9"/>
        <v>6.5516900199277318E-4</v>
      </c>
      <c r="AD14" s="19">
        <f t="shared" si="10"/>
        <v>6.6017376520244017E-2</v>
      </c>
      <c r="AE14" s="19"/>
      <c r="AF14" s="19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1" t="s">
        <v>46</v>
      </c>
      <c r="AV14">
        <v>1</v>
      </c>
      <c r="AW14">
        <v>15</v>
      </c>
      <c r="AX14">
        <v>10</v>
      </c>
      <c r="AY14">
        <v>0.4</v>
      </c>
      <c r="BB14" s="20" t="s">
        <v>61</v>
      </c>
      <c r="BC14">
        <v>3</v>
      </c>
      <c r="BE14">
        <v>86.166133333333335</v>
      </c>
      <c r="BF14">
        <v>0.4674916505493229</v>
      </c>
      <c r="BG14">
        <v>12.2433</v>
      </c>
      <c r="BH14">
        <v>0.80447985680189593</v>
      </c>
      <c r="BI14">
        <v>1.5905666666666667</v>
      </c>
      <c r="BJ14">
        <v>0.52258657018080168</v>
      </c>
    </row>
    <row r="15" spans="1:62" ht="15" customHeight="1" x14ac:dyDescent="0.3">
      <c r="A15" t="s">
        <v>62</v>
      </c>
      <c r="C15" s="4">
        <v>45434</v>
      </c>
      <c r="D15" s="83">
        <v>45433.509027777778</v>
      </c>
      <c r="E15" s="83">
        <v>45434.388888888891</v>
      </c>
      <c r="F15" s="109"/>
      <c r="G15" s="84">
        <f>E15-'Pre-Summary'!$C$1</f>
        <v>7.859722222223354</v>
      </c>
      <c r="H15">
        <v>5770.8</v>
      </c>
      <c r="I15">
        <v>6475.6</v>
      </c>
      <c r="J15" s="107">
        <f t="shared" si="7"/>
        <v>697.0472000000002</v>
      </c>
      <c r="K15" s="107">
        <f t="shared" si="0"/>
        <v>0.55015564325096722</v>
      </c>
      <c r="L15" s="21">
        <v>86.496399999999994</v>
      </c>
      <c r="M15" s="10">
        <v>86.792500000000004</v>
      </c>
      <c r="N15" s="10">
        <v>86.456699999999998</v>
      </c>
      <c r="O15" s="21">
        <v>12.788500000000001</v>
      </c>
      <c r="P15" s="10">
        <v>12.383100000000001</v>
      </c>
      <c r="Q15" s="10">
        <v>12.8188</v>
      </c>
      <c r="R15" s="21">
        <v>0.71509999999999996</v>
      </c>
      <c r="S15" s="10">
        <v>0.82440000000000002</v>
      </c>
      <c r="T15" s="10">
        <v>0.72450000000000003</v>
      </c>
      <c r="U15" s="21">
        <f t="shared" ref="U15:U22" si="12">AVERAGE(L15:N15)</f>
        <v>86.58186666666667</v>
      </c>
      <c r="V15" s="10">
        <f t="shared" ref="V15:V22" si="13">STDEV(L15:N15)</f>
        <v>0.18349066279605328</v>
      </c>
      <c r="W15" s="21">
        <f t="shared" ref="W15:W22" si="14">AVERAGE(O15:Q15)</f>
        <v>12.663466666666666</v>
      </c>
      <c r="X15" s="10">
        <f t="shared" ref="X15:X22" si="15">STDEV(O15:Q15)</f>
        <v>0.24327684504147365</v>
      </c>
      <c r="Y15" s="21">
        <f t="shared" ref="Y15:Y22" si="16">AVERAGE(R15:T15)</f>
        <v>0.7546666666666666</v>
      </c>
      <c r="Z15" s="22">
        <f t="shared" ref="Z15:Z22" si="17">STDEV(R15:T15)</f>
        <v>6.0573454031723629E-2</v>
      </c>
      <c r="AA15" s="19">
        <f t="shared" si="11"/>
        <v>0.22294008479318983</v>
      </c>
      <c r="AB15" s="19">
        <f t="shared" si="8"/>
        <v>0.64724540746409953</v>
      </c>
      <c r="AC15" s="19">
        <f t="shared" si="9"/>
        <v>6.9140618991685339E-4</v>
      </c>
      <c r="AD15" s="19">
        <f t="shared" si="10"/>
        <v>6.9668776497871815E-2</v>
      </c>
      <c r="AE15" s="19"/>
      <c r="AF15" s="19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1"/>
      <c r="AV15">
        <v>1</v>
      </c>
      <c r="AW15">
        <v>15</v>
      </c>
      <c r="AX15">
        <v>10</v>
      </c>
      <c r="AY15">
        <v>0.35</v>
      </c>
      <c r="BB15" s="20" t="s">
        <v>63</v>
      </c>
      <c r="BC15">
        <v>3</v>
      </c>
    </row>
    <row r="16" spans="1:62" ht="15" customHeight="1" x14ac:dyDescent="0.3">
      <c r="A16" t="s">
        <v>64</v>
      </c>
      <c r="C16" s="4">
        <v>45436</v>
      </c>
      <c r="D16" s="83">
        <v>45434.388888888891</v>
      </c>
      <c r="E16" s="83">
        <v>45436.441666666666</v>
      </c>
      <c r="F16" s="109"/>
      <c r="G16" s="84">
        <f>E16-'Pre-Summary'!$C$1</f>
        <v>9.9124999999985448</v>
      </c>
      <c r="H16">
        <v>6475.6</v>
      </c>
      <c r="I16">
        <v>7921.5</v>
      </c>
      <c r="J16" s="107">
        <f t="shared" si="7"/>
        <v>1429.9950999999996</v>
      </c>
      <c r="K16" s="107">
        <f t="shared" si="0"/>
        <v>0.48376018267990589</v>
      </c>
      <c r="L16" s="21">
        <v>77.299700000000001</v>
      </c>
      <c r="M16" s="10">
        <v>79.962400000000002</v>
      </c>
      <c r="N16" s="10">
        <v>78.061599999999999</v>
      </c>
      <c r="O16" s="21">
        <v>18.957899999999999</v>
      </c>
      <c r="P16" s="10">
        <v>19.293600000000001</v>
      </c>
      <c r="Q16" s="10">
        <v>19.888300000000001</v>
      </c>
      <c r="R16" s="21">
        <v>3.7423000000000002</v>
      </c>
      <c r="S16" s="10">
        <v>0.74390000000000001</v>
      </c>
      <c r="T16" s="10">
        <v>2.0501</v>
      </c>
      <c r="U16" s="21">
        <f t="shared" si="12"/>
        <v>78.441233333333329</v>
      </c>
      <c r="V16" s="10">
        <f t="shared" si="13"/>
        <v>1.3713438384786421</v>
      </c>
      <c r="W16" s="21">
        <f t="shared" si="14"/>
        <v>19.379933333333334</v>
      </c>
      <c r="X16" s="10">
        <f t="shared" si="15"/>
        <v>0.47116995164519382</v>
      </c>
      <c r="Y16" s="21">
        <f t="shared" si="16"/>
        <v>2.1787666666666667</v>
      </c>
      <c r="Z16" s="22">
        <f t="shared" si="17"/>
        <v>1.5033352830733846</v>
      </c>
      <c r="AA16" s="19">
        <f t="shared" si="11"/>
        <v>0.30000768286904744</v>
      </c>
      <c r="AB16" s="19">
        <f t="shared" si="8"/>
        <v>0.87099004703917005</v>
      </c>
      <c r="AC16" s="19">
        <f t="shared" si="9"/>
        <v>9.3041665948360682E-4</v>
      </c>
      <c r="AD16" s="19">
        <f t="shared" si="10"/>
        <v>9.3752400896577312E-2</v>
      </c>
      <c r="AE16" s="19"/>
      <c r="AF16" s="19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</row>
    <row r="17" spans="1:61" ht="15" customHeight="1" x14ac:dyDescent="0.3">
      <c r="A17" t="s">
        <v>65</v>
      </c>
      <c r="C17" s="4">
        <v>45440</v>
      </c>
      <c r="D17" s="83">
        <v>45436.441666666666</v>
      </c>
      <c r="E17" s="83">
        <v>45436.695833333331</v>
      </c>
      <c r="F17" s="109"/>
      <c r="G17" s="84">
        <f>E17-'Pre-Summary'!$C$1</f>
        <v>10.166666666664241</v>
      </c>
      <c r="H17">
        <v>7921.5</v>
      </c>
      <c r="I17">
        <v>8144.2</v>
      </c>
      <c r="J17" s="107">
        <f t="shared" si="7"/>
        <v>220.25029999999981</v>
      </c>
      <c r="K17" s="107">
        <f t="shared" si="0"/>
        <v>0.60177677595858059</v>
      </c>
      <c r="L17" s="21">
        <v>77.7547</v>
      </c>
      <c r="M17" s="10">
        <v>79.348200000000006</v>
      </c>
      <c r="N17" s="10">
        <v>79.248500000000007</v>
      </c>
      <c r="O17" s="21">
        <v>20.715199999999999</v>
      </c>
      <c r="P17" s="10">
        <v>19.990400000000001</v>
      </c>
      <c r="Q17" s="10">
        <v>20.034500000000001</v>
      </c>
      <c r="R17" s="21">
        <v>1.5301</v>
      </c>
      <c r="S17" s="10">
        <v>0.66139999999999999</v>
      </c>
      <c r="T17" s="10">
        <v>0.71699999999999997</v>
      </c>
      <c r="U17" s="21">
        <f t="shared" si="12"/>
        <v>78.783799999999999</v>
      </c>
      <c r="V17" s="10">
        <f t="shared" si="13"/>
        <v>0.89261981268623369</v>
      </c>
      <c r="W17" s="21">
        <f t="shared" si="14"/>
        <v>20.246700000000001</v>
      </c>
      <c r="X17" s="10">
        <f t="shared" si="15"/>
        <v>0.40633162564584996</v>
      </c>
      <c r="Y17" s="21">
        <f t="shared" si="16"/>
        <v>0.96950000000000003</v>
      </c>
      <c r="Z17" s="22">
        <f t="shared" si="17"/>
        <v>0.48628912181951961</v>
      </c>
      <c r="AA17" s="19">
        <f t="shared" si="11"/>
        <v>0.38988780319361904</v>
      </c>
      <c r="AB17" s="19">
        <f t="shared" si="8"/>
        <v>1.1319323318524424</v>
      </c>
      <c r="AC17" s="19">
        <f t="shared" si="9"/>
        <v>1.2091627252731119E-3</v>
      </c>
      <c r="AD17" s="19">
        <f t="shared" si="10"/>
        <v>0.12183993849800594</v>
      </c>
      <c r="AE17" s="19"/>
      <c r="AF17" s="19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</row>
    <row r="18" spans="1:61" ht="15" customHeight="1" x14ac:dyDescent="0.3">
      <c r="A18" t="s">
        <v>66</v>
      </c>
      <c r="C18" s="4">
        <v>45441</v>
      </c>
      <c r="D18" s="83">
        <v>45440.747916666667</v>
      </c>
      <c r="E18" s="2">
        <v>45440.895138888889</v>
      </c>
      <c r="F18" s="51"/>
      <c r="G18" s="84">
        <f>E18-'Pre-Summary'!$C$1</f>
        <v>14.365972222221899</v>
      </c>
      <c r="H18">
        <v>8217.2999999999993</v>
      </c>
      <c r="I18">
        <v>8327.1</v>
      </c>
      <c r="J18" s="107">
        <f t="shared" si="7"/>
        <v>108.59220000000109</v>
      </c>
      <c r="K18" s="107">
        <f t="shared" si="0"/>
        <v>0.51222735849169632</v>
      </c>
      <c r="L18" s="21">
        <v>87.500399999999999</v>
      </c>
      <c r="M18" s="10">
        <v>88.040700000000001</v>
      </c>
      <c r="N18" s="10">
        <v>87.810400000000001</v>
      </c>
      <c r="O18" s="21">
        <v>11.3393</v>
      </c>
      <c r="P18" s="10">
        <v>11.344799999999999</v>
      </c>
      <c r="Q18" s="10">
        <v>11.2523</v>
      </c>
      <c r="R18" s="21">
        <v>1.1601999999999999</v>
      </c>
      <c r="S18" s="10">
        <v>0.61450000000000005</v>
      </c>
      <c r="T18" s="10">
        <v>0.93720000000000003</v>
      </c>
      <c r="U18" s="21" t="e">
        <f>(AVERAGE(L18:N18)*(SUM(J18:J18)-30)-#REF!*(#REF!-30))/J18</f>
        <v>#REF!</v>
      </c>
      <c r="V18" s="10">
        <f t="shared" si="13"/>
        <v>0.27112794642628396</v>
      </c>
      <c r="W18" s="21" t="e">
        <f>(AVERAGE(O18:Q18)*(SUM(J18:J18)-30)-#REF!*(#REF!-30))/J18</f>
        <v>#REF!</v>
      </c>
      <c r="X18" s="10">
        <f t="shared" si="15"/>
        <v>5.1890108241680374E-2</v>
      </c>
      <c r="Y18" s="21">
        <v>0</v>
      </c>
      <c r="Z18" s="22">
        <f t="shared" si="17"/>
        <v>0.27436374274552611</v>
      </c>
      <c r="AA18" s="19" t="e">
        <f t="shared" si="11"/>
        <v>#REF!</v>
      </c>
      <c r="AB18" s="19" t="e">
        <f t="shared" si="8"/>
        <v>#REF!</v>
      </c>
      <c r="AC18" s="19" t="e">
        <f t="shared" si="9"/>
        <v>#REF!</v>
      </c>
      <c r="AD18" s="19" t="e">
        <f t="shared" si="10"/>
        <v>#REF!</v>
      </c>
      <c r="AE18" s="19"/>
      <c r="AF18" s="19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</row>
    <row r="19" spans="1:61" ht="15" customHeight="1" x14ac:dyDescent="0.3">
      <c r="A19" t="s">
        <v>67</v>
      </c>
      <c r="C19" s="4">
        <v>45441</v>
      </c>
      <c r="D19" s="2">
        <v>45440.895138888889</v>
      </c>
      <c r="E19" s="2">
        <v>45441.65347222222</v>
      </c>
      <c r="F19" s="51"/>
      <c r="G19" s="84">
        <f>E19-'Pre-Summary'!$C$1</f>
        <v>15.124305555553292</v>
      </c>
      <c r="H19">
        <v>8327.1</v>
      </c>
      <c r="I19">
        <v>8888.5</v>
      </c>
      <c r="J19" s="107">
        <f t="shared" si="7"/>
        <v>555.22459999999967</v>
      </c>
      <c r="K19" s="107">
        <f t="shared" si="0"/>
        <v>0.50844743589873653</v>
      </c>
      <c r="L19" s="21">
        <v>82.126999999999995</v>
      </c>
      <c r="M19" s="10">
        <v>81.957099999999997</v>
      </c>
      <c r="N19" s="10">
        <v>78.417699999999996</v>
      </c>
      <c r="O19" s="21">
        <v>16.975999999999999</v>
      </c>
      <c r="P19" s="10">
        <v>17.003900000000002</v>
      </c>
      <c r="Q19" s="10">
        <v>19.834</v>
      </c>
      <c r="R19" s="21">
        <v>0.89700000000000002</v>
      </c>
      <c r="S19" s="10">
        <v>1.0388999999999999</v>
      </c>
      <c r="T19" s="10">
        <v>1.7483</v>
      </c>
      <c r="U19" s="21">
        <f t="shared" si="12"/>
        <v>80.83393333333332</v>
      </c>
      <c r="V19" s="10">
        <f t="shared" si="13"/>
        <v>2.0942430955677835</v>
      </c>
      <c r="W19" s="21">
        <f t="shared" si="14"/>
        <v>17.937966666666668</v>
      </c>
      <c r="X19" s="10">
        <f t="shared" si="15"/>
        <v>1.6420722893141251</v>
      </c>
      <c r="Y19" s="21">
        <f t="shared" si="16"/>
        <v>1.2280666666666666</v>
      </c>
      <c r="Z19" s="22">
        <f t="shared" si="17"/>
        <v>0.45608764874016677</v>
      </c>
      <c r="AA19" s="19">
        <f t="shared" si="11"/>
        <v>0.29185642102091758</v>
      </c>
      <c r="AB19" s="19">
        <f t="shared" si="8"/>
        <v>0.84732509328653494</v>
      </c>
      <c r="AC19" s="19">
        <f t="shared" si="9"/>
        <v>9.0513707415170851E-4</v>
      </c>
      <c r="AD19" s="19">
        <f t="shared" si="10"/>
        <v>9.1205131569036729E-2</v>
      </c>
      <c r="AE19" s="19"/>
      <c r="AF19" s="19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</row>
    <row r="20" spans="1:61" ht="15" customHeight="1" x14ac:dyDescent="0.3">
      <c r="A20" s="29" t="s">
        <v>68</v>
      </c>
      <c r="B20" s="29"/>
      <c r="C20" s="4">
        <v>45461</v>
      </c>
      <c r="D20" s="2">
        <v>45441.65347222222</v>
      </c>
      <c r="E20" s="2">
        <v>45442.5</v>
      </c>
      <c r="F20" s="51"/>
      <c r="G20" s="84">
        <f>E20-'Pre-Summary'!$C$1</f>
        <v>15.970833333332848</v>
      </c>
      <c r="H20">
        <v>8888.5</v>
      </c>
      <c r="I20">
        <v>9500.6</v>
      </c>
      <c r="J20" s="107">
        <f t="shared" si="7"/>
        <v>605.36690000000033</v>
      </c>
      <c r="K20" s="107">
        <f t="shared" si="0"/>
        <v>0.49660943396122104</v>
      </c>
      <c r="L20" s="21">
        <v>0</v>
      </c>
      <c r="M20" s="10">
        <v>0</v>
      </c>
      <c r="N20" s="10">
        <v>0</v>
      </c>
      <c r="O20" s="10">
        <v>88.925899999999999</v>
      </c>
      <c r="P20" s="10">
        <v>90.491</v>
      </c>
      <c r="Q20" s="10">
        <v>88.072100000000006</v>
      </c>
      <c r="R20" s="29">
        <v>11.0741</v>
      </c>
      <c r="S20" s="10">
        <v>9.5090000000000003</v>
      </c>
      <c r="T20" s="10">
        <v>11.927899999999999</v>
      </c>
      <c r="U20" s="21">
        <f t="shared" si="12"/>
        <v>0</v>
      </c>
      <c r="V20" s="10">
        <f t="shared" si="13"/>
        <v>0</v>
      </c>
      <c r="W20" s="21">
        <f>AVERAGE(O20:Q20)</f>
        <v>89.163000000000011</v>
      </c>
      <c r="X20" s="10">
        <f>STDEV(O20:Q20)</f>
        <v>1.2267565406387664</v>
      </c>
      <c r="Y20" s="21">
        <f t="shared" si="16"/>
        <v>10.837000000000002</v>
      </c>
      <c r="Z20" s="22">
        <f t="shared" si="17"/>
        <v>1.2267565406387686</v>
      </c>
      <c r="AA20" s="19">
        <f t="shared" si="11"/>
        <v>1.4169339827290994</v>
      </c>
      <c r="AB20" s="19">
        <f t="shared" si="8"/>
        <v>4.1136793046973867</v>
      </c>
      <c r="AC20" s="19">
        <f t="shared" si="9"/>
        <v>4.3943507389944516E-3</v>
      </c>
      <c r="AD20" s="19">
        <f t="shared" si="10"/>
        <v>0.44279186960284356</v>
      </c>
      <c r="AE20" s="19"/>
      <c r="AF20" s="19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</row>
    <row r="21" spans="1:61" ht="15" customHeight="1" x14ac:dyDescent="0.3">
      <c r="A21" s="29" t="s">
        <v>69</v>
      </c>
      <c r="B21" s="29"/>
      <c r="C21" s="30">
        <v>45461</v>
      </c>
      <c r="D21" s="2">
        <v>45442.5</v>
      </c>
      <c r="E21" s="2">
        <v>45444.430555555555</v>
      </c>
      <c r="F21" s="51"/>
      <c r="G21" s="84">
        <f>E21-'Pre-Summary'!$C$1</f>
        <v>17.901388888887595</v>
      </c>
      <c r="H21">
        <v>9500.6</v>
      </c>
      <c r="I21">
        <v>10993.5</v>
      </c>
      <c r="J21" s="107">
        <f t="shared" si="7"/>
        <v>1476.4780999999996</v>
      </c>
      <c r="K21" s="107">
        <f t="shared" si="0"/>
        <v>0.53110723021604955</v>
      </c>
      <c r="L21" s="21">
        <v>69.347800000000007</v>
      </c>
      <c r="M21" s="10">
        <v>69.0822</v>
      </c>
      <c r="N21" s="10">
        <v>68.4221</v>
      </c>
      <c r="O21" s="21">
        <v>30.063800000000001</v>
      </c>
      <c r="P21" s="10">
        <v>30.167999999999999</v>
      </c>
      <c r="Q21" s="10">
        <v>31.061699999999998</v>
      </c>
      <c r="R21" s="21">
        <v>0.58840000000000003</v>
      </c>
      <c r="S21" s="10">
        <v>0.74980000000000002</v>
      </c>
      <c r="T21" s="10">
        <v>0.51359999999999995</v>
      </c>
      <c r="U21" s="21">
        <f t="shared" si="12"/>
        <v>68.950699999999998</v>
      </c>
      <c r="V21" s="10">
        <f t="shared" si="13"/>
        <v>0.47665428771805091</v>
      </c>
      <c r="W21" s="21">
        <f t="shared" si="14"/>
        <v>30.431166666666666</v>
      </c>
      <c r="X21" s="10">
        <f t="shared" si="15"/>
        <v>0.5485377136836922</v>
      </c>
      <c r="Y21" s="21">
        <f t="shared" si="16"/>
        <v>0.61726666666666663</v>
      </c>
      <c r="Z21" s="22">
        <f t="shared" si="17"/>
        <v>0.12071691403168615</v>
      </c>
      <c r="AA21" s="19">
        <f t="shared" si="11"/>
        <v>0.5171908044984419</v>
      </c>
      <c r="AB21" s="19">
        <f t="shared" si="8"/>
        <v>1.5015216904793474</v>
      </c>
      <c r="AC21" s="19">
        <f t="shared" si="9"/>
        <v>1.6039687251846921E-3</v>
      </c>
      <c r="AD21" s="19">
        <f t="shared" si="10"/>
        <v>0.16162212640576307</v>
      </c>
      <c r="AE21" s="19"/>
      <c r="AF21" s="19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</row>
    <row r="22" spans="1:61" ht="15" customHeight="1" x14ac:dyDescent="0.3">
      <c r="A22" s="29" t="s">
        <v>70</v>
      </c>
      <c r="B22" s="29"/>
      <c r="C22" s="30">
        <v>45461</v>
      </c>
      <c r="D22" s="2">
        <v>45444.430555555555</v>
      </c>
      <c r="E22" s="2">
        <v>45449.727777777778</v>
      </c>
      <c r="F22" s="51"/>
      <c r="G22" s="84">
        <f>E22-'Pre-Summary'!$C$1</f>
        <v>23.198611111110949</v>
      </c>
      <c r="H22">
        <v>10993.5</v>
      </c>
      <c r="I22">
        <v>14128.1</v>
      </c>
      <c r="J22" s="107">
        <f t="shared" si="7"/>
        <v>3100.1194000000005</v>
      </c>
      <c r="K22" s="107">
        <f t="shared" si="0"/>
        <v>0.40641313581533012</v>
      </c>
      <c r="L22" s="21">
        <v>58.712200000000003</v>
      </c>
      <c r="M22" s="10">
        <v>58.7318</v>
      </c>
      <c r="N22" s="10">
        <v>58.710299999999997</v>
      </c>
      <c r="O22" s="21">
        <v>40.399900000000002</v>
      </c>
      <c r="P22" s="10">
        <v>40.502800000000001</v>
      </c>
      <c r="Q22" s="10">
        <v>40.584200000000003</v>
      </c>
      <c r="R22" s="21">
        <v>0.88800000000000001</v>
      </c>
      <c r="S22" s="10">
        <v>0.76539999999999997</v>
      </c>
      <c r="T22" s="10">
        <v>0.7056</v>
      </c>
      <c r="U22" s="21">
        <f t="shared" si="12"/>
        <v>58.7181</v>
      </c>
      <c r="V22" s="10">
        <f t="shared" si="13"/>
        <v>1.1902520741423089E-2</v>
      </c>
      <c r="W22" s="21">
        <f t="shared" si="14"/>
        <v>40.495633333333338</v>
      </c>
      <c r="X22" s="10">
        <f t="shared" si="15"/>
        <v>9.2358775074885824E-2</v>
      </c>
      <c r="Y22" s="21">
        <f t="shared" si="16"/>
        <v>0.78633333333333333</v>
      </c>
      <c r="Z22" s="22">
        <f t="shared" si="17"/>
        <v>9.2984371446675568E-2</v>
      </c>
      <c r="AA22" s="19">
        <f t="shared" si="11"/>
        <v>0.52665463455449002</v>
      </c>
      <c r="AB22" s="19">
        <f t="shared" si="8"/>
        <v>1.5289973261259386</v>
      </c>
      <c r="AC22" s="19">
        <f t="shared" si="9"/>
        <v>1.6333189906927669E-3</v>
      </c>
      <c r="AD22" s="19">
        <f t="shared" si="10"/>
        <v>0.1645795732982781</v>
      </c>
      <c r="AE22" s="19"/>
      <c r="AF22" s="19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</row>
    <row r="23" spans="1:61" ht="15" customHeight="1" x14ac:dyDescent="0.3">
      <c r="A23" s="29" t="s">
        <v>71</v>
      </c>
      <c r="B23" s="29"/>
      <c r="C23" s="30">
        <v>45461</v>
      </c>
      <c r="D23" s="2">
        <v>45449.727777777778</v>
      </c>
      <c r="E23" s="2">
        <v>45450.524305555555</v>
      </c>
      <c r="F23" s="51"/>
      <c r="G23" s="84">
        <f>E23-'Pre-Summary'!$C$1</f>
        <v>23.995138888887595</v>
      </c>
      <c r="H23">
        <v>14128.1</v>
      </c>
      <c r="I23">
        <v>15232.1</v>
      </c>
      <c r="J23" s="107">
        <f t="shared" si="7"/>
        <v>1091.856</v>
      </c>
      <c r="K23" s="107">
        <f t="shared" si="0"/>
        <v>0.95192327811817912</v>
      </c>
      <c r="L23" s="21">
        <v>0</v>
      </c>
      <c r="M23" s="10">
        <v>0</v>
      </c>
      <c r="N23" s="10">
        <v>0</v>
      </c>
      <c r="O23" s="21">
        <v>87.820099999999996</v>
      </c>
      <c r="P23" s="10">
        <v>88.733400000000003</v>
      </c>
      <c r="Q23" s="10">
        <v>88.683099999999996</v>
      </c>
      <c r="R23" s="21">
        <v>12.1799</v>
      </c>
      <c r="S23" s="10">
        <v>11.2666</v>
      </c>
      <c r="T23" s="10">
        <v>11.3169</v>
      </c>
      <c r="U23" s="21">
        <f t="shared" ref="U23:U30" si="18">AVERAGE(L23:N23)</f>
        <v>0</v>
      </c>
      <c r="V23" s="10">
        <f t="shared" ref="V23:V30" si="19">STDEV(L23:N23)</f>
        <v>0</v>
      </c>
      <c r="W23" s="21">
        <f t="shared" ref="W23:W30" si="20">AVERAGE(O23:Q23)</f>
        <v>88.412199999999984</v>
      </c>
      <c r="X23" s="10">
        <f t="shared" ref="X23:X30" si="21">STDEV(O23:Q23)</f>
        <v>0.51339003691151042</v>
      </c>
      <c r="Y23" s="21">
        <f t="shared" ref="Y23:Y30" si="22">AVERAGE(R23:T23)</f>
        <v>11.587800000000001</v>
      </c>
      <c r="Z23" s="22">
        <f t="shared" ref="Z23:Z30" si="23">STDEV(R23:T23)</f>
        <v>0.5133900369115082</v>
      </c>
      <c r="AA23" s="19">
        <f t="shared" si="11"/>
        <v>2.6931721999884823</v>
      </c>
      <c r="AB23" s="19">
        <f t="shared" si="8"/>
        <v>7.8188870322246267</v>
      </c>
      <c r="AC23" s="19">
        <f t="shared" si="9"/>
        <v>8.3523603721214132E-3</v>
      </c>
      <c r="AD23" s="19">
        <f t="shared" si="10"/>
        <v>0.84161631249640068</v>
      </c>
      <c r="AE23" s="19"/>
      <c r="AF23" s="19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</row>
    <row r="24" spans="1:61" ht="15" customHeight="1" x14ac:dyDescent="0.3">
      <c r="A24" s="29" t="s">
        <v>72</v>
      </c>
      <c r="B24" s="29"/>
      <c r="C24" s="30">
        <v>45461</v>
      </c>
      <c r="D24" s="2">
        <v>45450.524305555555</v>
      </c>
      <c r="E24" s="2">
        <v>45453.387499999997</v>
      </c>
      <c r="F24" s="51"/>
      <c r="G24" s="84">
        <f>E24-'Pre-Summary'!$C$1</f>
        <v>26.858333333329938</v>
      </c>
      <c r="H24">
        <v>15232.1</v>
      </c>
      <c r="I24">
        <v>18118.400000000001</v>
      </c>
      <c r="J24" s="107">
        <f t="shared" si="7"/>
        <v>2854.5507000000011</v>
      </c>
      <c r="K24" s="107">
        <f t="shared" si="0"/>
        <v>0.69234797477615739</v>
      </c>
      <c r="L24" s="21">
        <v>46.087299999999999</v>
      </c>
      <c r="M24" s="10">
        <v>46.344700000000003</v>
      </c>
      <c r="N24" s="10">
        <v>46.376300000000001</v>
      </c>
      <c r="O24" s="21">
        <v>49.146999999999998</v>
      </c>
      <c r="P24" s="10">
        <v>48.99</v>
      </c>
      <c r="Q24" s="10">
        <v>48.920099999999998</v>
      </c>
      <c r="R24" s="21">
        <v>4.7656999999999998</v>
      </c>
      <c r="S24" s="10">
        <v>4.6653000000000002</v>
      </c>
      <c r="T24" s="10">
        <v>4.7035999999999998</v>
      </c>
      <c r="U24" s="21">
        <f t="shared" si="18"/>
        <v>46.269433333333332</v>
      </c>
      <c r="V24" s="10">
        <f t="shared" si="19"/>
        <v>0.15852146016654589</v>
      </c>
      <c r="W24" s="21">
        <f t="shared" si="20"/>
        <v>49.019033333333333</v>
      </c>
      <c r="X24" s="10">
        <f t="shared" si="21"/>
        <v>0.11620285423918504</v>
      </c>
      <c r="Y24" s="21">
        <f t="shared" si="22"/>
        <v>4.7115333333333336</v>
      </c>
      <c r="Z24" s="22">
        <f t="shared" si="23"/>
        <v>5.0667971474426671E-2</v>
      </c>
      <c r="AA24" s="19">
        <f t="shared" si="11"/>
        <v>1.086023310522185</v>
      </c>
      <c r="AB24" s="19">
        <f t="shared" si="8"/>
        <v>3.1529709015160212</v>
      </c>
      <c r="AC24" s="19">
        <f t="shared" si="9"/>
        <v>3.3680943468985753E-3</v>
      </c>
      <c r="AD24" s="19">
        <f t="shared" si="10"/>
        <v>0.33938228453818281</v>
      </c>
      <c r="AE24" s="19"/>
      <c r="AF24" s="19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BI24" t="s">
        <v>73</v>
      </c>
    </row>
    <row r="25" spans="1:61" ht="15" customHeight="1" x14ac:dyDescent="0.3">
      <c r="A25" s="29" t="s">
        <v>74</v>
      </c>
      <c r="B25" s="29"/>
      <c r="C25" s="30">
        <v>45461</v>
      </c>
      <c r="D25" s="2">
        <v>45453.387499999997</v>
      </c>
      <c r="E25" s="2">
        <v>45454.474999999999</v>
      </c>
      <c r="F25" s="51"/>
      <c r="G25" s="84">
        <f>E25-'Pre-Summary'!$C$1</f>
        <v>27.945833333331393</v>
      </c>
      <c r="H25">
        <v>18118.400000000001</v>
      </c>
      <c r="I25">
        <v>19175.2</v>
      </c>
      <c r="J25" s="107">
        <f t="shared" si="7"/>
        <v>1045.1751999999992</v>
      </c>
      <c r="K25" s="107">
        <f t="shared" si="0"/>
        <v>0.66741711366449596</v>
      </c>
      <c r="L25" s="21">
        <v>84.818799999999996</v>
      </c>
      <c r="M25" s="10">
        <v>84.952500000000001</v>
      </c>
      <c r="N25" s="10">
        <v>85.025899999999993</v>
      </c>
      <c r="O25" s="21">
        <v>14.0143</v>
      </c>
      <c r="P25" s="10">
        <v>14.318199999999999</v>
      </c>
      <c r="Q25" s="10">
        <v>14.069100000000001</v>
      </c>
      <c r="R25" s="21">
        <v>1.1669</v>
      </c>
      <c r="S25" s="10">
        <v>0.72940000000000005</v>
      </c>
      <c r="T25" s="10">
        <v>0.90500000000000003</v>
      </c>
      <c r="U25" s="21">
        <f t="shared" si="18"/>
        <v>84.932399999999987</v>
      </c>
      <c r="V25" s="10">
        <f t="shared" si="19"/>
        <v>0.10500290472172571</v>
      </c>
      <c r="W25" s="21">
        <f t="shared" si="20"/>
        <v>14.133866666666668</v>
      </c>
      <c r="X25" s="10">
        <f t="shared" si="21"/>
        <v>0.16197173621756694</v>
      </c>
      <c r="Y25" s="21">
        <f t="shared" si="22"/>
        <v>0.93376666666666674</v>
      </c>
      <c r="Z25" s="22">
        <f t="shared" si="23"/>
        <v>0.22016403732974449</v>
      </c>
      <c r="AA25" s="19">
        <f t="shared" si="11"/>
        <v>0.30186190385873596</v>
      </c>
      <c r="AB25" s="19">
        <f t="shared" si="8"/>
        <v>0.87637326926729797</v>
      </c>
      <c r="AC25" s="19">
        <f t="shared" si="9"/>
        <v>9.3616717254604528E-4</v>
      </c>
      <c r="AD25" s="19">
        <f t="shared" si="10"/>
        <v>9.433184495585499E-2</v>
      </c>
      <c r="AE25" s="19"/>
      <c r="AF25" s="19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BH25" t="s">
        <v>75</v>
      </c>
      <c r="BI25" t="s">
        <v>76</v>
      </c>
    </row>
    <row r="26" spans="1:61" ht="15" customHeight="1" x14ac:dyDescent="0.3">
      <c r="A26" s="29" t="s">
        <v>77</v>
      </c>
      <c r="B26" s="29"/>
      <c r="C26" s="30">
        <v>45461</v>
      </c>
      <c r="D26" s="2">
        <v>45454.474999999999</v>
      </c>
      <c r="E26" s="4">
        <v>45456.486805555556</v>
      </c>
      <c r="F26" s="51"/>
      <c r="G26" s="84">
        <f>E26-'Pre-Summary'!$C$1</f>
        <v>29.957638888889051</v>
      </c>
      <c r="H26">
        <v>19175.2</v>
      </c>
      <c r="I26">
        <v>22124.1</v>
      </c>
      <c r="J26" s="107">
        <f t="shared" si="7"/>
        <v>2916.4620999999979</v>
      </c>
      <c r="K26" s="107">
        <f t="shared" si="0"/>
        <v>1.0067180186389197</v>
      </c>
      <c r="L26" s="21">
        <v>88.295299999999997</v>
      </c>
      <c r="M26" s="10">
        <v>87.823899999999995</v>
      </c>
      <c r="N26" s="10">
        <v>88.2624</v>
      </c>
      <c r="O26" s="21">
        <v>11.3149</v>
      </c>
      <c r="P26" s="10">
        <v>11.6374</v>
      </c>
      <c r="Q26" s="10">
        <v>11.7376</v>
      </c>
      <c r="R26" s="21">
        <v>0.38979999999999998</v>
      </c>
      <c r="S26" s="10">
        <v>0.53869999999999996</v>
      </c>
      <c r="T26" s="10">
        <v>0</v>
      </c>
      <c r="U26" s="21">
        <f t="shared" si="18"/>
        <v>88.127200000000002</v>
      </c>
      <c r="V26" s="10">
        <f t="shared" si="19"/>
        <v>0.26318010943078712</v>
      </c>
      <c r="W26" s="21">
        <f t="shared" si="20"/>
        <v>11.5633</v>
      </c>
      <c r="X26" s="10">
        <f t="shared" si="21"/>
        <v>0.22087763580770262</v>
      </c>
      <c r="Y26" s="21">
        <f t="shared" si="22"/>
        <v>0.30949999999999994</v>
      </c>
      <c r="Z26" s="22">
        <f t="shared" si="23"/>
        <v>0.27818247608359514</v>
      </c>
      <c r="AA26" s="19">
        <f t="shared" si="11"/>
        <v>0.37251143887767746</v>
      </c>
      <c r="AB26" s="19">
        <f t="shared" si="8"/>
        <v>1.081484822548096</v>
      </c>
      <c r="AC26" s="19">
        <f t="shared" si="9"/>
        <v>1.1552732425565463E-3</v>
      </c>
      <c r="AD26" s="19">
        <f t="shared" si="10"/>
        <v>0.1164098246492742</v>
      </c>
      <c r="AE26" s="19"/>
      <c r="AF26" s="19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</row>
    <row r="27" spans="1:61" ht="15" customHeight="1" x14ac:dyDescent="0.3">
      <c r="A27" s="29" t="s">
        <v>78</v>
      </c>
      <c r="B27" s="29"/>
      <c r="C27" s="30">
        <v>45461</v>
      </c>
      <c r="D27" s="32">
        <v>45456.486805555556</v>
      </c>
      <c r="E27" s="32">
        <v>45460.413194444445</v>
      </c>
      <c r="F27" s="110"/>
      <c r="G27" s="84">
        <f>E27-'Pre-Summary'!$C$1</f>
        <v>33.884027777778101</v>
      </c>
      <c r="H27" s="33">
        <v>22124.1</v>
      </c>
      <c r="I27" s="33">
        <v>24986.6</v>
      </c>
      <c r="J27" s="107">
        <f t="shared" si="7"/>
        <v>2831.0124999999998</v>
      </c>
      <c r="K27" s="107">
        <f t="shared" si="0"/>
        <v>0.50070967456665783</v>
      </c>
      <c r="L27" s="34">
        <v>86.061899999999994</v>
      </c>
      <c r="M27" s="35">
        <v>86.302599999999998</v>
      </c>
      <c r="N27" s="35">
        <v>86.097399999999993</v>
      </c>
      <c r="O27" s="34">
        <v>13.500999999999999</v>
      </c>
      <c r="P27" s="35">
        <v>13.6974</v>
      </c>
      <c r="Q27" s="35">
        <v>13.519299999999999</v>
      </c>
      <c r="R27" s="34">
        <v>0.43709999999999999</v>
      </c>
      <c r="S27" s="35">
        <v>0</v>
      </c>
      <c r="T27" s="35">
        <v>0.38340000000000002</v>
      </c>
      <c r="U27" s="34">
        <v>86.153966670000003</v>
      </c>
      <c r="V27" s="35">
        <v>0.129938306</v>
      </c>
      <c r="W27" s="34">
        <v>13.57256667</v>
      </c>
      <c r="X27" s="35">
        <v>0.108495361</v>
      </c>
      <c r="Y27" s="34">
        <v>0.27350000000000002</v>
      </c>
      <c r="Z27" s="36">
        <v>0.23837493600000001</v>
      </c>
      <c r="AA27" s="19">
        <f t="shared" si="11"/>
        <v>0.21746929409183893</v>
      </c>
      <c r="AB27" s="19">
        <f t="shared" si="8"/>
        <v>0.63136246671824203</v>
      </c>
      <c r="AC27" s="19">
        <f t="shared" si="9"/>
        <v>6.7443957506083748E-4</v>
      </c>
      <c r="AD27" s="19">
        <f t="shared" si="10"/>
        <v>6.7959154403699665E-2</v>
      </c>
      <c r="AE27" s="19"/>
      <c r="AF27" s="19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</row>
    <row r="28" spans="1:61" ht="15" customHeight="1" x14ac:dyDescent="0.3">
      <c r="A28" s="33" t="s">
        <v>79</v>
      </c>
      <c r="B28" s="33"/>
      <c r="C28" s="33"/>
      <c r="D28" s="32">
        <v>45460.413194444445</v>
      </c>
      <c r="E28" s="32">
        <v>45464.40347222222</v>
      </c>
      <c r="F28" s="110"/>
      <c r="G28" s="84">
        <f>E28-'Pre-Summary'!$C$1</f>
        <v>37.874305555553292</v>
      </c>
      <c r="H28" s="33">
        <v>24986.6</v>
      </c>
      <c r="I28" s="33">
        <v>28195.3</v>
      </c>
      <c r="J28" s="107">
        <f t="shared" si="7"/>
        <v>3173.4043000000006</v>
      </c>
      <c r="K28" s="107">
        <f t="shared" si="0"/>
        <v>0.55228059519701667</v>
      </c>
      <c r="L28" s="34">
        <v>72.357699999999994</v>
      </c>
      <c r="M28" s="35">
        <v>72.174999999999997</v>
      </c>
      <c r="N28" s="35">
        <v>72.258099999999999</v>
      </c>
      <c r="O28" s="34">
        <v>26.957799999999999</v>
      </c>
      <c r="P28" s="35">
        <v>27.067599999999999</v>
      </c>
      <c r="Q28" s="35">
        <v>27.259599999999999</v>
      </c>
      <c r="R28" s="34">
        <v>0.6845</v>
      </c>
      <c r="S28" s="35">
        <v>0.75729999999999997</v>
      </c>
      <c r="T28" s="35">
        <v>0.4824</v>
      </c>
      <c r="U28" s="34">
        <v>72.263599999999997</v>
      </c>
      <c r="V28" s="35">
        <v>9.1474095000000005E-2</v>
      </c>
      <c r="W28" s="34">
        <v>27.094999999999999</v>
      </c>
      <c r="X28" s="35">
        <v>0.152754313</v>
      </c>
      <c r="Y28" s="34">
        <v>0.64139999999999997</v>
      </c>
      <c r="Z28" s="36">
        <v>0.14242791199999999</v>
      </c>
      <c r="AA28" s="19">
        <f t="shared" si="11"/>
        <v>0.47884936725962135</v>
      </c>
      <c r="AB28" s="19">
        <f t="shared" si="8"/>
        <v>1.3902078404311586</v>
      </c>
      <c r="AC28" s="19">
        <f t="shared" si="9"/>
        <v>1.4850600638651246E-3</v>
      </c>
      <c r="AD28" s="19">
        <f t="shared" si="10"/>
        <v>0.14964042726863166</v>
      </c>
      <c r="AE28" s="19"/>
      <c r="AF28" s="19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</row>
    <row r="29" spans="1:61" ht="15" customHeight="1" x14ac:dyDescent="0.3">
      <c r="A29" s="33" t="s">
        <v>80</v>
      </c>
      <c r="B29" s="33"/>
      <c r="C29" s="37">
        <v>45467</v>
      </c>
      <c r="D29" s="32">
        <v>45464.40347222222</v>
      </c>
      <c r="E29" s="32">
        <v>45466.884722222225</v>
      </c>
      <c r="F29" s="110">
        <v>12</v>
      </c>
      <c r="G29" s="84">
        <f>E29-'Pre-Summary'!$C$1</f>
        <v>40.355555555557657</v>
      </c>
      <c r="H29" s="33">
        <v>28195.3</v>
      </c>
      <c r="I29" s="33">
        <v>31797</v>
      </c>
      <c r="J29" s="107">
        <f t="shared" si="7"/>
        <v>3562.0813000000007</v>
      </c>
      <c r="K29" s="107">
        <f>J29/((E29-D29)*1440-F29)</f>
        <v>1.0003036506581613</v>
      </c>
      <c r="L29" s="34">
        <v>23.5413</v>
      </c>
      <c r="M29" s="35">
        <v>22.838899999999999</v>
      </c>
      <c r="N29" s="35">
        <v>22.983000000000001</v>
      </c>
      <c r="O29" s="34">
        <v>69.663799999999995</v>
      </c>
      <c r="P29" s="35">
        <v>68.518699999999995</v>
      </c>
      <c r="Q29" s="35">
        <v>68.7821</v>
      </c>
      <c r="R29" s="34">
        <v>6.7949000000000002</v>
      </c>
      <c r="S29" s="35">
        <v>8.6424000000000003</v>
      </c>
      <c r="T29" s="35">
        <v>8.2348999999999997</v>
      </c>
      <c r="U29" s="34">
        <v>23.121066670000001</v>
      </c>
      <c r="V29" s="35">
        <v>0.37099628499999998</v>
      </c>
      <c r="W29" s="34">
        <v>68.988200000000006</v>
      </c>
      <c r="X29" s="35">
        <v>0.59972611200000003</v>
      </c>
      <c r="Y29" s="34">
        <v>7.890733333</v>
      </c>
      <c r="Z29" s="36">
        <v>0.97064518899999996</v>
      </c>
      <c r="AA29" s="19">
        <f t="shared" si="11"/>
        <v>2.2082927459947319</v>
      </c>
      <c r="AB29" s="19">
        <f t="shared" si="8"/>
        <v>6.4111724883718031</v>
      </c>
      <c r="AC29" s="19">
        <f t="shared" si="9"/>
        <v>6.8485991433330767E-3</v>
      </c>
      <c r="AD29" s="19">
        <f t="shared" si="10"/>
        <v>0.69009148312335367</v>
      </c>
      <c r="AE29" s="19"/>
      <c r="AF29" s="19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</row>
    <row r="30" spans="1:61" ht="15" customHeight="1" x14ac:dyDescent="0.3">
      <c r="A30" t="s">
        <v>81</v>
      </c>
      <c r="C30" s="4">
        <v>45468</v>
      </c>
      <c r="D30" s="2">
        <v>45466.884722222225</v>
      </c>
      <c r="E30" s="2">
        <v>45468.438194444447</v>
      </c>
      <c r="F30" s="51"/>
      <c r="G30" s="31">
        <f>E30-'Pre-Summary'!$C$1</f>
        <v>41.909027777779556</v>
      </c>
      <c r="H30">
        <v>31797</v>
      </c>
      <c r="I30">
        <v>33483.1</v>
      </c>
      <c r="J30" s="107">
        <f t="shared" si="7"/>
        <v>1667.5528999999985</v>
      </c>
      <c r="K30" s="107">
        <f t="shared" ref="K30:K90" si="24">J30/((E30-D30)*1440-F30)</f>
        <v>0.74544161823886712</v>
      </c>
      <c r="L30" s="21">
        <v>17.636600000000001</v>
      </c>
      <c r="M30" s="10">
        <v>17.697700000000001</v>
      </c>
      <c r="N30" s="10">
        <v>17.9739</v>
      </c>
      <c r="O30" s="21">
        <v>75.864800000000002</v>
      </c>
      <c r="P30" s="10">
        <v>75.828699999999998</v>
      </c>
      <c r="Q30" s="10">
        <v>75.277600000000007</v>
      </c>
      <c r="R30" s="21">
        <v>6.4984999999999999</v>
      </c>
      <c r="S30" s="10">
        <v>6.4737</v>
      </c>
      <c r="T30" s="10">
        <v>6.7484999999999999</v>
      </c>
      <c r="U30" s="21">
        <f t="shared" si="18"/>
        <v>17.769400000000001</v>
      </c>
      <c r="V30" s="10">
        <f t="shared" si="19"/>
        <v>0.17971780657464032</v>
      </c>
      <c r="W30" s="21">
        <f t="shared" si="20"/>
        <v>75.657033333333331</v>
      </c>
      <c r="X30" s="10">
        <f t="shared" si="21"/>
        <v>0.32909427727222923</v>
      </c>
      <c r="Y30" s="21">
        <f t="shared" si="22"/>
        <v>6.5735666666666672</v>
      </c>
      <c r="Z30" s="22">
        <f t="shared" si="23"/>
        <v>0.15200333329678439</v>
      </c>
      <c r="AA30" s="19">
        <f t="shared" si="11"/>
        <v>1.8047328434928613</v>
      </c>
      <c r="AB30" s="19">
        <f t="shared" si="8"/>
        <v>5.239546964979275</v>
      </c>
      <c r="AC30" s="19">
        <f t="shared" si="9"/>
        <v>5.5970350073865447E-3</v>
      </c>
      <c r="AD30" s="19">
        <f t="shared" si="10"/>
        <v>0.56397901359151914</v>
      </c>
      <c r="AE30" s="19"/>
      <c r="AF30" s="19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</row>
    <row r="31" spans="1:61" ht="15" customHeight="1" x14ac:dyDescent="0.3">
      <c r="A31" t="s">
        <v>82</v>
      </c>
      <c r="C31" s="4">
        <v>45470</v>
      </c>
      <c r="D31" s="2">
        <v>45468.438194444447</v>
      </c>
      <c r="E31" s="4">
        <v>45469.708333333336</v>
      </c>
      <c r="F31" s="51"/>
      <c r="G31" s="31">
        <f>E31-'Pre-Summary'!$C$1</f>
        <v>43.179166666668607</v>
      </c>
      <c r="H31">
        <v>33483.1</v>
      </c>
      <c r="I31">
        <v>34520.699999999997</v>
      </c>
      <c r="J31" s="107">
        <f t="shared" si="7"/>
        <v>1026.1863999999985</v>
      </c>
      <c r="K31" s="107">
        <f t="shared" si="24"/>
        <v>0.56106418808084624</v>
      </c>
      <c r="L31" s="21">
        <v>10.702500000000001</v>
      </c>
      <c r="M31" s="10">
        <v>10.5303</v>
      </c>
      <c r="N31" s="10">
        <v>10.786300000000001</v>
      </c>
      <c r="O31" s="21">
        <v>82.877399999999994</v>
      </c>
      <c r="P31" s="10">
        <v>82.558199999999999</v>
      </c>
      <c r="Q31" s="10">
        <v>82.479299999999995</v>
      </c>
      <c r="R31" s="21">
        <v>6.4200999999999997</v>
      </c>
      <c r="S31" s="10">
        <v>6.9115000000000002</v>
      </c>
      <c r="T31" s="10">
        <v>6.7343999999999999</v>
      </c>
      <c r="U31" s="21">
        <f>AVERAGE(L31:N31)</f>
        <v>10.673033333333334</v>
      </c>
      <c r="V31" s="10">
        <f>STDEV(L31:N31)</f>
        <v>0.1305190152174516</v>
      </c>
      <c r="W31" s="21">
        <f>AVERAGE(O31:Q31)</f>
        <v>82.638300000000001</v>
      </c>
      <c r="X31" s="10">
        <f>STDEV(O31:Q31)</f>
        <v>0.21079115256575526</v>
      </c>
      <c r="Y31" s="21">
        <f>AVERAGE(R31:T31)</f>
        <v>6.6886666666666663</v>
      </c>
      <c r="Z31" s="22">
        <f>STDEV(R31:T31)</f>
        <v>0.24887174072870036</v>
      </c>
      <c r="AA31" s="19">
        <f t="shared" si="11"/>
        <v>1.4836925022042045</v>
      </c>
      <c r="AB31" s="19">
        <f t="shared" si="8"/>
        <v>4.307494361238013</v>
      </c>
      <c r="AC31" s="19">
        <f t="shared" si="9"/>
        <v>4.6013895657607993E-3</v>
      </c>
      <c r="AD31" s="19">
        <f t="shared" si="10"/>
        <v>0.46365390693881392</v>
      </c>
      <c r="AE31" s="19"/>
      <c r="AF31" s="19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</row>
    <row r="32" spans="1:61" ht="15" customHeight="1" x14ac:dyDescent="0.3">
      <c r="A32" t="s">
        <v>83</v>
      </c>
      <c r="C32" s="4">
        <v>45470</v>
      </c>
      <c r="D32" s="2">
        <v>45469.708333333336</v>
      </c>
      <c r="E32" s="2">
        <v>45470.782638888886</v>
      </c>
      <c r="F32" s="51"/>
      <c r="G32" s="31">
        <f>E32-'Pre-Summary'!$C$1</f>
        <v>44.253472222218988</v>
      </c>
      <c r="H32">
        <v>34520.699999999997</v>
      </c>
      <c r="I32">
        <v>35528.800000000003</v>
      </c>
      <c r="J32" s="107">
        <f t="shared" si="7"/>
        <v>997.01090000000579</v>
      </c>
      <c r="K32" s="107">
        <f t="shared" si="24"/>
        <v>0.64448021978332748</v>
      </c>
      <c r="L32" s="21">
        <v>48.314300000000003</v>
      </c>
      <c r="M32" s="10">
        <v>43.557000000000002</v>
      </c>
      <c r="N32" s="10">
        <v>47.221899999999998</v>
      </c>
      <c r="O32" s="21">
        <v>49.711399999999998</v>
      </c>
      <c r="P32" s="10">
        <v>52.7423</v>
      </c>
      <c r="Q32" s="10">
        <v>50.427</v>
      </c>
      <c r="R32" s="21">
        <v>1.9742999999999999</v>
      </c>
      <c r="S32" s="10">
        <v>3.7006999999999999</v>
      </c>
      <c r="T32" s="10">
        <v>2.3512</v>
      </c>
      <c r="U32" s="21">
        <f>AVERAGE(L32:N32)</f>
        <v>46.364399999999996</v>
      </c>
      <c r="V32" s="10">
        <f>STDEV(L32:N32)</f>
        <v>2.4918779083253653</v>
      </c>
      <c r="W32" s="21">
        <f>AVERAGE(O32:Q32)</f>
        <v>50.960233333333328</v>
      </c>
      <c r="X32" s="10">
        <f>STDEV(O32:Q32)</f>
        <v>1.5842481003092088</v>
      </c>
      <c r="Y32" s="21">
        <f>AVERAGE(R32:T32)</f>
        <v>2.6753999999999998</v>
      </c>
      <c r="Z32" s="22">
        <f>STDEV(R32:T32)</f>
        <v>0.9077133192809288</v>
      </c>
      <c r="AA32" s="19">
        <f t="shared" si="11"/>
        <v>1.050971596124042</v>
      </c>
      <c r="AB32" s="19">
        <f t="shared" si="8"/>
        <v>3.0512078597149608</v>
      </c>
      <c r="AC32" s="19">
        <f t="shared" si="9"/>
        <v>3.2593881340855888E-3</v>
      </c>
      <c r="AD32" s="19">
        <f t="shared" si="10"/>
        <v>0.32842862378876314</v>
      </c>
      <c r="AE32" s="19"/>
      <c r="AF32" s="19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</row>
    <row r="33" spans="1:47" ht="15" customHeight="1" x14ac:dyDescent="0.3">
      <c r="A33" t="s">
        <v>84</v>
      </c>
      <c r="C33" s="4">
        <v>45475</v>
      </c>
      <c r="D33" s="2">
        <v>45470.782638888886</v>
      </c>
      <c r="E33" s="2">
        <v>45471.451388888891</v>
      </c>
      <c r="F33" s="51"/>
      <c r="G33" s="31">
        <f>E33-'Pre-Summary'!$C$1</f>
        <v>44.922222222223354</v>
      </c>
      <c r="H33">
        <v>35528.800000000003</v>
      </c>
      <c r="I33">
        <v>36094.199999999997</v>
      </c>
      <c r="J33" s="107">
        <f t="shared" si="7"/>
        <v>559.18059999999423</v>
      </c>
      <c r="K33" s="107">
        <f t="shared" si="24"/>
        <v>0.58066521287263129</v>
      </c>
      <c r="L33" s="21">
        <v>53.914000000000001</v>
      </c>
      <c r="M33" s="10">
        <v>53.822600000000001</v>
      </c>
      <c r="N33" s="10">
        <v>51.820099999999996</v>
      </c>
      <c r="O33" s="21">
        <v>45.066299999999998</v>
      </c>
      <c r="P33" s="10">
        <v>45.218600000000002</v>
      </c>
      <c r="Q33" s="10">
        <v>45.5092</v>
      </c>
      <c r="R33" s="21">
        <v>1.0197000000000001</v>
      </c>
      <c r="S33" s="10">
        <v>0.9587</v>
      </c>
      <c r="T33" s="10">
        <v>2.6705999999999999</v>
      </c>
      <c r="U33" s="21">
        <f>AVERAGE(L33:N33)</f>
        <v>53.185566666666666</v>
      </c>
      <c r="V33" s="10">
        <f>STDEV(L33:N33)</f>
        <v>1.183411552813872</v>
      </c>
      <c r="W33" s="21">
        <f>AVERAGE(O33:Q33)</f>
        <v>45.264699999999998</v>
      </c>
      <c r="X33" s="10">
        <f>STDEV(O33:Q33)</f>
        <v>0.22502002133143667</v>
      </c>
      <c r="Y33" s="21">
        <f>AVERAGE(R33:T33)</f>
        <v>1.5496666666666667</v>
      </c>
      <c r="Z33" s="22">
        <f>STDEV(R33:T33)</f>
        <v>0.97123576094238495</v>
      </c>
      <c r="AA33" s="19">
        <f t="shared" si="11"/>
        <v>0.84107637315570549</v>
      </c>
      <c r="AB33" s="19">
        <f t="shared" si="8"/>
        <v>2.4418346317423709</v>
      </c>
      <c r="AC33" s="19">
        <f t="shared" si="9"/>
        <v>2.6084380973126634E-3</v>
      </c>
      <c r="AD33" s="19">
        <f t="shared" si="10"/>
        <v>0.26283636661115795</v>
      </c>
      <c r="AE33" s="19"/>
      <c r="AF33" s="19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</row>
    <row r="34" spans="1:47" ht="15" customHeight="1" x14ac:dyDescent="0.3">
      <c r="A34" t="s">
        <v>85</v>
      </c>
      <c r="C34" s="4">
        <v>45475</v>
      </c>
      <c r="D34" s="2">
        <v>45471.451388888891</v>
      </c>
      <c r="E34" s="2">
        <v>45475.60833333333</v>
      </c>
      <c r="F34" s="51"/>
      <c r="G34" s="31">
        <f>E34-'Pre-Summary'!$C$1</f>
        <v>49.079166666662786</v>
      </c>
      <c r="H34">
        <v>36094.199999999997</v>
      </c>
      <c r="I34">
        <v>39419.1</v>
      </c>
      <c r="J34" s="107">
        <f t="shared" si="7"/>
        <v>3288.3261000000016</v>
      </c>
      <c r="K34" s="107">
        <f t="shared" si="24"/>
        <v>0.54933613431406059</v>
      </c>
      <c r="L34" s="21">
        <v>51.4054</v>
      </c>
      <c r="M34" s="10">
        <v>46.028300000000002</v>
      </c>
      <c r="N34" s="10">
        <v>48.192</v>
      </c>
      <c r="O34" s="21">
        <v>48.015999999999998</v>
      </c>
      <c r="P34" s="10">
        <v>51.921500000000002</v>
      </c>
      <c r="Q34" s="10">
        <v>51.249299999999998</v>
      </c>
      <c r="R34" s="21">
        <v>0.5786</v>
      </c>
      <c r="S34" s="10">
        <v>2.0501999999999998</v>
      </c>
      <c r="T34" s="10">
        <v>0.55859999999999999</v>
      </c>
      <c r="U34" s="21">
        <f>AVERAGE(L34:N34)</f>
        <v>48.541899999999998</v>
      </c>
      <c r="V34" s="10">
        <f>STDEV(L34:N34)</f>
        <v>2.705572695382624</v>
      </c>
      <c r="W34" s="21">
        <f>AVERAGE(O34:Q34)</f>
        <v>50.395600000000002</v>
      </c>
      <c r="X34" s="10">
        <f>STDEV(O34:Q34)</f>
        <v>2.0880218700961937</v>
      </c>
      <c r="Y34" s="21">
        <f>AVERAGE(R34:T34)</f>
        <v>1.0624666666666667</v>
      </c>
      <c r="Z34" s="22">
        <f>STDEV(R34:T34)</f>
        <v>0.85546060887298192</v>
      </c>
      <c r="AA34" s="19">
        <f t="shared" si="11"/>
        <v>0.88589197089400551</v>
      </c>
      <c r="AB34" s="19">
        <f t="shared" si="8"/>
        <v>2.5719444316277582</v>
      </c>
      <c r="AC34" s="19">
        <f t="shared" si="9"/>
        <v>2.7474251337167642E-3</v>
      </c>
      <c r="AD34" s="19">
        <f t="shared" si="10"/>
        <v>0.27684124090437673</v>
      </c>
      <c r="AE34" s="19"/>
      <c r="AF34" s="19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</row>
    <row r="35" spans="1:47" ht="15" customHeight="1" x14ac:dyDescent="0.3">
      <c r="A35" t="s">
        <v>86</v>
      </c>
      <c r="C35" s="4">
        <v>45478</v>
      </c>
      <c r="D35" s="2">
        <v>45475.60833333333</v>
      </c>
      <c r="E35" s="2">
        <v>45478.479166666664</v>
      </c>
      <c r="F35" s="51"/>
      <c r="G35" s="31">
        <f>E35-'Pre-Summary'!$C$1</f>
        <v>51.94999999999709</v>
      </c>
      <c r="H35">
        <v>39419.1</v>
      </c>
      <c r="I35">
        <v>41670.199999999997</v>
      </c>
      <c r="J35" s="107">
        <f t="shared" si="7"/>
        <v>2226.3378999999986</v>
      </c>
      <c r="K35" s="107">
        <f t="shared" si="24"/>
        <v>0.53854327527799861</v>
      </c>
      <c r="L35" s="21">
        <v>42.635199999999998</v>
      </c>
      <c r="M35" s="10">
        <v>42.777900000000002</v>
      </c>
      <c r="N35" s="10">
        <v>42.859200000000001</v>
      </c>
      <c r="O35" s="21">
        <v>54.921199999999999</v>
      </c>
      <c r="P35" s="10">
        <v>55.371499999999997</v>
      </c>
      <c r="Q35" s="10">
        <v>54.8979</v>
      </c>
      <c r="R35" s="21">
        <v>2.4436</v>
      </c>
      <c r="S35" s="10">
        <v>1.8506</v>
      </c>
      <c r="T35" s="10">
        <v>2.2429000000000001</v>
      </c>
      <c r="U35" s="21">
        <f>(AVERAGE(L35:N35)*(SUM($J$34:$J$35)-100)-U34*($J$34-100))/$J$35</f>
        <v>34.473530854777252</v>
      </c>
      <c r="V35" s="10">
        <f>STDEV(L35:N35)</f>
        <v>0.11339384169051606</v>
      </c>
      <c r="W35" s="21">
        <f>(AVERAGE(O35:Q35)*(SUM($J$34:$J$35)-100)-W34*($J$34-100))/$J$35</f>
        <v>61.748454647266271</v>
      </c>
      <c r="X35" s="10">
        <f>STDEV(O35:Q35)</f>
        <v>0.26696127684241533</v>
      </c>
      <c r="Y35" s="21">
        <f>(AVERAGE(R35:T35)*(SUM($J$34:$J$35)-100)-Y34*($J$34-100))/$J$35</f>
        <v>3.7780622344374013</v>
      </c>
      <c r="Z35" s="22">
        <f>STDEV(R35:T35)</f>
        <v>0.30161475980683233</v>
      </c>
      <c r="AA35" s="19">
        <f t="shared" si="11"/>
        <v>1.0641348802909996</v>
      </c>
      <c r="AB35" s="19">
        <f t="shared" si="8"/>
        <v>3.089423846006127</v>
      </c>
      <c r="AC35" s="19">
        <f t="shared" si="9"/>
        <v>3.3002115515571996E-3</v>
      </c>
      <c r="AD35" s="19">
        <f t="shared" si="10"/>
        <v>0.33254215009093735</v>
      </c>
      <c r="AE35" s="19"/>
      <c r="AF35" s="19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>
        <f>(U35*(SUM(J34:J35)-100)-U34*(J34-100))/J35</f>
        <v>14.326297799925861</v>
      </c>
    </row>
    <row r="36" spans="1:47" ht="15" customHeight="1" x14ac:dyDescent="0.3">
      <c r="A36" t="s">
        <v>87</v>
      </c>
      <c r="C36" s="4">
        <v>45482</v>
      </c>
      <c r="D36" s="2">
        <v>45478.479166666664</v>
      </c>
      <c r="E36" s="2">
        <v>45482.426388888889</v>
      </c>
      <c r="F36" s="51"/>
      <c r="G36" s="31">
        <f>E36-'Pre-Summary'!$C$1</f>
        <v>55.897222222221899</v>
      </c>
      <c r="H36">
        <v>41670.199999999997</v>
      </c>
      <c r="I36">
        <v>44835</v>
      </c>
      <c r="J36" s="107">
        <f t="shared" si="7"/>
        <v>3129.9872000000028</v>
      </c>
      <c r="K36" s="107">
        <f t="shared" si="24"/>
        <v>0.55066629134376344</v>
      </c>
      <c r="L36" s="21">
        <v>44.788499999999999</v>
      </c>
      <c r="M36" s="10">
        <v>58.630800000000001</v>
      </c>
      <c r="N36" s="10">
        <v>48.765099999999997</v>
      </c>
      <c r="O36" s="21">
        <v>52.302</v>
      </c>
      <c r="P36" s="10">
        <v>50.852800000000002</v>
      </c>
      <c r="Q36" s="10">
        <v>50.810299999999998</v>
      </c>
      <c r="R36" s="21">
        <v>2.9095</v>
      </c>
      <c r="S36" s="10">
        <v>0.51639999999999997</v>
      </c>
      <c r="T36" s="10">
        <v>0.42459999999999998</v>
      </c>
      <c r="U36" s="21">
        <f t="shared" ref="U36:U45" si="25">AVERAGE(L36:N36)</f>
        <v>50.728133333333325</v>
      </c>
      <c r="V36" s="10">
        <f t="shared" ref="V36:V45" si="26">STDEV(L36:N36)</f>
        <v>7.126881661942658</v>
      </c>
      <c r="W36" s="21">
        <f t="shared" ref="W36:W45" si="27">AVERAGE(O36:Q36)</f>
        <v>51.3217</v>
      </c>
      <c r="X36" s="10">
        <f t="shared" ref="X36:X45" si="28">STDEV(O36:Q36)</f>
        <v>0.84923061061174643</v>
      </c>
      <c r="Y36" s="21">
        <f t="shared" ref="Y36:Y45" si="29">AVERAGE(R36:T36)</f>
        <v>1.2834999999999999</v>
      </c>
      <c r="Z36" s="22">
        <f t="shared" ref="Z36:Z45" si="30">STDEV(R36:T36)</f>
        <v>1.408905181337623</v>
      </c>
      <c r="AA36" s="19">
        <f t="shared" si="11"/>
        <v>0.90435616654263118</v>
      </c>
      <c r="AB36" s="19">
        <f t="shared" si="8"/>
        <v>2.6255501609302199</v>
      </c>
      <c r="AC36" s="19">
        <f t="shared" si="9"/>
        <v>2.8046883180164305E-3</v>
      </c>
      <c r="AD36" s="19">
        <f t="shared" si="10"/>
        <v>0.28261130204457224</v>
      </c>
      <c r="AE36" s="19"/>
      <c r="AF36" s="19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</row>
    <row r="37" spans="1:47" ht="15" customHeight="1" x14ac:dyDescent="0.3">
      <c r="A37" t="s">
        <v>88</v>
      </c>
      <c r="C37" s="4">
        <v>45485</v>
      </c>
      <c r="D37" s="2">
        <v>45482.426388888889</v>
      </c>
      <c r="E37" s="2">
        <v>45485.477083333331</v>
      </c>
      <c r="F37" s="51">
        <f>23+16</f>
        <v>39</v>
      </c>
      <c r="G37" s="31">
        <f>E37-'Pre-Summary'!$C$1</f>
        <v>58.947916666664241</v>
      </c>
      <c r="H37">
        <v>44835</v>
      </c>
      <c r="I37">
        <v>47095.5</v>
      </c>
      <c r="J37" s="107">
        <f t="shared" si="7"/>
        <v>2235.6345000000001</v>
      </c>
      <c r="K37" s="107">
        <f t="shared" si="24"/>
        <v>0.51346681212713696</v>
      </c>
      <c r="L37" s="21">
        <v>41.216500000000003</v>
      </c>
      <c r="M37" s="10">
        <v>42.747599999999998</v>
      </c>
      <c r="N37" s="10">
        <v>42.563299999999998</v>
      </c>
      <c r="O37" s="21">
        <v>57.596400000000003</v>
      </c>
      <c r="P37" s="10">
        <v>57.252400000000002</v>
      </c>
      <c r="Q37" s="10">
        <v>57.436700000000002</v>
      </c>
      <c r="R37" s="21">
        <v>1.1871</v>
      </c>
      <c r="S37" s="10">
        <v>0</v>
      </c>
      <c r="T37" s="10">
        <v>0</v>
      </c>
      <c r="U37" s="21">
        <f t="shared" si="25"/>
        <v>42.175800000000002</v>
      </c>
      <c r="V37" s="10">
        <f t="shared" si="26"/>
        <v>0.83587319014309525</v>
      </c>
      <c r="W37" s="21">
        <f t="shared" si="27"/>
        <v>57.428500000000007</v>
      </c>
      <c r="X37" s="10">
        <f t="shared" si="28"/>
        <v>0.17214653641592734</v>
      </c>
      <c r="Y37" s="21">
        <f t="shared" si="29"/>
        <v>0.3957</v>
      </c>
      <c r="Z37" s="22">
        <f t="shared" si="30"/>
        <v>0.68537250455500476</v>
      </c>
      <c r="AA37" s="19">
        <f t="shared" si="11"/>
        <v>0.94360412224778534</v>
      </c>
      <c r="AB37" s="19">
        <f t="shared" si="8"/>
        <v>2.7394958387838928</v>
      </c>
      <c r="AC37" s="19">
        <f t="shared" si="9"/>
        <v>2.9264083736147716E-3</v>
      </c>
      <c r="AD37" s="19">
        <f t="shared" si="10"/>
        <v>0.29487628820243289</v>
      </c>
      <c r="AE37" s="19"/>
      <c r="AF37" s="19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7" ht="15" customHeight="1" x14ac:dyDescent="0.3">
      <c r="A38" t="s">
        <v>89</v>
      </c>
      <c r="C38" s="4">
        <v>45488</v>
      </c>
      <c r="D38" s="2">
        <v>45485.477083333331</v>
      </c>
      <c r="E38" s="2">
        <v>45488.506944444445</v>
      </c>
      <c r="F38" s="51"/>
      <c r="G38" s="31">
        <f>E38-'Pre-Summary'!$C$1</f>
        <v>61.977777777778101</v>
      </c>
      <c r="H38">
        <v>47095.5</v>
      </c>
      <c r="I38">
        <v>50971.4</v>
      </c>
      <c r="J38" s="107">
        <f t="shared" si="7"/>
        <v>3833.2651000000014</v>
      </c>
      <c r="K38" s="107">
        <f t="shared" si="24"/>
        <v>0.87858471235308822</v>
      </c>
      <c r="L38" s="21">
        <v>9.6806999999999999</v>
      </c>
      <c r="M38" s="10">
        <v>8.4603000000000002</v>
      </c>
      <c r="N38" s="10">
        <v>8.5867000000000004</v>
      </c>
      <c r="O38" s="21">
        <v>66.272800000000004</v>
      </c>
      <c r="P38" s="10">
        <v>67.735600000000005</v>
      </c>
      <c r="Q38" s="10">
        <v>67.809299999999993</v>
      </c>
      <c r="R38" s="21">
        <v>24.046600000000002</v>
      </c>
      <c r="S38" s="10">
        <v>23.804099999999998</v>
      </c>
      <c r="T38" s="10">
        <v>23.603999999999999</v>
      </c>
      <c r="U38" s="21">
        <f t="shared" si="25"/>
        <v>8.9092333333333329</v>
      </c>
      <c r="V38" s="10">
        <f t="shared" si="26"/>
        <v>0.67109228376828556</v>
      </c>
      <c r="W38" s="21">
        <f t="shared" si="27"/>
        <v>67.272566666666663</v>
      </c>
      <c r="X38" s="10">
        <f t="shared" si="28"/>
        <v>0.86660715629016605</v>
      </c>
      <c r="Y38" s="21">
        <f t="shared" si="29"/>
        <v>23.818233333333335</v>
      </c>
      <c r="Z38" s="22">
        <f t="shared" si="30"/>
        <v>0.22163822624568597</v>
      </c>
      <c r="AA38" s="19">
        <f t="shared" si="11"/>
        <v>1.8913487562907934</v>
      </c>
      <c r="AB38" s="19">
        <f t="shared" si="8"/>
        <v>5.4910125182635934</v>
      </c>
      <c r="AC38" s="19">
        <f t="shared" si="9"/>
        <v>5.8656577555538042E-3</v>
      </c>
      <c r="AD38" s="19">
        <f t="shared" si="10"/>
        <v>0.59104648634087287</v>
      </c>
      <c r="AE38" s="19"/>
      <c r="AF38" s="19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</row>
    <row r="39" spans="1:47" ht="15" customHeight="1" x14ac:dyDescent="0.3">
      <c r="A39" t="s">
        <v>90</v>
      </c>
      <c r="B39" t="s">
        <v>91</v>
      </c>
      <c r="D39" s="2">
        <v>45488.506944444445</v>
      </c>
      <c r="E39" s="2">
        <v>45491.506944444445</v>
      </c>
      <c r="F39" s="51"/>
      <c r="G39" s="31">
        <f>E39-'Pre-Summary'!$C$1</f>
        <v>64.977777777778101</v>
      </c>
      <c r="H39">
        <v>50971.4</v>
      </c>
      <c r="I39">
        <v>54707.8</v>
      </c>
      <c r="J39" s="107">
        <f t="shared" si="7"/>
        <v>3695.2996000000012</v>
      </c>
      <c r="K39" s="107">
        <f t="shared" si="24"/>
        <v>0.85539342592592615</v>
      </c>
      <c r="L39" s="21">
        <v>0</v>
      </c>
      <c r="M39" s="10">
        <v>0</v>
      </c>
      <c r="N39" s="10">
        <v>0</v>
      </c>
      <c r="O39" s="21">
        <v>73.155199999999994</v>
      </c>
      <c r="P39" s="10">
        <v>71.542299999999997</v>
      </c>
      <c r="Q39" s="10">
        <v>72.031999999999996</v>
      </c>
      <c r="R39" s="21">
        <v>26.844799999999999</v>
      </c>
      <c r="S39" s="10">
        <v>28.457699999999999</v>
      </c>
      <c r="T39" s="10">
        <v>27.968</v>
      </c>
      <c r="U39" s="21">
        <f t="shared" si="25"/>
        <v>0</v>
      </c>
      <c r="V39" s="10">
        <f t="shared" si="26"/>
        <v>0</v>
      </c>
      <c r="W39" s="21">
        <f t="shared" si="27"/>
        <v>72.243166666666653</v>
      </c>
      <c r="X39" s="10">
        <f t="shared" si="28"/>
        <v>0.8269251014047948</v>
      </c>
      <c r="Y39" s="21">
        <f t="shared" si="29"/>
        <v>27.756833333333333</v>
      </c>
      <c r="Z39" s="22">
        <f t="shared" si="30"/>
        <v>0.82692510140479669</v>
      </c>
      <c r="AA39" s="19">
        <f t="shared" si="11"/>
        <v>1.9774825547116053</v>
      </c>
      <c r="AB39" s="19">
        <f t="shared" si="8"/>
        <v>5.7410783846465954</v>
      </c>
      <c r="AC39" s="19">
        <f t="shared" si="9"/>
        <v>6.1327853178512904E-3</v>
      </c>
      <c r="AD39" s="19">
        <f t="shared" si="10"/>
        <v>0.61796329834737662</v>
      </c>
      <c r="AE39" s="19"/>
      <c r="AF39" s="19"/>
    </row>
    <row r="40" spans="1:47" ht="33" customHeight="1" x14ac:dyDescent="0.3">
      <c r="A40" t="s">
        <v>92</v>
      </c>
      <c r="B40" s="1" t="s">
        <v>93</v>
      </c>
      <c r="D40" s="2">
        <v>45491.506944444445</v>
      </c>
      <c r="E40" s="2">
        <v>45498.679166666669</v>
      </c>
      <c r="F40" s="51"/>
      <c r="G40" s="31">
        <f>E40-'Pre-Summary'!$C$1</f>
        <v>72.150000000001455</v>
      </c>
      <c r="H40">
        <v>54707.8</v>
      </c>
      <c r="I40">
        <v>63571.9</v>
      </c>
      <c r="J40" s="107">
        <f t="shared" si="7"/>
        <v>8766.5948999999982</v>
      </c>
      <c r="K40" s="107">
        <f t="shared" si="24"/>
        <v>0.84881825135540423</v>
      </c>
      <c r="L40" s="21">
        <v>0.38469999999999999</v>
      </c>
      <c r="M40" s="10">
        <v>0.22370000000000001</v>
      </c>
      <c r="N40" s="10">
        <v>0.17530000000000001</v>
      </c>
      <c r="O40" s="21">
        <v>76.232399999999998</v>
      </c>
      <c r="P40" s="10">
        <v>75.756699999999995</v>
      </c>
      <c r="Q40" s="10">
        <v>75.936499999999995</v>
      </c>
      <c r="R40" s="21">
        <v>23.382999999999999</v>
      </c>
      <c r="S40" s="10">
        <v>24.0197</v>
      </c>
      <c r="T40" s="10">
        <v>23.888200000000001</v>
      </c>
      <c r="U40" s="21">
        <f>(AVERAGE(L40:N40)*(SUM(J39:J40)-101)-U39*(J39-101))/J40</f>
        <v>0.36833887159730255</v>
      </c>
      <c r="V40" s="10">
        <f t="shared" si="26"/>
        <v>0.10962961886886829</v>
      </c>
      <c r="W40" s="21">
        <f>(AVERAGE(O40:Q40)*(SUM(J39:J40)-101)-W39*(J39-101))/J40</f>
        <v>77.505331832279211</v>
      </c>
      <c r="X40" s="10">
        <f t="shared" si="28"/>
        <v>0.24019968775999867</v>
      </c>
      <c r="Y40" s="21">
        <f>(AVERAGE(R40:T40)*(SUM(J39:J40)-101)-Y39*(J39-101))/J40</f>
        <v>22.126423296090699</v>
      </c>
      <c r="Z40" s="22">
        <f t="shared" si="30"/>
        <v>0.33613146733582366</v>
      </c>
      <c r="AA40" s="19">
        <f t="shared" si="11"/>
        <v>2.105214087571059</v>
      </c>
      <c r="AB40" s="19">
        <f t="shared" si="8"/>
        <v>6.1119118671417842</v>
      </c>
      <c r="AC40" s="19">
        <f t="shared" si="9"/>
        <v>6.5289203267193422E-3</v>
      </c>
      <c r="AD40" s="19">
        <f t="shared" si="10"/>
        <v>0.65787940236595588</v>
      </c>
      <c r="AE40" s="19"/>
      <c r="AF40" s="19"/>
    </row>
    <row r="41" spans="1:47" ht="15" customHeight="1" x14ac:dyDescent="0.3">
      <c r="A41" t="s">
        <v>94</v>
      </c>
      <c r="D41" s="2">
        <v>45498.679166666669</v>
      </c>
      <c r="E41" s="2">
        <v>45499.637499999997</v>
      </c>
      <c r="F41" s="51"/>
      <c r="G41" s="31">
        <f>E41-'Pre-Summary'!$C$1</f>
        <v>73.108333333329938</v>
      </c>
      <c r="H41">
        <v>63571.9</v>
      </c>
      <c r="I41">
        <v>64937.2</v>
      </c>
      <c r="J41" s="107">
        <f t="shared" si="7"/>
        <v>1350.2816999999957</v>
      </c>
      <c r="K41" s="107">
        <f t="shared" si="24"/>
        <v>0.9784650000049494</v>
      </c>
      <c r="L41" s="21">
        <v>0</v>
      </c>
      <c r="M41" s="10">
        <v>8.9962</v>
      </c>
      <c r="N41" s="10">
        <v>8.9883000000000006</v>
      </c>
      <c r="O41" s="21">
        <v>64.286199999999994</v>
      </c>
      <c r="P41" s="10">
        <v>69.740700000000004</v>
      </c>
      <c r="Q41" s="10">
        <v>69.292500000000004</v>
      </c>
      <c r="R41" s="21">
        <v>35.713799999999999</v>
      </c>
      <c r="S41" s="10">
        <v>21.263100000000001</v>
      </c>
      <c r="T41" s="10">
        <v>21.719200000000001</v>
      </c>
      <c r="U41" s="21">
        <f t="shared" si="25"/>
        <v>5.9948333333333332</v>
      </c>
      <c r="V41" s="10">
        <f t="shared" si="26"/>
        <v>5.1916794607654015</v>
      </c>
      <c r="W41" s="21">
        <f t="shared" si="27"/>
        <v>67.773133333333348</v>
      </c>
      <c r="X41" s="10">
        <f t="shared" si="28"/>
        <v>3.0280767598152742</v>
      </c>
      <c r="Y41" s="21">
        <f t="shared" si="29"/>
        <v>26.232033333333334</v>
      </c>
      <c r="Z41" s="22">
        <f t="shared" si="30"/>
        <v>8.2146169200598305</v>
      </c>
      <c r="AA41" s="19">
        <f t="shared" si="11"/>
        <v>2.1220364450347344</v>
      </c>
      <c r="AB41" s="19">
        <f t="shared" si="8"/>
        <v>6.1607509694556812</v>
      </c>
      <c r="AC41" s="19">
        <f t="shared" si="9"/>
        <v>6.5810916627541726E-3</v>
      </c>
      <c r="AD41" s="19">
        <f t="shared" si="10"/>
        <v>0.66313638907335448</v>
      </c>
      <c r="AE41" s="19"/>
      <c r="AF41" s="19"/>
    </row>
    <row r="42" spans="1:47" ht="15" customHeight="1" x14ac:dyDescent="0.3">
      <c r="A42" t="s">
        <v>95</v>
      </c>
      <c r="D42" s="2">
        <v>45499.637499999997</v>
      </c>
      <c r="E42" s="2">
        <v>45502.53402777778</v>
      </c>
      <c r="F42" s="51"/>
      <c r="G42" s="31">
        <f>E42-'Pre-Summary'!$C$1</f>
        <v>76.004861111112405</v>
      </c>
      <c r="H42">
        <v>64937.2</v>
      </c>
      <c r="I42">
        <v>67298</v>
      </c>
      <c r="J42" s="107">
        <f t="shared" si="7"/>
        <v>2334.8312000000028</v>
      </c>
      <c r="K42" s="107">
        <f t="shared" si="24"/>
        <v>0.55977731958672339</v>
      </c>
      <c r="L42" s="21">
        <v>8.7131000000000007</v>
      </c>
      <c r="M42" s="10">
        <v>8.6641999999999992</v>
      </c>
      <c r="N42" s="10">
        <v>8.3849999999999998</v>
      </c>
      <c r="O42" s="21">
        <v>73.267200000000003</v>
      </c>
      <c r="P42" s="10">
        <v>73.245599999999996</v>
      </c>
      <c r="Q42" s="10">
        <v>73.013400000000004</v>
      </c>
      <c r="R42" s="21">
        <v>18.0197</v>
      </c>
      <c r="S42" s="10">
        <v>18.090199999999999</v>
      </c>
      <c r="T42" s="10">
        <v>18.601600000000001</v>
      </c>
      <c r="U42" s="21">
        <f t="shared" si="25"/>
        <v>8.5874333333333315</v>
      </c>
      <c r="V42" s="10">
        <f t="shared" si="26"/>
        <v>0.17700916172145839</v>
      </c>
      <c r="W42" s="21">
        <f t="shared" si="27"/>
        <v>73.17540000000001</v>
      </c>
      <c r="X42" s="10">
        <f t="shared" si="28"/>
        <v>0.1407111935845875</v>
      </c>
      <c r="Y42" s="21">
        <f t="shared" si="29"/>
        <v>18.237166666666667</v>
      </c>
      <c r="Z42" s="22">
        <f t="shared" si="30"/>
        <v>0.31757094220557053</v>
      </c>
      <c r="AA42" s="19">
        <f t="shared" si="11"/>
        <v>1.3107817366939623</v>
      </c>
      <c r="AB42" s="19">
        <f t="shared" si="8"/>
        <v>3.8054953645953749</v>
      </c>
      <c r="AC42" s="19">
        <f t="shared" si="9"/>
        <v>4.0651397761011926E-3</v>
      </c>
      <c r="AD42" s="19">
        <f t="shared" si="10"/>
        <v>0.4096192927168632</v>
      </c>
      <c r="AE42" s="19"/>
      <c r="AF42" s="19"/>
    </row>
    <row r="43" spans="1:47" ht="15" customHeight="1" x14ac:dyDescent="0.3">
      <c r="A43" t="s">
        <v>96</v>
      </c>
      <c r="D43" s="2">
        <v>45502.53402777778</v>
      </c>
      <c r="E43" s="2">
        <v>45503.43472222222</v>
      </c>
      <c r="F43" s="51"/>
      <c r="G43" s="31">
        <f>E43-'Pre-Summary'!$C$1</f>
        <v>76.905555555553292</v>
      </c>
      <c r="H43">
        <v>67298</v>
      </c>
      <c r="I43">
        <v>69794</v>
      </c>
      <c r="J43" s="107">
        <f t="shared" si="7"/>
        <v>2468.5439999999999</v>
      </c>
      <c r="K43" s="107">
        <f t="shared" si="24"/>
        <v>1.9032721665456815</v>
      </c>
      <c r="L43" s="21">
        <v>20.006499999999999</v>
      </c>
      <c r="M43" s="10">
        <v>20.305800000000001</v>
      </c>
      <c r="N43" s="10">
        <v>17.607800000000001</v>
      </c>
      <c r="O43" s="21">
        <v>60.482799999999997</v>
      </c>
      <c r="P43" s="10">
        <v>60.045400000000001</v>
      </c>
      <c r="Q43" s="10">
        <v>60.459200000000003</v>
      </c>
      <c r="R43" s="21">
        <v>19.5107</v>
      </c>
      <c r="S43" s="10">
        <v>19.648800000000001</v>
      </c>
      <c r="T43" s="10">
        <v>21.933</v>
      </c>
      <c r="U43" s="21">
        <f t="shared" si="25"/>
        <v>19.306700000000003</v>
      </c>
      <c r="V43" s="10">
        <f t="shared" si="26"/>
        <v>1.4788816822180195</v>
      </c>
      <c r="W43" s="21">
        <f t="shared" si="27"/>
        <v>60.329133333333338</v>
      </c>
      <c r="X43" s="10">
        <f t="shared" si="28"/>
        <v>0.24600344171034086</v>
      </c>
      <c r="Y43" s="21">
        <f t="shared" si="29"/>
        <v>20.364166666666666</v>
      </c>
      <c r="Z43" s="22">
        <f t="shared" si="30"/>
        <v>1.3604030370935416</v>
      </c>
      <c r="AA43" s="19">
        <f t="shared" si="11"/>
        <v>3.6743283297650122</v>
      </c>
      <c r="AB43" s="19">
        <f>(K43/100*W43*(1440/10^6))/($H$1/1000)</f>
        <v>10.667404828350039</v>
      </c>
      <c r="AC43" s="19">
        <f t="shared" si="9"/>
        <v>1.1395229141242288E-2</v>
      </c>
      <c r="AD43" s="19">
        <f t="shared" si="10"/>
        <v>1.1482276030515663</v>
      </c>
      <c r="AE43" s="19"/>
      <c r="AF43" s="19"/>
    </row>
    <row r="44" spans="1:47" ht="15" customHeight="1" x14ac:dyDescent="0.3">
      <c r="A44" t="s">
        <v>97</v>
      </c>
      <c r="D44" s="2">
        <v>45503.43472222222</v>
      </c>
      <c r="E44" s="2">
        <v>45505.486111111109</v>
      </c>
      <c r="F44" s="51">
        <v>42</v>
      </c>
      <c r="G44" s="31">
        <f>E44-'Pre-Summary'!$C$1</f>
        <v>78.956944444442343</v>
      </c>
      <c r="H44">
        <v>69794</v>
      </c>
      <c r="I44">
        <v>72341.600000000006</v>
      </c>
      <c r="J44" s="107">
        <f t="shared" si="7"/>
        <v>2519.5764000000058</v>
      </c>
      <c r="K44" s="107">
        <f t="shared" si="24"/>
        <v>0.86523914835158122</v>
      </c>
      <c r="L44" s="21">
        <v>14.7577</v>
      </c>
      <c r="M44" s="10">
        <v>16.434000000000001</v>
      </c>
      <c r="N44" s="10">
        <v>17.564299999999999</v>
      </c>
      <c r="O44" s="21">
        <v>63.390900000000002</v>
      </c>
      <c r="P44" s="10">
        <v>62.9358</v>
      </c>
      <c r="Q44" s="10">
        <v>60.9724</v>
      </c>
      <c r="R44" s="21">
        <v>21.851400000000002</v>
      </c>
      <c r="S44" s="10">
        <v>20.630199999999999</v>
      </c>
      <c r="T44" s="10">
        <v>21.4633</v>
      </c>
      <c r="U44" s="21">
        <f t="shared" si="25"/>
        <v>16.251999999999999</v>
      </c>
      <c r="V44" s="10">
        <f t="shared" si="26"/>
        <v>1.4121238932898204</v>
      </c>
      <c r="W44" s="21">
        <f t="shared" si="27"/>
        <v>62.433033333333334</v>
      </c>
      <c r="X44" s="10">
        <f t="shared" si="28"/>
        <v>1.28524951014709</v>
      </c>
      <c r="Y44" s="21">
        <f t="shared" si="29"/>
        <v>21.314966666666667</v>
      </c>
      <c r="Z44" s="22">
        <f t="shared" si="30"/>
        <v>0.6239667005003835</v>
      </c>
      <c r="AA44" s="19">
        <f t="shared" si="11"/>
        <v>1.728624146890855</v>
      </c>
      <c r="AB44" s="19">
        <f t="shared" si="8"/>
        <v>5.0185862329089339</v>
      </c>
      <c r="AC44" s="19">
        <f t="shared" si="9"/>
        <v>5.3609983880143677E-3</v>
      </c>
      <c r="AD44" s="19">
        <f t="shared" si="10"/>
        <v>0.54019504590339218</v>
      </c>
      <c r="AE44" s="19"/>
      <c r="AF44" s="19"/>
    </row>
    <row r="45" spans="1:47" ht="15" customHeight="1" x14ac:dyDescent="0.3">
      <c r="A45" t="s">
        <v>98</v>
      </c>
      <c r="D45" s="2">
        <v>45505.486111111109</v>
      </c>
      <c r="E45" s="2">
        <v>45509.393750000003</v>
      </c>
      <c r="F45" s="51">
        <v>63</v>
      </c>
      <c r="G45" s="31">
        <f>E45-'Pre-Summary'!$C$1</f>
        <v>82.864583333335759</v>
      </c>
      <c r="H45">
        <v>72341.600000000006</v>
      </c>
      <c r="I45">
        <v>76939.3</v>
      </c>
      <c r="J45" s="107">
        <f t="shared" si="7"/>
        <v>4547.125299999997</v>
      </c>
      <c r="K45" s="107">
        <f t="shared" si="24"/>
        <v>0.81724034866906348</v>
      </c>
      <c r="L45" s="21">
        <v>3.3613</v>
      </c>
      <c r="M45" s="10">
        <v>3.9150999999999998</v>
      </c>
      <c r="N45" s="10">
        <v>3.8052000000000001</v>
      </c>
      <c r="O45" s="21">
        <v>76.236000000000004</v>
      </c>
      <c r="P45" s="10">
        <v>75.2697</v>
      </c>
      <c r="Q45" s="10">
        <v>75.290300000000002</v>
      </c>
      <c r="R45" s="21">
        <v>20.402799999999999</v>
      </c>
      <c r="S45" s="10">
        <v>20.815200000000001</v>
      </c>
      <c r="T45" s="10">
        <v>20.904499999999999</v>
      </c>
      <c r="U45" s="21">
        <f t="shared" si="25"/>
        <v>3.6938666666666666</v>
      </c>
      <c r="V45" s="10">
        <f t="shared" si="26"/>
        <v>0.2932063153026096</v>
      </c>
      <c r="W45" s="21">
        <f t="shared" si="27"/>
        <v>75.598666666666659</v>
      </c>
      <c r="X45" s="10">
        <f t="shared" si="28"/>
        <v>0.55204295424661953</v>
      </c>
      <c r="Y45" s="21">
        <f t="shared" si="29"/>
        <v>20.7075</v>
      </c>
      <c r="Z45" s="22">
        <f t="shared" si="30"/>
        <v>0.26762882879092098</v>
      </c>
      <c r="AA45" s="19">
        <f t="shared" si="11"/>
        <v>1.977032982578655</v>
      </c>
      <c r="AB45" s="19">
        <f t="shared" si="8"/>
        <v>5.7397731752283523</v>
      </c>
      <c r="AC45" s="19">
        <f t="shared" si="9"/>
        <v>6.1313910555506178E-3</v>
      </c>
      <c r="AD45" s="19">
        <f t="shared" si="10"/>
        <v>0.6178228070558297</v>
      </c>
      <c r="AE45" s="19"/>
      <c r="AF45" s="19"/>
    </row>
    <row r="46" spans="1:47" ht="15" customHeight="1" x14ac:dyDescent="0.3">
      <c r="A46" t="s">
        <v>99</v>
      </c>
      <c r="D46" s="2">
        <v>45509.393750000003</v>
      </c>
      <c r="E46" s="2">
        <v>45512.688194444447</v>
      </c>
      <c r="F46" s="51"/>
      <c r="G46" s="31">
        <f>E46-'Pre-Summary'!$C$1</f>
        <v>86.159027777779556</v>
      </c>
      <c r="H46">
        <v>76939.3</v>
      </c>
      <c r="I46">
        <v>80533.7</v>
      </c>
      <c r="J46" s="107">
        <f t="shared" si="7"/>
        <v>3554.8615999999943</v>
      </c>
      <c r="K46" s="107">
        <f t="shared" si="24"/>
        <v>0.74933844856675635</v>
      </c>
      <c r="L46" s="21">
        <v>2.1198000000000001</v>
      </c>
      <c r="M46" s="10">
        <v>1.4123000000000001</v>
      </c>
      <c r="N46" s="10">
        <v>1.2008000000000001</v>
      </c>
      <c r="O46" s="21">
        <v>79.272000000000006</v>
      </c>
      <c r="P46" s="10">
        <v>79.882400000000004</v>
      </c>
      <c r="Q46" s="10">
        <v>79.933599999999998</v>
      </c>
      <c r="R46" s="21">
        <v>18.6082</v>
      </c>
      <c r="S46" s="10">
        <v>18.705300000000001</v>
      </c>
      <c r="T46" s="10">
        <v>18.865500000000001</v>
      </c>
      <c r="U46" s="21">
        <f t="shared" ref="U46:U54" si="31">AVERAGE(L46:N46)</f>
        <v>1.5776333333333337</v>
      </c>
      <c r="V46" s="10">
        <f t="shared" ref="V46:V54" si="32">STDEV(L46:N46)</f>
        <v>0.48129157829047142</v>
      </c>
      <c r="W46" s="21">
        <f t="shared" ref="W46:W54" si="33">AVERAGE(O46:Q46)</f>
        <v>79.696000000000012</v>
      </c>
      <c r="X46" s="10">
        <f t="shared" ref="X46:X54" si="34">STDEV(O46:Q46)</f>
        <v>0.36808607688962919</v>
      </c>
      <c r="Y46" s="21">
        <f t="shared" ref="Y46:Y54" si="35">AVERAGE(R46:T46)</f>
        <v>18.726333333333333</v>
      </c>
      <c r="Z46" s="22">
        <f t="shared" ref="Z46:Z54" si="36">STDEV(R46:T46)</f>
        <v>0.12993314947823523</v>
      </c>
      <c r="AA46" s="19">
        <f t="shared" si="11"/>
        <v>1.9110168639032392</v>
      </c>
      <c r="AB46" s="19">
        <f t="shared" si="8"/>
        <v>5.5481134758481145</v>
      </c>
      <c r="AC46" s="19">
        <f t="shared" si="9"/>
        <v>5.9266546433939188E-3</v>
      </c>
      <c r="AD46" s="19">
        <f t="shared" si="10"/>
        <v>0.59719276996976223</v>
      </c>
      <c r="AE46" s="19"/>
      <c r="AF46" s="19"/>
    </row>
    <row r="47" spans="1:47" ht="15" customHeight="1" x14ac:dyDescent="0.3">
      <c r="A47" t="s">
        <v>100</v>
      </c>
      <c r="C47" s="4">
        <v>45517</v>
      </c>
      <c r="D47" s="2">
        <v>45512.688194444447</v>
      </c>
      <c r="E47" s="2">
        <v>45516.625694444447</v>
      </c>
      <c r="F47" s="51"/>
      <c r="G47" s="31">
        <f>E47-'Pre-Summary'!$C$1</f>
        <v>90.096527777779556</v>
      </c>
      <c r="H47">
        <v>80533.7</v>
      </c>
      <c r="I47">
        <v>84981.6</v>
      </c>
      <c r="J47" s="107">
        <f t="shared" si="7"/>
        <v>4398.9731000000083</v>
      </c>
      <c r="K47" s="107">
        <f t="shared" si="24"/>
        <v>0.775832998236333</v>
      </c>
      <c r="L47" s="21">
        <v>0</v>
      </c>
      <c r="M47" s="10">
        <v>0</v>
      </c>
      <c r="N47" s="10">
        <v>0</v>
      </c>
      <c r="O47" s="21">
        <v>82.223699999999994</v>
      </c>
      <c r="P47" s="10">
        <v>82.614199999999997</v>
      </c>
      <c r="Q47" s="10">
        <v>82.591099999999997</v>
      </c>
      <c r="R47" s="21">
        <v>17.776299999999999</v>
      </c>
      <c r="S47" s="10">
        <v>17.387599999999999</v>
      </c>
      <c r="T47" s="10">
        <v>17.408899999999999</v>
      </c>
      <c r="U47" s="21">
        <f t="shared" si="31"/>
        <v>0</v>
      </c>
      <c r="V47" s="10">
        <f t="shared" si="32"/>
        <v>0</v>
      </c>
      <c r="W47" s="21">
        <f t="shared" si="33"/>
        <v>82.476333333333329</v>
      </c>
      <c r="X47" s="10">
        <f t="shared" si="34"/>
        <v>0.21909154098991165</v>
      </c>
      <c r="Y47" s="21">
        <f t="shared" si="35"/>
        <v>17.524266666666666</v>
      </c>
      <c r="Z47" s="22">
        <f t="shared" si="36"/>
        <v>0.21852693960547137</v>
      </c>
      <c r="AA47" s="19">
        <f t="shared" si="11"/>
        <v>2.0476115511532549</v>
      </c>
      <c r="AB47" s="19">
        <f t="shared" si="8"/>
        <v>5.9446786968965464</v>
      </c>
      <c r="AC47" s="19">
        <f t="shared" si="9"/>
        <v>6.3502770366572342E-3</v>
      </c>
      <c r="AD47" s="19">
        <f t="shared" si="10"/>
        <v>0.63987860973539212</v>
      </c>
      <c r="AE47" s="19"/>
      <c r="AF47" s="19"/>
    </row>
    <row r="48" spans="1:47" ht="15" customHeight="1" x14ac:dyDescent="0.3">
      <c r="A48" t="s">
        <v>101</v>
      </c>
      <c r="B48" t="s">
        <v>102</v>
      </c>
      <c r="D48" s="2">
        <v>45516.625694444447</v>
      </c>
      <c r="E48" s="2">
        <v>45519.615277777775</v>
      </c>
      <c r="F48" s="51"/>
      <c r="G48" s="31">
        <f>E48-'Pre-Summary'!$C$1</f>
        <v>93.086111111108039</v>
      </c>
      <c r="H48">
        <v>84981.6</v>
      </c>
      <c r="I48">
        <v>89050.9</v>
      </c>
      <c r="J48" s="107">
        <f t="shared" si="7"/>
        <v>4024.5376999999885</v>
      </c>
      <c r="K48" s="107">
        <f t="shared" si="24"/>
        <v>0.93485196283542815</v>
      </c>
      <c r="L48" s="21">
        <v>5.4120999999999997</v>
      </c>
      <c r="M48" s="10">
        <v>5.3757000000000001</v>
      </c>
      <c r="N48" s="10">
        <v>5.3715999999999999</v>
      </c>
      <c r="O48" s="21">
        <v>80.516599999999997</v>
      </c>
      <c r="P48" s="10">
        <v>80.745900000000006</v>
      </c>
      <c r="Q48" s="10">
        <v>80.518600000000006</v>
      </c>
      <c r="R48" s="21">
        <v>14.071400000000001</v>
      </c>
      <c r="S48" s="10">
        <v>13.878399999999999</v>
      </c>
      <c r="T48" s="10">
        <v>14.1098</v>
      </c>
      <c r="U48" s="21">
        <f t="shared" si="31"/>
        <v>5.3864666666666672</v>
      </c>
      <c r="V48" s="10">
        <f t="shared" si="32"/>
        <v>2.2293571569699747E-2</v>
      </c>
      <c r="W48" s="21">
        <f t="shared" si="33"/>
        <v>80.593699999999998</v>
      </c>
      <c r="X48" s="10">
        <f t="shared" si="34"/>
        <v>0.131812859767174</v>
      </c>
      <c r="Y48" s="21">
        <f t="shared" si="35"/>
        <v>14.019866666666667</v>
      </c>
      <c r="Z48" s="22">
        <f t="shared" si="36"/>
        <v>0.12400908568864408</v>
      </c>
      <c r="AA48" s="19">
        <f t="shared" si="11"/>
        <v>2.4109817163894283</v>
      </c>
      <c r="AB48" s="19">
        <f t="shared" si="8"/>
        <v>6.9996243379047929</v>
      </c>
      <c r="AC48" s="19">
        <f t="shared" si="9"/>
        <v>7.4772003609596335E-3</v>
      </c>
      <c r="AD48" s="19">
        <f t="shared" si="10"/>
        <v>0.75343178637169639</v>
      </c>
      <c r="AE48" s="19"/>
      <c r="AF48" s="19"/>
    </row>
    <row r="49" spans="1:32" ht="15" customHeight="1" x14ac:dyDescent="0.3">
      <c r="A49" t="s">
        <v>103</v>
      </c>
      <c r="B49" t="s">
        <v>104</v>
      </c>
      <c r="D49" s="2">
        <v>45519.615277777775</v>
      </c>
      <c r="E49" s="2">
        <v>45523.683333333334</v>
      </c>
      <c r="F49" s="51"/>
      <c r="G49" s="31">
        <f>E49-'Pre-Summary'!$C$1</f>
        <v>97.154166666667152</v>
      </c>
      <c r="H49">
        <v>89050.9</v>
      </c>
      <c r="I49">
        <v>92078.1</v>
      </c>
      <c r="J49" s="107">
        <f t="shared" si="7"/>
        <v>2993.9008000000113</v>
      </c>
      <c r="K49" s="107">
        <f t="shared" si="24"/>
        <v>0.51107900307227605</v>
      </c>
      <c r="L49" s="21">
        <v>6.2481</v>
      </c>
      <c r="M49" s="10">
        <v>6.1879</v>
      </c>
      <c r="N49" s="10">
        <v>6.3375000000000004</v>
      </c>
      <c r="O49" s="21">
        <v>83.338899999999995</v>
      </c>
      <c r="P49" s="10">
        <v>83.354100000000003</v>
      </c>
      <c r="Q49" s="10">
        <v>83.314300000000003</v>
      </c>
      <c r="R49" s="21">
        <v>10.413</v>
      </c>
      <c r="S49" s="10">
        <v>10.458</v>
      </c>
      <c r="T49" s="10">
        <v>10.3482</v>
      </c>
      <c r="U49" s="21">
        <f t="shared" si="31"/>
        <v>6.2578333333333331</v>
      </c>
      <c r="V49" s="10">
        <f t="shared" si="32"/>
        <v>7.5273457030571977E-2</v>
      </c>
      <c r="W49" s="21">
        <f t="shared" si="33"/>
        <v>83.335766666666657</v>
      </c>
      <c r="X49" s="10">
        <f t="shared" si="34"/>
        <v>2.0084156276361287E-2</v>
      </c>
      <c r="Y49" s="21">
        <f t="shared" si="35"/>
        <v>10.4064</v>
      </c>
      <c r="Z49" s="22">
        <f t="shared" si="36"/>
        <v>5.5196739034113186E-2</v>
      </c>
      <c r="AA49" s="19">
        <f t="shared" si="11"/>
        <v>1.362917137544442</v>
      </c>
      <c r="AB49" s="19">
        <f t="shared" si="8"/>
        <v>3.9568562057741867</v>
      </c>
      <c r="AC49" s="19">
        <f t="shared" si="9"/>
        <v>4.2268277870089518E-3</v>
      </c>
      <c r="AD49" s="19">
        <f t="shared" si="10"/>
        <v>0.42591160548263807</v>
      </c>
      <c r="AE49" s="19"/>
      <c r="AF49" s="19"/>
    </row>
    <row r="50" spans="1:32" ht="15" customHeight="1" x14ac:dyDescent="0.3">
      <c r="A50" t="s">
        <v>105</v>
      </c>
      <c r="D50" s="2">
        <v>45523.683333333334</v>
      </c>
      <c r="E50" s="2">
        <v>45526.431944444441</v>
      </c>
      <c r="F50" s="51"/>
      <c r="G50" s="31">
        <f>E50-'Pre-Summary'!$C$1</f>
        <v>99.902777777773736</v>
      </c>
      <c r="H50">
        <v>0</v>
      </c>
      <c r="I50">
        <v>2269.1</v>
      </c>
      <c r="J50" s="107">
        <f t="shared" si="7"/>
        <v>2244.1398999999997</v>
      </c>
      <c r="K50" s="107">
        <f t="shared" si="24"/>
        <v>0.56698835270431935</v>
      </c>
      <c r="L50" s="21">
        <v>2.4476</v>
      </c>
      <c r="M50" s="10">
        <v>2.5556999999999999</v>
      </c>
      <c r="N50" s="10">
        <v>2.5068000000000001</v>
      </c>
      <c r="O50" s="21">
        <v>90.996399999999994</v>
      </c>
      <c r="P50" s="10">
        <v>90.903099999999995</v>
      </c>
      <c r="Q50" s="10">
        <v>90.733500000000006</v>
      </c>
      <c r="R50" s="21">
        <v>6.5559000000000003</v>
      </c>
      <c r="S50" s="10">
        <v>6.5411999999999999</v>
      </c>
      <c r="T50" s="10">
        <v>6.7598000000000003</v>
      </c>
      <c r="U50" s="21">
        <f t="shared" si="31"/>
        <v>2.5033666666666665</v>
      </c>
      <c r="V50" s="10">
        <f t="shared" si="32"/>
        <v>5.4131722061406165E-2</v>
      </c>
      <c r="W50" s="21">
        <f t="shared" si="33"/>
        <v>90.877666666666656</v>
      </c>
      <c r="X50" s="10">
        <f t="shared" si="34"/>
        <v>0.13328256950303582</v>
      </c>
      <c r="Y50" s="21">
        <f t="shared" si="35"/>
        <v>6.618966666666668</v>
      </c>
      <c r="Z50" s="22">
        <f t="shared" si="36"/>
        <v>0.12218651043930079</v>
      </c>
      <c r="AA50" s="19">
        <f t="shared" si="11"/>
        <v>1.6488505126702582</v>
      </c>
      <c r="AB50" s="19">
        <f t="shared" si="8"/>
        <v>4.7869853593652651</v>
      </c>
      <c r="AC50" s="19">
        <f t="shared" si="9"/>
        <v>5.1135956630021786E-3</v>
      </c>
      <c r="AD50" s="19">
        <f t="shared" si="10"/>
        <v>0.51526578520945565</v>
      </c>
      <c r="AE50" s="19"/>
      <c r="AF50" s="19"/>
    </row>
    <row r="51" spans="1:32" ht="15" customHeight="1" x14ac:dyDescent="0.3">
      <c r="A51" t="s">
        <v>106</v>
      </c>
      <c r="D51" s="2">
        <v>45526.431944444441</v>
      </c>
      <c r="E51" s="2">
        <v>45530.42083333333</v>
      </c>
      <c r="F51" s="51">
        <v>16</v>
      </c>
      <c r="G51" s="31">
        <f>E51-'Pre-Summary'!$C$1</f>
        <v>103.89166666666279</v>
      </c>
      <c r="H51">
        <v>2269.1</v>
      </c>
      <c r="I51">
        <v>4663.6000000000004</v>
      </c>
      <c r="J51" s="107">
        <f t="shared" si="7"/>
        <v>2368.1605000000004</v>
      </c>
      <c r="K51" s="107">
        <f t="shared" si="24"/>
        <v>0.41343584148043017</v>
      </c>
      <c r="L51" s="21">
        <v>4.4808000000000003</v>
      </c>
      <c r="M51" s="10">
        <v>4.6611000000000002</v>
      </c>
      <c r="N51" s="10">
        <v>4.4753999999999996</v>
      </c>
      <c r="O51" s="21">
        <v>86.9131</v>
      </c>
      <c r="P51" s="10">
        <v>86.776399999999995</v>
      </c>
      <c r="Q51" s="10">
        <v>86.971100000000007</v>
      </c>
      <c r="R51" s="21">
        <v>8.6060999999999996</v>
      </c>
      <c r="S51" s="10">
        <v>8.5625</v>
      </c>
      <c r="T51" s="10">
        <v>8.5534999999999997</v>
      </c>
      <c r="U51" s="21">
        <f t="shared" si="31"/>
        <v>4.5391000000000004</v>
      </c>
      <c r="V51" s="10">
        <f t="shared" si="32"/>
        <v>0.10568959267591127</v>
      </c>
      <c r="W51" s="21">
        <f t="shared" si="33"/>
        <v>86.886866666666677</v>
      </c>
      <c r="X51" s="10">
        <f t="shared" si="34"/>
        <v>9.996581082217279E-2</v>
      </c>
      <c r="Y51" s="21">
        <f t="shared" si="35"/>
        <v>8.5740333333333325</v>
      </c>
      <c r="Z51" s="22">
        <f t="shared" si="36"/>
        <v>2.8132780405308835E-2</v>
      </c>
      <c r="AA51" s="19">
        <f t="shared" si="11"/>
        <v>1.149508634685801</v>
      </c>
      <c r="AB51" s="19">
        <f t="shared" si="8"/>
        <v>3.3372831329587767</v>
      </c>
      <c r="AC51" s="19">
        <f t="shared" si="9"/>
        <v>3.564981982140664E-3</v>
      </c>
      <c r="AD51" s="19">
        <f t="shared" si="10"/>
        <v>0.3592214483393128</v>
      </c>
      <c r="AE51" s="19"/>
      <c r="AF51" s="19"/>
    </row>
    <row r="52" spans="1:32" ht="15" customHeight="1" x14ac:dyDescent="0.3">
      <c r="A52" t="s">
        <v>107</v>
      </c>
      <c r="D52" s="2">
        <v>45530.42083333333</v>
      </c>
      <c r="E52" s="2">
        <v>45533.474999999999</v>
      </c>
      <c r="F52" s="51">
        <v>31</v>
      </c>
      <c r="G52" s="31">
        <f>E52-'Pre-Summary'!$C$1</f>
        <v>106.94583333333139</v>
      </c>
      <c r="H52">
        <v>4663.6000000000004</v>
      </c>
      <c r="I52">
        <v>6913.1</v>
      </c>
      <c r="J52" s="107">
        <f t="shared" si="7"/>
        <v>2224.7554999999998</v>
      </c>
      <c r="K52" s="111">
        <f t="shared" si="24"/>
        <v>0.50944710327423315</v>
      </c>
      <c r="L52" s="21">
        <v>1.5011000000000001</v>
      </c>
      <c r="M52" s="10">
        <v>1.0428999999999999</v>
      </c>
      <c r="N52" s="10">
        <v>1.0395000000000001</v>
      </c>
      <c r="O52" s="21">
        <v>90.531300000000002</v>
      </c>
      <c r="P52" s="10">
        <v>90.978700000000003</v>
      </c>
      <c r="Q52" s="10">
        <v>91.052599999999998</v>
      </c>
      <c r="R52" s="21">
        <v>7.9676</v>
      </c>
      <c r="S52" s="10">
        <v>7.9783999999999997</v>
      </c>
      <c r="T52" s="10">
        <v>7.9078999999999997</v>
      </c>
      <c r="U52" s="21">
        <f t="shared" si="31"/>
        <v>1.1944999999999999</v>
      </c>
      <c r="V52" s="10">
        <f t="shared" si="32"/>
        <v>0.26552883082633577</v>
      </c>
      <c r="W52" s="21">
        <f t="shared" si="33"/>
        <v>90.854199999999992</v>
      </c>
      <c r="X52" s="10">
        <f t="shared" si="34"/>
        <v>0.28207022175337748</v>
      </c>
      <c r="Y52" s="21">
        <f t="shared" si="35"/>
        <v>7.9512999999999998</v>
      </c>
      <c r="Z52" s="22">
        <f t="shared" si="36"/>
        <v>3.7971436633343299E-2</v>
      </c>
      <c r="AA52" s="19">
        <f t="shared" si="11"/>
        <v>1.4811330883295306</v>
      </c>
      <c r="AB52" s="19">
        <f t="shared" si="8"/>
        <v>4.3000638048276691</v>
      </c>
      <c r="AC52" s="19">
        <f t="shared" si="9"/>
        <v>4.5934520313458908E-3</v>
      </c>
      <c r="AD52" s="19">
        <f t="shared" si="10"/>
        <v>0.46285409010297829</v>
      </c>
      <c r="AE52" s="19"/>
      <c r="AF52" s="19"/>
    </row>
    <row r="53" spans="1:32" ht="15" customHeight="1" x14ac:dyDescent="0.3">
      <c r="A53" t="s">
        <v>108</v>
      </c>
      <c r="D53" s="2">
        <v>45541.445138888892</v>
      </c>
      <c r="E53" s="2">
        <v>45544.421527777777</v>
      </c>
      <c r="F53" s="51">
        <v>8</v>
      </c>
      <c r="G53" s="31">
        <f>E53-'Pre-Summary'!$C$1</f>
        <v>117.89236111110949</v>
      </c>
      <c r="H53">
        <v>9246.5</v>
      </c>
      <c r="I53">
        <v>11216.1</v>
      </c>
      <c r="J53" s="107">
        <f t="shared" si="7"/>
        <v>1947.9344000000003</v>
      </c>
      <c r="K53" s="111">
        <f t="shared" si="24"/>
        <v>0.45533763440924657</v>
      </c>
      <c r="L53" s="21">
        <v>1.8706</v>
      </c>
      <c r="M53" s="10">
        <v>1.4072</v>
      </c>
      <c r="N53" s="10">
        <v>1.4973000000000001</v>
      </c>
      <c r="O53" s="21">
        <v>88.4422</v>
      </c>
      <c r="P53" s="10">
        <v>90.892899999999997</v>
      </c>
      <c r="Q53" s="10">
        <v>90.088499999999996</v>
      </c>
      <c r="R53" s="21">
        <v>9.6873000000000005</v>
      </c>
      <c r="S53" s="10">
        <v>7.6999000000000004</v>
      </c>
      <c r="T53" s="10">
        <v>8.4141999999999992</v>
      </c>
      <c r="U53" s="21">
        <f t="shared" si="31"/>
        <v>1.5917000000000001</v>
      </c>
      <c r="V53" s="10">
        <f t="shared" si="32"/>
        <v>0.24569983719978267</v>
      </c>
      <c r="W53" s="21">
        <f t="shared" si="33"/>
        <v>89.807866666666669</v>
      </c>
      <c r="X53" s="10">
        <f t="shared" si="34"/>
        <v>1.2492193255522945</v>
      </c>
      <c r="Y53" s="21">
        <f t="shared" si="35"/>
        <v>8.6004666666666676</v>
      </c>
      <c r="Z53" s="22">
        <f t="shared" si="36"/>
        <v>1.0067080725480122</v>
      </c>
      <c r="AA53" s="19">
        <f t="shared" si="11"/>
        <v>1.3085728498989129</v>
      </c>
      <c r="AB53" s="19">
        <f t="shared" si="8"/>
        <v>3.7990824674484576</v>
      </c>
      <c r="AC53" s="19">
        <f t="shared" si="9"/>
        <v>4.0582893346279179E-3</v>
      </c>
      <c r="AD53" s="19">
        <f t="shared" si="10"/>
        <v>0.40892901559341027</v>
      </c>
      <c r="AE53" s="19"/>
      <c r="AF53" s="19"/>
    </row>
    <row r="54" spans="1:32" ht="15" customHeight="1" x14ac:dyDescent="0.3">
      <c r="A54" t="s">
        <v>109</v>
      </c>
      <c r="D54" s="2">
        <v>45544.421527777777</v>
      </c>
      <c r="E54" s="2">
        <v>45545.470833333333</v>
      </c>
      <c r="F54" s="51"/>
      <c r="G54" s="31">
        <f>E54-'Pre-Summary'!$C$1</f>
        <v>118.9416666666657</v>
      </c>
      <c r="H54">
        <v>11216.1</v>
      </c>
      <c r="I54">
        <v>11677.5</v>
      </c>
      <c r="J54" s="107">
        <f t="shared" si="7"/>
        <v>456.32459999999963</v>
      </c>
      <c r="K54" s="107">
        <f t="shared" si="24"/>
        <v>0.30200172071457204</v>
      </c>
      <c r="L54" s="21">
        <v>1.1327</v>
      </c>
      <c r="M54" s="10">
        <v>0.94099999999999995</v>
      </c>
      <c r="N54" s="10">
        <v>1.0350999999999999</v>
      </c>
      <c r="O54" s="21">
        <v>90.111999999999995</v>
      </c>
      <c r="P54" s="10">
        <v>92.759600000000006</v>
      </c>
      <c r="Q54" s="10">
        <v>92.862799999999993</v>
      </c>
      <c r="R54" s="21">
        <v>8.7553000000000001</v>
      </c>
      <c r="S54" s="10">
        <v>6.2994000000000003</v>
      </c>
      <c r="T54" s="10">
        <v>6.1021999999999998</v>
      </c>
      <c r="U54" s="21">
        <f t="shared" si="31"/>
        <v>1.0362666666666667</v>
      </c>
      <c r="V54" s="10">
        <f t="shared" si="32"/>
        <v>9.585532501292425E-2</v>
      </c>
      <c r="W54" s="21">
        <f t="shared" si="33"/>
        <v>91.911466666666669</v>
      </c>
      <c r="X54" s="10">
        <f t="shared" si="34"/>
        <v>1.5592378822146868</v>
      </c>
      <c r="Y54" s="21">
        <f t="shared" si="35"/>
        <v>7.0522999999999998</v>
      </c>
      <c r="Z54" s="22">
        <f t="shared" si="36"/>
        <v>1.4781335223855767</v>
      </c>
      <c r="AA54" s="19">
        <f t="shared" si="11"/>
        <v>0.88823747477546766</v>
      </c>
      <c r="AB54" s="19">
        <f t="shared" si="8"/>
        <v>2.5787539590255513</v>
      </c>
      <c r="AC54" s="19">
        <f t="shared" si="9"/>
        <v>2.7546992670500372E-3</v>
      </c>
      <c r="AD54" s="19">
        <f t="shared" si="10"/>
        <v>0.27757421086733364</v>
      </c>
      <c r="AE54" s="19"/>
      <c r="AF54" s="19"/>
    </row>
    <row r="55" spans="1:32" ht="15" customHeight="1" x14ac:dyDescent="0.3">
      <c r="A55" s="64" t="s">
        <v>110</v>
      </c>
      <c r="D55" s="2">
        <v>45545.470833333333</v>
      </c>
      <c r="E55" s="2">
        <v>45548.52847222222</v>
      </c>
      <c r="F55" s="51">
        <v>14</v>
      </c>
      <c r="G55" s="31">
        <f>E55-'Pre-Summary'!$C$1</f>
        <v>121.99930555555329</v>
      </c>
      <c r="H55">
        <v>11677.5</v>
      </c>
      <c r="I55">
        <v>12940.8</v>
      </c>
      <c r="J55" s="107">
        <f t="shared" si="7"/>
        <v>1249.4036999999992</v>
      </c>
      <c r="K55" s="107">
        <f t="shared" si="24"/>
        <v>0.28466705399875358</v>
      </c>
      <c r="L55" s="21">
        <v>0.50319999999999998</v>
      </c>
      <c r="M55" s="10">
        <v>0.84219999999999995</v>
      </c>
      <c r="N55" s="10">
        <v>0.73760000000000003</v>
      </c>
      <c r="O55" s="21">
        <v>95.262900000000002</v>
      </c>
      <c r="P55" s="10">
        <v>95.054599999999994</v>
      </c>
      <c r="Q55" s="10">
        <v>95.285700000000006</v>
      </c>
      <c r="R55" s="21">
        <v>4.2337999999999996</v>
      </c>
      <c r="S55" s="10">
        <v>4.1032999999999999</v>
      </c>
      <c r="T55" s="10">
        <v>3.9767000000000001</v>
      </c>
      <c r="U55" s="21">
        <f t="shared" ref="U55:U76" si="37">AVERAGE(L55:N55)</f>
        <v>0.69433333333333336</v>
      </c>
      <c r="V55" s="10">
        <f t="shared" ref="V55:V76" si="38">STDEV(L55:N55)</f>
        <v>0.17359220412602946</v>
      </c>
      <c r="W55" s="21">
        <f t="shared" ref="W55:W79" si="39">AVERAGE(O55:Q55)</f>
        <v>95.201066666666676</v>
      </c>
      <c r="X55" s="10">
        <f t="shared" ref="X55:X76" si="40">STDEV(O55:Q55)</f>
        <v>0.12735510721339319</v>
      </c>
      <c r="Y55" s="21">
        <f t="shared" ref="Y55:Y76" si="41">AVERAGE(R55:T55)</f>
        <v>4.1046000000000005</v>
      </c>
      <c r="Z55" s="22">
        <f t="shared" ref="Z55:Z76" si="42">STDEV(R55:T55)</f>
        <v>0.12855492989380038</v>
      </c>
      <c r="AA55" s="19">
        <f t="shared" si="11"/>
        <v>0.86721942993724621</v>
      </c>
      <c r="AB55" s="19">
        <f t="shared" si="8"/>
        <v>2.5177338288500697</v>
      </c>
      <c r="AC55" s="19">
        <f t="shared" si="9"/>
        <v>2.6895158061458358E-3</v>
      </c>
      <c r="AD55" s="19">
        <f t="shared" si="10"/>
        <v>0.27100607185538944</v>
      </c>
      <c r="AE55" s="19"/>
      <c r="AF55" s="19"/>
    </row>
    <row r="56" spans="1:32" ht="15" customHeight="1" x14ac:dyDescent="0.3">
      <c r="A56" s="64" t="s">
        <v>111</v>
      </c>
      <c r="D56" s="2">
        <v>45548.52847222222</v>
      </c>
      <c r="E56" s="2">
        <v>45551.436111111114</v>
      </c>
      <c r="F56" s="51">
        <v>6</v>
      </c>
      <c r="G56" s="31">
        <f>E56-'Pre-Summary'!$C$1</f>
        <v>124.90694444444671</v>
      </c>
      <c r="H56">
        <v>12940.8</v>
      </c>
      <c r="I56">
        <v>14202.9</v>
      </c>
      <c r="J56" s="107">
        <f t="shared" si="7"/>
        <v>1248.2169000000004</v>
      </c>
      <c r="K56" s="107">
        <f t="shared" si="24"/>
        <v>0.29854506098972833</v>
      </c>
      <c r="L56" s="21">
        <v>0.8962</v>
      </c>
      <c r="M56" s="10">
        <v>0.7077</v>
      </c>
      <c r="N56" s="10">
        <v>0.65869999999999995</v>
      </c>
      <c r="O56" s="21">
        <v>96.958799999999997</v>
      </c>
      <c r="P56" s="10">
        <v>95.252200000000002</v>
      </c>
      <c r="Q56" s="10">
        <v>97.0167</v>
      </c>
      <c r="R56" s="21">
        <v>2.145</v>
      </c>
      <c r="S56" s="10">
        <v>4.0400999999999998</v>
      </c>
      <c r="T56" s="10">
        <v>2.3246000000000002</v>
      </c>
      <c r="U56" s="21">
        <f t="shared" si="37"/>
        <v>0.75419999999999998</v>
      </c>
      <c r="V56" s="10">
        <f t="shared" si="38"/>
        <v>0.12539238413875051</v>
      </c>
      <c r="W56" s="21">
        <f t="shared" si="39"/>
        <v>96.409233333333347</v>
      </c>
      <c r="X56" s="10">
        <f t="shared" si="40"/>
        <v>1.0024383788210272</v>
      </c>
      <c r="Y56" s="21">
        <f t="shared" si="41"/>
        <v>2.8365666666666667</v>
      </c>
      <c r="Z56" s="22">
        <f t="shared" si="42"/>
        <v>1.0461517114325865</v>
      </c>
      <c r="AA56" s="19">
        <f t="shared" si="11"/>
        <v>0.92104001425513449</v>
      </c>
      <c r="AB56" s="19">
        <f t="shared" si="8"/>
        <v>2.6739871381600682</v>
      </c>
      <c r="AC56" s="19">
        <f t="shared" si="9"/>
        <v>2.8564300924521745E-3</v>
      </c>
      <c r="AD56" s="19">
        <f t="shared" si="10"/>
        <v>0.28782500445472953</v>
      </c>
      <c r="AE56" s="19"/>
      <c r="AF56" s="19"/>
    </row>
    <row r="57" spans="1:32" ht="15" customHeight="1" x14ac:dyDescent="0.3">
      <c r="A57" s="64" t="s">
        <v>112</v>
      </c>
      <c r="D57" s="2">
        <v>45551.436111111114</v>
      </c>
      <c r="E57" s="2">
        <v>45554.444444444445</v>
      </c>
      <c r="F57" s="51"/>
      <c r="G57" s="31">
        <f>E57-'Pre-Summary'!$C$1</f>
        <v>127.9152777777781</v>
      </c>
      <c r="H57">
        <v>14202.9</v>
      </c>
      <c r="I57">
        <v>15242</v>
      </c>
      <c r="J57" s="107">
        <f t="shared" si="7"/>
        <v>1027.6699000000003</v>
      </c>
      <c r="K57" s="107">
        <f t="shared" si="24"/>
        <v>0.23722758541104874</v>
      </c>
      <c r="L57" s="21">
        <v>4.0170000000000003</v>
      </c>
      <c r="M57" s="10">
        <v>3.9182000000000001</v>
      </c>
      <c r="N57" s="10">
        <v>3.9116</v>
      </c>
      <c r="O57" s="21">
        <v>95.301900000000003</v>
      </c>
      <c r="P57" s="10">
        <v>95.436800000000005</v>
      </c>
      <c r="Q57" s="10">
        <v>95.240499999999997</v>
      </c>
      <c r="R57" s="21">
        <v>0.627</v>
      </c>
      <c r="S57" s="10">
        <v>0.64500000000000002</v>
      </c>
      <c r="T57" s="10">
        <v>0.84789999999999999</v>
      </c>
      <c r="U57" s="21">
        <f t="shared" si="37"/>
        <v>3.9489333333333332</v>
      </c>
      <c r="V57" s="10">
        <f t="shared" si="38"/>
        <v>5.9039760613787677E-2</v>
      </c>
      <c r="W57" s="21">
        <f t="shared" si="39"/>
        <v>95.326399999999992</v>
      </c>
      <c r="X57" s="10">
        <f t="shared" si="40"/>
        <v>0.10041717980505489</v>
      </c>
      <c r="Y57" s="21">
        <f t="shared" si="41"/>
        <v>0.70663333333333334</v>
      </c>
      <c r="Z57" s="22">
        <f t="shared" si="42"/>
        <v>0.12267111857863425</v>
      </c>
      <c r="AA57" s="19">
        <f t="shared" si="11"/>
        <v>0.72364965433368944</v>
      </c>
      <c r="AB57" s="19">
        <f t="shared" si="8"/>
        <v>2.1009183512913565</v>
      </c>
      <c r="AC57" s="19">
        <f t="shared" si="9"/>
        <v>2.2442615055145434E-3</v>
      </c>
      <c r="AD57" s="19">
        <f t="shared" si="10"/>
        <v>0.22614051697927795</v>
      </c>
      <c r="AE57" s="19"/>
      <c r="AF57" s="19"/>
    </row>
    <row r="58" spans="1:32" ht="15" customHeight="1" x14ac:dyDescent="0.3">
      <c r="A58" s="64" t="s">
        <v>113</v>
      </c>
      <c r="D58" s="2">
        <v>45554.444444444445</v>
      </c>
      <c r="E58" s="2">
        <v>45558.413194444445</v>
      </c>
      <c r="F58" s="51">
        <v>14</v>
      </c>
      <c r="G58" s="31">
        <f>E58-'Pre-Summary'!$C$1</f>
        <v>131.8840277777781</v>
      </c>
      <c r="H58">
        <v>15242</v>
      </c>
      <c r="I58">
        <v>16968.5</v>
      </c>
      <c r="J58" s="107">
        <f t="shared" si="7"/>
        <v>1707.5084999999999</v>
      </c>
      <c r="K58" s="107">
        <f t="shared" si="24"/>
        <v>0.29951034906156815</v>
      </c>
      <c r="L58" s="21">
        <v>12.237500000000001</v>
      </c>
      <c r="M58" s="10">
        <v>11.6326</v>
      </c>
      <c r="N58" s="10">
        <v>11.5214</v>
      </c>
      <c r="O58" s="21">
        <v>87.762500000000003</v>
      </c>
      <c r="P58" s="10">
        <v>87.114199999999997</v>
      </c>
      <c r="Q58" s="10">
        <v>86.706000000000003</v>
      </c>
      <c r="R58" s="21">
        <v>0</v>
      </c>
      <c r="S58" s="10">
        <v>1.2531000000000001</v>
      </c>
      <c r="T58" s="10">
        <v>1.7726</v>
      </c>
      <c r="U58" s="21">
        <f t="shared" si="37"/>
        <v>11.797166666666667</v>
      </c>
      <c r="V58" s="10">
        <f t="shared" si="38"/>
        <v>0.38537182477878901</v>
      </c>
      <c r="W58" s="21">
        <f t="shared" si="39"/>
        <v>87.194233333333329</v>
      </c>
      <c r="X58" s="10">
        <f t="shared" si="40"/>
        <v>0.53277768659482505</v>
      </c>
      <c r="Y58" s="21">
        <f t="shared" si="41"/>
        <v>1.0085666666666666</v>
      </c>
      <c r="Z58" s="22">
        <f t="shared" si="42"/>
        <v>0.91124919935950199</v>
      </c>
      <c r="AA58" s="19">
        <f t="shared" si="11"/>
        <v>0.83569840837831966</v>
      </c>
      <c r="AB58" s="19">
        <f t="shared" si="8"/>
        <v>2.4262211856144766</v>
      </c>
      <c r="AC58" s="19">
        <f t="shared" si="9"/>
        <v>2.591759364371081E-3</v>
      </c>
      <c r="AD58" s="19">
        <f t="shared" si="10"/>
        <v>0.26115575261822488</v>
      </c>
      <c r="AE58" s="19"/>
      <c r="AF58" s="19"/>
    </row>
    <row r="59" spans="1:32" ht="15" customHeight="1" x14ac:dyDescent="0.3">
      <c r="A59" s="64" t="s">
        <v>114</v>
      </c>
      <c r="D59" s="2">
        <v>45558.413194444445</v>
      </c>
      <c r="E59" s="2">
        <v>45561.560416666667</v>
      </c>
      <c r="F59" s="51">
        <v>22</v>
      </c>
      <c r="G59" s="31">
        <f>E59-'Pre-Summary'!$C$1</f>
        <v>135.03125</v>
      </c>
      <c r="H59">
        <v>16968.5</v>
      </c>
      <c r="I59">
        <v>18276.900000000001</v>
      </c>
      <c r="J59" s="107">
        <f t="shared" si="7"/>
        <v>1294.0076000000015</v>
      </c>
      <c r="K59" s="107">
        <f t="shared" si="24"/>
        <v>0.28691964523284591</v>
      </c>
      <c r="L59" s="21">
        <v>6.8832000000000004</v>
      </c>
      <c r="M59" s="10">
        <v>6.1582999999999997</v>
      </c>
      <c r="N59" s="10">
        <v>6.0458999999999996</v>
      </c>
      <c r="O59" s="21">
        <v>93.116799999999998</v>
      </c>
      <c r="P59" s="10">
        <v>93.841700000000003</v>
      </c>
      <c r="Q59" s="10">
        <v>92.019599999999997</v>
      </c>
      <c r="R59" s="21">
        <v>0</v>
      </c>
      <c r="S59" s="10">
        <v>0</v>
      </c>
      <c r="T59" s="10">
        <v>1.9345000000000001</v>
      </c>
      <c r="U59" s="21">
        <f t="shared" si="37"/>
        <v>6.3624666666666663</v>
      </c>
      <c r="V59" s="10">
        <f t="shared" si="38"/>
        <v>0.4544566462637924</v>
      </c>
      <c r="W59" s="21">
        <f t="shared" si="39"/>
        <v>92.992700000000013</v>
      </c>
      <c r="X59" s="10">
        <f t="shared" si="40"/>
        <v>0.91736727105342342</v>
      </c>
      <c r="Y59" s="21">
        <f t="shared" si="41"/>
        <v>0.64483333333333337</v>
      </c>
      <c r="Z59" s="22">
        <f t="shared" si="42"/>
        <v>1.1168840957473312</v>
      </c>
      <c r="AA59" s="19">
        <f t="shared" si="11"/>
        <v>0.85380583978382318</v>
      </c>
      <c r="AB59" s="19">
        <f t="shared" si="8"/>
        <v>2.4787911477594866</v>
      </c>
      <c r="AC59" s="19">
        <f t="shared" si="9"/>
        <v>2.6479161123550681E-3</v>
      </c>
      <c r="AD59" s="19">
        <f t="shared" si="10"/>
        <v>0.26681432493244472</v>
      </c>
      <c r="AE59" s="19"/>
      <c r="AF59" s="19"/>
    </row>
    <row r="60" spans="1:32" ht="15" customHeight="1" x14ac:dyDescent="0.3">
      <c r="A60" s="64" t="s">
        <v>115</v>
      </c>
      <c r="D60" s="2">
        <v>45561.560416666667</v>
      </c>
      <c r="E60" s="2">
        <v>45565.435416666667</v>
      </c>
      <c r="F60" s="51">
        <v>15</v>
      </c>
      <c r="G60" s="31">
        <f>E60-'Pre-Summary'!$C$1</f>
        <v>138.90625</v>
      </c>
      <c r="H60">
        <v>18276.900000000001</v>
      </c>
      <c r="I60">
        <v>19882.5</v>
      </c>
      <c r="J60" s="107">
        <f t="shared" si="7"/>
        <v>1587.9383999999986</v>
      </c>
      <c r="K60" s="107">
        <f t="shared" si="24"/>
        <v>0.2853438274932612</v>
      </c>
      <c r="L60" s="21">
        <v>1.6547000000000001</v>
      </c>
      <c r="M60" s="10">
        <v>1.6584000000000001</v>
      </c>
      <c r="N60" s="10">
        <v>1.2592000000000001</v>
      </c>
      <c r="O60" s="21">
        <v>96.296099999999996</v>
      </c>
      <c r="P60" s="10">
        <v>97.747100000000003</v>
      </c>
      <c r="Q60" s="10">
        <v>98.009100000000004</v>
      </c>
      <c r="R60" s="21">
        <v>2.0491000000000001</v>
      </c>
      <c r="S60" s="10">
        <v>0.59450000000000003</v>
      </c>
      <c r="T60" s="10">
        <v>0.73170000000000002</v>
      </c>
      <c r="U60" s="21">
        <f t="shared" si="37"/>
        <v>1.5241</v>
      </c>
      <c r="V60" s="10">
        <f t="shared" si="38"/>
        <v>0.22941758868927314</v>
      </c>
      <c r="W60" s="21">
        <f t="shared" si="39"/>
        <v>97.350766666666672</v>
      </c>
      <c r="X60" s="10">
        <f t="shared" si="40"/>
        <v>0.92271465433975941</v>
      </c>
      <c r="Y60" s="21">
        <f t="shared" si="41"/>
        <v>1.1251</v>
      </c>
      <c r="Z60" s="22">
        <f t="shared" si="42"/>
        <v>0.80314255272647561</v>
      </c>
      <c r="AA60" s="19">
        <f t="shared" si="11"/>
        <v>0.8889100918422419</v>
      </c>
      <c r="AB60" s="19">
        <f t="shared" si="8"/>
        <v>2.5807067182516699</v>
      </c>
      <c r="AC60" s="19">
        <f t="shared" si="9"/>
        <v>2.7567852607099162E-3</v>
      </c>
      <c r="AD60" s="19">
        <f t="shared" si="10"/>
        <v>0.27778440370070057</v>
      </c>
      <c r="AE60" s="19"/>
      <c r="AF60" s="19"/>
    </row>
    <row r="61" spans="1:32" ht="15" customHeight="1" x14ac:dyDescent="0.3">
      <c r="A61" s="64" t="s">
        <v>116</v>
      </c>
      <c r="D61" s="2">
        <v>45565.435416666667</v>
      </c>
      <c r="E61" s="2">
        <v>45568.45208333333</v>
      </c>
      <c r="F61" s="51">
        <v>18</v>
      </c>
      <c r="G61" s="31">
        <f>E61-'Pre-Summary'!$C$1</f>
        <v>141.92291666666279</v>
      </c>
      <c r="H61">
        <v>19882.5</v>
      </c>
      <c r="I61">
        <v>21030.400000000001</v>
      </c>
      <c r="J61" s="107">
        <f t="shared" si="7"/>
        <v>1135.2731000000015</v>
      </c>
      <c r="K61" s="107">
        <f t="shared" si="24"/>
        <v>0.26243021266793065</v>
      </c>
      <c r="L61" s="21">
        <v>1.0629</v>
      </c>
      <c r="M61" s="10">
        <v>0.94179999999999997</v>
      </c>
      <c r="N61" s="10">
        <v>0.97050000000000003</v>
      </c>
      <c r="O61" s="21">
        <v>98.937100000000001</v>
      </c>
      <c r="P61" s="10">
        <v>97.852500000000006</v>
      </c>
      <c r="Q61" s="10">
        <v>98.011300000000006</v>
      </c>
      <c r="R61" s="21">
        <v>0</v>
      </c>
      <c r="S61" s="10">
        <v>1.2057</v>
      </c>
      <c r="T61" s="10">
        <v>1.0182</v>
      </c>
      <c r="U61" s="21">
        <f t="shared" si="37"/>
        <v>0.99173333333333324</v>
      </c>
      <c r="V61" s="10">
        <f t="shared" si="38"/>
        <v>6.3280671087886944E-2</v>
      </c>
      <c r="W61" s="21">
        <f t="shared" si="39"/>
        <v>98.266966666666676</v>
      </c>
      <c r="X61" s="10">
        <f t="shared" si="40"/>
        <v>0.58575880132809777</v>
      </c>
      <c r="Y61" s="21">
        <f t="shared" si="41"/>
        <v>0.74129999999999996</v>
      </c>
      <c r="Z61" s="22">
        <f t="shared" si="42"/>
        <v>0.64879374996989603</v>
      </c>
      <c r="AA61" s="19">
        <f t="shared" si="11"/>
        <v>0.8252230707381053</v>
      </c>
      <c r="AB61" s="19">
        <f t="shared" si="8"/>
        <v>2.3958089150461124</v>
      </c>
      <c r="AC61" s="19">
        <f t="shared" si="9"/>
        <v>2.559272100841815E-3</v>
      </c>
      <c r="AD61" s="19">
        <f t="shared" si="10"/>
        <v>0.25788220960565789</v>
      </c>
      <c r="AE61" s="19"/>
      <c r="AF61" s="19"/>
    </row>
    <row r="62" spans="1:32" ht="15" customHeight="1" x14ac:dyDescent="0.3">
      <c r="A62" s="64" t="s">
        <v>117</v>
      </c>
      <c r="D62" s="2">
        <v>45568.45208333333</v>
      </c>
      <c r="E62" s="2">
        <v>45572.435416666667</v>
      </c>
      <c r="F62" s="51">
        <v>18</v>
      </c>
      <c r="G62" s="31">
        <f>E62-'Pre-Summary'!$C$1</f>
        <v>145.90625</v>
      </c>
      <c r="H62">
        <v>21030.400000000001</v>
      </c>
      <c r="I62">
        <v>22676.400000000001</v>
      </c>
      <c r="J62" s="107">
        <f t="shared" si="7"/>
        <v>1627.894</v>
      </c>
      <c r="K62" s="107">
        <f t="shared" si="24"/>
        <v>0.28469639734144964</v>
      </c>
      <c r="L62" s="21">
        <v>1.1056999999999999</v>
      </c>
      <c r="M62" s="10">
        <v>0.84730000000000005</v>
      </c>
      <c r="N62" s="10">
        <v>0.94840000000000002</v>
      </c>
      <c r="O62" s="21">
        <v>97.307400000000001</v>
      </c>
      <c r="P62" s="10">
        <v>97.847300000000004</v>
      </c>
      <c r="Q62" s="10">
        <v>96.958299999999994</v>
      </c>
      <c r="R62" s="21">
        <v>1.587</v>
      </c>
      <c r="S62" s="10">
        <v>1.2602</v>
      </c>
      <c r="T62" s="10">
        <v>2.0933000000000002</v>
      </c>
      <c r="U62" s="21">
        <f t="shared" si="37"/>
        <v>0.96713333333333329</v>
      </c>
      <c r="V62" s="10">
        <f t="shared" si="38"/>
        <v>0.13021460491562933</v>
      </c>
      <c r="W62" s="21">
        <f t="shared" si="39"/>
        <v>97.370999999999995</v>
      </c>
      <c r="X62" s="10">
        <f t="shared" si="40"/>
        <v>0.4478995088186683</v>
      </c>
      <c r="Y62" s="21">
        <f t="shared" si="41"/>
        <v>1.6468333333333334</v>
      </c>
      <c r="Z62" s="22">
        <f t="shared" si="42"/>
        <v>0.4197605547610837</v>
      </c>
      <c r="AA62" s="19">
        <f t="shared" si="11"/>
        <v>0.88707753297709735</v>
      </c>
      <c r="AB62" s="19">
        <f t="shared" si="8"/>
        <v>2.5753863860625406</v>
      </c>
      <c r="AC62" s="19">
        <f t="shared" si="9"/>
        <v>2.7511019285988546E-3</v>
      </c>
      <c r="AD62" s="19">
        <f t="shared" si="10"/>
        <v>0.27721172905534291</v>
      </c>
      <c r="AE62" s="19"/>
      <c r="AF62" s="19"/>
    </row>
    <row r="63" spans="1:32" ht="15" customHeight="1" x14ac:dyDescent="0.3">
      <c r="A63" s="64" t="s">
        <v>118</v>
      </c>
      <c r="D63" s="2">
        <v>45572.435416666667</v>
      </c>
      <c r="E63" s="2">
        <v>45573.685416666667</v>
      </c>
      <c r="F63" s="51"/>
      <c r="G63" s="31">
        <f>E63-'Pre-Summary'!$C$1</f>
        <v>147.15625</v>
      </c>
      <c r="H63">
        <v>22676.400000000001</v>
      </c>
      <c r="I63">
        <v>24422</v>
      </c>
      <c r="J63" s="107">
        <f>(I63-H63)*(1-$J$1)</f>
        <v>1726.3983999999984</v>
      </c>
      <c r="K63" s="107">
        <f>J63/((E63-D63)*1440-F63)</f>
        <v>0.95911022222222131</v>
      </c>
      <c r="L63" s="21">
        <v>34.146099999999997</v>
      </c>
      <c r="M63" s="10">
        <v>34.049399999999999</v>
      </c>
      <c r="N63" s="10">
        <v>33.758800000000001</v>
      </c>
      <c r="O63" s="21">
        <v>65.853899999999996</v>
      </c>
      <c r="P63" s="10">
        <v>65.886499999999998</v>
      </c>
      <c r="Q63" s="10">
        <v>66.074799999999996</v>
      </c>
      <c r="R63" s="21">
        <v>0</v>
      </c>
      <c r="S63" s="10">
        <v>6.4100000000000004E-2</v>
      </c>
      <c r="T63" s="10">
        <v>0.16650000000000001</v>
      </c>
      <c r="U63" s="21">
        <f t="shared" si="37"/>
        <v>33.984766666666665</v>
      </c>
      <c r="V63" s="10">
        <f t="shared" si="38"/>
        <v>0.20157733834271294</v>
      </c>
      <c r="W63" s="21">
        <f t="shared" si="39"/>
        <v>65.938400000000001</v>
      </c>
      <c r="X63" s="10">
        <f t="shared" si="40"/>
        <v>0.11924516761697276</v>
      </c>
      <c r="Y63" s="21">
        <f t="shared" si="41"/>
        <v>7.686666666666668E-2</v>
      </c>
      <c r="Z63" s="22">
        <f t="shared" si="42"/>
        <v>8.3980970066636726E-2</v>
      </c>
      <c r="AA63" s="19">
        <f t="shared" si="11"/>
        <v>2.0237501912632871</v>
      </c>
      <c r="AB63" s="19">
        <f t="shared" si="8"/>
        <v>5.8754037810869635</v>
      </c>
      <c r="AC63" s="19">
        <f t="shared" si="9"/>
        <v>6.2762755759371422E-3</v>
      </c>
      <c r="AD63" s="19">
        <f t="shared" si="10"/>
        <v>0.63242193476977715</v>
      </c>
      <c r="AE63" s="19"/>
      <c r="AF63" s="19"/>
    </row>
    <row r="64" spans="1:32" ht="15" customHeight="1" x14ac:dyDescent="0.3">
      <c r="A64" s="64" t="s">
        <v>119</v>
      </c>
      <c r="D64" s="2">
        <v>45573.685416666667</v>
      </c>
      <c r="E64" s="2">
        <v>45574.71875</v>
      </c>
      <c r="F64" s="51"/>
      <c r="G64" s="31">
        <f>E64-'Pre-Summary'!$C$1</f>
        <v>148.18958333333285</v>
      </c>
      <c r="H64">
        <v>24422</v>
      </c>
      <c r="I64">
        <v>25676.1</v>
      </c>
      <c r="J64" s="107">
        <f t="shared" si="7"/>
        <v>1240.3048999999985</v>
      </c>
      <c r="K64" s="112">
        <f t="shared" si="24"/>
        <v>0.8335382392477021</v>
      </c>
      <c r="L64" s="21">
        <v>80.531700000000001</v>
      </c>
      <c r="M64" s="10">
        <v>79.940700000000007</v>
      </c>
      <c r="N64" s="10">
        <v>80.290300000000002</v>
      </c>
      <c r="O64" s="21">
        <v>19.468299999999999</v>
      </c>
      <c r="P64" s="10">
        <v>20.0593</v>
      </c>
      <c r="Q64" s="10">
        <v>19.709700000000002</v>
      </c>
      <c r="R64" s="21">
        <v>0</v>
      </c>
      <c r="S64" s="10">
        <v>0</v>
      </c>
      <c r="T64" s="10">
        <v>0</v>
      </c>
      <c r="U64" s="21">
        <f t="shared" si="37"/>
        <v>80.254233333333332</v>
      </c>
      <c r="V64" s="10">
        <f t="shared" si="38"/>
        <v>0.29714618175795476</v>
      </c>
      <c r="W64" s="21">
        <f t="shared" si="39"/>
        <v>19.745766666666668</v>
      </c>
      <c r="X64" s="10">
        <f t="shared" si="40"/>
        <v>0.29714618175795832</v>
      </c>
      <c r="Y64" s="21">
        <f t="shared" si="41"/>
        <v>0</v>
      </c>
      <c r="Z64" s="22">
        <f t="shared" si="42"/>
        <v>0</v>
      </c>
      <c r="AA64" s="19">
        <f t="shared" si="11"/>
        <v>0.52668325055773768</v>
      </c>
      <c r="AB64" s="19">
        <f t="shared" si="8"/>
        <v>1.5290804048450448</v>
      </c>
      <c r="AC64" s="19">
        <f t="shared" si="9"/>
        <v>1.6334077377738246E-3</v>
      </c>
      <c r="AD64" s="19">
        <f t="shared" si="10"/>
        <v>0.16458851579929301</v>
      </c>
      <c r="AE64" s="19"/>
      <c r="AF64" s="19"/>
    </row>
    <row r="65" spans="1:32" ht="15" customHeight="1" x14ac:dyDescent="0.3">
      <c r="A65" s="64" t="s">
        <v>120</v>
      </c>
      <c r="D65" s="2">
        <v>45574.71875</v>
      </c>
      <c r="E65" s="2">
        <v>45575.376388888886</v>
      </c>
      <c r="F65" s="51">
        <v>17</v>
      </c>
      <c r="G65" s="31">
        <f>E65-'Pre-Summary'!$C$1</f>
        <v>148.84722222221899</v>
      </c>
      <c r="H65">
        <v>25676.1</v>
      </c>
      <c r="I65">
        <v>26011.5</v>
      </c>
      <c r="J65" s="107">
        <f t="shared" si="7"/>
        <v>331.71060000000142</v>
      </c>
      <c r="K65" s="112">
        <f t="shared" si="24"/>
        <v>0.35667806451764861</v>
      </c>
      <c r="L65" s="21">
        <v>89.827200000000005</v>
      </c>
      <c r="M65" s="10">
        <v>89.722099999999998</v>
      </c>
      <c r="N65" s="10">
        <v>88.913499999999999</v>
      </c>
      <c r="O65" s="21">
        <v>10.172800000000001</v>
      </c>
      <c r="P65" s="10">
        <v>10.277900000000001</v>
      </c>
      <c r="Q65" s="10">
        <v>11.086499999999999</v>
      </c>
      <c r="R65" s="21">
        <v>0</v>
      </c>
      <c r="S65" s="10">
        <v>0</v>
      </c>
      <c r="T65" s="10">
        <v>0</v>
      </c>
      <c r="U65" s="21">
        <f t="shared" si="37"/>
        <v>89.4876</v>
      </c>
      <c r="V65" s="10">
        <f t="shared" si="38"/>
        <v>0.49995460793956242</v>
      </c>
      <c r="W65" s="21">
        <f t="shared" si="39"/>
        <v>10.5124</v>
      </c>
      <c r="X65" s="10">
        <f t="shared" si="40"/>
        <v>0.49995460793956004</v>
      </c>
      <c r="Y65" s="21">
        <f t="shared" si="41"/>
        <v>0</v>
      </c>
      <c r="Z65" s="22">
        <f t="shared" si="42"/>
        <v>0</v>
      </c>
      <c r="AA65" s="19">
        <f t="shared" si="11"/>
        <v>0.11998535953393052</v>
      </c>
      <c r="AB65" s="19">
        <f t="shared" si="8"/>
        <v>0.34834459219528219</v>
      </c>
      <c r="AC65" s="19">
        <f t="shared" si="9"/>
        <v>3.7211172839606298E-4</v>
      </c>
      <c r="AD65" s="19">
        <f t="shared" si="10"/>
        <v>3.7495424854353289E-2</v>
      </c>
      <c r="AE65" s="19"/>
      <c r="AF65" s="19"/>
    </row>
    <row r="66" spans="1:32" ht="15" customHeight="1" x14ac:dyDescent="0.3">
      <c r="A66" s="64" t="s">
        <v>121</v>
      </c>
      <c r="D66" s="2">
        <v>45580.486805555556</v>
      </c>
      <c r="E66" s="2">
        <v>45581.430555555555</v>
      </c>
      <c r="F66" s="51">
        <v>15</v>
      </c>
      <c r="G66" s="31">
        <f>E66-'Pre-Summary'!$C$1</f>
        <v>154.9013888888876</v>
      </c>
      <c r="H66">
        <v>27160.799999999999</v>
      </c>
      <c r="I66">
        <v>27638.9</v>
      </c>
      <c r="J66" s="107">
        <f t="shared" si="7"/>
        <v>472.84090000000214</v>
      </c>
      <c r="K66" s="112">
        <f t="shared" si="24"/>
        <v>0.35181614583388343</v>
      </c>
      <c r="L66" s="21">
        <v>22.803799999999999</v>
      </c>
      <c r="M66" s="10">
        <v>24.619199999999999</v>
      </c>
      <c r="N66" s="10">
        <v>24.689399999999999</v>
      </c>
      <c r="O66" s="21">
        <v>71.853399999999993</v>
      </c>
      <c r="P66" s="10">
        <v>71.619100000000003</v>
      </c>
      <c r="Q66" s="10">
        <v>71.374899999999997</v>
      </c>
      <c r="R66" s="21">
        <v>5.3428000000000004</v>
      </c>
      <c r="S66" s="10">
        <v>3.7616999999999998</v>
      </c>
      <c r="T66" s="10">
        <v>3.9358</v>
      </c>
      <c r="U66" s="21">
        <f t="shared" si="37"/>
        <v>24.037466666666671</v>
      </c>
      <c r="V66" s="10">
        <f t="shared" si="38"/>
        <v>1.0689630925964346</v>
      </c>
      <c r="W66" s="21">
        <f t="shared" si="39"/>
        <v>71.615799999999993</v>
      </c>
      <c r="X66" s="10">
        <f t="shared" si="40"/>
        <v>0.23926706835667808</v>
      </c>
      <c r="Y66" s="21">
        <f t="shared" si="41"/>
        <v>4.3467666666666664</v>
      </c>
      <c r="Z66" s="22">
        <f t="shared" si="42"/>
        <v>0.86697145473962012</v>
      </c>
      <c r="AA66" s="19">
        <f t="shared" si="11"/>
        <v>0.80625903157792722</v>
      </c>
      <c r="AB66" s="19">
        <f t="shared" si="8"/>
        <v>2.3407520271617246</v>
      </c>
      <c r="AC66" s="19">
        <f t="shared" si="9"/>
        <v>2.500458747140367E-3</v>
      </c>
      <c r="AD66" s="19">
        <f t="shared" si="10"/>
        <v>0.25195594736810223</v>
      </c>
      <c r="AE66" s="19"/>
      <c r="AF66" s="19"/>
    </row>
    <row r="67" spans="1:32" ht="15" customHeight="1" x14ac:dyDescent="0.3">
      <c r="A67" t="s">
        <v>122</v>
      </c>
      <c r="D67" s="2">
        <v>45581.430555555555</v>
      </c>
      <c r="E67" s="2">
        <v>45582.366666666669</v>
      </c>
      <c r="F67" s="51">
        <v>16</v>
      </c>
      <c r="G67" s="31">
        <f>E67-'Pre-Summary'!$C$1</f>
        <v>155.83750000000146</v>
      </c>
      <c r="H67">
        <v>27638.9</v>
      </c>
      <c r="I67">
        <v>28232.400000000001</v>
      </c>
      <c r="J67" s="107">
        <f t="shared" si="7"/>
        <v>586.97149999999999</v>
      </c>
      <c r="K67" s="112">
        <f t="shared" si="24"/>
        <v>0.44066929429298479</v>
      </c>
      <c r="L67" s="21">
        <v>25.8428</v>
      </c>
      <c r="M67" s="10">
        <v>24.365200000000002</v>
      </c>
      <c r="N67" s="10">
        <v>25.820499999999999</v>
      </c>
      <c r="O67" s="21">
        <v>71.605099999999993</v>
      </c>
      <c r="P67" s="10">
        <v>72.009399999999999</v>
      </c>
      <c r="Q67" s="10">
        <v>71.153199999999998</v>
      </c>
      <c r="R67" s="21">
        <v>2.5520999999999998</v>
      </c>
      <c r="S67" s="10">
        <v>3.6254</v>
      </c>
      <c r="T67" s="10">
        <v>3.0261999999999998</v>
      </c>
      <c r="U67" s="21">
        <f t="shared" si="37"/>
        <v>25.342833333333331</v>
      </c>
      <c r="V67" s="10">
        <f t="shared" si="38"/>
        <v>0.84672871885470591</v>
      </c>
      <c r="W67" s="21">
        <f t="shared" si="39"/>
        <v>71.589233333333326</v>
      </c>
      <c r="X67" s="10">
        <f t="shared" si="40"/>
        <v>0.428320468029878</v>
      </c>
      <c r="Y67" s="21">
        <f t="shared" si="41"/>
        <v>3.0678999999999998</v>
      </c>
      <c r="Z67" s="22">
        <f t="shared" si="42"/>
        <v>0.53786372809476546</v>
      </c>
      <c r="AA67" s="19">
        <f t="shared" si="11"/>
        <v>1.0095096618232262</v>
      </c>
      <c r="AB67" s="19">
        <f t="shared" si="8"/>
        <v>2.9308345020674316</v>
      </c>
      <c r="AC67" s="19">
        <f t="shared" si="9"/>
        <v>3.1308018457646579E-3</v>
      </c>
      <c r="AD67" s="19">
        <f t="shared" si="10"/>
        <v>0.31547176931975818</v>
      </c>
      <c r="AE67" s="19"/>
      <c r="AF67" s="19"/>
    </row>
    <row r="68" spans="1:32" ht="15" customHeight="1" x14ac:dyDescent="0.3">
      <c r="A68" t="s">
        <v>123</v>
      </c>
      <c r="D68" s="2">
        <v>45582.366666666669</v>
      </c>
      <c r="E68" s="2">
        <v>45583.47152777778</v>
      </c>
      <c r="F68" s="51"/>
      <c r="G68" s="31">
        <f>E68-'Pre-Summary'!$C$1</f>
        <v>156.9423611111124</v>
      </c>
      <c r="H68">
        <v>28232.400000000001</v>
      </c>
      <c r="I68">
        <v>28680.1</v>
      </c>
      <c r="J68" s="107">
        <f t="shared" si="7"/>
        <v>442.77529999999712</v>
      </c>
      <c r="K68" s="112">
        <f t="shared" si="24"/>
        <v>0.27830000000003891</v>
      </c>
      <c r="L68" s="21">
        <v>23.779599999999999</v>
      </c>
      <c r="M68" s="10">
        <v>21.685700000000001</v>
      </c>
      <c r="N68" s="10">
        <v>22.241299999999999</v>
      </c>
      <c r="O68" s="21">
        <v>74.368700000000004</v>
      </c>
      <c r="P68" s="10">
        <v>73.917100000000005</v>
      </c>
      <c r="Q68" s="10">
        <v>75.906000000000006</v>
      </c>
      <c r="R68" s="21">
        <v>1.8517999999999999</v>
      </c>
      <c r="S68" s="10">
        <v>4.3971999999999998</v>
      </c>
      <c r="T68" s="10">
        <v>1.8527</v>
      </c>
      <c r="U68" s="21">
        <f t="shared" si="37"/>
        <v>22.568866666666665</v>
      </c>
      <c r="V68" s="10">
        <f t="shared" si="38"/>
        <v>1.0847023754621963</v>
      </c>
      <c r="W68" s="21">
        <f t="shared" si="39"/>
        <v>74.730599999999995</v>
      </c>
      <c r="X68" s="10">
        <f t="shared" si="40"/>
        <v>1.042669415490836</v>
      </c>
      <c r="Y68" s="21">
        <f t="shared" si="41"/>
        <v>2.7005666666666666</v>
      </c>
      <c r="Z68" s="22">
        <f t="shared" si="42"/>
        <v>1.4693276364832095</v>
      </c>
      <c r="AA68" s="19">
        <f t="shared" si="11"/>
        <v>0.6655208313600931</v>
      </c>
      <c r="AB68" s="19">
        <f t="shared" si="8"/>
        <v>1.9321572523357537</v>
      </c>
      <c r="AC68" s="19">
        <f t="shared" si="9"/>
        <v>2.0639860379878831E-3</v>
      </c>
      <c r="AD68" s="19">
        <f t="shared" si="10"/>
        <v>0.20797525980002907</v>
      </c>
      <c r="AE68" s="19"/>
      <c r="AF68" s="19"/>
    </row>
    <row r="69" spans="1:32" ht="15" customHeight="1" x14ac:dyDescent="0.3">
      <c r="A69" t="s">
        <v>124</v>
      </c>
      <c r="D69" s="2">
        <v>45583.47152777778</v>
      </c>
      <c r="E69" s="2">
        <v>45586.454861111109</v>
      </c>
      <c r="F69" s="51">
        <v>19</v>
      </c>
      <c r="G69" s="31">
        <f>E69-'Pre-Summary'!$C$1</f>
        <v>159.92569444444234</v>
      </c>
      <c r="H69">
        <v>28680.1</v>
      </c>
      <c r="I69">
        <v>29926.5</v>
      </c>
      <c r="J69" s="107">
        <f t="shared" ref="J69:J130" si="43">(I69-H69)*(1-$J$1)</f>
        <v>1232.6896000000015</v>
      </c>
      <c r="K69" s="107">
        <f t="shared" si="24"/>
        <v>0.28821360766925663</v>
      </c>
      <c r="L69" s="21">
        <v>19.2041</v>
      </c>
      <c r="M69" s="10">
        <v>19.058299999999999</v>
      </c>
      <c r="N69" s="10">
        <v>17.171099999999999</v>
      </c>
      <c r="O69" s="21">
        <v>80.060100000000006</v>
      </c>
      <c r="P69" s="10">
        <v>80.224800000000002</v>
      </c>
      <c r="Q69" s="10">
        <v>79.495199999999997</v>
      </c>
      <c r="R69" s="21">
        <v>0.73580000000000001</v>
      </c>
      <c r="S69" s="10">
        <v>0.71689999999999998</v>
      </c>
      <c r="T69" s="10">
        <v>3.3336999999999999</v>
      </c>
      <c r="U69" s="21">
        <f t="shared" si="37"/>
        <v>18.477833333333333</v>
      </c>
      <c r="V69" s="10">
        <f t="shared" si="38"/>
        <v>1.1340098823790445</v>
      </c>
      <c r="W69" s="21">
        <f t="shared" si="39"/>
        <v>79.926699999999997</v>
      </c>
      <c r="X69" s="10">
        <f t="shared" si="40"/>
        <v>0.38265612499998303</v>
      </c>
      <c r="Y69" s="21">
        <f t="shared" si="41"/>
        <v>1.5954666666666668</v>
      </c>
      <c r="Z69" s="22">
        <f t="shared" si="42"/>
        <v>1.5053838857026911</v>
      </c>
      <c r="AA69" s="19">
        <f t="shared" si="11"/>
        <v>0.73715080179514791</v>
      </c>
      <c r="AB69" s="19">
        <f t="shared" ref="AB69:AB130" si="44">(K69/100*W69*(1440/10^6))/($H$1/1000)</f>
        <v>2.1401152310181715</v>
      </c>
      <c r="AC69" s="19">
        <f t="shared" ref="AC69:AC130" si="45">(K69/100*W69*(1440/10^6))/($D$1)</f>
        <v>2.286132741611417E-3</v>
      </c>
      <c r="AD69" s="19">
        <f t="shared" ref="AD69:AD79" si="46">K69*W69/100</f>
        <v>0.23035962556098372</v>
      </c>
      <c r="AE69" s="19"/>
      <c r="AF69" s="19"/>
    </row>
    <row r="70" spans="1:32" ht="15" customHeight="1" x14ac:dyDescent="0.3">
      <c r="A70" t="s">
        <v>125</v>
      </c>
      <c r="D70" s="2">
        <v>45586.454861111109</v>
      </c>
      <c r="E70" s="2">
        <v>45587.545138888891</v>
      </c>
      <c r="F70" s="51"/>
      <c r="G70" s="31">
        <f>E70-'Pre-Summary'!$C$1</f>
        <v>161.01597222222335</v>
      </c>
      <c r="H70">
        <v>29926.5</v>
      </c>
      <c r="I70" s="64">
        <v>30495.7</v>
      </c>
      <c r="J70" s="107">
        <f t="shared" si="43"/>
        <v>562.9388000000007</v>
      </c>
      <c r="K70" s="107">
        <f t="shared" si="24"/>
        <v>0.3585597452218669</v>
      </c>
      <c r="L70" s="21">
        <v>8.6049000000000007</v>
      </c>
      <c r="M70" s="10">
        <v>8.2071000000000005</v>
      </c>
      <c r="N70" s="10">
        <v>7.8609999999999998</v>
      </c>
      <c r="O70" s="21">
        <v>89.7333</v>
      </c>
      <c r="P70" s="10">
        <v>90.139300000000006</v>
      </c>
      <c r="Q70" s="10">
        <v>90.131200000000007</v>
      </c>
      <c r="R70" s="21">
        <v>1.6617999999999999</v>
      </c>
      <c r="S70" s="10">
        <v>1.6536</v>
      </c>
      <c r="T70" s="10">
        <v>2.0078</v>
      </c>
      <c r="U70" s="21">
        <f t="shared" si="37"/>
        <v>8.2243333333333339</v>
      </c>
      <c r="V70" s="10">
        <f t="shared" si="38"/>
        <v>0.37224930266332756</v>
      </c>
      <c r="W70" s="21">
        <f t="shared" si="39"/>
        <v>90.001266666666666</v>
      </c>
      <c r="X70" s="10">
        <f t="shared" si="40"/>
        <v>0.23210127818117474</v>
      </c>
      <c r="Y70" s="21">
        <f t="shared" si="41"/>
        <v>1.7744</v>
      </c>
      <c r="Z70" s="22">
        <f t="shared" si="42"/>
        <v>0.20217190704942173</v>
      </c>
      <c r="AA70" s="19">
        <f t="shared" ref="AA70:AA79" si="47">(K70*W70/100*(1440/10^6)*(1000/$B$1))</f>
        <v>1.0326665998606497</v>
      </c>
      <c r="AB70" s="19">
        <f t="shared" si="44"/>
        <v>2.9980643221760799</v>
      </c>
      <c r="AC70" s="19">
        <f t="shared" si="45"/>
        <v>3.2026186763424698E-3</v>
      </c>
      <c r="AD70" s="19">
        <f t="shared" si="46"/>
        <v>0.32270831245645304</v>
      </c>
      <c r="AE70" s="19"/>
      <c r="AF70" s="19"/>
    </row>
    <row r="71" spans="1:32" ht="15" customHeight="1" x14ac:dyDescent="0.3">
      <c r="A71" t="s">
        <v>126</v>
      </c>
      <c r="D71" s="2">
        <v>45587.545138888891</v>
      </c>
      <c r="E71" s="2">
        <v>45588.443055555559</v>
      </c>
      <c r="F71" s="51"/>
      <c r="G71" s="31">
        <f>E71-'Pre-Summary'!$C$1</f>
        <v>161.91388888889196</v>
      </c>
      <c r="H71" s="64">
        <v>30495.7</v>
      </c>
      <c r="I71">
        <v>30879</v>
      </c>
      <c r="J71" s="107">
        <f t="shared" si="43"/>
        <v>379.08369999999928</v>
      </c>
      <c r="K71" s="107">
        <f t="shared" si="24"/>
        <v>0.29318151585396762</v>
      </c>
      <c r="L71" s="21">
        <v>5.4661999999999997</v>
      </c>
      <c r="M71" s="10">
        <v>5.0960999999999999</v>
      </c>
      <c r="N71" s="10">
        <v>5.0193000000000003</v>
      </c>
      <c r="O71" s="21">
        <v>92.008300000000006</v>
      </c>
      <c r="P71" s="10">
        <v>90.829499999999996</v>
      </c>
      <c r="Q71" s="10">
        <v>90.763900000000007</v>
      </c>
      <c r="R71" s="21">
        <v>2.5255000000000001</v>
      </c>
      <c r="S71" s="10">
        <v>4.0743999999999998</v>
      </c>
      <c r="T71" s="10">
        <v>4.2168000000000001</v>
      </c>
      <c r="U71" s="21">
        <f t="shared" si="37"/>
        <v>5.1938666666666675</v>
      </c>
      <c r="V71" s="10">
        <f t="shared" si="38"/>
        <v>0.23895322415345899</v>
      </c>
      <c r="W71" s="21">
        <f t="shared" si="39"/>
        <v>91.200566666666688</v>
      </c>
      <c r="X71" s="10">
        <f t="shared" si="40"/>
        <v>0.70028615103637193</v>
      </c>
      <c r="Y71" s="21">
        <f t="shared" si="41"/>
        <v>3.6055666666666668</v>
      </c>
      <c r="Z71" s="22">
        <f t="shared" si="42"/>
        <v>0.93807112914390856</v>
      </c>
      <c r="AA71" s="19">
        <f t="shared" si="47"/>
        <v>0.85562625222637345</v>
      </c>
      <c r="AB71" s="19">
        <f t="shared" si="44"/>
        <v>2.4840762161410841</v>
      </c>
      <c r="AC71" s="19">
        <f t="shared" si="45"/>
        <v>2.6535617746510547E-3</v>
      </c>
      <c r="AD71" s="19">
        <f t="shared" si="46"/>
        <v>0.26738320382074171</v>
      </c>
      <c r="AE71" s="19"/>
      <c r="AF71" s="19"/>
    </row>
    <row r="72" spans="1:32" ht="15" customHeight="1" x14ac:dyDescent="0.3">
      <c r="A72" t="s">
        <v>127</v>
      </c>
      <c r="D72" s="2">
        <v>45588.443055555559</v>
      </c>
      <c r="E72" s="2">
        <v>45589.474999999999</v>
      </c>
      <c r="F72" s="51">
        <v>13</v>
      </c>
      <c r="G72" s="31">
        <f>E72-'Pre-Summary'!$C$1</f>
        <v>162.94583333333139</v>
      </c>
      <c r="H72">
        <v>30879</v>
      </c>
      <c r="I72">
        <v>31294.799999999999</v>
      </c>
      <c r="J72" s="107">
        <f t="shared" si="43"/>
        <v>411.22619999999927</v>
      </c>
      <c r="K72" s="107">
        <f t="shared" si="24"/>
        <v>0.27917596741480943</v>
      </c>
      <c r="L72" s="21">
        <v>2.2484999999999999</v>
      </c>
      <c r="M72" s="10">
        <v>2.6793999999999998</v>
      </c>
      <c r="N72" s="10">
        <v>2.6153</v>
      </c>
      <c r="O72" s="21">
        <v>94.039599999999993</v>
      </c>
      <c r="P72" s="10">
        <v>93.003500000000003</v>
      </c>
      <c r="Q72" s="10">
        <v>94.098399999999998</v>
      </c>
      <c r="R72" s="21">
        <v>3.7119</v>
      </c>
      <c r="S72" s="10">
        <v>4.3170999999999999</v>
      </c>
      <c r="T72" s="10">
        <v>3.2863000000000002</v>
      </c>
      <c r="U72" s="21">
        <f t="shared" si="37"/>
        <v>2.5143999999999997</v>
      </c>
      <c r="V72" s="10">
        <f t="shared" si="38"/>
        <v>0.23249582791955639</v>
      </c>
      <c r="W72" s="21">
        <f t="shared" si="39"/>
        <v>93.713833333333312</v>
      </c>
      <c r="X72" s="10">
        <f t="shared" si="40"/>
        <v>0.61586885238119371</v>
      </c>
      <c r="Y72" s="21">
        <f t="shared" si="41"/>
        <v>3.7717666666666667</v>
      </c>
      <c r="Z72" s="22">
        <f t="shared" si="42"/>
        <v>0.51800113255989533</v>
      </c>
      <c r="AA72" s="19">
        <f t="shared" si="47"/>
        <v>0.83720480259147334</v>
      </c>
      <c r="AB72" s="19">
        <f t="shared" si="44"/>
        <v>2.4305945881687943</v>
      </c>
      <c r="AC72" s="19">
        <f t="shared" si="45"/>
        <v>2.5964311589673542E-3</v>
      </c>
      <c r="AD72" s="19">
        <f t="shared" si="46"/>
        <v>0.26162650080983541</v>
      </c>
      <c r="AE72" s="19"/>
      <c r="AF72" s="19"/>
    </row>
    <row r="73" spans="1:32" ht="15" customHeight="1" x14ac:dyDescent="0.3">
      <c r="A73" t="s">
        <v>128</v>
      </c>
      <c r="D73" s="2">
        <v>45589.474999999999</v>
      </c>
      <c r="E73" s="2">
        <v>45590.443749999999</v>
      </c>
      <c r="F73" s="51"/>
      <c r="G73" s="31">
        <f>E73-'Pre-Summary'!$C$1</f>
        <v>163.91458333333139</v>
      </c>
      <c r="H73">
        <v>31294.799999999999</v>
      </c>
      <c r="I73">
        <v>31726</v>
      </c>
      <c r="J73" s="107">
        <f t="shared" si="43"/>
        <v>426.45680000000073</v>
      </c>
      <c r="K73" s="107">
        <f t="shared" si="24"/>
        <v>0.30570379928315466</v>
      </c>
      <c r="L73" s="21">
        <v>2.0118</v>
      </c>
      <c r="M73" s="10">
        <v>1.9836</v>
      </c>
      <c r="N73" s="10">
        <v>1.5189999999999999</v>
      </c>
      <c r="O73" s="21">
        <v>93.983800000000002</v>
      </c>
      <c r="P73" s="10">
        <v>93.718299999999999</v>
      </c>
      <c r="Q73" s="10">
        <v>94.740099999999998</v>
      </c>
      <c r="R73" s="21">
        <v>4.0044000000000004</v>
      </c>
      <c r="S73" s="10">
        <v>4.2980999999999998</v>
      </c>
      <c r="T73" s="10">
        <v>3.7410000000000001</v>
      </c>
      <c r="U73" s="21">
        <f t="shared" si="37"/>
        <v>1.8381333333333334</v>
      </c>
      <c r="V73" s="10">
        <f t="shared" si="38"/>
        <v>0.27673701113753002</v>
      </c>
      <c r="W73" s="21">
        <f t="shared" si="39"/>
        <v>94.147400000000005</v>
      </c>
      <c r="X73" s="10">
        <f t="shared" si="40"/>
        <v>0.53018160096329159</v>
      </c>
      <c r="Y73" s="21">
        <f t="shared" si="41"/>
        <v>4.0145</v>
      </c>
      <c r="Z73" s="22">
        <f t="shared" si="42"/>
        <v>0.2786872978806173</v>
      </c>
      <c r="AA73" s="19">
        <f t="shared" si="47"/>
        <v>0.92099897192418811</v>
      </c>
      <c r="AB73" s="19">
        <f t="shared" si="44"/>
        <v>2.6738679830057075</v>
      </c>
      <c r="AC73" s="19">
        <f t="shared" si="45"/>
        <v>2.8563028074836982E-3</v>
      </c>
      <c r="AD73" s="19">
        <f t="shared" si="46"/>
        <v>0.28781217872630876</v>
      </c>
      <c r="AE73" s="19"/>
      <c r="AF73" s="19"/>
    </row>
    <row r="74" spans="1:32" ht="15" customHeight="1" x14ac:dyDescent="0.3">
      <c r="A74" t="s">
        <v>129</v>
      </c>
      <c r="D74" s="2">
        <v>45590.443749999999</v>
      </c>
      <c r="E74" s="2">
        <v>45593.449305555558</v>
      </c>
      <c r="F74" s="51">
        <v>14</v>
      </c>
      <c r="G74" s="31">
        <f>E74-'Pre-Summary'!$C$1</f>
        <v>166.92013888889051</v>
      </c>
      <c r="H74">
        <v>31726</v>
      </c>
      <c r="I74">
        <v>32957.800000000003</v>
      </c>
      <c r="J74" s="107">
        <f t="shared" si="43"/>
        <v>1218.2502000000029</v>
      </c>
      <c r="K74" s="107">
        <f t="shared" si="24"/>
        <v>0.2823945757993872</v>
      </c>
      <c r="L74" s="21">
        <v>1.3373999999999999</v>
      </c>
      <c r="M74" s="10">
        <v>1.3688</v>
      </c>
      <c r="N74" s="10">
        <v>1.3103</v>
      </c>
      <c r="O74" s="21">
        <v>95.646100000000004</v>
      </c>
      <c r="P74" s="10">
        <v>95.788799999999995</v>
      </c>
      <c r="Q74" s="10">
        <v>95.504400000000004</v>
      </c>
      <c r="R74" s="21">
        <v>3.0164</v>
      </c>
      <c r="S74" s="10">
        <v>2.8424</v>
      </c>
      <c r="T74" s="10">
        <v>3.1852999999999998</v>
      </c>
      <c r="U74" s="21">
        <f t="shared" si="37"/>
        <v>1.3388333333333333</v>
      </c>
      <c r="V74" s="10">
        <f t="shared" si="38"/>
        <v>2.9276327183124139E-2</v>
      </c>
      <c r="W74" s="21">
        <f t="shared" si="39"/>
        <v>95.646433333333334</v>
      </c>
      <c r="X74" s="10">
        <f t="shared" si="40"/>
        <v>0.14220029301422707</v>
      </c>
      <c r="Y74" s="21">
        <f t="shared" si="41"/>
        <v>3.0146999999999999</v>
      </c>
      <c r="Z74" s="22">
        <f t="shared" si="42"/>
        <v>0.17145632096834446</v>
      </c>
      <c r="AA74" s="19">
        <f t="shared" si="47"/>
        <v>0.86432108697251309</v>
      </c>
      <c r="AB74" s="19">
        <f t="shared" si="44"/>
        <v>2.509319284758909</v>
      </c>
      <c r="AC74" s="19">
        <f t="shared" si="45"/>
        <v>2.6805271477438378E-3</v>
      </c>
      <c r="AD74" s="19">
        <f t="shared" si="46"/>
        <v>0.27010033967891034</v>
      </c>
      <c r="AE74" s="19"/>
      <c r="AF74" s="19"/>
    </row>
    <row r="75" spans="1:32" ht="15" customHeight="1" x14ac:dyDescent="0.3">
      <c r="A75" t="s">
        <v>130</v>
      </c>
      <c r="D75" s="2">
        <v>45593.449305555558</v>
      </c>
      <c r="E75" s="2">
        <v>45594.480555555558</v>
      </c>
      <c r="F75" s="51"/>
      <c r="G75" s="31">
        <f>E75-'Pre-Summary'!$C$1</f>
        <v>167.95138888889051</v>
      </c>
      <c r="H75">
        <v>32957.800000000003</v>
      </c>
      <c r="I75">
        <v>33889.800000000003</v>
      </c>
      <c r="J75" s="107">
        <f t="shared" si="43"/>
        <v>921.74800000000005</v>
      </c>
      <c r="K75" s="107">
        <f t="shared" si="24"/>
        <v>0.62070572390572398</v>
      </c>
      <c r="L75" s="21">
        <v>9.5419999999999998</v>
      </c>
      <c r="M75" s="10">
        <v>9.9148999999999994</v>
      </c>
      <c r="N75" s="10">
        <v>9.9198000000000004</v>
      </c>
      <c r="O75" s="21">
        <v>88.859200000000001</v>
      </c>
      <c r="P75" s="10">
        <v>88.900599999999997</v>
      </c>
      <c r="Q75" s="10">
        <v>88.862399999999994</v>
      </c>
      <c r="R75" s="21">
        <v>1.5988</v>
      </c>
      <c r="S75" s="10">
        <v>1.1846000000000001</v>
      </c>
      <c r="T75" s="10">
        <v>1.2178</v>
      </c>
      <c r="U75" s="21">
        <f t="shared" si="37"/>
        <v>9.7922333333333338</v>
      </c>
      <c r="V75" s="10">
        <f t="shared" si="38"/>
        <v>0.21672227235181285</v>
      </c>
      <c r="W75" s="21">
        <f t="shared" si="39"/>
        <v>88.87406666666665</v>
      </c>
      <c r="X75" s="10">
        <f t="shared" si="40"/>
        <v>2.3034177505031759E-2</v>
      </c>
      <c r="Y75" s="21">
        <f t="shared" si="41"/>
        <v>1.3337333333333337</v>
      </c>
      <c r="Z75" s="22">
        <f t="shared" si="42"/>
        <v>0.23015389054572349</v>
      </c>
      <c r="AA75" s="19">
        <f t="shared" si="47"/>
        <v>1.7652685403769246</v>
      </c>
      <c r="AB75" s="19">
        <f t="shared" si="44"/>
        <v>5.1249731817394588</v>
      </c>
      <c r="AC75" s="19">
        <f t="shared" si="45"/>
        <v>5.4746439915204417E-3</v>
      </c>
      <c r="AD75" s="19">
        <f t="shared" si="46"/>
        <v>0.55164641886778898</v>
      </c>
      <c r="AE75" s="19"/>
      <c r="AF75" s="19"/>
    </row>
    <row r="76" spans="1:32" ht="15" customHeight="1" x14ac:dyDescent="0.3">
      <c r="A76" t="s">
        <v>131</v>
      </c>
      <c r="D76" s="2">
        <v>45594.480555555558</v>
      </c>
      <c r="E76" s="2">
        <v>45595.445138888892</v>
      </c>
      <c r="F76" s="51"/>
      <c r="G76" s="31">
        <f>E76-'Pre-Summary'!$C$1</f>
        <v>168.91597222222481</v>
      </c>
      <c r="H76">
        <v>33889.800000000003</v>
      </c>
      <c r="I76">
        <v>34627.1</v>
      </c>
      <c r="J76" s="107">
        <f t="shared" si="43"/>
        <v>729.1896999999957</v>
      </c>
      <c r="K76" s="107">
        <f t="shared" si="24"/>
        <v>0.52497458603258629</v>
      </c>
      <c r="L76" s="21">
        <v>37.214599999999997</v>
      </c>
      <c r="M76" s="10">
        <v>37.358600000000003</v>
      </c>
      <c r="N76" s="10">
        <v>36.957900000000002</v>
      </c>
      <c r="O76" s="21">
        <v>62.7393</v>
      </c>
      <c r="P76" s="10">
        <v>62.641399999999997</v>
      </c>
      <c r="Q76" s="10">
        <v>62.593499999999999</v>
      </c>
      <c r="R76" s="21">
        <v>4.6100000000000002E-2</v>
      </c>
      <c r="S76" s="10">
        <v>0</v>
      </c>
      <c r="T76" s="10">
        <v>0.44869999999999999</v>
      </c>
      <c r="U76" s="21">
        <f t="shared" si="37"/>
        <v>37.177033333333334</v>
      </c>
      <c r="V76" s="10">
        <f t="shared" si="38"/>
        <v>0.20297429229666805</v>
      </c>
      <c r="W76" s="21">
        <f t="shared" si="39"/>
        <v>62.658066666666663</v>
      </c>
      <c r="X76" s="10">
        <f t="shared" si="40"/>
        <v>7.4315162203506369E-2</v>
      </c>
      <c r="Y76" s="21">
        <f t="shared" si="41"/>
        <v>0.16493333333333335</v>
      </c>
      <c r="Z76" s="22">
        <f t="shared" si="42"/>
        <v>0.24682776045925894</v>
      </c>
      <c r="AA76" s="19">
        <f t="shared" si="47"/>
        <v>1.0526045635179369</v>
      </c>
      <c r="AB76" s="19">
        <f t="shared" si="44"/>
        <v>3.0559487327940102</v>
      </c>
      <c r="AC76" s="19">
        <f t="shared" si="45"/>
        <v>3.2644524712823679E-3</v>
      </c>
      <c r="AD76" s="19">
        <f t="shared" si="46"/>
        <v>0.32893892609935527</v>
      </c>
      <c r="AE76" s="19"/>
      <c r="AF76" s="19"/>
    </row>
    <row r="77" spans="1:32" ht="15" customHeight="1" x14ac:dyDescent="0.3">
      <c r="A77" t="s">
        <v>132</v>
      </c>
      <c r="D77" s="2">
        <v>45595.445138888892</v>
      </c>
      <c r="E77" s="2">
        <v>45596.490972222222</v>
      </c>
      <c r="F77" s="51">
        <v>13</v>
      </c>
      <c r="G77" s="31">
        <f>E77-'Pre-Summary'!$C$1</f>
        <v>169.96180555555475</v>
      </c>
      <c r="H77">
        <v>34627.1</v>
      </c>
      <c r="I77">
        <v>35436.400000000001</v>
      </c>
      <c r="J77" s="107">
        <f t="shared" si="43"/>
        <v>800.39770000000283</v>
      </c>
      <c r="K77" s="107">
        <f t="shared" si="24"/>
        <v>0.53610026791870335</v>
      </c>
      <c r="L77" s="21">
        <v>50.1922</v>
      </c>
      <c r="M77" s="10">
        <v>49.762099999999997</v>
      </c>
      <c r="N77" s="10">
        <v>48.418100000000003</v>
      </c>
      <c r="O77" s="21">
        <v>49.8078</v>
      </c>
      <c r="P77" s="10">
        <v>50.237900000000003</v>
      </c>
      <c r="Q77" s="10">
        <v>51.581899999999997</v>
      </c>
      <c r="R77" s="21">
        <v>0</v>
      </c>
      <c r="S77" s="10">
        <v>0</v>
      </c>
      <c r="T77" s="10">
        <v>0</v>
      </c>
      <c r="U77" s="21">
        <f t="shared" ref="U77:U91" si="48">AVERAGE(L77:N77)</f>
        <v>49.457466666666669</v>
      </c>
      <c r="V77" s="10">
        <f t="shared" ref="V77:V91" si="49">STDEV(L77:N77)</f>
        <v>0.92545059475551117</v>
      </c>
      <c r="W77" s="21">
        <f t="shared" si="39"/>
        <v>50.542533333333331</v>
      </c>
      <c r="X77" s="10">
        <f t="shared" ref="X77:X91" si="50">STDEV(O77:Q77)</f>
        <v>0.92545059475551117</v>
      </c>
      <c r="Y77" s="21">
        <f t="shared" ref="Y77:Y91" si="51">AVERAGE(R77:T77)</f>
        <v>0</v>
      </c>
      <c r="Z77" s="22">
        <f t="shared" ref="Z77:Z91" si="52">STDEV(R77:T77)</f>
        <v>0</v>
      </c>
      <c r="AA77" s="19">
        <f t="shared" si="47"/>
        <v>0.86706770116127996</v>
      </c>
      <c r="AB77" s="19">
        <f t="shared" si="44"/>
        <v>2.5172933259521026</v>
      </c>
      <c r="AC77" s="19">
        <f t="shared" si="45"/>
        <v>2.6890452482603439E-3</v>
      </c>
      <c r="AD77" s="19">
        <f t="shared" si="46"/>
        <v>0.27095865661289997</v>
      </c>
      <c r="AE77" s="19"/>
      <c r="AF77" s="19"/>
    </row>
    <row r="78" spans="1:32" ht="15" customHeight="1" x14ac:dyDescent="0.3">
      <c r="A78" t="s">
        <v>133</v>
      </c>
      <c r="D78" s="2">
        <v>45596.490972222222</v>
      </c>
      <c r="E78" s="2">
        <v>45597.484027777777</v>
      </c>
      <c r="F78" s="51">
        <v>5</v>
      </c>
      <c r="G78" s="31">
        <f>E78-'Pre-Summary'!$C$1</f>
        <v>170.95486111110949</v>
      </c>
      <c r="H78">
        <v>35436.400000000001</v>
      </c>
      <c r="I78">
        <v>35888.5</v>
      </c>
      <c r="J78" s="107">
        <f t="shared" si="43"/>
        <v>447.12689999999856</v>
      </c>
      <c r="K78" s="107">
        <f t="shared" si="24"/>
        <v>0.31377326315815007</v>
      </c>
      <c r="L78" s="21">
        <v>52.946800000000003</v>
      </c>
      <c r="M78" s="10">
        <v>53.039400000000001</v>
      </c>
      <c r="N78" s="10">
        <v>53.371899999999997</v>
      </c>
      <c r="O78" s="21">
        <v>47.053199999999997</v>
      </c>
      <c r="P78" s="10">
        <v>46.960599999999999</v>
      </c>
      <c r="Q78" s="10">
        <v>46.628100000000003</v>
      </c>
      <c r="R78" s="21">
        <v>0</v>
      </c>
      <c r="S78" s="10">
        <v>0</v>
      </c>
      <c r="T78" s="10">
        <v>0</v>
      </c>
      <c r="U78" s="21">
        <f t="shared" si="48"/>
        <v>53.119366666666657</v>
      </c>
      <c r="V78" s="10">
        <f t="shared" si="49"/>
        <v>0.22354754155063275</v>
      </c>
      <c r="W78" s="21">
        <f t="shared" si="39"/>
        <v>46.880633333333343</v>
      </c>
      <c r="X78" s="10">
        <f t="shared" si="50"/>
        <v>0.22354754155063275</v>
      </c>
      <c r="Y78" s="21">
        <f t="shared" si="51"/>
        <v>0</v>
      </c>
      <c r="Z78" s="22">
        <f t="shared" si="52"/>
        <v>0</v>
      </c>
      <c r="AA78" s="19">
        <f t="shared" si="47"/>
        <v>0.47071645759746383</v>
      </c>
      <c r="AB78" s="19">
        <f t="shared" si="44"/>
        <v>1.3665961672184435</v>
      </c>
      <c r="AC78" s="19">
        <f t="shared" si="45"/>
        <v>1.4598373943408595E-3</v>
      </c>
      <c r="AD78" s="19">
        <f t="shared" si="46"/>
        <v>0.14709889299920745</v>
      </c>
      <c r="AE78" s="19"/>
      <c r="AF78" s="19"/>
    </row>
    <row r="79" spans="1:32" ht="15" customHeight="1" x14ac:dyDescent="0.3">
      <c r="A79" t="s">
        <v>134</v>
      </c>
      <c r="D79" s="2">
        <v>45597.484027777777</v>
      </c>
      <c r="E79" s="2">
        <v>45600.463888888888</v>
      </c>
      <c r="F79" s="51">
        <v>5</v>
      </c>
      <c r="G79" s="31">
        <f>E79-'Pre-Summary'!$C$1</f>
        <v>173.93472222222044</v>
      </c>
      <c r="H79">
        <v>35888.5</v>
      </c>
      <c r="I79">
        <v>37236.199999999997</v>
      </c>
      <c r="J79" s="107">
        <f t="shared" si="43"/>
        <v>1332.8752999999972</v>
      </c>
      <c r="K79" s="107">
        <f t="shared" si="24"/>
        <v>0.31098350443305406</v>
      </c>
      <c r="L79" s="21">
        <v>30.023199999999999</v>
      </c>
      <c r="M79" s="10">
        <v>29.611999999999998</v>
      </c>
      <c r="N79" s="10">
        <v>29.9863</v>
      </c>
      <c r="O79" s="21">
        <v>69.976799999999997</v>
      </c>
      <c r="P79" s="10">
        <v>70.388000000000005</v>
      </c>
      <c r="Q79" s="10">
        <v>70.0137</v>
      </c>
      <c r="R79" s="21">
        <v>0</v>
      </c>
      <c r="S79" s="10">
        <v>0</v>
      </c>
      <c r="T79" s="10">
        <v>0</v>
      </c>
      <c r="U79" s="21">
        <f t="shared" si="48"/>
        <v>29.873833333333334</v>
      </c>
      <c r="V79" s="10">
        <f t="shared" si="49"/>
        <v>0.22750367762595322</v>
      </c>
      <c r="W79" s="21">
        <f t="shared" si="39"/>
        <v>70.126166666666663</v>
      </c>
      <c r="X79" s="10">
        <f t="shared" si="50"/>
        <v>0.22750367762595641</v>
      </c>
      <c r="Y79" s="21">
        <f t="shared" si="51"/>
        <v>0</v>
      </c>
      <c r="Z79" s="22">
        <f t="shared" si="52"/>
        <v>0</v>
      </c>
      <c r="AA79" s="19">
        <f t="shared" si="47"/>
        <v>0.6978585939986055</v>
      </c>
      <c r="AB79" s="19">
        <f t="shared" si="44"/>
        <v>2.0260410793507901</v>
      </c>
      <c r="AC79" s="19">
        <f t="shared" si="45"/>
        <v>2.1642754465842347E-3</v>
      </c>
      <c r="AD79" s="19">
        <f t="shared" si="46"/>
        <v>0.21808081062456419</v>
      </c>
      <c r="AE79" s="19"/>
      <c r="AF79" s="19"/>
    </row>
    <row r="80" spans="1:32" ht="15" customHeight="1" x14ac:dyDescent="0.3">
      <c r="A80" t="s">
        <v>135</v>
      </c>
      <c r="D80" s="2">
        <v>45600.463888888888</v>
      </c>
      <c r="E80" s="2">
        <v>45601.464583333334</v>
      </c>
      <c r="F80" s="51"/>
      <c r="G80" s="31">
        <f>E80-'Pre-Summary'!$C$1</f>
        <v>174.93541666666715</v>
      </c>
      <c r="H80">
        <v>37236.199999999997</v>
      </c>
      <c r="I80">
        <v>37741.300000000003</v>
      </c>
      <c r="J80" s="107">
        <f t="shared" si="43"/>
        <v>499.54390000000575</v>
      </c>
      <c r="K80" s="107">
        <f t="shared" si="24"/>
        <v>0.34666474670289782</v>
      </c>
      <c r="L80" s="21">
        <v>14.433999999999999</v>
      </c>
      <c r="M80" s="10">
        <v>14.5951</v>
      </c>
      <c r="N80" s="10">
        <v>14.756</v>
      </c>
      <c r="O80" s="21">
        <v>84.815200000000004</v>
      </c>
      <c r="P80" s="10">
        <v>84.894999999999996</v>
      </c>
      <c r="Q80" s="10">
        <v>84.176100000000005</v>
      </c>
      <c r="R80" s="21">
        <v>0.75080000000000002</v>
      </c>
      <c r="S80" s="10">
        <v>0.50990000000000002</v>
      </c>
      <c r="T80" s="10">
        <v>1.0679000000000001</v>
      </c>
      <c r="U80" s="21">
        <f t="shared" si="48"/>
        <v>14.595033333333333</v>
      </c>
      <c r="V80" s="10">
        <f t="shared" si="49"/>
        <v>0.16100001035196701</v>
      </c>
      <c r="W80" s="21">
        <f t="shared" ref="W80:W97" si="53">AVERAGE(O80:Q80)</f>
        <v>84.628766666666664</v>
      </c>
      <c r="X80" s="10">
        <f t="shared" si="50"/>
        <v>0.39404611828227765</v>
      </c>
      <c r="Y80" s="21">
        <f t="shared" si="51"/>
        <v>0.77619999999999989</v>
      </c>
      <c r="Z80" s="22">
        <f t="shared" si="52"/>
        <v>0.27986580712906023</v>
      </c>
      <c r="AA80" s="19">
        <f t="shared" ref="AA80:AA99" si="54">(K80*W80/100*(1440/10^6)*(1000/$B$1))</f>
        <v>0.9388099187289165</v>
      </c>
      <c r="AB80" s="19">
        <f t="shared" si="44"/>
        <v>2.7255771834065321</v>
      </c>
      <c r="AC80" s="19">
        <f t="shared" si="45"/>
        <v>2.9115400649759645E-3</v>
      </c>
      <c r="AD80" s="19">
        <f t="shared" ref="AD80:AD96" si="55">K80*W80/100</f>
        <v>0.29337809960278638</v>
      </c>
      <c r="AE80" s="19"/>
      <c r="AF80" s="19"/>
    </row>
    <row r="81" spans="1:32" ht="15" customHeight="1" x14ac:dyDescent="0.3">
      <c r="A81" t="s">
        <v>136</v>
      </c>
      <c r="D81" s="2">
        <v>45601.464583333334</v>
      </c>
      <c r="E81" s="2">
        <v>45602.43472222222</v>
      </c>
      <c r="F81" s="51"/>
      <c r="G81" s="31">
        <f>E81-'Pre-Summary'!$C$1</f>
        <v>175.90555555555329</v>
      </c>
      <c r="H81">
        <v>37741.300000000003</v>
      </c>
      <c r="I81">
        <v>38190.5</v>
      </c>
      <c r="J81" s="107">
        <f t="shared" si="43"/>
        <v>444.25879999999711</v>
      </c>
      <c r="K81" s="107">
        <f t="shared" si="24"/>
        <v>0.31800916249195121</v>
      </c>
      <c r="L81" s="21">
        <v>12.2273</v>
      </c>
      <c r="M81" s="10">
        <v>12.4099</v>
      </c>
      <c r="N81" s="10">
        <v>12.5443</v>
      </c>
      <c r="O81" s="21">
        <v>86.823499999999996</v>
      </c>
      <c r="P81" s="10">
        <v>86.488699999999994</v>
      </c>
      <c r="Q81" s="10">
        <v>86.4816</v>
      </c>
      <c r="R81" s="21">
        <v>0.94930000000000003</v>
      </c>
      <c r="S81" s="10">
        <v>1.1014999999999999</v>
      </c>
      <c r="T81" s="10">
        <v>0.97409999999999997</v>
      </c>
      <c r="U81" s="21">
        <f t="shared" si="48"/>
        <v>12.393833333333333</v>
      </c>
      <c r="V81" s="10">
        <f t="shared" si="49"/>
        <v>0.15910956392792161</v>
      </c>
      <c r="W81" s="21">
        <f t="shared" si="53"/>
        <v>86.59793333333333</v>
      </c>
      <c r="X81" s="10">
        <f t="shared" si="50"/>
        <v>0.19537871770828302</v>
      </c>
      <c r="Y81" s="21">
        <f t="shared" si="51"/>
        <v>1.0083</v>
      </c>
      <c r="Z81" s="22">
        <f t="shared" si="52"/>
        <v>8.1660516775244524E-2</v>
      </c>
      <c r="AA81" s="19">
        <f t="shared" si="54"/>
        <v>0.88124596009174916</v>
      </c>
      <c r="AB81" s="19">
        <f t="shared" si="44"/>
        <v>2.5584560131695944</v>
      </c>
      <c r="AC81" s="19">
        <f t="shared" si="45"/>
        <v>2.7330164165491875E-3</v>
      </c>
      <c r="AD81" s="19">
        <f t="shared" si="55"/>
        <v>0.27538936252867158</v>
      </c>
      <c r="AE81" s="19"/>
      <c r="AF81" s="19"/>
    </row>
    <row r="82" spans="1:32" ht="15" customHeight="1" x14ac:dyDescent="0.3">
      <c r="A82" t="s">
        <v>137</v>
      </c>
      <c r="D82" s="2">
        <v>45602.43472222222</v>
      </c>
      <c r="E82" s="2">
        <v>45603.479861111111</v>
      </c>
      <c r="F82" s="51">
        <v>12</v>
      </c>
      <c r="G82" s="31">
        <f>E82-'Pre-Summary'!$C$1</f>
        <v>176.9506944444438</v>
      </c>
      <c r="H82">
        <v>38190.5</v>
      </c>
      <c r="I82">
        <v>38664.9</v>
      </c>
      <c r="J82" s="107">
        <f t="shared" si="43"/>
        <v>469.18160000000142</v>
      </c>
      <c r="K82" s="107">
        <f t="shared" si="24"/>
        <v>0.31425425318102462</v>
      </c>
      <c r="L82" s="21">
        <v>9.2922999999999991</v>
      </c>
      <c r="M82" s="10">
        <v>9.0762</v>
      </c>
      <c r="N82" s="10">
        <v>9.1586999999999996</v>
      </c>
      <c r="O82" s="21">
        <v>88.791799999999995</v>
      </c>
      <c r="P82" s="10">
        <v>87.266999999999996</v>
      </c>
      <c r="Q82" s="10">
        <v>88.144199999999998</v>
      </c>
      <c r="R82" s="21">
        <v>1.9158999999999999</v>
      </c>
      <c r="S82" s="10">
        <v>3.6568000000000001</v>
      </c>
      <c r="T82" s="10">
        <v>2.6970999999999998</v>
      </c>
      <c r="U82" s="21">
        <f t="shared" si="48"/>
        <v>9.1757333333333317</v>
      </c>
      <c r="V82" s="10">
        <f t="shared" si="49"/>
        <v>0.10905229632306342</v>
      </c>
      <c r="W82" s="21">
        <f t="shared" si="53"/>
        <v>88.067666666666653</v>
      </c>
      <c r="X82" s="10">
        <f t="shared" si="50"/>
        <v>0.76527561919437415</v>
      </c>
      <c r="Y82" s="21">
        <f t="shared" si="51"/>
        <v>2.7566000000000002</v>
      </c>
      <c r="Z82" s="22">
        <f t="shared" si="52"/>
        <v>0.87197384708487635</v>
      </c>
      <c r="AA82" s="19">
        <f t="shared" si="54"/>
        <v>0.88562044216731994</v>
      </c>
      <c r="AB82" s="19">
        <f t="shared" si="44"/>
        <v>2.5711561224212516</v>
      </c>
      <c r="AC82" s="19">
        <f t="shared" si="45"/>
        <v>2.746583039112984E-3</v>
      </c>
      <c r="AD82" s="19">
        <f t="shared" si="55"/>
        <v>0.27675638817728748</v>
      </c>
    </row>
    <row r="83" spans="1:32" ht="15" customHeight="1" x14ac:dyDescent="0.3">
      <c r="A83" t="s">
        <v>138</v>
      </c>
      <c r="D83" s="2">
        <v>45603.479861111111</v>
      </c>
      <c r="E83" s="2">
        <v>45604.454861111109</v>
      </c>
      <c r="F83" s="51"/>
      <c r="G83" s="31">
        <f>E83-'Pre-Summary'!$C$1</f>
        <v>177.92569444444234</v>
      </c>
      <c r="H83">
        <v>38664.9</v>
      </c>
      <c r="I83">
        <v>39132.300000000003</v>
      </c>
      <c r="J83" s="107">
        <f t="shared" si="43"/>
        <v>462.25860000000142</v>
      </c>
      <c r="K83" s="107">
        <f t="shared" si="24"/>
        <v>0.32924401709450951</v>
      </c>
      <c r="L83" s="21">
        <v>8.1836000000000002</v>
      </c>
      <c r="M83" s="10">
        <v>7.9672700000000001</v>
      </c>
      <c r="N83" s="10">
        <v>8.1887000000000008</v>
      </c>
      <c r="O83" s="21">
        <v>88.771500000000003</v>
      </c>
      <c r="P83" s="10">
        <v>89.098299999999995</v>
      </c>
      <c r="Q83" s="10">
        <v>88.511300000000006</v>
      </c>
      <c r="R83" s="21">
        <v>3.0449000000000002</v>
      </c>
      <c r="S83" s="10">
        <v>2.9390000000000001</v>
      </c>
      <c r="T83" s="10">
        <v>3.3</v>
      </c>
      <c r="U83" s="21">
        <f t="shared" si="48"/>
        <v>8.1131900000000012</v>
      </c>
      <c r="V83" s="10">
        <f t="shared" si="49"/>
        <v>0.1263961522357388</v>
      </c>
      <c r="W83" s="21">
        <f t="shared" si="53"/>
        <v>88.793700000000001</v>
      </c>
      <c r="X83" s="10">
        <f t="shared" si="50"/>
        <v>0.29412901930954843</v>
      </c>
      <c r="Y83" s="21">
        <f t="shared" si="51"/>
        <v>3.0946333333333329</v>
      </c>
      <c r="Z83" s="22">
        <f t="shared" si="52"/>
        <v>0.18556751691320678</v>
      </c>
      <c r="AA83" s="19">
        <f t="shared" si="54"/>
        <v>0.93551342338191212</v>
      </c>
      <c r="AB83" s="19">
        <f t="shared" si="44"/>
        <v>2.7160067130442611</v>
      </c>
      <c r="AC83" s="19">
        <f t="shared" si="45"/>
        <v>2.9013166128315673E-3</v>
      </c>
      <c r="AD83" s="19">
        <f t="shared" si="55"/>
        <v>0.2923479448068475</v>
      </c>
    </row>
    <row r="84" spans="1:32" ht="15" customHeight="1" x14ac:dyDescent="0.3">
      <c r="A84" t="s">
        <v>139</v>
      </c>
      <c r="D84" s="2">
        <v>45604.454861111109</v>
      </c>
      <c r="E84" s="2">
        <v>45607.425000000003</v>
      </c>
      <c r="F84" s="51">
        <v>11</v>
      </c>
      <c r="G84" s="31">
        <f>E84-'Pre-Summary'!$C$1</f>
        <v>180.89583333333576</v>
      </c>
      <c r="H84">
        <v>39132.300000000003</v>
      </c>
      <c r="I84">
        <v>40432.5</v>
      </c>
      <c r="J84" s="107">
        <f t="shared" si="43"/>
        <v>1285.897799999997</v>
      </c>
      <c r="K84" s="107">
        <f t="shared" si="24"/>
        <v>0.30142939521754147</v>
      </c>
      <c r="L84" s="21">
        <v>6.6307</v>
      </c>
      <c r="M84" s="10">
        <v>6.7737999999999996</v>
      </c>
      <c r="N84" s="10">
        <v>6.6912000000000003</v>
      </c>
      <c r="O84" s="21">
        <v>88.108099999999993</v>
      </c>
      <c r="P84" s="10">
        <v>88.527600000000007</v>
      </c>
      <c r="Q84" s="10">
        <v>88.378100000000003</v>
      </c>
      <c r="R84" s="21">
        <v>5.2611999999999997</v>
      </c>
      <c r="S84" s="10">
        <v>4.6985999999999999</v>
      </c>
      <c r="T84" s="10">
        <v>4.9306999999999999</v>
      </c>
      <c r="U84" s="21">
        <f t="shared" si="48"/>
        <v>6.6985666666666672</v>
      </c>
      <c r="V84" s="10">
        <f t="shared" si="49"/>
        <v>7.1833859240147319E-2</v>
      </c>
      <c r="W84" s="21">
        <f t="shared" si="53"/>
        <v>88.337933333333339</v>
      </c>
      <c r="X84" s="10">
        <f t="shared" si="50"/>
        <v>0.21261487091296391</v>
      </c>
      <c r="Y84" s="21">
        <f t="shared" si="51"/>
        <v>4.9634999999999998</v>
      </c>
      <c r="Z84" s="22">
        <f t="shared" si="52"/>
        <v>0.28273056078181563</v>
      </c>
      <c r="AA84" s="19">
        <f t="shared" si="54"/>
        <v>0.85208479422189332</v>
      </c>
      <c r="AB84" s="19">
        <f t="shared" si="44"/>
        <v>2.4737945638700132</v>
      </c>
      <c r="AC84" s="19">
        <f t="shared" si="45"/>
        <v>2.642578617504149E-3</v>
      </c>
      <c r="AD84" s="19">
        <f t="shared" si="55"/>
        <v>0.26627649819434163</v>
      </c>
    </row>
    <row r="85" spans="1:32" ht="15" customHeight="1" x14ac:dyDescent="0.3">
      <c r="A85" t="s">
        <v>140</v>
      </c>
      <c r="D85" s="2">
        <v>45607.425000000003</v>
      </c>
      <c r="E85" s="2">
        <v>45608.402777777781</v>
      </c>
      <c r="F85" s="51"/>
      <c r="G85" s="31">
        <f>E85-'Pre-Summary'!$C$1</f>
        <v>181.87361111111386</v>
      </c>
      <c r="H85">
        <v>40432.5</v>
      </c>
      <c r="I85">
        <v>40864.6</v>
      </c>
      <c r="J85" s="107">
        <f t="shared" si="43"/>
        <v>427.34689999999858</v>
      </c>
      <c r="K85" s="107">
        <f t="shared" si="24"/>
        <v>0.30351342329535314</v>
      </c>
      <c r="L85" s="21">
        <v>4.8456999999999999</v>
      </c>
      <c r="M85" s="10">
        <v>5.0057</v>
      </c>
      <c r="N85" s="10">
        <v>4.9507000000000003</v>
      </c>
      <c r="O85" s="21">
        <v>92.037599999999998</v>
      </c>
      <c r="P85" s="10">
        <v>92.0227</v>
      </c>
      <c r="Q85" s="10">
        <v>91.820899999999995</v>
      </c>
      <c r="R85" s="21">
        <v>3.1166999999999998</v>
      </c>
      <c r="S85" s="10">
        <v>2.9716</v>
      </c>
      <c r="T85" s="10">
        <v>3.2282999999999999</v>
      </c>
      <c r="U85" s="21">
        <f t="shared" si="48"/>
        <v>4.9340333333333328</v>
      </c>
      <c r="V85" s="10">
        <f t="shared" si="49"/>
        <v>8.1291655988381437E-2</v>
      </c>
      <c r="W85" s="21">
        <f t="shared" si="53"/>
        <v>91.960399999999993</v>
      </c>
      <c r="X85" s="10">
        <f t="shared" si="50"/>
        <v>0.12104003469927044</v>
      </c>
      <c r="Y85" s="21">
        <f t="shared" si="51"/>
        <v>3.1055333333333337</v>
      </c>
      <c r="Z85" s="22">
        <f t="shared" si="52"/>
        <v>0.12871380397351839</v>
      </c>
      <c r="AA85" s="19">
        <f t="shared" si="54"/>
        <v>0.8931589059715197</v>
      </c>
      <c r="AB85" s="19">
        <f t="shared" si="44"/>
        <v>2.5930419850786057</v>
      </c>
      <c r="AC85" s="19">
        <f t="shared" si="45"/>
        <v>2.7699621480853469E-3</v>
      </c>
      <c r="AD85" s="19">
        <f t="shared" si="55"/>
        <v>0.27911215811609991</v>
      </c>
    </row>
    <row r="86" spans="1:32" ht="15" customHeight="1" x14ac:dyDescent="0.3">
      <c r="A86" t="s">
        <v>141</v>
      </c>
      <c r="D86" s="2">
        <v>45608.402777777781</v>
      </c>
      <c r="E86" s="2">
        <v>45609.430555555555</v>
      </c>
      <c r="F86" s="51"/>
      <c r="G86" s="31">
        <f>E86-'Pre-Summary'!$C$1</f>
        <v>182.9013888888876</v>
      </c>
      <c r="H86">
        <v>40864.6</v>
      </c>
      <c r="I86">
        <v>41309.1</v>
      </c>
      <c r="J86" s="107">
        <f t="shared" si="43"/>
        <v>439.6105</v>
      </c>
      <c r="K86" s="107">
        <f t="shared" si="24"/>
        <v>0.29703412162278986</v>
      </c>
      <c r="L86" s="21">
        <v>5.4618000000000002</v>
      </c>
      <c r="M86" s="10">
        <v>5.3193999999999999</v>
      </c>
      <c r="N86" s="10">
        <v>5.4744999999999999</v>
      </c>
      <c r="O86" s="21">
        <v>91.526200000000003</v>
      </c>
      <c r="P86" s="10">
        <v>91.521600000000007</v>
      </c>
      <c r="Q86" s="10">
        <v>91.658699999999996</v>
      </c>
      <c r="R86" s="21">
        <v>3.012</v>
      </c>
      <c r="S86" s="10">
        <v>3.1589999999999998</v>
      </c>
      <c r="T86" s="10">
        <v>2.8668</v>
      </c>
      <c r="U86" s="21">
        <f t="shared" si="48"/>
        <v>5.418566666666667</v>
      </c>
      <c r="V86" s="10">
        <f t="shared" si="49"/>
        <v>8.6115290937982356E-2</v>
      </c>
      <c r="W86" s="21">
        <f t="shared" si="53"/>
        <v>91.56883333333333</v>
      </c>
      <c r="X86" s="10">
        <f t="shared" si="50"/>
        <v>7.7860794584518264E-2</v>
      </c>
      <c r="Y86" s="21">
        <f t="shared" si="51"/>
        <v>3.0125999999999995</v>
      </c>
      <c r="Z86" s="22">
        <f t="shared" si="52"/>
        <v>0.14610092402171854</v>
      </c>
      <c r="AA86" s="19">
        <f t="shared" si="54"/>
        <v>0.87037017527008986</v>
      </c>
      <c r="AB86" s="19">
        <f t="shared" si="44"/>
        <v>2.5268811540099381</v>
      </c>
      <c r="AC86" s="19">
        <f t="shared" si="45"/>
        <v>2.6992872423951784E-3</v>
      </c>
      <c r="AD86" s="19">
        <f t="shared" si="55"/>
        <v>0.27199067977190305</v>
      </c>
    </row>
    <row r="87" spans="1:32" ht="15" customHeight="1" x14ac:dyDescent="0.3">
      <c r="A87" t="s">
        <v>142</v>
      </c>
      <c r="D87" s="2">
        <v>45609.430555555555</v>
      </c>
      <c r="E87" s="2">
        <v>45610.520833333336</v>
      </c>
      <c r="F87" s="51">
        <v>10</v>
      </c>
      <c r="G87" s="31">
        <f>E87-'Pre-Summary'!$C$1</f>
        <v>183.99166666666861</v>
      </c>
      <c r="H87">
        <v>41309.1</v>
      </c>
      <c r="I87">
        <v>41779.1</v>
      </c>
      <c r="J87" s="107">
        <f t="shared" si="43"/>
        <v>464.83</v>
      </c>
      <c r="K87" s="107">
        <f t="shared" si="24"/>
        <v>0.29796794871705928</v>
      </c>
      <c r="L87" s="21">
        <v>4.0641999999999996</v>
      </c>
      <c r="M87" s="10">
        <v>4.0895000000000001</v>
      </c>
      <c r="N87" s="10">
        <v>3.9794</v>
      </c>
      <c r="O87" s="21">
        <v>93.231300000000005</v>
      </c>
      <c r="P87" s="10">
        <v>93.089100000000002</v>
      </c>
      <c r="Q87" s="10">
        <v>93.172600000000003</v>
      </c>
      <c r="R87" s="21">
        <v>2.7044999999999999</v>
      </c>
      <c r="S87" s="10">
        <v>2.8214000000000001</v>
      </c>
      <c r="T87" s="10">
        <v>2.8479999999999999</v>
      </c>
      <c r="U87" s="21">
        <f t="shared" si="48"/>
        <v>4.0443666666666669</v>
      </c>
      <c r="V87" s="10">
        <f t="shared" si="49"/>
        <v>5.7667350670317155E-2</v>
      </c>
      <c r="W87" s="21">
        <f t="shared" si="53"/>
        <v>93.164333333333332</v>
      </c>
      <c r="X87" s="10">
        <f t="shared" si="50"/>
        <v>7.1459522341907028E-2</v>
      </c>
      <c r="Y87" s="21">
        <f t="shared" si="51"/>
        <v>2.7912999999999997</v>
      </c>
      <c r="Z87" s="22">
        <f t="shared" si="52"/>
        <v>7.6338522385490312E-2</v>
      </c>
      <c r="AA87" s="19">
        <f t="shared" si="54"/>
        <v>0.88831952950162185</v>
      </c>
      <c r="AB87" s="19">
        <f t="shared" si="44"/>
        <v>2.5789921824240634</v>
      </c>
      <c r="AC87" s="19">
        <f t="shared" si="45"/>
        <v>2.7549537441470006E-3</v>
      </c>
      <c r="AD87" s="19">
        <f t="shared" si="55"/>
        <v>0.27759985296925682</v>
      </c>
    </row>
    <row r="88" spans="1:32" ht="15" customHeight="1" x14ac:dyDescent="0.3">
      <c r="A88" t="s">
        <v>143</v>
      </c>
      <c r="D88" s="2">
        <v>45610.520833333336</v>
      </c>
      <c r="E88" s="2">
        <v>45611.4375</v>
      </c>
      <c r="F88" s="51"/>
      <c r="G88" s="31">
        <f>E88-'Pre-Summary'!$C$1</f>
        <v>184.90833333333285</v>
      </c>
      <c r="H88">
        <v>41779.1</v>
      </c>
      <c r="I88">
        <v>42189.1</v>
      </c>
      <c r="J88" s="107">
        <f t="shared" si="43"/>
        <v>405.49</v>
      </c>
      <c r="K88" s="107">
        <f t="shared" si="24"/>
        <v>0.30718939394020672</v>
      </c>
      <c r="L88" s="21">
        <v>3.8887</v>
      </c>
      <c r="M88" s="10">
        <v>3.6393</v>
      </c>
      <c r="N88" s="10">
        <v>3.8613</v>
      </c>
      <c r="O88" s="64">
        <v>92.715000000000003</v>
      </c>
      <c r="P88" s="10">
        <v>93.055899999999994</v>
      </c>
      <c r="Q88" s="10">
        <v>93.07</v>
      </c>
      <c r="R88" s="10">
        <v>3.3963000000000001</v>
      </c>
      <c r="S88" s="10">
        <v>3.3047</v>
      </c>
      <c r="T88" s="10">
        <v>3.0687000000000002</v>
      </c>
      <c r="U88" s="21">
        <f t="shared" si="48"/>
        <v>3.7964333333333333</v>
      </c>
      <c r="V88" s="10">
        <f t="shared" si="49"/>
        <v>0.13676934354354905</v>
      </c>
      <c r="W88" s="21">
        <f t="shared" si="53"/>
        <v>92.946966666666654</v>
      </c>
      <c r="X88" s="10">
        <f t="shared" si="50"/>
        <v>0.20101269445816364</v>
      </c>
      <c r="Y88" s="21">
        <f t="shared" si="51"/>
        <v>3.2565666666666666</v>
      </c>
      <c r="Z88" s="22">
        <f t="shared" si="52"/>
        <v>0.16902086656189322</v>
      </c>
      <c r="AA88" s="19">
        <f t="shared" si="54"/>
        <v>0.9136743154852458</v>
      </c>
      <c r="AB88" s="19">
        <f t="shared" si="44"/>
        <v>2.6526028514087781</v>
      </c>
      <c r="AC88" s="19">
        <f t="shared" si="45"/>
        <v>2.833586781311927E-3</v>
      </c>
      <c r="AD88" s="19">
        <f t="shared" si="55"/>
        <v>0.28552322358913929</v>
      </c>
    </row>
    <row r="89" spans="1:32" ht="15" customHeight="1" x14ac:dyDescent="0.3">
      <c r="A89" t="s">
        <v>144</v>
      </c>
      <c r="D89" s="2">
        <v>45611.4375</v>
      </c>
      <c r="E89" s="2">
        <v>45614.357638888891</v>
      </c>
      <c r="F89" s="51">
        <v>2</v>
      </c>
      <c r="G89" s="31">
        <f>E89-'Pre-Summary'!$C$1</f>
        <v>187.82847222222335</v>
      </c>
      <c r="H89">
        <v>42189.1</v>
      </c>
      <c r="I89">
        <v>43516.1</v>
      </c>
      <c r="J89" s="107">
        <f t="shared" si="43"/>
        <v>1312.403</v>
      </c>
      <c r="K89" s="107">
        <f t="shared" si="24"/>
        <v>0.31225386628581325</v>
      </c>
      <c r="L89" s="21">
        <v>3.2193000000000001</v>
      </c>
      <c r="M89" s="10">
        <v>3.1414</v>
      </c>
      <c r="N89" s="10">
        <v>3.3860000000000001</v>
      </c>
      <c r="O89" s="21">
        <v>94.167199999999994</v>
      </c>
      <c r="P89" s="10">
        <v>94.049599999999998</v>
      </c>
      <c r="Q89" s="10">
        <v>93.8048</v>
      </c>
      <c r="R89" s="21">
        <v>2.6135000000000002</v>
      </c>
      <c r="S89" s="10">
        <v>2.8090000000000002</v>
      </c>
      <c r="T89" s="10">
        <v>2.8092000000000001</v>
      </c>
      <c r="U89" s="21">
        <f t="shared" si="48"/>
        <v>3.2489000000000003</v>
      </c>
      <c r="V89" s="10">
        <f t="shared" si="49"/>
        <v>0.12495763282008834</v>
      </c>
      <c r="W89" s="21">
        <f t="shared" si="53"/>
        <v>94.007199999999997</v>
      </c>
      <c r="X89" s="10">
        <f t="shared" si="50"/>
        <v>0.18488309819991366</v>
      </c>
      <c r="Y89" s="21">
        <f t="shared" si="51"/>
        <v>2.7439</v>
      </c>
      <c r="Z89" s="22">
        <f t="shared" si="52"/>
        <v>0.11292975692880951</v>
      </c>
      <c r="AA89" s="19">
        <f t="shared" si="54"/>
        <v>0.93933157307851844</v>
      </c>
      <c r="AB89" s="19">
        <f t="shared" si="44"/>
        <v>2.7270916637763438</v>
      </c>
      <c r="AC89" s="19">
        <f t="shared" si="45"/>
        <v>2.913157876535722E-3</v>
      </c>
      <c r="AD89" s="19">
        <f t="shared" si="55"/>
        <v>0.29354111658703702</v>
      </c>
    </row>
    <row r="90" spans="1:32" ht="15" customHeight="1" x14ac:dyDescent="0.3">
      <c r="A90" t="s">
        <v>145</v>
      </c>
      <c r="D90" s="2">
        <v>45614.357638888891</v>
      </c>
      <c r="E90" s="2">
        <v>45615.478472222225</v>
      </c>
      <c r="F90" s="51">
        <v>32</v>
      </c>
      <c r="G90" s="31">
        <f>E90-'Pre-Summary'!$C$1</f>
        <v>188.94930555555766</v>
      </c>
      <c r="H90">
        <v>43516.1</v>
      </c>
      <c r="I90">
        <v>44061.4</v>
      </c>
      <c r="J90" s="107">
        <f t="shared" si="43"/>
        <v>539.30170000000282</v>
      </c>
      <c r="K90" s="107">
        <f t="shared" si="24"/>
        <v>0.34089867256607242</v>
      </c>
      <c r="L90" s="21">
        <v>3.2172000000000001</v>
      </c>
      <c r="M90" s="10">
        <v>3.1475</v>
      </c>
      <c r="N90" s="10">
        <v>3.1514000000000002</v>
      </c>
      <c r="O90" s="21">
        <v>94.766599999999997</v>
      </c>
      <c r="P90" s="10">
        <v>95.018299999999996</v>
      </c>
      <c r="Q90" s="10">
        <v>94.778499999999994</v>
      </c>
      <c r="R90" s="21">
        <v>2.0162</v>
      </c>
      <c r="S90" s="10">
        <v>1.8343</v>
      </c>
      <c r="T90" s="10">
        <v>2.0701000000000001</v>
      </c>
      <c r="U90" s="21">
        <f t="shared" si="48"/>
        <v>3.1720333333333333</v>
      </c>
      <c r="V90" s="10">
        <f t="shared" si="49"/>
        <v>3.9164056650624599E-2</v>
      </c>
      <c r="W90" s="21">
        <f t="shared" si="53"/>
        <v>94.854466666666667</v>
      </c>
      <c r="X90" s="10">
        <f t="shared" si="50"/>
        <v>0.14200853260749327</v>
      </c>
      <c r="Y90" s="21">
        <f t="shared" si="51"/>
        <v>1.9735333333333334</v>
      </c>
      <c r="Z90" s="22">
        <f t="shared" si="52"/>
        <v>0.12355461680298852</v>
      </c>
      <c r="AA90" s="19">
        <f t="shared" si="54"/>
        <v>1.0347443767561417</v>
      </c>
      <c r="AB90" s="19">
        <f t="shared" si="44"/>
        <v>3.0040965776791215</v>
      </c>
      <c r="AC90" s="19">
        <f t="shared" si="45"/>
        <v>3.2090625054463392E-3</v>
      </c>
      <c r="AD90" s="19">
        <f t="shared" si="55"/>
        <v>0.32335761773629429</v>
      </c>
    </row>
    <row r="91" spans="1:32" ht="15" customHeight="1" x14ac:dyDescent="0.3">
      <c r="A91" t="s">
        <v>146</v>
      </c>
      <c r="D91" s="2">
        <v>45615.478472222225</v>
      </c>
      <c r="E91" s="2">
        <v>45616.409722222219</v>
      </c>
      <c r="F91" s="51">
        <v>14</v>
      </c>
      <c r="G91" s="31">
        <f>E91-'Pre-Summary'!$C$1</f>
        <v>189.88055555555184</v>
      </c>
      <c r="H91">
        <v>44061.4</v>
      </c>
      <c r="I91">
        <v>44468.6</v>
      </c>
      <c r="J91" s="107">
        <f t="shared" si="43"/>
        <v>402.7207999999971</v>
      </c>
      <c r="K91" s="107">
        <f t="shared" ref="K91:K152" si="56">J91/((E91-D91)*1440-F91)</f>
        <v>0.30348214016770225</v>
      </c>
      <c r="L91" s="21">
        <v>3.6065999999999998</v>
      </c>
      <c r="M91" s="10">
        <v>3.4891000000000001</v>
      </c>
      <c r="N91" s="10">
        <v>3.4253999999999998</v>
      </c>
      <c r="O91" s="21">
        <v>94.920299999999997</v>
      </c>
      <c r="P91" s="10">
        <v>95.006200000000007</v>
      </c>
      <c r="Q91" s="10">
        <v>94.570400000000006</v>
      </c>
      <c r="R91" s="21">
        <v>1.4731000000000001</v>
      </c>
      <c r="S91" s="10">
        <v>1.5046999999999999</v>
      </c>
      <c r="T91" s="10">
        <v>2.0042</v>
      </c>
      <c r="U91" s="21">
        <f t="shared" si="48"/>
        <v>3.5070333333333337</v>
      </c>
      <c r="V91" s="10">
        <f t="shared" si="49"/>
        <v>9.1921506370018377E-2</v>
      </c>
      <c r="W91" s="21">
        <f t="shared" si="53"/>
        <v>94.832299999999989</v>
      </c>
      <c r="X91" s="10">
        <f t="shared" si="50"/>
        <v>0.2308428253162729</v>
      </c>
      <c r="Y91" s="21">
        <f t="shared" si="51"/>
        <v>1.6606666666666667</v>
      </c>
      <c r="Z91" s="22">
        <f t="shared" si="52"/>
        <v>0.29792784920737686</v>
      </c>
      <c r="AA91" s="19">
        <f t="shared" si="54"/>
        <v>0.9209570995528189</v>
      </c>
      <c r="AB91" s="19">
        <f t="shared" si="44"/>
        <v>2.6737464180565707</v>
      </c>
      <c r="AC91" s="19">
        <f t="shared" si="45"/>
        <v>2.8561729483030217E-3</v>
      </c>
      <c r="AD91" s="19">
        <f t="shared" si="55"/>
        <v>0.28779909361025591</v>
      </c>
    </row>
    <row r="92" spans="1:32" ht="15" customHeight="1" x14ac:dyDescent="0.3">
      <c r="A92" t="s">
        <v>147</v>
      </c>
      <c r="D92" s="2">
        <v>45616.409722222219</v>
      </c>
      <c r="E92" s="2">
        <v>45617.45416666667</v>
      </c>
      <c r="F92" s="51"/>
      <c r="G92" s="31">
        <f>E92-'Pre-Summary'!$C$1</f>
        <v>190.92500000000291</v>
      </c>
      <c r="H92">
        <v>44468.6</v>
      </c>
      <c r="I92">
        <v>44954</v>
      </c>
      <c r="J92" s="107">
        <f t="shared" si="43"/>
        <v>480.06060000000144</v>
      </c>
      <c r="K92" s="107">
        <f t="shared" si="56"/>
        <v>0.31918922872137928</v>
      </c>
      <c r="L92" s="21">
        <v>2.9599000000000002</v>
      </c>
      <c r="M92" s="10">
        <v>2.8656000000000001</v>
      </c>
      <c r="N92" s="10">
        <v>2.8811</v>
      </c>
      <c r="O92" s="21">
        <v>95.554500000000004</v>
      </c>
      <c r="P92" s="10">
        <v>96.037000000000006</v>
      </c>
      <c r="Q92" s="10">
        <v>94.832099999999997</v>
      </c>
      <c r="R92" s="21">
        <v>1.4856</v>
      </c>
      <c r="S92" s="10">
        <v>1.0973999999999999</v>
      </c>
      <c r="T92" s="10">
        <v>2.2867999999999999</v>
      </c>
      <c r="U92" s="21">
        <f t="shared" ref="U92:U121" si="57">AVERAGE(L92:N92)</f>
        <v>2.9022000000000001</v>
      </c>
      <c r="V92" s="10">
        <f t="shared" ref="V92:V121" si="58">STDEV(L92:N92)</f>
        <v>5.056708415560468E-2</v>
      </c>
      <c r="W92" s="21">
        <f t="shared" si="53"/>
        <v>95.474533333333326</v>
      </c>
      <c r="X92" s="10">
        <f t="shared" ref="X92:X121" si="59">STDEV(O92:Q92)</f>
        <v>0.60641735078519898</v>
      </c>
      <c r="Y92" s="21">
        <f t="shared" ref="Y92:Y121" si="60">AVERAGE(R92:T92)</f>
        <v>1.6232666666666666</v>
      </c>
      <c r="Z92" s="22">
        <f t="shared" ref="Z92:Z121" si="61">STDEV(R92:T92)</f>
        <v>0.60653291199516435</v>
      </c>
      <c r="AA92" s="19">
        <f t="shared" si="54"/>
        <v>0.975182165030409</v>
      </c>
      <c r="AB92" s="19">
        <f t="shared" si="44"/>
        <v>2.8311740275076391</v>
      </c>
      <c r="AC92" s="19">
        <f t="shared" si="45"/>
        <v>3.0243416558489596E-3</v>
      </c>
      <c r="AD92" s="19">
        <f t="shared" si="55"/>
        <v>0.30474442657200279</v>
      </c>
    </row>
    <row r="93" spans="1:32" ht="15" customHeight="1" x14ac:dyDescent="0.3">
      <c r="A93" t="s">
        <v>148</v>
      </c>
      <c r="D93" s="2">
        <v>45617.45416666667</v>
      </c>
      <c r="E93" s="2">
        <v>45618.413194444445</v>
      </c>
      <c r="F93" s="51">
        <v>8</v>
      </c>
      <c r="G93" s="31">
        <f>E93-'Pre-Summary'!$C$1</f>
        <v>191.8840277777781</v>
      </c>
      <c r="H93">
        <v>44954</v>
      </c>
      <c r="I93">
        <v>45365.3</v>
      </c>
      <c r="J93" s="107">
        <f t="shared" si="43"/>
        <v>406.77570000000287</v>
      </c>
      <c r="K93" s="107">
        <f t="shared" si="56"/>
        <v>0.29626780772112643</v>
      </c>
      <c r="L93" s="21">
        <v>3.0754000000000001</v>
      </c>
      <c r="M93" s="10">
        <v>3.1659999999999999</v>
      </c>
      <c r="N93" s="10">
        <v>3.0518000000000001</v>
      </c>
      <c r="O93" s="21">
        <v>95.501599999999996</v>
      </c>
      <c r="P93" s="10">
        <v>95.605900000000005</v>
      </c>
      <c r="Q93" s="10">
        <v>95.681399999999996</v>
      </c>
      <c r="R93" s="21">
        <v>1.423</v>
      </c>
      <c r="S93" s="10">
        <v>1.2281</v>
      </c>
      <c r="T93" s="10">
        <v>1.2667999999999999</v>
      </c>
      <c r="U93" s="21">
        <f t="shared" si="57"/>
        <v>3.0977333333333337</v>
      </c>
      <c r="V93" s="10">
        <f t="shared" si="58"/>
        <v>6.0286759187514152E-2</v>
      </c>
      <c r="W93" s="21">
        <f t="shared" si="53"/>
        <v>95.596299999999999</v>
      </c>
      <c r="X93" s="10">
        <f t="shared" si="59"/>
        <v>9.0283608700583648E-2</v>
      </c>
      <c r="Y93" s="21">
        <f t="shared" si="60"/>
        <v>1.3059666666666667</v>
      </c>
      <c r="Z93" s="22">
        <f t="shared" si="61"/>
        <v>0.10318441419775247</v>
      </c>
      <c r="AA93" s="19">
        <f t="shared" si="54"/>
        <v>0.90630739927203585</v>
      </c>
      <c r="AB93" s="19">
        <f t="shared" si="44"/>
        <v>2.6312150301446198</v>
      </c>
      <c r="AC93" s="19">
        <f t="shared" si="45"/>
        <v>2.8107396945032119E-3</v>
      </c>
      <c r="AD93" s="19">
        <f t="shared" si="55"/>
        <v>0.2832210622725112</v>
      </c>
    </row>
    <row r="94" spans="1:32" ht="15" customHeight="1" x14ac:dyDescent="0.3">
      <c r="A94" t="s">
        <v>149</v>
      </c>
      <c r="D94" s="2">
        <v>45618.413194444445</v>
      </c>
      <c r="E94" s="2">
        <v>45621.430555555555</v>
      </c>
      <c r="F94" s="51">
        <v>12</v>
      </c>
      <c r="G94" s="31">
        <f>E94-'Pre-Summary'!$C$1</f>
        <v>194.9013888888876</v>
      </c>
      <c r="H94">
        <v>45365.3</v>
      </c>
      <c r="I94">
        <v>46681.599999999999</v>
      </c>
      <c r="J94" s="107">
        <f t="shared" si="43"/>
        <v>1301.8206999999957</v>
      </c>
      <c r="K94" s="107">
        <f t="shared" si="56"/>
        <v>0.30044327255958808</v>
      </c>
      <c r="L94" s="21">
        <v>2.2633000000000001</v>
      </c>
      <c r="M94" s="10">
        <v>2.2488999999999999</v>
      </c>
      <c r="N94" s="10">
        <v>2.3708999999999998</v>
      </c>
      <c r="O94" s="21">
        <v>95.4619</v>
      </c>
      <c r="P94" s="10">
        <v>96.941299999999998</v>
      </c>
      <c r="Q94" s="10">
        <v>96.767399999999995</v>
      </c>
      <c r="R94" s="21">
        <v>2.2747999999999999</v>
      </c>
      <c r="S94" s="10">
        <v>0.80979999999999996</v>
      </c>
      <c r="T94" s="10">
        <v>0.86170000000000002</v>
      </c>
      <c r="U94" s="21">
        <f t="shared" si="57"/>
        <v>2.2943666666666664</v>
      </c>
      <c r="V94" s="10">
        <f t="shared" si="58"/>
        <v>6.6669733262803135E-2</v>
      </c>
      <c r="W94" s="21">
        <f t="shared" si="53"/>
        <v>96.390199999999993</v>
      </c>
      <c r="X94" s="10">
        <f t="shared" si="59"/>
        <v>0.80861979322794042</v>
      </c>
      <c r="Y94" s="21">
        <f t="shared" si="60"/>
        <v>1.3154333333333332</v>
      </c>
      <c r="Z94" s="22">
        <f t="shared" si="61"/>
        <v>0.83124106210733661</v>
      </c>
      <c r="AA94" s="19">
        <f t="shared" si="54"/>
        <v>0.92671318818154258</v>
      </c>
      <c r="AB94" s="19">
        <f t="shared" si="44"/>
        <v>2.6904576431077043</v>
      </c>
      <c r="AC94" s="19">
        <f t="shared" si="45"/>
        <v>2.8740243603149148E-3</v>
      </c>
      <c r="AD94" s="19">
        <f t="shared" si="55"/>
        <v>0.28959787130673204</v>
      </c>
    </row>
    <row r="95" spans="1:32" ht="15" customHeight="1" x14ac:dyDescent="0.3">
      <c r="A95" t="s">
        <v>150</v>
      </c>
      <c r="D95" s="2">
        <v>45621.430555555555</v>
      </c>
      <c r="E95" s="4">
        <v>45622.481249999997</v>
      </c>
      <c r="F95" s="51"/>
      <c r="G95" s="31">
        <f>E95-'Pre-Summary'!$C$1</f>
        <v>195.95208333332994</v>
      </c>
      <c r="H95">
        <v>46681.599999999999</v>
      </c>
      <c r="I95">
        <v>47119.9</v>
      </c>
      <c r="J95" s="107">
        <f t="shared" si="43"/>
        <v>433.4787000000029</v>
      </c>
      <c r="K95" s="112">
        <f t="shared" si="56"/>
        <v>0.28650277594241247</v>
      </c>
      <c r="L95" s="21">
        <v>1.5184</v>
      </c>
      <c r="M95" s="10">
        <v>1.1418999999999999</v>
      </c>
      <c r="N95" s="10">
        <v>1.0682</v>
      </c>
      <c r="O95" s="21">
        <v>98.221800000000002</v>
      </c>
      <c r="P95" s="10">
        <v>98.341700000000003</v>
      </c>
      <c r="Q95" s="10">
        <v>98.473299999999995</v>
      </c>
      <c r="R95" s="21">
        <v>0.25979999999999998</v>
      </c>
      <c r="S95" s="10">
        <v>0.51639999999999997</v>
      </c>
      <c r="T95" s="10">
        <v>0.45850000000000002</v>
      </c>
      <c r="U95" s="21">
        <f t="shared" si="57"/>
        <v>1.2428333333333332</v>
      </c>
      <c r="V95" s="10">
        <f t="shared" si="58"/>
        <v>0.24147600985052994</v>
      </c>
      <c r="W95" s="21">
        <f t="shared" si="53"/>
        <v>98.34559999999999</v>
      </c>
      <c r="X95" s="10">
        <f t="shared" si="59"/>
        <v>0.12579534967557066</v>
      </c>
      <c r="Y95" s="21">
        <f t="shared" si="60"/>
        <v>0.41156666666666669</v>
      </c>
      <c r="Z95" s="22">
        <f t="shared" si="61"/>
        <v>0.13458433539358619</v>
      </c>
      <c r="AA95" s="19">
        <f t="shared" si="54"/>
        <v>0.9016411968551078</v>
      </c>
      <c r="AB95" s="19">
        <f t="shared" si="44"/>
        <v>2.6176679908696676</v>
      </c>
      <c r="AC95" s="19">
        <f t="shared" si="45"/>
        <v>2.7962683568904098E-3</v>
      </c>
      <c r="AD95" s="19">
        <f t="shared" si="55"/>
        <v>0.28176287401722117</v>
      </c>
    </row>
    <row r="96" spans="1:32" ht="15" customHeight="1" x14ac:dyDescent="0.3">
      <c r="A96" t="s">
        <v>151</v>
      </c>
      <c r="D96" s="4">
        <v>45622.481249999997</v>
      </c>
      <c r="E96" s="2">
        <v>45623.493750000001</v>
      </c>
      <c r="F96" s="51"/>
      <c r="G96" s="31">
        <f>E96-'Pre-Summary'!$C$1</f>
        <v>196.9645833333343</v>
      </c>
      <c r="H96">
        <v>47119.9</v>
      </c>
      <c r="I96">
        <v>47547</v>
      </c>
      <c r="J96" s="107">
        <f t="shared" si="43"/>
        <v>422.40189999999853</v>
      </c>
      <c r="K96" s="112">
        <f t="shared" si="56"/>
        <v>0.28971323731013532</v>
      </c>
      <c r="L96" s="21">
        <v>1.9323999999999999</v>
      </c>
      <c r="M96" s="10">
        <v>1.8049999999999999</v>
      </c>
      <c r="N96" s="10">
        <v>1.8394999999999999</v>
      </c>
      <c r="O96" s="21">
        <v>97.8613</v>
      </c>
      <c r="P96" s="10">
        <v>98.088499999999996</v>
      </c>
      <c r="Q96" s="10">
        <v>95.873199999999997</v>
      </c>
      <c r="R96" s="21">
        <v>0.20630000000000001</v>
      </c>
      <c r="S96" s="10">
        <v>0.1065</v>
      </c>
      <c r="T96" s="10">
        <v>2.2909000000000002</v>
      </c>
      <c r="U96" s="21">
        <f t="shared" si="57"/>
        <v>1.8589666666666667</v>
      </c>
      <c r="V96" s="10">
        <f t="shared" si="58"/>
        <v>6.5893120531155078E-2</v>
      </c>
      <c r="W96" s="21">
        <f t="shared" si="53"/>
        <v>97.274333333333331</v>
      </c>
      <c r="X96" s="10">
        <f t="shared" si="59"/>
        <v>1.2187230708136014</v>
      </c>
      <c r="Y96" s="21">
        <f t="shared" si="60"/>
        <v>0.86790000000000012</v>
      </c>
      <c r="Z96" s="22">
        <f t="shared" si="61"/>
        <v>1.2333640014205054</v>
      </c>
      <c r="AA96" s="19">
        <f t="shared" si="54"/>
        <v>0.90181318454992665</v>
      </c>
      <c r="AB96" s="19">
        <f t="shared" si="44"/>
        <v>2.618167309983658</v>
      </c>
      <c r="AC96" s="19">
        <f t="shared" si="45"/>
        <v>2.7968017439522191E-3</v>
      </c>
      <c r="AD96" s="19">
        <f t="shared" si="55"/>
        <v>0.28181662017185205</v>
      </c>
    </row>
    <row r="97" spans="1:30" ht="15" customHeight="1" x14ac:dyDescent="0.3">
      <c r="A97" t="s">
        <v>152</v>
      </c>
      <c r="D97" s="2">
        <v>45624.470833333333</v>
      </c>
      <c r="E97" s="2">
        <v>45625.654861111114</v>
      </c>
      <c r="F97" s="51"/>
      <c r="G97" s="31">
        <f>E97-'Pre-Summary'!$C$1</f>
        <v>199.12569444444671</v>
      </c>
      <c r="H97">
        <v>47590.1</v>
      </c>
      <c r="I97">
        <v>48156.800000000003</v>
      </c>
      <c r="J97" s="107">
        <f t="shared" si="43"/>
        <v>560.46630000000437</v>
      </c>
      <c r="K97" s="112">
        <f t="shared" si="56"/>
        <v>0.32871923753576165</v>
      </c>
      <c r="L97" s="21">
        <v>2.8866999999999998</v>
      </c>
      <c r="M97" s="10">
        <v>3.0628000000000002</v>
      </c>
      <c r="N97" s="10">
        <v>2.7608999999999999</v>
      </c>
      <c r="O97" s="21">
        <v>96.706000000000003</v>
      </c>
      <c r="P97" s="10">
        <v>96.937200000000004</v>
      </c>
      <c r="Q97" s="10">
        <v>97.239099999999993</v>
      </c>
      <c r="R97" s="21">
        <v>0.4073</v>
      </c>
      <c r="S97" s="10">
        <v>0</v>
      </c>
      <c r="T97" s="10">
        <v>0</v>
      </c>
      <c r="U97" s="21">
        <f t="shared" si="57"/>
        <v>2.9034666666666666</v>
      </c>
      <c r="V97" s="10">
        <f t="shared" si="58"/>
        <v>0.15164677158889134</v>
      </c>
      <c r="W97" s="21">
        <f t="shared" si="53"/>
        <v>96.960766666666657</v>
      </c>
      <c r="X97" s="10">
        <f t="shared" si="59"/>
        <v>0.26733021403000939</v>
      </c>
      <c r="Y97" s="21">
        <f t="shared" si="60"/>
        <v>0.13576666666666667</v>
      </c>
      <c r="Z97" s="22">
        <f t="shared" si="61"/>
        <v>0.23515476464093457</v>
      </c>
      <c r="AA97" s="19">
        <f t="shared" si="54"/>
        <v>1.019931817265586</v>
      </c>
      <c r="AB97" s="19">
        <f t="shared" si="44"/>
        <v>2.9610923727065392</v>
      </c>
      <c r="AC97" s="19">
        <f t="shared" si="45"/>
        <v>3.1631241748415824E-3</v>
      </c>
      <c r="AD97" s="19">
        <f t="shared" ref="AD97:AD127" si="62">K97*W97/100</f>
        <v>0.3187286928954956</v>
      </c>
    </row>
    <row r="98" spans="1:30" ht="15" customHeight="1" x14ac:dyDescent="0.3">
      <c r="A98" t="s">
        <v>153</v>
      </c>
      <c r="D98" s="2">
        <v>45625.654861111114</v>
      </c>
      <c r="E98" s="2">
        <v>45628.492361111108</v>
      </c>
      <c r="F98" s="51">
        <v>11</v>
      </c>
      <c r="G98" s="31">
        <f>E98-'Pre-Summary'!$C$1</f>
        <v>201.96319444444089</v>
      </c>
      <c r="H98">
        <v>48156.800000000003</v>
      </c>
      <c r="I98">
        <v>49584.3</v>
      </c>
      <c r="J98" s="107">
        <f t="shared" si="43"/>
        <v>1411.7974999999999</v>
      </c>
      <c r="K98" s="112">
        <f t="shared" si="56"/>
        <v>0.34645337423384143</v>
      </c>
      <c r="L98" s="21">
        <v>3.5082</v>
      </c>
      <c r="M98" s="10">
        <v>3.49</v>
      </c>
      <c r="N98" s="10">
        <v>3.5644</v>
      </c>
      <c r="O98" s="21">
        <v>95.957499999999996</v>
      </c>
      <c r="P98" s="10">
        <v>96.51</v>
      </c>
      <c r="Q98" s="10">
        <v>95.276600000000002</v>
      </c>
      <c r="R98" s="21">
        <v>0.5343</v>
      </c>
      <c r="S98" s="10">
        <v>0</v>
      </c>
      <c r="T98" s="10">
        <v>1.159</v>
      </c>
      <c r="U98" s="21">
        <f t="shared" si="57"/>
        <v>3.5208666666666666</v>
      </c>
      <c r="V98" s="10">
        <f t="shared" si="58"/>
        <v>3.8783673540980203E-2</v>
      </c>
      <c r="W98" s="21">
        <f t="shared" ref="W98:W128" si="63">AVERAGE(O98:Q98)</f>
        <v>95.914699999999996</v>
      </c>
      <c r="X98" s="10">
        <f t="shared" si="59"/>
        <v>0.6178128923873325</v>
      </c>
      <c r="Y98" s="21">
        <f t="shared" si="60"/>
        <v>0.56443333333333334</v>
      </c>
      <c r="Z98" s="22">
        <f t="shared" si="61"/>
        <v>0.58008728940852805</v>
      </c>
      <c r="AA98" s="19">
        <f t="shared" si="54"/>
        <v>1.0633590865160523</v>
      </c>
      <c r="AB98" s="19">
        <f t="shared" si="44"/>
        <v>3.0871715414982157</v>
      </c>
      <c r="AC98" s="19">
        <f t="shared" si="45"/>
        <v>3.2978055749980939E-3</v>
      </c>
      <c r="AD98" s="19">
        <f t="shared" si="62"/>
        <v>0.33229971453626633</v>
      </c>
    </row>
    <row r="99" spans="1:30" ht="15" customHeight="1" x14ac:dyDescent="0.3">
      <c r="A99" t="s">
        <v>154</v>
      </c>
      <c r="D99" s="2">
        <v>45628.492361111108</v>
      </c>
      <c r="E99" s="2">
        <v>45629.401388888888</v>
      </c>
      <c r="F99" s="51"/>
      <c r="G99" s="31">
        <f>E99-'Pre-Summary'!$C$1</f>
        <v>202.87222222222044</v>
      </c>
      <c r="H99">
        <v>49584.3</v>
      </c>
      <c r="I99">
        <v>50067.9</v>
      </c>
      <c r="J99" s="107">
        <f t="shared" si="43"/>
        <v>478.28039999999856</v>
      </c>
      <c r="K99" s="107">
        <f t="shared" si="56"/>
        <v>0.36537845683656439</v>
      </c>
      <c r="L99" s="21">
        <v>4.4842000000000004</v>
      </c>
      <c r="M99" s="10">
        <v>4.3314000000000004</v>
      </c>
      <c r="N99" s="10">
        <v>4.3662000000000001</v>
      </c>
      <c r="O99" s="21">
        <v>94.719800000000006</v>
      </c>
      <c r="P99" s="10">
        <v>94.816100000000006</v>
      </c>
      <c r="Q99" s="10">
        <v>94.869200000000006</v>
      </c>
      <c r="R99" s="21">
        <v>0.79610000000000003</v>
      </c>
      <c r="S99" s="10">
        <v>0.85260000000000002</v>
      </c>
      <c r="T99" s="10">
        <v>0.76470000000000005</v>
      </c>
      <c r="U99" s="21">
        <f t="shared" si="57"/>
        <v>4.393933333333333</v>
      </c>
      <c r="V99" s="10">
        <f t="shared" si="58"/>
        <v>8.0086286799509854E-2</v>
      </c>
      <c r="W99" s="21">
        <f t="shared" si="63"/>
        <v>94.801700000000025</v>
      </c>
      <c r="X99" s="10">
        <f t="shared" si="59"/>
        <v>7.5733810151081063E-2</v>
      </c>
      <c r="Y99" s="21">
        <f t="shared" si="60"/>
        <v>0.80446666666666677</v>
      </c>
      <c r="Z99" s="22">
        <f t="shared" si="61"/>
        <v>4.4543274838445952E-2</v>
      </c>
      <c r="AA99" s="19">
        <f t="shared" si="54"/>
        <v>1.1084319632474537</v>
      </c>
      <c r="AB99" s="19">
        <f t="shared" si="44"/>
        <v>3.218028280395834</v>
      </c>
      <c r="AC99" s="19">
        <f t="shared" si="45"/>
        <v>3.4375905131726688E-3</v>
      </c>
      <c r="AD99" s="19">
        <f t="shared" si="62"/>
        <v>0.34638498851482935</v>
      </c>
    </row>
    <row r="100" spans="1:30" ht="15" customHeight="1" x14ac:dyDescent="0.3">
      <c r="A100" t="s">
        <v>155</v>
      </c>
      <c r="D100" s="2">
        <v>45629.401388888888</v>
      </c>
      <c r="E100" s="2">
        <v>45630.604166666664</v>
      </c>
      <c r="F100" s="51"/>
      <c r="G100" s="31">
        <f>E100-'Pre-Summary'!$C$1</f>
        <v>204.07499999999709</v>
      </c>
      <c r="H100">
        <v>50067.9</v>
      </c>
      <c r="I100">
        <v>50696.6</v>
      </c>
      <c r="J100" s="107">
        <f t="shared" si="43"/>
        <v>621.78429999999707</v>
      </c>
      <c r="K100" s="107">
        <f t="shared" si="56"/>
        <v>0.35899786374167564</v>
      </c>
      <c r="L100" s="21">
        <v>3.1232000000000002</v>
      </c>
      <c r="M100" s="10">
        <v>3.0741000000000001</v>
      </c>
      <c r="N100" s="10">
        <v>3.1305999999999998</v>
      </c>
      <c r="O100" s="21">
        <v>96.021600000000007</v>
      </c>
      <c r="P100" s="10">
        <v>94.051199999999994</v>
      </c>
      <c r="Q100" s="10">
        <v>96.149299999999997</v>
      </c>
      <c r="R100" s="21">
        <v>0.85509999999999997</v>
      </c>
      <c r="S100" s="10">
        <v>2.8746999999999998</v>
      </c>
      <c r="T100" s="10">
        <v>0.72009999999999996</v>
      </c>
      <c r="U100" s="21">
        <f t="shared" si="57"/>
        <v>3.1092999999999997</v>
      </c>
      <c r="V100" s="10">
        <f t="shared" si="58"/>
        <v>3.0707816594476352E-2</v>
      </c>
      <c r="W100" s="21">
        <f t="shared" si="63"/>
        <v>95.407366666666675</v>
      </c>
      <c r="X100" s="10">
        <f t="shared" si="59"/>
        <v>1.1762090984741371</v>
      </c>
      <c r="Y100" s="21">
        <f t="shared" si="60"/>
        <v>1.4832999999999998</v>
      </c>
      <c r="Z100" s="22">
        <f t="shared" si="61"/>
        <v>1.206876845415471</v>
      </c>
      <c r="AA100" s="19">
        <f t="shared" ref="AA100:AA127" si="64">(K100*W100/100*(1440/10^6)*(1000/$B$1))</f>
        <v>1.0960333061936671</v>
      </c>
      <c r="AB100" s="19">
        <f t="shared" si="44"/>
        <v>3.1820321792719359</v>
      </c>
      <c r="AC100" s="19">
        <f t="shared" si="45"/>
        <v>3.3991384409865614E-3</v>
      </c>
      <c r="AD100" s="19">
        <f t="shared" si="62"/>
        <v>0.34251040818552092</v>
      </c>
    </row>
    <row r="101" spans="1:30" ht="15" customHeight="1" x14ac:dyDescent="0.3">
      <c r="A101" t="s">
        <v>156</v>
      </c>
      <c r="D101" s="2">
        <v>45630.604166666664</v>
      </c>
      <c r="E101" s="2">
        <v>45631.474999999999</v>
      </c>
      <c r="F101" s="51">
        <v>10</v>
      </c>
      <c r="G101" s="31">
        <f>E101-'Pre-Summary'!$C$1</f>
        <v>204.94583333333139</v>
      </c>
      <c r="H101">
        <v>50696.6</v>
      </c>
      <c r="I101">
        <v>51113.2</v>
      </c>
      <c r="J101" s="107">
        <f t="shared" si="43"/>
        <v>412.01739999999853</v>
      </c>
      <c r="K101" s="107">
        <f t="shared" si="56"/>
        <v>0.33120369774882302</v>
      </c>
      <c r="L101" s="21">
        <v>4.7354000000000003</v>
      </c>
      <c r="M101" s="10">
        <v>4.8179999999999996</v>
      </c>
      <c r="N101" s="10">
        <v>4.6592000000000002</v>
      </c>
      <c r="O101" s="21">
        <v>94.650599999999997</v>
      </c>
      <c r="P101" s="10">
        <v>94.532499999999999</v>
      </c>
      <c r="Q101" s="10">
        <v>93.094099999999997</v>
      </c>
      <c r="R101" s="21">
        <v>0.61399999999999999</v>
      </c>
      <c r="S101" s="10">
        <v>0.64949999999999997</v>
      </c>
      <c r="T101" s="10">
        <v>2.2467000000000001</v>
      </c>
      <c r="U101" s="21">
        <f t="shared" si="57"/>
        <v>4.7375333333333334</v>
      </c>
      <c r="V101" s="10">
        <f t="shared" si="58"/>
        <v>7.9421491633771796E-2</v>
      </c>
      <c r="W101" s="21">
        <f t="shared" si="63"/>
        <v>94.092399999999998</v>
      </c>
      <c r="X101" s="10">
        <f t="shared" si="59"/>
        <v>0.86656740649530573</v>
      </c>
      <c r="Y101" s="21">
        <f t="shared" si="60"/>
        <v>1.1700666666666668</v>
      </c>
      <c r="Z101" s="22">
        <f t="shared" si="61"/>
        <v>0.93256075584024734</v>
      </c>
      <c r="AA101" s="19">
        <f t="shared" si="64"/>
        <v>0.99724002592196337</v>
      </c>
      <c r="AB101" s="19">
        <f t="shared" si="44"/>
        <v>2.8952129784831193</v>
      </c>
      <c r="AC101" s="19">
        <f t="shared" si="45"/>
        <v>3.0927499080970608E-3</v>
      </c>
      <c r="AD101" s="19">
        <f t="shared" si="62"/>
        <v>0.31163750810061353</v>
      </c>
    </row>
    <row r="102" spans="1:30" ht="15" customHeight="1" x14ac:dyDescent="0.3">
      <c r="A102" t="s">
        <v>157</v>
      </c>
      <c r="D102" s="2">
        <v>45631.474999999999</v>
      </c>
      <c r="E102" s="2">
        <v>45632.429166666669</v>
      </c>
      <c r="F102" s="51"/>
      <c r="G102" s="31">
        <f>E102-'Pre-Summary'!$C$1</f>
        <v>205.90000000000146</v>
      </c>
      <c r="H102">
        <v>51113.2</v>
      </c>
      <c r="I102">
        <v>51602.3</v>
      </c>
      <c r="J102" s="107">
        <f t="shared" si="43"/>
        <v>483.71990000000574</v>
      </c>
      <c r="K102" s="107">
        <f t="shared" si="56"/>
        <v>0.3520523289652725</v>
      </c>
      <c r="L102" s="21">
        <v>4.4059999999999997</v>
      </c>
      <c r="M102" s="10">
        <v>4.3197999999999999</v>
      </c>
      <c r="N102" s="10">
        <v>4.3015999999999996</v>
      </c>
      <c r="O102" s="21">
        <v>95.128900000000002</v>
      </c>
      <c r="P102" s="10">
        <v>95.138999999999996</v>
      </c>
      <c r="Q102" s="10">
        <v>95.006900000000002</v>
      </c>
      <c r="R102" s="21">
        <v>0.46500000000000002</v>
      </c>
      <c r="S102" s="10">
        <v>0.54120000000000001</v>
      </c>
      <c r="T102" s="10">
        <v>0.69159999999999999</v>
      </c>
      <c r="U102" s="21">
        <f t="shared" si="57"/>
        <v>4.3424666666666667</v>
      </c>
      <c r="V102" s="10">
        <f t="shared" si="58"/>
        <v>5.5768928027471819E-2</v>
      </c>
      <c r="W102" s="21">
        <f t="shared" si="63"/>
        <v>95.091600000000014</v>
      </c>
      <c r="X102" s="10">
        <f t="shared" si="59"/>
        <v>7.3525981802351453E-2</v>
      </c>
      <c r="Y102" s="21">
        <f t="shared" si="60"/>
        <v>0.56593333333333329</v>
      </c>
      <c r="Z102" s="22">
        <f t="shared" si="61"/>
        <v>0.11530695266692879</v>
      </c>
      <c r="AA102" s="19">
        <f t="shared" si="64"/>
        <v>1.0712710158410916</v>
      </c>
      <c r="AB102" s="19">
        <f t="shared" si="44"/>
        <v>3.1101416588934914</v>
      </c>
      <c r="AC102" s="19">
        <f t="shared" si="45"/>
        <v>3.32234291611641E-3</v>
      </c>
      <c r="AD102" s="19">
        <f t="shared" si="62"/>
        <v>0.33477219245034112</v>
      </c>
    </row>
    <row r="103" spans="1:30" ht="15" customHeight="1" x14ac:dyDescent="0.3">
      <c r="A103" t="s">
        <v>158</v>
      </c>
      <c r="D103" s="2">
        <v>45632.429166666669</v>
      </c>
      <c r="E103" s="2">
        <v>45635.448611111111</v>
      </c>
      <c r="F103" s="51">
        <v>10</v>
      </c>
      <c r="G103" s="31">
        <f>E103-'Pre-Summary'!$C$1</f>
        <v>208.9194444444438</v>
      </c>
      <c r="H103">
        <v>51602.3</v>
      </c>
      <c r="I103">
        <v>53124.4</v>
      </c>
      <c r="J103" s="107">
        <f t="shared" si="43"/>
        <v>1505.3568999999986</v>
      </c>
      <c r="K103" s="112">
        <f t="shared" si="56"/>
        <v>0.34701634393754011</v>
      </c>
      <c r="L103" s="21">
        <v>1.1306</v>
      </c>
      <c r="M103" s="10">
        <v>1.2905</v>
      </c>
      <c r="N103" s="10">
        <v>1.3290999999999999</v>
      </c>
      <c r="O103" s="21">
        <v>98.283699999999996</v>
      </c>
      <c r="P103" s="10">
        <v>98.101299999999995</v>
      </c>
      <c r="Q103" s="10">
        <v>98.092299999999994</v>
      </c>
      <c r="R103" s="21">
        <v>0.5857</v>
      </c>
      <c r="S103" s="10">
        <v>0.60819999999999996</v>
      </c>
      <c r="T103" s="10">
        <v>0.5786</v>
      </c>
      <c r="U103" s="21">
        <f t="shared" si="57"/>
        <v>1.2500666666666667</v>
      </c>
      <c r="V103" s="10">
        <f t="shared" si="58"/>
        <v>0.10524591836899577</v>
      </c>
      <c r="W103" s="21">
        <f t="shared" si="63"/>
        <v>98.159100000000009</v>
      </c>
      <c r="X103" s="10">
        <f t="shared" si="59"/>
        <v>0.10800055555412748</v>
      </c>
      <c r="Y103" s="21">
        <f t="shared" si="60"/>
        <v>0.59083333333333332</v>
      </c>
      <c r="Z103" s="22">
        <f t="shared" si="61"/>
        <v>1.5453262870129813E-2</v>
      </c>
      <c r="AA103" s="19">
        <f t="shared" si="64"/>
        <v>1.0900099841983806</v>
      </c>
      <c r="AB103" s="19">
        <f t="shared" si="44"/>
        <v>3.1645451154146533</v>
      </c>
      <c r="AC103" s="19">
        <f t="shared" si="45"/>
        <v>3.3804582556117937E-3</v>
      </c>
      <c r="AD103" s="19">
        <f t="shared" si="62"/>
        <v>0.34062812006199394</v>
      </c>
    </row>
    <row r="104" spans="1:30" ht="15" customHeight="1" x14ac:dyDescent="0.3">
      <c r="A104" t="s">
        <v>159</v>
      </c>
      <c r="D104" s="2">
        <v>45636.428472222222</v>
      </c>
      <c r="E104" s="2">
        <v>45637.519444444442</v>
      </c>
      <c r="F104" s="51">
        <v>9</v>
      </c>
      <c r="G104" s="31">
        <f>E104-'Pre-Summary'!$C$1</f>
        <v>210.99027777777519</v>
      </c>
      <c r="H104">
        <v>53673.9</v>
      </c>
      <c r="I104">
        <v>54240.800000000003</v>
      </c>
      <c r="J104" s="107">
        <f t="shared" si="43"/>
        <v>560.66410000000144</v>
      </c>
      <c r="K104" s="112">
        <f t="shared" si="56"/>
        <v>0.35893988476371363</v>
      </c>
      <c r="L104" s="21">
        <v>4.0389999999999997</v>
      </c>
      <c r="M104" s="10">
        <v>3.9133</v>
      </c>
      <c r="N104" s="10">
        <v>3.9489999999999998</v>
      </c>
      <c r="O104" s="21">
        <v>94.649500000000003</v>
      </c>
      <c r="P104" s="10">
        <v>94.601799999999997</v>
      </c>
      <c r="Q104" s="10">
        <v>94.789299999999997</v>
      </c>
      <c r="R104" s="21">
        <v>1.3115000000000001</v>
      </c>
      <c r="S104" s="10">
        <v>1.4849000000000001</v>
      </c>
      <c r="T104" s="10">
        <v>1.2616000000000001</v>
      </c>
      <c r="U104" s="21">
        <f t="shared" si="57"/>
        <v>3.9670999999999998</v>
      </c>
      <c r="V104" s="10">
        <f t="shared" si="58"/>
        <v>6.4775226746032949E-2</v>
      </c>
      <c r="W104" s="21">
        <f t="shared" si="63"/>
        <v>94.680200000000013</v>
      </c>
      <c r="X104" s="10">
        <f t="shared" si="59"/>
        <v>9.744706255193028E-2</v>
      </c>
      <c r="Y104" s="21">
        <f t="shared" si="60"/>
        <v>1.3526666666666667</v>
      </c>
      <c r="Z104" s="22">
        <f t="shared" si="61"/>
        <v>0.11720385374778995</v>
      </c>
      <c r="AA104" s="19">
        <f t="shared" si="64"/>
        <v>1.0875040024769718</v>
      </c>
      <c r="AB104" s="19">
        <f t="shared" si="44"/>
        <v>3.1572696846105632</v>
      </c>
      <c r="AC104" s="19">
        <f t="shared" si="45"/>
        <v>3.3726864308382997E-3</v>
      </c>
      <c r="AD104" s="19">
        <f t="shared" si="62"/>
        <v>0.33984500077405366</v>
      </c>
    </row>
    <row r="105" spans="1:30" ht="15" customHeight="1" x14ac:dyDescent="0.3">
      <c r="A105" t="s">
        <v>160</v>
      </c>
      <c r="D105" s="2">
        <v>45637.519444444442</v>
      </c>
      <c r="E105" s="2">
        <v>45638.51666666667</v>
      </c>
      <c r="F105" s="51">
        <v>10</v>
      </c>
      <c r="G105" s="31">
        <f>E105-'Pre-Summary'!$C$1</f>
        <v>211.98750000000291</v>
      </c>
      <c r="H105">
        <v>54240.800000000003</v>
      </c>
      <c r="I105">
        <v>54735.1</v>
      </c>
      <c r="J105" s="107">
        <f t="shared" si="43"/>
        <v>488.8626999999957</v>
      </c>
      <c r="K105" s="107">
        <f t="shared" si="56"/>
        <v>0.34282096774002935</v>
      </c>
      <c r="L105" s="21">
        <v>4.2808000000000002</v>
      </c>
      <c r="M105" s="10">
        <v>4.1181000000000001</v>
      </c>
      <c r="N105" s="10">
        <v>4.1157000000000004</v>
      </c>
      <c r="O105" s="21">
        <v>94.438299999999998</v>
      </c>
      <c r="P105" s="10">
        <v>94.593800000000002</v>
      </c>
      <c r="Q105" s="10">
        <v>94.176100000000005</v>
      </c>
      <c r="R105" s="21">
        <v>1.2808999999999999</v>
      </c>
      <c r="S105" s="10">
        <v>1.2882</v>
      </c>
      <c r="T105" s="10">
        <v>1.7081999999999999</v>
      </c>
      <c r="U105" s="21">
        <f t="shared" si="57"/>
        <v>4.1715333333333335</v>
      </c>
      <c r="V105" s="10">
        <f t="shared" si="58"/>
        <v>9.463531757929132E-2</v>
      </c>
      <c r="W105" s="21">
        <f t="shared" si="63"/>
        <v>94.402733333333344</v>
      </c>
      <c r="X105" s="10">
        <f t="shared" si="59"/>
        <v>0.21110912659885739</v>
      </c>
      <c r="Y105" s="21">
        <f t="shared" si="60"/>
        <v>1.4257666666666664</v>
      </c>
      <c r="Z105" s="22">
        <f t="shared" si="61"/>
        <v>0.24462167388302711</v>
      </c>
      <c r="AA105" s="19">
        <f t="shared" si="64"/>
        <v>1.0356235647563925</v>
      </c>
      <c r="AB105" s="19">
        <f t="shared" si="44"/>
        <v>3.0066490589701718</v>
      </c>
      <c r="AC105" s="19">
        <f t="shared" si="45"/>
        <v>3.211789139492602E-3</v>
      </c>
      <c r="AD105" s="19">
        <f t="shared" si="62"/>
        <v>0.32363236398637263</v>
      </c>
    </row>
    <row r="106" spans="1:30" ht="15" customHeight="1" x14ac:dyDescent="0.3">
      <c r="A106" t="s">
        <v>161</v>
      </c>
      <c r="D106" s="2">
        <v>45638.51666666667</v>
      </c>
      <c r="E106" s="2">
        <v>45639.433333333334</v>
      </c>
      <c r="F106" s="51"/>
      <c r="G106" s="31">
        <f>E106-'Pre-Summary'!$C$1</f>
        <v>212.90416666666715</v>
      </c>
      <c r="H106">
        <v>54735.1</v>
      </c>
      <c r="I106">
        <v>55185.2</v>
      </c>
      <c r="J106" s="107">
        <f t="shared" si="43"/>
        <v>445.14889999999855</v>
      </c>
      <c r="K106" s="107">
        <f t="shared" si="56"/>
        <v>0.33723401515240631</v>
      </c>
      <c r="L106" s="21">
        <v>3.7772000000000001</v>
      </c>
      <c r="M106" s="10">
        <v>3.7593000000000001</v>
      </c>
      <c r="N106" s="10">
        <v>3.7965</v>
      </c>
      <c r="O106" s="21">
        <v>94.977000000000004</v>
      </c>
      <c r="P106" s="10">
        <v>94.827200000000005</v>
      </c>
      <c r="Q106" s="10">
        <v>94.938900000000004</v>
      </c>
      <c r="R106" s="21">
        <v>1.2458</v>
      </c>
      <c r="S106" s="10">
        <v>1.4136</v>
      </c>
      <c r="T106" s="10">
        <v>1.2645999999999999</v>
      </c>
      <c r="U106" s="21">
        <f t="shared" si="57"/>
        <v>3.7776666666666667</v>
      </c>
      <c r="V106" s="10">
        <f t="shared" si="58"/>
        <v>1.8604390162897881E-2</v>
      </c>
      <c r="W106" s="21">
        <f t="shared" si="63"/>
        <v>94.91436666666668</v>
      </c>
      <c r="X106" s="10">
        <f t="shared" si="59"/>
        <v>7.7855143268336799E-2</v>
      </c>
      <c r="Y106" s="21">
        <f t="shared" si="60"/>
        <v>1.3079999999999998</v>
      </c>
      <c r="Z106" s="22">
        <f t="shared" si="61"/>
        <v>9.1934106837451776E-2</v>
      </c>
      <c r="AA106" s="19">
        <f t="shared" si="64"/>
        <v>1.0242672949327269</v>
      </c>
      <c r="AB106" s="19">
        <f t="shared" si="44"/>
        <v>2.9736792433530783</v>
      </c>
      <c r="AC106" s="19">
        <f t="shared" si="45"/>
        <v>3.1765698326652455E-3</v>
      </c>
      <c r="AD106" s="19">
        <f t="shared" si="62"/>
        <v>0.32008352966647718</v>
      </c>
    </row>
    <row r="107" spans="1:30" ht="15" customHeight="1" x14ac:dyDescent="0.3">
      <c r="A107" t="s">
        <v>162</v>
      </c>
      <c r="D107" s="2">
        <v>45639.433333333334</v>
      </c>
      <c r="E107" s="2">
        <v>45642.474999999999</v>
      </c>
      <c r="F107" s="51">
        <f>10+10</f>
        <v>20</v>
      </c>
      <c r="G107" s="31">
        <f>E107-'Pre-Summary'!$C$1</f>
        <v>215.94583333333139</v>
      </c>
      <c r="H107">
        <v>55185.2</v>
      </c>
      <c r="I107">
        <v>56742.8</v>
      </c>
      <c r="J107" s="107">
        <f t="shared" si="43"/>
        <v>1540.4664000000057</v>
      </c>
      <c r="K107" s="107">
        <f t="shared" si="56"/>
        <v>0.35331798165166045</v>
      </c>
      <c r="L107" s="21">
        <v>3.6254</v>
      </c>
      <c r="M107" s="10">
        <v>3.6577999999999999</v>
      </c>
      <c r="N107" s="10">
        <v>3.6305999999999998</v>
      </c>
      <c r="O107" s="21">
        <v>95.456699999999998</v>
      </c>
      <c r="P107" s="10">
        <v>95.655799999999999</v>
      </c>
      <c r="Q107" s="10">
        <v>95.325699999999998</v>
      </c>
      <c r="R107" s="21">
        <v>0.91790000000000005</v>
      </c>
      <c r="S107" s="10">
        <v>0.68640000000000001</v>
      </c>
      <c r="T107" s="10">
        <v>1.0437000000000001</v>
      </c>
      <c r="U107" s="21">
        <f t="shared" si="57"/>
        <v>3.6379333333333332</v>
      </c>
      <c r="V107" s="10">
        <f t="shared" si="58"/>
        <v>1.7400383137544242E-2</v>
      </c>
      <c r="W107" s="21">
        <f t="shared" si="63"/>
        <v>95.479399999999998</v>
      </c>
      <c r="X107" s="10">
        <f t="shared" si="59"/>
        <v>0.1662166357498559</v>
      </c>
      <c r="Y107" s="21">
        <f t="shared" si="60"/>
        <v>0.88266666666666671</v>
      </c>
      <c r="Z107" s="22">
        <f t="shared" si="61"/>
        <v>0.18123703631800378</v>
      </c>
      <c r="AA107" s="19">
        <f t="shared" si="64"/>
        <v>1.0795068447139695</v>
      </c>
      <c r="AB107" s="19">
        <f t="shared" si="44"/>
        <v>3.1340521298147506</v>
      </c>
      <c r="AC107" s="19">
        <f t="shared" si="45"/>
        <v>3.3478847699606224E-3</v>
      </c>
      <c r="AD107" s="19">
        <f t="shared" si="62"/>
        <v>0.33734588897311546</v>
      </c>
    </row>
    <row r="108" spans="1:30" ht="15" customHeight="1" x14ac:dyDescent="0.3">
      <c r="A108" t="s">
        <v>163</v>
      </c>
      <c r="D108" s="2">
        <v>45642.474999999999</v>
      </c>
      <c r="E108" s="2">
        <v>45643.451388888891</v>
      </c>
      <c r="F108" s="51"/>
      <c r="G108" s="31">
        <f>E108-'Pre-Summary'!$C$1</f>
        <v>216.92222222222335</v>
      </c>
      <c r="H108">
        <v>56742.8</v>
      </c>
      <c r="I108">
        <v>57257.7</v>
      </c>
      <c r="J108" s="107">
        <f t="shared" si="43"/>
        <v>509.23609999999422</v>
      </c>
      <c r="K108" s="107">
        <f t="shared" si="56"/>
        <v>0.36218783783669417</v>
      </c>
      <c r="L108" s="21">
        <v>4.4180999999999999</v>
      </c>
      <c r="M108" s="10">
        <v>4.2518000000000002</v>
      </c>
      <c r="N108" s="10">
        <v>4.3532000000000002</v>
      </c>
      <c r="O108" s="21">
        <v>94.638099999999994</v>
      </c>
      <c r="P108" s="10">
        <v>94.022400000000005</v>
      </c>
      <c r="Q108" s="10">
        <v>95.171199999999999</v>
      </c>
      <c r="R108" s="21">
        <v>0.94379999999999997</v>
      </c>
      <c r="S108" s="10">
        <v>1.7258</v>
      </c>
      <c r="T108" s="10">
        <v>0.47549999999999998</v>
      </c>
      <c r="U108" s="21">
        <f t="shared" si="57"/>
        <v>4.3410333333333329</v>
      </c>
      <c r="V108" s="10">
        <f t="shared" si="58"/>
        <v>8.3814935025526963E-2</v>
      </c>
      <c r="W108" s="21">
        <f t="shared" si="63"/>
        <v>94.610566666666671</v>
      </c>
      <c r="X108" s="10">
        <f t="shared" si="59"/>
        <v>0.57489470630136252</v>
      </c>
      <c r="Y108" s="21">
        <f t="shared" si="60"/>
        <v>1.0483666666666667</v>
      </c>
      <c r="Z108" s="22">
        <f t="shared" si="61"/>
        <v>0.63167488736954991</v>
      </c>
      <c r="AA108" s="19">
        <f t="shared" si="64"/>
        <v>1.0965374904801413</v>
      </c>
      <c r="AB108" s="19">
        <f t="shared" si="44"/>
        <v>3.183495940103636</v>
      </c>
      <c r="AC108" s="19">
        <f t="shared" si="45"/>
        <v>3.4007020724745934E-3</v>
      </c>
      <c r="AD108" s="19">
        <f t="shared" si="62"/>
        <v>0.3426679657750441</v>
      </c>
    </row>
    <row r="109" spans="1:30" ht="15" customHeight="1" x14ac:dyDescent="0.3">
      <c r="A109" t="s">
        <v>164</v>
      </c>
      <c r="D109" s="2">
        <v>45643.451388888891</v>
      </c>
      <c r="E109" s="2">
        <v>45644.462500000001</v>
      </c>
      <c r="F109" s="51"/>
      <c r="G109" s="31">
        <f>E109-'Pre-Summary'!$C$1</f>
        <v>217.9333333333343</v>
      </c>
      <c r="H109">
        <v>57257.7</v>
      </c>
      <c r="I109">
        <v>57763.7</v>
      </c>
      <c r="J109" s="107">
        <f t="shared" si="43"/>
        <v>500.43399999999997</v>
      </c>
      <c r="K109" s="107">
        <f t="shared" si="56"/>
        <v>0.34370467032972529</v>
      </c>
      <c r="L109" s="21">
        <v>4.0946999999999996</v>
      </c>
      <c r="M109" s="10">
        <v>4.0953999999999997</v>
      </c>
      <c r="N109" s="10">
        <v>4.0730000000000004</v>
      </c>
      <c r="O109" s="21">
        <v>95.242900000000006</v>
      </c>
      <c r="P109" s="10">
        <v>95.139700000000005</v>
      </c>
      <c r="Q109" s="10">
        <v>95.331000000000003</v>
      </c>
      <c r="R109" s="21">
        <v>0.66239999999999999</v>
      </c>
      <c r="S109" s="10">
        <v>0.76480000000000004</v>
      </c>
      <c r="T109" s="10">
        <v>0.59599999999999997</v>
      </c>
      <c r="U109" s="21">
        <f t="shared" si="57"/>
        <v>4.0876999999999999</v>
      </c>
      <c r="V109" s="10">
        <f t="shared" si="58"/>
        <v>1.2735383779061738E-2</v>
      </c>
      <c r="W109" s="21">
        <f t="shared" si="63"/>
        <v>95.237866666666676</v>
      </c>
      <c r="X109" s="10">
        <f t="shared" si="59"/>
        <v>9.5749273278355362E-2</v>
      </c>
      <c r="Y109" s="21">
        <f t="shared" si="60"/>
        <v>0.6744</v>
      </c>
      <c r="Z109" s="22">
        <f t="shared" si="61"/>
        <v>8.5037403535149811E-2</v>
      </c>
      <c r="AA109" s="19">
        <f t="shared" si="64"/>
        <v>1.0474783860983361</v>
      </c>
      <c r="AB109" s="19">
        <f t="shared" si="44"/>
        <v>3.0410662822209762</v>
      </c>
      <c r="AC109" s="19">
        <f t="shared" si="45"/>
        <v>3.2485546088508012E-3</v>
      </c>
      <c r="AD109" s="19">
        <f t="shared" si="62"/>
        <v>0.32733699565573005</v>
      </c>
    </row>
    <row r="110" spans="1:30" ht="15" customHeight="1" x14ac:dyDescent="0.3">
      <c r="A110" t="s">
        <v>165</v>
      </c>
      <c r="D110" s="2">
        <v>45644.462500000001</v>
      </c>
      <c r="E110" s="2">
        <v>45645.426388888889</v>
      </c>
      <c r="F110" s="51">
        <f>56+11</f>
        <v>67</v>
      </c>
      <c r="G110" s="31">
        <f>E110-'Pre-Summary'!$C$1</f>
        <v>218.8972222222219</v>
      </c>
      <c r="H110">
        <v>57763.7</v>
      </c>
      <c r="I110">
        <v>58265.8</v>
      </c>
      <c r="J110" s="107">
        <f t="shared" si="43"/>
        <v>496.57690000000576</v>
      </c>
      <c r="K110" s="107">
        <f t="shared" si="56"/>
        <v>0.37590984103005748</v>
      </c>
      <c r="L110" s="21">
        <v>3.9007999999999998</v>
      </c>
      <c r="M110" s="10">
        <v>4.056</v>
      </c>
      <c r="N110" s="10">
        <v>4.0172999999999996</v>
      </c>
      <c r="O110" s="21">
        <v>93.284999999999997</v>
      </c>
      <c r="P110" s="10">
        <v>95.288300000000007</v>
      </c>
      <c r="Q110" s="10">
        <v>95.419700000000006</v>
      </c>
      <c r="R110" s="21">
        <v>2.8142</v>
      </c>
      <c r="S110" s="10">
        <v>0.65569999999999995</v>
      </c>
      <c r="T110" s="10">
        <v>0.56299999999999994</v>
      </c>
      <c r="U110" s="21">
        <f t="shared" si="57"/>
        <v>3.9913666666666665</v>
      </c>
      <c r="V110" s="10">
        <f t="shared" si="58"/>
        <v>8.0784672638646887E-2</v>
      </c>
      <c r="W110" s="21">
        <f t="shared" si="63"/>
        <v>94.664333333333346</v>
      </c>
      <c r="X110" s="10">
        <f t="shared" si="59"/>
        <v>1.1963431043531563</v>
      </c>
      <c r="Y110" s="21">
        <f t="shared" si="60"/>
        <v>1.3442999999999998</v>
      </c>
      <c r="Z110" s="22">
        <f t="shared" si="61"/>
        <v>1.2738142839519431</v>
      </c>
      <c r="AA110" s="19">
        <f t="shared" si="64"/>
        <v>1.1387281438255905</v>
      </c>
      <c r="AB110" s="19">
        <f t="shared" si="44"/>
        <v>3.3059849336871991</v>
      </c>
      <c r="AC110" s="19">
        <f t="shared" si="45"/>
        <v>3.5315483440490408E-3</v>
      </c>
      <c r="AD110" s="19">
        <f t="shared" si="62"/>
        <v>0.35585254494549706</v>
      </c>
    </row>
    <row r="111" spans="1:30" ht="15" customHeight="1" x14ac:dyDescent="0.3">
      <c r="A111" t="s">
        <v>166</v>
      </c>
      <c r="D111" s="2">
        <v>45645.426388888889</v>
      </c>
      <c r="E111" s="2">
        <v>45652.399305555555</v>
      </c>
      <c r="F111" s="51"/>
      <c r="G111" s="31">
        <f>E111-'Pre-Summary'!$C$1</f>
        <v>225.8701388888876</v>
      </c>
      <c r="H111">
        <v>58265.8</v>
      </c>
      <c r="I111">
        <v>61866.5</v>
      </c>
      <c r="J111" s="107">
        <f t="shared" si="43"/>
        <v>3561.0922999999971</v>
      </c>
      <c r="K111" s="107">
        <f t="shared" si="56"/>
        <v>0.35465514391001818</v>
      </c>
      <c r="L111" s="21">
        <v>4.2411000000000003</v>
      </c>
      <c r="M111" s="10">
        <v>4.3296000000000001</v>
      </c>
      <c r="N111" s="10">
        <v>4.2747000000000002</v>
      </c>
      <c r="O111" s="21">
        <v>93.134799999999998</v>
      </c>
      <c r="P111" s="10">
        <v>94.860600000000005</v>
      </c>
      <c r="Q111" s="10">
        <v>94.834100000000007</v>
      </c>
      <c r="R111" s="21">
        <v>2.6240999999999999</v>
      </c>
      <c r="S111" s="10">
        <v>0.80979999999999996</v>
      </c>
      <c r="T111" s="10">
        <v>0.89119999999999999</v>
      </c>
      <c r="U111" s="21">
        <f t="shared" si="57"/>
        <v>4.2818000000000005</v>
      </c>
      <c r="V111" s="10">
        <f t="shared" si="58"/>
        <v>4.4675160883873626E-2</v>
      </c>
      <c r="W111" s="21">
        <f t="shared" si="63"/>
        <v>94.276500000000013</v>
      </c>
      <c r="X111" s="10">
        <f t="shared" si="59"/>
        <v>0.98882998033029335</v>
      </c>
      <c r="Y111" s="21">
        <f t="shared" si="60"/>
        <v>1.4417</v>
      </c>
      <c r="Z111" s="22">
        <f t="shared" si="61"/>
        <v>1.0247969603780058</v>
      </c>
      <c r="AA111" s="19">
        <f t="shared" si="64"/>
        <v>1.0699406615946507</v>
      </c>
      <c r="AB111" s="19">
        <f t="shared" si="44"/>
        <v>3.106279340113502</v>
      </c>
      <c r="AC111" s="19">
        <f t="shared" si="45"/>
        <v>3.3182170759310323E-3</v>
      </c>
      <c r="AD111" s="19">
        <f t="shared" si="62"/>
        <v>0.33435645674832837</v>
      </c>
    </row>
    <row r="112" spans="1:30" ht="15" customHeight="1" x14ac:dyDescent="0.3">
      <c r="A112" t="s">
        <v>167</v>
      </c>
      <c r="D112" s="2">
        <v>45652.399305555555</v>
      </c>
      <c r="E112" s="2">
        <v>45659.434027777781</v>
      </c>
      <c r="F112" s="51"/>
      <c r="G112" s="31">
        <f>E112-'Pre-Summary'!$C$1</f>
        <v>232.90486111111386</v>
      </c>
      <c r="H112">
        <v>61866.5</v>
      </c>
      <c r="I112">
        <v>65462.1</v>
      </c>
      <c r="J112" s="107">
        <f t="shared" si="43"/>
        <v>3556.0483999999983</v>
      </c>
      <c r="K112" s="107">
        <f t="shared" si="56"/>
        <v>0.3510413030600153</v>
      </c>
      <c r="L112" s="21">
        <v>2.8275000000000001</v>
      </c>
      <c r="M112" s="10">
        <v>2.8586</v>
      </c>
      <c r="N112" s="10">
        <v>2.8439000000000001</v>
      </c>
      <c r="O112" s="21">
        <v>94.578199999999995</v>
      </c>
      <c r="P112" s="10">
        <v>96.543300000000002</v>
      </c>
      <c r="Q112" s="10">
        <v>96.394400000000005</v>
      </c>
      <c r="R112" s="21">
        <v>2.5943000000000001</v>
      </c>
      <c r="S112" s="10">
        <v>0.59809999999999997</v>
      </c>
      <c r="T112" s="10">
        <v>0.76170000000000004</v>
      </c>
      <c r="U112" s="21">
        <f t="shared" si="57"/>
        <v>2.8433333333333333</v>
      </c>
      <c r="V112" s="10">
        <f t="shared" si="58"/>
        <v>1.5557741909844497E-2</v>
      </c>
      <c r="W112" s="21">
        <f t="shared" si="63"/>
        <v>95.838633333333334</v>
      </c>
      <c r="X112" s="10">
        <f t="shared" si="59"/>
        <v>1.0941032599043581</v>
      </c>
      <c r="Y112" s="21">
        <f t="shared" si="60"/>
        <v>1.3180333333333334</v>
      </c>
      <c r="Z112" s="22">
        <f t="shared" si="61"/>
        <v>1.1083021669803468</v>
      </c>
      <c r="AA112" s="19">
        <f t="shared" si="64"/>
        <v>1.0765861993223795</v>
      </c>
      <c r="AB112" s="19">
        <f t="shared" si="44"/>
        <v>3.1255728367423918</v>
      </c>
      <c r="AC112" s="19">
        <f t="shared" si="45"/>
        <v>3.3388269448316379E-3</v>
      </c>
      <c r="AD112" s="19">
        <f t="shared" si="62"/>
        <v>0.33643318728824356</v>
      </c>
    </row>
    <row r="113" spans="1:30" ht="15" customHeight="1" x14ac:dyDescent="0.3">
      <c r="A113" t="s">
        <v>168</v>
      </c>
      <c r="D113" s="2">
        <v>45659.434027777781</v>
      </c>
      <c r="E113" s="2">
        <v>45660.45208333333</v>
      </c>
      <c r="F113" s="51"/>
      <c r="G113" s="31">
        <f>E113-'Pre-Summary'!$C$1</f>
        <v>233.92291666666279</v>
      </c>
      <c r="H113">
        <v>65462.1</v>
      </c>
      <c r="I113">
        <v>65964.5</v>
      </c>
      <c r="J113" s="107">
        <f t="shared" si="43"/>
        <v>496.87360000000143</v>
      </c>
      <c r="K113" s="107">
        <f t="shared" si="56"/>
        <v>0.338931514326901</v>
      </c>
      <c r="L113" s="21">
        <v>3.4232999999999998</v>
      </c>
      <c r="M113" s="10">
        <v>3.3935</v>
      </c>
      <c r="N113" s="10">
        <v>3.3296000000000001</v>
      </c>
      <c r="O113" s="21">
        <v>94.243600000000001</v>
      </c>
      <c r="P113" s="10">
        <v>96.566299999999998</v>
      </c>
      <c r="Q113" s="10">
        <v>96.670400000000001</v>
      </c>
      <c r="R113" s="21">
        <v>2.3340999999999998</v>
      </c>
      <c r="S113" s="10">
        <v>4.0099999999999997E-2</v>
      </c>
      <c r="T113" s="10">
        <v>0</v>
      </c>
      <c r="U113" s="21">
        <f t="shared" si="57"/>
        <v>3.3821333333333334</v>
      </c>
      <c r="V113" s="10">
        <f t="shared" si="58"/>
        <v>4.7872991689817318E-2</v>
      </c>
      <c r="W113" s="21">
        <f t="shared" si="63"/>
        <v>95.826766666666671</v>
      </c>
      <c r="X113" s="10">
        <f t="shared" si="59"/>
        <v>1.3720501898011355</v>
      </c>
      <c r="Y113" s="21">
        <f t="shared" si="60"/>
        <v>0.79139999999999988</v>
      </c>
      <c r="Z113" s="22">
        <f t="shared" si="61"/>
        <v>1.336167830027351</v>
      </c>
      <c r="AA113" s="19">
        <f t="shared" si="64"/>
        <v>1.0393187564602859</v>
      </c>
      <c r="AB113" s="19">
        <f t="shared" si="44"/>
        <v>3.0173770348847011</v>
      </c>
      <c r="AC113" s="19">
        <f t="shared" si="45"/>
        <v>3.2232490724130162E-3</v>
      </c>
      <c r="AD113" s="19">
        <f t="shared" si="62"/>
        <v>0.32478711139383931</v>
      </c>
    </row>
    <row r="114" spans="1:30" ht="15" customHeight="1" x14ac:dyDescent="0.3">
      <c r="A114" t="s">
        <v>169</v>
      </c>
      <c r="D114" s="2">
        <v>45660.45208333333</v>
      </c>
      <c r="E114" s="2">
        <v>45663.441666666666</v>
      </c>
      <c r="F114" s="51">
        <v>14</v>
      </c>
      <c r="G114" s="31">
        <f>E114-'Pre-Summary'!$C$1</f>
        <v>236.91249999999854</v>
      </c>
      <c r="H114">
        <v>65964.5</v>
      </c>
      <c r="I114">
        <v>67439.199999999997</v>
      </c>
      <c r="J114" s="107">
        <f t="shared" si="43"/>
        <v>1458.478299999997</v>
      </c>
      <c r="K114" s="107">
        <f t="shared" si="56"/>
        <v>0.33989240270305521</v>
      </c>
      <c r="L114" s="21">
        <v>3.3982999999999999</v>
      </c>
      <c r="M114" s="10">
        <v>3.3325999999999998</v>
      </c>
      <c r="N114" s="10">
        <v>3.3456999999999999</v>
      </c>
      <c r="O114" s="21">
        <v>94.712800000000001</v>
      </c>
      <c r="P114" s="10">
        <v>96.392399999999995</v>
      </c>
      <c r="Q114" s="10">
        <v>96.546199999999999</v>
      </c>
      <c r="R114" s="21">
        <v>1.8889</v>
      </c>
      <c r="S114" s="10">
        <v>0.27489999999999998</v>
      </c>
      <c r="T114" s="10">
        <v>0.1081</v>
      </c>
      <c r="U114" s="21">
        <f t="shared" si="57"/>
        <v>3.3588666666666662</v>
      </c>
      <c r="V114" s="10">
        <f t="shared" si="58"/>
        <v>3.4772738364030741E-2</v>
      </c>
      <c r="W114" s="21">
        <f t="shared" si="63"/>
        <v>95.883799999999994</v>
      </c>
      <c r="X114" s="10">
        <f t="shared" si="59"/>
        <v>1.0170272169416092</v>
      </c>
      <c r="Y114" s="21">
        <f t="shared" si="60"/>
        <v>0.75729999999999997</v>
      </c>
      <c r="Z114" s="22">
        <f t="shared" si="61"/>
        <v>0.98353672020926597</v>
      </c>
      <c r="AA114" s="19">
        <f t="shared" si="64"/>
        <v>1.0428856051935746</v>
      </c>
      <c r="AB114" s="19">
        <f t="shared" si="44"/>
        <v>3.0277324021748937</v>
      </c>
      <c r="AC114" s="19">
        <f t="shared" si="45"/>
        <v>3.234310974066909E-3</v>
      </c>
      <c r="AD114" s="19">
        <f t="shared" si="62"/>
        <v>0.32590175162299206</v>
      </c>
    </row>
    <row r="115" spans="1:30" ht="15" customHeight="1" x14ac:dyDescent="0.3">
      <c r="A115" t="s">
        <v>170</v>
      </c>
      <c r="D115" s="2">
        <v>45663.441666666666</v>
      </c>
      <c r="E115" s="2">
        <v>45664.464583333334</v>
      </c>
      <c r="F115" s="51"/>
      <c r="G115" s="31">
        <f>E115-'Pre-Summary'!$C$1</f>
        <v>237.93541666666715</v>
      </c>
      <c r="H115">
        <v>67439.199999999997</v>
      </c>
      <c r="I115">
        <v>67977.399999999994</v>
      </c>
      <c r="J115" s="107">
        <f t="shared" si="43"/>
        <v>532.27979999999707</v>
      </c>
      <c r="K115" s="107">
        <f t="shared" si="56"/>
        <v>0.36135763747385435</v>
      </c>
      <c r="L115" s="21">
        <v>3.7622</v>
      </c>
      <c r="M115" s="10">
        <v>3.7866</v>
      </c>
      <c r="N115" s="10">
        <v>3.7572999999999999</v>
      </c>
      <c r="O115" s="21">
        <v>95.528099999999995</v>
      </c>
      <c r="P115" s="10">
        <v>95.830200000000005</v>
      </c>
      <c r="Q115" s="10">
        <v>95.813800000000001</v>
      </c>
      <c r="R115" s="21">
        <v>0.70789999999999997</v>
      </c>
      <c r="S115" s="10">
        <v>0.38319999999999999</v>
      </c>
      <c r="T115" s="10">
        <v>0.4289</v>
      </c>
      <c r="U115" s="21">
        <f t="shared" si="57"/>
        <v>3.7687000000000004</v>
      </c>
      <c r="V115" s="10">
        <f t="shared" si="58"/>
        <v>1.5694266469000743E-2</v>
      </c>
      <c r="W115" s="21">
        <f t="shared" si="63"/>
        <v>95.724033333333338</v>
      </c>
      <c r="X115" s="10">
        <f t="shared" si="59"/>
        <v>0.16988126245508922</v>
      </c>
      <c r="Y115" s="21">
        <f t="shared" si="60"/>
        <v>0.50666666666666671</v>
      </c>
      <c r="Z115" s="22">
        <f t="shared" si="61"/>
        <v>0.17576479548912338</v>
      </c>
      <c r="AA115" s="19">
        <f t="shared" si="64"/>
        <v>1.1068995371136583</v>
      </c>
      <c r="AB115" s="19">
        <f t="shared" si="44"/>
        <v>3.2135793012977176</v>
      </c>
      <c r="AC115" s="19">
        <f t="shared" si="45"/>
        <v>3.432837985535122E-3</v>
      </c>
      <c r="AD115" s="19">
        <f t="shared" si="62"/>
        <v>0.34590610534801819</v>
      </c>
    </row>
    <row r="116" spans="1:30" ht="15" customHeight="1" x14ac:dyDescent="0.3">
      <c r="A116" t="s">
        <v>171</v>
      </c>
      <c r="D116" s="2">
        <v>45664.464583333334</v>
      </c>
      <c r="E116" s="2">
        <v>45665.418749999997</v>
      </c>
      <c r="F116" s="51">
        <v>15</v>
      </c>
      <c r="G116" s="31">
        <f>E116-'Pre-Summary'!$C$1</f>
        <v>238.88958333332994</v>
      </c>
      <c r="H116">
        <v>67977.399999999994</v>
      </c>
      <c r="I116">
        <v>68504.600000000006</v>
      </c>
      <c r="J116" s="107">
        <f t="shared" si="43"/>
        <v>521.40080000001149</v>
      </c>
      <c r="K116" s="107">
        <f t="shared" si="56"/>
        <v>0.38366504783087224</v>
      </c>
      <c r="L116" s="21">
        <v>4.3990999999999998</v>
      </c>
      <c r="M116" s="10">
        <v>4.2717999999999998</v>
      </c>
      <c r="N116" s="10">
        <v>4.2770000000000001</v>
      </c>
      <c r="O116" s="21">
        <v>95.204099999999997</v>
      </c>
      <c r="P116" s="10">
        <v>95.184600000000003</v>
      </c>
      <c r="Q116" s="10">
        <v>95.16</v>
      </c>
      <c r="R116" s="21">
        <v>0.39679999999999999</v>
      </c>
      <c r="S116" s="10">
        <v>0.54349999999999998</v>
      </c>
      <c r="T116" s="10">
        <v>0.56299999999999994</v>
      </c>
      <c r="U116" s="21">
        <f t="shared" si="57"/>
        <v>4.3159666666666672</v>
      </c>
      <c r="V116" s="10">
        <f t="shared" si="58"/>
        <v>7.2042510598488443E-2</v>
      </c>
      <c r="W116" s="21">
        <f t="shared" si="63"/>
        <v>95.182900000000004</v>
      </c>
      <c r="X116" s="10">
        <f t="shared" si="59"/>
        <v>2.2099095004095001E-2</v>
      </c>
      <c r="Y116" s="21">
        <f t="shared" si="60"/>
        <v>0.50109999999999999</v>
      </c>
      <c r="Z116" s="22">
        <f t="shared" si="61"/>
        <v>9.085114198511772E-2</v>
      </c>
      <c r="AA116" s="19">
        <f t="shared" si="64"/>
        <v>1.1685872601977965</v>
      </c>
      <c r="AB116" s="19">
        <f t="shared" si="44"/>
        <v>3.3926726908968283</v>
      </c>
      <c r="AC116" s="19">
        <f t="shared" si="45"/>
        <v>3.6241507035769012E-3</v>
      </c>
      <c r="AD116" s="19">
        <f t="shared" si="62"/>
        <v>0.36518351881181133</v>
      </c>
    </row>
    <row r="117" spans="1:30" ht="15" customHeight="1" x14ac:dyDescent="0.3">
      <c r="A117" t="s">
        <v>172</v>
      </c>
      <c r="D117" s="2">
        <v>45665.418749999997</v>
      </c>
      <c r="E117" s="2">
        <v>45666.572222222225</v>
      </c>
      <c r="F117" s="51">
        <v>13</v>
      </c>
      <c r="G117" s="31">
        <f>E117-'Pre-Summary'!$C$1</f>
        <v>240.04305555555766</v>
      </c>
      <c r="H117">
        <v>68504.600000000006</v>
      </c>
      <c r="I117">
        <v>69120</v>
      </c>
      <c r="J117" s="107">
        <f t="shared" si="43"/>
        <v>608.63059999999427</v>
      </c>
      <c r="K117" s="107">
        <f t="shared" si="56"/>
        <v>0.36931468446424193</v>
      </c>
      <c r="L117" s="21">
        <v>4.8406000000000002</v>
      </c>
      <c r="M117" s="10">
        <v>4.7808999999999999</v>
      </c>
      <c r="N117" s="10">
        <v>4.7382</v>
      </c>
      <c r="O117" s="21">
        <v>94.297499999999999</v>
      </c>
      <c r="P117" s="10">
        <v>94.326700000000002</v>
      </c>
      <c r="Q117" s="10">
        <v>94.900499999999994</v>
      </c>
      <c r="R117" s="21">
        <v>0.8619</v>
      </c>
      <c r="S117" s="10">
        <v>0.89249999999999996</v>
      </c>
      <c r="T117" s="10">
        <v>0.36120000000000002</v>
      </c>
      <c r="U117" s="21">
        <f t="shared" si="57"/>
        <v>4.7865666666666664</v>
      </c>
      <c r="V117" s="10">
        <f t="shared" si="58"/>
        <v>5.14346510956704E-2</v>
      </c>
      <c r="W117" s="21">
        <f t="shared" si="63"/>
        <v>94.508233333333337</v>
      </c>
      <c r="X117" s="10">
        <f t="shared" si="59"/>
        <v>0.3400264891641982</v>
      </c>
      <c r="Y117" s="21">
        <f t="shared" si="60"/>
        <v>0.70520000000000005</v>
      </c>
      <c r="Z117" s="22">
        <f t="shared" si="61"/>
        <v>0.29830536367956917</v>
      </c>
      <c r="AA117" s="19">
        <f t="shared" si="64"/>
        <v>1.1169049079287343</v>
      </c>
      <c r="AB117" s="19">
        <f t="shared" si="44"/>
        <v>3.2426271520511651</v>
      </c>
      <c r="AC117" s="19">
        <f t="shared" si="45"/>
        <v>3.4638677365122711E-3</v>
      </c>
      <c r="AD117" s="19">
        <f t="shared" si="62"/>
        <v>0.3490327837277295</v>
      </c>
    </row>
    <row r="118" spans="1:30" ht="15" customHeight="1" x14ac:dyDescent="0.3">
      <c r="A118" t="s">
        <v>173</v>
      </c>
      <c r="D118" s="2">
        <v>45666.572222222225</v>
      </c>
      <c r="E118" s="2">
        <v>45667.443749999999</v>
      </c>
      <c r="F118" s="51">
        <v>39</v>
      </c>
      <c r="G118" s="31">
        <f>E118-'Pre-Summary'!$C$1</f>
        <v>240.91458333333139</v>
      </c>
      <c r="H118">
        <v>69120</v>
      </c>
      <c r="I118">
        <v>69657.899999999994</v>
      </c>
      <c r="J118" s="107">
        <f t="shared" si="43"/>
        <v>531.98309999999424</v>
      </c>
      <c r="K118" s="107">
        <f t="shared" si="56"/>
        <v>0.43748610197577364</v>
      </c>
      <c r="L118" s="21">
        <v>5.3243</v>
      </c>
      <c r="M118" s="10">
        <v>5.2382999999999997</v>
      </c>
      <c r="N118" s="10">
        <v>5.2563000000000004</v>
      </c>
      <c r="O118" s="21">
        <v>93.866299999999995</v>
      </c>
      <c r="P118" s="10">
        <v>94.041399999999996</v>
      </c>
      <c r="Q118" s="10">
        <v>93.936400000000006</v>
      </c>
      <c r="R118" s="21">
        <v>0.80940000000000001</v>
      </c>
      <c r="S118" s="10">
        <v>0.72030000000000005</v>
      </c>
      <c r="T118" s="10">
        <v>0.80730000000000002</v>
      </c>
      <c r="U118" s="21">
        <f t="shared" si="57"/>
        <v>5.2729666666666661</v>
      </c>
      <c r="V118" s="10">
        <f t="shared" si="58"/>
        <v>4.5357836515130846E-2</v>
      </c>
      <c r="W118" s="21">
        <f t="shared" si="63"/>
        <v>93.948033333333328</v>
      </c>
      <c r="X118" s="10">
        <f t="shared" si="59"/>
        <v>8.8127767096036494E-2</v>
      </c>
      <c r="Y118" s="21">
        <f t="shared" si="60"/>
        <v>0.77900000000000003</v>
      </c>
      <c r="Z118" s="22">
        <f t="shared" si="61"/>
        <v>5.0846533805167071E-2</v>
      </c>
      <c r="AA118" s="19">
        <f t="shared" si="64"/>
        <v>1.3152306845212816</v>
      </c>
      <c r="AB118" s="19">
        <f t="shared" si="44"/>
        <v>3.8184116647392039</v>
      </c>
      <c r="AC118" s="19">
        <f t="shared" si="45"/>
        <v>4.0789373400039733E-3</v>
      </c>
      <c r="AD118" s="19">
        <f t="shared" si="62"/>
        <v>0.41100958891290046</v>
      </c>
    </row>
    <row r="119" spans="1:30" ht="15" customHeight="1" x14ac:dyDescent="0.3">
      <c r="A119" t="s">
        <v>174</v>
      </c>
      <c r="D119" s="2">
        <v>45667.443749999999</v>
      </c>
      <c r="E119" s="2">
        <v>45670.414583333331</v>
      </c>
      <c r="F119" s="51">
        <v>13</v>
      </c>
      <c r="G119" s="31">
        <f>E119-'Pre-Summary'!$C$1</f>
        <v>243.88541666666424</v>
      </c>
      <c r="H119">
        <v>69657.899999999994</v>
      </c>
      <c r="I119">
        <v>71259.8</v>
      </c>
      <c r="J119" s="107">
        <f t="shared" si="43"/>
        <v>1584.2791000000086</v>
      </c>
      <c r="K119" s="107">
        <f t="shared" si="56"/>
        <v>0.37146051582655759</v>
      </c>
      <c r="L119" s="21">
        <v>6.3673000000000002</v>
      </c>
      <c r="M119" s="10">
        <v>6.2842000000000002</v>
      </c>
      <c r="N119" s="10">
        <v>6.3085000000000004</v>
      </c>
      <c r="O119" s="21">
        <v>92.708699999999993</v>
      </c>
      <c r="P119" s="10">
        <v>92.754300000000001</v>
      </c>
      <c r="Q119" s="10">
        <v>92.623199999999997</v>
      </c>
      <c r="R119" s="21">
        <v>0.92390000000000005</v>
      </c>
      <c r="S119" s="10">
        <v>0.96150000000000002</v>
      </c>
      <c r="T119" s="10">
        <v>1.0683</v>
      </c>
      <c r="U119" s="21">
        <f t="shared" si="57"/>
        <v>6.32</v>
      </c>
      <c r="V119" s="10">
        <f t="shared" si="58"/>
        <v>4.2726923596252457E-2</v>
      </c>
      <c r="W119" s="21">
        <f t="shared" si="63"/>
        <v>92.695399999999992</v>
      </c>
      <c r="X119" s="10">
        <f t="shared" si="59"/>
        <v>6.6554263574921765E-2</v>
      </c>
      <c r="Y119" s="21">
        <f t="shared" si="60"/>
        <v>0.98456666666666681</v>
      </c>
      <c r="Z119" s="22">
        <f t="shared" si="61"/>
        <v>7.4912571263662631E-2</v>
      </c>
      <c r="AA119" s="19">
        <f t="shared" si="64"/>
        <v>1.1018457951599707</v>
      </c>
      <c r="AB119" s="19">
        <f t="shared" si="44"/>
        <v>3.1989071472386246</v>
      </c>
      <c r="AC119" s="19">
        <f t="shared" si="45"/>
        <v>3.4171647678979105E-3</v>
      </c>
      <c r="AD119" s="19">
        <f t="shared" si="62"/>
        <v>0.34432681098749085</v>
      </c>
    </row>
    <row r="120" spans="1:30" ht="15" customHeight="1" x14ac:dyDescent="0.3">
      <c r="A120" t="s">
        <v>175</v>
      </c>
      <c r="D120" s="2">
        <v>45670.414583333331</v>
      </c>
      <c r="E120" s="2">
        <v>45671.441666666666</v>
      </c>
      <c r="F120" s="51"/>
      <c r="G120" s="31">
        <f>E120-'Pre-Summary'!$C$1</f>
        <v>244.91249999999854</v>
      </c>
      <c r="H120">
        <v>71259.8</v>
      </c>
      <c r="I120">
        <v>71873.399999999994</v>
      </c>
      <c r="J120" s="107">
        <f t="shared" si="43"/>
        <v>606.8503999999914</v>
      </c>
      <c r="K120" s="107">
        <f t="shared" si="56"/>
        <v>0.4103112914127236</v>
      </c>
      <c r="L120" s="21">
        <v>6.4862000000000002</v>
      </c>
      <c r="M120" s="10">
        <v>6.3715999999999999</v>
      </c>
      <c r="N120" s="10">
        <v>6.3643000000000001</v>
      </c>
      <c r="O120" s="21">
        <v>92.422899999999998</v>
      </c>
      <c r="P120" s="10">
        <v>92.452399999999997</v>
      </c>
      <c r="Q120" s="10">
        <v>92.330500000000001</v>
      </c>
      <c r="R120" s="21">
        <v>1.0909</v>
      </c>
      <c r="S120" s="10">
        <v>1.1759999999999999</v>
      </c>
      <c r="T120" s="10">
        <v>1.3051999999999999</v>
      </c>
      <c r="U120" s="21">
        <f t="shared" si="57"/>
        <v>6.4073666666666673</v>
      </c>
      <c r="V120" s="10">
        <f t="shared" si="58"/>
        <v>6.8369169464996049E-2</v>
      </c>
      <c r="W120" s="21">
        <f t="shared" si="63"/>
        <v>92.401933333333318</v>
      </c>
      <c r="X120" s="10">
        <f t="shared" si="59"/>
        <v>6.3597195954956331E-2</v>
      </c>
      <c r="Y120" s="21">
        <f t="shared" si="60"/>
        <v>1.1906999999999999</v>
      </c>
      <c r="Z120" s="22">
        <f t="shared" si="61"/>
        <v>0.10790361439729437</v>
      </c>
      <c r="AA120" s="19">
        <f t="shared" si="64"/>
        <v>1.2132338110410361</v>
      </c>
      <c r="AB120" s="19">
        <f t="shared" si="44"/>
        <v>3.5222917094739761</v>
      </c>
      <c r="AC120" s="19">
        <f t="shared" si="45"/>
        <v>3.7626134732492507E-3</v>
      </c>
      <c r="AD120" s="19">
        <f t="shared" si="62"/>
        <v>0.37913556595032383</v>
      </c>
    </row>
    <row r="121" spans="1:30" ht="15" customHeight="1" x14ac:dyDescent="0.3">
      <c r="A121" t="s">
        <v>176</v>
      </c>
      <c r="D121" s="2">
        <v>45671.441666666666</v>
      </c>
      <c r="E121" s="2">
        <v>45672.469444444447</v>
      </c>
      <c r="F121" s="51"/>
      <c r="G121" s="31">
        <f>E121-'Pre-Summary'!$C$1</f>
        <v>245.94027777777956</v>
      </c>
      <c r="H121">
        <v>71873.399999999994</v>
      </c>
      <c r="I121">
        <v>72409.100000000006</v>
      </c>
      <c r="J121" s="107">
        <f t="shared" si="43"/>
        <v>529.80730000001154</v>
      </c>
      <c r="K121" s="107">
        <f t="shared" si="56"/>
        <v>0.35797790540428687</v>
      </c>
      <c r="L121" s="21">
        <v>6.1432000000000002</v>
      </c>
      <c r="M121" s="10">
        <v>6.6406999999999998</v>
      </c>
      <c r="N121" s="10">
        <v>6.1925999999999997</v>
      </c>
      <c r="O121" s="21">
        <v>92.053200000000004</v>
      </c>
      <c r="P121" s="10">
        <v>91.876000000000005</v>
      </c>
      <c r="Q121" s="10">
        <v>92.629599999999996</v>
      </c>
      <c r="R121" s="21">
        <v>1.8035000000000001</v>
      </c>
      <c r="S121" s="10">
        <v>1.4833000000000001</v>
      </c>
      <c r="T121" s="10">
        <v>1.1778999999999999</v>
      </c>
      <c r="U121" s="21">
        <f t="shared" si="57"/>
        <v>6.325499999999999</v>
      </c>
      <c r="V121" s="10">
        <f t="shared" si="58"/>
        <v>0.27408642797482685</v>
      </c>
      <c r="W121" s="21">
        <f t="shared" si="63"/>
        <v>92.186266666666668</v>
      </c>
      <c r="X121" s="10">
        <f t="shared" si="59"/>
        <v>0.39402829001650341</v>
      </c>
      <c r="Y121" s="21">
        <f t="shared" si="60"/>
        <v>1.4882333333333335</v>
      </c>
      <c r="Z121" s="22">
        <f t="shared" si="61"/>
        <v>0.31282917596243032</v>
      </c>
      <c r="AA121" s="19">
        <f t="shared" si="64"/>
        <v>1.0560206927479798</v>
      </c>
      <c r="AB121" s="19">
        <f t="shared" si="44"/>
        <v>3.0658665273328447</v>
      </c>
      <c r="AC121" s="19">
        <f t="shared" si="45"/>
        <v>3.2750469451177868E-3</v>
      </c>
      <c r="AD121" s="19">
        <f t="shared" si="62"/>
        <v>0.33000646648374365</v>
      </c>
    </row>
    <row r="122" spans="1:30" ht="15" customHeight="1" x14ac:dyDescent="0.3">
      <c r="A122" t="s">
        <v>177</v>
      </c>
      <c r="D122" s="2">
        <v>45672.469444444447</v>
      </c>
      <c r="E122" s="2">
        <v>45673.491666666669</v>
      </c>
      <c r="F122" s="51">
        <v>15</v>
      </c>
      <c r="G122" s="31">
        <f>E122-'Pre-Summary'!$C$1</f>
        <v>246.96250000000146</v>
      </c>
      <c r="H122">
        <v>72409.100000000006</v>
      </c>
      <c r="I122">
        <v>72937.100000000006</v>
      </c>
      <c r="J122" s="107">
        <f t="shared" si="43"/>
        <v>522.19200000000001</v>
      </c>
      <c r="K122" s="107">
        <f t="shared" si="56"/>
        <v>0.35840219629386882</v>
      </c>
      <c r="L122" s="21">
        <v>5.5914000000000001</v>
      </c>
      <c r="M122" s="10">
        <v>5.5907999999999998</v>
      </c>
      <c r="N122" s="10">
        <v>5.5956999999999999</v>
      </c>
      <c r="O122" s="21">
        <v>93.561099999999996</v>
      </c>
      <c r="P122" s="10">
        <v>92.872699999999995</v>
      </c>
      <c r="Q122" s="10">
        <v>93.259600000000006</v>
      </c>
      <c r="R122" s="21">
        <v>0.84760000000000002</v>
      </c>
      <c r="S122" s="10">
        <v>1.5364</v>
      </c>
      <c r="T122" s="10">
        <v>1.1447000000000001</v>
      </c>
      <c r="U122" s="21">
        <f t="shared" ref="U122:U154" si="65">AVERAGE(L122:N122)</f>
        <v>5.5926333333333327</v>
      </c>
      <c r="V122" s="10">
        <f t="shared" ref="V122:V154" si="66">STDEV(L122:N122)</f>
        <v>2.6727015047201316E-3</v>
      </c>
      <c r="W122" s="21">
        <f t="shared" si="63"/>
        <v>93.231133333333332</v>
      </c>
      <c r="X122" s="10">
        <f t="shared" ref="X122:X154" si="67">STDEV(O122:Q122)</f>
        <v>0.34508173427948069</v>
      </c>
      <c r="Y122" s="21">
        <f t="shared" ref="Y122:Y154" si="68">AVERAGE(R122:T122)</f>
        <v>1.1762333333333332</v>
      </c>
      <c r="Z122" s="22">
        <f t="shared" ref="Z122:Z154" si="69">STDEV(R122:T122)</f>
        <v>0.34548100285447492</v>
      </c>
      <c r="AA122" s="19">
        <f t="shared" si="64"/>
        <v>1.0692557743882622</v>
      </c>
      <c r="AB122" s="19">
        <f t="shared" si="44"/>
        <v>3.104290957901406</v>
      </c>
      <c r="AC122" s="19">
        <f t="shared" si="45"/>
        <v>3.3160930287713156E-3</v>
      </c>
      <c r="AD122" s="19">
        <f t="shared" si="62"/>
        <v>0.33414242949633194</v>
      </c>
    </row>
    <row r="123" spans="1:30" ht="15" customHeight="1" x14ac:dyDescent="0.3">
      <c r="A123" t="s">
        <v>178</v>
      </c>
      <c r="D123" s="2">
        <v>45673.491666666669</v>
      </c>
      <c r="E123" s="2">
        <v>45674.469444444447</v>
      </c>
      <c r="F123" s="51"/>
      <c r="G123" s="31">
        <f>E123-'Pre-Summary'!$C$1</f>
        <v>247.94027777777956</v>
      </c>
      <c r="H123">
        <v>72937.100000000006</v>
      </c>
      <c r="I123">
        <v>73461.899999999994</v>
      </c>
      <c r="J123" s="107">
        <f t="shared" si="43"/>
        <v>519.02719999998851</v>
      </c>
      <c r="K123" s="107">
        <f t="shared" si="56"/>
        <v>0.36862727272714263</v>
      </c>
      <c r="L123" s="21">
        <v>4.0682999999999998</v>
      </c>
      <c r="M123" s="10">
        <v>4.0305999999999997</v>
      </c>
      <c r="N123" s="10">
        <v>4.1197999999999997</v>
      </c>
      <c r="O123" s="21">
        <v>94.774900000000002</v>
      </c>
      <c r="P123" s="10">
        <v>94.812299999999993</v>
      </c>
      <c r="Q123" s="10">
        <v>94.153499999999994</v>
      </c>
      <c r="R123" s="21">
        <v>1.1568000000000001</v>
      </c>
      <c r="S123" s="10">
        <v>1.1571</v>
      </c>
      <c r="T123" s="10">
        <v>1.7265999999999999</v>
      </c>
      <c r="U123" s="21">
        <f t="shared" si="65"/>
        <v>4.0728999999999997</v>
      </c>
      <c r="V123" s="10">
        <f t="shared" si="66"/>
        <v>4.4777561344941479E-2</v>
      </c>
      <c r="W123" s="21">
        <f t="shared" si="63"/>
        <v>94.580233333333339</v>
      </c>
      <c r="X123" s="10">
        <f t="shared" si="67"/>
        <v>0.37003471909178309</v>
      </c>
      <c r="Y123" s="21">
        <f t="shared" si="68"/>
        <v>1.3468333333333333</v>
      </c>
      <c r="Z123" s="22">
        <f t="shared" si="69"/>
        <v>0.32888761505008607</v>
      </c>
      <c r="AA123" s="19">
        <f t="shared" si="64"/>
        <v>1.1156753109620308</v>
      </c>
      <c r="AB123" s="19">
        <f t="shared" si="44"/>
        <v>3.2390573544058956</v>
      </c>
      <c r="AC123" s="19">
        <f t="shared" si="45"/>
        <v>3.4600543758298678E-3</v>
      </c>
      <c r="AD123" s="19">
        <f t="shared" si="62"/>
        <v>0.34864853467563456</v>
      </c>
    </row>
    <row r="124" spans="1:30" ht="15" customHeight="1" x14ac:dyDescent="0.3">
      <c r="A124" t="s">
        <v>179</v>
      </c>
      <c r="D124" s="2">
        <v>45674.469444444447</v>
      </c>
      <c r="E124" s="2">
        <v>45677.467361111114</v>
      </c>
      <c r="F124" s="51">
        <v>12</v>
      </c>
      <c r="G124" s="31">
        <f>E124-'Pre-Summary'!$C$1</f>
        <v>250.93819444444671</v>
      </c>
      <c r="H124">
        <v>73461.899999999994</v>
      </c>
      <c r="I124">
        <v>74995.7</v>
      </c>
      <c r="J124" s="107">
        <f t="shared" si="43"/>
        <v>1516.9282000000028</v>
      </c>
      <c r="K124" s="107">
        <f t="shared" si="56"/>
        <v>0.35236427409982735</v>
      </c>
      <c r="L124" s="21">
        <v>1.992</v>
      </c>
      <c r="M124" s="10">
        <v>2.0074000000000001</v>
      </c>
      <c r="N124" s="10">
        <v>2.0181</v>
      </c>
      <c r="O124" s="21">
        <v>96.996799999999993</v>
      </c>
      <c r="P124" s="10">
        <v>96.642700000000005</v>
      </c>
      <c r="Q124" s="10">
        <v>97.046000000000006</v>
      </c>
      <c r="R124" s="21">
        <v>1.0113000000000001</v>
      </c>
      <c r="S124" s="10">
        <v>1.3499000000000001</v>
      </c>
      <c r="T124" s="10">
        <v>0.93589999999999995</v>
      </c>
      <c r="U124" s="21">
        <f t="shared" si="65"/>
        <v>2.0058333333333334</v>
      </c>
      <c r="V124" s="10">
        <f t="shared" si="66"/>
        <v>1.3120340442737513E-2</v>
      </c>
      <c r="W124" s="21">
        <f t="shared" si="63"/>
        <v>96.895166666666668</v>
      </c>
      <c r="X124" s="10">
        <f t="shared" si="67"/>
        <v>0.22002209737508727</v>
      </c>
      <c r="Y124" s="21">
        <f t="shared" si="68"/>
        <v>1.0990333333333335</v>
      </c>
      <c r="Z124" s="22">
        <f t="shared" si="69"/>
        <v>0.22050363564651973</v>
      </c>
      <c r="AA124" s="19">
        <f t="shared" si="64"/>
        <v>1.0925566421210171</v>
      </c>
      <c r="AB124" s="19">
        <f t="shared" si="44"/>
        <v>3.171938638415857</v>
      </c>
      <c r="AC124" s="19">
        <f t="shared" si="45"/>
        <v>3.3883562298722106E-3</v>
      </c>
      <c r="AD124" s="19">
        <f t="shared" si="62"/>
        <v>0.34142395066281783</v>
      </c>
    </row>
    <row r="125" spans="1:30" ht="15" customHeight="1" x14ac:dyDescent="0.3">
      <c r="A125" t="s">
        <v>180</v>
      </c>
      <c r="D125" s="2">
        <v>45677.467361111114</v>
      </c>
      <c r="E125" s="2">
        <v>45680.544444444444</v>
      </c>
      <c r="F125" s="51"/>
      <c r="G125" s="31">
        <f>E125-'Pre-Summary'!$C$1</f>
        <v>254.01527777777665</v>
      </c>
      <c r="H125">
        <v>74995.7</v>
      </c>
      <c r="I125">
        <v>76701.8</v>
      </c>
      <c r="J125" s="107">
        <f t="shared" si="43"/>
        <v>1687.3329000000058</v>
      </c>
      <c r="K125" s="107">
        <f t="shared" si="56"/>
        <v>0.38080182803021162</v>
      </c>
      <c r="L125" s="21">
        <v>0.25380000000000003</v>
      </c>
      <c r="M125" s="10">
        <v>0.18890000000000001</v>
      </c>
      <c r="N125" s="10">
        <v>0.2205</v>
      </c>
      <c r="O125" s="21">
        <v>98.914500000000004</v>
      </c>
      <c r="P125" s="10">
        <v>98.628600000000006</v>
      </c>
      <c r="Q125" s="10">
        <v>98.787199999999999</v>
      </c>
      <c r="R125" s="21">
        <v>0.83179999999999998</v>
      </c>
      <c r="S125" s="10">
        <v>1.1823999999999999</v>
      </c>
      <c r="T125" s="10">
        <v>0.99229999999999996</v>
      </c>
      <c r="U125" s="21">
        <f t="shared" si="65"/>
        <v>0.22106666666666666</v>
      </c>
      <c r="V125" s="10">
        <f t="shared" si="66"/>
        <v>3.245371062503221E-2</v>
      </c>
      <c r="W125" s="21">
        <f t="shared" si="63"/>
        <v>98.776766666666674</v>
      </c>
      <c r="X125" s="10">
        <f t="shared" si="67"/>
        <v>0.14323527265772559</v>
      </c>
      <c r="Y125" s="21">
        <f t="shared" si="68"/>
        <v>1.0021666666666667</v>
      </c>
      <c r="Z125" s="22">
        <f t="shared" si="69"/>
        <v>0.17550812896653287</v>
      </c>
      <c r="AA125" s="19">
        <f t="shared" si="64"/>
        <v>1.2036599460345709</v>
      </c>
      <c r="AB125" s="19">
        <f t="shared" si="44"/>
        <v>3.4944966175197223</v>
      </c>
      <c r="AC125" s="19">
        <f t="shared" si="45"/>
        <v>3.7329219553105236E-3</v>
      </c>
      <c r="AD125" s="19">
        <f t="shared" si="62"/>
        <v>0.37614373313580346</v>
      </c>
    </row>
    <row r="126" spans="1:30" ht="15" customHeight="1" x14ac:dyDescent="0.3">
      <c r="A126" t="s">
        <v>181</v>
      </c>
      <c r="D126" s="2">
        <v>45680.544444444444</v>
      </c>
      <c r="E126" s="2">
        <v>45681.557638888888</v>
      </c>
      <c r="F126" s="51"/>
      <c r="G126" s="31">
        <f>E126-'Pre-Summary'!$C$1</f>
        <v>255.02847222222044</v>
      </c>
      <c r="H126">
        <v>76701.8</v>
      </c>
      <c r="I126">
        <v>77255</v>
      </c>
      <c r="J126" s="107">
        <f t="shared" si="43"/>
        <v>547.1147999999971</v>
      </c>
      <c r="K126" s="107">
        <f t="shared" si="56"/>
        <v>0.37499300891044984</v>
      </c>
      <c r="L126" s="21">
        <v>0.47410000000000002</v>
      </c>
      <c r="M126" s="10">
        <v>0.37059999999999998</v>
      </c>
      <c r="N126" s="10">
        <v>0.3634</v>
      </c>
      <c r="O126" s="21">
        <v>98.735100000000003</v>
      </c>
      <c r="P126" s="10">
        <v>98.4345</v>
      </c>
      <c r="Q126" s="10">
        <v>98.934299999999993</v>
      </c>
      <c r="R126" s="21">
        <v>0.79079999999999995</v>
      </c>
      <c r="S126" s="10">
        <v>1.1949000000000001</v>
      </c>
      <c r="T126" s="10">
        <v>0.70240000000000002</v>
      </c>
      <c r="U126" s="21">
        <f t="shared" si="65"/>
        <v>0.4027</v>
      </c>
      <c r="V126" s="10">
        <f t="shared" si="66"/>
        <v>6.1938921527582555E-2</v>
      </c>
      <c r="W126" s="21">
        <f t="shared" si="63"/>
        <v>98.701300000000003</v>
      </c>
      <c r="X126" s="10">
        <f t="shared" si="67"/>
        <v>0.25160850542062074</v>
      </c>
      <c r="Y126" s="21">
        <f t="shared" si="68"/>
        <v>0.89603333333333335</v>
      </c>
      <c r="Z126" s="22">
        <f t="shared" si="69"/>
        <v>0.26257304380559215</v>
      </c>
      <c r="AA126" s="19">
        <f t="shared" si="64"/>
        <v>1.1843935190519355</v>
      </c>
      <c r="AB126" s="19">
        <f t="shared" si="44"/>
        <v>3.4385618295056193</v>
      </c>
      <c r="AC126" s="19">
        <f t="shared" si="45"/>
        <v>3.6731708034002135E-3</v>
      </c>
      <c r="AD126" s="19">
        <f t="shared" si="62"/>
        <v>0.37012297470372985</v>
      </c>
    </row>
    <row r="127" spans="1:30" ht="15" customHeight="1" x14ac:dyDescent="0.3">
      <c r="A127" t="s">
        <v>182</v>
      </c>
      <c r="D127" s="2">
        <v>45681.557638888888</v>
      </c>
      <c r="E127" s="2">
        <v>45684.402083333334</v>
      </c>
      <c r="F127" s="51">
        <v>9</v>
      </c>
      <c r="G127" s="31">
        <f>E127-'Pre-Summary'!$C$1</f>
        <v>257.87291666666715</v>
      </c>
      <c r="H127">
        <v>0</v>
      </c>
      <c r="I127">
        <v>1550.9</v>
      </c>
      <c r="J127" s="107">
        <f t="shared" si="43"/>
        <v>1533.8401000000001</v>
      </c>
      <c r="K127" s="107">
        <f t="shared" si="56"/>
        <v>0.37529730853897159</v>
      </c>
      <c r="L127" s="21">
        <v>0.46229999999999999</v>
      </c>
      <c r="M127" s="10">
        <v>0.13589999999999999</v>
      </c>
      <c r="N127" s="10">
        <v>0.44800000000000001</v>
      </c>
      <c r="O127" s="21">
        <v>98.885099999999994</v>
      </c>
      <c r="P127" s="10">
        <v>99.154499999999999</v>
      </c>
      <c r="Q127" s="10">
        <v>97.705200000000005</v>
      </c>
      <c r="R127" s="21">
        <v>0.65269999999999995</v>
      </c>
      <c r="S127" s="10">
        <v>0.70960000000000001</v>
      </c>
      <c r="T127" s="10">
        <v>1.8469</v>
      </c>
      <c r="U127" s="21">
        <f t="shared" si="65"/>
        <v>0.34873333333333334</v>
      </c>
      <c r="V127" s="10">
        <f t="shared" si="66"/>
        <v>0.18445770066151571</v>
      </c>
      <c r="W127" s="21">
        <f t="shared" si="63"/>
        <v>98.581599999999995</v>
      </c>
      <c r="X127" s="10">
        <f t="shared" si="67"/>
        <v>0.77084486766144666</v>
      </c>
      <c r="Y127" s="21">
        <f t="shared" si="68"/>
        <v>1.0697333333333334</v>
      </c>
      <c r="Z127" s="22">
        <f t="shared" si="69"/>
        <v>0.67364710593405897</v>
      </c>
      <c r="AA127" s="19">
        <f t="shared" si="64"/>
        <v>1.1839170928468952</v>
      </c>
      <c r="AB127" s="19">
        <f t="shared" si="44"/>
        <v>3.4371786566522768</v>
      </c>
      <c r="AC127" s="19">
        <f t="shared" si="45"/>
        <v>3.6716932583122181E-3</v>
      </c>
      <c r="AD127" s="19">
        <f t="shared" si="62"/>
        <v>0.36997409151465477</v>
      </c>
    </row>
    <row r="128" spans="1:30" ht="15" customHeight="1" x14ac:dyDescent="0.3">
      <c r="A128" t="s">
        <v>183</v>
      </c>
      <c r="D128" s="2">
        <v>45684.402083333334</v>
      </c>
      <c r="E128" s="2">
        <v>45685.388888888891</v>
      </c>
      <c r="F128" s="51"/>
      <c r="G128" s="31">
        <f>E128-'Pre-Summary'!$C$1</f>
        <v>258.85972222222335</v>
      </c>
      <c r="H128">
        <v>1550.9</v>
      </c>
      <c r="I128">
        <v>2165.6999999999998</v>
      </c>
      <c r="J128" s="107">
        <f t="shared" si="43"/>
        <v>608.03719999999976</v>
      </c>
      <c r="K128" s="107">
        <f t="shared" si="56"/>
        <v>0.42789387755073982</v>
      </c>
      <c r="L128" s="21">
        <v>0.81499999999999995</v>
      </c>
      <c r="M128" s="10">
        <v>0.66300000000000003</v>
      </c>
      <c r="N128" s="10">
        <v>0.66510000000000002</v>
      </c>
      <c r="O128" s="21">
        <v>98.410399999999996</v>
      </c>
      <c r="P128" s="10">
        <v>98.2346</v>
      </c>
      <c r="Q128" s="10">
        <v>98.295199999999994</v>
      </c>
      <c r="R128" s="21">
        <v>0.77459999999999996</v>
      </c>
      <c r="S128" s="10">
        <v>1.1024</v>
      </c>
      <c r="T128" s="10">
        <v>1.0397000000000001</v>
      </c>
      <c r="U128" s="21">
        <f t="shared" si="65"/>
        <v>0.71436666666666671</v>
      </c>
      <c r="V128" s="10">
        <f t="shared" si="66"/>
        <v>8.7157348131602336E-2</v>
      </c>
      <c r="W128" s="21">
        <f t="shared" si="63"/>
        <v>98.313400000000001</v>
      </c>
      <c r="X128" s="10">
        <f t="shared" si="67"/>
        <v>8.9301959664946085E-2</v>
      </c>
      <c r="Y128" s="21">
        <f t="shared" si="68"/>
        <v>0.97223333333333339</v>
      </c>
      <c r="Z128" s="22">
        <f t="shared" si="69"/>
        <v>0.17400294058817842</v>
      </c>
      <c r="AA128" s="19">
        <f t="shared" ref="AA128:AA154" si="70">(K128*W128/100*(1440/10^6)*(1000/$B$1))</f>
        <v>1.3461664621183014</v>
      </c>
      <c r="AB128" s="19">
        <f t="shared" si="44"/>
        <v>3.9082252126015193</v>
      </c>
      <c r="AC128" s="19">
        <f t="shared" si="45"/>
        <v>4.1748787591539315E-3</v>
      </c>
      <c r="AD128" s="19">
        <f t="shared" ref="AD128:AD154" si="71">K128*W128/100</f>
        <v>0.42067701941196911</v>
      </c>
    </row>
    <row r="129" spans="1:30" ht="15" customHeight="1" x14ac:dyDescent="0.3">
      <c r="A129" t="s">
        <v>184</v>
      </c>
      <c r="D129" s="2">
        <v>45685.388888888891</v>
      </c>
      <c r="E129" s="2">
        <v>45686.441666666666</v>
      </c>
      <c r="F129" s="51"/>
      <c r="G129" s="31">
        <f>E129-'Pre-Summary'!$C$1</f>
        <v>259.91249999999854</v>
      </c>
      <c r="H129">
        <v>2165.6999999999998</v>
      </c>
      <c r="I129">
        <v>2818.7</v>
      </c>
      <c r="J129" s="107">
        <f t="shared" si="43"/>
        <v>645.81700000000001</v>
      </c>
      <c r="K129" s="107">
        <f t="shared" si="56"/>
        <v>0.42600065963165368</v>
      </c>
      <c r="L129" s="21">
        <v>1.83</v>
      </c>
      <c r="M129" s="10">
        <v>1.6977</v>
      </c>
      <c r="N129" s="10">
        <v>1.7367999999999999</v>
      </c>
      <c r="O129" s="21">
        <v>97.300399999999996</v>
      </c>
      <c r="P129" s="10">
        <v>96.659099999999995</v>
      </c>
      <c r="Q129" s="10">
        <v>97.382999999999996</v>
      </c>
      <c r="R129" s="21">
        <v>0.86960000000000004</v>
      </c>
      <c r="S129" s="10">
        <v>1.6432</v>
      </c>
      <c r="T129" s="10">
        <v>0.88019999999999998</v>
      </c>
      <c r="U129" s="21">
        <f t="shared" si="65"/>
        <v>1.7548333333333332</v>
      </c>
      <c r="V129" s="10">
        <f t="shared" si="66"/>
        <v>6.7968546647205447E-2</v>
      </c>
      <c r="W129" s="21">
        <f t="shared" ref="W129:W154" si="72">AVERAGE(O129:Q129)</f>
        <v>97.114166666666662</v>
      </c>
      <c r="X129" s="10">
        <f t="shared" si="67"/>
        <v>0.3962574205404028</v>
      </c>
      <c r="Y129" s="21">
        <f t="shared" si="68"/>
        <v>1.131</v>
      </c>
      <c r="Z129" s="22">
        <f t="shared" si="69"/>
        <v>0.44360987365026061</v>
      </c>
      <c r="AA129" s="19">
        <f t="shared" si="70"/>
        <v>1.3238623699065071</v>
      </c>
      <c r="AB129" s="19">
        <f t="shared" si="44"/>
        <v>3.8434713965027631</v>
      </c>
      <c r="AC129" s="19">
        <f t="shared" si="45"/>
        <v>4.105706867387514E-3</v>
      </c>
      <c r="AD129" s="19">
        <f t="shared" si="71"/>
        <v>0.41370699059578347</v>
      </c>
    </row>
    <row r="130" spans="1:30" ht="15" customHeight="1" x14ac:dyDescent="0.3">
      <c r="A130" t="s">
        <v>185</v>
      </c>
      <c r="D130" s="2">
        <v>45686.441666666666</v>
      </c>
      <c r="E130" s="2">
        <v>45687.487500000003</v>
      </c>
      <c r="F130" s="51">
        <v>15</v>
      </c>
      <c r="G130" s="31">
        <f>E130-'Pre-Summary'!$C$1</f>
        <v>260.95833333333576</v>
      </c>
      <c r="H130">
        <v>2818.7</v>
      </c>
      <c r="I130">
        <v>3482.6</v>
      </c>
      <c r="J130" s="107">
        <f t="shared" si="43"/>
        <v>656.59710000000007</v>
      </c>
      <c r="K130" s="107">
        <f t="shared" si="56"/>
        <v>0.44037364184945627</v>
      </c>
      <c r="L130" s="21">
        <v>3.0533000000000001</v>
      </c>
      <c r="M130" s="10">
        <v>3.0543999999999998</v>
      </c>
      <c r="N130" s="10">
        <v>3.0748000000000002</v>
      </c>
      <c r="O130" s="21">
        <v>96.334199999999996</v>
      </c>
      <c r="P130" s="10">
        <v>96.359200000000001</v>
      </c>
      <c r="Q130" s="10">
        <v>96.178100000000001</v>
      </c>
      <c r="R130" s="21">
        <v>0.61519999999999997</v>
      </c>
      <c r="S130" s="10">
        <v>0.58650000000000002</v>
      </c>
      <c r="T130" s="10">
        <v>0.74709999999999999</v>
      </c>
      <c r="U130" s="21">
        <f t="shared" si="65"/>
        <v>3.0608333333333331</v>
      </c>
      <c r="V130" s="10">
        <f t="shared" si="66"/>
        <v>1.2107986345108611E-2</v>
      </c>
      <c r="W130" s="21">
        <f t="shared" si="72"/>
        <v>96.290499999999994</v>
      </c>
      <c r="X130" s="10">
        <f t="shared" si="67"/>
        <v>9.8140562460176634E-2</v>
      </c>
      <c r="Y130" s="21">
        <f t="shared" si="68"/>
        <v>0.64959999999999996</v>
      </c>
      <c r="Z130" s="22">
        <f t="shared" si="69"/>
        <v>8.5648175695692191E-2</v>
      </c>
      <c r="AA130" s="19">
        <f t="shared" si="70"/>
        <v>1.3569215411361624</v>
      </c>
      <c r="AB130" s="19">
        <f t="shared" si="44"/>
        <v>3.9394496355566</v>
      </c>
      <c r="AC130" s="19">
        <f t="shared" si="45"/>
        <v>4.2082335872589459E-3</v>
      </c>
      <c r="AD130" s="19">
        <f t="shared" si="71"/>
        <v>0.42403798160505068</v>
      </c>
    </row>
    <row r="131" spans="1:30" ht="15" customHeight="1" x14ac:dyDescent="0.3">
      <c r="A131" t="s">
        <v>186</v>
      </c>
      <c r="D131" s="2">
        <v>45687.487500000003</v>
      </c>
      <c r="E131" s="2">
        <v>45688.45416666667</v>
      </c>
      <c r="F131" s="51"/>
      <c r="G131" s="31">
        <f>E131-'Pre-Summary'!$C$1</f>
        <v>261.92500000000291</v>
      </c>
      <c r="H131">
        <v>3482.6</v>
      </c>
      <c r="I131">
        <v>4118.7</v>
      </c>
      <c r="J131" s="107">
        <f t="shared" ref="J131:J181" si="73">(I131-H131)*(1-$J$1)</f>
        <v>629.10289999999986</v>
      </c>
      <c r="K131" s="107">
        <f t="shared" si="56"/>
        <v>0.45194173850552027</v>
      </c>
      <c r="L131" s="21">
        <v>3.8391000000000002</v>
      </c>
      <c r="M131" s="10">
        <v>3.8045</v>
      </c>
      <c r="N131" s="10">
        <v>3.8184999999999998</v>
      </c>
      <c r="O131" s="21">
        <v>94.834000000000003</v>
      </c>
      <c r="P131" s="10">
        <v>95.397099999999995</v>
      </c>
      <c r="Q131" s="10">
        <v>95.452200000000005</v>
      </c>
      <c r="R131" s="21">
        <v>1.327</v>
      </c>
      <c r="S131" s="10">
        <v>0.76249999999999996</v>
      </c>
      <c r="T131" s="10">
        <v>0.72929999999999995</v>
      </c>
      <c r="U131" s="21">
        <f t="shared" si="65"/>
        <v>3.8207</v>
      </c>
      <c r="V131" s="10">
        <f t="shared" si="66"/>
        <v>1.7404597093871602E-2</v>
      </c>
      <c r="W131" s="21">
        <f t="shared" si="72"/>
        <v>95.227766666666682</v>
      </c>
      <c r="X131" s="10">
        <f t="shared" si="67"/>
        <v>0.34212299445277317</v>
      </c>
      <c r="Y131" s="21">
        <f t="shared" si="68"/>
        <v>0.93959999999999999</v>
      </c>
      <c r="Z131" s="22">
        <f t="shared" si="69"/>
        <v>0.33590866318093049</v>
      </c>
      <c r="AA131" s="19">
        <f t="shared" si="70"/>
        <v>1.377196877482604</v>
      </c>
      <c r="AB131" s="19">
        <f t="shared" ref="AB131:AB181" si="74">(K131/100*W131*(1440/10^6))/($H$1/1000)</f>
        <v>3.9983135152720761</v>
      </c>
      <c r="AC131" s="19">
        <f t="shared" ref="AC131:AC173" si="75">(K131/100*W131*(1440/10^6))/($D$1)</f>
        <v>4.2711136793051122E-3</v>
      </c>
      <c r="AD131" s="19">
        <f t="shared" si="71"/>
        <v>0.43037402421331372</v>
      </c>
    </row>
    <row r="132" spans="1:30" ht="15" customHeight="1" x14ac:dyDescent="0.3">
      <c r="A132" t="s">
        <v>187</v>
      </c>
      <c r="D132" s="2">
        <v>45688.45416666667</v>
      </c>
      <c r="E132" s="2">
        <v>45691.354166666664</v>
      </c>
      <c r="F132" s="51">
        <f>10+11</f>
        <v>21</v>
      </c>
      <c r="G132" s="31">
        <f>E132-'Pre-Summary'!$C$1</f>
        <v>264.82499999999709</v>
      </c>
      <c r="H132">
        <v>4118.7</v>
      </c>
      <c r="I132">
        <v>5949.7</v>
      </c>
      <c r="J132" s="107">
        <f t="shared" si="73"/>
        <v>1810.8589999999999</v>
      </c>
      <c r="K132" s="107">
        <f t="shared" si="56"/>
        <v>0.43582647412843634</v>
      </c>
      <c r="L132" s="21">
        <v>4.8852000000000002</v>
      </c>
      <c r="M132" s="10">
        <v>4.9005000000000001</v>
      </c>
      <c r="N132" s="10">
        <v>4.9130000000000003</v>
      </c>
      <c r="O132" s="21">
        <v>94.049700000000001</v>
      </c>
      <c r="P132" s="10">
        <v>93.717299999999994</v>
      </c>
      <c r="Q132" s="10">
        <v>94.058400000000006</v>
      </c>
      <c r="R132" s="21">
        <v>1.0650999999999999</v>
      </c>
      <c r="S132" s="10">
        <v>1.3823000000000001</v>
      </c>
      <c r="T132" s="10">
        <v>1.0286</v>
      </c>
      <c r="U132" s="21">
        <f t="shared" si="65"/>
        <v>4.8995666666666668</v>
      </c>
      <c r="V132" s="10">
        <f t="shared" si="66"/>
        <v>1.3923481365424879E-2</v>
      </c>
      <c r="W132" s="21">
        <f t="shared" si="72"/>
        <v>93.941800000000001</v>
      </c>
      <c r="X132" s="10">
        <f t="shared" si="67"/>
        <v>0.19447136035931378</v>
      </c>
      <c r="Y132" s="21">
        <f t="shared" si="68"/>
        <v>1.1586666666666667</v>
      </c>
      <c r="Z132" s="22">
        <f t="shared" si="69"/>
        <v>0.19453010906626597</v>
      </c>
      <c r="AA132" s="19">
        <f t="shared" si="70"/>
        <v>1.3101543509529197</v>
      </c>
      <c r="AB132" s="19">
        <f t="shared" si="74"/>
        <v>3.80367392212138</v>
      </c>
      <c r="AC132" s="19">
        <f t="shared" si="75"/>
        <v>4.0631940587788689E-3</v>
      </c>
      <c r="AD132" s="19">
        <f t="shared" si="71"/>
        <v>0.40942323467278741</v>
      </c>
    </row>
    <row r="133" spans="1:30" ht="15" customHeight="1" x14ac:dyDescent="0.3">
      <c r="A133" t="s">
        <v>188</v>
      </c>
      <c r="D133" s="2">
        <v>45691.354166666664</v>
      </c>
      <c r="E133" s="2">
        <v>45692.432638888888</v>
      </c>
      <c r="F133" s="51"/>
      <c r="G133" s="31">
        <f>E133-'Pre-Summary'!$C$1</f>
        <v>265.90347222222044</v>
      </c>
      <c r="H133">
        <v>5949.7</v>
      </c>
      <c r="I133">
        <v>6616.8</v>
      </c>
      <c r="J133" s="107">
        <f t="shared" si="73"/>
        <v>659.76190000000031</v>
      </c>
      <c r="K133" s="107">
        <f t="shared" si="56"/>
        <v>0.4248305859622073</v>
      </c>
      <c r="L133" s="21">
        <v>7.4211999999999998</v>
      </c>
      <c r="M133" s="10">
        <v>7.3403</v>
      </c>
      <c r="N133" s="10">
        <v>7.1474000000000002</v>
      </c>
      <c r="O133" s="21">
        <v>92.578800000000001</v>
      </c>
      <c r="P133" s="10">
        <v>92.659700000000001</v>
      </c>
      <c r="Q133" s="10">
        <v>92.302899999999994</v>
      </c>
      <c r="R133" s="21">
        <v>0</v>
      </c>
      <c r="S133" s="10">
        <v>0</v>
      </c>
      <c r="T133" s="10">
        <v>0.54969999999999997</v>
      </c>
      <c r="U133" s="21">
        <f t="shared" si="65"/>
        <v>7.3029666666666664</v>
      </c>
      <c r="V133" s="10">
        <f t="shared" si="66"/>
        <v>0.14066607029889361</v>
      </c>
      <c r="W133" s="21">
        <f t="shared" si="72"/>
        <v>92.513799999999989</v>
      </c>
      <c r="X133" s="10">
        <f t="shared" si="67"/>
        <v>0.18707033436651968</v>
      </c>
      <c r="Y133" s="21">
        <f t="shared" si="68"/>
        <v>0.18323333333333333</v>
      </c>
      <c r="Z133" s="22">
        <f t="shared" si="69"/>
        <v>0.31736944297353725</v>
      </c>
      <c r="AA133" s="19">
        <f t="shared" si="70"/>
        <v>1.2576861396348944</v>
      </c>
      <c r="AB133" s="19">
        <f t="shared" si="74"/>
        <v>3.651346857004532</v>
      </c>
      <c r="AC133" s="19">
        <f t="shared" si="75"/>
        <v>3.9004738996257921E-3</v>
      </c>
      <c r="AD133" s="19">
        <f t="shared" si="71"/>
        <v>0.39302691863590444</v>
      </c>
    </row>
    <row r="134" spans="1:30" ht="15" customHeight="1" x14ac:dyDescent="0.3">
      <c r="A134" t="s">
        <v>189</v>
      </c>
      <c r="D134" s="2">
        <v>45692.432638888888</v>
      </c>
      <c r="E134" s="2">
        <v>45693.397222222222</v>
      </c>
      <c r="F134" s="51"/>
      <c r="G134" s="31">
        <f>E134-'Pre-Summary'!$C$1</f>
        <v>266.86805555555475</v>
      </c>
      <c r="H134">
        <v>6616.8</v>
      </c>
      <c r="I134">
        <v>7196.5</v>
      </c>
      <c r="J134" s="107">
        <f t="shared" si="73"/>
        <v>573.32329999999979</v>
      </c>
      <c r="K134" s="107">
        <f t="shared" si="56"/>
        <v>0.41275975521916713</v>
      </c>
      <c r="L134" s="21">
        <v>5.1440999999999999</v>
      </c>
      <c r="M134" s="10">
        <v>5.0307000000000004</v>
      </c>
      <c r="N134" s="10">
        <v>5.0583999999999998</v>
      </c>
      <c r="O134" s="21">
        <v>94.855900000000005</v>
      </c>
      <c r="P134" s="10">
        <v>94.969300000000004</v>
      </c>
      <c r="Q134" s="10">
        <v>94.941599999999994</v>
      </c>
      <c r="R134" s="21">
        <v>0</v>
      </c>
      <c r="S134" s="10">
        <v>0</v>
      </c>
      <c r="T134" s="10">
        <v>0</v>
      </c>
      <c r="U134" s="21">
        <f t="shared" si="65"/>
        <v>5.0777333333333337</v>
      </c>
      <c r="V134" s="10">
        <f t="shared" si="66"/>
        <v>5.912041384609306E-2</v>
      </c>
      <c r="W134" s="21">
        <f t="shared" si="72"/>
        <v>94.922266666666658</v>
      </c>
      <c r="X134" s="10">
        <f t="shared" si="67"/>
        <v>5.9120413846090819E-2</v>
      </c>
      <c r="Y134" s="21">
        <f t="shared" si="68"/>
        <v>0</v>
      </c>
      <c r="Z134" s="22">
        <f t="shared" si="69"/>
        <v>0</v>
      </c>
      <c r="AA134" s="19">
        <f t="shared" si="70"/>
        <v>1.2537629297338186</v>
      </c>
      <c r="AB134" s="19">
        <f t="shared" si="74"/>
        <v>3.6399568927756025</v>
      </c>
      <c r="AC134" s="19">
        <f t="shared" si="75"/>
        <v>3.8883068117175628E-3</v>
      </c>
      <c r="AD134" s="19">
        <f t="shared" si="71"/>
        <v>0.39180091554181834</v>
      </c>
    </row>
    <row r="135" spans="1:30" ht="15" customHeight="1" x14ac:dyDescent="0.3">
      <c r="A135" t="s">
        <v>190</v>
      </c>
      <c r="D135" s="2">
        <v>45693.397222222222</v>
      </c>
      <c r="E135" s="2">
        <v>45694.481944444444</v>
      </c>
      <c r="F135" s="51">
        <v>13</v>
      </c>
      <c r="G135" s="31">
        <f>E135-'Pre-Summary'!$C$1</f>
        <v>267.95277777777665</v>
      </c>
      <c r="H135">
        <v>7196.5</v>
      </c>
      <c r="I135">
        <v>7892.3</v>
      </c>
      <c r="J135" s="107">
        <f t="shared" si="73"/>
        <v>688.14620000000014</v>
      </c>
      <c r="K135" s="107">
        <f t="shared" si="56"/>
        <v>0.44425190445462043</v>
      </c>
      <c r="L135" s="21">
        <v>3.3448000000000002</v>
      </c>
      <c r="M135" s="10">
        <v>3.4291999999999998</v>
      </c>
      <c r="N135" s="10">
        <v>3.3448000000000002</v>
      </c>
      <c r="O135" s="21">
        <v>96.655199999999994</v>
      </c>
      <c r="P135" s="10">
        <v>96.297200000000004</v>
      </c>
      <c r="Q135" s="10">
        <v>94.125100000000003</v>
      </c>
      <c r="R135" s="21">
        <v>0</v>
      </c>
      <c r="S135" s="10">
        <v>0.27360000000000001</v>
      </c>
      <c r="T135" s="10">
        <v>2.5301</v>
      </c>
      <c r="U135" s="21">
        <f t="shared" si="65"/>
        <v>3.3729333333333336</v>
      </c>
      <c r="V135" s="10">
        <f t="shared" si="66"/>
        <v>4.8728362719604179E-2</v>
      </c>
      <c r="W135" s="21">
        <f t="shared" si="72"/>
        <v>95.692499999999995</v>
      </c>
      <c r="X135" s="10">
        <f t="shared" si="67"/>
        <v>1.3691596218118582</v>
      </c>
      <c r="Y135" s="21">
        <f t="shared" si="68"/>
        <v>0.93456666666666666</v>
      </c>
      <c r="Z135" s="22">
        <f t="shared" si="69"/>
        <v>1.3885277106825535</v>
      </c>
      <c r="AA135" s="19">
        <f t="shared" si="70"/>
        <v>1.3603704117447606</v>
      </c>
      <c r="AB135" s="19">
        <f t="shared" si="74"/>
        <v>3.9494624857105953</v>
      </c>
      <c r="AC135" s="19">
        <f t="shared" si="75"/>
        <v>4.2189296022408151E-3</v>
      </c>
      <c r="AD135" s="19">
        <f t="shared" si="71"/>
        <v>0.42511575367023768</v>
      </c>
    </row>
    <row r="136" spans="1:30" ht="15" customHeight="1" x14ac:dyDescent="0.3">
      <c r="A136" t="s">
        <v>191</v>
      </c>
      <c r="D136" s="2">
        <v>45694.481944444444</v>
      </c>
      <c r="E136" s="2">
        <v>45695.479861111111</v>
      </c>
      <c r="F136" s="51"/>
      <c r="G136" s="31">
        <f>E136-'Pre-Summary'!$C$1</f>
        <v>268.9506944444438</v>
      </c>
      <c r="H136">
        <v>7892.3</v>
      </c>
      <c r="I136">
        <v>8491.6</v>
      </c>
      <c r="J136" s="107">
        <f t="shared" si="73"/>
        <v>592.70770000000016</v>
      </c>
      <c r="K136" s="107">
        <f t="shared" si="56"/>
        <v>0.41246186499632015</v>
      </c>
      <c r="L136" s="21">
        <v>3.2911000000000001</v>
      </c>
      <c r="M136" s="10">
        <v>3.1941000000000002</v>
      </c>
      <c r="N136" s="10">
        <v>3.1766999999999999</v>
      </c>
      <c r="O136" s="21">
        <v>96.116799999999998</v>
      </c>
      <c r="P136" s="10">
        <v>96.805899999999994</v>
      </c>
      <c r="Q136" s="10">
        <v>96.823300000000003</v>
      </c>
      <c r="R136" s="21">
        <v>0.59199999999999997</v>
      </c>
      <c r="S136" s="10">
        <v>0</v>
      </c>
      <c r="T136" s="10">
        <v>0</v>
      </c>
      <c r="U136" s="21">
        <f t="shared" si="65"/>
        <v>3.2206333333333337</v>
      </c>
      <c r="V136" s="10">
        <f t="shared" si="66"/>
        <v>6.1642950394455852E-2</v>
      </c>
      <c r="W136" s="21">
        <f t="shared" si="72"/>
        <v>96.581999999999994</v>
      </c>
      <c r="X136" s="10">
        <f t="shared" si="67"/>
        <v>0.40296894421282703</v>
      </c>
      <c r="Y136" s="21">
        <f t="shared" si="68"/>
        <v>0.19733333333333333</v>
      </c>
      <c r="Z136" s="22">
        <f t="shared" si="69"/>
        <v>0.3417913593602584</v>
      </c>
      <c r="AA136" s="19">
        <f t="shared" si="70"/>
        <v>1.274764539042387</v>
      </c>
      <c r="AB136" s="19">
        <f t="shared" si="74"/>
        <v>3.7009293068972524</v>
      </c>
      <c r="AC136" s="19">
        <f t="shared" si="75"/>
        <v>3.9534393009584704E-3</v>
      </c>
      <c r="AD136" s="19">
        <f t="shared" si="71"/>
        <v>0.39836391845074587</v>
      </c>
    </row>
    <row r="137" spans="1:30" ht="15" customHeight="1" x14ac:dyDescent="0.3">
      <c r="A137" t="s">
        <v>192</v>
      </c>
      <c r="D137" s="2">
        <v>45695.479861111111</v>
      </c>
      <c r="E137" s="2">
        <v>45698.440972222219</v>
      </c>
      <c r="F137" s="51"/>
      <c r="G137" s="31">
        <f>E137-'Pre-Summary'!$C$1</f>
        <v>271.91180555555184</v>
      </c>
      <c r="H137">
        <v>8491.6</v>
      </c>
      <c r="I137">
        <v>10250.200000000001</v>
      </c>
      <c r="J137" s="107">
        <f t="shared" si="73"/>
        <v>1739.2554000000002</v>
      </c>
      <c r="K137" s="107">
        <f t="shared" si="56"/>
        <v>0.4078929174488285</v>
      </c>
      <c r="L137" s="21">
        <v>1.8565</v>
      </c>
      <c r="M137" s="10">
        <v>1.7771999999999999</v>
      </c>
      <c r="N137" s="10">
        <v>1.6900999999999999</v>
      </c>
      <c r="O137" s="21">
        <v>97.429199999999994</v>
      </c>
      <c r="P137" s="10">
        <v>96.106999999999999</v>
      </c>
      <c r="Q137" s="10">
        <v>97.470200000000006</v>
      </c>
      <c r="R137" s="21">
        <v>0.71430000000000005</v>
      </c>
      <c r="S137" s="10">
        <v>2.1158000000000001</v>
      </c>
      <c r="T137" s="10">
        <v>0.8397</v>
      </c>
      <c r="U137" s="21">
        <f t="shared" si="65"/>
        <v>1.7746000000000002</v>
      </c>
      <c r="V137" s="10">
        <f t="shared" si="66"/>
        <v>8.3230463173047456E-2</v>
      </c>
      <c r="W137" s="21">
        <f t="shared" si="72"/>
        <v>97.002133333333333</v>
      </c>
      <c r="X137" s="10">
        <f t="shared" si="67"/>
        <v>0.77547921528132147</v>
      </c>
      <c r="Y137" s="21">
        <f t="shared" si="68"/>
        <v>1.2232666666666667</v>
      </c>
      <c r="Z137" s="22">
        <f t="shared" si="69"/>
        <v>0.77549539220638364</v>
      </c>
      <c r="AA137" s="19">
        <f t="shared" si="70"/>
        <v>1.266127461250995</v>
      </c>
      <c r="AB137" s="19">
        <f t="shared" si="74"/>
        <v>3.6758539197609532</v>
      </c>
      <c r="AC137" s="19">
        <f t="shared" si="75"/>
        <v>3.9266530500547741E-3</v>
      </c>
      <c r="AD137" s="19">
        <f t="shared" si="71"/>
        <v>0.39566483164093591</v>
      </c>
    </row>
    <row r="138" spans="1:30" ht="15" customHeight="1" x14ac:dyDescent="0.3">
      <c r="A138" t="s">
        <v>193</v>
      </c>
      <c r="D138" s="2">
        <v>45698.440972222219</v>
      </c>
      <c r="E138" s="2">
        <v>45699.48541666667</v>
      </c>
      <c r="F138" s="51">
        <v>14</v>
      </c>
      <c r="G138" s="31">
        <f>E138-'Pre-Summary'!$C$1</f>
        <v>272.95625000000291</v>
      </c>
      <c r="H138">
        <v>10250.200000000001</v>
      </c>
      <c r="I138">
        <v>10883.2</v>
      </c>
      <c r="J138" s="107">
        <f t="shared" si="73"/>
        <v>626.03700000000003</v>
      </c>
      <c r="K138" s="107">
        <f t="shared" si="56"/>
        <v>0.42015906039999273</v>
      </c>
      <c r="L138" s="21">
        <v>0.79659999999999997</v>
      </c>
      <c r="M138" s="10">
        <v>0.83340000000000003</v>
      </c>
      <c r="N138" s="10">
        <v>0.71040000000000003</v>
      </c>
      <c r="O138" s="21">
        <v>98.954599999999999</v>
      </c>
      <c r="P138" s="10">
        <v>99.127799999999993</v>
      </c>
      <c r="Q138" s="10">
        <v>98.262</v>
      </c>
      <c r="R138" s="21">
        <v>0.24879999999999999</v>
      </c>
      <c r="S138" s="10">
        <v>3.8800000000000001E-2</v>
      </c>
      <c r="T138" s="10">
        <v>1.0276000000000001</v>
      </c>
      <c r="U138" s="21">
        <f t="shared" si="65"/>
        <v>0.78013333333333323</v>
      </c>
      <c r="V138" s="10">
        <f t="shared" si="66"/>
        <v>6.3131714164382804E-2</v>
      </c>
      <c r="W138" s="21">
        <f t="shared" si="72"/>
        <v>98.781466666666674</v>
      </c>
      <c r="X138" s="10">
        <f t="shared" si="67"/>
        <v>0.45813073825419171</v>
      </c>
      <c r="Y138" s="21">
        <f t="shared" si="68"/>
        <v>0.43839999999999996</v>
      </c>
      <c r="Z138" s="22">
        <f t="shared" si="69"/>
        <v>0.52095343361955126</v>
      </c>
      <c r="AA138" s="19">
        <f t="shared" si="70"/>
        <v>1.3281257030271958</v>
      </c>
      <c r="AB138" s="19">
        <f t="shared" si="74"/>
        <v>3.8558488152402464</v>
      </c>
      <c r="AC138" s="19">
        <f t="shared" si="75"/>
        <v>4.1189287826480922E-3</v>
      </c>
      <c r="AD138" s="19">
        <f t="shared" si="71"/>
        <v>0.41503928219599873</v>
      </c>
    </row>
    <row r="139" spans="1:30" ht="15" customHeight="1" x14ac:dyDescent="0.3">
      <c r="A139" t="s">
        <v>194</v>
      </c>
      <c r="D139" s="2">
        <v>45699.48541666667</v>
      </c>
      <c r="E139" s="2">
        <v>45700.447916666664</v>
      </c>
      <c r="F139" s="51"/>
      <c r="G139" s="31">
        <f>E139-'Pre-Summary'!$C$1</f>
        <v>273.91874999999709</v>
      </c>
      <c r="H139">
        <v>10883.2</v>
      </c>
      <c r="I139">
        <v>11580.5</v>
      </c>
      <c r="J139" s="107">
        <f t="shared" si="73"/>
        <v>689.62969999999927</v>
      </c>
      <c r="K139" s="107">
        <f t="shared" si="56"/>
        <v>0.49756832612133467</v>
      </c>
      <c r="L139" s="21">
        <v>1.2009000000000001</v>
      </c>
      <c r="M139" s="10">
        <v>1.1848000000000001</v>
      </c>
      <c r="N139" s="10">
        <v>1.1655</v>
      </c>
      <c r="O139" s="21">
        <v>97.858400000000003</v>
      </c>
      <c r="P139" s="10">
        <v>95.7881</v>
      </c>
      <c r="Q139" s="10">
        <v>95.966099999999997</v>
      </c>
      <c r="R139" s="21">
        <v>0.94069999999999998</v>
      </c>
      <c r="S139" s="10">
        <v>3.0270999999999999</v>
      </c>
      <c r="T139" s="10">
        <v>2.8683999999999998</v>
      </c>
      <c r="U139" s="21">
        <f t="shared" si="65"/>
        <v>1.1837333333333333</v>
      </c>
      <c r="V139" s="10">
        <f t="shared" si="66"/>
        <v>1.7724089069211291E-2</v>
      </c>
      <c r="W139" s="21">
        <f t="shared" si="72"/>
        <v>96.537533333333329</v>
      </c>
      <c r="X139" s="10">
        <f t="shared" si="67"/>
        <v>1.1473611303043776</v>
      </c>
      <c r="Y139" s="21">
        <f t="shared" si="68"/>
        <v>2.2787333333333333</v>
      </c>
      <c r="Z139" s="22">
        <f t="shared" si="69"/>
        <v>1.1614845342635145</v>
      </c>
      <c r="AA139" s="19">
        <f t="shared" si="70"/>
        <v>1.5370886037935749</v>
      </c>
      <c r="AB139" s="19">
        <f t="shared" si="74"/>
        <v>4.4625153013361851</v>
      </c>
      <c r="AC139" s="19">
        <f t="shared" si="75"/>
        <v>4.7669873997733198E-3</v>
      </c>
      <c r="AD139" s="19">
        <f t="shared" si="71"/>
        <v>0.48034018868549211</v>
      </c>
    </row>
    <row r="140" spans="1:30" ht="15" customHeight="1" x14ac:dyDescent="0.3">
      <c r="A140" t="s">
        <v>195</v>
      </c>
      <c r="D140" s="2">
        <v>45700.447916666664</v>
      </c>
      <c r="E140" s="2">
        <v>45701.443055555559</v>
      </c>
      <c r="F140" s="51"/>
      <c r="G140" s="31">
        <f>E140-'Pre-Summary'!$C$1</f>
        <v>274.91388888889196</v>
      </c>
      <c r="H140">
        <v>11580.5</v>
      </c>
      <c r="I140">
        <v>12322.5</v>
      </c>
      <c r="J140" s="107">
        <f t="shared" si="73"/>
        <v>733.83799999999997</v>
      </c>
      <c r="K140" s="107">
        <f t="shared" si="56"/>
        <v>0.51209909280920329</v>
      </c>
      <c r="L140" s="21">
        <v>2.4965000000000002</v>
      </c>
      <c r="M140" s="10">
        <v>2.3586</v>
      </c>
      <c r="N140" s="10">
        <v>2.3340000000000001</v>
      </c>
      <c r="O140" s="21">
        <v>94.951800000000006</v>
      </c>
      <c r="P140" s="10">
        <v>94.752899999999997</v>
      </c>
      <c r="Q140" s="10">
        <v>95.078999999999994</v>
      </c>
      <c r="R140" s="21">
        <v>2.5516999999999999</v>
      </c>
      <c r="S140" s="10">
        <v>2.8885000000000001</v>
      </c>
      <c r="T140" s="10">
        <v>2.5871</v>
      </c>
      <c r="U140" s="21">
        <f t="shared" si="65"/>
        <v>2.3963666666666668</v>
      </c>
      <c r="V140" s="10">
        <f t="shared" si="66"/>
        <v>8.7585976807553756E-2</v>
      </c>
      <c r="W140" s="21">
        <f t="shared" si="72"/>
        <v>94.927900000000008</v>
      </c>
      <c r="X140" s="10">
        <f t="shared" si="67"/>
        <v>0.16435848015846252</v>
      </c>
      <c r="Y140" s="21">
        <f t="shared" si="68"/>
        <v>2.6757666666666666</v>
      </c>
      <c r="Z140" s="22">
        <f t="shared" si="69"/>
        <v>0.18508077515866786</v>
      </c>
      <c r="AA140" s="19">
        <f t="shared" si="70"/>
        <v>1.5555997271130488</v>
      </c>
      <c r="AB140" s="19">
        <f t="shared" si="74"/>
        <v>4.5162572722636893</v>
      </c>
      <c r="AC140" s="19">
        <f t="shared" si="75"/>
        <v>4.8243961213016674E-3</v>
      </c>
      <c r="AD140" s="19">
        <f t="shared" si="71"/>
        <v>0.48612491472282776</v>
      </c>
    </row>
    <row r="141" spans="1:30" ht="15" customHeight="1" x14ac:dyDescent="0.3">
      <c r="A141" t="s">
        <v>196</v>
      </c>
      <c r="D141" s="2">
        <v>45701.443055555559</v>
      </c>
      <c r="E141" s="2">
        <v>45702.470833333333</v>
      </c>
      <c r="F141" s="51"/>
      <c r="G141" s="31">
        <f>E141-'Pre-Summary'!$C$1</f>
        <v>275.9416666666657</v>
      </c>
      <c r="H141">
        <v>12322.5</v>
      </c>
      <c r="I141">
        <v>13163.4</v>
      </c>
      <c r="J141" s="107">
        <f t="shared" si="73"/>
        <v>831.65009999999961</v>
      </c>
      <c r="K141" s="107">
        <f t="shared" si="56"/>
        <v>0.56192574324545297</v>
      </c>
      <c r="L141" s="21">
        <v>5.5532000000000004</v>
      </c>
      <c r="M141" s="10">
        <v>5.4824999999999999</v>
      </c>
      <c r="N141" s="10">
        <v>5.3571</v>
      </c>
      <c r="O141" s="21">
        <v>94.1464</v>
      </c>
      <c r="P141" s="10">
        <v>94.288200000000003</v>
      </c>
      <c r="Q141" s="10">
        <v>93.484399999999994</v>
      </c>
      <c r="R141" s="21">
        <v>0.3004</v>
      </c>
      <c r="S141" s="10">
        <v>0.23530000000000001</v>
      </c>
      <c r="T141" s="10">
        <v>1.1585000000000001</v>
      </c>
      <c r="U141" s="21">
        <f t="shared" si="65"/>
        <v>5.464266666666667</v>
      </c>
      <c r="V141" s="10">
        <f t="shared" si="66"/>
        <v>9.931335928933914E-2</v>
      </c>
      <c r="W141" s="21">
        <f t="shared" si="72"/>
        <v>93.972999999999999</v>
      </c>
      <c r="X141" s="10">
        <f t="shared" si="67"/>
        <v>0.42903878612545521</v>
      </c>
      <c r="Y141" s="21">
        <f t="shared" si="68"/>
        <v>0.56473333333333342</v>
      </c>
      <c r="Z141" s="22">
        <f t="shared" si="69"/>
        <v>0.51524619681598172</v>
      </c>
      <c r="AA141" s="19">
        <f t="shared" si="70"/>
        <v>1.6897871318401585</v>
      </c>
      <c r="AB141" s="19">
        <f t="shared" si="74"/>
        <v>4.9058336085682024</v>
      </c>
      <c r="AC141" s="19">
        <f t="shared" si="75"/>
        <v>5.2405527865477001E-3</v>
      </c>
      <c r="AD141" s="19">
        <f t="shared" si="71"/>
        <v>0.52805847870004952</v>
      </c>
    </row>
    <row r="142" spans="1:30" ht="15" customHeight="1" x14ac:dyDescent="0.3">
      <c r="A142" t="s">
        <v>197</v>
      </c>
      <c r="D142" s="2">
        <v>45702.470833333333</v>
      </c>
      <c r="E142" s="2">
        <v>45705.444444444445</v>
      </c>
      <c r="F142" s="51">
        <v>10</v>
      </c>
      <c r="G142" s="31">
        <f>E142-'Pre-Summary'!$C$1</f>
        <v>278.9152777777781</v>
      </c>
      <c r="H142">
        <v>13163.4</v>
      </c>
      <c r="I142">
        <v>15639.4</v>
      </c>
      <c r="J142" s="107">
        <f t="shared" si="73"/>
        <v>2448.7640000000001</v>
      </c>
      <c r="K142" s="107">
        <f t="shared" si="56"/>
        <v>0.57321254681622946</v>
      </c>
      <c r="L142" s="21">
        <v>8.4321999999999999</v>
      </c>
      <c r="M142" s="10">
        <v>8.1544000000000008</v>
      </c>
      <c r="N142" s="10">
        <v>8.2470999999999997</v>
      </c>
      <c r="O142" s="21">
        <v>89.353300000000004</v>
      </c>
      <c r="P142" s="10">
        <v>89.791200000000003</v>
      </c>
      <c r="Q142" s="10">
        <v>89.360100000000003</v>
      </c>
      <c r="R142" s="21">
        <v>2.2155</v>
      </c>
      <c r="S142" s="10">
        <v>3.0543999999999998</v>
      </c>
      <c r="T142" s="10">
        <v>2.3927999999999998</v>
      </c>
      <c r="U142" s="21">
        <f t="shared" si="65"/>
        <v>8.2779000000000007</v>
      </c>
      <c r="V142" s="10">
        <f t="shared" si="66"/>
        <v>0.14143793691934248</v>
      </c>
      <c r="W142" s="21">
        <f t="shared" si="72"/>
        <v>89.501533333333327</v>
      </c>
      <c r="X142" s="10">
        <f t="shared" si="67"/>
        <v>0.25088173176485629</v>
      </c>
      <c r="Y142" s="21">
        <f t="shared" si="68"/>
        <v>2.5542333333333329</v>
      </c>
      <c r="Z142" s="22">
        <f t="shared" si="69"/>
        <v>0.44213554859718446</v>
      </c>
      <c r="AA142" s="19">
        <f t="shared" si="70"/>
        <v>1.6417088597106451</v>
      </c>
      <c r="AB142" s="19">
        <f t="shared" si="74"/>
        <v>4.7662515281921953</v>
      </c>
      <c r="AC142" s="19">
        <f t="shared" si="75"/>
        <v>5.0914471872487268E-3</v>
      </c>
      <c r="AD142" s="19">
        <f t="shared" si="71"/>
        <v>0.51303401865957654</v>
      </c>
    </row>
    <row r="143" spans="1:30" ht="15" customHeight="1" x14ac:dyDescent="0.3">
      <c r="A143" t="s">
        <v>198</v>
      </c>
      <c r="D143" s="2">
        <v>45705.444444444445</v>
      </c>
      <c r="E143" s="2">
        <v>45706.442361111112</v>
      </c>
      <c r="F143" s="51"/>
      <c r="G143" s="31">
        <f>E143-'Pre-Summary'!$C$1</f>
        <v>279.91319444444525</v>
      </c>
      <c r="H143">
        <v>15639.4</v>
      </c>
      <c r="I143">
        <v>16434</v>
      </c>
      <c r="J143" s="107">
        <f t="shared" si="73"/>
        <v>785.85940000000039</v>
      </c>
      <c r="K143" s="107">
        <f t="shared" si="56"/>
        <v>0.5468750173970901</v>
      </c>
      <c r="L143" s="21">
        <v>8.1523000000000003</v>
      </c>
      <c r="M143" s="10">
        <v>8.0912000000000006</v>
      </c>
      <c r="N143" s="10">
        <v>8.0018999999999991</v>
      </c>
      <c r="O143" s="21">
        <v>90.265699999999995</v>
      </c>
      <c r="P143" s="10">
        <v>90.469899999999996</v>
      </c>
      <c r="Q143" s="10">
        <v>90.312200000000004</v>
      </c>
      <c r="R143" s="21">
        <v>1.5819000000000001</v>
      </c>
      <c r="S143" s="10">
        <v>1.4389000000000001</v>
      </c>
      <c r="T143" s="10">
        <v>1.6859</v>
      </c>
      <c r="U143" s="21">
        <f t="shared" si="65"/>
        <v>8.0817999999999994</v>
      </c>
      <c r="V143" s="10">
        <f t="shared" si="66"/>
        <v>7.5639341615326733E-2</v>
      </c>
      <c r="W143" s="21">
        <f t="shared" si="72"/>
        <v>90.349266666666665</v>
      </c>
      <c r="X143" s="10">
        <f t="shared" si="67"/>
        <v>0.10702739524688538</v>
      </c>
      <c r="Y143" s="21">
        <f t="shared" si="68"/>
        <v>1.5689000000000002</v>
      </c>
      <c r="Z143" s="22">
        <f t="shared" si="69"/>
        <v>0.12401209618420288</v>
      </c>
      <c r="AA143" s="19">
        <f t="shared" si="70"/>
        <v>1.5811122169647256</v>
      </c>
      <c r="AB143" s="19">
        <f t="shared" si="74"/>
        <v>4.5903257911879125</v>
      </c>
      <c r="AC143" s="19">
        <f t="shared" si="75"/>
        <v>4.9035182469615874E-3</v>
      </c>
      <c r="AD143" s="19">
        <f t="shared" si="71"/>
        <v>0.49409756780147668</v>
      </c>
    </row>
    <row r="144" spans="1:30" ht="15" customHeight="1" x14ac:dyDescent="0.3">
      <c r="A144" t="s">
        <v>199</v>
      </c>
      <c r="D144" s="2">
        <v>45706.442361111112</v>
      </c>
      <c r="E144" s="2">
        <v>45707.45416666667</v>
      </c>
      <c r="F144" s="51"/>
      <c r="G144" s="31">
        <f>E144-'Pre-Summary'!$C$1</f>
        <v>280.92500000000291</v>
      </c>
      <c r="H144">
        <v>16434</v>
      </c>
      <c r="I144">
        <v>17220.2</v>
      </c>
      <c r="J144" s="107">
        <f t="shared" si="73"/>
        <v>777.55180000000075</v>
      </c>
      <c r="K144" s="107">
        <f t="shared" si="56"/>
        <v>0.53366630061659948</v>
      </c>
      <c r="L144" s="21">
        <v>5.2895000000000003</v>
      </c>
      <c r="M144" s="10">
        <v>5.5340999999999996</v>
      </c>
      <c r="N144" s="10">
        <v>5.4135999999999997</v>
      </c>
      <c r="O144" s="21">
        <v>92.609200000000001</v>
      </c>
      <c r="P144" s="10">
        <v>93.7393</v>
      </c>
      <c r="Q144" s="10">
        <v>93.555300000000003</v>
      </c>
      <c r="R144" s="21">
        <v>2.1013000000000002</v>
      </c>
      <c r="S144" s="10">
        <v>0.72660000000000002</v>
      </c>
      <c r="T144" s="10">
        <v>1.0310999999999999</v>
      </c>
      <c r="U144" s="21">
        <f t="shared" si="65"/>
        <v>5.412399999999999</v>
      </c>
      <c r="V144" s="10">
        <f t="shared" si="66"/>
        <v>0.12230441529233485</v>
      </c>
      <c r="W144" s="21">
        <f t="shared" si="72"/>
        <v>93.301266666666663</v>
      </c>
      <c r="X144" s="10">
        <f t="shared" si="67"/>
        <v>0.60636721822121387</v>
      </c>
      <c r="Y144" s="21">
        <f t="shared" si="68"/>
        <v>1.2863333333333333</v>
      </c>
      <c r="Z144" s="22">
        <f t="shared" si="69"/>
        <v>0.72201666416595511</v>
      </c>
      <c r="AA144" s="19">
        <f t="shared" si="70"/>
        <v>1.5933357383949711</v>
      </c>
      <c r="AB144" s="19">
        <f t="shared" si="74"/>
        <v>4.625813434049916</v>
      </c>
      <c r="AC144" s="19">
        <f t="shared" si="75"/>
        <v>4.9414271693848169E-3</v>
      </c>
      <c r="AD144" s="19">
        <f t="shared" si="71"/>
        <v>0.49791741824842844</v>
      </c>
    </row>
    <row r="145" spans="1:30" ht="15" customHeight="1" x14ac:dyDescent="0.3">
      <c r="A145" t="s">
        <v>200</v>
      </c>
      <c r="D145" s="2">
        <v>45707.45416666667</v>
      </c>
      <c r="E145" s="2">
        <v>45708.470833333333</v>
      </c>
      <c r="F145" s="51">
        <v>11</v>
      </c>
      <c r="G145" s="31">
        <f>E145-'Pre-Summary'!$C$1</f>
        <v>281.9416666666657</v>
      </c>
      <c r="H145">
        <v>17220.2</v>
      </c>
      <c r="I145">
        <v>18020.8</v>
      </c>
      <c r="J145" s="107">
        <f t="shared" si="73"/>
        <v>791.79339999999854</v>
      </c>
      <c r="K145" s="107">
        <f t="shared" si="56"/>
        <v>0.54493695801998876</v>
      </c>
      <c r="L145" s="21">
        <v>3.2987000000000002</v>
      </c>
      <c r="M145" s="10">
        <v>3.3422000000000001</v>
      </c>
      <c r="N145" s="10">
        <v>3.3155000000000001</v>
      </c>
      <c r="O145" s="21">
        <v>95.545500000000004</v>
      </c>
      <c r="P145" s="10">
        <v>95.823099999999997</v>
      </c>
      <c r="Q145" s="10">
        <v>95.542699999999996</v>
      </c>
      <c r="R145" s="21">
        <v>1.1556999999999999</v>
      </c>
      <c r="S145" s="10">
        <v>0.8347</v>
      </c>
      <c r="T145" s="10">
        <v>1.1417999999999999</v>
      </c>
      <c r="U145" s="21">
        <f t="shared" si="65"/>
        <v>3.3188</v>
      </c>
      <c r="V145" s="10">
        <f t="shared" si="66"/>
        <v>2.1936955121438281E-2</v>
      </c>
      <c r="W145" s="21">
        <f t="shared" si="72"/>
        <v>95.63709999999999</v>
      </c>
      <c r="X145" s="10">
        <f t="shared" si="67"/>
        <v>0.16108680889507787</v>
      </c>
      <c r="Y145" s="21">
        <f t="shared" si="68"/>
        <v>1.0440666666666667</v>
      </c>
      <c r="Z145" s="22">
        <f t="shared" si="69"/>
        <v>0.18145000229631503</v>
      </c>
      <c r="AA145" s="19">
        <f t="shared" si="70"/>
        <v>1.667718091131311</v>
      </c>
      <c r="AB145" s="19">
        <f t="shared" si="74"/>
        <v>4.8417622000586436</v>
      </c>
      <c r="AC145" s="19">
        <f t="shared" si="75"/>
        <v>5.1721098622266697E-3</v>
      </c>
      <c r="AD145" s="19">
        <f t="shared" si="71"/>
        <v>0.52116190347853464</v>
      </c>
    </row>
    <row r="146" spans="1:30" ht="15" customHeight="1" x14ac:dyDescent="0.3">
      <c r="A146" t="s">
        <v>201</v>
      </c>
      <c r="D146" s="2">
        <v>45708.470833333333</v>
      </c>
      <c r="E146" s="32">
        <v>45709.42291666667</v>
      </c>
      <c r="F146" s="110"/>
      <c r="G146" s="31">
        <f>E146-'Pre-Summary'!$C$1</f>
        <v>282.89375000000291</v>
      </c>
      <c r="H146">
        <v>18020.8</v>
      </c>
      <c r="I146" s="33">
        <v>18915.400000000001</v>
      </c>
      <c r="J146" s="107">
        <f t="shared" si="73"/>
        <v>884.75940000000219</v>
      </c>
      <c r="K146" s="107">
        <f t="shared" si="56"/>
        <v>0.64533873085076299</v>
      </c>
      <c r="L146" s="34">
        <v>3.2833999999999999</v>
      </c>
      <c r="M146" s="35">
        <v>3.2696000000000001</v>
      </c>
      <c r="N146" s="35">
        <v>3.3431000000000002</v>
      </c>
      <c r="O146" s="34">
        <v>96.208200000000005</v>
      </c>
      <c r="P146" s="35">
        <v>95.374499999999998</v>
      </c>
      <c r="Q146" s="35">
        <v>95.308199999999999</v>
      </c>
      <c r="R146" s="34">
        <v>0.50829999999999997</v>
      </c>
      <c r="S146" s="35">
        <v>1.3559000000000001</v>
      </c>
      <c r="T146" s="35">
        <v>1.3486</v>
      </c>
      <c r="U146" s="21">
        <f t="shared" si="65"/>
        <v>3.2987000000000002</v>
      </c>
      <c r="V146" s="10">
        <f t="shared" si="66"/>
        <v>3.9065713867789599E-2</v>
      </c>
      <c r="W146" s="21">
        <f t="shared" si="72"/>
        <v>95.630299999999991</v>
      </c>
      <c r="X146" s="10">
        <f t="shared" si="67"/>
        <v>0.50157275643719301</v>
      </c>
      <c r="Y146" s="21">
        <f t="shared" si="68"/>
        <v>1.0709333333333333</v>
      </c>
      <c r="Z146" s="22">
        <f t="shared" si="69"/>
        <v>0.48726843047065277</v>
      </c>
      <c r="AA146" s="19">
        <f t="shared" si="70"/>
        <v>1.9748459658520869</v>
      </c>
      <c r="AB146" s="19">
        <f t="shared" si="74"/>
        <v>5.7334237718286394</v>
      </c>
      <c r="AC146" s="19">
        <f t="shared" si="75"/>
        <v>6.1246084399272163E-3</v>
      </c>
      <c r="AD146" s="19">
        <f t="shared" si="71"/>
        <v>0.61713936432877714</v>
      </c>
    </row>
    <row r="147" spans="1:30" ht="15" customHeight="1" x14ac:dyDescent="0.3">
      <c r="A147" t="s">
        <v>202</v>
      </c>
      <c r="D147" s="32">
        <v>45709.42291666667</v>
      </c>
      <c r="E147" s="2">
        <v>45712.456250000003</v>
      </c>
      <c r="F147" s="51"/>
      <c r="G147" s="31">
        <f>E147-'Pre-Summary'!$C$1</f>
        <v>285.92708333333576</v>
      </c>
      <c r="H147" s="33">
        <v>18915.400000000001</v>
      </c>
      <c r="I147">
        <v>22113.3</v>
      </c>
      <c r="J147" s="107">
        <f t="shared" si="73"/>
        <v>3162.7230999999979</v>
      </c>
      <c r="K147" s="107">
        <f t="shared" si="56"/>
        <v>0.72406664377300911</v>
      </c>
      <c r="L147" s="21">
        <v>10.982200000000001</v>
      </c>
      <c r="M147" s="10">
        <v>11.1045</v>
      </c>
      <c r="N147" s="10">
        <v>10.916600000000001</v>
      </c>
      <c r="O147" s="21">
        <v>89.017799999999994</v>
      </c>
      <c r="P147" s="10">
        <v>88.569800000000001</v>
      </c>
      <c r="Q147" s="10">
        <v>89.011499999999998</v>
      </c>
      <c r="R147" s="21">
        <v>0</v>
      </c>
      <c r="S147" s="10">
        <v>0.32569999999999999</v>
      </c>
      <c r="T147" s="10">
        <v>7.1900000000000006E-2</v>
      </c>
      <c r="U147" s="21">
        <f t="shared" si="65"/>
        <v>11.001100000000001</v>
      </c>
      <c r="V147" s="10">
        <f t="shared" si="66"/>
        <v>9.5365140381587582E-2</v>
      </c>
      <c r="W147" s="21">
        <f t="shared" si="72"/>
        <v>88.866366666666678</v>
      </c>
      <c r="X147" s="10">
        <f t="shared" si="67"/>
        <v>0.25685358345433285</v>
      </c>
      <c r="Y147" s="21">
        <f t="shared" si="68"/>
        <v>0.13253333333333334</v>
      </c>
      <c r="Z147" s="22">
        <f t="shared" si="69"/>
        <v>0.17110646783021771</v>
      </c>
      <c r="AA147" s="19">
        <f t="shared" si="70"/>
        <v>2.0590454994123184</v>
      </c>
      <c r="AB147" s="19">
        <f t="shared" si="74"/>
        <v>5.9778740305518925</v>
      </c>
      <c r="AC147" s="19">
        <f t="shared" si="75"/>
        <v>6.385737248349713E-3</v>
      </c>
      <c r="AD147" s="19">
        <f t="shared" si="71"/>
        <v>0.64345171856634953</v>
      </c>
    </row>
    <row r="148" spans="1:30" ht="15" customHeight="1" x14ac:dyDescent="0.3">
      <c r="A148" t="s">
        <v>203</v>
      </c>
      <c r="D148" s="2">
        <v>45712.456250000003</v>
      </c>
      <c r="E148" s="2">
        <v>45713.456250000003</v>
      </c>
      <c r="F148" s="51">
        <v>10</v>
      </c>
      <c r="G148" s="31">
        <f>E148-'Pre-Summary'!$C$1</f>
        <v>286.92708333333576</v>
      </c>
      <c r="H148">
        <v>22113.3</v>
      </c>
      <c r="I148">
        <v>23125.7</v>
      </c>
      <c r="J148" s="107">
        <f t="shared" si="73"/>
        <v>1001.2636000000015</v>
      </c>
      <c r="K148" s="107">
        <f t="shared" si="56"/>
        <v>0.70018433566433669</v>
      </c>
      <c r="L148" s="21">
        <v>14.093400000000001</v>
      </c>
      <c r="M148" s="10">
        <v>14.289400000000001</v>
      </c>
      <c r="N148" s="10">
        <v>14.173</v>
      </c>
      <c r="O148" s="21">
        <v>85.4666</v>
      </c>
      <c r="P148" s="10">
        <v>85.269000000000005</v>
      </c>
      <c r="Q148" s="10">
        <v>85.235299999999995</v>
      </c>
      <c r="R148" s="21">
        <v>0.44</v>
      </c>
      <c r="S148" s="10">
        <v>0.44159999999999999</v>
      </c>
      <c r="T148" s="10">
        <v>0.5917</v>
      </c>
      <c r="U148" s="21">
        <f t="shared" si="65"/>
        <v>14.185266666666669</v>
      </c>
      <c r="V148" s="10">
        <f t="shared" si="66"/>
        <v>9.857410072292476E-2</v>
      </c>
      <c r="W148" s="21">
        <f t="shared" si="72"/>
        <v>85.323633333333333</v>
      </c>
      <c r="X148" s="10">
        <f t="shared" si="67"/>
        <v>0.12495408490054823</v>
      </c>
      <c r="Y148" s="21">
        <f t="shared" si="68"/>
        <v>0.49110000000000004</v>
      </c>
      <c r="Z148" s="22">
        <f t="shared" si="69"/>
        <v>8.7125828546992926E-2</v>
      </c>
      <c r="AA148" s="19">
        <f t="shared" si="70"/>
        <v>1.9117526887029583</v>
      </c>
      <c r="AB148" s="19">
        <f t="shared" si="74"/>
        <v>5.5502497413956862</v>
      </c>
      <c r="AC148" s="19">
        <f t="shared" si="75"/>
        <v>5.9289366637927726E-3</v>
      </c>
      <c r="AD148" s="19">
        <f t="shared" si="71"/>
        <v>0.59742271521967449</v>
      </c>
    </row>
    <row r="149" spans="1:30" ht="15" customHeight="1" x14ac:dyDescent="0.3">
      <c r="A149" t="s">
        <v>204</v>
      </c>
      <c r="D149" s="2">
        <v>45713.456250000003</v>
      </c>
      <c r="E149" s="2">
        <v>45714.414583333331</v>
      </c>
      <c r="F149" s="51"/>
      <c r="G149" s="31">
        <f>E149-'Pre-Summary'!$C$1</f>
        <v>287.88541666666424</v>
      </c>
      <c r="H149">
        <v>23125.7</v>
      </c>
      <c r="I149">
        <v>24048.9</v>
      </c>
      <c r="J149" s="107">
        <f t="shared" si="73"/>
        <v>913.04480000000069</v>
      </c>
      <c r="K149" s="107">
        <f t="shared" si="56"/>
        <v>0.66162666667001602</v>
      </c>
      <c r="L149" s="21">
        <v>9.6466999999999992</v>
      </c>
      <c r="M149" s="10">
        <v>9.6751000000000005</v>
      </c>
      <c r="N149" s="10">
        <v>9.5417000000000005</v>
      </c>
      <c r="O149" s="21">
        <v>89.634500000000003</v>
      </c>
      <c r="P149" s="10">
        <v>89.040800000000004</v>
      </c>
      <c r="Q149" s="10">
        <v>89.156300000000002</v>
      </c>
      <c r="R149" s="21">
        <v>0.71879999999999999</v>
      </c>
      <c r="S149" s="10">
        <v>1.2841</v>
      </c>
      <c r="T149" s="10">
        <v>1.302</v>
      </c>
      <c r="U149" s="21">
        <f t="shared" si="65"/>
        <v>9.6211666666666673</v>
      </c>
      <c r="V149" s="10">
        <f t="shared" si="66"/>
        <v>7.0269860774967371E-2</v>
      </c>
      <c r="W149" s="21">
        <f t="shared" si="72"/>
        <v>89.277199999999993</v>
      </c>
      <c r="X149" s="10">
        <f t="shared" si="67"/>
        <v>0.3147737759089847</v>
      </c>
      <c r="Y149" s="21">
        <f t="shared" si="68"/>
        <v>1.1016333333333332</v>
      </c>
      <c r="Z149" s="22">
        <f t="shared" si="69"/>
        <v>0.33166417251993552</v>
      </c>
      <c r="AA149" s="19">
        <f t="shared" si="70"/>
        <v>1.8901816398602354</v>
      </c>
      <c r="AB149" s="19">
        <f t="shared" si="74"/>
        <v>5.4876241157232641</v>
      </c>
      <c r="AC149" s="19">
        <f t="shared" si="75"/>
        <v>5.8620381663480768E-3</v>
      </c>
      <c r="AD149" s="19">
        <f t="shared" si="71"/>
        <v>0.59068176245632353</v>
      </c>
    </row>
    <row r="150" spans="1:30" ht="15" customHeight="1" x14ac:dyDescent="0.3">
      <c r="A150" t="s">
        <v>205</v>
      </c>
      <c r="D150" s="2">
        <v>45714.414583333331</v>
      </c>
      <c r="E150" s="2">
        <v>45715.4375</v>
      </c>
      <c r="F150" s="51">
        <v>9</v>
      </c>
      <c r="G150" s="31">
        <f>E150-'Pre-Summary'!$C$1</f>
        <v>288.90833333333285</v>
      </c>
      <c r="H150">
        <v>24048.9</v>
      </c>
      <c r="I150">
        <v>25017.3</v>
      </c>
      <c r="J150" s="107">
        <f t="shared" si="73"/>
        <v>957.74759999999787</v>
      </c>
      <c r="K150" s="107">
        <f t="shared" si="56"/>
        <v>0.65419918032661895</v>
      </c>
      <c r="L150" s="21">
        <v>7.1414</v>
      </c>
      <c r="M150" s="10">
        <v>6.9142999999999999</v>
      </c>
      <c r="N150" s="10">
        <v>6.8310000000000004</v>
      </c>
      <c r="O150" s="21">
        <v>90.926500000000004</v>
      </c>
      <c r="P150" s="10">
        <v>90.390299999999996</v>
      </c>
      <c r="Q150" s="10">
        <v>90.2864</v>
      </c>
      <c r="R150" s="21">
        <v>1.9320999999999999</v>
      </c>
      <c r="S150" s="10">
        <v>2.6949000000000001</v>
      </c>
      <c r="T150" s="10">
        <v>2.8826000000000001</v>
      </c>
      <c r="U150" s="21">
        <f t="shared" si="65"/>
        <v>6.9622333333333337</v>
      </c>
      <c r="V150" s="10">
        <f t="shared" si="66"/>
        <v>0.16065566698169498</v>
      </c>
      <c r="W150" s="21">
        <f t="shared" si="72"/>
        <v>90.534400000000005</v>
      </c>
      <c r="X150" s="10">
        <f t="shared" si="67"/>
        <v>0.34351944632000397</v>
      </c>
      <c r="Y150" s="21">
        <f t="shared" si="68"/>
        <v>2.5032000000000001</v>
      </c>
      <c r="Z150" s="22">
        <f t="shared" si="69"/>
        <v>0.50341258426860991</v>
      </c>
      <c r="AA150" s="19">
        <f t="shared" si="70"/>
        <v>1.8952809686835921</v>
      </c>
      <c r="AB150" s="19">
        <f t="shared" si="74"/>
        <v>5.5024286187588158</v>
      </c>
      <c r="AC150" s="19">
        <f t="shared" si="75"/>
        <v>5.8778527629746134E-3</v>
      </c>
      <c r="AD150" s="19">
        <f t="shared" si="71"/>
        <v>0.5922753027136225</v>
      </c>
    </row>
    <row r="151" spans="1:30" ht="15" customHeight="1" x14ac:dyDescent="0.3">
      <c r="A151" t="s">
        <v>206</v>
      </c>
      <c r="D151" s="2">
        <v>45715.4375</v>
      </c>
      <c r="E151" s="2">
        <v>45716.46875</v>
      </c>
      <c r="F151" s="51"/>
      <c r="G151" s="31">
        <f>E151-'Pre-Summary'!$C$1</f>
        <v>289.93958333333285</v>
      </c>
      <c r="H151">
        <v>25017.3</v>
      </c>
      <c r="I151">
        <v>26067.3</v>
      </c>
      <c r="J151" s="107">
        <f t="shared" si="73"/>
        <v>1038.45</v>
      </c>
      <c r="K151" s="107">
        <f t="shared" si="56"/>
        <v>0.6992929292929293</v>
      </c>
      <c r="L151" s="21">
        <v>4.7005999999999997</v>
      </c>
      <c r="M151" s="21">
        <v>4.7005999999999997</v>
      </c>
      <c r="N151" s="21">
        <v>4.7005999999999997</v>
      </c>
      <c r="O151" s="21">
        <v>91.807199999999995</v>
      </c>
      <c r="P151" s="21">
        <v>91.807199999999995</v>
      </c>
      <c r="Q151" s="21">
        <v>91.807199999999995</v>
      </c>
      <c r="R151" s="21">
        <v>3.4922</v>
      </c>
      <c r="S151" s="21">
        <v>3.4922</v>
      </c>
      <c r="T151" s="21">
        <v>3.4922</v>
      </c>
      <c r="U151" s="21">
        <f t="shared" si="65"/>
        <v>4.7005999999999997</v>
      </c>
      <c r="V151" s="10">
        <f t="shared" si="66"/>
        <v>0</v>
      </c>
      <c r="W151" s="21">
        <f t="shared" si="72"/>
        <v>91.807200000000009</v>
      </c>
      <c r="X151" s="10">
        <f t="shared" si="67"/>
        <v>1.7404671430534633E-14</v>
      </c>
      <c r="Y151" s="21">
        <f t="shared" si="68"/>
        <v>3.4922</v>
      </c>
      <c r="Z151" s="22">
        <f t="shared" si="69"/>
        <v>0</v>
      </c>
      <c r="AA151" s="19">
        <f t="shared" si="70"/>
        <v>2.0544040261818188</v>
      </c>
      <c r="AB151" s="19">
        <f t="shared" si="74"/>
        <v>5.9643987856891494</v>
      </c>
      <c r="AC151" s="19">
        <f t="shared" si="75"/>
        <v>6.3713426035962653E-3</v>
      </c>
      <c r="AD151" s="19">
        <f t="shared" si="71"/>
        <v>0.6420012581818183</v>
      </c>
    </row>
    <row r="152" spans="1:30" ht="15" customHeight="1" x14ac:dyDescent="0.3">
      <c r="A152" t="s">
        <v>207</v>
      </c>
      <c r="D152" s="2">
        <v>45716.46875</v>
      </c>
      <c r="E152" s="2">
        <v>45719.455555555556</v>
      </c>
      <c r="F152" s="51">
        <v>10</v>
      </c>
      <c r="G152" s="31">
        <f>E152-'Pre-Summary'!$C$1</f>
        <v>292.92638888888905</v>
      </c>
      <c r="H152">
        <v>26067.3</v>
      </c>
      <c r="I152">
        <v>28934.5</v>
      </c>
      <c r="J152" s="107">
        <f t="shared" si="73"/>
        <v>2835.6608000000006</v>
      </c>
      <c r="K152" s="107">
        <f t="shared" si="56"/>
        <v>0.6608391517127441</v>
      </c>
      <c r="L152" s="21">
        <v>5.7256</v>
      </c>
      <c r="M152" s="10">
        <v>5.5063000000000004</v>
      </c>
      <c r="N152" s="10">
        <v>5.6275000000000004</v>
      </c>
      <c r="O152" s="21">
        <v>93.219399999999993</v>
      </c>
      <c r="P152" s="10">
        <v>92.0261</v>
      </c>
      <c r="Q152" s="10">
        <v>93.477900000000005</v>
      </c>
      <c r="R152" s="21">
        <v>1.0549999999999999</v>
      </c>
      <c r="S152" s="10">
        <v>2.4676</v>
      </c>
      <c r="T152" s="10">
        <v>0.89459999999999995</v>
      </c>
      <c r="U152" s="21">
        <f t="shared" si="65"/>
        <v>5.6198000000000006</v>
      </c>
      <c r="V152" s="10">
        <f t="shared" si="66"/>
        <v>0.1098525830374505</v>
      </c>
      <c r="W152" s="21">
        <f t="shared" si="72"/>
        <v>92.907799999999995</v>
      </c>
      <c r="X152" s="10">
        <f t="shared" si="67"/>
        <v>0.77443639506417905</v>
      </c>
      <c r="Y152" s="21">
        <f t="shared" si="68"/>
        <v>1.4723999999999997</v>
      </c>
      <c r="Z152" s="22">
        <f t="shared" si="69"/>
        <v>0.86559188998049219</v>
      </c>
      <c r="AA152" s="19">
        <f t="shared" si="70"/>
        <v>1.964707575663913</v>
      </c>
      <c r="AB152" s="19">
        <f t="shared" si="74"/>
        <v>5.7039897357984568</v>
      </c>
      <c r="AC152" s="19">
        <f t="shared" si="75"/>
        <v>6.0931661547123416E-3</v>
      </c>
      <c r="AD152" s="19">
        <f t="shared" si="71"/>
        <v>0.61397111739497279</v>
      </c>
    </row>
    <row r="153" spans="1:30" ht="15" customHeight="1" x14ac:dyDescent="0.3">
      <c r="A153" t="s">
        <v>208</v>
      </c>
      <c r="D153" s="2">
        <v>45719.455555555556</v>
      </c>
      <c r="E153" s="2">
        <v>45720.689583333333</v>
      </c>
      <c r="F153" s="51"/>
      <c r="G153" s="31">
        <f>E153-'Pre-Summary'!$C$1</f>
        <v>294.1604166666657</v>
      </c>
      <c r="H153">
        <v>28934.5</v>
      </c>
      <c r="I153">
        <v>30194.1</v>
      </c>
      <c r="J153" s="107">
        <f t="shared" si="73"/>
        <v>1245.7443999999984</v>
      </c>
      <c r="K153" s="107">
        <f t="shared" ref="K153:K181" si="76">J153/((E153-D153)*1440-F153)</f>
        <v>0.7010379290946207</v>
      </c>
      <c r="L153" s="21">
        <v>5.6367000000000003</v>
      </c>
      <c r="M153" s="10">
        <v>5.4340000000000002</v>
      </c>
      <c r="N153" s="10">
        <v>5.4184000000000001</v>
      </c>
      <c r="O153" s="21">
        <v>93.081800000000001</v>
      </c>
      <c r="P153" s="10">
        <v>92.366299999999995</v>
      </c>
      <c r="Q153" s="10">
        <v>92.373400000000004</v>
      </c>
      <c r="R153" s="21">
        <v>1.2815000000000001</v>
      </c>
      <c r="S153" s="10">
        <v>2.1997</v>
      </c>
      <c r="T153" s="10">
        <v>2.2027999999999999</v>
      </c>
      <c r="U153" s="21">
        <f t="shared" si="65"/>
        <v>5.4963666666666668</v>
      </c>
      <c r="V153" s="10">
        <f t="shared" si="66"/>
        <v>0.12178227840426271</v>
      </c>
      <c r="W153" s="21">
        <f t="shared" si="72"/>
        <v>92.607166666666672</v>
      </c>
      <c r="X153" s="10">
        <f t="shared" si="67"/>
        <v>0.41105985371151743</v>
      </c>
      <c r="Y153" s="21">
        <f t="shared" si="68"/>
        <v>1.8946666666666667</v>
      </c>
      <c r="Z153" s="22">
        <f t="shared" si="69"/>
        <v>0.53102017224709286</v>
      </c>
      <c r="AA153" s="19">
        <f t="shared" si="70"/>
        <v>2.0774763628582527</v>
      </c>
      <c r="AB153" s="19">
        <f t="shared" si="74"/>
        <v>6.0313829889433146</v>
      </c>
      <c r="AC153" s="19">
        <f t="shared" si="75"/>
        <v>6.4428970591744565E-3</v>
      </c>
      <c r="AD153" s="19">
        <f t="shared" si="71"/>
        <v>0.64921136339320396</v>
      </c>
    </row>
    <row r="154" spans="1:30" ht="15" customHeight="1" x14ac:dyDescent="0.3">
      <c r="A154" t="s">
        <v>209</v>
      </c>
      <c r="D154" s="2">
        <v>45720.689583333333</v>
      </c>
      <c r="E154" s="2">
        <v>45721.458333333336</v>
      </c>
      <c r="F154" s="51"/>
      <c r="G154" s="31">
        <f>E154-'Pre-Summary'!$C$1</f>
        <v>294.92916666666861</v>
      </c>
      <c r="H154">
        <v>30194.1</v>
      </c>
      <c r="I154">
        <v>30984.400000000001</v>
      </c>
      <c r="J154" s="107">
        <f t="shared" si="73"/>
        <v>781.60670000000289</v>
      </c>
      <c r="K154" s="107">
        <f t="shared" si="76"/>
        <v>0.7060584462484587</v>
      </c>
      <c r="L154" s="21">
        <v>6.4368999999999996</v>
      </c>
      <c r="M154" s="10">
        <v>6.5021000000000004</v>
      </c>
      <c r="N154" s="10">
        <v>6.5242000000000004</v>
      </c>
      <c r="O154" s="21">
        <v>92.100999999999999</v>
      </c>
      <c r="P154" s="10">
        <v>92.951700000000002</v>
      </c>
      <c r="Q154" s="10">
        <v>93.317300000000003</v>
      </c>
      <c r="R154" s="21">
        <v>1.462</v>
      </c>
      <c r="S154" s="10">
        <v>0.54620000000000002</v>
      </c>
      <c r="T154" s="10">
        <v>0.1585</v>
      </c>
      <c r="U154" s="21">
        <f t="shared" si="65"/>
        <v>6.4877333333333338</v>
      </c>
      <c r="V154" s="10">
        <f t="shared" si="66"/>
        <v>4.5388581530307545E-2</v>
      </c>
      <c r="W154" s="21">
        <f t="shared" si="72"/>
        <v>92.79</v>
      </c>
      <c r="X154" s="10">
        <f t="shared" si="67"/>
        <v>0.62406457197953691</v>
      </c>
      <c r="Y154" s="21">
        <f t="shared" si="68"/>
        <v>0.72223333333333339</v>
      </c>
      <c r="Z154" s="22">
        <f t="shared" si="69"/>
        <v>0.66934211232622531</v>
      </c>
      <c r="AA154" s="19">
        <f t="shared" si="70"/>
        <v>2.0964852232766233</v>
      </c>
      <c r="AB154" s="19">
        <f t="shared" si="74"/>
        <v>6.0865700030611656</v>
      </c>
      <c r="AC154" s="19">
        <f t="shared" si="75"/>
        <v>6.5018494174671308E-3</v>
      </c>
      <c r="AD154" s="19">
        <f t="shared" si="71"/>
        <v>0.6551516322739448</v>
      </c>
    </row>
    <row r="155" spans="1:30" ht="15" customHeight="1" x14ac:dyDescent="0.3">
      <c r="A155" t="s">
        <v>210</v>
      </c>
      <c r="D155" s="2">
        <v>45721.458333333336</v>
      </c>
      <c r="E155" s="2">
        <v>45722.418055555558</v>
      </c>
      <c r="F155" s="51">
        <v>10</v>
      </c>
      <c r="G155" s="31">
        <f>E155-'Pre-Summary'!$C$1</f>
        <v>295.88888888889051</v>
      </c>
      <c r="H155">
        <v>30984.400000000001</v>
      </c>
      <c r="I155">
        <v>32056.6</v>
      </c>
      <c r="J155" s="107">
        <f t="shared" si="73"/>
        <v>1060.405799999997</v>
      </c>
      <c r="K155" s="107">
        <f t="shared" si="76"/>
        <v>0.77289052478160125</v>
      </c>
      <c r="L155" s="21">
        <v>7.0315000000000003</v>
      </c>
      <c r="M155" s="10">
        <v>7.101</v>
      </c>
      <c r="N155" s="10">
        <v>6.9012000000000002</v>
      </c>
      <c r="O155" s="21">
        <v>92.118899999999996</v>
      </c>
      <c r="P155" s="10">
        <v>92.196600000000004</v>
      </c>
      <c r="Q155" s="10">
        <v>92.779700000000005</v>
      </c>
      <c r="R155" s="21">
        <v>0.84960000000000002</v>
      </c>
      <c r="S155" s="10">
        <v>0.70240000000000002</v>
      </c>
      <c r="T155" s="10">
        <v>0.31909999999999999</v>
      </c>
      <c r="U155" s="21">
        <f t="shared" ref="U155:U170" si="77">AVERAGE(L155:N155)</f>
        <v>7.0112333333333332</v>
      </c>
      <c r="V155" s="10">
        <f t="shared" ref="V155:V170" si="78">STDEV(L155:N155)</f>
        <v>0.10143009086722397</v>
      </c>
      <c r="W155" s="21">
        <f t="shared" ref="W155:W170" si="79">AVERAGE(O155:Q155)</f>
        <v>92.365066666666664</v>
      </c>
      <c r="X155" s="10">
        <f t="shared" ref="X155:X170" si="80">STDEV(O155:Q155)</f>
        <v>0.36117852003314904</v>
      </c>
      <c r="Y155" s="21">
        <f t="shared" ref="Y155:Y170" si="81">AVERAGE(R155:T155)</f>
        <v>0.62370000000000003</v>
      </c>
      <c r="Z155" s="22">
        <f t="shared" ref="Z155:Z170" si="82">STDEV(R155:T155)</f>
        <v>0.27386644555330286</v>
      </c>
      <c r="AA155" s="19">
        <f t="shared" ref="AA155:AA170" si="83">(K155*W155/100*(1440/10^6)*(1000/$B$1))</f>
        <v>2.2844187151196023</v>
      </c>
      <c r="AB155" s="19">
        <f t="shared" si="74"/>
        <v>6.6321833664762666</v>
      </c>
      <c r="AC155" s="19">
        <f t="shared" si="75"/>
        <v>7.0846893301434958E-3</v>
      </c>
      <c r="AD155" s="19">
        <f t="shared" ref="AD155:AD170" si="84">K155*W155/100</f>
        <v>0.71388084847487576</v>
      </c>
    </row>
    <row r="156" spans="1:30" ht="15" customHeight="1" x14ac:dyDescent="0.3">
      <c r="A156" t="s">
        <v>211</v>
      </c>
      <c r="D156" s="2">
        <v>45722.418055555558</v>
      </c>
      <c r="E156" s="2">
        <v>45722.615277777775</v>
      </c>
      <c r="F156" s="51"/>
      <c r="G156" s="31">
        <f>E156-'Pre-Summary'!$C$1</f>
        <v>296.08611111110804</v>
      </c>
      <c r="H156">
        <v>32056.6</v>
      </c>
      <c r="I156">
        <v>32375.8</v>
      </c>
      <c r="J156" s="107">
        <f t="shared" si="73"/>
        <v>315.6888000000007</v>
      </c>
      <c r="K156" s="107">
        <f t="shared" si="76"/>
        <v>1.111580281716571</v>
      </c>
      <c r="L156" s="21">
        <v>10.724299999999999</v>
      </c>
      <c r="M156" s="10">
        <v>10.5398</v>
      </c>
      <c r="N156" s="10">
        <v>10.577400000000001</v>
      </c>
      <c r="O156" s="21">
        <v>87.317099999999996</v>
      </c>
      <c r="P156" s="10">
        <v>87.109800000000007</v>
      </c>
      <c r="Q156" s="10">
        <v>87.566699999999997</v>
      </c>
      <c r="R156" s="21">
        <v>1.9585999999999999</v>
      </c>
      <c r="S156" s="10">
        <v>2.3504</v>
      </c>
      <c r="T156" s="10">
        <v>1.8559000000000001</v>
      </c>
      <c r="U156" s="21">
        <f t="shared" si="77"/>
        <v>10.613833333333334</v>
      </c>
      <c r="V156" s="10">
        <f t="shared" si="78"/>
        <v>9.7496683704284409E-2</v>
      </c>
      <c r="W156" s="21">
        <f t="shared" si="79"/>
        <v>87.33120000000001</v>
      </c>
      <c r="X156" s="10">
        <f t="shared" si="80"/>
        <v>0.22877611326359634</v>
      </c>
      <c r="Y156" s="21">
        <f t="shared" si="81"/>
        <v>2.0549666666666666</v>
      </c>
      <c r="Z156" s="22">
        <f t="shared" si="82"/>
        <v>0.26095490670484472</v>
      </c>
      <c r="AA156" s="19">
        <f t="shared" si="83"/>
        <v>3.106420476756679</v>
      </c>
      <c r="AB156" s="19">
        <f t="shared" si="74"/>
        <v>9.0186400938097133</v>
      </c>
      <c r="AC156" s="19">
        <f t="shared" si="75"/>
        <v>9.633971154655448E-3</v>
      </c>
      <c r="AD156" s="19">
        <f t="shared" si="84"/>
        <v>0.97075639898646215</v>
      </c>
    </row>
    <row r="157" spans="1:30" ht="15" customHeight="1" x14ac:dyDescent="0.3">
      <c r="A157" t="s">
        <v>212</v>
      </c>
      <c r="D157" s="2">
        <v>45722.615277777775</v>
      </c>
      <c r="E157" s="2">
        <v>45723.42291666667</v>
      </c>
      <c r="F157" s="51"/>
      <c r="G157" s="31">
        <f>E157-'Pre-Summary'!$C$1</f>
        <v>296.89375000000291</v>
      </c>
      <c r="H157">
        <v>32375.8</v>
      </c>
      <c r="I157">
        <v>33240.199999999997</v>
      </c>
      <c r="J157" s="107">
        <f t="shared" si="73"/>
        <v>854.89159999999788</v>
      </c>
      <c r="K157" s="107">
        <f t="shared" si="76"/>
        <v>0.73507446259128584</v>
      </c>
      <c r="L157" s="21">
        <v>12.297499999999999</v>
      </c>
      <c r="M157" s="10">
        <v>12.204000000000001</v>
      </c>
      <c r="N157" s="10">
        <v>12.3828</v>
      </c>
      <c r="O157" s="21">
        <v>74.525700000000001</v>
      </c>
      <c r="P157" s="10">
        <v>74.003500000000003</v>
      </c>
      <c r="Q157" s="10">
        <v>74.5398</v>
      </c>
      <c r="R157" s="21">
        <v>13.1768</v>
      </c>
      <c r="S157" s="10">
        <v>13.7925</v>
      </c>
      <c r="T157" s="10">
        <v>13.077400000000001</v>
      </c>
      <c r="U157" s="21">
        <f t="shared" si="77"/>
        <v>12.294766666666666</v>
      </c>
      <c r="V157" s="10">
        <f t="shared" si="78"/>
        <v>8.9431333062485643E-2</v>
      </c>
      <c r="W157" s="21">
        <f t="shared" si="79"/>
        <v>74.356333333333339</v>
      </c>
      <c r="X157" s="10">
        <f t="shared" si="80"/>
        <v>0.30564394862868211</v>
      </c>
      <c r="Y157" s="21">
        <f t="shared" si="81"/>
        <v>13.3489</v>
      </c>
      <c r="Z157" s="22">
        <f t="shared" si="82"/>
        <v>0.38737037832028398</v>
      </c>
      <c r="AA157" s="19">
        <f t="shared" si="83"/>
        <v>1.7490381364882728</v>
      </c>
      <c r="AB157" s="19">
        <f t="shared" si="74"/>
        <v>5.0778526543207922</v>
      </c>
      <c r="AC157" s="19">
        <f t="shared" si="75"/>
        <v>5.4243084866969172E-3</v>
      </c>
      <c r="AD157" s="19">
        <f t="shared" si="84"/>
        <v>0.54657441765258519</v>
      </c>
    </row>
    <row r="158" spans="1:30" ht="15" customHeight="1" x14ac:dyDescent="0.3">
      <c r="A158" t="s">
        <v>213</v>
      </c>
      <c r="D158" s="2">
        <v>45723.42291666667</v>
      </c>
      <c r="E158" s="2">
        <v>45726.428472222222</v>
      </c>
      <c r="F158" s="51">
        <v>9</v>
      </c>
      <c r="G158" s="31">
        <f>E158-'Pre-Summary'!$C$1</f>
        <v>299.89930555555475</v>
      </c>
      <c r="H158">
        <v>33240.199999999997</v>
      </c>
      <c r="I158">
        <v>36130.199999999997</v>
      </c>
      <c r="J158" s="107">
        <f t="shared" si="73"/>
        <v>2858.21</v>
      </c>
      <c r="K158" s="107">
        <f t="shared" si="76"/>
        <v>0.66177587404573834</v>
      </c>
      <c r="L158" s="21">
        <v>5.4897999999999998</v>
      </c>
      <c r="M158" s="10">
        <v>5.4131</v>
      </c>
      <c r="N158" s="10">
        <v>5.4147999999999996</v>
      </c>
      <c r="O158" s="21">
        <v>87.433499999999995</v>
      </c>
      <c r="P158" s="10">
        <v>87.319500000000005</v>
      </c>
      <c r="Q158" s="10">
        <v>87.352599999999995</v>
      </c>
      <c r="R158" s="21">
        <v>7.0766999999999998</v>
      </c>
      <c r="S158" s="10">
        <v>7.2674000000000003</v>
      </c>
      <c r="T158" s="10">
        <v>7.2325999999999997</v>
      </c>
      <c r="U158" s="21">
        <f t="shared" si="77"/>
        <v>5.4392333333333331</v>
      </c>
      <c r="V158" s="10">
        <f t="shared" si="78"/>
        <v>4.3800266361442734E-2</v>
      </c>
      <c r="W158" s="21">
        <f t="shared" si="79"/>
        <v>87.368533333333332</v>
      </c>
      <c r="X158" s="10">
        <f t="shared" si="80"/>
        <v>5.8646426432757554E-2</v>
      </c>
      <c r="Y158" s="21">
        <f t="shared" si="81"/>
        <v>7.1922333333333341</v>
      </c>
      <c r="Z158" s="22">
        <f t="shared" si="82"/>
        <v>0.10155650315628915</v>
      </c>
      <c r="AA158" s="19">
        <f t="shared" si="83"/>
        <v>1.8501884003443487</v>
      </c>
      <c r="AB158" s="19">
        <f t="shared" si="74"/>
        <v>5.3715147106771415</v>
      </c>
      <c r="AC158" s="19">
        <f t="shared" si="75"/>
        <v>5.7380067550307163E-3</v>
      </c>
      <c r="AD158" s="19">
        <f t="shared" si="84"/>
        <v>0.57818387510760894</v>
      </c>
    </row>
    <row r="159" spans="1:30" ht="15" customHeight="1" x14ac:dyDescent="0.3">
      <c r="A159" t="s">
        <v>214</v>
      </c>
      <c r="D159" s="2">
        <v>45726.428472222222</v>
      </c>
      <c r="E159" s="2">
        <v>45727.538194444445</v>
      </c>
      <c r="F159" s="51"/>
      <c r="G159" s="31">
        <f>E159-'Pre-Summary'!$C$1</f>
        <v>301.0090277777781</v>
      </c>
      <c r="H159">
        <v>36130.199999999997</v>
      </c>
      <c r="I159">
        <v>37243.699999999997</v>
      </c>
      <c r="J159" s="107">
        <f t="shared" si="73"/>
        <v>1101.2515000000001</v>
      </c>
      <c r="K159" s="107">
        <f t="shared" si="76"/>
        <v>0.68914361702057381</v>
      </c>
      <c r="L159" s="21">
        <v>3.8788</v>
      </c>
      <c r="M159" s="10">
        <v>3.7479</v>
      </c>
      <c r="N159" s="10">
        <v>3.8167</v>
      </c>
      <c r="O159" s="21">
        <v>93.915199999999999</v>
      </c>
      <c r="P159" s="10">
        <v>91.797499999999999</v>
      </c>
      <c r="Q159" s="10">
        <v>93.178299999999993</v>
      </c>
      <c r="R159" s="21">
        <v>2.2061000000000002</v>
      </c>
      <c r="S159" s="10">
        <v>4.4546999999999999</v>
      </c>
      <c r="T159" s="10">
        <v>3.0049999999999999</v>
      </c>
      <c r="U159" s="21">
        <f t="shared" si="77"/>
        <v>3.8144666666666667</v>
      </c>
      <c r="V159" s="10">
        <f t="shared" si="78"/>
        <v>6.5478571558436838E-2</v>
      </c>
      <c r="W159" s="21">
        <f t="shared" si="79"/>
        <v>92.963666666666654</v>
      </c>
      <c r="X159" s="10">
        <f t="shared" si="80"/>
        <v>1.0750413588943131</v>
      </c>
      <c r="Y159" s="21">
        <f t="shared" si="81"/>
        <v>3.2219333333333338</v>
      </c>
      <c r="Z159" s="22">
        <f t="shared" si="82"/>
        <v>1.1398883907353969</v>
      </c>
      <c r="AA159" s="19">
        <f t="shared" si="83"/>
        <v>2.0500901599411714</v>
      </c>
      <c r="AB159" s="19">
        <f t="shared" si="74"/>
        <v>5.9518746578937245</v>
      </c>
      <c r="AC159" s="19">
        <f t="shared" si="75"/>
        <v>6.3579639694936402E-3</v>
      </c>
      <c r="AD159" s="19">
        <f t="shared" si="84"/>
        <v>0.640653174981616</v>
      </c>
    </row>
    <row r="160" spans="1:30" ht="15" customHeight="1" x14ac:dyDescent="0.3">
      <c r="A160" t="s">
        <v>215</v>
      </c>
      <c r="D160" s="2">
        <v>45727.538194444445</v>
      </c>
      <c r="E160" s="2">
        <v>45728.461805555555</v>
      </c>
      <c r="F160" s="51">
        <v>14</v>
      </c>
      <c r="G160" s="31">
        <f>E160-'Pre-Summary'!$C$1</f>
        <v>301.9326388888876</v>
      </c>
      <c r="H160">
        <v>37243.699999999997</v>
      </c>
      <c r="I160">
        <v>38125.699999999997</v>
      </c>
      <c r="J160" s="107">
        <f t="shared" si="73"/>
        <v>872.298</v>
      </c>
      <c r="K160" s="107">
        <f t="shared" si="76"/>
        <v>0.66284042553308764</v>
      </c>
      <c r="L160" s="21">
        <v>3.7284000000000002</v>
      </c>
      <c r="M160" s="10">
        <v>3.6955</v>
      </c>
      <c r="N160" s="10">
        <v>3.6938</v>
      </c>
      <c r="O160" s="21">
        <v>94.583600000000004</v>
      </c>
      <c r="P160" s="10">
        <v>94.373800000000003</v>
      </c>
      <c r="Q160" s="10">
        <v>94.16</v>
      </c>
      <c r="R160" s="21">
        <v>1.6880999999999999</v>
      </c>
      <c r="S160" s="10">
        <v>1.9308000000000001</v>
      </c>
      <c r="T160" s="10">
        <v>2.1461999999999999</v>
      </c>
      <c r="U160" s="21">
        <f t="shared" si="77"/>
        <v>3.7058999999999997</v>
      </c>
      <c r="V160" s="10">
        <f t="shared" si="78"/>
        <v>1.9504102132628504E-2</v>
      </c>
      <c r="W160" s="21">
        <f t="shared" si="79"/>
        <v>94.372466666666654</v>
      </c>
      <c r="X160" s="10">
        <f t="shared" si="80"/>
        <v>0.21180314760015945</v>
      </c>
      <c r="Y160" s="21">
        <f t="shared" si="81"/>
        <v>1.9217000000000002</v>
      </c>
      <c r="Z160" s="22">
        <f t="shared" si="82"/>
        <v>0.22918553619284091</v>
      </c>
      <c r="AA160" s="19">
        <f t="shared" si="83"/>
        <v>2.0017243508460947</v>
      </c>
      <c r="AB160" s="19">
        <f t="shared" si="74"/>
        <v>5.8114577927789837</v>
      </c>
      <c r="AC160" s="19">
        <f t="shared" si="75"/>
        <v>6.2079666290885075E-3</v>
      </c>
      <c r="AD160" s="19">
        <f t="shared" si="84"/>
        <v>0.62553885963940448</v>
      </c>
    </row>
    <row r="161" spans="1:30" ht="15" customHeight="1" x14ac:dyDescent="0.3">
      <c r="A161" t="s">
        <v>216</v>
      </c>
      <c r="D161" s="2">
        <v>45728.461805555555</v>
      </c>
      <c r="E161" s="2">
        <v>45729.417361111111</v>
      </c>
      <c r="F161" s="51">
        <v>9</v>
      </c>
      <c r="G161" s="31">
        <f>E161-'Pre-Summary'!$C$1</f>
        <v>302.8881944444438</v>
      </c>
      <c r="H161">
        <v>38125.699999999997</v>
      </c>
      <c r="I161">
        <v>39031.699999999997</v>
      </c>
      <c r="J161" s="107">
        <f t="shared" si="73"/>
        <v>896.03399999999999</v>
      </c>
      <c r="K161" s="107">
        <f t="shared" si="76"/>
        <v>0.65547476225266244</v>
      </c>
      <c r="L161" s="21">
        <v>3.9295</v>
      </c>
      <c r="M161" s="10">
        <v>3.8159999999999998</v>
      </c>
      <c r="N161" s="10">
        <v>3.7679999999999998</v>
      </c>
      <c r="O161" s="21">
        <v>94.697400000000002</v>
      </c>
      <c r="P161" s="10">
        <v>94.575900000000004</v>
      </c>
      <c r="Q161" s="10">
        <v>94.965900000000005</v>
      </c>
      <c r="R161" s="21">
        <v>1.3731</v>
      </c>
      <c r="S161" s="10">
        <v>1.6081000000000001</v>
      </c>
      <c r="T161" s="10">
        <v>1.2661</v>
      </c>
      <c r="U161" s="21">
        <f t="shared" si="77"/>
        <v>3.8378333333333337</v>
      </c>
      <c r="V161" s="10">
        <f t="shared" si="78"/>
        <v>8.2934210874242673E-2</v>
      </c>
      <c r="W161" s="21">
        <f t="shared" si="79"/>
        <v>94.746399999999994</v>
      </c>
      <c r="X161" s="10">
        <f t="shared" si="80"/>
        <v>0.1995638995409747</v>
      </c>
      <c r="Y161" s="21">
        <f t="shared" si="81"/>
        <v>1.4157666666666666</v>
      </c>
      <c r="Z161" s="22">
        <f t="shared" si="82"/>
        <v>0.17494665853720531</v>
      </c>
      <c r="AA161" s="19">
        <f t="shared" si="83"/>
        <v>1.9873239684574611</v>
      </c>
      <c r="AB161" s="19">
        <f t="shared" si="74"/>
        <v>5.7696502310055324</v>
      </c>
      <c r="AC161" s="19">
        <f t="shared" si="75"/>
        <v>6.1633065872216224E-3</v>
      </c>
      <c r="AD161" s="19">
        <f t="shared" si="84"/>
        <v>0.62103874014295657</v>
      </c>
    </row>
    <row r="162" spans="1:30" ht="15" customHeight="1" x14ac:dyDescent="0.3">
      <c r="A162" t="s">
        <v>217</v>
      </c>
      <c r="D162" s="2">
        <v>45729.417361111111</v>
      </c>
      <c r="E162" s="2">
        <v>45730.537499999999</v>
      </c>
      <c r="F162" s="51"/>
      <c r="G162" s="31">
        <f>E162-'Pre-Summary'!$C$1</f>
        <v>304.00833333333139</v>
      </c>
      <c r="H162">
        <v>39031.699999999997</v>
      </c>
      <c r="I162">
        <v>40314.800000000003</v>
      </c>
      <c r="J162" s="107">
        <f t="shared" si="73"/>
        <v>1268.9859000000058</v>
      </c>
      <c r="K162" s="107">
        <f t="shared" si="76"/>
        <v>0.78672405455763872</v>
      </c>
      <c r="L162" s="21">
        <v>4.7537000000000003</v>
      </c>
      <c r="M162" s="10">
        <v>4.7003000000000004</v>
      </c>
      <c r="N162" s="10">
        <v>4.7018000000000004</v>
      </c>
      <c r="O162" s="21">
        <v>94.678100000000001</v>
      </c>
      <c r="P162" s="10">
        <v>95.118700000000004</v>
      </c>
      <c r="Q162" s="10">
        <v>95.188000000000002</v>
      </c>
      <c r="R162" s="21">
        <v>0.56820000000000004</v>
      </c>
      <c r="S162" s="10">
        <v>0.18099999999999999</v>
      </c>
      <c r="T162" s="10">
        <v>0.11020000000000001</v>
      </c>
      <c r="U162" s="21">
        <f t="shared" si="77"/>
        <v>4.7186000000000003</v>
      </c>
      <c r="V162" s="10">
        <f t="shared" si="78"/>
        <v>3.0406742673295264E-2</v>
      </c>
      <c r="W162" s="21">
        <f t="shared" si="79"/>
        <v>94.994933333333336</v>
      </c>
      <c r="X162" s="10">
        <f t="shared" si="80"/>
        <v>0.27656489895381536</v>
      </c>
      <c r="Y162" s="21">
        <f t="shared" si="81"/>
        <v>0.2864666666666667</v>
      </c>
      <c r="Z162" s="22">
        <f t="shared" si="82"/>
        <v>0.24654292391657345</v>
      </c>
      <c r="AA162" s="19">
        <f t="shared" si="83"/>
        <v>2.391513571661843</v>
      </c>
      <c r="AB162" s="19">
        <f t="shared" si="74"/>
        <v>6.9431039177279317</v>
      </c>
      <c r="AC162" s="19">
        <f t="shared" si="75"/>
        <v>7.416823619902339E-3</v>
      </c>
      <c r="AD162" s="19">
        <f t="shared" si="84"/>
        <v>0.74734799114432593</v>
      </c>
    </row>
    <row r="163" spans="1:30" ht="15" customHeight="1" x14ac:dyDescent="0.3">
      <c r="A163" t="s">
        <v>218</v>
      </c>
      <c r="D163" s="2">
        <v>45730.537499999999</v>
      </c>
      <c r="E163" s="2">
        <v>45733.400694444441</v>
      </c>
      <c r="F163" s="51"/>
      <c r="G163" s="31">
        <f>E163-'Pre-Summary'!$C$1</f>
        <v>306.87152777777374</v>
      </c>
      <c r="H163">
        <v>40314.800000000003</v>
      </c>
      <c r="I163">
        <v>43651.9</v>
      </c>
      <c r="J163" s="107">
        <f t="shared" si="73"/>
        <v>3300.3918999999987</v>
      </c>
      <c r="K163" s="107">
        <f t="shared" si="76"/>
        <v>0.80048311908863001</v>
      </c>
      <c r="L163" s="21">
        <v>5.8326000000000002</v>
      </c>
      <c r="M163" s="10">
        <v>5.9737999999999998</v>
      </c>
      <c r="N163" s="10">
        <v>5.9423000000000004</v>
      </c>
      <c r="O163" s="21">
        <v>91.769400000000005</v>
      </c>
      <c r="P163" s="10">
        <v>92.855800000000002</v>
      </c>
      <c r="Q163" s="10">
        <v>92.822400000000002</v>
      </c>
      <c r="R163" s="21">
        <v>2.3980000000000001</v>
      </c>
      <c r="S163" s="10">
        <v>1.1702999999999999</v>
      </c>
      <c r="T163" s="10">
        <v>1.2353000000000001</v>
      </c>
      <c r="U163" s="21">
        <f t="shared" si="77"/>
        <v>5.9162333333333335</v>
      </c>
      <c r="V163" s="10">
        <f t="shared" si="78"/>
        <v>7.4121274498846215E-2</v>
      </c>
      <c r="W163" s="21">
        <f t="shared" si="79"/>
        <v>92.482533333333336</v>
      </c>
      <c r="X163" s="10">
        <f t="shared" si="80"/>
        <v>0.61781733006879269</v>
      </c>
      <c r="Y163" s="21">
        <f t="shared" si="81"/>
        <v>1.6011999999999997</v>
      </c>
      <c r="Z163" s="22">
        <f t="shared" si="82"/>
        <v>0.69081396193186584</v>
      </c>
      <c r="AA163" s="19">
        <f t="shared" si="83"/>
        <v>2.3689826158043159</v>
      </c>
      <c r="AB163" s="19">
        <f t="shared" si="74"/>
        <v>6.8776914652383372</v>
      </c>
      <c r="AC163" s="19">
        <f t="shared" si="75"/>
        <v>7.3469481537694155E-3</v>
      </c>
      <c r="AD163" s="19">
        <f t="shared" si="84"/>
        <v>0.74030706743884866</v>
      </c>
    </row>
    <row r="164" spans="1:30" ht="15" customHeight="1" x14ac:dyDescent="0.3">
      <c r="A164" t="s">
        <v>219</v>
      </c>
      <c r="D164" s="2">
        <v>45733.400694444441</v>
      </c>
      <c r="E164" s="2">
        <v>45734.40902777778</v>
      </c>
      <c r="F164" s="51">
        <v>9</v>
      </c>
      <c r="G164" s="31">
        <f>E164-'Pre-Summary'!$C$1</f>
        <v>307.8798611111124</v>
      </c>
      <c r="H164">
        <v>43651.9</v>
      </c>
      <c r="I164">
        <v>44881.599999999999</v>
      </c>
      <c r="J164" s="107">
        <f t="shared" si="73"/>
        <v>1216.1732999999972</v>
      </c>
      <c r="K164" s="107">
        <f t="shared" si="76"/>
        <v>0.84280893970445014</v>
      </c>
      <c r="L164" s="21">
        <v>6.1936</v>
      </c>
      <c r="M164" s="10">
        <v>5.8701999999999996</v>
      </c>
      <c r="N164" s="10">
        <v>6.0533000000000001</v>
      </c>
      <c r="O164" s="21">
        <v>93.633200000000002</v>
      </c>
      <c r="P164" s="10">
        <v>91.451099999999997</v>
      </c>
      <c r="Q164" s="10">
        <v>92.915099999999995</v>
      </c>
      <c r="R164" s="21">
        <v>0.17319999999999999</v>
      </c>
      <c r="S164" s="10">
        <v>2.6787000000000001</v>
      </c>
      <c r="T164" s="10">
        <v>1.0316000000000001</v>
      </c>
      <c r="U164" s="21">
        <f t="shared" si="77"/>
        <v>6.0390333333333333</v>
      </c>
      <c r="V164" s="10">
        <f t="shared" si="78"/>
        <v>0.16217133943250697</v>
      </c>
      <c r="W164" s="21">
        <f t="shared" si="79"/>
        <v>92.666466666666665</v>
      </c>
      <c r="X164" s="10">
        <f t="shared" si="80"/>
        <v>1.1120944219504647</v>
      </c>
      <c r="Y164" s="21">
        <f t="shared" si="81"/>
        <v>1.2945</v>
      </c>
      <c r="Z164" s="22">
        <f t="shared" si="82"/>
        <v>1.2732713261516575</v>
      </c>
      <c r="AA164" s="19">
        <f t="shared" si="83"/>
        <v>2.4992040485597156</v>
      </c>
      <c r="AB164" s="19">
        <f t="shared" si="74"/>
        <v>7.2557536893669159</v>
      </c>
      <c r="AC164" s="19">
        <f t="shared" si="75"/>
        <v>7.7508051126938104E-3</v>
      </c>
      <c r="AD164" s="19">
        <f t="shared" si="84"/>
        <v>0.78100126517491109</v>
      </c>
    </row>
    <row r="165" spans="1:30" ht="15" customHeight="1" x14ac:dyDescent="0.3">
      <c r="A165" s="33" t="s">
        <v>220</v>
      </c>
      <c r="B165" s="33"/>
      <c r="C165" s="33"/>
      <c r="D165" s="32">
        <v>45734.40902777778</v>
      </c>
      <c r="E165" s="32">
        <v>45735.452777777777</v>
      </c>
      <c r="F165" s="110"/>
      <c r="G165" s="31">
        <f>E165-'Pre-Summary'!$C$1</f>
        <v>308.92361111110949</v>
      </c>
      <c r="H165" s="33">
        <v>0</v>
      </c>
      <c r="I165" s="33">
        <v>1234.7</v>
      </c>
      <c r="J165" s="107">
        <f t="shared" si="73"/>
        <v>1221.1183000000001</v>
      </c>
      <c r="K165" s="107">
        <f t="shared" si="76"/>
        <v>0.81245395875143378</v>
      </c>
      <c r="L165" s="34">
        <v>6.1562000000000001</v>
      </c>
      <c r="M165" s="35">
        <v>6.3364000000000003</v>
      </c>
      <c r="N165" s="35">
        <v>6.2839</v>
      </c>
      <c r="O165" s="34">
        <v>93.843800000000002</v>
      </c>
      <c r="P165" s="35">
        <v>93.544300000000007</v>
      </c>
      <c r="Q165" s="35">
        <v>93.4101</v>
      </c>
      <c r="R165" s="34">
        <v>0</v>
      </c>
      <c r="S165" s="35">
        <v>0.1193</v>
      </c>
      <c r="T165" s="35">
        <v>0.30599999999999999</v>
      </c>
      <c r="U165" s="21">
        <f t="shared" si="77"/>
        <v>6.2588333333333326</v>
      </c>
      <c r="V165" s="10">
        <f t="shared" si="78"/>
        <v>9.2678278648954962E-2</v>
      </c>
      <c r="W165" s="21">
        <f t="shared" si="79"/>
        <v>93.599400000000003</v>
      </c>
      <c r="X165" s="10">
        <f t="shared" si="80"/>
        <v>0.22203812735654219</v>
      </c>
      <c r="Y165" s="21">
        <f t="shared" si="81"/>
        <v>0.14176666666666668</v>
      </c>
      <c r="Z165" s="22">
        <f t="shared" si="82"/>
        <v>0.15423217347017232</v>
      </c>
      <c r="AA165" s="19">
        <f t="shared" si="83"/>
        <v>2.4334464981362869</v>
      </c>
      <c r="AB165" s="19">
        <f t="shared" si="74"/>
        <v>7.064844672008574</v>
      </c>
      <c r="AC165" s="19">
        <f t="shared" si="75"/>
        <v>7.546870600698339E-3</v>
      </c>
      <c r="AD165" s="19">
        <f t="shared" si="84"/>
        <v>0.7604520306675896</v>
      </c>
    </row>
    <row r="166" spans="1:30" ht="15" customHeight="1" x14ac:dyDescent="0.3">
      <c r="A166" s="33" t="s">
        <v>221</v>
      </c>
      <c r="B166" s="33"/>
      <c r="C166" s="33"/>
      <c r="D166" s="32">
        <v>45735.452777777777</v>
      </c>
      <c r="E166" s="32">
        <v>45736.431944444441</v>
      </c>
      <c r="F166" s="110"/>
      <c r="G166" s="31">
        <f>E166-'Pre-Summary'!$C$1</f>
        <v>309.90277777777374</v>
      </c>
      <c r="H166" s="33">
        <v>1234.7</v>
      </c>
      <c r="I166" s="33">
        <v>2367.8000000000002</v>
      </c>
      <c r="J166" s="107">
        <f t="shared" si="73"/>
        <v>1120.6359000000002</v>
      </c>
      <c r="K166" s="107">
        <f t="shared" si="76"/>
        <v>0.79477723404452194</v>
      </c>
      <c r="L166" s="34">
        <v>5.7750000000000004</v>
      </c>
      <c r="M166" s="35">
        <v>5.6108000000000002</v>
      </c>
      <c r="N166" s="35">
        <v>5.7744</v>
      </c>
      <c r="O166" s="34">
        <v>94.056899999999999</v>
      </c>
      <c r="P166" s="35">
        <v>94.389200000000002</v>
      </c>
      <c r="Q166" s="35">
        <v>94.094800000000006</v>
      </c>
      <c r="R166" s="34">
        <v>0.16819999999999999</v>
      </c>
      <c r="S166" s="35">
        <v>0</v>
      </c>
      <c r="T166" s="35">
        <v>0.13089999999999999</v>
      </c>
      <c r="U166" s="21">
        <f t="shared" si="77"/>
        <v>5.7200666666666669</v>
      </c>
      <c r="V166" s="10">
        <f t="shared" si="78"/>
        <v>9.4628184666796428E-2</v>
      </c>
      <c r="W166" s="21">
        <f t="shared" si="79"/>
        <v>94.180300000000003</v>
      </c>
      <c r="X166" s="10">
        <f t="shared" si="80"/>
        <v>0.18190247386992872</v>
      </c>
      <c r="Y166" s="21">
        <f t="shared" si="81"/>
        <v>9.9699999999999997E-2</v>
      </c>
      <c r="Z166" s="22">
        <f t="shared" si="82"/>
        <v>8.8333968551175146E-2</v>
      </c>
      <c r="AA166" s="19">
        <f t="shared" si="83"/>
        <v>2.3952754667354657</v>
      </c>
      <c r="AB166" s="19">
        <f t="shared" si="74"/>
        <v>6.9540255485868352</v>
      </c>
      <c r="AC166" s="19">
        <f t="shared" si="75"/>
        <v>7.4284904206130906E-3</v>
      </c>
      <c r="AD166" s="19">
        <f t="shared" si="84"/>
        <v>0.74852358335483293</v>
      </c>
    </row>
    <row r="167" spans="1:30" ht="15" customHeight="1" x14ac:dyDescent="0.3">
      <c r="A167" s="33" t="s">
        <v>222</v>
      </c>
      <c r="B167" s="33"/>
      <c r="C167" s="33"/>
      <c r="D167" s="32">
        <v>45736.431944444441</v>
      </c>
      <c r="E167" s="32">
        <v>45737.503472222219</v>
      </c>
      <c r="F167" s="110">
        <v>21</v>
      </c>
      <c r="G167" s="31">
        <f>E167-'Pre-Summary'!$C$1</f>
        <v>310.97430555555184</v>
      </c>
      <c r="H167" s="33">
        <v>2367.8000000000002</v>
      </c>
      <c r="I167" s="33">
        <v>4253.7</v>
      </c>
      <c r="J167" s="107">
        <f t="shared" si="73"/>
        <v>1865.1550999999997</v>
      </c>
      <c r="K167" s="107">
        <f t="shared" si="76"/>
        <v>1.2254632720101373</v>
      </c>
      <c r="L167" s="34">
        <v>13.479900000000001</v>
      </c>
      <c r="M167" s="35">
        <v>13.2143</v>
      </c>
      <c r="N167" s="35">
        <v>13.448</v>
      </c>
      <c r="O167" s="34">
        <v>83.166799999999995</v>
      </c>
      <c r="P167" s="35">
        <v>83.327299999999994</v>
      </c>
      <c r="Q167" s="35">
        <v>83.063299999999998</v>
      </c>
      <c r="R167" s="34">
        <v>3.3532999999999999</v>
      </c>
      <c r="S167" s="35">
        <v>3.4584000000000001</v>
      </c>
      <c r="T167" s="35">
        <v>3.4887000000000001</v>
      </c>
      <c r="U167" s="21">
        <f t="shared" si="77"/>
        <v>13.380733333333334</v>
      </c>
      <c r="V167" s="10">
        <f t="shared" si="78"/>
        <v>0.14501532102965353</v>
      </c>
      <c r="W167" s="21">
        <f t="shared" si="79"/>
        <v>83.1858</v>
      </c>
      <c r="X167" s="10">
        <f t="shared" si="80"/>
        <v>0.13302161478496444</v>
      </c>
      <c r="Y167" s="21">
        <f t="shared" si="81"/>
        <v>3.4334666666666664</v>
      </c>
      <c r="Z167" s="22">
        <f t="shared" si="82"/>
        <v>7.1060138849662738E-2</v>
      </c>
      <c r="AA167" s="19">
        <f t="shared" si="83"/>
        <v>3.2621165648889887</v>
      </c>
      <c r="AB167" s="19">
        <f t="shared" si="74"/>
        <v>9.4706609948389975</v>
      </c>
      <c r="AC167" s="19">
        <f t="shared" si="75"/>
        <v>1.0116832902825943E-2</v>
      </c>
      <c r="AD167" s="19">
        <f t="shared" si="84"/>
        <v>1.0194114265278089</v>
      </c>
    </row>
    <row r="168" spans="1:30" ht="15" customHeight="1" x14ac:dyDescent="0.3">
      <c r="A168" s="33" t="s">
        <v>223</v>
      </c>
      <c r="B168" s="33"/>
      <c r="C168" s="33"/>
      <c r="D168" s="32">
        <v>45737.503472222219</v>
      </c>
      <c r="E168" s="32">
        <v>45740.443055555559</v>
      </c>
      <c r="F168" s="110">
        <v>11</v>
      </c>
      <c r="G168" s="31">
        <f>E168-'Pre-Summary'!$C$1</f>
        <v>313.91388888889196</v>
      </c>
      <c r="H168" s="33">
        <v>4253.7</v>
      </c>
      <c r="I168" s="33">
        <v>9134.7999999999993</v>
      </c>
      <c r="J168" s="107">
        <f t="shared" si="73"/>
        <v>4827.4078999999992</v>
      </c>
      <c r="K168" s="107">
        <f t="shared" si="76"/>
        <v>1.1433936286093838</v>
      </c>
      <c r="L168" s="34">
        <v>20.361599999999999</v>
      </c>
      <c r="M168" s="35">
        <v>21.966100000000001</v>
      </c>
      <c r="N168" s="35">
        <v>21.069700000000001</v>
      </c>
      <c r="O168" s="34">
        <v>75.813299999999998</v>
      </c>
      <c r="P168" s="35">
        <v>74.861500000000007</v>
      </c>
      <c r="Q168" s="35">
        <v>75.977000000000004</v>
      </c>
      <c r="R168" s="34">
        <v>3.8250999999999999</v>
      </c>
      <c r="S168" s="35">
        <v>3.1724999999999999</v>
      </c>
      <c r="T168" s="35">
        <v>2.9533999999999998</v>
      </c>
      <c r="U168" s="21">
        <f t="shared" si="77"/>
        <v>21.132466666666669</v>
      </c>
      <c r="V168" s="10">
        <f t="shared" si="78"/>
        <v>0.80408942496051683</v>
      </c>
      <c r="W168" s="21">
        <f t="shared" si="79"/>
        <v>75.550600000000003</v>
      </c>
      <c r="X168" s="10">
        <f t="shared" si="80"/>
        <v>0.6023649475193561</v>
      </c>
      <c r="Y168" s="21">
        <f t="shared" si="81"/>
        <v>3.3170000000000002</v>
      </c>
      <c r="Z168" s="22">
        <f t="shared" si="82"/>
        <v>0.45345938076083081</v>
      </c>
      <c r="AA168" s="19">
        <f t="shared" si="83"/>
        <v>2.7642903896837154</v>
      </c>
      <c r="AB168" s="19">
        <f t="shared" si="74"/>
        <v>8.02535919585595</v>
      </c>
      <c r="AC168" s="19">
        <f t="shared" si="75"/>
        <v>8.5729198853044253E-3</v>
      </c>
      <c r="AD168" s="19">
        <f t="shared" si="84"/>
        <v>0.86384074677616107</v>
      </c>
    </row>
    <row r="169" spans="1:30" ht="15" customHeight="1" x14ac:dyDescent="0.3">
      <c r="A169" s="33" t="s">
        <v>224</v>
      </c>
      <c r="B169" s="33"/>
      <c r="C169" s="33"/>
      <c r="D169" s="32">
        <v>45740.443055555559</v>
      </c>
      <c r="E169" s="32">
        <v>45741.418055555558</v>
      </c>
      <c r="F169" s="110"/>
      <c r="G169" s="31">
        <f>E169-'Pre-Summary'!$C$1</f>
        <v>314.88888888889051</v>
      </c>
      <c r="H169" s="33">
        <v>9134.7999999999993</v>
      </c>
      <c r="I169" s="33">
        <v>10704.3</v>
      </c>
      <c r="J169" s="107">
        <f t="shared" si="73"/>
        <v>1552.2355</v>
      </c>
      <c r="K169" s="107">
        <f t="shared" si="76"/>
        <v>1.1055808404574905</v>
      </c>
      <c r="L169" s="34">
        <v>19.640699999999999</v>
      </c>
      <c r="M169" s="35">
        <v>19.730499999999999</v>
      </c>
      <c r="N169" s="35">
        <v>19.647600000000001</v>
      </c>
      <c r="O169" s="34">
        <v>77.472499999999997</v>
      </c>
      <c r="P169" s="35">
        <v>77.048000000000002</v>
      </c>
      <c r="Q169" s="35">
        <v>76.872600000000006</v>
      </c>
      <c r="R169" s="34">
        <v>2.8868</v>
      </c>
      <c r="S169" s="35">
        <v>3.2214999999999998</v>
      </c>
      <c r="T169" s="35">
        <v>3.4798</v>
      </c>
      <c r="U169" s="21">
        <f t="shared" si="77"/>
        <v>19.672933333333333</v>
      </c>
      <c r="V169" s="10">
        <f t="shared" si="78"/>
        <v>4.9973426271702738E-2</v>
      </c>
      <c r="W169" s="21">
        <f t="shared" si="79"/>
        <v>77.131033333333335</v>
      </c>
      <c r="X169" s="10">
        <f t="shared" si="80"/>
        <v>0.30844919084564087</v>
      </c>
      <c r="Y169" s="21">
        <f t="shared" si="81"/>
        <v>3.1960333333333337</v>
      </c>
      <c r="Z169" s="22">
        <f t="shared" si="82"/>
        <v>0.29731912708961949</v>
      </c>
      <c r="AA169" s="19">
        <f t="shared" si="83"/>
        <v>2.7287869650566843</v>
      </c>
      <c r="AB169" s="19">
        <f t="shared" si="74"/>
        <v>7.922284737261343</v>
      </c>
      <c r="AC169" s="19">
        <f t="shared" si="75"/>
        <v>8.4628127792936454E-3</v>
      </c>
      <c r="AD169" s="19">
        <f t="shared" si="84"/>
        <v>0.85274592658021375</v>
      </c>
    </row>
    <row r="170" spans="1:30" ht="15" customHeight="1" x14ac:dyDescent="0.3">
      <c r="A170" s="33" t="s">
        <v>225</v>
      </c>
      <c r="B170" s="33"/>
      <c r="C170" s="33"/>
      <c r="D170" s="32">
        <v>45741.418055555558</v>
      </c>
      <c r="E170" s="32">
        <v>45742.420138888891</v>
      </c>
      <c r="F170" s="110">
        <v>14</v>
      </c>
      <c r="G170" s="31">
        <f>E170-'Pre-Summary'!$C$1</f>
        <v>315.89097222222335</v>
      </c>
      <c r="H170" s="33">
        <v>10704.3</v>
      </c>
      <c r="I170" s="33">
        <v>12211.4</v>
      </c>
      <c r="J170" s="107">
        <f t="shared" si="73"/>
        <v>1490.5219000000004</v>
      </c>
      <c r="K170" s="107">
        <f t="shared" si="76"/>
        <v>1.0430524142762274</v>
      </c>
      <c r="L170" s="34">
        <v>16.770099999999999</v>
      </c>
      <c r="M170" s="35">
        <v>16.619399999999999</v>
      </c>
      <c r="N170" s="35">
        <v>16.561299999999999</v>
      </c>
      <c r="O170" s="34">
        <v>80.127700000000004</v>
      </c>
      <c r="P170" s="35">
        <v>80.169799999999995</v>
      </c>
      <c r="Q170" s="35">
        <v>80.427499999999995</v>
      </c>
      <c r="R170" s="34">
        <v>3.1021999999999998</v>
      </c>
      <c r="S170" s="35">
        <v>3.2107000000000001</v>
      </c>
      <c r="T170" s="35">
        <v>3.0110999999999999</v>
      </c>
      <c r="U170" s="21">
        <f t="shared" si="77"/>
        <v>16.650266666666667</v>
      </c>
      <c r="V170" s="10">
        <f t="shared" si="78"/>
        <v>0.10776791421073972</v>
      </c>
      <c r="W170" s="21">
        <f t="shared" si="79"/>
        <v>80.241666666666674</v>
      </c>
      <c r="X170" s="10">
        <f t="shared" si="80"/>
        <v>0.16230718817517675</v>
      </c>
      <c r="Y170" s="21">
        <f t="shared" si="81"/>
        <v>3.1080000000000001</v>
      </c>
      <c r="Z170" s="22">
        <f t="shared" si="82"/>
        <v>9.9926322858394132E-2</v>
      </c>
      <c r="AA170" s="19">
        <f t="shared" si="83"/>
        <v>2.6782804525508785</v>
      </c>
      <c r="AB170" s="19">
        <f t="shared" si="74"/>
        <v>7.7756529267606158</v>
      </c>
      <c r="AC170" s="19">
        <f t="shared" si="75"/>
        <v>8.3061764551888035E-3</v>
      </c>
      <c r="AD170" s="19">
        <f t="shared" si="84"/>
        <v>0.8369626414221496</v>
      </c>
    </row>
    <row r="171" spans="1:30" ht="15" customHeight="1" x14ac:dyDescent="0.3">
      <c r="A171" s="33" t="s">
        <v>226</v>
      </c>
      <c r="B171" s="33"/>
      <c r="C171" s="33"/>
      <c r="D171" s="32">
        <v>45742.420138888891</v>
      </c>
      <c r="E171" s="32">
        <v>45743.43472222222</v>
      </c>
      <c r="F171" s="110">
        <v>10</v>
      </c>
      <c r="G171" s="31">
        <f>E171-'Pre-Summary'!$C$1</f>
        <v>316.90555555555329</v>
      </c>
      <c r="H171" s="33">
        <v>12211.4</v>
      </c>
      <c r="I171" s="33">
        <v>13749.7</v>
      </c>
      <c r="J171" s="107">
        <f t="shared" si="73"/>
        <v>1521.3787000000011</v>
      </c>
      <c r="K171" s="107">
        <f t="shared" si="76"/>
        <v>1.0485035837388887</v>
      </c>
      <c r="L171" s="34">
        <v>14.3818</v>
      </c>
      <c r="M171" s="35">
        <v>14.3995</v>
      </c>
      <c r="N171" s="35">
        <v>13.2356</v>
      </c>
      <c r="O171" s="34">
        <v>82.717600000000004</v>
      </c>
      <c r="P171" s="35">
        <v>82.930199999999999</v>
      </c>
      <c r="Q171" s="35">
        <v>81.921700000000001</v>
      </c>
      <c r="R171" s="34">
        <v>2.9005999999999998</v>
      </c>
      <c r="S171" s="35">
        <v>2.6703000000000001</v>
      </c>
      <c r="T171" s="35">
        <v>4.8426999999999998</v>
      </c>
      <c r="U171" s="21">
        <f>AVERAGE(L171:N171)</f>
        <v>14.005633333333334</v>
      </c>
      <c r="V171" s="10">
        <f>STDEV(L171:N171)</f>
        <v>0.66692714994467983</v>
      </c>
      <c r="W171" s="21">
        <f>AVERAGE(O171:Q171)</f>
        <v>82.523166666666668</v>
      </c>
      <c r="X171" s="10">
        <f>STDEV(O171:Q171)</f>
        <v>0.53162139096666639</v>
      </c>
      <c r="Y171" s="21">
        <f>AVERAGE(R171:T171)</f>
        <v>3.4711999999999996</v>
      </c>
      <c r="Z171" s="22">
        <f>STDEV(R171:T171)</f>
        <v>1.1933225506961653</v>
      </c>
      <c r="AA171" s="19">
        <f>(K171*W171/100*(1440/10^6)*(1000/$B$1))</f>
        <v>2.7688267517274121</v>
      </c>
      <c r="AB171" s="19">
        <f t="shared" si="74"/>
        <v>8.038529279208614</v>
      </c>
      <c r="AC171" s="19">
        <f t="shared" si="75"/>
        <v>8.5869885477418001E-3</v>
      </c>
      <c r="AD171" s="19">
        <f>K171*W171/100</f>
        <v>0.86525835991481614</v>
      </c>
    </row>
    <row r="172" spans="1:30" ht="15" customHeight="1" x14ac:dyDescent="0.3">
      <c r="A172" s="33" t="s">
        <v>227</v>
      </c>
      <c r="B172" s="33"/>
      <c r="C172" s="33"/>
      <c r="D172" s="32">
        <v>45743.43472222222</v>
      </c>
      <c r="E172" s="32">
        <v>45744.401388888888</v>
      </c>
      <c r="F172" s="110"/>
      <c r="G172" s="31">
        <f>E172-'Pre-Summary'!$C$1</f>
        <v>317.87222222222044</v>
      </c>
      <c r="H172" s="33">
        <v>13749.7</v>
      </c>
      <c r="I172" s="33">
        <v>15277.2</v>
      </c>
      <c r="J172" s="107">
        <f t="shared" si="73"/>
        <v>1510.6975</v>
      </c>
      <c r="K172" s="107">
        <f t="shared" si="76"/>
        <v>1.085271192528191</v>
      </c>
      <c r="L172" s="34">
        <v>13.732799999999999</v>
      </c>
      <c r="M172" s="35">
        <v>16.153300000000002</v>
      </c>
      <c r="N172" s="35">
        <v>15.8705</v>
      </c>
      <c r="O172" s="34">
        <v>80.881200000000007</v>
      </c>
      <c r="P172" s="35">
        <v>81.557599999999994</v>
      </c>
      <c r="Q172" s="35">
        <v>81.4435</v>
      </c>
      <c r="R172" s="34">
        <v>5.3804999999999996</v>
      </c>
      <c r="S172" s="35">
        <v>2.2892000000000001</v>
      </c>
      <c r="T172" s="35">
        <v>2.6859999999999999</v>
      </c>
      <c r="U172" s="21">
        <f>AVERAGE(L172:N172)</f>
        <v>15.2522</v>
      </c>
      <c r="V172" s="10">
        <f>STDEV(L172:N172)</f>
        <v>1.3234146100145647</v>
      </c>
      <c r="W172" s="21">
        <f>AVERAGE(O172:Q172)</f>
        <v>81.2941</v>
      </c>
      <c r="X172" s="10">
        <f>STDEV(O172:Q172)</f>
        <v>0.36210428056016614</v>
      </c>
      <c r="Y172" s="21">
        <f>AVERAGE(R172:T172)</f>
        <v>3.4518999999999997</v>
      </c>
      <c r="Z172" s="22">
        <f>STDEV(R172:T172)</f>
        <v>1.6819589858257551</v>
      </c>
      <c r="AA172" s="19">
        <f>(K172*W172/100*(1440/10^6)*(1000/$B$1))</f>
        <v>2.8232366352801925</v>
      </c>
      <c r="AB172" s="19">
        <f t="shared" si="74"/>
        <v>8.1964934572650758</v>
      </c>
      <c r="AC172" s="19">
        <f t="shared" si="75"/>
        <v>8.7557304333293357E-3</v>
      </c>
      <c r="AD172" s="19">
        <f>K172*W172/100</f>
        <v>0.88226144852506005</v>
      </c>
    </row>
    <row r="173" spans="1:30" ht="15" customHeight="1" x14ac:dyDescent="0.3">
      <c r="A173" s="33" t="s">
        <v>228</v>
      </c>
      <c r="B173" s="33"/>
      <c r="C173" s="33"/>
      <c r="D173" s="32">
        <v>45744.401388888888</v>
      </c>
      <c r="E173" s="32">
        <v>45747.394444444442</v>
      </c>
      <c r="F173" s="110"/>
      <c r="G173" s="31">
        <f>E173-'Pre-Summary'!$C$1</f>
        <v>320.86527777777519</v>
      </c>
      <c r="H173" s="33">
        <v>15277.2</v>
      </c>
      <c r="I173" s="33">
        <v>20089.5</v>
      </c>
      <c r="J173" s="107">
        <f t="shared" si="73"/>
        <v>4759.3646999999992</v>
      </c>
      <c r="K173" s="107">
        <f t="shared" si="76"/>
        <v>1.1042609512764001</v>
      </c>
      <c r="L173" s="34">
        <v>16.6327</v>
      </c>
      <c r="M173" s="35">
        <v>16.569900000000001</v>
      </c>
      <c r="N173" s="35">
        <v>16.7316</v>
      </c>
      <c r="O173" s="34">
        <v>80.473799999999997</v>
      </c>
      <c r="P173" s="35">
        <v>79.918499999999995</v>
      </c>
      <c r="Q173" s="35">
        <v>80.250200000000007</v>
      </c>
      <c r="R173" s="34">
        <v>2.8935</v>
      </c>
      <c r="S173" s="35">
        <v>3.5146999999999999</v>
      </c>
      <c r="T173" s="35">
        <v>3.0182000000000002</v>
      </c>
      <c r="U173" s="21">
        <f>AVERAGE(L173:N173)</f>
        <v>16.644733333333335</v>
      </c>
      <c r="V173" s="10">
        <f>STDEV(L173:N173)</f>
        <v>8.1518852625226026E-2</v>
      </c>
      <c r="W173" s="21">
        <f>AVERAGE(O173:Q173)</f>
        <v>80.214166666666657</v>
      </c>
      <c r="X173" s="10">
        <f>STDEV(O173:Q173)</f>
        <v>0.27939814482801145</v>
      </c>
      <c r="Y173" s="21">
        <f>AVERAGE(R173:T173)</f>
        <v>3.1421333333333337</v>
      </c>
      <c r="Z173" s="22">
        <f>STDEV(R173:T173)</f>
        <v>0.32862130687667424</v>
      </c>
      <c r="AA173" s="19">
        <f>(K173*W173/100*(1440/10^6)*(1000/$B$1))</f>
        <v>2.8344759036536646</v>
      </c>
      <c r="AB173" s="19">
        <f t="shared" si="74"/>
        <v>8.2291235912525771</v>
      </c>
      <c r="AC173" s="19">
        <f t="shared" si="75"/>
        <v>8.79058688245451E-3</v>
      </c>
      <c r="AD173" s="19">
        <f>K173*W173/100</f>
        <v>0.88577371989177023</v>
      </c>
    </row>
    <row r="174" spans="1:30" ht="15" customHeight="1" x14ac:dyDescent="0.3">
      <c r="A174" t="s">
        <v>229</v>
      </c>
      <c r="D174" s="2">
        <v>45747.394444444442</v>
      </c>
      <c r="E174" s="2">
        <v>45748.4</v>
      </c>
      <c r="F174" s="51">
        <v>13</v>
      </c>
      <c r="G174" s="31">
        <f>E174-'Pre-Summary'!$C$1</f>
        <v>321.8708333333343</v>
      </c>
      <c r="H174" s="33">
        <v>20089.5</v>
      </c>
      <c r="I174" s="33">
        <v>21626.2</v>
      </c>
      <c r="J174" s="107">
        <f t="shared" si="73"/>
        <v>1519.7963000000007</v>
      </c>
      <c r="K174" s="107">
        <f t="shared" si="76"/>
        <v>1.0590914982540598</v>
      </c>
      <c r="L174" s="34">
        <v>17.386800000000001</v>
      </c>
      <c r="M174" s="35">
        <v>16.5718</v>
      </c>
      <c r="N174" s="35">
        <v>16.227</v>
      </c>
      <c r="O174" s="34">
        <v>79.1357</v>
      </c>
      <c r="P174" s="35">
        <v>80.625399999999999</v>
      </c>
      <c r="Q174" s="35">
        <v>80.555599999999998</v>
      </c>
      <c r="R174" s="34">
        <v>3.4775</v>
      </c>
      <c r="S174" s="35">
        <v>2.8208000000000002</v>
      </c>
      <c r="T174" s="35">
        <v>3.2174</v>
      </c>
      <c r="U174" s="21">
        <f>AVERAGE(L174:N174)</f>
        <v>16.728533333333335</v>
      </c>
      <c r="V174" s="10">
        <f>STDEV(L174:N174)</f>
        <v>0.59557368421827861</v>
      </c>
      <c r="W174" s="21">
        <f>AVERAGE(O174:Q174)</f>
        <v>80.105566666666661</v>
      </c>
      <c r="X174" s="10">
        <f>STDEV(O174:Q174)</f>
        <v>0.84065392602029287</v>
      </c>
      <c r="Y174" s="21">
        <f>AVERAGE(R174:T174)</f>
        <v>3.1719000000000004</v>
      </c>
      <c r="Z174" s="22">
        <f>STDEV(R174:T174)</f>
        <v>0.33070592676878341</v>
      </c>
      <c r="AA174" s="19">
        <f>(K174*W174/100*(1440/10^6)*(1000/$B$1))</f>
        <v>2.7148519878236952</v>
      </c>
      <c r="AB174" s="19">
        <f t="shared" si="74"/>
        <v>7.8818283517462113</v>
      </c>
      <c r="AC174" s="19">
        <f>(K174/100*W174*(1440/10^6))/($D$1)</f>
        <v>8.4195961028302041E-3</v>
      </c>
      <c r="AD174" s="19">
        <f>K174*W174/100</f>
        <v>0.84839124619490458</v>
      </c>
    </row>
    <row r="175" spans="1:30" ht="15" customHeight="1" x14ac:dyDescent="0.3">
      <c r="A175" t="s">
        <v>230</v>
      </c>
      <c r="D175" s="2">
        <v>45748.4</v>
      </c>
      <c r="E175" s="2">
        <v>45749.418749999997</v>
      </c>
      <c r="F175" s="51"/>
      <c r="G175" s="31">
        <f>E175-'Pre-Summary'!$C$1</f>
        <v>322.88958333332994</v>
      </c>
      <c r="H175">
        <v>21626.2</v>
      </c>
      <c r="I175">
        <v>23266</v>
      </c>
      <c r="J175" s="107">
        <f t="shared" si="73"/>
        <v>1621.7621999999992</v>
      </c>
      <c r="K175" s="107">
        <f t="shared" si="76"/>
        <v>1.1054957055262091</v>
      </c>
      <c r="L175" s="21">
        <v>15.934799999999999</v>
      </c>
      <c r="M175" s="10">
        <v>15.812200000000001</v>
      </c>
      <c r="N175" s="10">
        <v>15.7737</v>
      </c>
      <c r="O175" s="21">
        <v>81.201499999999996</v>
      </c>
      <c r="P175" s="10">
        <v>81.022900000000007</v>
      </c>
      <c r="Q175" s="10">
        <v>81.0291</v>
      </c>
      <c r="R175" s="21">
        <v>2.8637000000000001</v>
      </c>
      <c r="S175" s="10">
        <v>3.1648999999999998</v>
      </c>
      <c r="T175" s="10">
        <v>3.1970999999999998</v>
      </c>
      <c r="U175" s="21">
        <f t="shared" ref="U175:U181" si="85">AVERAGE(L175:N175)</f>
        <v>15.840233333333332</v>
      </c>
      <c r="V175" s="10">
        <f t="shared" ref="V175:V181" si="86">STDEV(L175:N175)</f>
        <v>8.4129087320220272E-2</v>
      </c>
      <c r="W175" s="21">
        <f t="shared" ref="W175:W181" si="87">AVERAGE(O175:Q175)</f>
        <v>81.084500000000006</v>
      </c>
      <c r="X175" s="10">
        <f t="shared" ref="X175:X181" si="88">STDEV(O175:Q175)</f>
        <v>0.10137238282687791</v>
      </c>
      <c r="Y175" s="21">
        <f t="shared" ref="Y175:Y181" si="89">AVERAGE(R175:T175)</f>
        <v>3.0752333333333333</v>
      </c>
      <c r="Z175" s="22">
        <f t="shared" ref="Z175:Z181" si="90">STDEV(R175:T175)</f>
        <v>0.18389935653322248</v>
      </c>
      <c r="AA175" s="19">
        <f t="shared" ref="AA175:AA181" si="91">(K175*W175/100*(1440/10^6)*(1000/$B$1))</f>
        <v>2.8684341291116771</v>
      </c>
      <c r="AB175" s="19">
        <f t="shared" si="74"/>
        <v>8.3277119877435783</v>
      </c>
      <c r="AC175" s="19">
        <f t="shared" ref="AC175:AC181" si="92">(K175/100*W175*(1440/10^6))/($D$1)</f>
        <v>8.8959018476930021E-3</v>
      </c>
      <c r="AD175" s="19">
        <f t="shared" ref="AD175:AD181" si="93">K175*W175/100</f>
        <v>0.89638566534739905</v>
      </c>
    </row>
    <row r="176" spans="1:30" ht="15" customHeight="1" x14ac:dyDescent="0.3">
      <c r="A176" t="s">
        <v>231</v>
      </c>
      <c r="D176" s="2">
        <v>45749.418749999997</v>
      </c>
      <c r="E176" s="2">
        <v>45750.472222222219</v>
      </c>
      <c r="F176" s="51">
        <f>10+26</f>
        <v>36</v>
      </c>
      <c r="G176" s="31">
        <f>E176-'Pre-Summary'!$C$1</f>
        <v>323.94305555555184</v>
      </c>
      <c r="H176">
        <v>23266</v>
      </c>
      <c r="I176">
        <v>24872.6</v>
      </c>
      <c r="J176" s="107">
        <f t="shared" si="73"/>
        <v>1588.9273999999984</v>
      </c>
      <c r="K176" s="107">
        <f t="shared" si="76"/>
        <v>1.0728746792710993</v>
      </c>
      <c r="L176" s="21">
        <v>15.3565</v>
      </c>
      <c r="M176" s="10">
        <v>15.498200000000001</v>
      </c>
      <c r="N176" s="10">
        <v>15.021000000000001</v>
      </c>
      <c r="O176" s="21">
        <v>81.008499999999998</v>
      </c>
      <c r="P176" s="10">
        <v>81.178899999999999</v>
      </c>
      <c r="Q176" s="10">
        <v>80.882900000000006</v>
      </c>
      <c r="R176" s="21">
        <v>3.6351</v>
      </c>
      <c r="S176" s="10">
        <v>3.3229000000000002</v>
      </c>
      <c r="T176" s="10">
        <v>4.0960999999999999</v>
      </c>
      <c r="U176" s="21">
        <f t="shared" si="85"/>
        <v>15.2919</v>
      </c>
      <c r="V176" s="10">
        <f t="shared" si="86"/>
        <v>0.24507107132421801</v>
      </c>
      <c r="W176" s="21">
        <f t="shared" si="87"/>
        <v>81.02343333333333</v>
      </c>
      <c r="X176" s="10">
        <f t="shared" si="88"/>
        <v>0.14856397050877529</v>
      </c>
      <c r="Y176" s="21">
        <f t="shared" si="89"/>
        <v>3.6846999999999999</v>
      </c>
      <c r="Z176" s="22">
        <f t="shared" si="90"/>
        <v>0.38897902257062639</v>
      </c>
      <c r="AA176" s="19">
        <f t="shared" si="91"/>
        <v>2.7816956816301852</v>
      </c>
      <c r="AB176" s="19">
        <f t="shared" si="74"/>
        <v>8.0758906886037636</v>
      </c>
      <c r="AC176" s="19">
        <f t="shared" si="92"/>
        <v>8.6268990815546748E-3</v>
      </c>
      <c r="AD176" s="19">
        <f t="shared" si="93"/>
        <v>0.86927990050943293</v>
      </c>
    </row>
    <row r="177" spans="1:30" ht="15" customHeight="1" x14ac:dyDescent="0.3">
      <c r="A177" t="s">
        <v>232</v>
      </c>
      <c r="D177" s="2">
        <v>45750.472222222219</v>
      </c>
      <c r="E177" s="2">
        <v>45751.441666666666</v>
      </c>
      <c r="F177" s="51"/>
      <c r="G177" s="31">
        <f>E177-'Pre-Summary'!$C$1</f>
        <v>324.91249999999854</v>
      </c>
      <c r="H177">
        <v>24872.6</v>
      </c>
      <c r="I177">
        <v>26183.4</v>
      </c>
      <c r="J177" s="107">
        <f t="shared" si="73"/>
        <v>1296.3812000000028</v>
      </c>
      <c r="K177" s="107">
        <f t="shared" si="76"/>
        <v>0.92863982807806289</v>
      </c>
      <c r="L177" s="21">
        <v>16.015899999999998</v>
      </c>
      <c r="M177" s="10">
        <v>16.0428</v>
      </c>
      <c r="N177" s="10">
        <v>15.785399999999999</v>
      </c>
      <c r="O177" s="21">
        <v>81.192700000000002</v>
      </c>
      <c r="P177" s="10">
        <v>80.997</v>
      </c>
      <c r="Q177" s="10">
        <v>81.422799999999995</v>
      </c>
      <c r="R177" s="21">
        <v>2.7913999999999999</v>
      </c>
      <c r="S177" s="10">
        <v>2.9601999999999999</v>
      </c>
      <c r="T177" s="10">
        <v>2.7917999999999998</v>
      </c>
      <c r="U177" s="21">
        <f t="shared" si="85"/>
        <v>15.948033333333333</v>
      </c>
      <c r="V177" s="10">
        <f t="shared" si="86"/>
        <v>0.14148534670888477</v>
      </c>
      <c r="W177" s="21">
        <f t="shared" si="87"/>
        <v>81.204166666666666</v>
      </c>
      <c r="X177" s="10">
        <f t="shared" si="88"/>
        <v>0.21313146959877199</v>
      </c>
      <c r="Y177" s="21">
        <f t="shared" si="89"/>
        <v>2.8477999999999999</v>
      </c>
      <c r="Z177" s="22">
        <f t="shared" si="90"/>
        <v>9.7341460847883365E-2</v>
      </c>
      <c r="AA177" s="19">
        <f t="shared" si="91"/>
        <v>2.4131015479217823</v>
      </c>
      <c r="AB177" s="19">
        <f t="shared" si="74"/>
        <v>7.0057786875148524</v>
      </c>
      <c r="AC177" s="19">
        <f t="shared" si="92"/>
        <v>7.4837746145058719E-3</v>
      </c>
      <c r="AD177" s="19">
        <f t="shared" si="93"/>
        <v>0.75409423372555695</v>
      </c>
    </row>
    <row r="178" spans="1:30" ht="15" customHeight="1" x14ac:dyDescent="0.3">
      <c r="A178" t="s">
        <v>233</v>
      </c>
      <c r="D178" s="2">
        <v>45751.441666666666</v>
      </c>
      <c r="E178" s="2">
        <v>45754.406944444447</v>
      </c>
      <c r="F178" s="51"/>
      <c r="G178" s="31">
        <f>E178-'Pre-Summary'!$C$1</f>
        <v>327.87777777777956</v>
      </c>
      <c r="H178">
        <v>26183.4</v>
      </c>
      <c r="I178">
        <v>30786.3</v>
      </c>
      <c r="J178" s="107">
        <f t="shared" si="73"/>
        <v>4552.2680999999975</v>
      </c>
      <c r="K178" s="107">
        <f t="shared" si="76"/>
        <v>1.0661049414508275</v>
      </c>
      <c r="L178" s="21">
        <v>14.854900000000001</v>
      </c>
      <c r="M178" s="10">
        <v>14.8414</v>
      </c>
      <c r="N178" s="10">
        <v>14.687799999999999</v>
      </c>
      <c r="O178" s="21">
        <v>82.599599999999995</v>
      </c>
      <c r="P178" s="10">
        <v>82.678700000000006</v>
      </c>
      <c r="Q178" s="10">
        <v>82.654499999999999</v>
      </c>
      <c r="R178" s="21">
        <v>2.5455000000000001</v>
      </c>
      <c r="S178" s="10">
        <v>2.4799000000000002</v>
      </c>
      <c r="T178" s="10">
        <v>2.6577000000000002</v>
      </c>
      <c r="U178" s="21">
        <f t="shared" si="85"/>
        <v>14.794700000000001</v>
      </c>
      <c r="V178" s="10">
        <f t="shared" si="86"/>
        <v>9.2823865465730973E-2</v>
      </c>
      <c r="W178" s="21">
        <f t="shared" si="87"/>
        <v>82.644266666666667</v>
      </c>
      <c r="X178" s="10">
        <f t="shared" si="88"/>
        <v>4.053077020405299E-2</v>
      </c>
      <c r="Y178" s="21">
        <f t="shared" si="89"/>
        <v>2.5610333333333335</v>
      </c>
      <c r="Z178" s="22">
        <f t="shared" si="90"/>
        <v>8.9912031082237998E-2</v>
      </c>
      <c r="AA178" s="19">
        <f t="shared" si="91"/>
        <v>2.8194387544292239</v>
      </c>
      <c r="AB178" s="19">
        <f t="shared" si="74"/>
        <v>8.1854673515687129</v>
      </c>
      <c r="AC178" s="19">
        <f t="shared" si="92"/>
        <v>8.7439520295875296E-3</v>
      </c>
      <c r="AD178" s="19">
        <f t="shared" si="93"/>
        <v>0.8810746107591324</v>
      </c>
    </row>
    <row r="179" spans="1:30" ht="15" customHeight="1" x14ac:dyDescent="0.3">
      <c r="A179" t="s">
        <v>234</v>
      </c>
      <c r="D179" s="2">
        <v>45754.406944444447</v>
      </c>
      <c r="E179" s="2">
        <v>45755.383333333331</v>
      </c>
      <c r="F179" s="51">
        <v>12</v>
      </c>
      <c r="G179" s="31">
        <f>E179-'Pre-Summary'!$C$1</f>
        <v>328.85416666666424</v>
      </c>
      <c r="H179">
        <v>30786.3</v>
      </c>
      <c r="I179">
        <v>32311.4</v>
      </c>
      <c r="J179" s="107">
        <f t="shared" si="73"/>
        <v>1508.3239000000021</v>
      </c>
      <c r="K179" s="107">
        <f t="shared" si="76"/>
        <v>1.0820114060305253</v>
      </c>
      <c r="L179" s="21">
        <v>10.841699999999999</v>
      </c>
      <c r="M179" s="10">
        <v>11.0327</v>
      </c>
      <c r="N179" s="10">
        <v>10.747299999999999</v>
      </c>
      <c r="O179" s="21">
        <v>86.243099999999998</v>
      </c>
      <c r="P179" s="10">
        <v>86.0642</v>
      </c>
      <c r="Q179" s="10">
        <v>86.326599999999999</v>
      </c>
      <c r="R179" s="21">
        <v>2.9150999999999998</v>
      </c>
      <c r="S179" s="10">
        <v>2.9030999999999998</v>
      </c>
      <c r="T179" s="10">
        <v>2.9260999999999999</v>
      </c>
      <c r="U179" s="21">
        <f t="shared" si="85"/>
        <v>10.873900000000001</v>
      </c>
      <c r="V179" s="10">
        <f t="shared" si="86"/>
        <v>0.14539917468816715</v>
      </c>
      <c r="W179" s="21">
        <f t="shared" si="87"/>
        <v>86.211299999999994</v>
      </c>
      <c r="X179" s="10">
        <f t="shared" si="88"/>
        <v>0.13405920333941979</v>
      </c>
      <c r="Y179" s="21">
        <f t="shared" si="89"/>
        <v>2.9147666666666665</v>
      </c>
      <c r="Z179" s="22">
        <f t="shared" si="90"/>
        <v>1.1503622617824998E-2</v>
      </c>
      <c r="AA179" s="19">
        <f t="shared" si="91"/>
        <v>2.9850115177190215</v>
      </c>
      <c r="AB179" s="19">
        <f t="shared" si="74"/>
        <v>8.6661624707971594</v>
      </c>
      <c r="AC179" s="19">
        <f t="shared" si="92"/>
        <v>9.2574444036771855E-3</v>
      </c>
      <c r="AD179" s="19">
        <f t="shared" si="93"/>
        <v>0.93281609928719422</v>
      </c>
    </row>
    <row r="180" spans="1:30" ht="15" customHeight="1" x14ac:dyDescent="0.3">
      <c r="A180" t="s">
        <v>235</v>
      </c>
      <c r="D180" s="2">
        <v>45755.383333333331</v>
      </c>
      <c r="E180" s="2">
        <v>45756.390972222223</v>
      </c>
      <c r="F180" s="51"/>
      <c r="G180" s="31">
        <f>E180-'Pre-Summary'!$C$1</f>
        <v>329.8618055555562</v>
      </c>
      <c r="H180">
        <v>32311.4</v>
      </c>
      <c r="I180">
        <v>33907.9</v>
      </c>
      <c r="J180" s="107">
        <f t="shared" si="73"/>
        <v>1578.9385</v>
      </c>
      <c r="K180" s="107">
        <f t="shared" si="76"/>
        <v>1.0881726395556073</v>
      </c>
      <c r="L180" s="21">
        <v>15.660299999999999</v>
      </c>
      <c r="M180" s="10">
        <v>15.4055</v>
      </c>
      <c r="N180" s="10">
        <v>15.5093</v>
      </c>
      <c r="O180" s="21">
        <v>81.613100000000003</v>
      </c>
      <c r="P180" s="10">
        <v>81.689099999999996</v>
      </c>
      <c r="Q180" s="10">
        <v>81.927199999999999</v>
      </c>
      <c r="R180" s="21">
        <v>2.7267000000000001</v>
      </c>
      <c r="S180" s="10">
        <v>2.9055</v>
      </c>
      <c r="T180" s="10">
        <v>2.5634999999999999</v>
      </c>
      <c r="U180" s="21">
        <f t="shared" si="85"/>
        <v>15.525033333333333</v>
      </c>
      <c r="V180" s="10">
        <f t="shared" si="86"/>
        <v>0.12812655202311998</v>
      </c>
      <c r="W180" s="21">
        <f t="shared" si="87"/>
        <v>81.743133333333333</v>
      </c>
      <c r="X180" s="10">
        <f t="shared" si="88"/>
        <v>0.16387313182255656</v>
      </c>
      <c r="Y180" s="21">
        <f t="shared" si="89"/>
        <v>2.7319</v>
      </c>
      <c r="Z180" s="22">
        <f t="shared" si="90"/>
        <v>0.17105928796765177</v>
      </c>
      <c r="AA180" s="19">
        <f t="shared" si="91"/>
        <v>2.8464205172761372</v>
      </c>
      <c r="AB180" s="19">
        <f t="shared" si="74"/>
        <v>8.2638015017694304</v>
      </c>
      <c r="AC180" s="19">
        <f t="shared" si="92"/>
        <v>8.8276308254601078E-3</v>
      </c>
      <c r="AD180" s="19">
        <f t="shared" si="93"/>
        <v>0.88950641164879285</v>
      </c>
    </row>
    <row r="181" spans="1:30" ht="15" customHeight="1" x14ac:dyDescent="0.3">
      <c r="A181" t="s">
        <v>236</v>
      </c>
      <c r="D181" s="2">
        <v>45756.390972222223</v>
      </c>
      <c r="E181" s="2">
        <v>45757.467361111114</v>
      </c>
      <c r="F181" s="51">
        <v>12</v>
      </c>
      <c r="G181" s="31">
        <f>E181-'Pre-Summary'!$C$1</f>
        <v>330.93819444444671</v>
      </c>
      <c r="H181">
        <v>33907.9</v>
      </c>
      <c r="I181">
        <v>35518.400000000001</v>
      </c>
      <c r="J181" s="107">
        <f t="shared" si="73"/>
        <v>1592.7845</v>
      </c>
      <c r="K181" s="107">
        <f t="shared" si="76"/>
        <v>1.0356206111817872</v>
      </c>
      <c r="L181" s="21">
        <v>15.202</v>
      </c>
      <c r="M181" s="10">
        <v>15.08</v>
      </c>
      <c r="N181" s="10">
        <v>15.6373</v>
      </c>
      <c r="O181" s="21">
        <v>81.715500000000006</v>
      </c>
      <c r="P181" s="10">
        <v>81.7637</v>
      </c>
      <c r="Q181" s="10">
        <v>81.147000000000006</v>
      </c>
      <c r="R181" s="21">
        <v>3.0825</v>
      </c>
      <c r="S181" s="10">
        <v>3.1562999999999999</v>
      </c>
      <c r="T181" s="10">
        <v>3.2157</v>
      </c>
      <c r="U181" s="21">
        <f t="shared" si="85"/>
        <v>15.306433333333333</v>
      </c>
      <c r="V181" s="10">
        <f t="shared" si="86"/>
        <v>0.29296000295831043</v>
      </c>
      <c r="W181" s="21">
        <f t="shared" si="87"/>
        <v>81.542066666666656</v>
      </c>
      <c r="X181" s="10">
        <f t="shared" si="88"/>
        <v>0.34298551475730304</v>
      </c>
      <c r="Y181" s="21">
        <f t="shared" si="89"/>
        <v>3.1515</v>
      </c>
      <c r="Z181" s="22">
        <f t="shared" si="90"/>
        <v>6.672960362537754E-2</v>
      </c>
      <c r="AA181" s="19">
        <f t="shared" si="91"/>
        <v>2.7022926373875</v>
      </c>
      <c r="AB181" s="19">
        <f t="shared" si="74"/>
        <v>7.84536572144758</v>
      </c>
      <c r="AC181" s="19">
        <f t="shared" si="92"/>
        <v>8.380645670740006E-3</v>
      </c>
      <c r="AD181" s="19">
        <f t="shared" si="93"/>
        <v>0.84446644918359359</v>
      </c>
    </row>
    <row r="182" spans="1:30" ht="15" customHeight="1" x14ac:dyDescent="0.3">
      <c r="F182" s="51"/>
    </row>
    <row r="183" spans="1:30" ht="15" customHeight="1" x14ac:dyDescent="0.3">
      <c r="F183" s="51"/>
    </row>
    <row r="184" spans="1:30" ht="15" customHeight="1" x14ac:dyDescent="0.3">
      <c r="F184" s="51"/>
    </row>
    <row r="185" spans="1:30" ht="15" customHeight="1" x14ac:dyDescent="0.3">
      <c r="F185" s="5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98011-186C-4CDF-B9BD-3BF7E0E2E243}">
  <dimension ref="A1:AM3340"/>
  <sheetViews>
    <sheetView tabSelected="1" zoomScaleNormal="100" workbookViewId="0">
      <pane ySplit="2" topLeftCell="A48" activePane="bottomLeft" state="frozen"/>
      <selection pane="bottomLeft" activeCell="E56" sqref="E56"/>
    </sheetView>
  </sheetViews>
  <sheetFormatPr defaultRowHeight="15" customHeight="1" x14ac:dyDescent="0.3"/>
  <cols>
    <col min="1" max="1" width="19" customWidth="1"/>
    <col min="2" max="2" width="16.88671875" customWidth="1"/>
    <col min="3" max="3" width="24.6640625" customWidth="1"/>
    <col min="4" max="4" width="39.33203125" customWidth="1"/>
    <col min="5" max="5" width="11" customWidth="1"/>
    <col min="6" max="6" width="15.21875" customWidth="1"/>
    <col min="7" max="7" width="9.88671875" customWidth="1"/>
    <col min="8" max="8" width="11.6640625" customWidth="1"/>
    <col min="9" max="10" width="9.6640625" customWidth="1"/>
    <col min="11" max="11" width="12" customWidth="1"/>
    <col min="12" max="13" width="11.109375" customWidth="1"/>
    <col min="14" max="14" width="12.5546875" customWidth="1"/>
    <col min="15" max="15" width="12.88671875" customWidth="1"/>
    <col min="16" max="16" width="12.44140625" customWidth="1"/>
    <col min="17" max="17" width="10.33203125" customWidth="1"/>
    <col min="18" max="21" width="14.6640625" customWidth="1"/>
    <col min="23" max="23" width="10.5546875" customWidth="1"/>
    <col min="24" max="24" width="10.109375" customWidth="1"/>
    <col min="25" max="27" width="9.88671875" customWidth="1"/>
    <col min="28" max="28" width="14.6640625" customWidth="1"/>
    <col min="29" max="29" width="11.6640625" customWidth="1"/>
    <col min="30" max="30" width="11.88671875" customWidth="1"/>
    <col min="31" max="31" width="12.109375" customWidth="1"/>
    <col min="32" max="32" width="13.5546875" customWidth="1"/>
    <col min="33" max="33" width="12.6640625" customWidth="1"/>
    <col min="34" max="37" width="10.5546875" customWidth="1"/>
    <col min="38" max="38" width="9.88671875" customWidth="1"/>
    <col min="39" max="39" width="9.6640625" customWidth="1"/>
    <col min="43" max="43" width="10.33203125" bestFit="1" customWidth="1"/>
    <col min="45" max="45" width="13.109375" customWidth="1"/>
    <col min="46" max="47" width="10.33203125" bestFit="1" customWidth="1"/>
    <col min="48" max="54" width="10.33203125" customWidth="1"/>
    <col min="55" max="55" width="10.33203125" bestFit="1" customWidth="1"/>
    <col min="57" max="57" width="12.6640625" customWidth="1"/>
  </cols>
  <sheetData>
    <row r="1" spans="1:39" ht="15" customHeight="1" x14ac:dyDescent="0.4">
      <c r="A1" s="57" t="s">
        <v>237</v>
      </c>
      <c r="C1" s="57" t="s">
        <v>238</v>
      </c>
      <c r="D1" s="57" t="s">
        <v>239</v>
      </c>
      <c r="F1" s="57"/>
      <c r="G1" s="57"/>
      <c r="O1" s="57" t="s">
        <v>240</v>
      </c>
      <c r="R1" s="57" t="s">
        <v>241</v>
      </c>
      <c r="S1" s="57"/>
      <c r="T1" s="57"/>
      <c r="U1" s="57"/>
      <c r="AB1" s="57" t="s">
        <v>242</v>
      </c>
      <c r="AC1" s="57"/>
      <c r="AH1" s="57" t="s">
        <v>243</v>
      </c>
    </row>
    <row r="2" spans="1:39" s="3" customFormat="1" ht="86.4" x14ac:dyDescent="0.3">
      <c r="A2" s="40">
        <v>45426.529166666667</v>
      </c>
      <c r="B2" s="3" t="s">
        <v>244</v>
      </c>
      <c r="C2" s="3" t="s">
        <v>245</v>
      </c>
      <c r="D2" s="55" t="s">
        <v>246</v>
      </c>
      <c r="E2" s="55" t="s">
        <v>247</v>
      </c>
      <c r="F2" s="12" t="s">
        <v>758</v>
      </c>
      <c r="G2" s="12" t="s">
        <v>248</v>
      </c>
      <c r="H2" s="12" t="s">
        <v>249</v>
      </c>
      <c r="I2" s="12" t="s">
        <v>250</v>
      </c>
      <c r="J2" s="12" t="s">
        <v>251</v>
      </c>
      <c r="K2" s="12" t="s">
        <v>252</v>
      </c>
      <c r="L2" s="12" t="s">
        <v>253</v>
      </c>
      <c r="M2" s="134" t="s">
        <v>254</v>
      </c>
      <c r="N2" s="134" t="s">
        <v>255</v>
      </c>
      <c r="O2" s="55" t="s">
        <v>256</v>
      </c>
      <c r="P2" s="55" t="s">
        <v>257</v>
      </c>
      <c r="Q2" s="55" t="s">
        <v>258</v>
      </c>
      <c r="R2" s="12" t="s">
        <v>259</v>
      </c>
      <c r="S2" s="12" t="s">
        <v>260</v>
      </c>
      <c r="T2" s="12" t="s">
        <v>261</v>
      </c>
      <c r="U2" s="12" t="s">
        <v>262</v>
      </c>
      <c r="V2" s="12" t="s">
        <v>263</v>
      </c>
      <c r="W2" s="12" t="s">
        <v>264</v>
      </c>
      <c r="X2" s="12" t="s">
        <v>265</v>
      </c>
      <c r="Y2" s="12" t="s">
        <v>266</v>
      </c>
      <c r="Z2" s="134" t="s">
        <v>267</v>
      </c>
      <c r="AA2" s="134" t="s">
        <v>268</v>
      </c>
      <c r="AB2" s="55" t="s">
        <v>269</v>
      </c>
      <c r="AC2" s="55" t="s">
        <v>270</v>
      </c>
      <c r="AD2" s="55" t="s">
        <v>271</v>
      </c>
      <c r="AE2" s="55" t="s">
        <v>272</v>
      </c>
      <c r="AF2" s="55" t="s">
        <v>273</v>
      </c>
      <c r="AG2" s="55" t="s">
        <v>274</v>
      </c>
      <c r="AH2" s="6" t="s">
        <v>275</v>
      </c>
      <c r="AI2" s="6" t="s">
        <v>276</v>
      </c>
      <c r="AJ2" s="6" t="s">
        <v>277</v>
      </c>
      <c r="AK2" s="6" t="s">
        <v>278</v>
      </c>
      <c r="AL2" s="55" t="s">
        <v>279</v>
      </c>
      <c r="AM2" s="55" t="s">
        <v>280</v>
      </c>
    </row>
    <row r="3" spans="1:39" ht="14.4" x14ac:dyDescent="0.3">
      <c r="B3">
        <v>0</v>
      </c>
      <c r="C3" t="str">
        <f>IFERROR(VLOOKUP(B3,'Pre-Summary'!$DI$6:$DM$23,4,FALSE),"")</f>
        <v>10AB</v>
      </c>
      <c r="D3" s="10" t="str">
        <f>VLOOKUP(B3,'Pre-Summary'!$AT$6:$AX$14,5,FALSE)</f>
        <v>DSMZ v1: Using DSMZ 120 without NaHCO3</v>
      </c>
      <c r="E3" s="10">
        <f>IFERROR(VLOOKUP(B3,'Pre-Summary'!$AT$6:$AX$15,4,FALSE),"")</f>
        <v>1</v>
      </c>
      <c r="F3">
        <f>VLOOKUP(B3,'Pre-Summary'!$AL$6:$AQ$13,6,FALSE)</f>
        <v>5.9405263157894746E-2</v>
      </c>
      <c r="G3" t="str">
        <f>IFERROR(VLOOKUP(B3,'Pre-Summary'!$AE$6:$AJ$85,3,FALSE),"")</f>
        <v/>
      </c>
      <c r="H3" t="str">
        <f>IFERROR(VLOOKUP(B3,'Pre-Summary'!$AE$6:$AJ$85,4,FALSE),"")</f>
        <v/>
      </c>
      <c r="I3" t="str">
        <f>IFERROR(VLOOKUP(B3,'Pre-Summary'!$AE$6:$AJ$85,5,FALSE),"")</f>
        <v/>
      </c>
      <c r="J3" t="str">
        <f>IFERROR(VLOOKUP(B3,'Pre-Summary'!$AE$6:$AJ$85,6, FALSE),"")</f>
        <v/>
      </c>
      <c r="K3" s="45">
        <f>IFERROR(VLOOKUP(B3,'Pre-Summary'!$DE$6:$DG$61,3,FALSE),"")</f>
        <v>17545.426063635256</v>
      </c>
      <c r="L3" s="45" t="str">
        <f>IFERROR(VLOOKUP(B3,'Pre-Summary'!$CU$6:$CW$36,3,FALSE),"")</f>
        <v/>
      </c>
      <c r="M3" s="45" t="str">
        <f>IFERROR(VLOOKUP(B3,'Pre-Summary'!$BW$6:$BY$58,2,FALSE),"")</f>
        <v/>
      </c>
      <c r="N3" s="45" t="str">
        <f>IFERROR(VLOOKUP(B3,'Pre-Summary'!$CD$6:$CF$64,2,FALSE),"")</f>
        <v/>
      </c>
      <c r="O3" s="99">
        <f>VLOOKUP(B3,'Pre-Summary'!$BO$6:$BQ$48,3, FALSE)</f>
        <v>1.0915248032216731</v>
      </c>
      <c r="P3" s="99">
        <f>VLOOKUP(B3,'Pre-Summary'!$BS$6:$BU$35,3,FALSE)</f>
        <v>0.25</v>
      </c>
      <c r="Q3" s="54">
        <f t="shared" ref="Q3:Q66" si="0">O3/P3</f>
        <v>4.3660992128866924</v>
      </c>
      <c r="R3" s="53">
        <f>IFERROR(VLOOKUP(B3,'Pre-Summary'!$BG$6:$BM$44,7,FALSE),R4)</f>
        <v>2.7904161219319636E-2</v>
      </c>
      <c r="S3" s="53">
        <f>IFERROR(VLOOKUP(B3,'Pre-Summary'!$BG$6:$BM$44,6,FALSE),S4)</f>
        <v>3.3978715219895171E-2</v>
      </c>
      <c r="T3" s="45">
        <f>IFERROR(VLOOKUP(B3,'Pre-Summary'!$Y$6:$AC$83, 3,FALSE),"")</f>
        <v>2099.6799999999998</v>
      </c>
      <c r="U3" s="45">
        <f>IFERROR(VLOOKUP(B3,'Pre-Summary'!$Y$6:$AC$83, 4,FALSE),"")</f>
        <v>135.86666666666667</v>
      </c>
      <c r="V3">
        <f>IFERROR(VLOOKUP(B3,'Pre-Summary'!$Y$6:$AC$83, 5,FALSE),"")</f>
        <v>0</v>
      </c>
      <c r="W3" s="45">
        <f>IFERROR(VLOOKUP(B3,'Pre-Summary'!$Y$6:$AD$83,6,FALSE),"")</f>
        <v>2446.0606933333329</v>
      </c>
      <c r="X3" t="str">
        <f>IFERROR(VLOOKUP('Pre-Summary'!$DB$6:$DD$63,3,FALSE),"")</f>
        <v/>
      </c>
      <c r="Y3" t="str">
        <f>IFERROR(VLOOKUP(B3,'Pre-Summary'!$CR$6:$CT$36,3,FALSE),"")</f>
        <v/>
      </c>
      <c r="Z3" s="45">
        <f>IFERROR(VLOOKUP(B3,'Pre-Summary'!$BZ$6:$CB$63,2,FALSE),"")</f>
        <v>425.35815904548076</v>
      </c>
      <c r="AA3" s="45">
        <f>IFERROR(VLOOKUP(B3,'Pre-Summary'!$CG$6:$CI$70,2,FALSE),"")</f>
        <v>5629.6618098221961</v>
      </c>
      <c r="AB3" s="99">
        <f>IFERROR(VLOOKUP(B3,'Pre-Summary'!$A$6:$P$178,9,FALSE),AB4)</f>
        <v>1.027461111051305</v>
      </c>
      <c r="AC3" s="10">
        <f>IFERROR(VLOOKUP(Summary!B3,'Pre-Summary'!$A$6:$Q$192,5, FALSE),AC4)/100</f>
        <v>0</v>
      </c>
      <c r="AD3" s="10">
        <f>IFERROR(VLOOKUP(Summary!B3,'Pre-Summary'!$A$6:$P$184,3, FALSE)/100,AD4)</f>
        <v>0.87588533333333329</v>
      </c>
      <c r="AE3" s="10">
        <f>IFERROR(VLOOKUP(Summary!B3,'Pre-Summary'!$A$6:$P$184,7, FALSE)/100,AE4)</f>
        <v>0.12411466666666668</v>
      </c>
      <c r="AF3" s="99">
        <f t="shared" ref="AF3:AF66" si="1">AD3*AB3</f>
        <v>0.89993811774020926</v>
      </c>
      <c r="AG3" s="99">
        <f t="shared" ref="AG3:AG66" si="2">AB3*AE3</f>
        <v>0.12752299331109571</v>
      </c>
      <c r="AH3" s="10" t="str">
        <f>IFERROR(VLOOKUP(B3,'Pre-Summary'!$AZ$6:$BE$65,3,FALSE),"")</f>
        <v/>
      </c>
      <c r="AI3" s="10" t="str">
        <f>IFERROR(VLOOKUP(B3,'Pre-Summary'!$AZ$6:$BE$65,5,FALSE),"")</f>
        <v/>
      </c>
      <c r="AJ3" s="10" t="str">
        <f>IFERROR(VLOOKUP(B3,'Pre-Summary'!$AZ$6:$BE$65,4,FALSE),"")</f>
        <v/>
      </c>
      <c r="AK3" s="10" t="str">
        <f>IFERROR(VLOOKUP(B3,'Pre-Summary'!$AZ$6:$BE$65,6,FALSE),"")</f>
        <v/>
      </c>
      <c r="AL3" s="10" t="str">
        <f>IFERROR(VLOOKUP(B3,'Pre-Summary'!$BG$6:$BL$44,3,FALSE),"")</f>
        <v/>
      </c>
      <c r="AM3" s="10" t="str">
        <f>IFERROR(VLOOKUP(B3,'Pre-Summary'!$BG$6:$BL$44,4,FALSE),"")</f>
        <v/>
      </c>
    </row>
    <row r="4" spans="1:39" ht="14.4" x14ac:dyDescent="0.3">
      <c r="B4">
        <v>0.1</v>
      </c>
      <c r="C4" t="str">
        <f>IFERROR(VLOOKUP(B4,'Pre-Summary'!$DI$6:$DM$23,4,FALSE),"")</f>
        <v/>
      </c>
      <c r="D4" s="10" t="str">
        <f>IFERROR(VLOOKUP(B4,'Pre-Summary'!$AT$6:$AX$14,5,FALSE),D3)</f>
        <v>DSMZ v1: Using DSMZ 120 without NaHCO3</v>
      </c>
      <c r="E4" s="10" t="str">
        <f>IFERROR(VLOOKUP(B4,'Pre-Summary'!$AT$6:$AX$15,4,FALSE),"")</f>
        <v/>
      </c>
      <c r="F4">
        <f>IFERROR(VLOOKUP(B4,'Pre-Summary'!$AL$6:$AQ$13,6,FALSE),F3)</f>
        <v>5.9405263157894746E-2</v>
      </c>
      <c r="G4" t="str">
        <f>IFERROR(VLOOKUP(B4,'Pre-Summary'!$AE$6:$AJ$85,3,FALSE),"")</f>
        <v/>
      </c>
      <c r="H4" t="str">
        <f>IFERROR(VLOOKUP(B4,'Pre-Summary'!$AE$6:$AJ$85,4,FALSE),"")</f>
        <v/>
      </c>
      <c r="I4" t="str">
        <f>IFERROR(VLOOKUP(B4,'Pre-Summary'!$AE$6:$AJ$85,5,FALSE),"")</f>
        <v/>
      </c>
      <c r="J4" t="str">
        <f>IFERROR(VLOOKUP(B4,'Pre-Summary'!$AE$6:$AJ$85,6, FALSE),"")</f>
        <v/>
      </c>
      <c r="K4" s="45" t="str">
        <f>IFERROR(VLOOKUP(B4,'Pre-Summary'!$DE$6:$DG$61,3,FALSE),"")</f>
        <v/>
      </c>
      <c r="L4" s="45" t="str">
        <f>IFERROR(VLOOKUP(B4,'Pre-Summary'!$CU$6:$CW$36,3,FALSE),"")</f>
        <v/>
      </c>
      <c r="M4" s="45" t="str">
        <f>IFERROR(VLOOKUP(B4,'Pre-Summary'!$BW$6:$BY$58,2,FALSE),"")</f>
        <v/>
      </c>
      <c r="N4" s="45" t="str">
        <f>IFERROR(VLOOKUP(B4,'Pre-Summary'!$CD$6:$CF$64,2,FALSE),"")</f>
        <v/>
      </c>
      <c r="O4" s="99">
        <f>IFERROR(VLOOKUP(B4,'Pre-Summary'!$BO$6:$BQ$48,3, FALSE),O3)</f>
        <v>1.0915248032216731</v>
      </c>
      <c r="P4" s="99">
        <f>IFERROR(VLOOKUP(B4,'Pre-Summary'!$BS$6:$BU$35,3,FALSE),P3)</f>
        <v>0.25</v>
      </c>
      <c r="Q4" s="54">
        <f t="shared" si="0"/>
        <v>4.3660992128866924</v>
      </c>
      <c r="R4" s="53">
        <f>IFERROR(VLOOKUP(B4,'Pre-Summary'!$BG$6:$BM$44,7,FALSE),R5)</f>
        <v>2.7904161219319636E-2</v>
      </c>
      <c r="S4" s="53">
        <f>IFERROR(VLOOKUP(B4,'Pre-Summary'!$BG$6:$BM$44,6,FALSE),S5)</f>
        <v>3.3978715219895171E-2</v>
      </c>
      <c r="T4" s="45" t="str">
        <f>IFERROR(VLOOKUP(B4,'Pre-Summary'!$Y$6:$AC$83, 3,FALSE),"")</f>
        <v/>
      </c>
      <c r="U4" s="45" t="str">
        <f>IFERROR(VLOOKUP(B4,'Pre-Summary'!$Y$6:$AC$83, 4,FALSE),"")</f>
        <v/>
      </c>
      <c r="V4" t="str">
        <f>IFERROR(VLOOKUP(B4,'Pre-Summary'!$Y$6:$AC$83, 5,FALSE),"")</f>
        <v/>
      </c>
      <c r="W4" s="45" t="str">
        <f>IFERROR(VLOOKUP(B4,'Pre-Summary'!$Y$6:$AD$83,6,FALSE),"")</f>
        <v/>
      </c>
      <c r="X4" t="str">
        <f>IFERROR(VLOOKUP('Pre-Summary'!$DB$6:$DD$63,3,FALSE),"")</f>
        <v/>
      </c>
      <c r="Y4" t="str">
        <f>IFERROR(VLOOKUP(B4,'Pre-Summary'!$CR$6:$CT$36,3,FALSE),"")</f>
        <v/>
      </c>
      <c r="Z4" s="45" t="str">
        <f>IFERROR(VLOOKUP(B4,'Pre-Summary'!$BZ$6:$CB$63,2,FALSE),"")</f>
        <v/>
      </c>
      <c r="AA4" s="45" t="str">
        <f>IFERROR(VLOOKUP(B4,'Pre-Summary'!$CG$6:$CI$70,2,FALSE),"")</f>
        <v/>
      </c>
      <c r="AB4" s="99">
        <f>IFERROR(VLOOKUP(B4,'Pre-Summary'!$A$6:$P$178,9,FALSE),AB5)</f>
        <v>1.027461111051305</v>
      </c>
      <c r="AC4" s="10">
        <f>IFERROR(VLOOKUP(Summary!B4,'Pre-Summary'!$A$6:$P$184,5, FALSE)/100,AC5)</f>
        <v>0</v>
      </c>
      <c r="AD4" s="10">
        <f>IFERROR(VLOOKUP(Summary!B4,'Pre-Summary'!$A$6:$P$184,3, FALSE)/100,AD5)</f>
        <v>0.87588533333333329</v>
      </c>
      <c r="AE4" s="10">
        <f>IFERROR(VLOOKUP(Summary!B4,'Pre-Summary'!$A$6:$P$184,7, FALSE)/100,AE5)</f>
        <v>0.12411466666666668</v>
      </c>
      <c r="AF4" s="99">
        <f t="shared" si="1"/>
        <v>0.89993811774020926</v>
      </c>
      <c r="AG4" s="99">
        <f t="shared" si="2"/>
        <v>0.12752299331109571</v>
      </c>
      <c r="AH4" s="10" t="str">
        <f>IFERROR(VLOOKUP(B4,'Pre-Summary'!$AZ$6:$BE$65,3,FALSE),"")</f>
        <v/>
      </c>
      <c r="AI4" s="10" t="str">
        <f>IFERROR(VLOOKUP(B4,'Pre-Summary'!$AZ$6:$BE$65,5,FALSE),"")</f>
        <v/>
      </c>
      <c r="AJ4" s="10" t="str">
        <f>IFERROR(VLOOKUP(B4,'Pre-Summary'!$AZ$6:$BE$65,4,FALSE),"")</f>
        <v/>
      </c>
      <c r="AK4" s="10" t="str">
        <f>IFERROR(VLOOKUP(B4,'Pre-Summary'!$AZ$6:$BE$65,6,FALSE),"")</f>
        <v/>
      </c>
      <c r="AL4" s="10" t="str">
        <f>IFERROR(VLOOKUP(B4,'Pre-Summary'!$BG$6:$BL$44,3,FALSE),"")</f>
        <v/>
      </c>
      <c r="AM4" s="10" t="str">
        <f>IFERROR(VLOOKUP(B4,'Pre-Summary'!$BG$6:$BL$44,4,FALSE),"")</f>
        <v/>
      </c>
    </row>
    <row r="5" spans="1:39" ht="14.4" x14ac:dyDescent="0.3">
      <c r="B5">
        <v>0.2</v>
      </c>
      <c r="C5" t="str">
        <f>IFERROR(VLOOKUP(B5,'Pre-Summary'!$DI$6:$DM$23,4,FALSE),"")</f>
        <v/>
      </c>
      <c r="D5" s="10" t="str">
        <f>IFERROR(VLOOKUP(B5,'Pre-Summary'!$AT$6:$AX$14,5,FALSE),D4)</f>
        <v>DSMZ v1: Using DSMZ 120 without NaHCO3</v>
      </c>
      <c r="E5" s="10" t="str">
        <f>IFERROR(VLOOKUP(B5,'Pre-Summary'!$AT$6:$AX$15,4,FALSE),"")</f>
        <v/>
      </c>
      <c r="F5">
        <f>IFERROR(VLOOKUP(B5,'Pre-Summary'!$AL$6:$AQ$13,6,FALSE),F4)</f>
        <v>5.9405263157894746E-2</v>
      </c>
      <c r="G5" t="str">
        <f>IFERROR(VLOOKUP(B5,'Pre-Summary'!$AE$6:$AJ$85,3,FALSE),"")</f>
        <v/>
      </c>
      <c r="H5" t="str">
        <f>IFERROR(VLOOKUP(B5,'Pre-Summary'!$AE$6:$AJ$85,4,FALSE),"")</f>
        <v/>
      </c>
      <c r="I5" t="str">
        <f>IFERROR(VLOOKUP(B5,'Pre-Summary'!$AE$6:$AJ$85,5,FALSE),"")</f>
        <v/>
      </c>
      <c r="J5" t="str">
        <f>IFERROR(VLOOKUP(B5,'Pre-Summary'!$AE$6:$AJ$85,6, FALSE),"")</f>
        <v/>
      </c>
      <c r="K5" s="45" t="str">
        <f>IFERROR(VLOOKUP(B5,'Pre-Summary'!$DE$6:$DG$61,3,FALSE),"")</f>
        <v/>
      </c>
      <c r="L5" s="45" t="str">
        <f>IFERROR(VLOOKUP(B5,'Pre-Summary'!$CU$6:$CW$36,3,FALSE),"")</f>
        <v/>
      </c>
      <c r="M5" s="45" t="str">
        <f>IFERROR(VLOOKUP(B5,'Pre-Summary'!$BW$6:$BY$58,2,FALSE),"")</f>
        <v/>
      </c>
      <c r="N5" s="45" t="str">
        <f>IFERROR(VLOOKUP(B5,'Pre-Summary'!$CD$6:$CF$64,2,FALSE),"")</f>
        <v/>
      </c>
      <c r="O5" s="99">
        <f>IFERROR(VLOOKUP(B5,'Pre-Summary'!$BO$6:$BQ$48,3, FALSE),O4)</f>
        <v>1.0915248032216731</v>
      </c>
      <c r="P5" s="99">
        <f>IFERROR(VLOOKUP(B5,'Pre-Summary'!$BS$6:$BU$35,3,FALSE),P4)</f>
        <v>0.25</v>
      </c>
      <c r="Q5" s="54">
        <f t="shared" si="0"/>
        <v>4.3660992128866924</v>
      </c>
      <c r="R5" s="53">
        <f>IFERROR(VLOOKUP(B5,'Pre-Summary'!$BG$6:$BM$44,7,FALSE),R6)</f>
        <v>2.7904161219319636E-2</v>
      </c>
      <c r="S5" s="53">
        <f>IFERROR(VLOOKUP(B5,'Pre-Summary'!$BG$6:$BM$44,6,FALSE),S6)</f>
        <v>3.3978715219895171E-2</v>
      </c>
      <c r="T5" s="45" t="str">
        <f>IFERROR(VLOOKUP(B5,'Pre-Summary'!$Y$6:$AC$83, 3,FALSE),"")</f>
        <v/>
      </c>
      <c r="U5" s="45" t="str">
        <f>IFERROR(VLOOKUP(B5,'Pre-Summary'!$Y$6:$AC$83, 4,FALSE),"")</f>
        <v/>
      </c>
      <c r="V5" t="str">
        <f>IFERROR(VLOOKUP(B5,'Pre-Summary'!$Y$6:$AC$83, 5,FALSE),"")</f>
        <v/>
      </c>
      <c r="W5" s="45" t="str">
        <f>IFERROR(VLOOKUP(B5,'Pre-Summary'!$Y$6:$AD$83,6,FALSE),"")</f>
        <v/>
      </c>
      <c r="X5" t="str">
        <f>IFERROR(VLOOKUP('Pre-Summary'!$DB$6:$DD$63,3,FALSE),"")</f>
        <v/>
      </c>
      <c r="Y5" t="str">
        <f>IFERROR(VLOOKUP(B5,'Pre-Summary'!$CR$6:$CT$36,3,FALSE),"")</f>
        <v/>
      </c>
      <c r="Z5" s="45" t="str">
        <f>IFERROR(VLOOKUP(B5,'Pre-Summary'!$BZ$6:$CB$63,2,FALSE),"")</f>
        <v/>
      </c>
      <c r="AA5" s="45" t="str">
        <f>IFERROR(VLOOKUP(B5,'Pre-Summary'!$CG$6:$CI$70,2,FALSE),"")</f>
        <v/>
      </c>
      <c r="AB5" s="99">
        <f>IFERROR(VLOOKUP(B5,'Pre-Summary'!$A$6:$P$178,9,FALSE),AB6)</f>
        <v>0.16698912564236681</v>
      </c>
      <c r="AC5" s="10">
        <f>IFERROR(VLOOKUP(Summary!B5,'Pre-Summary'!$A$6:$P$184,5, FALSE)/100,AC6)</f>
        <v>0</v>
      </c>
      <c r="AD5" s="10">
        <f>IFERROR(VLOOKUP(Summary!B5,'Pre-Summary'!$A$6:$P$184,3, FALSE)/100,AD6)</f>
        <v>0.88245600000000013</v>
      </c>
      <c r="AE5" s="10">
        <f>IFERROR(VLOOKUP(Summary!B5,'Pre-Summary'!$A$6:$P$184,7, FALSE)/100,AE6)</f>
        <v>0.11754399999999998</v>
      </c>
      <c r="AF5" s="99">
        <f t="shared" si="1"/>
        <v>0.14736055585786048</v>
      </c>
      <c r="AG5" s="99">
        <f t="shared" si="2"/>
        <v>1.9628569784506361E-2</v>
      </c>
      <c r="AH5" s="10" t="str">
        <f>IFERROR(VLOOKUP(B5,'Pre-Summary'!$AZ$6:$BE$65,3,FALSE),"")</f>
        <v/>
      </c>
      <c r="AI5" s="10" t="str">
        <f>IFERROR(VLOOKUP(B5,'Pre-Summary'!$AZ$6:$BE$65,5,FALSE),"")</f>
        <v/>
      </c>
      <c r="AJ5" s="10" t="str">
        <f>IFERROR(VLOOKUP(B5,'Pre-Summary'!$AZ$6:$BE$65,4,FALSE),"")</f>
        <v/>
      </c>
      <c r="AK5" s="10" t="str">
        <f>IFERROR(VLOOKUP(B5,'Pre-Summary'!$AZ$6:$BE$65,6,FALSE),"")</f>
        <v/>
      </c>
      <c r="AL5" s="10" t="str">
        <f>IFERROR(VLOOKUP(B5,'Pre-Summary'!$BG$6:$BL$44,3,FALSE),"")</f>
        <v/>
      </c>
      <c r="AM5" s="10" t="str">
        <f>IFERROR(VLOOKUP(B5,'Pre-Summary'!$BG$6:$BL$44,4,FALSE),"")</f>
        <v/>
      </c>
    </row>
    <row r="6" spans="1:39" ht="14.4" x14ac:dyDescent="0.3">
      <c r="B6">
        <v>0.3</v>
      </c>
      <c r="C6" t="str">
        <f>IFERROR(VLOOKUP(B6,'Pre-Summary'!$DI$6:$DM$23,4,FALSE),"")</f>
        <v/>
      </c>
      <c r="D6" s="10" t="str">
        <f>IFERROR(VLOOKUP(B6,'Pre-Summary'!$AT$6:$AX$14,5,FALSE),D5)</f>
        <v>DSMZ v1: Using DSMZ 120 without NaHCO3</v>
      </c>
      <c r="E6" s="10" t="str">
        <f>IFERROR(VLOOKUP(B6,'Pre-Summary'!$AT$6:$AX$15,4,FALSE),"")</f>
        <v/>
      </c>
      <c r="F6">
        <f>IFERROR(VLOOKUP(B6,'Pre-Summary'!$AL$6:$AQ$13,6,FALSE),F5)</f>
        <v>5.9405263157894746E-2</v>
      </c>
      <c r="G6" t="str">
        <f>IFERROR(VLOOKUP(B6,'Pre-Summary'!$AE$6:$AJ$85,3,FALSE),"")</f>
        <v/>
      </c>
      <c r="H6" t="str">
        <f>IFERROR(VLOOKUP(B6,'Pre-Summary'!$AE$6:$AJ$85,4,FALSE),"")</f>
        <v/>
      </c>
      <c r="I6" t="str">
        <f>IFERROR(VLOOKUP(B6,'Pre-Summary'!$AE$6:$AJ$85,5,FALSE),"")</f>
        <v/>
      </c>
      <c r="J6" t="str">
        <f>IFERROR(VLOOKUP(B6,'Pre-Summary'!$AE$6:$AJ$85,6, FALSE),"")</f>
        <v/>
      </c>
      <c r="K6" s="45" t="str">
        <f>IFERROR(VLOOKUP(B6,'Pre-Summary'!$DE$6:$DG$61,3,FALSE),"")</f>
        <v/>
      </c>
      <c r="L6" s="45" t="str">
        <f>IFERROR(VLOOKUP(B6,'Pre-Summary'!$CU$6:$CW$36,3,FALSE),"")</f>
        <v/>
      </c>
      <c r="M6" s="45" t="str">
        <f>IFERROR(VLOOKUP(B6,'Pre-Summary'!$BW$6:$BY$58,2,FALSE),"")</f>
        <v/>
      </c>
      <c r="N6" s="45" t="str">
        <f>IFERROR(VLOOKUP(B6,'Pre-Summary'!$CD$6:$CF$64,2,FALSE),"")</f>
        <v/>
      </c>
      <c r="O6" s="99">
        <f>IFERROR(VLOOKUP(B6,'Pre-Summary'!$BO$6:$BQ$48,3, FALSE),O5)</f>
        <v>1.0915248032216731</v>
      </c>
      <c r="P6" s="99">
        <f>IFERROR(VLOOKUP(B6,'Pre-Summary'!$BS$6:$BU$35,3,FALSE),P5)</f>
        <v>0.25</v>
      </c>
      <c r="Q6" s="54">
        <f t="shared" si="0"/>
        <v>4.3660992128866924</v>
      </c>
      <c r="R6" s="53">
        <f>IFERROR(VLOOKUP(B6,'Pre-Summary'!$BG$6:$BM$44,7,FALSE),R7)</f>
        <v>2.7904161219319636E-2</v>
      </c>
      <c r="S6" s="53">
        <f>IFERROR(VLOOKUP(B6,'Pre-Summary'!$BG$6:$BM$44,6,FALSE),S7)</f>
        <v>3.3978715219895171E-2</v>
      </c>
      <c r="T6" s="45" t="str">
        <f>IFERROR(VLOOKUP(B6,'Pre-Summary'!$Y$6:$AC$83, 3,FALSE),"")</f>
        <v/>
      </c>
      <c r="U6" s="45" t="str">
        <f>IFERROR(VLOOKUP(B6,'Pre-Summary'!$Y$6:$AC$83, 4,FALSE),"")</f>
        <v/>
      </c>
      <c r="V6" t="str">
        <f>IFERROR(VLOOKUP(B6,'Pre-Summary'!$Y$6:$AC$83, 5,FALSE),"")</f>
        <v/>
      </c>
      <c r="W6" s="45" t="str">
        <f>IFERROR(VLOOKUP(B6,'Pre-Summary'!$Y$6:$AD$83,6,FALSE),"")</f>
        <v/>
      </c>
      <c r="X6" t="str">
        <f>IFERROR(VLOOKUP('Pre-Summary'!$DB$6:$DD$63,3,FALSE),"")</f>
        <v/>
      </c>
      <c r="Y6" t="str">
        <f>IFERROR(VLOOKUP(B6,'Pre-Summary'!$CR$6:$CT$36,3,FALSE),"")</f>
        <v/>
      </c>
      <c r="Z6" s="45" t="str">
        <f>IFERROR(VLOOKUP(B6,'Pre-Summary'!$BZ$6:$CB$63,2,FALSE),"")</f>
        <v/>
      </c>
      <c r="AA6" s="45" t="str">
        <f>IFERROR(VLOOKUP(B6,'Pre-Summary'!$CG$6:$CI$70,2,FALSE),"")</f>
        <v/>
      </c>
      <c r="AB6" s="99">
        <f>IFERROR(VLOOKUP(B6,'Pre-Summary'!$A$6:$P$178,9,FALSE),AB7)</f>
        <v>0.16698912564236681</v>
      </c>
      <c r="AC6" s="10">
        <f>IFERROR(VLOOKUP(Summary!B6,'Pre-Summary'!$A$6:$P$184,5, FALSE)/100,AC7)</f>
        <v>0</v>
      </c>
      <c r="AD6" s="10">
        <f>IFERROR(VLOOKUP(Summary!B6,'Pre-Summary'!$A$6:$P$184,3, FALSE)/100,AD7)</f>
        <v>0.88245600000000013</v>
      </c>
      <c r="AE6" s="10">
        <f>IFERROR(VLOOKUP(Summary!B6,'Pre-Summary'!$A$6:$P$184,7, FALSE)/100,AE7)</f>
        <v>0.11754399999999998</v>
      </c>
      <c r="AF6" s="99">
        <f t="shared" si="1"/>
        <v>0.14736055585786048</v>
      </c>
      <c r="AG6" s="99">
        <f t="shared" si="2"/>
        <v>1.9628569784506361E-2</v>
      </c>
      <c r="AH6" s="10" t="str">
        <f>IFERROR(VLOOKUP(B6,'Pre-Summary'!$AZ$6:$BE$65,3,FALSE),"")</f>
        <v/>
      </c>
      <c r="AI6" s="10" t="str">
        <f>IFERROR(VLOOKUP(B6,'Pre-Summary'!$AZ$6:$BE$65,5,FALSE),"")</f>
        <v/>
      </c>
      <c r="AJ6" s="10" t="str">
        <f>IFERROR(VLOOKUP(B6,'Pre-Summary'!$AZ$6:$BE$65,4,FALSE),"")</f>
        <v/>
      </c>
      <c r="AK6" s="10" t="str">
        <f>IFERROR(VLOOKUP(B6,'Pre-Summary'!$AZ$6:$BE$65,6,FALSE),"")</f>
        <v/>
      </c>
      <c r="AL6" s="10" t="str">
        <f>IFERROR(VLOOKUP(B6,'Pre-Summary'!$BG$6:$BL$44,3,FALSE),"")</f>
        <v/>
      </c>
      <c r="AM6" s="10" t="str">
        <f>IFERROR(VLOOKUP(B6,'Pre-Summary'!$BG$6:$BL$44,4,FALSE),"")</f>
        <v/>
      </c>
    </row>
    <row r="7" spans="1:39" ht="14.4" x14ac:dyDescent="0.3">
      <c r="B7">
        <v>0.4</v>
      </c>
      <c r="C7" t="str">
        <f>IFERROR(VLOOKUP(B7,'Pre-Summary'!$DI$6:$DM$23,4,FALSE),"")</f>
        <v/>
      </c>
      <c r="D7" s="10" t="str">
        <f>IFERROR(VLOOKUP(B7,'Pre-Summary'!$AT$6:$AX$14,5,FALSE),D6)</f>
        <v>DSMZ v1: Using DSMZ 120 without NaHCO3</v>
      </c>
      <c r="E7" s="10" t="str">
        <f>IFERROR(VLOOKUP(B7,'Pre-Summary'!$AT$6:$AX$15,4,FALSE),"")</f>
        <v/>
      </c>
      <c r="F7">
        <f>IFERROR(VLOOKUP(B7,'Pre-Summary'!$AL$6:$AQ$13,6,FALSE),F6)</f>
        <v>5.9405263157894746E-2</v>
      </c>
      <c r="G7" t="str">
        <f>IFERROR(VLOOKUP(B7,'Pre-Summary'!$AE$6:$AJ$85,3,FALSE),"")</f>
        <v/>
      </c>
      <c r="H7" t="str">
        <f>IFERROR(VLOOKUP(B7,'Pre-Summary'!$AE$6:$AJ$85,4,FALSE),"")</f>
        <v/>
      </c>
      <c r="I7" t="str">
        <f>IFERROR(VLOOKUP(B7,'Pre-Summary'!$AE$6:$AJ$85,5,FALSE),"")</f>
        <v/>
      </c>
      <c r="J7" t="str">
        <f>IFERROR(VLOOKUP(B7,'Pre-Summary'!$AE$6:$AJ$85,6, FALSE),"")</f>
        <v/>
      </c>
      <c r="K7" s="45" t="str">
        <f>IFERROR(VLOOKUP(B7,'Pre-Summary'!$DE$6:$DG$61,3,FALSE),"")</f>
        <v/>
      </c>
      <c r="L7" s="45" t="str">
        <f>IFERROR(VLOOKUP(B7,'Pre-Summary'!$CU$6:$CW$36,3,FALSE),"")</f>
        <v/>
      </c>
      <c r="M7" s="45" t="str">
        <f>IFERROR(VLOOKUP(B7,'Pre-Summary'!$BW$6:$BY$58,2,FALSE),"")</f>
        <v/>
      </c>
      <c r="N7" s="45" t="str">
        <f>IFERROR(VLOOKUP(B7,'Pre-Summary'!$CD$6:$CF$64,2,FALSE),"")</f>
        <v/>
      </c>
      <c r="O7" s="99">
        <f>IFERROR(VLOOKUP(B7,'Pre-Summary'!$BO$6:$BQ$48,3, FALSE),O6)</f>
        <v>1.0915248032216731</v>
      </c>
      <c r="P7" s="99">
        <f>IFERROR(VLOOKUP(B7,'Pre-Summary'!$BS$6:$BU$35,3,FALSE),P6)</f>
        <v>0.25</v>
      </c>
      <c r="Q7" s="54">
        <f t="shared" si="0"/>
        <v>4.3660992128866924</v>
      </c>
      <c r="R7" s="53">
        <f>IFERROR(VLOOKUP(B7,'Pre-Summary'!$BG$6:$BM$44,7,FALSE),R8)</f>
        <v>2.7904161219319636E-2</v>
      </c>
      <c r="S7" s="53">
        <f>IFERROR(VLOOKUP(B7,'Pre-Summary'!$BG$6:$BM$44,6,FALSE),S8)</f>
        <v>3.3978715219895171E-2</v>
      </c>
      <c r="T7" s="45" t="str">
        <f>IFERROR(VLOOKUP(B7,'Pre-Summary'!$Y$6:$AC$83, 3,FALSE),"")</f>
        <v/>
      </c>
      <c r="U7" s="45" t="str">
        <f>IFERROR(VLOOKUP(B7,'Pre-Summary'!$Y$6:$AC$83, 4,FALSE),"")</f>
        <v/>
      </c>
      <c r="V7" t="str">
        <f>IFERROR(VLOOKUP(B7,'Pre-Summary'!$Y$6:$AC$83, 5,FALSE),"")</f>
        <v/>
      </c>
      <c r="W7" s="45" t="str">
        <f>IFERROR(VLOOKUP(B7,'Pre-Summary'!$Y$6:$AD$83,6,FALSE),"")</f>
        <v/>
      </c>
      <c r="X7" t="str">
        <f>IFERROR(VLOOKUP('Pre-Summary'!$DB$6:$DD$63,3,FALSE),"")</f>
        <v/>
      </c>
      <c r="Y7" t="str">
        <f>IFERROR(VLOOKUP(B7,'Pre-Summary'!$CR$6:$CT$36,3,FALSE),"")</f>
        <v/>
      </c>
      <c r="Z7" s="45" t="str">
        <f>IFERROR(VLOOKUP(B7,'Pre-Summary'!$BZ$6:$CB$63,2,FALSE),"")</f>
        <v/>
      </c>
      <c r="AA7" s="45" t="str">
        <f>IFERROR(VLOOKUP(B7,'Pre-Summary'!$CG$6:$CI$70,2,FALSE),"")</f>
        <v/>
      </c>
      <c r="AB7" s="99">
        <f>IFERROR(VLOOKUP(B7,'Pre-Summary'!$A$6:$P$178,9,FALSE),AB8)</f>
        <v>0.16698912564236681</v>
      </c>
      <c r="AC7" s="10">
        <f>IFERROR(VLOOKUP(Summary!B7,'Pre-Summary'!$A$6:$P$184,5, FALSE)/100,AC8)</f>
        <v>0</v>
      </c>
      <c r="AD7" s="10">
        <f>IFERROR(VLOOKUP(Summary!B7,'Pre-Summary'!$A$6:$P$184,3, FALSE)/100,AD8)</f>
        <v>0.88245600000000013</v>
      </c>
      <c r="AE7" s="10">
        <f>IFERROR(VLOOKUP(Summary!B7,'Pre-Summary'!$A$6:$P$184,7, FALSE)/100,AE8)</f>
        <v>0.11754399999999998</v>
      </c>
      <c r="AF7" s="99">
        <f t="shared" si="1"/>
        <v>0.14736055585786048</v>
      </c>
      <c r="AG7" s="99">
        <f t="shared" si="2"/>
        <v>1.9628569784506361E-2</v>
      </c>
      <c r="AH7" s="10" t="str">
        <f>IFERROR(VLOOKUP(B7,'Pre-Summary'!$AZ$6:$BE$65,3,FALSE),"")</f>
        <v/>
      </c>
      <c r="AI7" s="10" t="str">
        <f>IFERROR(VLOOKUP(B7,'Pre-Summary'!$AZ$6:$BE$65,5,FALSE),"")</f>
        <v/>
      </c>
      <c r="AJ7" s="10" t="str">
        <f>IFERROR(VLOOKUP(B7,'Pre-Summary'!$AZ$6:$BE$65,4,FALSE),"")</f>
        <v/>
      </c>
      <c r="AK7" s="10" t="str">
        <f>IFERROR(VLOOKUP(B7,'Pre-Summary'!$AZ$6:$BE$65,6,FALSE),"")</f>
        <v/>
      </c>
      <c r="AL7" s="10" t="str">
        <f>IFERROR(VLOOKUP(B7,'Pre-Summary'!$BG$6:$BL$44,3,FALSE),"")</f>
        <v/>
      </c>
      <c r="AM7" s="10" t="str">
        <f>IFERROR(VLOOKUP(B7,'Pre-Summary'!$BG$6:$BL$44,4,FALSE),"")</f>
        <v/>
      </c>
    </row>
    <row r="8" spans="1:39" ht="14.4" x14ac:dyDescent="0.3">
      <c r="B8">
        <v>0.5</v>
      </c>
      <c r="C8" t="str">
        <f>IFERROR(VLOOKUP(B8,'Pre-Summary'!$DI$6:$DM$23,4,FALSE),"")</f>
        <v/>
      </c>
      <c r="D8" s="10" t="str">
        <f>IFERROR(VLOOKUP(B8,'Pre-Summary'!$AT$6:$AX$14,5,FALSE),D7)</f>
        <v>DSMZ v1: Using DSMZ 120 without NaHCO3</v>
      </c>
      <c r="E8" s="10" t="str">
        <f>IFERROR(VLOOKUP(B8,'Pre-Summary'!$AT$6:$AX$15,4,FALSE),"")</f>
        <v/>
      </c>
      <c r="F8">
        <f>IFERROR(VLOOKUP(B8,'Pre-Summary'!$AL$6:$AQ$13,6,FALSE),F7)</f>
        <v>5.9405263157894746E-2</v>
      </c>
      <c r="G8" s="45">
        <f>IFERROR(VLOOKUP(B8,'Pre-Summary'!$AE$6:$AJ$85,3,FALSE),"")</f>
        <v>2091.6200000000003</v>
      </c>
      <c r="H8" s="45">
        <f>IFERROR(VLOOKUP(B8,'Pre-Summary'!$AE$6:$AJ$85,4,FALSE),"")</f>
        <v>164.33333333333334</v>
      </c>
      <c r="I8">
        <f>IFERROR(VLOOKUP(B8,'Pre-Summary'!$AE$6:$AJ$85,5,FALSE),"")</f>
        <v>0</v>
      </c>
      <c r="J8" s="45">
        <f>IFERROR(VLOOKUP(B8,'Pre-Summary'!$AE$6:$AJ$85,6, FALSE),"")</f>
        <v>2480.5592066666668</v>
      </c>
      <c r="K8" s="45" t="str">
        <f>IFERROR(VLOOKUP(B8,'Pre-Summary'!$DE$6:$DG$61,3,FALSE),"")</f>
        <v/>
      </c>
      <c r="L8" s="45" t="str">
        <f>IFERROR(VLOOKUP(B8,'Pre-Summary'!$CU$6:$CW$36,3,FALSE),"")</f>
        <v/>
      </c>
      <c r="M8" s="45" t="str">
        <f>IFERROR(VLOOKUP(B8,'Pre-Summary'!$BW$6:$BY$58,2,FALSE),"")</f>
        <v/>
      </c>
      <c r="N8" s="45" t="str">
        <f>IFERROR(VLOOKUP(B8,'Pre-Summary'!$CD$6:$CF$64,2,FALSE),"")</f>
        <v/>
      </c>
      <c r="O8" s="99">
        <f>IFERROR(VLOOKUP(B8,'Pre-Summary'!$BO$6:$BQ$48,3, FALSE),O7)</f>
        <v>1.0915248032216731</v>
      </c>
      <c r="P8" s="99">
        <f>IFERROR(VLOOKUP(B8,'Pre-Summary'!$BS$6:$BU$35,3,FALSE),P7)</f>
        <v>0.25</v>
      </c>
      <c r="Q8" s="54">
        <f t="shared" si="0"/>
        <v>4.3660992128866924</v>
      </c>
      <c r="R8" s="53">
        <f>IFERROR(VLOOKUP(B8,'Pre-Summary'!$BG$6:$BM$44,7,FALSE),R9)</f>
        <v>2.7904161219319636E-2</v>
      </c>
      <c r="S8" s="53">
        <f>IFERROR(VLOOKUP(B8,'Pre-Summary'!$BG$6:$BM$44,6,FALSE),S9)</f>
        <v>3.3978715219895171E-2</v>
      </c>
      <c r="T8" s="45" t="str">
        <f>IFERROR(VLOOKUP(B8,'Pre-Summary'!$Y$6:$AC$83, 3,FALSE),"")</f>
        <v/>
      </c>
      <c r="U8" s="45" t="str">
        <f>IFERROR(VLOOKUP(B8,'Pre-Summary'!$Y$6:$AC$83, 4,FALSE),"")</f>
        <v/>
      </c>
      <c r="V8" t="str">
        <f>IFERROR(VLOOKUP(B8,'Pre-Summary'!$Y$6:$AC$83, 5,FALSE),"")</f>
        <v/>
      </c>
      <c r="W8" s="45" t="str">
        <f>IFERROR(VLOOKUP(B8,'Pre-Summary'!$Y$6:$AD$83,6,FALSE),"")</f>
        <v/>
      </c>
      <c r="X8" t="str">
        <f>IFERROR(VLOOKUP('Pre-Summary'!$DB$6:$DD$63,3,FALSE),"")</f>
        <v/>
      </c>
      <c r="Y8" t="str">
        <f>IFERROR(VLOOKUP(B8,'Pre-Summary'!$CR$6:$CT$36,3,FALSE),"")</f>
        <v/>
      </c>
      <c r="Z8" s="45" t="str">
        <f>IFERROR(VLOOKUP(B8,'Pre-Summary'!$BZ$6:$CB$63,2,FALSE),"")</f>
        <v/>
      </c>
      <c r="AA8" s="45" t="str">
        <f>IFERROR(VLOOKUP(B8,'Pre-Summary'!$CG$6:$CI$70,2,FALSE),"")</f>
        <v/>
      </c>
      <c r="AB8" s="99">
        <f>IFERROR(VLOOKUP(B8,'Pre-Summary'!$A$6:$P$178,9,FALSE),AB9)</f>
        <v>0.16698912564236681</v>
      </c>
      <c r="AC8" s="10">
        <f>IFERROR(VLOOKUP(Summary!B8,'Pre-Summary'!$A$6:$P$184,5, FALSE)/100,AC9)</f>
        <v>0</v>
      </c>
      <c r="AD8" s="10">
        <f>IFERROR(VLOOKUP(Summary!B8,'Pre-Summary'!$A$6:$P$184,3, FALSE)/100,AD9)</f>
        <v>0.88245600000000013</v>
      </c>
      <c r="AE8" s="10">
        <f>IFERROR(VLOOKUP(Summary!B8,'Pre-Summary'!$A$6:$P$184,7, FALSE)/100,AE9)</f>
        <v>0.11754399999999998</v>
      </c>
      <c r="AF8" s="99">
        <f t="shared" si="1"/>
        <v>0.14736055585786048</v>
      </c>
      <c r="AG8" s="99">
        <f t="shared" si="2"/>
        <v>1.9628569784506361E-2</v>
      </c>
      <c r="AH8" s="10" t="str">
        <f>IFERROR(VLOOKUP(B8,'Pre-Summary'!$AZ$6:$BE$65,3,FALSE),"")</f>
        <v/>
      </c>
      <c r="AI8" s="10" t="str">
        <f>IFERROR(VLOOKUP(B8,'Pre-Summary'!$AZ$6:$BE$65,5,FALSE),"")</f>
        <v/>
      </c>
      <c r="AJ8" s="10" t="str">
        <f>IFERROR(VLOOKUP(B8,'Pre-Summary'!$AZ$6:$BE$65,4,FALSE),"")</f>
        <v/>
      </c>
      <c r="AK8" s="10" t="str">
        <f>IFERROR(VLOOKUP(B8,'Pre-Summary'!$AZ$6:$BE$65,6,FALSE),"")</f>
        <v/>
      </c>
      <c r="AL8" s="10" t="str">
        <f>IFERROR(VLOOKUP(B8,'Pre-Summary'!$BG$6:$BL$44,3,FALSE),"")</f>
        <v/>
      </c>
      <c r="AM8" s="10" t="str">
        <f>IFERROR(VLOOKUP(B8,'Pre-Summary'!$BG$6:$BL$44,4,FALSE),"")</f>
        <v/>
      </c>
    </row>
    <row r="9" spans="1:39" ht="14.4" x14ac:dyDescent="0.3">
      <c r="B9">
        <v>0.6</v>
      </c>
      <c r="C9" t="str">
        <f>IFERROR(VLOOKUP(B9,'Pre-Summary'!$DI$6:$DM$23,4,FALSE),"")</f>
        <v/>
      </c>
      <c r="D9" s="10" t="str">
        <f>IFERROR(VLOOKUP(B9,'Pre-Summary'!$AT$6:$AX$14,5,FALSE),D8)</f>
        <v>DSMZ v1: Using DSMZ 120 without NaHCO3</v>
      </c>
      <c r="E9" s="10" t="str">
        <f>IFERROR(VLOOKUP(B9,'Pre-Summary'!$AT$6:$AX$15,4,FALSE),"")</f>
        <v/>
      </c>
      <c r="F9">
        <f>IFERROR(VLOOKUP(B9,'Pre-Summary'!$AL$6:$AQ$13,6,FALSE),F8)</f>
        <v>5.9405263157894746E-2</v>
      </c>
      <c r="G9" t="str">
        <f>IFERROR(VLOOKUP(B9,'Pre-Summary'!$AE$6:$AJ$85,3,FALSE),"")</f>
        <v/>
      </c>
      <c r="H9" t="str">
        <f>IFERROR(VLOOKUP(B9,'Pre-Summary'!$AE$6:$AJ$85,4,FALSE),"")</f>
        <v/>
      </c>
      <c r="I9" t="str">
        <f>IFERROR(VLOOKUP(B9,'Pre-Summary'!$AE$6:$AJ$85,5,FALSE),"")</f>
        <v/>
      </c>
      <c r="J9" s="45" t="str">
        <f>IFERROR(VLOOKUP(B9,'Pre-Summary'!$AE$6:$AJ$85,6, FALSE),"")</f>
        <v/>
      </c>
      <c r="K9" s="45" t="str">
        <f>IFERROR(VLOOKUP(B9,'Pre-Summary'!$DE$6:$DG$61,3,FALSE),"")</f>
        <v/>
      </c>
      <c r="L9" s="45" t="str">
        <f>IFERROR(VLOOKUP(B9,'Pre-Summary'!$CU$6:$CW$36,3,FALSE),"")</f>
        <v/>
      </c>
      <c r="M9" s="45" t="str">
        <f>IFERROR(VLOOKUP(B9,'Pre-Summary'!$BW$6:$BY$58,2,FALSE),"")</f>
        <v/>
      </c>
      <c r="N9" s="45" t="str">
        <f>IFERROR(VLOOKUP(B9,'Pre-Summary'!$CD$6:$CF$64,2,FALSE),"")</f>
        <v/>
      </c>
      <c r="O9" s="99">
        <f>IFERROR(VLOOKUP(B9,'Pre-Summary'!$BO$6:$BQ$48,3, FALSE),O8)</f>
        <v>1.0915248032216731</v>
      </c>
      <c r="P9" s="99">
        <f>IFERROR(VLOOKUP(B9,'Pre-Summary'!$BS$6:$BU$35,3,FALSE),P8)</f>
        <v>0.25</v>
      </c>
      <c r="Q9" s="54">
        <f t="shared" si="0"/>
        <v>4.3660992128866924</v>
      </c>
      <c r="R9" s="53">
        <f>IFERROR(VLOOKUP(B9,'Pre-Summary'!$BG$6:$BM$44,7,FALSE),R10)</f>
        <v>2.7904161219319636E-2</v>
      </c>
      <c r="S9" s="53">
        <f>IFERROR(VLOOKUP(B9,'Pre-Summary'!$BG$6:$BM$44,6,FALSE),S10)</f>
        <v>3.3978715219895171E-2</v>
      </c>
      <c r="T9" s="45" t="str">
        <f>IFERROR(VLOOKUP(B9,'Pre-Summary'!$Y$6:$AC$83, 3,FALSE),"")</f>
        <v/>
      </c>
      <c r="U9" s="45" t="str">
        <f>IFERROR(VLOOKUP(B9,'Pre-Summary'!$Y$6:$AC$83, 4,FALSE),"")</f>
        <v/>
      </c>
      <c r="V9" t="str">
        <f>IFERROR(VLOOKUP(B9,'Pre-Summary'!$Y$6:$AC$83, 5,FALSE),"")</f>
        <v/>
      </c>
      <c r="W9" s="45" t="str">
        <f>IFERROR(VLOOKUP(B9,'Pre-Summary'!$Y$6:$AD$83,6,FALSE),"")</f>
        <v/>
      </c>
      <c r="X9" t="str">
        <f>IFERROR(VLOOKUP('Pre-Summary'!$DB$6:$DD$63,3,FALSE),"")</f>
        <v/>
      </c>
      <c r="Y9" t="str">
        <f>IFERROR(VLOOKUP(B9,'Pre-Summary'!$CR$6:$CT$36,3,FALSE),"")</f>
        <v/>
      </c>
      <c r="Z9" s="45" t="str">
        <f>IFERROR(VLOOKUP(B9,'Pre-Summary'!$BZ$6:$CB$63,2,FALSE),"")</f>
        <v/>
      </c>
      <c r="AA9" s="45" t="str">
        <f>IFERROR(VLOOKUP(B9,'Pre-Summary'!$CG$6:$CI$70,2,FALSE),"")</f>
        <v/>
      </c>
      <c r="AB9" s="99">
        <f>IFERROR(VLOOKUP(B9,'Pre-Summary'!$A$6:$P$178,9,FALSE),AB10)</f>
        <v>0.16698912564236681</v>
      </c>
      <c r="AC9" s="10">
        <f>IFERROR(VLOOKUP(Summary!B9,'Pre-Summary'!$A$6:$P$184,5, FALSE)/100,AC10)</f>
        <v>0</v>
      </c>
      <c r="AD9" s="10">
        <f>IFERROR(VLOOKUP(Summary!B9,'Pre-Summary'!$A$6:$P$184,3, FALSE)/100,AD10)</f>
        <v>0.88245600000000013</v>
      </c>
      <c r="AE9" s="10">
        <f>IFERROR(VLOOKUP(Summary!B9,'Pre-Summary'!$A$6:$P$184,7, FALSE)/100,AE10)</f>
        <v>0.11754399999999998</v>
      </c>
      <c r="AF9" s="99">
        <f t="shared" si="1"/>
        <v>0.14736055585786048</v>
      </c>
      <c r="AG9" s="99">
        <f t="shared" si="2"/>
        <v>1.9628569784506361E-2</v>
      </c>
      <c r="AH9" s="10" t="str">
        <f>IFERROR(VLOOKUP(B9,'Pre-Summary'!$AZ$6:$BE$65,3,FALSE),"")</f>
        <v/>
      </c>
      <c r="AI9" s="10" t="str">
        <f>IFERROR(VLOOKUP(B9,'Pre-Summary'!$AZ$6:$BE$65,5,FALSE),"")</f>
        <v/>
      </c>
      <c r="AJ9" s="10" t="str">
        <f>IFERROR(VLOOKUP(B9,'Pre-Summary'!$AZ$6:$BE$65,4,FALSE),"")</f>
        <v/>
      </c>
      <c r="AK9" s="10" t="str">
        <f>IFERROR(VLOOKUP(B9,'Pre-Summary'!$AZ$6:$BE$65,6,FALSE),"")</f>
        <v/>
      </c>
      <c r="AL9" s="10" t="str">
        <f>IFERROR(VLOOKUP(B9,'Pre-Summary'!$BG$6:$BL$44,3,FALSE),"")</f>
        <v/>
      </c>
      <c r="AM9" s="10" t="str">
        <f>IFERROR(VLOOKUP(B9,'Pre-Summary'!$BG$6:$BL$44,4,FALSE),"")</f>
        <v/>
      </c>
    </row>
    <row r="10" spans="1:39" ht="14.4" x14ac:dyDescent="0.3">
      <c r="B10">
        <v>0.7</v>
      </c>
      <c r="C10" t="str">
        <f>IFERROR(VLOOKUP(B10,'Pre-Summary'!$DI$6:$DM$23,4,FALSE),"")</f>
        <v/>
      </c>
      <c r="D10" s="10" t="str">
        <f>IFERROR(VLOOKUP(B10,'Pre-Summary'!$AT$6:$AX$14,5,FALSE),D9)</f>
        <v>DSMZ v1: Using DSMZ 120 without NaHCO3</v>
      </c>
      <c r="E10" s="10" t="str">
        <f>IFERROR(VLOOKUP(B10,'Pre-Summary'!$AT$6:$AX$15,4,FALSE),"")</f>
        <v/>
      </c>
      <c r="F10">
        <f>IFERROR(VLOOKUP(B10,'Pre-Summary'!$AL$6:$AQ$13,6,FALSE),F9)</f>
        <v>5.9405263157894746E-2</v>
      </c>
      <c r="G10" t="str">
        <f>IFERROR(VLOOKUP(B10,'Pre-Summary'!$AE$6:$AJ$85,3,FALSE),"")</f>
        <v/>
      </c>
      <c r="H10" t="str">
        <f>IFERROR(VLOOKUP(B10,'Pre-Summary'!$AE$6:$AJ$85,4,FALSE),"")</f>
        <v/>
      </c>
      <c r="I10" t="str">
        <f>IFERROR(VLOOKUP(B10,'Pre-Summary'!$AE$6:$AJ$85,5,FALSE),"")</f>
        <v/>
      </c>
      <c r="J10" s="45" t="str">
        <f>IFERROR(VLOOKUP(B10,'Pre-Summary'!$AE$6:$AJ$85,6, FALSE),"")</f>
        <v/>
      </c>
      <c r="K10" s="45" t="str">
        <f>IFERROR(VLOOKUP(B10,'Pre-Summary'!$DE$6:$DG$61,3,FALSE),"")</f>
        <v/>
      </c>
      <c r="L10" s="45" t="str">
        <f>IFERROR(VLOOKUP(B10,'Pre-Summary'!$CU$6:$CW$36,3,FALSE),"")</f>
        <v/>
      </c>
      <c r="M10" s="45" t="str">
        <f>IFERROR(VLOOKUP(B10,'Pre-Summary'!$BW$6:$BY$58,2,FALSE),"")</f>
        <v/>
      </c>
      <c r="N10" s="45" t="str">
        <f>IFERROR(VLOOKUP(B10,'Pre-Summary'!$CD$6:$CF$64,2,FALSE),"")</f>
        <v/>
      </c>
      <c r="O10" s="99">
        <f>IFERROR(VLOOKUP(B10,'Pre-Summary'!$BO$6:$BQ$48,3, FALSE),O9)</f>
        <v>1.0915248032216731</v>
      </c>
      <c r="P10" s="99">
        <f>IFERROR(VLOOKUP(B10,'Pre-Summary'!$BS$6:$BU$35,3,FALSE),P9)</f>
        <v>0.25</v>
      </c>
      <c r="Q10" s="54">
        <f t="shared" si="0"/>
        <v>4.3660992128866924</v>
      </c>
      <c r="R10" s="53">
        <f>IFERROR(VLOOKUP(B10,'Pre-Summary'!$BG$6:$BM$44,7,FALSE),R11)</f>
        <v>2.7904161219319636E-2</v>
      </c>
      <c r="S10" s="53">
        <f>IFERROR(VLOOKUP(B10,'Pre-Summary'!$BG$6:$BM$44,6,FALSE),S11)</f>
        <v>3.3978715219895171E-2</v>
      </c>
      <c r="T10" s="45" t="str">
        <f>IFERROR(VLOOKUP(B10,'Pre-Summary'!$Y$6:$AC$83, 3,FALSE),"")</f>
        <v/>
      </c>
      <c r="U10" s="45" t="str">
        <f>IFERROR(VLOOKUP(B10,'Pre-Summary'!$Y$6:$AC$83, 4,FALSE),"")</f>
        <v/>
      </c>
      <c r="V10" t="str">
        <f>IFERROR(VLOOKUP(B10,'Pre-Summary'!$Y$6:$AC$83, 5,FALSE),"")</f>
        <v/>
      </c>
      <c r="W10" s="45" t="str">
        <f>IFERROR(VLOOKUP(B10,'Pre-Summary'!$Y$6:$AD$83,6,FALSE),"")</f>
        <v/>
      </c>
      <c r="X10" t="str">
        <f>IFERROR(VLOOKUP('Pre-Summary'!$DB$6:$DD$63,3,FALSE),"")</f>
        <v/>
      </c>
      <c r="Y10" t="str">
        <f>IFERROR(VLOOKUP(B10,'Pre-Summary'!$CR$6:$CT$36,3,FALSE),"")</f>
        <v/>
      </c>
      <c r="Z10" s="45" t="str">
        <f>IFERROR(VLOOKUP(B10,'Pre-Summary'!$BZ$6:$CB$63,2,FALSE),"")</f>
        <v/>
      </c>
      <c r="AA10" s="45" t="str">
        <f>IFERROR(VLOOKUP(B10,'Pre-Summary'!$CG$6:$CI$70,2,FALSE),"")</f>
        <v/>
      </c>
      <c r="AB10" s="99">
        <f>IFERROR(VLOOKUP(B10,'Pre-Summary'!$A$6:$P$178,9,FALSE),AB11)</f>
        <v>0.16698912564236681</v>
      </c>
      <c r="AC10" s="10">
        <f>IFERROR(VLOOKUP(Summary!B10,'Pre-Summary'!$A$6:$P$184,5, FALSE)/100,AC11)</f>
        <v>0</v>
      </c>
      <c r="AD10" s="10">
        <f>IFERROR(VLOOKUP(Summary!B10,'Pre-Summary'!$A$6:$P$184,3, FALSE)/100,AD11)</f>
        <v>0.88245600000000013</v>
      </c>
      <c r="AE10" s="10">
        <f>IFERROR(VLOOKUP(Summary!B10,'Pre-Summary'!$A$6:$P$184,7, FALSE)/100,AE11)</f>
        <v>0.11754399999999998</v>
      </c>
      <c r="AF10" s="99">
        <f t="shared" si="1"/>
        <v>0.14736055585786048</v>
      </c>
      <c r="AG10" s="99">
        <f t="shared" si="2"/>
        <v>1.9628569784506361E-2</v>
      </c>
      <c r="AH10" s="10" t="str">
        <f>IFERROR(VLOOKUP(B10,'Pre-Summary'!$AZ$6:$BE$65,3,FALSE),"")</f>
        <v/>
      </c>
      <c r="AI10" s="10" t="str">
        <f>IFERROR(VLOOKUP(B10,'Pre-Summary'!$AZ$6:$BE$65,5,FALSE),"")</f>
        <v/>
      </c>
      <c r="AJ10" s="10" t="str">
        <f>IFERROR(VLOOKUP(B10,'Pre-Summary'!$AZ$6:$BE$65,4,FALSE),"")</f>
        <v/>
      </c>
      <c r="AK10" s="10" t="str">
        <f>IFERROR(VLOOKUP(B10,'Pre-Summary'!$AZ$6:$BE$65,6,FALSE),"")</f>
        <v/>
      </c>
      <c r="AL10" s="10" t="str">
        <f>IFERROR(VLOOKUP(B10,'Pre-Summary'!$BG$6:$BL$44,3,FALSE),"")</f>
        <v/>
      </c>
      <c r="AM10" s="10" t="str">
        <f>IFERROR(VLOOKUP(B10,'Pre-Summary'!$BG$6:$BL$44,4,FALSE),"")</f>
        <v/>
      </c>
    </row>
    <row r="11" spans="1:39" ht="14.4" x14ac:dyDescent="0.3">
      <c r="B11">
        <v>0.8</v>
      </c>
      <c r="C11" t="str">
        <f>IFERROR(VLOOKUP(B11,'Pre-Summary'!$DI$6:$DM$23,4,FALSE),"")</f>
        <v/>
      </c>
      <c r="D11" s="10" t="str">
        <f>IFERROR(VLOOKUP(B11,'Pre-Summary'!$AT$6:$AX$14,5,FALSE),D10)</f>
        <v>DSMZ v1: Using DSMZ 120 without NaHCO3</v>
      </c>
      <c r="E11" s="10" t="str">
        <f>IFERROR(VLOOKUP(B11,'Pre-Summary'!$AT$6:$AX$15,4,FALSE),"")</f>
        <v/>
      </c>
      <c r="F11">
        <f>IFERROR(VLOOKUP(B11,'Pre-Summary'!$AL$6:$AQ$13,6,FALSE),F10)</f>
        <v>5.9405263157894746E-2</v>
      </c>
      <c r="G11" t="str">
        <f>IFERROR(VLOOKUP(B11,'Pre-Summary'!$AE$6:$AJ$85,3,FALSE),"")</f>
        <v/>
      </c>
      <c r="H11" t="str">
        <f>IFERROR(VLOOKUP(B11,'Pre-Summary'!$AE$6:$AJ$85,4,FALSE),"")</f>
        <v/>
      </c>
      <c r="I11" t="str">
        <f>IFERROR(VLOOKUP(B11,'Pre-Summary'!$AE$6:$AJ$85,5,FALSE),"")</f>
        <v/>
      </c>
      <c r="J11" s="45" t="str">
        <f>IFERROR(VLOOKUP(B11,'Pre-Summary'!$AE$6:$AJ$85,6, FALSE),"")</f>
        <v/>
      </c>
      <c r="K11" s="45" t="str">
        <f>IFERROR(VLOOKUP(B11,'Pre-Summary'!$DE$6:$DG$61,3,FALSE),"")</f>
        <v/>
      </c>
      <c r="L11" s="45" t="str">
        <f>IFERROR(VLOOKUP(B11,'Pre-Summary'!$CU$6:$CW$36,3,FALSE),"")</f>
        <v/>
      </c>
      <c r="M11" s="45" t="str">
        <f>IFERROR(VLOOKUP(B11,'Pre-Summary'!$BW$6:$BY$58,2,FALSE),"")</f>
        <v/>
      </c>
      <c r="N11" s="45" t="str">
        <f>IFERROR(VLOOKUP(B11,'Pre-Summary'!$CD$6:$CF$64,2,FALSE),"")</f>
        <v/>
      </c>
      <c r="O11" s="99">
        <f>IFERROR(VLOOKUP(B11,'Pre-Summary'!$BO$6:$BQ$48,3, FALSE),O10)</f>
        <v>1.0915248032216731</v>
      </c>
      <c r="P11" s="99">
        <f>IFERROR(VLOOKUP(B11,'Pre-Summary'!$BS$6:$BU$35,3,FALSE),P10)</f>
        <v>0.25</v>
      </c>
      <c r="Q11" s="54">
        <f t="shared" si="0"/>
        <v>4.3660992128866924</v>
      </c>
      <c r="R11" s="53">
        <f>IFERROR(VLOOKUP(B11,'Pre-Summary'!$BG$6:$BM$44,7,FALSE),R12)</f>
        <v>2.7904161219319636E-2</v>
      </c>
      <c r="S11" s="53">
        <f>IFERROR(VLOOKUP(B11,'Pre-Summary'!$BG$6:$BM$44,6,FALSE),S12)</f>
        <v>3.3978715219895171E-2</v>
      </c>
      <c r="T11" s="45" t="str">
        <f>IFERROR(VLOOKUP(B11,'Pre-Summary'!$Y$6:$AC$83, 3,FALSE),"")</f>
        <v/>
      </c>
      <c r="U11" s="45" t="str">
        <f>IFERROR(VLOOKUP(B11,'Pre-Summary'!$Y$6:$AC$83, 4,FALSE),"")</f>
        <v/>
      </c>
      <c r="V11" t="str">
        <f>IFERROR(VLOOKUP(B11,'Pre-Summary'!$Y$6:$AC$83, 5,FALSE),"")</f>
        <v/>
      </c>
      <c r="W11" s="45" t="str">
        <f>IFERROR(VLOOKUP(B11,'Pre-Summary'!$Y$6:$AD$83,6,FALSE),"")</f>
        <v/>
      </c>
      <c r="X11" t="str">
        <f>IFERROR(VLOOKUP('Pre-Summary'!$DB$6:$DD$63,3,FALSE),"")</f>
        <v/>
      </c>
      <c r="Y11" t="str">
        <f>IFERROR(VLOOKUP(B11,'Pre-Summary'!$CR$6:$CT$36,3,FALSE),"")</f>
        <v/>
      </c>
      <c r="Z11" s="45" t="str">
        <f>IFERROR(VLOOKUP(B11,'Pre-Summary'!$BZ$6:$CB$63,2,FALSE),"")</f>
        <v/>
      </c>
      <c r="AA11" s="45" t="str">
        <f>IFERROR(VLOOKUP(B11,'Pre-Summary'!$CG$6:$CI$70,2,FALSE),"")</f>
        <v/>
      </c>
      <c r="AB11" s="99">
        <f>IFERROR(VLOOKUP(B11,'Pre-Summary'!$A$6:$P$178,9,FALSE),AB12)</f>
        <v>0.16698912564236681</v>
      </c>
      <c r="AC11" s="10">
        <f>IFERROR(VLOOKUP(Summary!B11,'Pre-Summary'!$A$6:$P$184,5, FALSE)/100,AC12)</f>
        <v>0</v>
      </c>
      <c r="AD11" s="10">
        <f>IFERROR(VLOOKUP(Summary!B11,'Pre-Summary'!$A$6:$P$184,3, FALSE)/100,AD12)</f>
        <v>0.88245600000000013</v>
      </c>
      <c r="AE11" s="10">
        <f>IFERROR(VLOOKUP(Summary!B11,'Pre-Summary'!$A$6:$P$184,7, FALSE)/100,AE12)</f>
        <v>0.11754399999999998</v>
      </c>
      <c r="AF11" s="99">
        <f t="shared" si="1"/>
        <v>0.14736055585786048</v>
      </c>
      <c r="AG11" s="99">
        <f t="shared" si="2"/>
        <v>1.9628569784506361E-2</v>
      </c>
      <c r="AH11" s="10" t="str">
        <f>IFERROR(VLOOKUP(B11,'Pre-Summary'!$AZ$6:$BE$65,3,FALSE),"")</f>
        <v/>
      </c>
      <c r="AI11" s="10" t="str">
        <f>IFERROR(VLOOKUP(B11,'Pre-Summary'!$AZ$6:$BE$65,5,FALSE),"")</f>
        <v/>
      </c>
      <c r="AJ11" s="10" t="str">
        <f>IFERROR(VLOOKUP(B11,'Pre-Summary'!$AZ$6:$BE$65,4,FALSE),"")</f>
        <v/>
      </c>
      <c r="AK11" s="10" t="str">
        <f>IFERROR(VLOOKUP(B11,'Pre-Summary'!$AZ$6:$BE$65,6,FALSE),"")</f>
        <v/>
      </c>
      <c r="AL11" s="10" t="str">
        <f>IFERROR(VLOOKUP(B11,'Pre-Summary'!$BG$6:$BL$44,3,FALSE),"")</f>
        <v/>
      </c>
      <c r="AM11" s="10" t="str">
        <f>IFERROR(VLOOKUP(B11,'Pre-Summary'!$BG$6:$BL$44,4,FALSE),"")</f>
        <v/>
      </c>
    </row>
    <row r="12" spans="1:39" ht="14.4" x14ac:dyDescent="0.3">
      <c r="B12">
        <v>0.9</v>
      </c>
      <c r="C12" t="str">
        <f>IFERROR(VLOOKUP(B12,'Pre-Summary'!$DI$6:$DM$23,4,FALSE),"")</f>
        <v/>
      </c>
      <c r="D12" s="10" t="str">
        <f>IFERROR(VLOOKUP(B12,'Pre-Summary'!$AT$6:$AX$14,5,FALSE),D11)</f>
        <v>DSMZ v1: Using DSMZ 120 without NaHCO3</v>
      </c>
      <c r="E12" s="10" t="str">
        <f>IFERROR(VLOOKUP(B12,'Pre-Summary'!$AT$6:$AX$15,4,FALSE),"")</f>
        <v/>
      </c>
      <c r="F12">
        <f>IFERROR(VLOOKUP(B12,'Pre-Summary'!$AL$6:$AQ$13,6,FALSE),F11)</f>
        <v>5.9405263157894746E-2</v>
      </c>
      <c r="G12" t="str">
        <f>IFERROR(VLOOKUP(B12,'Pre-Summary'!$AE$6:$AJ$85,3,FALSE),"")</f>
        <v/>
      </c>
      <c r="H12" t="str">
        <f>IFERROR(VLOOKUP(B12,'Pre-Summary'!$AE$6:$AJ$85,4,FALSE),"")</f>
        <v/>
      </c>
      <c r="I12" t="str">
        <f>IFERROR(VLOOKUP(B12,'Pre-Summary'!$AE$6:$AJ$85,5,FALSE),"")</f>
        <v/>
      </c>
      <c r="J12" s="45" t="str">
        <f>IFERROR(VLOOKUP(B12,'Pre-Summary'!$AE$6:$AJ$85,6, FALSE),"")</f>
        <v/>
      </c>
      <c r="K12" s="45" t="str">
        <f>IFERROR(VLOOKUP(B12,'Pre-Summary'!$DE$6:$DG$61,3,FALSE),"")</f>
        <v/>
      </c>
      <c r="L12" s="45" t="str">
        <f>IFERROR(VLOOKUP(B12,'Pre-Summary'!$CU$6:$CW$36,3,FALSE),"")</f>
        <v/>
      </c>
      <c r="M12" s="45" t="str">
        <f>IFERROR(VLOOKUP(B12,'Pre-Summary'!$BW$6:$BY$58,2,FALSE),"")</f>
        <v/>
      </c>
      <c r="N12" s="45" t="str">
        <f>IFERROR(VLOOKUP(B12,'Pre-Summary'!$CD$6:$CF$64,2,FALSE),"")</f>
        <v/>
      </c>
      <c r="O12" s="99">
        <f>IFERROR(VLOOKUP(B12,'Pre-Summary'!$BO$6:$BQ$48,3, FALSE),O11)</f>
        <v>1.0915248032216731</v>
      </c>
      <c r="P12" s="99">
        <f>IFERROR(VLOOKUP(B12,'Pre-Summary'!$BS$6:$BU$35,3,FALSE),P11)</f>
        <v>0.25</v>
      </c>
      <c r="Q12" s="54">
        <f t="shared" si="0"/>
        <v>4.3660992128866924</v>
      </c>
      <c r="R12" s="53">
        <f>IFERROR(VLOOKUP(B12,'Pre-Summary'!$BG$6:$BM$44,7,FALSE),R13)</f>
        <v>2.7904161219319636E-2</v>
      </c>
      <c r="S12" s="53">
        <f>IFERROR(VLOOKUP(B12,'Pre-Summary'!$BG$6:$BM$44,6,FALSE),S13)</f>
        <v>3.3978715219895171E-2</v>
      </c>
      <c r="T12" s="45" t="str">
        <f>IFERROR(VLOOKUP(B12,'Pre-Summary'!$Y$6:$AC$83, 3,FALSE),"")</f>
        <v/>
      </c>
      <c r="U12" s="45" t="str">
        <f>IFERROR(VLOOKUP(B12,'Pre-Summary'!$Y$6:$AC$83, 4,FALSE),"")</f>
        <v/>
      </c>
      <c r="V12" t="str">
        <f>IFERROR(VLOOKUP(B12,'Pre-Summary'!$Y$6:$AC$83, 5,FALSE),"")</f>
        <v/>
      </c>
      <c r="W12" s="45" t="str">
        <f>IFERROR(VLOOKUP(B12,'Pre-Summary'!$Y$6:$AD$83,6,FALSE),"")</f>
        <v/>
      </c>
      <c r="X12" t="str">
        <f>IFERROR(VLOOKUP('Pre-Summary'!$DB$6:$DD$63,3,FALSE),"")</f>
        <v/>
      </c>
      <c r="Y12" t="str">
        <f>IFERROR(VLOOKUP(B12,'Pre-Summary'!$CR$6:$CT$36,3,FALSE),"")</f>
        <v/>
      </c>
      <c r="Z12" s="45" t="str">
        <f>IFERROR(VLOOKUP(B12,'Pre-Summary'!$BZ$6:$CB$63,2,FALSE),"")</f>
        <v/>
      </c>
      <c r="AA12" s="45" t="str">
        <f>IFERROR(VLOOKUP(B12,'Pre-Summary'!$CG$6:$CI$70,2,FALSE),"")</f>
        <v/>
      </c>
      <c r="AB12" s="99">
        <f>IFERROR(VLOOKUP(B12,'Pre-Summary'!$A$6:$P$178,9,FALSE),AB13)</f>
        <v>0.16698912564236681</v>
      </c>
      <c r="AC12" s="10">
        <f>IFERROR(VLOOKUP(Summary!B12,'Pre-Summary'!$A$6:$P$184,5, FALSE)/100,AC13)</f>
        <v>0</v>
      </c>
      <c r="AD12" s="10">
        <f>IFERROR(VLOOKUP(Summary!B12,'Pre-Summary'!$A$6:$P$184,3, FALSE)/100,AD13)</f>
        <v>0.88245600000000013</v>
      </c>
      <c r="AE12" s="10">
        <f>IFERROR(VLOOKUP(Summary!B12,'Pre-Summary'!$A$6:$P$184,7, FALSE)/100,AE13)</f>
        <v>0.11754399999999998</v>
      </c>
      <c r="AF12" s="99">
        <f t="shared" si="1"/>
        <v>0.14736055585786048</v>
      </c>
      <c r="AG12" s="99">
        <f t="shared" si="2"/>
        <v>1.9628569784506361E-2</v>
      </c>
      <c r="AH12" s="10" t="str">
        <f>IFERROR(VLOOKUP(B12,'Pre-Summary'!$AZ$6:$BE$65,3,FALSE),"")</f>
        <v/>
      </c>
      <c r="AI12" s="10" t="str">
        <f>IFERROR(VLOOKUP(B12,'Pre-Summary'!$AZ$6:$BE$65,5,FALSE),"")</f>
        <v/>
      </c>
      <c r="AJ12" s="10" t="str">
        <f>IFERROR(VLOOKUP(B12,'Pre-Summary'!$AZ$6:$BE$65,4,FALSE),"")</f>
        <v/>
      </c>
      <c r="AK12" s="10" t="str">
        <f>IFERROR(VLOOKUP(B12,'Pre-Summary'!$AZ$6:$BE$65,6,FALSE),"")</f>
        <v/>
      </c>
      <c r="AL12" s="10" t="str">
        <f>IFERROR(VLOOKUP(B12,'Pre-Summary'!$BG$6:$BL$44,3,FALSE),"")</f>
        <v/>
      </c>
      <c r="AM12" s="10" t="str">
        <f>IFERROR(VLOOKUP(B12,'Pre-Summary'!$BG$6:$BL$44,4,FALSE),"")</f>
        <v/>
      </c>
    </row>
    <row r="13" spans="1:39" ht="14.4" x14ac:dyDescent="0.3">
      <c r="B13">
        <v>1</v>
      </c>
      <c r="C13" t="str">
        <f>IFERROR(VLOOKUP(B13,'Pre-Summary'!$DI$6:$DM$23,4,FALSE),"")</f>
        <v/>
      </c>
      <c r="D13" s="10" t="str">
        <f>IFERROR(VLOOKUP(B13,'Pre-Summary'!$AT$6:$AX$14,5,FALSE),D12)</f>
        <v>DSMZ v1: Using DSMZ 120 without NaHCO3</v>
      </c>
      <c r="E13" s="10" t="str">
        <f>IFERROR(VLOOKUP(B13,'Pre-Summary'!$AT$6:$AX$15,4,FALSE),"")</f>
        <v/>
      </c>
      <c r="F13">
        <f>IFERROR(VLOOKUP(B13,'Pre-Summary'!$AL$6:$AQ$13,6,FALSE),F12)</f>
        <v>5.9405263157894746E-2</v>
      </c>
      <c r="G13" t="str">
        <f>IFERROR(VLOOKUP(B13,'Pre-Summary'!$AE$6:$AJ$85,3,FALSE),"")</f>
        <v/>
      </c>
      <c r="H13" t="str">
        <f>IFERROR(VLOOKUP(B13,'Pre-Summary'!$AE$6:$AJ$85,4,FALSE),"")</f>
        <v/>
      </c>
      <c r="I13" t="str">
        <f>IFERROR(VLOOKUP(B13,'Pre-Summary'!$AE$6:$AJ$85,5,FALSE),"")</f>
        <v/>
      </c>
      <c r="J13" s="45" t="str">
        <f>IFERROR(VLOOKUP(B13,'Pre-Summary'!$AE$6:$AJ$85,6, FALSE),"")</f>
        <v/>
      </c>
      <c r="K13" s="45" t="str">
        <f>IFERROR(VLOOKUP(B13,'Pre-Summary'!$DE$6:$DG$61,3,FALSE),"")</f>
        <v/>
      </c>
      <c r="L13" s="45" t="str">
        <f>IFERROR(VLOOKUP(B13,'Pre-Summary'!$CU$6:$CW$36,3,FALSE),"")</f>
        <v/>
      </c>
      <c r="M13" s="45" t="str">
        <f>IFERROR(VLOOKUP(B13,'Pre-Summary'!$BW$6:$BY$58,2,FALSE),"")</f>
        <v/>
      </c>
      <c r="N13" s="45" t="str">
        <f>IFERROR(VLOOKUP(B13,'Pre-Summary'!$CD$6:$CF$64,2,FALSE),"")</f>
        <v/>
      </c>
      <c r="O13" s="99">
        <f>IFERROR(VLOOKUP(B13,'Pre-Summary'!$BO$6:$BQ$48,3, FALSE),O12)</f>
        <v>1.0915248032216731</v>
      </c>
      <c r="P13" s="99">
        <f>IFERROR(VLOOKUP(B13,'Pre-Summary'!$BS$6:$BU$35,3,FALSE),P12)</f>
        <v>0.25</v>
      </c>
      <c r="Q13" s="54">
        <f t="shared" si="0"/>
        <v>4.3660992128866924</v>
      </c>
      <c r="R13" s="53">
        <f>IFERROR(VLOOKUP(B13,'Pre-Summary'!$BG$6:$BM$44,7,FALSE),R14)</f>
        <v>2.7904161219319636E-2</v>
      </c>
      <c r="S13" s="53">
        <f>IFERROR(VLOOKUP(B13,'Pre-Summary'!$BG$6:$BM$44,6,FALSE),S14)</f>
        <v>3.3978715219895171E-2</v>
      </c>
      <c r="T13" s="45" t="str">
        <f>IFERROR(VLOOKUP(B13,'Pre-Summary'!$Y$6:$AC$83, 3,FALSE),"")</f>
        <v/>
      </c>
      <c r="U13" s="45" t="str">
        <f>IFERROR(VLOOKUP(B13,'Pre-Summary'!$Y$6:$AC$83, 4,FALSE),"")</f>
        <v/>
      </c>
      <c r="V13" t="str">
        <f>IFERROR(VLOOKUP(B13,'Pre-Summary'!$Y$6:$AC$83, 5,FALSE),"")</f>
        <v/>
      </c>
      <c r="W13" s="45" t="str">
        <f>IFERROR(VLOOKUP(B13,'Pre-Summary'!$Y$6:$AD$83,6,FALSE),"")</f>
        <v/>
      </c>
      <c r="X13" t="str">
        <f>IFERROR(VLOOKUP('Pre-Summary'!$DB$6:$DD$63,3,FALSE),"")</f>
        <v/>
      </c>
      <c r="Y13" t="str">
        <f>IFERROR(VLOOKUP(B13,'Pre-Summary'!$CR$6:$CT$36,3,FALSE),"")</f>
        <v/>
      </c>
      <c r="Z13" s="45" t="str">
        <f>IFERROR(VLOOKUP(B13,'Pre-Summary'!$BZ$6:$CB$63,2,FALSE),"")</f>
        <v/>
      </c>
      <c r="AA13" s="45" t="str">
        <f>IFERROR(VLOOKUP(B13,'Pre-Summary'!$CG$6:$CI$70,2,FALSE),"")</f>
        <v/>
      </c>
      <c r="AB13" s="99">
        <f>IFERROR(VLOOKUP(B13,'Pre-Summary'!$A$6:$P$178,9,FALSE),AB14)</f>
        <v>0.16698912564236681</v>
      </c>
      <c r="AC13" s="10">
        <f>IFERROR(VLOOKUP(Summary!B13,'Pre-Summary'!$A$6:$P$184,5, FALSE)/100,AC14)</f>
        <v>0</v>
      </c>
      <c r="AD13" s="10">
        <f>IFERROR(VLOOKUP(Summary!B13,'Pre-Summary'!$A$6:$P$184,3, FALSE)/100,AD14)</f>
        <v>0.88245600000000013</v>
      </c>
      <c r="AE13" s="10">
        <f>IFERROR(VLOOKUP(Summary!B13,'Pre-Summary'!$A$6:$P$184,7, FALSE)/100,AE14)</f>
        <v>0.11754399999999998</v>
      </c>
      <c r="AF13" s="99">
        <f t="shared" si="1"/>
        <v>0.14736055585786048</v>
      </c>
      <c r="AG13" s="99">
        <f t="shared" si="2"/>
        <v>1.9628569784506361E-2</v>
      </c>
      <c r="AH13" s="10" t="str">
        <f>IFERROR(VLOOKUP(B13,'Pre-Summary'!$AZ$6:$BE$65,3,FALSE),"")</f>
        <v/>
      </c>
      <c r="AI13" s="10" t="str">
        <f>IFERROR(VLOOKUP(B13,'Pre-Summary'!$AZ$6:$BE$65,5,FALSE),"")</f>
        <v/>
      </c>
      <c r="AJ13" s="10" t="str">
        <f>IFERROR(VLOOKUP(B13,'Pre-Summary'!$AZ$6:$BE$65,4,FALSE),"")</f>
        <v/>
      </c>
      <c r="AK13" s="10" t="str">
        <f>IFERROR(VLOOKUP(B13,'Pre-Summary'!$AZ$6:$BE$65,6,FALSE),"")</f>
        <v/>
      </c>
      <c r="AL13" s="10" t="str">
        <f>IFERROR(VLOOKUP(B13,'Pre-Summary'!$BG$6:$BL$44,3,FALSE),"")</f>
        <v/>
      </c>
      <c r="AM13" s="10" t="str">
        <f>IFERROR(VLOOKUP(B13,'Pre-Summary'!$BG$6:$BL$44,4,FALSE),"")</f>
        <v/>
      </c>
    </row>
    <row r="14" spans="1:39" ht="14.4" x14ac:dyDescent="0.3">
      <c r="B14">
        <v>1.1000000000000001</v>
      </c>
      <c r="C14" t="str">
        <f>IFERROR(VLOOKUP(B14,'Pre-Summary'!$DI$6:$DM$23,4,FALSE),"")</f>
        <v/>
      </c>
      <c r="D14" s="10" t="str">
        <f>IFERROR(VLOOKUP(B14,'Pre-Summary'!$AT$6:$AX$14,5,FALSE),D13)</f>
        <v>DSMZ v1: Using DSMZ 120 without NaHCO3</v>
      </c>
      <c r="E14" s="10" t="str">
        <f>IFERROR(VLOOKUP(B14,'Pre-Summary'!$AT$6:$AX$15,4,FALSE),"")</f>
        <v/>
      </c>
      <c r="F14">
        <f>IFERROR(VLOOKUP(B14,'Pre-Summary'!$AL$6:$AQ$13,6,FALSE),F13)</f>
        <v>5.9405263157894746E-2</v>
      </c>
      <c r="G14" t="str">
        <f>IFERROR(VLOOKUP(B14,'Pre-Summary'!$AE$6:$AJ$85,3,FALSE),"")</f>
        <v/>
      </c>
      <c r="H14" t="str">
        <f>IFERROR(VLOOKUP(B14,'Pre-Summary'!$AE$6:$AJ$85,4,FALSE),"")</f>
        <v/>
      </c>
      <c r="I14" t="str">
        <f>IFERROR(VLOOKUP(B14,'Pre-Summary'!$AE$6:$AJ$85,5,FALSE),"")</f>
        <v/>
      </c>
      <c r="J14" s="45" t="str">
        <f>IFERROR(VLOOKUP(B14,'Pre-Summary'!$AE$6:$AJ$85,6, FALSE),"")</f>
        <v/>
      </c>
      <c r="K14" s="45" t="str">
        <f>IFERROR(VLOOKUP(B14,'Pre-Summary'!$DE$6:$DG$61,3,FALSE),"")</f>
        <v/>
      </c>
      <c r="L14" s="45" t="str">
        <f>IFERROR(VLOOKUP(B14,'Pre-Summary'!$CU$6:$CW$36,3,FALSE),"")</f>
        <v/>
      </c>
      <c r="M14" s="45" t="str">
        <f>IFERROR(VLOOKUP(B14,'Pre-Summary'!$BW$6:$BY$58,2,FALSE),"")</f>
        <v/>
      </c>
      <c r="N14" s="45" t="str">
        <f>IFERROR(VLOOKUP(B14,'Pre-Summary'!$CD$6:$CF$64,2,FALSE),"")</f>
        <v/>
      </c>
      <c r="O14" s="99">
        <f>IFERROR(VLOOKUP(B14,'Pre-Summary'!$BO$6:$BQ$48,3, FALSE),O13)</f>
        <v>1.0915248032216731</v>
      </c>
      <c r="P14" s="99">
        <f>IFERROR(VLOOKUP(B14,'Pre-Summary'!$BS$6:$BU$35,3,FALSE),P13)</f>
        <v>0.25</v>
      </c>
      <c r="Q14" s="54">
        <f t="shared" si="0"/>
        <v>4.3660992128866924</v>
      </c>
      <c r="R14" s="53">
        <f>IFERROR(VLOOKUP(B14,'Pre-Summary'!$BG$6:$BM$44,7,FALSE),R15)</f>
        <v>2.7904161219319636E-2</v>
      </c>
      <c r="S14" s="53">
        <f>IFERROR(VLOOKUP(B14,'Pre-Summary'!$BG$6:$BM$44,6,FALSE),S15)</f>
        <v>3.3978715219895171E-2</v>
      </c>
      <c r="T14" s="45" t="str">
        <f>IFERROR(VLOOKUP(B14,'Pre-Summary'!$Y$6:$AC$83, 3,FALSE),"")</f>
        <v/>
      </c>
      <c r="U14" s="45" t="str">
        <f>IFERROR(VLOOKUP(B14,'Pre-Summary'!$Y$6:$AC$83, 4,FALSE),"")</f>
        <v/>
      </c>
      <c r="V14" t="str">
        <f>IFERROR(VLOOKUP(B14,'Pre-Summary'!$Y$6:$AC$83, 5,FALSE),"")</f>
        <v/>
      </c>
      <c r="W14" s="45" t="str">
        <f>IFERROR(VLOOKUP(B14,'Pre-Summary'!$Y$6:$AD$83,6,FALSE),"")</f>
        <v/>
      </c>
      <c r="X14" t="str">
        <f>IFERROR(VLOOKUP('Pre-Summary'!$DB$6:$DD$63,3,FALSE),"")</f>
        <v/>
      </c>
      <c r="Y14" t="str">
        <f>IFERROR(VLOOKUP(B14,'Pre-Summary'!$CR$6:$CT$36,3,FALSE),"")</f>
        <v/>
      </c>
      <c r="Z14" s="45" t="str">
        <f>IFERROR(VLOOKUP(B14,'Pre-Summary'!$BZ$6:$CB$63,2,FALSE),"")</f>
        <v/>
      </c>
      <c r="AA14" s="45" t="str">
        <f>IFERROR(VLOOKUP(B14,'Pre-Summary'!$CG$6:$CI$70,2,FALSE),"")</f>
        <v/>
      </c>
      <c r="AB14" s="99">
        <f>IFERROR(VLOOKUP(B14,'Pre-Summary'!$A$6:$P$178,9,FALSE),AB15)</f>
        <v>0.88641691086917873</v>
      </c>
      <c r="AC14" s="10">
        <f>IFERROR(VLOOKUP(Summary!B14,'Pre-Summary'!$A$6:$P$184,5, FALSE)/100,AC15)</f>
        <v>0</v>
      </c>
      <c r="AD14" s="10">
        <f>IFERROR(VLOOKUP(Summary!B14,'Pre-Summary'!$A$6:$P$184,3, FALSE)/100,AD15)</f>
        <v>0.88461866666666666</v>
      </c>
      <c r="AE14" s="10">
        <f>IFERROR(VLOOKUP(Summary!B14,'Pre-Summary'!$A$6:$P$184,7, FALSE)/100,AE15)</f>
        <v>0.11538133333333335</v>
      </c>
      <c r="AF14" s="99">
        <f t="shared" si="1"/>
        <v>0.78414094580387839</v>
      </c>
      <c r="AG14" s="99">
        <f t="shared" si="2"/>
        <v>0.10227596506530034</v>
      </c>
      <c r="AH14" s="10" t="str">
        <f>IFERROR(VLOOKUP(B14,'Pre-Summary'!$AZ$6:$BE$65,3,FALSE),"")</f>
        <v/>
      </c>
      <c r="AI14" s="10" t="str">
        <f>IFERROR(VLOOKUP(B14,'Pre-Summary'!$AZ$6:$BE$65,5,FALSE),"")</f>
        <v/>
      </c>
      <c r="AJ14" s="10" t="str">
        <f>IFERROR(VLOOKUP(B14,'Pre-Summary'!$AZ$6:$BE$65,4,FALSE),"")</f>
        <v/>
      </c>
      <c r="AK14" s="10" t="str">
        <f>IFERROR(VLOOKUP(B14,'Pre-Summary'!$AZ$6:$BE$65,6,FALSE),"")</f>
        <v/>
      </c>
      <c r="AL14" s="10" t="str">
        <f>IFERROR(VLOOKUP(B14,'Pre-Summary'!$BG$6:$BL$44,3,FALSE),"")</f>
        <v/>
      </c>
      <c r="AM14" s="10" t="str">
        <f>IFERROR(VLOOKUP(B14,'Pre-Summary'!$BG$6:$BL$44,4,FALSE),"")</f>
        <v/>
      </c>
    </row>
    <row r="15" spans="1:39" ht="14.4" x14ac:dyDescent="0.3">
      <c r="B15">
        <v>1.2</v>
      </c>
      <c r="C15" t="str">
        <f>IFERROR(VLOOKUP(B15,'Pre-Summary'!$DI$6:$DM$23,4,FALSE),"")</f>
        <v/>
      </c>
      <c r="D15" s="10" t="str">
        <f>IFERROR(VLOOKUP(B15,'Pre-Summary'!$AT$6:$AX$14,5,FALSE),D14)</f>
        <v>DSMZ v1: Using DSMZ 120 without NaHCO3</v>
      </c>
      <c r="E15" s="10" t="str">
        <f>IFERROR(VLOOKUP(B15,'Pre-Summary'!$AT$6:$AX$15,4,FALSE),"")</f>
        <v/>
      </c>
      <c r="F15">
        <f>IFERROR(VLOOKUP(B15,'Pre-Summary'!$AL$6:$AQ$13,6,FALSE),F14)</f>
        <v>5.9405263157894746E-2</v>
      </c>
      <c r="G15" t="str">
        <f>IFERROR(VLOOKUP(B15,'Pre-Summary'!$AE$6:$AJ$85,3,FALSE),"")</f>
        <v/>
      </c>
      <c r="H15" t="str">
        <f>IFERROR(VLOOKUP(B15,'Pre-Summary'!$AE$6:$AJ$85,4,FALSE),"")</f>
        <v/>
      </c>
      <c r="I15" t="str">
        <f>IFERROR(VLOOKUP(B15,'Pre-Summary'!$AE$6:$AJ$85,5,FALSE),"")</f>
        <v/>
      </c>
      <c r="J15" s="45" t="str">
        <f>IFERROR(VLOOKUP(B15,'Pre-Summary'!$AE$6:$AJ$85,6, FALSE),"")</f>
        <v/>
      </c>
      <c r="K15" s="45" t="str">
        <f>IFERROR(VLOOKUP(B15,'Pre-Summary'!$DE$6:$DG$61,3,FALSE),"")</f>
        <v/>
      </c>
      <c r="L15" s="45" t="str">
        <f>IFERROR(VLOOKUP(B15,'Pre-Summary'!$CU$6:$CW$36,3,FALSE),"")</f>
        <v/>
      </c>
      <c r="M15" s="45" t="str">
        <f>IFERROR(VLOOKUP(B15,'Pre-Summary'!$BW$6:$BY$58,2,FALSE),"")</f>
        <v/>
      </c>
      <c r="N15" s="45" t="str">
        <f>IFERROR(VLOOKUP(B15,'Pre-Summary'!$CD$6:$CF$64,2,FALSE),"")</f>
        <v/>
      </c>
      <c r="O15" s="99">
        <f>IFERROR(VLOOKUP(B15,'Pre-Summary'!$BO$6:$BQ$48,3, FALSE),O14)</f>
        <v>1.0915248032216731</v>
      </c>
      <c r="P15" s="99">
        <f>IFERROR(VLOOKUP(B15,'Pre-Summary'!$BS$6:$BU$35,3,FALSE),P14)</f>
        <v>0.25</v>
      </c>
      <c r="Q15" s="54">
        <f t="shared" si="0"/>
        <v>4.3660992128866924</v>
      </c>
      <c r="R15" s="53">
        <f>IFERROR(VLOOKUP(B15,'Pre-Summary'!$BG$6:$BM$44,7,FALSE),R16)</f>
        <v>2.7904161219319636E-2</v>
      </c>
      <c r="S15" s="53">
        <f>IFERROR(VLOOKUP(B15,'Pre-Summary'!$BG$6:$BM$44,6,FALSE),S16)</f>
        <v>3.3978715219895171E-2</v>
      </c>
      <c r="T15" s="45" t="str">
        <f>IFERROR(VLOOKUP(B15,'Pre-Summary'!$Y$6:$AC$83, 3,FALSE),"")</f>
        <v/>
      </c>
      <c r="U15" s="45" t="str">
        <f>IFERROR(VLOOKUP(B15,'Pre-Summary'!$Y$6:$AC$83, 4,FALSE),"")</f>
        <v/>
      </c>
      <c r="V15" t="str">
        <f>IFERROR(VLOOKUP(B15,'Pre-Summary'!$Y$6:$AC$83, 5,FALSE),"")</f>
        <v/>
      </c>
      <c r="W15" s="45" t="str">
        <f>IFERROR(VLOOKUP(B15,'Pre-Summary'!$Y$6:$AD$83,6,FALSE),"")</f>
        <v/>
      </c>
      <c r="X15" t="str">
        <f>IFERROR(VLOOKUP('Pre-Summary'!$DB$6:$DD$63,3,FALSE),"")</f>
        <v/>
      </c>
      <c r="Y15" t="str">
        <f>IFERROR(VLOOKUP(B15,'Pre-Summary'!$CR$6:$CT$36,3,FALSE),"")</f>
        <v/>
      </c>
      <c r="Z15" s="45" t="str">
        <f>IFERROR(VLOOKUP(B15,'Pre-Summary'!$BZ$6:$CB$63,2,FALSE),"")</f>
        <v/>
      </c>
      <c r="AA15" s="45" t="str">
        <f>IFERROR(VLOOKUP(B15,'Pre-Summary'!$CG$6:$CI$70,2,FALSE),"")</f>
        <v/>
      </c>
      <c r="AB15" s="99">
        <f>IFERROR(VLOOKUP(B15,'Pre-Summary'!$A$6:$P$178,9,FALSE),AB16)</f>
        <v>0.88641691086917873</v>
      </c>
      <c r="AC15" s="10">
        <f>IFERROR(VLOOKUP(Summary!B15,'Pre-Summary'!$A$6:$P$184,5, FALSE)/100,AC16)</f>
        <v>0</v>
      </c>
      <c r="AD15" s="10">
        <f>IFERROR(VLOOKUP(Summary!B15,'Pre-Summary'!$A$6:$P$184,3, FALSE)/100,AD16)</f>
        <v>0.88461866666666666</v>
      </c>
      <c r="AE15" s="10">
        <f>IFERROR(VLOOKUP(Summary!B15,'Pre-Summary'!$A$6:$P$184,7, FALSE)/100,AE16)</f>
        <v>0.11538133333333335</v>
      </c>
      <c r="AF15" s="99">
        <f t="shared" si="1"/>
        <v>0.78414094580387839</v>
      </c>
      <c r="AG15" s="99">
        <f t="shared" si="2"/>
        <v>0.10227596506530034</v>
      </c>
      <c r="AH15" s="10" t="str">
        <f>IFERROR(VLOOKUP(B15,'Pre-Summary'!$AZ$6:$BE$65,3,FALSE),"")</f>
        <v/>
      </c>
      <c r="AI15" s="10" t="str">
        <f>IFERROR(VLOOKUP(B15,'Pre-Summary'!$AZ$6:$BE$65,5,FALSE),"")</f>
        <v/>
      </c>
      <c r="AJ15" s="10" t="str">
        <f>IFERROR(VLOOKUP(B15,'Pre-Summary'!$AZ$6:$BE$65,4,FALSE),"")</f>
        <v/>
      </c>
      <c r="AK15" s="10" t="str">
        <f>IFERROR(VLOOKUP(B15,'Pre-Summary'!$AZ$6:$BE$65,6,FALSE),"")</f>
        <v/>
      </c>
      <c r="AL15" s="10" t="str">
        <f>IFERROR(VLOOKUP(B15,'Pre-Summary'!$BG$6:$BL$44,3,FALSE),"")</f>
        <v/>
      </c>
      <c r="AM15" s="10" t="str">
        <f>IFERROR(VLOOKUP(B15,'Pre-Summary'!$BG$6:$BL$44,4,FALSE),"")</f>
        <v/>
      </c>
    </row>
    <row r="16" spans="1:39" ht="14.4" x14ac:dyDescent="0.3">
      <c r="B16">
        <v>1.3</v>
      </c>
      <c r="C16" t="str">
        <f>IFERROR(VLOOKUP(B16,'Pre-Summary'!$DI$6:$DM$23,4,FALSE),"")</f>
        <v/>
      </c>
      <c r="D16" s="10" t="str">
        <f>IFERROR(VLOOKUP(B16,'Pre-Summary'!$AT$6:$AX$14,5,FALSE),D15)</f>
        <v>DSMZ v1: Using DSMZ 120 without NaHCO3</v>
      </c>
      <c r="E16" s="10" t="str">
        <f>IFERROR(VLOOKUP(B16,'Pre-Summary'!$AT$6:$AX$15,4,FALSE),"")</f>
        <v/>
      </c>
      <c r="F16">
        <f>IFERROR(VLOOKUP(B16,'Pre-Summary'!$AL$6:$AQ$13,6,FALSE),F15)</f>
        <v>5.9405263157894746E-2</v>
      </c>
      <c r="G16" t="str">
        <f>IFERROR(VLOOKUP(B16,'Pre-Summary'!$AE$6:$AJ$85,3,FALSE),"")</f>
        <v/>
      </c>
      <c r="H16" t="str">
        <f>IFERROR(VLOOKUP(B16,'Pre-Summary'!$AE$6:$AJ$85,4,FALSE),"")</f>
        <v/>
      </c>
      <c r="I16" t="str">
        <f>IFERROR(VLOOKUP(B16,'Pre-Summary'!$AE$6:$AJ$85,5,FALSE),"")</f>
        <v/>
      </c>
      <c r="J16" s="45" t="str">
        <f>IFERROR(VLOOKUP(B16,'Pre-Summary'!$AE$6:$AJ$85,6, FALSE),"")</f>
        <v/>
      </c>
      <c r="K16" s="45" t="str">
        <f>IFERROR(VLOOKUP(B16,'Pre-Summary'!$DE$6:$DG$61,3,FALSE),"")</f>
        <v/>
      </c>
      <c r="L16" s="45" t="str">
        <f>IFERROR(VLOOKUP(B16,'Pre-Summary'!$CU$6:$CW$36,3,FALSE),"")</f>
        <v/>
      </c>
      <c r="M16" s="45" t="str">
        <f>IFERROR(VLOOKUP(B16,'Pre-Summary'!$BW$6:$BY$58,2,FALSE),"")</f>
        <v/>
      </c>
      <c r="N16" s="45" t="str">
        <f>IFERROR(VLOOKUP(B16,'Pre-Summary'!$CD$6:$CF$64,2,FALSE),"")</f>
        <v/>
      </c>
      <c r="O16" s="99">
        <f>IFERROR(VLOOKUP(B16,'Pre-Summary'!$BO$6:$BQ$48,3, FALSE),O15)</f>
        <v>1.0915248032216731</v>
      </c>
      <c r="P16" s="99">
        <f>IFERROR(VLOOKUP(B16,'Pre-Summary'!$BS$6:$BU$35,3,FALSE),P15)</f>
        <v>0.25</v>
      </c>
      <c r="Q16" s="54">
        <f t="shared" si="0"/>
        <v>4.3660992128866924</v>
      </c>
      <c r="R16" s="53">
        <f>IFERROR(VLOOKUP(B16,'Pre-Summary'!$BG$6:$BM$44,7,FALSE),R17)</f>
        <v>2.7904161219319636E-2</v>
      </c>
      <c r="S16" s="53">
        <f>IFERROR(VLOOKUP(B16,'Pre-Summary'!$BG$6:$BM$44,6,FALSE),S17)</f>
        <v>3.3978715219895171E-2</v>
      </c>
      <c r="T16" s="45" t="str">
        <f>IFERROR(VLOOKUP(B16,'Pre-Summary'!$Y$6:$AC$83, 3,FALSE),"")</f>
        <v/>
      </c>
      <c r="U16" s="45" t="str">
        <f>IFERROR(VLOOKUP(B16,'Pre-Summary'!$Y$6:$AC$83, 4,FALSE),"")</f>
        <v/>
      </c>
      <c r="V16" t="str">
        <f>IFERROR(VLOOKUP(B16,'Pre-Summary'!$Y$6:$AC$83, 5,FALSE),"")</f>
        <v/>
      </c>
      <c r="W16" s="45" t="str">
        <f>IFERROR(VLOOKUP(B16,'Pre-Summary'!$Y$6:$AD$83,6,FALSE),"")</f>
        <v/>
      </c>
      <c r="X16" t="str">
        <f>IFERROR(VLOOKUP('Pre-Summary'!$DB$6:$DD$63,3,FALSE),"")</f>
        <v/>
      </c>
      <c r="Y16" t="str">
        <f>IFERROR(VLOOKUP(B16,'Pre-Summary'!$CR$6:$CT$36,3,FALSE),"")</f>
        <v/>
      </c>
      <c r="Z16" s="45" t="str">
        <f>IFERROR(VLOOKUP(B16,'Pre-Summary'!$BZ$6:$CB$63,2,FALSE),"")</f>
        <v/>
      </c>
      <c r="AA16" s="45" t="str">
        <f>IFERROR(VLOOKUP(B16,'Pre-Summary'!$CG$6:$CI$70,2,FALSE),"")</f>
        <v/>
      </c>
      <c r="AB16" s="99">
        <f>IFERROR(VLOOKUP(B16,'Pre-Summary'!$A$6:$P$178,9,FALSE),AB17)</f>
        <v>0.88641691086917873</v>
      </c>
      <c r="AC16" s="10">
        <f>IFERROR(VLOOKUP(Summary!B16,'Pre-Summary'!$A$6:$P$184,5, FALSE)/100,AC17)</f>
        <v>0</v>
      </c>
      <c r="AD16" s="10">
        <f>IFERROR(VLOOKUP(Summary!B16,'Pre-Summary'!$A$6:$P$184,3, FALSE)/100,AD17)</f>
        <v>0.88461866666666666</v>
      </c>
      <c r="AE16" s="10">
        <f>IFERROR(VLOOKUP(Summary!B16,'Pre-Summary'!$A$6:$P$184,7, FALSE)/100,AE17)</f>
        <v>0.11538133333333335</v>
      </c>
      <c r="AF16" s="99">
        <f t="shared" si="1"/>
        <v>0.78414094580387839</v>
      </c>
      <c r="AG16" s="99">
        <f t="shared" si="2"/>
        <v>0.10227596506530034</v>
      </c>
      <c r="AH16" s="10" t="str">
        <f>IFERROR(VLOOKUP(B16,'Pre-Summary'!$AZ$6:$BE$65,3,FALSE),"")</f>
        <v/>
      </c>
      <c r="AI16" s="10" t="str">
        <f>IFERROR(VLOOKUP(B16,'Pre-Summary'!$AZ$6:$BE$65,5,FALSE),"")</f>
        <v/>
      </c>
      <c r="AJ16" s="10" t="str">
        <f>IFERROR(VLOOKUP(B16,'Pre-Summary'!$AZ$6:$BE$65,4,FALSE),"")</f>
        <v/>
      </c>
      <c r="AK16" s="10" t="str">
        <f>IFERROR(VLOOKUP(B16,'Pre-Summary'!$AZ$6:$BE$65,6,FALSE),"")</f>
        <v/>
      </c>
      <c r="AL16" s="10" t="str">
        <f>IFERROR(VLOOKUP(B16,'Pre-Summary'!$BG$6:$BL$44,3,FALSE),"")</f>
        <v/>
      </c>
      <c r="AM16" s="10" t="str">
        <f>IFERROR(VLOOKUP(B16,'Pre-Summary'!$BG$6:$BL$44,4,FALSE),"")</f>
        <v/>
      </c>
    </row>
    <row r="17" spans="2:39" ht="14.4" x14ac:dyDescent="0.3">
      <c r="B17">
        <v>1.4</v>
      </c>
      <c r="C17" t="str">
        <f>IFERROR(VLOOKUP(B17,'Pre-Summary'!$DI$6:$DM$23,4,FALSE),"")</f>
        <v/>
      </c>
      <c r="D17" s="10" t="str">
        <f>IFERROR(VLOOKUP(B17,'Pre-Summary'!$AT$6:$AX$14,5,FALSE),D16)</f>
        <v>DSMZ v1: Using DSMZ 120 without NaHCO3</v>
      </c>
      <c r="E17" s="10" t="str">
        <f>IFERROR(VLOOKUP(B17,'Pre-Summary'!$AT$6:$AX$15,4,FALSE),"")</f>
        <v/>
      </c>
      <c r="F17">
        <f>IFERROR(VLOOKUP(B17,'Pre-Summary'!$AL$6:$AQ$13,6,FALSE),F16)</f>
        <v>5.9405263157894746E-2</v>
      </c>
      <c r="G17" t="str">
        <f>IFERROR(VLOOKUP(B17,'Pre-Summary'!$AE$6:$AJ$85,3,FALSE),"")</f>
        <v/>
      </c>
      <c r="H17" t="str">
        <f>IFERROR(VLOOKUP(B17,'Pre-Summary'!$AE$6:$AJ$85,4,FALSE),"")</f>
        <v/>
      </c>
      <c r="I17" t="str">
        <f>IFERROR(VLOOKUP(B17,'Pre-Summary'!$AE$6:$AJ$85,5,FALSE),"")</f>
        <v/>
      </c>
      <c r="J17" s="45" t="str">
        <f>IFERROR(VLOOKUP(B17,'Pre-Summary'!$AE$6:$AJ$85,6, FALSE),"")</f>
        <v/>
      </c>
      <c r="K17" s="45" t="str">
        <f>IFERROR(VLOOKUP(B17,'Pre-Summary'!$DE$6:$DG$61,3,FALSE),"")</f>
        <v/>
      </c>
      <c r="L17" s="45" t="str">
        <f>IFERROR(VLOOKUP(B17,'Pre-Summary'!$CU$6:$CW$36,3,FALSE),"")</f>
        <v/>
      </c>
      <c r="M17" s="45" t="str">
        <f>IFERROR(VLOOKUP(B17,'Pre-Summary'!$BW$6:$BY$58,2,FALSE),"")</f>
        <v/>
      </c>
      <c r="N17" s="45" t="str">
        <f>IFERROR(VLOOKUP(B17,'Pre-Summary'!$CD$6:$CF$64,2,FALSE),"")</f>
        <v/>
      </c>
      <c r="O17" s="99">
        <f>IFERROR(VLOOKUP(B17,'Pre-Summary'!$BO$6:$BQ$48,3, FALSE),O16)</f>
        <v>1.0915248032216731</v>
      </c>
      <c r="P17" s="99">
        <f>IFERROR(VLOOKUP(B17,'Pre-Summary'!$BS$6:$BU$35,3,FALSE),P16)</f>
        <v>0.25</v>
      </c>
      <c r="Q17" s="54">
        <f t="shared" si="0"/>
        <v>4.3660992128866924</v>
      </c>
      <c r="R17" s="53">
        <f>IFERROR(VLOOKUP(B17,'Pre-Summary'!$BG$6:$BM$44,7,FALSE),R18)</f>
        <v>2.7904161219319636E-2</v>
      </c>
      <c r="S17" s="53">
        <f>IFERROR(VLOOKUP(B17,'Pre-Summary'!$BG$6:$BM$44,6,FALSE),S18)</f>
        <v>3.3978715219895171E-2</v>
      </c>
      <c r="T17" s="45" t="str">
        <f>IFERROR(VLOOKUP(B17,'Pre-Summary'!$Y$6:$AC$83, 3,FALSE),"")</f>
        <v/>
      </c>
      <c r="U17" s="45" t="str">
        <f>IFERROR(VLOOKUP(B17,'Pre-Summary'!$Y$6:$AC$83, 4,FALSE),"")</f>
        <v/>
      </c>
      <c r="V17" t="str">
        <f>IFERROR(VLOOKUP(B17,'Pre-Summary'!$Y$6:$AC$83, 5,FALSE),"")</f>
        <v/>
      </c>
      <c r="W17" s="45" t="str">
        <f>IFERROR(VLOOKUP(B17,'Pre-Summary'!$Y$6:$AD$83,6,FALSE),"")</f>
        <v/>
      </c>
      <c r="X17" t="str">
        <f>IFERROR(VLOOKUP('Pre-Summary'!$DB$6:$DD$63,3,FALSE),"")</f>
        <v/>
      </c>
      <c r="Y17" t="str">
        <f>IFERROR(VLOOKUP(B17,'Pre-Summary'!$CR$6:$CT$36,3,FALSE),"")</f>
        <v/>
      </c>
      <c r="Z17" s="45" t="str">
        <f>IFERROR(VLOOKUP(B17,'Pre-Summary'!$BZ$6:$CB$63,2,FALSE),"")</f>
        <v/>
      </c>
      <c r="AA17" s="45" t="str">
        <f>IFERROR(VLOOKUP(B17,'Pre-Summary'!$CG$6:$CI$70,2,FALSE),"")</f>
        <v/>
      </c>
      <c r="AB17" s="99">
        <f>IFERROR(VLOOKUP(B17,'Pre-Summary'!$A$6:$P$178,9,FALSE),AB18)</f>
        <v>0.88641691086917873</v>
      </c>
      <c r="AC17" s="10">
        <f>IFERROR(VLOOKUP(Summary!B17,'Pre-Summary'!$A$6:$P$184,5, FALSE)/100,AC18)</f>
        <v>0</v>
      </c>
      <c r="AD17" s="10">
        <f>IFERROR(VLOOKUP(Summary!B17,'Pre-Summary'!$A$6:$P$184,3, FALSE)/100,AD18)</f>
        <v>0.88461866666666666</v>
      </c>
      <c r="AE17" s="10">
        <f>IFERROR(VLOOKUP(Summary!B17,'Pre-Summary'!$A$6:$P$184,7, FALSE)/100,AE18)</f>
        <v>0.11538133333333335</v>
      </c>
      <c r="AF17" s="99">
        <f t="shared" si="1"/>
        <v>0.78414094580387839</v>
      </c>
      <c r="AG17" s="99">
        <f t="shared" si="2"/>
        <v>0.10227596506530034</v>
      </c>
      <c r="AH17" s="10" t="str">
        <f>IFERROR(VLOOKUP(B17,'Pre-Summary'!$AZ$6:$BE$65,3,FALSE),"")</f>
        <v/>
      </c>
      <c r="AI17" s="10" t="str">
        <f>IFERROR(VLOOKUP(B17,'Pre-Summary'!$AZ$6:$BE$65,5,FALSE),"")</f>
        <v/>
      </c>
      <c r="AJ17" s="10" t="str">
        <f>IFERROR(VLOOKUP(B17,'Pre-Summary'!$AZ$6:$BE$65,4,FALSE),"")</f>
        <v/>
      </c>
      <c r="AK17" s="10" t="str">
        <f>IFERROR(VLOOKUP(B17,'Pre-Summary'!$AZ$6:$BE$65,6,FALSE),"")</f>
        <v/>
      </c>
      <c r="AL17" s="10" t="str">
        <f>IFERROR(VLOOKUP(B17,'Pre-Summary'!$BG$6:$BL$44,3,FALSE),"")</f>
        <v/>
      </c>
      <c r="AM17" s="10" t="str">
        <f>IFERROR(VLOOKUP(B17,'Pre-Summary'!$BG$6:$BL$44,4,FALSE),"")</f>
        <v/>
      </c>
    </row>
    <row r="18" spans="2:39" ht="14.4" x14ac:dyDescent="0.3">
      <c r="B18">
        <v>1.5</v>
      </c>
      <c r="C18" t="str">
        <f>IFERROR(VLOOKUP(B18,'Pre-Summary'!$DI$6:$DM$23,4,FALSE),"")</f>
        <v/>
      </c>
      <c r="D18" s="10" t="str">
        <f>IFERROR(VLOOKUP(B18,'Pre-Summary'!$AT$6:$AX$14,5,FALSE),D17)</f>
        <v>DSMZ v1: Using DSMZ 120 without NaHCO3</v>
      </c>
      <c r="E18" s="10" t="str">
        <f>IFERROR(VLOOKUP(B18,'Pre-Summary'!$AT$6:$AX$15,4,FALSE),"")</f>
        <v/>
      </c>
      <c r="F18">
        <f>IFERROR(VLOOKUP(B18,'Pre-Summary'!$AL$6:$AQ$13,6,FALSE),F17)</f>
        <v>5.9405263157894746E-2</v>
      </c>
      <c r="G18" t="str">
        <f>IFERROR(VLOOKUP(B18,'Pre-Summary'!$AE$6:$AJ$85,3,FALSE),"")</f>
        <v/>
      </c>
      <c r="H18" t="str">
        <f>IFERROR(VLOOKUP(B18,'Pre-Summary'!$AE$6:$AJ$85,4,FALSE),"")</f>
        <v/>
      </c>
      <c r="I18" t="str">
        <f>IFERROR(VLOOKUP(B18,'Pre-Summary'!$AE$6:$AJ$85,5,FALSE),"")</f>
        <v/>
      </c>
      <c r="J18" s="45" t="str">
        <f>IFERROR(VLOOKUP(B18,'Pre-Summary'!$AE$6:$AJ$85,6, FALSE),"")</f>
        <v/>
      </c>
      <c r="K18" s="45" t="str">
        <f>IFERROR(VLOOKUP(B18,'Pre-Summary'!$DE$6:$DG$61,3,FALSE),"")</f>
        <v/>
      </c>
      <c r="L18" s="45" t="str">
        <f>IFERROR(VLOOKUP(B18,'Pre-Summary'!$CU$6:$CW$36,3,FALSE),"")</f>
        <v/>
      </c>
      <c r="M18" s="45" t="str">
        <f>IFERROR(VLOOKUP(B18,'Pre-Summary'!$BW$6:$BY$58,2,FALSE),"")</f>
        <v/>
      </c>
      <c r="N18" s="45" t="str">
        <f>IFERROR(VLOOKUP(B18,'Pre-Summary'!$CD$6:$CF$64,2,FALSE),"")</f>
        <v/>
      </c>
      <c r="O18" s="99">
        <f>IFERROR(VLOOKUP(B18,'Pre-Summary'!$BO$6:$BQ$48,3, FALSE),O17)</f>
        <v>1.0915248032216731</v>
      </c>
      <c r="P18" s="99">
        <f>IFERROR(VLOOKUP(B18,'Pre-Summary'!$BS$6:$BU$35,3,FALSE),P17)</f>
        <v>0.25</v>
      </c>
      <c r="Q18" s="54">
        <f t="shared" si="0"/>
        <v>4.3660992128866924</v>
      </c>
      <c r="R18" s="53">
        <f>IFERROR(VLOOKUP(B18,'Pre-Summary'!$BG$6:$BM$44,7,FALSE),R19)</f>
        <v>2.7904161219319636E-2</v>
      </c>
      <c r="S18" s="53">
        <f>IFERROR(VLOOKUP(B18,'Pre-Summary'!$BG$6:$BM$44,6,FALSE),S19)</f>
        <v>3.3978715219895171E-2</v>
      </c>
      <c r="T18" s="45" t="str">
        <f>IFERROR(VLOOKUP(B18,'Pre-Summary'!$Y$6:$AC$83, 3,FALSE),"")</f>
        <v/>
      </c>
      <c r="U18" s="45" t="str">
        <f>IFERROR(VLOOKUP(B18,'Pre-Summary'!$Y$6:$AC$83, 4,FALSE),"")</f>
        <v/>
      </c>
      <c r="V18" t="str">
        <f>IFERROR(VLOOKUP(B18,'Pre-Summary'!$Y$6:$AC$83, 5,FALSE),"")</f>
        <v/>
      </c>
      <c r="W18" s="45" t="str">
        <f>IFERROR(VLOOKUP(B18,'Pre-Summary'!$Y$6:$AD$83,6,FALSE),"")</f>
        <v/>
      </c>
      <c r="X18" t="str">
        <f>IFERROR(VLOOKUP('Pre-Summary'!$DB$6:$DD$63,3,FALSE),"")</f>
        <v/>
      </c>
      <c r="Y18" t="str">
        <f>IFERROR(VLOOKUP(B18,'Pre-Summary'!$CR$6:$CT$36,3,FALSE),"")</f>
        <v/>
      </c>
      <c r="Z18" s="45" t="str">
        <f>IFERROR(VLOOKUP(B18,'Pre-Summary'!$BZ$6:$CB$63,2,FALSE),"")</f>
        <v/>
      </c>
      <c r="AA18" s="45" t="str">
        <f>IFERROR(VLOOKUP(B18,'Pre-Summary'!$CG$6:$CI$70,2,FALSE),"")</f>
        <v/>
      </c>
      <c r="AB18" s="99">
        <f>IFERROR(VLOOKUP(B18,'Pre-Summary'!$A$6:$P$178,9,FALSE),AB19)</f>
        <v>0.88641691086917873</v>
      </c>
      <c r="AC18" s="10">
        <f>IFERROR(VLOOKUP(Summary!B18,'Pre-Summary'!$A$6:$P$184,5, FALSE)/100,AC19)</f>
        <v>0</v>
      </c>
      <c r="AD18" s="10">
        <f>IFERROR(VLOOKUP(Summary!B18,'Pre-Summary'!$A$6:$P$184,3, FALSE)/100,AD19)</f>
        <v>0.88461866666666666</v>
      </c>
      <c r="AE18" s="10">
        <f>IFERROR(VLOOKUP(Summary!B18,'Pre-Summary'!$A$6:$P$184,7, FALSE)/100,AE19)</f>
        <v>0.11538133333333335</v>
      </c>
      <c r="AF18" s="99">
        <f t="shared" si="1"/>
        <v>0.78414094580387839</v>
      </c>
      <c r="AG18" s="99">
        <f t="shared" si="2"/>
        <v>0.10227596506530034</v>
      </c>
      <c r="AH18" s="10" t="str">
        <f>IFERROR(VLOOKUP(B18,'Pre-Summary'!$AZ$6:$BE$65,3,FALSE),"")</f>
        <v/>
      </c>
      <c r="AI18" s="10" t="str">
        <f>IFERROR(VLOOKUP(B18,'Pre-Summary'!$AZ$6:$BE$65,5,FALSE),"")</f>
        <v/>
      </c>
      <c r="AJ18" s="10" t="str">
        <f>IFERROR(VLOOKUP(B18,'Pre-Summary'!$AZ$6:$BE$65,4,FALSE),"")</f>
        <v/>
      </c>
      <c r="AK18" s="10" t="str">
        <f>IFERROR(VLOOKUP(B18,'Pre-Summary'!$AZ$6:$BE$65,6,FALSE),"")</f>
        <v/>
      </c>
      <c r="AL18" s="10" t="str">
        <f>IFERROR(VLOOKUP(B18,'Pre-Summary'!$BG$6:$BL$44,3,FALSE),"")</f>
        <v/>
      </c>
      <c r="AM18" s="10" t="str">
        <f>IFERROR(VLOOKUP(B18,'Pre-Summary'!$BG$6:$BL$44,4,FALSE),"")</f>
        <v/>
      </c>
    </row>
    <row r="19" spans="2:39" ht="14.4" x14ac:dyDescent="0.3">
      <c r="B19">
        <v>1.6</v>
      </c>
      <c r="C19" t="str">
        <f>IFERROR(VLOOKUP(B19,'Pre-Summary'!$DI$6:$DM$23,4,FALSE),"")</f>
        <v/>
      </c>
      <c r="D19" s="10" t="str">
        <f>IFERROR(VLOOKUP(B19,'Pre-Summary'!$AT$6:$AX$14,5,FALSE),D18)</f>
        <v>DSMZ v1: Using DSMZ 120 without NaHCO3</v>
      </c>
      <c r="E19" s="10" t="str">
        <f>IFERROR(VLOOKUP(B19,'Pre-Summary'!$AT$6:$AX$15,4,FALSE),"")</f>
        <v/>
      </c>
      <c r="F19">
        <f>IFERROR(VLOOKUP(B19,'Pre-Summary'!$AL$6:$AQ$13,6,FALSE),F18)</f>
        <v>5.9405263157894746E-2</v>
      </c>
      <c r="G19" t="str">
        <f>IFERROR(VLOOKUP(B19,'Pre-Summary'!$AE$6:$AJ$85,3,FALSE),"")</f>
        <v/>
      </c>
      <c r="H19" t="str">
        <f>IFERROR(VLOOKUP(B19,'Pre-Summary'!$AE$6:$AJ$85,4,FALSE),"")</f>
        <v/>
      </c>
      <c r="I19" t="str">
        <f>IFERROR(VLOOKUP(B19,'Pre-Summary'!$AE$6:$AJ$85,5,FALSE),"")</f>
        <v/>
      </c>
      <c r="J19" s="45" t="str">
        <f>IFERROR(VLOOKUP(B19,'Pre-Summary'!$AE$6:$AJ$85,6, FALSE),"")</f>
        <v/>
      </c>
      <c r="K19" s="45" t="str">
        <f>IFERROR(VLOOKUP(B19,'Pre-Summary'!$DE$6:$DG$61,3,FALSE),"")</f>
        <v/>
      </c>
      <c r="L19" s="45" t="str">
        <f>IFERROR(VLOOKUP(B19,'Pre-Summary'!$CU$6:$CW$36,3,FALSE),"")</f>
        <v/>
      </c>
      <c r="M19" s="45" t="str">
        <f>IFERROR(VLOOKUP(B19,'Pre-Summary'!$BW$6:$BY$58,2,FALSE),"")</f>
        <v/>
      </c>
      <c r="N19" s="45" t="str">
        <f>IFERROR(VLOOKUP(B19,'Pre-Summary'!$CD$6:$CF$64,2,FALSE),"")</f>
        <v/>
      </c>
      <c r="O19" s="99">
        <f>IFERROR(VLOOKUP(B19,'Pre-Summary'!$BO$6:$BQ$48,3, FALSE),O18)</f>
        <v>1.0915248032216731</v>
      </c>
      <c r="P19" s="99">
        <f>IFERROR(VLOOKUP(B19,'Pre-Summary'!$BS$6:$BU$35,3,FALSE),P18)</f>
        <v>0.25</v>
      </c>
      <c r="Q19" s="54">
        <f t="shared" si="0"/>
        <v>4.3660992128866924</v>
      </c>
      <c r="R19" s="53">
        <f>IFERROR(VLOOKUP(B19,'Pre-Summary'!$BG$6:$BM$44,7,FALSE),R20)</f>
        <v>2.7904161219319636E-2</v>
      </c>
      <c r="S19" s="53">
        <f>IFERROR(VLOOKUP(B19,'Pre-Summary'!$BG$6:$BM$44,6,FALSE),S20)</f>
        <v>3.3978715219895171E-2</v>
      </c>
      <c r="T19" s="45" t="str">
        <f>IFERROR(VLOOKUP(B19,'Pre-Summary'!$Y$6:$AC$83, 3,FALSE),"")</f>
        <v/>
      </c>
      <c r="U19" s="45" t="str">
        <f>IFERROR(VLOOKUP(B19,'Pre-Summary'!$Y$6:$AC$83, 4,FALSE),"")</f>
        <v/>
      </c>
      <c r="V19" t="str">
        <f>IFERROR(VLOOKUP(B19,'Pre-Summary'!$Y$6:$AC$83, 5,FALSE),"")</f>
        <v/>
      </c>
      <c r="W19" s="45" t="str">
        <f>IFERROR(VLOOKUP(B19,'Pre-Summary'!$Y$6:$AD$83,6,FALSE),"")</f>
        <v/>
      </c>
      <c r="X19" t="str">
        <f>IFERROR(VLOOKUP('Pre-Summary'!$DB$6:$DD$63,3,FALSE),"")</f>
        <v/>
      </c>
      <c r="Y19" t="str">
        <f>IFERROR(VLOOKUP(B19,'Pre-Summary'!$CR$6:$CT$36,3,FALSE),"")</f>
        <v/>
      </c>
      <c r="Z19" s="45" t="str">
        <f>IFERROR(VLOOKUP(B19,'Pre-Summary'!$BZ$6:$CB$63,2,FALSE),"")</f>
        <v/>
      </c>
      <c r="AA19" s="45" t="str">
        <f>IFERROR(VLOOKUP(B19,'Pre-Summary'!$CG$6:$CI$70,2,FALSE),"")</f>
        <v/>
      </c>
      <c r="AB19" s="99">
        <f>IFERROR(VLOOKUP(B19,'Pre-Summary'!$A$6:$P$178,9,FALSE),AB20)</f>
        <v>0.88641691086917873</v>
      </c>
      <c r="AC19" s="10">
        <f>IFERROR(VLOOKUP(Summary!B19,'Pre-Summary'!$A$6:$P$184,5, FALSE)/100,AC20)</f>
        <v>0</v>
      </c>
      <c r="AD19" s="10">
        <f>IFERROR(VLOOKUP(Summary!B19,'Pre-Summary'!$A$6:$P$184,3, FALSE)/100,AD20)</f>
        <v>0.88461866666666666</v>
      </c>
      <c r="AE19" s="10">
        <f>IFERROR(VLOOKUP(Summary!B19,'Pre-Summary'!$A$6:$P$184,7, FALSE)/100,AE20)</f>
        <v>0.11538133333333335</v>
      </c>
      <c r="AF19" s="99">
        <f t="shared" si="1"/>
        <v>0.78414094580387839</v>
      </c>
      <c r="AG19" s="99">
        <f t="shared" si="2"/>
        <v>0.10227596506530034</v>
      </c>
      <c r="AH19" s="10" t="str">
        <f>IFERROR(VLOOKUP(B19,'Pre-Summary'!$AZ$6:$BE$65,3,FALSE),"")</f>
        <v/>
      </c>
      <c r="AI19" s="10" t="str">
        <f>IFERROR(VLOOKUP(B19,'Pre-Summary'!$AZ$6:$BE$65,5,FALSE),"")</f>
        <v/>
      </c>
      <c r="AJ19" s="10" t="str">
        <f>IFERROR(VLOOKUP(B19,'Pre-Summary'!$AZ$6:$BE$65,4,FALSE),"")</f>
        <v/>
      </c>
      <c r="AK19" s="10" t="str">
        <f>IFERROR(VLOOKUP(B19,'Pre-Summary'!$AZ$6:$BE$65,6,FALSE),"")</f>
        <v/>
      </c>
      <c r="AL19" s="10" t="str">
        <f>IFERROR(VLOOKUP(B19,'Pre-Summary'!$BG$6:$BL$44,3,FALSE),"")</f>
        <v/>
      </c>
      <c r="AM19" s="10" t="str">
        <f>IFERROR(VLOOKUP(B19,'Pre-Summary'!$BG$6:$BL$44,4,FALSE),"")</f>
        <v/>
      </c>
    </row>
    <row r="20" spans="2:39" ht="14.4" x14ac:dyDescent="0.3">
      <c r="B20">
        <v>1.7</v>
      </c>
      <c r="C20" t="str">
        <f>IFERROR(VLOOKUP(B20,'Pre-Summary'!$DI$6:$DM$23,4,FALSE),"")</f>
        <v/>
      </c>
      <c r="D20" s="10" t="str">
        <f>IFERROR(VLOOKUP(B20,'Pre-Summary'!$AT$6:$AX$14,5,FALSE),D19)</f>
        <v>DSMZ v1: Using DSMZ 120 without NaHCO3</v>
      </c>
      <c r="E20" s="10" t="str">
        <f>IFERROR(VLOOKUP(B20,'Pre-Summary'!$AT$6:$AX$15,4,FALSE),"")</f>
        <v/>
      </c>
      <c r="F20">
        <f>IFERROR(VLOOKUP(B20,'Pre-Summary'!$AL$6:$AQ$13,6,FALSE),F19)</f>
        <v>5.9405263157894746E-2</v>
      </c>
      <c r="G20" t="str">
        <f>IFERROR(VLOOKUP(B20,'Pre-Summary'!$AE$6:$AJ$85,3,FALSE),"")</f>
        <v/>
      </c>
      <c r="H20" t="str">
        <f>IFERROR(VLOOKUP(B20,'Pre-Summary'!$AE$6:$AJ$85,4,FALSE),"")</f>
        <v/>
      </c>
      <c r="I20" t="str">
        <f>IFERROR(VLOOKUP(B20,'Pre-Summary'!$AE$6:$AJ$85,5,FALSE),"")</f>
        <v/>
      </c>
      <c r="J20" s="45" t="str">
        <f>IFERROR(VLOOKUP(B20,'Pre-Summary'!$AE$6:$AJ$85,6, FALSE),"")</f>
        <v/>
      </c>
      <c r="K20" s="45" t="str">
        <f>IFERROR(VLOOKUP(B20,'Pre-Summary'!$DE$6:$DG$61,3,FALSE),"")</f>
        <v/>
      </c>
      <c r="L20" s="45" t="str">
        <f>IFERROR(VLOOKUP(B20,'Pre-Summary'!$CU$6:$CW$36,3,FALSE),"")</f>
        <v/>
      </c>
      <c r="M20" s="45" t="str">
        <f>IFERROR(VLOOKUP(B20,'Pre-Summary'!$BW$6:$BY$58,2,FALSE),"")</f>
        <v/>
      </c>
      <c r="N20" s="45" t="str">
        <f>IFERROR(VLOOKUP(B20,'Pre-Summary'!$CD$6:$CF$64,2,FALSE),"")</f>
        <v/>
      </c>
      <c r="O20" s="99">
        <f>IFERROR(VLOOKUP(B20,'Pre-Summary'!$BO$6:$BQ$48,3, FALSE),O19)</f>
        <v>1.0915248032216731</v>
      </c>
      <c r="P20" s="99">
        <f>IFERROR(VLOOKUP(B20,'Pre-Summary'!$BS$6:$BU$35,3,FALSE),P19)</f>
        <v>0.25</v>
      </c>
      <c r="Q20" s="54">
        <f t="shared" si="0"/>
        <v>4.3660992128866924</v>
      </c>
      <c r="R20" s="53">
        <f>IFERROR(VLOOKUP(B20,'Pre-Summary'!$BG$6:$BM$44,7,FALSE),R21)</f>
        <v>2.7904161219319636E-2</v>
      </c>
      <c r="S20" s="53">
        <f>IFERROR(VLOOKUP(B20,'Pre-Summary'!$BG$6:$BM$44,6,FALSE),S21)</f>
        <v>3.3978715219895171E-2</v>
      </c>
      <c r="T20" s="45" t="str">
        <f>IFERROR(VLOOKUP(B20,'Pre-Summary'!$Y$6:$AC$83, 3,FALSE),"")</f>
        <v/>
      </c>
      <c r="U20" s="45" t="str">
        <f>IFERROR(VLOOKUP(B20,'Pre-Summary'!$Y$6:$AC$83, 4,FALSE),"")</f>
        <v/>
      </c>
      <c r="V20" t="str">
        <f>IFERROR(VLOOKUP(B20,'Pre-Summary'!$Y$6:$AC$83, 5,FALSE),"")</f>
        <v/>
      </c>
      <c r="W20" s="45" t="str">
        <f>IFERROR(VLOOKUP(B20,'Pre-Summary'!$Y$6:$AD$83,6,FALSE),"")</f>
        <v/>
      </c>
      <c r="X20" t="str">
        <f>IFERROR(VLOOKUP('Pre-Summary'!$DB$6:$DD$63,3,FALSE),"")</f>
        <v/>
      </c>
      <c r="Y20" t="str">
        <f>IFERROR(VLOOKUP(B20,'Pre-Summary'!$CR$6:$CT$36,3,FALSE),"")</f>
        <v/>
      </c>
      <c r="Z20" s="45" t="str">
        <f>IFERROR(VLOOKUP(B20,'Pre-Summary'!$BZ$6:$CB$63,2,FALSE),"")</f>
        <v/>
      </c>
      <c r="AA20" s="45" t="str">
        <f>IFERROR(VLOOKUP(B20,'Pre-Summary'!$CG$6:$CI$70,2,FALSE),"")</f>
        <v/>
      </c>
      <c r="AB20" s="99">
        <f>IFERROR(VLOOKUP(B20,'Pre-Summary'!$A$6:$P$178,9,FALSE),AB21)</f>
        <v>0.88641691086917873</v>
      </c>
      <c r="AC20" s="10">
        <f>IFERROR(VLOOKUP(Summary!B20,'Pre-Summary'!$A$6:$P$184,5, FALSE)/100,AC21)</f>
        <v>0</v>
      </c>
      <c r="AD20" s="10">
        <f>IFERROR(VLOOKUP(Summary!B20,'Pre-Summary'!$A$6:$P$184,3, FALSE)/100,AD21)</f>
        <v>0.88461866666666666</v>
      </c>
      <c r="AE20" s="10">
        <f>IFERROR(VLOOKUP(Summary!B20,'Pre-Summary'!$A$6:$P$184,7, FALSE)/100,AE21)</f>
        <v>0.11538133333333335</v>
      </c>
      <c r="AF20" s="99">
        <f t="shared" si="1"/>
        <v>0.78414094580387839</v>
      </c>
      <c r="AG20" s="99">
        <f t="shared" si="2"/>
        <v>0.10227596506530034</v>
      </c>
      <c r="AH20" s="10" t="str">
        <f>IFERROR(VLOOKUP(B20,'Pre-Summary'!$AZ$6:$BE$65,3,FALSE),"")</f>
        <v/>
      </c>
      <c r="AI20" s="10" t="str">
        <f>IFERROR(VLOOKUP(B20,'Pre-Summary'!$AZ$6:$BE$65,5,FALSE),"")</f>
        <v/>
      </c>
      <c r="AJ20" s="10" t="str">
        <f>IFERROR(VLOOKUP(B20,'Pre-Summary'!$AZ$6:$BE$65,4,FALSE),"")</f>
        <v/>
      </c>
      <c r="AK20" s="10" t="str">
        <f>IFERROR(VLOOKUP(B20,'Pre-Summary'!$AZ$6:$BE$65,6,FALSE),"")</f>
        <v/>
      </c>
      <c r="AL20" s="10" t="str">
        <f>IFERROR(VLOOKUP(B20,'Pre-Summary'!$BG$6:$BL$44,3,FALSE),"")</f>
        <v/>
      </c>
      <c r="AM20" s="10" t="str">
        <f>IFERROR(VLOOKUP(B20,'Pre-Summary'!$BG$6:$BL$44,4,FALSE),"")</f>
        <v/>
      </c>
    </row>
    <row r="21" spans="2:39" ht="14.4" x14ac:dyDescent="0.3">
      <c r="B21">
        <v>1.8</v>
      </c>
      <c r="C21" t="str">
        <f>IFERROR(VLOOKUP(B21,'Pre-Summary'!$DI$6:$DM$23,4,FALSE),"")</f>
        <v/>
      </c>
      <c r="D21" s="10" t="str">
        <f>IFERROR(VLOOKUP(B21,'Pre-Summary'!$AT$6:$AX$14,5,FALSE),D20)</f>
        <v>DSMZ v1: Using DSMZ 120 without NaHCO3</v>
      </c>
      <c r="E21" s="10" t="str">
        <f>IFERROR(VLOOKUP(B21,'Pre-Summary'!$AT$6:$AX$15,4,FALSE),"")</f>
        <v/>
      </c>
      <c r="F21">
        <f>IFERROR(VLOOKUP(B21,'Pre-Summary'!$AL$6:$AQ$13,6,FALSE),F20)</f>
        <v>5.9405263157894746E-2</v>
      </c>
      <c r="G21" t="str">
        <f>IFERROR(VLOOKUP(B21,'Pre-Summary'!$AE$6:$AJ$85,3,FALSE),"")</f>
        <v/>
      </c>
      <c r="H21" t="str">
        <f>IFERROR(VLOOKUP(B21,'Pre-Summary'!$AE$6:$AJ$85,4,FALSE),"")</f>
        <v/>
      </c>
      <c r="I21" t="str">
        <f>IFERROR(VLOOKUP(B21,'Pre-Summary'!$AE$6:$AJ$85,5,FALSE),"")</f>
        <v/>
      </c>
      <c r="J21" s="45" t="str">
        <f>IFERROR(VLOOKUP(B21,'Pre-Summary'!$AE$6:$AJ$85,6, FALSE),"")</f>
        <v/>
      </c>
      <c r="K21" s="45" t="str">
        <f>IFERROR(VLOOKUP(B21,'Pre-Summary'!$DE$6:$DG$61,3,FALSE),"")</f>
        <v/>
      </c>
      <c r="L21" s="45" t="str">
        <f>IFERROR(VLOOKUP(B21,'Pre-Summary'!$CU$6:$CW$36,3,FALSE),"")</f>
        <v/>
      </c>
      <c r="M21" s="45" t="str">
        <f>IFERROR(VLOOKUP(B21,'Pre-Summary'!$BW$6:$BY$58,2,FALSE),"")</f>
        <v/>
      </c>
      <c r="N21" s="45" t="str">
        <f>IFERROR(VLOOKUP(B21,'Pre-Summary'!$CD$6:$CF$64,2,FALSE),"")</f>
        <v/>
      </c>
      <c r="O21" s="99">
        <f>IFERROR(VLOOKUP(B21,'Pre-Summary'!$BO$6:$BQ$48,3, FALSE),O20)</f>
        <v>1.0915248032216731</v>
      </c>
      <c r="P21" s="99">
        <f>IFERROR(VLOOKUP(B21,'Pre-Summary'!$BS$6:$BU$35,3,FALSE),P20)</f>
        <v>0.25</v>
      </c>
      <c r="Q21" s="54">
        <f t="shared" si="0"/>
        <v>4.3660992128866924</v>
      </c>
      <c r="R21" s="53">
        <f>IFERROR(VLOOKUP(B21,'Pre-Summary'!$BG$6:$BM$44,7,FALSE),R22)</f>
        <v>2.7904161219319636E-2</v>
      </c>
      <c r="S21" s="53">
        <f>IFERROR(VLOOKUP(B21,'Pre-Summary'!$BG$6:$BM$44,6,FALSE),S22)</f>
        <v>3.3978715219895171E-2</v>
      </c>
      <c r="T21" s="45" t="str">
        <f>IFERROR(VLOOKUP(B21,'Pre-Summary'!$Y$6:$AC$83, 3,FALSE),"")</f>
        <v/>
      </c>
      <c r="U21" s="45" t="str">
        <f>IFERROR(VLOOKUP(B21,'Pre-Summary'!$Y$6:$AC$83, 4,FALSE),"")</f>
        <v/>
      </c>
      <c r="V21" t="str">
        <f>IFERROR(VLOOKUP(B21,'Pre-Summary'!$Y$6:$AC$83, 5,FALSE),"")</f>
        <v/>
      </c>
      <c r="W21" s="45" t="str">
        <f>IFERROR(VLOOKUP(B21,'Pre-Summary'!$Y$6:$AD$83,6,FALSE),"")</f>
        <v/>
      </c>
      <c r="X21" t="str">
        <f>IFERROR(VLOOKUP('Pre-Summary'!$DB$6:$DD$63,3,FALSE),"")</f>
        <v/>
      </c>
      <c r="Y21" t="str">
        <f>IFERROR(VLOOKUP(B21,'Pre-Summary'!$CR$6:$CT$36,3,FALSE),"")</f>
        <v/>
      </c>
      <c r="Z21" s="45" t="str">
        <f>IFERROR(VLOOKUP(B21,'Pre-Summary'!$BZ$6:$CB$63,2,FALSE),"")</f>
        <v/>
      </c>
      <c r="AA21" s="45" t="str">
        <f>IFERROR(VLOOKUP(B21,'Pre-Summary'!$CG$6:$CI$70,2,FALSE),"")</f>
        <v/>
      </c>
      <c r="AB21" s="99">
        <f>IFERROR(VLOOKUP(B21,'Pre-Summary'!$A$6:$P$178,9,FALSE),AB22)</f>
        <v>0.88641691086917873</v>
      </c>
      <c r="AC21" s="10">
        <f>IFERROR(VLOOKUP(Summary!B21,'Pre-Summary'!$A$6:$P$184,5, FALSE)/100,AC22)</f>
        <v>0</v>
      </c>
      <c r="AD21" s="10">
        <f>IFERROR(VLOOKUP(Summary!B21,'Pre-Summary'!$A$6:$P$184,3, FALSE)/100,AD22)</f>
        <v>0.88461866666666666</v>
      </c>
      <c r="AE21" s="10">
        <f>IFERROR(VLOOKUP(Summary!B21,'Pre-Summary'!$A$6:$P$184,7, FALSE)/100,AE22)</f>
        <v>0.11538133333333335</v>
      </c>
      <c r="AF21" s="99">
        <f t="shared" si="1"/>
        <v>0.78414094580387839</v>
      </c>
      <c r="AG21" s="99">
        <f t="shared" si="2"/>
        <v>0.10227596506530034</v>
      </c>
      <c r="AH21" s="10" t="str">
        <f>IFERROR(VLOOKUP(B21,'Pre-Summary'!$AZ$6:$BE$65,3,FALSE),"")</f>
        <v/>
      </c>
      <c r="AI21" s="10" t="str">
        <f>IFERROR(VLOOKUP(B21,'Pre-Summary'!$AZ$6:$BE$65,5,FALSE),"")</f>
        <v/>
      </c>
      <c r="AJ21" s="10" t="str">
        <f>IFERROR(VLOOKUP(B21,'Pre-Summary'!$AZ$6:$BE$65,4,FALSE),"")</f>
        <v/>
      </c>
      <c r="AK21" s="10" t="str">
        <f>IFERROR(VLOOKUP(B21,'Pre-Summary'!$AZ$6:$BE$65,6,FALSE),"")</f>
        <v/>
      </c>
      <c r="AL21" s="10" t="str">
        <f>IFERROR(VLOOKUP(B21,'Pre-Summary'!$BG$6:$BL$44,3,FALSE),"")</f>
        <v/>
      </c>
      <c r="AM21" s="10" t="str">
        <f>IFERROR(VLOOKUP(B21,'Pre-Summary'!$BG$6:$BL$44,4,FALSE),"")</f>
        <v/>
      </c>
    </row>
    <row r="22" spans="2:39" ht="14.4" x14ac:dyDescent="0.3">
      <c r="B22">
        <v>1.9</v>
      </c>
      <c r="C22" t="str">
        <f>IFERROR(VLOOKUP(B22,'Pre-Summary'!$DI$6:$DM$23,4,FALSE),"")</f>
        <v/>
      </c>
      <c r="D22" s="10" t="str">
        <f>IFERROR(VLOOKUP(B22,'Pre-Summary'!$AT$6:$AX$14,5,FALSE),D21)</f>
        <v>DSMZ v1: Using DSMZ 120 without NaHCO3</v>
      </c>
      <c r="E22" s="10" t="str">
        <f>IFERROR(VLOOKUP(B22,'Pre-Summary'!$AT$6:$AX$15,4,FALSE),"")</f>
        <v/>
      </c>
      <c r="F22">
        <f>IFERROR(VLOOKUP(B22,'Pre-Summary'!$AL$6:$AQ$13,6,FALSE),F21)</f>
        <v>5.9405263157894746E-2</v>
      </c>
      <c r="G22" t="str">
        <f>IFERROR(VLOOKUP(B22,'Pre-Summary'!$AE$6:$AJ$85,3,FALSE),"")</f>
        <v/>
      </c>
      <c r="H22" t="str">
        <f>IFERROR(VLOOKUP(B22,'Pre-Summary'!$AE$6:$AJ$85,4,FALSE),"")</f>
        <v/>
      </c>
      <c r="I22" t="str">
        <f>IFERROR(VLOOKUP(B22,'Pre-Summary'!$AE$6:$AJ$85,5,FALSE),"")</f>
        <v/>
      </c>
      <c r="J22" s="45" t="str">
        <f>IFERROR(VLOOKUP(B22,'Pre-Summary'!$AE$6:$AJ$85,6, FALSE),"")</f>
        <v/>
      </c>
      <c r="K22" s="45" t="str">
        <f>IFERROR(VLOOKUP(B22,'Pre-Summary'!$DE$6:$DG$61,3,FALSE),"")</f>
        <v/>
      </c>
      <c r="L22" s="45" t="str">
        <f>IFERROR(VLOOKUP(B22,'Pre-Summary'!$CU$6:$CW$36,3,FALSE),"")</f>
        <v/>
      </c>
      <c r="M22" s="45" t="str">
        <f>IFERROR(VLOOKUP(B22,'Pre-Summary'!$BW$6:$BY$58,2,FALSE),"")</f>
        <v/>
      </c>
      <c r="N22" s="45" t="str">
        <f>IFERROR(VLOOKUP(B22,'Pre-Summary'!$CD$6:$CF$64,2,FALSE),"")</f>
        <v/>
      </c>
      <c r="O22" s="99">
        <f>IFERROR(VLOOKUP(B22,'Pre-Summary'!$BO$6:$BQ$48,3, FALSE),O21)</f>
        <v>1.0915248032216731</v>
      </c>
      <c r="P22" s="99">
        <f>IFERROR(VLOOKUP(B22,'Pre-Summary'!$BS$6:$BU$35,3,FALSE),P21)</f>
        <v>0.25</v>
      </c>
      <c r="Q22" s="54">
        <f t="shared" si="0"/>
        <v>4.3660992128866924</v>
      </c>
      <c r="R22" s="53">
        <f>IFERROR(VLOOKUP(B22,'Pre-Summary'!$BG$6:$BM$44,7,FALSE),R23)</f>
        <v>2.7904161219319636E-2</v>
      </c>
      <c r="S22" s="53">
        <f>IFERROR(VLOOKUP(B22,'Pre-Summary'!$BG$6:$BM$44,6,FALSE),S23)</f>
        <v>3.3978715219895171E-2</v>
      </c>
      <c r="T22" s="45" t="str">
        <f>IFERROR(VLOOKUP(B22,'Pre-Summary'!$Y$6:$AC$83, 3,FALSE),"")</f>
        <v/>
      </c>
      <c r="U22" s="45" t="str">
        <f>IFERROR(VLOOKUP(B22,'Pre-Summary'!$Y$6:$AC$83, 4,FALSE),"")</f>
        <v/>
      </c>
      <c r="V22" t="str">
        <f>IFERROR(VLOOKUP(B22,'Pre-Summary'!$Y$6:$AC$83, 5,FALSE),"")</f>
        <v/>
      </c>
      <c r="W22" s="45" t="str">
        <f>IFERROR(VLOOKUP(B22,'Pre-Summary'!$Y$6:$AD$83,6,FALSE),"")</f>
        <v/>
      </c>
      <c r="X22" t="str">
        <f>IFERROR(VLOOKUP('Pre-Summary'!$DB$6:$DD$63,3,FALSE),"")</f>
        <v/>
      </c>
      <c r="Y22" t="str">
        <f>IFERROR(VLOOKUP(B22,'Pre-Summary'!$CR$6:$CT$36,3,FALSE),"")</f>
        <v/>
      </c>
      <c r="Z22" s="45" t="str">
        <f>IFERROR(VLOOKUP(B22,'Pre-Summary'!$BZ$6:$CB$63,2,FALSE),"")</f>
        <v/>
      </c>
      <c r="AA22" s="45" t="str">
        <f>IFERROR(VLOOKUP(B22,'Pre-Summary'!$CG$6:$CI$70,2,FALSE),"")</f>
        <v/>
      </c>
      <c r="AB22" s="99">
        <f>IFERROR(VLOOKUP(B22,'Pre-Summary'!$A$6:$P$178,9,FALSE),AB23)</f>
        <v>0.88641691086917873</v>
      </c>
      <c r="AC22" s="10">
        <f>IFERROR(VLOOKUP(Summary!B22,'Pre-Summary'!$A$6:$P$184,5, FALSE)/100,AC23)</f>
        <v>0</v>
      </c>
      <c r="AD22" s="10">
        <f>IFERROR(VLOOKUP(Summary!B22,'Pre-Summary'!$A$6:$P$184,3, FALSE)/100,AD23)</f>
        <v>0.88461866666666666</v>
      </c>
      <c r="AE22" s="10">
        <f>IFERROR(VLOOKUP(Summary!B22,'Pre-Summary'!$A$6:$P$184,7, FALSE)/100,AE23)</f>
        <v>0.11538133333333335</v>
      </c>
      <c r="AF22" s="99">
        <f t="shared" si="1"/>
        <v>0.78414094580387839</v>
      </c>
      <c r="AG22" s="99">
        <f t="shared" si="2"/>
        <v>0.10227596506530034</v>
      </c>
      <c r="AH22" s="10" t="str">
        <f>IFERROR(VLOOKUP(B22,'Pre-Summary'!$AZ$6:$BE$65,3,FALSE),"")</f>
        <v/>
      </c>
      <c r="AI22" s="10" t="str">
        <f>IFERROR(VLOOKUP(B22,'Pre-Summary'!$AZ$6:$BE$65,5,FALSE),"")</f>
        <v/>
      </c>
      <c r="AJ22" s="10" t="str">
        <f>IFERROR(VLOOKUP(B22,'Pre-Summary'!$AZ$6:$BE$65,4,FALSE),"")</f>
        <v/>
      </c>
      <c r="AK22" s="10" t="str">
        <f>IFERROR(VLOOKUP(B22,'Pre-Summary'!$AZ$6:$BE$65,6,FALSE),"")</f>
        <v/>
      </c>
      <c r="AL22" s="10" t="str">
        <f>IFERROR(VLOOKUP(B22,'Pre-Summary'!$BG$6:$BL$44,3,FALSE),"")</f>
        <v/>
      </c>
      <c r="AM22" s="10" t="str">
        <f>IFERROR(VLOOKUP(B22,'Pre-Summary'!$BG$6:$BL$44,4,FALSE),"")</f>
        <v/>
      </c>
    </row>
    <row r="23" spans="2:39" ht="14.4" x14ac:dyDescent="0.3">
      <c r="B23">
        <v>2</v>
      </c>
      <c r="C23" t="str">
        <f>IFERROR(VLOOKUP(B23,'Pre-Summary'!$DI$6:$DM$23,4,FALSE),"")</f>
        <v/>
      </c>
      <c r="D23" s="10" t="str">
        <f>IFERROR(VLOOKUP(B23,'Pre-Summary'!$AT$6:$AX$14,5,FALSE),D22)</f>
        <v>DSMZ v1: Using DSMZ 120 without NaHCO3</v>
      </c>
      <c r="E23" s="10" t="str">
        <f>IFERROR(VLOOKUP(B23,'Pre-Summary'!$AT$6:$AX$15,4,FALSE),"")</f>
        <v/>
      </c>
      <c r="F23">
        <f>IFERROR(VLOOKUP(B23,'Pre-Summary'!$AL$6:$AQ$13,6,FALSE),F22)</f>
        <v>5.9405263157894746E-2</v>
      </c>
      <c r="G23" t="str">
        <f>IFERROR(VLOOKUP(B23,'Pre-Summary'!$AE$6:$AJ$85,3,FALSE),"")</f>
        <v/>
      </c>
      <c r="H23" t="str">
        <f>IFERROR(VLOOKUP(B23,'Pre-Summary'!$AE$6:$AJ$85,4,FALSE),"")</f>
        <v/>
      </c>
      <c r="I23" t="str">
        <f>IFERROR(VLOOKUP(B23,'Pre-Summary'!$AE$6:$AJ$85,5,FALSE),"")</f>
        <v/>
      </c>
      <c r="J23" s="45" t="str">
        <f>IFERROR(VLOOKUP(B23,'Pre-Summary'!$AE$6:$AJ$85,6, FALSE),"")</f>
        <v/>
      </c>
      <c r="K23" s="45" t="str">
        <f>IFERROR(VLOOKUP(B23,'Pre-Summary'!$DE$6:$DG$61,3,FALSE),"")</f>
        <v/>
      </c>
      <c r="L23" s="45" t="str">
        <f>IFERROR(VLOOKUP(B23,'Pre-Summary'!$CU$6:$CW$36,3,FALSE),"")</f>
        <v/>
      </c>
      <c r="M23" s="45" t="str">
        <f>IFERROR(VLOOKUP(B23,'Pre-Summary'!$BW$6:$BY$58,2,FALSE),"")</f>
        <v/>
      </c>
      <c r="N23" s="45" t="str">
        <f>IFERROR(VLOOKUP(B23,'Pre-Summary'!$CD$6:$CF$64,2,FALSE),"")</f>
        <v/>
      </c>
      <c r="O23" s="99">
        <f>IFERROR(VLOOKUP(B23,'Pre-Summary'!$BO$6:$BQ$48,3, FALSE),O22)</f>
        <v>1.0915248032216731</v>
      </c>
      <c r="P23" s="99">
        <f>IFERROR(VLOOKUP(B23,'Pre-Summary'!$BS$6:$BU$35,3,FALSE),P22)</f>
        <v>0.25</v>
      </c>
      <c r="Q23" s="54">
        <f t="shared" si="0"/>
        <v>4.3660992128866924</v>
      </c>
      <c r="R23" s="53">
        <f>IFERROR(VLOOKUP(B23,'Pre-Summary'!$BG$6:$BM$44,7,FALSE),R24)</f>
        <v>2.7904161219319636E-2</v>
      </c>
      <c r="S23" s="53">
        <f>IFERROR(VLOOKUP(B23,'Pre-Summary'!$BG$6:$BM$44,6,FALSE),S24)</f>
        <v>3.3978715219895171E-2</v>
      </c>
      <c r="T23" s="45" t="str">
        <f>IFERROR(VLOOKUP(B23,'Pre-Summary'!$Y$6:$AC$83, 3,FALSE),"")</f>
        <v/>
      </c>
      <c r="U23" s="45" t="str">
        <f>IFERROR(VLOOKUP(B23,'Pre-Summary'!$Y$6:$AC$83, 4,FALSE),"")</f>
        <v/>
      </c>
      <c r="V23" t="str">
        <f>IFERROR(VLOOKUP(B23,'Pre-Summary'!$Y$6:$AC$83, 5,FALSE),"")</f>
        <v/>
      </c>
      <c r="W23" s="45" t="str">
        <f>IFERROR(VLOOKUP(B23,'Pre-Summary'!$Y$6:$AD$83,6,FALSE),"")</f>
        <v/>
      </c>
      <c r="X23" t="str">
        <f>IFERROR(VLOOKUP('Pre-Summary'!$DB$6:$DD$63,3,FALSE),"")</f>
        <v/>
      </c>
      <c r="Y23" t="str">
        <f>IFERROR(VLOOKUP(B23,'Pre-Summary'!$CR$6:$CT$36,3,FALSE),"")</f>
        <v/>
      </c>
      <c r="Z23" s="45" t="str">
        <f>IFERROR(VLOOKUP(B23,'Pre-Summary'!$BZ$6:$CB$63,2,FALSE),"")</f>
        <v/>
      </c>
      <c r="AA23" s="45" t="str">
        <f>IFERROR(VLOOKUP(B23,'Pre-Summary'!$CG$6:$CI$70,2,FALSE),"")</f>
        <v/>
      </c>
      <c r="AB23" s="99">
        <f>IFERROR(VLOOKUP(B23,'Pre-Summary'!$A$6:$P$178,9,FALSE),AB24)</f>
        <v>0.88641691086917873</v>
      </c>
      <c r="AC23" s="10">
        <f>IFERROR(VLOOKUP(Summary!B23,'Pre-Summary'!$A$6:$P$184,5, FALSE)/100,AC24)</f>
        <v>0</v>
      </c>
      <c r="AD23" s="10">
        <f>IFERROR(VLOOKUP(Summary!B23,'Pre-Summary'!$A$6:$P$184,3, FALSE)/100,AD24)</f>
        <v>0.88461866666666666</v>
      </c>
      <c r="AE23" s="10">
        <f>IFERROR(VLOOKUP(Summary!B23,'Pre-Summary'!$A$6:$P$184,7, FALSE)/100,AE24)</f>
        <v>0.11538133333333335</v>
      </c>
      <c r="AF23" s="99">
        <f t="shared" si="1"/>
        <v>0.78414094580387839</v>
      </c>
      <c r="AG23" s="99">
        <f t="shared" si="2"/>
        <v>0.10227596506530034</v>
      </c>
      <c r="AH23" s="10" t="str">
        <f>IFERROR(VLOOKUP(B23,'Pre-Summary'!$AZ$6:$BE$65,3,FALSE),"")</f>
        <v/>
      </c>
      <c r="AI23" s="10" t="str">
        <f>IFERROR(VLOOKUP(B23,'Pre-Summary'!$AZ$6:$BE$65,5,FALSE),"")</f>
        <v/>
      </c>
      <c r="AJ23" s="10" t="str">
        <f>IFERROR(VLOOKUP(B23,'Pre-Summary'!$AZ$6:$BE$65,4,FALSE),"")</f>
        <v/>
      </c>
      <c r="AK23" s="10" t="str">
        <f>IFERROR(VLOOKUP(B23,'Pre-Summary'!$AZ$6:$BE$65,6,FALSE),"")</f>
        <v/>
      </c>
      <c r="AL23" s="10" t="str">
        <f>IFERROR(VLOOKUP(B23,'Pre-Summary'!$BG$6:$BL$44,3,FALSE),"")</f>
        <v/>
      </c>
      <c r="AM23" s="10" t="str">
        <f>IFERROR(VLOOKUP(B23,'Pre-Summary'!$BG$6:$BL$44,4,FALSE),"")</f>
        <v/>
      </c>
    </row>
    <row r="24" spans="2:39" ht="14.4" x14ac:dyDescent="0.3">
      <c r="B24">
        <v>2.1</v>
      </c>
      <c r="C24" t="str">
        <f>IFERROR(VLOOKUP(B24,'Pre-Summary'!$DI$6:$DM$23,4,FALSE),"")</f>
        <v/>
      </c>
      <c r="D24" s="10" t="str">
        <f>IFERROR(VLOOKUP(B24,'Pre-Summary'!$AT$6:$AX$14,5,FALSE),D23)</f>
        <v>DSMZ v1: Using DSMZ 120 without NaHCO3</v>
      </c>
      <c r="E24" s="10" t="str">
        <f>IFERROR(VLOOKUP(B24,'Pre-Summary'!$AT$6:$AX$15,4,FALSE),"")</f>
        <v/>
      </c>
      <c r="F24">
        <f>IFERROR(VLOOKUP(B24,'Pre-Summary'!$AL$6:$AQ$13,6,FALSE),F23)</f>
        <v>5.9405263157894746E-2</v>
      </c>
      <c r="G24" t="str">
        <f>IFERROR(VLOOKUP(B24,'Pre-Summary'!$AE$6:$AJ$85,3,FALSE),"")</f>
        <v/>
      </c>
      <c r="H24" t="str">
        <f>IFERROR(VLOOKUP(B24,'Pre-Summary'!$AE$6:$AJ$85,4,FALSE),"")</f>
        <v/>
      </c>
      <c r="I24" t="str">
        <f>IFERROR(VLOOKUP(B24,'Pre-Summary'!$AE$6:$AJ$85,5,FALSE),"")</f>
        <v/>
      </c>
      <c r="J24" s="45" t="str">
        <f>IFERROR(VLOOKUP(B24,'Pre-Summary'!$AE$6:$AJ$85,6, FALSE),"")</f>
        <v/>
      </c>
      <c r="K24" s="45" t="str">
        <f>IFERROR(VLOOKUP(B24,'Pre-Summary'!$DE$6:$DG$61,3,FALSE),"")</f>
        <v/>
      </c>
      <c r="L24" s="45" t="str">
        <f>IFERROR(VLOOKUP(B24,'Pre-Summary'!$CU$6:$CW$36,3,FALSE),"")</f>
        <v/>
      </c>
      <c r="M24" s="45" t="str">
        <f>IFERROR(VLOOKUP(B24,'Pre-Summary'!$BW$6:$BY$58,2,FALSE),"")</f>
        <v/>
      </c>
      <c r="N24" s="45" t="str">
        <f>IFERROR(VLOOKUP(B24,'Pre-Summary'!$CD$6:$CF$64,2,FALSE),"")</f>
        <v/>
      </c>
      <c r="O24" s="99">
        <f>IFERROR(VLOOKUP(B24,'Pre-Summary'!$BO$6:$BQ$48,3, FALSE),O23)</f>
        <v>1.0915248032216731</v>
      </c>
      <c r="P24" s="99">
        <f>IFERROR(VLOOKUP(B24,'Pre-Summary'!$BS$6:$BU$35,3,FALSE),P23)</f>
        <v>0.25</v>
      </c>
      <c r="Q24" s="54">
        <f t="shared" si="0"/>
        <v>4.3660992128866924</v>
      </c>
      <c r="R24" s="53">
        <f>IFERROR(VLOOKUP(B24,'Pre-Summary'!$BG$6:$BM$44,7,FALSE),R25)</f>
        <v>2.7904161219319636E-2</v>
      </c>
      <c r="S24" s="53">
        <f>IFERROR(VLOOKUP(B24,'Pre-Summary'!$BG$6:$BM$44,6,FALSE),S25)</f>
        <v>3.3978715219895171E-2</v>
      </c>
      <c r="T24" s="45" t="str">
        <f>IFERROR(VLOOKUP(B24,'Pre-Summary'!$Y$6:$AC$83, 3,FALSE),"")</f>
        <v/>
      </c>
      <c r="U24" s="45" t="str">
        <f>IFERROR(VLOOKUP(B24,'Pre-Summary'!$Y$6:$AC$83, 4,FALSE),"")</f>
        <v/>
      </c>
      <c r="V24" t="str">
        <f>IFERROR(VLOOKUP(B24,'Pre-Summary'!$Y$6:$AC$83, 5,FALSE),"")</f>
        <v/>
      </c>
      <c r="W24" s="45" t="str">
        <f>IFERROR(VLOOKUP(B24,'Pre-Summary'!$Y$6:$AD$83,6,FALSE),"")</f>
        <v/>
      </c>
      <c r="X24" t="str">
        <f>IFERROR(VLOOKUP('Pre-Summary'!$DB$6:$DD$63,3,FALSE),"")</f>
        <v/>
      </c>
      <c r="Y24" t="str">
        <f>IFERROR(VLOOKUP(B24,'Pre-Summary'!$CR$6:$CT$36,3,FALSE),"")</f>
        <v/>
      </c>
      <c r="Z24" s="45" t="str">
        <f>IFERROR(VLOOKUP(B24,'Pre-Summary'!$BZ$6:$CB$63,2,FALSE),"")</f>
        <v/>
      </c>
      <c r="AA24" s="45" t="str">
        <f>IFERROR(VLOOKUP(B24,'Pre-Summary'!$CG$6:$CI$70,2,FALSE),"")</f>
        <v/>
      </c>
      <c r="AB24" s="99">
        <f>IFERROR(VLOOKUP(B24,'Pre-Summary'!$A$6:$P$178,9,FALSE),AB25)</f>
        <v>0.88641691086917873</v>
      </c>
      <c r="AC24" s="10">
        <f>IFERROR(VLOOKUP(Summary!B24,'Pre-Summary'!$A$6:$P$184,5, FALSE)/100,AC25)</f>
        <v>0</v>
      </c>
      <c r="AD24" s="10">
        <f>IFERROR(VLOOKUP(Summary!B24,'Pre-Summary'!$A$6:$P$184,3, FALSE)/100,AD25)</f>
        <v>0.88461866666666666</v>
      </c>
      <c r="AE24" s="10">
        <f>IFERROR(VLOOKUP(Summary!B24,'Pre-Summary'!$A$6:$P$184,7, FALSE)/100,AE25)</f>
        <v>0.11538133333333335</v>
      </c>
      <c r="AF24" s="99">
        <f t="shared" si="1"/>
        <v>0.78414094580387839</v>
      </c>
      <c r="AG24" s="99">
        <f t="shared" si="2"/>
        <v>0.10227596506530034</v>
      </c>
      <c r="AH24" s="10" t="str">
        <f>IFERROR(VLOOKUP(B24,'Pre-Summary'!$AZ$6:$BE$65,3,FALSE),"")</f>
        <v/>
      </c>
      <c r="AI24" s="10" t="str">
        <f>IFERROR(VLOOKUP(B24,'Pre-Summary'!$AZ$6:$BE$65,5,FALSE),"")</f>
        <v/>
      </c>
      <c r="AJ24" s="10" t="str">
        <f>IFERROR(VLOOKUP(B24,'Pre-Summary'!$AZ$6:$BE$65,4,FALSE),"")</f>
        <v/>
      </c>
      <c r="AK24" s="10" t="str">
        <f>IFERROR(VLOOKUP(B24,'Pre-Summary'!$AZ$6:$BE$65,6,FALSE),"")</f>
        <v/>
      </c>
      <c r="AL24" s="10" t="str">
        <f>IFERROR(VLOOKUP(B24,'Pre-Summary'!$BG$6:$BL$44,3,FALSE),"")</f>
        <v/>
      </c>
      <c r="AM24" s="10" t="str">
        <f>IFERROR(VLOOKUP(B24,'Pre-Summary'!$BG$6:$BL$44,4,FALSE),"")</f>
        <v/>
      </c>
    </row>
    <row r="25" spans="2:39" ht="14.4" x14ac:dyDescent="0.3">
      <c r="B25">
        <v>2.2000000000000002</v>
      </c>
      <c r="C25" t="str">
        <f>IFERROR(VLOOKUP(B25,'Pre-Summary'!$DI$6:$DM$23,4,FALSE),"")</f>
        <v/>
      </c>
      <c r="D25" s="10" t="str">
        <f>IFERROR(VLOOKUP(B25,'Pre-Summary'!$AT$6:$AX$14,5,FALSE),D24)</f>
        <v>DSMZ v1: Using DSMZ 120 without NaHCO3</v>
      </c>
      <c r="E25" s="10" t="str">
        <f>IFERROR(VLOOKUP(B25,'Pre-Summary'!$AT$6:$AX$15,4,FALSE),"")</f>
        <v/>
      </c>
      <c r="F25">
        <f>IFERROR(VLOOKUP(B25,'Pre-Summary'!$AL$6:$AQ$13,6,FALSE),F24)</f>
        <v>5.9405263157894746E-2</v>
      </c>
      <c r="G25" t="str">
        <f>IFERROR(VLOOKUP(B25,'Pre-Summary'!$AE$6:$AJ$85,3,FALSE),"")</f>
        <v/>
      </c>
      <c r="H25" t="str">
        <f>IFERROR(VLOOKUP(B25,'Pre-Summary'!$AE$6:$AJ$85,4,FALSE),"")</f>
        <v/>
      </c>
      <c r="I25" t="str">
        <f>IFERROR(VLOOKUP(B25,'Pre-Summary'!$AE$6:$AJ$85,5,FALSE),"")</f>
        <v/>
      </c>
      <c r="J25" s="45" t="str">
        <f>IFERROR(VLOOKUP(B25,'Pre-Summary'!$AE$6:$AJ$85,6, FALSE),"")</f>
        <v/>
      </c>
      <c r="K25" s="45" t="str">
        <f>IFERROR(VLOOKUP(B25,'Pre-Summary'!$DE$6:$DG$61,3,FALSE),"")</f>
        <v/>
      </c>
      <c r="L25" s="45" t="str">
        <f>IFERROR(VLOOKUP(B25,'Pre-Summary'!$CU$6:$CW$36,3,FALSE),"")</f>
        <v/>
      </c>
      <c r="M25" s="45" t="str">
        <f>IFERROR(VLOOKUP(B25,'Pre-Summary'!$BW$6:$BY$58,2,FALSE),"")</f>
        <v/>
      </c>
      <c r="N25" s="45" t="str">
        <f>IFERROR(VLOOKUP(B25,'Pre-Summary'!$CD$6:$CF$64,2,FALSE),"")</f>
        <v/>
      </c>
      <c r="O25" s="99">
        <f>IFERROR(VLOOKUP(B25,'Pre-Summary'!$BO$6:$BQ$48,3, FALSE),O24)</f>
        <v>1.0915248032216731</v>
      </c>
      <c r="P25" s="99">
        <f>IFERROR(VLOOKUP(B25,'Pre-Summary'!$BS$6:$BU$35,3,FALSE),P24)</f>
        <v>0.25</v>
      </c>
      <c r="Q25" s="54">
        <f t="shared" si="0"/>
        <v>4.3660992128866924</v>
      </c>
      <c r="R25" s="53">
        <f>IFERROR(VLOOKUP(B25,'Pre-Summary'!$BG$6:$BM$44,7,FALSE),R26)</f>
        <v>2.7904161219319636E-2</v>
      </c>
      <c r="S25" s="53">
        <f>IFERROR(VLOOKUP(B25,'Pre-Summary'!$BG$6:$BM$44,6,FALSE),S26)</f>
        <v>3.3978715219895171E-2</v>
      </c>
      <c r="T25" s="45" t="str">
        <f>IFERROR(VLOOKUP(B25,'Pre-Summary'!$Y$6:$AC$83, 3,FALSE),"")</f>
        <v/>
      </c>
      <c r="U25" s="45" t="str">
        <f>IFERROR(VLOOKUP(B25,'Pre-Summary'!$Y$6:$AC$83, 4,FALSE),"")</f>
        <v/>
      </c>
      <c r="V25" t="str">
        <f>IFERROR(VLOOKUP(B25,'Pre-Summary'!$Y$6:$AC$83, 5,FALSE),"")</f>
        <v/>
      </c>
      <c r="W25" s="45" t="str">
        <f>IFERROR(VLOOKUP(B25,'Pre-Summary'!$Y$6:$AD$83,6,FALSE),"")</f>
        <v/>
      </c>
      <c r="X25" t="str">
        <f>IFERROR(VLOOKUP('Pre-Summary'!$DB$6:$DD$63,3,FALSE),"")</f>
        <v/>
      </c>
      <c r="Y25" t="str">
        <f>IFERROR(VLOOKUP(B25,'Pre-Summary'!$CR$6:$CT$36,3,FALSE),"")</f>
        <v/>
      </c>
      <c r="Z25" s="45" t="str">
        <f>IFERROR(VLOOKUP(B25,'Pre-Summary'!$BZ$6:$CB$63,2,FALSE),"")</f>
        <v/>
      </c>
      <c r="AA25" s="45" t="str">
        <f>IFERROR(VLOOKUP(B25,'Pre-Summary'!$CG$6:$CI$70,2,FALSE),"")</f>
        <v/>
      </c>
      <c r="AB25" s="99">
        <f>IFERROR(VLOOKUP(B25,'Pre-Summary'!$A$6:$P$178,9,FALSE),AB26)</f>
        <v>0.59347182280138921</v>
      </c>
      <c r="AC25" s="10">
        <f>IFERROR(VLOOKUP(Summary!B25,'Pre-Summary'!$A$6:$P$184,5, FALSE)/100,AC26)</f>
        <v>0</v>
      </c>
      <c r="AD25" s="10">
        <f>IFERROR(VLOOKUP(Summary!B25,'Pre-Summary'!$A$6:$P$184,3, FALSE)/100,AD26)</f>
        <v>0.93184500000000003</v>
      </c>
      <c r="AE25" s="10">
        <f>IFERROR(VLOOKUP(Summary!B25,'Pre-Summary'!$A$6:$P$184,7, FALSE)/100,AE26)</f>
        <v>6.8155000000000007E-2</v>
      </c>
      <c r="AF25" s="99">
        <f t="shared" si="1"/>
        <v>0.55302375071836052</v>
      </c>
      <c r="AG25" s="99">
        <f t="shared" si="2"/>
        <v>4.044807208302869E-2</v>
      </c>
      <c r="AH25" s="10" t="str">
        <f>IFERROR(VLOOKUP(B25,'Pre-Summary'!$AZ$6:$BE$65,3,FALSE),"")</f>
        <v/>
      </c>
      <c r="AI25" s="10" t="str">
        <f>IFERROR(VLOOKUP(B25,'Pre-Summary'!$AZ$6:$BE$65,5,FALSE),"")</f>
        <v/>
      </c>
      <c r="AJ25" s="10" t="str">
        <f>IFERROR(VLOOKUP(B25,'Pre-Summary'!$AZ$6:$BE$65,4,FALSE),"")</f>
        <v/>
      </c>
      <c r="AK25" s="10" t="str">
        <f>IFERROR(VLOOKUP(B25,'Pre-Summary'!$AZ$6:$BE$65,6,FALSE),"")</f>
        <v/>
      </c>
      <c r="AL25" s="10" t="str">
        <f>IFERROR(VLOOKUP(B25,'Pre-Summary'!$BG$6:$BL$44,3,FALSE),"")</f>
        <v/>
      </c>
      <c r="AM25" s="10" t="str">
        <f>IFERROR(VLOOKUP(B25,'Pre-Summary'!$BG$6:$BL$44,4,FALSE),"")</f>
        <v/>
      </c>
    </row>
    <row r="26" spans="2:39" ht="14.4" x14ac:dyDescent="0.3">
      <c r="B26">
        <v>2.2999999999999998</v>
      </c>
      <c r="C26" t="str">
        <f>IFERROR(VLOOKUP(B26,'Pre-Summary'!$DI$6:$DM$23,4,FALSE),"")</f>
        <v/>
      </c>
      <c r="D26" s="10" t="str">
        <f>IFERROR(VLOOKUP(B26,'Pre-Summary'!$AT$6:$AX$14,5,FALSE),D25)</f>
        <v>DSMZ v1: Using DSMZ 120 without NaHCO3</v>
      </c>
      <c r="E26" s="10" t="str">
        <f>IFERROR(VLOOKUP(B26,'Pre-Summary'!$AT$6:$AX$15,4,FALSE),"")</f>
        <v/>
      </c>
      <c r="F26">
        <f>IFERROR(VLOOKUP(B26,'Pre-Summary'!$AL$6:$AQ$13,6,FALSE),F25)</f>
        <v>5.9405263157894746E-2</v>
      </c>
      <c r="G26" t="str">
        <f>IFERROR(VLOOKUP(B26,'Pre-Summary'!$AE$6:$AJ$85,3,FALSE),"")</f>
        <v/>
      </c>
      <c r="H26" t="str">
        <f>IFERROR(VLOOKUP(B26,'Pre-Summary'!$AE$6:$AJ$85,4,FALSE),"")</f>
        <v/>
      </c>
      <c r="I26" t="str">
        <f>IFERROR(VLOOKUP(B26,'Pre-Summary'!$AE$6:$AJ$85,5,FALSE),"")</f>
        <v/>
      </c>
      <c r="J26" s="45" t="str">
        <f>IFERROR(VLOOKUP(B26,'Pre-Summary'!$AE$6:$AJ$85,6, FALSE),"")</f>
        <v/>
      </c>
      <c r="K26" s="45" t="str">
        <f>IFERROR(VLOOKUP(B26,'Pre-Summary'!$DE$6:$DG$61,3,FALSE),"")</f>
        <v/>
      </c>
      <c r="L26" s="45" t="str">
        <f>IFERROR(VLOOKUP(B26,'Pre-Summary'!$CU$6:$CW$36,3,FALSE),"")</f>
        <v/>
      </c>
      <c r="M26" s="45" t="str">
        <f>IFERROR(VLOOKUP(B26,'Pre-Summary'!$BW$6:$BY$58,2,FALSE),"")</f>
        <v/>
      </c>
      <c r="N26" s="45" t="str">
        <f>IFERROR(VLOOKUP(B26,'Pre-Summary'!$CD$6:$CF$64,2,FALSE),"")</f>
        <v/>
      </c>
      <c r="O26" s="99">
        <f>IFERROR(VLOOKUP(B26,'Pre-Summary'!$BO$6:$BQ$48,3, FALSE),O25)</f>
        <v>1.0915248032216731</v>
      </c>
      <c r="P26" s="99">
        <f>IFERROR(VLOOKUP(B26,'Pre-Summary'!$BS$6:$BU$35,3,FALSE),P25)</f>
        <v>0.25</v>
      </c>
      <c r="Q26" s="54">
        <f t="shared" si="0"/>
        <v>4.3660992128866924</v>
      </c>
      <c r="R26" s="53">
        <f>IFERROR(VLOOKUP(B26,'Pre-Summary'!$BG$6:$BM$44,7,FALSE),R27)</f>
        <v>2.7904161219319636E-2</v>
      </c>
      <c r="S26" s="53">
        <f>IFERROR(VLOOKUP(B26,'Pre-Summary'!$BG$6:$BM$44,6,FALSE),S27)</f>
        <v>3.3978715219895171E-2</v>
      </c>
      <c r="T26" s="45" t="str">
        <f>IFERROR(VLOOKUP(B26,'Pre-Summary'!$Y$6:$AC$83, 3,FALSE),"")</f>
        <v/>
      </c>
      <c r="U26" s="45" t="str">
        <f>IFERROR(VLOOKUP(B26,'Pre-Summary'!$Y$6:$AC$83, 4,FALSE),"")</f>
        <v/>
      </c>
      <c r="V26" t="str">
        <f>IFERROR(VLOOKUP(B26,'Pre-Summary'!$Y$6:$AC$83, 5,FALSE),"")</f>
        <v/>
      </c>
      <c r="W26" s="45" t="str">
        <f>IFERROR(VLOOKUP(B26,'Pre-Summary'!$Y$6:$AD$83,6,FALSE),"")</f>
        <v/>
      </c>
      <c r="X26" t="str">
        <f>IFERROR(VLOOKUP('Pre-Summary'!$DB$6:$DD$63,3,FALSE),"")</f>
        <v/>
      </c>
      <c r="Y26" t="str">
        <f>IFERROR(VLOOKUP(B26,'Pre-Summary'!$CR$6:$CT$36,3,FALSE),"")</f>
        <v/>
      </c>
      <c r="Z26" s="45" t="str">
        <f>IFERROR(VLOOKUP(B26,'Pre-Summary'!$BZ$6:$CB$63,2,FALSE),"")</f>
        <v/>
      </c>
      <c r="AA26" s="45" t="str">
        <f>IFERROR(VLOOKUP(B26,'Pre-Summary'!$CG$6:$CI$70,2,FALSE),"")</f>
        <v/>
      </c>
      <c r="AB26" s="99">
        <f>IFERROR(VLOOKUP(B26,'Pre-Summary'!$A$6:$P$178,9,FALSE),AB27)</f>
        <v>0.59347182280138921</v>
      </c>
      <c r="AC26" s="10">
        <f>IFERROR(VLOOKUP(Summary!B26,'Pre-Summary'!$A$6:$P$184,5, FALSE)/100,AC27)</f>
        <v>0</v>
      </c>
      <c r="AD26" s="10">
        <f>IFERROR(VLOOKUP(Summary!B26,'Pre-Summary'!$A$6:$P$184,3, FALSE)/100,AD27)</f>
        <v>0.93184500000000003</v>
      </c>
      <c r="AE26" s="10">
        <f>IFERROR(VLOOKUP(Summary!B26,'Pre-Summary'!$A$6:$P$184,7, FALSE)/100,AE27)</f>
        <v>6.8155000000000007E-2</v>
      </c>
      <c r="AF26" s="99">
        <f t="shared" si="1"/>
        <v>0.55302375071836052</v>
      </c>
      <c r="AG26" s="99">
        <f t="shared" si="2"/>
        <v>4.044807208302869E-2</v>
      </c>
      <c r="AH26" s="10" t="str">
        <f>IFERROR(VLOOKUP(B26,'Pre-Summary'!$AZ$6:$BE$65,3,FALSE),"")</f>
        <v/>
      </c>
      <c r="AI26" s="10" t="str">
        <f>IFERROR(VLOOKUP(B26,'Pre-Summary'!$AZ$6:$BE$65,5,FALSE),"")</f>
        <v/>
      </c>
      <c r="AJ26" s="10" t="str">
        <f>IFERROR(VLOOKUP(B26,'Pre-Summary'!$AZ$6:$BE$65,4,FALSE),"")</f>
        <v/>
      </c>
      <c r="AK26" s="10" t="str">
        <f>IFERROR(VLOOKUP(B26,'Pre-Summary'!$AZ$6:$BE$65,6,FALSE),"")</f>
        <v/>
      </c>
      <c r="AL26" s="10" t="str">
        <f>IFERROR(VLOOKUP(B26,'Pre-Summary'!$BG$6:$BL$44,3,FALSE),"")</f>
        <v/>
      </c>
      <c r="AM26" s="10" t="str">
        <f>IFERROR(VLOOKUP(B26,'Pre-Summary'!$BG$6:$BL$44,4,FALSE),"")</f>
        <v/>
      </c>
    </row>
    <row r="27" spans="2:39" ht="14.4" x14ac:dyDescent="0.3">
      <c r="B27">
        <v>2.4</v>
      </c>
      <c r="C27" t="str">
        <f>IFERROR(VLOOKUP(B27,'Pre-Summary'!$DI$6:$DM$23,4,FALSE),"")</f>
        <v/>
      </c>
      <c r="D27" s="10" t="str">
        <f>IFERROR(VLOOKUP(B27,'Pre-Summary'!$AT$6:$AX$14,5,FALSE),D26)</f>
        <v>DSMZ v1: Using DSMZ 120 without NaHCO3</v>
      </c>
      <c r="E27" s="10" t="str">
        <f>IFERROR(VLOOKUP(B27,'Pre-Summary'!$AT$6:$AX$15,4,FALSE),"")</f>
        <v/>
      </c>
      <c r="F27">
        <f>IFERROR(VLOOKUP(B27,'Pre-Summary'!$AL$6:$AQ$13,6,FALSE),F26)</f>
        <v>5.9405263157894746E-2</v>
      </c>
      <c r="G27" t="str">
        <f>IFERROR(VLOOKUP(B27,'Pre-Summary'!$AE$6:$AJ$85,3,FALSE),"")</f>
        <v/>
      </c>
      <c r="H27" t="str">
        <f>IFERROR(VLOOKUP(B27,'Pre-Summary'!$AE$6:$AJ$85,4,FALSE),"")</f>
        <v/>
      </c>
      <c r="I27" t="str">
        <f>IFERROR(VLOOKUP(B27,'Pre-Summary'!$AE$6:$AJ$85,5,FALSE),"")</f>
        <v/>
      </c>
      <c r="J27" s="45" t="str">
        <f>IFERROR(VLOOKUP(B27,'Pre-Summary'!$AE$6:$AJ$85,6, FALSE),"")</f>
        <v/>
      </c>
      <c r="K27" s="45" t="str">
        <f>IFERROR(VLOOKUP(B27,'Pre-Summary'!$DE$6:$DG$61,3,FALSE),"")</f>
        <v/>
      </c>
      <c r="L27" s="45" t="str">
        <f>IFERROR(VLOOKUP(B27,'Pre-Summary'!$CU$6:$CW$36,3,FALSE),"")</f>
        <v/>
      </c>
      <c r="M27" s="45" t="str">
        <f>IFERROR(VLOOKUP(B27,'Pre-Summary'!$BW$6:$BY$58,2,FALSE),"")</f>
        <v/>
      </c>
      <c r="N27" s="45" t="str">
        <f>IFERROR(VLOOKUP(B27,'Pre-Summary'!$CD$6:$CF$64,2,FALSE),"")</f>
        <v/>
      </c>
      <c r="O27" s="99">
        <f>IFERROR(VLOOKUP(B27,'Pre-Summary'!$BO$6:$BQ$48,3, FALSE),O26)</f>
        <v>1.0915248032216731</v>
      </c>
      <c r="P27" s="99">
        <f>IFERROR(VLOOKUP(B27,'Pre-Summary'!$BS$6:$BU$35,3,FALSE),P26)</f>
        <v>0.25</v>
      </c>
      <c r="Q27" s="54">
        <f t="shared" si="0"/>
        <v>4.3660992128866924</v>
      </c>
      <c r="R27" s="53">
        <f>IFERROR(VLOOKUP(B27,'Pre-Summary'!$BG$6:$BM$44,7,FALSE),R28)</f>
        <v>2.7904161219319636E-2</v>
      </c>
      <c r="S27" s="53">
        <f>IFERROR(VLOOKUP(B27,'Pre-Summary'!$BG$6:$BM$44,6,FALSE),S28)</f>
        <v>3.3978715219895171E-2</v>
      </c>
      <c r="T27" s="45" t="str">
        <f>IFERROR(VLOOKUP(B27,'Pre-Summary'!$Y$6:$AC$83, 3,FALSE),"")</f>
        <v/>
      </c>
      <c r="U27" s="45" t="str">
        <f>IFERROR(VLOOKUP(B27,'Pre-Summary'!$Y$6:$AC$83, 4,FALSE),"")</f>
        <v/>
      </c>
      <c r="V27" t="str">
        <f>IFERROR(VLOOKUP(B27,'Pre-Summary'!$Y$6:$AC$83, 5,FALSE),"")</f>
        <v/>
      </c>
      <c r="W27" s="45" t="str">
        <f>IFERROR(VLOOKUP(B27,'Pre-Summary'!$Y$6:$AD$83,6,FALSE),"")</f>
        <v/>
      </c>
      <c r="X27" t="str">
        <f>IFERROR(VLOOKUP('Pre-Summary'!$DB$6:$DD$63,3,FALSE),"")</f>
        <v/>
      </c>
      <c r="Y27" t="str">
        <f>IFERROR(VLOOKUP(B27,'Pre-Summary'!$CR$6:$CT$36,3,FALSE),"")</f>
        <v/>
      </c>
      <c r="Z27" s="45" t="str">
        <f>IFERROR(VLOOKUP(B27,'Pre-Summary'!$BZ$6:$CB$63,2,FALSE),"")</f>
        <v/>
      </c>
      <c r="AA27" s="45" t="str">
        <f>IFERROR(VLOOKUP(B27,'Pre-Summary'!$CG$6:$CI$70,2,FALSE),"")</f>
        <v/>
      </c>
      <c r="AB27" s="99">
        <f>IFERROR(VLOOKUP(B27,'Pre-Summary'!$A$6:$P$178,9,FALSE),AB28)</f>
        <v>0.59347182280138921</v>
      </c>
      <c r="AC27" s="10">
        <f>IFERROR(VLOOKUP(Summary!B27,'Pre-Summary'!$A$6:$P$184,5, FALSE)/100,AC28)</f>
        <v>0</v>
      </c>
      <c r="AD27" s="10">
        <f>IFERROR(VLOOKUP(Summary!B27,'Pre-Summary'!$A$6:$P$184,3, FALSE)/100,AD28)</f>
        <v>0.93184500000000003</v>
      </c>
      <c r="AE27" s="10">
        <f>IFERROR(VLOOKUP(Summary!B27,'Pre-Summary'!$A$6:$P$184,7, FALSE)/100,AE28)</f>
        <v>6.8155000000000007E-2</v>
      </c>
      <c r="AF27" s="99">
        <f t="shared" si="1"/>
        <v>0.55302375071836052</v>
      </c>
      <c r="AG27" s="99">
        <f t="shared" si="2"/>
        <v>4.044807208302869E-2</v>
      </c>
      <c r="AH27" s="10" t="str">
        <f>IFERROR(VLOOKUP(B27,'Pre-Summary'!$AZ$6:$BE$65,3,FALSE),"")</f>
        <v/>
      </c>
      <c r="AI27" s="10" t="str">
        <f>IFERROR(VLOOKUP(B27,'Pre-Summary'!$AZ$6:$BE$65,5,FALSE),"")</f>
        <v/>
      </c>
      <c r="AJ27" s="10" t="str">
        <f>IFERROR(VLOOKUP(B27,'Pre-Summary'!$AZ$6:$BE$65,4,FALSE),"")</f>
        <v/>
      </c>
      <c r="AK27" s="10" t="str">
        <f>IFERROR(VLOOKUP(B27,'Pre-Summary'!$AZ$6:$BE$65,6,FALSE),"")</f>
        <v/>
      </c>
      <c r="AL27" s="10" t="str">
        <f>IFERROR(VLOOKUP(B27,'Pre-Summary'!$BG$6:$BL$44,3,FALSE),"")</f>
        <v/>
      </c>
      <c r="AM27" s="10" t="str">
        <f>IFERROR(VLOOKUP(B27,'Pre-Summary'!$BG$6:$BL$44,4,FALSE),"")</f>
        <v/>
      </c>
    </row>
    <row r="28" spans="2:39" ht="14.4" x14ac:dyDescent="0.3">
      <c r="B28">
        <v>2.5</v>
      </c>
      <c r="C28" t="str">
        <f>IFERROR(VLOOKUP(B28,'Pre-Summary'!$DI$6:$DM$23,4,FALSE),"")</f>
        <v/>
      </c>
      <c r="D28" s="10" t="str">
        <f>IFERROR(VLOOKUP(B28,'Pre-Summary'!$AT$6:$AX$14,5,FALSE),D27)</f>
        <v>DSMZ v1: Using DSMZ 120 without NaHCO3</v>
      </c>
      <c r="E28" s="10" t="str">
        <f>IFERROR(VLOOKUP(B28,'Pre-Summary'!$AT$6:$AX$15,4,FALSE),"")</f>
        <v/>
      </c>
      <c r="F28">
        <f>IFERROR(VLOOKUP(B28,'Pre-Summary'!$AL$6:$AQ$13,6,FALSE),F27)</f>
        <v>5.9405263157894746E-2</v>
      </c>
      <c r="G28" t="str">
        <f>IFERROR(VLOOKUP(B28,'Pre-Summary'!$AE$6:$AJ$85,3,FALSE),"")</f>
        <v/>
      </c>
      <c r="H28" t="str">
        <f>IFERROR(VLOOKUP(B28,'Pre-Summary'!$AE$6:$AJ$85,4,FALSE),"")</f>
        <v/>
      </c>
      <c r="I28" t="str">
        <f>IFERROR(VLOOKUP(B28,'Pre-Summary'!$AE$6:$AJ$85,5,FALSE),"")</f>
        <v/>
      </c>
      <c r="J28" s="45" t="str">
        <f>IFERROR(VLOOKUP(B28,'Pre-Summary'!$AE$6:$AJ$85,6, FALSE),"")</f>
        <v/>
      </c>
      <c r="K28" s="45" t="str">
        <f>IFERROR(VLOOKUP(B28,'Pre-Summary'!$DE$6:$DG$61,3,FALSE),"")</f>
        <v/>
      </c>
      <c r="L28" s="45" t="str">
        <f>IFERROR(VLOOKUP(B28,'Pre-Summary'!$CU$6:$CW$36,3,FALSE),"")</f>
        <v/>
      </c>
      <c r="M28" s="45" t="str">
        <f>IFERROR(VLOOKUP(B28,'Pre-Summary'!$BW$6:$BY$58,2,FALSE),"")</f>
        <v/>
      </c>
      <c r="N28" s="45" t="str">
        <f>IFERROR(VLOOKUP(B28,'Pre-Summary'!$CD$6:$CF$64,2,FALSE),"")</f>
        <v/>
      </c>
      <c r="O28" s="99">
        <f>IFERROR(VLOOKUP(B28,'Pre-Summary'!$BO$6:$BQ$48,3, FALSE),O27)</f>
        <v>1.0915248032216731</v>
      </c>
      <c r="P28" s="99">
        <f>IFERROR(VLOOKUP(B28,'Pre-Summary'!$BS$6:$BU$35,3,FALSE),P27)</f>
        <v>0.25</v>
      </c>
      <c r="Q28" s="54">
        <f t="shared" si="0"/>
        <v>4.3660992128866924</v>
      </c>
      <c r="R28" s="53">
        <f>IFERROR(VLOOKUP(B28,'Pre-Summary'!$BG$6:$BM$44,7,FALSE),R29)</f>
        <v>2.7904161219319636E-2</v>
      </c>
      <c r="S28" s="53">
        <f>IFERROR(VLOOKUP(B28,'Pre-Summary'!$BG$6:$BM$44,6,FALSE),S29)</f>
        <v>3.3978715219895171E-2</v>
      </c>
      <c r="T28" s="45" t="str">
        <f>IFERROR(VLOOKUP(B28,'Pre-Summary'!$Y$6:$AC$83, 3,FALSE),"")</f>
        <v/>
      </c>
      <c r="U28" s="45" t="str">
        <f>IFERROR(VLOOKUP(B28,'Pre-Summary'!$Y$6:$AC$83, 4,FALSE),"")</f>
        <v/>
      </c>
      <c r="V28" t="str">
        <f>IFERROR(VLOOKUP(B28,'Pre-Summary'!$Y$6:$AC$83, 5,FALSE),"")</f>
        <v/>
      </c>
      <c r="W28" s="45" t="str">
        <f>IFERROR(VLOOKUP(B28,'Pre-Summary'!$Y$6:$AD$83,6,FALSE),"")</f>
        <v/>
      </c>
      <c r="X28" t="str">
        <f>IFERROR(VLOOKUP('Pre-Summary'!$DB$6:$DD$63,3,FALSE),"")</f>
        <v/>
      </c>
      <c r="Y28" t="str">
        <f>IFERROR(VLOOKUP(B28,'Pre-Summary'!$CR$6:$CT$36,3,FALSE),"")</f>
        <v/>
      </c>
      <c r="Z28" s="45" t="str">
        <f>IFERROR(VLOOKUP(B28,'Pre-Summary'!$BZ$6:$CB$63,2,FALSE),"")</f>
        <v/>
      </c>
      <c r="AA28" s="45" t="str">
        <f>IFERROR(VLOOKUP(B28,'Pre-Summary'!$CG$6:$CI$70,2,FALSE),"")</f>
        <v/>
      </c>
      <c r="AB28" s="99">
        <f>IFERROR(VLOOKUP(B28,'Pre-Summary'!$A$6:$P$178,9,FALSE),AB29)</f>
        <v>0.59347182280138921</v>
      </c>
      <c r="AC28" s="10">
        <f>IFERROR(VLOOKUP(Summary!B28,'Pre-Summary'!$A$6:$P$184,5, FALSE)/100,AC29)</f>
        <v>0</v>
      </c>
      <c r="AD28" s="10">
        <f>IFERROR(VLOOKUP(Summary!B28,'Pre-Summary'!$A$6:$P$184,3, FALSE)/100,AD29)</f>
        <v>0.93184500000000003</v>
      </c>
      <c r="AE28" s="10">
        <f>IFERROR(VLOOKUP(Summary!B28,'Pre-Summary'!$A$6:$P$184,7, FALSE)/100,AE29)</f>
        <v>6.8155000000000007E-2</v>
      </c>
      <c r="AF28" s="99">
        <f t="shared" si="1"/>
        <v>0.55302375071836052</v>
      </c>
      <c r="AG28" s="99">
        <f t="shared" si="2"/>
        <v>4.044807208302869E-2</v>
      </c>
      <c r="AH28" s="10" t="str">
        <f>IFERROR(VLOOKUP(B28,'Pre-Summary'!$AZ$6:$BE$65,3,FALSE),"")</f>
        <v/>
      </c>
      <c r="AI28" s="10" t="str">
        <f>IFERROR(VLOOKUP(B28,'Pre-Summary'!$AZ$6:$BE$65,5,FALSE),"")</f>
        <v/>
      </c>
      <c r="AJ28" s="10" t="str">
        <f>IFERROR(VLOOKUP(B28,'Pre-Summary'!$AZ$6:$BE$65,4,FALSE),"")</f>
        <v/>
      </c>
      <c r="AK28" s="10" t="str">
        <f>IFERROR(VLOOKUP(B28,'Pre-Summary'!$AZ$6:$BE$65,6,FALSE),"")</f>
        <v/>
      </c>
      <c r="AL28" s="10" t="str">
        <f>IFERROR(VLOOKUP(B28,'Pre-Summary'!$BG$6:$BL$44,3,FALSE),"")</f>
        <v/>
      </c>
      <c r="AM28" s="10" t="str">
        <f>IFERROR(VLOOKUP(B28,'Pre-Summary'!$BG$6:$BL$44,4,FALSE),"")</f>
        <v/>
      </c>
    </row>
    <row r="29" spans="2:39" ht="14.4" x14ac:dyDescent="0.3">
      <c r="B29">
        <v>2.6</v>
      </c>
      <c r="C29" t="str">
        <f>IFERROR(VLOOKUP(B29,'Pre-Summary'!$DI$6:$DM$23,4,FALSE),"")</f>
        <v/>
      </c>
      <c r="D29" s="10" t="str">
        <f>IFERROR(VLOOKUP(B29,'Pre-Summary'!$AT$6:$AX$14,5,FALSE),D28)</f>
        <v>DSMZ v1: Using DSMZ 120 without NaHCO3</v>
      </c>
      <c r="E29" s="10" t="str">
        <f>IFERROR(VLOOKUP(B29,'Pre-Summary'!$AT$6:$AX$15,4,FALSE),"")</f>
        <v/>
      </c>
      <c r="F29">
        <f>IFERROR(VLOOKUP(B29,'Pre-Summary'!$AL$6:$AQ$13,6,FALSE),F28)</f>
        <v>5.9405263157894746E-2</v>
      </c>
      <c r="G29" t="str">
        <f>IFERROR(VLOOKUP(B29,'Pre-Summary'!$AE$6:$AJ$85,3,FALSE),"")</f>
        <v/>
      </c>
      <c r="H29" t="str">
        <f>IFERROR(VLOOKUP(B29,'Pre-Summary'!$AE$6:$AJ$85,4,FALSE),"")</f>
        <v/>
      </c>
      <c r="I29" t="str">
        <f>IFERROR(VLOOKUP(B29,'Pre-Summary'!$AE$6:$AJ$85,5,FALSE),"")</f>
        <v/>
      </c>
      <c r="J29" s="45" t="str">
        <f>IFERROR(VLOOKUP(B29,'Pre-Summary'!$AE$6:$AJ$85,6, FALSE),"")</f>
        <v/>
      </c>
      <c r="K29" s="45" t="str">
        <f>IFERROR(VLOOKUP(B29,'Pre-Summary'!$DE$6:$DG$61,3,FALSE),"")</f>
        <v/>
      </c>
      <c r="L29" s="45" t="str">
        <f>IFERROR(VLOOKUP(B29,'Pre-Summary'!$CU$6:$CW$36,3,FALSE),"")</f>
        <v/>
      </c>
      <c r="M29" s="45" t="str">
        <f>IFERROR(VLOOKUP(B29,'Pre-Summary'!$BW$6:$BY$58,2,FALSE),"")</f>
        <v/>
      </c>
      <c r="N29" s="45" t="str">
        <f>IFERROR(VLOOKUP(B29,'Pre-Summary'!$CD$6:$CF$64,2,FALSE),"")</f>
        <v/>
      </c>
      <c r="O29" s="99">
        <f>IFERROR(VLOOKUP(B29,'Pre-Summary'!$BO$6:$BQ$48,3, FALSE),O28)</f>
        <v>1.0915248032216731</v>
      </c>
      <c r="P29" s="99">
        <f>IFERROR(VLOOKUP(B29,'Pre-Summary'!$BS$6:$BU$35,3,FALSE),P28)</f>
        <v>0.25</v>
      </c>
      <c r="Q29" s="54">
        <f t="shared" si="0"/>
        <v>4.3660992128866924</v>
      </c>
      <c r="R29" s="53">
        <f>IFERROR(VLOOKUP(B29,'Pre-Summary'!$BG$6:$BM$44,7,FALSE),R30)</f>
        <v>2.7904161219319636E-2</v>
      </c>
      <c r="S29" s="53">
        <f>IFERROR(VLOOKUP(B29,'Pre-Summary'!$BG$6:$BM$44,6,FALSE),S30)</f>
        <v>3.3978715219895171E-2</v>
      </c>
      <c r="T29" s="45" t="str">
        <f>IFERROR(VLOOKUP(B29,'Pre-Summary'!$Y$6:$AC$83, 3,FALSE),"")</f>
        <v/>
      </c>
      <c r="U29" s="45" t="str">
        <f>IFERROR(VLOOKUP(B29,'Pre-Summary'!$Y$6:$AC$83, 4,FALSE),"")</f>
        <v/>
      </c>
      <c r="V29" t="str">
        <f>IFERROR(VLOOKUP(B29,'Pre-Summary'!$Y$6:$AC$83, 5,FALSE),"")</f>
        <v/>
      </c>
      <c r="W29" s="45" t="str">
        <f>IFERROR(VLOOKUP(B29,'Pre-Summary'!$Y$6:$AD$83,6,FALSE),"")</f>
        <v/>
      </c>
      <c r="X29" t="str">
        <f>IFERROR(VLOOKUP('Pre-Summary'!$DB$6:$DD$63,3,FALSE),"")</f>
        <v/>
      </c>
      <c r="Y29" t="str">
        <f>IFERROR(VLOOKUP(B29,'Pre-Summary'!$CR$6:$CT$36,3,FALSE),"")</f>
        <v/>
      </c>
      <c r="Z29" s="45" t="str">
        <f>IFERROR(VLOOKUP(B29,'Pre-Summary'!$BZ$6:$CB$63,2,FALSE),"")</f>
        <v/>
      </c>
      <c r="AA29" s="45" t="str">
        <f>IFERROR(VLOOKUP(B29,'Pre-Summary'!$CG$6:$CI$70,2,FALSE),"")</f>
        <v/>
      </c>
      <c r="AB29" s="99">
        <f>IFERROR(VLOOKUP(B29,'Pre-Summary'!$A$6:$P$178,9,FALSE),AB30)</f>
        <v>0.59347182280138921</v>
      </c>
      <c r="AC29" s="10">
        <f>IFERROR(VLOOKUP(Summary!B29,'Pre-Summary'!$A$6:$P$184,5, FALSE)/100,AC30)</f>
        <v>0</v>
      </c>
      <c r="AD29" s="10">
        <f>IFERROR(VLOOKUP(Summary!B29,'Pre-Summary'!$A$6:$P$184,3, FALSE)/100,AD30)</f>
        <v>0.93184500000000003</v>
      </c>
      <c r="AE29" s="10">
        <f>IFERROR(VLOOKUP(Summary!B29,'Pre-Summary'!$A$6:$P$184,7, FALSE)/100,AE30)</f>
        <v>6.8155000000000007E-2</v>
      </c>
      <c r="AF29" s="99">
        <f t="shared" si="1"/>
        <v>0.55302375071836052</v>
      </c>
      <c r="AG29" s="99">
        <f t="shared" si="2"/>
        <v>4.044807208302869E-2</v>
      </c>
      <c r="AH29" s="10" t="str">
        <f>IFERROR(VLOOKUP(B29,'Pre-Summary'!$AZ$6:$BE$65,3,FALSE),"")</f>
        <v/>
      </c>
      <c r="AI29" s="10" t="str">
        <f>IFERROR(VLOOKUP(B29,'Pre-Summary'!$AZ$6:$BE$65,5,FALSE),"")</f>
        <v/>
      </c>
      <c r="AJ29" s="10" t="str">
        <f>IFERROR(VLOOKUP(B29,'Pre-Summary'!$AZ$6:$BE$65,4,FALSE),"")</f>
        <v/>
      </c>
      <c r="AK29" s="10" t="str">
        <f>IFERROR(VLOOKUP(B29,'Pre-Summary'!$AZ$6:$BE$65,6,FALSE),"")</f>
        <v/>
      </c>
      <c r="AL29" s="10" t="str">
        <f>IFERROR(VLOOKUP(B29,'Pre-Summary'!$BG$6:$BL$44,3,FALSE),"")</f>
        <v/>
      </c>
      <c r="AM29" s="10" t="str">
        <f>IFERROR(VLOOKUP(B29,'Pre-Summary'!$BG$6:$BL$44,4,FALSE),"")</f>
        <v/>
      </c>
    </row>
    <row r="30" spans="2:39" ht="14.4" x14ac:dyDescent="0.3">
      <c r="B30">
        <v>2.7</v>
      </c>
      <c r="C30" t="str">
        <f>IFERROR(VLOOKUP(B30,'Pre-Summary'!$DI$6:$DM$23,4,FALSE),"")</f>
        <v/>
      </c>
      <c r="D30" s="10" t="str">
        <f>IFERROR(VLOOKUP(B30,'Pre-Summary'!$AT$6:$AX$14,5,FALSE),D29)</f>
        <v>DSMZ v1: Using DSMZ 120 without NaHCO3</v>
      </c>
      <c r="E30" s="10" t="str">
        <f>IFERROR(VLOOKUP(B30,'Pre-Summary'!$AT$6:$AX$15,4,FALSE),"")</f>
        <v/>
      </c>
      <c r="F30">
        <f>IFERROR(VLOOKUP(B30,'Pre-Summary'!$AL$6:$AQ$13,6,FALSE),F29)</f>
        <v>5.9405263157894746E-2</v>
      </c>
      <c r="G30" t="str">
        <f>IFERROR(VLOOKUP(B30,'Pre-Summary'!$AE$6:$AJ$85,3,FALSE),"")</f>
        <v/>
      </c>
      <c r="H30" t="str">
        <f>IFERROR(VLOOKUP(B30,'Pre-Summary'!$AE$6:$AJ$85,4,FALSE),"")</f>
        <v/>
      </c>
      <c r="I30" t="str">
        <f>IFERROR(VLOOKUP(B30,'Pre-Summary'!$AE$6:$AJ$85,5,FALSE),"")</f>
        <v/>
      </c>
      <c r="J30" s="45" t="str">
        <f>IFERROR(VLOOKUP(B30,'Pre-Summary'!$AE$6:$AJ$85,6, FALSE),"")</f>
        <v/>
      </c>
      <c r="K30" s="45" t="str">
        <f>IFERROR(VLOOKUP(B30,'Pre-Summary'!$DE$6:$DG$61,3,FALSE),"")</f>
        <v/>
      </c>
      <c r="L30" s="45" t="str">
        <f>IFERROR(VLOOKUP(B30,'Pre-Summary'!$CU$6:$CW$36,3,FALSE),"")</f>
        <v/>
      </c>
      <c r="M30" s="45" t="str">
        <f>IFERROR(VLOOKUP(B30,'Pre-Summary'!$BW$6:$BY$58,2,FALSE),"")</f>
        <v/>
      </c>
      <c r="N30" s="45" t="str">
        <f>IFERROR(VLOOKUP(B30,'Pre-Summary'!$CD$6:$CF$64,2,FALSE),"")</f>
        <v/>
      </c>
      <c r="O30" s="99">
        <f>IFERROR(VLOOKUP(B30,'Pre-Summary'!$BO$6:$BQ$48,3, FALSE),O29)</f>
        <v>1.0915248032216731</v>
      </c>
      <c r="P30" s="99">
        <f>IFERROR(VLOOKUP(B30,'Pre-Summary'!$BS$6:$BU$35,3,FALSE),P29)</f>
        <v>0.25</v>
      </c>
      <c r="Q30" s="54">
        <f t="shared" si="0"/>
        <v>4.3660992128866924</v>
      </c>
      <c r="R30" s="53">
        <f>IFERROR(VLOOKUP(B30,'Pre-Summary'!$BG$6:$BM$44,7,FALSE),R31)</f>
        <v>2.7904161219319636E-2</v>
      </c>
      <c r="S30" s="53">
        <f>IFERROR(VLOOKUP(B30,'Pre-Summary'!$BG$6:$BM$44,6,FALSE),S31)</f>
        <v>3.3978715219895171E-2</v>
      </c>
      <c r="T30" s="45" t="str">
        <f>IFERROR(VLOOKUP(B30,'Pre-Summary'!$Y$6:$AC$83, 3,FALSE),"")</f>
        <v/>
      </c>
      <c r="U30" s="45" t="str">
        <f>IFERROR(VLOOKUP(B30,'Pre-Summary'!$Y$6:$AC$83, 4,FALSE),"")</f>
        <v/>
      </c>
      <c r="V30" t="str">
        <f>IFERROR(VLOOKUP(B30,'Pre-Summary'!$Y$6:$AC$83, 5,FALSE),"")</f>
        <v/>
      </c>
      <c r="W30" s="45" t="str">
        <f>IFERROR(VLOOKUP(B30,'Pre-Summary'!$Y$6:$AD$83,6,FALSE),"")</f>
        <v/>
      </c>
      <c r="X30" t="str">
        <f>IFERROR(VLOOKUP('Pre-Summary'!$DB$6:$DD$63,3,FALSE),"")</f>
        <v/>
      </c>
      <c r="Y30" t="str">
        <f>IFERROR(VLOOKUP(B30,'Pre-Summary'!$CR$6:$CT$36,3,FALSE),"")</f>
        <v/>
      </c>
      <c r="Z30" s="45" t="str">
        <f>IFERROR(VLOOKUP(B30,'Pre-Summary'!$BZ$6:$CB$63,2,FALSE),"")</f>
        <v/>
      </c>
      <c r="AA30" s="45" t="str">
        <f>IFERROR(VLOOKUP(B30,'Pre-Summary'!$CG$6:$CI$70,2,FALSE),"")</f>
        <v/>
      </c>
      <c r="AB30" s="99">
        <f>IFERROR(VLOOKUP(B30,'Pre-Summary'!$A$6:$P$178,9,FALSE),AB31)</f>
        <v>0.59347182280138921</v>
      </c>
      <c r="AC30" s="10">
        <f>IFERROR(VLOOKUP(Summary!B30,'Pre-Summary'!$A$6:$P$184,5, FALSE)/100,AC31)</f>
        <v>0</v>
      </c>
      <c r="AD30" s="10">
        <f>IFERROR(VLOOKUP(Summary!B30,'Pre-Summary'!$A$6:$P$184,3, FALSE)/100,AD31)</f>
        <v>0.93184500000000003</v>
      </c>
      <c r="AE30" s="10">
        <f>IFERROR(VLOOKUP(Summary!B30,'Pre-Summary'!$A$6:$P$184,7, FALSE)/100,AE31)</f>
        <v>6.8155000000000007E-2</v>
      </c>
      <c r="AF30" s="99">
        <f t="shared" si="1"/>
        <v>0.55302375071836052</v>
      </c>
      <c r="AG30" s="99">
        <f t="shared" si="2"/>
        <v>4.044807208302869E-2</v>
      </c>
      <c r="AH30" s="10" t="str">
        <f>IFERROR(VLOOKUP(B30,'Pre-Summary'!$AZ$6:$BE$65,3,FALSE),"")</f>
        <v/>
      </c>
      <c r="AI30" s="10" t="str">
        <f>IFERROR(VLOOKUP(B30,'Pre-Summary'!$AZ$6:$BE$65,5,FALSE),"")</f>
        <v/>
      </c>
      <c r="AJ30" s="10" t="str">
        <f>IFERROR(VLOOKUP(B30,'Pre-Summary'!$AZ$6:$BE$65,4,FALSE),"")</f>
        <v/>
      </c>
      <c r="AK30" s="10" t="str">
        <f>IFERROR(VLOOKUP(B30,'Pre-Summary'!$AZ$6:$BE$65,6,FALSE),"")</f>
        <v/>
      </c>
      <c r="AL30" s="10" t="str">
        <f>IFERROR(VLOOKUP(B30,'Pre-Summary'!$BG$6:$BL$44,3,FALSE),"")</f>
        <v/>
      </c>
      <c r="AM30" s="10" t="str">
        <f>IFERROR(VLOOKUP(B30,'Pre-Summary'!$BG$6:$BL$44,4,FALSE),"")</f>
        <v/>
      </c>
    </row>
    <row r="31" spans="2:39" ht="14.4" x14ac:dyDescent="0.3">
      <c r="B31">
        <v>2.8</v>
      </c>
      <c r="C31" t="str">
        <f>IFERROR(VLOOKUP(B31,'Pre-Summary'!$DI$6:$DM$23,4,FALSE),"")</f>
        <v/>
      </c>
      <c r="D31" s="10" t="str">
        <f>IFERROR(VLOOKUP(B31,'Pre-Summary'!$AT$6:$AX$14,5,FALSE),D30)</f>
        <v>DSMZ v1: Using DSMZ 120 without NaHCO3</v>
      </c>
      <c r="E31" s="10" t="str">
        <f>IFERROR(VLOOKUP(B31,'Pre-Summary'!$AT$6:$AX$15,4,FALSE),"")</f>
        <v/>
      </c>
      <c r="F31">
        <f>IFERROR(VLOOKUP(B31,'Pre-Summary'!$AL$6:$AQ$13,6,FALSE),F30)</f>
        <v>5.9405263157894746E-2</v>
      </c>
      <c r="G31" t="str">
        <f>IFERROR(VLOOKUP(B31,'Pre-Summary'!$AE$6:$AJ$85,3,FALSE),"")</f>
        <v/>
      </c>
      <c r="H31" t="str">
        <f>IFERROR(VLOOKUP(B31,'Pre-Summary'!$AE$6:$AJ$85,4,FALSE),"")</f>
        <v/>
      </c>
      <c r="I31" t="str">
        <f>IFERROR(VLOOKUP(B31,'Pre-Summary'!$AE$6:$AJ$85,5,FALSE),"")</f>
        <v/>
      </c>
      <c r="J31" s="45" t="str">
        <f>IFERROR(VLOOKUP(B31,'Pre-Summary'!$AE$6:$AJ$85,6, FALSE),"")</f>
        <v/>
      </c>
      <c r="K31" s="45" t="str">
        <f>IFERROR(VLOOKUP(B31,'Pre-Summary'!$DE$6:$DG$61,3,FALSE),"")</f>
        <v/>
      </c>
      <c r="L31" s="45" t="str">
        <f>IFERROR(VLOOKUP(B31,'Pre-Summary'!$CU$6:$CW$36,3,FALSE),"")</f>
        <v/>
      </c>
      <c r="M31" s="45" t="str">
        <f>IFERROR(VLOOKUP(B31,'Pre-Summary'!$BW$6:$BY$58,2,FALSE),"")</f>
        <v/>
      </c>
      <c r="N31" s="45" t="str">
        <f>IFERROR(VLOOKUP(B31,'Pre-Summary'!$CD$6:$CF$64,2,FALSE),"")</f>
        <v/>
      </c>
      <c r="O31" s="99">
        <f>IFERROR(VLOOKUP(B31,'Pre-Summary'!$BO$6:$BQ$48,3, FALSE),O30)</f>
        <v>1.0915248032216731</v>
      </c>
      <c r="P31" s="99">
        <f>IFERROR(VLOOKUP(B31,'Pre-Summary'!$BS$6:$BU$35,3,FALSE),P30)</f>
        <v>0.25</v>
      </c>
      <c r="Q31" s="54">
        <f t="shared" si="0"/>
        <v>4.3660992128866924</v>
      </c>
      <c r="R31" s="53">
        <f>IFERROR(VLOOKUP(B31,'Pre-Summary'!$BG$6:$BM$44,7,FALSE),R32)</f>
        <v>2.7904161219319636E-2</v>
      </c>
      <c r="S31" s="53">
        <f>IFERROR(VLOOKUP(B31,'Pre-Summary'!$BG$6:$BM$44,6,FALSE),S32)</f>
        <v>3.3978715219895171E-2</v>
      </c>
      <c r="T31" s="45" t="str">
        <f>IFERROR(VLOOKUP(B31,'Pre-Summary'!$Y$6:$AC$83, 3,FALSE),"")</f>
        <v/>
      </c>
      <c r="U31" s="45" t="str">
        <f>IFERROR(VLOOKUP(B31,'Pre-Summary'!$Y$6:$AC$83, 4,FALSE),"")</f>
        <v/>
      </c>
      <c r="V31" t="str">
        <f>IFERROR(VLOOKUP(B31,'Pre-Summary'!$Y$6:$AC$83, 5,FALSE),"")</f>
        <v/>
      </c>
      <c r="W31" s="45" t="str">
        <f>IFERROR(VLOOKUP(B31,'Pre-Summary'!$Y$6:$AD$83,6,FALSE),"")</f>
        <v/>
      </c>
      <c r="X31" t="str">
        <f>IFERROR(VLOOKUP('Pre-Summary'!$DB$6:$DD$63,3,FALSE),"")</f>
        <v/>
      </c>
      <c r="Y31" t="str">
        <f>IFERROR(VLOOKUP(B31,'Pre-Summary'!$CR$6:$CT$36,3,FALSE),"")</f>
        <v/>
      </c>
      <c r="Z31" s="45" t="str">
        <f>IFERROR(VLOOKUP(B31,'Pre-Summary'!$BZ$6:$CB$63,2,FALSE),"")</f>
        <v/>
      </c>
      <c r="AA31" s="45" t="str">
        <f>IFERROR(VLOOKUP(B31,'Pre-Summary'!$CG$6:$CI$70,2,FALSE),"")</f>
        <v/>
      </c>
      <c r="AB31" s="99">
        <f>IFERROR(VLOOKUP(B31,'Pre-Summary'!$A$6:$P$178,9,FALSE),AB32)</f>
        <v>0.59347182280138921</v>
      </c>
      <c r="AC31" s="10">
        <f>IFERROR(VLOOKUP(Summary!B31,'Pre-Summary'!$A$6:$P$184,5, FALSE)/100,AC32)</f>
        <v>0</v>
      </c>
      <c r="AD31" s="10">
        <f>IFERROR(VLOOKUP(Summary!B31,'Pre-Summary'!$A$6:$P$184,3, FALSE)/100,AD32)</f>
        <v>0.93184500000000003</v>
      </c>
      <c r="AE31" s="10">
        <f>IFERROR(VLOOKUP(Summary!B31,'Pre-Summary'!$A$6:$P$184,7, FALSE)/100,AE32)</f>
        <v>6.8155000000000007E-2</v>
      </c>
      <c r="AF31" s="99">
        <f t="shared" si="1"/>
        <v>0.55302375071836052</v>
      </c>
      <c r="AG31" s="99">
        <f t="shared" si="2"/>
        <v>4.044807208302869E-2</v>
      </c>
      <c r="AH31" s="10" t="str">
        <f>IFERROR(VLOOKUP(B31,'Pre-Summary'!$AZ$6:$BE$65,3,FALSE),"")</f>
        <v/>
      </c>
      <c r="AI31" s="10" t="str">
        <f>IFERROR(VLOOKUP(B31,'Pre-Summary'!$AZ$6:$BE$65,5,FALSE),"")</f>
        <v/>
      </c>
      <c r="AJ31" s="10" t="str">
        <f>IFERROR(VLOOKUP(B31,'Pre-Summary'!$AZ$6:$BE$65,4,FALSE),"")</f>
        <v/>
      </c>
      <c r="AK31" s="10" t="str">
        <f>IFERROR(VLOOKUP(B31,'Pre-Summary'!$AZ$6:$BE$65,6,FALSE),"")</f>
        <v/>
      </c>
      <c r="AL31" s="10" t="str">
        <f>IFERROR(VLOOKUP(B31,'Pre-Summary'!$BG$6:$BL$44,3,FALSE),"")</f>
        <v/>
      </c>
      <c r="AM31" s="10" t="str">
        <f>IFERROR(VLOOKUP(B31,'Pre-Summary'!$BG$6:$BL$44,4,FALSE),"")</f>
        <v/>
      </c>
    </row>
    <row r="32" spans="2:39" ht="14.4" x14ac:dyDescent="0.3">
      <c r="B32">
        <v>2.9</v>
      </c>
      <c r="C32" t="str">
        <f>IFERROR(VLOOKUP(B32,'Pre-Summary'!$DI$6:$DM$23,4,FALSE),"")</f>
        <v/>
      </c>
      <c r="D32" s="10" t="str">
        <f>IFERROR(VLOOKUP(B32,'Pre-Summary'!$AT$6:$AX$14,5,FALSE),D31)</f>
        <v>DSMZ v1: Using DSMZ 120 without NaHCO3</v>
      </c>
      <c r="E32" s="10" t="str">
        <f>IFERROR(VLOOKUP(B32,'Pre-Summary'!$AT$6:$AX$15,4,FALSE),"")</f>
        <v/>
      </c>
      <c r="F32">
        <f>IFERROR(VLOOKUP(B32,'Pre-Summary'!$AL$6:$AQ$13,6,FALSE),F31)</f>
        <v>5.9405263157894746E-2</v>
      </c>
      <c r="G32" t="str">
        <f>IFERROR(VLOOKUP(B32,'Pre-Summary'!$AE$6:$AJ$85,3,FALSE),"")</f>
        <v/>
      </c>
      <c r="H32" t="str">
        <f>IFERROR(VLOOKUP(B32,'Pre-Summary'!$AE$6:$AJ$85,4,FALSE),"")</f>
        <v/>
      </c>
      <c r="I32" t="str">
        <f>IFERROR(VLOOKUP(B32,'Pre-Summary'!$AE$6:$AJ$85,5,FALSE),"")</f>
        <v/>
      </c>
      <c r="J32" s="45" t="str">
        <f>IFERROR(VLOOKUP(B32,'Pre-Summary'!$AE$6:$AJ$85,6, FALSE),"")</f>
        <v/>
      </c>
      <c r="K32" s="45" t="str">
        <f>IFERROR(VLOOKUP(B32,'Pre-Summary'!$DE$6:$DG$61,3,FALSE),"")</f>
        <v/>
      </c>
      <c r="L32" s="45" t="str">
        <f>IFERROR(VLOOKUP(B32,'Pre-Summary'!$CU$6:$CW$36,3,FALSE),"")</f>
        <v/>
      </c>
      <c r="M32" s="45" t="str">
        <f>IFERROR(VLOOKUP(B32,'Pre-Summary'!$BW$6:$BY$58,2,FALSE),"")</f>
        <v/>
      </c>
      <c r="N32" s="45" t="str">
        <f>IFERROR(VLOOKUP(B32,'Pre-Summary'!$CD$6:$CF$64,2,FALSE),"")</f>
        <v/>
      </c>
      <c r="O32" s="99">
        <f>IFERROR(VLOOKUP(B32,'Pre-Summary'!$BO$6:$BQ$48,3, FALSE),O31)</f>
        <v>1.0915248032216731</v>
      </c>
      <c r="P32" s="99">
        <f>IFERROR(VLOOKUP(B32,'Pre-Summary'!$BS$6:$BU$35,3,FALSE),P31)</f>
        <v>0.25</v>
      </c>
      <c r="Q32" s="54">
        <f t="shared" si="0"/>
        <v>4.3660992128866924</v>
      </c>
      <c r="R32" s="53">
        <f>IFERROR(VLOOKUP(B32,'Pre-Summary'!$BG$6:$BM$44,7,FALSE),R33)</f>
        <v>2.7904161219319636E-2</v>
      </c>
      <c r="S32" s="53">
        <f>IFERROR(VLOOKUP(B32,'Pre-Summary'!$BG$6:$BM$44,6,FALSE),S33)</f>
        <v>3.3978715219895171E-2</v>
      </c>
      <c r="T32" s="45" t="str">
        <f>IFERROR(VLOOKUP(B32,'Pre-Summary'!$Y$6:$AC$83, 3,FALSE),"")</f>
        <v/>
      </c>
      <c r="U32" s="45" t="str">
        <f>IFERROR(VLOOKUP(B32,'Pre-Summary'!$Y$6:$AC$83, 4,FALSE),"")</f>
        <v/>
      </c>
      <c r="V32" t="str">
        <f>IFERROR(VLOOKUP(B32,'Pre-Summary'!$Y$6:$AC$83, 5,FALSE),"")</f>
        <v/>
      </c>
      <c r="W32" s="45" t="str">
        <f>IFERROR(VLOOKUP(B32,'Pre-Summary'!$Y$6:$AD$83,6,FALSE),"")</f>
        <v/>
      </c>
      <c r="X32" t="str">
        <f>IFERROR(VLOOKUP('Pre-Summary'!$DB$6:$DD$63,3,FALSE),"")</f>
        <v/>
      </c>
      <c r="Y32" t="str">
        <f>IFERROR(VLOOKUP(B32,'Pre-Summary'!$CR$6:$CT$36,3,FALSE),"")</f>
        <v/>
      </c>
      <c r="Z32" s="45" t="str">
        <f>IFERROR(VLOOKUP(B32,'Pre-Summary'!$BZ$6:$CB$63,2,FALSE),"")</f>
        <v/>
      </c>
      <c r="AA32" s="45" t="str">
        <f>IFERROR(VLOOKUP(B32,'Pre-Summary'!$CG$6:$CI$70,2,FALSE),"")</f>
        <v/>
      </c>
      <c r="AB32" s="99">
        <f>IFERROR(VLOOKUP(B32,'Pre-Summary'!$A$6:$P$178,9,FALSE),AB33)</f>
        <v>0.59347182280138921</v>
      </c>
      <c r="AC32" s="10">
        <f>IFERROR(VLOOKUP(Summary!B32,'Pre-Summary'!$A$6:$P$184,5, FALSE)/100,AC33)</f>
        <v>0</v>
      </c>
      <c r="AD32" s="10">
        <f>IFERROR(VLOOKUP(Summary!B32,'Pre-Summary'!$A$6:$P$184,3, FALSE)/100,AD33)</f>
        <v>0.93184500000000003</v>
      </c>
      <c r="AE32" s="10">
        <f>IFERROR(VLOOKUP(Summary!B32,'Pre-Summary'!$A$6:$P$184,7, FALSE)/100,AE33)</f>
        <v>6.8155000000000007E-2</v>
      </c>
      <c r="AF32" s="99">
        <f t="shared" si="1"/>
        <v>0.55302375071836052</v>
      </c>
      <c r="AG32" s="99">
        <f t="shared" si="2"/>
        <v>4.044807208302869E-2</v>
      </c>
      <c r="AH32" s="10" t="str">
        <f>IFERROR(VLOOKUP(B32,'Pre-Summary'!$AZ$6:$BE$65,3,FALSE),"")</f>
        <v/>
      </c>
      <c r="AI32" s="10" t="str">
        <f>IFERROR(VLOOKUP(B32,'Pre-Summary'!$AZ$6:$BE$65,5,FALSE),"")</f>
        <v/>
      </c>
      <c r="AJ32" s="10" t="str">
        <f>IFERROR(VLOOKUP(B32,'Pre-Summary'!$AZ$6:$BE$65,4,FALSE),"")</f>
        <v/>
      </c>
      <c r="AK32" s="10" t="str">
        <f>IFERROR(VLOOKUP(B32,'Pre-Summary'!$AZ$6:$BE$65,6,FALSE),"")</f>
        <v/>
      </c>
      <c r="AL32" s="10" t="str">
        <f>IFERROR(VLOOKUP(B32,'Pre-Summary'!$BG$6:$BL$44,3,FALSE),"")</f>
        <v/>
      </c>
      <c r="AM32" s="10" t="str">
        <f>IFERROR(VLOOKUP(B32,'Pre-Summary'!$BG$6:$BL$44,4,FALSE),"")</f>
        <v/>
      </c>
    </row>
    <row r="33" spans="2:39" ht="14.4" x14ac:dyDescent="0.3">
      <c r="B33">
        <v>3</v>
      </c>
      <c r="C33" t="str">
        <f>IFERROR(VLOOKUP(B33,'Pre-Summary'!$DI$6:$DM$23,4,FALSE),"")</f>
        <v/>
      </c>
      <c r="D33" s="10" t="str">
        <f>IFERROR(VLOOKUP(B33,'Pre-Summary'!$AT$6:$AX$14,5,FALSE),D32)</f>
        <v>DSMZ v1: Using DSMZ 120 without NaHCO3</v>
      </c>
      <c r="E33" s="10" t="str">
        <f>IFERROR(VLOOKUP(B33,'Pre-Summary'!$AT$6:$AX$15,4,FALSE),"")</f>
        <v/>
      </c>
      <c r="F33">
        <f>IFERROR(VLOOKUP(B33,'Pre-Summary'!$AL$6:$AQ$13,6,FALSE),F32)</f>
        <v>5.9405263157894746E-2</v>
      </c>
      <c r="G33" t="str">
        <f>IFERROR(VLOOKUP(B33,'Pre-Summary'!$AE$6:$AJ$85,3,FALSE),"")</f>
        <v/>
      </c>
      <c r="H33" t="str">
        <f>IFERROR(VLOOKUP(B33,'Pre-Summary'!$AE$6:$AJ$85,4,FALSE),"")</f>
        <v/>
      </c>
      <c r="I33" t="str">
        <f>IFERROR(VLOOKUP(B33,'Pre-Summary'!$AE$6:$AJ$85,5,FALSE),"")</f>
        <v/>
      </c>
      <c r="J33" s="45" t="str">
        <f>IFERROR(VLOOKUP(B33,'Pre-Summary'!$AE$6:$AJ$85,6, FALSE),"")</f>
        <v/>
      </c>
      <c r="K33" s="45" t="str">
        <f>IFERROR(VLOOKUP(B33,'Pre-Summary'!$DE$6:$DG$61,3,FALSE),"")</f>
        <v/>
      </c>
      <c r="L33" s="45" t="str">
        <f>IFERROR(VLOOKUP(B33,'Pre-Summary'!$CU$6:$CW$36,3,FALSE),"")</f>
        <v/>
      </c>
      <c r="M33" s="45" t="str">
        <f>IFERROR(VLOOKUP(B33,'Pre-Summary'!$BW$6:$BY$58,2,FALSE),"")</f>
        <v/>
      </c>
      <c r="N33" s="45" t="str">
        <f>IFERROR(VLOOKUP(B33,'Pre-Summary'!$CD$6:$CF$64,2,FALSE),"")</f>
        <v/>
      </c>
      <c r="O33" s="99">
        <f>IFERROR(VLOOKUP(B33,'Pre-Summary'!$BO$6:$BQ$48,3, FALSE),O32)</f>
        <v>1.0915248032216731</v>
      </c>
      <c r="P33" s="99">
        <f>IFERROR(VLOOKUP(B33,'Pre-Summary'!$BS$6:$BU$35,3,FALSE),P32)</f>
        <v>0.25</v>
      </c>
      <c r="Q33" s="54">
        <f t="shared" si="0"/>
        <v>4.3660992128866924</v>
      </c>
      <c r="R33" s="53">
        <f>IFERROR(VLOOKUP(B33,'Pre-Summary'!$BG$6:$BM$44,7,FALSE),R34)</f>
        <v>2.7904161219319636E-2</v>
      </c>
      <c r="S33" s="53">
        <f>IFERROR(VLOOKUP(B33,'Pre-Summary'!$BG$6:$BM$44,6,FALSE),S34)</f>
        <v>3.3978715219895171E-2</v>
      </c>
      <c r="T33" s="45" t="str">
        <f>IFERROR(VLOOKUP(B33,'Pre-Summary'!$Y$6:$AC$83, 3,FALSE),"")</f>
        <v/>
      </c>
      <c r="U33" s="45" t="str">
        <f>IFERROR(VLOOKUP(B33,'Pre-Summary'!$Y$6:$AC$83, 4,FALSE),"")</f>
        <v/>
      </c>
      <c r="V33" t="str">
        <f>IFERROR(VLOOKUP(B33,'Pre-Summary'!$Y$6:$AC$83, 5,FALSE),"")</f>
        <v/>
      </c>
      <c r="W33" s="45" t="str">
        <f>IFERROR(VLOOKUP(B33,'Pre-Summary'!$Y$6:$AD$83,6,FALSE),"")</f>
        <v/>
      </c>
      <c r="X33" t="str">
        <f>IFERROR(VLOOKUP('Pre-Summary'!$DB$6:$DD$63,3,FALSE),"")</f>
        <v/>
      </c>
      <c r="Y33" t="str">
        <f>IFERROR(VLOOKUP(B33,'Pre-Summary'!$CR$6:$CT$36,3,FALSE),"")</f>
        <v/>
      </c>
      <c r="Z33" s="45" t="str">
        <f>IFERROR(VLOOKUP(B33,'Pre-Summary'!$BZ$6:$CB$63,2,FALSE),"")</f>
        <v/>
      </c>
      <c r="AA33" s="45" t="str">
        <f>IFERROR(VLOOKUP(B33,'Pre-Summary'!$CG$6:$CI$70,2,FALSE),"")</f>
        <v/>
      </c>
      <c r="AB33" s="99">
        <f>IFERROR(VLOOKUP(B33,'Pre-Summary'!$A$6:$P$178,9,FALSE),AB34)</f>
        <v>0.59347182280138921</v>
      </c>
      <c r="AC33" s="10">
        <f>IFERROR(VLOOKUP(Summary!B33,'Pre-Summary'!$A$6:$P$184,5, FALSE)/100,AC34)</f>
        <v>0</v>
      </c>
      <c r="AD33" s="10">
        <f>IFERROR(VLOOKUP(Summary!B33,'Pre-Summary'!$A$6:$P$184,3, FALSE)/100,AD34)</f>
        <v>0.93184500000000003</v>
      </c>
      <c r="AE33" s="10">
        <f>IFERROR(VLOOKUP(Summary!B33,'Pre-Summary'!$A$6:$P$184,7, FALSE)/100,AE34)</f>
        <v>6.8155000000000007E-2</v>
      </c>
      <c r="AF33" s="99">
        <f t="shared" si="1"/>
        <v>0.55302375071836052</v>
      </c>
      <c r="AG33" s="99">
        <f t="shared" si="2"/>
        <v>4.044807208302869E-2</v>
      </c>
      <c r="AH33" s="10" t="str">
        <f>IFERROR(VLOOKUP(B33,'Pre-Summary'!$AZ$6:$BE$65,3,FALSE),"")</f>
        <v/>
      </c>
      <c r="AI33" s="10" t="str">
        <f>IFERROR(VLOOKUP(B33,'Pre-Summary'!$AZ$6:$BE$65,5,FALSE),"")</f>
        <v/>
      </c>
      <c r="AJ33" s="10" t="str">
        <f>IFERROR(VLOOKUP(B33,'Pre-Summary'!$AZ$6:$BE$65,4,FALSE),"")</f>
        <v/>
      </c>
      <c r="AK33" s="10" t="str">
        <f>IFERROR(VLOOKUP(B33,'Pre-Summary'!$AZ$6:$BE$65,6,FALSE),"")</f>
        <v/>
      </c>
      <c r="AL33" s="10" t="str">
        <f>IFERROR(VLOOKUP(B33,'Pre-Summary'!$BG$6:$BL$44,3,FALSE),"")</f>
        <v/>
      </c>
      <c r="AM33" s="10" t="str">
        <f>IFERROR(VLOOKUP(B33,'Pre-Summary'!$BG$6:$BL$44,4,FALSE),"")</f>
        <v/>
      </c>
    </row>
    <row r="34" spans="2:39" ht="14.4" x14ac:dyDescent="0.3">
      <c r="B34">
        <v>3.1</v>
      </c>
      <c r="C34" t="str">
        <f>IFERROR(VLOOKUP(B34,'Pre-Summary'!$DI$6:$DM$23,4,FALSE),"")</f>
        <v/>
      </c>
      <c r="D34" s="10" t="str">
        <f>IFERROR(VLOOKUP(B34,'Pre-Summary'!$AT$6:$AX$14,5,FALSE),D33)</f>
        <v>DSMZ v1: Using DSMZ 120 without NaHCO3</v>
      </c>
      <c r="E34" s="10" t="str">
        <f>IFERROR(VLOOKUP(B34,'Pre-Summary'!$AT$6:$AX$15,4,FALSE),"")</f>
        <v/>
      </c>
      <c r="F34">
        <f>IFERROR(VLOOKUP(B34,'Pre-Summary'!$AL$6:$AQ$13,6,FALSE),F33)</f>
        <v>5.9405263157894746E-2</v>
      </c>
      <c r="G34" t="str">
        <f>IFERROR(VLOOKUP(B34,'Pre-Summary'!$AE$6:$AJ$85,3,FALSE),"")</f>
        <v/>
      </c>
      <c r="H34" t="str">
        <f>IFERROR(VLOOKUP(B34,'Pre-Summary'!$AE$6:$AJ$85,4,FALSE),"")</f>
        <v/>
      </c>
      <c r="I34" t="str">
        <f>IFERROR(VLOOKUP(B34,'Pre-Summary'!$AE$6:$AJ$85,5,FALSE),"")</f>
        <v/>
      </c>
      <c r="J34" s="45" t="str">
        <f>IFERROR(VLOOKUP(B34,'Pre-Summary'!$AE$6:$AJ$85,6, FALSE),"")</f>
        <v/>
      </c>
      <c r="K34" s="45" t="str">
        <f>IFERROR(VLOOKUP(B34,'Pre-Summary'!$DE$6:$DG$61,3,FALSE),"")</f>
        <v/>
      </c>
      <c r="L34" s="45" t="str">
        <f>IFERROR(VLOOKUP(B34,'Pre-Summary'!$CU$6:$CW$36,3,FALSE),"")</f>
        <v/>
      </c>
      <c r="M34" s="45" t="str">
        <f>IFERROR(VLOOKUP(B34,'Pre-Summary'!$BW$6:$BY$58,2,FALSE),"")</f>
        <v/>
      </c>
      <c r="N34" s="45" t="str">
        <f>IFERROR(VLOOKUP(B34,'Pre-Summary'!$CD$6:$CF$64,2,FALSE),"")</f>
        <v/>
      </c>
      <c r="O34" s="99">
        <f>IFERROR(VLOOKUP(B34,'Pre-Summary'!$BO$6:$BQ$48,3, FALSE),O33)</f>
        <v>1.0915248032216731</v>
      </c>
      <c r="P34" s="99">
        <f>IFERROR(VLOOKUP(B34,'Pre-Summary'!$BS$6:$BU$35,3,FALSE),P33)</f>
        <v>0.25</v>
      </c>
      <c r="Q34" s="54">
        <f t="shared" si="0"/>
        <v>4.3660992128866924</v>
      </c>
      <c r="R34" s="53">
        <f>IFERROR(VLOOKUP(B34,'Pre-Summary'!$BG$6:$BM$44,7,FALSE),R35)</f>
        <v>2.7904161219319636E-2</v>
      </c>
      <c r="S34" s="53">
        <f>IFERROR(VLOOKUP(B34,'Pre-Summary'!$BG$6:$BM$44,6,FALSE),S35)</f>
        <v>3.3978715219895171E-2</v>
      </c>
      <c r="T34" s="45" t="str">
        <f>IFERROR(VLOOKUP(B34,'Pre-Summary'!$Y$6:$AC$83, 3,FALSE),"")</f>
        <v/>
      </c>
      <c r="U34" s="45" t="str">
        <f>IFERROR(VLOOKUP(B34,'Pre-Summary'!$Y$6:$AC$83, 4,FALSE),"")</f>
        <v/>
      </c>
      <c r="V34" t="str">
        <f>IFERROR(VLOOKUP(B34,'Pre-Summary'!$Y$6:$AC$83, 5,FALSE),"")</f>
        <v/>
      </c>
      <c r="W34" s="45" t="str">
        <f>IFERROR(VLOOKUP(B34,'Pre-Summary'!$Y$6:$AD$83,6,FALSE),"")</f>
        <v/>
      </c>
      <c r="X34" t="str">
        <f>IFERROR(VLOOKUP('Pre-Summary'!$DB$6:$DD$63,3,FALSE),"")</f>
        <v/>
      </c>
      <c r="Y34" t="str">
        <f>IFERROR(VLOOKUP(B34,'Pre-Summary'!$CR$6:$CT$36,3,FALSE),"")</f>
        <v/>
      </c>
      <c r="Z34" s="45" t="str">
        <f>IFERROR(VLOOKUP(B34,'Pre-Summary'!$BZ$6:$CB$63,2,FALSE),"")</f>
        <v/>
      </c>
      <c r="AA34" s="45" t="str">
        <f>IFERROR(VLOOKUP(B34,'Pre-Summary'!$CG$6:$CI$70,2,FALSE),"")</f>
        <v/>
      </c>
      <c r="AB34" s="99">
        <f>IFERROR(VLOOKUP(B34,'Pre-Summary'!$A$6:$P$178,9,FALSE),AB35)</f>
        <v>0.59347182280138921</v>
      </c>
      <c r="AC34" s="10">
        <f>IFERROR(VLOOKUP(Summary!B34,'Pre-Summary'!$A$6:$P$184,5, FALSE)/100,AC35)</f>
        <v>0</v>
      </c>
      <c r="AD34" s="10">
        <f>IFERROR(VLOOKUP(Summary!B34,'Pre-Summary'!$A$6:$P$184,3, FALSE)/100,AD35)</f>
        <v>0.93184500000000003</v>
      </c>
      <c r="AE34" s="10">
        <f>IFERROR(VLOOKUP(Summary!B34,'Pre-Summary'!$A$6:$P$184,7, FALSE)/100,AE35)</f>
        <v>6.8155000000000007E-2</v>
      </c>
      <c r="AF34" s="99">
        <f t="shared" si="1"/>
        <v>0.55302375071836052</v>
      </c>
      <c r="AG34" s="99">
        <f t="shared" si="2"/>
        <v>4.044807208302869E-2</v>
      </c>
      <c r="AH34" s="10" t="str">
        <f>IFERROR(VLOOKUP(B34,'Pre-Summary'!$AZ$6:$BE$65,3,FALSE),"")</f>
        <v/>
      </c>
      <c r="AI34" s="10" t="str">
        <f>IFERROR(VLOOKUP(B34,'Pre-Summary'!$AZ$6:$BE$65,5,FALSE),"")</f>
        <v/>
      </c>
      <c r="AJ34" s="10" t="str">
        <f>IFERROR(VLOOKUP(B34,'Pre-Summary'!$AZ$6:$BE$65,4,FALSE),"")</f>
        <v/>
      </c>
      <c r="AK34" s="10" t="str">
        <f>IFERROR(VLOOKUP(B34,'Pre-Summary'!$AZ$6:$BE$65,6,FALSE),"")</f>
        <v/>
      </c>
      <c r="AL34" s="10" t="str">
        <f>IFERROR(VLOOKUP(B34,'Pre-Summary'!$BG$6:$BL$44,3,FALSE),"")</f>
        <v/>
      </c>
      <c r="AM34" s="10" t="str">
        <f>IFERROR(VLOOKUP(B34,'Pre-Summary'!$BG$6:$BL$44,4,FALSE),"")</f>
        <v/>
      </c>
    </row>
    <row r="35" spans="2:39" ht="14.4" x14ac:dyDescent="0.3">
      <c r="B35">
        <v>3.2</v>
      </c>
      <c r="C35" t="str">
        <f>IFERROR(VLOOKUP(B35,'Pre-Summary'!$DI$6:$DM$23,4,FALSE),"")</f>
        <v/>
      </c>
      <c r="D35" s="10" t="str">
        <f>IFERROR(VLOOKUP(B35,'Pre-Summary'!$AT$6:$AX$14,5,FALSE),D34)</f>
        <v>DSMZ v1: Using DSMZ 120 without NaHCO3</v>
      </c>
      <c r="E35" s="10" t="str">
        <f>IFERROR(VLOOKUP(B35,'Pre-Summary'!$AT$6:$AX$15,4,FALSE),"")</f>
        <v/>
      </c>
      <c r="F35">
        <f>IFERROR(VLOOKUP(B35,'Pre-Summary'!$AL$6:$AQ$13,6,FALSE),F34)</f>
        <v>5.9405263157894746E-2</v>
      </c>
      <c r="G35" t="str">
        <f>IFERROR(VLOOKUP(B35,'Pre-Summary'!$AE$6:$AJ$85,3,FALSE),"")</f>
        <v/>
      </c>
      <c r="H35" t="str">
        <f>IFERROR(VLOOKUP(B35,'Pre-Summary'!$AE$6:$AJ$85,4,FALSE),"")</f>
        <v/>
      </c>
      <c r="I35" t="str">
        <f>IFERROR(VLOOKUP(B35,'Pre-Summary'!$AE$6:$AJ$85,5,FALSE),"")</f>
        <v/>
      </c>
      <c r="J35" s="45" t="str">
        <f>IFERROR(VLOOKUP(B35,'Pre-Summary'!$AE$6:$AJ$85,6, FALSE),"")</f>
        <v/>
      </c>
      <c r="K35" s="45" t="str">
        <f>IFERROR(VLOOKUP(B35,'Pre-Summary'!$DE$6:$DG$61,3,FALSE),"")</f>
        <v/>
      </c>
      <c r="L35" s="45" t="str">
        <f>IFERROR(VLOOKUP(B35,'Pre-Summary'!$CU$6:$CW$36,3,FALSE),"")</f>
        <v/>
      </c>
      <c r="M35" s="45" t="str">
        <f>IFERROR(VLOOKUP(B35,'Pre-Summary'!$BW$6:$BY$58,2,FALSE),"")</f>
        <v/>
      </c>
      <c r="N35" s="45" t="str">
        <f>IFERROR(VLOOKUP(B35,'Pre-Summary'!$CD$6:$CF$64,2,FALSE),"")</f>
        <v/>
      </c>
      <c r="O35" s="99">
        <f>IFERROR(VLOOKUP(B35,'Pre-Summary'!$BO$6:$BQ$48,3, FALSE),O34)</f>
        <v>1.0915248032216731</v>
      </c>
      <c r="P35" s="99">
        <f>IFERROR(VLOOKUP(B35,'Pre-Summary'!$BS$6:$BU$35,3,FALSE),P34)</f>
        <v>0.25</v>
      </c>
      <c r="Q35" s="54">
        <f t="shared" si="0"/>
        <v>4.3660992128866924</v>
      </c>
      <c r="R35" s="53">
        <f>IFERROR(VLOOKUP(B35,'Pre-Summary'!$BG$6:$BM$44,7,FALSE),R36)</f>
        <v>2.7904161219319636E-2</v>
      </c>
      <c r="S35" s="53">
        <f>IFERROR(VLOOKUP(B35,'Pre-Summary'!$BG$6:$BM$44,6,FALSE),S36)</f>
        <v>3.3978715219895171E-2</v>
      </c>
      <c r="T35" s="45" t="str">
        <f>IFERROR(VLOOKUP(B35,'Pre-Summary'!$Y$6:$AC$83, 3,FALSE),"")</f>
        <v/>
      </c>
      <c r="U35" s="45" t="str">
        <f>IFERROR(VLOOKUP(B35,'Pre-Summary'!$Y$6:$AC$83, 4,FALSE),"")</f>
        <v/>
      </c>
      <c r="V35" t="str">
        <f>IFERROR(VLOOKUP(B35,'Pre-Summary'!$Y$6:$AC$83, 5,FALSE),"")</f>
        <v/>
      </c>
      <c r="W35" s="45" t="str">
        <f>IFERROR(VLOOKUP(B35,'Pre-Summary'!$Y$6:$AD$83,6,FALSE),"")</f>
        <v/>
      </c>
      <c r="X35" t="str">
        <f>IFERROR(VLOOKUP('Pre-Summary'!$DB$6:$DD$63,3,FALSE),"")</f>
        <v/>
      </c>
      <c r="Y35" t="str">
        <f>IFERROR(VLOOKUP(B35,'Pre-Summary'!$CR$6:$CT$36,3,FALSE),"")</f>
        <v/>
      </c>
      <c r="Z35" s="45" t="str">
        <f>IFERROR(VLOOKUP(B35,'Pre-Summary'!$BZ$6:$CB$63,2,FALSE),"")</f>
        <v/>
      </c>
      <c r="AA35" s="45" t="str">
        <f>IFERROR(VLOOKUP(B35,'Pre-Summary'!$CG$6:$CI$70,2,FALSE),"")</f>
        <v/>
      </c>
      <c r="AB35" s="99">
        <f>IFERROR(VLOOKUP(B35,'Pre-Summary'!$A$6:$P$178,9,FALSE),AB36)</f>
        <v>0.53921227545060579</v>
      </c>
      <c r="AC35" s="10">
        <f>IFERROR(VLOOKUP(Summary!B35,'Pre-Summary'!$A$6:$P$184,5, FALSE)/100,AC36)</f>
        <v>0.122433</v>
      </c>
      <c r="AD35" s="10">
        <f>IFERROR(VLOOKUP(Summary!B35,'Pre-Summary'!$A$6:$P$184,3, FALSE)/100,AD36)</f>
        <v>0.86166133333333339</v>
      </c>
      <c r="AE35" s="10">
        <f>IFERROR(VLOOKUP(Summary!B35,'Pre-Summary'!$A$6:$P$184,7, FALSE)/100,AE36)</f>
        <v>1.5905666666666665E-2</v>
      </c>
      <c r="AF35" s="99">
        <f t="shared" si="1"/>
        <v>0.46461836821446961</v>
      </c>
      <c r="AG35" s="99">
        <f t="shared" si="2"/>
        <v>8.5765307158921847E-3</v>
      </c>
      <c r="AH35" s="10" t="str">
        <f>IFERROR(VLOOKUP(B35,'Pre-Summary'!$AZ$6:$BE$65,3,FALSE),"")</f>
        <v/>
      </c>
      <c r="AI35" s="10" t="str">
        <f>IFERROR(VLOOKUP(B35,'Pre-Summary'!$AZ$6:$BE$65,5,FALSE),"")</f>
        <v/>
      </c>
      <c r="AJ35" s="10" t="str">
        <f>IFERROR(VLOOKUP(B35,'Pre-Summary'!$AZ$6:$BE$65,4,FALSE),"")</f>
        <v/>
      </c>
      <c r="AK35" s="10" t="str">
        <f>IFERROR(VLOOKUP(B35,'Pre-Summary'!$AZ$6:$BE$65,6,FALSE),"")</f>
        <v/>
      </c>
      <c r="AL35" s="10" t="str">
        <f>IFERROR(VLOOKUP(B35,'Pre-Summary'!$BG$6:$BL$44,3,FALSE),"")</f>
        <v/>
      </c>
      <c r="AM35" s="10" t="str">
        <f>IFERROR(VLOOKUP(B35,'Pre-Summary'!$BG$6:$BL$44,4,FALSE),"")</f>
        <v/>
      </c>
    </row>
    <row r="36" spans="2:39" ht="14.4" x14ac:dyDescent="0.3">
      <c r="B36">
        <v>3.3</v>
      </c>
      <c r="C36" t="str">
        <f>IFERROR(VLOOKUP(B36,'Pre-Summary'!$DI$6:$DM$23,4,FALSE),"")</f>
        <v/>
      </c>
      <c r="D36" s="10" t="str">
        <f>IFERROR(VLOOKUP(B36,'Pre-Summary'!$AT$6:$AX$14,5,FALSE),D35)</f>
        <v>DSMZ v1: Using DSMZ 120 without NaHCO3</v>
      </c>
      <c r="E36" s="10" t="str">
        <f>IFERROR(VLOOKUP(B36,'Pre-Summary'!$AT$6:$AX$15,4,FALSE),"")</f>
        <v/>
      </c>
      <c r="F36">
        <f>IFERROR(VLOOKUP(B36,'Pre-Summary'!$AL$6:$AQ$13,6,FALSE),F35)</f>
        <v>5.9405263157894746E-2</v>
      </c>
      <c r="G36" t="str">
        <f>IFERROR(VLOOKUP(B36,'Pre-Summary'!$AE$6:$AJ$85,3,FALSE),"")</f>
        <v/>
      </c>
      <c r="H36" t="str">
        <f>IFERROR(VLOOKUP(B36,'Pre-Summary'!$AE$6:$AJ$85,4,FALSE),"")</f>
        <v/>
      </c>
      <c r="I36" t="str">
        <f>IFERROR(VLOOKUP(B36,'Pre-Summary'!$AE$6:$AJ$85,5,FALSE),"")</f>
        <v/>
      </c>
      <c r="J36" s="45" t="str">
        <f>IFERROR(VLOOKUP(B36,'Pre-Summary'!$AE$6:$AJ$85,6, FALSE),"")</f>
        <v/>
      </c>
      <c r="K36" s="45" t="str">
        <f>IFERROR(VLOOKUP(B36,'Pre-Summary'!$DE$6:$DG$61,3,FALSE),"")</f>
        <v/>
      </c>
      <c r="L36" s="45" t="str">
        <f>IFERROR(VLOOKUP(B36,'Pre-Summary'!$CU$6:$CW$36,3,FALSE),"")</f>
        <v/>
      </c>
      <c r="M36" s="45" t="str">
        <f>IFERROR(VLOOKUP(B36,'Pre-Summary'!$BW$6:$BY$58,2,FALSE),"")</f>
        <v/>
      </c>
      <c r="N36" s="45" t="str">
        <f>IFERROR(VLOOKUP(B36,'Pre-Summary'!$CD$6:$CF$64,2,FALSE),"")</f>
        <v/>
      </c>
      <c r="O36" s="99">
        <f>IFERROR(VLOOKUP(B36,'Pre-Summary'!$BO$6:$BQ$48,3, FALSE),O35)</f>
        <v>1.0915248032216731</v>
      </c>
      <c r="P36" s="99">
        <f>IFERROR(VLOOKUP(B36,'Pre-Summary'!$BS$6:$BU$35,3,FALSE),P35)</f>
        <v>0.25</v>
      </c>
      <c r="Q36" s="54">
        <f t="shared" si="0"/>
        <v>4.3660992128866924</v>
      </c>
      <c r="R36" s="53">
        <f>IFERROR(VLOOKUP(B36,'Pre-Summary'!$BG$6:$BM$44,7,FALSE),R37)</f>
        <v>2.7904161219319636E-2</v>
      </c>
      <c r="S36" s="53">
        <f>IFERROR(VLOOKUP(B36,'Pre-Summary'!$BG$6:$BM$44,6,FALSE),S37)</f>
        <v>3.3978715219895171E-2</v>
      </c>
      <c r="T36" s="45" t="str">
        <f>IFERROR(VLOOKUP(B36,'Pre-Summary'!$Y$6:$AC$83, 3,FALSE),"")</f>
        <v/>
      </c>
      <c r="U36" s="45" t="str">
        <f>IFERROR(VLOOKUP(B36,'Pre-Summary'!$Y$6:$AC$83, 4,FALSE),"")</f>
        <v/>
      </c>
      <c r="V36" t="str">
        <f>IFERROR(VLOOKUP(B36,'Pre-Summary'!$Y$6:$AC$83, 5,FALSE),"")</f>
        <v/>
      </c>
      <c r="W36" s="45" t="str">
        <f>IFERROR(VLOOKUP(B36,'Pre-Summary'!$Y$6:$AD$83,6,FALSE),"")</f>
        <v/>
      </c>
      <c r="X36" t="str">
        <f>IFERROR(VLOOKUP('Pre-Summary'!$DB$6:$DD$63,3,FALSE),"")</f>
        <v/>
      </c>
      <c r="Y36" t="str">
        <f>IFERROR(VLOOKUP(B36,'Pre-Summary'!$CR$6:$CT$36,3,FALSE),"")</f>
        <v/>
      </c>
      <c r="Z36" s="45" t="str">
        <f>IFERROR(VLOOKUP(B36,'Pre-Summary'!$BZ$6:$CB$63,2,FALSE),"")</f>
        <v/>
      </c>
      <c r="AA36" s="45" t="str">
        <f>IFERROR(VLOOKUP(B36,'Pre-Summary'!$CG$6:$CI$70,2,FALSE),"")</f>
        <v/>
      </c>
      <c r="AB36" s="99">
        <f>IFERROR(VLOOKUP(B36,'Pre-Summary'!$A$6:$P$178,9,FALSE),AB37)</f>
        <v>0.53921227545060579</v>
      </c>
      <c r="AC36" s="10">
        <f>IFERROR(VLOOKUP(Summary!B36,'Pre-Summary'!$A$6:$P$184,5, FALSE)/100,AC37)</f>
        <v>0.122433</v>
      </c>
      <c r="AD36" s="10">
        <f>IFERROR(VLOOKUP(Summary!B36,'Pre-Summary'!$A$6:$P$184,3, FALSE)/100,AD37)</f>
        <v>0.86166133333333339</v>
      </c>
      <c r="AE36" s="10">
        <f>IFERROR(VLOOKUP(Summary!B36,'Pre-Summary'!$A$6:$P$184,7, FALSE)/100,AE37)</f>
        <v>1.5905666666666665E-2</v>
      </c>
      <c r="AF36" s="99">
        <f t="shared" si="1"/>
        <v>0.46461836821446961</v>
      </c>
      <c r="AG36" s="99">
        <f t="shared" si="2"/>
        <v>8.5765307158921847E-3</v>
      </c>
      <c r="AH36" s="10" t="str">
        <f>IFERROR(VLOOKUP(B36,'Pre-Summary'!$AZ$6:$BE$65,3,FALSE),"")</f>
        <v/>
      </c>
      <c r="AI36" s="10" t="str">
        <f>IFERROR(VLOOKUP(B36,'Pre-Summary'!$AZ$6:$BE$65,5,FALSE),"")</f>
        <v/>
      </c>
      <c r="AJ36" s="10" t="str">
        <f>IFERROR(VLOOKUP(B36,'Pre-Summary'!$AZ$6:$BE$65,4,FALSE),"")</f>
        <v/>
      </c>
      <c r="AK36" s="10" t="str">
        <f>IFERROR(VLOOKUP(B36,'Pre-Summary'!$AZ$6:$BE$65,6,FALSE),"")</f>
        <v/>
      </c>
      <c r="AL36" s="10" t="str">
        <f>IFERROR(VLOOKUP(B36,'Pre-Summary'!$BG$6:$BL$44,3,FALSE),"")</f>
        <v/>
      </c>
      <c r="AM36" s="10" t="str">
        <f>IFERROR(VLOOKUP(B36,'Pre-Summary'!$BG$6:$BL$44,4,FALSE),"")</f>
        <v/>
      </c>
    </row>
    <row r="37" spans="2:39" ht="14.4" x14ac:dyDescent="0.3">
      <c r="B37">
        <v>3.4</v>
      </c>
      <c r="C37" t="str">
        <f>IFERROR(VLOOKUP(B37,'Pre-Summary'!$DI$6:$DM$23,4,FALSE),"")</f>
        <v/>
      </c>
      <c r="D37" s="10" t="str">
        <f>IFERROR(VLOOKUP(B37,'Pre-Summary'!$AT$6:$AX$14,5,FALSE),D36)</f>
        <v>DSMZ v1: Using DSMZ 120 without NaHCO3</v>
      </c>
      <c r="E37" s="10" t="str">
        <f>IFERROR(VLOOKUP(B37,'Pre-Summary'!$AT$6:$AX$15,4,FALSE),"")</f>
        <v/>
      </c>
      <c r="F37">
        <f>IFERROR(VLOOKUP(B37,'Pre-Summary'!$AL$6:$AQ$13,6,FALSE),F36)</f>
        <v>5.9405263157894746E-2</v>
      </c>
      <c r="G37" t="str">
        <f>IFERROR(VLOOKUP(B37,'Pre-Summary'!$AE$6:$AJ$85,3,FALSE),"")</f>
        <v/>
      </c>
      <c r="H37" t="str">
        <f>IFERROR(VLOOKUP(B37,'Pre-Summary'!$AE$6:$AJ$85,4,FALSE),"")</f>
        <v/>
      </c>
      <c r="I37" t="str">
        <f>IFERROR(VLOOKUP(B37,'Pre-Summary'!$AE$6:$AJ$85,5,FALSE),"")</f>
        <v/>
      </c>
      <c r="J37" s="45" t="str">
        <f>IFERROR(VLOOKUP(B37,'Pre-Summary'!$AE$6:$AJ$85,6, FALSE),"")</f>
        <v/>
      </c>
      <c r="K37" s="45" t="str">
        <f>IFERROR(VLOOKUP(B37,'Pre-Summary'!$DE$6:$DG$61,3,FALSE),"")</f>
        <v/>
      </c>
      <c r="L37" s="45" t="str">
        <f>IFERROR(VLOOKUP(B37,'Pre-Summary'!$CU$6:$CW$36,3,FALSE),"")</f>
        <v/>
      </c>
      <c r="M37" s="45" t="str">
        <f>IFERROR(VLOOKUP(B37,'Pre-Summary'!$BW$6:$BY$58,2,FALSE),"")</f>
        <v/>
      </c>
      <c r="N37" s="45" t="str">
        <f>IFERROR(VLOOKUP(B37,'Pre-Summary'!$CD$6:$CF$64,2,FALSE),"")</f>
        <v/>
      </c>
      <c r="O37" s="99">
        <f>IFERROR(VLOOKUP(B37,'Pre-Summary'!$BO$6:$BQ$48,3, FALSE),O36)</f>
        <v>1.0915248032216731</v>
      </c>
      <c r="P37" s="99">
        <f>IFERROR(VLOOKUP(B37,'Pre-Summary'!$BS$6:$BU$35,3,FALSE),P36)</f>
        <v>0.25</v>
      </c>
      <c r="Q37" s="54">
        <f t="shared" si="0"/>
        <v>4.3660992128866924</v>
      </c>
      <c r="R37" s="53">
        <f>IFERROR(VLOOKUP(B37,'Pre-Summary'!$BG$6:$BM$44,7,FALSE),R38)</f>
        <v>2.7904161219319636E-2</v>
      </c>
      <c r="S37" s="53">
        <f>IFERROR(VLOOKUP(B37,'Pre-Summary'!$BG$6:$BM$44,6,FALSE),S38)</f>
        <v>3.3978715219895171E-2</v>
      </c>
      <c r="T37" s="45" t="str">
        <f>IFERROR(VLOOKUP(B37,'Pre-Summary'!$Y$6:$AC$83, 3,FALSE),"")</f>
        <v/>
      </c>
      <c r="U37" s="45" t="str">
        <f>IFERROR(VLOOKUP(B37,'Pre-Summary'!$Y$6:$AC$83, 4,FALSE),"")</f>
        <v/>
      </c>
      <c r="V37" t="str">
        <f>IFERROR(VLOOKUP(B37,'Pre-Summary'!$Y$6:$AC$83, 5,FALSE),"")</f>
        <v/>
      </c>
      <c r="W37" s="45" t="str">
        <f>IFERROR(VLOOKUP(B37,'Pre-Summary'!$Y$6:$AD$83,6,FALSE),"")</f>
        <v/>
      </c>
      <c r="X37" t="str">
        <f>IFERROR(VLOOKUP('Pre-Summary'!$DB$6:$DD$63,3,FALSE),"")</f>
        <v/>
      </c>
      <c r="Y37" t="str">
        <f>IFERROR(VLOOKUP(B37,'Pre-Summary'!$CR$6:$CT$36,3,FALSE),"")</f>
        <v/>
      </c>
      <c r="Z37" s="45" t="str">
        <f>IFERROR(VLOOKUP(B37,'Pre-Summary'!$BZ$6:$CB$63,2,FALSE),"")</f>
        <v/>
      </c>
      <c r="AA37" s="45" t="str">
        <f>IFERROR(VLOOKUP(B37,'Pre-Summary'!$CG$6:$CI$70,2,FALSE),"")</f>
        <v/>
      </c>
      <c r="AB37" s="99">
        <f>IFERROR(VLOOKUP(B37,'Pre-Summary'!$A$6:$P$178,9,FALSE),AB38)</f>
        <v>0.53921227545060579</v>
      </c>
      <c r="AC37" s="10">
        <f>IFERROR(VLOOKUP(Summary!B37,'Pre-Summary'!$A$6:$P$184,5, FALSE)/100,AC38)</f>
        <v>0.122433</v>
      </c>
      <c r="AD37" s="10">
        <f>IFERROR(VLOOKUP(Summary!B37,'Pre-Summary'!$A$6:$P$184,3, FALSE)/100,AD38)</f>
        <v>0.86166133333333339</v>
      </c>
      <c r="AE37" s="10">
        <f>IFERROR(VLOOKUP(Summary!B37,'Pre-Summary'!$A$6:$P$184,7, FALSE)/100,AE38)</f>
        <v>1.5905666666666665E-2</v>
      </c>
      <c r="AF37" s="99">
        <f t="shared" si="1"/>
        <v>0.46461836821446961</v>
      </c>
      <c r="AG37" s="99">
        <f t="shared" si="2"/>
        <v>8.5765307158921847E-3</v>
      </c>
      <c r="AH37" s="10" t="str">
        <f>IFERROR(VLOOKUP(B37,'Pre-Summary'!$AZ$6:$BE$65,3,FALSE),"")</f>
        <v/>
      </c>
      <c r="AI37" s="10" t="str">
        <f>IFERROR(VLOOKUP(B37,'Pre-Summary'!$AZ$6:$BE$65,5,FALSE),"")</f>
        <v/>
      </c>
      <c r="AJ37" s="10" t="str">
        <f>IFERROR(VLOOKUP(B37,'Pre-Summary'!$AZ$6:$BE$65,4,FALSE),"")</f>
        <v/>
      </c>
      <c r="AK37" s="10" t="str">
        <f>IFERROR(VLOOKUP(B37,'Pre-Summary'!$AZ$6:$BE$65,6,FALSE),"")</f>
        <v/>
      </c>
      <c r="AL37" s="10" t="str">
        <f>IFERROR(VLOOKUP(B37,'Pre-Summary'!$BG$6:$BL$44,3,FALSE),"")</f>
        <v/>
      </c>
      <c r="AM37" s="10" t="str">
        <f>IFERROR(VLOOKUP(B37,'Pre-Summary'!$BG$6:$BL$44,4,FALSE),"")</f>
        <v/>
      </c>
    </row>
    <row r="38" spans="2:39" ht="14.4" x14ac:dyDescent="0.3">
      <c r="B38">
        <v>3.5</v>
      </c>
      <c r="C38" t="str">
        <f>IFERROR(VLOOKUP(B38,'Pre-Summary'!$DI$6:$DM$23,4,FALSE),"")</f>
        <v/>
      </c>
      <c r="D38" s="10" t="str">
        <f>IFERROR(VLOOKUP(B38,'Pre-Summary'!$AT$6:$AX$14,5,FALSE),D37)</f>
        <v>DSMZ v1: Using DSMZ 120 without NaHCO3</v>
      </c>
      <c r="E38" s="10" t="str">
        <f>IFERROR(VLOOKUP(B38,'Pre-Summary'!$AT$6:$AX$15,4,FALSE),"")</f>
        <v/>
      </c>
      <c r="F38">
        <f>IFERROR(VLOOKUP(B38,'Pre-Summary'!$AL$6:$AQ$13,6,FALSE),F37)</f>
        <v>5.9405263157894746E-2</v>
      </c>
      <c r="G38" t="str">
        <f>IFERROR(VLOOKUP(B38,'Pre-Summary'!$AE$6:$AJ$85,3,FALSE),"")</f>
        <v/>
      </c>
      <c r="H38" t="str">
        <f>IFERROR(VLOOKUP(B38,'Pre-Summary'!$AE$6:$AJ$85,4,FALSE),"")</f>
        <v/>
      </c>
      <c r="I38" t="str">
        <f>IFERROR(VLOOKUP(B38,'Pre-Summary'!$AE$6:$AJ$85,5,FALSE),"")</f>
        <v/>
      </c>
      <c r="J38" s="45" t="str">
        <f>IFERROR(VLOOKUP(B38,'Pre-Summary'!$AE$6:$AJ$85,6, FALSE),"")</f>
        <v/>
      </c>
      <c r="K38" s="45" t="str">
        <f>IFERROR(VLOOKUP(B38,'Pre-Summary'!$DE$6:$DG$61,3,FALSE),"")</f>
        <v/>
      </c>
      <c r="L38" s="45" t="str">
        <f>IFERROR(VLOOKUP(B38,'Pre-Summary'!$CU$6:$CW$36,3,FALSE),"")</f>
        <v/>
      </c>
      <c r="M38" s="45" t="str">
        <f>IFERROR(VLOOKUP(B38,'Pre-Summary'!$BW$6:$BY$58,2,FALSE),"")</f>
        <v/>
      </c>
      <c r="N38" s="45" t="str">
        <f>IFERROR(VLOOKUP(B38,'Pre-Summary'!$CD$6:$CF$64,2,FALSE),"")</f>
        <v/>
      </c>
      <c r="O38" s="99">
        <f>IFERROR(VLOOKUP(B38,'Pre-Summary'!$BO$6:$BQ$48,3, FALSE),O37)</f>
        <v>1.0915248032216731</v>
      </c>
      <c r="P38" s="99">
        <f>IFERROR(VLOOKUP(B38,'Pre-Summary'!$BS$6:$BU$35,3,FALSE),P37)</f>
        <v>0.25</v>
      </c>
      <c r="Q38" s="54">
        <f t="shared" si="0"/>
        <v>4.3660992128866924</v>
      </c>
      <c r="R38" s="53">
        <f>IFERROR(VLOOKUP(B38,'Pre-Summary'!$BG$6:$BM$44,7,FALSE),R39)</f>
        <v>2.7904161219319636E-2</v>
      </c>
      <c r="S38" s="53">
        <f>IFERROR(VLOOKUP(B38,'Pre-Summary'!$BG$6:$BM$44,6,FALSE),S39)</f>
        <v>3.3978715219895171E-2</v>
      </c>
      <c r="T38" s="45" t="str">
        <f>IFERROR(VLOOKUP(B38,'Pre-Summary'!$Y$6:$AC$83, 3,FALSE),"")</f>
        <v/>
      </c>
      <c r="U38" s="45" t="str">
        <f>IFERROR(VLOOKUP(B38,'Pre-Summary'!$Y$6:$AC$83, 4,FALSE),"")</f>
        <v/>
      </c>
      <c r="V38" t="str">
        <f>IFERROR(VLOOKUP(B38,'Pre-Summary'!$Y$6:$AC$83, 5,FALSE),"")</f>
        <v/>
      </c>
      <c r="W38" s="45" t="str">
        <f>IFERROR(VLOOKUP(B38,'Pre-Summary'!$Y$6:$AD$83,6,FALSE),"")</f>
        <v/>
      </c>
      <c r="X38" t="str">
        <f>IFERROR(VLOOKUP('Pre-Summary'!$DB$6:$DD$63,3,FALSE),"")</f>
        <v/>
      </c>
      <c r="Y38" t="str">
        <f>IFERROR(VLOOKUP(B38,'Pre-Summary'!$CR$6:$CT$36,3,FALSE),"")</f>
        <v/>
      </c>
      <c r="Z38" s="45" t="str">
        <f>IFERROR(VLOOKUP(B38,'Pre-Summary'!$BZ$6:$CB$63,2,FALSE),"")</f>
        <v/>
      </c>
      <c r="AA38" s="45" t="str">
        <f>IFERROR(VLOOKUP(B38,'Pre-Summary'!$CG$6:$CI$70,2,FALSE),"")</f>
        <v/>
      </c>
      <c r="AB38" s="99">
        <f>IFERROR(VLOOKUP(B38,'Pre-Summary'!$A$6:$P$178,9,FALSE),AB39)</f>
        <v>0.53921227545060579</v>
      </c>
      <c r="AC38" s="10">
        <f>IFERROR(VLOOKUP(Summary!B38,'Pre-Summary'!$A$6:$P$184,5, FALSE)/100,AC39)</f>
        <v>0.122433</v>
      </c>
      <c r="AD38" s="10">
        <f>IFERROR(VLOOKUP(Summary!B38,'Pre-Summary'!$A$6:$P$184,3, FALSE)/100,AD39)</f>
        <v>0.86166133333333339</v>
      </c>
      <c r="AE38" s="10">
        <f>IFERROR(VLOOKUP(Summary!B38,'Pre-Summary'!$A$6:$P$184,7, FALSE)/100,AE39)</f>
        <v>1.5905666666666665E-2</v>
      </c>
      <c r="AF38" s="99">
        <f t="shared" si="1"/>
        <v>0.46461836821446961</v>
      </c>
      <c r="AG38" s="99">
        <f t="shared" si="2"/>
        <v>8.5765307158921847E-3</v>
      </c>
      <c r="AH38" s="10" t="str">
        <f>IFERROR(VLOOKUP(B38,'Pre-Summary'!$AZ$6:$BE$65,3,FALSE),"")</f>
        <v/>
      </c>
      <c r="AI38" s="10" t="str">
        <f>IFERROR(VLOOKUP(B38,'Pre-Summary'!$AZ$6:$BE$65,5,FALSE),"")</f>
        <v/>
      </c>
      <c r="AJ38" s="10" t="str">
        <f>IFERROR(VLOOKUP(B38,'Pre-Summary'!$AZ$6:$BE$65,4,FALSE),"")</f>
        <v/>
      </c>
      <c r="AK38" s="10" t="str">
        <f>IFERROR(VLOOKUP(B38,'Pre-Summary'!$AZ$6:$BE$65,6,FALSE),"")</f>
        <v/>
      </c>
      <c r="AL38" s="10" t="str">
        <f>IFERROR(VLOOKUP(B38,'Pre-Summary'!$BG$6:$BL$44,3,FALSE),"")</f>
        <v/>
      </c>
      <c r="AM38" s="10" t="str">
        <f>IFERROR(VLOOKUP(B38,'Pre-Summary'!$BG$6:$BL$44,4,FALSE),"")</f>
        <v/>
      </c>
    </row>
    <row r="39" spans="2:39" ht="14.4" x14ac:dyDescent="0.3">
      <c r="B39">
        <v>3.6</v>
      </c>
      <c r="C39" t="str">
        <f>IFERROR(VLOOKUP(B39,'Pre-Summary'!$DI$6:$DM$23,4,FALSE),"")</f>
        <v/>
      </c>
      <c r="D39" s="10" t="str">
        <f>IFERROR(VLOOKUP(B39,'Pre-Summary'!$AT$6:$AX$14,5,FALSE),D38)</f>
        <v>DSMZ v1: Using DSMZ 120 without NaHCO3</v>
      </c>
      <c r="E39" s="10" t="str">
        <f>IFERROR(VLOOKUP(B39,'Pre-Summary'!$AT$6:$AX$15,4,FALSE),"")</f>
        <v/>
      </c>
      <c r="F39">
        <f>IFERROR(VLOOKUP(B39,'Pre-Summary'!$AL$6:$AQ$13,6,FALSE),F38)</f>
        <v>5.9405263157894746E-2</v>
      </c>
      <c r="G39" t="str">
        <f>IFERROR(VLOOKUP(B39,'Pre-Summary'!$AE$6:$AJ$85,3,FALSE),"")</f>
        <v/>
      </c>
      <c r="H39" t="str">
        <f>IFERROR(VLOOKUP(B39,'Pre-Summary'!$AE$6:$AJ$85,4,FALSE),"")</f>
        <v/>
      </c>
      <c r="I39" t="str">
        <f>IFERROR(VLOOKUP(B39,'Pre-Summary'!$AE$6:$AJ$85,5,FALSE),"")</f>
        <v/>
      </c>
      <c r="J39" s="45" t="str">
        <f>IFERROR(VLOOKUP(B39,'Pre-Summary'!$AE$6:$AJ$85,6, FALSE),"")</f>
        <v/>
      </c>
      <c r="K39" s="45" t="str">
        <f>IFERROR(VLOOKUP(B39,'Pre-Summary'!$DE$6:$DG$61,3,FALSE),"")</f>
        <v/>
      </c>
      <c r="L39" s="45" t="str">
        <f>IFERROR(VLOOKUP(B39,'Pre-Summary'!$CU$6:$CW$36,3,FALSE),"")</f>
        <v/>
      </c>
      <c r="M39" s="45" t="str">
        <f>IFERROR(VLOOKUP(B39,'Pre-Summary'!$BW$6:$BY$58,2,FALSE),"")</f>
        <v/>
      </c>
      <c r="N39" s="45" t="str">
        <f>IFERROR(VLOOKUP(B39,'Pre-Summary'!$CD$6:$CF$64,2,FALSE),"")</f>
        <v/>
      </c>
      <c r="O39" s="99">
        <f>IFERROR(VLOOKUP(B39,'Pre-Summary'!$BO$6:$BQ$48,3, FALSE),O38)</f>
        <v>1.0915248032216731</v>
      </c>
      <c r="P39" s="99">
        <f>IFERROR(VLOOKUP(B39,'Pre-Summary'!$BS$6:$BU$35,3,FALSE),P38)</f>
        <v>0.25</v>
      </c>
      <c r="Q39" s="54">
        <f t="shared" si="0"/>
        <v>4.3660992128866924</v>
      </c>
      <c r="R39" s="53">
        <f>IFERROR(VLOOKUP(B39,'Pre-Summary'!$BG$6:$BM$44,7,FALSE),R40)</f>
        <v>2.7904161219319636E-2</v>
      </c>
      <c r="S39" s="53">
        <f>IFERROR(VLOOKUP(B39,'Pre-Summary'!$BG$6:$BM$44,6,FALSE),S40)</f>
        <v>3.3978715219895171E-2</v>
      </c>
      <c r="T39" s="45" t="str">
        <f>IFERROR(VLOOKUP(B39,'Pre-Summary'!$Y$6:$AC$83, 3,FALSE),"")</f>
        <v/>
      </c>
      <c r="U39" s="45" t="str">
        <f>IFERROR(VLOOKUP(B39,'Pre-Summary'!$Y$6:$AC$83, 4,FALSE),"")</f>
        <v/>
      </c>
      <c r="V39" t="str">
        <f>IFERROR(VLOOKUP(B39,'Pre-Summary'!$Y$6:$AC$83, 5,FALSE),"")</f>
        <v/>
      </c>
      <c r="W39" s="45" t="str">
        <f>IFERROR(VLOOKUP(B39,'Pre-Summary'!$Y$6:$AD$83,6,FALSE),"")</f>
        <v/>
      </c>
      <c r="X39" t="str">
        <f>IFERROR(VLOOKUP('Pre-Summary'!$DB$6:$DD$63,3,FALSE),"")</f>
        <v/>
      </c>
      <c r="Y39" t="str">
        <f>IFERROR(VLOOKUP(B39,'Pre-Summary'!$CR$6:$CT$36,3,FALSE),"")</f>
        <v/>
      </c>
      <c r="Z39" s="45" t="str">
        <f>IFERROR(VLOOKUP(B39,'Pre-Summary'!$BZ$6:$CB$63,2,FALSE),"")</f>
        <v/>
      </c>
      <c r="AA39" s="45" t="str">
        <f>IFERROR(VLOOKUP(B39,'Pre-Summary'!$CG$6:$CI$70,2,FALSE),"")</f>
        <v/>
      </c>
      <c r="AB39" s="99">
        <f>IFERROR(VLOOKUP(B39,'Pre-Summary'!$A$6:$P$178,9,FALSE),AB40)</f>
        <v>0.53921227545060579</v>
      </c>
      <c r="AC39" s="10">
        <f>IFERROR(VLOOKUP(Summary!B39,'Pre-Summary'!$A$6:$P$184,5, FALSE)/100,AC40)</f>
        <v>0.122433</v>
      </c>
      <c r="AD39" s="10">
        <f>IFERROR(VLOOKUP(Summary!B39,'Pre-Summary'!$A$6:$P$184,3, FALSE)/100,AD40)</f>
        <v>0.86166133333333339</v>
      </c>
      <c r="AE39" s="10">
        <f>IFERROR(VLOOKUP(Summary!B39,'Pre-Summary'!$A$6:$P$184,7, FALSE)/100,AE40)</f>
        <v>1.5905666666666665E-2</v>
      </c>
      <c r="AF39" s="99">
        <f t="shared" si="1"/>
        <v>0.46461836821446961</v>
      </c>
      <c r="AG39" s="99">
        <f t="shared" si="2"/>
        <v>8.5765307158921847E-3</v>
      </c>
      <c r="AH39" s="10" t="str">
        <f>IFERROR(VLOOKUP(B39,'Pre-Summary'!$AZ$6:$BE$65,3,FALSE),"")</f>
        <v/>
      </c>
      <c r="AI39" s="10" t="str">
        <f>IFERROR(VLOOKUP(B39,'Pre-Summary'!$AZ$6:$BE$65,5,FALSE),"")</f>
        <v/>
      </c>
      <c r="AJ39" s="10" t="str">
        <f>IFERROR(VLOOKUP(B39,'Pre-Summary'!$AZ$6:$BE$65,4,FALSE),"")</f>
        <v/>
      </c>
      <c r="AK39" s="10" t="str">
        <f>IFERROR(VLOOKUP(B39,'Pre-Summary'!$AZ$6:$BE$65,6,FALSE),"")</f>
        <v/>
      </c>
      <c r="AL39" s="10" t="str">
        <f>IFERROR(VLOOKUP(B39,'Pre-Summary'!$BG$6:$BL$44,3,FALSE),"")</f>
        <v/>
      </c>
      <c r="AM39" s="10" t="str">
        <f>IFERROR(VLOOKUP(B39,'Pre-Summary'!$BG$6:$BL$44,4,FALSE),"")</f>
        <v/>
      </c>
    </row>
    <row r="40" spans="2:39" ht="14.4" x14ac:dyDescent="0.3">
      <c r="B40">
        <v>3.7</v>
      </c>
      <c r="C40" t="str">
        <f>IFERROR(VLOOKUP(B40,'Pre-Summary'!$DI$6:$DM$23,4,FALSE),"")</f>
        <v/>
      </c>
      <c r="D40" s="10" t="str">
        <f>IFERROR(VLOOKUP(B40,'Pre-Summary'!$AT$6:$AX$14,5,FALSE),D39)</f>
        <v>DSMZ v1: Using DSMZ 120 without NaHCO3</v>
      </c>
      <c r="E40" s="10" t="str">
        <f>IFERROR(VLOOKUP(B40,'Pre-Summary'!$AT$6:$AX$15,4,FALSE),"")</f>
        <v/>
      </c>
      <c r="F40">
        <f>IFERROR(VLOOKUP(B40,'Pre-Summary'!$AL$6:$AQ$13,6,FALSE),F39)</f>
        <v>5.9405263157894746E-2</v>
      </c>
      <c r="G40" t="str">
        <f>IFERROR(VLOOKUP(B40,'Pre-Summary'!$AE$6:$AJ$85,3,FALSE),"")</f>
        <v/>
      </c>
      <c r="H40" t="str">
        <f>IFERROR(VLOOKUP(B40,'Pre-Summary'!$AE$6:$AJ$85,4,FALSE),"")</f>
        <v/>
      </c>
      <c r="I40" t="str">
        <f>IFERROR(VLOOKUP(B40,'Pre-Summary'!$AE$6:$AJ$85,5,FALSE),"")</f>
        <v/>
      </c>
      <c r="J40" s="45" t="str">
        <f>IFERROR(VLOOKUP(B40,'Pre-Summary'!$AE$6:$AJ$85,6, FALSE),"")</f>
        <v/>
      </c>
      <c r="K40" s="45" t="str">
        <f>IFERROR(VLOOKUP(B40,'Pre-Summary'!$DE$6:$DG$61,3,FALSE),"")</f>
        <v/>
      </c>
      <c r="L40" s="45" t="str">
        <f>IFERROR(VLOOKUP(B40,'Pre-Summary'!$CU$6:$CW$36,3,FALSE),"")</f>
        <v/>
      </c>
      <c r="M40" s="45" t="str">
        <f>IFERROR(VLOOKUP(B40,'Pre-Summary'!$BW$6:$BY$58,2,FALSE),"")</f>
        <v/>
      </c>
      <c r="N40" s="45" t="str">
        <f>IFERROR(VLOOKUP(B40,'Pre-Summary'!$CD$6:$CF$64,2,FALSE),"")</f>
        <v/>
      </c>
      <c r="O40" s="99">
        <f>IFERROR(VLOOKUP(B40,'Pre-Summary'!$BO$6:$BQ$48,3, FALSE),O39)</f>
        <v>1.0915248032216731</v>
      </c>
      <c r="P40" s="99">
        <f>IFERROR(VLOOKUP(B40,'Pre-Summary'!$BS$6:$BU$35,3,FALSE),P39)</f>
        <v>0.25</v>
      </c>
      <c r="Q40" s="54">
        <f t="shared" si="0"/>
        <v>4.3660992128866924</v>
      </c>
      <c r="R40" s="53">
        <f>IFERROR(VLOOKUP(B40,'Pre-Summary'!$BG$6:$BM$44,7,FALSE),R41)</f>
        <v>2.7904161219319636E-2</v>
      </c>
      <c r="S40" s="53">
        <f>IFERROR(VLOOKUP(B40,'Pre-Summary'!$BG$6:$BM$44,6,FALSE),S41)</f>
        <v>3.3978715219895171E-2</v>
      </c>
      <c r="T40" s="45" t="str">
        <f>IFERROR(VLOOKUP(B40,'Pre-Summary'!$Y$6:$AC$83, 3,FALSE),"")</f>
        <v/>
      </c>
      <c r="U40" s="45" t="str">
        <f>IFERROR(VLOOKUP(B40,'Pre-Summary'!$Y$6:$AC$83, 4,FALSE),"")</f>
        <v/>
      </c>
      <c r="V40" t="str">
        <f>IFERROR(VLOOKUP(B40,'Pre-Summary'!$Y$6:$AC$83, 5,FALSE),"")</f>
        <v/>
      </c>
      <c r="W40" s="45" t="str">
        <f>IFERROR(VLOOKUP(B40,'Pre-Summary'!$Y$6:$AD$83,6,FALSE),"")</f>
        <v/>
      </c>
      <c r="X40" t="str">
        <f>IFERROR(VLOOKUP('Pre-Summary'!$DB$6:$DD$63,3,FALSE),"")</f>
        <v/>
      </c>
      <c r="Y40" t="str">
        <f>IFERROR(VLOOKUP(B40,'Pre-Summary'!$CR$6:$CT$36,3,FALSE),"")</f>
        <v/>
      </c>
      <c r="Z40" s="45" t="str">
        <f>IFERROR(VLOOKUP(B40,'Pre-Summary'!$BZ$6:$CB$63,2,FALSE),"")</f>
        <v/>
      </c>
      <c r="AA40" s="45" t="str">
        <f>IFERROR(VLOOKUP(B40,'Pre-Summary'!$CG$6:$CI$70,2,FALSE),"")</f>
        <v/>
      </c>
      <c r="AB40" s="99">
        <f>IFERROR(VLOOKUP(B40,'Pre-Summary'!$A$6:$P$178,9,FALSE),AB41)</f>
        <v>0.53921227545060579</v>
      </c>
      <c r="AC40" s="10">
        <f>IFERROR(VLOOKUP(Summary!B40,'Pre-Summary'!$A$6:$P$184,5, FALSE)/100,AC41)</f>
        <v>0.122433</v>
      </c>
      <c r="AD40" s="10">
        <f>IFERROR(VLOOKUP(Summary!B40,'Pre-Summary'!$A$6:$P$184,3, FALSE)/100,AD41)</f>
        <v>0.86166133333333339</v>
      </c>
      <c r="AE40" s="10">
        <f>IFERROR(VLOOKUP(Summary!B40,'Pre-Summary'!$A$6:$P$184,7, FALSE)/100,AE41)</f>
        <v>1.5905666666666665E-2</v>
      </c>
      <c r="AF40" s="99">
        <f t="shared" si="1"/>
        <v>0.46461836821446961</v>
      </c>
      <c r="AG40" s="99">
        <f t="shared" si="2"/>
        <v>8.5765307158921847E-3</v>
      </c>
      <c r="AH40" s="10" t="str">
        <f>IFERROR(VLOOKUP(B40,'Pre-Summary'!$AZ$6:$BE$65,3,FALSE),"")</f>
        <v/>
      </c>
      <c r="AI40" s="10" t="str">
        <f>IFERROR(VLOOKUP(B40,'Pre-Summary'!$AZ$6:$BE$65,5,FALSE),"")</f>
        <v/>
      </c>
      <c r="AJ40" s="10" t="str">
        <f>IFERROR(VLOOKUP(B40,'Pre-Summary'!$AZ$6:$BE$65,4,FALSE),"")</f>
        <v/>
      </c>
      <c r="AK40" s="10" t="str">
        <f>IFERROR(VLOOKUP(B40,'Pre-Summary'!$AZ$6:$BE$65,6,FALSE),"")</f>
        <v/>
      </c>
      <c r="AL40" s="10" t="str">
        <f>IFERROR(VLOOKUP(B40,'Pre-Summary'!$BG$6:$BL$44,3,FALSE),"")</f>
        <v/>
      </c>
      <c r="AM40" s="10" t="str">
        <f>IFERROR(VLOOKUP(B40,'Pre-Summary'!$BG$6:$BL$44,4,FALSE),"")</f>
        <v/>
      </c>
    </row>
    <row r="41" spans="2:39" ht="14.4" x14ac:dyDescent="0.3">
      <c r="B41">
        <v>3.8</v>
      </c>
      <c r="C41" t="str">
        <f>IFERROR(VLOOKUP(B41,'Pre-Summary'!$DI$6:$DM$23,4,FALSE),"")</f>
        <v/>
      </c>
      <c r="D41" s="10" t="str">
        <f>IFERROR(VLOOKUP(B41,'Pre-Summary'!$AT$6:$AX$14,5,FALSE),D40)</f>
        <v>DSMZ v1: Using DSMZ 120 without NaHCO3</v>
      </c>
      <c r="E41" s="10" t="str">
        <f>IFERROR(VLOOKUP(B41,'Pre-Summary'!$AT$6:$AX$15,4,FALSE),"")</f>
        <v/>
      </c>
      <c r="F41">
        <f>IFERROR(VLOOKUP(B41,'Pre-Summary'!$AL$6:$AQ$13,6,FALSE),F40)</f>
        <v>5.9405263157894746E-2</v>
      </c>
      <c r="G41" t="str">
        <f>IFERROR(VLOOKUP(B41,'Pre-Summary'!$AE$6:$AJ$85,3,FALSE),"")</f>
        <v/>
      </c>
      <c r="H41" t="str">
        <f>IFERROR(VLOOKUP(B41,'Pre-Summary'!$AE$6:$AJ$85,4,FALSE),"")</f>
        <v/>
      </c>
      <c r="I41" t="str">
        <f>IFERROR(VLOOKUP(B41,'Pre-Summary'!$AE$6:$AJ$85,5,FALSE),"")</f>
        <v/>
      </c>
      <c r="J41" s="45" t="str">
        <f>IFERROR(VLOOKUP(B41,'Pre-Summary'!$AE$6:$AJ$85,6, FALSE),"")</f>
        <v/>
      </c>
      <c r="K41" s="45" t="str">
        <f>IFERROR(VLOOKUP(B41,'Pre-Summary'!$DE$6:$DG$61,3,FALSE),"")</f>
        <v/>
      </c>
      <c r="L41" s="45" t="str">
        <f>IFERROR(VLOOKUP(B41,'Pre-Summary'!$CU$6:$CW$36,3,FALSE),"")</f>
        <v/>
      </c>
      <c r="M41" s="45" t="str">
        <f>IFERROR(VLOOKUP(B41,'Pre-Summary'!$BW$6:$BY$58,2,FALSE),"")</f>
        <v/>
      </c>
      <c r="N41" s="45" t="str">
        <f>IFERROR(VLOOKUP(B41,'Pre-Summary'!$CD$6:$CF$64,2,FALSE),"")</f>
        <v/>
      </c>
      <c r="O41" s="99">
        <f>IFERROR(VLOOKUP(B41,'Pre-Summary'!$BO$6:$BQ$48,3, FALSE),O40)</f>
        <v>1.0915248032216731</v>
      </c>
      <c r="P41" s="99">
        <f>IFERROR(VLOOKUP(B41,'Pre-Summary'!$BS$6:$BU$35,3,FALSE),P40)</f>
        <v>0.25</v>
      </c>
      <c r="Q41" s="54">
        <f t="shared" si="0"/>
        <v>4.3660992128866924</v>
      </c>
      <c r="R41" s="53">
        <f>IFERROR(VLOOKUP(B41,'Pre-Summary'!$BG$6:$BM$44,7,FALSE),R42)</f>
        <v>2.7904161219319636E-2</v>
      </c>
      <c r="S41" s="53">
        <f>IFERROR(VLOOKUP(B41,'Pre-Summary'!$BG$6:$BM$44,6,FALSE),S42)</f>
        <v>3.3978715219895171E-2</v>
      </c>
      <c r="T41" s="45" t="str">
        <f>IFERROR(VLOOKUP(B41,'Pre-Summary'!$Y$6:$AC$83, 3,FALSE),"")</f>
        <v/>
      </c>
      <c r="U41" s="45" t="str">
        <f>IFERROR(VLOOKUP(B41,'Pre-Summary'!$Y$6:$AC$83, 4,FALSE),"")</f>
        <v/>
      </c>
      <c r="V41" t="str">
        <f>IFERROR(VLOOKUP(B41,'Pre-Summary'!$Y$6:$AC$83, 5,FALSE),"")</f>
        <v/>
      </c>
      <c r="W41" s="45" t="str">
        <f>IFERROR(VLOOKUP(B41,'Pre-Summary'!$Y$6:$AD$83,6,FALSE),"")</f>
        <v/>
      </c>
      <c r="X41" t="str">
        <f>IFERROR(VLOOKUP('Pre-Summary'!$DB$6:$DD$63,3,FALSE),"")</f>
        <v/>
      </c>
      <c r="Y41" t="str">
        <f>IFERROR(VLOOKUP(B41,'Pre-Summary'!$CR$6:$CT$36,3,FALSE),"")</f>
        <v/>
      </c>
      <c r="Z41" s="45" t="str">
        <f>IFERROR(VLOOKUP(B41,'Pre-Summary'!$BZ$6:$CB$63,2,FALSE),"")</f>
        <v/>
      </c>
      <c r="AA41" s="45" t="str">
        <f>IFERROR(VLOOKUP(B41,'Pre-Summary'!$CG$6:$CI$70,2,FALSE),"")</f>
        <v/>
      </c>
      <c r="AB41" s="99">
        <f>IFERROR(VLOOKUP(B41,'Pre-Summary'!$A$6:$P$178,9,FALSE),AB42)</f>
        <v>0.53921227545060579</v>
      </c>
      <c r="AC41" s="10">
        <f>IFERROR(VLOOKUP(Summary!B41,'Pre-Summary'!$A$6:$P$184,5, FALSE)/100,AC42)</f>
        <v>0.122433</v>
      </c>
      <c r="AD41" s="10">
        <f>IFERROR(VLOOKUP(Summary!B41,'Pre-Summary'!$A$6:$P$184,3, FALSE)/100,AD42)</f>
        <v>0.86166133333333339</v>
      </c>
      <c r="AE41" s="10">
        <f>IFERROR(VLOOKUP(Summary!B41,'Pre-Summary'!$A$6:$P$184,7, FALSE)/100,AE42)</f>
        <v>1.5905666666666665E-2</v>
      </c>
      <c r="AF41" s="99">
        <f t="shared" si="1"/>
        <v>0.46461836821446961</v>
      </c>
      <c r="AG41" s="99">
        <f t="shared" si="2"/>
        <v>8.5765307158921847E-3</v>
      </c>
      <c r="AH41" s="10" t="str">
        <f>IFERROR(VLOOKUP(B41,'Pre-Summary'!$AZ$6:$BE$65,3,FALSE),"")</f>
        <v/>
      </c>
      <c r="AI41" s="10" t="str">
        <f>IFERROR(VLOOKUP(B41,'Pre-Summary'!$AZ$6:$BE$65,5,FALSE),"")</f>
        <v/>
      </c>
      <c r="AJ41" s="10" t="str">
        <f>IFERROR(VLOOKUP(B41,'Pre-Summary'!$AZ$6:$BE$65,4,FALSE),"")</f>
        <v/>
      </c>
      <c r="AK41" s="10" t="str">
        <f>IFERROR(VLOOKUP(B41,'Pre-Summary'!$AZ$6:$BE$65,6,FALSE),"")</f>
        <v/>
      </c>
      <c r="AL41" s="10" t="str">
        <f>IFERROR(VLOOKUP(B41,'Pre-Summary'!$BG$6:$BL$44,3,FALSE),"")</f>
        <v/>
      </c>
      <c r="AM41" s="10" t="str">
        <f>IFERROR(VLOOKUP(B41,'Pre-Summary'!$BG$6:$BL$44,4,FALSE),"")</f>
        <v/>
      </c>
    </row>
    <row r="42" spans="2:39" ht="14.4" x14ac:dyDescent="0.3">
      <c r="B42">
        <v>3.9</v>
      </c>
      <c r="C42" t="str">
        <f>IFERROR(VLOOKUP(B42,'Pre-Summary'!$DI$6:$DM$23,4,FALSE),"")</f>
        <v/>
      </c>
      <c r="D42" s="10" t="str">
        <f>IFERROR(VLOOKUP(B42,'Pre-Summary'!$AT$6:$AX$14,5,FALSE),D41)</f>
        <v>DSMZ v1: Using DSMZ 120 without NaHCO3</v>
      </c>
      <c r="E42" s="10" t="str">
        <f>IFERROR(VLOOKUP(B42,'Pre-Summary'!$AT$6:$AX$15,4,FALSE),"")</f>
        <v/>
      </c>
      <c r="F42">
        <f>IFERROR(VLOOKUP(B42,'Pre-Summary'!$AL$6:$AQ$13,6,FALSE),F41)</f>
        <v>5.9405263157894746E-2</v>
      </c>
      <c r="G42" t="str">
        <f>IFERROR(VLOOKUP(B42,'Pre-Summary'!$AE$6:$AJ$85,3,FALSE),"")</f>
        <v/>
      </c>
      <c r="H42" t="str">
        <f>IFERROR(VLOOKUP(B42,'Pre-Summary'!$AE$6:$AJ$85,4,FALSE),"")</f>
        <v/>
      </c>
      <c r="I42" t="str">
        <f>IFERROR(VLOOKUP(B42,'Pre-Summary'!$AE$6:$AJ$85,5,FALSE),"")</f>
        <v/>
      </c>
      <c r="J42" s="45" t="str">
        <f>IFERROR(VLOOKUP(B42,'Pre-Summary'!$AE$6:$AJ$85,6, FALSE),"")</f>
        <v/>
      </c>
      <c r="K42" s="45" t="str">
        <f>IFERROR(VLOOKUP(B42,'Pre-Summary'!$DE$6:$DG$61,3,FALSE),"")</f>
        <v/>
      </c>
      <c r="L42" s="45" t="str">
        <f>IFERROR(VLOOKUP(B42,'Pre-Summary'!$CU$6:$CW$36,3,FALSE),"")</f>
        <v/>
      </c>
      <c r="M42" s="45" t="str">
        <f>IFERROR(VLOOKUP(B42,'Pre-Summary'!$BW$6:$BY$58,2,FALSE),"")</f>
        <v/>
      </c>
      <c r="N42" s="45" t="str">
        <f>IFERROR(VLOOKUP(B42,'Pre-Summary'!$CD$6:$CF$64,2,FALSE),"")</f>
        <v/>
      </c>
      <c r="O42" s="99">
        <f>IFERROR(VLOOKUP(B42,'Pre-Summary'!$BO$6:$BQ$48,3, FALSE),O41)</f>
        <v>1.0915248032216731</v>
      </c>
      <c r="P42" s="99">
        <f>IFERROR(VLOOKUP(B42,'Pre-Summary'!$BS$6:$BU$35,3,FALSE),P41)</f>
        <v>0.25</v>
      </c>
      <c r="Q42" s="54">
        <f t="shared" si="0"/>
        <v>4.3660992128866924</v>
      </c>
      <c r="R42" s="53">
        <f>IFERROR(VLOOKUP(B42,'Pre-Summary'!$BG$6:$BM$44,7,FALSE),R43)</f>
        <v>2.7904161219319636E-2</v>
      </c>
      <c r="S42" s="53">
        <f>IFERROR(VLOOKUP(B42,'Pre-Summary'!$BG$6:$BM$44,6,FALSE),S43)</f>
        <v>3.3978715219895171E-2</v>
      </c>
      <c r="T42" s="45" t="str">
        <f>IFERROR(VLOOKUP(B42,'Pre-Summary'!$Y$6:$AC$83, 3,FALSE),"")</f>
        <v/>
      </c>
      <c r="U42" s="45" t="str">
        <f>IFERROR(VLOOKUP(B42,'Pre-Summary'!$Y$6:$AC$83, 4,FALSE),"")</f>
        <v/>
      </c>
      <c r="V42" t="str">
        <f>IFERROR(VLOOKUP(B42,'Pre-Summary'!$Y$6:$AC$83, 5,FALSE),"")</f>
        <v/>
      </c>
      <c r="W42" s="45" t="str">
        <f>IFERROR(VLOOKUP(B42,'Pre-Summary'!$Y$6:$AD$83,6,FALSE),"")</f>
        <v/>
      </c>
      <c r="X42" t="str">
        <f>IFERROR(VLOOKUP('Pre-Summary'!$DB$6:$DD$63,3,FALSE),"")</f>
        <v/>
      </c>
      <c r="Y42" t="str">
        <f>IFERROR(VLOOKUP(B42,'Pre-Summary'!$CR$6:$CT$36,3,FALSE),"")</f>
        <v/>
      </c>
      <c r="Z42" s="45" t="str">
        <f>IFERROR(VLOOKUP(B42,'Pre-Summary'!$BZ$6:$CB$63,2,FALSE),"")</f>
        <v/>
      </c>
      <c r="AA42" s="45" t="str">
        <f>IFERROR(VLOOKUP(B42,'Pre-Summary'!$CG$6:$CI$70,2,FALSE),"")</f>
        <v/>
      </c>
      <c r="AB42" s="99">
        <f>IFERROR(VLOOKUP(B42,'Pre-Summary'!$A$6:$P$178,9,FALSE),AB43)</f>
        <v>0.53921227545060579</v>
      </c>
      <c r="AC42" s="10">
        <f>IFERROR(VLOOKUP(Summary!B42,'Pre-Summary'!$A$6:$P$184,5, FALSE)/100,AC43)</f>
        <v>0.122433</v>
      </c>
      <c r="AD42" s="10">
        <f>IFERROR(VLOOKUP(Summary!B42,'Pre-Summary'!$A$6:$P$184,3, FALSE)/100,AD43)</f>
        <v>0.86166133333333339</v>
      </c>
      <c r="AE42" s="10">
        <f>IFERROR(VLOOKUP(Summary!B42,'Pre-Summary'!$A$6:$P$184,7, FALSE)/100,AE43)</f>
        <v>1.5905666666666665E-2</v>
      </c>
      <c r="AF42" s="99">
        <f t="shared" si="1"/>
        <v>0.46461836821446961</v>
      </c>
      <c r="AG42" s="99">
        <f t="shared" si="2"/>
        <v>8.5765307158921847E-3</v>
      </c>
      <c r="AH42" s="10" t="str">
        <f>IFERROR(VLOOKUP(B42,'Pre-Summary'!$AZ$6:$BE$65,3,FALSE),"")</f>
        <v/>
      </c>
      <c r="AI42" s="10" t="str">
        <f>IFERROR(VLOOKUP(B42,'Pre-Summary'!$AZ$6:$BE$65,5,FALSE),"")</f>
        <v/>
      </c>
      <c r="AJ42" s="10" t="str">
        <f>IFERROR(VLOOKUP(B42,'Pre-Summary'!$AZ$6:$BE$65,4,FALSE),"")</f>
        <v/>
      </c>
      <c r="AK42" s="10" t="str">
        <f>IFERROR(VLOOKUP(B42,'Pre-Summary'!$AZ$6:$BE$65,6,FALSE),"")</f>
        <v/>
      </c>
      <c r="AL42" s="10" t="str">
        <f>IFERROR(VLOOKUP(B42,'Pre-Summary'!$BG$6:$BL$44,3,FALSE),"")</f>
        <v/>
      </c>
      <c r="AM42" s="10" t="str">
        <f>IFERROR(VLOOKUP(B42,'Pre-Summary'!$BG$6:$BL$44,4,FALSE),"")</f>
        <v/>
      </c>
    </row>
    <row r="43" spans="2:39" ht="14.4" x14ac:dyDescent="0.3">
      <c r="B43">
        <v>4</v>
      </c>
      <c r="C43" t="str">
        <f>IFERROR(VLOOKUP(B43,'Pre-Summary'!$DI$6:$DM$23,4,FALSE),"")</f>
        <v/>
      </c>
      <c r="D43" s="10" t="str">
        <f>IFERROR(VLOOKUP(B43,'Pre-Summary'!$AT$6:$AX$14,5,FALSE),D42)</f>
        <v>DSMZ v1: Using DSMZ 120 without NaHCO3</v>
      </c>
      <c r="E43" s="10" t="str">
        <f>IFERROR(VLOOKUP(B43,'Pre-Summary'!$AT$6:$AX$15,4,FALSE),"")</f>
        <v/>
      </c>
      <c r="F43">
        <f>IFERROR(VLOOKUP(B43,'Pre-Summary'!$AL$6:$AQ$13,6,FALSE),F42)</f>
        <v>5.9405263157894746E-2</v>
      </c>
      <c r="G43" t="str">
        <f>IFERROR(VLOOKUP(B43,'Pre-Summary'!$AE$6:$AJ$85,3,FALSE),"")</f>
        <v/>
      </c>
      <c r="H43" t="str">
        <f>IFERROR(VLOOKUP(B43,'Pre-Summary'!$AE$6:$AJ$85,4,FALSE),"")</f>
        <v/>
      </c>
      <c r="I43" t="str">
        <f>IFERROR(VLOOKUP(B43,'Pre-Summary'!$AE$6:$AJ$85,5,FALSE),"")</f>
        <v/>
      </c>
      <c r="J43" s="45" t="str">
        <f>IFERROR(VLOOKUP(B43,'Pre-Summary'!$AE$6:$AJ$85,6, FALSE),"")</f>
        <v/>
      </c>
      <c r="K43" s="45" t="str">
        <f>IFERROR(VLOOKUP(B43,'Pre-Summary'!$DE$6:$DG$61,3,FALSE),"")</f>
        <v/>
      </c>
      <c r="L43" s="45" t="str">
        <f>IFERROR(VLOOKUP(B43,'Pre-Summary'!$CU$6:$CW$36,3,FALSE),"")</f>
        <v/>
      </c>
      <c r="M43" s="45" t="str">
        <f>IFERROR(VLOOKUP(B43,'Pre-Summary'!$BW$6:$BY$58,2,FALSE),"")</f>
        <v/>
      </c>
      <c r="N43" s="45" t="str">
        <f>IFERROR(VLOOKUP(B43,'Pre-Summary'!$CD$6:$CF$64,2,FALSE),"")</f>
        <v/>
      </c>
      <c r="O43" s="99">
        <f>IFERROR(VLOOKUP(B43,'Pre-Summary'!$BO$6:$BQ$48,3, FALSE),O42)</f>
        <v>1.0915248032216731</v>
      </c>
      <c r="P43" s="99">
        <f>IFERROR(VLOOKUP(B43,'Pre-Summary'!$BS$6:$BU$35,3,FALSE),P42)</f>
        <v>0.25</v>
      </c>
      <c r="Q43" s="54">
        <f t="shared" si="0"/>
        <v>4.3660992128866924</v>
      </c>
      <c r="R43" s="53">
        <f>IFERROR(VLOOKUP(B43,'Pre-Summary'!$BG$6:$BM$44,7,FALSE),R44)</f>
        <v>2.7904161219319636E-2</v>
      </c>
      <c r="S43" s="53">
        <f>IFERROR(VLOOKUP(B43,'Pre-Summary'!$BG$6:$BM$44,6,FALSE),S44)</f>
        <v>3.3978715219895171E-2</v>
      </c>
      <c r="T43" s="45" t="str">
        <f>IFERROR(VLOOKUP(B43,'Pre-Summary'!$Y$6:$AC$83, 3,FALSE),"")</f>
        <v/>
      </c>
      <c r="U43" s="45" t="str">
        <f>IFERROR(VLOOKUP(B43,'Pre-Summary'!$Y$6:$AC$83, 4,FALSE),"")</f>
        <v/>
      </c>
      <c r="V43" t="str">
        <f>IFERROR(VLOOKUP(B43,'Pre-Summary'!$Y$6:$AC$83, 5,FALSE),"")</f>
        <v/>
      </c>
      <c r="W43" s="45" t="str">
        <f>IFERROR(VLOOKUP(B43,'Pre-Summary'!$Y$6:$AD$83,6,FALSE),"")</f>
        <v/>
      </c>
      <c r="X43" t="str">
        <f>IFERROR(VLOOKUP('Pre-Summary'!$DB$6:$DD$63,3,FALSE),"")</f>
        <v/>
      </c>
      <c r="Y43" t="str">
        <f>IFERROR(VLOOKUP(B43,'Pre-Summary'!$CR$6:$CT$36,3,FALSE),"")</f>
        <v/>
      </c>
      <c r="Z43" s="45" t="str">
        <f>IFERROR(VLOOKUP(B43,'Pre-Summary'!$BZ$6:$CB$63,2,FALSE),"")</f>
        <v/>
      </c>
      <c r="AA43" s="45" t="str">
        <f>IFERROR(VLOOKUP(B43,'Pre-Summary'!$CG$6:$CI$70,2,FALSE),"")</f>
        <v/>
      </c>
      <c r="AB43" s="99">
        <f>IFERROR(VLOOKUP(B43,'Pre-Summary'!$A$6:$P$178,9,FALSE),AB44)</f>
        <v>0.53921227545060579</v>
      </c>
      <c r="AC43" s="10">
        <f>IFERROR(VLOOKUP(Summary!B43,'Pre-Summary'!$A$6:$P$184,5, FALSE)/100,AC44)</f>
        <v>0.122433</v>
      </c>
      <c r="AD43" s="10">
        <f>IFERROR(VLOOKUP(Summary!B43,'Pre-Summary'!$A$6:$P$184,3, FALSE)/100,AD44)</f>
        <v>0.86166133333333339</v>
      </c>
      <c r="AE43" s="10">
        <f>IFERROR(VLOOKUP(Summary!B43,'Pre-Summary'!$A$6:$P$184,7, FALSE)/100,AE44)</f>
        <v>1.5905666666666665E-2</v>
      </c>
      <c r="AF43" s="99">
        <f t="shared" si="1"/>
        <v>0.46461836821446961</v>
      </c>
      <c r="AG43" s="99">
        <f t="shared" si="2"/>
        <v>8.5765307158921847E-3</v>
      </c>
      <c r="AH43" s="10" t="str">
        <f>IFERROR(VLOOKUP(B43,'Pre-Summary'!$AZ$6:$BE$65,3,FALSE),"")</f>
        <v/>
      </c>
      <c r="AI43" s="10" t="str">
        <f>IFERROR(VLOOKUP(B43,'Pre-Summary'!$AZ$6:$BE$65,5,FALSE),"")</f>
        <v/>
      </c>
      <c r="AJ43" s="10" t="str">
        <f>IFERROR(VLOOKUP(B43,'Pre-Summary'!$AZ$6:$BE$65,4,FALSE),"")</f>
        <v/>
      </c>
      <c r="AK43" s="10" t="str">
        <f>IFERROR(VLOOKUP(B43,'Pre-Summary'!$AZ$6:$BE$65,6,FALSE),"")</f>
        <v/>
      </c>
      <c r="AL43" s="10" t="str">
        <f>IFERROR(VLOOKUP(B43,'Pre-Summary'!$BG$6:$BL$44,3,FALSE),"")</f>
        <v/>
      </c>
      <c r="AM43" s="10" t="str">
        <f>IFERROR(VLOOKUP(B43,'Pre-Summary'!$BG$6:$BL$44,4,FALSE),"")</f>
        <v/>
      </c>
    </row>
    <row r="44" spans="2:39" ht="14.4" x14ac:dyDescent="0.3">
      <c r="B44">
        <v>4.0999999999999996</v>
      </c>
      <c r="C44" t="str">
        <f>IFERROR(VLOOKUP(B44,'Pre-Summary'!$DI$6:$DM$23,4,FALSE),"")</f>
        <v/>
      </c>
      <c r="D44" s="10" t="str">
        <f>IFERROR(VLOOKUP(B44,'Pre-Summary'!$AT$6:$AX$14,5,FALSE),D43)</f>
        <v>DSMZ v1: Using DSMZ 120 without NaHCO3</v>
      </c>
      <c r="E44" s="10" t="str">
        <f>IFERROR(VLOOKUP(B44,'Pre-Summary'!$AT$6:$AX$15,4,FALSE),"")</f>
        <v/>
      </c>
      <c r="F44">
        <f>IFERROR(VLOOKUP(B44,'Pre-Summary'!$AL$6:$AQ$13,6,FALSE),F43)</f>
        <v>5.9405263157894746E-2</v>
      </c>
      <c r="G44" t="str">
        <f>IFERROR(VLOOKUP(B44,'Pre-Summary'!$AE$6:$AJ$85,3,FALSE),"")</f>
        <v/>
      </c>
      <c r="H44" t="str">
        <f>IFERROR(VLOOKUP(B44,'Pre-Summary'!$AE$6:$AJ$85,4,FALSE),"")</f>
        <v/>
      </c>
      <c r="I44" t="str">
        <f>IFERROR(VLOOKUP(B44,'Pre-Summary'!$AE$6:$AJ$85,5,FALSE),"")</f>
        <v/>
      </c>
      <c r="J44" s="45" t="str">
        <f>IFERROR(VLOOKUP(B44,'Pre-Summary'!$AE$6:$AJ$85,6, FALSE),"")</f>
        <v/>
      </c>
      <c r="K44" s="45" t="str">
        <f>IFERROR(VLOOKUP(B44,'Pre-Summary'!$DE$6:$DG$61,3,FALSE),"")</f>
        <v/>
      </c>
      <c r="L44" s="45" t="str">
        <f>IFERROR(VLOOKUP(B44,'Pre-Summary'!$CU$6:$CW$36,3,FALSE),"")</f>
        <v/>
      </c>
      <c r="M44" s="45" t="str">
        <f>IFERROR(VLOOKUP(B44,'Pre-Summary'!$BW$6:$BY$58,2,FALSE),"")</f>
        <v/>
      </c>
      <c r="N44" s="45" t="str">
        <f>IFERROR(VLOOKUP(B44,'Pre-Summary'!$CD$6:$CF$64,2,FALSE),"")</f>
        <v/>
      </c>
      <c r="O44" s="99">
        <f>IFERROR(VLOOKUP(B44,'Pre-Summary'!$BO$6:$BQ$48,3, FALSE),O43)</f>
        <v>1.0915248032216731</v>
      </c>
      <c r="P44" s="99">
        <f>IFERROR(VLOOKUP(B44,'Pre-Summary'!$BS$6:$BU$35,3,FALSE),P43)</f>
        <v>0.25</v>
      </c>
      <c r="Q44" s="54">
        <f t="shared" si="0"/>
        <v>4.3660992128866924</v>
      </c>
      <c r="R44" s="53">
        <f>IFERROR(VLOOKUP(B44,'Pre-Summary'!$BG$6:$BM$44,7,FALSE),R45)</f>
        <v>2.7904161219319636E-2</v>
      </c>
      <c r="S44" s="53">
        <f>IFERROR(VLOOKUP(B44,'Pre-Summary'!$BG$6:$BM$44,6,FALSE),S45)</f>
        <v>3.3978715219895171E-2</v>
      </c>
      <c r="T44" s="45" t="str">
        <f>IFERROR(VLOOKUP(B44,'Pre-Summary'!$Y$6:$AC$83, 3,FALSE),"")</f>
        <v/>
      </c>
      <c r="U44" s="45" t="str">
        <f>IFERROR(VLOOKUP(B44,'Pre-Summary'!$Y$6:$AC$83, 4,FALSE),"")</f>
        <v/>
      </c>
      <c r="V44" t="str">
        <f>IFERROR(VLOOKUP(B44,'Pre-Summary'!$Y$6:$AC$83, 5,FALSE),"")</f>
        <v/>
      </c>
      <c r="W44" s="45" t="str">
        <f>IFERROR(VLOOKUP(B44,'Pre-Summary'!$Y$6:$AD$83,6,FALSE),"")</f>
        <v/>
      </c>
      <c r="X44" t="str">
        <f>IFERROR(VLOOKUP('Pre-Summary'!$DB$6:$DD$63,3,FALSE),"")</f>
        <v/>
      </c>
      <c r="Y44" t="str">
        <f>IFERROR(VLOOKUP(B44,'Pre-Summary'!$CR$6:$CT$36,3,FALSE),"")</f>
        <v/>
      </c>
      <c r="Z44" s="45" t="str">
        <f>IFERROR(VLOOKUP(B44,'Pre-Summary'!$BZ$6:$CB$63,2,FALSE),"")</f>
        <v/>
      </c>
      <c r="AA44" s="45" t="str">
        <f>IFERROR(VLOOKUP(B44,'Pre-Summary'!$CG$6:$CI$70,2,FALSE),"")</f>
        <v/>
      </c>
      <c r="AB44" s="99">
        <f>IFERROR(VLOOKUP(B44,'Pre-Summary'!$A$6:$P$178,9,FALSE),AB45)</f>
        <v>0.53921227545060579</v>
      </c>
      <c r="AC44" s="10">
        <f>IFERROR(VLOOKUP(Summary!B44,'Pre-Summary'!$A$6:$P$184,5, FALSE)/100,AC45)</f>
        <v>0.122433</v>
      </c>
      <c r="AD44" s="10">
        <f>IFERROR(VLOOKUP(Summary!B44,'Pre-Summary'!$A$6:$P$184,3, FALSE)/100,AD45)</f>
        <v>0.86166133333333339</v>
      </c>
      <c r="AE44" s="10">
        <f>IFERROR(VLOOKUP(Summary!B44,'Pre-Summary'!$A$6:$P$184,7, FALSE)/100,AE45)</f>
        <v>1.5905666666666665E-2</v>
      </c>
      <c r="AF44" s="99">
        <f t="shared" si="1"/>
        <v>0.46461836821446961</v>
      </c>
      <c r="AG44" s="99">
        <f t="shared" si="2"/>
        <v>8.5765307158921847E-3</v>
      </c>
      <c r="AH44" s="10" t="str">
        <f>IFERROR(VLOOKUP(B44,'Pre-Summary'!$AZ$6:$BE$65,3,FALSE),"")</f>
        <v/>
      </c>
      <c r="AI44" s="10" t="str">
        <f>IFERROR(VLOOKUP(B44,'Pre-Summary'!$AZ$6:$BE$65,5,FALSE),"")</f>
        <v/>
      </c>
      <c r="AJ44" s="10" t="str">
        <f>IFERROR(VLOOKUP(B44,'Pre-Summary'!$AZ$6:$BE$65,4,FALSE),"")</f>
        <v/>
      </c>
      <c r="AK44" s="10" t="str">
        <f>IFERROR(VLOOKUP(B44,'Pre-Summary'!$AZ$6:$BE$65,6,FALSE),"")</f>
        <v/>
      </c>
      <c r="AL44" s="10" t="str">
        <f>IFERROR(VLOOKUP(B44,'Pre-Summary'!$BG$6:$BL$44,3,FALSE),"")</f>
        <v/>
      </c>
      <c r="AM44" s="10" t="str">
        <f>IFERROR(VLOOKUP(B44,'Pre-Summary'!$BG$6:$BL$44,4,FALSE),"")</f>
        <v/>
      </c>
    </row>
    <row r="45" spans="2:39" ht="14.4" x14ac:dyDescent="0.3">
      <c r="B45">
        <v>4.2</v>
      </c>
      <c r="C45" t="str">
        <f>IFERROR(VLOOKUP(B45,'Pre-Summary'!$DI$6:$DM$23,4,FALSE),"")</f>
        <v/>
      </c>
      <c r="D45" s="10" t="str">
        <f>IFERROR(VLOOKUP(B45,'Pre-Summary'!$AT$6:$AX$14,5,FALSE),D44)</f>
        <v>DSMZ v1: Using DSMZ 120 without NaHCO3</v>
      </c>
      <c r="E45" s="10" t="str">
        <f>IFERROR(VLOOKUP(B45,'Pre-Summary'!$AT$6:$AX$15,4,FALSE),"")</f>
        <v/>
      </c>
      <c r="F45">
        <f>IFERROR(VLOOKUP(B45,'Pre-Summary'!$AL$6:$AQ$13,6,FALSE),F44)</f>
        <v>5.9405263157894746E-2</v>
      </c>
      <c r="G45" t="str">
        <f>IFERROR(VLOOKUP(B45,'Pre-Summary'!$AE$6:$AJ$85,3,FALSE),"")</f>
        <v/>
      </c>
      <c r="H45" t="str">
        <f>IFERROR(VLOOKUP(B45,'Pre-Summary'!$AE$6:$AJ$85,4,FALSE),"")</f>
        <v/>
      </c>
      <c r="I45" t="str">
        <f>IFERROR(VLOOKUP(B45,'Pre-Summary'!$AE$6:$AJ$85,5,FALSE),"")</f>
        <v/>
      </c>
      <c r="J45" s="45" t="str">
        <f>IFERROR(VLOOKUP(B45,'Pre-Summary'!$AE$6:$AJ$85,6, FALSE),"")</f>
        <v/>
      </c>
      <c r="K45" s="45" t="str">
        <f>IFERROR(VLOOKUP(B45,'Pre-Summary'!$DE$6:$DG$61,3,FALSE),"")</f>
        <v/>
      </c>
      <c r="L45" s="45" t="str">
        <f>IFERROR(VLOOKUP(B45,'Pre-Summary'!$CU$6:$CW$36,3,FALSE),"")</f>
        <v/>
      </c>
      <c r="M45" s="45" t="str">
        <f>IFERROR(VLOOKUP(B45,'Pre-Summary'!$BW$6:$BY$58,2,FALSE),"")</f>
        <v/>
      </c>
      <c r="N45" s="45" t="str">
        <f>IFERROR(VLOOKUP(B45,'Pre-Summary'!$CD$6:$CF$64,2,FALSE),"")</f>
        <v/>
      </c>
      <c r="O45" s="99">
        <f>IFERROR(VLOOKUP(B45,'Pre-Summary'!$BO$6:$BQ$48,3, FALSE),O44)</f>
        <v>1.0915248032216731</v>
      </c>
      <c r="P45" s="99">
        <f>IFERROR(VLOOKUP(B45,'Pre-Summary'!$BS$6:$BU$35,3,FALSE),P44)</f>
        <v>0.25</v>
      </c>
      <c r="Q45" s="54">
        <f t="shared" si="0"/>
        <v>4.3660992128866924</v>
      </c>
      <c r="R45" s="53">
        <f>IFERROR(VLOOKUP(B45,'Pre-Summary'!$BG$6:$BM$44,7,FALSE),R46)</f>
        <v>2.7904161219319636E-2</v>
      </c>
      <c r="S45" s="53">
        <f>IFERROR(VLOOKUP(B45,'Pre-Summary'!$BG$6:$BM$44,6,FALSE),S46)</f>
        <v>3.3978715219895171E-2</v>
      </c>
      <c r="T45" s="45" t="str">
        <f>IFERROR(VLOOKUP(B45,'Pre-Summary'!$Y$6:$AC$83, 3,FALSE),"")</f>
        <v/>
      </c>
      <c r="U45" s="45" t="str">
        <f>IFERROR(VLOOKUP(B45,'Pre-Summary'!$Y$6:$AC$83, 4,FALSE),"")</f>
        <v/>
      </c>
      <c r="V45" t="str">
        <f>IFERROR(VLOOKUP(B45,'Pre-Summary'!$Y$6:$AC$83, 5,FALSE),"")</f>
        <v/>
      </c>
      <c r="W45" s="45" t="str">
        <f>IFERROR(VLOOKUP(B45,'Pre-Summary'!$Y$6:$AD$83,6,FALSE),"")</f>
        <v/>
      </c>
      <c r="X45" t="str">
        <f>IFERROR(VLOOKUP('Pre-Summary'!$DB$6:$DD$63,3,FALSE),"")</f>
        <v/>
      </c>
      <c r="Y45" t="str">
        <f>IFERROR(VLOOKUP(B45,'Pre-Summary'!$CR$6:$CT$36,3,FALSE),"")</f>
        <v/>
      </c>
      <c r="Z45" s="45" t="str">
        <f>IFERROR(VLOOKUP(B45,'Pre-Summary'!$BZ$6:$CB$63,2,FALSE),"")</f>
        <v/>
      </c>
      <c r="AA45" s="45" t="str">
        <f>IFERROR(VLOOKUP(B45,'Pre-Summary'!$CG$6:$CI$70,2,FALSE),"")</f>
        <v/>
      </c>
      <c r="AB45" s="99">
        <f>IFERROR(VLOOKUP(B45,'Pre-Summary'!$A$6:$P$178,9,FALSE),AB46)</f>
        <v>0.53921227545060579</v>
      </c>
      <c r="AC45" s="10">
        <f>IFERROR(VLOOKUP(Summary!B45,'Pre-Summary'!$A$6:$P$184,5, FALSE)/100,AC46)</f>
        <v>0.122433</v>
      </c>
      <c r="AD45" s="10">
        <f>IFERROR(VLOOKUP(Summary!B45,'Pre-Summary'!$A$6:$P$184,3, FALSE)/100,AD46)</f>
        <v>0.86166133333333339</v>
      </c>
      <c r="AE45" s="10">
        <f>IFERROR(VLOOKUP(Summary!B45,'Pre-Summary'!$A$6:$P$184,7, FALSE)/100,AE46)</f>
        <v>1.5905666666666665E-2</v>
      </c>
      <c r="AF45" s="99">
        <f t="shared" si="1"/>
        <v>0.46461836821446961</v>
      </c>
      <c r="AG45" s="99">
        <f t="shared" si="2"/>
        <v>8.5765307158921847E-3</v>
      </c>
      <c r="AH45" s="10" t="str">
        <f>IFERROR(VLOOKUP(B45,'Pre-Summary'!$AZ$6:$BE$65,3,FALSE),"")</f>
        <v/>
      </c>
      <c r="AI45" s="10" t="str">
        <f>IFERROR(VLOOKUP(B45,'Pre-Summary'!$AZ$6:$BE$65,5,FALSE),"")</f>
        <v/>
      </c>
      <c r="AJ45" s="10" t="str">
        <f>IFERROR(VLOOKUP(B45,'Pre-Summary'!$AZ$6:$BE$65,4,FALSE),"")</f>
        <v/>
      </c>
      <c r="AK45" s="10" t="str">
        <f>IFERROR(VLOOKUP(B45,'Pre-Summary'!$AZ$6:$BE$65,6,FALSE),"")</f>
        <v/>
      </c>
      <c r="AL45" s="10" t="str">
        <f>IFERROR(VLOOKUP(B45,'Pre-Summary'!$BG$6:$BL$44,3,FALSE),"")</f>
        <v/>
      </c>
      <c r="AM45" s="10" t="str">
        <f>IFERROR(VLOOKUP(B45,'Pre-Summary'!$BG$6:$BL$44,4,FALSE),"")</f>
        <v/>
      </c>
    </row>
    <row r="46" spans="2:39" ht="14.4" x14ac:dyDescent="0.3">
      <c r="B46">
        <v>4.3</v>
      </c>
      <c r="C46" t="str">
        <f>IFERROR(VLOOKUP(B46,'Pre-Summary'!$DI$6:$DM$23,4,FALSE),"")</f>
        <v/>
      </c>
      <c r="D46" s="10" t="str">
        <f>IFERROR(VLOOKUP(B46,'Pre-Summary'!$AT$6:$AX$14,5,FALSE),D45)</f>
        <v>DSMZ v1: Using DSMZ 120 without NaHCO3</v>
      </c>
      <c r="E46" s="10" t="str">
        <f>IFERROR(VLOOKUP(B46,'Pre-Summary'!$AT$6:$AX$15,4,FALSE),"")</f>
        <v/>
      </c>
      <c r="F46">
        <f>IFERROR(VLOOKUP(B46,'Pre-Summary'!$AL$6:$AQ$13,6,FALSE),F45)</f>
        <v>5.9405263157894746E-2</v>
      </c>
      <c r="G46" t="str">
        <f>IFERROR(VLOOKUP(B46,'Pre-Summary'!$AE$6:$AJ$85,3,FALSE),"")</f>
        <v/>
      </c>
      <c r="H46" t="str">
        <f>IFERROR(VLOOKUP(B46,'Pre-Summary'!$AE$6:$AJ$85,4,FALSE),"")</f>
        <v/>
      </c>
      <c r="I46" t="str">
        <f>IFERROR(VLOOKUP(B46,'Pre-Summary'!$AE$6:$AJ$85,5,FALSE),"")</f>
        <v/>
      </c>
      <c r="J46" s="45" t="str">
        <f>IFERROR(VLOOKUP(B46,'Pre-Summary'!$AE$6:$AJ$85,6, FALSE),"")</f>
        <v/>
      </c>
      <c r="K46" s="45" t="str">
        <f>IFERROR(VLOOKUP(B46,'Pre-Summary'!$DE$6:$DG$61,3,FALSE),"")</f>
        <v/>
      </c>
      <c r="L46" s="45" t="str">
        <f>IFERROR(VLOOKUP(B46,'Pre-Summary'!$CU$6:$CW$36,3,FALSE),"")</f>
        <v/>
      </c>
      <c r="M46" s="45" t="str">
        <f>IFERROR(VLOOKUP(B46,'Pre-Summary'!$BW$6:$BY$58,2,FALSE),"")</f>
        <v/>
      </c>
      <c r="N46" s="45" t="str">
        <f>IFERROR(VLOOKUP(B46,'Pre-Summary'!$CD$6:$CF$64,2,FALSE),"")</f>
        <v/>
      </c>
      <c r="O46" s="99">
        <f>IFERROR(VLOOKUP(B46,'Pre-Summary'!$BO$6:$BQ$48,3, FALSE),O45)</f>
        <v>1.0915248032216731</v>
      </c>
      <c r="P46" s="99">
        <f>IFERROR(VLOOKUP(B46,'Pre-Summary'!$BS$6:$BU$35,3,FALSE),P45)</f>
        <v>0.25</v>
      </c>
      <c r="Q46" s="54">
        <f t="shared" si="0"/>
        <v>4.3660992128866924</v>
      </c>
      <c r="R46" s="53">
        <f>IFERROR(VLOOKUP(B46,'Pre-Summary'!$BG$6:$BM$44,7,FALSE),R47)</f>
        <v>2.7904161219319636E-2</v>
      </c>
      <c r="S46" s="53">
        <f>IFERROR(VLOOKUP(B46,'Pre-Summary'!$BG$6:$BM$44,6,FALSE),S47)</f>
        <v>3.3978715219895171E-2</v>
      </c>
      <c r="T46" s="45" t="str">
        <f>IFERROR(VLOOKUP(B46,'Pre-Summary'!$Y$6:$AC$83, 3,FALSE),"")</f>
        <v/>
      </c>
      <c r="U46" s="45" t="str">
        <f>IFERROR(VLOOKUP(B46,'Pre-Summary'!$Y$6:$AC$83, 4,FALSE),"")</f>
        <v/>
      </c>
      <c r="V46" t="str">
        <f>IFERROR(VLOOKUP(B46,'Pre-Summary'!$Y$6:$AC$83, 5,FALSE),"")</f>
        <v/>
      </c>
      <c r="W46" s="45" t="str">
        <f>IFERROR(VLOOKUP(B46,'Pre-Summary'!$Y$6:$AD$83,6,FALSE),"")</f>
        <v/>
      </c>
      <c r="X46" t="str">
        <f>IFERROR(VLOOKUP('Pre-Summary'!$DB$6:$DD$63,3,FALSE),"")</f>
        <v/>
      </c>
      <c r="Y46" t="str">
        <f>IFERROR(VLOOKUP(B46,'Pre-Summary'!$CR$6:$CT$36,3,FALSE),"")</f>
        <v/>
      </c>
      <c r="Z46" s="45" t="str">
        <f>IFERROR(VLOOKUP(B46,'Pre-Summary'!$BZ$6:$CB$63,2,FALSE),"")</f>
        <v/>
      </c>
      <c r="AA46" s="45" t="str">
        <f>IFERROR(VLOOKUP(B46,'Pre-Summary'!$CG$6:$CI$70,2,FALSE),"")</f>
        <v/>
      </c>
      <c r="AB46" s="99">
        <f>IFERROR(VLOOKUP(B46,'Pre-Summary'!$A$6:$P$178,9,FALSE),AB47)</f>
        <v>0.53921227545060579</v>
      </c>
      <c r="AC46" s="10">
        <f>IFERROR(VLOOKUP(Summary!B46,'Pre-Summary'!$A$6:$P$184,5, FALSE)/100,AC47)</f>
        <v>0.122433</v>
      </c>
      <c r="AD46" s="10">
        <f>IFERROR(VLOOKUP(Summary!B46,'Pre-Summary'!$A$6:$P$184,3, FALSE)/100,AD47)</f>
        <v>0.86166133333333339</v>
      </c>
      <c r="AE46" s="10">
        <f>IFERROR(VLOOKUP(Summary!B46,'Pre-Summary'!$A$6:$P$184,7, FALSE)/100,AE47)</f>
        <v>1.5905666666666665E-2</v>
      </c>
      <c r="AF46" s="99">
        <f t="shared" si="1"/>
        <v>0.46461836821446961</v>
      </c>
      <c r="AG46" s="99">
        <f t="shared" si="2"/>
        <v>8.5765307158921847E-3</v>
      </c>
      <c r="AH46" s="10" t="str">
        <f>IFERROR(VLOOKUP(B46,'Pre-Summary'!$AZ$6:$BE$65,3,FALSE),"")</f>
        <v/>
      </c>
      <c r="AI46" s="10" t="str">
        <f>IFERROR(VLOOKUP(B46,'Pre-Summary'!$AZ$6:$BE$65,5,FALSE),"")</f>
        <v/>
      </c>
      <c r="AJ46" s="10" t="str">
        <f>IFERROR(VLOOKUP(B46,'Pre-Summary'!$AZ$6:$BE$65,4,FALSE),"")</f>
        <v/>
      </c>
      <c r="AK46" s="10" t="str">
        <f>IFERROR(VLOOKUP(B46,'Pre-Summary'!$AZ$6:$BE$65,6,FALSE),"")</f>
        <v/>
      </c>
      <c r="AL46" s="10" t="str">
        <f>IFERROR(VLOOKUP(B46,'Pre-Summary'!$BG$6:$BL$44,3,FALSE),"")</f>
        <v/>
      </c>
      <c r="AM46" s="10" t="str">
        <f>IFERROR(VLOOKUP(B46,'Pre-Summary'!$BG$6:$BL$44,4,FALSE),"")</f>
        <v/>
      </c>
    </row>
    <row r="47" spans="2:39" ht="14.4" x14ac:dyDescent="0.3">
      <c r="B47">
        <v>4.4000000000000004</v>
      </c>
      <c r="C47" t="str">
        <f>IFERROR(VLOOKUP(B47,'Pre-Summary'!$DI$6:$DM$23,4,FALSE),"")</f>
        <v/>
      </c>
      <c r="D47" s="10" t="str">
        <f>IFERROR(VLOOKUP(B47,'Pre-Summary'!$AT$6:$AX$14,5,FALSE),D46)</f>
        <v>DSMZ v1: Using DSMZ 120 without NaHCO3</v>
      </c>
      <c r="E47" s="10" t="str">
        <f>IFERROR(VLOOKUP(B47,'Pre-Summary'!$AT$6:$AX$15,4,FALSE),"")</f>
        <v/>
      </c>
      <c r="F47">
        <f>IFERROR(VLOOKUP(B47,'Pre-Summary'!$AL$6:$AQ$13,6,FALSE),F46)</f>
        <v>5.9405263157894746E-2</v>
      </c>
      <c r="G47" t="str">
        <f>IFERROR(VLOOKUP(B47,'Pre-Summary'!$AE$6:$AJ$85,3,FALSE),"")</f>
        <v/>
      </c>
      <c r="H47" t="str">
        <f>IFERROR(VLOOKUP(B47,'Pre-Summary'!$AE$6:$AJ$85,4,FALSE),"")</f>
        <v/>
      </c>
      <c r="I47" t="str">
        <f>IFERROR(VLOOKUP(B47,'Pre-Summary'!$AE$6:$AJ$85,5,FALSE),"")</f>
        <v/>
      </c>
      <c r="J47" s="45" t="str">
        <f>IFERROR(VLOOKUP(B47,'Pre-Summary'!$AE$6:$AJ$85,6, FALSE),"")</f>
        <v/>
      </c>
      <c r="K47" s="45" t="str">
        <f>IFERROR(VLOOKUP(B47,'Pre-Summary'!$DE$6:$DG$61,3,FALSE),"")</f>
        <v/>
      </c>
      <c r="L47" s="45" t="str">
        <f>IFERROR(VLOOKUP(B47,'Pre-Summary'!$CU$6:$CW$36,3,FALSE),"")</f>
        <v/>
      </c>
      <c r="M47" s="45" t="str">
        <f>IFERROR(VLOOKUP(B47,'Pre-Summary'!$BW$6:$BY$58,2,FALSE),"")</f>
        <v/>
      </c>
      <c r="N47" s="45" t="str">
        <f>IFERROR(VLOOKUP(B47,'Pre-Summary'!$CD$6:$CF$64,2,FALSE),"")</f>
        <v/>
      </c>
      <c r="O47" s="99">
        <f>IFERROR(VLOOKUP(B47,'Pre-Summary'!$BO$6:$BQ$48,3, FALSE),O46)</f>
        <v>1.0915248032216731</v>
      </c>
      <c r="P47" s="99">
        <f>IFERROR(VLOOKUP(B47,'Pre-Summary'!$BS$6:$BU$35,3,FALSE),P46)</f>
        <v>0.25</v>
      </c>
      <c r="Q47" s="54">
        <f t="shared" si="0"/>
        <v>4.3660992128866924</v>
      </c>
      <c r="R47" s="53">
        <f>IFERROR(VLOOKUP(B47,'Pre-Summary'!$BG$6:$BM$44,7,FALSE),R48)</f>
        <v>2.7904161219319636E-2</v>
      </c>
      <c r="S47" s="53">
        <f>IFERROR(VLOOKUP(B47,'Pre-Summary'!$BG$6:$BM$44,6,FALSE),S48)</f>
        <v>3.3978715219895171E-2</v>
      </c>
      <c r="T47" s="45" t="str">
        <f>IFERROR(VLOOKUP(B47,'Pre-Summary'!$Y$6:$AC$83, 3,FALSE),"")</f>
        <v/>
      </c>
      <c r="U47" s="45" t="str">
        <f>IFERROR(VLOOKUP(B47,'Pre-Summary'!$Y$6:$AC$83, 4,FALSE),"")</f>
        <v/>
      </c>
      <c r="V47" t="str">
        <f>IFERROR(VLOOKUP(B47,'Pre-Summary'!$Y$6:$AC$83, 5,FALSE),"")</f>
        <v/>
      </c>
      <c r="W47" s="45" t="str">
        <f>IFERROR(VLOOKUP(B47,'Pre-Summary'!$Y$6:$AD$83,6,FALSE),"")</f>
        <v/>
      </c>
      <c r="X47" t="str">
        <f>IFERROR(VLOOKUP('Pre-Summary'!$DB$6:$DD$63,3,FALSE),"")</f>
        <v/>
      </c>
      <c r="Y47" t="str">
        <f>IFERROR(VLOOKUP(B47,'Pre-Summary'!$CR$6:$CT$36,3,FALSE),"")</f>
        <v/>
      </c>
      <c r="Z47" s="45" t="str">
        <f>IFERROR(VLOOKUP(B47,'Pre-Summary'!$BZ$6:$CB$63,2,FALSE),"")</f>
        <v/>
      </c>
      <c r="AA47" s="45" t="str">
        <f>IFERROR(VLOOKUP(B47,'Pre-Summary'!$CG$6:$CI$70,2,FALSE),"")</f>
        <v/>
      </c>
      <c r="AB47" s="99">
        <f>IFERROR(VLOOKUP(B47,'Pre-Summary'!$A$6:$P$178,9,FALSE),AB48)</f>
        <v>0.53921227545060579</v>
      </c>
      <c r="AC47" s="10">
        <f>IFERROR(VLOOKUP(Summary!B47,'Pre-Summary'!$A$6:$P$184,5, FALSE)/100,AC48)</f>
        <v>0.122433</v>
      </c>
      <c r="AD47" s="10">
        <f>IFERROR(VLOOKUP(Summary!B47,'Pre-Summary'!$A$6:$P$184,3, FALSE)/100,AD48)</f>
        <v>0.86166133333333339</v>
      </c>
      <c r="AE47" s="10">
        <f>IFERROR(VLOOKUP(Summary!B47,'Pre-Summary'!$A$6:$P$184,7, FALSE)/100,AE48)</f>
        <v>1.5905666666666665E-2</v>
      </c>
      <c r="AF47" s="99">
        <f t="shared" si="1"/>
        <v>0.46461836821446961</v>
      </c>
      <c r="AG47" s="99">
        <f t="shared" si="2"/>
        <v>8.5765307158921847E-3</v>
      </c>
      <c r="AH47" s="10" t="str">
        <f>IFERROR(VLOOKUP(B47,'Pre-Summary'!$AZ$6:$BE$65,3,FALSE),"")</f>
        <v/>
      </c>
      <c r="AI47" s="10" t="str">
        <f>IFERROR(VLOOKUP(B47,'Pre-Summary'!$AZ$6:$BE$65,5,FALSE),"")</f>
        <v/>
      </c>
      <c r="AJ47" s="10" t="str">
        <f>IFERROR(VLOOKUP(B47,'Pre-Summary'!$AZ$6:$BE$65,4,FALSE),"")</f>
        <v/>
      </c>
      <c r="AK47" s="10" t="str">
        <f>IFERROR(VLOOKUP(B47,'Pre-Summary'!$AZ$6:$BE$65,6,FALSE),"")</f>
        <v/>
      </c>
      <c r="AL47" s="10" t="str">
        <f>IFERROR(VLOOKUP(B47,'Pre-Summary'!$BG$6:$BL$44,3,FALSE),"")</f>
        <v/>
      </c>
      <c r="AM47" s="10" t="str">
        <f>IFERROR(VLOOKUP(B47,'Pre-Summary'!$BG$6:$BL$44,4,FALSE),"")</f>
        <v/>
      </c>
    </row>
    <row r="48" spans="2:39" ht="14.4" x14ac:dyDescent="0.3">
      <c r="B48">
        <v>4.5</v>
      </c>
      <c r="C48" t="str">
        <f>IFERROR(VLOOKUP(B48,'Pre-Summary'!$DI$6:$DM$23,4,FALSE),"")</f>
        <v/>
      </c>
      <c r="D48" s="10" t="str">
        <f>IFERROR(VLOOKUP(B48,'Pre-Summary'!$AT$6:$AX$14,5,FALSE),D47)</f>
        <v>DSMZ v1: Using DSMZ 120 without NaHCO3</v>
      </c>
      <c r="E48" s="10" t="str">
        <f>IFERROR(VLOOKUP(B48,'Pre-Summary'!$AT$6:$AX$15,4,FALSE),"")</f>
        <v/>
      </c>
      <c r="F48">
        <f>IFERROR(VLOOKUP(B48,'Pre-Summary'!$AL$6:$AQ$13,6,FALSE),F47)</f>
        <v>5.9405263157894746E-2</v>
      </c>
      <c r="G48" t="str">
        <f>IFERROR(VLOOKUP(B48,'Pre-Summary'!$AE$6:$AJ$85,3,FALSE),"")</f>
        <v/>
      </c>
      <c r="H48" t="str">
        <f>IFERROR(VLOOKUP(B48,'Pre-Summary'!$AE$6:$AJ$85,4,FALSE),"")</f>
        <v/>
      </c>
      <c r="I48" t="str">
        <f>IFERROR(VLOOKUP(B48,'Pre-Summary'!$AE$6:$AJ$85,5,FALSE),"")</f>
        <v/>
      </c>
      <c r="J48" s="45" t="str">
        <f>IFERROR(VLOOKUP(B48,'Pre-Summary'!$AE$6:$AJ$85,6, FALSE),"")</f>
        <v/>
      </c>
      <c r="K48" s="45" t="str">
        <f>IFERROR(VLOOKUP(B48,'Pre-Summary'!$DE$6:$DG$61,3,FALSE),"")</f>
        <v/>
      </c>
      <c r="L48" s="45" t="str">
        <f>IFERROR(VLOOKUP(B48,'Pre-Summary'!$CU$6:$CW$36,3,FALSE),"")</f>
        <v/>
      </c>
      <c r="M48" s="45" t="str">
        <f>IFERROR(VLOOKUP(B48,'Pre-Summary'!$BW$6:$BY$58,2,FALSE),"")</f>
        <v/>
      </c>
      <c r="N48" s="45" t="str">
        <f>IFERROR(VLOOKUP(B48,'Pre-Summary'!$CD$6:$CF$64,2,FALSE),"")</f>
        <v/>
      </c>
      <c r="O48" s="99">
        <f>IFERROR(VLOOKUP(B48,'Pre-Summary'!$BO$6:$BQ$48,3, FALSE),O47)</f>
        <v>1.0915248032216731</v>
      </c>
      <c r="P48" s="99">
        <f>IFERROR(VLOOKUP(B48,'Pre-Summary'!$BS$6:$BU$35,3,FALSE),P47)</f>
        <v>0.25</v>
      </c>
      <c r="Q48" s="54">
        <f t="shared" si="0"/>
        <v>4.3660992128866924</v>
      </c>
      <c r="R48" s="53">
        <f>IFERROR(VLOOKUP(B48,'Pre-Summary'!$BG$6:$BM$44,7,FALSE),R49)</f>
        <v>2.7904161219319636E-2</v>
      </c>
      <c r="S48" s="53">
        <f>IFERROR(VLOOKUP(B48,'Pre-Summary'!$BG$6:$BM$44,6,FALSE),S49)</f>
        <v>3.3978715219895171E-2</v>
      </c>
      <c r="T48" s="45" t="str">
        <f>IFERROR(VLOOKUP(B48,'Pre-Summary'!$Y$6:$AC$83, 3,FALSE),"")</f>
        <v/>
      </c>
      <c r="U48" s="45" t="str">
        <f>IFERROR(VLOOKUP(B48,'Pre-Summary'!$Y$6:$AC$83, 4,FALSE),"")</f>
        <v/>
      </c>
      <c r="V48" t="str">
        <f>IFERROR(VLOOKUP(B48,'Pre-Summary'!$Y$6:$AC$83, 5,FALSE),"")</f>
        <v/>
      </c>
      <c r="W48" s="45" t="str">
        <f>IFERROR(VLOOKUP(B48,'Pre-Summary'!$Y$6:$AD$83,6,FALSE),"")</f>
        <v/>
      </c>
      <c r="X48" t="str">
        <f>IFERROR(VLOOKUP('Pre-Summary'!$DB$6:$DD$63,3,FALSE),"")</f>
        <v/>
      </c>
      <c r="Y48" t="str">
        <f>IFERROR(VLOOKUP(B48,'Pre-Summary'!$CR$6:$CT$36,3,FALSE),"")</f>
        <v/>
      </c>
      <c r="Z48" s="45" t="str">
        <f>IFERROR(VLOOKUP(B48,'Pre-Summary'!$BZ$6:$CB$63,2,FALSE),"")</f>
        <v/>
      </c>
      <c r="AA48" s="45" t="str">
        <f>IFERROR(VLOOKUP(B48,'Pre-Summary'!$CG$6:$CI$70,2,FALSE),"")</f>
        <v/>
      </c>
      <c r="AB48" s="99">
        <f>IFERROR(VLOOKUP(B48,'Pre-Summary'!$A$6:$P$178,9,FALSE),AB49)</f>
        <v>0.53921227545060579</v>
      </c>
      <c r="AC48" s="10">
        <f>IFERROR(VLOOKUP(Summary!B48,'Pre-Summary'!$A$6:$P$184,5, FALSE)/100,AC49)</f>
        <v>0.122433</v>
      </c>
      <c r="AD48" s="10">
        <f>IFERROR(VLOOKUP(Summary!B48,'Pre-Summary'!$A$6:$P$184,3, FALSE)/100,AD49)</f>
        <v>0.86166133333333339</v>
      </c>
      <c r="AE48" s="10">
        <f>IFERROR(VLOOKUP(Summary!B48,'Pre-Summary'!$A$6:$P$184,7, FALSE)/100,AE49)</f>
        <v>1.5905666666666665E-2</v>
      </c>
      <c r="AF48" s="99">
        <f t="shared" si="1"/>
        <v>0.46461836821446961</v>
      </c>
      <c r="AG48" s="99">
        <f t="shared" si="2"/>
        <v>8.5765307158921847E-3</v>
      </c>
      <c r="AH48" s="10" t="str">
        <f>IFERROR(VLOOKUP(B48,'Pre-Summary'!$AZ$6:$BE$65,3,FALSE),"")</f>
        <v/>
      </c>
      <c r="AI48" s="10" t="str">
        <f>IFERROR(VLOOKUP(B48,'Pre-Summary'!$AZ$6:$BE$65,5,FALSE),"")</f>
        <v/>
      </c>
      <c r="AJ48" s="10" t="str">
        <f>IFERROR(VLOOKUP(B48,'Pre-Summary'!$AZ$6:$BE$65,4,FALSE),"")</f>
        <v/>
      </c>
      <c r="AK48" s="10" t="str">
        <f>IFERROR(VLOOKUP(B48,'Pre-Summary'!$AZ$6:$BE$65,6,FALSE),"")</f>
        <v/>
      </c>
      <c r="AL48" s="10" t="str">
        <f>IFERROR(VLOOKUP(B48,'Pre-Summary'!$BG$6:$BL$44,3,FALSE),"")</f>
        <v/>
      </c>
      <c r="AM48" s="10" t="str">
        <f>IFERROR(VLOOKUP(B48,'Pre-Summary'!$BG$6:$BL$44,4,FALSE),"")</f>
        <v/>
      </c>
    </row>
    <row r="49" spans="2:39" ht="14.4" x14ac:dyDescent="0.3">
      <c r="B49">
        <v>4.5999999999999996</v>
      </c>
      <c r="C49" t="str">
        <f>IFERROR(VLOOKUP(B49,'Pre-Summary'!$DI$6:$DM$23,4,FALSE),"")</f>
        <v/>
      </c>
      <c r="D49" s="10" t="str">
        <f>IFERROR(VLOOKUP(B49,'Pre-Summary'!$AT$6:$AX$14,5,FALSE),D48)</f>
        <v>DSMZ v1: Using DSMZ 120 without NaHCO3</v>
      </c>
      <c r="E49" s="10" t="str">
        <f>IFERROR(VLOOKUP(B49,'Pre-Summary'!$AT$6:$AX$15,4,FALSE),"")</f>
        <v/>
      </c>
      <c r="F49">
        <f>IFERROR(VLOOKUP(B49,'Pre-Summary'!$AL$6:$AQ$13,6,FALSE),F48)</f>
        <v>5.9405263157894746E-2</v>
      </c>
      <c r="G49" t="str">
        <f>IFERROR(VLOOKUP(B49,'Pre-Summary'!$AE$6:$AJ$85,3,FALSE),"")</f>
        <v/>
      </c>
      <c r="H49" t="str">
        <f>IFERROR(VLOOKUP(B49,'Pre-Summary'!$AE$6:$AJ$85,4,FALSE),"")</f>
        <v/>
      </c>
      <c r="I49" t="str">
        <f>IFERROR(VLOOKUP(B49,'Pre-Summary'!$AE$6:$AJ$85,5,FALSE),"")</f>
        <v/>
      </c>
      <c r="J49" s="45" t="str">
        <f>IFERROR(VLOOKUP(B49,'Pre-Summary'!$AE$6:$AJ$85,6, FALSE),"")</f>
        <v/>
      </c>
      <c r="K49" s="45" t="str">
        <f>IFERROR(VLOOKUP(B49,'Pre-Summary'!$DE$6:$DG$61,3,FALSE),"")</f>
        <v/>
      </c>
      <c r="L49" s="45" t="str">
        <f>IFERROR(VLOOKUP(B49,'Pre-Summary'!$CU$6:$CW$36,3,FALSE),"")</f>
        <v/>
      </c>
      <c r="M49" s="45" t="str">
        <f>IFERROR(VLOOKUP(B49,'Pre-Summary'!$BW$6:$BY$58,2,FALSE),"")</f>
        <v/>
      </c>
      <c r="N49" s="45" t="str">
        <f>IFERROR(VLOOKUP(B49,'Pre-Summary'!$CD$6:$CF$64,2,FALSE),"")</f>
        <v/>
      </c>
      <c r="O49" s="99">
        <f>IFERROR(VLOOKUP(B49,'Pre-Summary'!$BO$6:$BQ$48,3, FALSE),O48)</f>
        <v>1.0915248032216731</v>
      </c>
      <c r="P49" s="99">
        <f>IFERROR(VLOOKUP(B49,'Pre-Summary'!$BS$6:$BU$35,3,FALSE),P48)</f>
        <v>0.25</v>
      </c>
      <c r="Q49" s="54">
        <f t="shared" si="0"/>
        <v>4.3660992128866924</v>
      </c>
      <c r="R49" s="53">
        <f>IFERROR(VLOOKUP(B49,'Pre-Summary'!$BG$6:$BM$44,7,FALSE),R50)</f>
        <v>2.7904161219319636E-2</v>
      </c>
      <c r="S49" s="53">
        <f>IFERROR(VLOOKUP(B49,'Pre-Summary'!$BG$6:$BM$44,6,FALSE),S50)</f>
        <v>3.3978715219895171E-2</v>
      </c>
      <c r="T49" s="45" t="str">
        <f>IFERROR(VLOOKUP(B49,'Pre-Summary'!$Y$6:$AC$83, 3,FALSE),"")</f>
        <v/>
      </c>
      <c r="U49" s="45" t="str">
        <f>IFERROR(VLOOKUP(B49,'Pre-Summary'!$Y$6:$AC$83, 4,FALSE),"")</f>
        <v/>
      </c>
      <c r="V49" t="str">
        <f>IFERROR(VLOOKUP(B49,'Pre-Summary'!$Y$6:$AC$83, 5,FALSE),"")</f>
        <v/>
      </c>
      <c r="W49" s="45" t="str">
        <f>IFERROR(VLOOKUP(B49,'Pre-Summary'!$Y$6:$AD$83,6,FALSE),"")</f>
        <v/>
      </c>
      <c r="X49" t="str">
        <f>IFERROR(VLOOKUP('Pre-Summary'!$DB$6:$DD$63,3,FALSE),"")</f>
        <v/>
      </c>
      <c r="Y49" t="str">
        <f>IFERROR(VLOOKUP(B49,'Pre-Summary'!$CR$6:$CT$36,3,FALSE),"")</f>
        <v/>
      </c>
      <c r="Z49" s="45" t="str">
        <f>IFERROR(VLOOKUP(B49,'Pre-Summary'!$BZ$6:$CB$63,2,FALSE),"")</f>
        <v/>
      </c>
      <c r="AA49" s="45" t="str">
        <f>IFERROR(VLOOKUP(B49,'Pre-Summary'!$CG$6:$CI$70,2,FALSE),"")</f>
        <v/>
      </c>
      <c r="AB49" s="99">
        <f>IFERROR(VLOOKUP(B49,'Pre-Summary'!$A$6:$P$178,9,FALSE),AB50)</f>
        <v>0.53921227545060579</v>
      </c>
      <c r="AC49" s="10">
        <f>IFERROR(VLOOKUP(Summary!B49,'Pre-Summary'!$A$6:$P$184,5, FALSE)/100,AC50)</f>
        <v>0.122433</v>
      </c>
      <c r="AD49" s="10">
        <f>IFERROR(VLOOKUP(Summary!B49,'Pre-Summary'!$A$6:$P$184,3, FALSE)/100,AD50)</f>
        <v>0.86166133333333339</v>
      </c>
      <c r="AE49" s="10">
        <f>IFERROR(VLOOKUP(Summary!B49,'Pre-Summary'!$A$6:$P$184,7, FALSE)/100,AE50)</f>
        <v>1.5905666666666665E-2</v>
      </c>
      <c r="AF49" s="99">
        <f t="shared" si="1"/>
        <v>0.46461836821446961</v>
      </c>
      <c r="AG49" s="99">
        <f t="shared" si="2"/>
        <v>8.5765307158921847E-3</v>
      </c>
      <c r="AH49" s="10" t="str">
        <f>IFERROR(VLOOKUP(B49,'Pre-Summary'!$AZ$6:$BE$65,3,FALSE),"")</f>
        <v/>
      </c>
      <c r="AI49" s="10" t="str">
        <f>IFERROR(VLOOKUP(B49,'Pre-Summary'!$AZ$6:$BE$65,5,FALSE),"")</f>
        <v/>
      </c>
      <c r="AJ49" s="10" t="str">
        <f>IFERROR(VLOOKUP(B49,'Pre-Summary'!$AZ$6:$BE$65,4,FALSE),"")</f>
        <v/>
      </c>
      <c r="AK49" s="10" t="str">
        <f>IFERROR(VLOOKUP(B49,'Pre-Summary'!$AZ$6:$BE$65,6,FALSE),"")</f>
        <v/>
      </c>
      <c r="AL49" s="10" t="str">
        <f>IFERROR(VLOOKUP(B49,'Pre-Summary'!$BG$6:$BL$44,3,FALSE),"")</f>
        <v/>
      </c>
      <c r="AM49" s="10" t="str">
        <f>IFERROR(VLOOKUP(B49,'Pre-Summary'!$BG$6:$BL$44,4,FALSE),"")</f>
        <v/>
      </c>
    </row>
    <row r="50" spans="2:39" ht="14.4" x14ac:dyDescent="0.3">
      <c r="B50">
        <v>4.7</v>
      </c>
      <c r="C50" t="str">
        <f>IFERROR(VLOOKUP(B50,'Pre-Summary'!$DI$6:$DM$23,4,FALSE),"")</f>
        <v/>
      </c>
      <c r="D50" s="10" t="str">
        <f>IFERROR(VLOOKUP(B50,'Pre-Summary'!$AT$6:$AX$14,5,FALSE),D49)</f>
        <v>DSMZ v1: Using DSMZ 120 without NaHCO3</v>
      </c>
      <c r="E50" s="10" t="str">
        <f>IFERROR(VLOOKUP(B50,'Pre-Summary'!$AT$6:$AX$15,4,FALSE),"")</f>
        <v/>
      </c>
      <c r="F50">
        <f>IFERROR(VLOOKUP(B50,'Pre-Summary'!$AL$6:$AQ$13,6,FALSE),F49)</f>
        <v>5.9405263157894746E-2</v>
      </c>
      <c r="G50" t="str">
        <f>IFERROR(VLOOKUP(B50,'Pre-Summary'!$AE$6:$AJ$85,3,FALSE),"")</f>
        <v/>
      </c>
      <c r="H50" t="str">
        <f>IFERROR(VLOOKUP(B50,'Pre-Summary'!$AE$6:$AJ$85,4,FALSE),"")</f>
        <v/>
      </c>
      <c r="I50" t="str">
        <f>IFERROR(VLOOKUP(B50,'Pre-Summary'!$AE$6:$AJ$85,5,FALSE),"")</f>
        <v/>
      </c>
      <c r="J50" s="45" t="str">
        <f>IFERROR(VLOOKUP(B50,'Pre-Summary'!$AE$6:$AJ$85,6, FALSE),"")</f>
        <v/>
      </c>
      <c r="K50" s="45" t="str">
        <f>IFERROR(VLOOKUP(B50,'Pre-Summary'!$DE$6:$DG$61,3,FALSE),"")</f>
        <v/>
      </c>
      <c r="L50" s="45" t="str">
        <f>IFERROR(VLOOKUP(B50,'Pre-Summary'!$CU$6:$CW$36,3,FALSE),"")</f>
        <v/>
      </c>
      <c r="M50" s="45" t="str">
        <f>IFERROR(VLOOKUP(B50,'Pre-Summary'!$BW$6:$BY$58,2,FALSE),"")</f>
        <v/>
      </c>
      <c r="N50" s="45" t="str">
        <f>IFERROR(VLOOKUP(B50,'Pre-Summary'!$CD$6:$CF$64,2,FALSE),"")</f>
        <v/>
      </c>
      <c r="O50" s="99">
        <f>IFERROR(VLOOKUP(B50,'Pre-Summary'!$BO$6:$BQ$48,3, FALSE),O49)</f>
        <v>1.0915248032216731</v>
      </c>
      <c r="P50" s="99">
        <f>IFERROR(VLOOKUP(B50,'Pre-Summary'!$BS$6:$BU$35,3,FALSE),P49)</f>
        <v>0.25</v>
      </c>
      <c r="Q50" s="54">
        <f t="shared" si="0"/>
        <v>4.3660992128866924</v>
      </c>
      <c r="R50" s="53">
        <f>IFERROR(VLOOKUP(B50,'Pre-Summary'!$BG$6:$BM$44,7,FALSE),R51)</f>
        <v>2.7904161219319636E-2</v>
      </c>
      <c r="S50" s="53">
        <f>IFERROR(VLOOKUP(B50,'Pre-Summary'!$BG$6:$BM$44,6,FALSE),S51)</f>
        <v>3.3978715219895171E-2</v>
      </c>
      <c r="T50" s="45" t="str">
        <f>IFERROR(VLOOKUP(B50,'Pre-Summary'!$Y$6:$AC$83, 3,FALSE),"")</f>
        <v/>
      </c>
      <c r="U50" s="45" t="str">
        <f>IFERROR(VLOOKUP(B50,'Pre-Summary'!$Y$6:$AC$83, 4,FALSE),"")</f>
        <v/>
      </c>
      <c r="V50" t="str">
        <f>IFERROR(VLOOKUP(B50,'Pre-Summary'!$Y$6:$AC$83, 5,FALSE),"")</f>
        <v/>
      </c>
      <c r="W50" s="45" t="str">
        <f>IFERROR(VLOOKUP(B50,'Pre-Summary'!$Y$6:$AD$83,6,FALSE),"")</f>
        <v/>
      </c>
      <c r="X50" t="str">
        <f>IFERROR(VLOOKUP('Pre-Summary'!$DB$6:$DD$63,3,FALSE),"")</f>
        <v/>
      </c>
      <c r="Y50" t="str">
        <f>IFERROR(VLOOKUP(B50,'Pre-Summary'!$CR$6:$CT$36,3,FALSE),"")</f>
        <v/>
      </c>
      <c r="Z50" s="45" t="str">
        <f>IFERROR(VLOOKUP(B50,'Pre-Summary'!$BZ$6:$CB$63,2,FALSE),"")</f>
        <v/>
      </c>
      <c r="AA50" s="45" t="str">
        <f>IFERROR(VLOOKUP(B50,'Pre-Summary'!$CG$6:$CI$70,2,FALSE),"")</f>
        <v/>
      </c>
      <c r="AB50" s="99">
        <f>IFERROR(VLOOKUP(B50,'Pre-Summary'!$A$6:$P$178,9,FALSE),AB51)</f>
        <v>0.53921227545060579</v>
      </c>
      <c r="AC50" s="10">
        <f>IFERROR(VLOOKUP(Summary!B50,'Pre-Summary'!$A$6:$P$184,5, FALSE)/100,AC51)</f>
        <v>0.122433</v>
      </c>
      <c r="AD50" s="10">
        <f>IFERROR(VLOOKUP(Summary!B50,'Pre-Summary'!$A$6:$P$184,3, FALSE)/100,AD51)</f>
        <v>0.86166133333333339</v>
      </c>
      <c r="AE50" s="10">
        <f>IFERROR(VLOOKUP(Summary!B50,'Pre-Summary'!$A$6:$P$184,7, FALSE)/100,AE51)</f>
        <v>1.5905666666666665E-2</v>
      </c>
      <c r="AF50" s="99">
        <f t="shared" si="1"/>
        <v>0.46461836821446961</v>
      </c>
      <c r="AG50" s="99">
        <f t="shared" si="2"/>
        <v>8.5765307158921847E-3</v>
      </c>
      <c r="AH50" s="10" t="str">
        <f>IFERROR(VLOOKUP(B50,'Pre-Summary'!$AZ$6:$BE$65,3,FALSE),"")</f>
        <v/>
      </c>
      <c r="AI50" s="10" t="str">
        <f>IFERROR(VLOOKUP(B50,'Pre-Summary'!$AZ$6:$BE$65,5,FALSE),"")</f>
        <v/>
      </c>
      <c r="AJ50" s="10" t="str">
        <f>IFERROR(VLOOKUP(B50,'Pre-Summary'!$AZ$6:$BE$65,4,FALSE),"")</f>
        <v/>
      </c>
      <c r="AK50" s="10" t="str">
        <f>IFERROR(VLOOKUP(B50,'Pre-Summary'!$AZ$6:$BE$65,6,FALSE),"")</f>
        <v/>
      </c>
      <c r="AL50" s="10" t="str">
        <f>IFERROR(VLOOKUP(B50,'Pre-Summary'!$BG$6:$BL$44,3,FALSE),"")</f>
        <v/>
      </c>
      <c r="AM50" s="10" t="str">
        <f>IFERROR(VLOOKUP(B50,'Pre-Summary'!$BG$6:$BL$44,4,FALSE),"")</f>
        <v/>
      </c>
    </row>
    <row r="51" spans="2:39" ht="14.4" x14ac:dyDescent="0.3">
      <c r="B51">
        <v>4.8</v>
      </c>
      <c r="C51" t="str">
        <f>IFERROR(VLOOKUP(B51,'Pre-Summary'!$DI$6:$DM$23,4,FALSE),"")</f>
        <v/>
      </c>
      <c r="D51" s="10" t="str">
        <f>IFERROR(VLOOKUP(B51,'Pre-Summary'!$AT$6:$AX$14,5,FALSE),D50)</f>
        <v>DSMZ v1: Using DSMZ 120 without NaHCO3</v>
      </c>
      <c r="E51" s="10" t="str">
        <f>IFERROR(VLOOKUP(B51,'Pre-Summary'!$AT$6:$AX$15,4,FALSE),"")</f>
        <v/>
      </c>
      <c r="F51">
        <f>IFERROR(VLOOKUP(B51,'Pre-Summary'!$AL$6:$AQ$13,6,FALSE),F50)</f>
        <v>5.9405263157894746E-2</v>
      </c>
      <c r="G51" t="str">
        <f>IFERROR(VLOOKUP(B51,'Pre-Summary'!$AE$6:$AJ$85,3,FALSE),"")</f>
        <v/>
      </c>
      <c r="H51" t="str">
        <f>IFERROR(VLOOKUP(B51,'Pre-Summary'!$AE$6:$AJ$85,4,FALSE),"")</f>
        <v/>
      </c>
      <c r="I51" t="str">
        <f>IFERROR(VLOOKUP(B51,'Pre-Summary'!$AE$6:$AJ$85,5,FALSE),"")</f>
        <v/>
      </c>
      <c r="J51" s="45" t="str">
        <f>IFERROR(VLOOKUP(B51,'Pre-Summary'!$AE$6:$AJ$85,6, FALSE),"")</f>
        <v/>
      </c>
      <c r="K51" s="45" t="str">
        <f>IFERROR(VLOOKUP(B51,'Pre-Summary'!$DE$6:$DG$61,3,FALSE),"")</f>
        <v/>
      </c>
      <c r="L51" s="45" t="str">
        <f>IFERROR(VLOOKUP(B51,'Pre-Summary'!$CU$6:$CW$36,3,FALSE),"")</f>
        <v/>
      </c>
      <c r="M51" s="45" t="str">
        <f>IFERROR(VLOOKUP(B51,'Pre-Summary'!$BW$6:$BY$58,2,FALSE),"")</f>
        <v/>
      </c>
      <c r="N51" s="45" t="str">
        <f>IFERROR(VLOOKUP(B51,'Pre-Summary'!$CD$6:$CF$64,2,FALSE),"")</f>
        <v/>
      </c>
      <c r="O51" s="99">
        <f>IFERROR(VLOOKUP(B51,'Pre-Summary'!$BO$6:$BQ$48,3, FALSE),O50)</f>
        <v>1.0915248032216731</v>
      </c>
      <c r="P51" s="99">
        <f>IFERROR(VLOOKUP(B51,'Pre-Summary'!$BS$6:$BU$35,3,FALSE),P50)</f>
        <v>0.25</v>
      </c>
      <c r="Q51" s="54">
        <f t="shared" si="0"/>
        <v>4.3660992128866924</v>
      </c>
      <c r="R51" s="53">
        <f>IFERROR(VLOOKUP(B51,'Pre-Summary'!$BG$6:$BM$44,7,FALSE),R52)</f>
        <v>2.7904161219319636E-2</v>
      </c>
      <c r="S51" s="53">
        <f>IFERROR(VLOOKUP(B51,'Pre-Summary'!$BG$6:$BM$44,6,FALSE),S52)</f>
        <v>3.3978715219895171E-2</v>
      </c>
      <c r="T51" s="45" t="str">
        <f>IFERROR(VLOOKUP(B51,'Pre-Summary'!$Y$6:$AC$83, 3,FALSE),"")</f>
        <v/>
      </c>
      <c r="U51" s="45" t="str">
        <f>IFERROR(VLOOKUP(B51,'Pre-Summary'!$Y$6:$AC$83, 4,FALSE),"")</f>
        <v/>
      </c>
      <c r="V51" t="str">
        <f>IFERROR(VLOOKUP(B51,'Pre-Summary'!$Y$6:$AC$83, 5,FALSE),"")</f>
        <v/>
      </c>
      <c r="W51" s="45" t="str">
        <f>IFERROR(VLOOKUP(B51,'Pre-Summary'!$Y$6:$AD$83,6,FALSE),"")</f>
        <v/>
      </c>
      <c r="X51" t="str">
        <f>IFERROR(VLOOKUP('Pre-Summary'!$DB$6:$DD$63,3,FALSE),"")</f>
        <v/>
      </c>
      <c r="Y51" t="str">
        <f>IFERROR(VLOOKUP(B51,'Pre-Summary'!$CR$6:$CT$36,3,FALSE),"")</f>
        <v/>
      </c>
      <c r="Z51" s="45" t="str">
        <f>IFERROR(VLOOKUP(B51,'Pre-Summary'!$BZ$6:$CB$63,2,FALSE),"")</f>
        <v/>
      </c>
      <c r="AA51" s="45" t="str">
        <f>IFERROR(VLOOKUP(B51,'Pre-Summary'!$CG$6:$CI$70,2,FALSE),"")</f>
        <v/>
      </c>
      <c r="AB51" s="99">
        <f>IFERROR(VLOOKUP(B51,'Pre-Summary'!$A$6:$P$178,9,FALSE),AB52)</f>
        <v>0.53921227545060579</v>
      </c>
      <c r="AC51" s="10">
        <f>IFERROR(VLOOKUP(Summary!B51,'Pre-Summary'!$A$6:$P$184,5, FALSE)/100,AC52)</f>
        <v>0.122433</v>
      </c>
      <c r="AD51" s="10">
        <f>IFERROR(VLOOKUP(Summary!B51,'Pre-Summary'!$A$6:$P$184,3, FALSE)/100,AD52)</f>
        <v>0.86166133333333339</v>
      </c>
      <c r="AE51" s="10">
        <f>IFERROR(VLOOKUP(Summary!B51,'Pre-Summary'!$A$6:$P$184,7, FALSE)/100,AE52)</f>
        <v>1.5905666666666665E-2</v>
      </c>
      <c r="AF51" s="99">
        <f t="shared" si="1"/>
        <v>0.46461836821446961</v>
      </c>
      <c r="AG51" s="99">
        <f t="shared" si="2"/>
        <v>8.5765307158921847E-3</v>
      </c>
      <c r="AH51" s="10" t="str">
        <f>IFERROR(VLOOKUP(B51,'Pre-Summary'!$AZ$6:$BE$65,3,FALSE),"")</f>
        <v/>
      </c>
      <c r="AI51" s="10" t="str">
        <f>IFERROR(VLOOKUP(B51,'Pre-Summary'!$AZ$6:$BE$65,5,FALSE),"")</f>
        <v/>
      </c>
      <c r="AJ51" s="10" t="str">
        <f>IFERROR(VLOOKUP(B51,'Pre-Summary'!$AZ$6:$BE$65,4,FALSE),"")</f>
        <v/>
      </c>
      <c r="AK51" s="10" t="str">
        <f>IFERROR(VLOOKUP(B51,'Pre-Summary'!$AZ$6:$BE$65,6,FALSE),"")</f>
        <v/>
      </c>
      <c r="AL51" s="10" t="str">
        <f>IFERROR(VLOOKUP(B51,'Pre-Summary'!$BG$6:$BL$44,3,FALSE),"")</f>
        <v/>
      </c>
      <c r="AM51" s="10" t="str">
        <f>IFERROR(VLOOKUP(B51,'Pre-Summary'!$BG$6:$BL$44,4,FALSE),"")</f>
        <v/>
      </c>
    </row>
    <row r="52" spans="2:39" ht="14.4" x14ac:dyDescent="0.3">
      <c r="B52">
        <v>4.9000000000000004</v>
      </c>
      <c r="C52" t="str">
        <f>IFERROR(VLOOKUP(B52,'Pre-Summary'!$DI$6:$DM$23,4,FALSE),"")</f>
        <v/>
      </c>
      <c r="D52" s="10" t="str">
        <f>IFERROR(VLOOKUP(B52,'Pre-Summary'!$AT$6:$AX$14,5,FALSE),D51)</f>
        <v>DSMZ v1: Using DSMZ 120 without NaHCO3</v>
      </c>
      <c r="E52" s="10" t="str">
        <f>IFERROR(VLOOKUP(B52,'Pre-Summary'!$AT$6:$AX$15,4,FALSE),"")</f>
        <v/>
      </c>
      <c r="F52">
        <f>IFERROR(VLOOKUP(B52,'Pre-Summary'!$AL$6:$AQ$13,6,FALSE),F51)</f>
        <v>5.9405263157894746E-2</v>
      </c>
      <c r="G52" t="str">
        <f>IFERROR(VLOOKUP(B52,'Pre-Summary'!$AE$6:$AJ$85,3,FALSE),"")</f>
        <v/>
      </c>
      <c r="H52" t="str">
        <f>IFERROR(VLOOKUP(B52,'Pre-Summary'!$AE$6:$AJ$85,4,FALSE),"")</f>
        <v/>
      </c>
      <c r="I52" t="str">
        <f>IFERROR(VLOOKUP(B52,'Pre-Summary'!$AE$6:$AJ$85,5,FALSE),"")</f>
        <v/>
      </c>
      <c r="J52" s="45" t="str">
        <f>IFERROR(VLOOKUP(B52,'Pre-Summary'!$AE$6:$AJ$85,6, FALSE),"")</f>
        <v/>
      </c>
      <c r="K52" s="45" t="str">
        <f>IFERROR(VLOOKUP(B52,'Pre-Summary'!$DE$6:$DG$61,3,FALSE),"")</f>
        <v/>
      </c>
      <c r="L52" s="45" t="str">
        <f>IFERROR(VLOOKUP(B52,'Pre-Summary'!$CU$6:$CW$36,3,FALSE),"")</f>
        <v/>
      </c>
      <c r="M52" s="45" t="str">
        <f>IFERROR(VLOOKUP(B52,'Pre-Summary'!$BW$6:$BY$58,2,FALSE),"")</f>
        <v/>
      </c>
      <c r="N52" s="45" t="str">
        <f>IFERROR(VLOOKUP(B52,'Pre-Summary'!$CD$6:$CF$64,2,FALSE),"")</f>
        <v/>
      </c>
      <c r="O52" s="99">
        <f>IFERROR(VLOOKUP(B52,'Pre-Summary'!$BO$6:$BQ$48,3, FALSE),O51)</f>
        <v>1.0915248032216731</v>
      </c>
      <c r="P52" s="99">
        <f>IFERROR(VLOOKUP(B52,'Pre-Summary'!$BS$6:$BU$35,3,FALSE),P51)</f>
        <v>0.25</v>
      </c>
      <c r="Q52" s="54">
        <f t="shared" si="0"/>
        <v>4.3660992128866924</v>
      </c>
      <c r="R52" s="53">
        <f>IFERROR(VLOOKUP(B52,'Pre-Summary'!$BG$6:$BM$44,7,FALSE),R53)</f>
        <v>2.7904161219319636E-2</v>
      </c>
      <c r="S52" s="53">
        <f>IFERROR(VLOOKUP(B52,'Pre-Summary'!$BG$6:$BM$44,6,FALSE),S53)</f>
        <v>3.3978715219895171E-2</v>
      </c>
      <c r="T52" s="45" t="str">
        <f>IFERROR(VLOOKUP(B52,'Pre-Summary'!$Y$6:$AC$83, 3,FALSE),"")</f>
        <v/>
      </c>
      <c r="U52" s="45" t="str">
        <f>IFERROR(VLOOKUP(B52,'Pre-Summary'!$Y$6:$AC$83, 4,FALSE),"")</f>
        <v/>
      </c>
      <c r="V52" t="str">
        <f>IFERROR(VLOOKUP(B52,'Pre-Summary'!$Y$6:$AC$83, 5,FALSE),"")</f>
        <v/>
      </c>
      <c r="W52" s="45" t="str">
        <f>IFERROR(VLOOKUP(B52,'Pre-Summary'!$Y$6:$AD$83,6,FALSE),"")</f>
        <v/>
      </c>
      <c r="X52" t="str">
        <f>IFERROR(VLOOKUP('Pre-Summary'!$DB$6:$DD$63,3,FALSE),"")</f>
        <v/>
      </c>
      <c r="Y52" t="str">
        <f>IFERROR(VLOOKUP(B52,'Pre-Summary'!$CR$6:$CT$36,3,FALSE),"")</f>
        <v/>
      </c>
      <c r="Z52" s="45" t="str">
        <f>IFERROR(VLOOKUP(B52,'Pre-Summary'!$BZ$6:$CB$63,2,FALSE),"")</f>
        <v/>
      </c>
      <c r="AA52" s="45" t="str">
        <f>IFERROR(VLOOKUP(B52,'Pre-Summary'!$CG$6:$CI$70,2,FALSE),"")</f>
        <v/>
      </c>
      <c r="AB52" s="99">
        <f>IFERROR(VLOOKUP(B52,'Pre-Summary'!$A$6:$P$178,9,FALSE),AB53)</f>
        <v>0.53921227545060579</v>
      </c>
      <c r="AC52" s="10">
        <f>IFERROR(VLOOKUP(Summary!B52,'Pre-Summary'!$A$6:$P$184,5, FALSE)/100,AC53)</f>
        <v>0.122433</v>
      </c>
      <c r="AD52" s="10">
        <f>IFERROR(VLOOKUP(Summary!B52,'Pre-Summary'!$A$6:$P$184,3, FALSE)/100,AD53)</f>
        <v>0.86166133333333339</v>
      </c>
      <c r="AE52" s="10">
        <f>IFERROR(VLOOKUP(Summary!B52,'Pre-Summary'!$A$6:$P$184,7, FALSE)/100,AE53)</f>
        <v>1.5905666666666665E-2</v>
      </c>
      <c r="AF52" s="99">
        <f t="shared" si="1"/>
        <v>0.46461836821446961</v>
      </c>
      <c r="AG52" s="99">
        <f t="shared" si="2"/>
        <v>8.5765307158921847E-3</v>
      </c>
      <c r="AH52" s="10" t="str">
        <f>IFERROR(VLOOKUP(B52,'Pre-Summary'!$AZ$6:$BE$65,3,FALSE),"")</f>
        <v/>
      </c>
      <c r="AI52" s="10" t="str">
        <f>IFERROR(VLOOKUP(B52,'Pre-Summary'!$AZ$6:$BE$65,5,FALSE),"")</f>
        <v/>
      </c>
      <c r="AJ52" s="10" t="str">
        <f>IFERROR(VLOOKUP(B52,'Pre-Summary'!$AZ$6:$BE$65,4,FALSE),"")</f>
        <v/>
      </c>
      <c r="AK52" s="10" t="str">
        <f>IFERROR(VLOOKUP(B52,'Pre-Summary'!$AZ$6:$BE$65,6,FALSE),"")</f>
        <v/>
      </c>
      <c r="AL52" s="10" t="str">
        <f>IFERROR(VLOOKUP(B52,'Pre-Summary'!$BG$6:$BL$44,3,FALSE),"")</f>
        <v/>
      </c>
      <c r="AM52" s="10" t="str">
        <f>IFERROR(VLOOKUP(B52,'Pre-Summary'!$BG$6:$BL$44,4,FALSE),"")</f>
        <v/>
      </c>
    </row>
    <row r="53" spans="2:39" ht="14.4" x14ac:dyDescent="0.3">
      <c r="B53">
        <v>5</v>
      </c>
      <c r="C53" t="str">
        <f>IFERROR(VLOOKUP(B53,'Pre-Summary'!$DI$6:$DM$23,4,FALSE),"")</f>
        <v/>
      </c>
      <c r="D53" s="10" t="str">
        <f>IFERROR(VLOOKUP(B53,'Pre-Summary'!$AT$6:$AX$14,5,FALSE),D52)</f>
        <v>DSMZ v1: Using DSMZ 120 without NaHCO3</v>
      </c>
      <c r="E53" s="10" t="str">
        <f>IFERROR(VLOOKUP(B53,'Pre-Summary'!$AT$6:$AX$15,4,FALSE),"")</f>
        <v/>
      </c>
      <c r="F53">
        <f>IFERROR(VLOOKUP(B53,'Pre-Summary'!$AL$6:$AQ$13,6,FALSE),F52)</f>
        <v>5.9405263157894746E-2</v>
      </c>
      <c r="G53" t="str">
        <f>IFERROR(VLOOKUP(B53,'Pre-Summary'!$AE$6:$AJ$85,3,FALSE),"")</f>
        <v/>
      </c>
      <c r="H53" t="str">
        <f>IFERROR(VLOOKUP(B53,'Pre-Summary'!$AE$6:$AJ$85,4,FALSE),"")</f>
        <v/>
      </c>
      <c r="I53" t="str">
        <f>IFERROR(VLOOKUP(B53,'Pre-Summary'!$AE$6:$AJ$85,5,FALSE),"")</f>
        <v/>
      </c>
      <c r="J53" s="45" t="str">
        <f>IFERROR(VLOOKUP(B53,'Pre-Summary'!$AE$6:$AJ$85,6, FALSE),"")</f>
        <v/>
      </c>
      <c r="K53" s="45" t="str">
        <f>IFERROR(VLOOKUP(B53,'Pre-Summary'!$DE$6:$DG$61,3,FALSE),"")</f>
        <v/>
      </c>
      <c r="L53" s="45" t="str">
        <f>IFERROR(VLOOKUP(B53,'Pre-Summary'!$CU$6:$CW$36,3,FALSE),"")</f>
        <v/>
      </c>
      <c r="M53" s="45" t="str">
        <f>IFERROR(VLOOKUP(B53,'Pre-Summary'!$BW$6:$BY$58,2,FALSE),"")</f>
        <v/>
      </c>
      <c r="N53" s="45" t="str">
        <f>IFERROR(VLOOKUP(B53,'Pre-Summary'!$CD$6:$CF$64,2,FALSE),"")</f>
        <v/>
      </c>
      <c r="O53" s="99">
        <f>IFERROR(VLOOKUP(B53,'Pre-Summary'!$BO$6:$BQ$48,3, FALSE),O52)</f>
        <v>1.0915248032216731</v>
      </c>
      <c r="P53" s="99">
        <f>IFERROR(VLOOKUP(B53,'Pre-Summary'!$BS$6:$BU$35,3,FALSE),P52)</f>
        <v>0.25</v>
      </c>
      <c r="Q53" s="54">
        <f t="shared" si="0"/>
        <v>4.3660992128866924</v>
      </c>
      <c r="R53" s="53">
        <f>IFERROR(VLOOKUP(B53,'Pre-Summary'!$BG$6:$BM$44,7,FALSE),R54)</f>
        <v>2.7904161219319636E-2</v>
      </c>
      <c r="S53" s="53">
        <f>IFERROR(VLOOKUP(B53,'Pre-Summary'!$BG$6:$BM$44,6,FALSE),S54)</f>
        <v>3.3978715219895171E-2</v>
      </c>
      <c r="T53" s="45" t="str">
        <f>IFERROR(VLOOKUP(B53,'Pre-Summary'!$Y$6:$AC$83, 3,FALSE),"")</f>
        <v/>
      </c>
      <c r="U53" s="45" t="str">
        <f>IFERROR(VLOOKUP(B53,'Pre-Summary'!$Y$6:$AC$83, 4,FALSE),"")</f>
        <v/>
      </c>
      <c r="V53" t="str">
        <f>IFERROR(VLOOKUP(B53,'Pre-Summary'!$Y$6:$AC$83, 5,FALSE),"")</f>
        <v/>
      </c>
      <c r="W53" s="45" t="str">
        <f>IFERROR(VLOOKUP(B53,'Pre-Summary'!$Y$6:$AD$83,6,FALSE),"")</f>
        <v/>
      </c>
      <c r="X53" t="str">
        <f>IFERROR(VLOOKUP('Pre-Summary'!$DB$6:$DD$63,3,FALSE),"")</f>
        <v/>
      </c>
      <c r="Y53" t="str">
        <f>IFERROR(VLOOKUP(B53,'Pre-Summary'!$CR$6:$CT$36,3,FALSE),"")</f>
        <v/>
      </c>
      <c r="Z53" s="45" t="str">
        <f>IFERROR(VLOOKUP(B53,'Pre-Summary'!$BZ$6:$CB$63,2,FALSE),"")</f>
        <v/>
      </c>
      <c r="AA53" s="45" t="str">
        <f>IFERROR(VLOOKUP(B53,'Pre-Summary'!$CG$6:$CI$70,2,FALSE),"")</f>
        <v/>
      </c>
      <c r="AB53" s="99">
        <f>IFERROR(VLOOKUP(B53,'Pre-Summary'!$A$6:$P$178,9,FALSE),AB54)</f>
        <v>0.53921227545060579</v>
      </c>
      <c r="AC53" s="10">
        <f>IFERROR(VLOOKUP(Summary!B53,'Pre-Summary'!$A$6:$P$184,5, FALSE)/100,AC54)</f>
        <v>0.122433</v>
      </c>
      <c r="AD53" s="10">
        <f>IFERROR(VLOOKUP(Summary!B53,'Pre-Summary'!$A$6:$P$184,3, FALSE)/100,AD54)</f>
        <v>0.86166133333333339</v>
      </c>
      <c r="AE53" s="10">
        <f>IFERROR(VLOOKUP(Summary!B53,'Pre-Summary'!$A$6:$P$184,7, FALSE)/100,AE54)</f>
        <v>1.5905666666666665E-2</v>
      </c>
      <c r="AF53" s="99">
        <f t="shared" si="1"/>
        <v>0.46461836821446961</v>
      </c>
      <c r="AG53" s="99">
        <f t="shared" si="2"/>
        <v>8.5765307158921847E-3</v>
      </c>
      <c r="AH53" s="10" t="str">
        <f>IFERROR(VLOOKUP(B53,'Pre-Summary'!$AZ$6:$BE$65,3,FALSE),"")</f>
        <v/>
      </c>
      <c r="AI53" s="10" t="str">
        <f>IFERROR(VLOOKUP(B53,'Pre-Summary'!$AZ$6:$BE$65,5,FALSE),"")</f>
        <v/>
      </c>
      <c r="AJ53" s="10" t="str">
        <f>IFERROR(VLOOKUP(B53,'Pre-Summary'!$AZ$6:$BE$65,4,FALSE),"")</f>
        <v/>
      </c>
      <c r="AK53" s="10" t="str">
        <f>IFERROR(VLOOKUP(B53,'Pre-Summary'!$AZ$6:$BE$65,6,FALSE),"")</f>
        <v/>
      </c>
      <c r="AL53" s="10" t="str">
        <f>IFERROR(VLOOKUP(B53,'Pre-Summary'!$BG$6:$BL$44,3,FALSE),"")</f>
        <v/>
      </c>
      <c r="AM53" s="10" t="str">
        <f>IFERROR(VLOOKUP(B53,'Pre-Summary'!$BG$6:$BL$44,4,FALSE),"")</f>
        <v/>
      </c>
    </row>
    <row r="54" spans="2:39" ht="14.4" x14ac:dyDescent="0.3">
      <c r="B54">
        <v>5.0999999999999996</v>
      </c>
      <c r="C54" t="str">
        <f>IFERROR(VLOOKUP(B54,'Pre-Summary'!$DI$6:$DM$23,4,FALSE),"")</f>
        <v/>
      </c>
      <c r="D54" s="10" t="str">
        <f>IFERROR(VLOOKUP(B54,'Pre-Summary'!$AT$6:$AX$14,5,FALSE),D53)</f>
        <v>DSMZ v1: Using DSMZ 120 without NaHCO3</v>
      </c>
      <c r="E54" s="10" t="str">
        <f>IFERROR(VLOOKUP(B54,'Pre-Summary'!$AT$6:$AX$15,4,FALSE),"")</f>
        <v/>
      </c>
      <c r="F54">
        <f>IFERROR(VLOOKUP(B54,'Pre-Summary'!$AL$6:$AQ$13,6,FALSE),F53)</f>
        <v>5.9405263157894746E-2</v>
      </c>
      <c r="G54" t="str">
        <f>IFERROR(VLOOKUP(B54,'Pre-Summary'!$AE$6:$AJ$85,3,FALSE),"")</f>
        <v/>
      </c>
      <c r="H54" t="str">
        <f>IFERROR(VLOOKUP(B54,'Pre-Summary'!$AE$6:$AJ$85,4,FALSE),"")</f>
        <v/>
      </c>
      <c r="I54" t="str">
        <f>IFERROR(VLOOKUP(B54,'Pre-Summary'!$AE$6:$AJ$85,5,FALSE),"")</f>
        <v/>
      </c>
      <c r="J54" s="45" t="str">
        <f>IFERROR(VLOOKUP(B54,'Pre-Summary'!$AE$6:$AJ$85,6, FALSE),"")</f>
        <v/>
      </c>
      <c r="K54" s="45" t="str">
        <f>IFERROR(VLOOKUP(B54,'Pre-Summary'!$DE$6:$DG$61,3,FALSE),"")</f>
        <v/>
      </c>
      <c r="L54" s="45" t="str">
        <f>IFERROR(VLOOKUP(B54,'Pre-Summary'!$CU$6:$CW$36,3,FALSE),"")</f>
        <v/>
      </c>
      <c r="M54" s="45" t="str">
        <f>IFERROR(VLOOKUP(B54,'Pre-Summary'!$BW$6:$BY$58,2,FALSE),"")</f>
        <v/>
      </c>
      <c r="N54" s="45" t="str">
        <f>IFERROR(VLOOKUP(B54,'Pre-Summary'!$CD$6:$CF$64,2,FALSE),"")</f>
        <v/>
      </c>
      <c r="O54" s="99">
        <f>IFERROR(VLOOKUP(B54,'Pre-Summary'!$BO$6:$BQ$48,3, FALSE),O53)</f>
        <v>1.0915248032216731</v>
      </c>
      <c r="P54" s="99">
        <f>IFERROR(VLOOKUP(B54,'Pre-Summary'!$BS$6:$BU$35,3,FALSE),P53)</f>
        <v>0.25</v>
      </c>
      <c r="Q54" s="54">
        <f t="shared" si="0"/>
        <v>4.3660992128866924</v>
      </c>
      <c r="R54" s="53">
        <f>IFERROR(VLOOKUP(B54,'Pre-Summary'!$BG$6:$BM$44,7,FALSE),R55)</f>
        <v>2.7904161219319636E-2</v>
      </c>
      <c r="S54" s="53">
        <f>IFERROR(VLOOKUP(B54,'Pre-Summary'!$BG$6:$BM$44,6,FALSE),S55)</f>
        <v>3.3978715219895171E-2</v>
      </c>
      <c r="T54" s="45" t="str">
        <f>IFERROR(VLOOKUP(B54,'Pre-Summary'!$Y$6:$AC$83, 3,FALSE),"")</f>
        <v/>
      </c>
      <c r="U54" s="45" t="str">
        <f>IFERROR(VLOOKUP(B54,'Pre-Summary'!$Y$6:$AC$83, 4,FALSE),"")</f>
        <v/>
      </c>
      <c r="V54" t="str">
        <f>IFERROR(VLOOKUP(B54,'Pre-Summary'!$Y$6:$AC$83, 5,FALSE),"")</f>
        <v/>
      </c>
      <c r="W54" s="45" t="str">
        <f>IFERROR(VLOOKUP(B54,'Pre-Summary'!$Y$6:$AD$83,6,FALSE),"")</f>
        <v/>
      </c>
      <c r="X54" t="str">
        <f>IFERROR(VLOOKUP('Pre-Summary'!$DB$6:$DD$63,3,FALSE),"")</f>
        <v/>
      </c>
      <c r="Y54" t="str">
        <f>IFERROR(VLOOKUP(B54,'Pre-Summary'!$CR$6:$CT$36,3,FALSE),"")</f>
        <v/>
      </c>
      <c r="Z54" s="45" t="str">
        <f>IFERROR(VLOOKUP(B54,'Pre-Summary'!$BZ$6:$CB$63,2,FALSE),"")</f>
        <v/>
      </c>
      <c r="AA54" s="45" t="str">
        <f>IFERROR(VLOOKUP(B54,'Pre-Summary'!$CG$6:$CI$70,2,FALSE),"")</f>
        <v/>
      </c>
      <c r="AB54" s="99">
        <f>IFERROR(VLOOKUP(B54,'Pre-Summary'!$A$6:$P$178,9,FALSE),AB55)</f>
        <v>0.53921227545060579</v>
      </c>
      <c r="AC54" s="10">
        <f>IFERROR(VLOOKUP(Summary!B54,'Pre-Summary'!$A$6:$P$184,5, FALSE)/100,AC55)</f>
        <v>0.122433</v>
      </c>
      <c r="AD54" s="10">
        <f>IFERROR(VLOOKUP(Summary!B54,'Pre-Summary'!$A$6:$P$184,3, FALSE)/100,AD55)</f>
        <v>0.86166133333333339</v>
      </c>
      <c r="AE54" s="10">
        <f>IFERROR(VLOOKUP(Summary!B54,'Pre-Summary'!$A$6:$P$184,7, FALSE)/100,AE55)</f>
        <v>1.5905666666666665E-2</v>
      </c>
      <c r="AF54" s="99">
        <f t="shared" si="1"/>
        <v>0.46461836821446961</v>
      </c>
      <c r="AG54" s="99">
        <f t="shared" si="2"/>
        <v>8.5765307158921847E-3</v>
      </c>
      <c r="AH54" s="10" t="str">
        <f>IFERROR(VLOOKUP(B54,'Pre-Summary'!$AZ$6:$BE$65,3,FALSE),"")</f>
        <v/>
      </c>
      <c r="AI54" s="10" t="str">
        <f>IFERROR(VLOOKUP(B54,'Pre-Summary'!$AZ$6:$BE$65,5,FALSE),"")</f>
        <v/>
      </c>
      <c r="AJ54" s="10" t="str">
        <f>IFERROR(VLOOKUP(B54,'Pre-Summary'!$AZ$6:$BE$65,4,FALSE),"")</f>
        <v/>
      </c>
      <c r="AK54" s="10" t="str">
        <f>IFERROR(VLOOKUP(B54,'Pre-Summary'!$AZ$6:$BE$65,6,FALSE),"")</f>
        <v/>
      </c>
      <c r="AL54" s="10" t="str">
        <f>IFERROR(VLOOKUP(B54,'Pre-Summary'!$BG$6:$BL$44,3,FALSE),"")</f>
        <v/>
      </c>
      <c r="AM54" s="10" t="str">
        <f>IFERROR(VLOOKUP(B54,'Pre-Summary'!$BG$6:$BL$44,4,FALSE),"")</f>
        <v/>
      </c>
    </row>
    <row r="55" spans="2:39" ht="14.4" x14ac:dyDescent="0.3">
      <c r="B55">
        <v>5.2</v>
      </c>
      <c r="C55" t="str">
        <f>IFERROR(VLOOKUP(B55,'Pre-Summary'!$DI$6:$DM$23,4,FALSE),"")</f>
        <v/>
      </c>
      <c r="D55" s="10" t="str">
        <f>IFERROR(VLOOKUP(B55,'Pre-Summary'!$AT$6:$AX$14,5,FALSE),D54)</f>
        <v>DSMZ v1: Using DSMZ 120 without NaHCO3</v>
      </c>
      <c r="E55" s="10" t="str">
        <f>IFERROR(VLOOKUP(B55,'Pre-Summary'!$AT$6:$AX$15,4,FALSE),"")</f>
        <v/>
      </c>
      <c r="F55">
        <f>IFERROR(VLOOKUP(B55,'Pre-Summary'!$AL$6:$AQ$13,6,FALSE),F54)</f>
        <v>5.9405263157894746E-2</v>
      </c>
      <c r="G55" t="str">
        <f>IFERROR(VLOOKUP(B55,'Pre-Summary'!$AE$6:$AJ$85,3,FALSE),"")</f>
        <v/>
      </c>
      <c r="H55" t="str">
        <f>IFERROR(VLOOKUP(B55,'Pre-Summary'!$AE$6:$AJ$85,4,FALSE),"")</f>
        <v/>
      </c>
      <c r="I55" t="str">
        <f>IFERROR(VLOOKUP(B55,'Pre-Summary'!$AE$6:$AJ$85,5,FALSE),"")</f>
        <v/>
      </c>
      <c r="J55" s="45" t="str">
        <f>IFERROR(VLOOKUP(B55,'Pre-Summary'!$AE$6:$AJ$85,6, FALSE),"")</f>
        <v/>
      </c>
      <c r="K55" s="45" t="str">
        <f>IFERROR(VLOOKUP(B55,'Pre-Summary'!$DE$6:$DG$61,3,FALSE),"")</f>
        <v/>
      </c>
      <c r="L55" s="45" t="str">
        <f>IFERROR(VLOOKUP(B55,'Pre-Summary'!$CU$6:$CW$36,3,FALSE),"")</f>
        <v/>
      </c>
      <c r="M55" s="45" t="str">
        <f>IFERROR(VLOOKUP(B55,'Pre-Summary'!$BW$6:$BY$58,2,FALSE),"")</f>
        <v/>
      </c>
      <c r="N55" s="45" t="str">
        <f>IFERROR(VLOOKUP(B55,'Pre-Summary'!$CD$6:$CF$64,2,FALSE),"")</f>
        <v/>
      </c>
      <c r="O55" s="99">
        <f>IFERROR(VLOOKUP(B55,'Pre-Summary'!$BO$6:$BQ$48,3, FALSE),O54)</f>
        <v>1.0915248032216731</v>
      </c>
      <c r="P55" s="99">
        <f>IFERROR(VLOOKUP(B55,'Pre-Summary'!$BS$6:$BU$35,3,FALSE),P54)</f>
        <v>0.25</v>
      </c>
      <c r="Q55" s="54">
        <f t="shared" si="0"/>
        <v>4.3660992128866924</v>
      </c>
      <c r="R55" s="53">
        <f>IFERROR(VLOOKUP(B55,'Pre-Summary'!$BG$6:$BM$44,7,FALSE),R56)</f>
        <v>2.7904161219319636E-2</v>
      </c>
      <c r="S55" s="53">
        <f>IFERROR(VLOOKUP(B55,'Pre-Summary'!$BG$6:$BM$44,6,FALSE),S56)</f>
        <v>3.3978715219895171E-2</v>
      </c>
      <c r="T55" s="45" t="str">
        <f>IFERROR(VLOOKUP(B55,'Pre-Summary'!$Y$6:$AC$83, 3,FALSE),"")</f>
        <v/>
      </c>
      <c r="U55" s="45" t="str">
        <f>IFERROR(VLOOKUP(B55,'Pre-Summary'!$Y$6:$AC$83, 4,FALSE),"")</f>
        <v/>
      </c>
      <c r="V55" t="str">
        <f>IFERROR(VLOOKUP(B55,'Pre-Summary'!$Y$6:$AC$83, 5,FALSE),"")</f>
        <v/>
      </c>
      <c r="W55" s="45" t="str">
        <f>IFERROR(VLOOKUP(B55,'Pre-Summary'!$Y$6:$AD$83,6,FALSE),"")</f>
        <v/>
      </c>
      <c r="X55" t="str">
        <f>IFERROR(VLOOKUP('Pre-Summary'!$DB$6:$DD$63,3,FALSE),"")</f>
        <v/>
      </c>
      <c r="Y55" t="str">
        <f>IFERROR(VLOOKUP(B55,'Pre-Summary'!$CR$6:$CT$36,3,FALSE),"")</f>
        <v/>
      </c>
      <c r="Z55" s="45" t="str">
        <f>IFERROR(VLOOKUP(B55,'Pre-Summary'!$BZ$6:$CB$63,2,FALSE),"")</f>
        <v/>
      </c>
      <c r="AA55" s="45" t="str">
        <f>IFERROR(VLOOKUP(B55,'Pre-Summary'!$CG$6:$CI$70,2,FALSE),"")</f>
        <v/>
      </c>
      <c r="AB55" s="99">
        <f>IFERROR(VLOOKUP(B55,'Pre-Summary'!$A$6:$P$178,9,FALSE),AB56)</f>
        <v>0.53921227545060579</v>
      </c>
      <c r="AC55" s="10">
        <f>IFERROR(VLOOKUP(Summary!B55,'Pre-Summary'!$A$6:$P$184,5, FALSE)/100,AC56)</f>
        <v>0.122433</v>
      </c>
      <c r="AD55" s="10">
        <f>IFERROR(VLOOKUP(Summary!B55,'Pre-Summary'!$A$6:$P$184,3, FALSE)/100,AD56)</f>
        <v>0.86166133333333339</v>
      </c>
      <c r="AE55" s="10">
        <f>IFERROR(VLOOKUP(Summary!B55,'Pre-Summary'!$A$6:$P$184,7, FALSE)/100,AE56)</f>
        <v>1.5905666666666665E-2</v>
      </c>
      <c r="AF55" s="99">
        <f t="shared" si="1"/>
        <v>0.46461836821446961</v>
      </c>
      <c r="AG55" s="99">
        <f t="shared" si="2"/>
        <v>8.5765307158921847E-3</v>
      </c>
      <c r="AH55" s="10" t="str">
        <f>IFERROR(VLOOKUP(B55,'Pre-Summary'!$AZ$6:$BE$65,3,FALSE),"")</f>
        <v/>
      </c>
      <c r="AI55" s="10" t="str">
        <f>IFERROR(VLOOKUP(B55,'Pre-Summary'!$AZ$6:$BE$65,5,FALSE),"")</f>
        <v/>
      </c>
      <c r="AJ55" s="10" t="str">
        <f>IFERROR(VLOOKUP(B55,'Pre-Summary'!$AZ$6:$BE$65,4,FALSE),"")</f>
        <v/>
      </c>
      <c r="AK55" s="10" t="str">
        <f>IFERROR(VLOOKUP(B55,'Pre-Summary'!$AZ$6:$BE$65,6,FALSE),"")</f>
        <v/>
      </c>
      <c r="AL55" s="10" t="str">
        <f>IFERROR(VLOOKUP(B55,'Pre-Summary'!$BG$6:$BL$44,3,FALSE),"")</f>
        <v/>
      </c>
      <c r="AM55" s="10" t="str">
        <f>IFERROR(VLOOKUP(B55,'Pre-Summary'!$BG$6:$BL$44,4,FALSE),"")</f>
        <v/>
      </c>
    </row>
    <row r="56" spans="2:39" ht="14.4" x14ac:dyDescent="0.3">
      <c r="B56">
        <v>5.3</v>
      </c>
      <c r="C56" t="str">
        <f>IFERROR(VLOOKUP(B56,'Pre-Summary'!$DI$6:$DM$23,4,FALSE),"")</f>
        <v/>
      </c>
      <c r="D56" s="10" t="str">
        <f>IFERROR(VLOOKUP(B56,'Pre-Summary'!$AT$6:$AX$14,5,FALSE),D55)</f>
        <v>DSMZ v1: Using DSMZ 120 without NaHCO3</v>
      </c>
      <c r="E56" s="10" t="str">
        <f>IFERROR(VLOOKUP(B56,'Pre-Summary'!$AT$6:$AX$15,4,FALSE),"")</f>
        <v/>
      </c>
      <c r="F56">
        <f>IFERROR(VLOOKUP(B56,'Pre-Summary'!$AL$6:$AQ$13,6,FALSE),F55)</f>
        <v>5.9405263157894746E-2</v>
      </c>
      <c r="G56" t="str">
        <f>IFERROR(VLOOKUP(B56,'Pre-Summary'!$AE$6:$AJ$85,3,FALSE),"")</f>
        <v/>
      </c>
      <c r="H56" t="str">
        <f>IFERROR(VLOOKUP(B56,'Pre-Summary'!$AE$6:$AJ$85,4,FALSE),"")</f>
        <v/>
      </c>
      <c r="I56" t="str">
        <f>IFERROR(VLOOKUP(B56,'Pre-Summary'!$AE$6:$AJ$85,5,FALSE),"")</f>
        <v/>
      </c>
      <c r="J56" s="45" t="str">
        <f>IFERROR(VLOOKUP(B56,'Pre-Summary'!$AE$6:$AJ$85,6, FALSE),"")</f>
        <v/>
      </c>
      <c r="K56" s="45" t="str">
        <f>IFERROR(VLOOKUP(B56,'Pre-Summary'!$DE$6:$DG$61,3,FALSE),"")</f>
        <v/>
      </c>
      <c r="L56" s="45" t="str">
        <f>IFERROR(VLOOKUP(B56,'Pre-Summary'!$CU$6:$CW$36,3,FALSE),"")</f>
        <v/>
      </c>
      <c r="M56" s="45" t="str">
        <f>IFERROR(VLOOKUP(B56,'Pre-Summary'!$BW$6:$BY$58,2,FALSE),"")</f>
        <v/>
      </c>
      <c r="N56" s="45" t="str">
        <f>IFERROR(VLOOKUP(B56,'Pre-Summary'!$CD$6:$CF$64,2,FALSE),"")</f>
        <v/>
      </c>
      <c r="O56" s="99">
        <f>IFERROR(VLOOKUP(B56,'Pre-Summary'!$BO$6:$BQ$48,3, FALSE),O55)</f>
        <v>1.0915248032216731</v>
      </c>
      <c r="P56" s="99">
        <f>IFERROR(VLOOKUP(B56,'Pre-Summary'!$BS$6:$BU$35,3,FALSE),P55)</f>
        <v>0.25</v>
      </c>
      <c r="Q56" s="54">
        <f t="shared" si="0"/>
        <v>4.3660992128866924</v>
      </c>
      <c r="R56" s="53">
        <f>IFERROR(VLOOKUP(B56,'Pre-Summary'!$BG$6:$BM$44,7,FALSE),R57)</f>
        <v>2.7904161219319636E-2</v>
      </c>
      <c r="S56" s="53">
        <f>IFERROR(VLOOKUP(B56,'Pre-Summary'!$BG$6:$BM$44,6,FALSE),S57)</f>
        <v>3.3978715219895171E-2</v>
      </c>
      <c r="T56" s="45" t="str">
        <f>IFERROR(VLOOKUP(B56,'Pre-Summary'!$Y$6:$AC$83, 3,FALSE),"")</f>
        <v/>
      </c>
      <c r="U56" s="45" t="str">
        <f>IFERROR(VLOOKUP(B56,'Pre-Summary'!$Y$6:$AC$83, 4,FALSE),"")</f>
        <v/>
      </c>
      <c r="V56" t="str">
        <f>IFERROR(VLOOKUP(B56,'Pre-Summary'!$Y$6:$AC$83, 5,FALSE),"")</f>
        <v/>
      </c>
      <c r="W56" s="45" t="str">
        <f>IFERROR(VLOOKUP(B56,'Pre-Summary'!$Y$6:$AD$83,6,FALSE),"")</f>
        <v/>
      </c>
      <c r="X56" t="str">
        <f>IFERROR(VLOOKUP('Pre-Summary'!$DB$6:$DD$63,3,FALSE),"")</f>
        <v/>
      </c>
      <c r="Y56" t="str">
        <f>IFERROR(VLOOKUP(B56,'Pre-Summary'!$CR$6:$CT$36,3,FALSE),"")</f>
        <v/>
      </c>
      <c r="Z56" s="45" t="str">
        <f>IFERROR(VLOOKUP(B56,'Pre-Summary'!$BZ$6:$CB$63,2,FALSE),"")</f>
        <v/>
      </c>
      <c r="AA56" s="45" t="str">
        <f>IFERROR(VLOOKUP(B56,'Pre-Summary'!$CG$6:$CI$70,2,FALSE),"")</f>
        <v/>
      </c>
      <c r="AB56" s="99">
        <f>IFERROR(VLOOKUP(B56,'Pre-Summary'!$A$6:$P$178,9,FALSE),AB57)</f>
        <v>0.53921227545060579</v>
      </c>
      <c r="AC56" s="10">
        <f>IFERROR(VLOOKUP(Summary!B56,'Pre-Summary'!$A$6:$P$184,5, FALSE)/100,AC57)</f>
        <v>0.122433</v>
      </c>
      <c r="AD56" s="10">
        <f>IFERROR(VLOOKUP(Summary!B56,'Pre-Summary'!$A$6:$P$184,3, FALSE)/100,AD57)</f>
        <v>0.86166133333333339</v>
      </c>
      <c r="AE56" s="10">
        <f>IFERROR(VLOOKUP(Summary!B56,'Pre-Summary'!$A$6:$P$184,7, FALSE)/100,AE57)</f>
        <v>1.5905666666666665E-2</v>
      </c>
      <c r="AF56" s="99">
        <f t="shared" si="1"/>
        <v>0.46461836821446961</v>
      </c>
      <c r="AG56" s="99">
        <f t="shared" si="2"/>
        <v>8.5765307158921847E-3</v>
      </c>
      <c r="AH56" s="10" t="str">
        <f>IFERROR(VLOOKUP(B56,'Pre-Summary'!$AZ$6:$BE$65,3,FALSE),"")</f>
        <v/>
      </c>
      <c r="AI56" s="10" t="str">
        <f>IFERROR(VLOOKUP(B56,'Pre-Summary'!$AZ$6:$BE$65,5,FALSE),"")</f>
        <v/>
      </c>
      <c r="AJ56" s="10" t="str">
        <f>IFERROR(VLOOKUP(B56,'Pre-Summary'!$AZ$6:$BE$65,4,FALSE),"")</f>
        <v/>
      </c>
      <c r="AK56" s="10" t="str">
        <f>IFERROR(VLOOKUP(B56,'Pre-Summary'!$AZ$6:$BE$65,6,FALSE),"")</f>
        <v/>
      </c>
      <c r="AL56" s="10" t="str">
        <f>IFERROR(VLOOKUP(B56,'Pre-Summary'!$BG$6:$BL$44,3,FALSE),"")</f>
        <v/>
      </c>
      <c r="AM56" s="10" t="str">
        <f>IFERROR(VLOOKUP(B56,'Pre-Summary'!$BG$6:$BL$44,4,FALSE),"")</f>
        <v/>
      </c>
    </row>
    <row r="57" spans="2:39" ht="14.4" x14ac:dyDescent="0.3">
      <c r="B57">
        <v>5.4</v>
      </c>
      <c r="C57" t="str">
        <f>IFERROR(VLOOKUP(B57,'Pre-Summary'!$DI$6:$DM$23,4,FALSE),"")</f>
        <v/>
      </c>
      <c r="D57" s="10" t="str">
        <f>IFERROR(VLOOKUP(B57,'Pre-Summary'!$AT$6:$AX$14,5,FALSE),D56)</f>
        <v>DSMZ v1: Using DSMZ 120 without NaHCO3</v>
      </c>
      <c r="E57" s="10" t="str">
        <f>IFERROR(VLOOKUP(B57,'Pre-Summary'!$AT$6:$AX$15,4,FALSE),"")</f>
        <v/>
      </c>
      <c r="F57">
        <f>IFERROR(VLOOKUP(B57,'Pre-Summary'!$AL$6:$AQ$13,6,FALSE),F56)</f>
        <v>5.9405263157894746E-2</v>
      </c>
      <c r="G57" t="str">
        <f>IFERROR(VLOOKUP(B57,'Pre-Summary'!$AE$6:$AJ$85,3,FALSE),"")</f>
        <v/>
      </c>
      <c r="H57" t="str">
        <f>IFERROR(VLOOKUP(B57,'Pre-Summary'!$AE$6:$AJ$85,4,FALSE),"")</f>
        <v/>
      </c>
      <c r="I57" t="str">
        <f>IFERROR(VLOOKUP(B57,'Pre-Summary'!$AE$6:$AJ$85,5,FALSE),"")</f>
        <v/>
      </c>
      <c r="J57" s="45" t="str">
        <f>IFERROR(VLOOKUP(B57,'Pre-Summary'!$AE$6:$AJ$85,6, FALSE),"")</f>
        <v/>
      </c>
      <c r="K57" s="45" t="str">
        <f>IFERROR(VLOOKUP(B57,'Pre-Summary'!$DE$6:$DG$61,3,FALSE),"")</f>
        <v/>
      </c>
      <c r="L57" s="45" t="str">
        <f>IFERROR(VLOOKUP(B57,'Pre-Summary'!$CU$6:$CW$36,3,FALSE),"")</f>
        <v/>
      </c>
      <c r="M57" s="45" t="str">
        <f>IFERROR(VLOOKUP(B57,'Pre-Summary'!$BW$6:$BY$58,2,FALSE),"")</f>
        <v/>
      </c>
      <c r="N57" s="45" t="str">
        <f>IFERROR(VLOOKUP(B57,'Pre-Summary'!$CD$6:$CF$64,2,FALSE),"")</f>
        <v/>
      </c>
      <c r="O57" s="99">
        <f>IFERROR(VLOOKUP(B57,'Pre-Summary'!$BO$6:$BQ$48,3, FALSE),O56)</f>
        <v>1.0915248032216731</v>
      </c>
      <c r="P57" s="99">
        <f>IFERROR(VLOOKUP(B57,'Pre-Summary'!$BS$6:$BU$35,3,FALSE),P56)</f>
        <v>0.25</v>
      </c>
      <c r="Q57" s="54">
        <f t="shared" si="0"/>
        <v>4.3660992128866924</v>
      </c>
      <c r="R57" s="53">
        <f>IFERROR(VLOOKUP(B57,'Pre-Summary'!$BG$6:$BM$44,7,FALSE),R58)</f>
        <v>2.7904161219319636E-2</v>
      </c>
      <c r="S57" s="53">
        <f>IFERROR(VLOOKUP(B57,'Pre-Summary'!$BG$6:$BM$44,6,FALSE),S58)</f>
        <v>3.3978715219895171E-2</v>
      </c>
      <c r="T57" s="45" t="str">
        <f>IFERROR(VLOOKUP(B57,'Pre-Summary'!$Y$6:$AC$83, 3,FALSE),"")</f>
        <v/>
      </c>
      <c r="U57" s="45" t="str">
        <f>IFERROR(VLOOKUP(B57,'Pre-Summary'!$Y$6:$AC$83, 4,FALSE),"")</f>
        <v/>
      </c>
      <c r="V57" t="str">
        <f>IFERROR(VLOOKUP(B57,'Pre-Summary'!$Y$6:$AC$83, 5,FALSE),"")</f>
        <v/>
      </c>
      <c r="W57" s="45" t="str">
        <f>IFERROR(VLOOKUP(B57,'Pre-Summary'!$Y$6:$AD$83,6,FALSE),"")</f>
        <v/>
      </c>
      <c r="X57" t="str">
        <f>IFERROR(VLOOKUP('Pre-Summary'!$DB$6:$DD$63,3,FALSE),"")</f>
        <v/>
      </c>
      <c r="Y57" t="str">
        <f>IFERROR(VLOOKUP(B57,'Pre-Summary'!$CR$6:$CT$36,3,FALSE),"")</f>
        <v/>
      </c>
      <c r="Z57" s="45" t="str">
        <f>IFERROR(VLOOKUP(B57,'Pre-Summary'!$BZ$6:$CB$63,2,FALSE),"")</f>
        <v/>
      </c>
      <c r="AA57" s="45" t="str">
        <f>IFERROR(VLOOKUP(B57,'Pre-Summary'!$CG$6:$CI$70,2,FALSE),"")</f>
        <v/>
      </c>
      <c r="AB57" s="99">
        <f>IFERROR(VLOOKUP(B57,'Pre-Summary'!$A$6:$P$178,9,FALSE),AB58)</f>
        <v>0.53921227545060579</v>
      </c>
      <c r="AC57" s="10">
        <f>IFERROR(VLOOKUP(Summary!B57,'Pre-Summary'!$A$6:$P$184,5, FALSE)/100,AC58)</f>
        <v>0.122433</v>
      </c>
      <c r="AD57" s="10">
        <f>IFERROR(VLOOKUP(Summary!B57,'Pre-Summary'!$A$6:$P$184,3, FALSE)/100,AD58)</f>
        <v>0.86166133333333339</v>
      </c>
      <c r="AE57" s="10">
        <f>IFERROR(VLOOKUP(Summary!B57,'Pre-Summary'!$A$6:$P$184,7, FALSE)/100,AE58)</f>
        <v>1.5905666666666665E-2</v>
      </c>
      <c r="AF57" s="99">
        <f t="shared" si="1"/>
        <v>0.46461836821446961</v>
      </c>
      <c r="AG57" s="99">
        <f t="shared" si="2"/>
        <v>8.5765307158921847E-3</v>
      </c>
      <c r="AH57" s="10" t="str">
        <f>IFERROR(VLOOKUP(B57,'Pre-Summary'!$AZ$6:$BE$65,3,FALSE),"")</f>
        <v/>
      </c>
      <c r="AI57" s="10" t="str">
        <f>IFERROR(VLOOKUP(B57,'Pre-Summary'!$AZ$6:$BE$65,5,FALSE),"")</f>
        <v/>
      </c>
      <c r="AJ57" s="10" t="str">
        <f>IFERROR(VLOOKUP(B57,'Pre-Summary'!$AZ$6:$BE$65,4,FALSE),"")</f>
        <v/>
      </c>
      <c r="AK57" s="10" t="str">
        <f>IFERROR(VLOOKUP(B57,'Pre-Summary'!$AZ$6:$BE$65,6,FALSE),"")</f>
        <v/>
      </c>
      <c r="AL57" s="10" t="str">
        <f>IFERROR(VLOOKUP(B57,'Pre-Summary'!$BG$6:$BL$44,3,FALSE),"")</f>
        <v/>
      </c>
      <c r="AM57" s="10" t="str">
        <f>IFERROR(VLOOKUP(B57,'Pre-Summary'!$BG$6:$BL$44,4,FALSE),"")</f>
        <v/>
      </c>
    </row>
    <row r="58" spans="2:39" ht="14.4" x14ac:dyDescent="0.3">
      <c r="B58">
        <v>5.5</v>
      </c>
      <c r="C58" t="str">
        <f>IFERROR(VLOOKUP(B58,'Pre-Summary'!$DI$6:$DM$23,4,FALSE),"")</f>
        <v/>
      </c>
      <c r="D58" s="10" t="str">
        <f>IFERROR(VLOOKUP(B58,'Pre-Summary'!$AT$6:$AX$14,5,FALSE),D57)</f>
        <v>DSMZ v1: Using DSMZ 120 without NaHCO3</v>
      </c>
      <c r="E58" s="10" t="str">
        <f>IFERROR(VLOOKUP(B58,'Pre-Summary'!$AT$6:$AX$15,4,FALSE),"")</f>
        <v/>
      </c>
      <c r="F58">
        <f>IFERROR(VLOOKUP(B58,'Pre-Summary'!$AL$6:$AQ$13,6,FALSE),F57)</f>
        <v>5.9405263157894746E-2</v>
      </c>
      <c r="G58" t="str">
        <f>IFERROR(VLOOKUP(B58,'Pre-Summary'!$AE$6:$AJ$85,3,FALSE),"")</f>
        <v/>
      </c>
      <c r="H58" t="str">
        <f>IFERROR(VLOOKUP(B58,'Pre-Summary'!$AE$6:$AJ$85,4,FALSE),"")</f>
        <v/>
      </c>
      <c r="I58" t="str">
        <f>IFERROR(VLOOKUP(B58,'Pre-Summary'!$AE$6:$AJ$85,5,FALSE),"")</f>
        <v/>
      </c>
      <c r="J58" s="45" t="str">
        <f>IFERROR(VLOOKUP(B58,'Pre-Summary'!$AE$6:$AJ$85,6, FALSE),"")</f>
        <v/>
      </c>
      <c r="K58" s="45" t="str">
        <f>IFERROR(VLOOKUP(B58,'Pre-Summary'!$DE$6:$DG$61,3,FALSE),"")</f>
        <v/>
      </c>
      <c r="L58" s="45" t="str">
        <f>IFERROR(VLOOKUP(B58,'Pre-Summary'!$CU$6:$CW$36,3,FALSE),"")</f>
        <v/>
      </c>
      <c r="M58" s="45">
        <f>IFERROR(VLOOKUP(B58,'Pre-Summary'!$BW$6:$BY$58,2,FALSE),"")</f>
        <v>246.87032699238355</v>
      </c>
      <c r="N58" s="45">
        <f>IFERROR(VLOOKUP(B58,'Pre-Summary'!$CD$6:$CF$64,2,FALSE),"")</f>
        <v>6404.4530014688034</v>
      </c>
      <c r="O58" s="99">
        <f>IFERROR(VLOOKUP(B58,'Pre-Summary'!$BO$6:$BQ$48,3, FALSE),O57)</f>
        <v>1.0915248032216731</v>
      </c>
      <c r="P58" s="99">
        <f>IFERROR(VLOOKUP(B58,'Pre-Summary'!$BS$6:$BU$35,3,FALSE),P57)</f>
        <v>0.25</v>
      </c>
      <c r="Q58" s="54">
        <f t="shared" si="0"/>
        <v>4.3660992128866924</v>
      </c>
      <c r="R58" s="53">
        <f>IFERROR(VLOOKUP(B58,'Pre-Summary'!$BG$6:$BM$44,7,FALSE),R59)</f>
        <v>2.7904161219319636E-2</v>
      </c>
      <c r="S58" s="53">
        <f>IFERROR(VLOOKUP(B58,'Pre-Summary'!$BG$6:$BM$44,6,FALSE),S59)</f>
        <v>3.3978715219895171E-2</v>
      </c>
      <c r="T58" s="45" t="str">
        <f>IFERROR(VLOOKUP(B58,'Pre-Summary'!$Y$6:$AC$83, 3,FALSE),"")</f>
        <v/>
      </c>
      <c r="U58" s="45" t="str">
        <f>IFERROR(VLOOKUP(B58,'Pre-Summary'!$Y$6:$AC$83, 4,FALSE),"")</f>
        <v/>
      </c>
      <c r="V58" t="str">
        <f>IFERROR(VLOOKUP(B58,'Pre-Summary'!$Y$6:$AC$83, 5,FALSE),"")</f>
        <v/>
      </c>
      <c r="W58" s="45" t="str">
        <f>IFERROR(VLOOKUP(B58,'Pre-Summary'!$Y$6:$AD$83,6,FALSE),"")</f>
        <v/>
      </c>
      <c r="X58" t="str">
        <f>IFERROR(VLOOKUP('Pre-Summary'!$DB$6:$DD$63,3,FALSE),"")</f>
        <v/>
      </c>
      <c r="Y58" t="str">
        <f>IFERROR(VLOOKUP(B58,'Pre-Summary'!$CR$6:$CT$36,3,FALSE),"")</f>
        <v/>
      </c>
      <c r="Z58" s="45">
        <f>IFERROR(VLOOKUP(B58,'Pre-Summary'!$BZ$6:$CB$63,2,FALSE),"")</f>
        <v>36.693238617950144</v>
      </c>
      <c r="AA58" s="45">
        <f>IFERROR(VLOOKUP(B58,'Pre-Summary'!$CG$6:$CI$70,2,FALSE),"")</f>
        <v>5154.0856407314532</v>
      </c>
      <c r="AB58" s="99">
        <f>IFERROR(VLOOKUP(B58,'Pre-Summary'!$A$6:$P$178,9,FALSE),AB59)</f>
        <v>0.53921227545060579</v>
      </c>
      <c r="AC58" s="10">
        <f>IFERROR(VLOOKUP(Summary!B58,'Pre-Summary'!$A$6:$P$184,5, FALSE)/100,AC59)</f>
        <v>0.122433</v>
      </c>
      <c r="AD58" s="10">
        <f>IFERROR(VLOOKUP(Summary!B58,'Pre-Summary'!$A$6:$P$184,3, FALSE)/100,AD59)</f>
        <v>0.86166133333333339</v>
      </c>
      <c r="AE58" s="10">
        <f>IFERROR(VLOOKUP(Summary!B58,'Pre-Summary'!$A$6:$P$184,7, FALSE)/100,AE59)</f>
        <v>1.5905666666666665E-2</v>
      </c>
      <c r="AF58" s="99">
        <f t="shared" si="1"/>
        <v>0.46461836821446961</v>
      </c>
      <c r="AG58" s="99">
        <f t="shared" si="2"/>
        <v>8.5765307158921847E-3</v>
      </c>
      <c r="AH58" s="10" t="str">
        <f>IFERROR(VLOOKUP(B58,'Pre-Summary'!$AZ$6:$BE$65,3,FALSE),"")</f>
        <v/>
      </c>
      <c r="AI58" s="10" t="str">
        <f>IFERROR(VLOOKUP(B58,'Pre-Summary'!$AZ$6:$BE$65,5,FALSE),"")</f>
        <v/>
      </c>
      <c r="AJ58" s="10" t="str">
        <f>IFERROR(VLOOKUP(B58,'Pre-Summary'!$AZ$6:$BE$65,4,FALSE),"")</f>
        <v/>
      </c>
      <c r="AK58" s="10" t="str">
        <f>IFERROR(VLOOKUP(B58,'Pre-Summary'!$AZ$6:$BE$65,6,FALSE),"")</f>
        <v/>
      </c>
      <c r="AL58" s="10" t="str">
        <f>IFERROR(VLOOKUP(B58,'Pre-Summary'!$BG$6:$BL$44,3,FALSE),"")</f>
        <v/>
      </c>
      <c r="AM58" s="10" t="str">
        <f>IFERROR(VLOOKUP(B58,'Pre-Summary'!$BG$6:$BL$44,4,FALSE),"")</f>
        <v/>
      </c>
    </row>
    <row r="59" spans="2:39" ht="14.4" x14ac:dyDescent="0.3">
      <c r="B59">
        <v>5.6</v>
      </c>
      <c r="C59" t="str">
        <f>IFERROR(VLOOKUP(B59,'Pre-Summary'!$DI$6:$DM$23,4,FALSE),"")</f>
        <v/>
      </c>
      <c r="D59" s="10" t="str">
        <f>IFERROR(VLOOKUP(B59,'Pre-Summary'!$AT$6:$AX$14,5,FALSE),D58)</f>
        <v>DSMZ v1: Using DSMZ 120 without NaHCO3</v>
      </c>
      <c r="E59" s="10" t="str">
        <f>IFERROR(VLOOKUP(B59,'Pre-Summary'!$AT$6:$AX$15,4,FALSE),"")</f>
        <v/>
      </c>
      <c r="F59">
        <f>IFERROR(VLOOKUP(B59,'Pre-Summary'!$AL$6:$AQ$13,6,FALSE),F58)</f>
        <v>5.9405263157894746E-2</v>
      </c>
      <c r="G59" t="str">
        <f>IFERROR(VLOOKUP(B59,'Pre-Summary'!$AE$6:$AJ$85,3,FALSE),"")</f>
        <v/>
      </c>
      <c r="H59" t="str">
        <f>IFERROR(VLOOKUP(B59,'Pre-Summary'!$AE$6:$AJ$85,4,FALSE),"")</f>
        <v/>
      </c>
      <c r="I59" t="str">
        <f>IFERROR(VLOOKUP(B59,'Pre-Summary'!$AE$6:$AJ$85,5,FALSE),"")</f>
        <v/>
      </c>
      <c r="J59" s="45" t="str">
        <f>IFERROR(VLOOKUP(B59,'Pre-Summary'!$AE$6:$AJ$85,6, FALSE),"")</f>
        <v/>
      </c>
      <c r="K59" s="45" t="str">
        <f>IFERROR(VLOOKUP(B59,'Pre-Summary'!$DE$6:$DG$61,3,FALSE),"")</f>
        <v/>
      </c>
      <c r="L59" s="45" t="str">
        <f>IFERROR(VLOOKUP(B59,'Pre-Summary'!$CU$6:$CW$36,3,FALSE),"")</f>
        <v/>
      </c>
      <c r="M59" s="45" t="str">
        <f>IFERROR(VLOOKUP(B59,'Pre-Summary'!$BW$6:$BY$58,2,FALSE),"")</f>
        <v/>
      </c>
      <c r="N59" s="45" t="str">
        <f>IFERROR(VLOOKUP(B59,'Pre-Summary'!$CD$6:$CF$64,2,FALSE),"")</f>
        <v/>
      </c>
      <c r="O59" s="99">
        <f>IFERROR(VLOOKUP(B59,'Pre-Summary'!$BO$6:$BQ$48,3, FALSE),O58)</f>
        <v>1.0915248032216731</v>
      </c>
      <c r="P59" s="99">
        <f>IFERROR(VLOOKUP(B59,'Pre-Summary'!$BS$6:$BU$35,3,FALSE),P58)</f>
        <v>0.25</v>
      </c>
      <c r="Q59" s="54">
        <f t="shared" si="0"/>
        <v>4.3660992128866924</v>
      </c>
      <c r="R59" s="53">
        <f>IFERROR(VLOOKUP(B59,'Pre-Summary'!$BG$6:$BM$44,7,FALSE),R60)</f>
        <v>2.7904161219319636E-2</v>
      </c>
      <c r="S59" s="53">
        <f>IFERROR(VLOOKUP(B59,'Pre-Summary'!$BG$6:$BM$44,6,FALSE),S60)</f>
        <v>3.3978715219895171E-2</v>
      </c>
      <c r="T59" s="45" t="str">
        <f>IFERROR(VLOOKUP(B59,'Pre-Summary'!$Y$6:$AC$83, 3,FALSE),"")</f>
        <v/>
      </c>
      <c r="U59" s="45" t="str">
        <f>IFERROR(VLOOKUP(B59,'Pre-Summary'!$Y$6:$AC$83, 4,FALSE),"")</f>
        <v/>
      </c>
      <c r="V59" t="str">
        <f>IFERROR(VLOOKUP(B59,'Pre-Summary'!$Y$6:$AC$83, 5,FALSE),"")</f>
        <v/>
      </c>
      <c r="W59" s="45" t="str">
        <f>IFERROR(VLOOKUP(B59,'Pre-Summary'!$Y$6:$AD$83,6,FALSE),"")</f>
        <v/>
      </c>
      <c r="X59" t="str">
        <f>IFERROR(VLOOKUP('Pre-Summary'!$DB$6:$DD$63,3,FALSE),"")</f>
        <v/>
      </c>
      <c r="Y59" t="str">
        <f>IFERROR(VLOOKUP(B59,'Pre-Summary'!$CR$6:$CT$36,3,FALSE),"")</f>
        <v/>
      </c>
      <c r="Z59" s="45" t="str">
        <f>IFERROR(VLOOKUP(B59,'Pre-Summary'!$BZ$6:$CB$63,2,FALSE),"")</f>
        <v/>
      </c>
      <c r="AA59" s="45" t="str">
        <f>IFERROR(VLOOKUP(B59,'Pre-Summary'!$CG$6:$CI$70,2,FALSE),"")</f>
        <v/>
      </c>
      <c r="AB59" s="99">
        <f>IFERROR(VLOOKUP(B59,'Pre-Summary'!$A$6:$P$178,9,FALSE),AB60)</f>
        <v>0.53921227545060579</v>
      </c>
      <c r="AC59" s="10">
        <f>IFERROR(VLOOKUP(Summary!B59,'Pre-Summary'!$A$6:$P$184,5, FALSE)/100,AC60)</f>
        <v>0.122433</v>
      </c>
      <c r="AD59" s="10">
        <f>IFERROR(VLOOKUP(Summary!B59,'Pre-Summary'!$A$6:$P$184,3, FALSE)/100,AD60)</f>
        <v>0.86166133333333339</v>
      </c>
      <c r="AE59" s="10">
        <f>IFERROR(VLOOKUP(Summary!B59,'Pre-Summary'!$A$6:$P$184,7, FALSE)/100,AE60)</f>
        <v>1.5905666666666665E-2</v>
      </c>
      <c r="AF59" s="99">
        <f t="shared" si="1"/>
        <v>0.46461836821446961</v>
      </c>
      <c r="AG59" s="99">
        <f t="shared" si="2"/>
        <v>8.5765307158921847E-3</v>
      </c>
      <c r="AH59" s="10" t="str">
        <f>IFERROR(VLOOKUP(B59,'Pre-Summary'!$AZ$6:$BE$65,3,FALSE),"")</f>
        <v/>
      </c>
      <c r="AI59" s="10" t="str">
        <f>IFERROR(VLOOKUP(B59,'Pre-Summary'!$AZ$6:$BE$65,5,FALSE),"")</f>
        <v/>
      </c>
      <c r="AJ59" s="10" t="str">
        <f>IFERROR(VLOOKUP(B59,'Pre-Summary'!$AZ$6:$BE$65,4,FALSE),"")</f>
        <v/>
      </c>
      <c r="AK59" s="10" t="str">
        <f>IFERROR(VLOOKUP(B59,'Pre-Summary'!$AZ$6:$BE$65,6,FALSE),"")</f>
        <v/>
      </c>
      <c r="AL59" s="10" t="str">
        <f>IFERROR(VLOOKUP(B59,'Pre-Summary'!$BG$6:$BL$44,3,FALSE),"")</f>
        <v/>
      </c>
      <c r="AM59" s="10" t="str">
        <f>IFERROR(VLOOKUP(B59,'Pre-Summary'!$BG$6:$BL$44,4,FALSE),"")</f>
        <v/>
      </c>
    </row>
    <row r="60" spans="2:39" ht="14.4" x14ac:dyDescent="0.3">
      <c r="B60">
        <v>5.7</v>
      </c>
      <c r="C60" t="str">
        <f>IFERROR(VLOOKUP(B60,'Pre-Summary'!$DI$6:$DM$23,4,FALSE),"")</f>
        <v/>
      </c>
      <c r="D60" s="10" t="str">
        <f>IFERROR(VLOOKUP(B60,'Pre-Summary'!$AT$6:$AX$14,5,FALSE),D59)</f>
        <v>DSMZ v1: Using DSMZ 120 without NaHCO3</v>
      </c>
      <c r="E60" s="10" t="str">
        <f>IFERROR(VLOOKUP(B60,'Pre-Summary'!$AT$6:$AX$15,4,FALSE),"")</f>
        <v/>
      </c>
      <c r="F60">
        <f>IFERROR(VLOOKUP(B60,'Pre-Summary'!$AL$6:$AQ$13,6,FALSE),F59)</f>
        <v>5.9405263157894746E-2</v>
      </c>
      <c r="G60" t="str">
        <f>IFERROR(VLOOKUP(B60,'Pre-Summary'!$AE$6:$AJ$85,3,FALSE),"")</f>
        <v/>
      </c>
      <c r="H60" t="str">
        <f>IFERROR(VLOOKUP(B60,'Pre-Summary'!$AE$6:$AJ$85,4,FALSE),"")</f>
        <v/>
      </c>
      <c r="I60" t="str">
        <f>IFERROR(VLOOKUP(B60,'Pre-Summary'!$AE$6:$AJ$85,5,FALSE),"")</f>
        <v/>
      </c>
      <c r="J60" s="45" t="str">
        <f>IFERROR(VLOOKUP(B60,'Pre-Summary'!$AE$6:$AJ$85,6, FALSE),"")</f>
        <v/>
      </c>
      <c r="K60" s="45" t="str">
        <f>IFERROR(VLOOKUP(B60,'Pre-Summary'!$DE$6:$DG$61,3,FALSE),"")</f>
        <v/>
      </c>
      <c r="L60" s="45" t="str">
        <f>IFERROR(VLOOKUP(B60,'Pre-Summary'!$CU$6:$CW$36,3,FALSE),"")</f>
        <v/>
      </c>
      <c r="M60" s="45" t="str">
        <f>IFERROR(VLOOKUP(B60,'Pre-Summary'!$BW$6:$BY$58,2,FALSE),"")</f>
        <v/>
      </c>
      <c r="N60" s="45" t="str">
        <f>IFERROR(VLOOKUP(B60,'Pre-Summary'!$CD$6:$CF$64,2,FALSE),"")</f>
        <v/>
      </c>
      <c r="O60" s="99">
        <f>IFERROR(VLOOKUP(B60,'Pre-Summary'!$BO$6:$BQ$48,3, FALSE),O59)</f>
        <v>1.0915248032216731</v>
      </c>
      <c r="P60" s="99">
        <f>IFERROR(VLOOKUP(B60,'Pre-Summary'!$BS$6:$BU$35,3,FALSE),P59)</f>
        <v>0.25</v>
      </c>
      <c r="Q60" s="54">
        <f t="shared" si="0"/>
        <v>4.3660992128866924</v>
      </c>
      <c r="R60" s="53">
        <f>IFERROR(VLOOKUP(B60,'Pre-Summary'!$BG$6:$BM$44,7,FALSE),R61)</f>
        <v>2.7904161219319636E-2</v>
      </c>
      <c r="S60" s="53">
        <f>IFERROR(VLOOKUP(B60,'Pre-Summary'!$BG$6:$BM$44,6,FALSE),S61)</f>
        <v>3.3978715219895171E-2</v>
      </c>
      <c r="T60" s="45" t="str">
        <f>IFERROR(VLOOKUP(B60,'Pre-Summary'!$Y$6:$AC$83, 3,FALSE),"")</f>
        <v/>
      </c>
      <c r="U60" s="45" t="str">
        <f>IFERROR(VLOOKUP(B60,'Pre-Summary'!$Y$6:$AC$83, 4,FALSE),"")</f>
        <v/>
      </c>
      <c r="V60" t="str">
        <f>IFERROR(VLOOKUP(B60,'Pre-Summary'!$Y$6:$AC$83, 5,FALSE),"")</f>
        <v/>
      </c>
      <c r="W60" s="45" t="str">
        <f>IFERROR(VLOOKUP(B60,'Pre-Summary'!$Y$6:$AD$83,6,FALSE),"")</f>
        <v/>
      </c>
      <c r="X60" t="str">
        <f>IFERROR(VLOOKUP('Pre-Summary'!$DB$6:$DD$63,3,FALSE),"")</f>
        <v/>
      </c>
      <c r="Y60" t="str">
        <f>IFERROR(VLOOKUP(B60,'Pre-Summary'!$CR$6:$CT$36,3,FALSE),"")</f>
        <v/>
      </c>
      <c r="Z60" s="45" t="str">
        <f>IFERROR(VLOOKUP(B60,'Pre-Summary'!$BZ$6:$CB$63,2,FALSE),"")</f>
        <v/>
      </c>
      <c r="AA60" s="45" t="str">
        <f>IFERROR(VLOOKUP(B60,'Pre-Summary'!$CG$6:$CI$70,2,FALSE),"")</f>
        <v/>
      </c>
      <c r="AB60" s="99">
        <f>IFERROR(VLOOKUP(B60,'Pre-Summary'!$A$6:$P$178,9,FALSE),AB61)</f>
        <v>0.53921227545060579</v>
      </c>
      <c r="AC60" s="10">
        <f>IFERROR(VLOOKUP(Summary!B60,'Pre-Summary'!$A$6:$P$184,5, FALSE)/100,AC61)</f>
        <v>0.122433</v>
      </c>
      <c r="AD60" s="10">
        <f>IFERROR(VLOOKUP(Summary!B60,'Pre-Summary'!$A$6:$P$184,3, FALSE)/100,AD61)</f>
        <v>0.86166133333333339</v>
      </c>
      <c r="AE60" s="10">
        <f>IFERROR(VLOOKUP(Summary!B60,'Pre-Summary'!$A$6:$P$184,7, FALSE)/100,AE61)</f>
        <v>1.5905666666666665E-2</v>
      </c>
      <c r="AF60" s="99">
        <f t="shared" si="1"/>
        <v>0.46461836821446961</v>
      </c>
      <c r="AG60" s="99">
        <f t="shared" si="2"/>
        <v>8.5765307158921847E-3</v>
      </c>
      <c r="AH60" s="10" t="str">
        <f>IFERROR(VLOOKUP(B60,'Pre-Summary'!$AZ$6:$BE$65,3,FALSE),"")</f>
        <v/>
      </c>
      <c r="AI60" s="10" t="str">
        <f>IFERROR(VLOOKUP(B60,'Pre-Summary'!$AZ$6:$BE$65,5,FALSE),"")</f>
        <v/>
      </c>
      <c r="AJ60" s="10" t="str">
        <f>IFERROR(VLOOKUP(B60,'Pre-Summary'!$AZ$6:$BE$65,4,FALSE),"")</f>
        <v/>
      </c>
      <c r="AK60" s="10" t="str">
        <f>IFERROR(VLOOKUP(B60,'Pre-Summary'!$AZ$6:$BE$65,6,FALSE),"")</f>
        <v/>
      </c>
      <c r="AL60" s="10" t="str">
        <f>IFERROR(VLOOKUP(B60,'Pre-Summary'!$BG$6:$BL$44,3,FALSE),"")</f>
        <v/>
      </c>
      <c r="AM60" s="10" t="str">
        <f>IFERROR(VLOOKUP(B60,'Pre-Summary'!$BG$6:$BL$44,4,FALSE),"")</f>
        <v/>
      </c>
    </row>
    <row r="61" spans="2:39" ht="14.4" x14ac:dyDescent="0.3">
      <c r="B61">
        <v>5.8</v>
      </c>
      <c r="C61" t="str">
        <f>IFERROR(VLOOKUP(B61,'Pre-Summary'!$DI$6:$DM$23,4,FALSE),"")</f>
        <v/>
      </c>
      <c r="D61" s="10" t="str">
        <f>IFERROR(VLOOKUP(B61,'Pre-Summary'!$AT$6:$AX$14,5,FALSE),D60)</f>
        <v>DSMZ v1: Using DSMZ 120 without NaHCO3</v>
      </c>
      <c r="E61" s="10" t="str">
        <f>IFERROR(VLOOKUP(B61,'Pre-Summary'!$AT$6:$AX$15,4,FALSE),"")</f>
        <v/>
      </c>
      <c r="F61">
        <f>IFERROR(VLOOKUP(B61,'Pre-Summary'!$AL$6:$AQ$13,6,FALSE),F60)</f>
        <v>5.9405263157894746E-2</v>
      </c>
      <c r="G61" t="str">
        <f>IFERROR(VLOOKUP(B61,'Pre-Summary'!$AE$6:$AJ$85,3,FALSE),"")</f>
        <v/>
      </c>
      <c r="H61" t="str">
        <f>IFERROR(VLOOKUP(B61,'Pre-Summary'!$AE$6:$AJ$85,4,FALSE),"")</f>
        <v/>
      </c>
      <c r="I61" t="str">
        <f>IFERROR(VLOOKUP(B61,'Pre-Summary'!$AE$6:$AJ$85,5,FALSE),"")</f>
        <v/>
      </c>
      <c r="J61" s="45" t="str">
        <f>IFERROR(VLOOKUP(B61,'Pre-Summary'!$AE$6:$AJ$85,6, FALSE),"")</f>
        <v/>
      </c>
      <c r="K61" s="45" t="str">
        <f>IFERROR(VLOOKUP(B61,'Pre-Summary'!$DE$6:$DG$61,3,FALSE),"")</f>
        <v/>
      </c>
      <c r="L61" s="45" t="str">
        <f>IFERROR(VLOOKUP(B61,'Pre-Summary'!$CU$6:$CW$36,3,FALSE),"")</f>
        <v/>
      </c>
      <c r="M61" s="45" t="str">
        <f>IFERROR(VLOOKUP(B61,'Pre-Summary'!$BW$6:$BY$58,2,FALSE),"")</f>
        <v/>
      </c>
      <c r="N61" s="45" t="str">
        <f>IFERROR(VLOOKUP(B61,'Pre-Summary'!$CD$6:$CF$64,2,FALSE),"")</f>
        <v/>
      </c>
      <c r="O61" s="99">
        <f>IFERROR(VLOOKUP(B61,'Pre-Summary'!$BO$6:$BQ$48,3, FALSE),O60)</f>
        <v>1.0915248032216731</v>
      </c>
      <c r="P61" s="99">
        <f>IFERROR(VLOOKUP(B61,'Pre-Summary'!$BS$6:$BU$35,3,FALSE),P60)</f>
        <v>0.25</v>
      </c>
      <c r="Q61" s="54">
        <f t="shared" si="0"/>
        <v>4.3660992128866924</v>
      </c>
      <c r="R61" s="53">
        <f>IFERROR(VLOOKUP(B61,'Pre-Summary'!$BG$6:$BM$44,7,FALSE),R62)</f>
        <v>2.7904161219319636E-2</v>
      </c>
      <c r="S61" s="53">
        <f>IFERROR(VLOOKUP(B61,'Pre-Summary'!$BG$6:$BM$44,6,FALSE),S62)</f>
        <v>3.3978715219895171E-2</v>
      </c>
      <c r="T61" s="45" t="str">
        <f>IFERROR(VLOOKUP(B61,'Pre-Summary'!$Y$6:$AC$83, 3,FALSE),"")</f>
        <v/>
      </c>
      <c r="U61" s="45" t="str">
        <f>IFERROR(VLOOKUP(B61,'Pre-Summary'!$Y$6:$AC$83, 4,FALSE),"")</f>
        <v/>
      </c>
      <c r="V61" t="str">
        <f>IFERROR(VLOOKUP(B61,'Pre-Summary'!$Y$6:$AC$83, 5,FALSE),"")</f>
        <v/>
      </c>
      <c r="W61" s="45" t="str">
        <f>IFERROR(VLOOKUP(B61,'Pre-Summary'!$Y$6:$AD$83,6,FALSE),"")</f>
        <v/>
      </c>
      <c r="X61" t="str">
        <f>IFERROR(VLOOKUP('Pre-Summary'!$DB$6:$DD$63,3,FALSE),"")</f>
        <v/>
      </c>
      <c r="Y61" t="str">
        <f>IFERROR(VLOOKUP(B61,'Pre-Summary'!$CR$6:$CT$36,3,FALSE),"")</f>
        <v/>
      </c>
      <c r="Z61" s="45" t="str">
        <f>IFERROR(VLOOKUP(B61,'Pre-Summary'!$BZ$6:$CB$63,2,FALSE),"")</f>
        <v/>
      </c>
      <c r="AA61" s="45" t="str">
        <f>IFERROR(VLOOKUP(B61,'Pre-Summary'!$CG$6:$CI$70,2,FALSE),"")</f>
        <v/>
      </c>
      <c r="AB61" s="99">
        <f>IFERROR(VLOOKUP(B61,'Pre-Summary'!$A$6:$P$178,9,FALSE),AB62)</f>
        <v>0.53921227545060579</v>
      </c>
      <c r="AC61" s="10">
        <f>IFERROR(VLOOKUP(Summary!B61,'Pre-Summary'!$A$6:$P$184,5, FALSE)/100,AC62)</f>
        <v>0.122433</v>
      </c>
      <c r="AD61" s="10">
        <f>IFERROR(VLOOKUP(Summary!B61,'Pre-Summary'!$A$6:$P$184,3, FALSE)/100,AD62)</f>
        <v>0.86166133333333339</v>
      </c>
      <c r="AE61" s="10">
        <f>IFERROR(VLOOKUP(Summary!B61,'Pre-Summary'!$A$6:$P$184,7, FALSE)/100,AE62)</f>
        <v>1.5905666666666665E-2</v>
      </c>
      <c r="AF61" s="99">
        <f t="shared" si="1"/>
        <v>0.46461836821446961</v>
      </c>
      <c r="AG61" s="99">
        <f t="shared" si="2"/>
        <v>8.5765307158921847E-3</v>
      </c>
      <c r="AH61" s="10" t="str">
        <f>IFERROR(VLOOKUP(B61,'Pre-Summary'!$AZ$6:$BE$65,3,FALSE),"")</f>
        <v/>
      </c>
      <c r="AI61" s="10" t="str">
        <f>IFERROR(VLOOKUP(B61,'Pre-Summary'!$AZ$6:$BE$65,5,FALSE),"")</f>
        <v/>
      </c>
      <c r="AJ61" s="10" t="str">
        <f>IFERROR(VLOOKUP(B61,'Pre-Summary'!$AZ$6:$BE$65,4,FALSE),"")</f>
        <v/>
      </c>
      <c r="AK61" s="10" t="str">
        <f>IFERROR(VLOOKUP(B61,'Pre-Summary'!$AZ$6:$BE$65,6,FALSE),"")</f>
        <v/>
      </c>
      <c r="AL61" s="10" t="str">
        <f>IFERROR(VLOOKUP(B61,'Pre-Summary'!$BG$6:$BL$44,3,FALSE),"")</f>
        <v/>
      </c>
      <c r="AM61" s="10" t="str">
        <f>IFERROR(VLOOKUP(B61,'Pre-Summary'!$BG$6:$BL$44,4,FALSE),"")</f>
        <v/>
      </c>
    </row>
    <row r="62" spans="2:39" ht="14.4" x14ac:dyDescent="0.3">
      <c r="B62">
        <v>5.9</v>
      </c>
      <c r="C62" t="str">
        <f>IFERROR(VLOOKUP(B62,'Pre-Summary'!$DI$6:$DM$23,4,FALSE),"")</f>
        <v/>
      </c>
      <c r="D62" s="10" t="str">
        <f>IFERROR(VLOOKUP(B62,'Pre-Summary'!$AT$6:$AX$14,5,FALSE),D61)</f>
        <v>DSMZ v1: Using DSMZ 120 without NaHCO3</v>
      </c>
      <c r="E62" s="10" t="str">
        <f>IFERROR(VLOOKUP(B62,'Pre-Summary'!$AT$6:$AX$15,4,FALSE),"")</f>
        <v/>
      </c>
      <c r="F62">
        <f>IFERROR(VLOOKUP(B62,'Pre-Summary'!$AL$6:$AQ$13,6,FALSE),F61)</f>
        <v>5.9405263157894746E-2</v>
      </c>
      <c r="G62">
        <f>IFERROR(VLOOKUP(B62,'Pre-Summary'!$AE$6:$AJ$85,3,FALSE),"")</f>
        <v>889.30000000000007</v>
      </c>
      <c r="H62">
        <f>IFERROR(VLOOKUP(B62,'Pre-Summary'!$AE$6:$AJ$85,4,FALSE),"")</f>
        <v>180.73000000000002</v>
      </c>
      <c r="I62">
        <f>IFERROR(VLOOKUP(B62,'Pre-Summary'!$AE$6:$AJ$85,5,FALSE),"")</f>
        <v>0</v>
      </c>
      <c r="J62" s="45">
        <f>IFERROR(VLOOKUP(B62,'Pre-Summary'!$AE$6:$AJ$85,6, FALSE),"")</f>
        <v>1222.5083199999999</v>
      </c>
      <c r="K62" s="45" t="str">
        <f>IFERROR(VLOOKUP(B62,'Pre-Summary'!$DE$6:$DG$61,3,FALSE),"")</f>
        <v/>
      </c>
      <c r="L62" s="45" t="str">
        <f>IFERROR(VLOOKUP(B62,'Pre-Summary'!$CU$6:$CW$36,3,FALSE),"")</f>
        <v/>
      </c>
      <c r="M62" s="45" t="str">
        <f>IFERROR(VLOOKUP(B62,'Pre-Summary'!$BW$6:$BY$58,2,FALSE),"")</f>
        <v/>
      </c>
      <c r="N62" s="45" t="str">
        <f>IFERROR(VLOOKUP(B62,'Pre-Summary'!$CD$6:$CF$64,2,FALSE),"")</f>
        <v/>
      </c>
      <c r="O62" s="99">
        <f>IFERROR(VLOOKUP(B62,'Pre-Summary'!$BO$6:$BQ$48,3, FALSE),O61)</f>
        <v>1.0915248032216731</v>
      </c>
      <c r="P62" s="99">
        <f>IFERROR(VLOOKUP(B62,'Pre-Summary'!$BS$6:$BU$35,3,FALSE),P61)</f>
        <v>0.25</v>
      </c>
      <c r="Q62" s="54">
        <f t="shared" si="0"/>
        <v>4.3660992128866924</v>
      </c>
      <c r="R62" s="53">
        <f>IFERROR(VLOOKUP(B62,'Pre-Summary'!$BG$6:$BM$44,7,FALSE),R63)</f>
        <v>2.7904161219319636E-2</v>
      </c>
      <c r="S62" s="53">
        <f>IFERROR(VLOOKUP(B62,'Pre-Summary'!$BG$6:$BM$44,6,FALSE),S63)</f>
        <v>3.3978715219895171E-2</v>
      </c>
      <c r="T62" s="45">
        <f>IFERROR(VLOOKUP(B62,'Pre-Summary'!$Y$6:$AC$83, 3,FALSE),"")</f>
        <v>940.13333333333321</v>
      </c>
      <c r="U62" s="45">
        <f>IFERROR(VLOOKUP(B62,'Pre-Summary'!$Y$6:$AC$83, 4,FALSE),"")</f>
        <v>106.23666666666666</v>
      </c>
      <c r="V62">
        <f>IFERROR(VLOOKUP(B62,'Pre-Summary'!$Y$6:$AC$83, 5,FALSE),"")</f>
        <v>0</v>
      </c>
      <c r="W62" s="45">
        <f>IFERROR(VLOOKUP(B62,'Pre-Summary'!$Y$6:$AD$83,6,FALSE),"")</f>
        <v>1163.9645799999998</v>
      </c>
      <c r="X62" t="str">
        <f>IFERROR(VLOOKUP('Pre-Summary'!$DB$6:$DD$63,3,FALSE),"")</f>
        <v/>
      </c>
      <c r="Y62" t="str">
        <f>IFERROR(VLOOKUP(B62,'Pre-Summary'!$CR$6:$CT$36,3,FALSE),"")</f>
        <v/>
      </c>
      <c r="Z62" s="45" t="str">
        <f>IFERROR(VLOOKUP(B62,'Pre-Summary'!$BZ$6:$CB$63,2,FALSE),"")</f>
        <v/>
      </c>
      <c r="AA62" s="45" t="str">
        <f>IFERROR(VLOOKUP(B62,'Pre-Summary'!$CG$6:$CI$70,2,FALSE),"")</f>
        <v/>
      </c>
      <c r="AB62" s="99">
        <f>IFERROR(VLOOKUP(B62,'Pre-Summary'!$A$6:$P$178,9,FALSE),AB63)</f>
        <v>0.53921227545060579</v>
      </c>
      <c r="AC62" s="10">
        <f>IFERROR(VLOOKUP(Summary!B62,'Pre-Summary'!$A$6:$P$184,5, FALSE)/100,AC63)</f>
        <v>0.122433</v>
      </c>
      <c r="AD62" s="10">
        <f>IFERROR(VLOOKUP(Summary!B62,'Pre-Summary'!$A$6:$P$184,3, FALSE)/100,AD63)</f>
        <v>0.86166133333333339</v>
      </c>
      <c r="AE62" s="10">
        <f>IFERROR(VLOOKUP(Summary!B62,'Pre-Summary'!$A$6:$P$184,7, FALSE)/100,AE63)</f>
        <v>1.5905666666666665E-2</v>
      </c>
      <c r="AF62" s="99">
        <f t="shared" si="1"/>
        <v>0.46461836821446961</v>
      </c>
      <c r="AG62" s="99">
        <f t="shared" si="2"/>
        <v>8.5765307158921847E-3</v>
      </c>
      <c r="AH62" s="10" t="str">
        <f>IFERROR(VLOOKUP(B62,'Pre-Summary'!$AZ$6:$BE$65,3,FALSE),"")</f>
        <v/>
      </c>
      <c r="AI62" s="10" t="str">
        <f>IFERROR(VLOOKUP(B62,'Pre-Summary'!$AZ$6:$BE$65,5,FALSE),"")</f>
        <v/>
      </c>
      <c r="AJ62" s="10" t="str">
        <f>IFERROR(VLOOKUP(B62,'Pre-Summary'!$AZ$6:$BE$65,4,FALSE),"")</f>
        <v/>
      </c>
      <c r="AK62" s="10" t="str">
        <f>IFERROR(VLOOKUP(B62,'Pre-Summary'!$AZ$6:$BE$65,6,FALSE),"")</f>
        <v/>
      </c>
      <c r="AL62" s="10" t="str">
        <f>IFERROR(VLOOKUP(B62,'Pre-Summary'!$BG$6:$BL$44,3,FALSE),"")</f>
        <v/>
      </c>
      <c r="AM62" s="10" t="str">
        <f>IFERROR(VLOOKUP(B62,'Pre-Summary'!$BG$6:$BL$44,4,FALSE),"")</f>
        <v/>
      </c>
    </row>
    <row r="63" spans="2:39" ht="14.4" x14ac:dyDescent="0.3">
      <c r="B63">
        <v>6</v>
      </c>
      <c r="C63" t="str">
        <f>IFERROR(VLOOKUP(B63,'Pre-Summary'!$DI$6:$DM$23,4,FALSE),"")</f>
        <v/>
      </c>
      <c r="D63" s="10" t="str">
        <f>IFERROR(VLOOKUP(B63,'Pre-Summary'!$AT$6:$AX$14,5,FALSE),D62)</f>
        <v>DSMZ v1: Using DSMZ 120 without NaHCO3</v>
      </c>
      <c r="E63" s="10" t="str">
        <f>IFERROR(VLOOKUP(B63,'Pre-Summary'!$AT$6:$AX$15,4,FALSE),"")</f>
        <v/>
      </c>
      <c r="F63">
        <f>IFERROR(VLOOKUP(B63,'Pre-Summary'!$AL$6:$AQ$13,6,FALSE),F62)</f>
        <v>5.9405263157894746E-2</v>
      </c>
      <c r="G63" t="str">
        <f>IFERROR(VLOOKUP(B63,'Pre-Summary'!$AE$6:$AJ$85,3,FALSE),"")</f>
        <v/>
      </c>
      <c r="H63" t="str">
        <f>IFERROR(VLOOKUP(B63,'Pre-Summary'!$AE$6:$AJ$85,4,FALSE),"")</f>
        <v/>
      </c>
      <c r="I63" t="str">
        <f>IFERROR(VLOOKUP(B63,'Pre-Summary'!$AE$6:$AJ$85,5,FALSE),"")</f>
        <v/>
      </c>
      <c r="J63" s="45" t="str">
        <f>IFERROR(VLOOKUP(B63,'Pre-Summary'!$AE$6:$AJ$85,6, FALSE),"")</f>
        <v/>
      </c>
      <c r="K63" s="45" t="str">
        <f>IFERROR(VLOOKUP(B63,'Pre-Summary'!$DE$6:$DG$61,3,FALSE),"")</f>
        <v/>
      </c>
      <c r="L63" s="45" t="str">
        <f>IFERROR(VLOOKUP(B63,'Pre-Summary'!$CU$6:$CW$36,3,FALSE),"")</f>
        <v/>
      </c>
      <c r="M63" s="45" t="str">
        <f>IFERROR(VLOOKUP(B63,'Pre-Summary'!$BW$6:$BY$58,2,FALSE),"")</f>
        <v/>
      </c>
      <c r="N63" s="45" t="str">
        <f>IFERROR(VLOOKUP(B63,'Pre-Summary'!$CD$6:$CF$64,2,FALSE),"")</f>
        <v/>
      </c>
      <c r="O63" s="99">
        <f>IFERROR(VLOOKUP(B63,'Pre-Summary'!$BO$6:$BQ$48,3, FALSE),O62)</f>
        <v>1.0915248032216731</v>
      </c>
      <c r="P63" s="99">
        <f>IFERROR(VLOOKUP(B63,'Pre-Summary'!$BS$6:$BU$35,3,FALSE),P62)</f>
        <v>0.25</v>
      </c>
      <c r="Q63" s="54">
        <f t="shared" si="0"/>
        <v>4.3660992128866924</v>
      </c>
      <c r="R63" s="53">
        <f>IFERROR(VLOOKUP(B63,'Pre-Summary'!$BG$6:$BM$44,7,FALSE),R64)</f>
        <v>2.7904161219319636E-2</v>
      </c>
      <c r="S63" s="53">
        <f>IFERROR(VLOOKUP(B63,'Pre-Summary'!$BG$6:$BM$44,6,FALSE),S64)</f>
        <v>3.3978715219895171E-2</v>
      </c>
      <c r="T63" s="45" t="str">
        <f>IFERROR(VLOOKUP(B63,'Pre-Summary'!$Y$6:$AC$83, 3,FALSE),"")</f>
        <v/>
      </c>
      <c r="U63" s="45" t="str">
        <f>IFERROR(VLOOKUP(B63,'Pre-Summary'!$Y$6:$AC$83, 4,FALSE),"")</f>
        <v/>
      </c>
      <c r="V63" t="str">
        <f>IFERROR(VLOOKUP(B63,'Pre-Summary'!$Y$6:$AC$83, 5,FALSE),"")</f>
        <v/>
      </c>
      <c r="W63" s="45" t="str">
        <f>IFERROR(VLOOKUP(B63,'Pre-Summary'!$Y$6:$AD$83,6,FALSE),"")</f>
        <v/>
      </c>
      <c r="X63" t="str">
        <f>IFERROR(VLOOKUP('Pre-Summary'!$DB$6:$DD$63,3,FALSE),"")</f>
        <v/>
      </c>
      <c r="Y63" t="str">
        <f>IFERROR(VLOOKUP(B63,'Pre-Summary'!$CR$6:$CT$36,3,FALSE),"")</f>
        <v/>
      </c>
      <c r="Z63" s="45" t="str">
        <f>IFERROR(VLOOKUP(B63,'Pre-Summary'!$BZ$6:$CB$63,2,FALSE),"")</f>
        <v/>
      </c>
      <c r="AA63" s="45" t="str">
        <f>IFERROR(VLOOKUP(B63,'Pre-Summary'!$CG$6:$CI$70,2,FALSE),"")</f>
        <v/>
      </c>
      <c r="AB63" s="99">
        <f>IFERROR(VLOOKUP(B63,'Pre-Summary'!$A$6:$P$178,9,FALSE),AB64)</f>
        <v>0.53921227545060579</v>
      </c>
      <c r="AC63" s="10">
        <f>IFERROR(VLOOKUP(Summary!B63,'Pre-Summary'!$A$6:$P$184,5, FALSE)/100,AC64)</f>
        <v>0.122433</v>
      </c>
      <c r="AD63" s="10">
        <f>IFERROR(VLOOKUP(Summary!B63,'Pre-Summary'!$A$6:$P$184,3, FALSE)/100,AD64)</f>
        <v>0.86166133333333339</v>
      </c>
      <c r="AE63" s="10">
        <f>IFERROR(VLOOKUP(Summary!B63,'Pre-Summary'!$A$6:$P$184,7, FALSE)/100,AE64)</f>
        <v>1.5905666666666665E-2</v>
      </c>
      <c r="AF63" s="99">
        <f t="shared" si="1"/>
        <v>0.46461836821446961</v>
      </c>
      <c r="AG63" s="99">
        <f t="shared" si="2"/>
        <v>8.5765307158921847E-3</v>
      </c>
      <c r="AH63" s="10" t="str">
        <f>IFERROR(VLOOKUP(B63,'Pre-Summary'!$AZ$6:$BE$65,3,FALSE),"")</f>
        <v/>
      </c>
      <c r="AI63" s="10" t="str">
        <f>IFERROR(VLOOKUP(B63,'Pre-Summary'!$AZ$6:$BE$65,5,FALSE),"")</f>
        <v/>
      </c>
      <c r="AJ63" s="10" t="str">
        <f>IFERROR(VLOOKUP(B63,'Pre-Summary'!$AZ$6:$BE$65,4,FALSE),"")</f>
        <v/>
      </c>
      <c r="AK63" s="10" t="str">
        <f>IFERROR(VLOOKUP(B63,'Pre-Summary'!$AZ$6:$BE$65,6,FALSE),"")</f>
        <v/>
      </c>
      <c r="AL63" s="10" t="str">
        <f>IFERROR(VLOOKUP(B63,'Pre-Summary'!$BG$6:$BL$44,3,FALSE),"")</f>
        <v/>
      </c>
      <c r="AM63" s="10" t="str">
        <f>IFERROR(VLOOKUP(B63,'Pre-Summary'!$BG$6:$BL$44,4,FALSE),"")</f>
        <v/>
      </c>
    </row>
    <row r="64" spans="2:39" ht="14.4" x14ac:dyDescent="0.3">
      <c r="B64">
        <v>6.1</v>
      </c>
      <c r="C64" t="str">
        <f>IFERROR(VLOOKUP(B64,'Pre-Summary'!$DI$6:$DM$23,4,FALSE),"")</f>
        <v/>
      </c>
      <c r="D64" s="10" t="str">
        <f>IFERROR(VLOOKUP(B64,'Pre-Summary'!$AT$6:$AX$14,5,FALSE),D63)</f>
        <v>DSMZ v1: Using DSMZ 120 without NaHCO3</v>
      </c>
      <c r="E64" s="10" t="str">
        <f>IFERROR(VLOOKUP(B64,'Pre-Summary'!$AT$6:$AX$15,4,FALSE),"")</f>
        <v/>
      </c>
      <c r="F64">
        <f>IFERROR(VLOOKUP(B64,'Pre-Summary'!$AL$6:$AQ$13,6,FALSE),F63)</f>
        <v>5.9405263157894746E-2</v>
      </c>
      <c r="G64" t="str">
        <f>IFERROR(VLOOKUP(B64,'Pre-Summary'!$AE$6:$AJ$85,3,FALSE),"")</f>
        <v/>
      </c>
      <c r="H64" t="str">
        <f>IFERROR(VLOOKUP(B64,'Pre-Summary'!$AE$6:$AJ$85,4,FALSE),"")</f>
        <v/>
      </c>
      <c r="I64" t="str">
        <f>IFERROR(VLOOKUP(B64,'Pre-Summary'!$AE$6:$AJ$85,5,FALSE),"")</f>
        <v/>
      </c>
      <c r="J64" s="45" t="str">
        <f>IFERROR(VLOOKUP(B64,'Pre-Summary'!$AE$6:$AJ$85,6, FALSE),"")</f>
        <v/>
      </c>
      <c r="K64" s="45" t="str">
        <f>IFERROR(VLOOKUP(B64,'Pre-Summary'!$DE$6:$DG$61,3,FALSE),"")</f>
        <v/>
      </c>
      <c r="L64" s="45" t="str">
        <f>IFERROR(VLOOKUP(B64,'Pre-Summary'!$CU$6:$CW$36,3,FALSE),"")</f>
        <v/>
      </c>
      <c r="M64" s="45" t="str">
        <f>IFERROR(VLOOKUP(B64,'Pre-Summary'!$BW$6:$BY$58,2,FALSE),"")</f>
        <v/>
      </c>
      <c r="N64" s="45" t="str">
        <f>IFERROR(VLOOKUP(B64,'Pre-Summary'!$CD$6:$CF$64,2,FALSE),"")</f>
        <v/>
      </c>
      <c r="O64" s="99">
        <f>IFERROR(VLOOKUP(B64,'Pre-Summary'!$BO$6:$BQ$48,3, FALSE),O63)</f>
        <v>1.0915248032216731</v>
      </c>
      <c r="P64" s="99">
        <f>IFERROR(VLOOKUP(B64,'Pre-Summary'!$BS$6:$BU$35,3,FALSE),P63)</f>
        <v>0.25</v>
      </c>
      <c r="Q64" s="54">
        <f t="shared" si="0"/>
        <v>4.3660992128866924</v>
      </c>
      <c r="R64" s="53">
        <f>IFERROR(VLOOKUP(B64,'Pre-Summary'!$BG$6:$BM$44,7,FALSE),R65)</f>
        <v>2.7904161219319636E-2</v>
      </c>
      <c r="S64" s="53">
        <f>IFERROR(VLOOKUP(B64,'Pre-Summary'!$BG$6:$BM$44,6,FALSE),S65)</f>
        <v>3.3978715219895171E-2</v>
      </c>
      <c r="T64" s="45" t="str">
        <f>IFERROR(VLOOKUP(B64,'Pre-Summary'!$Y$6:$AC$83, 3,FALSE),"")</f>
        <v/>
      </c>
      <c r="U64" s="45" t="str">
        <f>IFERROR(VLOOKUP(B64,'Pre-Summary'!$Y$6:$AC$83, 4,FALSE),"")</f>
        <v/>
      </c>
      <c r="V64" t="str">
        <f>IFERROR(VLOOKUP(B64,'Pre-Summary'!$Y$6:$AC$83, 5,FALSE),"")</f>
        <v/>
      </c>
      <c r="W64" s="45" t="str">
        <f>IFERROR(VLOOKUP(B64,'Pre-Summary'!$Y$6:$AD$83,6,FALSE),"")</f>
        <v/>
      </c>
      <c r="X64" t="str">
        <f>IFERROR(VLOOKUP('Pre-Summary'!$DB$6:$DD$63,3,FALSE),"")</f>
        <v/>
      </c>
      <c r="Y64" t="str">
        <f>IFERROR(VLOOKUP(B64,'Pre-Summary'!$CR$6:$CT$36,3,FALSE),"")</f>
        <v/>
      </c>
      <c r="Z64" s="45" t="str">
        <f>IFERROR(VLOOKUP(B64,'Pre-Summary'!$BZ$6:$CB$63,2,FALSE),"")</f>
        <v/>
      </c>
      <c r="AA64" s="45" t="str">
        <f>IFERROR(VLOOKUP(B64,'Pre-Summary'!$CG$6:$CI$70,2,FALSE),"")</f>
        <v/>
      </c>
      <c r="AB64" s="99">
        <f>IFERROR(VLOOKUP(B64,'Pre-Summary'!$A$6:$P$178,9,FALSE),AB65)</f>
        <v>0.53921227545060579</v>
      </c>
      <c r="AC64" s="10">
        <f>IFERROR(VLOOKUP(Summary!B64,'Pre-Summary'!$A$6:$P$184,5, FALSE)/100,AC65)</f>
        <v>0.122433</v>
      </c>
      <c r="AD64" s="10">
        <f>IFERROR(VLOOKUP(Summary!B64,'Pre-Summary'!$A$6:$P$184,3, FALSE)/100,AD65)</f>
        <v>0.86166133333333339</v>
      </c>
      <c r="AE64" s="10">
        <f>IFERROR(VLOOKUP(Summary!B64,'Pre-Summary'!$A$6:$P$184,7, FALSE)/100,AE65)</f>
        <v>1.5905666666666665E-2</v>
      </c>
      <c r="AF64" s="99">
        <f t="shared" si="1"/>
        <v>0.46461836821446961</v>
      </c>
      <c r="AG64" s="99">
        <f t="shared" si="2"/>
        <v>8.5765307158921847E-3</v>
      </c>
      <c r="AH64" s="10" t="str">
        <f>IFERROR(VLOOKUP(B64,'Pre-Summary'!$AZ$6:$BE$65,3,FALSE),"")</f>
        <v/>
      </c>
      <c r="AI64" s="10" t="str">
        <f>IFERROR(VLOOKUP(B64,'Pre-Summary'!$AZ$6:$BE$65,5,FALSE),"")</f>
        <v/>
      </c>
      <c r="AJ64" s="10" t="str">
        <f>IFERROR(VLOOKUP(B64,'Pre-Summary'!$AZ$6:$BE$65,4,FALSE),"")</f>
        <v/>
      </c>
      <c r="AK64" s="10" t="str">
        <f>IFERROR(VLOOKUP(B64,'Pre-Summary'!$AZ$6:$BE$65,6,FALSE),"")</f>
        <v/>
      </c>
      <c r="AL64" s="10" t="str">
        <f>IFERROR(VLOOKUP(B64,'Pre-Summary'!$BG$6:$BL$44,3,FALSE),"")</f>
        <v/>
      </c>
      <c r="AM64" s="10" t="str">
        <f>IFERROR(VLOOKUP(B64,'Pre-Summary'!$BG$6:$BL$44,4,FALSE),"")</f>
        <v/>
      </c>
    </row>
    <row r="65" spans="2:39" ht="14.4" x14ac:dyDescent="0.3">
      <c r="B65">
        <v>6.2</v>
      </c>
      <c r="C65" t="str">
        <f>IFERROR(VLOOKUP(B65,'Pre-Summary'!$DI$6:$DM$23,4,FALSE),"")</f>
        <v/>
      </c>
      <c r="D65" s="10" t="str">
        <f>IFERROR(VLOOKUP(B65,'Pre-Summary'!$AT$6:$AX$14,5,FALSE),D64)</f>
        <v>DSMZ v1: Using DSMZ 120 without NaHCO3</v>
      </c>
      <c r="E65" s="10" t="str">
        <f>IFERROR(VLOOKUP(B65,'Pre-Summary'!$AT$6:$AX$15,4,FALSE),"")</f>
        <v/>
      </c>
      <c r="F65">
        <f>IFERROR(VLOOKUP(B65,'Pre-Summary'!$AL$6:$AQ$13,6,FALSE),F64)</f>
        <v>5.9405263157894746E-2</v>
      </c>
      <c r="G65" t="str">
        <f>IFERROR(VLOOKUP(B65,'Pre-Summary'!$AE$6:$AJ$85,3,FALSE),"")</f>
        <v/>
      </c>
      <c r="H65" t="str">
        <f>IFERROR(VLOOKUP(B65,'Pre-Summary'!$AE$6:$AJ$85,4,FALSE),"")</f>
        <v/>
      </c>
      <c r="I65" t="str">
        <f>IFERROR(VLOOKUP(B65,'Pre-Summary'!$AE$6:$AJ$85,5,FALSE),"")</f>
        <v/>
      </c>
      <c r="J65" s="45" t="str">
        <f>IFERROR(VLOOKUP(B65,'Pre-Summary'!$AE$6:$AJ$85,6, FALSE),"")</f>
        <v/>
      </c>
      <c r="K65" s="45" t="str">
        <f>IFERROR(VLOOKUP(B65,'Pre-Summary'!$DE$6:$DG$61,3,FALSE),"")</f>
        <v/>
      </c>
      <c r="L65" s="45" t="str">
        <f>IFERROR(VLOOKUP(B65,'Pre-Summary'!$CU$6:$CW$36,3,FALSE),"")</f>
        <v/>
      </c>
      <c r="M65" s="45" t="str">
        <f>IFERROR(VLOOKUP(B65,'Pre-Summary'!$BW$6:$BY$58,2,FALSE),"")</f>
        <v/>
      </c>
      <c r="N65" s="45" t="str">
        <f>IFERROR(VLOOKUP(B65,'Pre-Summary'!$CD$6:$CF$64,2,FALSE),"")</f>
        <v/>
      </c>
      <c r="O65" s="99">
        <f>IFERROR(VLOOKUP(B65,'Pre-Summary'!$BO$6:$BQ$48,3, FALSE),O64)</f>
        <v>1.0915248032216731</v>
      </c>
      <c r="P65" s="99">
        <f>IFERROR(VLOOKUP(B65,'Pre-Summary'!$BS$6:$BU$35,3,FALSE),P64)</f>
        <v>0.25</v>
      </c>
      <c r="Q65" s="54">
        <f t="shared" si="0"/>
        <v>4.3660992128866924</v>
      </c>
      <c r="R65" s="53">
        <f>IFERROR(VLOOKUP(B65,'Pre-Summary'!$BG$6:$BM$44,7,FALSE),R66)</f>
        <v>2.7904161219319636E-2</v>
      </c>
      <c r="S65" s="53">
        <f>IFERROR(VLOOKUP(B65,'Pre-Summary'!$BG$6:$BM$44,6,FALSE),S66)</f>
        <v>3.3978715219895171E-2</v>
      </c>
      <c r="T65" s="45" t="str">
        <f>IFERROR(VLOOKUP(B65,'Pre-Summary'!$Y$6:$AC$83, 3,FALSE),"")</f>
        <v/>
      </c>
      <c r="U65" s="45" t="str">
        <f>IFERROR(VLOOKUP(B65,'Pre-Summary'!$Y$6:$AC$83, 4,FALSE),"")</f>
        <v/>
      </c>
      <c r="V65" t="str">
        <f>IFERROR(VLOOKUP(B65,'Pre-Summary'!$Y$6:$AC$83, 5,FALSE),"")</f>
        <v/>
      </c>
      <c r="W65" s="45" t="str">
        <f>IFERROR(VLOOKUP(B65,'Pre-Summary'!$Y$6:$AD$83,6,FALSE),"")</f>
        <v/>
      </c>
      <c r="X65" t="str">
        <f>IFERROR(VLOOKUP('Pre-Summary'!$DB$6:$DD$63,3,FALSE),"")</f>
        <v/>
      </c>
      <c r="Y65" t="str">
        <f>IFERROR(VLOOKUP(B65,'Pre-Summary'!$CR$6:$CT$36,3,FALSE),"")</f>
        <v/>
      </c>
      <c r="Z65" s="45" t="str">
        <f>IFERROR(VLOOKUP(B65,'Pre-Summary'!$BZ$6:$CB$63,2,FALSE),"")</f>
        <v/>
      </c>
      <c r="AA65" s="45" t="str">
        <f>IFERROR(VLOOKUP(B65,'Pre-Summary'!$CG$6:$CI$70,2,FALSE),"")</f>
        <v/>
      </c>
      <c r="AB65" s="99">
        <f>IFERROR(VLOOKUP(B65,'Pre-Summary'!$A$6:$P$178,9,FALSE),AB66)</f>
        <v>0.53921227545060579</v>
      </c>
      <c r="AC65" s="10">
        <f>IFERROR(VLOOKUP(Summary!B65,'Pre-Summary'!$A$6:$P$184,5, FALSE)/100,AC66)</f>
        <v>0.122433</v>
      </c>
      <c r="AD65" s="10">
        <f>IFERROR(VLOOKUP(Summary!B65,'Pre-Summary'!$A$6:$P$184,3, FALSE)/100,AD66)</f>
        <v>0.86166133333333339</v>
      </c>
      <c r="AE65" s="10">
        <f>IFERROR(VLOOKUP(Summary!B65,'Pre-Summary'!$A$6:$P$184,7, FALSE)/100,AE66)</f>
        <v>1.5905666666666665E-2</v>
      </c>
      <c r="AF65" s="99">
        <f t="shared" si="1"/>
        <v>0.46461836821446961</v>
      </c>
      <c r="AG65" s="99">
        <f t="shared" si="2"/>
        <v>8.5765307158921847E-3</v>
      </c>
      <c r="AH65" s="10" t="str">
        <f>IFERROR(VLOOKUP(B65,'Pre-Summary'!$AZ$6:$BE$65,3,FALSE),"")</f>
        <v/>
      </c>
      <c r="AI65" s="10" t="str">
        <f>IFERROR(VLOOKUP(B65,'Pre-Summary'!$AZ$6:$BE$65,5,FALSE),"")</f>
        <v/>
      </c>
      <c r="AJ65" s="10" t="str">
        <f>IFERROR(VLOOKUP(B65,'Pre-Summary'!$AZ$6:$BE$65,4,FALSE),"")</f>
        <v/>
      </c>
      <c r="AK65" s="10" t="str">
        <f>IFERROR(VLOOKUP(B65,'Pre-Summary'!$AZ$6:$BE$65,6,FALSE),"")</f>
        <v/>
      </c>
      <c r="AL65" s="10" t="str">
        <f>IFERROR(VLOOKUP(B65,'Pre-Summary'!$BG$6:$BL$44,3,FALSE),"")</f>
        <v/>
      </c>
      <c r="AM65" s="10" t="str">
        <f>IFERROR(VLOOKUP(B65,'Pre-Summary'!$BG$6:$BL$44,4,FALSE),"")</f>
        <v/>
      </c>
    </row>
    <row r="66" spans="2:39" ht="14.4" x14ac:dyDescent="0.3">
      <c r="B66">
        <v>6.3</v>
      </c>
      <c r="C66" t="str">
        <f>IFERROR(VLOOKUP(B66,'Pre-Summary'!$DI$6:$DM$23,4,FALSE),"")</f>
        <v/>
      </c>
      <c r="D66" s="10" t="str">
        <f>IFERROR(VLOOKUP(B66,'Pre-Summary'!$AT$6:$AX$14,5,FALSE),D65)</f>
        <v>DSMZ v1: Using DSMZ 120 without NaHCO3</v>
      </c>
      <c r="E66" s="10" t="str">
        <f>IFERROR(VLOOKUP(B66,'Pre-Summary'!$AT$6:$AX$15,4,FALSE),"")</f>
        <v/>
      </c>
      <c r="F66">
        <f>IFERROR(VLOOKUP(B66,'Pre-Summary'!$AL$6:$AQ$13,6,FALSE),F65)</f>
        <v>5.9405263157894746E-2</v>
      </c>
      <c r="G66" t="str">
        <f>IFERROR(VLOOKUP(B66,'Pre-Summary'!$AE$6:$AJ$85,3,FALSE),"")</f>
        <v/>
      </c>
      <c r="H66" t="str">
        <f>IFERROR(VLOOKUP(B66,'Pre-Summary'!$AE$6:$AJ$85,4,FALSE),"")</f>
        <v/>
      </c>
      <c r="I66" t="str">
        <f>IFERROR(VLOOKUP(B66,'Pre-Summary'!$AE$6:$AJ$85,5,FALSE),"")</f>
        <v/>
      </c>
      <c r="J66" s="45" t="str">
        <f>IFERROR(VLOOKUP(B66,'Pre-Summary'!$AE$6:$AJ$85,6, FALSE),"")</f>
        <v/>
      </c>
      <c r="K66" s="45" t="str">
        <f>IFERROR(VLOOKUP(B66,'Pre-Summary'!$DE$6:$DG$61,3,FALSE),"")</f>
        <v/>
      </c>
      <c r="L66" s="45" t="str">
        <f>IFERROR(VLOOKUP(B66,'Pre-Summary'!$CU$6:$CW$36,3,FALSE),"")</f>
        <v/>
      </c>
      <c r="M66" s="45" t="str">
        <f>IFERROR(VLOOKUP(B66,'Pre-Summary'!$BW$6:$BY$58,2,FALSE),"")</f>
        <v/>
      </c>
      <c r="N66" s="45" t="str">
        <f>IFERROR(VLOOKUP(B66,'Pre-Summary'!$CD$6:$CF$64,2,FALSE),"")</f>
        <v/>
      </c>
      <c r="O66" s="99">
        <f>IFERROR(VLOOKUP(B66,'Pre-Summary'!$BO$6:$BQ$48,3, FALSE),O65)</f>
        <v>1.0915248032216731</v>
      </c>
      <c r="P66" s="99">
        <f>IFERROR(VLOOKUP(B66,'Pre-Summary'!$BS$6:$BU$35,3,FALSE),P65)</f>
        <v>0.25</v>
      </c>
      <c r="Q66" s="54">
        <f t="shared" si="0"/>
        <v>4.3660992128866924</v>
      </c>
      <c r="R66" s="53">
        <f>IFERROR(VLOOKUP(B66,'Pre-Summary'!$BG$6:$BM$44,7,FALSE),R67)</f>
        <v>2.7904161219319636E-2</v>
      </c>
      <c r="S66" s="53">
        <f>IFERROR(VLOOKUP(B66,'Pre-Summary'!$BG$6:$BM$44,6,FALSE),S67)</f>
        <v>3.3978715219895171E-2</v>
      </c>
      <c r="T66" s="45" t="str">
        <f>IFERROR(VLOOKUP(B66,'Pre-Summary'!$Y$6:$AC$83, 3,FALSE),"")</f>
        <v/>
      </c>
      <c r="U66" s="45" t="str">
        <f>IFERROR(VLOOKUP(B66,'Pre-Summary'!$Y$6:$AC$83, 4,FALSE),"")</f>
        <v/>
      </c>
      <c r="V66" t="str">
        <f>IFERROR(VLOOKUP(B66,'Pre-Summary'!$Y$6:$AC$83, 5,FALSE),"")</f>
        <v/>
      </c>
      <c r="W66" s="45" t="str">
        <f>IFERROR(VLOOKUP(B66,'Pre-Summary'!$Y$6:$AD$83,6,FALSE),"")</f>
        <v/>
      </c>
      <c r="X66" t="str">
        <f>IFERROR(VLOOKUP('Pre-Summary'!$DB$6:$DD$63,3,FALSE),"")</f>
        <v/>
      </c>
      <c r="Y66" t="str">
        <f>IFERROR(VLOOKUP(B66,'Pre-Summary'!$CR$6:$CT$36,3,FALSE),"")</f>
        <v/>
      </c>
      <c r="Z66" s="45" t="str">
        <f>IFERROR(VLOOKUP(B66,'Pre-Summary'!$BZ$6:$CB$63,2,FALSE),"")</f>
        <v/>
      </c>
      <c r="AA66" s="45" t="str">
        <f>IFERROR(VLOOKUP(B66,'Pre-Summary'!$CG$6:$CI$70,2,FALSE),"")</f>
        <v/>
      </c>
      <c r="AB66" s="99">
        <f>IFERROR(VLOOKUP(B66,'Pre-Summary'!$A$6:$P$178,9,FALSE),AB67)</f>
        <v>0.53921227545060579</v>
      </c>
      <c r="AC66" s="10">
        <f>IFERROR(VLOOKUP(Summary!B66,'Pre-Summary'!$A$6:$P$184,5, FALSE)/100,AC67)</f>
        <v>0.122433</v>
      </c>
      <c r="AD66" s="10">
        <f>IFERROR(VLOOKUP(Summary!B66,'Pre-Summary'!$A$6:$P$184,3, FALSE)/100,AD67)</f>
        <v>0.86166133333333339</v>
      </c>
      <c r="AE66" s="10">
        <f>IFERROR(VLOOKUP(Summary!B66,'Pre-Summary'!$A$6:$P$184,7, FALSE)/100,AE67)</f>
        <v>1.5905666666666665E-2</v>
      </c>
      <c r="AF66" s="99">
        <f t="shared" si="1"/>
        <v>0.46461836821446961</v>
      </c>
      <c r="AG66" s="99">
        <f t="shared" si="2"/>
        <v>8.5765307158921847E-3</v>
      </c>
      <c r="AH66" s="10" t="str">
        <f>IFERROR(VLOOKUP(B66,'Pre-Summary'!$AZ$6:$BE$65,3,FALSE),"")</f>
        <v/>
      </c>
      <c r="AI66" s="10" t="str">
        <f>IFERROR(VLOOKUP(B66,'Pre-Summary'!$AZ$6:$BE$65,5,FALSE),"")</f>
        <v/>
      </c>
      <c r="AJ66" s="10" t="str">
        <f>IFERROR(VLOOKUP(B66,'Pre-Summary'!$AZ$6:$BE$65,4,FALSE),"")</f>
        <v/>
      </c>
      <c r="AK66" s="10" t="str">
        <f>IFERROR(VLOOKUP(B66,'Pre-Summary'!$AZ$6:$BE$65,6,FALSE),"")</f>
        <v/>
      </c>
      <c r="AL66" s="10" t="str">
        <f>IFERROR(VLOOKUP(B66,'Pre-Summary'!$BG$6:$BL$44,3,FALSE),"")</f>
        <v/>
      </c>
      <c r="AM66" s="10" t="str">
        <f>IFERROR(VLOOKUP(B66,'Pre-Summary'!$BG$6:$BL$44,4,FALSE),"")</f>
        <v/>
      </c>
    </row>
    <row r="67" spans="2:39" ht="14.4" x14ac:dyDescent="0.3">
      <c r="B67">
        <v>6.4</v>
      </c>
      <c r="C67" t="str">
        <f>IFERROR(VLOOKUP(B67,'Pre-Summary'!$DI$6:$DM$23,4,FALSE),"")</f>
        <v/>
      </c>
      <c r="D67" s="10" t="str">
        <f>IFERROR(VLOOKUP(B67,'Pre-Summary'!$AT$6:$AX$14,5,FALSE),D66)</f>
        <v>DSMZ v1: Using DSMZ 120 without NaHCO3</v>
      </c>
      <c r="E67" s="10" t="str">
        <f>IFERROR(VLOOKUP(B67,'Pre-Summary'!$AT$6:$AX$15,4,FALSE),"")</f>
        <v/>
      </c>
      <c r="F67">
        <f>IFERROR(VLOOKUP(B67,'Pre-Summary'!$AL$6:$AQ$13,6,FALSE),F66)</f>
        <v>5.9405263157894746E-2</v>
      </c>
      <c r="G67" t="str">
        <f>IFERROR(VLOOKUP(B67,'Pre-Summary'!$AE$6:$AJ$85,3,FALSE),"")</f>
        <v/>
      </c>
      <c r="H67" t="str">
        <f>IFERROR(VLOOKUP(B67,'Pre-Summary'!$AE$6:$AJ$85,4,FALSE),"")</f>
        <v/>
      </c>
      <c r="I67" t="str">
        <f>IFERROR(VLOOKUP(B67,'Pre-Summary'!$AE$6:$AJ$85,5,FALSE),"")</f>
        <v/>
      </c>
      <c r="J67" s="45" t="str">
        <f>IFERROR(VLOOKUP(B67,'Pre-Summary'!$AE$6:$AJ$85,6, FALSE),"")</f>
        <v/>
      </c>
      <c r="K67" s="45" t="str">
        <f>IFERROR(VLOOKUP(B67,'Pre-Summary'!$DE$6:$DG$61,3,FALSE),"")</f>
        <v/>
      </c>
      <c r="L67" s="45" t="str">
        <f>IFERROR(VLOOKUP(B67,'Pre-Summary'!$CU$6:$CW$36,3,FALSE),"")</f>
        <v/>
      </c>
      <c r="M67" s="45" t="str">
        <f>IFERROR(VLOOKUP(B67,'Pre-Summary'!$BW$6:$BY$58,2,FALSE),"")</f>
        <v/>
      </c>
      <c r="N67" s="45" t="str">
        <f>IFERROR(VLOOKUP(B67,'Pre-Summary'!$CD$6:$CF$64,2,FALSE),"")</f>
        <v/>
      </c>
      <c r="O67" s="99">
        <f>IFERROR(VLOOKUP(B67,'Pre-Summary'!$BO$6:$BQ$48,3, FALSE),O66)</f>
        <v>1.0915248032216731</v>
      </c>
      <c r="P67" s="99">
        <f>IFERROR(VLOOKUP(B67,'Pre-Summary'!$BS$6:$BU$35,3,FALSE),P66)</f>
        <v>0.25</v>
      </c>
      <c r="Q67" s="54">
        <f t="shared" ref="Q67:Q130" si="3">O67/P67</f>
        <v>4.3660992128866924</v>
      </c>
      <c r="R67" s="53">
        <f>IFERROR(VLOOKUP(B67,'Pre-Summary'!$BG$6:$BM$44,7,FALSE),R68)</f>
        <v>2.7904161219319636E-2</v>
      </c>
      <c r="S67" s="53">
        <f>IFERROR(VLOOKUP(B67,'Pre-Summary'!$BG$6:$BM$44,6,FALSE),S68)</f>
        <v>3.3978715219895171E-2</v>
      </c>
      <c r="T67" s="45" t="str">
        <f>IFERROR(VLOOKUP(B67,'Pre-Summary'!$Y$6:$AC$83, 3,FALSE),"")</f>
        <v/>
      </c>
      <c r="U67" s="45" t="str">
        <f>IFERROR(VLOOKUP(B67,'Pre-Summary'!$Y$6:$AC$83, 4,FALSE),"")</f>
        <v/>
      </c>
      <c r="V67" t="str">
        <f>IFERROR(VLOOKUP(B67,'Pre-Summary'!$Y$6:$AC$83, 5,FALSE),"")</f>
        <v/>
      </c>
      <c r="W67" s="45" t="str">
        <f>IFERROR(VLOOKUP(B67,'Pre-Summary'!$Y$6:$AD$83,6,FALSE),"")</f>
        <v/>
      </c>
      <c r="X67" t="str">
        <f>IFERROR(VLOOKUP('Pre-Summary'!$DB$6:$DD$63,3,FALSE),"")</f>
        <v/>
      </c>
      <c r="Y67" t="str">
        <f>IFERROR(VLOOKUP(B67,'Pre-Summary'!$CR$6:$CT$36,3,FALSE),"")</f>
        <v/>
      </c>
      <c r="Z67" s="45" t="str">
        <f>IFERROR(VLOOKUP(B67,'Pre-Summary'!$BZ$6:$CB$63,2,FALSE),"")</f>
        <v/>
      </c>
      <c r="AA67" s="45" t="str">
        <f>IFERROR(VLOOKUP(B67,'Pre-Summary'!$CG$6:$CI$70,2,FALSE),"")</f>
        <v/>
      </c>
      <c r="AB67" s="99">
        <f>IFERROR(VLOOKUP(B67,'Pre-Summary'!$A$6:$P$178,9,FALSE),AB68)</f>
        <v>0.53921227545060579</v>
      </c>
      <c r="AC67" s="10">
        <f>IFERROR(VLOOKUP(Summary!B67,'Pre-Summary'!$A$6:$P$184,5, FALSE)/100,AC68)</f>
        <v>0.122433</v>
      </c>
      <c r="AD67" s="10">
        <f>IFERROR(VLOOKUP(Summary!B67,'Pre-Summary'!$A$6:$P$184,3, FALSE)/100,AD68)</f>
        <v>0.86166133333333339</v>
      </c>
      <c r="AE67" s="10">
        <f>IFERROR(VLOOKUP(Summary!B67,'Pre-Summary'!$A$6:$P$184,7, FALSE)/100,AE68)</f>
        <v>1.5905666666666665E-2</v>
      </c>
      <c r="AF67" s="99">
        <f t="shared" ref="AF67:AF130" si="4">AD67*AB67</f>
        <v>0.46461836821446961</v>
      </c>
      <c r="AG67" s="99">
        <f t="shared" ref="AG67:AG130" si="5">AB67*AE67</f>
        <v>8.5765307158921847E-3</v>
      </c>
      <c r="AH67" s="10" t="str">
        <f>IFERROR(VLOOKUP(B67,'Pre-Summary'!$AZ$6:$BE$65,3,FALSE),"")</f>
        <v/>
      </c>
      <c r="AI67" s="10" t="str">
        <f>IFERROR(VLOOKUP(B67,'Pre-Summary'!$AZ$6:$BE$65,5,FALSE),"")</f>
        <v/>
      </c>
      <c r="AJ67" s="10" t="str">
        <f>IFERROR(VLOOKUP(B67,'Pre-Summary'!$AZ$6:$BE$65,4,FALSE),"")</f>
        <v/>
      </c>
      <c r="AK67" s="10" t="str">
        <f>IFERROR(VLOOKUP(B67,'Pre-Summary'!$AZ$6:$BE$65,6,FALSE),"")</f>
        <v/>
      </c>
      <c r="AL67" s="10" t="str">
        <f>IFERROR(VLOOKUP(B67,'Pre-Summary'!$BG$6:$BL$44,3,FALSE),"")</f>
        <v/>
      </c>
      <c r="AM67" s="10" t="str">
        <f>IFERROR(VLOOKUP(B67,'Pre-Summary'!$BG$6:$BL$44,4,FALSE),"")</f>
        <v/>
      </c>
    </row>
    <row r="68" spans="2:39" ht="14.4" x14ac:dyDescent="0.3">
      <c r="B68">
        <v>6.5</v>
      </c>
      <c r="C68" t="str">
        <f>IFERROR(VLOOKUP(B68,'Pre-Summary'!$DI$6:$DM$23,4,FALSE),"")</f>
        <v/>
      </c>
      <c r="D68" s="10" t="str">
        <f>IFERROR(VLOOKUP(B68,'Pre-Summary'!$AT$6:$AX$14,5,FALSE),D67)</f>
        <v>DSMZ v1: Using DSMZ 120 without NaHCO3</v>
      </c>
      <c r="E68" s="10" t="str">
        <f>IFERROR(VLOOKUP(B68,'Pre-Summary'!$AT$6:$AX$15,4,FALSE),"")</f>
        <v/>
      </c>
      <c r="F68">
        <f>IFERROR(VLOOKUP(B68,'Pre-Summary'!$AL$6:$AQ$13,6,FALSE),F67)</f>
        <v>5.9405263157894746E-2</v>
      </c>
      <c r="G68" t="str">
        <f>IFERROR(VLOOKUP(B68,'Pre-Summary'!$AE$6:$AJ$85,3,FALSE),"")</f>
        <v/>
      </c>
      <c r="H68" t="str">
        <f>IFERROR(VLOOKUP(B68,'Pre-Summary'!$AE$6:$AJ$85,4,FALSE),"")</f>
        <v/>
      </c>
      <c r="I68" t="str">
        <f>IFERROR(VLOOKUP(B68,'Pre-Summary'!$AE$6:$AJ$85,5,FALSE),"")</f>
        <v/>
      </c>
      <c r="J68" s="45" t="str">
        <f>IFERROR(VLOOKUP(B68,'Pre-Summary'!$AE$6:$AJ$85,6, FALSE),"")</f>
        <v/>
      </c>
      <c r="K68" s="45" t="str">
        <f>IFERROR(VLOOKUP(B68,'Pre-Summary'!$DE$6:$DG$61,3,FALSE),"")</f>
        <v/>
      </c>
      <c r="L68" s="45" t="str">
        <f>IFERROR(VLOOKUP(B68,'Pre-Summary'!$CU$6:$CW$36,3,FALSE),"")</f>
        <v/>
      </c>
      <c r="M68" s="45" t="str">
        <f>IFERROR(VLOOKUP(B68,'Pre-Summary'!$BW$6:$BY$58,2,FALSE),"")</f>
        <v/>
      </c>
      <c r="N68" s="45" t="str">
        <f>IFERROR(VLOOKUP(B68,'Pre-Summary'!$CD$6:$CF$64,2,FALSE),"")</f>
        <v/>
      </c>
      <c r="O68" s="99">
        <f>IFERROR(VLOOKUP(B68,'Pre-Summary'!$BO$6:$BQ$48,3, FALSE),O67)</f>
        <v>1.0915248032216731</v>
      </c>
      <c r="P68" s="99">
        <f>IFERROR(VLOOKUP(B68,'Pre-Summary'!$BS$6:$BU$35,3,FALSE),P67)</f>
        <v>0.25</v>
      </c>
      <c r="Q68" s="54">
        <f t="shared" si="3"/>
        <v>4.3660992128866924</v>
      </c>
      <c r="R68" s="53">
        <f>IFERROR(VLOOKUP(B68,'Pre-Summary'!$BG$6:$BM$44,7,FALSE),R69)</f>
        <v>2.7904161219319636E-2</v>
      </c>
      <c r="S68" s="53">
        <f>IFERROR(VLOOKUP(B68,'Pre-Summary'!$BG$6:$BM$44,6,FALSE),S69)</f>
        <v>3.3978715219895171E-2</v>
      </c>
      <c r="T68" s="45" t="str">
        <f>IFERROR(VLOOKUP(B68,'Pre-Summary'!$Y$6:$AC$83, 3,FALSE),"")</f>
        <v/>
      </c>
      <c r="U68" s="45" t="str">
        <f>IFERROR(VLOOKUP(B68,'Pre-Summary'!$Y$6:$AC$83, 4,FALSE),"")</f>
        <v/>
      </c>
      <c r="V68" t="str">
        <f>IFERROR(VLOOKUP(B68,'Pre-Summary'!$Y$6:$AC$83, 5,FALSE),"")</f>
        <v/>
      </c>
      <c r="W68" s="45" t="str">
        <f>IFERROR(VLOOKUP(B68,'Pre-Summary'!$Y$6:$AD$83,6,FALSE),"")</f>
        <v/>
      </c>
      <c r="X68" t="str">
        <f>IFERROR(VLOOKUP('Pre-Summary'!$DB$6:$DD$63,3,FALSE),"")</f>
        <v/>
      </c>
      <c r="Y68" t="str">
        <f>IFERROR(VLOOKUP(B68,'Pre-Summary'!$CR$6:$CT$36,3,FALSE),"")</f>
        <v/>
      </c>
      <c r="Z68" s="45" t="str">
        <f>IFERROR(VLOOKUP(B68,'Pre-Summary'!$BZ$6:$CB$63,2,FALSE),"")</f>
        <v/>
      </c>
      <c r="AA68" s="45" t="str">
        <f>IFERROR(VLOOKUP(B68,'Pre-Summary'!$CG$6:$CI$70,2,FALSE),"")</f>
        <v/>
      </c>
      <c r="AB68" s="99">
        <f>IFERROR(VLOOKUP(B68,'Pre-Summary'!$A$6:$P$178,9,FALSE),AB69)</f>
        <v>0.53921227545060579</v>
      </c>
      <c r="AC68" s="10">
        <f>IFERROR(VLOOKUP(Summary!B68,'Pre-Summary'!$A$6:$P$184,5, FALSE)/100,AC69)</f>
        <v>0.122433</v>
      </c>
      <c r="AD68" s="10">
        <f>IFERROR(VLOOKUP(Summary!B68,'Pre-Summary'!$A$6:$P$184,3, FALSE)/100,AD69)</f>
        <v>0.86166133333333339</v>
      </c>
      <c r="AE68" s="10">
        <f>IFERROR(VLOOKUP(Summary!B68,'Pre-Summary'!$A$6:$P$184,7, FALSE)/100,AE69)</f>
        <v>1.5905666666666665E-2</v>
      </c>
      <c r="AF68" s="99">
        <f t="shared" si="4"/>
        <v>0.46461836821446961</v>
      </c>
      <c r="AG68" s="99">
        <f t="shared" si="5"/>
        <v>8.5765307158921847E-3</v>
      </c>
      <c r="AH68" s="10" t="str">
        <f>IFERROR(VLOOKUP(B68,'Pre-Summary'!$AZ$6:$BE$65,3,FALSE),"")</f>
        <v/>
      </c>
      <c r="AI68" s="10" t="str">
        <f>IFERROR(VLOOKUP(B68,'Pre-Summary'!$AZ$6:$BE$65,5,FALSE),"")</f>
        <v/>
      </c>
      <c r="AJ68" s="10" t="str">
        <f>IFERROR(VLOOKUP(B68,'Pre-Summary'!$AZ$6:$BE$65,4,FALSE),"")</f>
        <v/>
      </c>
      <c r="AK68" s="10" t="str">
        <f>IFERROR(VLOOKUP(B68,'Pre-Summary'!$AZ$6:$BE$65,6,FALSE),"")</f>
        <v/>
      </c>
      <c r="AL68" s="10" t="str">
        <f>IFERROR(VLOOKUP(B68,'Pre-Summary'!$BG$6:$BL$44,3,FALSE),"")</f>
        <v/>
      </c>
      <c r="AM68" s="10" t="str">
        <f>IFERROR(VLOOKUP(B68,'Pre-Summary'!$BG$6:$BL$44,4,FALSE),"")</f>
        <v/>
      </c>
    </row>
    <row r="69" spans="2:39" ht="14.4" x14ac:dyDescent="0.3">
      <c r="B69">
        <v>6.6</v>
      </c>
      <c r="C69" t="str">
        <f>IFERROR(VLOOKUP(B69,'Pre-Summary'!$DI$6:$DM$23,4,FALSE),"")</f>
        <v/>
      </c>
      <c r="D69" s="10" t="str">
        <f>IFERROR(VLOOKUP(B69,'Pre-Summary'!$AT$6:$AX$14,5,FALSE),D68)</f>
        <v>DSMZ v1: Using DSMZ 120 without NaHCO3</v>
      </c>
      <c r="E69" s="10" t="str">
        <f>IFERROR(VLOOKUP(B69,'Pre-Summary'!$AT$6:$AX$15,4,FALSE),"")</f>
        <v/>
      </c>
      <c r="F69">
        <f>IFERROR(VLOOKUP(B69,'Pre-Summary'!$AL$6:$AQ$13,6,FALSE),F68)</f>
        <v>5.9405263157894746E-2</v>
      </c>
      <c r="G69" t="str">
        <f>IFERROR(VLOOKUP(B69,'Pre-Summary'!$AE$6:$AJ$85,3,FALSE),"")</f>
        <v/>
      </c>
      <c r="H69" t="str">
        <f>IFERROR(VLOOKUP(B69,'Pre-Summary'!$AE$6:$AJ$85,4,FALSE),"")</f>
        <v/>
      </c>
      <c r="I69" t="str">
        <f>IFERROR(VLOOKUP(B69,'Pre-Summary'!$AE$6:$AJ$85,5,FALSE),"")</f>
        <v/>
      </c>
      <c r="J69" s="45" t="str">
        <f>IFERROR(VLOOKUP(B69,'Pre-Summary'!$AE$6:$AJ$85,6, FALSE),"")</f>
        <v/>
      </c>
      <c r="K69" s="45" t="str">
        <f>IFERROR(VLOOKUP(B69,'Pre-Summary'!$DE$6:$DG$61,3,FALSE),"")</f>
        <v/>
      </c>
      <c r="L69" s="45" t="str">
        <f>IFERROR(VLOOKUP(B69,'Pre-Summary'!$CU$6:$CW$36,3,FALSE),"")</f>
        <v/>
      </c>
      <c r="M69" s="45" t="str">
        <f>IFERROR(VLOOKUP(B69,'Pre-Summary'!$BW$6:$BY$58,2,FALSE),"")</f>
        <v/>
      </c>
      <c r="N69" s="45" t="str">
        <f>IFERROR(VLOOKUP(B69,'Pre-Summary'!$CD$6:$CF$64,2,FALSE),"")</f>
        <v/>
      </c>
      <c r="O69" s="99">
        <f>IFERROR(VLOOKUP(B69,'Pre-Summary'!$BO$6:$BQ$48,3, FALSE),O68)</f>
        <v>1.0915248032216731</v>
      </c>
      <c r="P69" s="99">
        <f>IFERROR(VLOOKUP(B69,'Pre-Summary'!$BS$6:$BU$35,3,FALSE),P68)</f>
        <v>0.25</v>
      </c>
      <c r="Q69" s="54">
        <f t="shared" si="3"/>
        <v>4.3660992128866924</v>
      </c>
      <c r="R69" s="53">
        <f>IFERROR(VLOOKUP(B69,'Pre-Summary'!$BG$6:$BM$44,7,FALSE),R70)</f>
        <v>2.7904161219319636E-2</v>
      </c>
      <c r="S69" s="53">
        <f>IFERROR(VLOOKUP(B69,'Pre-Summary'!$BG$6:$BM$44,6,FALSE),S70)</f>
        <v>3.3978715219895171E-2</v>
      </c>
      <c r="T69" s="45" t="str">
        <f>IFERROR(VLOOKUP(B69,'Pre-Summary'!$Y$6:$AC$83, 3,FALSE),"")</f>
        <v/>
      </c>
      <c r="U69" s="45" t="str">
        <f>IFERROR(VLOOKUP(B69,'Pre-Summary'!$Y$6:$AC$83, 4,FALSE),"")</f>
        <v/>
      </c>
      <c r="V69" t="str">
        <f>IFERROR(VLOOKUP(B69,'Pre-Summary'!$Y$6:$AC$83, 5,FALSE),"")</f>
        <v/>
      </c>
      <c r="W69" s="45" t="str">
        <f>IFERROR(VLOOKUP(B69,'Pre-Summary'!$Y$6:$AD$83,6,FALSE),"")</f>
        <v/>
      </c>
      <c r="X69" t="str">
        <f>IFERROR(VLOOKUP('Pre-Summary'!$DB$6:$DD$63,3,FALSE),"")</f>
        <v/>
      </c>
      <c r="Y69" t="str">
        <f>IFERROR(VLOOKUP(B69,'Pre-Summary'!$CR$6:$CT$36,3,FALSE),"")</f>
        <v/>
      </c>
      <c r="Z69" s="45" t="str">
        <f>IFERROR(VLOOKUP(B69,'Pre-Summary'!$BZ$6:$CB$63,2,FALSE),"")</f>
        <v/>
      </c>
      <c r="AA69" s="45" t="str">
        <f>IFERROR(VLOOKUP(B69,'Pre-Summary'!$CG$6:$CI$70,2,FALSE),"")</f>
        <v/>
      </c>
      <c r="AB69" s="99">
        <f>IFERROR(VLOOKUP(B69,'Pre-Summary'!$A$6:$P$178,9,FALSE),AB70)</f>
        <v>0.53921227545060579</v>
      </c>
      <c r="AC69" s="10">
        <f>IFERROR(VLOOKUP(Summary!B69,'Pre-Summary'!$A$6:$P$184,5, FALSE)/100,AC70)</f>
        <v>0.122433</v>
      </c>
      <c r="AD69" s="10">
        <f>IFERROR(VLOOKUP(Summary!B69,'Pre-Summary'!$A$6:$P$184,3, FALSE)/100,AD70)</f>
        <v>0.86166133333333339</v>
      </c>
      <c r="AE69" s="10">
        <f>IFERROR(VLOOKUP(Summary!B69,'Pre-Summary'!$A$6:$P$184,7, FALSE)/100,AE70)</f>
        <v>1.5905666666666665E-2</v>
      </c>
      <c r="AF69" s="99">
        <f t="shared" si="4"/>
        <v>0.46461836821446961</v>
      </c>
      <c r="AG69" s="99">
        <f t="shared" si="5"/>
        <v>8.5765307158921847E-3</v>
      </c>
      <c r="AH69" s="10" t="str">
        <f>IFERROR(VLOOKUP(B69,'Pre-Summary'!$AZ$6:$BE$65,3,FALSE),"")</f>
        <v/>
      </c>
      <c r="AI69" s="10" t="str">
        <f>IFERROR(VLOOKUP(B69,'Pre-Summary'!$AZ$6:$BE$65,5,FALSE),"")</f>
        <v/>
      </c>
      <c r="AJ69" s="10" t="str">
        <f>IFERROR(VLOOKUP(B69,'Pre-Summary'!$AZ$6:$BE$65,4,FALSE),"")</f>
        <v/>
      </c>
      <c r="AK69" s="10" t="str">
        <f>IFERROR(VLOOKUP(B69,'Pre-Summary'!$AZ$6:$BE$65,6,FALSE),"")</f>
        <v/>
      </c>
      <c r="AL69" s="10" t="str">
        <f>IFERROR(VLOOKUP(B69,'Pre-Summary'!$BG$6:$BL$44,3,FALSE),"")</f>
        <v/>
      </c>
      <c r="AM69" s="10" t="str">
        <f>IFERROR(VLOOKUP(B69,'Pre-Summary'!$BG$6:$BL$44,4,FALSE),"")</f>
        <v/>
      </c>
    </row>
    <row r="70" spans="2:39" ht="14.4" x14ac:dyDescent="0.3">
      <c r="B70">
        <v>6.7</v>
      </c>
      <c r="C70" t="str">
        <f>IFERROR(VLOOKUP(B70,'Pre-Summary'!$DI$6:$DM$23,4,FALSE),"")</f>
        <v/>
      </c>
      <c r="D70" s="10" t="str">
        <f>IFERROR(VLOOKUP(B70,'Pre-Summary'!$AT$6:$AX$14,5,FALSE),D69)</f>
        <v>DSMZ v1: Using DSMZ 120 without NaHCO3</v>
      </c>
      <c r="E70" s="10" t="str">
        <f>IFERROR(VLOOKUP(B70,'Pre-Summary'!$AT$6:$AX$15,4,FALSE),"")</f>
        <v/>
      </c>
      <c r="F70">
        <f>IFERROR(VLOOKUP(B70,'Pre-Summary'!$AL$6:$AQ$13,6,FALSE),F69)</f>
        <v>5.9405263157894746E-2</v>
      </c>
      <c r="G70" t="str">
        <f>IFERROR(VLOOKUP(B70,'Pre-Summary'!$AE$6:$AJ$85,3,FALSE),"")</f>
        <v/>
      </c>
      <c r="H70" t="str">
        <f>IFERROR(VLOOKUP(B70,'Pre-Summary'!$AE$6:$AJ$85,4,FALSE),"")</f>
        <v/>
      </c>
      <c r="I70" t="str">
        <f>IFERROR(VLOOKUP(B70,'Pre-Summary'!$AE$6:$AJ$85,5,FALSE),"")</f>
        <v/>
      </c>
      <c r="J70" s="45" t="str">
        <f>IFERROR(VLOOKUP(B70,'Pre-Summary'!$AE$6:$AJ$85,6, FALSE),"")</f>
        <v/>
      </c>
      <c r="K70" s="45" t="str">
        <f>IFERROR(VLOOKUP(B70,'Pre-Summary'!$DE$6:$DG$61,3,FALSE),"")</f>
        <v/>
      </c>
      <c r="L70" s="45" t="str">
        <f>IFERROR(VLOOKUP(B70,'Pre-Summary'!$CU$6:$CW$36,3,FALSE),"")</f>
        <v/>
      </c>
      <c r="M70" s="45" t="str">
        <f>IFERROR(VLOOKUP(B70,'Pre-Summary'!$BW$6:$BY$58,2,FALSE),"")</f>
        <v/>
      </c>
      <c r="N70" s="45" t="str">
        <f>IFERROR(VLOOKUP(B70,'Pre-Summary'!$CD$6:$CF$64,2,FALSE),"")</f>
        <v/>
      </c>
      <c r="O70" s="99">
        <f>IFERROR(VLOOKUP(B70,'Pre-Summary'!$BO$6:$BQ$48,3, FALSE),O69)</f>
        <v>1.0915248032216731</v>
      </c>
      <c r="P70" s="99">
        <f>IFERROR(VLOOKUP(B70,'Pre-Summary'!$BS$6:$BU$35,3,FALSE),P69)</f>
        <v>0.25</v>
      </c>
      <c r="Q70" s="54">
        <f t="shared" si="3"/>
        <v>4.3660992128866924</v>
      </c>
      <c r="R70" s="53">
        <f>IFERROR(VLOOKUP(B70,'Pre-Summary'!$BG$6:$BM$44,7,FALSE),R71)</f>
        <v>2.7904161219319636E-2</v>
      </c>
      <c r="S70" s="53">
        <f>IFERROR(VLOOKUP(B70,'Pre-Summary'!$BG$6:$BM$44,6,FALSE),S71)</f>
        <v>3.3978715219895171E-2</v>
      </c>
      <c r="T70" s="45" t="str">
        <f>IFERROR(VLOOKUP(B70,'Pre-Summary'!$Y$6:$AC$83, 3,FALSE),"")</f>
        <v/>
      </c>
      <c r="U70" s="45" t="str">
        <f>IFERROR(VLOOKUP(B70,'Pre-Summary'!$Y$6:$AC$83, 4,FALSE),"")</f>
        <v/>
      </c>
      <c r="V70" t="str">
        <f>IFERROR(VLOOKUP(B70,'Pre-Summary'!$Y$6:$AC$83, 5,FALSE),"")</f>
        <v/>
      </c>
      <c r="W70" s="45" t="str">
        <f>IFERROR(VLOOKUP(B70,'Pre-Summary'!$Y$6:$AD$83,6,FALSE),"")</f>
        <v/>
      </c>
      <c r="X70" t="str">
        <f>IFERROR(VLOOKUP('Pre-Summary'!$DB$6:$DD$63,3,FALSE),"")</f>
        <v/>
      </c>
      <c r="Y70" t="str">
        <f>IFERROR(VLOOKUP(B70,'Pre-Summary'!$CR$6:$CT$36,3,FALSE),"")</f>
        <v/>
      </c>
      <c r="Z70" s="45" t="str">
        <f>IFERROR(VLOOKUP(B70,'Pre-Summary'!$BZ$6:$CB$63,2,FALSE),"")</f>
        <v/>
      </c>
      <c r="AA70" s="45" t="str">
        <f>IFERROR(VLOOKUP(B70,'Pre-Summary'!$CG$6:$CI$70,2,FALSE),"")</f>
        <v/>
      </c>
      <c r="AB70" s="99">
        <f>IFERROR(VLOOKUP(B70,'Pre-Summary'!$A$6:$P$178,9,FALSE),AB71)</f>
        <v>0.53921227545060579</v>
      </c>
      <c r="AC70" s="10">
        <f>IFERROR(VLOOKUP(Summary!B70,'Pre-Summary'!$A$6:$P$184,5, FALSE)/100,AC71)</f>
        <v>0.122433</v>
      </c>
      <c r="AD70" s="10">
        <f>IFERROR(VLOOKUP(Summary!B70,'Pre-Summary'!$A$6:$P$184,3, FALSE)/100,AD71)</f>
        <v>0.86166133333333339</v>
      </c>
      <c r="AE70" s="10">
        <f>IFERROR(VLOOKUP(Summary!B70,'Pre-Summary'!$A$6:$P$184,7, FALSE)/100,AE71)</f>
        <v>1.5905666666666665E-2</v>
      </c>
      <c r="AF70" s="99">
        <f t="shared" si="4"/>
        <v>0.46461836821446961</v>
      </c>
      <c r="AG70" s="99">
        <f t="shared" si="5"/>
        <v>8.5765307158921847E-3</v>
      </c>
      <c r="AH70" s="10" t="str">
        <f>IFERROR(VLOOKUP(B70,'Pre-Summary'!$AZ$6:$BE$65,3,FALSE),"")</f>
        <v/>
      </c>
      <c r="AI70" s="10" t="str">
        <f>IFERROR(VLOOKUP(B70,'Pre-Summary'!$AZ$6:$BE$65,5,FALSE),"")</f>
        <v/>
      </c>
      <c r="AJ70" s="10" t="str">
        <f>IFERROR(VLOOKUP(B70,'Pre-Summary'!$AZ$6:$BE$65,4,FALSE),"")</f>
        <v/>
      </c>
      <c r="AK70" s="10" t="str">
        <f>IFERROR(VLOOKUP(B70,'Pre-Summary'!$AZ$6:$BE$65,6,FALSE),"")</f>
        <v/>
      </c>
      <c r="AL70" s="10" t="str">
        <f>IFERROR(VLOOKUP(B70,'Pre-Summary'!$BG$6:$BL$44,3,FALSE),"")</f>
        <v/>
      </c>
      <c r="AM70" s="10" t="str">
        <f>IFERROR(VLOOKUP(B70,'Pre-Summary'!$BG$6:$BL$44,4,FALSE),"")</f>
        <v/>
      </c>
    </row>
    <row r="71" spans="2:39" ht="14.4" x14ac:dyDescent="0.3">
      <c r="B71">
        <v>6.8</v>
      </c>
      <c r="C71" t="str">
        <f>IFERROR(VLOOKUP(B71,'Pre-Summary'!$DI$6:$DM$23,4,FALSE),"")</f>
        <v/>
      </c>
      <c r="D71" s="10" t="str">
        <f>IFERROR(VLOOKUP(B71,'Pre-Summary'!$AT$6:$AX$14,5,FALSE),D70)</f>
        <v>DSMZ v1: Using DSMZ 120 without NaHCO3</v>
      </c>
      <c r="E71" s="10" t="str">
        <f>IFERROR(VLOOKUP(B71,'Pre-Summary'!$AT$6:$AX$15,4,FALSE),"")</f>
        <v/>
      </c>
      <c r="F71">
        <f>IFERROR(VLOOKUP(B71,'Pre-Summary'!$AL$6:$AQ$13,6,FALSE),F70)</f>
        <v>5.9405263157894746E-2</v>
      </c>
      <c r="G71" t="str">
        <f>IFERROR(VLOOKUP(B71,'Pre-Summary'!$AE$6:$AJ$85,3,FALSE),"")</f>
        <v/>
      </c>
      <c r="H71" t="str">
        <f>IFERROR(VLOOKUP(B71,'Pre-Summary'!$AE$6:$AJ$85,4,FALSE),"")</f>
        <v/>
      </c>
      <c r="I71" t="str">
        <f>IFERROR(VLOOKUP(B71,'Pre-Summary'!$AE$6:$AJ$85,5,FALSE),"")</f>
        <v/>
      </c>
      <c r="J71" s="45" t="str">
        <f>IFERROR(VLOOKUP(B71,'Pre-Summary'!$AE$6:$AJ$85,6, FALSE),"")</f>
        <v/>
      </c>
      <c r="K71" s="45" t="str">
        <f>IFERROR(VLOOKUP(B71,'Pre-Summary'!$DE$6:$DG$61,3,FALSE),"")</f>
        <v/>
      </c>
      <c r="L71" s="45" t="str">
        <f>IFERROR(VLOOKUP(B71,'Pre-Summary'!$CU$6:$CW$36,3,FALSE),"")</f>
        <v/>
      </c>
      <c r="M71" s="45" t="str">
        <f>IFERROR(VLOOKUP(B71,'Pre-Summary'!$BW$6:$BY$58,2,FALSE),"")</f>
        <v/>
      </c>
      <c r="N71" s="45" t="str">
        <f>IFERROR(VLOOKUP(B71,'Pre-Summary'!$CD$6:$CF$64,2,FALSE),"")</f>
        <v/>
      </c>
      <c r="O71" s="99">
        <f>IFERROR(VLOOKUP(B71,'Pre-Summary'!$BO$6:$BQ$48,3, FALSE),O70)</f>
        <v>1.0915248032216731</v>
      </c>
      <c r="P71" s="99">
        <f>IFERROR(VLOOKUP(B71,'Pre-Summary'!$BS$6:$BU$35,3,FALSE),P70)</f>
        <v>0.25</v>
      </c>
      <c r="Q71" s="54">
        <f t="shared" si="3"/>
        <v>4.3660992128866924</v>
      </c>
      <c r="R71" s="53">
        <f>IFERROR(VLOOKUP(B71,'Pre-Summary'!$BG$6:$BM$44,7,FALSE),R72)</f>
        <v>2.7904161219319636E-2</v>
      </c>
      <c r="S71" s="53">
        <f>IFERROR(VLOOKUP(B71,'Pre-Summary'!$BG$6:$BM$44,6,FALSE),S72)</f>
        <v>3.3978715219895171E-2</v>
      </c>
      <c r="T71" s="45" t="str">
        <f>IFERROR(VLOOKUP(B71,'Pre-Summary'!$Y$6:$AC$83, 3,FALSE),"")</f>
        <v/>
      </c>
      <c r="U71" s="45" t="str">
        <f>IFERROR(VLOOKUP(B71,'Pre-Summary'!$Y$6:$AC$83, 4,FALSE),"")</f>
        <v/>
      </c>
      <c r="V71" t="str">
        <f>IFERROR(VLOOKUP(B71,'Pre-Summary'!$Y$6:$AC$83, 5,FALSE),"")</f>
        <v/>
      </c>
      <c r="W71" s="45" t="str">
        <f>IFERROR(VLOOKUP(B71,'Pre-Summary'!$Y$6:$AD$83,6,FALSE),"")</f>
        <v/>
      </c>
      <c r="X71" t="str">
        <f>IFERROR(VLOOKUP('Pre-Summary'!$DB$6:$DD$63,3,FALSE),"")</f>
        <v/>
      </c>
      <c r="Y71" t="str">
        <f>IFERROR(VLOOKUP(B71,'Pre-Summary'!$CR$6:$CT$36,3,FALSE),"")</f>
        <v/>
      </c>
      <c r="Z71" s="45" t="str">
        <f>IFERROR(VLOOKUP(B71,'Pre-Summary'!$BZ$6:$CB$63,2,FALSE),"")</f>
        <v/>
      </c>
      <c r="AA71" s="45" t="str">
        <f>IFERROR(VLOOKUP(B71,'Pre-Summary'!$CG$6:$CI$70,2,FALSE),"")</f>
        <v/>
      </c>
      <c r="AB71" s="99">
        <f>IFERROR(VLOOKUP(B71,'Pre-Summary'!$A$6:$P$178,9,FALSE),AB72)</f>
        <v>0.53921227545060579</v>
      </c>
      <c r="AC71" s="10">
        <f>IFERROR(VLOOKUP(Summary!B71,'Pre-Summary'!$A$6:$P$184,5, FALSE)/100,AC72)</f>
        <v>0.122433</v>
      </c>
      <c r="AD71" s="10">
        <f>IFERROR(VLOOKUP(Summary!B71,'Pre-Summary'!$A$6:$P$184,3, FALSE)/100,AD72)</f>
        <v>0.86166133333333339</v>
      </c>
      <c r="AE71" s="10">
        <f>IFERROR(VLOOKUP(Summary!B71,'Pre-Summary'!$A$6:$P$184,7, FALSE)/100,AE72)</f>
        <v>1.5905666666666665E-2</v>
      </c>
      <c r="AF71" s="99">
        <f t="shared" si="4"/>
        <v>0.46461836821446961</v>
      </c>
      <c r="AG71" s="99">
        <f t="shared" si="5"/>
        <v>8.5765307158921847E-3</v>
      </c>
      <c r="AH71" s="10" t="str">
        <f>IFERROR(VLOOKUP(B71,'Pre-Summary'!$AZ$6:$BE$65,3,FALSE),"")</f>
        <v/>
      </c>
      <c r="AI71" s="10" t="str">
        <f>IFERROR(VLOOKUP(B71,'Pre-Summary'!$AZ$6:$BE$65,5,FALSE),"")</f>
        <v/>
      </c>
      <c r="AJ71" s="10" t="str">
        <f>IFERROR(VLOOKUP(B71,'Pre-Summary'!$AZ$6:$BE$65,4,FALSE),"")</f>
        <v/>
      </c>
      <c r="AK71" s="10" t="str">
        <f>IFERROR(VLOOKUP(B71,'Pre-Summary'!$AZ$6:$BE$65,6,FALSE),"")</f>
        <v/>
      </c>
      <c r="AL71" s="10" t="str">
        <f>IFERROR(VLOOKUP(B71,'Pre-Summary'!$BG$6:$BL$44,3,FALSE),"")</f>
        <v/>
      </c>
      <c r="AM71" s="10" t="str">
        <f>IFERROR(VLOOKUP(B71,'Pre-Summary'!$BG$6:$BL$44,4,FALSE),"")</f>
        <v/>
      </c>
    </row>
    <row r="72" spans="2:39" ht="14.4" x14ac:dyDescent="0.3">
      <c r="B72">
        <v>6.9</v>
      </c>
      <c r="C72" t="str">
        <f>IFERROR(VLOOKUP(B72,'Pre-Summary'!$DI$6:$DM$23,4,FALSE),"")</f>
        <v/>
      </c>
      <c r="D72" s="10" t="str">
        <f>IFERROR(VLOOKUP(B72,'Pre-Summary'!$AT$6:$AX$14,5,FALSE),D71)</f>
        <v>DSMZ v1: Using DSMZ 120 without NaHCO3</v>
      </c>
      <c r="E72" s="10" t="str">
        <f>IFERROR(VLOOKUP(B72,'Pre-Summary'!$AT$6:$AX$15,4,FALSE),"")</f>
        <v/>
      </c>
      <c r="F72">
        <f>IFERROR(VLOOKUP(B72,'Pre-Summary'!$AL$6:$AQ$13,6,FALSE),F71)</f>
        <v>5.9405263157894746E-2</v>
      </c>
      <c r="G72" t="str">
        <f>IFERROR(VLOOKUP(B72,'Pre-Summary'!$AE$6:$AJ$85,3,FALSE),"")</f>
        <v/>
      </c>
      <c r="H72" t="str">
        <f>IFERROR(VLOOKUP(B72,'Pre-Summary'!$AE$6:$AJ$85,4,FALSE),"")</f>
        <v/>
      </c>
      <c r="I72" t="str">
        <f>IFERROR(VLOOKUP(B72,'Pre-Summary'!$AE$6:$AJ$85,5,FALSE),"")</f>
        <v/>
      </c>
      <c r="J72" s="45" t="str">
        <f>IFERROR(VLOOKUP(B72,'Pre-Summary'!$AE$6:$AJ$85,6, FALSE),"")</f>
        <v/>
      </c>
      <c r="K72" s="45" t="str">
        <f>IFERROR(VLOOKUP(B72,'Pre-Summary'!$DE$6:$DG$61,3,FALSE),"")</f>
        <v/>
      </c>
      <c r="L72" s="45" t="str">
        <f>IFERROR(VLOOKUP(B72,'Pre-Summary'!$CU$6:$CW$36,3,FALSE),"")</f>
        <v/>
      </c>
      <c r="M72" s="45" t="str">
        <f>IFERROR(VLOOKUP(B72,'Pre-Summary'!$BW$6:$BY$58,2,FALSE),"")</f>
        <v/>
      </c>
      <c r="N72" s="45" t="str">
        <f>IFERROR(VLOOKUP(B72,'Pre-Summary'!$CD$6:$CF$64,2,FALSE),"")</f>
        <v/>
      </c>
      <c r="O72" s="99">
        <f>IFERROR(VLOOKUP(B72,'Pre-Summary'!$BO$6:$BQ$48,3, FALSE),O71)</f>
        <v>1.0915248032216731</v>
      </c>
      <c r="P72" s="99">
        <f>IFERROR(VLOOKUP(B72,'Pre-Summary'!$BS$6:$BU$35,3,FALSE),P71)</f>
        <v>0.25</v>
      </c>
      <c r="Q72" s="54">
        <f t="shared" si="3"/>
        <v>4.3660992128866924</v>
      </c>
      <c r="R72" s="53">
        <f>IFERROR(VLOOKUP(B72,'Pre-Summary'!$BG$6:$BM$44,7,FALSE),R73)</f>
        <v>2.7904161219319636E-2</v>
      </c>
      <c r="S72" s="53">
        <f>IFERROR(VLOOKUP(B72,'Pre-Summary'!$BG$6:$BM$44,6,FALSE),S73)</f>
        <v>3.3978715219895171E-2</v>
      </c>
      <c r="T72" s="45" t="str">
        <f>IFERROR(VLOOKUP(B72,'Pre-Summary'!$Y$6:$AC$83, 3,FALSE),"")</f>
        <v/>
      </c>
      <c r="U72" s="45" t="str">
        <f>IFERROR(VLOOKUP(B72,'Pre-Summary'!$Y$6:$AC$83, 4,FALSE),"")</f>
        <v/>
      </c>
      <c r="V72" t="str">
        <f>IFERROR(VLOOKUP(B72,'Pre-Summary'!$Y$6:$AC$83, 5,FALSE),"")</f>
        <v/>
      </c>
      <c r="W72" s="45" t="str">
        <f>IFERROR(VLOOKUP(B72,'Pre-Summary'!$Y$6:$AD$83,6,FALSE),"")</f>
        <v/>
      </c>
      <c r="X72" t="str">
        <f>IFERROR(VLOOKUP('Pre-Summary'!$DB$6:$DD$63,3,FALSE),"")</f>
        <v/>
      </c>
      <c r="Y72" t="str">
        <f>IFERROR(VLOOKUP(B72,'Pre-Summary'!$CR$6:$CT$36,3,FALSE),"")</f>
        <v/>
      </c>
      <c r="Z72" s="45" t="str">
        <f>IFERROR(VLOOKUP(B72,'Pre-Summary'!$BZ$6:$CB$63,2,FALSE),"")</f>
        <v/>
      </c>
      <c r="AA72" s="45" t="str">
        <f>IFERROR(VLOOKUP(B72,'Pre-Summary'!$CG$6:$CI$70,2,FALSE),"")</f>
        <v/>
      </c>
      <c r="AB72" s="99">
        <f>IFERROR(VLOOKUP(B72,'Pre-Summary'!$A$6:$P$178,9,FALSE),AB73)</f>
        <v>0.53921227545060579</v>
      </c>
      <c r="AC72" s="10">
        <f>IFERROR(VLOOKUP(Summary!B72,'Pre-Summary'!$A$6:$P$184,5, FALSE)/100,AC73)</f>
        <v>0.122433</v>
      </c>
      <c r="AD72" s="10">
        <f>IFERROR(VLOOKUP(Summary!B72,'Pre-Summary'!$A$6:$P$184,3, FALSE)/100,AD73)</f>
        <v>0.86166133333333339</v>
      </c>
      <c r="AE72" s="10">
        <f>IFERROR(VLOOKUP(Summary!B72,'Pre-Summary'!$A$6:$P$184,7, FALSE)/100,AE73)</f>
        <v>1.5905666666666665E-2</v>
      </c>
      <c r="AF72" s="99">
        <f t="shared" si="4"/>
        <v>0.46461836821446961</v>
      </c>
      <c r="AG72" s="99">
        <f t="shared" si="5"/>
        <v>8.5765307158921847E-3</v>
      </c>
      <c r="AH72" s="10" t="str">
        <f>IFERROR(VLOOKUP(B72,'Pre-Summary'!$AZ$6:$BE$65,3,FALSE),"")</f>
        <v/>
      </c>
      <c r="AI72" s="10" t="str">
        <f>IFERROR(VLOOKUP(B72,'Pre-Summary'!$AZ$6:$BE$65,5,FALSE),"")</f>
        <v/>
      </c>
      <c r="AJ72" s="10" t="str">
        <f>IFERROR(VLOOKUP(B72,'Pre-Summary'!$AZ$6:$BE$65,4,FALSE),"")</f>
        <v/>
      </c>
      <c r="AK72" s="10" t="str">
        <f>IFERROR(VLOOKUP(B72,'Pre-Summary'!$AZ$6:$BE$65,6,FALSE),"")</f>
        <v/>
      </c>
      <c r="AL72" s="10" t="str">
        <f>IFERROR(VLOOKUP(B72,'Pre-Summary'!$BG$6:$BL$44,3,FALSE),"")</f>
        <v/>
      </c>
      <c r="AM72" s="10" t="str">
        <f>IFERROR(VLOOKUP(B72,'Pre-Summary'!$BG$6:$BL$44,4,FALSE),"")</f>
        <v/>
      </c>
    </row>
    <row r="73" spans="2:39" ht="14.4" x14ac:dyDescent="0.3">
      <c r="B73">
        <v>7</v>
      </c>
      <c r="C73" t="str">
        <f>IFERROR(VLOOKUP(B73,'Pre-Summary'!$DI$6:$DM$23,4,FALSE),"")</f>
        <v/>
      </c>
      <c r="D73" s="10" t="str">
        <f>IFERROR(VLOOKUP(B73,'Pre-Summary'!$AT$6:$AX$14,5,FALSE),D72)</f>
        <v>DSMZ v1: Using DSMZ 120 without NaHCO3</v>
      </c>
      <c r="E73" s="10" t="str">
        <f>IFERROR(VLOOKUP(B73,'Pre-Summary'!$AT$6:$AX$15,4,FALSE),"")</f>
        <v/>
      </c>
      <c r="F73">
        <f>IFERROR(VLOOKUP(B73,'Pre-Summary'!$AL$6:$AQ$13,6,FALSE),F72)</f>
        <v>5.9405263157894746E-2</v>
      </c>
      <c r="G73" t="str">
        <f>IFERROR(VLOOKUP(B73,'Pre-Summary'!$AE$6:$AJ$85,3,FALSE),"")</f>
        <v/>
      </c>
      <c r="H73" t="str">
        <f>IFERROR(VLOOKUP(B73,'Pre-Summary'!$AE$6:$AJ$85,4,FALSE),"")</f>
        <v/>
      </c>
      <c r="I73" t="str">
        <f>IFERROR(VLOOKUP(B73,'Pre-Summary'!$AE$6:$AJ$85,5,FALSE),"")</f>
        <v/>
      </c>
      <c r="J73" s="45" t="str">
        <f>IFERROR(VLOOKUP(B73,'Pre-Summary'!$AE$6:$AJ$85,6, FALSE),"")</f>
        <v/>
      </c>
      <c r="K73" s="45" t="str">
        <f>IFERROR(VLOOKUP(B73,'Pre-Summary'!$DE$6:$DG$61,3,FALSE),"")</f>
        <v/>
      </c>
      <c r="L73" s="45" t="str">
        <f>IFERROR(VLOOKUP(B73,'Pre-Summary'!$CU$6:$CW$36,3,FALSE),"")</f>
        <v/>
      </c>
      <c r="M73" s="45" t="str">
        <f>IFERROR(VLOOKUP(B73,'Pre-Summary'!$BW$6:$BY$58,2,FALSE),"")</f>
        <v/>
      </c>
      <c r="N73" s="45" t="str">
        <f>IFERROR(VLOOKUP(B73,'Pre-Summary'!$CD$6:$CF$64,2,FALSE),"")</f>
        <v/>
      </c>
      <c r="O73" s="99">
        <f>IFERROR(VLOOKUP(B73,'Pre-Summary'!$BO$6:$BQ$48,3, FALSE),O72)</f>
        <v>1.0915248032216731</v>
      </c>
      <c r="P73" s="99">
        <f>IFERROR(VLOOKUP(B73,'Pre-Summary'!$BS$6:$BU$35,3,FALSE),P72)</f>
        <v>0.25</v>
      </c>
      <c r="Q73" s="54">
        <f t="shared" si="3"/>
        <v>4.3660992128866924</v>
      </c>
      <c r="R73" s="53">
        <f>IFERROR(VLOOKUP(B73,'Pre-Summary'!$BG$6:$BM$44,7,FALSE),R74)</f>
        <v>2.7904161219319636E-2</v>
      </c>
      <c r="S73" s="53">
        <f>IFERROR(VLOOKUP(B73,'Pre-Summary'!$BG$6:$BM$44,6,FALSE),S74)</f>
        <v>3.3978715219895171E-2</v>
      </c>
      <c r="T73" s="45" t="str">
        <f>IFERROR(VLOOKUP(B73,'Pre-Summary'!$Y$6:$AC$83, 3,FALSE),"")</f>
        <v/>
      </c>
      <c r="U73" s="45" t="str">
        <f>IFERROR(VLOOKUP(B73,'Pre-Summary'!$Y$6:$AC$83, 4,FALSE),"")</f>
        <v/>
      </c>
      <c r="V73" t="str">
        <f>IFERROR(VLOOKUP(B73,'Pre-Summary'!$Y$6:$AC$83, 5,FALSE),"")</f>
        <v/>
      </c>
      <c r="W73" s="45" t="str">
        <f>IFERROR(VLOOKUP(B73,'Pre-Summary'!$Y$6:$AD$83,6,FALSE),"")</f>
        <v/>
      </c>
      <c r="X73" t="str">
        <f>IFERROR(VLOOKUP('Pre-Summary'!$DB$6:$DD$63,3,FALSE),"")</f>
        <v/>
      </c>
      <c r="Y73" t="str">
        <f>IFERROR(VLOOKUP(B73,'Pre-Summary'!$CR$6:$CT$36,3,FALSE),"")</f>
        <v/>
      </c>
      <c r="Z73" s="45" t="str">
        <f>IFERROR(VLOOKUP(B73,'Pre-Summary'!$BZ$6:$CB$63,2,FALSE),"")</f>
        <v/>
      </c>
      <c r="AA73" s="45" t="str">
        <f>IFERROR(VLOOKUP(B73,'Pre-Summary'!$CG$6:$CI$70,2,FALSE),"")</f>
        <v/>
      </c>
      <c r="AB73" s="99">
        <f>IFERROR(VLOOKUP(B73,'Pre-Summary'!$A$6:$P$178,9,FALSE),AB74)</f>
        <v>0.53921227545060579</v>
      </c>
      <c r="AC73" s="10">
        <f>IFERROR(VLOOKUP(Summary!B73,'Pre-Summary'!$A$6:$P$184,5, FALSE)/100,AC74)</f>
        <v>0.122433</v>
      </c>
      <c r="AD73" s="10">
        <f>IFERROR(VLOOKUP(Summary!B73,'Pre-Summary'!$A$6:$P$184,3, FALSE)/100,AD74)</f>
        <v>0.86166133333333339</v>
      </c>
      <c r="AE73" s="10">
        <f>IFERROR(VLOOKUP(Summary!B73,'Pre-Summary'!$A$6:$P$184,7, FALSE)/100,AE74)</f>
        <v>1.5905666666666665E-2</v>
      </c>
      <c r="AF73" s="99">
        <f t="shared" si="4"/>
        <v>0.46461836821446961</v>
      </c>
      <c r="AG73" s="99">
        <f t="shared" si="5"/>
        <v>8.5765307158921847E-3</v>
      </c>
      <c r="AH73" s="10" t="str">
        <f>IFERROR(VLOOKUP(B73,'Pre-Summary'!$AZ$6:$BE$65,3,FALSE),"")</f>
        <v/>
      </c>
      <c r="AI73" s="10" t="str">
        <f>IFERROR(VLOOKUP(B73,'Pre-Summary'!$AZ$6:$BE$65,5,FALSE),"")</f>
        <v/>
      </c>
      <c r="AJ73" s="10" t="str">
        <f>IFERROR(VLOOKUP(B73,'Pre-Summary'!$AZ$6:$BE$65,4,FALSE),"")</f>
        <v/>
      </c>
      <c r="AK73" s="10" t="str">
        <f>IFERROR(VLOOKUP(B73,'Pre-Summary'!$AZ$6:$BE$65,6,FALSE),"")</f>
        <v/>
      </c>
      <c r="AL73" s="10" t="str">
        <f>IFERROR(VLOOKUP(B73,'Pre-Summary'!$BG$6:$BL$44,3,FALSE),"")</f>
        <v/>
      </c>
      <c r="AM73" s="10" t="str">
        <f>IFERROR(VLOOKUP(B73,'Pre-Summary'!$BG$6:$BL$44,4,FALSE),"")</f>
        <v/>
      </c>
    </row>
    <row r="74" spans="2:39" ht="14.4" x14ac:dyDescent="0.3">
      <c r="B74">
        <v>7.1</v>
      </c>
      <c r="C74" t="str">
        <f>IFERROR(VLOOKUP(B74,'Pre-Summary'!$DI$6:$DM$23,4,FALSE),"")</f>
        <v/>
      </c>
      <c r="D74" s="10" t="str">
        <f>IFERROR(VLOOKUP(B74,'Pre-Summary'!$AT$6:$AX$14,5,FALSE),D73)</f>
        <v>DSMZ v1: Using DSMZ 120 without NaHCO3</v>
      </c>
      <c r="E74" s="10" t="str">
        <f>IFERROR(VLOOKUP(B74,'Pre-Summary'!$AT$6:$AX$15,4,FALSE),"")</f>
        <v/>
      </c>
      <c r="F74">
        <f>IFERROR(VLOOKUP(B74,'Pre-Summary'!$AL$6:$AQ$13,6,FALSE),F73)</f>
        <v>5.9405263157894746E-2</v>
      </c>
      <c r="G74" t="str">
        <f>IFERROR(VLOOKUP(B74,'Pre-Summary'!$AE$6:$AJ$85,3,FALSE),"")</f>
        <v/>
      </c>
      <c r="H74" t="str">
        <f>IFERROR(VLOOKUP(B74,'Pre-Summary'!$AE$6:$AJ$85,4,FALSE),"")</f>
        <v/>
      </c>
      <c r="I74" t="str">
        <f>IFERROR(VLOOKUP(B74,'Pre-Summary'!$AE$6:$AJ$85,5,FALSE),"")</f>
        <v/>
      </c>
      <c r="J74" s="45" t="str">
        <f>IFERROR(VLOOKUP(B74,'Pre-Summary'!$AE$6:$AJ$85,6, FALSE),"")</f>
        <v/>
      </c>
      <c r="K74" s="45" t="str">
        <f>IFERROR(VLOOKUP(B74,'Pre-Summary'!$DE$6:$DG$61,3,FALSE),"")</f>
        <v/>
      </c>
      <c r="L74" s="45" t="str">
        <f>IFERROR(VLOOKUP(B74,'Pre-Summary'!$CU$6:$CW$36,3,FALSE),"")</f>
        <v/>
      </c>
      <c r="M74" s="45" t="str">
        <f>IFERROR(VLOOKUP(B74,'Pre-Summary'!$BW$6:$BY$58,2,FALSE),"")</f>
        <v/>
      </c>
      <c r="N74" s="45" t="str">
        <f>IFERROR(VLOOKUP(B74,'Pre-Summary'!$CD$6:$CF$64,2,FALSE),"")</f>
        <v/>
      </c>
      <c r="O74" s="99">
        <f>IFERROR(VLOOKUP(B74,'Pre-Summary'!$BO$6:$BQ$48,3, FALSE),O73)</f>
        <v>1.0915248032216731</v>
      </c>
      <c r="P74" s="99">
        <f>IFERROR(VLOOKUP(B74,'Pre-Summary'!$BS$6:$BU$35,3,FALSE),P73)</f>
        <v>0.25</v>
      </c>
      <c r="Q74" s="54">
        <f t="shared" si="3"/>
        <v>4.3660992128866924</v>
      </c>
      <c r="R74" s="53">
        <f>IFERROR(VLOOKUP(B74,'Pre-Summary'!$BG$6:$BM$44,7,FALSE),R75)</f>
        <v>2.7904161219319636E-2</v>
      </c>
      <c r="S74" s="53">
        <f>IFERROR(VLOOKUP(B74,'Pre-Summary'!$BG$6:$BM$44,6,FALSE),S75)</f>
        <v>3.3978715219895171E-2</v>
      </c>
      <c r="T74" s="45" t="str">
        <f>IFERROR(VLOOKUP(B74,'Pre-Summary'!$Y$6:$AC$83, 3,FALSE),"")</f>
        <v/>
      </c>
      <c r="U74" s="45" t="str">
        <f>IFERROR(VLOOKUP(B74,'Pre-Summary'!$Y$6:$AC$83, 4,FALSE),"")</f>
        <v/>
      </c>
      <c r="V74" t="str">
        <f>IFERROR(VLOOKUP(B74,'Pre-Summary'!$Y$6:$AC$83, 5,FALSE),"")</f>
        <v/>
      </c>
      <c r="W74" s="45" t="str">
        <f>IFERROR(VLOOKUP(B74,'Pre-Summary'!$Y$6:$AD$83,6,FALSE),"")</f>
        <v/>
      </c>
      <c r="X74" t="str">
        <f>IFERROR(VLOOKUP('Pre-Summary'!$DB$6:$DD$63,3,FALSE),"")</f>
        <v/>
      </c>
      <c r="Y74" t="str">
        <f>IFERROR(VLOOKUP(B74,'Pre-Summary'!$CR$6:$CT$36,3,FALSE),"")</f>
        <v/>
      </c>
      <c r="Z74" s="45" t="str">
        <f>IFERROR(VLOOKUP(B74,'Pre-Summary'!$BZ$6:$CB$63,2,FALSE),"")</f>
        <v/>
      </c>
      <c r="AA74" s="45" t="str">
        <f>IFERROR(VLOOKUP(B74,'Pre-Summary'!$CG$6:$CI$70,2,FALSE),"")</f>
        <v/>
      </c>
      <c r="AB74" s="99">
        <f>IFERROR(VLOOKUP(B74,'Pre-Summary'!$A$6:$P$178,9,FALSE),AB75)</f>
        <v>0.55015564325096722</v>
      </c>
      <c r="AC74" s="10">
        <f>IFERROR(VLOOKUP(Summary!B74,'Pre-Summary'!$A$6:$P$184,5, FALSE)/100,AC75)</f>
        <v>0.12663466666666667</v>
      </c>
      <c r="AD74" s="10">
        <f>IFERROR(VLOOKUP(Summary!B74,'Pre-Summary'!$A$6:$P$184,3, FALSE)/100,AD75)</f>
        <v>0.86581866666666674</v>
      </c>
      <c r="AE74" s="10">
        <f>IFERROR(VLOOKUP(Summary!B74,'Pre-Summary'!$A$6:$P$184,7, FALSE)/100,AE75)</f>
        <v>7.5466666666666659E-3</v>
      </c>
      <c r="AF74" s="99">
        <f t="shared" si="4"/>
        <v>0.47633502549869483</v>
      </c>
      <c r="AG74" s="99">
        <f t="shared" si="5"/>
        <v>4.1518412544006324E-3</v>
      </c>
      <c r="AH74" s="10" t="str">
        <f>IFERROR(VLOOKUP(B74,'Pre-Summary'!$AZ$6:$BE$65,3,FALSE),"")</f>
        <v/>
      </c>
      <c r="AI74" s="10" t="str">
        <f>IFERROR(VLOOKUP(B74,'Pre-Summary'!$AZ$6:$BE$65,5,FALSE),"")</f>
        <v/>
      </c>
      <c r="AJ74" s="10" t="str">
        <f>IFERROR(VLOOKUP(B74,'Pre-Summary'!$AZ$6:$BE$65,4,FALSE),"")</f>
        <v/>
      </c>
      <c r="AK74" s="10" t="str">
        <f>IFERROR(VLOOKUP(B74,'Pre-Summary'!$AZ$6:$BE$65,6,FALSE),"")</f>
        <v/>
      </c>
      <c r="AL74" s="10" t="str">
        <f>IFERROR(VLOOKUP(B74,'Pre-Summary'!$BG$6:$BL$44,3,FALSE),"")</f>
        <v/>
      </c>
      <c r="AM74" s="10" t="str">
        <f>IFERROR(VLOOKUP(B74,'Pre-Summary'!$BG$6:$BL$44,4,FALSE),"")</f>
        <v/>
      </c>
    </row>
    <row r="75" spans="2:39" ht="14.4" x14ac:dyDescent="0.3">
      <c r="B75">
        <v>7.2</v>
      </c>
      <c r="C75" t="str">
        <f>IFERROR(VLOOKUP(B75,'Pre-Summary'!$DI$6:$DM$23,4,FALSE),"")</f>
        <v/>
      </c>
      <c r="D75" s="10" t="str">
        <f>IFERROR(VLOOKUP(B75,'Pre-Summary'!$AT$6:$AX$14,5,FALSE),D74)</f>
        <v>DSMZ v1: Using DSMZ 120 without NaHCO3</v>
      </c>
      <c r="E75" s="10" t="str">
        <f>IFERROR(VLOOKUP(B75,'Pre-Summary'!$AT$6:$AX$15,4,FALSE),"")</f>
        <v/>
      </c>
      <c r="F75">
        <f>IFERROR(VLOOKUP(B75,'Pre-Summary'!$AL$6:$AQ$13,6,FALSE),F74)</f>
        <v>5.9405263157894746E-2</v>
      </c>
      <c r="G75" t="str">
        <f>IFERROR(VLOOKUP(B75,'Pre-Summary'!$AE$6:$AJ$85,3,FALSE),"")</f>
        <v/>
      </c>
      <c r="H75" t="str">
        <f>IFERROR(VLOOKUP(B75,'Pre-Summary'!$AE$6:$AJ$85,4,FALSE),"")</f>
        <v/>
      </c>
      <c r="I75" t="str">
        <f>IFERROR(VLOOKUP(B75,'Pre-Summary'!$AE$6:$AJ$85,5,FALSE),"")</f>
        <v/>
      </c>
      <c r="J75" s="45" t="str">
        <f>IFERROR(VLOOKUP(B75,'Pre-Summary'!$AE$6:$AJ$85,6, FALSE),"")</f>
        <v/>
      </c>
      <c r="K75" s="45" t="str">
        <f>IFERROR(VLOOKUP(B75,'Pre-Summary'!$DE$6:$DG$61,3,FALSE),"")</f>
        <v/>
      </c>
      <c r="L75" s="45" t="str">
        <f>IFERROR(VLOOKUP(B75,'Pre-Summary'!$CU$6:$CW$36,3,FALSE),"")</f>
        <v/>
      </c>
      <c r="M75" s="45" t="str">
        <f>IFERROR(VLOOKUP(B75,'Pre-Summary'!$BW$6:$BY$58,2,FALSE),"")</f>
        <v/>
      </c>
      <c r="N75" s="45" t="str">
        <f>IFERROR(VLOOKUP(B75,'Pre-Summary'!$CD$6:$CF$64,2,FALSE),"")</f>
        <v/>
      </c>
      <c r="O75" s="99">
        <f>IFERROR(VLOOKUP(B75,'Pre-Summary'!$BO$6:$BQ$48,3, FALSE),O74)</f>
        <v>1.0915248032216731</v>
      </c>
      <c r="P75" s="99">
        <f>IFERROR(VLOOKUP(B75,'Pre-Summary'!$BS$6:$BU$35,3,FALSE),P74)</f>
        <v>0.25</v>
      </c>
      <c r="Q75" s="54">
        <f t="shared" si="3"/>
        <v>4.3660992128866924</v>
      </c>
      <c r="R75" s="53">
        <f>IFERROR(VLOOKUP(B75,'Pre-Summary'!$BG$6:$BM$44,7,FALSE),R76)</f>
        <v>2.7904161219319636E-2</v>
      </c>
      <c r="S75" s="53">
        <f>IFERROR(VLOOKUP(B75,'Pre-Summary'!$BG$6:$BM$44,6,FALSE),S76)</f>
        <v>3.3978715219895171E-2</v>
      </c>
      <c r="T75" s="45" t="str">
        <f>IFERROR(VLOOKUP(B75,'Pre-Summary'!$Y$6:$AC$83, 3,FALSE),"")</f>
        <v/>
      </c>
      <c r="U75" s="45" t="str">
        <f>IFERROR(VLOOKUP(B75,'Pre-Summary'!$Y$6:$AC$83, 4,FALSE),"")</f>
        <v/>
      </c>
      <c r="V75" t="str">
        <f>IFERROR(VLOOKUP(B75,'Pre-Summary'!$Y$6:$AC$83, 5,FALSE),"")</f>
        <v/>
      </c>
      <c r="W75" s="45" t="str">
        <f>IFERROR(VLOOKUP(B75,'Pre-Summary'!$Y$6:$AD$83,6,FALSE),"")</f>
        <v/>
      </c>
      <c r="X75" t="str">
        <f>IFERROR(VLOOKUP('Pre-Summary'!$DB$6:$DD$63,3,FALSE),"")</f>
        <v/>
      </c>
      <c r="Y75" t="str">
        <f>IFERROR(VLOOKUP(B75,'Pre-Summary'!$CR$6:$CT$36,3,FALSE),"")</f>
        <v/>
      </c>
      <c r="Z75" s="45" t="str">
        <f>IFERROR(VLOOKUP(B75,'Pre-Summary'!$BZ$6:$CB$63,2,FALSE),"")</f>
        <v/>
      </c>
      <c r="AA75" s="45" t="str">
        <f>IFERROR(VLOOKUP(B75,'Pre-Summary'!$CG$6:$CI$70,2,FALSE),"")</f>
        <v/>
      </c>
      <c r="AB75" s="99">
        <f>IFERROR(VLOOKUP(B75,'Pre-Summary'!$A$6:$P$178,9,FALSE),AB76)</f>
        <v>0.55015564325096722</v>
      </c>
      <c r="AC75" s="10">
        <f>IFERROR(VLOOKUP(Summary!B75,'Pre-Summary'!$A$6:$P$184,5, FALSE)/100,AC76)</f>
        <v>0.12663466666666667</v>
      </c>
      <c r="AD75" s="10">
        <f>IFERROR(VLOOKUP(Summary!B75,'Pre-Summary'!$A$6:$P$184,3, FALSE)/100,AD76)</f>
        <v>0.86581866666666674</v>
      </c>
      <c r="AE75" s="10">
        <f>IFERROR(VLOOKUP(Summary!B75,'Pre-Summary'!$A$6:$P$184,7, FALSE)/100,AE76)</f>
        <v>7.5466666666666659E-3</v>
      </c>
      <c r="AF75" s="99">
        <f t="shared" si="4"/>
        <v>0.47633502549869483</v>
      </c>
      <c r="AG75" s="99">
        <f t="shared" si="5"/>
        <v>4.1518412544006324E-3</v>
      </c>
      <c r="AH75" s="10" t="str">
        <f>IFERROR(VLOOKUP(B75,'Pre-Summary'!$AZ$6:$BE$65,3,FALSE),"")</f>
        <v/>
      </c>
      <c r="AI75" s="10" t="str">
        <f>IFERROR(VLOOKUP(B75,'Pre-Summary'!$AZ$6:$BE$65,5,FALSE),"")</f>
        <v/>
      </c>
      <c r="AJ75" s="10" t="str">
        <f>IFERROR(VLOOKUP(B75,'Pre-Summary'!$AZ$6:$BE$65,4,FALSE),"")</f>
        <v/>
      </c>
      <c r="AK75" s="10" t="str">
        <f>IFERROR(VLOOKUP(B75,'Pre-Summary'!$AZ$6:$BE$65,6,FALSE),"")</f>
        <v/>
      </c>
      <c r="AL75" s="10" t="str">
        <f>IFERROR(VLOOKUP(B75,'Pre-Summary'!$BG$6:$BL$44,3,FALSE),"")</f>
        <v/>
      </c>
      <c r="AM75" s="10" t="str">
        <f>IFERROR(VLOOKUP(B75,'Pre-Summary'!$BG$6:$BL$44,4,FALSE),"")</f>
        <v/>
      </c>
    </row>
    <row r="76" spans="2:39" ht="14.4" x14ac:dyDescent="0.3">
      <c r="B76">
        <v>7.3</v>
      </c>
      <c r="C76" t="str">
        <f>IFERROR(VLOOKUP(B76,'Pre-Summary'!$DI$6:$DM$23,4,FALSE),"")</f>
        <v/>
      </c>
      <c r="D76" s="10" t="str">
        <f>IFERROR(VLOOKUP(B76,'Pre-Summary'!$AT$6:$AX$14,5,FALSE),D75)</f>
        <v>DSMZ v1: Using DSMZ 120 without NaHCO3</v>
      </c>
      <c r="E76" s="10" t="str">
        <f>IFERROR(VLOOKUP(B76,'Pre-Summary'!$AT$6:$AX$15,4,FALSE),"")</f>
        <v/>
      </c>
      <c r="F76">
        <f>IFERROR(VLOOKUP(B76,'Pre-Summary'!$AL$6:$AQ$13,6,FALSE),F75)</f>
        <v>5.9405263157894746E-2</v>
      </c>
      <c r="G76" t="str">
        <f>IFERROR(VLOOKUP(B76,'Pre-Summary'!$AE$6:$AJ$85,3,FALSE),"")</f>
        <v/>
      </c>
      <c r="H76" t="str">
        <f>IFERROR(VLOOKUP(B76,'Pre-Summary'!$AE$6:$AJ$85,4,FALSE),"")</f>
        <v/>
      </c>
      <c r="I76" t="str">
        <f>IFERROR(VLOOKUP(B76,'Pre-Summary'!$AE$6:$AJ$85,5,FALSE),"")</f>
        <v/>
      </c>
      <c r="J76" s="45" t="str">
        <f>IFERROR(VLOOKUP(B76,'Pre-Summary'!$AE$6:$AJ$85,6, FALSE),"")</f>
        <v/>
      </c>
      <c r="K76" s="45" t="str">
        <f>IFERROR(VLOOKUP(B76,'Pre-Summary'!$DE$6:$DG$61,3,FALSE),"")</f>
        <v/>
      </c>
      <c r="L76" s="45" t="str">
        <f>IFERROR(VLOOKUP(B76,'Pre-Summary'!$CU$6:$CW$36,3,FALSE),"")</f>
        <v/>
      </c>
      <c r="M76" s="45" t="str">
        <f>IFERROR(VLOOKUP(B76,'Pre-Summary'!$BW$6:$BY$58,2,FALSE),"")</f>
        <v/>
      </c>
      <c r="N76" s="45" t="str">
        <f>IFERROR(VLOOKUP(B76,'Pre-Summary'!$CD$6:$CF$64,2,FALSE),"")</f>
        <v/>
      </c>
      <c r="O76" s="99">
        <f>IFERROR(VLOOKUP(B76,'Pre-Summary'!$BO$6:$BQ$48,3, FALSE),O75)</f>
        <v>1.0915248032216731</v>
      </c>
      <c r="P76" s="99">
        <f>IFERROR(VLOOKUP(B76,'Pre-Summary'!$BS$6:$BU$35,3,FALSE),P75)</f>
        <v>0.25</v>
      </c>
      <c r="Q76" s="54">
        <f t="shared" si="3"/>
        <v>4.3660992128866924</v>
      </c>
      <c r="R76" s="53">
        <f>IFERROR(VLOOKUP(B76,'Pre-Summary'!$BG$6:$BM$44,7,FALSE),R77)</f>
        <v>2.7904161219319636E-2</v>
      </c>
      <c r="S76" s="53">
        <f>IFERROR(VLOOKUP(B76,'Pre-Summary'!$BG$6:$BM$44,6,FALSE),S77)</f>
        <v>3.3978715219895171E-2</v>
      </c>
      <c r="T76" s="45" t="str">
        <f>IFERROR(VLOOKUP(B76,'Pre-Summary'!$Y$6:$AC$83, 3,FALSE),"")</f>
        <v/>
      </c>
      <c r="U76" s="45" t="str">
        <f>IFERROR(VLOOKUP(B76,'Pre-Summary'!$Y$6:$AC$83, 4,FALSE),"")</f>
        <v/>
      </c>
      <c r="V76" t="str">
        <f>IFERROR(VLOOKUP(B76,'Pre-Summary'!$Y$6:$AC$83, 5,FALSE),"")</f>
        <v/>
      </c>
      <c r="W76" s="45" t="str">
        <f>IFERROR(VLOOKUP(B76,'Pre-Summary'!$Y$6:$AD$83,6,FALSE),"")</f>
        <v/>
      </c>
      <c r="X76" t="str">
        <f>IFERROR(VLOOKUP('Pre-Summary'!$DB$6:$DD$63,3,FALSE),"")</f>
        <v/>
      </c>
      <c r="Y76" t="str">
        <f>IFERROR(VLOOKUP(B76,'Pre-Summary'!$CR$6:$CT$36,3,FALSE),"")</f>
        <v/>
      </c>
      <c r="Z76" s="45" t="str">
        <f>IFERROR(VLOOKUP(B76,'Pre-Summary'!$BZ$6:$CB$63,2,FALSE),"")</f>
        <v/>
      </c>
      <c r="AA76" s="45" t="str">
        <f>IFERROR(VLOOKUP(B76,'Pre-Summary'!$CG$6:$CI$70,2,FALSE),"")</f>
        <v/>
      </c>
      <c r="AB76" s="99">
        <f>IFERROR(VLOOKUP(B76,'Pre-Summary'!$A$6:$P$178,9,FALSE),AB77)</f>
        <v>0.55015564325096722</v>
      </c>
      <c r="AC76" s="10">
        <f>IFERROR(VLOOKUP(Summary!B76,'Pre-Summary'!$A$6:$P$184,5, FALSE)/100,AC77)</f>
        <v>0.12663466666666667</v>
      </c>
      <c r="AD76" s="10">
        <f>IFERROR(VLOOKUP(Summary!B76,'Pre-Summary'!$A$6:$P$184,3, FALSE)/100,AD77)</f>
        <v>0.86581866666666674</v>
      </c>
      <c r="AE76" s="10">
        <f>IFERROR(VLOOKUP(Summary!B76,'Pre-Summary'!$A$6:$P$184,7, FALSE)/100,AE77)</f>
        <v>7.5466666666666659E-3</v>
      </c>
      <c r="AF76" s="99">
        <f t="shared" si="4"/>
        <v>0.47633502549869483</v>
      </c>
      <c r="AG76" s="99">
        <f t="shared" si="5"/>
        <v>4.1518412544006324E-3</v>
      </c>
      <c r="AH76" s="10" t="str">
        <f>IFERROR(VLOOKUP(B76,'Pre-Summary'!$AZ$6:$BE$65,3,FALSE),"")</f>
        <v/>
      </c>
      <c r="AI76" s="10" t="str">
        <f>IFERROR(VLOOKUP(B76,'Pre-Summary'!$AZ$6:$BE$65,5,FALSE),"")</f>
        <v/>
      </c>
      <c r="AJ76" s="10" t="str">
        <f>IFERROR(VLOOKUP(B76,'Pre-Summary'!$AZ$6:$BE$65,4,FALSE),"")</f>
        <v/>
      </c>
      <c r="AK76" s="10" t="str">
        <f>IFERROR(VLOOKUP(B76,'Pre-Summary'!$AZ$6:$BE$65,6,FALSE),"")</f>
        <v/>
      </c>
      <c r="AL76" s="10" t="str">
        <f>IFERROR(VLOOKUP(B76,'Pre-Summary'!$BG$6:$BL$44,3,FALSE),"")</f>
        <v/>
      </c>
      <c r="AM76" s="10" t="str">
        <f>IFERROR(VLOOKUP(B76,'Pre-Summary'!$BG$6:$BL$44,4,FALSE),"")</f>
        <v/>
      </c>
    </row>
    <row r="77" spans="2:39" ht="14.4" x14ac:dyDescent="0.3">
      <c r="B77">
        <v>7.4</v>
      </c>
      <c r="C77" t="str">
        <f>IFERROR(VLOOKUP(B77,'Pre-Summary'!$DI$6:$DM$23,4,FALSE),"")</f>
        <v/>
      </c>
      <c r="D77" s="10" t="str">
        <f>IFERROR(VLOOKUP(B77,'Pre-Summary'!$AT$6:$AX$14,5,FALSE),D76)</f>
        <v>DSMZ v1: Using DSMZ 120 without NaHCO3</v>
      </c>
      <c r="E77" s="10" t="str">
        <f>IFERROR(VLOOKUP(B77,'Pre-Summary'!$AT$6:$AX$15,4,FALSE),"")</f>
        <v/>
      </c>
      <c r="F77">
        <f>IFERROR(VLOOKUP(B77,'Pre-Summary'!$AL$6:$AQ$13,6,FALSE),F76)</f>
        <v>5.9405263157894746E-2</v>
      </c>
      <c r="G77" t="str">
        <f>IFERROR(VLOOKUP(B77,'Pre-Summary'!$AE$6:$AJ$85,3,FALSE),"")</f>
        <v/>
      </c>
      <c r="H77" t="str">
        <f>IFERROR(VLOOKUP(B77,'Pre-Summary'!$AE$6:$AJ$85,4,FALSE),"")</f>
        <v/>
      </c>
      <c r="I77" t="str">
        <f>IFERROR(VLOOKUP(B77,'Pre-Summary'!$AE$6:$AJ$85,5,FALSE),"")</f>
        <v/>
      </c>
      <c r="J77" s="45" t="str">
        <f>IFERROR(VLOOKUP(B77,'Pre-Summary'!$AE$6:$AJ$85,6, FALSE),"")</f>
        <v/>
      </c>
      <c r="K77" s="45" t="str">
        <f>IFERROR(VLOOKUP(B77,'Pre-Summary'!$DE$6:$DG$61,3,FALSE),"")</f>
        <v/>
      </c>
      <c r="L77" s="45" t="str">
        <f>IFERROR(VLOOKUP(B77,'Pre-Summary'!$CU$6:$CW$36,3,FALSE),"")</f>
        <v/>
      </c>
      <c r="M77" s="45" t="str">
        <f>IFERROR(VLOOKUP(B77,'Pre-Summary'!$BW$6:$BY$58,2,FALSE),"")</f>
        <v/>
      </c>
      <c r="N77" s="45" t="str">
        <f>IFERROR(VLOOKUP(B77,'Pre-Summary'!$CD$6:$CF$64,2,FALSE),"")</f>
        <v/>
      </c>
      <c r="O77" s="99">
        <f>IFERROR(VLOOKUP(B77,'Pre-Summary'!$BO$6:$BQ$48,3, FALSE),O76)</f>
        <v>1.0915248032216731</v>
      </c>
      <c r="P77" s="99">
        <f>IFERROR(VLOOKUP(B77,'Pre-Summary'!$BS$6:$BU$35,3,FALSE),P76)</f>
        <v>0.25</v>
      </c>
      <c r="Q77" s="54">
        <f t="shared" si="3"/>
        <v>4.3660992128866924</v>
      </c>
      <c r="R77" s="53">
        <f>IFERROR(VLOOKUP(B77,'Pre-Summary'!$BG$6:$BM$44,7,FALSE),R78)</f>
        <v>2.7904161219319636E-2</v>
      </c>
      <c r="S77" s="53">
        <f>IFERROR(VLOOKUP(B77,'Pre-Summary'!$BG$6:$BM$44,6,FALSE),S78)</f>
        <v>3.3978715219895171E-2</v>
      </c>
      <c r="T77" s="45" t="str">
        <f>IFERROR(VLOOKUP(B77,'Pre-Summary'!$Y$6:$AC$83, 3,FALSE),"")</f>
        <v/>
      </c>
      <c r="U77" s="45" t="str">
        <f>IFERROR(VLOOKUP(B77,'Pre-Summary'!$Y$6:$AC$83, 4,FALSE),"")</f>
        <v/>
      </c>
      <c r="V77" t="str">
        <f>IFERROR(VLOOKUP(B77,'Pre-Summary'!$Y$6:$AC$83, 5,FALSE),"")</f>
        <v/>
      </c>
      <c r="W77" s="45" t="str">
        <f>IFERROR(VLOOKUP(B77,'Pre-Summary'!$Y$6:$AD$83,6,FALSE),"")</f>
        <v/>
      </c>
      <c r="X77" t="str">
        <f>IFERROR(VLOOKUP('Pre-Summary'!$DB$6:$DD$63,3,FALSE),"")</f>
        <v/>
      </c>
      <c r="Y77" t="str">
        <f>IFERROR(VLOOKUP(B77,'Pre-Summary'!$CR$6:$CT$36,3,FALSE),"")</f>
        <v/>
      </c>
      <c r="Z77" s="45" t="str">
        <f>IFERROR(VLOOKUP(B77,'Pre-Summary'!$BZ$6:$CB$63,2,FALSE),"")</f>
        <v/>
      </c>
      <c r="AA77" s="45" t="str">
        <f>IFERROR(VLOOKUP(B77,'Pre-Summary'!$CG$6:$CI$70,2,FALSE),"")</f>
        <v/>
      </c>
      <c r="AB77" s="99">
        <f>IFERROR(VLOOKUP(B77,'Pre-Summary'!$A$6:$P$178,9,FALSE),AB78)</f>
        <v>0.55015564325096722</v>
      </c>
      <c r="AC77" s="10">
        <f>IFERROR(VLOOKUP(Summary!B77,'Pre-Summary'!$A$6:$P$184,5, FALSE)/100,AC78)</f>
        <v>0.12663466666666667</v>
      </c>
      <c r="AD77" s="10">
        <f>IFERROR(VLOOKUP(Summary!B77,'Pre-Summary'!$A$6:$P$184,3, FALSE)/100,AD78)</f>
        <v>0.86581866666666674</v>
      </c>
      <c r="AE77" s="10">
        <f>IFERROR(VLOOKUP(Summary!B77,'Pre-Summary'!$A$6:$P$184,7, FALSE)/100,AE78)</f>
        <v>7.5466666666666659E-3</v>
      </c>
      <c r="AF77" s="99">
        <f t="shared" si="4"/>
        <v>0.47633502549869483</v>
      </c>
      <c r="AG77" s="99">
        <f t="shared" si="5"/>
        <v>4.1518412544006324E-3</v>
      </c>
      <c r="AH77" s="10" t="str">
        <f>IFERROR(VLOOKUP(B77,'Pre-Summary'!$AZ$6:$BE$65,3,FALSE),"")</f>
        <v/>
      </c>
      <c r="AI77" s="10" t="str">
        <f>IFERROR(VLOOKUP(B77,'Pre-Summary'!$AZ$6:$BE$65,5,FALSE),"")</f>
        <v/>
      </c>
      <c r="AJ77" s="10" t="str">
        <f>IFERROR(VLOOKUP(B77,'Pre-Summary'!$AZ$6:$BE$65,4,FALSE),"")</f>
        <v/>
      </c>
      <c r="AK77" s="10" t="str">
        <f>IFERROR(VLOOKUP(B77,'Pre-Summary'!$AZ$6:$BE$65,6,FALSE),"")</f>
        <v/>
      </c>
      <c r="AL77" s="10" t="str">
        <f>IFERROR(VLOOKUP(B77,'Pre-Summary'!$BG$6:$BL$44,3,FALSE),"")</f>
        <v/>
      </c>
      <c r="AM77" s="10" t="str">
        <f>IFERROR(VLOOKUP(B77,'Pre-Summary'!$BG$6:$BL$44,4,FALSE),"")</f>
        <v/>
      </c>
    </row>
    <row r="78" spans="2:39" ht="14.4" x14ac:dyDescent="0.3">
      <c r="B78">
        <v>7.5</v>
      </c>
      <c r="C78" t="str">
        <f>IFERROR(VLOOKUP(B78,'Pre-Summary'!$DI$6:$DM$23,4,FALSE),"")</f>
        <v/>
      </c>
      <c r="D78" s="10" t="str">
        <f>IFERROR(VLOOKUP(B78,'Pre-Summary'!$AT$6:$AX$14,5,FALSE),D77)</f>
        <v>DSMZ v1: Using DSMZ 120 without NaHCO3</v>
      </c>
      <c r="E78" s="10" t="str">
        <f>IFERROR(VLOOKUP(B78,'Pre-Summary'!$AT$6:$AX$15,4,FALSE),"")</f>
        <v/>
      </c>
      <c r="F78">
        <f>IFERROR(VLOOKUP(B78,'Pre-Summary'!$AL$6:$AQ$13,6,FALSE),F77)</f>
        <v>5.9405263157894746E-2</v>
      </c>
      <c r="G78" t="str">
        <f>IFERROR(VLOOKUP(B78,'Pre-Summary'!$AE$6:$AJ$85,3,FALSE),"")</f>
        <v/>
      </c>
      <c r="H78" t="str">
        <f>IFERROR(VLOOKUP(B78,'Pre-Summary'!$AE$6:$AJ$85,4,FALSE),"")</f>
        <v/>
      </c>
      <c r="I78" t="str">
        <f>IFERROR(VLOOKUP(B78,'Pre-Summary'!$AE$6:$AJ$85,5,FALSE),"")</f>
        <v/>
      </c>
      <c r="J78" s="45" t="str">
        <f>IFERROR(VLOOKUP(B78,'Pre-Summary'!$AE$6:$AJ$85,6, FALSE),"")</f>
        <v/>
      </c>
      <c r="K78" s="45" t="str">
        <f>IFERROR(VLOOKUP(B78,'Pre-Summary'!$DE$6:$DG$61,3,FALSE),"")</f>
        <v/>
      </c>
      <c r="L78" s="45" t="str">
        <f>IFERROR(VLOOKUP(B78,'Pre-Summary'!$CU$6:$CW$36,3,FALSE),"")</f>
        <v/>
      </c>
      <c r="M78" s="45" t="str">
        <f>IFERROR(VLOOKUP(B78,'Pre-Summary'!$BW$6:$BY$58,2,FALSE),"")</f>
        <v/>
      </c>
      <c r="N78" s="45" t="str">
        <f>IFERROR(VLOOKUP(B78,'Pre-Summary'!$CD$6:$CF$64,2,FALSE),"")</f>
        <v/>
      </c>
      <c r="O78" s="99">
        <f>IFERROR(VLOOKUP(B78,'Pre-Summary'!$BO$6:$BQ$48,3, FALSE),O77)</f>
        <v>1.0915248032216731</v>
      </c>
      <c r="P78" s="99">
        <f>IFERROR(VLOOKUP(B78,'Pre-Summary'!$BS$6:$BU$35,3,FALSE),P77)</f>
        <v>0.25</v>
      </c>
      <c r="Q78" s="54">
        <f t="shared" si="3"/>
        <v>4.3660992128866924</v>
      </c>
      <c r="R78" s="53">
        <f>IFERROR(VLOOKUP(B78,'Pre-Summary'!$BG$6:$BM$44,7,FALSE),R79)</f>
        <v>2.7904161219319636E-2</v>
      </c>
      <c r="S78" s="53">
        <f>IFERROR(VLOOKUP(B78,'Pre-Summary'!$BG$6:$BM$44,6,FALSE),S79)</f>
        <v>3.3978715219895171E-2</v>
      </c>
      <c r="T78" s="45">
        <f>IFERROR(VLOOKUP(B78,'Pre-Summary'!$Y$6:$AC$83, 3,FALSE),"")</f>
        <v>3891.893333333333</v>
      </c>
      <c r="U78" s="45">
        <f>IFERROR(VLOOKUP(B78,'Pre-Summary'!$Y$6:$AC$83, 4,FALSE),"")</f>
        <v>101.17666666666666</v>
      </c>
      <c r="V78">
        <f>IFERROR(VLOOKUP(B78,'Pre-Summary'!$Y$6:$AC$83, 5,FALSE),"")</f>
        <v>0</v>
      </c>
      <c r="W78" s="45">
        <f>IFERROR(VLOOKUP(B78,'Pre-Summary'!$Y$6:$AD$83,6,FALSE),"")</f>
        <v>4305.8316599999989</v>
      </c>
      <c r="X78" t="str">
        <f>IFERROR(VLOOKUP('Pre-Summary'!$DB$6:$DD$63,3,FALSE),"")</f>
        <v/>
      </c>
      <c r="Y78" t="str">
        <f>IFERROR(VLOOKUP(B78,'Pre-Summary'!$CR$6:$CT$36,3,FALSE),"")</f>
        <v/>
      </c>
      <c r="Z78" s="45" t="str">
        <f>IFERROR(VLOOKUP(B78,'Pre-Summary'!$BZ$6:$CB$63,2,FALSE),"")</f>
        <v/>
      </c>
      <c r="AA78" s="45" t="str">
        <f>IFERROR(VLOOKUP(B78,'Pre-Summary'!$CG$6:$CI$70,2,FALSE),"")</f>
        <v/>
      </c>
      <c r="AB78" s="99">
        <f>IFERROR(VLOOKUP(B78,'Pre-Summary'!$A$6:$P$178,9,FALSE),AB79)</f>
        <v>0.55015564325096722</v>
      </c>
      <c r="AC78" s="10">
        <f>IFERROR(VLOOKUP(Summary!B78,'Pre-Summary'!$A$6:$P$184,5, FALSE)/100,AC79)</f>
        <v>0.12663466666666667</v>
      </c>
      <c r="AD78" s="10">
        <f>IFERROR(VLOOKUP(Summary!B78,'Pre-Summary'!$A$6:$P$184,3, FALSE)/100,AD79)</f>
        <v>0.86581866666666674</v>
      </c>
      <c r="AE78" s="10">
        <f>IFERROR(VLOOKUP(Summary!B78,'Pre-Summary'!$A$6:$P$184,7, FALSE)/100,AE79)</f>
        <v>7.5466666666666659E-3</v>
      </c>
      <c r="AF78" s="99">
        <f t="shared" si="4"/>
        <v>0.47633502549869483</v>
      </c>
      <c r="AG78" s="99">
        <f t="shared" si="5"/>
        <v>4.1518412544006324E-3</v>
      </c>
      <c r="AH78" s="10" t="str">
        <f>IFERROR(VLOOKUP(B78,'Pre-Summary'!$AZ$6:$BE$65,3,FALSE),"")</f>
        <v/>
      </c>
      <c r="AI78" s="10" t="str">
        <f>IFERROR(VLOOKUP(B78,'Pre-Summary'!$AZ$6:$BE$65,5,FALSE),"")</f>
        <v/>
      </c>
      <c r="AJ78" s="10" t="str">
        <f>IFERROR(VLOOKUP(B78,'Pre-Summary'!$AZ$6:$BE$65,4,FALSE),"")</f>
        <v/>
      </c>
      <c r="AK78" s="10" t="str">
        <f>IFERROR(VLOOKUP(B78,'Pre-Summary'!$AZ$6:$BE$65,6,FALSE),"")</f>
        <v/>
      </c>
      <c r="AL78" s="10" t="str">
        <f>IFERROR(VLOOKUP(B78,'Pre-Summary'!$BG$6:$BL$44,3,FALSE),"")</f>
        <v/>
      </c>
      <c r="AM78" s="10" t="str">
        <f>IFERROR(VLOOKUP(B78,'Pre-Summary'!$BG$6:$BL$44,4,FALSE),"")</f>
        <v/>
      </c>
    </row>
    <row r="79" spans="2:39" ht="14.4" x14ac:dyDescent="0.3">
      <c r="B79">
        <v>7.6</v>
      </c>
      <c r="C79" t="str">
        <f>IFERROR(VLOOKUP(B79,'Pre-Summary'!$DI$6:$DM$23,4,FALSE),"")</f>
        <v/>
      </c>
      <c r="D79" s="10" t="str">
        <f>IFERROR(VLOOKUP(B79,'Pre-Summary'!$AT$6:$AX$14,5,FALSE),D78)</f>
        <v>DSMZ v1: Using DSMZ 120 without NaHCO3</v>
      </c>
      <c r="E79" s="10" t="str">
        <f>IFERROR(VLOOKUP(B79,'Pre-Summary'!$AT$6:$AX$15,4,FALSE),"")</f>
        <v/>
      </c>
      <c r="F79">
        <f>IFERROR(VLOOKUP(B79,'Pre-Summary'!$AL$6:$AQ$13,6,FALSE),F78)</f>
        <v>5.9405263157894746E-2</v>
      </c>
      <c r="G79" t="str">
        <f>IFERROR(VLOOKUP(B79,'Pre-Summary'!$AE$6:$AJ$85,3,FALSE),"")</f>
        <v/>
      </c>
      <c r="H79" t="str">
        <f>IFERROR(VLOOKUP(B79,'Pre-Summary'!$AE$6:$AJ$85,4,FALSE),"")</f>
        <v/>
      </c>
      <c r="I79" t="str">
        <f>IFERROR(VLOOKUP(B79,'Pre-Summary'!$AE$6:$AJ$85,5,FALSE),"")</f>
        <v/>
      </c>
      <c r="J79" s="45" t="str">
        <f>IFERROR(VLOOKUP(B79,'Pre-Summary'!$AE$6:$AJ$85,6, FALSE),"")</f>
        <v/>
      </c>
      <c r="K79" s="45" t="str">
        <f>IFERROR(VLOOKUP(B79,'Pre-Summary'!$DE$6:$DG$61,3,FALSE),"")</f>
        <v/>
      </c>
      <c r="L79" s="45" t="str">
        <f>IFERROR(VLOOKUP(B79,'Pre-Summary'!$CU$6:$CW$36,3,FALSE),"")</f>
        <v/>
      </c>
      <c r="M79" s="45" t="str">
        <f>IFERROR(VLOOKUP(B79,'Pre-Summary'!$BW$6:$BY$58,2,FALSE),"")</f>
        <v/>
      </c>
      <c r="N79" s="45" t="str">
        <f>IFERROR(VLOOKUP(B79,'Pre-Summary'!$CD$6:$CF$64,2,FALSE),"")</f>
        <v/>
      </c>
      <c r="O79" s="99">
        <f>IFERROR(VLOOKUP(B79,'Pre-Summary'!$BO$6:$BQ$48,3, FALSE),O78)</f>
        <v>1.0915248032216731</v>
      </c>
      <c r="P79" s="99">
        <f>IFERROR(VLOOKUP(B79,'Pre-Summary'!$BS$6:$BU$35,3,FALSE),P78)</f>
        <v>0.25</v>
      </c>
      <c r="Q79" s="54">
        <f t="shared" si="3"/>
        <v>4.3660992128866924</v>
      </c>
      <c r="R79" s="53">
        <f>IFERROR(VLOOKUP(B79,'Pre-Summary'!$BG$6:$BM$44,7,FALSE),R80)</f>
        <v>2.7904161219319636E-2</v>
      </c>
      <c r="S79" s="53">
        <f>IFERROR(VLOOKUP(B79,'Pre-Summary'!$BG$6:$BM$44,6,FALSE),S80)</f>
        <v>3.3978715219895171E-2</v>
      </c>
      <c r="T79" s="45" t="str">
        <f>IFERROR(VLOOKUP(B79,'Pre-Summary'!$Y$6:$AC$83, 3,FALSE),"")</f>
        <v/>
      </c>
      <c r="U79" s="45" t="str">
        <f>IFERROR(VLOOKUP(B79,'Pre-Summary'!$Y$6:$AC$83, 4,FALSE),"")</f>
        <v/>
      </c>
      <c r="V79" t="str">
        <f>IFERROR(VLOOKUP(B79,'Pre-Summary'!$Y$6:$AC$83, 5,FALSE),"")</f>
        <v/>
      </c>
      <c r="W79" s="45" t="str">
        <f>IFERROR(VLOOKUP(B79,'Pre-Summary'!$Y$6:$AD$83,6,FALSE),"")</f>
        <v/>
      </c>
      <c r="X79" t="str">
        <f>IFERROR(VLOOKUP('Pre-Summary'!$DB$6:$DD$63,3,FALSE),"")</f>
        <v/>
      </c>
      <c r="Y79" t="str">
        <f>IFERROR(VLOOKUP(B79,'Pre-Summary'!$CR$6:$CT$36,3,FALSE),"")</f>
        <v/>
      </c>
      <c r="Z79" s="45" t="str">
        <f>IFERROR(VLOOKUP(B79,'Pre-Summary'!$BZ$6:$CB$63,2,FALSE),"")</f>
        <v/>
      </c>
      <c r="AA79" s="45" t="str">
        <f>IFERROR(VLOOKUP(B79,'Pre-Summary'!$CG$6:$CI$70,2,FALSE),"")</f>
        <v/>
      </c>
      <c r="AB79" s="99">
        <f>IFERROR(VLOOKUP(B79,'Pre-Summary'!$A$6:$P$178,9,FALSE),AB80)</f>
        <v>0.55015564325096722</v>
      </c>
      <c r="AC79" s="10">
        <f>IFERROR(VLOOKUP(Summary!B79,'Pre-Summary'!$A$6:$P$184,5, FALSE)/100,AC80)</f>
        <v>0.12663466666666667</v>
      </c>
      <c r="AD79" s="10">
        <f>IFERROR(VLOOKUP(Summary!B79,'Pre-Summary'!$A$6:$P$184,3, FALSE)/100,AD80)</f>
        <v>0.86581866666666674</v>
      </c>
      <c r="AE79" s="10">
        <f>IFERROR(VLOOKUP(Summary!B79,'Pre-Summary'!$A$6:$P$184,7, FALSE)/100,AE80)</f>
        <v>7.5466666666666659E-3</v>
      </c>
      <c r="AF79" s="99">
        <f t="shared" si="4"/>
        <v>0.47633502549869483</v>
      </c>
      <c r="AG79" s="99">
        <f t="shared" si="5"/>
        <v>4.1518412544006324E-3</v>
      </c>
      <c r="AH79" s="10" t="str">
        <f>IFERROR(VLOOKUP(B79,'Pre-Summary'!$AZ$6:$BE$65,3,FALSE),"")</f>
        <v/>
      </c>
      <c r="AI79" s="10" t="str">
        <f>IFERROR(VLOOKUP(B79,'Pre-Summary'!$AZ$6:$BE$65,5,FALSE),"")</f>
        <v/>
      </c>
      <c r="AJ79" s="10" t="str">
        <f>IFERROR(VLOOKUP(B79,'Pre-Summary'!$AZ$6:$BE$65,4,FALSE),"")</f>
        <v/>
      </c>
      <c r="AK79" s="10" t="str">
        <f>IFERROR(VLOOKUP(B79,'Pre-Summary'!$AZ$6:$BE$65,6,FALSE),"")</f>
        <v/>
      </c>
      <c r="AL79" s="10" t="str">
        <f>IFERROR(VLOOKUP(B79,'Pre-Summary'!$BG$6:$BL$44,3,FALSE),"")</f>
        <v/>
      </c>
      <c r="AM79" s="10" t="str">
        <f>IFERROR(VLOOKUP(B79,'Pre-Summary'!$BG$6:$BL$44,4,FALSE),"")</f>
        <v/>
      </c>
    </row>
    <row r="80" spans="2:39" ht="14.4" x14ac:dyDescent="0.3">
      <c r="B80">
        <v>7.7</v>
      </c>
      <c r="C80" t="str">
        <f>IFERROR(VLOOKUP(B80,'Pre-Summary'!$DI$6:$DM$23,4,FALSE),"")</f>
        <v/>
      </c>
      <c r="D80" s="10" t="str">
        <f>IFERROR(VLOOKUP(B80,'Pre-Summary'!$AT$6:$AX$14,5,FALSE),D79)</f>
        <v>DSMZ v1: Using DSMZ 120 without NaHCO3</v>
      </c>
      <c r="E80" s="10" t="str">
        <f>IFERROR(VLOOKUP(B80,'Pre-Summary'!$AT$6:$AX$15,4,FALSE),"")</f>
        <v/>
      </c>
      <c r="F80">
        <f>IFERROR(VLOOKUP(B80,'Pre-Summary'!$AL$6:$AQ$13,6,FALSE),F79)</f>
        <v>5.9405263157894746E-2</v>
      </c>
      <c r="G80" t="str">
        <f>IFERROR(VLOOKUP(B80,'Pre-Summary'!$AE$6:$AJ$85,3,FALSE),"")</f>
        <v/>
      </c>
      <c r="H80" t="str">
        <f>IFERROR(VLOOKUP(B80,'Pre-Summary'!$AE$6:$AJ$85,4,FALSE),"")</f>
        <v/>
      </c>
      <c r="I80" t="str">
        <f>IFERROR(VLOOKUP(B80,'Pre-Summary'!$AE$6:$AJ$85,5,FALSE),"")</f>
        <v/>
      </c>
      <c r="J80" s="45" t="str">
        <f>IFERROR(VLOOKUP(B80,'Pre-Summary'!$AE$6:$AJ$85,6, FALSE),"")</f>
        <v/>
      </c>
      <c r="K80" s="45" t="str">
        <f>IFERROR(VLOOKUP(B80,'Pre-Summary'!$DE$6:$DG$61,3,FALSE),"")</f>
        <v/>
      </c>
      <c r="L80" s="45" t="str">
        <f>IFERROR(VLOOKUP(B80,'Pre-Summary'!$CU$6:$CW$36,3,FALSE),"")</f>
        <v/>
      </c>
      <c r="M80" s="45" t="str">
        <f>IFERROR(VLOOKUP(B80,'Pre-Summary'!$BW$6:$BY$58,2,FALSE),"")</f>
        <v/>
      </c>
      <c r="N80" s="45" t="str">
        <f>IFERROR(VLOOKUP(B80,'Pre-Summary'!$CD$6:$CF$64,2,FALSE),"")</f>
        <v/>
      </c>
      <c r="O80" s="99">
        <f>IFERROR(VLOOKUP(B80,'Pre-Summary'!$BO$6:$BQ$48,3, FALSE),O79)</f>
        <v>1.0915248032216731</v>
      </c>
      <c r="P80" s="99">
        <f>IFERROR(VLOOKUP(B80,'Pre-Summary'!$BS$6:$BU$35,3,FALSE),P79)</f>
        <v>0.25</v>
      </c>
      <c r="Q80" s="54">
        <f t="shared" si="3"/>
        <v>4.3660992128866924</v>
      </c>
      <c r="R80" s="53">
        <f>IFERROR(VLOOKUP(B80,'Pre-Summary'!$BG$6:$BM$44,7,FALSE),R81)</f>
        <v>2.7904161219319636E-2</v>
      </c>
      <c r="S80" s="53">
        <f>IFERROR(VLOOKUP(B80,'Pre-Summary'!$BG$6:$BM$44,6,FALSE),S81)</f>
        <v>3.3978715219895171E-2</v>
      </c>
      <c r="T80" s="45" t="str">
        <f>IFERROR(VLOOKUP(B80,'Pre-Summary'!$Y$6:$AC$83, 3,FALSE),"")</f>
        <v/>
      </c>
      <c r="U80" s="45" t="str">
        <f>IFERROR(VLOOKUP(B80,'Pre-Summary'!$Y$6:$AC$83, 4,FALSE),"")</f>
        <v/>
      </c>
      <c r="V80" t="str">
        <f>IFERROR(VLOOKUP(B80,'Pre-Summary'!$Y$6:$AC$83, 5,FALSE),"")</f>
        <v/>
      </c>
      <c r="W80" s="45" t="str">
        <f>IFERROR(VLOOKUP(B80,'Pre-Summary'!$Y$6:$AD$83,6,FALSE),"")</f>
        <v/>
      </c>
      <c r="X80" t="str">
        <f>IFERROR(VLOOKUP('Pre-Summary'!$DB$6:$DD$63,3,FALSE),"")</f>
        <v/>
      </c>
      <c r="Y80" t="str">
        <f>IFERROR(VLOOKUP(B80,'Pre-Summary'!$CR$6:$CT$36,3,FALSE),"")</f>
        <v/>
      </c>
      <c r="Z80" s="45" t="str">
        <f>IFERROR(VLOOKUP(B80,'Pre-Summary'!$BZ$6:$CB$63,2,FALSE),"")</f>
        <v/>
      </c>
      <c r="AA80" s="45" t="str">
        <f>IFERROR(VLOOKUP(B80,'Pre-Summary'!$CG$6:$CI$70,2,FALSE),"")</f>
        <v/>
      </c>
      <c r="AB80" s="99">
        <f>IFERROR(VLOOKUP(B80,'Pre-Summary'!$A$6:$P$178,9,FALSE),AB81)</f>
        <v>0.55015564325096722</v>
      </c>
      <c r="AC80" s="10">
        <f>IFERROR(VLOOKUP(Summary!B80,'Pre-Summary'!$A$6:$P$184,5, FALSE)/100,AC81)</f>
        <v>0.12663466666666667</v>
      </c>
      <c r="AD80" s="10">
        <f>IFERROR(VLOOKUP(Summary!B80,'Pre-Summary'!$A$6:$P$184,3, FALSE)/100,AD81)</f>
        <v>0.86581866666666674</v>
      </c>
      <c r="AE80" s="10">
        <f>IFERROR(VLOOKUP(Summary!B80,'Pre-Summary'!$A$6:$P$184,7, FALSE)/100,AE81)</f>
        <v>7.5466666666666659E-3</v>
      </c>
      <c r="AF80" s="99">
        <f t="shared" si="4"/>
        <v>0.47633502549869483</v>
      </c>
      <c r="AG80" s="99">
        <f t="shared" si="5"/>
        <v>4.1518412544006324E-3</v>
      </c>
      <c r="AH80" s="10" t="str">
        <f>IFERROR(VLOOKUP(B80,'Pre-Summary'!$AZ$6:$BE$65,3,FALSE),"")</f>
        <v/>
      </c>
      <c r="AI80" s="10" t="str">
        <f>IFERROR(VLOOKUP(B80,'Pre-Summary'!$AZ$6:$BE$65,5,FALSE),"")</f>
        <v/>
      </c>
      <c r="AJ80" s="10" t="str">
        <f>IFERROR(VLOOKUP(B80,'Pre-Summary'!$AZ$6:$BE$65,4,FALSE),"")</f>
        <v/>
      </c>
      <c r="AK80" s="10" t="str">
        <f>IFERROR(VLOOKUP(B80,'Pre-Summary'!$AZ$6:$BE$65,6,FALSE),"")</f>
        <v/>
      </c>
      <c r="AL80" s="10" t="str">
        <f>IFERROR(VLOOKUP(B80,'Pre-Summary'!$BG$6:$BL$44,3,FALSE),"")</f>
        <v/>
      </c>
      <c r="AM80" s="10" t="str">
        <f>IFERROR(VLOOKUP(B80,'Pre-Summary'!$BG$6:$BL$44,4,FALSE),"")</f>
        <v/>
      </c>
    </row>
    <row r="81" spans="2:39" ht="14.4" x14ac:dyDescent="0.3">
      <c r="B81">
        <v>7.8</v>
      </c>
      <c r="C81" t="str">
        <f>IFERROR(VLOOKUP(B81,'Pre-Summary'!$DI$6:$DM$23,4,FALSE),"")</f>
        <v/>
      </c>
      <c r="D81" s="10" t="str">
        <f>IFERROR(VLOOKUP(B81,'Pre-Summary'!$AT$6:$AX$14,5,FALSE),D80)</f>
        <v>DSMZ v1: Using DSMZ 120 without NaHCO3</v>
      </c>
      <c r="E81" s="10" t="str">
        <f>IFERROR(VLOOKUP(B81,'Pre-Summary'!$AT$6:$AX$15,4,FALSE),"")</f>
        <v/>
      </c>
      <c r="F81">
        <f>IFERROR(VLOOKUP(B81,'Pre-Summary'!$AL$6:$AQ$13,6,FALSE),F80)</f>
        <v>5.9405263157894746E-2</v>
      </c>
      <c r="G81" t="str">
        <f>IFERROR(VLOOKUP(B81,'Pre-Summary'!$AE$6:$AJ$85,3,FALSE),"")</f>
        <v/>
      </c>
      <c r="H81" t="str">
        <f>IFERROR(VLOOKUP(B81,'Pre-Summary'!$AE$6:$AJ$85,4,FALSE),"")</f>
        <v/>
      </c>
      <c r="I81" t="str">
        <f>IFERROR(VLOOKUP(B81,'Pre-Summary'!$AE$6:$AJ$85,5,FALSE),"")</f>
        <v/>
      </c>
      <c r="J81" s="45" t="str">
        <f>IFERROR(VLOOKUP(B81,'Pre-Summary'!$AE$6:$AJ$85,6, FALSE),"")</f>
        <v/>
      </c>
      <c r="K81" s="45" t="str">
        <f>IFERROR(VLOOKUP(B81,'Pre-Summary'!$DE$6:$DG$61,3,FALSE),"")</f>
        <v/>
      </c>
      <c r="L81" s="45" t="str">
        <f>IFERROR(VLOOKUP(B81,'Pre-Summary'!$CU$6:$CW$36,3,FALSE),"")</f>
        <v/>
      </c>
      <c r="M81" s="45" t="str">
        <f>IFERROR(VLOOKUP(B81,'Pre-Summary'!$BW$6:$BY$58,2,FALSE),"")</f>
        <v/>
      </c>
      <c r="N81" s="45" t="str">
        <f>IFERROR(VLOOKUP(B81,'Pre-Summary'!$CD$6:$CF$64,2,FALSE),"")</f>
        <v/>
      </c>
      <c r="O81" s="99">
        <f>IFERROR(VLOOKUP(B81,'Pre-Summary'!$BO$6:$BQ$48,3, FALSE),O80)</f>
        <v>1.0915248032216731</v>
      </c>
      <c r="P81" s="99">
        <f>IFERROR(VLOOKUP(B81,'Pre-Summary'!$BS$6:$BU$35,3,FALSE),P80)</f>
        <v>0.25</v>
      </c>
      <c r="Q81" s="54">
        <f t="shared" si="3"/>
        <v>4.3660992128866924</v>
      </c>
      <c r="R81" s="53">
        <f>IFERROR(VLOOKUP(B81,'Pre-Summary'!$BG$6:$BM$44,7,FALSE),R82)</f>
        <v>2.7904161219319636E-2</v>
      </c>
      <c r="S81" s="53">
        <f>IFERROR(VLOOKUP(B81,'Pre-Summary'!$BG$6:$BM$44,6,FALSE),S82)</f>
        <v>3.3978715219895171E-2</v>
      </c>
      <c r="T81" s="45" t="str">
        <f>IFERROR(VLOOKUP(B81,'Pre-Summary'!$Y$6:$AC$83, 3,FALSE),"")</f>
        <v/>
      </c>
      <c r="U81" s="45" t="str">
        <f>IFERROR(VLOOKUP(B81,'Pre-Summary'!$Y$6:$AC$83, 4,FALSE),"")</f>
        <v/>
      </c>
      <c r="V81" t="str">
        <f>IFERROR(VLOOKUP(B81,'Pre-Summary'!$Y$6:$AC$83, 5,FALSE),"")</f>
        <v/>
      </c>
      <c r="W81" s="45" t="str">
        <f>IFERROR(VLOOKUP(B81,'Pre-Summary'!$Y$6:$AD$83,6,FALSE),"")</f>
        <v/>
      </c>
      <c r="X81" t="str">
        <f>IFERROR(VLOOKUP('Pre-Summary'!$DB$6:$DD$63,3,FALSE),"")</f>
        <v/>
      </c>
      <c r="Y81" t="str">
        <f>IFERROR(VLOOKUP(B81,'Pre-Summary'!$CR$6:$CT$36,3,FALSE),"")</f>
        <v/>
      </c>
      <c r="Z81" s="45" t="str">
        <f>IFERROR(VLOOKUP(B81,'Pre-Summary'!$BZ$6:$CB$63,2,FALSE),"")</f>
        <v/>
      </c>
      <c r="AA81" s="45" t="str">
        <f>IFERROR(VLOOKUP(B81,'Pre-Summary'!$CG$6:$CI$70,2,FALSE),"")</f>
        <v/>
      </c>
      <c r="AB81" s="99">
        <f>IFERROR(VLOOKUP(B81,'Pre-Summary'!$A$6:$P$178,9,FALSE),AB82)</f>
        <v>0.55015564325096722</v>
      </c>
      <c r="AC81" s="10">
        <f>IFERROR(VLOOKUP(Summary!B81,'Pre-Summary'!$A$6:$P$184,5, FALSE)/100,AC82)</f>
        <v>0.12663466666666667</v>
      </c>
      <c r="AD81" s="10">
        <f>IFERROR(VLOOKUP(Summary!B81,'Pre-Summary'!$A$6:$P$184,3, FALSE)/100,AD82)</f>
        <v>0.86581866666666674</v>
      </c>
      <c r="AE81" s="10">
        <f>IFERROR(VLOOKUP(Summary!B81,'Pre-Summary'!$A$6:$P$184,7, FALSE)/100,AE82)</f>
        <v>7.5466666666666659E-3</v>
      </c>
      <c r="AF81" s="99">
        <f t="shared" si="4"/>
        <v>0.47633502549869483</v>
      </c>
      <c r="AG81" s="99">
        <f t="shared" si="5"/>
        <v>4.1518412544006324E-3</v>
      </c>
      <c r="AH81" s="10" t="str">
        <f>IFERROR(VLOOKUP(B81,'Pre-Summary'!$AZ$6:$BE$65,3,FALSE),"")</f>
        <v/>
      </c>
      <c r="AI81" s="10" t="str">
        <f>IFERROR(VLOOKUP(B81,'Pre-Summary'!$AZ$6:$BE$65,5,FALSE),"")</f>
        <v/>
      </c>
      <c r="AJ81" s="10" t="str">
        <f>IFERROR(VLOOKUP(B81,'Pre-Summary'!$AZ$6:$BE$65,4,FALSE),"")</f>
        <v/>
      </c>
      <c r="AK81" s="10" t="str">
        <f>IFERROR(VLOOKUP(B81,'Pre-Summary'!$AZ$6:$BE$65,6,FALSE),"")</f>
        <v/>
      </c>
      <c r="AL81" s="10" t="str">
        <f>IFERROR(VLOOKUP(B81,'Pre-Summary'!$BG$6:$BL$44,3,FALSE),"")</f>
        <v/>
      </c>
      <c r="AM81" s="10" t="str">
        <f>IFERROR(VLOOKUP(B81,'Pre-Summary'!$BG$6:$BL$44,4,FALSE),"")</f>
        <v/>
      </c>
    </row>
    <row r="82" spans="2:39" ht="14.4" x14ac:dyDescent="0.3">
      <c r="B82">
        <v>7.9</v>
      </c>
      <c r="C82" t="str">
        <f>IFERROR(VLOOKUP(B82,'Pre-Summary'!$DI$6:$DM$23,4,FALSE),"")</f>
        <v/>
      </c>
      <c r="D82" s="10" t="str">
        <f>IFERROR(VLOOKUP(B82,'Pre-Summary'!$AT$6:$AX$14,5,FALSE),D81)</f>
        <v>DSMZ v1: Using DSMZ 120 without NaHCO3</v>
      </c>
      <c r="E82" s="10" t="str">
        <f>IFERROR(VLOOKUP(B82,'Pre-Summary'!$AT$6:$AX$15,4,FALSE),"")</f>
        <v/>
      </c>
      <c r="F82">
        <f>IFERROR(VLOOKUP(B82,'Pre-Summary'!$AL$6:$AQ$13,6,FALSE),F81)</f>
        <v>5.9405263157894746E-2</v>
      </c>
      <c r="G82" t="str">
        <f>IFERROR(VLOOKUP(B82,'Pre-Summary'!$AE$6:$AJ$85,3,FALSE),"")</f>
        <v/>
      </c>
      <c r="H82" t="str">
        <f>IFERROR(VLOOKUP(B82,'Pre-Summary'!$AE$6:$AJ$85,4,FALSE),"")</f>
        <v/>
      </c>
      <c r="I82" t="str">
        <f>IFERROR(VLOOKUP(B82,'Pre-Summary'!$AE$6:$AJ$85,5,FALSE),"")</f>
        <v/>
      </c>
      <c r="J82" s="45" t="str">
        <f>IFERROR(VLOOKUP(B82,'Pre-Summary'!$AE$6:$AJ$85,6, FALSE),"")</f>
        <v/>
      </c>
      <c r="K82" s="45" t="str">
        <f>IFERROR(VLOOKUP(B82,'Pre-Summary'!$DE$6:$DG$61,3,FALSE),"")</f>
        <v/>
      </c>
      <c r="L82" s="45" t="str">
        <f>IFERROR(VLOOKUP(B82,'Pre-Summary'!$CU$6:$CW$36,3,FALSE),"")</f>
        <v/>
      </c>
      <c r="M82" s="45" t="str">
        <f>IFERROR(VLOOKUP(B82,'Pre-Summary'!$BW$6:$BY$58,2,FALSE),"")</f>
        <v/>
      </c>
      <c r="N82" s="45" t="str">
        <f>IFERROR(VLOOKUP(B82,'Pre-Summary'!$CD$6:$CF$64,2,FALSE),"")</f>
        <v/>
      </c>
      <c r="O82" s="99">
        <f>IFERROR(VLOOKUP(B82,'Pre-Summary'!$BO$6:$BQ$48,3, FALSE),O81)</f>
        <v>1.0915248032216731</v>
      </c>
      <c r="P82" s="99">
        <f>IFERROR(VLOOKUP(B82,'Pre-Summary'!$BS$6:$BU$35,3,FALSE),P81)</f>
        <v>0.25</v>
      </c>
      <c r="Q82" s="54">
        <f t="shared" si="3"/>
        <v>4.3660992128866924</v>
      </c>
      <c r="R82" s="53">
        <f>IFERROR(VLOOKUP(B82,'Pre-Summary'!$BG$6:$BM$44,7,FALSE),R83)</f>
        <v>2.7904161219319636E-2</v>
      </c>
      <c r="S82" s="53">
        <f>IFERROR(VLOOKUP(B82,'Pre-Summary'!$BG$6:$BM$44,6,FALSE),S83)</f>
        <v>3.3978715219895171E-2</v>
      </c>
      <c r="T82" s="45" t="str">
        <f>IFERROR(VLOOKUP(B82,'Pre-Summary'!$Y$6:$AC$83, 3,FALSE),"")</f>
        <v/>
      </c>
      <c r="U82" s="45" t="str">
        <f>IFERROR(VLOOKUP(B82,'Pre-Summary'!$Y$6:$AC$83, 4,FALSE),"")</f>
        <v/>
      </c>
      <c r="V82" t="str">
        <f>IFERROR(VLOOKUP(B82,'Pre-Summary'!$Y$6:$AC$83, 5,FALSE),"")</f>
        <v/>
      </c>
      <c r="W82" s="45" t="str">
        <f>IFERROR(VLOOKUP(B82,'Pre-Summary'!$Y$6:$AD$83,6,FALSE),"")</f>
        <v/>
      </c>
      <c r="X82" t="str">
        <f>IFERROR(VLOOKUP('Pre-Summary'!$DB$6:$DD$63,3,FALSE),"")</f>
        <v/>
      </c>
      <c r="Y82" t="str">
        <f>IFERROR(VLOOKUP(B82,'Pre-Summary'!$CR$6:$CT$36,3,FALSE),"")</f>
        <v/>
      </c>
      <c r="Z82" s="45" t="str">
        <f>IFERROR(VLOOKUP(B82,'Pre-Summary'!$BZ$6:$CB$63,2,FALSE),"")</f>
        <v/>
      </c>
      <c r="AA82" s="45" t="str">
        <f>IFERROR(VLOOKUP(B82,'Pre-Summary'!$CG$6:$CI$70,2,FALSE),"")</f>
        <v/>
      </c>
      <c r="AB82" s="99">
        <f>IFERROR(VLOOKUP(B82,'Pre-Summary'!$A$6:$P$178,9,FALSE),AB83)</f>
        <v>0.55015564325096722</v>
      </c>
      <c r="AC82" s="10">
        <f>IFERROR(VLOOKUP(Summary!B82,'Pre-Summary'!$A$6:$P$184,5, FALSE)/100,AC83)</f>
        <v>0.12663466666666667</v>
      </c>
      <c r="AD82" s="10">
        <f>IFERROR(VLOOKUP(Summary!B82,'Pre-Summary'!$A$6:$P$184,3, FALSE)/100,AD83)</f>
        <v>0.86581866666666674</v>
      </c>
      <c r="AE82" s="10">
        <f>IFERROR(VLOOKUP(Summary!B82,'Pre-Summary'!$A$6:$P$184,7, FALSE)/100,AE83)</f>
        <v>7.5466666666666659E-3</v>
      </c>
      <c r="AF82" s="99">
        <f t="shared" si="4"/>
        <v>0.47633502549869483</v>
      </c>
      <c r="AG82" s="99">
        <f t="shared" si="5"/>
        <v>4.1518412544006324E-3</v>
      </c>
      <c r="AH82" s="10" t="str">
        <f>IFERROR(VLOOKUP(B82,'Pre-Summary'!$AZ$6:$BE$65,3,FALSE),"")</f>
        <v/>
      </c>
      <c r="AI82" s="10" t="str">
        <f>IFERROR(VLOOKUP(B82,'Pre-Summary'!$AZ$6:$BE$65,5,FALSE),"")</f>
        <v/>
      </c>
      <c r="AJ82" s="10" t="str">
        <f>IFERROR(VLOOKUP(B82,'Pre-Summary'!$AZ$6:$BE$65,4,FALSE),"")</f>
        <v/>
      </c>
      <c r="AK82" s="10" t="str">
        <f>IFERROR(VLOOKUP(B82,'Pre-Summary'!$AZ$6:$BE$65,6,FALSE),"")</f>
        <v/>
      </c>
      <c r="AL82" s="10" t="str">
        <f>IFERROR(VLOOKUP(B82,'Pre-Summary'!$BG$6:$BL$44,3,FALSE),"")</f>
        <v/>
      </c>
      <c r="AM82" s="10" t="str">
        <f>IFERROR(VLOOKUP(B82,'Pre-Summary'!$BG$6:$BL$44,4,FALSE),"")</f>
        <v/>
      </c>
    </row>
    <row r="83" spans="2:39" ht="14.4" x14ac:dyDescent="0.3">
      <c r="B83">
        <v>8</v>
      </c>
      <c r="C83" t="str">
        <f>IFERROR(VLOOKUP(B83,'Pre-Summary'!$DI$6:$DM$23,4,FALSE),"")</f>
        <v/>
      </c>
      <c r="D83" s="10" t="str">
        <f>IFERROR(VLOOKUP(B83,'Pre-Summary'!$AT$6:$AX$14,5,FALSE),D82)</f>
        <v>DSMZ v1: Using DSMZ 120 without NaHCO3</v>
      </c>
      <c r="E83" s="10" t="str">
        <f>IFERROR(VLOOKUP(B83,'Pre-Summary'!$AT$6:$AX$15,4,FALSE),"")</f>
        <v/>
      </c>
      <c r="F83">
        <f>IFERROR(VLOOKUP(B83,'Pre-Summary'!$AL$6:$AQ$13,6,FALSE),F82)</f>
        <v>5.9405263157894746E-2</v>
      </c>
      <c r="G83" t="str">
        <f>IFERROR(VLOOKUP(B83,'Pre-Summary'!$AE$6:$AJ$85,3,FALSE),"")</f>
        <v/>
      </c>
      <c r="H83" t="str">
        <f>IFERROR(VLOOKUP(B83,'Pre-Summary'!$AE$6:$AJ$85,4,FALSE),"")</f>
        <v/>
      </c>
      <c r="I83" t="str">
        <f>IFERROR(VLOOKUP(B83,'Pre-Summary'!$AE$6:$AJ$85,5,FALSE),"")</f>
        <v/>
      </c>
      <c r="J83" s="45" t="str">
        <f>IFERROR(VLOOKUP(B83,'Pre-Summary'!$AE$6:$AJ$85,6, FALSE),"")</f>
        <v/>
      </c>
      <c r="K83" s="45" t="str">
        <f>IFERROR(VLOOKUP(B83,'Pre-Summary'!$DE$6:$DG$61,3,FALSE),"")</f>
        <v/>
      </c>
      <c r="L83" s="45" t="str">
        <f>IFERROR(VLOOKUP(B83,'Pre-Summary'!$CU$6:$CW$36,3,FALSE),"")</f>
        <v/>
      </c>
      <c r="M83" s="45" t="str">
        <f>IFERROR(VLOOKUP(B83,'Pre-Summary'!$BW$6:$BY$58,2,FALSE),"")</f>
        <v/>
      </c>
      <c r="N83" s="45" t="str">
        <f>IFERROR(VLOOKUP(B83,'Pre-Summary'!$CD$6:$CF$64,2,FALSE),"")</f>
        <v/>
      </c>
      <c r="O83" s="99">
        <f>IFERROR(VLOOKUP(B83,'Pre-Summary'!$BO$6:$BQ$48,3, FALSE),O82)</f>
        <v>1.0915248032216731</v>
      </c>
      <c r="P83" s="99">
        <f>IFERROR(VLOOKUP(B83,'Pre-Summary'!$BS$6:$BU$35,3,FALSE),P82)</f>
        <v>0.25</v>
      </c>
      <c r="Q83" s="54">
        <f t="shared" si="3"/>
        <v>4.3660992128866924</v>
      </c>
      <c r="R83" s="53">
        <f>IFERROR(VLOOKUP(B83,'Pre-Summary'!$BG$6:$BM$44,7,FALSE),R84)</f>
        <v>2.7904161219319636E-2</v>
      </c>
      <c r="S83" s="53">
        <f>IFERROR(VLOOKUP(B83,'Pre-Summary'!$BG$6:$BM$44,6,FALSE),S84)</f>
        <v>3.3978715219895171E-2</v>
      </c>
      <c r="T83" s="45" t="str">
        <f>IFERROR(VLOOKUP(B83,'Pre-Summary'!$Y$6:$AC$83, 3,FALSE),"")</f>
        <v/>
      </c>
      <c r="U83" s="45" t="str">
        <f>IFERROR(VLOOKUP(B83,'Pre-Summary'!$Y$6:$AC$83, 4,FALSE),"")</f>
        <v/>
      </c>
      <c r="V83" t="str">
        <f>IFERROR(VLOOKUP(B83,'Pre-Summary'!$Y$6:$AC$83, 5,FALSE),"")</f>
        <v/>
      </c>
      <c r="W83" s="45" t="str">
        <f>IFERROR(VLOOKUP(B83,'Pre-Summary'!$Y$6:$AD$83,6,FALSE),"")</f>
        <v/>
      </c>
      <c r="X83" t="str">
        <f>IFERROR(VLOOKUP('Pre-Summary'!$DB$6:$DD$63,3,FALSE),"")</f>
        <v/>
      </c>
      <c r="Y83" t="str">
        <f>IFERROR(VLOOKUP(B83,'Pre-Summary'!$CR$6:$CT$36,3,FALSE),"")</f>
        <v/>
      </c>
      <c r="Z83" s="45" t="str">
        <f>IFERROR(VLOOKUP(B83,'Pre-Summary'!$BZ$6:$CB$63,2,FALSE),"")</f>
        <v/>
      </c>
      <c r="AA83" s="45" t="str">
        <f>IFERROR(VLOOKUP(B83,'Pre-Summary'!$CG$6:$CI$70,2,FALSE),"")</f>
        <v/>
      </c>
      <c r="AB83" s="99">
        <f>IFERROR(VLOOKUP(B83,'Pre-Summary'!$A$6:$P$178,9,FALSE),AB84)</f>
        <v>0.48376018267990589</v>
      </c>
      <c r="AC83" s="10">
        <f>IFERROR(VLOOKUP(Summary!B83,'Pre-Summary'!$A$6:$P$184,5, FALSE)/100,AC84)</f>
        <v>0.19379933333333332</v>
      </c>
      <c r="AD83" s="10">
        <f>IFERROR(VLOOKUP(Summary!B83,'Pre-Summary'!$A$6:$P$184,3, FALSE)/100,AD84)</f>
        <v>0.78441233333333327</v>
      </c>
      <c r="AE83" s="10">
        <f>IFERROR(VLOOKUP(Summary!B83,'Pre-Summary'!$A$6:$P$184,7, FALSE)/100,AE84)</f>
        <v>2.1787666666666667E-2</v>
      </c>
      <c r="AF83" s="99">
        <f t="shared" si="4"/>
        <v>0.37946745366970452</v>
      </c>
      <c r="AG83" s="99">
        <f t="shared" si="5"/>
        <v>1.0540005606835563E-2</v>
      </c>
      <c r="AH83" s="10" t="str">
        <f>IFERROR(VLOOKUP(B83,'Pre-Summary'!$AZ$6:$BE$65,3,FALSE),"")</f>
        <v/>
      </c>
      <c r="AI83" s="10" t="str">
        <f>IFERROR(VLOOKUP(B83,'Pre-Summary'!$AZ$6:$BE$65,5,FALSE),"")</f>
        <v/>
      </c>
      <c r="AJ83" s="10" t="str">
        <f>IFERROR(VLOOKUP(B83,'Pre-Summary'!$AZ$6:$BE$65,4,FALSE),"")</f>
        <v/>
      </c>
      <c r="AK83" s="10" t="str">
        <f>IFERROR(VLOOKUP(B83,'Pre-Summary'!$AZ$6:$BE$65,6,FALSE),"")</f>
        <v/>
      </c>
      <c r="AL83" s="10" t="str">
        <f>IFERROR(VLOOKUP(B83,'Pre-Summary'!$BG$6:$BL$44,3,FALSE),"")</f>
        <v/>
      </c>
      <c r="AM83" s="10" t="str">
        <f>IFERROR(VLOOKUP(B83,'Pre-Summary'!$BG$6:$BL$44,4,FALSE),"")</f>
        <v/>
      </c>
    </row>
    <row r="84" spans="2:39" ht="14.4" x14ac:dyDescent="0.3">
      <c r="B84">
        <v>8.1</v>
      </c>
      <c r="C84" t="str">
        <f>IFERROR(VLOOKUP(B84,'Pre-Summary'!$DI$6:$DM$23,4,FALSE),"")</f>
        <v/>
      </c>
      <c r="D84" s="10" t="str">
        <f>IFERROR(VLOOKUP(B84,'Pre-Summary'!$AT$6:$AX$14,5,FALSE),D83)</f>
        <v>DSMZ v1: Using DSMZ 120 without NaHCO3</v>
      </c>
      <c r="E84" s="10" t="str">
        <f>IFERROR(VLOOKUP(B84,'Pre-Summary'!$AT$6:$AX$15,4,FALSE),"")</f>
        <v/>
      </c>
      <c r="F84">
        <f>IFERROR(VLOOKUP(B84,'Pre-Summary'!$AL$6:$AQ$13,6,FALSE),F83)</f>
        <v>5.9405263157894746E-2</v>
      </c>
      <c r="G84" t="str">
        <f>IFERROR(VLOOKUP(B84,'Pre-Summary'!$AE$6:$AJ$85,3,FALSE),"")</f>
        <v/>
      </c>
      <c r="H84" t="str">
        <f>IFERROR(VLOOKUP(B84,'Pre-Summary'!$AE$6:$AJ$85,4,FALSE),"")</f>
        <v/>
      </c>
      <c r="I84" t="str">
        <f>IFERROR(VLOOKUP(B84,'Pre-Summary'!$AE$6:$AJ$85,5,FALSE),"")</f>
        <v/>
      </c>
      <c r="J84" s="45" t="str">
        <f>IFERROR(VLOOKUP(B84,'Pre-Summary'!$AE$6:$AJ$85,6, FALSE),"")</f>
        <v/>
      </c>
      <c r="K84" s="45" t="str">
        <f>IFERROR(VLOOKUP(B84,'Pre-Summary'!$DE$6:$DG$61,3,FALSE),"")</f>
        <v/>
      </c>
      <c r="L84" s="45" t="str">
        <f>IFERROR(VLOOKUP(B84,'Pre-Summary'!$CU$6:$CW$36,3,FALSE),"")</f>
        <v/>
      </c>
      <c r="M84" s="45" t="str">
        <f>IFERROR(VLOOKUP(B84,'Pre-Summary'!$BW$6:$BY$58,2,FALSE),"")</f>
        <v/>
      </c>
      <c r="N84" s="45" t="str">
        <f>IFERROR(VLOOKUP(B84,'Pre-Summary'!$CD$6:$CF$64,2,FALSE),"")</f>
        <v/>
      </c>
      <c r="O84" s="99">
        <f>IFERROR(VLOOKUP(B84,'Pre-Summary'!$BO$6:$BQ$48,3, FALSE),O83)</f>
        <v>1.0915248032216731</v>
      </c>
      <c r="P84" s="99">
        <f>IFERROR(VLOOKUP(B84,'Pre-Summary'!$BS$6:$BU$35,3,FALSE),P83)</f>
        <v>0.25</v>
      </c>
      <c r="Q84" s="54">
        <f t="shared" si="3"/>
        <v>4.3660992128866924</v>
      </c>
      <c r="R84" s="53">
        <f>IFERROR(VLOOKUP(B84,'Pre-Summary'!$BG$6:$BM$44,7,FALSE),R85)</f>
        <v>2.7904161219319636E-2</v>
      </c>
      <c r="S84" s="53">
        <f>IFERROR(VLOOKUP(B84,'Pre-Summary'!$BG$6:$BM$44,6,FALSE),S85)</f>
        <v>3.3978715219895171E-2</v>
      </c>
      <c r="T84" s="45" t="str">
        <f>IFERROR(VLOOKUP(B84,'Pre-Summary'!$Y$6:$AC$83, 3,FALSE),"")</f>
        <v/>
      </c>
      <c r="U84" s="45" t="str">
        <f>IFERROR(VLOOKUP(B84,'Pre-Summary'!$Y$6:$AC$83, 4,FALSE),"")</f>
        <v/>
      </c>
      <c r="V84" t="str">
        <f>IFERROR(VLOOKUP(B84,'Pre-Summary'!$Y$6:$AC$83, 5,FALSE),"")</f>
        <v/>
      </c>
      <c r="W84" s="45" t="str">
        <f>IFERROR(VLOOKUP(B84,'Pre-Summary'!$Y$6:$AD$83,6,FALSE),"")</f>
        <v/>
      </c>
      <c r="X84" t="str">
        <f>IFERROR(VLOOKUP('Pre-Summary'!$DB$6:$DD$63,3,FALSE),"")</f>
        <v/>
      </c>
      <c r="Y84" t="str">
        <f>IFERROR(VLOOKUP(B84,'Pre-Summary'!$CR$6:$CT$36,3,FALSE),"")</f>
        <v/>
      </c>
      <c r="Z84" s="45" t="str">
        <f>IFERROR(VLOOKUP(B84,'Pre-Summary'!$BZ$6:$CB$63,2,FALSE),"")</f>
        <v/>
      </c>
      <c r="AA84" s="45" t="str">
        <f>IFERROR(VLOOKUP(B84,'Pre-Summary'!$CG$6:$CI$70,2,FALSE),"")</f>
        <v/>
      </c>
      <c r="AB84" s="99">
        <f>IFERROR(VLOOKUP(B84,'Pre-Summary'!$A$6:$P$178,9,FALSE),AB85)</f>
        <v>0.48376018267990589</v>
      </c>
      <c r="AC84" s="10">
        <f>IFERROR(VLOOKUP(Summary!B84,'Pre-Summary'!$A$6:$P$184,5, FALSE)/100,AC85)</f>
        <v>0.19379933333333332</v>
      </c>
      <c r="AD84" s="10">
        <f>IFERROR(VLOOKUP(Summary!B84,'Pre-Summary'!$A$6:$P$184,3, FALSE)/100,AD85)</f>
        <v>0.78441233333333327</v>
      </c>
      <c r="AE84" s="10">
        <f>IFERROR(VLOOKUP(Summary!B84,'Pre-Summary'!$A$6:$P$184,7, FALSE)/100,AE85)</f>
        <v>2.1787666666666667E-2</v>
      </c>
      <c r="AF84" s="99">
        <f t="shared" si="4"/>
        <v>0.37946745366970452</v>
      </c>
      <c r="AG84" s="99">
        <f t="shared" si="5"/>
        <v>1.0540005606835563E-2</v>
      </c>
      <c r="AH84" s="10" t="str">
        <f>IFERROR(VLOOKUP(B84,'Pre-Summary'!$AZ$6:$BE$65,3,FALSE),"")</f>
        <v/>
      </c>
      <c r="AI84" s="10" t="str">
        <f>IFERROR(VLOOKUP(B84,'Pre-Summary'!$AZ$6:$BE$65,5,FALSE),"")</f>
        <v/>
      </c>
      <c r="AJ84" s="10" t="str">
        <f>IFERROR(VLOOKUP(B84,'Pre-Summary'!$AZ$6:$BE$65,4,FALSE),"")</f>
        <v/>
      </c>
      <c r="AK84" s="10" t="str">
        <f>IFERROR(VLOOKUP(B84,'Pre-Summary'!$AZ$6:$BE$65,6,FALSE),"")</f>
        <v/>
      </c>
      <c r="AL84" s="10" t="str">
        <f>IFERROR(VLOOKUP(B84,'Pre-Summary'!$BG$6:$BL$44,3,FALSE),"")</f>
        <v/>
      </c>
      <c r="AM84" s="10" t="str">
        <f>IFERROR(VLOOKUP(B84,'Pre-Summary'!$BG$6:$BL$44,4,FALSE),"")</f>
        <v/>
      </c>
    </row>
    <row r="85" spans="2:39" ht="14.4" x14ac:dyDescent="0.3">
      <c r="B85">
        <v>8.1999999999999993</v>
      </c>
      <c r="C85" t="str">
        <f>IFERROR(VLOOKUP(B85,'Pre-Summary'!$DI$6:$DM$23,4,FALSE),"")</f>
        <v/>
      </c>
      <c r="D85" s="10" t="str">
        <f>IFERROR(VLOOKUP(B85,'Pre-Summary'!$AT$6:$AX$14,5,FALSE),D84)</f>
        <v>DSMZ v1: Using DSMZ 120 without NaHCO3</v>
      </c>
      <c r="E85" s="10" t="str">
        <f>IFERROR(VLOOKUP(B85,'Pre-Summary'!$AT$6:$AX$15,4,FALSE),"")</f>
        <v/>
      </c>
      <c r="F85">
        <f>IFERROR(VLOOKUP(B85,'Pre-Summary'!$AL$6:$AQ$13,6,FALSE),F84)</f>
        <v>5.9405263157894746E-2</v>
      </c>
      <c r="G85" t="str">
        <f>IFERROR(VLOOKUP(B85,'Pre-Summary'!$AE$6:$AJ$85,3,FALSE),"")</f>
        <v/>
      </c>
      <c r="H85" t="str">
        <f>IFERROR(VLOOKUP(B85,'Pre-Summary'!$AE$6:$AJ$85,4,FALSE),"")</f>
        <v/>
      </c>
      <c r="I85" t="str">
        <f>IFERROR(VLOOKUP(B85,'Pre-Summary'!$AE$6:$AJ$85,5,FALSE),"")</f>
        <v/>
      </c>
      <c r="J85" s="45" t="str">
        <f>IFERROR(VLOOKUP(B85,'Pre-Summary'!$AE$6:$AJ$85,6, FALSE),"")</f>
        <v/>
      </c>
      <c r="K85" s="45" t="str">
        <f>IFERROR(VLOOKUP(B85,'Pre-Summary'!$DE$6:$DG$61,3,FALSE),"")</f>
        <v/>
      </c>
      <c r="L85" s="45" t="str">
        <f>IFERROR(VLOOKUP(B85,'Pre-Summary'!$CU$6:$CW$36,3,FALSE),"")</f>
        <v/>
      </c>
      <c r="M85" s="45" t="str">
        <f>IFERROR(VLOOKUP(B85,'Pre-Summary'!$BW$6:$BY$58,2,FALSE),"")</f>
        <v/>
      </c>
      <c r="N85" s="45" t="str">
        <f>IFERROR(VLOOKUP(B85,'Pre-Summary'!$CD$6:$CF$64,2,FALSE),"")</f>
        <v/>
      </c>
      <c r="O85" s="99">
        <f>IFERROR(VLOOKUP(B85,'Pre-Summary'!$BO$6:$BQ$48,3, FALSE),O84)</f>
        <v>1.0915248032216731</v>
      </c>
      <c r="P85" s="99">
        <f>IFERROR(VLOOKUP(B85,'Pre-Summary'!$BS$6:$BU$35,3,FALSE),P84)</f>
        <v>0.25</v>
      </c>
      <c r="Q85" s="54">
        <f t="shared" si="3"/>
        <v>4.3660992128866924</v>
      </c>
      <c r="R85" s="53">
        <f>IFERROR(VLOOKUP(B85,'Pre-Summary'!$BG$6:$BM$44,7,FALSE),R86)</f>
        <v>2.7904161219319636E-2</v>
      </c>
      <c r="S85" s="53">
        <f>IFERROR(VLOOKUP(B85,'Pre-Summary'!$BG$6:$BM$44,6,FALSE),S86)</f>
        <v>3.3978715219895171E-2</v>
      </c>
      <c r="T85" s="45" t="str">
        <f>IFERROR(VLOOKUP(B85,'Pre-Summary'!$Y$6:$AC$83, 3,FALSE),"")</f>
        <v/>
      </c>
      <c r="U85" s="45" t="str">
        <f>IFERROR(VLOOKUP(B85,'Pre-Summary'!$Y$6:$AC$83, 4,FALSE),"")</f>
        <v/>
      </c>
      <c r="V85" t="str">
        <f>IFERROR(VLOOKUP(B85,'Pre-Summary'!$Y$6:$AC$83, 5,FALSE),"")</f>
        <v/>
      </c>
      <c r="W85" s="45" t="str">
        <f>IFERROR(VLOOKUP(B85,'Pre-Summary'!$Y$6:$AD$83,6,FALSE),"")</f>
        <v/>
      </c>
      <c r="X85" t="str">
        <f>IFERROR(VLOOKUP('Pre-Summary'!$DB$6:$DD$63,3,FALSE),"")</f>
        <v/>
      </c>
      <c r="Y85" t="str">
        <f>IFERROR(VLOOKUP(B85,'Pre-Summary'!$CR$6:$CT$36,3,FALSE),"")</f>
        <v/>
      </c>
      <c r="Z85" s="45" t="str">
        <f>IFERROR(VLOOKUP(B85,'Pre-Summary'!$BZ$6:$CB$63,2,FALSE),"")</f>
        <v/>
      </c>
      <c r="AA85" s="45" t="str">
        <f>IFERROR(VLOOKUP(B85,'Pre-Summary'!$CG$6:$CI$70,2,FALSE),"")</f>
        <v/>
      </c>
      <c r="AB85" s="99">
        <f>IFERROR(VLOOKUP(B85,'Pre-Summary'!$A$6:$P$178,9,FALSE),AB86)</f>
        <v>0.48376018267990589</v>
      </c>
      <c r="AC85" s="10">
        <f>IFERROR(VLOOKUP(Summary!B85,'Pre-Summary'!$A$6:$P$184,5, FALSE)/100,AC86)</f>
        <v>0.19379933333333332</v>
      </c>
      <c r="AD85" s="10">
        <f>IFERROR(VLOOKUP(Summary!B85,'Pre-Summary'!$A$6:$P$184,3, FALSE)/100,AD86)</f>
        <v>0.78441233333333327</v>
      </c>
      <c r="AE85" s="10">
        <f>IFERROR(VLOOKUP(Summary!B85,'Pre-Summary'!$A$6:$P$184,7, FALSE)/100,AE86)</f>
        <v>2.1787666666666667E-2</v>
      </c>
      <c r="AF85" s="99">
        <f t="shared" si="4"/>
        <v>0.37946745366970452</v>
      </c>
      <c r="AG85" s="99">
        <f t="shared" si="5"/>
        <v>1.0540005606835563E-2</v>
      </c>
      <c r="AH85" s="10" t="str">
        <f>IFERROR(VLOOKUP(B85,'Pre-Summary'!$AZ$6:$BE$65,3,FALSE),"")</f>
        <v/>
      </c>
      <c r="AI85" s="10" t="str">
        <f>IFERROR(VLOOKUP(B85,'Pre-Summary'!$AZ$6:$BE$65,5,FALSE),"")</f>
        <v/>
      </c>
      <c r="AJ85" s="10" t="str">
        <f>IFERROR(VLOOKUP(B85,'Pre-Summary'!$AZ$6:$BE$65,4,FALSE),"")</f>
        <v/>
      </c>
      <c r="AK85" s="10" t="str">
        <f>IFERROR(VLOOKUP(B85,'Pre-Summary'!$AZ$6:$BE$65,6,FALSE),"")</f>
        <v/>
      </c>
      <c r="AL85" s="10" t="str">
        <f>IFERROR(VLOOKUP(B85,'Pre-Summary'!$BG$6:$BL$44,3,FALSE),"")</f>
        <v/>
      </c>
      <c r="AM85" s="10" t="str">
        <f>IFERROR(VLOOKUP(B85,'Pre-Summary'!$BG$6:$BL$44,4,FALSE),"")</f>
        <v/>
      </c>
    </row>
    <row r="86" spans="2:39" ht="14.4" x14ac:dyDescent="0.3">
      <c r="B86">
        <v>8.3000000000000007</v>
      </c>
      <c r="C86" t="str">
        <f>IFERROR(VLOOKUP(B86,'Pre-Summary'!$DI$6:$DM$23,4,FALSE),"")</f>
        <v/>
      </c>
      <c r="D86" s="10" t="str">
        <f>IFERROR(VLOOKUP(B86,'Pre-Summary'!$AT$6:$AX$14,5,FALSE),D85)</f>
        <v>DSMZ v1: Using DSMZ 120 without NaHCO3</v>
      </c>
      <c r="E86" s="10" t="str">
        <f>IFERROR(VLOOKUP(B86,'Pre-Summary'!$AT$6:$AX$15,4,FALSE),"")</f>
        <v/>
      </c>
      <c r="F86">
        <f>IFERROR(VLOOKUP(B86,'Pre-Summary'!$AL$6:$AQ$13,6,FALSE),F85)</f>
        <v>5.9405263157894746E-2</v>
      </c>
      <c r="G86" t="str">
        <f>IFERROR(VLOOKUP(B86,'Pre-Summary'!$AE$6:$AJ$85,3,FALSE),"")</f>
        <v/>
      </c>
      <c r="H86" t="str">
        <f>IFERROR(VLOOKUP(B86,'Pre-Summary'!$AE$6:$AJ$85,4,FALSE),"")</f>
        <v/>
      </c>
      <c r="I86" t="str">
        <f>IFERROR(VLOOKUP(B86,'Pre-Summary'!$AE$6:$AJ$85,5,FALSE),"")</f>
        <v/>
      </c>
      <c r="J86" s="45" t="str">
        <f>IFERROR(VLOOKUP(B86,'Pre-Summary'!$AE$6:$AJ$85,6, FALSE),"")</f>
        <v/>
      </c>
      <c r="K86" s="45" t="str">
        <f>IFERROR(VLOOKUP(B86,'Pre-Summary'!$DE$6:$DG$61,3,FALSE),"")</f>
        <v/>
      </c>
      <c r="L86" s="45" t="str">
        <f>IFERROR(VLOOKUP(B86,'Pre-Summary'!$CU$6:$CW$36,3,FALSE),"")</f>
        <v/>
      </c>
      <c r="M86" s="45" t="str">
        <f>IFERROR(VLOOKUP(B86,'Pre-Summary'!$BW$6:$BY$58,2,FALSE),"")</f>
        <v/>
      </c>
      <c r="N86" s="45" t="str">
        <f>IFERROR(VLOOKUP(B86,'Pre-Summary'!$CD$6:$CF$64,2,FALSE),"")</f>
        <v/>
      </c>
      <c r="O86" s="99">
        <f>IFERROR(VLOOKUP(B86,'Pre-Summary'!$BO$6:$BQ$48,3, FALSE),O85)</f>
        <v>1.0915248032216731</v>
      </c>
      <c r="P86" s="99">
        <f>IFERROR(VLOOKUP(B86,'Pre-Summary'!$BS$6:$BU$35,3,FALSE),P85)</f>
        <v>0.25</v>
      </c>
      <c r="Q86" s="54">
        <f t="shared" si="3"/>
        <v>4.3660992128866924</v>
      </c>
      <c r="R86" s="53">
        <f>IFERROR(VLOOKUP(B86,'Pre-Summary'!$BG$6:$BM$44,7,FALSE),R87)</f>
        <v>2.7904161219319636E-2</v>
      </c>
      <c r="S86" s="53">
        <f>IFERROR(VLOOKUP(B86,'Pre-Summary'!$BG$6:$BM$44,6,FALSE),S87)</f>
        <v>3.3978715219895171E-2</v>
      </c>
      <c r="T86" s="45" t="str">
        <f>IFERROR(VLOOKUP(B86,'Pre-Summary'!$Y$6:$AC$83, 3,FALSE),"")</f>
        <v/>
      </c>
      <c r="U86" s="45" t="str">
        <f>IFERROR(VLOOKUP(B86,'Pre-Summary'!$Y$6:$AC$83, 4,FALSE),"")</f>
        <v/>
      </c>
      <c r="V86" t="str">
        <f>IFERROR(VLOOKUP(B86,'Pre-Summary'!$Y$6:$AC$83, 5,FALSE),"")</f>
        <v/>
      </c>
      <c r="W86" s="45" t="str">
        <f>IFERROR(VLOOKUP(B86,'Pre-Summary'!$Y$6:$AD$83,6,FALSE),"")</f>
        <v/>
      </c>
      <c r="X86" t="str">
        <f>IFERROR(VLOOKUP('Pre-Summary'!$DB$6:$DD$63,3,FALSE),"")</f>
        <v/>
      </c>
      <c r="Y86" t="str">
        <f>IFERROR(VLOOKUP(B86,'Pre-Summary'!$CR$6:$CT$36,3,FALSE),"")</f>
        <v/>
      </c>
      <c r="Z86" s="45" t="str">
        <f>IFERROR(VLOOKUP(B86,'Pre-Summary'!$BZ$6:$CB$63,2,FALSE),"")</f>
        <v/>
      </c>
      <c r="AA86" s="45" t="str">
        <f>IFERROR(VLOOKUP(B86,'Pre-Summary'!$CG$6:$CI$70,2,FALSE),"")</f>
        <v/>
      </c>
      <c r="AB86" s="99">
        <f>IFERROR(VLOOKUP(B86,'Pre-Summary'!$A$6:$P$178,9,FALSE),AB87)</f>
        <v>0.48376018267990589</v>
      </c>
      <c r="AC86" s="10">
        <f>IFERROR(VLOOKUP(Summary!B86,'Pre-Summary'!$A$6:$P$184,5, FALSE)/100,AC87)</f>
        <v>0.19379933333333332</v>
      </c>
      <c r="AD86" s="10">
        <f>IFERROR(VLOOKUP(Summary!B86,'Pre-Summary'!$A$6:$P$184,3, FALSE)/100,AD87)</f>
        <v>0.78441233333333327</v>
      </c>
      <c r="AE86" s="10">
        <f>IFERROR(VLOOKUP(Summary!B86,'Pre-Summary'!$A$6:$P$184,7, FALSE)/100,AE87)</f>
        <v>2.1787666666666667E-2</v>
      </c>
      <c r="AF86" s="99">
        <f t="shared" si="4"/>
        <v>0.37946745366970452</v>
      </c>
      <c r="AG86" s="99">
        <f t="shared" si="5"/>
        <v>1.0540005606835563E-2</v>
      </c>
      <c r="AH86" s="10" t="str">
        <f>IFERROR(VLOOKUP(B86,'Pre-Summary'!$AZ$6:$BE$65,3,FALSE),"")</f>
        <v/>
      </c>
      <c r="AI86" s="10" t="str">
        <f>IFERROR(VLOOKUP(B86,'Pre-Summary'!$AZ$6:$BE$65,5,FALSE),"")</f>
        <v/>
      </c>
      <c r="AJ86" s="10" t="str">
        <f>IFERROR(VLOOKUP(B86,'Pre-Summary'!$AZ$6:$BE$65,4,FALSE),"")</f>
        <v/>
      </c>
      <c r="AK86" s="10" t="str">
        <f>IFERROR(VLOOKUP(B86,'Pre-Summary'!$AZ$6:$BE$65,6,FALSE),"")</f>
        <v/>
      </c>
      <c r="AL86" s="10" t="str">
        <f>IFERROR(VLOOKUP(B86,'Pre-Summary'!$BG$6:$BL$44,3,FALSE),"")</f>
        <v/>
      </c>
      <c r="AM86" s="10" t="str">
        <f>IFERROR(VLOOKUP(B86,'Pre-Summary'!$BG$6:$BL$44,4,FALSE),"")</f>
        <v/>
      </c>
    </row>
    <row r="87" spans="2:39" ht="14.4" x14ac:dyDescent="0.3">
      <c r="B87">
        <v>8.4</v>
      </c>
      <c r="C87" t="str">
        <f>IFERROR(VLOOKUP(B87,'Pre-Summary'!$DI$6:$DM$23,4,FALSE),"")</f>
        <v/>
      </c>
      <c r="D87" s="10" t="str">
        <f>IFERROR(VLOOKUP(B87,'Pre-Summary'!$AT$6:$AX$14,5,FALSE),D86)</f>
        <v>DSMZ v1: Using DSMZ 120 without NaHCO3</v>
      </c>
      <c r="E87" s="10" t="str">
        <f>IFERROR(VLOOKUP(B87,'Pre-Summary'!$AT$6:$AX$15,4,FALSE),"")</f>
        <v/>
      </c>
      <c r="F87">
        <f>IFERROR(VLOOKUP(B87,'Pre-Summary'!$AL$6:$AQ$13,6,FALSE),F86)</f>
        <v>5.9405263157894746E-2</v>
      </c>
      <c r="G87" t="str">
        <f>IFERROR(VLOOKUP(B87,'Pre-Summary'!$AE$6:$AJ$85,3,FALSE),"")</f>
        <v/>
      </c>
      <c r="H87" t="str">
        <f>IFERROR(VLOOKUP(B87,'Pre-Summary'!$AE$6:$AJ$85,4,FALSE),"")</f>
        <v/>
      </c>
      <c r="I87" t="str">
        <f>IFERROR(VLOOKUP(B87,'Pre-Summary'!$AE$6:$AJ$85,5,FALSE),"")</f>
        <v/>
      </c>
      <c r="J87" s="45" t="str">
        <f>IFERROR(VLOOKUP(B87,'Pre-Summary'!$AE$6:$AJ$85,6, FALSE),"")</f>
        <v/>
      </c>
      <c r="K87" s="45" t="str">
        <f>IFERROR(VLOOKUP(B87,'Pre-Summary'!$DE$6:$DG$61,3,FALSE),"")</f>
        <v/>
      </c>
      <c r="L87" s="45" t="str">
        <f>IFERROR(VLOOKUP(B87,'Pre-Summary'!$CU$6:$CW$36,3,FALSE),"")</f>
        <v/>
      </c>
      <c r="M87" s="45" t="str">
        <f>IFERROR(VLOOKUP(B87,'Pre-Summary'!$BW$6:$BY$58,2,FALSE),"")</f>
        <v/>
      </c>
      <c r="N87" s="45" t="str">
        <f>IFERROR(VLOOKUP(B87,'Pre-Summary'!$CD$6:$CF$64,2,FALSE),"")</f>
        <v/>
      </c>
      <c r="O87" s="99">
        <f>IFERROR(VLOOKUP(B87,'Pre-Summary'!$BO$6:$BQ$48,3, FALSE),O86)</f>
        <v>1.0915248032216731</v>
      </c>
      <c r="P87" s="99">
        <f>IFERROR(VLOOKUP(B87,'Pre-Summary'!$BS$6:$BU$35,3,FALSE),P86)</f>
        <v>0.25</v>
      </c>
      <c r="Q87" s="54">
        <f t="shared" si="3"/>
        <v>4.3660992128866924</v>
      </c>
      <c r="R87" s="53">
        <f>IFERROR(VLOOKUP(B87,'Pre-Summary'!$BG$6:$BM$44,7,FALSE),R88)</f>
        <v>2.7904161219319636E-2</v>
      </c>
      <c r="S87" s="53">
        <f>IFERROR(VLOOKUP(B87,'Pre-Summary'!$BG$6:$BM$44,6,FALSE),S88)</f>
        <v>3.3978715219895171E-2</v>
      </c>
      <c r="T87" s="45" t="str">
        <f>IFERROR(VLOOKUP(B87,'Pre-Summary'!$Y$6:$AC$83, 3,FALSE),"")</f>
        <v/>
      </c>
      <c r="U87" s="45" t="str">
        <f>IFERROR(VLOOKUP(B87,'Pre-Summary'!$Y$6:$AC$83, 4,FALSE),"")</f>
        <v/>
      </c>
      <c r="V87" t="str">
        <f>IFERROR(VLOOKUP(B87,'Pre-Summary'!$Y$6:$AC$83, 5,FALSE),"")</f>
        <v/>
      </c>
      <c r="W87" s="45" t="str">
        <f>IFERROR(VLOOKUP(B87,'Pre-Summary'!$Y$6:$AD$83,6,FALSE),"")</f>
        <v/>
      </c>
      <c r="X87" t="str">
        <f>IFERROR(VLOOKUP('Pre-Summary'!$DB$6:$DD$63,3,FALSE),"")</f>
        <v/>
      </c>
      <c r="Y87" t="str">
        <f>IFERROR(VLOOKUP(B87,'Pre-Summary'!$CR$6:$CT$36,3,FALSE),"")</f>
        <v/>
      </c>
      <c r="Z87" s="45" t="str">
        <f>IFERROR(VLOOKUP(B87,'Pre-Summary'!$BZ$6:$CB$63,2,FALSE),"")</f>
        <v/>
      </c>
      <c r="AA87" s="45" t="str">
        <f>IFERROR(VLOOKUP(B87,'Pre-Summary'!$CG$6:$CI$70,2,FALSE),"")</f>
        <v/>
      </c>
      <c r="AB87" s="99">
        <f>IFERROR(VLOOKUP(B87,'Pre-Summary'!$A$6:$P$178,9,FALSE),AB88)</f>
        <v>0.48376018267990589</v>
      </c>
      <c r="AC87" s="10">
        <f>IFERROR(VLOOKUP(Summary!B87,'Pre-Summary'!$A$6:$P$184,5, FALSE)/100,AC88)</f>
        <v>0.19379933333333332</v>
      </c>
      <c r="AD87" s="10">
        <f>IFERROR(VLOOKUP(Summary!B87,'Pre-Summary'!$A$6:$P$184,3, FALSE)/100,AD88)</f>
        <v>0.78441233333333327</v>
      </c>
      <c r="AE87" s="10">
        <f>IFERROR(VLOOKUP(Summary!B87,'Pre-Summary'!$A$6:$P$184,7, FALSE)/100,AE88)</f>
        <v>2.1787666666666667E-2</v>
      </c>
      <c r="AF87" s="99">
        <f t="shared" si="4"/>
        <v>0.37946745366970452</v>
      </c>
      <c r="AG87" s="99">
        <f t="shared" si="5"/>
        <v>1.0540005606835563E-2</v>
      </c>
      <c r="AH87" s="10" t="str">
        <f>IFERROR(VLOOKUP(B87,'Pre-Summary'!$AZ$6:$BE$65,3,FALSE),"")</f>
        <v/>
      </c>
      <c r="AI87" s="10" t="str">
        <f>IFERROR(VLOOKUP(B87,'Pre-Summary'!$AZ$6:$BE$65,5,FALSE),"")</f>
        <v/>
      </c>
      <c r="AJ87" s="10" t="str">
        <f>IFERROR(VLOOKUP(B87,'Pre-Summary'!$AZ$6:$BE$65,4,FALSE),"")</f>
        <v/>
      </c>
      <c r="AK87" s="10" t="str">
        <f>IFERROR(VLOOKUP(B87,'Pre-Summary'!$AZ$6:$BE$65,6,FALSE),"")</f>
        <v/>
      </c>
      <c r="AL87" s="10" t="str">
        <f>IFERROR(VLOOKUP(B87,'Pre-Summary'!$BG$6:$BL$44,3,FALSE),"")</f>
        <v/>
      </c>
      <c r="AM87" s="10" t="str">
        <f>IFERROR(VLOOKUP(B87,'Pre-Summary'!$BG$6:$BL$44,4,FALSE),"")</f>
        <v/>
      </c>
    </row>
    <row r="88" spans="2:39" ht="14.4" x14ac:dyDescent="0.3">
      <c r="B88">
        <v>8.5</v>
      </c>
      <c r="C88" t="str">
        <f>IFERROR(VLOOKUP(B88,'Pre-Summary'!$DI$6:$DM$23,4,FALSE),"")</f>
        <v/>
      </c>
      <c r="D88" s="10" t="str">
        <f>IFERROR(VLOOKUP(B88,'Pre-Summary'!$AT$6:$AX$14,5,FALSE),D87)</f>
        <v>DSMZ v1: Using DSMZ 120 without NaHCO3</v>
      </c>
      <c r="E88" s="10" t="str">
        <f>IFERROR(VLOOKUP(B88,'Pre-Summary'!$AT$6:$AX$15,4,FALSE),"")</f>
        <v/>
      </c>
      <c r="F88">
        <f>IFERROR(VLOOKUP(B88,'Pre-Summary'!$AL$6:$AQ$13,6,FALSE),F87)</f>
        <v>5.9405263157894746E-2</v>
      </c>
      <c r="G88" t="str">
        <f>IFERROR(VLOOKUP(B88,'Pre-Summary'!$AE$6:$AJ$85,3,FALSE),"")</f>
        <v/>
      </c>
      <c r="H88" t="str">
        <f>IFERROR(VLOOKUP(B88,'Pre-Summary'!$AE$6:$AJ$85,4,FALSE),"")</f>
        <v/>
      </c>
      <c r="I88" t="str">
        <f>IFERROR(VLOOKUP(B88,'Pre-Summary'!$AE$6:$AJ$85,5,FALSE),"")</f>
        <v/>
      </c>
      <c r="J88" s="45" t="str">
        <f>IFERROR(VLOOKUP(B88,'Pre-Summary'!$AE$6:$AJ$85,6, FALSE),"")</f>
        <v/>
      </c>
      <c r="K88" s="45" t="str">
        <f>IFERROR(VLOOKUP(B88,'Pre-Summary'!$DE$6:$DG$61,3,FALSE),"")</f>
        <v/>
      </c>
      <c r="L88" s="45" t="str">
        <f>IFERROR(VLOOKUP(B88,'Pre-Summary'!$CU$6:$CW$36,3,FALSE),"")</f>
        <v/>
      </c>
      <c r="M88" s="45" t="str">
        <f>IFERROR(VLOOKUP(B88,'Pre-Summary'!$BW$6:$BY$58,2,FALSE),"")</f>
        <v/>
      </c>
      <c r="N88" s="45" t="str">
        <f>IFERROR(VLOOKUP(B88,'Pre-Summary'!$CD$6:$CF$64,2,FALSE),"")</f>
        <v/>
      </c>
      <c r="O88" s="99">
        <f>IFERROR(VLOOKUP(B88,'Pre-Summary'!$BO$6:$BQ$48,3, FALSE),O87)</f>
        <v>1.0915248032216731</v>
      </c>
      <c r="P88" s="99">
        <f>IFERROR(VLOOKUP(B88,'Pre-Summary'!$BS$6:$BU$35,3,FALSE),P87)</f>
        <v>0.25</v>
      </c>
      <c r="Q88" s="54">
        <f t="shared" si="3"/>
        <v>4.3660992128866924</v>
      </c>
      <c r="R88" s="53">
        <f>IFERROR(VLOOKUP(B88,'Pre-Summary'!$BG$6:$BM$44,7,FALSE),R89)</f>
        <v>2.7904161219319636E-2</v>
      </c>
      <c r="S88" s="53">
        <f>IFERROR(VLOOKUP(B88,'Pre-Summary'!$BG$6:$BM$44,6,FALSE),S89)</f>
        <v>3.3978715219895171E-2</v>
      </c>
      <c r="T88" s="45" t="str">
        <f>IFERROR(VLOOKUP(B88,'Pre-Summary'!$Y$6:$AC$83, 3,FALSE),"")</f>
        <v/>
      </c>
      <c r="U88" s="45" t="str">
        <f>IFERROR(VLOOKUP(B88,'Pre-Summary'!$Y$6:$AC$83, 4,FALSE),"")</f>
        <v/>
      </c>
      <c r="V88" t="str">
        <f>IFERROR(VLOOKUP(B88,'Pre-Summary'!$Y$6:$AC$83, 5,FALSE),"")</f>
        <v/>
      </c>
      <c r="W88" s="45" t="str">
        <f>IFERROR(VLOOKUP(B88,'Pre-Summary'!$Y$6:$AD$83,6,FALSE),"")</f>
        <v/>
      </c>
      <c r="X88" t="str">
        <f>IFERROR(VLOOKUP('Pre-Summary'!$DB$6:$DD$63,3,FALSE),"")</f>
        <v/>
      </c>
      <c r="Y88" t="str">
        <f>IFERROR(VLOOKUP(B88,'Pre-Summary'!$CR$6:$CT$36,3,FALSE),"")</f>
        <v/>
      </c>
      <c r="Z88" s="45" t="str">
        <f>IFERROR(VLOOKUP(B88,'Pre-Summary'!$BZ$6:$CB$63,2,FALSE),"")</f>
        <v/>
      </c>
      <c r="AA88" s="45" t="str">
        <f>IFERROR(VLOOKUP(B88,'Pre-Summary'!$CG$6:$CI$70,2,FALSE),"")</f>
        <v/>
      </c>
      <c r="AB88" s="99">
        <f>IFERROR(VLOOKUP(B88,'Pre-Summary'!$A$6:$P$178,9,FALSE),AB89)</f>
        <v>0.48376018267990589</v>
      </c>
      <c r="AC88" s="10">
        <f>IFERROR(VLOOKUP(Summary!B88,'Pre-Summary'!$A$6:$P$184,5, FALSE)/100,AC89)</f>
        <v>0.19379933333333332</v>
      </c>
      <c r="AD88" s="10">
        <f>IFERROR(VLOOKUP(Summary!B88,'Pre-Summary'!$A$6:$P$184,3, FALSE)/100,AD89)</f>
        <v>0.78441233333333327</v>
      </c>
      <c r="AE88" s="10">
        <f>IFERROR(VLOOKUP(Summary!B88,'Pre-Summary'!$A$6:$P$184,7, FALSE)/100,AE89)</f>
        <v>2.1787666666666667E-2</v>
      </c>
      <c r="AF88" s="99">
        <f t="shared" si="4"/>
        <v>0.37946745366970452</v>
      </c>
      <c r="AG88" s="99">
        <f t="shared" si="5"/>
        <v>1.0540005606835563E-2</v>
      </c>
      <c r="AH88" s="10" t="str">
        <f>IFERROR(VLOOKUP(B88,'Pre-Summary'!$AZ$6:$BE$65,3,FALSE),"")</f>
        <v/>
      </c>
      <c r="AI88" s="10" t="str">
        <f>IFERROR(VLOOKUP(B88,'Pre-Summary'!$AZ$6:$BE$65,5,FALSE),"")</f>
        <v/>
      </c>
      <c r="AJ88" s="10" t="str">
        <f>IFERROR(VLOOKUP(B88,'Pre-Summary'!$AZ$6:$BE$65,4,FALSE),"")</f>
        <v/>
      </c>
      <c r="AK88" s="10" t="str">
        <f>IFERROR(VLOOKUP(B88,'Pre-Summary'!$AZ$6:$BE$65,6,FALSE),"")</f>
        <v/>
      </c>
      <c r="AL88" s="10" t="str">
        <f>IFERROR(VLOOKUP(B88,'Pre-Summary'!$BG$6:$BL$44,3,FALSE),"")</f>
        <v/>
      </c>
      <c r="AM88" s="10" t="str">
        <f>IFERROR(VLOOKUP(B88,'Pre-Summary'!$BG$6:$BL$44,4,FALSE),"")</f>
        <v/>
      </c>
    </row>
    <row r="89" spans="2:39" ht="14.4" x14ac:dyDescent="0.3">
      <c r="B89">
        <v>8.6</v>
      </c>
      <c r="C89" t="str">
        <f>IFERROR(VLOOKUP(B89,'Pre-Summary'!$DI$6:$DM$23,4,FALSE),"")</f>
        <v/>
      </c>
      <c r="D89" s="10" t="str">
        <f>IFERROR(VLOOKUP(B89,'Pre-Summary'!$AT$6:$AX$14,5,FALSE),D88)</f>
        <v>DSMZ v1: Using DSMZ 120 without NaHCO3</v>
      </c>
      <c r="E89" s="10" t="str">
        <f>IFERROR(VLOOKUP(B89,'Pre-Summary'!$AT$6:$AX$15,4,FALSE),"")</f>
        <v/>
      </c>
      <c r="F89">
        <f>IFERROR(VLOOKUP(B89,'Pre-Summary'!$AL$6:$AQ$13,6,FALSE),F88)</f>
        <v>5.9405263157894746E-2</v>
      </c>
      <c r="G89" t="str">
        <f>IFERROR(VLOOKUP(B89,'Pre-Summary'!$AE$6:$AJ$85,3,FALSE),"")</f>
        <v/>
      </c>
      <c r="H89" t="str">
        <f>IFERROR(VLOOKUP(B89,'Pre-Summary'!$AE$6:$AJ$85,4,FALSE),"")</f>
        <v/>
      </c>
      <c r="I89" t="str">
        <f>IFERROR(VLOOKUP(B89,'Pre-Summary'!$AE$6:$AJ$85,5,FALSE),"")</f>
        <v/>
      </c>
      <c r="J89" s="45" t="str">
        <f>IFERROR(VLOOKUP(B89,'Pre-Summary'!$AE$6:$AJ$85,6, FALSE),"")</f>
        <v/>
      </c>
      <c r="K89" s="45" t="str">
        <f>IFERROR(VLOOKUP(B89,'Pre-Summary'!$DE$6:$DG$61,3,FALSE),"")</f>
        <v/>
      </c>
      <c r="L89" s="45" t="str">
        <f>IFERROR(VLOOKUP(B89,'Pre-Summary'!$CU$6:$CW$36,3,FALSE),"")</f>
        <v/>
      </c>
      <c r="M89" s="45" t="str">
        <f>IFERROR(VLOOKUP(B89,'Pre-Summary'!$BW$6:$BY$58,2,FALSE),"")</f>
        <v/>
      </c>
      <c r="N89" s="45" t="str">
        <f>IFERROR(VLOOKUP(B89,'Pre-Summary'!$CD$6:$CF$64,2,FALSE),"")</f>
        <v/>
      </c>
      <c r="O89" s="99">
        <f>IFERROR(VLOOKUP(B89,'Pre-Summary'!$BO$6:$BQ$48,3, FALSE),O88)</f>
        <v>1.0915248032216731</v>
      </c>
      <c r="P89" s="99">
        <f>IFERROR(VLOOKUP(B89,'Pre-Summary'!$BS$6:$BU$35,3,FALSE),P88)</f>
        <v>0.25</v>
      </c>
      <c r="Q89" s="54">
        <f t="shared" si="3"/>
        <v>4.3660992128866924</v>
      </c>
      <c r="R89" s="53">
        <f>IFERROR(VLOOKUP(B89,'Pre-Summary'!$BG$6:$BM$44,7,FALSE),R90)</f>
        <v>2.7904161219319636E-2</v>
      </c>
      <c r="S89" s="53">
        <f>IFERROR(VLOOKUP(B89,'Pre-Summary'!$BG$6:$BM$44,6,FALSE),S90)</f>
        <v>3.3978715219895171E-2</v>
      </c>
      <c r="T89" s="45" t="str">
        <f>IFERROR(VLOOKUP(B89,'Pre-Summary'!$Y$6:$AC$83, 3,FALSE),"")</f>
        <v/>
      </c>
      <c r="U89" s="45" t="str">
        <f>IFERROR(VLOOKUP(B89,'Pre-Summary'!$Y$6:$AC$83, 4,FALSE),"")</f>
        <v/>
      </c>
      <c r="V89" t="str">
        <f>IFERROR(VLOOKUP(B89,'Pre-Summary'!$Y$6:$AC$83, 5,FALSE),"")</f>
        <v/>
      </c>
      <c r="W89" s="45" t="str">
        <f>IFERROR(VLOOKUP(B89,'Pre-Summary'!$Y$6:$AD$83,6,FALSE),"")</f>
        <v/>
      </c>
      <c r="X89" t="str">
        <f>IFERROR(VLOOKUP('Pre-Summary'!$DB$6:$DD$63,3,FALSE),"")</f>
        <v/>
      </c>
      <c r="Y89" t="str">
        <f>IFERROR(VLOOKUP(B89,'Pre-Summary'!$CR$6:$CT$36,3,FALSE),"")</f>
        <v/>
      </c>
      <c r="Z89" s="45" t="str">
        <f>IFERROR(VLOOKUP(B89,'Pre-Summary'!$BZ$6:$CB$63,2,FALSE),"")</f>
        <v/>
      </c>
      <c r="AA89" s="45" t="str">
        <f>IFERROR(VLOOKUP(B89,'Pre-Summary'!$CG$6:$CI$70,2,FALSE),"")</f>
        <v/>
      </c>
      <c r="AB89" s="99">
        <f>IFERROR(VLOOKUP(B89,'Pre-Summary'!$A$6:$P$178,9,FALSE),AB90)</f>
        <v>0.48376018267990589</v>
      </c>
      <c r="AC89" s="10">
        <f>IFERROR(VLOOKUP(Summary!B89,'Pre-Summary'!$A$6:$P$184,5, FALSE)/100,AC90)</f>
        <v>0.19379933333333332</v>
      </c>
      <c r="AD89" s="10">
        <f>IFERROR(VLOOKUP(Summary!B89,'Pre-Summary'!$A$6:$P$184,3, FALSE)/100,AD90)</f>
        <v>0.78441233333333327</v>
      </c>
      <c r="AE89" s="10">
        <f>IFERROR(VLOOKUP(Summary!B89,'Pre-Summary'!$A$6:$P$184,7, FALSE)/100,AE90)</f>
        <v>2.1787666666666667E-2</v>
      </c>
      <c r="AF89" s="99">
        <f t="shared" si="4"/>
        <v>0.37946745366970452</v>
      </c>
      <c r="AG89" s="99">
        <f t="shared" si="5"/>
        <v>1.0540005606835563E-2</v>
      </c>
      <c r="AH89" s="10" t="str">
        <f>IFERROR(VLOOKUP(B89,'Pre-Summary'!$AZ$6:$BE$65,3,FALSE),"")</f>
        <v/>
      </c>
      <c r="AI89" s="10" t="str">
        <f>IFERROR(VLOOKUP(B89,'Pre-Summary'!$AZ$6:$BE$65,5,FALSE),"")</f>
        <v/>
      </c>
      <c r="AJ89" s="10" t="str">
        <f>IFERROR(VLOOKUP(B89,'Pre-Summary'!$AZ$6:$BE$65,4,FALSE),"")</f>
        <v/>
      </c>
      <c r="AK89" s="10" t="str">
        <f>IFERROR(VLOOKUP(B89,'Pre-Summary'!$AZ$6:$BE$65,6,FALSE),"")</f>
        <v/>
      </c>
      <c r="AL89" s="10" t="str">
        <f>IFERROR(VLOOKUP(B89,'Pre-Summary'!$BG$6:$BL$44,3,FALSE),"")</f>
        <v/>
      </c>
      <c r="AM89" s="10" t="str">
        <f>IFERROR(VLOOKUP(B89,'Pre-Summary'!$BG$6:$BL$44,4,FALSE),"")</f>
        <v/>
      </c>
    </row>
    <row r="90" spans="2:39" ht="14.4" x14ac:dyDescent="0.3">
      <c r="B90">
        <v>8.6999999999999993</v>
      </c>
      <c r="C90" t="str">
        <f>IFERROR(VLOOKUP(B90,'Pre-Summary'!$DI$6:$DM$23,4,FALSE),"")</f>
        <v/>
      </c>
      <c r="D90" s="10" t="str">
        <f>IFERROR(VLOOKUP(B90,'Pre-Summary'!$AT$6:$AX$14,5,FALSE),D89)</f>
        <v>DSMZ v1: Using DSMZ 120 without NaHCO3</v>
      </c>
      <c r="E90" s="10" t="str">
        <f>IFERROR(VLOOKUP(B90,'Pre-Summary'!$AT$6:$AX$15,4,FALSE),"")</f>
        <v/>
      </c>
      <c r="F90">
        <f>IFERROR(VLOOKUP(B90,'Pre-Summary'!$AL$6:$AQ$13,6,FALSE),F89)</f>
        <v>5.9405263157894746E-2</v>
      </c>
      <c r="G90" t="str">
        <f>IFERROR(VLOOKUP(B90,'Pre-Summary'!$AE$6:$AJ$85,3,FALSE),"")</f>
        <v/>
      </c>
      <c r="H90" t="str">
        <f>IFERROR(VLOOKUP(B90,'Pre-Summary'!$AE$6:$AJ$85,4,FALSE),"")</f>
        <v/>
      </c>
      <c r="I90" t="str">
        <f>IFERROR(VLOOKUP(B90,'Pre-Summary'!$AE$6:$AJ$85,5,FALSE),"")</f>
        <v/>
      </c>
      <c r="J90" s="45" t="str">
        <f>IFERROR(VLOOKUP(B90,'Pre-Summary'!$AE$6:$AJ$85,6, FALSE),"")</f>
        <v/>
      </c>
      <c r="K90" s="45" t="str">
        <f>IFERROR(VLOOKUP(B90,'Pre-Summary'!$DE$6:$DG$61,3,FALSE),"")</f>
        <v/>
      </c>
      <c r="L90" s="45" t="str">
        <f>IFERROR(VLOOKUP(B90,'Pre-Summary'!$CU$6:$CW$36,3,FALSE),"")</f>
        <v/>
      </c>
      <c r="M90" s="45" t="str">
        <f>IFERROR(VLOOKUP(B90,'Pre-Summary'!$BW$6:$BY$58,2,FALSE),"")</f>
        <v/>
      </c>
      <c r="N90" s="45" t="str">
        <f>IFERROR(VLOOKUP(B90,'Pre-Summary'!$CD$6:$CF$64,2,FALSE),"")</f>
        <v/>
      </c>
      <c r="O90" s="99">
        <f>IFERROR(VLOOKUP(B90,'Pre-Summary'!$BO$6:$BQ$48,3, FALSE),O89)</f>
        <v>1.0915248032216731</v>
      </c>
      <c r="P90" s="99">
        <f>IFERROR(VLOOKUP(B90,'Pre-Summary'!$BS$6:$BU$35,3,FALSE),P89)</f>
        <v>0.25</v>
      </c>
      <c r="Q90" s="54">
        <f t="shared" si="3"/>
        <v>4.3660992128866924</v>
      </c>
      <c r="R90" s="53">
        <f>IFERROR(VLOOKUP(B90,'Pre-Summary'!$BG$6:$BM$44,7,FALSE),R91)</f>
        <v>2.7904161219319636E-2</v>
      </c>
      <c r="S90" s="53">
        <f>IFERROR(VLOOKUP(B90,'Pre-Summary'!$BG$6:$BM$44,6,FALSE),S91)</f>
        <v>3.3978715219895171E-2</v>
      </c>
      <c r="T90" s="45" t="str">
        <f>IFERROR(VLOOKUP(B90,'Pre-Summary'!$Y$6:$AC$83, 3,FALSE),"")</f>
        <v/>
      </c>
      <c r="U90" s="45" t="str">
        <f>IFERROR(VLOOKUP(B90,'Pre-Summary'!$Y$6:$AC$83, 4,FALSE),"")</f>
        <v/>
      </c>
      <c r="V90" t="str">
        <f>IFERROR(VLOOKUP(B90,'Pre-Summary'!$Y$6:$AC$83, 5,FALSE),"")</f>
        <v/>
      </c>
      <c r="W90" s="45" t="str">
        <f>IFERROR(VLOOKUP(B90,'Pre-Summary'!$Y$6:$AD$83,6,FALSE),"")</f>
        <v/>
      </c>
      <c r="X90" t="str">
        <f>IFERROR(VLOOKUP('Pre-Summary'!$DB$6:$DD$63,3,FALSE),"")</f>
        <v/>
      </c>
      <c r="Y90" t="str">
        <f>IFERROR(VLOOKUP(B90,'Pre-Summary'!$CR$6:$CT$36,3,FALSE),"")</f>
        <v/>
      </c>
      <c r="Z90" s="45" t="str">
        <f>IFERROR(VLOOKUP(B90,'Pre-Summary'!$BZ$6:$CB$63,2,FALSE),"")</f>
        <v/>
      </c>
      <c r="AA90" s="45" t="str">
        <f>IFERROR(VLOOKUP(B90,'Pre-Summary'!$CG$6:$CI$70,2,FALSE),"")</f>
        <v/>
      </c>
      <c r="AB90" s="99">
        <f>IFERROR(VLOOKUP(B90,'Pre-Summary'!$A$6:$P$178,9,FALSE),AB91)</f>
        <v>0.48376018267990589</v>
      </c>
      <c r="AC90" s="10">
        <f>IFERROR(VLOOKUP(Summary!B90,'Pre-Summary'!$A$6:$P$184,5, FALSE)/100,AC91)</f>
        <v>0.19379933333333332</v>
      </c>
      <c r="AD90" s="10">
        <f>IFERROR(VLOOKUP(Summary!B90,'Pre-Summary'!$A$6:$P$184,3, FALSE)/100,AD91)</f>
        <v>0.78441233333333327</v>
      </c>
      <c r="AE90" s="10">
        <f>IFERROR(VLOOKUP(Summary!B90,'Pre-Summary'!$A$6:$P$184,7, FALSE)/100,AE91)</f>
        <v>2.1787666666666667E-2</v>
      </c>
      <c r="AF90" s="99">
        <f t="shared" si="4"/>
        <v>0.37946745366970452</v>
      </c>
      <c r="AG90" s="99">
        <f t="shared" si="5"/>
        <v>1.0540005606835563E-2</v>
      </c>
      <c r="AH90" s="10" t="str">
        <f>IFERROR(VLOOKUP(B90,'Pre-Summary'!$AZ$6:$BE$65,3,FALSE),"")</f>
        <v/>
      </c>
      <c r="AI90" s="10" t="str">
        <f>IFERROR(VLOOKUP(B90,'Pre-Summary'!$AZ$6:$BE$65,5,FALSE),"")</f>
        <v/>
      </c>
      <c r="AJ90" s="10" t="str">
        <f>IFERROR(VLOOKUP(B90,'Pre-Summary'!$AZ$6:$BE$65,4,FALSE),"")</f>
        <v/>
      </c>
      <c r="AK90" s="10" t="str">
        <f>IFERROR(VLOOKUP(B90,'Pre-Summary'!$AZ$6:$BE$65,6,FALSE),"")</f>
        <v/>
      </c>
      <c r="AL90" s="10" t="str">
        <f>IFERROR(VLOOKUP(B90,'Pre-Summary'!$BG$6:$BL$44,3,FALSE),"")</f>
        <v/>
      </c>
      <c r="AM90" s="10" t="str">
        <f>IFERROR(VLOOKUP(B90,'Pre-Summary'!$BG$6:$BL$44,4,FALSE),"")</f>
        <v/>
      </c>
    </row>
    <row r="91" spans="2:39" ht="14.4" x14ac:dyDescent="0.3">
      <c r="B91">
        <v>8.8000000000000007</v>
      </c>
      <c r="C91" t="str">
        <f>IFERROR(VLOOKUP(B91,'Pre-Summary'!$DI$6:$DM$23,4,FALSE),"")</f>
        <v/>
      </c>
      <c r="D91" s="10" t="str">
        <f>IFERROR(VLOOKUP(B91,'Pre-Summary'!$AT$6:$AX$14,5,FALSE),D90)</f>
        <v>DSMZ v1: Using DSMZ 120 without NaHCO3</v>
      </c>
      <c r="E91" s="10" t="str">
        <f>IFERROR(VLOOKUP(B91,'Pre-Summary'!$AT$6:$AX$15,4,FALSE),"")</f>
        <v/>
      </c>
      <c r="F91">
        <f>IFERROR(VLOOKUP(B91,'Pre-Summary'!$AL$6:$AQ$13,6,FALSE),F90)</f>
        <v>5.9405263157894746E-2</v>
      </c>
      <c r="G91" t="str">
        <f>IFERROR(VLOOKUP(B91,'Pre-Summary'!$AE$6:$AJ$85,3,FALSE),"")</f>
        <v/>
      </c>
      <c r="H91" t="str">
        <f>IFERROR(VLOOKUP(B91,'Pre-Summary'!$AE$6:$AJ$85,4,FALSE),"")</f>
        <v/>
      </c>
      <c r="I91" t="str">
        <f>IFERROR(VLOOKUP(B91,'Pre-Summary'!$AE$6:$AJ$85,5,FALSE),"")</f>
        <v/>
      </c>
      <c r="J91" s="45" t="str">
        <f>IFERROR(VLOOKUP(B91,'Pre-Summary'!$AE$6:$AJ$85,6, FALSE),"")</f>
        <v/>
      </c>
      <c r="K91" s="45" t="str">
        <f>IFERROR(VLOOKUP(B91,'Pre-Summary'!$DE$6:$DG$61,3,FALSE),"")</f>
        <v/>
      </c>
      <c r="L91" s="45" t="str">
        <f>IFERROR(VLOOKUP(B91,'Pre-Summary'!$CU$6:$CW$36,3,FALSE),"")</f>
        <v/>
      </c>
      <c r="M91" s="45" t="str">
        <f>IFERROR(VLOOKUP(B91,'Pre-Summary'!$BW$6:$BY$58,2,FALSE),"")</f>
        <v/>
      </c>
      <c r="N91" s="45" t="str">
        <f>IFERROR(VLOOKUP(B91,'Pre-Summary'!$CD$6:$CF$64,2,FALSE),"")</f>
        <v/>
      </c>
      <c r="O91" s="99">
        <f>IFERROR(VLOOKUP(B91,'Pre-Summary'!$BO$6:$BQ$48,3, FALSE),O90)</f>
        <v>1.0915248032216731</v>
      </c>
      <c r="P91" s="99">
        <f>IFERROR(VLOOKUP(B91,'Pre-Summary'!$BS$6:$BU$35,3,FALSE),P90)</f>
        <v>0.25</v>
      </c>
      <c r="Q91" s="54">
        <f t="shared" si="3"/>
        <v>4.3660992128866924</v>
      </c>
      <c r="R91" s="53">
        <f>IFERROR(VLOOKUP(B91,'Pre-Summary'!$BG$6:$BM$44,7,FALSE),R92)</f>
        <v>2.7904161219319636E-2</v>
      </c>
      <c r="S91" s="53">
        <f>IFERROR(VLOOKUP(B91,'Pre-Summary'!$BG$6:$BM$44,6,FALSE),S92)</f>
        <v>3.3978715219895171E-2</v>
      </c>
      <c r="T91" s="45" t="str">
        <f>IFERROR(VLOOKUP(B91,'Pre-Summary'!$Y$6:$AC$83, 3,FALSE),"")</f>
        <v/>
      </c>
      <c r="U91" s="45" t="str">
        <f>IFERROR(VLOOKUP(B91,'Pre-Summary'!$Y$6:$AC$83, 4,FALSE),"")</f>
        <v/>
      </c>
      <c r="V91" t="str">
        <f>IFERROR(VLOOKUP(B91,'Pre-Summary'!$Y$6:$AC$83, 5,FALSE),"")</f>
        <v/>
      </c>
      <c r="W91" s="45" t="str">
        <f>IFERROR(VLOOKUP(B91,'Pre-Summary'!$Y$6:$AD$83,6,FALSE),"")</f>
        <v/>
      </c>
      <c r="X91" t="str">
        <f>IFERROR(VLOOKUP('Pre-Summary'!$DB$6:$DD$63,3,FALSE),"")</f>
        <v/>
      </c>
      <c r="Y91" t="str">
        <f>IFERROR(VLOOKUP(B91,'Pre-Summary'!$CR$6:$CT$36,3,FALSE),"")</f>
        <v/>
      </c>
      <c r="Z91" s="45" t="str">
        <f>IFERROR(VLOOKUP(B91,'Pre-Summary'!$BZ$6:$CB$63,2,FALSE),"")</f>
        <v/>
      </c>
      <c r="AA91" s="45" t="str">
        <f>IFERROR(VLOOKUP(B91,'Pre-Summary'!$CG$6:$CI$70,2,FALSE),"")</f>
        <v/>
      </c>
      <c r="AB91" s="99">
        <f>IFERROR(VLOOKUP(B91,'Pre-Summary'!$A$6:$P$178,9,FALSE),AB92)</f>
        <v>0.48376018267990589</v>
      </c>
      <c r="AC91" s="10">
        <f>IFERROR(VLOOKUP(Summary!B91,'Pre-Summary'!$A$6:$P$184,5, FALSE)/100,AC92)</f>
        <v>0.19379933333333332</v>
      </c>
      <c r="AD91" s="10">
        <f>IFERROR(VLOOKUP(Summary!B91,'Pre-Summary'!$A$6:$P$184,3, FALSE)/100,AD92)</f>
        <v>0.78441233333333327</v>
      </c>
      <c r="AE91" s="10">
        <f>IFERROR(VLOOKUP(Summary!B91,'Pre-Summary'!$A$6:$P$184,7, FALSE)/100,AE92)</f>
        <v>2.1787666666666667E-2</v>
      </c>
      <c r="AF91" s="99">
        <f t="shared" si="4"/>
        <v>0.37946745366970452</v>
      </c>
      <c r="AG91" s="99">
        <f t="shared" si="5"/>
        <v>1.0540005606835563E-2</v>
      </c>
      <c r="AH91" s="10" t="str">
        <f>IFERROR(VLOOKUP(B91,'Pre-Summary'!$AZ$6:$BE$65,3,FALSE),"")</f>
        <v/>
      </c>
      <c r="AI91" s="10" t="str">
        <f>IFERROR(VLOOKUP(B91,'Pre-Summary'!$AZ$6:$BE$65,5,FALSE),"")</f>
        <v/>
      </c>
      <c r="AJ91" s="10" t="str">
        <f>IFERROR(VLOOKUP(B91,'Pre-Summary'!$AZ$6:$BE$65,4,FALSE),"")</f>
        <v/>
      </c>
      <c r="AK91" s="10" t="str">
        <f>IFERROR(VLOOKUP(B91,'Pre-Summary'!$AZ$6:$BE$65,6,FALSE),"")</f>
        <v/>
      </c>
      <c r="AL91" s="10" t="str">
        <f>IFERROR(VLOOKUP(B91,'Pre-Summary'!$BG$6:$BL$44,3,FALSE),"")</f>
        <v/>
      </c>
      <c r="AM91" s="10" t="str">
        <f>IFERROR(VLOOKUP(B91,'Pre-Summary'!$BG$6:$BL$44,4,FALSE),"")</f>
        <v/>
      </c>
    </row>
    <row r="92" spans="2:39" ht="14.4" x14ac:dyDescent="0.3">
      <c r="B92">
        <v>8.9</v>
      </c>
      <c r="C92" t="str">
        <f>IFERROR(VLOOKUP(B92,'Pre-Summary'!$DI$6:$DM$23,4,FALSE),"")</f>
        <v/>
      </c>
      <c r="D92" s="10" t="str">
        <f>IFERROR(VLOOKUP(B92,'Pre-Summary'!$AT$6:$AX$14,5,FALSE),D91)</f>
        <v>DSMZ v1: Using DSMZ 120 without NaHCO3</v>
      </c>
      <c r="E92" s="10" t="str">
        <f>IFERROR(VLOOKUP(B92,'Pre-Summary'!$AT$6:$AX$15,4,FALSE),"")</f>
        <v/>
      </c>
      <c r="F92">
        <f>IFERROR(VLOOKUP(B92,'Pre-Summary'!$AL$6:$AQ$13,6,FALSE),F91)</f>
        <v>5.9405263157894746E-2</v>
      </c>
      <c r="G92" t="str">
        <f>IFERROR(VLOOKUP(B92,'Pre-Summary'!$AE$6:$AJ$85,3,FALSE),"")</f>
        <v/>
      </c>
      <c r="H92" t="str">
        <f>IFERROR(VLOOKUP(B92,'Pre-Summary'!$AE$6:$AJ$85,4,FALSE),"")</f>
        <v/>
      </c>
      <c r="I92" t="str">
        <f>IFERROR(VLOOKUP(B92,'Pre-Summary'!$AE$6:$AJ$85,5,FALSE),"")</f>
        <v/>
      </c>
      <c r="J92" s="45" t="str">
        <f>IFERROR(VLOOKUP(B92,'Pre-Summary'!$AE$6:$AJ$85,6, FALSE),"")</f>
        <v/>
      </c>
      <c r="K92" s="45" t="str">
        <f>IFERROR(VLOOKUP(B92,'Pre-Summary'!$DE$6:$DG$61,3,FALSE),"")</f>
        <v/>
      </c>
      <c r="L92" s="45" t="str">
        <f>IFERROR(VLOOKUP(B92,'Pre-Summary'!$CU$6:$CW$36,3,FALSE),"")</f>
        <v/>
      </c>
      <c r="M92" s="45" t="str">
        <f>IFERROR(VLOOKUP(B92,'Pre-Summary'!$BW$6:$BY$58,2,FALSE),"")</f>
        <v/>
      </c>
      <c r="N92" s="45" t="str">
        <f>IFERROR(VLOOKUP(B92,'Pre-Summary'!$CD$6:$CF$64,2,FALSE),"")</f>
        <v/>
      </c>
      <c r="O92" s="99">
        <f>IFERROR(VLOOKUP(B92,'Pre-Summary'!$BO$6:$BQ$48,3, FALSE),O91)</f>
        <v>1.0915248032216731</v>
      </c>
      <c r="P92" s="99">
        <f>IFERROR(VLOOKUP(B92,'Pre-Summary'!$BS$6:$BU$35,3,FALSE),P91)</f>
        <v>0.25</v>
      </c>
      <c r="Q92" s="54">
        <f t="shared" si="3"/>
        <v>4.3660992128866924</v>
      </c>
      <c r="R92" s="53">
        <f>IFERROR(VLOOKUP(B92,'Pre-Summary'!$BG$6:$BM$44,7,FALSE),R93)</f>
        <v>2.7904161219319636E-2</v>
      </c>
      <c r="S92" s="53">
        <f>IFERROR(VLOOKUP(B92,'Pre-Summary'!$BG$6:$BM$44,6,FALSE),S93)</f>
        <v>3.3978715219895171E-2</v>
      </c>
      <c r="T92" s="45">
        <f>IFERROR(VLOOKUP(B92,'Pre-Summary'!$Y$6:$AC$83, 3,FALSE),"")</f>
        <v>2841.6699999999996</v>
      </c>
      <c r="U92" s="45">
        <f>IFERROR(VLOOKUP(B92,'Pre-Summary'!$Y$6:$AC$83, 4,FALSE),"")</f>
        <v>134.07999999999998</v>
      </c>
      <c r="V92">
        <f>IFERROR(VLOOKUP(B92,'Pre-Summary'!$Y$6:$AC$83, 5,FALSE),"")</f>
        <v>0</v>
      </c>
      <c r="W92" s="45">
        <f>IFERROR(VLOOKUP(B92,'Pre-Summary'!$Y$6:$AD$83,6,FALSE),"")</f>
        <v>3235.0590099999995</v>
      </c>
      <c r="X92" t="str">
        <f>IFERROR(VLOOKUP('Pre-Summary'!$DB$6:$DD$63,3,FALSE),"")</f>
        <v/>
      </c>
      <c r="Y92" t="str">
        <f>IFERROR(VLOOKUP(B92,'Pre-Summary'!$CR$6:$CT$36,3,FALSE),"")</f>
        <v/>
      </c>
      <c r="Z92" s="45">
        <f>IFERROR(VLOOKUP(B92,'Pre-Summary'!$BZ$6:$CB$63,2,FALSE),"")</f>
        <v>13.348582730309589</v>
      </c>
      <c r="AA92" s="45">
        <f>IFERROR(VLOOKUP(B92,'Pre-Summary'!$CG$6:$CI$70,2,FALSE),"")</f>
        <v>4036.4322379182267</v>
      </c>
      <c r="AB92" s="99">
        <f>IFERROR(VLOOKUP(B92,'Pre-Summary'!$A$6:$P$178,9,FALSE),AB93)</f>
        <v>0.48376018267990589</v>
      </c>
      <c r="AC92" s="10">
        <f>IFERROR(VLOOKUP(Summary!B92,'Pre-Summary'!$A$6:$P$184,5, FALSE)/100,AC93)</f>
        <v>0.19379933333333332</v>
      </c>
      <c r="AD92" s="10">
        <f>IFERROR(VLOOKUP(Summary!B92,'Pre-Summary'!$A$6:$P$184,3, FALSE)/100,AD93)</f>
        <v>0.78441233333333327</v>
      </c>
      <c r="AE92" s="10">
        <f>IFERROR(VLOOKUP(Summary!B92,'Pre-Summary'!$A$6:$P$184,7, FALSE)/100,AE93)</f>
        <v>2.1787666666666667E-2</v>
      </c>
      <c r="AF92" s="99">
        <f t="shared" si="4"/>
        <v>0.37946745366970452</v>
      </c>
      <c r="AG92" s="99">
        <f t="shared" si="5"/>
        <v>1.0540005606835563E-2</v>
      </c>
      <c r="AH92" s="10" t="str">
        <f>IFERROR(VLOOKUP(B92,'Pre-Summary'!$AZ$6:$BE$65,3,FALSE),"")</f>
        <v/>
      </c>
      <c r="AI92" s="10" t="str">
        <f>IFERROR(VLOOKUP(B92,'Pre-Summary'!$AZ$6:$BE$65,5,FALSE),"")</f>
        <v/>
      </c>
      <c r="AJ92" s="10" t="str">
        <f>IFERROR(VLOOKUP(B92,'Pre-Summary'!$AZ$6:$BE$65,4,FALSE),"")</f>
        <v/>
      </c>
      <c r="AK92" s="10" t="str">
        <f>IFERROR(VLOOKUP(B92,'Pre-Summary'!$AZ$6:$BE$65,6,FALSE),"")</f>
        <v/>
      </c>
      <c r="AL92" s="10" t="str">
        <f>IFERROR(VLOOKUP(B92,'Pre-Summary'!$BG$6:$BL$44,3,FALSE),"")</f>
        <v/>
      </c>
      <c r="AM92" s="10" t="str">
        <f>IFERROR(VLOOKUP(B92,'Pre-Summary'!$BG$6:$BL$44,4,FALSE),"")</f>
        <v/>
      </c>
    </row>
    <row r="93" spans="2:39" ht="14.4" x14ac:dyDescent="0.3">
      <c r="B93">
        <v>9</v>
      </c>
      <c r="C93" t="str">
        <f>IFERROR(VLOOKUP(B93,'Pre-Summary'!$DI$6:$DM$23,4,FALSE),"")</f>
        <v/>
      </c>
      <c r="D93" s="10" t="str">
        <f>IFERROR(VLOOKUP(B93,'Pre-Summary'!$AT$6:$AX$14,5,FALSE),D92)</f>
        <v>DSMZ v1: Using DSMZ 120 without NaHCO3</v>
      </c>
      <c r="E93" s="10" t="str">
        <f>IFERROR(VLOOKUP(B93,'Pre-Summary'!$AT$6:$AX$15,4,FALSE),"")</f>
        <v/>
      </c>
      <c r="F93">
        <f>IFERROR(VLOOKUP(B93,'Pre-Summary'!$AL$6:$AQ$13,6,FALSE),F92)</f>
        <v>5.9405263157894746E-2</v>
      </c>
      <c r="G93" t="str">
        <f>IFERROR(VLOOKUP(B93,'Pre-Summary'!$AE$6:$AJ$85,3,FALSE),"")</f>
        <v/>
      </c>
      <c r="H93" t="str">
        <f>IFERROR(VLOOKUP(B93,'Pre-Summary'!$AE$6:$AJ$85,4,FALSE),"")</f>
        <v/>
      </c>
      <c r="I93" t="str">
        <f>IFERROR(VLOOKUP(B93,'Pre-Summary'!$AE$6:$AJ$85,5,FALSE),"")</f>
        <v/>
      </c>
      <c r="J93" s="45" t="str">
        <f>IFERROR(VLOOKUP(B93,'Pre-Summary'!$AE$6:$AJ$85,6, FALSE),"")</f>
        <v/>
      </c>
      <c r="K93" s="45" t="str">
        <f>IFERROR(VLOOKUP(B93,'Pre-Summary'!$DE$6:$DG$61,3,FALSE),"")</f>
        <v/>
      </c>
      <c r="L93" s="45" t="str">
        <f>IFERROR(VLOOKUP(B93,'Pre-Summary'!$CU$6:$CW$36,3,FALSE),"")</f>
        <v/>
      </c>
      <c r="M93" s="45" t="str">
        <f>IFERROR(VLOOKUP(B93,'Pre-Summary'!$BW$6:$BY$58,2,FALSE),"")</f>
        <v/>
      </c>
      <c r="N93" s="45" t="str">
        <f>IFERROR(VLOOKUP(B93,'Pre-Summary'!$CD$6:$CF$64,2,FALSE),"")</f>
        <v/>
      </c>
      <c r="O93" s="99">
        <f>IFERROR(VLOOKUP(B93,'Pre-Summary'!$BO$6:$BQ$48,3, FALSE),O92)</f>
        <v>1.0915248032216731</v>
      </c>
      <c r="P93" s="99">
        <f>IFERROR(VLOOKUP(B93,'Pre-Summary'!$BS$6:$BU$35,3,FALSE),P92)</f>
        <v>0.25</v>
      </c>
      <c r="Q93" s="54">
        <f t="shared" si="3"/>
        <v>4.3660992128866924</v>
      </c>
      <c r="R93" s="53">
        <f>IFERROR(VLOOKUP(B93,'Pre-Summary'!$BG$6:$BM$44,7,FALSE),R94)</f>
        <v>2.7904161219319636E-2</v>
      </c>
      <c r="S93" s="53">
        <f>IFERROR(VLOOKUP(B93,'Pre-Summary'!$BG$6:$BM$44,6,FALSE),S94)</f>
        <v>3.3978715219895171E-2</v>
      </c>
      <c r="T93" s="45" t="str">
        <f>IFERROR(VLOOKUP(B93,'Pre-Summary'!$Y$6:$AC$83, 3,FALSE),"")</f>
        <v/>
      </c>
      <c r="U93" s="45" t="str">
        <f>IFERROR(VLOOKUP(B93,'Pre-Summary'!$Y$6:$AC$83, 4,FALSE),"")</f>
        <v/>
      </c>
      <c r="V93" t="str">
        <f>IFERROR(VLOOKUP(B93,'Pre-Summary'!$Y$6:$AC$83, 5,FALSE),"")</f>
        <v/>
      </c>
      <c r="W93" s="45" t="str">
        <f>IFERROR(VLOOKUP(B93,'Pre-Summary'!$Y$6:$AD$83,6,FALSE),"")</f>
        <v/>
      </c>
      <c r="X93" t="str">
        <f>IFERROR(VLOOKUP('Pre-Summary'!$DB$6:$DD$63,3,FALSE),"")</f>
        <v/>
      </c>
      <c r="Y93" t="str">
        <f>IFERROR(VLOOKUP(B93,'Pre-Summary'!$CR$6:$CT$36,3,FALSE),"")</f>
        <v/>
      </c>
      <c r="Z93" s="45" t="str">
        <f>IFERROR(VLOOKUP(B93,'Pre-Summary'!$BZ$6:$CB$63,2,FALSE),"")</f>
        <v/>
      </c>
      <c r="AA93" s="45" t="str">
        <f>IFERROR(VLOOKUP(B93,'Pre-Summary'!$CG$6:$CI$70,2,FALSE),"")</f>
        <v/>
      </c>
      <c r="AB93" s="99">
        <f>IFERROR(VLOOKUP(B93,'Pre-Summary'!$A$6:$P$178,9,FALSE),AB94)</f>
        <v>0.48376018267990589</v>
      </c>
      <c r="AC93" s="10">
        <f>IFERROR(VLOOKUP(Summary!B93,'Pre-Summary'!$A$6:$P$184,5, FALSE)/100,AC94)</f>
        <v>0.19379933333333332</v>
      </c>
      <c r="AD93" s="10">
        <f>IFERROR(VLOOKUP(Summary!B93,'Pre-Summary'!$A$6:$P$184,3, FALSE)/100,AD94)</f>
        <v>0.78441233333333327</v>
      </c>
      <c r="AE93" s="10">
        <f>IFERROR(VLOOKUP(Summary!B93,'Pre-Summary'!$A$6:$P$184,7, FALSE)/100,AE94)</f>
        <v>2.1787666666666667E-2</v>
      </c>
      <c r="AF93" s="99">
        <f t="shared" si="4"/>
        <v>0.37946745366970452</v>
      </c>
      <c r="AG93" s="99">
        <f t="shared" si="5"/>
        <v>1.0540005606835563E-2</v>
      </c>
      <c r="AH93" s="10" t="str">
        <f>IFERROR(VLOOKUP(B93,'Pre-Summary'!$AZ$6:$BE$65,3,FALSE),"")</f>
        <v/>
      </c>
      <c r="AI93" s="10" t="str">
        <f>IFERROR(VLOOKUP(B93,'Pre-Summary'!$AZ$6:$BE$65,5,FALSE),"")</f>
        <v/>
      </c>
      <c r="AJ93" s="10" t="str">
        <f>IFERROR(VLOOKUP(B93,'Pre-Summary'!$AZ$6:$BE$65,4,FALSE),"")</f>
        <v/>
      </c>
      <c r="AK93" s="10" t="str">
        <f>IFERROR(VLOOKUP(B93,'Pre-Summary'!$AZ$6:$BE$65,6,FALSE),"")</f>
        <v/>
      </c>
      <c r="AL93" s="10" t="str">
        <f>IFERROR(VLOOKUP(B93,'Pre-Summary'!$BG$6:$BL$44,3,FALSE),"")</f>
        <v/>
      </c>
      <c r="AM93" s="10" t="str">
        <f>IFERROR(VLOOKUP(B93,'Pre-Summary'!$BG$6:$BL$44,4,FALSE),"")</f>
        <v/>
      </c>
    </row>
    <row r="94" spans="2:39" ht="14.4" x14ac:dyDescent="0.3">
      <c r="B94">
        <v>9.1</v>
      </c>
      <c r="C94" t="str">
        <f>IFERROR(VLOOKUP(B94,'Pre-Summary'!$DI$6:$DM$23,4,FALSE),"")</f>
        <v/>
      </c>
      <c r="D94" s="10" t="str">
        <f>IFERROR(VLOOKUP(B94,'Pre-Summary'!$AT$6:$AX$14,5,FALSE),D93)</f>
        <v>DSMZ v1: Using DSMZ 120 without NaHCO3</v>
      </c>
      <c r="E94" s="10" t="str">
        <f>IFERROR(VLOOKUP(B94,'Pre-Summary'!$AT$6:$AX$15,4,FALSE),"")</f>
        <v/>
      </c>
      <c r="F94">
        <f>IFERROR(VLOOKUP(B94,'Pre-Summary'!$AL$6:$AQ$13,6,FALSE),F93)</f>
        <v>5.9405263157894746E-2</v>
      </c>
      <c r="G94" t="str">
        <f>IFERROR(VLOOKUP(B94,'Pre-Summary'!$AE$6:$AJ$85,3,FALSE),"")</f>
        <v/>
      </c>
      <c r="H94" t="str">
        <f>IFERROR(VLOOKUP(B94,'Pre-Summary'!$AE$6:$AJ$85,4,FALSE),"")</f>
        <v/>
      </c>
      <c r="I94" t="str">
        <f>IFERROR(VLOOKUP(B94,'Pre-Summary'!$AE$6:$AJ$85,5,FALSE),"")</f>
        <v/>
      </c>
      <c r="J94" s="45" t="str">
        <f>IFERROR(VLOOKUP(B94,'Pre-Summary'!$AE$6:$AJ$85,6, FALSE),"")</f>
        <v/>
      </c>
      <c r="K94" s="45" t="str">
        <f>IFERROR(VLOOKUP(B94,'Pre-Summary'!$DE$6:$DG$61,3,FALSE),"")</f>
        <v/>
      </c>
      <c r="L94" s="45" t="str">
        <f>IFERROR(VLOOKUP(B94,'Pre-Summary'!$CU$6:$CW$36,3,FALSE),"")</f>
        <v/>
      </c>
      <c r="M94" s="45" t="str">
        <f>IFERROR(VLOOKUP(B94,'Pre-Summary'!$BW$6:$BY$58,2,FALSE),"")</f>
        <v/>
      </c>
      <c r="N94" s="45" t="str">
        <f>IFERROR(VLOOKUP(B94,'Pre-Summary'!$CD$6:$CF$64,2,FALSE),"")</f>
        <v/>
      </c>
      <c r="O94" s="99">
        <f>IFERROR(VLOOKUP(B94,'Pre-Summary'!$BO$6:$BQ$48,3, FALSE),O93)</f>
        <v>1.0915248032216731</v>
      </c>
      <c r="P94" s="99">
        <f>IFERROR(VLOOKUP(B94,'Pre-Summary'!$BS$6:$BU$35,3,FALSE),P93)</f>
        <v>0.25</v>
      </c>
      <c r="Q94" s="54">
        <f t="shared" si="3"/>
        <v>4.3660992128866924</v>
      </c>
      <c r="R94" s="53">
        <f>IFERROR(VLOOKUP(B94,'Pre-Summary'!$BG$6:$BM$44,7,FALSE),R95)</f>
        <v>2.7904161219319636E-2</v>
      </c>
      <c r="S94" s="53">
        <f>IFERROR(VLOOKUP(B94,'Pre-Summary'!$BG$6:$BM$44,6,FALSE),S95)</f>
        <v>3.3978715219895171E-2</v>
      </c>
      <c r="T94" s="45" t="str">
        <f>IFERROR(VLOOKUP(B94,'Pre-Summary'!$Y$6:$AC$83, 3,FALSE),"")</f>
        <v/>
      </c>
      <c r="U94" s="45" t="str">
        <f>IFERROR(VLOOKUP(B94,'Pre-Summary'!$Y$6:$AC$83, 4,FALSE),"")</f>
        <v/>
      </c>
      <c r="V94" t="str">
        <f>IFERROR(VLOOKUP(B94,'Pre-Summary'!$Y$6:$AC$83, 5,FALSE),"")</f>
        <v/>
      </c>
      <c r="W94" s="45" t="str">
        <f>IFERROR(VLOOKUP(B94,'Pre-Summary'!$Y$6:$AD$83,6,FALSE),"")</f>
        <v/>
      </c>
      <c r="X94" t="str">
        <f>IFERROR(VLOOKUP('Pre-Summary'!$DB$6:$DD$63,3,FALSE),"")</f>
        <v/>
      </c>
      <c r="Y94" t="str">
        <f>IFERROR(VLOOKUP(B94,'Pre-Summary'!$CR$6:$CT$36,3,FALSE),"")</f>
        <v/>
      </c>
      <c r="Z94" s="45" t="str">
        <f>IFERROR(VLOOKUP(B94,'Pre-Summary'!$BZ$6:$CB$63,2,FALSE),"")</f>
        <v/>
      </c>
      <c r="AA94" s="45" t="str">
        <f>IFERROR(VLOOKUP(B94,'Pre-Summary'!$CG$6:$CI$70,2,FALSE),"")</f>
        <v/>
      </c>
      <c r="AB94" s="99">
        <f>IFERROR(VLOOKUP(B94,'Pre-Summary'!$A$6:$P$178,9,FALSE),AB95)</f>
        <v>0.48376018267990589</v>
      </c>
      <c r="AC94" s="10">
        <f>IFERROR(VLOOKUP(Summary!B94,'Pre-Summary'!$A$6:$P$184,5, FALSE)/100,AC95)</f>
        <v>0.19379933333333332</v>
      </c>
      <c r="AD94" s="10">
        <f>IFERROR(VLOOKUP(Summary!B94,'Pre-Summary'!$A$6:$P$184,3, FALSE)/100,AD95)</f>
        <v>0.78441233333333327</v>
      </c>
      <c r="AE94" s="10">
        <f>IFERROR(VLOOKUP(Summary!B94,'Pre-Summary'!$A$6:$P$184,7, FALSE)/100,AE95)</f>
        <v>2.1787666666666667E-2</v>
      </c>
      <c r="AF94" s="99">
        <f t="shared" si="4"/>
        <v>0.37946745366970452</v>
      </c>
      <c r="AG94" s="99">
        <f t="shared" si="5"/>
        <v>1.0540005606835563E-2</v>
      </c>
      <c r="AH94" s="10" t="str">
        <f>IFERROR(VLOOKUP(B94,'Pre-Summary'!$AZ$6:$BE$65,3,FALSE),"")</f>
        <v/>
      </c>
      <c r="AI94" s="10" t="str">
        <f>IFERROR(VLOOKUP(B94,'Pre-Summary'!$AZ$6:$BE$65,5,FALSE),"")</f>
        <v/>
      </c>
      <c r="AJ94" s="10" t="str">
        <f>IFERROR(VLOOKUP(B94,'Pre-Summary'!$AZ$6:$BE$65,4,FALSE),"")</f>
        <v/>
      </c>
      <c r="AK94" s="10" t="str">
        <f>IFERROR(VLOOKUP(B94,'Pre-Summary'!$AZ$6:$BE$65,6,FALSE),"")</f>
        <v/>
      </c>
      <c r="AL94" s="10" t="str">
        <f>IFERROR(VLOOKUP(B94,'Pre-Summary'!$BG$6:$BL$44,3,FALSE),"")</f>
        <v/>
      </c>
      <c r="AM94" s="10" t="str">
        <f>IFERROR(VLOOKUP(B94,'Pre-Summary'!$BG$6:$BL$44,4,FALSE),"")</f>
        <v/>
      </c>
    </row>
    <row r="95" spans="2:39" ht="14.4" x14ac:dyDescent="0.3">
      <c r="B95">
        <v>9.1999999999999993</v>
      </c>
      <c r="C95" t="str">
        <f>IFERROR(VLOOKUP(B95,'Pre-Summary'!$DI$6:$DM$23,4,FALSE),"")</f>
        <v/>
      </c>
      <c r="D95" s="10" t="str">
        <f>IFERROR(VLOOKUP(B95,'Pre-Summary'!$AT$6:$AX$14,5,FALSE),D94)</f>
        <v>DSMZ v1: Using DSMZ 120 without NaHCO3</v>
      </c>
      <c r="E95" s="10" t="str">
        <f>IFERROR(VLOOKUP(B95,'Pre-Summary'!$AT$6:$AX$15,4,FALSE),"")</f>
        <v/>
      </c>
      <c r="F95">
        <f>IFERROR(VLOOKUP(B95,'Pre-Summary'!$AL$6:$AQ$13,6,FALSE),F94)</f>
        <v>5.9405263157894746E-2</v>
      </c>
      <c r="G95" t="str">
        <f>IFERROR(VLOOKUP(B95,'Pre-Summary'!$AE$6:$AJ$85,3,FALSE),"")</f>
        <v/>
      </c>
      <c r="H95" t="str">
        <f>IFERROR(VLOOKUP(B95,'Pre-Summary'!$AE$6:$AJ$85,4,FALSE),"")</f>
        <v/>
      </c>
      <c r="I95" t="str">
        <f>IFERROR(VLOOKUP(B95,'Pre-Summary'!$AE$6:$AJ$85,5,FALSE),"")</f>
        <v/>
      </c>
      <c r="J95" s="45" t="str">
        <f>IFERROR(VLOOKUP(B95,'Pre-Summary'!$AE$6:$AJ$85,6, FALSE),"")</f>
        <v/>
      </c>
      <c r="K95" s="45" t="str">
        <f>IFERROR(VLOOKUP(B95,'Pre-Summary'!$DE$6:$DG$61,3,FALSE),"")</f>
        <v/>
      </c>
      <c r="L95" s="45" t="str">
        <f>IFERROR(VLOOKUP(B95,'Pre-Summary'!$CU$6:$CW$36,3,FALSE),"")</f>
        <v/>
      </c>
      <c r="M95" s="45" t="str">
        <f>IFERROR(VLOOKUP(B95,'Pre-Summary'!$BW$6:$BY$58,2,FALSE),"")</f>
        <v/>
      </c>
      <c r="N95" s="45" t="str">
        <f>IFERROR(VLOOKUP(B95,'Pre-Summary'!$CD$6:$CF$64,2,FALSE),"")</f>
        <v/>
      </c>
      <c r="O95" s="99">
        <f>IFERROR(VLOOKUP(B95,'Pre-Summary'!$BO$6:$BQ$48,3, FALSE),O94)</f>
        <v>1.0915248032216731</v>
      </c>
      <c r="P95" s="99">
        <f>IFERROR(VLOOKUP(B95,'Pre-Summary'!$BS$6:$BU$35,3,FALSE),P94)</f>
        <v>0.25</v>
      </c>
      <c r="Q95" s="54">
        <f t="shared" si="3"/>
        <v>4.3660992128866924</v>
      </c>
      <c r="R95" s="53">
        <f>IFERROR(VLOOKUP(B95,'Pre-Summary'!$BG$6:$BM$44,7,FALSE),R96)</f>
        <v>2.7904161219319636E-2</v>
      </c>
      <c r="S95" s="53">
        <f>IFERROR(VLOOKUP(B95,'Pre-Summary'!$BG$6:$BM$44,6,FALSE),S96)</f>
        <v>3.3978715219895171E-2</v>
      </c>
      <c r="T95" s="45" t="str">
        <f>IFERROR(VLOOKUP(B95,'Pre-Summary'!$Y$6:$AC$83, 3,FALSE),"")</f>
        <v/>
      </c>
      <c r="U95" s="45" t="str">
        <f>IFERROR(VLOOKUP(B95,'Pre-Summary'!$Y$6:$AC$83, 4,FALSE),"")</f>
        <v/>
      </c>
      <c r="V95" t="str">
        <f>IFERROR(VLOOKUP(B95,'Pre-Summary'!$Y$6:$AC$83, 5,FALSE),"")</f>
        <v/>
      </c>
      <c r="W95" s="45" t="str">
        <f>IFERROR(VLOOKUP(B95,'Pre-Summary'!$Y$6:$AD$83,6,FALSE),"")</f>
        <v/>
      </c>
      <c r="X95" t="str">
        <f>IFERROR(VLOOKUP('Pre-Summary'!$DB$6:$DD$63,3,FALSE),"")</f>
        <v/>
      </c>
      <c r="Y95" t="str">
        <f>IFERROR(VLOOKUP(B95,'Pre-Summary'!$CR$6:$CT$36,3,FALSE),"")</f>
        <v/>
      </c>
      <c r="Z95" s="45" t="str">
        <f>IFERROR(VLOOKUP(B95,'Pre-Summary'!$BZ$6:$CB$63,2,FALSE),"")</f>
        <v/>
      </c>
      <c r="AA95" s="45" t="str">
        <f>IFERROR(VLOOKUP(B95,'Pre-Summary'!$CG$6:$CI$70,2,FALSE),"")</f>
        <v/>
      </c>
      <c r="AB95" s="99">
        <f>IFERROR(VLOOKUP(B95,'Pre-Summary'!$A$6:$P$178,9,FALSE),AB96)</f>
        <v>0.48376018267990589</v>
      </c>
      <c r="AC95" s="10">
        <f>IFERROR(VLOOKUP(Summary!B95,'Pre-Summary'!$A$6:$P$184,5, FALSE)/100,AC96)</f>
        <v>0.19379933333333332</v>
      </c>
      <c r="AD95" s="10">
        <f>IFERROR(VLOOKUP(Summary!B95,'Pre-Summary'!$A$6:$P$184,3, FALSE)/100,AD96)</f>
        <v>0.78441233333333327</v>
      </c>
      <c r="AE95" s="10">
        <f>IFERROR(VLOOKUP(Summary!B95,'Pre-Summary'!$A$6:$P$184,7, FALSE)/100,AE96)</f>
        <v>2.1787666666666667E-2</v>
      </c>
      <c r="AF95" s="99">
        <f t="shared" si="4"/>
        <v>0.37946745366970452</v>
      </c>
      <c r="AG95" s="99">
        <f t="shared" si="5"/>
        <v>1.0540005606835563E-2</v>
      </c>
      <c r="AH95" s="10" t="str">
        <f>IFERROR(VLOOKUP(B95,'Pre-Summary'!$AZ$6:$BE$65,3,FALSE),"")</f>
        <v/>
      </c>
      <c r="AI95" s="10" t="str">
        <f>IFERROR(VLOOKUP(B95,'Pre-Summary'!$AZ$6:$BE$65,5,FALSE),"")</f>
        <v/>
      </c>
      <c r="AJ95" s="10" t="str">
        <f>IFERROR(VLOOKUP(B95,'Pre-Summary'!$AZ$6:$BE$65,4,FALSE),"")</f>
        <v/>
      </c>
      <c r="AK95" s="10" t="str">
        <f>IFERROR(VLOOKUP(B95,'Pre-Summary'!$AZ$6:$BE$65,6,FALSE),"")</f>
        <v/>
      </c>
      <c r="AL95" s="10" t="str">
        <f>IFERROR(VLOOKUP(B95,'Pre-Summary'!$BG$6:$BL$44,3,FALSE),"")</f>
        <v/>
      </c>
      <c r="AM95" s="10" t="str">
        <f>IFERROR(VLOOKUP(B95,'Pre-Summary'!$BG$6:$BL$44,4,FALSE),"")</f>
        <v/>
      </c>
    </row>
    <row r="96" spans="2:39" ht="14.4" x14ac:dyDescent="0.3">
      <c r="B96">
        <v>9.3000000000000007</v>
      </c>
      <c r="C96" t="str">
        <f>IFERROR(VLOOKUP(B96,'Pre-Summary'!$DI$6:$DM$23,4,FALSE),"")</f>
        <v/>
      </c>
      <c r="D96" s="10" t="str">
        <f>IFERROR(VLOOKUP(B96,'Pre-Summary'!$AT$6:$AX$14,5,FALSE),D95)</f>
        <v>DSMZ v1: Using DSMZ 120 without NaHCO3</v>
      </c>
      <c r="E96" s="10" t="str">
        <f>IFERROR(VLOOKUP(B96,'Pre-Summary'!$AT$6:$AX$15,4,FALSE),"")</f>
        <v/>
      </c>
      <c r="F96">
        <f>IFERROR(VLOOKUP(B96,'Pre-Summary'!$AL$6:$AQ$13,6,FALSE),F95)</f>
        <v>5.9405263157894746E-2</v>
      </c>
      <c r="G96" t="str">
        <f>IFERROR(VLOOKUP(B96,'Pre-Summary'!$AE$6:$AJ$85,3,FALSE),"")</f>
        <v/>
      </c>
      <c r="H96" t="str">
        <f>IFERROR(VLOOKUP(B96,'Pre-Summary'!$AE$6:$AJ$85,4,FALSE),"")</f>
        <v/>
      </c>
      <c r="I96" t="str">
        <f>IFERROR(VLOOKUP(B96,'Pre-Summary'!$AE$6:$AJ$85,5,FALSE),"")</f>
        <v/>
      </c>
      <c r="J96" s="45" t="str">
        <f>IFERROR(VLOOKUP(B96,'Pre-Summary'!$AE$6:$AJ$85,6, FALSE),"")</f>
        <v/>
      </c>
      <c r="K96" s="45" t="str">
        <f>IFERROR(VLOOKUP(B96,'Pre-Summary'!$DE$6:$DG$61,3,FALSE),"")</f>
        <v/>
      </c>
      <c r="L96" s="45" t="str">
        <f>IFERROR(VLOOKUP(B96,'Pre-Summary'!$CU$6:$CW$36,3,FALSE),"")</f>
        <v/>
      </c>
      <c r="M96" s="45" t="str">
        <f>IFERROR(VLOOKUP(B96,'Pre-Summary'!$BW$6:$BY$58,2,FALSE),"")</f>
        <v/>
      </c>
      <c r="N96" s="45" t="str">
        <f>IFERROR(VLOOKUP(B96,'Pre-Summary'!$CD$6:$CF$64,2,FALSE),"")</f>
        <v/>
      </c>
      <c r="O96" s="99">
        <f>IFERROR(VLOOKUP(B96,'Pre-Summary'!$BO$6:$BQ$48,3, FALSE),O95)</f>
        <v>1.0915248032216731</v>
      </c>
      <c r="P96" s="99">
        <f>IFERROR(VLOOKUP(B96,'Pre-Summary'!$BS$6:$BU$35,3,FALSE),P95)</f>
        <v>0.25</v>
      </c>
      <c r="Q96" s="54">
        <f t="shared" si="3"/>
        <v>4.3660992128866924</v>
      </c>
      <c r="R96" s="53">
        <f>IFERROR(VLOOKUP(B96,'Pre-Summary'!$BG$6:$BM$44,7,FALSE),R97)</f>
        <v>2.7904161219319636E-2</v>
      </c>
      <c r="S96" s="53">
        <f>IFERROR(VLOOKUP(B96,'Pre-Summary'!$BG$6:$BM$44,6,FALSE),S97)</f>
        <v>3.3978715219895171E-2</v>
      </c>
      <c r="T96" s="45" t="str">
        <f>IFERROR(VLOOKUP(B96,'Pre-Summary'!$Y$6:$AC$83, 3,FALSE),"")</f>
        <v/>
      </c>
      <c r="U96" s="45" t="str">
        <f>IFERROR(VLOOKUP(B96,'Pre-Summary'!$Y$6:$AC$83, 4,FALSE),"")</f>
        <v/>
      </c>
      <c r="V96" t="str">
        <f>IFERROR(VLOOKUP(B96,'Pre-Summary'!$Y$6:$AC$83, 5,FALSE),"")</f>
        <v/>
      </c>
      <c r="W96" s="45" t="str">
        <f>IFERROR(VLOOKUP(B96,'Pre-Summary'!$Y$6:$AD$83,6,FALSE),"")</f>
        <v/>
      </c>
      <c r="X96" t="str">
        <f>IFERROR(VLOOKUP('Pre-Summary'!$DB$6:$DD$63,3,FALSE),"")</f>
        <v/>
      </c>
      <c r="Y96" t="str">
        <f>IFERROR(VLOOKUP(B96,'Pre-Summary'!$CR$6:$CT$36,3,FALSE),"")</f>
        <v/>
      </c>
      <c r="Z96" s="45" t="str">
        <f>IFERROR(VLOOKUP(B96,'Pre-Summary'!$BZ$6:$CB$63,2,FALSE),"")</f>
        <v/>
      </c>
      <c r="AA96" s="45" t="str">
        <f>IFERROR(VLOOKUP(B96,'Pre-Summary'!$CG$6:$CI$70,2,FALSE),"")</f>
        <v/>
      </c>
      <c r="AB96" s="99">
        <f>IFERROR(VLOOKUP(B96,'Pre-Summary'!$A$6:$P$178,9,FALSE),AB97)</f>
        <v>0.48376018267990589</v>
      </c>
      <c r="AC96" s="10">
        <f>IFERROR(VLOOKUP(Summary!B96,'Pre-Summary'!$A$6:$P$184,5, FALSE)/100,AC97)</f>
        <v>0.19379933333333332</v>
      </c>
      <c r="AD96" s="10">
        <f>IFERROR(VLOOKUP(Summary!B96,'Pre-Summary'!$A$6:$P$184,3, FALSE)/100,AD97)</f>
        <v>0.78441233333333327</v>
      </c>
      <c r="AE96" s="10">
        <f>IFERROR(VLOOKUP(Summary!B96,'Pre-Summary'!$A$6:$P$184,7, FALSE)/100,AE97)</f>
        <v>2.1787666666666667E-2</v>
      </c>
      <c r="AF96" s="99">
        <f t="shared" si="4"/>
        <v>0.37946745366970452</v>
      </c>
      <c r="AG96" s="99">
        <f t="shared" si="5"/>
        <v>1.0540005606835563E-2</v>
      </c>
      <c r="AH96" s="10" t="str">
        <f>IFERROR(VLOOKUP(B96,'Pre-Summary'!$AZ$6:$BE$65,3,FALSE),"")</f>
        <v/>
      </c>
      <c r="AI96" s="10" t="str">
        <f>IFERROR(VLOOKUP(B96,'Pre-Summary'!$AZ$6:$BE$65,5,FALSE),"")</f>
        <v/>
      </c>
      <c r="AJ96" s="10" t="str">
        <f>IFERROR(VLOOKUP(B96,'Pre-Summary'!$AZ$6:$BE$65,4,FALSE),"")</f>
        <v/>
      </c>
      <c r="AK96" s="10" t="str">
        <f>IFERROR(VLOOKUP(B96,'Pre-Summary'!$AZ$6:$BE$65,6,FALSE),"")</f>
        <v/>
      </c>
      <c r="AL96" s="10" t="str">
        <f>IFERROR(VLOOKUP(B96,'Pre-Summary'!$BG$6:$BL$44,3,FALSE),"")</f>
        <v/>
      </c>
      <c r="AM96" s="10" t="str">
        <f>IFERROR(VLOOKUP(B96,'Pre-Summary'!$BG$6:$BL$44,4,FALSE),"")</f>
        <v/>
      </c>
    </row>
    <row r="97" spans="2:39" ht="14.4" x14ac:dyDescent="0.3">
      <c r="B97">
        <v>9.4</v>
      </c>
      <c r="C97" t="str">
        <f>IFERROR(VLOOKUP(B97,'Pre-Summary'!$DI$6:$DM$23,4,FALSE),"")</f>
        <v/>
      </c>
      <c r="D97" s="10" t="str">
        <f>IFERROR(VLOOKUP(B97,'Pre-Summary'!$AT$6:$AX$14,5,FALSE),D96)</f>
        <v>DSMZ v1: Using DSMZ 120 without NaHCO3</v>
      </c>
      <c r="E97" s="10" t="str">
        <f>IFERROR(VLOOKUP(B97,'Pre-Summary'!$AT$6:$AX$15,4,FALSE),"")</f>
        <v/>
      </c>
      <c r="F97">
        <f>IFERROR(VLOOKUP(B97,'Pre-Summary'!$AL$6:$AQ$13,6,FALSE),F96)</f>
        <v>5.9405263157894746E-2</v>
      </c>
      <c r="G97" t="str">
        <f>IFERROR(VLOOKUP(B97,'Pre-Summary'!$AE$6:$AJ$85,3,FALSE),"")</f>
        <v/>
      </c>
      <c r="H97" t="str">
        <f>IFERROR(VLOOKUP(B97,'Pre-Summary'!$AE$6:$AJ$85,4,FALSE),"")</f>
        <v/>
      </c>
      <c r="I97" t="str">
        <f>IFERROR(VLOOKUP(B97,'Pre-Summary'!$AE$6:$AJ$85,5,FALSE),"")</f>
        <v/>
      </c>
      <c r="J97" s="45" t="str">
        <f>IFERROR(VLOOKUP(B97,'Pre-Summary'!$AE$6:$AJ$85,6, FALSE),"")</f>
        <v/>
      </c>
      <c r="K97" s="45" t="str">
        <f>IFERROR(VLOOKUP(B97,'Pre-Summary'!$DE$6:$DG$61,3,FALSE),"")</f>
        <v/>
      </c>
      <c r="L97" s="45" t="str">
        <f>IFERROR(VLOOKUP(B97,'Pre-Summary'!$CU$6:$CW$36,3,FALSE),"")</f>
        <v/>
      </c>
      <c r="M97" s="45" t="str">
        <f>IFERROR(VLOOKUP(B97,'Pre-Summary'!$BW$6:$BY$58,2,FALSE),"")</f>
        <v/>
      </c>
      <c r="N97" s="45" t="str">
        <f>IFERROR(VLOOKUP(B97,'Pre-Summary'!$CD$6:$CF$64,2,FALSE),"")</f>
        <v/>
      </c>
      <c r="O97" s="99">
        <f>IFERROR(VLOOKUP(B97,'Pre-Summary'!$BO$6:$BQ$48,3, FALSE),O96)</f>
        <v>1.0915248032216731</v>
      </c>
      <c r="P97" s="99">
        <f>IFERROR(VLOOKUP(B97,'Pre-Summary'!$BS$6:$BU$35,3,FALSE),P96)</f>
        <v>0.25</v>
      </c>
      <c r="Q97" s="54">
        <f t="shared" si="3"/>
        <v>4.3660992128866924</v>
      </c>
      <c r="R97" s="53">
        <f>IFERROR(VLOOKUP(B97,'Pre-Summary'!$BG$6:$BM$44,7,FALSE),R98)</f>
        <v>2.7904161219319636E-2</v>
      </c>
      <c r="S97" s="53">
        <f>IFERROR(VLOOKUP(B97,'Pre-Summary'!$BG$6:$BM$44,6,FALSE),S98)</f>
        <v>3.3978715219895171E-2</v>
      </c>
      <c r="T97" s="45" t="str">
        <f>IFERROR(VLOOKUP(B97,'Pre-Summary'!$Y$6:$AC$83, 3,FALSE),"")</f>
        <v/>
      </c>
      <c r="U97" s="45" t="str">
        <f>IFERROR(VLOOKUP(B97,'Pre-Summary'!$Y$6:$AC$83, 4,FALSE),"")</f>
        <v/>
      </c>
      <c r="V97" t="str">
        <f>IFERROR(VLOOKUP(B97,'Pre-Summary'!$Y$6:$AC$83, 5,FALSE),"")</f>
        <v/>
      </c>
      <c r="W97" s="45" t="str">
        <f>IFERROR(VLOOKUP(B97,'Pre-Summary'!$Y$6:$AD$83,6,FALSE),"")</f>
        <v/>
      </c>
      <c r="X97" t="str">
        <f>IFERROR(VLOOKUP('Pre-Summary'!$DB$6:$DD$63,3,FALSE),"")</f>
        <v/>
      </c>
      <c r="Y97" t="str">
        <f>IFERROR(VLOOKUP(B97,'Pre-Summary'!$CR$6:$CT$36,3,FALSE),"")</f>
        <v/>
      </c>
      <c r="Z97" s="45" t="str">
        <f>IFERROR(VLOOKUP(B97,'Pre-Summary'!$BZ$6:$CB$63,2,FALSE),"")</f>
        <v/>
      </c>
      <c r="AA97" s="45" t="str">
        <f>IFERROR(VLOOKUP(B97,'Pre-Summary'!$CG$6:$CI$70,2,FALSE),"")</f>
        <v/>
      </c>
      <c r="AB97" s="99">
        <f>IFERROR(VLOOKUP(B97,'Pre-Summary'!$A$6:$P$178,9,FALSE),AB98)</f>
        <v>0.48376018267990589</v>
      </c>
      <c r="AC97" s="10">
        <f>IFERROR(VLOOKUP(Summary!B97,'Pre-Summary'!$A$6:$P$184,5, FALSE)/100,AC98)</f>
        <v>0.19379933333333332</v>
      </c>
      <c r="AD97" s="10">
        <f>IFERROR(VLOOKUP(Summary!B97,'Pre-Summary'!$A$6:$P$184,3, FALSE)/100,AD98)</f>
        <v>0.78441233333333327</v>
      </c>
      <c r="AE97" s="10">
        <f>IFERROR(VLOOKUP(Summary!B97,'Pre-Summary'!$A$6:$P$184,7, FALSE)/100,AE98)</f>
        <v>2.1787666666666667E-2</v>
      </c>
      <c r="AF97" s="99">
        <f t="shared" si="4"/>
        <v>0.37946745366970452</v>
      </c>
      <c r="AG97" s="99">
        <f t="shared" si="5"/>
        <v>1.0540005606835563E-2</v>
      </c>
      <c r="AH97" s="10" t="str">
        <f>IFERROR(VLOOKUP(B97,'Pre-Summary'!$AZ$6:$BE$65,3,FALSE),"")</f>
        <v/>
      </c>
      <c r="AI97" s="10" t="str">
        <f>IFERROR(VLOOKUP(B97,'Pre-Summary'!$AZ$6:$BE$65,5,FALSE),"")</f>
        <v/>
      </c>
      <c r="AJ97" s="10" t="str">
        <f>IFERROR(VLOOKUP(B97,'Pre-Summary'!$AZ$6:$BE$65,4,FALSE),"")</f>
        <v/>
      </c>
      <c r="AK97" s="10" t="str">
        <f>IFERROR(VLOOKUP(B97,'Pre-Summary'!$AZ$6:$BE$65,6,FALSE),"")</f>
        <v/>
      </c>
      <c r="AL97" s="10" t="str">
        <f>IFERROR(VLOOKUP(B97,'Pre-Summary'!$BG$6:$BL$44,3,FALSE),"")</f>
        <v/>
      </c>
      <c r="AM97" s="10" t="str">
        <f>IFERROR(VLOOKUP(B97,'Pre-Summary'!$BG$6:$BL$44,4,FALSE),"")</f>
        <v/>
      </c>
    </row>
    <row r="98" spans="2:39" ht="14.4" x14ac:dyDescent="0.3">
      <c r="B98">
        <v>9.5</v>
      </c>
      <c r="C98" t="str">
        <f>IFERROR(VLOOKUP(B98,'Pre-Summary'!$DI$6:$DM$23,4,FALSE),"")</f>
        <v/>
      </c>
      <c r="D98" s="10" t="str">
        <f>IFERROR(VLOOKUP(B98,'Pre-Summary'!$AT$6:$AX$14,5,FALSE),D97)</f>
        <v>DSMZ v1: Using DSMZ 120 without NaHCO3</v>
      </c>
      <c r="E98" s="10" t="str">
        <f>IFERROR(VLOOKUP(B98,'Pre-Summary'!$AT$6:$AX$15,4,FALSE),"")</f>
        <v/>
      </c>
      <c r="F98">
        <f>IFERROR(VLOOKUP(B98,'Pre-Summary'!$AL$6:$AQ$13,6,FALSE),F97)</f>
        <v>5.9405263157894746E-2</v>
      </c>
      <c r="G98" t="str">
        <f>IFERROR(VLOOKUP(B98,'Pre-Summary'!$AE$6:$AJ$85,3,FALSE),"")</f>
        <v/>
      </c>
      <c r="H98" t="str">
        <f>IFERROR(VLOOKUP(B98,'Pre-Summary'!$AE$6:$AJ$85,4,FALSE),"")</f>
        <v/>
      </c>
      <c r="I98" t="str">
        <f>IFERROR(VLOOKUP(B98,'Pre-Summary'!$AE$6:$AJ$85,5,FALSE),"")</f>
        <v/>
      </c>
      <c r="J98" s="45" t="str">
        <f>IFERROR(VLOOKUP(B98,'Pre-Summary'!$AE$6:$AJ$85,6, FALSE),"")</f>
        <v/>
      </c>
      <c r="K98" s="45" t="str">
        <f>IFERROR(VLOOKUP(B98,'Pre-Summary'!$DE$6:$DG$61,3,FALSE),"")</f>
        <v/>
      </c>
      <c r="L98" s="45" t="str">
        <f>IFERROR(VLOOKUP(B98,'Pre-Summary'!$CU$6:$CW$36,3,FALSE),"")</f>
        <v/>
      </c>
      <c r="M98" s="45" t="str">
        <f>IFERROR(VLOOKUP(B98,'Pre-Summary'!$BW$6:$BY$58,2,FALSE),"")</f>
        <v/>
      </c>
      <c r="N98" s="45" t="str">
        <f>IFERROR(VLOOKUP(B98,'Pre-Summary'!$CD$6:$CF$64,2,FALSE),"")</f>
        <v/>
      </c>
      <c r="O98" s="99">
        <f>IFERROR(VLOOKUP(B98,'Pre-Summary'!$BO$6:$BQ$48,3, FALSE),O97)</f>
        <v>1.0915248032216731</v>
      </c>
      <c r="P98" s="99">
        <f>IFERROR(VLOOKUP(B98,'Pre-Summary'!$BS$6:$BU$35,3,FALSE),P97)</f>
        <v>0.25</v>
      </c>
      <c r="Q98" s="54">
        <f t="shared" si="3"/>
        <v>4.3660992128866924</v>
      </c>
      <c r="R98" s="53">
        <f>IFERROR(VLOOKUP(B98,'Pre-Summary'!$BG$6:$BM$44,7,FALSE),R99)</f>
        <v>2.7904161219319636E-2</v>
      </c>
      <c r="S98" s="53">
        <f>IFERROR(VLOOKUP(B98,'Pre-Summary'!$BG$6:$BM$44,6,FALSE),S99)</f>
        <v>3.3978715219895171E-2</v>
      </c>
      <c r="T98" s="45" t="str">
        <f>IFERROR(VLOOKUP(B98,'Pre-Summary'!$Y$6:$AC$83, 3,FALSE),"")</f>
        <v/>
      </c>
      <c r="U98" s="45" t="str">
        <f>IFERROR(VLOOKUP(B98,'Pre-Summary'!$Y$6:$AC$83, 4,FALSE),"")</f>
        <v/>
      </c>
      <c r="V98" t="str">
        <f>IFERROR(VLOOKUP(B98,'Pre-Summary'!$Y$6:$AC$83, 5,FALSE),"")</f>
        <v/>
      </c>
      <c r="W98" s="45" t="str">
        <f>IFERROR(VLOOKUP(B98,'Pre-Summary'!$Y$6:$AD$83,6,FALSE),"")</f>
        <v/>
      </c>
      <c r="X98" t="str">
        <f>IFERROR(VLOOKUP('Pre-Summary'!$DB$6:$DD$63,3,FALSE),"")</f>
        <v/>
      </c>
      <c r="Y98" t="str">
        <f>IFERROR(VLOOKUP(B98,'Pre-Summary'!$CR$6:$CT$36,3,FALSE),"")</f>
        <v/>
      </c>
      <c r="Z98" s="45" t="str">
        <f>IFERROR(VLOOKUP(B98,'Pre-Summary'!$BZ$6:$CB$63,2,FALSE),"")</f>
        <v/>
      </c>
      <c r="AA98" s="45" t="str">
        <f>IFERROR(VLOOKUP(B98,'Pre-Summary'!$CG$6:$CI$70,2,FALSE),"")</f>
        <v/>
      </c>
      <c r="AB98" s="99">
        <f>IFERROR(VLOOKUP(B98,'Pre-Summary'!$A$6:$P$178,9,FALSE),AB99)</f>
        <v>0.48376018267990589</v>
      </c>
      <c r="AC98" s="10">
        <f>IFERROR(VLOOKUP(Summary!B98,'Pre-Summary'!$A$6:$P$184,5, FALSE)/100,AC99)</f>
        <v>0.19379933333333332</v>
      </c>
      <c r="AD98" s="10">
        <f>IFERROR(VLOOKUP(Summary!B98,'Pre-Summary'!$A$6:$P$184,3, FALSE)/100,AD99)</f>
        <v>0.78441233333333327</v>
      </c>
      <c r="AE98" s="10">
        <f>IFERROR(VLOOKUP(Summary!B98,'Pre-Summary'!$A$6:$P$184,7, FALSE)/100,AE99)</f>
        <v>2.1787666666666667E-2</v>
      </c>
      <c r="AF98" s="99">
        <f t="shared" si="4"/>
        <v>0.37946745366970452</v>
      </c>
      <c r="AG98" s="99">
        <f t="shared" si="5"/>
        <v>1.0540005606835563E-2</v>
      </c>
      <c r="AH98" s="10" t="str">
        <f>IFERROR(VLOOKUP(B98,'Pre-Summary'!$AZ$6:$BE$65,3,FALSE),"")</f>
        <v/>
      </c>
      <c r="AI98" s="10" t="str">
        <f>IFERROR(VLOOKUP(B98,'Pre-Summary'!$AZ$6:$BE$65,5,FALSE),"")</f>
        <v/>
      </c>
      <c r="AJ98" s="10" t="str">
        <f>IFERROR(VLOOKUP(B98,'Pre-Summary'!$AZ$6:$BE$65,4,FALSE),"")</f>
        <v/>
      </c>
      <c r="AK98" s="10" t="str">
        <f>IFERROR(VLOOKUP(B98,'Pre-Summary'!$AZ$6:$BE$65,6,FALSE),"")</f>
        <v/>
      </c>
      <c r="AL98" s="10" t="str">
        <f>IFERROR(VLOOKUP(B98,'Pre-Summary'!$BG$6:$BL$44,3,FALSE),"")</f>
        <v/>
      </c>
      <c r="AM98" s="10" t="str">
        <f>IFERROR(VLOOKUP(B98,'Pre-Summary'!$BG$6:$BL$44,4,FALSE),"")</f>
        <v/>
      </c>
    </row>
    <row r="99" spans="2:39" ht="14.4" x14ac:dyDescent="0.3">
      <c r="B99">
        <v>9.6</v>
      </c>
      <c r="C99" t="str">
        <f>IFERROR(VLOOKUP(B99,'Pre-Summary'!$DI$6:$DM$23,4,FALSE),"")</f>
        <v/>
      </c>
      <c r="D99" s="10" t="str">
        <f>IFERROR(VLOOKUP(B99,'Pre-Summary'!$AT$6:$AX$14,5,FALSE),D98)</f>
        <v>DSMZ v1: Using DSMZ 120 without NaHCO3</v>
      </c>
      <c r="E99" s="10" t="str">
        <f>IFERROR(VLOOKUP(B99,'Pre-Summary'!$AT$6:$AX$15,4,FALSE),"")</f>
        <v/>
      </c>
      <c r="F99">
        <f>IFERROR(VLOOKUP(B99,'Pre-Summary'!$AL$6:$AQ$13,6,FALSE),F98)</f>
        <v>5.9405263157894746E-2</v>
      </c>
      <c r="G99" t="str">
        <f>IFERROR(VLOOKUP(B99,'Pre-Summary'!$AE$6:$AJ$85,3,FALSE),"")</f>
        <v/>
      </c>
      <c r="H99" t="str">
        <f>IFERROR(VLOOKUP(B99,'Pre-Summary'!$AE$6:$AJ$85,4,FALSE),"")</f>
        <v/>
      </c>
      <c r="I99" t="str">
        <f>IFERROR(VLOOKUP(B99,'Pre-Summary'!$AE$6:$AJ$85,5,FALSE),"")</f>
        <v/>
      </c>
      <c r="J99" s="45" t="str">
        <f>IFERROR(VLOOKUP(B99,'Pre-Summary'!$AE$6:$AJ$85,6, FALSE),"")</f>
        <v/>
      </c>
      <c r="K99" s="45" t="str">
        <f>IFERROR(VLOOKUP(B99,'Pre-Summary'!$DE$6:$DG$61,3,FALSE),"")</f>
        <v/>
      </c>
      <c r="L99" s="45" t="str">
        <f>IFERROR(VLOOKUP(B99,'Pre-Summary'!$CU$6:$CW$36,3,FALSE),"")</f>
        <v/>
      </c>
      <c r="M99" s="45" t="str">
        <f>IFERROR(VLOOKUP(B99,'Pre-Summary'!$BW$6:$BY$58,2,FALSE),"")</f>
        <v/>
      </c>
      <c r="N99" s="45" t="str">
        <f>IFERROR(VLOOKUP(B99,'Pre-Summary'!$CD$6:$CF$64,2,FALSE),"")</f>
        <v/>
      </c>
      <c r="O99" s="99">
        <f>IFERROR(VLOOKUP(B99,'Pre-Summary'!$BO$6:$BQ$48,3, FALSE),O98)</f>
        <v>1.0915248032216731</v>
      </c>
      <c r="P99" s="99">
        <f>IFERROR(VLOOKUP(B99,'Pre-Summary'!$BS$6:$BU$35,3,FALSE),P98)</f>
        <v>0.25</v>
      </c>
      <c r="Q99" s="54">
        <f t="shared" si="3"/>
        <v>4.3660992128866924</v>
      </c>
      <c r="R99" s="53">
        <f>IFERROR(VLOOKUP(B99,'Pre-Summary'!$BG$6:$BM$44,7,FALSE),R100)</f>
        <v>2.7904161219319636E-2</v>
      </c>
      <c r="S99" s="53">
        <f>IFERROR(VLOOKUP(B99,'Pre-Summary'!$BG$6:$BM$44,6,FALSE),S100)</f>
        <v>3.3978715219895171E-2</v>
      </c>
      <c r="T99" s="45" t="str">
        <f>IFERROR(VLOOKUP(B99,'Pre-Summary'!$Y$6:$AC$83, 3,FALSE),"")</f>
        <v/>
      </c>
      <c r="U99" s="45" t="str">
        <f>IFERROR(VLOOKUP(B99,'Pre-Summary'!$Y$6:$AC$83, 4,FALSE),"")</f>
        <v/>
      </c>
      <c r="V99" t="str">
        <f>IFERROR(VLOOKUP(B99,'Pre-Summary'!$Y$6:$AC$83, 5,FALSE),"")</f>
        <v/>
      </c>
      <c r="W99" s="45" t="str">
        <f>IFERROR(VLOOKUP(B99,'Pre-Summary'!$Y$6:$AD$83,6,FALSE),"")</f>
        <v/>
      </c>
      <c r="X99" t="str">
        <f>IFERROR(VLOOKUP('Pre-Summary'!$DB$6:$DD$63,3,FALSE),"")</f>
        <v/>
      </c>
      <c r="Y99" t="str">
        <f>IFERROR(VLOOKUP(B99,'Pre-Summary'!$CR$6:$CT$36,3,FALSE),"")</f>
        <v/>
      </c>
      <c r="Z99" s="45" t="str">
        <f>IFERROR(VLOOKUP(B99,'Pre-Summary'!$BZ$6:$CB$63,2,FALSE),"")</f>
        <v/>
      </c>
      <c r="AA99" s="45" t="str">
        <f>IFERROR(VLOOKUP(B99,'Pre-Summary'!$CG$6:$CI$70,2,FALSE),"")</f>
        <v/>
      </c>
      <c r="AB99" s="99">
        <f>IFERROR(VLOOKUP(B99,'Pre-Summary'!$A$6:$P$178,9,FALSE),AB100)</f>
        <v>0.48376018267990589</v>
      </c>
      <c r="AC99" s="10">
        <f>IFERROR(VLOOKUP(Summary!B99,'Pre-Summary'!$A$6:$P$184,5, FALSE)/100,AC100)</f>
        <v>0.19379933333333332</v>
      </c>
      <c r="AD99" s="10">
        <f>IFERROR(VLOOKUP(Summary!B99,'Pre-Summary'!$A$6:$P$184,3, FALSE)/100,AD100)</f>
        <v>0.78441233333333327</v>
      </c>
      <c r="AE99" s="10">
        <f>IFERROR(VLOOKUP(Summary!B99,'Pre-Summary'!$A$6:$P$184,7, FALSE)/100,AE100)</f>
        <v>2.1787666666666667E-2</v>
      </c>
      <c r="AF99" s="99">
        <f t="shared" si="4"/>
        <v>0.37946745366970452</v>
      </c>
      <c r="AG99" s="99">
        <f t="shared" si="5"/>
        <v>1.0540005606835563E-2</v>
      </c>
      <c r="AH99" s="10" t="str">
        <f>IFERROR(VLOOKUP(B99,'Pre-Summary'!$AZ$6:$BE$65,3,FALSE),"")</f>
        <v/>
      </c>
      <c r="AI99" s="10" t="str">
        <f>IFERROR(VLOOKUP(B99,'Pre-Summary'!$AZ$6:$BE$65,5,FALSE),"")</f>
        <v/>
      </c>
      <c r="AJ99" s="10" t="str">
        <f>IFERROR(VLOOKUP(B99,'Pre-Summary'!$AZ$6:$BE$65,4,FALSE),"")</f>
        <v/>
      </c>
      <c r="AK99" s="10" t="str">
        <f>IFERROR(VLOOKUP(B99,'Pre-Summary'!$AZ$6:$BE$65,6,FALSE),"")</f>
        <v/>
      </c>
      <c r="AL99" s="10" t="str">
        <f>IFERROR(VLOOKUP(B99,'Pre-Summary'!$BG$6:$BL$44,3,FALSE),"")</f>
        <v/>
      </c>
      <c r="AM99" s="10" t="str">
        <f>IFERROR(VLOOKUP(B99,'Pre-Summary'!$BG$6:$BL$44,4,FALSE),"")</f>
        <v/>
      </c>
    </row>
    <row r="100" spans="2:39" ht="14.4" x14ac:dyDescent="0.3">
      <c r="B100">
        <v>9.6999999999999993</v>
      </c>
      <c r="C100" t="str">
        <f>IFERROR(VLOOKUP(B100,'Pre-Summary'!$DI$6:$DM$23,4,FALSE),"")</f>
        <v/>
      </c>
      <c r="D100" s="10" t="str">
        <f>IFERROR(VLOOKUP(B100,'Pre-Summary'!$AT$6:$AX$14,5,FALSE),D99)</f>
        <v>DSMZ v1: Using DSMZ 120 without NaHCO3</v>
      </c>
      <c r="E100" s="10" t="str">
        <f>IFERROR(VLOOKUP(B100,'Pre-Summary'!$AT$6:$AX$15,4,FALSE),"")</f>
        <v/>
      </c>
      <c r="F100">
        <f>IFERROR(VLOOKUP(B100,'Pre-Summary'!$AL$6:$AQ$13,6,FALSE),F99)</f>
        <v>5.9405263157894746E-2</v>
      </c>
      <c r="G100" t="str">
        <f>IFERROR(VLOOKUP(B100,'Pre-Summary'!$AE$6:$AJ$85,3,FALSE),"")</f>
        <v/>
      </c>
      <c r="H100" t="str">
        <f>IFERROR(VLOOKUP(B100,'Pre-Summary'!$AE$6:$AJ$85,4,FALSE),"")</f>
        <v/>
      </c>
      <c r="I100" t="str">
        <f>IFERROR(VLOOKUP(B100,'Pre-Summary'!$AE$6:$AJ$85,5,FALSE),"")</f>
        <v/>
      </c>
      <c r="J100" s="45" t="str">
        <f>IFERROR(VLOOKUP(B100,'Pre-Summary'!$AE$6:$AJ$85,6, FALSE),"")</f>
        <v/>
      </c>
      <c r="K100" s="45" t="str">
        <f>IFERROR(VLOOKUP(B100,'Pre-Summary'!$DE$6:$DG$61,3,FALSE),"")</f>
        <v/>
      </c>
      <c r="L100" s="45" t="str">
        <f>IFERROR(VLOOKUP(B100,'Pre-Summary'!$CU$6:$CW$36,3,FALSE),"")</f>
        <v/>
      </c>
      <c r="M100" s="45" t="str">
        <f>IFERROR(VLOOKUP(B100,'Pre-Summary'!$BW$6:$BY$58,2,FALSE),"")</f>
        <v/>
      </c>
      <c r="N100" s="45" t="str">
        <f>IFERROR(VLOOKUP(B100,'Pre-Summary'!$CD$6:$CF$64,2,FALSE),"")</f>
        <v/>
      </c>
      <c r="O100" s="99">
        <f>IFERROR(VLOOKUP(B100,'Pre-Summary'!$BO$6:$BQ$48,3, FALSE),O99)</f>
        <v>1.0915248032216731</v>
      </c>
      <c r="P100" s="99">
        <f>IFERROR(VLOOKUP(B100,'Pre-Summary'!$BS$6:$BU$35,3,FALSE),P99)</f>
        <v>0.25</v>
      </c>
      <c r="Q100" s="54">
        <f t="shared" si="3"/>
        <v>4.3660992128866924</v>
      </c>
      <c r="R100" s="53">
        <f>IFERROR(VLOOKUP(B100,'Pre-Summary'!$BG$6:$BM$44,7,FALSE),R101)</f>
        <v>2.7904161219319636E-2</v>
      </c>
      <c r="S100" s="53">
        <f>IFERROR(VLOOKUP(B100,'Pre-Summary'!$BG$6:$BM$44,6,FALSE),S101)</f>
        <v>3.3978715219895171E-2</v>
      </c>
      <c r="T100" s="45" t="str">
        <f>IFERROR(VLOOKUP(B100,'Pre-Summary'!$Y$6:$AC$83, 3,FALSE),"")</f>
        <v/>
      </c>
      <c r="U100" s="45" t="str">
        <f>IFERROR(VLOOKUP(B100,'Pre-Summary'!$Y$6:$AC$83, 4,FALSE),"")</f>
        <v/>
      </c>
      <c r="V100" t="str">
        <f>IFERROR(VLOOKUP(B100,'Pre-Summary'!$Y$6:$AC$83, 5,FALSE),"")</f>
        <v/>
      </c>
      <c r="W100" s="45" t="str">
        <f>IFERROR(VLOOKUP(B100,'Pre-Summary'!$Y$6:$AD$83,6,FALSE),"")</f>
        <v/>
      </c>
      <c r="X100" t="str">
        <f>IFERROR(VLOOKUP('Pre-Summary'!$DB$6:$DD$63,3,FALSE),"")</f>
        <v/>
      </c>
      <c r="Y100" t="str">
        <f>IFERROR(VLOOKUP(B100,'Pre-Summary'!$CR$6:$CT$36,3,FALSE),"")</f>
        <v/>
      </c>
      <c r="Z100" s="45" t="str">
        <f>IFERROR(VLOOKUP(B100,'Pre-Summary'!$BZ$6:$CB$63,2,FALSE),"")</f>
        <v/>
      </c>
      <c r="AA100" s="45" t="str">
        <f>IFERROR(VLOOKUP(B100,'Pre-Summary'!$CG$6:$CI$70,2,FALSE),"")</f>
        <v/>
      </c>
      <c r="AB100" s="99">
        <f>IFERROR(VLOOKUP(B100,'Pre-Summary'!$A$6:$P$178,9,FALSE),AB101)</f>
        <v>0.48376018267990589</v>
      </c>
      <c r="AC100" s="10">
        <f>IFERROR(VLOOKUP(Summary!B100,'Pre-Summary'!$A$6:$P$184,5, FALSE)/100,AC101)</f>
        <v>0.19379933333333332</v>
      </c>
      <c r="AD100" s="10">
        <f>IFERROR(VLOOKUP(Summary!B100,'Pre-Summary'!$A$6:$P$184,3, FALSE)/100,AD101)</f>
        <v>0.78441233333333327</v>
      </c>
      <c r="AE100" s="10">
        <f>IFERROR(VLOOKUP(Summary!B100,'Pre-Summary'!$A$6:$P$184,7, FALSE)/100,AE101)</f>
        <v>2.1787666666666667E-2</v>
      </c>
      <c r="AF100" s="99">
        <f t="shared" si="4"/>
        <v>0.37946745366970452</v>
      </c>
      <c r="AG100" s="99">
        <f t="shared" si="5"/>
        <v>1.0540005606835563E-2</v>
      </c>
      <c r="AH100" s="10" t="str">
        <f>IFERROR(VLOOKUP(B100,'Pre-Summary'!$AZ$6:$BE$65,3,FALSE),"")</f>
        <v/>
      </c>
      <c r="AI100" s="10" t="str">
        <f>IFERROR(VLOOKUP(B100,'Pre-Summary'!$AZ$6:$BE$65,5,FALSE),"")</f>
        <v/>
      </c>
      <c r="AJ100" s="10" t="str">
        <f>IFERROR(VLOOKUP(B100,'Pre-Summary'!$AZ$6:$BE$65,4,FALSE),"")</f>
        <v/>
      </c>
      <c r="AK100" s="10" t="str">
        <f>IFERROR(VLOOKUP(B100,'Pre-Summary'!$AZ$6:$BE$65,6,FALSE),"")</f>
        <v/>
      </c>
      <c r="AL100" s="10" t="str">
        <f>IFERROR(VLOOKUP(B100,'Pre-Summary'!$BG$6:$BL$44,3,FALSE),"")</f>
        <v/>
      </c>
      <c r="AM100" s="10" t="str">
        <f>IFERROR(VLOOKUP(B100,'Pre-Summary'!$BG$6:$BL$44,4,FALSE),"")</f>
        <v/>
      </c>
    </row>
    <row r="101" spans="2:39" ht="14.4" x14ac:dyDescent="0.3">
      <c r="B101">
        <v>9.8000000000000007</v>
      </c>
      <c r="C101" t="str">
        <f>IFERROR(VLOOKUP(B101,'Pre-Summary'!$DI$6:$DM$23,4,FALSE),"")</f>
        <v/>
      </c>
      <c r="D101" s="10" t="str">
        <f>IFERROR(VLOOKUP(B101,'Pre-Summary'!$AT$6:$AX$14,5,FALSE),D100)</f>
        <v>DSMZ v1: Using DSMZ 120 without NaHCO3</v>
      </c>
      <c r="E101" s="10" t="str">
        <f>IFERROR(VLOOKUP(B101,'Pre-Summary'!$AT$6:$AX$15,4,FALSE),"")</f>
        <v/>
      </c>
      <c r="F101">
        <f>IFERROR(VLOOKUP(B101,'Pre-Summary'!$AL$6:$AQ$13,6,FALSE),F100)</f>
        <v>5.9405263157894746E-2</v>
      </c>
      <c r="G101" t="str">
        <f>IFERROR(VLOOKUP(B101,'Pre-Summary'!$AE$6:$AJ$85,3,FALSE),"")</f>
        <v/>
      </c>
      <c r="H101" t="str">
        <f>IFERROR(VLOOKUP(B101,'Pre-Summary'!$AE$6:$AJ$85,4,FALSE),"")</f>
        <v/>
      </c>
      <c r="I101" t="str">
        <f>IFERROR(VLOOKUP(B101,'Pre-Summary'!$AE$6:$AJ$85,5,FALSE),"")</f>
        <v/>
      </c>
      <c r="J101" s="45" t="str">
        <f>IFERROR(VLOOKUP(B101,'Pre-Summary'!$AE$6:$AJ$85,6, FALSE),"")</f>
        <v/>
      </c>
      <c r="K101" s="45" t="str">
        <f>IFERROR(VLOOKUP(B101,'Pre-Summary'!$DE$6:$DG$61,3,FALSE),"")</f>
        <v/>
      </c>
      <c r="L101" s="45" t="str">
        <f>IFERROR(VLOOKUP(B101,'Pre-Summary'!$CU$6:$CW$36,3,FALSE),"")</f>
        <v/>
      </c>
      <c r="M101" s="45" t="str">
        <f>IFERROR(VLOOKUP(B101,'Pre-Summary'!$BW$6:$BY$58,2,FALSE),"")</f>
        <v/>
      </c>
      <c r="N101" s="45" t="str">
        <f>IFERROR(VLOOKUP(B101,'Pre-Summary'!$CD$6:$CF$64,2,FALSE),"")</f>
        <v/>
      </c>
      <c r="O101" s="99">
        <f>IFERROR(VLOOKUP(B101,'Pre-Summary'!$BO$6:$BQ$48,3, FALSE),O100)</f>
        <v>1.0915248032216731</v>
      </c>
      <c r="P101" s="99">
        <f>IFERROR(VLOOKUP(B101,'Pre-Summary'!$BS$6:$BU$35,3,FALSE),P100)</f>
        <v>0.25</v>
      </c>
      <c r="Q101" s="54">
        <f t="shared" si="3"/>
        <v>4.3660992128866924</v>
      </c>
      <c r="R101" s="53">
        <f>IFERROR(VLOOKUP(B101,'Pre-Summary'!$BG$6:$BM$44,7,FALSE),R102)</f>
        <v>2.7904161219319636E-2</v>
      </c>
      <c r="S101" s="53">
        <f>IFERROR(VLOOKUP(B101,'Pre-Summary'!$BG$6:$BM$44,6,FALSE),S102)</f>
        <v>3.3978715219895171E-2</v>
      </c>
      <c r="T101" s="45" t="str">
        <f>IFERROR(VLOOKUP(B101,'Pre-Summary'!$Y$6:$AC$83, 3,FALSE),"")</f>
        <v/>
      </c>
      <c r="U101" s="45" t="str">
        <f>IFERROR(VLOOKUP(B101,'Pre-Summary'!$Y$6:$AC$83, 4,FALSE),"")</f>
        <v/>
      </c>
      <c r="V101" t="str">
        <f>IFERROR(VLOOKUP(B101,'Pre-Summary'!$Y$6:$AC$83, 5,FALSE),"")</f>
        <v/>
      </c>
      <c r="W101" s="45" t="str">
        <f>IFERROR(VLOOKUP(B101,'Pre-Summary'!$Y$6:$AD$83,6,FALSE),"")</f>
        <v/>
      </c>
      <c r="X101" t="str">
        <f>IFERROR(VLOOKUP('Pre-Summary'!$DB$6:$DD$63,3,FALSE),"")</f>
        <v/>
      </c>
      <c r="Y101" t="str">
        <f>IFERROR(VLOOKUP(B101,'Pre-Summary'!$CR$6:$CT$36,3,FALSE),"")</f>
        <v/>
      </c>
      <c r="Z101" s="45" t="str">
        <f>IFERROR(VLOOKUP(B101,'Pre-Summary'!$BZ$6:$CB$63,2,FALSE),"")</f>
        <v/>
      </c>
      <c r="AA101" s="45" t="str">
        <f>IFERROR(VLOOKUP(B101,'Pre-Summary'!$CG$6:$CI$70,2,FALSE),"")</f>
        <v/>
      </c>
      <c r="AB101" s="99">
        <f>IFERROR(VLOOKUP(B101,'Pre-Summary'!$A$6:$P$178,9,FALSE),AB102)</f>
        <v>0.48376018267990589</v>
      </c>
      <c r="AC101" s="10">
        <f>IFERROR(VLOOKUP(Summary!B101,'Pre-Summary'!$A$6:$P$184,5, FALSE)/100,AC102)</f>
        <v>0.19379933333333332</v>
      </c>
      <c r="AD101" s="10">
        <f>IFERROR(VLOOKUP(Summary!B101,'Pre-Summary'!$A$6:$P$184,3, FALSE)/100,AD102)</f>
        <v>0.78441233333333327</v>
      </c>
      <c r="AE101" s="10">
        <f>IFERROR(VLOOKUP(Summary!B101,'Pre-Summary'!$A$6:$P$184,7, FALSE)/100,AE102)</f>
        <v>2.1787666666666667E-2</v>
      </c>
      <c r="AF101" s="99">
        <f t="shared" si="4"/>
        <v>0.37946745366970452</v>
      </c>
      <c r="AG101" s="99">
        <f t="shared" si="5"/>
        <v>1.0540005606835563E-2</v>
      </c>
      <c r="AH101" s="10" t="str">
        <f>IFERROR(VLOOKUP(B101,'Pre-Summary'!$AZ$6:$BE$65,3,FALSE),"")</f>
        <v/>
      </c>
      <c r="AI101" s="10" t="str">
        <f>IFERROR(VLOOKUP(B101,'Pre-Summary'!$AZ$6:$BE$65,5,FALSE),"")</f>
        <v/>
      </c>
      <c r="AJ101" s="10" t="str">
        <f>IFERROR(VLOOKUP(B101,'Pre-Summary'!$AZ$6:$BE$65,4,FALSE),"")</f>
        <v/>
      </c>
      <c r="AK101" s="10" t="str">
        <f>IFERROR(VLOOKUP(B101,'Pre-Summary'!$AZ$6:$BE$65,6,FALSE),"")</f>
        <v/>
      </c>
      <c r="AL101" s="10" t="str">
        <f>IFERROR(VLOOKUP(B101,'Pre-Summary'!$BG$6:$BL$44,3,FALSE),"")</f>
        <v/>
      </c>
      <c r="AM101" s="10" t="str">
        <f>IFERROR(VLOOKUP(B101,'Pre-Summary'!$BG$6:$BL$44,4,FALSE),"")</f>
        <v/>
      </c>
    </row>
    <row r="102" spans="2:39" ht="14.4" x14ac:dyDescent="0.3">
      <c r="B102">
        <v>9.9</v>
      </c>
      <c r="C102" t="str">
        <f>IFERROR(VLOOKUP(B102,'Pre-Summary'!$DI$6:$DM$23,4,FALSE),"")</f>
        <v/>
      </c>
      <c r="D102" s="10" t="str">
        <f>IFERROR(VLOOKUP(B102,'Pre-Summary'!$AT$6:$AX$14,5,FALSE),D101)</f>
        <v>DSMZ v1: Using DSMZ 120 without NaHCO3</v>
      </c>
      <c r="E102" s="10" t="str">
        <f>IFERROR(VLOOKUP(B102,'Pre-Summary'!$AT$6:$AX$15,4,FALSE),"")</f>
        <v/>
      </c>
      <c r="F102">
        <f>IFERROR(VLOOKUP(B102,'Pre-Summary'!$AL$6:$AQ$13,6,FALSE),F101)</f>
        <v>5.9405263157894746E-2</v>
      </c>
      <c r="G102" t="str">
        <f>IFERROR(VLOOKUP(B102,'Pre-Summary'!$AE$6:$AJ$85,3,FALSE),"")</f>
        <v/>
      </c>
      <c r="H102" t="str">
        <f>IFERROR(VLOOKUP(B102,'Pre-Summary'!$AE$6:$AJ$85,4,FALSE),"")</f>
        <v/>
      </c>
      <c r="I102" t="str">
        <f>IFERROR(VLOOKUP(B102,'Pre-Summary'!$AE$6:$AJ$85,5,FALSE),"")</f>
        <v/>
      </c>
      <c r="J102" s="45" t="str">
        <f>IFERROR(VLOOKUP(B102,'Pre-Summary'!$AE$6:$AJ$85,6, FALSE),"")</f>
        <v/>
      </c>
      <c r="K102" s="45" t="str">
        <f>IFERROR(VLOOKUP(B102,'Pre-Summary'!$DE$6:$DG$61,3,FALSE),"")</f>
        <v/>
      </c>
      <c r="L102" s="45" t="str">
        <f>IFERROR(VLOOKUP(B102,'Pre-Summary'!$CU$6:$CW$36,3,FALSE),"")</f>
        <v/>
      </c>
      <c r="M102" s="45" t="str">
        <f>IFERROR(VLOOKUP(B102,'Pre-Summary'!$BW$6:$BY$58,2,FALSE),"")</f>
        <v/>
      </c>
      <c r="N102" s="45" t="str">
        <f>IFERROR(VLOOKUP(B102,'Pre-Summary'!$CD$6:$CF$64,2,FALSE),"")</f>
        <v/>
      </c>
      <c r="O102" s="99">
        <f>IFERROR(VLOOKUP(B102,'Pre-Summary'!$BO$6:$BQ$48,3, FALSE),O101)</f>
        <v>1.0915248032216731</v>
      </c>
      <c r="P102" s="99">
        <f>IFERROR(VLOOKUP(B102,'Pre-Summary'!$BS$6:$BU$35,3,FALSE),P101)</f>
        <v>0.25</v>
      </c>
      <c r="Q102" s="54">
        <f t="shared" si="3"/>
        <v>4.3660992128866924</v>
      </c>
      <c r="R102" s="53">
        <f>IFERROR(VLOOKUP(B102,'Pre-Summary'!$BG$6:$BM$44,7,FALSE),R103)</f>
        <v>2.7904161219319636E-2</v>
      </c>
      <c r="S102" s="53">
        <f>IFERROR(VLOOKUP(B102,'Pre-Summary'!$BG$6:$BM$44,6,FALSE),S103)</f>
        <v>3.3978715219895171E-2</v>
      </c>
      <c r="T102" s="45" t="str">
        <f>IFERROR(VLOOKUP(B102,'Pre-Summary'!$Y$6:$AC$83, 3,FALSE),"")</f>
        <v/>
      </c>
      <c r="U102" s="45" t="str">
        <f>IFERROR(VLOOKUP(B102,'Pre-Summary'!$Y$6:$AC$83, 4,FALSE),"")</f>
        <v/>
      </c>
      <c r="V102" t="str">
        <f>IFERROR(VLOOKUP(B102,'Pre-Summary'!$Y$6:$AC$83, 5,FALSE),"")</f>
        <v/>
      </c>
      <c r="W102" s="45" t="str">
        <f>IFERROR(VLOOKUP(B102,'Pre-Summary'!$Y$6:$AD$83,6,FALSE),"")</f>
        <v/>
      </c>
      <c r="X102" t="str">
        <f>IFERROR(VLOOKUP('Pre-Summary'!$DB$6:$DD$63,3,FALSE),"")</f>
        <v/>
      </c>
      <c r="Y102" t="str">
        <f>IFERROR(VLOOKUP(B102,'Pre-Summary'!$CR$6:$CT$36,3,FALSE),"")</f>
        <v/>
      </c>
      <c r="Z102" s="45" t="str">
        <f>IFERROR(VLOOKUP(B102,'Pre-Summary'!$BZ$6:$CB$63,2,FALSE),"")</f>
        <v/>
      </c>
      <c r="AA102" s="45" t="str">
        <f>IFERROR(VLOOKUP(B102,'Pre-Summary'!$CG$6:$CI$70,2,FALSE),"")</f>
        <v/>
      </c>
      <c r="AB102" s="99">
        <f>IFERROR(VLOOKUP(B102,'Pre-Summary'!$A$6:$P$178,9,FALSE),AB103)</f>
        <v>0.48376018267990589</v>
      </c>
      <c r="AC102" s="10">
        <f>IFERROR(VLOOKUP(Summary!B102,'Pre-Summary'!$A$6:$P$184,5, FALSE)/100,AC103)</f>
        <v>0.19379933333333332</v>
      </c>
      <c r="AD102" s="10">
        <f>IFERROR(VLOOKUP(Summary!B102,'Pre-Summary'!$A$6:$P$184,3, FALSE)/100,AD103)</f>
        <v>0.78441233333333327</v>
      </c>
      <c r="AE102" s="10">
        <f>IFERROR(VLOOKUP(Summary!B102,'Pre-Summary'!$A$6:$P$184,7, FALSE)/100,AE103)</f>
        <v>2.1787666666666667E-2</v>
      </c>
      <c r="AF102" s="99">
        <f t="shared" si="4"/>
        <v>0.37946745366970452</v>
      </c>
      <c r="AG102" s="99">
        <f t="shared" si="5"/>
        <v>1.0540005606835563E-2</v>
      </c>
      <c r="AH102" s="10" t="str">
        <f>IFERROR(VLOOKUP(B102,'Pre-Summary'!$AZ$6:$BE$65,3,FALSE),"")</f>
        <v/>
      </c>
      <c r="AI102" s="10" t="str">
        <f>IFERROR(VLOOKUP(B102,'Pre-Summary'!$AZ$6:$BE$65,5,FALSE),"")</f>
        <v/>
      </c>
      <c r="AJ102" s="10" t="str">
        <f>IFERROR(VLOOKUP(B102,'Pre-Summary'!$AZ$6:$BE$65,4,FALSE),"")</f>
        <v/>
      </c>
      <c r="AK102" s="10" t="str">
        <f>IFERROR(VLOOKUP(B102,'Pre-Summary'!$AZ$6:$BE$65,6,FALSE),"")</f>
        <v/>
      </c>
      <c r="AL102" s="10" t="str">
        <f>IFERROR(VLOOKUP(B102,'Pre-Summary'!$BG$6:$BL$44,3,FALSE),"")</f>
        <v/>
      </c>
      <c r="AM102" s="10" t="str">
        <f>IFERROR(VLOOKUP(B102,'Pre-Summary'!$BG$6:$BL$44,4,FALSE),"")</f>
        <v/>
      </c>
    </row>
    <row r="103" spans="2:39" ht="14.4" x14ac:dyDescent="0.3">
      <c r="B103">
        <v>10</v>
      </c>
      <c r="C103" t="str">
        <f>IFERROR(VLOOKUP(B103,'Pre-Summary'!$DI$6:$DM$23,4,FALSE),"")</f>
        <v/>
      </c>
      <c r="D103" s="10" t="str">
        <f>IFERROR(VLOOKUP(B103,'Pre-Summary'!$AT$6:$AX$14,5,FALSE),D102)</f>
        <v>DSMZ v1: Using DSMZ 120 without NaHCO3</v>
      </c>
      <c r="E103" s="10" t="str">
        <f>IFERROR(VLOOKUP(B103,'Pre-Summary'!$AT$6:$AX$15,4,FALSE),"")</f>
        <v/>
      </c>
      <c r="F103">
        <f>IFERROR(VLOOKUP(B103,'Pre-Summary'!$AL$6:$AQ$13,6,FALSE),F102)</f>
        <v>5.9405263157894746E-2</v>
      </c>
      <c r="G103" t="str">
        <f>IFERROR(VLOOKUP(B103,'Pre-Summary'!$AE$6:$AJ$85,3,FALSE),"")</f>
        <v/>
      </c>
      <c r="H103" t="str">
        <f>IFERROR(VLOOKUP(B103,'Pre-Summary'!$AE$6:$AJ$85,4,FALSE),"")</f>
        <v/>
      </c>
      <c r="I103" t="str">
        <f>IFERROR(VLOOKUP(B103,'Pre-Summary'!$AE$6:$AJ$85,5,FALSE),"")</f>
        <v/>
      </c>
      <c r="J103" s="45" t="str">
        <f>IFERROR(VLOOKUP(B103,'Pre-Summary'!$AE$6:$AJ$85,6, FALSE),"")</f>
        <v/>
      </c>
      <c r="K103" s="45" t="str">
        <f>IFERROR(VLOOKUP(B103,'Pre-Summary'!$DE$6:$DG$61,3,FALSE),"")</f>
        <v/>
      </c>
      <c r="L103" s="45" t="str">
        <f>IFERROR(VLOOKUP(B103,'Pre-Summary'!$CU$6:$CW$36,3,FALSE),"")</f>
        <v/>
      </c>
      <c r="M103" s="45" t="str">
        <f>IFERROR(VLOOKUP(B103,'Pre-Summary'!$BW$6:$BY$58,2,FALSE),"")</f>
        <v/>
      </c>
      <c r="N103" s="45" t="str">
        <f>IFERROR(VLOOKUP(B103,'Pre-Summary'!$CD$6:$CF$64,2,FALSE),"")</f>
        <v/>
      </c>
      <c r="O103" s="99">
        <f>IFERROR(VLOOKUP(B103,'Pre-Summary'!$BO$6:$BQ$48,3, FALSE),O102)</f>
        <v>1.0915248032216731</v>
      </c>
      <c r="P103" s="99">
        <f>IFERROR(VLOOKUP(B103,'Pre-Summary'!$BS$6:$BU$35,3,FALSE),P102)</f>
        <v>0.25</v>
      </c>
      <c r="Q103" s="54">
        <f t="shared" si="3"/>
        <v>4.3660992128866924</v>
      </c>
      <c r="R103" s="53">
        <f>IFERROR(VLOOKUP(B103,'Pre-Summary'!$BG$6:$BM$44,7,FALSE),R104)</f>
        <v>2.7904161219319636E-2</v>
      </c>
      <c r="S103" s="53">
        <f>IFERROR(VLOOKUP(B103,'Pre-Summary'!$BG$6:$BM$44,6,FALSE),S104)</f>
        <v>3.3978715219895171E-2</v>
      </c>
      <c r="T103" s="45" t="str">
        <f>IFERROR(VLOOKUP(B103,'Pre-Summary'!$Y$6:$AC$83, 3,FALSE),"")</f>
        <v/>
      </c>
      <c r="U103" s="45" t="str">
        <f>IFERROR(VLOOKUP(B103,'Pre-Summary'!$Y$6:$AC$83, 4,FALSE),"")</f>
        <v/>
      </c>
      <c r="V103" t="str">
        <f>IFERROR(VLOOKUP(B103,'Pre-Summary'!$Y$6:$AC$83, 5,FALSE),"")</f>
        <v/>
      </c>
      <c r="W103" s="45" t="str">
        <f>IFERROR(VLOOKUP(B103,'Pre-Summary'!$Y$6:$AD$83,6,FALSE),"")</f>
        <v/>
      </c>
      <c r="X103" t="str">
        <f>IFERROR(VLOOKUP('Pre-Summary'!$DB$6:$DD$63,3,FALSE),"")</f>
        <v/>
      </c>
      <c r="Y103" t="str">
        <f>IFERROR(VLOOKUP(B103,'Pre-Summary'!$CR$6:$CT$36,3,FALSE),"")</f>
        <v/>
      </c>
      <c r="Z103" s="45" t="str">
        <f>IFERROR(VLOOKUP(B103,'Pre-Summary'!$BZ$6:$CB$63,2,FALSE),"")</f>
        <v/>
      </c>
      <c r="AA103" s="45" t="str">
        <f>IFERROR(VLOOKUP(B103,'Pre-Summary'!$CG$6:$CI$70,2,FALSE),"")</f>
        <v/>
      </c>
      <c r="AB103" s="99">
        <f>IFERROR(VLOOKUP(B103,'Pre-Summary'!$A$6:$P$178,9,FALSE),AB104)</f>
        <v>0.49660943396122104</v>
      </c>
      <c r="AC103" s="10">
        <f>IFERROR(VLOOKUP(Summary!B103,'Pre-Summary'!$A$6:$P$184,5, FALSE)/100,AC104)</f>
        <v>0.89163000000000014</v>
      </c>
      <c r="AD103" s="10">
        <f>IFERROR(VLOOKUP(Summary!B103,'Pre-Summary'!$A$6:$P$184,3, FALSE)/100,AD104)</f>
        <v>0</v>
      </c>
      <c r="AE103" s="10">
        <f>IFERROR(VLOOKUP(Summary!B103,'Pre-Summary'!$A$6:$P$184,7, FALSE)/100,AE104)</f>
        <v>0.10837000000000002</v>
      </c>
      <c r="AF103" s="99">
        <f t="shared" si="4"/>
        <v>0</v>
      </c>
      <c r="AG103" s="99">
        <f t="shared" si="5"/>
        <v>5.3817564358377534E-2</v>
      </c>
      <c r="AH103" s="10" t="str">
        <f>IFERROR(VLOOKUP(B103,'Pre-Summary'!$AZ$6:$BE$65,3,FALSE),"")</f>
        <v/>
      </c>
      <c r="AI103" s="10" t="str">
        <f>IFERROR(VLOOKUP(B103,'Pre-Summary'!$AZ$6:$BE$65,5,FALSE),"")</f>
        <v/>
      </c>
      <c r="AJ103" s="10" t="str">
        <f>IFERROR(VLOOKUP(B103,'Pre-Summary'!$AZ$6:$BE$65,4,FALSE),"")</f>
        <v/>
      </c>
      <c r="AK103" s="10" t="str">
        <f>IFERROR(VLOOKUP(B103,'Pre-Summary'!$AZ$6:$BE$65,6,FALSE),"")</f>
        <v/>
      </c>
      <c r="AL103" s="10" t="str">
        <f>IFERROR(VLOOKUP(B103,'Pre-Summary'!$BG$6:$BL$44,3,FALSE),"")</f>
        <v/>
      </c>
      <c r="AM103" s="10" t="str">
        <f>IFERROR(VLOOKUP(B103,'Pre-Summary'!$BG$6:$BL$44,4,FALSE),"")</f>
        <v/>
      </c>
    </row>
    <row r="104" spans="2:39" ht="14.4" x14ac:dyDescent="0.3">
      <c r="B104">
        <v>10.1</v>
      </c>
      <c r="C104" t="str">
        <f>IFERROR(VLOOKUP(B104,'Pre-Summary'!$DI$6:$DM$23,4,FALSE),"")</f>
        <v/>
      </c>
      <c r="D104" s="10" t="str">
        <f>IFERROR(VLOOKUP(B104,'Pre-Summary'!$AT$6:$AX$14,5,FALSE),D103)</f>
        <v>DSMZ v1: Using DSMZ 120 without NaHCO3</v>
      </c>
      <c r="E104" s="10" t="str">
        <f>IFERROR(VLOOKUP(B104,'Pre-Summary'!$AT$6:$AX$15,4,FALSE),"")</f>
        <v/>
      </c>
      <c r="F104">
        <f>IFERROR(VLOOKUP(B104,'Pre-Summary'!$AL$6:$AQ$13,6,FALSE),F103)</f>
        <v>5.9405263157894746E-2</v>
      </c>
      <c r="G104" t="str">
        <f>IFERROR(VLOOKUP(B104,'Pre-Summary'!$AE$6:$AJ$85,3,FALSE),"")</f>
        <v/>
      </c>
      <c r="H104" t="str">
        <f>IFERROR(VLOOKUP(B104,'Pre-Summary'!$AE$6:$AJ$85,4,FALSE),"")</f>
        <v/>
      </c>
      <c r="I104" t="str">
        <f>IFERROR(VLOOKUP(B104,'Pre-Summary'!$AE$6:$AJ$85,5,FALSE),"")</f>
        <v/>
      </c>
      <c r="J104" s="45" t="str">
        <f>IFERROR(VLOOKUP(B104,'Pre-Summary'!$AE$6:$AJ$85,6, FALSE),"")</f>
        <v/>
      </c>
      <c r="K104" s="45" t="str">
        <f>IFERROR(VLOOKUP(B104,'Pre-Summary'!$DE$6:$DG$61,3,FALSE),"")</f>
        <v/>
      </c>
      <c r="L104" s="45" t="str">
        <f>IFERROR(VLOOKUP(B104,'Pre-Summary'!$CU$6:$CW$36,3,FALSE),"")</f>
        <v/>
      </c>
      <c r="M104" s="45" t="str">
        <f>IFERROR(VLOOKUP(B104,'Pre-Summary'!$BW$6:$BY$58,2,FALSE),"")</f>
        <v/>
      </c>
      <c r="N104" s="45" t="str">
        <f>IFERROR(VLOOKUP(B104,'Pre-Summary'!$CD$6:$CF$64,2,FALSE),"")</f>
        <v/>
      </c>
      <c r="O104" s="99">
        <f>IFERROR(VLOOKUP(B104,'Pre-Summary'!$BO$6:$BQ$48,3, FALSE),O103)</f>
        <v>1.0915248032216731</v>
      </c>
      <c r="P104" s="99">
        <f>IFERROR(VLOOKUP(B104,'Pre-Summary'!$BS$6:$BU$35,3,FALSE),P103)</f>
        <v>0.25</v>
      </c>
      <c r="Q104" s="54">
        <f t="shared" si="3"/>
        <v>4.3660992128866924</v>
      </c>
      <c r="R104" s="53">
        <f>IFERROR(VLOOKUP(B104,'Pre-Summary'!$BG$6:$BM$44,7,FALSE),R105)</f>
        <v>2.7904161219319636E-2</v>
      </c>
      <c r="S104" s="53">
        <f>IFERROR(VLOOKUP(B104,'Pre-Summary'!$BG$6:$BM$44,6,FALSE),S105)</f>
        <v>3.3978715219895171E-2</v>
      </c>
      <c r="T104" s="45" t="str">
        <f>IFERROR(VLOOKUP(B104,'Pre-Summary'!$Y$6:$AC$83, 3,FALSE),"")</f>
        <v/>
      </c>
      <c r="U104" s="45" t="str">
        <f>IFERROR(VLOOKUP(B104,'Pre-Summary'!$Y$6:$AC$83, 4,FALSE),"")</f>
        <v/>
      </c>
      <c r="V104" t="str">
        <f>IFERROR(VLOOKUP(B104,'Pre-Summary'!$Y$6:$AC$83, 5,FALSE),"")</f>
        <v/>
      </c>
      <c r="W104" s="45" t="str">
        <f>IFERROR(VLOOKUP(B104,'Pre-Summary'!$Y$6:$AD$83,6,FALSE),"")</f>
        <v/>
      </c>
      <c r="X104" t="str">
        <f>IFERROR(VLOOKUP('Pre-Summary'!$DB$6:$DD$63,3,FALSE),"")</f>
        <v/>
      </c>
      <c r="Y104" t="str">
        <f>IFERROR(VLOOKUP(B104,'Pre-Summary'!$CR$6:$CT$36,3,FALSE),"")</f>
        <v/>
      </c>
      <c r="Z104" s="45" t="str">
        <f>IFERROR(VLOOKUP(B104,'Pre-Summary'!$BZ$6:$CB$63,2,FALSE),"")</f>
        <v/>
      </c>
      <c r="AA104" s="45" t="str">
        <f>IFERROR(VLOOKUP(B104,'Pre-Summary'!$CG$6:$CI$70,2,FALSE),"")</f>
        <v/>
      </c>
      <c r="AB104" s="99">
        <f>IFERROR(VLOOKUP(B104,'Pre-Summary'!$A$6:$P$178,9,FALSE),AB105)</f>
        <v>0.49660943396122104</v>
      </c>
      <c r="AC104" s="10">
        <f>IFERROR(VLOOKUP(Summary!B104,'Pre-Summary'!$A$6:$P$184,5, FALSE)/100,AC105)</f>
        <v>0.89163000000000014</v>
      </c>
      <c r="AD104" s="10">
        <f>IFERROR(VLOOKUP(Summary!B104,'Pre-Summary'!$A$6:$P$184,3, FALSE)/100,AD105)</f>
        <v>0</v>
      </c>
      <c r="AE104" s="10">
        <f>IFERROR(VLOOKUP(Summary!B104,'Pre-Summary'!$A$6:$P$184,7, FALSE)/100,AE105)</f>
        <v>0.10837000000000002</v>
      </c>
      <c r="AF104" s="99">
        <f t="shared" si="4"/>
        <v>0</v>
      </c>
      <c r="AG104" s="99">
        <f t="shared" si="5"/>
        <v>5.3817564358377534E-2</v>
      </c>
      <c r="AH104" s="10" t="str">
        <f>IFERROR(VLOOKUP(B104,'Pre-Summary'!$AZ$6:$BE$65,3,FALSE),"")</f>
        <v/>
      </c>
      <c r="AI104" s="10" t="str">
        <f>IFERROR(VLOOKUP(B104,'Pre-Summary'!$AZ$6:$BE$65,5,FALSE),"")</f>
        <v/>
      </c>
      <c r="AJ104" s="10" t="str">
        <f>IFERROR(VLOOKUP(B104,'Pre-Summary'!$AZ$6:$BE$65,4,FALSE),"")</f>
        <v/>
      </c>
      <c r="AK104" s="10" t="str">
        <f>IFERROR(VLOOKUP(B104,'Pre-Summary'!$AZ$6:$BE$65,6,FALSE),"")</f>
        <v/>
      </c>
      <c r="AL104" s="10" t="str">
        <f>IFERROR(VLOOKUP(B104,'Pre-Summary'!$BG$6:$BL$44,3,FALSE),"")</f>
        <v/>
      </c>
      <c r="AM104" s="10" t="str">
        <f>IFERROR(VLOOKUP(B104,'Pre-Summary'!$BG$6:$BL$44,4,FALSE),"")</f>
        <v/>
      </c>
    </row>
    <row r="105" spans="2:39" ht="14.4" x14ac:dyDescent="0.3">
      <c r="B105">
        <v>10.199999999999999</v>
      </c>
      <c r="C105" t="str">
        <f>IFERROR(VLOOKUP(B105,'Pre-Summary'!$DI$6:$DM$23,4,FALSE),"")</f>
        <v/>
      </c>
      <c r="D105" s="10" t="str">
        <f>IFERROR(VLOOKUP(B105,'Pre-Summary'!$AT$6:$AX$14,5,FALSE),D104)</f>
        <v>DSMZ v1: Using DSMZ 120 without NaHCO3</v>
      </c>
      <c r="E105" s="10" t="str">
        <f>IFERROR(VLOOKUP(B105,'Pre-Summary'!$AT$6:$AX$15,4,FALSE),"")</f>
        <v/>
      </c>
      <c r="F105">
        <f>IFERROR(VLOOKUP(B105,'Pre-Summary'!$AL$6:$AQ$13,6,FALSE),F104)</f>
        <v>5.9405263157894746E-2</v>
      </c>
      <c r="G105" t="str">
        <f>IFERROR(VLOOKUP(B105,'Pre-Summary'!$AE$6:$AJ$85,3,FALSE),"")</f>
        <v/>
      </c>
      <c r="H105" t="str">
        <f>IFERROR(VLOOKUP(B105,'Pre-Summary'!$AE$6:$AJ$85,4,FALSE),"")</f>
        <v/>
      </c>
      <c r="I105" t="str">
        <f>IFERROR(VLOOKUP(B105,'Pre-Summary'!$AE$6:$AJ$85,5,FALSE),"")</f>
        <v/>
      </c>
      <c r="J105" s="45" t="str">
        <f>IFERROR(VLOOKUP(B105,'Pre-Summary'!$AE$6:$AJ$85,6, FALSE),"")</f>
        <v/>
      </c>
      <c r="K105" s="45" t="str">
        <f>IFERROR(VLOOKUP(B105,'Pre-Summary'!$DE$6:$DG$61,3,FALSE),"")</f>
        <v/>
      </c>
      <c r="L105" s="45" t="str">
        <f>IFERROR(VLOOKUP(B105,'Pre-Summary'!$CU$6:$CW$36,3,FALSE),"")</f>
        <v/>
      </c>
      <c r="M105" s="45" t="str">
        <f>IFERROR(VLOOKUP(B105,'Pre-Summary'!$BW$6:$BY$58,2,FALSE),"")</f>
        <v/>
      </c>
      <c r="N105" s="45" t="str">
        <f>IFERROR(VLOOKUP(B105,'Pre-Summary'!$CD$6:$CF$64,2,FALSE),"")</f>
        <v/>
      </c>
      <c r="O105" s="99">
        <f>IFERROR(VLOOKUP(B105,'Pre-Summary'!$BO$6:$BQ$48,3, FALSE),O104)</f>
        <v>1.0915248032216731</v>
      </c>
      <c r="P105" s="99">
        <f>IFERROR(VLOOKUP(B105,'Pre-Summary'!$BS$6:$BU$35,3,FALSE),P104)</f>
        <v>0.25</v>
      </c>
      <c r="Q105" s="54">
        <f t="shared" si="3"/>
        <v>4.3660992128866924</v>
      </c>
      <c r="R105" s="53">
        <f>IFERROR(VLOOKUP(B105,'Pre-Summary'!$BG$6:$BM$44,7,FALSE),R106)</f>
        <v>2.7904161219319636E-2</v>
      </c>
      <c r="S105" s="53">
        <f>IFERROR(VLOOKUP(B105,'Pre-Summary'!$BG$6:$BM$44,6,FALSE),S106)</f>
        <v>3.3978715219895171E-2</v>
      </c>
      <c r="T105" s="45" t="str">
        <f>IFERROR(VLOOKUP(B105,'Pre-Summary'!$Y$6:$AC$83, 3,FALSE),"")</f>
        <v/>
      </c>
      <c r="U105" s="45" t="str">
        <f>IFERROR(VLOOKUP(B105,'Pre-Summary'!$Y$6:$AC$83, 4,FALSE),"")</f>
        <v/>
      </c>
      <c r="V105" t="str">
        <f>IFERROR(VLOOKUP(B105,'Pre-Summary'!$Y$6:$AC$83, 5,FALSE),"")</f>
        <v/>
      </c>
      <c r="W105" s="45" t="str">
        <f>IFERROR(VLOOKUP(B105,'Pre-Summary'!$Y$6:$AD$83,6,FALSE),"")</f>
        <v/>
      </c>
      <c r="X105" t="str">
        <f>IFERROR(VLOOKUP('Pre-Summary'!$DB$6:$DD$63,3,FALSE),"")</f>
        <v/>
      </c>
      <c r="Y105" t="str">
        <f>IFERROR(VLOOKUP(B105,'Pre-Summary'!$CR$6:$CT$36,3,FALSE),"")</f>
        <v/>
      </c>
      <c r="Z105" s="45" t="str">
        <f>IFERROR(VLOOKUP(B105,'Pre-Summary'!$BZ$6:$CB$63,2,FALSE),"")</f>
        <v/>
      </c>
      <c r="AA105" s="45" t="str">
        <f>IFERROR(VLOOKUP(B105,'Pre-Summary'!$CG$6:$CI$70,2,FALSE),"")</f>
        <v/>
      </c>
      <c r="AB105" s="99">
        <f>IFERROR(VLOOKUP(B105,'Pre-Summary'!$A$6:$P$178,9,FALSE),AB106)</f>
        <v>0.49660943396122104</v>
      </c>
      <c r="AC105" s="10">
        <f>IFERROR(VLOOKUP(Summary!B105,'Pre-Summary'!$A$6:$P$184,5, FALSE)/100,AC106)</f>
        <v>0.89163000000000014</v>
      </c>
      <c r="AD105" s="10">
        <f>IFERROR(VLOOKUP(Summary!B105,'Pre-Summary'!$A$6:$P$184,3, FALSE)/100,AD106)</f>
        <v>0</v>
      </c>
      <c r="AE105" s="10">
        <f>IFERROR(VLOOKUP(Summary!B105,'Pre-Summary'!$A$6:$P$184,7, FALSE)/100,AE106)</f>
        <v>0.10837000000000002</v>
      </c>
      <c r="AF105" s="99">
        <f t="shared" si="4"/>
        <v>0</v>
      </c>
      <c r="AG105" s="99">
        <f t="shared" si="5"/>
        <v>5.3817564358377534E-2</v>
      </c>
      <c r="AH105" s="10" t="str">
        <f>IFERROR(VLOOKUP(B105,'Pre-Summary'!$AZ$6:$BE$65,3,FALSE),"")</f>
        <v/>
      </c>
      <c r="AI105" s="10" t="str">
        <f>IFERROR(VLOOKUP(B105,'Pre-Summary'!$AZ$6:$BE$65,5,FALSE),"")</f>
        <v/>
      </c>
      <c r="AJ105" s="10" t="str">
        <f>IFERROR(VLOOKUP(B105,'Pre-Summary'!$AZ$6:$BE$65,4,FALSE),"")</f>
        <v/>
      </c>
      <c r="AK105" s="10" t="str">
        <f>IFERROR(VLOOKUP(B105,'Pre-Summary'!$AZ$6:$BE$65,6,FALSE),"")</f>
        <v/>
      </c>
      <c r="AL105" s="10" t="str">
        <f>IFERROR(VLOOKUP(B105,'Pre-Summary'!$BG$6:$BL$44,3,FALSE),"")</f>
        <v/>
      </c>
      <c r="AM105" s="10" t="str">
        <f>IFERROR(VLOOKUP(B105,'Pre-Summary'!$BG$6:$BL$44,4,FALSE),"")</f>
        <v/>
      </c>
    </row>
    <row r="106" spans="2:39" ht="14.4" x14ac:dyDescent="0.3">
      <c r="B106">
        <v>10.3</v>
      </c>
      <c r="C106" t="str">
        <f>IFERROR(VLOOKUP(B106,'Pre-Summary'!$DI$6:$DM$23,4,FALSE),"")</f>
        <v/>
      </c>
      <c r="D106" s="10" t="str">
        <f>IFERROR(VLOOKUP(B106,'Pre-Summary'!$AT$6:$AX$14,5,FALSE),D105)</f>
        <v>DSMZ v1: Using DSMZ 120 without NaHCO3</v>
      </c>
      <c r="E106" s="10" t="str">
        <f>IFERROR(VLOOKUP(B106,'Pre-Summary'!$AT$6:$AX$15,4,FALSE),"")</f>
        <v/>
      </c>
      <c r="F106">
        <f>IFERROR(VLOOKUP(B106,'Pre-Summary'!$AL$6:$AQ$13,6,FALSE),F105)</f>
        <v>5.9405263157894746E-2</v>
      </c>
      <c r="G106" t="str">
        <f>IFERROR(VLOOKUP(B106,'Pre-Summary'!$AE$6:$AJ$85,3,FALSE),"")</f>
        <v/>
      </c>
      <c r="H106" t="str">
        <f>IFERROR(VLOOKUP(B106,'Pre-Summary'!$AE$6:$AJ$85,4,FALSE),"")</f>
        <v/>
      </c>
      <c r="I106" t="str">
        <f>IFERROR(VLOOKUP(B106,'Pre-Summary'!$AE$6:$AJ$85,5,FALSE),"")</f>
        <v/>
      </c>
      <c r="J106" s="45" t="str">
        <f>IFERROR(VLOOKUP(B106,'Pre-Summary'!$AE$6:$AJ$85,6, FALSE),"")</f>
        <v/>
      </c>
      <c r="K106" s="45" t="str">
        <f>IFERROR(VLOOKUP(B106,'Pre-Summary'!$DE$6:$DG$61,3,FALSE),"")</f>
        <v/>
      </c>
      <c r="L106" s="45" t="str">
        <f>IFERROR(VLOOKUP(B106,'Pre-Summary'!$CU$6:$CW$36,3,FALSE),"")</f>
        <v/>
      </c>
      <c r="M106" s="45" t="str">
        <f>IFERROR(VLOOKUP(B106,'Pre-Summary'!$BW$6:$BY$58,2,FALSE),"")</f>
        <v/>
      </c>
      <c r="N106" s="45" t="str">
        <f>IFERROR(VLOOKUP(B106,'Pre-Summary'!$CD$6:$CF$64,2,FALSE),"")</f>
        <v/>
      </c>
      <c r="O106" s="99">
        <f>IFERROR(VLOOKUP(B106,'Pre-Summary'!$BO$6:$BQ$48,3, FALSE),O105)</f>
        <v>1.0915248032216731</v>
      </c>
      <c r="P106" s="99">
        <f>IFERROR(VLOOKUP(B106,'Pre-Summary'!$BS$6:$BU$35,3,FALSE),P105)</f>
        <v>0.25</v>
      </c>
      <c r="Q106" s="54">
        <f t="shared" si="3"/>
        <v>4.3660992128866924</v>
      </c>
      <c r="R106" s="53">
        <f>IFERROR(VLOOKUP(B106,'Pre-Summary'!$BG$6:$BM$44,7,FALSE),R107)</f>
        <v>2.7904161219319636E-2</v>
      </c>
      <c r="S106" s="53">
        <f>IFERROR(VLOOKUP(B106,'Pre-Summary'!$BG$6:$BM$44,6,FALSE),S107)</f>
        <v>3.3978715219895171E-2</v>
      </c>
      <c r="T106" s="45" t="str">
        <f>IFERROR(VLOOKUP(B106,'Pre-Summary'!$Y$6:$AC$83, 3,FALSE),"")</f>
        <v/>
      </c>
      <c r="U106" s="45" t="str">
        <f>IFERROR(VLOOKUP(B106,'Pre-Summary'!$Y$6:$AC$83, 4,FALSE),"")</f>
        <v/>
      </c>
      <c r="V106" t="str">
        <f>IFERROR(VLOOKUP(B106,'Pre-Summary'!$Y$6:$AC$83, 5,FALSE),"")</f>
        <v/>
      </c>
      <c r="W106" s="45" t="str">
        <f>IFERROR(VLOOKUP(B106,'Pre-Summary'!$Y$6:$AD$83,6,FALSE),"")</f>
        <v/>
      </c>
      <c r="X106" t="str">
        <f>IFERROR(VLOOKUP('Pre-Summary'!$DB$6:$DD$63,3,FALSE),"")</f>
        <v/>
      </c>
      <c r="Y106" t="str">
        <f>IFERROR(VLOOKUP(B106,'Pre-Summary'!$CR$6:$CT$36,3,FALSE),"")</f>
        <v/>
      </c>
      <c r="Z106" s="45" t="str">
        <f>IFERROR(VLOOKUP(B106,'Pre-Summary'!$BZ$6:$CB$63,2,FALSE),"")</f>
        <v/>
      </c>
      <c r="AA106" s="45" t="str">
        <f>IFERROR(VLOOKUP(B106,'Pre-Summary'!$CG$6:$CI$70,2,FALSE),"")</f>
        <v/>
      </c>
      <c r="AB106" s="99">
        <f>IFERROR(VLOOKUP(B106,'Pre-Summary'!$A$6:$P$178,9,FALSE),AB107)</f>
        <v>0.49660943396122104</v>
      </c>
      <c r="AC106" s="10">
        <f>IFERROR(VLOOKUP(Summary!B106,'Pre-Summary'!$A$6:$P$184,5, FALSE)/100,AC107)</f>
        <v>0.89163000000000014</v>
      </c>
      <c r="AD106" s="10">
        <f>IFERROR(VLOOKUP(Summary!B106,'Pre-Summary'!$A$6:$P$184,3, FALSE)/100,AD107)</f>
        <v>0</v>
      </c>
      <c r="AE106" s="10">
        <f>IFERROR(VLOOKUP(Summary!B106,'Pre-Summary'!$A$6:$P$184,7, FALSE)/100,AE107)</f>
        <v>0.10837000000000002</v>
      </c>
      <c r="AF106" s="99">
        <f t="shared" si="4"/>
        <v>0</v>
      </c>
      <c r="AG106" s="99">
        <f t="shared" si="5"/>
        <v>5.3817564358377534E-2</v>
      </c>
      <c r="AH106" s="10" t="str">
        <f>IFERROR(VLOOKUP(B106,'Pre-Summary'!$AZ$6:$BE$65,3,FALSE),"")</f>
        <v/>
      </c>
      <c r="AI106" s="10" t="str">
        <f>IFERROR(VLOOKUP(B106,'Pre-Summary'!$AZ$6:$BE$65,5,FALSE),"")</f>
        <v/>
      </c>
      <c r="AJ106" s="10" t="str">
        <f>IFERROR(VLOOKUP(B106,'Pre-Summary'!$AZ$6:$BE$65,4,FALSE),"")</f>
        <v/>
      </c>
      <c r="AK106" s="10" t="str">
        <f>IFERROR(VLOOKUP(B106,'Pre-Summary'!$AZ$6:$BE$65,6,FALSE),"")</f>
        <v/>
      </c>
      <c r="AL106" s="10" t="str">
        <f>IFERROR(VLOOKUP(B106,'Pre-Summary'!$BG$6:$BL$44,3,FALSE),"")</f>
        <v/>
      </c>
      <c r="AM106" s="10" t="str">
        <f>IFERROR(VLOOKUP(B106,'Pre-Summary'!$BG$6:$BL$44,4,FALSE),"")</f>
        <v/>
      </c>
    </row>
    <row r="107" spans="2:39" ht="14.4" x14ac:dyDescent="0.3">
      <c r="B107">
        <v>10.4</v>
      </c>
      <c r="C107" t="str">
        <f>IFERROR(VLOOKUP(B107,'Pre-Summary'!$DI$6:$DM$23,4,FALSE),"")</f>
        <v/>
      </c>
      <c r="D107" s="10" t="str">
        <f>IFERROR(VLOOKUP(B107,'Pre-Summary'!$AT$6:$AX$14,5,FALSE),D106)</f>
        <v>DSMZ v1: Using DSMZ 120 without NaHCO3</v>
      </c>
      <c r="E107" s="10" t="str">
        <f>IFERROR(VLOOKUP(B107,'Pre-Summary'!$AT$6:$AX$15,4,FALSE),"")</f>
        <v/>
      </c>
      <c r="F107">
        <f>IFERROR(VLOOKUP(B107,'Pre-Summary'!$AL$6:$AQ$13,6,FALSE),F106)</f>
        <v>5.9405263157894746E-2</v>
      </c>
      <c r="G107" t="str">
        <f>IFERROR(VLOOKUP(B107,'Pre-Summary'!$AE$6:$AJ$85,3,FALSE),"")</f>
        <v/>
      </c>
      <c r="H107" t="str">
        <f>IFERROR(VLOOKUP(B107,'Pre-Summary'!$AE$6:$AJ$85,4,FALSE),"")</f>
        <v/>
      </c>
      <c r="I107" t="str">
        <f>IFERROR(VLOOKUP(B107,'Pre-Summary'!$AE$6:$AJ$85,5,FALSE),"")</f>
        <v/>
      </c>
      <c r="J107" s="45" t="str">
        <f>IFERROR(VLOOKUP(B107,'Pre-Summary'!$AE$6:$AJ$85,6, FALSE),"")</f>
        <v/>
      </c>
      <c r="K107" s="45" t="str">
        <f>IFERROR(VLOOKUP(B107,'Pre-Summary'!$DE$6:$DG$61,3,FALSE),"")</f>
        <v/>
      </c>
      <c r="L107" s="45" t="str">
        <f>IFERROR(VLOOKUP(B107,'Pre-Summary'!$CU$6:$CW$36,3,FALSE),"")</f>
        <v/>
      </c>
      <c r="M107" s="45" t="str">
        <f>IFERROR(VLOOKUP(B107,'Pre-Summary'!$BW$6:$BY$58,2,FALSE),"")</f>
        <v/>
      </c>
      <c r="N107" s="45" t="str">
        <f>IFERROR(VLOOKUP(B107,'Pre-Summary'!$CD$6:$CF$64,2,FALSE),"")</f>
        <v/>
      </c>
      <c r="O107" s="99">
        <f>IFERROR(VLOOKUP(B107,'Pre-Summary'!$BO$6:$BQ$48,3, FALSE),O106)</f>
        <v>1.0915248032216731</v>
      </c>
      <c r="P107" s="99">
        <f>IFERROR(VLOOKUP(B107,'Pre-Summary'!$BS$6:$BU$35,3,FALSE),P106)</f>
        <v>0.25</v>
      </c>
      <c r="Q107" s="54">
        <f t="shared" si="3"/>
        <v>4.3660992128866924</v>
      </c>
      <c r="R107" s="53">
        <f>IFERROR(VLOOKUP(B107,'Pre-Summary'!$BG$6:$BM$44,7,FALSE),R108)</f>
        <v>2.7904161219319636E-2</v>
      </c>
      <c r="S107" s="53">
        <f>IFERROR(VLOOKUP(B107,'Pre-Summary'!$BG$6:$BM$44,6,FALSE),S108)</f>
        <v>3.3978715219895171E-2</v>
      </c>
      <c r="T107" s="45" t="str">
        <f>IFERROR(VLOOKUP(B107,'Pre-Summary'!$Y$6:$AC$83, 3,FALSE),"")</f>
        <v/>
      </c>
      <c r="U107" s="45" t="str">
        <f>IFERROR(VLOOKUP(B107,'Pre-Summary'!$Y$6:$AC$83, 4,FALSE),"")</f>
        <v/>
      </c>
      <c r="V107" t="str">
        <f>IFERROR(VLOOKUP(B107,'Pre-Summary'!$Y$6:$AC$83, 5,FALSE),"")</f>
        <v/>
      </c>
      <c r="W107" s="45" t="str">
        <f>IFERROR(VLOOKUP(B107,'Pre-Summary'!$Y$6:$AD$83,6,FALSE),"")</f>
        <v/>
      </c>
      <c r="X107" t="str">
        <f>IFERROR(VLOOKUP('Pre-Summary'!$DB$6:$DD$63,3,FALSE),"")</f>
        <v/>
      </c>
      <c r="Y107" t="str">
        <f>IFERROR(VLOOKUP(B107,'Pre-Summary'!$CR$6:$CT$36,3,FALSE),"")</f>
        <v/>
      </c>
      <c r="Z107" s="45" t="str">
        <f>IFERROR(VLOOKUP(B107,'Pre-Summary'!$BZ$6:$CB$63,2,FALSE),"")</f>
        <v/>
      </c>
      <c r="AA107" s="45" t="str">
        <f>IFERROR(VLOOKUP(B107,'Pre-Summary'!$CG$6:$CI$70,2,FALSE),"")</f>
        <v/>
      </c>
      <c r="AB107" s="99">
        <f>IFERROR(VLOOKUP(B107,'Pre-Summary'!$A$6:$P$178,9,FALSE),AB108)</f>
        <v>0.49660943396122104</v>
      </c>
      <c r="AC107" s="10">
        <f>IFERROR(VLOOKUP(Summary!B107,'Pre-Summary'!$A$6:$P$184,5, FALSE)/100,AC108)</f>
        <v>0.89163000000000014</v>
      </c>
      <c r="AD107" s="10">
        <f>IFERROR(VLOOKUP(Summary!B107,'Pre-Summary'!$A$6:$P$184,3, FALSE)/100,AD108)</f>
        <v>0</v>
      </c>
      <c r="AE107" s="10">
        <f>IFERROR(VLOOKUP(Summary!B107,'Pre-Summary'!$A$6:$P$184,7, FALSE)/100,AE108)</f>
        <v>0.10837000000000002</v>
      </c>
      <c r="AF107" s="99">
        <f t="shared" si="4"/>
        <v>0</v>
      </c>
      <c r="AG107" s="99">
        <f t="shared" si="5"/>
        <v>5.3817564358377534E-2</v>
      </c>
      <c r="AH107" s="10" t="str">
        <f>IFERROR(VLOOKUP(B107,'Pre-Summary'!$AZ$6:$BE$65,3,FALSE),"")</f>
        <v/>
      </c>
      <c r="AI107" s="10" t="str">
        <f>IFERROR(VLOOKUP(B107,'Pre-Summary'!$AZ$6:$BE$65,5,FALSE),"")</f>
        <v/>
      </c>
      <c r="AJ107" s="10" t="str">
        <f>IFERROR(VLOOKUP(B107,'Pre-Summary'!$AZ$6:$BE$65,4,FALSE),"")</f>
        <v/>
      </c>
      <c r="AK107" s="10" t="str">
        <f>IFERROR(VLOOKUP(B107,'Pre-Summary'!$AZ$6:$BE$65,6,FALSE),"")</f>
        <v/>
      </c>
      <c r="AL107" s="10" t="str">
        <f>IFERROR(VLOOKUP(B107,'Pre-Summary'!$BG$6:$BL$44,3,FALSE),"")</f>
        <v/>
      </c>
      <c r="AM107" s="10" t="str">
        <f>IFERROR(VLOOKUP(B107,'Pre-Summary'!$BG$6:$BL$44,4,FALSE),"")</f>
        <v/>
      </c>
    </row>
    <row r="108" spans="2:39" ht="14.4" x14ac:dyDescent="0.3">
      <c r="B108">
        <v>10.5</v>
      </c>
      <c r="C108" t="str">
        <f>IFERROR(VLOOKUP(B108,'Pre-Summary'!$DI$6:$DM$23,4,FALSE),"")</f>
        <v/>
      </c>
      <c r="D108" s="10" t="str">
        <f>IFERROR(VLOOKUP(B108,'Pre-Summary'!$AT$6:$AX$14,5,FALSE),D107)</f>
        <v>DSMZ v1: Using DSMZ 120 without NaHCO3</v>
      </c>
      <c r="E108" s="10" t="str">
        <f>IFERROR(VLOOKUP(B108,'Pre-Summary'!$AT$6:$AX$15,4,FALSE),"")</f>
        <v/>
      </c>
      <c r="F108">
        <f>IFERROR(VLOOKUP(B108,'Pre-Summary'!$AL$6:$AQ$13,6,FALSE),F107)</f>
        <v>5.9405263157894746E-2</v>
      </c>
      <c r="G108" t="str">
        <f>IFERROR(VLOOKUP(B108,'Pre-Summary'!$AE$6:$AJ$85,3,FALSE),"")</f>
        <v/>
      </c>
      <c r="H108" t="str">
        <f>IFERROR(VLOOKUP(B108,'Pre-Summary'!$AE$6:$AJ$85,4,FALSE),"")</f>
        <v/>
      </c>
      <c r="I108" t="str">
        <f>IFERROR(VLOOKUP(B108,'Pre-Summary'!$AE$6:$AJ$85,5,FALSE),"")</f>
        <v/>
      </c>
      <c r="J108" s="45" t="str">
        <f>IFERROR(VLOOKUP(B108,'Pre-Summary'!$AE$6:$AJ$85,6, FALSE),"")</f>
        <v/>
      </c>
      <c r="K108" s="45" t="str">
        <f>IFERROR(VLOOKUP(B108,'Pre-Summary'!$DE$6:$DG$61,3,FALSE),"")</f>
        <v/>
      </c>
      <c r="L108" s="45" t="str">
        <f>IFERROR(VLOOKUP(B108,'Pre-Summary'!$CU$6:$CW$36,3,FALSE),"")</f>
        <v/>
      </c>
      <c r="M108" s="45" t="str">
        <f>IFERROR(VLOOKUP(B108,'Pre-Summary'!$BW$6:$BY$58,2,FALSE),"")</f>
        <v/>
      </c>
      <c r="N108" s="45" t="str">
        <f>IFERROR(VLOOKUP(B108,'Pre-Summary'!$CD$6:$CF$64,2,FALSE),"")</f>
        <v/>
      </c>
      <c r="O108" s="99">
        <f>IFERROR(VLOOKUP(B108,'Pre-Summary'!$BO$6:$BQ$48,3, FALSE),O107)</f>
        <v>1.0915248032216731</v>
      </c>
      <c r="P108" s="99">
        <f>IFERROR(VLOOKUP(B108,'Pre-Summary'!$BS$6:$BU$35,3,FALSE),P107)</f>
        <v>0.25</v>
      </c>
      <c r="Q108" s="54">
        <f t="shared" si="3"/>
        <v>4.3660992128866924</v>
      </c>
      <c r="R108" s="53">
        <f>IFERROR(VLOOKUP(B108,'Pre-Summary'!$BG$6:$BM$44,7,FALSE),R109)</f>
        <v>2.7904161219319636E-2</v>
      </c>
      <c r="S108" s="53">
        <f>IFERROR(VLOOKUP(B108,'Pre-Summary'!$BG$6:$BM$44,6,FALSE),S109)</f>
        <v>3.3978715219895171E-2</v>
      </c>
      <c r="T108" s="45" t="str">
        <f>IFERROR(VLOOKUP(B108,'Pre-Summary'!$Y$6:$AC$83, 3,FALSE),"")</f>
        <v/>
      </c>
      <c r="U108" s="45" t="str">
        <f>IFERROR(VLOOKUP(B108,'Pre-Summary'!$Y$6:$AC$83, 4,FALSE),"")</f>
        <v/>
      </c>
      <c r="V108" t="str">
        <f>IFERROR(VLOOKUP(B108,'Pre-Summary'!$Y$6:$AC$83, 5,FALSE),"")</f>
        <v/>
      </c>
      <c r="W108" s="45" t="str">
        <f>IFERROR(VLOOKUP(B108,'Pre-Summary'!$Y$6:$AD$83,6,FALSE),"")</f>
        <v/>
      </c>
      <c r="X108" t="str">
        <f>IFERROR(VLOOKUP('Pre-Summary'!$DB$6:$DD$63,3,FALSE),"")</f>
        <v/>
      </c>
      <c r="Y108" t="str">
        <f>IFERROR(VLOOKUP(B108,'Pre-Summary'!$CR$6:$CT$36,3,FALSE),"")</f>
        <v/>
      </c>
      <c r="Z108" s="45" t="str">
        <f>IFERROR(VLOOKUP(B108,'Pre-Summary'!$BZ$6:$CB$63,2,FALSE),"")</f>
        <v/>
      </c>
      <c r="AA108" s="45" t="str">
        <f>IFERROR(VLOOKUP(B108,'Pre-Summary'!$CG$6:$CI$70,2,FALSE),"")</f>
        <v/>
      </c>
      <c r="AB108" s="99">
        <f>IFERROR(VLOOKUP(B108,'Pre-Summary'!$A$6:$P$178,9,FALSE),AB109)</f>
        <v>0.49660943396122104</v>
      </c>
      <c r="AC108" s="10">
        <f>IFERROR(VLOOKUP(Summary!B108,'Pre-Summary'!$A$6:$P$184,5, FALSE)/100,AC109)</f>
        <v>0.89163000000000014</v>
      </c>
      <c r="AD108" s="10">
        <f>IFERROR(VLOOKUP(Summary!B108,'Pre-Summary'!$A$6:$P$184,3, FALSE)/100,AD109)</f>
        <v>0</v>
      </c>
      <c r="AE108" s="10">
        <f>IFERROR(VLOOKUP(Summary!B108,'Pre-Summary'!$A$6:$P$184,7, FALSE)/100,AE109)</f>
        <v>0.10837000000000002</v>
      </c>
      <c r="AF108" s="99">
        <f t="shared" si="4"/>
        <v>0</v>
      </c>
      <c r="AG108" s="99">
        <f t="shared" si="5"/>
        <v>5.3817564358377534E-2</v>
      </c>
      <c r="AH108" s="10" t="str">
        <f>IFERROR(VLOOKUP(B108,'Pre-Summary'!$AZ$6:$BE$65,3,FALSE),"")</f>
        <v/>
      </c>
      <c r="AI108" s="10" t="str">
        <f>IFERROR(VLOOKUP(B108,'Pre-Summary'!$AZ$6:$BE$65,5,FALSE),"")</f>
        <v/>
      </c>
      <c r="AJ108" s="10" t="str">
        <f>IFERROR(VLOOKUP(B108,'Pre-Summary'!$AZ$6:$BE$65,4,FALSE),"")</f>
        <v/>
      </c>
      <c r="AK108" s="10" t="str">
        <f>IFERROR(VLOOKUP(B108,'Pre-Summary'!$AZ$6:$BE$65,6,FALSE),"")</f>
        <v/>
      </c>
      <c r="AL108" s="10" t="str">
        <f>IFERROR(VLOOKUP(B108,'Pre-Summary'!$BG$6:$BL$44,3,FALSE),"")</f>
        <v/>
      </c>
      <c r="AM108" s="10" t="str">
        <f>IFERROR(VLOOKUP(B108,'Pre-Summary'!$BG$6:$BL$44,4,FALSE),"")</f>
        <v/>
      </c>
    </row>
    <row r="109" spans="2:39" ht="14.4" x14ac:dyDescent="0.3">
      <c r="B109">
        <v>10.6</v>
      </c>
      <c r="C109" t="str">
        <f>IFERROR(VLOOKUP(B109,'Pre-Summary'!$DI$6:$DM$23,4,FALSE),"")</f>
        <v/>
      </c>
      <c r="D109" s="10" t="str">
        <f>IFERROR(VLOOKUP(B109,'Pre-Summary'!$AT$6:$AX$14,5,FALSE),D108)</f>
        <v>DSMZ v1: Using DSMZ 120 without NaHCO3</v>
      </c>
      <c r="E109" s="10" t="str">
        <f>IFERROR(VLOOKUP(B109,'Pre-Summary'!$AT$6:$AX$15,4,FALSE),"")</f>
        <v/>
      </c>
      <c r="F109">
        <f>IFERROR(VLOOKUP(B109,'Pre-Summary'!$AL$6:$AQ$13,6,FALSE),F108)</f>
        <v>5.9405263157894746E-2</v>
      </c>
      <c r="G109" t="str">
        <f>IFERROR(VLOOKUP(B109,'Pre-Summary'!$AE$6:$AJ$85,3,FALSE),"")</f>
        <v/>
      </c>
      <c r="H109" t="str">
        <f>IFERROR(VLOOKUP(B109,'Pre-Summary'!$AE$6:$AJ$85,4,FALSE),"")</f>
        <v/>
      </c>
      <c r="I109" t="str">
        <f>IFERROR(VLOOKUP(B109,'Pre-Summary'!$AE$6:$AJ$85,5,FALSE),"")</f>
        <v/>
      </c>
      <c r="J109" s="45" t="str">
        <f>IFERROR(VLOOKUP(B109,'Pre-Summary'!$AE$6:$AJ$85,6, FALSE),"")</f>
        <v/>
      </c>
      <c r="K109" s="45" t="str">
        <f>IFERROR(VLOOKUP(B109,'Pre-Summary'!$DE$6:$DG$61,3,FALSE),"")</f>
        <v/>
      </c>
      <c r="L109" s="45" t="str">
        <f>IFERROR(VLOOKUP(B109,'Pre-Summary'!$CU$6:$CW$36,3,FALSE),"")</f>
        <v/>
      </c>
      <c r="M109" s="45" t="str">
        <f>IFERROR(VLOOKUP(B109,'Pre-Summary'!$BW$6:$BY$58,2,FALSE),"")</f>
        <v/>
      </c>
      <c r="N109" s="45" t="str">
        <f>IFERROR(VLOOKUP(B109,'Pre-Summary'!$CD$6:$CF$64,2,FALSE),"")</f>
        <v/>
      </c>
      <c r="O109" s="99">
        <f>IFERROR(VLOOKUP(B109,'Pre-Summary'!$BO$6:$BQ$48,3, FALSE),O108)</f>
        <v>1.0915248032216731</v>
      </c>
      <c r="P109" s="99">
        <f>IFERROR(VLOOKUP(B109,'Pre-Summary'!$BS$6:$BU$35,3,FALSE),P108)</f>
        <v>0.25</v>
      </c>
      <c r="Q109" s="54">
        <f t="shared" si="3"/>
        <v>4.3660992128866924</v>
      </c>
      <c r="R109" s="53">
        <f>IFERROR(VLOOKUP(B109,'Pre-Summary'!$BG$6:$BM$44,7,FALSE),R110)</f>
        <v>2.7904161219319636E-2</v>
      </c>
      <c r="S109" s="53">
        <f>IFERROR(VLOOKUP(B109,'Pre-Summary'!$BG$6:$BM$44,6,FALSE),S110)</f>
        <v>3.3978715219895171E-2</v>
      </c>
      <c r="T109" s="45" t="str">
        <f>IFERROR(VLOOKUP(B109,'Pre-Summary'!$Y$6:$AC$83, 3,FALSE),"")</f>
        <v/>
      </c>
      <c r="U109" s="45" t="str">
        <f>IFERROR(VLOOKUP(B109,'Pre-Summary'!$Y$6:$AC$83, 4,FALSE),"")</f>
        <v/>
      </c>
      <c r="V109" t="str">
        <f>IFERROR(VLOOKUP(B109,'Pre-Summary'!$Y$6:$AC$83, 5,FALSE),"")</f>
        <v/>
      </c>
      <c r="W109" s="45" t="str">
        <f>IFERROR(VLOOKUP(B109,'Pre-Summary'!$Y$6:$AD$83,6,FALSE),"")</f>
        <v/>
      </c>
      <c r="X109" t="str">
        <f>IFERROR(VLOOKUP('Pre-Summary'!$DB$6:$DD$63,3,FALSE),"")</f>
        <v/>
      </c>
      <c r="Y109" t="str">
        <f>IFERROR(VLOOKUP(B109,'Pre-Summary'!$CR$6:$CT$36,3,FALSE),"")</f>
        <v/>
      </c>
      <c r="Z109" s="45" t="str">
        <f>IFERROR(VLOOKUP(B109,'Pre-Summary'!$BZ$6:$CB$63,2,FALSE),"")</f>
        <v/>
      </c>
      <c r="AA109" s="45" t="str">
        <f>IFERROR(VLOOKUP(B109,'Pre-Summary'!$CG$6:$CI$70,2,FALSE),"")</f>
        <v/>
      </c>
      <c r="AB109" s="99">
        <f>IFERROR(VLOOKUP(B109,'Pre-Summary'!$A$6:$P$178,9,FALSE),AB110)</f>
        <v>0.49660943396122104</v>
      </c>
      <c r="AC109" s="10">
        <f>IFERROR(VLOOKUP(Summary!B109,'Pre-Summary'!$A$6:$P$184,5, FALSE)/100,AC110)</f>
        <v>0.89163000000000014</v>
      </c>
      <c r="AD109" s="10">
        <f>IFERROR(VLOOKUP(Summary!B109,'Pre-Summary'!$A$6:$P$184,3, FALSE)/100,AD110)</f>
        <v>0</v>
      </c>
      <c r="AE109" s="10">
        <f>IFERROR(VLOOKUP(Summary!B109,'Pre-Summary'!$A$6:$P$184,7, FALSE)/100,AE110)</f>
        <v>0.10837000000000002</v>
      </c>
      <c r="AF109" s="99">
        <f t="shared" si="4"/>
        <v>0</v>
      </c>
      <c r="AG109" s="99">
        <f t="shared" si="5"/>
        <v>5.3817564358377534E-2</v>
      </c>
      <c r="AH109" s="10" t="str">
        <f>IFERROR(VLOOKUP(B109,'Pre-Summary'!$AZ$6:$BE$65,3,FALSE),"")</f>
        <v/>
      </c>
      <c r="AI109" s="10" t="str">
        <f>IFERROR(VLOOKUP(B109,'Pre-Summary'!$AZ$6:$BE$65,5,FALSE),"")</f>
        <v/>
      </c>
      <c r="AJ109" s="10" t="str">
        <f>IFERROR(VLOOKUP(B109,'Pre-Summary'!$AZ$6:$BE$65,4,FALSE),"")</f>
        <v/>
      </c>
      <c r="AK109" s="10" t="str">
        <f>IFERROR(VLOOKUP(B109,'Pre-Summary'!$AZ$6:$BE$65,6,FALSE),"")</f>
        <v/>
      </c>
      <c r="AL109" s="10" t="str">
        <f>IFERROR(VLOOKUP(B109,'Pre-Summary'!$BG$6:$BL$44,3,FALSE),"")</f>
        <v/>
      </c>
      <c r="AM109" s="10" t="str">
        <f>IFERROR(VLOOKUP(B109,'Pre-Summary'!$BG$6:$BL$44,4,FALSE),"")</f>
        <v/>
      </c>
    </row>
    <row r="110" spans="2:39" ht="14.4" x14ac:dyDescent="0.3">
      <c r="B110">
        <v>10.7</v>
      </c>
      <c r="C110" t="str">
        <f>IFERROR(VLOOKUP(B110,'Pre-Summary'!$DI$6:$DM$23,4,FALSE),"")</f>
        <v/>
      </c>
      <c r="D110" s="10" t="str">
        <f>IFERROR(VLOOKUP(B110,'Pre-Summary'!$AT$6:$AX$14,5,FALSE),D109)</f>
        <v>DSMZ v1: Using DSMZ 120 without NaHCO3</v>
      </c>
      <c r="E110" s="10" t="str">
        <f>IFERROR(VLOOKUP(B110,'Pre-Summary'!$AT$6:$AX$15,4,FALSE),"")</f>
        <v/>
      </c>
      <c r="F110">
        <f>IFERROR(VLOOKUP(B110,'Pre-Summary'!$AL$6:$AQ$13,6,FALSE),F109)</f>
        <v>5.9405263157894746E-2</v>
      </c>
      <c r="G110" t="str">
        <f>IFERROR(VLOOKUP(B110,'Pre-Summary'!$AE$6:$AJ$85,3,FALSE),"")</f>
        <v/>
      </c>
      <c r="H110" t="str">
        <f>IFERROR(VLOOKUP(B110,'Pre-Summary'!$AE$6:$AJ$85,4,FALSE),"")</f>
        <v/>
      </c>
      <c r="I110" t="str">
        <f>IFERROR(VLOOKUP(B110,'Pre-Summary'!$AE$6:$AJ$85,5,FALSE),"")</f>
        <v/>
      </c>
      <c r="J110" s="45" t="str">
        <f>IFERROR(VLOOKUP(B110,'Pre-Summary'!$AE$6:$AJ$85,6, FALSE),"")</f>
        <v/>
      </c>
      <c r="K110" s="45" t="str">
        <f>IFERROR(VLOOKUP(B110,'Pre-Summary'!$DE$6:$DG$61,3,FALSE),"")</f>
        <v/>
      </c>
      <c r="L110" s="45" t="str">
        <f>IFERROR(VLOOKUP(B110,'Pre-Summary'!$CU$6:$CW$36,3,FALSE),"")</f>
        <v/>
      </c>
      <c r="M110" s="45" t="str">
        <f>IFERROR(VLOOKUP(B110,'Pre-Summary'!$BW$6:$BY$58,2,FALSE),"")</f>
        <v/>
      </c>
      <c r="N110" s="45" t="str">
        <f>IFERROR(VLOOKUP(B110,'Pre-Summary'!$CD$6:$CF$64,2,FALSE),"")</f>
        <v/>
      </c>
      <c r="O110" s="99">
        <f>IFERROR(VLOOKUP(B110,'Pre-Summary'!$BO$6:$BQ$48,3, FALSE),O109)</f>
        <v>1.0915248032216731</v>
      </c>
      <c r="P110" s="99">
        <f>IFERROR(VLOOKUP(B110,'Pre-Summary'!$BS$6:$BU$35,3,FALSE),P109)</f>
        <v>0.25</v>
      </c>
      <c r="Q110" s="54">
        <f t="shared" si="3"/>
        <v>4.3660992128866924</v>
      </c>
      <c r="R110" s="53">
        <f>IFERROR(VLOOKUP(B110,'Pre-Summary'!$BG$6:$BM$44,7,FALSE),R111)</f>
        <v>2.7904161219319636E-2</v>
      </c>
      <c r="S110" s="53">
        <f>IFERROR(VLOOKUP(B110,'Pre-Summary'!$BG$6:$BM$44,6,FALSE),S111)</f>
        <v>3.3978715219895171E-2</v>
      </c>
      <c r="T110" s="45" t="str">
        <f>IFERROR(VLOOKUP(B110,'Pre-Summary'!$Y$6:$AC$83, 3,FALSE),"")</f>
        <v/>
      </c>
      <c r="U110" s="45" t="str">
        <f>IFERROR(VLOOKUP(B110,'Pre-Summary'!$Y$6:$AC$83, 4,FALSE),"")</f>
        <v/>
      </c>
      <c r="V110" t="str">
        <f>IFERROR(VLOOKUP(B110,'Pre-Summary'!$Y$6:$AC$83, 5,FALSE),"")</f>
        <v/>
      </c>
      <c r="W110" s="45" t="str">
        <f>IFERROR(VLOOKUP(B110,'Pre-Summary'!$Y$6:$AD$83,6,FALSE),"")</f>
        <v/>
      </c>
      <c r="X110" t="str">
        <f>IFERROR(VLOOKUP('Pre-Summary'!$DB$6:$DD$63,3,FALSE),"")</f>
        <v/>
      </c>
      <c r="Y110" t="str">
        <f>IFERROR(VLOOKUP(B110,'Pre-Summary'!$CR$6:$CT$36,3,FALSE),"")</f>
        <v/>
      </c>
      <c r="Z110" s="45" t="str">
        <f>IFERROR(VLOOKUP(B110,'Pre-Summary'!$BZ$6:$CB$63,2,FALSE),"")</f>
        <v/>
      </c>
      <c r="AA110" s="45" t="str">
        <f>IFERROR(VLOOKUP(B110,'Pre-Summary'!$CG$6:$CI$70,2,FALSE),"")</f>
        <v/>
      </c>
      <c r="AB110" s="99">
        <f>IFERROR(VLOOKUP(B110,'Pre-Summary'!$A$6:$P$178,9,FALSE),AB111)</f>
        <v>0.49660943396122104</v>
      </c>
      <c r="AC110" s="10">
        <f>IFERROR(VLOOKUP(Summary!B110,'Pre-Summary'!$A$6:$P$184,5, FALSE)/100,AC111)</f>
        <v>0.89163000000000014</v>
      </c>
      <c r="AD110" s="10">
        <f>IFERROR(VLOOKUP(Summary!B110,'Pre-Summary'!$A$6:$P$184,3, FALSE)/100,AD111)</f>
        <v>0</v>
      </c>
      <c r="AE110" s="10">
        <f>IFERROR(VLOOKUP(Summary!B110,'Pre-Summary'!$A$6:$P$184,7, FALSE)/100,AE111)</f>
        <v>0.10837000000000002</v>
      </c>
      <c r="AF110" s="99">
        <f t="shared" si="4"/>
        <v>0</v>
      </c>
      <c r="AG110" s="99">
        <f t="shared" si="5"/>
        <v>5.3817564358377534E-2</v>
      </c>
      <c r="AH110" s="10" t="str">
        <f>IFERROR(VLOOKUP(B110,'Pre-Summary'!$AZ$6:$BE$65,3,FALSE),"")</f>
        <v/>
      </c>
      <c r="AI110" s="10" t="str">
        <f>IFERROR(VLOOKUP(B110,'Pre-Summary'!$AZ$6:$BE$65,5,FALSE),"")</f>
        <v/>
      </c>
      <c r="AJ110" s="10" t="str">
        <f>IFERROR(VLOOKUP(B110,'Pre-Summary'!$AZ$6:$BE$65,4,FALSE),"")</f>
        <v/>
      </c>
      <c r="AK110" s="10" t="str">
        <f>IFERROR(VLOOKUP(B110,'Pre-Summary'!$AZ$6:$BE$65,6,FALSE),"")</f>
        <v/>
      </c>
      <c r="AL110" s="10" t="str">
        <f>IFERROR(VLOOKUP(B110,'Pre-Summary'!$BG$6:$BL$44,3,FALSE),"")</f>
        <v/>
      </c>
      <c r="AM110" s="10" t="str">
        <f>IFERROR(VLOOKUP(B110,'Pre-Summary'!$BG$6:$BL$44,4,FALSE),"")</f>
        <v/>
      </c>
    </row>
    <row r="111" spans="2:39" ht="14.4" x14ac:dyDescent="0.3">
      <c r="B111">
        <v>10.8</v>
      </c>
      <c r="C111" t="str">
        <f>IFERROR(VLOOKUP(B111,'Pre-Summary'!$DI$6:$DM$23,4,FALSE),"")</f>
        <v/>
      </c>
      <c r="D111" s="10" t="str">
        <f>IFERROR(VLOOKUP(B111,'Pre-Summary'!$AT$6:$AX$14,5,FALSE),D110)</f>
        <v>DSMZ v1: Using DSMZ 120 without NaHCO3</v>
      </c>
      <c r="E111" s="10" t="str">
        <f>IFERROR(VLOOKUP(B111,'Pre-Summary'!$AT$6:$AX$15,4,FALSE),"")</f>
        <v/>
      </c>
      <c r="F111">
        <f>IFERROR(VLOOKUP(B111,'Pre-Summary'!$AL$6:$AQ$13,6,FALSE),F110)</f>
        <v>5.9405263157894746E-2</v>
      </c>
      <c r="G111" t="str">
        <f>IFERROR(VLOOKUP(B111,'Pre-Summary'!$AE$6:$AJ$85,3,FALSE),"")</f>
        <v/>
      </c>
      <c r="H111" t="str">
        <f>IFERROR(VLOOKUP(B111,'Pre-Summary'!$AE$6:$AJ$85,4,FALSE),"")</f>
        <v/>
      </c>
      <c r="I111" t="str">
        <f>IFERROR(VLOOKUP(B111,'Pre-Summary'!$AE$6:$AJ$85,5,FALSE),"")</f>
        <v/>
      </c>
      <c r="J111" s="45" t="str">
        <f>IFERROR(VLOOKUP(B111,'Pre-Summary'!$AE$6:$AJ$85,6, FALSE),"")</f>
        <v/>
      </c>
      <c r="K111" s="45" t="str">
        <f>IFERROR(VLOOKUP(B111,'Pre-Summary'!$DE$6:$DG$61,3,FALSE),"")</f>
        <v/>
      </c>
      <c r="L111" s="45" t="str">
        <f>IFERROR(VLOOKUP(B111,'Pre-Summary'!$CU$6:$CW$36,3,FALSE),"")</f>
        <v/>
      </c>
      <c r="M111" s="45" t="str">
        <f>IFERROR(VLOOKUP(B111,'Pre-Summary'!$BW$6:$BY$58,2,FALSE),"")</f>
        <v/>
      </c>
      <c r="N111" s="45" t="str">
        <f>IFERROR(VLOOKUP(B111,'Pre-Summary'!$CD$6:$CF$64,2,FALSE),"")</f>
        <v/>
      </c>
      <c r="O111" s="99">
        <f>IFERROR(VLOOKUP(B111,'Pre-Summary'!$BO$6:$BQ$48,3, FALSE),O110)</f>
        <v>1.0915248032216731</v>
      </c>
      <c r="P111" s="99">
        <f>IFERROR(VLOOKUP(B111,'Pre-Summary'!$BS$6:$BU$35,3,FALSE),P110)</f>
        <v>0.25</v>
      </c>
      <c r="Q111" s="54">
        <f t="shared" si="3"/>
        <v>4.3660992128866924</v>
      </c>
      <c r="R111" s="53">
        <f>IFERROR(VLOOKUP(B111,'Pre-Summary'!$BG$6:$BM$44,7,FALSE),R112)</f>
        <v>2.7904161219319636E-2</v>
      </c>
      <c r="S111" s="53">
        <f>IFERROR(VLOOKUP(B111,'Pre-Summary'!$BG$6:$BM$44,6,FALSE),S112)</f>
        <v>3.3978715219895171E-2</v>
      </c>
      <c r="T111" s="45" t="str">
        <f>IFERROR(VLOOKUP(B111,'Pre-Summary'!$Y$6:$AC$83, 3,FALSE),"")</f>
        <v/>
      </c>
      <c r="U111" s="45" t="str">
        <f>IFERROR(VLOOKUP(B111,'Pre-Summary'!$Y$6:$AC$83, 4,FALSE),"")</f>
        <v/>
      </c>
      <c r="V111" t="str">
        <f>IFERROR(VLOOKUP(B111,'Pre-Summary'!$Y$6:$AC$83, 5,FALSE),"")</f>
        <v/>
      </c>
      <c r="W111" s="45" t="str">
        <f>IFERROR(VLOOKUP(B111,'Pre-Summary'!$Y$6:$AD$83,6,FALSE),"")</f>
        <v/>
      </c>
      <c r="X111" t="str">
        <f>IFERROR(VLOOKUP('Pre-Summary'!$DB$6:$DD$63,3,FALSE),"")</f>
        <v/>
      </c>
      <c r="Y111" t="str">
        <f>IFERROR(VLOOKUP(B111,'Pre-Summary'!$CR$6:$CT$36,3,FALSE),"")</f>
        <v/>
      </c>
      <c r="Z111" s="45" t="str">
        <f>IFERROR(VLOOKUP(B111,'Pre-Summary'!$BZ$6:$CB$63,2,FALSE),"")</f>
        <v/>
      </c>
      <c r="AA111" s="45" t="str">
        <f>IFERROR(VLOOKUP(B111,'Pre-Summary'!$CG$6:$CI$70,2,FALSE),"")</f>
        <v/>
      </c>
      <c r="AB111" s="99">
        <f>IFERROR(VLOOKUP(B111,'Pre-Summary'!$A$6:$P$178,9,FALSE),AB112)</f>
        <v>0.49660943396122104</v>
      </c>
      <c r="AC111" s="10">
        <f>IFERROR(VLOOKUP(Summary!B111,'Pre-Summary'!$A$6:$P$184,5, FALSE)/100,AC112)</f>
        <v>0.89163000000000014</v>
      </c>
      <c r="AD111" s="10">
        <f>IFERROR(VLOOKUP(Summary!B111,'Pre-Summary'!$A$6:$P$184,3, FALSE)/100,AD112)</f>
        <v>0</v>
      </c>
      <c r="AE111" s="10">
        <f>IFERROR(VLOOKUP(Summary!B111,'Pre-Summary'!$A$6:$P$184,7, FALSE)/100,AE112)</f>
        <v>0.10837000000000002</v>
      </c>
      <c r="AF111" s="99">
        <f t="shared" si="4"/>
        <v>0</v>
      </c>
      <c r="AG111" s="99">
        <f t="shared" si="5"/>
        <v>5.3817564358377534E-2</v>
      </c>
      <c r="AH111" s="10" t="str">
        <f>IFERROR(VLOOKUP(B111,'Pre-Summary'!$AZ$6:$BE$65,3,FALSE),"")</f>
        <v/>
      </c>
      <c r="AI111" s="10" t="str">
        <f>IFERROR(VLOOKUP(B111,'Pre-Summary'!$AZ$6:$BE$65,5,FALSE),"")</f>
        <v/>
      </c>
      <c r="AJ111" s="10" t="str">
        <f>IFERROR(VLOOKUP(B111,'Pre-Summary'!$AZ$6:$BE$65,4,FALSE),"")</f>
        <v/>
      </c>
      <c r="AK111" s="10" t="str">
        <f>IFERROR(VLOOKUP(B111,'Pre-Summary'!$AZ$6:$BE$65,6,FALSE),"")</f>
        <v/>
      </c>
      <c r="AL111" s="10" t="str">
        <f>IFERROR(VLOOKUP(B111,'Pre-Summary'!$BG$6:$BL$44,3,FALSE),"")</f>
        <v/>
      </c>
      <c r="AM111" s="10" t="str">
        <f>IFERROR(VLOOKUP(B111,'Pre-Summary'!$BG$6:$BL$44,4,FALSE),"")</f>
        <v/>
      </c>
    </row>
    <row r="112" spans="2:39" ht="14.4" x14ac:dyDescent="0.3">
      <c r="B112">
        <v>10.9</v>
      </c>
      <c r="C112" t="str">
        <f>IFERROR(VLOOKUP(B112,'Pre-Summary'!$DI$6:$DM$23,4,FALSE),"")</f>
        <v/>
      </c>
      <c r="D112" s="10" t="str">
        <f>IFERROR(VLOOKUP(B112,'Pre-Summary'!$AT$6:$AX$14,5,FALSE),D111)</f>
        <v>DSMZ v1: Using DSMZ 120 without NaHCO3</v>
      </c>
      <c r="E112" s="10" t="str">
        <f>IFERROR(VLOOKUP(B112,'Pre-Summary'!$AT$6:$AX$15,4,FALSE),"")</f>
        <v/>
      </c>
      <c r="F112">
        <f>IFERROR(VLOOKUP(B112,'Pre-Summary'!$AL$6:$AQ$13,6,FALSE),F111)</f>
        <v>5.9405263157894746E-2</v>
      </c>
      <c r="G112" t="str">
        <f>IFERROR(VLOOKUP(B112,'Pre-Summary'!$AE$6:$AJ$85,3,FALSE),"")</f>
        <v/>
      </c>
      <c r="H112" t="str">
        <f>IFERROR(VLOOKUP(B112,'Pre-Summary'!$AE$6:$AJ$85,4,FALSE),"")</f>
        <v/>
      </c>
      <c r="I112" t="str">
        <f>IFERROR(VLOOKUP(B112,'Pre-Summary'!$AE$6:$AJ$85,5,FALSE),"")</f>
        <v/>
      </c>
      <c r="J112" s="45" t="str">
        <f>IFERROR(VLOOKUP(B112,'Pre-Summary'!$AE$6:$AJ$85,6, FALSE),"")</f>
        <v/>
      </c>
      <c r="K112" s="45" t="str">
        <f>IFERROR(VLOOKUP(B112,'Pre-Summary'!$DE$6:$DG$61,3,FALSE),"")</f>
        <v/>
      </c>
      <c r="L112" s="45" t="str">
        <f>IFERROR(VLOOKUP(B112,'Pre-Summary'!$CU$6:$CW$36,3,FALSE),"")</f>
        <v/>
      </c>
      <c r="M112" s="45" t="str">
        <f>IFERROR(VLOOKUP(B112,'Pre-Summary'!$BW$6:$BY$58,2,FALSE),"")</f>
        <v/>
      </c>
      <c r="N112" s="45" t="str">
        <f>IFERROR(VLOOKUP(B112,'Pre-Summary'!$CD$6:$CF$64,2,FALSE),"")</f>
        <v/>
      </c>
      <c r="O112" s="99">
        <f>IFERROR(VLOOKUP(B112,'Pre-Summary'!$BO$6:$BQ$48,3, FALSE),O111)</f>
        <v>1.0915248032216731</v>
      </c>
      <c r="P112" s="99">
        <f>IFERROR(VLOOKUP(B112,'Pre-Summary'!$BS$6:$BU$35,3,FALSE),P111)</f>
        <v>0.25</v>
      </c>
      <c r="Q112" s="54">
        <f t="shared" si="3"/>
        <v>4.3660992128866924</v>
      </c>
      <c r="R112" s="53">
        <f>IFERROR(VLOOKUP(B112,'Pre-Summary'!$BG$6:$BM$44,7,FALSE),R113)</f>
        <v>2.7904161219319636E-2</v>
      </c>
      <c r="S112" s="53">
        <f>IFERROR(VLOOKUP(B112,'Pre-Summary'!$BG$6:$BM$44,6,FALSE),S113)</f>
        <v>3.3978715219895171E-2</v>
      </c>
      <c r="T112" s="45" t="str">
        <f>IFERROR(VLOOKUP(B112,'Pre-Summary'!$Y$6:$AC$83, 3,FALSE),"")</f>
        <v/>
      </c>
      <c r="U112" s="45" t="str">
        <f>IFERROR(VLOOKUP(B112,'Pre-Summary'!$Y$6:$AC$83, 4,FALSE),"")</f>
        <v/>
      </c>
      <c r="V112" t="str">
        <f>IFERROR(VLOOKUP(B112,'Pre-Summary'!$Y$6:$AC$83, 5,FALSE),"")</f>
        <v/>
      </c>
      <c r="W112" s="45" t="str">
        <f>IFERROR(VLOOKUP(B112,'Pre-Summary'!$Y$6:$AD$83,6,FALSE),"")</f>
        <v/>
      </c>
      <c r="X112" t="str">
        <f>IFERROR(VLOOKUP('Pre-Summary'!$DB$6:$DD$63,3,FALSE),"")</f>
        <v/>
      </c>
      <c r="Y112" t="str">
        <f>IFERROR(VLOOKUP(B112,'Pre-Summary'!$CR$6:$CT$36,3,FALSE),"")</f>
        <v/>
      </c>
      <c r="Z112" s="45" t="str">
        <f>IFERROR(VLOOKUP(B112,'Pre-Summary'!$BZ$6:$CB$63,2,FALSE),"")</f>
        <v/>
      </c>
      <c r="AA112" s="45" t="str">
        <f>IFERROR(VLOOKUP(B112,'Pre-Summary'!$CG$6:$CI$70,2,FALSE),"")</f>
        <v/>
      </c>
      <c r="AB112" s="99">
        <f>IFERROR(VLOOKUP(B112,'Pre-Summary'!$A$6:$P$178,9,FALSE),AB113)</f>
        <v>0.49660943396122104</v>
      </c>
      <c r="AC112" s="10">
        <f>IFERROR(VLOOKUP(Summary!B112,'Pre-Summary'!$A$6:$P$184,5, FALSE)/100,AC113)</f>
        <v>0.89163000000000014</v>
      </c>
      <c r="AD112" s="10">
        <f>IFERROR(VLOOKUP(Summary!B112,'Pre-Summary'!$A$6:$P$184,3, FALSE)/100,AD113)</f>
        <v>0</v>
      </c>
      <c r="AE112" s="10">
        <f>IFERROR(VLOOKUP(Summary!B112,'Pre-Summary'!$A$6:$P$184,7, FALSE)/100,AE113)</f>
        <v>0.10837000000000002</v>
      </c>
      <c r="AF112" s="99">
        <f t="shared" si="4"/>
        <v>0</v>
      </c>
      <c r="AG112" s="99">
        <f t="shared" si="5"/>
        <v>5.3817564358377534E-2</v>
      </c>
      <c r="AH112" s="10" t="str">
        <f>IFERROR(VLOOKUP(B112,'Pre-Summary'!$AZ$6:$BE$65,3,FALSE),"")</f>
        <v/>
      </c>
      <c r="AI112" s="10" t="str">
        <f>IFERROR(VLOOKUP(B112,'Pre-Summary'!$AZ$6:$BE$65,5,FALSE),"")</f>
        <v/>
      </c>
      <c r="AJ112" s="10" t="str">
        <f>IFERROR(VLOOKUP(B112,'Pre-Summary'!$AZ$6:$BE$65,4,FALSE),"")</f>
        <v/>
      </c>
      <c r="AK112" s="10" t="str">
        <f>IFERROR(VLOOKUP(B112,'Pre-Summary'!$AZ$6:$BE$65,6,FALSE),"")</f>
        <v/>
      </c>
      <c r="AL112" s="10" t="str">
        <f>IFERROR(VLOOKUP(B112,'Pre-Summary'!$BG$6:$BL$44,3,FALSE),"")</f>
        <v/>
      </c>
      <c r="AM112" s="10" t="str">
        <f>IFERROR(VLOOKUP(B112,'Pre-Summary'!$BG$6:$BL$44,4,FALSE),"")</f>
        <v/>
      </c>
    </row>
    <row r="113" spans="2:39" ht="14.4" x14ac:dyDescent="0.3">
      <c r="B113">
        <v>11</v>
      </c>
      <c r="C113" t="str">
        <f>IFERROR(VLOOKUP(B113,'Pre-Summary'!$DI$6:$DM$23,4,FALSE),"")</f>
        <v/>
      </c>
      <c r="D113" s="10" t="str">
        <f>IFERROR(VLOOKUP(B113,'Pre-Summary'!$AT$6:$AX$14,5,FALSE),D112)</f>
        <v>DSMZ v1: Using DSMZ 120 without NaHCO3</v>
      </c>
      <c r="E113" s="10" t="str">
        <f>IFERROR(VLOOKUP(B113,'Pre-Summary'!$AT$6:$AX$15,4,FALSE),"")</f>
        <v/>
      </c>
      <c r="F113">
        <f>IFERROR(VLOOKUP(B113,'Pre-Summary'!$AL$6:$AQ$13,6,FALSE),F112)</f>
        <v>5.9405263157894746E-2</v>
      </c>
      <c r="G113" t="str">
        <f>IFERROR(VLOOKUP(B113,'Pre-Summary'!$AE$6:$AJ$85,3,FALSE),"")</f>
        <v/>
      </c>
      <c r="H113" t="str">
        <f>IFERROR(VLOOKUP(B113,'Pre-Summary'!$AE$6:$AJ$85,4,FALSE),"")</f>
        <v/>
      </c>
      <c r="I113" t="str">
        <f>IFERROR(VLOOKUP(B113,'Pre-Summary'!$AE$6:$AJ$85,5,FALSE),"")</f>
        <v/>
      </c>
      <c r="J113" s="45" t="str">
        <f>IFERROR(VLOOKUP(B113,'Pre-Summary'!$AE$6:$AJ$85,6, FALSE),"")</f>
        <v/>
      </c>
      <c r="K113" s="45" t="str">
        <f>IFERROR(VLOOKUP(B113,'Pre-Summary'!$DE$6:$DG$61,3,FALSE),"")</f>
        <v/>
      </c>
      <c r="L113" s="45" t="str">
        <f>IFERROR(VLOOKUP(B113,'Pre-Summary'!$CU$6:$CW$36,3,FALSE),"")</f>
        <v/>
      </c>
      <c r="M113" s="45" t="str">
        <f>IFERROR(VLOOKUP(B113,'Pre-Summary'!$BW$6:$BY$58,2,FALSE),"")</f>
        <v/>
      </c>
      <c r="N113" s="45" t="str">
        <f>IFERROR(VLOOKUP(B113,'Pre-Summary'!$CD$6:$CF$64,2,FALSE),"")</f>
        <v/>
      </c>
      <c r="O113" s="99">
        <f>IFERROR(VLOOKUP(B113,'Pre-Summary'!$BO$6:$BQ$48,3, FALSE),O112)</f>
        <v>1.0915248032216731</v>
      </c>
      <c r="P113" s="99">
        <f>IFERROR(VLOOKUP(B113,'Pre-Summary'!$BS$6:$BU$35,3,FALSE),P112)</f>
        <v>0.25</v>
      </c>
      <c r="Q113" s="54">
        <f t="shared" si="3"/>
        <v>4.3660992128866924</v>
      </c>
      <c r="R113" s="53">
        <f>IFERROR(VLOOKUP(B113,'Pre-Summary'!$BG$6:$BM$44,7,FALSE),R114)</f>
        <v>2.7904161219319636E-2</v>
      </c>
      <c r="S113" s="53">
        <f>IFERROR(VLOOKUP(B113,'Pre-Summary'!$BG$6:$BM$44,6,FALSE),S114)</f>
        <v>3.3978715219895171E-2</v>
      </c>
      <c r="T113" s="45" t="str">
        <f>IFERROR(VLOOKUP(B113,'Pre-Summary'!$Y$6:$AC$83, 3,FALSE),"")</f>
        <v/>
      </c>
      <c r="U113" s="45" t="str">
        <f>IFERROR(VLOOKUP(B113,'Pre-Summary'!$Y$6:$AC$83, 4,FALSE),"")</f>
        <v/>
      </c>
      <c r="V113" t="str">
        <f>IFERROR(VLOOKUP(B113,'Pre-Summary'!$Y$6:$AC$83, 5,FALSE),"")</f>
        <v/>
      </c>
      <c r="W113" s="45" t="str">
        <f>IFERROR(VLOOKUP(B113,'Pre-Summary'!$Y$6:$AD$83,6,FALSE),"")</f>
        <v/>
      </c>
      <c r="X113" t="str">
        <f>IFERROR(VLOOKUP('Pre-Summary'!$DB$6:$DD$63,3,FALSE),"")</f>
        <v/>
      </c>
      <c r="Y113" t="str">
        <f>IFERROR(VLOOKUP(B113,'Pre-Summary'!$CR$6:$CT$36,3,FALSE),"")</f>
        <v/>
      </c>
      <c r="Z113" s="45" t="str">
        <f>IFERROR(VLOOKUP(B113,'Pre-Summary'!$BZ$6:$CB$63,2,FALSE),"")</f>
        <v/>
      </c>
      <c r="AA113" s="45" t="str">
        <f>IFERROR(VLOOKUP(B113,'Pre-Summary'!$CG$6:$CI$70,2,FALSE),"")</f>
        <v/>
      </c>
      <c r="AB113" s="99">
        <f>IFERROR(VLOOKUP(B113,'Pre-Summary'!$A$6:$P$178,9,FALSE),AB114)</f>
        <v>0.49660943396122104</v>
      </c>
      <c r="AC113" s="10">
        <f>IFERROR(VLOOKUP(Summary!B113,'Pre-Summary'!$A$6:$P$184,5, FALSE)/100,AC114)</f>
        <v>0.89163000000000014</v>
      </c>
      <c r="AD113" s="10">
        <f>IFERROR(VLOOKUP(Summary!B113,'Pre-Summary'!$A$6:$P$184,3, FALSE)/100,AD114)</f>
        <v>0</v>
      </c>
      <c r="AE113" s="10">
        <f>IFERROR(VLOOKUP(Summary!B113,'Pre-Summary'!$A$6:$P$184,7, FALSE)/100,AE114)</f>
        <v>0.10837000000000002</v>
      </c>
      <c r="AF113" s="99">
        <f t="shared" si="4"/>
        <v>0</v>
      </c>
      <c r="AG113" s="99">
        <f t="shared" si="5"/>
        <v>5.3817564358377534E-2</v>
      </c>
      <c r="AH113" s="10" t="str">
        <f>IFERROR(VLOOKUP(B113,'Pre-Summary'!$AZ$6:$BE$65,3,FALSE),"")</f>
        <v/>
      </c>
      <c r="AI113" s="10" t="str">
        <f>IFERROR(VLOOKUP(B113,'Pre-Summary'!$AZ$6:$BE$65,5,FALSE),"")</f>
        <v/>
      </c>
      <c r="AJ113" s="10" t="str">
        <f>IFERROR(VLOOKUP(B113,'Pre-Summary'!$AZ$6:$BE$65,4,FALSE),"")</f>
        <v/>
      </c>
      <c r="AK113" s="10" t="str">
        <f>IFERROR(VLOOKUP(B113,'Pre-Summary'!$AZ$6:$BE$65,6,FALSE),"")</f>
        <v/>
      </c>
      <c r="AL113" s="10" t="str">
        <f>IFERROR(VLOOKUP(B113,'Pre-Summary'!$BG$6:$BL$44,3,FALSE),"")</f>
        <v/>
      </c>
      <c r="AM113" s="10" t="str">
        <f>IFERROR(VLOOKUP(B113,'Pre-Summary'!$BG$6:$BL$44,4,FALSE),"")</f>
        <v/>
      </c>
    </row>
    <row r="114" spans="2:39" ht="14.4" x14ac:dyDescent="0.3">
      <c r="B114">
        <v>11.1</v>
      </c>
      <c r="C114" t="str">
        <f>IFERROR(VLOOKUP(B114,'Pre-Summary'!$DI$6:$DM$23,4,FALSE),"")</f>
        <v/>
      </c>
      <c r="D114" s="10" t="str">
        <f>IFERROR(VLOOKUP(B114,'Pre-Summary'!$AT$6:$AX$14,5,FALSE),D113)</f>
        <v>DSMZ v1: Using DSMZ 120 without NaHCO3</v>
      </c>
      <c r="E114" s="10" t="str">
        <f>IFERROR(VLOOKUP(B114,'Pre-Summary'!$AT$6:$AX$15,4,FALSE),"")</f>
        <v/>
      </c>
      <c r="F114">
        <f>IFERROR(VLOOKUP(B114,'Pre-Summary'!$AL$6:$AQ$13,6,FALSE),F113)</f>
        <v>5.9405263157894746E-2</v>
      </c>
      <c r="G114" t="str">
        <f>IFERROR(VLOOKUP(B114,'Pre-Summary'!$AE$6:$AJ$85,3,FALSE),"")</f>
        <v/>
      </c>
      <c r="H114" t="str">
        <f>IFERROR(VLOOKUP(B114,'Pre-Summary'!$AE$6:$AJ$85,4,FALSE),"")</f>
        <v/>
      </c>
      <c r="I114" t="str">
        <f>IFERROR(VLOOKUP(B114,'Pre-Summary'!$AE$6:$AJ$85,5,FALSE),"")</f>
        <v/>
      </c>
      <c r="J114" s="45" t="str">
        <f>IFERROR(VLOOKUP(B114,'Pre-Summary'!$AE$6:$AJ$85,6, FALSE),"")</f>
        <v/>
      </c>
      <c r="K114" s="45" t="str">
        <f>IFERROR(VLOOKUP(B114,'Pre-Summary'!$DE$6:$DG$61,3,FALSE),"")</f>
        <v/>
      </c>
      <c r="L114" s="45" t="str">
        <f>IFERROR(VLOOKUP(B114,'Pre-Summary'!$CU$6:$CW$36,3,FALSE),"")</f>
        <v/>
      </c>
      <c r="M114" s="45" t="str">
        <f>IFERROR(VLOOKUP(B114,'Pre-Summary'!$BW$6:$BY$58,2,FALSE),"")</f>
        <v/>
      </c>
      <c r="N114" s="45" t="str">
        <f>IFERROR(VLOOKUP(B114,'Pre-Summary'!$CD$6:$CF$64,2,FALSE),"")</f>
        <v/>
      </c>
      <c r="O114" s="99">
        <f>IFERROR(VLOOKUP(B114,'Pre-Summary'!$BO$6:$BQ$48,3, FALSE),O113)</f>
        <v>1.0915248032216731</v>
      </c>
      <c r="P114" s="99">
        <f>IFERROR(VLOOKUP(B114,'Pre-Summary'!$BS$6:$BU$35,3,FALSE),P113)</f>
        <v>0.25</v>
      </c>
      <c r="Q114" s="54">
        <f t="shared" si="3"/>
        <v>4.3660992128866924</v>
      </c>
      <c r="R114" s="53">
        <f>IFERROR(VLOOKUP(B114,'Pre-Summary'!$BG$6:$BM$44,7,FALSE),R115)</f>
        <v>2.7904161219319636E-2</v>
      </c>
      <c r="S114" s="53">
        <f>IFERROR(VLOOKUP(B114,'Pre-Summary'!$BG$6:$BM$44,6,FALSE),S115)</f>
        <v>3.3978715219895171E-2</v>
      </c>
      <c r="T114" s="45" t="str">
        <f>IFERROR(VLOOKUP(B114,'Pre-Summary'!$Y$6:$AC$83, 3,FALSE),"")</f>
        <v/>
      </c>
      <c r="U114" s="45" t="str">
        <f>IFERROR(VLOOKUP(B114,'Pre-Summary'!$Y$6:$AC$83, 4,FALSE),"")</f>
        <v/>
      </c>
      <c r="V114" t="str">
        <f>IFERROR(VLOOKUP(B114,'Pre-Summary'!$Y$6:$AC$83, 5,FALSE),"")</f>
        <v/>
      </c>
      <c r="W114" s="45" t="str">
        <f>IFERROR(VLOOKUP(B114,'Pre-Summary'!$Y$6:$AD$83,6,FALSE),"")</f>
        <v/>
      </c>
      <c r="X114" t="str">
        <f>IFERROR(VLOOKUP('Pre-Summary'!$DB$6:$DD$63,3,FALSE),"")</f>
        <v/>
      </c>
      <c r="Y114" t="str">
        <f>IFERROR(VLOOKUP(B114,'Pre-Summary'!$CR$6:$CT$36,3,FALSE),"")</f>
        <v/>
      </c>
      <c r="Z114" s="45" t="str">
        <f>IFERROR(VLOOKUP(B114,'Pre-Summary'!$BZ$6:$CB$63,2,FALSE),"")</f>
        <v/>
      </c>
      <c r="AA114" s="45" t="str">
        <f>IFERROR(VLOOKUP(B114,'Pre-Summary'!$CG$6:$CI$70,2,FALSE),"")</f>
        <v/>
      </c>
      <c r="AB114" s="99">
        <f>IFERROR(VLOOKUP(B114,'Pre-Summary'!$A$6:$P$178,9,FALSE),AB115)</f>
        <v>0.49660943396122104</v>
      </c>
      <c r="AC114" s="10">
        <f>IFERROR(VLOOKUP(Summary!B114,'Pre-Summary'!$A$6:$P$184,5, FALSE)/100,AC115)</f>
        <v>0.89163000000000014</v>
      </c>
      <c r="AD114" s="10">
        <f>IFERROR(VLOOKUP(Summary!B114,'Pre-Summary'!$A$6:$P$184,3, FALSE)/100,AD115)</f>
        <v>0</v>
      </c>
      <c r="AE114" s="10">
        <f>IFERROR(VLOOKUP(Summary!B114,'Pre-Summary'!$A$6:$P$184,7, FALSE)/100,AE115)</f>
        <v>0.10837000000000002</v>
      </c>
      <c r="AF114" s="99">
        <f t="shared" si="4"/>
        <v>0</v>
      </c>
      <c r="AG114" s="99">
        <f t="shared" si="5"/>
        <v>5.3817564358377534E-2</v>
      </c>
      <c r="AH114" s="10" t="str">
        <f>IFERROR(VLOOKUP(B114,'Pre-Summary'!$AZ$6:$BE$65,3,FALSE),"")</f>
        <v/>
      </c>
      <c r="AI114" s="10" t="str">
        <f>IFERROR(VLOOKUP(B114,'Pre-Summary'!$AZ$6:$BE$65,5,FALSE),"")</f>
        <v/>
      </c>
      <c r="AJ114" s="10" t="str">
        <f>IFERROR(VLOOKUP(B114,'Pre-Summary'!$AZ$6:$BE$65,4,FALSE),"")</f>
        <v/>
      </c>
      <c r="AK114" s="10" t="str">
        <f>IFERROR(VLOOKUP(B114,'Pre-Summary'!$AZ$6:$BE$65,6,FALSE),"")</f>
        <v/>
      </c>
      <c r="AL114" s="10" t="str">
        <f>IFERROR(VLOOKUP(B114,'Pre-Summary'!$BG$6:$BL$44,3,FALSE),"")</f>
        <v/>
      </c>
      <c r="AM114" s="10" t="str">
        <f>IFERROR(VLOOKUP(B114,'Pre-Summary'!$BG$6:$BL$44,4,FALSE),"")</f>
        <v/>
      </c>
    </row>
    <row r="115" spans="2:39" ht="14.4" x14ac:dyDescent="0.3">
      <c r="B115">
        <v>11.2</v>
      </c>
      <c r="C115" t="str">
        <f>IFERROR(VLOOKUP(B115,'Pre-Summary'!$DI$6:$DM$23,4,FALSE),"")</f>
        <v/>
      </c>
      <c r="D115" s="10" t="str">
        <f>IFERROR(VLOOKUP(B115,'Pre-Summary'!$AT$6:$AX$14,5,FALSE),D114)</f>
        <v>DSMZ v1: Using DSMZ 120 without NaHCO3</v>
      </c>
      <c r="E115" s="10" t="str">
        <f>IFERROR(VLOOKUP(B115,'Pre-Summary'!$AT$6:$AX$15,4,FALSE),"")</f>
        <v/>
      </c>
      <c r="F115">
        <f>IFERROR(VLOOKUP(B115,'Pre-Summary'!$AL$6:$AQ$13,6,FALSE),F114)</f>
        <v>5.9405263157894746E-2</v>
      </c>
      <c r="G115" t="str">
        <f>IFERROR(VLOOKUP(B115,'Pre-Summary'!$AE$6:$AJ$85,3,FALSE),"")</f>
        <v/>
      </c>
      <c r="H115" t="str">
        <f>IFERROR(VLOOKUP(B115,'Pre-Summary'!$AE$6:$AJ$85,4,FALSE),"")</f>
        <v/>
      </c>
      <c r="I115" t="str">
        <f>IFERROR(VLOOKUP(B115,'Pre-Summary'!$AE$6:$AJ$85,5,FALSE),"")</f>
        <v/>
      </c>
      <c r="J115" s="45" t="str">
        <f>IFERROR(VLOOKUP(B115,'Pre-Summary'!$AE$6:$AJ$85,6, FALSE),"")</f>
        <v/>
      </c>
      <c r="K115" s="45" t="str">
        <f>IFERROR(VLOOKUP(B115,'Pre-Summary'!$DE$6:$DG$61,3,FALSE),"")</f>
        <v/>
      </c>
      <c r="L115" s="45" t="str">
        <f>IFERROR(VLOOKUP(B115,'Pre-Summary'!$CU$6:$CW$36,3,FALSE),"")</f>
        <v/>
      </c>
      <c r="M115" s="45" t="str">
        <f>IFERROR(VLOOKUP(B115,'Pre-Summary'!$BW$6:$BY$58,2,FALSE),"")</f>
        <v/>
      </c>
      <c r="N115" s="45" t="str">
        <f>IFERROR(VLOOKUP(B115,'Pre-Summary'!$CD$6:$CF$64,2,FALSE),"")</f>
        <v/>
      </c>
      <c r="O115" s="99">
        <f>IFERROR(VLOOKUP(B115,'Pre-Summary'!$BO$6:$BQ$48,3, FALSE),O114)</f>
        <v>1.0915248032216731</v>
      </c>
      <c r="P115" s="99">
        <f>IFERROR(VLOOKUP(B115,'Pre-Summary'!$BS$6:$BU$35,3,FALSE),P114)</f>
        <v>0.25</v>
      </c>
      <c r="Q115" s="54">
        <f t="shared" si="3"/>
        <v>4.3660992128866924</v>
      </c>
      <c r="R115" s="53">
        <f>IFERROR(VLOOKUP(B115,'Pre-Summary'!$BG$6:$BM$44,7,FALSE),R116)</f>
        <v>2.7904161219319636E-2</v>
      </c>
      <c r="S115" s="53">
        <f>IFERROR(VLOOKUP(B115,'Pre-Summary'!$BG$6:$BM$44,6,FALSE),S116)</f>
        <v>3.3978715219895171E-2</v>
      </c>
      <c r="T115" s="45" t="str">
        <f>IFERROR(VLOOKUP(B115,'Pre-Summary'!$Y$6:$AC$83, 3,FALSE),"")</f>
        <v/>
      </c>
      <c r="U115" s="45" t="str">
        <f>IFERROR(VLOOKUP(B115,'Pre-Summary'!$Y$6:$AC$83, 4,FALSE),"")</f>
        <v/>
      </c>
      <c r="V115" t="str">
        <f>IFERROR(VLOOKUP(B115,'Pre-Summary'!$Y$6:$AC$83, 5,FALSE),"")</f>
        <v/>
      </c>
      <c r="W115" s="45" t="str">
        <f>IFERROR(VLOOKUP(B115,'Pre-Summary'!$Y$6:$AD$83,6,FALSE),"")</f>
        <v/>
      </c>
      <c r="X115" t="str">
        <f>IFERROR(VLOOKUP('Pre-Summary'!$DB$6:$DD$63,3,FALSE),"")</f>
        <v/>
      </c>
      <c r="Y115" t="str">
        <f>IFERROR(VLOOKUP(B115,'Pre-Summary'!$CR$6:$CT$36,3,FALSE),"")</f>
        <v/>
      </c>
      <c r="Z115" s="45" t="str">
        <f>IFERROR(VLOOKUP(B115,'Pre-Summary'!$BZ$6:$CB$63,2,FALSE),"")</f>
        <v/>
      </c>
      <c r="AA115" s="45" t="str">
        <f>IFERROR(VLOOKUP(B115,'Pre-Summary'!$CG$6:$CI$70,2,FALSE),"")</f>
        <v/>
      </c>
      <c r="AB115" s="99">
        <f>IFERROR(VLOOKUP(B115,'Pre-Summary'!$A$6:$P$178,9,FALSE),AB116)</f>
        <v>0.49660943396122104</v>
      </c>
      <c r="AC115" s="10">
        <f>IFERROR(VLOOKUP(Summary!B115,'Pre-Summary'!$A$6:$P$184,5, FALSE)/100,AC116)</f>
        <v>0.89163000000000014</v>
      </c>
      <c r="AD115" s="10">
        <f>IFERROR(VLOOKUP(Summary!B115,'Pre-Summary'!$A$6:$P$184,3, FALSE)/100,AD116)</f>
        <v>0</v>
      </c>
      <c r="AE115" s="10">
        <f>IFERROR(VLOOKUP(Summary!B115,'Pre-Summary'!$A$6:$P$184,7, FALSE)/100,AE116)</f>
        <v>0.10837000000000002</v>
      </c>
      <c r="AF115" s="99">
        <f t="shared" si="4"/>
        <v>0</v>
      </c>
      <c r="AG115" s="99">
        <f t="shared" si="5"/>
        <v>5.3817564358377534E-2</v>
      </c>
      <c r="AH115" s="10" t="str">
        <f>IFERROR(VLOOKUP(B115,'Pre-Summary'!$AZ$6:$BE$65,3,FALSE),"")</f>
        <v/>
      </c>
      <c r="AI115" s="10" t="str">
        <f>IFERROR(VLOOKUP(B115,'Pre-Summary'!$AZ$6:$BE$65,5,FALSE),"")</f>
        <v/>
      </c>
      <c r="AJ115" s="10" t="str">
        <f>IFERROR(VLOOKUP(B115,'Pre-Summary'!$AZ$6:$BE$65,4,FALSE),"")</f>
        <v/>
      </c>
      <c r="AK115" s="10" t="str">
        <f>IFERROR(VLOOKUP(B115,'Pre-Summary'!$AZ$6:$BE$65,6,FALSE),"")</f>
        <v/>
      </c>
      <c r="AL115" s="10" t="str">
        <f>IFERROR(VLOOKUP(B115,'Pre-Summary'!$BG$6:$BL$44,3,FALSE),"")</f>
        <v/>
      </c>
      <c r="AM115" s="10" t="str">
        <f>IFERROR(VLOOKUP(B115,'Pre-Summary'!$BG$6:$BL$44,4,FALSE),"")</f>
        <v/>
      </c>
    </row>
    <row r="116" spans="2:39" ht="14.4" x14ac:dyDescent="0.3">
      <c r="B116">
        <v>11.3</v>
      </c>
      <c r="C116" t="str">
        <f>IFERROR(VLOOKUP(B116,'Pre-Summary'!$DI$6:$DM$23,4,FALSE),"")</f>
        <v/>
      </c>
      <c r="D116" s="10" t="str">
        <f>IFERROR(VLOOKUP(B116,'Pre-Summary'!$AT$6:$AX$14,5,FALSE),D115)</f>
        <v>DSMZ v1: Using DSMZ 120 without NaHCO3</v>
      </c>
      <c r="E116" s="10" t="str">
        <f>IFERROR(VLOOKUP(B116,'Pre-Summary'!$AT$6:$AX$15,4,FALSE),"")</f>
        <v/>
      </c>
      <c r="F116">
        <f>IFERROR(VLOOKUP(B116,'Pre-Summary'!$AL$6:$AQ$13,6,FALSE),F115)</f>
        <v>5.9405263157894746E-2</v>
      </c>
      <c r="G116" t="str">
        <f>IFERROR(VLOOKUP(B116,'Pre-Summary'!$AE$6:$AJ$85,3,FALSE),"")</f>
        <v/>
      </c>
      <c r="H116" t="str">
        <f>IFERROR(VLOOKUP(B116,'Pre-Summary'!$AE$6:$AJ$85,4,FALSE),"")</f>
        <v/>
      </c>
      <c r="I116" t="str">
        <f>IFERROR(VLOOKUP(B116,'Pre-Summary'!$AE$6:$AJ$85,5,FALSE),"")</f>
        <v/>
      </c>
      <c r="J116" s="45" t="str">
        <f>IFERROR(VLOOKUP(B116,'Pre-Summary'!$AE$6:$AJ$85,6, FALSE),"")</f>
        <v/>
      </c>
      <c r="K116" s="45" t="str">
        <f>IFERROR(VLOOKUP(B116,'Pre-Summary'!$DE$6:$DG$61,3,FALSE),"")</f>
        <v/>
      </c>
      <c r="L116" s="45" t="str">
        <f>IFERROR(VLOOKUP(B116,'Pre-Summary'!$CU$6:$CW$36,3,FALSE),"")</f>
        <v/>
      </c>
      <c r="M116" s="45" t="str">
        <f>IFERROR(VLOOKUP(B116,'Pre-Summary'!$BW$6:$BY$58,2,FALSE),"")</f>
        <v/>
      </c>
      <c r="N116" s="45" t="str">
        <f>IFERROR(VLOOKUP(B116,'Pre-Summary'!$CD$6:$CF$64,2,FALSE),"")</f>
        <v/>
      </c>
      <c r="O116" s="99">
        <f>IFERROR(VLOOKUP(B116,'Pre-Summary'!$BO$6:$BQ$48,3, FALSE),O115)</f>
        <v>1.0915248032216731</v>
      </c>
      <c r="P116" s="99">
        <f>IFERROR(VLOOKUP(B116,'Pre-Summary'!$BS$6:$BU$35,3,FALSE),P115)</f>
        <v>0.25</v>
      </c>
      <c r="Q116" s="54">
        <f t="shared" si="3"/>
        <v>4.3660992128866924</v>
      </c>
      <c r="R116" s="53">
        <f>IFERROR(VLOOKUP(B116,'Pre-Summary'!$BG$6:$BM$44,7,FALSE),R117)</f>
        <v>2.7904161219319636E-2</v>
      </c>
      <c r="S116" s="53">
        <f>IFERROR(VLOOKUP(B116,'Pre-Summary'!$BG$6:$BM$44,6,FALSE),S117)</f>
        <v>3.3978715219895171E-2</v>
      </c>
      <c r="T116" s="45" t="str">
        <f>IFERROR(VLOOKUP(B116,'Pre-Summary'!$Y$6:$AC$83, 3,FALSE),"")</f>
        <v/>
      </c>
      <c r="U116" s="45" t="str">
        <f>IFERROR(VLOOKUP(B116,'Pre-Summary'!$Y$6:$AC$83, 4,FALSE),"")</f>
        <v/>
      </c>
      <c r="V116" t="str">
        <f>IFERROR(VLOOKUP(B116,'Pre-Summary'!$Y$6:$AC$83, 5,FALSE),"")</f>
        <v/>
      </c>
      <c r="W116" s="45" t="str">
        <f>IFERROR(VLOOKUP(B116,'Pre-Summary'!$Y$6:$AD$83,6,FALSE),"")</f>
        <v/>
      </c>
      <c r="X116" t="str">
        <f>IFERROR(VLOOKUP('Pre-Summary'!$DB$6:$DD$63,3,FALSE),"")</f>
        <v/>
      </c>
      <c r="Y116" t="str">
        <f>IFERROR(VLOOKUP(B116,'Pre-Summary'!$CR$6:$CT$36,3,FALSE),"")</f>
        <v/>
      </c>
      <c r="Z116" s="45" t="str">
        <f>IFERROR(VLOOKUP(B116,'Pre-Summary'!$BZ$6:$CB$63,2,FALSE),"")</f>
        <v/>
      </c>
      <c r="AA116" s="45" t="str">
        <f>IFERROR(VLOOKUP(B116,'Pre-Summary'!$CG$6:$CI$70,2,FALSE),"")</f>
        <v/>
      </c>
      <c r="AB116" s="99">
        <f>IFERROR(VLOOKUP(B116,'Pre-Summary'!$A$6:$P$178,9,FALSE),AB117)</f>
        <v>0.49660943396122104</v>
      </c>
      <c r="AC116" s="10">
        <f>IFERROR(VLOOKUP(Summary!B116,'Pre-Summary'!$A$6:$P$184,5, FALSE)/100,AC117)</f>
        <v>0.89163000000000014</v>
      </c>
      <c r="AD116" s="10">
        <f>IFERROR(VLOOKUP(Summary!B116,'Pre-Summary'!$A$6:$P$184,3, FALSE)/100,AD117)</f>
        <v>0</v>
      </c>
      <c r="AE116" s="10">
        <f>IFERROR(VLOOKUP(Summary!B116,'Pre-Summary'!$A$6:$P$184,7, FALSE)/100,AE117)</f>
        <v>0.10837000000000002</v>
      </c>
      <c r="AF116" s="99">
        <f t="shared" si="4"/>
        <v>0</v>
      </c>
      <c r="AG116" s="99">
        <f t="shared" si="5"/>
        <v>5.3817564358377534E-2</v>
      </c>
      <c r="AH116" s="10" t="str">
        <f>IFERROR(VLOOKUP(B116,'Pre-Summary'!$AZ$6:$BE$65,3,FALSE),"")</f>
        <v/>
      </c>
      <c r="AI116" s="10" t="str">
        <f>IFERROR(VLOOKUP(B116,'Pre-Summary'!$AZ$6:$BE$65,5,FALSE),"")</f>
        <v/>
      </c>
      <c r="AJ116" s="10" t="str">
        <f>IFERROR(VLOOKUP(B116,'Pre-Summary'!$AZ$6:$BE$65,4,FALSE),"")</f>
        <v/>
      </c>
      <c r="AK116" s="10" t="str">
        <f>IFERROR(VLOOKUP(B116,'Pre-Summary'!$AZ$6:$BE$65,6,FALSE),"")</f>
        <v/>
      </c>
      <c r="AL116" s="10" t="str">
        <f>IFERROR(VLOOKUP(B116,'Pre-Summary'!$BG$6:$BL$44,3,FALSE),"")</f>
        <v/>
      </c>
      <c r="AM116" s="10" t="str">
        <f>IFERROR(VLOOKUP(B116,'Pre-Summary'!$BG$6:$BL$44,4,FALSE),"")</f>
        <v/>
      </c>
    </row>
    <row r="117" spans="2:39" ht="14.4" x14ac:dyDescent="0.3">
      <c r="B117">
        <v>11.4</v>
      </c>
      <c r="C117" t="str">
        <f>IFERROR(VLOOKUP(B117,'Pre-Summary'!$DI$6:$DM$23,4,FALSE),"")</f>
        <v/>
      </c>
      <c r="D117" s="10" t="str">
        <f>IFERROR(VLOOKUP(B117,'Pre-Summary'!$AT$6:$AX$14,5,FALSE),D116)</f>
        <v>DSMZ v1: Using DSMZ 120 without NaHCO3</v>
      </c>
      <c r="E117" s="10" t="str">
        <f>IFERROR(VLOOKUP(B117,'Pre-Summary'!$AT$6:$AX$15,4,FALSE),"")</f>
        <v/>
      </c>
      <c r="F117">
        <f>IFERROR(VLOOKUP(B117,'Pre-Summary'!$AL$6:$AQ$13,6,FALSE),F116)</f>
        <v>5.9405263157894746E-2</v>
      </c>
      <c r="G117" t="str">
        <f>IFERROR(VLOOKUP(B117,'Pre-Summary'!$AE$6:$AJ$85,3,FALSE),"")</f>
        <v/>
      </c>
      <c r="H117" t="str">
        <f>IFERROR(VLOOKUP(B117,'Pre-Summary'!$AE$6:$AJ$85,4,FALSE),"")</f>
        <v/>
      </c>
      <c r="I117" t="str">
        <f>IFERROR(VLOOKUP(B117,'Pre-Summary'!$AE$6:$AJ$85,5,FALSE),"")</f>
        <v/>
      </c>
      <c r="J117" s="45" t="str">
        <f>IFERROR(VLOOKUP(B117,'Pre-Summary'!$AE$6:$AJ$85,6, FALSE),"")</f>
        <v/>
      </c>
      <c r="K117" s="45" t="str">
        <f>IFERROR(VLOOKUP(B117,'Pre-Summary'!$DE$6:$DG$61,3,FALSE),"")</f>
        <v/>
      </c>
      <c r="L117" s="45" t="str">
        <f>IFERROR(VLOOKUP(B117,'Pre-Summary'!$CU$6:$CW$36,3,FALSE),"")</f>
        <v/>
      </c>
      <c r="M117" s="45" t="str">
        <f>IFERROR(VLOOKUP(B117,'Pre-Summary'!$BW$6:$BY$58,2,FALSE),"")</f>
        <v/>
      </c>
      <c r="N117" s="45" t="str">
        <f>IFERROR(VLOOKUP(B117,'Pre-Summary'!$CD$6:$CF$64,2,FALSE),"")</f>
        <v/>
      </c>
      <c r="O117" s="99">
        <f>IFERROR(VLOOKUP(B117,'Pre-Summary'!$BO$6:$BQ$48,3, FALSE),O116)</f>
        <v>1.0915248032216731</v>
      </c>
      <c r="P117" s="99">
        <f>IFERROR(VLOOKUP(B117,'Pre-Summary'!$BS$6:$BU$35,3,FALSE),P116)</f>
        <v>0.25</v>
      </c>
      <c r="Q117" s="54">
        <f t="shared" si="3"/>
        <v>4.3660992128866924</v>
      </c>
      <c r="R117" s="53">
        <f>IFERROR(VLOOKUP(B117,'Pre-Summary'!$BG$6:$BM$44,7,FALSE),R118)</f>
        <v>2.7904161219319636E-2</v>
      </c>
      <c r="S117" s="53">
        <f>IFERROR(VLOOKUP(B117,'Pre-Summary'!$BG$6:$BM$44,6,FALSE),S118)</f>
        <v>3.3978715219895171E-2</v>
      </c>
      <c r="T117" s="45" t="str">
        <f>IFERROR(VLOOKUP(B117,'Pre-Summary'!$Y$6:$AC$83, 3,FALSE),"")</f>
        <v/>
      </c>
      <c r="U117" s="45" t="str">
        <f>IFERROR(VLOOKUP(B117,'Pre-Summary'!$Y$6:$AC$83, 4,FALSE),"")</f>
        <v/>
      </c>
      <c r="V117" t="str">
        <f>IFERROR(VLOOKUP(B117,'Pre-Summary'!$Y$6:$AC$83, 5,FALSE),"")</f>
        <v/>
      </c>
      <c r="W117" s="45" t="str">
        <f>IFERROR(VLOOKUP(B117,'Pre-Summary'!$Y$6:$AD$83,6,FALSE),"")</f>
        <v/>
      </c>
      <c r="X117" t="str">
        <f>IFERROR(VLOOKUP('Pre-Summary'!$DB$6:$DD$63,3,FALSE),"")</f>
        <v/>
      </c>
      <c r="Y117" t="str">
        <f>IFERROR(VLOOKUP(B117,'Pre-Summary'!$CR$6:$CT$36,3,FALSE),"")</f>
        <v/>
      </c>
      <c r="Z117" s="45" t="str">
        <f>IFERROR(VLOOKUP(B117,'Pre-Summary'!$BZ$6:$CB$63,2,FALSE),"")</f>
        <v/>
      </c>
      <c r="AA117" s="45" t="str">
        <f>IFERROR(VLOOKUP(B117,'Pre-Summary'!$CG$6:$CI$70,2,FALSE),"")</f>
        <v/>
      </c>
      <c r="AB117" s="99">
        <f>IFERROR(VLOOKUP(B117,'Pre-Summary'!$A$6:$P$178,9,FALSE),AB118)</f>
        <v>0.49660943396122104</v>
      </c>
      <c r="AC117" s="10">
        <f>IFERROR(VLOOKUP(Summary!B117,'Pre-Summary'!$A$6:$P$184,5, FALSE)/100,AC118)</f>
        <v>0.89163000000000014</v>
      </c>
      <c r="AD117" s="10">
        <f>IFERROR(VLOOKUP(Summary!B117,'Pre-Summary'!$A$6:$P$184,3, FALSE)/100,AD118)</f>
        <v>0</v>
      </c>
      <c r="AE117" s="10">
        <f>IFERROR(VLOOKUP(Summary!B117,'Pre-Summary'!$A$6:$P$184,7, FALSE)/100,AE118)</f>
        <v>0.10837000000000002</v>
      </c>
      <c r="AF117" s="99">
        <f t="shared" si="4"/>
        <v>0</v>
      </c>
      <c r="AG117" s="99">
        <f t="shared" si="5"/>
        <v>5.3817564358377534E-2</v>
      </c>
      <c r="AH117" s="10" t="str">
        <f>IFERROR(VLOOKUP(B117,'Pre-Summary'!$AZ$6:$BE$65,3,FALSE),"")</f>
        <v/>
      </c>
      <c r="AI117" s="10" t="str">
        <f>IFERROR(VLOOKUP(B117,'Pre-Summary'!$AZ$6:$BE$65,5,FALSE),"")</f>
        <v/>
      </c>
      <c r="AJ117" s="10" t="str">
        <f>IFERROR(VLOOKUP(B117,'Pre-Summary'!$AZ$6:$BE$65,4,FALSE),"")</f>
        <v/>
      </c>
      <c r="AK117" s="10" t="str">
        <f>IFERROR(VLOOKUP(B117,'Pre-Summary'!$AZ$6:$BE$65,6,FALSE),"")</f>
        <v/>
      </c>
      <c r="AL117" s="10" t="str">
        <f>IFERROR(VLOOKUP(B117,'Pre-Summary'!$BG$6:$BL$44,3,FALSE),"")</f>
        <v/>
      </c>
      <c r="AM117" s="10" t="str">
        <f>IFERROR(VLOOKUP(B117,'Pre-Summary'!$BG$6:$BL$44,4,FALSE),"")</f>
        <v/>
      </c>
    </row>
    <row r="118" spans="2:39" ht="14.4" x14ac:dyDescent="0.3">
      <c r="B118">
        <v>11.5</v>
      </c>
      <c r="C118" t="str">
        <f>IFERROR(VLOOKUP(B118,'Pre-Summary'!$DI$6:$DM$23,4,FALSE),"")</f>
        <v/>
      </c>
      <c r="D118" s="10" t="str">
        <f>IFERROR(VLOOKUP(B118,'Pre-Summary'!$AT$6:$AX$14,5,FALSE),D117)</f>
        <v>DSMZ v1: Using DSMZ 120 without NaHCO3</v>
      </c>
      <c r="E118" s="10" t="str">
        <f>IFERROR(VLOOKUP(B118,'Pre-Summary'!$AT$6:$AX$15,4,FALSE),"")</f>
        <v/>
      </c>
      <c r="F118">
        <f>IFERROR(VLOOKUP(B118,'Pre-Summary'!$AL$6:$AQ$13,6,FALSE),F117)</f>
        <v>5.9405263157894746E-2</v>
      </c>
      <c r="G118" t="str">
        <f>IFERROR(VLOOKUP(B118,'Pre-Summary'!$AE$6:$AJ$85,3,FALSE),"")</f>
        <v/>
      </c>
      <c r="H118" t="str">
        <f>IFERROR(VLOOKUP(B118,'Pre-Summary'!$AE$6:$AJ$85,4,FALSE),"")</f>
        <v/>
      </c>
      <c r="I118" t="str">
        <f>IFERROR(VLOOKUP(B118,'Pre-Summary'!$AE$6:$AJ$85,5,FALSE),"")</f>
        <v/>
      </c>
      <c r="J118" s="45" t="str">
        <f>IFERROR(VLOOKUP(B118,'Pre-Summary'!$AE$6:$AJ$85,6, FALSE),"")</f>
        <v/>
      </c>
      <c r="K118" s="45" t="str">
        <f>IFERROR(VLOOKUP(B118,'Pre-Summary'!$DE$6:$DG$61,3,FALSE),"")</f>
        <v/>
      </c>
      <c r="L118" s="45" t="str">
        <f>IFERROR(VLOOKUP(B118,'Pre-Summary'!$CU$6:$CW$36,3,FALSE),"")</f>
        <v/>
      </c>
      <c r="M118" s="45" t="str">
        <f>IFERROR(VLOOKUP(B118,'Pre-Summary'!$BW$6:$BY$58,2,FALSE),"")</f>
        <v/>
      </c>
      <c r="N118" s="45" t="str">
        <f>IFERROR(VLOOKUP(B118,'Pre-Summary'!$CD$6:$CF$64,2,FALSE),"")</f>
        <v/>
      </c>
      <c r="O118" s="99">
        <f>IFERROR(VLOOKUP(B118,'Pre-Summary'!$BO$6:$BQ$48,3, FALSE),O117)</f>
        <v>1.0915248032216731</v>
      </c>
      <c r="P118" s="99">
        <f>IFERROR(VLOOKUP(B118,'Pre-Summary'!$BS$6:$BU$35,3,FALSE),P117)</f>
        <v>0.25</v>
      </c>
      <c r="Q118" s="54">
        <f t="shared" si="3"/>
        <v>4.3660992128866924</v>
      </c>
      <c r="R118" s="53">
        <f>IFERROR(VLOOKUP(B118,'Pre-Summary'!$BG$6:$BM$44,7,FALSE),R119)</f>
        <v>2.7904161219319636E-2</v>
      </c>
      <c r="S118" s="53">
        <f>IFERROR(VLOOKUP(B118,'Pre-Summary'!$BG$6:$BM$44,6,FALSE),S119)</f>
        <v>3.3978715219895171E-2</v>
      </c>
      <c r="T118" s="45" t="str">
        <f>IFERROR(VLOOKUP(B118,'Pre-Summary'!$Y$6:$AC$83, 3,FALSE),"")</f>
        <v/>
      </c>
      <c r="U118" s="45" t="str">
        <f>IFERROR(VLOOKUP(B118,'Pre-Summary'!$Y$6:$AC$83, 4,FALSE),"")</f>
        <v/>
      </c>
      <c r="V118" t="str">
        <f>IFERROR(VLOOKUP(B118,'Pre-Summary'!$Y$6:$AC$83, 5,FALSE),"")</f>
        <v/>
      </c>
      <c r="W118" s="45" t="str">
        <f>IFERROR(VLOOKUP(B118,'Pre-Summary'!$Y$6:$AD$83,6,FALSE),"")</f>
        <v/>
      </c>
      <c r="X118" t="str">
        <f>IFERROR(VLOOKUP('Pre-Summary'!$DB$6:$DD$63,3,FALSE),"")</f>
        <v/>
      </c>
      <c r="Y118" t="str">
        <f>IFERROR(VLOOKUP(B118,'Pre-Summary'!$CR$6:$CT$36,3,FALSE),"")</f>
        <v/>
      </c>
      <c r="Z118" s="45" t="str">
        <f>IFERROR(VLOOKUP(B118,'Pre-Summary'!$BZ$6:$CB$63,2,FALSE),"")</f>
        <v/>
      </c>
      <c r="AA118" s="45" t="str">
        <f>IFERROR(VLOOKUP(B118,'Pre-Summary'!$CG$6:$CI$70,2,FALSE),"")</f>
        <v/>
      </c>
      <c r="AB118" s="99">
        <f>IFERROR(VLOOKUP(B118,'Pre-Summary'!$A$6:$P$178,9,FALSE),AB119)</f>
        <v>0.49660943396122104</v>
      </c>
      <c r="AC118" s="10">
        <f>IFERROR(VLOOKUP(Summary!B118,'Pre-Summary'!$A$6:$P$184,5, FALSE)/100,AC119)</f>
        <v>0.89163000000000014</v>
      </c>
      <c r="AD118" s="10">
        <f>IFERROR(VLOOKUP(Summary!B118,'Pre-Summary'!$A$6:$P$184,3, FALSE)/100,AD119)</f>
        <v>0</v>
      </c>
      <c r="AE118" s="10">
        <f>IFERROR(VLOOKUP(Summary!B118,'Pre-Summary'!$A$6:$P$184,7, FALSE)/100,AE119)</f>
        <v>0.10837000000000002</v>
      </c>
      <c r="AF118" s="99">
        <f t="shared" si="4"/>
        <v>0</v>
      </c>
      <c r="AG118" s="99">
        <f t="shared" si="5"/>
        <v>5.3817564358377534E-2</v>
      </c>
      <c r="AH118" s="10" t="str">
        <f>IFERROR(VLOOKUP(B118,'Pre-Summary'!$AZ$6:$BE$65,3,FALSE),"")</f>
        <v/>
      </c>
      <c r="AI118" s="10" t="str">
        <f>IFERROR(VLOOKUP(B118,'Pre-Summary'!$AZ$6:$BE$65,5,FALSE),"")</f>
        <v/>
      </c>
      <c r="AJ118" s="10" t="str">
        <f>IFERROR(VLOOKUP(B118,'Pre-Summary'!$AZ$6:$BE$65,4,FALSE),"")</f>
        <v/>
      </c>
      <c r="AK118" s="10" t="str">
        <f>IFERROR(VLOOKUP(B118,'Pre-Summary'!$AZ$6:$BE$65,6,FALSE),"")</f>
        <v/>
      </c>
      <c r="AL118" s="10" t="str">
        <f>IFERROR(VLOOKUP(B118,'Pre-Summary'!$BG$6:$BL$44,3,FALSE),"")</f>
        <v/>
      </c>
      <c r="AM118" s="10" t="str">
        <f>IFERROR(VLOOKUP(B118,'Pre-Summary'!$BG$6:$BL$44,4,FALSE),"")</f>
        <v/>
      </c>
    </row>
    <row r="119" spans="2:39" ht="14.4" x14ac:dyDescent="0.3">
      <c r="B119">
        <v>11.6</v>
      </c>
      <c r="C119" t="str">
        <f>IFERROR(VLOOKUP(B119,'Pre-Summary'!$DI$6:$DM$23,4,FALSE),"")</f>
        <v/>
      </c>
      <c r="D119" s="10" t="str">
        <f>IFERROR(VLOOKUP(B119,'Pre-Summary'!$AT$6:$AX$14,5,FALSE),D118)</f>
        <v>DSMZ v1: Using DSMZ 120 without NaHCO3</v>
      </c>
      <c r="E119" s="10" t="str">
        <f>IFERROR(VLOOKUP(B119,'Pre-Summary'!$AT$6:$AX$15,4,FALSE),"")</f>
        <v/>
      </c>
      <c r="F119">
        <f>IFERROR(VLOOKUP(B119,'Pre-Summary'!$AL$6:$AQ$13,6,FALSE),F118)</f>
        <v>5.9405263157894746E-2</v>
      </c>
      <c r="G119" t="str">
        <f>IFERROR(VLOOKUP(B119,'Pre-Summary'!$AE$6:$AJ$85,3,FALSE),"")</f>
        <v/>
      </c>
      <c r="H119" t="str">
        <f>IFERROR(VLOOKUP(B119,'Pre-Summary'!$AE$6:$AJ$85,4,FALSE),"")</f>
        <v/>
      </c>
      <c r="I119" t="str">
        <f>IFERROR(VLOOKUP(B119,'Pre-Summary'!$AE$6:$AJ$85,5,FALSE),"")</f>
        <v/>
      </c>
      <c r="J119" s="45" t="str">
        <f>IFERROR(VLOOKUP(B119,'Pre-Summary'!$AE$6:$AJ$85,6, FALSE),"")</f>
        <v/>
      </c>
      <c r="K119" s="45" t="str">
        <f>IFERROR(VLOOKUP(B119,'Pre-Summary'!$DE$6:$DG$61,3,FALSE),"")</f>
        <v/>
      </c>
      <c r="L119" s="45" t="str">
        <f>IFERROR(VLOOKUP(B119,'Pre-Summary'!$CU$6:$CW$36,3,FALSE),"")</f>
        <v/>
      </c>
      <c r="M119" s="45" t="str">
        <f>IFERROR(VLOOKUP(B119,'Pre-Summary'!$BW$6:$BY$58,2,FALSE),"")</f>
        <v/>
      </c>
      <c r="N119" s="45" t="str">
        <f>IFERROR(VLOOKUP(B119,'Pre-Summary'!$CD$6:$CF$64,2,FALSE),"")</f>
        <v/>
      </c>
      <c r="O119" s="99">
        <f>IFERROR(VLOOKUP(B119,'Pre-Summary'!$BO$6:$BQ$48,3, FALSE),O118)</f>
        <v>1.0915248032216731</v>
      </c>
      <c r="P119" s="99">
        <f>IFERROR(VLOOKUP(B119,'Pre-Summary'!$BS$6:$BU$35,3,FALSE),P118)</f>
        <v>0.25</v>
      </c>
      <c r="Q119" s="54">
        <f t="shared" si="3"/>
        <v>4.3660992128866924</v>
      </c>
      <c r="R119" s="53">
        <f>IFERROR(VLOOKUP(B119,'Pre-Summary'!$BG$6:$BM$44,7,FALSE),R120)</f>
        <v>2.7904161219319636E-2</v>
      </c>
      <c r="S119" s="53">
        <f>IFERROR(VLOOKUP(B119,'Pre-Summary'!$BG$6:$BM$44,6,FALSE),S120)</f>
        <v>3.3978715219895171E-2</v>
      </c>
      <c r="T119" s="45" t="str">
        <f>IFERROR(VLOOKUP(B119,'Pre-Summary'!$Y$6:$AC$83, 3,FALSE),"")</f>
        <v/>
      </c>
      <c r="U119" s="45" t="str">
        <f>IFERROR(VLOOKUP(B119,'Pre-Summary'!$Y$6:$AC$83, 4,FALSE),"")</f>
        <v/>
      </c>
      <c r="V119" t="str">
        <f>IFERROR(VLOOKUP(B119,'Pre-Summary'!$Y$6:$AC$83, 5,FALSE),"")</f>
        <v/>
      </c>
      <c r="W119" s="45" t="str">
        <f>IFERROR(VLOOKUP(B119,'Pre-Summary'!$Y$6:$AD$83,6,FALSE),"")</f>
        <v/>
      </c>
      <c r="X119" t="str">
        <f>IFERROR(VLOOKUP('Pre-Summary'!$DB$6:$DD$63,3,FALSE),"")</f>
        <v/>
      </c>
      <c r="Y119" t="str">
        <f>IFERROR(VLOOKUP(B119,'Pre-Summary'!$CR$6:$CT$36,3,FALSE),"")</f>
        <v/>
      </c>
      <c r="Z119" s="45" t="str">
        <f>IFERROR(VLOOKUP(B119,'Pre-Summary'!$BZ$6:$CB$63,2,FALSE),"")</f>
        <v/>
      </c>
      <c r="AA119" s="45" t="str">
        <f>IFERROR(VLOOKUP(B119,'Pre-Summary'!$CG$6:$CI$70,2,FALSE),"")</f>
        <v/>
      </c>
      <c r="AB119" s="99">
        <f>IFERROR(VLOOKUP(B119,'Pre-Summary'!$A$6:$P$178,9,FALSE),AB120)</f>
        <v>0.49660943396122104</v>
      </c>
      <c r="AC119" s="10">
        <f>IFERROR(VLOOKUP(Summary!B119,'Pre-Summary'!$A$6:$P$184,5, FALSE)/100,AC120)</f>
        <v>0.89163000000000014</v>
      </c>
      <c r="AD119" s="10">
        <f>IFERROR(VLOOKUP(Summary!B119,'Pre-Summary'!$A$6:$P$184,3, FALSE)/100,AD120)</f>
        <v>0</v>
      </c>
      <c r="AE119" s="10">
        <f>IFERROR(VLOOKUP(Summary!B119,'Pre-Summary'!$A$6:$P$184,7, FALSE)/100,AE120)</f>
        <v>0.10837000000000002</v>
      </c>
      <c r="AF119" s="99">
        <f t="shared" si="4"/>
        <v>0</v>
      </c>
      <c r="AG119" s="99">
        <f t="shared" si="5"/>
        <v>5.3817564358377534E-2</v>
      </c>
      <c r="AH119" s="10" t="str">
        <f>IFERROR(VLOOKUP(B119,'Pre-Summary'!$AZ$6:$BE$65,3,FALSE),"")</f>
        <v/>
      </c>
      <c r="AI119" s="10" t="str">
        <f>IFERROR(VLOOKUP(B119,'Pre-Summary'!$AZ$6:$BE$65,5,FALSE),"")</f>
        <v/>
      </c>
      <c r="AJ119" s="10" t="str">
        <f>IFERROR(VLOOKUP(B119,'Pre-Summary'!$AZ$6:$BE$65,4,FALSE),"")</f>
        <v/>
      </c>
      <c r="AK119" s="10" t="str">
        <f>IFERROR(VLOOKUP(B119,'Pre-Summary'!$AZ$6:$BE$65,6,FALSE),"")</f>
        <v/>
      </c>
      <c r="AL119" s="10" t="str">
        <f>IFERROR(VLOOKUP(B119,'Pre-Summary'!$BG$6:$BL$44,3,FALSE),"")</f>
        <v/>
      </c>
      <c r="AM119" s="10" t="str">
        <f>IFERROR(VLOOKUP(B119,'Pre-Summary'!$BG$6:$BL$44,4,FALSE),"")</f>
        <v/>
      </c>
    </row>
    <row r="120" spans="2:39" ht="14.4" x14ac:dyDescent="0.3">
      <c r="B120">
        <v>11.7</v>
      </c>
      <c r="C120" t="str">
        <f>IFERROR(VLOOKUP(B120,'Pre-Summary'!$DI$6:$DM$23,4,FALSE),"")</f>
        <v/>
      </c>
      <c r="D120" s="10" t="str">
        <f>IFERROR(VLOOKUP(B120,'Pre-Summary'!$AT$6:$AX$14,5,FALSE),D119)</f>
        <v>DSMZ v1: Using DSMZ 120 without NaHCO3</v>
      </c>
      <c r="E120" s="10" t="str">
        <f>IFERROR(VLOOKUP(B120,'Pre-Summary'!$AT$6:$AX$15,4,FALSE),"")</f>
        <v/>
      </c>
      <c r="F120">
        <f>IFERROR(VLOOKUP(B120,'Pre-Summary'!$AL$6:$AQ$13,6,FALSE),F119)</f>
        <v>5.9405263157894746E-2</v>
      </c>
      <c r="G120" t="str">
        <f>IFERROR(VLOOKUP(B120,'Pre-Summary'!$AE$6:$AJ$85,3,FALSE),"")</f>
        <v/>
      </c>
      <c r="H120" t="str">
        <f>IFERROR(VLOOKUP(B120,'Pre-Summary'!$AE$6:$AJ$85,4,FALSE),"")</f>
        <v/>
      </c>
      <c r="I120" t="str">
        <f>IFERROR(VLOOKUP(B120,'Pre-Summary'!$AE$6:$AJ$85,5,FALSE),"")</f>
        <v/>
      </c>
      <c r="J120" s="45" t="str">
        <f>IFERROR(VLOOKUP(B120,'Pre-Summary'!$AE$6:$AJ$85,6, FALSE),"")</f>
        <v/>
      </c>
      <c r="K120" s="45" t="str">
        <f>IFERROR(VLOOKUP(B120,'Pre-Summary'!$DE$6:$DG$61,3,FALSE),"")</f>
        <v/>
      </c>
      <c r="L120" s="45" t="str">
        <f>IFERROR(VLOOKUP(B120,'Pre-Summary'!$CU$6:$CW$36,3,FALSE),"")</f>
        <v/>
      </c>
      <c r="M120" s="45" t="str">
        <f>IFERROR(VLOOKUP(B120,'Pre-Summary'!$BW$6:$BY$58,2,FALSE),"")</f>
        <v/>
      </c>
      <c r="N120" s="45" t="str">
        <f>IFERROR(VLOOKUP(B120,'Pre-Summary'!$CD$6:$CF$64,2,FALSE),"")</f>
        <v/>
      </c>
      <c r="O120" s="99">
        <f>IFERROR(VLOOKUP(B120,'Pre-Summary'!$BO$6:$BQ$48,3, FALSE),O119)</f>
        <v>1.0915248032216731</v>
      </c>
      <c r="P120" s="99">
        <f>IFERROR(VLOOKUP(B120,'Pre-Summary'!$BS$6:$BU$35,3,FALSE),P119)</f>
        <v>0.25</v>
      </c>
      <c r="Q120" s="54">
        <f t="shared" si="3"/>
        <v>4.3660992128866924</v>
      </c>
      <c r="R120" s="53">
        <f>IFERROR(VLOOKUP(B120,'Pre-Summary'!$BG$6:$BM$44,7,FALSE),R121)</f>
        <v>2.7904161219319636E-2</v>
      </c>
      <c r="S120" s="53">
        <f>IFERROR(VLOOKUP(B120,'Pre-Summary'!$BG$6:$BM$44,6,FALSE),S121)</f>
        <v>3.3978715219895171E-2</v>
      </c>
      <c r="T120" s="45" t="str">
        <f>IFERROR(VLOOKUP(B120,'Pre-Summary'!$Y$6:$AC$83, 3,FALSE),"")</f>
        <v/>
      </c>
      <c r="U120" s="45" t="str">
        <f>IFERROR(VLOOKUP(B120,'Pre-Summary'!$Y$6:$AC$83, 4,FALSE),"")</f>
        <v/>
      </c>
      <c r="V120" t="str">
        <f>IFERROR(VLOOKUP(B120,'Pre-Summary'!$Y$6:$AC$83, 5,FALSE),"")</f>
        <v/>
      </c>
      <c r="W120" s="45" t="str">
        <f>IFERROR(VLOOKUP(B120,'Pre-Summary'!$Y$6:$AD$83,6,FALSE),"")</f>
        <v/>
      </c>
      <c r="X120" t="str">
        <f>IFERROR(VLOOKUP('Pre-Summary'!$DB$6:$DD$63,3,FALSE),"")</f>
        <v/>
      </c>
      <c r="Y120" t="str">
        <f>IFERROR(VLOOKUP(B120,'Pre-Summary'!$CR$6:$CT$36,3,FALSE),"")</f>
        <v/>
      </c>
      <c r="Z120" s="45" t="str">
        <f>IFERROR(VLOOKUP(B120,'Pre-Summary'!$BZ$6:$CB$63,2,FALSE),"")</f>
        <v/>
      </c>
      <c r="AA120" s="45" t="str">
        <f>IFERROR(VLOOKUP(B120,'Pre-Summary'!$CG$6:$CI$70,2,FALSE),"")</f>
        <v/>
      </c>
      <c r="AB120" s="99">
        <f>IFERROR(VLOOKUP(B120,'Pre-Summary'!$A$6:$P$178,9,FALSE),AB121)</f>
        <v>0.49660943396122104</v>
      </c>
      <c r="AC120" s="10">
        <f>IFERROR(VLOOKUP(Summary!B120,'Pre-Summary'!$A$6:$P$184,5, FALSE)/100,AC121)</f>
        <v>0.89163000000000014</v>
      </c>
      <c r="AD120" s="10">
        <f>IFERROR(VLOOKUP(Summary!B120,'Pre-Summary'!$A$6:$P$184,3, FALSE)/100,AD121)</f>
        <v>0</v>
      </c>
      <c r="AE120" s="10">
        <f>IFERROR(VLOOKUP(Summary!B120,'Pre-Summary'!$A$6:$P$184,7, FALSE)/100,AE121)</f>
        <v>0.10837000000000002</v>
      </c>
      <c r="AF120" s="99">
        <f t="shared" si="4"/>
        <v>0</v>
      </c>
      <c r="AG120" s="99">
        <f t="shared" si="5"/>
        <v>5.3817564358377534E-2</v>
      </c>
      <c r="AH120" s="10" t="str">
        <f>IFERROR(VLOOKUP(B120,'Pre-Summary'!$AZ$6:$BE$65,3,FALSE),"")</f>
        <v/>
      </c>
      <c r="AI120" s="10" t="str">
        <f>IFERROR(VLOOKUP(B120,'Pre-Summary'!$AZ$6:$BE$65,5,FALSE),"")</f>
        <v/>
      </c>
      <c r="AJ120" s="10" t="str">
        <f>IFERROR(VLOOKUP(B120,'Pre-Summary'!$AZ$6:$BE$65,4,FALSE),"")</f>
        <v/>
      </c>
      <c r="AK120" s="10" t="str">
        <f>IFERROR(VLOOKUP(B120,'Pre-Summary'!$AZ$6:$BE$65,6,FALSE),"")</f>
        <v/>
      </c>
      <c r="AL120" s="10" t="str">
        <f>IFERROR(VLOOKUP(B120,'Pre-Summary'!$BG$6:$BL$44,3,FALSE),"")</f>
        <v/>
      </c>
      <c r="AM120" s="10" t="str">
        <f>IFERROR(VLOOKUP(B120,'Pre-Summary'!$BG$6:$BL$44,4,FALSE),"")</f>
        <v/>
      </c>
    </row>
    <row r="121" spans="2:39" ht="14.4" x14ac:dyDescent="0.3">
      <c r="B121">
        <v>11.8</v>
      </c>
      <c r="C121" t="str">
        <f>IFERROR(VLOOKUP(B121,'Pre-Summary'!$DI$6:$DM$23,4,FALSE),"")</f>
        <v/>
      </c>
      <c r="D121" s="10" t="str">
        <f>IFERROR(VLOOKUP(B121,'Pre-Summary'!$AT$6:$AX$14,5,FALSE),D120)</f>
        <v>DSMZ v1: Using DSMZ 120 without NaHCO3</v>
      </c>
      <c r="E121" s="10" t="str">
        <f>IFERROR(VLOOKUP(B121,'Pre-Summary'!$AT$6:$AX$15,4,FALSE),"")</f>
        <v/>
      </c>
      <c r="F121">
        <f>IFERROR(VLOOKUP(B121,'Pre-Summary'!$AL$6:$AQ$13,6,FALSE),F120)</f>
        <v>5.9405263157894746E-2</v>
      </c>
      <c r="G121" t="str">
        <f>IFERROR(VLOOKUP(B121,'Pre-Summary'!$AE$6:$AJ$85,3,FALSE),"")</f>
        <v/>
      </c>
      <c r="H121" t="str">
        <f>IFERROR(VLOOKUP(B121,'Pre-Summary'!$AE$6:$AJ$85,4,FALSE),"")</f>
        <v/>
      </c>
      <c r="I121" t="str">
        <f>IFERROR(VLOOKUP(B121,'Pre-Summary'!$AE$6:$AJ$85,5,FALSE),"")</f>
        <v/>
      </c>
      <c r="J121" s="45" t="str">
        <f>IFERROR(VLOOKUP(B121,'Pre-Summary'!$AE$6:$AJ$85,6, FALSE),"")</f>
        <v/>
      </c>
      <c r="K121" s="45" t="str">
        <f>IFERROR(VLOOKUP(B121,'Pre-Summary'!$DE$6:$DG$61,3,FALSE),"")</f>
        <v/>
      </c>
      <c r="L121" s="45" t="str">
        <f>IFERROR(VLOOKUP(B121,'Pre-Summary'!$CU$6:$CW$36,3,FALSE),"")</f>
        <v/>
      </c>
      <c r="M121" s="45" t="str">
        <f>IFERROR(VLOOKUP(B121,'Pre-Summary'!$BW$6:$BY$58,2,FALSE),"")</f>
        <v/>
      </c>
      <c r="N121" s="45" t="str">
        <f>IFERROR(VLOOKUP(B121,'Pre-Summary'!$CD$6:$CF$64,2,FALSE),"")</f>
        <v/>
      </c>
      <c r="O121" s="99">
        <f>IFERROR(VLOOKUP(B121,'Pre-Summary'!$BO$6:$BQ$48,3, FALSE),O120)</f>
        <v>1.0915248032216731</v>
      </c>
      <c r="P121" s="99">
        <f>IFERROR(VLOOKUP(B121,'Pre-Summary'!$BS$6:$BU$35,3,FALSE),P120)</f>
        <v>0.25</v>
      </c>
      <c r="Q121" s="54">
        <f t="shared" si="3"/>
        <v>4.3660992128866924</v>
      </c>
      <c r="R121" s="53">
        <f>IFERROR(VLOOKUP(B121,'Pre-Summary'!$BG$6:$BM$44,7,FALSE),R122)</f>
        <v>2.7904161219319636E-2</v>
      </c>
      <c r="S121" s="53">
        <f>IFERROR(VLOOKUP(B121,'Pre-Summary'!$BG$6:$BM$44,6,FALSE),S122)</f>
        <v>3.3978715219895171E-2</v>
      </c>
      <c r="T121" s="45" t="str">
        <f>IFERROR(VLOOKUP(B121,'Pre-Summary'!$Y$6:$AC$83, 3,FALSE),"")</f>
        <v/>
      </c>
      <c r="U121" s="45" t="str">
        <f>IFERROR(VLOOKUP(B121,'Pre-Summary'!$Y$6:$AC$83, 4,FALSE),"")</f>
        <v/>
      </c>
      <c r="V121" t="str">
        <f>IFERROR(VLOOKUP(B121,'Pre-Summary'!$Y$6:$AC$83, 5,FALSE),"")</f>
        <v/>
      </c>
      <c r="W121" s="45" t="str">
        <f>IFERROR(VLOOKUP(B121,'Pre-Summary'!$Y$6:$AD$83,6,FALSE),"")</f>
        <v/>
      </c>
      <c r="X121" t="str">
        <f>IFERROR(VLOOKUP('Pre-Summary'!$DB$6:$DD$63,3,FALSE),"")</f>
        <v/>
      </c>
      <c r="Y121" t="str">
        <f>IFERROR(VLOOKUP(B121,'Pre-Summary'!$CR$6:$CT$36,3,FALSE),"")</f>
        <v/>
      </c>
      <c r="Z121" s="45" t="str">
        <f>IFERROR(VLOOKUP(B121,'Pre-Summary'!$BZ$6:$CB$63,2,FALSE),"")</f>
        <v/>
      </c>
      <c r="AA121" s="45" t="str">
        <f>IFERROR(VLOOKUP(B121,'Pre-Summary'!$CG$6:$CI$70,2,FALSE),"")</f>
        <v/>
      </c>
      <c r="AB121" s="99">
        <f>IFERROR(VLOOKUP(B121,'Pre-Summary'!$A$6:$P$178,9,FALSE),AB122)</f>
        <v>0.49660943396122104</v>
      </c>
      <c r="AC121" s="10">
        <f>IFERROR(VLOOKUP(Summary!B121,'Pre-Summary'!$A$6:$P$184,5, FALSE)/100,AC122)</f>
        <v>0.89163000000000014</v>
      </c>
      <c r="AD121" s="10">
        <f>IFERROR(VLOOKUP(Summary!B121,'Pre-Summary'!$A$6:$P$184,3, FALSE)/100,AD122)</f>
        <v>0</v>
      </c>
      <c r="AE121" s="10">
        <f>IFERROR(VLOOKUP(Summary!B121,'Pre-Summary'!$A$6:$P$184,7, FALSE)/100,AE122)</f>
        <v>0.10837000000000002</v>
      </c>
      <c r="AF121" s="99">
        <f t="shared" si="4"/>
        <v>0</v>
      </c>
      <c r="AG121" s="99">
        <f t="shared" si="5"/>
        <v>5.3817564358377534E-2</v>
      </c>
      <c r="AH121" s="10" t="str">
        <f>IFERROR(VLOOKUP(B121,'Pre-Summary'!$AZ$6:$BE$65,3,FALSE),"")</f>
        <v/>
      </c>
      <c r="AI121" s="10" t="str">
        <f>IFERROR(VLOOKUP(B121,'Pre-Summary'!$AZ$6:$BE$65,5,FALSE),"")</f>
        <v/>
      </c>
      <c r="AJ121" s="10" t="str">
        <f>IFERROR(VLOOKUP(B121,'Pre-Summary'!$AZ$6:$BE$65,4,FALSE),"")</f>
        <v/>
      </c>
      <c r="AK121" s="10" t="str">
        <f>IFERROR(VLOOKUP(B121,'Pre-Summary'!$AZ$6:$BE$65,6,FALSE),"")</f>
        <v/>
      </c>
      <c r="AL121" s="10" t="str">
        <f>IFERROR(VLOOKUP(B121,'Pre-Summary'!$BG$6:$BL$44,3,FALSE),"")</f>
        <v/>
      </c>
      <c r="AM121" s="10" t="str">
        <f>IFERROR(VLOOKUP(B121,'Pre-Summary'!$BG$6:$BL$44,4,FALSE),"")</f>
        <v/>
      </c>
    </row>
    <row r="122" spans="2:39" ht="14.4" x14ac:dyDescent="0.3">
      <c r="B122">
        <v>11.9</v>
      </c>
      <c r="C122" t="str">
        <f>IFERROR(VLOOKUP(B122,'Pre-Summary'!$DI$6:$DM$23,4,FALSE),"")</f>
        <v/>
      </c>
      <c r="D122" s="10" t="str">
        <f>IFERROR(VLOOKUP(B122,'Pre-Summary'!$AT$6:$AX$14,5,FALSE),D121)</f>
        <v>DSMZ v1: Using DSMZ 120 without NaHCO3</v>
      </c>
      <c r="E122" s="10" t="str">
        <f>IFERROR(VLOOKUP(B122,'Pre-Summary'!$AT$6:$AX$15,4,FALSE),"")</f>
        <v/>
      </c>
      <c r="F122">
        <f>IFERROR(VLOOKUP(B122,'Pre-Summary'!$AL$6:$AQ$13,6,FALSE),F121)</f>
        <v>5.9405263157894746E-2</v>
      </c>
      <c r="G122" t="str">
        <f>IFERROR(VLOOKUP(B122,'Pre-Summary'!$AE$6:$AJ$85,3,FALSE),"")</f>
        <v/>
      </c>
      <c r="H122" t="str">
        <f>IFERROR(VLOOKUP(B122,'Pre-Summary'!$AE$6:$AJ$85,4,FALSE),"")</f>
        <v/>
      </c>
      <c r="I122" t="str">
        <f>IFERROR(VLOOKUP(B122,'Pre-Summary'!$AE$6:$AJ$85,5,FALSE),"")</f>
        <v/>
      </c>
      <c r="J122" s="45" t="str">
        <f>IFERROR(VLOOKUP(B122,'Pre-Summary'!$AE$6:$AJ$85,6, FALSE),"")</f>
        <v/>
      </c>
      <c r="K122" s="45" t="str">
        <f>IFERROR(VLOOKUP(B122,'Pre-Summary'!$DE$6:$DG$61,3,FALSE),"")</f>
        <v/>
      </c>
      <c r="L122" s="45" t="str">
        <f>IFERROR(VLOOKUP(B122,'Pre-Summary'!$CU$6:$CW$36,3,FALSE),"")</f>
        <v/>
      </c>
      <c r="M122" s="45" t="str">
        <f>IFERROR(VLOOKUP(B122,'Pre-Summary'!$BW$6:$BY$58,2,FALSE),"")</f>
        <v/>
      </c>
      <c r="N122" s="45" t="str">
        <f>IFERROR(VLOOKUP(B122,'Pre-Summary'!$CD$6:$CF$64,2,FALSE),"")</f>
        <v/>
      </c>
      <c r="O122" s="99">
        <f>IFERROR(VLOOKUP(B122,'Pre-Summary'!$BO$6:$BQ$48,3, FALSE),O121)</f>
        <v>1.0915248032216731</v>
      </c>
      <c r="P122" s="99">
        <f>IFERROR(VLOOKUP(B122,'Pre-Summary'!$BS$6:$BU$35,3,FALSE),P121)</f>
        <v>0.25</v>
      </c>
      <c r="Q122" s="54">
        <f t="shared" si="3"/>
        <v>4.3660992128866924</v>
      </c>
      <c r="R122" s="53">
        <f>IFERROR(VLOOKUP(B122,'Pre-Summary'!$BG$6:$BM$44,7,FALSE),R123)</f>
        <v>2.7904161219319636E-2</v>
      </c>
      <c r="S122" s="53">
        <f>IFERROR(VLOOKUP(B122,'Pre-Summary'!$BG$6:$BM$44,6,FALSE),S123)</f>
        <v>3.3978715219895171E-2</v>
      </c>
      <c r="T122" s="45" t="str">
        <f>IFERROR(VLOOKUP(B122,'Pre-Summary'!$Y$6:$AC$83, 3,FALSE),"")</f>
        <v/>
      </c>
      <c r="U122" s="45" t="str">
        <f>IFERROR(VLOOKUP(B122,'Pre-Summary'!$Y$6:$AC$83, 4,FALSE),"")</f>
        <v/>
      </c>
      <c r="V122" t="str">
        <f>IFERROR(VLOOKUP(B122,'Pre-Summary'!$Y$6:$AC$83, 5,FALSE),"")</f>
        <v/>
      </c>
      <c r="W122" s="45" t="str">
        <f>IFERROR(VLOOKUP(B122,'Pre-Summary'!$Y$6:$AD$83,6,FALSE),"")</f>
        <v/>
      </c>
      <c r="X122" t="str">
        <f>IFERROR(VLOOKUP('Pre-Summary'!$DB$6:$DD$63,3,FALSE),"")</f>
        <v/>
      </c>
      <c r="Y122" t="str">
        <f>IFERROR(VLOOKUP(B122,'Pre-Summary'!$CR$6:$CT$36,3,FALSE),"")</f>
        <v/>
      </c>
      <c r="Z122" s="45" t="str">
        <f>IFERROR(VLOOKUP(B122,'Pre-Summary'!$BZ$6:$CB$63,2,FALSE),"")</f>
        <v/>
      </c>
      <c r="AA122" s="45" t="str">
        <f>IFERROR(VLOOKUP(B122,'Pre-Summary'!$CG$6:$CI$70,2,FALSE),"")</f>
        <v/>
      </c>
      <c r="AB122" s="99">
        <f>IFERROR(VLOOKUP(B122,'Pre-Summary'!$A$6:$P$178,9,FALSE),AB123)</f>
        <v>0.49660943396122104</v>
      </c>
      <c r="AC122" s="10">
        <f>IFERROR(VLOOKUP(Summary!B122,'Pre-Summary'!$A$6:$P$184,5, FALSE)/100,AC123)</f>
        <v>0.89163000000000014</v>
      </c>
      <c r="AD122" s="10">
        <f>IFERROR(VLOOKUP(Summary!B122,'Pre-Summary'!$A$6:$P$184,3, FALSE)/100,AD123)</f>
        <v>0</v>
      </c>
      <c r="AE122" s="10">
        <f>IFERROR(VLOOKUP(Summary!B122,'Pre-Summary'!$A$6:$P$184,7, FALSE)/100,AE123)</f>
        <v>0.10837000000000002</v>
      </c>
      <c r="AF122" s="99">
        <f t="shared" si="4"/>
        <v>0</v>
      </c>
      <c r="AG122" s="99">
        <f t="shared" si="5"/>
        <v>5.3817564358377534E-2</v>
      </c>
      <c r="AH122" s="10" t="str">
        <f>IFERROR(VLOOKUP(B122,'Pre-Summary'!$AZ$6:$BE$65,3,FALSE),"")</f>
        <v/>
      </c>
      <c r="AI122" s="10" t="str">
        <f>IFERROR(VLOOKUP(B122,'Pre-Summary'!$AZ$6:$BE$65,5,FALSE),"")</f>
        <v/>
      </c>
      <c r="AJ122" s="10" t="str">
        <f>IFERROR(VLOOKUP(B122,'Pre-Summary'!$AZ$6:$BE$65,4,FALSE),"")</f>
        <v/>
      </c>
      <c r="AK122" s="10" t="str">
        <f>IFERROR(VLOOKUP(B122,'Pre-Summary'!$AZ$6:$BE$65,6,FALSE),"")</f>
        <v/>
      </c>
      <c r="AL122" s="10" t="str">
        <f>IFERROR(VLOOKUP(B122,'Pre-Summary'!$BG$6:$BL$44,3,FALSE),"")</f>
        <v/>
      </c>
      <c r="AM122" s="10" t="str">
        <f>IFERROR(VLOOKUP(B122,'Pre-Summary'!$BG$6:$BL$44,4,FALSE),"")</f>
        <v/>
      </c>
    </row>
    <row r="123" spans="2:39" ht="14.4" x14ac:dyDescent="0.3">
      <c r="B123">
        <v>12</v>
      </c>
      <c r="C123" t="str">
        <f>IFERROR(VLOOKUP(B123,'Pre-Summary'!$DI$6:$DM$23,4,FALSE),"")</f>
        <v/>
      </c>
      <c r="D123" s="10" t="str">
        <f>IFERROR(VLOOKUP(B123,'Pre-Summary'!$AT$6:$AX$14,5,FALSE),D122)</f>
        <v>DSMZ v1: Using DSMZ 120 without NaHCO3</v>
      </c>
      <c r="E123" s="10" t="str">
        <f>IFERROR(VLOOKUP(B123,'Pre-Summary'!$AT$6:$AX$15,4,FALSE),"")</f>
        <v/>
      </c>
      <c r="F123">
        <f>IFERROR(VLOOKUP(B123,'Pre-Summary'!$AL$6:$AQ$13,6,FALSE),F122)</f>
        <v>5.9405263157894746E-2</v>
      </c>
      <c r="G123" t="str">
        <f>IFERROR(VLOOKUP(B123,'Pre-Summary'!$AE$6:$AJ$85,3,FALSE),"")</f>
        <v/>
      </c>
      <c r="H123" t="str">
        <f>IFERROR(VLOOKUP(B123,'Pre-Summary'!$AE$6:$AJ$85,4,FALSE),"")</f>
        <v/>
      </c>
      <c r="I123" t="str">
        <f>IFERROR(VLOOKUP(B123,'Pre-Summary'!$AE$6:$AJ$85,5,FALSE),"")</f>
        <v/>
      </c>
      <c r="J123" s="45" t="str">
        <f>IFERROR(VLOOKUP(B123,'Pre-Summary'!$AE$6:$AJ$85,6, FALSE),"")</f>
        <v/>
      </c>
      <c r="K123" s="45" t="str">
        <f>IFERROR(VLOOKUP(B123,'Pre-Summary'!$DE$6:$DG$61,3,FALSE),"")</f>
        <v/>
      </c>
      <c r="L123" s="45" t="str">
        <f>IFERROR(VLOOKUP(B123,'Pre-Summary'!$CU$6:$CW$36,3,FALSE),"")</f>
        <v/>
      </c>
      <c r="M123" s="45" t="str">
        <f>IFERROR(VLOOKUP(B123,'Pre-Summary'!$BW$6:$BY$58,2,FALSE),"")</f>
        <v/>
      </c>
      <c r="N123" s="45" t="str">
        <f>IFERROR(VLOOKUP(B123,'Pre-Summary'!$CD$6:$CF$64,2,FALSE),"")</f>
        <v/>
      </c>
      <c r="O123" s="99">
        <f>IFERROR(VLOOKUP(B123,'Pre-Summary'!$BO$6:$BQ$48,3, FALSE),O122)</f>
        <v>1.0915248032216731</v>
      </c>
      <c r="P123" s="99">
        <f>IFERROR(VLOOKUP(B123,'Pre-Summary'!$BS$6:$BU$35,3,FALSE),P122)</f>
        <v>0.25</v>
      </c>
      <c r="Q123" s="54">
        <f t="shared" si="3"/>
        <v>4.3660992128866924</v>
      </c>
      <c r="R123" s="53">
        <f>IFERROR(VLOOKUP(B123,'Pre-Summary'!$BG$6:$BM$44,7,FALSE),R124)</f>
        <v>2.7904161219319636E-2</v>
      </c>
      <c r="S123" s="53">
        <f>IFERROR(VLOOKUP(B123,'Pre-Summary'!$BG$6:$BM$44,6,FALSE),S124)</f>
        <v>3.3978715219895171E-2</v>
      </c>
      <c r="T123" s="45" t="str">
        <f>IFERROR(VLOOKUP(B123,'Pre-Summary'!$Y$6:$AC$83, 3,FALSE),"")</f>
        <v/>
      </c>
      <c r="U123" s="45" t="str">
        <f>IFERROR(VLOOKUP(B123,'Pre-Summary'!$Y$6:$AC$83, 4,FALSE),"")</f>
        <v/>
      </c>
      <c r="V123" t="str">
        <f>IFERROR(VLOOKUP(B123,'Pre-Summary'!$Y$6:$AC$83, 5,FALSE),"")</f>
        <v/>
      </c>
      <c r="W123" s="45" t="str">
        <f>IFERROR(VLOOKUP(B123,'Pre-Summary'!$Y$6:$AD$83,6,FALSE),"")</f>
        <v/>
      </c>
      <c r="X123" t="str">
        <f>IFERROR(VLOOKUP('Pre-Summary'!$DB$6:$DD$63,3,FALSE),"")</f>
        <v/>
      </c>
      <c r="Y123" t="str">
        <f>IFERROR(VLOOKUP(B123,'Pre-Summary'!$CR$6:$CT$36,3,FALSE),"")</f>
        <v/>
      </c>
      <c r="Z123" s="45" t="str">
        <f>IFERROR(VLOOKUP(B123,'Pre-Summary'!$BZ$6:$CB$63,2,FALSE),"")</f>
        <v/>
      </c>
      <c r="AA123" s="45" t="str">
        <f>IFERROR(VLOOKUP(B123,'Pre-Summary'!$CG$6:$CI$70,2,FALSE),"")</f>
        <v/>
      </c>
      <c r="AB123" s="99">
        <f>IFERROR(VLOOKUP(B123,'Pre-Summary'!$A$6:$P$178,9,FALSE),AB124)</f>
        <v>0.49660943396122104</v>
      </c>
      <c r="AC123" s="10">
        <f>IFERROR(VLOOKUP(Summary!B123,'Pre-Summary'!$A$6:$P$184,5, FALSE)/100,AC124)</f>
        <v>0.89163000000000014</v>
      </c>
      <c r="AD123" s="10">
        <f>IFERROR(VLOOKUP(Summary!B123,'Pre-Summary'!$A$6:$P$184,3, FALSE)/100,AD124)</f>
        <v>0</v>
      </c>
      <c r="AE123" s="10">
        <f>IFERROR(VLOOKUP(Summary!B123,'Pre-Summary'!$A$6:$P$184,7, FALSE)/100,AE124)</f>
        <v>0.10837000000000002</v>
      </c>
      <c r="AF123" s="99">
        <f t="shared" si="4"/>
        <v>0</v>
      </c>
      <c r="AG123" s="99">
        <f t="shared" si="5"/>
        <v>5.3817564358377534E-2</v>
      </c>
      <c r="AH123" s="10" t="str">
        <f>IFERROR(VLOOKUP(B123,'Pre-Summary'!$AZ$6:$BE$65,3,FALSE),"")</f>
        <v/>
      </c>
      <c r="AI123" s="10" t="str">
        <f>IFERROR(VLOOKUP(B123,'Pre-Summary'!$AZ$6:$BE$65,5,FALSE),"")</f>
        <v/>
      </c>
      <c r="AJ123" s="10" t="str">
        <f>IFERROR(VLOOKUP(B123,'Pre-Summary'!$AZ$6:$BE$65,4,FALSE),"")</f>
        <v/>
      </c>
      <c r="AK123" s="10" t="str">
        <f>IFERROR(VLOOKUP(B123,'Pre-Summary'!$AZ$6:$BE$65,6,FALSE),"")</f>
        <v/>
      </c>
      <c r="AL123" s="10" t="str">
        <f>IFERROR(VLOOKUP(B123,'Pre-Summary'!$BG$6:$BL$44,3,FALSE),"")</f>
        <v/>
      </c>
      <c r="AM123" s="10" t="str">
        <f>IFERROR(VLOOKUP(B123,'Pre-Summary'!$BG$6:$BL$44,4,FALSE),"")</f>
        <v/>
      </c>
    </row>
    <row r="124" spans="2:39" ht="14.4" x14ac:dyDescent="0.3">
      <c r="B124">
        <v>12.1</v>
      </c>
      <c r="C124" t="str">
        <f>IFERROR(VLOOKUP(B124,'Pre-Summary'!$DI$6:$DM$23,4,FALSE),"")</f>
        <v/>
      </c>
      <c r="D124" s="10" t="str">
        <f>IFERROR(VLOOKUP(B124,'Pre-Summary'!$AT$6:$AX$14,5,FALSE),D123)</f>
        <v>DSMZ v1: Using DSMZ 120 without NaHCO3</v>
      </c>
      <c r="E124" s="10" t="str">
        <f>IFERROR(VLOOKUP(B124,'Pre-Summary'!$AT$6:$AX$15,4,FALSE),"")</f>
        <v/>
      </c>
      <c r="F124">
        <f>IFERROR(VLOOKUP(B124,'Pre-Summary'!$AL$6:$AQ$13,6,FALSE),F123)</f>
        <v>5.9405263157894746E-2</v>
      </c>
      <c r="G124" t="str">
        <f>IFERROR(VLOOKUP(B124,'Pre-Summary'!$AE$6:$AJ$85,3,FALSE),"")</f>
        <v/>
      </c>
      <c r="H124" t="str">
        <f>IFERROR(VLOOKUP(B124,'Pre-Summary'!$AE$6:$AJ$85,4,FALSE),"")</f>
        <v/>
      </c>
      <c r="I124" t="str">
        <f>IFERROR(VLOOKUP(B124,'Pre-Summary'!$AE$6:$AJ$85,5,FALSE),"")</f>
        <v/>
      </c>
      <c r="J124" s="45" t="str">
        <f>IFERROR(VLOOKUP(B124,'Pre-Summary'!$AE$6:$AJ$85,6, FALSE),"")</f>
        <v/>
      </c>
      <c r="K124" s="45" t="str">
        <f>IFERROR(VLOOKUP(B124,'Pre-Summary'!$DE$6:$DG$61,3,FALSE),"")</f>
        <v/>
      </c>
      <c r="L124" s="45" t="str">
        <f>IFERROR(VLOOKUP(B124,'Pre-Summary'!$CU$6:$CW$36,3,FALSE),"")</f>
        <v/>
      </c>
      <c r="M124" s="45" t="str">
        <f>IFERROR(VLOOKUP(B124,'Pre-Summary'!$BW$6:$BY$58,2,FALSE),"")</f>
        <v/>
      </c>
      <c r="N124" s="45" t="str">
        <f>IFERROR(VLOOKUP(B124,'Pre-Summary'!$CD$6:$CF$64,2,FALSE),"")</f>
        <v/>
      </c>
      <c r="O124" s="99">
        <f>IFERROR(VLOOKUP(B124,'Pre-Summary'!$BO$6:$BQ$48,3, FALSE),O123)</f>
        <v>1.0915248032216731</v>
      </c>
      <c r="P124" s="99">
        <f>IFERROR(VLOOKUP(B124,'Pre-Summary'!$BS$6:$BU$35,3,FALSE),P123)</f>
        <v>0.25</v>
      </c>
      <c r="Q124" s="54">
        <f t="shared" si="3"/>
        <v>4.3660992128866924</v>
      </c>
      <c r="R124" s="53">
        <f>IFERROR(VLOOKUP(B124,'Pre-Summary'!$BG$6:$BM$44,7,FALSE),R125)</f>
        <v>2.7904161219319636E-2</v>
      </c>
      <c r="S124" s="53">
        <f>IFERROR(VLOOKUP(B124,'Pre-Summary'!$BG$6:$BM$44,6,FALSE),S125)</f>
        <v>3.3978715219895171E-2</v>
      </c>
      <c r="T124" s="45" t="str">
        <f>IFERROR(VLOOKUP(B124,'Pre-Summary'!$Y$6:$AC$83, 3,FALSE),"")</f>
        <v/>
      </c>
      <c r="U124" s="45" t="str">
        <f>IFERROR(VLOOKUP(B124,'Pre-Summary'!$Y$6:$AC$83, 4,FALSE),"")</f>
        <v/>
      </c>
      <c r="V124" t="str">
        <f>IFERROR(VLOOKUP(B124,'Pre-Summary'!$Y$6:$AC$83, 5,FALSE),"")</f>
        <v/>
      </c>
      <c r="W124" s="45" t="str">
        <f>IFERROR(VLOOKUP(B124,'Pre-Summary'!$Y$6:$AD$83,6,FALSE),"")</f>
        <v/>
      </c>
      <c r="X124" t="str">
        <f>IFERROR(VLOOKUP('Pre-Summary'!$DB$6:$DD$63,3,FALSE),"")</f>
        <v/>
      </c>
      <c r="Y124" t="str">
        <f>IFERROR(VLOOKUP(B124,'Pre-Summary'!$CR$6:$CT$36,3,FALSE),"")</f>
        <v/>
      </c>
      <c r="Z124" s="45" t="str">
        <f>IFERROR(VLOOKUP(B124,'Pre-Summary'!$BZ$6:$CB$63,2,FALSE),"")</f>
        <v/>
      </c>
      <c r="AA124" s="45" t="str">
        <f>IFERROR(VLOOKUP(B124,'Pre-Summary'!$CG$6:$CI$70,2,FALSE),"")</f>
        <v/>
      </c>
      <c r="AB124" s="99">
        <f>IFERROR(VLOOKUP(B124,'Pre-Summary'!$A$6:$P$178,9,FALSE),AB125)</f>
        <v>0.49660943396122104</v>
      </c>
      <c r="AC124" s="10">
        <f>IFERROR(VLOOKUP(Summary!B124,'Pre-Summary'!$A$6:$P$184,5, FALSE)/100,AC125)</f>
        <v>0.89163000000000014</v>
      </c>
      <c r="AD124" s="10">
        <f>IFERROR(VLOOKUP(Summary!B124,'Pre-Summary'!$A$6:$P$184,3, FALSE)/100,AD125)</f>
        <v>0</v>
      </c>
      <c r="AE124" s="10">
        <f>IFERROR(VLOOKUP(Summary!B124,'Pre-Summary'!$A$6:$P$184,7, FALSE)/100,AE125)</f>
        <v>0.10837000000000002</v>
      </c>
      <c r="AF124" s="99">
        <f t="shared" si="4"/>
        <v>0</v>
      </c>
      <c r="AG124" s="99">
        <f t="shared" si="5"/>
        <v>5.3817564358377534E-2</v>
      </c>
      <c r="AH124" s="10" t="str">
        <f>IFERROR(VLOOKUP(B124,'Pre-Summary'!$AZ$6:$BE$65,3,FALSE),"")</f>
        <v/>
      </c>
      <c r="AI124" s="10" t="str">
        <f>IFERROR(VLOOKUP(B124,'Pre-Summary'!$AZ$6:$BE$65,5,FALSE),"")</f>
        <v/>
      </c>
      <c r="AJ124" s="10" t="str">
        <f>IFERROR(VLOOKUP(B124,'Pre-Summary'!$AZ$6:$BE$65,4,FALSE),"")</f>
        <v/>
      </c>
      <c r="AK124" s="10" t="str">
        <f>IFERROR(VLOOKUP(B124,'Pre-Summary'!$AZ$6:$BE$65,6,FALSE),"")</f>
        <v/>
      </c>
      <c r="AL124" s="10" t="str">
        <f>IFERROR(VLOOKUP(B124,'Pre-Summary'!$BG$6:$BL$44,3,FALSE),"")</f>
        <v/>
      </c>
      <c r="AM124" s="10" t="str">
        <f>IFERROR(VLOOKUP(B124,'Pre-Summary'!$BG$6:$BL$44,4,FALSE),"")</f>
        <v/>
      </c>
    </row>
    <row r="125" spans="2:39" ht="14.4" x14ac:dyDescent="0.3">
      <c r="B125">
        <v>12.2</v>
      </c>
      <c r="C125" t="str">
        <f>IFERROR(VLOOKUP(B125,'Pre-Summary'!$DI$6:$DM$23,4,FALSE),"")</f>
        <v/>
      </c>
      <c r="D125" s="10" t="str">
        <f>IFERROR(VLOOKUP(B125,'Pre-Summary'!$AT$6:$AX$14,5,FALSE),D124)</f>
        <v>DSMZ v1: Using DSMZ 120 without NaHCO3</v>
      </c>
      <c r="E125" s="10" t="str">
        <f>IFERROR(VLOOKUP(B125,'Pre-Summary'!$AT$6:$AX$15,4,FALSE),"")</f>
        <v/>
      </c>
      <c r="F125">
        <f>IFERROR(VLOOKUP(B125,'Pre-Summary'!$AL$6:$AQ$13,6,FALSE),F124)</f>
        <v>5.9405263157894746E-2</v>
      </c>
      <c r="G125" t="str">
        <f>IFERROR(VLOOKUP(B125,'Pre-Summary'!$AE$6:$AJ$85,3,FALSE),"")</f>
        <v/>
      </c>
      <c r="H125" t="str">
        <f>IFERROR(VLOOKUP(B125,'Pre-Summary'!$AE$6:$AJ$85,4,FALSE),"")</f>
        <v/>
      </c>
      <c r="I125" t="str">
        <f>IFERROR(VLOOKUP(B125,'Pre-Summary'!$AE$6:$AJ$85,5,FALSE),"")</f>
        <v/>
      </c>
      <c r="J125" s="45" t="str">
        <f>IFERROR(VLOOKUP(B125,'Pre-Summary'!$AE$6:$AJ$85,6, FALSE),"")</f>
        <v/>
      </c>
      <c r="K125" s="45" t="str">
        <f>IFERROR(VLOOKUP(B125,'Pre-Summary'!$DE$6:$DG$61,3,FALSE),"")</f>
        <v/>
      </c>
      <c r="L125" s="45" t="str">
        <f>IFERROR(VLOOKUP(B125,'Pre-Summary'!$CU$6:$CW$36,3,FALSE),"")</f>
        <v/>
      </c>
      <c r="M125" s="45" t="str">
        <f>IFERROR(VLOOKUP(B125,'Pre-Summary'!$BW$6:$BY$58,2,FALSE),"")</f>
        <v/>
      </c>
      <c r="N125" s="45" t="str">
        <f>IFERROR(VLOOKUP(B125,'Pre-Summary'!$CD$6:$CF$64,2,FALSE),"")</f>
        <v/>
      </c>
      <c r="O125" s="99">
        <f>IFERROR(VLOOKUP(B125,'Pre-Summary'!$BO$6:$BQ$48,3, FALSE),O124)</f>
        <v>1.0915248032216731</v>
      </c>
      <c r="P125" s="99">
        <f>IFERROR(VLOOKUP(B125,'Pre-Summary'!$BS$6:$BU$35,3,FALSE),P124)</f>
        <v>0.25</v>
      </c>
      <c r="Q125" s="54">
        <f t="shared" si="3"/>
        <v>4.3660992128866924</v>
      </c>
      <c r="R125" s="53">
        <f>IFERROR(VLOOKUP(B125,'Pre-Summary'!$BG$6:$BM$44,7,FALSE),R126)</f>
        <v>2.7904161219319636E-2</v>
      </c>
      <c r="S125" s="53">
        <f>IFERROR(VLOOKUP(B125,'Pre-Summary'!$BG$6:$BM$44,6,FALSE),S126)</f>
        <v>3.3978715219895171E-2</v>
      </c>
      <c r="T125" s="45" t="str">
        <f>IFERROR(VLOOKUP(B125,'Pre-Summary'!$Y$6:$AC$83, 3,FALSE),"")</f>
        <v/>
      </c>
      <c r="U125" s="45" t="str">
        <f>IFERROR(VLOOKUP(B125,'Pre-Summary'!$Y$6:$AC$83, 4,FALSE),"")</f>
        <v/>
      </c>
      <c r="V125" t="str">
        <f>IFERROR(VLOOKUP(B125,'Pre-Summary'!$Y$6:$AC$83, 5,FALSE),"")</f>
        <v/>
      </c>
      <c r="W125" s="45" t="str">
        <f>IFERROR(VLOOKUP(B125,'Pre-Summary'!$Y$6:$AD$83,6,FALSE),"")</f>
        <v/>
      </c>
      <c r="X125" t="str">
        <f>IFERROR(VLOOKUP('Pre-Summary'!$DB$6:$DD$63,3,FALSE),"")</f>
        <v/>
      </c>
      <c r="Y125" t="str">
        <f>IFERROR(VLOOKUP(B125,'Pre-Summary'!$CR$6:$CT$36,3,FALSE),"")</f>
        <v/>
      </c>
      <c r="Z125" s="45" t="str">
        <f>IFERROR(VLOOKUP(B125,'Pre-Summary'!$BZ$6:$CB$63,2,FALSE),"")</f>
        <v/>
      </c>
      <c r="AA125" s="45" t="str">
        <f>IFERROR(VLOOKUP(B125,'Pre-Summary'!$CG$6:$CI$70,2,FALSE),"")</f>
        <v/>
      </c>
      <c r="AB125" s="99">
        <f>IFERROR(VLOOKUP(B125,'Pre-Summary'!$A$6:$P$178,9,FALSE),AB126)</f>
        <v>0.49660943396122104</v>
      </c>
      <c r="AC125" s="10">
        <f>IFERROR(VLOOKUP(Summary!B125,'Pre-Summary'!$A$6:$P$184,5, FALSE)/100,AC126)</f>
        <v>0.89163000000000014</v>
      </c>
      <c r="AD125" s="10">
        <f>IFERROR(VLOOKUP(Summary!B125,'Pre-Summary'!$A$6:$P$184,3, FALSE)/100,AD126)</f>
        <v>0</v>
      </c>
      <c r="AE125" s="10">
        <f>IFERROR(VLOOKUP(Summary!B125,'Pre-Summary'!$A$6:$P$184,7, FALSE)/100,AE126)</f>
        <v>0.10837000000000002</v>
      </c>
      <c r="AF125" s="99">
        <f t="shared" si="4"/>
        <v>0</v>
      </c>
      <c r="AG125" s="99">
        <f t="shared" si="5"/>
        <v>5.3817564358377534E-2</v>
      </c>
      <c r="AH125" s="10" t="str">
        <f>IFERROR(VLOOKUP(B125,'Pre-Summary'!$AZ$6:$BE$65,3,FALSE),"")</f>
        <v/>
      </c>
      <c r="AI125" s="10" t="str">
        <f>IFERROR(VLOOKUP(B125,'Pre-Summary'!$AZ$6:$BE$65,5,FALSE),"")</f>
        <v/>
      </c>
      <c r="AJ125" s="10" t="str">
        <f>IFERROR(VLOOKUP(B125,'Pre-Summary'!$AZ$6:$BE$65,4,FALSE),"")</f>
        <v/>
      </c>
      <c r="AK125" s="10" t="str">
        <f>IFERROR(VLOOKUP(B125,'Pre-Summary'!$AZ$6:$BE$65,6,FALSE),"")</f>
        <v/>
      </c>
      <c r="AL125" s="10" t="str">
        <f>IFERROR(VLOOKUP(B125,'Pre-Summary'!$BG$6:$BL$44,3,FALSE),"")</f>
        <v/>
      </c>
      <c r="AM125" s="10" t="str">
        <f>IFERROR(VLOOKUP(B125,'Pre-Summary'!$BG$6:$BL$44,4,FALSE),"")</f>
        <v/>
      </c>
    </row>
    <row r="126" spans="2:39" ht="14.4" x14ac:dyDescent="0.3">
      <c r="B126">
        <v>12.3</v>
      </c>
      <c r="C126" t="str">
        <f>IFERROR(VLOOKUP(B126,'Pre-Summary'!$DI$6:$DM$23,4,FALSE),"")</f>
        <v/>
      </c>
      <c r="D126" s="10" t="str">
        <f>IFERROR(VLOOKUP(B126,'Pre-Summary'!$AT$6:$AX$14,5,FALSE),D125)</f>
        <v>DSMZ v1: Using DSMZ 120 without NaHCO3</v>
      </c>
      <c r="E126" s="10" t="str">
        <f>IFERROR(VLOOKUP(B126,'Pre-Summary'!$AT$6:$AX$15,4,FALSE),"")</f>
        <v/>
      </c>
      <c r="F126">
        <f>IFERROR(VLOOKUP(B126,'Pre-Summary'!$AL$6:$AQ$13,6,FALSE),F125)</f>
        <v>5.9405263157894746E-2</v>
      </c>
      <c r="G126" t="str">
        <f>IFERROR(VLOOKUP(B126,'Pre-Summary'!$AE$6:$AJ$85,3,FALSE),"")</f>
        <v/>
      </c>
      <c r="H126" t="str">
        <f>IFERROR(VLOOKUP(B126,'Pre-Summary'!$AE$6:$AJ$85,4,FALSE),"")</f>
        <v/>
      </c>
      <c r="I126" t="str">
        <f>IFERROR(VLOOKUP(B126,'Pre-Summary'!$AE$6:$AJ$85,5,FALSE),"")</f>
        <v/>
      </c>
      <c r="J126" s="45" t="str">
        <f>IFERROR(VLOOKUP(B126,'Pre-Summary'!$AE$6:$AJ$85,6, FALSE),"")</f>
        <v/>
      </c>
      <c r="K126" s="45" t="str">
        <f>IFERROR(VLOOKUP(B126,'Pre-Summary'!$DE$6:$DG$61,3,FALSE),"")</f>
        <v/>
      </c>
      <c r="L126" s="45" t="str">
        <f>IFERROR(VLOOKUP(B126,'Pre-Summary'!$CU$6:$CW$36,3,FALSE),"")</f>
        <v/>
      </c>
      <c r="M126" s="45" t="str">
        <f>IFERROR(VLOOKUP(B126,'Pre-Summary'!$BW$6:$BY$58,2,FALSE),"")</f>
        <v/>
      </c>
      <c r="N126" s="45" t="str">
        <f>IFERROR(VLOOKUP(B126,'Pre-Summary'!$CD$6:$CF$64,2,FALSE),"")</f>
        <v/>
      </c>
      <c r="O126" s="99">
        <f>IFERROR(VLOOKUP(B126,'Pre-Summary'!$BO$6:$BQ$48,3, FALSE),O125)</f>
        <v>1.0915248032216731</v>
      </c>
      <c r="P126" s="99">
        <f>IFERROR(VLOOKUP(B126,'Pre-Summary'!$BS$6:$BU$35,3,FALSE),P125)</f>
        <v>0.25</v>
      </c>
      <c r="Q126" s="54">
        <f t="shared" si="3"/>
        <v>4.3660992128866924</v>
      </c>
      <c r="R126" s="53">
        <f>IFERROR(VLOOKUP(B126,'Pre-Summary'!$BG$6:$BM$44,7,FALSE),R127)</f>
        <v>2.7904161219319636E-2</v>
      </c>
      <c r="S126" s="53">
        <f>IFERROR(VLOOKUP(B126,'Pre-Summary'!$BG$6:$BM$44,6,FALSE),S127)</f>
        <v>3.3978715219895171E-2</v>
      </c>
      <c r="T126" s="45" t="str">
        <f>IFERROR(VLOOKUP(B126,'Pre-Summary'!$Y$6:$AC$83, 3,FALSE),"")</f>
        <v/>
      </c>
      <c r="U126" s="45" t="str">
        <f>IFERROR(VLOOKUP(B126,'Pre-Summary'!$Y$6:$AC$83, 4,FALSE),"")</f>
        <v/>
      </c>
      <c r="V126" t="str">
        <f>IFERROR(VLOOKUP(B126,'Pre-Summary'!$Y$6:$AC$83, 5,FALSE),"")</f>
        <v/>
      </c>
      <c r="W126" s="45" t="str">
        <f>IFERROR(VLOOKUP(B126,'Pre-Summary'!$Y$6:$AD$83,6,FALSE),"")</f>
        <v/>
      </c>
      <c r="X126" t="str">
        <f>IFERROR(VLOOKUP('Pre-Summary'!$DB$6:$DD$63,3,FALSE),"")</f>
        <v/>
      </c>
      <c r="Y126" t="str">
        <f>IFERROR(VLOOKUP(B126,'Pre-Summary'!$CR$6:$CT$36,3,FALSE),"")</f>
        <v/>
      </c>
      <c r="Z126" s="45" t="str">
        <f>IFERROR(VLOOKUP(B126,'Pre-Summary'!$BZ$6:$CB$63,2,FALSE),"")</f>
        <v/>
      </c>
      <c r="AA126" s="45" t="str">
        <f>IFERROR(VLOOKUP(B126,'Pre-Summary'!$CG$6:$CI$70,2,FALSE),"")</f>
        <v/>
      </c>
      <c r="AB126" s="99">
        <f>IFERROR(VLOOKUP(B126,'Pre-Summary'!$A$6:$P$178,9,FALSE),AB127)</f>
        <v>0.49660943396122104</v>
      </c>
      <c r="AC126" s="10">
        <f>IFERROR(VLOOKUP(Summary!B126,'Pre-Summary'!$A$6:$P$184,5, FALSE)/100,AC127)</f>
        <v>0.89163000000000014</v>
      </c>
      <c r="AD126" s="10">
        <f>IFERROR(VLOOKUP(Summary!B126,'Pre-Summary'!$A$6:$P$184,3, FALSE)/100,AD127)</f>
        <v>0</v>
      </c>
      <c r="AE126" s="10">
        <f>IFERROR(VLOOKUP(Summary!B126,'Pre-Summary'!$A$6:$P$184,7, FALSE)/100,AE127)</f>
        <v>0.10837000000000002</v>
      </c>
      <c r="AF126" s="99">
        <f t="shared" si="4"/>
        <v>0</v>
      </c>
      <c r="AG126" s="99">
        <f t="shared" si="5"/>
        <v>5.3817564358377534E-2</v>
      </c>
      <c r="AH126" s="10" t="str">
        <f>IFERROR(VLOOKUP(B126,'Pre-Summary'!$AZ$6:$BE$65,3,FALSE),"")</f>
        <v/>
      </c>
      <c r="AI126" s="10" t="str">
        <f>IFERROR(VLOOKUP(B126,'Pre-Summary'!$AZ$6:$BE$65,5,FALSE),"")</f>
        <v/>
      </c>
      <c r="AJ126" s="10" t="str">
        <f>IFERROR(VLOOKUP(B126,'Pre-Summary'!$AZ$6:$BE$65,4,FALSE),"")</f>
        <v/>
      </c>
      <c r="AK126" s="10" t="str">
        <f>IFERROR(VLOOKUP(B126,'Pre-Summary'!$AZ$6:$BE$65,6,FALSE),"")</f>
        <v/>
      </c>
      <c r="AL126" s="10" t="str">
        <f>IFERROR(VLOOKUP(B126,'Pre-Summary'!$BG$6:$BL$44,3,FALSE),"")</f>
        <v/>
      </c>
      <c r="AM126" s="10" t="str">
        <f>IFERROR(VLOOKUP(B126,'Pre-Summary'!$BG$6:$BL$44,4,FALSE),"")</f>
        <v/>
      </c>
    </row>
    <row r="127" spans="2:39" ht="14.4" x14ac:dyDescent="0.3">
      <c r="B127">
        <v>12.4</v>
      </c>
      <c r="C127" t="str">
        <f>IFERROR(VLOOKUP(B127,'Pre-Summary'!$DI$6:$DM$23,4,FALSE),"")</f>
        <v/>
      </c>
      <c r="D127" s="10" t="str">
        <f>IFERROR(VLOOKUP(B127,'Pre-Summary'!$AT$6:$AX$14,5,FALSE),D126)</f>
        <v>DSMZ v1: Using DSMZ 120 without NaHCO3</v>
      </c>
      <c r="E127" s="10" t="str">
        <f>IFERROR(VLOOKUP(B127,'Pre-Summary'!$AT$6:$AX$15,4,FALSE),"")</f>
        <v/>
      </c>
      <c r="F127">
        <f>IFERROR(VLOOKUP(B127,'Pre-Summary'!$AL$6:$AQ$13,6,FALSE),F126)</f>
        <v>5.9405263157894746E-2</v>
      </c>
      <c r="G127" t="str">
        <f>IFERROR(VLOOKUP(B127,'Pre-Summary'!$AE$6:$AJ$85,3,FALSE),"")</f>
        <v/>
      </c>
      <c r="H127" t="str">
        <f>IFERROR(VLOOKUP(B127,'Pre-Summary'!$AE$6:$AJ$85,4,FALSE),"")</f>
        <v/>
      </c>
      <c r="I127" t="str">
        <f>IFERROR(VLOOKUP(B127,'Pre-Summary'!$AE$6:$AJ$85,5,FALSE),"")</f>
        <v/>
      </c>
      <c r="J127" s="45" t="str">
        <f>IFERROR(VLOOKUP(B127,'Pre-Summary'!$AE$6:$AJ$85,6, FALSE),"")</f>
        <v/>
      </c>
      <c r="K127" s="45" t="str">
        <f>IFERROR(VLOOKUP(B127,'Pre-Summary'!$DE$6:$DG$61,3,FALSE),"")</f>
        <v/>
      </c>
      <c r="L127" s="45" t="str">
        <f>IFERROR(VLOOKUP(B127,'Pre-Summary'!$CU$6:$CW$36,3,FALSE),"")</f>
        <v/>
      </c>
      <c r="M127" s="45" t="str">
        <f>IFERROR(VLOOKUP(B127,'Pre-Summary'!$BW$6:$BY$58,2,FALSE),"")</f>
        <v/>
      </c>
      <c r="N127" s="45" t="str">
        <f>IFERROR(VLOOKUP(B127,'Pre-Summary'!$CD$6:$CF$64,2,FALSE),"")</f>
        <v/>
      </c>
      <c r="O127" s="99">
        <f>IFERROR(VLOOKUP(B127,'Pre-Summary'!$BO$6:$BQ$48,3, FALSE),O126)</f>
        <v>1.0915248032216731</v>
      </c>
      <c r="P127" s="99">
        <f>IFERROR(VLOOKUP(B127,'Pre-Summary'!$BS$6:$BU$35,3,FALSE),P126)</f>
        <v>0.25</v>
      </c>
      <c r="Q127" s="54">
        <f t="shared" si="3"/>
        <v>4.3660992128866924</v>
      </c>
      <c r="R127" s="53">
        <f>IFERROR(VLOOKUP(B127,'Pre-Summary'!$BG$6:$BM$44,7,FALSE),R128)</f>
        <v>2.7904161219319636E-2</v>
      </c>
      <c r="S127" s="53">
        <f>IFERROR(VLOOKUP(B127,'Pre-Summary'!$BG$6:$BM$44,6,FALSE),S128)</f>
        <v>3.3978715219895171E-2</v>
      </c>
      <c r="T127" s="45" t="str">
        <f>IFERROR(VLOOKUP(B127,'Pre-Summary'!$Y$6:$AC$83, 3,FALSE),"")</f>
        <v/>
      </c>
      <c r="U127" s="45" t="str">
        <f>IFERROR(VLOOKUP(B127,'Pre-Summary'!$Y$6:$AC$83, 4,FALSE),"")</f>
        <v/>
      </c>
      <c r="V127" t="str">
        <f>IFERROR(VLOOKUP(B127,'Pre-Summary'!$Y$6:$AC$83, 5,FALSE),"")</f>
        <v/>
      </c>
      <c r="W127" s="45" t="str">
        <f>IFERROR(VLOOKUP(B127,'Pre-Summary'!$Y$6:$AD$83,6,FALSE),"")</f>
        <v/>
      </c>
      <c r="X127" t="str">
        <f>IFERROR(VLOOKUP('Pre-Summary'!$DB$6:$DD$63,3,FALSE),"")</f>
        <v/>
      </c>
      <c r="Y127" t="str">
        <f>IFERROR(VLOOKUP(B127,'Pre-Summary'!$CR$6:$CT$36,3,FALSE),"")</f>
        <v/>
      </c>
      <c r="Z127" s="45" t="str">
        <f>IFERROR(VLOOKUP(B127,'Pre-Summary'!$BZ$6:$CB$63,2,FALSE),"")</f>
        <v/>
      </c>
      <c r="AA127" s="45" t="str">
        <f>IFERROR(VLOOKUP(B127,'Pre-Summary'!$CG$6:$CI$70,2,FALSE),"")</f>
        <v/>
      </c>
      <c r="AB127" s="99">
        <f>IFERROR(VLOOKUP(B127,'Pre-Summary'!$A$6:$P$178,9,FALSE),AB128)</f>
        <v>0.49660943396122104</v>
      </c>
      <c r="AC127" s="10">
        <f>IFERROR(VLOOKUP(Summary!B127,'Pre-Summary'!$A$6:$P$184,5, FALSE)/100,AC128)</f>
        <v>0.89163000000000014</v>
      </c>
      <c r="AD127" s="10">
        <f>IFERROR(VLOOKUP(Summary!B127,'Pre-Summary'!$A$6:$P$184,3, FALSE)/100,AD128)</f>
        <v>0</v>
      </c>
      <c r="AE127" s="10">
        <f>IFERROR(VLOOKUP(Summary!B127,'Pre-Summary'!$A$6:$P$184,7, FALSE)/100,AE128)</f>
        <v>0.10837000000000002</v>
      </c>
      <c r="AF127" s="99">
        <f t="shared" si="4"/>
        <v>0</v>
      </c>
      <c r="AG127" s="99">
        <f t="shared" si="5"/>
        <v>5.3817564358377534E-2</v>
      </c>
      <c r="AH127" s="10" t="str">
        <f>IFERROR(VLOOKUP(B127,'Pre-Summary'!$AZ$6:$BE$65,3,FALSE),"")</f>
        <v/>
      </c>
      <c r="AI127" s="10" t="str">
        <f>IFERROR(VLOOKUP(B127,'Pre-Summary'!$AZ$6:$BE$65,5,FALSE),"")</f>
        <v/>
      </c>
      <c r="AJ127" s="10" t="str">
        <f>IFERROR(VLOOKUP(B127,'Pre-Summary'!$AZ$6:$BE$65,4,FALSE),"")</f>
        <v/>
      </c>
      <c r="AK127" s="10" t="str">
        <f>IFERROR(VLOOKUP(B127,'Pre-Summary'!$AZ$6:$BE$65,6,FALSE),"")</f>
        <v/>
      </c>
      <c r="AL127" s="10" t="str">
        <f>IFERROR(VLOOKUP(B127,'Pre-Summary'!$BG$6:$BL$44,3,FALSE),"")</f>
        <v/>
      </c>
      <c r="AM127" s="10" t="str">
        <f>IFERROR(VLOOKUP(B127,'Pre-Summary'!$BG$6:$BL$44,4,FALSE),"")</f>
        <v/>
      </c>
    </row>
    <row r="128" spans="2:39" ht="14.4" x14ac:dyDescent="0.3">
      <c r="B128">
        <v>12.5</v>
      </c>
      <c r="C128" t="str">
        <f>IFERROR(VLOOKUP(B128,'Pre-Summary'!$DI$6:$DM$23,4,FALSE),"")</f>
        <v/>
      </c>
      <c r="D128" s="10" t="str">
        <f>IFERROR(VLOOKUP(B128,'Pre-Summary'!$AT$6:$AX$14,5,FALSE),D127)</f>
        <v>DSMZ v1: Using DSMZ 120 without NaHCO3</v>
      </c>
      <c r="E128" s="10" t="str">
        <f>IFERROR(VLOOKUP(B128,'Pre-Summary'!$AT$6:$AX$15,4,FALSE),"")</f>
        <v/>
      </c>
      <c r="F128">
        <f>IFERROR(VLOOKUP(B128,'Pre-Summary'!$AL$6:$AQ$13,6,FALSE),F127)</f>
        <v>5.9405263157894746E-2</v>
      </c>
      <c r="G128" t="str">
        <f>IFERROR(VLOOKUP(B128,'Pre-Summary'!$AE$6:$AJ$85,3,FALSE),"")</f>
        <v/>
      </c>
      <c r="H128" t="str">
        <f>IFERROR(VLOOKUP(B128,'Pre-Summary'!$AE$6:$AJ$85,4,FALSE),"")</f>
        <v/>
      </c>
      <c r="I128" t="str">
        <f>IFERROR(VLOOKUP(B128,'Pre-Summary'!$AE$6:$AJ$85,5,FALSE),"")</f>
        <v/>
      </c>
      <c r="J128" s="45" t="str">
        <f>IFERROR(VLOOKUP(B128,'Pre-Summary'!$AE$6:$AJ$85,6, FALSE),"")</f>
        <v/>
      </c>
      <c r="K128" s="45" t="str">
        <f>IFERROR(VLOOKUP(B128,'Pre-Summary'!$DE$6:$DG$61,3,FALSE),"")</f>
        <v/>
      </c>
      <c r="L128" s="45" t="str">
        <f>IFERROR(VLOOKUP(B128,'Pre-Summary'!$CU$6:$CW$36,3,FALSE),"")</f>
        <v/>
      </c>
      <c r="M128" s="45" t="str">
        <f>IFERROR(VLOOKUP(B128,'Pre-Summary'!$BW$6:$BY$58,2,FALSE),"")</f>
        <v/>
      </c>
      <c r="N128" s="45" t="str">
        <f>IFERROR(VLOOKUP(B128,'Pre-Summary'!$CD$6:$CF$64,2,FALSE),"")</f>
        <v/>
      </c>
      <c r="O128" s="99">
        <f>IFERROR(VLOOKUP(B128,'Pre-Summary'!$BO$6:$BQ$48,3, FALSE),O127)</f>
        <v>1.0915248032216731</v>
      </c>
      <c r="P128" s="99">
        <f>IFERROR(VLOOKUP(B128,'Pre-Summary'!$BS$6:$BU$35,3,FALSE),P127)</f>
        <v>0.25</v>
      </c>
      <c r="Q128" s="54">
        <f t="shared" si="3"/>
        <v>4.3660992128866924</v>
      </c>
      <c r="R128" s="53">
        <f>IFERROR(VLOOKUP(B128,'Pre-Summary'!$BG$6:$BM$44,7,FALSE),R129)</f>
        <v>2.7904161219319636E-2</v>
      </c>
      <c r="S128" s="53">
        <f>IFERROR(VLOOKUP(B128,'Pre-Summary'!$BG$6:$BM$44,6,FALSE),S129)</f>
        <v>3.3978715219895171E-2</v>
      </c>
      <c r="T128" s="45" t="str">
        <f>IFERROR(VLOOKUP(B128,'Pre-Summary'!$Y$6:$AC$83, 3,FALSE),"")</f>
        <v/>
      </c>
      <c r="U128" s="45" t="str">
        <f>IFERROR(VLOOKUP(B128,'Pre-Summary'!$Y$6:$AC$83, 4,FALSE),"")</f>
        <v/>
      </c>
      <c r="V128" t="str">
        <f>IFERROR(VLOOKUP(B128,'Pre-Summary'!$Y$6:$AC$83, 5,FALSE),"")</f>
        <v/>
      </c>
      <c r="W128" s="45" t="str">
        <f>IFERROR(VLOOKUP(B128,'Pre-Summary'!$Y$6:$AD$83,6,FALSE),"")</f>
        <v/>
      </c>
      <c r="X128" t="str">
        <f>IFERROR(VLOOKUP('Pre-Summary'!$DB$6:$DD$63,3,FALSE),"")</f>
        <v/>
      </c>
      <c r="Y128" t="str">
        <f>IFERROR(VLOOKUP(B128,'Pre-Summary'!$CR$6:$CT$36,3,FALSE),"")</f>
        <v/>
      </c>
      <c r="Z128" s="45" t="str">
        <f>IFERROR(VLOOKUP(B128,'Pre-Summary'!$BZ$6:$CB$63,2,FALSE),"")</f>
        <v/>
      </c>
      <c r="AA128" s="45" t="str">
        <f>IFERROR(VLOOKUP(B128,'Pre-Summary'!$CG$6:$CI$70,2,FALSE),"")</f>
        <v/>
      </c>
      <c r="AB128" s="99">
        <f>IFERROR(VLOOKUP(B128,'Pre-Summary'!$A$6:$P$178,9,FALSE),AB129)</f>
        <v>0.49660943396122104</v>
      </c>
      <c r="AC128" s="10">
        <f>IFERROR(VLOOKUP(Summary!B128,'Pre-Summary'!$A$6:$P$184,5, FALSE)/100,AC129)</f>
        <v>0.89163000000000014</v>
      </c>
      <c r="AD128" s="10">
        <f>IFERROR(VLOOKUP(Summary!B128,'Pre-Summary'!$A$6:$P$184,3, FALSE)/100,AD129)</f>
        <v>0</v>
      </c>
      <c r="AE128" s="10">
        <f>IFERROR(VLOOKUP(Summary!B128,'Pre-Summary'!$A$6:$P$184,7, FALSE)/100,AE129)</f>
        <v>0.10837000000000002</v>
      </c>
      <c r="AF128" s="99">
        <f t="shared" si="4"/>
        <v>0</v>
      </c>
      <c r="AG128" s="99">
        <f t="shared" si="5"/>
        <v>5.3817564358377534E-2</v>
      </c>
      <c r="AH128" s="10" t="str">
        <f>IFERROR(VLOOKUP(B128,'Pre-Summary'!$AZ$6:$BE$65,3,FALSE),"")</f>
        <v/>
      </c>
      <c r="AI128" s="10" t="str">
        <f>IFERROR(VLOOKUP(B128,'Pre-Summary'!$AZ$6:$BE$65,5,FALSE),"")</f>
        <v/>
      </c>
      <c r="AJ128" s="10" t="str">
        <f>IFERROR(VLOOKUP(B128,'Pre-Summary'!$AZ$6:$BE$65,4,FALSE),"")</f>
        <v/>
      </c>
      <c r="AK128" s="10" t="str">
        <f>IFERROR(VLOOKUP(B128,'Pre-Summary'!$AZ$6:$BE$65,6,FALSE),"")</f>
        <v/>
      </c>
      <c r="AL128" s="10" t="str">
        <f>IFERROR(VLOOKUP(B128,'Pre-Summary'!$BG$6:$BL$44,3,FALSE),"")</f>
        <v/>
      </c>
      <c r="AM128" s="10" t="str">
        <f>IFERROR(VLOOKUP(B128,'Pre-Summary'!$BG$6:$BL$44,4,FALSE),"")</f>
        <v/>
      </c>
    </row>
    <row r="129" spans="2:39" ht="14.4" x14ac:dyDescent="0.3">
      <c r="B129">
        <v>12.6</v>
      </c>
      <c r="C129" t="str">
        <f>IFERROR(VLOOKUP(B129,'Pre-Summary'!$DI$6:$DM$23,4,FALSE),"")</f>
        <v/>
      </c>
      <c r="D129" s="10" t="str">
        <f>IFERROR(VLOOKUP(B129,'Pre-Summary'!$AT$6:$AX$14,5,FALSE),D128)</f>
        <v>DSMZ v1: Using DSMZ 120 without NaHCO3</v>
      </c>
      <c r="E129" s="10" t="str">
        <f>IFERROR(VLOOKUP(B129,'Pre-Summary'!$AT$6:$AX$15,4,FALSE),"")</f>
        <v/>
      </c>
      <c r="F129">
        <f>IFERROR(VLOOKUP(B129,'Pre-Summary'!$AL$6:$AQ$13,6,FALSE),F128)</f>
        <v>5.9405263157894746E-2</v>
      </c>
      <c r="G129" t="str">
        <f>IFERROR(VLOOKUP(B129,'Pre-Summary'!$AE$6:$AJ$85,3,FALSE),"")</f>
        <v/>
      </c>
      <c r="H129" t="str">
        <f>IFERROR(VLOOKUP(B129,'Pre-Summary'!$AE$6:$AJ$85,4,FALSE),"")</f>
        <v/>
      </c>
      <c r="I129" t="str">
        <f>IFERROR(VLOOKUP(B129,'Pre-Summary'!$AE$6:$AJ$85,5,FALSE),"")</f>
        <v/>
      </c>
      <c r="J129" s="45" t="str">
        <f>IFERROR(VLOOKUP(B129,'Pre-Summary'!$AE$6:$AJ$85,6, FALSE),"")</f>
        <v/>
      </c>
      <c r="K129" s="45" t="str">
        <f>IFERROR(VLOOKUP(B129,'Pre-Summary'!$DE$6:$DG$61,3,FALSE),"")</f>
        <v/>
      </c>
      <c r="L129" s="45" t="str">
        <f>IFERROR(VLOOKUP(B129,'Pre-Summary'!$CU$6:$CW$36,3,FALSE),"")</f>
        <v/>
      </c>
      <c r="M129" s="45" t="str">
        <f>IFERROR(VLOOKUP(B129,'Pre-Summary'!$BW$6:$BY$58,2,FALSE),"")</f>
        <v/>
      </c>
      <c r="N129" s="45" t="str">
        <f>IFERROR(VLOOKUP(B129,'Pre-Summary'!$CD$6:$CF$64,2,FALSE),"")</f>
        <v/>
      </c>
      <c r="O129" s="99">
        <f>IFERROR(VLOOKUP(B129,'Pre-Summary'!$BO$6:$BQ$48,3, FALSE),O128)</f>
        <v>1.0915248032216731</v>
      </c>
      <c r="P129" s="99">
        <f>IFERROR(VLOOKUP(B129,'Pre-Summary'!$BS$6:$BU$35,3,FALSE),P128)</f>
        <v>0.25</v>
      </c>
      <c r="Q129" s="54">
        <f t="shared" si="3"/>
        <v>4.3660992128866924</v>
      </c>
      <c r="R129" s="53">
        <f>IFERROR(VLOOKUP(B129,'Pre-Summary'!$BG$6:$BM$44,7,FALSE),R130)</f>
        <v>2.7904161219319636E-2</v>
      </c>
      <c r="S129" s="53">
        <f>IFERROR(VLOOKUP(B129,'Pre-Summary'!$BG$6:$BM$44,6,FALSE),S130)</f>
        <v>3.3978715219895171E-2</v>
      </c>
      <c r="T129" s="45" t="str">
        <f>IFERROR(VLOOKUP(B129,'Pre-Summary'!$Y$6:$AC$83, 3,FALSE),"")</f>
        <v/>
      </c>
      <c r="U129" s="45" t="str">
        <f>IFERROR(VLOOKUP(B129,'Pre-Summary'!$Y$6:$AC$83, 4,FALSE),"")</f>
        <v/>
      </c>
      <c r="V129" t="str">
        <f>IFERROR(VLOOKUP(B129,'Pre-Summary'!$Y$6:$AC$83, 5,FALSE),"")</f>
        <v/>
      </c>
      <c r="W129" s="45" t="str">
        <f>IFERROR(VLOOKUP(B129,'Pre-Summary'!$Y$6:$AD$83,6,FALSE),"")</f>
        <v/>
      </c>
      <c r="X129" t="str">
        <f>IFERROR(VLOOKUP('Pre-Summary'!$DB$6:$DD$63,3,FALSE),"")</f>
        <v/>
      </c>
      <c r="Y129" t="str">
        <f>IFERROR(VLOOKUP(B129,'Pre-Summary'!$CR$6:$CT$36,3,FALSE),"")</f>
        <v/>
      </c>
      <c r="Z129" s="45" t="str">
        <f>IFERROR(VLOOKUP(B129,'Pre-Summary'!$BZ$6:$CB$63,2,FALSE),"")</f>
        <v/>
      </c>
      <c r="AA129" s="45" t="str">
        <f>IFERROR(VLOOKUP(B129,'Pre-Summary'!$CG$6:$CI$70,2,FALSE),"")</f>
        <v/>
      </c>
      <c r="AB129" s="99">
        <f>IFERROR(VLOOKUP(B129,'Pre-Summary'!$A$6:$P$178,9,FALSE),AB130)</f>
        <v>0.49660943396122104</v>
      </c>
      <c r="AC129" s="10">
        <f>IFERROR(VLOOKUP(Summary!B129,'Pre-Summary'!$A$6:$P$184,5, FALSE)/100,AC130)</f>
        <v>0.89163000000000014</v>
      </c>
      <c r="AD129" s="10">
        <f>IFERROR(VLOOKUP(Summary!B129,'Pre-Summary'!$A$6:$P$184,3, FALSE)/100,AD130)</f>
        <v>0</v>
      </c>
      <c r="AE129" s="10">
        <f>IFERROR(VLOOKUP(Summary!B129,'Pre-Summary'!$A$6:$P$184,7, FALSE)/100,AE130)</f>
        <v>0.10837000000000002</v>
      </c>
      <c r="AF129" s="99">
        <f t="shared" si="4"/>
        <v>0</v>
      </c>
      <c r="AG129" s="99">
        <f t="shared" si="5"/>
        <v>5.3817564358377534E-2</v>
      </c>
      <c r="AH129" s="10" t="str">
        <f>IFERROR(VLOOKUP(B129,'Pre-Summary'!$AZ$6:$BE$65,3,FALSE),"")</f>
        <v/>
      </c>
      <c r="AI129" s="10" t="str">
        <f>IFERROR(VLOOKUP(B129,'Pre-Summary'!$AZ$6:$BE$65,5,FALSE),"")</f>
        <v/>
      </c>
      <c r="AJ129" s="10" t="str">
        <f>IFERROR(VLOOKUP(B129,'Pre-Summary'!$AZ$6:$BE$65,4,FALSE),"")</f>
        <v/>
      </c>
      <c r="AK129" s="10" t="str">
        <f>IFERROR(VLOOKUP(B129,'Pre-Summary'!$AZ$6:$BE$65,6,FALSE),"")</f>
        <v/>
      </c>
      <c r="AL129" s="10" t="str">
        <f>IFERROR(VLOOKUP(B129,'Pre-Summary'!$BG$6:$BL$44,3,FALSE),"")</f>
        <v/>
      </c>
      <c r="AM129" s="10" t="str">
        <f>IFERROR(VLOOKUP(B129,'Pre-Summary'!$BG$6:$BL$44,4,FALSE),"")</f>
        <v/>
      </c>
    </row>
    <row r="130" spans="2:39" ht="14.4" x14ac:dyDescent="0.3">
      <c r="B130">
        <v>12.7</v>
      </c>
      <c r="C130" t="str">
        <f>IFERROR(VLOOKUP(B130,'Pre-Summary'!$DI$6:$DM$23,4,FALSE),"")</f>
        <v/>
      </c>
      <c r="D130" s="10" t="str">
        <f>IFERROR(VLOOKUP(B130,'Pre-Summary'!$AT$6:$AX$14,5,FALSE),D129)</f>
        <v>DSMZ v1: Using DSMZ 120 without NaHCO3</v>
      </c>
      <c r="E130" s="10" t="str">
        <f>IFERROR(VLOOKUP(B130,'Pre-Summary'!$AT$6:$AX$15,4,FALSE),"")</f>
        <v/>
      </c>
      <c r="F130">
        <f>IFERROR(VLOOKUP(B130,'Pre-Summary'!$AL$6:$AQ$13,6,FALSE),F129)</f>
        <v>5.9405263157894746E-2</v>
      </c>
      <c r="G130" t="str">
        <f>IFERROR(VLOOKUP(B130,'Pre-Summary'!$AE$6:$AJ$85,3,FALSE),"")</f>
        <v/>
      </c>
      <c r="H130" t="str">
        <f>IFERROR(VLOOKUP(B130,'Pre-Summary'!$AE$6:$AJ$85,4,FALSE),"")</f>
        <v/>
      </c>
      <c r="I130" t="str">
        <f>IFERROR(VLOOKUP(B130,'Pre-Summary'!$AE$6:$AJ$85,5,FALSE),"")</f>
        <v/>
      </c>
      <c r="J130" s="45" t="str">
        <f>IFERROR(VLOOKUP(B130,'Pre-Summary'!$AE$6:$AJ$85,6, FALSE),"")</f>
        <v/>
      </c>
      <c r="K130" s="45" t="str">
        <f>IFERROR(VLOOKUP(B130,'Pre-Summary'!$DE$6:$DG$61,3,FALSE),"")</f>
        <v/>
      </c>
      <c r="L130" s="45" t="str">
        <f>IFERROR(VLOOKUP(B130,'Pre-Summary'!$CU$6:$CW$36,3,FALSE),"")</f>
        <v/>
      </c>
      <c r="M130" s="45" t="str">
        <f>IFERROR(VLOOKUP(B130,'Pre-Summary'!$BW$6:$BY$58,2,FALSE),"")</f>
        <v/>
      </c>
      <c r="N130" s="45" t="str">
        <f>IFERROR(VLOOKUP(B130,'Pre-Summary'!$CD$6:$CF$64,2,FALSE),"")</f>
        <v/>
      </c>
      <c r="O130" s="99">
        <f>IFERROR(VLOOKUP(B130,'Pre-Summary'!$BO$6:$BQ$48,3, FALSE),O129)</f>
        <v>1.0915248032216731</v>
      </c>
      <c r="P130" s="99">
        <f>IFERROR(VLOOKUP(B130,'Pre-Summary'!$BS$6:$BU$35,3,FALSE),P129)</f>
        <v>0.25</v>
      </c>
      <c r="Q130" s="54">
        <f t="shared" si="3"/>
        <v>4.3660992128866924</v>
      </c>
      <c r="R130" s="53">
        <f>IFERROR(VLOOKUP(B130,'Pre-Summary'!$BG$6:$BM$44,7,FALSE),R131)</f>
        <v>2.7904161219319636E-2</v>
      </c>
      <c r="S130" s="53">
        <f>IFERROR(VLOOKUP(B130,'Pre-Summary'!$BG$6:$BM$44,6,FALSE),S131)</f>
        <v>3.3978715219895171E-2</v>
      </c>
      <c r="T130" s="45" t="str">
        <f>IFERROR(VLOOKUP(B130,'Pre-Summary'!$Y$6:$AC$83, 3,FALSE),"")</f>
        <v/>
      </c>
      <c r="U130" s="45" t="str">
        <f>IFERROR(VLOOKUP(B130,'Pre-Summary'!$Y$6:$AC$83, 4,FALSE),"")</f>
        <v/>
      </c>
      <c r="V130" t="str">
        <f>IFERROR(VLOOKUP(B130,'Pre-Summary'!$Y$6:$AC$83, 5,FALSE),"")</f>
        <v/>
      </c>
      <c r="W130" s="45" t="str">
        <f>IFERROR(VLOOKUP(B130,'Pre-Summary'!$Y$6:$AD$83,6,FALSE),"")</f>
        <v/>
      </c>
      <c r="X130" t="str">
        <f>IFERROR(VLOOKUP('Pre-Summary'!$DB$6:$DD$63,3,FALSE),"")</f>
        <v/>
      </c>
      <c r="Y130" t="str">
        <f>IFERROR(VLOOKUP(B130,'Pre-Summary'!$CR$6:$CT$36,3,FALSE),"")</f>
        <v/>
      </c>
      <c r="Z130" s="45" t="str">
        <f>IFERROR(VLOOKUP(B130,'Pre-Summary'!$BZ$6:$CB$63,2,FALSE),"")</f>
        <v/>
      </c>
      <c r="AA130" s="45" t="str">
        <f>IFERROR(VLOOKUP(B130,'Pre-Summary'!$CG$6:$CI$70,2,FALSE),"")</f>
        <v/>
      </c>
      <c r="AB130" s="99">
        <f>IFERROR(VLOOKUP(B130,'Pre-Summary'!$A$6:$P$178,9,FALSE),AB131)</f>
        <v>0.49660943396122104</v>
      </c>
      <c r="AC130" s="10">
        <f>IFERROR(VLOOKUP(Summary!B130,'Pre-Summary'!$A$6:$P$184,5, FALSE)/100,AC131)</f>
        <v>0.89163000000000014</v>
      </c>
      <c r="AD130" s="10">
        <f>IFERROR(VLOOKUP(Summary!B130,'Pre-Summary'!$A$6:$P$184,3, FALSE)/100,AD131)</f>
        <v>0</v>
      </c>
      <c r="AE130" s="10">
        <f>IFERROR(VLOOKUP(Summary!B130,'Pre-Summary'!$A$6:$P$184,7, FALSE)/100,AE131)</f>
        <v>0.10837000000000002</v>
      </c>
      <c r="AF130" s="99">
        <f t="shared" si="4"/>
        <v>0</v>
      </c>
      <c r="AG130" s="99">
        <f t="shared" si="5"/>
        <v>5.3817564358377534E-2</v>
      </c>
      <c r="AH130" s="10" t="str">
        <f>IFERROR(VLOOKUP(B130,'Pre-Summary'!$AZ$6:$BE$65,3,FALSE),"")</f>
        <v/>
      </c>
      <c r="AI130" s="10" t="str">
        <f>IFERROR(VLOOKUP(B130,'Pre-Summary'!$AZ$6:$BE$65,5,FALSE),"")</f>
        <v/>
      </c>
      <c r="AJ130" s="10" t="str">
        <f>IFERROR(VLOOKUP(B130,'Pre-Summary'!$AZ$6:$BE$65,4,FALSE),"")</f>
        <v/>
      </c>
      <c r="AK130" s="10" t="str">
        <f>IFERROR(VLOOKUP(B130,'Pre-Summary'!$AZ$6:$BE$65,6,FALSE),"")</f>
        <v/>
      </c>
      <c r="AL130" s="10" t="str">
        <f>IFERROR(VLOOKUP(B130,'Pre-Summary'!$BG$6:$BL$44,3,FALSE),"")</f>
        <v/>
      </c>
      <c r="AM130" s="10" t="str">
        <f>IFERROR(VLOOKUP(B130,'Pre-Summary'!$BG$6:$BL$44,4,FALSE),"")</f>
        <v/>
      </c>
    </row>
    <row r="131" spans="2:39" ht="14.4" x14ac:dyDescent="0.3">
      <c r="B131">
        <v>12.8</v>
      </c>
      <c r="C131" t="str">
        <f>IFERROR(VLOOKUP(B131,'Pre-Summary'!$DI$6:$DM$23,4,FALSE),"")</f>
        <v/>
      </c>
      <c r="D131" s="10" t="str">
        <f>IFERROR(VLOOKUP(B131,'Pre-Summary'!$AT$6:$AX$14,5,FALSE),D130)</f>
        <v>DSMZ v1: Using DSMZ 120 without NaHCO3</v>
      </c>
      <c r="E131" s="10" t="str">
        <f>IFERROR(VLOOKUP(B131,'Pre-Summary'!$AT$6:$AX$15,4,FALSE),"")</f>
        <v/>
      </c>
      <c r="F131">
        <f>IFERROR(VLOOKUP(B131,'Pre-Summary'!$AL$6:$AQ$13,6,FALSE),F130)</f>
        <v>5.9405263157894746E-2</v>
      </c>
      <c r="G131" t="str">
        <f>IFERROR(VLOOKUP(B131,'Pre-Summary'!$AE$6:$AJ$85,3,FALSE),"")</f>
        <v/>
      </c>
      <c r="H131" t="str">
        <f>IFERROR(VLOOKUP(B131,'Pre-Summary'!$AE$6:$AJ$85,4,FALSE),"")</f>
        <v/>
      </c>
      <c r="I131" t="str">
        <f>IFERROR(VLOOKUP(B131,'Pre-Summary'!$AE$6:$AJ$85,5,FALSE),"")</f>
        <v/>
      </c>
      <c r="J131" s="45" t="str">
        <f>IFERROR(VLOOKUP(B131,'Pre-Summary'!$AE$6:$AJ$85,6, FALSE),"")</f>
        <v/>
      </c>
      <c r="K131" s="45" t="str">
        <f>IFERROR(VLOOKUP(B131,'Pre-Summary'!$DE$6:$DG$61,3,FALSE),"")</f>
        <v/>
      </c>
      <c r="L131" s="45" t="str">
        <f>IFERROR(VLOOKUP(B131,'Pre-Summary'!$CU$6:$CW$36,3,FALSE),"")</f>
        <v/>
      </c>
      <c r="M131" s="45" t="str">
        <f>IFERROR(VLOOKUP(B131,'Pre-Summary'!$BW$6:$BY$58,2,FALSE),"")</f>
        <v/>
      </c>
      <c r="N131" s="45" t="str">
        <f>IFERROR(VLOOKUP(B131,'Pre-Summary'!$CD$6:$CF$64,2,FALSE),"")</f>
        <v/>
      </c>
      <c r="O131" s="99">
        <f>IFERROR(VLOOKUP(B131,'Pre-Summary'!$BO$6:$BQ$48,3, FALSE),O130)</f>
        <v>1.0915248032216731</v>
      </c>
      <c r="P131" s="99">
        <f>IFERROR(VLOOKUP(B131,'Pre-Summary'!$BS$6:$BU$35,3,FALSE),P130)</f>
        <v>0.25</v>
      </c>
      <c r="Q131" s="54">
        <f t="shared" ref="Q131:Q194" si="6">O131/P131</f>
        <v>4.3660992128866924</v>
      </c>
      <c r="R131" s="53">
        <f>IFERROR(VLOOKUP(B131,'Pre-Summary'!$BG$6:$BM$44,7,FALSE),R132)</f>
        <v>2.7904161219319636E-2</v>
      </c>
      <c r="S131" s="53">
        <f>IFERROR(VLOOKUP(B131,'Pre-Summary'!$BG$6:$BM$44,6,FALSE),S132)</f>
        <v>3.3978715219895171E-2</v>
      </c>
      <c r="T131" s="45" t="str">
        <f>IFERROR(VLOOKUP(B131,'Pre-Summary'!$Y$6:$AC$83, 3,FALSE),"")</f>
        <v/>
      </c>
      <c r="U131" s="45" t="str">
        <f>IFERROR(VLOOKUP(B131,'Pre-Summary'!$Y$6:$AC$83, 4,FALSE),"")</f>
        <v/>
      </c>
      <c r="V131" t="str">
        <f>IFERROR(VLOOKUP(B131,'Pre-Summary'!$Y$6:$AC$83, 5,FALSE),"")</f>
        <v/>
      </c>
      <c r="W131" s="45" t="str">
        <f>IFERROR(VLOOKUP(B131,'Pre-Summary'!$Y$6:$AD$83,6,FALSE),"")</f>
        <v/>
      </c>
      <c r="X131" t="str">
        <f>IFERROR(VLOOKUP('Pre-Summary'!$DB$6:$DD$63,3,FALSE),"")</f>
        <v/>
      </c>
      <c r="Y131" t="str">
        <f>IFERROR(VLOOKUP(B131,'Pre-Summary'!$CR$6:$CT$36,3,FALSE),"")</f>
        <v/>
      </c>
      <c r="Z131" s="45" t="str">
        <f>IFERROR(VLOOKUP(B131,'Pre-Summary'!$BZ$6:$CB$63,2,FALSE),"")</f>
        <v/>
      </c>
      <c r="AA131" s="45" t="str">
        <f>IFERROR(VLOOKUP(B131,'Pre-Summary'!$CG$6:$CI$70,2,FALSE),"")</f>
        <v/>
      </c>
      <c r="AB131" s="99">
        <f>IFERROR(VLOOKUP(B131,'Pre-Summary'!$A$6:$P$178,9,FALSE),AB132)</f>
        <v>0.49660943396122104</v>
      </c>
      <c r="AC131" s="10">
        <f>IFERROR(VLOOKUP(Summary!B131,'Pre-Summary'!$A$6:$P$184,5, FALSE)/100,AC132)</f>
        <v>0.89163000000000014</v>
      </c>
      <c r="AD131" s="10">
        <f>IFERROR(VLOOKUP(Summary!B131,'Pre-Summary'!$A$6:$P$184,3, FALSE)/100,AD132)</f>
        <v>0</v>
      </c>
      <c r="AE131" s="10">
        <f>IFERROR(VLOOKUP(Summary!B131,'Pre-Summary'!$A$6:$P$184,7, FALSE)/100,AE132)</f>
        <v>0.10837000000000002</v>
      </c>
      <c r="AF131" s="99">
        <f t="shared" ref="AF131:AF194" si="7">AD131*AB131</f>
        <v>0</v>
      </c>
      <c r="AG131" s="99">
        <f t="shared" ref="AG131:AG194" si="8">AB131*AE131</f>
        <v>5.3817564358377534E-2</v>
      </c>
      <c r="AH131" s="10" t="str">
        <f>IFERROR(VLOOKUP(B131,'Pre-Summary'!$AZ$6:$BE$65,3,FALSE),"")</f>
        <v/>
      </c>
      <c r="AI131" s="10" t="str">
        <f>IFERROR(VLOOKUP(B131,'Pre-Summary'!$AZ$6:$BE$65,5,FALSE),"")</f>
        <v/>
      </c>
      <c r="AJ131" s="10" t="str">
        <f>IFERROR(VLOOKUP(B131,'Pre-Summary'!$AZ$6:$BE$65,4,FALSE),"")</f>
        <v/>
      </c>
      <c r="AK131" s="10" t="str">
        <f>IFERROR(VLOOKUP(B131,'Pre-Summary'!$AZ$6:$BE$65,6,FALSE),"")</f>
        <v/>
      </c>
      <c r="AL131" s="10" t="str">
        <f>IFERROR(VLOOKUP(B131,'Pre-Summary'!$BG$6:$BL$44,3,FALSE),"")</f>
        <v/>
      </c>
      <c r="AM131" s="10" t="str">
        <f>IFERROR(VLOOKUP(B131,'Pre-Summary'!$BG$6:$BL$44,4,FALSE),"")</f>
        <v/>
      </c>
    </row>
    <row r="132" spans="2:39" ht="14.4" x14ac:dyDescent="0.3">
      <c r="B132">
        <v>12.9</v>
      </c>
      <c r="C132" t="str">
        <f>IFERROR(VLOOKUP(B132,'Pre-Summary'!$DI$6:$DM$23,4,FALSE),"")</f>
        <v/>
      </c>
      <c r="D132" s="10" t="str">
        <f>IFERROR(VLOOKUP(B132,'Pre-Summary'!$AT$6:$AX$14,5,FALSE),D131)</f>
        <v>DSMZ v1: Using DSMZ 120 without NaHCO3</v>
      </c>
      <c r="E132" s="10" t="str">
        <f>IFERROR(VLOOKUP(B132,'Pre-Summary'!$AT$6:$AX$15,4,FALSE),"")</f>
        <v/>
      </c>
      <c r="F132">
        <f>IFERROR(VLOOKUP(B132,'Pre-Summary'!$AL$6:$AQ$13,6,FALSE),F131)</f>
        <v>5.9405263157894746E-2</v>
      </c>
      <c r="G132" t="str">
        <f>IFERROR(VLOOKUP(B132,'Pre-Summary'!$AE$6:$AJ$85,3,FALSE),"")</f>
        <v/>
      </c>
      <c r="H132" t="str">
        <f>IFERROR(VLOOKUP(B132,'Pre-Summary'!$AE$6:$AJ$85,4,FALSE),"")</f>
        <v/>
      </c>
      <c r="I132" t="str">
        <f>IFERROR(VLOOKUP(B132,'Pre-Summary'!$AE$6:$AJ$85,5,FALSE),"")</f>
        <v/>
      </c>
      <c r="J132" s="45" t="str">
        <f>IFERROR(VLOOKUP(B132,'Pre-Summary'!$AE$6:$AJ$85,6, FALSE),"")</f>
        <v/>
      </c>
      <c r="K132" s="45" t="str">
        <f>IFERROR(VLOOKUP(B132,'Pre-Summary'!$DE$6:$DG$61,3,FALSE),"")</f>
        <v/>
      </c>
      <c r="L132" s="45" t="str">
        <f>IFERROR(VLOOKUP(B132,'Pre-Summary'!$CU$6:$CW$36,3,FALSE),"")</f>
        <v/>
      </c>
      <c r="M132" s="45" t="str">
        <f>IFERROR(VLOOKUP(B132,'Pre-Summary'!$BW$6:$BY$58,2,FALSE),"")</f>
        <v/>
      </c>
      <c r="N132" s="45" t="str">
        <f>IFERROR(VLOOKUP(B132,'Pre-Summary'!$CD$6:$CF$64,2,FALSE),"")</f>
        <v/>
      </c>
      <c r="O132" s="99">
        <f>IFERROR(VLOOKUP(B132,'Pre-Summary'!$BO$6:$BQ$48,3, FALSE),O131)</f>
        <v>1.0915248032216731</v>
      </c>
      <c r="P132" s="99">
        <f>IFERROR(VLOOKUP(B132,'Pre-Summary'!$BS$6:$BU$35,3,FALSE),P131)</f>
        <v>0.25</v>
      </c>
      <c r="Q132" s="54">
        <f t="shared" si="6"/>
        <v>4.3660992128866924</v>
      </c>
      <c r="R132" s="53">
        <f>IFERROR(VLOOKUP(B132,'Pre-Summary'!$BG$6:$BM$44,7,FALSE),R133)</f>
        <v>2.7904161219319636E-2</v>
      </c>
      <c r="S132" s="53">
        <f>IFERROR(VLOOKUP(B132,'Pre-Summary'!$BG$6:$BM$44,6,FALSE),S133)</f>
        <v>3.3978715219895171E-2</v>
      </c>
      <c r="T132" s="45" t="str">
        <f>IFERROR(VLOOKUP(B132,'Pre-Summary'!$Y$6:$AC$83, 3,FALSE),"")</f>
        <v/>
      </c>
      <c r="U132" s="45" t="str">
        <f>IFERROR(VLOOKUP(B132,'Pre-Summary'!$Y$6:$AC$83, 4,FALSE),"")</f>
        <v/>
      </c>
      <c r="V132" t="str">
        <f>IFERROR(VLOOKUP(B132,'Pre-Summary'!$Y$6:$AC$83, 5,FALSE),"")</f>
        <v/>
      </c>
      <c r="W132" s="45" t="str">
        <f>IFERROR(VLOOKUP(B132,'Pre-Summary'!$Y$6:$AD$83,6,FALSE),"")</f>
        <v/>
      </c>
      <c r="X132" t="str">
        <f>IFERROR(VLOOKUP('Pre-Summary'!$DB$6:$DD$63,3,FALSE),"")</f>
        <v/>
      </c>
      <c r="Y132" t="str">
        <f>IFERROR(VLOOKUP(B132,'Pre-Summary'!$CR$6:$CT$36,3,FALSE),"")</f>
        <v/>
      </c>
      <c r="Z132" s="45" t="str">
        <f>IFERROR(VLOOKUP(B132,'Pre-Summary'!$BZ$6:$CB$63,2,FALSE),"")</f>
        <v/>
      </c>
      <c r="AA132" s="45" t="str">
        <f>IFERROR(VLOOKUP(B132,'Pre-Summary'!$CG$6:$CI$70,2,FALSE),"")</f>
        <v/>
      </c>
      <c r="AB132" s="99">
        <f>IFERROR(VLOOKUP(B132,'Pre-Summary'!$A$6:$P$178,9,FALSE),AB133)</f>
        <v>0.49660943396122104</v>
      </c>
      <c r="AC132" s="10">
        <f>IFERROR(VLOOKUP(Summary!B132,'Pre-Summary'!$A$6:$P$184,5, FALSE)/100,AC133)</f>
        <v>0.89163000000000014</v>
      </c>
      <c r="AD132" s="10">
        <f>IFERROR(VLOOKUP(Summary!B132,'Pre-Summary'!$A$6:$P$184,3, FALSE)/100,AD133)</f>
        <v>0</v>
      </c>
      <c r="AE132" s="10">
        <f>IFERROR(VLOOKUP(Summary!B132,'Pre-Summary'!$A$6:$P$184,7, FALSE)/100,AE133)</f>
        <v>0.10837000000000002</v>
      </c>
      <c r="AF132" s="99">
        <f t="shared" si="7"/>
        <v>0</v>
      </c>
      <c r="AG132" s="99">
        <f t="shared" si="8"/>
        <v>5.3817564358377534E-2</v>
      </c>
      <c r="AH132" s="10" t="str">
        <f>IFERROR(VLOOKUP(B132,'Pre-Summary'!$AZ$6:$BE$65,3,FALSE),"")</f>
        <v/>
      </c>
      <c r="AI132" s="10" t="str">
        <f>IFERROR(VLOOKUP(B132,'Pre-Summary'!$AZ$6:$BE$65,5,FALSE),"")</f>
        <v/>
      </c>
      <c r="AJ132" s="10" t="str">
        <f>IFERROR(VLOOKUP(B132,'Pre-Summary'!$AZ$6:$BE$65,4,FALSE),"")</f>
        <v/>
      </c>
      <c r="AK132" s="10" t="str">
        <f>IFERROR(VLOOKUP(B132,'Pre-Summary'!$AZ$6:$BE$65,6,FALSE),"")</f>
        <v/>
      </c>
      <c r="AL132" s="10" t="str">
        <f>IFERROR(VLOOKUP(B132,'Pre-Summary'!$BG$6:$BL$44,3,FALSE),"")</f>
        <v/>
      </c>
      <c r="AM132" s="10" t="str">
        <f>IFERROR(VLOOKUP(B132,'Pre-Summary'!$BG$6:$BL$44,4,FALSE),"")</f>
        <v/>
      </c>
    </row>
    <row r="133" spans="2:39" ht="14.4" x14ac:dyDescent="0.3">
      <c r="B133">
        <v>13</v>
      </c>
      <c r="C133" t="str">
        <f>IFERROR(VLOOKUP(B133,'Pre-Summary'!$DI$6:$DM$23,4,FALSE),"")</f>
        <v/>
      </c>
      <c r="D133" s="10" t="str">
        <f>IFERROR(VLOOKUP(B133,'Pre-Summary'!$AT$6:$AX$14,5,FALSE),D132)</f>
        <v>DSMZ v1: Using DSMZ 120 without NaHCO3</v>
      </c>
      <c r="E133" s="10" t="str">
        <f>IFERROR(VLOOKUP(B133,'Pre-Summary'!$AT$6:$AX$15,4,FALSE),"")</f>
        <v/>
      </c>
      <c r="F133">
        <f>IFERROR(VLOOKUP(B133,'Pre-Summary'!$AL$6:$AQ$13,6,FALSE),F132)</f>
        <v>5.9405263157894746E-2</v>
      </c>
      <c r="G133" t="str">
        <f>IFERROR(VLOOKUP(B133,'Pre-Summary'!$AE$6:$AJ$85,3,FALSE),"")</f>
        <v/>
      </c>
      <c r="H133" t="str">
        <f>IFERROR(VLOOKUP(B133,'Pre-Summary'!$AE$6:$AJ$85,4,FALSE),"")</f>
        <v/>
      </c>
      <c r="I133" t="str">
        <f>IFERROR(VLOOKUP(B133,'Pre-Summary'!$AE$6:$AJ$85,5,FALSE),"")</f>
        <v/>
      </c>
      <c r="J133" s="45" t="str">
        <f>IFERROR(VLOOKUP(B133,'Pre-Summary'!$AE$6:$AJ$85,6, FALSE),"")</f>
        <v/>
      </c>
      <c r="K133" s="45" t="str">
        <f>IFERROR(VLOOKUP(B133,'Pre-Summary'!$DE$6:$DG$61,3,FALSE),"")</f>
        <v/>
      </c>
      <c r="L133" s="45" t="str">
        <f>IFERROR(VLOOKUP(B133,'Pre-Summary'!$CU$6:$CW$36,3,FALSE),"")</f>
        <v/>
      </c>
      <c r="M133" s="45" t="str">
        <f>IFERROR(VLOOKUP(B133,'Pre-Summary'!$BW$6:$BY$58,2,FALSE),"")</f>
        <v/>
      </c>
      <c r="N133" s="45" t="str">
        <f>IFERROR(VLOOKUP(B133,'Pre-Summary'!$CD$6:$CF$64,2,FALSE),"")</f>
        <v/>
      </c>
      <c r="O133" s="99">
        <f>IFERROR(VLOOKUP(B133,'Pre-Summary'!$BO$6:$BQ$48,3, FALSE),O132)</f>
        <v>1.0915248032216731</v>
      </c>
      <c r="P133" s="99">
        <f>IFERROR(VLOOKUP(B133,'Pre-Summary'!$BS$6:$BU$35,3,FALSE),P132)</f>
        <v>0.25</v>
      </c>
      <c r="Q133" s="54">
        <f t="shared" si="6"/>
        <v>4.3660992128866924</v>
      </c>
      <c r="R133" s="53">
        <f>IFERROR(VLOOKUP(B133,'Pre-Summary'!$BG$6:$BM$44,7,FALSE),R134)</f>
        <v>2.7904161219319636E-2</v>
      </c>
      <c r="S133" s="53">
        <f>IFERROR(VLOOKUP(B133,'Pre-Summary'!$BG$6:$BM$44,6,FALSE),S134)</f>
        <v>3.3978715219895171E-2</v>
      </c>
      <c r="T133" s="45" t="str">
        <f>IFERROR(VLOOKUP(B133,'Pre-Summary'!$Y$6:$AC$83, 3,FALSE),"")</f>
        <v/>
      </c>
      <c r="U133" s="45" t="str">
        <f>IFERROR(VLOOKUP(B133,'Pre-Summary'!$Y$6:$AC$83, 4,FALSE),"")</f>
        <v/>
      </c>
      <c r="V133" t="str">
        <f>IFERROR(VLOOKUP(B133,'Pre-Summary'!$Y$6:$AC$83, 5,FALSE),"")</f>
        <v/>
      </c>
      <c r="W133" s="45" t="str">
        <f>IFERROR(VLOOKUP(B133,'Pre-Summary'!$Y$6:$AD$83,6,FALSE),"")</f>
        <v/>
      </c>
      <c r="X133" t="str">
        <f>IFERROR(VLOOKUP('Pre-Summary'!$DB$6:$DD$63,3,FALSE),"")</f>
        <v/>
      </c>
      <c r="Y133" t="str">
        <f>IFERROR(VLOOKUP(B133,'Pre-Summary'!$CR$6:$CT$36,3,FALSE),"")</f>
        <v/>
      </c>
      <c r="Z133" s="45" t="str">
        <f>IFERROR(VLOOKUP(B133,'Pre-Summary'!$BZ$6:$CB$63,2,FALSE),"")</f>
        <v/>
      </c>
      <c r="AA133" s="45" t="str">
        <f>IFERROR(VLOOKUP(B133,'Pre-Summary'!$CG$6:$CI$70,2,FALSE),"")</f>
        <v/>
      </c>
      <c r="AB133" s="99">
        <f>IFERROR(VLOOKUP(B133,'Pre-Summary'!$A$6:$P$178,9,FALSE),AB134)</f>
        <v>0.49660943396122104</v>
      </c>
      <c r="AC133" s="10">
        <f>IFERROR(VLOOKUP(Summary!B133,'Pre-Summary'!$A$6:$P$184,5, FALSE)/100,AC134)</f>
        <v>0.89163000000000014</v>
      </c>
      <c r="AD133" s="10">
        <f>IFERROR(VLOOKUP(Summary!B133,'Pre-Summary'!$A$6:$P$184,3, FALSE)/100,AD134)</f>
        <v>0</v>
      </c>
      <c r="AE133" s="10">
        <f>IFERROR(VLOOKUP(Summary!B133,'Pre-Summary'!$A$6:$P$184,7, FALSE)/100,AE134)</f>
        <v>0.10837000000000002</v>
      </c>
      <c r="AF133" s="99">
        <f t="shared" si="7"/>
        <v>0</v>
      </c>
      <c r="AG133" s="99">
        <f t="shared" si="8"/>
        <v>5.3817564358377534E-2</v>
      </c>
      <c r="AH133" s="10" t="str">
        <f>IFERROR(VLOOKUP(B133,'Pre-Summary'!$AZ$6:$BE$65,3,FALSE),"")</f>
        <v/>
      </c>
      <c r="AI133" s="10" t="str">
        <f>IFERROR(VLOOKUP(B133,'Pre-Summary'!$AZ$6:$BE$65,5,FALSE),"")</f>
        <v/>
      </c>
      <c r="AJ133" s="10" t="str">
        <f>IFERROR(VLOOKUP(B133,'Pre-Summary'!$AZ$6:$BE$65,4,FALSE),"")</f>
        <v/>
      </c>
      <c r="AK133" s="10" t="str">
        <f>IFERROR(VLOOKUP(B133,'Pre-Summary'!$AZ$6:$BE$65,6,FALSE),"")</f>
        <v/>
      </c>
      <c r="AL133" s="10" t="str">
        <f>IFERROR(VLOOKUP(B133,'Pre-Summary'!$BG$6:$BL$44,3,FALSE),"")</f>
        <v/>
      </c>
      <c r="AM133" s="10" t="str">
        <f>IFERROR(VLOOKUP(B133,'Pre-Summary'!$BG$6:$BL$44,4,FALSE),"")</f>
        <v/>
      </c>
    </row>
    <row r="134" spans="2:39" ht="14.4" x14ac:dyDescent="0.3">
      <c r="B134">
        <v>13.1</v>
      </c>
      <c r="C134" t="str">
        <f>IFERROR(VLOOKUP(B134,'Pre-Summary'!$DI$6:$DM$23,4,FALSE),"")</f>
        <v/>
      </c>
      <c r="D134" s="10" t="str">
        <f>IFERROR(VLOOKUP(B134,'Pre-Summary'!$AT$6:$AX$14,5,FALSE),D133)</f>
        <v>DSMZ v1: Using DSMZ 120 without NaHCO3</v>
      </c>
      <c r="E134" s="10" t="str">
        <f>IFERROR(VLOOKUP(B134,'Pre-Summary'!$AT$6:$AX$15,4,FALSE),"")</f>
        <v/>
      </c>
      <c r="F134">
        <f>IFERROR(VLOOKUP(B134,'Pre-Summary'!$AL$6:$AQ$13,6,FALSE),F133)</f>
        <v>5.9405263157894746E-2</v>
      </c>
      <c r="G134" t="str">
        <f>IFERROR(VLOOKUP(B134,'Pre-Summary'!$AE$6:$AJ$85,3,FALSE),"")</f>
        <v/>
      </c>
      <c r="H134" t="str">
        <f>IFERROR(VLOOKUP(B134,'Pre-Summary'!$AE$6:$AJ$85,4,FALSE),"")</f>
        <v/>
      </c>
      <c r="I134" t="str">
        <f>IFERROR(VLOOKUP(B134,'Pre-Summary'!$AE$6:$AJ$85,5,FALSE),"")</f>
        <v/>
      </c>
      <c r="J134" s="45" t="str">
        <f>IFERROR(VLOOKUP(B134,'Pre-Summary'!$AE$6:$AJ$85,6, FALSE),"")</f>
        <v/>
      </c>
      <c r="K134" s="45" t="str">
        <f>IFERROR(VLOOKUP(B134,'Pre-Summary'!$DE$6:$DG$61,3,FALSE),"")</f>
        <v/>
      </c>
      <c r="L134" s="45" t="str">
        <f>IFERROR(VLOOKUP(B134,'Pre-Summary'!$CU$6:$CW$36,3,FALSE),"")</f>
        <v/>
      </c>
      <c r="M134" s="45" t="str">
        <f>IFERROR(VLOOKUP(B134,'Pre-Summary'!$BW$6:$BY$58,2,FALSE),"")</f>
        <v/>
      </c>
      <c r="N134" s="45" t="str">
        <f>IFERROR(VLOOKUP(B134,'Pre-Summary'!$CD$6:$CF$64,2,FALSE),"")</f>
        <v/>
      </c>
      <c r="O134" s="99">
        <f>IFERROR(VLOOKUP(B134,'Pre-Summary'!$BO$6:$BQ$48,3, FALSE),O133)</f>
        <v>1.0915248032216731</v>
      </c>
      <c r="P134" s="99">
        <f>IFERROR(VLOOKUP(B134,'Pre-Summary'!$BS$6:$BU$35,3,FALSE),P133)</f>
        <v>0.25</v>
      </c>
      <c r="Q134" s="54">
        <f t="shared" si="6"/>
        <v>4.3660992128866924</v>
      </c>
      <c r="R134" s="53">
        <f>IFERROR(VLOOKUP(B134,'Pre-Summary'!$BG$6:$BM$44,7,FALSE),R135)</f>
        <v>2.7904161219319636E-2</v>
      </c>
      <c r="S134" s="53">
        <f>IFERROR(VLOOKUP(B134,'Pre-Summary'!$BG$6:$BM$44,6,FALSE),S135)</f>
        <v>3.3978715219895171E-2</v>
      </c>
      <c r="T134" s="45" t="str">
        <f>IFERROR(VLOOKUP(B134,'Pre-Summary'!$Y$6:$AC$83, 3,FALSE),"")</f>
        <v/>
      </c>
      <c r="U134" s="45" t="str">
        <f>IFERROR(VLOOKUP(B134,'Pre-Summary'!$Y$6:$AC$83, 4,FALSE),"")</f>
        <v/>
      </c>
      <c r="V134" t="str">
        <f>IFERROR(VLOOKUP(B134,'Pre-Summary'!$Y$6:$AC$83, 5,FALSE),"")</f>
        <v/>
      </c>
      <c r="W134" s="45" t="str">
        <f>IFERROR(VLOOKUP(B134,'Pre-Summary'!$Y$6:$AD$83,6,FALSE),"")</f>
        <v/>
      </c>
      <c r="X134" t="str">
        <f>IFERROR(VLOOKUP('Pre-Summary'!$DB$6:$DD$63,3,FALSE),"")</f>
        <v/>
      </c>
      <c r="Y134" t="str">
        <f>IFERROR(VLOOKUP(B134,'Pre-Summary'!$CR$6:$CT$36,3,FALSE),"")</f>
        <v/>
      </c>
      <c r="Z134" s="45" t="str">
        <f>IFERROR(VLOOKUP(B134,'Pre-Summary'!$BZ$6:$CB$63,2,FALSE),"")</f>
        <v/>
      </c>
      <c r="AA134" s="45" t="str">
        <f>IFERROR(VLOOKUP(B134,'Pre-Summary'!$CG$6:$CI$70,2,FALSE),"")</f>
        <v/>
      </c>
      <c r="AB134" s="99">
        <f>IFERROR(VLOOKUP(B134,'Pre-Summary'!$A$6:$P$178,9,FALSE),AB135)</f>
        <v>0.49660943396122104</v>
      </c>
      <c r="AC134" s="10">
        <f>IFERROR(VLOOKUP(Summary!B134,'Pre-Summary'!$A$6:$P$184,5, FALSE)/100,AC135)</f>
        <v>0.89163000000000014</v>
      </c>
      <c r="AD134" s="10">
        <f>IFERROR(VLOOKUP(Summary!B134,'Pre-Summary'!$A$6:$P$184,3, FALSE)/100,AD135)</f>
        <v>0</v>
      </c>
      <c r="AE134" s="10">
        <f>IFERROR(VLOOKUP(Summary!B134,'Pre-Summary'!$A$6:$P$184,7, FALSE)/100,AE135)</f>
        <v>0.10837000000000002</v>
      </c>
      <c r="AF134" s="99">
        <f t="shared" si="7"/>
        <v>0</v>
      </c>
      <c r="AG134" s="99">
        <f t="shared" si="8"/>
        <v>5.3817564358377534E-2</v>
      </c>
      <c r="AH134" s="10" t="str">
        <f>IFERROR(VLOOKUP(B134,'Pre-Summary'!$AZ$6:$BE$65,3,FALSE),"")</f>
        <v/>
      </c>
      <c r="AI134" s="10" t="str">
        <f>IFERROR(VLOOKUP(B134,'Pre-Summary'!$AZ$6:$BE$65,5,FALSE),"")</f>
        <v/>
      </c>
      <c r="AJ134" s="10" t="str">
        <f>IFERROR(VLOOKUP(B134,'Pre-Summary'!$AZ$6:$BE$65,4,FALSE),"")</f>
        <v/>
      </c>
      <c r="AK134" s="10" t="str">
        <f>IFERROR(VLOOKUP(B134,'Pre-Summary'!$AZ$6:$BE$65,6,FALSE),"")</f>
        <v/>
      </c>
      <c r="AL134" s="10" t="str">
        <f>IFERROR(VLOOKUP(B134,'Pre-Summary'!$BG$6:$BL$44,3,FALSE),"")</f>
        <v/>
      </c>
      <c r="AM134" s="10" t="str">
        <f>IFERROR(VLOOKUP(B134,'Pre-Summary'!$BG$6:$BL$44,4,FALSE),"")</f>
        <v/>
      </c>
    </row>
    <row r="135" spans="2:39" ht="14.4" x14ac:dyDescent="0.3">
      <c r="B135">
        <v>13.2</v>
      </c>
      <c r="C135" t="str">
        <f>IFERROR(VLOOKUP(B135,'Pre-Summary'!$DI$6:$DM$23,4,FALSE),"")</f>
        <v/>
      </c>
      <c r="D135" s="10" t="str">
        <f>IFERROR(VLOOKUP(B135,'Pre-Summary'!$AT$6:$AX$14,5,FALSE),D134)</f>
        <v>DSMZ v1: Using DSMZ 120 without NaHCO3</v>
      </c>
      <c r="E135" s="10" t="str">
        <f>IFERROR(VLOOKUP(B135,'Pre-Summary'!$AT$6:$AX$15,4,FALSE),"")</f>
        <v/>
      </c>
      <c r="F135">
        <f>IFERROR(VLOOKUP(B135,'Pre-Summary'!$AL$6:$AQ$13,6,FALSE),F134)</f>
        <v>5.9405263157894746E-2</v>
      </c>
      <c r="G135" t="str">
        <f>IFERROR(VLOOKUP(B135,'Pre-Summary'!$AE$6:$AJ$85,3,FALSE),"")</f>
        <v/>
      </c>
      <c r="H135" t="str">
        <f>IFERROR(VLOOKUP(B135,'Pre-Summary'!$AE$6:$AJ$85,4,FALSE),"")</f>
        <v/>
      </c>
      <c r="I135" t="str">
        <f>IFERROR(VLOOKUP(B135,'Pre-Summary'!$AE$6:$AJ$85,5,FALSE),"")</f>
        <v/>
      </c>
      <c r="J135" s="45" t="str">
        <f>IFERROR(VLOOKUP(B135,'Pre-Summary'!$AE$6:$AJ$85,6, FALSE),"")</f>
        <v/>
      </c>
      <c r="K135" s="45" t="str">
        <f>IFERROR(VLOOKUP(B135,'Pre-Summary'!$DE$6:$DG$61,3,FALSE),"")</f>
        <v/>
      </c>
      <c r="L135" s="45" t="str">
        <f>IFERROR(VLOOKUP(B135,'Pre-Summary'!$CU$6:$CW$36,3,FALSE),"")</f>
        <v/>
      </c>
      <c r="M135" s="45" t="str">
        <f>IFERROR(VLOOKUP(B135,'Pre-Summary'!$BW$6:$BY$58,2,FALSE),"")</f>
        <v/>
      </c>
      <c r="N135" s="45" t="str">
        <f>IFERROR(VLOOKUP(B135,'Pre-Summary'!$CD$6:$CF$64,2,FALSE),"")</f>
        <v/>
      </c>
      <c r="O135" s="99">
        <f>IFERROR(VLOOKUP(B135,'Pre-Summary'!$BO$6:$BQ$48,3, FALSE),O134)</f>
        <v>1.0915248032216731</v>
      </c>
      <c r="P135" s="99">
        <f>IFERROR(VLOOKUP(B135,'Pre-Summary'!$BS$6:$BU$35,3,FALSE),P134)</f>
        <v>0.25</v>
      </c>
      <c r="Q135" s="54">
        <f t="shared" si="6"/>
        <v>4.3660992128866924</v>
      </c>
      <c r="R135" s="53">
        <f>IFERROR(VLOOKUP(B135,'Pre-Summary'!$BG$6:$BM$44,7,FALSE),R136)</f>
        <v>2.7904161219319636E-2</v>
      </c>
      <c r="S135" s="53">
        <f>IFERROR(VLOOKUP(B135,'Pre-Summary'!$BG$6:$BM$44,6,FALSE),S136)</f>
        <v>3.3978715219895171E-2</v>
      </c>
      <c r="T135" s="45" t="str">
        <f>IFERROR(VLOOKUP(B135,'Pre-Summary'!$Y$6:$AC$83, 3,FALSE),"")</f>
        <v/>
      </c>
      <c r="U135" s="45" t="str">
        <f>IFERROR(VLOOKUP(B135,'Pre-Summary'!$Y$6:$AC$83, 4,FALSE),"")</f>
        <v/>
      </c>
      <c r="V135" t="str">
        <f>IFERROR(VLOOKUP(B135,'Pre-Summary'!$Y$6:$AC$83, 5,FALSE),"")</f>
        <v/>
      </c>
      <c r="W135" s="45" t="str">
        <f>IFERROR(VLOOKUP(B135,'Pre-Summary'!$Y$6:$AD$83,6,FALSE),"")</f>
        <v/>
      </c>
      <c r="X135" t="str">
        <f>IFERROR(VLOOKUP('Pre-Summary'!$DB$6:$DD$63,3,FALSE),"")</f>
        <v/>
      </c>
      <c r="Y135" t="str">
        <f>IFERROR(VLOOKUP(B135,'Pre-Summary'!$CR$6:$CT$36,3,FALSE),"")</f>
        <v/>
      </c>
      <c r="Z135" s="45" t="str">
        <f>IFERROR(VLOOKUP(B135,'Pre-Summary'!$BZ$6:$CB$63,2,FALSE),"")</f>
        <v/>
      </c>
      <c r="AA135" s="45" t="str">
        <f>IFERROR(VLOOKUP(B135,'Pre-Summary'!$CG$6:$CI$70,2,FALSE),"")</f>
        <v/>
      </c>
      <c r="AB135" s="99">
        <f>IFERROR(VLOOKUP(B135,'Pre-Summary'!$A$6:$P$178,9,FALSE),AB136)</f>
        <v>0.49660943396122104</v>
      </c>
      <c r="AC135" s="10">
        <f>IFERROR(VLOOKUP(Summary!B135,'Pre-Summary'!$A$6:$P$184,5, FALSE)/100,AC136)</f>
        <v>0.89163000000000014</v>
      </c>
      <c r="AD135" s="10">
        <f>IFERROR(VLOOKUP(Summary!B135,'Pre-Summary'!$A$6:$P$184,3, FALSE)/100,AD136)</f>
        <v>0</v>
      </c>
      <c r="AE135" s="10">
        <f>IFERROR(VLOOKUP(Summary!B135,'Pre-Summary'!$A$6:$P$184,7, FALSE)/100,AE136)</f>
        <v>0.10837000000000002</v>
      </c>
      <c r="AF135" s="99">
        <f t="shared" si="7"/>
        <v>0</v>
      </c>
      <c r="AG135" s="99">
        <f t="shared" si="8"/>
        <v>5.3817564358377534E-2</v>
      </c>
      <c r="AH135" s="10" t="str">
        <f>IFERROR(VLOOKUP(B135,'Pre-Summary'!$AZ$6:$BE$65,3,FALSE),"")</f>
        <v/>
      </c>
      <c r="AI135" s="10" t="str">
        <f>IFERROR(VLOOKUP(B135,'Pre-Summary'!$AZ$6:$BE$65,5,FALSE),"")</f>
        <v/>
      </c>
      <c r="AJ135" s="10" t="str">
        <f>IFERROR(VLOOKUP(B135,'Pre-Summary'!$AZ$6:$BE$65,4,FALSE),"")</f>
        <v/>
      </c>
      <c r="AK135" s="10" t="str">
        <f>IFERROR(VLOOKUP(B135,'Pre-Summary'!$AZ$6:$BE$65,6,FALSE),"")</f>
        <v/>
      </c>
      <c r="AL135" s="10" t="str">
        <f>IFERROR(VLOOKUP(B135,'Pre-Summary'!$BG$6:$BL$44,3,FALSE),"")</f>
        <v/>
      </c>
      <c r="AM135" s="10" t="str">
        <f>IFERROR(VLOOKUP(B135,'Pre-Summary'!$BG$6:$BL$44,4,FALSE),"")</f>
        <v/>
      </c>
    </row>
    <row r="136" spans="2:39" ht="14.4" x14ac:dyDescent="0.3">
      <c r="B136">
        <v>13.3</v>
      </c>
      <c r="C136" t="str">
        <f>IFERROR(VLOOKUP(B136,'Pre-Summary'!$DI$6:$DM$23,4,FALSE),"")</f>
        <v/>
      </c>
      <c r="D136" s="10" t="str">
        <f>IFERROR(VLOOKUP(B136,'Pre-Summary'!$AT$6:$AX$14,5,FALSE),D135)</f>
        <v>DSMZ v1: Using DSMZ 120 without NaHCO3</v>
      </c>
      <c r="E136" s="10" t="str">
        <f>IFERROR(VLOOKUP(B136,'Pre-Summary'!$AT$6:$AX$15,4,FALSE),"")</f>
        <v/>
      </c>
      <c r="F136">
        <f>IFERROR(VLOOKUP(B136,'Pre-Summary'!$AL$6:$AQ$13,6,FALSE),F135)</f>
        <v>5.9405263157894746E-2</v>
      </c>
      <c r="G136" t="str">
        <f>IFERROR(VLOOKUP(B136,'Pre-Summary'!$AE$6:$AJ$85,3,FALSE),"")</f>
        <v/>
      </c>
      <c r="H136" t="str">
        <f>IFERROR(VLOOKUP(B136,'Pre-Summary'!$AE$6:$AJ$85,4,FALSE),"")</f>
        <v/>
      </c>
      <c r="I136" t="str">
        <f>IFERROR(VLOOKUP(B136,'Pre-Summary'!$AE$6:$AJ$85,5,FALSE),"")</f>
        <v/>
      </c>
      <c r="J136" s="45" t="str">
        <f>IFERROR(VLOOKUP(B136,'Pre-Summary'!$AE$6:$AJ$85,6, FALSE),"")</f>
        <v/>
      </c>
      <c r="K136" s="45" t="str">
        <f>IFERROR(VLOOKUP(B136,'Pre-Summary'!$DE$6:$DG$61,3,FALSE),"")</f>
        <v/>
      </c>
      <c r="L136" s="45" t="str">
        <f>IFERROR(VLOOKUP(B136,'Pre-Summary'!$CU$6:$CW$36,3,FALSE),"")</f>
        <v/>
      </c>
      <c r="M136" s="45" t="str">
        <f>IFERROR(VLOOKUP(B136,'Pre-Summary'!$BW$6:$BY$58,2,FALSE),"")</f>
        <v/>
      </c>
      <c r="N136" s="45" t="str">
        <f>IFERROR(VLOOKUP(B136,'Pre-Summary'!$CD$6:$CF$64,2,FALSE),"")</f>
        <v/>
      </c>
      <c r="O136" s="99">
        <f>IFERROR(VLOOKUP(B136,'Pre-Summary'!$BO$6:$BQ$48,3, FALSE),O135)</f>
        <v>1.0915248032216731</v>
      </c>
      <c r="P136" s="99">
        <f>IFERROR(VLOOKUP(B136,'Pre-Summary'!$BS$6:$BU$35,3,FALSE),P135)</f>
        <v>0.25</v>
      </c>
      <c r="Q136" s="54">
        <f t="shared" si="6"/>
        <v>4.3660992128866924</v>
      </c>
      <c r="R136" s="53">
        <f>IFERROR(VLOOKUP(B136,'Pre-Summary'!$BG$6:$BM$44,7,FALSE),R137)</f>
        <v>2.7904161219319636E-2</v>
      </c>
      <c r="S136" s="53">
        <f>IFERROR(VLOOKUP(B136,'Pre-Summary'!$BG$6:$BM$44,6,FALSE),S137)</f>
        <v>3.3978715219895171E-2</v>
      </c>
      <c r="T136" s="45" t="str">
        <f>IFERROR(VLOOKUP(B136,'Pre-Summary'!$Y$6:$AC$83, 3,FALSE),"")</f>
        <v/>
      </c>
      <c r="U136" s="45" t="str">
        <f>IFERROR(VLOOKUP(B136,'Pre-Summary'!$Y$6:$AC$83, 4,FALSE),"")</f>
        <v/>
      </c>
      <c r="V136" t="str">
        <f>IFERROR(VLOOKUP(B136,'Pre-Summary'!$Y$6:$AC$83, 5,FALSE),"")</f>
        <v/>
      </c>
      <c r="W136" s="45" t="str">
        <f>IFERROR(VLOOKUP(B136,'Pre-Summary'!$Y$6:$AD$83,6,FALSE),"")</f>
        <v/>
      </c>
      <c r="X136" t="str">
        <f>IFERROR(VLOOKUP('Pre-Summary'!$DB$6:$DD$63,3,FALSE),"")</f>
        <v/>
      </c>
      <c r="Y136" t="str">
        <f>IFERROR(VLOOKUP(B136,'Pre-Summary'!$CR$6:$CT$36,3,FALSE),"")</f>
        <v/>
      </c>
      <c r="Z136" s="45" t="str">
        <f>IFERROR(VLOOKUP(B136,'Pre-Summary'!$BZ$6:$CB$63,2,FALSE),"")</f>
        <v/>
      </c>
      <c r="AA136" s="45" t="str">
        <f>IFERROR(VLOOKUP(B136,'Pre-Summary'!$CG$6:$CI$70,2,FALSE),"")</f>
        <v/>
      </c>
      <c r="AB136" s="99">
        <f>IFERROR(VLOOKUP(B136,'Pre-Summary'!$A$6:$P$178,9,FALSE),AB137)</f>
        <v>0.49660943396122104</v>
      </c>
      <c r="AC136" s="10">
        <f>IFERROR(VLOOKUP(Summary!B136,'Pre-Summary'!$A$6:$P$184,5, FALSE)/100,AC137)</f>
        <v>0.89163000000000014</v>
      </c>
      <c r="AD136" s="10">
        <f>IFERROR(VLOOKUP(Summary!B136,'Pre-Summary'!$A$6:$P$184,3, FALSE)/100,AD137)</f>
        <v>0</v>
      </c>
      <c r="AE136" s="10">
        <f>IFERROR(VLOOKUP(Summary!B136,'Pre-Summary'!$A$6:$P$184,7, FALSE)/100,AE137)</f>
        <v>0.10837000000000002</v>
      </c>
      <c r="AF136" s="99">
        <f t="shared" si="7"/>
        <v>0</v>
      </c>
      <c r="AG136" s="99">
        <f t="shared" si="8"/>
        <v>5.3817564358377534E-2</v>
      </c>
      <c r="AH136" s="10" t="str">
        <f>IFERROR(VLOOKUP(B136,'Pre-Summary'!$AZ$6:$BE$65,3,FALSE),"")</f>
        <v/>
      </c>
      <c r="AI136" s="10" t="str">
        <f>IFERROR(VLOOKUP(B136,'Pre-Summary'!$AZ$6:$BE$65,5,FALSE),"")</f>
        <v/>
      </c>
      <c r="AJ136" s="10" t="str">
        <f>IFERROR(VLOOKUP(B136,'Pre-Summary'!$AZ$6:$BE$65,4,FALSE),"")</f>
        <v/>
      </c>
      <c r="AK136" s="10" t="str">
        <f>IFERROR(VLOOKUP(B136,'Pre-Summary'!$AZ$6:$BE$65,6,FALSE),"")</f>
        <v/>
      </c>
      <c r="AL136" s="10" t="str">
        <f>IFERROR(VLOOKUP(B136,'Pre-Summary'!$BG$6:$BL$44,3,FALSE),"")</f>
        <v/>
      </c>
      <c r="AM136" s="10" t="str">
        <f>IFERROR(VLOOKUP(B136,'Pre-Summary'!$BG$6:$BL$44,4,FALSE),"")</f>
        <v/>
      </c>
    </row>
    <row r="137" spans="2:39" ht="14.4" x14ac:dyDescent="0.3">
      <c r="B137">
        <v>13.4</v>
      </c>
      <c r="C137" t="str">
        <f>IFERROR(VLOOKUP(B137,'Pre-Summary'!$DI$6:$DM$23,4,FALSE),"")</f>
        <v/>
      </c>
      <c r="D137" s="10" t="str">
        <f>IFERROR(VLOOKUP(B137,'Pre-Summary'!$AT$6:$AX$14,5,FALSE),D136)</f>
        <v>DSMZ v1: Using DSMZ 120 without NaHCO3</v>
      </c>
      <c r="E137" s="10" t="str">
        <f>IFERROR(VLOOKUP(B137,'Pre-Summary'!$AT$6:$AX$15,4,FALSE),"")</f>
        <v/>
      </c>
      <c r="F137">
        <f>IFERROR(VLOOKUP(B137,'Pre-Summary'!$AL$6:$AQ$13,6,FALSE),F136)</f>
        <v>5.9405263157894746E-2</v>
      </c>
      <c r="G137" t="str">
        <f>IFERROR(VLOOKUP(B137,'Pre-Summary'!$AE$6:$AJ$85,3,FALSE),"")</f>
        <v/>
      </c>
      <c r="H137" t="str">
        <f>IFERROR(VLOOKUP(B137,'Pre-Summary'!$AE$6:$AJ$85,4,FALSE),"")</f>
        <v/>
      </c>
      <c r="I137" t="str">
        <f>IFERROR(VLOOKUP(B137,'Pre-Summary'!$AE$6:$AJ$85,5,FALSE),"")</f>
        <v/>
      </c>
      <c r="J137" s="45" t="str">
        <f>IFERROR(VLOOKUP(B137,'Pre-Summary'!$AE$6:$AJ$85,6, FALSE),"")</f>
        <v/>
      </c>
      <c r="K137" s="45" t="str">
        <f>IFERROR(VLOOKUP(B137,'Pre-Summary'!$DE$6:$DG$61,3,FALSE),"")</f>
        <v/>
      </c>
      <c r="L137" s="45" t="str">
        <f>IFERROR(VLOOKUP(B137,'Pre-Summary'!$CU$6:$CW$36,3,FALSE),"")</f>
        <v/>
      </c>
      <c r="M137" s="45" t="str">
        <f>IFERROR(VLOOKUP(B137,'Pre-Summary'!$BW$6:$BY$58,2,FALSE),"")</f>
        <v/>
      </c>
      <c r="N137" s="45" t="str">
        <f>IFERROR(VLOOKUP(B137,'Pre-Summary'!$CD$6:$CF$64,2,FALSE),"")</f>
        <v/>
      </c>
      <c r="O137" s="99">
        <f>IFERROR(VLOOKUP(B137,'Pre-Summary'!$BO$6:$BQ$48,3, FALSE),O136)</f>
        <v>1.0915248032216731</v>
      </c>
      <c r="P137" s="99">
        <f>IFERROR(VLOOKUP(B137,'Pre-Summary'!$BS$6:$BU$35,3,FALSE),P136)</f>
        <v>0.25</v>
      </c>
      <c r="Q137" s="54">
        <f t="shared" si="6"/>
        <v>4.3660992128866924</v>
      </c>
      <c r="R137" s="53">
        <f>IFERROR(VLOOKUP(B137,'Pre-Summary'!$BG$6:$BM$44,7,FALSE),R138)</f>
        <v>2.7904161219319636E-2</v>
      </c>
      <c r="S137" s="53">
        <f>IFERROR(VLOOKUP(B137,'Pre-Summary'!$BG$6:$BM$44,6,FALSE),S138)</f>
        <v>3.3978715219895171E-2</v>
      </c>
      <c r="T137" s="45" t="str">
        <f>IFERROR(VLOOKUP(B137,'Pre-Summary'!$Y$6:$AC$83, 3,FALSE),"")</f>
        <v/>
      </c>
      <c r="U137" s="45" t="str">
        <f>IFERROR(VLOOKUP(B137,'Pre-Summary'!$Y$6:$AC$83, 4,FALSE),"")</f>
        <v/>
      </c>
      <c r="V137" t="str">
        <f>IFERROR(VLOOKUP(B137,'Pre-Summary'!$Y$6:$AC$83, 5,FALSE),"")</f>
        <v/>
      </c>
      <c r="W137" s="45" t="str">
        <f>IFERROR(VLOOKUP(B137,'Pre-Summary'!$Y$6:$AD$83,6,FALSE),"")</f>
        <v/>
      </c>
      <c r="X137" t="str">
        <f>IFERROR(VLOOKUP('Pre-Summary'!$DB$6:$DD$63,3,FALSE),"")</f>
        <v/>
      </c>
      <c r="Y137" t="str">
        <f>IFERROR(VLOOKUP(B137,'Pre-Summary'!$CR$6:$CT$36,3,FALSE),"")</f>
        <v/>
      </c>
      <c r="Z137" s="45" t="str">
        <f>IFERROR(VLOOKUP(B137,'Pre-Summary'!$BZ$6:$CB$63,2,FALSE),"")</f>
        <v/>
      </c>
      <c r="AA137" s="45" t="str">
        <f>IFERROR(VLOOKUP(B137,'Pre-Summary'!$CG$6:$CI$70,2,FALSE),"")</f>
        <v/>
      </c>
      <c r="AB137" s="99">
        <f>IFERROR(VLOOKUP(B137,'Pre-Summary'!$A$6:$P$178,9,FALSE),AB138)</f>
        <v>0.49660943396122104</v>
      </c>
      <c r="AC137" s="10">
        <f>IFERROR(VLOOKUP(Summary!B137,'Pre-Summary'!$A$6:$P$184,5, FALSE)/100,AC138)</f>
        <v>0.89163000000000014</v>
      </c>
      <c r="AD137" s="10">
        <f>IFERROR(VLOOKUP(Summary!B137,'Pre-Summary'!$A$6:$P$184,3, FALSE)/100,AD138)</f>
        <v>0</v>
      </c>
      <c r="AE137" s="10">
        <f>IFERROR(VLOOKUP(Summary!B137,'Pre-Summary'!$A$6:$P$184,7, FALSE)/100,AE138)</f>
        <v>0.10837000000000002</v>
      </c>
      <c r="AF137" s="99">
        <f t="shared" si="7"/>
        <v>0</v>
      </c>
      <c r="AG137" s="99">
        <f t="shared" si="8"/>
        <v>5.3817564358377534E-2</v>
      </c>
      <c r="AH137" s="10" t="str">
        <f>IFERROR(VLOOKUP(B137,'Pre-Summary'!$AZ$6:$BE$65,3,FALSE),"")</f>
        <v/>
      </c>
      <c r="AI137" s="10" t="str">
        <f>IFERROR(VLOOKUP(B137,'Pre-Summary'!$AZ$6:$BE$65,5,FALSE),"")</f>
        <v/>
      </c>
      <c r="AJ137" s="10" t="str">
        <f>IFERROR(VLOOKUP(B137,'Pre-Summary'!$AZ$6:$BE$65,4,FALSE),"")</f>
        <v/>
      </c>
      <c r="AK137" s="10" t="str">
        <f>IFERROR(VLOOKUP(B137,'Pre-Summary'!$AZ$6:$BE$65,6,FALSE),"")</f>
        <v/>
      </c>
      <c r="AL137" s="10" t="str">
        <f>IFERROR(VLOOKUP(B137,'Pre-Summary'!$BG$6:$BL$44,3,FALSE),"")</f>
        <v/>
      </c>
      <c r="AM137" s="10" t="str">
        <f>IFERROR(VLOOKUP(B137,'Pre-Summary'!$BG$6:$BL$44,4,FALSE),"")</f>
        <v/>
      </c>
    </row>
    <row r="138" spans="2:39" ht="14.4" x14ac:dyDescent="0.3">
      <c r="B138">
        <v>13.5</v>
      </c>
      <c r="C138" t="str">
        <f>IFERROR(VLOOKUP(B138,'Pre-Summary'!$DI$6:$DM$23,4,FALSE),"")</f>
        <v/>
      </c>
      <c r="D138" s="10" t="str">
        <f>IFERROR(VLOOKUP(B138,'Pre-Summary'!$AT$6:$AX$14,5,FALSE),D137)</f>
        <v>DSMZ v1: Using DSMZ 120 without NaHCO3</v>
      </c>
      <c r="E138" s="10" t="str">
        <f>IFERROR(VLOOKUP(B138,'Pre-Summary'!$AT$6:$AX$15,4,FALSE),"")</f>
        <v/>
      </c>
      <c r="F138">
        <f>IFERROR(VLOOKUP(B138,'Pre-Summary'!$AL$6:$AQ$13,6,FALSE),F137)</f>
        <v>5.9405263157894746E-2</v>
      </c>
      <c r="G138">
        <f>IFERROR(VLOOKUP(B138,'Pre-Summary'!$AE$6:$AJ$85,3,FALSE),"")</f>
        <v>2066.4066666666668</v>
      </c>
      <c r="H138">
        <f>IFERROR(VLOOKUP(B138,'Pre-Summary'!$AE$6:$AJ$85,4,FALSE),"")</f>
        <v>170.96666666666667</v>
      </c>
      <c r="I138">
        <f>IFERROR(VLOOKUP(B138,'Pre-Summary'!$AE$6:$AJ$85,5,FALSE),"")</f>
        <v>0</v>
      </c>
      <c r="J138" s="45">
        <f>IFERROR(VLOOKUP(B138,'Pre-Summary'!$AE$6:$AJ$85,6, FALSE),"")</f>
        <v>2463.6994466666665</v>
      </c>
      <c r="K138" s="45" t="str">
        <f>IFERROR(VLOOKUP(B138,'Pre-Summary'!$DE$6:$DG$61,3,FALSE),"")</f>
        <v/>
      </c>
      <c r="L138" s="45" t="str">
        <f>IFERROR(VLOOKUP(B138,'Pre-Summary'!$CU$6:$CW$36,3,FALSE),"")</f>
        <v/>
      </c>
      <c r="M138" s="45">
        <f>IFERROR(VLOOKUP(B138,'Pre-Summary'!$BW$6:$BY$58,2,FALSE),"")</f>
        <v>709.47483582740483</v>
      </c>
      <c r="N138" s="45">
        <f>IFERROR(VLOOKUP(B138,'Pre-Summary'!$CD$6:$CF$64,2,FALSE),"")</f>
        <v>5337.3902832973963</v>
      </c>
      <c r="O138" s="99">
        <f>IFERROR(VLOOKUP(B138,'Pre-Summary'!$BO$6:$BQ$48,3, FALSE),O137)</f>
        <v>1.0915248032216731</v>
      </c>
      <c r="P138" s="99">
        <f>IFERROR(VLOOKUP(B138,'Pre-Summary'!$BS$6:$BU$35,3,FALSE),P137)</f>
        <v>0.25</v>
      </c>
      <c r="Q138" s="54">
        <f t="shared" si="6"/>
        <v>4.3660992128866924</v>
      </c>
      <c r="R138" s="53">
        <f>IFERROR(VLOOKUP(B138,'Pre-Summary'!$BG$6:$BM$44,7,FALSE),R139)</f>
        <v>2.7904161219319636E-2</v>
      </c>
      <c r="S138" s="53">
        <f>IFERROR(VLOOKUP(B138,'Pre-Summary'!$BG$6:$BM$44,6,FALSE),S139)</f>
        <v>3.3978715219895171E-2</v>
      </c>
      <c r="T138" s="45">
        <f>IFERROR(VLOOKUP(B138,'Pre-Summary'!$Y$6:$AC$83, 3,FALSE),"")</f>
        <v>2331.54</v>
      </c>
      <c r="U138" s="45">
        <f>IFERROR(VLOOKUP(B138,'Pre-Summary'!$Y$6:$AC$83, 4,FALSE),"")</f>
        <v>111.17000000000002</v>
      </c>
      <c r="V138">
        <f>IFERROR(VLOOKUP(B138,'Pre-Summary'!$Y$6:$AC$83, 5,FALSE),"")</f>
        <v>0</v>
      </c>
      <c r="W138" s="45">
        <f>IFERROR(VLOOKUP(B138,'Pre-Summary'!$Y$6:$AD$83,6,FALSE),"")</f>
        <v>2656.0645599999998</v>
      </c>
      <c r="X138" t="str">
        <f>IFERROR(VLOOKUP('Pre-Summary'!$DB$6:$DD$63,3,FALSE),"")</f>
        <v/>
      </c>
      <c r="Y138" t="str">
        <f>IFERROR(VLOOKUP(B138,'Pre-Summary'!$CR$6:$CT$36,3,FALSE),"")</f>
        <v/>
      </c>
      <c r="Z138" s="45">
        <f>IFERROR(VLOOKUP(B138,'Pre-Summary'!$BZ$6:$CB$63,2,FALSE),"")</f>
        <v>180.29023497627119</v>
      </c>
      <c r="AA138" s="45">
        <f>IFERROR(VLOOKUP(B138,'Pre-Summary'!$CG$6:$CI$70,2,FALSE),"")</f>
        <v>3051.8070017680698</v>
      </c>
      <c r="AB138" s="99">
        <f>IFERROR(VLOOKUP(B138,'Pre-Summary'!$A$6:$P$178,9,FALSE),AB139)</f>
        <v>0.49660943396122104</v>
      </c>
      <c r="AC138" s="10">
        <f>IFERROR(VLOOKUP(Summary!B138,'Pre-Summary'!$A$6:$P$184,5, FALSE)/100,AC139)</f>
        <v>0.89163000000000014</v>
      </c>
      <c r="AD138" s="10">
        <f>IFERROR(VLOOKUP(Summary!B138,'Pre-Summary'!$A$6:$P$184,3, FALSE)/100,AD139)</f>
        <v>0</v>
      </c>
      <c r="AE138" s="10">
        <f>IFERROR(VLOOKUP(Summary!B138,'Pre-Summary'!$A$6:$P$184,7, FALSE)/100,AE139)</f>
        <v>0.10837000000000002</v>
      </c>
      <c r="AF138" s="99">
        <f t="shared" si="7"/>
        <v>0</v>
      </c>
      <c r="AG138" s="99">
        <f t="shared" si="8"/>
        <v>5.3817564358377534E-2</v>
      </c>
      <c r="AH138" s="10" t="str">
        <f>IFERROR(VLOOKUP(B138,'Pre-Summary'!$AZ$6:$BE$65,3,FALSE),"")</f>
        <v/>
      </c>
      <c r="AI138" s="10" t="str">
        <f>IFERROR(VLOOKUP(B138,'Pre-Summary'!$AZ$6:$BE$65,5,FALSE),"")</f>
        <v/>
      </c>
      <c r="AJ138" s="10" t="str">
        <f>IFERROR(VLOOKUP(B138,'Pre-Summary'!$AZ$6:$BE$65,4,FALSE),"")</f>
        <v/>
      </c>
      <c r="AK138" s="10" t="str">
        <f>IFERROR(VLOOKUP(B138,'Pre-Summary'!$AZ$6:$BE$65,6,FALSE),"")</f>
        <v/>
      </c>
      <c r="AL138" s="10" t="str">
        <f>IFERROR(VLOOKUP(B138,'Pre-Summary'!$BG$6:$BL$44,3,FALSE),"")</f>
        <v/>
      </c>
      <c r="AM138" s="10" t="str">
        <f>IFERROR(VLOOKUP(B138,'Pre-Summary'!$BG$6:$BL$44,4,FALSE),"")</f>
        <v/>
      </c>
    </row>
    <row r="139" spans="2:39" ht="14.4" x14ac:dyDescent="0.3">
      <c r="B139">
        <v>13.6</v>
      </c>
      <c r="C139" t="str">
        <f>IFERROR(VLOOKUP(B139,'Pre-Summary'!$DI$6:$DM$23,4,FALSE),"")</f>
        <v/>
      </c>
      <c r="D139" s="10" t="str">
        <f>IFERROR(VLOOKUP(B139,'Pre-Summary'!$AT$6:$AX$14,5,FALSE),D138)</f>
        <v>DSMZ v1: Using DSMZ 120 without NaHCO3</v>
      </c>
      <c r="E139" s="10" t="str">
        <f>IFERROR(VLOOKUP(B139,'Pre-Summary'!$AT$6:$AX$15,4,FALSE),"")</f>
        <v/>
      </c>
      <c r="F139">
        <f>IFERROR(VLOOKUP(B139,'Pre-Summary'!$AL$6:$AQ$13,6,FALSE),F138)</f>
        <v>5.9405263157894746E-2</v>
      </c>
      <c r="G139" t="str">
        <f>IFERROR(VLOOKUP(B139,'Pre-Summary'!$AE$6:$AJ$85,3,FALSE),"")</f>
        <v/>
      </c>
      <c r="H139" t="str">
        <f>IFERROR(VLOOKUP(B139,'Pre-Summary'!$AE$6:$AJ$85,4,FALSE),"")</f>
        <v/>
      </c>
      <c r="I139" t="str">
        <f>IFERROR(VLOOKUP(B139,'Pre-Summary'!$AE$6:$AJ$85,5,FALSE),"")</f>
        <v/>
      </c>
      <c r="J139" s="45" t="str">
        <f>IFERROR(VLOOKUP(B139,'Pre-Summary'!$AE$6:$AJ$85,6, FALSE),"")</f>
        <v/>
      </c>
      <c r="K139" s="45" t="str">
        <f>IFERROR(VLOOKUP(B139,'Pre-Summary'!$DE$6:$DG$61,3,FALSE),"")</f>
        <v/>
      </c>
      <c r="L139" s="45" t="str">
        <f>IFERROR(VLOOKUP(B139,'Pre-Summary'!$CU$6:$CW$36,3,FALSE),"")</f>
        <v/>
      </c>
      <c r="M139" s="45" t="str">
        <f>IFERROR(VLOOKUP(B139,'Pre-Summary'!$BW$6:$BY$58,2,FALSE),"")</f>
        <v/>
      </c>
      <c r="N139" s="45" t="str">
        <f>IFERROR(VLOOKUP(B139,'Pre-Summary'!$CD$6:$CF$64,2,FALSE),"")</f>
        <v/>
      </c>
      <c r="O139" s="99">
        <f>IFERROR(VLOOKUP(B139,'Pre-Summary'!$BO$6:$BQ$48,3, FALSE),O138)</f>
        <v>1.0915248032216731</v>
      </c>
      <c r="P139" s="99">
        <f>IFERROR(VLOOKUP(B139,'Pre-Summary'!$BS$6:$BU$35,3,FALSE),P138)</f>
        <v>0.25</v>
      </c>
      <c r="Q139" s="54">
        <f t="shared" si="6"/>
        <v>4.3660992128866924</v>
      </c>
      <c r="R139" s="53">
        <f>IFERROR(VLOOKUP(B139,'Pre-Summary'!$BG$6:$BM$44,7,FALSE),R140)</f>
        <v>2.7904161219319636E-2</v>
      </c>
      <c r="S139" s="53">
        <f>IFERROR(VLOOKUP(B139,'Pre-Summary'!$BG$6:$BM$44,6,FALSE),S140)</f>
        <v>3.3978715219895171E-2</v>
      </c>
      <c r="T139" s="45" t="str">
        <f>IFERROR(VLOOKUP(B139,'Pre-Summary'!$Y$6:$AC$83, 3,FALSE),"")</f>
        <v/>
      </c>
      <c r="U139" s="45" t="str">
        <f>IFERROR(VLOOKUP(B139,'Pre-Summary'!$Y$6:$AC$83, 4,FALSE),"")</f>
        <v/>
      </c>
      <c r="V139" t="str">
        <f>IFERROR(VLOOKUP(B139,'Pre-Summary'!$Y$6:$AC$83, 5,FALSE),"")</f>
        <v/>
      </c>
      <c r="W139" s="45" t="str">
        <f>IFERROR(VLOOKUP(B139,'Pre-Summary'!$Y$6:$AD$83,6,FALSE),"")</f>
        <v/>
      </c>
      <c r="X139" t="str">
        <f>IFERROR(VLOOKUP('Pre-Summary'!$DB$6:$DD$63,3,FALSE),"")</f>
        <v/>
      </c>
      <c r="Y139" t="str">
        <f>IFERROR(VLOOKUP(B139,'Pre-Summary'!$CR$6:$CT$36,3,FALSE),"")</f>
        <v/>
      </c>
      <c r="Z139" s="45" t="str">
        <f>IFERROR(VLOOKUP(B139,'Pre-Summary'!$BZ$6:$CB$63,2,FALSE),"")</f>
        <v/>
      </c>
      <c r="AA139" s="45" t="str">
        <f>IFERROR(VLOOKUP(B139,'Pre-Summary'!$CG$6:$CI$70,2,FALSE),"")</f>
        <v/>
      </c>
      <c r="AB139" s="99">
        <f>IFERROR(VLOOKUP(B139,'Pre-Summary'!$A$6:$P$178,9,FALSE),AB140)</f>
        <v>0.49660943396122104</v>
      </c>
      <c r="AC139" s="10">
        <f>IFERROR(VLOOKUP(Summary!B139,'Pre-Summary'!$A$6:$P$184,5, FALSE)/100,AC140)</f>
        <v>0.89163000000000014</v>
      </c>
      <c r="AD139" s="10">
        <f>IFERROR(VLOOKUP(Summary!B139,'Pre-Summary'!$A$6:$P$184,3, FALSE)/100,AD140)</f>
        <v>0</v>
      </c>
      <c r="AE139" s="10">
        <f>IFERROR(VLOOKUP(Summary!B139,'Pre-Summary'!$A$6:$P$184,7, FALSE)/100,AE140)</f>
        <v>0.10837000000000002</v>
      </c>
      <c r="AF139" s="99">
        <f t="shared" si="7"/>
        <v>0</v>
      </c>
      <c r="AG139" s="99">
        <f t="shared" si="8"/>
        <v>5.3817564358377534E-2</v>
      </c>
      <c r="AH139" s="10" t="str">
        <f>IFERROR(VLOOKUP(B139,'Pre-Summary'!$AZ$6:$BE$65,3,FALSE),"")</f>
        <v/>
      </c>
      <c r="AI139" s="10" t="str">
        <f>IFERROR(VLOOKUP(B139,'Pre-Summary'!$AZ$6:$BE$65,5,FALSE),"")</f>
        <v/>
      </c>
      <c r="AJ139" s="10" t="str">
        <f>IFERROR(VLOOKUP(B139,'Pre-Summary'!$AZ$6:$BE$65,4,FALSE),"")</f>
        <v/>
      </c>
      <c r="AK139" s="10" t="str">
        <f>IFERROR(VLOOKUP(B139,'Pre-Summary'!$AZ$6:$BE$65,6,FALSE),"")</f>
        <v/>
      </c>
      <c r="AL139" s="10" t="str">
        <f>IFERROR(VLOOKUP(B139,'Pre-Summary'!$BG$6:$BL$44,3,FALSE),"")</f>
        <v/>
      </c>
      <c r="AM139" s="10" t="str">
        <f>IFERROR(VLOOKUP(B139,'Pre-Summary'!$BG$6:$BL$44,4,FALSE),"")</f>
        <v/>
      </c>
    </row>
    <row r="140" spans="2:39" ht="14.4" x14ac:dyDescent="0.3">
      <c r="B140">
        <v>13.7</v>
      </c>
      <c r="C140" t="str">
        <f>IFERROR(VLOOKUP(B140,'Pre-Summary'!$DI$6:$DM$23,4,FALSE),"")</f>
        <v/>
      </c>
      <c r="D140" s="10" t="str">
        <f>IFERROR(VLOOKUP(B140,'Pre-Summary'!$AT$6:$AX$14,5,FALSE),D139)</f>
        <v>DSMZ v1: Using DSMZ 120 without NaHCO3</v>
      </c>
      <c r="E140" s="10" t="str">
        <f>IFERROR(VLOOKUP(B140,'Pre-Summary'!$AT$6:$AX$15,4,FALSE),"")</f>
        <v/>
      </c>
      <c r="F140">
        <f>IFERROR(VLOOKUP(B140,'Pre-Summary'!$AL$6:$AQ$13,6,FALSE),F139)</f>
        <v>5.9405263157894746E-2</v>
      </c>
      <c r="G140" t="str">
        <f>IFERROR(VLOOKUP(B140,'Pre-Summary'!$AE$6:$AJ$85,3,FALSE),"")</f>
        <v/>
      </c>
      <c r="H140" t="str">
        <f>IFERROR(VLOOKUP(B140,'Pre-Summary'!$AE$6:$AJ$85,4,FALSE),"")</f>
        <v/>
      </c>
      <c r="I140" t="str">
        <f>IFERROR(VLOOKUP(B140,'Pre-Summary'!$AE$6:$AJ$85,5,FALSE),"")</f>
        <v/>
      </c>
      <c r="J140" s="45" t="str">
        <f>IFERROR(VLOOKUP(B140,'Pre-Summary'!$AE$6:$AJ$85,6, FALSE),"")</f>
        <v/>
      </c>
      <c r="K140" s="45" t="str">
        <f>IFERROR(VLOOKUP(B140,'Pre-Summary'!$DE$6:$DG$61,3,FALSE),"")</f>
        <v/>
      </c>
      <c r="L140" s="45" t="str">
        <f>IFERROR(VLOOKUP(B140,'Pre-Summary'!$CU$6:$CW$36,3,FALSE),"")</f>
        <v/>
      </c>
      <c r="M140" s="45" t="str">
        <f>IFERROR(VLOOKUP(B140,'Pre-Summary'!$BW$6:$BY$58,2,FALSE),"")</f>
        <v/>
      </c>
      <c r="N140" s="45" t="str">
        <f>IFERROR(VLOOKUP(B140,'Pre-Summary'!$CD$6:$CF$64,2,FALSE),"")</f>
        <v/>
      </c>
      <c r="O140" s="99">
        <f>IFERROR(VLOOKUP(B140,'Pre-Summary'!$BO$6:$BQ$48,3, FALSE),O139)</f>
        <v>1.0915248032216731</v>
      </c>
      <c r="P140" s="99">
        <f>IFERROR(VLOOKUP(B140,'Pre-Summary'!$BS$6:$BU$35,3,FALSE),P139)</f>
        <v>0.25</v>
      </c>
      <c r="Q140" s="54">
        <f t="shared" si="6"/>
        <v>4.3660992128866924</v>
      </c>
      <c r="R140" s="53">
        <f>IFERROR(VLOOKUP(B140,'Pre-Summary'!$BG$6:$BM$44,7,FALSE),R141)</f>
        <v>2.7904161219319636E-2</v>
      </c>
      <c r="S140" s="53">
        <f>IFERROR(VLOOKUP(B140,'Pre-Summary'!$BG$6:$BM$44,6,FALSE),S141)</f>
        <v>3.3978715219895171E-2</v>
      </c>
      <c r="T140" s="45" t="str">
        <f>IFERROR(VLOOKUP(B140,'Pre-Summary'!$Y$6:$AC$83, 3,FALSE),"")</f>
        <v/>
      </c>
      <c r="U140" s="45" t="str">
        <f>IFERROR(VLOOKUP(B140,'Pre-Summary'!$Y$6:$AC$83, 4,FALSE),"")</f>
        <v/>
      </c>
      <c r="V140" t="str">
        <f>IFERROR(VLOOKUP(B140,'Pre-Summary'!$Y$6:$AC$83, 5,FALSE),"")</f>
        <v/>
      </c>
      <c r="W140" s="45" t="str">
        <f>IFERROR(VLOOKUP(B140,'Pre-Summary'!$Y$6:$AD$83,6,FALSE),"")</f>
        <v/>
      </c>
      <c r="X140" t="str">
        <f>IFERROR(VLOOKUP('Pre-Summary'!$DB$6:$DD$63,3,FALSE),"")</f>
        <v/>
      </c>
      <c r="Y140" t="str">
        <f>IFERROR(VLOOKUP(B140,'Pre-Summary'!$CR$6:$CT$36,3,FALSE),"")</f>
        <v/>
      </c>
      <c r="Z140" s="45" t="str">
        <f>IFERROR(VLOOKUP(B140,'Pre-Summary'!$BZ$6:$CB$63,2,FALSE),"")</f>
        <v/>
      </c>
      <c r="AA140" s="45" t="str">
        <f>IFERROR(VLOOKUP(B140,'Pre-Summary'!$CG$6:$CI$70,2,FALSE),"")</f>
        <v/>
      </c>
      <c r="AB140" s="99">
        <f>IFERROR(VLOOKUP(B140,'Pre-Summary'!$A$6:$P$178,9,FALSE),AB141)</f>
        <v>0.49660943396122104</v>
      </c>
      <c r="AC140" s="10">
        <f>IFERROR(VLOOKUP(Summary!B140,'Pre-Summary'!$A$6:$P$184,5, FALSE)/100,AC141)</f>
        <v>0.89163000000000014</v>
      </c>
      <c r="AD140" s="10">
        <f>IFERROR(VLOOKUP(Summary!B140,'Pre-Summary'!$A$6:$P$184,3, FALSE)/100,AD141)</f>
        <v>0</v>
      </c>
      <c r="AE140" s="10">
        <f>IFERROR(VLOOKUP(Summary!B140,'Pre-Summary'!$A$6:$P$184,7, FALSE)/100,AE141)</f>
        <v>0.10837000000000002</v>
      </c>
      <c r="AF140" s="99">
        <f t="shared" si="7"/>
        <v>0</v>
      </c>
      <c r="AG140" s="99">
        <f t="shared" si="8"/>
        <v>5.3817564358377534E-2</v>
      </c>
      <c r="AH140" s="10" t="str">
        <f>IFERROR(VLOOKUP(B140,'Pre-Summary'!$AZ$6:$BE$65,3,FALSE),"")</f>
        <v/>
      </c>
      <c r="AI140" s="10" t="str">
        <f>IFERROR(VLOOKUP(B140,'Pre-Summary'!$AZ$6:$BE$65,5,FALSE),"")</f>
        <v/>
      </c>
      <c r="AJ140" s="10" t="str">
        <f>IFERROR(VLOOKUP(B140,'Pre-Summary'!$AZ$6:$BE$65,4,FALSE),"")</f>
        <v/>
      </c>
      <c r="AK140" s="10" t="str">
        <f>IFERROR(VLOOKUP(B140,'Pre-Summary'!$AZ$6:$BE$65,6,FALSE),"")</f>
        <v/>
      </c>
      <c r="AL140" s="10" t="str">
        <f>IFERROR(VLOOKUP(B140,'Pre-Summary'!$BG$6:$BL$44,3,FALSE),"")</f>
        <v/>
      </c>
      <c r="AM140" s="10" t="str">
        <f>IFERROR(VLOOKUP(B140,'Pre-Summary'!$BG$6:$BL$44,4,FALSE),"")</f>
        <v/>
      </c>
    </row>
    <row r="141" spans="2:39" ht="14.4" x14ac:dyDescent="0.3">
      <c r="B141">
        <v>13.8</v>
      </c>
      <c r="C141" t="str">
        <f>IFERROR(VLOOKUP(B141,'Pre-Summary'!$DI$6:$DM$23,4,FALSE),"")</f>
        <v/>
      </c>
      <c r="D141" s="10" t="str">
        <f>IFERROR(VLOOKUP(B141,'Pre-Summary'!$AT$6:$AX$14,5,FALSE),D140)</f>
        <v>DSMZ v1: Using DSMZ 120 without NaHCO3</v>
      </c>
      <c r="E141" s="10" t="str">
        <f>IFERROR(VLOOKUP(B141,'Pre-Summary'!$AT$6:$AX$15,4,FALSE),"")</f>
        <v/>
      </c>
      <c r="F141">
        <f>IFERROR(VLOOKUP(B141,'Pre-Summary'!$AL$6:$AQ$13,6,FALSE),F140)</f>
        <v>5.9405263157894746E-2</v>
      </c>
      <c r="G141" t="str">
        <f>IFERROR(VLOOKUP(B141,'Pre-Summary'!$AE$6:$AJ$85,3,FALSE),"")</f>
        <v/>
      </c>
      <c r="H141" t="str">
        <f>IFERROR(VLOOKUP(B141,'Pre-Summary'!$AE$6:$AJ$85,4,FALSE),"")</f>
        <v/>
      </c>
      <c r="I141" t="str">
        <f>IFERROR(VLOOKUP(B141,'Pre-Summary'!$AE$6:$AJ$85,5,FALSE),"")</f>
        <v/>
      </c>
      <c r="J141" s="45" t="str">
        <f>IFERROR(VLOOKUP(B141,'Pre-Summary'!$AE$6:$AJ$85,6, FALSE),"")</f>
        <v/>
      </c>
      <c r="K141" s="45" t="str">
        <f>IFERROR(VLOOKUP(B141,'Pre-Summary'!$DE$6:$DG$61,3,FALSE),"")</f>
        <v/>
      </c>
      <c r="L141" s="45" t="str">
        <f>IFERROR(VLOOKUP(B141,'Pre-Summary'!$CU$6:$CW$36,3,FALSE),"")</f>
        <v/>
      </c>
      <c r="M141" s="45" t="str">
        <f>IFERROR(VLOOKUP(B141,'Pre-Summary'!$BW$6:$BY$58,2,FALSE),"")</f>
        <v/>
      </c>
      <c r="N141" s="45" t="str">
        <f>IFERROR(VLOOKUP(B141,'Pre-Summary'!$CD$6:$CF$64,2,FALSE),"")</f>
        <v/>
      </c>
      <c r="O141" s="99">
        <f>IFERROR(VLOOKUP(B141,'Pre-Summary'!$BO$6:$BQ$48,3, FALSE),O140)</f>
        <v>1.0915248032216731</v>
      </c>
      <c r="P141" s="99">
        <f>IFERROR(VLOOKUP(B141,'Pre-Summary'!$BS$6:$BU$35,3,FALSE),P140)</f>
        <v>0.25</v>
      </c>
      <c r="Q141" s="54">
        <f t="shared" si="6"/>
        <v>4.3660992128866924</v>
      </c>
      <c r="R141" s="53">
        <f>IFERROR(VLOOKUP(B141,'Pre-Summary'!$BG$6:$BM$44,7,FALSE),R142)</f>
        <v>2.7904161219319636E-2</v>
      </c>
      <c r="S141" s="53">
        <f>IFERROR(VLOOKUP(B141,'Pre-Summary'!$BG$6:$BM$44,6,FALSE),S142)</f>
        <v>3.3978715219895171E-2</v>
      </c>
      <c r="T141" s="45" t="str">
        <f>IFERROR(VLOOKUP(B141,'Pre-Summary'!$Y$6:$AC$83, 3,FALSE),"")</f>
        <v/>
      </c>
      <c r="U141" s="45" t="str">
        <f>IFERROR(VLOOKUP(B141,'Pre-Summary'!$Y$6:$AC$83, 4,FALSE),"")</f>
        <v/>
      </c>
      <c r="V141" t="str">
        <f>IFERROR(VLOOKUP(B141,'Pre-Summary'!$Y$6:$AC$83, 5,FALSE),"")</f>
        <v/>
      </c>
      <c r="W141" s="45" t="str">
        <f>IFERROR(VLOOKUP(B141,'Pre-Summary'!$Y$6:$AD$83,6,FALSE),"")</f>
        <v/>
      </c>
      <c r="X141" t="str">
        <f>IFERROR(VLOOKUP('Pre-Summary'!$DB$6:$DD$63,3,FALSE),"")</f>
        <v/>
      </c>
      <c r="Y141" t="str">
        <f>IFERROR(VLOOKUP(B141,'Pre-Summary'!$CR$6:$CT$36,3,FALSE),"")</f>
        <v/>
      </c>
      <c r="Z141" s="45" t="str">
        <f>IFERROR(VLOOKUP(B141,'Pre-Summary'!$BZ$6:$CB$63,2,FALSE),"")</f>
        <v/>
      </c>
      <c r="AA141" s="45" t="str">
        <f>IFERROR(VLOOKUP(B141,'Pre-Summary'!$CG$6:$CI$70,2,FALSE),"")</f>
        <v/>
      </c>
      <c r="AB141" s="99">
        <f>IFERROR(VLOOKUP(B141,'Pre-Summary'!$A$6:$P$178,9,FALSE),AB142)</f>
        <v>0.49660943396122104</v>
      </c>
      <c r="AC141" s="10">
        <f>IFERROR(VLOOKUP(Summary!B141,'Pre-Summary'!$A$6:$P$184,5, FALSE)/100,AC142)</f>
        <v>0.89163000000000014</v>
      </c>
      <c r="AD141" s="10">
        <f>IFERROR(VLOOKUP(Summary!B141,'Pre-Summary'!$A$6:$P$184,3, FALSE)/100,AD142)</f>
        <v>0</v>
      </c>
      <c r="AE141" s="10">
        <f>IFERROR(VLOOKUP(Summary!B141,'Pre-Summary'!$A$6:$P$184,7, FALSE)/100,AE142)</f>
        <v>0.10837000000000002</v>
      </c>
      <c r="AF141" s="99">
        <f t="shared" si="7"/>
        <v>0</v>
      </c>
      <c r="AG141" s="99">
        <f t="shared" si="8"/>
        <v>5.3817564358377534E-2</v>
      </c>
      <c r="AH141" s="10" t="str">
        <f>IFERROR(VLOOKUP(B141,'Pre-Summary'!$AZ$6:$BE$65,3,FALSE),"")</f>
        <v/>
      </c>
      <c r="AI141" s="10" t="str">
        <f>IFERROR(VLOOKUP(B141,'Pre-Summary'!$AZ$6:$BE$65,5,FALSE),"")</f>
        <v/>
      </c>
      <c r="AJ141" s="10" t="str">
        <f>IFERROR(VLOOKUP(B141,'Pre-Summary'!$AZ$6:$BE$65,4,FALSE),"")</f>
        <v/>
      </c>
      <c r="AK141" s="10" t="str">
        <f>IFERROR(VLOOKUP(B141,'Pre-Summary'!$AZ$6:$BE$65,6,FALSE),"")</f>
        <v/>
      </c>
      <c r="AL141" s="10" t="str">
        <f>IFERROR(VLOOKUP(B141,'Pre-Summary'!$BG$6:$BL$44,3,FALSE),"")</f>
        <v/>
      </c>
      <c r="AM141" s="10" t="str">
        <f>IFERROR(VLOOKUP(B141,'Pre-Summary'!$BG$6:$BL$44,4,FALSE),"")</f>
        <v/>
      </c>
    </row>
    <row r="142" spans="2:39" ht="14.4" x14ac:dyDescent="0.3">
      <c r="B142">
        <v>13.9</v>
      </c>
      <c r="C142" t="str">
        <f>IFERROR(VLOOKUP(B142,'Pre-Summary'!$DI$6:$DM$23,4,FALSE),"")</f>
        <v/>
      </c>
      <c r="D142" s="10" t="str">
        <f>IFERROR(VLOOKUP(B142,'Pre-Summary'!$AT$6:$AX$14,5,FALSE),D141)</f>
        <v>DSMZ v1: Using DSMZ 120 without NaHCO3</v>
      </c>
      <c r="E142" s="10" t="str">
        <f>IFERROR(VLOOKUP(B142,'Pre-Summary'!$AT$6:$AX$15,4,FALSE),"")</f>
        <v/>
      </c>
      <c r="F142">
        <f>IFERROR(VLOOKUP(B142,'Pre-Summary'!$AL$6:$AQ$13,6,FALSE),F141)</f>
        <v>5.9405263157894746E-2</v>
      </c>
      <c r="G142" t="str">
        <f>IFERROR(VLOOKUP(B142,'Pre-Summary'!$AE$6:$AJ$85,3,FALSE),"")</f>
        <v/>
      </c>
      <c r="H142" t="str">
        <f>IFERROR(VLOOKUP(B142,'Pre-Summary'!$AE$6:$AJ$85,4,FALSE),"")</f>
        <v/>
      </c>
      <c r="I142" t="str">
        <f>IFERROR(VLOOKUP(B142,'Pre-Summary'!$AE$6:$AJ$85,5,FALSE),"")</f>
        <v/>
      </c>
      <c r="J142" s="45" t="str">
        <f>IFERROR(VLOOKUP(B142,'Pre-Summary'!$AE$6:$AJ$85,6, FALSE),"")</f>
        <v/>
      </c>
      <c r="K142" s="45" t="str">
        <f>IFERROR(VLOOKUP(B142,'Pre-Summary'!$DE$6:$DG$61,3,FALSE),"")</f>
        <v/>
      </c>
      <c r="L142" s="45" t="str">
        <f>IFERROR(VLOOKUP(B142,'Pre-Summary'!$CU$6:$CW$36,3,FALSE),"")</f>
        <v/>
      </c>
      <c r="M142" s="45" t="str">
        <f>IFERROR(VLOOKUP(B142,'Pre-Summary'!$BW$6:$BY$58,2,FALSE),"")</f>
        <v/>
      </c>
      <c r="N142" s="45" t="str">
        <f>IFERROR(VLOOKUP(B142,'Pre-Summary'!$CD$6:$CF$64,2,FALSE),"")</f>
        <v/>
      </c>
      <c r="O142" s="99">
        <f>IFERROR(VLOOKUP(B142,'Pre-Summary'!$BO$6:$BQ$48,3, FALSE),O141)</f>
        <v>1.0915248032216731</v>
      </c>
      <c r="P142" s="99">
        <f>IFERROR(VLOOKUP(B142,'Pre-Summary'!$BS$6:$BU$35,3,FALSE),P141)</f>
        <v>0.25</v>
      </c>
      <c r="Q142" s="54">
        <f t="shared" si="6"/>
        <v>4.3660992128866924</v>
      </c>
      <c r="R142" s="53">
        <f>IFERROR(VLOOKUP(B142,'Pre-Summary'!$BG$6:$BM$44,7,FALSE),R143)</f>
        <v>2.7904161219319636E-2</v>
      </c>
      <c r="S142" s="53">
        <f>IFERROR(VLOOKUP(B142,'Pre-Summary'!$BG$6:$BM$44,6,FALSE),S143)</f>
        <v>3.3978715219895171E-2</v>
      </c>
      <c r="T142" s="45" t="str">
        <f>IFERROR(VLOOKUP(B142,'Pre-Summary'!$Y$6:$AC$83, 3,FALSE),"")</f>
        <v/>
      </c>
      <c r="U142" s="45" t="str">
        <f>IFERROR(VLOOKUP(B142,'Pre-Summary'!$Y$6:$AC$83, 4,FALSE),"")</f>
        <v/>
      </c>
      <c r="V142" t="str">
        <f>IFERROR(VLOOKUP(B142,'Pre-Summary'!$Y$6:$AC$83, 5,FALSE),"")</f>
        <v/>
      </c>
      <c r="W142" s="45" t="str">
        <f>IFERROR(VLOOKUP(B142,'Pre-Summary'!$Y$6:$AD$83,6,FALSE),"")</f>
        <v/>
      </c>
      <c r="X142" t="str">
        <f>IFERROR(VLOOKUP('Pre-Summary'!$DB$6:$DD$63,3,FALSE),"")</f>
        <v/>
      </c>
      <c r="Y142" t="str">
        <f>IFERROR(VLOOKUP(B142,'Pre-Summary'!$CR$6:$CT$36,3,FALSE),"")</f>
        <v/>
      </c>
      <c r="Z142" s="45" t="str">
        <f>IFERROR(VLOOKUP(B142,'Pre-Summary'!$BZ$6:$CB$63,2,FALSE),"")</f>
        <v/>
      </c>
      <c r="AA142" s="45" t="str">
        <f>IFERROR(VLOOKUP(B142,'Pre-Summary'!$CG$6:$CI$70,2,FALSE),"")</f>
        <v/>
      </c>
      <c r="AB142" s="99">
        <f>IFERROR(VLOOKUP(B142,'Pre-Summary'!$A$6:$P$178,9,FALSE),AB143)</f>
        <v>0.49660943396122104</v>
      </c>
      <c r="AC142" s="10">
        <f>IFERROR(VLOOKUP(Summary!B142,'Pre-Summary'!$A$6:$P$184,5, FALSE)/100,AC143)</f>
        <v>0.89163000000000014</v>
      </c>
      <c r="AD142" s="10">
        <f>IFERROR(VLOOKUP(Summary!B142,'Pre-Summary'!$A$6:$P$184,3, FALSE)/100,AD143)</f>
        <v>0</v>
      </c>
      <c r="AE142" s="10">
        <f>IFERROR(VLOOKUP(Summary!B142,'Pre-Summary'!$A$6:$P$184,7, FALSE)/100,AE143)</f>
        <v>0.10837000000000002</v>
      </c>
      <c r="AF142" s="99">
        <f t="shared" si="7"/>
        <v>0</v>
      </c>
      <c r="AG142" s="99">
        <f t="shared" si="8"/>
        <v>5.3817564358377534E-2</v>
      </c>
      <c r="AH142" s="10" t="str">
        <f>IFERROR(VLOOKUP(B142,'Pre-Summary'!$AZ$6:$BE$65,3,FALSE),"")</f>
        <v/>
      </c>
      <c r="AI142" s="10" t="str">
        <f>IFERROR(VLOOKUP(B142,'Pre-Summary'!$AZ$6:$BE$65,5,FALSE),"")</f>
        <v/>
      </c>
      <c r="AJ142" s="10" t="str">
        <f>IFERROR(VLOOKUP(B142,'Pre-Summary'!$AZ$6:$BE$65,4,FALSE),"")</f>
        <v/>
      </c>
      <c r="AK142" s="10" t="str">
        <f>IFERROR(VLOOKUP(B142,'Pre-Summary'!$AZ$6:$BE$65,6,FALSE),"")</f>
        <v/>
      </c>
      <c r="AL142" s="10" t="str">
        <f>IFERROR(VLOOKUP(B142,'Pre-Summary'!$BG$6:$BL$44,3,FALSE),"")</f>
        <v/>
      </c>
      <c r="AM142" s="10" t="str">
        <f>IFERROR(VLOOKUP(B142,'Pre-Summary'!$BG$6:$BL$44,4,FALSE),"")</f>
        <v/>
      </c>
    </row>
    <row r="143" spans="2:39" ht="14.4" x14ac:dyDescent="0.3">
      <c r="B143">
        <v>14</v>
      </c>
      <c r="C143" t="str">
        <f>IFERROR(VLOOKUP(B143,'Pre-Summary'!$DI$6:$DM$23,4,FALSE),"")</f>
        <v/>
      </c>
      <c r="D143" s="10" t="str">
        <f>IFERROR(VLOOKUP(B143,'Pre-Summary'!$AT$6:$AX$14,5,FALSE),D142)</f>
        <v>DSMZ v1.5: Using DSMZ 120 with NaHCO3</v>
      </c>
      <c r="E143" s="10">
        <f>IFERROR(VLOOKUP(B143,'Pre-Summary'!$AT$6:$AX$15,4,FALSE),"")</f>
        <v>1</v>
      </c>
      <c r="F143">
        <f>IFERROR(VLOOKUP(B143,'Pre-Summary'!$AL$6:$AQ$13,6,FALSE),F142)</f>
        <v>5.9405263157894746E-2</v>
      </c>
      <c r="G143" t="str">
        <f>IFERROR(VLOOKUP(B143,'Pre-Summary'!$AE$6:$AJ$85,3,FALSE),"")</f>
        <v/>
      </c>
      <c r="H143" t="str">
        <f>IFERROR(VLOOKUP(B143,'Pre-Summary'!$AE$6:$AJ$85,4,FALSE),"")</f>
        <v/>
      </c>
      <c r="I143" t="str">
        <f>IFERROR(VLOOKUP(B143,'Pre-Summary'!$AE$6:$AJ$85,5,FALSE),"")</f>
        <v/>
      </c>
      <c r="J143" s="45" t="str">
        <f>IFERROR(VLOOKUP(B143,'Pre-Summary'!$AE$6:$AJ$85,6, FALSE),"")</f>
        <v/>
      </c>
      <c r="K143" s="45" t="str">
        <f>IFERROR(VLOOKUP(B143,'Pre-Summary'!$DE$6:$DG$61,3,FALSE),"")</f>
        <v/>
      </c>
      <c r="L143" s="45" t="str">
        <f>IFERROR(VLOOKUP(B143,'Pre-Summary'!$CU$6:$CW$36,3,FALSE),"")</f>
        <v/>
      </c>
      <c r="M143" s="45" t="str">
        <f>IFERROR(VLOOKUP(B143,'Pre-Summary'!$BW$6:$BY$58,2,FALSE),"")</f>
        <v/>
      </c>
      <c r="N143" s="45" t="str">
        <f>IFERROR(VLOOKUP(B143,'Pre-Summary'!$CD$6:$CF$64,2,FALSE),"")</f>
        <v/>
      </c>
      <c r="O143" s="99">
        <f>IFERROR(VLOOKUP(B143,'Pre-Summary'!$BO$6:$BQ$48,3, FALSE),O142)</f>
        <v>1.0915248032216731</v>
      </c>
      <c r="P143" s="99">
        <f>IFERROR(VLOOKUP(B143,'Pre-Summary'!$BS$6:$BU$35,3,FALSE),P142)</f>
        <v>0.25</v>
      </c>
      <c r="Q143" s="54">
        <f t="shared" si="6"/>
        <v>4.3660992128866924</v>
      </c>
      <c r="R143" s="53">
        <f>IFERROR(VLOOKUP(B143,'Pre-Summary'!$BG$6:$BM$44,7,FALSE),R144)</f>
        <v>2.7904161219319636E-2</v>
      </c>
      <c r="S143" s="53">
        <f>IFERROR(VLOOKUP(B143,'Pre-Summary'!$BG$6:$BM$44,6,FALSE),S144)</f>
        <v>3.3978715219895171E-2</v>
      </c>
      <c r="T143" s="45" t="str">
        <f>IFERROR(VLOOKUP(B143,'Pre-Summary'!$Y$6:$AC$83, 3,FALSE),"")</f>
        <v/>
      </c>
      <c r="U143" s="45" t="str">
        <f>IFERROR(VLOOKUP(B143,'Pre-Summary'!$Y$6:$AC$83, 4,FALSE),"")</f>
        <v/>
      </c>
      <c r="V143" t="str">
        <f>IFERROR(VLOOKUP(B143,'Pre-Summary'!$Y$6:$AC$83, 5,FALSE),"")</f>
        <v/>
      </c>
      <c r="W143" s="45" t="str">
        <f>IFERROR(VLOOKUP(B143,'Pre-Summary'!$Y$6:$AD$83,6,FALSE),"")</f>
        <v/>
      </c>
      <c r="X143" t="str">
        <f>IFERROR(VLOOKUP('Pre-Summary'!$DB$6:$DD$63,3,FALSE),"")</f>
        <v/>
      </c>
      <c r="Y143" t="str">
        <f>IFERROR(VLOOKUP(B143,'Pre-Summary'!$CR$6:$CT$36,3,FALSE),"")</f>
        <v/>
      </c>
      <c r="Z143" s="45" t="str">
        <f>IFERROR(VLOOKUP(B143,'Pre-Summary'!$BZ$6:$CB$63,2,FALSE),"")</f>
        <v/>
      </c>
      <c r="AA143" s="45" t="str">
        <f>IFERROR(VLOOKUP(B143,'Pre-Summary'!$CG$6:$CI$70,2,FALSE),"")</f>
        <v/>
      </c>
      <c r="AB143" s="99">
        <f>IFERROR(VLOOKUP(B143,'Pre-Summary'!$A$6:$P$178,9,FALSE),AB144)</f>
        <v>0.49660943396122104</v>
      </c>
      <c r="AC143" s="10">
        <f>IFERROR(VLOOKUP(Summary!B143,'Pre-Summary'!$A$6:$P$184,5, FALSE)/100,AC144)</f>
        <v>0.89163000000000014</v>
      </c>
      <c r="AD143" s="10">
        <f>IFERROR(VLOOKUP(Summary!B143,'Pre-Summary'!$A$6:$P$184,3, FALSE)/100,AD144)</f>
        <v>0</v>
      </c>
      <c r="AE143" s="10">
        <f>IFERROR(VLOOKUP(Summary!B143,'Pre-Summary'!$A$6:$P$184,7, FALSE)/100,AE144)</f>
        <v>0.10837000000000002</v>
      </c>
      <c r="AF143" s="99">
        <f t="shared" si="7"/>
        <v>0</v>
      </c>
      <c r="AG143" s="99">
        <f t="shared" si="8"/>
        <v>5.3817564358377534E-2</v>
      </c>
      <c r="AH143" s="10" t="str">
        <f>IFERROR(VLOOKUP(B143,'Pre-Summary'!$AZ$6:$BE$65,3,FALSE),"")</f>
        <v/>
      </c>
      <c r="AI143" s="10" t="str">
        <f>IFERROR(VLOOKUP(B143,'Pre-Summary'!$AZ$6:$BE$65,5,FALSE),"")</f>
        <v/>
      </c>
      <c r="AJ143" s="10" t="str">
        <f>IFERROR(VLOOKUP(B143,'Pre-Summary'!$AZ$6:$BE$65,4,FALSE),"")</f>
        <v/>
      </c>
      <c r="AK143" s="10" t="str">
        <f>IFERROR(VLOOKUP(B143,'Pre-Summary'!$AZ$6:$BE$65,6,FALSE),"")</f>
        <v/>
      </c>
      <c r="AL143" s="10" t="str">
        <f>IFERROR(VLOOKUP(B143,'Pre-Summary'!$BG$6:$BL$44,3,FALSE),"")</f>
        <v/>
      </c>
      <c r="AM143" s="10" t="str">
        <f>IFERROR(VLOOKUP(B143,'Pre-Summary'!$BG$6:$BL$44,4,FALSE),"")</f>
        <v/>
      </c>
    </row>
    <row r="144" spans="2:39" ht="14.4" x14ac:dyDescent="0.3">
      <c r="B144">
        <v>14.1</v>
      </c>
      <c r="C144" t="str">
        <f>IFERROR(VLOOKUP(B144,'Pre-Summary'!$DI$6:$DM$23,4,FALSE),"")</f>
        <v/>
      </c>
      <c r="D144" s="10" t="str">
        <f>IFERROR(VLOOKUP(B144,'Pre-Summary'!$AT$6:$AX$14,5,FALSE),D143)</f>
        <v>DSMZ v1.5: Using DSMZ 120 with NaHCO3</v>
      </c>
      <c r="E144" s="10" t="str">
        <f>IFERROR(VLOOKUP(B144,'Pre-Summary'!$AT$6:$AX$15,4,FALSE),"")</f>
        <v/>
      </c>
      <c r="F144">
        <f>IFERROR(VLOOKUP(B144,'Pre-Summary'!$AL$6:$AQ$13,6,FALSE),F143)</f>
        <v>5.9405263157894746E-2</v>
      </c>
      <c r="G144" t="str">
        <f>IFERROR(VLOOKUP(B144,'Pre-Summary'!$AE$6:$AJ$85,3,FALSE),"")</f>
        <v/>
      </c>
      <c r="H144" t="str">
        <f>IFERROR(VLOOKUP(B144,'Pre-Summary'!$AE$6:$AJ$85,4,FALSE),"")</f>
        <v/>
      </c>
      <c r="I144" t="str">
        <f>IFERROR(VLOOKUP(B144,'Pre-Summary'!$AE$6:$AJ$85,5,FALSE),"")</f>
        <v/>
      </c>
      <c r="J144" s="45" t="str">
        <f>IFERROR(VLOOKUP(B144,'Pre-Summary'!$AE$6:$AJ$85,6, FALSE),"")</f>
        <v/>
      </c>
      <c r="K144" s="45" t="str">
        <f>IFERROR(VLOOKUP(B144,'Pre-Summary'!$DE$6:$DG$61,3,FALSE),"")</f>
        <v/>
      </c>
      <c r="L144" s="45" t="str">
        <f>IFERROR(VLOOKUP(B144,'Pre-Summary'!$CU$6:$CW$36,3,FALSE),"")</f>
        <v/>
      </c>
      <c r="M144" s="45" t="str">
        <f>IFERROR(VLOOKUP(B144,'Pre-Summary'!$BW$6:$BY$58,2,FALSE),"")</f>
        <v/>
      </c>
      <c r="N144" s="45" t="str">
        <f>IFERROR(VLOOKUP(B144,'Pre-Summary'!$CD$6:$CF$64,2,FALSE),"")</f>
        <v/>
      </c>
      <c r="O144" s="99">
        <f>IFERROR(VLOOKUP(B144,'Pre-Summary'!$BO$6:$BQ$48,3, FALSE),O143)</f>
        <v>1.0915248032216731</v>
      </c>
      <c r="P144" s="99">
        <f>IFERROR(VLOOKUP(B144,'Pre-Summary'!$BS$6:$BU$35,3,FALSE),P143)</f>
        <v>0.25</v>
      </c>
      <c r="Q144" s="54">
        <f t="shared" si="6"/>
        <v>4.3660992128866924</v>
      </c>
      <c r="R144" s="53">
        <f>IFERROR(VLOOKUP(B144,'Pre-Summary'!$BG$6:$BM$44,7,FALSE),R145)</f>
        <v>2.7904161219319636E-2</v>
      </c>
      <c r="S144" s="53">
        <f>IFERROR(VLOOKUP(B144,'Pre-Summary'!$BG$6:$BM$44,6,FALSE),S145)</f>
        <v>3.3978715219895171E-2</v>
      </c>
      <c r="T144" s="45" t="str">
        <f>IFERROR(VLOOKUP(B144,'Pre-Summary'!$Y$6:$AC$83, 3,FALSE),"")</f>
        <v/>
      </c>
      <c r="U144" s="45" t="str">
        <f>IFERROR(VLOOKUP(B144,'Pre-Summary'!$Y$6:$AC$83, 4,FALSE),"")</f>
        <v/>
      </c>
      <c r="V144" t="str">
        <f>IFERROR(VLOOKUP(B144,'Pre-Summary'!$Y$6:$AC$83, 5,FALSE),"")</f>
        <v/>
      </c>
      <c r="W144" s="45" t="str">
        <f>IFERROR(VLOOKUP(B144,'Pre-Summary'!$Y$6:$AD$83,6,FALSE),"")</f>
        <v/>
      </c>
      <c r="X144" t="str">
        <f>IFERROR(VLOOKUP('Pre-Summary'!$DB$6:$DD$63,3,FALSE),"")</f>
        <v/>
      </c>
      <c r="Y144" t="str">
        <f>IFERROR(VLOOKUP(B144,'Pre-Summary'!$CR$6:$CT$36,3,FALSE),"")</f>
        <v/>
      </c>
      <c r="Z144" s="45" t="str">
        <f>IFERROR(VLOOKUP(B144,'Pre-Summary'!$BZ$6:$CB$63,2,FALSE),"")</f>
        <v/>
      </c>
      <c r="AA144" s="45" t="str">
        <f>IFERROR(VLOOKUP(B144,'Pre-Summary'!$CG$6:$CI$70,2,FALSE),"")</f>
        <v/>
      </c>
      <c r="AB144" s="99">
        <f>IFERROR(VLOOKUP(B144,'Pre-Summary'!$A$6:$P$178,9,FALSE),AB145)</f>
        <v>0.49660943396122104</v>
      </c>
      <c r="AC144" s="10">
        <f>IFERROR(VLOOKUP(Summary!B144,'Pre-Summary'!$A$6:$P$184,5, FALSE)/100,AC145)</f>
        <v>0.89163000000000014</v>
      </c>
      <c r="AD144" s="10">
        <f>IFERROR(VLOOKUP(Summary!B144,'Pre-Summary'!$A$6:$P$184,3, FALSE)/100,AD145)</f>
        <v>0</v>
      </c>
      <c r="AE144" s="10">
        <f>IFERROR(VLOOKUP(Summary!B144,'Pre-Summary'!$A$6:$P$184,7, FALSE)/100,AE145)</f>
        <v>0.10837000000000002</v>
      </c>
      <c r="AF144" s="99">
        <f t="shared" si="7"/>
        <v>0</v>
      </c>
      <c r="AG144" s="99">
        <f t="shared" si="8"/>
        <v>5.3817564358377534E-2</v>
      </c>
      <c r="AH144" s="10" t="str">
        <f>IFERROR(VLOOKUP(B144,'Pre-Summary'!$AZ$6:$BE$65,3,FALSE),"")</f>
        <v/>
      </c>
      <c r="AI144" s="10" t="str">
        <f>IFERROR(VLOOKUP(B144,'Pre-Summary'!$AZ$6:$BE$65,5,FALSE),"")</f>
        <v/>
      </c>
      <c r="AJ144" s="10" t="str">
        <f>IFERROR(VLOOKUP(B144,'Pre-Summary'!$AZ$6:$BE$65,4,FALSE),"")</f>
        <v/>
      </c>
      <c r="AK144" s="10" t="str">
        <f>IFERROR(VLOOKUP(B144,'Pre-Summary'!$AZ$6:$BE$65,6,FALSE),"")</f>
        <v/>
      </c>
      <c r="AL144" s="10" t="str">
        <f>IFERROR(VLOOKUP(B144,'Pre-Summary'!$BG$6:$BL$44,3,FALSE),"")</f>
        <v/>
      </c>
      <c r="AM144" s="10" t="str">
        <f>IFERROR(VLOOKUP(B144,'Pre-Summary'!$BG$6:$BL$44,4,FALSE),"")</f>
        <v/>
      </c>
    </row>
    <row r="145" spans="2:39" ht="14.4" x14ac:dyDescent="0.3">
      <c r="B145">
        <v>14.2</v>
      </c>
      <c r="C145" t="str">
        <f>IFERROR(VLOOKUP(B145,'Pre-Summary'!$DI$6:$DM$23,4,FALSE),"")</f>
        <v/>
      </c>
      <c r="D145" s="10" t="str">
        <f>IFERROR(VLOOKUP(B145,'Pre-Summary'!$AT$6:$AX$14,5,FALSE),D144)</f>
        <v>DSMZ v1.5: Using DSMZ 120 with NaHCO3</v>
      </c>
      <c r="E145" s="10" t="str">
        <f>IFERROR(VLOOKUP(B145,'Pre-Summary'!$AT$6:$AX$15,4,FALSE),"")</f>
        <v/>
      </c>
      <c r="F145">
        <f>IFERROR(VLOOKUP(B145,'Pre-Summary'!$AL$6:$AQ$13,6,FALSE),F144)</f>
        <v>5.9405263157894746E-2</v>
      </c>
      <c r="G145" t="str">
        <f>IFERROR(VLOOKUP(B145,'Pre-Summary'!$AE$6:$AJ$85,3,FALSE),"")</f>
        <v/>
      </c>
      <c r="H145" t="str">
        <f>IFERROR(VLOOKUP(B145,'Pre-Summary'!$AE$6:$AJ$85,4,FALSE),"")</f>
        <v/>
      </c>
      <c r="I145" t="str">
        <f>IFERROR(VLOOKUP(B145,'Pre-Summary'!$AE$6:$AJ$85,5,FALSE),"")</f>
        <v/>
      </c>
      <c r="J145" s="45" t="str">
        <f>IFERROR(VLOOKUP(B145,'Pre-Summary'!$AE$6:$AJ$85,6, FALSE),"")</f>
        <v/>
      </c>
      <c r="K145" s="45" t="str">
        <f>IFERROR(VLOOKUP(B145,'Pre-Summary'!$DE$6:$DG$61,3,FALSE),"")</f>
        <v/>
      </c>
      <c r="L145" s="45" t="str">
        <f>IFERROR(VLOOKUP(B145,'Pre-Summary'!$CU$6:$CW$36,3,FALSE),"")</f>
        <v/>
      </c>
      <c r="M145" s="45" t="str">
        <f>IFERROR(VLOOKUP(B145,'Pre-Summary'!$BW$6:$BY$58,2,FALSE),"")</f>
        <v/>
      </c>
      <c r="N145" s="45" t="str">
        <f>IFERROR(VLOOKUP(B145,'Pre-Summary'!$CD$6:$CF$64,2,FALSE),"")</f>
        <v/>
      </c>
      <c r="O145" s="99">
        <f>IFERROR(VLOOKUP(B145,'Pre-Summary'!$BO$6:$BQ$48,3, FALSE),O144)</f>
        <v>1.0915248032216731</v>
      </c>
      <c r="P145" s="99">
        <f>IFERROR(VLOOKUP(B145,'Pre-Summary'!$BS$6:$BU$35,3,FALSE),P144)</f>
        <v>0.25</v>
      </c>
      <c r="Q145" s="54">
        <f t="shared" si="6"/>
        <v>4.3660992128866924</v>
      </c>
      <c r="R145" s="53">
        <f>IFERROR(VLOOKUP(B145,'Pre-Summary'!$BG$6:$BM$44,7,FALSE),R146)</f>
        <v>2.7904161219319636E-2</v>
      </c>
      <c r="S145" s="53">
        <f>IFERROR(VLOOKUP(B145,'Pre-Summary'!$BG$6:$BM$44,6,FALSE),S146)</f>
        <v>3.3978715219895171E-2</v>
      </c>
      <c r="T145" s="45" t="str">
        <f>IFERROR(VLOOKUP(B145,'Pre-Summary'!$Y$6:$AC$83, 3,FALSE),"")</f>
        <v/>
      </c>
      <c r="U145" s="45" t="str">
        <f>IFERROR(VLOOKUP(B145,'Pre-Summary'!$Y$6:$AC$83, 4,FALSE),"")</f>
        <v/>
      </c>
      <c r="V145" t="str">
        <f>IFERROR(VLOOKUP(B145,'Pre-Summary'!$Y$6:$AC$83, 5,FALSE),"")</f>
        <v/>
      </c>
      <c r="W145" s="45" t="str">
        <f>IFERROR(VLOOKUP(B145,'Pre-Summary'!$Y$6:$AD$83,6,FALSE),"")</f>
        <v/>
      </c>
      <c r="X145" t="str">
        <f>IFERROR(VLOOKUP('Pre-Summary'!$DB$6:$DD$63,3,FALSE),"")</f>
        <v/>
      </c>
      <c r="Y145" t="str">
        <f>IFERROR(VLOOKUP(B145,'Pre-Summary'!$CR$6:$CT$36,3,FALSE),"")</f>
        <v/>
      </c>
      <c r="Z145" s="45" t="str">
        <f>IFERROR(VLOOKUP(B145,'Pre-Summary'!$BZ$6:$CB$63,2,FALSE),"")</f>
        <v/>
      </c>
      <c r="AA145" s="45" t="str">
        <f>IFERROR(VLOOKUP(B145,'Pre-Summary'!$CG$6:$CI$70,2,FALSE),"")</f>
        <v/>
      </c>
      <c r="AB145" s="99">
        <f>IFERROR(VLOOKUP(B145,'Pre-Summary'!$A$6:$P$178,9,FALSE),AB146)</f>
        <v>0.49660943396122104</v>
      </c>
      <c r="AC145" s="10">
        <f>IFERROR(VLOOKUP(Summary!B145,'Pre-Summary'!$A$6:$P$184,5, FALSE)/100,AC146)</f>
        <v>0.89163000000000014</v>
      </c>
      <c r="AD145" s="10">
        <f>IFERROR(VLOOKUP(Summary!B145,'Pre-Summary'!$A$6:$P$184,3, FALSE)/100,AD146)</f>
        <v>0</v>
      </c>
      <c r="AE145" s="10">
        <f>IFERROR(VLOOKUP(Summary!B145,'Pre-Summary'!$A$6:$P$184,7, FALSE)/100,AE146)</f>
        <v>0.10837000000000002</v>
      </c>
      <c r="AF145" s="99">
        <f t="shared" si="7"/>
        <v>0</v>
      </c>
      <c r="AG145" s="99">
        <f t="shared" si="8"/>
        <v>5.3817564358377534E-2</v>
      </c>
      <c r="AH145" s="10" t="str">
        <f>IFERROR(VLOOKUP(B145,'Pre-Summary'!$AZ$6:$BE$65,3,FALSE),"")</f>
        <v/>
      </c>
      <c r="AI145" s="10" t="str">
        <f>IFERROR(VLOOKUP(B145,'Pre-Summary'!$AZ$6:$BE$65,5,FALSE),"")</f>
        <v/>
      </c>
      <c r="AJ145" s="10" t="str">
        <f>IFERROR(VLOOKUP(B145,'Pre-Summary'!$AZ$6:$BE$65,4,FALSE),"")</f>
        <v/>
      </c>
      <c r="AK145" s="10" t="str">
        <f>IFERROR(VLOOKUP(B145,'Pre-Summary'!$AZ$6:$BE$65,6,FALSE),"")</f>
        <v/>
      </c>
      <c r="AL145" s="10" t="str">
        <f>IFERROR(VLOOKUP(B145,'Pre-Summary'!$BG$6:$BL$44,3,FALSE),"")</f>
        <v/>
      </c>
      <c r="AM145" s="10" t="str">
        <f>IFERROR(VLOOKUP(B145,'Pre-Summary'!$BG$6:$BL$44,4,FALSE),"")</f>
        <v/>
      </c>
    </row>
    <row r="146" spans="2:39" ht="14.4" x14ac:dyDescent="0.3">
      <c r="B146">
        <v>14.3</v>
      </c>
      <c r="C146" t="str">
        <f>IFERROR(VLOOKUP(B146,'Pre-Summary'!$DI$6:$DM$23,4,FALSE),"")</f>
        <v/>
      </c>
      <c r="D146" s="10" t="str">
        <f>IFERROR(VLOOKUP(B146,'Pre-Summary'!$AT$6:$AX$14,5,FALSE),D145)</f>
        <v>DSMZ v1.5: Using DSMZ 120 with NaHCO3</v>
      </c>
      <c r="E146" s="10" t="str">
        <f>IFERROR(VLOOKUP(B146,'Pre-Summary'!$AT$6:$AX$15,4,FALSE),"")</f>
        <v/>
      </c>
      <c r="F146">
        <f>IFERROR(VLOOKUP(B146,'Pre-Summary'!$AL$6:$AQ$13,6,FALSE),F145)</f>
        <v>5.9405263157894746E-2</v>
      </c>
      <c r="G146" t="str">
        <f>IFERROR(VLOOKUP(B146,'Pre-Summary'!$AE$6:$AJ$85,3,FALSE),"")</f>
        <v/>
      </c>
      <c r="H146" t="str">
        <f>IFERROR(VLOOKUP(B146,'Pre-Summary'!$AE$6:$AJ$85,4,FALSE),"")</f>
        <v/>
      </c>
      <c r="I146" t="str">
        <f>IFERROR(VLOOKUP(B146,'Pre-Summary'!$AE$6:$AJ$85,5,FALSE),"")</f>
        <v/>
      </c>
      <c r="J146" s="45" t="str">
        <f>IFERROR(VLOOKUP(B146,'Pre-Summary'!$AE$6:$AJ$85,6, FALSE),"")</f>
        <v/>
      </c>
      <c r="K146" s="45" t="str">
        <f>IFERROR(VLOOKUP(B146,'Pre-Summary'!$DE$6:$DG$61,3,FALSE),"")</f>
        <v/>
      </c>
      <c r="L146" s="45" t="str">
        <f>IFERROR(VLOOKUP(B146,'Pre-Summary'!$CU$6:$CW$36,3,FALSE),"")</f>
        <v/>
      </c>
      <c r="M146" s="45" t="str">
        <f>IFERROR(VLOOKUP(B146,'Pre-Summary'!$BW$6:$BY$58,2,FALSE),"")</f>
        <v/>
      </c>
      <c r="N146" s="45" t="str">
        <f>IFERROR(VLOOKUP(B146,'Pre-Summary'!$CD$6:$CF$64,2,FALSE),"")</f>
        <v/>
      </c>
      <c r="O146" s="99">
        <f>IFERROR(VLOOKUP(B146,'Pre-Summary'!$BO$6:$BQ$48,3, FALSE),O145)</f>
        <v>1.0915248032216731</v>
      </c>
      <c r="P146" s="99">
        <f>IFERROR(VLOOKUP(B146,'Pre-Summary'!$BS$6:$BU$35,3,FALSE),P145)</f>
        <v>0.25</v>
      </c>
      <c r="Q146" s="54">
        <f t="shared" si="6"/>
        <v>4.3660992128866924</v>
      </c>
      <c r="R146" s="53">
        <f>IFERROR(VLOOKUP(B146,'Pre-Summary'!$BG$6:$BM$44,7,FALSE),R147)</f>
        <v>2.7904161219319636E-2</v>
      </c>
      <c r="S146" s="53">
        <f>IFERROR(VLOOKUP(B146,'Pre-Summary'!$BG$6:$BM$44,6,FALSE),S147)</f>
        <v>3.3978715219895171E-2</v>
      </c>
      <c r="T146" s="45" t="str">
        <f>IFERROR(VLOOKUP(B146,'Pre-Summary'!$Y$6:$AC$83, 3,FALSE),"")</f>
        <v/>
      </c>
      <c r="U146" s="45" t="str">
        <f>IFERROR(VLOOKUP(B146,'Pre-Summary'!$Y$6:$AC$83, 4,FALSE),"")</f>
        <v/>
      </c>
      <c r="V146" t="str">
        <f>IFERROR(VLOOKUP(B146,'Pre-Summary'!$Y$6:$AC$83, 5,FALSE),"")</f>
        <v/>
      </c>
      <c r="W146" s="45" t="str">
        <f>IFERROR(VLOOKUP(B146,'Pre-Summary'!$Y$6:$AD$83,6,FALSE),"")</f>
        <v/>
      </c>
      <c r="X146" t="str">
        <f>IFERROR(VLOOKUP('Pre-Summary'!$DB$6:$DD$63,3,FALSE),"")</f>
        <v/>
      </c>
      <c r="Y146" t="str">
        <f>IFERROR(VLOOKUP(B146,'Pre-Summary'!$CR$6:$CT$36,3,FALSE),"")</f>
        <v/>
      </c>
      <c r="Z146" s="45" t="str">
        <f>IFERROR(VLOOKUP(B146,'Pre-Summary'!$BZ$6:$CB$63,2,FALSE),"")</f>
        <v/>
      </c>
      <c r="AA146" s="45" t="str">
        <f>IFERROR(VLOOKUP(B146,'Pre-Summary'!$CG$6:$CI$70,2,FALSE),"")</f>
        <v/>
      </c>
      <c r="AB146" s="99">
        <f>IFERROR(VLOOKUP(B146,'Pre-Summary'!$A$6:$P$178,9,FALSE),AB147)</f>
        <v>0.49660943396122104</v>
      </c>
      <c r="AC146" s="10">
        <f>IFERROR(VLOOKUP(Summary!B146,'Pre-Summary'!$A$6:$P$184,5, FALSE)/100,AC147)</f>
        <v>0.89163000000000014</v>
      </c>
      <c r="AD146" s="10">
        <f>IFERROR(VLOOKUP(Summary!B146,'Pre-Summary'!$A$6:$P$184,3, FALSE)/100,AD147)</f>
        <v>0</v>
      </c>
      <c r="AE146" s="10">
        <f>IFERROR(VLOOKUP(Summary!B146,'Pre-Summary'!$A$6:$P$184,7, FALSE)/100,AE147)</f>
        <v>0.10837000000000002</v>
      </c>
      <c r="AF146" s="99">
        <f t="shared" si="7"/>
        <v>0</v>
      </c>
      <c r="AG146" s="99">
        <f t="shared" si="8"/>
        <v>5.3817564358377534E-2</v>
      </c>
      <c r="AH146" s="10" t="str">
        <f>IFERROR(VLOOKUP(B146,'Pre-Summary'!$AZ$6:$BE$65,3,FALSE),"")</f>
        <v/>
      </c>
      <c r="AI146" s="10" t="str">
        <f>IFERROR(VLOOKUP(B146,'Pre-Summary'!$AZ$6:$BE$65,5,FALSE),"")</f>
        <v/>
      </c>
      <c r="AJ146" s="10" t="str">
        <f>IFERROR(VLOOKUP(B146,'Pre-Summary'!$AZ$6:$BE$65,4,FALSE),"")</f>
        <v/>
      </c>
      <c r="AK146" s="10" t="str">
        <f>IFERROR(VLOOKUP(B146,'Pre-Summary'!$AZ$6:$BE$65,6,FALSE),"")</f>
        <v/>
      </c>
      <c r="AL146" s="10" t="str">
        <f>IFERROR(VLOOKUP(B146,'Pre-Summary'!$BG$6:$BL$44,3,FALSE),"")</f>
        <v/>
      </c>
      <c r="AM146" s="10" t="str">
        <f>IFERROR(VLOOKUP(B146,'Pre-Summary'!$BG$6:$BL$44,4,FALSE),"")</f>
        <v/>
      </c>
    </row>
    <row r="147" spans="2:39" ht="14.4" x14ac:dyDescent="0.3">
      <c r="B147">
        <v>14.4</v>
      </c>
      <c r="C147" t="str">
        <f>IFERROR(VLOOKUP(B147,'Pre-Summary'!$DI$6:$DM$23,4,FALSE),"")</f>
        <v/>
      </c>
      <c r="D147" s="10" t="str">
        <f>IFERROR(VLOOKUP(B147,'Pre-Summary'!$AT$6:$AX$14,5,FALSE),D146)</f>
        <v>DSMZ v1.5: Using DSMZ 120 with NaHCO3</v>
      </c>
      <c r="E147" s="10" t="str">
        <f>IFERROR(VLOOKUP(B147,'Pre-Summary'!$AT$6:$AX$15,4,FALSE),"")</f>
        <v/>
      </c>
      <c r="F147">
        <f>IFERROR(VLOOKUP(B147,'Pre-Summary'!$AL$6:$AQ$13,6,FALSE),F146)</f>
        <v>5.9405263157894746E-2</v>
      </c>
      <c r="G147" t="str">
        <f>IFERROR(VLOOKUP(B147,'Pre-Summary'!$AE$6:$AJ$85,3,FALSE),"")</f>
        <v/>
      </c>
      <c r="H147" t="str">
        <f>IFERROR(VLOOKUP(B147,'Pre-Summary'!$AE$6:$AJ$85,4,FALSE),"")</f>
        <v/>
      </c>
      <c r="I147" t="str">
        <f>IFERROR(VLOOKUP(B147,'Pre-Summary'!$AE$6:$AJ$85,5,FALSE),"")</f>
        <v/>
      </c>
      <c r="J147" s="45" t="str">
        <f>IFERROR(VLOOKUP(B147,'Pre-Summary'!$AE$6:$AJ$85,6, FALSE),"")</f>
        <v/>
      </c>
      <c r="K147" s="45" t="str">
        <f>IFERROR(VLOOKUP(B147,'Pre-Summary'!$DE$6:$DG$61,3,FALSE),"")</f>
        <v/>
      </c>
      <c r="L147" s="45" t="str">
        <f>IFERROR(VLOOKUP(B147,'Pre-Summary'!$CU$6:$CW$36,3,FALSE),"")</f>
        <v/>
      </c>
      <c r="M147" s="45" t="str">
        <f>IFERROR(VLOOKUP(B147,'Pre-Summary'!$BW$6:$BY$58,2,FALSE),"")</f>
        <v/>
      </c>
      <c r="N147" s="45" t="str">
        <f>IFERROR(VLOOKUP(B147,'Pre-Summary'!$CD$6:$CF$64,2,FALSE),"")</f>
        <v/>
      </c>
      <c r="O147" s="99">
        <f>IFERROR(VLOOKUP(B147,'Pre-Summary'!$BO$6:$BQ$48,3, FALSE),O146)</f>
        <v>1.0915248032216731</v>
      </c>
      <c r="P147" s="99">
        <f>IFERROR(VLOOKUP(B147,'Pre-Summary'!$BS$6:$BU$35,3,FALSE),P146)</f>
        <v>0.25</v>
      </c>
      <c r="Q147" s="54">
        <f t="shared" si="6"/>
        <v>4.3660992128866924</v>
      </c>
      <c r="R147" s="53">
        <f>IFERROR(VLOOKUP(B147,'Pre-Summary'!$BG$6:$BM$44,7,FALSE),R148)</f>
        <v>2.7904161219319636E-2</v>
      </c>
      <c r="S147" s="53">
        <f>IFERROR(VLOOKUP(B147,'Pre-Summary'!$BG$6:$BM$44,6,FALSE),S148)</f>
        <v>3.3978715219895171E-2</v>
      </c>
      <c r="T147" s="45" t="str">
        <f>IFERROR(VLOOKUP(B147,'Pre-Summary'!$Y$6:$AC$83, 3,FALSE),"")</f>
        <v/>
      </c>
      <c r="U147" s="45" t="str">
        <f>IFERROR(VLOOKUP(B147,'Pre-Summary'!$Y$6:$AC$83, 4,FALSE),"")</f>
        <v/>
      </c>
      <c r="V147" t="str">
        <f>IFERROR(VLOOKUP(B147,'Pre-Summary'!$Y$6:$AC$83, 5,FALSE),"")</f>
        <v/>
      </c>
      <c r="W147" s="45" t="str">
        <f>IFERROR(VLOOKUP(B147,'Pre-Summary'!$Y$6:$AD$83,6,FALSE),"")</f>
        <v/>
      </c>
      <c r="X147" t="str">
        <f>IFERROR(VLOOKUP('Pre-Summary'!$DB$6:$DD$63,3,FALSE),"")</f>
        <v/>
      </c>
      <c r="Y147" t="str">
        <f>IFERROR(VLOOKUP(B147,'Pre-Summary'!$CR$6:$CT$36,3,FALSE),"")</f>
        <v/>
      </c>
      <c r="Z147" s="45" t="str">
        <f>IFERROR(VLOOKUP(B147,'Pre-Summary'!$BZ$6:$CB$63,2,FALSE),"")</f>
        <v/>
      </c>
      <c r="AA147" s="45" t="str">
        <f>IFERROR(VLOOKUP(B147,'Pre-Summary'!$CG$6:$CI$70,2,FALSE),"")</f>
        <v/>
      </c>
      <c r="AB147" s="99">
        <f>IFERROR(VLOOKUP(B147,'Pre-Summary'!$A$6:$P$178,9,FALSE),AB148)</f>
        <v>0.49660943396122104</v>
      </c>
      <c r="AC147" s="10">
        <f>IFERROR(VLOOKUP(Summary!B147,'Pre-Summary'!$A$6:$P$184,5, FALSE)/100,AC148)</f>
        <v>0.89163000000000014</v>
      </c>
      <c r="AD147" s="10">
        <f>IFERROR(VLOOKUP(Summary!B147,'Pre-Summary'!$A$6:$P$184,3, FALSE)/100,AD148)</f>
        <v>0</v>
      </c>
      <c r="AE147" s="10">
        <f>IFERROR(VLOOKUP(Summary!B147,'Pre-Summary'!$A$6:$P$184,7, FALSE)/100,AE148)</f>
        <v>0.10837000000000002</v>
      </c>
      <c r="AF147" s="99">
        <f t="shared" si="7"/>
        <v>0</v>
      </c>
      <c r="AG147" s="99">
        <f t="shared" si="8"/>
        <v>5.3817564358377534E-2</v>
      </c>
      <c r="AH147" s="10" t="str">
        <f>IFERROR(VLOOKUP(B147,'Pre-Summary'!$AZ$6:$BE$65,3,FALSE),"")</f>
        <v/>
      </c>
      <c r="AI147" s="10" t="str">
        <f>IFERROR(VLOOKUP(B147,'Pre-Summary'!$AZ$6:$BE$65,5,FALSE),"")</f>
        <v/>
      </c>
      <c r="AJ147" s="10" t="str">
        <f>IFERROR(VLOOKUP(B147,'Pre-Summary'!$AZ$6:$BE$65,4,FALSE),"")</f>
        <v/>
      </c>
      <c r="AK147" s="10" t="str">
        <f>IFERROR(VLOOKUP(B147,'Pre-Summary'!$AZ$6:$BE$65,6,FALSE),"")</f>
        <v/>
      </c>
      <c r="AL147" s="10" t="str">
        <f>IFERROR(VLOOKUP(B147,'Pre-Summary'!$BG$6:$BL$44,3,FALSE),"")</f>
        <v/>
      </c>
      <c r="AM147" s="10" t="str">
        <f>IFERROR(VLOOKUP(B147,'Pre-Summary'!$BG$6:$BL$44,4,FALSE),"")</f>
        <v/>
      </c>
    </row>
    <row r="148" spans="2:39" ht="14.4" x14ac:dyDescent="0.3">
      <c r="B148">
        <v>14.5</v>
      </c>
      <c r="C148" t="str">
        <f>IFERROR(VLOOKUP(B148,'Pre-Summary'!$DI$6:$DM$23,4,FALSE),"")</f>
        <v/>
      </c>
      <c r="D148" s="10" t="str">
        <f>IFERROR(VLOOKUP(B148,'Pre-Summary'!$AT$6:$AX$14,5,FALSE),D147)</f>
        <v>DSMZ v1.5: Using DSMZ 120 with NaHCO3</v>
      </c>
      <c r="E148" s="10" t="str">
        <f>IFERROR(VLOOKUP(B148,'Pre-Summary'!$AT$6:$AX$15,4,FALSE),"")</f>
        <v/>
      </c>
      <c r="F148">
        <f>IFERROR(VLOOKUP(B148,'Pre-Summary'!$AL$6:$AQ$13,6,FALSE),F147)</f>
        <v>5.9405263157894746E-2</v>
      </c>
      <c r="G148" t="str">
        <f>IFERROR(VLOOKUP(B148,'Pre-Summary'!$AE$6:$AJ$85,3,FALSE),"")</f>
        <v/>
      </c>
      <c r="H148" t="str">
        <f>IFERROR(VLOOKUP(B148,'Pre-Summary'!$AE$6:$AJ$85,4,FALSE),"")</f>
        <v/>
      </c>
      <c r="I148" t="str">
        <f>IFERROR(VLOOKUP(B148,'Pre-Summary'!$AE$6:$AJ$85,5,FALSE),"")</f>
        <v/>
      </c>
      <c r="J148" s="45" t="str">
        <f>IFERROR(VLOOKUP(B148,'Pre-Summary'!$AE$6:$AJ$85,6, FALSE),"")</f>
        <v/>
      </c>
      <c r="K148" s="45" t="str">
        <f>IFERROR(VLOOKUP(B148,'Pre-Summary'!$DE$6:$DG$61,3,FALSE),"")</f>
        <v/>
      </c>
      <c r="L148" s="45" t="str">
        <f>IFERROR(VLOOKUP(B148,'Pre-Summary'!$CU$6:$CW$36,3,FALSE),"")</f>
        <v/>
      </c>
      <c r="M148" s="45" t="str">
        <f>IFERROR(VLOOKUP(B148,'Pre-Summary'!$BW$6:$BY$58,2,FALSE),"")</f>
        <v/>
      </c>
      <c r="N148" s="45" t="str">
        <f>IFERROR(VLOOKUP(B148,'Pre-Summary'!$CD$6:$CF$64,2,FALSE),"")</f>
        <v/>
      </c>
      <c r="O148" s="99">
        <f>IFERROR(VLOOKUP(B148,'Pre-Summary'!$BO$6:$BQ$48,3, FALSE),O147)</f>
        <v>1.0915248032216731</v>
      </c>
      <c r="P148" s="99">
        <f>IFERROR(VLOOKUP(B148,'Pre-Summary'!$BS$6:$BU$35,3,FALSE),P147)</f>
        <v>0.25</v>
      </c>
      <c r="Q148" s="54">
        <f t="shared" si="6"/>
        <v>4.3660992128866924</v>
      </c>
      <c r="R148" s="53">
        <f>IFERROR(VLOOKUP(B148,'Pre-Summary'!$BG$6:$BM$44,7,FALSE),R149)</f>
        <v>2.7904161219319636E-2</v>
      </c>
      <c r="S148" s="53">
        <f>IFERROR(VLOOKUP(B148,'Pre-Summary'!$BG$6:$BM$44,6,FALSE),S149)</f>
        <v>3.3978715219895171E-2</v>
      </c>
      <c r="T148" s="45">
        <f>IFERROR(VLOOKUP(B148,'Pre-Summary'!$Y$6:$AC$83, 3,FALSE),"")</f>
        <v>1966.3300000000002</v>
      </c>
      <c r="U148" s="45" t="str">
        <f>IFERROR(VLOOKUP(B148,'Pre-Summary'!$Y$6:$AC$83, 4,FALSE),"")</f>
        <v/>
      </c>
      <c r="V148">
        <f>IFERROR(VLOOKUP(B148,'Pre-Summary'!$Y$6:$AC$83, 5,FALSE),"")</f>
        <v>0</v>
      </c>
      <c r="W148" s="45">
        <f>IFERROR(VLOOKUP(B148,'Pre-Summary'!$Y$6:$AD$83,6,FALSE),"")</f>
        <v>2098.07411</v>
      </c>
      <c r="X148" t="str">
        <f>IFERROR(VLOOKUP('Pre-Summary'!$DB$6:$DD$63,3,FALSE),"")</f>
        <v/>
      </c>
      <c r="Y148" t="str">
        <f>IFERROR(VLOOKUP(B148,'Pre-Summary'!$CR$6:$CT$36,3,FALSE),"")</f>
        <v/>
      </c>
      <c r="Z148" s="45" t="str">
        <f>IFERROR(VLOOKUP(B148,'Pre-Summary'!$BZ$6:$CB$63,2,FALSE),"")</f>
        <v/>
      </c>
      <c r="AA148" s="45">
        <f>IFERROR(VLOOKUP(B148,'Pre-Summary'!$CG$6:$CI$70,2,FALSE),"")</f>
        <v>202.84618768418355</v>
      </c>
      <c r="AB148" s="99">
        <f>IFERROR(VLOOKUP(B148,'Pre-Summary'!$A$6:$P$178,9,FALSE),AB149)</f>
        <v>0.49660943396122104</v>
      </c>
      <c r="AC148" s="10">
        <f>IFERROR(VLOOKUP(Summary!B148,'Pre-Summary'!$A$6:$P$184,5, FALSE)/100,AC149)</f>
        <v>0.89163000000000014</v>
      </c>
      <c r="AD148" s="10">
        <f>IFERROR(VLOOKUP(Summary!B148,'Pre-Summary'!$A$6:$P$184,3, FALSE)/100,AD149)</f>
        <v>0</v>
      </c>
      <c r="AE148" s="10">
        <f>IFERROR(VLOOKUP(Summary!B148,'Pre-Summary'!$A$6:$P$184,7, FALSE)/100,AE149)</f>
        <v>0.10837000000000002</v>
      </c>
      <c r="AF148" s="99">
        <f t="shared" si="7"/>
        <v>0</v>
      </c>
      <c r="AG148" s="99">
        <f t="shared" si="8"/>
        <v>5.3817564358377534E-2</v>
      </c>
      <c r="AH148" s="10" t="str">
        <f>IFERROR(VLOOKUP(B148,'Pre-Summary'!$AZ$6:$BE$65,3,FALSE),"")</f>
        <v/>
      </c>
      <c r="AI148" s="10" t="str">
        <f>IFERROR(VLOOKUP(B148,'Pre-Summary'!$AZ$6:$BE$65,5,FALSE),"")</f>
        <v/>
      </c>
      <c r="AJ148" s="10" t="str">
        <f>IFERROR(VLOOKUP(B148,'Pre-Summary'!$AZ$6:$BE$65,4,FALSE),"")</f>
        <v/>
      </c>
      <c r="AK148" s="10" t="str">
        <f>IFERROR(VLOOKUP(B148,'Pre-Summary'!$AZ$6:$BE$65,6,FALSE),"")</f>
        <v/>
      </c>
      <c r="AL148" s="10" t="str">
        <f>IFERROR(VLOOKUP(B148,'Pre-Summary'!$BG$6:$BL$44,3,FALSE),"")</f>
        <v/>
      </c>
      <c r="AM148" s="10" t="str">
        <f>IFERROR(VLOOKUP(B148,'Pre-Summary'!$BG$6:$BL$44,4,FALSE),"")</f>
        <v/>
      </c>
    </row>
    <row r="149" spans="2:39" ht="14.4" x14ac:dyDescent="0.3">
      <c r="B149">
        <v>14.6</v>
      </c>
      <c r="C149" t="str">
        <f>IFERROR(VLOOKUP(B149,'Pre-Summary'!$DI$6:$DM$23,4,FALSE),"")</f>
        <v/>
      </c>
      <c r="D149" s="10" t="str">
        <f>IFERROR(VLOOKUP(B149,'Pre-Summary'!$AT$6:$AX$14,5,FALSE),D148)</f>
        <v>DSMZ v1.5: Using DSMZ 120 with NaHCO3</v>
      </c>
      <c r="E149" s="10" t="str">
        <f>IFERROR(VLOOKUP(B149,'Pre-Summary'!$AT$6:$AX$15,4,FALSE),"")</f>
        <v/>
      </c>
      <c r="F149">
        <f>IFERROR(VLOOKUP(B149,'Pre-Summary'!$AL$6:$AQ$13,6,FALSE),F148)</f>
        <v>5.9405263157894746E-2</v>
      </c>
      <c r="G149" t="str">
        <f>IFERROR(VLOOKUP(B149,'Pre-Summary'!$AE$6:$AJ$85,3,FALSE),"")</f>
        <v/>
      </c>
      <c r="H149" t="str">
        <f>IFERROR(VLOOKUP(B149,'Pre-Summary'!$AE$6:$AJ$85,4,FALSE),"")</f>
        <v/>
      </c>
      <c r="I149" t="str">
        <f>IFERROR(VLOOKUP(B149,'Pre-Summary'!$AE$6:$AJ$85,5,FALSE),"")</f>
        <v/>
      </c>
      <c r="J149" s="45" t="str">
        <f>IFERROR(VLOOKUP(B149,'Pre-Summary'!$AE$6:$AJ$85,6, FALSE),"")</f>
        <v/>
      </c>
      <c r="K149" s="45" t="str">
        <f>IFERROR(VLOOKUP(B149,'Pre-Summary'!$DE$6:$DG$61,3,FALSE),"")</f>
        <v/>
      </c>
      <c r="L149" s="45" t="str">
        <f>IFERROR(VLOOKUP(B149,'Pre-Summary'!$CU$6:$CW$36,3,FALSE),"")</f>
        <v/>
      </c>
      <c r="M149" s="45" t="str">
        <f>IFERROR(VLOOKUP(B149,'Pre-Summary'!$BW$6:$BY$58,2,FALSE),"")</f>
        <v/>
      </c>
      <c r="N149" s="45" t="str">
        <f>IFERROR(VLOOKUP(B149,'Pre-Summary'!$CD$6:$CF$64,2,FALSE),"")</f>
        <v/>
      </c>
      <c r="O149" s="99">
        <f>IFERROR(VLOOKUP(B149,'Pre-Summary'!$BO$6:$BQ$48,3, FALSE),O148)</f>
        <v>1.0915248032216731</v>
      </c>
      <c r="P149" s="99">
        <f>IFERROR(VLOOKUP(B149,'Pre-Summary'!$BS$6:$BU$35,3,FALSE),P148)</f>
        <v>0.25</v>
      </c>
      <c r="Q149" s="54">
        <f t="shared" si="6"/>
        <v>4.3660992128866924</v>
      </c>
      <c r="R149" s="53">
        <f>IFERROR(VLOOKUP(B149,'Pre-Summary'!$BG$6:$BM$44,7,FALSE),R150)</f>
        <v>2.7904161219319636E-2</v>
      </c>
      <c r="S149" s="53">
        <f>IFERROR(VLOOKUP(B149,'Pre-Summary'!$BG$6:$BM$44,6,FALSE),S150)</f>
        <v>3.3978715219895171E-2</v>
      </c>
      <c r="T149" s="45" t="str">
        <f>IFERROR(VLOOKUP(B149,'Pre-Summary'!$Y$6:$AC$83, 3,FALSE),"")</f>
        <v/>
      </c>
      <c r="U149" s="45" t="str">
        <f>IFERROR(VLOOKUP(B149,'Pre-Summary'!$Y$6:$AC$83, 4,FALSE),"")</f>
        <v/>
      </c>
      <c r="V149" t="str">
        <f>IFERROR(VLOOKUP(B149,'Pre-Summary'!$Y$6:$AC$83, 5,FALSE),"")</f>
        <v/>
      </c>
      <c r="W149" s="45" t="str">
        <f>IFERROR(VLOOKUP(B149,'Pre-Summary'!$Y$6:$AD$83,6,FALSE),"")</f>
        <v/>
      </c>
      <c r="X149" t="str">
        <f>IFERROR(VLOOKUP('Pre-Summary'!$DB$6:$DD$63,3,FALSE),"")</f>
        <v/>
      </c>
      <c r="Y149" t="str">
        <f>IFERROR(VLOOKUP(B149,'Pre-Summary'!$CR$6:$CT$36,3,FALSE),"")</f>
        <v/>
      </c>
      <c r="Z149" s="45" t="str">
        <f>IFERROR(VLOOKUP(B149,'Pre-Summary'!$BZ$6:$CB$63,2,FALSE),"")</f>
        <v/>
      </c>
      <c r="AA149" s="45" t="str">
        <f>IFERROR(VLOOKUP(B149,'Pre-Summary'!$CG$6:$CI$70,2,FALSE),"")</f>
        <v/>
      </c>
      <c r="AB149" s="99">
        <f>IFERROR(VLOOKUP(B149,'Pre-Summary'!$A$6:$P$178,9,FALSE),AB150)</f>
        <v>0.49660943396122104</v>
      </c>
      <c r="AC149" s="10">
        <f>IFERROR(VLOOKUP(Summary!B149,'Pre-Summary'!$A$6:$P$184,5, FALSE)/100,AC150)</f>
        <v>0.89163000000000014</v>
      </c>
      <c r="AD149" s="10">
        <f>IFERROR(VLOOKUP(Summary!B149,'Pre-Summary'!$A$6:$P$184,3, FALSE)/100,AD150)</f>
        <v>0</v>
      </c>
      <c r="AE149" s="10">
        <f>IFERROR(VLOOKUP(Summary!B149,'Pre-Summary'!$A$6:$P$184,7, FALSE)/100,AE150)</f>
        <v>0.10837000000000002</v>
      </c>
      <c r="AF149" s="99">
        <f t="shared" si="7"/>
        <v>0</v>
      </c>
      <c r="AG149" s="99">
        <f t="shared" si="8"/>
        <v>5.3817564358377534E-2</v>
      </c>
      <c r="AH149" s="10" t="str">
        <f>IFERROR(VLOOKUP(B149,'Pre-Summary'!$AZ$6:$BE$65,3,FALSE),"")</f>
        <v/>
      </c>
      <c r="AI149" s="10" t="str">
        <f>IFERROR(VLOOKUP(B149,'Pre-Summary'!$AZ$6:$BE$65,5,FALSE),"")</f>
        <v/>
      </c>
      <c r="AJ149" s="10" t="str">
        <f>IFERROR(VLOOKUP(B149,'Pre-Summary'!$AZ$6:$BE$65,4,FALSE),"")</f>
        <v/>
      </c>
      <c r="AK149" s="10" t="str">
        <f>IFERROR(VLOOKUP(B149,'Pre-Summary'!$AZ$6:$BE$65,6,FALSE),"")</f>
        <v/>
      </c>
      <c r="AL149" s="10" t="str">
        <f>IFERROR(VLOOKUP(B149,'Pre-Summary'!$BG$6:$BL$44,3,FALSE),"")</f>
        <v/>
      </c>
      <c r="AM149" s="10" t="str">
        <f>IFERROR(VLOOKUP(B149,'Pre-Summary'!$BG$6:$BL$44,4,FALSE),"")</f>
        <v/>
      </c>
    </row>
    <row r="150" spans="2:39" ht="14.4" x14ac:dyDescent="0.3">
      <c r="B150">
        <v>14.7</v>
      </c>
      <c r="C150" t="str">
        <f>IFERROR(VLOOKUP(B150,'Pre-Summary'!$DI$6:$DM$23,4,FALSE),"")</f>
        <v/>
      </c>
      <c r="D150" s="10" t="str">
        <f>IFERROR(VLOOKUP(B150,'Pre-Summary'!$AT$6:$AX$14,5,FALSE),D149)</f>
        <v>DSMZ v1.5: Using DSMZ 120 with NaHCO3</v>
      </c>
      <c r="E150" s="10" t="str">
        <f>IFERROR(VLOOKUP(B150,'Pre-Summary'!$AT$6:$AX$15,4,FALSE),"")</f>
        <v/>
      </c>
      <c r="F150">
        <f>IFERROR(VLOOKUP(B150,'Pre-Summary'!$AL$6:$AQ$13,6,FALSE),F149)</f>
        <v>5.9405263157894746E-2</v>
      </c>
      <c r="G150" t="str">
        <f>IFERROR(VLOOKUP(B150,'Pre-Summary'!$AE$6:$AJ$85,3,FALSE),"")</f>
        <v/>
      </c>
      <c r="H150" t="str">
        <f>IFERROR(VLOOKUP(B150,'Pre-Summary'!$AE$6:$AJ$85,4,FALSE),"")</f>
        <v/>
      </c>
      <c r="I150" t="str">
        <f>IFERROR(VLOOKUP(B150,'Pre-Summary'!$AE$6:$AJ$85,5,FALSE),"")</f>
        <v/>
      </c>
      <c r="J150" s="45" t="str">
        <f>IFERROR(VLOOKUP(B150,'Pre-Summary'!$AE$6:$AJ$85,6, FALSE),"")</f>
        <v/>
      </c>
      <c r="K150" s="45" t="str">
        <f>IFERROR(VLOOKUP(B150,'Pre-Summary'!$DE$6:$DG$61,3,FALSE),"")</f>
        <v/>
      </c>
      <c r="L150" s="45" t="str">
        <f>IFERROR(VLOOKUP(B150,'Pre-Summary'!$CU$6:$CW$36,3,FALSE),"")</f>
        <v/>
      </c>
      <c r="M150" s="45" t="str">
        <f>IFERROR(VLOOKUP(B150,'Pre-Summary'!$BW$6:$BY$58,2,FALSE),"")</f>
        <v/>
      </c>
      <c r="N150" s="45" t="str">
        <f>IFERROR(VLOOKUP(B150,'Pre-Summary'!$CD$6:$CF$64,2,FALSE),"")</f>
        <v/>
      </c>
      <c r="O150" s="99">
        <f>IFERROR(VLOOKUP(B150,'Pre-Summary'!$BO$6:$BQ$48,3, FALSE),O149)</f>
        <v>1.0915248032216731</v>
      </c>
      <c r="P150" s="99">
        <f>IFERROR(VLOOKUP(B150,'Pre-Summary'!$BS$6:$BU$35,3,FALSE),P149)</f>
        <v>0.25</v>
      </c>
      <c r="Q150" s="54">
        <f t="shared" si="6"/>
        <v>4.3660992128866924</v>
      </c>
      <c r="R150" s="53">
        <f>IFERROR(VLOOKUP(B150,'Pre-Summary'!$BG$6:$BM$44,7,FALSE),R151)</f>
        <v>2.7904161219319636E-2</v>
      </c>
      <c r="S150" s="53">
        <f>IFERROR(VLOOKUP(B150,'Pre-Summary'!$BG$6:$BM$44,6,FALSE),S151)</f>
        <v>3.3978715219895171E-2</v>
      </c>
      <c r="T150" s="45" t="str">
        <f>IFERROR(VLOOKUP(B150,'Pre-Summary'!$Y$6:$AC$83, 3,FALSE),"")</f>
        <v/>
      </c>
      <c r="U150" s="45" t="str">
        <f>IFERROR(VLOOKUP(B150,'Pre-Summary'!$Y$6:$AC$83, 4,FALSE),"")</f>
        <v/>
      </c>
      <c r="V150" t="str">
        <f>IFERROR(VLOOKUP(B150,'Pre-Summary'!$Y$6:$AC$83, 5,FALSE),"")</f>
        <v/>
      </c>
      <c r="W150" s="45" t="str">
        <f>IFERROR(VLOOKUP(B150,'Pre-Summary'!$Y$6:$AD$83,6,FALSE),"")</f>
        <v/>
      </c>
      <c r="X150" t="str">
        <f>IFERROR(VLOOKUP('Pre-Summary'!$DB$6:$DD$63,3,FALSE),"")</f>
        <v/>
      </c>
      <c r="Y150" t="str">
        <f>IFERROR(VLOOKUP(B150,'Pre-Summary'!$CR$6:$CT$36,3,FALSE),"")</f>
        <v/>
      </c>
      <c r="Z150" s="45" t="str">
        <f>IFERROR(VLOOKUP(B150,'Pre-Summary'!$BZ$6:$CB$63,2,FALSE),"")</f>
        <v/>
      </c>
      <c r="AA150" s="45" t="str">
        <f>IFERROR(VLOOKUP(B150,'Pre-Summary'!$CG$6:$CI$70,2,FALSE),"")</f>
        <v/>
      </c>
      <c r="AB150" s="99">
        <f>IFERROR(VLOOKUP(B150,'Pre-Summary'!$A$6:$P$178,9,FALSE),AB151)</f>
        <v>0.49660943396122104</v>
      </c>
      <c r="AC150" s="10">
        <f>IFERROR(VLOOKUP(Summary!B150,'Pre-Summary'!$A$6:$P$184,5, FALSE)/100,AC151)</f>
        <v>0.89163000000000014</v>
      </c>
      <c r="AD150" s="10">
        <f>IFERROR(VLOOKUP(Summary!B150,'Pre-Summary'!$A$6:$P$184,3, FALSE)/100,AD151)</f>
        <v>0</v>
      </c>
      <c r="AE150" s="10">
        <f>IFERROR(VLOOKUP(Summary!B150,'Pre-Summary'!$A$6:$P$184,7, FALSE)/100,AE151)</f>
        <v>0.10837000000000002</v>
      </c>
      <c r="AF150" s="99">
        <f t="shared" si="7"/>
        <v>0</v>
      </c>
      <c r="AG150" s="99">
        <f t="shared" si="8"/>
        <v>5.3817564358377534E-2</v>
      </c>
      <c r="AH150" s="10" t="str">
        <f>IFERROR(VLOOKUP(B150,'Pre-Summary'!$AZ$6:$BE$65,3,FALSE),"")</f>
        <v/>
      </c>
      <c r="AI150" s="10" t="str">
        <f>IFERROR(VLOOKUP(B150,'Pre-Summary'!$AZ$6:$BE$65,5,FALSE),"")</f>
        <v/>
      </c>
      <c r="AJ150" s="10" t="str">
        <f>IFERROR(VLOOKUP(B150,'Pre-Summary'!$AZ$6:$BE$65,4,FALSE),"")</f>
        <v/>
      </c>
      <c r="AK150" s="10" t="str">
        <f>IFERROR(VLOOKUP(B150,'Pre-Summary'!$AZ$6:$BE$65,6,FALSE),"")</f>
        <v/>
      </c>
      <c r="AL150" s="10" t="str">
        <f>IFERROR(VLOOKUP(B150,'Pre-Summary'!$BG$6:$BL$44,3,FALSE),"")</f>
        <v/>
      </c>
      <c r="AM150" s="10" t="str">
        <f>IFERROR(VLOOKUP(B150,'Pre-Summary'!$BG$6:$BL$44,4,FALSE),"")</f>
        <v/>
      </c>
    </row>
    <row r="151" spans="2:39" ht="14.4" x14ac:dyDescent="0.3">
      <c r="B151">
        <v>14.8</v>
      </c>
      <c r="C151" t="str">
        <f>IFERROR(VLOOKUP(B151,'Pre-Summary'!$DI$6:$DM$23,4,FALSE),"")</f>
        <v/>
      </c>
      <c r="D151" s="10" t="str">
        <f>IFERROR(VLOOKUP(B151,'Pre-Summary'!$AT$6:$AX$14,5,FALSE),D150)</f>
        <v>DSMZ v1.5: Using DSMZ 120 with NaHCO3</v>
      </c>
      <c r="E151" s="10" t="str">
        <f>IFERROR(VLOOKUP(B151,'Pre-Summary'!$AT$6:$AX$15,4,FALSE),"")</f>
        <v/>
      </c>
      <c r="F151">
        <f>IFERROR(VLOOKUP(B151,'Pre-Summary'!$AL$6:$AQ$13,6,FALSE),F150)</f>
        <v>5.9405263157894746E-2</v>
      </c>
      <c r="G151" t="str">
        <f>IFERROR(VLOOKUP(B151,'Pre-Summary'!$AE$6:$AJ$85,3,FALSE),"")</f>
        <v/>
      </c>
      <c r="H151" t="str">
        <f>IFERROR(VLOOKUP(B151,'Pre-Summary'!$AE$6:$AJ$85,4,FALSE),"")</f>
        <v/>
      </c>
      <c r="I151" t="str">
        <f>IFERROR(VLOOKUP(B151,'Pre-Summary'!$AE$6:$AJ$85,5,FALSE),"")</f>
        <v/>
      </c>
      <c r="J151" s="45" t="str">
        <f>IFERROR(VLOOKUP(B151,'Pre-Summary'!$AE$6:$AJ$85,6, FALSE),"")</f>
        <v/>
      </c>
      <c r="K151" s="45" t="str">
        <f>IFERROR(VLOOKUP(B151,'Pre-Summary'!$DE$6:$DG$61,3,FALSE),"")</f>
        <v/>
      </c>
      <c r="L151" s="45" t="str">
        <f>IFERROR(VLOOKUP(B151,'Pre-Summary'!$CU$6:$CW$36,3,FALSE),"")</f>
        <v/>
      </c>
      <c r="M151" s="45" t="str">
        <f>IFERROR(VLOOKUP(B151,'Pre-Summary'!$BW$6:$BY$58,2,FALSE),"")</f>
        <v/>
      </c>
      <c r="N151" s="45" t="str">
        <f>IFERROR(VLOOKUP(B151,'Pre-Summary'!$CD$6:$CF$64,2,FALSE),"")</f>
        <v/>
      </c>
      <c r="O151" s="99">
        <f>IFERROR(VLOOKUP(B151,'Pre-Summary'!$BO$6:$BQ$48,3, FALSE),O150)</f>
        <v>1.0915248032216731</v>
      </c>
      <c r="P151" s="99">
        <f>IFERROR(VLOOKUP(B151,'Pre-Summary'!$BS$6:$BU$35,3,FALSE),P150)</f>
        <v>0.25</v>
      </c>
      <c r="Q151" s="54">
        <f t="shared" si="6"/>
        <v>4.3660992128866924</v>
      </c>
      <c r="R151" s="53">
        <f>IFERROR(VLOOKUP(B151,'Pre-Summary'!$BG$6:$BM$44,7,FALSE),R152)</f>
        <v>2.7904161219319636E-2</v>
      </c>
      <c r="S151" s="53">
        <f>IFERROR(VLOOKUP(B151,'Pre-Summary'!$BG$6:$BM$44,6,FALSE),S152)</f>
        <v>3.3978715219895171E-2</v>
      </c>
      <c r="T151" s="45" t="str">
        <f>IFERROR(VLOOKUP(B151,'Pre-Summary'!$Y$6:$AC$83, 3,FALSE),"")</f>
        <v/>
      </c>
      <c r="U151" s="45" t="str">
        <f>IFERROR(VLOOKUP(B151,'Pre-Summary'!$Y$6:$AC$83, 4,FALSE),"")</f>
        <v/>
      </c>
      <c r="V151" t="str">
        <f>IFERROR(VLOOKUP(B151,'Pre-Summary'!$Y$6:$AC$83, 5,FALSE),"")</f>
        <v/>
      </c>
      <c r="W151" s="45" t="str">
        <f>IFERROR(VLOOKUP(B151,'Pre-Summary'!$Y$6:$AD$83,6,FALSE),"")</f>
        <v/>
      </c>
      <c r="X151" t="str">
        <f>IFERROR(VLOOKUP('Pre-Summary'!$DB$6:$DD$63,3,FALSE),"")</f>
        <v/>
      </c>
      <c r="Y151" t="str">
        <f>IFERROR(VLOOKUP(B151,'Pre-Summary'!$CR$6:$CT$36,3,FALSE),"")</f>
        <v/>
      </c>
      <c r="Z151" s="45" t="str">
        <f>IFERROR(VLOOKUP(B151,'Pre-Summary'!$BZ$6:$CB$63,2,FALSE),"")</f>
        <v/>
      </c>
      <c r="AA151" s="45" t="str">
        <f>IFERROR(VLOOKUP(B151,'Pre-Summary'!$CG$6:$CI$70,2,FALSE),"")</f>
        <v/>
      </c>
      <c r="AB151" s="99">
        <f>IFERROR(VLOOKUP(B151,'Pre-Summary'!$A$6:$P$178,9,FALSE),AB152)</f>
        <v>0.49660943396122104</v>
      </c>
      <c r="AC151" s="10">
        <f>IFERROR(VLOOKUP(Summary!B151,'Pre-Summary'!$A$6:$P$184,5, FALSE)/100,AC152)</f>
        <v>0.89163000000000014</v>
      </c>
      <c r="AD151" s="10">
        <f>IFERROR(VLOOKUP(Summary!B151,'Pre-Summary'!$A$6:$P$184,3, FALSE)/100,AD152)</f>
        <v>0</v>
      </c>
      <c r="AE151" s="10">
        <f>IFERROR(VLOOKUP(Summary!B151,'Pre-Summary'!$A$6:$P$184,7, FALSE)/100,AE152)</f>
        <v>0.10837000000000002</v>
      </c>
      <c r="AF151" s="99">
        <f t="shared" si="7"/>
        <v>0</v>
      </c>
      <c r="AG151" s="99">
        <f t="shared" si="8"/>
        <v>5.3817564358377534E-2</v>
      </c>
      <c r="AH151" s="10" t="str">
        <f>IFERROR(VLOOKUP(B151,'Pre-Summary'!$AZ$6:$BE$65,3,FALSE),"")</f>
        <v/>
      </c>
      <c r="AI151" s="10" t="str">
        <f>IFERROR(VLOOKUP(B151,'Pre-Summary'!$AZ$6:$BE$65,5,FALSE),"")</f>
        <v/>
      </c>
      <c r="AJ151" s="10" t="str">
        <f>IFERROR(VLOOKUP(B151,'Pre-Summary'!$AZ$6:$BE$65,4,FALSE),"")</f>
        <v/>
      </c>
      <c r="AK151" s="10" t="str">
        <f>IFERROR(VLOOKUP(B151,'Pre-Summary'!$AZ$6:$BE$65,6,FALSE),"")</f>
        <v/>
      </c>
      <c r="AL151" s="10" t="str">
        <f>IFERROR(VLOOKUP(B151,'Pre-Summary'!$BG$6:$BL$44,3,FALSE),"")</f>
        <v/>
      </c>
      <c r="AM151" s="10" t="str">
        <f>IFERROR(VLOOKUP(B151,'Pre-Summary'!$BG$6:$BL$44,4,FALSE),"")</f>
        <v/>
      </c>
    </row>
    <row r="152" spans="2:39" ht="14.4" x14ac:dyDescent="0.3">
      <c r="B152">
        <v>14.9</v>
      </c>
      <c r="C152" t="str">
        <f>IFERROR(VLOOKUP(B152,'Pre-Summary'!$DI$6:$DM$23,4,FALSE),"")</f>
        <v/>
      </c>
      <c r="D152" s="10" t="str">
        <f>IFERROR(VLOOKUP(B152,'Pre-Summary'!$AT$6:$AX$14,5,FALSE),D151)</f>
        <v>DSMZ v1.5: Using DSMZ 120 with NaHCO3</v>
      </c>
      <c r="E152" s="10" t="str">
        <f>IFERROR(VLOOKUP(B152,'Pre-Summary'!$AT$6:$AX$15,4,FALSE),"")</f>
        <v/>
      </c>
      <c r="F152">
        <f>IFERROR(VLOOKUP(B152,'Pre-Summary'!$AL$6:$AQ$13,6,FALSE),F151)</f>
        <v>5.9405263157894746E-2</v>
      </c>
      <c r="G152" t="str">
        <f>IFERROR(VLOOKUP(B152,'Pre-Summary'!$AE$6:$AJ$85,3,FALSE),"")</f>
        <v/>
      </c>
      <c r="H152" t="str">
        <f>IFERROR(VLOOKUP(B152,'Pre-Summary'!$AE$6:$AJ$85,4,FALSE),"")</f>
        <v/>
      </c>
      <c r="I152" t="str">
        <f>IFERROR(VLOOKUP(B152,'Pre-Summary'!$AE$6:$AJ$85,5,FALSE),"")</f>
        <v/>
      </c>
      <c r="J152" s="45" t="str">
        <f>IFERROR(VLOOKUP(B152,'Pre-Summary'!$AE$6:$AJ$85,6, FALSE),"")</f>
        <v/>
      </c>
      <c r="K152" s="45" t="str">
        <f>IFERROR(VLOOKUP(B152,'Pre-Summary'!$DE$6:$DG$61,3,FALSE),"")</f>
        <v/>
      </c>
      <c r="L152" s="45" t="str">
        <f>IFERROR(VLOOKUP(B152,'Pre-Summary'!$CU$6:$CW$36,3,FALSE),"")</f>
        <v/>
      </c>
      <c r="M152" s="45" t="str">
        <f>IFERROR(VLOOKUP(B152,'Pre-Summary'!$BW$6:$BY$58,2,FALSE),"")</f>
        <v/>
      </c>
      <c r="N152" s="45" t="str">
        <f>IFERROR(VLOOKUP(B152,'Pre-Summary'!$CD$6:$CF$64,2,FALSE),"")</f>
        <v/>
      </c>
      <c r="O152" s="99">
        <f>IFERROR(VLOOKUP(B152,'Pre-Summary'!$BO$6:$BQ$48,3, FALSE),O151)</f>
        <v>1.0915248032216731</v>
      </c>
      <c r="P152" s="99">
        <f>IFERROR(VLOOKUP(B152,'Pre-Summary'!$BS$6:$BU$35,3,FALSE),P151)</f>
        <v>0.25</v>
      </c>
      <c r="Q152" s="54">
        <f t="shared" si="6"/>
        <v>4.3660992128866924</v>
      </c>
      <c r="R152" s="53">
        <f>IFERROR(VLOOKUP(B152,'Pre-Summary'!$BG$6:$BM$44,7,FALSE),R153)</f>
        <v>2.7904161219319636E-2</v>
      </c>
      <c r="S152" s="53">
        <f>IFERROR(VLOOKUP(B152,'Pre-Summary'!$BG$6:$BM$44,6,FALSE),S153)</f>
        <v>3.3978715219895171E-2</v>
      </c>
      <c r="T152" s="45" t="str">
        <f>IFERROR(VLOOKUP(B152,'Pre-Summary'!$Y$6:$AC$83, 3,FALSE),"")</f>
        <v/>
      </c>
      <c r="U152" s="45" t="str">
        <f>IFERROR(VLOOKUP(B152,'Pre-Summary'!$Y$6:$AC$83, 4,FALSE),"")</f>
        <v/>
      </c>
      <c r="V152" t="str">
        <f>IFERROR(VLOOKUP(B152,'Pre-Summary'!$Y$6:$AC$83, 5,FALSE),"")</f>
        <v/>
      </c>
      <c r="W152" s="45" t="str">
        <f>IFERROR(VLOOKUP(B152,'Pre-Summary'!$Y$6:$AD$83,6,FALSE),"")</f>
        <v/>
      </c>
      <c r="X152" t="str">
        <f>IFERROR(VLOOKUP('Pre-Summary'!$DB$6:$DD$63,3,FALSE),"")</f>
        <v/>
      </c>
      <c r="Y152" t="str">
        <f>IFERROR(VLOOKUP(B152,'Pre-Summary'!$CR$6:$CT$36,3,FALSE),"")</f>
        <v/>
      </c>
      <c r="Z152" s="45" t="str">
        <f>IFERROR(VLOOKUP(B152,'Pre-Summary'!$BZ$6:$CB$63,2,FALSE),"")</f>
        <v/>
      </c>
      <c r="AA152" s="45" t="str">
        <f>IFERROR(VLOOKUP(B152,'Pre-Summary'!$CG$6:$CI$70,2,FALSE),"")</f>
        <v/>
      </c>
      <c r="AB152" s="99">
        <f>IFERROR(VLOOKUP(B152,'Pre-Summary'!$A$6:$P$178,9,FALSE),AB153)</f>
        <v>0.49660943396122104</v>
      </c>
      <c r="AC152" s="10">
        <f>IFERROR(VLOOKUP(Summary!B152,'Pre-Summary'!$A$6:$P$184,5, FALSE)/100,AC153)</f>
        <v>0.89163000000000014</v>
      </c>
      <c r="AD152" s="10">
        <f>IFERROR(VLOOKUP(Summary!B152,'Pre-Summary'!$A$6:$P$184,3, FALSE)/100,AD153)</f>
        <v>0</v>
      </c>
      <c r="AE152" s="10">
        <f>IFERROR(VLOOKUP(Summary!B152,'Pre-Summary'!$A$6:$P$184,7, FALSE)/100,AE153)</f>
        <v>0.10837000000000002</v>
      </c>
      <c r="AF152" s="99">
        <f t="shared" si="7"/>
        <v>0</v>
      </c>
      <c r="AG152" s="99">
        <f t="shared" si="8"/>
        <v>5.3817564358377534E-2</v>
      </c>
      <c r="AH152" s="10" t="str">
        <f>IFERROR(VLOOKUP(B152,'Pre-Summary'!$AZ$6:$BE$65,3,FALSE),"")</f>
        <v/>
      </c>
      <c r="AI152" s="10" t="str">
        <f>IFERROR(VLOOKUP(B152,'Pre-Summary'!$AZ$6:$BE$65,5,FALSE),"")</f>
        <v/>
      </c>
      <c r="AJ152" s="10" t="str">
        <f>IFERROR(VLOOKUP(B152,'Pre-Summary'!$AZ$6:$BE$65,4,FALSE),"")</f>
        <v/>
      </c>
      <c r="AK152" s="10" t="str">
        <f>IFERROR(VLOOKUP(B152,'Pre-Summary'!$AZ$6:$BE$65,6,FALSE),"")</f>
        <v/>
      </c>
      <c r="AL152" s="10" t="str">
        <f>IFERROR(VLOOKUP(B152,'Pre-Summary'!$BG$6:$BL$44,3,FALSE),"")</f>
        <v/>
      </c>
      <c r="AM152" s="10" t="str">
        <f>IFERROR(VLOOKUP(B152,'Pre-Summary'!$BG$6:$BL$44,4,FALSE),"")</f>
        <v/>
      </c>
    </row>
    <row r="153" spans="2:39" ht="14.4" x14ac:dyDescent="0.3">
      <c r="B153">
        <v>15</v>
      </c>
      <c r="C153" t="str">
        <f>IFERROR(VLOOKUP(B153,'Pre-Summary'!$DI$6:$DM$23,4,FALSE),"")</f>
        <v/>
      </c>
      <c r="D153" s="10" t="str">
        <f>IFERROR(VLOOKUP(B153,'Pre-Summary'!$AT$6:$AX$14,5,FALSE),D152)</f>
        <v>DSMZ v1.5: Using DSMZ 120 with NaHCO3</v>
      </c>
      <c r="E153" s="10" t="str">
        <f>IFERROR(VLOOKUP(B153,'Pre-Summary'!$AT$6:$AX$15,4,FALSE),"")</f>
        <v/>
      </c>
      <c r="F153">
        <f>IFERROR(VLOOKUP(B153,'Pre-Summary'!$AL$6:$AQ$13,6,FALSE),F152)</f>
        <v>5.9405263157894746E-2</v>
      </c>
      <c r="G153" t="str">
        <f>IFERROR(VLOOKUP(B153,'Pre-Summary'!$AE$6:$AJ$85,3,FALSE),"")</f>
        <v/>
      </c>
      <c r="H153" t="str">
        <f>IFERROR(VLOOKUP(B153,'Pre-Summary'!$AE$6:$AJ$85,4,FALSE),"")</f>
        <v/>
      </c>
      <c r="I153" t="str">
        <f>IFERROR(VLOOKUP(B153,'Pre-Summary'!$AE$6:$AJ$85,5,FALSE),"")</f>
        <v/>
      </c>
      <c r="J153" s="45" t="str">
        <f>IFERROR(VLOOKUP(B153,'Pre-Summary'!$AE$6:$AJ$85,6, FALSE),"")</f>
        <v/>
      </c>
      <c r="K153" s="45" t="str">
        <f>IFERROR(VLOOKUP(B153,'Pre-Summary'!$DE$6:$DG$61,3,FALSE),"")</f>
        <v/>
      </c>
      <c r="L153" s="45" t="str">
        <f>IFERROR(VLOOKUP(B153,'Pre-Summary'!$CU$6:$CW$36,3,FALSE),"")</f>
        <v/>
      </c>
      <c r="M153" s="45" t="str">
        <f>IFERROR(VLOOKUP(B153,'Pre-Summary'!$BW$6:$BY$58,2,FALSE),"")</f>
        <v/>
      </c>
      <c r="N153" s="45" t="str">
        <f>IFERROR(VLOOKUP(B153,'Pre-Summary'!$CD$6:$CF$64,2,FALSE),"")</f>
        <v/>
      </c>
      <c r="O153" s="99">
        <f>IFERROR(VLOOKUP(B153,'Pre-Summary'!$BO$6:$BQ$48,3, FALSE),O152)</f>
        <v>1.0915248032216731</v>
      </c>
      <c r="P153" s="99">
        <f>IFERROR(VLOOKUP(B153,'Pre-Summary'!$BS$6:$BU$35,3,FALSE),P152)</f>
        <v>0.25</v>
      </c>
      <c r="Q153" s="54">
        <f t="shared" si="6"/>
        <v>4.3660992128866924</v>
      </c>
      <c r="R153" s="53">
        <f>IFERROR(VLOOKUP(B153,'Pre-Summary'!$BG$6:$BM$44,7,FALSE),R154)</f>
        <v>2.7904161219319636E-2</v>
      </c>
      <c r="S153" s="53">
        <f>IFERROR(VLOOKUP(B153,'Pre-Summary'!$BG$6:$BM$44,6,FALSE),S154)</f>
        <v>3.3978715219895171E-2</v>
      </c>
      <c r="T153" s="45" t="str">
        <f>IFERROR(VLOOKUP(B153,'Pre-Summary'!$Y$6:$AC$83, 3,FALSE),"")</f>
        <v/>
      </c>
      <c r="U153" s="45" t="str">
        <f>IFERROR(VLOOKUP(B153,'Pre-Summary'!$Y$6:$AC$83, 4,FALSE),"")</f>
        <v/>
      </c>
      <c r="V153" t="str">
        <f>IFERROR(VLOOKUP(B153,'Pre-Summary'!$Y$6:$AC$83, 5,FALSE),"")</f>
        <v/>
      </c>
      <c r="W153" s="45" t="str">
        <f>IFERROR(VLOOKUP(B153,'Pre-Summary'!$Y$6:$AD$83,6,FALSE),"")</f>
        <v/>
      </c>
      <c r="X153" t="str">
        <f>IFERROR(VLOOKUP('Pre-Summary'!$DB$6:$DD$63,3,FALSE),"")</f>
        <v/>
      </c>
      <c r="Y153" t="str">
        <f>IFERROR(VLOOKUP(B153,'Pre-Summary'!$CR$6:$CT$36,3,FALSE),"")</f>
        <v/>
      </c>
      <c r="Z153" s="45" t="str">
        <f>IFERROR(VLOOKUP(B153,'Pre-Summary'!$BZ$6:$CB$63,2,FALSE),"")</f>
        <v/>
      </c>
      <c r="AA153" s="45" t="str">
        <f>IFERROR(VLOOKUP(B153,'Pre-Summary'!$CG$6:$CI$70,2,FALSE),"")</f>
        <v/>
      </c>
      <c r="AB153" s="99">
        <f>IFERROR(VLOOKUP(B153,'Pre-Summary'!$A$6:$P$178,9,FALSE),AB154)</f>
        <v>0.49660943396122104</v>
      </c>
      <c r="AC153" s="10">
        <f>IFERROR(VLOOKUP(Summary!B153,'Pre-Summary'!$A$6:$P$184,5, FALSE)/100,AC154)</f>
        <v>0.89163000000000014</v>
      </c>
      <c r="AD153" s="10">
        <f>IFERROR(VLOOKUP(Summary!B153,'Pre-Summary'!$A$6:$P$184,3, FALSE)/100,AD154)</f>
        <v>0</v>
      </c>
      <c r="AE153" s="10">
        <f>IFERROR(VLOOKUP(Summary!B153,'Pre-Summary'!$A$6:$P$184,7, FALSE)/100,AE154)</f>
        <v>0.10837000000000002</v>
      </c>
      <c r="AF153" s="99">
        <f t="shared" si="7"/>
        <v>0</v>
      </c>
      <c r="AG153" s="99">
        <f t="shared" si="8"/>
        <v>5.3817564358377534E-2</v>
      </c>
      <c r="AH153" s="10" t="str">
        <f>IFERROR(VLOOKUP(B153,'Pre-Summary'!$AZ$6:$BE$65,3,FALSE),"")</f>
        <v/>
      </c>
      <c r="AI153" s="10" t="str">
        <f>IFERROR(VLOOKUP(B153,'Pre-Summary'!$AZ$6:$BE$65,5,FALSE),"")</f>
        <v/>
      </c>
      <c r="AJ153" s="10" t="str">
        <f>IFERROR(VLOOKUP(B153,'Pre-Summary'!$AZ$6:$BE$65,4,FALSE),"")</f>
        <v/>
      </c>
      <c r="AK153" s="10" t="str">
        <f>IFERROR(VLOOKUP(B153,'Pre-Summary'!$AZ$6:$BE$65,6,FALSE),"")</f>
        <v/>
      </c>
      <c r="AL153" s="10" t="str">
        <f>IFERROR(VLOOKUP(B153,'Pre-Summary'!$BG$6:$BL$44,3,FALSE),"")</f>
        <v/>
      </c>
      <c r="AM153" s="10" t="str">
        <f>IFERROR(VLOOKUP(B153,'Pre-Summary'!$BG$6:$BL$44,4,FALSE),"")</f>
        <v/>
      </c>
    </row>
    <row r="154" spans="2:39" ht="14.4" x14ac:dyDescent="0.3">
      <c r="B154">
        <v>15.1</v>
      </c>
      <c r="C154" t="str">
        <f>IFERROR(VLOOKUP(B154,'Pre-Summary'!$DI$6:$DM$23,4,FALSE),"")</f>
        <v/>
      </c>
      <c r="D154" s="10" t="str">
        <f>IFERROR(VLOOKUP(B154,'Pre-Summary'!$AT$6:$AX$14,5,FALSE),D153)</f>
        <v>DSMZ v1.5: Using DSMZ 120 with NaHCO3</v>
      </c>
      <c r="E154" s="10" t="str">
        <f>IFERROR(VLOOKUP(B154,'Pre-Summary'!$AT$6:$AX$15,4,FALSE),"")</f>
        <v/>
      </c>
      <c r="F154">
        <f>IFERROR(VLOOKUP(B154,'Pre-Summary'!$AL$6:$AQ$13,6,FALSE),F153)</f>
        <v>5.9405263157894746E-2</v>
      </c>
      <c r="G154" t="str">
        <f>IFERROR(VLOOKUP(B154,'Pre-Summary'!$AE$6:$AJ$85,3,FALSE),"")</f>
        <v/>
      </c>
      <c r="H154" t="str">
        <f>IFERROR(VLOOKUP(B154,'Pre-Summary'!$AE$6:$AJ$85,4,FALSE),"")</f>
        <v/>
      </c>
      <c r="I154" t="str">
        <f>IFERROR(VLOOKUP(B154,'Pre-Summary'!$AE$6:$AJ$85,5,FALSE),"")</f>
        <v/>
      </c>
      <c r="J154" s="45" t="str">
        <f>IFERROR(VLOOKUP(B154,'Pre-Summary'!$AE$6:$AJ$85,6, FALSE),"")</f>
        <v/>
      </c>
      <c r="K154" s="45" t="str">
        <f>IFERROR(VLOOKUP(B154,'Pre-Summary'!$DE$6:$DG$61,3,FALSE),"")</f>
        <v/>
      </c>
      <c r="L154" s="45" t="str">
        <f>IFERROR(VLOOKUP(B154,'Pre-Summary'!$CU$6:$CW$36,3,FALSE),"")</f>
        <v/>
      </c>
      <c r="M154" s="45" t="str">
        <f>IFERROR(VLOOKUP(B154,'Pre-Summary'!$BW$6:$BY$58,2,FALSE),"")</f>
        <v/>
      </c>
      <c r="N154" s="45" t="str">
        <f>IFERROR(VLOOKUP(B154,'Pre-Summary'!$CD$6:$CF$64,2,FALSE),"")</f>
        <v/>
      </c>
      <c r="O154" s="99">
        <f>IFERROR(VLOOKUP(B154,'Pre-Summary'!$BO$6:$BQ$48,3, FALSE),O153)</f>
        <v>1.0915248032216731</v>
      </c>
      <c r="P154" s="99">
        <f>IFERROR(VLOOKUP(B154,'Pre-Summary'!$BS$6:$BU$35,3,FALSE),P153)</f>
        <v>0.25</v>
      </c>
      <c r="Q154" s="54">
        <f t="shared" si="6"/>
        <v>4.3660992128866924</v>
      </c>
      <c r="R154" s="53">
        <f>IFERROR(VLOOKUP(B154,'Pre-Summary'!$BG$6:$BM$44,7,FALSE),R155)</f>
        <v>2.7904161219319636E-2</v>
      </c>
      <c r="S154" s="53">
        <f>IFERROR(VLOOKUP(B154,'Pre-Summary'!$BG$6:$BM$44,6,FALSE),S155)</f>
        <v>3.3978715219895171E-2</v>
      </c>
      <c r="T154" s="45" t="str">
        <f>IFERROR(VLOOKUP(B154,'Pre-Summary'!$Y$6:$AC$83, 3,FALSE),"")</f>
        <v/>
      </c>
      <c r="U154" s="45" t="str">
        <f>IFERROR(VLOOKUP(B154,'Pre-Summary'!$Y$6:$AC$83, 4,FALSE),"")</f>
        <v/>
      </c>
      <c r="V154" t="str">
        <f>IFERROR(VLOOKUP(B154,'Pre-Summary'!$Y$6:$AC$83, 5,FALSE),"")</f>
        <v/>
      </c>
      <c r="W154" s="45" t="str">
        <f>IFERROR(VLOOKUP(B154,'Pre-Summary'!$Y$6:$AD$83,6,FALSE),"")</f>
        <v/>
      </c>
      <c r="X154" t="str">
        <f>IFERROR(VLOOKUP('Pre-Summary'!$DB$6:$DD$63,3,FALSE),"")</f>
        <v/>
      </c>
      <c r="Y154" t="str">
        <f>IFERROR(VLOOKUP(B154,'Pre-Summary'!$CR$6:$CT$36,3,FALSE),"")</f>
        <v/>
      </c>
      <c r="Z154" s="45" t="str">
        <f>IFERROR(VLOOKUP(B154,'Pre-Summary'!$BZ$6:$CB$63,2,FALSE),"")</f>
        <v/>
      </c>
      <c r="AA154" s="45" t="str">
        <f>IFERROR(VLOOKUP(B154,'Pre-Summary'!$CG$6:$CI$70,2,FALSE),"")</f>
        <v/>
      </c>
      <c r="AB154" s="99">
        <f>IFERROR(VLOOKUP(B154,'Pre-Summary'!$A$6:$P$178,9,FALSE),AB155)</f>
        <v>0.49660943396122104</v>
      </c>
      <c r="AC154" s="10">
        <f>IFERROR(VLOOKUP(Summary!B154,'Pre-Summary'!$A$6:$P$184,5, FALSE)/100,AC155)</f>
        <v>0.89163000000000014</v>
      </c>
      <c r="AD154" s="10">
        <f>IFERROR(VLOOKUP(Summary!B154,'Pre-Summary'!$A$6:$P$184,3, FALSE)/100,AD155)</f>
        <v>0</v>
      </c>
      <c r="AE154" s="10">
        <f>IFERROR(VLOOKUP(Summary!B154,'Pre-Summary'!$A$6:$P$184,7, FALSE)/100,AE155)</f>
        <v>0.10837000000000002</v>
      </c>
      <c r="AF154" s="99">
        <f t="shared" si="7"/>
        <v>0</v>
      </c>
      <c r="AG154" s="99">
        <f t="shared" si="8"/>
        <v>5.3817564358377534E-2</v>
      </c>
      <c r="AH154" s="10" t="str">
        <f>IFERROR(VLOOKUP(B154,'Pre-Summary'!$AZ$6:$BE$65,3,FALSE),"")</f>
        <v/>
      </c>
      <c r="AI154" s="10" t="str">
        <f>IFERROR(VLOOKUP(B154,'Pre-Summary'!$AZ$6:$BE$65,5,FALSE),"")</f>
        <v/>
      </c>
      <c r="AJ154" s="10" t="str">
        <f>IFERROR(VLOOKUP(B154,'Pre-Summary'!$AZ$6:$BE$65,4,FALSE),"")</f>
        <v/>
      </c>
      <c r="AK154" s="10" t="str">
        <f>IFERROR(VLOOKUP(B154,'Pre-Summary'!$AZ$6:$BE$65,6,FALSE),"")</f>
        <v/>
      </c>
      <c r="AL154" s="10" t="str">
        <f>IFERROR(VLOOKUP(B154,'Pre-Summary'!$BG$6:$BL$44,3,FALSE),"")</f>
        <v/>
      </c>
      <c r="AM154" s="10" t="str">
        <f>IFERROR(VLOOKUP(B154,'Pre-Summary'!$BG$6:$BL$44,4,FALSE),"")</f>
        <v/>
      </c>
    </row>
    <row r="155" spans="2:39" ht="14.4" x14ac:dyDescent="0.3">
      <c r="B155">
        <v>15.2</v>
      </c>
      <c r="C155" t="str">
        <f>IFERROR(VLOOKUP(B155,'Pre-Summary'!$DI$6:$DM$23,4,FALSE),"")</f>
        <v/>
      </c>
      <c r="D155" s="10" t="str">
        <f>IFERROR(VLOOKUP(B155,'Pre-Summary'!$AT$6:$AX$14,5,FALSE),D154)</f>
        <v>DSMZ v1.5: Using DSMZ 120 with NaHCO3</v>
      </c>
      <c r="E155" s="10" t="str">
        <f>IFERROR(VLOOKUP(B155,'Pre-Summary'!$AT$6:$AX$15,4,FALSE),"")</f>
        <v/>
      </c>
      <c r="F155">
        <f>IFERROR(VLOOKUP(B155,'Pre-Summary'!$AL$6:$AQ$13,6,FALSE),F154)</f>
        <v>5.9405263157894746E-2</v>
      </c>
      <c r="G155" t="str">
        <f>IFERROR(VLOOKUP(B155,'Pre-Summary'!$AE$6:$AJ$85,3,FALSE),"")</f>
        <v/>
      </c>
      <c r="H155" t="str">
        <f>IFERROR(VLOOKUP(B155,'Pre-Summary'!$AE$6:$AJ$85,4,FALSE),"")</f>
        <v/>
      </c>
      <c r="I155" t="str">
        <f>IFERROR(VLOOKUP(B155,'Pre-Summary'!$AE$6:$AJ$85,5,FALSE),"")</f>
        <v/>
      </c>
      <c r="J155" s="45" t="str">
        <f>IFERROR(VLOOKUP(B155,'Pre-Summary'!$AE$6:$AJ$85,6, FALSE),"")</f>
        <v/>
      </c>
      <c r="K155" s="45" t="str">
        <f>IFERROR(VLOOKUP(B155,'Pre-Summary'!$DE$6:$DG$61,3,FALSE),"")</f>
        <v/>
      </c>
      <c r="L155" s="45" t="str">
        <f>IFERROR(VLOOKUP(B155,'Pre-Summary'!$CU$6:$CW$36,3,FALSE),"")</f>
        <v/>
      </c>
      <c r="M155" s="45" t="str">
        <f>IFERROR(VLOOKUP(B155,'Pre-Summary'!$BW$6:$BY$58,2,FALSE),"")</f>
        <v/>
      </c>
      <c r="N155" s="45" t="str">
        <f>IFERROR(VLOOKUP(B155,'Pre-Summary'!$CD$6:$CF$64,2,FALSE),"")</f>
        <v/>
      </c>
      <c r="O155" s="99">
        <f>IFERROR(VLOOKUP(B155,'Pre-Summary'!$BO$6:$BQ$48,3, FALSE),O154)</f>
        <v>1.0915248032216731</v>
      </c>
      <c r="P155" s="99">
        <f>IFERROR(VLOOKUP(B155,'Pre-Summary'!$BS$6:$BU$35,3,FALSE),P154)</f>
        <v>0.25</v>
      </c>
      <c r="Q155" s="54">
        <f t="shared" si="6"/>
        <v>4.3660992128866924</v>
      </c>
      <c r="R155" s="53">
        <f>IFERROR(VLOOKUP(B155,'Pre-Summary'!$BG$6:$BM$44,7,FALSE),R156)</f>
        <v>2.7904161219319636E-2</v>
      </c>
      <c r="S155" s="53">
        <f>IFERROR(VLOOKUP(B155,'Pre-Summary'!$BG$6:$BM$44,6,FALSE),S156)</f>
        <v>3.3978715219895171E-2</v>
      </c>
      <c r="T155" s="45" t="str">
        <f>IFERROR(VLOOKUP(B155,'Pre-Summary'!$Y$6:$AC$83, 3,FALSE),"")</f>
        <v/>
      </c>
      <c r="U155" s="45" t="str">
        <f>IFERROR(VLOOKUP(B155,'Pre-Summary'!$Y$6:$AC$83, 4,FALSE),"")</f>
        <v/>
      </c>
      <c r="V155" t="str">
        <f>IFERROR(VLOOKUP(B155,'Pre-Summary'!$Y$6:$AC$83, 5,FALSE),"")</f>
        <v/>
      </c>
      <c r="W155" s="45" t="str">
        <f>IFERROR(VLOOKUP(B155,'Pre-Summary'!$Y$6:$AD$83,6,FALSE),"")</f>
        <v/>
      </c>
      <c r="X155" t="str">
        <f>IFERROR(VLOOKUP('Pre-Summary'!$DB$6:$DD$63,3,FALSE),"")</f>
        <v/>
      </c>
      <c r="Y155" t="str">
        <f>IFERROR(VLOOKUP(B155,'Pre-Summary'!$CR$6:$CT$36,3,FALSE),"")</f>
        <v/>
      </c>
      <c r="Z155" s="45" t="str">
        <f>IFERROR(VLOOKUP(B155,'Pre-Summary'!$BZ$6:$CB$63,2,FALSE),"")</f>
        <v/>
      </c>
      <c r="AA155" s="45" t="str">
        <f>IFERROR(VLOOKUP(B155,'Pre-Summary'!$CG$6:$CI$70,2,FALSE),"")</f>
        <v/>
      </c>
      <c r="AB155" s="99">
        <f>IFERROR(VLOOKUP(B155,'Pre-Summary'!$A$6:$P$178,9,FALSE),AB156)</f>
        <v>0.49660943396122104</v>
      </c>
      <c r="AC155" s="10">
        <f>IFERROR(VLOOKUP(Summary!B155,'Pre-Summary'!$A$6:$P$184,5, FALSE)/100,AC156)</f>
        <v>0.89163000000000014</v>
      </c>
      <c r="AD155" s="10">
        <f>IFERROR(VLOOKUP(Summary!B155,'Pre-Summary'!$A$6:$P$184,3, FALSE)/100,AD156)</f>
        <v>0</v>
      </c>
      <c r="AE155" s="10">
        <f>IFERROR(VLOOKUP(Summary!B155,'Pre-Summary'!$A$6:$P$184,7, FALSE)/100,AE156)</f>
        <v>0.10837000000000002</v>
      </c>
      <c r="AF155" s="99">
        <f t="shared" si="7"/>
        <v>0</v>
      </c>
      <c r="AG155" s="99">
        <f t="shared" si="8"/>
        <v>5.3817564358377534E-2</v>
      </c>
      <c r="AH155" s="10" t="str">
        <f>IFERROR(VLOOKUP(B155,'Pre-Summary'!$AZ$6:$BE$65,3,FALSE),"")</f>
        <v/>
      </c>
      <c r="AI155" s="10" t="str">
        <f>IFERROR(VLOOKUP(B155,'Pre-Summary'!$AZ$6:$BE$65,5,FALSE),"")</f>
        <v/>
      </c>
      <c r="AJ155" s="10" t="str">
        <f>IFERROR(VLOOKUP(B155,'Pre-Summary'!$AZ$6:$BE$65,4,FALSE),"")</f>
        <v/>
      </c>
      <c r="AK155" s="10" t="str">
        <f>IFERROR(VLOOKUP(B155,'Pre-Summary'!$AZ$6:$BE$65,6,FALSE),"")</f>
        <v/>
      </c>
      <c r="AL155" s="10" t="str">
        <f>IFERROR(VLOOKUP(B155,'Pre-Summary'!$BG$6:$BL$44,3,FALSE),"")</f>
        <v/>
      </c>
      <c r="AM155" s="10" t="str">
        <f>IFERROR(VLOOKUP(B155,'Pre-Summary'!$BG$6:$BL$44,4,FALSE),"")</f>
        <v/>
      </c>
    </row>
    <row r="156" spans="2:39" ht="14.4" x14ac:dyDescent="0.3">
      <c r="B156">
        <v>15.3</v>
      </c>
      <c r="C156" t="str">
        <f>IFERROR(VLOOKUP(B156,'Pre-Summary'!$DI$6:$DM$23,4,FALSE),"")</f>
        <v/>
      </c>
      <c r="D156" s="10" t="str">
        <f>IFERROR(VLOOKUP(B156,'Pre-Summary'!$AT$6:$AX$14,5,FALSE),D155)</f>
        <v>DSMZ v1.5: Using DSMZ 120 with NaHCO3</v>
      </c>
      <c r="E156" s="10" t="str">
        <f>IFERROR(VLOOKUP(B156,'Pre-Summary'!$AT$6:$AX$15,4,FALSE),"")</f>
        <v/>
      </c>
      <c r="F156">
        <f>IFERROR(VLOOKUP(B156,'Pre-Summary'!$AL$6:$AQ$13,6,FALSE),F155)</f>
        <v>5.9405263157894746E-2</v>
      </c>
      <c r="G156" t="str">
        <f>IFERROR(VLOOKUP(B156,'Pre-Summary'!$AE$6:$AJ$85,3,FALSE),"")</f>
        <v/>
      </c>
      <c r="H156" t="str">
        <f>IFERROR(VLOOKUP(B156,'Pre-Summary'!$AE$6:$AJ$85,4,FALSE),"")</f>
        <v/>
      </c>
      <c r="I156" t="str">
        <f>IFERROR(VLOOKUP(B156,'Pre-Summary'!$AE$6:$AJ$85,5,FALSE),"")</f>
        <v/>
      </c>
      <c r="J156" s="45" t="str">
        <f>IFERROR(VLOOKUP(B156,'Pre-Summary'!$AE$6:$AJ$85,6, FALSE),"")</f>
        <v/>
      </c>
      <c r="K156" s="45" t="str">
        <f>IFERROR(VLOOKUP(B156,'Pre-Summary'!$DE$6:$DG$61,3,FALSE),"")</f>
        <v/>
      </c>
      <c r="L156" s="45" t="str">
        <f>IFERROR(VLOOKUP(B156,'Pre-Summary'!$CU$6:$CW$36,3,FALSE),"")</f>
        <v/>
      </c>
      <c r="M156" s="45" t="str">
        <f>IFERROR(VLOOKUP(B156,'Pre-Summary'!$BW$6:$BY$58,2,FALSE),"")</f>
        <v/>
      </c>
      <c r="N156" s="45" t="str">
        <f>IFERROR(VLOOKUP(B156,'Pre-Summary'!$CD$6:$CF$64,2,FALSE),"")</f>
        <v/>
      </c>
      <c r="O156" s="99">
        <f>IFERROR(VLOOKUP(B156,'Pre-Summary'!$BO$6:$BQ$48,3, FALSE),O155)</f>
        <v>1.0915248032216731</v>
      </c>
      <c r="P156" s="99">
        <f>IFERROR(VLOOKUP(B156,'Pre-Summary'!$BS$6:$BU$35,3,FALSE),P155)</f>
        <v>0.25</v>
      </c>
      <c r="Q156" s="54">
        <f t="shared" si="6"/>
        <v>4.3660992128866924</v>
      </c>
      <c r="R156" s="53">
        <f>IFERROR(VLOOKUP(B156,'Pre-Summary'!$BG$6:$BM$44,7,FALSE),R157)</f>
        <v>2.7904161219319636E-2</v>
      </c>
      <c r="S156" s="53">
        <f>IFERROR(VLOOKUP(B156,'Pre-Summary'!$BG$6:$BM$44,6,FALSE),S157)</f>
        <v>3.3978715219895171E-2</v>
      </c>
      <c r="T156" s="45" t="str">
        <f>IFERROR(VLOOKUP(B156,'Pre-Summary'!$Y$6:$AC$83, 3,FALSE),"")</f>
        <v/>
      </c>
      <c r="U156" s="45" t="str">
        <f>IFERROR(VLOOKUP(B156,'Pre-Summary'!$Y$6:$AC$83, 4,FALSE),"")</f>
        <v/>
      </c>
      <c r="V156" t="str">
        <f>IFERROR(VLOOKUP(B156,'Pre-Summary'!$Y$6:$AC$83, 5,FALSE),"")</f>
        <v/>
      </c>
      <c r="W156" s="45" t="str">
        <f>IFERROR(VLOOKUP(B156,'Pre-Summary'!$Y$6:$AD$83,6,FALSE),"")</f>
        <v/>
      </c>
      <c r="X156" t="str">
        <f>IFERROR(VLOOKUP('Pre-Summary'!$DB$6:$DD$63,3,FALSE),"")</f>
        <v/>
      </c>
      <c r="Y156" t="str">
        <f>IFERROR(VLOOKUP(B156,'Pre-Summary'!$CR$6:$CT$36,3,FALSE),"")</f>
        <v/>
      </c>
      <c r="Z156" s="45" t="str">
        <f>IFERROR(VLOOKUP(B156,'Pre-Summary'!$BZ$6:$CB$63,2,FALSE),"")</f>
        <v/>
      </c>
      <c r="AA156" s="45" t="str">
        <f>IFERROR(VLOOKUP(B156,'Pre-Summary'!$CG$6:$CI$70,2,FALSE),"")</f>
        <v/>
      </c>
      <c r="AB156" s="99">
        <f>IFERROR(VLOOKUP(B156,'Pre-Summary'!$A$6:$P$178,9,FALSE),AB157)</f>
        <v>0.49660943396122104</v>
      </c>
      <c r="AC156" s="10">
        <f>IFERROR(VLOOKUP(Summary!B156,'Pre-Summary'!$A$6:$P$184,5, FALSE)/100,AC157)</f>
        <v>0.89163000000000014</v>
      </c>
      <c r="AD156" s="10">
        <f>IFERROR(VLOOKUP(Summary!B156,'Pre-Summary'!$A$6:$P$184,3, FALSE)/100,AD157)</f>
        <v>0</v>
      </c>
      <c r="AE156" s="10">
        <f>IFERROR(VLOOKUP(Summary!B156,'Pre-Summary'!$A$6:$P$184,7, FALSE)/100,AE157)</f>
        <v>0.10837000000000002</v>
      </c>
      <c r="AF156" s="99">
        <f t="shared" si="7"/>
        <v>0</v>
      </c>
      <c r="AG156" s="99">
        <f t="shared" si="8"/>
        <v>5.3817564358377534E-2</v>
      </c>
      <c r="AH156" s="10" t="str">
        <f>IFERROR(VLOOKUP(B156,'Pre-Summary'!$AZ$6:$BE$65,3,FALSE),"")</f>
        <v/>
      </c>
      <c r="AI156" s="10" t="str">
        <f>IFERROR(VLOOKUP(B156,'Pre-Summary'!$AZ$6:$BE$65,5,FALSE),"")</f>
        <v/>
      </c>
      <c r="AJ156" s="10" t="str">
        <f>IFERROR(VLOOKUP(B156,'Pre-Summary'!$AZ$6:$BE$65,4,FALSE),"")</f>
        <v/>
      </c>
      <c r="AK156" s="10" t="str">
        <f>IFERROR(VLOOKUP(B156,'Pre-Summary'!$AZ$6:$BE$65,6,FALSE),"")</f>
        <v/>
      </c>
      <c r="AL156" s="10" t="str">
        <f>IFERROR(VLOOKUP(B156,'Pre-Summary'!$BG$6:$BL$44,3,FALSE),"")</f>
        <v/>
      </c>
      <c r="AM156" s="10" t="str">
        <f>IFERROR(VLOOKUP(B156,'Pre-Summary'!$BG$6:$BL$44,4,FALSE),"")</f>
        <v/>
      </c>
    </row>
    <row r="157" spans="2:39" ht="14.4" x14ac:dyDescent="0.3">
      <c r="B157">
        <v>15.4</v>
      </c>
      <c r="C157" t="str">
        <f>IFERROR(VLOOKUP(B157,'Pre-Summary'!$DI$6:$DM$23,4,FALSE),"")</f>
        <v/>
      </c>
      <c r="D157" s="10" t="str">
        <f>IFERROR(VLOOKUP(B157,'Pre-Summary'!$AT$6:$AX$14,5,FALSE),D156)</f>
        <v>DSMZ v1.5: Using DSMZ 120 with NaHCO3</v>
      </c>
      <c r="E157" s="10" t="str">
        <f>IFERROR(VLOOKUP(B157,'Pre-Summary'!$AT$6:$AX$15,4,FALSE),"")</f>
        <v/>
      </c>
      <c r="F157">
        <f>IFERROR(VLOOKUP(B157,'Pre-Summary'!$AL$6:$AQ$13,6,FALSE),F156)</f>
        <v>5.9405263157894746E-2</v>
      </c>
      <c r="G157" t="str">
        <f>IFERROR(VLOOKUP(B157,'Pre-Summary'!$AE$6:$AJ$85,3,FALSE),"")</f>
        <v/>
      </c>
      <c r="H157" t="str">
        <f>IFERROR(VLOOKUP(B157,'Pre-Summary'!$AE$6:$AJ$85,4,FALSE),"")</f>
        <v/>
      </c>
      <c r="I157" t="str">
        <f>IFERROR(VLOOKUP(B157,'Pre-Summary'!$AE$6:$AJ$85,5,FALSE),"")</f>
        <v/>
      </c>
      <c r="J157" s="45" t="str">
        <f>IFERROR(VLOOKUP(B157,'Pre-Summary'!$AE$6:$AJ$85,6, FALSE),"")</f>
        <v/>
      </c>
      <c r="K157" s="45" t="str">
        <f>IFERROR(VLOOKUP(B157,'Pre-Summary'!$DE$6:$DG$61,3,FALSE),"")</f>
        <v/>
      </c>
      <c r="L157" s="45" t="str">
        <f>IFERROR(VLOOKUP(B157,'Pre-Summary'!$CU$6:$CW$36,3,FALSE),"")</f>
        <v/>
      </c>
      <c r="M157" s="45" t="str">
        <f>IFERROR(VLOOKUP(B157,'Pre-Summary'!$BW$6:$BY$58,2,FALSE),"")</f>
        <v/>
      </c>
      <c r="N157" s="45" t="str">
        <f>IFERROR(VLOOKUP(B157,'Pre-Summary'!$CD$6:$CF$64,2,FALSE),"")</f>
        <v/>
      </c>
      <c r="O157" s="99">
        <f>IFERROR(VLOOKUP(B157,'Pre-Summary'!$BO$6:$BQ$48,3, FALSE),O156)</f>
        <v>1.0915248032216731</v>
      </c>
      <c r="P157" s="99">
        <f>IFERROR(VLOOKUP(B157,'Pre-Summary'!$BS$6:$BU$35,3,FALSE),P156)</f>
        <v>0.25</v>
      </c>
      <c r="Q157" s="54">
        <f t="shared" si="6"/>
        <v>4.3660992128866924</v>
      </c>
      <c r="R157" s="53">
        <f>IFERROR(VLOOKUP(B157,'Pre-Summary'!$BG$6:$BM$44,7,FALSE),R158)</f>
        <v>2.7904161219319636E-2</v>
      </c>
      <c r="S157" s="53">
        <f>IFERROR(VLOOKUP(B157,'Pre-Summary'!$BG$6:$BM$44,6,FALSE),S158)</f>
        <v>3.3978715219895171E-2</v>
      </c>
      <c r="T157" s="45" t="str">
        <f>IFERROR(VLOOKUP(B157,'Pre-Summary'!$Y$6:$AC$83, 3,FALSE),"")</f>
        <v/>
      </c>
      <c r="U157" s="45" t="str">
        <f>IFERROR(VLOOKUP(B157,'Pre-Summary'!$Y$6:$AC$83, 4,FALSE),"")</f>
        <v/>
      </c>
      <c r="V157" t="str">
        <f>IFERROR(VLOOKUP(B157,'Pre-Summary'!$Y$6:$AC$83, 5,FALSE),"")</f>
        <v/>
      </c>
      <c r="W157" s="45" t="str">
        <f>IFERROR(VLOOKUP(B157,'Pre-Summary'!$Y$6:$AD$83,6,FALSE),"")</f>
        <v/>
      </c>
      <c r="X157" t="str">
        <f>IFERROR(VLOOKUP('Pre-Summary'!$DB$6:$DD$63,3,FALSE),"")</f>
        <v/>
      </c>
      <c r="Y157" t="str">
        <f>IFERROR(VLOOKUP(B157,'Pre-Summary'!$CR$6:$CT$36,3,FALSE),"")</f>
        <v/>
      </c>
      <c r="Z157" s="45" t="str">
        <f>IFERROR(VLOOKUP(B157,'Pre-Summary'!$BZ$6:$CB$63,2,FALSE),"")</f>
        <v/>
      </c>
      <c r="AA157" s="45" t="str">
        <f>IFERROR(VLOOKUP(B157,'Pre-Summary'!$CG$6:$CI$70,2,FALSE),"")</f>
        <v/>
      </c>
      <c r="AB157" s="99">
        <f>IFERROR(VLOOKUP(B157,'Pre-Summary'!$A$6:$P$178,9,FALSE),AB158)</f>
        <v>0.49660943396122104</v>
      </c>
      <c r="AC157" s="10">
        <f>IFERROR(VLOOKUP(Summary!B157,'Pre-Summary'!$A$6:$P$184,5, FALSE)/100,AC158)</f>
        <v>0.89163000000000014</v>
      </c>
      <c r="AD157" s="10">
        <f>IFERROR(VLOOKUP(Summary!B157,'Pre-Summary'!$A$6:$P$184,3, FALSE)/100,AD158)</f>
        <v>0</v>
      </c>
      <c r="AE157" s="10">
        <f>IFERROR(VLOOKUP(Summary!B157,'Pre-Summary'!$A$6:$P$184,7, FALSE)/100,AE158)</f>
        <v>0.10837000000000002</v>
      </c>
      <c r="AF157" s="99">
        <f t="shared" si="7"/>
        <v>0</v>
      </c>
      <c r="AG157" s="99">
        <f t="shared" si="8"/>
        <v>5.3817564358377534E-2</v>
      </c>
      <c r="AH157" s="10" t="str">
        <f>IFERROR(VLOOKUP(B157,'Pre-Summary'!$AZ$6:$BE$65,3,FALSE),"")</f>
        <v/>
      </c>
      <c r="AI157" s="10" t="str">
        <f>IFERROR(VLOOKUP(B157,'Pre-Summary'!$AZ$6:$BE$65,5,FALSE),"")</f>
        <v/>
      </c>
      <c r="AJ157" s="10" t="str">
        <f>IFERROR(VLOOKUP(B157,'Pre-Summary'!$AZ$6:$BE$65,4,FALSE),"")</f>
        <v/>
      </c>
      <c r="AK157" s="10" t="str">
        <f>IFERROR(VLOOKUP(B157,'Pre-Summary'!$AZ$6:$BE$65,6,FALSE),"")</f>
        <v/>
      </c>
      <c r="AL157" s="10" t="str">
        <f>IFERROR(VLOOKUP(B157,'Pre-Summary'!$BG$6:$BL$44,3,FALSE),"")</f>
        <v/>
      </c>
      <c r="AM157" s="10" t="str">
        <f>IFERROR(VLOOKUP(B157,'Pre-Summary'!$BG$6:$BL$44,4,FALSE),"")</f>
        <v/>
      </c>
    </row>
    <row r="158" spans="2:39" ht="14.4" x14ac:dyDescent="0.3">
      <c r="B158">
        <v>15.5</v>
      </c>
      <c r="C158" t="str">
        <f>IFERROR(VLOOKUP(B158,'Pre-Summary'!$DI$6:$DM$23,4,FALSE),"")</f>
        <v/>
      </c>
      <c r="D158" s="10" t="str">
        <f>IFERROR(VLOOKUP(B158,'Pre-Summary'!$AT$6:$AX$14,5,FALSE),D157)</f>
        <v>DSMZ v1.5: Using DSMZ 120 with NaHCO3</v>
      </c>
      <c r="E158" s="10" t="str">
        <f>IFERROR(VLOOKUP(B158,'Pre-Summary'!$AT$6:$AX$15,4,FALSE),"")</f>
        <v/>
      </c>
      <c r="F158">
        <f>IFERROR(VLOOKUP(B158,'Pre-Summary'!$AL$6:$AQ$13,6,FALSE),F157)</f>
        <v>5.9405263157894746E-2</v>
      </c>
      <c r="G158" t="str">
        <f>IFERROR(VLOOKUP(B158,'Pre-Summary'!$AE$6:$AJ$85,3,FALSE),"")</f>
        <v/>
      </c>
      <c r="H158" t="str">
        <f>IFERROR(VLOOKUP(B158,'Pre-Summary'!$AE$6:$AJ$85,4,FALSE),"")</f>
        <v/>
      </c>
      <c r="I158" t="str">
        <f>IFERROR(VLOOKUP(B158,'Pre-Summary'!$AE$6:$AJ$85,5,FALSE),"")</f>
        <v/>
      </c>
      <c r="J158" s="45" t="str">
        <f>IFERROR(VLOOKUP(B158,'Pre-Summary'!$AE$6:$AJ$85,6, FALSE),"")</f>
        <v/>
      </c>
      <c r="K158" s="45" t="str">
        <f>IFERROR(VLOOKUP(B158,'Pre-Summary'!$DE$6:$DG$61,3,FALSE),"")</f>
        <v/>
      </c>
      <c r="L158" s="45" t="str">
        <f>IFERROR(VLOOKUP(B158,'Pre-Summary'!$CU$6:$CW$36,3,FALSE),"")</f>
        <v/>
      </c>
      <c r="M158" s="45" t="str">
        <f>IFERROR(VLOOKUP(B158,'Pre-Summary'!$BW$6:$BY$58,2,FALSE),"")</f>
        <v/>
      </c>
      <c r="N158" s="45" t="str">
        <f>IFERROR(VLOOKUP(B158,'Pre-Summary'!$CD$6:$CF$64,2,FALSE),"")</f>
        <v/>
      </c>
      <c r="O158" s="99">
        <f>IFERROR(VLOOKUP(B158,'Pre-Summary'!$BO$6:$BQ$48,3, FALSE),O157)</f>
        <v>1.0915248032216731</v>
      </c>
      <c r="P158" s="99">
        <f>IFERROR(VLOOKUP(B158,'Pre-Summary'!$BS$6:$BU$35,3,FALSE),P157)</f>
        <v>0.25</v>
      </c>
      <c r="Q158" s="54">
        <f t="shared" si="6"/>
        <v>4.3660992128866924</v>
      </c>
      <c r="R158" s="53">
        <f>IFERROR(VLOOKUP(B158,'Pre-Summary'!$BG$6:$BM$44,7,FALSE),R159)</f>
        <v>2.7904161219319636E-2</v>
      </c>
      <c r="S158" s="53">
        <f>IFERROR(VLOOKUP(B158,'Pre-Summary'!$BG$6:$BM$44,6,FALSE),S159)</f>
        <v>3.3978715219895171E-2</v>
      </c>
      <c r="T158" s="45" t="str">
        <f>IFERROR(VLOOKUP(B158,'Pre-Summary'!$Y$6:$AC$83, 3,FALSE),"")</f>
        <v/>
      </c>
      <c r="U158" s="45" t="str">
        <f>IFERROR(VLOOKUP(B158,'Pre-Summary'!$Y$6:$AC$83, 4,FALSE),"")</f>
        <v/>
      </c>
      <c r="V158" t="str">
        <f>IFERROR(VLOOKUP(B158,'Pre-Summary'!$Y$6:$AC$83, 5,FALSE),"")</f>
        <v/>
      </c>
      <c r="W158" s="45" t="str">
        <f>IFERROR(VLOOKUP(B158,'Pre-Summary'!$Y$6:$AD$83,6,FALSE),"")</f>
        <v/>
      </c>
      <c r="X158" t="str">
        <f>IFERROR(VLOOKUP('Pre-Summary'!$DB$6:$DD$63,3,FALSE),"")</f>
        <v/>
      </c>
      <c r="Y158" t="str">
        <f>IFERROR(VLOOKUP(B158,'Pre-Summary'!$CR$6:$CT$36,3,FALSE),"")</f>
        <v/>
      </c>
      <c r="Z158" s="45" t="str">
        <f>IFERROR(VLOOKUP(B158,'Pre-Summary'!$BZ$6:$CB$63,2,FALSE),"")</f>
        <v/>
      </c>
      <c r="AA158" s="45" t="str">
        <f>IFERROR(VLOOKUP(B158,'Pre-Summary'!$CG$6:$CI$70,2,FALSE),"")</f>
        <v/>
      </c>
      <c r="AB158" s="99">
        <f>IFERROR(VLOOKUP(B158,'Pre-Summary'!$A$6:$P$178,9,FALSE),AB159)</f>
        <v>0.49660943396122104</v>
      </c>
      <c r="AC158" s="10">
        <f>IFERROR(VLOOKUP(Summary!B158,'Pre-Summary'!$A$6:$P$184,5, FALSE)/100,AC159)</f>
        <v>0.89163000000000014</v>
      </c>
      <c r="AD158" s="10">
        <f>IFERROR(VLOOKUP(Summary!B158,'Pre-Summary'!$A$6:$P$184,3, FALSE)/100,AD159)</f>
        <v>0</v>
      </c>
      <c r="AE158" s="10">
        <f>IFERROR(VLOOKUP(Summary!B158,'Pre-Summary'!$A$6:$P$184,7, FALSE)/100,AE159)</f>
        <v>0.10837000000000002</v>
      </c>
      <c r="AF158" s="99">
        <f t="shared" si="7"/>
        <v>0</v>
      </c>
      <c r="AG158" s="99">
        <f t="shared" si="8"/>
        <v>5.3817564358377534E-2</v>
      </c>
      <c r="AH158" s="10" t="str">
        <f>IFERROR(VLOOKUP(B158,'Pre-Summary'!$AZ$6:$BE$65,3,FALSE),"")</f>
        <v/>
      </c>
      <c r="AI158" s="10" t="str">
        <f>IFERROR(VLOOKUP(B158,'Pre-Summary'!$AZ$6:$BE$65,5,FALSE),"")</f>
        <v/>
      </c>
      <c r="AJ158" s="10" t="str">
        <f>IFERROR(VLOOKUP(B158,'Pre-Summary'!$AZ$6:$BE$65,4,FALSE),"")</f>
        <v/>
      </c>
      <c r="AK158" s="10" t="str">
        <f>IFERROR(VLOOKUP(B158,'Pre-Summary'!$AZ$6:$BE$65,6,FALSE),"")</f>
        <v/>
      </c>
      <c r="AL158" s="10" t="str">
        <f>IFERROR(VLOOKUP(B158,'Pre-Summary'!$BG$6:$BL$44,3,FALSE),"")</f>
        <v/>
      </c>
      <c r="AM158" s="10" t="str">
        <f>IFERROR(VLOOKUP(B158,'Pre-Summary'!$BG$6:$BL$44,4,FALSE),"")</f>
        <v/>
      </c>
    </row>
    <row r="159" spans="2:39" ht="14.4" x14ac:dyDescent="0.3">
      <c r="B159">
        <v>15.6</v>
      </c>
      <c r="C159" t="str">
        <f>IFERROR(VLOOKUP(B159,'Pre-Summary'!$DI$6:$DM$23,4,FALSE),"")</f>
        <v/>
      </c>
      <c r="D159" s="10" t="str">
        <f>IFERROR(VLOOKUP(B159,'Pre-Summary'!$AT$6:$AX$14,5,FALSE),D158)</f>
        <v>DSMZ v1.5: Using DSMZ 120 with NaHCO3</v>
      </c>
      <c r="E159" s="10" t="str">
        <f>IFERROR(VLOOKUP(B159,'Pre-Summary'!$AT$6:$AX$15,4,FALSE),"")</f>
        <v/>
      </c>
      <c r="F159">
        <f>IFERROR(VLOOKUP(B159,'Pre-Summary'!$AL$6:$AQ$13,6,FALSE),F158)</f>
        <v>5.9405263157894746E-2</v>
      </c>
      <c r="G159" t="str">
        <f>IFERROR(VLOOKUP(B159,'Pre-Summary'!$AE$6:$AJ$85,3,FALSE),"")</f>
        <v/>
      </c>
      <c r="H159" t="str">
        <f>IFERROR(VLOOKUP(B159,'Pre-Summary'!$AE$6:$AJ$85,4,FALSE),"")</f>
        <v/>
      </c>
      <c r="I159" t="str">
        <f>IFERROR(VLOOKUP(B159,'Pre-Summary'!$AE$6:$AJ$85,5,FALSE),"")</f>
        <v/>
      </c>
      <c r="J159" s="45" t="str">
        <f>IFERROR(VLOOKUP(B159,'Pre-Summary'!$AE$6:$AJ$85,6, FALSE),"")</f>
        <v/>
      </c>
      <c r="K159" s="45" t="str">
        <f>IFERROR(VLOOKUP(B159,'Pre-Summary'!$DE$6:$DG$61,3,FALSE),"")</f>
        <v/>
      </c>
      <c r="L159" s="45" t="str">
        <f>IFERROR(VLOOKUP(B159,'Pre-Summary'!$CU$6:$CW$36,3,FALSE),"")</f>
        <v/>
      </c>
      <c r="M159" s="45" t="str">
        <f>IFERROR(VLOOKUP(B159,'Pre-Summary'!$BW$6:$BY$58,2,FALSE),"")</f>
        <v/>
      </c>
      <c r="N159" s="45" t="str">
        <f>IFERROR(VLOOKUP(B159,'Pre-Summary'!$CD$6:$CF$64,2,FALSE),"")</f>
        <v/>
      </c>
      <c r="O159" s="99">
        <f>IFERROR(VLOOKUP(B159,'Pre-Summary'!$BO$6:$BQ$48,3, FALSE),O158)</f>
        <v>1.0915248032216731</v>
      </c>
      <c r="P159" s="99">
        <f>IFERROR(VLOOKUP(B159,'Pre-Summary'!$BS$6:$BU$35,3,FALSE),P158)</f>
        <v>0.25</v>
      </c>
      <c r="Q159" s="54">
        <f t="shared" si="6"/>
        <v>4.3660992128866924</v>
      </c>
      <c r="R159" s="53">
        <f>IFERROR(VLOOKUP(B159,'Pre-Summary'!$BG$6:$BM$44,7,FALSE),R160)</f>
        <v>2.7904161219319636E-2</v>
      </c>
      <c r="S159" s="53">
        <f>IFERROR(VLOOKUP(B159,'Pre-Summary'!$BG$6:$BM$44,6,FALSE),S160)</f>
        <v>3.3978715219895171E-2</v>
      </c>
      <c r="T159" s="45" t="str">
        <f>IFERROR(VLOOKUP(B159,'Pre-Summary'!$Y$6:$AC$83, 3,FALSE),"")</f>
        <v/>
      </c>
      <c r="U159" s="45" t="str">
        <f>IFERROR(VLOOKUP(B159,'Pre-Summary'!$Y$6:$AC$83, 4,FALSE),"")</f>
        <v/>
      </c>
      <c r="V159" t="str">
        <f>IFERROR(VLOOKUP(B159,'Pre-Summary'!$Y$6:$AC$83, 5,FALSE),"")</f>
        <v/>
      </c>
      <c r="W159" s="45" t="str">
        <f>IFERROR(VLOOKUP(B159,'Pre-Summary'!$Y$6:$AD$83,6,FALSE),"")</f>
        <v/>
      </c>
      <c r="X159" t="str">
        <f>IFERROR(VLOOKUP('Pre-Summary'!$DB$6:$DD$63,3,FALSE),"")</f>
        <v/>
      </c>
      <c r="Y159" t="str">
        <f>IFERROR(VLOOKUP(B159,'Pre-Summary'!$CR$6:$CT$36,3,FALSE),"")</f>
        <v/>
      </c>
      <c r="Z159" s="45" t="str">
        <f>IFERROR(VLOOKUP(B159,'Pre-Summary'!$BZ$6:$CB$63,2,FALSE),"")</f>
        <v/>
      </c>
      <c r="AA159" s="45" t="str">
        <f>IFERROR(VLOOKUP(B159,'Pre-Summary'!$CG$6:$CI$70,2,FALSE),"")</f>
        <v/>
      </c>
      <c r="AB159" s="99">
        <f>IFERROR(VLOOKUP(B159,'Pre-Summary'!$A$6:$P$178,9,FALSE),AB160)</f>
        <v>0.49660943396122104</v>
      </c>
      <c r="AC159" s="10">
        <f>IFERROR(VLOOKUP(Summary!B159,'Pre-Summary'!$A$6:$P$184,5, FALSE)/100,AC160)</f>
        <v>0.89163000000000014</v>
      </c>
      <c r="AD159" s="10">
        <f>IFERROR(VLOOKUP(Summary!B159,'Pre-Summary'!$A$6:$P$184,3, FALSE)/100,AD160)</f>
        <v>0</v>
      </c>
      <c r="AE159" s="10">
        <f>IFERROR(VLOOKUP(Summary!B159,'Pre-Summary'!$A$6:$P$184,7, FALSE)/100,AE160)</f>
        <v>0.10837000000000002</v>
      </c>
      <c r="AF159" s="99">
        <f t="shared" si="7"/>
        <v>0</v>
      </c>
      <c r="AG159" s="99">
        <f t="shared" si="8"/>
        <v>5.3817564358377534E-2</v>
      </c>
      <c r="AH159" s="10" t="str">
        <f>IFERROR(VLOOKUP(B159,'Pre-Summary'!$AZ$6:$BE$65,3,FALSE),"")</f>
        <v/>
      </c>
      <c r="AI159" s="10" t="str">
        <f>IFERROR(VLOOKUP(B159,'Pre-Summary'!$AZ$6:$BE$65,5,FALSE),"")</f>
        <v/>
      </c>
      <c r="AJ159" s="10" t="str">
        <f>IFERROR(VLOOKUP(B159,'Pre-Summary'!$AZ$6:$BE$65,4,FALSE),"")</f>
        <v/>
      </c>
      <c r="AK159" s="10" t="str">
        <f>IFERROR(VLOOKUP(B159,'Pre-Summary'!$AZ$6:$BE$65,6,FALSE),"")</f>
        <v/>
      </c>
      <c r="AL159" s="10" t="str">
        <f>IFERROR(VLOOKUP(B159,'Pre-Summary'!$BG$6:$BL$44,3,FALSE),"")</f>
        <v/>
      </c>
      <c r="AM159" s="10" t="str">
        <f>IFERROR(VLOOKUP(B159,'Pre-Summary'!$BG$6:$BL$44,4,FALSE),"")</f>
        <v/>
      </c>
    </row>
    <row r="160" spans="2:39" ht="14.4" x14ac:dyDescent="0.3">
      <c r="B160">
        <v>15.7</v>
      </c>
      <c r="C160" t="str">
        <f>IFERROR(VLOOKUP(B160,'Pre-Summary'!$DI$6:$DM$23,4,FALSE),"")</f>
        <v/>
      </c>
      <c r="D160" s="10" t="str">
        <f>IFERROR(VLOOKUP(B160,'Pre-Summary'!$AT$6:$AX$14,5,FALSE),D159)</f>
        <v>DSMZ v1.5: Using DSMZ 120 with NaHCO3</v>
      </c>
      <c r="E160" s="10" t="str">
        <f>IFERROR(VLOOKUP(B160,'Pre-Summary'!$AT$6:$AX$15,4,FALSE),"")</f>
        <v/>
      </c>
      <c r="F160">
        <f>IFERROR(VLOOKUP(B160,'Pre-Summary'!$AL$6:$AQ$13,6,FALSE),F159)</f>
        <v>5.9405263157894746E-2</v>
      </c>
      <c r="G160" t="str">
        <f>IFERROR(VLOOKUP(B160,'Pre-Summary'!$AE$6:$AJ$85,3,FALSE),"")</f>
        <v/>
      </c>
      <c r="H160" t="str">
        <f>IFERROR(VLOOKUP(B160,'Pre-Summary'!$AE$6:$AJ$85,4,FALSE),"")</f>
        <v/>
      </c>
      <c r="I160" t="str">
        <f>IFERROR(VLOOKUP(B160,'Pre-Summary'!$AE$6:$AJ$85,5,FALSE),"")</f>
        <v/>
      </c>
      <c r="J160" s="45" t="str">
        <f>IFERROR(VLOOKUP(B160,'Pre-Summary'!$AE$6:$AJ$85,6, FALSE),"")</f>
        <v/>
      </c>
      <c r="K160" s="45" t="str">
        <f>IFERROR(VLOOKUP(B160,'Pre-Summary'!$DE$6:$DG$61,3,FALSE),"")</f>
        <v/>
      </c>
      <c r="L160" s="45" t="str">
        <f>IFERROR(VLOOKUP(B160,'Pre-Summary'!$CU$6:$CW$36,3,FALSE),"")</f>
        <v/>
      </c>
      <c r="M160" s="45" t="str">
        <f>IFERROR(VLOOKUP(B160,'Pre-Summary'!$BW$6:$BY$58,2,FALSE),"")</f>
        <v/>
      </c>
      <c r="N160" s="45" t="str">
        <f>IFERROR(VLOOKUP(B160,'Pre-Summary'!$CD$6:$CF$64,2,FALSE),"")</f>
        <v/>
      </c>
      <c r="O160" s="99">
        <f>IFERROR(VLOOKUP(B160,'Pre-Summary'!$BO$6:$BQ$48,3, FALSE),O159)</f>
        <v>1.0915248032216731</v>
      </c>
      <c r="P160" s="99">
        <f>IFERROR(VLOOKUP(B160,'Pre-Summary'!$BS$6:$BU$35,3,FALSE),P159)</f>
        <v>0.25</v>
      </c>
      <c r="Q160" s="54">
        <f t="shared" si="6"/>
        <v>4.3660992128866924</v>
      </c>
      <c r="R160" s="53">
        <f>IFERROR(VLOOKUP(B160,'Pre-Summary'!$BG$6:$BM$44,7,FALSE),R161)</f>
        <v>2.7904161219319636E-2</v>
      </c>
      <c r="S160" s="53">
        <f>IFERROR(VLOOKUP(B160,'Pre-Summary'!$BG$6:$BM$44,6,FALSE),S161)</f>
        <v>3.3978715219895171E-2</v>
      </c>
      <c r="T160" s="45" t="str">
        <f>IFERROR(VLOOKUP(B160,'Pre-Summary'!$Y$6:$AC$83, 3,FALSE),"")</f>
        <v/>
      </c>
      <c r="U160" s="45" t="str">
        <f>IFERROR(VLOOKUP(B160,'Pre-Summary'!$Y$6:$AC$83, 4,FALSE),"")</f>
        <v/>
      </c>
      <c r="V160" t="str">
        <f>IFERROR(VLOOKUP(B160,'Pre-Summary'!$Y$6:$AC$83, 5,FALSE),"")</f>
        <v/>
      </c>
      <c r="W160" s="45" t="str">
        <f>IFERROR(VLOOKUP(B160,'Pre-Summary'!$Y$6:$AD$83,6,FALSE),"")</f>
        <v/>
      </c>
      <c r="X160" t="str">
        <f>IFERROR(VLOOKUP('Pre-Summary'!$DB$6:$DD$63,3,FALSE),"")</f>
        <v/>
      </c>
      <c r="Y160" t="str">
        <f>IFERROR(VLOOKUP(B160,'Pre-Summary'!$CR$6:$CT$36,3,FALSE),"")</f>
        <v/>
      </c>
      <c r="Z160" s="45" t="str">
        <f>IFERROR(VLOOKUP(B160,'Pre-Summary'!$BZ$6:$CB$63,2,FALSE),"")</f>
        <v/>
      </c>
      <c r="AA160" s="45" t="str">
        <f>IFERROR(VLOOKUP(B160,'Pre-Summary'!$CG$6:$CI$70,2,FALSE),"")</f>
        <v/>
      </c>
      <c r="AB160" s="99">
        <f>IFERROR(VLOOKUP(B160,'Pre-Summary'!$A$6:$P$178,9,FALSE),AB161)</f>
        <v>0.49660943396122104</v>
      </c>
      <c r="AC160" s="10">
        <f>IFERROR(VLOOKUP(Summary!B160,'Pre-Summary'!$A$6:$P$184,5, FALSE)/100,AC161)</f>
        <v>0.89163000000000014</v>
      </c>
      <c r="AD160" s="10">
        <f>IFERROR(VLOOKUP(Summary!B160,'Pre-Summary'!$A$6:$P$184,3, FALSE)/100,AD161)</f>
        <v>0</v>
      </c>
      <c r="AE160" s="10">
        <f>IFERROR(VLOOKUP(Summary!B160,'Pre-Summary'!$A$6:$P$184,7, FALSE)/100,AE161)</f>
        <v>0.10837000000000002</v>
      </c>
      <c r="AF160" s="99">
        <f t="shared" si="7"/>
        <v>0</v>
      </c>
      <c r="AG160" s="99">
        <f t="shared" si="8"/>
        <v>5.3817564358377534E-2</v>
      </c>
      <c r="AH160" s="10" t="str">
        <f>IFERROR(VLOOKUP(B160,'Pre-Summary'!$AZ$6:$BE$65,3,FALSE),"")</f>
        <v/>
      </c>
      <c r="AI160" s="10" t="str">
        <f>IFERROR(VLOOKUP(B160,'Pre-Summary'!$AZ$6:$BE$65,5,FALSE),"")</f>
        <v/>
      </c>
      <c r="AJ160" s="10" t="str">
        <f>IFERROR(VLOOKUP(B160,'Pre-Summary'!$AZ$6:$BE$65,4,FALSE),"")</f>
        <v/>
      </c>
      <c r="AK160" s="10" t="str">
        <f>IFERROR(VLOOKUP(B160,'Pre-Summary'!$AZ$6:$BE$65,6,FALSE),"")</f>
        <v/>
      </c>
      <c r="AL160" s="10" t="str">
        <f>IFERROR(VLOOKUP(B160,'Pre-Summary'!$BG$6:$BL$44,3,FALSE),"")</f>
        <v/>
      </c>
      <c r="AM160" s="10" t="str">
        <f>IFERROR(VLOOKUP(B160,'Pre-Summary'!$BG$6:$BL$44,4,FALSE),"")</f>
        <v/>
      </c>
    </row>
    <row r="161" spans="2:39" ht="14.4" x14ac:dyDescent="0.3">
      <c r="B161">
        <v>15.8</v>
      </c>
      <c r="C161" t="str">
        <f>IFERROR(VLOOKUP(B161,'Pre-Summary'!$DI$6:$DM$23,4,FALSE),"")</f>
        <v/>
      </c>
      <c r="D161" s="10" t="str">
        <f>IFERROR(VLOOKUP(B161,'Pre-Summary'!$AT$6:$AX$14,5,FALSE),D160)</f>
        <v>DSMZ v1.5: Using DSMZ 120 with NaHCO3</v>
      </c>
      <c r="E161" s="10" t="str">
        <f>IFERROR(VLOOKUP(B161,'Pre-Summary'!$AT$6:$AX$15,4,FALSE),"")</f>
        <v/>
      </c>
      <c r="F161">
        <f>IFERROR(VLOOKUP(B161,'Pre-Summary'!$AL$6:$AQ$13,6,FALSE),F160)</f>
        <v>5.9405263157894746E-2</v>
      </c>
      <c r="G161" t="str">
        <f>IFERROR(VLOOKUP(B161,'Pre-Summary'!$AE$6:$AJ$85,3,FALSE),"")</f>
        <v/>
      </c>
      <c r="H161" t="str">
        <f>IFERROR(VLOOKUP(B161,'Pre-Summary'!$AE$6:$AJ$85,4,FALSE),"")</f>
        <v/>
      </c>
      <c r="I161" t="str">
        <f>IFERROR(VLOOKUP(B161,'Pre-Summary'!$AE$6:$AJ$85,5,FALSE),"")</f>
        <v/>
      </c>
      <c r="J161" s="45" t="str">
        <f>IFERROR(VLOOKUP(B161,'Pre-Summary'!$AE$6:$AJ$85,6, FALSE),"")</f>
        <v/>
      </c>
      <c r="K161" s="45" t="str">
        <f>IFERROR(VLOOKUP(B161,'Pre-Summary'!$DE$6:$DG$61,3,FALSE),"")</f>
        <v/>
      </c>
      <c r="L161" s="45" t="str">
        <f>IFERROR(VLOOKUP(B161,'Pre-Summary'!$CU$6:$CW$36,3,FALSE),"")</f>
        <v/>
      </c>
      <c r="M161" s="45" t="str">
        <f>IFERROR(VLOOKUP(B161,'Pre-Summary'!$BW$6:$BY$58,2,FALSE),"")</f>
        <v/>
      </c>
      <c r="N161" s="45" t="str">
        <f>IFERROR(VLOOKUP(B161,'Pre-Summary'!$CD$6:$CF$64,2,FALSE),"")</f>
        <v/>
      </c>
      <c r="O161" s="99">
        <f>IFERROR(VLOOKUP(B161,'Pre-Summary'!$BO$6:$BQ$48,3, FALSE),O160)</f>
        <v>1.0915248032216731</v>
      </c>
      <c r="P161" s="99">
        <f>IFERROR(VLOOKUP(B161,'Pre-Summary'!$BS$6:$BU$35,3,FALSE),P160)</f>
        <v>0.25</v>
      </c>
      <c r="Q161" s="54">
        <f t="shared" si="6"/>
        <v>4.3660992128866924</v>
      </c>
      <c r="R161" s="53">
        <f>IFERROR(VLOOKUP(B161,'Pre-Summary'!$BG$6:$BM$44,7,FALSE),R162)</f>
        <v>2.7904161219319636E-2</v>
      </c>
      <c r="S161" s="53">
        <f>IFERROR(VLOOKUP(B161,'Pre-Summary'!$BG$6:$BM$44,6,FALSE),S162)</f>
        <v>3.3978715219895171E-2</v>
      </c>
      <c r="T161" s="45" t="str">
        <f>IFERROR(VLOOKUP(B161,'Pre-Summary'!$Y$6:$AC$83, 3,FALSE),"")</f>
        <v/>
      </c>
      <c r="U161" s="45" t="str">
        <f>IFERROR(VLOOKUP(B161,'Pre-Summary'!$Y$6:$AC$83, 4,FALSE),"")</f>
        <v/>
      </c>
      <c r="V161" t="str">
        <f>IFERROR(VLOOKUP(B161,'Pre-Summary'!$Y$6:$AC$83, 5,FALSE),"")</f>
        <v/>
      </c>
      <c r="W161" s="45" t="str">
        <f>IFERROR(VLOOKUP(B161,'Pre-Summary'!$Y$6:$AD$83,6,FALSE),"")</f>
        <v/>
      </c>
      <c r="X161" t="str">
        <f>IFERROR(VLOOKUP('Pre-Summary'!$DB$6:$DD$63,3,FALSE),"")</f>
        <v/>
      </c>
      <c r="Y161" t="str">
        <f>IFERROR(VLOOKUP(B161,'Pre-Summary'!$CR$6:$CT$36,3,FALSE),"")</f>
        <v/>
      </c>
      <c r="Z161" s="45" t="str">
        <f>IFERROR(VLOOKUP(B161,'Pre-Summary'!$BZ$6:$CB$63,2,FALSE),"")</f>
        <v/>
      </c>
      <c r="AA161" s="45" t="str">
        <f>IFERROR(VLOOKUP(B161,'Pre-Summary'!$CG$6:$CI$70,2,FALSE),"")</f>
        <v/>
      </c>
      <c r="AB161" s="99">
        <f>IFERROR(VLOOKUP(B161,'Pre-Summary'!$A$6:$P$178,9,FALSE),AB162)</f>
        <v>0.49660943396122104</v>
      </c>
      <c r="AC161" s="10">
        <f>IFERROR(VLOOKUP(Summary!B161,'Pre-Summary'!$A$6:$P$184,5, FALSE)/100,AC162)</f>
        <v>0.89163000000000014</v>
      </c>
      <c r="AD161" s="10">
        <f>IFERROR(VLOOKUP(Summary!B161,'Pre-Summary'!$A$6:$P$184,3, FALSE)/100,AD162)</f>
        <v>0</v>
      </c>
      <c r="AE161" s="10">
        <f>IFERROR(VLOOKUP(Summary!B161,'Pre-Summary'!$A$6:$P$184,7, FALSE)/100,AE162)</f>
        <v>0.10837000000000002</v>
      </c>
      <c r="AF161" s="99">
        <f t="shared" si="7"/>
        <v>0</v>
      </c>
      <c r="AG161" s="99">
        <f t="shared" si="8"/>
        <v>5.3817564358377534E-2</v>
      </c>
      <c r="AH161" s="10" t="str">
        <f>IFERROR(VLOOKUP(B161,'Pre-Summary'!$AZ$6:$BE$65,3,FALSE),"")</f>
        <v/>
      </c>
      <c r="AI161" s="10" t="str">
        <f>IFERROR(VLOOKUP(B161,'Pre-Summary'!$AZ$6:$BE$65,5,FALSE),"")</f>
        <v/>
      </c>
      <c r="AJ161" s="10" t="str">
        <f>IFERROR(VLOOKUP(B161,'Pre-Summary'!$AZ$6:$BE$65,4,FALSE),"")</f>
        <v/>
      </c>
      <c r="AK161" s="10" t="str">
        <f>IFERROR(VLOOKUP(B161,'Pre-Summary'!$AZ$6:$BE$65,6,FALSE),"")</f>
        <v/>
      </c>
      <c r="AL161" s="10" t="str">
        <f>IFERROR(VLOOKUP(B161,'Pre-Summary'!$BG$6:$BL$44,3,FALSE),"")</f>
        <v/>
      </c>
      <c r="AM161" s="10" t="str">
        <f>IFERROR(VLOOKUP(B161,'Pre-Summary'!$BG$6:$BL$44,4,FALSE),"")</f>
        <v/>
      </c>
    </row>
    <row r="162" spans="2:39" ht="14.4" x14ac:dyDescent="0.3">
      <c r="B162">
        <v>15.9</v>
      </c>
      <c r="C162" t="str">
        <f>IFERROR(VLOOKUP(B162,'Pre-Summary'!$DI$6:$DM$23,4,FALSE),"")</f>
        <v/>
      </c>
      <c r="D162" s="10" t="str">
        <f>IFERROR(VLOOKUP(B162,'Pre-Summary'!$AT$6:$AX$14,5,FALSE),D161)</f>
        <v>DSMZ v1.5: Using DSMZ 120 with NaHCO3</v>
      </c>
      <c r="E162" s="10" t="str">
        <f>IFERROR(VLOOKUP(B162,'Pre-Summary'!$AT$6:$AX$15,4,FALSE),"")</f>
        <v/>
      </c>
      <c r="F162">
        <f>IFERROR(VLOOKUP(B162,'Pre-Summary'!$AL$6:$AQ$13,6,FALSE),F161)</f>
        <v>5.9405263157894746E-2</v>
      </c>
      <c r="G162" t="str">
        <f>IFERROR(VLOOKUP(B162,'Pre-Summary'!$AE$6:$AJ$85,3,FALSE),"")</f>
        <v/>
      </c>
      <c r="H162" t="str">
        <f>IFERROR(VLOOKUP(B162,'Pre-Summary'!$AE$6:$AJ$85,4,FALSE),"")</f>
        <v/>
      </c>
      <c r="I162" t="str">
        <f>IFERROR(VLOOKUP(B162,'Pre-Summary'!$AE$6:$AJ$85,5,FALSE),"")</f>
        <v/>
      </c>
      <c r="J162" s="45" t="str">
        <f>IFERROR(VLOOKUP(B162,'Pre-Summary'!$AE$6:$AJ$85,6, FALSE),"")</f>
        <v/>
      </c>
      <c r="K162" s="45" t="str">
        <f>IFERROR(VLOOKUP(B162,'Pre-Summary'!$DE$6:$DG$61,3,FALSE),"")</f>
        <v/>
      </c>
      <c r="L162" s="45" t="str">
        <f>IFERROR(VLOOKUP(B162,'Pre-Summary'!$CU$6:$CW$36,3,FALSE),"")</f>
        <v/>
      </c>
      <c r="M162" s="45" t="str">
        <f>IFERROR(VLOOKUP(B162,'Pre-Summary'!$BW$6:$BY$58,2,FALSE),"")</f>
        <v/>
      </c>
      <c r="N162" s="45" t="str">
        <f>IFERROR(VLOOKUP(B162,'Pre-Summary'!$CD$6:$CF$64,2,FALSE),"")</f>
        <v/>
      </c>
      <c r="O162" s="99">
        <f>IFERROR(VLOOKUP(B162,'Pre-Summary'!$BO$6:$BQ$48,3, FALSE),O161)</f>
        <v>1.0915248032216731</v>
      </c>
      <c r="P162" s="99">
        <f>IFERROR(VLOOKUP(B162,'Pre-Summary'!$BS$6:$BU$35,3,FALSE),P161)</f>
        <v>0.25</v>
      </c>
      <c r="Q162" s="54">
        <f t="shared" si="6"/>
        <v>4.3660992128866924</v>
      </c>
      <c r="R162" s="53">
        <f>IFERROR(VLOOKUP(B162,'Pre-Summary'!$BG$6:$BM$44,7,FALSE),R163)</f>
        <v>2.7904161219319636E-2</v>
      </c>
      <c r="S162" s="53">
        <f>IFERROR(VLOOKUP(B162,'Pre-Summary'!$BG$6:$BM$44,6,FALSE),S163)</f>
        <v>3.3978715219895171E-2</v>
      </c>
      <c r="T162" s="45" t="str">
        <f>IFERROR(VLOOKUP(B162,'Pre-Summary'!$Y$6:$AC$83, 3,FALSE),"")</f>
        <v/>
      </c>
      <c r="U162" s="45" t="str">
        <f>IFERROR(VLOOKUP(B162,'Pre-Summary'!$Y$6:$AC$83, 4,FALSE),"")</f>
        <v/>
      </c>
      <c r="V162" t="str">
        <f>IFERROR(VLOOKUP(B162,'Pre-Summary'!$Y$6:$AC$83, 5,FALSE),"")</f>
        <v/>
      </c>
      <c r="W162" s="45" t="str">
        <f>IFERROR(VLOOKUP(B162,'Pre-Summary'!$Y$6:$AD$83,6,FALSE),"")</f>
        <v/>
      </c>
      <c r="X162" t="str">
        <f>IFERROR(VLOOKUP('Pre-Summary'!$DB$6:$DD$63,3,FALSE),"")</f>
        <v/>
      </c>
      <c r="Y162" t="str">
        <f>IFERROR(VLOOKUP(B162,'Pre-Summary'!$CR$6:$CT$36,3,FALSE),"")</f>
        <v/>
      </c>
      <c r="Z162" s="45" t="str">
        <f>IFERROR(VLOOKUP(B162,'Pre-Summary'!$BZ$6:$CB$63,2,FALSE),"")</f>
        <v/>
      </c>
      <c r="AA162" s="45" t="str">
        <f>IFERROR(VLOOKUP(B162,'Pre-Summary'!$CG$6:$CI$70,2,FALSE),"")</f>
        <v/>
      </c>
      <c r="AB162" s="99">
        <f>IFERROR(VLOOKUP(B162,'Pre-Summary'!$A$6:$P$178,9,FALSE),AB163)</f>
        <v>0.49660943396122104</v>
      </c>
      <c r="AC162" s="10">
        <f>IFERROR(VLOOKUP(Summary!B162,'Pre-Summary'!$A$6:$P$184,5, FALSE)/100,AC163)</f>
        <v>0.89163000000000014</v>
      </c>
      <c r="AD162" s="10">
        <f>IFERROR(VLOOKUP(Summary!B162,'Pre-Summary'!$A$6:$P$184,3, FALSE)/100,AD163)</f>
        <v>0</v>
      </c>
      <c r="AE162" s="10">
        <f>IFERROR(VLOOKUP(Summary!B162,'Pre-Summary'!$A$6:$P$184,7, FALSE)/100,AE163)</f>
        <v>0.10837000000000002</v>
      </c>
      <c r="AF162" s="99">
        <f t="shared" si="7"/>
        <v>0</v>
      </c>
      <c r="AG162" s="99">
        <f t="shared" si="8"/>
        <v>5.3817564358377534E-2</v>
      </c>
      <c r="AH162" s="10" t="str">
        <f>IFERROR(VLOOKUP(B162,'Pre-Summary'!$AZ$6:$BE$65,3,FALSE),"")</f>
        <v/>
      </c>
      <c r="AI162" s="10" t="str">
        <f>IFERROR(VLOOKUP(B162,'Pre-Summary'!$AZ$6:$BE$65,5,FALSE),"")</f>
        <v/>
      </c>
      <c r="AJ162" s="10" t="str">
        <f>IFERROR(VLOOKUP(B162,'Pre-Summary'!$AZ$6:$BE$65,4,FALSE),"")</f>
        <v/>
      </c>
      <c r="AK162" s="10" t="str">
        <f>IFERROR(VLOOKUP(B162,'Pre-Summary'!$AZ$6:$BE$65,6,FALSE),"")</f>
        <v/>
      </c>
      <c r="AL162" s="10" t="str">
        <f>IFERROR(VLOOKUP(B162,'Pre-Summary'!$BG$6:$BL$44,3,FALSE),"")</f>
        <v/>
      </c>
      <c r="AM162" s="10" t="str">
        <f>IFERROR(VLOOKUP(B162,'Pre-Summary'!$BG$6:$BL$44,4,FALSE),"")</f>
        <v/>
      </c>
    </row>
    <row r="163" spans="2:39" ht="14.4" x14ac:dyDescent="0.3">
      <c r="B163">
        <v>16</v>
      </c>
      <c r="C163" t="str">
        <f>IFERROR(VLOOKUP(B163,'Pre-Summary'!$DI$6:$DM$23,4,FALSE),"")</f>
        <v/>
      </c>
      <c r="D163" s="10" t="str">
        <f>IFERROR(VLOOKUP(B163,'Pre-Summary'!$AT$6:$AX$14,5,FALSE),D162)</f>
        <v>DSMZ v1.5: Using DSMZ 120 with NaHCO3</v>
      </c>
      <c r="E163" s="10" t="str">
        <f>IFERROR(VLOOKUP(B163,'Pre-Summary'!$AT$6:$AX$15,4,FALSE),"")</f>
        <v/>
      </c>
      <c r="F163">
        <f>IFERROR(VLOOKUP(B163,'Pre-Summary'!$AL$6:$AQ$13,6,FALSE),F162)</f>
        <v>5.9405263157894746E-2</v>
      </c>
      <c r="G163" t="str">
        <f>IFERROR(VLOOKUP(B163,'Pre-Summary'!$AE$6:$AJ$85,3,FALSE),"")</f>
        <v/>
      </c>
      <c r="H163" t="str">
        <f>IFERROR(VLOOKUP(B163,'Pre-Summary'!$AE$6:$AJ$85,4,FALSE),"")</f>
        <v/>
      </c>
      <c r="I163" t="str">
        <f>IFERROR(VLOOKUP(B163,'Pre-Summary'!$AE$6:$AJ$85,5,FALSE),"")</f>
        <v/>
      </c>
      <c r="J163" s="45" t="str">
        <f>IFERROR(VLOOKUP(B163,'Pre-Summary'!$AE$6:$AJ$85,6, FALSE),"")</f>
        <v/>
      </c>
      <c r="K163" s="45" t="str">
        <f>IFERROR(VLOOKUP(B163,'Pre-Summary'!$DE$6:$DG$61,3,FALSE),"")</f>
        <v/>
      </c>
      <c r="L163" s="45" t="str">
        <f>IFERROR(VLOOKUP(B163,'Pre-Summary'!$CU$6:$CW$36,3,FALSE),"")</f>
        <v/>
      </c>
      <c r="M163" s="45" t="str">
        <f>IFERROR(VLOOKUP(B163,'Pre-Summary'!$BW$6:$BY$58,2,FALSE),"")</f>
        <v/>
      </c>
      <c r="N163" s="45" t="str">
        <f>IFERROR(VLOOKUP(B163,'Pre-Summary'!$CD$6:$CF$64,2,FALSE),"")</f>
        <v/>
      </c>
      <c r="O163" s="99">
        <f>IFERROR(VLOOKUP(B163,'Pre-Summary'!$BO$6:$BQ$48,3, FALSE),O162)</f>
        <v>1.0915248032216731</v>
      </c>
      <c r="P163" s="99">
        <f>IFERROR(VLOOKUP(B163,'Pre-Summary'!$BS$6:$BU$35,3,FALSE),P162)</f>
        <v>0.25</v>
      </c>
      <c r="Q163" s="54">
        <f t="shared" si="6"/>
        <v>4.3660992128866924</v>
      </c>
      <c r="R163" s="53">
        <f>IFERROR(VLOOKUP(B163,'Pre-Summary'!$BG$6:$BM$44,7,FALSE),R164)</f>
        <v>2.7904161219319636E-2</v>
      </c>
      <c r="S163" s="53">
        <f>IFERROR(VLOOKUP(B163,'Pre-Summary'!$BG$6:$BM$44,6,FALSE),S164)</f>
        <v>3.3978715219895171E-2</v>
      </c>
      <c r="T163" s="45" t="str">
        <f>IFERROR(VLOOKUP(B163,'Pre-Summary'!$Y$6:$AC$83, 3,FALSE),"")</f>
        <v/>
      </c>
      <c r="U163" s="45" t="str">
        <f>IFERROR(VLOOKUP(B163,'Pre-Summary'!$Y$6:$AC$83, 4,FALSE),"")</f>
        <v/>
      </c>
      <c r="V163" t="str">
        <f>IFERROR(VLOOKUP(B163,'Pre-Summary'!$Y$6:$AC$83, 5,FALSE),"")</f>
        <v/>
      </c>
      <c r="W163" s="45" t="str">
        <f>IFERROR(VLOOKUP(B163,'Pre-Summary'!$Y$6:$AD$83,6,FALSE),"")</f>
        <v/>
      </c>
      <c r="X163" t="str">
        <f>IFERROR(VLOOKUP('Pre-Summary'!$DB$6:$DD$63,3,FALSE),"")</f>
        <v/>
      </c>
      <c r="Y163" t="str">
        <f>IFERROR(VLOOKUP(B163,'Pre-Summary'!$CR$6:$CT$36,3,FALSE),"")</f>
        <v/>
      </c>
      <c r="Z163" s="45" t="str">
        <f>IFERROR(VLOOKUP(B163,'Pre-Summary'!$BZ$6:$CB$63,2,FALSE),"")</f>
        <v/>
      </c>
      <c r="AA163" s="45" t="str">
        <f>IFERROR(VLOOKUP(B163,'Pre-Summary'!$CG$6:$CI$70,2,FALSE),"")</f>
        <v/>
      </c>
      <c r="AB163" s="99">
        <f>IFERROR(VLOOKUP(B163,'Pre-Summary'!$A$6:$P$178,9,FALSE),AB164)</f>
        <v>0.49660943396122104</v>
      </c>
      <c r="AC163" s="10">
        <f>IFERROR(VLOOKUP(Summary!B163,'Pre-Summary'!$A$6:$P$184,5, FALSE)/100,AC164)</f>
        <v>0.89163000000000014</v>
      </c>
      <c r="AD163" s="10">
        <f>IFERROR(VLOOKUP(Summary!B163,'Pre-Summary'!$A$6:$P$184,3, FALSE)/100,AD164)</f>
        <v>0</v>
      </c>
      <c r="AE163" s="10">
        <f>IFERROR(VLOOKUP(Summary!B163,'Pre-Summary'!$A$6:$P$184,7, FALSE)/100,AE164)</f>
        <v>0.10837000000000002</v>
      </c>
      <c r="AF163" s="99">
        <f t="shared" si="7"/>
        <v>0</v>
      </c>
      <c r="AG163" s="99">
        <f t="shared" si="8"/>
        <v>5.3817564358377534E-2</v>
      </c>
      <c r="AH163" s="10" t="str">
        <f>IFERROR(VLOOKUP(B163,'Pre-Summary'!$AZ$6:$BE$65,3,FALSE),"")</f>
        <v/>
      </c>
      <c r="AI163" s="10" t="str">
        <f>IFERROR(VLOOKUP(B163,'Pre-Summary'!$AZ$6:$BE$65,5,FALSE),"")</f>
        <v/>
      </c>
      <c r="AJ163" s="10" t="str">
        <f>IFERROR(VLOOKUP(B163,'Pre-Summary'!$AZ$6:$BE$65,4,FALSE),"")</f>
        <v/>
      </c>
      <c r="AK163" s="10" t="str">
        <f>IFERROR(VLOOKUP(B163,'Pre-Summary'!$AZ$6:$BE$65,6,FALSE),"")</f>
        <v/>
      </c>
      <c r="AL163" s="10" t="str">
        <f>IFERROR(VLOOKUP(B163,'Pre-Summary'!$BG$6:$BL$44,3,FALSE),"")</f>
        <v/>
      </c>
      <c r="AM163" s="10" t="str">
        <f>IFERROR(VLOOKUP(B163,'Pre-Summary'!$BG$6:$BL$44,4,FALSE),"")</f>
        <v/>
      </c>
    </row>
    <row r="164" spans="2:39" ht="14.4" x14ac:dyDescent="0.3">
      <c r="B164">
        <v>16.100000000000001</v>
      </c>
      <c r="C164" t="str">
        <f>IFERROR(VLOOKUP(B164,'Pre-Summary'!$DI$6:$DM$23,4,FALSE),"")</f>
        <v/>
      </c>
      <c r="D164" s="10" t="str">
        <f>IFERROR(VLOOKUP(B164,'Pre-Summary'!$AT$6:$AX$14,5,FALSE),D163)</f>
        <v>DSMZ v1.5: Using DSMZ 120 with NaHCO3</v>
      </c>
      <c r="E164" s="10" t="str">
        <f>IFERROR(VLOOKUP(B164,'Pre-Summary'!$AT$6:$AX$15,4,FALSE),"")</f>
        <v/>
      </c>
      <c r="F164">
        <f>IFERROR(VLOOKUP(B164,'Pre-Summary'!$AL$6:$AQ$13,6,FALSE),F163)</f>
        <v>5.9405263157894746E-2</v>
      </c>
      <c r="G164" t="str">
        <f>IFERROR(VLOOKUP(B164,'Pre-Summary'!$AE$6:$AJ$85,3,FALSE),"")</f>
        <v/>
      </c>
      <c r="H164" t="str">
        <f>IFERROR(VLOOKUP(B164,'Pre-Summary'!$AE$6:$AJ$85,4,FALSE),"")</f>
        <v/>
      </c>
      <c r="I164" t="str">
        <f>IFERROR(VLOOKUP(B164,'Pre-Summary'!$AE$6:$AJ$85,5,FALSE),"")</f>
        <v/>
      </c>
      <c r="J164" s="45" t="str">
        <f>IFERROR(VLOOKUP(B164,'Pre-Summary'!$AE$6:$AJ$85,6, FALSE),"")</f>
        <v/>
      </c>
      <c r="K164" s="45" t="str">
        <f>IFERROR(VLOOKUP(B164,'Pre-Summary'!$DE$6:$DG$61,3,FALSE),"")</f>
        <v/>
      </c>
      <c r="L164" s="45" t="str">
        <f>IFERROR(VLOOKUP(B164,'Pre-Summary'!$CU$6:$CW$36,3,FALSE),"")</f>
        <v/>
      </c>
      <c r="M164" s="45" t="str">
        <f>IFERROR(VLOOKUP(B164,'Pre-Summary'!$BW$6:$BY$58,2,FALSE),"")</f>
        <v/>
      </c>
      <c r="N164" s="45" t="str">
        <f>IFERROR(VLOOKUP(B164,'Pre-Summary'!$CD$6:$CF$64,2,FALSE),"")</f>
        <v/>
      </c>
      <c r="O164" s="99">
        <f>IFERROR(VLOOKUP(B164,'Pre-Summary'!$BO$6:$BQ$48,3, FALSE),O163)</f>
        <v>1.0915248032216731</v>
      </c>
      <c r="P164" s="99">
        <f>IFERROR(VLOOKUP(B164,'Pre-Summary'!$BS$6:$BU$35,3,FALSE),P163)</f>
        <v>0.25</v>
      </c>
      <c r="Q164" s="54">
        <f t="shared" si="6"/>
        <v>4.3660992128866924</v>
      </c>
      <c r="R164" s="53">
        <f>IFERROR(VLOOKUP(B164,'Pre-Summary'!$BG$6:$BM$44,7,FALSE),R165)</f>
        <v>2.7904161219319636E-2</v>
      </c>
      <c r="S164" s="53">
        <f>IFERROR(VLOOKUP(B164,'Pre-Summary'!$BG$6:$BM$44,6,FALSE),S165)</f>
        <v>3.3978715219895171E-2</v>
      </c>
      <c r="T164" s="45" t="str">
        <f>IFERROR(VLOOKUP(B164,'Pre-Summary'!$Y$6:$AC$83, 3,FALSE),"")</f>
        <v/>
      </c>
      <c r="U164" s="45" t="str">
        <f>IFERROR(VLOOKUP(B164,'Pre-Summary'!$Y$6:$AC$83, 4,FALSE),"")</f>
        <v/>
      </c>
      <c r="V164" t="str">
        <f>IFERROR(VLOOKUP(B164,'Pre-Summary'!$Y$6:$AC$83, 5,FALSE),"")</f>
        <v/>
      </c>
      <c r="W164" s="45" t="str">
        <f>IFERROR(VLOOKUP(B164,'Pre-Summary'!$Y$6:$AD$83,6,FALSE),"")</f>
        <v/>
      </c>
      <c r="X164" t="str">
        <f>IFERROR(VLOOKUP('Pre-Summary'!$DB$6:$DD$63,3,FALSE),"")</f>
        <v/>
      </c>
      <c r="Y164" t="str">
        <f>IFERROR(VLOOKUP(B164,'Pre-Summary'!$CR$6:$CT$36,3,FALSE),"")</f>
        <v/>
      </c>
      <c r="Z164" s="45" t="str">
        <f>IFERROR(VLOOKUP(B164,'Pre-Summary'!$BZ$6:$CB$63,2,FALSE),"")</f>
        <v/>
      </c>
      <c r="AA164" s="45" t="str">
        <f>IFERROR(VLOOKUP(B164,'Pre-Summary'!$CG$6:$CI$70,2,FALSE),"")</f>
        <v/>
      </c>
      <c r="AB164" s="99">
        <f>IFERROR(VLOOKUP(B164,'Pre-Summary'!$A$6:$P$178,9,FALSE),AB165)</f>
        <v>0.95192327811817912</v>
      </c>
      <c r="AC164" s="10">
        <f>IFERROR(VLOOKUP(Summary!B164,'Pre-Summary'!$A$6:$P$184,5, FALSE)/100,AC165)</f>
        <v>0.88412199999999985</v>
      </c>
      <c r="AD164" s="10">
        <f>IFERROR(VLOOKUP(Summary!B164,'Pre-Summary'!$A$6:$P$184,3, FALSE)/100,AD165)</f>
        <v>0</v>
      </c>
      <c r="AE164" s="10">
        <f>IFERROR(VLOOKUP(Summary!B164,'Pre-Summary'!$A$6:$P$184,7, FALSE)/100,AE165)</f>
        <v>0.11587800000000001</v>
      </c>
      <c r="AF164" s="99">
        <f t="shared" si="7"/>
        <v>0</v>
      </c>
      <c r="AG164" s="99">
        <f t="shared" si="8"/>
        <v>0.11030696562177837</v>
      </c>
      <c r="AH164" s="10" t="str">
        <f>IFERROR(VLOOKUP(B164,'Pre-Summary'!$AZ$6:$BE$65,3,FALSE),"")</f>
        <v/>
      </c>
      <c r="AI164" s="10" t="str">
        <f>IFERROR(VLOOKUP(B164,'Pre-Summary'!$AZ$6:$BE$65,5,FALSE),"")</f>
        <v/>
      </c>
      <c r="AJ164" s="10" t="str">
        <f>IFERROR(VLOOKUP(B164,'Pre-Summary'!$AZ$6:$BE$65,4,FALSE),"")</f>
        <v/>
      </c>
      <c r="AK164" s="10" t="str">
        <f>IFERROR(VLOOKUP(B164,'Pre-Summary'!$AZ$6:$BE$65,6,FALSE),"")</f>
        <v/>
      </c>
      <c r="AL164" s="10" t="str">
        <f>IFERROR(VLOOKUP(B164,'Pre-Summary'!$BG$6:$BL$44,3,FALSE),"")</f>
        <v/>
      </c>
      <c r="AM164" s="10" t="str">
        <f>IFERROR(VLOOKUP(B164,'Pre-Summary'!$BG$6:$BL$44,4,FALSE),"")</f>
        <v/>
      </c>
    </row>
    <row r="165" spans="2:39" ht="14.4" x14ac:dyDescent="0.3">
      <c r="B165">
        <v>16.2</v>
      </c>
      <c r="C165" t="str">
        <f>IFERROR(VLOOKUP(B165,'Pre-Summary'!$DI$6:$DM$23,4,FALSE),"")</f>
        <v/>
      </c>
      <c r="D165" s="10" t="str">
        <f>IFERROR(VLOOKUP(B165,'Pre-Summary'!$AT$6:$AX$14,5,FALSE),D164)</f>
        <v>DSMZ v1.5: Using DSMZ 120 with NaHCO3</v>
      </c>
      <c r="E165" s="10" t="str">
        <f>IFERROR(VLOOKUP(B165,'Pre-Summary'!$AT$6:$AX$15,4,FALSE),"")</f>
        <v/>
      </c>
      <c r="F165">
        <f>IFERROR(VLOOKUP(B165,'Pre-Summary'!$AL$6:$AQ$13,6,FALSE),F164)</f>
        <v>5.9405263157894746E-2</v>
      </c>
      <c r="G165" t="str">
        <f>IFERROR(VLOOKUP(B165,'Pre-Summary'!$AE$6:$AJ$85,3,FALSE),"")</f>
        <v/>
      </c>
      <c r="H165" t="str">
        <f>IFERROR(VLOOKUP(B165,'Pre-Summary'!$AE$6:$AJ$85,4,FALSE),"")</f>
        <v/>
      </c>
      <c r="I165" t="str">
        <f>IFERROR(VLOOKUP(B165,'Pre-Summary'!$AE$6:$AJ$85,5,FALSE),"")</f>
        <v/>
      </c>
      <c r="J165" s="45" t="str">
        <f>IFERROR(VLOOKUP(B165,'Pre-Summary'!$AE$6:$AJ$85,6, FALSE),"")</f>
        <v/>
      </c>
      <c r="K165" s="45" t="str">
        <f>IFERROR(VLOOKUP(B165,'Pre-Summary'!$DE$6:$DG$61,3,FALSE),"")</f>
        <v/>
      </c>
      <c r="L165" s="45" t="str">
        <f>IFERROR(VLOOKUP(B165,'Pre-Summary'!$CU$6:$CW$36,3,FALSE),"")</f>
        <v/>
      </c>
      <c r="M165" s="45" t="str">
        <f>IFERROR(VLOOKUP(B165,'Pre-Summary'!$BW$6:$BY$58,2,FALSE),"")</f>
        <v/>
      </c>
      <c r="N165" s="45" t="str">
        <f>IFERROR(VLOOKUP(B165,'Pre-Summary'!$CD$6:$CF$64,2,FALSE),"")</f>
        <v/>
      </c>
      <c r="O165" s="99">
        <f>IFERROR(VLOOKUP(B165,'Pre-Summary'!$BO$6:$BQ$48,3, FALSE),O164)</f>
        <v>1.0915248032216731</v>
      </c>
      <c r="P165" s="99">
        <f>IFERROR(VLOOKUP(B165,'Pre-Summary'!$BS$6:$BU$35,3,FALSE),P164)</f>
        <v>0.25</v>
      </c>
      <c r="Q165" s="54">
        <f t="shared" si="6"/>
        <v>4.3660992128866924</v>
      </c>
      <c r="R165" s="53">
        <f>IFERROR(VLOOKUP(B165,'Pre-Summary'!$BG$6:$BM$44,7,FALSE),R166)</f>
        <v>2.7904161219319636E-2</v>
      </c>
      <c r="S165" s="53">
        <f>IFERROR(VLOOKUP(B165,'Pre-Summary'!$BG$6:$BM$44,6,FALSE),S166)</f>
        <v>3.3978715219895171E-2</v>
      </c>
      <c r="T165" s="45" t="str">
        <f>IFERROR(VLOOKUP(B165,'Pre-Summary'!$Y$6:$AC$83, 3,FALSE),"")</f>
        <v/>
      </c>
      <c r="U165" s="45" t="str">
        <f>IFERROR(VLOOKUP(B165,'Pre-Summary'!$Y$6:$AC$83, 4,FALSE),"")</f>
        <v/>
      </c>
      <c r="V165" t="str">
        <f>IFERROR(VLOOKUP(B165,'Pre-Summary'!$Y$6:$AC$83, 5,FALSE),"")</f>
        <v/>
      </c>
      <c r="W165" s="45" t="str">
        <f>IFERROR(VLOOKUP(B165,'Pre-Summary'!$Y$6:$AD$83,6,FALSE),"")</f>
        <v/>
      </c>
      <c r="X165" t="str">
        <f>IFERROR(VLOOKUP('Pre-Summary'!$DB$6:$DD$63,3,FALSE),"")</f>
        <v/>
      </c>
      <c r="Y165" t="str">
        <f>IFERROR(VLOOKUP(B165,'Pre-Summary'!$CR$6:$CT$36,3,FALSE),"")</f>
        <v/>
      </c>
      <c r="Z165" s="45" t="str">
        <f>IFERROR(VLOOKUP(B165,'Pre-Summary'!$BZ$6:$CB$63,2,FALSE),"")</f>
        <v/>
      </c>
      <c r="AA165" s="45" t="str">
        <f>IFERROR(VLOOKUP(B165,'Pre-Summary'!$CG$6:$CI$70,2,FALSE),"")</f>
        <v/>
      </c>
      <c r="AB165" s="99">
        <f>IFERROR(VLOOKUP(B165,'Pre-Summary'!$A$6:$P$178,9,FALSE),AB166)</f>
        <v>0.95192327811817912</v>
      </c>
      <c r="AC165" s="10">
        <f>IFERROR(VLOOKUP(Summary!B165,'Pre-Summary'!$A$6:$P$184,5, FALSE)/100,AC166)</f>
        <v>0.88412199999999985</v>
      </c>
      <c r="AD165" s="10">
        <f>IFERROR(VLOOKUP(Summary!B165,'Pre-Summary'!$A$6:$P$184,3, FALSE)/100,AD166)</f>
        <v>0</v>
      </c>
      <c r="AE165" s="10">
        <f>IFERROR(VLOOKUP(Summary!B165,'Pre-Summary'!$A$6:$P$184,7, FALSE)/100,AE166)</f>
        <v>0.11587800000000001</v>
      </c>
      <c r="AF165" s="99">
        <f t="shared" si="7"/>
        <v>0</v>
      </c>
      <c r="AG165" s="99">
        <f t="shared" si="8"/>
        <v>0.11030696562177837</v>
      </c>
      <c r="AH165" s="10" t="str">
        <f>IFERROR(VLOOKUP(B165,'Pre-Summary'!$AZ$6:$BE$65,3,FALSE),"")</f>
        <v/>
      </c>
      <c r="AI165" s="10" t="str">
        <f>IFERROR(VLOOKUP(B165,'Pre-Summary'!$AZ$6:$BE$65,5,FALSE),"")</f>
        <v/>
      </c>
      <c r="AJ165" s="10" t="str">
        <f>IFERROR(VLOOKUP(B165,'Pre-Summary'!$AZ$6:$BE$65,4,FALSE),"")</f>
        <v/>
      </c>
      <c r="AK165" s="10" t="str">
        <f>IFERROR(VLOOKUP(B165,'Pre-Summary'!$AZ$6:$BE$65,6,FALSE),"")</f>
        <v/>
      </c>
      <c r="AL165" s="10" t="str">
        <f>IFERROR(VLOOKUP(B165,'Pre-Summary'!$BG$6:$BL$44,3,FALSE),"")</f>
        <v/>
      </c>
      <c r="AM165" s="10" t="str">
        <f>IFERROR(VLOOKUP(B165,'Pre-Summary'!$BG$6:$BL$44,4,FALSE),"")</f>
        <v/>
      </c>
    </row>
    <row r="166" spans="2:39" ht="14.4" x14ac:dyDescent="0.3">
      <c r="B166">
        <v>16.3</v>
      </c>
      <c r="C166" t="str">
        <f>IFERROR(VLOOKUP(B166,'Pre-Summary'!$DI$6:$DM$23,4,FALSE),"")</f>
        <v/>
      </c>
      <c r="D166" s="10" t="str">
        <f>IFERROR(VLOOKUP(B166,'Pre-Summary'!$AT$6:$AX$14,5,FALSE),D165)</f>
        <v>DSMZ v1.5: Using DSMZ 120 with NaHCO3</v>
      </c>
      <c r="E166" s="10" t="str">
        <f>IFERROR(VLOOKUP(B166,'Pre-Summary'!$AT$6:$AX$15,4,FALSE),"")</f>
        <v/>
      </c>
      <c r="F166">
        <f>IFERROR(VLOOKUP(B166,'Pre-Summary'!$AL$6:$AQ$13,6,FALSE),F165)</f>
        <v>5.9405263157894746E-2</v>
      </c>
      <c r="G166" t="str">
        <f>IFERROR(VLOOKUP(B166,'Pre-Summary'!$AE$6:$AJ$85,3,FALSE),"")</f>
        <v/>
      </c>
      <c r="H166" t="str">
        <f>IFERROR(VLOOKUP(B166,'Pre-Summary'!$AE$6:$AJ$85,4,FALSE),"")</f>
        <v/>
      </c>
      <c r="I166" t="str">
        <f>IFERROR(VLOOKUP(B166,'Pre-Summary'!$AE$6:$AJ$85,5,FALSE),"")</f>
        <v/>
      </c>
      <c r="J166" s="45" t="str">
        <f>IFERROR(VLOOKUP(B166,'Pre-Summary'!$AE$6:$AJ$85,6, FALSE),"")</f>
        <v/>
      </c>
      <c r="K166" s="45" t="str">
        <f>IFERROR(VLOOKUP(B166,'Pre-Summary'!$DE$6:$DG$61,3,FALSE),"")</f>
        <v/>
      </c>
      <c r="L166" s="45" t="str">
        <f>IFERROR(VLOOKUP(B166,'Pre-Summary'!$CU$6:$CW$36,3,FALSE),"")</f>
        <v/>
      </c>
      <c r="M166" s="45" t="str">
        <f>IFERROR(VLOOKUP(B166,'Pre-Summary'!$BW$6:$BY$58,2,FALSE),"")</f>
        <v/>
      </c>
      <c r="N166" s="45" t="str">
        <f>IFERROR(VLOOKUP(B166,'Pre-Summary'!$CD$6:$CF$64,2,FALSE),"")</f>
        <v/>
      </c>
      <c r="O166" s="99">
        <f>IFERROR(VLOOKUP(B166,'Pre-Summary'!$BO$6:$BQ$48,3, FALSE),O165)</f>
        <v>1.0915248032216731</v>
      </c>
      <c r="P166" s="99">
        <f>IFERROR(VLOOKUP(B166,'Pre-Summary'!$BS$6:$BU$35,3,FALSE),P165)</f>
        <v>0.25</v>
      </c>
      <c r="Q166" s="54">
        <f t="shared" si="6"/>
        <v>4.3660992128866924</v>
      </c>
      <c r="R166" s="53">
        <f>IFERROR(VLOOKUP(B166,'Pre-Summary'!$BG$6:$BM$44,7,FALSE),R167)</f>
        <v>2.7904161219319636E-2</v>
      </c>
      <c r="S166" s="53">
        <f>IFERROR(VLOOKUP(B166,'Pre-Summary'!$BG$6:$BM$44,6,FALSE),S167)</f>
        <v>3.3978715219895171E-2</v>
      </c>
      <c r="T166" s="45" t="str">
        <f>IFERROR(VLOOKUP(B166,'Pre-Summary'!$Y$6:$AC$83, 3,FALSE),"")</f>
        <v/>
      </c>
      <c r="U166" s="45" t="str">
        <f>IFERROR(VLOOKUP(B166,'Pre-Summary'!$Y$6:$AC$83, 4,FALSE),"")</f>
        <v/>
      </c>
      <c r="V166" t="str">
        <f>IFERROR(VLOOKUP(B166,'Pre-Summary'!$Y$6:$AC$83, 5,FALSE),"")</f>
        <v/>
      </c>
      <c r="W166" s="45" t="str">
        <f>IFERROR(VLOOKUP(B166,'Pre-Summary'!$Y$6:$AD$83,6,FALSE),"")</f>
        <v/>
      </c>
      <c r="X166" t="str">
        <f>IFERROR(VLOOKUP('Pre-Summary'!$DB$6:$DD$63,3,FALSE),"")</f>
        <v/>
      </c>
      <c r="Y166" t="str">
        <f>IFERROR(VLOOKUP(B166,'Pre-Summary'!$CR$6:$CT$36,3,FALSE),"")</f>
        <v/>
      </c>
      <c r="Z166" s="45" t="str">
        <f>IFERROR(VLOOKUP(B166,'Pre-Summary'!$BZ$6:$CB$63,2,FALSE),"")</f>
        <v/>
      </c>
      <c r="AA166" s="45" t="str">
        <f>IFERROR(VLOOKUP(B166,'Pre-Summary'!$CG$6:$CI$70,2,FALSE),"")</f>
        <v/>
      </c>
      <c r="AB166" s="99">
        <f>IFERROR(VLOOKUP(B166,'Pre-Summary'!$A$6:$P$178,9,FALSE),AB167)</f>
        <v>0.95192327811817912</v>
      </c>
      <c r="AC166" s="10">
        <f>IFERROR(VLOOKUP(Summary!B166,'Pre-Summary'!$A$6:$P$184,5, FALSE)/100,AC167)</f>
        <v>0.88412199999999985</v>
      </c>
      <c r="AD166" s="10">
        <f>IFERROR(VLOOKUP(Summary!B166,'Pre-Summary'!$A$6:$P$184,3, FALSE)/100,AD167)</f>
        <v>0</v>
      </c>
      <c r="AE166" s="10">
        <f>IFERROR(VLOOKUP(Summary!B166,'Pre-Summary'!$A$6:$P$184,7, FALSE)/100,AE167)</f>
        <v>0.11587800000000001</v>
      </c>
      <c r="AF166" s="99">
        <f t="shared" si="7"/>
        <v>0</v>
      </c>
      <c r="AG166" s="99">
        <f t="shared" si="8"/>
        <v>0.11030696562177837</v>
      </c>
      <c r="AH166" s="10" t="str">
        <f>IFERROR(VLOOKUP(B166,'Pre-Summary'!$AZ$6:$BE$65,3,FALSE),"")</f>
        <v/>
      </c>
      <c r="AI166" s="10" t="str">
        <f>IFERROR(VLOOKUP(B166,'Pre-Summary'!$AZ$6:$BE$65,5,FALSE),"")</f>
        <v/>
      </c>
      <c r="AJ166" s="10" t="str">
        <f>IFERROR(VLOOKUP(B166,'Pre-Summary'!$AZ$6:$BE$65,4,FALSE),"")</f>
        <v/>
      </c>
      <c r="AK166" s="10" t="str">
        <f>IFERROR(VLOOKUP(B166,'Pre-Summary'!$AZ$6:$BE$65,6,FALSE),"")</f>
        <v/>
      </c>
      <c r="AL166" s="10" t="str">
        <f>IFERROR(VLOOKUP(B166,'Pre-Summary'!$BG$6:$BL$44,3,FALSE),"")</f>
        <v/>
      </c>
      <c r="AM166" s="10" t="str">
        <f>IFERROR(VLOOKUP(B166,'Pre-Summary'!$BG$6:$BL$44,4,FALSE),"")</f>
        <v/>
      </c>
    </row>
    <row r="167" spans="2:39" ht="14.4" x14ac:dyDescent="0.3">
      <c r="B167">
        <v>16.399999999999999</v>
      </c>
      <c r="C167" t="str">
        <f>IFERROR(VLOOKUP(B167,'Pre-Summary'!$DI$6:$DM$23,4,FALSE),"")</f>
        <v/>
      </c>
      <c r="D167" s="10" t="str">
        <f>IFERROR(VLOOKUP(B167,'Pre-Summary'!$AT$6:$AX$14,5,FALSE),D166)</f>
        <v>DSMZ v1.5: Using DSMZ 120 with NaHCO3</v>
      </c>
      <c r="E167" s="10" t="str">
        <f>IFERROR(VLOOKUP(B167,'Pre-Summary'!$AT$6:$AX$15,4,FALSE),"")</f>
        <v/>
      </c>
      <c r="F167">
        <f>IFERROR(VLOOKUP(B167,'Pre-Summary'!$AL$6:$AQ$13,6,FALSE),F166)</f>
        <v>5.9405263157894746E-2</v>
      </c>
      <c r="G167" t="str">
        <f>IFERROR(VLOOKUP(B167,'Pre-Summary'!$AE$6:$AJ$85,3,FALSE),"")</f>
        <v/>
      </c>
      <c r="H167" t="str">
        <f>IFERROR(VLOOKUP(B167,'Pre-Summary'!$AE$6:$AJ$85,4,FALSE),"")</f>
        <v/>
      </c>
      <c r="I167" t="str">
        <f>IFERROR(VLOOKUP(B167,'Pre-Summary'!$AE$6:$AJ$85,5,FALSE),"")</f>
        <v/>
      </c>
      <c r="J167" s="45" t="str">
        <f>IFERROR(VLOOKUP(B167,'Pre-Summary'!$AE$6:$AJ$85,6, FALSE),"")</f>
        <v/>
      </c>
      <c r="K167" s="45" t="str">
        <f>IFERROR(VLOOKUP(B167,'Pre-Summary'!$DE$6:$DG$61,3,FALSE),"")</f>
        <v/>
      </c>
      <c r="L167" s="45" t="str">
        <f>IFERROR(VLOOKUP(B167,'Pre-Summary'!$CU$6:$CW$36,3,FALSE),"")</f>
        <v/>
      </c>
      <c r="M167" s="45" t="str">
        <f>IFERROR(VLOOKUP(B167,'Pre-Summary'!$BW$6:$BY$58,2,FALSE),"")</f>
        <v/>
      </c>
      <c r="N167" s="45" t="str">
        <f>IFERROR(VLOOKUP(B167,'Pre-Summary'!$CD$6:$CF$64,2,FALSE),"")</f>
        <v/>
      </c>
      <c r="O167" s="99">
        <f>IFERROR(VLOOKUP(B167,'Pre-Summary'!$BO$6:$BQ$48,3, FALSE),O166)</f>
        <v>1.0915248032216731</v>
      </c>
      <c r="P167" s="99">
        <f>IFERROR(VLOOKUP(B167,'Pre-Summary'!$BS$6:$BU$35,3,FALSE),P166)</f>
        <v>0.25</v>
      </c>
      <c r="Q167" s="54">
        <f t="shared" si="6"/>
        <v>4.3660992128866924</v>
      </c>
      <c r="R167" s="53">
        <f>IFERROR(VLOOKUP(B167,'Pre-Summary'!$BG$6:$BM$44,7,FALSE),R168)</f>
        <v>2.7904161219319636E-2</v>
      </c>
      <c r="S167" s="53">
        <f>IFERROR(VLOOKUP(B167,'Pre-Summary'!$BG$6:$BM$44,6,FALSE),S168)</f>
        <v>3.3978715219895171E-2</v>
      </c>
      <c r="T167" s="45" t="str">
        <f>IFERROR(VLOOKUP(B167,'Pre-Summary'!$Y$6:$AC$83, 3,FALSE),"")</f>
        <v/>
      </c>
      <c r="U167" s="45" t="str">
        <f>IFERROR(VLOOKUP(B167,'Pre-Summary'!$Y$6:$AC$83, 4,FALSE),"")</f>
        <v/>
      </c>
      <c r="V167" t="str">
        <f>IFERROR(VLOOKUP(B167,'Pre-Summary'!$Y$6:$AC$83, 5,FALSE),"")</f>
        <v/>
      </c>
      <c r="W167" s="45" t="str">
        <f>IFERROR(VLOOKUP(B167,'Pre-Summary'!$Y$6:$AD$83,6,FALSE),"")</f>
        <v/>
      </c>
      <c r="X167" t="str">
        <f>IFERROR(VLOOKUP('Pre-Summary'!$DB$6:$DD$63,3,FALSE),"")</f>
        <v/>
      </c>
      <c r="Y167" t="str">
        <f>IFERROR(VLOOKUP(B167,'Pre-Summary'!$CR$6:$CT$36,3,FALSE),"")</f>
        <v/>
      </c>
      <c r="Z167" s="45" t="str">
        <f>IFERROR(VLOOKUP(B167,'Pre-Summary'!$BZ$6:$CB$63,2,FALSE),"")</f>
        <v/>
      </c>
      <c r="AA167" s="45" t="str">
        <f>IFERROR(VLOOKUP(B167,'Pre-Summary'!$CG$6:$CI$70,2,FALSE),"")</f>
        <v/>
      </c>
      <c r="AB167" s="99">
        <f>IFERROR(VLOOKUP(B167,'Pre-Summary'!$A$6:$P$178,9,FALSE),AB168)</f>
        <v>0.95192327811817912</v>
      </c>
      <c r="AC167" s="10">
        <f>IFERROR(VLOOKUP(Summary!B167,'Pre-Summary'!$A$6:$P$184,5, FALSE)/100,AC168)</f>
        <v>0.88412199999999985</v>
      </c>
      <c r="AD167" s="10">
        <f>IFERROR(VLOOKUP(Summary!B167,'Pre-Summary'!$A$6:$P$184,3, FALSE)/100,AD168)</f>
        <v>0</v>
      </c>
      <c r="AE167" s="10">
        <f>IFERROR(VLOOKUP(Summary!B167,'Pre-Summary'!$A$6:$P$184,7, FALSE)/100,AE168)</f>
        <v>0.11587800000000001</v>
      </c>
      <c r="AF167" s="99">
        <f t="shared" si="7"/>
        <v>0</v>
      </c>
      <c r="AG167" s="99">
        <f t="shared" si="8"/>
        <v>0.11030696562177837</v>
      </c>
      <c r="AH167" s="10" t="str">
        <f>IFERROR(VLOOKUP(B167,'Pre-Summary'!$AZ$6:$BE$65,3,FALSE),"")</f>
        <v/>
      </c>
      <c r="AI167" s="10" t="str">
        <f>IFERROR(VLOOKUP(B167,'Pre-Summary'!$AZ$6:$BE$65,5,FALSE),"")</f>
        <v/>
      </c>
      <c r="AJ167" s="10" t="str">
        <f>IFERROR(VLOOKUP(B167,'Pre-Summary'!$AZ$6:$BE$65,4,FALSE),"")</f>
        <v/>
      </c>
      <c r="AK167" s="10" t="str">
        <f>IFERROR(VLOOKUP(B167,'Pre-Summary'!$AZ$6:$BE$65,6,FALSE),"")</f>
        <v/>
      </c>
      <c r="AL167" s="10" t="str">
        <f>IFERROR(VLOOKUP(B167,'Pre-Summary'!$BG$6:$BL$44,3,FALSE),"")</f>
        <v/>
      </c>
      <c r="AM167" s="10" t="str">
        <f>IFERROR(VLOOKUP(B167,'Pre-Summary'!$BG$6:$BL$44,4,FALSE),"")</f>
        <v/>
      </c>
    </row>
    <row r="168" spans="2:39" ht="14.4" x14ac:dyDescent="0.3">
      <c r="B168">
        <v>16.5</v>
      </c>
      <c r="C168" t="str">
        <f>IFERROR(VLOOKUP(B168,'Pre-Summary'!$DI$6:$DM$23,4,FALSE),"")</f>
        <v/>
      </c>
      <c r="D168" s="10" t="str">
        <f>IFERROR(VLOOKUP(B168,'Pre-Summary'!$AT$6:$AX$14,5,FALSE),D167)</f>
        <v>DSMZ v1.5: Using DSMZ 120 with NaHCO3</v>
      </c>
      <c r="E168" s="10" t="str">
        <f>IFERROR(VLOOKUP(B168,'Pre-Summary'!$AT$6:$AX$15,4,FALSE),"")</f>
        <v/>
      </c>
      <c r="F168">
        <f>IFERROR(VLOOKUP(B168,'Pre-Summary'!$AL$6:$AQ$13,6,FALSE),F167)</f>
        <v>5.9405263157894746E-2</v>
      </c>
      <c r="G168" t="str">
        <f>IFERROR(VLOOKUP(B168,'Pre-Summary'!$AE$6:$AJ$85,3,FALSE),"")</f>
        <v/>
      </c>
      <c r="H168" t="str">
        <f>IFERROR(VLOOKUP(B168,'Pre-Summary'!$AE$6:$AJ$85,4,FALSE),"")</f>
        <v/>
      </c>
      <c r="I168" t="str">
        <f>IFERROR(VLOOKUP(B168,'Pre-Summary'!$AE$6:$AJ$85,5,FALSE),"")</f>
        <v/>
      </c>
      <c r="J168" s="45" t="str">
        <f>IFERROR(VLOOKUP(B168,'Pre-Summary'!$AE$6:$AJ$85,6, FALSE),"")</f>
        <v/>
      </c>
      <c r="K168" s="45" t="str">
        <f>IFERROR(VLOOKUP(B168,'Pre-Summary'!$DE$6:$DG$61,3,FALSE),"")</f>
        <v/>
      </c>
      <c r="L168" s="45" t="str">
        <f>IFERROR(VLOOKUP(B168,'Pre-Summary'!$CU$6:$CW$36,3,FALSE),"")</f>
        <v/>
      </c>
      <c r="M168" s="45" t="str">
        <f>IFERROR(VLOOKUP(B168,'Pre-Summary'!$BW$6:$BY$58,2,FALSE),"")</f>
        <v/>
      </c>
      <c r="N168" s="45" t="str">
        <f>IFERROR(VLOOKUP(B168,'Pre-Summary'!$CD$6:$CF$64,2,FALSE),"")</f>
        <v/>
      </c>
      <c r="O168" s="99">
        <f>IFERROR(VLOOKUP(B168,'Pre-Summary'!$BO$6:$BQ$48,3, FALSE),O167)</f>
        <v>1.0915248032216731</v>
      </c>
      <c r="P168" s="99">
        <f>IFERROR(VLOOKUP(B168,'Pre-Summary'!$BS$6:$BU$35,3,FALSE),P167)</f>
        <v>0.25</v>
      </c>
      <c r="Q168" s="54">
        <f t="shared" si="6"/>
        <v>4.3660992128866924</v>
      </c>
      <c r="R168" s="53">
        <f>IFERROR(VLOOKUP(B168,'Pre-Summary'!$BG$6:$BM$44,7,FALSE),R169)</f>
        <v>2.7904161219319636E-2</v>
      </c>
      <c r="S168" s="53">
        <f>IFERROR(VLOOKUP(B168,'Pre-Summary'!$BG$6:$BM$44,6,FALSE),S169)</f>
        <v>3.3978715219895171E-2</v>
      </c>
      <c r="T168" s="45" t="str">
        <f>IFERROR(VLOOKUP(B168,'Pre-Summary'!$Y$6:$AC$83, 3,FALSE),"")</f>
        <v/>
      </c>
      <c r="U168" s="45" t="str">
        <f>IFERROR(VLOOKUP(B168,'Pre-Summary'!$Y$6:$AC$83, 4,FALSE),"")</f>
        <v/>
      </c>
      <c r="V168" t="str">
        <f>IFERROR(VLOOKUP(B168,'Pre-Summary'!$Y$6:$AC$83, 5,FALSE),"")</f>
        <v/>
      </c>
      <c r="W168" s="45" t="str">
        <f>IFERROR(VLOOKUP(B168,'Pre-Summary'!$Y$6:$AD$83,6,FALSE),"")</f>
        <v/>
      </c>
      <c r="X168" t="str">
        <f>IFERROR(VLOOKUP('Pre-Summary'!$DB$6:$DD$63,3,FALSE),"")</f>
        <v/>
      </c>
      <c r="Y168" t="str">
        <f>IFERROR(VLOOKUP(B168,'Pre-Summary'!$CR$6:$CT$36,3,FALSE),"")</f>
        <v/>
      </c>
      <c r="Z168" s="45" t="str">
        <f>IFERROR(VLOOKUP(B168,'Pre-Summary'!$BZ$6:$CB$63,2,FALSE),"")</f>
        <v/>
      </c>
      <c r="AA168" s="45" t="str">
        <f>IFERROR(VLOOKUP(B168,'Pre-Summary'!$CG$6:$CI$70,2,FALSE),"")</f>
        <v/>
      </c>
      <c r="AB168" s="99">
        <f>IFERROR(VLOOKUP(B168,'Pre-Summary'!$A$6:$P$178,9,FALSE),AB169)</f>
        <v>0.95192327811817912</v>
      </c>
      <c r="AC168" s="10">
        <f>IFERROR(VLOOKUP(Summary!B168,'Pre-Summary'!$A$6:$P$184,5, FALSE)/100,AC169)</f>
        <v>0.88412199999999985</v>
      </c>
      <c r="AD168" s="10">
        <f>IFERROR(VLOOKUP(Summary!B168,'Pre-Summary'!$A$6:$P$184,3, FALSE)/100,AD169)</f>
        <v>0</v>
      </c>
      <c r="AE168" s="10">
        <f>IFERROR(VLOOKUP(Summary!B168,'Pre-Summary'!$A$6:$P$184,7, FALSE)/100,AE169)</f>
        <v>0.11587800000000001</v>
      </c>
      <c r="AF168" s="99">
        <f t="shared" si="7"/>
        <v>0</v>
      </c>
      <c r="AG168" s="99">
        <f t="shared" si="8"/>
        <v>0.11030696562177837</v>
      </c>
      <c r="AH168" s="10" t="str">
        <f>IFERROR(VLOOKUP(B168,'Pre-Summary'!$AZ$6:$BE$65,3,FALSE),"")</f>
        <v/>
      </c>
      <c r="AI168" s="10" t="str">
        <f>IFERROR(VLOOKUP(B168,'Pre-Summary'!$AZ$6:$BE$65,5,FALSE),"")</f>
        <v/>
      </c>
      <c r="AJ168" s="10" t="str">
        <f>IFERROR(VLOOKUP(B168,'Pre-Summary'!$AZ$6:$BE$65,4,FALSE),"")</f>
        <v/>
      </c>
      <c r="AK168" s="10" t="str">
        <f>IFERROR(VLOOKUP(B168,'Pre-Summary'!$AZ$6:$BE$65,6,FALSE),"")</f>
        <v/>
      </c>
      <c r="AL168" s="10" t="str">
        <f>IFERROR(VLOOKUP(B168,'Pre-Summary'!$BG$6:$BL$44,3,FALSE),"")</f>
        <v/>
      </c>
      <c r="AM168" s="10" t="str">
        <f>IFERROR(VLOOKUP(B168,'Pre-Summary'!$BG$6:$BL$44,4,FALSE),"")</f>
        <v/>
      </c>
    </row>
    <row r="169" spans="2:39" ht="14.4" x14ac:dyDescent="0.3">
      <c r="B169">
        <v>16.600000000000001</v>
      </c>
      <c r="C169" t="str">
        <f>IFERROR(VLOOKUP(B169,'Pre-Summary'!$DI$6:$DM$23,4,FALSE),"")</f>
        <v/>
      </c>
      <c r="D169" s="10" t="str">
        <f>IFERROR(VLOOKUP(B169,'Pre-Summary'!$AT$6:$AX$14,5,FALSE),D168)</f>
        <v>DSMZ v1.5: Using DSMZ 120 with NaHCO3</v>
      </c>
      <c r="E169" s="10" t="str">
        <f>IFERROR(VLOOKUP(B169,'Pre-Summary'!$AT$6:$AX$15,4,FALSE),"")</f>
        <v/>
      </c>
      <c r="F169">
        <f>IFERROR(VLOOKUP(B169,'Pre-Summary'!$AL$6:$AQ$13,6,FALSE),F168)</f>
        <v>5.9405263157894746E-2</v>
      </c>
      <c r="G169" t="str">
        <f>IFERROR(VLOOKUP(B169,'Pre-Summary'!$AE$6:$AJ$85,3,FALSE),"")</f>
        <v/>
      </c>
      <c r="H169" t="str">
        <f>IFERROR(VLOOKUP(B169,'Pre-Summary'!$AE$6:$AJ$85,4,FALSE),"")</f>
        <v/>
      </c>
      <c r="I169" t="str">
        <f>IFERROR(VLOOKUP(B169,'Pre-Summary'!$AE$6:$AJ$85,5,FALSE),"")</f>
        <v/>
      </c>
      <c r="J169" s="45" t="str">
        <f>IFERROR(VLOOKUP(B169,'Pre-Summary'!$AE$6:$AJ$85,6, FALSE),"")</f>
        <v/>
      </c>
      <c r="K169" s="45" t="str">
        <f>IFERROR(VLOOKUP(B169,'Pre-Summary'!$DE$6:$DG$61,3,FALSE),"")</f>
        <v/>
      </c>
      <c r="L169" s="45" t="str">
        <f>IFERROR(VLOOKUP(B169,'Pre-Summary'!$CU$6:$CW$36,3,FALSE),"")</f>
        <v/>
      </c>
      <c r="M169" s="45" t="str">
        <f>IFERROR(VLOOKUP(B169,'Pre-Summary'!$BW$6:$BY$58,2,FALSE),"")</f>
        <v/>
      </c>
      <c r="N169" s="45" t="str">
        <f>IFERROR(VLOOKUP(B169,'Pre-Summary'!$CD$6:$CF$64,2,FALSE),"")</f>
        <v/>
      </c>
      <c r="O169" s="99">
        <f>IFERROR(VLOOKUP(B169,'Pre-Summary'!$BO$6:$BQ$48,3, FALSE),O168)</f>
        <v>1.0915248032216731</v>
      </c>
      <c r="P169" s="99">
        <f>IFERROR(VLOOKUP(B169,'Pre-Summary'!$BS$6:$BU$35,3,FALSE),P168)</f>
        <v>0.25</v>
      </c>
      <c r="Q169" s="54">
        <f t="shared" si="6"/>
        <v>4.3660992128866924</v>
      </c>
      <c r="R169" s="53">
        <f>IFERROR(VLOOKUP(B169,'Pre-Summary'!$BG$6:$BM$44,7,FALSE),R170)</f>
        <v>2.7904161219319636E-2</v>
      </c>
      <c r="S169" s="53">
        <f>IFERROR(VLOOKUP(B169,'Pre-Summary'!$BG$6:$BM$44,6,FALSE),S170)</f>
        <v>3.3978715219895171E-2</v>
      </c>
      <c r="T169" s="45" t="str">
        <f>IFERROR(VLOOKUP(B169,'Pre-Summary'!$Y$6:$AC$83, 3,FALSE),"")</f>
        <v/>
      </c>
      <c r="U169" s="45" t="str">
        <f>IFERROR(VLOOKUP(B169,'Pre-Summary'!$Y$6:$AC$83, 4,FALSE),"")</f>
        <v/>
      </c>
      <c r="V169" t="str">
        <f>IFERROR(VLOOKUP(B169,'Pre-Summary'!$Y$6:$AC$83, 5,FALSE),"")</f>
        <v/>
      </c>
      <c r="W169" s="45" t="str">
        <f>IFERROR(VLOOKUP(B169,'Pre-Summary'!$Y$6:$AD$83,6,FALSE),"")</f>
        <v/>
      </c>
      <c r="X169" t="str">
        <f>IFERROR(VLOOKUP('Pre-Summary'!$DB$6:$DD$63,3,FALSE),"")</f>
        <v/>
      </c>
      <c r="Y169" t="str">
        <f>IFERROR(VLOOKUP(B169,'Pre-Summary'!$CR$6:$CT$36,3,FALSE),"")</f>
        <v/>
      </c>
      <c r="Z169" s="45" t="str">
        <f>IFERROR(VLOOKUP(B169,'Pre-Summary'!$BZ$6:$CB$63,2,FALSE),"")</f>
        <v/>
      </c>
      <c r="AA169" s="45" t="str">
        <f>IFERROR(VLOOKUP(B169,'Pre-Summary'!$CG$6:$CI$70,2,FALSE),"")</f>
        <v/>
      </c>
      <c r="AB169" s="99">
        <f>IFERROR(VLOOKUP(B169,'Pre-Summary'!$A$6:$P$178,9,FALSE),AB170)</f>
        <v>0.95192327811817912</v>
      </c>
      <c r="AC169" s="10">
        <f>IFERROR(VLOOKUP(Summary!B169,'Pre-Summary'!$A$6:$P$184,5, FALSE)/100,AC170)</f>
        <v>0.88412199999999985</v>
      </c>
      <c r="AD169" s="10">
        <f>IFERROR(VLOOKUP(Summary!B169,'Pre-Summary'!$A$6:$P$184,3, FALSE)/100,AD170)</f>
        <v>0</v>
      </c>
      <c r="AE169" s="10">
        <f>IFERROR(VLOOKUP(Summary!B169,'Pre-Summary'!$A$6:$P$184,7, FALSE)/100,AE170)</f>
        <v>0.11587800000000001</v>
      </c>
      <c r="AF169" s="99">
        <f t="shared" si="7"/>
        <v>0</v>
      </c>
      <c r="AG169" s="99">
        <f t="shared" si="8"/>
        <v>0.11030696562177837</v>
      </c>
      <c r="AH169" s="10" t="str">
        <f>IFERROR(VLOOKUP(B169,'Pre-Summary'!$AZ$6:$BE$65,3,FALSE),"")</f>
        <v/>
      </c>
      <c r="AI169" s="10" t="str">
        <f>IFERROR(VLOOKUP(B169,'Pre-Summary'!$AZ$6:$BE$65,5,FALSE),"")</f>
        <v/>
      </c>
      <c r="AJ169" s="10" t="str">
        <f>IFERROR(VLOOKUP(B169,'Pre-Summary'!$AZ$6:$BE$65,4,FALSE),"")</f>
        <v/>
      </c>
      <c r="AK169" s="10" t="str">
        <f>IFERROR(VLOOKUP(B169,'Pre-Summary'!$AZ$6:$BE$65,6,FALSE),"")</f>
        <v/>
      </c>
      <c r="AL169" s="10" t="str">
        <f>IFERROR(VLOOKUP(B169,'Pre-Summary'!$BG$6:$BL$44,3,FALSE),"")</f>
        <v/>
      </c>
      <c r="AM169" s="10" t="str">
        <f>IFERROR(VLOOKUP(B169,'Pre-Summary'!$BG$6:$BL$44,4,FALSE),"")</f>
        <v/>
      </c>
    </row>
    <row r="170" spans="2:39" ht="14.4" x14ac:dyDescent="0.3">
      <c r="B170">
        <v>16.7</v>
      </c>
      <c r="C170" t="str">
        <f>IFERROR(VLOOKUP(B170,'Pre-Summary'!$DI$6:$DM$23,4,FALSE),"")</f>
        <v/>
      </c>
      <c r="D170" s="10" t="str">
        <f>IFERROR(VLOOKUP(B170,'Pre-Summary'!$AT$6:$AX$14,5,FALSE),D169)</f>
        <v>DSMZ v1.5: Using DSMZ 120 with NaHCO3</v>
      </c>
      <c r="E170" s="10" t="str">
        <f>IFERROR(VLOOKUP(B170,'Pre-Summary'!$AT$6:$AX$15,4,FALSE),"")</f>
        <v/>
      </c>
      <c r="F170">
        <f>IFERROR(VLOOKUP(B170,'Pre-Summary'!$AL$6:$AQ$13,6,FALSE),F169)</f>
        <v>5.9405263157894746E-2</v>
      </c>
      <c r="G170" t="str">
        <f>IFERROR(VLOOKUP(B170,'Pre-Summary'!$AE$6:$AJ$85,3,FALSE),"")</f>
        <v/>
      </c>
      <c r="H170" t="str">
        <f>IFERROR(VLOOKUP(B170,'Pre-Summary'!$AE$6:$AJ$85,4,FALSE),"")</f>
        <v/>
      </c>
      <c r="I170" t="str">
        <f>IFERROR(VLOOKUP(B170,'Pre-Summary'!$AE$6:$AJ$85,5,FALSE),"")</f>
        <v/>
      </c>
      <c r="J170" s="45" t="str">
        <f>IFERROR(VLOOKUP(B170,'Pre-Summary'!$AE$6:$AJ$85,6, FALSE),"")</f>
        <v/>
      </c>
      <c r="K170" s="45" t="str">
        <f>IFERROR(VLOOKUP(B170,'Pre-Summary'!$DE$6:$DG$61,3,FALSE),"")</f>
        <v/>
      </c>
      <c r="L170" s="45" t="str">
        <f>IFERROR(VLOOKUP(B170,'Pre-Summary'!$CU$6:$CW$36,3,FALSE),"")</f>
        <v/>
      </c>
      <c r="M170" s="45" t="str">
        <f>IFERROR(VLOOKUP(B170,'Pre-Summary'!$BW$6:$BY$58,2,FALSE),"")</f>
        <v/>
      </c>
      <c r="N170" s="45" t="str">
        <f>IFERROR(VLOOKUP(B170,'Pre-Summary'!$CD$6:$CF$64,2,FALSE),"")</f>
        <v/>
      </c>
      <c r="O170" s="99">
        <f>IFERROR(VLOOKUP(B170,'Pre-Summary'!$BO$6:$BQ$48,3, FALSE),O169)</f>
        <v>1.0915248032216731</v>
      </c>
      <c r="P170" s="99">
        <f>IFERROR(VLOOKUP(B170,'Pre-Summary'!$BS$6:$BU$35,3,FALSE),P169)</f>
        <v>0.25</v>
      </c>
      <c r="Q170" s="54">
        <f t="shared" si="6"/>
        <v>4.3660992128866924</v>
      </c>
      <c r="R170" s="53">
        <f>IFERROR(VLOOKUP(B170,'Pre-Summary'!$BG$6:$BM$44,7,FALSE),R171)</f>
        <v>2.7904161219319636E-2</v>
      </c>
      <c r="S170" s="53">
        <f>IFERROR(VLOOKUP(B170,'Pre-Summary'!$BG$6:$BM$44,6,FALSE),S171)</f>
        <v>3.3978715219895171E-2</v>
      </c>
      <c r="T170" s="45" t="str">
        <f>IFERROR(VLOOKUP(B170,'Pre-Summary'!$Y$6:$AC$83, 3,FALSE),"")</f>
        <v/>
      </c>
      <c r="U170" s="45" t="str">
        <f>IFERROR(VLOOKUP(B170,'Pre-Summary'!$Y$6:$AC$83, 4,FALSE),"")</f>
        <v/>
      </c>
      <c r="V170" t="str">
        <f>IFERROR(VLOOKUP(B170,'Pre-Summary'!$Y$6:$AC$83, 5,FALSE),"")</f>
        <v/>
      </c>
      <c r="W170" s="45" t="str">
        <f>IFERROR(VLOOKUP(B170,'Pre-Summary'!$Y$6:$AD$83,6,FALSE),"")</f>
        <v/>
      </c>
      <c r="X170" t="str">
        <f>IFERROR(VLOOKUP('Pre-Summary'!$DB$6:$DD$63,3,FALSE),"")</f>
        <v/>
      </c>
      <c r="Y170" t="str">
        <f>IFERROR(VLOOKUP(B170,'Pre-Summary'!$CR$6:$CT$36,3,FALSE),"")</f>
        <v/>
      </c>
      <c r="Z170" s="45" t="str">
        <f>IFERROR(VLOOKUP(B170,'Pre-Summary'!$BZ$6:$CB$63,2,FALSE),"")</f>
        <v/>
      </c>
      <c r="AA170" s="45" t="str">
        <f>IFERROR(VLOOKUP(B170,'Pre-Summary'!$CG$6:$CI$70,2,FALSE),"")</f>
        <v/>
      </c>
      <c r="AB170" s="99">
        <f>IFERROR(VLOOKUP(B170,'Pre-Summary'!$A$6:$P$178,9,FALSE),AB171)</f>
        <v>0.95192327811817912</v>
      </c>
      <c r="AC170" s="10">
        <f>IFERROR(VLOOKUP(Summary!B170,'Pre-Summary'!$A$6:$P$184,5, FALSE)/100,AC171)</f>
        <v>0.88412199999999985</v>
      </c>
      <c r="AD170" s="10">
        <f>IFERROR(VLOOKUP(Summary!B170,'Pre-Summary'!$A$6:$P$184,3, FALSE)/100,AD171)</f>
        <v>0</v>
      </c>
      <c r="AE170" s="10">
        <f>IFERROR(VLOOKUP(Summary!B170,'Pre-Summary'!$A$6:$P$184,7, FALSE)/100,AE171)</f>
        <v>0.11587800000000001</v>
      </c>
      <c r="AF170" s="99">
        <f t="shared" si="7"/>
        <v>0</v>
      </c>
      <c r="AG170" s="99">
        <f t="shared" si="8"/>
        <v>0.11030696562177837</v>
      </c>
      <c r="AH170" s="10" t="str">
        <f>IFERROR(VLOOKUP(B170,'Pre-Summary'!$AZ$6:$BE$65,3,FALSE),"")</f>
        <v/>
      </c>
      <c r="AI170" s="10" t="str">
        <f>IFERROR(VLOOKUP(B170,'Pre-Summary'!$AZ$6:$BE$65,5,FALSE),"")</f>
        <v/>
      </c>
      <c r="AJ170" s="10" t="str">
        <f>IFERROR(VLOOKUP(B170,'Pre-Summary'!$AZ$6:$BE$65,4,FALSE),"")</f>
        <v/>
      </c>
      <c r="AK170" s="10" t="str">
        <f>IFERROR(VLOOKUP(B170,'Pre-Summary'!$AZ$6:$BE$65,6,FALSE),"")</f>
        <v/>
      </c>
      <c r="AL170" s="10" t="str">
        <f>IFERROR(VLOOKUP(B170,'Pre-Summary'!$BG$6:$BL$44,3,FALSE),"")</f>
        <v/>
      </c>
      <c r="AM170" s="10" t="str">
        <f>IFERROR(VLOOKUP(B170,'Pre-Summary'!$BG$6:$BL$44,4,FALSE),"")</f>
        <v/>
      </c>
    </row>
    <row r="171" spans="2:39" ht="14.4" x14ac:dyDescent="0.3">
      <c r="B171">
        <v>16.8</v>
      </c>
      <c r="C171" t="str">
        <f>IFERROR(VLOOKUP(B171,'Pre-Summary'!$DI$6:$DM$23,4,FALSE),"")</f>
        <v/>
      </c>
      <c r="D171" s="10" t="str">
        <f>IFERROR(VLOOKUP(B171,'Pre-Summary'!$AT$6:$AX$14,5,FALSE),D170)</f>
        <v>DSMZ v1.5: Using DSMZ 120 with NaHCO3</v>
      </c>
      <c r="E171" s="10" t="str">
        <f>IFERROR(VLOOKUP(B171,'Pre-Summary'!$AT$6:$AX$15,4,FALSE),"")</f>
        <v/>
      </c>
      <c r="F171">
        <f>IFERROR(VLOOKUP(B171,'Pre-Summary'!$AL$6:$AQ$13,6,FALSE),F170)</f>
        <v>5.9405263157894746E-2</v>
      </c>
      <c r="G171" t="str">
        <f>IFERROR(VLOOKUP(B171,'Pre-Summary'!$AE$6:$AJ$85,3,FALSE),"")</f>
        <v/>
      </c>
      <c r="H171" t="str">
        <f>IFERROR(VLOOKUP(B171,'Pre-Summary'!$AE$6:$AJ$85,4,FALSE),"")</f>
        <v/>
      </c>
      <c r="I171" t="str">
        <f>IFERROR(VLOOKUP(B171,'Pre-Summary'!$AE$6:$AJ$85,5,FALSE),"")</f>
        <v/>
      </c>
      <c r="J171" s="45" t="str">
        <f>IFERROR(VLOOKUP(B171,'Pre-Summary'!$AE$6:$AJ$85,6, FALSE),"")</f>
        <v/>
      </c>
      <c r="K171" s="45" t="str">
        <f>IFERROR(VLOOKUP(B171,'Pre-Summary'!$DE$6:$DG$61,3,FALSE),"")</f>
        <v/>
      </c>
      <c r="L171" s="45" t="str">
        <f>IFERROR(VLOOKUP(B171,'Pre-Summary'!$CU$6:$CW$36,3,FALSE),"")</f>
        <v/>
      </c>
      <c r="M171" s="45" t="str">
        <f>IFERROR(VLOOKUP(B171,'Pre-Summary'!$BW$6:$BY$58,2,FALSE),"")</f>
        <v/>
      </c>
      <c r="N171" s="45" t="str">
        <f>IFERROR(VLOOKUP(B171,'Pre-Summary'!$CD$6:$CF$64,2,FALSE),"")</f>
        <v/>
      </c>
      <c r="O171" s="99">
        <f>IFERROR(VLOOKUP(B171,'Pre-Summary'!$BO$6:$BQ$48,3, FALSE),O170)</f>
        <v>1.0915248032216731</v>
      </c>
      <c r="P171" s="99">
        <f>IFERROR(VLOOKUP(B171,'Pre-Summary'!$BS$6:$BU$35,3,FALSE),P170)</f>
        <v>0.25</v>
      </c>
      <c r="Q171" s="54">
        <f t="shared" si="6"/>
        <v>4.3660992128866924</v>
      </c>
      <c r="R171" s="53">
        <f>IFERROR(VLOOKUP(B171,'Pre-Summary'!$BG$6:$BM$44,7,FALSE),R172)</f>
        <v>2.7904161219319636E-2</v>
      </c>
      <c r="S171" s="53">
        <f>IFERROR(VLOOKUP(B171,'Pre-Summary'!$BG$6:$BM$44,6,FALSE),S172)</f>
        <v>3.3978715219895171E-2</v>
      </c>
      <c r="T171" s="45" t="str">
        <f>IFERROR(VLOOKUP(B171,'Pre-Summary'!$Y$6:$AC$83, 3,FALSE),"")</f>
        <v/>
      </c>
      <c r="U171" s="45" t="str">
        <f>IFERROR(VLOOKUP(B171,'Pre-Summary'!$Y$6:$AC$83, 4,FALSE),"")</f>
        <v/>
      </c>
      <c r="V171" t="str">
        <f>IFERROR(VLOOKUP(B171,'Pre-Summary'!$Y$6:$AC$83, 5,FALSE),"")</f>
        <v/>
      </c>
      <c r="W171" s="45" t="str">
        <f>IFERROR(VLOOKUP(B171,'Pre-Summary'!$Y$6:$AD$83,6,FALSE),"")</f>
        <v/>
      </c>
      <c r="X171" t="str">
        <f>IFERROR(VLOOKUP('Pre-Summary'!$DB$6:$DD$63,3,FALSE),"")</f>
        <v/>
      </c>
      <c r="Y171" t="str">
        <f>IFERROR(VLOOKUP(B171,'Pre-Summary'!$CR$6:$CT$36,3,FALSE),"")</f>
        <v/>
      </c>
      <c r="Z171" s="45" t="str">
        <f>IFERROR(VLOOKUP(B171,'Pre-Summary'!$BZ$6:$CB$63,2,FALSE),"")</f>
        <v/>
      </c>
      <c r="AA171" s="45" t="str">
        <f>IFERROR(VLOOKUP(B171,'Pre-Summary'!$CG$6:$CI$70,2,FALSE),"")</f>
        <v/>
      </c>
      <c r="AB171" s="99">
        <f>IFERROR(VLOOKUP(B171,'Pre-Summary'!$A$6:$P$178,9,FALSE),AB172)</f>
        <v>0.95192327811817912</v>
      </c>
      <c r="AC171" s="10">
        <f>IFERROR(VLOOKUP(Summary!B171,'Pre-Summary'!$A$6:$P$184,5, FALSE)/100,AC172)</f>
        <v>0.88412199999999985</v>
      </c>
      <c r="AD171" s="10">
        <f>IFERROR(VLOOKUP(Summary!B171,'Pre-Summary'!$A$6:$P$184,3, FALSE)/100,AD172)</f>
        <v>0</v>
      </c>
      <c r="AE171" s="10">
        <f>IFERROR(VLOOKUP(Summary!B171,'Pre-Summary'!$A$6:$P$184,7, FALSE)/100,AE172)</f>
        <v>0.11587800000000001</v>
      </c>
      <c r="AF171" s="99">
        <f t="shared" si="7"/>
        <v>0</v>
      </c>
      <c r="AG171" s="99">
        <f t="shared" si="8"/>
        <v>0.11030696562177837</v>
      </c>
      <c r="AH171" s="10" t="str">
        <f>IFERROR(VLOOKUP(B171,'Pre-Summary'!$AZ$6:$BE$65,3,FALSE),"")</f>
        <v/>
      </c>
      <c r="AI171" s="10" t="str">
        <f>IFERROR(VLOOKUP(B171,'Pre-Summary'!$AZ$6:$BE$65,5,FALSE),"")</f>
        <v/>
      </c>
      <c r="AJ171" s="10" t="str">
        <f>IFERROR(VLOOKUP(B171,'Pre-Summary'!$AZ$6:$BE$65,4,FALSE),"")</f>
        <v/>
      </c>
      <c r="AK171" s="10" t="str">
        <f>IFERROR(VLOOKUP(B171,'Pre-Summary'!$AZ$6:$BE$65,6,FALSE),"")</f>
        <v/>
      </c>
      <c r="AL171" s="10" t="str">
        <f>IFERROR(VLOOKUP(B171,'Pre-Summary'!$BG$6:$BL$44,3,FALSE),"")</f>
        <v/>
      </c>
      <c r="AM171" s="10" t="str">
        <f>IFERROR(VLOOKUP(B171,'Pre-Summary'!$BG$6:$BL$44,4,FALSE),"")</f>
        <v/>
      </c>
    </row>
    <row r="172" spans="2:39" ht="14.4" x14ac:dyDescent="0.3">
      <c r="B172">
        <v>16.899999999999999</v>
      </c>
      <c r="C172" t="str">
        <f>IFERROR(VLOOKUP(B172,'Pre-Summary'!$DI$6:$DM$23,4,FALSE),"")</f>
        <v/>
      </c>
      <c r="D172" s="10" t="str">
        <f>IFERROR(VLOOKUP(B172,'Pre-Summary'!$AT$6:$AX$14,5,FALSE),D171)</f>
        <v>DSMZ v1.5: Using DSMZ 120 with NaHCO3</v>
      </c>
      <c r="E172" s="10" t="str">
        <f>IFERROR(VLOOKUP(B172,'Pre-Summary'!$AT$6:$AX$15,4,FALSE),"")</f>
        <v/>
      </c>
      <c r="F172">
        <f>IFERROR(VLOOKUP(B172,'Pre-Summary'!$AL$6:$AQ$13,6,FALSE),F171)</f>
        <v>5.9405263157894746E-2</v>
      </c>
      <c r="G172" t="str">
        <f>IFERROR(VLOOKUP(B172,'Pre-Summary'!$AE$6:$AJ$85,3,FALSE),"")</f>
        <v/>
      </c>
      <c r="H172" t="str">
        <f>IFERROR(VLOOKUP(B172,'Pre-Summary'!$AE$6:$AJ$85,4,FALSE),"")</f>
        <v/>
      </c>
      <c r="I172" t="str">
        <f>IFERROR(VLOOKUP(B172,'Pre-Summary'!$AE$6:$AJ$85,5,FALSE),"")</f>
        <v/>
      </c>
      <c r="J172" s="45" t="str">
        <f>IFERROR(VLOOKUP(B172,'Pre-Summary'!$AE$6:$AJ$85,6, FALSE),"")</f>
        <v/>
      </c>
      <c r="K172" s="45" t="str">
        <f>IFERROR(VLOOKUP(B172,'Pre-Summary'!$DE$6:$DG$61,3,FALSE),"")</f>
        <v/>
      </c>
      <c r="L172" s="45" t="str">
        <f>IFERROR(VLOOKUP(B172,'Pre-Summary'!$CU$6:$CW$36,3,FALSE),"")</f>
        <v/>
      </c>
      <c r="M172" s="45" t="str">
        <f>IFERROR(VLOOKUP(B172,'Pre-Summary'!$BW$6:$BY$58,2,FALSE),"")</f>
        <v/>
      </c>
      <c r="N172" s="45" t="str">
        <f>IFERROR(VLOOKUP(B172,'Pre-Summary'!$CD$6:$CF$64,2,FALSE),"")</f>
        <v/>
      </c>
      <c r="O172" s="99">
        <f>IFERROR(VLOOKUP(B172,'Pre-Summary'!$BO$6:$BQ$48,3, FALSE),O171)</f>
        <v>1.0915248032216731</v>
      </c>
      <c r="P172" s="99">
        <f>IFERROR(VLOOKUP(B172,'Pre-Summary'!$BS$6:$BU$35,3,FALSE),P171)</f>
        <v>0.25</v>
      </c>
      <c r="Q172" s="54">
        <f t="shared" si="6"/>
        <v>4.3660992128866924</v>
      </c>
      <c r="R172" s="53">
        <f>IFERROR(VLOOKUP(B172,'Pre-Summary'!$BG$6:$BM$44,7,FALSE),R173)</f>
        <v>2.7904161219319636E-2</v>
      </c>
      <c r="S172" s="53">
        <f>IFERROR(VLOOKUP(B172,'Pre-Summary'!$BG$6:$BM$44,6,FALSE),S173)</f>
        <v>3.3978715219895171E-2</v>
      </c>
      <c r="T172" s="45" t="str">
        <f>IFERROR(VLOOKUP(B172,'Pre-Summary'!$Y$6:$AC$83, 3,FALSE),"")</f>
        <v/>
      </c>
      <c r="U172" s="45" t="str">
        <f>IFERROR(VLOOKUP(B172,'Pre-Summary'!$Y$6:$AC$83, 4,FALSE),"")</f>
        <v/>
      </c>
      <c r="V172" t="str">
        <f>IFERROR(VLOOKUP(B172,'Pre-Summary'!$Y$6:$AC$83, 5,FALSE),"")</f>
        <v/>
      </c>
      <c r="W172" s="45" t="str">
        <f>IFERROR(VLOOKUP(B172,'Pre-Summary'!$Y$6:$AD$83,6,FALSE),"")</f>
        <v/>
      </c>
      <c r="X172" t="str">
        <f>IFERROR(VLOOKUP('Pre-Summary'!$DB$6:$DD$63,3,FALSE),"")</f>
        <v/>
      </c>
      <c r="Y172" t="str">
        <f>IFERROR(VLOOKUP(B172,'Pre-Summary'!$CR$6:$CT$36,3,FALSE),"")</f>
        <v/>
      </c>
      <c r="Z172" s="45" t="str">
        <f>IFERROR(VLOOKUP(B172,'Pre-Summary'!$BZ$6:$CB$63,2,FALSE),"")</f>
        <v/>
      </c>
      <c r="AA172" s="45" t="str">
        <f>IFERROR(VLOOKUP(B172,'Pre-Summary'!$CG$6:$CI$70,2,FALSE),"")</f>
        <v/>
      </c>
      <c r="AB172" s="99">
        <f>IFERROR(VLOOKUP(B172,'Pre-Summary'!$A$6:$P$178,9,FALSE),AB173)</f>
        <v>0.95192327811817912</v>
      </c>
      <c r="AC172" s="10">
        <f>IFERROR(VLOOKUP(Summary!B172,'Pre-Summary'!$A$6:$P$184,5, FALSE)/100,AC173)</f>
        <v>0.88412199999999985</v>
      </c>
      <c r="AD172" s="10">
        <f>IFERROR(VLOOKUP(Summary!B172,'Pre-Summary'!$A$6:$P$184,3, FALSE)/100,AD173)</f>
        <v>0</v>
      </c>
      <c r="AE172" s="10">
        <f>IFERROR(VLOOKUP(Summary!B172,'Pre-Summary'!$A$6:$P$184,7, FALSE)/100,AE173)</f>
        <v>0.11587800000000001</v>
      </c>
      <c r="AF172" s="99">
        <f t="shared" si="7"/>
        <v>0</v>
      </c>
      <c r="AG172" s="99">
        <f t="shared" si="8"/>
        <v>0.11030696562177837</v>
      </c>
      <c r="AH172" s="10" t="str">
        <f>IFERROR(VLOOKUP(B172,'Pre-Summary'!$AZ$6:$BE$65,3,FALSE),"")</f>
        <v/>
      </c>
      <c r="AI172" s="10" t="str">
        <f>IFERROR(VLOOKUP(B172,'Pre-Summary'!$AZ$6:$BE$65,5,FALSE),"")</f>
        <v/>
      </c>
      <c r="AJ172" s="10" t="str">
        <f>IFERROR(VLOOKUP(B172,'Pre-Summary'!$AZ$6:$BE$65,4,FALSE),"")</f>
        <v/>
      </c>
      <c r="AK172" s="10" t="str">
        <f>IFERROR(VLOOKUP(B172,'Pre-Summary'!$AZ$6:$BE$65,6,FALSE),"")</f>
        <v/>
      </c>
      <c r="AL172" s="10" t="str">
        <f>IFERROR(VLOOKUP(B172,'Pre-Summary'!$BG$6:$BL$44,3,FALSE),"")</f>
        <v/>
      </c>
      <c r="AM172" s="10" t="str">
        <f>IFERROR(VLOOKUP(B172,'Pre-Summary'!$BG$6:$BL$44,4,FALSE),"")</f>
        <v/>
      </c>
    </row>
    <row r="173" spans="2:39" ht="14.4" x14ac:dyDescent="0.3">
      <c r="B173">
        <v>17</v>
      </c>
      <c r="C173" t="str">
        <f>IFERROR(VLOOKUP(B173,'Pre-Summary'!$DI$6:$DM$23,4,FALSE),"")</f>
        <v/>
      </c>
      <c r="D173" s="10" t="str">
        <f>IFERROR(VLOOKUP(B173,'Pre-Summary'!$AT$6:$AX$14,5,FALSE),D172)</f>
        <v>DSMZ v1.5: Using DSMZ 120 with NaHCO3</v>
      </c>
      <c r="E173" s="10" t="str">
        <f>IFERROR(VLOOKUP(B173,'Pre-Summary'!$AT$6:$AX$15,4,FALSE),"")</f>
        <v/>
      </c>
      <c r="F173">
        <f>IFERROR(VLOOKUP(B173,'Pre-Summary'!$AL$6:$AQ$13,6,FALSE),F172)</f>
        <v>5.9405263157894746E-2</v>
      </c>
      <c r="G173" t="str">
        <f>IFERROR(VLOOKUP(B173,'Pre-Summary'!$AE$6:$AJ$85,3,FALSE),"")</f>
        <v/>
      </c>
      <c r="H173" t="str">
        <f>IFERROR(VLOOKUP(B173,'Pre-Summary'!$AE$6:$AJ$85,4,FALSE),"")</f>
        <v/>
      </c>
      <c r="I173" t="str">
        <f>IFERROR(VLOOKUP(B173,'Pre-Summary'!$AE$6:$AJ$85,5,FALSE),"")</f>
        <v/>
      </c>
      <c r="J173" s="45" t="str">
        <f>IFERROR(VLOOKUP(B173,'Pre-Summary'!$AE$6:$AJ$85,6, FALSE),"")</f>
        <v/>
      </c>
      <c r="K173" s="45" t="str">
        <f>IFERROR(VLOOKUP(B173,'Pre-Summary'!$DE$6:$DG$61,3,FALSE),"")</f>
        <v/>
      </c>
      <c r="L173" s="45" t="str">
        <f>IFERROR(VLOOKUP(B173,'Pre-Summary'!$CU$6:$CW$36,3,FALSE),"")</f>
        <v/>
      </c>
      <c r="M173" s="45" t="str">
        <f>IFERROR(VLOOKUP(B173,'Pre-Summary'!$BW$6:$BY$58,2,FALSE),"")</f>
        <v/>
      </c>
      <c r="N173" s="45" t="str">
        <f>IFERROR(VLOOKUP(B173,'Pre-Summary'!$CD$6:$CF$64,2,FALSE),"")</f>
        <v/>
      </c>
      <c r="O173" s="99">
        <f>IFERROR(VLOOKUP(B173,'Pre-Summary'!$BO$6:$BQ$48,3, FALSE),O172)</f>
        <v>1.0915248032216731</v>
      </c>
      <c r="P173" s="99">
        <f>IFERROR(VLOOKUP(B173,'Pre-Summary'!$BS$6:$BU$35,3,FALSE),P172)</f>
        <v>0.25</v>
      </c>
      <c r="Q173" s="54">
        <f t="shared" si="6"/>
        <v>4.3660992128866924</v>
      </c>
      <c r="R173" s="53">
        <f>IFERROR(VLOOKUP(B173,'Pre-Summary'!$BG$6:$BM$44,7,FALSE),R174)</f>
        <v>2.7904161219319636E-2</v>
      </c>
      <c r="S173" s="53">
        <f>IFERROR(VLOOKUP(B173,'Pre-Summary'!$BG$6:$BM$44,6,FALSE),S174)</f>
        <v>3.3978715219895171E-2</v>
      </c>
      <c r="T173" s="45" t="str">
        <f>IFERROR(VLOOKUP(B173,'Pre-Summary'!$Y$6:$AC$83, 3,FALSE),"")</f>
        <v/>
      </c>
      <c r="U173" s="45" t="str">
        <f>IFERROR(VLOOKUP(B173,'Pre-Summary'!$Y$6:$AC$83, 4,FALSE),"")</f>
        <v/>
      </c>
      <c r="V173" t="str">
        <f>IFERROR(VLOOKUP(B173,'Pre-Summary'!$Y$6:$AC$83, 5,FALSE),"")</f>
        <v/>
      </c>
      <c r="W173" s="45" t="str">
        <f>IFERROR(VLOOKUP(B173,'Pre-Summary'!$Y$6:$AD$83,6,FALSE),"")</f>
        <v/>
      </c>
      <c r="X173" t="str">
        <f>IFERROR(VLOOKUP('Pre-Summary'!$DB$6:$DD$63,3,FALSE),"")</f>
        <v/>
      </c>
      <c r="Y173" t="str">
        <f>IFERROR(VLOOKUP(B173,'Pre-Summary'!$CR$6:$CT$36,3,FALSE),"")</f>
        <v/>
      </c>
      <c r="Z173" s="45" t="str">
        <f>IFERROR(VLOOKUP(B173,'Pre-Summary'!$BZ$6:$CB$63,2,FALSE),"")</f>
        <v/>
      </c>
      <c r="AA173" s="45" t="str">
        <f>IFERROR(VLOOKUP(B173,'Pre-Summary'!$CG$6:$CI$70,2,FALSE),"")</f>
        <v/>
      </c>
      <c r="AB173" s="99">
        <f>IFERROR(VLOOKUP(B173,'Pre-Summary'!$A$6:$P$178,9,FALSE),AB174)</f>
        <v>0.95192327811817912</v>
      </c>
      <c r="AC173" s="10">
        <f>IFERROR(VLOOKUP(Summary!B173,'Pre-Summary'!$A$6:$P$184,5, FALSE)/100,AC174)</f>
        <v>0.88412199999999985</v>
      </c>
      <c r="AD173" s="10">
        <f>IFERROR(VLOOKUP(Summary!B173,'Pre-Summary'!$A$6:$P$184,3, FALSE)/100,AD174)</f>
        <v>0</v>
      </c>
      <c r="AE173" s="10">
        <f>IFERROR(VLOOKUP(Summary!B173,'Pre-Summary'!$A$6:$P$184,7, FALSE)/100,AE174)</f>
        <v>0.11587800000000001</v>
      </c>
      <c r="AF173" s="99">
        <f t="shared" si="7"/>
        <v>0</v>
      </c>
      <c r="AG173" s="99">
        <f t="shared" si="8"/>
        <v>0.11030696562177837</v>
      </c>
      <c r="AH173" s="10" t="str">
        <f>IFERROR(VLOOKUP(B173,'Pre-Summary'!$AZ$6:$BE$65,3,FALSE),"")</f>
        <v/>
      </c>
      <c r="AI173" s="10" t="str">
        <f>IFERROR(VLOOKUP(B173,'Pre-Summary'!$AZ$6:$BE$65,5,FALSE),"")</f>
        <v/>
      </c>
      <c r="AJ173" s="10" t="str">
        <f>IFERROR(VLOOKUP(B173,'Pre-Summary'!$AZ$6:$BE$65,4,FALSE),"")</f>
        <v/>
      </c>
      <c r="AK173" s="10" t="str">
        <f>IFERROR(VLOOKUP(B173,'Pre-Summary'!$AZ$6:$BE$65,6,FALSE),"")</f>
        <v/>
      </c>
      <c r="AL173" s="10" t="str">
        <f>IFERROR(VLOOKUP(B173,'Pre-Summary'!$BG$6:$BL$44,3,FALSE),"")</f>
        <v/>
      </c>
      <c r="AM173" s="10" t="str">
        <f>IFERROR(VLOOKUP(B173,'Pre-Summary'!$BG$6:$BL$44,4,FALSE),"")</f>
        <v/>
      </c>
    </row>
    <row r="174" spans="2:39" ht="14.4" x14ac:dyDescent="0.3">
      <c r="B174">
        <v>17.100000000000001</v>
      </c>
      <c r="C174" t="str">
        <f>IFERROR(VLOOKUP(B174,'Pre-Summary'!$DI$6:$DM$23,4,FALSE),"")</f>
        <v/>
      </c>
      <c r="D174" s="10" t="str">
        <f>IFERROR(VLOOKUP(B174,'Pre-Summary'!$AT$6:$AX$14,5,FALSE),D173)</f>
        <v>DSMZ v1.5: Using DSMZ 120 with NaHCO3</v>
      </c>
      <c r="E174" s="10" t="str">
        <f>IFERROR(VLOOKUP(B174,'Pre-Summary'!$AT$6:$AX$15,4,FALSE),"")</f>
        <v/>
      </c>
      <c r="F174">
        <f>IFERROR(VLOOKUP(B174,'Pre-Summary'!$AL$6:$AQ$13,6,FALSE),F173)</f>
        <v>5.9405263157894746E-2</v>
      </c>
      <c r="G174" t="str">
        <f>IFERROR(VLOOKUP(B174,'Pre-Summary'!$AE$6:$AJ$85,3,FALSE),"")</f>
        <v/>
      </c>
      <c r="H174" t="str">
        <f>IFERROR(VLOOKUP(B174,'Pre-Summary'!$AE$6:$AJ$85,4,FALSE),"")</f>
        <v/>
      </c>
      <c r="I174" t="str">
        <f>IFERROR(VLOOKUP(B174,'Pre-Summary'!$AE$6:$AJ$85,5,FALSE),"")</f>
        <v/>
      </c>
      <c r="J174" s="45" t="str">
        <f>IFERROR(VLOOKUP(B174,'Pre-Summary'!$AE$6:$AJ$85,6, FALSE),"")</f>
        <v/>
      </c>
      <c r="K174" s="45" t="str">
        <f>IFERROR(VLOOKUP(B174,'Pre-Summary'!$DE$6:$DG$61,3,FALSE),"")</f>
        <v/>
      </c>
      <c r="L174" s="45" t="str">
        <f>IFERROR(VLOOKUP(B174,'Pre-Summary'!$CU$6:$CW$36,3,FALSE),"")</f>
        <v/>
      </c>
      <c r="M174" s="45" t="str">
        <f>IFERROR(VLOOKUP(B174,'Pre-Summary'!$BW$6:$BY$58,2,FALSE),"")</f>
        <v/>
      </c>
      <c r="N174" s="45" t="str">
        <f>IFERROR(VLOOKUP(B174,'Pre-Summary'!$CD$6:$CF$64,2,FALSE),"")</f>
        <v/>
      </c>
      <c r="O174" s="99">
        <f>IFERROR(VLOOKUP(B174,'Pre-Summary'!$BO$6:$BQ$48,3, FALSE),O173)</f>
        <v>1.0915248032216731</v>
      </c>
      <c r="P174" s="99">
        <f>IFERROR(VLOOKUP(B174,'Pre-Summary'!$BS$6:$BU$35,3,FALSE),P173)</f>
        <v>0.25</v>
      </c>
      <c r="Q174" s="54">
        <f t="shared" si="6"/>
        <v>4.3660992128866924</v>
      </c>
      <c r="R174" s="53">
        <f>IFERROR(VLOOKUP(B174,'Pre-Summary'!$BG$6:$BM$44,7,FALSE),R175)</f>
        <v>2.7904161219319636E-2</v>
      </c>
      <c r="S174" s="53">
        <f>IFERROR(VLOOKUP(B174,'Pre-Summary'!$BG$6:$BM$44,6,FALSE),S175)</f>
        <v>3.3978715219895171E-2</v>
      </c>
      <c r="T174" s="45" t="str">
        <f>IFERROR(VLOOKUP(B174,'Pre-Summary'!$Y$6:$AC$83, 3,FALSE),"")</f>
        <v/>
      </c>
      <c r="U174" s="45" t="str">
        <f>IFERROR(VLOOKUP(B174,'Pre-Summary'!$Y$6:$AC$83, 4,FALSE),"")</f>
        <v/>
      </c>
      <c r="V174" t="str">
        <f>IFERROR(VLOOKUP(B174,'Pre-Summary'!$Y$6:$AC$83, 5,FALSE),"")</f>
        <v/>
      </c>
      <c r="W174" s="45" t="str">
        <f>IFERROR(VLOOKUP(B174,'Pre-Summary'!$Y$6:$AD$83,6,FALSE),"")</f>
        <v/>
      </c>
      <c r="X174" t="str">
        <f>IFERROR(VLOOKUP('Pre-Summary'!$DB$6:$DD$63,3,FALSE),"")</f>
        <v/>
      </c>
      <c r="Y174" t="str">
        <f>IFERROR(VLOOKUP(B174,'Pre-Summary'!$CR$6:$CT$36,3,FALSE),"")</f>
        <v/>
      </c>
      <c r="Z174" s="45" t="str">
        <f>IFERROR(VLOOKUP(B174,'Pre-Summary'!$BZ$6:$CB$63,2,FALSE),"")</f>
        <v/>
      </c>
      <c r="AA174" s="45" t="str">
        <f>IFERROR(VLOOKUP(B174,'Pre-Summary'!$CG$6:$CI$70,2,FALSE),"")</f>
        <v/>
      </c>
      <c r="AB174" s="99">
        <f>IFERROR(VLOOKUP(B174,'Pre-Summary'!$A$6:$P$178,9,FALSE),AB175)</f>
        <v>0.95192327811817912</v>
      </c>
      <c r="AC174" s="10">
        <f>IFERROR(VLOOKUP(Summary!B174,'Pre-Summary'!$A$6:$P$184,5, FALSE)/100,AC175)</f>
        <v>0.88412199999999985</v>
      </c>
      <c r="AD174" s="10">
        <f>IFERROR(VLOOKUP(Summary!B174,'Pre-Summary'!$A$6:$P$184,3, FALSE)/100,AD175)</f>
        <v>0</v>
      </c>
      <c r="AE174" s="10">
        <f>IFERROR(VLOOKUP(Summary!B174,'Pre-Summary'!$A$6:$P$184,7, FALSE)/100,AE175)</f>
        <v>0.11587800000000001</v>
      </c>
      <c r="AF174" s="99">
        <f t="shared" si="7"/>
        <v>0</v>
      </c>
      <c r="AG174" s="99">
        <f t="shared" si="8"/>
        <v>0.11030696562177837</v>
      </c>
      <c r="AH174" s="10" t="str">
        <f>IFERROR(VLOOKUP(B174,'Pre-Summary'!$AZ$6:$BE$65,3,FALSE),"")</f>
        <v/>
      </c>
      <c r="AI174" s="10" t="str">
        <f>IFERROR(VLOOKUP(B174,'Pre-Summary'!$AZ$6:$BE$65,5,FALSE),"")</f>
        <v/>
      </c>
      <c r="AJ174" s="10" t="str">
        <f>IFERROR(VLOOKUP(B174,'Pre-Summary'!$AZ$6:$BE$65,4,FALSE),"")</f>
        <v/>
      </c>
      <c r="AK174" s="10" t="str">
        <f>IFERROR(VLOOKUP(B174,'Pre-Summary'!$AZ$6:$BE$65,6,FALSE),"")</f>
        <v/>
      </c>
      <c r="AL174" s="10" t="str">
        <f>IFERROR(VLOOKUP(B174,'Pre-Summary'!$BG$6:$BL$44,3,FALSE),"")</f>
        <v/>
      </c>
      <c r="AM174" s="10" t="str">
        <f>IFERROR(VLOOKUP(B174,'Pre-Summary'!$BG$6:$BL$44,4,FALSE),"")</f>
        <v/>
      </c>
    </row>
    <row r="175" spans="2:39" ht="14.4" x14ac:dyDescent="0.3">
      <c r="B175">
        <v>17.2</v>
      </c>
      <c r="C175" t="str">
        <f>IFERROR(VLOOKUP(B175,'Pre-Summary'!$DI$6:$DM$23,4,FALSE),"")</f>
        <v/>
      </c>
      <c r="D175" s="10" t="str">
        <f>IFERROR(VLOOKUP(B175,'Pre-Summary'!$AT$6:$AX$14,5,FALSE),D174)</f>
        <v>DSMZ v1.5: Using DSMZ 120 with NaHCO3</v>
      </c>
      <c r="E175" s="10" t="str">
        <f>IFERROR(VLOOKUP(B175,'Pre-Summary'!$AT$6:$AX$15,4,FALSE),"")</f>
        <v/>
      </c>
      <c r="F175">
        <f>IFERROR(VLOOKUP(B175,'Pre-Summary'!$AL$6:$AQ$13,6,FALSE),F174)</f>
        <v>5.9405263157894746E-2</v>
      </c>
      <c r="G175" t="str">
        <f>IFERROR(VLOOKUP(B175,'Pre-Summary'!$AE$6:$AJ$85,3,FALSE),"")</f>
        <v/>
      </c>
      <c r="H175" t="str">
        <f>IFERROR(VLOOKUP(B175,'Pre-Summary'!$AE$6:$AJ$85,4,FALSE),"")</f>
        <v/>
      </c>
      <c r="I175" t="str">
        <f>IFERROR(VLOOKUP(B175,'Pre-Summary'!$AE$6:$AJ$85,5,FALSE),"")</f>
        <v/>
      </c>
      <c r="J175" s="45" t="str">
        <f>IFERROR(VLOOKUP(B175,'Pre-Summary'!$AE$6:$AJ$85,6, FALSE),"")</f>
        <v/>
      </c>
      <c r="K175" s="45" t="str">
        <f>IFERROR(VLOOKUP(B175,'Pre-Summary'!$DE$6:$DG$61,3,FALSE),"")</f>
        <v/>
      </c>
      <c r="L175" s="45" t="str">
        <f>IFERROR(VLOOKUP(B175,'Pre-Summary'!$CU$6:$CW$36,3,FALSE),"")</f>
        <v/>
      </c>
      <c r="M175" s="45" t="str">
        <f>IFERROR(VLOOKUP(B175,'Pre-Summary'!$BW$6:$BY$58,2,FALSE),"")</f>
        <v/>
      </c>
      <c r="N175" s="45" t="str">
        <f>IFERROR(VLOOKUP(B175,'Pre-Summary'!$CD$6:$CF$64,2,FALSE),"")</f>
        <v/>
      </c>
      <c r="O175" s="99">
        <f>IFERROR(VLOOKUP(B175,'Pre-Summary'!$BO$6:$BQ$48,3, FALSE),O174)</f>
        <v>1.0915248032216731</v>
      </c>
      <c r="P175" s="99">
        <f>IFERROR(VLOOKUP(B175,'Pre-Summary'!$BS$6:$BU$35,3,FALSE),P174)</f>
        <v>0.25</v>
      </c>
      <c r="Q175" s="54">
        <f t="shared" si="6"/>
        <v>4.3660992128866924</v>
      </c>
      <c r="R175" s="53">
        <f>IFERROR(VLOOKUP(B175,'Pre-Summary'!$BG$6:$BM$44,7,FALSE),R176)</f>
        <v>2.7904161219319636E-2</v>
      </c>
      <c r="S175" s="53">
        <f>IFERROR(VLOOKUP(B175,'Pre-Summary'!$BG$6:$BM$44,6,FALSE),S176)</f>
        <v>3.3978715219895171E-2</v>
      </c>
      <c r="T175" s="45" t="str">
        <f>IFERROR(VLOOKUP(B175,'Pre-Summary'!$Y$6:$AC$83, 3,FALSE),"")</f>
        <v/>
      </c>
      <c r="U175" s="45" t="str">
        <f>IFERROR(VLOOKUP(B175,'Pre-Summary'!$Y$6:$AC$83, 4,FALSE),"")</f>
        <v/>
      </c>
      <c r="V175" t="str">
        <f>IFERROR(VLOOKUP(B175,'Pre-Summary'!$Y$6:$AC$83, 5,FALSE),"")</f>
        <v/>
      </c>
      <c r="W175" s="45" t="str">
        <f>IFERROR(VLOOKUP(B175,'Pre-Summary'!$Y$6:$AD$83,6,FALSE),"")</f>
        <v/>
      </c>
      <c r="X175" t="str">
        <f>IFERROR(VLOOKUP('Pre-Summary'!$DB$6:$DD$63,3,FALSE),"")</f>
        <v/>
      </c>
      <c r="Y175" t="str">
        <f>IFERROR(VLOOKUP(B175,'Pre-Summary'!$CR$6:$CT$36,3,FALSE),"")</f>
        <v/>
      </c>
      <c r="Z175" s="45" t="str">
        <f>IFERROR(VLOOKUP(B175,'Pre-Summary'!$BZ$6:$CB$63,2,FALSE),"")</f>
        <v/>
      </c>
      <c r="AA175" s="45" t="str">
        <f>IFERROR(VLOOKUP(B175,'Pre-Summary'!$CG$6:$CI$70,2,FALSE),"")</f>
        <v/>
      </c>
      <c r="AB175" s="99">
        <f>IFERROR(VLOOKUP(B175,'Pre-Summary'!$A$6:$P$178,9,FALSE),AB176)</f>
        <v>0.95192327811817912</v>
      </c>
      <c r="AC175" s="10">
        <f>IFERROR(VLOOKUP(Summary!B175,'Pre-Summary'!$A$6:$P$184,5, FALSE)/100,AC176)</f>
        <v>0.88412199999999985</v>
      </c>
      <c r="AD175" s="10">
        <f>IFERROR(VLOOKUP(Summary!B175,'Pre-Summary'!$A$6:$P$184,3, FALSE)/100,AD176)</f>
        <v>0</v>
      </c>
      <c r="AE175" s="10">
        <f>IFERROR(VLOOKUP(Summary!B175,'Pre-Summary'!$A$6:$P$184,7, FALSE)/100,AE176)</f>
        <v>0.11587800000000001</v>
      </c>
      <c r="AF175" s="99">
        <f t="shared" si="7"/>
        <v>0</v>
      </c>
      <c r="AG175" s="99">
        <f t="shared" si="8"/>
        <v>0.11030696562177837</v>
      </c>
      <c r="AH175" s="10" t="str">
        <f>IFERROR(VLOOKUP(B175,'Pre-Summary'!$AZ$6:$BE$65,3,FALSE),"")</f>
        <v/>
      </c>
      <c r="AI175" s="10" t="str">
        <f>IFERROR(VLOOKUP(B175,'Pre-Summary'!$AZ$6:$BE$65,5,FALSE),"")</f>
        <v/>
      </c>
      <c r="AJ175" s="10" t="str">
        <f>IFERROR(VLOOKUP(B175,'Pre-Summary'!$AZ$6:$BE$65,4,FALSE),"")</f>
        <v/>
      </c>
      <c r="AK175" s="10" t="str">
        <f>IFERROR(VLOOKUP(B175,'Pre-Summary'!$AZ$6:$BE$65,6,FALSE),"")</f>
        <v/>
      </c>
      <c r="AL175" s="10" t="str">
        <f>IFERROR(VLOOKUP(B175,'Pre-Summary'!$BG$6:$BL$44,3,FALSE),"")</f>
        <v/>
      </c>
      <c r="AM175" s="10" t="str">
        <f>IFERROR(VLOOKUP(B175,'Pre-Summary'!$BG$6:$BL$44,4,FALSE),"")</f>
        <v/>
      </c>
    </row>
    <row r="176" spans="2:39" ht="14.4" x14ac:dyDescent="0.3">
      <c r="B176">
        <v>17.3</v>
      </c>
      <c r="C176" t="str">
        <f>IFERROR(VLOOKUP(B176,'Pre-Summary'!$DI$6:$DM$23,4,FALSE),"")</f>
        <v/>
      </c>
      <c r="D176" s="10" t="str">
        <f>IFERROR(VLOOKUP(B176,'Pre-Summary'!$AT$6:$AX$14,5,FALSE),D175)</f>
        <v>DSMZ v1.5: Using DSMZ 120 with NaHCO3</v>
      </c>
      <c r="E176" s="10" t="str">
        <f>IFERROR(VLOOKUP(B176,'Pre-Summary'!$AT$6:$AX$15,4,FALSE),"")</f>
        <v/>
      </c>
      <c r="F176">
        <f>IFERROR(VLOOKUP(B176,'Pre-Summary'!$AL$6:$AQ$13,6,FALSE),F175)</f>
        <v>5.9405263157894746E-2</v>
      </c>
      <c r="G176" t="str">
        <f>IFERROR(VLOOKUP(B176,'Pre-Summary'!$AE$6:$AJ$85,3,FALSE),"")</f>
        <v/>
      </c>
      <c r="H176" t="str">
        <f>IFERROR(VLOOKUP(B176,'Pre-Summary'!$AE$6:$AJ$85,4,FALSE),"")</f>
        <v/>
      </c>
      <c r="I176" t="str">
        <f>IFERROR(VLOOKUP(B176,'Pre-Summary'!$AE$6:$AJ$85,5,FALSE),"")</f>
        <v/>
      </c>
      <c r="J176" s="45" t="str">
        <f>IFERROR(VLOOKUP(B176,'Pre-Summary'!$AE$6:$AJ$85,6, FALSE),"")</f>
        <v/>
      </c>
      <c r="K176" s="45" t="str">
        <f>IFERROR(VLOOKUP(B176,'Pre-Summary'!$DE$6:$DG$61,3,FALSE),"")</f>
        <v/>
      </c>
      <c r="L176" s="45" t="str">
        <f>IFERROR(VLOOKUP(B176,'Pre-Summary'!$CU$6:$CW$36,3,FALSE),"")</f>
        <v/>
      </c>
      <c r="M176" s="45" t="str">
        <f>IFERROR(VLOOKUP(B176,'Pre-Summary'!$BW$6:$BY$58,2,FALSE),"")</f>
        <v/>
      </c>
      <c r="N176" s="45" t="str">
        <f>IFERROR(VLOOKUP(B176,'Pre-Summary'!$CD$6:$CF$64,2,FALSE),"")</f>
        <v/>
      </c>
      <c r="O176" s="99">
        <f>IFERROR(VLOOKUP(B176,'Pre-Summary'!$BO$6:$BQ$48,3, FALSE),O175)</f>
        <v>1.0915248032216731</v>
      </c>
      <c r="P176" s="99">
        <f>IFERROR(VLOOKUP(B176,'Pre-Summary'!$BS$6:$BU$35,3,FALSE),P175)</f>
        <v>0.25</v>
      </c>
      <c r="Q176" s="54">
        <f t="shared" si="6"/>
        <v>4.3660992128866924</v>
      </c>
      <c r="R176" s="53">
        <f>IFERROR(VLOOKUP(B176,'Pre-Summary'!$BG$6:$BM$44,7,FALSE),R177)</f>
        <v>2.7904161219319636E-2</v>
      </c>
      <c r="S176" s="53">
        <f>IFERROR(VLOOKUP(B176,'Pre-Summary'!$BG$6:$BM$44,6,FALSE),S177)</f>
        <v>3.3978715219895171E-2</v>
      </c>
      <c r="T176" s="45" t="str">
        <f>IFERROR(VLOOKUP(B176,'Pre-Summary'!$Y$6:$AC$83, 3,FALSE),"")</f>
        <v/>
      </c>
      <c r="U176" s="45" t="str">
        <f>IFERROR(VLOOKUP(B176,'Pre-Summary'!$Y$6:$AC$83, 4,FALSE),"")</f>
        <v/>
      </c>
      <c r="V176" t="str">
        <f>IFERROR(VLOOKUP(B176,'Pre-Summary'!$Y$6:$AC$83, 5,FALSE),"")</f>
        <v/>
      </c>
      <c r="W176" s="45" t="str">
        <f>IFERROR(VLOOKUP(B176,'Pre-Summary'!$Y$6:$AD$83,6,FALSE),"")</f>
        <v/>
      </c>
      <c r="X176" t="str">
        <f>IFERROR(VLOOKUP('Pre-Summary'!$DB$6:$DD$63,3,FALSE),"")</f>
        <v/>
      </c>
      <c r="Y176" t="str">
        <f>IFERROR(VLOOKUP(B176,'Pre-Summary'!$CR$6:$CT$36,3,FALSE),"")</f>
        <v/>
      </c>
      <c r="Z176" s="45" t="str">
        <f>IFERROR(VLOOKUP(B176,'Pre-Summary'!$BZ$6:$CB$63,2,FALSE),"")</f>
        <v/>
      </c>
      <c r="AA176" s="45" t="str">
        <f>IFERROR(VLOOKUP(B176,'Pre-Summary'!$CG$6:$CI$70,2,FALSE),"")</f>
        <v/>
      </c>
      <c r="AB176" s="99">
        <f>IFERROR(VLOOKUP(B176,'Pre-Summary'!$A$6:$P$178,9,FALSE),AB177)</f>
        <v>0.95192327811817912</v>
      </c>
      <c r="AC176" s="10">
        <f>IFERROR(VLOOKUP(Summary!B176,'Pre-Summary'!$A$6:$P$184,5, FALSE)/100,AC177)</f>
        <v>0.88412199999999985</v>
      </c>
      <c r="AD176" s="10">
        <f>IFERROR(VLOOKUP(Summary!B176,'Pre-Summary'!$A$6:$P$184,3, FALSE)/100,AD177)</f>
        <v>0</v>
      </c>
      <c r="AE176" s="10">
        <f>IFERROR(VLOOKUP(Summary!B176,'Pre-Summary'!$A$6:$P$184,7, FALSE)/100,AE177)</f>
        <v>0.11587800000000001</v>
      </c>
      <c r="AF176" s="99">
        <f t="shared" si="7"/>
        <v>0</v>
      </c>
      <c r="AG176" s="99">
        <f t="shared" si="8"/>
        <v>0.11030696562177837</v>
      </c>
      <c r="AH176" s="10" t="str">
        <f>IFERROR(VLOOKUP(B176,'Pre-Summary'!$AZ$6:$BE$65,3,FALSE),"")</f>
        <v/>
      </c>
      <c r="AI176" s="10" t="str">
        <f>IFERROR(VLOOKUP(B176,'Pre-Summary'!$AZ$6:$BE$65,5,FALSE),"")</f>
        <v/>
      </c>
      <c r="AJ176" s="10" t="str">
        <f>IFERROR(VLOOKUP(B176,'Pre-Summary'!$AZ$6:$BE$65,4,FALSE),"")</f>
        <v/>
      </c>
      <c r="AK176" s="10" t="str">
        <f>IFERROR(VLOOKUP(B176,'Pre-Summary'!$AZ$6:$BE$65,6,FALSE),"")</f>
        <v/>
      </c>
      <c r="AL176" s="10" t="str">
        <f>IFERROR(VLOOKUP(B176,'Pre-Summary'!$BG$6:$BL$44,3,FALSE),"")</f>
        <v/>
      </c>
      <c r="AM176" s="10" t="str">
        <f>IFERROR(VLOOKUP(B176,'Pre-Summary'!$BG$6:$BL$44,4,FALSE),"")</f>
        <v/>
      </c>
    </row>
    <row r="177" spans="2:39" ht="14.4" x14ac:dyDescent="0.3">
      <c r="B177">
        <v>17.399999999999999</v>
      </c>
      <c r="C177" t="str">
        <f>IFERROR(VLOOKUP(B177,'Pre-Summary'!$DI$6:$DM$23,4,FALSE),"")</f>
        <v/>
      </c>
      <c r="D177" s="10" t="str">
        <f>IFERROR(VLOOKUP(B177,'Pre-Summary'!$AT$6:$AX$14,5,FALSE),D176)</f>
        <v>DSMZ v1.5: Using DSMZ 120 with NaHCO3</v>
      </c>
      <c r="E177" s="10" t="str">
        <f>IFERROR(VLOOKUP(B177,'Pre-Summary'!$AT$6:$AX$15,4,FALSE),"")</f>
        <v/>
      </c>
      <c r="F177">
        <f>IFERROR(VLOOKUP(B177,'Pre-Summary'!$AL$6:$AQ$13,6,FALSE),F176)</f>
        <v>5.9405263157894746E-2</v>
      </c>
      <c r="G177" t="str">
        <f>IFERROR(VLOOKUP(B177,'Pre-Summary'!$AE$6:$AJ$85,3,FALSE),"")</f>
        <v/>
      </c>
      <c r="H177" t="str">
        <f>IFERROR(VLOOKUP(B177,'Pre-Summary'!$AE$6:$AJ$85,4,FALSE),"")</f>
        <v/>
      </c>
      <c r="I177" t="str">
        <f>IFERROR(VLOOKUP(B177,'Pre-Summary'!$AE$6:$AJ$85,5,FALSE),"")</f>
        <v/>
      </c>
      <c r="J177" s="45" t="str">
        <f>IFERROR(VLOOKUP(B177,'Pre-Summary'!$AE$6:$AJ$85,6, FALSE),"")</f>
        <v/>
      </c>
      <c r="K177" s="45" t="str">
        <f>IFERROR(VLOOKUP(B177,'Pre-Summary'!$DE$6:$DG$61,3,FALSE),"")</f>
        <v/>
      </c>
      <c r="L177" s="45" t="str">
        <f>IFERROR(VLOOKUP(B177,'Pre-Summary'!$CU$6:$CW$36,3,FALSE),"")</f>
        <v/>
      </c>
      <c r="M177" s="45" t="str">
        <f>IFERROR(VLOOKUP(B177,'Pre-Summary'!$BW$6:$BY$58,2,FALSE),"")</f>
        <v/>
      </c>
      <c r="N177" s="45" t="str">
        <f>IFERROR(VLOOKUP(B177,'Pre-Summary'!$CD$6:$CF$64,2,FALSE),"")</f>
        <v/>
      </c>
      <c r="O177" s="99">
        <f>IFERROR(VLOOKUP(B177,'Pre-Summary'!$BO$6:$BQ$48,3, FALSE),O176)</f>
        <v>1.0915248032216731</v>
      </c>
      <c r="P177" s="99">
        <f>IFERROR(VLOOKUP(B177,'Pre-Summary'!$BS$6:$BU$35,3,FALSE),P176)</f>
        <v>0.25</v>
      </c>
      <c r="Q177" s="54">
        <f t="shared" si="6"/>
        <v>4.3660992128866924</v>
      </c>
      <c r="R177" s="53">
        <f>IFERROR(VLOOKUP(B177,'Pre-Summary'!$BG$6:$BM$44,7,FALSE),R178)</f>
        <v>2.7904161219319636E-2</v>
      </c>
      <c r="S177" s="53">
        <f>IFERROR(VLOOKUP(B177,'Pre-Summary'!$BG$6:$BM$44,6,FALSE),S178)</f>
        <v>3.3978715219895171E-2</v>
      </c>
      <c r="T177" s="45" t="str">
        <f>IFERROR(VLOOKUP(B177,'Pre-Summary'!$Y$6:$AC$83, 3,FALSE),"")</f>
        <v/>
      </c>
      <c r="U177" s="45" t="str">
        <f>IFERROR(VLOOKUP(B177,'Pre-Summary'!$Y$6:$AC$83, 4,FALSE),"")</f>
        <v/>
      </c>
      <c r="V177" t="str">
        <f>IFERROR(VLOOKUP(B177,'Pre-Summary'!$Y$6:$AC$83, 5,FALSE),"")</f>
        <v/>
      </c>
      <c r="W177" s="45" t="str">
        <f>IFERROR(VLOOKUP(B177,'Pre-Summary'!$Y$6:$AD$83,6,FALSE),"")</f>
        <v/>
      </c>
      <c r="X177" t="str">
        <f>IFERROR(VLOOKUP('Pre-Summary'!$DB$6:$DD$63,3,FALSE),"")</f>
        <v/>
      </c>
      <c r="Y177" t="str">
        <f>IFERROR(VLOOKUP(B177,'Pre-Summary'!$CR$6:$CT$36,3,FALSE),"")</f>
        <v/>
      </c>
      <c r="Z177" s="45" t="str">
        <f>IFERROR(VLOOKUP(B177,'Pre-Summary'!$BZ$6:$CB$63,2,FALSE),"")</f>
        <v/>
      </c>
      <c r="AA177" s="45" t="str">
        <f>IFERROR(VLOOKUP(B177,'Pre-Summary'!$CG$6:$CI$70,2,FALSE),"")</f>
        <v/>
      </c>
      <c r="AB177" s="99">
        <f>IFERROR(VLOOKUP(B177,'Pre-Summary'!$A$6:$P$178,9,FALSE),AB178)</f>
        <v>0.95192327811817912</v>
      </c>
      <c r="AC177" s="10">
        <f>IFERROR(VLOOKUP(Summary!B177,'Pre-Summary'!$A$6:$P$184,5, FALSE)/100,AC178)</f>
        <v>0.88412199999999985</v>
      </c>
      <c r="AD177" s="10">
        <f>IFERROR(VLOOKUP(Summary!B177,'Pre-Summary'!$A$6:$P$184,3, FALSE)/100,AD178)</f>
        <v>0</v>
      </c>
      <c r="AE177" s="10">
        <f>IFERROR(VLOOKUP(Summary!B177,'Pre-Summary'!$A$6:$P$184,7, FALSE)/100,AE178)</f>
        <v>0.11587800000000001</v>
      </c>
      <c r="AF177" s="99">
        <f t="shared" si="7"/>
        <v>0</v>
      </c>
      <c r="AG177" s="99">
        <f t="shared" si="8"/>
        <v>0.11030696562177837</v>
      </c>
      <c r="AH177" s="10" t="str">
        <f>IFERROR(VLOOKUP(B177,'Pre-Summary'!$AZ$6:$BE$65,3,FALSE),"")</f>
        <v/>
      </c>
      <c r="AI177" s="10" t="str">
        <f>IFERROR(VLOOKUP(B177,'Pre-Summary'!$AZ$6:$BE$65,5,FALSE),"")</f>
        <v/>
      </c>
      <c r="AJ177" s="10" t="str">
        <f>IFERROR(VLOOKUP(B177,'Pre-Summary'!$AZ$6:$BE$65,4,FALSE),"")</f>
        <v/>
      </c>
      <c r="AK177" s="10" t="str">
        <f>IFERROR(VLOOKUP(B177,'Pre-Summary'!$AZ$6:$BE$65,6,FALSE),"")</f>
        <v/>
      </c>
      <c r="AL177" s="10" t="str">
        <f>IFERROR(VLOOKUP(B177,'Pre-Summary'!$BG$6:$BL$44,3,FALSE),"")</f>
        <v/>
      </c>
      <c r="AM177" s="10" t="str">
        <f>IFERROR(VLOOKUP(B177,'Pre-Summary'!$BG$6:$BL$44,4,FALSE),"")</f>
        <v/>
      </c>
    </row>
    <row r="178" spans="2:39" ht="14.4" x14ac:dyDescent="0.3">
      <c r="B178">
        <v>17.5</v>
      </c>
      <c r="C178" t="str">
        <f>IFERROR(VLOOKUP(B178,'Pre-Summary'!$DI$6:$DM$23,4,FALSE),"")</f>
        <v/>
      </c>
      <c r="D178" s="10" t="str">
        <f>IFERROR(VLOOKUP(B178,'Pre-Summary'!$AT$6:$AX$14,5,FALSE),D177)</f>
        <v>DSMZ v1.5: Using DSMZ 120 with NaHCO3</v>
      </c>
      <c r="E178" s="10" t="str">
        <f>IFERROR(VLOOKUP(B178,'Pre-Summary'!$AT$6:$AX$15,4,FALSE),"")</f>
        <v/>
      </c>
      <c r="F178">
        <f>IFERROR(VLOOKUP(B178,'Pre-Summary'!$AL$6:$AQ$13,6,FALSE),F177)</f>
        <v>5.9405263157894746E-2</v>
      </c>
      <c r="G178" t="str">
        <f>IFERROR(VLOOKUP(B178,'Pre-Summary'!$AE$6:$AJ$85,3,FALSE),"")</f>
        <v/>
      </c>
      <c r="H178" t="str">
        <f>IFERROR(VLOOKUP(B178,'Pre-Summary'!$AE$6:$AJ$85,4,FALSE),"")</f>
        <v/>
      </c>
      <c r="I178" t="str">
        <f>IFERROR(VLOOKUP(B178,'Pre-Summary'!$AE$6:$AJ$85,5,FALSE),"")</f>
        <v/>
      </c>
      <c r="J178" s="45" t="str">
        <f>IFERROR(VLOOKUP(B178,'Pre-Summary'!$AE$6:$AJ$85,6, FALSE),"")</f>
        <v/>
      </c>
      <c r="K178" s="45" t="str">
        <f>IFERROR(VLOOKUP(B178,'Pre-Summary'!$DE$6:$DG$61,3,FALSE),"")</f>
        <v/>
      </c>
      <c r="L178" s="45" t="str">
        <f>IFERROR(VLOOKUP(B178,'Pre-Summary'!$CU$6:$CW$36,3,FALSE),"")</f>
        <v/>
      </c>
      <c r="M178" s="45" t="str">
        <f>IFERROR(VLOOKUP(B178,'Pre-Summary'!$BW$6:$BY$58,2,FALSE),"")</f>
        <v/>
      </c>
      <c r="N178" s="45" t="str">
        <f>IFERROR(VLOOKUP(B178,'Pre-Summary'!$CD$6:$CF$64,2,FALSE),"")</f>
        <v/>
      </c>
      <c r="O178" s="99">
        <f>IFERROR(VLOOKUP(B178,'Pre-Summary'!$BO$6:$BQ$48,3, FALSE),O177)</f>
        <v>1.0915248032216731</v>
      </c>
      <c r="P178" s="99">
        <f>IFERROR(VLOOKUP(B178,'Pre-Summary'!$BS$6:$BU$35,3,FALSE),P177)</f>
        <v>0.25</v>
      </c>
      <c r="Q178" s="54">
        <f t="shared" si="6"/>
        <v>4.3660992128866924</v>
      </c>
      <c r="R178" s="53">
        <f>IFERROR(VLOOKUP(B178,'Pre-Summary'!$BG$6:$BM$44,7,FALSE),R179)</f>
        <v>2.7904161219319636E-2</v>
      </c>
      <c r="S178" s="53">
        <f>IFERROR(VLOOKUP(B178,'Pre-Summary'!$BG$6:$BM$44,6,FALSE),S179)</f>
        <v>3.3978715219895171E-2</v>
      </c>
      <c r="T178" s="45" t="str">
        <f>IFERROR(VLOOKUP(B178,'Pre-Summary'!$Y$6:$AC$83, 3,FALSE),"")</f>
        <v/>
      </c>
      <c r="U178" s="45" t="str">
        <f>IFERROR(VLOOKUP(B178,'Pre-Summary'!$Y$6:$AC$83, 4,FALSE),"")</f>
        <v/>
      </c>
      <c r="V178" t="str">
        <f>IFERROR(VLOOKUP(B178,'Pre-Summary'!$Y$6:$AC$83, 5,FALSE),"")</f>
        <v/>
      </c>
      <c r="W178" s="45" t="str">
        <f>IFERROR(VLOOKUP(B178,'Pre-Summary'!$Y$6:$AD$83,6,FALSE),"")</f>
        <v/>
      </c>
      <c r="X178" t="str">
        <f>IFERROR(VLOOKUP('Pre-Summary'!$DB$6:$DD$63,3,FALSE),"")</f>
        <v/>
      </c>
      <c r="Y178" t="str">
        <f>IFERROR(VLOOKUP(B178,'Pre-Summary'!$CR$6:$CT$36,3,FALSE),"")</f>
        <v/>
      </c>
      <c r="Z178" s="45" t="str">
        <f>IFERROR(VLOOKUP(B178,'Pre-Summary'!$BZ$6:$CB$63,2,FALSE),"")</f>
        <v/>
      </c>
      <c r="AA178" s="45" t="str">
        <f>IFERROR(VLOOKUP(B178,'Pre-Summary'!$CG$6:$CI$70,2,FALSE),"")</f>
        <v/>
      </c>
      <c r="AB178" s="99">
        <f>IFERROR(VLOOKUP(B178,'Pre-Summary'!$A$6:$P$178,9,FALSE),AB179)</f>
        <v>0.95192327811817912</v>
      </c>
      <c r="AC178" s="10">
        <f>IFERROR(VLOOKUP(Summary!B178,'Pre-Summary'!$A$6:$P$184,5, FALSE)/100,AC179)</f>
        <v>0.88412199999999985</v>
      </c>
      <c r="AD178" s="10">
        <f>IFERROR(VLOOKUP(Summary!B178,'Pre-Summary'!$A$6:$P$184,3, FALSE)/100,AD179)</f>
        <v>0</v>
      </c>
      <c r="AE178" s="10">
        <f>IFERROR(VLOOKUP(Summary!B178,'Pre-Summary'!$A$6:$P$184,7, FALSE)/100,AE179)</f>
        <v>0.11587800000000001</v>
      </c>
      <c r="AF178" s="99">
        <f t="shared" si="7"/>
        <v>0</v>
      </c>
      <c r="AG178" s="99">
        <f t="shared" si="8"/>
        <v>0.11030696562177837</v>
      </c>
      <c r="AH178" s="10" t="str">
        <f>IFERROR(VLOOKUP(B178,'Pre-Summary'!$AZ$6:$BE$65,3,FALSE),"")</f>
        <v/>
      </c>
      <c r="AI178" s="10" t="str">
        <f>IFERROR(VLOOKUP(B178,'Pre-Summary'!$AZ$6:$BE$65,5,FALSE),"")</f>
        <v/>
      </c>
      <c r="AJ178" s="10" t="str">
        <f>IFERROR(VLOOKUP(B178,'Pre-Summary'!$AZ$6:$BE$65,4,FALSE),"")</f>
        <v/>
      </c>
      <c r="AK178" s="10" t="str">
        <f>IFERROR(VLOOKUP(B178,'Pre-Summary'!$AZ$6:$BE$65,6,FALSE),"")</f>
        <v/>
      </c>
      <c r="AL178" s="10" t="str">
        <f>IFERROR(VLOOKUP(B178,'Pre-Summary'!$BG$6:$BL$44,3,FALSE),"")</f>
        <v/>
      </c>
      <c r="AM178" s="10" t="str">
        <f>IFERROR(VLOOKUP(B178,'Pre-Summary'!$BG$6:$BL$44,4,FALSE),"")</f>
        <v/>
      </c>
    </row>
    <row r="179" spans="2:39" ht="14.4" x14ac:dyDescent="0.3">
      <c r="B179">
        <v>17.600000000000001</v>
      </c>
      <c r="C179" t="str">
        <f>IFERROR(VLOOKUP(B179,'Pre-Summary'!$DI$6:$DM$23,4,FALSE),"")</f>
        <v/>
      </c>
      <c r="D179" s="10" t="str">
        <f>IFERROR(VLOOKUP(B179,'Pre-Summary'!$AT$6:$AX$14,5,FALSE),D178)</f>
        <v>DSMZ v1.5: Using DSMZ 120 with NaHCO3</v>
      </c>
      <c r="E179" s="10" t="str">
        <f>IFERROR(VLOOKUP(B179,'Pre-Summary'!$AT$6:$AX$15,4,FALSE),"")</f>
        <v/>
      </c>
      <c r="F179">
        <f>IFERROR(VLOOKUP(B179,'Pre-Summary'!$AL$6:$AQ$13,6,FALSE),F178)</f>
        <v>5.9405263157894746E-2</v>
      </c>
      <c r="G179" t="str">
        <f>IFERROR(VLOOKUP(B179,'Pre-Summary'!$AE$6:$AJ$85,3,FALSE),"")</f>
        <v/>
      </c>
      <c r="H179" t="str">
        <f>IFERROR(VLOOKUP(B179,'Pre-Summary'!$AE$6:$AJ$85,4,FALSE),"")</f>
        <v/>
      </c>
      <c r="I179" t="str">
        <f>IFERROR(VLOOKUP(B179,'Pre-Summary'!$AE$6:$AJ$85,5,FALSE),"")</f>
        <v/>
      </c>
      <c r="J179" s="45" t="str">
        <f>IFERROR(VLOOKUP(B179,'Pre-Summary'!$AE$6:$AJ$85,6, FALSE),"")</f>
        <v/>
      </c>
      <c r="K179" s="45" t="str">
        <f>IFERROR(VLOOKUP(B179,'Pre-Summary'!$DE$6:$DG$61,3,FALSE),"")</f>
        <v/>
      </c>
      <c r="L179" s="45" t="str">
        <f>IFERROR(VLOOKUP(B179,'Pre-Summary'!$CU$6:$CW$36,3,FALSE),"")</f>
        <v/>
      </c>
      <c r="M179" s="45" t="str">
        <f>IFERROR(VLOOKUP(B179,'Pre-Summary'!$BW$6:$BY$58,2,FALSE),"")</f>
        <v/>
      </c>
      <c r="N179" s="45" t="str">
        <f>IFERROR(VLOOKUP(B179,'Pre-Summary'!$CD$6:$CF$64,2,FALSE),"")</f>
        <v/>
      </c>
      <c r="O179" s="99">
        <f>IFERROR(VLOOKUP(B179,'Pre-Summary'!$BO$6:$BQ$48,3, FALSE),O178)</f>
        <v>1.0915248032216731</v>
      </c>
      <c r="P179" s="99">
        <f>IFERROR(VLOOKUP(B179,'Pre-Summary'!$BS$6:$BU$35,3,FALSE),P178)</f>
        <v>0.25</v>
      </c>
      <c r="Q179" s="54">
        <f t="shared" si="6"/>
        <v>4.3660992128866924</v>
      </c>
      <c r="R179" s="53">
        <f>IFERROR(VLOOKUP(B179,'Pre-Summary'!$BG$6:$BM$44,7,FALSE),R180)</f>
        <v>2.7904161219319636E-2</v>
      </c>
      <c r="S179" s="53">
        <f>IFERROR(VLOOKUP(B179,'Pre-Summary'!$BG$6:$BM$44,6,FALSE),S180)</f>
        <v>3.3978715219895171E-2</v>
      </c>
      <c r="T179" s="45" t="str">
        <f>IFERROR(VLOOKUP(B179,'Pre-Summary'!$Y$6:$AC$83, 3,FALSE),"")</f>
        <v/>
      </c>
      <c r="U179" s="45" t="str">
        <f>IFERROR(VLOOKUP(B179,'Pre-Summary'!$Y$6:$AC$83, 4,FALSE),"")</f>
        <v/>
      </c>
      <c r="V179" t="str">
        <f>IFERROR(VLOOKUP(B179,'Pre-Summary'!$Y$6:$AC$83, 5,FALSE),"")</f>
        <v/>
      </c>
      <c r="W179" s="45" t="str">
        <f>IFERROR(VLOOKUP(B179,'Pre-Summary'!$Y$6:$AD$83,6,FALSE),"")</f>
        <v/>
      </c>
      <c r="X179" t="str">
        <f>IFERROR(VLOOKUP('Pre-Summary'!$DB$6:$DD$63,3,FALSE),"")</f>
        <v/>
      </c>
      <c r="Y179" t="str">
        <f>IFERROR(VLOOKUP(B179,'Pre-Summary'!$CR$6:$CT$36,3,FALSE),"")</f>
        <v/>
      </c>
      <c r="Z179" s="45" t="str">
        <f>IFERROR(VLOOKUP(B179,'Pre-Summary'!$BZ$6:$CB$63,2,FALSE),"")</f>
        <v/>
      </c>
      <c r="AA179" s="45" t="str">
        <f>IFERROR(VLOOKUP(B179,'Pre-Summary'!$CG$6:$CI$70,2,FALSE),"")</f>
        <v/>
      </c>
      <c r="AB179" s="99">
        <f>IFERROR(VLOOKUP(B179,'Pre-Summary'!$A$6:$P$178,9,FALSE),AB180)</f>
        <v>0.95192327811817912</v>
      </c>
      <c r="AC179" s="10">
        <f>IFERROR(VLOOKUP(Summary!B179,'Pre-Summary'!$A$6:$P$184,5, FALSE)/100,AC180)</f>
        <v>0.88412199999999985</v>
      </c>
      <c r="AD179" s="10">
        <f>IFERROR(VLOOKUP(Summary!B179,'Pre-Summary'!$A$6:$P$184,3, FALSE)/100,AD180)</f>
        <v>0</v>
      </c>
      <c r="AE179" s="10">
        <f>IFERROR(VLOOKUP(Summary!B179,'Pre-Summary'!$A$6:$P$184,7, FALSE)/100,AE180)</f>
        <v>0.11587800000000001</v>
      </c>
      <c r="AF179" s="99">
        <f t="shared" si="7"/>
        <v>0</v>
      </c>
      <c r="AG179" s="99">
        <f t="shared" si="8"/>
        <v>0.11030696562177837</v>
      </c>
      <c r="AH179" s="10" t="str">
        <f>IFERROR(VLOOKUP(B179,'Pre-Summary'!$AZ$6:$BE$65,3,FALSE),"")</f>
        <v/>
      </c>
      <c r="AI179" s="10" t="str">
        <f>IFERROR(VLOOKUP(B179,'Pre-Summary'!$AZ$6:$BE$65,5,FALSE),"")</f>
        <v/>
      </c>
      <c r="AJ179" s="10" t="str">
        <f>IFERROR(VLOOKUP(B179,'Pre-Summary'!$AZ$6:$BE$65,4,FALSE),"")</f>
        <v/>
      </c>
      <c r="AK179" s="10" t="str">
        <f>IFERROR(VLOOKUP(B179,'Pre-Summary'!$AZ$6:$BE$65,6,FALSE),"")</f>
        <v/>
      </c>
      <c r="AL179" s="10" t="str">
        <f>IFERROR(VLOOKUP(B179,'Pre-Summary'!$BG$6:$BL$44,3,FALSE),"")</f>
        <v/>
      </c>
      <c r="AM179" s="10" t="str">
        <f>IFERROR(VLOOKUP(B179,'Pre-Summary'!$BG$6:$BL$44,4,FALSE),"")</f>
        <v/>
      </c>
    </row>
    <row r="180" spans="2:39" ht="14.4" x14ac:dyDescent="0.3">
      <c r="B180">
        <v>17.7</v>
      </c>
      <c r="C180" t="str">
        <f>IFERROR(VLOOKUP(B180,'Pre-Summary'!$DI$6:$DM$23,4,FALSE),"")</f>
        <v/>
      </c>
      <c r="D180" s="10" t="str">
        <f>IFERROR(VLOOKUP(B180,'Pre-Summary'!$AT$6:$AX$14,5,FALSE),D179)</f>
        <v>DSMZ v1.5: Using DSMZ 120 with NaHCO3</v>
      </c>
      <c r="E180" s="10" t="str">
        <f>IFERROR(VLOOKUP(B180,'Pre-Summary'!$AT$6:$AX$15,4,FALSE),"")</f>
        <v/>
      </c>
      <c r="F180">
        <f>IFERROR(VLOOKUP(B180,'Pre-Summary'!$AL$6:$AQ$13,6,FALSE),F179)</f>
        <v>5.9405263157894746E-2</v>
      </c>
      <c r="G180" t="str">
        <f>IFERROR(VLOOKUP(B180,'Pre-Summary'!$AE$6:$AJ$85,3,FALSE),"")</f>
        <v/>
      </c>
      <c r="H180" t="str">
        <f>IFERROR(VLOOKUP(B180,'Pre-Summary'!$AE$6:$AJ$85,4,FALSE),"")</f>
        <v/>
      </c>
      <c r="I180" t="str">
        <f>IFERROR(VLOOKUP(B180,'Pre-Summary'!$AE$6:$AJ$85,5,FALSE),"")</f>
        <v/>
      </c>
      <c r="J180" s="45" t="str">
        <f>IFERROR(VLOOKUP(B180,'Pre-Summary'!$AE$6:$AJ$85,6, FALSE),"")</f>
        <v/>
      </c>
      <c r="K180" s="45" t="str">
        <f>IFERROR(VLOOKUP(B180,'Pre-Summary'!$DE$6:$DG$61,3,FALSE),"")</f>
        <v/>
      </c>
      <c r="L180" s="45" t="str">
        <f>IFERROR(VLOOKUP(B180,'Pre-Summary'!$CU$6:$CW$36,3,FALSE),"")</f>
        <v/>
      </c>
      <c r="M180" s="45" t="str">
        <f>IFERROR(VLOOKUP(B180,'Pre-Summary'!$BW$6:$BY$58,2,FALSE),"")</f>
        <v/>
      </c>
      <c r="N180" s="45" t="str">
        <f>IFERROR(VLOOKUP(B180,'Pre-Summary'!$CD$6:$CF$64,2,FALSE),"")</f>
        <v/>
      </c>
      <c r="O180" s="99">
        <f>IFERROR(VLOOKUP(B180,'Pre-Summary'!$BO$6:$BQ$48,3, FALSE),O179)</f>
        <v>1.0915248032216731</v>
      </c>
      <c r="P180" s="99">
        <f>IFERROR(VLOOKUP(B180,'Pre-Summary'!$BS$6:$BU$35,3,FALSE),P179)</f>
        <v>0.25</v>
      </c>
      <c r="Q180" s="54">
        <f t="shared" si="6"/>
        <v>4.3660992128866924</v>
      </c>
      <c r="R180" s="53">
        <f>IFERROR(VLOOKUP(B180,'Pre-Summary'!$BG$6:$BM$44,7,FALSE),R181)</f>
        <v>2.7904161219319636E-2</v>
      </c>
      <c r="S180" s="53">
        <f>IFERROR(VLOOKUP(B180,'Pre-Summary'!$BG$6:$BM$44,6,FALSE),S181)</f>
        <v>3.3978715219895171E-2</v>
      </c>
      <c r="T180" s="45" t="str">
        <f>IFERROR(VLOOKUP(B180,'Pre-Summary'!$Y$6:$AC$83, 3,FALSE),"")</f>
        <v/>
      </c>
      <c r="U180" s="45" t="str">
        <f>IFERROR(VLOOKUP(B180,'Pre-Summary'!$Y$6:$AC$83, 4,FALSE),"")</f>
        <v/>
      </c>
      <c r="V180" t="str">
        <f>IFERROR(VLOOKUP(B180,'Pre-Summary'!$Y$6:$AC$83, 5,FALSE),"")</f>
        <v/>
      </c>
      <c r="W180" s="45" t="str">
        <f>IFERROR(VLOOKUP(B180,'Pre-Summary'!$Y$6:$AD$83,6,FALSE),"")</f>
        <v/>
      </c>
      <c r="X180" t="str">
        <f>IFERROR(VLOOKUP('Pre-Summary'!$DB$6:$DD$63,3,FALSE),"")</f>
        <v/>
      </c>
      <c r="Y180" t="str">
        <f>IFERROR(VLOOKUP(B180,'Pre-Summary'!$CR$6:$CT$36,3,FALSE),"")</f>
        <v/>
      </c>
      <c r="Z180" s="45" t="str">
        <f>IFERROR(VLOOKUP(B180,'Pre-Summary'!$BZ$6:$CB$63,2,FALSE),"")</f>
        <v/>
      </c>
      <c r="AA180" s="45" t="str">
        <f>IFERROR(VLOOKUP(B180,'Pre-Summary'!$CG$6:$CI$70,2,FALSE),"")</f>
        <v/>
      </c>
      <c r="AB180" s="99">
        <f>IFERROR(VLOOKUP(B180,'Pre-Summary'!$A$6:$P$178,9,FALSE),AB181)</f>
        <v>0.95192327811817912</v>
      </c>
      <c r="AC180" s="10">
        <f>IFERROR(VLOOKUP(Summary!B180,'Pre-Summary'!$A$6:$P$184,5, FALSE)/100,AC181)</f>
        <v>0.88412199999999985</v>
      </c>
      <c r="AD180" s="10">
        <f>IFERROR(VLOOKUP(Summary!B180,'Pre-Summary'!$A$6:$P$184,3, FALSE)/100,AD181)</f>
        <v>0</v>
      </c>
      <c r="AE180" s="10">
        <f>IFERROR(VLOOKUP(Summary!B180,'Pre-Summary'!$A$6:$P$184,7, FALSE)/100,AE181)</f>
        <v>0.11587800000000001</v>
      </c>
      <c r="AF180" s="99">
        <f t="shared" si="7"/>
        <v>0</v>
      </c>
      <c r="AG180" s="99">
        <f t="shared" si="8"/>
        <v>0.11030696562177837</v>
      </c>
      <c r="AH180" s="10" t="str">
        <f>IFERROR(VLOOKUP(B180,'Pre-Summary'!$AZ$6:$BE$65,3,FALSE),"")</f>
        <v/>
      </c>
      <c r="AI180" s="10" t="str">
        <f>IFERROR(VLOOKUP(B180,'Pre-Summary'!$AZ$6:$BE$65,5,FALSE),"")</f>
        <v/>
      </c>
      <c r="AJ180" s="10" t="str">
        <f>IFERROR(VLOOKUP(B180,'Pre-Summary'!$AZ$6:$BE$65,4,FALSE),"")</f>
        <v/>
      </c>
      <c r="AK180" s="10" t="str">
        <f>IFERROR(VLOOKUP(B180,'Pre-Summary'!$AZ$6:$BE$65,6,FALSE),"")</f>
        <v/>
      </c>
      <c r="AL180" s="10" t="str">
        <f>IFERROR(VLOOKUP(B180,'Pre-Summary'!$BG$6:$BL$44,3,FALSE),"")</f>
        <v/>
      </c>
      <c r="AM180" s="10" t="str">
        <f>IFERROR(VLOOKUP(B180,'Pre-Summary'!$BG$6:$BL$44,4,FALSE),"")</f>
        <v/>
      </c>
    </row>
    <row r="181" spans="2:39" ht="14.4" x14ac:dyDescent="0.3">
      <c r="B181">
        <v>17.8</v>
      </c>
      <c r="C181" t="str">
        <f>IFERROR(VLOOKUP(B181,'Pre-Summary'!$DI$6:$DM$23,4,FALSE),"")</f>
        <v/>
      </c>
      <c r="D181" s="10" t="str">
        <f>IFERROR(VLOOKUP(B181,'Pre-Summary'!$AT$6:$AX$14,5,FALSE),D180)</f>
        <v>DSMZ v1.5: Using DSMZ 120 with NaHCO3</v>
      </c>
      <c r="E181" s="10" t="str">
        <f>IFERROR(VLOOKUP(B181,'Pre-Summary'!$AT$6:$AX$15,4,FALSE),"")</f>
        <v/>
      </c>
      <c r="F181">
        <f>IFERROR(VLOOKUP(B181,'Pre-Summary'!$AL$6:$AQ$13,6,FALSE),F180)</f>
        <v>5.9405263157894746E-2</v>
      </c>
      <c r="G181" t="str">
        <f>IFERROR(VLOOKUP(B181,'Pre-Summary'!$AE$6:$AJ$85,3,FALSE),"")</f>
        <v/>
      </c>
      <c r="H181" t="str">
        <f>IFERROR(VLOOKUP(B181,'Pre-Summary'!$AE$6:$AJ$85,4,FALSE),"")</f>
        <v/>
      </c>
      <c r="I181" t="str">
        <f>IFERROR(VLOOKUP(B181,'Pre-Summary'!$AE$6:$AJ$85,5,FALSE),"")</f>
        <v/>
      </c>
      <c r="J181" s="45" t="str">
        <f>IFERROR(VLOOKUP(B181,'Pre-Summary'!$AE$6:$AJ$85,6, FALSE),"")</f>
        <v/>
      </c>
      <c r="K181" s="45" t="str">
        <f>IFERROR(VLOOKUP(B181,'Pre-Summary'!$DE$6:$DG$61,3,FALSE),"")</f>
        <v/>
      </c>
      <c r="L181" s="45" t="str">
        <f>IFERROR(VLOOKUP(B181,'Pre-Summary'!$CU$6:$CW$36,3,FALSE),"")</f>
        <v/>
      </c>
      <c r="M181" s="45" t="str">
        <f>IFERROR(VLOOKUP(B181,'Pre-Summary'!$BW$6:$BY$58,2,FALSE),"")</f>
        <v/>
      </c>
      <c r="N181" s="45" t="str">
        <f>IFERROR(VLOOKUP(B181,'Pre-Summary'!$CD$6:$CF$64,2,FALSE),"")</f>
        <v/>
      </c>
      <c r="O181" s="99">
        <f>IFERROR(VLOOKUP(B181,'Pre-Summary'!$BO$6:$BQ$48,3, FALSE),O180)</f>
        <v>1.0915248032216731</v>
      </c>
      <c r="P181" s="99">
        <f>IFERROR(VLOOKUP(B181,'Pre-Summary'!$BS$6:$BU$35,3,FALSE),P180)</f>
        <v>0.25</v>
      </c>
      <c r="Q181" s="54">
        <f t="shared" si="6"/>
        <v>4.3660992128866924</v>
      </c>
      <c r="R181" s="53">
        <f>IFERROR(VLOOKUP(B181,'Pre-Summary'!$BG$6:$BM$44,7,FALSE),R182)</f>
        <v>2.7904161219319636E-2</v>
      </c>
      <c r="S181" s="53">
        <f>IFERROR(VLOOKUP(B181,'Pre-Summary'!$BG$6:$BM$44,6,FALSE),S182)</f>
        <v>3.3978715219895171E-2</v>
      </c>
      <c r="T181" s="45" t="str">
        <f>IFERROR(VLOOKUP(B181,'Pre-Summary'!$Y$6:$AC$83, 3,FALSE),"")</f>
        <v/>
      </c>
      <c r="U181" s="45" t="str">
        <f>IFERROR(VLOOKUP(B181,'Pre-Summary'!$Y$6:$AC$83, 4,FALSE),"")</f>
        <v/>
      </c>
      <c r="V181" t="str">
        <f>IFERROR(VLOOKUP(B181,'Pre-Summary'!$Y$6:$AC$83, 5,FALSE),"")</f>
        <v/>
      </c>
      <c r="W181" s="45" t="str">
        <f>IFERROR(VLOOKUP(B181,'Pre-Summary'!$Y$6:$AD$83,6,FALSE),"")</f>
        <v/>
      </c>
      <c r="X181" t="str">
        <f>IFERROR(VLOOKUP('Pre-Summary'!$DB$6:$DD$63,3,FALSE),"")</f>
        <v/>
      </c>
      <c r="Y181" t="str">
        <f>IFERROR(VLOOKUP(B181,'Pre-Summary'!$CR$6:$CT$36,3,FALSE),"")</f>
        <v/>
      </c>
      <c r="Z181" s="45" t="str">
        <f>IFERROR(VLOOKUP(B181,'Pre-Summary'!$BZ$6:$CB$63,2,FALSE),"")</f>
        <v/>
      </c>
      <c r="AA181" s="45" t="str">
        <f>IFERROR(VLOOKUP(B181,'Pre-Summary'!$CG$6:$CI$70,2,FALSE),"")</f>
        <v/>
      </c>
      <c r="AB181" s="99">
        <f>IFERROR(VLOOKUP(B181,'Pre-Summary'!$A$6:$P$178,9,FALSE),AB182)</f>
        <v>0.95192327811817912</v>
      </c>
      <c r="AC181" s="10">
        <f>IFERROR(VLOOKUP(Summary!B181,'Pre-Summary'!$A$6:$P$184,5, FALSE)/100,AC182)</f>
        <v>0.88412199999999985</v>
      </c>
      <c r="AD181" s="10">
        <f>IFERROR(VLOOKUP(Summary!B181,'Pre-Summary'!$A$6:$P$184,3, FALSE)/100,AD182)</f>
        <v>0</v>
      </c>
      <c r="AE181" s="10">
        <f>IFERROR(VLOOKUP(Summary!B181,'Pre-Summary'!$A$6:$P$184,7, FALSE)/100,AE182)</f>
        <v>0.11587800000000001</v>
      </c>
      <c r="AF181" s="99">
        <f t="shared" si="7"/>
        <v>0</v>
      </c>
      <c r="AG181" s="99">
        <f t="shared" si="8"/>
        <v>0.11030696562177837</v>
      </c>
      <c r="AH181" s="10" t="str">
        <f>IFERROR(VLOOKUP(B181,'Pre-Summary'!$AZ$6:$BE$65,3,FALSE),"")</f>
        <v/>
      </c>
      <c r="AI181" s="10" t="str">
        <f>IFERROR(VLOOKUP(B181,'Pre-Summary'!$AZ$6:$BE$65,5,FALSE),"")</f>
        <v/>
      </c>
      <c r="AJ181" s="10" t="str">
        <f>IFERROR(VLOOKUP(B181,'Pre-Summary'!$AZ$6:$BE$65,4,FALSE),"")</f>
        <v/>
      </c>
      <c r="AK181" s="10" t="str">
        <f>IFERROR(VLOOKUP(B181,'Pre-Summary'!$AZ$6:$BE$65,6,FALSE),"")</f>
        <v/>
      </c>
      <c r="AL181" s="10" t="str">
        <f>IFERROR(VLOOKUP(B181,'Pre-Summary'!$BG$6:$BL$44,3,FALSE),"")</f>
        <v/>
      </c>
      <c r="AM181" s="10" t="str">
        <f>IFERROR(VLOOKUP(B181,'Pre-Summary'!$BG$6:$BL$44,4,FALSE),"")</f>
        <v/>
      </c>
    </row>
    <row r="182" spans="2:39" ht="14.4" x14ac:dyDescent="0.3">
      <c r="B182">
        <v>17.899999999999999</v>
      </c>
      <c r="C182" t="str">
        <f>IFERROR(VLOOKUP(B182,'Pre-Summary'!$DI$6:$DM$23,4,FALSE),"")</f>
        <v/>
      </c>
      <c r="D182" s="10" t="str">
        <f>IFERROR(VLOOKUP(B182,'Pre-Summary'!$AT$6:$AX$14,5,FALSE),D181)</f>
        <v>DSMZ v1.5: Using DSMZ 120 with NaHCO3</v>
      </c>
      <c r="E182" s="10" t="str">
        <f>IFERROR(VLOOKUP(B182,'Pre-Summary'!$AT$6:$AX$15,4,FALSE),"")</f>
        <v/>
      </c>
      <c r="F182">
        <f>IFERROR(VLOOKUP(B182,'Pre-Summary'!$AL$6:$AQ$13,6,FALSE),F181)</f>
        <v>5.9405263157894746E-2</v>
      </c>
      <c r="G182" t="str">
        <f>IFERROR(VLOOKUP(B182,'Pre-Summary'!$AE$6:$AJ$85,3,FALSE),"")</f>
        <v/>
      </c>
      <c r="H182" t="str">
        <f>IFERROR(VLOOKUP(B182,'Pre-Summary'!$AE$6:$AJ$85,4,FALSE),"")</f>
        <v/>
      </c>
      <c r="I182" t="str">
        <f>IFERROR(VLOOKUP(B182,'Pre-Summary'!$AE$6:$AJ$85,5,FALSE),"")</f>
        <v/>
      </c>
      <c r="J182" s="45" t="str">
        <f>IFERROR(VLOOKUP(B182,'Pre-Summary'!$AE$6:$AJ$85,6, FALSE),"")</f>
        <v/>
      </c>
      <c r="K182" s="45" t="str">
        <f>IFERROR(VLOOKUP(B182,'Pre-Summary'!$DE$6:$DG$61,3,FALSE),"")</f>
        <v/>
      </c>
      <c r="L182" s="45" t="str">
        <f>IFERROR(VLOOKUP(B182,'Pre-Summary'!$CU$6:$CW$36,3,FALSE),"")</f>
        <v/>
      </c>
      <c r="M182" s="45" t="str">
        <f>IFERROR(VLOOKUP(B182,'Pre-Summary'!$BW$6:$BY$58,2,FALSE),"")</f>
        <v/>
      </c>
      <c r="N182" s="45" t="str">
        <f>IFERROR(VLOOKUP(B182,'Pre-Summary'!$CD$6:$CF$64,2,FALSE),"")</f>
        <v/>
      </c>
      <c r="O182" s="99">
        <f>IFERROR(VLOOKUP(B182,'Pre-Summary'!$BO$6:$BQ$48,3, FALSE),O181)</f>
        <v>1.0915248032216731</v>
      </c>
      <c r="P182" s="99">
        <f>IFERROR(VLOOKUP(B182,'Pre-Summary'!$BS$6:$BU$35,3,FALSE),P181)</f>
        <v>0.25</v>
      </c>
      <c r="Q182" s="54">
        <f t="shared" si="6"/>
        <v>4.3660992128866924</v>
      </c>
      <c r="R182" s="53">
        <f>IFERROR(VLOOKUP(B182,'Pre-Summary'!$BG$6:$BM$44,7,FALSE),R183)</f>
        <v>2.7904161219319636E-2</v>
      </c>
      <c r="S182" s="53">
        <f>IFERROR(VLOOKUP(B182,'Pre-Summary'!$BG$6:$BM$44,6,FALSE),S183)</f>
        <v>3.3978715219895171E-2</v>
      </c>
      <c r="T182" s="45" t="str">
        <f>IFERROR(VLOOKUP(B182,'Pre-Summary'!$Y$6:$AC$83, 3,FALSE),"")</f>
        <v/>
      </c>
      <c r="U182" s="45" t="str">
        <f>IFERROR(VLOOKUP(B182,'Pre-Summary'!$Y$6:$AC$83, 4,FALSE),"")</f>
        <v/>
      </c>
      <c r="V182" t="str">
        <f>IFERROR(VLOOKUP(B182,'Pre-Summary'!$Y$6:$AC$83, 5,FALSE),"")</f>
        <v/>
      </c>
      <c r="W182" s="45" t="str">
        <f>IFERROR(VLOOKUP(B182,'Pre-Summary'!$Y$6:$AD$83,6,FALSE),"")</f>
        <v/>
      </c>
      <c r="X182" t="str">
        <f>IFERROR(VLOOKUP('Pre-Summary'!$DB$6:$DD$63,3,FALSE),"")</f>
        <v/>
      </c>
      <c r="Y182" t="str">
        <f>IFERROR(VLOOKUP(B182,'Pre-Summary'!$CR$6:$CT$36,3,FALSE),"")</f>
        <v/>
      </c>
      <c r="Z182" s="45" t="str">
        <f>IFERROR(VLOOKUP(B182,'Pre-Summary'!$BZ$6:$CB$63,2,FALSE),"")</f>
        <v/>
      </c>
      <c r="AA182" s="45" t="str">
        <f>IFERROR(VLOOKUP(B182,'Pre-Summary'!$CG$6:$CI$70,2,FALSE),"")</f>
        <v/>
      </c>
      <c r="AB182" s="99">
        <f>IFERROR(VLOOKUP(B182,'Pre-Summary'!$A$6:$P$178,9,FALSE),AB183)</f>
        <v>0.95192327811817912</v>
      </c>
      <c r="AC182" s="10">
        <f>IFERROR(VLOOKUP(Summary!B182,'Pre-Summary'!$A$6:$P$184,5, FALSE)/100,AC183)</f>
        <v>0.88412199999999985</v>
      </c>
      <c r="AD182" s="10">
        <f>IFERROR(VLOOKUP(Summary!B182,'Pre-Summary'!$A$6:$P$184,3, FALSE)/100,AD183)</f>
        <v>0</v>
      </c>
      <c r="AE182" s="10">
        <f>IFERROR(VLOOKUP(Summary!B182,'Pre-Summary'!$A$6:$P$184,7, FALSE)/100,AE183)</f>
        <v>0.11587800000000001</v>
      </c>
      <c r="AF182" s="99">
        <f t="shared" si="7"/>
        <v>0</v>
      </c>
      <c r="AG182" s="99">
        <f t="shared" si="8"/>
        <v>0.11030696562177837</v>
      </c>
      <c r="AH182" s="10" t="str">
        <f>IFERROR(VLOOKUP(B182,'Pre-Summary'!$AZ$6:$BE$65,3,FALSE),"")</f>
        <v/>
      </c>
      <c r="AI182" s="10" t="str">
        <f>IFERROR(VLOOKUP(B182,'Pre-Summary'!$AZ$6:$BE$65,5,FALSE),"")</f>
        <v/>
      </c>
      <c r="AJ182" s="10" t="str">
        <f>IFERROR(VLOOKUP(B182,'Pre-Summary'!$AZ$6:$BE$65,4,FALSE),"")</f>
        <v/>
      </c>
      <c r="AK182" s="10" t="str">
        <f>IFERROR(VLOOKUP(B182,'Pre-Summary'!$AZ$6:$BE$65,6,FALSE),"")</f>
        <v/>
      </c>
      <c r="AL182" s="10" t="str">
        <f>IFERROR(VLOOKUP(B182,'Pre-Summary'!$BG$6:$BL$44,3,FALSE),"")</f>
        <v/>
      </c>
      <c r="AM182" s="10" t="str">
        <f>IFERROR(VLOOKUP(B182,'Pre-Summary'!$BG$6:$BL$44,4,FALSE),"")</f>
        <v/>
      </c>
    </row>
    <row r="183" spans="2:39" ht="15" customHeight="1" x14ac:dyDescent="0.3">
      <c r="B183">
        <v>18</v>
      </c>
      <c r="C183" t="str">
        <f>IFERROR(VLOOKUP(B183,'Pre-Summary'!$DI$6:$DM$23,4,FALSE),"")</f>
        <v/>
      </c>
      <c r="D183" s="10" t="str">
        <f>IFERROR(VLOOKUP(B183,'Pre-Summary'!$AT$6:$AX$14,5,FALSE),D182)</f>
        <v>DSMZ v1.5: Using DSMZ 120 with NaHCO3</v>
      </c>
      <c r="E183" s="10" t="str">
        <f>IFERROR(VLOOKUP(B183,'Pre-Summary'!$AT$6:$AX$15,4,FALSE),"")</f>
        <v/>
      </c>
      <c r="F183">
        <f>IFERROR(VLOOKUP(B183,'Pre-Summary'!$AL$6:$AQ$13,6,FALSE),F182)</f>
        <v>5.9405263157894746E-2</v>
      </c>
      <c r="G183" t="str">
        <f>IFERROR(VLOOKUP(B183,'Pre-Summary'!$AE$6:$AJ$85,3,FALSE),"")</f>
        <v/>
      </c>
      <c r="H183" t="str">
        <f>IFERROR(VLOOKUP(B183,'Pre-Summary'!$AE$6:$AJ$85,4,FALSE),"")</f>
        <v/>
      </c>
      <c r="I183" t="str">
        <f>IFERROR(VLOOKUP(B183,'Pre-Summary'!$AE$6:$AJ$85,5,FALSE),"")</f>
        <v/>
      </c>
      <c r="J183" s="45" t="str">
        <f>IFERROR(VLOOKUP(B183,'Pre-Summary'!$AE$6:$AJ$85,6, FALSE),"")</f>
        <v/>
      </c>
      <c r="K183" s="45" t="str">
        <f>IFERROR(VLOOKUP(B183,'Pre-Summary'!$DE$6:$DG$61,3,FALSE),"")</f>
        <v/>
      </c>
      <c r="L183" s="45" t="str">
        <f>IFERROR(VLOOKUP(B183,'Pre-Summary'!$CU$6:$CW$36,3,FALSE),"")</f>
        <v/>
      </c>
      <c r="M183" s="45" t="str">
        <f>IFERROR(VLOOKUP(B183,'Pre-Summary'!$BW$6:$BY$58,2,FALSE),"")</f>
        <v/>
      </c>
      <c r="N183" s="45" t="str">
        <f>IFERROR(VLOOKUP(B183,'Pre-Summary'!$CD$6:$CF$64,2,FALSE),"")</f>
        <v/>
      </c>
      <c r="O183" s="99">
        <f>IFERROR(VLOOKUP(B183,'Pre-Summary'!$BO$6:$BQ$48,3, FALSE),O182)</f>
        <v>1.0915248032216731</v>
      </c>
      <c r="P183" s="99">
        <f>IFERROR(VLOOKUP(B183,'Pre-Summary'!$BS$6:$BU$35,3,FALSE),P182)</f>
        <v>0.25</v>
      </c>
      <c r="Q183" s="54">
        <f t="shared" si="6"/>
        <v>4.3660992128866924</v>
      </c>
      <c r="R183" s="53">
        <f>IFERROR(VLOOKUP(B183,'Pre-Summary'!$BG$6:$BM$44,7,FALSE),R184)</f>
        <v>2.7904161219319636E-2</v>
      </c>
      <c r="S183" s="53">
        <f>IFERROR(VLOOKUP(B183,'Pre-Summary'!$BG$6:$BM$44,6,FALSE),S184)</f>
        <v>3.3978715219895171E-2</v>
      </c>
      <c r="T183" s="45" t="str">
        <f>IFERROR(VLOOKUP(B183,'Pre-Summary'!$Y$6:$AC$83, 3,FALSE),"")</f>
        <v/>
      </c>
      <c r="U183" s="45" t="str">
        <f>IFERROR(VLOOKUP(B183,'Pre-Summary'!$Y$6:$AC$83, 4,FALSE),"")</f>
        <v/>
      </c>
      <c r="V183" t="str">
        <f>IFERROR(VLOOKUP(B183,'Pre-Summary'!$Y$6:$AC$83, 5,FALSE),"")</f>
        <v/>
      </c>
      <c r="W183" s="45" t="str">
        <f>IFERROR(VLOOKUP(B183,'Pre-Summary'!$Y$6:$AD$83,6,FALSE),"")</f>
        <v/>
      </c>
      <c r="X183" t="str">
        <f>IFERROR(VLOOKUP('Pre-Summary'!$DB$6:$DD$63,3,FALSE),"")</f>
        <v/>
      </c>
      <c r="Y183" t="str">
        <f>IFERROR(VLOOKUP(B183,'Pre-Summary'!$CR$6:$CT$36,3,FALSE),"")</f>
        <v/>
      </c>
      <c r="Z183" s="45" t="str">
        <f>IFERROR(VLOOKUP(B183,'Pre-Summary'!$BZ$6:$CB$63,2,FALSE),"")</f>
        <v/>
      </c>
      <c r="AA183" s="45" t="str">
        <f>IFERROR(VLOOKUP(B183,'Pre-Summary'!$CG$6:$CI$70,2,FALSE),"")</f>
        <v/>
      </c>
      <c r="AB183" s="99">
        <f>IFERROR(VLOOKUP(B183,'Pre-Summary'!$A$6:$P$178,9,FALSE),AB184)</f>
        <v>0.95192327811817912</v>
      </c>
      <c r="AC183" s="10">
        <f>IFERROR(VLOOKUP(Summary!B183,'Pre-Summary'!$A$6:$P$184,5, FALSE)/100,AC184)</f>
        <v>0.88412199999999985</v>
      </c>
      <c r="AD183" s="10">
        <f>IFERROR(VLOOKUP(Summary!B183,'Pre-Summary'!$A$6:$P$184,3, FALSE)/100,AD184)</f>
        <v>0</v>
      </c>
      <c r="AE183" s="10">
        <f>IFERROR(VLOOKUP(Summary!B183,'Pre-Summary'!$A$6:$P$184,7, FALSE)/100,AE184)</f>
        <v>0.11587800000000001</v>
      </c>
      <c r="AF183" s="99">
        <f t="shared" si="7"/>
        <v>0</v>
      </c>
      <c r="AG183" s="99">
        <f t="shared" si="8"/>
        <v>0.11030696562177837</v>
      </c>
      <c r="AH183" s="10" t="str">
        <f>IFERROR(VLOOKUP(B183,'Pre-Summary'!$AZ$6:$BE$65,3,FALSE),"")</f>
        <v/>
      </c>
      <c r="AI183" s="10" t="str">
        <f>IFERROR(VLOOKUP(B183,'Pre-Summary'!$AZ$6:$BE$65,5,FALSE),"")</f>
        <v/>
      </c>
      <c r="AJ183" s="10" t="str">
        <f>IFERROR(VLOOKUP(B183,'Pre-Summary'!$AZ$6:$BE$65,4,FALSE),"")</f>
        <v/>
      </c>
      <c r="AK183" s="10" t="str">
        <f>IFERROR(VLOOKUP(B183,'Pre-Summary'!$AZ$6:$BE$65,6,FALSE),"")</f>
        <v/>
      </c>
      <c r="AL183" s="10" t="str">
        <f>IFERROR(VLOOKUP(B183,'Pre-Summary'!$BG$6:$BL$44,3,FALSE),"")</f>
        <v/>
      </c>
      <c r="AM183" s="10" t="str">
        <f>IFERROR(VLOOKUP(B183,'Pre-Summary'!$BG$6:$BL$44,4,FALSE),"")</f>
        <v/>
      </c>
    </row>
    <row r="184" spans="2:39" ht="15" customHeight="1" x14ac:dyDescent="0.3">
      <c r="B184">
        <v>18.100000000000001</v>
      </c>
      <c r="C184" t="str">
        <f>IFERROR(VLOOKUP(B184,'Pre-Summary'!$DI$6:$DM$23,4,FALSE),"")</f>
        <v/>
      </c>
      <c r="D184" s="10" t="str">
        <f>IFERROR(VLOOKUP(B184,'Pre-Summary'!$AT$6:$AX$14,5,FALSE),D183)</f>
        <v>DSMZ v1.5: Using DSMZ 120 with NaHCO3</v>
      </c>
      <c r="E184" s="10" t="str">
        <f>IFERROR(VLOOKUP(B184,'Pre-Summary'!$AT$6:$AX$15,4,FALSE),"")</f>
        <v/>
      </c>
      <c r="F184">
        <f>IFERROR(VLOOKUP(B184,'Pre-Summary'!$AL$6:$AQ$13,6,FALSE),F183)</f>
        <v>5.9405263157894746E-2</v>
      </c>
      <c r="G184" t="str">
        <f>IFERROR(VLOOKUP(B184,'Pre-Summary'!$AE$6:$AJ$85,3,FALSE),"")</f>
        <v/>
      </c>
      <c r="H184" t="str">
        <f>IFERROR(VLOOKUP(B184,'Pre-Summary'!$AE$6:$AJ$85,4,FALSE),"")</f>
        <v/>
      </c>
      <c r="I184" t="str">
        <f>IFERROR(VLOOKUP(B184,'Pre-Summary'!$AE$6:$AJ$85,5,FALSE),"")</f>
        <v/>
      </c>
      <c r="J184" s="45" t="str">
        <f>IFERROR(VLOOKUP(B184,'Pre-Summary'!$AE$6:$AJ$85,6, FALSE),"")</f>
        <v/>
      </c>
      <c r="K184" s="45" t="str">
        <f>IFERROR(VLOOKUP(B184,'Pre-Summary'!$DE$6:$DG$61,3,FALSE),"")</f>
        <v/>
      </c>
      <c r="L184" s="45" t="str">
        <f>IFERROR(VLOOKUP(B184,'Pre-Summary'!$CU$6:$CW$36,3,FALSE),"")</f>
        <v/>
      </c>
      <c r="M184" s="45" t="str">
        <f>IFERROR(VLOOKUP(B184,'Pre-Summary'!$BW$6:$BY$58,2,FALSE),"")</f>
        <v/>
      </c>
      <c r="N184" s="45" t="str">
        <f>IFERROR(VLOOKUP(B184,'Pre-Summary'!$CD$6:$CF$64,2,FALSE),"")</f>
        <v/>
      </c>
      <c r="O184" s="99">
        <f>IFERROR(VLOOKUP(B184,'Pre-Summary'!$BO$6:$BQ$48,3, FALSE),O183)</f>
        <v>1.0915248032216731</v>
      </c>
      <c r="P184" s="99">
        <f>IFERROR(VLOOKUP(B184,'Pre-Summary'!$BS$6:$BU$35,3,FALSE),P183)</f>
        <v>0.25</v>
      </c>
      <c r="Q184" s="54">
        <f t="shared" si="6"/>
        <v>4.3660992128866924</v>
      </c>
      <c r="R184" s="53">
        <f>IFERROR(VLOOKUP(B184,'Pre-Summary'!$BG$6:$BM$44,7,FALSE),R185)</f>
        <v>2.7904161219319636E-2</v>
      </c>
      <c r="S184" s="53">
        <f>IFERROR(VLOOKUP(B184,'Pre-Summary'!$BG$6:$BM$44,6,FALSE),S185)</f>
        <v>3.3978715219895171E-2</v>
      </c>
      <c r="T184" s="45" t="str">
        <f>IFERROR(VLOOKUP(B184,'Pre-Summary'!$Y$6:$AC$83, 3,FALSE),"")</f>
        <v/>
      </c>
      <c r="U184" s="45" t="str">
        <f>IFERROR(VLOOKUP(B184,'Pre-Summary'!$Y$6:$AC$83, 4,FALSE),"")</f>
        <v/>
      </c>
      <c r="V184" t="str">
        <f>IFERROR(VLOOKUP(B184,'Pre-Summary'!$Y$6:$AC$83, 5,FALSE),"")</f>
        <v/>
      </c>
      <c r="W184" s="45" t="str">
        <f>IFERROR(VLOOKUP(B184,'Pre-Summary'!$Y$6:$AD$83,6,FALSE),"")</f>
        <v/>
      </c>
      <c r="X184" t="str">
        <f>IFERROR(VLOOKUP('Pre-Summary'!$DB$6:$DD$63,3,FALSE),"")</f>
        <v/>
      </c>
      <c r="Y184" t="str">
        <f>IFERROR(VLOOKUP(B184,'Pre-Summary'!$CR$6:$CT$36,3,FALSE),"")</f>
        <v/>
      </c>
      <c r="Z184" s="45" t="str">
        <f>IFERROR(VLOOKUP(B184,'Pre-Summary'!$BZ$6:$CB$63,2,FALSE),"")</f>
        <v/>
      </c>
      <c r="AA184" s="45" t="str">
        <f>IFERROR(VLOOKUP(B184,'Pre-Summary'!$CG$6:$CI$70,2,FALSE),"")</f>
        <v/>
      </c>
      <c r="AB184" s="99">
        <f>IFERROR(VLOOKUP(B184,'Pre-Summary'!$A$6:$P$178,9,FALSE),AB185)</f>
        <v>0.95192327811817912</v>
      </c>
      <c r="AC184" s="10">
        <f>IFERROR(VLOOKUP(Summary!B184,'Pre-Summary'!$A$6:$P$184,5, FALSE)/100,AC185)</f>
        <v>0.88412199999999985</v>
      </c>
      <c r="AD184" s="10">
        <f>IFERROR(VLOOKUP(Summary!B184,'Pre-Summary'!$A$6:$P$184,3, FALSE)/100,AD185)</f>
        <v>0</v>
      </c>
      <c r="AE184" s="10">
        <f>IFERROR(VLOOKUP(Summary!B184,'Pre-Summary'!$A$6:$P$184,7, FALSE)/100,AE185)</f>
        <v>0.11587800000000001</v>
      </c>
      <c r="AF184" s="99">
        <f t="shared" si="7"/>
        <v>0</v>
      </c>
      <c r="AG184" s="99">
        <f t="shared" si="8"/>
        <v>0.11030696562177837</v>
      </c>
      <c r="AH184" s="10" t="str">
        <f>IFERROR(VLOOKUP(B184,'Pre-Summary'!$AZ$6:$BE$65,3,FALSE),"")</f>
        <v/>
      </c>
      <c r="AI184" s="10" t="str">
        <f>IFERROR(VLOOKUP(B184,'Pre-Summary'!$AZ$6:$BE$65,5,FALSE),"")</f>
        <v/>
      </c>
      <c r="AJ184" s="10" t="str">
        <f>IFERROR(VLOOKUP(B184,'Pre-Summary'!$AZ$6:$BE$65,4,FALSE),"")</f>
        <v/>
      </c>
      <c r="AK184" s="10" t="str">
        <f>IFERROR(VLOOKUP(B184,'Pre-Summary'!$AZ$6:$BE$65,6,FALSE),"")</f>
        <v/>
      </c>
      <c r="AL184" s="10" t="str">
        <f>IFERROR(VLOOKUP(B184,'Pre-Summary'!$BG$6:$BL$44,3,FALSE),"")</f>
        <v/>
      </c>
      <c r="AM184" s="10" t="str">
        <f>IFERROR(VLOOKUP(B184,'Pre-Summary'!$BG$6:$BL$44,4,FALSE),"")</f>
        <v/>
      </c>
    </row>
    <row r="185" spans="2:39" ht="15" customHeight="1" x14ac:dyDescent="0.3">
      <c r="B185">
        <v>18.2</v>
      </c>
      <c r="C185" t="str">
        <f>IFERROR(VLOOKUP(B185,'Pre-Summary'!$DI$6:$DM$23,4,FALSE),"")</f>
        <v/>
      </c>
      <c r="D185" s="10" t="str">
        <f>IFERROR(VLOOKUP(B185,'Pre-Summary'!$AT$6:$AX$14,5,FALSE),D184)</f>
        <v>DSMZ v1.5: Using DSMZ 120 with NaHCO3</v>
      </c>
      <c r="E185" s="10" t="str">
        <f>IFERROR(VLOOKUP(B185,'Pre-Summary'!$AT$6:$AX$15,4,FALSE),"")</f>
        <v/>
      </c>
      <c r="F185">
        <f>IFERROR(VLOOKUP(B185,'Pre-Summary'!$AL$6:$AQ$13,6,FALSE),F184)</f>
        <v>5.9405263157894746E-2</v>
      </c>
      <c r="G185" t="str">
        <f>IFERROR(VLOOKUP(B185,'Pre-Summary'!$AE$6:$AJ$85,3,FALSE),"")</f>
        <v/>
      </c>
      <c r="H185" t="str">
        <f>IFERROR(VLOOKUP(B185,'Pre-Summary'!$AE$6:$AJ$85,4,FALSE),"")</f>
        <v/>
      </c>
      <c r="I185" t="str">
        <f>IFERROR(VLOOKUP(B185,'Pre-Summary'!$AE$6:$AJ$85,5,FALSE),"")</f>
        <v/>
      </c>
      <c r="J185" s="45" t="str">
        <f>IFERROR(VLOOKUP(B185,'Pre-Summary'!$AE$6:$AJ$85,6, FALSE),"")</f>
        <v/>
      </c>
      <c r="K185" s="45" t="str">
        <f>IFERROR(VLOOKUP(B185,'Pre-Summary'!$DE$6:$DG$61,3,FALSE),"")</f>
        <v/>
      </c>
      <c r="L185" s="45" t="str">
        <f>IFERROR(VLOOKUP(B185,'Pre-Summary'!$CU$6:$CW$36,3,FALSE),"")</f>
        <v/>
      </c>
      <c r="M185" s="45" t="str">
        <f>IFERROR(VLOOKUP(B185,'Pre-Summary'!$BW$6:$BY$58,2,FALSE),"")</f>
        <v/>
      </c>
      <c r="N185" s="45" t="str">
        <f>IFERROR(VLOOKUP(B185,'Pre-Summary'!$CD$6:$CF$64,2,FALSE),"")</f>
        <v/>
      </c>
      <c r="O185" s="99">
        <f>IFERROR(VLOOKUP(B185,'Pre-Summary'!$BO$6:$BQ$48,3, FALSE),O184)</f>
        <v>1.0915248032216731</v>
      </c>
      <c r="P185" s="99">
        <f>IFERROR(VLOOKUP(B185,'Pre-Summary'!$BS$6:$BU$35,3,FALSE),P184)</f>
        <v>0.25</v>
      </c>
      <c r="Q185" s="54">
        <f t="shared" si="6"/>
        <v>4.3660992128866924</v>
      </c>
      <c r="R185" s="53">
        <f>IFERROR(VLOOKUP(B185,'Pre-Summary'!$BG$6:$BM$44,7,FALSE),R186)</f>
        <v>2.7904161219319636E-2</v>
      </c>
      <c r="S185" s="53">
        <f>IFERROR(VLOOKUP(B185,'Pre-Summary'!$BG$6:$BM$44,6,FALSE),S186)</f>
        <v>3.3978715219895171E-2</v>
      </c>
      <c r="T185" s="45" t="str">
        <f>IFERROR(VLOOKUP(B185,'Pre-Summary'!$Y$6:$AC$83, 3,FALSE),"")</f>
        <v/>
      </c>
      <c r="U185" s="45" t="str">
        <f>IFERROR(VLOOKUP(B185,'Pre-Summary'!$Y$6:$AC$83, 4,FALSE),"")</f>
        <v/>
      </c>
      <c r="V185" t="str">
        <f>IFERROR(VLOOKUP(B185,'Pre-Summary'!$Y$6:$AC$83, 5,FALSE),"")</f>
        <v/>
      </c>
      <c r="W185" s="45" t="str">
        <f>IFERROR(VLOOKUP(B185,'Pre-Summary'!$Y$6:$AD$83,6,FALSE),"")</f>
        <v/>
      </c>
      <c r="X185" t="str">
        <f>IFERROR(VLOOKUP('Pre-Summary'!$DB$6:$DD$63,3,FALSE),"")</f>
        <v/>
      </c>
      <c r="Y185" t="str">
        <f>IFERROR(VLOOKUP(B185,'Pre-Summary'!$CR$6:$CT$36,3,FALSE),"")</f>
        <v/>
      </c>
      <c r="Z185" s="45" t="str">
        <f>IFERROR(VLOOKUP(B185,'Pre-Summary'!$BZ$6:$CB$63,2,FALSE),"")</f>
        <v/>
      </c>
      <c r="AA185" s="45" t="str">
        <f>IFERROR(VLOOKUP(B185,'Pre-Summary'!$CG$6:$CI$70,2,FALSE),"")</f>
        <v/>
      </c>
      <c r="AB185" s="99">
        <f>IFERROR(VLOOKUP(B185,'Pre-Summary'!$A$6:$P$178,9,FALSE),AB186)</f>
        <v>0.95192327811817912</v>
      </c>
      <c r="AC185" s="10">
        <f>IFERROR(VLOOKUP(Summary!B185,'Pre-Summary'!$A$6:$P$184,5, FALSE)/100,AC186)</f>
        <v>0.88412199999999985</v>
      </c>
      <c r="AD185" s="10">
        <f>IFERROR(VLOOKUP(Summary!B185,'Pre-Summary'!$A$6:$P$184,3, FALSE)/100,AD186)</f>
        <v>0</v>
      </c>
      <c r="AE185" s="10">
        <f>IFERROR(VLOOKUP(Summary!B185,'Pre-Summary'!$A$6:$P$184,7, FALSE)/100,AE186)</f>
        <v>0.11587800000000001</v>
      </c>
      <c r="AF185" s="99">
        <f t="shared" si="7"/>
        <v>0</v>
      </c>
      <c r="AG185" s="99">
        <f t="shared" si="8"/>
        <v>0.11030696562177837</v>
      </c>
      <c r="AH185" s="10" t="str">
        <f>IFERROR(VLOOKUP(B185,'Pre-Summary'!$AZ$6:$BE$65,3,FALSE),"")</f>
        <v/>
      </c>
      <c r="AI185" s="10" t="str">
        <f>IFERROR(VLOOKUP(B185,'Pre-Summary'!$AZ$6:$BE$65,5,FALSE),"")</f>
        <v/>
      </c>
      <c r="AJ185" s="10" t="str">
        <f>IFERROR(VLOOKUP(B185,'Pre-Summary'!$AZ$6:$BE$65,4,FALSE),"")</f>
        <v/>
      </c>
      <c r="AK185" s="10" t="str">
        <f>IFERROR(VLOOKUP(B185,'Pre-Summary'!$AZ$6:$BE$65,6,FALSE),"")</f>
        <v/>
      </c>
      <c r="AL185" s="10" t="str">
        <f>IFERROR(VLOOKUP(B185,'Pre-Summary'!$BG$6:$BL$44,3,FALSE),"")</f>
        <v/>
      </c>
      <c r="AM185" s="10" t="str">
        <f>IFERROR(VLOOKUP(B185,'Pre-Summary'!$BG$6:$BL$44,4,FALSE),"")</f>
        <v/>
      </c>
    </row>
    <row r="186" spans="2:39" ht="15" customHeight="1" x14ac:dyDescent="0.3">
      <c r="B186">
        <v>18.3</v>
      </c>
      <c r="C186" t="str">
        <f>IFERROR(VLOOKUP(B186,'Pre-Summary'!$DI$6:$DM$23,4,FALSE),"")</f>
        <v/>
      </c>
      <c r="D186" s="10" t="str">
        <f>IFERROR(VLOOKUP(B186,'Pre-Summary'!$AT$6:$AX$14,5,FALSE),D185)</f>
        <v>DSMZ v1.5: Using DSMZ 120 with NaHCO3</v>
      </c>
      <c r="E186" s="10" t="str">
        <f>IFERROR(VLOOKUP(B186,'Pre-Summary'!$AT$6:$AX$15,4,FALSE),"")</f>
        <v/>
      </c>
      <c r="F186">
        <f>IFERROR(VLOOKUP(B186,'Pre-Summary'!$AL$6:$AQ$13,6,FALSE),F185)</f>
        <v>5.9405263157894746E-2</v>
      </c>
      <c r="G186" t="str">
        <f>IFERROR(VLOOKUP(B186,'Pre-Summary'!$AE$6:$AJ$85,3,FALSE),"")</f>
        <v/>
      </c>
      <c r="H186" t="str">
        <f>IFERROR(VLOOKUP(B186,'Pre-Summary'!$AE$6:$AJ$85,4,FALSE),"")</f>
        <v/>
      </c>
      <c r="I186" t="str">
        <f>IFERROR(VLOOKUP(B186,'Pre-Summary'!$AE$6:$AJ$85,5,FALSE),"")</f>
        <v/>
      </c>
      <c r="J186" s="45" t="str">
        <f>IFERROR(VLOOKUP(B186,'Pre-Summary'!$AE$6:$AJ$85,6, FALSE),"")</f>
        <v/>
      </c>
      <c r="K186" s="45" t="str">
        <f>IFERROR(VLOOKUP(B186,'Pre-Summary'!$DE$6:$DG$61,3,FALSE),"")</f>
        <v/>
      </c>
      <c r="L186" s="45" t="str">
        <f>IFERROR(VLOOKUP(B186,'Pre-Summary'!$CU$6:$CW$36,3,FALSE),"")</f>
        <v/>
      </c>
      <c r="M186" s="45" t="str">
        <f>IFERROR(VLOOKUP(B186,'Pre-Summary'!$BW$6:$BY$58,2,FALSE),"")</f>
        <v/>
      </c>
      <c r="N186" s="45" t="str">
        <f>IFERROR(VLOOKUP(B186,'Pre-Summary'!$CD$6:$CF$64,2,FALSE),"")</f>
        <v/>
      </c>
      <c r="O186" s="99">
        <f>IFERROR(VLOOKUP(B186,'Pre-Summary'!$BO$6:$BQ$48,3, FALSE),O185)</f>
        <v>1.0915248032216731</v>
      </c>
      <c r="P186" s="99">
        <f>IFERROR(VLOOKUP(B186,'Pre-Summary'!$BS$6:$BU$35,3,FALSE),P185)</f>
        <v>0.25</v>
      </c>
      <c r="Q186" s="54">
        <f t="shared" si="6"/>
        <v>4.3660992128866924</v>
      </c>
      <c r="R186" s="53">
        <f>IFERROR(VLOOKUP(B186,'Pre-Summary'!$BG$6:$BM$44,7,FALSE),R187)</f>
        <v>2.7904161219319636E-2</v>
      </c>
      <c r="S186" s="53">
        <f>IFERROR(VLOOKUP(B186,'Pre-Summary'!$BG$6:$BM$44,6,FALSE),S187)</f>
        <v>3.3978715219895171E-2</v>
      </c>
      <c r="T186" s="45" t="str">
        <f>IFERROR(VLOOKUP(B186,'Pre-Summary'!$Y$6:$AC$83, 3,FALSE),"")</f>
        <v/>
      </c>
      <c r="U186" s="45" t="str">
        <f>IFERROR(VLOOKUP(B186,'Pre-Summary'!$Y$6:$AC$83, 4,FALSE),"")</f>
        <v/>
      </c>
      <c r="V186" t="str">
        <f>IFERROR(VLOOKUP(B186,'Pre-Summary'!$Y$6:$AC$83, 5,FALSE),"")</f>
        <v/>
      </c>
      <c r="W186" s="45" t="str">
        <f>IFERROR(VLOOKUP(B186,'Pre-Summary'!$Y$6:$AD$83,6,FALSE),"")</f>
        <v/>
      </c>
      <c r="X186" t="str">
        <f>IFERROR(VLOOKUP('Pre-Summary'!$DB$6:$DD$63,3,FALSE),"")</f>
        <v/>
      </c>
      <c r="Y186" t="str">
        <f>IFERROR(VLOOKUP(B186,'Pre-Summary'!$CR$6:$CT$36,3,FALSE),"")</f>
        <v/>
      </c>
      <c r="Z186" s="45" t="str">
        <f>IFERROR(VLOOKUP(B186,'Pre-Summary'!$BZ$6:$CB$63,2,FALSE),"")</f>
        <v/>
      </c>
      <c r="AA186" s="45" t="str">
        <f>IFERROR(VLOOKUP(B186,'Pre-Summary'!$CG$6:$CI$70,2,FALSE),"")</f>
        <v/>
      </c>
      <c r="AB186" s="99">
        <f>IFERROR(VLOOKUP(B186,'Pre-Summary'!$A$6:$P$178,9,FALSE),AB187)</f>
        <v>0.95192327811817912</v>
      </c>
      <c r="AC186" s="10">
        <f>IFERROR(VLOOKUP(Summary!B186,'Pre-Summary'!$A$6:$P$184,5, FALSE)/100,AC187)</f>
        <v>0.88412199999999985</v>
      </c>
      <c r="AD186" s="10">
        <f>IFERROR(VLOOKUP(Summary!B186,'Pre-Summary'!$A$6:$P$184,3, FALSE)/100,AD187)</f>
        <v>0</v>
      </c>
      <c r="AE186" s="10">
        <f>IFERROR(VLOOKUP(Summary!B186,'Pre-Summary'!$A$6:$P$184,7, FALSE)/100,AE187)</f>
        <v>0.11587800000000001</v>
      </c>
      <c r="AF186" s="99">
        <f t="shared" si="7"/>
        <v>0</v>
      </c>
      <c r="AG186" s="99">
        <f t="shared" si="8"/>
        <v>0.11030696562177837</v>
      </c>
      <c r="AH186" s="10" t="str">
        <f>IFERROR(VLOOKUP(B186,'Pre-Summary'!$AZ$6:$BE$65,3,FALSE),"")</f>
        <v/>
      </c>
      <c r="AI186" s="10" t="str">
        <f>IFERROR(VLOOKUP(B186,'Pre-Summary'!$AZ$6:$BE$65,5,FALSE),"")</f>
        <v/>
      </c>
      <c r="AJ186" s="10" t="str">
        <f>IFERROR(VLOOKUP(B186,'Pre-Summary'!$AZ$6:$BE$65,4,FALSE),"")</f>
        <v/>
      </c>
      <c r="AK186" s="10" t="str">
        <f>IFERROR(VLOOKUP(B186,'Pre-Summary'!$AZ$6:$BE$65,6,FALSE),"")</f>
        <v/>
      </c>
      <c r="AL186" s="10" t="str">
        <f>IFERROR(VLOOKUP(B186,'Pre-Summary'!$BG$6:$BL$44,3,FALSE),"")</f>
        <v/>
      </c>
      <c r="AM186" s="10" t="str">
        <f>IFERROR(VLOOKUP(B186,'Pre-Summary'!$BG$6:$BL$44,4,FALSE),"")</f>
        <v/>
      </c>
    </row>
    <row r="187" spans="2:39" ht="15" customHeight="1" x14ac:dyDescent="0.3">
      <c r="B187">
        <v>18.399999999999999</v>
      </c>
      <c r="C187" t="str">
        <f>IFERROR(VLOOKUP(B187,'Pre-Summary'!$DI$6:$DM$23,4,FALSE),"")</f>
        <v/>
      </c>
      <c r="D187" s="10" t="str">
        <f>IFERROR(VLOOKUP(B187,'Pre-Summary'!$AT$6:$AX$14,5,FALSE),D186)</f>
        <v>DSMZ v1.5: Using DSMZ 120 with NaHCO3</v>
      </c>
      <c r="E187" s="10" t="str">
        <f>IFERROR(VLOOKUP(B187,'Pre-Summary'!$AT$6:$AX$15,4,FALSE),"")</f>
        <v/>
      </c>
      <c r="F187">
        <f>IFERROR(VLOOKUP(B187,'Pre-Summary'!$AL$6:$AQ$13,6,FALSE),F186)</f>
        <v>5.9405263157894746E-2</v>
      </c>
      <c r="G187" t="str">
        <f>IFERROR(VLOOKUP(B187,'Pre-Summary'!$AE$6:$AJ$85,3,FALSE),"")</f>
        <v/>
      </c>
      <c r="H187" t="str">
        <f>IFERROR(VLOOKUP(B187,'Pre-Summary'!$AE$6:$AJ$85,4,FALSE),"")</f>
        <v/>
      </c>
      <c r="I187" t="str">
        <f>IFERROR(VLOOKUP(B187,'Pre-Summary'!$AE$6:$AJ$85,5,FALSE),"")</f>
        <v/>
      </c>
      <c r="J187" s="45" t="str">
        <f>IFERROR(VLOOKUP(B187,'Pre-Summary'!$AE$6:$AJ$85,6, FALSE),"")</f>
        <v/>
      </c>
      <c r="K187" s="45" t="str">
        <f>IFERROR(VLOOKUP(B187,'Pre-Summary'!$DE$6:$DG$61,3,FALSE),"")</f>
        <v/>
      </c>
      <c r="L187" s="45" t="str">
        <f>IFERROR(VLOOKUP(B187,'Pre-Summary'!$CU$6:$CW$36,3,FALSE),"")</f>
        <v/>
      </c>
      <c r="M187" s="45" t="str">
        <f>IFERROR(VLOOKUP(B187,'Pre-Summary'!$BW$6:$BY$58,2,FALSE),"")</f>
        <v/>
      </c>
      <c r="N187" s="45" t="str">
        <f>IFERROR(VLOOKUP(B187,'Pre-Summary'!$CD$6:$CF$64,2,FALSE),"")</f>
        <v/>
      </c>
      <c r="O187" s="99">
        <f>IFERROR(VLOOKUP(B187,'Pre-Summary'!$BO$6:$BQ$48,3, FALSE),O186)</f>
        <v>1.0915248032216731</v>
      </c>
      <c r="P187" s="99">
        <f>IFERROR(VLOOKUP(B187,'Pre-Summary'!$BS$6:$BU$35,3,FALSE),P186)</f>
        <v>0.25</v>
      </c>
      <c r="Q187" s="54">
        <f t="shared" si="6"/>
        <v>4.3660992128866924</v>
      </c>
      <c r="R187" s="53">
        <f>IFERROR(VLOOKUP(B187,'Pre-Summary'!$BG$6:$BM$44,7,FALSE),R188)</f>
        <v>2.7904161219319636E-2</v>
      </c>
      <c r="S187" s="53">
        <f>IFERROR(VLOOKUP(B187,'Pre-Summary'!$BG$6:$BM$44,6,FALSE),S188)</f>
        <v>3.3978715219895171E-2</v>
      </c>
      <c r="T187" s="45" t="str">
        <f>IFERROR(VLOOKUP(B187,'Pre-Summary'!$Y$6:$AC$83, 3,FALSE),"")</f>
        <v/>
      </c>
      <c r="U187" s="45" t="str">
        <f>IFERROR(VLOOKUP(B187,'Pre-Summary'!$Y$6:$AC$83, 4,FALSE),"")</f>
        <v/>
      </c>
      <c r="V187" t="str">
        <f>IFERROR(VLOOKUP(B187,'Pre-Summary'!$Y$6:$AC$83, 5,FALSE),"")</f>
        <v/>
      </c>
      <c r="W187" s="45" t="str">
        <f>IFERROR(VLOOKUP(B187,'Pre-Summary'!$Y$6:$AD$83,6,FALSE),"")</f>
        <v/>
      </c>
      <c r="X187" t="str">
        <f>IFERROR(VLOOKUP('Pre-Summary'!$DB$6:$DD$63,3,FALSE),"")</f>
        <v/>
      </c>
      <c r="Y187" t="str">
        <f>IFERROR(VLOOKUP(B187,'Pre-Summary'!$CR$6:$CT$36,3,FALSE),"")</f>
        <v/>
      </c>
      <c r="Z187" s="45" t="str">
        <f>IFERROR(VLOOKUP(B187,'Pre-Summary'!$BZ$6:$CB$63,2,FALSE),"")</f>
        <v/>
      </c>
      <c r="AA187" s="45" t="str">
        <f>IFERROR(VLOOKUP(B187,'Pre-Summary'!$CG$6:$CI$70,2,FALSE),"")</f>
        <v/>
      </c>
      <c r="AB187" s="99">
        <f>IFERROR(VLOOKUP(B187,'Pre-Summary'!$A$6:$P$178,9,FALSE),AB188)</f>
        <v>0.95192327811817912</v>
      </c>
      <c r="AC187" s="10">
        <f>IFERROR(VLOOKUP(Summary!B187,'Pre-Summary'!$A$6:$P$184,5, FALSE)/100,AC188)</f>
        <v>0.88412199999999985</v>
      </c>
      <c r="AD187" s="10">
        <f>IFERROR(VLOOKUP(Summary!B187,'Pre-Summary'!$A$6:$P$184,3, FALSE)/100,AD188)</f>
        <v>0</v>
      </c>
      <c r="AE187" s="10">
        <f>IFERROR(VLOOKUP(Summary!B187,'Pre-Summary'!$A$6:$P$184,7, FALSE)/100,AE188)</f>
        <v>0.11587800000000001</v>
      </c>
      <c r="AF187" s="99">
        <f t="shared" si="7"/>
        <v>0</v>
      </c>
      <c r="AG187" s="99">
        <f t="shared" si="8"/>
        <v>0.11030696562177837</v>
      </c>
      <c r="AH187" s="10" t="str">
        <f>IFERROR(VLOOKUP(B187,'Pre-Summary'!$AZ$6:$BE$65,3,FALSE),"")</f>
        <v/>
      </c>
      <c r="AI187" s="10" t="str">
        <f>IFERROR(VLOOKUP(B187,'Pre-Summary'!$AZ$6:$BE$65,5,FALSE),"")</f>
        <v/>
      </c>
      <c r="AJ187" s="10" t="str">
        <f>IFERROR(VLOOKUP(B187,'Pre-Summary'!$AZ$6:$BE$65,4,FALSE),"")</f>
        <v/>
      </c>
      <c r="AK187" s="10" t="str">
        <f>IFERROR(VLOOKUP(B187,'Pre-Summary'!$AZ$6:$BE$65,6,FALSE),"")</f>
        <v/>
      </c>
      <c r="AL187" s="10" t="str">
        <f>IFERROR(VLOOKUP(B187,'Pre-Summary'!$BG$6:$BL$44,3,FALSE),"")</f>
        <v/>
      </c>
      <c r="AM187" s="10" t="str">
        <f>IFERROR(VLOOKUP(B187,'Pre-Summary'!$BG$6:$BL$44,4,FALSE),"")</f>
        <v/>
      </c>
    </row>
    <row r="188" spans="2:39" ht="15" customHeight="1" x14ac:dyDescent="0.3">
      <c r="B188">
        <v>18.5</v>
      </c>
      <c r="C188" t="str">
        <f>IFERROR(VLOOKUP(B188,'Pre-Summary'!$DI$6:$DM$23,4,FALSE),"")</f>
        <v/>
      </c>
      <c r="D188" s="10" t="str">
        <f>IFERROR(VLOOKUP(B188,'Pre-Summary'!$AT$6:$AX$14,5,FALSE),D187)</f>
        <v>DSMZ v1.5: Using DSMZ 120 with NaHCO3</v>
      </c>
      <c r="E188" s="10" t="str">
        <f>IFERROR(VLOOKUP(B188,'Pre-Summary'!$AT$6:$AX$15,4,FALSE),"")</f>
        <v/>
      </c>
      <c r="F188">
        <f>IFERROR(VLOOKUP(B188,'Pre-Summary'!$AL$6:$AQ$13,6,FALSE),F187)</f>
        <v>5.9405263157894746E-2</v>
      </c>
      <c r="G188" t="str">
        <f>IFERROR(VLOOKUP(B188,'Pre-Summary'!$AE$6:$AJ$85,3,FALSE),"")</f>
        <v/>
      </c>
      <c r="H188" t="str">
        <f>IFERROR(VLOOKUP(B188,'Pre-Summary'!$AE$6:$AJ$85,4,FALSE),"")</f>
        <v/>
      </c>
      <c r="I188" t="str">
        <f>IFERROR(VLOOKUP(B188,'Pre-Summary'!$AE$6:$AJ$85,5,FALSE),"")</f>
        <v/>
      </c>
      <c r="J188" s="45" t="str">
        <f>IFERROR(VLOOKUP(B188,'Pre-Summary'!$AE$6:$AJ$85,6, FALSE),"")</f>
        <v/>
      </c>
      <c r="K188" s="45" t="str">
        <f>IFERROR(VLOOKUP(B188,'Pre-Summary'!$DE$6:$DG$61,3,FALSE),"")</f>
        <v/>
      </c>
      <c r="L188" s="45" t="str">
        <f>IFERROR(VLOOKUP(B188,'Pre-Summary'!$CU$6:$CW$36,3,FALSE),"")</f>
        <v/>
      </c>
      <c r="M188" s="45" t="str">
        <f>IFERROR(VLOOKUP(B188,'Pre-Summary'!$BW$6:$BY$58,2,FALSE),"")</f>
        <v/>
      </c>
      <c r="N188" s="45" t="str">
        <f>IFERROR(VLOOKUP(B188,'Pre-Summary'!$CD$6:$CF$64,2,FALSE),"")</f>
        <v/>
      </c>
      <c r="O188" s="99">
        <f>IFERROR(VLOOKUP(B188,'Pre-Summary'!$BO$6:$BQ$48,3, FALSE),O187)</f>
        <v>1.0915248032216731</v>
      </c>
      <c r="P188" s="99">
        <f>IFERROR(VLOOKUP(B188,'Pre-Summary'!$BS$6:$BU$35,3,FALSE),P187)</f>
        <v>0.25</v>
      </c>
      <c r="Q188" s="54">
        <f t="shared" si="6"/>
        <v>4.3660992128866924</v>
      </c>
      <c r="R188" s="53">
        <f>IFERROR(VLOOKUP(B188,'Pre-Summary'!$BG$6:$BM$44,7,FALSE),R189)</f>
        <v>2.7904161219319636E-2</v>
      </c>
      <c r="S188" s="53">
        <f>IFERROR(VLOOKUP(B188,'Pre-Summary'!$BG$6:$BM$44,6,FALSE),S189)</f>
        <v>3.3978715219895171E-2</v>
      </c>
      <c r="T188" s="45" t="str">
        <f>IFERROR(VLOOKUP(B188,'Pre-Summary'!$Y$6:$AC$83, 3,FALSE),"")</f>
        <v/>
      </c>
      <c r="U188" s="45" t="str">
        <f>IFERROR(VLOOKUP(B188,'Pre-Summary'!$Y$6:$AC$83, 4,FALSE),"")</f>
        <v/>
      </c>
      <c r="V188" t="str">
        <f>IFERROR(VLOOKUP(B188,'Pre-Summary'!$Y$6:$AC$83, 5,FALSE),"")</f>
        <v/>
      </c>
      <c r="W188" s="45" t="str">
        <f>IFERROR(VLOOKUP(B188,'Pre-Summary'!$Y$6:$AD$83,6,FALSE),"")</f>
        <v/>
      </c>
      <c r="X188" t="str">
        <f>IFERROR(VLOOKUP('Pre-Summary'!$DB$6:$DD$63,3,FALSE),"")</f>
        <v/>
      </c>
      <c r="Y188" t="str">
        <f>IFERROR(VLOOKUP(B188,'Pre-Summary'!$CR$6:$CT$36,3,FALSE),"")</f>
        <v/>
      </c>
      <c r="Z188" s="45" t="str">
        <f>IFERROR(VLOOKUP(B188,'Pre-Summary'!$BZ$6:$CB$63,2,FALSE),"")</f>
        <v/>
      </c>
      <c r="AA188" s="45" t="str">
        <f>IFERROR(VLOOKUP(B188,'Pre-Summary'!$CG$6:$CI$70,2,FALSE),"")</f>
        <v/>
      </c>
      <c r="AB188" s="99">
        <f>IFERROR(VLOOKUP(B188,'Pre-Summary'!$A$6:$P$178,9,FALSE),AB189)</f>
        <v>0.95192327811817912</v>
      </c>
      <c r="AC188" s="10">
        <f>IFERROR(VLOOKUP(Summary!B188,'Pre-Summary'!$A$6:$P$184,5, FALSE)/100,AC189)</f>
        <v>0.88412199999999985</v>
      </c>
      <c r="AD188" s="10">
        <f>IFERROR(VLOOKUP(Summary!B188,'Pre-Summary'!$A$6:$P$184,3, FALSE)/100,AD189)</f>
        <v>0</v>
      </c>
      <c r="AE188" s="10">
        <f>IFERROR(VLOOKUP(Summary!B188,'Pre-Summary'!$A$6:$P$184,7, FALSE)/100,AE189)</f>
        <v>0.11587800000000001</v>
      </c>
      <c r="AF188" s="99">
        <f t="shared" si="7"/>
        <v>0</v>
      </c>
      <c r="AG188" s="99">
        <f t="shared" si="8"/>
        <v>0.11030696562177837</v>
      </c>
      <c r="AH188" s="10" t="str">
        <f>IFERROR(VLOOKUP(B188,'Pre-Summary'!$AZ$6:$BE$65,3,FALSE),"")</f>
        <v/>
      </c>
      <c r="AI188" s="10" t="str">
        <f>IFERROR(VLOOKUP(B188,'Pre-Summary'!$AZ$6:$BE$65,5,FALSE),"")</f>
        <v/>
      </c>
      <c r="AJ188" s="10" t="str">
        <f>IFERROR(VLOOKUP(B188,'Pre-Summary'!$AZ$6:$BE$65,4,FALSE),"")</f>
        <v/>
      </c>
      <c r="AK188" s="10" t="str">
        <f>IFERROR(VLOOKUP(B188,'Pre-Summary'!$AZ$6:$BE$65,6,FALSE),"")</f>
        <v/>
      </c>
      <c r="AL188" s="10" t="str">
        <f>IFERROR(VLOOKUP(B188,'Pre-Summary'!$BG$6:$BL$44,3,FALSE),"")</f>
        <v/>
      </c>
      <c r="AM188" s="10" t="str">
        <f>IFERROR(VLOOKUP(B188,'Pre-Summary'!$BG$6:$BL$44,4,FALSE),"")</f>
        <v/>
      </c>
    </row>
    <row r="189" spans="2:39" ht="15" customHeight="1" x14ac:dyDescent="0.3">
      <c r="B189">
        <v>18.600000000000001</v>
      </c>
      <c r="C189" t="str">
        <f>IFERROR(VLOOKUP(B189,'Pre-Summary'!$DI$6:$DM$23,4,FALSE),"")</f>
        <v/>
      </c>
      <c r="D189" s="10" t="str">
        <f>IFERROR(VLOOKUP(B189,'Pre-Summary'!$AT$6:$AX$14,5,FALSE),D188)</f>
        <v>DSMZ v1.5: Using DSMZ 120 with NaHCO3</v>
      </c>
      <c r="E189" s="10" t="str">
        <f>IFERROR(VLOOKUP(B189,'Pre-Summary'!$AT$6:$AX$15,4,FALSE),"")</f>
        <v/>
      </c>
      <c r="F189">
        <f>IFERROR(VLOOKUP(B189,'Pre-Summary'!$AL$6:$AQ$13,6,FALSE),F188)</f>
        <v>5.9405263157894746E-2</v>
      </c>
      <c r="G189" t="str">
        <f>IFERROR(VLOOKUP(B189,'Pre-Summary'!$AE$6:$AJ$85,3,FALSE),"")</f>
        <v/>
      </c>
      <c r="H189" t="str">
        <f>IFERROR(VLOOKUP(B189,'Pre-Summary'!$AE$6:$AJ$85,4,FALSE),"")</f>
        <v/>
      </c>
      <c r="I189" t="str">
        <f>IFERROR(VLOOKUP(B189,'Pre-Summary'!$AE$6:$AJ$85,5,FALSE),"")</f>
        <v/>
      </c>
      <c r="J189" s="45" t="str">
        <f>IFERROR(VLOOKUP(B189,'Pre-Summary'!$AE$6:$AJ$85,6, FALSE),"")</f>
        <v/>
      </c>
      <c r="K189" s="45" t="str">
        <f>IFERROR(VLOOKUP(B189,'Pre-Summary'!$DE$6:$DG$61,3,FALSE),"")</f>
        <v/>
      </c>
      <c r="L189" s="45" t="str">
        <f>IFERROR(VLOOKUP(B189,'Pre-Summary'!$CU$6:$CW$36,3,FALSE),"")</f>
        <v/>
      </c>
      <c r="M189" s="45" t="str">
        <f>IFERROR(VLOOKUP(B189,'Pre-Summary'!$BW$6:$BY$58,2,FALSE),"")</f>
        <v/>
      </c>
      <c r="N189" s="45" t="str">
        <f>IFERROR(VLOOKUP(B189,'Pre-Summary'!$CD$6:$CF$64,2,FALSE),"")</f>
        <v/>
      </c>
      <c r="O189" s="99">
        <f>IFERROR(VLOOKUP(B189,'Pre-Summary'!$BO$6:$BQ$48,3, FALSE),O188)</f>
        <v>1.0915248032216731</v>
      </c>
      <c r="P189" s="99">
        <f>IFERROR(VLOOKUP(B189,'Pre-Summary'!$BS$6:$BU$35,3,FALSE),P188)</f>
        <v>0.25</v>
      </c>
      <c r="Q189" s="54">
        <f t="shared" si="6"/>
        <v>4.3660992128866924</v>
      </c>
      <c r="R189" s="53">
        <f>IFERROR(VLOOKUP(B189,'Pre-Summary'!$BG$6:$BM$44,7,FALSE),R190)</f>
        <v>2.7904161219319636E-2</v>
      </c>
      <c r="S189" s="53">
        <f>IFERROR(VLOOKUP(B189,'Pre-Summary'!$BG$6:$BM$44,6,FALSE),S190)</f>
        <v>3.3978715219895171E-2</v>
      </c>
      <c r="T189" s="45" t="str">
        <f>IFERROR(VLOOKUP(B189,'Pre-Summary'!$Y$6:$AC$83, 3,FALSE),"")</f>
        <v/>
      </c>
      <c r="U189" s="45" t="str">
        <f>IFERROR(VLOOKUP(B189,'Pre-Summary'!$Y$6:$AC$83, 4,FALSE),"")</f>
        <v/>
      </c>
      <c r="V189" t="str">
        <f>IFERROR(VLOOKUP(B189,'Pre-Summary'!$Y$6:$AC$83, 5,FALSE),"")</f>
        <v/>
      </c>
      <c r="W189" s="45" t="str">
        <f>IFERROR(VLOOKUP(B189,'Pre-Summary'!$Y$6:$AD$83,6,FALSE),"")</f>
        <v/>
      </c>
      <c r="X189" t="str">
        <f>IFERROR(VLOOKUP('Pre-Summary'!$DB$6:$DD$63,3,FALSE),"")</f>
        <v/>
      </c>
      <c r="Y189" t="str">
        <f>IFERROR(VLOOKUP(B189,'Pre-Summary'!$CR$6:$CT$36,3,FALSE),"")</f>
        <v/>
      </c>
      <c r="Z189" s="45" t="str">
        <f>IFERROR(VLOOKUP(B189,'Pre-Summary'!$BZ$6:$CB$63,2,FALSE),"")</f>
        <v/>
      </c>
      <c r="AA189" s="45" t="str">
        <f>IFERROR(VLOOKUP(B189,'Pre-Summary'!$CG$6:$CI$70,2,FALSE),"")</f>
        <v/>
      </c>
      <c r="AB189" s="99">
        <f>IFERROR(VLOOKUP(B189,'Pre-Summary'!$A$6:$P$178,9,FALSE),AB190)</f>
        <v>0.95192327811817912</v>
      </c>
      <c r="AC189" s="10">
        <f>IFERROR(VLOOKUP(Summary!B189,'Pre-Summary'!$A$6:$P$184,5, FALSE)/100,AC190)</f>
        <v>0.88412199999999985</v>
      </c>
      <c r="AD189" s="10">
        <f>IFERROR(VLOOKUP(Summary!B189,'Pre-Summary'!$A$6:$P$184,3, FALSE)/100,AD190)</f>
        <v>0</v>
      </c>
      <c r="AE189" s="10">
        <f>IFERROR(VLOOKUP(Summary!B189,'Pre-Summary'!$A$6:$P$184,7, FALSE)/100,AE190)</f>
        <v>0.11587800000000001</v>
      </c>
      <c r="AF189" s="99">
        <f t="shared" si="7"/>
        <v>0</v>
      </c>
      <c r="AG189" s="99">
        <f t="shared" si="8"/>
        <v>0.11030696562177837</v>
      </c>
      <c r="AH189" s="10" t="str">
        <f>IFERROR(VLOOKUP(B189,'Pre-Summary'!$AZ$6:$BE$65,3,FALSE),"")</f>
        <v/>
      </c>
      <c r="AI189" s="10" t="str">
        <f>IFERROR(VLOOKUP(B189,'Pre-Summary'!$AZ$6:$BE$65,5,FALSE),"")</f>
        <v/>
      </c>
      <c r="AJ189" s="10" t="str">
        <f>IFERROR(VLOOKUP(B189,'Pre-Summary'!$AZ$6:$BE$65,4,FALSE),"")</f>
        <v/>
      </c>
      <c r="AK189" s="10" t="str">
        <f>IFERROR(VLOOKUP(B189,'Pre-Summary'!$AZ$6:$BE$65,6,FALSE),"")</f>
        <v/>
      </c>
      <c r="AL189" s="10" t="str">
        <f>IFERROR(VLOOKUP(B189,'Pre-Summary'!$BG$6:$BL$44,3,FALSE),"")</f>
        <v/>
      </c>
      <c r="AM189" s="10" t="str">
        <f>IFERROR(VLOOKUP(B189,'Pre-Summary'!$BG$6:$BL$44,4,FALSE),"")</f>
        <v/>
      </c>
    </row>
    <row r="190" spans="2:39" ht="15" customHeight="1" x14ac:dyDescent="0.3">
      <c r="B190">
        <v>18.7</v>
      </c>
      <c r="C190" t="str">
        <f>IFERROR(VLOOKUP(B190,'Pre-Summary'!$DI$6:$DM$23,4,FALSE),"")</f>
        <v/>
      </c>
      <c r="D190" s="10" t="str">
        <f>IFERROR(VLOOKUP(B190,'Pre-Summary'!$AT$6:$AX$14,5,FALSE),D189)</f>
        <v>DSMZ v1.5: Using DSMZ 120 with NaHCO3</v>
      </c>
      <c r="E190" s="10" t="str">
        <f>IFERROR(VLOOKUP(B190,'Pre-Summary'!$AT$6:$AX$15,4,FALSE),"")</f>
        <v/>
      </c>
      <c r="F190">
        <f>IFERROR(VLOOKUP(B190,'Pre-Summary'!$AL$6:$AQ$13,6,FALSE),F189)</f>
        <v>5.9405263157894746E-2</v>
      </c>
      <c r="G190" t="str">
        <f>IFERROR(VLOOKUP(B190,'Pre-Summary'!$AE$6:$AJ$85,3,FALSE),"")</f>
        <v/>
      </c>
      <c r="H190" t="str">
        <f>IFERROR(VLOOKUP(B190,'Pre-Summary'!$AE$6:$AJ$85,4,FALSE),"")</f>
        <v/>
      </c>
      <c r="I190" t="str">
        <f>IFERROR(VLOOKUP(B190,'Pre-Summary'!$AE$6:$AJ$85,5,FALSE),"")</f>
        <v/>
      </c>
      <c r="J190" s="45" t="str">
        <f>IFERROR(VLOOKUP(B190,'Pre-Summary'!$AE$6:$AJ$85,6, FALSE),"")</f>
        <v/>
      </c>
      <c r="K190" s="45" t="str">
        <f>IFERROR(VLOOKUP(B190,'Pre-Summary'!$DE$6:$DG$61,3,FALSE),"")</f>
        <v/>
      </c>
      <c r="L190" s="45" t="str">
        <f>IFERROR(VLOOKUP(B190,'Pre-Summary'!$CU$6:$CW$36,3,FALSE),"")</f>
        <v/>
      </c>
      <c r="M190" s="45" t="str">
        <f>IFERROR(VLOOKUP(B190,'Pre-Summary'!$BW$6:$BY$58,2,FALSE),"")</f>
        <v/>
      </c>
      <c r="N190" s="45" t="str">
        <f>IFERROR(VLOOKUP(B190,'Pre-Summary'!$CD$6:$CF$64,2,FALSE),"")</f>
        <v/>
      </c>
      <c r="O190" s="99">
        <f>IFERROR(VLOOKUP(B190,'Pre-Summary'!$BO$6:$BQ$48,3, FALSE),O189)</f>
        <v>1.0915248032216731</v>
      </c>
      <c r="P190" s="99">
        <f>IFERROR(VLOOKUP(B190,'Pre-Summary'!$BS$6:$BU$35,3,FALSE),P189)</f>
        <v>0.25</v>
      </c>
      <c r="Q190" s="54">
        <f t="shared" si="6"/>
        <v>4.3660992128866924</v>
      </c>
      <c r="R190" s="53">
        <f>IFERROR(VLOOKUP(B190,'Pre-Summary'!$BG$6:$BM$44,7,FALSE),R191)</f>
        <v>2.7904161219319636E-2</v>
      </c>
      <c r="S190" s="53">
        <f>IFERROR(VLOOKUP(B190,'Pre-Summary'!$BG$6:$BM$44,6,FALSE),S191)</f>
        <v>3.3978715219895171E-2</v>
      </c>
      <c r="T190" s="45" t="str">
        <f>IFERROR(VLOOKUP(B190,'Pre-Summary'!$Y$6:$AC$83, 3,FALSE),"")</f>
        <v/>
      </c>
      <c r="U190" s="45" t="str">
        <f>IFERROR(VLOOKUP(B190,'Pre-Summary'!$Y$6:$AC$83, 4,FALSE),"")</f>
        <v/>
      </c>
      <c r="V190" t="str">
        <f>IFERROR(VLOOKUP(B190,'Pre-Summary'!$Y$6:$AC$83, 5,FALSE),"")</f>
        <v/>
      </c>
      <c r="W190" s="45" t="str">
        <f>IFERROR(VLOOKUP(B190,'Pre-Summary'!$Y$6:$AD$83,6,FALSE),"")</f>
        <v/>
      </c>
      <c r="X190" t="str">
        <f>IFERROR(VLOOKUP('Pre-Summary'!$DB$6:$DD$63,3,FALSE),"")</f>
        <v/>
      </c>
      <c r="Y190" t="str">
        <f>IFERROR(VLOOKUP(B190,'Pre-Summary'!$CR$6:$CT$36,3,FALSE),"")</f>
        <v/>
      </c>
      <c r="Z190" s="45" t="str">
        <f>IFERROR(VLOOKUP(B190,'Pre-Summary'!$BZ$6:$CB$63,2,FALSE),"")</f>
        <v/>
      </c>
      <c r="AA190" s="45" t="str">
        <f>IFERROR(VLOOKUP(B190,'Pre-Summary'!$CG$6:$CI$70,2,FALSE),"")</f>
        <v/>
      </c>
      <c r="AB190" s="99">
        <f>IFERROR(VLOOKUP(B190,'Pre-Summary'!$A$6:$P$178,9,FALSE),AB191)</f>
        <v>0.95192327811817912</v>
      </c>
      <c r="AC190" s="10">
        <f>IFERROR(VLOOKUP(Summary!B190,'Pre-Summary'!$A$6:$P$184,5, FALSE)/100,AC191)</f>
        <v>0.88412199999999985</v>
      </c>
      <c r="AD190" s="10">
        <f>IFERROR(VLOOKUP(Summary!B190,'Pre-Summary'!$A$6:$P$184,3, FALSE)/100,AD191)</f>
        <v>0</v>
      </c>
      <c r="AE190" s="10">
        <f>IFERROR(VLOOKUP(Summary!B190,'Pre-Summary'!$A$6:$P$184,7, FALSE)/100,AE191)</f>
        <v>0.11587800000000001</v>
      </c>
      <c r="AF190" s="99">
        <f t="shared" si="7"/>
        <v>0</v>
      </c>
      <c r="AG190" s="99">
        <f t="shared" si="8"/>
        <v>0.11030696562177837</v>
      </c>
      <c r="AH190" s="10" t="str">
        <f>IFERROR(VLOOKUP(B190,'Pre-Summary'!$AZ$6:$BE$65,3,FALSE),"")</f>
        <v/>
      </c>
      <c r="AI190" s="10" t="str">
        <f>IFERROR(VLOOKUP(B190,'Pre-Summary'!$AZ$6:$BE$65,5,FALSE),"")</f>
        <v/>
      </c>
      <c r="AJ190" s="10" t="str">
        <f>IFERROR(VLOOKUP(B190,'Pre-Summary'!$AZ$6:$BE$65,4,FALSE),"")</f>
        <v/>
      </c>
      <c r="AK190" s="10" t="str">
        <f>IFERROR(VLOOKUP(B190,'Pre-Summary'!$AZ$6:$BE$65,6,FALSE),"")</f>
        <v/>
      </c>
      <c r="AL190" s="10" t="str">
        <f>IFERROR(VLOOKUP(B190,'Pre-Summary'!$BG$6:$BL$44,3,FALSE),"")</f>
        <v/>
      </c>
      <c r="AM190" s="10" t="str">
        <f>IFERROR(VLOOKUP(B190,'Pre-Summary'!$BG$6:$BL$44,4,FALSE),"")</f>
        <v/>
      </c>
    </row>
    <row r="191" spans="2:39" ht="15" customHeight="1" x14ac:dyDescent="0.3">
      <c r="B191">
        <v>18.8</v>
      </c>
      <c r="C191" t="str">
        <f>IFERROR(VLOOKUP(B191,'Pre-Summary'!$DI$6:$DM$23,4,FALSE),"")</f>
        <v/>
      </c>
      <c r="D191" s="10" t="str">
        <f>IFERROR(VLOOKUP(B191,'Pre-Summary'!$AT$6:$AX$14,5,FALSE),D190)</f>
        <v>DSMZ v1.5: Using DSMZ 120 with NaHCO3</v>
      </c>
      <c r="E191" s="10" t="str">
        <f>IFERROR(VLOOKUP(B191,'Pre-Summary'!$AT$6:$AX$15,4,FALSE),"")</f>
        <v/>
      </c>
      <c r="F191">
        <f>IFERROR(VLOOKUP(B191,'Pre-Summary'!$AL$6:$AQ$13,6,FALSE),F190)</f>
        <v>5.9405263157894746E-2</v>
      </c>
      <c r="G191" t="str">
        <f>IFERROR(VLOOKUP(B191,'Pre-Summary'!$AE$6:$AJ$85,3,FALSE),"")</f>
        <v/>
      </c>
      <c r="H191" t="str">
        <f>IFERROR(VLOOKUP(B191,'Pre-Summary'!$AE$6:$AJ$85,4,FALSE),"")</f>
        <v/>
      </c>
      <c r="I191" t="str">
        <f>IFERROR(VLOOKUP(B191,'Pre-Summary'!$AE$6:$AJ$85,5,FALSE),"")</f>
        <v/>
      </c>
      <c r="J191" s="45" t="str">
        <f>IFERROR(VLOOKUP(B191,'Pre-Summary'!$AE$6:$AJ$85,6, FALSE),"")</f>
        <v/>
      </c>
      <c r="K191" s="45" t="str">
        <f>IFERROR(VLOOKUP(B191,'Pre-Summary'!$DE$6:$DG$61,3,FALSE),"")</f>
        <v/>
      </c>
      <c r="L191" s="45" t="str">
        <f>IFERROR(VLOOKUP(B191,'Pre-Summary'!$CU$6:$CW$36,3,FALSE),"")</f>
        <v/>
      </c>
      <c r="M191" s="45" t="str">
        <f>IFERROR(VLOOKUP(B191,'Pre-Summary'!$BW$6:$BY$58,2,FALSE),"")</f>
        <v/>
      </c>
      <c r="N191" s="45" t="str">
        <f>IFERROR(VLOOKUP(B191,'Pre-Summary'!$CD$6:$CF$64,2,FALSE),"")</f>
        <v/>
      </c>
      <c r="O191" s="99">
        <f>IFERROR(VLOOKUP(B191,'Pre-Summary'!$BO$6:$BQ$48,3, FALSE),O190)</f>
        <v>1.0915248032216731</v>
      </c>
      <c r="P191" s="99">
        <f>IFERROR(VLOOKUP(B191,'Pre-Summary'!$BS$6:$BU$35,3,FALSE),P190)</f>
        <v>0.25</v>
      </c>
      <c r="Q191" s="54">
        <f t="shared" si="6"/>
        <v>4.3660992128866924</v>
      </c>
      <c r="R191" s="53">
        <f>IFERROR(VLOOKUP(B191,'Pre-Summary'!$BG$6:$BM$44,7,FALSE),R192)</f>
        <v>2.7904161219319636E-2</v>
      </c>
      <c r="S191" s="53">
        <f>IFERROR(VLOOKUP(B191,'Pre-Summary'!$BG$6:$BM$44,6,FALSE),S192)</f>
        <v>3.3978715219895171E-2</v>
      </c>
      <c r="T191" s="45" t="str">
        <f>IFERROR(VLOOKUP(B191,'Pre-Summary'!$Y$6:$AC$83, 3,FALSE),"")</f>
        <v/>
      </c>
      <c r="U191" s="45" t="str">
        <f>IFERROR(VLOOKUP(B191,'Pre-Summary'!$Y$6:$AC$83, 4,FALSE),"")</f>
        <v/>
      </c>
      <c r="V191" t="str">
        <f>IFERROR(VLOOKUP(B191,'Pre-Summary'!$Y$6:$AC$83, 5,FALSE),"")</f>
        <v/>
      </c>
      <c r="W191" s="45" t="str">
        <f>IFERROR(VLOOKUP(B191,'Pre-Summary'!$Y$6:$AD$83,6,FALSE),"")</f>
        <v/>
      </c>
      <c r="X191" t="str">
        <f>IFERROR(VLOOKUP('Pre-Summary'!$DB$6:$DD$63,3,FALSE),"")</f>
        <v/>
      </c>
      <c r="Y191" t="str">
        <f>IFERROR(VLOOKUP(B191,'Pre-Summary'!$CR$6:$CT$36,3,FALSE),"")</f>
        <v/>
      </c>
      <c r="Z191" s="45" t="str">
        <f>IFERROR(VLOOKUP(B191,'Pre-Summary'!$BZ$6:$CB$63,2,FALSE),"")</f>
        <v/>
      </c>
      <c r="AA191" s="45" t="str">
        <f>IFERROR(VLOOKUP(B191,'Pre-Summary'!$CG$6:$CI$70,2,FALSE),"")</f>
        <v/>
      </c>
      <c r="AB191" s="99">
        <f>IFERROR(VLOOKUP(B191,'Pre-Summary'!$A$6:$P$178,9,FALSE),AB192)</f>
        <v>0.95192327811817912</v>
      </c>
      <c r="AC191" s="10">
        <f>IFERROR(VLOOKUP(Summary!B191,'Pre-Summary'!$A$6:$P$184,5, FALSE)/100,AC192)</f>
        <v>0.88412199999999985</v>
      </c>
      <c r="AD191" s="10">
        <f>IFERROR(VLOOKUP(Summary!B191,'Pre-Summary'!$A$6:$P$184,3, FALSE)/100,AD192)</f>
        <v>0</v>
      </c>
      <c r="AE191" s="10">
        <f>IFERROR(VLOOKUP(Summary!B191,'Pre-Summary'!$A$6:$P$184,7, FALSE)/100,AE192)</f>
        <v>0.11587800000000001</v>
      </c>
      <c r="AF191" s="99">
        <f t="shared" si="7"/>
        <v>0</v>
      </c>
      <c r="AG191" s="99">
        <f t="shared" si="8"/>
        <v>0.11030696562177837</v>
      </c>
      <c r="AH191" s="10" t="str">
        <f>IFERROR(VLOOKUP(B191,'Pre-Summary'!$AZ$6:$BE$65,3,FALSE),"")</f>
        <v/>
      </c>
      <c r="AI191" s="10" t="str">
        <f>IFERROR(VLOOKUP(B191,'Pre-Summary'!$AZ$6:$BE$65,5,FALSE),"")</f>
        <v/>
      </c>
      <c r="AJ191" s="10" t="str">
        <f>IFERROR(VLOOKUP(B191,'Pre-Summary'!$AZ$6:$BE$65,4,FALSE),"")</f>
        <v/>
      </c>
      <c r="AK191" s="10" t="str">
        <f>IFERROR(VLOOKUP(B191,'Pre-Summary'!$AZ$6:$BE$65,6,FALSE),"")</f>
        <v/>
      </c>
      <c r="AL191" s="10" t="str">
        <f>IFERROR(VLOOKUP(B191,'Pre-Summary'!$BG$6:$BL$44,3,FALSE),"")</f>
        <v/>
      </c>
      <c r="AM191" s="10" t="str">
        <f>IFERROR(VLOOKUP(B191,'Pre-Summary'!$BG$6:$BL$44,4,FALSE),"")</f>
        <v/>
      </c>
    </row>
    <row r="192" spans="2:39" ht="15" customHeight="1" x14ac:dyDescent="0.3">
      <c r="B192">
        <v>18.899999999999999</v>
      </c>
      <c r="C192" t="str">
        <f>IFERROR(VLOOKUP(B192,'Pre-Summary'!$DI$6:$DM$23,4,FALSE),"")</f>
        <v/>
      </c>
      <c r="D192" s="10" t="str">
        <f>IFERROR(VLOOKUP(B192,'Pre-Summary'!$AT$6:$AX$14,5,FALSE),D191)</f>
        <v>DSMZ v1.5: Using DSMZ 120 with NaHCO3</v>
      </c>
      <c r="E192" s="10" t="str">
        <f>IFERROR(VLOOKUP(B192,'Pre-Summary'!$AT$6:$AX$15,4,FALSE),"")</f>
        <v/>
      </c>
      <c r="F192">
        <f>IFERROR(VLOOKUP(B192,'Pre-Summary'!$AL$6:$AQ$13,6,FALSE),F191)</f>
        <v>5.9405263157894746E-2</v>
      </c>
      <c r="G192" t="str">
        <f>IFERROR(VLOOKUP(B192,'Pre-Summary'!$AE$6:$AJ$85,3,FALSE),"")</f>
        <v/>
      </c>
      <c r="H192" t="str">
        <f>IFERROR(VLOOKUP(B192,'Pre-Summary'!$AE$6:$AJ$85,4,FALSE),"")</f>
        <v/>
      </c>
      <c r="I192" t="str">
        <f>IFERROR(VLOOKUP(B192,'Pre-Summary'!$AE$6:$AJ$85,5,FALSE),"")</f>
        <v/>
      </c>
      <c r="J192" s="45" t="str">
        <f>IFERROR(VLOOKUP(B192,'Pre-Summary'!$AE$6:$AJ$85,6, FALSE),"")</f>
        <v/>
      </c>
      <c r="K192" s="45" t="str">
        <f>IFERROR(VLOOKUP(B192,'Pre-Summary'!$DE$6:$DG$61,3,FALSE),"")</f>
        <v/>
      </c>
      <c r="L192" s="45" t="str">
        <f>IFERROR(VLOOKUP(B192,'Pre-Summary'!$CU$6:$CW$36,3,FALSE),"")</f>
        <v/>
      </c>
      <c r="M192" s="45" t="str">
        <f>IFERROR(VLOOKUP(B192,'Pre-Summary'!$BW$6:$BY$58,2,FALSE),"")</f>
        <v/>
      </c>
      <c r="N192" s="45" t="str">
        <f>IFERROR(VLOOKUP(B192,'Pre-Summary'!$CD$6:$CF$64,2,FALSE),"")</f>
        <v/>
      </c>
      <c r="O192" s="99">
        <f>IFERROR(VLOOKUP(B192,'Pre-Summary'!$BO$6:$BQ$48,3, FALSE),O191)</f>
        <v>1.0915248032216731</v>
      </c>
      <c r="P192" s="99">
        <f>IFERROR(VLOOKUP(B192,'Pre-Summary'!$BS$6:$BU$35,3,FALSE),P191)</f>
        <v>0.25</v>
      </c>
      <c r="Q192" s="54">
        <f t="shared" si="6"/>
        <v>4.3660992128866924</v>
      </c>
      <c r="R192" s="53">
        <f>IFERROR(VLOOKUP(B192,'Pre-Summary'!$BG$6:$BM$44,7,FALSE),R193)</f>
        <v>2.7904161219319636E-2</v>
      </c>
      <c r="S192" s="53">
        <f>IFERROR(VLOOKUP(B192,'Pre-Summary'!$BG$6:$BM$44,6,FALSE),S193)</f>
        <v>3.3978715219895171E-2</v>
      </c>
      <c r="T192" s="45" t="str">
        <f>IFERROR(VLOOKUP(B192,'Pre-Summary'!$Y$6:$AC$83, 3,FALSE),"")</f>
        <v/>
      </c>
      <c r="U192" s="45" t="str">
        <f>IFERROR(VLOOKUP(B192,'Pre-Summary'!$Y$6:$AC$83, 4,FALSE),"")</f>
        <v/>
      </c>
      <c r="V192" t="str">
        <f>IFERROR(VLOOKUP(B192,'Pre-Summary'!$Y$6:$AC$83, 5,FALSE),"")</f>
        <v/>
      </c>
      <c r="W192" s="45" t="str">
        <f>IFERROR(VLOOKUP(B192,'Pre-Summary'!$Y$6:$AD$83,6,FALSE),"")</f>
        <v/>
      </c>
      <c r="X192" t="str">
        <f>IFERROR(VLOOKUP('Pre-Summary'!$DB$6:$DD$63,3,FALSE),"")</f>
        <v/>
      </c>
      <c r="Y192" t="str">
        <f>IFERROR(VLOOKUP(B192,'Pre-Summary'!$CR$6:$CT$36,3,FALSE),"")</f>
        <v/>
      </c>
      <c r="Z192" s="45" t="str">
        <f>IFERROR(VLOOKUP(B192,'Pre-Summary'!$BZ$6:$CB$63,2,FALSE),"")</f>
        <v/>
      </c>
      <c r="AA192" s="45" t="str">
        <f>IFERROR(VLOOKUP(B192,'Pre-Summary'!$CG$6:$CI$70,2,FALSE),"")</f>
        <v/>
      </c>
      <c r="AB192" s="99">
        <f>IFERROR(VLOOKUP(B192,'Pre-Summary'!$A$6:$P$178,9,FALSE),AB193)</f>
        <v>0.95192327811817912</v>
      </c>
      <c r="AC192" s="10">
        <f>IFERROR(VLOOKUP(Summary!B192,'Pre-Summary'!$A$6:$P$184,5, FALSE)/100,AC193)</f>
        <v>0.88412199999999985</v>
      </c>
      <c r="AD192" s="10">
        <f>IFERROR(VLOOKUP(Summary!B192,'Pre-Summary'!$A$6:$P$184,3, FALSE)/100,AD193)</f>
        <v>0</v>
      </c>
      <c r="AE192" s="10">
        <f>IFERROR(VLOOKUP(Summary!B192,'Pre-Summary'!$A$6:$P$184,7, FALSE)/100,AE193)</f>
        <v>0.11587800000000001</v>
      </c>
      <c r="AF192" s="99">
        <f t="shared" si="7"/>
        <v>0</v>
      </c>
      <c r="AG192" s="99">
        <f t="shared" si="8"/>
        <v>0.11030696562177837</v>
      </c>
      <c r="AH192" s="10" t="str">
        <f>IFERROR(VLOOKUP(B192,'Pre-Summary'!$AZ$6:$BE$65,3,FALSE),"")</f>
        <v/>
      </c>
      <c r="AI192" s="10" t="str">
        <f>IFERROR(VLOOKUP(B192,'Pre-Summary'!$AZ$6:$BE$65,5,FALSE),"")</f>
        <v/>
      </c>
      <c r="AJ192" s="10" t="str">
        <f>IFERROR(VLOOKUP(B192,'Pre-Summary'!$AZ$6:$BE$65,4,FALSE),"")</f>
        <v/>
      </c>
      <c r="AK192" s="10" t="str">
        <f>IFERROR(VLOOKUP(B192,'Pre-Summary'!$AZ$6:$BE$65,6,FALSE),"")</f>
        <v/>
      </c>
      <c r="AL192" s="10" t="str">
        <f>IFERROR(VLOOKUP(B192,'Pre-Summary'!$BG$6:$BL$44,3,FALSE),"")</f>
        <v/>
      </c>
      <c r="AM192" s="10" t="str">
        <f>IFERROR(VLOOKUP(B192,'Pre-Summary'!$BG$6:$BL$44,4,FALSE),"")</f>
        <v/>
      </c>
    </row>
    <row r="193" spans="2:39" ht="15" customHeight="1" x14ac:dyDescent="0.3">
      <c r="B193">
        <v>19</v>
      </c>
      <c r="C193" t="str">
        <f>IFERROR(VLOOKUP(B193,'Pre-Summary'!$DI$6:$DM$23,4,FALSE),"")</f>
        <v/>
      </c>
      <c r="D193" s="10" t="str">
        <f>IFERROR(VLOOKUP(B193,'Pre-Summary'!$AT$6:$AX$14,5,FALSE),D192)</f>
        <v>DSMZ v1.5: Using DSMZ 120 with NaHCO3</v>
      </c>
      <c r="E193" s="10" t="str">
        <f>IFERROR(VLOOKUP(B193,'Pre-Summary'!$AT$6:$AX$15,4,FALSE),"")</f>
        <v/>
      </c>
      <c r="F193">
        <f>IFERROR(VLOOKUP(B193,'Pre-Summary'!$AL$6:$AQ$13,6,FALSE),F192)</f>
        <v>5.9405263157894746E-2</v>
      </c>
      <c r="G193" t="str">
        <f>IFERROR(VLOOKUP(B193,'Pre-Summary'!$AE$6:$AJ$85,3,FALSE),"")</f>
        <v/>
      </c>
      <c r="H193" t="str">
        <f>IFERROR(VLOOKUP(B193,'Pre-Summary'!$AE$6:$AJ$85,4,FALSE),"")</f>
        <v/>
      </c>
      <c r="I193" t="str">
        <f>IFERROR(VLOOKUP(B193,'Pre-Summary'!$AE$6:$AJ$85,5,FALSE),"")</f>
        <v/>
      </c>
      <c r="J193" s="45" t="str">
        <f>IFERROR(VLOOKUP(B193,'Pre-Summary'!$AE$6:$AJ$85,6, FALSE),"")</f>
        <v/>
      </c>
      <c r="K193" s="45" t="str">
        <f>IFERROR(VLOOKUP(B193,'Pre-Summary'!$DE$6:$DG$61,3,FALSE),"")</f>
        <v/>
      </c>
      <c r="L193" s="45" t="str">
        <f>IFERROR(VLOOKUP(B193,'Pre-Summary'!$CU$6:$CW$36,3,FALSE),"")</f>
        <v/>
      </c>
      <c r="M193" s="45" t="str">
        <f>IFERROR(VLOOKUP(B193,'Pre-Summary'!$BW$6:$BY$58,2,FALSE),"")</f>
        <v/>
      </c>
      <c r="N193" s="45" t="str">
        <f>IFERROR(VLOOKUP(B193,'Pre-Summary'!$CD$6:$CF$64,2,FALSE),"")</f>
        <v/>
      </c>
      <c r="O193" s="99">
        <f>IFERROR(VLOOKUP(B193,'Pre-Summary'!$BO$6:$BQ$48,3, FALSE),O192)</f>
        <v>1.0915248032216731</v>
      </c>
      <c r="P193" s="99">
        <f>IFERROR(VLOOKUP(B193,'Pre-Summary'!$BS$6:$BU$35,3,FALSE),P192)</f>
        <v>0.25</v>
      </c>
      <c r="Q193" s="54">
        <f t="shared" si="6"/>
        <v>4.3660992128866924</v>
      </c>
      <c r="R193" s="53">
        <f>IFERROR(VLOOKUP(B193,'Pre-Summary'!$BG$6:$BM$44,7,FALSE),R194)</f>
        <v>2.7904161219319636E-2</v>
      </c>
      <c r="S193" s="53">
        <f>IFERROR(VLOOKUP(B193,'Pre-Summary'!$BG$6:$BM$44,6,FALSE),S194)</f>
        <v>3.3978715219895171E-2</v>
      </c>
      <c r="T193" s="45" t="str">
        <f>IFERROR(VLOOKUP(B193,'Pre-Summary'!$Y$6:$AC$83, 3,FALSE),"")</f>
        <v/>
      </c>
      <c r="U193" s="45" t="str">
        <f>IFERROR(VLOOKUP(B193,'Pre-Summary'!$Y$6:$AC$83, 4,FALSE),"")</f>
        <v/>
      </c>
      <c r="V193" t="str">
        <f>IFERROR(VLOOKUP(B193,'Pre-Summary'!$Y$6:$AC$83, 5,FALSE),"")</f>
        <v/>
      </c>
      <c r="W193" s="45" t="str">
        <f>IFERROR(VLOOKUP(B193,'Pre-Summary'!$Y$6:$AD$83,6,FALSE),"")</f>
        <v/>
      </c>
      <c r="X193" t="str">
        <f>IFERROR(VLOOKUP('Pre-Summary'!$DB$6:$DD$63,3,FALSE),"")</f>
        <v/>
      </c>
      <c r="Y193" t="str">
        <f>IFERROR(VLOOKUP(B193,'Pre-Summary'!$CR$6:$CT$36,3,FALSE),"")</f>
        <v/>
      </c>
      <c r="Z193" s="45" t="str">
        <f>IFERROR(VLOOKUP(B193,'Pre-Summary'!$BZ$6:$CB$63,2,FALSE),"")</f>
        <v/>
      </c>
      <c r="AA193" s="45" t="str">
        <f>IFERROR(VLOOKUP(B193,'Pre-Summary'!$CG$6:$CI$70,2,FALSE),"")</f>
        <v/>
      </c>
      <c r="AB193" s="99">
        <f>IFERROR(VLOOKUP(B193,'Pre-Summary'!$A$6:$P$178,9,FALSE),AB194)</f>
        <v>0.95192327811817912</v>
      </c>
      <c r="AC193" s="10">
        <f>IFERROR(VLOOKUP(Summary!B193,'Pre-Summary'!$A$6:$P$184,5, FALSE)/100,AC194)</f>
        <v>0.88412199999999985</v>
      </c>
      <c r="AD193" s="10">
        <f>IFERROR(VLOOKUP(Summary!B193,'Pre-Summary'!$A$6:$P$184,3, FALSE)/100,AD194)</f>
        <v>0</v>
      </c>
      <c r="AE193" s="10">
        <f>IFERROR(VLOOKUP(Summary!B193,'Pre-Summary'!$A$6:$P$184,7, FALSE)/100,AE194)</f>
        <v>0.11587800000000001</v>
      </c>
      <c r="AF193" s="99">
        <f t="shared" si="7"/>
        <v>0</v>
      </c>
      <c r="AG193" s="99">
        <f t="shared" si="8"/>
        <v>0.11030696562177837</v>
      </c>
      <c r="AH193" s="10" t="str">
        <f>IFERROR(VLOOKUP(B193,'Pre-Summary'!$AZ$6:$BE$65,3,FALSE),"")</f>
        <v/>
      </c>
      <c r="AI193" s="10" t="str">
        <f>IFERROR(VLOOKUP(B193,'Pre-Summary'!$AZ$6:$BE$65,5,FALSE),"")</f>
        <v/>
      </c>
      <c r="AJ193" s="10" t="str">
        <f>IFERROR(VLOOKUP(B193,'Pre-Summary'!$AZ$6:$BE$65,4,FALSE),"")</f>
        <v/>
      </c>
      <c r="AK193" s="10" t="str">
        <f>IFERROR(VLOOKUP(B193,'Pre-Summary'!$AZ$6:$BE$65,6,FALSE),"")</f>
        <v/>
      </c>
      <c r="AL193" s="10" t="str">
        <f>IFERROR(VLOOKUP(B193,'Pre-Summary'!$BG$6:$BL$44,3,FALSE),"")</f>
        <v/>
      </c>
      <c r="AM193" s="10" t="str">
        <f>IFERROR(VLOOKUP(B193,'Pre-Summary'!$BG$6:$BL$44,4,FALSE),"")</f>
        <v/>
      </c>
    </row>
    <row r="194" spans="2:39" ht="15" customHeight="1" x14ac:dyDescent="0.3">
      <c r="B194">
        <v>19.100000000000001</v>
      </c>
      <c r="C194" t="str">
        <f>IFERROR(VLOOKUP(B194,'Pre-Summary'!$DI$6:$DM$23,4,FALSE),"")</f>
        <v/>
      </c>
      <c r="D194" s="10" t="str">
        <f>IFERROR(VLOOKUP(B194,'Pre-Summary'!$AT$6:$AX$14,5,FALSE),D193)</f>
        <v>DSMZ v1.5: Using DSMZ 120 with NaHCO3</v>
      </c>
      <c r="E194" s="10" t="str">
        <f>IFERROR(VLOOKUP(B194,'Pre-Summary'!$AT$6:$AX$15,4,FALSE),"")</f>
        <v/>
      </c>
      <c r="F194">
        <f>IFERROR(VLOOKUP(B194,'Pre-Summary'!$AL$6:$AQ$13,6,FALSE),F193)</f>
        <v>5.9405263157894746E-2</v>
      </c>
      <c r="G194" t="str">
        <f>IFERROR(VLOOKUP(B194,'Pre-Summary'!$AE$6:$AJ$85,3,FALSE),"")</f>
        <v/>
      </c>
      <c r="H194" t="str">
        <f>IFERROR(VLOOKUP(B194,'Pre-Summary'!$AE$6:$AJ$85,4,FALSE),"")</f>
        <v/>
      </c>
      <c r="I194" t="str">
        <f>IFERROR(VLOOKUP(B194,'Pre-Summary'!$AE$6:$AJ$85,5,FALSE),"")</f>
        <v/>
      </c>
      <c r="J194" s="45" t="str">
        <f>IFERROR(VLOOKUP(B194,'Pre-Summary'!$AE$6:$AJ$85,6, FALSE),"")</f>
        <v/>
      </c>
      <c r="K194" s="45" t="str">
        <f>IFERROR(VLOOKUP(B194,'Pre-Summary'!$DE$6:$DG$61,3,FALSE),"")</f>
        <v/>
      </c>
      <c r="L194" s="45" t="str">
        <f>IFERROR(VLOOKUP(B194,'Pre-Summary'!$CU$6:$CW$36,3,FALSE),"")</f>
        <v/>
      </c>
      <c r="M194" s="45" t="str">
        <f>IFERROR(VLOOKUP(B194,'Pre-Summary'!$BW$6:$BY$58,2,FALSE),"")</f>
        <v/>
      </c>
      <c r="N194" s="45" t="str">
        <f>IFERROR(VLOOKUP(B194,'Pre-Summary'!$CD$6:$CF$64,2,FALSE),"")</f>
        <v/>
      </c>
      <c r="O194" s="99">
        <f>IFERROR(VLOOKUP(B194,'Pre-Summary'!$BO$6:$BQ$48,3, FALSE),O193)</f>
        <v>1.0915248032216731</v>
      </c>
      <c r="P194" s="99">
        <f>IFERROR(VLOOKUP(B194,'Pre-Summary'!$BS$6:$BU$35,3,FALSE),P193)</f>
        <v>0.25</v>
      </c>
      <c r="Q194" s="54">
        <f t="shared" si="6"/>
        <v>4.3660992128866924</v>
      </c>
      <c r="R194" s="53">
        <f>IFERROR(VLOOKUP(B194,'Pre-Summary'!$BG$6:$BM$44,7,FALSE),R195)</f>
        <v>2.7904161219319636E-2</v>
      </c>
      <c r="S194" s="53">
        <f>IFERROR(VLOOKUP(B194,'Pre-Summary'!$BG$6:$BM$44,6,FALSE),S195)</f>
        <v>3.3978715219895171E-2</v>
      </c>
      <c r="T194" s="45" t="str">
        <f>IFERROR(VLOOKUP(B194,'Pre-Summary'!$Y$6:$AC$83, 3,FALSE),"")</f>
        <v/>
      </c>
      <c r="U194" s="45" t="str">
        <f>IFERROR(VLOOKUP(B194,'Pre-Summary'!$Y$6:$AC$83, 4,FALSE),"")</f>
        <v/>
      </c>
      <c r="V194" t="str">
        <f>IFERROR(VLOOKUP(B194,'Pre-Summary'!$Y$6:$AC$83, 5,FALSE),"")</f>
        <v/>
      </c>
      <c r="W194" s="45" t="str">
        <f>IFERROR(VLOOKUP(B194,'Pre-Summary'!$Y$6:$AD$83,6,FALSE),"")</f>
        <v/>
      </c>
      <c r="X194" t="str">
        <f>IFERROR(VLOOKUP('Pre-Summary'!$DB$6:$DD$63,3,FALSE),"")</f>
        <v/>
      </c>
      <c r="Y194" t="str">
        <f>IFERROR(VLOOKUP(B194,'Pre-Summary'!$CR$6:$CT$36,3,FALSE),"")</f>
        <v/>
      </c>
      <c r="Z194" s="45" t="str">
        <f>IFERROR(VLOOKUP(B194,'Pre-Summary'!$BZ$6:$CB$63,2,FALSE),"")</f>
        <v/>
      </c>
      <c r="AA194" s="45" t="str">
        <f>IFERROR(VLOOKUP(B194,'Pre-Summary'!$CG$6:$CI$70,2,FALSE),"")</f>
        <v/>
      </c>
      <c r="AB194" s="99">
        <f>IFERROR(VLOOKUP(B194,'Pre-Summary'!$A$6:$P$178,9,FALSE),AB195)</f>
        <v>0.95192327811817912</v>
      </c>
      <c r="AC194" s="10">
        <f>IFERROR(VLOOKUP(Summary!B194,'Pre-Summary'!$A$6:$P$184,5, FALSE)/100,AC195)</f>
        <v>0.88412199999999985</v>
      </c>
      <c r="AD194" s="10">
        <f>IFERROR(VLOOKUP(Summary!B194,'Pre-Summary'!$A$6:$P$184,3, FALSE)/100,AD195)</f>
        <v>0</v>
      </c>
      <c r="AE194" s="10">
        <f>IFERROR(VLOOKUP(Summary!B194,'Pre-Summary'!$A$6:$P$184,7, FALSE)/100,AE195)</f>
        <v>0.11587800000000001</v>
      </c>
      <c r="AF194" s="99">
        <f t="shared" si="7"/>
        <v>0</v>
      </c>
      <c r="AG194" s="99">
        <f t="shared" si="8"/>
        <v>0.11030696562177837</v>
      </c>
      <c r="AH194" s="10" t="str">
        <f>IFERROR(VLOOKUP(B194,'Pre-Summary'!$AZ$6:$BE$65,3,FALSE),"")</f>
        <v/>
      </c>
      <c r="AI194" s="10" t="str">
        <f>IFERROR(VLOOKUP(B194,'Pre-Summary'!$AZ$6:$BE$65,5,FALSE),"")</f>
        <v/>
      </c>
      <c r="AJ194" s="10" t="str">
        <f>IFERROR(VLOOKUP(B194,'Pre-Summary'!$AZ$6:$BE$65,4,FALSE),"")</f>
        <v/>
      </c>
      <c r="AK194" s="10" t="str">
        <f>IFERROR(VLOOKUP(B194,'Pre-Summary'!$AZ$6:$BE$65,6,FALSE),"")</f>
        <v/>
      </c>
      <c r="AL194" s="10" t="str">
        <f>IFERROR(VLOOKUP(B194,'Pre-Summary'!$BG$6:$BL$44,3,FALSE),"")</f>
        <v/>
      </c>
      <c r="AM194" s="10" t="str">
        <f>IFERROR(VLOOKUP(B194,'Pre-Summary'!$BG$6:$BL$44,4,FALSE),"")</f>
        <v/>
      </c>
    </row>
    <row r="195" spans="2:39" ht="15" customHeight="1" x14ac:dyDescent="0.3">
      <c r="B195">
        <v>19.2</v>
      </c>
      <c r="C195" t="str">
        <f>IFERROR(VLOOKUP(B195,'Pre-Summary'!$DI$6:$DM$23,4,FALSE),"")</f>
        <v/>
      </c>
      <c r="D195" s="10" t="str">
        <f>IFERROR(VLOOKUP(B195,'Pre-Summary'!$AT$6:$AX$14,5,FALSE),D194)</f>
        <v>DSMZ v1.5: Using DSMZ 120 with NaHCO3</v>
      </c>
      <c r="E195" s="10" t="str">
        <f>IFERROR(VLOOKUP(B195,'Pre-Summary'!$AT$6:$AX$15,4,FALSE),"")</f>
        <v/>
      </c>
      <c r="F195">
        <f>IFERROR(VLOOKUP(B195,'Pre-Summary'!$AL$6:$AQ$13,6,FALSE),F194)</f>
        <v>5.9405263157894746E-2</v>
      </c>
      <c r="G195" t="str">
        <f>IFERROR(VLOOKUP(B195,'Pre-Summary'!$AE$6:$AJ$85,3,FALSE),"")</f>
        <v/>
      </c>
      <c r="H195" t="str">
        <f>IFERROR(VLOOKUP(B195,'Pre-Summary'!$AE$6:$AJ$85,4,FALSE),"")</f>
        <v/>
      </c>
      <c r="I195" t="str">
        <f>IFERROR(VLOOKUP(B195,'Pre-Summary'!$AE$6:$AJ$85,5,FALSE),"")</f>
        <v/>
      </c>
      <c r="J195" s="45" t="str">
        <f>IFERROR(VLOOKUP(B195,'Pre-Summary'!$AE$6:$AJ$85,6, FALSE),"")</f>
        <v/>
      </c>
      <c r="K195" s="45" t="str">
        <f>IFERROR(VLOOKUP(B195,'Pre-Summary'!$DE$6:$DG$61,3,FALSE),"")</f>
        <v/>
      </c>
      <c r="L195" s="45" t="str">
        <f>IFERROR(VLOOKUP(B195,'Pre-Summary'!$CU$6:$CW$36,3,FALSE),"")</f>
        <v/>
      </c>
      <c r="M195" s="45" t="str">
        <f>IFERROR(VLOOKUP(B195,'Pre-Summary'!$BW$6:$BY$58,2,FALSE),"")</f>
        <v/>
      </c>
      <c r="N195" s="45" t="str">
        <f>IFERROR(VLOOKUP(B195,'Pre-Summary'!$CD$6:$CF$64,2,FALSE),"")</f>
        <v/>
      </c>
      <c r="O195" s="99">
        <f>IFERROR(VLOOKUP(B195,'Pre-Summary'!$BO$6:$BQ$48,3, FALSE),O194)</f>
        <v>1.0915248032216731</v>
      </c>
      <c r="P195" s="99">
        <f>IFERROR(VLOOKUP(B195,'Pre-Summary'!$BS$6:$BU$35,3,FALSE),P194)</f>
        <v>0.25</v>
      </c>
      <c r="Q195" s="54">
        <f t="shared" ref="Q195:Q258" si="9">O195/P195</f>
        <v>4.3660992128866924</v>
      </c>
      <c r="R195" s="53">
        <f>IFERROR(VLOOKUP(B195,'Pre-Summary'!$BG$6:$BM$44,7,FALSE),R196)</f>
        <v>2.7904161219319636E-2</v>
      </c>
      <c r="S195" s="53">
        <f>IFERROR(VLOOKUP(B195,'Pre-Summary'!$BG$6:$BM$44,6,FALSE),S196)</f>
        <v>3.3978715219895171E-2</v>
      </c>
      <c r="T195" s="45" t="str">
        <f>IFERROR(VLOOKUP(B195,'Pre-Summary'!$Y$6:$AC$83, 3,FALSE),"")</f>
        <v/>
      </c>
      <c r="U195" s="45" t="str">
        <f>IFERROR(VLOOKUP(B195,'Pre-Summary'!$Y$6:$AC$83, 4,FALSE),"")</f>
        <v/>
      </c>
      <c r="V195" t="str">
        <f>IFERROR(VLOOKUP(B195,'Pre-Summary'!$Y$6:$AC$83, 5,FALSE),"")</f>
        <v/>
      </c>
      <c r="W195" s="45" t="str">
        <f>IFERROR(VLOOKUP(B195,'Pre-Summary'!$Y$6:$AD$83,6,FALSE),"")</f>
        <v/>
      </c>
      <c r="X195" t="str">
        <f>IFERROR(VLOOKUP('Pre-Summary'!$DB$6:$DD$63,3,FALSE),"")</f>
        <v/>
      </c>
      <c r="Y195" t="str">
        <f>IFERROR(VLOOKUP(B195,'Pre-Summary'!$CR$6:$CT$36,3,FALSE),"")</f>
        <v/>
      </c>
      <c r="Z195" s="45" t="str">
        <f>IFERROR(VLOOKUP(B195,'Pre-Summary'!$BZ$6:$CB$63,2,FALSE),"")</f>
        <v/>
      </c>
      <c r="AA195" s="45" t="str">
        <f>IFERROR(VLOOKUP(B195,'Pre-Summary'!$CG$6:$CI$70,2,FALSE),"")</f>
        <v/>
      </c>
      <c r="AB195" s="99">
        <f>IFERROR(VLOOKUP(B195,'Pre-Summary'!$A$6:$P$178,9,FALSE),AB196)</f>
        <v>0.95192327811817912</v>
      </c>
      <c r="AC195" s="10">
        <f>IFERROR(VLOOKUP(Summary!B195,'Pre-Summary'!$A$6:$P$184,5, FALSE)/100,AC196)</f>
        <v>0.88412199999999985</v>
      </c>
      <c r="AD195" s="10">
        <f>IFERROR(VLOOKUP(Summary!B195,'Pre-Summary'!$A$6:$P$184,3, FALSE)/100,AD196)</f>
        <v>0</v>
      </c>
      <c r="AE195" s="10">
        <f>IFERROR(VLOOKUP(Summary!B195,'Pre-Summary'!$A$6:$P$184,7, FALSE)/100,AE196)</f>
        <v>0.11587800000000001</v>
      </c>
      <c r="AF195" s="99">
        <f t="shared" ref="AF195:AF258" si="10">AD195*AB195</f>
        <v>0</v>
      </c>
      <c r="AG195" s="99">
        <f t="shared" ref="AG195:AG258" si="11">AB195*AE195</f>
        <v>0.11030696562177837</v>
      </c>
      <c r="AH195" s="10" t="str">
        <f>IFERROR(VLOOKUP(B195,'Pre-Summary'!$AZ$6:$BE$65,3,FALSE),"")</f>
        <v/>
      </c>
      <c r="AI195" s="10" t="str">
        <f>IFERROR(VLOOKUP(B195,'Pre-Summary'!$AZ$6:$BE$65,5,FALSE),"")</f>
        <v/>
      </c>
      <c r="AJ195" s="10" t="str">
        <f>IFERROR(VLOOKUP(B195,'Pre-Summary'!$AZ$6:$BE$65,4,FALSE),"")</f>
        <v/>
      </c>
      <c r="AK195" s="10" t="str">
        <f>IFERROR(VLOOKUP(B195,'Pre-Summary'!$AZ$6:$BE$65,6,FALSE),"")</f>
        <v/>
      </c>
      <c r="AL195" s="10" t="str">
        <f>IFERROR(VLOOKUP(B195,'Pre-Summary'!$BG$6:$BL$44,3,FALSE),"")</f>
        <v/>
      </c>
      <c r="AM195" s="10" t="str">
        <f>IFERROR(VLOOKUP(B195,'Pre-Summary'!$BG$6:$BL$44,4,FALSE),"")</f>
        <v/>
      </c>
    </row>
    <row r="196" spans="2:39" ht="15" customHeight="1" x14ac:dyDescent="0.3">
      <c r="B196">
        <v>19.3</v>
      </c>
      <c r="C196" t="str">
        <f>IFERROR(VLOOKUP(B196,'Pre-Summary'!$DI$6:$DM$23,4,FALSE),"")</f>
        <v/>
      </c>
      <c r="D196" s="10" t="str">
        <f>IFERROR(VLOOKUP(B196,'Pre-Summary'!$AT$6:$AX$14,5,FALSE),D195)</f>
        <v>DSMZ v1.5: Using DSMZ 120 with NaHCO3</v>
      </c>
      <c r="E196" s="10" t="str">
        <f>IFERROR(VLOOKUP(B196,'Pre-Summary'!$AT$6:$AX$15,4,FALSE),"")</f>
        <v/>
      </c>
      <c r="F196">
        <f>IFERROR(VLOOKUP(B196,'Pre-Summary'!$AL$6:$AQ$13,6,FALSE),F195)</f>
        <v>5.9405263157894746E-2</v>
      </c>
      <c r="G196" t="str">
        <f>IFERROR(VLOOKUP(B196,'Pre-Summary'!$AE$6:$AJ$85,3,FALSE),"")</f>
        <v/>
      </c>
      <c r="H196" t="str">
        <f>IFERROR(VLOOKUP(B196,'Pre-Summary'!$AE$6:$AJ$85,4,FALSE),"")</f>
        <v/>
      </c>
      <c r="I196" t="str">
        <f>IFERROR(VLOOKUP(B196,'Pre-Summary'!$AE$6:$AJ$85,5,FALSE),"")</f>
        <v/>
      </c>
      <c r="J196" s="45" t="str">
        <f>IFERROR(VLOOKUP(B196,'Pre-Summary'!$AE$6:$AJ$85,6, FALSE),"")</f>
        <v/>
      </c>
      <c r="K196" s="45" t="str">
        <f>IFERROR(VLOOKUP(B196,'Pre-Summary'!$DE$6:$DG$61,3,FALSE),"")</f>
        <v/>
      </c>
      <c r="L196" s="45" t="str">
        <f>IFERROR(VLOOKUP(B196,'Pre-Summary'!$CU$6:$CW$36,3,FALSE),"")</f>
        <v/>
      </c>
      <c r="M196" s="45" t="str">
        <f>IFERROR(VLOOKUP(B196,'Pre-Summary'!$BW$6:$BY$58,2,FALSE),"")</f>
        <v/>
      </c>
      <c r="N196" s="45" t="str">
        <f>IFERROR(VLOOKUP(B196,'Pre-Summary'!$CD$6:$CF$64,2,FALSE),"")</f>
        <v/>
      </c>
      <c r="O196" s="99">
        <f>IFERROR(VLOOKUP(B196,'Pre-Summary'!$BO$6:$BQ$48,3, FALSE),O195)</f>
        <v>1.0915248032216731</v>
      </c>
      <c r="P196" s="99">
        <f>IFERROR(VLOOKUP(B196,'Pre-Summary'!$BS$6:$BU$35,3,FALSE),P195)</f>
        <v>0.25</v>
      </c>
      <c r="Q196" s="54">
        <f t="shared" si="9"/>
        <v>4.3660992128866924</v>
      </c>
      <c r="R196" s="53">
        <f>IFERROR(VLOOKUP(B196,'Pre-Summary'!$BG$6:$BM$44,7,FALSE),R197)</f>
        <v>2.7904161219319636E-2</v>
      </c>
      <c r="S196" s="53">
        <f>IFERROR(VLOOKUP(B196,'Pre-Summary'!$BG$6:$BM$44,6,FALSE),S197)</f>
        <v>3.3978715219895171E-2</v>
      </c>
      <c r="T196" s="45" t="str">
        <f>IFERROR(VLOOKUP(B196,'Pre-Summary'!$Y$6:$AC$83, 3,FALSE),"")</f>
        <v/>
      </c>
      <c r="U196" s="45" t="str">
        <f>IFERROR(VLOOKUP(B196,'Pre-Summary'!$Y$6:$AC$83, 4,FALSE),"")</f>
        <v/>
      </c>
      <c r="V196" t="str">
        <f>IFERROR(VLOOKUP(B196,'Pre-Summary'!$Y$6:$AC$83, 5,FALSE),"")</f>
        <v/>
      </c>
      <c r="W196" s="45" t="str">
        <f>IFERROR(VLOOKUP(B196,'Pre-Summary'!$Y$6:$AD$83,6,FALSE),"")</f>
        <v/>
      </c>
      <c r="X196" t="str">
        <f>IFERROR(VLOOKUP('Pre-Summary'!$DB$6:$DD$63,3,FALSE),"")</f>
        <v/>
      </c>
      <c r="Y196" t="str">
        <f>IFERROR(VLOOKUP(B196,'Pre-Summary'!$CR$6:$CT$36,3,FALSE),"")</f>
        <v/>
      </c>
      <c r="Z196" s="45" t="str">
        <f>IFERROR(VLOOKUP(B196,'Pre-Summary'!$BZ$6:$CB$63,2,FALSE),"")</f>
        <v/>
      </c>
      <c r="AA196" s="45" t="str">
        <f>IFERROR(VLOOKUP(B196,'Pre-Summary'!$CG$6:$CI$70,2,FALSE),"")</f>
        <v/>
      </c>
      <c r="AB196" s="99">
        <f>IFERROR(VLOOKUP(B196,'Pre-Summary'!$A$6:$P$178,9,FALSE),AB197)</f>
        <v>0.95192327811817912</v>
      </c>
      <c r="AC196" s="10">
        <f>IFERROR(VLOOKUP(Summary!B196,'Pre-Summary'!$A$6:$P$184,5, FALSE)/100,AC197)</f>
        <v>0.88412199999999985</v>
      </c>
      <c r="AD196" s="10">
        <f>IFERROR(VLOOKUP(Summary!B196,'Pre-Summary'!$A$6:$P$184,3, FALSE)/100,AD197)</f>
        <v>0</v>
      </c>
      <c r="AE196" s="10">
        <f>IFERROR(VLOOKUP(Summary!B196,'Pre-Summary'!$A$6:$P$184,7, FALSE)/100,AE197)</f>
        <v>0.11587800000000001</v>
      </c>
      <c r="AF196" s="99">
        <f t="shared" si="10"/>
        <v>0</v>
      </c>
      <c r="AG196" s="99">
        <f t="shared" si="11"/>
        <v>0.11030696562177837</v>
      </c>
      <c r="AH196" s="10" t="str">
        <f>IFERROR(VLOOKUP(B196,'Pre-Summary'!$AZ$6:$BE$65,3,FALSE),"")</f>
        <v/>
      </c>
      <c r="AI196" s="10" t="str">
        <f>IFERROR(VLOOKUP(B196,'Pre-Summary'!$AZ$6:$BE$65,5,FALSE),"")</f>
        <v/>
      </c>
      <c r="AJ196" s="10" t="str">
        <f>IFERROR(VLOOKUP(B196,'Pre-Summary'!$AZ$6:$BE$65,4,FALSE),"")</f>
        <v/>
      </c>
      <c r="AK196" s="10" t="str">
        <f>IFERROR(VLOOKUP(B196,'Pre-Summary'!$AZ$6:$BE$65,6,FALSE),"")</f>
        <v/>
      </c>
      <c r="AL196" s="10" t="str">
        <f>IFERROR(VLOOKUP(B196,'Pre-Summary'!$BG$6:$BL$44,3,FALSE),"")</f>
        <v/>
      </c>
      <c r="AM196" s="10" t="str">
        <f>IFERROR(VLOOKUP(B196,'Pre-Summary'!$BG$6:$BL$44,4,FALSE),"")</f>
        <v/>
      </c>
    </row>
    <row r="197" spans="2:39" ht="15" customHeight="1" x14ac:dyDescent="0.3">
      <c r="B197">
        <v>19.399999999999999</v>
      </c>
      <c r="C197" t="str">
        <f>IFERROR(VLOOKUP(B197,'Pre-Summary'!$DI$6:$DM$23,4,FALSE),"")</f>
        <v/>
      </c>
      <c r="D197" s="10" t="str">
        <f>IFERROR(VLOOKUP(B197,'Pre-Summary'!$AT$6:$AX$14,5,FALSE),D196)</f>
        <v>DSMZ v1.5: Using DSMZ 120 with NaHCO3</v>
      </c>
      <c r="E197" s="10" t="str">
        <f>IFERROR(VLOOKUP(B197,'Pre-Summary'!$AT$6:$AX$15,4,FALSE),"")</f>
        <v/>
      </c>
      <c r="F197">
        <f>IFERROR(VLOOKUP(B197,'Pre-Summary'!$AL$6:$AQ$13,6,FALSE),F196)</f>
        <v>5.9405263157894746E-2</v>
      </c>
      <c r="G197" t="str">
        <f>IFERROR(VLOOKUP(B197,'Pre-Summary'!$AE$6:$AJ$85,3,FALSE),"")</f>
        <v/>
      </c>
      <c r="H197" t="str">
        <f>IFERROR(VLOOKUP(B197,'Pre-Summary'!$AE$6:$AJ$85,4,FALSE),"")</f>
        <v/>
      </c>
      <c r="I197" t="str">
        <f>IFERROR(VLOOKUP(B197,'Pre-Summary'!$AE$6:$AJ$85,5,FALSE),"")</f>
        <v/>
      </c>
      <c r="J197" s="45" t="str">
        <f>IFERROR(VLOOKUP(B197,'Pre-Summary'!$AE$6:$AJ$85,6, FALSE),"")</f>
        <v/>
      </c>
      <c r="K197" s="45" t="str">
        <f>IFERROR(VLOOKUP(B197,'Pre-Summary'!$DE$6:$DG$61,3,FALSE),"")</f>
        <v/>
      </c>
      <c r="L197" s="45" t="str">
        <f>IFERROR(VLOOKUP(B197,'Pre-Summary'!$CU$6:$CW$36,3,FALSE),"")</f>
        <v/>
      </c>
      <c r="M197" s="45" t="str">
        <f>IFERROR(VLOOKUP(B197,'Pre-Summary'!$BW$6:$BY$58,2,FALSE),"")</f>
        <v/>
      </c>
      <c r="N197" s="45" t="str">
        <f>IFERROR(VLOOKUP(B197,'Pre-Summary'!$CD$6:$CF$64,2,FALSE),"")</f>
        <v/>
      </c>
      <c r="O197" s="99">
        <f>IFERROR(VLOOKUP(B197,'Pre-Summary'!$BO$6:$BQ$48,3, FALSE),O196)</f>
        <v>1.0915248032216731</v>
      </c>
      <c r="P197" s="99">
        <f>IFERROR(VLOOKUP(B197,'Pre-Summary'!$BS$6:$BU$35,3,FALSE),P196)</f>
        <v>0.25</v>
      </c>
      <c r="Q197" s="54">
        <f t="shared" si="9"/>
        <v>4.3660992128866924</v>
      </c>
      <c r="R197" s="53">
        <f>IFERROR(VLOOKUP(B197,'Pre-Summary'!$BG$6:$BM$44,7,FALSE),R198)</f>
        <v>2.7904161219319636E-2</v>
      </c>
      <c r="S197" s="53">
        <f>IFERROR(VLOOKUP(B197,'Pre-Summary'!$BG$6:$BM$44,6,FALSE),S198)</f>
        <v>3.3978715219895171E-2</v>
      </c>
      <c r="T197" s="45" t="str">
        <f>IFERROR(VLOOKUP(B197,'Pre-Summary'!$Y$6:$AC$83, 3,FALSE),"")</f>
        <v/>
      </c>
      <c r="U197" s="45" t="str">
        <f>IFERROR(VLOOKUP(B197,'Pre-Summary'!$Y$6:$AC$83, 4,FALSE),"")</f>
        <v/>
      </c>
      <c r="V197" t="str">
        <f>IFERROR(VLOOKUP(B197,'Pre-Summary'!$Y$6:$AC$83, 5,FALSE),"")</f>
        <v/>
      </c>
      <c r="W197" s="45" t="str">
        <f>IFERROR(VLOOKUP(B197,'Pre-Summary'!$Y$6:$AD$83,6,FALSE),"")</f>
        <v/>
      </c>
      <c r="X197" t="str">
        <f>IFERROR(VLOOKUP('Pre-Summary'!$DB$6:$DD$63,3,FALSE),"")</f>
        <v/>
      </c>
      <c r="Y197" t="str">
        <f>IFERROR(VLOOKUP(B197,'Pre-Summary'!$CR$6:$CT$36,3,FALSE),"")</f>
        <v/>
      </c>
      <c r="Z197" s="45" t="str">
        <f>IFERROR(VLOOKUP(B197,'Pre-Summary'!$BZ$6:$CB$63,2,FALSE),"")</f>
        <v/>
      </c>
      <c r="AA197" s="45" t="str">
        <f>IFERROR(VLOOKUP(B197,'Pre-Summary'!$CG$6:$CI$70,2,FALSE),"")</f>
        <v/>
      </c>
      <c r="AB197" s="99">
        <f>IFERROR(VLOOKUP(B197,'Pre-Summary'!$A$6:$P$178,9,FALSE),AB198)</f>
        <v>0.95192327811817912</v>
      </c>
      <c r="AC197" s="10">
        <f>IFERROR(VLOOKUP(Summary!B197,'Pre-Summary'!$A$6:$P$184,5, FALSE)/100,AC198)</f>
        <v>0.88412199999999985</v>
      </c>
      <c r="AD197" s="10">
        <f>IFERROR(VLOOKUP(Summary!B197,'Pre-Summary'!$A$6:$P$184,3, FALSE)/100,AD198)</f>
        <v>0</v>
      </c>
      <c r="AE197" s="10">
        <f>IFERROR(VLOOKUP(Summary!B197,'Pre-Summary'!$A$6:$P$184,7, FALSE)/100,AE198)</f>
        <v>0.11587800000000001</v>
      </c>
      <c r="AF197" s="99">
        <f t="shared" si="10"/>
        <v>0</v>
      </c>
      <c r="AG197" s="99">
        <f t="shared" si="11"/>
        <v>0.11030696562177837</v>
      </c>
      <c r="AH197" s="10" t="str">
        <f>IFERROR(VLOOKUP(B197,'Pre-Summary'!$AZ$6:$BE$65,3,FALSE),"")</f>
        <v/>
      </c>
      <c r="AI197" s="10" t="str">
        <f>IFERROR(VLOOKUP(B197,'Pre-Summary'!$AZ$6:$BE$65,5,FALSE),"")</f>
        <v/>
      </c>
      <c r="AJ197" s="10" t="str">
        <f>IFERROR(VLOOKUP(B197,'Pre-Summary'!$AZ$6:$BE$65,4,FALSE),"")</f>
        <v/>
      </c>
      <c r="AK197" s="10" t="str">
        <f>IFERROR(VLOOKUP(B197,'Pre-Summary'!$AZ$6:$BE$65,6,FALSE),"")</f>
        <v/>
      </c>
      <c r="AL197" s="10" t="str">
        <f>IFERROR(VLOOKUP(B197,'Pre-Summary'!$BG$6:$BL$44,3,FALSE),"")</f>
        <v/>
      </c>
      <c r="AM197" s="10" t="str">
        <f>IFERROR(VLOOKUP(B197,'Pre-Summary'!$BG$6:$BL$44,4,FALSE),"")</f>
        <v/>
      </c>
    </row>
    <row r="198" spans="2:39" ht="15" customHeight="1" x14ac:dyDescent="0.3">
      <c r="B198">
        <v>19.5</v>
      </c>
      <c r="C198" t="str">
        <f>IFERROR(VLOOKUP(B198,'Pre-Summary'!$DI$6:$DM$23,4,FALSE),"")</f>
        <v/>
      </c>
      <c r="D198" s="10" t="str">
        <f>IFERROR(VLOOKUP(B198,'Pre-Summary'!$AT$6:$AX$14,5,FALSE),D197)</f>
        <v>DSMZ v1.5: Using DSMZ 120 with NaHCO3</v>
      </c>
      <c r="E198" s="10" t="str">
        <f>IFERROR(VLOOKUP(B198,'Pre-Summary'!$AT$6:$AX$15,4,FALSE),"")</f>
        <v/>
      </c>
      <c r="F198">
        <f>IFERROR(VLOOKUP(B198,'Pre-Summary'!$AL$6:$AQ$13,6,FALSE),F197)</f>
        <v>5.9405263157894746E-2</v>
      </c>
      <c r="G198" t="str">
        <f>IFERROR(VLOOKUP(B198,'Pre-Summary'!$AE$6:$AJ$85,3,FALSE),"")</f>
        <v/>
      </c>
      <c r="H198" t="str">
        <f>IFERROR(VLOOKUP(B198,'Pre-Summary'!$AE$6:$AJ$85,4,FALSE),"")</f>
        <v/>
      </c>
      <c r="I198" t="str">
        <f>IFERROR(VLOOKUP(B198,'Pre-Summary'!$AE$6:$AJ$85,5,FALSE),"")</f>
        <v/>
      </c>
      <c r="J198" s="45" t="str">
        <f>IFERROR(VLOOKUP(B198,'Pre-Summary'!$AE$6:$AJ$85,6, FALSE),"")</f>
        <v/>
      </c>
      <c r="K198" s="45" t="str">
        <f>IFERROR(VLOOKUP(B198,'Pre-Summary'!$DE$6:$DG$61,3,FALSE),"")</f>
        <v/>
      </c>
      <c r="L198" s="45" t="str">
        <f>IFERROR(VLOOKUP(B198,'Pre-Summary'!$CU$6:$CW$36,3,FALSE),"")</f>
        <v/>
      </c>
      <c r="M198" s="45" t="str">
        <f>IFERROR(VLOOKUP(B198,'Pre-Summary'!$BW$6:$BY$58,2,FALSE),"")</f>
        <v/>
      </c>
      <c r="N198" s="45" t="str">
        <f>IFERROR(VLOOKUP(B198,'Pre-Summary'!$CD$6:$CF$64,2,FALSE),"")</f>
        <v/>
      </c>
      <c r="O198" s="99">
        <f>IFERROR(VLOOKUP(B198,'Pre-Summary'!$BO$6:$BQ$48,3, FALSE),O197)</f>
        <v>1.0915248032216731</v>
      </c>
      <c r="P198" s="99">
        <f>IFERROR(VLOOKUP(B198,'Pre-Summary'!$BS$6:$BU$35,3,FALSE),P197)</f>
        <v>0.25</v>
      </c>
      <c r="Q198" s="54">
        <f t="shared" si="9"/>
        <v>4.3660992128866924</v>
      </c>
      <c r="R198" s="53">
        <f>IFERROR(VLOOKUP(B198,'Pre-Summary'!$BG$6:$BM$44,7,FALSE),R199)</f>
        <v>2.7904161219319636E-2</v>
      </c>
      <c r="S198" s="53">
        <f>IFERROR(VLOOKUP(B198,'Pre-Summary'!$BG$6:$BM$44,6,FALSE),S199)</f>
        <v>3.3978715219895171E-2</v>
      </c>
      <c r="T198" s="45" t="str">
        <f>IFERROR(VLOOKUP(B198,'Pre-Summary'!$Y$6:$AC$83, 3,FALSE),"")</f>
        <v/>
      </c>
      <c r="U198" s="45" t="str">
        <f>IFERROR(VLOOKUP(B198,'Pre-Summary'!$Y$6:$AC$83, 4,FALSE),"")</f>
        <v/>
      </c>
      <c r="V198" t="str">
        <f>IFERROR(VLOOKUP(B198,'Pre-Summary'!$Y$6:$AC$83, 5,FALSE),"")</f>
        <v/>
      </c>
      <c r="W198" s="45" t="str">
        <f>IFERROR(VLOOKUP(B198,'Pre-Summary'!$Y$6:$AD$83,6,FALSE),"")</f>
        <v/>
      </c>
      <c r="X198" t="str">
        <f>IFERROR(VLOOKUP('Pre-Summary'!$DB$6:$DD$63,3,FALSE),"")</f>
        <v/>
      </c>
      <c r="Y198" t="str">
        <f>IFERROR(VLOOKUP(B198,'Pre-Summary'!$CR$6:$CT$36,3,FALSE),"")</f>
        <v/>
      </c>
      <c r="Z198" s="45" t="str">
        <f>IFERROR(VLOOKUP(B198,'Pre-Summary'!$BZ$6:$CB$63,2,FALSE),"")</f>
        <v/>
      </c>
      <c r="AA198" s="45" t="str">
        <f>IFERROR(VLOOKUP(B198,'Pre-Summary'!$CG$6:$CI$70,2,FALSE),"")</f>
        <v/>
      </c>
      <c r="AB198" s="99">
        <f>IFERROR(VLOOKUP(B198,'Pre-Summary'!$A$6:$P$178,9,FALSE),AB199)</f>
        <v>0.95192327811817912</v>
      </c>
      <c r="AC198" s="10">
        <f>IFERROR(VLOOKUP(Summary!B198,'Pre-Summary'!$A$6:$P$184,5, FALSE)/100,AC199)</f>
        <v>0.88412199999999985</v>
      </c>
      <c r="AD198" s="10">
        <f>IFERROR(VLOOKUP(Summary!B198,'Pre-Summary'!$A$6:$P$184,3, FALSE)/100,AD199)</f>
        <v>0</v>
      </c>
      <c r="AE198" s="10">
        <f>IFERROR(VLOOKUP(Summary!B198,'Pre-Summary'!$A$6:$P$184,7, FALSE)/100,AE199)</f>
        <v>0.11587800000000001</v>
      </c>
      <c r="AF198" s="99">
        <f t="shared" si="10"/>
        <v>0</v>
      </c>
      <c r="AG198" s="99">
        <f t="shared" si="11"/>
        <v>0.11030696562177837</v>
      </c>
      <c r="AH198" s="10" t="str">
        <f>IFERROR(VLOOKUP(B198,'Pre-Summary'!$AZ$6:$BE$65,3,FALSE),"")</f>
        <v/>
      </c>
      <c r="AI198" s="10" t="str">
        <f>IFERROR(VLOOKUP(B198,'Pre-Summary'!$AZ$6:$BE$65,5,FALSE),"")</f>
        <v/>
      </c>
      <c r="AJ198" s="10" t="str">
        <f>IFERROR(VLOOKUP(B198,'Pre-Summary'!$AZ$6:$BE$65,4,FALSE),"")</f>
        <v/>
      </c>
      <c r="AK198" s="10" t="str">
        <f>IFERROR(VLOOKUP(B198,'Pre-Summary'!$AZ$6:$BE$65,6,FALSE),"")</f>
        <v/>
      </c>
      <c r="AL198" s="10" t="str">
        <f>IFERROR(VLOOKUP(B198,'Pre-Summary'!$BG$6:$BL$44,3,FALSE),"")</f>
        <v/>
      </c>
      <c r="AM198" s="10" t="str">
        <f>IFERROR(VLOOKUP(B198,'Pre-Summary'!$BG$6:$BL$44,4,FALSE),"")</f>
        <v/>
      </c>
    </row>
    <row r="199" spans="2:39" ht="15" customHeight="1" x14ac:dyDescent="0.3">
      <c r="B199">
        <v>19.600000000000001</v>
      </c>
      <c r="C199" t="str">
        <f>IFERROR(VLOOKUP(B199,'Pre-Summary'!$DI$6:$DM$23,4,FALSE),"")</f>
        <v/>
      </c>
      <c r="D199" s="10" t="str">
        <f>IFERROR(VLOOKUP(B199,'Pre-Summary'!$AT$6:$AX$14,5,FALSE),D198)</f>
        <v>DSMZ v1.5: Using DSMZ 120 with NaHCO3</v>
      </c>
      <c r="E199" s="10" t="str">
        <f>IFERROR(VLOOKUP(B199,'Pre-Summary'!$AT$6:$AX$15,4,FALSE),"")</f>
        <v/>
      </c>
      <c r="F199">
        <f>IFERROR(VLOOKUP(B199,'Pre-Summary'!$AL$6:$AQ$13,6,FALSE),F198)</f>
        <v>5.9405263157894746E-2</v>
      </c>
      <c r="G199" t="str">
        <f>IFERROR(VLOOKUP(B199,'Pre-Summary'!$AE$6:$AJ$85,3,FALSE),"")</f>
        <v/>
      </c>
      <c r="H199" t="str">
        <f>IFERROR(VLOOKUP(B199,'Pre-Summary'!$AE$6:$AJ$85,4,FALSE),"")</f>
        <v/>
      </c>
      <c r="I199" t="str">
        <f>IFERROR(VLOOKUP(B199,'Pre-Summary'!$AE$6:$AJ$85,5,FALSE),"")</f>
        <v/>
      </c>
      <c r="J199" s="45" t="str">
        <f>IFERROR(VLOOKUP(B199,'Pre-Summary'!$AE$6:$AJ$85,6, FALSE),"")</f>
        <v/>
      </c>
      <c r="K199" s="45" t="str">
        <f>IFERROR(VLOOKUP(B199,'Pre-Summary'!$DE$6:$DG$61,3,FALSE),"")</f>
        <v/>
      </c>
      <c r="L199" s="45" t="str">
        <f>IFERROR(VLOOKUP(B199,'Pre-Summary'!$CU$6:$CW$36,3,FALSE),"")</f>
        <v/>
      </c>
      <c r="M199" s="45" t="str">
        <f>IFERROR(VLOOKUP(B199,'Pre-Summary'!$BW$6:$BY$58,2,FALSE),"")</f>
        <v/>
      </c>
      <c r="N199" s="45" t="str">
        <f>IFERROR(VLOOKUP(B199,'Pre-Summary'!$CD$6:$CF$64,2,FALSE),"")</f>
        <v/>
      </c>
      <c r="O199" s="99">
        <f>IFERROR(VLOOKUP(B199,'Pre-Summary'!$BO$6:$BQ$48,3, FALSE),O198)</f>
        <v>1.0915248032216731</v>
      </c>
      <c r="P199" s="99">
        <f>IFERROR(VLOOKUP(B199,'Pre-Summary'!$BS$6:$BU$35,3,FALSE),P198)</f>
        <v>0.25</v>
      </c>
      <c r="Q199" s="54">
        <f t="shared" si="9"/>
        <v>4.3660992128866924</v>
      </c>
      <c r="R199" s="53">
        <f>IFERROR(VLOOKUP(B199,'Pre-Summary'!$BG$6:$BM$44,7,FALSE),R200)</f>
        <v>2.7904161219319636E-2</v>
      </c>
      <c r="S199" s="53">
        <f>IFERROR(VLOOKUP(B199,'Pre-Summary'!$BG$6:$BM$44,6,FALSE),S200)</f>
        <v>3.3978715219895171E-2</v>
      </c>
      <c r="T199" s="45" t="str">
        <f>IFERROR(VLOOKUP(B199,'Pre-Summary'!$Y$6:$AC$83, 3,FALSE),"")</f>
        <v/>
      </c>
      <c r="U199" s="45" t="str">
        <f>IFERROR(VLOOKUP(B199,'Pre-Summary'!$Y$6:$AC$83, 4,FALSE),"")</f>
        <v/>
      </c>
      <c r="V199" t="str">
        <f>IFERROR(VLOOKUP(B199,'Pre-Summary'!$Y$6:$AC$83, 5,FALSE),"")</f>
        <v/>
      </c>
      <c r="W199" s="45" t="str">
        <f>IFERROR(VLOOKUP(B199,'Pre-Summary'!$Y$6:$AD$83,6,FALSE),"")</f>
        <v/>
      </c>
      <c r="X199" t="str">
        <f>IFERROR(VLOOKUP('Pre-Summary'!$DB$6:$DD$63,3,FALSE),"")</f>
        <v/>
      </c>
      <c r="Y199" t="str">
        <f>IFERROR(VLOOKUP(B199,'Pre-Summary'!$CR$6:$CT$36,3,FALSE),"")</f>
        <v/>
      </c>
      <c r="Z199" s="45" t="str">
        <f>IFERROR(VLOOKUP(B199,'Pre-Summary'!$BZ$6:$CB$63,2,FALSE),"")</f>
        <v/>
      </c>
      <c r="AA199" s="45" t="str">
        <f>IFERROR(VLOOKUP(B199,'Pre-Summary'!$CG$6:$CI$70,2,FALSE),"")</f>
        <v/>
      </c>
      <c r="AB199" s="99">
        <f>IFERROR(VLOOKUP(B199,'Pre-Summary'!$A$6:$P$178,9,FALSE),AB200)</f>
        <v>0.95192327811817912</v>
      </c>
      <c r="AC199" s="10">
        <f>IFERROR(VLOOKUP(Summary!B199,'Pre-Summary'!$A$6:$P$184,5, FALSE)/100,AC200)</f>
        <v>0.88412199999999985</v>
      </c>
      <c r="AD199" s="10">
        <f>IFERROR(VLOOKUP(Summary!B199,'Pre-Summary'!$A$6:$P$184,3, FALSE)/100,AD200)</f>
        <v>0</v>
      </c>
      <c r="AE199" s="10">
        <f>IFERROR(VLOOKUP(Summary!B199,'Pre-Summary'!$A$6:$P$184,7, FALSE)/100,AE200)</f>
        <v>0.11587800000000001</v>
      </c>
      <c r="AF199" s="99">
        <f t="shared" si="10"/>
        <v>0</v>
      </c>
      <c r="AG199" s="99">
        <f t="shared" si="11"/>
        <v>0.11030696562177837</v>
      </c>
      <c r="AH199" s="10" t="str">
        <f>IFERROR(VLOOKUP(B199,'Pre-Summary'!$AZ$6:$BE$65,3,FALSE),"")</f>
        <v/>
      </c>
      <c r="AI199" s="10" t="str">
        <f>IFERROR(VLOOKUP(B199,'Pre-Summary'!$AZ$6:$BE$65,5,FALSE),"")</f>
        <v/>
      </c>
      <c r="AJ199" s="10" t="str">
        <f>IFERROR(VLOOKUP(B199,'Pre-Summary'!$AZ$6:$BE$65,4,FALSE),"")</f>
        <v/>
      </c>
      <c r="AK199" s="10" t="str">
        <f>IFERROR(VLOOKUP(B199,'Pre-Summary'!$AZ$6:$BE$65,6,FALSE),"")</f>
        <v/>
      </c>
      <c r="AL199" s="10" t="str">
        <f>IFERROR(VLOOKUP(B199,'Pre-Summary'!$BG$6:$BL$44,3,FALSE),"")</f>
        <v/>
      </c>
      <c r="AM199" s="10" t="str">
        <f>IFERROR(VLOOKUP(B199,'Pre-Summary'!$BG$6:$BL$44,4,FALSE),"")</f>
        <v/>
      </c>
    </row>
    <row r="200" spans="2:39" ht="15" customHeight="1" x14ac:dyDescent="0.3">
      <c r="B200">
        <v>19.7</v>
      </c>
      <c r="C200" t="str">
        <f>IFERROR(VLOOKUP(B200,'Pre-Summary'!$DI$6:$DM$23,4,FALSE),"")</f>
        <v/>
      </c>
      <c r="D200" s="10" t="str">
        <f>IFERROR(VLOOKUP(B200,'Pre-Summary'!$AT$6:$AX$14,5,FALSE),D199)</f>
        <v>DSMZ v1.5: Using DSMZ 120 with NaHCO3</v>
      </c>
      <c r="E200" s="10" t="str">
        <f>IFERROR(VLOOKUP(B200,'Pre-Summary'!$AT$6:$AX$15,4,FALSE),"")</f>
        <v/>
      </c>
      <c r="F200">
        <f>IFERROR(VLOOKUP(B200,'Pre-Summary'!$AL$6:$AQ$13,6,FALSE),F199)</f>
        <v>5.9405263157894746E-2</v>
      </c>
      <c r="G200" t="str">
        <f>IFERROR(VLOOKUP(B200,'Pre-Summary'!$AE$6:$AJ$85,3,FALSE),"")</f>
        <v/>
      </c>
      <c r="H200" t="str">
        <f>IFERROR(VLOOKUP(B200,'Pre-Summary'!$AE$6:$AJ$85,4,FALSE),"")</f>
        <v/>
      </c>
      <c r="I200" t="str">
        <f>IFERROR(VLOOKUP(B200,'Pre-Summary'!$AE$6:$AJ$85,5,FALSE),"")</f>
        <v/>
      </c>
      <c r="J200" s="45" t="str">
        <f>IFERROR(VLOOKUP(B200,'Pre-Summary'!$AE$6:$AJ$85,6, FALSE),"")</f>
        <v/>
      </c>
      <c r="K200" s="45" t="str">
        <f>IFERROR(VLOOKUP(B200,'Pre-Summary'!$DE$6:$DG$61,3,FALSE),"")</f>
        <v/>
      </c>
      <c r="L200" s="45" t="str">
        <f>IFERROR(VLOOKUP(B200,'Pre-Summary'!$CU$6:$CW$36,3,FALSE),"")</f>
        <v/>
      </c>
      <c r="M200" s="45" t="str">
        <f>IFERROR(VLOOKUP(B200,'Pre-Summary'!$BW$6:$BY$58,2,FALSE),"")</f>
        <v/>
      </c>
      <c r="N200" s="45" t="str">
        <f>IFERROR(VLOOKUP(B200,'Pre-Summary'!$CD$6:$CF$64,2,FALSE),"")</f>
        <v/>
      </c>
      <c r="O200" s="99">
        <f>IFERROR(VLOOKUP(B200,'Pre-Summary'!$BO$6:$BQ$48,3, FALSE),O199)</f>
        <v>1.0915248032216731</v>
      </c>
      <c r="P200" s="99">
        <f>IFERROR(VLOOKUP(B200,'Pre-Summary'!$BS$6:$BU$35,3,FALSE),P199)</f>
        <v>0.25</v>
      </c>
      <c r="Q200" s="54">
        <f t="shared" si="9"/>
        <v>4.3660992128866924</v>
      </c>
      <c r="R200" s="53">
        <f>IFERROR(VLOOKUP(B200,'Pre-Summary'!$BG$6:$BM$44,7,FALSE),R201)</f>
        <v>2.7904161219319636E-2</v>
      </c>
      <c r="S200" s="53">
        <f>IFERROR(VLOOKUP(B200,'Pre-Summary'!$BG$6:$BM$44,6,FALSE),S201)</f>
        <v>3.3978715219895171E-2</v>
      </c>
      <c r="T200" s="45" t="str">
        <f>IFERROR(VLOOKUP(B200,'Pre-Summary'!$Y$6:$AC$83, 3,FALSE),"")</f>
        <v/>
      </c>
      <c r="U200" s="45" t="str">
        <f>IFERROR(VLOOKUP(B200,'Pre-Summary'!$Y$6:$AC$83, 4,FALSE),"")</f>
        <v/>
      </c>
      <c r="V200" t="str">
        <f>IFERROR(VLOOKUP(B200,'Pre-Summary'!$Y$6:$AC$83, 5,FALSE),"")</f>
        <v/>
      </c>
      <c r="W200" s="45" t="str">
        <f>IFERROR(VLOOKUP(B200,'Pre-Summary'!$Y$6:$AD$83,6,FALSE),"")</f>
        <v/>
      </c>
      <c r="X200" t="str">
        <f>IFERROR(VLOOKUP('Pre-Summary'!$DB$6:$DD$63,3,FALSE),"")</f>
        <v/>
      </c>
      <c r="Y200" t="str">
        <f>IFERROR(VLOOKUP(B200,'Pre-Summary'!$CR$6:$CT$36,3,FALSE),"")</f>
        <v/>
      </c>
      <c r="Z200" s="45" t="str">
        <f>IFERROR(VLOOKUP(B200,'Pre-Summary'!$BZ$6:$CB$63,2,FALSE),"")</f>
        <v/>
      </c>
      <c r="AA200" s="45" t="str">
        <f>IFERROR(VLOOKUP(B200,'Pre-Summary'!$CG$6:$CI$70,2,FALSE),"")</f>
        <v/>
      </c>
      <c r="AB200" s="99">
        <f>IFERROR(VLOOKUP(B200,'Pre-Summary'!$A$6:$P$178,9,FALSE),AB201)</f>
        <v>0.95192327811817912</v>
      </c>
      <c r="AC200" s="10">
        <f>IFERROR(VLOOKUP(Summary!B200,'Pre-Summary'!$A$6:$P$184,5, FALSE)/100,AC201)</f>
        <v>0.88412199999999985</v>
      </c>
      <c r="AD200" s="10">
        <f>IFERROR(VLOOKUP(Summary!B200,'Pre-Summary'!$A$6:$P$184,3, FALSE)/100,AD201)</f>
        <v>0</v>
      </c>
      <c r="AE200" s="10">
        <f>IFERROR(VLOOKUP(Summary!B200,'Pre-Summary'!$A$6:$P$184,7, FALSE)/100,AE201)</f>
        <v>0.11587800000000001</v>
      </c>
      <c r="AF200" s="99">
        <f t="shared" si="10"/>
        <v>0</v>
      </c>
      <c r="AG200" s="99">
        <f t="shared" si="11"/>
        <v>0.11030696562177837</v>
      </c>
      <c r="AH200" s="10" t="str">
        <f>IFERROR(VLOOKUP(B200,'Pre-Summary'!$AZ$6:$BE$65,3,FALSE),"")</f>
        <v/>
      </c>
      <c r="AI200" s="10" t="str">
        <f>IFERROR(VLOOKUP(B200,'Pre-Summary'!$AZ$6:$BE$65,5,FALSE),"")</f>
        <v/>
      </c>
      <c r="AJ200" s="10" t="str">
        <f>IFERROR(VLOOKUP(B200,'Pre-Summary'!$AZ$6:$BE$65,4,FALSE),"")</f>
        <v/>
      </c>
      <c r="AK200" s="10" t="str">
        <f>IFERROR(VLOOKUP(B200,'Pre-Summary'!$AZ$6:$BE$65,6,FALSE),"")</f>
        <v/>
      </c>
      <c r="AL200" s="10" t="str">
        <f>IFERROR(VLOOKUP(B200,'Pre-Summary'!$BG$6:$BL$44,3,FALSE),"")</f>
        <v/>
      </c>
      <c r="AM200" s="10" t="str">
        <f>IFERROR(VLOOKUP(B200,'Pre-Summary'!$BG$6:$BL$44,4,FALSE),"")</f>
        <v/>
      </c>
    </row>
    <row r="201" spans="2:39" ht="15" customHeight="1" x14ac:dyDescent="0.3">
      <c r="B201">
        <v>19.8</v>
      </c>
      <c r="C201" t="str">
        <f>IFERROR(VLOOKUP(B201,'Pre-Summary'!$DI$6:$DM$23,4,FALSE),"")</f>
        <v/>
      </c>
      <c r="D201" s="10" t="str">
        <f>IFERROR(VLOOKUP(B201,'Pre-Summary'!$AT$6:$AX$14,5,FALSE),D200)</f>
        <v>DSMZ v1.5: Using DSMZ 120 with NaHCO3</v>
      </c>
      <c r="E201" s="10" t="str">
        <f>IFERROR(VLOOKUP(B201,'Pre-Summary'!$AT$6:$AX$15,4,FALSE),"")</f>
        <v/>
      </c>
      <c r="F201">
        <f>IFERROR(VLOOKUP(B201,'Pre-Summary'!$AL$6:$AQ$13,6,FALSE),F200)</f>
        <v>5.9405263157894746E-2</v>
      </c>
      <c r="G201" t="str">
        <f>IFERROR(VLOOKUP(B201,'Pre-Summary'!$AE$6:$AJ$85,3,FALSE),"")</f>
        <v/>
      </c>
      <c r="H201" t="str">
        <f>IFERROR(VLOOKUP(B201,'Pre-Summary'!$AE$6:$AJ$85,4,FALSE),"")</f>
        <v/>
      </c>
      <c r="I201" t="str">
        <f>IFERROR(VLOOKUP(B201,'Pre-Summary'!$AE$6:$AJ$85,5,FALSE),"")</f>
        <v/>
      </c>
      <c r="J201" s="45" t="str">
        <f>IFERROR(VLOOKUP(B201,'Pre-Summary'!$AE$6:$AJ$85,6, FALSE),"")</f>
        <v/>
      </c>
      <c r="K201" s="45" t="str">
        <f>IFERROR(VLOOKUP(B201,'Pre-Summary'!$DE$6:$DG$61,3,FALSE),"")</f>
        <v/>
      </c>
      <c r="L201" s="45" t="str">
        <f>IFERROR(VLOOKUP(B201,'Pre-Summary'!$CU$6:$CW$36,3,FALSE),"")</f>
        <v/>
      </c>
      <c r="M201" s="45" t="str">
        <f>IFERROR(VLOOKUP(B201,'Pre-Summary'!$BW$6:$BY$58,2,FALSE),"")</f>
        <v/>
      </c>
      <c r="N201" s="45" t="str">
        <f>IFERROR(VLOOKUP(B201,'Pre-Summary'!$CD$6:$CF$64,2,FALSE),"")</f>
        <v/>
      </c>
      <c r="O201" s="99">
        <f>IFERROR(VLOOKUP(B201,'Pre-Summary'!$BO$6:$BQ$48,3, FALSE),O200)</f>
        <v>1.0915248032216731</v>
      </c>
      <c r="P201" s="99">
        <f>IFERROR(VLOOKUP(B201,'Pre-Summary'!$BS$6:$BU$35,3,FALSE),P200)</f>
        <v>0.25</v>
      </c>
      <c r="Q201" s="54">
        <f t="shared" si="9"/>
        <v>4.3660992128866924</v>
      </c>
      <c r="R201" s="53">
        <f>IFERROR(VLOOKUP(B201,'Pre-Summary'!$BG$6:$BM$44,7,FALSE),R202)</f>
        <v>2.7904161219319636E-2</v>
      </c>
      <c r="S201" s="53">
        <f>IFERROR(VLOOKUP(B201,'Pre-Summary'!$BG$6:$BM$44,6,FALSE),S202)</f>
        <v>3.3978715219895171E-2</v>
      </c>
      <c r="T201" s="45" t="str">
        <f>IFERROR(VLOOKUP(B201,'Pre-Summary'!$Y$6:$AC$83, 3,FALSE),"")</f>
        <v/>
      </c>
      <c r="U201" s="45" t="str">
        <f>IFERROR(VLOOKUP(B201,'Pre-Summary'!$Y$6:$AC$83, 4,FALSE),"")</f>
        <v/>
      </c>
      <c r="V201" t="str">
        <f>IFERROR(VLOOKUP(B201,'Pre-Summary'!$Y$6:$AC$83, 5,FALSE),"")</f>
        <v/>
      </c>
      <c r="W201" s="45" t="str">
        <f>IFERROR(VLOOKUP(B201,'Pre-Summary'!$Y$6:$AD$83,6,FALSE),"")</f>
        <v/>
      </c>
      <c r="X201" t="str">
        <f>IFERROR(VLOOKUP('Pre-Summary'!$DB$6:$DD$63,3,FALSE),"")</f>
        <v/>
      </c>
      <c r="Y201" t="str">
        <f>IFERROR(VLOOKUP(B201,'Pre-Summary'!$CR$6:$CT$36,3,FALSE),"")</f>
        <v/>
      </c>
      <c r="Z201" s="45" t="str">
        <f>IFERROR(VLOOKUP(B201,'Pre-Summary'!$BZ$6:$CB$63,2,FALSE),"")</f>
        <v/>
      </c>
      <c r="AA201" s="45" t="str">
        <f>IFERROR(VLOOKUP(B201,'Pre-Summary'!$CG$6:$CI$70,2,FALSE),"")</f>
        <v/>
      </c>
      <c r="AB201" s="99">
        <f>IFERROR(VLOOKUP(B201,'Pre-Summary'!$A$6:$P$178,9,FALSE),AB202)</f>
        <v>0.95192327811817912</v>
      </c>
      <c r="AC201" s="10">
        <f>IFERROR(VLOOKUP(Summary!B201,'Pre-Summary'!$A$6:$P$184,5, FALSE)/100,AC202)</f>
        <v>0.88412199999999985</v>
      </c>
      <c r="AD201" s="10">
        <f>IFERROR(VLOOKUP(Summary!B201,'Pre-Summary'!$A$6:$P$184,3, FALSE)/100,AD202)</f>
        <v>0</v>
      </c>
      <c r="AE201" s="10">
        <f>IFERROR(VLOOKUP(Summary!B201,'Pre-Summary'!$A$6:$P$184,7, FALSE)/100,AE202)</f>
        <v>0.11587800000000001</v>
      </c>
      <c r="AF201" s="99">
        <f t="shared" si="10"/>
        <v>0</v>
      </c>
      <c r="AG201" s="99">
        <f t="shared" si="11"/>
        <v>0.11030696562177837</v>
      </c>
      <c r="AH201" s="10" t="str">
        <f>IFERROR(VLOOKUP(B201,'Pre-Summary'!$AZ$6:$BE$65,3,FALSE),"")</f>
        <v/>
      </c>
      <c r="AI201" s="10" t="str">
        <f>IFERROR(VLOOKUP(B201,'Pre-Summary'!$AZ$6:$BE$65,5,FALSE),"")</f>
        <v/>
      </c>
      <c r="AJ201" s="10" t="str">
        <f>IFERROR(VLOOKUP(B201,'Pre-Summary'!$AZ$6:$BE$65,4,FALSE),"")</f>
        <v/>
      </c>
      <c r="AK201" s="10" t="str">
        <f>IFERROR(VLOOKUP(B201,'Pre-Summary'!$AZ$6:$BE$65,6,FALSE),"")</f>
        <v/>
      </c>
      <c r="AL201" s="10" t="str">
        <f>IFERROR(VLOOKUP(B201,'Pre-Summary'!$BG$6:$BL$44,3,FALSE),"")</f>
        <v/>
      </c>
      <c r="AM201" s="10" t="str">
        <f>IFERROR(VLOOKUP(B201,'Pre-Summary'!$BG$6:$BL$44,4,FALSE),"")</f>
        <v/>
      </c>
    </row>
    <row r="202" spans="2:39" ht="15" customHeight="1" x14ac:dyDescent="0.3">
      <c r="B202">
        <v>19.899999999999999</v>
      </c>
      <c r="C202" t="str">
        <f>IFERROR(VLOOKUP(B202,'Pre-Summary'!$DI$6:$DM$23,4,FALSE),"")</f>
        <v/>
      </c>
      <c r="D202" s="10" t="str">
        <f>IFERROR(VLOOKUP(B202,'Pre-Summary'!$AT$6:$AX$14,5,FALSE),D201)</f>
        <v>DSMZ v1.5: Using DSMZ 120 with NaHCO3</v>
      </c>
      <c r="E202" s="10" t="str">
        <f>IFERROR(VLOOKUP(B202,'Pre-Summary'!$AT$6:$AX$15,4,FALSE),"")</f>
        <v/>
      </c>
      <c r="F202">
        <f>IFERROR(VLOOKUP(B202,'Pre-Summary'!$AL$6:$AQ$13,6,FALSE),F201)</f>
        <v>5.9405263157894746E-2</v>
      </c>
      <c r="G202" t="str">
        <f>IFERROR(VLOOKUP(B202,'Pre-Summary'!$AE$6:$AJ$85,3,FALSE),"")</f>
        <v/>
      </c>
      <c r="H202" t="str">
        <f>IFERROR(VLOOKUP(B202,'Pre-Summary'!$AE$6:$AJ$85,4,FALSE),"")</f>
        <v/>
      </c>
      <c r="I202" t="str">
        <f>IFERROR(VLOOKUP(B202,'Pre-Summary'!$AE$6:$AJ$85,5,FALSE),"")</f>
        <v/>
      </c>
      <c r="J202" s="45" t="str">
        <f>IFERROR(VLOOKUP(B202,'Pre-Summary'!$AE$6:$AJ$85,6, FALSE),"")</f>
        <v/>
      </c>
      <c r="K202" s="45" t="str">
        <f>IFERROR(VLOOKUP(B202,'Pre-Summary'!$DE$6:$DG$61,3,FALSE),"")</f>
        <v/>
      </c>
      <c r="L202" s="45" t="str">
        <f>IFERROR(VLOOKUP(B202,'Pre-Summary'!$CU$6:$CW$36,3,FALSE),"")</f>
        <v/>
      </c>
      <c r="M202" s="45" t="str">
        <f>IFERROR(VLOOKUP(B202,'Pre-Summary'!$BW$6:$BY$58,2,FALSE),"")</f>
        <v/>
      </c>
      <c r="N202" s="45" t="str">
        <f>IFERROR(VLOOKUP(B202,'Pre-Summary'!$CD$6:$CF$64,2,FALSE),"")</f>
        <v/>
      </c>
      <c r="O202" s="99">
        <f>IFERROR(VLOOKUP(B202,'Pre-Summary'!$BO$6:$BQ$48,3, FALSE),O201)</f>
        <v>1.0915248032216731</v>
      </c>
      <c r="P202" s="99">
        <f>IFERROR(VLOOKUP(B202,'Pre-Summary'!$BS$6:$BU$35,3,FALSE),P201)</f>
        <v>0.25</v>
      </c>
      <c r="Q202" s="54">
        <f t="shared" si="9"/>
        <v>4.3660992128866924</v>
      </c>
      <c r="R202" s="53">
        <f>IFERROR(VLOOKUP(B202,'Pre-Summary'!$BG$6:$BM$44,7,FALSE),R203)</f>
        <v>2.7904161219319636E-2</v>
      </c>
      <c r="S202" s="53">
        <f>IFERROR(VLOOKUP(B202,'Pre-Summary'!$BG$6:$BM$44,6,FALSE),S203)</f>
        <v>3.3978715219895171E-2</v>
      </c>
      <c r="T202" s="45" t="str">
        <f>IFERROR(VLOOKUP(B202,'Pre-Summary'!$Y$6:$AC$83, 3,FALSE),"")</f>
        <v/>
      </c>
      <c r="U202" s="45" t="str">
        <f>IFERROR(VLOOKUP(B202,'Pre-Summary'!$Y$6:$AC$83, 4,FALSE),"")</f>
        <v/>
      </c>
      <c r="V202" t="str">
        <f>IFERROR(VLOOKUP(B202,'Pre-Summary'!$Y$6:$AC$83, 5,FALSE),"")</f>
        <v/>
      </c>
      <c r="W202" s="45" t="str">
        <f>IFERROR(VLOOKUP(B202,'Pre-Summary'!$Y$6:$AD$83,6,FALSE),"")</f>
        <v/>
      </c>
      <c r="X202" t="str">
        <f>IFERROR(VLOOKUP('Pre-Summary'!$DB$6:$DD$63,3,FALSE),"")</f>
        <v/>
      </c>
      <c r="Y202" t="str">
        <f>IFERROR(VLOOKUP(B202,'Pre-Summary'!$CR$6:$CT$36,3,FALSE),"")</f>
        <v/>
      </c>
      <c r="Z202" s="45" t="str">
        <f>IFERROR(VLOOKUP(B202,'Pre-Summary'!$BZ$6:$CB$63,2,FALSE),"")</f>
        <v/>
      </c>
      <c r="AA202" s="45" t="str">
        <f>IFERROR(VLOOKUP(B202,'Pre-Summary'!$CG$6:$CI$70,2,FALSE),"")</f>
        <v/>
      </c>
      <c r="AB202" s="99">
        <f>IFERROR(VLOOKUP(B202,'Pre-Summary'!$A$6:$P$178,9,FALSE),AB203)</f>
        <v>0.95192327811817912</v>
      </c>
      <c r="AC202" s="10">
        <f>IFERROR(VLOOKUP(Summary!B202,'Pre-Summary'!$A$6:$P$184,5, FALSE)/100,AC203)</f>
        <v>0.88412199999999985</v>
      </c>
      <c r="AD202" s="10">
        <f>IFERROR(VLOOKUP(Summary!B202,'Pre-Summary'!$A$6:$P$184,3, FALSE)/100,AD203)</f>
        <v>0</v>
      </c>
      <c r="AE202" s="10">
        <f>IFERROR(VLOOKUP(Summary!B202,'Pre-Summary'!$A$6:$P$184,7, FALSE)/100,AE203)</f>
        <v>0.11587800000000001</v>
      </c>
      <c r="AF202" s="99">
        <f t="shared" si="10"/>
        <v>0</v>
      </c>
      <c r="AG202" s="99">
        <f t="shared" si="11"/>
        <v>0.11030696562177837</v>
      </c>
      <c r="AH202" s="10" t="str">
        <f>IFERROR(VLOOKUP(B202,'Pre-Summary'!$AZ$6:$BE$65,3,FALSE),"")</f>
        <v/>
      </c>
      <c r="AI202" s="10" t="str">
        <f>IFERROR(VLOOKUP(B202,'Pre-Summary'!$AZ$6:$BE$65,5,FALSE),"")</f>
        <v/>
      </c>
      <c r="AJ202" s="10" t="str">
        <f>IFERROR(VLOOKUP(B202,'Pre-Summary'!$AZ$6:$BE$65,4,FALSE),"")</f>
        <v/>
      </c>
      <c r="AK202" s="10" t="str">
        <f>IFERROR(VLOOKUP(B202,'Pre-Summary'!$AZ$6:$BE$65,6,FALSE),"")</f>
        <v/>
      </c>
      <c r="AL202" s="10" t="str">
        <f>IFERROR(VLOOKUP(B202,'Pre-Summary'!$BG$6:$BL$44,3,FALSE),"")</f>
        <v/>
      </c>
      <c r="AM202" s="10" t="str">
        <f>IFERROR(VLOOKUP(B202,'Pre-Summary'!$BG$6:$BL$44,4,FALSE),"")</f>
        <v/>
      </c>
    </row>
    <row r="203" spans="2:39" ht="15" customHeight="1" x14ac:dyDescent="0.3">
      <c r="B203">
        <v>20</v>
      </c>
      <c r="C203" t="str">
        <f>IFERROR(VLOOKUP(B203,'Pre-Summary'!$DI$6:$DM$23,4,FALSE),"")</f>
        <v/>
      </c>
      <c r="D203" s="10" t="str">
        <f>IFERROR(VLOOKUP(B203,'Pre-Summary'!$AT$6:$AX$14,5,FALSE),D202)</f>
        <v>DSMZ v1.5: Using DSMZ 120 with NaHCO3</v>
      </c>
      <c r="E203" s="10" t="str">
        <f>IFERROR(VLOOKUP(B203,'Pre-Summary'!$AT$6:$AX$15,4,FALSE),"")</f>
        <v/>
      </c>
      <c r="F203">
        <f>IFERROR(VLOOKUP(B203,'Pre-Summary'!$AL$6:$AQ$13,6,FALSE),F202)</f>
        <v>5.9405263157894746E-2</v>
      </c>
      <c r="G203" t="str">
        <f>IFERROR(VLOOKUP(B203,'Pre-Summary'!$AE$6:$AJ$85,3,FALSE),"")</f>
        <v/>
      </c>
      <c r="H203" t="str">
        <f>IFERROR(VLOOKUP(B203,'Pre-Summary'!$AE$6:$AJ$85,4,FALSE),"")</f>
        <v/>
      </c>
      <c r="I203" t="str">
        <f>IFERROR(VLOOKUP(B203,'Pre-Summary'!$AE$6:$AJ$85,5,FALSE),"")</f>
        <v/>
      </c>
      <c r="J203" s="45" t="str">
        <f>IFERROR(VLOOKUP(B203,'Pre-Summary'!$AE$6:$AJ$85,6, FALSE),"")</f>
        <v/>
      </c>
      <c r="K203" s="45" t="str">
        <f>IFERROR(VLOOKUP(B203,'Pre-Summary'!$DE$6:$DG$61,3,FALSE),"")</f>
        <v/>
      </c>
      <c r="L203" s="45" t="str">
        <f>IFERROR(VLOOKUP(B203,'Pre-Summary'!$CU$6:$CW$36,3,FALSE),"")</f>
        <v/>
      </c>
      <c r="M203" s="45" t="str">
        <f>IFERROR(VLOOKUP(B203,'Pre-Summary'!$BW$6:$BY$58,2,FALSE),"")</f>
        <v/>
      </c>
      <c r="N203" s="45" t="str">
        <f>IFERROR(VLOOKUP(B203,'Pre-Summary'!$CD$6:$CF$64,2,FALSE),"")</f>
        <v/>
      </c>
      <c r="O203" s="99">
        <f>IFERROR(VLOOKUP(B203,'Pre-Summary'!$BO$6:$BQ$48,3, FALSE),O202)</f>
        <v>1.0915248032216731</v>
      </c>
      <c r="P203" s="99">
        <f>IFERROR(VLOOKUP(B203,'Pre-Summary'!$BS$6:$BU$35,3,FALSE),P202)</f>
        <v>0.25</v>
      </c>
      <c r="Q203" s="54">
        <f t="shared" si="9"/>
        <v>4.3660992128866924</v>
      </c>
      <c r="R203" s="53">
        <f>IFERROR(VLOOKUP(B203,'Pre-Summary'!$BG$6:$BM$44,7,FALSE),R204)</f>
        <v>2.7904161219319636E-2</v>
      </c>
      <c r="S203" s="53">
        <f>IFERROR(VLOOKUP(B203,'Pre-Summary'!$BG$6:$BM$44,6,FALSE),S204)</f>
        <v>3.3978715219895171E-2</v>
      </c>
      <c r="T203" s="45" t="str">
        <f>IFERROR(VLOOKUP(B203,'Pre-Summary'!$Y$6:$AC$83, 3,FALSE),"")</f>
        <v/>
      </c>
      <c r="U203" s="45" t="str">
        <f>IFERROR(VLOOKUP(B203,'Pre-Summary'!$Y$6:$AC$83, 4,FALSE),"")</f>
        <v/>
      </c>
      <c r="V203" t="str">
        <f>IFERROR(VLOOKUP(B203,'Pre-Summary'!$Y$6:$AC$83, 5,FALSE),"")</f>
        <v/>
      </c>
      <c r="W203" s="45" t="str">
        <f>IFERROR(VLOOKUP(B203,'Pre-Summary'!$Y$6:$AD$83,6,FALSE),"")</f>
        <v/>
      </c>
      <c r="X203" t="str">
        <f>IFERROR(VLOOKUP('Pre-Summary'!$DB$6:$DD$63,3,FALSE),"")</f>
        <v/>
      </c>
      <c r="Y203" t="str">
        <f>IFERROR(VLOOKUP(B203,'Pre-Summary'!$CR$6:$CT$36,3,FALSE),"")</f>
        <v/>
      </c>
      <c r="Z203" s="45" t="str">
        <f>IFERROR(VLOOKUP(B203,'Pre-Summary'!$BZ$6:$CB$63,2,FALSE),"")</f>
        <v/>
      </c>
      <c r="AA203" s="45" t="str">
        <f>IFERROR(VLOOKUP(B203,'Pre-Summary'!$CG$6:$CI$70,2,FALSE),"")</f>
        <v/>
      </c>
      <c r="AB203" s="99">
        <f>IFERROR(VLOOKUP(B203,'Pre-Summary'!$A$6:$P$178,9,FALSE),AB204)</f>
        <v>0.95192327811817912</v>
      </c>
      <c r="AC203" s="10">
        <f>IFERROR(VLOOKUP(Summary!B203,'Pre-Summary'!$A$6:$P$184,5, FALSE)/100,AC204)</f>
        <v>0.88412199999999985</v>
      </c>
      <c r="AD203" s="10">
        <f>IFERROR(VLOOKUP(Summary!B203,'Pre-Summary'!$A$6:$P$184,3, FALSE)/100,AD204)</f>
        <v>0</v>
      </c>
      <c r="AE203" s="10">
        <f>IFERROR(VLOOKUP(Summary!B203,'Pre-Summary'!$A$6:$P$184,7, FALSE)/100,AE204)</f>
        <v>0.11587800000000001</v>
      </c>
      <c r="AF203" s="99">
        <f t="shared" si="10"/>
        <v>0</v>
      </c>
      <c r="AG203" s="99">
        <f t="shared" si="11"/>
        <v>0.11030696562177837</v>
      </c>
      <c r="AH203" s="10" t="str">
        <f>IFERROR(VLOOKUP(B203,'Pre-Summary'!$AZ$6:$BE$65,3,FALSE),"")</f>
        <v/>
      </c>
      <c r="AI203" s="10" t="str">
        <f>IFERROR(VLOOKUP(B203,'Pre-Summary'!$AZ$6:$BE$65,5,FALSE),"")</f>
        <v/>
      </c>
      <c r="AJ203" s="10" t="str">
        <f>IFERROR(VLOOKUP(B203,'Pre-Summary'!$AZ$6:$BE$65,4,FALSE),"")</f>
        <v/>
      </c>
      <c r="AK203" s="10" t="str">
        <f>IFERROR(VLOOKUP(B203,'Pre-Summary'!$AZ$6:$BE$65,6,FALSE),"")</f>
        <v/>
      </c>
      <c r="AL203" s="10" t="str">
        <f>IFERROR(VLOOKUP(B203,'Pre-Summary'!$BG$6:$BL$44,3,FALSE),"")</f>
        <v/>
      </c>
      <c r="AM203" s="10" t="str">
        <f>IFERROR(VLOOKUP(B203,'Pre-Summary'!$BG$6:$BL$44,4,FALSE),"")</f>
        <v/>
      </c>
    </row>
    <row r="204" spans="2:39" ht="15" customHeight="1" x14ac:dyDescent="0.3">
      <c r="B204">
        <v>20.100000000000001</v>
      </c>
      <c r="C204" t="str">
        <f>IFERROR(VLOOKUP(B204,'Pre-Summary'!$DI$6:$DM$23,4,FALSE),"")</f>
        <v/>
      </c>
      <c r="D204" s="10" t="str">
        <f>IFERROR(VLOOKUP(B204,'Pre-Summary'!$AT$6:$AX$14,5,FALSE),D203)</f>
        <v>DSMZ v1.5: Using DSMZ 120 with NaHCO3</v>
      </c>
      <c r="E204" s="10" t="str">
        <f>IFERROR(VLOOKUP(B204,'Pre-Summary'!$AT$6:$AX$15,4,FALSE),"")</f>
        <v/>
      </c>
      <c r="F204">
        <f>IFERROR(VLOOKUP(B204,'Pre-Summary'!$AL$6:$AQ$13,6,FALSE),F203)</f>
        <v>5.9405263157894746E-2</v>
      </c>
      <c r="G204" t="str">
        <f>IFERROR(VLOOKUP(B204,'Pre-Summary'!$AE$6:$AJ$85,3,FALSE),"")</f>
        <v/>
      </c>
      <c r="H204" t="str">
        <f>IFERROR(VLOOKUP(B204,'Pre-Summary'!$AE$6:$AJ$85,4,FALSE),"")</f>
        <v/>
      </c>
      <c r="I204" t="str">
        <f>IFERROR(VLOOKUP(B204,'Pre-Summary'!$AE$6:$AJ$85,5,FALSE),"")</f>
        <v/>
      </c>
      <c r="J204" s="45" t="str">
        <f>IFERROR(VLOOKUP(B204,'Pre-Summary'!$AE$6:$AJ$85,6, FALSE),"")</f>
        <v/>
      </c>
      <c r="K204" s="45" t="str">
        <f>IFERROR(VLOOKUP(B204,'Pre-Summary'!$DE$6:$DG$61,3,FALSE),"")</f>
        <v/>
      </c>
      <c r="L204" s="45" t="str">
        <f>IFERROR(VLOOKUP(B204,'Pre-Summary'!$CU$6:$CW$36,3,FALSE),"")</f>
        <v/>
      </c>
      <c r="M204" s="45" t="str">
        <f>IFERROR(VLOOKUP(B204,'Pre-Summary'!$BW$6:$BY$58,2,FALSE),"")</f>
        <v/>
      </c>
      <c r="N204" s="45" t="str">
        <f>IFERROR(VLOOKUP(B204,'Pre-Summary'!$CD$6:$CF$64,2,FALSE),"")</f>
        <v/>
      </c>
      <c r="O204" s="99">
        <f>IFERROR(VLOOKUP(B204,'Pre-Summary'!$BO$6:$BQ$48,3, FALSE),O203)</f>
        <v>1.0915248032216731</v>
      </c>
      <c r="P204" s="99">
        <f>IFERROR(VLOOKUP(B204,'Pre-Summary'!$BS$6:$BU$35,3,FALSE),P203)</f>
        <v>0.25</v>
      </c>
      <c r="Q204" s="54">
        <f t="shared" si="9"/>
        <v>4.3660992128866924</v>
      </c>
      <c r="R204" s="53">
        <f>IFERROR(VLOOKUP(B204,'Pre-Summary'!$BG$6:$BM$44,7,FALSE),R205)</f>
        <v>2.7904161219319636E-2</v>
      </c>
      <c r="S204" s="53">
        <f>IFERROR(VLOOKUP(B204,'Pre-Summary'!$BG$6:$BM$44,6,FALSE),S205)</f>
        <v>3.3978715219895171E-2</v>
      </c>
      <c r="T204" s="45" t="str">
        <f>IFERROR(VLOOKUP(B204,'Pre-Summary'!$Y$6:$AC$83, 3,FALSE),"")</f>
        <v/>
      </c>
      <c r="U204" s="45" t="str">
        <f>IFERROR(VLOOKUP(B204,'Pre-Summary'!$Y$6:$AC$83, 4,FALSE),"")</f>
        <v/>
      </c>
      <c r="V204" t="str">
        <f>IFERROR(VLOOKUP(B204,'Pre-Summary'!$Y$6:$AC$83, 5,FALSE),"")</f>
        <v/>
      </c>
      <c r="W204" s="45" t="str">
        <f>IFERROR(VLOOKUP(B204,'Pre-Summary'!$Y$6:$AD$83,6,FALSE),"")</f>
        <v/>
      </c>
      <c r="X204" t="str">
        <f>IFERROR(VLOOKUP('Pre-Summary'!$DB$6:$DD$63,3,FALSE),"")</f>
        <v/>
      </c>
      <c r="Y204" t="str">
        <f>IFERROR(VLOOKUP(B204,'Pre-Summary'!$CR$6:$CT$36,3,FALSE),"")</f>
        <v/>
      </c>
      <c r="Z204" s="45" t="str">
        <f>IFERROR(VLOOKUP(B204,'Pre-Summary'!$BZ$6:$CB$63,2,FALSE),"")</f>
        <v/>
      </c>
      <c r="AA204" s="45" t="str">
        <f>IFERROR(VLOOKUP(B204,'Pre-Summary'!$CG$6:$CI$70,2,FALSE),"")</f>
        <v/>
      </c>
      <c r="AB204" s="99">
        <f>IFERROR(VLOOKUP(B204,'Pre-Summary'!$A$6:$P$178,9,FALSE),AB205)</f>
        <v>0.95192327811817912</v>
      </c>
      <c r="AC204" s="10">
        <f>IFERROR(VLOOKUP(Summary!B204,'Pre-Summary'!$A$6:$P$184,5, FALSE)/100,AC205)</f>
        <v>0.88412199999999985</v>
      </c>
      <c r="AD204" s="10">
        <f>IFERROR(VLOOKUP(Summary!B204,'Pre-Summary'!$A$6:$P$184,3, FALSE)/100,AD205)</f>
        <v>0</v>
      </c>
      <c r="AE204" s="10">
        <f>IFERROR(VLOOKUP(Summary!B204,'Pre-Summary'!$A$6:$P$184,7, FALSE)/100,AE205)</f>
        <v>0.11587800000000001</v>
      </c>
      <c r="AF204" s="99">
        <f t="shared" si="10"/>
        <v>0</v>
      </c>
      <c r="AG204" s="99">
        <f t="shared" si="11"/>
        <v>0.11030696562177837</v>
      </c>
      <c r="AH204" s="10" t="str">
        <f>IFERROR(VLOOKUP(B204,'Pre-Summary'!$AZ$6:$BE$65,3,FALSE),"")</f>
        <v/>
      </c>
      <c r="AI204" s="10" t="str">
        <f>IFERROR(VLOOKUP(B204,'Pre-Summary'!$AZ$6:$BE$65,5,FALSE),"")</f>
        <v/>
      </c>
      <c r="AJ204" s="10" t="str">
        <f>IFERROR(VLOOKUP(B204,'Pre-Summary'!$AZ$6:$BE$65,4,FALSE),"")</f>
        <v/>
      </c>
      <c r="AK204" s="10" t="str">
        <f>IFERROR(VLOOKUP(B204,'Pre-Summary'!$AZ$6:$BE$65,6,FALSE),"")</f>
        <v/>
      </c>
      <c r="AL204" s="10" t="str">
        <f>IFERROR(VLOOKUP(B204,'Pre-Summary'!$BG$6:$BL$44,3,FALSE),"")</f>
        <v/>
      </c>
      <c r="AM204" s="10" t="str">
        <f>IFERROR(VLOOKUP(B204,'Pre-Summary'!$BG$6:$BL$44,4,FALSE),"")</f>
        <v/>
      </c>
    </row>
    <row r="205" spans="2:39" ht="15" customHeight="1" x14ac:dyDescent="0.3">
      <c r="B205">
        <v>20.2</v>
      </c>
      <c r="C205" t="str">
        <f>IFERROR(VLOOKUP(B205,'Pre-Summary'!$DI$6:$DM$23,4,FALSE),"")</f>
        <v/>
      </c>
      <c r="D205" s="10" t="str">
        <f>IFERROR(VLOOKUP(B205,'Pre-Summary'!$AT$6:$AX$14,5,FALSE),D204)</f>
        <v>DSMZ v1.5: Using DSMZ 120 with NaHCO3</v>
      </c>
      <c r="E205" s="10" t="str">
        <f>IFERROR(VLOOKUP(B205,'Pre-Summary'!$AT$6:$AX$15,4,FALSE),"")</f>
        <v/>
      </c>
      <c r="F205">
        <f>IFERROR(VLOOKUP(B205,'Pre-Summary'!$AL$6:$AQ$13,6,FALSE),F204)</f>
        <v>5.9405263157894746E-2</v>
      </c>
      <c r="G205" t="str">
        <f>IFERROR(VLOOKUP(B205,'Pre-Summary'!$AE$6:$AJ$85,3,FALSE),"")</f>
        <v/>
      </c>
      <c r="H205" t="str">
        <f>IFERROR(VLOOKUP(B205,'Pre-Summary'!$AE$6:$AJ$85,4,FALSE),"")</f>
        <v/>
      </c>
      <c r="I205" t="str">
        <f>IFERROR(VLOOKUP(B205,'Pre-Summary'!$AE$6:$AJ$85,5,FALSE),"")</f>
        <v/>
      </c>
      <c r="J205" s="45" t="str">
        <f>IFERROR(VLOOKUP(B205,'Pre-Summary'!$AE$6:$AJ$85,6, FALSE),"")</f>
        <v/>
      </c>
      <c r="K205" s="45" t="str">
        <f>IFERROR(VLOOKUP(B205,'Pre-Summary'!$DE$6:$DG$61,3,FALSE),"")</f>
        <v/>
      </c>
      <c r="L205" s="45" t="str">
        <f>IFERROR(VLOOKUP(B205,'Pre-Summary'!$CU$6:$CW$36,3,FALSE),"")</f>
        <v/>
      </c>
      <c r="M205" s="45" t="str">
        <f>IFERROR(VLOOKUP(B205,'Pre-Summary'!$BW$6:$BY$58,2,FALSE),"")</f>
        <v/>
      </c>
      <c r="N205" s="45" t="str">
        <f>IFERROR(VLOOKUP(B205,'Pre-Summary'!$CD$6:$CF$64,2,FALSE),"")</f>
        <v/>
      </c>
      <c r="O205" s="99">
        <f>IFERROR(VLOOKUP(B205,'Pre-Summary'!$BO$6:$BQ$48,3, FALSE),O204)</f>
        <v>1.0915248032216731</v>
      </c>
      <c r="P205" s="99">
        <f>IFERROR(VLOOKUP(B205,'Pre-Summary'!$BS$6:$BU$35,3,FALSE),P204)</f>
        <v>0.25</v>
      </c>
      <c r="Q205" s="54">
        <f t="shared" si="9"/>
        <v>4.3660992128866924</v>
      </c>
      <c r="R205" s="53">
        <f>IFERROR(VLOOKUP(B205,'Pre-Summary'!$BG$6:$BM$44,7,FALSE),R206)</f>
        <v>2.7904161219319636E-2</v>
      </c>
      <c r="S205" s="53">
        <f>IFERROR(VLOOKUP(B205,'Pre-Summary'!$BG$6:$BM$44,6,FALSE),S206)</f>
        <v>3.3978715219895171E-2</v>
      </c>
      <c r="T205" s="45" t="str">
        <f>IFERROR(VLOOKUP(B205,'Pre-Summary'!$Y$6:$AC$83, 3,FALSE),"")</f>
        <v/>
      </c>
      <c r="U205" s="45" t="str">
        <f>IFERROR(VLOOKUP(B205,'Pre-Summary'!$Y$6:$AC$83, 4,FALSE),"")</f>
        <v/>
      </c>
      <c r="V205" t="str">
        <f>IFERROR(VLOOKUP(B205,'Pre-Summary'!$Y$6:$AC$83, 5,FALSE),"")</f>
        <v/>
      </c>
      <c r="W205" s="45" t="str">
        <f>IFERROR(VLOOKUP(B205,'Pre-Summary'!$Y$6:$AD$83,6,FALSE),"")</f>
        <v/>
      </c>
      <c r="X205" t="str">
        <f>IFERROR(VLOOKUP('Pre-Summary'!$DB$6:$DD$63,3,FALSE),"")</f>
        <v/>
      </c>
      <c r="Y205" t="str">
        <f>IFERROR(VLOOKUP(B205,'Pre-Summary'!$CR$6:$CT$36,3,FALSE),"")</f>
        <v/>
      </c>
      <c r="Z205" s="45" t="str">
        <f>IFERROR(VLOOKUP(B205,'Pre-Summary'!$BZ$6:$CB$63,2,FALSE),"")</f>
        <v/>
      </c>
      <c r="AA205" s="45" t="str">
        <f>IFERROR(VLOOKUP(B205,'Pre-Summary'!$CG$6:$CI$70,2,FALSE),"")</f>
        <v/>
      </c>
      <c r="AB205" s="99">
        <f>IFERROR(VLOOKUP(B205,'Pre-Summary'!$A$6:$P$178,9,FALSE),AB206)</f>
        <v>0.95192327811817912</v>
      </c>
      <c r="AC205" s="10">
        <f>IFERROR(VLOOKUP(Summary!B205,'Pre-Summary'!$A$6:$P$184,5, FALSE)/100,AC206)</f>
        <v>0.88412199999999985</v>
      </c>
      <c r="AD205" s="10">
        <f>IFERROR(VLOOKUP(Summary!B205,'Pre-Summary'!$A$6:$P$184,3, FALSE)/100,AD206)</f>
        <v>0</v>
      </c>
      <c r="AE205" s="10">
        <f>IFERROR(VLOOKUP(Summary!B205,'Pre-Summary'!$A$6:$P$184,7, FALSE)/100,AE206)</f>
        <v>0.11587800000000001</v>
      </c>
      <c r="AF205" s="99">
        <f t="shared" si="10"/>
        <v>0</v>
      </c>
      <c r="AG205" s="99">
        <f t="shared" si="11"/>
        <v>0.11030696562177837</v>
      </c>
      <c r="AH205" s="10" t="str">
        <f>IFERROR(VLOOKUP(B205,'Pre-Summary'!$AZ$6:$BE$65,3,FALSE),"")</f>
        <v/>
      </c>
      <c r="AI205" s="10" t="str">
        <f>IFERROR(VLOOKUP(B205,'Pre-Summary'!$AZ$6:$BE$65,5,FALSE),"")</f>
        <v/>
      </c>
      <c r="AJ205" s="10" t="str">
        <f>IFERROR(VLOOKUP(B205,'Pre-Summary'!$AZ$6:$BE$65,4,FALSE),"")</f>
        <v/>
      </c>
      <c r="AK205" s="10" t="str">
        <f>IFERROR(VLOOKUP(B205,'Pre-Summary'!$AZ$6:$BE$65,6,FALSE),"")</f>
        <v/>
      </c>
      <c r="AL205" s="10" t="str">
        <f>IFERROR(VLOOKUP(B205,'Pre-Summary'!$BG$6:$BL$44,3,FALSE),"")</f>
        <v/>
      </c>
      <c r="AM205" s="10" t="str">
        <f>IFERROR(VLOOKUP(B205,'Pre-Summary'!$BG$6:$BL$44,4,FALSE),"")</f>
        <v/>
      </c>
    </row>
    <row r="206" spans="2:39" ht="15" customHeight="1" x14ac:dyDescent="0.3">
      <c r="B206">
        <v>20.3</v>
      </c>
      <c r="C206" t="str">
        <f>IFERROR(VLOOKUP(B206,'Pre-Summary'!$DI$6:$DM$23,4,FALSE),"")</f>
        <v/>
      </c>
      <c r="D206" s="10" t="str">
        <f>IFERROR(VLOOKUP(B206,'Pre-Summary'!$AT$6:$AX$14,5,FALSE),D205)</f>
        <v>DSMZ v1.5: Using DSMZ 120 with NaHCO3</v>
      </c>
      <c r="E206" s="10" t="str">
        <f>IFERROR(VLOOKUP(B206,'Pre-Summary'!$AT$6:$AX$15,4,FALSE),"")</f>
        <v/>
      </c>
      <c r="F206">
        <f>IFERROR(VLOOKUP(B206,'Pre-Summary'!$AL$6:$AQ$13,6,FALSE),F205)</f>
        <v>5.9405263157894746E-2</v>
      </c>
      <c r="G206" t="str">
        <f>IFERROR(VLOOKUP(B206,'Pre-Summary'!$AE$6:$AJ$85,3,FALSE),"")</f>
        <v/>
      </c>
      <c r="H206" t="str">
        <f>IFERROR(VLOOKUP(B206,'Pre-Summary'!$AE$6:$AJ$85,4,FALSE),"")</f>
        <v/>
      </c>
      <c r="I206" t="str">
        <f>IFERROR(VLOOKUP(B206,'Pre-Summary'!$AE$6:$AJ$85,5,FALSE),"")</f>
        <v/>
      </c>
      <c r="J206" s="45" t="str">
        <f>IFERROR(VLOOKUP(B206,'Pre-Summary'!$AE$6:$AJ$85,6, FALSE),"")</f>
        <v/>
      </c>
      <c r="K206" s="45" t="str">
        <f>IFERROR(VLOOKUP(B206,'Pre-Summary'!$DE$6:$DG$61,3,FALSE),"")</f>
        <v/>
      </c>
      <c r="L206" s="45" t="str">
        <f>IFERROR(VLOOKUP(B206,'Pre-Summary'!$CU$6:$CW$36,3,FALSE),"")</f>
        <v/>
      </c>
      <c r="M206" s="45" t="str">
        <f>IFERROR(VLOOKUP(B206,'Pre-Summary'!$BW$6:$BY$58,2,FALSE),"")</f>
        <v/>
      </c>
      <c r="N206" s="45" t="str">
        <f>IFERROR(VLOOKUP(B206,'Pre-Summary'!$CD$6:$CF$64,2,FALSE),"")</f>
        <v/>
      </c>
      <c r="O206" s="99">
        <f>IFERROR(VLOOKUP(B206,'Pre-Summary'!$BO$6:$BQ$48,3, FALSE),O205)</f>
        <v>0.54576240161083656</v>
      </c>
      <c r="P206" s="99">
        <f>IFERROR(VLOOKUP(B206,'Pre-Summary'!$BS$6:$BU$35,3,FALSE),P205)</f>
        <v>0.25</v>
      </c>
      <c r="Q206" s="54">
        <f t="shared" si="9"/>
        <v>2.1830496064433462</v>
      </c>
      <c r="R206" s="53">
        <f>IFERROR(VLOOKUP(B206,'Pre-Summary'!$BG$6:$BM$44,7,FALSE),R207)</f>
        <v>2.7904161219319636E-2</v>
      </c>
      <c r="S206" s="53">
        <f>IFERROR(VLOOKUP(B206,'Pre-Summary'!$BG$6:$BM$44,6,FALSE),S207)</f>
        <v>3.3978715219895171E-2</v>
      </c>
      <c r="T206" s="45" t="str">
        <f>IFERROR(VLOOKUP(B206,'Pre-Summary'!$Y$6:$AC$83, 3,FALSE),"")</f>
        <v/>
      </c>
      <c r="U206" s="45" t="str">
        <f>IFERROR(VLOOKUP(B206,'Pre-Summary'!$Y$6:$AC$83, 4,FALSE),"")</f>
        <v/>
      </c>
      <c r="V206" t="str">
        <f>IFERROR(VLOOKUP(B206,'Pre-Summary'!$Y$6:$AC$83, 5,FALSE),"")</f>
        <v/>
      </c>
      <c r="W206" s="45" t="str">
        <f>IFERROR(VLOOKUP(B206,'Pre-Summary'!$Y$6:$AD$83,6,FALSE),"")</f>
        <v/>
      </c>
      <c r="X206" t="str">
        <f>IFERROR(VLOOKUP('Pre-Summary'!$DB$6:$DD$63,3,FALSE),"")</f>
        <v/>
      </c>
      <c r="Y206" t="str">
        <f>IFERROR(VLOOKUP(B206,'Pre-Summary'!$CR$6:$CT$36,3,FALSE),"")</f>
        <v/>
      </c>
      <c r="Z206" s="45" t="str">
        <f>IFERROR(VLOOKUP(B206,'Pre-Summary'!$BZ$6:$CB$63,2,FALSE),"")</f>
        <v/>
      </c>
      <c r="AA206" s="45" t="str">
        <f>IFERROR(VLOOKUP(B206,'Pre-Summary'!$CG$6:$CI$70,2,FALSE),"")</f>
        <v/>
      </c>
      <c r="AB206" s="99">
        <f>IFERROR(VLOOKUP(B206,'Pre-Summary'!$A$6:$P$178,9,FALSE),AB207)</f>
        <v>0.95192327811817912</v>
      </c>
      <c r="AC206" s="10">
        <f>IFERROR(VLOOKUP(Summary!B206,'Pre-Summary'!$A$6:$P$184,5, FALSE)/100,AC207)</f>
        <v>0.88412199999999985</v>
      </c>
      <c r="AD206" s="10">
        <f>IFERROR(VLOOKUP(Summary!B206,'Pre-Summary'!$A$6:$P$184,3, FALSE)/100,AD207)</f>
        <v>0</v>
      </c>
      <c r="AE206" s="10">
        <f>IFERROR(VLOOKUP(Summary!B206,'Pre-Summary'!$A$6:$P$184,7, FALSE)/100,AE207)</f>
        <v>0.11587800000000001</v>
      </c>
      <c r="AF206" s="99">
        <f t="shared" si="10"/>
        <v>0</v>
      </c>
      <c r="AG206" s="99">
        <f t="shared" si="11"/>
        <v>0.11030696562177837</v>
      </c>
      <c r="AH206" s="10" t="str">
        <f>IFERROR(VLOOKUP(B206,'Pre-Summary'!$AZ$6:$BE$65,3,FALSE),"")</f>
        <v/>
      </c>
      <c r="AI206" s="10" t="str">
        <f>IFERROR(VLOOKUP(B206,'Pre-Summary'!$AZ$6:$BE$65,5,FALSE),"")</f>
        <v/>
      </c>
      <c r="AJ206" s="10" t="str">
        <f>IFERROR(VLOOKUP(B206,'Pre-Summary'!$AZ$6:$BE$65,4,FALSE),"")</f>
        <v/>
      </c>
      <c r="AK206" s="10" t="str">
        <f>IFERROR(VLOOKUP(B206,'Pre-Summary'!$AZ$6:$BE$65,6,FALSE),"")</f>
        <v/>
      </c>
      <c r="AL206" s="10" t="str">
        <f>IFERROR(VLOOKUP(B206,'Pre-Summary'!$BG$6:$BL$44,3,FALSE),"")</f>
        <v/>
      </c>
      <c r="AM206" s="10" t="str">
        <f>IFERROR(VLOOKUP(B206,'Pre-Summary'!$BG$6:$BL$44,4,FALSE),"")</f>
        <v/>
      </c>
    </row>
    <row r="207" spans="2:39" ht="15" customHeight="1" x14ac:dyDescent="0.3">
      <c r="B207">
        <v>20.399999999999999</v>
      </c>
      <c r="C207" t="str">
        <f>IFERROR(VLOOKUP(B207,'Pre-Summary'!$DI$6:$DM$23,4,FALSE),"")</f>
        <v/>
      </c>
      <c r="D207" s="10" t="str">
        <f>IFERROR(VLOOKUP(B207,'Pre-Summary'!$AT$6:$AX$14,5,FALSE),D206)</f>
        <v>DSMZ v1.5: Using DSMZ 120 with NaHCO3</v>
      </c>
      <c r="E207" s="10" t="str">
        <f>IFERROR(VLOOKUP(B207,'Pre-Summary'!$AT$6:$AX$15,4,FALSE),"")</f>
        <v/>
      </c>
      <c r="F207">
        <f>IFERROR(VLOOKUP(B207,'Pre-Summary'!$AL$6:$AQ$13,6,FALSE),F206)</f>
        <v>5.9405263157894746E-2</v>
      </c>
      <c r="G207" t="str">
        <f>IFERROR(VLOOKUP(B207,'Pre-Summary'!$AE$6:$AJ$85,3,FALSE),"")</f>
        <v/>
      </c>
      <c r="H207" t="str">
        <f>IFERROR(VLOOKUP(B207,'Pre-Summary'!$AE$6:$AJ$85,4,FALSE),"")</f>
        <v/>
      </c>
      <c r="I207" t="str">
        <f>IFERROR(VLOOKUP(B207,'Pre-Summary'!$AE$6:$AJ$85,5,FALSE),"")</f>
        <v/>
      </c>
      <c r="J207" s="45" t="str">
        <f>IFERROR(VLOOKUP(B207,'Pre-Summary'!$AE$6:$AJ$85,6, FALSE),"")</f>
        <v/>
      </c>
      <c r="K207" s="45" t="str">
        <f>IFERROR(VLOOKUP(B207,'Pre-Summary'!$DE$6:$DG$61,3,FALSE),"")</f>
        <v/>
      </c>
      <c r="L207" s="45" t="str">
        <f>IFERROR(VLOOKUP(B207,'Pre-Summary'!$CU$6:$CW$36,3,FALSE),"")</f>
        <v/>
      </c>
      <c r="M207" s="45" t="str">
        <f>IFERROR(VLOOKUP(B207,'Pre-Summary'!$BW$6:$BY$58,2,FALSE),"")</f>
        <v/>
      </c>
      <c r="N207" s="45" t="str">
        <f>IFERROR(VLOOKUP(B207,'Pre-Summary'!$CD$6:$CF$64,2,FALSE),"")</f>
        <v/>
      </c>
      <c r="O207" s="99">
        <f>IFERROR(VLOOKUP(B207,'Pre-Summary'!$BO$6:$BQ$48,3, FALSE),O206)</f>
        <v>0.54576240161083656</v>
      </c>
      <c r="P207" s="99">
        <f>IFERROR(VLOOKUP(B207,'Pre-Summary'!$BS$6:$BU$35,3,FALSE),P206)</f>
        <v>0.25</v>
      </c>
      <c r="Q207" s="54">
        <f t="shared" si="9"/>
        <v>2.1830496064433462</v>
      </c>
      <c r="R207" s="53">
        <f>IFERROR(VLOOKUP(B207,'Pre-Summary'!$BG$6:$BM$44,7,FALSE),R208)</f>
        <v>2.7904161219319636E-2</v>
      </c>
      <c r="S207" s="53">
        <f>IFERROR(VLOOKUP(B207,'Pre-Summary'!$BG$6:$BM$44,6,FALSE),S208)</f>
        <v>3.3978715219895171E-2</v>
      </c>
      <c r="T207" s="45" t="str">
        <f>IFERROR(VLOOKUP(B207,'Pre-Summary'!$Y$6:$AC$83, 3,FALSE),"")</f>
        <v/>
      </c>
      <c r="U207" s="45" t="str">
        <f>IFERROR(VLOOKUP(B207,'Pre-Summary'!$Y$6:$AC$83, 4,FALSE),"")</f>
        <v/>
      </c>
      <c r="V207" t="str">
        <f>IFERROR(VLOOKUP(B207,'Pre-Summary'!$Y$6:$AC$83, 5,FALSE),"")</f>
        <v/>
      </c>
      <c r="W207" s="45" t="str">
        <f>IFERROR(VLOOKUP(B207,'Pre-Summary'!$Y$6:$AD$83,6,FALSE),"")</f>
        <v/>
      </c>
      <c r="X207" t="str">
        <f>IFERROR(VLOOKUP('Pre-Summary'!$DB$6:$DD$63,3,FALSE),"")</f>
        <v/>
      </c>
      <c r="Y207" t="str">
        <f>IFERROR(VLOOKUP(B207,'Pre-Summary'!$CR$6:$CT$36,3,FALSE),"")</f>
        <v/>
      </c>
      <c r="Z207" s="45" t="str">
        <f>IFERROR(VLOOKUP(B207,'Pre-Summary'!$BZ$6:$CB$63,2,FALSE),"")</f>
        <v/>
      </c>
      <c r="AA207" s="45" t="str">
        <f>IFERROR(VLOOKUP(B207,'Pre-Summary'!$CG$6:$CI$70,2,FALSE),"")</f>
        <v/>
      </c>
      <c r="AB207" s="99">
        <f>IFERROR(VLOOKUP(B207,'Pre-Summary'!$A$6:$P$178,9,FALSE),AB208)</f>
        <v>0.95192327811817912</v>
      </c>
      <c r="AC207" s="10">
        <f>IFERROR(VLOOKUP(Summary!B207,'Pre-Summary'!$A$6:$P$184,5, FALSE)/100,AC208)</f>
        <v>0.88412199999999985</v>
      </c>
      <c r="AD207" s="10">
        <f>IFERROR(VLOOKUP(Summary!B207,'Pre-Summary'!$A$6:$P$184,3, FALSE)/100,AD208)</f>
        <v>0</v>
      </c>
      <c r="AE207" s="10">
        <f>IFERROR(VLOOKUP(Summary!B207,'Pre-Summary'!$A$6:$P$184,7, FALSE)/100,AE208)</f>
        <v>0.11587800000000001</v>
      </c>
      <c r="AF207" s="99">
        <f t="shared" si="10"/>
        <v>0</v>
      </c>
      <c r="AG207" s="99">
        <f t="shared" si="11"/>
        <v>0.11030696562177837</v>
      </c>
      <c r="AH207" s="10" t="str">
        <f>IFERROR(VLOOKUP(B207,'Pre-Summary'!$AZ$6:$BE$65,3,FALSE),"")</f>
        <v/>
      </c>
      <c r="AI207" s="10" t="str">
        <f>IFERROR(VLOOKUP(B207,'Pre-Summary'!$AZ$6:$BE$65,5,FALSE),"")</f>
        <v/>
      </c>
      <c r="AJ207" s="10" t="str">
        <f>IFERROR(VLOOKUP(B207,'Pre-Summary'!$AZ$6:$BE$65,4,FALSE),"")</f>
        <v/>
      </c>
      <c r="AK207" s="10" t="str">
        <f>IFERROR(VLOOKUP(B207,'Pre-Summary'!$AZ$6:$BE$65,6,FALSE),"")</f>
        <v/>
      </c>
      <c r="AL207" s="10" t="str">
        <f>IFERROR(VLOOKUP(B207,'Pre-Summary'!$BG$6:$BL$44,3,FALSE),"")</f>
        <v/>
      </c>
      <c r="AM207" s="10" t="str">
        <f>IFERROR(VLOOKUP(B207,'Pre-Summary'!$BG$6:$BL$44,4,FALSE),"")</f>
        <v/>
      </c>
    </row>
    <row r="208" spans="2:39" ht="15" customHeight="1" x14ac:dyDescent="0.3">
      <c r="B208">
        <v>20.5</v>
      </c>
      <c r="C208" t="str">
        <f>IFERROR(VLOOKUP(B208,'Pre-Summary'!$DI$6:$DM$23,4,FALSE),"")</f>
        <v/>
      </c>
      <c r="D208" s="10" t="str">
        <f>IFERROR(VLOOKUP(B208,'Pre-Summary'!$AT$6:$AX$14,5,FALSE),D207)</f>
        <v>DSMZ v1.5: Using DSMZ 120 with NaHCO3</v>
      </c>
      <c r="E208" s="10" t="str">
        <f>IFERROR(VLOOKUP(B208,'Pre-Summary'!$AT$6:$AX$15,4,FALSE),"")</f>
        <v/>
      </c>
      <c r="F208">
        <f>IFERROR(VLOOKUP(B208,'Pre-Summary'!$AL$6:$AQ$13,6,FALSE),F207)</f>
        <v>5.9405263157894746E-2</v>
      </c>
      <c r="G208" t="str">
        <f>IFERROR(VLOOKUP(B208,'Pre-Summary'!$AE$6:$AJ$85,3,FALSE),"")</f>
        <v/>
      </c>
      <c r="H208" t="str">
        <f>IFERROR(VLOOKUP(B208,'Pre-Summary'!$AE$6:$AJ$85,4,FALSE),"")</f>
        <v/>
      </c>
      <c r="I208" t="str">
        <f>IFERROR(VLOOKUP(B208,'Pre-Summary'!$AE$6:$AJ$85,5,FALSE),"")</f>
        <v/>
      </c>
      <c r="J208" s="45" t="str">
        <f>IFERROR(VLOOKUP(B208,'Pre-Summary'!$AE$6:$AJ$85,6, FALSE),"")</f>
        <v/>
      </c>
      <c r="K208" s="45" t="str">
        <f>IFERROR(VLOOKUP(B208,'Pre-Summary'!$DE$6:$DG$61,3,FALSE),"")</f>
        <v/>
      </c>
      <c r="L208" s="45" t="str">
        <f>IFERROR(VLOOKUP(B208,'Pre-Summary'!$CU$6:$CW$36,3,FALSE),"")</f>
        <v/>
      </c>
      <c r="M208" s="45" t="str">
        <f>IFERROR(VLOOKUP(B208,'Pre-Summary'!$BW$6:$BY$58,2,FALSE),"")</f>
        <v/>
      </c>
      <c r="N208" s="45" t="str">
        <f>IFERROR(VLOOKUP(B208,'Pre-Summary'!$CD$6:$CF$64,2,FALSE),"")</f>
        <v/>
      </c>
      <c r="O208" s="99">
        <f>IFERROR(VLOOKUP(B208,'Pre-Summary'!$BO$6:$BQ$48,3, FALSE),O207)</f>
        <v>0.54576240161083656</v>
      </c>
      <c r="P208" s="99">
        <f>IFERROR(VLOOKUP(B208,'Pre-Summary'!$BS$6:$BU$35,3,FALSE),P207)</f>
        <v>0.25</v>
      </c>
      <c r="Q208" s="54">
        <f t="shared" si="9"/>
        <v>2.1830496064433462</v>
      </c>
      <c r="R208" s="53">
        <f>IFERROR(VLOOKUP(B208,'Pre-Summary'!$BG$6:$BM$44,7,FALSE),R209)</f>
        <v>2.7904161219319636E-2</v>
      </c>
      <c r="S208" s="53">
        <f>IFERROR(VLOOKUP(B208,'Pre-Summary'!$BG$6:$BM$44,6,FALSE),S209)</f>
        <v>3.3978715219895171E-2</v>
      </c>
      <c r="T208" s="45" t="str">
        <f>IFERROR(VLOOKUP(B208,'Pre-Summary'!$Y$6:$AC$83, 3,FALSE),"")</f>
        <v/>
      </c>
      <c r="U208" s="45" t="str">
        <f>IFERROR(VLOOKUP(B208,'Pre-Summary'!$Y$6:$AC$83, 4,FALSE),"")</f>
        <v/>
      </c>
      <c r="V208" t="str">
        <f>IFERROR(VLOOKUP(B208,'Pre-Summary'!$Y$6:$AC$83, 5,FALSE),"")</f>
        <v/>
      </c>
      <c r="W208" s="45" t="str">
        <f>IFERROR(VLOOKUP(B208,'Pre-Summary'!$Y$6:$AD$83,6,FALSE),"")</f>
        <v/>
      </c>
      <c r="X208" t="str">
        <f>IFERROR(VLOOKUP('Pre-Summary'!$DB$6:$DD$63,3,FALSE),"")</f>
        <v/>
      </c>
      <c r="Y208" t="str">
        <f>IFERROR(VLOOKUP(B208,'Pre-Summary'!$CR$6:$CT$36,3,FALSE),"")</f>
        <v/>
      </c>
      <c r="Z208" s="45" t="str">
        <f>IFERROR(VLOOKUP(B208,'Pre-Summary'!$BZ$6:$CB$63,2,FALSE),"")</f>
        <v/>
      </c>
      <c r="AA208" s="45" t="str">
        <f>IFERROR(VLOOKUP(B208,'Pre-Summary'!$CG$6:$CI$70,2,FALSE),"")</f>
        <v/>
      </c>
      <c r="AB208" s="99">
        <f>IFERROR(VLOOKUP(B208,'Pre-Summary'!$A$6:$P$178,9,FALSE),AB209)</f>
        <v>0.95192327811817912</v>
      </c>
      <c r="AC208" s="10">
        <f>IFERROR(VLOOKUP(Summary!B208,'Pre-Summary'!$A$6:$P$184,5, FALSE)/100,AC209)</f>
        <v>0.88412199999999985</v>
      </c>
      <c r="AD208" s="10">
        <f>IFERROR(VLOOKUP(Summary!B208,'Pre-Summary'!$A$6:$P$184,3, FALSE)/100,AD209)</f>
        <v>0</v>
      </c>
      <c r="AE208" s="10">
        <f>IFERROR(VLOOKUP(Summary!B208,'Pre-Summary'!$A$6:$P$184,7, FALSE)/100,AE209)</f>
        <v>0.11587800000000001</v>
      </c>
      <c r="AF208" s="99">
        <f t="shared" si="10"/>
        <v>0</v>
      </c>
      <c r="AG208" s="99">
        <f t="shared" si="11"/>
        <v>0.11030696562177837</v>
      </c>
      <c r="AH208" s="10" t="str">
        <f>IFERROR(VLOOKUP(B208,'Pre-Summary'!$AZ$6:$BE$65,3,FALSE),"")</f>
        <v/>
      </c>
      <c r="AI208" s="10" t="str">
        <f>IFERROR(VLOOKUP(B208,'Pre-Summary'!$AZ$6:$BE$65,5,FALSE),"")</f>
        <v/>
      </c>
      <c r="AJ208" s="10" t="str">
        <f>IFERROR(VLOOKUP(B208,'Pre-Summary'!$AZ$6:$BE$65,4,FALSE),"")</f>
        <v/>
      </c>
      <c r="AK208" s="10" t="str">
        <f>IFERROR(VLOOKUP(B208,'Pre-Summary'!$AZ$6:$BE$65,6,FALSE),"")</f>
        <v/>
      </c>
      <c r="AL208" s="10" t="str">
        <f>IFERROR(VLOOKUP(B208,'Pre-Summary'!$BG$6:$BL$44,3,FALSE),"")</f>
        <v/>
      </c>
      <c r="AM208" s="10" t="str">
        <f>IFERROR(VLOOKUP(B208,'Pre-Summary'!$BG$6:$BL$44,4,FALSE),"")</f>
        <v/>
      </c>
    </row>
    <row r="209" spans="2:39" ht="15" customHeight="1" x14ac:dyDescent="0.3">
      <c r="B209">
        <v>20.6</v>
      </c>
      <c r="C209" t="str">
        <f>IFERROR(VLOOKUP(B209,'Pre-Summary'!$DI$6:$DM$23,4,FALSE),"")</f>
        <v/>
      </c>
      <c r="D209" s="10" t="str">
        <f>IFERROR(VLOOKUP(B209,'Pre-Summary'!$AT$6:$AX$14,5,FALSE),D208)</f>
        <v>DSMZ v1.5: Using DSMZ 120 with NaHCO3</v>
      </c>
      <c r="E209" s="10" t="str">
        <f>IFERROR(VLOOKUP(B209,'Pre-Summary'!$AT$6:$AX$15,4,FALSE),"")</f>
        <v/>
      </c>
      <c r="F209">
        <f>IFERROR(VLOOKUP(B209,'Pre-Summary'!$AL$6:$AQ$13,6,FALSE),F208)</f>
        <v>5.9405263157894746E-2</v>
      </c>
      <c r="G209" t="str">
        <f>IFERROR(VLOOKUP(B209,'Pre-Summary'!$AE$6:$AJ$85,3,FALSE),"")</f>
        <v/>
      </c>
      <c r="H209" t="str">
        <f>IFERROR(VLOOKUP(B209,'Pre-Summary'!$AE$6:$AJ$85,4,FALSE),"")</f>
        <v/>
      </c>
      <c r="I209" t="str">
        <f>IFERROR(VLOOKUP(B209,'Pre-Summary'!$AE$6:$AJ$85,5,FALSE),"")</f>
        <v/>
      </c>
      <c r="J209" s="45" t="str">
        <f>IFERROR(VLOOKUP(B209,'Pre-Summary'!$AE$6:$AJ$85,6, FALSE),"")</f>
        <v/>
      </c>
      <c r="K209" s="45" t="str">
        <f>IFERROR(VLOOKUP(B209,'Pre-Summary'!$DE$6:$DG$61,3,FALSE),"")</f>
        <v/>
      </c>
      <c r="L209" s="45" t="str">
        <f>IFERROR(VLOOKUP(B209,'Pre-Summary'!$CU$6:$CW$36,3,FALSE),"")</f>
        <v/>
      </c>
      <c r="M209" s="45" t="str">
        <f>IFERROR(VLOOKUP(B209,'Pre-Summary'!$BW$6:$BY$58,2,FALSE),"")</f>
        <v/>
      </c>
      <c r="N209" s="45" t="str">
        <f>IFERROR(VLOOKUP(B209,'Pre-Summary'!$CD$6:$CF$64,2,FALSE),"")</f>
        <v/>
      </c>
      <c r="O209" s="99">
        <f>IFERROR(VLOOKUP(B209,'Pre-Summary'!$BO$6:$BQ$48,3, FALSE),O208)</f>
        <v>0.54576240161083656</v>
      </c>
      <c r="P209" s="99">
        <f>IFERROR(VLOOKUP(B209,'Pre-Summary'!$BS$6:$BU$35,3,FALSE),P208)</f>
        <v>0.25</v>
      </c>
      <c r="Q209" s="54">
        <f t="shared" si="9"/>
        <v>2.1830496064433462</v>
      </c>
      <c r="R209" s="53">
        <f>IFERROR(VLOOKUP(B209,'Pre-Summary'!$BG$6:$BM$44,7,FALSE),R210)</f>
        <v>2.7904161219319636E-2</v>
      </c>
      <c r="S209" s="53">
        <f>IFERROR(VLOOKUP(B209,'Pre-Summary'!$BG$6:$BM$44,6,FALSE),S210)</f>
        <v>3.3978715219895171E-2</v>
      </c>
      <c r="T209" s="45" t="str">
        <f>IFERROR(VLOOKUP(B209,'Pre-Summary'!$Y$6:$AC$83, 3,FALSE),"")</f>
        <v/>
      </c>
      <c r="U209" s="45" t="str">
        <f>IFERROR(VLOOKUP(B209,'Pre-Summary'!$Y$6:$AC$83, 4,FALSE),"")</f>
        <v/>
      </c>
      <c r="V209" t="str">
        <f>IFERROR(VLOOKUP(B209,'Pre-Summary'!$Y$6:$AC$83, 5,FALSE),"")</f>
        <v/>
      </c>
      <c r="W209" s="45" t="str">
        <f>IFERROR(VLOOKUP(B209,'Pre-Summary'!$Y$6:$AD$83,6,FALSE),"")</f>
        <v/>
      </c>
      <c r="X209" t="str">
        <f>IFERROR(VLOOKUP('Pre-Summary'!$DB$6:$DD$63,3,FALSE),"")</f>
        <v/>
      </c>
      <c r="Y209" t="str">
        <f>IFERROR(VLOOKUP(B209,'Pre-Summary'!$CR$6:$CT$36,3,FALSE),"")</f>
        <v/>
      </c>
      <c r="Z209" s="45" t="str">
        <f>IFERROR(VLOOKUP(B209,'Pre-Summary'!$BZ$6:$CB$63,2,FALSE),"")</f>
        <v/>
      </c>
      <c r="AA209" s="45" t="str">
        <f>IFERROR(VLOOKUP(B209,'Pre-Summary'!$CG$6:$CI$70,2,FALSE),"")</f>
        <v/>
      </c>
      <c r="AB209" s="99">
        <f>IFERROR(VLOOKUP(B209,'Pre-Summary'!$A$6:$P$178,9,FALSE),AB210)</f>
        <v>0.95192327811817912</v>
      </c>
      <c r="AC209" s="10">
        <f>IFERROR(VLOOKUP(Summary!B209,'Pre-Summary'!$A$6:$P$184,5, FALSE)/100,AC210)</f>
        <v>0.88412199999999985</v>
      </c>
      <c r="AD209" s="10">
        <f>IFERROR(VLOOKUP(Summary!B209,'Pre-Summary'!$A$6:$P$184,3, FALSE)/100,AD210)</f>
        <v>0</v>
      </c>
      <c r="AE209" s="10">
        <f>IFERROR(VLOOKUP(Summary!B209,'Pre-Summary'!$A$6:$P$184,7, FALSE)/100,AE210)</f>
        <v>0.11587800000000001</v>
      </c>
      <c r="AF209" s="99">
        <f t="shared" si="10"/>
        <v>0</v>
      </c>
      <c r="AG209" s="99">
        <f t="shared" si="11"/>
        <v>0.11030696562177837</v>
      </c>
      <c r="AH209" s="10" t="str">
        <f>IFERROR(VLOOKUP(B209,'Pre-Summary'!$AZ$6:$BE$65,3,FALSE),"")</f>
        <v/>
      </c>
      <c r="AI209" s="10" t="str">
        <f>IFERROR(VLOOKUP(B209,'Pre-Summary'!$AZ$6:$BE$65,5,FALSE),"")</f>
        <v/>
      </c>
      <c r="AJ209" s="10" t="str">
        <f>IFERROR(VLOOKUP(B209,'Pre-Summary'!$AZ$6:$BE$65,4,FALSE),"")</f>
        <v/>
      </c>
      <c r="AK209" s="10" t="str">
        <f>IFERROR(VLOOKUP(B209,'Pre-Summary'!$AZ$6:$BE$65,6,FALSE),"")</f>
        <v/>
      </c>
      <c r="AL209" s="10" t="str">
        <f>IFERROR(VLOOKUP(B209,'Pre-Summary'!$BG$6:$BL$44,3,FALSE),"")</f>
        <v/>
      </c>
      <c r="AM209" s="10" t="str">
        <f>IFERROR(VLOOKUP(B209,'Pre-Summary'!$BG$6:$BL$44,4,FALSE),"")</f>
        <v/>
      </c>
    </row>
    <row r="210" spans="2:39" ht="15" customHeight="1" x14ac:dyDescent="0.3">
      <c r="B210">
        <v>20.7</v>
      </c>
      <c r="C210" t="str">
        <f>IFERROR(VLOOKUP(B210,'Pre-Summary'!$DI$6:$DM$23,4,FALSE),"")</f>
        <v/>
      </c>
      <c r="D210" s="10" t="str">
        <f>IFERROR(VLOOKUP(B210,'Pre-Summary'!$AT$6:$AX$14,5,FALSE),D209)</f>
        <v>DSMZ v1.5: Using DSMZ 120 with NaHCO3</v>
      </c>
      <c r="E210" s="10" t="str">
        <f>IFERROR(VLOOKUP(B210,'Pre-Summary'!$AT$6:$AX$15,4,FALSE),"")</f>
        <v/>
      </c>
      <c r="F210">
        <f>IFERROR(VLOOKUP(B210,'Pre-Summary'!$AL$6:$AQ$13,6,FALSE),F209)</f>
        <v>5.9405263157894746E-2</v>
      </c>
      <c r="G210" t="str">
        <f>IFERROR(VLOOKUP(B210,'Pre-Summary'!$AE$6:$AJ$85,3,FALSE),"")</f>
        <v/>
      </c>
      <c r="H210" t="str">
        <f>IFERROR(VLOOKUP(B210,'Pre-Summary'!$AE$6:$AJ$85,4,FALSE),"")</f>
        <v/>
      </c>
      <c r="I210" t="str">
        <f>IFERROR(VLOOKUP(B210,'Pre-Summary'!$AE$6:$AJ$85,5,FALSE),"")</f>
        <v/>
      </c>
      <c r="J210" s="45" t="str">
        <f>IFERROR(VLOOKUP(B210,'Pre-Summary'!$AE$6:$AJ$85,6, FALSE),"")</f>
        <v/>
      </c>
      <c r="K210" s="45" t="str">
        <f>IFERROR(VLOOKUP(B210,'Pre-Summary'!$DE$6:$DG$61,3,FALSE),"")</f>
        <v/>
      </c>
      <c r="L210" s="45" t="str">
        <f>IFERROR(VLOOKUP(B210,'Pre-Summary'!$CU$6:$CW$36,3,FALSE),"")</f>
        <v/>
      </c>
      <c r="M210" s="45" t="str">
        <f>IFERROR(VLOOKUP(B210,'Pre-Summary'!$BW$6:$BY$58,2,FALSE),"")</f>
        <v/>
      </c>
      <c r="N210" s="45" t="str">
        <f>IFERROR(VLOOKUP(B210,'Pre-Summary'!$CD$6:$CF$64,2,FALSE),"")</f>
        <v/>
      </c>
      <c r="O210" s="99">
        <f>IFERROR(VLOOKUP(B210,'Pre-Summary'!$BO$6:$BQ$48,3, FALSE),O209)</f>
        <v>0.54576240161083656</v>
      </c>
      <c r="P210" s="99">
        <f>IFERROR(VLOOKUP(B210,'Pre-Summary'!$BS$6:$BU$35,3,FALSE),P209)</f>
        <v>0.25</v>
      </c>
      <c r="Q210" s="54">
        <f t="shared" si="9"/>
        <v>2.1830496064433462</v>
      </c>
      <c r="R210" s="53">
        <f>IFERROR(VLOOKUP(B210,'Pre-Summary'!$BG$6:$BM$44,7,FALSE),R211)</f>
        <v>2.7904161219319636E-2</v>
      </c>
      <c r="S210" s="53">
        <f>IFERROR(VLOOKUP(B210,'Pre-Summary'!$BG$6:$BM$44,6,FALSE),S211)</f>
        <v>3.3978715219895171E-2</v>
      </c>
      <c r="T210" s="45" t="str">
        <f>IFERROR(VLOOKUP(B210,'Pre-Summary'!$Y$6:$AC$83, 3,FALSE),"")</f>
        <v/>
      </c>
      <c r="U210" s="45" t="str">
        <f>IFERROR(VLOOKUP(B210,'Pre-Summary'!$Y$6:$AC$83, 4,FALSE),"")</f>
        <v/>
      </c>
      <c r="V210" t="str">
        <f>IFERROR(VLOOKUP(B210,'Pre-Summary'!$Y$6:$AC$83, 5,FALSE),"")</f>
        <v/>
      </c>
      <c r="W210" s="45" t="str">
        <f>IFERROR(VLOOKUP(B210,'Pre-Summary'!$Y$6:$AD$83,6,FALSE),"")</f>
        <v/>
      </c>
      <c r="X210" t="str">
        <f>IFERROR(VLOOKUP('Pre-Summary'!$DB$6:$DD$63,3,FALSE),"")</f>
        <v/>
      </c>
      <c r="Y210" t="str">
        <f>IFERROR(VLOOKUP(B210,'Pre-Summary'!$CR$6:$CT$36,3,FALSE),"")</f>
        <v/>
      </c>
      <c r="Z210" s="45" t="str">
        <f>IFERROR(VLOOKUP(B210,'Pre-Summary'!$BZ$6:$CB$63,2,FALSE),"")</f>
        <v/>
      </c>
      <c r="AA210" s="45" t="str">
        <f>IFERROR(VLOOKUP(B210,'Pre-Summary'!$CG$6:$CI$70,2,FALSE),"")</f>
        <v/>
      </c>
      <c r="AB210" s="99">
        <f>IFERROR(VLOOKUP(B210,'Pre-Summary'!$A$6:$P$178,9,FALSE),AB211)</f>
        <v>0.95192327811817912</v>
      </c>
      <c r="AC210" s="10">
        <f>IFERROR(VLOOKUP(Summary!B210,'Pre-Summary'!$A$6:$P$184,5, FALSE)/100,AC211)</f>
        <v>0.88412199999999985</v>
      </c>
      <c r="AD210" s="10">
        <f>IFERROR(VLOOKUP(Summary!B210,'Pre-Summary'!$A$6:$P$184,3, FALSE)/100,AD211)</f>
        <v>0</v>
      </c>
      <c r="AE210" s="10">
        <f>IFERROR(VLOOKUP(Summary!B210,'Pre-Summary'!$A$6:$P$184,7, FALSE)/100,AE211)</f>
        <v>0.11587800000000001</v>
      </c>
      <c r="AF210" s="99">
        <f t="shared" si="10"/>
        <v>0</v>
      </c>
      <c r="AG210" s="99">
        <f t="shared" si="11"/>
        <v>0.11030696562177837</v>
      </c>
      <c r="AH210" s="10" t="str">
        <f>IFERROR(VLOOKUP(B210,'Pre-Summary'!$AZ$6:$BE$65,3,FALSE),"")</f>
        <v/>
      </c>
      <c r="AI210" s="10" t="str">
        <f>IFERROR(VLOOKUP(B210,'Pre-Summary'!$AZ$6:$BE$65,5,FALSE),"")</f>
        <v/>
      </c>
      <c r="AJ210" s="10" t="str">
        <f>IFERROR(VLOOKUP(B210,'Pre-Summary'!$AZ$6:$BE$65,4,FALSE),"")</f>
        <v/>
      </c>
      <c r="AK210" s="10" t="str">
        <f>IFERROR(VLOOKUP(B210,'Pre-Summary'!$AZ$6:$BE$65,6,FALSE),"")</f>
        <v/>
      </c>
      <c r="AL210" s="10" t="str">
        <f>IFERROR(VLOOKUP(B210,'Pre-Summary'!$BG$6:$BL$44,3,FALSE),"")</f>
        <v/>
      </c>
      <c r="AM210" s="10" t="str">
        <f>IFERROR(VLOOKUP(B210,'Pre-Summary'!$BG$6:$BL$44,4,FALSE),"")</f>
        <v/>
      </c>
    </row>
    <row r="211" spans="2:39" ht="15" customHeight="1" x14ac:dyDescent="0.3">
      <c r="B211">
        <v>20.8</v>
      </c>
      <c r="C211" t="str">
        <f>IFERROR(VLOOKUP(B211,'Pre-Summary'!$DI$6:$DM$23,4,FALSE),"")</f>
        <v/>
      </c>
      <c r="D211" s="10" t="str">
        <f>IFERROR(VLOOKUP(B211,'Pre-Summary'!$AT$6:$AX$14,5,FALSE),D210)</f>
        <v>DSMZ v1.5: Using DSMZ 120 with NaHCO3</v>
      </c>
      <c r="E211" s="10" t="str">
        <f>IFERROR(VLOOKUP(B211,'Pre-Summary'!$AT$6:$AX$15,4,FALSE),"")</f>
        <v/>
      </c>
      <c r="F211">
        <f>IFERROR(VLOOKUP(B211,'Pre-Summary'!$AL$6:$AQ$13,6,FALSE),F210)</f>
        <v>5.9405263157894746E-2</v>
      </c>
      <c r="G211" t="str">
        <f>IFERROR(VLOOKUP(B211,'Pre-Summary'!$AE$6:$AJ$85,3,FALSE),"")</f>
        <v/>
      </c>
      <c r="H211" t="str">
        <f>IFERROR(VLOOKUP(B211,'Pre-Summary'!$AE$6:$AJ$85,4,FALSE),"")</f>
        <v/>
      </c>
      <c r="I211" t="str">
        <f>IFERROR(VLOOKUP(B211,'Pre-Summary'!$AE$6:$AJ$85,5,FALSE),"")</f>
        <v/>
      </c>
      <c r="J211" s="45" t="str">
        <f>IFERROR(VLOOKUP(B211,'Pre-Summary'!$AE$6:$AJ$85,6, FALSE),"")</f>
        <v/>
      </c>
      <c r="K211" s="45" t="str">
        <f>IFERROR(VLOOKUP(B211,'Pre-Summary'!$DE$6:$DG$61,3,FALSE),"")</f>
        <v/>
      </c>
      <c r="L211" s="45" t="str">
        <f>IFERROR(VLOOKUP(B211,'Pre-Summary'!$CU$6:$CW$36,3,FALSE),"")</f>
        <v/>
      </c>
      <c r="M211" s="45" t="str">
        <f>IFERROR(VLOOKUP(B211,'Pre-Summary'!$BW$6:$BY$58,2,FALSE),"")</f>
        <v/>
      </c>
      <c r="N211" s="45" t="str">
        <f>IFERROR(VLOOKUP(B211,'Pre-Summary'!$CD$6:$CF$64,2,FALSE),"")</f>
        <v/>
      </c>
      <c r="O211" s="99">
        <f>IFERROR(VLOOKUP(B211,'Pre-Summary'!$BO$6:$BQ$48,3, FALSE),O210)</f>
        <v>0.54576240161083656</v>
      </c>
      <c r="P211" s="99">
        <f>IFERROR(VLOOKUP(B211,'Pre-Summary'!$BS$6:$BU$35,3,FALSE),P210)</f>
        <v>0.25</v>
      </c>
      <c r="Q211" s="54">
        <f t="shared" si="9"/>
        <v>2.1830496064433462</v>
      </c>
      <c r="R211" s="53">
        <f>IFERROR(VLOOKUP(B211,'Pre-Summary'!$BG$6:$BM$44,7,FALSE),R212)</f>
        <v>2.7904161219319636E-2</v>
      </c>
      <c r="S211" s="53">
        <f>IFERROR(VLOOKUP(B211,'Pre-Summary'!$BG$6:$BM$44,6,FALSE),S212)</f>
        <v>3.3978715219895171E-2</v>
      </c>
      <c r="T211" s="45" t="str">
        <f>IFERROR(VLOOKUP(B211,'Pre-Summary'!$Y$6:$AC$83, 3,FALSE),"")</f>
        <v/>
      </c>
      <c r="U211" s="45" t="str">
        <f>IFERROR(VLOOKUP(B211,'Pre-Summary'!$Y$6:$AC$83, 4,FALSE),"")</f>
        <v/>
      </c>
      <c r="V211" t="str">
        <f>IFERROR(VLOOKUP(B211,'Pre-Summary'!$Y$6:$AC$83, 5,FALSE),"")</f>
        <v/>
      </c>
      <c r="W211" s="45" t="str">
        <f>IFERROR(VLOOKUP(B211,'Pre-Summary'!$Y$6:$AD$83,6,FALSE),"")</f>
        <v/>
      </c>
      <c r="X211" t="str">
        <f>IFERROR(VLOOKUP('Pre-Summary'!$DB$6:$DD$63,3,FALSE),"")</f>
        <v/>
      </c>
      <c r="Y211" t="str">
        <f>IFERROR(VLOOKUP(B211,'Pre-Summary'!$CR$6:$CT$36,3,FALSE),"")</f>
        <v/>
      </c>
      <c r="Z211" s="45" t="str">
        <f>IFERROR(VLOOKUP(B211,'Pre-Summary'!$BZ$6:$CB$63,2,FALSE),"")</f>
        <v/>
      </c>
      <c r="AA211" s="45" t="str">
        <f>IFERROR(VLOOKUP(B211,'Pre-Summary'!$CG$6:$CI$70,2,FALSE),"")</f>
        <v/>
      </c>
      <c r="AB211" s="99">
        <f>IFERROR(VLOOKUP(B211,'Pre-Summary'!$A$6:$P$178,9,FALSE),AB212)</f>
        <v>0.95192327811817912</v>
      </c>
      <c r="AC211" s="10">
        <f>IFERROR(VLOOKUP(Summary!B211,'Pre-Summary'!$A$6:$P$184,5, FALSE)/100,AC212)</f>
        <v>0.88412199999999985</v>
      </c>
      <c r="AD211" s="10">
        <f>IFERROR(VLOOKUP(Summary!B211,'Pre-Summary'!$A$6:$P$184,3, FALSE)/100,AD212)</f>
        <v>0</v>
      </c>
      <c r="AE211" s="10">
        <f>IFERROR(VLOOKUP(Summary!B211,'Pre-Summary'!$A$6:$P$184,7, FALSE)/100,AE212)</f>
        <v>0.11587800000000001</v>
      </c>
      <c r="AF211" s="99">
        <f t="shared" si="10"/>
        <v>0</v>
      </c>
      <c r="AG211" s="99">
        <f t="shared" si="11"/>
        <v>0.11030696562177837</v>
      </c>
      <c r="AH211" s="10" t="str">
        <f>IFERROR(VLOOKUP(B211,'Pre-Summary'!$AZ$6:$BE$65,3,FALSE),"")</f>
        <v/>
      </c>
      <c r="AI211" s="10" t="str">
        <f>IFERROR(VLOOKUP(B211,'Pre-Summary'!$AZ$6:$BE$65,5,FALSE),"")</f>
        <v/>
      </c>
      <c r="AJ211" s="10" t="str">
        <f>IFERROR(VLOOKUP(B211,'Pre-Summary'!$AZ$6:$BE$65,4,FALSE),"")</f>
        <v/>
      </c>
      <c r="AK211" s="10" t="str">
        <f>IFERROR(VLOOKUP(B211,'Pre-Summary'!$AZ$6:$BE$65,6,FALSE),"")</f>
        <v/>
      </c>
      <c r="AL211" s="10" t="str">
        <f>IFERROR(VLOOKUP(B211,'Pre-Summary'!$BG$6:$BL$44,3,FALSE),"")</f>
        <v/>
      </c>
      <c r="AM211" s="10" t="str">
        <f>IFERROR(VLOOKUP(B211,'Pre-Summary'!$BG$6:$BL$44,4,FALSE),"")</f>
        <v/>
      </c>
    </row>
    <row r="212" spans="2:39" ht="15" customHeight="1" x14ac:dyDescent="0.3">
      <c r="B212">
        <v>20.9</v>
      </c>
      <c r="C212" t="str">
        <f>IFERROR(VLOOKUP(B212,'Pre-Summary'!$DI$6:$DM$23,4,FALSE),"")</f>
        <v/>
      </c>
      <c r="D212" s="10" t="str">
        <f>IFERROR(VLOOKUP(B212,'Pre-Summary'!$AT$6:$AX$14,5,FALSE),D211)</f>
        <v>DSMZ v1.5: Using DSMZ 120 with NaHCO3</v>
      </c>
      <c r="E212" s="10" t="str">
        <f>IFERROR(VLOOKUP(B212,'Pre-Summary'!$AT$6:$AX$15,4,FALSE),"")</f>
        <v/>
      </c>
      <c r="F212">
        <f>IFERROR(VLOOKUP(B212,'Pre-Summary'!$AL$6:$AQ$13,6,FALSE),F211)</f>
        <v>5.9405263157894746E-2</v>
      </c>
      <c r="G212" t="str">
        <f>IFERROR(VLOOKUP(B212,'Pre-Summary'!$AE$6:$AJ$85,3,FALSE),"")</f>
        <v/>
      </c>
      <c r="H212" t="str">
        <f>IFERROR(VLOOKUP(B212,'Pre-Summary'!$AE$6:$AJ$85,4,FALSE),"")</f>
        <v/>
      </c>
      <c r="I212" t="str">
        <f>IFERROR(VLOOKUP(B212,'Pre-Summary'!$AE$6:$AJ$85,5,FALSE),"")</f>
        <v/>
      </c>
      <c r="J212" s="45" t="str">
        <f>IFERROR(VLOOKUP(B212,'Pre-Summary'!$AE$6:$AJ$85,6, FALSE),"")</f>
        <v/>
      </c>
      <c r="K212" s="45" t="str">
        <f>IFERROR(VLOOKUP(B212,'Pre-Summary'!$DE$6:$DG$61,3,FALSE),"")</f>
        <v/>
      </c>
      <c r="L212" s="45" t="str">
        <f>IFERROR(VLOOKUP(B212,'Pre-Summary'!$CU$6:$CW$36,3,FALSE),"")</f>
        <v/>
      </c>
      <c r="M212" s="45" t="str">
        <f>IFERROR(VLOOKUP(B212,'Pre-Summary'!$BW$6:$BY$58,2,FALSE),"")</f>
        <v/>
      </c>
      <c r="N212" s="45" t="str">
        <f>IFERROR(VLOOKUP(B212,'Pre-Summary'!$CD$6:$CF$64,2,FALSE),"")</f>
        <v/>
      </c>
      <c r="O212" s="99">
        <f>IFERROR(VLOOKUP(B212,'Pre-Summary'!$BO$6:$BQ$48,3, FALSE),O211)</f>
        <v>0.54576240161083656</v>
      </c>
      <c r="P212" s="99">
        <f>IFERROR(VLOOKUP(B212,'Pre-Summary'!$BS$6:$BU$35,3,FALSE),P211)</f>
        <v>0.25</v>
      </c>
      <c r="Q212" s="54">
        <f t="shared" si="9"/>
        <v>2.1830496064433462</v>
      </c>
      <c r="R212" s="53">
        <f>IFERROR(VLOOKUP(B212,'Pre-Summary'!$BG$6:$BM$44,7,FALSE),R213)</f>
        <v>2.7904161219319636E-2</v>
      </c>
      <c r="S212" s="53">
        <f>IFERROR(VLOOKUP(B212,'Pre-Summary'!$BG$6:$BM$44,6,FALSE),S213)</f>
        <v>3.3978715219895171E-2</v>
      </c>
      <c r="T212" s="45" t="str">
        <f>IFERROR(VLOOKUP(B212,'Pre-Summary'!$Y$6:$AC$83, 3,FALSE),"")</f>
        <v/>
      </c>
      <c r="U212" s="45" t="str">
        <f>IFERROR(VLOOKUP(B212,'Pre-Summary'!$Y$6:$AC$83, 4,FALSE),"")</f>
        <v/>
      </c>
      <c r="V212" t="str">
        <f>IFERROR(VLOOKUP(B212,'Pre-Summary'!$Y$6:$AC$83, 5,FALSE),"")</f>
        <v/>
      </c>
      <c r="W212" s="45" t="str">
        <f>IFERROR(VLOOKUP(B212,'Pre-Summary'!$Y$6:$AD$83,6,FALSE),"")</f>
        <v/>
      </c>
      <c r="X212" t="str">
        <f>IFERROR(VLOOKUP('Pre-Summary'!$DB$6:$DD$63,3,FALSE),"")</f>
        <v/>
      </c>
      <c r="Y212" t="str">
        <f>IFERROR(VLOOKUP(B212,'Pre-Summary'!$CR$6:$CT$36,3,FALSE),"")</f>
        <v/>
      </c>
      <c r="Z212" s="45" t="str">
        <f>IFERROR(VLOOKUP(B212,'Pre-Summary'!$BZ$6:$CB$63,2,FALSE),"")</f>
        <v/>
      </c>
      <c r="AA212" s="45" t="str">
        <f>IFERROR(VLOOKUP(B212,'Pre-Summary'!$CG$6:$CI$70,2,FALSE),"")</f>
        <v/>
      </c>
      <c r="AB212" s="99">
        <f>IFERROR(VLOOKUP(B212,'Pre-Summary'!$A$6:$P$178,9,FALSE),AB213)</f>
        <v>0.95192327811817912</v>
      </c>
      <c r="AC212" s="10">
        <f>IFERROR(VLOOKUP(Summary!B212,'Pre-Summary'!$A$6:$P$184,5, FALSE)/100,AC213)</f>
        <v>0.88412199999999985</v>
      </c>
      <c r="AD212" s="10">
        <f>IFERROR(VLOOKUP(Summary!B212,'Pre-Summary'!$A$6:$P$184,3, FALSE)/100,AD213)</f>
        <v>0</v>
      </c>
      <c r="AE212" s="10">
        <f>IFERROR(VLOOKUP(Summary!B212,'Pre-Summary'!$A$6:$P$184,7, FALSE)/100,AE213)</f>
        <v>0.11587800000000001</v>
      </c>
      <c r="AF212" s="99">
        <f t="shared" si="10"/>
        <v>0</v>
      </c>
      <c r="AG212" s="99">
        <f t="shared" si="11"/>
        <v>0.11030696562177837</v>
      </c>
      <c r="AH212" s="10" t="str">
        <f>IFERROR(VLOOKUP(B212,'Pre-Summary'!$AZ$6:$BE$65,3,FALSE),"")</f>
        <v/>
      </c>
      <c r="AI212" s="10" t="str">
        <f>IFERROR(VLOOKUP(B212,'Pre-Summary'!$AZ$6:$BE$65,5,FALSE),"")</f>
        <v/>
      </c>
      <c r="AJ212" s="10" t="str">
        <f>IFERROR(VLOOKUP(B212,'Pre-Summary'!$AZ$6:$BE$65,4,FALSE),"")</f>
        <v/>
      </c>
      <c r="AK212" s="10" t="str">
        <f>IFERROR(VLOOKUP(B212,'Pre-Summary'!$AZ$6:$BE$65,6,FALSE),"")</f>
        <v/>
      </c>
      <c r="AL212" s="10" t="str">
        <f>IFERROR(VLOOKUP(B212,'Pre-Summary'!$BG$6:$BL$44,3,FALSE),"")</f>
        <v/>
      </c>
      <c r="AM212" s="10" t="str">
        <f>IFERROR(VLOOKUP(B212,'Pre-Summary'!$BG$6:$BL$44,4,FALSE),"")</f>
        <v/>
      </c>
    </row>
    <row r="213" spans="2:39" ht="15" customHeight="1" x14ac:dyDescent="0.3">
      <c r="B213">
        <v>21</v>
      </c>
      <c r="C213" t="str">
        <f>IFERROR(VLOOKUP(B213,'Pre-Summary'!$DI$6:$DM$23,4,FALSE),"")</f>
        <v/>
      </c>
      <c r="D213" s="10" t="str">
        <f>IFERROR(VLOOKUP(B213,'Pre-Summary'!$AT$6:$AX$14,5,FALSE),D212)</f>
        <v>DSMZ v1.5: Using DSMZ 120 with NaHCO3</v>
      </c>
      <c r="E213" s="10" t="str">
        <f>IFERROR(VLOOKUP(B213,'Pre-Summary'!$AT$6:$AX$15,4,FALSE),"")</f>
        <v/>
      </c>
      <c r="F213">
        <f>IFERROR(VLOOKUP(B213,'Pre-Summary'!$AL$6:$AQ$13,6,FALSE),F212)</f>
        <v>5.9405263157894746E-2</v>
      </c>
      <c r="G213" t="str">
        <f>IFERROR(VLOOKUP(B213,'Pre-Summary'!$AE$6:$AJ$85,3,FALSE),"")</f>
        <v/>
      </c>
      <c r="H213" t="str">
        <f>IFERROR(VLOOKUP(B213,'Pre-Summary'!$AE$6:$AJ$85,4,FALSE),"")</f>
        <v/>
      </c>
      <c r="I213" t="str">
        <f>IFERROR(VLOOKUP(B213,'Pre-Summary'!$AE$6:$AJ$85,5,FALSE),"")</f>
        <v/>
      </c>
      <c r="J213" s="45" t="str">
        <f>IFERROR(VLOOKUP(B213,'Pre-Summary'!$AE$6:$AJ$85,6, FALSE),"")</f>
        <v/>
      </c>
      <c r="K213" s="45" t="str">
        <f>IFERROR(VLOOKUP(B213,'Pre-Summary'!$DE$6:$DG$61,3,FALSE),"")</f>
        <v/>
      </c>
      <c r="L213" s="45" t="str">
        <f>IFERROR(VLOOKUP(B213,'Pre-Summary'!$CU$6:$CW$36,3,FALSE),"")</f>
        <v/>
      </c>
      <c r="M213" s="45" t="str">
        <f>IFERROR(VLOOKUP(B213,'Pre-Summary'!$BW$6:$BY$58,2,FALSE),"")</f>
        <v/>
      </c>
      <c r="N213" s="45" t="str">
        <f>IFERROR(VLOOKUP(B213,'Pre-Summary'!$CD$6:$CF$64,2,FALSE),"")</f>
        <v/>
      </c>
      <c r="O213" s="99">
        <f>IFERROR(VLOOKUP(B213,'Pre-Summary'!$BO$6:$BQ$48,3, FALSE),O212)</f>
        <v>0.54576240161083656</v>
      </c>
      <c r="P213" s="99">
        <f>IFERROR(VLOOKUP(B213,'Pre-Summary'!$BS$6:$BU$35,3,FALSE),P212)</f>
        <v>0.25</v>
      </c>
      <c r="Q213" s="54">
        <f t="shared" si="9"/>
        <v>2.1830496064433462</v>
      </c>
      <c r="R213" s="53">
        <f>IFERROR(VLOOKUP(B213,'Pre-Summary'!$BG$6:$BM$44,7,FALSE),R214)</f>
        <v>2.7904161219319636E-2</v>
      </c>
      <c r="S213" s="53">
        <f>IFERROR(VLOOKUP(B213,'Pre-Summary'!$BG$6:$BM$44,6,FALSE),S214)</f>
        <v>3.3978715219895171E-2</v>
      </c>
      <c r="T213" s="45" t="str">
        <f>IFERROR(VLOOKUP(B213,'Pre-Summary'!$Y$6:$AC$83, 3,FALSE),"")</f>
        <v/>
      </c>
      <c r="U213" s="45" t="str">
        <f>IFERROR(VLOOKUP(B213,'Pre-Summary'!$Y$6:$AC$83, 4,FALSE),"")</f>
        <v/>
      </c>
      <c r="V213" t="str">
        <f>IFERROR(VLOOKUP(B213,'Pre-Summary'!$Y$6:$AC$83, 5,FALSE),"")</f>
        <v/>
      </c>
      <c r="W213" s="45" t="str">
        <f>IFERROR(VLOOKUP(B213,'Pre-Summary'!$Y$6:$AD$83,6,FALSE),"")</f>
        <v/>
      </c>
      <c r="X213" t="str">
        <f>IFERROR(VLOOKUP('Pre-Summary'!$DB$6:$DD$63,3,FALSE),"")</f>
        <v/>
      </c>
      <c r="Y213" t="str">
        <f>IFERROR(VLOOKUP(B213,'Pre-Summary'!$CR$6:$CT$36,3,FALSE),"")</f>
        <v/>
      </c>
      <c r="Z213" s="45" t="str">
        <f>IFERROR(VLOOKUP(B213,'Pre-Summary'!$BZ$6:$CB$63,2,FALSE),"")</f>
        <v/>
      </c>
      <c r="AA213" s="45" t="str">
        <f>IFERROR(VLOOKUP(B213,'Pre-Summary'!$CG$6:$CI$70,2,FALSE),"")</f>
        <v/>
      </c>
      <c r="AB213" s="99">
        <f>IFERROR(VLOOKUP(B213,'Pre-Summary'!$A$6:$P$178,9,FALSE),AB214)</f>
        <v>0.95192327811817912</v>
      </c>
      <c r="AC213" s="10">
        <f>IFERROR(VLOOKUP(Summary!B213,'Pre-Summary'!$A$6:$P$184,5, FALSE)/100,AC214)</f>
        <v>0.88412199999999985</v>
      </c>
      <c r="AD213" s="10">
        <f>IFERROR(VLOOKUP(Summary!B213,'Pre-Summary'!$A$6:$P$184,3, FALSE)/100,AD214)</f>
        <v>0</v>
      </c>
      <c r="AE213" s="10">
        <f>IFERROR(VLOOKUP(Summary!B213,'Pre-Summary'!$A$6:$P$184,7, FALSE)/100,AE214)</f>
        <v>0.11587800000000001</v>
      </c>
      <c r="AF213" s="99">
        <f t="shared" si="10"/>
        <v>0</v>
      </c>
      <c r="AG213" s="99">
        <f t="shared" si="11"/>
        <v>0.11030696562177837</v>
      </c>
      <c r="AH213" s="10" t="str">
        <f>IFERROR(VLOOKUP(B213,'Pre-Summary'!$AZ$6:$BE$65,3,FALSE),"")</f>
        <v/>
      </c>
      <c r="AI213" s="10" t="str">
        <f>IFERROR(VLOOKUP(B213,'Pre-Summary'!$AZ$6:$BE$65,5,FALSE),"")</f>
        <v/>
      </c>
      <c r="AJ213" s="10" t="str">
        <f>IFERROR(VLOOKUP(B213,'Pre-Summary'!$AZ$6:$BE$65,4,FALSE),"")</f>
        <v/>
      </c>
      <c r="AK213" s="10" t="str">
        <f>IFERROR(VLOOKUP(B213,'Pre-Summary'!$AZ$6:$BE$65,6,FALSE),"")</f>
        <v/>
      </c>
      <c r="AL213" s="10" t="str">
        <f>IFERROR(VLOOKUP(B213,'Pre-Summary'!$BG$6:$BL$44,3,FALSE),"")</f>
        <v/>
      </c>
      <c r="AM213" s="10" t="str">
        <f>IFERROR(VLOOKUP(B213,'Pre-Summary'!$BG$6:$BL$44,4,FALSE),"")</f>
        <v/>
      </c>
    </row>
    <row r="214" spans="2:39" ht="15" customHeight="1" x14ac:dyDescent="0.3">
      <c r="B214">
        <v>21.1</v>
      </c>
      <c r="C214" t="str">
        <f>IFERROR(VLOOKUP(B214,'Pre-Summary'!$DI$6:$DM$23,4,FALSE),"")</f>
        <v/>
      </c>
      <c r="D214" s="10" t="str">
        <f>IFERROR(VLOOKUP(B214,'Pre-Summary'!$AT$6:$AX$14,5,FALSE),D213)</f>
        <v>DSMZ v1.5: Using DSMZ 120 with NaHCO3</v>
      </c>
      <c r="E214" s="10" t="str">
        <f>IFERROR(VLOOKUP(B214,'Pre-Summary'!$AT$6:$AX$15,4,FALSE),"")</f>
        <v/>
      </c>
      <c r="F214">
        <f>IFERROR(VLOOKUP(B214,'Pre-Summary'!$AL$6:$AQ$13,6,FALSE),F213)</f>
        <v>5.9405263157894746E-2</v>
      </c>
      <c r="G214" t="str">
        <f>IFERROR(VLOOKUP(B214,'Pre-Summary'!$AE$6:$AJ$85,3,FALSE),"")</f>
        <v/>
      </c>
      <c r="H214" t="str">
        <f>IFERROR(VLOOKUP(B214,'Pre-Summary'!$AE$6:$AJ$85,4,FALSE),"")</f>
        <v/>
      </c>
      <c r="I214" t="str">
        <f>IFERROR(VLOOKUP(B214,'Pre-Summary'!$AE$6:$AJ$85,5,FALSE),"")</f>
        <v/>
      </c>
      <c r="J214" s="45" t="str">
        <f>IFERROR(VLOOKUP(B214,'Pre-Summary'!$AE$6:$AJ$85,6, FALSE),"")</f>
        <v/>
      </c>
      <c r="K214" s="45" t="str">
        <f>IFERROR(VLOOKUP(B214,'Pre-Summary'!$DE$6:$DG$61,3,FALSE),"")</f>
        <v/>
      </c>
      <c r="L214" s="45" t="str">
        <f>IFERROR(VLOOKUP(B214,'Pre-Summary'!$CU$6:$CW$36,3,FALSE),"")</f>
        <v/>
      </c>
      <c r="M214" s="45" t="str">
        <f>IFERROR(VLOOKUP(B214,'Pre-Summary'!$BW$6:$BY$58,2,FALSE),"")</f>
        <v/>
      </c>
      <c r="N214" s="45" t="str">
        <f>IFERROR(VLOOKUP(B214,'Pre-Summary'!$CD$6:$CF$64,2,FALSE),"")</f>
        <v/>
      </c>
      <c r="O214" s="99">
        <f>IFERROR(VLOOKUP(B214,'Pre-Summary'!$BO$6:$BQ$48,3, FALSE),O213)</f>
        <v>0.54576240161083656</v>
      </c>
      <c r="P214" s="99">
        <f>IFERROR(VLOOKUP(B214,'Pre-Summary'!$BS$6:$BU$35,3,FALSE),P213)</f>
        <v>0.25</v>
      </c>
      <c r="Q214" s="54">
        <f t="shared" si="9"/>
        <v>2.1830496064433462</v>
      </c>
      <c r="R214" s="53">
        <f>IFERROR(VLOOKUP(B214,'Pre-Summary'!$BG$6:$BM$44,7,FALSE),R215)</f>
        <v>2.7904161219319636E-2</v>
      </c>
      <c r="S214" s="53">
        <f>IFERROR(VLOOKUP(B214,'Pre-Summary'!$BG$6:$BM$44,6,FALSE),S215)</f>
        <v>3.3978715219895171E-2</v>
      </c>
      <c r="T214" s="45" t="str">
        <f>IFERROR(VLOOKUP(B214,'Pre-Summary'!$Y$6:$AC$83, 3,FALSE),"")</f>
        <v/>
      </c>
      <c r="U214" s="45" t="str">
        <f>IFERROR(VLOOKUP(B214,'Pre-Summary'!$Y$6:$AC$83, 4,FALSE),"")</f>
        <v/>
      </c>
      <c r="V214" t="str">
        <f>IFERROR(VLOOKUP(B214,'Pre-Summary'!$Y$6:$AC$83, 5,FALSE),"")</f>
        <v/>
      </c>
      <c r="W214" s="45" t="str">
        <f>IFERROR(VLOOKUP(B214,'Pre-Summary'!$Y$6:$AD$83,6,FALSE),"")</f>
        <v/>
      </c>
      <c r="X214" t="str">
        <f>IFERROR(VLOOKUP('Pre-Summary'!$DB$6:$DD$63,3,FALSE),"")</f>
        <v/>
      </c>
      <c r="Y214" t="str">
        <f>IFERROR(VLOOKUP(B214,'Pre-Summary'!$CR$6:$CT$36,3,FALSE),"")</f>
        <v/>
      </c>
      <c r="Z214" s="45" t="str">
        <f>IFERROR(VLOOKUP(B214,'Pre-Summary'!$BZ$6:$CB$63,2,FALSE),"")</f>
        <v/>
      </c>
      <c r="AA214" s="45" t="str">
        <f>IFERROR(VLOOKUP(B214,'Pre-Summary'!$CG$6:$CI$70,2,FALSE),"")</f>
        <v/>
      </c>
      <c r="AB214" s="99">
        <f>IFERROR(VLOOKUP(B214,'Pre-Summary'!$A$6:$P$178,9,FALSE),AB215)</f>
        <v>0.95192327811817912</v>
      </c>
      <c r="AC214" s="10">
        <f>IFERROR(VLOOKUP(Summary!B214,'Pre-Summary'!$A$6:$P$184,5, FALSE)/100,AC215)</f>
        <v>0.88412199999999985</v>
      </c>
      <c r="AD214" s="10">
        <f>IFERROR(VLOOKUP(Summary!B214,'Pre-Summary'!$A$6:$P$184,3, FALSE)/100,AD215)</f>
        <v>0</v>
      </c>
      <c r="AE214" s="10">
        <f>IFERROR(VLOOKUP(Summary!B214,'Pre-Summary'!$A$6:$P$184,7, FALSE)/100,AE215)</f>
        <v>0.11587800000000001</v>
      </c>
      <c r="AF214" s="99">
        <f t="shared" si="10"/>
        <v>0</v>
      </c>
      <c r="AG214" s="99">
        <f t="shared" si="11"/>
        <v>0.11030696562177837</v>
      </c>
      <c r="AH214" s="10" t="str">
        <f>IFERROR(VLOOKUP(B214,'Pre-Summary'!$AZ$6:$BE$65,3,FALSE),"")</f>
        <v/>
      </c>
      <c r="AI214" s="10" t="str">
        <f>IFERROR(VLOOKUP(B214,'Pre-Summary'!$AZ$6:$BE$65,5,FALSE),"")</f>
        <v/>
      </c>
      <c r="AJ214" s="10" t="str">
        <f>IFERROR(VLOOKUP(B214,'Pre-Summary'!$AZ$6:$BE$65,4,FALSE),"")</f>
        <v/>
      </c>
      <c r="AK214" s="10" t="str">
        <f>IFERROR(VLOOKUP(B214,'Pre-Summary'!$AZ$6:$BE$65,6,FALSE),"")</f>
        <v/>
      </c>
      <c r="AL214" s="10" t="str">
        <f>IFERROR(VLOOKUP(B214,'Pre-Summary'!$BG$6:$BL$44,3,FALSE),"")</f>
        <v/>
      </c>
      <c r="AM214" s="10" t="str">
        <f>IFERROR(VLOOKUP(B214,'Pre-Summary'!$BG$6:$BL$44,4,FALSE),"")</f>
        <v/>
      </c>
    </row>
    <row r="215" spans="2:39" ht="15" customHeight="1" x14ac:dyDescent="0.3">
      <c r="B215">
        <v>21.2</v>
      </c>
      <c r="C215" t="str">
        <f>IFERROR(VLOOKUP(B215,'Pre-Summary'!$DI$6:$DM$23,4,FALSE),"")</f>
        <v/>
      </c>
      <c r="D215" s="10" t="str">
        <f>IFERROR(VLOOKUP(B215,'Pre-Summary'!$AT$6:$AX$14,5,FALSE),D214)</f>
        <v>DSMZ v1.5: Using DSMZ 120 with NaHCO3</v>
      </c>
      <c r="E215" s="10" t="str">
        <f>IFERROR(VLOOKUP(B215,'Pre-Summary'!$AT$6:$AX$15,4,FALSE),"")</f>
        <v/>
      </c>
      <c r="F215">
        <f>IFERROR(VLOOKUP(B215,'Pre-Summary'!$AL$6:$AQ$13,6,FALSE),F214)</f>
        <v>5.9405263157894746E-2</v>
      </c>
      <c r="G215" t="str">
        <f>IFERROR(VLOOKUP(B215,'Pre-Summary'!$AE$6:$AJ$85,3,FALSE),"")</f>
        <v/>
      </c>
      <c r="H215" t="str">
        <f>IFERROR(VLOOKUP(B215,'Pre-Summary'!$AE$6:$AJ$85,4,FALSE),"")</f>
        <v/>
      </c>
      <c r="I215" t="str">
        <f>IFERROR(VLOOKUP(B215,'Pre-Summary'!$AE$6:$AJ$85,5,FALSE),"")</f>
        <v/>
      </c>
      <c r="J215" s="45" t="str">
        <f>IFERROR(VLOOKUP(B215,'Pre-Summary'!$AE$6:$AJ$85,6, FALSE),"")</f>
        <v/>
      </c>
      <c r="K215" s="45" t="str">
        <f>IFERROR(VLOOKUP(B215,'Pre-Summary'!$DE$6:$DG$61,3,FALSE),"")</f>
        <v/>
      </c>
      <c r="L215" s="45" t="str">
        <f>IFERROR(VLOOKUP(B215,'Pre-Summary'!$CU$6:$CW$36,3,FALSE),"")</f>
        <v/>
      </c>
      <c r="M215" s="45" t="str">
        <f>IFERROR(VLOOKUP(B215,'Pre-Summary'!$BW$6:$BY$58,2,FALSE),"")</f>
        <v/>
      </c>
      <c r="N215" s="45" t="str">
        <f>IFERROR(VLOOKUP(B215,'Pre-Summary'!$CD$6:$CF$64,2,FALSE),"")</f>
        <v/>
      </c>
      <c r="O215" s="99">
        <f>IFERROR(VLOOKUP(B215,'Pre-Summary'!$BO$6:$BQ$48,3, FALSE),O214)</f>
        <v>0.54576240161083656</v>
      </c>
      <c r="P215" s="99">
        <f>IFERROR(VLOOKUP(B215,'Pre-Summary'!$BS$6:$BU$35,3,FALSE),P214)</f>
        <v>0.25</v>
      </c>
      <c r="Q215" s="54">
        <f t="shared" si="9"/>
        <v>2.1830496064433462</v>
      </c>
      <c r="R215" s="53">
        <f>IFERROR(VLOOKUP(B215,'Pre-Summary'!$BG$6:$BM$44,7,FALSE),R216)</f>
        <v>2.7904161219319636E-2</v>
      </c>
      <c r="S215" s="53">
        <f>IFERROR(VLOOKUP(B215,'Pre-Summary'!$BG$6:$BM$44,6,FALSE),S216)</f>
        <v>3.3978715219895171E-2</v>
      </c>
      <c r="T215" s="45" t="str">
        <f>IFERROR(VLOOKUP(B215,'Pre-Summary'!$Y$6:$AC$83, 3,FALSE),"")</f>
        <v/>
      </c>
      <c r="U215" s="45" t="str">
        <f>IFERROR(VLOOKUP(B215,'Pre-Summary'!$Y$6:$AC$83, 4,FALSE),"")</f>
        <v/>
      </c>
      <c r="V215" t="str">
        <f>IFERROR(VLOOKUP(B215,'Pre-Summary'!$Y$6:$AC$83, 5,FALSE),"")</f>
        <v/>
      </c>
      <c r="W215" s="45" t="str">
        <f>IFERROR(VLOOKUP(B215,'Pre-Summary'!$Y$6:$AD$83,6,FALSE),"")</f>
        <v/>
      </c>
      <c r="X215" t="str">
        <f>IFERROR(VLOOKUP('Pre-Summary'!$DB$6:$DD$63,3,FALSE),"")</f>
        <v/>
      </c>
      <c r="Y215" t="str">
        <f>IFERROR(VLOOKUP(B215,'Pre-Summary'!$CR$6:$CT$36,3,FALSE),"")</f>
        <v/>
      </c>
      <c r="Z215" s="45" t="str">
        <f>IFERROR(VLOOKUP(B215,'Pre-Summary'!$BZ$6:$CB$63,2,FALSE),"")</f>
        <v/>
      </c>
      <c r="AA215" s="45" t="str">
        <f>IFERROR(VLOOKUP(B215,'Pre-Summary'!$CG$6:$CI$70,2,FALSE),"")</f>
        <v/>
      </c>
      <c r="AB215" s="99">
        <f>IFERROR(VLOOKUP(B215,'Pre-Summary'!$A$6:$P$178,9,FALSE),AB216)</f>
        <v>0.95192327811817912</v>
      </c>
      <c r="AC215" s="10">
        <f>IFERROR(VLOOKUP(Summary!B215,'Pre-Summary'!$A$6:$P$184,5, FALSE)/100,AC216)</f>
        <v>0.88412199999999985</v>
      </c>
      <c r="AD215" s="10">
        <f>IFERROR(VLOOKUP(Summary!B215,'Pre-Summary'!$A$6:$P$184,3, FALSE)/100,AD216)</f>
        <v>0</v>
      </c>
      <c r="AE215" s="10">
        <f>IFERROR(VLOOKUP(Summary!B215,'Pre-Summary'!$A$6:$P$184,7, FALSE)/100,AE216)</f>
        <v>0.11587800000000001</v>
      </c>
      <c r="AF215" s="99">
        <f t="shared" si="10"/>
        <v>0</v>
      </c>
      <c r="AG215" s="99">
        <f t="shared" si="11"/>
        <v>0.11030696562177837</v>
      </c>
      <c r="AH215" s="10" t="str">
        <f>IFERROR(VLOOKUP(B215,'Pre-Summary'!$AZ$6:$BE$65,3,FALSE),"")</f>
        <v/>
      </c>
      <c r="AI215" s="10" t="str">
        <f>IFERROR(VLOOKUP(B215,'Pre-Summary'!$AZ$6:$BE$65,5,FALSE),"")</f>
        <v/>
      </c>
      <c r="AJ215" s="10" t="str">
        <f>IFERROR(VLOOKUP(B215,'Pre-Summary'!$AZ$6:$BE$65,4,FALSE),"")</f>
        <v/>
      </c>
      <c r="AK215" s="10" t="str">
        <f>IFERROR(VLOOKUP(B215,'Pre-Summary'!$AZ$6:$BE$65,6,FALSE),"")</f>
        <v/>
      </c>
      <c r="AL215" s="10" t="str">
        <f>IFERROR(VLOOKUP(B215,'Pre-Summary'!$BG$6:$BL$44,3,FALSE),"")</f>
        <v/>
      </c>
      <c r="AM215" s="10" t="str">
        <f>IFERROR(VLOOKUP(B215,'Pre-Summary'!$BG$6:$BL$44,4,FALSE),"")</f>
        <v/>
      </c>
    </row>
    <row r="216" spans="2:39" ht="15" customHeight="1" x14ac:dyDescent="0.3">
      <c r="B216">
        <v>21.3</v>
      </c>
      <c r="C216" t="str">
        <f>IFERROR(VLOOKUP(B216,'Pre-Summary'!$DI$6:$DM$23,4,FALSE),"")</f>
        <v/>
      </c>
      <c r="D216" s="10" t="str">
        <f>IFERROR(VLOOKUP(B216,'Pre-Summary'!$AT$6:$AX$14,5,FALSE),D215)</f>
        <v>DSMZ v1.5: Using DSMZ 120 with NaHCO3</v>
      </c>
      <c r="E216" s="10" t="str">
        <f>IFERROR(VLOOKUP(B216,'Pre-Summary'!$AT$6:$AX$15,4,FALSE),"")</f>
        <v/>
      </c>
      <c r="F216">
        <f>IFERROR(VLOOKUP(B216,'Pre-Summary'!$AL$6:$AQ$13,6,FALSE),F215)</f>
        <v>5.9405263157894746E-2</v>
      </c>
      <c r="G216" t="str">
        <f>IFERROR(VLOOKUP(B216,'Pre-Summary'!$AE$6:$AJ$85,3,FALSE),"")</f>
        <v/>
      </c>
      <c r="H216" t="str">
        <f>IFERROR(VLOOKUP(B216,'Pre-Summary'!$AE$6:$AJ$85,4,FALSE),"")</f>
        <v/>
      </c>
      <c r="I216" t="str">
        <f>IFERROR(VLOOKUP(B216,'Pre-Summary'!$AE$6:$AJ$85,5,FALSE),"")</f>
        <v/>
      </c>
      <c r="J216" s="45" t="str">
        <f>IFERROR(VLOOKUP(B216,'Pre-Summary'!$AE$6:$AJ$85,6, FALSE),"")</f>
        <v/>
      </c>
      <c r="K216" s="45" t="str">
        <f>IFERROR(VLOOKUP(B216,'Pre-Summary'!$DE$6:$DG$61,3,FALSE),"")</f>
        <v/>
      </c>
      <c r="L216" s="45" t="str">
        <f>IFERROR(VLOOKUP(B216,'Pre-Summary'!$CU$6:$CW$36,3,FALSE),"")</f>
        <v/>
      </c>
      <c r="M216" s="45" t="str">
        <f>IFERROR(VLOOKUP(B216,'Pre-Summary'!$BW$6:$BY$58,2,FALSE),"")</f>
        <v/>
      </c>
      <c r="N216" s="45" t="str">
        <f>IFERROR(VLOOKUP(B216,'Pre-Summary'!$CD$6:$CF$64,2,FALSE),"")</f>
        <v/>
      </c>
      <c r="O216" s="99">
        <f>IFERROR(VLOOKUP(B216,'Pre-Summary'!$BO$6:$BQ$48,3, FALSE),O215)</f>
        <v>0.54576240161083656</v>
      </c>
      <c r="P216" s="99">
        <f>IFERROR(VLOOKUP(B216,'Pre-Summary'!$BS$6:$BU$35,3,FALSE),P215)</f>
        <v>0.25</v>
      </c>
      <c r="Q216" s="54">
        <f t="shared" si="9"/>
        <v>2.1830496064433462</v>
      </c>
      <c r="R216" s="53">
        <f>IFERROR(VLOOKUP(B216,'Pre-Summary'!$BG$6:$BM$44,7,FALSE),R217)</f>
        <v>2.7904161219319636E-2</v>
      </c>
      <c r="S216" s="53">
        <f>IFERROR(VLOOKUP(B216,'Pre-Summary'!$BG$6:$BM$44,6,FALSE),S217)</f>
        <v>3.3978715219895171E-2</v>
      </c>
      <c r="T216" s="45" t="str">
        <f>IFERROR(VLOOKUP(B216,'Pre-Summary'!$Y$6:$AC$83, 3,FALSE),"")</f>
        <v/>
      </c>
      <c r="U216" s="45" t="str">
        <f>IFERROR(VLOOKUP(B216,'Pre-Summary'!$Y$6:$AC$83, 4,FALSE),"")</f>
        <v/>
      </c>
      <c r="V216" t="str">
        <f>IFERROR(VLOOKUP(B216,'Pre-Summary'!$Y$6:$AC$83, 5,FALSE),"")</f>
        <v/>
      </c>
      <c r="W216" s="45" t="str">
        <f>IFERROR(VLOOKUP(B216,'Pre-Summary'!$Y$6:$AD$83,6,FALSE),"")</f>
        <v/>
      </c>
      <c r="X216" t="str">
        <f>IFERROR(VLOOKUP('Pre-Summary'!$DB$6:$DD$63,3,FALSE),"")</f>
        <v/>
      </c>
      <c r="Y216" t="str">
        <f>IFERROR(VLOOKUP(B216,'Pre-Summary'!$CR$6:$CT$36,3,FALSE),"")</f>
        <v/>
      </c>
      <c r="Z216" s="45" t="str">
        <f>IFERROR(VLOOKUP(B216,'Pre-Summary'!$BZ$6:$CB$63,2,FALSE),"")</f>
        <v/>
      </c>
      <c r="AA216" s="45" t="str">
        <f>IFERROR(VLOOKUP(B216,'Pre-Summary'!$CG$6:$CI$70,2,FALSE),"")</f>
        <v/>
      </c>
      <c r="AB216" s="99">
        <f>IFERROR(VLOOKUP(B216,'Pre-Summary'!$A$6:$P$178,9,FALSE),AB217)</f>
        <v>0.95192327811817912</v>
      </c>
      <c r="AC216" s="10">
        <f>IFERROR(VLOOKUP(Summary!B216,'Pre-Summary'!$A$6:$P$184,5, FALSE)/100,AC217)</f>
        <v>0.88412199999999985</v>
      </c>
      <c r="AD216" s="10">
        <f>IFERROR(VLOOKUP(Summary!B216,'Pre-Summary'!$A$6:$P$184,3, FALSE)/100,AD217)</f>
        <v>0</v>
      </c>
      <c r="AE216" s="10">
        <f>IFERROR(VLOOKUP(Summary!B216,'Pre-Summary'!$A$6:$P$184,7, FALSE)/100,AE217)</f>
        <v>0.11587800000000001</v>
      </c>
      <c r="AF216" s="99">
        <f t="shared" si="10"/>
        <v>0</v>
      </c>
      <c r="AG216" s="99">
        <f t="shared" si="11"/>
        <v>0.11030696562177837</v>
      </c>
      <c r="AH216" s="10" t="str">
        <f>IFERROR(VLOOKUP(B216,'Pre-Summary'!$AZ$6:$BE$65,3,FALSE),"")</f>
        <v/>
      </c>
      <c r="AI216" s="10" t="str">
        <f>IFERROR(VLOOKUP(B216,'Pre-Summary'!$AZ$6:$BE$65,5,FALSE),"")</f>
        <v/>
      </c>
      <c r="AJ216" s="10" t="str">
        <f>IFERROR(VLOOKUP(B216,'Pre-Summary'!$AZ$6:$BE$65,4,FALSE),"")</f>
        <v/>
      </c>
      <c r="AK216" s="10" t="str">
        <f>IFERROR(VLOOKUP(B216,'Pre-Summary'!$AZ$6:$BE$65,6,FALSE),"")</f>
        <v/>
      </c>
      <c r="AL216" s="10" t="str">
        <f>IFERROR(VLOOKUP(B216,'Pre-Summary'!$BG$6:$BL$44,3,FALSE),"")</f>
        <v/>
      </c>
      <c r="AM216" s="10" t="str">
        <f>IFERROR(VLOOKUP(B216,'Pre-Summary'!$BG$6:$BL$44,4,FALSE),"")</f>
        <v/>
      </c>
    </row>
    <row r="217" spans="2:39" ht="15" customHeight="1" x14ac:dyDescent="0.3">
      <c r="B217">
        <v>21.4</v>
      </c>
      <c r="C217" t="str">
        <f>IFERROR(VLOOKUP(B217,'Pre-Summary'!$DI$6:$DM$23,4,FALSE),"")</f>
        <v/>
      </c>
      <c r="D217" s="10" t="str">
        <f>IFERROR(VLOOKUP(B217,'Pre-Summary'!$AT$6:$AX$14,5,FALSE),D216)</f>
        <v>DSMZ v1.5: Using DSMZ 120 with NaHCO3</v>
      </c>
      <c r="E217" s="10" t="str">
        <f>IFERROR(VLOOKUP(B217,'Pre-Summary'!$AT$6:$AX$15,4,FALSE),"")</f>
        <v/>
      </c>
      <c r="F217">
        <f>IFERROR(VLOOKUP(B217,'Pre-Summary'!$AL$6:$AQ$13,6,FALSE),F216)</f>
        <v>5.9405263157894746E-2</v>
      </c>
      <c r="G217" t="str">
        <f>IFERROR(VLOOKUP(B217,'Pre-Summary'!$AE$6:$AJ$85,3,FALSE),"")</f>
        <v/>
      </c>
      <c r="H217" t="str">
        <f>IFERROR(VLOOKUP(B217,'Pre-Summary'!$AE$6:$AJ$85,4,FALSE),"")</f>
        <v/>
      </c>
      <c r="I217" t="str">
        <f>IFERROR(VLOOKUP(B217,'Pre-Summary'!$AE$6:$AJ$85,5,FALSE),"")</f>
        <v/>
      </c>
      <c r="J217" s="45" t="str">
        <f>IFERROR(VLOOKUP(B217,'Pre-Summary'!$AE$6:$AJ$85,6, FALSE),"")</f>
        <v/>
      </c>
      <c r="K217" s="45" t="str">
        <f>IFERROR(VLOOKUP(B217,'Pre-Summary'!$DE$6:$DG$61,3,FALSE),"")</f>
        <v/>
      </c>
      <c r="L217" s="45" t="str">
        <f>IFERROR(VLOOKUP(B217,'Pre-Summary'!$CU$6:$CW$36,3,FALSE),"")</f>
        <v/>
      </c>
      <c r="M217" s="45" t="str">
        <f>IFERROR(VLOOKUP(B217,'Pre-Summary'!$BW$6:$BY$58,2,FALSE),"")</f>
        <v/>
      </c>
      <c r="N217" s="45" t="str">
        <f>IFERROR(VLOOKUP(B217,'Pre-Summary'!$CD$6:$CF$64,2,FALSE),"")</f>
        <v/>
      </c>
      <c r="O217" s="99">
        <f>IFERROR(VLOOKUP(B217,'Pre-Summary'!$BO$6:$BQ$48,3, FALSE),O216)</f>
        <v>0.54576240161083656</v>
      </c>
      <c r="P217" s="99">
        <f>IFERROR(VLOOKUP(B217,'Pre-Summary'!$BS$6:$BU$35,3,FALSE),P216)</f>
        <v>0.25</v>
      </c>
      <c r="Q217" s="54">
        <f t="shared" si="9"/>
        <v>2.1830496064433462</v>
      </c>
      <c r="R217" s="53">
        <f>IFERROR(VLOOKUP(B217,'Pre-Summary'!$BG$6:$BM$44,7,FALSE),R218)</f>
        <v>2.7904161219319636E-2</v>
      </c>
      <c r="S217" s="53">
        <f>IFERROR(VLOOKUP(B217,'Pre-Summary'!$BG$6:$BM$44,6,FALSE),S218)</f>
        <v>3.3978715219895171E-2</v>
      </c>
      <c r="T217" s="45" t="str">
        <f>IFERROR(VLOOKUP(B217,'Pre-Summary'!$Y$6:$AC$83, 3,FALSE),"")</f>
        <v/>
      </c>
      <c r="U217" s="45" t="str">
        <f>IFERROR(VLOOKUP(B217,'Pre-Summary'!$Y$6:$AC$83, 4,FALSE),"")</f>
        <v/>
      </c>
      <c r="V217" t="str">
        <f>IFERROR(VLOOKUP(B217,'Pre-Summary'!$Y$6:$AC$83, 5,FALSE),"")</f>
        <v/>
      </c>
      <c r="W217" s="45" t="str">
        <f>IFERROR(VLOOKUP(B217,'Pre-Summary'!$Y$6:$AD$83,6,FALSE),"")</f>
        <v/>
      </c>
      <c r="X217" t="str">
        <f>IFERROR(VLOOKUP('Pre-Summary'!$DB$6:$DD$63,3,FALSE),"")</f>
        <v/>
      </c>
      <c r="Y217" t="str">
        <f>IFERROR(VLOOKUP(B217,'Pre-Summary'!$CR$6:$CT$36,3,FALSE),"")</f>
        <v/>
      </c>
      <c r="Z217" s="45" t="str">
        <f>IFERROR(VLOOKUP(B217,'Pre-Summary'!$BZ$6:$CB$63,2,FALSE),"")</f>
        <v/>
      </c>
      <c r="AA217" s="45" t="str">
        <f>IFERROR(VLOOKUP(B217,'Pre-Summary'!$CG$6:$CI$70,2,FALSE),"")</f>
        <v/>
      </c>
      <c r="AB217" s="99">
        <f>IFERROR(VLOOKUP(B217,'Pre-Summary'!$A$6:$P$178,9,FALSE),AB218)</f>
        <v>0.95192327811817912</v>
      </c>
      <c r="AC217" s="10">
        <f>IFERROR(VLOOKUP(Summary!B217,'Pre-Summary'!$A$6:$P$184,5, FALSE)/100,AC218)</f>
        <v>0.88412199999999985</v>
      </c>
      <c r="AD217" s="10">
        <f>IFERROR(VLOOKUP(Summary!B217,'Pre-Summary'!$A$6:$P$184,3, FALSE)/100,AD218)</f>
        <v>0</v>
      </c>
      <c r="AE217" s="10">
        <f>IFERROR(VLOOKUP(Summary!B217,'Pre-Summary'!$A$6:$P$184,7, FALSE)/100,AE218)</f>
        <v>0.11587800000000001</v>
      </c>
      <c r="AF217" s="99">
        <f t="shared" si="10"/>
        <v>0</v>
      </c>
      <c r="AG217" s="99">
        <f t="shared" si="11"/>
        <v>0.11030696562177837</v>
      </c>
      <c r="AH217" s="10" t="str">
        <f>IFERROR(VLOOKUP(B217,'Pre-Summary'!$AZ$6:$BE$65,3,FALSE),"")</f>
        <v/>
      </c>
      <c r="AI217" s="10" t="str">
        <f>IFERROR(VLOOKUP(B217,'Pre-Summary'!$AZ$6:$BE$65,5,FALSE),"")</f>
        <v/>
      </c>
      <c r="AJ217" s="10" t="str">
        <f>IFERROR(VLOOKUP(B217,'Pre-Summary'!$AZ$6:$BE$65,4,FALSE),"")</f>
        <v/>
      </c>
      <c r="AK217" s="10" t="str">
        <f>IFERROR(VLOOKUP(B217,'Pre-Summary'!$AZ$6:$BE$65,6,FALSE),"")</f>
        <v/>
      </c>
      <c r="AL217" s="10" t="str">
        <f>IFERROR(VLOOKUP(B217,'Pre-Summary'!$BG$6:$BL$44,3,FALSE),"")</f>
        <v/>
      </c>
      <c r="AM217" s="10" t="str">
        <f>IFERROR(VLOOKUP(B217,'Pre-Summary'!$BG$6:$BL$44,4,FALSE),"")</f>
        <v/>
      </c>
    </row>
    <row r="218" spans="2:39" ht="15" customHeight="1" x14ac:dyDescent="0.3">
      <c r="B218">
        <v>21.5</v>
      </c>
      <c r="C218" t="str">
        <f>IFERROR(VLOOKUP(B218,'Pre-Summary'!$DI$6:$DM$23,4,FALSE),"")</f>
        <v>A34</v>
      </c>
      <c r="D218" s="10" t="str">
        <f>IFERROR(VLOOKUP(B218,'Pre-Summary'!$AT$6:$AX$14,5,FALSE),D217)</f>
        <v>DSMZ v1.5: Using DSMZ 120 with NaHCO3</v>
      </c>
      <c r="E218" s="10" t="str">
        <f>IFERROR(VLOOKUP(B218,'Pre-Summary'!$AT$6:$AX$15,4,FALSE),"")</f>
        <v/>
      </c>
      <c r="F218">
        <f>IFERROR(VLOOKUP(B218,'Pre-Summary'!$AL$6:$AQ$13,6,FALSE),F217)</f>
        <v>5.9405263157894746E-2</v>
      </c>
      <c r="G218" t="str">
        <f>IFERROR(VLOOKUP(B218,'Pre-Summary'!$AE$6:$AJ$85,3,FALSE),"")</f>
        <v/>
      </c>
      <c r="H218" t="str">
        <f>IFERROR(VLOOKUP(B218,'Pre-Summary'!$AE$6:$AJ$85,4,FALSE),"")</f>
        <v/>
      </c>
      <c r="I218" t="str">
        <f>IFERROR(VLOOKUP(B218,'Pre-Summary'!$AE$6:$AJ$85,5,FALSE),"")</f>
        <v/>
      </c>
      <c r="J218" s="45" t="str">
        <f>IFERROR(VLOOKUP(B218,'Pre-Summary'!$AE$6:$AJ$85,6, FALSE),"")</f>
        <v/>
      </c>
      <c r="K218" s="45" t="str">
        <f>IFERROR(VLOOKUP(B218,'Pre-Summary'!$DE$6:$DG$61,3,FALSE),"")</f>
        <v/>
      </c>
      <c r="L218" s="45" t="str">
        <f>IFERROR(VLOOKUP(B218,'Pre-Summary'!$CU$6:$CW$36,3,FALSE),"")</f>
        <v/>
      </c>
      <c r="M218" s="45" t="str">
        <f>IFERROR(VLOOKUP(B218,'Pre-Summary'!$BW$6:$BY$58,2,FALSE),"")</f>
        <v/>
      </c>
      <c r="N218" s="45" t="str">
        <f>IFERROR(VLOOKUP(B218,'Pre-Summary'!$CD$6:$CF$64,2,FALSE),"")</f>
        <v/>
      </c>
      <c r="O218" s="99">
        <f>IFERROR(VLOOKUP(B218,'Pre-Summary'!$BO$6:$BQ$48,3, FALSE),O217)</f>
        <v>0.54576240161083656</v>
      </c>
      <c r="P218" s="99">
        <f>IFERROR(VLOOKUP(B218,'Pre-Summary'!$BS$6:$BU$35,3,FALSE),P217)</f>
        <v>0.25</v>
      </c>
      <c r="Q218" s="54">
        <f t="shared" si="9"/>
        <v>2.1830496064433462</v>
      </c>
      <c r="R218" s="53">
        <f>IFERROR(VLOOKUP(B218,'Pre-Summary'!$BG$6:$BM$44,7,FALSE),R219)</f>
        <v>2.7904161219319636E-2</v>
      </c>
      <c r="S218" s="53">
        <f>IFERROR(VLOOKUP(B218,'Pre-Summary'!$BG$6:$BM$44,6,FALSE),S219)</f>
        <v>3.3978715219895171E-2</v>
      </c>
      <c r="T218" s="45" t="str">
        <f>IFERROR(VLOOKUP(B218,'Pre-Summary'!$Y$6:$AC$83, 3,FALSE),"")</f>
        <v/>
      </c>
      <c r="U218" s="45" t="str">
        <f>IFERROR(VLOOKUP(B218,'Pre-Summary'!$Y$6:$AC$83, 4,FALSE),"")</f>
        <v/>
      </c>
      <c r="V218" t="str">
        <f>IFERROR(VLOOKUP(B218,'Pre-Summary'!$Y$6:$AC$83, 5,FALSE),"")</f>
        <v/>
      </c>
      <c r="W218" s="45" t="str">
        <f>IFERROR(VLOOKUP(B218,'Pre-Summary'!$Y$6:$AD$83,6,FALSE),"")</f>
        <v/>
      </c>
      <c r="X218" t="str">
        <f>IFERROR(VLOOKUP('Pre-Summary'!$DB$6:$DD$63,3,FALSE),"")</f>
        <v/>
      </c>
      <c r="Y218" t="str">
        <f>IFERROR(VLOOKUP(B218,'Pre-Summary'!$CR$6:$CT$36,3,FALSE),"")</f>
        <v/>
      </c>
      <c r="Z218" s="45" t="str">
        <f>IFERROR(VLOOKUP(B218,'Pre-Summary'!$BZ$6:$CB$63,2,FALSE),"")</f>
        <v/>
      </c>
      <c r="AA218" s="45" t="str">
        <f>IFERROR(VLOOKUP(B218,'Pre-Summary'!$CG$6:$CI$70,2,FALSE),"")</f>
        <v/>
      </c>
      <c r="AB218" s="99">
        <f>IFERROR(VLOOKUP(B218,'Pre-Summary'!$A$6:$P$178,9,FALSE),AB219)</f>
        <v>0.95192327811817912</v>
      </c>
      <c r="AC218" s="10">
        <f>IFERROR(VLOOKUP(Summary!B218,'Pre-Summary'!$A$6:$P$184,5, FALSE)/100,AC219)</f>
        <v>0.88412199999999985</v>
      </c>
      <c r="AD218" s="10">
        <f>IFERROR(VLOOKUP(Summary!B218,'Pre-Summary'!$A$6:$P$184,3, FALSE)/100,AD219)</f>
        <v>0</v>
      </c>
      <c r="AE218" s="10">
        <f>IFERROR(VLOOKUP(Summary!B218,'Pre-Summary'!$A$6:$P$184,7, FALSE)/100,AE219)</f>
        <v>0.11587800000000001</v>
      </c>
      <c r="AF218" s="99">
        <f t="shared" si="10"/>
        <v>0</v>
      </c>
      <c r="AG218" s="99">
        <f t="shared" si="11"/>
        <v>0.11030696562177837</v>
      </c>
      <c r="AH218" s="10" t="str">
        <f>IFERROR(VLOOKUP(B218,'Pre-Summary'!$AZ$6:$BE$65,3,FALSE),"")</f>
        <v/>
      </c>
      <c r="AI218" s="10" t="str">
        <f>IFERROR(VLOOKUP(B218,'Pre-Summary'!$AZ$6:$BE$65,5,FALSE),"")</f>
        <v/>
      </c>
      <c r="AJ218" s="10" t="str">
        <f>IFERROR(VLOOKUP(B218,'Pre-Summary'!$AZ$6:$BE$65,4,FALSE),"")</f>
        <v/>
      </c>
      <c r="AK218" s="10" t="str">
        <f>IFERROR(VLOOKUP(B218,'Pre-Summary'!$AZ$6:$BE$65,6,FALSE),"")</f>
        <v/>
      </c>
      <c r="AL218" s="10" t="str">
        <f>IFERROR(VLOOKUP(B218,'Pre-Summary'!$BG$6:$BL$44,3,FALSE),"")</f>
        <v/>
      </c>
      <c r="AM218" s="10" t="str">
        <f>IFERROR(VLOOKUP(B218,'Pre-Summary'!$BG$6:$BL$44,4,FALSE),"")</f>
        <v/>
      </c>
    </row>
    <row r="219" spans="2:39" ht="15" customHeight="1" x14ac:dyDescent="0.3">
      <c r="B219">
        <v>21.6</v>
      </c>
      <c r="C219" t="str">
        <f>IFERROR(VLOOKUP(B219,'Pre-Summary'!$DI$6:$DM$23,4,FALSE),"")</f>
        <v/>
      </c>
      <c r="D219" s="10" t="str">
        <f>IFERROR(VLOOKUP(B219,'Pre-Summary'!$AT$6:$AX$14,5,FALSE),D218)</f>
        <v>DSMZ v1.5: Using DSMZ 120 with NaHCO3</v>
      </c>
      <c r="E219" s="10" t="str">
        <f>IFERROR(VLOOKUP(B219,'Pre-Summary'!$AT$6:$AX$15,4,FALSE),"")</f>
        <v/>
      </c>
      <c r="F219">
        <f>IFERROR(VLOOKUP(B219,'Pre-Summary'!$AL$6:$AQ$13,6,FALSE),F218)</f>
        <v>5.9405263157894746E-2</v>
      </c>
      <c r="G219" t="str">
        <f>IFERROR(VLOOKUP(B219,'Pre-Summary'!$AE$6:$AJ$85,3,FALSE),"")</f>
        <v/>
      </c>
      <c r="H219" t="str">
        <f>IFERROR(VLOOKUP(B219,'Pre-Summary'!$AE$6:$AJ$85,4,FALSE),"")</f>
        <v/>
      </c>
      <c r="I219" t="str">
        <f>IFERROR(VLOOKUP(B219,'Pre-Summary'!$AE$6:$AJ$85,5,FALSE),"")</f>
        <v/>
      </c>
      <c r="J219" s="45" t="str">
        <f>IFERROR(VLOOKUP(B219,'Pre-Summary'!$AE$6:$AJ$85,6, FALSE),"")</f>
        <v/>
      </c>
      <c r="K219" s="45" t="str">
        <f>IFERROR(VLOOKUP(B219,'Pre-Summary'!$DE$6:$DG$61,3,FALSE),"")</f>
        <v/>
      </c>
      <c r="L219" s="45" t="str">
        <f>IFERROR(VLOOKUP(B219,'Pre-Summary'!$CU$6:$CW$36,3,FALSE),"")</f>
        <v/>
      </c>
      <c r="M219" s="45" t="str">
        <f>IFERROR(VLOOKUP(B219,'Pre-Summary'!$BW$6:$BY$58,2,FALSE),"")</f>
        <v/>
      </c>
      <c r="N219" s="45" t="str">
        <f>IFERROR(VLOOKUP(B219,'Pre-Summary'!$CD$6:$CF$64,2,FALSE),"")</f>
        <v/>
      </c>
      <c r="O219" s="99">
        <f>IFERROR(VLOOKUP(B219,'Pre-Summary'!$BO$6:$BQ$48,3, FALSE),O218)</f>
        <v>0.54576240161083656</v>
      </c>
      <c r="P219" s="99">
        <f>IFERROR(VLOOKUP(B219,'Pre-Summary'!$BS$6:$BU$35,3,FALSE),P218)</f>
        <v>0.25</v>
      </c>
      <c r="Q219" s="54">
        <f t="shared" si="9"/>
        <v>2.1830496064433462</v>
      </c>
      <c r="R219" s="53">
        <f>IFERROR(VLOOKUP(B219,'Pre-Summary'!$BG$6:$BM$44,7,FALSE),R220)</f>
        <v>2.7904161219319636E-2</v>
      </c>
      <c r="S219" s="53">
        <f>IFERROR(VLOOKUP(B219,'Pre-Summary'!$BG$6:$BM$44,6,FALSE),S220)</f>
        <v>3.3978715219895171E-2</v>
      </c>
      <c r="T219" s="45" t="str">
        <f>IFERROR(VLOOKUP(B219,'Pre-Summary'!$Y$6:$AC$83, 3,FALSE),"")</f>
        <v/>
      </c>
      <c r="U219" s="45" t="str">
        <f>IFERROR(VLOOKUP(B219,'Pre-Summary'!$Y$6:$AC$83, 4,FALSE),"")</f>
        <v/>
      </c>
      <c r="V219" t="str">
        <f>IFERROR(VLOOKUP(B219,'Pre-Summary'!$Y$6:$AC$83, 5,FALSE),"")</f>
        <v/>
      </c>
      <c r="W219" s="45" t="str">
        <f>IFERROR(VLOOKUP(B219,'Pre-Summary'!$Y$6:$AD$83,6,FALSE),"")</f>
        <v/>
      </c>
      <c r="X219" t="str">
        <f>IFERROR(VLOOKUP('Pre-Summary'!$DB$6:$DD$63,3,FALSE),"")</f>
        <v/>
      </c>
      <c r="Y219" t="str">
        <f>IFERROR(VLOOKUP(B219,'Pre-Summary'!$CR$6:$CT$36,3,FALSE),"")</f>
        <v/>
      </c>
      <c r="Z219" s="45" t="str">
        <f>IFERROR(VLOOKUP(B219,'Pre-Summary'!$BZ$6:$CB$63,2,FALSE),"")</f>
        <v/>
      </c>
      <c r="AA219" s="45" t="str">
        <f>IFERROR(VLOOKUP(B219,'Pre-Summary'!$CG$6:$CI$70,2,FALSE),"")</f>
        <v/>
      </c>
      <c r="AB219" s="99">
        <f>IFERROR(VLOOKUP(B219,'Pre-Summary'!$A$6:$P$178,9,FALSE),AB220)</f>
        <v>0.95192327811817912</v>
      </c>
      <c r="AC219" s="10">
        <f>IFERROR(VLOOKUP(Summary!B219,'Pre-Summary'!$A$6:$P$184,5, FALSE)/100,AC220)</f>
        <v>0.88412199999999985</v>
      </c>
      <c r="AD219" s="10">
        <f>IFERROR(VLOOKUP(Summary!B219,'Pre-Summary'!$A$6:$P$184,3, FALSE)/100,AD220)</f>
        <v>0</v>
      </c>
      <c r="AE219" s="10">
        <f>IFERROR(VLOOKUP(Summary!B219,'Pre-Summary'!$A$6:$P$184,7, FALSE)/100,AE220)</f>
        <v>0.11587800000000001</v>
      </c>
      <c r="AF219" s="99">
        <f t="shared" si="10"/>
        <v>0</v>
      </c>
      <c r="AG219" s="99">
        <f t="shared" si="11"/>
        <v>0.11030696562177837</v>
      </c>
      <c r="AH219" s="10" t="str">
        <f>IFERROR(VLOOKUP(B219,'Pre-Summary'!$AZ$6:$BE$65,3,FALSE),"")</f>
        <v/>
      </c>
      <c r="AI219" s="10" t="str">
        <f>IFERROR(VLOOKUP(B219,'Pre-Summary'!$AZ$6:$BE$65,5,FALSE),"")</f>
        <v/>
      </c>
      <c r="AJ219" s="10" t="str">
        <f>IFERROR(VLOOKUP(B219,'Pre-Summary'!$AZ$6:$BE$65,4,FALSE),"")</f>
        <v/>
      </c>
      <c r="AK219" s="10" t="str">
        <f>IFERROR(VLOOKUP(B219,'Pre-Summary'!$AZ$6:$BE$65,6,FALSE),"")</f>
        <v/>
      </c>
      <c r="AL219" s="10" t="str">
        <f>IFERROR(VLOOKUP(B219,'Pre-Summary'!$BG$6:$BL$44,3,FALSE),"")</f>
        <v/>
      </c>
      <c r="AM219" s="10" t="str">
        <f>IFERROR(VLOOKUP(B219,'Pre-Summary'!$BG$6:$BL$44,4,FALSE),"")</f>
        <v/>
      </c>
    </row>
    <row r="220" spans="2:39" ht="15" customHeight="1" x14ac:dyDescent="0.3">
      <c r="B220">
        <v>21.7</v>
      </c>
      <c r="C220" t="str">
        <f>IFERROR(VLOOKUP(B220,'Pre-Summary'!$DI$6:$DM$23,4,FALSE),"")</f>
        <v/>
      </c>
      <c r="D220" s="10" t="str">
        <f>IFERROR(VLOOKUP(B220,'Pre-Summary'!$AT$6:$AX$14,5,FALSE),D219)</f>
        <v>DSMZ v1.5: Using DSMZ 120 with NaHCO3</v>
      </c>
      <c r="E220" s="10" t="str">
        <f>IFERROR(VLOOKUP(B220,'Pre-Summary'!$AT$6:$AX$15,4,FALSE),"")</f>
        <v/>
      </c>
      <c r="F220">
        <f>IFERROR(VLOOKUP(B220,'Pre-Summary'!$AL$6:$AQ$13,6,FALSE),F219)</f>
        <v>5.9405263157894746E-2</v>
      </c>
      <c r="G220" t="str">
        <f>IFERROR(VLOOKUP(B220,'Pre-Summary'!$AE$6:$AJ$85,3,FALSE),"")</f>
        <v/>
      </c>
      <c r="H220" t="str">
        <f>IFERROR(VLOOKUP(B220,'Pre-Summary'!$AE$6:$AJ$85,4,FALSE),"")</f>
        <v/>
      </c>
      <c r="I220" t="str">
        <f>IFERROR(VLOOKUP(B220,'Pre-Summary'!$AE$6:$AJ$85,5,FALSE),"")</f>
        <v/>
      </c>
      <c r="J220" s="45" t="str">
        <f>IFERROR(VLOOKUP(B220,'Pre-Summary'!$AE$6:$AJ$85,6, FALSE),"")</f>
        <v/>
      </c>
      <c r="K220" s="45" t="str">
        <f>IFERROR(VLOOKUP(B220,'Pre-Summary'!$DE$6:$DG$61,3,FALSE),"")</f>
        <v/>
      </c>
      <c r="L220" s="45" t="str">
        <f>IFERROR(VLOOKUP(B220,'Pre-Summary'!$CU$6:$CW$36,3,FALSE),"")</f>
        <v/>
      </c>
      <c r="M220" s="45" t="str">
        <f>IFERROR(VLOOKUP(B220,'Pre-Summary'!$BW$6:$BY$58,2,FALSE),"")</f>
        <v/>
      </c>
      <c r="N220" s="45" t="str">
        <f>IFERROR(VLOOKUP(B220,'Pre-Summary'!$CD$6:$CF$64,2,FALSE),"")</f>
        <v/>
      </c>
      <c r="O220" s="99">
        <f>IFERROR(VLOOKUP(B220,'Pre-Summary'!$BO$6:$BQ$48,3, FALSE),O219)</f>
        <v>0.54576240161083656</v>
      </c>
      <c r="P220" s="99">
        <f>IFERROR(VLOOKUP(B220,'Pre-Summary'!$BS$6:$BU$35,3,FALSE),P219)</f>
        <v>0.25</v>
      </c>
      <c r="Q220" s="54">
        <f t="shared" si="9"/>
        <v>2.1830496064433462</v>
      </c>
      <c r="R220" s="53">
        <f>IFERROR(VLOOKUP(B220,'Pre-Summary'!$BG$6:$BM$44,7,FALSE),R221)</f>
        <v>2.7904161219319636E-2</v>
      </c>
      <c r="S220" s="53">
        <f>IFERROR(VLOOKUP(B220,'Pre-Summary'!$BG$6:$BM$44,6,FALSE),S221)</f>
        <v>3.3978715219895171E-2</v>
      </c>
      <c r="T220" s="45" t="str">
        <f>IFERROR(VLOOKUP(B220,'Pre-Summary'!$Y$6:$AC$83, 3,FALSE),"")</f>
        <v/>
      </c>
      <c r="U220" s="45" t="str">
        <f>IFERROR(VLOOKUP(B220,'Pre-Summary'!$Y$6:$AC$83, 4,FALSE),"")</f>
        <v/>
      </c>
      <c r="V220" t="str">
        <f>IFERROR(VLOOKUP(B220,'Pre-Summary'!$Y$6:$AC$83, 5,FALSE),"")</f>
        <v/>
      </c>
      <c r="W220" s="45" t="str">
        <f>IFERROR(VLOOKUP(B220,'Pre-Summary'!$Y$6:$AD$83,6,FALSE),"")</f>
        <v/>
      </c>
      <c r="X220" t="str">
        <f>IFERROR(VLOOKUP('Pre-Summary'!$DB$6:$DD$63,3,FALSE),"")</f>
        <v/>
      </c>
      <c r="Y220" t="str">
        <f>IFERROR(VLOOKUP(B220,'Pre-Summary'!$CR$6:$CT$36,3,FALSE),"")</f>
        <v/>
      </c>
      <c r="Z220" s="45" t="str">
        <f>IFERROR(VLOOKUP(B220,'Pre-Summary'!$BZ$6:$CB$63,2,FALSE),"")</f>
        <v/>
      </c>
      <c r="AA220" s="45" t="str">
        <f>IFERROR(VLOOKUP(B220,'Pre-Summary'!$CG$6:$CI$70,2,FALSE),"")</f>
        <v/>
      </c>
      <c r="AB220" s="99">
        <f>IFERROR(VLOOKUP(B220,'Pre-Summary'!$A$6:$P$178,9,FALSE),AB221)</f>
        <v>0.95192327811817912</v>
      </c>
      <c r="AC220" s="10">
        <f>IFERROR(VLOOKUP(Summary!B220,'Pre-Summary'!$A$6:$P$184,5, FALSE)/100,AC221)</f>
        <v>0.88412199999999985</v>
      </c>
      <c r="AD220" s="10">
        <f>IFERROR(VLOOKUP(Summary!B220,'Pre-Summary'!$A$6:$P$184,3, FALSE)/100,AD221)</f>
        <v>0</v>
      </c>
      <c r="AE220" s="10">
        <f>IFERROR(VLOOKUP(Summary!B220,'Pre-Summary'!$A$6:$P$184,7, FALSE)/100,AE221)</f>
        <v>0.11587800000000001</v>
      </c>
      <c r="AF220" s="99">
        <f t="shared" si="10"/>
        <v>0</v>
      </c>
      <c r="AG220" s="99">
        <f t="shared" si="11"/>
        <v>0.11030696562177837</v>
      </c>
      <c r="AH220" s="10" t="str">
        <f>IFERROR(VLOOKUP(B220,'Pre-Summary'!$AZ$6:$BE$65,3,FALSE),"")</f>
        <v/>
      </c>
      <c r="AI220" s="10" t="str">
        <f>IFERROR(VLOOKUP(B220,'Pre-Summary'!$AZ$6:$BE$65,5,FALSE),"")</f>
        <v/>
      </c>
      <c r="AJ220" s="10" t="str">
        <f>IFERROR(VLOOKUP(B220,'Pre-Summary'!$AZ$6:$BE$65,4,FALSE),"")</f>
        <v/>
      </c>
      <c r="AK220" s="10" t="str">
        <f>IFERROR(VLOOKUP(B220,'Pre-Summary'!$AZ$6:$BE$65,6,FALSE),"")</f>
        <v/>
      </c>
      <c r="AL220" s="10" t="str">
        <f>IFERROR(VLOOKUP(B220,'Pre-Summary'!$BG$6:$BL$44,3,FALSE),"")</f>
        <v/>
      </c>
      <c r="AM220" s="10" t="str">
        <f>IFERROR(VLOOKUP(B220,'Pre-Summary'!$BG$6:$BL$44,4,FALSE),"")</f>
        <v/>
      </c>
    </row>
    <row r="221" spans="2:39" ht="15" customHeight="1" x14ac:dyDescent="0.3">
      <c r="B221">
        <v>21.8</v>
      </c>
      <c r="C221" t="str">
        <f>IFERROR(VLOOKUP(B221,'Pre-Summary'!$DI$6:$DM$23,4,FALSE),"")</f>
        <v/>
      </c>
      <c r="D221" s="10" t="str">
        <f>IFERROR(VLOOKUP(B221,'Pre-Summary'!$AT$6:$AX$14,5,FALSE),D220)</f>
        <v>DSMZ v1.5: Using DSMZ 120 with NaHCO3</v>
      </c>
      <c r="E221" s="10" t="str">
        <f>IFERROR(VLOOKUP(B221,'Pre-Summary'!$AT$6:$AX$15,4,FALSE),"")</f>
        <v/>
      </c>
      <c r="F221">
        <f>IFERROR(VLOOKUP(B221,'Pre-Summary'!$AL$6:$AQ$13,6,FALSE),F220)</f>
        <v>5.9405263157894746E-2</v>
      </c>
      <c r="G221" t="str">
        <f>IFERROR(VLOOKUP(B221,'Pre-Summary'!$AE$6:$AJ$85,3,FALSE),"")</f>
        <v/>
      </c>
      <c r="H221" t="str">
        <f>IFERROR(VLOOKUP(B221,'Pre-Summary'!$AE$6:$AJ$85,4,FALSE),"")</f>
        <v/>
      </c>
      <c r="I221" t="str">
        <f>IFERROR(VLOOKUP(B221,'Pre-Summary'!$AE$6:$AJ$85,5,FALSE),"")</f>
        <v/>
      </c>
      <c r="J221" s="45" t="str">
        <f>IFERROR(VLOOKUP(B221,'Pre-Summary'!$AE$6:$AJ$85,6, FALSE),"")</f>
        <v/>
      </c>
      <c r="K221" s="45" t="str">
        <f>IFERROR(VLOOKUP(B221,'Pre-Summary'!$DE$6:$DG$61,3,FALSE),"")</f>
        <v/>
      </c>
      <c r="L221" s="45" t="str">
        <f>IFERROR(VLOOKUP(B221,'Pre-Summary'!$CU$6:$CW$36,3,FALSE),"")</f>
        <v/>
      </c>
      <c r="M221" s="45" t="str">
        <f>IFERROR(VLOOKUP(B221,'Pre-Summary'!$BW$6:$BY$58,2,FALSE),"")</f>
        <v/>
      </c>
      <c r="N221" s="45" t="str">
        <f>IFERROR(VLOOKUP(B221,'Pre-Summary'!$CD$6:$CF$64,2,FALSE),"")</f>
        <v/>
      </c>
      <c r="O221" s="99">
        <f>IFERROR(VLOOKUP(B221,'Pre-Summary'!$BO$6:$BQ$48,3, FALSE),O220)</f>
        <v>0.54576240161083656</v>
      </c>
      <c r="P221" s="99">
        <f>IFERROR(VLOOKUP(B221,'Pre-Summary'!$BS$6:$BU$35,3,FALSE),P220)</f>
        <v>0.25</v>
      </c>
      <c r="Q221" s="54">
        <f t="shared" si="9"/>
        <v>2.1830496064433462</v>
      </c>
      <c r="R221" s="53">
        <f>IFERROR(VLOOKUP(B221,'Pre-Summary'!$BG$6:$BM$44,7,FALSE),R222)</f>
        <v>2.7904161219319636E-2</v>
      </c>
      <c r="S221" s="53">
        <f>IFERROR(VLOOKUP(B221,'Pre-Summary'!$BG$6:$BM$44,6,FALSE),S222)</f>
        <v>3.3978715219895171E-2</v>
      </c>
      <c r="T221" s="45" t="str">
        <f>IFERROR(VLOOKUP(B221,'Pre-Summary'!$Y$6:$AC$83, 3,FALSE),"")</f>
        <v/>
      </c>
      <c r="U221" s="45" t="str">
        <f>IFERROR(VLOOKUP(B221,'Pre-Summary'!$Y$6:$AC$83, 4,FALSE),"")</f>
        <v/>
      </c>
      <c r="V221" t="str">
        <f>IFERROR(VLOOKUP(B221,'Pre-Summary'!$Y$6:$AC$83, 5,FALSE),"")</f>
        <v/>
      </c>
      <c r="W221" s="45" t="str">
        <f>IFERROR(VLOOKUP(B221,'Pre-Summary'!$Y$6:$AD$83,6,FALSE),"")</f>
        <v/>
      </c>
      <c r="X221" t="str">
        <f>IFERROR(VLOOKUP('Pre-Summary'!$DB$6:$DD$63,3,FALSE),"")</f>
        <v/>
      </c>
      <c r="Y221" t="str">
        <f>IFERROR(VLOOKUP(B221,'Pre-Summary'!$CR$6:$CT$36,3,FALSE),"")</f>
        <v/>
      </c>
      <c r="Z221" s="45" t="str">
        <f>IFERROR(VLOOKUP(B221,'Pre-Summary'!$BZ$6:$CB$63,2,FALSE),"")</f>
        <v/>
      </c>
      <c r="AA221" s="45" t="str">
        <f>IFERROR(VLOOKUP(B221,'Pre-Summary'!$CG$6:$CI$70,2,FALSE),"")</f>
        <v/>
      </c>
      <c r="AB221" s="99">
        <f>IFERROR(VLOOKUP(B221,'Pre-Summary'!$A$6:$P$178,9,FALSE),AB222)</f>
        <v>0.95192327811817912</v>
      </c>
      <c r="AC221" s="10">
        <f>IFERROR(VLOOKUP(Summary!B221,'Pre-Summary'!$A$6:$P$184,5, FALSE)/100,AC222)</f>
        <v>0.88412199999999985</v>
      </c>
      <c r="AD221" s="10">
        <f>IFERROR(VLOOKUP(Summary!B221,'Pre-Summary'!$A$6:$P$184,3, FALSE)/100,AD222)</f>
        <v>0</v>
      </c>
      <c r="AE221" s="10">
        <f>IFERROR(VLOOKUP(Summary!B221,'Pre-Summary'!$A$6:$P$184,7, FALSE)/100,AE222)</f>
        <v>0.11587800000000001</v>
      </c>
      <c r="AF221" s="99">
        <f t="shared" si="10"/>
        <v>0</v>
      </c>
      <c r="AG221" s="99">
        <f t="shared" si="11"/>
        <v>0.11030696562177837</v>
      </c>
      <c r="AH221" s="10" t="str">
        <f>IFERROR(VLOOKUP(B221,'Pre-Summary'!$AZ$6:$BE$65,3,FALSE),"")</f>
        <v/>
      </c>
      <c r="AI221" s="10" t="str">
        <f>IFERROR(VLOOKUP(B221,'Pre-Summary'!$AZ$6:$BE$65,5,FALSE),"")</f>
        <v/>
      </c>
      <c r="AJ221" s="10" t="str">
        <f>IFERROR(VLOOKUP(B221,'Pre-Summary'!$AZ$6:$BE$65,4,FALSE),"")</f>
        <v/>
      </c>
      <c r="AK221" s="10" t="str">
        <f>IFERROR(VLOOKUP(B221,'Pre-Summary'!$AZ$6:$BE$65,6,FALSE),"")</f>
        <v/>
      </c>
      <c r="AL221" s="10" t="str">
        <f>IFERROR(VLOOKUP(B221,'Pre-Summary'!$BG$6:$BL$44,3,FALSE),"")</f>
        <v/>
      </c>
      <c r="AM221" s="10" t="str">
        <f>IFERROR(VLOOKUP(B221,'Pre-Summary'!$BG$6:$BL$44,4,FALSE),"")</f>
        <v/>
      </c>
    </row>
    <row r="222" spans="2:39" ht="15" customHeight="1" x14ac:dyDescent="0.3">
      <c r="B222">
        <v>21.9</v>
      </c>
      <c r="C222" t="str">
        <f>IFERROR(VLOOKUP(B222,'Pre-Summary'!$DI$6:$DM$23,4,FALSE),"")</f>
        <v/>
      </c>
      <c r="D222" s="10" t="str">
        <f>IFERROR(VLOOKUP(B222,'Pre-Summary'!$AT$6:$AX$14,5,FALSE),D221)</f>
        <v>DSMZ v1.5: Using DSMZ 120 with NaHCO3</v>
      </c>
      <c r="E222" s="10" t="str">
        <f>IFERROR(VLOOKUP(B222,'Pre-Summary'!$AT$6:$AX$15,4,FALSE),"")</f>
        <v/>
      </c>
      <c r="F222">
        <f>IFERROR(VLOOKUP(B222,'Pre-Summary'!$AL$6:$AQ$13,6,FALSE),F221)</f>
        <v>5.9405263157894746E-2</v>
      </c>
      <c r="G222" t="str">
        <f>IFERROR(VLOOKUP(B222,'Pre-Summary'!$AE$6:$AJ$85,3,FALSE),"")</f>
        <v/>
      </c>
      <c r="H222" t="str">
        <f>IFERROR(VLOOKUP(B222,'Pre-Summary'!$AE$6:$AJ$85,4,FALSE),"")</f>
        <v/>
      </c>
      <c r="I222" t="str">
        <f>IFERROR(VLOOKUP(B222,'Pre-Summary'!$AE$6:$AJ$85,5,FALSE),"")</f>
        <v/>
      </c>
      <c r="J222" s="45" t="str">
        <f>IFERROR(VLOOKUP(B222,'Pre-Summary'!$AE$6:$AJ$85,6, FALSE),"")</f>
        <v/>
      </c>
      <c r="K222" s="45" t="str">
        <f>IFERROR(VLOOKUP(B222,'Pre-Summary'!$DE$6:$DG$61,3,FALSE),"")</f>
        <v/>
      </c>
      <c r="L222" s="45" t="str">
        <f>IFERROR(VLOOKUP(B222,'Pre-Summary'!$CU$6:$CW$36,3,FALSE),"")</f>
        <v/>
      </c>
      <c r="M222" s="45" t="str">
        <f>IFERROR(VLOOKUP(B222,'Pre-Summary'!$BW$6:$BY$58,2,FALSE),"")</f>
        <v/>
      </c>
      <c r="N222" s="45" t="str">
        <f>IFERROR(VLOOKUP(B222,'Pre-Summary'!$CD$6:$CF$64,2,FALSE),"")</f>
        <v/>
      </c>
      <c r="O222" s="99">
        <f>IFERROR(VLOOKUP(B222,'Pre-Summary'!$BO$6:$BQ$48,3, FALSE),O221)</f>
        <v>0.54576240161083656</v>
      </c>
      <c r="P222" s="99">
        <f>IFERROR(VLOOKUP(B222,'Pre-Summary'!$BS$6:$BU$35,3,FALSE),P221)</f>
        <v>0.25</v>
      </c>
      <c r="Q222" s="54">
        <f t="shared" si="9"/>
        <v>2.1830496064433462</v>
      </c>
      <c r="R222" s="53">
        <f>IFERROR(VLOOKUP(B222,'Pre-Summary'!$BG$6:$BM$44,7,FALSE),R223)</f>
        <v>2.7904161219319636E-2</v>
      </c>
      <c r="S222" s="53">
        <f>IFERROR(VLOOKUP(B222,'Pre-Summary'!$BG$6:$BM$44,6,FALSE),S223)</f>
        <v>3.3978715219895171E-2</v>
      </c>
      <c r="T222" s="45" t="str">
        <f>IFERROR(VLOOKUP(B222,'Pre-Summary'!$Y$6:$AC$83, 3,FALSE),"")</f>
        <v/>
      </c>
      <c r="U222" s="45" t="str">
        <f>IFERROR(VLOOKUP(B222,'Pre-Summary'!$Y$6:$AC$83, 4,FALSE),"")</f>
        <v/>
      </c>
      <c r="V222" t="str">
        <f>IFERROR(VLOOKUP(B222,'Pre-Summary'!$Y$6:$AC$83, 5,FALSE),"")</f>
        <v/>
      </c>
      <c r="W222" s="45" t="str">
        <f>IFERROR(VLOOKUP(B222,'Pre-Summary'!$Y$6:$AD$83,6,FALSE),"")</f>
        <v/>
      </c>
      <c r="X222" t="str">
        <f>IFERROR(VLOOKUP('Pre-Summary'!$DB$6:$DD$63,3,FALSE),"")</f>
        <v/>
      </c>
      <c r="Y222" t="str">
        <f>IFERROR(VLOOKUP(B222,'Pre-Summary'!$CR$6:$CT$36,3,FALSE),"")</f>
        <v/>
      </c>
      <c r="Z222" s="45" t="str">
        <f>IFERROR(VLOOKUP(B222,'Pre-Summary'!$BZ$6:$CB$63,2,FALSE),"")</f>
        <v/>
      </c>
      <c r="AA222" s="45" t="str">
        <f>IFERROR(VLOOKUP(B222,'Pre-Summary'!$CG$6:$CI$70,2,FALSE),"")</f>
        <v/>
      </c>
      <c r="AB222" s="99">
        <f>IFERROR(VLOOKUP(B222,'Pre-Summary'!$A$6:$P$178,9,FALSE),AB223)</f>
        <v>0.95192327811817912</v>
      </c>
      <c r="AC222" s="10">
        <f>IFERROR(VLOOKUP(Summary!B222,'Pre-Summary'!$A$6:$P$184,5, FALSE)/100,AC223)</f>
        <v>0.88412199999999985</v>
      </c>
      <c r="AD222" s="10">
        <f>IFERROR(VLOOKUP(Summary!B222,'Pre-Summary'!$A$6:$P$184,3, FALSE)/100,AD223)</f>
        <v>0</v>
      </c>
      <c r="AE222" s="10">
        <f>IFERROR(VLOOKUP(Summary!B222,'Pre-Summary'!$A$6:$P$184,7, FALSE)/100,AE223)</f>
        <v>0.11587800000000001</v>
      </c>
      <c r="AF222" s="99">
        <f t="shared" si="10"/>
        <v>0</v>
      </c>
      <c r="AG222" s="99">
        <f t="shared" si="11"/>
        <v>0.11030696562177837</v>
      </c>
      <c r="AH222" s="10" t="str">
        <f>IFERROR(VLOOKUP(B222,'Pre-Summary'!$AZ$6:$BE$65,3,FALSE),"")</f>
        <v/>
      </c>
      <c r="AI222" s="10" t="str">
        <f>IFERROR(VLOOKUP(B222,'Pre-Summary'!$AZ$6:$BE$65,5,FALSE),"")</f>
        <v/>
      </c>
      <c r="AJ222" s="10" t="str">
        <f>IFERROR(VLOOKUP(B222,'Pre-Summary'!$AZ$6:$BE$65,4,FALSE),"")</f>
        <v/>
      </c>
      <c r="AK222" s="10" t="str">
        <f>IFERROR(VLOOKUP(B222,'Pre-Summary'!$AZ$6:$BE$65,6,FALSE),"")</f>
        <v/>
      </c>
      <c r="AL222" s="10" t="str">
        <f>IFERROR(VLOOKUP(B222,'Pre-Summary'!$BG$6:$BL$44,3,FALSE),"")</f>
        <v/>
      </c>
      <c r="AM222" s="10" t="str">
        <f>IFERROR(VLOOKUP(B222,'Pre-Summary'!$BG$6:$BL$44,4,FALSE),"")</f>
        <v/>
      </c>
    </row>
    <row r="223" spans="2:39" ht="15" customHeight="1" x14ac:dyDescent="0.3">
      <c r="B223">
        <v>22</v>
      </c>
      <c r="C223" t="str">
        <f>IFERROR(VLOOKUP(B223,'Pre-Summary'!$DI$6:$DM$23,4,FALSE),"")</f>
        <v/>
      </c>
      <c r="D223" s="10" t="str">
        <f>IFERROR(VLOOKUP(B223,'Pre-Summary'!$AT$6:$AX$14,5,FALSE),D222)</f>
        <v>DSMZ v1.5: Using DSMZ 120 with NaHCO3</v>
      </c>
      <c r="E223" s="10" t="str">
        <f>IFERROR(VLOOKUP(B223,'Pre-Summary'!$AT$6:$AX$15,4,FALSE),"")</f>
        <v/>
      </c>
      <c r="F223">
        <f>IFERROR(VLOOKUP(B223,'Pre-Summary'!$AL$6:$AQ$13,6,FALSE),F222)</f>
        <v>5.9405263157894746E-2</v>
      </c>
      <c r="G223" t="str">
        <f>IFERROR(VLOOKUP(B223,'Pre-Summary'!$AE$6:$AJ$85,3,FALSE),"")</f>
        <v/>
      </c>
      <c r="H223" t="str">
        <f>IFERROR(VLOOKUP(B223,'Pre-Summary'!$AE$6:$AJ$85,4,FALSE),"")</f>
        <v/>
      </c>
      <c r="I223" t="str">
        <f>IFERROR(VLOOKUP(B223,'Pre-Summary'!$AE$6:$AJ$85,5,FALSE),"")</f>
        <v/>
      </c>
      <c r="J223" s="45" t="str">
        <f>IFERROR(VLOOKUP(B223,'Pre-Summary'!$AE$6:$AJ$85,6, FALSE),"")</f>
        <v/>
      </c>
      <c r="K223" s="45" t="str">
        <f>IFERROR(VLOOKUP(B223,'Pre-Summary'!$DE$6:$DG$61,3,FALSE),"")</f>
        <v/>
      </c>
      <c r="L223" s="45" t="str">
        <f>IFERROR(VLOOKUP(B223,'Pre-Summary'!$CU$6:$CW$36,3,FALSE),"")</f>
        <v/>
      </c>
      <c r="M223" s="45" t="str">
        <f>IFERROR(VLOOKUP(B223,'Pre-Summary'!$BW$6:$BY$58,2,FALSE),"")</f>
        <v/>
      </c>
      <c r="N223" s="45" t="str">
        <f>IFERROR(VLOOKUP(B223,'Pre-Summary'!$CD$6:$CF$64,2,FALSE),"")</f>
        <v/>
      </c>
      <c r="O223" s="99">
        <f>IFERROR(VLOOKUP(B223,'Pre-Summary'!$BO$6:$BQ$48,3, FALSE),O222)</f>
        <v>0.54576240161083656</v>
      </c>
      <c r="P223" s="99">
        <f>IFERROR(VLOOKUP(B223,'Pre-Summary'!$BS$6:$BU$35,3,FALSE),P222)</f>
        <v>0.25</v>
      </c>
      <c r="Q223" s="54">
        <f t="shared" si="9"/>
        <v>2.1830496064433462</v>
      </c>
      <c r="R223" s="53">
        <f>IFERROR(VLOOKUP(B223,'Pre-Summary'!$BG$6:$BM$44,7,FALSE),R224)</f>
        <v>2.7904161219319636E-2</v>
      </c>
      <c r="S223" s="53">
        <f>IFERROR(VLOOKUP(B223,'Pre-Summary'!$BG$6:$BM$44,6,FALSE),S224)</f>
        <v>3.3978715219895171E-2</v>
      </c>
      <c r="T223" s="45" t="str">
        <f>IFERROR(VLOOKUP(B223,'Pre-Summary'!$Y$6:$AC$83, 3,FALSE),"")</f>
        <v/>
      </c>
      <c r="U223" s="45" t="str">
        <f>IFERROR(VLOOKUP(B223,'Pre-Summary'!$Y$6:$AC$83, 4,FALSE),"")</f>
        <v/>
      </c>
      <c r="V223" t="str">
        <f>IFERROR(VLOOKUP(B223,'Pre-Summary'!$Y$6:$AC$83, 5,FALSE),"")</f>
        <v/>
      </c>
      <c r="W223" s="45" t="str">
        <f>IFERROR(VLOOKUP(B223,'Pre-Summary'!$Y$6:$AD$83,6,FALSE),"")</f>
        <v/>
      </c>
      <c r="X223" t="str">
        <f>IFERROR(VLOOKUP('Pre-Summary'!$DB$6:$DD$63,3,FALSE),"")</f>
        <v/>
      </c>
      <c r="Y223" t="str">
        <f>IFERROR(VLOOKUP(B223,'Pre-Summary'!$CR$6:$CT$36,3,FALSE),"")</f>
        <v/>
      </c>
      <c r="Z223" s="45" t="str">
        <f>IFERROR(VLOOKUP(B223,'Pre-Summary'!$BZ$6:$CB$63,2,FALSE),"")</f>
        <v/>
      </c>
      <c r="AA223" s="45" t="str">
        <f>IFERROR(VLOOKUP(B223,'Pre-Summary'!$CG$6:$CI$70,2,FALSE),"")</f>
        <v/>
      </c>
      <c r="AB223" s="99">
        <f>IFERROR(VLOOKUP(B223,'Pre-Summary'!$A$6:$P$178,9,FALSE),AB224)</f>
        <v>0.95192327811817912</v>
      </c>
      <c r="AC223" s="10">
        <f>IFERROR(VLOOKUP(Summary!B223,'Pre-Summary'!$A$6:$P$184,5, FALSE)/100,AC224)</f>
        <v>0.88412199999999985</v>
      </c>
      <c r="AD223" s="10">
        <f>IFERROR(VLOOKUP(Summary!B223,'Pre-Summary'!$A$6:$P$184,3, FALSE)/100,AD224)</f>
        <v>0</v>
      </c>
      <c r="AE223" s="10">
        <f>IFERROR(VLOOKUP(Summary!B223,'Pre-Summary'!$A$6:$P$184,7, FALSE)/100,AE224)</f>
        <v>0.11587800000000001</v>
      </c>
      <c r="AF223" s="99">
        <f t="shared" si="10"/>
        <v>0</v>
      </c>
      <c r="AG223" s="99">
        <f t="shared" si="11"/>
        <v>0.11030696562177837</v>
      </c>
      <c r="AH223" s="10" t="str">
        <f>IFERROR(VLOOKUP(B223,'Pre-Summary'!$AZ$6:$BE$65,3,FALSE),"")</f>
        <v/>
      </c>
      <c r="AI223" s="10" t="str">
        <f>IFERROR(VLOOKUP(B223,'Pre-Summary'!$AZ$6:$BE$65,5,FALSE),"")</f>
        <v/>
      </c>
      <c r="AJ223" s="10" t="str">
        <f>IFERROR(VLOOKUP(B223,'Pre-Summary'!$AZ$6:$BE$65,4,FALSE),"")</f>
        <v/>
      </c>
      <c r="AK223" s="10" t="str">
        <f>IFERROR(VLOOKUP(B223,'Pre-Summary'!$AZ$6:$BE$65,6,FALSE),"")</f>
        <v/>
      </c>
      <c r="AL223" s="10" t="str">
        <f>IFERROR(VLOOKUP(B223,'Pre-Summary'!$BG$6:$BL$44,3,FALSE),"")</f>
        <v/>
      </c>
      <c r="AM223" s="10" t="str">
        <f>IFERROR(VLOOKUP(B223,'Pre-Summary'!$BG$6:$BL$44,4,FALSE),"")</f>
        <v/>
      </c>
    </row>
    <row r="224" spans="2:39" ht="15" customHeight="1" x14ac:dyDescent="0.3">
      <c r="B224">
        <v>22.1</v>
      </c>
      <c r="C224" t="str">
        <f>IFERROR(VLOOKUP(B224,'Pre-Summary'!$DI$6:$DM$23,4,FALSE),"")</f>
        <v/>
      </c>
      <c r="D224" s="10" t="str">
        <f>IFERROR(VLOOKUP(B224,'Pre-Summary'!$AT$6:$AX$14,5,FALSE),D223)</f>
        <v>DSMZ v1.5: Using DSMZ 120 with NaHCO3</v>
      </c>
      <c r="E224" s="10" t="str">
        <f>IFERROR(VLOOKUP(B224,'Pre-Summary'!$AT$6:$AX$15,4,FALSE),"")</f>
        <v/>
      </c>
      <c r="F224">
        <f>IFERROR(VLOOKUP(B224,'Pre-Summary'!$AL$6:$AQ$13,6,FALSE),F223)</f>
        <v>0</v>
      </c>
      <c r="G224" t="str">
        <f>IFERROR(VLOOKUP(B224,'Pre-Summary'!$AE$6:$AJ$85,3,FALSE),"")</f>
        <v/>
      </c>
      <c r="H224" t="str">
        <f>IFERROR(VLOOKUP(B224,'Pre-Summary'!$AE$6:$AJ$85,4,FALSE),"")</f>
        <v/>
      </c>
      <c r="I224" t="str">
        <f>IFERROR(VLOOKUP(B224,'Pre-Summary'!$AE$6:$AJ$85,5,FALSE),"")</f>
        <v/>
      </c>
      <c r="J224" s="45" t="str">
        <f>IFERROR(VLOOKUP(B224,'Pre-Summary'!$AE$6:$AJ$85,6, FALSE),"")</f>
        <v/>
      </c>
      <c r="K224" s="45" t="str">
        <f>IFERROR(VLOOKUP(B224,'Pre-Summary'!$DE$6:$DG$61,3,FALSE),"")</f>
        <v/>
      </c>
      <c r="L224" s="45" t="str">
        <f>IFERROR(VLOOKUP(B224,'Pre-Summary'!$CU$6:$CW$36,3,FALSE),"")</f>
        <v/>
      </c>
      <c r="M224" s="45" t="str">
        <f>IFERROR(VLOOKUP(B224,'Pre-Summary'!$BW$6:$BY$58,2,FALSE),"")</f>
        <v/>
      </c>
      <c r="N224" s="45" t="str">
        <f>IFERROR(VLOOKUP(B224,'Pre-Summary'!$CD$6:$CF$64,2,FALSE),"")</f>
        <v/>
      </c>
      <c r="O224" s="99">
        <f>IFERROR(VLOOKUP(B224,'Pre-Summary'!$BO$6:$BQ$48,3, FALSE),O223)</f>
        <v>0.54576240161083656</v>
      </c>
      <c r="P224" s="99">
        <f>IFERROR(VLOOKUP(B224,'Pre-Summary'!$BS$6:$BU$35,3,FALSE),P223)</f>
        <v>0.25</v>
      </c>
      <c r="Q224" s="54">
        <f t="shared" si="9"/>
        <v>2.1830496064433462</v>
      </c>
      <c r="R224" s="53">
        <f>IFERROR(VLOOKUP(B224,'Pre-Summary'!$BG$6:$BM$44,7,FALSE),R225)</f>
        <v>2.7904161219319636E-2</v>
      </c>
      <c r="S224" s="53">
        <f>IFERROR(VLOOKUP(B224,'Pre-Summary'!$BG$6:$BM$44,6,FALSE),S225)</f>
        <v>3.3978715219895171E-2</v>
      </c>
      <c r="T224" s="45" t="str">
        <f>IFERROR(VLOOKUP(B224,'Pre-Summary'!$Y$6:$AC$83, 3,FALSE),"")</f>
        <v/>
      </c>
      <c r="U224" s="45" t="str">
        <f>IFERROR(VLOOKUP(B224,'Pre-Summary'!$Y$6:$AC$83, 4,FALSE),"")</f>
        <v/>
      </c>
      <c r="V224" t="str">
        <f>IFERROR(VLOOKUP(B224,'Pre-Summary'!$Y$6:$AC$83, 5,FALSE),"")</f>
        <v/>
      </c>
      <c r="W224" s="45" t="str">
        <f>IFERROR(VLOOKUP(B224,'Pre-Summary'!$Y$6:$AD$83,6,FALSE),"")</f>
        <v/>
      </c>
      <c r="X224" t="str">
        <f>IFERROR(VLOOKUP('Pre-Summary'!$DB$6:$DD$63,3,FALSE),"")</f>
        <v/>
      </c>
      <c r="Y224" t="str">
        <f>IFERROR(VLOOKUP(B224,'Pre-Summary'!$CR$6:$CT$36,3,FALSE),"")</f>
        <v/>
      </c>
      <c r="Z224" s="45" t="str">
        <f>IFERROR(VLOOKUP(B224,'Pre-Summary'!$BZ$6:$CB$63,2,FALSE),"")</f>
        <v/>
      </c>
      <c r="AA224" s="45" t="str">
        <f>IFERROR(VLOOKUP(B224,'Pre-Summary'!$CG$6:$CI$70,2,FALSE),"")</f>
        <v/>
      </c>
      <c r="AB224" s="99">
        <f>IFERROR(VLOOKUP(B224,'Pre-Summary'!$A$6:$P$178,9,FALSE),AB225)</f>
        <v>0.95192327811817912</v>
      </c>
      <c r="AC224" s="10">
        <f>IFERROR(VLOOKUP(Summary!B224,'Pre-Summary'!$A$6:$P$184,5, FALSE)/100,AC225)</f>
        <v>0.88412199999999985</v>
      </c>
      <c r="AD224" s="10">
        <f>IFERROR(VLOOKUP(Summary!B224,'Pre-Summary'!$A$6:$P$184,3, FALSE)/100,AD225)</f>
        <v>0</v>
      </c>
      <c r="AE224" s="10">
        <f>IFERROR(VLOOKUP(Summary!B224,'Pre-Summary'!$A$6:$P$184,7, FALSE)/100,AE225)</f>
        <v>0.11587800000000001</v>
      </c>
      <c r="AF224" s="99">
        <f t="shared" si="10"/>
        <v>0</v>
      </c>
      <c r="AG224" s="99">
        <f t="shared" si="11"/>
        <v>0.11030696562177837</v>
      </c>
      <c r="AH224" s="10" t="str">
        <f>IFERROR(VLOOKUP(B224,'Pre-Summary'!$AZ$6:$BE$65,3,FALSE),"")</f>
        <v/>
      </c>
      <c r="AI224" s="10" t="str">
        <f>IFERROR(VLOOKUP(B224,'Pre-Summary'!$AZ$6:$BE$65,5,FALSE),"")</f>
        <v/>
      </c>
      <c r="AJ224" s="10" t="str">
        <f>IFERROR(VLOOKUP(B224,'Pre-Summary'!$AZ$6:$BE$65,4,FALSE),"")</f>
        <v/>
      </c>
      <c r="AK224" s="10" t="str">
        <f>IFERROR(VLOOKUP(B224,'Pre-Summary'!$AZ$6:$BE$65,6,FALSE),"")</f>
        <v/>
      </c>
      <c r="AL224" s="10" t="str">
        <f>IFERROR(VLOOKUP(B224,'Pre-Summary'!$BG$6:$BL$44,3,FALSE),"")</f>
        <v/>
      </c>
      <c r="AM224" s="10" t="str">
        <f>IFERROR(VLOOKUP(B224,'Pre-Summary'!$BG$6:$BL$44,4,FALSE),"")</f>
        <v/>
      </c>
    </row>
    <row r="225" spans="2:39" ht="15" customHeight="1" x14ac:dyDescent="0.3">
      <c r="B225">
        <v>22.2</v>
      </c>
      <c r="C225" t="str">
        <f>IFERROR(VLOOKUP(B225,'Pre-Summary'!$DI$6:$DM$23,4,FALSE),"")</f>
        <v/>
      </c>
      <c r="D225" s="10" t="str">
        <f>IFERROR(VLOOKUP(B225,'Pre-Summary'!$AT$6:$AX$14,5,FALSE),D224)</f>
        <v>DSMZ v1.5: Using DSMZ 120 with NaHCO3</v>
      </c>
      <c r="E225" s="10" t="str">
        <f>IFERROR(VLOOKUP(B225,'Pre-Summary'!$AT$6:$AX$15,4,FALSE),"")</f>
        <v/>
      </c>
      <c r="F225">
        <f>IFERROR(VLOOKUP(B225,'Pre-Summary'!$AL$6:$AQ$13,6,FALSE),F224)</f>
        <v>0</v>
      </c>
      <c r="G225" t="str">
        <f>IFERROR(VLOOKUP(B225,'Pre-Summary'!$AE$6:$AJ$85,3,FALSE),"")</f>
        <v/>
      </c>
      <c r="H225" t="str">
        <f>IFERROR(VLOOKUP(B225,'Pre-Summary'!$AE$6:$AJ$85,4,FALSE),"")</f>
        <v/>
      </c>
      <c r="I225" t="str">
        <f>IFERROR(VLOOKUP(B225,'Pre-Summary'!$AE$6:$AJ$85,5,FALSE),"")</f>
        <v/>
      </c>
      <c r="J225" s="45" t="str">
        <f>IFERROR(VLOOKUP(B225,'Pre-Summary'!$AE$6:$AJ$85,6, FALSE),"")</f>
        <v/>
      </c>
      <c r="K225" s="45" t="str">
        <f>IFERROR(VLOOKUP(B225,'Pre-Summary'!$DE$6:$DG$61,3,FALSE),"")</f>
        <v/>
      </c>
      <c r="L225" s="45" t="str">
        <f>IFERROR(VLOOKUP(B225,'Pre-Summary'!$CU$6:$CW$36,3,FALSE),"")</f>
        <v/>
      </c>
      <c r="M225" s="45" t="str">
        <f>IFERROR(VLOOKUP(B225,'Pre-Summary'!$BW$6:$BY$58,2,FALSE),"")</f>
        <v/>
      </c>
      <c r="N225" s="45" t="str">
        <f>IFERROR(VLOOKUP(B225,'Pre-Summary'!$CD$6:$CF$64,2,FALSE),"")</f>
        <v/>
      </c>
      <c r="O225" s="99">
        <f>IFERROR(VLOOKUP(B225,'Pre-Summary'!$BO$6:$BQ$48,3, FALSE),O224)</f>
        <v>0.54576240161083656</v>
      </c>
      <c r="P225" s="99">
        <f>IFERROR(VLOOKUP(B225,'Pre-Summary'!$BS$6:$BU$35,3,FALSE),P224)</f>
        <v>0.25</v>
      </c>
      <c r="Q225" s="54">
        <f t="shared" si="9"/>
        <v>2.1830496064433462</v>
      </c>
      <c r="R225" s="53">
        <f>IFERROR(VLOOKUP(B225,'Pre-Summary'!$BG$6:$BM$44,7,FALSE),R226)</f>
        <v>2.7904161219319636E-2</v>
      </c>
      <c r="S225" s="53">
        <f>IFERROR(VLOOKUP(B225,'Pre-Summary'!$BG$6:$BM$44,6,FALSE),S226)</f>
        <v>3.3978715219895171E-2</v>
      </c>
      <c r="T225" s="45" t="str">
        <f>IFERROR(VLOOKUP(B225,'Pre-Summary'!$Y$6:$AC$83, 3,FALSE),"")</f>
        <v/>
      </c>
      <c r="U225" s="45" t="str">
        <f>IFERROR(VLOOKUP(B225,'Pre-Summary'!$Y$6:$AC$83, 4,FALSE),"")</f>
        <v/>
      </c>
      <c r="V225" t="str">
        <f>IFERROR(VLOOKUP(B225,'Pre-Summary'!$Y$6:$AC$83, 5,FALSE),"")</f>
        <v/>
      </c>
      <c r="W225" s="45" t="str">
        <f>IFERROR(VLOOKUP(B225,'Pre-Summary'!$Y$6:$AD$83,6,FALSE),"")</f>
        <v/>
      </c>
      <c r="X225" t="str">
        <f>IFERROR(VLOOKUP('Pre-Summary'!$DB$6:$DD$63,3,FALSE),"")</f>
        <v/>
      </c>
      <c r="Y225" t="str">
        <f>IFERROR(VLOOKUP(B225,'Pre-Summary'!$CR$6:$CT$36,3,FALSE),"")</f>
        <v/>
      </c>
      <c r="Z225" s="45" t="str">
        <f>IFERROR(VLOOKUP(B225,'Pre-Summary'!$BZ$6:$CB$63,2,FALSE),"")</f>
        <v/>
      </c>
      <c r="AA225" s="45" t="str">
        <f>IFERROR(VLOOKUP(B225,'Pre-Summary'!$CG$6:$CI$70,2,FALSE),"")</f>
        <v/>
      </c>
      <c r="AB225" s="99">
        <f>IFERROR(VLOOKUP(B225,'Pre-Summary'!$A$6:$P$178,9,FALSE),AB226)</f>
        <v>0.95192327811817912</v>
      </c>
      <c r="AC225" s="10">
        <f>IFERROR(VLOOKUP(Summary!B225,'Pre-Summary'!$A$6:$P$184,5, FALSE)/100,AC226)</f>
        <v>0.88412199999999985</v>
      </c>
      <c r="AD225" s="10">
        <f>IFERROR(VLOOKUP(Summary!B225,'Pre-Summary'!$A$6:$P$184,3, FALSE)/100,AD226)</f>
        <v>0</v>
      </c>
      <c r="AE225" s="10">
        <f>IFERROR(VLOOKUP(Summary!B225,'Pre-Summary'!$A$6:$P$184,7, FALSE)/100,AE226)</f>
        <v>0.11587800000000001</v>
      </c>
      <c r="AF225" s="99">
        <f t="shared" si="10"/>
        <v>0</v>
      </c>
      <c r="AG225" s="99">
        <f t="shared" si="11"/>
        <v>0.11030696562177837</v>
      </c>
      <c r="AH225" s="10" t="str">
        <f>IFERROR(VLOOKUP(B225,'Pre-Summary'!$AZ$6:$BE$65,3,FALSE),"")</f>
        <v/>
      </c>
      <c r="AI225" s="10" t="str">
        <f>IFERROR(VLOOKUP(B225,'Pre-Summary'!$AZ$6:$BE$65,5,FALSE),"")</f>
        <v/>
      </c>
      <c r="AJ225" s="10" t="str">
        <f>IFERROR(VLOOKUP(B225,'Pre-Summary'!$AZ$6:$BE$65,4,FALSE),"")</f>
        <v/>
      </c>
      <c r="AK225" s="10" t="str">
        <f>IFERROR(VLOOKUP(B225,'Pre-Summary'!$AZ$6:$BE$65,6,FALSE),"")</f>
        <v/>
      </c>
      <c r="AL225" s="10" t="str">
        <f>IFERROR(VLOOKUP(B225,'Pre-Summary'!$BG$6:$BL$44,3,FALSE),"")</f>
        <v/>
      </c>
      <c r="AM225" s="10" t="str">
        <f>IFERROR(VLOOKUP(B225,'Pre-Summary'!$BG$6:$BL$44,4,FALSE),"")</f>
        <v/>
      </c>
    </row>
    <row r="226" spans="2:39" ht="15" customHeight="1" x14ac:dyDescent="0.3">
      <c r="B226">
        <v>22.3</v>
      </c>
      <c r="C226" t="str">
        <f>IFERROR(VLOOKUP(B226,'Pre-Summary'!$DI$6:$DM$23,4,FALSE),"")</f>
        <v/>
      </c>
      <c r="D226" s="10" t="str">
        <f>IFERROR(VLOOKUP(B226,'Pre-Summary'!$AT$6:$AX$14,5,FALSE),D225)</f>
        <v>DSMZ v1.5: Using DSMZ 120 with NaHCO3</v>
      </c>
      <c r="E226" s="10" t="str">
        <f>IFERROR(VLOOKUP(B226,'Pre-Summary'!$AT$6:$AX$15,4,FALSE),"")</f>
        <v/>
      </c>
      <c r="F226">
        <f>IFERROR(VLOOKUP(B226,'Pre-Summary'!$AL$6:$AQ$13,6,FALSE),F225)</f>
        <v>0</v>
      </c>
      <c r="G226" t="str">
        <f>IFERROR(VLOOKUP(B226,'Pre-Summary'!$AE$6:$AJ$85,3,FALSE),"")</f>
        <v/>
      </c>
      <c r="H226" t="str">
        <f>IFERROR(VLOOKUP(B226,'Pre-Summary'!$AE$6:$AJ$85,4,FALSE),"")</f>
        <v/>
      </c>
      <c r="I226" t="str">
        <f>IFERROR(VLOOKUP(B226,'Pre-Summary'!$AE$6:$AJ$85,5,FALSE),"")</f>
        <v/>
      </c>
      <c r="J226" s="45" t="str">
        <f>IFERROR(VLOOKUP(B226,'Pre-Summary'!$AE$6:$AJ$85,6, FALSE),"")</f>
        <v/>
      </c>
      <c r="K226" s="45" t="str">
        <f>IFERROR(VLOOKUP(B226,'Pre-Summary'!$DE$6:$DG$61,3,FALSE),"")</f>
        <v/>
      </c>
      <c r="L226" s="45" t="str">
        <f>IFERROR(VLOOKUP(B226,'Pre-Summary'!$CU$6:$CW$36,3,FALSE),"")</f>
        <v/>
      </c>
      <c r="M226" s="45" t="str">
        <f>IFERROR(VLOOKUP(B226,'Pre-Summary'!$BW$6:$BY$58,2,FALSE),"")</f>
        <v/>
      </c>
      <c r="N226" s="45" t="str">
        <f>IFERROR(VLOOKUP(B226,'Pre-Summary'!$CD$6:$CF$64,2,FALSE),"")</f>
        <v/>
      </c>
      <c r="O226" s="99">
        <f>IFERROR(VLOOKUP(B226,'Pre-Summary'!$BO$6:$BQ$48,3, FALSE),O225)</f>
        <v>0.54576240161083656</v>
      </c>
      <c r="P226" s="99">
        <f>IFERROR(VLOOKUP(B226,'Pre-Summary'!$BS$6:$BU$35,3,FALSE),P225)</f>
        <v>0.25</v>
      </c>
      <c r="Q226" s="54">
        <f t="shared" si="9"/>
        <v>2.1830496064433462</v>
      </c>
      <c r="R226" s="53">
        <f>IFERROR(VLOOKUP(B226,'Pre-Summary'!$BG$6:$BM$44,7,FALSE),R227)</f>
        <v>2.7904161219319636E-2</v>
      </c>
      <c r="S226" s="53">
        <f>IFERROR(VLOOKUP(B226,'Pre-Summary'!$BG$6:$BM$44,6,FALSE),S227)</f>
        <v>3.3978715219895171E-2</v>
      </c>
      <c r="T226" s="45" t="str">
        <f>IFERROR(VLOOKUP(B226,'Pre-Summary'!$Y$6:$AC$83, 3,FALSE),"")</f>
        <v/>
      </c>
      <c r="U226" s="45" t="str">
        <f>IFERROR(VLOOKUP(B226,'Pre-Summary'!$Y$6:$AC$83, 4,FALSE),"")</f>
        <v/>
      </c>
      <c r="V226" t="str">
        <f>IFERROR(VLOOKUP(B226,'Pre-Summary'!$Y$6:$AC$83, 5,FALSE),"")</f>
        <v/>
      </c>
      <c r="W226" s="45" t="str">
        <f>IFERROR(VLOOKUP(B226,'Pre-Summary'!$Y$6:$AD$83,6,FALSE),"")</f>
        <v/>
      </c>
      <c r="X226" t="str">
        <f>IFERROR(VLOOKUP('Pre-Summary'!$DB$6:$DD$63,3,FALSE),"")</f>
        <v/>
      </c>
      <c r="Y226" t="str">
        <f>IFERROR(VLOOKUP(B226,'Pre-Summary'!$CR$6:$CT$36,3,FALSE),"")</f>
        <v/>
      </c>
      <c r="Z226" s="45" t="str">
        <f>IFERROR(VLOOKUP(B226,'Pre-Summary'!$BZ$6:$CB$63,2,FALSE),"")</f>
        <v/>
      </c>
      <c r="AA226" s="45" t="str">
        <f>IFERROR(VLOOKUP(B226,'Pre-Summary'!$CG$6:$CI$70,2,FALSE),"")</f>
        <v/>
      </c>
      <c r="AB226" s="99">
        <f>IFERROR(VLOOKUP(B226,'Pre-Summary'!$A$6:$P$178,9,FALSE),AB227)</f>
        <v>0.95192327811817912</v>
      </c>
      <c r="AC226" s="10">
        <f>IFERROR(VLOOKUP(Summary!B226,'Pre-Summary'!$A$6:$P$184,5, FALSE)/100,AC227)</f>
        <v>0.88412199999999985</v>
      </c>
      <c r="AD226" s="10">
        <f>IFERROR(VLOOKUP(Summary!B226,'Pre-Summary'!$A$6:$P$184,3, FALSE)/100,AD227)</f>
        <v>0</v>
      </c>
      <c r="AE226" s="10">
        <f>IFERROR(VLOOKUP(Summary!B226,'Pre-Summary'!$A$6:$P$184,7, FALSE)/100,AE227)</f>
        <v>0.11587800000000001</v>
      </c>
      <c r="AF226" s="99">
        <f t="shared" si="10"/>
        <v>0</v>
      </c>
      <c r="AG226" s="99">
        <f t="shared" si="11"/>
        <v>0.11030696562177837</v>
      </c>
      <c r="AH226" s="10" t="str">
        <f>IFERROR(VLOOKUP(B226,'Pre-Summary'!$AZ$6:$BE$65,3,FALSE),"")</f>
        <v/>
      </c>
      <c r="AI226" s="10" t="str">
        <f>IFERROR(VLOOKUP(B226,'Pre-Summary'!$AZ$6:$BE$65,5,FALSE),"")</f>
        <v/>
      </c>
      <c r="AJ226" s="10" t="str">
        <f>IFERROR(VLOOKUP(B226,'Pre-Summary'!$AZ$6:$BE$65,4,FALSE),"")</f>
        <v/>
      </c>
      <c r="AK226" s="10" t="str">
        <f>IFERROR(VLOOKUP(B226,'Pre-Summary'!$AZ$6:$BE$65,6,FALSE),"")</f>
        <v/>
      </c>
      <c r="AL226" s="10" t="str">
        <f>IFERROR(VLOOKUP(B226,'Pre-Summary'!$BG$6:$BL$44,3,FALSE),"")</f>
        <v/>
      </c>
      <c r="AM226" s="10" t="str">
        <f>IFERROR(VLOOKUP(B226,'Pre-Summary'!$BG$6:$BL$44,4,FALSE),"")</f>
        <v/>
      </c>
    </row>
    <row r="227" spans="2:39" ht="15" customHeight="1" x14ac:dyDescent="0.3">
      <c r="B227">
        <v>22.4</v>
      </c>
      <c r="C227" t="str">
        <f>IFERROR(VLOOKUP(B227,'Pre-Summary'!$DI$6:$DM$23,4,FALSE),"")</f>
        <v/>
      </c>
      <c r="D227" s="10" t="str">
        <f>IFERROR(VLOOKUP(B227,'Pre-Summary'!$AT$6:$AX$14,5,FALSE),D226)</f>
        <v>DSMZ v1.5: Using DSMZ 120 with NaHCO3</v>
      </c>
      <c r="E227" s="10" t="str">
        <f>IFERROR(VLOOKUP(B227,'Pre-Summary'!$AT$6:$AX$15,4,FALSE),"")</f>
        <v/>
      </c>
      <c r="F227">
        <f>IFERROR(VLOOKUP(B227,'Pre-Summary'!$AL$6:$AQ$13,6,FALSE),F226)</f>
        <v>0</v>
      </c>
      <c r="G227" t="str">
        <f>IFERROR(VLOOKUP(B227,'Pre-Summary'!$AE$6:$AJ$85,3,FALSE),"")</f>
        <v/>
      </c>
      <c r="H227" t="str">
        <f>IFERROR(VLOOKUP(B227,'Pre-Summary'!$AE$6:$AJ$85,4,FALSE),"")</f>
        <v/>
      </c>
      <c r="I227" t="str">
        <f>IFERROR(VLOOKUP(B227,'Pre-Summary'!$AE$6:$AJ$85,5,FALSE),"")</f>
        <v/>
      </c>
      <c r="J227" s="45" t="str">
        <f>IFERROR(VLOOKUP(B227,'Pre-Summary'!$AE$6:$AJ$85,6, FALSE),"")</f>
        <v/>
      </c>
      <c r="K227" s="45" t="str">
        <f>IFERROR(VLOOKUP(B227,'Pre-Summary'!$DE$6:$DG$61,3,FALSE),"")</f>
        <v/>
      </c>
      <c r="L227" s="45" t="str">
        <f>IFERROR(VLOOKUP(B227,'Pre-Summary'!$CU$6:$CW$36,3,FALSE),"")</f>
        <v/>
      </c>
      <c r="M227" s="45" t="str">
        <f>IFERROR(VLOOKUP(B227,'Pre-Summary'!$BW$6:$BY$58,2,FALSE),"")</f>
        <v/>
      </c>
      <c r="N227" s="45" t="str">
        <f>IFERROR(VLOOKUP(B227,'Pre-Summary'!$CD$6:$CF$64,2,FALSE),"")</f>
        <v/>
      </c>
      <c r="O227" s="99">
        <f>IFERROR(VLOOKUP(B227,'Pre-Summary'!$BO$6:$BQ$48,3, FALSE),O226)</f>
        <v>0.54576240161083656</v>
      </c>
      <c r="P227" s="99">
        <f>IFERROR(VLOOKUP(B227,'Pre-Summary'!$BS$6:$BU$35,3,FALSE),P226)</f>
        <v>0.25</v>
      </c>
      <c r="Q227" s="54">
        <f t="shared" si="9"/>
        <v>2.1830496064433462</v>
      </c>
      <c r="R227" s="53">
        <f>IFERROR(VLOOKUP(B227,'Pre-Summary'!$BG$6:$BM$44,7,FALSE),R228)</f>
        <v>2.7904161219319636E-2</v>
      </c>
      <c r="S227" s="53">
        <f>IFERROR(VLOOKUP(B227,'Pre-Summary'!$BG$6:$BM$44,6,FALSE),S228)</f>
        <v>3.3978715219895171E-2</v>
      </c>
      <c r="T227" s="45" t="str">
        <f>IFERROR(VLOOKUP(B227,'Pre-Summary'!$Y$6:$AC$83, 3,FALSE),"")</f>
        <v/>
      </c>
      <c r="U227" s="45" t="str">
        <f>IFERROR(VLOOKUP(B227,'Pre-Summary'!$Y$6:$AC$83, 4,FALSE),"")</f>
        <v/>
      </c>
      <c r="V227" t="str">
        <f>IFERROR(VLOOKUP(B227,'Pre-Summary'!$Y$6:$AC$83, 5,FALSE),"")</f>
        <v/>
      </c>
      <c r="W227" s="45" t="str">
        <f>IFERROR(VLOOKUP(B227,'Pre-Summary'!$Y$6:$AD$83,6,FALSE),"")</f>
        <v/>
      </c>
      <c r="X227" t="str">
        <f>IFERROR(VLOOKUP('Pre-Summary'!$DB$6:$DD$63,3,FALSE),"")</f>
        <v/>
      </c>
      <c r="Y227" t="str">
        <f>IFERROR(VLOOKUP(B227,'Pre-Summary'!$CR$6:$CT$36,3,FALSE),"")</f>
        <v/>
      </c>
      <c r="Z227" s="45" t="str">
        <f>IFERROR(VLOOKUP(B227,'Pre-Summary'!$BZ$6:$CB$63,2,FALSE),"")</f>
        <v/>
      </c>
      <c r="AA227" s="45" t="str">
        <f>IFERROR(VLOOKUP(B227,'Pre-Summary'!$CG$6:$CI$70,2,FALSE),"")</f>
        <v/>
      </c>
      <c r="AB227" s="99">
        <f>IFERROR(VLOOKUP(B227,'Pre-Summary'!$A$6:$P$178,9,FALSE),AB228)</f>
        <v>0.95192327811817912</v>
      </c>
      <c r="AC227" s="10">
        <f>IFERROR(VLOOKUP(Summary!B227,'Pre-Summary'!$A$6:$P$184,5, FALSE)/100,AC228)</f>
        <v>0.88412199999999985</v>
      </c>
      <c r="AD227" s="10">
        <f>IFERROR(VLOOKUP(Summary!B227,'Pre-Summary'!$A$6:$P$184,3, FALSE)/100,AD228)</f>
        <v>0</v>
      </c>
      <c r="AE227" s="10">
        <f>IFERROR(VLOOKUP(Summary!B227,'Pre-Summary'!$A$6:$P$184,7, FALSE)/100,AE228)</f>
        <v>0.11587800000000001</v>
      </c>
      <c r="AF227" s="99">
        <f t="shared" si="10"/>
        <v>0</v>
      </c>
      <c r="AG227" s="99">
        <f t="shared" si="11"/>
        <v>0.11030696562177837</v>
      </c>
      <c r="AH227" s="10" t="str">
        <f>IFERROR(VLOOKUP(B227,'Pre-Summary'!$AZ$6:$BE$65,3,FALSE),"")</f>
        <v/>
      </c>
      <c r="AI227" s="10" t="str">
        <f>IFERROR(VLOOKUP(B227,'Pre-Summary'!$AZ$6:$BE$65,5,FALSE),"")</f>
        <v/>
      </c>
      <c r="AJ227" s="10" t="str">
        <f>IFERROR(VLOOKUP(B227,'Pre-Summary'!$AZ$6:$BE$65,4,FALSE),"")</f>
        <v/>
      </c>
      <c r="AK227" s="10" t="str">
        <f>IFERROR(VLOOKUP(B227,'Pre-Summary'!$AZ$6:$BE$65,6,FALSE),"")</f>
        <v/>
      </c>
      <c r="AL227" s="10" t="str">
        <f>IFERROR(VLOOKUP(B227,'Pre-Summary'!$BG$6:$BL$44,3,FALSE),"")</f>
        <v/>
      </c>
      <c r="AM227" s="10" t="str">
        <f>IFERROR(VLOOKUP(B227,'Pre-Summary'!$BG$6:$BL$44,4,FALSE),"")</f>
        <v/>
      </c>
    </row>
    <row r="228" spans="2:39" ht="15" customHeight="1" x14ac:dyDescent="0.3">
      <c r="B228">
        <v>22.5</v>
      </c>
      <c r="C228" t="str">
        <f>IFERROR(VLOOKUP(B228,'Pre-Summary'!$DI$6:$DM$23,4,FALSE),"")</f>
        <v/>
      </c>
      <c r="D228" s="10" t="str">
        <f>IFERROR(VLOOKUP(B228,'Pre-Summary'!$AT$6:$AX$14,5,FALSE),D227)</f>
        <v>DSMZ v1.5: Using DSMZ 120 with NaHCO3</v>
      </c>
      <c r="E228" s="10" t="str">
        <f>IFERROR(VLOOKUP(B228,'Pre-Summary'!$AT$6:$AX$15,4,FALSE),"")</f>
        <v/>
      </c>
      <c r="F228">
        <f>IFERROR(VLOOKUP(B228,'Pre-Summary'!$AL$6:$AQ$13,6,FALSE),F227)</f>
        <v>0</v>
      </c>
      <c r="G228" t="str">
        <f>IFERROR(VLOOKUP(B228,'Pre-Summary'!$AE$6:$AJ$85,3,FALSE),"")</f>
        <v/>
      </c>
      <c r="H228" t="str">
        <f>IFERROR(VLOOKUP(B228,'Pre-Summary'!$AE$6:$AJ$85,4,FALSE),"")</f>
        <v/>
      </c>
      <c r="I228" t="str">
        <f>IFERROR(VLOOKUP(B228,'Pre-Summary'!$AE$6:$AJ$85,5,FALSE),"")</f>
        <v/>
      </c>
      <c r="J228" s="45" t="str">
        <f>IFERROR(VLOOKUP(B228,'Pre-Summary'!$AE$6:$AJ$85,6, FALSE),"")</f>
        <v/>
      </c>
      <c r="K228" s="45" t="str">
        <f>IFERROR(VLOOKUP(B228,'Pre-Summary'!$DE$6:$DG$61,3,FALSE),"")</f>
        <v/>
      </c>
      <c r="L228" s="45" t="str">
        <f>IFERROR(VLOOKUP(B228,'Pre-Summary'!$CU$6:$CW$36,3,FALSE),"")</f>
        <v/>
      </c>
      <c r="M228" s="45" t="str">
        <f>IFERROR(VLOOKUP(B228,'Pre-Summary'!$BW$6:$BY$58,2,FALSE),"")</f>
        <v/>
      </c>
      <c r="N228" s="45" t="str">
        <f>IFERROR(VLOOKUP(B228,'Pre-Summary'!$CD$6:$CF$64,2,FALSE),"")</f>
        <v/>
      </c>
      <c r="O228" s="99">
        <f>IFERROR(VLOOKUP(B228,'Pre-Summary'!$BO$6:$BQ$48,3, FALSE),O227)</f>
        <v>0.54576240161083656</v>
      </c>
      <c r="P228" s="99">
        <f>IFERROR(VLOOKUP(B228,'Pre-Summary'!$BS$6:$BU$35,3,FALSE),P227)</f>
        <v>0.25</v>
      </c>
      <c r="Q228" s="54">
        <f t="shared" si="9"/>
        <v>2.1830496064433462</v>
      </c>
      <c r="R228" s="53">
        <f>IFERROR(VLOOKUP(B228,'Pre-Summary'!$BG$6:$BM$44,7,FALSE),R229)</f>
        <v>2.7904161219319636E-2</v>
      </c>
      <c r="S228" s="53">
        <f>IFERROR(VLOOKUP(B228,'Pre-Summary'!$BG$6:$BM$44,6,FALSE),S229)</f>
        <v>3.3978715219895171E-2</v>
      </c>
      <c r="T228" s="45" t="str">
        <f>IFERROR(VLOOKUP(B228,'Pre-Summary'!$Y$6:$AC$83, 3,FALSE),"")</f>
        <v/>
      </c>
      <c r="U228" s="45" t="str">
        <f>IFERROR(VLOOKUP(B228,'Pre-Summary'!$Y$6:$AC$83, 4,FALSE),"")</f>
        <v/>
      </c>
      <c r="V228" t="str">
        <f>IFERROR(VLOOKUP(B228,'Pre-Summary'!$Y$6:$AC$83, 5,FALSE),"")</f>
        <v/>
      </c>
      <c r="W228" s="45" t="str">
        <f>IFERROR(VLOOKUP(B228,'Pre-Summary'!$Y$6:$AD$83,6,FALSE),"")</f>
        <v/>
      </c>
      <c r="X228" t="str">
        <f>IFERROR(VLOOKUP('Pre-Summary'!$DB$6:$DD$63,3,FALSE),"")</f>
        <v/>
      </c>
      <c r="Y228" t="str">
        <f>IFERROR(VLOOKUP(B228,'Pre-Summary'!$CR$6:$CT$36,3,FALSE),"")</f>
        <v/>
      </c>
      <c r="Z228" s="45" t="str">
        <f>IFERROR(VLOOKUP(B228,'Pre-Summary'!$BZ$6:$CB$63,2,FALSE),"")</f>
        <v/>
      </c>
      <c r="AA228" s="45" t="str">
        <f>IFERROR(VLOOKUP(B228,'Pre-Summary'!$CG$6:$CI$70,2,FALSE),"")</f>
        <v/>
      </c>
      <c r="AB228" s="99">
        <f>IFERROR(VLOOKUP(B228,'Pre-Summary'!$A$6:$P$178,9,FALSE),AB229)</f>
        <v>0.95192327811817912</v>
      </c>
      <c r="AC228" s="10">
        <f>IFERROR(VLOOKUP(Summary!B228,'Pre-Summary'!$A$6:$P$184,5, FALSE)/100,AC229)</f>
        <v>0.88412199999999985</v>
      </c>
      <c r="AD228" s="10">
        <f>IFERROR(VLOOKUP(Summary!B228,'Pre-Summary'!$A$6:$P$184,3, FALSE)/100,AD229)</f>
        <v>0</v>
      </c>
      <c r="AE228" s="10">
        <f>IFERROR(VLOOKUP(Summary!B228,'Pre-Summary'!$A$6:$P$184,7, FALSE)/100,AE229)</f>
        <v>0.11587800000000001</v>
      </c>
      <c r="AF228" s="99">
        <f t="shared" si="10"/>
        <v>0</v>
      </c>
      <c r="AG228" s="99">
        <f t="shared" si="11"/>
        <v>0.11030696562177837</v>
      </c>
      <c r="AH228" s="10" t="str">
        <f>IFERROR(VLOOKUP(B228,'Pre-Summary'!$AZ$6:$BE$65,3,FALSE),"")</f>
        <v/>
      </c>
      <c r="AI228" s="10" t="str">
        <f>IFERROR(VLOOKUP(B228,'Pre-Summary'!$AZ$6:$BE$65,5,FALSE),"")</f>
        <v/>
      </c>
      <c r="AJ228" s="10" t="str">
        <f>IFERROR(VLOOKUP(B228,'Pre-Summary'!$AZ$6:$BE$65,4,FALSE),"")</f>
        <v/>
      </c>
      <c r="AK228" s="10" t="str">
        <f>IFERROR(VLOOKUP(B228,'Pre-Summary'!$AZ$6:$BE$65,6,FALSE),"")</f>
        <v/>
      </c>
      <c r="AL228" s="10" t="str">
        <f>IFERROR(VLOOKUP(B228,'Pre-Summary'!$BG$6:$BL$44,3,FALSE),"")</f>
        <v/>
      </c>
      <c r="AM228" s="10" t="str">
        <f>IFERROR(VLOOKUP(B228,'Pre-Summary'!$BG$6:$BL$44,4,FALSE),"")</f>
        <v/>
      </c>
    </row>
    <row r="229" spans="2:39" ht="15" customHeight="1" x14ac:dyDescent="0.3">
      <c r="B229">
        <v>22.6</v>
      </c>
      <c r="C229" t="str">
        <f>IFERROR(VLOOKUP(B229,'Pre-Summary'!$DI$6:$DM$23,4,FALSE),"")</f>
        <v/>
      </c>
      <c r="D229" s="10" t="str">
        <f>IFERROR(VLOOKUP(B229,'Pre-Summary'!$AT$6:$AX$14,5,FALSE),D228)</f>
        <v>DSMZ v1.5: Using DSMZ 120 with NaHCO3</v>
      </c>
      <c r="E229" s="10" t="str">
        <f>IFERROR(VLOOKUP(B229,'Pre-Summary'!$AT$6:$AX$15,4,FALSE),"")</f>
        <v/>
      </c>
      <c r="F229">
        <f>IFERROR(VLOOKUP(B229,'Pre-Summary'!$AL$6:$AQ$13,6,FALSE),F228)</f>
        <v>0</v>
      </c>
      <c r="G229" t="str">
        <f>IFERROR(VLOOKUP(B229,'Pre-Summary'!$AE$6:$AJ$85,3,FALSE),"")</f>
        <v/>
      </c>
      <c r="H229" t="str">
        <f>IFERROR(VLOOKUP(B229,'Pre-Summary'!$AE$6:$AJ$85,4,FALSE),"")</f>
        <v/>
      </c>
      <c r="I229" t="str">
        <f>IFERROR(VLOOKUP(B229,'Pre-Summary'!$AE$6:$AJ$85,5,FALSE),"")</f>
        <v/>
      </c>
      <c r="J229" s="45" t="str">
        <f>IFERROR(VLOOKUP(B229,'Pre-Summary'!$AE$6:$AJ$85,6, FALSE),"")</f>
        <v/>
      </c>
      <c r="K229" s="45" t="str">
        <f>IFERROR(VLOOKUP(B229,'Pre-Summary'!$DE$6:$DG$61,3,FALSE),"")</f>
        <v/>
      </c>
      <c r="L229" s="45" t="str">
        <f>IFERROR(VLOOKUP(B229,'Pre-Summary'!$CU$6:$CW$36,3,FALSE),"")</f>
        <v/>
      </c>
      <c r="M229" s="45" t="str">
        <f>IFERROR(VLOOKUP(B229,'Pre-Summary'!$BW$6:$BY$58,2,FALSE),"")</f>
        <v/>
      </c>
      <c r="N229" s="45" t="str">
        <f>IFERROR(VLOOKUP(B229,'Pre-Summary'!$CD$6:$CF$64,2,FALSE),"")</f>
        <v/>
      </c>
      <c r="O229" s="99">
        <f>IFERROR(VLOOKUP(B229,'Pre-Summary'!$BO$6:$BQ$48,3, FALSE),O228)</f>
        <v>0.54576240161083656</v>
      </c>
      <c r="P229" s="99">
        <f>IFERROR(VLOOKUP(B229,'Pre-Summary'!$BS$6:$BU$35,3,FALSE),P228)</f>
        <v>0.25</v>
      </c>
      <c r="Q229" s="54">
        <f t="shared" si="9"/>
        <v>2.1830496064433462</v>
      </c>
      <c r="R229" s="53">
        <f>IFERROR(VLOOKUP(B229,'Pre-Summary'!$BG$6:$BM$44,7,FALSE),R230)</f>
        <v>2.7904161219319636E-2</v>
      </c>
      <c r="S229" s="53">
        <f>IFERROR(VLOOKUP(B229,'Pre-Summary'!$BG$6:$BM$44,6,FALSE),S230)</f>
        <v>3.3978715219895171E-2</v>
      </c>
      <c r="T229" s="45" t="str">
        <f>IFERROR(VLOOKUP(B229,'Pre-Summary'!$Y$6:$AC$83, 3,FALSE),"")</f>
        <v/>
      </c>
      <c r="U229" s="45" t="str">
        <f>IFERROR(VLOOKUP(B229,'Pre-Summary'!$Y$6:$AC$83, 4,FALSE),"")</f>
        <v/>
      </c>
      <c r="V229" t="str">
        <f>IFERROR(VLOOKUP(B229,'Pre-Summary'!$Y$6:$AC$83, 5,FALSE),"")</f>
        <v/>
      </c>
      <c r="W229" s="45" t="str">
        <f>IFERROR(VLOOKUP(B229,'Pre-Summary'!$Y$6:$AD$83,6,FALSE),"")</f>
        <v/>
      </c>
      <c r="X229" t="str">
        <f>IFERROR(VLOOKUP('Pre-Summary'!$DB$6:$DD$63,3,FALSE),"")</f>
        <v/>
      </c>
      <c r="Y229" t="str">
        <f>IFERROR(VLOOKUP(B229,'Pre-Summary'!$CR$6:$CT$36,3,FALSE),"")</f>
        <v/>
      </c>
      <c r="Z229" s="45" t="str">
        <f>IFERROR(VLOOKUP(B229,'Pre-Summary'!$BZ$6:$CB$63,2,FALSE),"")</f>
        <v/>
      </c>
      <c r="AA229" s="45" t="str">
        <f>IFERROR(VLOOKUP(B229,'Pre-Summary'!$CG$6:$CI$70,2,FALSE),"")</f>
        <v/>
      </c>
      <c r="AB229" s="99">
        <f>IFERROR(VLOOKUP(B229,'Pre-Summary'!$A$6:$P$178,9,FALSE),AB230)</f>
        <v>0.95192327811817912</v>
      </c>
      <c r="AC229" s="10">
        <f>IFERROR(VLOOKUP(Summary!B229,'Pre-Summary'!$A$6:$P$184,5, FALSE)/100,AC230)</f>
        <v>0.88412199999999985</v>
      </c>
      <c r="AD229" s="10">
        <f>IFERROR(VLOOKUP(Summary!B229,'Pre-Summary'!$A$6:$P$184,3, FALSE)/100,AD230)</f>
        <v>0</v>
      </c>
      <c r="AE229" s="10">
        <f>IFERROR(VLOOKUP(Summary!B229,'Pre-Summary'!$A$6:$P$184,7, FALSE)/100,AE230)</f>
        <v>0.11587800000000001</v>
      </c>
      <c r="AF229" s="99">
        <f t="shared" si="10"/>
        <v>0</v>
      </c>
      <c r="AG229" s="99">
        <f t="shared" si="11"/>
        <v>0.11030696562177837</v>
      </c>
      <c r="AH229" s="10" t="str">
        <f>IFERROR(VLOOKUP(B229,'Pre-Summary'!$AZ$6:$BE$65,3,FALSE),"")</f>
        <v/>
      </c>
      <c r="AI229" s="10" t="str">
        <f>IFERROR(VLOOKUP(B229,'Pre-Summary'!$AZ$6:$BE$65,5,FALSE),"")</f>
        <v/>
      </c>
      <c r="AJ229" s="10" t="str">
        <f>IFERROR(VLOOKUP(B229,'Pre-Summary'!$AZ$6:$BE$65,4,FALSE),"")</f>
        <v/>
      </c>
      <c r="AK229" s="10" t="str">
        <f>IFERROR(VLOOKUP(B229,'Pre-Summary'!$AZ$6:$BE$65,6,FALSE),"")</f>
        <v/>
      </c>
      <c r="AL229" s="10" t="str">
        <f>IFERROR(VLOOKUP(B229,'Pre-Summary'!$BG$6:$BL$44,3,FALSE),"")</f>
        <v/>
      </c>
      <c r="AM229" s="10" t="str">
        <f>IFERROR(VLOOKUP(B229,'Pre-Summary'!$BG$6:$BL$44,4,FALSE),"")</f>
        <v/>
      </c>
    </row>
    <row r="230" spans="2:39" ht="15" customHeight="1" x14ac:dyDescent="0.3">
      <c r="B230">
        <v>22.7</v>
      </c>
      <c r="C230" t="str">
        <f>IFERROR(VLOOKUP(B230,'Pre-Summary'!$DI$6:$DM$23,4,FALSE),"")</f>
        <v/>
      </c>
      <c r="D230" s="10" t="str">
        <f>IFERROR(VLOOKUP(B230,'Pre-Summary'!$AT$6:$AX$14,5,FALSE),D229)</f>
        <v>DSMZ v1.5: Using DSMZ 120 with NaHCO3</v>
      </c>
      <c r="E230" s="10" t="str">
        <f>IFERROR(VLOOKUP(B230,'Pre-Summary'!$AT$6:$AX$15,4,FALSE),"")</f>
        <v/>
      </c>
      <c r="F230">
        <f>IFERROR(VLOOKUP(B230,'Pre-Summary'!$AL$6:$AQ$13,6,FALSE),F229)</f>
        <v>0</v>
      </c>
      <c r="G230" t="str">
        <f>IFERROR(VLOOKUP(B230,'Pre-Summary'!$AE$6:$AJ$85,3,FALSE),"")</f>
        <v/>
      </c>
      <c r="H230" t="str">
        <f>IFERROR(VLOOKUP(B230,'Pre-Summary'!$AE$6:$AJ$85,4,FALSE),"")</f>
        <v/>
      </c>
      <c r="I230" t="str">
        <f>IFERROR(VLOOKUP(B230,'Pre-Summary'!$AE$6:$AJ$85,5,FALSE),"")</f>
        <v/>
      </c>
      <c r="J230" s="45" t="str">
        <f>IFERROR(VLOOKUP(B230,'Pre-Summary'!$AE$6:$AJ$85,6, FALSE),"")</f>
        <v/>
      </c>
      <c r="K230" s="45" t="str">
        <f>IFERROR(VLOOKUP(B230,'Pre-Summary'!$DE$6:$DG$61,3,FALSE),"")</f>
        <v/>
      </c>
      <c r="L230" s="45" t="str">
        <f>IFERROR(VLOOKUP(B230,'Pre-Summary'!$CU$6:$CW$36,3,FALSE),"")</f>
        <v/>
      </c>
      <c r="M230" s="45" t="str">
        <f>IFERROR(VLOOKUP(B230,'Pre-Summary'!$BW$6:$BY$58,2,FALSE),"")</f>
        <v/>
      </c>
      <c r="N230" s="45" t="str">
        <f>IFERROR(VLOOKUP(B230,'Pre-Summary'!$CD$6:$CF$64,2,FALSE),"")</f>
        <v/>
      </c>
      <c r="O230" s="99">
        <f>IFERROR(VLOOKUP(B230,'Pre-Summary'!$BO$6:$BQ$48,3, FALSE),O229)</f>
        <v>0.54576240161083656</v>
      </c>
      <c r="P230" s="99">
        <f>IFERROR(VLOOKUP(B230,'Pre-Summary'!$BS$6:$BU$35,3,FALSE),P229)</f>
        <v>0.25</v>
      </c>
      <c r="Q230" s="54">
        <f t="shared" si="9"/>
        <v>2.1830496064433462</v>
      </c>
      <c r="R230" s="53">
        <f>IFERROR(VLOOKUP(B230,'Pre-Summary'!$BG$6:$BM$44,7,FALSE),R231)</f>
        <v>2.7904161219319636E-2</v>
      </c>
      <c r="S230" s="53">
        <f>IFERROR(VLOOKUP(B230,'Pre-Summary'!$BG$6:$BM$44,6,FALSE),S231)</f>
        <v>3.3978715219895171E-2</v>
      </c>
      <c r="T230" s="45" t="str">
        <f>IFERROR(VLOOKUP(B230,'Pre-Summary'!$Y$6:$AC$83, 3,FALSE),"")</f>
        <v/>
      </c>
      <c r="U230" s="45" t="str">
        <f>IFERROR(VLOOKUP(B230,'Pre-Summary'!$Y$6:$AC$83, 4,FALSE),"")</f>
        <v/>
      </c>
      <c r="V230" t="str">
        <f>IFERROR(VLOOKUP(B230,'Pre-Summary'!$Y$6:$AC$83, 5,FALSE),"")</f>
        <v/>
      </c>
      <c r="W230" s="45" t="str">
        <f>IFERROR(VLOOKUP(B230,'Pre-Summary'!$Y$6:$AD$83,6,FALSE),"")</f>
        <v/>
      </c>
      <c r="X230" t="str">
        <f>IFERROR(VLOOKUP('Pre-Summary'!$DB$6:$DD$63,3,FALSE),"")</f>
        <v/>
      </c>
      <c r="Y230" t="str">
        <f>IFERROR(VLOOKUP(B230,'Pre-Summary'!$CR$6:$CT$36,3,FALSE),"")</f>
        <v/>
      </c>
      <c r="Z230" s="45" t="str">
        <f>IFERROR(VLOOKUP(B230,'Pre-Summary'!$BZ$6:$CB$63,2,FALSE),"")</f>
        <v/>
      </c>
      <c r="AA230" s="45" t="str">
        <f>IFERROR(VLOOKUP(B230,'Pre-Summary'!$CG$6:$CI$70,2,FALSE),"")</f>
        <v/>
      </c>
      <c r="AB230" s="99">
        <f>IFERROR(VLOOKUP(B230,'Pre-Summary'!$A$6:$P$178,9,FALSE),AB231)</f>
        <v>0.95192327811817912</v>
      </c>
      <c r="AC230" s="10">
        <f>IFERROR(VLOOKUP(Summary!B230,'Pre-Summary'!$A$6:$P$184,5, FALSE)/100,AC231)</f>
        <v>0.88412199999999985</v>
      </c>
      <c r="AD230" s="10">
        <f>IFERROR(VLOOKUP(Summary!B230,'Pre-Summary'!$A$6:$P$184,3, FALSE)/100,AD231)</f>
        <v>0</v>
      </c>
      <c r="AE230" s="10">
        <f>IFERROR(VLOOKUP(Summary!B230,'Pre-Summary'!$A$6:$P$184,7, FALSE)/100,AE231)</f>
        <v>0.11587800000000001</v>
      </c>
      <c r="AF230" s="99">
        <f t="shared" si="10"/>
        <v>0</v>
      </c>
      <c r="AG230" s="99">
        <f t="shared" si="11"/>
        <v>0.11030696562177837</v>
      </c>
      <c r="AH230" s="10" t="str">
        <f>IFERROR(VLOOKUP(B230,'Pre-Summary'!$AZ$6:$BE$65,3,FALSE),"")</f>
        <v/>
      </c>
      <c r="AI230" s="10" t="str">
        <f>IFERROR(VLOOKUP(B230,'Pre-Summary'!$AZ$6:$BE$65,5,FALSE),"")</f>
        <v/>
      </c>
      <c r="AJ230" s="10" t="str">
        <f>IFERROR(VLOOKUP(B230,'Pre-Summary'!$AZ$6:$BE$65,4,FALSE),"")</f>
        <v/>
      </c>
      <c r="AK230" s="10" t="str">
        <f>IFERROR(VLOOKUP(B230,'Pre-Summary'!$AZ$6:$BE$65,6,FALSE),"")</f>
        <v/>
      </c>
      <c r="AL230" s="10" t="str">
        <f>IFERROR(VLOOKUP(B230,'Pre-Summary'!$BG$6:$BL$44,3,FALSE),"")</f>
        <v/>
      </c>
      <c r="AM230" s="10" t="str">
        <f>IFERROR(VLOOKUP(B230,'Pre-Summary'!$BG$6:$BL$44,4,FALSE),"")</f>
        <v/>
      </c>
    </row>
    <row r="231" spans="2:39" ht="15" customHeight="1" x14ac:dyDescent="0.3">
      <c r="B231">
        <v>22.8</v>
      </c>
      <c r="C231" t="str">
        <f>IFERROR(VLOOKUP(B231,'Pre-Summary'!$DI$6:$DM$23,4,FALSE),"")</f>
        <v/>
      </c>
      <c r="D231" s="10" t="str">
        <f>IFERROR(VLOOKUP(B231,'Pre-Summary'!$AT$6:$AX$14,5,FALSE),D230)</f>
        <v>DSMZ v1.5: Using DSMZ 120 with NaHCO3</v>
      </c>
      <c r="E231" s="10" t="str">
        <f>IFERROR(VLOOKUP(B231,'Pre-Summary'!$AT$6:$AX$15,4,FALSE),"")</f>
        <v/>
      </c>
      <c r="F231">
        <f>IFERROR(VLOOKUP(B231,'Pre-Summary'!$AL$6:$AQ$13,6,FALSE),F230)</f>
        <v>0</v>
      </c>
      <c r="G231" t="str">
        <f>IFERROR(VLOOKUP(B231,'Pre-Summary'!$AE$6:$AJ$85,3,FALSE),"")</f>
        <v/>
      </c>
      <c r="H231" t="str">
        <f>IFERROR(VLOOKUP(B231,'Pre-Summary'!$AE$6:$AJ$85,4,FALSE),"")</f>
        <v/>
      </c>
      <c r="I231" t="str">
        <f>IFERROR(VLOOKUP(B231,'Pre-Summary'!$AE$6:$AJ$85,5,FALSE),"")</f>
        <v/>
      </c>
      <c r="J231" s="45" t="str">
        <f>IFERROR(VLOOKUP(B231,'Pre-Summary'!$AE$6:$AJ$85,6, FALSE),"")</f>
        <v/>
      </c>
      <c r="K231" s="45" t="str">
        <f>IFERROR(VLOOKUP(B231,'Pre-Summary'!$DE$6:$DG$61,3,FALSE),"")</f>
        <v/>
      </c>
      <c r="L231" s="45" t="str">
        <f>IFERROR(VLOOKUP(B231,'Pre-Summary'!$CU$6:$CW$36,3,FALSE),"")</f>
        <v/>
      </c>
      <c r="M231" s="45" t="str">
        <f>IFERROR(VLOOKUP(B231,'Pre-Summary'!$BW$6:$BY$58,2,FALSE),"")</f>
        <v/>
      </c>
      <c r="N231" s="45" t="str">
        <f>IFERROR(VLOOKUP(B231,'Pre-Summary'!$CD$6:$CF$64,2,FALSE),"")</f>
        <v/>
      </c>
      <c r="O231" s="99">
        <f>IFERROR(VLOOKUP(B231,'Pre-Summary'!$BO$6:$BQ$48,3, FALSE),O230)</f>
        <v>0.54576240161083656</v>
      </c>
      <c r="P231" s="99">
        <f>IFERROR(VLOOKUP(B231,'Pre-Summary'!$BS$6:$BU$35,3,FALSE),P230)</f>
        <v>0.25</v>
      </c>
      <c r="Q231" s="54">
        <f t="shared" si="9"/>
        <v>2.1830496064433462</v>
      </c>
      <c r="R231" s="53">
        <f>IFERROR(VLOOKUP(B231,'Pre-Summary'!$BG$6:$BM$44,7,FALSE),R232)</f>
        <v>2.7904161219319636E-2</v>
      </c>
      <c r="S231" s="53">
        <f>IFERROR(VLOOKUP(B231,'Pre-Summary'!$BG$6:$BM$44,6,FALSE),S232)</f>
        <v>3.3978715219895171E-2</v>
      </c>
      <c r="T231" s="45" t="str">
        <f>IFERROR(VLOOKUP(B231,'Pre-Summary'!$Y$6:$AC$83, 3,FALSE),"")</f>
        <v/>
      </c>
      <c r="U231" s="45" t="str">
        <f>IFERROR(VLOOKUP(B231,'Pre-Summary'!$Y$6:$AC$83, 4,FALSE),"")</f>
        <v/>
      </c>
      <c r="V231" t="str">
        <f>IFERROR(VLOOKUP(B231,'Pre-Summary'!$Y$6:$AC$83, 5,FALSE),"")</f>
        <v/>
      </c>
      <c r="W231" s="45" t="str">
        <f>IFERROR(VLOOKUP(B231,'Pre-Summary'!$Y$6:$AD$83,6,FALSE),"")</f>
        <v/>
      </c>
      <c r="X231" t="str">
        <f>IFERROR(VLOOKUP('Pre-Summary'!$DB$6:$DD$63,3,FALSE),"")</f>
        <v/>
      </c>
      <c r="Y231" t="str">
        <f>IFERROR(VLOOKUP(B231,'Pre-Summary'!$CR$6:$CT$36,3,FALSE),"")</f>
        <v/>
      </c>
      <c r="Z231" s="45" t="str">
        <f>IFERROR(VLOOKUP(B231,'Pre-Summary'!$BZ$6:$CB$63,2,FALSE),"")</f>
        <v/>
      </c>
      <c r="AA231" s="45" t="str">
        <f>IFERROR(VLOOKUP(B231,'Pre-Summary'!$CG$6:$CI$70,2,FALSE),"")</f>
        <v/>
      </c>
      <c r="AB231" s="99">
        <f>IFERROR(VLOOKUP(B231,'Pre-Summary'!$A$6:$P$178,9,FALSE),AB232)</f>
        <v>0.95192327811817912</v>
      </c>
      <c r="AC231" s="10">
        <f>IFERROR(VLOOKUP(Summary!B231,'Pre-Summary'!$A$6:$P$184,5, FALSE)/100,AC232)</f>
        <v>0.88412199999999985</v>
      </c>
      <c r="AD231" s="10">
        <f>IFERROR(VLOOKUP(Summary!B231,'Pre-Summary'!$A$6:$P$184,3, FALSE)/100,AD232)</f>
        <v>0</v>
      </c>
      <c r="AE231" s="10">
        <f>IFERROR(VLOOKUP(Summary!B231,'Pre-Summary'!$A$6:$P$184,7, FALSE)/100,AE232)</f>
        <v>0.11587800000000001</v>
      </c>
      <c r="AF231" s="99">
        <f t="shared" si="10"/>
        <v>0</v>
      </c>
      <c r="AG231" s="99">
        <f t="shared" si="11"/>
        <v>0.11030696562177837</v>
      </c>
      <c r="AH231" s="10" t="str">
        <f>IFERROR(VLOOKUP(B231,'Pre-Summary'!$AZ$6:$BE$65,3,FALSE),"")</f>
        <v/>
      </c>
      <c r="AI231" s="10" t="str">
        <f>IFERROR(VLOOKUP(B231,'Pre-Summary'!$AZ$6:$BE$65,5,FALSE),"")</f>
        <v/>
      </c>
      <c r="AJ231" s="10" t="str">
        <f>IFERROR(VLOOKUP(B231,'Pre-Summary'!$AZ$6:$BE$65,4,FALSE),"")</f>
        <v/>
      </c>
      <c r="AK231" s="10" t="str">
        <f>IFERROR(VLOOKUP(B231,'Pre-Summary'!$AZ$6:$BE$65,6,FALSE),"")</f>
        <v/>
      </c>
      <c r="AL231" s="10" t="str">
        <f>IFERROR(VLOOKUP(B231,'Pre-Summary'!$BG$6:$BL$44,3,FALSE),"")</f>
        <v/>
      </c>
      <c r="AM231" s="10" t="str">
        <f>IFERROR(VLOOKUP(B231,'Pre-Summary'!$BG$6:$BL$44,4,FALSE),"")</f>
        <v/>
      </c>
    </row>
    <row r="232" spans="2:39" ht="15" customHeight="1" x14ac:dyDescent="0.3">
      <c r="B232">
        <v>22.9</v>
      </c>
      <c r="C232" t="str">
        <f>IFERROR(VLOOKUP(B232,'Pre-Summary'!$DI$6:$DM$23,4,FALSE),"")</f>
        <v/>
      </c>
      <c r="D232" s="10" t="str">
        <f>IFERROR(VLOOKUP(B232,'Pre-Summary'!$AT$6:$AX$14,5,FALSE),D231)</f>
        <v>DSMZ v1.5: Using DSMZ 120 with NaHCO3</v>
      </c>
      <c r="E232" s="10" t="str">
        <f>IFERROR(VLOOKUP(B232,'Pre-Summary'!$AT$6:$AX$15,4,FALSE),"")</f>
        <v/>
      </c>
      <c r="F232">
        <f>IFERROR(VLOOKUP(B232,'Pre-Summary'!$AL$6:$AQ$13,6,FALSE),F231)</f>
        <v>0</v>
      </c>
      <c r="G232" t="str">
        <f>IFERROR(VLOOKUP(B232,'Pre-Summary'!$AE$6:$AJ$85,3,FALSE),"")</f>
        <v/>
      </c>
      <c r="H232" t="str">
        <f>IFERROR(VLOOKUP(B232,'Pre-Summary'!$AE$6:$AJ$85,4,FALSE),"")</f>
        <v/>
      </c>
      <c r="I232" t="str">
        <f>IFERROR(VLOOKUP(B232,'Pre-Summary'!$AE$6:$AJ$85,5,FALSE),"")</f>
        <v/>
      </c>
      <c r="J232" s="45" t="str">
        <f>IFERROR(VLOOKUP(B232,'Pre-Summary'!$AE$6:$AJ$85,6, FALSE),"")</f>
        <v/>
      </c>
      <c r="K232" s="45" t="str">
        <f>IFERROR(VLOOKUP(B232,'Pre-Summary'!$DE$6:$DG$61,3,FALSE),"")</f>
        <v/>
      </c>
      <c r="L232" s="45" t="str">
        <f>IFERROR(VLOOKUP(B232,'Pre-Summary'!$CU$6:$CW$36,3,FALSE),"")</f>
        <v/>
      </c>
      <c r="M232" s="45" t="str">
        <f>IFERROR(VLOOKUP(B232,'Pre-Summary'!$BW$6:$BY$58,2,FALSE),"")</f>
        <v/>
      </c>
      <c r="N232" s="45" t="str">
        <f>IFERROR(VLOOKUP(B232,'Pre-Summary'!$CD$6:$CF$64,2,FALSE),"")</f>
        <v/>
      </c>
      <c r="O232" s="99">
        <f>IFERROR(VLOOKUP(B232,'Pre-Summary'!$BO$6:$BQ$48,3, FALSE),O231)</f>
        <v>0.54576240161083656</v>
      </c>
      <c r="P232" s="99">
        <f>IFERROR(VLOOKUP(B232,'Pre-Summary'!$BS$6:$BU$35,3,FALSE),P231)</f>
        <v>0.25</v>
      </c>
      <c r="Q232" s="54">
        <f t="shared" si="9"/>
        <v>2.1830496064433462</v>
      </c>
      <c r="R232" s="53">
        <f>IFERROR(VLOOKUP(B232,'Pre-Summary'!$BG$6:$BM$44,7,FALSE),R233)</f>
        <v>2.7904161219319636E-2</v>
      </c>
      <c r="S232" s="53">
        <f>IFERROR(VLOOKUP(B232,'Pre-Summary'!$BG$6:$BM$44,6,FALSE),S233)</f>
        <v>3.3978715219895171E-2</v>
      </c>
      <c r="T232" s="45" t="str">
        <f>IFERROR(VLOOKUP(B232,'Pre-Summary'!$Y$6:$AC$83, 3,FALSE),"")</f>
        <v/>
      </c>
      <c r="U232" s="45" t="str">
        <f>IFERROR(VLOOKUP(B232,'Pre-Summary'!$Y$6:$AC$83, 4,FALSE),"")</f>
        <v/>
      </c>
      <c r="V232" t="str">
        <f>IFERROR(VLOOKUP(B232,'Pre-Summary'!$Y$6:$AC$83, 5,FALSE),"")</f>
        <v/>
      </c>
      <c r="W232" s="45" t="str">
        <f>IFERROR(VLOOKUP(B232,'Pre-Summary'!$Y$6:$AD$83,6,FALSE),"")</f>
        <v/>
      </c>
      <c r="X232" t="str">
        <f>IFERROR(VLOOKUP('Pre-Summary'!$DB$6:$DD$63,3,FALSE),"")</f>
        <v/>
      </c>
      <c r="Y232" t="str">
        <f>IFERROR(VLOOKUP(B232,'Pre-Summary'!$CR$6:$CT$36,3,FALSE),"")</f>
        <v/>
      </c>
      <c r="Z232" s="45" t="str">
        <f>IFERROR(VLOOKUP(B232,'Pre-Summary'!$BZ$6:$CB$63,2,FALSE),"")</f>
        <v/>
      </c>
      <c r="AA232" s="45" t="str">
        <f>IFERROR(VLOOKUP(B232,'Pre-Summary'!$CG$6:$CI$70,2,FALSE),"")</f>
        <v/>
      </c>
      <c r="AB232" s="99">
        <f>IFERROR(VLOOKUP(B232,'Pre-Summary'!$A$6:$P$178,9,FALSE),AB233)</f>
        <v>0.95192327811817912</v>
      </c>
      <c r="AC232" s="10">
        <f>IFERROR(VLOOKUP(Summary!B232,'Pre-Summary'!$A$6:$P$184,5, FALSE)/100,AC233)</f>
        <v>0.88412199999999985</v>
      </c>
      <c r="AD232" s="10">
        <f>IFERROR(VLOOKUP(Summary!B232,'Pre-Summary'!$A$6:$P$184,3, FALSE)/100,AD233)</f>
        <v>0</v>
      </c>
      <c r="AE232" s="10">
        <f>IFERROR(VLOOKUP(Summary!B232,'Pre-Summary'!$A$6:$P$184,7, FALSE)/100,AE233)</f>
        <v>0.11587800000000001</v>
      </c>
      <c r="AF232" s="99">
        <f t="shared" si="10"/>
        <v>0</v>
      </c>
      <c r="AG232" s="99">
        <f t="shared" si="11"/>
        <v>0.11030696562177837</v>
      </c>
      <c r="AH232" s="10" t="str">
        <f>IFERROR(VLOOKUP(B232,'Pre-Summary'!$AZ$6:$BE$65,3,FALSE),"")</f>
        <v/>
      </c>
      <c r="AI232" s="10" t="str">
        <f>IFERROR(VLOOKUP(B232,'Pre-Summary'!$AZ$6:$BE$65,5,FALSE),"")</f>
        <v/>
      </c>
      <c r="AJ232" s="10" t="str">
        <f>IFERROR(VLOOKUP(B232,'Pre-Summary'!$AZ$6:$BE$65,4,FALSE),"")</f>
        <v/>
      </c>
      <c r="AK232" s="10" t="str">
        <f>IFERROR(VLOOKUP(B232,'Pre-Summary'!$AZ$6:$BE$65,6,FALSE),"")</f>
        <v/>
      </c>
      <c r="AL232" s="10" t="str">
        <f>IFERROR(VLOOKUP(B232,'Pre-Summary'!$BG$6:$BL$44,3,FALSE),"")</f>
        <v/>
      </c>
      <c r="AM232" s="10" t="str">
        <f>IFERROR(VLOOKUP(B232,'Pre-Summary'!$BG$6:$BL$44,4,FALSE),"")</f>
        <v/>
      </c>
    </row>
    <row r="233" spans="2:39" ht="15" customHeight="1" x14ac:dyDescent="0.3">
      <c r="B233">
        <v>23</v>
      </c>
      <c r="C233" t="str">
        <f>IFERROR(VLOOKUP(B233,'Pre-Summary'!$DI$6:$DM$23,4,FALSE),"")</f>
        <v/>
      </c>
      <c r="D233" s="10" t="str">
        <f>IFERROR(VLOOKUP(B233,'Pre-Summary'!$AT$6:$AX$14,5,FALSE),D232)</f>
        <v>DSMZ v1.5: Using DSMZ 120 with NaHCO3</v>
      </c>
      <c r="E233" s="10" t="str">
        <f>IFERROR(VLOOKUP(B233,'Pre-Summary'!$AT$6:$AX$15,4,FALSE),"")</f>
        <v/>
      </c>
      <c r="F233">
        <f>IFERROR(VLOOKUP(B233,'Pre-Summary'!$AL$6:$AQ$13,6,FALSE),F232)</f>
        <v>0</v>
      </c>
      <c r="G233" t="str">
        <f>IFERROR(VLOOKUP(B233,'Pre-Summary'!$AE$6:$AJ$85,3,FALSE),"")</f>
        <v/>
      </c>
      <c r="H233" t="str">
        <f>IFERROR(VLOOKUP(B233,'Pre-Summary'!$AE$6:$AJ$85,4,FALSE),"")</f>
        <v/>
      </c>
      <c r="I233" t="str">
        <f>IFERROR(VLOOKUP(B233,'Pre-Summary'!$AE$6:$AJ$85,5,FALSE),"")</f>
        <v/>
      </c>
      <c r="J233" s="45" t="str">
        <f>IFERROR(VLOOKUP(B233,'Pre-Summary'!$AE$6:$AJ$85,6, FALSE),"")</f>
        <v/>
      </c>
      <c r="K233" s="45" t="str">
        <f>IFERROR(VLOOKUP(B233,'Pre-Summary'!$DE$6:$DG$61,3,FALSE),"")</f>
        <v/>
      </c>
      <c r="L233" s="45" t="str">
        <f>IFERROR(VLOOKUP(B233,'Pre-Summary'!$CU$6:$CW$36,3,FALSE),"")</f>
        <v/>
      </c>
      <c r="M233" s="45" t="str">
        <f>IFERROR(VLOOKUP(B233,'Pre-Summary'!$BW$6:$BY$58,2,FALSE),"")</f>
        <v/>
      </c>
      <c r="N233" s="45" t="str">
        <f>IFERROR(VLOOKUP(B233,'Pre-Summary'!$CD$6:$CF$64,2,FALSE),"")</f>
        <v/>
      </c>
      <c r="O233" s="99">
        <f>IFERROR(VLOOKUP(B233,'Pre-Summary'!$BO$6:$BQ$48,3, FALSE),O232)</f>
        <v>0.54576240161083656</v>
      </c>
      <c r="P233" s="99">
        <f>IFERROR(VLOOKUP(B233,'Pre-Summary'!$BS$6:$BU$35,3,FALSE),P232)</f>
        <v>0.25</v>
      </c>
      <c r="Q233" s="54">
        <f t="shared" si="9"/>
        <v>2.1830496064433462</v>
      </c>
      <c r="R233" s="53">
        <f>IFERROR(VLOOKUP(B233,'Pre-Summary'!$BG$6:$BM$44,7,FALSE),R234)</f>
        <v>2.7904161219319636E-2</v>
      </c>
      <c r="S233" s="53">
        <f>IFERROR(VLOOKUP(B233,'Pre-Summary'!$BG$6:$BM$44,6,FALSE),S234)</f>
        <v>3.3978715219895171E-2</v>
      </c>
      <c r="T233" s="45" t="str">
        <f>IFERROR(VLOOKUP(B233,'Pre-Summary'!$Y$6:$AC$83, 3,FALSE),"")</f>
        <v/>
      </c>
      <c r="U233" s="45" t="str">
        <f>IFERROR(VLOOKUP(B233,'Pre-Summary'!$Y$6:$AC$83, 4,FALSE),"")</f>
        <v/>
      </c>
      <c r="V233" t="str">
        <f>IFERROR(VLOOKUP(B233,'Pre-Summary'!$Y$6:$AC$83, 5,FALSE),"")</f>
        <v/>
      </c>
      <c r="W233" s="45" t="str">
        <f>IFERROR(VLOOKUP(B233,'Pre-Summary'!$Y$6:$AD$83,6,FALSE),"")</f>
        <v/>
      </c>
      <c r="X233" t="str">
        <f>IFERROR(VLOOKUP('Pre-Summary'!$DB$6:$DD$63,3,FALSE),"")</f>
        <v/>
      </c>
      <c r="Y233" t="str">
        <f>IFERROR(VLOOKUP(B233,'Pre-Summary'!$CR$6:$CT$36,3,FALSE),"")</f>
        <v/>
      </c>
      <c r="Z233" s="45" t="str">
        <f>IFERROR(VLOOKUP(B233,'Pre-Summary'!$BZ$6:$CB$63,2,FALSE),"")</f>
        <v/>
      </c>
      <c r="AA233" s="45" t="str">
        <f>IFERROR(VLOOKUP(B233,'Pre-Summary'!$CG$6:$CI$70,2,FALSE),"")</f>
        <v/>
      </c>
      <c r="AB233" s="99">
        <f>IFERROR(VLOOKUP(B233,'Pre-Summary'!$A$6:$P$178,9,FALSE),AB234)</f>
        <v>0.95192327811817912</v>
      </c>
      <c r="AC233" s="10">
        <f>IFERROR(VLOOKUP(Summary!B233,'Pre-Summary'!$A$6:$P$184,5, FALSE)/100,AC234)</f>
        <v>0.88412199999999985</v>
      </c>
      <c r="AD233" s="10">
        <f>IFERROR(VLOOKUP(Summary!B233,'Pre-Summary'!$A$6:$P$184,3, FALSE)/100,AD234)</f>
        <v>0</v>
      </c>
      <c r="AE233" s="10">
        <f>IFERROR(VLOOKUP(Summary!B233,'Pre-Summary'!$A$6:$P$184,7, FALSE)/100,AE234)</f>
        <v>0.11587800000000001</v>
      </c>
      <c r="AF233" s="99">
        <f t="shared" si="10"/>
        <v>0</v>
      </c>
      <c r="AG233" s="99">
        <f t="shared" si="11"/>
        <v>0.11030696562177837</v>
      </c>
      <c r="AH233" s="10" t="str">
        <f>IFERROR(VLOOKUP(B233,'Pre-Summary'!$AZ$6:$BE$65,3,FALSE),"")</f>
        <v/>
      </c>
      <c r="AI233" s="10" t="str">
        <f>IFERROR(VLOOKUP(B233,'Pre-Summary'!$AZ$6:$BE$65,5,FALSE),"")</f>
        <v/>
      </c>
      <c r="AJ233" s="10" t="str">
        <f>IFERROR(VLOOKUP(B233,'Pre-Summary'!$AZ$6:$BE$65,4,FALSE),"")</f>
        <v/>
      </c>
      <c r="AK233" s="10" t="str">
        <f>IFERROR(VLOOKUP(B233,'Pre-Summary'!$AZ$6:$BE$65,6,FALSE),"")</f>
        <v/>
      </c>
      <c r="AL233" s="10" t="str">
        <f>IFERROR(VLOOKUP(B233,'Pre-Summary'!$BG$6:$BL$44,3,FALSE),"")</f>
        <v/>
      </c>
      <c r="AM233" s="10" t="str">
        <f>IFERROR(VLOOKUP(B233,'Pre-Summary'!$BG$6:$BL$44,4,FALSE),"")</f>
        <v/>
      </c>
    </row>
    <row r="234" spans="2:39" ht="15" customHeight="1" x14ac:dyDescent="0.3">
      <c r="B234">
        <v>23.1</v>
      </c>
      <c r="C234" t="str">
        <f>IFERROR(VLOOKUP(B234,'Pre-Summary'!$DI$6:$DM$23,4,FALSE),"")</f>
        <v/>
      </c>
      <c r="D234" s="10" t="str">
        <f>IFERROR(VLOOKUP(B234,'Pre-Summary'!$AT$6:$AX$14,5,FALSE),D233)</f>
        <v>DSMZ v1.5: Using DSMZ 120 with NaHCO3</v>
      </c>
      <c r="E234" s="10" t="str">
        <f>IFERROR(VLOOKUP(B234,'Pre-Summary'!$AT$6:$AX$15,4,FALSE),"")</f>
        <v/>
      </c>
      <c r="F234">
        <f>IFERROR(VLOOKUP(B234,'Pre-Summary'!$AL$6:$AQ$13,6,FALSE),F233)</f>
        <v>0</v>
      </c>
      <c r="G234" t="str">
        <f>IFERROR(VLOOKUP(B234,'Pre-Summary'!$AE$6:$AJ$85,3,FALSE),"")</f>
        <v/>
      </c>
      <c r="H234" t="str">
        <f>IFERROR(VLOOKUP(B234,'Pre-Summary'!$AE$6:$AJ$85,4,FALSE),"")</f>
        <v/>
      </c>
      <c r="I234" t="str">
        <f>IFERROR(VLOOKUP(B234,'Pre-Summary'!$AE$6:$AJ$85,5,FALSE),"")</f>
        <v/>
      </c>
      <c r="J234" s="45" t="str">
        <f>IFERROR(VLOOKUP(B234,'Pre-Summary'!$AE$6:$AJ$85,6, FALSE),"")</f>
        <v/>
      </c>
      <c r="K234" s="45" t="str">
        <f>IFERROR(VLOOKUP(B234,'Pre-Summary'!$DE$6:$DG$61,3,FALSE),"")</f>
        <v/>
      </c>
      <c r="L234" s="45" t="str">
        <f>IFERROR(VLOOKUP(B234,'Pre-Summary'!$CU$6:$CW$36,3,FALSE),"")</f>
        <v/>
      </c>
      <c r="M234" s="45" t="str">
        <f>IFERROR(VLOOKUP(B234,'Pre-Summary'!$BW$6:$BY$58,2,FALSE),"")</f>
        <v/>
      </c>
      <c r="N234" s="45" t="str">
        <f>IFERROR(VLOOKUP(B234,'Pre-Summary'!$CD$6:$CF$64,2,FALSE),"")</f>
        <v/>
      </c>
      <c r="O234" s="99">
        <f>IFERROR(VLOOKUP(B234,'Pre-Summary'!$BO$6:$BQ$48,3, FALSE),O233)</f>
        <v>0.54576240161083656</v>
      </c>
      <c r="P234" s="99">
        <f>IFERROR(VLOOKUP(B234,'Pre-Summary'!$BS$6:$BU$35,3,FALSE),P233)</f>
        <v>0.25</v>
      </c>
      <c r="Q234" s="54">
        <f t="shared" si="9"/>
        <v>2.1830496064433462</v>
      </c>
      <c r="R234" s="53">
        <f>IFERROR(VLOOKUP(B234,'Pre-Summary'!$BG$6:$BM$44,7,FALSE),R235)</f>
        <v>2.7904161219319636E-2</v>
      </c>
      <c r="S234" s="53">
        <f>IFERROR(VLOOKUP(B234,'Pre-Summary'!$BG$6:$BM$44,6,FALSE),S235)</f>
        <v>3.3978715219895171E-2</v>
      </c>
      <c r="T234" s="45" t="str">
        <f>IFERROR(VLOOKUP(B234,'Pre-Summary'!$Y$6:$AC$83, 3,FALSE),"")</f>
        <v/>
      </c>
      <c r="U234" s="45" t="str">
        <f>IFERROR(VLOOKUP(B234,'Pre-Summary'!$Y$6:$AC$83, 4,FALSE),"")</f>
        <v/>
      </c>
      <c r="V234" t="str">
        <f>IFERROR(VLOOKUP(B234,'Pre-Summary'!$Y$6:$AC$83, 5,FALSE),"")</f>
        <v/>
      </c>
      <c r="W234" s="45" t="str">
        <f>IFERROR(VLOOKUP(B234,'Pre-Summary'!$Y$6:$AD$83,6,FALSE),"")</f>
        <v/>
      </c>
      <c r="X234" t="str">
        <f>IFERROR(VLOOKUP('Pre-Summary'!$DB$6:$DD$63,3,FALSE),"")</f>
        <v/>
      </c>
      <c r="Y234" t="str">
        <f>IFERROR(VLOOKUP(B234,'Pre-Summary'!$CR$6:$CT$36,3,FALSE),"")</f>
        <v/>
      </c>
      <c r="Z234" s="45" t="str">
        <f>IFERROR(VLOOKUP(B234,'Pre-Summary'!$BZ$6:$CB$63,2,FALSE),"")</f>
        <v/>
      </c>
      <c r="AA234" s="45" t="str">
        <f>IFERROR(VLOOKUP(B234,'Pre-Summary'!$CG$6:$CI$70,2,FALSE),"")</f>
        <v/>
      </c>
      <c r="AB234" s="99">
        <f>IFERROR(VLOOKUP(B234,'Pre-Summary'!$A$6:$P$178,9,FALSE),AB235)</f>
        <v>0.95192327811817912</v>
      </c>
      <c r="AC234" s="10">
        <f>IFERROR(VLOOKUP(Summary!B234,'Pre-Summary'!$A$6:$P$184,5, FALSE)/100,AC235)</f>
        <v>0.88412199999999985</v>
      </c>
      <c r="AD234" s="10">
        <f>IFERROR(VLOOKUP(Summary!B234,'Pre-Summary'!$A$6:$P$184,3, FALSE)/100,AD235)</f>
        <v>0</v>
      </c>
      <c r="AE234" s="10">
        <f>IFERROR(VLOOKUP(Summary!B234,'Pre-Summary'!$A$6:$P$184,7, FALSE)/100,AE235)</f>
        <v>0.11587800000000001</v>
      </c>
      <c r="AF234" s="99">
        <f t="shared" si="10"/>
        <v>0</v>
      </c>
      <c r="AG234" s="99">
        <f t="shared" si="11"/>
        <v>0.11030696562177837</v>
      </c>
      <c r="AH234" s="10" t="str">
        <f>IFERROR(VLOOKUP(B234,'Pre-Summary'!$AZ$6:$BE$65,3,FALSE),"")</f>
        <v/>
      </c>
      <c r="AI234" s="10" t="str">
        <f>IFERROR(VLOOKUP(B234,'Pre-Summary'!$AZ$6:$BE$65,5,FALSE),"")</f>
        <v/>
      </c>
      <c r="AJ234" s="10" t="str">
        <f>IFERROR(VLOOKUP(B234,'Pre-Summary'!$AZ$6:$BE$65,4,FALSE),"")</f>
        <v/>
      </c>
      <c r="AK234" s="10" t="str">
        <f>IFERROR(VLOOKUP(B234,'Pre-Summary'!$AZ$6:$BE$65,6,FALSE),"")</f>
        <v/>
      </c>
      <c r="AL234" s="10" t="str">
        <f>IFERROR(VLOOKUP(B234,'Pre-Summary'!$BG$6:$BL$44,3,FALSE),"")</f>
        <v/>
      </c>
      <c r="AM234" s="10" t="str">
        <f>IFERROR(VLOOKUP(B234,'Pre-Summary'!$BG$6:$BL$44,4,FALSE),"")</f>
        <v/>
      </c>
    </row>
    <row r="235" spans="2:39" ht="15" customHeight="1" x14ac:dyDescent="0.3">
      <c r="B235">
        <v>23.2</v>
      </c>
      <c r="C235" t="str">
        <f>IFERROR(VLOOKUP(B235,'Pre-Summary'!$DI$6:$DM$23,4,FALSE),"")</f>
        <v/>
      </c>
      <c r="D235" s="10" t="str">
        <f>IFERROR(VLOOKUP(B235,'Pre-Summary'!$AT$6:$AX$14,5,FALSE),D234)</f>
        <v>DSMZ v1.5: Using DSMZ 120 with NaHCO3</v>
      </c>
      <c r="E235" s="10" t="str">
        <f>IFERROR(VLOOKUP(B235,'Pre-Summary'!$AT$6:$AX$15,4,FALSE),"")</f>
        <v/>
      </c>
      <c r="F235">
        <f>IFERROR(VLOOKUP(B235,'Pre-Summary'!$AL$6:$AQ$13,6,FALSE),F234)</f>
        <v>0</v>
      </c>
      <c r="G235" t="str">
        <f>IFERROR(VLOOKUP(B235,'Pre-Summary'!$AE$6:$AJ$85,3,FALSE),"")</f>
        <v/>
      </c>
      <c r="H235" t="str">
        <f>IFERROR(VLOOKUP(B235,'Pre-Summary'!$AE$6:$AJ$85,4,FALSE),"")</f>
        <v/>
      </c>
      <c r="I235" t="str">
        <f>IFERROR(VLOOKUP(B235,'Pre-Summary'!$AE$6:$AJ$85,5,FALSE),"")</f>
        <v/>
      </c>
      <c r="J235" s="45" t="str">
        <f>IFERROR(VLOOKUP(B235,'Pre-Summary'!$AE$6:$AJ$85,6, FALSE),"")</f>
        <v/>
      </c>
      <c r="K235" s="45" t="str">
        <f>IFERROR(VLOOKUP(B235,'Pre-Summary'!$DE$6:$DG$61,3,FALSE),"")</f>
        <v/>
      </c>
      <c r="L235" s="45" t="str">
        <f>IFERROR(VLOOKUP(B235,'Pre-Summary'!$CU$6:$CW$36,3,FALSE),"")</f>
        <v/>
      </c>
      <c r="M235" s="45" t="str">
        <f>IFERROR(VLOOKUP(B235,'Pre-Summary'!$BW$6:$BY$58,2,FALSE),"")</f>
        <v/>
      </c>
      <c r="N235" s="45" t="str">
        <f>IFERROR(VLOOKUP(B235,'Pre-Summary'!$CD$6:$CF$64,2,FALSE),"")</f>
        <v/>
      </c>
      <c r="O235" s="99">
        <f>IFERROR(VLOOKUP(B235,'Pre-Summary'!$BO$6:$BQ$48,3, FALSE),O234)</f>
        <v>0.54576240161083656</v>
      </c>
      <c r="P235" s="99">
        <f>IFERROR(VLOOKUP(B235,'Pre-Summary'!$BS$6:$BU$35,3,FALSE),P234)</f>
        <v>0.25</v>
      </c>
      <c r="Q235" s="54">
        <f t="shared" si="9"/>
        <v>2.1830496064433462</v>
      </c>
      <c r="R235" s="53">
        <f>IFERROR(VLOOKUP(B235,'Pre-Summary'!$BG$6:$BM$44,7,FALSE),R236)</f>
        <v>2.7904161219319636E-2</v>
      </c>
      <c r="S235" s="53">
        <f>IFERROR(VLOOKUP(B235,'Pre-Summary'!$BG$6:$BM$44,6,FALSE),S236)</f>
        <v>3.3978715219895171E-2</v>
      </c>
      <c r="T235" s="45" t="str">
        <f>IFERROR(VLOOKUP(B235,'Pre-Summary'!$Y$6:$AC$83, 3,FALSE),"")</f>
        <v/>
      </c>
      <c r="U235" s="45" t="str">
        <f>IFERROR(VLOOKUP(B235,'Pre-Summary'!$Y$6:$AC$83, 4,FALSE),"")</f>
        <v/>
      </c>
      <c r="V235" t="str">
        <f>IFERROR(VLOOKUP(B235,'Pre-Summary'!$Y$6:$AC$83, 5,FALSE),"")</f>
        <v/>
      </c>
      <c r="W235" s="45" t="str">
        <f>IFERROR(VLOOKUP(B235,'Pre-Summary'!$Y$6:$AD$83,6,FALSE),"")</f>
        <v/>
      </c>
      <c r="X235" t="str">
        <f>IFERROR(VLOOKUP('Pre-Summary'!$DB$6:$DD$63,3,FALSE),"")</f>
        <v/>
      </c>
      <c r="Y235" t="str">
        <f>IFERROR(VLOOKUP(B235,'Pre-Summary'!$CR$6:$CT$36,3,FALSE),"")</f>
        <v/>
      </c>
      <c r="Z235" s="45" t="str">
        <f>IFERROR(VLOOKUP(B235,'Pre-Summary'!$BZ$6:$CB$63,2,FALSE),"")</f>
        <v/>
      </c>
      <c r="AA235" s="45" t="str">
        <f>IFERROR(VLOOKUP(B235,'Pre-Summary'!$CG$6:$CI$70,2,FALSE),"")</f>
        <v/>
      </c>
      <c r="AB235" s="99">
        <f>IFERROR(VLOOKUP(B235,'Pre-Summary'!$A$6:$P$178,9,FALSE),AB236)</f>
        <v>0.95192327811817912</v>
      </c>
      <c r="AC235" s="10">
        <f>IFERROR(VLOOKUP(Summary!B235,'Pre-Summary'!$A$6:$P$184,5, FALSE)/100,AC236)</f>
        <v>0.88412199999999985</v>
      </c>
      <c r="AD235" s="10">
        <f>IFERROR(VLOOKUP(Summary!B235,'Pre-Summary'!$A$6:$P$184,3, FALSE)/100,AD236)</f>
        <v>0</v>
      </c>
      <c r="AE235" s="10">
        <f>IFERROR(VLOOKUP(Summary!B235,'Pre-Summary'!$A$6:$P$184,7, FALSE)/100,AE236)</f>
        <v>0.11587800000000001</v>
      </c>
      <c r="AF235" s="99">
        <f t="shared" si="10"/>
        <v>0</v>
      </c>
      <c r="AG235" s="99">
        <f t="shared" si="11"/>
        <v>0.11030696562177837</v>
      </c>
      <c r="AH235" s="10" t="str">
        <f>IFERROR(VLOOKUP(B235,'Pre-Summary'!$AZ$6:$BE$65,3,FALSE),"")</f>
        <v/>
      </c>
      <c r="AI235" s="10" t="str">
        <f>IFERROR(VLOOKUP(B235,'Pre-Summary'!$AZ$6:$BE$65,5,FALSE),"")</f>
        <v/>
      </c>
      <c r="AJ235" s="10" t="str">
        <f>IFERROR(VLOOKUP(B235,'Pre-Summary'!$AZ$6:$BE$65,4,FALSE),"")</f>
        <v/>
      </c>
      <c r="AK235" s="10" t="str">
        <f>IFERROR(VLOOKUP(B235,'Pre-Summary'!$AZ$6:$BE$65,6,FALSE),"")</f>
        <v/>
      </c>
      <c r="AL235" s="10" t="str">
        <f>IFERROR(VLOOKUP(B235,'Pre-Summary'!$BG$6:$BL$44,3,FALSE),"")</f>
        <v/>
      </c>
      <c r="AM235" s="10" t="str">
        <f>IFERROR(VLOOKUP(B235,'Pre-Summary'!$BG$6:$BL$44,4,FALSE),"")</f>
        <v/>
      </c>
    </row>
    <row r="236" spans="2:39" ht="15" customHeight="1" x14ac:dyDescent="0.3">
      <c r="B236">
        <v>23.3</v>
      </c>
      <c r="C236" t="str">
        <f>IFERROR(VLOOKUP(B236,'Pre-Summary'!$DI$6:$DM$23,4,FALSE),"")</f>
        <v/>
      </c>
      <c r="D236" s="10" t="str">
        <f>IFERROR(VLOOKUP(B236,'Pre-Summary'!$AT$6:$AX$14,5,FALSE),D235)</f>
        <v>DSMZ v1.5: Using DSMZ 120 with NaHCO3</v>
      </c>
      <c r="E236" s="10" t="str">
        <f>IFERROR(VLOOKUP(B236,'Pre-Summary'!$AT$6:$AX$15,4,FALSE),"")</f>
        <v/>
      </c>
      <c r="F236">
        <f>IFERROR(VLOOKUP(B236,'Pre-Summary'!$AL$6:$AQ$13,6,FALSE),F235)</f>
        <v>0</v>
      </c>
      <c r="G236" t="str">
        <f>IFERROR(VLOOKUP(B236,'Pre-Summary'!$AE$6:$AJ$85,3,FALSE),"")</f>
        <v/>
      </c>
      <c r="H236" t="str">
        <f>IFERROR(VLOOKUP(B236,'Pre-Summary'!$AE$6:$AJ$85,4,FALSE),"")</f>
        <v/>
      </c>
      <c r="I236" t="str">
        <f>IFERROR(VLOOKUP(B236,'Pre-Summary'!$AE$6:$AJ$85,5,FALSE),"")</f>
        <v/>
      </c>
      <c r="J236" s="45" t="str">
        <f>IFERROR(VLOOKUP(B236,'Pre-Summary'!$AE$6:$AJ$85,6, FALSE),"")</f>
        <v/>
      </c>
      <c r="K236" s="45" t="str">
        <f>IFERROR(VLOOKUP(B236,'Pre-Summary'!$DE$6:$DG$61,3,FALSE),"")</f>
        <v/>
      </c>
      <c r="L236" s="45" t="str">
        <f>IFERROR(VLOOKUP(B236,'Pre-Summary'!$CU$6:$CW$36,3,FALSE),"")</f>
        <v/>
      </c>
      <c r="M236" s="45" t="str">
        <f>IFERROR(VLOOKUP(B236,'Pre-Summary'!$BW$6:$BY$58,2,FALSE),"")</f>
        <v/>
      </c>
      <c r="N236" s="45" t="str">
        <f>IFERROR(VLOOKUP(B236,'Pre-Summary'!$CD$6:$CF$64,2,FALSE),"")</f>
        <v/>
      </c>
      <c r="O236" s="99">
        <f>IFERROR(VLOOKUP(B236,'Pre-Summary'!$BO$6:$BQ$48,3, FALSE),O235)</f>
        <v>0.54576240161083656</v>
      </c>
      <c r="P236" s="99">
        <f>IFERROR(VLOOKUP(B236,'Pre-Summary'!$BS$6:$BU$35,3,FALSE),P235)</f>
        <v>0.25</v>
      </c>
      <c r="Q236" s="54">
        <f t="shared" si="9"/>
        <v>2.1830496064433462</v>
      </c>
      <c r="R236" s="53">
        <f>IFERROR(VLOOKUP(B236,'Pre-Summary'!$BG$6:$BM$44,7,FALSE),R237)</f>
        <v>2.7904161219319636E-2</v>
      </c>
      <c r="S236" s="53">
        <f>IFERROR(VLOOKUP(B236,'Pre-Summary'!$BG$6:$BM$44,6,FALSE),S237)</f>
        <v>3.3978715219895171E-2</v>
      </c>
      <c r="T236" s="45" t="str">
        <f>IFERROR(VLOOKUP(B236,'Pre-Summary'!$Y$6:$AC$83, 3,FALSE),"")</f>
        <v/>
      </c>
      <c r="U236" s="45" t="str">
        <f>IFERROR(VLOOKUP(B236,'Pre-Summary'!$Y$6:$AC$83, 4,FALSE),"")</f>
        <v/>
      </c>
      <c r="V236" t="str">
        <f>IFERROR(VLOOKUP(B236,'Pre-Summary'!$Y$6:$AC$83, 5,FALSE),"")</f>
        <v/>
      </c>
      <c r="W236" s="45" t="str">
        <f>IFERROR(VLOOKUP(B236,'Pre-Summary'!$Y$6:$AD$83,6,FALSE),"")</f>
        <v/>
      </c>
      <c r="X236" t="str">
        <f>IFERROR(VLOOKUP('Pre-Summary'!$DB$6:$DD$63,3,FALSE),"")</f>
        <v/>
      </c>
      <c r="Y236" t="str">
        <f>IFERROR(VLOOKUP(B236,'Pre-Summary'!$CR$6:$CT$36,3,FALSE),"")</f>
        <v/>
      </c>
      <c r="Z236" s="45" t="str">
        <f>IFERROR(VLOOKUP(B236,'Pre-Summary'!$BZ$6:$CB$63,2,FALSE),"")</f>
        <v/>
      </c>
      <c r="AA236" s="45" t="str">
        <f>IFERROR(VLOOKUP(B236,'Pre-Summary'!$CG$6:$CI$70,2,FALSE),"")</f>
        <v/>
      </c>
      <c r="AB236" s="99">
        <f>IFERROR(VLOOKUP(B236,'Pre-Summary'!$A$6:$P$178,9,FALSE),AB237)</f>
        <v>0.95192327811817912</v>
      </c>
      <c r="AC236" s="10">
        <f>IFERROR(VLOOKUP(Summary!B236,'Pre-Summary'!$A$6:$P$184,5, FALSE)/100,AC237)</f>
        <v>0.88412199999999985</v>
      </c>
      <c r="AD236" s="10">
        <f>IFERROR(VLOOKUP(Summary!B236,'Pre-Summary'!$A$6:$P$184,3, FALSE)/100,AD237)</f>
        <v>0</v>
      </c>
      <c r="AE236" s="10">
        <f>IFERROR(VLOOKUP(Summary!B236,'Pre-Summary'!$A$6:$P$184,7, FALSE)/100,AE237)</f>
        <v>0.11587800000000001</v>
      </c>
      <c r="AF236" s="99">
        <f t="shared" si="10"/>
        <v>0</v>
      </c>
      <c r="AG236" s="99">
        <f t="shared" si="11"/>
        <v>0.11030696562177837</v>
      </c>
      <c r="AH236" s="10" t="str">
        <f>IFERROR(VLOOKUP(B236,'Pre-Summary'!$AZ$6:$BE$65,3,FALSE),"")</f>
        <v/>
      </c>
      <c r="AI236" s="10" t="str">
        <f>IFERROR(VLOOKUP(B236,'Pre-Summary'!$AZ$6:$BE$65,5,FALSE),"")</f>
        <v/>
      </c>
      <c r="AJ236" s="10" t="str">
        <f>IFERROR(VLOOKUP(B236,'Pre-Summary'!$AZ$6:$BE$65,4,FALSE),"")</f>
        <v/>
      </c>
      <c r="AK236" s="10" t="str">
        <f>IFERROR(VLOOKUP(B236,'Pre-Summary'!$AZ$6:$BE$65,6,FALSE),"")</f>
        <v/>
      </c>
      <c r="AL236" s="10" t="str">
        <f>IFERROR(VLOOKUP(B236,'Pre-Summary'!$BG$6:$BL$44,3,FALSE),"")</f>
        <v/>
      </c>
      <c r="AM236" s="10" t="str">
        <f>IFERROR(VLOOKUP(B236,'Pre-Summary'!$BG$6:$BL$44,4,FALSE),"")</f>
        <v/>
      </c>
    </row>
    <row r="237" spans="2:39" ht="15" customHeight="1" x14ac:dyDescent="0.3">
      <c r="B237">
        <v>23.4</v>
      </c>
      <c r="C237" t="str">
        <f>IFERROR(VLOOKUP(B237,'Pre-Summary'!$DI$6:$DM$23,4,FALSE),"")</f>
        <v/>
      </c>
      <c r="D237" s="10" t="str">
        <f>IFERROR(VLOOKUP(B237,'Pre-Summary'!$AT$6:$AX$14,5,FALSE),D236)</f>
        <v>DSMZ v1.5: Using DSMZ 120 with NaHCO3</v>
      </c>
      <c r="E237" s="10" t="str">
        <f>IFERROR(VLOOKUP(B237,'Pre-Summary'!$AT$6:$AX$15,4,FALSE),"")</f>
        <v/>
      </c>
      <c r="F237">
        <f>IFERROR(VLOOKUP(B237,'Pre-Summary'!$AL$6:$AQ$13,6,FALSE),F236)</f>
        <v>0</v>
      </c>
      <c r="G237" t="str">
        <f>IFERROR(VLOOKUP(B237,'Pre-Summary'!$AE$6:$AJ$85,3,FALSE),"")</f>
        <v/>
      </c>
      <c r="H237" t="str">
        <f>IFERROR(VLOOKUP(B237,'Pre-Summary'!$AE$6:$AJ$85,4,FALSE),"")</f>
        <v/>
      </c>
      <c r="I237" t="str">
        <f>IFERROR(VLOOKUP(B237,'Pre-Summary'!$AE$6:$AJ$85,5,FALSE),"")</f>
        <v/>
      </c>
      <c r="J237" s="45" t="str">
        <f>IFERROR(VLOOKUP(B237,'Pre-Summary'!$AE$6:$AJ$85,6, FALSE),"")</f>
        <v/>
      </c>
      <c r="K237" s="45" t="str">
        <f>IFERROR(VLOOKUP(B237,'Pre-Summary'!$DE$6:$DG$61,3,FALSE),"")</f>
        <v/>
      </c>
      <c r="L237" s="45" t="str">
        <f>IFERROR(VLOOKUP(B237,'Pre-Summary'!$CU$6:$CW$36,3,FALSE),"")</f>
        <v/>
      </c>
      <c r="M237" s="45" t="str">
        <f>IFERROR(VLOOKUP(B237,'Pre-Summary'!$BW$6:$BY$58,2,FALSE),"")</f>
        <v/>
      </c>
      <c r="N237" s="45" t="str">
        <f>IFERROR(VLOOKUP(B237,'Pre-Summary'!$CD$6:$CF$64,2,FALSE),"")</f>
        <v/>
      </c>
      <c r="O237" s="99">
        <f>IFERROR(VLOOKUP(B237,'Pre-Summary'!$BO$6:$BQ$48,3, FALSE),O236)</f>
        <v>0.54576240161083656</v>
      </c>
      <c r="P237" s="99">
        <f>IFERROR(VLOOKUP(B237,'Pre-Summary'!$BS$6:$BU$35,3,FALSE),P236)</f>
        <v>0.25</v>
      </c>
      <c r="Q237" s="54">
        <f t="shared" si="9"/>
        <v>2.1830496064433462</v>
      </c>
      <c r="R237" s="53">
        <f>IFERROR(VLOOKUP(B237,'Pre-Summary'!$BG$6:$BM$44,7,FALSE),R238)</f>
        <v>2.7904161219319636E-2</v>
      </c>
      <c r="S237" s="53">
        <f>IFERROR(VLOOKUP(B237,'Pre-Summary'!$BG$6:$BM$44,6,FALSE),S238)</f>
        <v>3.3978715219895171E-2</v>
      </c>
      <c r="T237" s="45" t="str">
        <f>IFERROR(VLOOKUP(B237,'Pre-Summary'!$Y$6:$AC$83, 3,FALSE),"")</f>
        <v/>
      </c>
      <c r="U237" s="45" t="str">
        <f>IFERROR(VLOOKUP(B237,'Pre-Summary'!$Y$6:$AC$83, 4,FALSE),"")</f>
        <v/>
      </c>
      <c r="V237" t="str">
        <f>IFERROR(VLOOKUP(B237,'Pre-Summary'!$Y$6:$AC$83, 5,FALSE),"")</f>
        <v/>
      </c>
      <c r="W237" s="45" t="str">
        <f>IFERROR(VLOOKUP(B237,'Pre-Summary'!$Y$6:$AD$83,6,FALSE),"")</f>
        <v/>
      </c>
      <c r="X237" t="str">
        <f>IFERROR(VLOOKUP('Pre-Summary'!$DB$6:$DD$63,3,FALSE),"")</f>
        <v/>
      </c>
      <c r="Y237" t="str">
        <f>IFERROR(VLOOKUP(B237,'Pre-Summary'!$CR$6:$CT$36,3,FALSE),"")</f>
        <v/>
      </c>
      <c r="Z237" s="45" t="str">
        <f>IFERROR(VLOOKUP(B237,'Pre-Summary'!$BZ$6:$CB$63,2,FALSE),"")</f>
        <v/>
      </c>
      <c r="AA237" s="45" t="str">
        <f>IFERROR(VLOOKUP(B237,'Pre-Summary'!$CG$6:$CI$70,2,FALSE),"")</f>
        <v/>
      </c>
      <c r="AB237" s="99">
        <f>IFERROR(VLOOKUP(B237,'Pre-Summary'!$A$6:$P$178,9,FALSE),AB238)</f>
        <v>0.95192327811817912</v>
      </c>
      <c r="AC237" s="10">
        <f>IFERROR(VLOOKUP(Summary!B237,'Pre-Summary'!$A$6:$P$184,5, FALSE)/100,AC238)</f>
        <v>0.88412199999999985</v>
      </c>
      <c r="AD237" s="10">
        <f>IFERROR(VLOOKUP(Summary!B237,'Pre-Summary'!$A$6:$P$184,3, FALSE)/100,AD238)</f>
        <v>0</v>
      </c>
      <c r="AE237" s="10">
        <f>IFERROR(VLOOKUP(Summary!B237,'Pre-Summary'!$A$6:$P$184,7, FALSE)/100,AE238)</f>
        <v>0.11587800000000001</v>
      </c>
      <c r="AF237" s="99">
        <f t="shared" si="10"/>
        <v>0</v>
      </c>
      <c r="AG237" s="99">
        <f t="shared" si="11"/>
        <v>0.11030696562177837</v>
      </c>
      <c r="AH237" s="10" t="str">
        <f>IFERROR(VLOOKUP(B237,'Pre-Summary'!$AZ$6:$BE$65,3,FALSE),"")</f>
        <v/>
      </c>
      <c r="AI237" s="10" t="str">
        <f>IFERROR(VLOOKUP(B237,'Pre-Summary'!$AZ$6:$BE$65,5,FALSE),"")</f>
        <v/>
      </c>
      <c r="AJ237" s="10" t="str">
        <f>IFERROR(VLOOKUP(B237,'Pre-Summary'!$AZ$6:$BE$65,4,FALSE),"")</f>
        <v/>
      </c>
      <c r="AK237" s="10" t="str">
        <f>IFERROR(VLOOKUP(B237,'Pre-Summary'!$AZ$6:$BE$65,6,FALSE),"")</f>
        <v/>
      </c>
      <c r="AL237" s="10" t="str">
        <f>IFERROR(VLOOKUP(B237,'Pre-Summary'!$BG$6:$BL$44,3,FALSE),"")</f>
        <v/>
      </c>
      <c r="AM237" s="10" t="str">
        <f>IFERROR(VLOOKUP(B237,'Pre-Summary'!$BG$6:$BL$44,4,FALSE),"")</f>
        <v/>
      </c>
    </row>
    <row r="238" spans="2:39" ht="15" customHeight="1" x14ac:dyDescent="0.3">
      <c r="B238">
        <v>23.5</v>
      </c>
      <c r="C238" t="str">
        <f>IFERROR(VLOOKUP(B238,'Pre-Summary'!$DI$6:$DM$23,4,FALSE),"")</f>
        <v/>
      </c>
      <c r="D238" s="10" t="str">
        <f>IFERROR(VLOOKUP(B238,'Pre-Summary'!$AT$6:$AX$14,5,FALSE),D237)</f>
        <v>DSMZ v1.5: Using DSMZ 120 with NaHCO3</v>
      </c>
      <c r="E238" s="10" t="str">
        <f>IFERROR(VLOOKUP(B238,'Pre-Summary'!$AT$6:$AX$15,4,FALSE),"")</f>
        <v/>
      </c>
      <c r="F238">
        <f>IFERROR(VLOOKUP(B238,'Pre-Summary'!$AL$6:$AQ$13,6,FALSE),F237)</f>
        <v>0</v>
      </c>
      <c r="G238" t="str">
        <f>IFERROR(VLOOKUP(B238,'Pre-Summary'!$AE$6:$AJ$85,3,FALSE),"")</f>
        <v/>
      </c>
      <c r="H238" t="str">
        <f>IFERROR(VLOOKUP(B238,'Pre-Summary'!$AE$6:$AJ$85,4,FALSE),"")</f>
        <v/>
      </c>
      <c r="I238" t="str">
        <f>IFERROR(VLOOKUP(B238,'Pre-Summary'!$AE$6:$AJ$85,5,FALSE),"")</f>
        <v/>
      </c>
      <c r="J238" s="45" t="str">
        <f>IFERROR(VLOOKUP(B238,'Pre-Summary'!$AE$6:$AJ$85,6, FALSE),"")</f>
        <v/>
      </c>
      <c r="K238" s="45" t="str">
        <f>IFERROR(VLOOKUP(B238,'Pre-Summary'!$DE$6:$DG$61,3,FALSE),"")</f>
        <v/>
      </c>
      <c r="L238" s="45" t="str">
        <f>IFERROR(VLOOKUP(B238,'Pre-Summary'!$CU$6:$CW$36,3,FALSE),"")</f>
        <v/>
      </c>
      <c r="M238" s="45" t="str">
        <f>IFERROR(VLOOKUP(B238,'Pre-Summary'!$BW$6:$BY$58,2,FALSE),"")</f>
        <v/>
      </c>
      <c r="N238" s="45" t="str">
        <f>IFERROR(VLOOKUP(B238,'Pre-Summary'!$CD$6:$CF$64,2,FALSE),"")</f>
        <v/>
      </c>
      <c r="O238" s="99">
        <f>IFERROR(VLOOKUP(B238,'Pre-Summary'!$BO$6:$BQ$48,3, FALSE),O237)</f>
        <v>0.54576240161083656</v>
      </c>
      <c r="P238" s="99">
        <f>IFERROR(VLOOKUP(B238,'Pre-Summary'!$BS$6:$BU$35,3,FALSE),P237)</f>
        <v>0.25</v>
      </c>
      <c r="Q238" s="54">
        <f t="shared" si="9"/>
        <v>2.1830496064433462</v>
      </c>
      <c r="R238" s="53">
        <f>IFERROR(VLOOKUP(B238,'Pre-Summary'!$BG$6:$BM$44,7,FALSE),R239)</f>
        <v>2.7904161219319636E-2</v>
      </c>
      <c r="S238" s="53">
        <f>IFERROR(VLOOKUP(B238,'Pre-Summary'!$BG$6:$BM$44,6,FALSE),S239)</f>
        <v>3.3978715219895171E-2</v>
      </c>
      <c r="T238" s="45" t="str">
        <f>IFERROR(VLOOKUP(B238,'Pre-Summary'!$Y$6:$AC$83, 3,FALSE),"")</f>
        <v/>
      </c>
      <c r="U238" s="45" t="str">
        <f>IFERROR(VLOOKUP(B238,'Pre-Summary'!$Y$6:$AC$83, 4,FALSE),"")</f>
        <v/>
      </c>
      <c r="V238" t="str">
        <f>IFERROR(VLOOKUP(B238,'Pre-Summary'!$Y$6:$AC$83, 5,FALSE),"")</f>
        <v/>
      </c>
      <c r="W238" s="45" t="str">
        <f>IFERROR(VLOOKUP(B238,'Pre-Summary'!$Y$6:$AD$83,6,FALSE),"")</f>
        <v/>
      </c>
      <c r="X238" t="str">
        <f>IFERROR(VLOOKUP('Pre-Summary'!$DB$6:$DD$63,3,FALSE),"")</f>
        <v/>
      </c>
      <c r="Y238" t="str">
        <f>IFERROR(VLOOKUP(B238,'Pre-Summary'!$CR$6:$CT$36,3,FALSE),"")</f>
        <v/>
      </c>
      <c r="Z238" s="45" t="str">
        <f>IFERROR(VLOOKUP(B238,'Pre-Summary'!$BZ$6:$CB$63,2,FALSE),"")</f>
        <v/>
      </c>
      <c r="AA238" s="45" t="str">
        <f>IFERROR(VLOOKUP(B238,'Pre-Summary'!$CG$6:$CI$70,2,FALSE),"")</f>
        <v/>
      </c>
      <c r="AB238" s="99">
        <f>IFERROR(VLOOKUP(B238,'Pre-Summary'!$A$6:$P$178,9,FALSE),AB239)</f>
        <v>0.95192327811817912</v>
      </c>
      <c r="AC238" s="10">
        <f>IFERROR(VLOOKUP(Summary!B238,'Pre-Summary'!$A$6:$P$184,5, FALSE)/100,AC239)</f>
        <v>0.88412199999999985</v>
      </c>
      <c r="AD238" s="10">
        <f>IFERROR(VLOOKUP(Summary!B238,'Pre-Summary'!$A$6:$P$184,3, FALSE)/100,AD239)</f>
        <v>0</v>
      </c>
      <c r="AE238" s="10">
        <f>IFERROR(VLOOKUP(Summary!B238,'Pre-Summary'!$A$6:$P$184,7, FALSE)/100,AE239)</f>
        <v>0.11587800000000001</v>
      </c>
      <c r="AF238" s="99">
        <f t="shared" si="10"/>
        <v>0</v>
      </c>
      <c r="AG238" s="99">
        <f t="shared" si="11"/>
        <v>0.11030696562177837</v>
      </c>
      <c r="AH238" s="10" t="str">
        <f>IFERROR(VLOOKUP(B238,'Pre-Summary'!$AZ$6:$BE$65,3,FALSE),"")</f>
        <v/>
      </c>
      <c r="AI238" s="10" t="str">
        <f>IFERROR(VLOOKUP(B238,'Pre-Summary'!$AZ$6:$BE$65,5,FALSE),"")</f>
        <v/>
      </c>
      <c r="AJ238" s="10" t="str">
        <f>IFERROR(VLOOKUP(B238,'Pre-Summary'!$AZ$6:$BE$65,4,FALSE),"")</f>
        <v/>
      </c>
      <c r="AK238" s="10" t="str">
        <f>IFERROR(VLOOKUP(B238,'Pre-Summary'!$AZ$6:$BE$65,6,FALSE),"")</f>
        <v/>
      </c>
      <c r="AL238" s="10" t="str">
        <f>IFERROR(VLOOKUP(B238,'Pre-Summary'!$BG$6:$BL$44,3,FALSE),"")</f>
        <v/>
      </c>
      <c r="AM238" s="10" t="str">
        <f>IFERROR(VLOOKUP(B238,'Pre-Summary'!$BG$6:$BL$44,4,FALSE),"")</f>
        <v/>
      </c>
    </row>
    <row r="239" spans="2:39" ht="15" customHeight="1" x14ac:dyDescent="0.3">
      <c r="B239">
        <v>23.6</v>
      </c>
      <c r="C239" t="str">
        <f>IFERROR(VLOOKUP(B239,'Pre-Summary'!$DI$6:$DM$23,4,FALSE),"")</f>
        <v/>
      </c>
      <c r="D239" s="10" t="str">
        <f>IFERROR(VLOOKUP(B239,'Pre-Summary'!$AT$6:$AX$14,5,FALSE),D238)</f>
        <v>DSMZ v1.5: Using DSMZ 120 with NaHCO3</v>
      </c>
      <c r="E239" s="10" t="str">
        <f>IFERROR(VLOOKUP(B239,'Pre-Summary'!$AT$6:$AX$15,4,FALSE),"")</f>
        <v/>
      </c>
      <c r="F239">
        <f>IFERROR(VLOOKUP(B239,'Pre-Summary'!$AL$6:$AQ$13,6,FALSE),F238)</f>
        <v>0</v>
      </c>
      <c r="G239" t="str">
        <f>IFERROR(VLOOKUP(B239,'Pre-Summary'!$AE$6:$AJ$85,3,FALSE),"")</f>
        <v/>
      </c>
      <c r="H239" t="str">
        <f>IFERROR(VLOOKUP(B239,'Pre-Summary'!$AE$6:$AJ$85,4,FALSE),"")</f>
        <v/>
      </c>
      <c r="I239" t="str">
        <f>IFERROR(VLOOKUP(B239,'Pre-Summary'!$AE$6:$AJ$85,5,FALSE),"")</f>
        <v/>
      </c>
      <c r="J239" s="45" t="str">
        <f>IFERROR(VLOOKUP(B239,'Pre-Summary'!$AE$6:$AJ$85,6, FALSE),"")</f>
        <v/>
      </c>
      <c r="K239" s="45" t="str">
        <f>IFERROR(VLOOKUP(B239,'Pre-Summary'!$DE$6:$DG$61,3,FALSE),"")</f>
        <v/>
      </c>
      <c r="L239" s="45" t="str">
        <f>IFERROR(VLOOKUP(B239,'Pre-Summary'!$CU$6:$CW$36,3,FALSE),"")</f>
        <v/>
      </c>
      <c r="M239" s="45" t="str">
        <f>IFERROR(VLOOKUP(B239,'Pre-Summary'!$BW$6:$BY$58,2,FALSE),"")</f>
        <v/>
      </c>
      <c r="N239" s="45" t="str">
        <f>IFERROR(VLOOKUP(B239,'Pre-Summary'!$CD$6:$CF$64,2,FALSE),"")</f>
        <v/>
      </c>
      <c r="O239" s="99">
        <f>IFERROR(VLOOKUP(B239,'Pre-Summary'!$BO$6:$BQ$48,3, FALSE),O238)</f>
        <v>0.54576240161083656</v>
      </c>
      <c r="P239" s="99">
        <f>IFERROR(VLOOKUP(B239,'Pre-Summary'!$BS$6:$BU$35,3,FALSE),P238)</f>
        <v>0.25</v>
      </c>
      <c r="Q239" s="54">
        <f t="shared" si="9"/>
        <v>2.1830496064433462</v>
      </c>
      <c r="R239" s="53">
        <f>IFERROR(VLOOKUP(B239,'Pre-Summary'!$BG$6:$BM$44,7,FALSE),R240)</f>
        <v>2.7904161219319636E-2</v>
      </c>
      <c r="S239" s="53">
        <f>IFERROR(VLOOKUP(B239,'Pre-Summary'!$BG$6:$BM$44,6,FALSE),S240)</f>
        <v>3.3978715219895171E-2</v>
      </c>
      <c r="T239" s="45" t="str">
        <f>IFERROR(VLOOKUP(B239,'Pre-Summary'!$Y$6:$AC$83, 3,FALSE),"")</f>
        <v/>
      </c>
      <c r="U239" s="45" t="str">
        <f>IFERROR(VLOOKUP(B239,'Pre-Summary'!$Y$6:$AC$83, 4,FALSE),"")</f>
        <v/>
      </c>
      <c r="V239" t="str">
        <f>IFERROR(VLOOKUP(B239,'Pre-Summary'!$Y$6:$AC$83, 5,FALSE),"")</f>
        <v/>
      </c>
      <c r="W239" s="45" t="str">
        <f>IFERROR(VLOOKUP(B239,'Pre-Summary'!$Y$6:$AD$83,6,FALSE),"")</f>
        <v/>
      </c>
      <c r="X239" t="str">
        <f>IFERROR(VLOOKUP('Pre-Summary'!$DB$6:$DD$63,3,FALSE),"")</f>
        <v/>
      </c>
      <c r="Y239" t="str">
        <f>IFERROR(VLOOKUP(B239,'Pre-Summary'!$CR$6:$CT$36,3,FALSE),"")</f>
        <v/>
      </c>
      <c r="Z239" s="45" t="str">
        <f>IFERROR(VLOOKUP(B239,'Pre-Summary'!$BZ$6:$CB$63,2,FALSE),"")</f>
        <v/>
      </c>
      <c r="AA239" s="45" t="str">
        <f>IFERROR(VLOOKUP(B239,'Pre-Summary'!$CG$6:$CI$70,2,FALSE),"")</f>
        <v/>
      </c>
      <c r="AB239" s="99">
        <f>IFERROR(VLOOKUP(B239,'Pre-Summary'!$A$6:$P$178,9,FALSE),AB240)</f>
        <v>0.95192327811817912</v>
      </c>
      <c r="AC239" s="10">
        <f>IFERROR(VLOOKUP(Summary!B239,'Pre-Summary'!$A$6:$P$184,5, FALSE)/100,AC240)</f>
        <v>0.88412199999999985</v>
      </c>
      <c r="AD239" s="10">
        <f>IFERROR(VLOOKUP(Summary!B239,'Pre-Summary'!$A$6:$P$184,3, FALSE)/100,AD240)</f>
        <v>0</v>
      </c>
      <c r="AE239" s="10">
        <f>IFERROR(VLOOKUP(Summary!B239,'Pre-Summary'!$A$6:$P$184,7, FALSE)/100,AE240)</f>
        <v>0.11587800000000001</v>
      </c>
      <c r="AF239" s="99">
        <f t="shared" si="10"/>
        <v>0</v>
      </c>
      <c r="AG239" s="99">
        <f t="shared" si="11"/>
        <v>0.11030696562177837</v>
      </c>
      <c r="AH239" s="10" t="str">
        <f>IFERROR(VLOOKUP(B239,'Pre-Summary'!$AZ$6:$BE$65,3,FALSE),"")</f>
        <v/>
      </c>
      <c r="AI239" s="10" t="str">
        <f>IFERROR(VLOOKUP(B239,'Pre-Summary'!$AZ$6:$BE$65,5,FALSE),"")</f>
        <v/>
      </c>
      <c r="AJ239" s="10" t="str">
        <f>IFERROR(VLOOKUP(B239,'Pre-Summary'!$AZ$6:$BE$65,4,FALSE),"")</f>
        <v/>
      </c>
      <c r="AK239" s="10" t="str">
        <f>IFERROR(VLOOKUP(B239,'Pre-Summary'!$AZ$6:$BE$65,6,FALSE),"")</f>
        <v/>
      </c>
      <c r="AL239" s="10" t="str">
        <f>IFERROR(VLOOKUP(B239,'Pre-Summary'!$BG$6:$BL$44,3,FALSE),"")</f>
        <v/>
      </c>
      <c r="AM239" s="10" t="str">
        <f>IFERROR(VLOOKUP(B239,'Pre-Summary'!$BG$6:$BL$44,4,FALSE),"")</f>
        <v/>
      </c>
    </row>
    <row r="240" spans="2:39" ht="15" customHeight="1" x14ac:dyDescent="0.3">
      <c r="B240">
        <v>23.7</v>
      </c>
      <c r="C240" t="str">
        <f>IFERROR(VLOOKUP(B240,'Pre-Summary'!$DI$6:$DM$23,4,FALSE),"")</f>
        <v/>
      </c>
      <c r="D240" s="10" t="str">
        <f>IFERROR(VLOOKUP(B240,'Pre-Summary'!$AT$6:$AX$14,5,FALSE),D239)</f>
        <v>DSMZ v1.5: Using DSMZ 120 with NaHCO3</v>
      </c>
      <c r="E240" s="10" t="str">
        <f>IFERROR(VLOOKUP(B240,'Pre-Summary'!$AT$6:$AX$15,4,FALSE),"")</f>
        <v/>
      </c>
      <c r="F240">
        <f>IFERROR(VLOOKUP(B240,'Pre-Summary'!$AL$6:$AQ$13,6,FALSE),F239)</f>
        <v>0</v>
      </c>
      <c r="G240" t="str">
        <f>IFERROR(VLOOKUP(B240,'Pre-Summary'!$AE$6:$AJ$85,3,FALSE),"")</f>
        <v/>
      </c>
      <c r="H240" t="str">
        <f>IFERROR(VLOOKUP(B240,'Pre-Summary'!$AE$6:$AJ$85,4,FALSE),"")</f>
        <v/>
      </c>
      <c r="I240" t="str">
        <f>IFERROR(VLOOKUP(B240,'Pre-Summary'!$AE$6:$AJ$85,5,FALSE),"")</f>
        <v/>
      </c>
      <c r="J240" s="45" t="str">
        <f>IFERROR(VLOOKUP(B240,'Pre-Summary'!$AE$6:$AJ$85,6, FALSE),"")</f>
        <v/>
      </c>
      <c r="K240" s="45" t="str">
        <f>IFERROR(VLOOKUP(B240,'Pre-Summary'!$DE$6:$DG$61,3,FALSE),"")</f>
        <v/>
      </c>
      <c r="L240" s="45" t="str">
        <f>IFERROR(VLOOKUP(B240,'Pre-Summary'!$CU$6:$CW$36,3,FALSE),"")</f>
        <v/>
      </c>
      <c r="M240" s="45" t="str">
        <f>IFERROR(VLOOKUP(B240,'Pre-Summary'!$BW$6:$BY$58,2,FALSE),"")</f>
        <v/>
      </c>
      <c r="N240" s="45" t="str">
        <f>IFERROR(VLOOKUP(B240,'Pre-Summary'!$CD$6:$CF$64,2,FALSE),"")</f>
        <v/>
      </c>
      <c r="O240" s="99">
        <f>IFERROR(VLOOKUP(B240,'Pre-Summary'!$BO$6:$BQ$48,3, FALSE),O239)</f>
        <v>0.54576240161083656</v>
      </c>
      <c r="P240" s="99">
        <f>IFERROR(VLOOKUP(B240,'Pre-Summary'!$BS$6:$BU$35,3,FALSE),P239)</f>
        <v>0.25</v>
      </c>
      <c r="Q240" s="54">
        <f t="shared" si="9"/>
        <v>2.1830496064433462</v>
      </c>
      <c r="R240" s="53">
        <f>IFERROR(VLOOKUP(B240,'Pre-Summary'!$BG$6:$BM$44,7,FALSE),R241)</f>
        <v>2.7904161219319636E-2</v>
      </c>
      <c r="S240" s="53">
        <f>IFERROR(VLOOKUP(B240,'Pre-Summary'!$BG$6:$BM$44,6,FALSE),S241)</f>
        <v>3.3978715219895171E-2</v>
      </c>
      <c r="T240" s="45" t="str">
        <f>IFERROR(VLOOKUP(B240,'Pre-Summary'!$Y$6:$AC$83, 3,FALSE),"")</f>
        <v/>
      </c>
      <c r="U240" s="45" t="str">
        <f>IFERROR(VLOOKUP(B240,'Pre-Summary'!$Y$6:$AC$83, 4,FALSE),"")</f>
        <v/>
      </c>
      <c r="V240" t="str">
        <f>IFERROR(VLOOKUP(B240,'Pre-Summary'!$Y$6:$AC$83, 5,FALSE),"")</f>
        <v/>
      </c>
      <c r="W240" s="45" t="str">
        <f>IFERROR(VLOOKUP(B240,'Pre-Summary'!$Y$6:$AD$83,6,FALSE),"")</f>
        <v/>
      </c>
      <c r="X240" t="str">
        <f>IFERROR(VLOOKUP('Pre-Summary'!$DB$6:$DD$63,3,FALSE),"")</f>
        <v/>
      </c>
      <c r="Y240" t="str">
        <f>IFERROR(VLOOKUP(B240,'Pre-Summary'!$CR$6:$CT$36,3,FALSE),"")</f>
        <v/>
      </c>
      <c r="Z240" s="45" t="str">
        <f>IFERROR(VLOOKUP(B240,'Pre-Summary'!$BZ$6:$CB$63,2,FALSE),"")</f>
        <v/>
      </c>
      <c r="AA240" s="45" t="str">
        <f>IFERROR(VLOOKUP(B240,'Pre-Summary'!$CG$6:$CI$70,2,FALSE),"")</f>
        <v/>
      </c>
      <c r="AB240" s="99">
        <f>IFERROR(VLOOKUP(B240,'Pre-Summary'!$A$6:$P$178,9,FALSE),AB241)</f>
        <v>0.95192327811817912</v>
      </c>
      <c r="AC240" s="10">
        <f>IFERROR(VLOOKUP(Summary!B240,'Pre-Summary'!$A$6:$P$184,5, FALSE)/100,AC241)</f>
        <v>0.88412199999999985</v>
      </c>
      <c r="AD240" s="10">
        <f>IFERROR(VLOOKUP(Summary!B240,'Pre-Summary'!$A$6:$P$184,3, FALSE)/100,AD241)</f>
        <v>0</v>
      </c>
      <c r="AE240" s="10">
        <f>IFERROR(VLOOKUP(Summary!B240,'Pre-Summary'!$A$6:$P$184,7, FALSE)/100,AE241)</f>
        <v>0.11587800000000001</v>
      </c>
      <c r="AF240" s="99">
        <f t="shared" si="10"/>
        <v>0</v>
      </c>
      <c r="AG240" s="99">
        <f t="shared" si="11"/>
        <v>0.11030696562177837</v>
      </c>
      <c r="AH240" s="10" t="str">
        <f>IFERROR(VLOOKUP(B240,'Pre-Summary'!$AZ$6:$BE$65,3,FALSE),"")</f>
        <v/>
      </c>
      <c r="AI240" s="10" t="str">
        <f>IFERROR(VLOOKUP(B240,'Pre-Summary'!$AZ$6:$BE$65,5,FALSE),"")</f>
        <v/>
      </c>
      <c r="AJ240" s="10" t="str">
        <f>IFERROR(VLOOKUP(B240,'Pre-Summary'!$AZ$6:$BE$65,4,FALSE),"")</f>
        <v/>
      </c>
      <c r="AK240" s="10" t="str">
        <f>IFERROR(VLOOKUP(B240,'Pre-Summary'!$AZ$6:$BE$65,6,FALSE),"")</f>
        <v/>
      </c>
      <c r="AL240" s="10" t="str">
        <f>IFERROR(VLOOKUP(B240,'Pre-Summary'!$BG$6:$BL$44,3,FALSE),"")</f>
        <v/>
      </c>
      <c r="AM240" s="10" t="str">
        <f>IFERROR(VLOOKUP(B240,'Pre-Summary'!$BG$6:$BL$44,4,FALSE),"")</f>
        <v/>
      </c>
    </row>
    <row r="241" spans="2:39" ht="15" customHeight="1" x14ac:dyDescent="0.3">
      <c r="B241">
        <v>23.8</v>
      </c>
      <c r="C241" t="str">
        <f>IFERROR(VLOOKUP(B241,'Pre-Summary'!$DI$6:$DM$23,4,FALSE),"")</f>
        <v/>
      </c>
      <c r="D241" s="10" t="str">
        <f>IFERROR(VLOOKUP(B241,'Pre-Summary'!$AT$6:$AX$14,5,FALSE),D240)</f>
        <v>DSMZ v1.5: Using DSMZ 120 with NaHCO3</v>
      </c>
      <c r="E241" s="10" t="str">
        <f>IFERROR(VLOOKUP(B241,'Pre-Summary'!$AT$6:$AX$15,4,FALSE),"")</f>
        <v/>
      </c>
      <c r="F241">
        <f>IFERROR(VLOOKUP(B241,'Pre-Summary'!$AL$6:$AQ$13,6,FALSE),F240)</f>
        <v>0</v>
      </c>
      <c r="G241" t="str">
        <f>IFERROR(VLOOKUP(B241,'Pre-Summary'!$AE$6:$AJ$85,3,FALSE),"")</f>
        <v/>
      </c>
      <c r="H241" t="str">
        <f>IFERROR(VLOOKUP(B241,'Pre-Summary'!$AE$6:$AJ$85,4,FALSE),"")</f>
        <v/>
      </c>
      <c r="I241" t="str">
        <f>IFERROR(VLOOKUP(B241,'Pre-Summary'!$AE$6:$AJ$85,5,FALSE),"")</f>
        <v/>
      </c>
      <c r="J241" s="45" t="str">
        <f>IFERROR(VLOOKUP(B241,'Pre-Summary'!$AE$6:$AJ$85,6, FALSE),"")</f>
        <v/>
      </c>
      <c r="K241" s="45" t="str">
        <f>IFERROR(VLOOKUP(B241,'Pre-Summary'!$DE$6:$DG$61,3,FALSE),"")</f>
        <v/>
      </c>
      <c r="L241" s="45" t="str">
        <f>IFERROR(VLOOKUP(B241,'Pre-Summary'!$CU$6:$CW$36,3,FALSE),"")</f>
        <v/>
      </c>
      <c r="M241" s="45" t="str">
        <f>IFERROR(VLOOKUP(B241,'Pre-Summary'!$BW$6:$BY$58,2,FALSE),"")</f>
        <v/>
      </c>
      <c r="N241" s="45" t="str">
        <f>IFERROR(VLOOKUP(B241,'Pre-Summary'!$CD$6:$CF$64,2,FALSE),"")</f>
        <v/>
      </c>
      <c r="O241" s="99">
        <f>IFERROR(VLOOKUP(B241,'Pre-Summary'!$BO$6:$BQ$48,3, FALSE),O240)</f>
        <v>0.54576240161083656</v>
      </c>
      <c r="P241" s="99">
        <f>IFERROR(VLOOKUP(B241,'Pre-Summary'!$BS$6:$BU$35,3,FALSE),P240)</f>
        <v>0.25</v>
      </c>
      <c r="Q241" s="54">
        <f t="shared" si="9"/>
        <v>2.1830496064433462</v>
      </c>
      <c r="R241" s="53">
        <f>IFERROR(VLOOKUP(B241,'Pre-Summary'!$BG$6:$BM$44,7,FALSE),R242)</f>
        <v>2.7904161219319636E-2</v>
      </c>
      <c r="S241" s="53">
        <f>IFERROR(VLOOKUP(B241,'Pre-Summary'!$BG$6:$BM$44,6,FALSE),S242)</f>
        <v>3.3978715219895171E-2</v>
      </c>
      <c r="T241" s="45" t="str">
        <f>IFERROR(VLOOKUP(B241,'Pre-Summary'!$Y$6:$AC$83, 3,FALSE),"")</f>
        <v/>
      </c>
      <c r="U241" s="45" t="str">
        <f>IFERROR(VLOOKUP(B241,'Pre-Summary'!$Y$6:$AC$83, 4,FALSE),"")</f>
        <v/>
      </c>
      <c r="V241" t="str">
        <f>IFERROR(VLOOKUP(B241,'Pre-Summary'!$Y$6:$AC$83, 5,FALSE),"")</f>
        <v/>
      </c>
      <c r="W241" s="45" t="str">
        <f>IFERROR(VLOOKUP(B241,'Pre-Summary'!$Y$6:$AD$83,6,FALSE),"")</f>
        <v/>
      </c>
      <c r="X241" t="str">
        <f>IFERROR(VLOOKUP('Pre-Summary'!$DB$6:$DD$63,3,FALSE),"")</f>
        <v/>
      </c>
      <c r="Y241" t="str">
        <f>IFERROR(VLOOKUP(B241,'Pre-Summary'!$CR$6:$CT$36,3,FALSE),"")</f>
        <v/>
      </c>
      <c r="Z241" s="45" t="str">
        <f>IFERROR(VLOOKUP(B241,'Pre-Summary'!$BZ$6:$CB$63,2,FALSE),"")</f>
        <v/>
      </c>
      <c r="AA241" s="45" t="str">
        <f>IFERROR(VLOOKUP(B241,'Pre-Summary'!$CG$6:$CI$70,2,FALSE),"")</f>
        <v/>
      </c>
      <c r="AB241" s="99">
        <f>IFERROR(VLOOKUP(B241,'Pre-Summary'!$A$6:$P$178,9,FALSE),AB242)</f>
        <v>0.95192327811817912</v>
      </c>
      <c r="AC241" s="10">
        <f>IFERROR(VLOOKUP(Summary!B241,'Pre-Summary'!$A$6:$P$184,5, FALSE)/100,AC242)</f>
        <v>0.88412199999999985</v>
      </c>
      <c r="AD241" s="10">
        <f>IFERROR(VLOOKUP(Summary!B241,'Pre-Summary'!$A$6:$P$184,3, FALSE)/100,AD242)</f>
        <v>0</v>
      </c>
      <c r="AE241" s="10">
        <f>IFERROR(VLOOKUP(Summary!B241,'Pre-Summary'!$A$6:$P$184,7, FALSE)/100,AE242)</f>
        <v>0.11587800000000001</v>
      </c>
      <c r="AF241" s="99">
        <f t="shared" si="10"/>
        <v>0</v>
      </c>
      <c r="AG241" s="99">
        <f t="shared" si="11"/>
        <v>0.11030696562177837</v>
      </c>
      <c r="AH241" s="10" t="str">
        <f>IFERROR(VLOOKUP(B241,'Pre-Summary'!$AZ$6:$BE$65,3,FALSE),"")</f>
        <v/>
      </c>
      <c r="AI241" s="10" t="str">
        <f>IFERROR(VLOOKUP(B241,'Pre-Summary'!$AZ$6:$BE$65,5,FALSE),"")</f>
        <v/>
      </c>
      <c r="AJ241" s="10" t="str">
        <f>IFERROR(VLOOKUP(B241,'Pre-Summary'!$AZ$6:$BE$65,4,FALSE),"")</f>
        <v/>
      </c>
      <c r="AK241" s="10" t="str">
        <f>IFERROR(VLOOKUP(B241,'Pre-Summary'!$AZ$6:$BE$65,6,FALSE),"")</f>
        <v/>
      </c>
      <c r="AL241" s="10" t="str">
        <f>IFERROR(VLOOKUP(B241,'Pre-Summary'!$BG$6:$BL$44,3,FALSE),"")</f>
        <v/>
      </c>
      <c r="AM241" s="10" t="str">
        <f>IFERROR(VLOOKUP(B241,'Pre-Summary'!$BG$6:$BL$44,4,FALSE),"")</f>
        <v/>
      </c>
    </row>
    <row r="242" spans="2:39" ht="15" customHeight="1" x14ac:dyDescent="0.3">
      <c r="B242">
        <v>23.9</v>
      </c>
      <c r="C242" t="str">
        <f>IFERROR(VLOOKUP(B242,'Pre-Summary'!$DI$6:$DM$23,4,FALSE),"")</f>
        <v/>
      </c>
      <c r="D242" s="10" t="str">
        <f>IFERROR(VLOOKUP(B242,'Pre-Summary'!$AT$6:$AX$14,5,FALSE),D241)</f>
        <v>DSMZ v1.5: Using DSMZ 120 with NaHCO3</v>
      </c>
      <c r="E242" s="10" t="str">
        <f>IFERROR(VLOOKUP(B242,'Pre-Summary'!$AT$6:$AX$15,4,FALSE),"")</f>
        <v/>
      </c>
      <c r="F242">
        <f>IFERROR(VLOOKUP(B242,'Pre-Summary'!$AL$6:$AQ$13,6,FALSE),F241)</f>
        <v>0</v>
      </c>
      <c r="G242" t="str">
        <f>IFERROR(VLOOKUP(B242,'Pre-Summary'!$AE$6:$AJ$85,3,FALSE),"")</f>
        <v/>
      </c>
      <c r="H242" t="str">
        <f>IFERROR(VLOOKUP(B242,'Pre-Summary'!$AE$6:$AJ$85,4,FALSE),"")</f>
        <v/>
      </c>
      <c r="I242" t="str">
        <f>IFERROR(VLOOKUP(B242,'Pre-Summary'!$AE$6:$AJ$85,5,FALSE),"")</f>
        <v/>
      </c>
      <c r="J242" s="45" t="str">
        <f>IFERROR(VLOOKUP(B242,'Pre-Summary'!$AE$6:$AJ$85,6, FALSE),"")</f>
        <v/>
      </c>
      <c r="K242" s="45" t="str">
        <f>IFERROR(VLOOKUP(B242,'Pre-Summary'!$DE$6:$DG$61,3,FALSE),"")</f>
        <v/>
      </c>
      <c r="L242" s="45" t="str">
        <f>IFERROR(VLOOKUP(B242,'Pre-Summary'!$CU$6:$CW$36,3,FALSE),"")</f>
        <v/>
      </c>
      <c r="M242" s="45" t="str">
        <f>IFERROR(VLOOKUP(B242,'Pre-Summary'!$BW$6:$BY$58,2,FALSE),"")</f>
        <v/>
      </c>
      <c r="N242" s="45" t="str">
        <f>IFERROR(VLOOKUP(B242,'Pre-Summary'!$CD$6:$CF$64,2,FALSE),"")</f>
        <v/>
      </c>
      <c r="O242" s="99">
        <f>IFERROR(VLOOKUP(B242,'Pre-Summary'!$BO$6:$BQ$48,3, FALSE),O241)</f>
        <v>0.54576240161083656</v>
      </c>
      <c r="P242" s="99">
        <f>IFERROR(VLOOKUP(B242,'Pre-Summary'!$BS$6:$BU$35,3,FALSE),P241)</f>
        <v>0.25</v>
      </c>
      <c r="Q242" s="54">
        <f t="shared" si="9"/>
        <v>2.1830496064433462</v>
      </c>
      <c r="R242" s="53">
        <f>IFERROR(VLOOKUP(B242,'Pre-Summary'!$BG$6:$BM$44,7,FALSE),R243)</f>
        <v>2.7904161219319636E-2</v>
      </c>
      <c r="S242" s="53">
        <f>IFERROR(VLOOKUP(B242,'Pre-Summary'!$BG$6:$BM$44,6,FALSE),S243)</f>
        <v>3.3978715219895171E-2</v>
      </c>
      <c r="T242" s="45" t="str">
        <f>IFERROR(VLOOKUP(B242,'Pre-Summary'!$Y$6:$AC$83, 3,FALSE),"")</f>
        <v/>
      </c>
      <c r="U242" s="45" t="str">
        <f>IFERROR(VLOOKUP(B242,'Pre-Summary'!$Y$6:$AC$83, 4,FALSE),"")</f>
        <v/>
      </c>
      <c r="V242" t="str">
        <f>IFERROR(VLOOKUP(B242,'Pre-Summary'!$Y$6:$AC$83, 5,FALSE),"")</f>
        <v/>
      </c>
      <c r="W242" s="45" t="str">
        <f>IFERROR(VLOOKUP(B242,'Pre-Summary'!$Y$6:$AD$83,6,FALSE),"")</f>
        <v/>
      </c>
      <c r="X242" t="str">
        <f>IFERROR(VLOOKUP('Pre-Summary'!$DB$6:$DD$63,3,FALSE),"")</f>
        <v/>
      </c>
      <c r="Y242" t="str">
        <f>IFERROR(VLOOKUP(B242,'Pre-Summary'!$CR$6:$CT$36,3,FALSE),"")</f>
        <v/>
      </c>
      <c r="Z242" s="45" t="str">
        <f>IFERROR(VLOOKUP(B242,'Pre-Summary'!$BZ$6:$CB$63,2,FALSE),"")</f>
        <v/>
      </c>
      <c r="AA242" s="45" t="str">
        <f>IFERROR(VLOOKUP(B242,'Pre-Summary'!$CG$6:$CI$70,2,FALSE),"")</f>
        <v/>
      </c>
      <c r="AB242" s="99">
        <f>IFERROR(VLOOKUP(B242,'Pre-Summary'!$A$6:$P$178,9,FALSE),AB243)</f>
        <v>0.95192327811817912</v>
      </c>
      <c r="AC242" s="10">
        <f>IFERROR(VLOOKUP(Summary!B242,'Pre-Summary'!$A$6:$P$184,5, FALSE)/100,AC243)</f>
        <v>0.88412199999999985</v>
      </c>
      <c r="AD242" s="10">
        <f>IFERROR(VLOOKUP(Summary!B242,'Pre-Summary'!$A$6:$P$184,3, FALSE)/100,AD243)</f>
        <v>0</v>
      </c>
      <c r="AE242" s="10">
        <f>IFERROR(VLOOKUP(Summary!B242,'Pre-Summary'!$A$6:$P$184,7, FALSE)/100,AE243)</f>
        <v>0.11587800000000001</v>
      </c>
      <c r="AF242" s="99">
        <f t="shared" si="10"/>
        <v>0</v>
      </c>
      <c r="AG242" s="99">
        <f t="shared" si="11"/>
        <v>0.11030696562177837</v>
      </c>
      <c r="AH242" s="10" t="str">
        <f>IFERROR(VLOOKUP(B242,'Pre-Summary'!$AZ$6:$BE$65,3,FALSE),"")</f>
        <v/>
      </c>
      <c r="AI242" s="10" t="str">
        <f>IFERROR(VLOOKUP(B242,'Pre-Summary'!$AZ$6:$BE$65,5,FALSE),"")</f>
        <v/>
      </c>
      <c r="AJ242" s="10" t="str">
        <f>IFERROR(VLOOKUP(B242,'Pre-Summary'!$AZ$6:$BE$65,4,FALSE),"")</f>
        <v/>
      </c>
      <c r="AK242" s="10" t="str">
        <f>IFERROR(VLOOKUP(B242,'Pre-Summary'!$AZ$6:$BE$65,6,FALSE),"")</f>
        <v/>
      </c>
      <c r="AL242" s="10" t="str">
        <f>IFERROR(VLOOKUP(B242,'Pre-Summary'!$BG$6:$BL$44,3,FALSE),"")</f>
        <v/>
      </c>
      <c r="AM242" s="10" t="str">
        <f>IFERROR(VLOOKUP(B242,'Pre-Summary'!$BG$6:$BL$44,4,FALSE),"")</f>
        <v/>
      </c>
    </row>
    <row r="243" spans="2:39" ht="15" customHeight="1" x14ac:dyDescent="0.3">
      <c r="B243">
        <v>24</v>
      </c>
      <c r="C243" t="str">
        <f>IFERROR(VLOOKUP(B243,'Pre-Summary'!$DI$6:$DM$23,4,FALSE),"")</f>
        <v/>
      </c>
      <c r="D243" s="10" t="str">
        <f>IFERROR(VLOOKUP(B243,'Pre-Summary'!$AT$6:$AX$14,5,FALSE),D242)</f>
        <v>DSMZ v1.5: Using DSMZ 120 with NaHCO3</v>
      </c>
      <c r="E243" s="10" t="str">
        <f>IFERROR(VLOOKUP(B243,'Pre-Summary'!$AT$6:$AX$15,4,FALSE),"")</f>
        <v/>
      </c>
      <c r="F243">
        <f>IFERROR(VLOOKUP(B243,'Pre-Summary'!$AL$6:$AQ$13,6,FALSE),F242)</f>
        <v>0</v>
      </c>
      <c r="G243" t="str">
        <f>IFERROR(VLOOKUP(B243,'Pre-Summary'!$AE$6:$AJ$85,3,FALSE),"")</f>
        <v/>
      </c>
      <c r="H243" t="str">
        <f>IFERROR(VLOOKUP(B243,'Pre-Summary'!$AE$6:$AJ$85,4,FALSE),"")</f>
        <v/>
      </c>
      <c r="I243" t="str">
        <f>IFERROR(VLOOKUP(B243,'Pre-Summary'!$AE$6:$AJ$85,5,FALSE),"")</f>
        <v/>
      </c>
      <c r="J243" s="45" t="str">
        <f>IFERROR(VLOOKUP(B243,'Pre-Summary'!$AE$6:$AJ$85,6, FALSE),"")</f>
        <v/>
      </c>
      <c r="K243" s="45" t="str">
        <f>IFERROR(VLOOKUP(B243,'Pre-Summary'!$DE$6:$DG$61,3,FALSE),"")</f>
        <v/>
      </c>
      <c r="L243" s="45" t="str">
        <f>IFERROR(VLOOKUP(B243,'Pre-Summary'!$CU$6:$CW$36,3,FALSE),"")</f>
        <v/>
      </c>
      <c r="M243" s="45" t="str">
        <f>IFERROR(VLOOKUP(B243,'Pre-Summary'!$BW$6:$BY$58,2,FALSE),"")</f>
        <v/>
      </c>
      <c r="N243" s="45" t="str">
        <f>IFERROR(VLOOKUP(B243,'Pre-Summary'!$CD$6:$CF$64,2,FALSE),"")</f>
        <v/>
      </c>
      <c r="O243" s="99">
        <f>IFERROR(VLOOKUP(B243,'Pre-Summary'!$BO$6:$BQ$48,3, FALSE),O242)</f>
        <v>1.0915248032216731</v>
      </c>
      <c r="P243" s="99">
        <f>IFERROR(VLOOKUP(B243,'Pre-Summary'!$BS$6:$BU$35,3,FALSE),P242)</f>
        <v>0.25</v>
      </c>
      <c r="Q243" s="54">
        <f t="shared" si="9"/>
        <v>4.3660992128866924</v>
      </c>
      <c r="R243" s="53">
        <f>IFERROR(VLOOKUP(B243,'Pre-Summary'!$BG$6:$BM$44,7,FALSE),R244)</f>
        <v>2.7904161219319636E-2</v>
      </c>
      <c r="S243" s="53">
        <f>IFERROR(VLOOKUP(B243,'Pre-Summary'!$BG$6:$BM$44,6,FALSE),S244)</f>
        <v>3.3978715219895171E-2</v>
      </c>
      <c r="T243" s="45" t="str">
        <f>IFERROR(VLOOKUP(B243,'Pre-Summary'!$Y$6:$AC$83, 3,FALSE),"")</f>
        <v/>
      </c>
      <c r="U243" s="45" t="str">
        <f>IFERROR(VLOOKUP(B243,'Pre-Summary'!$Y$6:$AC$83, 4,FALSE),"")</f>
        <v/>
      </c>
      <c r="V243" t="str">
        <f>IFERROR(VLOOKUP(B243,'Pre-Summary'!$Y$6:$AC$83, 5,FALSE),"")</f>
        <v/>
      </c>
      <c r="W243" s="45" t="str">
        <f>IFERROR(VLOOKUP(B243,'Pre-Summary'!$Y$6:$AD$83,6,FALSE),"")</f>
        <v/>
      </c>
      <c r="X243" t="str">
        <f>IFERROR(VLOOKUP('Pre-Summary'!$DB$6:$DD$63,3,FALSE),"")</f>
        <v/>
      </c>
      <c r="Y243" t="str">
        <f>IFERROR(VLOOKUP(B243,'Pre-Summary'!$CR$6:$CT$36,3,FALSE),"")</f>
        <v/>
      </c>
      <c r="Z243" s="45" t="str">
        <f>IFERROR(VLOOKUP(B243,'Pre-Summary'!$BZ$6:$CB$63,2,FALSE),"")</f>
        <v/>
      </c>
      <c r="AA243" s="45" t="str">
        <f>IFERROR(VLOOKUP(B243,'Pre-Summary'!$CG$6:$CI$70,2,FALSE),"")</f>
        <v/>
      </c>
      <c r="AB243" s="99">
        <f>IFERROR(VLOOKUP(B243,'Pre-Summary'!$A$6:$P$178,9,FALSE),AB244)</f>
        <v>0.95192327811817912</v>
      </c>
      <c r="AC243" s="10">
        <f>IFERROR(VLOOKUP(Summary!B243,'Pre-Summary'!$A$6:$P$184,5, FALSE)/100,AC244)</f>
        <v>0.88412199999999985</v>
      </c>
      <c r="AD243" s="10">
        <f>IFERROR(VLOOKUP(Summary!B243,'Pre-Summary'!$A$6:$P$184,3, FALSE)/100,AD244)</f>
        <v>0</v>
      </c>
      <c r="AE243" s="10">
        <f>IFERROR(VLOOKUP(Summary!B243,'Pre-Summary'!$A$6:$P$184,7, FALSE)/100,AE244)</f>
        <v>0.11587800000000001</v>
      </c>
      <c r="AF243" s="99">
        <f t="shared" si="10"/>
        <v>0</v>
      </c>
      <c r="AG243" s="99">
        <f t="shared" si="11"/>
        <v>0.11030696562177837</v>
      </c>
      <c r="AH243" s="10" t="str">
        <f>IFERROR(VLOOKUP(B243,'Pre-Summary'!$AZ$6:$BE$65,3,FALSE),"")</f>
        <v/>
      </c>
      <c r="AI243" s="10" t="str">
        <f>IFERROR(VLOOKUP(B243,'Pre-Summary'!$AZ$6:$BE$65,5,FALSE),"")</f>
        <v/>
      </c>
      <c r="AJ243" s="10" t="str">
        <f>IFERROR(VLOOKUP(B243,'Pre-Summary'!$AZ$6:$BE$65,4,FALSE),"")</f>
        <v/>
      </c>
      <c r="AK243" s="10" t="str">
        <f>IFERROR(VLOOKUP(B243,'Pre-Summary'!$AZ$6:$BE$65,6,FALSE),"")</f>
        <v/>
      </c>
      <c r="AL243" s="10" t="str">
        <f>IFERROR(VLOOKUP(B243,'Pre-Summary'!$BG$6:$BL$44,3,FALSE),"")</f>
        <v/>
      </c>
      <c r="AM243" s="10" t="str">
        <f>IFERROR(VLOOKUP(B243,'Pre-Summary'!$BG$6:$BL$44,4,FALSE),"")</f>
        <v/>
      </c>
    </row>
    <row r="244" spans="2:39" ht="15" customHeight="1" x14ac:dyDescent="0.3">
      <c r="B244">
        <v>24.1</v>
      </c>
      <c r="C244" t="str">
        <f>IFERROR(VLOOKUP(B244,'Pre-Summary'!$DI$6:$DM$23,4,FALSE),"")</f>
        <v/>
      </c>
      <c r="D244" s="10" t="str">
        <f>IFERROR(VLOOKUP(B244,'Pre-Summary'!$AT$6:$AX$14,5,FALSE),D243)</f>
        <v>DSMZ v1.5: Using DSMZ 120 with NaHCO3</v>
      </c>
      <c r="E244" s="10" t="str">
        <f>IFERROR(VLOOKUP(B244,'Pre-Summary'!$AT$6:$AX$15,4,FALSE),"")</f>
        <v/>
      </c>
      <c r="F244">
        <f>IFERROR(VLOOKUP(B244,'Pre-Summary'!$AL$6:$AQ$13,6,FALSE),F243)</f>
        <v>0</v>
      </c>
      <c r="G244" t="str">
        <f>IFERROR(VLOOKUP(B244,'Pre-Summary'!$AE$6:$AJ$85,3,FALSE),"")</f>
        <v/>
      </c>
      <c r="H244" t="str">
        <f>IFERROR(VLOOKUP(B244,'Pre-Summary'!$AE$6:$AJ$85,4,FALSE),"")</f>
        <v/>
      </c>
      <c r="I244" t="str">
        <f>IFERROR(VLOOKUP(B244,'Pre-Summary'!$AE$6:$AJ$85,5,FALSE),"")</f>
        <v/>
      </c>
      <c r="J244" s="45" t="str">
        <f>IFERROR(VLOOKUP(B244,'Pre-Summary'!$AE$6:$AJ$85,6, FALSE),"")</f>
        <v/>
      </c>
      <c r="K244" s="45" t="str">
        <f>IFERROR(VLOOKUP(B244,'Pre-Summary'!$DE$6:$DG$61,3,FALSE),"")</f>
        <v/>
      </c>
      <c r="L244" s="45" t="str">
        <f>IFERROR(VLOOKUP(B244,'Pre-Summary'!$CU$6:$CW$36,3,FALSE),"")</f>
        <v/>
      </c>
      <c r="M244" s="45" t="str">
        <f>IFERROR(VLOOKUP(B244,'Pre-Summary'!$BW$6:$BY$58,2,FALSE),"")</f>
        <v/>
      </c>
      <c r="N244" s="45" t="str">
        <f>IFERROR(VLOOKUP(B244,'Pre-Summary'!$CD$6:$CF$64,2,FALSE),"")</f>
        <v/>
      </c>
      <c r="O244" s="99">
        <f>IFERROR(VLOOKUP(B244,'Pre-Summary'!$BO$6:$BQ$48,3, FALSE),O243)</f>
        <v>1.0915248032216731</v>
      </c>
      <c r="P244" s="99">
        <f>IFERROR(VLOOKUP(B244,'Pre-Summary'!$BS$6:$BU$35,3,FALSE),P243)</f>
        <v>0.25</v>
      </c>
      <c r="Q244" s="54">
        <f t="shared" si="9"/>
        <v>4.3660992128866924</v>
      </c>
      <c r="R244" s="53">
        <f>IFERROR(VLOOKUP(B244,'Pre-Summary'!$BG$6:$BM$44,7,FALSE),R245)</f>
        <v>2.7904161219319636E-2</v>
      </c>
      <c r="S244" s="53">
        <f>IFERROR(VLOOKUP(B244,'Pre-Summary'!$BG$6:$BM$44,6,FALSE),S245)</f>
        <v>3.3978715219895171E-2</v>
      </c>
      <c r="T244" s="45" t="str">
        <f>IFERROR(VLOOKUP(B244,'Pre-Summary'!$Y$6:$AC$83, 3,FALSE),"")</f>
        <v/>
      </c>
      <c r="U244" s="45" t="str">
        <f>IFERROR(VLOOKUP(B244,'Pre-Summary'!$Y$6:$AC$83, 4,FALSE),"")</f>
        <v/>
      </c>
      <c r="V244" t="str">
        <f>IFERROR(VLOOKUP(B244,'Pre-Summary'!$Y$6:$AC$83, 5,FALSE),"")</f>
        <v/>
      </c>
      <c r="W244" s="45" t="str">
        <f>IFERROR(VLOOKUP(B244,'Pre-Summary'!$Y$6:$AD$83,6,FALSE),"")</f>
        <v/>
      </c>
      <c r="X244" t="str">
        <f>IFERROR(VLOOKUP('Pre-Summary'!$DB$6:$DD$63,3,FALSE),"")</f>
        <v/>
      </c>
      <c r="Y244" t="str">
        <f>IFERROR(VLOOKUP(B244,'Pre-Summary'!$CR$6:$CT$36,3,FALSE),"")</f>
        <v/>
      </c>
      <c r="Z244" s="45" t="str">
        <f>IFERROR(VLOOKUP(B244,'Pre-Summary'!$BZ$6:$CB$63,2,FALSE),"")</f>
        <v/>
      </c>
      <c r="AA244" s="45" t="str">
        <f>IFERROR(VLOOKUP(B244,'Pre-Summary'!$CG$6:$CI$70,2,FALSE),"")</f>
        <v/>
      </c>
      <c r="AB244" s="99">
        <f>IFERROR(VLOOKUP(B244,'Pre-Summary'!$A$6:$P$178,9,FALSE),AB245)</f>
        <v>1.0067180186389197</v>
      </c>
      <c r="AC244" s="10">
        <f>IFERROR(VLOOKUP(Summary!B244,'Pre-Summary'!$A$6:$P$184,5, FALSE)/100,AC245)</f>
        <v>0.115633</v>
      </c>
      <c r="AD244" s="10">
        <f>IFERROR(VLOOKUP(Summary!B244,'Pre-Summary'!$A$6:$P$184,3, FALSE)/100,AD245)</f>
        <v>0.88127200000000006</v>
      </c>
      <c r="AE244" s="10">
        <f>IFERROR(VLOOKUP(Summary!B244,'Pre-Summary'!$A$6:$P$184,7, FALSE)/100,AE245)</f>
        <v>3.0949999999999992E-3</v>
      </c>
      <c r="AF244" s="99">
        <f t="shared" si="10"/>
        <v>0.88719240172195812</v>
      </c>
      <c r="AG244" s="99">
        <f t="shared" si="11"/>
        <v>3.115792267687456E-3</v>
      </c>
      <c r="AH244" s="10" t="str">
        <f>IFERROR(VLOOKUP(B244,'Pre-Summary'!$AZ$6:$BE$65,3,FALSE),"")</f>
        <v/>
      </c>
      <c r="AI244" s="10" t="str">
        <f>IFERROR(VLOOKUP(B244,'Pre-Summary'!$AZ$6:$BE$65,5,FALSE),"")</f>
        <v/>
      </c>
      <c r="AJ244" s="10" t="str">
        <f>IFERROR(VLOOKUP(B244,'Pre-Summary'!$AZ$6:$BE$65,4,FALSE),"")</f>
        <v/>
      </c>
      <c r="AK244" s="10" t="str">
        <f>IFERROR(VLOOKUP(B244,'Pre-Summary'!$AZ$6:$BE$65,6,FALSE),"")</f>
        <v/>
      </c>
      <c r="AL244" s="10" t="str">
        <f>IFERROR(VLOOKUP(B244,'Pre-Summary'!$BG$6:$BL$44,3,FALSE),"")</f>
        <v/>
      </c>
      <c r="AM244" s="10" t="str">
        <f>IFERROR(VLOOKUP(B244,'Pre-Summary'!$BG$6:$BL$44,4,FALSE),"")</f>
        <v/>
      </c>
    </row>
    <row r="245" spans="2:39" ht="15" customHeight="1" x14ac:dyDescent="0.3">
      <c r="B245">
        <v>24.2</v>
      </c>
      <c r="C245" t="str">
        <f>IFERROR(VLOOKUP(B245,'Pre-Summary'!$DI$6:$DM$23,4,FALSE),"")</f>
        <v/>
      </c>
      <c r="D245" s="10" t="str">
        <f>IFERROR(VLOOKUP(B245,'Pre-Summary'!$AT$6:$AX$14,5,FALSE),D244)</f>
        <v>DSMZ v1.5: Using DSMZ 120 with NaHCO3</v>
      </c>
      <c r="E245" s="10" t="str">
        <f>IFERROR(VLOOKUP(B245,'Pre-Summary'!$AT$6:$AX$15,4,FALSE),"")</f>
        <v/>
      </c>
      <c r="F245">
        <f>IFERROR(VLOOKUP(B245,'Pre-Summary'!$AL$6:$AQ$13,6,FALSE),F244)</f>
        <v>0</v>
      </c>
      <c r="G245" t="str">
        <f>IFERROR(VLOOKUP(B245,'Pre-Summary'!$AE$6:$AJ$85,3,FALSE),"")</f>
        <v/>
      </c>
      <c r="H245" t="str">
        <f>IFERROR(VLOOKUP(B245,'Pre-Summary'!$AE$6:$AJ$85,4,FALSE),"")</f>
        <v/>
      </c>
      <c r="I245" t="str">
        <f>IFERROR(VLOOKUP(B245,'Pre-Summary'!$AE$6:$AJ$85,5,FALSE),"")</f>
        <v/>
      </c>
      <c r="J245" s="45" t="str">
        <f>IFERROR(VLOOKUP(B245,'Pre-Summary'!$AE$6:$AJ$85,6, FALSE),"")</f>
        <v/>
      </c>
      <c r="K245" s="45" t="str">
        <f>IFERROR(VLOOKUP(B245,'Pre-Summary'!$DE$6:$DG$61,3,FALSE),"")</f>
        <v/>
      </c>
      <c r="L245" s="45" t="str">
        <f>IFERROR(VLOOKUP(B245,'Pre-Summary'!$CU$6:$CW$36,3,FALSE),"")</f>
        <v/>
      </c>
      <c r="M245" s="45" t="str">
        <f>IFERROR(VLOOKUP(B245,'Pre-Summary'!$BW$6:$BY$58,2,FALSE),"")</f>
        <v/>
      </c>
      <c r="N245" s="45" t="str">
        <f>IFERROR(VLOOKUP(B245,'Pre-Summary'!$CD$6:$CF$64,2,FALSE),"")</f>
        <v/>
      </c>
      <c r="O245" s="99">
        <f>IFERROR(VLOOKUP(B245,'Pre-Summary'!$BO$6:$BQ$48,3, FALSE),O244)</f>
        <v>1.0915248032216731</v>
      </c>
      <c r="P245" s="99">
        <f>IFERROR(VLOOKUP(B245,'Pre-Summary'!$BS$6:$BU$35,3,FALSE),P244)</f>
        <v>0.25</v>
      </c>
      <c r="Q245" s="54">
        <f t="shared" si="9"/>
        <v>4.3660992128866924</v>
      </c>
      <c r="R245" s="53">
        <f>IFERROR(VLOOKUP(B245,'Pre-Summary'!$BG$6:$BM$44,7,FALSE),R246)</f>
        <v>2.7904161219319636E-2</v>
      </c>
      <c r="S245" s="53">
        <f>IFERROR(VLOOKUP(B245,'Pre-Summary'!$BG$6:$BM$44,6,FALSE),S246)</f>
        <v>3.3978715219895171E-2</v>
      </c>
      <c r="T245" s="45" t="str">
        <f>IFERROR(VLOOKUP(B245,'Pre-Summary'!$Y$6:$AC$83, 3,FALSE),"")</f>
        <v/>
      </c>
      <c r="U245" s="45" t="str">
        <f>IFERROR(VLOOKUP(B245,'Pre-Summary'!$Y$6:$AC$83, 4,FALSE),"")</f>
        <v/>
      </c>
      <c r="V245" t="str">
        <f>IFERROR(VLOOKUP(B245,'Pre-Summary'!$Y$6:$AC$83, 5,FALSE),"")</f>
        <v/>
      </c>
      <c r="W245" s="45" t="str">
        <f>IFERROR(VLOOKUP(B245,'Pre-Summary'!$Y$6:$AD$83,6,FALSE),"")</f>
        <v/>
      </c>
      <c r="X245" t="str">
        <f>IFERROR(VLOOKUP('Pre-Summary'!$DB$6:$DD$63,3,FALSE),"")</f>
        <v/>
      </c>
      <c r="Y245" t="str">
        <f>IFERROR(VLOOKUP(B245,'Pre-Summary'!$CR$6:$CT$36,3,FALSE),"")</f>
        <v/>
      </c>
      <c r="Z245" s="45" t="str">
        <f>IFERROR(VLOOKUP(B245,'Pre-Summary'!$BZ$6:$CB$63,2,FALSE),"")</f>
        <v/>
      </c>
      <c r="AA245" s="45" t="str">
        <f>IFERROR(VLOOKUP(B245,'Pre-Summary'!$CG$6:$CI$70,2,FALSE),"")</f>
        <v/>
      </c>
      <c r="AB245" s="99">
        <f>IFERROR(VLOOKUP(B245,'Pre-Summary'!$A$6:$P$178,9,FALSE),AB246)</f>
        <v>1.0067180186389197</v>
      </c>
      <c r="AC245" s="10">
        <f>IFERROR(VLOOKUP(Summary!B245,'Pre-Summary'!$A$6:$P$184,5, FALSE)/100,AC246)</f>
        <v>0.115633</v>
      </c>
      <c r="AD245" s="10">
        <f>IFERROR(VLOOKUP(Summary!B245,'Pre-Summary'!$A$6:$P$184,3, FALSE)/100,AD246)</f>
        <v>0.88127200000000006</v>
      </c>
      <c r="AE245" s="10">
        <f>IFERROR(VLOOKUP(Summary!B245,'Pre-Summary'!$A$6:$P$184,7, FALSE)/100,AE246)</f>
        <v>3.0949999999999992E-3</v>
      </c>
      <c r="AF245" s="99">
        <f t="shared" si="10"/>
        <v>0.88719240172195812</v>
      </c>
      <c r="AG245" s="99">
        <f t="shared" si="11"/>
        <v>3.115792267687456E-3</v>
      </c>
      <c r="AH245" s="10" t="str">
        <f>IFERROR(VLOOKUP(B245,'Pre-Summary'!$AZ$6:$BE$65,3,FALSE),"")</f>
        <v/>
      </c>
      <c r="AI245" s="10" t="str">
        <f>IFERROR(VLOOKUP(B245,'Pre-Summary'!$AZ$6:$BE$65,5,FALSE),"")</f>
        <v/>
      </c>
      <c r="AJ245" s="10" t="str">
        <f>IFERROR(VLOOKUP(B245,'Pre-Summary'!$AZ$6:$BE$65,4,FALSE),"")</f>
        <v/>
      </c>
      <c r="AK245" s="10" t="str">
        <f>IFERROR(VLOOKUP(B245,'Pre-Summary'!$AZ$6:$BE$65,6,FALSE),"")</f>
        <v/>
      </c>
      <c r="AL245" s="10" t="str">
        <f>IFERROR(VLOOKUP(B245,'Pre-Summary'!$BG$6:$BL$44,3,FALSE),"")</f>
        <v/>
      </c>
      <c r="AM245" s="10" t="str">
        <f>IFERROR(VLOOKUP(B245,'Pre-Summary'!$BG$6:$BL$44,4,FALSE),"")</f>
        <v/>
      </c>
    </row>
    <row r="246" spans="2:39" ht="15" customHeight="1" x14ac:dyDescent="0.3">
      <c r="B246">
        <v>24.3</v>
      </c>
      <c r="C246" t="str">
        <f>IFERROR(VLOOKUP(B246,'Pre-Summary'!$DI$6:$DM$23,4,FALSE),"")</f>
        <v/>
      </c>
      <c r="D246" s="10" t="str">
        <f>IFERROR(VLOOKUP(B246,'Pre-Summary'!$AT$6:$AX$14,5,FALSE),D245)</f>
        <v>DSMZ v1.5: Using DSMZ 120 with NaHCO3</v>
      </c>
      <c r="E246" s="10" t="str">
        <f>IFERROR(VLOOKUP(B246,'Pre-Summary'!$AT$6:$AX$15,4,FALSE),"")</f>
        <v/>
      </c>
      <c r="F246">
        <f>IFERROR(VLOOKUP(B246,'Pre-Summary'!$AL$6:$AQ$13,6,FALSE),F245)</f>
        <v>0</v>
      </c>
      <c r="G246" t="str">
        <f>IFERROR(VLOOKUP(B246,'Pre-Summary'!$AE$6:$AJ$85,3,FALSE),"")</f>
        <v/>
      </c>
      <c r="H246" t="str">
        <f>IFERROR(VLOOKUP(B246,'Pre-Summary'!$AE$6:$AJ$85,4,FALSE),"")</f>
        <v/>
      </c>
      <c r="I246" t="str">
        <f>IFERROR(VLOOKUP(B246,'Pre-Summary'!$AE$6:$AJ$85,5,FALSE),"")</f>
        <v/>
      </c>
      <c r="J246" s="45" t="str">
        <f>IFERROR(VLOOKUP(B246,'Pre-Summary'!$AE$6:$AJ$85,6, FALSE),"")</f>
        <v/>
      </c>
      <c r="K246" s="45" t="str">
        <f>IFERROR(VLOOKUP(B246,'Pre-Summary'!$DE$6:$DG$61,3,FALSE),"")</f>
        <v/>
      </c>
      <c r="L246" s="45" t="str">
        <f>IFERROR(VLOOKUP(B246,'Pre-Summary'!$CU$6:$CW$36,3,FALSE),"")</f>
        <v/>
      </c>
      <c r="M246" s="45" t="str">
        <f>IFERROR(VLOOKUP(B246,'Pre-Summary'!$BW$6:$BY$58,2,FALSE),"")</f>
        <v/>
      </c>
      <c r="N246" s="45" t="str">
        <f>IFERROR(VLOOKUP(B246,'Pre-Summary'!$CD$6:$CF$64,2,FALSE),"")</f>
        <v/>
      </c>
      <c r="O246" s="99">
        <f>IFERROR(VLOOKUP(B246,'Pre-Summary'!$BO$6:$BQ$48,3, FALSE),O245)</f>
        <v>1.0915248032216731</v>
      </c>
      <c r="P246" s="99">
        <f>IFERROR(VLOOKUP(B246,'Pre-Summary'!$BS$6:$BU$35,3,FALSE),P245)</f>
        <v>0.25</v>
      </c>
      <c r="Q246" s="54">
        <f t="shared" si="9"/>
        <v>4.3660992128866924</v>
      </c>
      <c r="R246" s="53">
        <f>IFERROR(VLOOKUP(B246,'Pre-Summary'!$BG$6:$BM$44,7,FALSE),R247)</f>
        <v>2.7904161219319636E-2</v>
      </c>
      <c r="S246" s="53">
        <f>IFERROR(VLOOKUP(B246,'Pre-Summary'!$BG$6:$BM$44,6,FALSE),S247)</f>
        <v>3.3978715219895171E-2</v>
      </c>
      <c r="T246" s="45" t="str">
        <f>IFERROR(VLOOKUP(B246,'Pre-Summary'!$Y$6:$AC$83, 3,FALSE),"")</f>
        <v/>
      </c>
      <c r="U246" s="45" t="str">
        <f>IFERROR(VLOOKUP(B246,'Pre-Summary'!$Y$6:$AC$83, 4,FALSE),"")</f>
        <v/>
      </c>
      <c r="V246" t="str">
        <f>IFERROR(VLOOKUP(B246,'Pre-Summary'!$Y$6:$AC$83, 5,FALSE),"")</f>
        <v/>
      </c>
      <c r="W246" s="45" t="str">
        <f>IFERROR(VLOOKUP(B246,'Pre-Summary'!$Y$6:$AD$83,6,FALSE),"")</f>
        <v/>
      </c>
      <c r="X246" t="str">
        <f>IFERROR(VLOOKUP('Pre-Summary'!$DB$6:$DD$63,3,FALSE),"")</f>
        <v/>
      </c>
      <c r="Y246" t="str">
        <f>IFERROR(VLOOKUP(B246,'Pre-Summary'!$CR$6:$CT$36,3,FALSE),"")</f>
        <v/>
      </c>
      <c r="Z246" s="45" t="str">
        <f>IFERROR(VLOOKUP(B246,'Pre-Summary'!$BZ$6:$CB$63,2,FALSE),"")</f>
        <v/>
      </c>
      <c r="AA246" s="45" t="str">
        <f>IFERROR(VLOOKUP(B246,'Pre-Summary'!$CG$6:$CI$70,2,FALSE),"")</f>
        <v/>
      </c>
      <c r="AB246" s="99">
        <f>IFERROR(VLOOKUP(B246,'Pre-Summary'!$A$6:$P$178,9,FALSE),AB247)</f>
        <v>1.0067180186389197</v>
      </c>
      <c r="AC246" s="10">
        <f>IFERROR(VLOOKUP(Summary!B246,'Pre-Summary'!$A$6:$P$184,5, FALSE)/100,AC247)</f>
        <v>0.115633</v>
      </c>
      <c r="AD246" s="10">
        <f>IFERROR(VLOOKUP(Summary!B246,'Pre-Summary'!$A$6:$P$184,3, FALSE)/100,AD247)</f>
        <v>0.88127200000000006</v>
      </c>
      <c r="AE246" s="10">
        <f>IFERROR(VLOOKUP(Summary!B246,'Pre-Summary'!$A$6:$P$184,7, FALSE)/100,AE247)</f>
        <v>3.0949999999999992E-3</v>
      </c>
      <c r="AF246" s="99">
        <f t="shared" si="10"/>
        <v>0.88719240172195812</v>
      </c>
      <c r="AG246" s="99">
        <f t="shared" si="11"/>
        <v>3.115792267687456E-3</v>
      </c>
      <c r="AH246" s="10" t="str">
        <f>IFERROR(VLOOKUP(B246,'Pre-Summary'!$AZ$6:$BE$65,3,FALSE),"")</f>
        <v/>
      </c>
      <c r="AI246" s="10" t="str">
        <f>IFERROR(VLOOKUP(B246,'Pre-Summary'!$AZ$6:$BE$65,5,FALSE),"")</f>
        <v/>
      </c>
      <c r="AJ246" s="10" t="str">
        <f>IFERROR(VLOOKUP(B246,'Pre-Summary'!$AZ$6:$BE$65,4,FALSE),"")</f>
        <v/>
      </c>
      <c r="AK246" s="10" t="str">
        <f>IFERROR(VLOOKUP(B246,'Pre-Summary'!$AZ$6:$BE$65,6,FALSE),"")</f>
        <v/>
      </c>
      <c r="AL246" s="10" t="str">
        <f>IFERROR(VLOOKUP(B246,'Pre-Summary'!$BG$6:$BL$44,3,FALSE),"")</f>
        <v/>
      </c>
      <c r="AM246" s="10" t="str">
        <f>IFERROR(VLOOKUP(B246,'Pre-Summary'!$BG$6:$BL$44,4,FALSE),"")</f>
        <v/>
      </c>
    </row>
    <row r="247" spans="2:39" ht="15" customHeight="1" x14ac:dyDescent="0.3">
      <c r="B247">
        <v>24.4</v>
      </c>
      <c r="C247" t="str">
        <f>IFERROR(VLOOKUP(B247,'Pre-Summary'!$DI$6:$DM$23,4,FALSE),"")</f>
        <v/>
      </c>
      <c r="D247" s="10" t="str">
        <f>IFERROR(VLOOKUP(B247,'Pre-Summary'!$AT$6:$AX$14,5,FALSE),D246)</f>
        <v>DSMZ v1.5: Using DSMZ 120 with NaHCO3</v>
      </c>
      <c r="E247" s="10" t="str">
        <f>IFERROR(VLOOKUP(B247,'Pre-Summary'!$AT$6:$AX$15,4,FALSE),"")</f>
        <v/>
      </c>
      <c r="F247">
        <f>IFERROR(VLOOKUP(B247,'Pre-Summary'!$AL$6:$AQ$13,6,FALSE),F246)</f>
        <v>0</v>
      </c>
      <c r="G247" t="str">
        <f>IFERROR(VLOOKUP(B247,'Pre-Summary'!$AE$6:$AJ$85,3,FALSE),"")</f>
        <v/>
      </c>
      <c r="H247" t="str">
        <f>IFERROR(VLOOKUP(B247,'Pre-Summary'!$AE$6:$AJ$85,4,FALSE),"")</f>
        <v/>
      </c>
      <c r="I247" t="str">
        <f>IFERROR(VLOOKUP(B247,'Pre-Summary'!$AE$6:$AJ$85,5,FALSE),"")</f>
        <v/>
      </c>
      <c r="J247" s="45" t="str">
        <f>IFERROR(VLOOKUP(B247,'Pre-Summary'!$AE$6:$AJ$85,6, FALSE),"")</f>
        <v/>
      </c>
      <c r="K247" s="45" t="str">
        <f>IFERROR(VLOOKUP(B247,'Pre-Summary'!$DE$6:$DG$61,3,FALSE),"")</f>
        <v/>
      </c>
      <c r="L247" s="45" t="str">
        <f>IFERROR(VLOOKUP(B247,'Pre-Summary'!$CU$6:$CW$36,3,FALSE),"")</f>
        <v/>
      </c>
      <c r="M247" s="45" t="str">
        <f>IFERROR(VLOOKUP(B247,'Pre-Summary'!$BW$6:$BY$58,2,FALSE),"")</f>
        <v/>
      </c>
      <c r="N247" s="45" t="str">
        <f>IFERROR(VLOOKUP(B247,'Pre-Summary'!$CD$6:$CF$64,2,FALSE),"")</f>
        <v/>
      </c>
      <c r="O247" s="99">
        <f>IFERROR(VLOOKUP(B247,'Pre-Summary'!$BO$6:$BQ$48,3, FALSE),O246)</f>
        <v>1.0915248032216731</v>
      </c>
      <c r="P247" s="99">
        <f>IFERROR(VLOOKUP(B247,'Pre-Summary'!$BS$6:$BU$35,3,FALSE),P246)</f>
        <v>0.25</v>
      </c>
      <c r="Q247" s="54">
        <f t="shared" si="9"/>
        <v>4.3660992128866924</v>
      </c>
      <c r="R247" s="53">
        <f>IFERROR(VLOOKUP(B247,'Pre-Summary'!$BG$6:$BM$44,7,FALSE),R248)</f>
        <v>2.7904161219319636E-2</v>
      </c>
      <c r="S247" s="53">
        <f>IFERROR(VLOOKUP(B247,'Pre-Summary'!$BG$6:$BM$44,6,FALSE),S248)</f>
        <v>3.3978715219895171E-2</v>
      </c>
      <c r="T247" s="45" t="str">
        <f>IFERROR(VLOOKUP(B247,'Pre-Summary'!$Y$6:$AC$83, 3,FALSE),"")</f>
        <v/>
      </c>
      <c r="U247" s="45" t="str">
        <f>IFERROR(VLOOKUP(B247,'Pre-Summary'!$Y$6:$AC$83, 4,FALSE),"")</f>
        <v/>
      </c>
      <c r="V247" t="str">
        <f>IFERROR(VLOOKUP(B247,'Pre-Summary'!$Y$6:$AC$83, 5,FALSE),"")</f>
        <v/>
      </c>
      <c r="W247" s="45" t="str">
        <f>IFERROR(VLOOKUP(B247,'Pre-Summary'!$Y$6:$AD$83,6,FALSE),"")</f>
        <v/>
      </c>
      <c r="X247" t="str">
        <f>IFERROR(VLOOKUP('Pre-Summary'!$DB$6:$DD$63,3,FALSE),"")</f>
        <v/>
      </c>
      <c r="Y247" t="str">
        <f>IFERROR(VLOOKUP(B247,'Pre-Summary'!$CR$6:$CT$36,3,FALSE),"")</f>
        <v/>
      </c>
      <c r="Z247" s="45" t="str">
        <f>IFERROR(VLOOKUP(B247,'Pre-Summary'!$BZ$6:$CB$63,2,FALSE),"")</f>
        <v/>
      </c>
      <c r="AA247" s="45" t="str">
        <f>IFERROR(VLOOKUP(B247,'Pre-Summary'!$CG$6:$CI$70,2,FALSE),"")</f>
        <v/>
      </c>
      <c r="AB247" s="99">
        <f>IFERROR(VLOOKUP(B247,'Pre-Summary'!$A$6:$P$178,9,FALSE),AB248)</f>
        <v>1.0067180186389197</v>
      </c>
      <c r="AC247" s="10">
        <f>IFERROR(VLOOKUP(Summary!B247,'Pre-Summary'!$A$6:$P$184,5, FALSE)/100,AC248)</f>
        <v>0.115633</v>
      </c>
      <c r="AD247" s="10">
        <f>IFERROR(VLOOKUP(Summary!B247,'Pre-Summary'!$A$6:$P$184,3, FALSE)/100,AD248)</f>
        <v>0.88127200000000006</v>
      </c>
      <c r="AE247" s="10">
        <f>IFERROR(VLOOKUP(Summary!B247,'Pre-Summary'!$A$6:$P$184,7, FALSE)/100,AE248)</f>
        <v>3.0949999999999992E-3</v>
      </c>
      <c r="AF247" s="99">
        <f t="shared" si="10"/>
        <v>0.88719240172195812</v>
      </c>
      <c r="AG247" s="99">
        <f t="shared" si="11"/>
        <v>3.115792267687456E-3</v>
      </c>
      <c r="AH247" s="10" t="str">
        <f>IFERROR(VLOOKUP(B247,'Pre-Summary'!$AZ$6:$BE$65,3,FALSE),"")</f>
        <v/>
      </c>
      <c r="AI247" s="10" t="str">
        <f>IFERROR(VLOOKUP(B247,'Pre-Summary'!$AZ$6:$BE$65,5,FALSE),"")</f>
        <v/>
      </c>
      <c r="AJ247" s="10" t="str">
        <f>IFERROR(VLOOKUP(B247,'Pre-Summary'!$AZ$6:$BE$65,4,FALSE),"")</f>
        <v/>
      </c>
      <c r="AK247" s="10" t="str">
        <f>IFERROR(VLOOKUP(B247,'Pre-Summary'!$AZ$6:$BE$65,6,FALSE),"")</f>
        <v/>
      </c>
      <c r="AL247" s="10" t="str">
        <f>IFERROR(VLOOKUP(B247,'Pre-Summary'!$BG$6:$BL$44,3,FALSE),"")</f>
        <v/>
      </c>
      <c r="AM247" s="10" t="str">
        <f>IFERROR(VLOOKUP(B247,'Pre-Summary'!$BG$6:$BL$44,4,FALSE),"")</f>
        <v/>
      </c>
    </row>
    <row r="248" spans="2:39" ht="15" customHeight="1" x14ac:dyDescent="0.3">
      <c r="B248">
        <v>24.5</v>
      </c>
      <c r="C248" t="str">
        <f>IFERROR(VLOOKUP(B248,'Pre-Summary'!$DI$6:$DM$23,4,FALSE),"")</f>
        <v/>
      </c>
      <c r="D248" s="10" t="str">
        <f>IFERROR(VLOOKUP(B248,'Pre-Summary'!$AT$6:$AX$14,5,FALSE),D247)</f>
        <v>DSMZ v1.5: Using DSMZ 120 with NaHCO3</v>
      </c>
      <c r="E248" s="10" t="str">
        <f>IFERROR(VLOOKUP(B248,'Pre-Summary'!$AT$6:$AX$15,4,FALSE),"")</f>
        <v/>
      </c>
      <c r="F248">
        <f>IFERROR(VLOOKUP(B248,'Pre-Summary'!$AL$6:$AQ$13,6,FALSE),F247)</f>
        <v>0</v>
      </c>
      <c r="G248" t="str">
        <f>IFERROR(VLOOKUP(B248,'Pre-Summary'!$AE$6:$AJ$85,3,FALSE),"")</f>
        <v/>
      </c>
      <c r="H248" t="str">
        <f>IFERROR(VLOOKUP(B248,'Pre-Summary'!$AE$6:$AJ$85,4,FALSE),"")</f>
        <v/>
      </c>
      <c r="I248" t="str">
        <f>IFERROR(VLOOKUP(B248,'Pre-Summary'!$AE$6:$AJ$85,5,FALSE),"")</f>
        <v/>
      </c>
      <c r="J248" s="45" t="str">
        <f>IFERROR(VLOOKUP(B248,'Pre-Summary'!$AE$6:$AJ$85,6, FALSE),"")</f>
        <v/>
      </c>
      <c r="K248" s="45" t="str">
        <f>IFERROR(VLOOKUP(B248,'Pre-Summary'!$DE$6:$DG$61,3,FALSE),"")</f>
        <v/>
      </c>
      <c r="L248" s="45" t="str">
        <f>IFERROR(VLOOKUP(B248,'Pre-Summary'!$CU$6:$CW$36,3,FALSE),"")</f>
        <v/>
      </c>
      <c r="M248" s="45" t="str">
        <f>IFERROR(VLOOKUP(B248,'Pre-Summary'!$BW$6:$BY$58,2,FALSE),"")</f>
        <v/>
      </c>
      <c r="N248" s="45" t="str">
        <f>IFERROR(VLOOKUP(B248,'Pre-Summary'!$CD$6:$CF$64,2,FALSE),"")</f>
        <v/>
      </c>
      <c r="O248" s="99">
        <f>IFERROR(VLOOKUP(B248,'Pre-Summary'!$BO$6:$BQ$48,3, FALSE),O247)</f>
        <v>1.0915248032216731</v>
      </c>
      <c r="P248" s="99">
        <f>IFERROR(VLOOKUP(B248,'Pre-Summary'!$BS$6:$BU$35,3,FALSE),P247)</f>
        <v>0.25</v>
      </c>
      <c r="Q248" s="54">
        <f t="shared" si="9"/>
        <v>4.3660992128866924</v>
      </c>
      <c r="R248" s="53">
        <f>IFERROR(VLOOKUP(B248,'Pre-Summary'!$BG$6:$BM$44,7,FALSE),R249)</f>
        <v>2.7904161219319636E-2</v>
      </c>
      <c r="S248" s="53">
        <f>IFERROR(VLOOKUP(B248,'Pre-Summary'!$BG$6:$BM$44,6,FALSE),S249)</f>
        <v>3.3978715219895171E-2</v>
      </c>
      <c r="T248" s="45" t="str">
        <f>IFERROR(VLOOKUP(B248,'Pre-Summary'!$Y$6:$AC$83, 3,FALSE),"")</f>
        <v/>
      </c>
      <c r="U248" s="45" t="str">
        <f>IFERROR(VLOOKUP(B248,'Pre-Summary'!$Y$6:$AC$83, 4,FALSE),"")</f>
        <v/>
      </c>
      <c r="V248" t="str">
        <f>IFERROR(VLOOKUP(B248,'Pre-Summary'!$Y$6:$AC$83, 5,FALSE),"")</f>
        <v/>
      </c>
      <c r="W248" s="45" t="str">
        <f>IFERROR(VLOOKUP(B248,'Pre-Summary'!$Y$6:$AD$83,6,FALSE),"")</f>
        <v/>
      </c>
      <c r="X248" t="str">
        <f>IFERROR(VLOOKUP('Pre-Summary'!$DB$6:$DD$63,3,FALSE),"")</f>
        <v/>
      </c>
      <c r="Y248" t="str">
        <f>IFERROR(VLOOKUP(B248,'Pre-Summary'!$CR$6:$CT$36,3,FALSE),"")</f>
        <v/>
      </c>
      <c r="Z248" s="45" t="str">
        <f>IFERROR(VLOOKUP(B248,'Pre-Summary'!$BZ$6:$CB$63,2,FALSE),"")</f>
        <v/>
      </c>
      <c r="AA248" s="45" t="str">
        <f>IFERROR(VLOOKUP(B248,'Pre-Summary'!$CG$6:$CI$70,2,FALSE),"")</f>
        <v/>
      </c>
      <c r="AB248" s="99">
        <f>IFERROR(VLOOKUP(B248,'Pre-Summary'!$A$6:$P$178,9,FALSE),AB249)</f>
        <v>1.0067180186389197</v>
      </c>
      <c r="AC248" s="10">
        <f>IFERROR(VLOOKUP(Summary!B248,'Pre-Summary'!$A$6:$P$184,5, FALSE)/100,AC249)</f>
        <v>0.115633</v>
      </c>
      <c r="AD248" s="10">
        <f>IFERROR(VLOOKUP(Summary!B248,'Pre-Summary'!$A$6:$P$184,3, FALSE)/100,AD249)</f>
        <v>0.88127200000000006</v>
      </c>
      <c r="AE248" s="10">
        <f>IFERROR(VLOOKUP(Summary!B248,'Pre-Summary'!$A$6:$P$184,7, FALSE)/100,AE249)</f>
        <v>3.0949999999999992E-3</v>
      </c>
      <c r="AF248" s="99">
        <f t="shared" si="10"/>
        <v>0.88719240172195812</v>
      </c>
      <c r="AG248" s="99">
        <f t="shared" si="11"/>
        <v>3.115792267687456E-3</v>
      </c>
      <c r="AH248" s="10" t="str">
        <f>IFERROR(VLOOKUP(B248,'Pre-Summary'!$AZ$6:$BE$65,3,FALSE),"")</f>
        <v/>
      </c>
      <c r="AI248" s="10" t="str">
        <f>IFERROR(VLOOKUP(B248,'Pre-Summary'!$AZ$6:$BE$65,5,FALSE),"")</f>
        <v/>
      </c>
      <c r="AJ248" s="10" t="str">
        <f>IFERROR(VLOOKUP(B248,'Pre-Summary'!$AZ$6:$BE$65,4,FALSE),"")</f>
        <v/>
      </c>
      <c r="AK248" s="10" t="str">
        <f>IFERROR(VLOOKUP(B248,'Pre-Summary'!$AZ$6:$BE$65,6,FALSE),"")</f>
        <v/>
      </c>
      <c r="AL248" s="10" t="str">
        <f>IFERROR(VLOOKUP(B248,'Pre-Summary'!$BG$6:$BL$44,3,FALSE),"")</f>
        <v/>
      </c>
      <c r="AM248" s="10" t="str">
        <f>IFERROR(VLOOKUP(B248,'Pre-Summary'!$BG$6:$BL$44,4,FALSE),"")</f>
        <v/>
      </c>
    </row>
    <row r="249" spans="2:39" ht="15" customHeight="1" x14ac:dyDescent="0.3">
      <c r="B249">
        <v>24.6</v>
      </c>
      <c r="C249" t="str">
        <f>IFERROR(VLOOKUP(B249,'Pre-Summary'!$DI$6:$DM$23,4,FALSE),"")</f>
        <v/>
      </c>
      <c r="D249" s="10" t="str">
        <f>IFERROR(VLOOKUP(B249,'Pre-Summary'!$AT$6:$AX$14,5,FALSE),D248)</f>
        <v>DSMZ v1.5: Using DSMZ 120 with NaHCO3</v>
      </c>
      <c r="E249" s="10" t="str">
        <f>IFERROR(VLOOKUP(B249,'Pre-Summary'!$AT$6:$AX$15,4,FALSE),"")</f>
        <v/>
      </c>
      <c r="F249">
        <f>IFERROR(VLOOKUP(B249,'Pre-Summary'!$AL$6:$AQ$13,6,FALSE),F248)</f>
        <v>0</v>
      </c>
      <c r="G249" t="str">
        <f>IFERROR(VLOOKUP(B249,'Pre-Summary'!$AE$6:$AJ$85,3,FALSE),"")</f>
        <v/>
      </c>
      <c r="H249" t="str">
        <f>IFERROR(VLOOKUP(B249,'Pre-Summary'!$AE$6:$AJ$85,4,FALSE),"")</f>
        <v/>
      </c>
      <c r="I249" t="str">
        <f>IFERROR(VLOOKUP(B249,'Pre-Summary'!$AE$6:$AJ$85,5,FALSE),"")</f>
        <v/>
      </c>
      <c r="J249" s="45" t="str">
        <f>IFERROR(VLOOKUP(B249,'Pre-Summary'!$AE$6:$AJ$85,6, FALSE),"")</f>
        <v/>
      </c>
      <c r="K249" s="45" t="str">
        <f>IFERROR(VLOOKUP(B249,'Pre-Summary'!$DE$6:$DG$61,3,FALSE),"")</f>
        <v/>
      </c>
      <c r="L249" s="45" t="str">
        <f>IFERROR(VLOOKUP(B249,'Pre-Summary'!$CU$6:$CW$36,3,FALSE),"")</f>
        <v/>
      </c>
      <c r="M249" s="45" t="str">
        <f>IFERROR(VLOOKUP(B249,'Pre-Summary'!$BW$6:$BY$58,2,FALSE),"")</f>
        <v/>
      </c>
      <c r="N249" s="45" t="str">
        <f>IFERROR(VLOOKUP(B249,'Pre-Summary'!$CD$6:$CF$64,2,FALSE),"")</f>
        <v/>
      </c>
      <c r="O249" s="99">
        <f>IFERROR(VLOOKUP(B249,'Pre-Summary'!$BO$6:$BQ$48,3, FALSE),O248)</f>
        <v>1.0915248032216731</v>
      </c>
      <c r="P249" s="99">
        <f>IFERROR(VLOOKUP(B249,'Pre-Summary'!$BS$6:$BU$35,3,FALSE),P248)</f>
        <v>0.25</v>
      </c>
      <c r="Q249" s="54">
        <f t="shared" si="9"/>
        <v>4.3660992128866924</v>
      </c>
      <c r="R249" s="53">
        <f>IFERROR(VLOOKUP(B249,'Pre-Summary'!$BG$6:$BM$44,7,FALSE),R250)</f>
        <v>2.7904161219319636E-2</v>
      </c>
      <c r="S249" s="53">
        <f>IFERROR(VLOOKUP(B249,'Pre-Summary'!$BG$6:$BM$44,6,FALSE),S250)</f>
        <v>3.3978715219895171E-2</v>
      </c>
      <c r="T249" s="45" t="str">
        <f>IFERROR(VLOOKUP(B249,'Pre-Summary'!$Y$6:$AC$83, 3,FALSE),"")</f>
        <v/>
      </c>
      <c r="U249" s="45" t="str">
        <f>IFERROR(VLOOKUP(B249,'Pre-Summary'!$Y$6:$AC$83, 4,FALSE),"")</f>
        <v/>
      </c>
      <c r="V249" t="str">
        <f>IFERROR(VLOOKUP(B249,'Pre-Summary'!$Y$6:$AC$83, 5,FALSE),"")</f>
        <v/>
      </c>
      <c r="W249" s="45" t="str">
        <f>IFERROR(VLOOKUP(B249,'Pre-Summary'!$Y$6:$AD$83,6,FALSE),"")</f>
        <v/>
      </c>
      <c r="X249" t="str">
        <f>IFERROR(VLOOKUP('Pre-Summary'!$DB$6:$DD$63,3,FALSE),"")</f>
        <v/>
      </c>
      <c r="Y249" t="str">
        <f>IFERROR(VLOOKUP(B249,'Pre-Summary'!$CR$6:$CT$36,3,FALSE),"")</f>
        <v/>
      </c>
      <c r="Z249" s="45" t="str">
        <f>IFERROR(VLOOKUP(B249,'Pre-Summary'!$BZ$6:$CB$63,2,FALSE),"")</f>
        <v/>
      </c>
      <c r="AA249" s="45" t="str">
        <f>IFERROR(VLOOKUP(B249,'Pre-Summary'!$CG$6:$CI$70,2,FALSE),"")</f>
        <v/>
      </c>
      <c r="AB249" s="99">
        <f>IFERROR(VLOOKUP(B249,'Pre-Summary'!$A$6:$P$178,9,FALSE),AB250)</f>
        <v>1.0067180186389197</v>
      </c>
      <c r="AC249" s="10">
        <f>IFERROR(VLOOKUP(Summary!B249,'Pre-Summary'!$A$6:$P$184,5, FALSE)/100,AC250)</f>
        <v>0.115633</v>
      </c>
      <c r="AD249" s="10">
        <f>IFERROR(VLOOKUP(Summary!B249,'Pre-Summary'!$A$6:$P$184,3, FALSE)/100,AD250)</f>
        <v>0.88127200000000006</v>
      </c>
      <c r="AE249" s="10">
        <f>IFERROR(VLOOKUP(Summary!B249,'Pre-Summary'!$A$6:$P$184,7, FALSE)/100,AE250)</f>
        <v>3.0949999999999992E-3</v>
      </c>
      <c r="AF249" s="99">
        <f t="shared" si="10"/>
        <v>0.88719240172195812</v>
      </c>
      <c r="AG249" s="99">
        <f t="shared" si="11"/>
        <v>3.115792267687456E-3</v>
      </c>
      <c r="AH249" s="10" t="str">
        <f>IFERROR(VLOOKUP(B249,'Pre-Summary'!$AZ$6:$BE$65,3,FALSE),"")</f>
        <v/>
      </c>
      <c r="AI249" s="10" t="str">
        <f>IFERROR(VLOOKUP(B249,'Pre-Summary'!$AZ$6:$BE$65,5,FALSE),"")</f>
        <v/>
      </c>
      <c r="AJ249" s="10" t="str">
        <f>IFERROR(VLOOKUP(B249,'Pre-Summary'!$AZ$6:$BE$65,4,FALSE),"")</f>
        <v/>
      </c>
      <c r="AK249" s="10" t="str">
        <f>IFERROR(VLOOKUP(B249,'Pre-Summary'!$AZ$6:$BE$65,6,FALSE),"")</f>
        <v/>
      </c>
      <c r="AL249" s="10" t="str">
        <f>IFERROR(VLOOKUP(B249,'Pre-Summary'!$BG$6:$BL$44,3,FALSE),"")</f>
        <v/>
      </c>
      <c r="AM249" s="10" t="str">
        <f>IFERROR(VLOOKUP(B249,'Pre-Summary'!$BG$6:$BL$44,4,FALSE),"")</f>
        <v/>
      </c>
    </row>
    <row r="250" spans="2:39" ht="15" customHeight="1" x14ac:dyDescent="0.3">
      <c r="B250">
        <v>24.7</v>
      </c>
      <c r="C250" t="str">
        <f>IFERROR(VLOOKUP(B250,'Pre-Summary'!$DI$6:$DM$23,4,FALSE),"")</f>
        <v/>
      </c>
      <c r="D250" s="10" t="str">
        <f>IFERROR(VLOOKUP(B250,'Pre-Summary'!$AT$6:$AX$14,5,FALSE),D249)</f>
        <v>DSMZ v1.5: Using DSMZ 120 with NaHCO3</v>
      </c>
      <c r="E250" s="10" t="str">
        <f>IFERROR(VLOOKUP(B250,'Pre-Summary'!$AT$6:$AX$15,4,FALSE),"")</f>
        <v/>
      </c>
      <c r="F250">
        <f>IFERROR(VLOOKUP(B250,'Pre-Summary'!$AL$6:$AQ$13,6,FALSE),F249)</f>
        <v>0</v>
      </c>
      <c r="G250" t="str">
        <f>IFERROR(VLOOKUP(B250,'Pre-Summary'!$AE$6:$AJ$85,3,FALSE),"")</f>
        <v/>
      </c>
      <c r="H250" t="str">
        <f>IFERROR(VLOOKUP(B250,'Pre-Summary'!$AE$6:$AJ$85,4,FALSE),"")</f>
        <v/>
      </c>
      <c r="I250" t="str">
        <f>IFERROR(VLOOKUP(B250,'Pre-Summary'!$AE$6:$AJ$85,5,FALSE),"")</f>
        <v/>
      </c>
      <c r="J250" s="45" t="str">
        <f>IFERROR(VLOOKUP(B250,'Pre-Summary'!$AE$6:$AJ$85,6, FALSE),"")</f>
        <v/>
      </c>
      <c r="K250" s="45" t="str">
        <f>IFERROR(VLOOKUP(B250,'Pre-Summary'!$DE$6:$DG$61,3,FALSE),"")</f>
        <v/>
      </c>
      <c r="L250" s="45" t="str">
        <f>IFERROR(VLOOKUP(B250,'Pre-Summary'!$CU$6:$CW$36,3,FALSE),"")</f>
        <v/>
      </c>
      <c r="M250" s="45" t="str">
        <f>IFERROR(VLOOKUP(B250,'Pre-Summary'!$BW$6:$BY$58,2,FALSE),"")</f>
        <v/>
      </c>
      <c r="N250" s="45" t="str">
        <f>IFERROR(VLOOKUP(B250,'Pre-Summary'!$CD$6:$CF$64,2,FALSE),"")</f>
        <v/>
      </c>
      <c r="O250" s="99">
        <f>IFERROR(VLOOKUP(B250,'Pre-Summary'!$BO$6:$BQ$48,3, FALSE),O249)</f>
        <v>1.0915248032216731</v>
      </c>
      <c r="P250" s="99">
        <f>IFERROR(VLOOKUP(B250,'Pre-Summary'!$BS$6:$BU$35,3,FALSE),P249)</f>
        <v>0.25</v>
      </c>
      <c r="Q250" s="54">
        <f t="shared" si="9"/>
        <v>4.3660992128866924</v>
      </c>
      <c r="R250" s="53">
        <f>IFERROR(VLOOKUP(B250,'Pre-Summary'!$BG$6:$BM$44,7,FALSE),R251)</f>
        <v>2.7904161219319636E-2</v>
      </c>
      <c r="S250" s="53">
        <f>IFERROR(VLOOKUP(B250,'Pre-Summary'!$BG$6:$BM$44,6,FALSE),S251)</f>
        <v>3.3978715219895171E-2</v>
      </c>
      <c r="T250" s="45" t="str">
        <f>IFERROR(VLOOKUP(B250,'Pre-Summary'!$Y$6:$AC$83, 3,FALSE),"")</f>
        <v/>
      </c>
      <c r="U250" s="45" t="str">
        <f>IFERROR(VLOOKUP(B250,'Pre-Summary'!$Y$6:$AC$83, 4,FALSE),"")</f>
        <v/>
      </c>
      <c r="V250" t="str">
        <f>IFERROR(VLOOKUP(B250,'Pre-Summary'!$Y$6:$AC$83, 5,FALSE),"")</f>
        <v/>
      </c>
      <c r="W250" s="45" t="str">
        <f>IFERROR(VLOOKUP(B250,'Pre-Summary'!$Y$6:$AD$83,6,FALSE),"")</f>
        <v/>
      </c>
      <c r="X250" t="str">
        <f>IFERROR(VLOOKUP('Pre-Summary'!$DB$6:$DD$63,3,FALSE),"")</f>
        <v/>
      </c>
      <c r="Y250" t="str">
        <f>IFERROR(VLOOKUP(B250,'Pre-Summary'!$CR$6:$CT$36,3,FALSE),"")</f>
        <v/>
      </c>
      <c r="Z250" s="45" t="str">
        <f>IFERROR(VLOOKUP(B250,'Pre-Summary'!$BZ$6:$CB$63,2,FALSE),"")</f>
        <v/>
      </c>
      <c r="AA250" s="45" t="str">
        <f>IFERROR(VLOOKUP(B250,'Pre-Summary'!$CG$6:$CI$70,2,FALSE),"")</f>
        <v/>
      </c>
      <c r="AB250" s="99">
        <f>IFERROR(VLOOKUP(B250,'Pre-Summary'!$A$6:$P$178,9,FALSE),AB251)</f>
        <v>1.0067180186389197</v>
      </c>
      <c r="AC250" s="10">
        <f>IFERROR(VLOOKUP(Summary!B250,'Pre-Summary'!$A$6:$P$184,5, FALSE)/100,AC251)</f>
        <v>0.115633</v>
      </c>
      <c r="AD250" s="10">
        <f>IFERROR(VLOOKUP(Summary!B250,'Pre-Summary'!$A$6:$P$184,3, FALSE)/100,AD251)</f>
        <v>0.88127200000000006</v>
      </c>
      <c r="AE250" s="10">
        <f>IFERROR(VLOOKUP(Summary!B250,'Pre-Summary'!$A$6:$P$184,7, FALSE)/100,AE251)</f>
        <v>3.0949999999999992E-3</v>
      </c>
      <c r="AF250" s="99">
        <f t="shared" si="10"/>
        <v>0.88719240172195812</v>
      </c>
      <c r="AG250" s="99">
        <f t="shared" si="11"/>
        <v>3.115792267687456E-3</v>
      </c>
      <c r="AH250" s="10" t="str">
        <f>IFERROR(VLOOKUP(B250,'Pre-Summary'!$AZ$6:$BE$65,3,FALSE),"")</f>
        <v/>
      </c>
      <c r="AI250" s="10" t="str">
        <f>IFERROR(VLOOKUP(B250,'Pre-Summary'!$AZ$6:$BE$65,5,FALSE),"")</f>
        <v/>
      </c>
      <c r="AJ250" s="10" t="str">
        <f>IFERROR(VLOOKUP(B250,'Pre-Summary'!$AZ$6:$BE$65,4,FALSE),"")</f>
        <v/>
      </c>
      <c r="AK250" s="10" t="str">
        <f>IFERROR(VLOOKUP(B250,'Pre-Summary'!$AZ$6:$BE$65,6,FALSE),"")</f>
        <v/>
      </c>
      <c r="AL250" s="10" t="str">
        <f>IFERROR(VLOOKUP(B250,'Pre-Summary'!$BG$6:$BL$44,3,FALSE),"")</f>
        <v/>
      </c>
      <c r="AM250" s="10" t="str">
        <f>IFERROR(VLOOKUP(B250,'Pre-Summary'!$BG$6:$BL$44,4,FALSE),"")</f>
        <v/>
      </c>
    </row>
    <row r="251" spans="2:39" ht="15" customHeight="1" x14ac:dyDescent="0.3">
      <c r="B251">
        <v>24.8</v>
      </c>
      <c r="C251" t="str">
        <f>IFERROR(VLOOKUP(B251,'Pre-Summary'!$DI$6:$DM$23,4,FALSE),"")</f>
        <v/>
      </c>
      <c r="D251" s="10" t="str">
        <f>IFERROR(VLOOKUP(B251,'Pre-Summary'!$AT$6:$AX$14,5,FALSE),D250)</f>
        <v>DSMZ v1.5: Using DSMZ 120 with NaHCO3</v>
      </c>
      <c r="E251" s="10" t="str">
        <f>IFERROR(VLOOKUP(B251,'Pre-Summary'!$AT$6:$AX$15,4,FALSE),"")</f>
        <v/>
      </c>
      <c r="F251">
        <f>IFERROR(VLOOKUP(B251,'Pre-Summary'!$AL$6:$AQ$13,6,FALSE),F250)</f>
        <v>0</v>
      </c>
      <c r="G251" t="str">
        <f>IFERROR(VLOOKUP(B251,'Pre-Summary'!$AE$6:$AJ$85,3,FALSE),"")</f>
        <v/>
      </c>
      <c r="H251" t="str">
        <f>IFERROR(VLOOKUP(B251,'Pre-Summary'!$AE$6:$AJ$85,4,FALSE),"")</f>
        <v/>
      </c>
      <c r="I251" t="str">
        <f>IFERROR(VLOOKUP(B251,'Pre-Summary'!$AE$6:$AJ$85,5,FALSE),"")</f>
        <v/>
      </c>
      <c r="J251" s="45" t="str">
        <f>IFERROR(VLOOKUP(B251,'Pre-Summary'!$AE$6:$AJ$85,6, FALSE),"")</f>
        <v/>
      </c>
      <c r="K251" s="45" t="str">
        <f>IFERROR(VLOOKUP(B251,'Pre-Summary'!$DE$6:$DG$61,3,FALSE),"")</f>
        <v/>
      </c>
      <c r="L251" s="45" t="str">
        <f>IFERROR(VLOOKUP(B251,'Pre-Summary'!$CU$6:$CW$36,3,FALSE),"")</f>
        <v/>
      </c>
      <c r="M251" s="45" t="str">
        <f>IFERROR(VLOOKUP(B251,'Pre-Summary'!$BW$6:$BY$58,2,FALSE),"")</f>
        <v/>
      </c>
      <c r="N251" s="45" t="str">
        <f>IFERROR(VLOOKUP(B251,'Pre-Summary'!$CD$6:$CF$64,2,FALSE),"")</f>
        <v/>
      </c>
      <c r="O251" s="99">
        <f>IFERROR(VLOOKUP(B251,'Pre-Summary'!$BO$6:$BQ$48,3, FALSE),O250)</f>
        <v>1.0915248032216731</v>
      </c>
      <c r="P251" s="99">
        <f>IFERROR(VLOOKUP(B251,'Pre-Summary'!$BS$6:$BU$35,3,FALSE),P250)</f>
        <v>0.25</v>
      </c>
      <c r="Q251" s="54">
        <f t="shared" si="9"/>
        <v>4.3660992128866924</v>
      </c>
      <c r="R251" s="53">
        <f>IFERROR(VLOOKUP(B251,'Pre-Summary'!$BG$6:$BM$44,7,FALSE),R252)</f>
        <v>2.7904161219319636E-2</v>
      </c>
      <c r="S251" s="53">
        <f>IFERROR(VLOOKUP(B251,'Pre-Summary'!$BG$6:$BM$44,6,FALSE),S252)</f>
        <v>3.3978715219895171E-2</v>
      </c>
      <c r="T251" s="45" t="str">
        <f>IFERROR(VLOOKUP(B251,'Pre-Summary'!$Y$6:$AC$83, 3,FALSE),"")</f>
        <v/>
      </c>
      <c r="U251" s="45" t="str">
        <f>IFERROR(VLOOKUP(B251,'Pre-Summary'!$Y$6:$AC$83, 4,FALSE),"")</f>
        <v/>
      </c>
      <c r="V251" t="str">
        <f>IFERROR(VLOOKUP(B251,'Pre-Summary'!$Y$6:$AC$83, 5,FALSE),"")</f>
        <v/>
      </c>
      <c r="W251" s="45" t="str">
        <f>IFERROR(VLOOKUP(B251,'Pre-Summary'!$Y$6:$AD$83,6,FALSE),"")</f>
        <v/>
      </c>
      <c r="X251" t="str">
        <f>IFERROR(VLOOKUP('Pre-Summary'!$DB$6:$DD$63,3,FALSE),"")</f>
        <v/>
      </c>
      <c r="Y251" t="str">
        <f>IFERROR(VLOOKUP(B251,'Pre-Summary'!$CR$6:$CT$36,3,FALSE),"")</f>
        <v/>
      </c>
      <c r="Z251" s="45" t="str">
        <f>IFERROR(VLOOKUP(B251,'Pre-Summary'!$BZ$6:$CB$63,2,FALSE),"")</f>
        <v/>
      </c>
      <c r="AA251" s="45" t="str">
        <f>IFERROR(VLOOKUP(B251,'Pre-Summary'!$CG$6:$CI$70,2,FALSE),"")</f>
        <v/>
      </c>
      <c r="AB251" s="99">
        <f>IFERROR(VLOOKUP(B251,'Pre-Summary'!$A$6:$P$178,9,FALSE),AB252)</f>
        <v>1.0067180186389197</v>
      </c>
      <c r="AC251" s="10">
        <f>IFERROR(VLOOKUP(Summary!B251,'Pre-Summary'!$A$6:$P$184,5, FALSE)/100,AC252)</f>
        <v>0.115633</v>
      </c>
      <c r="AD251" s="10">
        <f>IFERROR(VLOOKUP(Summary!B251,'Pre-Summary'!$A$6:$P$184,3, FALSE)/100,AD252)</f>
        <v>0.88127200000000006</v>
      </c>
      <c r="AE251" s="10">
        <f>IFERROR(VLOOKUP(Summary!B251,'Pre-Summary'!$A$6:$P$184,7, FALSE)/100,AE252)</f>
        <v>3.0949999999999992E-3</v>
      </c>
      <c r="AF251" s="99">
        <f t="shared" si="10"/>
        <v>0.88719240172195812</v>
      </c>
      <c r="AG251" s="99">
        <f t="shared" si="11"/>
        <v>3.115792267687456E-3</v>
      </c>
      <c r="AH251" s="10" t="str">
        <f>IFERROR(VLOOKUP(B251,'Pre-Summary'!$AZ$6:$BE$65,3,FALSE),"")</f>
        <v/>
      </c>
      <c r="AI251" s="10" t="str">
        <f>IFERROR(VLOOKUP(B251,'Pre-Summary'!$AZ$6:$BE$65,5,FALSE),"")</f>
        <v/>
      </c>
      <c r="AJ251" s="10" t="str">
        <f>IFERROR(VLOOKUP(B251,'Pre-Summary'!$AZ$6:$BE$65,4,FALSE),"")</f>
        <v/>
      </c>
      <c r="AK251" s="10" t="str">
        <f>IFERROR(VLOOKUP(B251,'Pre-Summary'!$AZ$6:$BE$65,6,FALSE),"")</f>
        <v/>
      </c>
      <c r="AL251" s="10" t="str">
        <f>IFERROR(VLOOKUP(B251,'Pre-Summary'!$BG$6:$BL$44,3,FALSE),"")</f>
        <v/>
      </c>
      <c r="AM251" s="10" t="str">
        <f>IFERROR(VLOOKUP(B251,'Pre-Summary'!$BG$6:$BL$44,4,FALSE),"")</f>
        <v/>
      </c>
    </row>
    <row r="252" spans="2:39" ht="15" customHeight="1" x14ac:dyDescent="0.3">
      <c r="B252">
        <v>24.9</v>
      </c>
      <c r="C252" t="str">
        <f>IFERROR(VLOOKUP(B252,'Pre-Summary'!$DI$6:$DM$23,4,FALSE),"")</f>
        <v/>
      </c>
      <c r="D252" s="10" t="str">
        <f>IFERROR(VLOOKUP(B252,'Pre-Summary'!$AT$6:$AX$14,5,FALSE),D251)</f>
        <v>DSMZ v1.5: Using DSMZ 120 with NaHCO3</v>
      </c>
      <c r="E252" s="10" t="str">
        <f>IFERROR(VLOOKUP(B252,'Pre-Summary'!$AT$6:$AX$15,4,FALSE),"")</f>
        <v/>
      </c>
      <c r="F252">
        <f>IFERROR(VLOOKUP(B252,'Pre-Summary'!$AL$6:$AQ$13,6,FALSE),F251)</f>
        <v>0</v>
      </c>
      <c r="G252" t="str">
        <f>IFERROR(VLOOKUP(B252,'Pre-Summary'!$AE$6:$AJ$85,3,FALSE),"")</f>
        <v/>
      </c>
      <c r="H252" t="str">
        <f>IFERROR(VLOOKUP(B252,'Pre-Summary'!$AE$6:$AJ$85,4,FALSE),"")</f>
        <v/>
      </c>
      <c r="I252" t="str">
        <f>IFERROR(VLOOKUP(B252,'Pre-Summary'!$AE$6:$AJ$85,5,FALSE),"")</f>
        <v/>
      </c>
      <c r="J252" s="45" t="str">
        <f>IFERROR(VLOOKUP(B252,'Pre-Summary'!$AE$6:$AJ$85,6, FALSE),"")</f>
        <v/>
      </c>
      <c r="K252" s="45" t="str">
        <f>IFERROR(VLOOKUP(B252,'Pre-Summary'!$DE$6:$DG$61,3,FALSE),"")</f>
        <v/>
      </c>
      <c r="L252" s="45" t="str">
        <f>IFERROR(VLOOKUP(B252,'Pre-Summary'!$CU$6:$CW$36,3,FALSE),"")</f>
        <v/>
      </c>
      <c r="M252" s="45" t="str">
        <f>IFERROR(VLOOKUP(B252,'Pre-Summary'!$BW$6:$BY$58,2,FALSE),"")</f>
        <v/>
      </c>
      <c r="N252" s="45" t="str">
        <f>IFERROR(VLOOKUP(B252,'Pre-Summary'!$CD$6:$CF$64,2,FALSE),"")</f>
        <v/>
      </c>
      <c r="O252" s="99">
        <f>IFERROR(VLOOKUP(B252,'Pre-Summary'!$BO$6:$BQ$48,3, FALSE),O251)</f>
        <v>1.0915248032216731</v>
      </c>
      <c r="P252" s="99">
        <f>IFERROR(VLOOKUP(B252,'Pre-Summary'!$BS$6:$BU$35,3,FALSE),P251)</f>
        <v>0.25</v>
      </c>
      <c r="Q252" s="54">
        <f t="shared" si="9"/>
        <v>4.3660992128866924</v>
      </c>
      <c r="R252" s="53">
        <f>IFERROR(VLOOKUP(B252,'Pre-Summary'!$BG$6:$BM$44,7,FALSE),R253)</f>
        <v>2.7904161219319636E-2</v>
      </c>
      <c r="S252" s="53">
        <f>IFERROR(VLOOKUP(B252,'Pre-Summary'!$BG$6:$BM$44,6,FALSE),S253)</f>
        <v>3.3978715219895171E-2</v>
      </c>
      <c r="T252" s="45" t="str">
        <f>IFERROR(VLOOKUP(B252,'Pre-Summary'!$Y$6:$AC$83, 3,FALSE),"")</f>
        <v/>
      </c>
      <c r="U252" s="45" t="str">
        <f>IFERROR(VLOOKUP(B252,'Pre-Summary'!$Y$6:$AC$83, 4,FALSE),"")</f>
        <v/>
      </c>
      <c r="V252" t="str">
        <f>IFERROR(VLOOKUP(B252,'Pre-Summary'!$Y$6:$AC$83, 5,FALSE),"")</f>
        <v/>
      </c>
      <c r="W252" s="45" t="str">
        <f>IFERROR(VLOOKUP(B252,'Pre-Summary'!$Y$6:$AD$83,6,FALSE),"")</f>
        <v/>
      </c>
      <c r="X252" t="str">
        <f>IFERROR(VLOOKUP('Pre-Summary'!$DB$6:$DD$63,3,FALSE),"")</f>
        <v/>
      </c>
      <c r="Y252" t="str">
        <f>IFERROR(VLOOKUP(B252,'Pre-Summary'!$CR$6:$CT$36,3,FALSE),"")</f>
        <v/>
      </c>
      <c r="Z252" s="45" t="str">
        <f>IFERROR(VLOOKUP(B252,'Pre-Summary'!$BZ$6:$CB$63,2,FALSE),"")</f>
        <v/>
      </c>
      <c r="AA252" s="45" t="str">
        <f>IFERROR(VLOOKUP(B252,'Pre-Summary'!$CG$6:$CI$70,2,FALSE),"")</f>
        <v/>
      </c>
      <c r="AB252" s="99">
        <f>IFERROR(VLOOKUP(B252,'Pre-Summary'!$A$6:$P$178,9,FALSE),AB253)</f>
        <v>1.0067180186389197</v>
      </c>
      <c r="AC252" s="10">
        <f>IFERROR(VLOOKUP(Summary!B252,'Pre-Summary'!$A$6:$P$184,5, FALSE)/100,AC253)</f>
        <v>0.115633</v>
      </c>
      <c r="AD252" s="10">
        <f>IFERROR(VLOOKUP(Summary!B252,'Pre-Summary'!$A$6:$P$184,3, FALSE)/100,AD253)</f>
        <v>0.88127200000000006</v>
      </c>
      <c r="AE252" s="10">
        <f>IFERROR(VLOOKUP(Summary!B252,'Pre-Summary'!$A$6:$P$184,7, FALSE)/100,AE253)</f>
        <v>3.0949999999999992E-3</v>
      </c>
      <c r="AF252" s="99">
        <f t="shared" si="10"/>
        <v>0.88719240172195812</v>
      </c>
      <c r="AG252" s="99">
        <f t="shared" si="11"/>
        <v>3.115792267687456E-3</v>
      </c>
      <c r="AH252" s="10" t="str">
        <f>IFERROR(VLOOKUP(B252,'Pre-Summary'!$AZ$6:$BE$65,3,FALSE),"")</f>
        <v/>
      </c>
      <c r="AI252" s="10" t="str">
        <f>IFERROR(VLOOKUP(B252,'Pre-Summary'!$AZ$6:$BE$65,5,FALSE),"")</f>
        <v/>
      </c>
      <c r="AJ252" s="10" t="str">
        <f>IFERROR(VLOOKUP(B252,'Pre-Summary'!$AZ$6:$BE$65,4,FALSE),"")</f>
        <v/>
      </c>
      <c r="AK252" s="10" t="str">
        <f>IFERROR(VLOOKUP(B252,'Pre-Summary'!$AZ$6:$BE$65,6,FALSE),"")</f>
        <v/>
      </c>
      <c r="AL252" s="10" t="str">
        <f>IFERROR(VLOOKUP(B252,'Pre-Summary'!$BG$6:$BL$44,3,FALSE),"")</f>
        <v/>
      </c>
      <c r="AM252" s="10" t="str">
        <f>IFERROR(VLOOKUP(B252,'Pre-Summary'!$BG$6:$BL$44,4,FALSE),"")</f>
        <v/>
      </c>
    </row>
    <row r="253" spans="2:39" ht="15" customHeight="1" x14ac:dyDescent="0.3">
      <c r="B253">
        <v>25</v>
      </c>
      <c r="C253" t="str">
        <f>IFERROR(VLOOKUP(B253,'Pre-Summary'!$DI$6:$DM$23,4,FALSE),"")</f>
        <v/>
      </c>
      <c r="D253" s="10" t="str">
        <f>IFERROR(VLOOKUP(B253,'Pre-Summary'!$AT$6:$AX$14,5,FALSE),D252)</f>
        <v>DSMZ v1.5: Using DSMZ 120 with NaHCO3</v>
      </c>
      <c r="E253" s="10" t="str">
        <f>IFERROR(VLOOKUP(B253,'Pre-Summary'!$AT$6:$AX$15,4,FALSE),"")</f>
        <v/>
      </c>
      <c r="F253">
        <f>IFERROR(VLOOKUP(B253,'Pre-Summary'!$AL$6:$AQ$13,6,FALSE),F252)</f>
        <v>0</v>
      </c>
      <c r="G253" t="str">
        <f>IFERROR(VLOOKUP(B253,'Pre-Summary'!$AE$6:$AJ$85,3,FALSE),"")</f>
        <v/>
      </c>
      <c r="H253" t="str">
        <f>IFERROR(VLOOKUP(B253,'Pre-Summary'!$AE$6:$AJ$85,4,FALSE),"")</f>
        <v/>
      </c>
      <c r="I253" t="str">
        <f>IFERROR(VLOOKUP(B253,'Pre-Summary'!$AE$6:$AJ$85,5,FALSE),"")</f>
        <v/>
      </c>
      <c r="J253" s="45" t="str">
        <f>IFERROR(VLOOKUP(B253,'Pre-Summary'!$AE$6:$AJ$85,6, FALSE),"")</f>
        <v/>
      </c>
      <c r="K253" s="45" t="str">
        <f>IFERROR(VLOOKUP(B253,'Pre-Summary'!$DE$6:$DG$61,3,FALSE),"")</f>
        <v/>
      </c>
      <c r="L253" s="45" t="str">
        <f>IFERROR(VLOOKUP(B253,'Pre-Summary'!$CU$6:$CW$36,3,FALSE),"")</f>
        <v/>
      </c>
      <c r="M253" s="45" t="str">
        <f>IFERROR(VLOOKUP(B253,'Pre-Summary'!$BW$6:$BY$58,2,FALSE),"")</f>
        <v/>
      </c>
      <c r="N253" s="45" t="str">
        <f>IFERROR(VLOOKUP(B253,'Pre-Summary'!$CD$6:$CF$64,2,FALSE),"")</f>
        <v/>
      </c>
      <c r="O253" s="99">
        <f>IFERROR(VLOOKUP(B253,'Pre-Summary'!$BO$6:$BQ$48,3, FALSE),O252)</f>
        <v>1.0915248032216731</v>
      </c>
      <c r="P253" s="99">
        <f>IFERROR(VLOOKUP(B253,'Pre-Summary'!$BS$6:$BU$35,3,FALSE),P252)</f>
        <v>0.25</v>
      </c>
      <c r="Q253" s="54">
        <f t="shared" si="9"/>
        <v>4.3660992128866924</v>
      </c>
      <c r="R253" s="53">
        <f>IFERROR(VLOOKUP(B253,'Pre-Summary'!$BG$6:$BM$44,7,FALSE),R254)</f>
        <v>2.7904161219319636E-2</v>
      </c>
      <c r="S253" s="53">
        <f>IFERROR(VLOOKUP(B253,'Pre-Summary'!$BG$6:$BM$44,6,FALSE),S254)</f>
        <v>3.3978715219895171E-2</v>
      </c>
      <c r="T253" s="45" t="str">
        <f>IFERROR(VLOOKUP(B253,'Pre-Summary'!$Y$6:$AC$83, 3,FALSE),"")</f>
        <v/>
      </c>
      <c r="U253" s="45" t="str">
        <f>IFERROR(VLOOKUP(B253,'Pre-Summary'!$Y$6:$AC$83, 4,FALSE),"")</f>
        <v/>
      </c>
      <c r="V253" t="str">
        <f>IFERROR(VLOOKUP(B253,'Pre-Summary'!$Y$6:$AC$83, 5,FALSE),"")</f>
        <v/>
      </c>
      <c r="W253" s="45" t="str">
        <f>IFERROR(VLOOKUP(B253,'Pre-Summary'!$Y$6:$AD$83,6,FALSE),"")</f>
        <v/>
      </c>
      <c r="X253" t="str">
        <f>IFERROR(VLOOKUP('Pre-Summary'!$DB$6:$DD$63,3,FALSE),"")</f>
        <v/>
      </c>
      <c r="Y253" t="str">
        <f>IFERROR(VLOOKUP(B253,'Pre-Summary'!$CR$6:$CT$36,3,FALSE),"")</f>
        <v/>
      </c>
      <c r="Z253" s="45" t="str">
        <f>IFERROR(VLOOKUP(B253,'Pre-Summary'!$BZ$6:$CB$63,2,FALSE),"")</f>
        <v/>
      </c>
      <c r="AA253" s="45" t="str">
        <f>IFERROR(VLOOKUP(B253,'Pre-Summary'!$CG$6:$CI$70,2,FALSE),"")</f>
        <v/>
      </c>
      <c r="AB253" s="99">
        <f>IFERROR(VLOOKUP(B253,'Pre-Summary'!$A$6:$P$178,9,FALSE),AB254)</f>
        <v>1.0067180186389197</v>
      </c>
      <c r="AC253" s="10">
        <f>IFERROR(VLOOKUP(Summary!B253,'Pre-Summary'!$A$6:$P$184,5, FALSE)/100,AC254)</f>
        <v>0.115633</v>
      </c>
      <c r="AD253" s="10">
        <f>IFERROR(VLOOKUP(Summary!B253,'Pre-Summary'!$A$6:$P$184,3, FALSE)/100,AD254)</f>
        <v>0.88127200000000006</v>
      </c>
      <c r="AE253" s="10">
        <f>IFERROR(VLOOKUP(Summary!B253,'Pre-Summary'!$A$6:$P$184,7, FALSE)/100,AE254)</f>
        <v>3.0949999999999992E-3</v>
      </c>
      <c r="AF253" s="99">
        <f t="shared" si="10"/>
        <v>0.88719240172195812</v>
      </c>
      <c r="AG253" s="99">
        <f t="shared" si="11"/>
        <v>3.115792267687456E-3</v>
      </c>
      <c r="AH253" s="10" t="str">
        <f>IFERROR(VLOOKUP(B253,'Pre-Summary'!$AZ$6:$BE$65,3,FALSE),"")</f>
        <v/>
      </c>
      <c r="AI253" s="10" t="str">
        <f>IFERROR(VLOOKUP(B253,'Pre-Summary'!$AZ$6:$BE$65,5,FALSE),"")</f>
        <v/>
      </c>
      <c r="AJ253" s="10" t="str">
        <f>IFERROR(VLOOKUP(B253,'Pre-Summary'!$AZ$6:$BE$65,4,FALSE),"")</f>
        <v/>
      </c>
      <c r="AK253" s="10" t="str">
        <f>IFERROR(VLOOKUP(B253,'Pre-Summary'!$AZ$6:$BE$65,6,FALSE),"")</f>
        <v/>
      </c>
      <c r="AL253" s="10" t="str">
        <f>IFERROR(VLOOKUP(B253,'Pre-Summary'!$BG$6:$BL$44,3,FALSE),"")</f>
        <v/>
      </c>
      <c r="AM253" s="10" t="str">
        <f>IFERROR(VLOOKUP(B253,'Pre-Summary'!$BG$6:$BL$44,4,FALSE),"")</f>
        <v/>
      </c>
    </row>
    <row r="254" spans="2:39" ht="15" customHeight="1" x14ac:dyDescent="0.3">
      <c r="B254">
        <v>25.1</v>
      </c>
      <c r="C254" t="str">
        <f>IFERROR(VLOOKUP(B254,'Pre-Summary'!$DI$6:$DM$23,4,FALSE),"")</f>
        <v/>
      </c>
      <c r="D254" s="10" t="str">
        <f>IFERROR(VLOOKUP(B254,'Pre-Summary'!$AT$6:$AX$14,5,FALSE),D253)</f>
        <v>DSMZ v1.5: Using DSMZ 120 with NaHCO3</v>
      </c>
      <c r="E254" s="10" t="str">
        <f>IFERROR(VLOOKUP(B254,'Pre-Summary'!$AT$6:$AX$15,4,FALSE),"")</f>
        <v/>
      </c>
      <c r="F254">
        <f>IFERROR(VLOOKUP(B254,'Pre-Summary'!$AL$6:$AQ$13,6,FALSE),F253)</f>
        <v>0</v>
      </c>
      <c r="G254" t="str">
        <f>IFERROR(VLOOKUP(B254,'Pre-Summary'!$AE$6:$AJ$85,3,FALSE),"")</f>
        <v/>
      </c>
      <c r="H254" t="str">
        <f>IFERROR(VLOOKUP(B254,'Pre-Summary'!$AE$6:$AJ$85,4,FALSE),"")</f>
        <v/>
      </c>
      <c r="I254" t="str">
        <f>IFERROR(VLOOKUP(B254,'Pre-Summary'!$AE$6:$AJ$85,5,FALSE),"")</f>
        <v/>
      </c>
      <c r="J254" s="45" t="str">
        <f>IFERROR(VLOOKUP(B254,'Pre-Summary'!$AE$6:$AJ$85,6, FALSE),"")</f>
        <v/>
      </c>
      <c r="K254" s="45" t="str">
        <f>IFERROR(VLOOKUP(B254,'Pre-Summary'!$DE$6:$DG$61,3,FALSE),"")</f>
        <v/>
      </c>
      <c r="L254" s="45" t="str">
        <f>IFERROR(VLOOKUP(B254,'Pre-Summary'!$CU$6:$CW$36,3,FALSE),"")</f>
        <v/>
      </c>
      <c r="M254" s="45" t="str">
        <f>IFERROR(VLOOKUP(B254,'Pre-Summary'!$BW$6:$BY$58,2,FALSE),"")</f>
        <v/>
      </c>
      <c r="N254" s="45" t="str">
        <f>IFERROR(VLOOKUP(B254,'Pre-Summary'!$CD$6:$CF$64,2,FALSE),"")</f>
        <v/>
      </c>
      <c r="O254" s="99">
        <f>IFERROR(VLOOKUP(B254,'Pre-Summary'!$BO$6:$BQ$48,3, FALSE),O253)</f>
        <v>1.0915248032216731</v>
      </c>
      <c r="P254" s="99">
        <f>IFERROR(VLOOKUP(B254,'Pre-Summary'!$BS$6:$BU$35,3,FALSE),P253)</f>
        <v>0.25</v>
      </c>
      <c r="Q254" s="54">
        <f t="shared" si="9"/>
        <v>4.3660992128866924</v>
      </c>
      <c r="R254" s="53">
        <f>IFERROR(VLOOKUP(B254,'Pre-Summary'!$BG$6:$BM$44,7,FALSE),R255)</f>
        <v>2.7904161219319636E-2</v>
      </c>
      <c r="S254" s="53">
        <f>IFERROR(VLOOKUP(B254,'Pre-Summary'!$BG$6:$BM$44,6,FALSE),S255)</f>
        <v>3.3978715219895171E-2</v>
      </c>
      <c r="T254" s="45" t="str">
        <f>IFERROR(VLOOKUP(B254,'Pre-Summary'!$Y$6:$AC$83, 3,FALSE),"")</f>
        <v/>
      </c>
      <c r="U254" s="45" t="str">
        <f>IFERROR(VLOOKUP(B254,'Pre-Summary'!$Y$6:$AC$83, 4,FALSE),"")</f>
        <v/>
      </c>
      <c r="V254" t="str">
        <f>IFERROR(VLOOKUP(B254,'Pre-Summary'!$Y$6:$AC$83, 5,FALSE),"")</f>
        <v/>
      </c>
      <c r="W254" s="45" t="str">
        <f>IFERROR(VLOOKUP(B254,'Pre-Summary'!$Y$6:$AD$83,6,FALSE),"")</f>
        <v/>
      </c>
      <c r="X254" t="str">
        <f>IFERROR(VLOOKUP('Pre-Summary'!$DB$6:$DD$63,3,FALSE),"")</f>
        <v/>
      </c>
      <c r="Y254" t="str">
        <f>IFERROR(VLOOKUP(B254,'Pre-Summary'!$CR$6:$CT$36,3,FALSE),"")</f>
        <v/>
      </c>
      <c r="Z254" s="45" t="str">
        <f>IFERROR(VLOOKUP(B254,'Pre-Summary'!$BZ$6:$CB$63,2,FALSE),"")</f>
        <v/>
      </c>
      <c r="AA254" s="45" t="str">
        <f>IFERROR(VLOOKUP(B254,'Pre-Summary'!$CG$6:$CI$70,2,FALSE),"")</f>
        <v/>
      </c>
      <c r="AB254" s="99">
        <f>IFERROR(VLOOKUP(B254,'Pre-Summary'!$A$6:$P$178,9,FALSE),AB255)</f>
        <v>1.0067180186389197</v>
      </c>
      <c r="AC254" s="10">
        <f>IFERROR(VLOOKUP(Summary!B254,'Pre-Summary'!$A$6:$P$184,5, FALSE)/100,AC255)</f>
        <v>0.115633</v>
      </c>
      <c r="AD254" s="10">
        <f>IFERROR(VLOOKUP(Summary!B254,'Pre-Summary'!$A$6:$P$184,3, FALSE)/100,AD255)</f>
        <v>0.88127200000000006</v>
      </c>
      <c r="AE254" s="10">
        <f>IFERROR(VLOOKUP(Summary!B254,'Pre-Summary'!$A$6:$P$184,7, FALSE)/100,AE255)</f>
        <v>3.0949999999999992E-3</v>
      </c>
      <c r="AF254" s="99">
        <f t="shared" si="10"/>
        <v>0.88719240172195812</v>
      </c>
      <c r="AG254" s="99">
        <f t="shared" si="11"/>
        <v>3.115792267687456E-3</v>
      </c>
      <c r="AH254" s="10" t="str">
        <f>IFERROR(VLOOKUP(B254,'Pre-Summary'!$AZ$6:$BE$65,3,FALSE),"")</f>
        <v/>
      </c>
      <c r="AI254" s="10" t="str">
        <f>IFERROR(VLOOKUP(B254,'Pre-Summary'!$AZ$6:$BE$65,5,FALSE),"")</f>
        <v/>
      </c>
      <c r="AJ254" s="10" t="str">
        <f>IFERROR(VLOOKUP(B254,'Pre-Summary'!$AZ$6:$BE$65,4,FALSE),"")</f>
        <v/>
      </c>
      <c r="AK254" s="10" t="str">
        <f>IFERROR(VLOOKUP(B254,'Pre-Summary'!$AZ$6:$BE$65,6,FALSE),"")</f>
        <v/>
      </c>
      <c r="AL254" s="10" t="str">
        <f>IFERROR(VLOOKUP(B254,'Pre-Summary'!$BG$6:$BL$44,3,FALSE),"")</f>
        <v/>
      </c>
      <c r="AM254" s="10" t="str">
        <f>IFERROR(VLOOKUP(B254,'Pre-Summary'!$BG$6:$BL$44,4,FALSE),"")</f>
        <v/>
      </c>
    </row>
    <row r="255" spans="2:39" ht="15" customHeight="1" x14ac:dyDescent="0.3">
      <c r="B255">
        <v>25.2</v>
      </c>
      <c r="C255" t="str">
        <f>IFERROR(VLOOKUP(B255,'Pre-Summary'!$DI$6:$DM$23,4,FALSE),"")</f>
        <v/>
      </c>
      <c r="D255" s="10" t="str">
        <f>IFERROR(VLOOKUP(B255,'Pre-Summary'!$AT$6:$AX$14,5,FALSE),D254)</f>
        <v>DSMZ v1.5: Using DSMZ 120 with NaHCO3</v>
      </c>
      <c r="E255" s="10" t="str">
        <f>IFERROR(VLOOKUP(B255,'Pre-Summary'!$AT$6:$AX$15,4,FALSE),"")</f>
        <v/>
      </c>
      <c r="F255">
        <f>IFERROR(VLOOKUP(B255,'Pre-Summary'!$AL$6:$AQ$13,6,FALSE),F254)</f>
        <v>0</v>
      </c>
      <c r="G255" t="str">
        <f>IFERROR(VLOOKUP(B255,'Pre-Summary'!$AE$6:$AJ$85,3,FALSE),"")</f>
        <v/>
      </c>
      <c r="H255" t="str">
        <f>IFERROR(VLOOKUP(B255,'Pre-Summary'!$AE$6:$AJ$85,4,FALSE),"")</f>
        <v/>
      </c>
      <c r="I255" t="str">
        <f>IFERROR(VLOOKUP(B255,'Pre-Summary'!$AE$6:$AJ$85,5,FALSE),"")</f>
        <v/>
      </c>
      <c r="J255" s="45" t="str">
        <f>IFERROR(VLOOKUP(B255,'Pre-Summary'!$AE$6:$AJ$85,6, FALSE),"")</f>
        <v/>
      </c>
      <c r="K255" s="45" t="str">
        <f>IFERROR(VLOOKUP(B255,'Pre-Summary'!$DE$6:$DG$61,3,FALSE),"")</f>
        <v/>
      </c>
      <c r="L255" s="45" t="str">
        <f>IFERROR(VLOOKUP(B255,'Pre-Summary'!$CU$6:$CW$36,3,FALSE),"")</f>
        <v/>
      </c>
      <c r="M255" s="45" t="str">
        <f>IFERROR(VLOOKUP(B255,'Pre-Summary'!$BW$6:$BY$58,2,FALSE),"")</f>
        <v/>
      </c>
      <c r="N255" s="45" t="str">
        <f>IFERROR(VLOOKUP(B255,'Pre-Summary'!$CD$6:$CF$64,2,FALSE),"")</f>
        <v/>
      </c>
      <c r="O255" s="99">
        <f>IFERROR(VLOOKUP(B255,'Pre-Summary'!$BO$6:$BQ$48,3, FALSE),O254)</f>
        <v>1.0915248032216731</v>
      </c>
      <c r="P255" s="99">
        <f>IFERROR(VLOOKUP(B255,'Pre-Summary'!$BS$6:$BU$35,3,FALSE),P254)</f>
        <v>0.25</v>
      </c>
      <c r="Q255" s="54">
        <f t="shared" si="9"/>
        <v>4.3660992128866924</v>
      </c>
      <c r="R255" s="53">
        <f>IFERROR(VLOOKUP(B255,'Pre-Summary'!$BG$6:$BM$44,7,FALSE),R256)</f>
        <v>2.7904161219319636E-2</v>
      </c>
      <c r="S255" s="53">
        <f>IFERROR(VLOOKUP(B255,'Pre-Summary'!$BG$6:$BM$44,6,FALSE),S256)</f>
        <v>3.3978715219895171E-2</v>
      </c>
      <c r="T255" s="45" t="str">
        <f>IFERROR(VLOOKUP(B255,'Pre-Summary'!$Y$6:$AC$83, 3,FALSE),"")</f>
        <v/>
      </c>
      <c r="U255" s="45" t="str">
        <f>IFERROR(VLOOKUP(B255,'Pre-Summary'!$Y$6:$AC$83, 4,FALSE),"")</f>
        <v/>
      </c>
      <c r="V255" t="str">
        <f>IFERROR(VLOOKUP(B255,'Pre-Summary'!$Y$6:$AC$83, 5,FALSE),"")</f>
        <v/>
      </c>
      <c r="W255" s="45" t="str">
        <f>IFERROR(VLOOKUP(B255,'Pre-Summary'!$Y$6:$AD$83,6,FALSE),"")</f>
        <v/>
      </c>
      <c r="X255" t="str">
        <f>IFERROR(VLOOKUP('Pre-Summary'!$DB$6:$DD$63,3,FALSE),"")</f>
        <v/>
      </c>
      <c r="Y255" t="str">
        <f>IFERROR(VLOOKUP(B255,'Pre-Summary'!$CR$6:$CT$36,3,FALSE),"")</f>
        <v/>
      </c>
      <c r="Z255" s="45" t="str">
        <f>IFERROR(VLOOKUP(B255,'Pre-Summary'!$BZ$6:$CB$63,2,FALSE),"")</f>
        <v/>
      </c>
      <c r="AA255" s="45" t="str">
        <f>IFERROR(VLOOKUP(B255,'Pre-Summary'!$CG$6:$CI$70,2,FALSE),"")</f>
        <v/>
      </c>
      <c r="AB255" s="99">
        <f>IFERROR(VLOOKUP(B255,'Pre-Summary'!$A$6:$P$178,9,FALSE),AB256)</f>
        <v>1.0067180186389197</v>
      </c>
      <c r="AC255" s="10">
        <f>IFERROR(VLOOKUP(Summary!B255,'Pre-Summary'!$A$6:$P$184,5, FALSE)/100,AC256)</f>
        <v>0.115633</v>
      </c>
      <c r="AD255" s="10">
        <f>IFERROR(VLOOKUP(Summary!B255,'Pre-Summary'!$A$6:$P$184,3, FALSE)/100,AD256)</f>
        <v>0.88127200000000006</v>
      </c>
      <c r="AE255" s="10">
        <f>IFERROR(VLOOKUP(Summary!B255,'Pre-Summary'!$A$6:$P$184,7, FALSE)/100,AE256)</f>
        <v>3.0949999999999992E-3</v>
      </c>
      <c r="AF255" s="99">
        <f t="shared" si="10"/>
        <v>0.88719240172195812</v>
      </c>
      <c r="AG255" s="99">
        <f t="shared" si="11"/>
        <v>3.115792267687456E-3</v>
      </c>
      <c r="AH255" s="10" t="str">
        <f>IFERROR(VLOOKUP(B255,'Pre-Summary'!$AZ$6:$BE$65,3,FALSE),"")</f>
        <v/>
      </c>
      <c r="AI255" s="10" t="str">
        <f>IFERROR(VLOOKUP(B255,'Pre-Summary'!$AZ$6:$BE$65,5,FALSE),"")</f>
        <v/>
      </c>
      <c r="AJ255" s="10" t="str">
        <f>IFERROR(VLOOKUP(B255,'Pre-Summary'!$AZ$6:$BE$65,4,FALSE),"")</f>
        <v/>
      </c>
      <c r="AK255" s="10" t="str">
        <f>IFERROR(VLOOKUP(B255,'Pre-Summary'!$AZ$6:$BE$65,6,FALSE),"")</f>
        <v/>
      </c>
      <c r="AL255" s="10" t="str">
        <f>IFERROR(VLOOKUP(B255,'Pre-Summary'!$BG$6:$BL$44,3,FALSE),"")</f>
        <v/>
      </c>
      <c r="AM255" s="10" t="str">
        <f>IFERROR(VLOOKUP(B255,'Pre-Summary'!$BG$6:$BL$44,4,FALSE),"")</f>
        <v/>
      </c>
    </row>
    <row r="256" spans="2:39" ht="15" customHeight="1" x14ac:dyDescent="0.3">
      <c r="B256">
        <v>25.3</v>
      </c>
      <c r="C256" t="str">
        <f>IFERROR(VLOOKUP(B256,'Pre-Summary'!$DI$6:$DM$23,4,FALSE),"")</f>
        <v/>
      </c>
      <c r="D256" s="10" t="str">
        <f>IFERROR(VLOOKUP(B256,'Pre-Summary'!$AT$6:$AX$14,5,FALSE),D255)</f>
        <v>DSMZ v1.5: Using DSMZ 120 with NaHCO3</v>
      </c>
      <c r="E256" s="10" t="str">
        <f>IFERROR(VLOOKUP(B256,'Pre-Summary'!$AT$6:$AX$15,4,FALSE),"")</f>
        <v/>
      </c>
      <c r="F256">
        <f>IFERROR(VLOOKUP(B256,'Pre-Summary'!$AL$6:$AQ$13,6,FALSE),F255)</f>
        <v>0</v>
      </c>
      <c r="G256" t="str">
        <f>IFERROR(VLOOKUP(B256,'Pre-Summary'!$AE$6:$AJ$85,3,FALSE),"")</f>
        <v/>
      </c>
      <c r="H256" t="str">
        <f>IFERROR(VLOOKUP(B256,'Pre-Summary'!$AE$6:$AJ$85,4,FALSE),"")</f>
        <v/>
      </c>
      <c r="I256" t="str">
        <f>IFERROR(VLOOKUP(B256,'Pre-Summary'!$AE$6:$AJ$85,5,FALSE),"")</f>
        <v/>
      </c>
      <c r="J256" s="45" t="str">
        <f>IFERROR(VLOOKUP(B256,'Pre-Summary'!$AE$6:$AJ$85,6, FALSE),"")</f>
        <v/>
      </c>
      <c r="K256" s="45" t="str">
        <f>IFERROR(VLOOKUP(B256,'Pre-Summary'!$DE$6:$DG$61,3,FALSE),"")</f>
        <v/>
      </c>
      <c r="L256" s="45" t="str">
        <f>IFERROR(VLOOKUP(B256,'Pre-Summary'!$CU$6:$CW$36,3,FALSE),"")</f>
        <v/>
      </c>
      <c r="M256" s="45" t="str">
        <f>IFERROR(VLOOKUP(B256,'Pre-Summary'!$BW$6:$BY$58,2,FALSE),"")</f>
        <v/>
      </c>
      <c r="N256" s="45" t="str">
        <f>IFERROR(VLOOKUP(B256,'Pre-Summary'!$CD$6:$CF$64,2,FALSE),"")</f>
        <v/>
      </c>
      <c r="O256" s="99">
        <f>IFERROR(VLOOKUP(B256,'Pre-Summary'!$BO$6:$BQ$48,3, FALSE),O255)</f>
        <v>1.0915248032216731</v>
      </c>
      <c r="P256" s="99">
        <f>IFERROR(VLOOKUP(B256,'Pre-Summary'!$BS$6:$BU$35,3,FALSE),P255)</f>
        <v>0.25</v>
      </c>
      <c r="Q256" s="54">
        <f t="shared" si="9"/>
        <v>4.3660992128866924</v>
      </c>
      <c r="R256" s="53">
        <f>IFERROR(VLOOKUP(B256,'Pre-Summary'!$BG$6:$BM$44,7,FALSE),R257)</f>
        <v>2.7904161219319636E-2</v>
      </c>
      <c r="S256" s="53">
        <f>IFERROR(VLOOKUP(B256,'Pre-Summary'!$BG$6:$BM$44,6,FALSE),S257)</f>
        <v>3.3978715219895171E-2</v>
      </c>
      <c r="T256" s="45" t="str">
        <f>IFERROR(VLOOKUP(B256,'Pre-Summary'!$Y$6:$AC$83, 3,FALSE),"")</f>
        <v/>
      </c>
      <c r="U256" s="45" t="str">
        <f>IFERROR(VLOOKUP(B256,'Pre-Summary'!$Y$6:$AC$83, 4,FALSE),"")</f>
        <v/>
      </c>
      <c r="V256" t="str">
        <f>IFERROR(VLOOKUP(B256,'Pre-Summary'!$Y$6:$AC$83, 5,FALSE),"")</f>
        <v/>
      </c>
      <c r="W256" s="45" t="str">
        <f>IFERROR(VLOOKUP(B256,'Pre-Summary'!$Y$6:$AD$83,6,FALSE),"")</f>
        <v/>
      </c>
      <c r="X256" t="str">
        <f>IFERROR(VLOOKUP('Pre-Summary'!$DB$6:$DD$63,3,FALSE),"")</f>
        <v/>
      </c>
      <c r="Y256" t="str">
        <f>IFERROR(VLOOKUP(B256,'Pre-Summary'!$CR$6:$CT$36,3,FALSE),"")</f>
        <v/>
      </c>
      <c r="Z256" s="45" t="str">
        <f>IFERROR(VLOOKUP(B256,'Pre-Summary'!$BZ$6:$CB$63,2,FALSE),"")</f>
        <v/>
      </c>
      <c r="AA256" s="45" t="str">
        <f>IFERROR(VLOOKUP(B256,'Pre-Summary'!$CG$6:$CI$70,2,FALSE),"")</f>
        <v/>
      </c>
      <c r="AB256" s="99">
        <f>IFERROR(VLOOKUP(B256,'Pre-Summary'!$A$6:$P$178,9,FALSE),AB257)</f>
        <v>1.0067180186389197</v>
      </c>
      <c r="AC256" s="10">
        <f>IFERROR(VLOOKUP(Summary!B256,'Pre-Summary'!$A$6:$P$184,5, FALSE)/100,AC257)</f>
        <v>0.115633</v>
      </c>
      <c r="AD256" s="10">
        <f>IFERROR(VLOOKUP(Summary!B256,'Pre-Summary'!$A$6:$P$184,3, FALSE)/100,AD257)</f>
        <v>0.88127200000000006</v>
      </c>
      <c r="AE256" s="10">
        <f>IFERROR(VLOOKUP(Summary!B256,'Pre-Summary'!$A$6:$P$184,7, FALSE)/100,AE257)</f>
        <v>3.0949999999999992E-3</v>
      </c>
      <c r="AF256" s="99">
        <f t="shared" si="10"/>
        <v>0.88719240172195812</v>
      </c>
      <c r="AG256" s="99">
        <f t="shared" si="11"/>
        <v>3.115792267687456E-3</v>
      </c>
      <c r="AH256" s="10" t="str">
        <f>IFERROR(VLOOKUP(B256,'Pre-Summary'!$AZ$6:$BE$65,3,FALSE),"")</f>
        <v/>
      </c>
      <c r="AI256" s="10" t="str">
        <f>IFERROR(VLOOKUP(B256,'Pre-Summary'!$AZ$6:$BE$65,5,FALSE),"")</f>
        <v/>
      </c>
      <c r="AJ256" s="10" t="str">
        <f>IFERROR(VLOOKUP(B256,'Pre-Summary'!$AZ$6:$BE$65,4,FALSE),"")</f>
        <v/>
      </c>
      <c r="AK256" s="10" t="str">
        <f>IFERROR(VLOOKUP(B256,'Pre-Summary'!$AZ$6:$BE$65,6,FALSE),"")</f>
        <v/>
      </c>
      <c r="AL256" s="10" t="str">
        <f>IFERROR(VLOOKUP(B256,'Pre-Summary'!$BG$6:$BL$44,3,FALSE),"")</f>
        <v/>
      </c>
      <c r="AM256" s="10" t="str">
        <f>IFERROR(VLOOKUP(B256,'Pre-Summary'!$BG$6:$BL$44,4,FALSE),"")</f>
        <v/>
      </c>
    </row>
    <row r="257" spans="2:39" ht="15" customHeight="1" x14ac:dyDescent="0.3">
      <c r="B257">
        <v>25.4</v>
      </c>
      <c r="C257" t="str">
        <f>IFERROR(VLOOKUP(B257,'Pre-Summary'!$DI$6:$DM$23,4,FALSE),"")</f>
        <v/>
      </c>
      <c r="D257" s="10" t="str">
        <f>IFERROR(VLOOKUP(B257,'Pre-Summary'!$AT$6:$AX$14,5,FALSE),D256)</f>
        <v>DSMZ v1.5: Using DSMZ 120 with NaHCO3</v>
      </c>
      <c r="E257" s="10" t="str">
        <f>IFERROR(VLOOKUP(B257,'Pre-Summary'!$AT$6:$AX$15,4,FALSE),"")</f>
        <v/>
      </c>
      <c r="F257">
        <f>IFERROR(VLOOKUP(B257,'Pre-Summary'!$AL$6:$AQ$13,6,FALSE),F256)</f>
        <v>0</v>
      </c>
      <c r="G257" t="str">
        <f>IFERROR(VLOOKUP(B257,'Pre-Summary'!$AE$6:$AJ$85,3,FALSE),"")</f>
        <v/>
      </c>
      <c r="H257" t="str">
        <f>IFERROR(VLOOKUP(B257,'Pre-Summary'!$AE$6:$AJ$85,4,FALSE),"")</f>
        <v/>
      </c>
      <c r="I257" t="str">
        <f>IFERROR(VLOOKUP(B257,'Pre-Summary'!$AE$6:$AJ$85,5,FALSE),"")</f>
        <v/>
      </c>
      <c r="J257" s="45" t="str">
        <f>IFERROR(VLOOKUP(B257,'Pre-Summary'!$AE$6:$AJ$85,6, FALSE),"")</f>
        <v/>
      </c>
      <c r="K257" s="45" t="str">
        <f>IFERROR(VLOOKUP(B257,'Pre-Summary'!$DE$6:$DG$61,3,FALSE),"")</f>
        <v/>
      </c>
      <c r="L257" s="45" t="str">
        <f>IFERROR(VLOOKUP(B257,'Pre-Summary'!$CU$6:$CW$36,3,FALSE),"")</f>
        <v/>
      </c>
      <c r="M257" s="45" t="str">
        <f>IFERROR(VLOOKUP(B257,'Pre-Summary'!$BW$6:$BY$58,2,FALSE),"")</f>
        <v/>
      </c>
      <c r="N257" s="45" t="str">
        <f>IFERROR(VLOOKUP(B257,'Pre-Summary'!$CD$6:$CF$64,2,FALSE),"")</f>
        <v/>
      </c>
      <c r="O257" s="99">
        <f>IFERROR(VLOOKUP(B257,'Pre-Summary'!$BO$6:$BQ$48,3, FALSE),O256)</f>
        <v>1.0915248032216731</v>
      </c>
      <c r="P257" s="99">
        <f>IFERROR(VLOOKUP(B257,'Pre-Summary'!$BS$6:$BU$35,3,FALSE),P256)</f>
        <v>0.25</v>
      </c>
      <c r="Q257" s="54">
        <f t="shared" si="9"/>
        <v>4.3660992128866924</v>
      </c>
      <c r="R257" s="53">
        <f>IFERROR(VLOOKUP(B257,'Pre-Summary'!$BG$6:$BM$44,7,FALSE),R258)</f>
        <v>2.7904161219319636E-2</v>
      </c>
      <c r="S257" s="53">
        <f>IFERROR(VLOOKUP(B257,'Pre-Summary'!$BG$6:$BM$44,6,FALSE),S258)</f>
        <v>3.3978715219895171E-2</v>
      </c>
      <c r="T257" s="45" t="str">
        <f>IFERROR(VLOOKUP(B257,'Pre-Summary'!$Y$6:$AC$83, 3,FALSE),"")</f>
        <v/>
      </c>
      <c r="U257" s="45" t="str">
        <f>IFERROR(VLOOKUP(B257,'Pre-Summary'!$Y$6:$AC$83, 4,FALSE),"")</f>
        <v/>
      </c>
      <c r="V257" t="str">
        <f>IFERROR(VLOOKUP(B257,'Pre-Summary'!$Y$6:$AC$83, 5,FALSE),"")</f>
        <v/>
      </c>
      <c r="W257" s="45" t="str">
        <f>IFERROR(VLOOKUP(B257,'Pre-Summary'!$Y$6:$AD$83,6,FALSE),"")</f>
        <v/>
      </c>
      <c r="X257" t="str">
        <f>IFERROR(VLOOKUP('Pre-Summary'!$DB$6:$DD$63,3,FALSE),"")</f>
        <v/>
      </c>
      <c r="Y257" t="str">
        <f>IFERROR(VLOOKUP(B257,'Pre-Summary'!$CR$6:$CT$36,3,FALSE),"")</f>
        <v/>
      </c>
      <c r="Z257" s="45" t="str">
        <f>IFERROR(VLOOKUP(B257,'Pre-Summary'!$BZ$6:$CB$63,2,FALSE),"")</f>
        <v/>
      </c>
      <c r="AA257" s="45" t="str">
        <f>IFERROR(VLOOKUP(B257,'Pre-Summary'!$CG$6:$CI$70,2,FALSE),"")</f>
        <v/>
      </c>
      <c r="AB257" s="99">
        <f>IFERROR(VLOOKUP(B257,'Pre-Summary'!$A$6:$P$178,9,FALSE),AB258)</f>
        <v>1.0067180186389197</v>
      </c>
      <c r="AC257" s="10">
        <f>IFERROR(VLOOKUP(Summary!B257,'Pre-Summary'!$A$6:$P$184,5, FALSE)/100,AC258)</f>
        <v>0.115633</v>
      </c>
      <c r="AD257" s="10">
        <f>IFERROR(VLOOKUP(Summary!B257,'Pre-Summary'!$A$6:$P$184,3, FALSE)/100,AD258)</f>
        <v>0.88127200000000006</v>
      </c>
      <c r="AE257" s="10">
        <f>IFERROR(VLOOKUP(Summary!B257,'Pre-Summary'!$A$6:$P$184,7, FALSE)/100,AE258)</f>
        <v>3.0949999999999992E-3</v>
      </c>
      <c r="AF257" s="99">
        <f t="shared" si="10"/>
        <v>0.88719240172195812</v>
      </c>
      <c r="AG257" s="99">
        <f t="shared" si="11"/>
        <v>3.115792267687456E-3</v>
      </c>
      <c r="AH257" s="10" t="str">
        <f>IFERROR(VLOOKUP(B257,'Pre-Summary'!$AZ$6:$BE$65,3,FALSE),"")</f>
        <v/>
      </c>
      <c r="AI257" s="10" t="str">
        <f>IFERROR(VLOOKUP(B257,'Pre-Summary'!$AZ$6:$BE$65,5,FALSE),"")</f>
        <v/>
      </c>
      <c r="AJ257" s="10" t="str">
        <f>IFERROR(VLOOKUP(B257,'Pre-Summary'!$AZ$6:$BE$65,4,FALSE),"")</f>
        <v/>
      </c>
      <c r="AK257" s="10" t="str">
        <f>IFERROR(VLOOKUP(B257,'Pre-Summary'!$AZ$6:$BE$65,6,FALSE),"")</f>
        <v/>
      </c>
      <c r="AL257" s="10" t="str">
        <f>IFERROR(VLOOKUP(B257,'Pre-Summary'!$BG$6:$BL$44,3,FALSE),"")</f>
        <v/>
      </c>
      <c r="AM257" s="10" t="str">
        <f>IFERROR(VLOOKUP(B257,'Pre-Summary'!$BG$6:$BL$44,4,FALSE),"")</f>
        <v/>
      </c>
    </row>
    <row r="258" spans="2:39" ht="15" customHeight="1" x14ac:dyDescent="0.3">
      <c r="B258">
        <v>25.5</v>
      </c>
      <c r="C258" t="str">
        <f>IFERROR(VLOOKUP(B258,'Pre-Summary'!$DI$6:$DM$23,4,FALSE),"")</f>
        <v/>
      </c>
      <c r="D258" s="10" t="str">
        <f>IFERROR(VLOOKUP(B258,'Pre-Summary'!$AT$6:$AX$14,5,FALSE),D257)</f>
        <v>DSMZ v1.5: Using DSMZ 120 with NaHCO3</v>
      </c>
      <c r="E258" s="10" t="str">
        <f>IFERROR(VLOOKUP(B258,'Pre-Summary'!$AT$6:$AX$15,4,FALSE),"")</f>
        <v/>
      </c>
      <c r="F258">
        <f>IFERROR(VLOOKUP(B258,'Pre-Summary'!$AL$6:$AQ$13,6,FALSE),F257)</f>
        <v>0</v>
      </c>
      <c r="G258" t="str">
        <f>IFERROR(VLOOKUP(B258,'Pre-Summary'!$AE$6:$AJ$85,3,FALSE),"")</f>
        <v/>
      </c>
      <c r="H258" t="str">
        <f>IFERROR(VLOOKUP(B258,'Pre-Summary'!$AE$6:$AJ$85,4,FALSE),"")</f>
        <v/>
      </c>
      <c r="I258" t="str">
        <f>IFERROR(VLOOKUP(B258,'Pre-Summary'!$AE$6:$AJ$85,5,FALSE),"")</f>
        <v/>
      </c>
      <c r="J258" s="45" t="str">
        <f>IFERROR(VLOOKUP(B258,'Pre-Summary'!$AE$6:$AJ$85,6, FALSE),"")</f>
        <v/>
      </c>
      <c r="K258" s="45" t="str">
        <f>IFERROR(VLOOKUP(B258,'Pre-Summary'!$DE$6:$DG$61,3,FALSE),"")</f>
        <v/>
      </c>
      <c r="L258" s="45" t="str">
        <f>IFERROR(VLOOKUP(B258,'Pre-Summary'!$CU$6:$CW$36,3,FALSE),"")</f>
        <v/>
      </c>
      <c r="M258" s="45" t="str">
        <f>IFERROR(VLOOKUP(B258,'Pre-Summary'!$BW$6:$BY$58,2,FALSE),"")</f>
        <v/>
      </c>
      <c r="N258" s="45" t="str">
        <f>IFERROR(VLOOKUP(B258,'Pre-Summary'!$CD$6:$CF$64,2,FALSE),"")</f>
        <v/>
      </c>
      <c r="O258" s="99">
        <f>IFERROR(VLOOKUP(B258,'Pre-Summary'!$BO$6:$BQ$48,3, FALSE),O257)</f>
        <v>1.0915248032216731</v>
      </c>
      <c r="P258" s="99">
        <f>IFERROR(VLOOKUP(B258,'Pre-Summary'!$BS$6:$BU$35,3,FALSE),P257)</f>
        <v>0.25</v>
      </c>
      <c r="Q258" s="54">
        <f t="shared" si="9"/>
        <v>4.3660992128866924</v>
      </c>
      <c r="R258" s="53">
        <f>IFERROR(VLOOKUP(B258,'Pre-Summary'!$BG$6:$BM$44,7,FALSE),R259)</f>
        <v>2.7904161219319636E-2</v>
      </c>
      <c r="S258" s="53">
        <f>IFERROR(VLOOKUP(B258,'Pre-Summary'!$BG$6:$BM$44,6,FALSE),S259)</f>
        <v>3.3978715219895171E-2</v>
      </c>
      <c r="T258" s="45" t="str">
        <f>IFERROR(VLOOKUP(B258,'Pre-Summary'!$Y$6:$AC$83, 3,FALSE),"")</f>
        <v/>
      </c>
      <c r="U258" s="45" t="str">
        <f>IFERROR(VLOOKUP(B258,'Pre-Summary'!$Y$6:$AC$83, 4,FALSE),"")</f>
        <v/>
      </c>
      <c r="V258" t="str">
        <f>IFERROR(VLOOKUP(B258,'Pre-Summary'!$Y$6:$AC$83, 5,FALSE),"")</f>
        <v/>
      </c>
      <c r="W258" s="45" t="str">
        <f>IFERROR(VLOOKUP(B258,'Pre-Summary'!$Y$6:$AD$83,6,FALSE),"")</f>
        <v/>
      </c>
      <c r="X258" t="str">
        <f>IFERROR(VLOOKUP('Pre-Summary'!$DB$6:$DD$63,3,FALSE),"")</f>
        <v/>
      </c>
      <c r="Y258" t="str">
        <f>IFERROR(VLOOKUP(B258,'Pre-Summary'!$CR$6:$CT$36,3,FALSE),"")</f>
        <v/>
      </c>
      <c r="Z258" s="45" t="str">
        <f>IFERROR(VLOOKUP(B258,'Pre-Summary'!$BZ$6:$CB$63,2,FALSE),"")</f>
        <v/>
      </c>
      <c r="AA258" s="45" t="str">
        <f>IFERROR(VLOOKUP(B258,'Pre-Summary'!$CG$6:$CI$70,2,FALSE),"")</f>
        <v/>
      </c>
      <c r="AB258" s="99">
        <f>IFERROR(VLOOKUP(B258,'Pre-Summary'!$A$6:$P$178,9,FALSE),AB259)</f>
        <v>1.0067180186389197</v>
      </c>
      <c r="AC258" s="10">
        <f>IFERROR(VLOOKUP(Summary!B258,'Pre-Summary'!$A$6:$P$184,5, FALSE)/100,AC259)</f>
        <v>0.115633</v>
      </c>
      <c r="AD258" s="10">
        <f>IFERROR(VLOOKUP(Summary!B258,'Pre-Summary'!$A$6:$P$184,3, FALSE)/100,AD259)</f>
        <v>0.88127200000000006</v>
      </c>
      <c r="AE258" s="10">
        <f>IFERROR(VLOOKUP(Summary!B258,'Pre-Summary'!$A$6:$P$184,7, FALSE)/100,AE259)</f>
        <v>3.0949999999999992E-3</v>
      </c>
      <c r="AF258" s="99">
        <f t="shared" si="10"/>
        <v>0.88719240172195812</v>
      </c>
      <c r="AG258" s="99">
        <f t="shared" si="11"/>
        <v>3.115792267687456E-3</v>
      </c>
      <c r="AH258" s="10" t="str">
        <f>IFERROR(VLOOKUP(B258,'Pre-Summary'!$AZ$6:$BE$65,3,FALSE),"")</f>
        <v/>
      </c>
      <c r="AI258" s="10" t="str">
        <f>IFERROR(VLOOKUP(B258,'Pre-Summary'!$AZ$6:$BE$65,5,FALSE),"")</f>
        <v/>
      </c>
      <c r="AJ258" s="10" t="str">
        <f>IFERROR(VLOOKUP(B258,'Pre-Summary'!$AZ$6:$BE$65,4,FALSE),"")</f>
        <v/>
      </c>
      <c r="AK258" s="10" t="str">
        <f>IFERROR(VLOOKUP(B258,'Pre-Summary'!$AZ$6:$BE$65,6,FALSE),"")</f>
        <v/>
      </c>
      <c r="AL258" s="10" t="str">
        <f>IFERROR(VLOOKUP(B258,'Pre-Summary'!$BG$6:$BL$44,3,FALSE),"")</f>
        <v/>
      </c>
      <c r="AM258" s="10" t="str">
        <f>IFERROR(VLOOKUP(B258,'Pre-Summary'!$BG$6:$BL$44,4,FALSE),"")</f>
        <v/>
      </c>
    </row>
    <row r="259" spans="2:39" ht="15" customHeight="1" x14ac:dyDescent="0.3">
      <c r="B259">
        <v>25.6</v>
      </c>
      <c r="C259" t="str">
        <f>IFERROR(VLOOKUP(B259,'Pre-Summary'!$DI$6:$DM$23,4,FALSE),"")</f>
        <v/>
      </c>
      <c r="D259" s="10" t="str">
        <f>IFERROR(VLOOKUP(B259,'Pre-Summary'!$AT$6:$AX$14,5,FALSE),D258)</f>
        <v>DSMZ v1.5: Using DSMZ 120 with NaHCO3</v>
      </c>
      <c r="E259" s="10" t="str">
        <f>IFERROR(VLOOKUP(B259,'Pre-Summary'!$AT$6:$AX$15,4,FALSE),"")</f>
        <v/>
      </c>
      <c r="F259">
        <f>IFERROR(VLOOKUP(B259,'Pre-Summary'!$AL$6:$AQ$13,6,FALSE),F258)</f>
        <v>0</v>
      </c>
      <c r="G259" t="str">
        <f>IFERROR(VLOOKUP(B259,'Pre-Summary'!$AE$6:$AJ$85,3,FALSE),"")</f>
        <v/>
      </c>
      <c r="H259" t="str">
        <f>IFERROR(VLOOKUP(B259,'Pre-Summary'!$AE$6:$AJ$85,4,FALSE),"")</f>
        <v/>
      </c>
      <c r="I259" t="str">
        <f>IFERROR(VLOOKUP(B259,'Pre-Summary'!$AE$6:$AJ$85,5,FALSE),"")</f>
        <v/>
      </c>
      <c r="J259" s="45" t="str">
        <f>IFERROR(VLOOKUP(B259,'Pre-Summary'!$AE$6:$AJ$85,6, FALSE),"")</f>
        <v/>
      </c>
      <c r="K259" s="45" t="str">
        <f>IFERROR(VLOOKUP(B259,'Pre-Summary'!$DE$6:$DG$61,3,FALSE),"")</f>
        <v/>
      </c>
      <c r="L259" s="45" t="str">
        <f>IFERROR(VLOOKUP(B259,'Pre-Summary'!$CU$6:$CW$36,3,FALSE),"")</f>
        <v/>
      </c>
      <c r="M259" s="45" t="str">
        <f>IFERROR(VLOOKUP(B259,'Pre-Summary'!$BW$6:$BY$58,2,FALSE),"")</f>
        <v/>
      </c>
      <c r="N259" s="45" t="str">
        <f>IFERROR(VLOOKUP(B259,'Pre-Summary'!$CD$6:$CF$64,2,FALSE),"")</f>
        <v/>
      </c>
      <c r="O259" s="99">
        <f>IFERROR(VLOOKUP(B259,'Pre-Summary'!$BO$6:$BQ$48,3, FALSE),O258)</f>
        <v>1.0915248032216731</v>
      </c>
      <c r="P259" s="99">
        <f>IFERROR(VLOOKUP(B259,'Pre-Summary'!$BS$6:$BU$35,3,FALSE),P258)</f>
        <v>0.25</v>
      </c>
      <c r="Q259" s="54">
        <f t="shared" ref="Q259:Q322" si="12">O259/P259</f>
        <v>4.3660992128866924</v>
      </c>
      <c r="R259" s="53">
        <f>IFERROR(VLOOKUP(B259,'Pre-Summary'!$BG$6:$BM$44,7,FALSE),R260)</f>
        <v>2.7904161219319636E-2</v>
      </c>
      <c r="S259" s="53">
        <f>IFERROR(VLOOKUP(B259,'Pre-Summary'!$BG$6:$BM$44,6,FALSE),S260)</f>
        <v>3.3978715219895171E-2</v>
      </c>
      <c r="T259" s="45" t="str">
        <f>IFERROR(VLOOKUP(B259,'Pre-Summary'!$Y$6:$AC$83, 3,FALSE),"")</f>
        <v/>
      </c>
      <c r="U259" s="45" t="str">
        <f>IFERROR(VLOOKUP(B259,'Pre-Summary'!$Y$6:$AC$83, 4,FALSE),"")</f>
        <v/>
      </c>
      <c r="V259" t="str">
        <f>IFERROR(VLOOKUP(B259,'Pre-Summary'!$Y$6:$AC$83, 5,FALSE),"")</f>
        <v/>
      </c>
      <c r="W259" s="45" t="str">
        <f>IFERROR(VLOOKUP(B259,'Pre-Summary'!$Y$6:$AD$83,6,FALSE),"")</f>
        <v/>
      </c>
      <c r="X259" t="str">
        <f>IFERROR(VLOOKUP('Pre-Summary'!$DB$6:$DD$63,3,FALSE),"")</f>
        <v/>
      </c>
      <c r="Y259" t="str">
        <f>IFERROR(VLOOKUP(B259,'Pre-Summary'!$CR$6:$CT$36,3,FALSE),"")</f>
        <v/>
      </c>
      <c r="Z259" s="45" t="str">
        <f>IFERROR(VLOOKUP(B259,'Pre-Summary'!$BZ$6:$CB$63,2,FALSE),"")</f>
        <v/>
      </c>
      <c r="AA259" s="45" t="str">
        <f>IFERROR(VLOOKUP(B259,'Pre-Summary'!$CG$6:$CI$70,2,FALSE),"")</f>
        <v/>
      </c>
      <c r="AB259" s="99">
        <f>IFERROR(VLOOKUP(B259,'Pre-Summary'!$A$6:$P$178,9,FALSE),AB260)</f>
        <v>1.0067180186389197</v>
      </c>
      <c r="AC259" s="10">
        <f>IFERROR(VLOOKUP(Summary!B259,'Pre-Summary'!$A$6:$P$184,5, FALSE)/100,AC260)</f>
        <v>0.115633</v>
      </c>
      <c r="AD259" s="10">
        <f>IFERROR(VLOOKUP(Summary!B259,'Pre-Summary'!$A$6:$P$184,3, FALSE)/100,AD260)</f>
        <v>0.88127200000000006</v>
      </c>
      <c r="AE259" s="10">
        <f>IFERROR(VLOOKUP(Summary!B259,'Pre-Summary'!$A$6:$P$184,7, FALSE)/100,AE260)</f>
        <v>3.0949999999999992E-3</v>
      </c>
      <c r="AF259" s="99">
        <f t="shared" ref="AF259:AF322" si="13">AD259*AB259</f>
        <v>0.88719240172195812</v>
      </c>
      <c r="AG259" s="99">
        <f t="shared" ref="AG259:AG322" si="14">AB259*AE259</f>
        <v>3.115792267687456E-3</v>
      </c>
      <c r="AH259" s="10" t="str">
        <f>IFERROR(VLOOKUP(B259,'Pre-Summary'!$AZ$6:$BE$65,3,FALSE),"")</f>
        <v/>
      </c>
      <c r="AI259" s="10" t="str">
        <f>IFERROR(VLOOKUP(B259,'Pre-Summary'!$AZ$6:$BE$65,5,FALSE),"")</f>
        <v/>
      </c>
      <c r="AJ259" s="10" t="str">
        <f>IFERROR(VLOOKUP(B259,'Pre-Summary'!$AZ$6:$BE$65,4,FALSE),"")</f>
        <v/>
      </c>
      <c r="AK259" s="10" t="str">
        <f>IFERROR(VLOOKUP(B259,'Pre-Summary'!$AZ$6:$BE$65,6,FALSE),"")</f>
        <v/>
      </c>
      <c r="AL259" s="10" t="str">
        <f>IFERROR(VLOOKUP(B259,'Pre-Summary'!$BG$6:$BL$44,3,FALSE),"")</f>
        <v/>
      </c>
      <c r="AM259" s="10" t="str">
        <f>IFERROR(VLOOKUP(B259,'Pre-Summary'!$BG$6:$BL$44,4,FALSE),"")</f>
        <v/>
      </c>
    </row>
    <row r="260" spans="2:39" ht="15" customHeight="1" x14ac:dyDescent="0.3">
      <c r="B260">
        <v>25.7</v>
      </c>
      <c r="C260" t="str">
        <f>IFERROR(VLOOKUP(B260,'Pre-Summary'!$DI$6:$DM$23,4,FALSE),"")</f>
        <v/>
      </c>
      <c r="D260" s="10" t="str">
        <f>IFERROR(VLOOKUP(B260,'Pre-Summary'!$AT$6:$AX$14,5,FALSE),D259)</f>
        <v>DSMZ v1.5: Using DSMZ 120 with NaHCO3</v>
      </c>
      <c r="E260" s="10" t="str">
        <f>IFERROR(VLOOKUP(B260,'Pre-Summary'!$AT$6:$AX$15,4,FALSE),"")</f>
        <v/>
      </c>
      <c r="F260">
        <f>IFERROR(VLOOKUP(B260,'Pre-Summary'!$AL$6:$AQ$13,6,FALSE),F259)</f>
        <v>0</v>
      </c>
      <c r="G260" t="str">
        <f>IFERROR(VLOOKUP(B260,'Pre-Summary'!$AE$6:$AJ$85,3,FALSE),"")</f>
        <v/>
      </c>
      <c r="H260" t="str">
        <f>IFERROR(VLOOKUP(B260,'Pre-Summary'!$AE$6:$AJ$85,4,FALSE),"")</f>
        <v/>
      </c>
      <c r="I260" t="str">
        <f>IFERROR(VLOOKUP(B260,'Pre-Summary'!$AE$6:$AJ$85,5,FALSE),"")</f>
        <v/>
      </c>
      <c r="J260" s="45" t="str">
        <f>IFERROR(VLOOKUP(B260,'Pre-Summary'!$AE$6:$AJ$85,6, FALSE),"")</f>
        <v/>
      </c>
      <c r="K260" s="45" t="str">
        <f>IFERROR(VLOOKUP(B260,'Pre-Summary'!$DE$6:$DG$61,3,FALSE),"")</f>
        <v/>
      </c>
      <c r="L260" s="45" t="str">
        <f>IFERROR(VLOOKUP(B260,'Pre-Summary'!$CU$6:$CW$36,3,FALSE),"")</f>
        <v/>
      </c>
      <c r="M260" s="45" t="str">
        <f>IFERROR(VLOOKUP(B260,'Pre-Summary'!$BW$6:$BY$58,2,FALSE),"")</f>
        <v/>
      </c>
      <c r="N260" s="45" t="str">
        <f>IFERROR(VLOOKUP(B260,'Pre-Summary'!$CD$6:$CF$64,2,FALSE),"")</f>
        <v/>
      </c>
      <c r="O260" s="99">
        <f>IFERROR(VLOOKUP(B260,'Pre-Summary'!$BO$6:$BQ$48,3, FALSE),O259)</f>
        <v>1.0915248032216731</v>
      </c>
      <c r="P260" s="99">
        <f>IFERROR(VLOOKUP(B260,'Pre-Summary'!$BS$6:$BU$35,3,FALSE),P259)</f>
        <v>0.25</v>
      </c>
      <c r="Q260" s="54">
        <f t="shared" si="12"/>
        <v>4.3660992128866924</v>
      </c>
      <c r="R260" s="53">
        <f>IFERROR(VLOOKUP(B260,'Pre-Summary'!$BG$6:$BM$44,7,FALSE),R261)</f>
        <v>2.7904161219319636E-2</v>
      </c>
      <c r="S260" s="53">
        <f>IFERROR(VLOOKUP(B260,'Pre-Summary'!$BG$6:$BM$44,6,FALSE),S261)</f>
        <v>3.3978715219895171E-2</v>
      </c>
      <c r="T260" s="45" t="str">
        <f>IFERROR(VLOOKUP(B260,'Pre-Summary'!$Y$6:$AC$83, 3,FALSE),"")</f>
        <v/>
      </c>
      <c r="U260" s="45" t="str">
        <f>IFERROR(VLOOKUP(B260,'Pre-Summary'!$Y$6:$AC$83, 4,FALSE),"")</f>
        <v/>
      </c>
      <c r="V260" t="str">
        <f>IFERROR(VLOOKUP(B260,'Pre-Summary'!$Y$6:$AC$83, 5,FALSE),"")</f>
        <v/>
      </c>
      <c r="W260" s="45" t="str">
        <f>IFERROR(VLOOKUP(B260,'Pre-Summary'!$Y$6:$AD$83,6,FALSE),"")</f>
        <v/>
      </c>
      <c r="X260" t="str">
        <f>IFERROR(VLOOKUP('Pre-Summary'!$DB$6:$DD$63,3,FALSE),"")</f>
        <v/>
      </c>
      <c r="Y260" t="str">
        <f>IFERROR(VLOOKUP(B260,'Pre-Summary'!$CR$6:$CT$36,3,FALSE),"")</f>
        <v/>
      </c>
      <c r="Z260" s="45" t="str">
        <f>IFERROR(VLOOKUP(B260,'Pre-Summary'!$BZ$6:$CB$63,2,FALSE),"")</f>
        <v/>
      </c>
      <c r="AA260" s="45" t="str">
        <f>IFERROR(VLOOKUP(B260,'Pre-Summary'!$CG$6:$CI$70,2,FALSE),"")</f>
        <v/>
      </c>
      <c r="AB260" s="99">
        <f>IFERROR(VLOOKUP(B260,'Pre-Summary'!$A$6:$P$178,9,FALSE),AB261)</f>
        <v>1.0067180186389197</v>
      </c>
      <c r="AC260" s="10">
        <f>IFERROR(VLOOKUP(Summary!B260,'Pre-Summary'!$A$6:$P$184,5, FALSE)/100,AC261)</f>
        <v>0.115633</v>
      </c>
      <c r="AD260" s="10">
        <f>IFERROR(VLOOKUP(Summary!B260,'Pre-Summary'!$A$6:$P$184,3, FALSE)/100,AD261)</f>
        <v>0.88127200000000006</v>
      </c>
      <c r="AE260" s="10">
        <f>IFERROR(VLOOKUP(Summary!B260,'Pre-Summary'!$A$6:$P$184,7, FALSE)/100,AE261)</f>
        <v>3.0949999999999992E-3</v>
      </c>
      <c r="AF260" s="99">
        <f t="shared" si="13"/>
        <v>0.88719240172195812</v>
      </c>
      <c r="AG260" s="99">
        <f t="shared" si="14"/>
        <v>3.115792267687456E-3</v>
      </c>
      <c r="AH260" s="10" t="str">
        <f>IFERROR(VLOOKUP(B260,'Pre-Summary'!$AZ$6:$BE$65,3,FALSE),"")</f>
        <v/>
      </c>
      <c r="AI260" s="10" t="str">
        <f>IFERROR(VLOOKUP(B260,'Pre-Summary'!$AZ$6:$BE$65,5,FALSE),"")</f>
        <v/>
      </c>
      <c r="AJ260" s="10" t="str">
        <f>IFERROR(VLOOKUP(B260,'Pre-Summary'!$AZ$6:$BE$65,4,FALSE),"")</f>
        <v/>
      </c>
      <c r="AK260" s="10" t="str">
        <f>IFERROR(VLOOKUP(B260,'Pre-Summary'!$AZ$6:$BE$65,6,FALSE),"")</f>
        <v/>
      </c>
      <c r="AL260" s="10" t="str">
        <f>IFERROR(VLOOKUP(B260,'Pre-Summary'!$BG$6:$BL$44,3,FALSE),"")</f>
        <v/>
      </c>
      <c r="AM260" s="10" t="str">
        <f>IFERROR(VLOOKUP(B260,'Pre-Summary'!$BG$6:$BL$44,4,FALSE),"")</f>
        <v/>
      </c>
    </row>
    <row r="261" spans="2:39" ht="15" customHeight="1" x14ac:dyDescent="0.3">
      <c r="B261">
        <v>25.8</v>
      </c>
      <c r="C261" t="str">
        <f>IFERROR(VLOOKUP(B261,'Pre-Summary'!$DI$6:$DM$23,4,FALSE),"")</f>
        <v/>
      </c>
      <c r="D261" s="10" t="str">
        <f>IFERROR(VLOOKUP(B261,'Pre-Summary'!$AT$6:$AX$14,5,FALSE),D260)</f>
        <v>DSMZ v1.5: Using DSMZ 120 with NaHCO3</v>
      </c>
      <c r="E261" s="10" t="str">
        <f>IFERROR(VLOOKUP(B261,'Pre-Summary'!$AT$6:$AX$15,4,FALSE),"")</f>
        <v/>
      </c>
      <c r="F261">
        <f>IFERROR(VLOOKUP(B261,'Pre-Summary'!$AL$6:$AQ$13,6,FALSE),F260)</f>
        <v>0</v>
      </c>
      <c r="G261" t="str">
        <f>IFERROR(VLOOKUP(B261,'Pre-Summary'!$AE$6:$AJ$85,3,FALSE),"")</f>
        <v/>
      </c>
      <c r="H261" t="str">
        <f>IFERROR(VLOOKUP(B261,'Pre-Summary'!$AE$6:$AJ$85,4,FALSE),"")</f>
        <v/>
      </c>
      <c r="I261" t="str">
        <f>IFERROR(VLOOKUP(B261,'Pre-Summary'!$AE$6:$AJ$85,5,FALSE),"")</f>
        <v/>
      </c>
      <c r="J261" s="45" t="str">
        <f>IFERROR(VLOOKUP(B261,'Pre-Summary'!$AE$6:$AJ$85,6, FALSE),"")</f>
        <v/>
      </c>
      <c r="K261" s="45" t="str">
        <f>IFERROR(VLOOKUP(B261,'Pre-Summary'!$DE$6:$DG$61,3,FALSE),"")</f>
        <v/>
      </c>
      <c r="L261" s="45" t="str">
        <f>IFERROR(VLOOKUP(B261,'Pre-Summary'!$CU$6:$CW$36,3,FALSE),"")</f>
        <v/>
      </c>
      <c r="M261" s="45" t="str">
        <f>IFERROR(VLOOKUP(B261,'Pre-Summary'!$BW$6:$BY$58,2,FALSE),"")</f>
        <v/>
      </c>
      <c r="N261" s="45" t="str">
        <f>IFERROR(VLOOKUP(B261,'Pre-Summary'!$CD$6:$CF$64,2,FALSE),"")</f>
        <v/>
      </c>
      <c r="O261" s="99">
        <f>IFERROR(VLOOKUP(B261,'Pre-Summary'!$BO$6:$BQ$48,3, FALSE),O260)</f>
        <v>1.0915248032216731</v>
      </c>
      <c r="P261" s="99">
        <f>IFERROR(VLOOKUP(B261,'Pre-Summary'!$BS$6:$BU$35,3,FALSE),P260)</f>
        <v>0.25</v>
      </c>
      <c r="Q261" s="54">
        <f t="shared" si="12"/>
        <v>4.3660992128866924</v>
      </c>
      <c r="R261" s="53">
        <f>IFERROR(VLOOKUP(B261,'Pre-Summary'!$BG$6:$BM$44,7,FALSE),R262)</f>
        <v>2.7904161219319636E-2</v>
      </c>
      <c r="S261" s="53">
        <f>IFERROR(VLOOKUP(B261,'Pre-Summary'!$BG$6:$BM$44,6,FALSE),S262)</f>
        <v>3.3978715219895171E-2</v>
      </c>
      <c r="T261" s="45" t="str">
        <f>IFERROR(VLOOKUP(B261,'Pre-Summary'!$Y$6:$AC$83, 3,FALSE),"")</f>
        <v/>
      </c>
      <c r="U261" s="45" t="str">
        <f>IFERROR(VLOOKUP(B261,'Pre-Summary'!$Y$6:$AC$83, 4,FALSE),"")</f>
        <v/>
      </c>
      <c r="V261" t="str">
        <f>IFERROR(VLOOKUP(B261,'Pre-Summary'!$Y$6:$AC$83, 5,FALSE),"")</f>
        <v/>
      </c>
      <c r="W261" s="45" t="str">
        <f>IFERROR(VLOOKUP(B261,'Pre-Summary'!$Y$6:$AD$83,6,FALSE),"")</f>
        <v/>
      </c>
      <c r="X261" t="str">
        <f>IFERROR(VLOOKUP('Pre-Summary'!$DB$6:$DD$63,3,FALSE),"")</f>
        <v/>
      </c>
      <c r="Y261" t="str">
        <f>IFERROR(VLOOKUP(B261,'Pre-Summary'!$CR$6:$CT$36,3,FALSE),"")</f>
        <v/>
      </c>
      <c r="Z261" s="45" t="str">
        <f>IFERROR(VLOOKUP(B261,'Pre-Summary'!$BZ$6:$CB$63,2,FALSE),"")</f>
        <v/>
      </c>
      <c r="AA261" s="45" t="str">
        <f>IFERROR(VLOOKUP(B261,'Pre-Summary'!$CG$6:$CI$70,2,FALSE),"")</f>
        <v/>
      </c>
      <c r="AB261" s="99">
        <f>IFERROR(VLOOKUP(B261,'Pre-Summary'!$A$6:$P$178,9,FALSE),AB262)</f>
        <v>1.0067180186389197</v>
      </c>
      <c r="AC261" s="10">
        <f>IFERROR(VLOOKUP(Summary!B261,'Pre-Summary'!$A$6:$P$184,5, FALSE)/100,AC262)</f>
        <v>0.115633</v>
      </c>
      <c r="AD261" s="10">
        <f>IFERROR(VLOOKUP(Summary!B261,'Pre-Summary'!$A$6:$P$184,3, FALSE)/100,AD262)</f>
        <v>0.88127200000000006</v>
      </c>
      <c r="AE261" s="10">
        <f>IFERROR(VLOOKUP(Summary!B261,'Pre-Summary'!$A$6:$P$184,7, FALSE)/100,AE262)</f>
        <v>3.0949999999999992E-3</v>
      </c>
      <c r="AF261" s="99">
        <f t="shared" si="13"/>
        <v>0.88719240172195812</v>
      </c>
      <c r="AG261" s="99">
        <f t="shared" si="14"/>
        <v>3.115792267687456E-3</v>
      </c>
      <c r="AH261" s="10" t="str">
        <f>IFERROR(VLOOKUP(B261,'Pre-Summary'!$AZ$6:$BE$65,3,FALSE),"")</f>
        <v/>
      </c>
      <c r="AI261" s="10" t="str">
        <f>IFERROR(VLOOKUP(B261,'Pre-Summary'!$AZ$6:$BE$65,5,FALSE),"")</f>
        <v/>
      </c>
      <c r="AJ261" s="10" t="str">
        <f>IFERROR(VLOOKUP(B261,'Pre-Summary'!$AZ$6:$BE$65,4,FALSE),"")</f>
        <v/>
      </c>
      <c r="AK261" s="10" t="str">
        <f>IFERROR(VLOOKUP(B261,'Pre-Summary'!$AZ$6:$BE$65,6,FALSE),"")</f>
        <v/>
      </c>
      <c r="AL261" s="10" t="str">
        <f>IFERROR(VLOOKUP(B261,'Pre-Summary'!$BG$6:$BL$44,3,FALSE),"")</f>
        <v/>
      </c>
      <c r="AM261" s="10" t="str">
        <f>IFERROR(VLOOKUP(B261,'Pre-Summary'!$BG$6:$BL$44,4,FALSE),"")</f>
        <v/>
      </c>
    </row>
    <row r="262" spans="2:39" ht="15" customHeight="1" x14ac:dyDescent="0.3">
      <c r="B262">
        <v>25.9</v>
      </c>
      <c r="C262" t="str">
        <f>IFERROR(VLOOKUP(B262,'Pre-Summary'!$DI$6:$DM$23,4,FALSE),"")</f>
        <v/>
      </c>
      <c r="D262" s="10" t="str">
        <f>IFERROR(VLOOKUP(B262,'Pre-Summary'!$AT$6:$AX$14,5,FALSE),D261)</f>
        <v>DSMZ v1.5: Using DSMZ 120 with NaHCO3</v>
      </c>
      <c r="E262" s="10" t="str">
        <f>IFERROR(VLOOKUP(B262,'Pre-Summary'!$AT$6:$AX$15,4,FALSE),"")</f>
        <v/>
      </c>
      <c r="F262">
        <f>IFERROR(VLOOKUP(B262,'Pre-Summary'!$AL$6:$AQ$13,6,FALSE),F261)</f>
        <v>0</v>
      </c>
      <c r="G262" t="str">
        <f>IFERROR(VLOOKUP(B262,'Pre-Summary'!$AE$6:$AJ$85,3,FALSE),"")</f>
        <v/>
      </c>
      <c r="H262" t="str">
        <f>IFERROR(VLOOKUP(B262,'Pre-Summary'!$AE$6:$AJ$85,4,FALSE),"")</f>
        <v/>
      </c>
      <c r="I262" t="str">
        <f>IFERROR(VLOOKUP(B262,'Pre-Summary'!$AE$6:$AJ$85,5,FALSE),"")</f>
        <v/>
      </c>
      <c r="J262" s="45" t="str">
        <f>IFERROR(VLOOKUP(B262,'Pre-Summary'!$AE$6:$AJ$85,6, FALSE),"")</f>
        <v/>
      </c>
      <c r="K262" s="45" t="str">
        <f>IFERROR(VLOOKUP(B262,'Pre-Summary'!$DE$6:$DG$61,3,FALSE),"")</f>
        <v/>
      </c>
      <c r="L262" s="45" t="str">
        <f>IFERROR(VLOOKUP(B262,'Pre-Summary'!$CU$6:$CW$36,3,FALSE),"")</f>
        <v/>
      </c>
      <c r="M262" s="45" t="str">
        <f>IFERROR(VLOOKUP(B262,'Pre-Summary'!$BW$6:$BY$58,2,FALSE),"")</f>
        <v/>
      </c>
      <c r="N262" s="45" t="str">
        <f>IFERROR(VLOOKUP(B262,'Pre-Summary'!$CD$6:$CF$64,2,FALSE),"")</f>
        <v/>
      </c>
      <c r="O262" s="99">
        <f>IFERROR(VLOOKUP(B262,'Pre-Summary'!$BO$6:$BQ$48,3, FALSE),O261)</f>
        <v>1.0915248032216731</v>
      </c>
      <c r="P262" s="99">
        <f>IFERROR(VLOOKUP(B262,'Pre-Summary'!$BS$6:$BU$35,3,FALSE),P261)</f>
        <v>0.25</v>
      </c>
      <c r="Q262" s="54">
        <f t="shared" si="12"/>
        <v>4.3660992128866924</v>
      </c>
      <c r="R262" s="53">
        <f>IFERROR(VLOOKUP(B262,'Pre-Summary'!$BG$6:$BM$44,7,FALSE),R263)</f>
        <v>2.7904161219319636E-2</v>
      </c>
      <c r="S262" s="53">
        <f>IFERROR(VLOOKUP(B262,'Pre-Summary'!$BG$6:$BM$44,6,FALSE),S263)</f>
        <v>3.3978715219895171E-2</v>
      </c>
      <c r="T262" s="45" t="str">
        <f>IFERROR(VLOOKUP(B262,'Pre-Summary'!$Y$6:$AC$83, 3,FALSE),"")</f>
        <v/>
      </c>
      <c r="U262" s="45" t="str">
        <f>IFERROR(VLOOKUP(B262,'Pre-Summary'!$Y$6:$AC$83, 4,FALSE),"")</f>
        <v/>
      </c>
      <c r="V262" t="str">
        <f>IFERROR(VLOOKUP(B262,'Pre-Summary'!$Y$6:$AC$83, 5,FALSE),"")</f>
        <v/>
      </c>
      <c r="W262" s="45" t="str">
        <f>IFERROR(VLOOKUP(B262,'Pre-Summary'!$Y$6:$AD$83,6,FALSE),"")</f>
        <v/>
      </c>
      <c r="X262" t="str">
        <f>IFERROR(VLOOKUP('Pre-Summary'!$DB$6:$DD$63,3,FALSE),"")</f>
        <v/>
      </c>
      <c r="Y262" t="str">
        <f>IFERROR(VLOOKUP(B262,'Pre-Summary'!$CR$6:$CT$36,3,FALSE),"")</f>
        <v/>
      </c>
      <c r="Z262" s="45" t="str">
        <f>IFERROR(VLOOKUP(B262,'Pre-Summary'!$BZ$6:$CB$63,2,FALSE),"")</f>
        <v/>
      </c>
      <c r="AA262" s="45" t="str">
        <f>IFERROR(VLOOKUP(B262,'Pre-Summary'!$CG$6:$CI$70,2,FALSE),"")</f>
        <v/>
      </c>
      <c r="AB262" s="99">
        <f>IFERROR(VLOOKUP(B262,'Pre-Summary'!$A$6:$P$178,9,FALSE),AB263)</f>
        <v>1.0067180186389197</v>
      </c>
      <c r="AC262" s="10">
        <f>IFERROR(VLOOKUP(Summary!B262,'Pre-Summary'!$A$6:$P$184,5, FALSE)/100,AC263)</f>
        <v>0.115633</v>
      </c>
      <c r="AD262" s="10">
        <f>IFERROR(VLOOKUP(Summary!B262,'Pre-Summary'!$A$6:$P$184,3, FALSE)/100,AD263)</f>
        <v>0.88127200000000006</v>
      </c>
      <c r="AE262" s="10">
        <f>IFERROR(VLOOKUP(Summary!B262,'Pre-Summary'!$A$6:$P$184,7, FALSE)/100,AE263)</f>
        <v>3.0949999999999992E-3</v>
      </c>
      <c r="AF262" s="99">
        <f t="shared" si="13"/>
        <v>0.88719240172195812</v>
      </c>
      <c r="AG262" s="99">
        <f t="shared" si="14"/>
        <v>3.115792267687456E-3</v>
      </c>
      <c r="AH262" s="10" t="str">
        <f>IFERROR(VLOOKUP(B262,'Pre-Summary'!$AZ$6:$BE$65,3,FALSE),"")</f>
        <v/>
      </c>
      <c r="AI262" s="10" t="str">
        <f>IFERROR(VLOOKUP(B262,'Pre-Summary'!$AZ$6:$BE$65,5,FALSE),"")</f>
        <v/>
      </c>
      <c r="AJ262" s="10" t="str">
        <f>IFERROR(VLOOKUP(B262,'Pre-Summary'!$AZ$6:$BE$65,4,FALSE),"")</f>
        <v/>
      </c>
      <c r="AK262" s="10" t="str">
        <f>IFERROR(VLOOKUP(B262,'Pre-Summary'!$AZ$6:$BE$65,6,FALSE),"")</f>
        <v/>
      </c>
      <c r="AL262" s="10" t="str">
        <f>IFERROR(VLOOKUP(B262,'Pre-Summary'!$BG$6:$BL$44,3,FALSE),"")</f>
        <v/>
      </c>
      <c r="AM262" s="10" t="str">
        <f>IFERROR(VLOOKUP(B262,'Pre-Summary'!$BG$6:$BL$44,4,FALSE),"")</f>
        <v/>
      </c>
    </row>
    <row r="263" spans="2:39" ht="15" customHeight="1" x14ac:dyDescent="0.3">
      <c r="B263">
        <v>26</v>
      </c>
      <c r="C263" t="str">
        <f>IFERROR(VLOOKUP(B263,'Pre-Summary'!$DI$6:$DM$23,4,FALSE),"")</f>
        <v/>
      </c>
      <c r="D263" s="10" t="str">
        <f>IFERROR(VLOOKUP(B263,'Pre-Summary'!$AT$6:$AX$14,5,FALSE),D262)</f>
        <v>DSMZ v1.5: Using DSMZ 120 with NaHCO3</v>
      </c>
      <c r="E263" s="10" t="str">
        <f>IFERROR(VLOOKUP(B263,'Pre-Summary'!$AT$6:$AX$15,4,FALSE),"")</f>
        <v/>
      </c>
      <c r="F263">
        <f>IFERROR(VLOOKUP(B263,'Pre-Summary'!$AL$6:$AQ$13,6,FALSE),F262)</f>
        <v>0</v>
      </c>
      <c r="G263" t="str">
        <f>IFERROR(VLOOKUP(B263,'Pre-Summary'!$AE$6:$AJ$85,3,FALSE),"")</f>
        <v/>
      </c>
      <c r="H263" t="str">
        <f>IFERROR(VLOOKUP(B263,'Pre-Summary'!$AE$6:$AJ$85,4,FALSE),"")</f>
        <v/>
      </c>
      <c r="I263" t="str">
        <f>IFERROR(VLOOKUP(B263,'Pre-Summary'!$AE$6:$AJ$85,5,FALSE),"")</f>
        <v/>
      </c>
      <c r="J263" s="45" t="str">
        <f>IFERROR(VLOOKUP(B263,'Pre-Summary'!$AE$6:$AJ$85,6, FALSE),"")</f>
        <v/>
      </c>
      <c r="K263" s="45" t="str">
        <f>IFERROR(VLOOKUP(B263,'Pre-Summary'!$DE$6:$DG$61,3,FALSE),"")</f>
        <v/>
      </c>
      <c r="L263" s="45" t="str">
        <f>IFERROR(VLOOKUP(B263,'Pre-Summary'!$CU$6:$CW$36,3,FALSE),"")</f>
        <v/>
      </c>
      <c r="M263" s="45" t="str">
        <f>IFERROR(VLOOKUP(B263,'Pre-Summary'!$BW$6:$BY$58,2,FALSE),"")</f>
        <v/>
      </c>
      <c r="N263" s="45" t="str">
        <f>IFERROR(VLOOKUP(B263,'Pre-Summary'!$CD$6:$CF$64,2,FALSE),"")</f>
        <v/>
      </c>
      <c r="O263" s="99">
        <f>IFERROR(VLOOKUP(B263,'Pre-Summary'!$BO$6:$BQ$48,3, FALSE),O262)</f>
        <v>1.0915248032216731</v>
      </c>
      <c r="P263" s="99">
        <f>IFERROR(VLOOKUP(B263,'Pre-Summary'!$BS$6:$BU$35,3,FALSE),P262)</f>
        <v>0.25</v>
      </c>
      <c r="Q263" s="54">
        <f t="shared" si="12"/>
        <v>4.3660992128866924</v>
      </c>
      <c r="R263" s="53">
        <f>IFERROR(VLOOKUP(B263,'Pre-Summary'!$BG$6:$BM$44,7,FALSE),R264)</f>
        <v>2.7904161219319636E-2</v>
      </c>
      <c r="S263" s="53">
        <f>IFERROR(VLOOKUP(B263,'Pre-Summary'!$BG$6:$BM$44,6,FALSE),S264)</f>
        <v>3.3978715219895171E-2</v>
      </c>
      <c r="T263" s="45" t="str">
        <f>IFERROR(VLOOKUP(B263,'Pre-Summary'!$Y$6:$AC$83, 3,FALSE),"")</f>
        <v/>
      </c>
      <c r="U263" s="45" t="str">
        <f>IFERROR(VLOOKUP(B263,'Pre-Summary'!$Y$6:$AC$83, 4,FALSE),"")</f>
        <v/>
      </c>
      <c r="V263" t="str">
        <f>IFERROR(VLOOKUP(B263,'Pre-Summary'!$Y$6:$AC$83, 5,FALSE),"")</f>
        <v/>
      </c>
      <c r="W263" s="45" t="str">
        <f>IFERROR(VLOOKUP(B263,'Pre-Summary'!$Y$6:$AD$83,6,FALSE),"")</f>
        <v/>
      </c>
      <c r="X263" t="str">
        <f>IFERROR(VLOOKUP('Pre-Summary'!$DB$6:$DD$63,3,FALSE),"")</f>
        <v/>
      </c>
      <c r="Y263" t="str">
        <f>IFERROR(VLOOKUP(B263,'Pre-Summary'!$CR$6:$CT$36,3,FALSE),"")</f>
        <v/>
      </c>
      <c r="Z263" s="45" t="str">
        <f>IFERROR(VLOOKUP(B263,'Pre-Summary'!$BZ$6:$CB$63,2,FALSE),"")</f>
        <v/>
      </c>
      <c r="AA263" s="45" t="str">
        <f>IFERROR(VLOOKUP(B263,'Pre-Summary'!$CG$6:$CI$70,2,FALSE),"")</f>
        <v/>
      </c>
      <c r="AB263" s="99">
        <f>IFERROR(VLOOKUP(B263,'Pre-Summary'!$A$6:$P$178,9,FALSE),AB264)</f>
        <v>1.0067180186389197</v>
      </c>
      <c r="AC263" s="10">
        <f>IFERROR(VLOOKUP(Summary!B263,'Pre-Summary'!$A$6:$P$184,5, FALSE)/100,AC264)</f>
        <v>0.115633</v>
      </c>
      <c r="AD263" s="10">
        <f>IFERROR(VLOOKUP(Summary!B263,'Pre-Summary'!$A$6:$P$184,3, FALSE)/100,AD264)</f>
        <v>0.88127200000000006</v>
      </c>
      <c r="AE263" s="10">
        <f>IFERROR(VLOOKUP(Summary!B263,'Pre-Summary'!$A$6:$P$184,7, FALSE)/100,AE264)</f>
        <v>3.0949999999999992E-3</v>
      </c>
      <c r="AF263" s="99">
        <f t="shared" si="13"/>
        <v>0.88719240172195812</v>
      </c>
      <c r="AG263" s="99">
        <f t="shared" si="14"/>
        <v>3.115792267687456E-3</v>
      </c>
      <c r="AH263" s="10" t="str">
        <f>IFERROR(VLOOKUP(B263,'Pre-Summary'!$AZ$6:$BE$65,3,FALSE),"")</f>
        <v/>
      </c>
      <c r="AI263" s="10" t="str">
        <f>IFERROR(VLOOKUP(B263,'Pre-Summary'!$AZ$6:$BE$65,5,FALSE),"")</f>
        <v/>
      </c>
      <c r="AJ263" s="10" t="str">
        <f>IFERROR(VLOOKUP(B263,'Pre-Summary'!$AZ$6:$BE$65,4,FALSE),"")</f>
        <v/>
      </c>
      <c r="AK263" s="10" t="str">
        <f>IFERROR(VLOOKUP(B263,'Pre-Summary'!$AZ$6:$BE$65,6,FALSE),"")</f>
        <v/>
      </c>
      <c r="AL263" s="10" t="str">
        <f>IFERROR(VLOOKUP(B263,'Pre-Summary'!$BG$6:$BL$44,3,FALSE),"")</f>
        <v/>
      </c>
      <c r="AM263" s="10" t="str">
        <f>IFERROR(VLOOKUP(B263,'Pre-Summary'!$BG$6:$BL$44,4,FALSE),"")</f>
        <v/>
      </c>
    </row>
    <row r="264" spans="2:39" ht="15" customHeight="1" x14ac:dyDescent="0.3">
      <c r="B264">
        <v>26.1</v>
      </c>
      <c r="C264" t="str">
        <f>IFERROR(VLOOKUP(B264,'Pre-Summary'!$DI$6:$DM$23,4,FALSE),"")</f>
        <v/>
      </c>
      <c r="D264" s="10" t="str">
        <f>IFERROR(VLOOKUP(B264,'Pre-Summary'!$AT$6:$AX$14,5,FALSE),D263)</f>
        <v>DSMZ v1.5: Using DSMZ 120 with NaHCO3</v>
      </c>
      <c r="E264" s="10" t="str">
        <f>IFERROR(VLOOKUP(B264,'Pre-Summary'!$AT$6:$AX$15,4,FALSE),"")</f>
        <v/>
      </c>
      <c r="F264">
        <f>IFERROR(VLOOKUP(B264,'Pre-Summary'!$AL$6:$AQ$13,6,FALSE),F263)</f>
        <v>0</v>
      </c>
      <c r="G264" t="str">
        <f>IFERROR(VLOOKUP(B264,'Pre-Summary'!$AE$6:$AJ$85,3,FALSE),"")</f>
        <v/>
      </c>
      <c r="H264" t="str">
        <f>IFERROR(VLOOKUP(B264,'Pre-Summary'!$AE$6:$AJ$85,4,FALSE),"")</f>
        <v/>
      </c>
      <c r="I264" t="str">
        <f>IFERROR(VLOOKUP(B264,'Pre-Summary'!$AE$6:$AJ$85,5,FALSE),"")</f>
        <v/>
      </c>
      <c r="J264" s="45" t="str">
        <f>IFERROR(VLOOKUP(B264,'Pre-Summary'!$AE$6:$AJ$85,6, FALSE),"")</f>
        <v/>
      </c>
      <c r="K264" s="45" t="str">
        <f>IFERROR(VLOOKUP(B264,'Pre-Summary'!$DE$6:$DG$61,3,FALSE),"")</f>
        <v/>
      </c>
      <c r="L264" s="45" t="str">
        <f>IFERROR(VLOOKUP(B264,'Pre-Summary'!$CU$6:$CW$36,3,FALSE),"")</f>
        <v/>
      </c>
      <c r="M264" s="45" t="str">
        <f>IFERROR(VLOOKUP(B264,'Pre-Summary'!$BW$6:$BY$58,2,FALSE),"")</f>
        <v/>
      </c>
      <c r="N264" s="45" t="str">
        <f>IFERROR(VLOOKUP(B264,'Pre-Summary'!$CD$6:$CF$64,2,FALSE),"")</f>
        <v/>
      </c>
      <c r="O264" s="99">
        <f>IFERROR(VLOOKUP(B264,'Pre-Summary'!$BO$6:$BQ$48,3, FALSE),O263)</f>
        <v>1.0915248032216731</v>
      </c>
      <c r="P264" s="99">
        <f>IFERROR(VLOOKUP(B264,'Pre-Summary'!$BS$6:$BU$35,3,FALSE),P263)</f>
        <v>0.25</v>
      </c>
      <c r="Q264" s="54">
        <f t="shared" si="12"/>
        <v>4.3660992128866924</v>
      </c>
      <c r="R264" s="53">
        <f>IFERROR(VLOOKUP(B264,'Pre-Summary'!$BG$6:$BM$44,7,FALSE),R265)</f>
        <v>2.7904161219319636E-2</v>
      </c>
      <c r="S264" s="53">
        <f>IFERROR(VLOOKUP(B264,'Pre-Summary'!$BG$6:$BM$44,6,FALSE),S265)</f>
        <v>3.3978715219895171E-2</v>
      </c>
      <c r="T264" s="45" t="str">
        <f>IFERROR(VLOOKUP(B264,'Pre-Summary'!$Y$6:$AC$83, 3,FALSE),"")</f>
        <v/>
      </c>
      <c r="U264" s="45" t="str">
        <f>IFERROR(VLOOKUP(B264,'Pre-Summary'!$Y$6:$AC$83, 4,FALSE),"")</f>
        <v/>
      </c>
      <c r="V264" t="str">
        <f>IFERROR(VLOOKUP(B264,'Pre-Summary'!$Y$6:$AC$83, 5,FALSE),"")</f>
        <v/>
      </c>
      <c r="W264" s="45" t="str">
        <f>IFERROR(VLOOKUP(B264,'Pre-Summary'!$Y$6:$AD$83,6,FALSE),"")</f>
        <v/>
      </c>
      <c r="X264" t="str">
        <f>IFERROR(VLOOKUP('Pre-Summary'!$DB$6:$DD$63,3,FALSE),"")</f>
        <v/>
      </c>
      <c r="Y264" t="str">
        <f>IFERROR(VLOOKUP(B264,'Pre-Summary'!$CR$6:$CT$36,3,FALSE),"")</f>
        <v/>
      </c>
      <c r="Z264" s="45" t="str">
        <f>IFERROR(VLOOKUP(B264,'Pre-Summary'!$BZ$6:$CB$63,2,FALSE),"")</f>
        <v/>
      </c>
      <c r="AA264" s="45" t="str">
        <f>IFERROR(VLOOKUP(B264,'Pre-Summary'!$CG$6:$CI$70,2,FALSE),"")</f>
        <v/>
      </c>
      <c r="AB264" s="99">
        <f>IFERROR(VLOOKUP(B264,'Pre-Summary'!$A$6:$P$178,9,FALSE),AB265)</f>
        <v>1.0067180186389197</v>
      </c>
      <c r="AC264" s="10">
        <f>IFERROR(VLOOKUP(Summary!B264,'Pre-Summary'!$A$6:$P$184,5, FALSE)/100,AC265)</f>
        <v>0.115633</v>
      </c>
      <c r="AD264" s="10">
        <f>IFERROR(VLOOKUP(Summary!B264,'Pre-Summary'!$A$6:$P$184,3, FALSE)/100,AD265)</f>
        <v>0.88127200000000006</v>
      </c>
      <c r="AE264" s="10">
        <f>IFERROR(VLOOKUP(Summary!B264,'Pre-Summary'!$A$6:$P$184,7, FALSE)/100,AE265)</f>
        <v>3.0949999999999992E-3</v>
      </c>
      <c r="AF264" s="99">
        <f t="shared" si="13"/>
        <v>0.88719240172195812</v>
      </c>
      <c r="AG264" s="99">
        <f t="shared" si="14"/>
        <v>3.115792267687456E-3</v>
      </c>
      <c r="AH264" s="10" t="str">
        <f>IFERROR(VLOOKUP(B264,'Pre-Summary'!$AZ$6:$BE$65,3,FALSE),"")</f>
        <v/>
      </c>
      <c r="AI264" s="10" t="str">
        <f>IFERROR(VLOOKUP(B264,'Pre-Summary'!$AZ$6:$BE$65,5,FALSE),"")</f>
        <v/>
      </c>
      <c r="AJ264" s="10" t="str">
        <f>IFERROR(VLOOKUP(B264,'Pre-Summary'!$AZ$6:$BE$65,4,FALSE),"")</f>
        <v/>
      </c>
      <c r="AK264" s="10" t="str">
        <f>IFERROR(VLOOKUP(B264,'Pre-Summary'!$AZ$6:$BE$65,6,FALSE),"")</f>
        <v/>
      </c>
      <c r="AL264" s="10" t="str">
        <f>IFERROR(VLOOKUP(B264,'Pre-Summary'!$BG$6:$BL$44,3,FALSE),"")</f>
        <v/>
      </c>
      <c r="AM264" s="10" t="str">
        <f>IFERROR(VLOOKUP(B264,'Pre-Summary'!$BG$6:$BL$44,4,FALSE),"")</f>
        <v/>
      </c>
    </row>
    <row r="265" spans="2:39" ht="15" customHeight="1" x14ac:dyDescent="0.3">
      <c r="B265">
        <v>26.2</v>
      </c>
      <c r="C265" t="str">
        <f>IFERROR(VLOOKUP(B265,'Pre-Summary'!$DI$6:$DM$23,4,FALSE),"")</f>
        <v/>
      </c>
      <c r="D265" s="10" t="str">
        <f>IFERROR(VLOOKUP(B265,'Pre-Summary'!$AT$6:$AX$14,5,FALSE),D264)</f>
        <v>DSMZ v1.5: Using DSMZ 120 with NaHCO3</v>
      </c>
      <c r="E265" s="10" t="str">
        <f>IFERROR(VLOOKUP(B265,'Pre-Summary'!$AT$6:$AX$15,4,FALSE),"")</f>
        <v/>
      </c>
      <c r="F265">
        <f>IFERROR(VLOOKUP(B265,'Pre-Summary'!$AL$6:$AQ$13,6,FALSE),F264)</f>
        <v>0</v>
      </c>
      <c r="G265" t="str">
        <f>IFERROR(VLOOKUP(B265,'Pre-Summary'!$AE$6:$AJ$85,3,FALSE),"")</f>
        <v/>
      </c>
      <c r="H265" t="str">
        <f>IFERROR(VLOOKUP(B265,'Pre-Summary'!$AE$6:$AJ$85,4,FALSE),"")</f>
        <v/>
      </c>
      <c r="I265" t="str">
        <f>IFERROR(VLOOKUP(B265,'Pre-Summary'!$AE$6:$AJ$85,5,FALSE),"")</f>
        <v/>
      </c>
      <c r="J265" s="45" t="str">
        <f>IFERROR(VLOOKUP(B265,'Pre-Summary'!$AE$6:$AJ$85,6, FALSE),"")</f>
        <v/>
      </c>
      <c r="K265" s="45" t="str">
        <f>IFERROR(VLOOKUP(B265,'Pre-Summary'!$DE$6:$DG$61,3,FALSE),"")</f>
        <v/>
      </c>
      <c r="L265" s="45" t="str">
        <f>IFERROR(VLOOKUP(B265,'Pre-Summary'!$CU$6:$CW$36,3,FALSE),"")</f>
        <v/>
      </c>
      <c r="M265" s="45" t="str">
        <f>IFERROR(VLOOKUP(B265,'Pre-Summary'!$BW$6:$BY$58,2,FALSE),"")</f>
        <v/>
      </c>
      <c r="N265" s="45" t="str">
        <f>IFERROR(VLOOKUP(B265,'Pre-Summary'!$CD$6:$CF$64,2,FALSE),"")</f>
        <v/>
      </c>
      <c r="O265" s="99">
        <f>IFERROR(VLOOKUP(B265,'Pre-Summary'!$BO$6:$BQ$48,3, FALSE),O264)</f>
        <v>1.0915248032216731</v>
      </c>
      <c r="P265" s="99">
        <f>IFERROR(VLOOKUP(B265,'Pre-Summary'!$BS$6:$BU$35,3,FALSE),P264)</f>
        <v>0.25</v>
      </c>
      <c r="Q265" s="54">
        <f t="shared" si="12"/>
        <v>4.3660992128866924</v>
      </c>
      <c r="R265" s="53">
        <f>IFERROR(VLOOKUP(B265,'Pre-Summary'!$BG$6:$BM$44,7,FALSE),R266)</f>
        <v>2.7904161219319636E-2</v>
      </c>
      <c r="S265" s="53">
        <f>IFERROR(VLOOKUP(B265,'Pre-Summary'!$BG$6:$BM$44,6,FALSE),S266)</f>
        <v>3.3978715219895171E-2</v>
      </c>
      <c r="T265" s="45" t="str">
        <f>IFERROR(VLOOKUP(B265,'Pre-Summary'!$Y$6:$AC$83, 3,FALSE),"")</f>
        <v/>
      </c>
      <c r="U265" s="45" t="str">
        <f>IFERROR(VLOOKUP(B265,'Pre-Summary'!$Y$6:$AC$83, 4,FALSE),"")</f>
        <v/>
      </c>
      <c r="V265" t="str">
        <f>IFERROR(VLOOKUP(B265,'Pre-Summary'!$Y$6:$AC$83, 5,FALSE),"")</f>
        <v/>
      </c>
      <c r="W265" s="45" t="str">
        <f>IFERROR(VLOOKUP(B265,'Pre-Summary'!$Y$6:$AD$83,6,FALSE),"")</f>
        <v/>
      </c>
      <c r="X265" t="str">
        <f>IFERROR(VLOOKUP('Pre-Summary'!$DB$6:$DD$63,3,FALSE),"")</f>
        <v/>
      </c>
      <c r="Y265" t="str">
        <f>IFERROR(VLOOKUP(B265,'Pre-Summary'!$CR$6:$CT$36,3,FALSE),"")</f>
        <v/>
      </c>
      <c r="Z265" s="45" t="str">
        <f>IFERROR(VLOOKUP(B265,'Pre-Summary'!$BZ$6:$CB$63,2,FALSE),"")</f>
        <v/>
      </c>
      <c r="AA265" s="45" t="str">
        <f>IFERROR(VLOOKUP(B265,'Pre-Summary'!$CG$6:$CI$70,2,FALSE),"")</f>
        <v/>
      </c>
      <c r="AB265" s="99">
        <f>IFERROR(VLOOKUP(B265,'Pre-Summary'!$A$6:$P$178,9,FALSE),AB266)</f>
        <v>1.0067180186389197</v>
      </c>
      <c r="AC265" s="10">
        <f>IFERROR(VLOOKUP(Summary!B265,'Pre-Summary'!$A$6:$P$184,5, FALSE)/100,AC266)</f>
        <v>0.115633</v>
      </c>
      <c r="AD265" s="10">
        <f>IFERROR(VLOOKUP(Summary!B265,'Pre-Summary'!$A$6:$P$184,3, FALSE)/100,AD266)</f>
        <v>0.88127200000000006</v>
      </c>
      <c r="AE265" s="10">
        <f>IFERROR(VLOOKUP(Summary!B265,'Pre-Summary'!$A$6:$P$184,7, FALSE)/100,AE266)</f>
        <v>3.0949999999999992E-3</v>
      </c>
      <c r="AF265" s="99">
        <f t="shared" si="13"/>
        <v>0.88719240172195812</v>
      </c>
      <c r="AG265" s="99">
        <f t="shared" si="14"/>
        <v>3.115792267687456E-3</v>
      </c>
      <c r="AH265" s="10" t="str">
        <f>IFERROR(VLOOKUP(B265,'Pre-Summary'!$AZ$6:$BE$65,3,FALSE),"")</f>
        <v/>
      </c>
      <c r="AI265" s="10" t="str">
        <f>IFERROR(VLOOKUP(B265,'Pre-Summary'!$AZ$6:$BE$65,5,FALSE),"")</f>
        <v/>
      </c>
      <c r="AJ265" s="10" t="str">
        <f>IFERROR(VLOOKUP(B265,'Pre-Summary'!$AZ$6:$BE$65,4,FALSE),"")</f>
        <v/>
      </c>
      <c r="AK265" s="10" t="str">
        <f>IFERROR(VLOOKUP(B265,'Pre-Summary'!$AZ$6:$BE$65,6,FALSE),"")</f>
        <v/>
      </c>
      <c r="AL265" s="10" t="str">
        <f>IFERROR(VLOOKUP(B265,'Pre-Summary'!$BG$6:$BL$44,3,FALSE),"")</f>
        <v/>
      </c>
      <c r="AM265" s="10" t="str">
        <f>IFERROR(VLOOKUP(B265,'Pre-Summary'!$BG$6:$BL$44,4,FALSE),"")</f>
        <v/>
      </c>
    </row>
    <row r="266" spans="2:39" ht="15" customHeight="1" x14ac:dyDescent="0.3">
      <c r="B266">
        <v>26.3</v>
      </c>
      <c r="C266" t="str">
        <f>IFERROR(VLOOKUP(B266,'Pre-Summary'!$DI$6:$DM$23,4,FALSE),"")</f>
        <v/>
      </c>
      <c r="D266" s="10" t="str">
        <f>IFERROR(VLOOKUP(B266,'Pre-Summary'!$AT$6:$AX$14,5,FALSE),D265)</f>
        <v>DSMZ v1.5: Using DSMZ 120 with NaHCO3</v>
      </c>
      <c r="E266" s="10" t="str">
        <f>IFERROR(VLOOKUP(B266,'Pre-Summary'!$AT$6:$AX$15,4,FALSE),"")</f>
        <v/>
      </c>
      <c r="F266">
        <f>IFERROR(VLOOKUP(B266,'Pre-Summary'!$AL$6:$AQ$13,6,FALSE),F265)</f>
        <v>0</v>
      </c>
      <c r="G266" t="str">
        <f>IFERROR(VLOOKUP(B266,'Pre-Summary'!$AE$6:$AJ$85,3,FALSE),"")</f>
        <v/>
      </c>
      <c r="H266" t="str">
        <f>IFERROR(VLOOKUP(B266,'Pre-Summary'!$AE$6:$AJ$85,4,FALSE),"")</f>
        <v/>
      </c>
      <c r="I266" t="str">
        <f>IFERROR(VLOOKUP(B266,'Pre-Summary'!$AE$6:$AJ$85,5,FALSE),"")</f>
        <v/>
      </c>
      <c r="J266" s="45" t="str">
        <f>IFERROR(VLOOKUP(B266,'Pre-Summary'!$AE$6:$AJ$85,6, FALSE),"")</f>
        <v/>
      </c>
      <c r="K266" s="45" t="str">
        <f>IFERROR(VLOOKUP(B266,'Pre-Summary'!$DE$6:$DG$61,3,FALSE),"")</f>
        <v/>
      </c>
      <c r="L266" s="45" t="str">
        <f>IFERROR(VLOOKUP(B266,'Pre-Summary'!$CU$6:$CW$36,3,FALSE),"")</f>
        <v/>
      </c>
      <c r="M266" s="45" t="str">
        <f>IFERROR(VLOOKUP(B266,'Pre-Summary'!$BW$6:$BY$58,2,FALSE),"")</f>
        <v/>
      </c>
      <c r="N266" s="45" t="str">
        <f>IFERROR(VLOOKUP(B266,'Pre-Summary'!$CD$6:$CF$64,2,FALSE),"")</f>
        <v/>
      </c>
      <c r="O266" s="99">
        <f>IFERROR(VLOOKUP(B266,'Pre-Summary'!$BO$6:$BQ$48,3, FALSE),O265)</f>
        <v>1.0915248032216731</v>
      </c>
      <c r="P266" s="99">
        <f>IFERROR(VLOOKUP(B266,'Pre-Summary'!$BS$6:$BU$35,3,FALSE),P265)</f>
        <v>0.25</v>
      </c>
      <c r="Q266" s="54">
        <f t="shared" si="12"/>
        <v>4.3660992128866924</v>
      </c>
      <c r="R266" s="53">
        <f>IFERROR(VLOOKUP(B266,'Pre-Summary'!$BG$6:$BM$44,7,FALSE),R267)</f>
        <v>2.7904161219319636E-2</v>
      </c>
      <c r="S266" s="53">
        <f>IFERROR(VLOOKUP(B266,'Pre-Summary'!$BG$6:$BM$44,6,FALSE),S267)</f>
        <v>3.3978715219895171E-2</v>
      </c>
      <c r="T266" s="45" t="str">
        <f>IFERROR(VLOOKUP(B266,'Pre-Summary'!$Y$6:$AC$83, 3,FALSE),"")</f>
        <v/>
      </c>
      <c r="U266" s="45" t="str">
        <f>IFERROR(VLOOKUP(B266,'Pre-Summary'!$Y$6:$AC$83, 4,FALSE),"")</f>
        <v/>
      </c>
      <c r="V266" t="str">
        <f>IFERROR(VLOOKUP(B266,'Pre-Summary'!$Y$6:$AC$83, 5,FALSE),"")</f>
        <v/>
      </c>
      <c r="W266" s="45" t="str">
        <f>IFERROR(VLOOKUP(B266,'Pre-Summary'!$Y$6:$AD$83,6,FALSE),"")</f>
        <v/>
      </c>
      <c r="X266" t="str">
        <f>IFERROR(VLOOKUP('Pre-Summary'!$DB$6:$DD$63,3,FALSE),"")</f>
        <v/>
      </c>
      <c r="Y266" t="str">
        <f>IFERROR(VLOOKUP(B266,'Pre-Summary'!$CR$6:$CT$36,3,FALSE),"")</f>
        <v/>
      </c>
      <c r="Z266" s="45" t="str">
        <f>IFERROR(VLOOKUP(B266,'Pre-Summary'!$BZ$6:$CB$63,2,FALSE),"")</f>
        <v/>
      </c>
      <c r="AA266" s="45" t="str">
        <f>IFERROR(VLOOKUP(B266,'Pre-Summary'!$CG$6:$CI$70,2,FALSE),"")</f>
        <v/>
      </c>
      <c r="AB266" s="99">
        <f>IFERROR(VLOOKUP(B266,'Pre-Summary'!$A$6:$P$178,9,FALSE),AB267)</f>
        <v>1.0067180186389197</v>
      </c>
      <c r="AC266" s="10">
        <f>IFERROR(VLOOKUP(Summary!B266,'Pre-Summary'!$A$6:$P$184,5, FALSE)/100,AC267)</f>
        <v>0.115633</v>
      </c>
      <c r="AD266" s="10">
        <f>IFERROR(VLOOKUP(Summary!B266,'Pre-Summary'!$A$6:$P$184,3, FALSE)/100,AD267)</f>
        <v>0.88127200000000006</v>
      </c>
      <c r="AE266" s="10">
        <f>IFERROR(VLOOKUP(Summary!B266,'Pre-Summary'!$A$6:$P$184,7, FALSE)/100,AE267)</f>
        <v>3.0949999999999992E-3</v>
      </c>
      <c r="AF266" s="99">
        <f t="shared" si="13"/>
        <v>0.88719240172195812</v>
      </c>
      <c r="AG266" s="99">
        <f t="shared" si="14"/>
        <v>3.115792267687456E-3</v>
      </c>
      <c r="AH266" s="10" t="str">
        <f>IFERROR(VLOOKUP(B266,'Pre-Summary'!$AZ$6:$BE$65,3,FALSE),"")</f>
        <v/>
      </c>
      <c r="AI266" s="10" t="str">
        <f>IFERROR(VLOOKUP(B266,'Pre-Summary'!$AZ$6:$BE$65,5,FALSE),"")</f>
        <v/>
      </c>
      <c r="AJ266" s="10" t="str">
        <f>IFERROR(VLOOKUP(B266,'Pre-Summary'!$AZ$6:$BE$65,4,FALSE),"")</f>
        <v/>
      </c>
      <c r="AK266" s="10" t="str">
        <f>IFERROR(VLOOKUP(B266,'Pre-Summary'!$AZ$6:$BE$65,6,FALSE),"")</f>
        <v/>
      </c>
      <c r="AL266" s="10" t="str">
        <f>IFERROR(VLOOKUP(B266,'Pre-Summary'!$BG$6:$BL$44,3,FALSE),"")</f>
        <v/>
      </c>
      <c r="AM266" s="10" t="str">
        <f>IFERROR(VLOOKUP(B266,'Pre-Summary'!$BG$6:$BL$44,4,FALSE),"")</f>
        <v/>
      </c>
    </row>
    <row r="267" spans="2:39" ht="15" customHeight="1" x14ac:dyDescent="0.3">
      <c r="B267">
        <v>26.4</v>
      </c>
      <c r="C267" t="str">
        <f>IFERROR(VLOOKUP(B267,'Pre-Summary'!$DI$6:$DM$23,4,FALSE),"")</f>
        <v/>
      </c>
      <c r="D267" s="10" t="str">
        <f>IFERROR(VLOOKUP(B267,'Pre-Summary'!$AT$6:$AX$14,5,FALSE),D266)</f>
        <v>DSMZ v1.5: Using DSMZ 120 with NaHCO3</v>
      </c>
      <c r="E267" s="10" t="str">
        <f>IFERROR(VLOOKUP(B267,'Pre-Summary'!$AT$6:$AX$15,4,FALSE),"")</f>
        <v/>
      </c>
      <c r="F267">
        <f>IFERROR(VLOOKUP(B267,'Pre-Summary'!$AL$6:$AQ$13,6,FALSE),F266)</f>
        <v>0</v>
      </c>
      <c r="G267" t="str">
        <f>IFERROR(VLOOKUP(B267,'Pre-Summary'!$AE$6:$AJ$85,3,FALSE),"")</f>
        <v/>
      </c>
      <c r="H267" t="str">
        <f>IFERROR(VLOOKUP(B267,'Pre-Summary'!$AE$6:$AJ$85,4,FALSE),"")</f>
        <v/>
      </c>
      <c r="I267" t="str">
        <f>IFERROR(VLOOKUP(B267,'Pre-Summary'!$AE$6:$AJ$85,5,FALSE),"")</f>
        <v/>
      </c>
      <c r="J267" s="45" t="str">
        <f>IFERROR(VLOOKUP(B267,'Pre-Summary'!$AE$6:$AJ$85,6, FALSE),"")</f>
        <v/>
      </c>
      <c r="K267" s="45" t="str">
        <f>IFERROR(VLOOKUP(B267,'Pre-Summary'!$DE$6:$DG$61,3,FALSE),"")</f>
        <v/>
      </c>
      <c r="L267" s="45" t="str">
        <f>IFERROR(VLOOKUP(B267,'Pre-Summary'!$CU$6:$CW$36,3,FALSE),"")</f>
        <v/>
      </c>
      <c r="M267" s="45" t="str">
        <f>IFERROR(VLOOKUP(B267,'Pre-Summary'!$BW$6:$BY$58,2,FALSE),"")</f>
        <v/>
      </c>
      <c r="N267" s="45" t="str">
        <f>IFERROR(VLOOKUP(B267,'Pre-Summary'!$CD$6:$CF$64,2,FALSE),"")</f>
        <v/>
      </c>
      <c r="O267" s="99">
        <f>IFERROR(VLOOKUP(B267,'Pre-Summary'!$BO$6:$BQ$48,3, FALSE),O266)</f>
        <v>1.0915248032216731</v>
      </c>
      <c r="P267" s="99">
        <f>IFERROR(VLOOKUP(B267,'Pre-Summary'!$BS$6:$BU$35,3,FALSE),P266)</f>
        <v>0.25</v>
      </c>
      <c r="Q267" s="54">
        <f t="shared" si="12"/>
        <v>4.3660992128866924</v>
      </c>
      <c r="R267" s="53">
        <f>IFERROR(VLOOKUP(B267,'Pre-Summary'!$BG$6:$BM$44,7,FALSE),R268)</f>
        <v>2.7904161219319636E-2</v>
      </c>
      <c r="S267" s="53">
        <f>IFERROR(VLOOKUP(B267,'Pre-Summary'!$BG$6:$BM$44,6,FALSE),S268)</f>
        <v>3.3978715219895171E-2</v>
      </c>
      <c r="T267" s="45" t="str">
        <f>IFERROR(VLOOKUP(B267,'Pre-Summary'!$Y$6:$AC$83, 3,FALSE),"")</f>
        <v/>
      </c>
      <c r="U267" s="45" t="str">
        <f>IFERROR(VLOOKUP(B267,'Pre-Summary'!$Y$6:$AC$83, 4,FALSE),"")</f>
        <v/>
      </c>
      <c r="V267" t="str">
        <f>IFERROR(VLOOKUP(B267,'Pre-Summary'!$Y$6:$AC$83, 5,FALSE),"")</f>
        <v/>
      </c>
      <c r="W267" s="45" t="str">
        <f>IFERROR(VLOOKUP(B267,'Pre-Summary'!$Y$6:$AD$83,6,FALSE),"")</f>
        <v/>
      </c>
      <c r="X267" t="str">
        <f>IFERROR(VLOOKUP('Pre-Summary'!$DB$6:$DD$63,3,FALSE),"")</f>
        <v/>
      </c>
      <c r="Y267" t="str">
        <f>IFERROR(VLOOKUP(B267,'Pre-Summary'!$CR$6:$CT$36,3,FALSE),"")</f>
        <v/>
      </c>
      <c r="Z267" s="45" t="str">
        <f>IFERROR(VLOOKUP(B267,'Pre-Summary'!$BZ$6:$CB$63,2,FALSE),"")</f>
        <v/>
      </c>
      <c r="AA267" s="45" t="str">
        <f>IFERROR(VLOOKUP(B267,'Pre-Summary'!$CG$6:$CI$70,2,FALSE),"")</f>
        <v/>
      </c>
      <c r="AB267" s="99">
        <f>IFERROR(VLOOKUP(B267,'Pre-Summary'!$A$6:$P$178,9,FALSE),AB268)</f>
        <v>1.0067180186389197</v>
      </c>
      <c r="AC267" s="10">
        <f>IFERROR(VLOOKUP(Summary!B267,'Pre-Summary'!$A$6:$P$184,5, FALSE)/100,AC268)</f>
        <v>0.115633</v>
      </c>
      <c r="AD267" s="10">
        <f>IFERROR(VLOOKUP(Summary!B267,'Pre-Summary'!$A$6:$P$184,3, FALSE)/100,AD268)</f>
        <v>0.88127200000000006</v>
      </c>
      <c r="AE267" s="10">
        <f>IFERROR(VLOOKUP(Summary!B267,'Pre-Summary'!$A$6:$P$184,7, FALSE)/100,AE268)</f>
        <v>3.0949999999999992E-3</v>
      </c>
      <c r="AF267" s="99">
        <f t="shared" si="13"/>
        <v>0.88719240172195812</v>
      </c>
      <c r="AG267" s="99">
        <f t="shared" si="14"/>
        <v>3.115792267687456E-3</v>
      </c>
      <c r="AH267" s="10" t="str">
        <f>IFERROR(VLOOKUP(B267,'Pre-Summary'!$AZ$6:$BE$65,3,FALSE),"")</f>
        <v/>
      </c>
      <c r="AI267" s="10" t="str">
        <f>IFERROR(VLOOKUP(B267,'Pre-Summary'!$AZ$6:$BE$65,5,FALSE),"")</f>
        <v/>
      </c>
      <c r="AJ267" s="10" t="str">
        <f>IFERROR(VLOOKUP(B267,'Pre-Summary'!$AZ$6:$BE$65,4,FALSE),"")</f>
        <v/>
      </c>
      <c r="AK267" s="10" t="str">
        <f>IFERROR(VLOOKUP(B267,'Pre-Summary'!$AZ$6:$BE$65,6,FALSE),"")</f>
        <v/>
      </c>
      <c r="AL267" s="10" t="str">
        <f>IFERROR(VLOOKUP(B267,'Pre-Summary'!$BG$6:$BL$44,3,FALSE),"")</f>
        <v/>
      </c>
      <c r="AM267" s="10" t="str">
        <f>IFERROR(VLOOKUP(B267,'Pre-Summary'!$BG$6:$BL$44,4,FALSE),"")</f>
        <v/>
      </c>
    </row>
    <row r="268" spans="2:39" ht="15" customHeight="1" x14ac:dyDescent="0.3">
      <c r="B268">
        <v>26.5</v>
      </c>
      <c r="C268" t="str">
        <f>IFERROR(VLOOKUP(B268,'Pre-Summary'!$DI$6:$DM$23,4,FALSE),"")</f>
        <v/>
      </c>
      <c r="D268" s="10" t="str">
        <f>IFERROR(VLOOKUP(B268,'Pre-Summary'!$AT$6:$AX$14,5,FALSE),D267)</f>
        <v>DSMZ v1.5: Using DSMZ 120 with NaHCO3</v>
      </c>
      <c r="E268" s="10" t="str">
        <f>IFERROR(VLOOKUP(B268,'Pre-Summary'!$AT$6:$AX$15,4,FALSE),"")</f>
        <v/>
      </c>
      <c r="F268">
        <f>IFERROR(VLOOKUP(B268,'Pre-Summary'!$AL$6:$AQ$13,6,FALSE),F267)</f>
        <v>0</v>
      </c>
      <c r="G268" t="str">
        <f>IFERROR(VLOOKUP(B268,'Pre-Summary'!$AE$6:$AJ$85,3,FALSE),"")</f>
        <v/>
      </c>
      <c r="H268" t="str">
        <f>IFERROR(VLOOKUP(B268,'Pre-Summary'!$AE$6:$AJ$85,4,FALSE),"")</f>
        <v/>
      </c>
      <c r="I268" t="str">
        <f>IFERROR(VLOOKUP(B268,'Pre-Summary'!$AE$6:$AJ$85,5,FALSE),"")</f>
        <v/>
      </c>
      <c r="J268" s="45" t="str">
        <f>IFERROR(VLOOKUP(B268,'Pre-Summary'!$AE$6:$AJ$85,6, FALSE),"")</f>
        <v/>
      </c>
      <c r="K268" s="45" t="str">
        <f>IFERROR(VLOOKUP(B268,'Pre-Summary'!$DE$6:$DG$61,3,FALSE),"")</f>
        <v/>
      </c>
      <c r="L268" s="45" t="str">
        <f>IFERROR(VLOOKUP(B268,'Pre-Summary'!$CU$6:$CW$36,3,FALSE),"")</f>
        <v/>
      </c>
      <c r="M268" s="45" t="str">
        <f>IFERROR(VLOOKUP(B268,'Pre-Summary'!$BW$6:$BY$58,2,FALSE),"")</f>
        <v/>
      </c>
      <c r="N268" s="45" t="str">
        <f>IFERROR(VLOOKUP(B268,'Pre-Summary'!$CD$6:$CF$64,2,FALSE),"")</f>
        <v/>
      </c>
      <c r="O268" s="99">
        <f>IFERROR(VLOOKUP(B268,'Pre-Summary'!$BO$6:$BQ$48,3, FALSE),O267)</f>
        <v>1.0915248032216731</v>
      </c>
      <c r="P268" s="99">
        <f>IFERROR(VLOOKUP(B268,'Pre-Summary'!$BS$6:$BU$35,3,FALSE),P267)</f>
        <v>0.25</v>
      </c>
      <c r="Q268" s="54">
        <f t="shared" si="12"/>
        <v>4.3660992128866924</v>
      </c>
      <c r="R268" s="53">
        <f>IFERROR(VLOOKUP(B268,'Pre-Summary'!$BG$6:$BM$44,7,FALSE),R269)</f>
        <v>2.7904161219319636E-2</v>
      </c>
      <c r="S268" s="53">
        <f>IFERROR(VLOOKUP(B268,'Pre-Summary'!$BG$6:$BM$44,6,FALSE),S269)</f>
        <v>3.3978715219895171E-2</v>
      </c>
      <c r="T268" s="45" t="str">
        <f>IFERROR(VLOOKUP(B268,'Pre-Summary'!$Y$6:$AC$83, 3,FALSE),"")</f>
        <v/>
      </c>
      <c r="U268" s="45" t="str">
        <f>IFERROR(VLOOKUP(B268,'Pre-Summary'!$Y$6:$AC$83, 4,FALSE),"")</f>
        <v/>
      </c>
      <c r="V268" t="str">
        <f>IFERROR(VLOOKUP(B268,'Pre-Summary'!$Y$6:$AC$83, 5,FALSE),"")</f>
        <v/>
      </c>
      <c r="W268" s="45" t="str">
        <f>IFERROR(VLOOKUP(B268,'Pre-Summary'!$Y$6:$AD$83,6,FALSE),"")</f>
        <v/>
      </c>
      <c r="X268" t="str">
        <f>IFERROR(VLOOKUP('Pre-Summary'!$DB$6:$DD$63,3,FALSE),"")</f>
        <v/>
      </c>
      <c r="Y268" t="str">
        <f>IFERROR(VLOOKUP(B268,'Pre-Summary'!$CR$6:$CT$36,3,FALSE),"")</f>
        <v/>
      </c>
      <c r="Z268" s="45" t="str">
        <f>IFERROR(VLOOKUP(B268,'Pre-Summary'!$BZ$6:$CB$63,2,FALSE),"")</f>
        <v/>
      </c>
      <c r="AA268" s="45" t="str">
        <f>IFERROR(VLOOKUP(B268,'Pre-Summary'!$CG$6:$CI$70,2,FALSE),"")</f>
        <v/>
      </c>
      <c r="AB268" s="99">
        <f>IFERROR(VLOOKUP(B268,'Pre-Summary'!$A$6:$P$178,9,FALSE),AB269)</f>
        <v>1.0067180186389197</v>
      </c>
      <c r="AC268" s="10">
        <f>IFERROR(VLOOKUP(Summary!B268,'Pre-Summary'!$A$6:$P$184,5, FALSE)/100,AC269)</f>
        <v>0.115633</v>
      </c>
      <c r="AD268" s="10">
        <f>IFERROR(VLOOKUP(Summary!B268,'Pre-Summary'!$A$6:$P$184,3, FALSE)/100,AD269)</f>
        <v>0.88127200000000006</v>
      </c>
      <c r="AE268" s="10">
        <f>IFERROR(VLOOKUP(Summary!B268,'Pre-Summary'!$A$6:$P$184,7, FALSE)/100,AE269)</f>
        <v>3.0949999999999992E-3</v>
      </c>
      <c r="AF268" s="99">
        <f t="shared" si="13"/>
        <v>0.88719240172195812</v>
      </c>
      <c r="AG268" s="99">
        <f t="shared" si="14"/>
        <v>3.115792267687456E-3</v>
      </c>
      <c r="AH268" s="10" t="str">
        <f>IFERROR(VLOOKUP(B268,'Pre-Summary'!$AZ$6:$BE$65,3,FALSE),"")</f>
        <v/>
      </c>
      <c r="AI268" s="10" t="str">
        <f>IFERROR(VLOOKUP(B268,'Pre-Summary'!$AZ$6:$BE$65,5,FALSE),"")</f>
        <v/>
      </c>
      <c r="AJ268" s="10" t="str">
        <f>IFERROR(VLOOKUP(B268,'Pre-Summary'!$AZ$6:$BE$65,4,FALSE),"")</f>
        <v/>
      </c>
      <c r="AK268" s="10" t="str">
        <f>IFERROR(VLOOKUP(B268,'Pre-Summary'!$AZ$6:$BE$65,6,FALSE),"")</f>
        <v/>
      </c>
      <c r="AL268" s="10" t="str">
        <f>IFERROR(VLOOKUP(B268,'Pre-Summary'!$BG$6:$BL$44,3,FALSE),"")</f>
        <v/>
      </c>
      <c r="AM268" s="10" t="str">
        <f>IFERROR(VLOOKUP(B268,'Pre-Summary'!$BG$6:$BL$44,4,FALSE),"")</f>
        <v/>
      </c>
    </row>
    <row r="269" spans="2:39" ht="15" customHeight="1" x14ac:dyDescent="0.3">
      <c r="B269">
        <v>26.6</v>
      </c>
      <c r="C269" t="str">
        <f>IFERROR(VLOOKUP(B269,'Pre-Summary'!$DI$6:$DM$23,4,FALSE),"")</f>
        <v/>
      </c>
      <c r="D269" s="10" t="str">
        <f>IFERROR(VLOOKUP(B269,'Pre-Summary'!$AT$6:$AX$14,5,FALSE),D268)</f>
        <v>DSMZ v1.5: Using DSMZ 120 with NaHCO3</v>
      </c>
      <c r="E269" s="10" t="str">
        <f>IFERROR(VLOOKUP(B269,'Pre-Summary'!$AT$6:$AX$15,4,FALSE),"")</f>
        <v/>
      </c>
      <c r="F269">
        <f>IFERROR(VLOOKUP(B269,'Pre-Summary'!$AL$6:$AQ$13,6,FALSE),F268)</f>
        <v>0</v>
      </c>
      <c r="G269" t="str">
        <f>IFERROR(VLOOKUP(B269,'Pre-Summary'!$AE$6:$AJ$85,3,FALSE),"")</f>
        <v/>
      </c>
      <c r="H269" t="str">
        <f>IFERROR(VLOOKUP(B269,'Pre-Summary'!$AE$6:$AJ$85,4,FALSE),"")</f>
        <v/>
      </c>
      <c r="I269" t="str">
        <f>IFERROR(VLOOKUP(B269,'Pre-Summary'!$AE$6:$AJ$85,5,FALSE),"")</f>
        <v/>
      </c>
      <c r="J269" s="45" t="str">
        <f>IFERROR(VLOOKUP(B269,'Pre-Summary'!$AE$6:$AJ$85,6, FALSE),"")</f>
        <v/>
      </c>
      <c r="K269" s="45" t="str">
        <f>IFERROR(VLOOKUP(B269,'Pre-Summary'!$DE$6:$DG$61,3,FALSE),"")</f>
        <v/>
      </c>
      <c r="L269" s="45" t="str">
        <f>IFERROR(VLOOKUP(B269,'Pre-Summary'!$CU$6:$CW$36,3,FALSE),"")</f>
        <v/>
      </c>
      <c r="M269" s="45" t="str">
        <f>IFERROR(VLOOKUP(B269,'Pre-Summary'!$BW$6:$BY$58,2,FALSE),"")</f>
        <v/>
      </c>
      <c r="N269" s="45" t="str">
        <f>IFERROR(VLOOKUP(B269,'Pre-Summary'!$CD$6:$CF$64,2,FALSE),"")</f>
        <v/>
      </c>
      <c r="O269" s="99">
        <f>IFERROR(VLOOKUP(B269,'Pre-Summary'!$BO$6:$BQ$48,3, FALSE),O268)</f>
        <v>1.0915248032216731</v>
      </c>
      <c r="P269" s="99">
        <f>IFERROR(VLOOKUP(B269,'Pre-Summary'!$BS$6:$BU$35,3,FALSE),P268)</f>
        <v>0.25</v>
      </c>
      <c r="Q269" s="54">
        <f t="shared" si="12"/>
        <v>4.3660992128866924</v>
      </c>
      <c r="R269" s="53">
        <f>IFERROR(VLOOKUP(B269,'Pre-Summary'!$BG$6:$BM$44,7,FALSE),R270)</f>
        <v>2.7904161219319636E-2</v>
      </c>
      <c r="S269" s="53">
        <f>IFERROR(VLOOKUP(B269,'Pre-Summary'!$BG$6:$BM$44,6,FALSE),S270)</f>
        <v>3.3978715219895171E-2</v>
      </c>
      <c r="T269" s="45" t="str">
        <f>IFERROR(VLOOKUP(B269,'Pre-Summary'!$Y$6:$AC$83, 3,FALSE),"")</f>
        <v/>
      </c>
      <c r="U269" s="45" t="str">
        <f>IFERROR(VLOOKUP(B269,'Pre-Summary'!$Y$6:$AC$83, 4,FALSE),"")</f>
        <v/>
      </c>
      <c r="V269" t="str">
        <f>IFERROR(VLOOKUP(B269,'Pre-Summary'!$Y$6:$AC$83, 5,FALSE),"")</f>
        <v/>
      </c>
      <c r="W269" s="45" t="str">
        <f>IFERROR(VLOOKUP(B269,'Pre-Summary'!$Y$6:$AD$83,6,FALSE),"")</f>
        <v/>
      </c>
      <c r="X269" t="str">
        <f>IFERROR(VLOOKUP('Pre-Summary'!$DB$6:$DD$63,3,FALSE),"")</f>
        <v/>
      </c>
      <c r="Y269" t="str">
        <f>IFERROR(VLOOKUP(B269,'Pre-Summary'!$CR$6:$CT$36,3,FALSE),"")</f>
        <v/>
      </c>
      <c r="Z269" s="45" t="str">
        <f>IFERROR(VLOOKUP(B269,'Pre-Summary'!$BZ$6:$CB$63,2,FALSE),"")</f>
        <v/>
      </c>
      <c r="AA269" s="45" t="str">
        <f>IFERROR(VLOOKUP(B269,'Pre-Summary'!$CG$6:$CI$70,2,FALSE),"")</f>
        <v/>
      </c>
      <c r="AB269" s="99">
        <f>IFERROR(VLOOKUP(B269,'Pre-Summary'!$A$6:$P$178,9,FALSE),AB270)</f>
        <v>1.0067180186389197</v>
      </c>
      <c r="AC269" s="10">
        <f>IFERROR(VLOOKUP(Summary!B269,'Pre-Summary'!$A$6:$P$184,5, FALSE)/100,AC270)</f>
        <v>0.115633</v>
      </c>
      <c r="AD269" s="10">
        <f>IFERROR(VLOOKUP(Summary!B269,'Pre-Summary'!$A$6:$P$184,3, FALSE)/100,AD270)</f>
        <v>0.88127200000000006</v>
      </c>
      <c r="AE269" s="10">
        <f>IFERROR(VLOOKUP(Summary!B269,'Pre-Summary'!$A$6:$P$184,7, FALSE)/100,AE270)</f>
        <v>3.0949999999999992E-3</v>
      </c>
      <c r="AF269" s="99">
        <f t="shared" si="13"/>
        <v>0.88719240172195812</v>
      </c>
      <c r="AG269" s="99">
        <f t="shared" si="14"/>
        <v>3.115792267687456E-3</v>
      </c>
      <c r="AH269" s="10" t="str">
        <f>IFERROR(VLOOKUP(B269,'Pre-Summary'!$AZ$6:$BE$65,3,FALSE),"")</f>
        <v/>
      </c>
      <c r="AI269" s="10" t="str">
        <f>IFERROR(VLOOKUP(B269,'Pre-Summary'!$AZ$6:$BE$65,5,FALSE),"")</f>
        <v/>
      </c>
      <c r="AJ269" s="10" t="str">
        <f>IFERROR(VLOOKUP(B269,'Pre-Summary'!$AZ$6:$BE$65,4,FALSE),"")</f>
        <v/>
      </c>
      <c r="AK269" s="10" t="str">
        <f>IFERROR(VLOOKUP(B269,'Pre-Summary'!$AZ$6:$BE$65,6,FALSE),"")</f>
        <v/>
      </c>
      <c r="AL269" s="10" t="str">
        <f>IFERROR(VLOOKUP(B269,'Pre-Summary'!$BG$6:$BL$44,3,FALSE),"")</f>
        <v/>
      </c>
      <c r="AM269" s="10" t="str">
        <f>IFERROR(VLOOKUP(B269,'Pre-Summary'!$BG$6:$BL$44,4,FALSE),"")</f>
        <v/>
      </c>
    </row>
    <row r="270" spans="2:39" ht="15" customHeight="1" x14ac:dyDescent="0.3">
      <c r="B270">
        <v>26.7</v>
      </c>
      <c r="C270" t="str">
        <f>IFERROR(VLOOKUP(B270,'Pre-Summary'!$DI$6:$DM$23,4,FALSE),"")</f>
        <v/>
      </c>
      <c r="D270" s="10" t="str">
        <f>IFERROR(VLOOKUP(B270,'Pre-Summary'!$AT$6:$AX$14,5,FALSE),D269)</f>
        <v>DSMZ v1.5: Using DSMZ 120 with NaHCO3</v>
      </c>
      <c r="E270" s="10" t="str">
        <f>IFERROR(VLOOKUP(B270,'Pre-Summary'!$AT$6:$AX$15,4,FALSE),"")</f>
        <v/>
      </c>
      <c r="F270">
        <f>IFERROR(VLOOKUP(B270,'Pre-Summary'!$AL$6:$AQ$13,6,FALSE),F269)</f>
        <v>0</v>
      </c>
      <c r="G270" t="str">
        <f>IFERROR(VLOOKUP(B270,'Pre-Summary'!$AE$6:$AJ$85,3,FALSE),"")</f>
        <v/>
      </c>
      <c r="H270" t="str">
        <f>IFERROR(VLOOKUP(B270,'Pre-Summary'!$AE$6:$AJ$85,4,FALSE),"")</f>
        <v/>
      </c>
      <c r="I270" t="str">
        <f>IFERROR(VLOOKUP(B270,'Pre-Summary'!$AE$6:$AJ$85,5,FALSE),"")</f>
        <v/>
      </c>
      <c r="J270" s="45" t="str">
        <f>IFERROR(VLOOKUP(B270,'Pre-Summary'!$AE$6:$AJ$85,6, FALSE),"")</f>
        <v/>
      </c>
      <c r="K270" s="45" t="str">
        <f>IFERROR(VLOOKUP(B270,'Pre-Summary'!$DE$6:$DG$61,3,FALSE),"")</f>
        <v/>
      </c>
      <c r="L270" s="45" t="str">
        <f>IFERROR(VLOOKUP(B270,'Pre-Summary'!$CU$6:$CW$36,3,FALSE),"")</f>
        <v/>
      </c>
      <c r="M270" s="45" t="str">
        <f>IFERROR(VLOOKUP(B270,'Pre-Summary'!$BW$6:$BY$58,2,FALSE),"")</f>
        <v/>
      </c>
      <c r="N270" s="45" t="str">
        <f>IFERROR(VLOOKUP(B270,'Pre-Summary'!$CD$6:$CF$64,2,FALSE),"")</f>
        <v/>
      </c>
      <c r="O270" s="99">
        <f>IFERROR(VLOOKUP(B270,'Pre-Summary'!$BO$6:$BQ$48,3, FALSE),O269)</f>
        <v>1.0915248032216731</v>
      </c>
      <c r="P270" s="99">
        <f>IFERROR(VLOOKUP(B270,'Pre-Summary'!$BS$6:$BU$35,3,FALSE),P269)</f>
        <v>0.25</v>
      </c>
      <c r="Q270" s="54">
        <f t="shared" si="12"/>
        <v>4.3660992128866924</v>
      </c>
      <c r="R270" s="53">
        <f>IFERROR(VLOOKUP(B270,'Pre-Summary'!$BG$6:$BM$44,7,FALSE),R271)</f>
        <v>2.7904161219319636E-2</v>
      </c>
      <c r="S270" s="53">
        <f>IFERROR(VLOOKUP(B270,'Pre-Summary'!$BG$6:$BM$44,6,FALSE),S271)</f>
        <v>3.3978715219895171E-2</v>
      </c>
      <c r="T270" s="45" t="str">
        <f>IFERROR(VLOOKUP(B270,'Pre-Summary'!$Y$6:$AC$83, 3,FALSE),"")</f>
        <v/>
      </c>
      <c r="U270" s="45" t="str">
        <f>IFERROR(VLOOKUP(B270,'Pre-Summary'!$Y$6:$AC$83, 4,FALSE),"")</f>
        <v/>
      </c>
      <c r="V270" t="str">
        <f>IFERROR(VLOOKUP(B270,'Pre-Summary'!$Y$6:$AC$83, 5,FALSE),"")</f>
        <v/>
      </c>
      <c r="W270" s="45" t="str">
        <f>IFERROR(VLOOKUP(B270,'Pre-Summary'!$Y$6:$AD$83,6,FALSE),"")</f>
        <v/>
      </c>
      <c r="X270" t="str">
        <f>IFERROR(VLOOKUP('Pre-Summary'!$DB$6:$DD$63,3,FALSE),"")</f>
        <v/>
      </c>
      <c r="Y270" t="str">
        <f>IFERROR(VLOOKUP(B270,'Pre-Summary'!$CR$6:$CT$36,3,FALSE),"")</f>
        <v/>
      </c>
      <c r="Z270" s="45" t="str">
        <f>IFERROR(VLOOKUP(B270,'Pre-Summary'!$BZ$6:$CB$63,2,FALSE),"")</f>
        <v/>
      </c>
      <c r="AA270" s="45" t="str">
        <f>IFERROR(VLOOKUP(B270,'Pre-Summary'!$CG$6:$CI$70,2,FALSE),"")</f>
        <v/>
      </c>
      <c r="AB270" s="99">
        <f>IFERROR(VLOOKUP(B270,'Pre-Summary'!$A$6:$P$178,9,FALSE),AB271)</f>
        <v>1.0067180186389197</v>
      </c>
      <c r="AC270" s="10">
        <f>IFERROR(VLOOKUP(Summary!B270,'Pre-Summary'!$A$6:$P$184,5, FALSE)/100,AC271)</f>
        <v>0.115633</v>
      </c>
      <c r="AD270" s="10">
        <f>IFERROR(VLOOKUP(Summary!B270,'Pre-Summary'!$A$6:$P$184,3, FALSE)/100,AD271)</f>
        <v>0.88127200000000006</v>
      </c>
      <c r="AE270" s="10">
        <f>IFERROR(VLOOKUP(Summary!B270,'Pre-Summary'!$A$6:$P$184,7, FALSE)/100,AE271)</f>
        <v>3.0949999999999992E-3</v>
      </c>
      <c r="AF270" s="99">
        <f t="shared" si="13"/>
        <v>0.88719240172195812</v>
      </c>
      <c r="AG270" s="99">
        <f t="shared" si="14"/>
        <v>3.115792267687456E-3</v>
      </c>
      <c r="AH270" s="10" t="str">
        <f>IFERROR(VLOOKUP(B270,'Pre-Summary'!$AZ$6:$BE$65,3,FALSE),"")</f>
        <v/>
      </c>
      <c r="AI270" s="10" t="str">
        <f>IFERROR(VLOOKUP(B270,'Pre-Summary'!$AZ$6:$BE$65,5,FALSE),"")</f>
        <v/>
      </c>
      <c r="AJ270" s="10" t="str">
        <f>IFERROR(VLOOKUP(B270,'Pre-Summary'!$AZ$6:$BE$65,4,FALSE),"")</f>
        <v/>
      </c>
      <c r="AK270" s="10" t="str">
        <f>IFERROR(VLOOKUP(B270,'Pre-Summary'!$AZ$6:$BE$65,6,FALSE),"")</f>
        <v/>
      </c>
      <c r="AL270" s="10" t="str">
        <f>IFERROR(VLOOKUP(B270,'Pre-Summary'!$BG$6:$BL$44,3,FALSE),"")</f>
        <v/>
      </c>
      <c r="AM270" s="10" t="str">
        <f>IFERROR(VLOOKUP(B270,'Pre-Summary'!$BG$6:$BL$44,4,FALSE),"")</f>
        <v/>
      </c>
    </row>
    <row r="271" spans="2:39" ht="15" customHeight="1" x14ac:dyDescent="0.3">
      <c r="B271">
        <v>26.8</v>
      </c>
      <c r="C271" t="str">
        <f>IFERROR(VLOOKUP(B271,'Pre-Summary'!$DI$6:$DM$23,4,FALSE),"")</f>
        <v/>
      </c>
      <c r="D271" s="10" t="str">
        <f>IFERROR(VLOOKUP(B271,'Pre-Summary'!$AT$6:$AX$14,5,FALSE),D270)</f>
        <v>DSMZ v1.5: Using DSMZ 120 with NaHCO3</v>
      </c>
      <c r="E271" s="10" t="str">
        <f>IFERROR(VLOOKUP(B271,'Pre-Summary'!$AT$6:$AX$15,4,FALSE),"")</f>
        <v/>
      </c>
      <c r="F271">
        <f>IFERROR(VLOOKUP(B271,'Pre-Summary'!$AL$6:$AQ$13,6,FALSE),F270)</f>
        <v>0</v>
      </c>
      <c r="G271" t="str">
        <f>IFERROR(VLOOKUP(B271,'Pre-Summary'!$AE$6:$AJ$85,3,FALSE),"")</f>
        <v/>
      </c>
      <c r="H271" t="str">
        <f>IFERROR(VLOOKUP(B271,'Pre-Summary'!$AE$6:$AJ$85,4,FALSE),"")</f>
        <v/>
      </c>
      <c r="I271" t="str">
        <f>IFERROR(VLOOKUP(B271,'Pre-Summary'!$AE$6:$AJ$85,5,FALSE),"")</f>
        <v/>
      </c>
      <c r="J271" s="45" t="str">
        <f>IFERROR(VLOOKUP(B271,'Pre-Summary'!$AE$6:$AJ$85,6, FALSE),"")</f>
        <v/>
      </c>
      <c r="K271" s="45" t="str">
        <f>IFERROR(VLOOKUP(B271,'Pre-Summary'!$DE$6:$DG$61,3,FALSE),"")</f>
        <v/>
      </c>
      <c r="L271" s="45" t="str">
        <f>IFERROR(VLOOKUP(B271,'Pre-Summary'!$CU$6:$CW$36,3,FALSE),"")</f>
        <v/>
      </c>
      <c r="M271" s="45" t="str">
        <f>IFERROR(VLOOKUP(B271,'Pre-Summary'!$BW$6:$BY$58,2,FALSE),"")</f>
        <v/>
      </c>
      <c r="N271" s="45" t="str">
        <f>IFERROR(VLOOKUP(B271,'Pre-Summary'!$CD$6:$CF$64,2,FALSE),"")</f>
        <v/>
      </c>
      <c r="O271" s="99">
        <f>IFERROR(VLOOKUP(B271,'Pre-Summary'!$BO$6:$BQ$48,3, FALSE),O270)</f>
        <v>1.0915248032216731</v>
      </c>
      <c r="P271" s="99">
        <f>IFERROR(VLOOKUP(B271,'Pre-Summary'!$BS$6:$BU$35,3,FALSE),P270)</f>
        <v>0.25</v>
      </c>
      <c r="Q271" s="54">
        <f t="shared" si="12"/>
        <v>4.3660992128866924</v>
      </c>
      <c r="R271" s="53">
        <f>IFERROR(VLOOKUP(B271,'Pre-Summary'!$BG$6:$BM$44,7,FALSE),R272)</f>
        <v>2.7904161219319636E-2</v>
      </c>
      <c r="S271" s="53">
        <f>IFERROR(VLOOKUP(B271,'Pre-Summary'!$BG$6:$BM$44,6,FALSE),S272)</f>
        <v>3.3978715219895171E-2</v>
      </c>
      <c r="T271" s="45" t="str">
        <f>IFERROR(VLOOKUP(B271,'Pre-Summary'!$Y$6:$AC$83, 3,FALSE),"")</f>
        <v/>
      </c>
      <c r="U271" s="45" t="str">
        <f>IFERROR(VLOOKUP(B271,'Pre-Summary'!$Y$6:$AC$83, 4,FALSE),"")</f>
        <v/>
      </c>
      <c r="V271" t="str">
        <f>IFERROR(VLOOKUP(B271,'Pre-Summary'!$Y$6:$AC$83, 5,FALSE),"")</f>
        <v/>
      </c>
      <c r="W271" s="45" t="str">
        <f>IFERROR(VLOOKUP(B271,'Pre-Summary'!$Y$6:$AD$83,6,FALSE),"")</f>
        <v/>
      </c>
      <c r="X271" t="str">
        <f>IFERROR(VLOOKUP('Pre-Summary'!$DB$6:$DD$63,3,FALSE),"")</f>
        <v/>
      </c>
      <c r="Y271" t="str">
        <f>IFERROR(VLOOKUP(B271,'Pre-Summary'!$CR$6:$CT$36,3,FALSE),"")</f>
        <v/>
      </c>
      <c r="Z271" s="45" t="str">
        <f>IFERROR(VLOOKUP(B271,'Pre-Summary'!$BZ$6:$CB$63,2,FALSE),"")</f>
        <v/>
      </c>
      <c r="AA271" s="45" t="str">
        <f>IFERROR(VLOOKUP(B271,'Pre-Summary'!$CG$6:$CI$70,2,FALSE),"")</f>
        <v/>
      </c>
      <c r="AB271" s="99">
        <f>IFERROR(VLOOKUP(B271,'Pre-Summary'!$A$6:$P$178,9,FALSE),AB272)</f>
        <v>1.0067180186389197</v>
      </c>
      <c r="AC271" s="10">
        <f>IFERROR(VLOOKUP(Summary!B271,'Pre-Summary'!$A$6:$P$184,5, FALSE)/100,AC272)</f>
        <v>0.115633</v>
      </c>
      <c r="AD271" s="10">
        <f>IFERROR(VLOOKUP(Summary!B271,'Pre-Summary'!$A$6:$P$184,3, FALSE)/100,AD272)</f>
        <v>0.88127200000000006</v>
      </c>
      <c r="AE271" s="10">
        <f>IFERROR(VLOOKUP(Summary!B271,'Pre-Summary'!$A$6:$P$184,7, FALSE)/100,AE272)</f>
        <v>3.0949999999999992E-3</v>
      </c>
      <c r="AF271" s="99">
        <f t="shared" si="13"/>
        <v>0.88719240172195812</v>
      </c>
      <c r="AG271" s="99">
        <f t="shared" si="14"/>
        <v>3.115792267687456E-3</v>
      </c>
      <c r="AH271" s="10" t="str">
        <f>IFERROR(VLOOKUP(B271,'Pre-Summary'!$AZ$6:$BE$65,3,FALSE),"")</f>
        <v/>
      </c>
      <c r="AI271" s="10" t="str">
        <f>IFERROR(VLOOKUP(B271,'Pre-Summary'!$AZ$6:$BE$65,5,FALSE),"")</f>
        <v/>
      </c>
      <c r="AJ271" s="10" t="str">
        <f>IFERROR(VLOOKUP(B271,'Pre-Summary'!$AZ$6:$BE$65,4,FALSE),"")</f>
        <v/>
      </c>
      <c r="AK271" s="10" t="str">
        <f>IFERROR(VLOOKUP(B271,'Pre-Summary'!$AZ$6:$BE$65,6,FALSE),"")</f>
        <v/>
      </c>
      <c r="AL271" s="10" t="str">
        <f>IFERROR(VLOOKUP(B271,'Pre-Summary'!$BG$6:$BL$44,3,FALSE),"")</f>
        <v/>
      </c>
      <c r="AM271" s="10" t="str">
        <f>IFERROR(VLOOKUP(B271,'Pre-Summary'!$BG$6:$BL$44,4,FALSE),"")</f>
        <v/>
      </c>
    </row>
    <row r="272" spans="2:39" ht="15" customHeight="1" x14ac:dyDescent="0.3">
      <c r="B272">
        <v>26.9</v>
      </c>
      <c r="C272" t="str">
        <f>IFERROR(VLOOKUP(B272,'Pre-Summary'!$DI$6:$DM$23,4,FALSE),"")</f>
        <v/>
      </c>
      <c r="D272" s="10" t="str">
        <f>IFERROR(VLOOKUP(B272,'Pre-Summary'!$AT$6:$AX$14,5,FALSE),D271)</f>
        <v>DSMZ v1.5: Using DSMZ 120 with NaHCO3</v>
      </c>
      <c r="E272" s="10" t="str">
        <f>IFERROR(VLOOKUP(B272,'Pre-Summary'!$AT$6:$AX$15,4,FALSE),"")</f>
        <v/>
      </c>
      <c r="F272">
        <f>IFERROR(VLOOKUP(B272,'Pre-Summary'!$AL$6:$AQ$13,6,FALSE),F271)</f>
        <v>0</v>
      </c>
      <c r="G272" t="str">
        <f>IFERROR(VLOOKUP(B272,'Pre-Summary'!$AE$6:$AJ$85,3,FALSE),"")</f>
        <v/>
      </c>
      <c r="H272" t="str">
        <f>IFERROR(VLOOKUP(B272,'Pre-Summary'!$AE$6:$AJ$85,4,FALSE),"")</f>
        <v/>
      </c>
      <c r="I272" t="str">
        <f>IFERROR(VLOOKUP(B272,'Pre-Summary'!$AE$6:$AJ$85,5,FALSE),"")</f>
        <v/>
      </c>
      <c r="J272" s="45" t="str">
        <f>IFERROR(VLOOKUP(B272,'Pre-Summary'!$AE$6:$AJ$85,6, FALSE),"")</f>
        <v/>
      </c>
      <c r="K272" s="45" t="str">
        <f>IFERROR(VLOOKUP(B272,'Pre-Summary'!$DE$6:$DG$61,3,FALSE),"")</f>
        <v/>
      </c>
      <c r="L272" s="45" t="str">
        <f>IFERROR(VLOOKUP(B272,'Pre-Summary'!$CU$6:$CW$36,3,FALSE),"")</f>
        <v/>
      </c>
      <c r="M272" s="45" t="str">
        <f>IFERROR(VLOOKUP(B272,'Pre-Summary'!$BW$6:$BY$58,2,FALSE),"")</f>
        <v/>
      </c>
      <c r="N272" s="45" t="str">
        <f>IFERROR(VLOOKUP(B272,'Pre-Summary'!$CD$6:$CF$64,2,FALSE),"")</f>
        <v/>
      </c>
      <c r="O272" s="99">
        <f>IFERROR(VLOOKUP(B272,'Pre-Summary'!$BO$6:$BQ$48,3, FALSE),O271)</f>
        <v>1.0915248032216731</v>
      </c>
      <c r="P272" s="99">
        <f>IFERROR(VLOOKUP(B272,'Pre-Summary'!$BS$6:$BU$35,3,FALSE),P271)</f>
        <v>0.25</v>
      </c>
      <c r="Q272" s="54">
        <f t="shared" si="12"/>
        <v>4.3660992128866924</v>
      </c>
      <c r="R272" s="53">
        <f>IFERROR(VLOOKUP(B272,'Pre-Summary'!$BG$6:$BM$44,7,FALSE),R273)</f>
        <v>2.7904161219319636E-2</v>
      </c>
      <c r="S272" s="53">
        <f>IFERROR(VLOOKUP(B272,'Pre-Summary'!$BG$6:$BM$44,6,FALSE),S273)</f>
        <v>3.3978715219895171E-2</v>
      </c>
      <c r="T272" s="45" t="str">
        <f>IFERROR(VLOOKUP(B272,'Pre-Summary'!$Y$6:$AC$83, 3,FALSE),"")</f>
        <v/>
      </c>
      <c r="U272" s="45" t="str">
        <f>IFERROR(VLOOKUP(B272,'Pre-Summary'!$Y$6:$AC$83, 4,FALSE),"")</f>
        <v/>
      </c>
      <c r="V272" t="str">
        <f>IFERROR(VLOOKUP(B272,'Pre-Summary'!$Y$6:$AC$83, 5,FALSE),"")</f>
        <v/>
      </c>
      <c r="W272" s="45" t="str">
        <f>IFERROR(VLOOKUP(B272,'Pre-Summary'!$Y$6:$AD$83,6,FALSE),"")</f>
        <v/>
      </c>
      <c r="X272" t="str">
        <f>IFERROR(VLOOKUP('Pre-Summary'!$DB$6:$DD$63,3,FALSE),"")</f>
        <v/>
      </c>
      <c r="Y272" t="str">
        <f>IFERROR(VLOOKUP(B272,'Pre-Summary'!$CR$6:$CT$36,3,FALSE),"")</f>
        <v/>
      </c>
      <c r="Z272" s="45" t="str">
        <f>IFERROR(VLOOKUP(B272,'Pre-Summary'!$BZ$6:$CB$63,2,FALSE),"")</f>
        <v/>
      </c>
      <c r="AA272" s="45" t="str">
        <f>IFERROR(VLOOKUP(B272,'Pre-Summary'!$CG$6:$CI$70,2,FALSE),"")</f>
        <v/>
      </c>
      <c r="AB272" s="99">
        <f>IFERROR(VLOOKUP(B272,'Pre-Summary'!$A$6:$P$178,9,FALSE),AB273)</f>
        <v>1.0067180186389197</v>
      </c>
      <c r="AC272" s="10">
        <f>IFERROR(VLOOKUP(Summary!B272,'Pre-Summary'!$A$6:$P$184,5, FALSE)/100,AC273)</f>
        <v>0.115633</v>
      </c>
      <c r="AD272" s="10">
        <f>IFERROR(VLOOKUP(Summary!B272,'Pre-Summary'!$A$6:$P$184,3, FALSE)/100,AD273)</f>
        <v>0.88127200000000006</v>
      </c>
      <c r="AE272" s="10">
        <f>IFERROR(VLOOKUP(Summary!B272,'Pre-Summary'!$A$6:$P$184,7, FALSE)/100,AE273)</f>
        <v>3.0949999999999992E-3</v>
      </c>
      <c r="AF272" s="99">
        <f t="shared" si="13"/>
        <v>0.88719240172195812</v>
      </c>
      <c r="AG272" s="99">
        <f t="shared" si="14"/>
        <v>3.115792267687456E-3</v>
      </c>
      <c r="AH272" s="10" t="str">
        <f>IFERROR(VLOOKUP(B272,'Pre-Summary'!$AZ$6:$BE$65,3,FALSE),"")</f>
        <v/>
      </c>
      <c r="AI272" s="10" t="str">
        <f>IFERROR(VLOOKUP(B272,'Pre-Summary'!$AZ$6:$BE$65,5,FALSE),"")</f>
        <v/>
      </c>
      <c r="AJ272" s="10" t="str">
        <f>IFERROR(VLOOKUP(B272,'Pre-Summary'!$AZ$6:$BE$65,4,FALSE),"")</f>
        <v/>
      </c>
      <c r="AK272" s="10" t="str">
        <f>IFERROR(VLOOKUP(B272,'Pre-Summary'!$AZ$6:$BE$65,6,FALSE),"")</f>
        <v/>
      </c>
      <c r="AL272" s="10" t="str">
        <f>IFERROR(VLOOKUP(B272,'Pre-Summary'!$BG$6:$BL$44,3,FALSE),"")</f>
        <v/>
      </c>
      <c r="AM272" s="10" t="str">
        <f>IFERROR(VLOOKUP(B272,'Pre-Summary'!$BG$6:$BL$44,4,FALSE),"")</f>
        <v/>
      </c>
    </row>
    <row r="273" spans="2:39" ht="15" customHeight="1" x14ac:dyDescent="0.3">
      <c r="B273">
        <v>27</v>
      </c>
      <c r="C273" t="str">
        <f>IFERROR(VLOOKUP(B273,'Pre-Summary'!$DI$6:$DM$23,4,FALSE),"")</f>
        <v/>
      </c>
      <c r="D273" s="10" t="str">
        <f>IFERROR(VLOOKUP(B273,'Pre-Summary'!$AT$6:$AX$14,5,FALSE),D272)</f>
        <v>DSMZ v1.5: Using DSMZ 120 with NaHCO3</v>
      </c>
      <c r="E273" s="10" t="str">
        <f>IFERROR(VLOOKUP(B273,'Pre-Summary'!$AT$6:$AX$15,4,FALSE),"")</f>
        <v/>
      </c>
      <c r="F273">
        <f>IFERROR(VLOOKUP(B273,'Pre-Summary'!$AL$6:$AQ$13,6,FALSE),F272)</f>
        <v>0</v>
      </c>
      <c r="G273" t="str">
        <f>IFERROR(VLOOKUP(B273,'Pre-Summary'!$AE$6:$AJ$85,3,FALSE),"")</f>
        <v/>
      </c>
      <c r="H273" t="str">
        <f>IFERROR(VLOOKUP(B273,'Pre-Summary'!$AE$6:$AJ$85,4,FALSE),"")</f>
        <v/>
      </c>
      <c r="I273" t="str">
        <f>IFERROR(VLOOKUP(B273,'Pre-Summary'!$AE$6:$AJ$85,5,FALSE),"")</f>
        <v/>
      </c>
      <c r="J273" s="45" t="str">
        <f>IFERROR(VLOOKUP(B273,'Pre-Summary'!$AE$6:$AJ$85,6, FALSE),"")</f>
        <v/>
      </c>
      <c r="K273" s="45" t="str">
        <f>IFERROR(VLOOKUP(B273,'Pre-Summary'!$DE$6:$DG$61,3,FALSE),"")</f>
        <v/>
      </c>
      <c r="L273" s="45" t="str">
        <f>IFERROR(VLOOKUP(B273,'Pre-Summary'!$CU$6:$CW$36,3,FALSE),"")</f>
        <v/>
      </c>
      <c r="M273" s="45" t="str">
        <f>IFERROR(VLOOKUP(B273,'Pre-Summary'!$BW$6:$BY$58,2,FALSE),"")</f>
        <v/>
      </c>
      <c r="N273" s="45" t="str">
        <f>IFERROR(VLOOKUP(B273,'Pre-Summary'!$CD$6:$CF$64,2,FALSE),"")</f>
        <v/>
      </c>
      <c r="O273" s="99">
        <f>IFERROR(VLOOKUP(B273,'Pre-Summary'!$BO$6:$BQ$48,3, FALSE),O272)</f>
        <v>1.0915248032216731</v>
      </c>
      <c r="P273" s="99">
        <f>IFERROR(VLOOKUP(B273,'Pre-Summary'!$BS$6:$BU$35,3,FALSE),P272)</f>
        <v>0.25</v>
      </c>
      <c r="Q273" s="54">
        <f t="shared" si="12"/>
        <v>4.3660992128866924</v>
      </c>
      <c r="R273" s="53">
        <f>IFERROR(VLOOKUP(B273,'Pre-Summary'!$BG$6:$BM$44,7,FALSE),R274)</f>
        <v>2.7904161219319636E-2</v>
      </c>
      <c r="S273" s="53">
        <f>IFERROR(VLOOKUP(B273,'Pre-Summary'!$BG$6:$BM$44,6,FALSE),S274)</f>
        <v>3.3978715219895171E-2</v>
      </c>
      <c r="T273" s="45" t="str">
        <f>IFERROR(VLOOKUP(B273,'Pre-Summary'!$Y$6:$AC$83, 3,FALSE),"")</f>
        <v/>
      </c>
      <c r="U273" s="45" t="str">
        <f>IFERROR(VLOOKUP(B273,'Pre-Summary'!$Y$6:$AC$83, 4,FALSE),"")</f>
        <v/>
      </c>
      <c r="V273" t="str">
        <f>IFERROR(VLOOKUP(B273,'Pre-Summary'!$Y$6:$AC$83, 5,FALSE),"")</f>
        <v/>
      </c>
      <c r="W273" s="45" t="str">
        <f>IFERROR(VLOOKUP(B273,'Pre-Summary'!$Y$6:$AD$83,6,FALSE),"")</f>
        <v/>
      </c>
      <c r="X273" t="str">
        <f>IFERROR(VLOOKUP('Pre-Summary'!$DB$6:$DD$63,3,FALSE),"")</f>
        <v/>
      </c>
      <c r="Y273" t="str">
        <f>IFERROR(VLOOKUP(B273,'Pre-Summary'!$CR$6:$CT$36,3,FALSE),"")</f>
        <v/>
      </c>
      <c r="Z273" s="45" t="str">
        <f>IFERROR(VLOOKUP(B273,'Pre-Summary'!$BZ$6:$CB$63,2,FALSE),"")</f>
        <v/>
      </c>
      <c r="AA273" s="45" t="str">
        <f>IFERROR(VLOOKUP(B273,'Pre-Summary'!$CG$6:$CI$70,2,FALSE),"")</f>
        <v/>
      </c>
      <c r="AB273" s="99">
        <f>IFERROR(VLOOKUP(B273,'Pre-Summary'!$A$6:$P$178,9,FALSE),AB274)</f>
        <v>1.0067180186389197</v>
      </c>
      <c r="AC273" s="10">
        <f>IFERROR(VLOOKUP(Summary!B273,'Pre-Summary'!$A$6:$P$184,5, FALSE)/100,AC274)</f>
        <v>0.115633</v>
      </c>
      <c r="AD273" s="10">
        <f>IFERROR(VLOOKUP(Summary!B273,'Pre-Summary'!$A$6:$P$184,3, FALSE)/100,AD274)</f>
        <v>0.88127200000000006</v>
      </c>
      <c r="AE273" s="10">
        <f>IFERROR(VLOOKUP(Summary!B273,'Pre-Summary'!$A$6:$P$184,7, FALSE)/100,AE274)</f>
        <v>3.0949999999999992E-3</v>
      </c>
      <c r="AF273" s="99">
        <f t="shared" si="13"/>
        <v>0.88719240172195812</v>
      </c>
      <c r="AG273" s="99">
        <f t="shared" si="14"/>
        <v>3.115792267687456E-3</v>
      </c>
      <c r="AH273" s="10" t="str">
        <f>IFERROR(VLOOKUP(B273,'Pre-Summary'!$AZ$6:$BE$65,3,FALSE),"")</f>
        <v/>
      </c>
      <c r="AI273" s="10" t="str">
        <f>IFERROR(VLOOKUP(B273,'Pre-Summary'!$AZ$6:$BE$65,5,FALSE),"")</f>
        <v/>
      </c>
      <c r="AJ273" s="10" t="str">
        <f>IFERROR(VLOOKUP(B273,'Pre-Summary'!$AZ$6:$BE$65,4,FALSE),"")</f>
        <v/>
      </c>
      <c r="AK273" s="10" t="str">
        <f>IFERROR(VLOOKUP(B273,'Pre-Summary'!$AZ$6:$BE$65,6,FALSE),"")</f>
        <v/>
      </c>
      <c r="AL273" s="10" t="str">
        <f>IFERROR(VLOOKUP(B273,'Pre-Summary'!$BG$6:$BL$44,3,FALSE),"")</f>
        <v/>
      </c>
      <c r="AM273" s="10" t="str">
        <f>IFERROR(VLOOKUP(B273,'Pre-Summary'!$BG$6:$BL$44,4,FALSE),"")</f>
        <v/>
      </c>
    </row>
    <row r="274" spans="2:39" ht="15" customHeight="1" x14ac:dyDescent="0.3">
      <c r="B274">
        <v>27.1</v>
      </c>
      <c r="C274" t="str">
        <f>IFERROR(VLOOKUP(B274,'Pre-Summary'!$DI$6:$DM$23,4,FALSE),"")</f>
        <v/>
      </c>
      <c r="D274" s="10" t="str">
        <f>IFERROR(VLOOKUP(B274,'Pre-Summary'!$AT$6:$AX$14,5,FALSE),D273)</f>
        <v>DSMZ v1.5: Using DSMZ 120 with NaHCO3</v>
      </c>
      <c r="E274" s="10" t="str">
        <f>IFERROR(VLOOKUP(B274,'Pre-Summary'!$AT$6:$AX$15,4,FALSE),"")</f>
        <v/>
      </c>
      <c r="F274">
        <f>IFERROR(VLOOKUP(B274,'Pre-Summary'!$AL$6:$AQ$13,6,FALSE),F273)</f>
        <v>0</v>
      </c>
      <c r="G274" t="str">
        <f>IFERROR(VLOOKUP(B274,'Pre-Summary'!$AE$6:$AJ$85,3,FALSE),"")</f>
        <v/>
      </c>
      <c r="H274" t="str">
        <f>IFERROR(VLOOKUP(B274,'Pre-Summary'!$AE$6:$AJ$85,4,FALSE),"")</f>
        <v/>
      </c>
      <c r="I274" t="str">
        <f>IFERROR(VLOOKUP(B274,'Pre-Summary'!$AE$6:$AJ$85,5,FALSE),"")</f>
        <v/>
      </c>
      <c r="J274" s="45" t="str">
        <f>IFERROR(VLOOKUP(B274,'Pre-Summary'!$AE$6:$AJ$85,6, FALSE),"")</f>
        <v/>
      </c>
      <c r="K274" s="45" t="str">
        <f>IFERROR(VLOOKUP(B274,'Pre-Summary'!$DE$6:$DG$61,3,FALSE),"")</f>
        <v/>
      </c>
      <c r="L274" s="45" t="str">
        <f>IFERROR(VLOOKUP(B274,'Pre-Summary'!$CU$6:$CW$36,3,FALSE),"")</f>
        <v/>
      </c>
      <c r="M274" s="45" t="str">
        <f>IFERROR(VLOOKUP(B274,'Pre-Summary'!$BW$6:$BY$58,2,FALSE),"")</f>
        <v/>
      </c>
      <c r="N274" s="45" t="str">
        <f>IFERROR(VLOOKUP(B274,'Pre-Summary'!$CD$6:$CF$64,2,FALSE),"")</f>
        <v/>
      </c>
      <c r="O274" s="99">
        <f>IFERROR(VLOOKUP(B274,'Pre-Summary'!$BO$6:$BQ$48,3, FALSE),O273)</f>
        <v>1.0915248032216731</v>
      </c>
      <c r="P274" s="99">
        <f>IFERROR(VLOOKUP(B274,'Pre-Summary'!$BS$6:$BU$35,3,FALSE),P273)</f>
        <v>0.25</v>
      </c>
      <c r="Q274" s="54">
        <f t="shared" si="12"/>
        <v>4.3660992128866924</v>
      </c>
      <c r="R274" s="53">
        <f>IFERROR(VLOOKUP(B274,'Pre-Summary'!$BG$6:$BM$44,7,FALSE),R275)</f>
        <v>2.7904161219319636E-2</v>
      </c>
      <c r="S274" s="53">
        <f>IFERROR(VLOOKUP(B274,'Pre-Summary'!$BG$6:$BM$44,6,FALSE),S275)</f>
        <v>3.3978715219895171E-2</v>
      </c>
      <c r="T274" s="45" t="str">
        <f>IFERROR(VLOOKUP(B274,'Pre-Summary'!$Y$6:$AC$83, 3,FALSE),"")</f>
        <v/>
      </c>
      <c r="U274" s="45" t="str">
        <f>IFERROR(VLOOKUP(B274,'Pre-Summary'!$Y$6:$AC$83, 4,FALSE),"")</f>
        <v/>
      </c>
      <c r="V274" t="str">
        <f>IFERROR(VLOOKUP(B274,'Pre-Summary'!$Y$6:$AC$83, 5,FALSE),"")</f>
        <v/>
      </c>
      <c r="W274" s="45" t="str">
        <f>IFERROR(VLOOKUP(B274,'Pre-Summary'!$Y$6:$AD$83,6,FALSE),"")</f>
        <v/>
      </c>
      <c r="X274" t="str">
        <f>IFERROR(VLOOKUP('Pre-Summary'!$DB$6:$DD$63,3,FALSE),"")</f>
        <v/>
      </c>
      <c r="Y274" t="str">
        <f>IFERROR(VLOOKUP(B274,'Pre-Summary'!$CR$6:$CT$36,3,FALSE),"")</f>
        <v/>
      </c>
      <c r="Z274" s="45" t="str">
        <f>IFERROR(VLOOKUP(B274,'Pre-Summary'!$BZ$6:$CB$63,2,FALSE),"")</f>
        <v/>
      </c>
      <c r="AA274" s="45" t="str">
        <f>IFERROR(VLOOKUP(B274,'Pre-Summary'!$CG$6:$CI$70,2,FALSE),"")</f>
        <v/>
      </c>
      <c r="AB274" s="99">
        <f>IFERROR(VLOOKUP(B274,'Pre-Summary'!$A$6:$P$178,9,FALSE),AB275)</f>
        <v>1.0067180186389197</v>
      </c>
      <c r="AC274" s="10">
        <f>IFERROR(VLOOKUP(Summary!B274,'Pre-Summary'!$A$6:$P$184,5, FALSE)/100,AC275)</f>
        <v>0.115633</v>
      </c>
      <c r="AD274" s="10">
        <f>IFERROR(VLOOKUP(Summary!B274,'Pre-Summary'!$A$6:$P$184,3, FALSE)/100,AD275)</f>
        <v>0.88127200000000006</v>
      </c>
      <c r="AE274" s="10">
        <f>IFERROR(VLOOKUP(Summary!B274,'Pre-Summary'!$A$6:$P$184,7, FALSE)/100,AE275)</f>
        <v>3.0949999999999992E-3</v>
      </c>
      <c r="AF274" s="99">
        <f t="shared" si="13"/>
        <v>0.88719240172195812</v>
      </c>
      <c r="AG274" s="99">
        <f t="shared" si="14"/>
        <v>3.115792267687456E-3</v>
      </c>
      <c r="AH274" s="10" t="str">
        <f>IFERROR(VLOOKUP(B274,'Pre-Summary'!$AZ$6:$BE$65,3,FALSE),"")</f>
        <v/>
      </c>
      <c r="AI274" s="10" t="str">
        <f>IFERROR(VLOOKUP(B274,'Pre-Summary'!$AZ$6:$BE$65,5,FALSE),"")</f>
        <v/>
      </c>
      <c r="AJ274" s="10" t="str">
        <f>IFERROR(VLOOKUP(B274,'Pre-Summary'!$AZ$6:$BE$65,4,FALSE),"")</f>
        <v/>
      </c>
      <c r="AK274" s="10" t="str">
        <f>IFERROR(VLOOKUP(B274,'Pre-Summary'!$AZ$6:$BE$65,6,FALSE),"")</f>
        <v/>
      </c>
      <c r="AL274" s="10" t="str">
        <f>IFERROR(VLOOKUP(B274,'Pre-Summary'!$BG$6:$BL$44,3,FALSE),"")</f>
        <v/>
      </c>
      <c r="AM274" s="10" t="str">
        <f>IFERROR(VLOOKUP(B274,'Pre-Summary'!$BG$6:$BL$44,4,FALSE),"")</f>
        <v/>
      </c>
    </row>
    <row r="275" spans="2:39" ht="15" customHeight="1" x14ac:dyDescent="0.3">
      <c r="B275">
        <v>27.2</v>
      </c>
      <c r="C275" t="str">
        <f>IFERROR(VLOOKUP(B275,'Pre-Summary'!$DI$6:$DM$23,4,FALSE),"")</f>
        <v/>
      </c>
      <c r="D275" s="10" t="str">
        <f>IFERROR(VLOOKUP(B275,'Pre-Summary'!$AT$6:$AX$14,5,FALSE),D274)</f>
        <v>DSMZ v1.5: Using DSMZ 120 with NaHCO3</v>
      </c>
      <c r="E275" s="10" t="str">
        <f>IFERROR(VLOOKUP(B275,'Pre-Summary'!$AT$6:$AX$15,4,FALSE),"")</f>
        <v/>
      </c>
      <c r="F275">
        <f>IFERROR(VLOOKUP(B275,'Pre-Summary'!$AL$6:$AQ$13,6,FALSE),F274)</f>
        <v>0</v>
      </c>
      <c r="G275" t="str">
        <f>IFERROR(VLOOKUP(B275,'Pre-Summary'!$AE$6:$AJ$85,3,FALSE),"")</f>
        <v/>
      </c>
      <c r="H275" t="str">
        <f>IFERROR(VLOOKUP(B275,'Pre-Summary'!$AE$6:$AJ$85,4,FALSE),"")</f>
        <v/>
      </c>
      <c r="I275" t="str">
        <f>IFERROR(VLOOKUP(B275,'Pre-Summary'!$AE$6:$AJ$85,5,FALSE),"")</f>
        <v/>
      </c>
      <c r="J275" s="45" t="str">
        <f>IFERROR(VLOOKUP(B275,'Pre-Summary'!$AE$6:$AJ$85,6, FALSE),"")</f>
        <v/>
      </c>
      <c r="K275" s="45" t="str">
        <f>IFERROR(VLOOKUP(B275,'Pre-Summary'!$DE$6:$DG$61,3,FALSE),"")</f>
        <v/>
      </c>
      <c r="L275" s="45" t="str">
        <f>IFERROR(VLOOKUP(B275,'Pre-Summary'!$CU$6:$CW$36,3,FALSE),"")</f>
        <v/>
      </c>
      <c r="M275" s="45" t="str">
        <f>IFERROR(VLOOKUP(B275,'Pre-Summary'!$BW$6:$BY$58,2,FALSE),"")</f>
        <v/>
      </c>
      <c r="N275" s="45" t="str">
        <f>IFERROR(VLOOKUP(B275,'Pre-Summary'!$CD$6:$CF$64,2,FALSE),"")</f>
        <v/>
      </c>
      <c r="O275" s="99">
        <f>IFERROR(VLOOKUP(B275,'Pre-Summary'!$BO$6:$BQ$48,3, FALSE),O274)</f>
        <v>1.0915248032216731</v>
      </c>
      <c r="P275" s="99">
        <f>IFERROR(VLOOKUP(B275,'Pre-Summary'!$BS$6:$BU$35,3,FALSE),P274)</f>
        <v>0.25</v>
      </c>
      <c r="Q275" s="54">
        <f t="shared" si="12"/>
        <v>4.3660992128866924</v>
      </c>
      <c r="R275" s="53">
        <f>IFERROR(VLOOKUP(B275,'Pre-Summary'!$BG$6:$BM$44,7,FALSE),R276)</f>
        <v>2.7904161219319636E-2</v>
      </c>
      <c r="S275" s="53">
        <f>IFERROR(VLOOKUP(B275,'Pre-Summary'!$BG$6:$BM$44,6,FALSE),S276)</f>
        <v>3.3978715219895171E-2</v>
      </c>
      <c r="T275" s="45" t="str">
        <f>IFERROR(VLOOKUP(B275,'Pre-Summary'!$Y$6:$AC$83, 3,FALSE),"")</f>
        <v/>
      </c>
      <c r="U275" s="45" t="str">
        <f>IFERROR(VLOOKUP(B275,'Pre-Summary'!$Y$6:$AC$83, 4,FALSE),"")</f>
        <v/>
      </c>
      <c r="V275" t="str">
        <f>IFERROR(VLOOKUP(B275,'Pre-Summary'!$Y$6:$AC$83, 5,FALSE),"")</f>
        <v/>
      </c>
      <c r="W275" s="45" t="str">
        <f>IFERROR(VLOOKUP(B275,'Pre-Summary'!$Y$6:$AD$83,6,FALSE),"")</f>
        <v/>
      </c>
      <c r="X275" t="str">
        <f>IFERROR(VLOOKUP('Pre-Summary'!$DB$6:$DD$63,3,FALSE),"")</f>
        <v/>
      </c>
      <c r="Y275" t="str">
        <f>IFERROR(VLOOKUP(B275,'Pre-Summary'!$CR$6:$CT$36,3,FALSE),"")</f>
        <v/>
      </c>
      <c r="Z275" s="45" t="str">
        <f>IFERROR(VLOOKUP(B275,'Pre-Summary'!$BZ$6:$CB$63,2,FALSE),"")</f>
        <v/>
      </c>
      <c r="AA275" s="45" t="str">
        <f>IFERROR(VLOOKUP(B275,'Pre-Summary'!$CG$6:$CI$70,2,FALSE),"")</f>
        <v/>
      </c>
      <c r="AB275" s="99">
        <f>IFERROR(VLOOKUP(B275,'Pre-Summary'!$A$6:$P$178,9,FALSE),AB276)</f>
        <v>1.0067180186389197</v>
      </c>
      <c r="AC275" s="10">
        <f>IFERROR(VLOOKUP(Summary!B275,'Pre-Summary'!$A$6:$P$184,5, FALSE)/100,AC276)</f>
        <v>0.115633</v>
      </c>
      <c r="AD275" s="10">
        <f>IFERROR(VLOOKUP(Summary!B275,'Pre-Summary'!$A$6:$P$184,3, FALSE)/100,AD276)</f>
        <v>0.88127200000000006</v>
      </c>
      <c r="AE275" s="10">
        <f>IFERROR(VLOOKUP(Summary!B275,'Pre-Summary'!$A$6:$P$184,7, FALSE)/100,AE276)</f>
        <v>3.0949999999999992E-3</v>
      </c>
      <c r="AF275" s="99">
        <f t="shared" si="13"/>
        <v>0.88719240172195812</v>
      </c>
      <c r="AG275" s="99">
        <f t="shared" si="14"/>
        <v>3.115792267687456E-3</v>
      </c>
      <c r="AH275" s="10" t="str">
        <f>IFERROR(VLOOKUP(B275,'Pre-Summary'!$AZ$6:$BE$65,3,FALSE),"")</f>
        <v/>
      </c>
      <c r="AI275" s="10" t="str">
        <f>IFERROR(VLOOKUP(B275,'Pre-Summary'!$AZ$6:$BE$65,5,FALSE),"")</f>
        <v/>
      </c>
      <c r="AJ275" s="10" t="str">
        <f>IFERROR(VLOOKUP(B275,'Pre-Summary'!$AZ$6:$BE$65,4,FALSE),"")</f>
        <v/>
      </c>
      <c r="AK275" s="10" t="str">
        <f>IFERROR(VLOOKUP(B275,'Pre-Summary'!$AZ$6:$BE$65,6,FALSE),"")</f>
        <v/>
      </c>
      <c r="AL275" s="10" t="str">
        <f>IFERROR(VLOOKUP(B275,'Pre-Summary'!$BG$6:$BL$44,3,FALSE),"")</f>
        <v/>
      </c>
      <c r="AM275" s="10" t="str">
        <f>IFERROR(VLOOKUP(B275,'Pre-Summary'!$BG$6:$BL$44,4,FALSE),"")</f>
        <v/>
      </c>
    </row>
    <row r="276" spans="2:39" ht="15" customHeight="1" x14ac:dyDescent="0.3">
      <c r="B276">
        <v>27.3</v>
      </c>
      <c r="C276" t="str">
        <f>IFERROR(VLOOKUP(B276,'Pre-Summary'!$DI$6:$DM$23,4,FALSE),"")</f>
        <v/>
      </c>
      <c r="D276" s="10" t="str">
        <f>IFERROR(VLOOKUP(B276,'Pre-Summary'!$AT$6:$AX$14,5,FALSE),D275)</f>
        <v>DSMZ v1.5: Using DSMZ 120 with NaHCO3</v>
      </c>
      <c r="E276" s="10" t="str">
        <f>IFERROR(VLOOKUP(B276,'Pre-Summary'!$AT$6:$AX$15,4,FALSE),"")</f>
        <v/>
      </c>
      <c r="F276">
        <f>IFERROR(VLOOKUP(B276,'Pre-Summary'!$AL$6:$AQ$13,6,FALSE),F275)</f>
        <v>0</v>
      </c>
      <c r="G276" t="str">
        <f>IFERROR(VLOOKUP(B276,'Pre-Summary'!$AE$6:$AJ$85,3,FALSE),"")</f>
        <v/>
      </c>
      <c r="H276" t="str">
        <f>IFERROR(VLOOKUP(B276,'Pre-Summary'!$AE$6:$AJ$85,4,FALSE),"")</f>
        <v/>
      </c>
      <c r="I276" t="str">
        <f>IFERROR(VLOOKUP(B276,'Pre-Summary'!$AE$6:$AJ$85,5,FALSE),"")</f>
        <v/>
      </c>
      <c r="J276" s="45" t="str">
        <f>IFERROR(VLOOKUP(B276,'Pre-Summary'!$AE$6:$AJ$85,6, FALSE),"")</f>
        <v/>
      </c>
      <c r="K276" s="45" t="str">
        <f>IFERROR(VLOOKUP(B276,'Pre-Summary'!$DE$6:$DG$61,3,FALSE),"")</f>
        <v/>
      </c>
      <c r="L276" s="45" t="str">
        <f>IFERROR(VLOOKUP(B276,'Pre-Summary'!$CU$6:$CW$36,3,FALSE),"")</f>
        <v/>
      </c>
      <c r="M276" s="45" t="str">
        <f>IFERROR(VLOOKUP(B276,'Pre-Summary'!$BW$6:$BY$58,2,FALSE),"")</f>
        <v/>
      </c>
      <c r="N276" s="45" t="str">
        <f>IFERROR(VLOOKUP(B276,'Pre-Summary'!$CD$6:$CF$64,2,FALSE),"")</f>
        <v/>
      </c>
      <c r="O276" s="99">
        <f>IFERROR(VLOOKUP(B276,'Pre-Summary'!$BO$6:$BQ$48,3, FALSE),O275)</f>
        <v>1.0915248032216731</v>
      </c>
      <c r="P276" s="99">
        <f>IFERROR(VLOOKUP(B276,'Pre-Summary'!$BS$6:$BU$35,3,FALSE),P275)</f>
        <v>0.25</v>
      </c>
      <c r="Q276" s="54">
        <f t="shared" si="12"/>
        <v>4.3660992128866924</v>
      </c>
      <c r="R276" s="53">
        <f>IFERROR(VLOOKUP(B276,'Pre-Summary'!$BG$6:$BM$44,7,FALSE),R277)</f>
        <v>2.7904161219319636E-2</v>
      </c>
      <c r="S276" s="53">
        <f>IFERROR(VLOOKUP(B276,'Pre-Summary'!$BG$6:$BM$44,6,FALSE),S277)</f>
        <v>3.3978715219895171E-2</v>
      </c>
      <c r="T276" s="45" t="str">
        <f>IFERROR(VLOOKUP(B276,'Pre-Summary'!$Y$6:$AC$83, 3,FALSE),"")</f>
        <v/>
      </c>
      <c r="U276" s="45" t="str">
        <f>IFERROR(VLOOKUP(B276,'Pre-Summary'!$Y$6:$AC$83, 4,FALSE),"")</f>
        <v/>
      </c>
      <c r="V276" t="str">
        <f>IFERROR(VLOOKUP(B276,'Pre-Summary'!$Y$6:$AC$83, 5,FALSE),"")</f>
        <v/>
      </c>
      <c r="W276" s="45" t="str">
        <f>IFERROR(VLOOKUP(B276,'Pre-Summary'!$Y$6:$AD$83,6,FALSE),"")</f>
        <v/>
      </c>
      <c r="X276" t="str">
        <f>IFERROR(VLOOKUP('Pre-Summary'!$DB$6:$DD$63,3,FALSE),"")</f>
        <v/>
      </c>
      <c r="Y276" t="str">
        <f>IFERROR(VLOOKUP(B276,'Pre-Summary'!$CR$6:$CT$36,3,FALSE),"")</f>
        <v/>
      </c>
      <c r="Z276" s="45" t="str">
        <f>IFERROR(VLOOKUP(B276,'Pre-Summary'!$BZ$6:$CB$63,2,FALSE),"")</f>
        <v/>
      </c>
      <c r="AA276" s="45" t="str">
        <f>IFERROR(VLOOKUP(B276,'Pre-Summary'!$CG$6:$CI$70,2,FALSE),"")</f>
        <v/>
      </c>
      <c r="AB276" s="99">
        <f>IFERROR(VLOOKUP(B276,'Pre-Summary'!$A$6:$P$178,9,FALSE),AB277)</f>
        <v>1.0067180186389197</v>
      </c>
      <c r="AC276" s="10">
        <f>IFERROR(VLOOKUP(Summary!B276,'Pre-Summary'!$A$6:$P$184,5, FALSE)/100,AC277)</f>
        <v>0.115633</v>
      </c>
      <c r="AD276" s="10">
        <f>IFERROR(VLOOKUP(Summary!B276,'Pre-Summary'!$A$6:$P$184,3, FALSE)/100,AD277)</f>
        <v>0.88127200000000006</v>
      </c>
      <c r="AE276" s="10">
        <f>IFERROR(VLOOKUP(Summary!B276,'Pre-Summary'!$A$6:$P$184,7, FALSE)/100,AE277)</f>
        <v>3.0949999999999992E-3</v>
      </c>
      <c r="AF276" s="99">
        <f t="shared" si="13"/>
        <v>0.88719240172195812</v>
      </c>
      <c r="AG276" s="99">
        <f t="shared" si="14"/>
        <v>3.115792267687456E-3</v>
      </c>
      <c r="AH276" s="10" t="str">
        <f>IFERROR(VLOOKUP(B276,'Pre-Summary'!$AZ$6:$BE$65,3,FALSE),"")</f>
        <v/>
      </c>
      <c r="AI276" s="10" t="str">
        <f>IFERROR(VLOOKUP(B276,'Pre-Summary'!$AZ$6:$BE$65,5,FALSE),"")</f>
        <v/>
      </c>
      <c r="AJ276" s="10" t="str">
        <f>IFERROR(VLOOKUP(B276,'Pre-Summary'!$AZ$6:$BE$65,4,FALSE),"")</f>
        <v/>
      </c>
      <c r="AK276" s="10" t="str">
        <f>IFERROR(VLOOKUP(B276,'Pre-Summary'!$AZ$6:$BE$65,6,FALSE),"")</f>
        <v/>
      </c>
      <c r="AL276" s="10" t="str">
        <f>IFERROR(VLOOKUP(B276,'Pre-Summary'!$BG$6:$BL$44,3,FALSE),"")</f>
        <v/>
      </c>
      <c r="AM276" s="10" t="str">
        <f>IFERROR(VLOOKUP(B276,'Pre-Summary'!$BG$6:$BL$44,4,FALSE),"")</f>
        <v/>
      </c>
    </row>
    <row r="277" spans="2:39" ht="15" customHeight="1" x14ac:dyDescent="0.3">
      <c r="B277">
        <v>27.4</v>
      </c>
      <c r="C277" t="str">
        <f>IFERROR(VLOOKUP(B277,'Pre-Summary'!$DI$6:$DM$23,4,FALSE),"")</f>
        <v/>
      </c>
      <c r="D277" s="10" t="str">
        <f>IFERROR(VLOOKUP(B277,'Pre-Summary'!$AT$6:$AX$14,5,FALSE),D276)</f>
        <v>DSMZ v1.5: Using DSMZ 120 with NaHCO3</v>
      </c>
      <c r="E277" s="10" t="str">
        <f>IFERROR(VLOOKUP(B277,'Pre-Summary'!$AT$6:$AX$15,4,FALSE),"")</f>
        <v/>
      </c>
      <c r="F277">
        <f>IFERROR(VLOOKUP(B277,'Pre-Summary'!$AL$6:$AQ$13,6,FALSE),F276)</f>
        <v>0</v>
      </c>
      <c r="G277" t="str">
        <f>IFERROR(VLOOKUP(B277,'Pre-Summary'!$AE$6:$AJ$85,3,FALSE),"")</f>
        <v/>
      </c>
      <c r="H277" t="str">
        <f>IFERROR(VLOOKUP(B277,'Pre-Summary'!$AE$6:$AJ$85,4,FALSE),"")</f>
        <v/>
      </c>
      <c r="I277" t="str">
        <f>IFERROR(VLOOKUP(B277,'Pre-Summary'!$AE$6:$AJ$85,5,FALSE),"")</f>
        <v/>
      </c>
      <c r="J277" s="45" t="str">
        <f>IFERROR(VLOOKUP(B277,'Pre-Summary'!$AE$6:$AJ$85,6, FALSE),"")</f>
        <v/>
      </c>
      <c r="K277" s="45" t="str">
        <f>IFERROR(VLOOKUP(B277,'Pre-Summary'!$DE$6:$DG$61,3,FALSE),"")</f>
        <v/>
      </c>
      <c r="L277" s="45" t="str">
        <f>IFERROR(VLOOKUP(B277,'Pre-Summary'!$CU$6:$CW$36,3,FALSE),"")</f>
        <v/>
      </c>
      <c r="M277" s="45" t="str">
        <f>IFERROR(VLOOKUP(B277,'Pre-Summary'!$BW$6:$BY$58,2,FALSE),"")</f>
        <v/>
      </c>
      <c r="N277" s="45" t="str">
        <f>IFERROR(VLOOKUP(B277,'Pre-Summary'!$CD$6:$CF$64,2,FALSE),"")</f>
        <v/>
      </c>
      <c r="O277" s="99">
        <f>IFERROR(VLOOKUP(B277,'Pre-Summary'!$BO$6:$BQ$48,3, FALSE),O276)</f>
        <v>1.0915248032216731</v>
      </c>
      <c r="P277" s="99">
        <f>IFERROR(VLOOKUP(B277,'Pre-Summary'!$BS$6:$BU$35,3,FALSE),P276)</f>
        <v>0.25</v>
      </c>
      <c r="Q277" s="54">
        <f t="shared" si="12"/>
        <v>4.3660992128866924</v>
      </c>
      <c r="R277" s="53">
        <f>IFERROR(VLOOKUP(B277,'Pre-Summary'!$BG$6:$BM$44,7,FALSE),R278)</f>
        <v>2.7904161219319636E-2</v>
      </c>
      <c r="S277" s="53">
        <f>IFERROR(VLOOKUP(B277,'Pre-Summary'!$BG$6:$BM$44,6,FALSE),S278)</f>
        <v>3.3978715219895171E-2</v>
      </c>
      <c r="T277" s="45" t="str">
        <f>IFERROR(VLOOKUP(B277,'Pre-Summary'!$Y$6:$AC$83, 3,FALSE),"")</f>
        <v/>
      </c>
      <c r="U277" s="45" t="str">
        <f>IFERROR(VLOOKUP(B277,'Pre-Summary'!$Y$6:$AC$83, 4,FALSE),"")</f>
        <v/>
      </c>
      <c r="V277" t="str">
        <f>IFERROR(VLOOKUP(B277,'Pre-Summary'!$Y$6:$AC$83, 5,FALSE),"")</f>
        <v/>
      </c>
      <c r="W277" s="45" t="str">
        <f>IFERROR(VLOOKUP(B277,'Pre-Summary'!$Y$6:$AD$83,6,FALSE),"")</f>
        <v/>
      </c>
      <c r="X277" t="str">
        <f>IFERROR(VLOOKUP('Pre-Summary'!$DB$6:$DD$63,3,FALSE),"")</f>
        <v/>
      </c>
      <c r="Y277" t="str">
        <f>IFERROR(VLOOKUP(B277,'Pre-Summary'!$CR$6:$CT$36,3,FALSE),"")</f>
        <v/>
      </c>
      <c r="Z277" s="45" t="str">
        <f>IFERROR(VLOOKUP(B277,'Pre-Summary'!$BZ$6:$CB$63,2,FALSE),"")</f>
        <v/>
      </c>
      <c r="AA277" s="45" t="str">
        <f>IFERROR(VLOOKUP(B277,'Pre-Summary'!$CG$6:$CI$70,2,FALSE),"")</f>
        <v/>
      </c>
      <c r="AB277" s="99">
        <f>IFERROR(VLOOKUP(B277,'Pre-Summary'!$A$6:$P$178,9,FALSE),AB278)</f>
        <v>1.0067180186389197</v>
      </c>
      <c r="AC277" s="10">
        <f>IFERROR(VLOOKUP(Summary!B277,'Pre-Summary'!$A$6:$P$184,5, FALSE)/100,AC278)</f>
        <v>0.115633</v>
      </c>
      <c r="AD277" s="10">
        <f>IFERROR(VLOOKUP(Summary!B277,'Pre-Summary'!$A$6:$P$184,3, FALSE)/100,AD278)</f>
        <v>0.88127200000000006</v>
      </c>
      <c r="AE277" s="10">
        <f>IFERROR(VLOOKUP(Summary!B277,'Pre-Summary'!$A$6:$P$184,7, FALSE)/100,AE278)</f>
        <v>3.0949999999999992E-3</v>
      </c>
      <c r="AF277" s="99">
        <f t="shared" si="13"/>
        <v>0.88719240172195812</v>
      </c>
      <c r="AG277" s="99">
        <f t="shared" si="14"/>
        <v>3.115792267687456E-3</v>
      </c>
      <c r="AH277" s="10" t="str">
        <f>IFERROR(VLOOKUP(B277,'Pre-Summary'!$AZ$6:$BE$65,3,FALSE),"")</f>
        <v/>
      </c>
      <c r="AI277" s="10" t="str">
        <f>IFERROR(VLOOKUP(B277,'Pre-Summary'!$AZ$6:$BE$65,5,FALSE),"")</f>
        <v/>
      </c>
      <c r="AJ277" s="10" t="str">
        <f>IFERROR(VLOOKUP(B277,'Pre-Summary'!$AZ$6:$BE$65,4,FALSE),"")</f>
        <v/>
      </c>
      <c r="AK277" s="10" t="str">
        <f>IFERROR(VLOOKUP(B277,'Pre-Summary'!$AZ$6:$BE$65,6,FALSE),"")</f>
        <v/>
      </c>
      <c r="AL277" s="10" t="str">
        <f>IFERROR(VLOOKUP(B277,'Pre-Summary'!$BG$6:$BL$44,3,FALSE),"")</f>
        <v/>
      </c>
      <c r="AM277" s="10" t="str">
        <f>IFERROR(VLOOKUP(B277,'Pre-Summary'!$BG$6:$BL$44,4,FALSE),"")</f>
        <v/>
      </c>
    </row>
    <row r="278" spans="2:39" ht="15" customHeight="1" x14ac:dyDescent="0.3">
      <c r="B278">
        <v>27.5</v>
      </c>
      <c r="C278" t="str">
        <f>IFERROR(VLOOKUP(B278,'Pre-Summary'!$DI$6:$DM$23,4,FALSE),"")</f>
        <v/>
      </c>
      <c r="D278" s="10" t="str">
        <f>IFERROR(VLOOKUP(B278,'Pre-Summary'!$AT$6:$AX$14,5,FALSE),D277)</f>
        <v>DSMZ v1.5: Using DSMZ 120 with NaHCO3</v>
      </c>
      <c r="E278" s="10" t="str">
        <f>IFERROR(VLOOKUP(B278,'Pre-Summary'!$AT$6:$AX$15,4,FALSE),"")</f>
        <v/>
      </c>
      <c r="F278">
        <f>IFERROR(VLOOKUP(B278,'Pre-Summary'!$AL$6:$AQ$13,6,FALSE),F277)</f>
        <v>0</v>
      </c>
      <c r="G278" t="str">
        <f>IFERROR(VLOOKUP(B278,'Pre-Summary'!$AE$6:$AJ$85,3,FALSE),"")</f>
        <v/>
      </c>
      <c r="H278" t="str">
        <f>IFERROR(VLOOKUP(B278,'Pre-Summary'!$AE$6:$AJ$85,4,FALSE),"")</f>
        <v/>
      </c>
      <c r="I278" t="str">
        <f>IFERROR(VLOOKUP(B278,'Pre-Summary'!$AE$6:$AJ$85,5,FALSE),"")</f>
        <v/>
      </c>
      <c r="J278" s="45" t="str">
        <f>IFERROR(VLOOKUP(B278,'Pre-Summary'!$AE$6:$AJ$85,6, FALSE),"")</f>
        <v/>
      </c>
      <c r="K278" s="45" t="str">
        <f>IFERROR(VLOOKUP(B278,'Pre-Summary'!$DE$6:$DG$61,3,FALSE),"")</f>
        <v/>
      </c>
      <c r="L278" s="45" t="str">
        <f>IFERROR(VLOOKUP(B278,'Pre-Summary'!$CU$6:$CW$36,3,FALSE),"")</f>
        <v/>
      </c>
      <c r="M278" s="45" t="str">
        <f>IFERROR(VLOOKUP(B278,'Pre-Summary'!$BW$6:$BY$58,2,FALSE),"")</f>
        <v/>
      </c>
      <c r="N278" s="45" t="str">
        <f>IFERROR(VLOOKUP(B278,'Pre-Summary'!$CD$6:$CF$64,2,FALSE),"")</f>
        <v/>
      </c>
      <c r="O278" s="99">
        <f>IFERROR(VLOOKUP(B278,'Pre-Summary'!$BO$6:$BQ$48,3, FALSE),O277)</f>
        <v>1.0915248032216731</v>
      </c>
      <c r="P278" s="99">
        <f>IFERROR(VLOOKUP(B278,'Pre-Summary'!$BS$6:$BU$35,3,FALSE),P277)</f>
        <v>0.25</v>
      </c>
      <c r="Q278" s="54">
        <f t="shared" si="12"/>
        <v>4.3660992128866924</v>
      </c>
      <c r="R278" s="53">
        <f>IFERROR(VLOOKUP(B278,'Pre-Summary'!$BG$6:$BM$44,7,FALSE),R279)</f>
        <v>2.7904161219319636E-2</v>
      </c>
      <c r="S278" s="53">
        <f>IFERROR(VLOOKUP(B278,'Pre-Summary'!$BG$6:$BM$44,6,FALSE),S279)</f>
        <v>3.3978715219895171E-2</v>
      </c>
      <c r="T278" s="45" t="str">
        <f>IFERROR(VLOOKUP(B278,'Pre-Summary'!$Y$6:$AC$83, 3,FALSE),"")</f>
        <v/>
      </c>
      <c r="U278" s="45" t="str">
        <f>IFERROR(VLOOKUP(B278,'Pre-Summary'!$Y$6:$AC$83, 4,FALSE),"")</f>
        <v/>
      </c>
      <c r="V278" t="str">
        <f>IFERROR(VLOOKUP(B278,'Pre-Summary'!$Y$6:$AC$83, 5,FALSE),"")</f>
        <v/>
      </c>
      <c r="W278" s="45" t="str">
        <f>IFERROR(VLOOKUP(B278,'Pre-Summary'!$Y$6:$AD$83,6,FALSE),"")</f>
        <v/>
      </c>
      <c r="X278" t="str">
        <f>IFERROR(VLOOKUP('Pre-Summary'!$DB$6:$DD$63,3,FALSE),"")</f>
        <v/>
      </c>
      <c r="Y278" t="str">
        <f>IFERROR(VLOOKUP(B278,'Pre-Summary'!$CR$6:$CT$36,3,FALSE),"")</f>
        <v/>
      </c>
      <c r="Z278" s="45" t="str">
        <f>IFERROR(VLOOKUP(B278,'Pre-Summary'!$BZ$6:$CB$63,2,FALSE),"")</f>
        <v/>
      </c>
      <c r="AA278" s="45" t="str">
        <f>IFERROR(VLOOKUP(B278,'Pre-Summary'!$CG$6:$CI$70,2,FALSE),"")</f>
        <v/>
      </c>
      <c r="AB278" s="99">
        <f>IFERROR(VLOOKUP(B278,'Pre-Summary'!$A$6:$P$178,9,FALSE),AB279)</f>
        <v>1.0067180186389197</v>
      </c>
      <c r="AC278" s="10">
        <f>IFERROR(VLOOKUP(Summary!B278,'Pre-Summary'!$A$6:$P$184,5, FALSE)/100,AC279)</f>
        <v>0.115633</v>
      </c>
      <c r="AD278" s="10">
        <f>IFERROR(VLOOKUP(Summary!B278,'Pre-Summary'!$A$6:$P$184,3, FALSE)/100,AD279)</f>
        <v>0.88127200000000006</v>
      </c>
      <c r="AE278" s="10">
        <f>IFERROR(VLOOKUP(Summary!B278,'Pre-Summary'!$A$6:$P$184,7, FALSE)/100,AE279)</f>
        <v>3.0949999999999992E-3</v>
      </c>
      <c r="AF278" s="99">
        <f t="shared" si="13"/>
        <v>0.88719240172195812</v>
      </c>
      <c r="AG278" s="99">
        <f t="shared" si="14"/>
        <v>3.115792267687456E-3</v>
      </c>
      <c r="AH278" s="10" t="str">
        <f>IFERROR(VLOOKUP(B278,'Pre-Summary'!$AZ$6:$BE$65,3,FALSE),"")</f>
        <v/>
      </c>
      <c r="AI278" s="10" t="str">
        <f>IFERROR(VLOOKUP(B278,'Pre-Summary'!$AZ$6:$BE$65,5,FALSE),"")</f>
        <v/>
      </c>
      <c r="AJ278" s="10" t="str">
        <f>IFERROR(VLOOKUP(B278,'Pre-Summary'!$AZ$6:$BE$65,4,FALSE),"")</f>
        <v/>
      </c>
      <c r="AK278" s="10" t="str">
        <f>IFERROR(VLOOKUP(B278,'Pre-Summary'!$AZ$6:$BE$65,6,FALSE),"")</f>
        <v/>
      </c>
      <c r="AL278" s="10" t="str">
        <f>IFERROR(VLOOKUP(B278,'Pre-Summary'!$BG$6:$BL$44,3,FALSE),"")</f>
        <v/>
      </c>
      <c r="AM278" s="10" t="str">
        <f>IFERROR(VLOOKUP(B278,'Pre-Summary'!$BG$6:$BL$44,4,FALSE),"")</f>
        <v/>
      </c>
    </row>
    <row r="279" spans="2:39" ht="15" customHeight="1" x14ac:dyDescent="0.3">
      <c r="B279">
        <v>27.6</v>
      </c>
      <c r="C279" t="str">
        <f>IFERROR(VLOOKUP(B279,'Pre-Summary'!$DI$6:$DM$23,4,FALSE),"")</f>
        <v/>
      </c>
      <c r="D279" s="10" t="str">
        <f>IFERROR(VLOOKUP(B279,'Pre-Summary'!$AT$6:$AX$14,5,FALSE),D278)</f>
        <v>DSMZ v1.5: Using DSMZ 120 with NaHCO3</v>
      </c>
      <c r="E279" s="10" t="str">
        <f>IFERROR(VLOOKUP(B279,'Pre-Summary'!$AT$6:$AX$15,4,FALSE),"")</f>
        <v/>
      </c>
      <c r="F279">
        <f>IFERROR(VLOOKUP(B279,'Pre-Summary'!$AL$6:$AQ$13,6,FALSE),F278)</f>
        <v>0</v>
      </c>
      <c r="G279" t="str">
        <f>IFERROR(VLOOKUP(B279,'Pre-Summary'!$AE$6:$AJ$85,3,FALSE),"")</f>
        <v/>
      </c>
      <c r="H279" t="str">
        <f>IFERROR(VLOOKUP(B279,'Pre-Summary'!$AE$6:$AJ$85,4,FALSE),"")</f>
        <v/>
      </c>
      <c r="I279" t="str">
        <f>IFERROR(VLOOKUP(B279,'Pre-Summary'!$AE$6:$AJ$85,5,FALSE),"")</f>
        <v/>
      </c>
      <c r="J279" s="45" t="str">
        <f>IFERROR(VLOOKUP(B279,'Pre-Summary'!$AE$6:$AJ$85,6, FALSE),"")</f>
        <v/>
      </c>
      <c r="K279" s="45" t="str">
        <f>IFERROR(VLOOKUP(B279,'Pre-Summary'!$DE$6:$DG$61,3,FALSE),"")</f>
        <v/>
      </c>
      <c r="L279" s="45" t="str">
        <f>IFERROR(VLOOKUP(B279,'Pre-Summary'!$CU$6:$CW$36,3,FALSE),"")</f>
        <v/>
      </c>
      <c r="M279" s="45" t="str">
        <f>IFERROR(VLOOKUP(B279,'Pre-Summary'!$BW$6:$BY$58,2,FALSE),"")</f>
        <v/>
      </c>
      <c r="N279" s="45" t="str">
        <f>IFERROR(VLOOKUP(B279,'Pre-Summary'!$CD$6:$CF$64,2,FALSE),"")</f>
        <v/>
      </c>
      <c r="O279" s="99">
        <f>IFERROR(VLOOKUP(B279,'Pre-Summary'!$BO$6:$BQ$48,3, FALSE),O278)</f>
        <v>1.0915248032216731</v>
      </c>
      <c r="P279" s="99">
        <f>IFERROR(VLOOKUP(B279,'Pre-Summary'!$BS$6:$BU$35,3,FALSE),P278)</f>
        <v>0.25</v>
      </c>
      <c r="Q279" s="54">
        <f t="shared" si="12"/>
        <v>4.3660992128866924</v>
      </c>
      <c r="R279" s="53">
        <f>IFERROR(VLOOKUP(B279,'Pre-Summary'!$BG$6:$BM$44,7,FALSE),R280)</f>
        <v>2.7904161219319636E-2</v>
      </c>
      <c r="S279" s="53">
        <f>IFERROR(VLOOKUP(B279,'Pre-Summary'!$BG$6:$BM$44,6,FALSE),S280)</f>
        <v>3.3978715219895171E-2</v>
      </c>
      <c r="T279" s="45" t="str">
        <f>IFERROR(VLOOKUP(B279,'Pre-Summary'!$Y$6:$AC$83, 3,FALSE),"")</f>
        <v/>
      </c>
      <c r="U279" s="45" t="str">
        <f>IFERROR(VLOOKUP(B279,'Pre-Summary'!$Y$6:$AC$83, 4,FALSE),"")</f>
        <v/>
      </c>
      <c r="V279" t="str">
        <f>IFERROR(VLOOKUP(B279,'Pre-Summary'!$Y$6:$AC$83, 5,FALSE),"")</f>
        <v/>
      </c>
      <c r="W279" s="45" t="str">
        <f>IFERROR(VLOOKUP(B279,'Pre-Summary'!$Y$6:$AD$83,6,FALSE),"")</f>
        <v/>
      </c>
      <c r="X279" t="str">
        <f>IFERROR(VLOOKUP('Pre-Summary'!$DB$6:$DD$63,3,FALSE),"")</f>
        <v/>
      </c>
      <c r="Y279" t="str">
        <f>IFERROR(VLOOKUP(B279,'Pre-Summary'!$CR$6:$CT$36,3,FALSE),"")</f>
        <v/>
      </c>
      <c r="Z279" s="45" t="str">
        <f>IFERROR(VLOOKUP(B279,'Pre-Summary'!$BZ$6:$CB$63,2,FALSE),"")</f>
        <v/>
      </c>
      <c r="AA279" s="45" t="str">
        <f>IFERROR(VLOOKUP(B279,'Pre-Summary'!$CG$6:$CI$70,2,FALSE),"")</f>
        <v/>
      </c>
      <c r="AB279" s="99">
        <f>IFERROR(VLOOKUP(B279,'Pre-Summary'!$A$6:$P$178,9,FALSE),AB280)</f>
        <v>1.0067180186389197</v>
      </c>
      <c r="AC279" s="10">
        <f>IFERROR(VLOOKUP(Summary!B279,'Pre-Summary'!$A$6:$P$184,5, FALSE)/100,AC280)</f>
        <v>0.115633</v>
      </c>
      <c r="AD279" s="10">
        <f>IFERROR(VLOOKUP(Summary!B279,'Pre-Summary'!$A$6:$P$184,3, FALSE)/100,AD280)</f>
        <v>0.88127200000000006</v>
      </c>
      <c r="AE279" s="10">
        <f>IFERROR(VLOOKUP(Summary!B279,'Pre-Summary'!$A$6:$P$184,7, FALSE)/100,AE280)</f>
        <v>3.0949999999999992E-3</v>
      </c>
      <c r="AF279" s="99">
        <f t="shared" si="13"/>
        <v>0.88719240172195812</v>
      </c>
      <c r="AG279" s="99">
        <f t="shared" si="14"/>
        <v>3.115792267687456E-3</v>
      </c>
      <c r="AH279" s="10" t="str">
        <f>IFERROR(VLOOKUP(B279,'Pre-Summary'!$AZ$6:$BE$65,3,FALSE),"")</f>
        <v/>
      </c>
      <c r="AI279" s="10" t="str">
        <f>IFERROR(VLOOKUP(B279,'Pre-Summary'!$AZ$6:$BE$65,5,FALSE),"")</f>
        <v/>
      </c>
      <c r="AJ279" s="10" t="str">
        <f>IFERROR(VLOOKUP(B279,'Pre-Summary'!$AZ$6:$BE$65,4,FALSE),"")</f>
        <v/>
      </c>
      <c r="AK279" s="10" t="str">
        <f>IFERROR(VLOOKUP(B279,'Pre-Summary'!$AZ$6:$BE$65,6,FALSE),"")</f>
        <v/>
      </c>
      <c r="AL279" s="10" t="str">
        <f>IFERROR(VLOOKUP(B279,'Pre-Summary'!$BG$6:$BL$44,3,FALSE),"")</f>
        <v/>
      </c>
      <c r="AM279" s="10" t="str">
        <f>IFERROR(VLOOKUP(B279,'Pre-Summary'!$BG$6:$BL$44,4,FALSE),"")</f>
        <v/>
      </c>
    </row>
    <row r="280" spans="2:39" ht="15" customHeight="1" x14ac:dyDescent="0.3">
      <c r="B280">
        <v>27.7</v>
      </c>
      <c r="C280" t="str">
        <f>IFERROR(VLOOKUP(B280,'Pre-Summary'!$DI$6:$DM$23,4,FALSE),"")</f>
        <v/>
      </c>
      <c r="D280" s="10" t="str">
        <f>IFERROR(VLOOKUP(B280,'Pre-Summary'!$AT$6:$AX$14,5,FALSE),D279)</f>
        <v>DSMZ v1.5: Using DSMZ 120 with NaHCO3</v>
      </c>
      <c r="E280" s="10" t="str">
        <f>IFERROR(VLOOKUP(B280,'Pre-Summary'!$AT$6:$AX$15,4,FALSE),"")</f>
        <v/>
      </c>
      <c r="F280">
        <f>IFERROR(VLOOKUP(B280,'Pre-Summary'!$AL$6:$AQ$13,6,FALSE),F279)</f>
        <v>0</v>
      </c>
      <c r="G280" t="str">
        <f>IFERROR(VLOOKUP(B280,'Pre-Summary'!$AE$6:$AJ$85,3,FALSE),"")</f>
        <v/>
      </c>
      <c r="H280" t="str">
        <f>IFERROR(VLOOKUP(B280,'Pre-Summary'!$AE$6:$AJ$85,4,FALSE),"")</f>
        <v/>
      </c>
      <c r="I280" t="str">
        <f>IFERROR(VLOOKUP(B280,'Pre-Summary'!$AE$6:$AJ$85,5,FALSE),"")</f>
        <v/>
      </c>
      <c r="J280" s="45" t="str">
        <f>IFERROR(VLOOKUP(B280,'Pre-Summary'!$AE$6:$AJ$85,6, FALSE),"")</f>
        <v/>
      </c>
      <c r="K280" s="45" t="str">
        <f>IFERROR(VLOOKUP(B280,'Pre-Summary'!$DE$6:$DG$61,3,FALSE),"")</f>
        <v/>
      </c>
      <c r="L280" s="45" t="str">
        <f>IFERROR(VLOOKUP(B280,'Pre-Summary'!$CU$6:$CW$36,3,FALSE),"")</f>
        <v/>
      </c>
      <c r="M280" s="45" t="str">
        <f>IFERROR(VLOOKUP(B280,'Pre-Summary'!$BW$6:$BY$58,2,FALSE),"")</f>
        <v/>
      </c>
      <c r="N280" s="45" t="str">
        <f>IFERROR(VLOOKUP(B280,'Pre-Summary'!$CD$6:$CF$64,2,FALSE),"")</f>
        <v/>
      </c>
      <c r="O280" s="99">
        <f>IFERROR(VLOOKUP(B280,'Pre-Summary'!$BO$6:$BQ$48,3, FALSE),O279)</f>
        <v>1.0915248032216731</v>
      </c>
      <c r="P280" s="99">
        <f>IFERROR(VLOOKUP(B280,'Pre-Summary'!$BS$6:$BU$35,3,FALSE),P279)</f>
        <v>0.25</v>
      </c>
      <c r="Q280" s="54">
        <f t="shared" si="12"/>
        <v>4.3660992128866924</v>
      </c>
      <c r="R280" s="53">
        <f>IFERROR(VLOOKUP(B280,'Pre-Summary'!$BG$6:$BM$44,7,FALSE),R281)</f>
        <v>2.7904161219319636E-2</v>
      </c>
      <c r="S280" s="53">
        <f>IFERROR(VLOOKUP(B280,'Pre-Summary'!$BG$6:$BM$44,6,FALSE),S281)</f>
        <v>3.3978715219895171E-2</v>
      </c>
      <c r="T280" s="45" t="str">
        <f>IFERROR(VLOOKUP(B280,'Pre-Summary'!$Y$6:$AC$83, 3,FALSE),"")</f>
        <v/>
      </c>
      <c r="U280" s="45" t="str">
        <f>IFERROR(VLOOKUP(B280,'Pre-Summary'!$Y$6:$AC$83, 4,FALSE),"")</f>
        <v/>
      </c>
      <c r="V280" t="str">
        <f>IFERROR(VLOOKUP(B280,'Pre-Summary'!$Y$6:$AC$83, 5,FALSE),"")</f>
        <v/>
      </c>
      <c r="W280" s="45" t="str">
        <f>IFERROR(VLOOKUP(B280,'Pre-Summary'!$Y$6:$AD$83,6,FALSE),"")</f>
        <v/>
      </c>
      <c r="X280" t="str">
        <f>IFERROR(VLOOKUP('Pre-Summary'!$DB$6:$DD$63,3,FALSE),"")</f>
        <v/>
      </c>
      <c r="Y280" t="str">
        <f>IFERROR(VLOOKUP(B280,'Pre-Summary'!$CR$6:$CT$36,3,FALSE),"")</f>
        <v/>
      </c>
      <c r="Z280" s="45" t="str">
        <f>IFERROR(VLOOKUP(B280,'Pre-Summary'!$BZ$6:$CB$63,2,FALSE),"")</f>
        <v/>
      </c>
      <c r="AA280" s="45" t="str">
        <f>IFERROR(VLOOKUP(B280,'Pre-Summary'!$CG$6:$CI$70,2,FALSE),"")</f>
        <v/>
      </c>
      <c r="AB280" s="99">
        <f>IFERROR(VLOOKUP(B280,'Pre-Summary'!$A$6:$P$178,9,FALSE),AB281)</f>
        <v>1.0067180186389197</v>
      </c>
      <c r="AC280" s="10">
        <f>IFERROR(VLOOKUP(Summary!B280,'Pre-Summary'!$A$6:$P$184,5, FALSE)/100,AC281)</f>
        <v>0.115633</v>
      </c>
      <c r="AD280" s="10">
        <f>IFERROR(VLOOKUP(Summary!B280,'Pre-Summary'!$A$6:$P$184,3, FALSE)/100,AD281)</f>
        <v>0.88127200000000006</v>
      </c>
      <c r="AE280" s="10">
        <f>IFERROR(VLOOKUP(Summary!B280,'Pre-Summary'!$A$6:$P$184,7, FALSE)/100,AE281)</f>
        <v>3.0949999999999992E-3</v>
      </c>
      <c r="AF280" s="99">
        <f t="shared" si="13"/>
        <v>0.88719240172195812</v>
      </c>
      <c r="AG280" s="99">
        <f t="shared" si="14"/>
        <v>3.115792267687456E-3</v>
      </c>
      <c r="AH280" s="10" t="str">
        <f>IFERROR(VLOOKUP(B280,'Pre-Summary'!$AZ$6:$BE$65,3,FALSE),"")</f>
        <v/>
      </c>
      <c r="AI280" s="10" t="str">
        <f>IFERROR(VLOOKUP(B280,'Pre-Summary'!$AZ$6:$BE$65,5,FALSE),"")</f>
        <v/>
      </c>
      <c r="AJ280" s="10" t="str">
        <f>IFERROR(VLOOKUP(B280,'Pre-Summary'!$AZ$6:$BE$65,4,FALSE),"")</f>
        <v/>
      </c>
      <c r="AK280" s="10" t="str">
        <f>IFERROR(VLOOKUP(B280,'Pre-Summary'!$AZ$6:$BE$65,6,FALSE),"")</f>
        <v/>
      </c>
      <c r="AL280" s="10" t="str">
        <f>IFERROR(VLOOKUP(B280,'Pre-Summary'!$BG$6:$BL$44,3,FALSE),"")</f>
        <v/>
      </c>
      <c r="AM280" s="10" t="str">
        <f>IFERROR(VLOOKUP(B280,'Pre-Summary'!$BG$6:$BL$44,4,FALSE),"")</f>
        <v/>
      </c>
    </row>
    <row r="281" spans="2:39" ht="15" customHeight="1" x14ac:dyDescent="0.3">
      <c r="B281">
        <v>27.8</v>
      </c>
      <c r="C281" t="str">
        <f>IFERROR(VLOOKUP(B281,'Pre-Summary'!$DI$6:$DM$23,4,FALSE),"")</f>
        <v/>
      </c>
      <c r="D281" s="10" t="str">
        <f>IFERROR(VLOOKUP(B281,'Pre-Summary'!$AT$6:$AX$14,5,FALSE),D280)</f>
        <v>DSMZ v1.5: Using DSMZ 120 with NaHCO3</v>
      </c>
      <c r="E281" s="10" t="str">
        <f>IFERROR(VLOOKUP(B281,'Pre-Summary'!$AT$6:$AX$15,4,FALSE),"")</f>
        <v/>
      </c>
      <c r="F281">
        <f>IFERROR(VLOOKUP(B281,'Pre-Summary'!$AL$6:$AQ$13,6,FALSE),F280)</f>
        <v>0</v>
      </c>
      <c r="G281" t="str">
        <f>IFERROR(VLOOKUP(B281,'Pre-Summary'!$AE$6:$AJ$85,3,FALSE),"")</f>
        <v/>
      </c>
      <c r="H281" t="str">
        <f>IFERROR(VLOOKUP(B281,'Pre-Summary'!$AE$6:$AJ$85,4,FALSE),"")</f>
        <v/>
      </c>
      <c r="I281" t="str">
        <f>IFERROR(VLOOKUP(B281,'Pre-Summary'!$AE$6:$AJ$85,5,FALSE),"")</f>
        <v/>
      </c>
      <c r="J281" s="45" t="str">
        <f>IFERROR(VLOOKUP(B281,'Pre-Summary'!$AE$6:$AJ$85,6, FALSE),"")</f>
        <v/>
      </c>
      <c r="K281" s="45" t="str">
        <f>IFERROR(VLOOKUP(B281,'Pre-Summary'!$DE$6:$DG$61,3,FALSE),"")</f>
        <v/>
      </c>
      <c r="L281" s="45" t="str">
        <f>IFERROR(VLOOKUP(B281,'Pre-Summary'!$CU$6:$CW$36,3,FALSE),"")</f>
        <v/>
      </c>
      <c r="M281" s="45" t="str">
        <f>IFERROR(VLOOKUP(B281,'Pre-Summary'!$BW$6:$BY$58,2,FALSE),"")</f>
        <v/>
      </c>
      <c r="N281" s="45" t="str">
        <f>IFERROR(VLOOKUP(B281,'Pre-Summary'!$CD$6:$CF$64,2,FALSE),"")</f>
        <v/>
      </c>
      <c r="O281" s="99">
        <f>IFERROR(VLOOKUP(B281,'Pre-Summary'!$BO$6:$BQ$48,3, FALSE),O280)</f>
        <v>1.0915248032216731</v>
      </c>
      <c r="P281" s="99">
        <f>IFERROR(VLOOKUP(B281,'Pre-Summary'!$BS$6:$BU$35,3,FALSE),P280)</f>
        <v>0.25</v>
      </c>
      <c r="Q281" s="54">
        <f t="shared" si="12"/>
        <v>4.3660992128866924</v>
      </c>
      <c r="R281" s="53">
        <f>IFERROR(VLOOKUP(B281,'Pre-Summary'!$BG$6:$BM$44,7,FALSE),R282)</f>
        <v>2.7904161219319636E-2</v>
      </c>
      <c r="S281" s="53">
        <f>IFERROR(VLOOKUP(B281,'Pre-Summary'!$BG$6:$BM$44,6,FALSE),S282)</f>
        <v>3.3978715219895171E-2</v>
      </c>
      <c r="T281" s="45" t="str">
        <f>IFERROR(VLOOKUP(B281,'Pre-Summary'!$Y$6:$AC$83, 3,FALSE),"")</f>
        <v/>
      </c>
      <c r="U281" s="45" t="str">
        <f>IFERROR(VLOOKUP(B281,'Pre-Summary'!$Y$6:$AC$83, 4,FALSE),"")</f>
        <v/>
      </c>
      <c r="V281" t="str">
        <f>IFERROR(VLOOKUP(B281,'Pre-Summary'!$Y$6:$AC$83, 5,FALSE),"")</f>
        <v/>
      </c>
      <c r="W281" s="45" t="str">
        <f>IFERROR(VLOOKUP(B281,'Pre-Summary'!$Y$6:$AD$83,6,FALSE),"")</f>
        <v/>
      </c>
      <c r="X281" t="str">
        <f>IFERROR(VLOOKUP('Pre-Summary'!$DB$6:$DD$63,3,FALSE),"")</f>
        <v/>
      </c>
      <c r="Y281" t="str">
        <f>IFERROR(VLOOKUP(B281,'Pre-Summary'!$CR$6:$CT$36,3,FALSE),"")</f>
        <v/>
      </c>
      <c r="Z281" s="45" t="str">
        <f>IFERROR(VLOOKUP(B281,'Pre-Summary'!$BZ$6:$CB$63,2,FALSE),"")</f>
        <v/>
      </c>
      <c r="AA281" s="45" t="str">
        <f>IFERROR(VLOOKUP(B281,'Pre-Summary'!$CG$6:$CI$70,2,FALSE),"")</f>
        <v/>
      </c>
      <c r="AB281" s="99">
        <f>IFERROR(VLOOKUP(B281,'Pre-Summary'!$A$6:$P$178,9,FALSE),AB282)</f>
        <v>1.0067180186389197</v>
      </c>
      <c r="AC281" s="10">
        <f>IFERROR(VLOOKUP(Summary!B281,'Pre-Summary'!$A$6:$P$184,5, FALSE)/100,AC282)</f>
        <v>0.115633</v>
      </c>
      <c r="AD281" s="10">
        <f>IFERROR(VLOOKUP(Summary!B281,'Pre-Summary'!$A$6:$P$184,3, FALSE)/100,AD282)</f>
        <v>0.88127200000000006</v>
      </c>
      <c r="AE281" s="10">
        <f>IFERROR(VLOOKUP(Summary!B281,'Pre-Summary'!$A$6:$P$184,7, FALSE)/100,AE282)</f>
        <v>3.0949999999999992E-3</v>
      </c>
      <c r="AF281" s="99">
        <f t="shared" si="13"/>
        <v>0.88719240172195812</v>
      </c>
      <c r="AG281" s="99">
        <f t="shared" si="14"/>
        <v>3.115792267687456E-3</v>
      </c>
      <c r="AH281" s="10" t="str">
        <f>IFERROR(VLOOKUP(B281,'Pre-Summary'!$AZ$6:$BE$65,3,FALSE),"")</f>
        <v/>
      </c>
      <c r="AI281" s="10" t="str">
        <f>IFERROR(VLOOKUP(B281,'Pre-Summary'!$AZ$6:$BE$65,5,FALSE),"")</f>
        <v/>
      </c>
      <c r="AJ281" s="10" t="str">
        <f>IFERROR(VLOOKUP(B281,'Pre-Summary'!$AZ$6:$BE$65,4,FALSE),"")</f>
        <v/>
      </c>
      <c r="AK281" s="10" t="str">
        <f>IFERROR(VLOOKUP(B281,'Pre-Summary'!$AZ$6:$BE$65,6,FALSE),"")</f>
        <v/>
      </c>
      <c r="AL281" s="10" t="str">
        <f>IFERROR(VLOOKUP(B281,'Pre-Summary'!$BG$6:$BL$44,3,FALSE),"")</f>
        <v/>
      </c>
      <c r="AM281" s="10" t="str">
        <f>IFERROR(VLOOKUP(B281,'Pre-Summary'!$BG$6:$BL$44,4,FALSE),"")</f>
        <v/>
      </c>
    </row>
    <row r="282" spans="2:39" ht="15" customHeight="1" x14ac:dyDescent="0.3">
      <c r="B282">
        <v>27.9</v>
      </c>
      <c r="C282" t="str">
        <f>IFERROR(VLOOKUP(B282,'Pre-Summary'!$DI$6:$DM$23,4,FALSE),"")</f>
        <v/>
      </c>
      <c r="D282" s="10" t="str">
        <f>IFERROR(VLOOKUP(B282,'Pre-Summary'!$AT$6:$AX$14,5,FALSE),D281)</f>
        <v>DSMZ v1.5: Using DSMZ 120 with NaHCO3</v>
      </c>
      <c r="E282" s="10" t="str">
        <f>IFERROR(VLOOKUP(B282,'Pre-Summary'!$AT$6:$AX$15,4,FALSE),"")</f>
        <v/>
      </c>
      <c r="F282">
        <f>IFERROR(VLOOKUP(B282,'Pre-Summary'!$AL$6:$AQ$13,6,FALSE),F281)</f>
        <v>0</v>
      </c>
      <c r="G282" t="str">
        <f>IFERROR(VLOOKUP(B282,'Pre-Summary'!$AE$6:$AJ$85,3,FALSE),"")</f>
        <v/>
      </c>
      <c r="H282" t="str">
        <f>IFERROR(VLOOKUP(B282,'Pre-Summary'!$AE$6:$AJ$85,4,FALSE),"")</f>
        <v/>
      </c>
      <c r="I282" t="str">
        <f>IFERROR(VLOOKUP(B282,'Pre-Summary'!$AE$6:$AJ$85,5,FALSE),"")</f>
        <v/>
      </c>
      <c r="J282" s="45" t="str">
        <f>IFERROR(VLOOKUP(B282,'Pre-Summary'!$AE$6:$AJ$85,6, FALSE),"")</f>
        <v/>
      </c>
      <c r="K282" s="45" t="str">
        <f>IFERROR(VLOOKUP(B282,'Pre-Summary'!$DE$6:$DG$61,3,FALSE),"")</f>
        <v/>
      </c>
      <c r="L282" s="45" t="str">
        <f>IFERROR(VLOOKUP(B282,'Pre-Summary'!$CU$6:$CW$36,3,FALSE),"")</f>
        <v/>
      </c>
      <c r="M282" s="45" t="str">
        <f>IFERROR(VLOOKUP(B282,'Pre-Summary'!$BW$6:$BY$58,2,FALSE),"")</f>
        <v/>
      </c>
      <c r="N282" s="45" t="str">
        <f>IFERROR(VLOOKUP(B282,'Pre-Summary'!$CD$6:$CF$64,2,FALSE),"")</f>
        <v/>
      </c>
      <c r="O282" s="99">
        <f>IFERROR(VLOOKUP(B282,'Pre-Summary'!$BO$6:$BQ$48,3, FALSE),O281)</f>
        <v>1.0915248032216731</v>
      </c>
      <c r="P282" s="99">
        <f>IFERROR(VLOOKUP(B282,'Pre-Summary'!$BS$6:$BU$35,3,FALSE),P281)</f>
        <v>0.25</v>
      </c>
      <c r="Q282" s="54">
        <f t="shared" si="12"/>
        <v>4.3660992128866924</v>
      </c>
      <c r="R282" s="53">
        <f>IFERROR(VLOOKUP(B282,'Pre-Summary'!$BG$6:$BM$44,7,FALSE),R283)</f>
        <v>2.7904161219319636E-2</v>
      </c>
      <c r="S282" s="53">
        <f>IFERROR(VLOOKUP(B282,'Pre-Summary'!$BG$6:$BM$44,6,FALSE),S283)</f>
        <v>3.3978715219895171E-2</v>
      </c>
      <c r="T282" s="45" t="str">
        <f>IFERROR(VLOOKUP(B282,'Pre-Summary'!$Y$6:$AC$83, 3,FALSE),"")</f>
        <v/>
      </c>
      <c r="U282" s="45" t="str">
        <f>IFERROR(VLOOKUP(B282,'Pre-Summary'!$Y$6:$AC$83, 4,FALSE),"")</f>
        <v/>
      </c>
      <c r="V282" t="str">
        <f>IFERROR(VLOOKUP(B282,'Pre-Summary'!$Y$6:$AC$83, 5,FALSE),"")</f>
        <v/>
      </c>
      <c r="W282" s="45" t="str">
        <f>IFERROR(VLOOKUP(B282,'Pre-Summary'!$Y$6:$AD$83,6,FALSE),"")</f>
        <v/>
      </c>
      <c r="X282" t="str">
        <f>IFERROR(VLOOKUP('Pre-Summary'!$DB$6:$DD$63,3,FALSE),"")</f>
        <v/>
      </c>
      <c r="Y282" t="str">
        <f>IFERROR(VLOOKUP(B282,'Pre-Summary'!$CR$6:$CT$36,3,FALSE),"")</f>
        <v/>
      </c>
      <c r="Z282" s="45" t="str">
        <f>IFERROR(VLOOKUP(B282,'Pre-Summary'!$BZ$6:$CB$63,2,FALSE),"")</f>
        <v/>
      </c>
      <c r="AA282" s="45" t="str">
        <f>IFERROR(VLOOKUP(B282,'Pre-Summary'!$CG$6:$CI$70,2,FALSE),"")</f>
        <v/>
      </c>
      <c r="AB282" s="99">
        <f>IFERROR(VLOOKUP(B282,'Pre-Summary'!$A$6:$P$178,9,FALSE),AB283)</f>
        <v>1.0067180186389197</v>
      </c>
      <c r="AC282" s="10">
        <f>IFERROR(VLOOKUP(Summary!B282,'Pre-Summary'!$A$6:$P$184,5, FALSE)/100,AC283)</f>
        <v>0.115633</v>
      </c>
      <c r="AD282" s="10">
        <f>IFERROR(VLOOKUP(Summary!B282,'Pre-Summary'!$A$6:$P$184,3, FALSE)/100,AD283)</f>
        <v>0.88127200000000006</v>
      </c>
      <c r="AE282" s="10">
        <f>IFERROR(VLOOKUP(Summary!B282,'Pre-Summary'!$A$6:$P$184,7, FALSE)/100,AE283)</f>
        <v>3.0949999999999992E-3</v>
      </c>
      <c r="AF282" s="99">
        <f t="shared" si="13"/>
        <v>0.88719240172195812</v>
      </c>
      <c r="AG282" s="99">
        <f t="shared" si="14"/>
        <v>3.115792267687456E-3</v>
      </c>
      <c r="AH282" s="10" t="str">
        <f>IFERROR(VLOOKUP(B282,'Pre-Summary'!$AZ$6:$BE$65,3,FALSE),"")</f>
        <v/>
      </c>
      <c r="AI282" s="10" t="str">
        <f>IFERROR(VLOOKUP(B282,'Pre-Summary'!$AZ$6:$BE$65,5,FALSE),"")</f>
        <v/>
      </c>
      <c r="AJ282" s="10" t="str">
        <f>IFERROR(VLOOKUP(B282,'Pre-Summary'!$AZ$6:$BE$65,4,FALSE),"")</f>
        <v/>
      </c>
      <c r="AK282" s="10" t="str">
        <f>IFERROR(VLOOKUP(B282,'Pre-Summary'!$AZ$6:$BE$65,6,FALSE),"")</f>
        <v/>
      </c>
      <c r="AL282" s="10" t="str">
        <f>IFERROR(VLOOKUP(B282,'Pre-Summary'!$BG$6:$BL$44,3,FALSE),"")</f>
        <v/>
      </c>
      <c r="AM282" s="10" t="str">
        <f>IFERROR(VLOOKUP(B282,'Pre-Summary'!$BG$6:$BL$44,4,FALSE),"")</f>
        <v/>
      </c>
    </row>
    <row r="283" spans="2:39" ht="15" customHeight="1" x14ac:dyDescent="0.3">
      <c r="B283">
        <v>28</v>
      </c>
      <c r="C283" t="str">
        <f>IFERROR(VLOOKUP(B283,'Pre-Summary'!$DI$6:$DM$23,4,FALSE),"")</f>
        <v/>
      </c>
      <c r="D283" s="10" t="str">
        <f>IFERROR(VLOOKUP(B283,'Pre-Summary'!$AT$6:$AX$14,5,FALSE),D282)</f>
        <v>DSMZ v1.5: Using DSMZ 120 with NaHCO3</v>
      </c>
      <c r="E283" s="10" t="str">
        <f>IFERROR(VLOOKUP(B283,'Pre-Summary'!$AT$6:$AX$15,4,FALSE),"")</f>
        <v/>
      </c>
      <c r="F283">
        <f>IFERROR(VLOOKUP(B283,'Pre-Summary'!$AL$6:$AQ$13,6,FALSE),F282)</f>
        <v>0</v>
      </c>
      <c r="G283" t="str">
        <f>IFERROR(VLOOKUP(B283,'Pre-Summary'!$AE$6:$AJ$85,3,FALSE),"")</f>
        <v/>
      </c>
      <c r="H283" t="str">
        <f>IFERROR(VLOOKUP(B283,'Pre-Summary'!$AE$6:$AJ$85,4,FALSE),"")</f>
        <v/>
      </c>
      <c r="I283" t="str">
        <f>IFERROR(VLOOKUP(B283,'Pre-Summary'!$AE$6:$AJ$85,5,FALSE),"")</f>
        <v/>
      </c>
      <c r="J283" s="45" t="str">
        <f>IFERROR(VLOOKUP(B283,'Pre-Summary'!$AE$6:$AJ$85,6, FALSE),"")</f>
        <v/>
      </c>
      <c r="K283" s="45" t="str">
        <f>IFERROR(VLOOKUP(B283,'Pre-Summary'!$DE$6:$DG$61,3,FALSE),"")</f>
        <v/>
      </c>
      <c r="L283" s="45" t="str">
        <f>IFERROR(VLOOKUP(B283,'Pre-Summary'!$CU$6:$CW$36,3,FALSE),"")</f>
        <v/>
      </c>
      <c r="M283" s="45" t="str">
        <f>IFERROR(VLOOKUP(B283,'Pre-Summary'!$BW$6:$BY$58,2,FALSE),"")</f>
        <v/>
      </c>
      <c r="N283" s="45" t="str">
        <f>IFERROR(VLOOKUP(B283,'Pre-Summary'!$CD$6:$CF$64,2,FALSE),"")</f>
        <v/>
      </c>
      <c r="O283" s="99">
        <f>IFERROR(VLOOKUP(B283,'Pre-Summary'!$BO$6:$BQ$48,3, FALSE),O282)</f>
        <v>1.0915248032216731</v>
      </c>
      <c r="P283" s="99">
        <f>IFERROR(VLOOKUP(B283,'Pre-Summary'!$BS$6:$BU$35,3,FALSE),P282)</f>
        <v>0.25</v>
      </c>
      <c r="Q283" s="54">
        <f t="shared" si="12"/>
        <v>4.3660992128866924</v>
      </c>
      <c r="R283" s="53">
        <f>IFERROR(VLOOKUP(B283,'Pre-Summary'!$BG$6:$BM$44,7,FALSE),R284)</f>
        <v>2.7904161219319636E-2</v>
      </c>
      <c r="S283" s="53">
        <f>IFERROR(VLOOKUP(B283,'Pre-Summary'!$BG$6:$BM$44,6,FALSE),S284)</f>
        <v>3.3978715219895171E-2</v>
      </c>
      <c r="T283" s="45" t="str">
        <f>IFERROR(VLOOKUP(B283,'Pre-Summary'!$Y$6:$AC$83, 3,FALSE),"")</f>
        <v/>
      </c>
      <c r="U283" s="45" t="str">
        <f>IFERROR(VLOOKUP(B283,'Pre-Summary'!$Y$6:$AC$83, 4,FALSE),"")</f>
        <v/>
      </c>
      <c r="V283" t="str">
        <f>IFERROR(VLOOKUP(B283,'Pre-Summary'!$Y$6:$AC$83, 5,FALSE),"")</f>
        <v/>
      </c>
      <c r="W283" s="45" t="str">
        <f>IFERROR(VLOOKUP(B283,'Pre-Summary'!$Y$6:$AD$83,6,FALSE),"")</f>
        <v/>
      </c>
      <c r="X283" t="str">
        <f>IFERROR(VLOOKUP('Pre-Summary'!$DB$6:$DD$63,3,FALSE),"")</f>
        <v/>
      </c>
      <c r="Y283" t="str">
        <f>IFERROR(VLOOKUP(B283,'Pre-Summary'!$CR$6:$CT$36,3,FALSE),"")</f>
        <v/>
      </c>
      <c r="Z283" s="45" t="str">
        <f>IFERROR(VLOOKUP(B283,'Pre-Summary'!$BZ$6:$CB$63,2,FALSE),"")</f>
        <v/>
      </c>
      <c r="AA283" s="45" t="str">
        <f>IFERROR(VLOOKUP(B283,'Pre-Summary'!$CG$6:$CI$70,2,FALSE),"")</f>
        <v/>
      </c>
      <c r="AB283" s="99">
        <f>IFERROR(VLOOKUP(B283,'Pre-Summary'!$A$6:$P$178,9,FALSE),AB284)</f>
        <v>1.0067180186389197</v>
      </c>
      <c r="AC283" s="10">
        <f>IFERROR(VLOOKUP(Summary!B283,'Pre-Summary'!$A$6:$P$184,5, FALSE)/100,AC284)</f>
        <v>0.115633</v>
      </c>
      <c r="AD283" s="10">
        <f>IFERROR(VLOOKUP(Summary!B283,'Pre-Summary'!$A$6:$P$184,3, FALSE)/100,AD284)</f>
        <v>0.88127200000000006</v>
      </c>
      <c r="AE283" s="10">
        <f>IFERROR(VLOOKUP(Summary!B283,'Pre-Summary'!$A$6:$P$184,7, FALSE)/100,AE284)</f>
        <v>3.0949999999999992E-3</v>
      </c>
      <c r="AF283" s="99">
        <f t="shared" si="13"/>
        <v>0.88719240172195812</v>
      </c>
      <c r="AG283" s="99">
        <f t="shared" si="14"/>
        <v>3.115792267687456E-3</v>
      </c>
      <c r="AH283" s="10" t="str">
        <f>IFERROR(VLOOKUP(B283,'Pre-Summary'!$AZ$6:$BE$65,3,FALSE),"")</f>
        <v/>
      </c>
      <c r="AI283" s="10" t="str">
        <f>IFERROR(VLOOKUP(B283,'Pre-Summary'!$AZ$6:$BE$65,5,FALSE),"")</f>
        <v/>
      </c>
      <c r="AJ283" s="10" t="str">
        <f>IFERROR(VLOOKUP(B283,'Pre-Summary'!$AZ$6:$BE$65,4,FALSE),"")</f>
        <v/>
      </c>
      <c r="AK283" s="10" t="str">
        <f>IFERROR(VLOOKUP(B283,'Pre-Summary'!$AZ$6:$BE$65,6,FALSE),"")</f>
        <v/>
      </c>
      <c r="AL283" s="10" t="str">
        <f>IFERROR(VLOOKUP(B283,'Pre-Summary'!$BG$6:$BL$44,3,FALSE),"")</f>
        <v/>
      </c>
      <c r="AM283" s="10" t="str">
        <f>IFERROR(VLOOKUP(B283,'Pre-Summary'!$BG$6:$BL$44,4,FALSE),"")</f>
        <v/>
      </c>
    </row>
    <row r="284" spans="2:39" ht="15" customHeight="1" x14ac:dyDescent="0.3">
      <c r="B284">
        <v>28.1</v>
      </c>
      <c r="C284" t="str">
        <f>IFERROR(VLOOKUP(B284,'Pre-Summary'!$DI$6:$DM$23,4,FALSE),"")</f>
        <v/>
      </c>
      <c r="D284" s="10" t="str">
        <f>IFERROR(VLOOKUP(B284,'Pre-Summary'!$AT$6:$AX$14,5,FALSE),D283)</f>
        <v>DSMZ v1.5: Using DSMZ 120 with NaHCO3</v>
      </c>
      <c r="E284" s="10" t="str">
        <f>IFERROR(VLOOKUP(B284,'Pre-Summary'!$AT$6:$AX$15,4,FALSE),"")</f>
        <v/>
      </c>
      <c r="F284">
        <f>IFERROR(VLOOKUP(B284,'Pre-Summary'!$AL$6:$AQ$13,6,FALSE),F283)</f>
        <v>0</v>
      </c>
      <c r="G284" t="str">
        <f>IFERROR(VLOOKUP(B284,'Pre-Summary'!$AE$6:$AJ$85,3,FALSE),"")</f>
        <v/>
      </c>
      <c r="H284" t="str">
        <f>IFERROR(VLOOKUP(B284,'Pre-Summary'!$AE$6:$AJ$85,4,FALSE),"")</f>
        <v/>
      </c>
      <c r="I284" t="str">
        <f>IFERROR(VLOOKUP(B284,'Pre-Summary'!$AE$6:$AJ$85,5,FALSE),"")</f>
        <v/>
      </c>
      <c r="J284" s="45" t="str">
        <f>IFERROR(VLOOKUP(B284,'Pre-Summary'!$AE$6:$AJ$85,6, FALSE),"")</f>
        <v/>
      </c>
      <c r="K284" s="45" t="str">
        <f>IFERROR(VLOOKUP(B284,'Pre-Summary'!$DE$6:$DG$61,3,FALSE),"")</f>
        <v/>
      </c>
      <c r="L284" s="45" t="str">
        <f>IFERROR(VLOOKUP(B284,'Pre-Summary'!$CU$6:$CW$36,3,FALSE),"")</f>
        <v/>
      </c>
      <c r="M284" s="45" t="str">
        <f>IFERROR(VLOOKUP(B284,'Pre-Summary'!$BW$6:$BY$58,2,FALSE),"")</f>
        <v/>
      </c>
      <c r="N284" s="45" t="str">
        <f>IFERROR(VLOOKUP(B284,'Pre-Summary'!$CD$6:$CF$64,2,FALSE),"")</f>
        <v/>
      </c>
      <c r="O284" s="99">
        <f>IFERROR(VLOOKUP(B284,'Pre-Summary'!$BO$6:$BQ$48,3, FALSE),O283)</f>
        <v>1.0915248032216731</v>
      </c>
      <c r="P284" s="99">
        <f>IFERROR(VLOOKUP(B284,'Pre-Summary'!$BS$6:$BU$35,3,FALSE),P283)</f>
        <v>0.25</v>
      </c>
      <c r="Q284" s="54">
        <f t="shared" si="12"/>
        <v>4.3660992128866924</v>
      </c>
      <c r="R284" s="53">
        <f>IFERROR(VLOOKUP(B284,'Pre-Summary'!$BG$6:$BM$44,7,FALSE),R285)</f>
        <v>2.7904161219319636E-2</v>
      </c>
      <c r="S284" s="53">
        <f>IFERROR(VLOOKUP(B284,'Pre-Summary'!$BG$6:$BM$44,6,FALSE),S285)</f>
        <v>3.3978715219895171E-2</v>
      </c>
      <c r="T284" s="45" t="str">
        <f>IFERROR(VLOOKUP(B284,'Pre-Summary'!$Y$6:$AC$83, 3,FALSE),"")</f>
        <v/>
      </c>
      <c r="U284" s="45" t="str">
        <f>IFERROR(VLOOKUP(B284,'Pre-Summary'!$Y$6:$AC$83, 4,FALSE),"")</f>
        <v/>
      </c>
      <c r="V284" t="str">
        <f>IFERROR(VLOOKUP(B284,'Pre-Summary'!$Y$6:$AC$83, 5,FALSE),"")</f>
        <v/>
      </c>
      <c r="W284" s="45" t="str">
        <f>IFERROR(VLOOKUP(B284,'Pre-Summary'!$Y$6:$AD$83,6,FALSE),"")</f>
        <v/>
      </c>
      <c r="X284" t="str">
        <f>IFERROR(VLOOKUP('Pre-Summary'!$DB$6:$DD$63,3,FALSE),"")</f>
        <v/>
      </c>
      <c r="Y284" t="str">
        <f>IFERROR(VLOOKUP(B284,'Pre-Summary'!$CR$6:$CT$36,3,FALSE),"")</f>
        <v/>
      </c>
      <c r="Z284" s="45" t="str">
        <f>IFERROR(VLOOKUP(B284,'Pre-Summary'!$BZ$6:$CB$63,2,FALSE),"")</f>
        <v/>
      </c>
      <c r="AA284" s="45" t="str">
        <f>IFERROR(VLOOKUP(B284,'Pre-Summary'!$CG$6:$CI$70,2,FALSE),"")</f>
        <v/>
      </c>
      <c r="AB284" s="99">
        <f>IFERROR(VLOOKUP(B284,'Pre-Summary'!$A$6:$P$178,9,FALSE),AB285)</f>
        <v>1.0067180186389197</v>
      </c>
      <c r="AC284" s="10">
        <f>IFERROR(VLOOKUP(Summary!B284,'Pre-Summary'!$A$6:$P$184,5, FALSE)/100,AC285)</f>
        <v>0.115633</v>
      </c>
      <c r="AD284" s="10">
        <f>IFERROR(VLOOKUP(Summary!B284,'Pre-Summary'!$A$6:$P$184,3, FALSE)/100,AD285)</f>
        <v>0.88127200000000006</v>
      </c>
      <c r="AE284" s="10">
        <f>IFERROR(VLOOKUP(Summary!B284,'Pre-Summary'!$A$6:$P$184,7, FALSE)/100,AE285)</f>
        <v>3.0949999999999992E-3</v>
      </c>
      <c r="AF284" s="99">
        <f t="shared" si="13"/>
        <v>0.88719240172195812</v>
      </c>
      <c r="AG284" s="99">
        <f t="shared" si="14"/>
        <v>3.115792267687456E-3</v>
      </c>
      <c r="AH284" s="10" t="str">
        <f>IFERROR(VLOOKUP(B284,'Pre-Summary'!$AZ$6:$BE$65,3,FALSE),"")</f>
        <v/>
      </c>
      <c r="AI284" s="10" t="str">
        <f>IFERROR(VLOOKUP(B284,'Pre-Summary'!$AZ$6:$BE$65,5,FALSE),"")</f>
        <v/>
      </c>
      <c r="AJ284" s="10" t="str">
        <f>IFERROR(VLOOKUP(B284,'Pre-Summary'!$AZ$6:$BE$65,4,FALSE),"")</f>
        <v/>
      </c>
      <c r="AK284" s="10" t="str">
        <f>IFERROR(VLOOKUP(B284,'Pre-Summary'!$AZ$6:$BE$65,6,FALSE),"")</f>
        <v/>
      </c>
      <c r="AL284" s="10" t="str">
        <f>IFERROR(VLOOKUP(B284,'Pre-Summary'!$BG$6:$BL$44,3,FALSE),"")</f>
        <v/>
      </c>
      <c r="AM284" s="10" t="str">
        <f>IFERROR(VLOOKUP(B284,'Pre-Summary'!$BG$6:$BL$44,4,FALSE),"")</f>
        <v/>
      </c>
    </row>
    <row r="285" spans="2:39" ht="15" customHeight="1" x14ac:dyDescent="0.3">
      <c r="B285">
        <v>28.2</v>
      </c>
      <c r="C285" t="str">
        <f>IFERROR(VLOOKUP(B285,'Pre-Summary'!$DI$6:$DM$23,4,FALSE),"")</f>
        <v/>
      </c>
      <c r="D285" s="10" t="str">
        <f>IFERROR(VLOOKUP(B285,'Pre-Summary'!$AT$6:$AX$14,5,FALSE),D284)</f>
        <v>DSMZ v1.5: Using DSMZ 120 with NaHCO3</v>
      </c>
      <c r="E285" s="10" t="str">
        <f>IFERROR(VLOOKUP(B285,'Pre-Summary'!$AT$6:$AX$15,4,FALSE),"")</f>
        <v/>
      </c>
      <c r="F285">
        <f>IFERROR(VLOOKUP(B285,'Pre-Summary'!$AL$6:$AQ$13,6,FALSE),F284)</f>
        <v>0</v>
      </c>
      <c r="G285" t="str">
        <f>IFERROR(VLOOKUP(B285,'Pre-Summary'!$AE$6:$AJ$85,3,FALSE),"")</f>
        <v/>
      </c>
      <c r="H285" t="str">
        <f>IFERROR(VLOOKUP(B285,'Pre-Summary'!$AE$6:$AJ$85,4,FALSE),"")</f>
        <v/>
      </c>
      <c r="I285" t="str">
        <f>IFERROR(VLOOKUP(B285,'Pre-Summary'!$AE$6:$AJ$85,5,FALSE),"")</f>
        <v/>
      </c>
      <c r="J285" s="45" t="str">
        <f>IFERROR(VLOOKUP(B285,'Pre-Summary'!$AE$6:$AJ$85,6, FALSE),"")</f>
        <v/>
      </c>
      <c r="K285" s="45" t="str">
        <f>IFERROR(VLOOKUP(B285,'Pre-Summary'!$DE$6:$DG$61,3,FALSE),"")</f>
        <v/>
      </c>
      <c r="L285" s="45" t="str">
        <f>IFERROR(VLOOKUP(B285,'Pre-Summary'!$CU$6:$CW$36,3,FALSE),"")</f>
        <v/>
      </c>
      <c r="M285" s="45" t="str">
        <f>IFERROR(VLOOKUP(B285,'Pre-Summary'!$BW$6:$BY$58,2,FALSE),"")</f>
        <v/>
      </c>
      <c r="N285" s="45" t="str">
        <f>IFERROR(VLOOKUP(B285,'Pre-Summary'!$CD$6:$CF$64,2,FALSE),"")</f>
        <v/>
      </c>
      <c r="O285" s="99">
        <f>IFERROR(VLOOKUP(B285,'Pre-Summary'!$BO$6:$BQ$48,3, FALSE),O284)</f>
        <v>1.0915248032216731</v>
      </c>
      <c r="P285" s="99">
        <f>IFERROR(VLOOKUP(B285,'Pre-Summary'!$BS$6:$BU$35,3,FALSE),P284)</f>
        <v>0.25</v>
      </c>
      <c r="Q285" s="54">
        <f t="shared" si="12"/>
        <v>4.3660992128866924</v>
      </c>
      <c r="R285" s="53">
        <f>IFERROR(VLOOKUP(B285,'Pre-Summary'!$BG$6:$BM$44,7,FALSE),R286)</f>
        <v>2.7904161219319636E-2</v>
      </c>
      <c r="S285" s="53">
        <f>IFERROR(VLOOKUP(B285,'Pre-Summary'!$BG$6:$BM$44,6,FALSE),S286)</f>
        <v>3.3978715219895171E-2</v>
      </c>
      <c r="T285" s="45" t="str">
        <f>IFERROR(VLOOKUP(B285,'Pre-Summary'!$Y$6:$AC$83, 3,FALSE),"")</f>
        <v/>
      </c>
      <c r="U285" s="45" t="str">
        <f>IFERROR(VLOOKUP(B285,'Pre-Summary'!$Y$6:$AC$83, 4,FALSE),"")</f>
        <v/>
      </c>
      <c r="V285" t="str">
        <f>IFERROR(VLOOKUP(B285,'Pre-Summary'!$Y$6:$AC$83, 5,FALSE),"")</f>
        <v/>
      </c>
      <c r="W285" s="45" t="str">
        <f>IFERROR(VLOOKUP(B285,'Pre-Summary'!$Y$6:$AD$83,6,FALSE),"")</f>
        <v/>
      </c>
      <c r="X285" t="str">
        <f>IFERROR(VLOOKUP('Pre-Summary'!$DB$6:$DD$63,3,FALSE),"")</f>
        <v/>
      </c>
      <c r="Y285" t="str">
        <f>IFERROR(VLOOKUP(B285,'Pre-Summary'!$CR$6:$CT$36,3,FALSE),"")</f>
        <v/>
      </c>
      <c r="Z285" s="45" t="str">
        <f>IFERROR(VLOOKUP(B285,'Pre-Summary'!$BZ$6:$CB$63,2,FALSE),"")</f>
        <v/>
      </c>
      <c r="AA285" s="45" t="str">
        <f>IFERROR(VLOOKUP(B285,'Pre-Summary'!$CG$6:$CI$70,2,FALSE),"")</f>
        <v/>
      </c>
      <c r="AB285" s="99">
        <f>IFERROR(VLOOKUP(B285,'Pre-Summary'!$A$6:$P$178,9,FALSE),AB286)</f>
        <v>1.0067180186389197</v>
      </c>
      <c r="AC285" s="10">
        <f>IFERROR(VLOOKUP(Summary!B285,'Pre-Summary'!$A$6:$P$184,5, FALSE)/100,AC286)</f>
        <v>0.115633</v>
      </c>
      <c r="AD285" s="10">
        <f>IFERROR(VLOOKUP(Summary!B285,'Pre-Summary'!$A$6:$P$184,3, FALSE)/100,AD286)</f>
        <v>0.88127200000000006</v>
      </c>
      <c r="AE285" s="10">
        <f>IFERROR(VLOOKUP(Summary!B285,'Pre-Summary'!$A$6:$P$184,7, FALSE)/100,AE286)</f>
        <v>3.0949999999999992E-3</v>
      </c>
      <c r="AF285" s="99">
        <f t="shared" si="13"/>
        <v>0.88719240172195812</v>
      </c>
      <c r="AG285" s="99">
        <f t="shared" si="14"/>
        <v>3.115792267687456E-3</v>
      </c>
      <c r="AH285" s="10" t="str">
        <f>IFERROR(VLOOKUP(B285,'Pre-Summary'!$AZ$6:$BE$65,3,FALSE),"")</f>
        <v/>
      </c>
      <c r="AI285" s="10" t="str">
        <f>IFERROR(VLOOKUP(B285,'Pre-Summary'!$AZ$6:$BE$65,5,FALSE),"")</f>
        <v/>
      </c>
      <c r="AJ285" s="10" t="str">
        <f>IFERROR(VLOOKUP(B285,'Pre-Summary'!$AZ$6:$BE$65,4,FALSE),"")</f>
        <v/>
      </c>
      <c r="AK285" s="10" t="str">
        <f>IFERROR(VLOOKUP(B285,'Pre-Summary'!$AZ$6:$BE$65,6,FALSE),"")</f>
        <v/>
      </c>
      <c r="AL285" s="10" t="str">
        <f>IFERROR(VLOOKUP(B285,'Pre-Summary'!$BG$6:$BL$44,3,FALSE),"")</f>
        <v/>
      </c>
      <c r="AM285" s="10" t="str">
        <f>IFERROR(VLOOKUP(B285,'Pre-Summary'!$BG$6:$BL$44,4,FALSE),"")</f>
        <v/>
      </c>
    </row>
    <row r="286" spans="2:39" ht="15" customHeight="1" x14ac:dyDescent="0.3">
      <c r="B286">
        <v>28.3</v>
      </c>
      <c r="C286" t="str">
        <f>IFERROR(VLOOKUP(B286,'Pre-Summary'!$DI$6:$DM$23,4,FALSE),"")</f>
        <v/>
      </c>
      <c r="D286" s="10" t="str">
        <f>IFERROR(VLOOKUP(B286,'Pre-Summary'!$AT$6:$AX$14,5,FALSE),D285)</f>
        <v>DSMZ v1.5: Using DSMZ 120 with NaHCO3</v>
      </c>
      <c r="E286" s="10" t="str">
        <f>IFERROR(VLOOKUP(B286,'Pre-Summary'!$AT$6:$AX$15,4,FALSE),"")</f>
        <v/>
      </c>
      <c r="F286">
        <f>IFERROR(VLOOKUP(B286,'Pre-Summary'!$AL$6:$AQ$13,6,FALSE),F285)</f>
        <v>0</v>
      </c>
      <c r="G286" t="str">
        <f>IFERROR(VLOOKUP(B286,'Pre-Summary'!$AE$6:$AJ$85,3,FALSE),"")</f>
        <v/>
      </c>
      <c r="H286" t="str">
        <f>IFERROR(VLOOKUP(B286,'Pre-Summary'!$AE$6:$AJ$85,4,FALSE),"")</f>
        <v/>
      </c>
      <c r="I286" t="str">
        <f>IFERROR(VLOOKUP(B286,'Pre-Summary'!$AE$6:$AJ$85,5,FALSE),"")</f>
        <v/>
      </c>
      <c r="J286" s="45" t="str">
        <f>IFERROR(VLOOKUP(B286,'Pre-Summary'!$AE$6:$AJ$85,6, FALSE),"")</f>
        <v/>
      </c>
      <c r="K286" s="45" t="str">
        <f>IFERROR(VLOOKUP(B286,'Pre-Summary'!$DE$6:$DG$61,3,FALSE),"")</f>
        <v/>
      </c>
      <c r="L286" s="45" t="str">
        <f>IFERROR(VLOOKUP(B286,'Pre-Summary'!$CU$6:$CW$36,3,FALSE),"")</f>
        <v/>
      </c>
      <c r="M286" s="45" t="str">
        <f>IFERROR(VLOOKUP(B286,'Pre-Summary'!$BW$6:$BY$58,2,FALSE),"")</f>
        <v/>
      </c>
      <c r="N286" s="45" t="str">
        <f>IFERROR(VLOOKUP(B286,'Pre-Summary'!$CD$6:$CF$64,2,FALSE),"")</f>
        <v/>
      </c>
      <c r="O286" s="99">
        <f>IFERROR(VLOOKUP(B286,'Pre-Summary'!$BO$6:$BQ$48,3, FALSE),O285)</f>
        <v>1.0915248032216731</v>
      </c>
      <c r="P286" s="99">
        <f>IFERROR(VLOOKUP(B286,'Pre-Summary'!$BS$6:$BU$35,3,FALSE),P285)</f>
        <v>0.25</v>
      </c>
      <c r="Q286" s="54">
        <f t="shared" si="12"/>
        <v>4.3660992128866924</v>
      </c>
      <c r="R286" s="53">
        <f>IFERROR(VLOOKUP(B286,'Pre-Summary'!$BG$6:$BM$44,7,FALSE),R287)</f>
        <v>2.7904161219319636E-2</v>
      </c>
      <c r="S286" s="53">
        <f>IFERROR(VLOOKUP(B286,'Pre-Summary'!$BG$6:$BM$44,6,FALSE),S287)</f>
        <v>3.3978715219895171E-2</v>
      </c>
      <c r="T286" s="45" t="str">
        <f>IFERROR(VLOOKUP(B286,'Pre-Summary'!$Y$6:$AC$83, 3,FALSE),"")</f>
        <v/>
      </c>
      <c r="U286" s="45" t="str">
        <f>IFERROR(VLOOKUP(B286,'Pre-Summary'!$Y$6:$AC$83, 4,FALSE),"")</f>
        <v/>
      </c>
      <c r="V286" t="str">
        <f>IFERROR(VLOOKUP(B286,'Pre-Summary'!$Y$6:$AC$83, 5,FALSE),"")</f>
        <v/>
      </c>
      <c r="W286" s="45" t="str">
        <f>IFERROR(VLOOKUP(B286,'Pre-Summary'!$Y$6:$AD$83,6,FALSE),"")</f>
        <v/>
      </c>
      <c r="X286" t="str">
        <f>IFERROR(VLOOKUP('Pre-Summary'!$DB$6:$DD$63,3,FALSE),"")</f>
        <v/>
      </c>
      <c r="Y286" t="str">
        <f>IFERROR(VLOOKUP(B286,'Pre-Summary'!$CR$6:$CT$36,3,FALSE),"")</f>
        <v/>
      </c>
      <c r="Z286" s="45" t="str">
        <f>IFERROR(VLOOKUP(B286,'Pre-Summary'!$BZ$6:$CB$63,2,FALSE),"")</f>
        <v/>
      </c>
      <c r="AA286" s="45" t="str">
        <f>IFERROR(VLOOKUP(B286,'Pre-Summary'!$CG$6:$CI$70,2,FALSE),"")</f>
        <v/>
      </c>
      <c r="AB286" s="99">
        <f>IFERROR(VLOOKUP(B286,'Pre-Summary'!$A$6:$P$178,9,FALSE),AB287)</f>
        <v>1.0067180186389197</v>
      </c>
      <c r="AC286" s="10">
        <f>IFERROR(VLOOKUP(Summary!B286,'Pre-Summary'!$A$6:$P$184,5, FALSE)/100,AC287)</f>
        <v>0.115633</v>
      </c>
      <c r="AD286" s="10">
        <f>IFERROR(VLOOKUP(Summary!B286,'Pre-Summary'!$A$6:$P$184,3, FALSE)/100,AD287)</f>
        <v>0.88127200000000006</v>
      </c>
      <c r="AE286" s="10">
        <f>IFERROR(VLOOKUP(Summary!B286,'Pre-Summary'!$A$6:$P$184,7, FALSE)/100,AE287)</f>
        <v>3.0949999999999992E-3</v>
      </c>
      <c r="AF286" s="99">
        <f t="shared" si="13"/>
        <v>0.88719240172195812</v>
      </c>
      <c r="AG286" s="99">
        <f t="shared" si="14"/>
        <v>3.115792267687456E-3</v>
      </c>
      <c r="AH286" s="10" t="str">
        <f>IFERROR(VLOOKUP(B286,'Pre-Summary'!$AZ$6:$BE$65,3,FALSE),"")</f>
        <v/>
      </c>
      <c r="AI286" s="10" t="str">
        <f>IFERROR(VLOOKUP(B286,'Pre-Summary'!$AZ$6:$BE$65,5,FALSE),"")</f>
        <v/>
      </c>
      <c r="AJ286" s="10" t="str">
        <f>IFERROR(VLOOKUP(B286,'Pre-Summary'!$AZ$6:$BE$65,4,FALSE),"")</f>
        <v/>
      </c>
      <c r="AK286" s="10" t="str">
        <f>IFERROR(VLOOKUP(B286,'Pre-Summary'!$AZ$6:$BE$65,6,FALSE),"")</f>
        <v/>
      </c>
      <c r="AL286" s="10" t="str">
        <f>IFERROR(VLOOKUP(B286,'Pre-Summary'!$BG$6:$BL$44,3,FALSE),"")</f>
        <v/>
      </c>
      <c r="AM286" s="10" t="str">
        <f>IFERROR(VLOOKUP(B286,'Pre-Summary'!$BG$6:$BL$44,4,FALSE),"")</f>
        <v/>
      </c>
    </row>
    <row r="287" spans="2:39" ht="15" customHeight="1" x14ac:dyDescent="0.3">
      <c r="B287">
        <v>28.4</v>
      </c>
      <c r="C287" t="str">
        <f>IFERROR(VLOOKUP(B287,'Pre-Summary'!$DI$6:$DM$23,4,FALSE),"")</f>
        <v/>
      </c>
      <c r="D287" s="10" t="str">
        <f>IFERROR(VLOOKUP(B287,'Pre-Summary'!$AT$6:$AX$14,5,FALSE),D286)</f>
        <v>DSMZ v1.5: Using DSMZ 120 with NaHCO3</v>
      </c>
      <c r="E287" s="10" t="str">
        <f>IFERROR(VLOOKUP(B287,'Pre-Summary'!$AT$6:$AX$15,4,FALSE),"")</f>
        <v/>
      </c>
      <c r="F287">
        <f>IFERROR(VLOOKUP(B287,'Pre-Summary'!$AL$6:$AQ$13,6,FALSE),F286)</f>
        <v>0</v>
      </c>
      <c r="G287" t="str">
        <f>IFERROR(VLOOKUP(B287,'Pre-Summary'!$AE$6:$AJ$85,3,FALSE),"")</f>
        <v/>
      </c>
      <c r="H287" t="str">
        <f>IFERROR(VLOOKUP(B287,'Pre-Summary'!$AE$6:$AJ$85,4,FALSE),"")</f>
        <v/>
      </c>
      <c r="I287" t="str">
        <f>IFERROR(VLOOKUP(B287,'Pre-Summary'!$AE$6:$AJ$85,5,FALSE),"")</f>
        <v/>
      </c>
      <c r="J287" s="45" t="str">
        <f>IFERROR(VLOOKUP(B287,'Pre-Summary'!$AE$6:$AJ$85,6, FALSE),"")</f>
        <v/>
      </c>
      <c r="K287" s="45" t="str">
        <f>IFERROR(VLOOKUP(B287,'Pre-Summary'!$DE$6:$DG$61,3,FALSE),"")</f>
        <v/>
      </c>
      <c r="L287" s="45" t="str">
        <f>IFERROR(VLOOKUP(B287,'Pre-Summary'!$CU$6:$CW$36,3,FALSE),"")</f>
        <v/>
      </c>
      <c r="M287" s="45" t="str">
        <f>IFERROR(VLOOKUP(B287,'Pre-Summary'!$BW$6:$BY$58,2,FALSE),"")</f>
        <v/>
      </c>
      <c r="N287" s="45" t="str">
        <f>IFERROR(VLOOKUP(B287,'Pre-Summary'!$CD$6:$CF$64,2,FALSE),"")</f>
        <v/>
      </c>
      <c r="O287" s="99">
        <f>IFERROR(VLOOKUP(B287,'Pre-Summary'!$BO$6:$BQ$48,3, FALSE),O286)</f>
        <v>1.0915248032216731</v>
      </c>
      <c r="P287" s="99">
        <f>IFERROR(VLOOKUP(B287,'Pre-Summary'!$BS$6:$BU$35,3,FALSE),P286)</f>
        <v>0.25</v>
      </c>
      <c r="Q287" s="54">
        <f t="shared" si="12"/>
        <v>4.3660992128866924</v>
      </c>
      <c r="R287" s="53">
        <f>IFERROR(VLOOKUP(B287,'Pre-Summary'!$BG$6:$BM$44,7,FALSE),R288)</f>
        <v>2.7904161219319636E-2</v>
      </c>
      <c r="S287" s="53">
        <f>IFERROR(VLOOKUP(B287,'Pre-Summary'!$BG$6:$BM$44,6,FALSE),S288)</f>
        <v>3.3978715219895171E-2</v>
      </c>
      <c r="T287" s="45" t="str">
        <f>IFERROR(VLOOKUP(B287,'Pre-Summary'!$Y$6:$AC$83, 3,FALSE),"")</f>
        <v/>
      </c>
      <c r="U287" s="45" t="str">
        <f>IFERROR(VLOOKUP(B287,'Pre-Summary'!$Y$6:$AC$83, 4,FALSE),"")</f>
        <v/>
      </c>
      <c r="V287" t="str">
        <f>IFERROR(VLOOKUP(B287,'Pre-Summary'!$Y$6:$AC$83, 5,FALSE),"")</f>
        <v/>
      </c>
      <c r="W287" s="45" t="str">
        <f>IFERROR(VLOOKUP(B287,'Pre-Summary'!$Y$6:$AD$83,6,FALSE),"")</f>
        <v/>
      </c>
      <c r="X287" t="str">
        <f>IFERROR(VLOOKUP('Pre-Summary'!$DB$6:$DD$63,3,FALSE),"")</f>
        <v/>
      </c>
      <c r="Y287" t="str">
        <f>IFERROR(VLOOKUP(B287,'Pre-Summary'!$CR$6:$CT$36,3,FALSE),"")</f>
        <v/>
      </c>
      <c r="Z287" s="45" t="str">
        <f>IFERROR(VLOOKUP(B287,'Pre-Summary'!$BZ$6:$CB$63,2,FALSE),"")</f>
        <v/>
      </c>
      <c r="AA287" s="45" t="str">
        <f>IFERROR(VLOOKUP(B287,'Pre-Summary'!$CG$6:$CI$70,2,FALSE),"")</f>
        <v/>
      </c>
      <c r="AB287" s="99">
        <f>IFERROR(VLOOKUP(B287,'Pre-Summary'!$A$6:$P$178,9,FALSE),AB288)</f>
        <v>1.0067180186389197</v>
      </c>
      <c r="AC287" s="10">
        <f>IFERROR(VLOOKUP(Summary!B287,'Pre-Summary'!$A$6:$P$184,5, FALSE)/100,AC288)</f>
        <v>0.115633</v>
      </c>
      <c r="AD287" s="10">
        <f>IFERROR(VLOOKUP(Summary!B287,'Pre-Summary'!$A$6:$P$184,3, FALSE)/100,AD288)</f>
        <v>0.88127200000000006</v>
      </c>
      <c r="AE287" s="10">
        <f>IFERROR(VLOOKUP(Summary!B287,'Pre-Summary'!$A$6:$P$184,7, FALSE)/100,AE288)</f>
        <v>3.0949999999999992E-3</v>
      </c>
      <c r="AF287" s="99">
        <f t="shared" si="13"/>
        <v>0.88719240172195812</v>
      </c>
      <c r="AG287" s="99">
        <f t="shared" si="14"/>
        <v>3.115792267687456E-3</v>
      </c>
      <c r="AH287" s="10" t="str">
        <f>IFERROR(VLOOKUP(B287,'Pre-Summary'!$AZ$6:$BE$65,3,FALSE),"")</f>
        <v/>
      </c>
      <c r="AI287" s="10" t="str">
        <f>IFERROR(VLOOKUP(B287,'Pre-Summary'!$AZ$6:$BE$65,5,FALSE),"")</f>
        <v/>
      </c>
      <c r="AJ287" s="10" t="str">
        <f>IFERROR(VLOOKUP(B287,'Pre-Summary'!$AZ$6:$BE$65,4,FALSE),"")</f>
        <v/>
      </c>
      <c r="AK287" s="10" t="str">
        <f>IFERROR(VLOOKUP(B287,'Pre-Summary'!$AZ$6:$BE$65,6,FALSE),"")</f>
        <v/>
      </c>
      <c r="AL287" s="10" t="str">
        <f>IFERROR(VLOOKUP(B287,'Pre-Summary'!$BG$6:$BL$44,3,FALSE),"")</f>
        <v/>
      </c>
      <c r="AM287" s="10" t="str">
        <f>IFERROR(VLOOKUP(B287,'Pre-Summary'!$BG$6:$BL$44,4,FALSE),"")</f>
        <v/>
      </c>
    </row>
    <row r="288" spans="2:39" ht="15" customHeight="1" x14ac:dyDescent="0.3">
      <c r="B288">
        <v>28.5</v>
      </c>
      <c r="C288" t="str">
        <f>IFERROR(VLOOKUP(B288,'Pre-Summary'!$DI$6:$DM$23,4,FALSE),"")</f>
        <v/>
      </c>
      <c r="D288" s="10" t="str">
        <f>IFERROR(VLOOKUP(B288,'Pre-Summary'!$AT$6:$AX$14,5,FALSE),D287)</f>
        <v>DSMZ v1.5: Using DSMZ 120 with NaHCO3</v>
      </c>
      <c r="E288" s="10" t="str">
        <f>IFERROR(VLOOKUP(B288,'Pre-Summary'!$AT$6:$AX$15,4,FALSE),"")</f>
        <v/>
      </c>
      <c r="F288">
        <f>IFERROR(VLOOKUP(B288,'Pre-Summary'!$AL$6:$AQ$13,6,FALSE),F287)</f>
        <v>0</v>
      </c>
      <c r="G288" t="str">
        <f>IFERROR(VLOOKUP(B288,'Pre-Summary'!$AE$6:$AJ$85,3,FALSE),"")</f>
        <v/>
      </c>
      <c r="H288" t="str">
        <f>IFERROR(VLOOKUP(B288,'Pre-Summary'!$AE$6:$AJ$85,4,FALSE),"")</f>
        <v/>
      </c>
      <c r="I288" t="str">
        <f>IFERROR(VLOOKUP(B288,'Pre-Summary'!$AE$6:$AJ$85,5,FALSE),"")</f>
        <v/>
      </c>
      <c r="J288" s="45" t="str">
        <f>IFERROR(VLOOKUP(B288,'Pre-Summary'!$AE$6:$AJ$85,6, FALSE),"")</f>
        <v/>
      </c>
      <c r="K288" s="45" t="str">
        <f>IFERROR(VLOOKUP(B288,'Pre-Summary'!$DE$6:$DG$61,3,FALSE),"")</f>
        <v/>
      </c>
      <c r="L288" s="45" t="str">
        <f>IFERROR(VLOOKUP(B288,'Pre-Summary'!$CU$6:$CW$36,3,FALSE),"")</f>
        <v/>
      </c>
      <c r="M288" s="45" t="str">
        <f>IFERROR(VLOOKUP(B288,'Pre-Summary'!$BW$6:$BY$58,2,FALSE),"")</f>
        <v/>
      </c>
      <c r="N288" s="45" t="str">
        <f>IFERROR(VLOOKUP(B288,'Pre-Summary'!$CD$6:$CF$64,2,FALSE),"")</f>
        <v/>
      </c>
      <c r="O288" s="99">
        <f>IFERROR(VLOOKUP(B288,'Pre-Summary'!$BO$6:$BQ$48,3, FALSE),O287)</f>
        <v>1.0915248032216731</v>
      </c>
      <c r="P288" s="99">
        <f>IFERROR(VLOOKUP(B288,'Pre-Summary'!$BS$6:$BU$35,3,FALSE),P287)</f>
        <v>0.25</v>
      </c>
      <c r="Q288" s="54">
        <f t="shared" si="12"/>
        <v>4.3660992128866924</v>
      </c>
      <c r="R288" s="53">
        <f>IFERROR(VLOOKUP(B288,'Pre-Summary'!$BG$6:$BM$44,7,FALSE),R289)</f>
        <v>2.7904161219319636E-2</v>
      </c>
      <c r="S288" s="53">
        <f>IFERROR(VLOOKUP(B288,'Pre-Summary'!$BG$6:$BM$44,6,FALSE),S289)</f>
        <v>3.3978715219895171E-2</v>
      </c>
      <c r="T288" s="45" t="str">
        <f>IFERROR(VLOOKUP(B288,'Pre-Summary'!$Y$6:$AC$83, 3,FALSE),"")</f>
        <v/>
      </c>
      <c r="U288" s="45" t="str">
        <f>IFERROR(VLOOKUP(B288,'Pre-Summary'!$Y$6:$AC$83, 4,FALSE),"")</f>
        <v/>
      </c>
      <c r="V288" t="str">
        <f>IFERROR(VLOOKUP(B288,'Pre-Summary'!$Y$6:$AC$83, 5,FALSE),"")</f>
        <v/>
      </c>
      <c r="W288" s="45" t="str">
        <f>IFERROR(VLOOKUP(B288,'Pre-Summary'!$Y$6:$AD$83,6,FALSE),"")</f>
        <v/>
      </c>
      <c r="X288" t="str">
        <f>IFERROR(VLOOKUP('Pre-Summary'!$DB$6:$DD$63,3,FALSE),"")</f>
        <v/>
      </c>
      <c r="Y288" t="str">
        <f>IFERROR(VLOOKUP(B288,'Pre-Summary'!$CR$6:$CT$36,3,FALSE),"")</f>
        <v/>
      </c>
      <c r="Z288" s="45" t="str">
        <f>IFERROR(VLOOKUP(B288,'Pre-Summary'!$BZ$6:$CB$63,2,FALSE),"")</f>
        <v/>
      </c>
      <c r="AA288" s="45" t="str">
        <f>IFERROR(VLOOKUP(B288,'Pre-Summary'!$CG$6:$CI$70,2,FALSE),"")</f>
        <v/>
      </c>
      <c r="AB288" s="99">
        <f>IFERROR(VLOOKUP(B288,'Pre-Summary'!$A$6:$P$178,9,FALSE),AB289)</f>
        <v>1.0067180186389197</v>
      </c>
      <c r="AC288" s="10">
        <f>IFERROR(VLOOKUP(Summary!B288,'Pre-Summary'!$A$6:$P$184,5, FALSE)/100,AC289)</f>
        <v>0.115633</v>
      </c>
      <c r="AD288" s="10">
        <f>IFERROR(VLOOKUP(Summary!B288,'Pre-Summary'!$A$6:$P$184,3, FALSE)/100,AD289)</f>
        <v>0.88127200000000006</v>
      </c>
      <c r="AE288" s="10">
        <f>IFERROR(VLOOKUP(Summary!B288,'Pre-Summary'!$A$6:$P$184,7, FALSE)/100,AE289)</f>
        <v>3.0949999999999992E-3</v>
      </c>
      <c r="AF288" s="99">
        <f t="shared" si="13"/>
        <v>0.88719240172195812</v>
      </c>
      <c r="AG288" s="99">
        <f t="shared" si="14"/>
        <v>3.115792267687456E-3</v>
      </c>
      <c r="AH288" s="10" t="str">
        <f>IFERROR(VLOOKUP(B288,'Pre-Summary'!$AZ$6:$BE$65,3,FALSE),"")</f>
        <v/>
      </c>
      <c r="AI288" s="10" t="str">
        <f>IFERROR(VLOOKUP(B288,'Pre-Summary'!$AZ$6:$BE$65,5,FALSE),"")</f>
        <v/>
      </c>
      <c r="AJ288" s="10" t="str">
        <f>IFERROR(VLOOKUP(B288,'Pre-Summary'!$AZ$6:$BE$65,4,FALSE),"")</f>
        <v/>
      </c>
      <c r="AK288" s="10" t="str">
        <f>IFERROR(VLOOKUP(B288,'Pre-Summary'!$AZ$6:$BE$65,6,FALSE),"")</f>
        <v/>
      </c>
      <c r="AL288" s="10" t="str">
        <f>IFERROR(VLOOKUP(B288,'Pre-Summary'!$BG$6:$BL$44,3,FALSE),"")</f>
        <v/>
      </c>
      <c r="AM288" s="10" t="str">
        <f>IFERROR(VLOOKUP(B288,'Pre-Summary'!$BG$6:$BL$44,4,FALSE),"")</f>
        <v/>
      </c>
    </row>
    <row r="289" spans="2:39" ht="15" customHeight="1" x14ac:dyDescent="0.3">
      <c r="B289">
        <v>28.6</v>
      </c>
      <c r="C289" t="str">
        <f>IFERROR(VLOOKUP(B289,'Pre-Summary'!$DI$6:$DM$23,4,FALSE),"")</f>
        <v/>
      </c>
      <c r="D289" s="10" t="str">
        <f>IFERROR(VLOOKUP(B289,'Pre-Summary'!$AT$6:$AX$14,5,FALSE),D288)</f>
        <v>DSMZ v1.5: Using DSMZ 120 with NaHCO3</v>
      </c>
      <c r="E289" s="10" t="str">
        <f>IFERROR(VLOOKUP(B289,'Pre-Summary'!$AT$6:$AX$15,4,FALSE),"")</f>
        <v/>
      </c>
      <c r="F289">
        <f>IFERROR(VLOOKUP(B289,'Pre-Summary'!$AL$6:$AQ$13,6,FALSE),F288)</f>
        <v>0</v>
      </c>
      <c r="G289" t="str">
        <f>IFERROR(VLOOKUP(B289,'Pre-Summary'!$AE$6:$AJ$85,3,FALSE),"")</f>
        <v/>
      </c>
      <c r="H289" t="str">
        <f>IFERROR(VLOOKUP(B289,'Pre-Summary'!$AE$6:$AJ$85,4,FALSE),"")</f>
        <v/>
      </c>
      <c r="I289" t="str">
        <f>IFERROR(VLOOKUP(B289,'Pre-Summary'!$AE$6:$AJ$85,5,FALSE),"")</f>
        <v/>
      </c>
      <c r="J289" s="45" t="str">
        <f>IFERROR(VLOOKUP(B289,'Pre-Summary'!$AE$6:$AJ$85,6, FALSE),"")</f>
        <v/>
      </c>
      <c r="K289" s="45" t="str">
        <f>IFERROR(VLOOKUP(B289,'Pre-Summary'!$DE$6:$DG$61,3,FALSE),"")</f>
        <v/>
      </c>
      <c r="L289" s="45" t="str">
        <f>IFERROR(VLOOKUP(B289,'Pre-Summary'!$CU$6:$CW$36,3,FALSE),"")</f>
        <v/>
      </c>
      <c r="M289" s="45" t="str">
        <f>IFERROR(VLOOKUP(B289,'Pre-Summary'!$BW$6:$BY$58,2,FALSE),"")</f>
        <v/>
      </c>
      <c r="N289" s="45" t="str">
        <f>IFERROR(VLOOKUP(B289,'Pre-Summary'!$CD$6:$CF$64,2,FALSE),"")</f>
        <v/>
      </c>
      <c r="O289" s="99">
        <f>IFERROR(VLOOKUP(B289,'Pre-Summary'!$BO$6:$BQ$48,3, FALSE),O288)</f>
        <v>1.0915248032216731</v>
      </c>
      <c r="P289" s="99">
        <f>IFERROR(VLOOKUP(B289,'Pre-Summary'!$BS$6:$BU$35,3,FALSE),P288)</f>
        <v>0.25</v>
      </c>
      <c r="Q289" s="54">
        <f t="shared" si="12"/>
        <v>4.3660992128866924</v>
      </c>
      <c r="R289" s="53">
        <f>IFERROR(VLOOKUP(B289,'Pre-Summary'!$BG$6:$BM$44,7,FALSE),R290)</f>
        <v>2.7904161219319636E-2</v>
      </c>
      <c r="S289" s="53">
        <f>IFERROR(VLOOKUP(B289,'Pre-Summary'!$BG$6:$BM$44,6,FALSE),S290)</f>
        <v>3.3978715219895171E-2</v>
      </c>
      <c r="T289" s="45" t="str">
        <f>IFERROR(VLOOKUP(B289,'Pre-Summary'!$Y$6:$AC$83, 3,FALSE),"")</f>
        <v/>
      </c>
      <c r="U289" s="45" t="str">
        <f>IFERROR(VLOOKUP(B289,'Pre-Summary'!$Y$6:$AC$83, 4,FALSE),"")</f>
        <v/>
      </c>
      <c r="V289" t="str">
        <f>IFERROR(VLOOKUP(B289,'Pre-Summary'!$Y$6:$AC$83, 5,FALSE),"")</f>
        <v/>
      </c>
      <c r="W289" s="45" t="str">
        <f>IFERROR(VLOOKUP(B289,'Pre-Summary'!$Y$6:$AD$83,6,FALSE),"")</f>
        <v/>
      </c>
      <c r="X289" t="str">
        <f>IFERROR(VLOOKUP('Pre-Summary'!$DB$6:$DD$63,3,FALSE),"")</f>
        <v/>
      </c>
      <c r="Y289" t="str">
        <f>IFERROR(VLOOKUP(B289,'Pre-Summary'!$CR$6:$CT$36,3,FALSE),"")</f>
        <v/>
      </c>
      <c r="Z289" s="45" t="str">
        <f>IFERROR(VLOOKUP(B289,'Pre-Summary'!$BZ$6:$CB$63,2,FALSE),"")</f>
        <v/>
      </c>
      <c r="AA289" s="45" t="str">
        <f>IFERROR(VLOOKUP(B289,'Pre-Summary'!$CG$6:$CI$70,2,FALSE),"")</f>
        <v/>
      </c>
      <c r="AB289" s="99">
        <f>IFERROR(VLOOKUP(B289,'Pre-Summary'!$A$6:$P$178,9,FALSE),AB290)</f>
        <v>1.0067180186389197</v>
      </c>
      <c r="AC289" s="10">
        <f>IFERROR(VLOOKUP(Summary!B289,'Pre-Summary'!$A$6:$P$184,5, FALSE)/100,AC290)</f>
        <v>0.115633</v>
      </c>
      <c r="AD289" s="10">
        <f>IFERROR(VLOOKUP(Summary!B289,'Pre-Summary'!$A$6:$P$184,3, FALSE)/100,AD290)</f>
        <v>0.88127200000000006</v>
      </c>
      <c r="AE289" s="10">
        <f>IFERROR(VLOOKUP(Summary!B289,'Pre-Summary'!$A$6:$P$184,7, FALSE)/100,AE290)</f>
        <v>3.0949999999999992E-3</v>
      </c>
      <c r="AF289" s="99">
        <f t="shared" si="13"/>
        <v>0.88719240172195812</v>
      </c>
      <c r="AG289" s="99">
        <f t="shared" si="14"/>
        <v>3.115792267687456E-3</v>
      </c>
      <c r="AH289" s="10" t="str">
        <f>IFERROR(VLOOKUP(B289,'Pre-Summary'!$AZ$6:$BE$65,3,FALSE),"")</f>
        <v/>
      </c>
      <c r="AI289" s="10" t="str">
        <f>IFERROR(VLOOKUP(B289,'Pre-Summary'!$AZ$6:$BE$65,5,FALSE),"")</f>
        <v/>
      </c>
      <c r="AJ289" s="10" t="str">
        <f>IFERROR(VLOOKUP(B289,'Pre-Summary'!$AZ$6:$BE$65,4,FALSE),"")</f>
        <v/>
      </c>
      <c r="AK289" s="10" t="str">
        <f>IFERROR(VLOOKUP(B289,'Pre-Summary'!$AZ$6:$BE$65,6,FALSE),"")</f>
        <v/>
      </c>
      <c r="AL289" s="10" t="str">
        <f>IFERROR(VLOOKUP(B289,'Pre-Summary'!$BG$6:$BL$44,3,FALSE),"")</f>
        <v/>
      </c>
      <c r="AM289" s="10" t="str">
        <f>IFERROR(VLOOKUP(B289,'Pre-Summary'!$BG$6:$BL$44,4,FALSE),"")</f>
        <v/>
      </c>
    </row>
    <row r="290" spans="2:39" ht="15" customHeight="1" x14ac:dyDescent="0.3">
      <c r="B290">
        <v>28.7</v>
      </c>
      <c r="C290" t="str">
        <f>IFERROR(VLOOKUP(B290,'Pre-Summary'!$DI$6:$DM$23,4,FALSE),"")</f>
        <v/>
      </c>
      <c r="D290" s="10" t="str">
        <f>IFERROR(VLOOKUP(B290,'Pre-Summary'!$AT$6:$AX$14,5,FALSE),D289)</f>
        <v>DSMZ v1.5: Using DSMZ 120 with NaHCO3</v>
      </c>
      <c r="E290" s="10" t="str">
        <f>IFERROR(VLOOKUP(B290,'Pre-Summary'!$AT$6:$AX$15,4,FALSE),"")</f>
        <v/>
      </c>
      <c r="F290">
        <f>IFERROR(VLOOKUP(B290,'Pre-Summary'!$AL$6:$AQ$13,6,FALSE),F289)</f>
        <v>0</v>
      </c>
      <c r="G290" t="str">
        <f>IFERROR(VLOOKUP(B290,'Pre-Summary'!$AE$6:$AJ$85,3,FALSE),"")</f>
        <v/>
      </c>
      <c r="H290" t="str">
        <f>IFERROR(VLOOKUP(B290,'Pre-Summary'!$AE$6:$AJ$85,4,FALSE),"")</f>
        <v/>
      </c>
      <c r="I290" t="str">
        <f>IFERROR(VLOOKUP(B290,'Pre-Summary'!$AE$6:$AJ$85,5,FALSE),"")</f>
        <v/>
      </c>
      <c r="J290" s="45" t="str">
        <f>IFERROR(VLOOKUP(B290,'Pre-Summary'!$AE$6:$AJ$85,6, FALSE),"")</f>
        <v/>
      </c>
      <c r="K290" s="45" t="str">
        <f>IFERROR(VLOOKUP(B290,'Pre-Summary'!$DE$6:$DG$61,3,FALSE),"")</f>
        <v/>
      </c>
      <c r="L290" s="45" t="str">
        <f>IFERROR(VLOOKUP(B290,'Pre-Summary'!$CU$6:$CW$36,3,FALSE),"")</f>
        <v/>
      </c>
      <c r="M290" s="45" t="str">
        <f>IFERROR(VLOOKUP(B290,'Pre-Summary'!$BW$6:$BY$58,2,FALSE),"")</f>
        <v/>
      </c>
      <c r="N290" s="45" t="str">
        <f>IFERROR(VLOOKUP(B290,'Pre-Summary'!$CD$6:$CF$64,2,FALSE),"")</f>
        <v/>
      </c>
      <c r="O290" s="99">
        <f>IFERROR(VLOOKUP(B290,'Pre-Summary'!$BO$6:$BQ$48,3, FALSE),O289)</f>
        <v>1.0915248032216731</v>
      </c>
      <c r="P290" s="99">
        <f>IFERROR(VLOOKUP(B290,'Pre-Summary'!$BS$6:$BU$35,3,FALSE),P289)</f>
        <v>0.25</v>
      </c>
      <c r="Q290" s="54">
        <f t="shared" si="12"/>
        <v>4.3660992128866924</v>
      </c>
      <c r="R290" s="53">
        <f>IFERROR(VLOOKUP(B290,'Pre-Summary'!$BG$6:$BM$44,7,FALSE),R291)</f>
        <v>2.7904161219319636E-2</v>
      </c>
      <c r="S290" s="53">
        <f>IFERROR(VLOOKUP(B290,'Pre-Summary'!$BG$6:$BM$44,6,FALSE),S291)</f>
        <v>3.3978715219895171E-2</v>
      </c>
      <c r="T290" s="45" t="str">
        <f>IFERROR(VLOOKUP(B290,'Pre-Summary'!$Y$6:$AC$83, 3,FALSE),"")</f>
        <v/>
      </c>
      <c r="U290" s="45" t="str">
        <f>IFERROR(VLOOKUP(B290,'Pre-Summary'!$Y$6:$AC$83, 4,FALSE),"")</f>
        <v/>
      </c>
      <c r="V290" t="str">
        <f>IFERROR(VLOOKUP(B290,'Pre-Summary'!$Y$6:$AC$83, 5,FALSE),"")</f>
        <v/>
      </c>
      <c r="W290" s="45" t="str">
        <f>IFERROR(VLOOKUP(B290,'Pre-Summary'!$Y$6:$AD$83,6,FALSE),"")</f>
        <v/>
      </c>
      <c r="X290" t="str">
        <f>IFERROR(VLOOKUP('Pre-Summary'!$DB$6:$DD$63,3,FALSE),"")</f>
        <v/>
      </c>
      <c r="Y290" t="str">
        <f>IFERROR(VLOOKUP(B290,'Pre-Summary'!$CR$6:$CT$36,3,FALSE),"")</f>
        <v/>
      </c>
      <c r="Z290" s="45" t="str">
        <f>IFERROR(VLOOKUP(B290,'Pre-Summary'!$BZ$6:$CB$63,2,FALSE),"")</f>
        <v/>
      </c>
      <c r="AA290" s="45" t="str">
        <f>IFERROR(VLOOKUP(B290,'Pre-Summary'!$CG$6:$CI$70,2,FALSE),"")</f>
        <v/>
      </c>
      <c r="AB290" s="99">
        <f>IFERROR(VLOOKUP(B290,'Pre-Summary'!$A$6:$P$178,9,FALSE),AB291)</f>
        <v>1.0067180186389197</v>
      </c>
      <c r="AC290" s="10">
        <f>IFERROR(VLOOKUP(Summary!B290,'Pre-Summary'!$A$6:$P$184,5, FALSE)/100,AC291)</f>
        <v>0.115633</v>
      </c>
      <c r="AD290" s="10">
        <f>IFERROR(VLOOKUP(Summary!B290,'Pre-Summary'!$A$6:$P$184,3, FALSE)/100,AD291)</f>
        <v>0.88127200000000006</v>
      </c>
      <c r="AE290" s="10">
        <f>IFERROR(VLOOKUP(Summary!B290,'Pre-Summary'!$A$6:$P$184,7, FALSE)/100,AE291)</f>
        <v>3.0949999999999992E-3</v>
      </c>
      <c r="AF290" s="99">
        <f t="shared" si="13"/>
        <v>0.88719240172195812</v>
      </c>
      <c r="AG290" s="99">
        <f t="shared" si="14"/>
        <v>3.115792267687456E-3</v>
      </c>
      <c r="AH290" s="10" t="str">
        <f>IFERROR(VLOOKUP(B290,'Pre-Summary'!$AZ$6:$BE$65,3,FALSE),"")</f>
        <v/>
      </c>
      <c r="AI290" s="10" t="str">
        <f>IFERROR(VLOOKUP(B290,'Pre-Summary'!$AZ$6:$BE$65,5,FALSE),"")</f>
        <v/>
      </c>
      <c r="AJ290" s="10" t="str">
        <f>IFERROR(VLOOKUP(B290,'Pre-Summary'!$AZ$6:$BE$65,4,FALSE),"")</f>
        <v/>
      </c>
      <c r="AK290" s="10" t="str">
        <f>IFERROR(VLOOKUP(B290,'Pre-Summary'!$AZ$6:$BE$65,6,FALSE),"")</f>
        <v/>
      </c>
      <c r="AL290" s="10" t="str">
        <f>IFERROR(VLOOKUP(B290,'Pre-Summary'!$BG$6:$BL$44,3,FALSE),"")</f>
        <v/>
      </c>
      <c r="AM290" s="10" t="str">
        <f>IFERROR(VLOOKUP(B290,'Pre-Summary'!$BG$6:$BL$44,4,FALSE),"")</f>
        <v/>
      </c>
    </row>
    <row r="291" spans="2:39" ht="15" customHeight="1" x14ac:dyDescent="0.3">
      <c r="B291">
        <v>28.8</v>
      </c>
      <c r="C291" t="str">
        <f>IFERROR(VLOOKUP(B291,'Pre-Summary'!$DI$6:$DM$23,4,FALSE),"")</f>
        <v/>
      </c>
      <c r="D291" s="10" t="str">
        <f>IFERROR(VLOOKUP(B291,'Pre-Summary'!$AT$6:$AX$14,5,FALSE),D290)</f>
        <v>DSMZ v1.5: Using DSMZ 120 with NaHCO3</v>
      </c>
      <c r="E291" s="10" t="str">
        <f>IFERROR(VLOOKUP(B291,'Pre-Summary'!$AT$6:$AX$15,4,FALSE),"")</f>
        <v/>
      </c>
      <c r="F291">
        <f>IFERROR(VLOOKUP(B291,'Pre-Summary'!$AL$6:$AQ$13,6,FALSE),F290)</f>
        <v>0</v>
      </c>
      <c r="G291" t="str">
        <f>IFERROR(VLOOKUP(B291,'Pre-Summary'!$AE$6:$AJ$85,3,FALSE),"")</f>
        <v/>
      </c>
      <c r="H291" t="str">
        <f>IFERROR(VLOOKUP(B291,'Pre-Summary'!$AE$6:$AJ$85,4,FALSE),"")</f>
        <v/>
      </c>
      <c r="I291" t="str">
        <f>IFERROR(VLOOKUP(B291,'Pre-Summary'!$AE$6:$AJ$85,5,FALSE),"")</f>
        <v/>
      </c>
      <c r="J291" s="45" t="str">
        <f>IFERROR(VLOOKUP(B291,'Pre-Summary'!$AE$6:$AJ$85,6, FALSE),"")</f>
        <v/>
      </c>
      <c r="K291" s="45" t="str">
        <f>IFERROR(VLOOKUP(B291,'Pre-Summary'!$DE$6:$DG$61,3,FALSE),"")</f>
        <v/>
      </c>
      <c r="L291" s="45" t="str">
        <f>IFERROR(VLOOKUP(B291,'Pre-Summary'!$CU$6:$CW$36,3,FALSE),"")</f>
        <v/>
      </c>
      <c r="M291" s="45" t="str">
        <f>IFERROR(VLOOKUP(B291,'Pre-Summary'!$BW$6:$BY$58,2,FALSE),"")</f>
        <v/>
      </c>
      <c r="N291" s="45" t="str">
        <f>IFERROR(VLOOKUP(B291,'Pre-Summary'!$CD$6:$CF$64,2,FALSE),"")</f>
        <v/>
      </c>
      <c r="O291" s="99">
        <f>IFERROR(VLOOKUP(B291,'Pre-Summary'!$BO$6:$BQ$48,3, FALSE),O290)</f>
        <v>1.0915248032216731</v>
      </c>
      <c r="P291" s="99">
        <f>IFERROR(VLOOKUP(B291,'Pre-Summary'!$BS$6:$BU$35,3,FALSE),P290)</f>
        <v>0.25</v>
      </c>
      <c r="Q291" s="54">
        <f t="shared" si="12"/>
        <v>4.3660992128866924</v>
      </c>
      <c r="R291" s="53">
        <f>IFERROR(VLOOKUP(B291,'Pre-Summary'!$BG$6:$BM$44,7,FALSE),R292)</f>
        <v>2.7904161219319636E-2</v>
      </c>
      <c r="S291" s="53">
        <f>IFERROR(VLOOKUP(B291,'Pre-Summary'!$BG$6:$BM$44,6,FALSE),S292)</f>
        <v>3.3978715219895171E-2</v>
      </c>
      <c r="T291" s="45" t="str">
        <f>IFERROR(VLOOKUP(B291,'Pre-Summary'!$Y$6:$AC$83, 3,FALSE),"")</f>
        <v/>
      </c>
      <c r="U291" s="45" t="str">
        <f>IFERROR(VLOOKUP(B291,'Pre-Summary'!$Y$6:$AC$83, 4,FALSE),"")</f>
        <v/>
      </c>
      <c r="V291" t="str">
        <f>IFERROR(VLOOKUP(B291,'Pre-Summary'!$Y$6:$AC$83, 5,FALSE),"")</f>
        <v/>
      </c>
      <c r="W291" s="45" t="str">
        <f>IFERROR(VLOOKUP(B291,'Pre-Summary'!$Y$6:$AD$83,6,FALSE),"")</f>
        <v/>
      </c>
      <c r="X291" t="str">
        <f>IFERROR(VLOOKUP('Pre-Summary'!$DB$6:$DD$63,3,FALSE),"")</f>
        <v/>
      </c>
      <c r="Y291" t="str">
        <f>IFERROR(VLOOKUP(B291,'Pre-Summary'!$CR$6:$CT$36,3,FALSE),"")</f>
        <v/>
      </c>
      <c r="Z291" s="45" t="str">
        <f>IFERROR(VLOOKUP(B291,'Pre-Summary'!$BZ$6:$CB$63,2,FALSE),"")</f>
        <v/>
      </c>
      <c r="AA291" s="45" t="str">
        <f>IFERROR(VLOOKUP(B291,'Pre-Summary'!$CG$6:$CI$70,2,FALSE),"")</f>
        <v/>
      </c>
      <c r="AB291" s="99">
        <f>IFERROR(VLOOKUP(B291,'Pre-Summary'!$A$6:$P$178,9,FALSE),AB292)</f>
        <v>1.0067180186389197</v>
      </c>
      <c r="AC291" s="10">
        <f>IFERROR(VLOOKUP(Summary!B291,'Pre-Summary'!$A$6:$P$184,5, FALSE)/100,AC292)</f>
        <v>0.115633</v>
      </c>
      <c r="AD291" s="10">
        <f>IFERROR(VLOOKUP(Summary!B291,'Pre-Summary'!$A$6:$P$184,3, FALSE)/100,AD292)</f>
        <v>0.88127200000000006</v>
      </c>
      <c r="AE291" s="10">
        <f>IFERROR(VLOOKUP(Summary!B291,'Pre-Summary'!$A$6:$P$184,7, FALSE)/100,AE292)</f>
        <v>3.0949999999999992E-3</v>
      </c>
      <c r="AF291" s="99">
        <f t="shared" si="13"/>
        <v>0.88719240172195812</v>
      </c>
      <c r="AG291" s="99">
        <f t="shared" si="14"/>
        <v>3.115792267687456E-3</v>
      </c>
      <c r="AH291" s="10" t="str">
        <f>IFERROR(VLOOKUP(B291,'Pre-Summary'!$AZ$6:$BE$65,3,FALSE),"")</f>
        <v/>
      </c>
      <c r="AI291" s="10" t="str">
        <f>IFERROR(VLOOKUP(B291,'Pre-Summary'!$AZ$6:$BE$65,5,FALSE),"")</f>
        <v/>
      </c>
      <c r="AJ291" s="10" t="str">
        <f>IFERROR(VLOOKUP(B291,'Pre-Summary'!$AZ$6:$BE$65,4,FALSE),"")</f>
        <v/>
      </c>
      <c r="AK291" s="10" t="str">
        <f>IFERROR(VLOOKUP(B291,'Pre-Summary'!$AZ$6:$BE$65,6,FALSE),"")</f>
        <v/>
      </c>
      <c r="AL291" s="10" t="str">
        <f>IFERROR(VLOOKUP(B291,'Pre-Summary'!$BG$6:$BL$44,3,FALSE),"")</f>
        <v/>
      </c>
      <c r="AM291" s="10" t="str">
        <f>IFERROR(VLOOKUP(B291,'Pre-Summary'!$BG$6:$BL$44,4,FALSE),"")</f>
        <v/>
      </c>
    </row>
    <row r="292" spans="2:39" ht="15" customHeight="1" x14ac:dyDescent="0.3">
      <c r="B292">
        <v>28.9</v>
      </c>
      <c r="C292" t="str">
        <f>IFERROR(VLOOKUP(B292,'Pre-Summary'!$DI$6:$DM$23,4,FALSE),"")</f>
        <v/>
      </c>
      <c r="D292" s="10" t="str">
        <f>IFERROR(VLOOKUP(B292,'Pre-Summary'!$AT$6:$AX$14,5,FALSE),D291)</f>
        <v>DSMZ v1.5: Using DSMZ 120 with NaHCO3</v>
      </c>
      <c r="E292" s="10" t="str">
        <f>IFERROR(VLOOKUP(B292,'Pre-Summary'!$AT$6:$AX$15,4,FALSE),"")</f>
        <v/>
      </c>
      <c r="F292">
        <f>IFERROR(VLOOKUP(B292,'Pre-Summary'!$AL$6:$AQ$13,6,FALSE),F291)</f>
        <v>0</v>
      </c>
      <c r="G292" t="str">
        <f>IFERROR(VLOOKUP(B292,'Pre-Summary'!$AE$6:$AJ$85,3,FALSE),"")</f>
        <v/>
      </c>
      <c r="H292" t="str">
        <f>IFERROR(VLOOKUP(B292,'Pre-Summary'!$AE$6:$AJ$85,4,FALSE),"")</f>
        <v/>
      </c>
      <c r="I292" t="str">
        <f>IFERROR(VLOOKUP(B292,'Pre-Summary'!$AE$6:$AJ$85,5,FALSE),"")</f>
        <v/>
      </c>
      <c r="J292" s="45" t="str">
        <f>IFERROR(VLOOKUP(B292,'Pre-Summary'!$AE$6:$AJ$85,6, FALSE),"")</f>
        <v/>
      </c>
      <c r="K292" s="45" t="str">
        <f>IFERROR(VLOOKUP(B292,'Pre-Summary'!$DE$6:$DG$61,3,FALSE),"")</f>
        <v/>
      </c>
      <c r="L292" s="45" t="str">
        <f>IFERROR(VLOOKUP(B292,'Pre-Summary'!$CU$6:$CW$36,3,FALSE),"")</f>
        <v/>
      </c>
      <c r="M292" s="45" t="str">
        <f>IFERROR(VLOOKUP(B292,'Pre-Summary'!$BW$6:$BY$58,2,FALSE),"")</f>
        <v/>
      </c>
      <c r="N292" s="45" t="str">
        <f>IFERROR(VLOOKUP(B292,'Pre-Summary'!$CD$6:$CF$64,2,FALSE),"")</f>
        <v/>
      </c>
      <c r="O292" s="99">
        <f>IFERROR(VLOOKUP(B292,'Pre-Summary'!$BO$6:$BQ$48,3, FALSE),O291)</f>
        <v>1.0915248032216731</v>
      </c>
      <c r="P292" s="99">
        <f>IFERROR(VLOOKUP(B292,'Pre-Summary'!$BS$6:$BU$35,3,FALSE),P291)</f>
        <v>0.25</v>
      </c>
      <c r="Q292" s="54">
        <f t="shared" si="12"/>
        <v>4.3660992128866924</v>
      </c>
      <c r="R292" s="53">
        <f>IFERROR(VLOOKUP(B292,'Pre-Summary'!$BG$6:$BM$44,7,FALSE),R293)</f>
        <v>2.7904161219319636E-2</v>
      </c>
      <c r="S292" s="53">
        <f>IFERROR(VLOOKUP(B292,'Pre-Summary'!$BG$6:$BM$44,6,FALSE),S293)</f>
        <v>3.3978715219895171E-2</v>
      </c>
      <c r="T292" s="45" t="str">
        <f>IFERROR(VLOOKUP(B292,'Pre-Summary'!$Y$6:$AC$83, 3,FALSE),"")</f>
        <v/>
      </c>
      <c r="U292" s="45" t="str">
        <f>IFERROR(VLOOKUP(B292,'Pre-Summary'!$Y$6:$AC$83, 4,FALSE),"")</f>
        <v/>
      </c>
      <c r="V292" t="str">
        <f>IFERROR(VLOOKUP(B292,'Pre-Summary'!$Y$6:$AC$83, 5,FALSE),"")</f>
        <v/>
      </c>
      <c r="W292" s="45" t="str">
        <f>IFERROR(VLOOKUP(B292,'Pre-Summary'!$Y$6:$AD$83,6,FALSE),"")</f>
        <v/>
      </c>
      <c r="X292" t="str">
        <f>IFERROR(VLOOKUP('Pre-Summary'!$DB$6:$DD$63,3,FALSE),"")</f>
        <v/>
      </c>
      <c r="Y292" t="str">
        <f>IFERROR(VLOOKUP(B292,'Pre-Summary'!$CR$6:$CT$36,3,FALSE),"")</f>
        <v/>
      </c>
      <c r="Z292" s="45" t="str">
        <f>IFERROR(VLOOKUP(B292,'Pre-Summary'!$BZ$6:$CB$63,2,FALSE),"")</f>
        <v/>
      </c>
      <c r="AA292" s="45" t="str">
        <f>IFERROR(VLOOKUP(B292,'Pre-Summary'!$CG$6:$CI$70,2,FALSE),"")</f>
        <v/>
      </c>
      <c r="AB292" s="99">
        <f>IFERROR(VLOOKUP(B292,'Pre-Summary'!$A$6:$P$178,9,FALSE),AB293)</f>
        <v>1.0067180186389197</v>
      </c>
      <c r="AC292" s="10">
        <f>IFERROR(VLOOKUP(Summary!B292,'Pre-Summary'!$A$6:$P$184,5, FALSE)/100,AC293)</f>
        <v>0.115633</v>
      </c>
      <c r="AD292" s="10">
        <f>IFERROR(VLOOKUP(Summary!B292,'Pre-Summary'!$A$6:$P$184,3, FALSE)/100,AD293)</f>
        <v>0.88127200000000006</v>
      </c>
      <c r="AE292" s="10">
        <f>IFERROR(VLOOKUP(Summary!B292,'Pre-Summary'!$A$6:$P$184,7, FALSE)/100,AE293)</f>
        <v>3.0949999999999992E-3</v>
      </c>
      <c r="AF292" s="99">
        <f t="shared" si="13"/>
        <v>0.88719240172195812</v>
      </c>
      <c r="AG292" s="99">
        <f t="shared" si="14"/>
        <v>3.115792267687456E-3</v>
      </c>
      <c r="AH292" s="10" t="str">
        <f>IFERROR(VLOOKUP(B292,'Pre-Summary'!$AZ$6:$BE$65,3,FALSE),"")</f>
        <v/>
      </c>
      <c r="AI292" s="10" t="str">
        <f>IFERROR(VLOOKUP(B292,'Pre-Summary'!$AZ$6:$BE$65,5,FALSE),"")</f>
        <v/>
      </c>
      <c r="AJ292" s="10" t="str">
        <f>IFERROR(VLOOKUP(B292,'Pre-Summary'!$AZ$6:$BE$65,4,FALSE),"")</f>
        <v/>
      </c>
      <c r="AK292" s="10" t="str">
        <f>IFERROR(VLOOKUP(B292,'Pre-Summary'!$AZ$6:$BE$65,6,FALSE),"")</f>
        <v/>
      </c>
      <c r="AL292" s="10" t="str">
        <f>IFERROR(VLOOKUP(B292,'Pre-Summary'!$BG$6:$BL$44,3,FALSE),"")</f>
        <v/>
      </c>
      <c r="AM292" s="10" t="str">
        <f>IFERROR(VLOOKUP(B292,'Pre-Summary'!$BG$6:$BL$44,4,FALSE),"")</f>
        <v/>
      </c>
    </row>
    <row r="293" spans="2:39" ht="15" customHeight="1" x14ac:dyDescent="0.3">
      <c r="B293">
        <v>29</v>
      </c>
      <c r="C293" t="str">
        <f>IFERROR(VLOOKUP(B293,'Pre-Summary'!$DI$6:$DM$23,4,FALSE),"")</f>
        <v/>
      </c>
      <c r="D293" s="10" t="str">
        <f>IFERROR(VLOOKUP(B293,'Pre-Summary'!$AT$6:$AX$14,5,FALSE),D292)</f>
        <v>DSMZ v1.5: Using DSMZ 120 with NaHCO3</v>
      </c>
      <c r="E293" s="10" t="str">
        <f>IFERROR(VLOOKUP(B293,'Pre-Summary'!$AT$6:$AX$15,4,FALSE),"")</f>
        <v/>
      </c>
      <c r="F293">
        <f>IFERROR(VLOOKUP(B293,'Pre-Summary'!$AL$6:$AQ$13,6,FALSE),F292)</f>
        <v>0</v>
      </c>
      <c r="G293" t="str">
        <f>IFERROR(VLOOKUP(B293,'Pre-Summary'!$AE$6:$AJ$85,3,FALSE),"")</f>
        <v/>
      </c>
      <c r="H293" t="str">
        <f>IFERROR(VLOOKUP(B293,'Pre-Summary'!$AE$6:$AJ$85,4,FALSE),"")</f>
        <v/>
      </c>
      <c r="I293" t="str">
        <f>IFERROR(VLOOKUP(B293,'Pre-Summary'!$AE$6:$AJ$85,5,FALSE),"")</f>
        <v/>
      </c>
      <c r="J293" s="45" t="str">
        <f>IFERROR(VLOOKUP(B293,'Pre-Summary'!$AE$6:$AJ$85,6, FALSE),"")</f>
        <v/>
      </c>
      <c r="K293" s="45" t="str">
        <f>IFERROR(VLOOKUP(B293,'Pre-Summary'!$DE$6:$DG$61,3,FALSE),"")</f>
        <v/>
      </c>
      <c r="L293" s="45" t="str">
        <f>IFERROR(VLOOKUP(B293,'Pre-Summary'!$CU$6:$CW$36,3,FALSE),"")</f>
        <v/>
      </c>
      <c r="M293" s="45" t="str">
        <f>IFERROR(VLOOKUP(B293,'Pre-Summary'!$BW$6:$BY$58,2,FALSE),"")</f>
        <v/>
      </c>
      <c r="N293" s="45" t="str">
        <f>IFERROR(VLOOKUP(B293,'Pre-Summary'!$CD$6:$CF$64,2,FALSE),"")</f>
        <v/>
      </c>
      <c r="O293" s="99">
        <f>IFERROR(VLOOKUP(B293,'Pre-Summary'!$BO$6:$BQ$48,3, FALSE),O292)</f>
        <v>1.0915248032216731</v>
      </c>
      <c r="P293" s="99">
        <f>IFERROR(VLOOKUP(B293,'Pre-Summary'!$BS$6:$BU$35,3,FALSE),P292)</f>
        <v>0.25</v>
      </c>
      <c r="Q293" s="54">
        <f t="shared" si="12"/>
        <v>4.3660992128866924</v>
      </c>
      <c r="R293" s="53">
        <f>IFERROR(VLOOKUP(B293,'Pre-Summary'!$BG$6:$BM$44,7,FALSE),R294)</f>
        <v>2.7904161219319636E-2</v>
      </c>
      <c r="S293" s="53">
        <f>IFERROR(VLOOKUP(B293,'Pre-Summary'!$BG$6:$BM$44,6,FALSE),S294)</f>
        <v>3.3978715219895171E-2</v>
      </c>
      <c r="T293" s="45" t="str">
        <f>IFERROR(VLOOKUP(B293,'Pre-Summary'!$Y$6:$AC$83, 3,FALSE),"")</f>
        <v/>
      </c>
      <c r="U293" s="45" t="str">
        <f>IFERROR(VLOOKUP(B293,'Pre-Summary'!$Y$6:$AC$83, 4,FALSE),"")</f>
        <v/>
      </c>
      <c r="V293" t="str">
        <f>IFERROR(VLOOKUP(B293,'Pre-Summary'!$Y$6:$AC$83, 5,FALSE),"")</f>
        <v/>
      </c>
      <c r="W293" s="45" t="str">
        <f>IFERROR(VLOOKUP(B293,'Pre-Summary'!$Y$6:$AD$83,6,FALSE),"")</f>
        <v/>
      </c>
      <c r="X293" t="str">
        <f>IFERROR(VLOOKUP('Pre-Summary'!$DB$6:$DD$63,3,FALSE),"")</f>
        <v/>
      </c>
      <c r="Y293" t="str">
        <f>IFERROR(VLOOKUP(B293,'Pre-Summary'!$CR$6:$CT$36,3,FALSE),"")</f>
        <v/>
      </c>
      <c r="Z293" s="45" t="str">
        <f>IFERROR(VLOOKUP(B293,'Pre-Summary'!$BZ$6:$CB$63,2,FALSE),"")</f>
        <v/>
      </c>
      <c r="AA293" s="45" t="str">
        <f>IFERROR(VLOOKUP(B293,'Pre-Summary'!$CG$6:$CI$70,2,FALSE),"")</f>
        <v/>
      </c>
      <c r="AB293" s="99">
        <f>IFERROR(VLOOKUP(B293,'Pre-Summary'!$A$6:$P$178,9,FALSE),AB294)</f>
        <v>1.0067180186389197</v>
      </c>
      <c r="AC293" s="10">
        <f>IFERROR(VLOOKUP(Summary!B293,'Pre-Summary'!$A$6:$P$184,5, FALSE)/100,AC294)</f>
        <v>0.115633</v>
      </c>
      <c r="AD293" s="10">
        <f>IFERROR(VLOOKUP(Summary!B293,'Pre-Summary'!$A$6:$P$184,3, FALSE)/100,AD294)</f>
        <v>0.88127200000000006</v>
      </c>
      <c r="AE293" s="10">
        <f>IFERROR(VLOOKUP(Summary!B293,'Pre-Summary'!$A$6:$P$184,7, FALSE)/100,AE294)</f>
        <v>3.0949999999999992E-3</v>
      </c>
      <c r="AF293" s="99">
        <f t="shared" si="13"/>
        <v>0.88719240172195812</v>
      </c>
      <c r="AG293" s="99">
        <f t="shared" si="14"/>
        <v>3.115792267687456E-3</v>
      </c>
      <c r="AH293" s="10" t="str">
        <f>IFERROR(VLOOKUP(B293,'Pre-Summary'!$AZ$6:$BE$65,3,FALSE),"")</f>
        <v/>
      </c>
      <c r="AI293" s="10" t="str">
        <f>IFERROR(VLOOKUP(B293,'Pre-Summary'!$AZ$6:$BE$65,5,FALSE),"")</f>
        <v/>
      </c>
      <c r="AJ293" s="10" t="str">
        <f>IFERROR(VLOOKUP(B293,'Pre-Summary'!$AZ$6:$BE$65,4,FALSE),"")</f>
        <v/>
      </c>
      <c r="AK293" s="10" t="str">
        <f>IFERROR(VLOOKUP(B293,'Pre-Summary'!$AZ$6:$BE$65,6,FALSE),"")</f>
        <v/>
      </c>
      <c r="AL293" s="10" t="str">
        <f>IFERROR(VLOOKUP(B293,'Pre-Summary'!$BG$6:$BL$44,3,FALSE),"")</f>
        <v/>
      </c>
      <c r="AM293" s="10" t="str">
        <f>IFERROR(VLOOKUP(B293,'Pre-Summary'!$BG$6:$BL$44,4,FALSE),"")</f>
        <v/>
      </c>
    </row>
    <row r="294" spans="2:39" ht="15" customHeight="1" x14ac:dyDescent="0.3">
      <c r="B294">
        <v>29.1</v>
      </c>
      <c r="C294" t="str">
        <f>IFERROR(VLOOKUP(B294,'Pre-Summary'!$DI$6:$DM$23,4,FALSE),"")</f>
        <v/>
      </c>
      <c r="D294" s="10" t="str">
        <f>IFERROR(VLOOKUP(B294,'Pre-Summary'!$AT$6:$AX$14,5,FALSE),D293)</f>
        <v>DSMZ v1.5: Using DSMZ 120 with NaHCO3</v>
      </c>
      <c r="E294" s="10" t="str">
        <f>IFERROR(VLOOKUP(B294,'Pre-Summary'!$AT$6:$AX$15,4,FALSE),"")</f>
        <v/>
      </c>
      <c r="F294">
        <f>IFERROR(VLOOKUP(B294,'Pre-Summary'!$AL$6:$AQ$13,6,FALSE),F293)</f>
        <v>0</v>
      </c>
      <c r="G294" t="str">
        <f>IFERROR(VLOOKUP(B294,'Pre-Summary'!$AE$6:$AJ$85,3,FALSE),"")</f>
        <v/>
      </c>
      <c r="H294" t="str">
        <f>IFERROR(VLOOKUP(B294,'Pre-Summary'!$AE$6:$AJ$85,4,FALSE),"")</f>
        <v/>
      </c>
      <c r="I294" t="str">
        <f>IFERROR(VLOOKUP(B294,'Pre-Summary'!$AE$6:$AJ$85,5,FALSE),"")</f>
        <v/>
      </c>
      <c r="J294" s="45" t="str">
        <f>IFERROR(VLOOKUP(B294,'Pre-Summary'!$AE$6:$AJ$85,6, FALSE),"")</f>
        <v/>
      </c>
      <c r="K294" s="45" t="str">
        <f>IFERROR(VLOOKUP(B294,'Pre-Summary'!$DE$6:$DG$61,3,FALSE),"")</f>
        <v/>
      </c>
      <c r="L294" s="45" t="str">
        <f>IFERROR(VLOOKUP(B294,'Pre-Summary'!$CU$6:$CW$36,3,FALSE),"")</f>
        <v/>
      </c>
      <c r="M294" s="45" t="str">
        <f>IFERROR(VLOOKUP(B294,'Pre-Summary'!$BW$6:$BY$58,2,FALSE),"")</f>
        <v/>
      </c>
      <c r="N294" s="45" t="str">
        <f>IFERROR(VLOOKUP(B294,'Pre-Summary'!$CD$6:$CF$64,2,FALSE),"")</f>
        <v/>
      </c>
      <c r="O294" s="99">
        <f>IFERROR(VLOOKUP(B294,'Pre-Summary'!$BO$6:$BQ$48,3, FALSE),O293)</f>
        <v>1.0915248032216731</v>
      </c>
      <c r="P294" s="99">
        <f>IFERROR(VLOOKUP(B294,'Pre-Summary'!$BS$6:$BU$35,3,FALSE),P293)</f>
        <v>0.25</v>
      </c>
      <c r="Q294" s="54">
        <f t="shared" si="12"/>
        <v>4.3660992128866924</v>
      </c>
      <c r="R294" s="53">
        <f>IFERROR(VLOOKUP(B294,'Pre-Summary'!$BG$6:$BM$44,7,FALSE),R295)</f>
        <v>2.7904161219319636E-2</v>
      </c>
      <c r="S294" s="53">
        <f>IFERROR(VLOOKUP(B294,'Pre-Summary'!$BG$6:$BM$44,6,FALSE),S295)</f>
        <v>3.3978715219895171E-2</v>
      </c>
      <c r="T294" s="45" t="str">
        <f>IFERROR(VLOOKUP(B294,'Pre-Summary'!$Y$6:$AC$83, 3,FALSE),"")</f>
        <v/>
      </c>
      <c r="U294" s="45" t="str">
        <f>IFERROR(VLOOKUP(B294,'Pre-Summary'!$Y$6:$AC$83, 4,FALSE),"")</f>
        <v/>
      </c>
      <c r="V294" t="str">
        <f>IFERROR(VLOOKUP(B294,'Pre-Summary'!$Y$6:$AC$83, 5,FALSE),"")</f>
        <v/>
      </c>
      <c r="W294" s="45" t="str">
        <f>IFERROR(VLOOKUP(B294,'Pre-Summary'!$Y$6:$AD$83,6,FALSE),"")</f>
        <v/>
      </c>
      <c r="X294" t="str">
        <f>IFERROR(VLOOKUP('Pre-Summary'!$DB$6:$DD$63,3,FALSE),"")</f>
        <v/>
      </c>
      <c r="Y294" t="str">
        <f>IFERROR(VLOOKUP(B294,'Pre-Summary'!$CR$6:$CT$36,3,FALSE),"")</f>
        <v/>
      </c>
      <c r="Z294" s="45" t="str">
        <f>IFERROR(VLOOKUP(B294,'Pre-Summary'!$BZ$6:$CB$63,2,FALSE),"")</f>
        <v/>
      </c>
      <c r="AA294" s="45" t="str">
        <f>IFERROR(VLOOKUP(B294,'Pre-Summary'!$CG$6:$CI$70,2,FALSE),"")</f>
        <v/>
      </c>
      <c r="AB294" s="99">
        <f>IFERROR(VLOOKUP(B294,'Pre-Summary'!$A$6:$P$178,9,FALSE),AB295)</f>
        <v>1.0067180186389197</v>
      </c>
      <c r="AC294" s="10">
        <f>IFERROR(VLOOKUP(Summary!B294,'Pre-Summary'!$A$6:$P$184,5, FALSE)/100,AC295)</f>
        <v>0.115633</v>
      </c>
      <c r="AD294" s="10">
        <f>IFERROR(VLOOKUP(Summary!B294,'Pre-Summary'!$A$6:$P$184,3, FALSE)/100,AD295)</f>
        <v>0.88127200000000006</v>
      </c>
      <c r="AE294" s="10">
        <f>IFERROR(VLOOKUP(Summary!B294,'Pre-Summary'!$A$6:$P$184,7, FALSE)/100,AE295)</f>
        <v>3.0949999999999992E-3</v>
      </c>
      <c r="AF294" s="99">
        <f t="shared" si="13"/>
        <v>0.88719240172195812</v>
      </c>
      <c r="AG294" s="99">
        <f t="shared" si="14"/>
        <v>3.115792267687456E-3</v>
      </c>
      <c r="AH294" s="10" t="str">
        <f>IFERROR(VLOOKUP(B294,'Pre-Summary'!$AZ$6:$BE$65,3,FALSE),"")</f>
        <v/>
      </c>
      <c r="AI294" s="10" t="str">
        <f>IFERROR(VLOOKUP(B294,'Pre-Summary'!$AZ$6:$BE$65,5,FALSE),"")</f>
        <v/>
      </c>
      <c r="AJ294" s="10" t="str">
        <f>IFERROR(VLOOKUP(B294,'Pre-Summary'!$AZ$6:$BE$65,4,FALSE),"")</f>
        <v/>
      </c>
      <c r="AK294" s="10" t="str">
        <f>IFERROR(VLOOKUP(B294,'Pre-Summary'!$AZ$6:$BE$65,6,FALSE),"")</f>
        <v/>
      </c>
      <c r="AL294" s="10" t="str">
        <f>IFERROR(VLOOKUP(B294,'Pre-Summary'!$BG$6:$BL$44,3,FALSE),"")</f>
        <v/>
      </c>
      <c r="AM294" s="10" t="str">
        <f>IFERROR(VLOOKUP(B294,'Pre-Summary'!$BG$6:$BL$44,4,FALSE),"")</f>
        <v/>
      </c>
    </row>
    <row r="295" spans="2:39" ht="15" customHeight="1" x14ac:dyDescent="0.3">
      <c r="B295">
        <v>29.2</v>
      </c>
      <c r="C295" t="str">
        <f>IFERROR(VLOOKUP(B295,'Pre-Summary'!$DI$6:$DM$23,4,FALSE),"")</f>
        <v/>
      </c>
      <c r="D295" s="10" t="str">
        <f>IFERROR(VLOOKUP(B295,'Pre-Summary'!$AT$6:$AX$14,5,FALSE),D294)</f>
        <v>DSMZ v1.5: Using DSMZ 120 with NaHCO3</v>
      </c>
      <c r="E295" s="10" t="str">
        <f>IFERROR(VLOOKUP(B295,'Pre-Summary'!$AT$6:$AX$15,4,FALSE),"")</f>
        <v/>
      </c>
      <c r="F295">
        <f>IFERROR(VLOOKUP(B295,'Pre-Summary'!$AL$6:$AQ$13,6,FALSE),F294)</f>
        <v>0</v>
      </c>
      <c r="G295" t="str">
        <f>IFERROR(VLOOKUP(B295,'Pre-Summary'!$AE$6:$AJ$85,3,FALSE),"")</f>
        <v/>
      </c>
      <c r="H295" t="str">
        <f>IFERROR(VLOOKUP(B295,'Pre-Summary'!$AE$6:$AJ$85,4,FALSE),"")</f>
        <v/>
      </c>
      <c r="I295" t="str">
        <f>IFERROR(VLOOKUP(B295,'Pre-Summary'!$AE$6:$AJ$85,5,FALSE),"")</f>
        <v/>
      </c>
      <c r="J295" s="45" t="str">
        <f>IFERROR(VLOOKUP(B295,'Pre-Summary'!$AE$6:$AJ$85,6, FALSE),"")</f>
        <v/>
      </c>
      <c r="K295" s="45" t="str">
        <f>IFERROR(VLOOKUP(B295,'Pre-Summary'!$DE$6:$DG$61,3,FALSE),"")</f>
        <v/>
      </c>
      <c r="L295" s="45" t="str">
        <f>IFERROR(VLOOKUP(B295,'Pre-Summary'!$CU$6:$CW$36,3,FALSE),"")</f>
        <v/>
      </c>
      <c r="M295" s="45" t="str">
        <f>IFERROR(VLOOKUP(B295,'Pre-Summary'!$BW$6:$BY$58,2,FALSE),"")</f>
        <v/>
      </c>
      <c r="N295" s="45" t="str">
        <f>IFERROR(VLOOKUP(B295,'Pre-Summary'!$CD$6:$CF$64,2,FALSE),"")</f>
        <v/>
      </c>
      <c r="O295" s="99">
        <f>IFERROR(VLOOKUP(B295,'Pre-Summary'!$BO$6:$BQ$48,3, FALSE),O294)</f>
        <v>1.0915248032216731</v>
      </c>
      <c r="P295" s="99">
        <f>IFERROR(VLOOKUP(B295,'Pre-Summary'!$BS$6:$BU$35,3,FALSE),P294)</f>
        <v>0.25</v>
      </c>
      <c r="Q295" s="54">
        <f t="shared" si="12"/>
        <v>4.3660992128866924</v>
      </c>
      <c r="R295" s="53">
        <f>IFERROR(VLOOKUP(B295,'Pre-Summary'!$BG$6:$BM$44,7,FALSE),R296)</f>
        <v>2.7904161219319636E-2</v>
      </c>
      <c r="S295" s="53">
        <f>IFERROR(VLOOKUP(B295,'Pre-Summary'!$BG$6:$BM$44,6,FALSE),S296)</f>
        <v>3.3978715219895171E-2</v>
      </c>
      <c r="T295" s="45" t="str">
        <f>IFERROR(VLOOKUP(B295,'Pre-Summary'!$Y$6:$AC$83, 3,FALSE),"")</f>
        <v/>
      </c>
      <c r="U295" s="45" t="str">
        <f>IFERROR(VLOOKUP(B295,'Pre-Summary'!$Y$6:$AC$83, 4,FALSE),"")</f>
        <v/>
      </c>
      <c r="V295" t="str">
        <f>IFERROR(VLOOKUP(B295,'Pre-Summary'!$Y$6:$AC$83, 5,FALSE),"")</f>
        <v/>
      </c>
      <c r="W295" s="45" t="str">
        <f>IFERROR(VLOOKUP(B295,'Pre-Summary'!$Y$6:$AD$83,6,FALSE),"")</f>
        <v/>
      </c>
      <c r="X295" t="str">
        <f>IFERROR(VLOOKUP('Pre-Summary'!$DB$6:$DD$63,3,FALSE),"")</f>
        <v/>
      </c>
      <c r="Y295" t="str">
        <f>IFERROR(VLOOKUP(B295,'Pre-Summary'!$CR$6:$CT$36,3,FALSE),"")</f>
        <v/>
      </c>
      <c r="Z295" s="45" t="str">
        <f>IFERROR(VLOOKUP(B295,'Pre-Summary'!$BZ$6:$CB$63,2,FALSE),"")</f>
        <v/>
      </c>
      <c r="AA295" s="45" t="str">
        <f>IFERROR(VLOOKUP(B295,'Pre-Summary'!$CG$6:$CI$70,2,FALSE),"")</f>
        <v/>
      </c>
      <c r="AB295" s="99">
        <f>IFERROR(VLOOKUP(B295,'Pre-Summary'!$A$6:$P$178,9,FALSE),AB296)</f>
        <v>1.0067180186389197</v>
      </c>
      <c r="AC295" s="10">
        <f>IFERROR(VLOOKUP(Summary!B295,'Pre-Summary'!$A$6:$P$184,5, FALSE)/100,AC296)</f>
        <v>0.115633</v>
      </c>
      <c r="AD295" s="10">
        <f>IFERROR(VLOOKUP(Summary!B295,'Pre-Summary'!$A$6:$P$184,3, FALSE)/100,AD296)</f>
        <v>0.88127200000000006</v>
      </c>
      <c r="AE295" s="10">
        <f>IFERROR(VLOOKUP(Summary!B295,'Pre-Summary'!$A$6:$P$184,7, FALSE)/100,AE296)</f>
        <v>3.0949999999999992E-3</v>
      </c>
      <c r="AF295" s="99">
        <f t="shared" si="13"/>
        <v>0.88719240172195812</v>
      </c>
      <c r="AG295" s="99">
        <f t="shared" si="14"/>
        <v>3.115792267687456E-3</v>
      </c>
      <c r="AH295" s="10" t="str">
        <f>IFERROR(VLOOKUP(B295,'Pre-Summary'!$AZ$6:$BE$65,3,FALSE),"")</f>
        <v/>
      </c>
      <c r="AI295" s="10" t="str">
        <f>IFERROR(VLOOKUP(B295,'Pre-Summary'!$AZ$6:$BE$65,5,FALSE),"")</f>
        <v/>
      </c>
      <c r="AJ295" s="10" t="str">
        <f>IFERROR(VLOOKUP(B295,'Pre-Summary'!$AZ$6:$BE$65,4,FALSE),"")</f>
        <v/>
      </c>
      <c r="AK295" s="10" t="str">
        <f>IFERROR(VLOOKUP(B295,'Pre-Summary'!$AZ$6:$BE$65,6,FALSE),"")</f>
        <v/>
      </c>
      <c r="AL295" s="10" t="str">
        <f>IFERROR(VLOOKUP(B295,'Pre-Summary'!$BG$6:$BL$44,3,FALSE),"")</f>
        <v/>
      </c>
      <c r="AM295" s="10" t="str">
        <f>IFERROR(VLOOKUP(B295,'Pre-Summary'!$BG$6:$BL$44,4,FALSE),"")</f>
        <v/>
      </c>
    </row>
    <row r="296" spans="2:39" ht="15" customHeight="1" x14ac:dyDescent="0.3">
      <c r="B296">
        <v>29.3</v>
      </c>
      <c r="C296" t="str">
        <f>IFERROR(VLOOKUP(B296,'Pre-Summary'!$DI$6:$DM$23,4,FALSE),"")</f>
        <v/>
      </c>
      <c r="D296" s="10" t="str">
        <f>IFERROR(VLOOKUP(B296,'Pre-Summary'!$AT$6:$AX$14,5,FALSE),D295)</f>
        <v>DSMZ v1.5: Using DSMZ 120 with NaHCO3</v>
      </c>
      <c r="E296" s="10" t="str">
        <f>IFERROR(VLOOKUP(B296,'Pre-Summary'!$AT$6:$AX$15,4,FALSE),"")</f>
        <v/>
      </c>
      <c r="F296">
        <f>IFERROR(VLOOKUP(B296,'Pre-Summary'!$AL$6:$AQ$13,6,FALSE),F295)</f>
        <v>0</v>
      </c>
      <c r="G296" t="str">
        <f>IFERROR(VLOOKUP(B296,'Pre-Summary'!$AE$6:$AJ$85,3,FALSE),"")</f>
        <v/>
      </c>
      <c r="H296" t="str">
        <f>IFERROR(VLOOKUP(B296,'Pre-Summary'!$AE$6:$AJ$85,4,FALSE),"")</f>
        <v/>
      </c>
      <c r="I296" t="str">
        <f>IFERROR(VLOOKUP(B296,'Pre-Summary'!$AE$6:$AJ$85,5,FALSE),"")</f>
        <v/>
      </c>
      <c r="J296" s="45" t="str">
        <f>IFERROR(VLOOKUP(B296,'Pre-Summary'!$AE$6:$AJ$85,6, FALSE),"")</f>
        <v/>
      </c>
      <c r="K296" s="45" t="str">
        <f>IFERROR(VLOOKUP(B296,'Pre-Summary'!$DE$6:$DG$61,3,FALSE),"")</f>
        <v/>
      </c>
      <c r="L296" s="45" t="str">
        <f>IFERROR(VLOOKUP(B296,'Pre-Summary'!$CU$6:$CW$36,3,FALSE),"")</f>
        <v/>
      </c>
      <c r="M296" s="45" t="str">
        <f>IFERROR(VLOOKUP(B296,'Pre-Summary'!$BW$6:$BY$58,2,FALSE),"")</f>
        <v/>
      </c>
      <c r="N296" s="45" t="str">
        <f>IFERROR(VLOOKUP(B296,'Pre-Summary'!$CD$6:$CF$64,2,FALSE),"")</f>
        <v/>
      </c>
      <c r="O296" s="99">
        <f>IFERROR(VLOOKUP(B296,'Pre-Summary'!$BO$6:$BQ$48,3, FALSE),O295)</f>
        <v>1.0915248032216731</v>
      </c>
      <c r="P296" s="99">
        <f>IFERROR(VLOOKUP(B296,'Pre-Summary'!$BS$6:$BU$35,3,FALSE),P295)</f>
        <v>0.25</v>
      </c>
      <c r="Q296" s="54">
        <f t="shared" si="12"/>
        <v>4.3660992128866924</v>
      </c>
      <c r="R296" s="53">
        <f>IFERROR(VLOOKUP(B296,'Pre-Summary'!$BG$6:$BM$44,7,FALSE),R297)</f>
        <v>2.7904161219319636E-2</v>
      </c>
      <c r="S296" s="53">
        <f>IFERROR(VLOOKUP(B296,'Pre-Summary'!$BG$6:$BM$44,6,FALSE),S297)</f>
        <v>3.3978715219895171E-2</v>
      </c>
      <c r="T296" s="45" t="str">
        <f>IFERROR(VLOOKUP(B296,'Pre-Summary'!$Y$6:$AC$83, 3,FALSE),"")</f>
        <v/>
      </c>
      <c r="U296" s="45" t="str">
        <f>IFERROR(VLOOKUP(B296,'Pre-Summary'!$Y$6:$AC$83, 4,FALSE),"")</f>
        <v/>
      </c>
      <c r="V296" t="str">
        <f>IFERROR(VLOOKUP(B296,'Pre-Summary'!$Y$6:$AC$83, 5,FALSE),"")</f>
        <v/>
      </c>
      <c r="W296" s="45" t="str">
        <f>IFERROR(VLOOKUP(B296,'Pre-Summary'!$Y$6:$AD$83,6,FALSE),"")</f>
        <v/>
      </c>
      <c r="X296" t="str">
        <f>IFERROR(VLOOKUP('Pre-Summary'!$DB$6:$DD$63,3,FALSE),"")</f>
        <v/>
      </c>
      <c r="Y296" t="str">
        <f>IFERROR(VLOOKUP(B296,'Pre-Summary'!$CR$6:$CT$36,3,FALSE),"")</f>
        <v/>
      </c>
      <c r="Z296" s="45" t="str">
        <f>IFERROR(VLOOKUP(B296,'Pre-Summary'!$BZ$6:$CB$63,2,FALSE),"")</f>
        <v/>
      </c>
      <c r="AA296" s="45" t="str">
        <f>IFERROR(VLOOKUP(B296,'Pre-Summary'!$CG$6:$CI$70,2,FALSE),"")</f>
        <v/>
      </c>
      <c r="AB296" s="99">
        <f>IFERROR(VLOOKUP(B296,'Pre-Summary'!$A$6:$P$178,9,FALSE),AB297)</f>
        <v>1.0067180186389197</v>
      </c>
      <c r="AC296" s="10">
        <f>IFERROR(VLOOKUP(Summary!B296,'Pre-Summary'!$A$6:$P$184,5, FALSE)/100,AC297)</f>
        <v>0.115633</v>
      </c>
      <c r="AD296" s="10">
        <f>IFERROR(VLOOKUP(Summary!B296,'Pre-Summary'!$A$6:$P$184,3, FALSE)/100,AD297)</f>
        <v>0.88127200000000006</v>
      </c>
      <c r="AE296" s="10">
        <f>IFERROR(VLOOKUP(Summary!B296,'Pre-Summary'!$A$6:$P$184,7, FALSE)/100,AE297)</f>
        <v>3.0949999999999992E-3</v>
      </c>
      <c r="AF296" s="99">
        <f t="shared" si="13"/>
        <v>0.88719240172195812</v>
      </c>
      <c r="AG296" s="99">
        <f t="shared" si="14"/>
        <v>3.115792267687456E-3</v>
      </c>
      <c r="AH296" s="10" t="str">
        <f>IFERROR(VLOOKUP(B296,'Pre-Summary'!$AZ$6:$BE$65,3,FALSE),"")</f>
        <v/>
      </c>
      <c r="AI296" s="10" t="str">
        <f>IFERROR(VLOOKUP(B296,'Pre-Summary'!$AZ$6:$BE$65,5,FALSE),"")</f>
        <v/>
      </c>
      <c r="AJ296" s="10" t="str">
        <f>IFERROR(VLOOKUP(B296,'Pre-Summary'!$AZ$6:$BE$65,4,FALSE),"")</f>
        <v/>
      </c>
      <c r="AK296" s="10" t="str">
        <f>IFERROR(VLOOKUP(B296,'Pre-Summary'!$AZ$6:$BE$65,6,FALSE),"")</f>
        <v/>
      </c>
      <c r="AL296" s="10" t="str">
        <f>IFERROR(VLOOKUP(B296,'Pre-Summary'!$BG$6:$BL$44,3,FALSE),"")</f>
        <v/>
      </c>
      <c r="AM296" s="10" t="str">
        <f>IFERROR(VLOOKUP(B296,'Pre-Summary'!$BG$6:$BL$44,4,FALSE),"")</f>
        <v/>
      </c>
    </row>
    <row r="297" spans="2:39" ht="15" customHeight="1" x14ac:dyDescent="0.3">
      <c r="B297">
        <v>29.4</v>
      </c>
      <c r="C297" t="str">
        <f>IFERROR(VLOOKUP(B297,'Pre-Summary'!$DI$6:$DM$23,4,FALSE),"")</f>
        <v/>
      </c>
      <c r="D297" s="10" t="str">
        <f>IFERROR(VLOOKUP(B297,'Pre-Summary'!$AT$6:$AX$14,5,FALSE),D296)</f>
        <v>DSMZ v1.5: Using DSMZ 120 with NaHCO3</v>
      </c>
      <c r="E297" s="10" t="str">
        <f>IFERROR(VLOOKUP(B297,'Pre-Summary'!$AT$6:$AX$15,4,FALSE),"")</f>
        <v/>
      </c>
      <c r="F297">
        <f>IFERROR(VLOOKUP(B297,'Pre-Summary'!$AL$6:$AQ$13,6,FALSE),F296)</f>
        <v>0</v>
      </c>
      <c r="G297" t="str">
        <f>IFERROR(VLOOKUP(B297,'Pre-Summary'!$AE$6:$AJ$85,3,FALSE),"")</f>
        <v/>
      </c>
      <c r="H297" t="str">
        <f>IFERROR(VLOOKUP(B297,'Pre-Summary'!$AE$6:$AJ$85,4,FALSE),"")</f>
        <v/>
      </c>
      <c r="I297" t="str">
        <f>IFERROR(VLOOKUP(B297,'Pre-Summary'!$AE$6:$AJ$85,5,FALSE),"")</f>
        <v/>
      </c>
      <c r="J297" s="45" t="str">
        <f>IFERROR(VLOOKUP(B297,'Pre-Summary'!$AE$6:$AJ$85,6, FALSE),"")</f>
        <v/>
      </c>
      <c r="K297" s="45" t="str">
        <f>IFERROR(VLOOKUP(B297,'Pre-Summary'!$DE$6:$DG$61,3,FALSE),"")</f>
        <v/>
      </c>
      <c r="L297" s="45" t="str">
        <f>IFERROR(VLOOKUP(B297,'Pre-Summary'!$CU$6:$CW$36,3,FALSE),"")</f>
        <v/>
      </c>
      <c r="M297" s="45" t="str">
        <f>IFERROR(VLOOKUP(B297,'Pre-Summary'!$BW$6:$BY$58,2,FALSE),"")</f>
        <v/>
      </c>
      <c r="N297" s="45" t="str">
        <f>IFERROR(VLOOKUP(B297,'Pre-Summary'!$CD$6:$CF$64,2,FALSE),"")</f>
        <v/>
      </c>
      <c r="O297" s="99">
        <f>IFERROR(VLOOKUP(B297,'Pre-Summary'!$BO$6:$BQ$48,3, FALSE),O296)</f>
        <v>1.0915248032216731</v>
      </c>
      <c r="P297" s="99">
        <f>IFERROR(VLOOKUP(B297,'Pre-Summary'!$BS$6:$BU$35,3,FALSE),P296)</f>
        <v>0.25</v>
      </c>
      <c r="Q297" s="54">
        <f t="shared" si="12"/>
        <v>4.3660992128866924</v>
      </c>
      <c r="R297" s="53">
        <f>IFERROR(VLOOKUP(B297,'Pre-Summary'!$BG$6:$BM$44,7,FALSE),R298)</f>
        <v>2.7904161219319636E-2</v>
      </c>
      <c r="S297" s="53">
        <f>IFERROR(VLOOKUP(B297,'Pre-Summary'!$BG$6:$BM$44,6,FALSE),S298)</f>
        <v>3.3978715219895171E-2</v>
      </c>
      <c r="T297" s="45" t="str">
        <f>IFERROR(VLOOKUP(B297,'Pre-Summary'!$Y$6:$AC$83, 3,FALSE),"")</f>
        <v/>
      </c>
      <c r="U297" s="45" t="str">
        <f>IFERROR(VLOOKUP(B297,'Pre-Summary'!$Y$6:$AC$83, 4,FALSE),"")</f>
        <v/>
      </c>
      <c r="V297" t="str">
        <f>IFERROR(VLOOKUP(B297,'Pre-Summary'!$Y$6:$AC$83, 5,FALSE),"")</f>
        <v/>
      </c>
      <c r="W297" s="45" t="str">
        <f>IFERROR(VLOOKUP(B297,'Pre-Summary'!$Y$6:$AD$83,6,FALSE),"")</f>
        <v/>
      </c>
      <c r="X297" t="str">
        <f>IFERROR(VLOOKUP('Pre-Summary'!$DB$6:$DD$63,3,FALSE),"")</f>
        <v/>
      </c>
      <c r="Y297" t="str">
        <f>IFERROR(VLOOKUP(B297,'Pre-Summary'!$CR$6:$CT$36,3,FALSE),"")</f>
        <v/>
      </c>
      <c r="Z297" s="45" t="str">
        <f>IFERROR(VLOOKUP(B297,'Pre-Summary'!$BZ$6:$CB$63,2,FALSE),"")</f>
        <v/>
      </c>
      <c r="AA297" s="45" t="str">
        <f>IFERROR(VLOOKUP(B297,'Pre-Summary'!$CG$6:$CI$70,2,FALSE),"")</f>
        <v/>
      </c>
      <c r="AB297" s="99">
        <f>IFERROR(VLOOKUP(B297,'Pre-Summary'!$A$6:$P$178,9,FALSE),AB298)</f>
        <v>1.0067180186389197</v>
      </c>
      <c r="AC297" s="10">
        <f>IFERROR(VLOOKUP(Summary!B297,'Pre-Summary'!$A$6:$P$184,5, FALSE)/100,AC298)</f>
        <v>0.115633</v>
      </c>
      <c r="AD297" s="10">
        <f>IFERROR(VLOOKUP(Summary!B297,'Pre-Summary'!$A$6:$P$184,3, FALSE)/100,AD298)</f>
        <v>0.88127200000000006</v>
      </c>
      <c r="AE297" s="10">
        <f>IFERROR(VLOOKUP(Summary!B297,'Pre-Summary'!$A$6:$P$184,7, FALSE)/100,AE298)</f>
        <v>3.0949999999999992E-3</v>
      </c>
      <c r="AF297" s="99">
        <f t="shared" si="13"/>
        <v>0.88719240172195812</v>
      </c>
      <c r="AG297" s="99">
        <f t="shared" si="14"/>
        <v>3.115792267687456E-3</v>
      </c>
      <c r="AH297" s="10" t="str">
        <f>IFERROR(VLOOKUP(B297,'Pre-Summary'!$AZ$6:$BE$65,3,FALSE),"")</f>
        <v/>
      </c>
      <c r="AI297" s="10" t="str">
        <f>IFERROR(VLOOKUP(B297,'Pre-Summary'!$AZ$6:$BE$65,5,FALSE),"")</f>
        <v/>
      </c>
      <c r="AJ297" s="10" t="str">
        <f>IFERROR(VLOOKUP(B297,'Pre-Summary'!$AZ$6:$BE$65,4,FALSE),"")</f>
        <v/>
      </c>
      <c r="AK297" s="10" t="str">
        <f>IFERROR(VLOOKUP(B297,'Pre-Summary'!$AZ$6:$BE$65,6,FALSE),"")</f>
        <v/>
      </c>
      <c r="AL297" s="10" t="str">
        <f>IFERROR(VLOOKUP(B297,'Pre-Summary'!$BG$6:$BL$44,3,FALSE),"")</f>
        <v/>
      </c>
      <c r="AM297" s="10" t="str">
        <f>IFERROR(VLOOKUP(B297,'Pre-Summary'!$BG$6:$BL$44,4,FALSE),"")</f>
        <v/>
      </c>
    </row>
    <row r="298" spans="2:39" ht="15" customHeight="1" x14ac:dyDescent="0.3">
      <c r="B298">
        <v>29.5</v>
      </c>
      <c r="C298" t="str">
        <f>IFERROR(VLOOKUP(B298,'Pre-Summary'!$DI$6:$DM$23,4,FALSE),"")</f>
        <v/>
      </c>
      <c r="D298" s="10" t="str">
        <f>IFERROR(VLOOKUP(B298,'Pre-Summary'!$AT$6:$AX$14,5,FALSE),D297)</f>
        <v>DSMZ v1.5: Using DSMZ 120 with NaHCO3</v>
      </c>
      <c r="E298" s="10" t="str">
        <f>IFERROR(VLOOKUP(B298,'Pre-Summary'!$AT$6:$AX$15,4,FALSE),"")</f>
        <v/>
      </c>
      <c r="F298">
        <f>IFERROR(VLOOKUP(B298,'Pre-Summary'!$AL$6:$AQ$13,6,FALSE),F297)</f>
        <v>0</v>
      </c>
      <c r="G298" t="str">
        <f>IFERROR(VLOOKUP(B298,'Pre-Summary'!$AE$6:$AJ$85,3,FALSE),"")</f>
        <v/>
      </c>
      <c r="H298" t="str">
        <f>IFERROR(VLOOKUP(B298,'Pre-Summary'!$AE$6:$AJ$85,4,FALSE),"")</f>
        <v/>
      </c>
      <c r="I298" t="str">
        <f>IFERROR(VLOOKUP(B298,'Pre-Summary'!$AE$6:$AJ$85,5,FALSE),"")</f>
        <v/>
      </c>
      <c r="J298" s="45" t="str">
        <f>IFERROR(VLOOKUP(B298,'Pre-Summary'!$AE$6:$AJ$85,6, FALSE),"")</f>
        <v/>
      </c>
      <c r="K298" s="45" t="str">
        <f>IFERROR(VLOOKUP(B298,'Pre-Summary'!$DE$6:$DG$61,3,FALSE),"")</f>
        <v/>
      </c>
      <c r="L298" s="45" t="str">
        <f>IFERROR(VLOOKUP(B298,'Pre-Summary'!$CU$6:$CW$36,3,FALSE),"")</f>
        <v/>
      </c>
      <c r="M298" s="45" t="str">
        <f>IFERROR(VLOOKUP(B298,'Pre-Summary'!$BW$6:$BY$58,2,FALSE),"")</f>
        <v/>
      </c>
      <c r="N298" s="45" t="str">
        <f>IFERROR(VLOOKUP(B298,'Pre-Summary'!$CD$6:$CF$64,2,FALSE),"")</f>
        <v/>
      </c>
      <c r="O298" s="99">
        <f>IFERROR(VLOOKUP(B298,'Pre-Summary'!$BO$6:$BQ$48,3, FALSE),O297)</f>
        <v>1.0915248032216731</v>
      </c>
      <c r="P298" s="99">
        <f>IFERROR(VLOOKUP(B298,'Pre-Summary'!$BS$6:$BU$35,3,FALSE),P297)</f>
        <v>0.25</v>
      </c>
      <c r="Q298" s="54">
        <f t="shared" si="12"/>
        <v>4.3660992128866924</v>
      </c>
      <c r="R298" s="53">
        <f>IFERROR(VLOOKUP(B298,'Pre-Summary'!$BG$6:$BM$44,7,FALSE),R299)</f>
        <v>2.7904161219319636E-2</v>
      </c>
      <c r="S298" s="53">
        <f>IFERROR(VLOOKUP(B298,'Pre-Summary'!$BG$6:$BM$44,6,FALSE),S299)</f>
        <v>3.3978715219895171E-2</v>
      </c>
      <c r="T298" s="45" t="str">
        <f>IFERROR(VLOOKUP(B298,'Pre-Summary'!$Y$6:$AC$83, 3,FALSE),"")</f>
        <v/>
      </c>
      <c r="U298" s="45" t="str">
        <f>IFERROR(VLOOKUP(B298,'Pre-Summary'!$Y$6:$AC$83, 4,FALSE),"")</f>
        <v/>
      </c>
      <c r="V298" t="str">
        <f>IFERROR(VLOOKUP(B298,'Pre-Summary'!$Y$6:$AC$83, 5,FALSE),"")</f>
        <v/>
      </c>
      <c r="W298" s="45" t="str">
        <f>IFERROR(VLOOKUP(B298,'Pre-Summary'!$Y$6:$AD$83,6,FALSE),"")</f>
        <v/>
      </c>
      <c r="X298" t="str">
        <f>IFERROR(VLOOKUP('Pre-Summary'!$DB$6:$DD$63,3,FALSE),"")</f>
        <v/>
      </c>
      <c r="Y298" t="str">
        <f>IFERROR(VLOOKUP(B298,'Pre-Summary'!$CR$6:$CT$36,3,FALSE),"")</f>
        <v/>
      </c>
      <c r="Z298" s="45" t="str">
        <f>IFERROR(VLOOKUP(B298,'Pre-Summary'!$BZ$6:$CB$63,2,FALSE),"")</f>
        <v/>
      </c>
      <c r="AA298" s="45" t="str">
        <f>IFERROR(VLOOKUP(B298,'Pre-Summary'!$CG$6:$CI$70,2,FALSE),"")</f>
        <v/>
      </c>
      <c r="AB298" s="99">
        <f>IFERROR(VLOOKUP(B298,'Pre-Summary'!$A$6:$P$178,9,FALSE),AB299)</f>
        <v>1.0067180186389197</v>
      </c>
      <c r="AC298" s="10">
        <f>IFERROR(VLOOKUP(Summary!B298,'Pre-Summary'!$A$6:$P$184,5, FALSE)/100,AC299)</f>
        <v>0.115633</v>
      </c>
      <c r="AD298" s="10">
        <f>IFERROR(VLOOKUP(Summary!B298,'Pre-Summary'!$A$6:$P$184,3, FALSE)/100,AD299)</f>
        <v>0.88127200000000006</v>
      </c>
      <c r="AE298" s="10">
        <f>IFERROR(VLOOKUP(Summary!B298,'Pre-Summary'!$A$6:$P$184,7, FALSE)/100,AE299)</f>
        <v>3.0949999999999992E-3</v>
      </c>
      <c r="AF298" s="99">
        <f t="shared" si="13"/>
        <v>0.88719240172195812</v>
      </c>
      <c r="AG298" s="99">
        <f t="shared" si="14"/>
        <v>3.115792267687456E-3</v>
      </c>
      <c r="AH298" s="10" t="str">
        <f>IFERROR(VLOOKUP(B298,'Pre-Summary'!$AZ$6:$BE$65,3,FALSE),"")</f>
        <v/>
      </c>
      <c r="AI298" s="10" t="str">
        <f>IFERROR(VLOOKUP(B298,'Pre-Summary'!$AZ$6:$BE$65,5,FALSE),"")</f>
        <v/>
      </c>
      <c r="AJ298" s="10" t="str">
        <f>IFERROR(VLOOKUP(B298,'Pre-Summary'!$AZ$6:$BE$65,4,FALSE),"")</f>
        <v/>
      </c>
      <c r="AK298" s="10" t="str">
        <f>IFERROR(VLOOKUP(B298,'Pre-Summary'!$AZ$6:$BE$65,6,FALSE),"")</f>
        <v/>
      </c>
      <c r="AL298" s="10" t="str">
        <f>IFERROR(VLOOKUP(B298,'Pre-Summary'!$BG$6:$BL$44,3,FALSE),"")</f>
        <v/>
      </c>
      <c r="AM298" s="10" t="str">
        <f>IFERROR(VLOOKUP(B298,'Pre-Summary'!$BG$6:$BL$44,4,FALSE),"")</f>
        <v/>
      </c>
    </row>
    <row r="299" spans="2:39" ht="15" customHeight="1" x14ac:dyDescent="0.3">
      <c r="B299">
        <v>29.6</v>
      </c>
      <c r="C299" t="str">
        <f>IFERROR(VLOOKUP(B299,'Pre-Summary'!$DI$6:$DM$23,4,FALSE),"")</f>
        <v/>
      </c>
      <c r="D299" s="10" t="str">
        <f>IFERROR(VLOOKUP(B299,'Pre-Summary'!$AT$6:$AX$14,5,FALSE),D298)</f>
        <v>DSMZ v1.5: Using DSMZ 120 with NaHCO3</v>
      </c>
      <c r="E299" s="10" t="str">
        <f>IFERROR(VLOOKUP(B299,'Pre-Summary'!$AT$6:$AX$15,4,FALSE),"")</f>
        <v/>
      </c>
      <c r="F299">
        <f>IFERROR(VLOOKUP(B299,'Pre-Summary'!$AL$6:$AQ$13,6,FALSE),F298)</f>
        <v>0</v>
      </c>
      <c r="G299" t="str">
        <f>IFERROR(VLOOKUP(B299,'Pre-Summary'!$AE$6:$AJ$85,3,FALSE),"")</f>
        <v/>
      </c>
      <c r="H299" t="str">
        <f>IFERROR(VLOOKUP(B299,'Pre-Summary'!$AE$6:$AJ$85,4,FALSE),"")</f>
        <v/>
      </c>
      <c r="I299" t="str">
        <f>IFERROR(VLOOKUP(B299,'Pre-Summary'!$AE$6:$AJ$85,5,FALSE),"")</f>
        <v/>
      </c>
      <c r="J299" s="45" t="str">
        <f>IFERROR(VLOOKUP(B299,'Pre-Summary'!$AE$6:$AJ$85,6, FALSE),"")</f>
        <v/>
      </c>
      <c r="K299" s="45" t="str">
        <f>IFERROR(VLOOKUP(B299,'Pre-Summary'!$DE$6:$DG$61,3,FALSE),"")</f>
        <v/>
      </c>
      <c r="L299" s="45" t="str">
        <f>IFERROR(VLOOKUP(B299,'Pre-Summary'!$CU$6:$CW$36,3,FALSE),"")</f>
        <v/>
      </c>
      <c r="M299" s="45" t="str">
        <f>IFERROR(VLOOKUP(B299,'Pre-Summary'!$BW$6:$BY$58,2,FALSE),"")</f>
        <v/>
      </c>
      <c r="N299" s="45" t="str">
        <f>IFERROR(VLOOKUP(B299,'Pre-Summary'!$CD$6:$CF$64,2,FALSE),"")</f>
        <v/>
      </c>
      <c r="O299" s="99">
        <f>IFERROR(VLOOKUP(B299,'Pre-Summary'!$BO$6:$BQ$48,3, FALSE),O298)</f>
        <v>1.0915248032216731</v>
      </c>
      <c r="P299" s="99">
        <f>IFERROR(VLOOKUP(B299,'Pre-Summary'!$BS$6:$BU$35,3,FALSE),P298)</f>
        <v>0.25</v>
      </c>
      <c r="Q299" s="54">
        <f t="shared" si="12"/>
        <v>4.3660992128866924</v>
      </c>
      <c r="R299" s="53">
        <f>IFERROR(VLOOKUP(B299,'Pre-Summary'!$BG$6:$BM$44,7,FALSE),R300)</f>
        <v>2.7904161219319636E-2</v>
      </c>
      <c r="S299" s="53">
        <f>IFERROR(VLOOKUP(B299,'Pre-Summary'!$BG$6:$BM$44,6,FALSE),S300)</f>
        <v>3.3978715219895171E-2</v>
      </c>
      <c r="T299" s="45" t="str">
        <f>IFERROR(VLOOKUP(B299,'Pre-Summary'!$Y$6:$AC$83, 3,FALSE),"")</f>
        <v/>
      </c>
      <c r="U299" s="45" t="str">
        <f>IFERROR(VLOOKUP(B299,'Pre-Summary'!$Y$6:$AC$83, 4,FALSE),"")</f>
        <v/>
      </c>
      <c r="V299" t="str">
        <f>IFERROR(VLOOKUP(B299,'Pre-Summary'!$Y$6:$AC$83, 5,FALSE),"")</f>
        <v/>
      </c>
      <c r="W299" s="45" t="str">
        <f>IFERROR(VLOOKUP(B299,'Pre-Summary'!$Y$6:$AD$83,6,FALSE),"")</f>
        <v/>
      </c>
      <c r="X299" t="str">
        <f>IFERROR(VLOOKUP('Pre-Summary'!$DB$6:$DD$63,3,FALSE),"")</f>
        <v/>
      </c>
      <c r="Y299" t="str">
        <f>IFERROR(VLOOKUP(B299,'Pre-Summary'!$CR$6:$CT$36,3,FALSE),"")</f>
        <v/>
      </c>
      <c r="Z299" s="45" t="str">
        <f>IFERROR(VLOOKUP(B299,'Pre-Summary'!$BZ$6:$CB$63,2,FALSE),"")</f>
        <v/>
      </c>
      <c r="AA299" s="45" t="str">
        <f>IFERROR(VLOOKUP(B299,'Pre-Summary'!$CG$6:$CI$70,2,FALSE),"")</f>
        <v/>
      </c>
      <c r="AB299" s="99">
        <f>IFERROR(VLOOKUP(B299,'Pre-Summary'!$A$6:$P$178,9,FALSE),AB300)</f>
        <v>1.0067180186389197</v>
      </c>
      <c r="AC299" s="10">
        <f>IFERROR(VLOOKUP(Summary!B299,'Pre-Summary'!$A$6:$P$184,5, FALSE)/100,AC300)</f>
        <v>0.115633</v>
      </c>
      <c r="AD299" s="10">
        <f>IFERROR(VLOOKUP(Summary!B299,'Pre-Summary'!$A$6:$P$184,3, FALSE)/100,AD300)</f>
        <v>0.88127200000000006</v>
      </c>
      <c r="AE299" s="10">
        <f>IFERROR(VLOOKUP(Summary!B299,'Pre-Summary'!$A$6:$P$184,7, FALSE)/100,AE300)</f>
        <v>3.0949999999999992E-3</v>
      </c>
      <c r="AF299" s="99">
        <f t="shared" si="13"/>
        <v>0.88719240172195812</v>
      </c>
      <c r="AG299" s="99">
        <f t="shared" si="14"/>
        <v>3.115792267687456E-3</v>
      </c>
      <c r="AH299" s="10" t="str">
        <f>IFERROR(VLOOKUP(B299,'Pre-Summary'!$AZ$6:$BE$65,3,FALSE),"")</f>
        <v/>
      </c>
      <c r="AI299" s="10" t="str">
        <f>IFERROR(VLOOKUP(B299,'Pre-Summary'!$AZ$6:$BE$65,5,FALSE),"")</f>
        <v/>
      </c>
      <c r="AJ299" s="10" t="str">
        <f>IFERROR(VLOOKUP(B299,'Pre-Summary'!$AZ$6:$BE$65,4,FALSE),"")</f>
        <v/>
      </c>
      <c r="AK299" s="10" t="str">
        <f>IFERROR(VLOOKUP(B299,'Pre-Summary'!$AZ$6:$BE$65,6,FALSE),"")</f>
        <v/>
      </c>
      <c r="AL299" s="10" t="str">
        <f>IFERROR(VLOOKUP(B299,'Pre-Summary'!$BG$6:$BL$44,3,FALSE),"")</f>
        <v/>
      </c>
      <c r="AM299" s="10" t="str">
        <f>IFERROR(VLOOKUP(B299,'Pre-Summary'!$BG$6:$BL$44,4,FALSE),"")</f>
        <v/>
      </c>
    </row>
    <row r="300" spans="2:39" ht="15" customHeight="1" x14ac:dyDescent="0.3">
      <c r="B300">
        <v>29.7</v>
      </c>
      <c r="C300" t="str">
        <f>IFERROR(VLOOKUP(B300,'Pre-Summary'!$DI$6:$DM$23,4,FALSE),"")</f>
        <v/>
      </c>
      <c r="D300" s="10" t="str">
        <f>IFERROR(VLOOKUP(B300,'Pre-Summary'!$AT$6:$AX$14,5,FALSE),D299)</f>
        <v>DSMZ v1.5: Using DSMZ 120 with NaHCO3</v>
      </c>
      <c r="E300" s="10" t="str">
        <f>IFERROR(VLOOKUP(B300,'Pre-Summary'!$AT$6:$AX$15,4,FALSE),"")</f>
        <v/>
      </c>
      <c r="F300">
        <f>IFERROR(VLOOKUP(B300,'Pre-Summary'!$AL$6:$AQ$13,6,FALSE),F299)</f>
        <v>0</v>
      </c>
      <c r="G300" t="str">
        <f>IFERROR(VLOOKUP(B300,'Pre-Summary'!$AE$6:$AJ$85,3,FALSE),"")</f>
        <v/>
      </c>
      <c r="H300" t="str">
        <f>IFERROR(VLOOKUP(B300,'Pre-Summary'!$AE$6:$AJ$85,4,FALSE),"")</f>
        <v/>
      </c>
      <c r="I300" t="str">
        <f>IFERROR(VLOOKUP(B300,'Pre-Summary'!$AE$6:$AJ$85,5,FALSE),"")</f>
        <v/>
      </c>
      <c r="J300" s="45" t="str">
        <f>IFERROR(VLOOKUP(B300,'Pre-Summary'!$AE$6:$AJ$85,6, FALSE),"")</f>
        <v/>
      </c>
      <c r="K300" s="45" t="str">
        <f>IFERROR(VLOOKUP(B300,'Pre-Summary'!$DE$6:$DG$61,3,FALSE),"")</f>
        <v/>
      </c>
      <c r="L300" s="45" t="str">
        <f>IFERROR(VLOOKUP(B300,'Pre-Summary'!$CU$6:$CW$36,3,FALSE),"")</f>
        <v/>
      </c>
      <c r="M300" s="45" t="str">
        <f>IFERROR(VLOOKUP(B300,'Pre-Summary'!$BW$6:$BY$58,2,FALSE),"")</f>
        <v/>
      </c>
      <c r="N300" s="45" t="str">
        <f>IFERROR(VLOOKUP(B300,'Pre-Summary'!$CD$6:$CF$64,2,FALSE),"")</f>
        <v/>
      </c>
      <c r="O300" s="99">
        <f>IFERROR(VLOOKUP(B300,'Pre-Summary'!$BO$6:$BQ$48,3, FALSE),O299)</f>
        <v>1.0915248032216731</v>
      </c>
      <c r="P300" s="99">
        <f>IFERROR(VLOOKUP(B300,'Pre-Summary'!$BS$6:$BU$35,3,FALSE),P299)</f>
        <v>0.25</v>
      </c>
      <c r="Q300" s="54">
        <f t="shared" si="12"/>
        <v>4.3660992128866924</v>
      </c>
      <c r="R300" s="53">
        <f>IFERROR(VLOOKUP(B300,'Pre-Summary'!$BG$6:$BM$44,7,FALSE),R301)</f>
        <v>2.7904161219319636E-2</v>
      </c>
      <c r="S300" s="53">
        <f>IFERROR(VLOOKUP(B300,'Pre-Summary'!$BG$6:$BM$44,6,FALSE),S301)</f>
        <v>3.3978715219895171E-2</v>
      </c>
      <c r="T300" s="45" t="str">
        <f>IFERROR(VLOOKUP(B300,'Pre-Summary'!$Y$6:$AC$83, 3,FALSE),"")</f>
        <v/>
      </c>
      <c r="U300" s="45" t="str">
        <f>IFERROR(VLOOKUP(B300,'Pre-Summary'!$Y$6:$AC$83, 4,FALSE),"")</f>
        <v/>
      </c>
      <c r="V300" t="str">
        <f>IFERROR(VLOOKUP(B300,'Pre-Summary'!$Y$6:$AC$83, 5,FALSE),"")</f>
        <v/>
      </c>
      <c r="W300" s="45" t="str">
        <f>IFERROR(VLOOKUP(B300,'Pre-Summary'!$Y$6:$AD$83,6,FALSE),"")</f>
        <v/>
      </c>
      <c r="X300" t="str">
        <f>IFERROR(VLOOKUP('Pre-Summary'!$DB$6:$DD$63,3,FALSE),"")</f>
        <v/>
      </c>
      <c r="Y300" t="str">
        <f>IFERROR(VLOOKUP(B300,'Pre-Summary'!$CR$6:$CT$36,3,FALSE),"")</f>
        <v/>
      </c>
      <c r="Z300" s="45" t="str">
        <f>IFERROR(VLOOKUP(B300,'Pre-Summary'!$BZ$6:$CB$63,2,FALSE),"")</f>
        <v/>
      </c>
      <c r="AA300" s="45" t="str">
        <f>IFERROR(VLOOKUP(B300,'Pre-Summary'!$CG$6:$CI$70,2,FALSE),"")</f>
        <v/>
      </c>
      <c r="AB300" s="99">
        <f>IFERROR(VLOOKUP(B300,'Pre-Summary'!$A$6:$P$178,9,FALSE),AB301)</f>
        <v>1.0067180186389197</v>
      </c>
      <c r="AC300" s="10">
        <f>IFERROR(VLOOKUP(Summary!B300,'Pre-Summary'!$A$6:$P$184,5, FALSE)/100,AC301)</f>
        <v>0.115633</v>
      </c>
      <c r="AD300" s="10">
        <f>IFERROR(VLOOKUP(Summary!B300,'Pre-Summary'!$A$6:$P$184,3, FALSE)/100,AD301)</f>
        <v>0.88127200000000006</v>
      </c>
      <c r="AE300" s="10">
        <f>IFERROR(VLOOKUP(Summary!B300,'Pre-Summary'!$A$6:$P$184,7, FALSE)/100,AE301)</f>
        <v>3.0949999999999992E-3</v>
      </c>
      <c r="AF300" s="99">
        <f t="shared" si="13"/>
        <v>0.88719240172195812</v>
      </c>
      <c r="AG300" s="99">
        <f t="shared" si="14"/>
        <v>3.115792267687456E-3</v>
      </c>
      <c r="AH300" s="10" t="str">
        <f>IFERROR(VLOOKUP(B300,'Pre-Summary'!$AZ$6:$BE$65,3,FALSE),"")</f>
        <v/>
      </c>
      <c r="AI300" s="10" t="str">
        <f>IFERROR(VLOOKUP(B300,'Pre-Summary'!$AZ$6:$BE$65,5,FALSE),"")</f>
        <v/>
      </c>
      <c r="AJ300" s="10" t="str">
        <f>IFERROR(VLOOKUP(B300,'Pre-Summary'!$AZ$6:$BE$65,4,FALSE),"")</f>
        <v/>
      </c>
      <c r="AK300" s="10" t="str">
        <f>IFERROR(VLOOKUP(B300,'Pre-Summary'!$AZ$6:$BE$65,6,FALSE),"")</f>
        <v/>
      </c>
      <c r="AL300" s="10" t="str">
        <f>IFERROR(VLOOKUP(B300,'Pre-Summary'!$BG$6:$BL$44,3,FALSE),"")</f>
        <v/>
      </c>
      <c r="AM300" s="10" t="str">
        <f>IFERROR(VLOOKUP(B300,'Pre-Summary'!$BG$6:$BL$44,4,FALSE),"")</f>
        <v/>
      </c>
    </row>
    <row r="301" spans="2:39" ht="15" customHeight="1" x14ac:dyDescent="0.3">
      <c r="B301">
        <v>29.8</v>
      </c>
      <c r="C301" t="str">
        <f>IFERROR(VLOOKUP(B301,'Pre-Summary'!$DI$6:$DM$23,4,FALSE),"")</f>
        <v/>
      </c>
      <c r="D301" s="10" t="str">
        <f>IFERROR(VLOOKUP(B301,'Pre-Summary'!$AT$6:$AX$14,5,FALSE),D300)</f>
        <v>DSMZ v1.5: Using DSMZ 120 with NaHCO3</v>
      </c>
      <c r="E301" s="10" t="str">
        <f>IFERROR(VLOOKUP(B301,'Pre-Summary'!$AT$6:$AX$15,4,FALSE),"")</f>
        <v/>
      </c>
      <c r="F301">
        <f>IFERROR(VLOOKUP(B301,'Pre-Summary'!$AL$6:$AQ$13,6,FALSE),F300)</f>
        <v>0</v>
      </c>
      <c r="G301" t="str">
        <f>IFERROR(VLOOKUP(B301,'Pre-Summary'!$AE$6:$AJ$85,3,FALSE),"")</f>
        <v/>
      </c>
      <c r="H301" t="str">
        <f>IFERROR(VLOOKUP(B301,'Pre-Summary'!$AE$6:$AJ$85,4,FALSE),"")</f>
        <v/>
      </c>
      <c r="I301" t="str">
        <f>IFERROR(VLOOKUP(B301,'Pre-Summary'!$AE$6:$AJ$85,5,FALSE),"")</f>
        <v/>
      </c>
      <c r="J301" s="45" t="str">
        <f>IFERROR(VLOOKUP(B301,'Pre-Summary'!$AE$6:$AJ$85,6, FALSE),"")</f>
        <v/>
      </c>
      <c r="K301" s="45" t="str">
        <f>IFERROR(VLOOKUP(B301,'Pre-Summary'!$DE$6:$DG$61,3,FALSE),"")</f>
        <v/>
      </c>
      <c r="L301" s="45" t="str">
        <f>IFERROR(VLOOKUP(B301,'Pre-Summary'!$CU$6:$CW$36,3,FALSE),"")</f>
        <v/>
      </c>
      <c r="M301" s="45" t="str">
        <f>IFERROR(VLOOKUP(B301,'Pre-Summary'!$BW$6:$BY$58,2,FALSE),"")</f>
        <v/>
      </c>
      <c r="N301" s="45" t="str">
        <f>IFERROR(VLOOKUP(B301,'Pre-Summary'!$CD$6:$CF$64,2,FALSE),"")</f>
        <v/>
      </c>
      <c r="O301" s="99">
        <f>IFERROR(VLOOKUP(B301,'Pre-Summary'!$BO$6:$BQ$48,3, FALSE),O300)</f>
        <v>1.0915248032216731</v>
      </c>
      <c r="P301" s="99">
        <f>IFERROR(VLOOKUP(B301,'Pre-Summary'!$BS$6:$BU$35,3,FALSE),P300)</f>
        <v>0.25</v>
      </c>
      <c r="Q301" s="54">
        <f t="shared" si="12"/>
        <v>4.3660992128866924</v>
      </c>
      <c r="R301" s="53">
        <f>IFERROR(VLOOKUP(B301,'Pre-Summary'!$BG$6:$BM$44,7,FALSE),R302)</f>
        <v>2.7904161219319636E-2</v>
      </c>
      <c r="S301" s="53">
        <f>IFERROR(VLOOKUP(B301,'Pre-Summary'!$BG$6:$BM$44,6,FALSE),S302)</f>
        <v>3.3978715219895171E-2</v>
      </c>
      <c r="T301" s="45" t="str">
        <f>IFERROR(VLOOKUP(B301,'Pre-Summary'!$Y$6:$AC$83, 3,FALSE),"")</f>
        <v/>
      </c>
      <c r="U301" s="45" t="str">
        <f>IFERROR(VLOOKUP(B301,'Pre-Summary'!$Y$6:$AC$83, 4,FALSE),"")</f>
        <v/>
      </c>
      <c r="V301" t="str">
        <f>IFERROR(VLOOKUP(B301,'Pre-Summary'!$Y$6:$AC$83, 5,FALSE),"")</f>
        <v/>
      </c>
      <c r="W301" s="45" t="str">
        <f>IFERROR(VLOOKUP(B301,'Pre-Summary'!$Y$6:$AD$83,6,FALSE),"")</f>
        <v/>
      </c>
      <c r="X301" t="str">
        <f>IFERROR(VLOOKUP('Pre-Summary'!$DB$6:$DD$63,3,FALSE),"")</f>
        <v/>
      </c>
      <c r="Y301" t="str">
        <f>IFERROR(VLOOKUP(B301,'Pre-Summary'!$CR$6:$CT$36,3,FALSE),"")</f>
        <v/>
      </c>
      <c r="Z301" s="45" t="str">
        <f>IFERROR(VLOOKUP(B301,'Pre-Summary'!$BZ$6:$CB$63,2,FALSE),"")</f>
        <v/>
      </c>
      <c r="AA301" s="45" t="str">
        <f>IFERROR(VLOOKUP(B301,'Pre-Summary'!$CG$6:$CI$70,2,FALSE),"")</f>
        <v/>
      </c>
      <c r="AB301" s="99">
        <f>IFERROR(VLOOKUP(B301,'Pre-Summary'!$A$6:$P$178,9,FALSE),AB302)</f>
        <v>1.0067180186389197</v>
      </c>
      <c r="AC301" s="10">
        <f>IFERROR(VLOOKUP(Summary!B301,'Pre-Summary'!$A$6:$P$184,5, FALSE)/100,AC302)</f>
        <v>0.115633</v>
      </c>
      <c r="AD301" s="10">
        <f>IFERROR(VLOOKUP(Summary!B301,'Pre-Summary'!$A$6:$P$184,3, FALSE)/100,AD302)</f>
        <v>0.88127200000000006</v>
      </c>
      <c r="AE301" s="10">
        <f>IFERROR(VLOOKUP(Summary!B301,'Pre-Summary'!$A$6:$P$184,7, FALSE)/100,AE302)</f>
        <v>3.0949999999999992E-3</v>
      </c>
      <c r="AF301" s="99">
        <f t="shared" si="13"/>
        <v>0.88719240172195812</v>
      </c>
      <c r="AG301" s="99">
        <f t="shared" si="14"/>
        <v>3.115792267687456E-3</v>
      </c>
      <c r="AH301" s="10" t="str">
        <f>IFERROR(VLOOKUP(B301,'Pre-Summary'!$AZ$6:$BE$65,3,FALSE),"")</f>
        <v/>
      </c>
      <c r="AI301" s="10" t="str">
        <f>IFERROR(VLOOKUP(B301,'Pre-Summary'!$AZ$6:$BE$65,5,FALSE),"")</f>
        <v/>
      </c>
      <c r="AJ301" s="10" t="str">
        <f>IFERROR(VLOOKUP(B301,'Pre-Summary'!$AZ$6:$BE$65,4,FALSE),"")</f>
        <v/>
      </c>
      <c r="AK301" s="10" t="str">
        <f>IFERROR(VLOOKUP(B301,'Pre-Summary'!$AZ$6:$BE$65,6,FALSE),"")</f>
        <v/>
      </c>
      <c r="AL301" s="10" t="str">
        <f>IFERROR(VLOOKUP(B301,'Pre-Summary'!$BG$6:$BL$44,3,FALSE),"")</f>
        <v/>
      </c>
      <c r="AM301" s="10" t="str">
        <f>IFERROR(VLOOKUP(B301,'Pre-Summary'!$BG$6:$BL$44,4,FALSE),"")</f>
        <v/>
      </c>
    </row>
    <row r="302" spans="2:39" ht="15" customHeight="1" x14ac:dyDescent="0.3">
      <c r="B302">
        <v>29.9</v>
      </c>
      <c r="C302" t="str">
        <f>IFERROR(VLOOKUP(B302,'Pre-Summary'!$DI$6:$DM$23,4,FALSE),"")</f>
        <v/>
      </c>
      <c r="D302" s="10" t="str">
        <f>IFERROR(VLOOKUP(B302,'Pre-Summary'!$AT$6:$AX$14,5,FALSE),D301)</f>
        <v>DSMZ v1.5: Using DSMZ 120 with NaHCO3</v>
      </c>
      <c r="E302" s="10" t="str">
        <f>IFERROR(VLOOKUP(B302,'Pre-Summary'!$AT$6:$AX$15,4,FALSE),"")</f>
        <v/>
      </c>
      <c r="F302">
        <f>IFERROR(VLOOKUP(B302,'Pre-Summary'!$AL$6:$AQ$13,6,FALSE),F301)</f>
        <v>0</v>
      </c>
      <c r="G302" t="str">
        <f>IFERROR(VLOOKUP(B302,'Pre-Summary'!$AE$6:$AJ$85,3,FALSE),"")</f>
        <v/>
      </c>
      <c r="H302" t="str">
        <f>IFERROR(VLOOKUP(B302,'Pre-Summary'!$AE$6:$AJ$85,4,FALSE),"")</f>
        <v/>
      </c>
      <c r="I302" t="str">
        <f>IFERROR(VLOOKUP(B302,'Pre-Summary'!$AE$6:$AJ$85,5,FALSE),"")</f>
        <v/>
      </c>
      <c r="J302" s="45" t="str">
        <f>IFERROR(VLOOKUP(B302,'Pre-Summary'!$AE$6:$AJ$85,6, FALSE),"")</f>
        <v/>
      </c>
      <c r="K302" s="45" t="str">
        <f>IFERROR(VLOOKUP(B302,'Pre-Summary'!$DE$6:$DG$61,3,FALSE),"")</f>
        <v/>
      </c>
      <c r="L302" s="45" t="str">
        <f>IFERROR(VLOOKUP(B302,'Pre-Summary'!$CU$6:$CW$36,3,FALSE),"")</f>
        <v/>
      </c>
      <c r="M302" s="45" t="str">
        <f>IFERROR(VLOOKUP(B302,'Pre-Summary'!$BW$6:$BY$58,2,FALSE),"")</f>
        <v/>
      </c>
      <c r="N302" s="45" t="str">
        <f>IFERROR(VLOOKUP(B302,'Pre-Summary'!$CD$6:$CF$64,2,FALSE),"")</f>
        <v/>
      </c>
      <c r="O302" s="99">
        <f>IFERROR(VLOOKUP(B302,'Pre-Summary'!$BO$6:$BQ$48,3, FALSE),O301)</f>
        <v>1.0915248032216731</v>
      </c>
      <c r="P302" s="99">
        <f>IFERROR(VLOOKUP(B302,'Pre-Summary'!$BS$6:$BU$35,3,FALSE),P301)</f>
        <v>0.25</v>
      </c>
      <c r="Q302" s="54">
        <f t="shared" si="12"/>
        <v>4.3660992128866924</v>
      </c>
      <c r="R302" s="53">
        <f>IFERROR(VLOOKUP(B302,'Pre-Summary'!$BG$6:$BM$44,7,FALSE),R303)</f>
        <v>2.7904161219319636E-2</v>
      </c>
      <c r="S302" s="53">
        <f>IFERROR(VLOOKUP(B302,'Pre-Summary'!$BG$6:$BM$44,6,FALSE),S303)</f>
        <v>3.3978715219895171E-2</v>
      </c>
      <c r="T302" s="45" t="str">
        <f>IFERROR(VLOOKUP(B302,'Pre-Summary'!$Y$6:$AC$83, 3,FALSE),"")</f>
        <v/>
      </c>
      <c r="U302" s="45" t="str">
        <f>IFERROR(VLOOKUP(B302,'Pre-Summary'!$Y$6:$AC$83, 4,FALSE),"")</f>
        <v/>
      </c>
      <c r="V302" t="str">
        <f>IFERROR(VLOOKUP(B302,'Pre-Summary'!$Y$6:$AC$83, 5,FALSE),"")</f>
        <v/>
      </c>
      <c r="W302" s="45" t="str">
        <f>IFERROR(VLOOKUP(B302,'Pre-Summary'!$Y$6:$AD$83,6,FALSE),"")</f>
        <v/>
      </c>
      <c r="X302" t="str">
        <f>IFERROR(VLOOKUP('Pre-Summary'!$DB$6:$DD$63,3,FALSE),"")</f>
        <v/>
      </c>
      <c r="Y302" t="str">
        <f>IFERROR(VLOOKUP(B302,'Pre-Summary'!$CR$6:$CT$36,3,FALSE),"")</f>
        <v/>
      </c>
      <c r="Z302" s="45" t="str">
        <f>IFERROR(VLOOKUP(B302,'Pre-Summary'!$BZ$6:$CB$63,2,FALSE),"")</f>
        <v/>
      </c>
      <c r="AA302" s="45" t="str">
        <f>IFERROR(VLOOKUP(B302,'Pre-Summary'!$CG$6:$CI$70,2,FALSE),"")</f>
        <v/>
      </c>
      <c r="AB302" s="99">
        <f>IFERROR(VLOOKUP(B302,'Pre-Summary'!$A$6:$P$178,9,FALSE),AB303)</f>
        <v>1.0067180186389197</v>
      </c>
      <c r="AC302" s="10">
        <f>IFERROR(VLOOKUP(Summary!B302,'Pre-Summary'!$A$6:$P$184,5, FALSE)/100,AC303)</f>
        <v>0.115633</v>
      </c>
      <c r="AD302" s="10">
        <f>IFERROR(VLOOKUP(Summary!B302,'Pre-Summary'!$A$6:$P$184,3, FALSE)/100,AD303)</f>
        <v>0.88127200000000006</v>
      </c>
      <c r="AE302" s="10">
        <f>IFERROR(VLOOKUP(Summary!B302,'Pre-Summary'!$A$6:$P$184,7, FALSE)/100,AE303)</f>
        <v>3.0949999999999992E-3</v>
      </c>
      <c r="AF302" s="99">
        <f t="shared" si="13"/>
        <v>0.88719240172195812</v>
      </c>
      <c r="AG302" s="99">
        <f t="shared" si="14"/>
        <v>3.115792267687456E-3</v>
      </c>
      <c r="AH302" s="10" t="str">
        <f>IFERROR(VLOOKUP(B302,'Pre-Summary'!$AZ$6:$BE$65,3,FALSE),"")</f>
        <v/>
      </c>
      <c r="AI302" s="10" t="str">
        <f>IFERROR(VLOOKUP(B302,'Pre-Summary'!$AZ$6:$BE$65,5,FALSE),"")</f>
        <v/>
      </c>
      <c r="AJ302" s="10" t="str">
        <f>IFERROR(VLOOKUP(B302,'Pre-Summary'!$AZ$6:$BE$65,4,FALSE),"")</f>
        <v/>
      </c>
      <c r="AK302" s="10" t="str">
        <f>IFERROR(VLOOKUP(B302,'Pre-Summary'!$AZ$6:$BE$65,6,FALSE),"")</f>
        <v/>
      </c>
      <c r="AL302" s="10" t="str">
        <f>IFERROR(VLOOKUP(B302,'Pre-Summary'!$BG$6:$BL$44,3,FALSE),"")</f>
        <v/>
      </c>
      <c r="AM302" s="10" t="str">
        <f>IFERROR(VLOOKUP(B302,'Pre-Summary'!$BG$6:$BL$44,4,FALSE),"")</f>
        <v/>
      </c>
    </row>
    <row r="303" spans="2:39" ht="15" customHeight="1" x14ac:dyDescent="0.3">
      <c r="B303">
        <v>30</v>
      </c>
      <c r="C303" t="str">
        <f>IFERROR(VLOOKUP(B303,'Pre-Summary'!$DI$6:$DM$23,4,FALSE),"")</f>
        <v/>
      </c>
      <c r="D303" s="10" t="str">
        <f>IFERROR(VLOOKUP(B303,'Pre-Summary'!$AT$6:$AX$14,5,FALSE),D302)</f>
        <v>DSMZ v1.5: Using DSMZ 120 with NaHCO3</v>
      </c>
      <c r="E303" s="10" t="str">
        <f>IFERROR(VLOOKUP(B303,'Pre-Summary'!$AT$6:$AX$15,4,FALSE),"")</f>
        <v/>
      </c>
      <c r="F303">
        <f>IFERROR(VLOOKUP(B303,'Pre-Summary'!$AL$6:$AQ$13,6,FALSE),F302)</f>
        <v>0</v>
      </c>
      <c r="G303" t="str">
        <f>IFERROR(VLOOKUP(B303,'Pre-Summary'!$AE$6:$AJ$85,3,FALSE),"")</f>
        <v/>
      </c>
      <c r="H303" t="str">
        <f>IFERROR(VLOOKUP(B303,'Pre-Summary'!$AE$6:$AJ$85,4,FALSE),"")</f>
        <v/>
      </c>
      <c r="I303" t="str">
        <f>IFERROR(VLOOKUP(B303,'Pre-Summary'!$AE$6:$AJ$85,5,FALSE),"")</f>
        <v/>
      </c>
      <c r="J303" s="45" t="str">
        <f>IFERROR(VLOOKUP(B303,'Pre-Summary'!$AE$6:$AJ$85,6, FALSE),"")</f>
        <v/>
      </c>
      <c r="K303" s="45" t="str">
        <f>IFERROR(VLOOKUP(B303,'Pre-Summary'!$DE$6:$DG$61,3,FALSE),"")</f>
        <v/>
      </c>
      <c r="L303" s="45" t="str">
        <f>IFERROR(VLOOKUP(B303,'Pre-Summary'!$CU$6:$CW$36,3,FALSE),"")</f>
        <v/>
      </c>
      <c r="M303" s="45" t="str">
        <f>IFERROR(VLOOKUP(B303,'Pre-Summary'!$BW$6:$BY$58,2,FALSE),"")</f>
        <v/>
      </c>
      <c r="N303" s="45" t="str">
        <f>IFERROR(VLOOKUP(B303,'Pre-Summary'!$CD$6:$CF$64,2,FALSE),"")</f>
        <v/>
      </c>
      <c r="O303" s="99">
        <f>IFERROR(VLOOKUP(B303,'Pre-Summary'!$BO$6:$BQ$48,3, FALSE),O302)</f>
        <v>1.0915248032216731</v>
      </c>
      <c r="P303" s="99">
        <f>IFERROR(VLOOKUP(B303,'Pre-Summary'!$BS$6:$BU$35,3,FALSE),P302)</f>
        <v>0.25</v>
      </c>
      <c r="Q303" s="54">
        <f t="shared" si="12"/>
        <v>4.3660992128866924</v>
      </c>
      <c r="R303" s="53">
        <f>IFERROR(VLOOKUP(B303,'Pre-Summary'!$BG$6:$BM$44,7,FALSE),R304)</f>
        <v>2.7904161219319636E-2</v>
      </c>
      <c r="S303" s="53">
        <f>IFERROR(VLOOKUP(B303,'Pre-Summary'!$BG$6:$BM$44,6,FALSE),S304)</f>
        <v>3.3978715219895171E-2</v>
      </c>
      <c r="T303" s="45" t="str">
        <f>IFERROR(VLOOKUP(B303,'Pre-Summary'!$Y$6:$AC$83, 3,FALSE),"")</f>
        <v/>
      </c>
      <c r="U303" s="45" t="str">
        <f>IFERROR(VLOOKUP(B303,'Pre-Summary'!$Y$6:$AC$83, 4,FALSE),"")</f>
        <v/>
      </c>
      <c r="V303" t="str">
        <f>IFERROR(VLOOKUP(B303,'Pre-Summary'!$Y$6:$AC$83, 5,FALSE),"")</f>
        <v/>
      </c>
      <c r="W303" s="45" t="str">
        <f>IFERROR(VLOOKUP(B303,'Pre-Summary'!$Y$6:$AD$83,6,FALSE),"")</f>
        <v/>
      </c>
      <c r="X303" t="str">
        <f>IFERROR(VLOOKUP('Pre-Summary'!$DB$6:$DD$63,3,FALSE),"")</f>
        <v/>
      </c>
      <c r="Y303" t="str">
        <f>IFERROR(VLOOKUP(B303,'Pre-Summary'!$CR$6:$CT$36,3,FALSE),"")</f>
        <v/>
      </c>
      <c r="Z303" s="45" t="str">
        <f>IFERROR(VLOOKUP(B303,'Pre-Summary'!$BZ$6:$CB$63,2,FALSE),"")</f>
        <v/>
      </c>
      <c r="AA303" s="45" t="str">
        <f>IFERROR(VLOOKUP(B303,'Pre-Summary'!$CG$6:$CI$70,2,FALSE),"")</f>
        <v/>
      </c>
      <c r="AB303" s="99">
        <f>IFERROR(VLOOKUP(B303,'Pre-Summary'!$A$6:$P$178,9,FALSE),AB304)</f>
        <v>1.0067180186389197</v>
      </c>
      <c r="AC303" s="10">
        <f>IFERROR(VLOOKUP(Summary!B303,'Pre-Summary'!$A$6:$P$184,5, FALSE)/100,AC304)</f>
        <v>0.115633</v>
      </c>
      <c r="AD303" s="10">
        <f>IFERROR(VLOOKUP(Summary!B303,'Pre-Summary'!$A$6:$P$184,3, FALSE)/100,AD304)</f>
        <v>0.88127200000000006</v>
      </c>
      <c r="AE303" s="10">
        <f>IFERROR(VLOOKUP(Summary!B303,'Pre-Summary'!$A$6:$P$184,7, FALSE)/100,AE304)</f>
        <v>3.0949999999999992E-3</v>
      </c>
      <c r="AF303" s="99">
        <f t="shared" si="13"/>
        <v>0.88719240172195812</v>
      </c>
      <c r="AG303" s="99">
        <f t="shared" si="14"/>
        <v>3.115792267687456E-3</v>
      </c>
      <c r="AH303" s="10" t="str">
        <f>IFERROR(VLOOKUP(B303,'Pre-Summary'!$AZ$6:$BE$65,3,FALSE),"")</f>
        <v/>
      </c>
      <c r="AI303" s="10" t="str">
        <f>IFERROR(VLOOKUP(B303,'Pre-Summary'!$AZ$6:$BE$65,5,FALSE),"")</f>
        <v/>
      </c>
      <c r="AJ303" s="10" t="str">
        <f>IFERROR(VLOOKUP(B303,'Pre-Summary'!$AZ$6:$BE$65,4,FALSE),"")</f>
        <v/>
      </c>
      <c r="AK303" s="10" t="str">
        <f>IFERROR(VLOOKUP(B303,'Pre-Summary'!$AZ$6:$BE$65,6,FALSE),"")</f>
        <v/>
      </c>
      <c r="AL303" s="10" t="str">
        <f>IFERROR(VLOOKUP(B303,'Pre-Summary'!$BG$6:$BL$44,3,FALSE),"")</f>
        <v/>
      </c>
      <c r="AM303" s="10" t="str">
        <f>IFERROR(VLOOKUP(B303,'Pre-Summary'!$BG$6:$BL$44,4,FALSE),"")</f>
        <v/>
      </c>
    </row>
    <row r="304" spans="2:39" ht="15" customHeight="1" x14ac:dyDescent="0.3">
      <c r="B304">
        <v>30.1</v>
      </c>
      <c r="C304" t="str">
        <f>IFERROR(VLOOKUP(B304,'Pre-Summary'!$DI$6:$DM$23,4,FALSE),"")</f>
        <v/>
      </c>
      <c r="D304" s="10" t="str">
        <f>IFERROR(VLOOKUP(B304,'Pre-Summary'!$AT$6:$AX$14,5,FALSE),D303)</f>
        <v>DSMZ v1.5: Using DSMZ 120 with NaHCO3</v>
      </c>
      <c r="E304" s="10" t="str">
        <f>IFERROR(VLOOKUP(B304,'Pre-Summary'!$AT$6:$AX$15,4,FALSE),"")</f>
        <v/>
      </c>
      <c r="F304">
        <f>IFERROR(VLOOKUP(B304,'Pre-Summary'!$AL$6:$AQ$13,6,FALSE),F303)</f>
        <v>0</v>
      </c>
      <c r="G304" t="str">
        <f>IFERROR(VLOOKUP(B304,'Pre-Summary'!$AE$6:$AJ$85,3,FALSE),"")</f>
        <v/>
      </c>
      <c r="H304" t="str">
        <f>IFERROR(VLOOKUP(B304,'Pre-Summary'!$AE$6:$AJ$85,4,FALSE),"")</f>
        <v/>
      </c>
      <c r="I304" t="str">
        <f>IFERROR(VLOOKUP(B304,'Pre-Summary'!$AE$6:$AJ$85,5,FALSE),"")</f>
        <v/>
      </c>
      <c r="J304" s="45" t="str">
        <f>IFERROR(VLOOKUP(B304,'Pre-Summary'!$AE$6:$AJ$85,6, FALSE),"")</f>
        <v/>
      </c>
      <c r="K304" s="45" t="str">
        <f>IFERROR(VLOOKUP(B304,'Pre-Summary'!$DE$6:$DG$61,3,FALSE),"")</f>
        <v/>
      </c>
      <c r="L304" s="45" t="str">
        <f>IFERROR(VLOOKUP(B304,'Pre-Summary'!$CU$6:$CW$36,3,FALSE),"")</f>
        <v/>
      </c>
      <c r="M304" s="45" t="str">
        <f>IFERROR(VLOOKUP(B304,'Pre-Summary'!$BW$6:$BY$58,2,FALSE),"")</f>
        <v/>
      </c>
      <c r="N304" s="45" t="str">
        <f>IFERROR(VLOOKUP(B304,'Pre-Summary'!$CD$6:$CF$64,2,FALSE),"")</f>
        <v/>
      </c>
      <c r="O304" s="99">
        <f>IFERROR(VLOOKUP(B304,'Pre-Summary'!$BO$6:$BQ$48,3, FALSE),O303)</f>
        <v>1.0915248032216731</v>
      </c>
      <c r="P304" s="99">
        <f>IFERROR(VLOOKUP(B304,'Pre-Summary'!$BS$6:$BU$35,3,FALSE),P303)</f>
        <v>0.25</v>
      </c>
      <c r="Q304" s="54">
        <f t="shared" si="12"/>
        <v>4.3660992128866924</v>
      </c>
      <c r="R304" s="53">
        <f>IFERROR(VLOOKUP(B304,'Pre-Summary'!$BG$6:$BM$44,7,FALSE),R305)</f>
        <v>2.7904161219319636E-2</v>
      </c>
      <c r="S304" s="53">
        <f>IFERROR(VLOOKUP(B304,'Pre-Summary'!$BG$6:$BM$44,6,FALSE),S305)</f>
        <v>3.3978715219895171E-2</v>
      </c>
      <c r="T304" s="45" t="str">
        <f>IFERROR(VLOOKUP(B304,'Pre-Summary'!$Y$6:$AC$83, 3,FALSE),"")</f>
        <v/>
      </c>
      <c r="U304" s="45" t="str">
        <f>IFERROR(VLOOKUP(B304,'Pre-Summary'!$Y$6:$AC$83, 4,FALSE),"")</f>
        <v/>
      </c>
      <c r="V304" t="str">
        <f>IFERROR(VLOOKUP(B304,'Pre-Summary'!$Y$6:$AC$83, 5,FALSE),"")</f>
        <v/>
      </c>
      <c r="W304" s="45" t="str">
        <f>IFERROR(VLOOKUP(B304,'Pre-Summary'!$Y$6:$AD$83,6,FALSE),"")</f>
        <v/>
      </c>
      <c r="X304" t="str">
        <f>IFERROR(VLOOKUP('Pre-Summary'!$DB$6:$DD$63,3,FALSE),"")</f>
        <v/>
      </c>
      <c r="Y304" t="str">
        <f>IFERROR(VLOOKUP(B304,'Pre-Summary'!$CR$6:$CT$36,3,FALSE),"")</f>
        <v/>
      </c>
      <c r="Z304" s="45" t="str">
        <f>IFERROR(VLOOKUP(B304,'Pre-Summary'!$BZ$6:$CB$63,2,FALSE),"")</f>
        <v/>
      </c>
      <c r="AA304" s="45" t="str">
        <f>IFERROR(VLOOKUP(B304,'Pre-Summary'!$CG$6:$CI$70,2,FALSE),"")</f>
        <v/>
      </c>
      <c r="AB304" s="99">
        <f>IFERROR(VLOOKUP(B304,'Pre-Summary'!$A$6:$P$178,9,FALSE),AB305)</f>
        <v>0.50070967456665783</v>
      </c>
      <c r="AC304" s="10">
        <f>IFERROR(VLOOKUP(Summary!B304,'Pre-Summary'!$A$6:$P$184,5, FALSE)/100,AC305)</f>
        <v>0.1357256667</v>
      </c>
      <c r="AD304" s="10">
        <f>IFERROR(VLOOKUP(Summary!B304,'Pre-Summary'!$A$6:$P$184,3, FALSE)/100,AD305)</f>
        <v>0.86153966670000004</v>
      </c>
      <c r="AE304" s="10">
        <f>IFERROR(VLOOKUP(Summary!B304,'Pre-Summary'!$A$6:$P$184,7, FALSE)/100,AE305)</f>
        <v>2.735E-3</v>
      </c>
      <c r="AF304" s="99">
        <f t="shared" si="13"/>
        <v>0.43138124613962386</v>
      </c>
      <c r="AG304" s="99">
        <f t="shared" si="14"/>
        <v>1.3694409599398093E-3</v>
      </c>
      <c r="AH304" s="10" t="str">
        <f>IFERROR(VLOOKUP(B304,'Pre-Summary'!$AZ$6:$BE$65,3,FALSE),"")</f>
        <v/>
      </c>
      <c r="AI304" s="10" t="str">
        <f>IFERROR(VLOOKUP(B304,'Pre-Summary'!$AZ$6:$BE$65,5,FALSE),"")</f>
        <v/>
      </c>
      <c r="AJ304" s="10" t="str">
        <f>IFERROR(VLOOKUP(B304,'Pre-Summary'!$AZ$6:$BE$65,4,FALSE),"")</f>
        <v/>
      </c>
      <c r="AK304" s="10" t="str">
        <f>IFERROR(VLOOKUP(B304,'Pre-Summary'!$AZ$6:$BE$65,6,FALSE),"")</f>
        <v/>
      </c>
      <c r="AL304" s="10" t="str">
        <f>IFERROR(VLOOKUP(B304,'Pre-Summary'!$BG$6:$BL$44,3,FALSE),"")</f>
        <v/>
      </c>
      <c r="AM304" s="10" t="str">
        <f>IFERROR(VLOOKUP(B304,'Pre-Summary'!$BG$6:$BL$44,4,FALSE),"")</f>
        <v/>
      </c>
    </row>
    <row r="305" spans="2:39" ht="15" customHeight="1" x14ac:dyDescent="0.3">
      <c r="B305">
        <v>30.2</v>
      </c>
      <c r="C305" t="str">
        <f>IFERROR(VLOOKUP(B305,'Pre-Summary'!$DI$6:$DM$23,4,FALSE),"")</f>
        <v/>
      </c>
      <c r="D305" s="10" t="str">
        <f>IFERROR(VLOOKUP(B305,'Pre-Summary'!$AT$6:$AX$14,5,FALSE),D304)</f>
        <v>DSMZ v1.5: Using DSMZ 120 with NaHCO3</v>
      </c>
      <c r="E305" s="10" t="str">
        <f>IFERROR(VLOOKUP(B305,'Pre-Summary'!$AT$6:$AX$15,4,FALSE),"")</f>
        <v/>
      </c>
      <c r="F305">
        <f>IFERROR(VLOOKUP(B305,'Pre-Summary'!$AL$6:$AQ$13,6,FALSE),F304)</f>
        <v>0</v>
      </c>
      <c r="G305" t="str">
        <f>IFERROR(VLOOKUP(B305,'Pre-Summary'!$AE$6:$AJ$85,3,FALSE),"")</f>
        <v/>
      </c>
      <c r="H305" t="str">
        <f>IFERROR(VLOOKUP(B305,'Pre-Summary'!$AE$6:$AJ$85,4,FALSE),"")</f>
        <v/>
      </c>
      <c r="I305" t="str">
        <f>IFERROR(VLOOKUP(B305,'Pre-Summary'!$AE$6:$AJ$85,5,FALSE),"")</f>
        <v/>
      </c>
      <c r="J305" s="45" t="str">
        <f>IFERROR(VLOOKUP(B305,'Pre-Summary'!$AE$6:$AJ$85,6, FALSE),"")</f>
        <v/>
      </c>
      <c r="K305" s="45" t="str">
        <f>IFERROR(VLOOKUP(B305,'Pre-Summary'!$DE$6:$DG$61,3,FALSE),"")</f>
        <v/>
      </c>
      <c r="L305" s="45" t="str">
        <f>IFERROR(VLOOKUP(B305,'Pre-Summary'!$CU$6:$CW$36,3,FALSE),"")</f>
        <v/>
      </c>
      <c r="M305" s="45" t="str">
        <f>IFERROR(VLOOKUP(B305,'Pre-Summary'!$BW$6:$BY$58,2,FALSE),"")</f>
        <v/>
      </c>
      <c r="N305" s="45" t="str">
        <f>IFERROR(VLOOKUP(B305,'Pre-Summary'!$CD$6:$CF$64,2,FALSE),"")</f>
        <v/>
      </c>
      <c r="O305" s="99">
        <f>IFERROR(VLOOKUP(B305,'Pre-Summary'!$BO$6:$BQ$48,3, FALSE),O304)</f>
        <v>1.0915248032216731</v>
      </c>
      <c r="P305" s="99">
        <f>IFERROR(VLOOKUP(B305,'Pre-Summary'!$BS$6:$BU$35,3,FALSE),P304)</f>
        <v>0.25</v>
      </c>
      <c r="Q305" s="54">
        <f t="shared" si="12"/>
        <v>4.3660992128866924</v>
      </c>
      <c r="R305" s="53">
        <f>IFERROR(VLOOKUP(B305,'Pre-Summary'!$BG$6:$BM$44,7,FALSE),R306)</f>
        <v>2.7904161219319636E-2</v>
      </c>
      <c r="S305" s="53">
        <f>IFERROR(VLOOKUP(B305,'Pre-Summary'!$BG$6:$BM$44,6,FALSE),S306)</f>
        <v>3.3978715219895171E-2</v>
      </c>
      <c r="T305" s="45" t="str">
        <f>IFERROR(VLOOKUP(B305,'Pre-Summary'!$Y$6:$AC$83, 3,FALSE),"")</f>
        <v/>
      </c>
      <c r="U305" s="45" t="str">
        <f>IFERROR(VLOOKUP(B305,'Pre-Summary'!$Y$6:$AC$83, 4,FALSE),"")</f>
        <v/>
      </c>
      <c r="V305" t="str">
        <f>IFERROR(VLOOKUP(B305,'Pre-Summary'!$Y$6:$AC$83, 5,FALSE),"")</f>
        <v/>
      </c>
      <c r="W305" s="45" t="str">
        <f>IFERROR(VLOOKUP(B305,'Pre-Summary'!$Y$6:$AD$83,6,FALSE),"")</f>
        <v/>
      </c>
      <c r="X305" t="str">
        <f>IFERROR(VLOOKUP('Pre-Summary'!$DB$6:$DD$63,3,FALSE),"")</f>
        <v/>
      </c>
      <c r="Y305" t="str">
        <f>IFERROR(VLOOKUP(B305,'Pre-Summary'!$CR$6:$CT$36,3,FALSE),"")</f>
        <v/>
      </c>
      <c r="Z305" s="45" t="str">
        <f>IFERROR(VLOOKUP(B305,'Pre-Summary'!$BZ$6:$CB$63,2,FALSE),"")</f>
        <v/>
      </c>
      <c r="AA305" s="45" t="str">
        <f>IFERROR(VLOOKUP(B305,'Pre-Summary'!$CG$6:$CI$70,2,FALSE),"")</f>
        <v/>
      </c>
      <c r="AB305" s="99">
        <f>IFERROR(VLOOKUP(B305,'Pre-Summary'!$A$6:$P$178,9,FALSE),AB306)</f>
        <v>0.50070967456665783</v>
      </c>
      <c r="AC305" s="10">
        <f>IFERROR(VLOOKUP(Summary!B305,'Pre-Summary'!$A$6:$P$184,5, FALSE)/100,AC306)</f>
        <v>0.1357256667</v>
      </c>
      <c r="AD305" s="10">
        <f>IFERROR(VLOOKUP(Summary!B305,'Pre-Summary'!$A$6:$P$184,3, FALSE)/100,AD306)</f>
        <v>0.86153966670000004</v>
      </c>
      <c r="AE305" s="10">
        <f>IFERROR(VLOOKUP(Summary!B305,'Pre-Summary'!$A$6:$P$184,7, FALSE)/100,AE306)</f>
        <v>2.735E-3</v>
      </c>
      <c r="AF305" s="99">
        <f t="shared" si="13"/>
        <v>0.43138124613962386</v>
      </c>
      <c r="AG305" s="99">
        <f t="shared" si="14"/>
        <v>1.3694409599398093E-3</v>
      </c>
      <c r="AH305" s="10" t="str">
        <f>IFERROR(VLOOKUP(B305,'Pre-Summary'!$AZ$6:$BE$65,3,FALSE),"")</f>
        <v/>
      </c>
      <c r="AI305" s="10" t="str">
        <f>IFERROR(VLOOKUP(B305,'Pre-Summary'!$AZ$6:$BE$65,5,FALSE),"")</f>
        <v/>
      </c>
      <c r="AJ305" s="10" t="str">
        <f>IFERROR(VLOOKUP(B305,'Pre-Summary'!$AZ$6:$BE$65,4,FALSE),"")</f>
        <v/>
      </c>
      <c r="AK305" s="10" t="str">
        <f>IFERROR(VLOOKUP(B305,'Pre-Summary'!$AZ$6:$BE$65,6,FALSE),"")</f>
        <v/>
      </c>
      <c r="AL305" s="10" t="str">
        <f>IFERROR(VLOOKUP(B305,'Pre-Summary'!$BG$6:$BL$44,3,FALSE),"")</f>
        <v/>
      </c>
      <c r="AM305" s="10" t="str">
        <f>IFERROR(VLOOKUP(B305,'Pre-Summary'!$BG$6:$BL$44,4,FALSE),"")</f>
        <v/>
      </c>
    </row>
    <row r="306" spans="2:39" ht="15" customHeight="1" x14ac:dyDescent="0.3">
      <c r="B306">
        <v>30.3</v>
      </c>
      <c r="C306" t="str">
        <f>IFERROR(VLOOKUP(B306,'Pre-Summary'!$DI$6:$DM$23,4,FALSE),"")</f>
        <v/>
      </c>
      <c r="D306" s="10" t="str">
        <f>IFERROR(VLOOKUP(B306,'Pre-Summary'!$AT$6:$AX$14,5,FALSE),D305)</f>
        <v>DSMZ v1.5: Using DSMZ 120 with NaHCO3</v>
      </c>
      <c r="E306" s="10" t="str">
        <f>IFERROR(VLOOKUP(B306,'Pre-Summary'!$AT$6:$AX$15,4,FALSE),"")</f>
        <v/>
      </c>
      <c r="F306">
        <f>IFERROR(VLOOKUP(B306,'Pre-Summary'!$AL$6:$AQ$13,6,FALSE),F305)</f>
        <v>0</v>
      </c>
      <c r="G306" t="str">
        <f>IFERROR(VLOOKUP(B306,'Pre-Summary'!$AE$6:$AJ$85,3,FALSE),"")</f>
        <v/>
      </c>
      <c r="H306" t="str">
        <f>IFERROR(VLOOKUP(B306,'Pre-Summary'!$AE$6:$AJ$85,4,FALSE),"")</f>
        <v/>
      </c>
      <c r="I306" t="str">
        <f>IFERROR(VLOOKUP(B306,'Pre-Summary'!$AE$6:$AJ$85,5,FALSE),"")</f>
        <v/>
      </c>
      <c r="J306" s="45" t="str">
        <f>IFERROR(VLOOKUP(B306,'Pre-Summary'!$AE$6:$AJ$85,6, FALSE),"")</f>
        <v/>
      </c>
      <c r="K306" s="45" t="str">
        <f>IFERROR(VLOOKUP(B306,'Pre-Summary'!$DE$6:$DG$61,3,FALSE),"")</f>
        <v/>
      </c>
      <c r="L306" s="45" t="str">
        <f>IFERROR(VLOOKUP(B306,'Pre-Summary'!$CU$6:$CW$36,3,FALSE),"")</f>
        <v/>
      </c>
      <c r="M306" s="45" t="str">
        <f>IFERROR(VLOOKUP(B306,'Pre-Summary'!$BW$6:$BY$58,2,FALSE),"")</f>
        <v/>
      </c>
      <c r="N306" s="45" t="str">
        <f>IFERROR(VLOOKUP(B306,'Pre-Summary'!$CD$6:$CF$64,2,FALSE),"")</f>
        <v/>
      </c>
      <c r="O306" s="99">
        <f>IFERROR(VLOOKUP(B306,'Pre-Summary'!$BO$6:$BQ$48,3, FALSE),O305)</f>
        <v>1.0915248032216731</v>
      </c>
      <c r="P306" s="99">
        <f>IFERROR(VLOOKUP(B306,'Pre-Summary'!$BS$6:$BU$35,3,FALSE),P305)</f>
        <v>0.25</v>
      </c>
      <c r="Q306" s="54">
        <f t="shared" si="12"/>
        <v>4.3660992128866924</v>
      </c>
      <c r="R306" s="53">
        <f>IFERROR(VLOOKUP(B306,'Pre-Summary'!$BG$6:$BM$44,7,FALSE),R307)</f>
        <v>2.7904161219319636E-2</v>
      </c>
      <c r="S306" s="53">
        <f>IFERROR(VLOOKUP(B306,'Pre-Summary'!$BG$6:$BM$44,6,FALSE),S307)</f>
        <v>3.3978715219895171E-2</v>
      </c>
      <c r="T306" s="45" t="str">
        <f>IFERROR(VLOOKUP(B306,'Pre-Summary'!$Y$6:$AC$83, 3,FALSE),"")</f>
        <v/>
      </c>
      <c r="U306" s="45" t="str">
        <f>IFERROR(VLOOKUP(B306,'Pre-Summary'!$Y$6:$AC$83, 4,FALSE),"")</f>
        <v/>
      </c>
      <c r="V306" t="str">
        <f>IFERROR(VLOOKUP(B306,'Pre-Summary'!$Y$6:$AC$83, 5,FALSE),"")</f>
        <v/>
      </c>
      <c r="W306" s="45" t="str">
        <f>IFERROR(VLOOKUP(B306,'Pre-Summary'!$Y$6:$AD$83,6,FALSE),"")</f>
        <v/>
      </c>
      <c r="X306" t="str">
        <f>IFERROR(VLOOKUP('Pre-Summary'!$DB$6:$DD$63,3,FALSE),"")</f>
        <v/>
      </c>
      <c r="Y306" t="str">
        <f>IFERROR(VLOOKUP(B306,'Pre-Summary'!$CR$6:$CT$36,3,FALSE),"")</f>
        <v/>
      </c>
      <c r="Z306" s="45" t="str">
        <f>IFERROR(VLOOKUP(B306,'Pre-Summary'!$BZ$6:$CB$63,2,FALSE),"")</f>
        <v/>
      </c>
      <c r="AA306" s="45" t="str">
        <f>IFERROR(VLOOKUP(B306,'Pre-Summary'!$CG$6:$CI$70,2,FALSE),"")</f>
        <v/>
      </c>
      <c r="AB306" s="99">
        <f>IFERROR(VLOOKUP(B306,'Pre-Summary'!$A$6:$P$178,9,FALSE),AB307)</f>
        <v>0.50070967456665783</v>
      </c>
      <c r="AC306" s="10">
        <f>IFERROR(VLOOKUP(Summary!B306,'Pre-Summary'!$A$6:$P$184,5, FALSE)/100,AC307)</f>
        <v>0.1357256667</v>
      </c>
      <c r="AD306" s="10">
        <f>IFERROR(VLOOKUP(Summary!B306,'Pre-Summary'!$A$6:$P$184,3, FALSE)/100,AD307)</f>
        <v>0.86153966670000004</v>
      </c>
      <c r="AE306" s="10">
        <f>IFERROR(VLOOKUP(Summary!B306,'Pre-Summary'!$A$6:$P$184,7, FALSE)/100,AE307)</f>
        <v>2.735E-3</v>
      </c>
      <c r="AF306" s="99">
        <f t="shared" si="13"/>
        <v>0.43138124613962386</v>
      </c>
      <c r="AG306" s="99">
        <f t="shared" si="14"/>
        <v>1.3694409599398093E-3</v>
      </c>
      <c r="AH306" s="10" t="str">
        <f>IFERROR(VLOOKUP(B306,'Pre-Summary'!$AZ$6:$BE$65,3,FALSE),"")</f>
        <v/>
      </c>
      <c r="AI306" s="10" t="str">
        <f>IFERROR(VLOOKUP(B306,'Pre-Summary'!$AZ$6:$BE$65,5,FALSE),"")</f>
        <v/>
      </c>
      <c r="AJ306" s="10" t="str">
        <f>IFERROR(VLOOKUP(B306,'Pre-Summary'!$AZ$6:$BE$65,4,FALSE),"")</f>
        <v/>
      </c>
      <c r="AK306" s="10" t="str">
        <f>IFERROR(VLOOKUP(B306,'Pre-Summary'!$AZ$6:$BE$65,6,FALSE),"")</f>
        <v/>
      </c>
      <c r="AL306" s="10" t="str">
        <f>IFERROR(VLOOKUP(B306,'Pre-Summary'!$BG$6:$BL$44,3,FALSE),"")</f>
        <v/>
      </c>
      <c r="AM306" s="10" t="str">
        <f>IFERROR(VLOOKUP(B306,'Pre-Summary'!$BG$6:$BL$44,4,FALSE),"")</f>
        <v/>
      </c>
    </row>
    <row r="307" spans="2:39" ht="15" customHeight="1" x14ac:dyDescent="0.3">
      <c r="B307">
        <v>30.4</v>
      </c>
      <c r="C307" t="str">
        <f>IFERROR(VLOOKUP(B307,'Pre-Summary'!$DI$6:$DM$23,4,FALSE),"")</f>
        <v/>
      </c>
      <c r="D307" s="10" t="str">
        <f>IFERROR(VLOOKUP(B307,'Pre-Summary'!$AT$6:$AX$14,5,FALSE),D306)</f>
        <v>DSMZ v1.5: Using DSMZ 120 with NaHCO3</v>
      </c>
      <c r="E307" s="10" t="str">
        <f>IFERROR(VLOOKUP(B307,'Pre-Summary'!$AT$6:$AX$15,4,FALSE),"")</f>
        <v/>
      </c>
      <c r="F307">
        <f>IFERROR(VLOOKUP(B307,'Pre-Summary'!$AL$6:$AQ$13,6,FALSE),F306)</f>
        <v>0</v>
      </c>
      <c r="G307" t="str">
        <f>IFERROR(VLOOKUP(B307,'Pre-Summary'!$AE$6:$AJ$85,3,FALSE),"")</f>
        <v/>
      </c>
      <c r="H307" t="str">
        <f>IFERROR(VLOOKUP(B307,'Pre-Summary'!$AE$6:$AJ$85,4,FALSE),"")</f>
        <v/>
      </c>
      <c r="I307" t="str">
        <f>IFERROR(VLOOKUP(B307,'Pre-Summary'!$AE$6:$AJ$85,5,FALSE),"")</f>
        <v/>
      </c>
      <c r="J307" s="45" t="str">
        <f>IFERROR(VLOOKUP(B307,'Pre-Summary'!$AE$6:$AJ$85,6, FALSE),"")</f>
        <v/>
      </c>
      <c r="K307" s="45" t="str">
        <f>IFERROR(VLOOKUP(B307,'Pre-Summary'!$DE$6:$DG$61,3,FALSE),"")</f>
        <v/>
      </c>
      <c r="L307" s="45" t="str">
        <f>IFERROR(VLOOKUP(B307,'Pre-Summary'!$CU$6:$CW$36,3,FALSE),"")</f>
        <v/>
      </c>
      <c r="M307" s="45" t="str">
        <f>IFERROR(VLOOKUP(B307,'Pre-Summary'!$BW$6:$BY$58,2,FALSE),"")</f>
        <v/>
      </c>
      <c r="N307" s="45" t="str">
        <f>IFERROR(VLOOKUP(B307,'Pre-Summary'!$CD$6:$CF$64,2,FALSE),"")</f>
        <v/>
      </c>
      <c r="O307" s="99">
        <f>IFERROR(VLOOKUP(B307,'Pre-Summary'!$BO$6:$BQ$48,3, FALSE),O306)</f>
        <v>1.0915248032216731</v>
      </c>
      <c r="P307" s="99">
        <f>IFERROR(VLOOKUP(B307,'Pre-Summary'!$BS$6:$BU$35,3,FALSE),P306)</f>
        <v>0.25</v>
      </c>
      <c r="Q307" s="54">
        <f t="shared" si="12"/>
        <v>4.3660992128866924</v>
      </c>
      <c r="R307" s="53">
        <f>IFERROR(VLOOKUP(B307,'Pre-Summary'!$BG$6:$BM$44,7,FALSE),R308)</f>
        <v>2.7904161219319636E-2</v>
      </c>
      <c r="S307" s="53">
        <f>IFERROR(VLOOKUP(B307,'Pre-Summary'!$BG$6:$BM$44,6,FALSE),S308)</f>
        <v>3.3978715219895171E-2</v>
      </c>
      <c r="T307" s="45" t="str">
        <f>IFERROR(VLOOKUP(B307,'Pre-Summary'!$Y$6:$AC$83, 3,FALSE),"")</f>
        <v/>
      </c>
      <c r="U307" s="45" t="str">
        <f>IFERROR(VLOOKUP(B307,'Pre-Summary'!$Y$6:$AC$83, 4,FALSE),"")</f>
        <v/>
      </c>
      <c r="V307" t="str">
        <f>IFERROR(VLOOKUP(B307,'Pre-Summary'!$Y$6:$AC$83, 5,FALSE),"")</f>
        <v/>
      </c>
      <c r="W307" s="45" t="str">
        <f>IFERROR(VLOOKUP(B307,'Pre-Summary'!$Y$6:$AD$83,6,FALSE),"")</f>
        <v/>
      </c>
      <c r="X307" t="str">
        <f>IFERROR(VLOOKUP('Pre-Summary'!$DB$6:$DD$63,3,FALSE),"")</f>
        <v/>
      </c>
      <c r="Y307" t="str">
        <f>IFERROR(VLOOKUP(B307,'Pre-Summary'!$CR$6:$CT$36,3,FALSE),"")</f>
        <v/>
      </c>
      <c r="Z307" s="45" t="str">
        <f>IFERROR(VLOOKUP(B307,'Pre-Summary'!$BZ$6:$CB$63,2,FALSE),"")</f>
        <v/>
      </c>
      <c r="AA307" s="45" t="str">
        <f>IFERROR(VLOOKUP(B307,'Pre-Summary'!$CG$6:$CI$70,2,FALSE),"")</f>
        <v/>
      </c>
      <c r="AB307" s="99">
        <f>IFERROR(VLOOKUP(B307,'Pre-Summary'!$A$6:$P$178,9,FALSE),AB308)</f>
        <v>0.50070967456665783</v>
      </c>
      <c r="AC307" s="10">
        <f>IFERROR(VLOOKUP(Summary!B307,'Pre-Summary'!$A$6:$P$184,5, FALSE)/100,AC308)</f>
        <v>0.1357256667</v>
      </c>
      <c r="AD307" s="10">
        <f>IFERROR(VLOOKUP(Summary!B307,'Pre-Summary'!$A$6:$P$184,3, FALSE)/100,AD308)</f>
        <v>0.86153966670000004</v>
      </c>
      <c r="AE307" s="10">
        <f>IFERROR(VLOOKUP(Summary!B307,'Pre-Summary'!$A$6:$P$184,7, FALSE)/100,AE308)</f>
        <v>2.735E-3</v>
      </c>
      <c r="AF307" s="99">
        <f t="shared" si="13"/>
        <v>0.43138124613962386</v>
      </c>
      <c r="AG307" s="99">
        <f t="shared" si="14"/>
        <v>1.3694409599398093E-3</v>
      </c>
      <c r="AH307" s="10" t="str">
        <f>IFERROR(VLOOKUP(B307,'Pre-Summary'!$AZ$6:$BE$65,3,FALSE),"")</f>
        <v/>
      </c>
      <c r="AI307" s="10" t="str">
        <f>IFERROR(VLOOKUP(B307,'Pre-Summary'!$AZ$6:$BE$65,5,FALSE),"")</f>
        <v/>
      </c>
      <c r="AJ307" s="10" t="str">
        <f>IFERROR(VLOOKUP(B307,'Pre-Summary'!$AZ$6:$BE$65,4,FALSE),"")</f>
        <v/>
      </c>
      <c r="AK307" s="10" t="str">
        <f>IFERROR(VLOOKUP(B307,'Pre-Summary'!$AZ$6:$BE$65,6,FALSE),"")</f>
        <v/>
      </c>
      <c r="AL307" s="10" t="str">
        <f>IFERROR(VLOOKUP(B307,'Pre-Summary'!$BG$6:$BL$44,3,FALSE),"")</f>
        <v/>
      </c>
      <c r="AM307" s="10" t="str">
        <f>IFERROR(VLOOKUP(B307,'Pre-Summary'!$BG$6:$BL$44,4,FALSE),"")</f>
        <v/>
      </c>
    </row>
    <row r="308" spans="2:39" ht="15" customHeight="1" x14ac:dyDescent="0.3">
      <c r="B308">
        <v>30.5</v>
      </c>
      <c r="C308" t="str">
        <f>IFERROR(VLOOKUP(B308,'Pre-Summary'!$DI$6:$DM$23,4,FALSE),"")</f>
        <v/>
      </c>
      <c r="D308" s="10" t="str">
        <f>IFERROR(VLOOKUP(B308,'Pre-Summary'!$AT$6:$AX$14,5,FALSE),D307)</f>
        <v>DSMZ v1.5: Using DSMZ 120 with NaHCO3</v>
      </c>
      <c r="E308" s="10" t="str">
        <f>IFERROR(VLOOKUP(B308,'Pre-Summary'!$AT$6:$AX$15,4,FALSE),"")</f>
        <v/>
      </c>
      <c r="F308">
        <f>IFERROR(VLOOKUP(B308,'Pre-Summary'!$AL$6:$AQ$13,6,FALSE),F307)</f>
        <v>0</v>
      </c>
      <c r="G308" t="str">
        <f>IFERROR(VLOOKUP(B308,'Pre-Summary'!$AE$6:$AJ$85,3,FALSE),"")</f>
        <v/>
      </c>
      <c r="H308" t="str">
        <f>IFERROR(VLOOKUP(B308,'Pre-Summary'!$AE$6:$AJ$85,4,FALSE),"")</f>
        <v/>
      </c>
      <c r="I308" t="str">
        <f>IFERROR(VLOOKUP(B308,'Pre-Summary'!$AE$6:$AJ$85,5,FALSE),"")</f>
        <v/>
      </c>
      <c r="J308" s="45" t="str">
        <f>IFERROR(VLOOKUP(B308,'Pre-Summary'!$AE$6:$AJ$85,6, FALSE),"")</f>
        <v/>
      </c>
      <c r="K308" s="45" t="str">
        <f>IFERROR(VLOOKUP(B308,'Pre-Summary'!$DE$6:$DG$61,3,FALSE),"")</f>
        <v/>
      </c>
      <c r="L308" s="45" t="str">
        <f>IFERROR(VLOOKUP(B308,'Pre-Summary'!$CU$6:$CW$36,3,FALSE),"")</f>
        <v/>
      </c>
      <c r="M308" s="45" t="str">
        <f>IFERROR(VLOOKUP(B308,'Pre-Summary'!$BW$6:$BY$58,2,FALSE),"")</f>
        <v/>
      </c>
      <c r="N308" s="45" t="str">
        <f>IFERROR(VLOOKUP(B308,'Pre-Summary'!$CD$6:$CF$64,2,FALSE),"")</f>
        <v/>
      </c>
      <c r="O308" s="99">
        <f>IFERROR(VLOOKUP(B308,'Pre-Summary'!$BO$6:$BQ$48,3, FALSE),O307)</f>
        <v>1.0915248032216731</v>
      </c>
      <c r="P308" s="99">
        <f>IFERROR(VLOOKUP(B308,'Pre-Summary'!$BS$6:$BU$35,3,FALSE),P307)</f>
        <v>0.25</v>
      </c>
      <c r="Q308" s="54">
        <f t="shared" si="12"/>
        <v>4.3660992128866924</v>
      </c>
      <c r="R308" s="53">
        <f>IFERROR(VLOOKUP(B308,'Pre-Summary'!$BG$6:$BM$44,7,FALSE),R309)</f>
        <v>2.7904161219319636E-2</v>
      </c>
      <c r="S308" s="53">
        <f>IFERROR(VLOOKUP(B308,'Pre-Summary'!$BG$6:$BM$44,6,FALSE),S309)</f>
        <v>3.3978715219895171E-2</v>
      </c>
      <c r="T308" s="45" t="str">
        <f>IFERROR(VLOOKUP(B308,'Pre-Summary'!$Y$6:$AC$83, 3,FALSE),"")</f>
        <v/>
      </c>
      <c r="U308" s="45" t="str">
        <f>IFERROR(VLOOKUP(B308,'Pre-Summary'!$Y$6:$AC$83, 4,FALSE),"")</f>
        <v/>
      </c>
      <c r="V308" t="str">
        <f>IFERROR(VLOOKUP(B308,'Pre-Summary'!$Y$6:$AC$83, 5,FALSE),"")</f>
        <v/>
      </c>
      <c r="W308" s="45" t="str">
        <f>IFERROR(VLOOKUP(B308,'Pre-Summary'!$Y$6:$AD$83,6,FALSE),"")</f>
        <v/>
      </c>
      <c r="X308" t="str">
        <f>IFERROR(VLOOKUP('Pre-Summary'!$DB$6:$DD$63,3,FALSE),"")</f>
        <v/>
      </c>
      <c r="Y308" t="str">
        <f>IFERROR(VLOOKUP(B308,'Pre-Summary'!$CR$6:$CT$36,3,FALSE),"")</f>
        <v/>
      </c>
      <c r="Z308" s="45" t="str">
        <f>IFERROR(VLOOKUP(B308,'Pre-Summary'!$BZ$6:$CB$63,2,FALSE),"")</f>
        <v/>
      </c>
      <c r="AA308" s="45" t="str">
        <f>IFERROR(VLOOKUP(B308,'Pre-Summary'!$CG$6:$CI$70,2,FALSE),"")</f>
        <v/>
      </c>
      <c r="AB308" s="99">
        <f>IFERROR(VLOOKUP(B308,'Pre-Summary'!$A$6:$P$178,9,FALSE),AB309)</f>
        <v>0.50070967456665783</v>
      </c>
      <c r="AC308" s="10">
        <f>IFERROR(VLOOKUP(Summary!B308,'Pre-Summary'!$A$6:$P$184,5, FALSE)/100,AC309)</f>
        <v>0.1357256667</v>
      </c>
      <c r="AD308" s="10">
        <f>IFERROR(VLOOKUP(Summary!B308,'Pre-Summary'!$A$6:$P$184,3, FALSE)/100,AD309)</f>
        <v>0.86153966670000004</v>
      </c>
      <c r="AE308" s="10">
        <f>IFERROR(VLOOKUP(Summary!B308,'Pre-Summary'!$A$6:$P$184,7, FALSE)/100,AE309)</f>
        <v>2.735E-3</v>
      </c>
      <c r="AF308" s="99">
        <f t="shared" si="13"/>
        <v>0.43138124613962386</v>
      </c>
      <c r="AG308" s="99">
        <f t="shared" si="14"/>
        <v>1.3694409599398093E-3</v>
      </c>
      <c r="AH308" s="10" t="str">
        <f>IFERROR(VLOOKUP(B308,'Pre-Summary'!$AZ$6:$BE$65,3,FALSE),"")</f>
        <v/>
      </c>
      <c r="AI308" s="10" t="str">
        <f>IFERROR(VLOOKUP(B308,'Pre-Summary'!$AZ$6:$BE$65,5,FALSE),"")</f>
        <v/>
      </c>
      <c r="AJ308" s="10" t="str">
        <f>IFERROR(VLOOKUP(B308,'Pre-Summary'!$AZ$6:$BE$65,4,FALSE),"")</f>
        <v/>
      </c>
      <c r="AK308" s="10" t="str">
        <f>IFERROR(VLOOKUP(B308,'Pre-Summary'!$AZ$6:$BE$65,6,FALSE),"")</f>
        <v/>
      </c>
      <c r="AL308" s="10" t="str">
        <f>IFERROR(VLOOKUP(B308,'Pre-Summary'!$BG$6:$BL$44,3,FALSE),"")</f>
        <v/>
      </c>
      <c r="AM308" s="10" t="str">
        <f>IFERROR(VLOOKUP(B308,'Pre-Summary'!$BG$6:$BL$44,4,FALSE),"")</f>
        <v/>
      </c>
    </row>
    <row r="309" spans="2:39" ht="15" customHeight="1" x14ac:dyDescent="0.3">
      <c r="B309">
        <v>30.6</v>
      </c>
      <c r="C309" t="str">
        <f>IFERROR(VLOOKUP(B309,'Pre-Summary'!$DI$6:$DM$23,4,FALSE),"")</f>
        <v/>
      </c>
      <c r="D309" s="10" t="str">
        <f>IFERROR(VLOOKUP(B309,'Pre-Summary'!$AT$6:$AX$14,5,FALSE),D308)</f>
        <v>DSMZ v1.5: Using DSMZ 120 with NaHCO3</v>
      </c>
      <c r="E309" s="10" t="str">
        <f>IFERROR(VLOOKUP(B309,'Pre-Summary'!$AT$6:$AX$15,4,FALSE),"")</f>
        <v/>
      </c>
      <c r="F309">
        <f>IFERROR(VLOOKUP(B309,'Pre-Summary'!$AL$6:$AQ$13,6,FALSE),F308)</f>
        <v>0</v>
      </c>
      <c r="G309" t="str">
        <f>IFERROR(VLOOKUP(B309,'Pre-Summary'!$AE$6:$AJ$85,3,FALSE),"")</f>
        <v/>
      </c>
      <c r="H309" t="str">
        <f>IFERROR(VLOOKUP(B309,'Pre-Summary'!$AE$6:$AJ$85,4,FALSE),"")</f>
        <v/>
      </c>
      <c r="I309" t="str">
        <f>IFERROR(VLOOKUP(B309,'Pre-Summary'!$AE$6:$AJ$85,5,FALSE),"")</f>
        <v/>
      </c>
      <c r="J309" s="45" t="str">
        <f>IFERROR(VLOOKUP(B309,'Pre-Summary'!$AE$6:$AJ$85,6, FALSE),"")</f>
        <v/>
      </c>
      <c r="K309" s="45" t="str">
        <f>IFERROR(VLOOKUP(B309,'Pre-Summary'!$DE$6:$DG$61,3,FALSE),"")</f>
        <v/>
      </c>
      <c r="L309" s="45" t="str">
        <f>IFERROR(VLOOKUP(B309,'Pre-Summary'!$CU$6:$CW$36,3,FALSE),"")</f>
        <v/>
      </c>
      <c r="M309" s="45" t="str">
        <f>IFERROR(VLOOKUP(B309,'Pre-Summary'!$BW$6:$BY$58,2,FALSE),"")</f>
        <v/>
      </c>
      <c r="N309" s="45" t="str">
        <f>IFERROR(VLOOKUP(B309,'Pre-Summary'!$CD$6:$CF$64,2,FALSE),"")</f>
        <v/>
      </c>
      <c r="O309" s="99">
        <f>IFERROR(VLOOKUP(B309,'Pre-Summary'!$BO$6:$BQ$48,3, FALSE),O308)</f>
        <v>1.0915248032216731</v>
      </c>
      <c r="P309" s="99">
        <f>IFERROR(VLOOKUP(B309,'Pre-Summary'!$BS$6:$BU$35,3,FALSE),P308)</f>
        <v>0.25</v>
      </c>
      <c r="Q309" s="54">
        <f t="shared" si="12"/>
        <v>4.3660992128866924</v>
      </c>
      <c r="R309" s="53">
        <f>IFERROR(VLOOKUP(B309,'Pre-Summary'!$BG$6:$BM$44,7,FALSE),R310)</f>
        <v>2.7904161219319636E-2</v>
      </c>
      <c r="S309" s="53">
        <f>IFERROR(VLOOKUP(B309,'Pre-Summary'!$BG$6:$BM$44,6,FALSE),S310)</f>
        <v>3.3978715219895171E-2</v>
      </c>
      <c r="T309" s="45" t="str">
        <f>IFERROR(VLOOKUP(B309,'Pre-Summary'!$Y$6:$AC$83, 3,FALSE),"")</f>
        <v/>
      </c>
      <c r="U309" s="45" t="str">
        <f>IFERROR(VLOOKUP(B309,'Pre-Summary'!$Y$6:$AC$83, 4,FALSE),"")</f>
        <v/>
      </c>
      <c r="V309" t="str">
        <f>IFERROR(VLOOKUP(B309,'Pre-Summary'!$Y$6:$AC$83, 5,FALSE),"")</f>
        <v/>
      </c>
      <c r="W309" s="45" t="str">
        <f>IFERROR(VLOOKUP(B309,'Pre-Summary'!$Y$6:$AD$83,6,FALSE),"")</f>
        <v/>
      </c>
      <c r="X309" t="str">
        <f>IFERROR(VLOOKUP('Pre-Summary'!$DB$6:$DD$63,3,FALSE),"")</f>
        <v/>
      </c>
      <c r="Y309" t="str">
        <f>IFERROR(VLOOKUP(B309,'Pre-Summary'!$CR$6:$CT$36,3,FALSE),"")</f>
        <v/>
      </c>
      <c r="Z309" s="45" t="str">
        <f>IFERROR(VLOOKUP(B309,'Pre-Summary'!$BZ$6:$CB$63,2,FALSE),"")</f>
        <v/>
      </c>
      <c r="AA309" s="45" t="str">
        <f>IFERROR(VLOOKUP(B309,'Pre-Summary'!$CG$6:$CI$70,2,FALSE),"")</f>
        <v/>
      </c>
      <c r="AB309" s="99">
        <f>IFERROR(VLOOKUP(B309,'Pre-Summary'!$A$6:$P$178,9,FALSE),AB310)</f>
        <v>0.50070967456665783</v>
      </c>
      <c r="AC309" s="10">
        <f>IFERROR(VLOOKUP(Summary!B309,'Pre-Summary'!$A$6:$P$184,5, FALSE)/100,AC310)</f>
        <v>0.1357256667</v>
      </c>
      <c r="AD309" s="10">
        <f>IFERROR(VLOOKUP(Summary!B309,'Pre-Summary'!$A$6:$P$184,3, FALSE)/100,AD310)</f>
        <v>0.86153966670000004</v>
      </c>
      <c r="AE309" s="10">
        <f>IFERROR(VLOOKUP(Summary!B309,'Pre-Summary'!$A$6:$P$184,7, FALSE)/100,AE310)</f>
        <v>2.735E-3</v>
      </c>
      <c r="AF309" s="99">
        <f t="shared" si="13"/>
        <v>0.43138124613962386</v>
      </c>
      <c r="AG309" s="99">
        <f t="shared" si="14"/>
        <v>1.3694409599398093E-3</v>
      </c>
      <c r="AH309" s="10" t="str">
        <f>IFERROR(VLOOKUP(B309,'Pre-Summary'!$AZ$6:$BE$65,3,FALSE),"")</f>
        <v/>
      </c>
      <c r="AI309" s="10" t="str">
        <f>IFERROR(VLOOKUP(B309,'Pre-Summary'!$AZ$6:$BE$65,5,FALSE),"")</f>
        <v/>
      </c>
      <c r="AJ309" s="10" t="str">
        <f>IFERROR(VLOOKUP(B309,'Pre-Summary'!$AZ$6:$BE$65,4,FALSE),"")</f>
        <v/>
      </c>
      <c r="AK309" s="10" t="str">
        <f>IFERROR(VLOOKUP(B309,'Pre-Summary'!$AZ$6:$BE$65,6,FALSE),"")</f>
        <v/>
      </c>
      <c r="AL309" s="10" t="str">
        <f>IFERROR(VLOOKUP(B309,'Pre-Summary'!$BG$6:$BL$44,3,FALSE),"")</f>
        <v/>
      </c>
      <c r="AM309" s="10" t="str">
        <f>IFERROR(VLOOKUP(B309,'Pre-Summary'!$BG$6:$BL$44,4,FALSE),"")</f>
        <v/>
      </c>
    </row>
    <row r="310" spans="2:39" ht="15" customHeight="1" x14ac:dyDescent="0.3">
      <c r="B310">
        <v>30.7</v>
      </c>
      <c r="C310" t="str">
        <f>IFERROR(VLOOKUP(B310,'Pre-Summary'!$DI$6:$DM$23,4,FALSE),"")</f>
        <v/>
      </c>
      <c r="D310" s="10" t="str">
        <f>IFERROR(VLOOKUP(B310,'Pre-Summary'!$AT$6:$AX$14,5,FALSE),D309)</f>
        <v>DSMZ v1.5: Using DSMZ 120 with NaHCO3</v>
      </c>
      <c r="E310" s="10" t="str">
        <f>IFERROR(VLOOKUP(B310,'Pre-Summary'!$AT$6:$AX$15,4,FALSE),"")</f>
        <v/>
      </c>
      <c r="F310">
        <f>IFERROR(VLOOKUP(B310,'Pre-Summary'!$AL$6:$AQ$13,6,FALSE),F309)</f>
        <v>0</v>
      </c>
      <c r="G310" t="str">
        <f>IFERROR(VLOOKUP(B310,'Pre-Summary'!$AE$6:$AJ$85,3,FALSE),"")</f>
        <v/>
      </c>
      <c r="H310" t="str">
        <f>IFERROR(VLOOKUP(B310,'Pre-Summary'!$AE$6:$AJ$85,4,FALSE),"")</f>
        <v/>
      </c>
      <c r="I310" t="str">
        <f>IFERROR(VLOOKUP(B310,'Pre-Summary'!$AE$6:$AJ$85,5,FALSE),"")</f>
        <v/>
      </c>
      <c r="J310" s="45" t="str">
        <f>IFERROR(VLOOKUP(B310,'Pre-Summary'!$AE$6:$AJ$85,6, FALSE),"")</f>
        <v/>
      </c>
      <c r="K310" s="45" t="str">
        <f>IFERROR(VLOOKUP(B310,'Pre-Summary'!$DE$6:$DG$61,3,FALSE),"")</f>
        <v/>
      </c>
      <c r="L310" s="45" t="str">
        <f>IFERROR(VLOOKUP(B310,'Pre-Summary'!$CU$6:$CW$36,3,FALSE),"")</f>
        <v/>
      </c>
      <c r="M310" s="45" t="str">
        <f>IFERROR(VLOOKUP(B310,'Pre-Summary'!$BW$6:$BY$58,2,FALSE),"")</f>
        <v/>
      </c>
      <c r="N310" s="45" t="str">
        <f>IFERROR(VLOOKUP(B310,'Pre-Summary'!$CD$6:$CF$64,2,FALSE),"")</f>
        <v/>
      </c>
      <c r="O310" s="99">
        <f>IFERROR(VLOOKUP(B310,'Pre-Summary'!$BO$6:$BQ$48,3, FALSE),O309)</f>
        <v>1.0915248032216731</v>
      </c>
      <c r="P310" s="99">
        <f>IFERROR(VLOOKUP(B310,'Pre-Summary'!$BS$6:$BU$35,3,FALSE),P309)</f>
        <v>0.25</v>
      </c>
      <c r="Q310" s="54">
        <f t="shared" si="12"/>
        <v>4.3660992128866924</v>
      </c>
      <c r="R310" s="53">
        <f>IFERROR(VLOOKUP(B310,'Pre-Summary'!$BG$6:$BM$44,7,FALSE),R311)</f>
        <v>2.7904161219319636E-2</v>
      </c>
      <c r="S310" s="53">
        <f>IFERROR(VLOOKUP(B310,'Pre-Summary'!$BG$6:$BM$44,6,FALSE),S311)</f>
        <v>3.3978715219895171E-2</v>
      </c>
      <c r="T310" s="45" t="str">
        <f>IFERROR(VLOOKUP(B310,'Pre-Summary'!$Y$6:$AC$83, 3,FALSE),"")</f>
        <v/>
      </c>
      <c r="U310" s="45" t="str">
        <f>IFERROR(VLOOKUP(B310,'Pre-Summary'!$Y$6:$AC$83, 4,FALSE),"")</f>
        <v/>
      </c>
      <c r="V310" t="str">
        <f>IFERROR(VLOOKUP(B310,'Pre-Summary'!$Y$6:$AC$83, 5,FALSE),"")</f>
        <v/>
      </c>
      <c r="W310" s="45" t="str">
        <f>IFERROR(VLOOKUP(B310,'Pre-Summary'!$Y$6:$AD$83,6,FALSE),"")</f>
        <v/>
      </c>
      <c r="X310" t="str">
        <f>IFERROR(VLOOKUP('Pre-Summary'!$DB$6:$DD$63,3,FALSE),"")</f>
        <v/>
      </c>
      <c r="Y310" t="str">
        <f>IFERROR(VLOOKUP(B310,'Pre-Summary'!$CR$6:$CT$36,3,FALSE),"")</f>
        <v/>
      </c>
      <c r="Z310" s="45" t="str">
        <f>IFERROR(VLOOKUP(B310,'Pre-Summary'!$BZ$6:$CB$63,2,FALSE),"")</f>
        <v/>
      </c>
      <c r="AA310" s="45" t="str">
        <f>IFERROR(VLOOKUP(B310,'Pre-Summary'!$CG$6:$CI$70,2,FALSE),"")</f>
        <v/>
      </c>
      <c r="AB310" s="99">
        <f>IFERROR(VLOOKUP(B310,'Pre-Summary'!$A$6:$P$178,9,FALSE),AB311)</f>
        <v>0.50070967456665783</v>
      </c>
      <c r="AC310" s="10">
        <f>IFERROR(VLOOKUP(Summary!B310,'Pre-Summary'!$A$6:$P$184,5, FALSE)/100,AC311)</f>
        <v>0.1357256667</v>
      </c>
      <c r="AD310" s="10">
        <f>IFERROR(VLOOKUP(Summary!B310,'Pre-Summary'!$A$6:$P$184,3, FALSE)/100,AD311)</f>
        <v>0.86153966670000004</v>
      </c>
      <c r="AE310" s="10">
        <f>IFERROR(VLOOKUP(Summary!B310,'Pre-Summary'!$A$6:$P$184,7, FALSE)/100,AE311)</f>
        <v>2.735E-3</v>
      </c>
      <c r="AF310" s="99">
        <f t="shared" si="13"/>
        <v>0.43138124613962386</v>
      </c>
      <c r="AG310" s="99">
        <f t="shared" si="14"/>
        <v>1.3694409599398093E-3</v>
      </c>
      <c r="AH310" s="10" t="str">
        <f>IFERROR(VLOOKUP(B310,'Pre-Summary'!$AZ$6:$BE$65,3,FALSE),"")</f>
        <v/>
      </c>
      <c r="AI310" s="10" t="str">
        <f>IFERROR(VLOOKUP(B310,'Pre-Summary'!$AZ$6:$BE$65,5,FALSE),"")</f>
        <v/>
      </c>
      <c r="AJ310" s="10" t="str">
        <f>IFERROR(VLOOKUP(B310,'Pre-Summary'!$AZ$6:$BE$65,4,FALSE),"")</f>
        <v/>
      </c>
      <c r="AK310" s="10" t="str">
        <f>IFERROR(VLOOKUP(B310,'Pre-Summary'!$AZ$6:$BE$65,6,FALSE),"")</f>
        <v/>
      </c>
      <c r="AL310" s="10" t="str">
        <f>IFERROR(VLOOKUP(B310,'Pre-Summary'!$BG$6:$BL$44,3,FALSE),"")</f>
        <v/>
      </c>
      <c r="AM310" s="10" t="str">
        <f>IFERROR(VLOOKUP(B310,'Pre-Summary'!$BG$6:$BL$44,4,FALSE),"")</f>
        <v/>
      </c>
    </row>
    <row r="311" spans="2:39" ht="15" customHeight="1" x14ac:dyDescent="0.3">
      <c r="B311">
        <v>30.8</v>
      </c>
      <c r="C311" t="str">
        <f>IFERROR(VLOOKUP(B311,'Pre-Summary'!$DI$6:$DM$23,4,FALSE),"")</f>
        <v/>
      </c>
      <c r="D311" s="10" t="str">
        <f>IFERROR(VLOOKUP(B311,'Pre-Summary'!$AT$6:$AX$14,5,FALSE),D310)</f>
        <v>DSMZ v1.5: Using DSMZ 120 with NaHCO3</v>
      </c>
      <c r="E311" s="10" t="str">
        <f>IFERROR(VLOOKUP(B311,'Pre-Summary'!$AT$6:$AX$15,4,FALSE),"")</f>
        <v/>
      </c>
      <c r="F311">
        <f>IFERROR(VLOOKUP(B311,'Pre-Summary'!$AL$6:$AQ$13,6,FALSE),F310)</f>
        <v>0</v>
      </c>
      <c r="G311" t="str">
        <f>IFERROR(VLOOKUP(B311,'Pre-Summary'!$AE$6:$AJ$85,3,FALSE),"")</f>
        <v/>
      </c>
      <c r="H311" t="str">
        <f>IFERROR(VLOOKUP(B311,'Pre-Summary'!$AE$6:$AJ$85,4,FALSE),"")</f>
        <v/>
      </c>
      <c r="I311" t="str">
        <f>IFERROR(VLOOKUP(B311,'Pre-Summary'!$AE$6:$AJ$85,5,FALSE),"")</f>
        <v/>
      </c>
      <c r="J311" s="45" t="str">
        <f>IFERROR(VLOOKUP(B311,'Pre-Summary'!$AE$6:$AJ$85,6, FALSE),"")</f>
        <v/>
      </c>
      <c r="K311" s="45" t="str">
        <f>IFERROR(VLOOKUP(B311,'Pre-Summary'!$DE$6:$DG$61,3,FALSE),"")</f>
        <v/>
      </c>
      <c r="L311" s="45" t="str">
        <f>IFERROR(VLOOKUP(B311,'Pre-Summary'!$CU$6:$CW$36,3,FALSE),"")</f>
        <v/>
      </c>
      <c r="M311" s="45" t="str">
        <f>IFERROR(VLOOKUP(B311,'Pre-Summary'!$BW$6:$BY$58,2,FALSE),"")</f>
        <v/>
      </c>
      <c r="N311" s="45" t="str">
        <f>IFERROR(VLOOKUP(B311,'Pre-Summary'!$CD$6:$CF$64,2,FALSE),"")</f>
        <v/>
      </c>
      <c r="O311" s="99">
        <f>IFERROR(VLOOKUP(B311,'Pre-Summary'!$BO$6:$BQ$48,3, FALSE),O310)</f>
        <v>1.0915248032216731</v>
      </c>
      <c r="P311" s="99">
        <f>IFERROR(VLOOKUP(B311,'Pre-Summary'!$BS$6:$BU$35,3,FALSE),P310)</f>
        <v>0.25</v>
      </c>
      <c r="Q311" s="54">
        <f t="shared" si="12"/>
        <v>4.3660992128866924</v>
      </c>
      <c r="R311" s="53">
        <f>IFERROR(VLOOKUP(B311,'Pre-Summary'!$BG$6:$BM$44,7,FALSE),R312)</f>
        <v>2.7904161219319636E-2</v>
      </c>
      <c r="S311" s="53">
        <f>IFERROR(VLOOKUP(B311,'Pre-Summary'!$BG$6:$BM$44,6,FALSE),S312)</f>
        <v>3.3978715219895171E-2</v>
      </c>
      <c r="T311" s="45" t="str">
        <f>IFERROR(VLOOKUP(B311,'Pre-Summary'!$Y$6:$AC$83, 3,FALSE),"")</f>
        <v/>
      </c>
      <c r="U311" s="45" t="str">
        <f>IFERROR(VLOOKUP(B311,'Pre-Summary'!$Y$6:$AC$83, 4,FALSE),"")</f>
        <v/>
      </c>
      <c r="V311" t="str">
        <f>IFERROR(VLOOKUP(B311,'Pre-Summary'!$Y$6:$AC$83, 5,FALSE),"")</f>
        <v/>
      </c>
      <c r="W311" s="45" t="str">
        <f>IFERROR(VLOOKUP(B311,'Pre-Summary'!$Y$6:$AD$83,6,FALSE),"")</f>
        <v/>
      </c>
      <c r="X311" t="str">
        <f>IFERROR(VLOOKUP('Pre-Summary'!$DB$6:$DD$63,3,FALSE),"")</f>
        <v/>
      </c>
      <c r="Y311" t="str">
        <f>IFERROR(VLOOKUP(B311,'Pre-Summary'!$CR$6:$CT$36,3,FALSE),"")</f>
        <v/>
      </c>
      <c r="Z311" s="45" t="str">
        <f>IFERROR(VLOOKUP(B311,'Pre-Summary'!$BZ$6:$CB$63,2,FALSE),"")</f>
        <v/>
      </c>
      <c r="AA311" s="45" t="str">
        <f>IFERROR(VLOOKUP(B311,'Pre-Summary'!$CG$6:$CI$70,2,FALSE),"")</f>
        <v/>
      </c>
      <c r="AB311" s="99">
        <f>IFERROR(VLOOKUP(B311,'Pre-Summary'!$A$6:$P$178,9,FALSE),AB312)</f>
        <v>0.50070967456665783</v>
      </c>
      <c r="AC311" s="10">
        <f>IFERROR(VLOOKUP(Summary!B311,'Pre-Summary'!$A$6:$P$184,5, FALSE)/100,AC312)</f>
        <v>0.1357256667</v>
      </c>
      <c r="AD311" s="10">
        <f>IFERROR(VLOOKUP(Summary!B311,'Pre-Summary'!$A$6:$P$184,3, FALSE)/100,AD312)</f>
        <v>0.86153966670000004</v>
      </c>
      <c r="AE311" s="10">
        <f>IFERROR(VLOOKUP(Summary!B311,'Pre-Summary'!$A$6:$P$184,7, FALSE)/100,AE312)</f>
        <v>2.735E-3</v>
      </c>
      <c r="AF311" s="99">
        <f t="shared" si="13"/>
        <v>0.43138124613962386</v>
      </c>
      <c r="AG311" s="99">
        <f t="shared" si="14"/>
        <v>1.3694409599398093E-3</v>
      </c>
      <c r="AH311" s="10" t="str">
        <f>IFERROR(VLOOKUP(B311,'Pre-Summary'!$AZ$6:$BE$65,3,FALSE),"")</f>
        <v/>
      </c>
      <c r="AI311" s="10" t="str">
        <f>IFERROR(VLOOKUP(B311,'Pre-Summary'!$AZ$6:$BE$65,5,FALSE),"")</f>
        <v/>
      </c>
      <c r="AJ311" s="10" t="str">
        <f>IFERROR(VLOOKUP(B311,'Pre-Summary'!$AZ$6:$BE$65,4,FALSE),"")</f>
        <v/>
      </c>
      <c r="AK311" s="10" t="str">
        <f>IFERROR(VLOOKUP(B311,'Pre-Summary'!$AZ$6:$BE$65,6,FALSE),"")</f>
        <v/>
      </c>
      <c r="AL311" s="10" t="str">
        <f>IFERROR(VLOOKUP(B311,'Pre-Summary'!$BG$6:$BL$44,3,FALSE),"")</f>
        <v/>
      </c>
      <c r="AM311" s="10" t="str">
        <f>IFERROR(VLOOKUP(B311,'Pre-Summary'!$BG$6:$BL$44,4,FALSE),"")</f>
        <v/>
      </c>
    </row>
    <row r="312" spans="2:39" ht="15" customHeight="1" x14ac:dyDescent="0.3">
      <c r="B312">
        <v>30.9</v>
      </c>
      <c r="C312" t="str">
        <f>IFERROR(VLOOKUP(B312,'Pre-Summary'!$DI$6:$DM$23,4,FALSE),"")</f>
        <v/>
      </c>
      <c r="D312" s="10" t="str">
        <f>IFERROR(VLOOKUP(B312,'Pre-Summary'!$AT$6:$AX$14,5,FALSE),D311)</f>
        <v>DSMZ v1.5: Using DSMZ 120 with NaHCO3</v>
      </c>
      <c r="E312" s="10" t="str">
        <f>IFERROR(VLOOKUP(B312,'Pre-Summary'!$AT$6:$AX$15,4,FALSE),"")</f>
        <v/>
      </c>
      <c r="F312">
        <f>IFERROR(VLOOKUP(B312,'Pre-Summary'!$AL$6:$AQ$13,6,FALSE),F311)</f>
        <v>0</v>
      </c>
      <c r="G312" t="str">
        <f>IFERROR(VLOOKUP(B312,'Pre-Summary'!$AE$6:$AJ$85,3,FALSE),"")</f>
        <v/>
      </c>
      <c r="H312" t="str">
        <f>IFERROR(VLOOKUP(B312,'Pre-Summary'!$AE$6:$AJ$85,4,FALSE),"")</f>
        <v/>
      </c>
      <c r="I312" t="str">
        <f>IFERROR(VLOOKUP(B312,'Pre-Summary'!$AE$6:$AJ$85,5,FALSE),"")</f>
        <v/>
      </c>
      <c r="J312" s="45" t="str">
        <f>IFERROR(VLOOKUP(B312,'Pre-Summary'!$AE$6:$AJ$85,6, FALSE),"")</f>
        <v/>
      </c>
      <c r="K312" s="45" t="str">
        <f>IFERROR(VLOOKUP(B312,'Pre-Summary'!$DE$6:$DG$61,3,FALSE),"")</f>
        <v/>
      </c>
      <c r="L312" s="45" t="str">
        <f>IFERROR(VLOOKUP(B312,'Pre-Summary'!$CU$6:$CW$36,3,FALSE),"")</f>
        <v/>
      </c>
      <c r="M312" s="45" t="str">
        <f>IFERROR(VLOOKUP(B312,'Pre-Summary'!$BW$6:$BY$58,2,FALSE),"")</f>
        <v/>
      </c>
      <c r="N312" s="45" t="str">
        <f>IFERROR(VLOOKUP(B312,'Pre-Summary'!$CD$6:$CF$64,2,FALSE),"")</f>
        <v/>
      </c>
      <c r="O312" s="99">
        <f>IFERROR(VLOOKUP(B312,'Pre-Summary'!$BO$6:$BQ$48,3, FALSE),O311)</f>
        <v>1.0915248032216731</v>
      </c>
      <c r="P312" s="99">
        <f>IFERROR(VLOOKUP(B312,'Pre-Summary'!$BS$6:$BU$35,3,FALSE),P311)</f>
        <v>0.25</v>
      </c>
      <c r="Q312" s="54">
        <f t="shared" si="12"/>
        <v>4.3660992128866924</v>
      </c>
      <c r="R312" s="53">
        <f>IFERROR(VLOOKUP(B312,'Pre-Summary'!$BG$6:$BM$44,7,FALSE),R313)</f>
        <v>2.7904161219319636E-2</v>
      </c>
      <c r="S312" s="53">
        <f>IFERROR(VLOOKUP(B312,'Pre-Summary'!$BG$6:$BM$44,6,FALSE),S313)</f>
        <v>3.3978715219895171E-2</v>
      </c>
      <c r="T312" s="45" t="str">
        <f>IFERROR(VLOOKUP(B312,'Pre-Summary'!$Y$6:$AC$83, 3,FALSE),"")</f>
        <v/>
      </c>
      <c r="U312" s="45" t="str">
        <f>IFERROR(VLOOKUP(B312,'Pre-Summary'!$Y$6:$AC$83, 4,FALSE),"")</f>
        <v/>
      </c>
      <c r="V312" t="str">
        <f>IFERROR(VLOOKUP(B312,'Pre-Summary'!$Y$6:$AC$83, 5,FALSE),"")</f>
        <v/>
      </c>
      <c r="W312" s="45" t="str">
        <f>IFERROR(VLOOKUP(B312,'Pre-Summary'!$Y$6:$AD$83,6,FALSE),"")</f>
        <v/>
      </c>
      <c r="X312" t="str">
        <f>IFERROR(VLOOKUP('Pre-Summary'!$DB$6:$DD$63,3,FALSE),"")</f>
        <v/>
      </c>
      <c r="Y312" t="str">
        <f>IFERROR(VLOOKUP(B312,'Pre-Summary'!$CR$6:$CT$36,3,FALSE),"")</f>
        <v/>
      </c>
      <c r="Z312" s="45" t="str">
        <f>IFERROR(VLOOKUP(B312,'Pre-Summary'!$BZ$6:$CB$63,2,FALSE),"")</f>
        <v/>
      </c>
      <c r="AA312" s="45" t="str">
        <f>IFERROR(VLOOKUP(B312,'Pre-Summary'!$CG$6:$CI$70,2,FALSE),"")</f>
        <v/>
      </c>
      <c r="AB312" s="99">
        <f>IFERROR(VLOOKUP(B312,'Pre-Summary'!$A$6:$P$178,9,FALSE),AB313)</f>
        <v>0.50070967456665783</v>
      </c>
      <c r="AC312" s="10">
        <f>IFERROR(VLOOKUP(Summary!B312,'Pre-Summary'!$A$6:$P$184,5, FALSE)/100,AC313)</f>
        <v>0.1357256667</v>
      </c>
      <c r="AD312" s="10">
        <f>IFERROR(VLOOKUP(Summary!B312,'Pre-Summary'!$A$6:$P$184,3, FALSE)/100,AD313)</f>
        <v>0.86153966670000004</v>
      </c>
      <c r="AE312" s="10">
        <f>IFERROR(VLOOKUP(Summary!B312,'Pre-Summary'!$A$6:$P$184,7, FALSE)/100,AE313)</f>
        <v>2.735E-3</v>
      </c>
      <c r="AF312" s="99">
        <f t="shared" si="13"/>
        <v>0.43138124613962386</v>
      </c>
      <c r="AG312" s="99">
        <f t="shared" si="14"/>
        <v>1.3694409599398093E-3</v>
      </c>
      <c r="AH312" s="10" t="str">
        <f>IFERROR(VLOOKUP(B312,'Pre-Summary'!$AZ$6:$BE$65,3,FALSE),"")</f>
        <v/>
      </c>
      <c r="AI312" s="10" t="str">
        <f>IFERROR(VLOOKUP(B312,'Pre-Summary'!$AZ$6:$BE$65,5,FALSE),"")</f>
        <v/>
      </c>
      <c r="AJ312" s="10" t="str">
        <f>IFERROR(VLOOKUP(B312,'Pre-Summary'!$AZ$6:$BE$65,4,FALSE),"")</f>
        <v/>
      </c>
      <c r="AK312" s="10" t="str">
        <f>IFERROR(VLOOKUP(B312,'Pre-Summary'!$AZ$6:$BE$65,6,FALSE),"")</f>
        <v/>
      </c>
      <c r="AL312" s="10" t="str">
        <f>IFERROR(VLOOKUP(B312,'Pre-Summary'!$BG$6:$BL$44,3,FALSE),"")</f>
        <v/>
      </c>
      <c r="AM312" s="10" t="str">
        <f>IFERROR(VLOOKUP(B312,'Pre-Summary'!$BG$6:$BL$44,4,FALSE),"")</f>
        <v/>
      </c>
    </row>
    <row r="313" spans="2:39" ht="15" customHeight="1" x14ac:dyDescent="0.3">
      <c r="B313">
        <v>31</v>
      </c>
      <c r="C313" t="str">
        <f>IFERROR(VLOOKUP(B313,'Pre-Summary'!$DI$6:$DM$23,4,FALSE),"")</f>
        <v/>
      </c>
      <c r="D313" s="10" t="str">
        <f>IFERROR(VLOOKUP(B313,'Pre-Summary'!$AT$6:$AX$14,5,FALSE),D312)</f>
        <v>DSMZ v1.5: Using DSMZ 120 with NaHCO3</v>
      </c>
      <c r="E313" s="10" t="str">
        <f>IFERROR(VLOOKUP(B313,'Pre-Summary'!$AT$6:$AX$15,4,FALSE),"")</f>
        <v/>
      </c>
      <c r="F313">
        <f>IFERROR(VLOOKUP(B313,'Pre-Summary'!$AL$6:$AQ$13,6,FALSE),F312)</f>
        <v>0</v>
      </c>
      <c r="G313" t="str">
        <f>IFERROR(VLOOKUP(B313,'Pre-Summary'!$AE$6:$AJ$85,3,FALSE),"")</f>
        <v/>
      </c>
      <c r="H313" t="str">
        <f>IFERROR(VLOOKUP(B313,'Pre-Summary'!$AE$6:$AJ$85,4,FALSE),"")</f>
        <v/>
      </c>
      <c r="I313" t="str">
        <f>IFERROR(VLOOKUP(B313,'Pre-Summary'!$AE$6:$AJ$85,5,FALSE),"")</f>
        <v/>
      </c>
      <c r="J313" s="45" t="str">
        <f>IFERROR(VLOOKUP(B313,'Pre-Summary'!$AE$6:$AJ$85,6, FALSE),"")</f>
        <v/>
      </c>
      <c r="K313" s="45" t="str">
        <f>IFERROR(VLOOKUP(B313,'Pre-Summary'!$DE$6:$DG$61,3,FALSE),"")</f>
        <v/>
      </c>
      <c r="L313" s="45" t="str">
        <f>IFERROR(VLOOKUP(B313,'Pre-Summary'!$CU$6:$CW$36,3,FALSE),"")</f>
        <v/>
      </c>
      <c r="M313" s="45" t="str">
        <f>IFERROR(VLOOKUP(B313,'Pre-Summary'!$BW$6:$BY$58,2,FALSE),"")</f>
        <v/>
      </c>
      <c r="N313" s="45" t="str">
        <f>IFERROR(VLOOKUP(B313,'Pre-Summary'!$CD$6:$CF$64,2,FALSE),"")</f>
        <v/>
      </c>
      <c r="O313" s="99">
        <f>IFERROR(VLOOKUP(B313,'Pre-Summary'!$BO$6:$BQ$48,3, FALSE),O312)</f>
        <v>1.0915248032216731</v>
      </c>
      <c r="P313" s="99">
        <f>IFERROR(VLOOKUP(B313,'Pre-Summary'!$BS$6:$BU$35,3,FALSE),P312)</f>
        <v>0.25</v>
      </c>
      <c r="Q313" s="54">
        <f t="shared" si="12"/>
        <v>4.3660992128866924</v>
      </c>
      <c r="R313" s="53">
        <f>IFERROR(VLOOKUP(B313,'Pre-Summary'!$BG$6:$BM$44,7,FALSE),R314)</f>
        <v>2.7904161219319636E-2</v>
      </c>
      <c r="S313" s="53">
        <f>IFERROR(VLOOKUP(B313,'Pre-Summary'!$BG$6:$BM$44,6,FALSE),S314)</f>
        <v>3.3978715219895171E-2</v>
      </c>
      <c r="T313" s="45" t="str">
        <f>IFERROR(VLOOKUP(B313,'Pre-Summary'!$Y$6:$AC$83, 3,FALSE),"")</f>
        <v/>
      </c>
      <c r="U313" s="45" t="str">
        <f>IFERROR(VLOOKUP(B313,'Pre-Summary'!$Y$6:$AC$83, 4,FALSE),"")</f>
        <v/>
      </c>
      <c r="V313" t="str">
        <f>IFERROR(VLOOKUP(B313,'Pre-Summary'!$Y$6:$AC$83, 5,FALSE),"")</f>
        <v/>
      </c>
      <c r="W313" s="45" t="str">
        <f>IFERROR(VLOOKUP(B313,'Pre-Summary'!$Y$6:$AD$83,6,FALSE),"")</f>
        <v/>
      </c>
      <c r="X313" t="str">
        <f>IFERROR(VLOOKUP('Pre-Summary'!$DB$6:$DD$63,3,FALSE),"")</f>
        <v/>
      </c>
      <c r="Y313" t="str">
        <f>IFERROR(VLOOKUP(B313,'Pre-Summary'!$CR$6:$CT$36,3,FALSE),"")</f>
        <v/>
      </c>
      <c r="Z313" s="45" t="str">
        <f>IFERROR(VLOOKUP(B313,'Pre-Summary'!$BZ$6:$CB$63,2,FALSE),"")</f>
        <v/>
      </c>
      <c r="AA313" s="45" t="str">
        <f>IFERROR(VLOOKUP(B313,'Pre-Summary'!$CG$6:$CI$70,2,FALSE),"")</f>
        <v/>
      </c>
      <c r="AB313" s="99">
        <f>IFERROR(VLOOKUP(B313,'Pre-Summary'!$A$6:$P$178,9,FALSE),AB314)</f>
        <v>0.50070967456665783</v>
      </c>
      <c r="AC313" s="10">
        <f>IFERROR(VLOOKUP(Summary!B313,'Pre-Summary'!$A$6:$P$184,5, FALSE)/100,AC314)</f>
        <v>0.1357256667</v>
      </c>
      <c r="AD313" s="10">
        <f>IFERROR(VLOOKUP(Summary!B313,'Pre-Summary'!$A$6:$P$184,3, FALSE)/100,AD314)</f>
        <v>0.86153966670000004</v>
      </c>
      <c r="AE313" s="10">
        <f>IFERROR(VLOOKUP(Summary!B313,'Pre-Summary'!$A$6:$P$184,7, FALSE)/100,AE314)</f>
        <v>2.735E-3</v>
      </c>
      <c r="AF313" s="99">
        <f t="shared" si="13"/>
        <v>0.43138124613962386</v>
      </c>
      <c r="AG313" s="99">
        <f t="shared" si="14"/>
        <v>1.3694409599398093E-3</v>
      </c>
      <c r="AH313" s="10" t="str">
        <f>IFERROR(VLOOKUP(B313,'Pre-Summary'!$AZ$6:$BE$65,3,FALSE),"")</f>
        <v/>
      </c>
      <c r="AI313" s="10" t="str">
        <f>IFERROR(VLOOKUP(B313,'Pre-Summary'!$AZ$6:$BE$65,5,FALSE),"")</f>
        <v/>
      </c>
      <c r="AJ313" s="10" t="str">
        <f>IFERROR(VLOOKUP(B313,'Pre-Summary'!$AZ$6:$BE$65,4,FALSE),"")</f>
        <v/>
      </c>
      <c r="AK313" s="10" t="str">
        <f>IFERROR(VLOOKUP(B313,'Pre-Summary'!$AZ$6:$BE$65,6,FALSE),"")</f>
        <v/>
      </c>
      <c r="AL313" s="10" t="str">
        <f>IFERROR(VLOOKUP(B313,'Pre-Summary'!$BG$6:$BL$44,3,FALSE),"")</f>
        <v/>
      </c>
      <c r="AM313" s="10" t="str">
        <f>IFERROR(VLOOKUP(B313,'Pre-Summary'!$BG$6:$BL$44,4,FALSE),"")</f>
        <v/>
      </c>
    </row>
    <row r="314" spans="2:39" ht="15" customHeight="1" x14ac:dyDescent="0.3">
      <c r="B314">
        <v>31.1</v>
      </c>
      <c r="C314" t="str">
        <f>IFERROR(VLOOKUP(B314,'Pre-Summary'!$DI$6:$DM$23,4,FALSE),"")</f>
        <v/>
      </c>
      <c r="D314" s="10" t="str">
        <f>IFERROR(VLOOKUP(B314,'Pre-Summary'!$AT$6:$AX$14,5,FALSE),D313)</f>
        <v>DSMZ v1.5: Using DSMZ 120 with NaHCO3</v>
      </c>
      <c r="E314" s="10" t="str">
        <f>IFERROR(VLOOKUP(B314,'Pre-Summary'!$AT$6:$AX$15,4,FALSE),"")</f>
        <v/>
      </c>
      <c r="F314">
        <f>IFERROR(VLOOKUP(B314,'Pre-Summary'!$AL$6:$AQ$13,6,FALSE),F313)</f>
        <v>0</v>
      </c>
      <c r="G314" t="str">
        <f>IFERROR(VLOOKUP(B314,'Pre-Summary'!$AE$6:$AJ$85,3,FALSE),"")</f>
        <v/>
      </c>
      <c r="H314" t="str">
        <f>IFERROR(VLOOKUP(B314,'Pre-Summary'!$AE$6:$AJ$85,4,FALSE),"")</f>
        <v/>
      </c>
      <c r="I314" t="str">
        <f>IFERROR(VLOOKUP(B314,'Pre-Summary'!$AE$6:$AJ$85,5,FALSE),"")</f>
        <v/>
      </c>
      <c r="J314" s="45" t="str">
        <f>IFERROR(VLOOKUP(B314,'Pre-Summary'!$AE$6:$AJ$85,6, FALSE),"")</f>
        <v/>
      </c>
      <c r="K314" s="45" t="str">
        <f>IFERROR(VLOOKUP(B314,'Pre-Summary'!$DE$6:$DG$61,3,FALSE),"")</f>
        <v/>
      </c>
      <c r="L314" s="45" t="str">
        <f>IFERROR(VLOOKUP(B314,'Pre-Summary'!$CU$6:$CW$36,3,FALSE),"")</f>
        <v/>
      </c>
      <c r="M314" s="45" t="str">
        <f>IFERROR(VLOOKUP(B314,'Pre-Summary'!$BW$6:$BY$58,2,FALSE),"")</f>
        <v/>
      </c>
      <c r="N314" s="45" t="str">
        <f>IFERROR(VLOOKUP(B314,'Pre-Summary'!$CD$6:$CF$64,2,FALSE),"")</f>
        <v/>
      </c>
      <c r="O314" s="99">
        <f>IFERROR(VLOOKUP(B314,'Pre-Summary'!$BO$6:$BQ$48,3, FALSE),O313)</f>
        <v>1.0915248032216731</v>
      </c>
      <c r="P314" s="99">
        <f>IFERROR(VLOOKUP(B314,'Pre-Summary'!$BS$6:$BU$35,3,FALSE),P313)</f>
        <v>0.25</v>
      </c>
      <c r="Q314" s="54">
        <f t="shared" si="12"/>
        <v>4.3660992128866924</v>
      </c>
      <c r="R314" s="53">
        <f>IFERROR(VLOOKUP(B314,'Pre-Summary'!$BG$6:$BM$44,7,FALSE),R315)</f>
        <v>2.7904161219319636E-2</v>
      </c>
      <c r="S314" s="53">
        <f>IFERROR(VLOOKUP(B314,'Pre-Summary'!$BG$6:$BM$44,6,FALSE),S315)</f>
        <v>3.3978715219895171E-2</v>
      </c>
      <c r="T314" s="45" t="str">
        <f>IFERROR(VLOOKUP(B314,'Pre-Summary'!$Y$6:$AC$83, 3,FALSE),"")</f>
        <v/>
      </c>
      <c r="U314" s="45" t="str">
        <f>IFERROR(VLOOKUP(B314,'Pre-Summary'!$Y$6:$AC$83, 4,FALSE),"")</f>
        <v/>
      </c>
      <c r="V314" t="str">
        <f>IFERROR(VLOOKUP(B314,'Pre-Summary'!$Y$6:$AC$83, 5,FALSE),"")</f>
        <v/>
      </c>
      <c r="W314" s="45" t="str">
        <f>IFERROR(VLOOKUP(B314,'Pre-Summary'!$Y$6:$AD$83,6,FALSE),"")</f>
        <v/>
      </c>
      <c r="X314" t="str">
        <f>IFERROR(VLOOKUP('Pre-Summary'!$DB$6:$DD$63,3,FALSE),"")</f>
        <v/>
      </c>
      <c r="Y314" t="str">
        <f>IFERROR(VLOOKUP(B314,'Pre-Summary'!$CR$6:$CT$36,3,FALSE),"")</f>
        <v/>
      </c>
      <c r="Z314" s="45" t="str">
        <f>IFERROR(VLOOKUP(B314,'Pre-Summary'!$BZ$6:$CB$63,2,FALSE),"")</f>
        <v/>
      </c>
      <c r="AA314" s="45" t="str">
        <f>IFERROR(VLOOKUP(B314,'Pre-Summary'!$CG$6:$CI$70,2,FALSE),"")</f>
        <v/>
      </c>
      <c r="AB314" s="99">
        <f>IFERROR(VLOOKUP(B314,'Pre-Summary'!$A$6:$P$178,9,FALSE),AB315)</f>
        <v>0.50070967456665783</v>
      </c>
      <c r="AC314" s="10">
        <f>IFERROR(VLOOKUP(Summary!B314,'Pre-Summary'!$A$6:$P$184,5, FALSE)/100,AC315)</f>
        <v>0.1357256667</v>
      </c>
      <c r="AD314" s="10">
        <f>IFERROR(VLOOKUP(Summary!B314,'Pre-Summary'!$A$6:$P$184,3, FALSE)/100,AD315)</f>
        <v>0.86153966670000004</v>
      </c>
      <c r="AE314" s="10">
        <f>IFERROR(VLOOKUP(Summary!B314,'Pre-Summary'!$A$6:$P$184,7, FALSE)/100,AE315)</f>
        <v>2.735E-3</v>
      </c>
      <c r="AF314" s="99">
        <f t="shared" si="13"/>
        <v>0.43138124613962386</v>
      </c>
      <c r="AG314" s="99">
        <f t="shared" si="14"/>
        <v>1.3694409599398093E-3</v>
      </c>
      <c r="AH314" s="10" t="str">
        <f>IFERROR(VLOOKUP(B314,'Pre-Summary'!$AZ$6:$BE$65,3,FALSE),"")</f>
        <v/>
      </c>
      <c r="AI314" s="10" t="str">
        <f>IFERROR(VLOOKUP(B314,'Pre-Summary'!$AZ$6:$BE$65,5,FALSE),"")</f>
        <v/>
      </c>
      <c r="AJ314" s="10" t="str">
        <f>IFERROR(VLOOKUP(B314,'Pre-Summary'!$AZ$6:$BE$65,4,FALSE),"")</f>
        <v/>
      </c>
      <c r="AK314" s="10" t="str">
        <f>IFERROR(VLOOKUP(B314,'Pre-Summary'!$AZ$6:$BE$65,6,FALSE),"")</f>
        <v/>
      </c>
      <c r="AL314" s="10" t="str">
        <f>IFERROR(VLOOKUP(B314,'Pre-Summary'!$BG$6:$BL$44,3,FALSE),"")</f>
        <v/>
      </c>
      <c r="AM314" s="10" t="str">
        <f>IFERROR(VLOOKUP(B314,'Pre-Summary'!$BG$6:$BL$44,4,FALSE),"")</f>
        <v/>
      </c>
    </row>
    <row r="315" spans="2:39" ht="15" customHeight="1" x14ac:dyDescent="0.3">
      <c r="B315">
        <v>31.2</v>
      </c>
      <c r="C315" t="str">
        <f>IFERROR(VLOOKUP(B315,'Pre-Summary'!$DI$6:$DM$23,4,FALSE),"")</f>
        <v/>
      </c>
      <c r="D315" s="10" t="str">
        <f>IFERROR(VLOOKUP(B315,'Pre-Summary'!$AT$6:$AX$14,5,FALSE),D314)</f>
        <v>DSMZ v1.5: Using DSMZ 120 with NaHCO3</v>
      </c>
      <c r="E315" s="10" t="str">
        <f>IFERROR(VLOOKUP(B315,'Pre-Summary'!$AT$6:$AX$15,4,FALSE),"")</f>
        <v/>
      </c>
      <c r="F315">
        <f>IFERROR(VLOOKUP(B315,'Pre-Summary'!$AL$6:$AQ$13,6,FALSE),F314)</f>
        <v>0</v>
      </c>
      <c r="G315" t="str">
        <f>IFERROR(VLOOKUP(B315,'Pre-Summary'!$AE$6:$AJ$85,3,FALSE),"")</f>
        <v/>
      </c>
      <c r="H315" t="str">
        <f>IFERROR(VLOOKUP(B315,'Pre-Summary'!$AE$6:$AJ$85,4,FALSE),"")</f>
        <v/>
      </c>
      <c r="I315" t="str">
        <f>IFERROR(VLOOKUP(B315,'Pre-Summary'!$AE$6:$AJ$85,5,FALSE),"")</f>
        <v/>
      </c>
      <c r="J315" s="45" t="str">
        <f>IFERROR(VLOOKUP(B315,'Pre-Summary'!$AE$6:$AJ$85,6, FALSE),"")</f>
        <v/>
      </c>
      <c r="K315" s="45" t="str">
        <f>IFERROR(VLOOKUP(B315,'Pre-Summary'!$DE$6:$DG$61,3,FALSE),"")</f>
        <v/>
      </c>
      <c r="L315" s="45" t="str">
        <f>IFERROR(VLOOKUP(B315,'Pre-Summary'!$CU$6:$CW$36,3,FALSE),"")</f>
        <v/>
      </c>
      <c r="M315" s="45" t="str">
        <f>IFERROR(VLOOKUP(B315,'Pre-Summary'!$BW$6:$BY$58,2,FALSE),"")</f>
        <v/>
      </c>
      <c r="N315" s="45" t="str">
        <f>IFERROR(VLOOKUP(B315,'Pre-Summary'!$CD$6:$CF$64,2,FALSE),"")</f>
        <v/>
      </c>
      <c r="O315" s="99">
        <f>IFERROR(VLOOKUP(B315,'Pre-Summary'!$BO$6:$BQ$48,3, FALSE),O314)</f>
        <v>1.0915248032216731</v>
      </c>
      <c r="P315" s="99">
        <f>IFERROR(VLOOKUP(B315,'Pre-Summary'!$BS$6:$BU$35,3,FALSE),P314)</f>
        <v>0.25</v>
      </c>
      <c r="Q315" s="54">
        <f t="shared" si="12"/>
        <v>4.3660992128866924</v>
      </c>
      <c r="R315" s="53">
        <f>IFERROR(VLOOKUP(B315,'Pre-Summary'!$BG$6:$BM$44,7,FALSE),R316)</f>
        <v>2.7904161219319636E-2</v>
      </c>
      <c r="S315" s="53">
        <f>IFERROR(VLOOKUP(B315,'Pre-Summary'!$BG$6:$BM$44,6,FALSE),S316)</f>
        <v>3.3978715219895171E-2</v>
      </c>
      <c r="T315" s="45" t="str">
        <f>IFERROR(VLOOKUP(B315,'Pre-Summary'!$Y$6:$AC$83, 3,FALSE),"")</f>
        <v/>
      </c>
      <c r="U315" s="45" t="str">
        <f>IFERROR(VLOOKUP(B315,'Pre-Summary'!$Y$6:$AC$83, 4,FALSE),"")</f>
        <v/>
      </c>
      <c r="V315" t="str">
        <f>IFERROR(VLOOKUP(B315,'Pre-Summary'!$Y$6:$AC$83, 5,FALSE),"")</f>
        <v/>
      </c>
      <c r="W315" s="45" t="str">
        <f>IFERROR(VLOOKUP(B315,'Pre-Summary'!$Y$6:$AD$83,6,FALSE),"")</f>
        <v/>
      </c>
      <c r="X315" t="str">
        <f>IFERROR(VLOOKUP('Pre-Summary'!$DB$6:$DD$63,3,FALSE),"")</f>
        <v/>
      </c>
      <c r="Y315" t="str">
        <f>IFERROR(VLOOKUP(B315,'Pre-Summary'!$CR$6:$CT$36,3,FALSE),"")</f>
        <v/>
      </c>
      <c r="Z315" s="45" t="str">
        <f>IFERROR(VLOOKUP(B315,'Pre-Summary'!$BZ$6:$CB$63,2,FALSE),"")</f>
        <v/>
      </c>
      <c r="AA315" s="45" t="str">
        <f>IFERROR(VLOOKUP(B315,'Pre-Summary'!$CG$6:$CI$70,2,FALSE),"")</f>
        <v/>
      </c>
      <c r="AB315" s="99">
        <f>IFERROR(VLOOKUP(B315,'Pre-Summary'!$A$6:$P$178,9,FALSE),AB316)</f>
        <v>0.50070967456665783</v>
      </c>
      <c r="AC315" s="10">
        <f>IFERROR(VLOOKUP(Summary!B315,'Pre-Summary'!$A$6:$P$184,5, FALSE)/100,AC316)</f>
        <v>0.1357256667</v>
      </c>
      <c r="AD315" s="10">
        <f>IFERROR(VLOOKUP(Summary!B315,'Pre-Summary'!$A$6:$P$184,3, FALSE)/100,AD316)</f>
        <v>0.86153966670000004</v>
      </c>
      <c r="AE315" s="10">
        <f>IFERROR(VLOOKUP(Summary!B315,'Pre-Summary'!$A$6:$P$184,7, FALSE)/100,AE316)</f>
        <v>2.735E-3</v>
      </c>
      <c r="AF315" s="99">
        <f t="shared" si="13"/>
        <v>0.43138124613962386</v>
      </c>
      <c r="AG315" s="99">
        <f t="shared" si="14"/>
        <v>1.3694409599398093E-3</v>
      </c>
      <c r="AH315" s="10" t="str">
        <f>IFERROR(VLOOKUP(B315,'Pre-Summary'!$AZ$6:$BE$65,3,FALSE),"")</f>
        <v/>
      </c>
      <c r="AI315" s="10" t="str">
        <f>IFERROR(VLOOKUP(B315,'Pre-Summary'!$AZ$6:$BE$65,5,FALSE),"")</f>
        <v/>
      </c>
      <c r="AJ315" s="10" t="str">
        <f>IFERROR(VLOOKUP(B315,'Pre-Summary'!$AZ$6:$BE$65,4,FALSE),"")</f>
        <v/>
      </c>
      <c r="AK315" s="10" t="str">
        <f>IFERROR(VLOOKUP(B315,'Pre-Summary'!$AZ$6:$BE$65,6,FALSE),"")</f>
        <v/>
      </c>
      <c r="AL315" s="10" t="str">
        <f>IFERROR(VLOOKUP(B315,'Pre-Summary'!$BG$6:$BL$44,3,FALSE),"")</f>
        <v/>
      </c>
      <c r="AM315" s="10" t="str">
        <f>IFERROR(VLOOKUP(B315,'Pre-Summary'!$BG$6:$BL$44,4,FALSE),"")</f>
        <v/>
      </c>
    </row>
    <row r="316" spans="2:39" ht="15" customHeight="1" x14ac:dyDescent="0.3">
      <c r="B316">
        <v>31.3</v>
      </c>
      <c r="C316" t="str">
        <f>IFERROR(VLOOKUP(B316,'Pre-Summary'!$DI$6:$DM$23,4,FALSE),"")</f>
        <v/>
      </c>
      <c r="D316" s="10" t="str">
        <f>IFERROR(VLOOKUP(B316,'Pre-Summary'!$AT$6:$AX$14,5,FALSE),D315)</f>
        <v>DSMZ v1.5: Using DSMZ 120 with NaHCO3</v>
      </c>
      <c r="E316" s="10" t="str">
        <f>IFERROR(VLOOKUP(B316,'Pre-Summary'!$AT$6:$AX$15,4,FALSE),"")</f>
        <v/>
      </c>
      <c r="F316">
        <f>IFERROR(VLOOKUP(B316,'Pre-Summary'!$AL$6:$AQ$13,6,FALSE),F315)</f>
        <v>0</v>
      </c>
      <c r="G316" t="str">
        <f>IFERROR(VLOOKUP(B316,'Pre-Summary'!$AE$6:$AJ$85,3,FALSE),"")</f>
        <v/>
      </c>
      <c r="H316" t="str">
        <f>IFERROR(VLOOKUP(B316,'Pre-Summary'!$AE$6:$AJ$85,4,FALSE),"")</f>
        <v/>
      </c>
      <c r="I316" t="str">
        <f>IFERROR(VLOOKUP(B316,'Pre-Summary'!$AE$6:$AJ$85,5,FALSE),"")</f>
        <v/>
      </c>
      <c r="J316" s="45" t="str">
        <f>IFERROR(VLOOKUP(B316,'Pre-Summary'!$AE$6:$AJ$85,6, FALSE),"")</f>
        <v/>
      </c>
      <c r="K316" s="45" t="str">
        <f>IFERROR(VLOOKUP(B316,'Pre-Summary'!$DE$6:$DG$61,3,FALSE),"")</f>
        <v/>
      </c>
      <c r="L316" s="45" t="str">
        <f>IFERROR(VLOOKUP(B316,'Pre-Summary'!$CU$6:$CW$36,3,FALSE),"")</f>
        <v/>
      </c>
      <c r="M316" s="45" t="str">
        <f>IFERROR(VLOOKUP(B316,'Pre-Summary'!$BW$6:$BY$58,2,FALSE),"")</f>
        <v/>
      </c>
      <c r="N316" s="45" t="str">
        <f>IFERROR(VLOOKUP(B316,'Pre-Summary'!$CD$6:$CF$64,2,FALSE),"")</f>
        <v/>
      </c>
      <c r="O316" s="99">
        <f>IFERROR(VLOOKUP(B316,'Pre-Summary'!$BO$6:$BQ$48,3, FALSE),O315)</f>
        <v>1.0915248032216731</v>
      </c>
      <c r="P316" s="99">
        <f>IFERROR(VLOOKUP(B316,'Pre-Summary'!$BS$6:$BU$35,3,FALSE),P315)</f>
        <v>0.25</v>
      </c>
      <c r="Q316" s="54">
        <f t="shared" si="12"/>
        <v>4.3660992128866924</v>
      </c>
      <c r="R316" s="53">
        <f>IFERROR(VLOOKUP(B316,'Pre-Summary'!$BG$6:$BM$44,7,FALSE),R317)</f>
        <v>2.7904161219319636E-2</v>
      </c>
      <c r="S316" s="53">
        <f>IFERROR(VLOOKUP(B316,'Pre-Summary'!$BG$6:$BM$44,6,FALSE),S317)</f>
        <v>3.3978715219895171E-2</v>
      </c>
      <c r="T316" s="45" t="str">
        <f>IFERROR(VLOOKUP(B316,'Pre-Summary'!$Y$6:$AC$83, 3,FALSE),"")</f>
        <v/>
      </c>
      <c r="U316" s="45" t="str">
        <f>IFERROR(VLOOKUP(B316,'Pre-Summary'!$Y$6:$AC$83, 4,FALSE),"")</f>
        <v/>
      </c>
      <c r="V316" t="str">
        <f>IFERROR(VLOOKUP(B316,'Pre-Summary'!$Y$6:$AC$83, 5,FALSE),"")</f>
        <v/>
      </c>
      <c r="W316" s="45" t="str">
        <f>IFERROR(VLOOKUP(B316,'Pre-Summary'!$Y$6:$AD$83,6,FALSE),"")</f>
        <v/>
      </c>
      <c r="X316" t="str">
        <f>IFERROR(VLOOKUP('Pre-Summary'!$DB$6:$DD$63,3,FALSE),"")</f>
        <v/>
      </c>
      <c r="Y316" t="str">
        <f>IFERROR(VLOOKUP(B316,'Pre-Summary'!$CR$6:$CT$36,3,FALSE),"")</f>
        <v/>
      </c>
      <c r="Z316" s="45" t="str">
        <f>IFERROR(VLOOKUP(B316,'Pre-Summary'!$BZ$6:$CB$63,2,FALSE),"")</f>
        <v/>
      </c>
      <c r="AA316" s="45" t="str">
        <f>IFERROR(VLOOKUP(B316,'Pre-Summary'!$CG$6:$CI$70,2,FALSE),"")</f>
        <v/>
      </c>
      <c r="AB316" s="99">
        <f>IFERROR(VLOOKUP(B316,'Pre-Summary'!$A$6:$P$178,9,FALSE),AB317)</f>
        <v>0.50070967456665783</v>
      </c>
      <c r="AC316" s="10">
        <f>IFERROR(VLOOKUP(Summary!B316,'Pre-Summary'!$A$6:$P$184,5, FALSE)/100,AC317)</f>
        <v>0.1357256667</v>
      </c>
      <c r="AD316" s="10">
        <f>IFERROR(VLOOKUP(Summary!B316,'Pre-Summary'!$A$6:$P$184,3, FALSE)/100,AD317)</f>
        <v>0.86153966670000004</v>
      </c>
      <c r="AE316" s="10">
        <f>IFERROR(VLOOKUP(Summary!B316,'Pre-Summary'!$A$6:$P$184,7, FALSE)/100,AE317)</f>
        <v>2.735E-3</v>
      </c>
      <c r="AF316" s="99">
        <f t="shared" si="13"/>
        <v>0.43138124613962386</v>
      </c>
      <c r="AG316" s="99">
        <f t="shared" si="14"/>
        <v>1.3694409599398093E-3</v>
      </c>
      <c r="AH316" s="10" t="str">
        <f>IFERROR(VLOOKUP(B316,'Pre-Summary'!$AZ$6:$BE$65,3,FALSE),"")</f>
        <v/>
      </c>
      <c r="AI316" s="10" t="str">
        <f>IFERROR(VLOOKUP(B316,'Pre-Summary'!$AZ$6:$BE$65,5,FALSE),"")</f>
        <v/>
      </c>
      <c r="AJ316" s="10" t="str">
        <f>IFERROR(VLOOKUP(B316,'Pre-Summary'!$AZ$6:$BE$65,4,FALSE),"")</f>
        <v/>
      </c>
      <c r="AK316" s="10" t="str">
        <f>IFERROR(VLOOKUP(B316,'Pre-Summary'!$AZ$6:$BE$65,6,FALSE),"")</f>
        <v/>
      </c>
      <c r="AL316" s="10" t="str">
        <f>IFERROR(VLOOKUP(B316,'Pre-Summary'!$BG$6:$BL$44,3,FALSE),"")</f>
        <v/>
      </c>
      <c r="AM316" s="10" t="str">
        <f>IFERROR(VLOOKUP(B316,'Pre-Summary'!$BG$6:$BL$44,4,FALSE),"")</f>
        <v/>
      </c>
    </row>
    <row r="317" spans="2:39" ht="15" customHeight="1" x14ac:dyDescent="0.3">
      <c r="B317">
        <v>31.4</v>
      </c>
      <c r="C317" t="str">
        <f>IFERROR(VLOOKUP(B317,'Pre-Summary'!$DI$6:$DM$23,4,FALSE),"")</f>
        <v/>
      </c>
      <c r="D317" s="10" t="str">
        <f>IFERROR(VLOOKUP(B317,'Pre-Summary'!$AT$6:$AX$14,5,FALSE),D316)</f>
        <v>DSMZ v1.5: Using DSMZ 120 with NaHCO3</v>
      </c>
      <c r="E317" s="10" t="str">
        <f>IFERROR(VLOOKUP(B317,'Pre-Summary'!$AT$6:$AX$15,4,FALSE),"")</f>
        <v/>
      </c>
      <c r="F317">
        <f>IFERROR(VLOOKUP(B317,'Pre-Summary'!$AL$6:$AQ$13,6,FALSE),F316)</f>
        <v>0</v>
      </c>
      <c r="G317" t="str">
        <f>IFERROR(VLOOKUP(B317,'Pre-Summary'!$AE$6:$AJ$85,3,FALSE),"")</f>
        <v/>
      </c>
      <c r="H317" t="str">
        <f>IFERROR(VLOOKUP(B317,'Pre-Summary'!$AE$6:$AJ$85,4,FALSE),"")</f>
        <v/>
      </c>
      <c r="I317" t="str">
        <f>IFERROR(VLOOKUP(B317,'Pre-Summary'!$AE$6:$AJ$85,5,FALSE),"")</f>
        <v/>
      </c>
      <c r="J317" s="45" t="str">
        <f>IFERROR(VLOOKUP(B317,'Pre-Summary'!$AE$6:$AJ$85,6, FALSE),"")</f>
        <v/>
      </c>
      <c r="K317" s="45" t="str">
        <f>IFERROR(VLOOKUP(B317,'Pre-Summary'!$DE$6:$DG$61,3,FALSE),"")</f>
        <v/>
      </c>
      <c r="L317" s="45" t="str">
        <f>IFERROR(VLOOKUP(B317,'Pre-Summary'!$CU$6:$CW$36,3,FALSE),"")</f>
        <v/>
      </c>
      <c r="M317" s="45" t="str">
        <f>IFERROR(VLOOKUP(B317,'Pre-Summary'!$BW$6:$BY$58,2,FALSE),"")</f>
        <v/>
      </c>
      <c r="N317" s="45" t="str">
        <f>IFERROR(VLOOKUP(B317,'Pre-Summary'!$CD$6:$CF$64,2,FALSE),"")</f>
        <v/>
      </c>
      <c r="O317" s="99">
        <f>IFERROR(VLOOKUP(B317,'Pre-Summary'!$BO$6:$BQ$48,3, FALSE),O316)</f>
        <v>1.0915248032216731</v>
      </c>
      <c r="P317" s="99">
        <f>IFERROR(VLOOKUP(B317,'Pre-Summary'!$BS$6:$BU$35,3,FALSE),P316)</f>
        <v>0.25</v>
      </c>
      <c r="Q317" s="54">
        <f t="shared" si="12"/>
        <v>4.3660992128866924</v>
      </c>
      <c r="R317" s="53">
        <f>IFERROR(VLOOKUP(B317,'Pre-Summary'!$BG$6:$BM$44,7,FALSE),R318)</f>
        <v>2.7904161219319636E-2</v>
      </c>
      <c r="S317" s="53">
        <f>IFERROR(VLOOKUP(B317,'Pre-Summary'!$BG$6:$BM$44,6,FALSE),S318)</f>
        <v>3.3978715219895171E-2</v>
      </c>
      <c r="T317" s="45" t="str">
        <f>IFERROR(VLOOKUP(B317,'Pre-Summary'!$Y$6:$AC$83, 3,FALSE),"")</f>
        <v/>
      </c>
      <c r="U317" s="45" t="str">
        <f>IFERROR(VLOOKUP(B317,'Pre-Summary'!$Y$6:$AC$83, 4,FALSE),"")</f>
        <v/>
      </c>
      <c r="V317" t="str">
        <f>IFERROR(VLOOKUP(B317,'Pre-Summary'!$Y$6:$AC$83, 5,FALSE),"")</f>
        <v/>
      </c>
      <c r="W317" s="45" t="str">
        <f>IFERROR(VLOOKUP(B317,'Pre-Summary'!$Y$6:$AD$83,6,FALSE),"")</f>
        <v/>
      </c>
      <c r="X317" t="str">
        <f>IFERROR(VLOOKUP('Pre-Summary'!$DB$6:$DD$63,3,FALSE),"")</f>
        <v/>
      </c>
      <c r="Y317" t="str">
        <f>IFERROR(VLOOKUP(B317,'Pre-Summary'!$CR$6:$CT$36,3,FALSE),"")</f>
        <v/>
      </c>
      <c r="Z317" s="45" t="str">
        <f>IFERROR(VLOOKUP(B317,'Pre-Summary'!$BZ$6:$CB$63,2,FALSE),"")</f>
        <v/>
      </c>
      <c r="AA317" s="45" t="str">
        <f>IFERROR(VLOOKUP(B317,'Pre-Summary'!$CG$6:$CI$70,2,FALSE),"")</f>
        <v/>
      </c>
      <c r="AB317" s="99">
        <f>IFERROR(VLOOKUP(B317,'Pre-Summary'!$A$6:$P$178,9,FALSE),AB318)</f>
        <v>0.50070967456665783</v>
      </c>
      <c r="AC317" s="10">
        <f>IFERROR(VLOOKUP(Summary!B317,'Pre-Summary'!$A$6:$P$184,5, FALSE)/100,AC318)</f>
        <v>0.1357256667</v>
      </c>
      <c r="AD317" s="10">
        <f>IFERROR(VLOOKUP(Summary!B317,'Pre-Summary'!$A$6:$P$184,3, FALSE)/100,AD318)</f>
        <v>0.86153966670000004</v>
      </c>
      <c r="AE317" s="10">
        <f>IFERROR(VLOOKUP(Summary!B317,'Pre-Summary'!$A$6:$P$184,7, FALSE)/100,AE318)</f>
        <v>2.735E-3</v>
      </c>
      <c r="AF317" s="99">
        <f t="shared" si="13"/>
        <v>0.43138124613962386</v>
      </c>
      <c r="AG317" s="99">
        <f t="shared" si="14"/>
        <v>1.3694409599398093E-3</v>
      </c>
      <c r="AH317" s="10" t="str">
        <f>IFERROR(VLOOKUP(B317,'Pre-Summary'!$AZ$6:$BE$65,3,FALSE),"")</f>
        <v/>
      </c>
      <c r="AI317" s="10" t="str">
        <f>IFERROR(VLOOKUP(B317,'Pre-Summary'!$AZ$6:$BE$65,5,FALSE),"")</f>
        <v/>
      </c>
      <c r="AJ317" s="10" t="str">
        <f>IFERROR(VLOOKUP(B317,'Pre-Summary'!$AZ$6:$BE$65,4,FALSE),"")</f>
        <v/>
      </c>
      <c r="AK317" s="10" t="str">
        <f>IFERROR(VLOOKUP(B317,'Pre-Summary'!$AZ$6:$BE$65,6,FALSE),"")</f>
        <v/>
      </c>
      <c r="AL317" s="10" t="str">
        <f>IFERROR(VLOOKUP(B317,'Pre-Summary'!$BG$6:$BL$44,3,FALSE),"")</f>
        <v/>
      </c>
      <c r="AM317" s="10" t="str">
        <f>IFERROR(VLOOKUP(B317,'Pre-Summary'!$BG$6:$BL$44,4,FALSE),"")</f>
        <v/>
      </c>
    </row>
    <row r="318" spans="2:39" ht="15" customHeight="1" x14ac:dyDescent="0.3">
      <c r="B318">
        <v>31.5</v>
      </c>
      <c r="C318" t="str">
        <f>IFERROR(VLOOKUP(B318,'Pre-Summary'!$DI$6:$DM$23,4,FALSE),"")</f>
        <v/>
      </c>
      <c r="D318" s="10" t="str">
        <f>IFERROR(VLOOKUP(B318,'Pre-Summary'!$AT$6:$AX$14,5,FALSE),D317)</f>
        <v>DSMZ v1.5: Using DSMZ 120 with NaHCO3</v>
      </c>
      <c r="E318" s="10" t="str">
        <f>IFERROR(VLOOKUP(B318,'Pre-Summary'!$AT$6:$AX$15,4,FALSE),"")</f>
        <v/>
      </c>
      <c r="F318">
        <f>IFERROR(VLOOKUP(B318,'Pre-Summary'!$AL$6:$AQ$13,6,FALSE),F317)</f>
        <v>0</v>
      </c>
      <c r="G318" t="str">
        <f>IFERROR(VLOOKUP(B318,'Pre-Summary'!$AE$6:$AJ$85,3,FALSE),"")</f>
        <v/>
      </c>
      <c r="H318" t="str">
        <f>IFERROR(VLOOKUP(B318,'Pre-Summary'!$AE$6:$AJ$85,4,FALSE),"")</f>
        <v/>
      </c>
      <c r="I318" t="str">
        <f>IFERROR(VLOOKUP(B318,'Pre-Summary'!$AE$6:$AJ$85,5,FALSE),"")</f>
        <v/>
      </c>
      <c r="J318" s="45" t="str">
        <f>IFERROR(VLOOKUP(B318,'Pre-Summary'!$AE$6:$AJ$85,6, FALSE),"")</f>
        <v/>
      </c>
      <c r="K318" s="45" t="str">
        <f>IFERROR(VLOOKUP(B318,'Pre-Summary'!$DE$6:$DG$61,3,FALSE),"")</f>
        <v/>
      </c>
      <c r="L318" s="45" t="str">
        <f>IFERROR(VLOOKUP(B318,'Pre-Summary'!$CU$6:$CW$36,3,FALSE),"")</f>
        <v/>
      </c>
      <c r="M318" s="45" t="str">
        <f>IFERROR(VLOOKUP(B318,'Pre-Summary'!$BW$6:$BY$58,2,FALSE),"")</f>
        <v/>
      </c>
      <c r="N318" s="45" t="str">
        <f>IFERROR(VLOOKUP(B318,'Pre-Summary'!$CD$6:$CF$64,2,FALSE),"")</f>
        <v/>
      </c>
      <c r="O318" s="99">
        <f>IFERROR(VLOOKUP(B318,'Pre-Summary'!$BO$6:$BQ$48,3, FALSE),O317)</f>
        <v>1.0915248032216731</v>
      </c>
      <c r="P318" s="99">
        <f>IFERROR(VLOOKUP(B318,'Pre-Summary'!$BS$6:$BU$35,3,FALSE),P317)</f>
        <v>0.25</v>
      </c>
      <c r="Q318" s="54">
        <f t="shared" si="12"/>
        <v>4.3660992128866924</v>
      </c>
      <c r="R318" s="53">
        <f>IFERROR(VLOOKUP(B318,'Pre-Summary'!$BG$6:$BM$44,7,FALSE),R319)</f>
        <v>2.7904161219319636E-2</v>
      </c>
      <c r="S318" s="53">
        <f>IFERROR(VLOOKUP(B318,'Pre-Summary'!$BG$6:$BM$44,6,FALSE),S319)</f>
        <v>3.3978715219895171E-2</v>
      </c>
      <c r="T318" s="45" t="str">
        <f>IFERROR(VLOOKUP(B318,'Pre-Summary'!$Y$6:$AC$83, 3,FALSE),"")</f>
        <v/>
      </c>
      <c r="U318" s="45" t="str">
        <f>IFERROR(VLOOKUP(B318,'Pre-Summary'!$Y$6:$AC$83, 4,FALSE),"")</f>
        <v/>
      </c>
      <c r="V318" t="str">
        <f>IFERROR(VLOOKUP(B318,'Pre-Summary'!$Y$6:$AC$83, 5,FALSE),"")</f>
        <v/>
      </c>
      <c r="W318" s="45" t="str">
        <f>IFERROR(VLOOKUP(B318,'Pre-Summary'!$Y$6:$AD$83,6,FALSE),"")</f>
        <v/>
      </c>
      <c r="X318" t="str">
        <f>IFERROR(VLOOKUP('Pre-Summary'!$DB$6:$DD$63,3,FALSE),"")</f>
        <v/>
      </c>
      <c r="Y318" t="str">
        <f>IFERROR(VLOOKUP(B318,'Pre-Summary'!$CR$6:$CT$36,3,FALSE),"")</f>
        <v/>
      </c>
      <c r="Z318" s="45" t="str">
        <f>IFERROR(VLOOKUP(B318,'Pre-Summary'!$BZ$6:$CB$63,2,FALSE),"")</f>
        <v/>
      </c>
      <c r="AA318" s="45" t="str">
        <f>IFERROR(VLOOKUP(B318,'Pre-Summary'!$CG$6:$CI$70,2,FALSE),"")</f>
        <v/>
      </c>
      <c r="AB318" s="99">
        <f>IFERROR(VLOOKUP(B318,'Pre-Summary'!$A$6:$P$178,9,FALSE),AB319)</f>
        <v>0.50070967456665783</v>
      </c>
      <c r="AC318" s="10">
        <f>IFERROR(VLOOKUP(Summary!B318,'Pre-Summary'!$A$6:$P$184,5, FALSE)/100,AC319)</f>
        <v>0.1357256667</v>
      </c>
      <c r="AD318" s="10">
        <f>IFERROR(VLOOKUP(Summary!B318,'Pre-Summary'!$A$6:$P$184,3, FALSE)/100,AD319)</f>
        <v>0.86153966670000004</v>
      </c>
      <c r="AE318" s="10">
        <f>IFERROR(VLOOKUP(Summary!B318,'Pre-Summary'!$A$6:$P$184,7, FALSE)/100,AE319)</f>
        <v>2.735E-3</v>
      </c>
      <c r="AF318" s="99">
        <f t="shared" si="13"/>
        <v>0.43138124613962386</v>
      </c>
      <c r="AG318" s="99">
        <f t="shared" si="14"/>
        <v>1.3694409599398093E-3</v>
      </c>
      <c r="AH318" s="10" t="str">
        <f>IFERROR(VLOOKUP(B318,'Pre-Summary'!$AZ$6:$BE$65,3,FALSE),"")</f>
        <v/>
      </c>
      <c r="AI318" s="10" t="str">
        <f>IFERROR(VLOOKUP(B318,'Pre-Summary'!$AZ$6:$BE$65,5,FALSE),"")</f>
        <v/>
      </c>
      <c r="AJ318" s="10" t="str">
        <f>IFERROR(VLOOKUP(B318,'Pre-Summary'!$AZ$6:$BE$65,4,FALSE),"")</f>
        <v/>
      </c>
      <c r="AK318" s="10" t="str">
        <f>IFERROR(VLOOKUP(B318,'Pre-Summary'!$AZ$6:$BE$65,6,FALSE),"")</f>
        <v/>
      </c>
      <c r="AL318" s="10" t="str">
        <f>IFERROR(VLOOKUP(B318,'Pre-Summary'!$BG$6:$BL$44,3,FALSE),"")</f>
        <v/>
      </c>
      <c r="AM318" s="10" t="str">
        <f>IFERROR(VLOOKUP(B318,'Pre-Summary'!$BG$6:$BL$44,4,FALSE),"")</f>
        <v/>
      </c>
    </row>
    <row r="319" spans="2:39" ht="15" customHeight="1" x14ac:dyDescent="0.3">
      <c r="B319">
        <v>31.6</v>
      </c>
      <c r="C319" t="str">
        <f>IFERROR(VLOOKUP(B319,'Pre-Summary'!$DI$6:$DM$23,4,FALSE),"")</f>
        <v/>
      </c>
      <c r="D319" s="10" t="str">
        <f>IFERROR(VLOOKUP(B319,'Pre-Summary'!$AT$6:$AX$14,5,FALSE),D318)</f>
        <v>DSMZ v1.5: Using DSMZ 120 with NaHCO3</v>
      </c>
      <c r="E319" s="10" t="str">
        <f>IFERROR(VLOOKUP(B319,'Pre-Summary'!$AT$6:$AX$15,4,FALSE),"")</f>
        <v/>
      </c>
      <c r="F319">
        <f>IFERROR(VLOOKUP(B319,'Pre-Summary'!$AL$6:$AQ$13,6,FALSE),F318)</f>
        <v>0</v>
      </c>
      <c r="G319" t="str">
        <f>IFERROR(VLOOKUP(B319,'Pre-Summary'!$AE$6:$AJ$85,3,FALSE),"")</f>
        <v/>
      </c>
      <c r="H319" t="str">
        <f>IFERROR(VLOOKUP(B319,'Pre-Summary'!$AE$6:$AJ$85,4,FALSE),"")</f>
        <v/>
      </c>
      <c r="I319" t="str">
        <f>IFERROR(VLOOKUP(B319,'Pre-Summary'!$AE$6:$AJ$85,5,FALSE),"")</f>
        <v/>
      </c>
      <c r="J319" s="45" t="str">
        <f>IFERROR(VLOOKUP(B319,'Pre-Summary'!$AE$6:$AJ$85,6, FALSE),"")</f>
        <v/>
      </c>
      <c r="K319" s="45" t="str">
        <f>IFERROR(VLOOKUP(B319,'Pre-Summary'!$DE$6:$DG$61,3,FALSE),"")</f>
        <v/>
      </c>
      <c r="L319" s="45" t="str">
        <f>IFERROR(VLOOKUP(B319,'Pre-Summary'!$CU$6:$CW$36,3,FALSE),"")</f>
        <v/>
      </c>
      <c r="M319" s="45" t="str">
        <f>IFERROR(VLOOKUP(B319,'Pre-Summary'!$BW$6:$BY$58,2,FALSE),"")</f>
        <v/>
      </c>
      <c r="N319" s="45" t="str">
        <f>IFERROR(VLOOKUP(B319,'Pre-Summary'!$CD$6:$CF$64,2,FALSE),"")</f>
        <v/>
      </c>
      <c r="O319" s="99">
        <f>IFERROR(VLOOKUP(B319,'Pre-Summary'!$BO$6:$BQ$48,3, FALSE),O318)</f>
        <v>1.0915248032216731</v>
      </c>
      <c r="P319" s="99">
        <f>IFERROR(VLOOKUP(B319,'Pre-Summary'!$BS$6:$BU$35,3,FALSE),P318)</f>
        <v>0.25</v>
      </c>
      <c r="Q319" s="54">
        <f t="shared" si="12"/>
        <v>4.3660992128866924</v>
      </c>
      <c r="R319" s="53">
        <f>IFERROR(VLOOKUP(B319,'Pre-Summary'!$BG$6:$BM$44,7,FALSE),R320)</f>
        <v>2.7904161219319636E-2</v>
      </c>
      <c r="S319" s="53">
        <f>IFERROR(VLOOKUP(B319,'Pre-Summary'!$BG$6:$BM$44,6,FALSE),S320)</f>
        <v>3.3978715219895171E-2</v>
      </c>
      <c r="T319" s="45" t="str">
        <f>IFERROR(VLOOKUP(B319,'Pre-Summary'!$Y$6:$AC$83, 3,FALSE),"")</f>
        <v/>
      </c>
      <c r="U319" s="45" t="str">
        <f>IFERROR(VLOOKUP(B319,'Pre-Summary'!$Y$6:$AC$83, 4,FALSE),"")</f>
        <v/>
      </c>
      <c r="V319" t="str">
        <f>IFERROR(VLOOKUP(B319,'Pre-Summary'!$Y$6:$AC$83, 5,FALSE),"")</f>
        <v/>
      </c>
      <c r="W319" s="45" t="str">
        <f>IFERROR(VLOOKUP(B319,'Pre-Summary'!$Y$6:$AD$83,6,FALSE),"")</f>
        <v/>
      </c>
      <c r="X319" t="str">
        <f>IFERROR(VLOOKUP('Pre-Summary'!$DB$6:$DD$63,3,FALSE),"")</f>
        <v/>
      </c>
      <c r="Y319" t="str">
        <f>IFERROR(VLOOKUP(B319,'Pre-Summary'!$CR$6:$CT$36,3,FALSE),"")</f>
        <v/>
      </c>
      <c r="Z319" s="45" t="str">
        <f>IFERROR(VLOOKUP(B319,'Pre-Summary'!$BZ$6:$CB$63,2,FALSE),"")</f>
        <v/>
      </c>
      <c r="AA319" s="45" t="str">
        <f>IFERROR(VLOOKUP(B319,'Pre-Summary'!$CG$6:$CI$70,2,FALSE),"")</f>
        <v/>
      </c>
      <c r="AB319" s="99">
        <f>IFERROR(VLOOKUP(B319,'Pre-Summary'!$A$6:$P$178,9,FALSE),AB320)</f>
        <v>0.50070967456665783</v>
      </c>
      <c r="AC319" s="10">
        <f>IFERROR(VLOOKUP(Summary!B319,'Pre-Summary'!$A$6:$P$184,5, FALSE)/100,AC320)</f>
        <v>0.1357256667</v>
      </c>
      <c r="AD319" s="10">
        <f>IFERROR(VLOOKUP(Summary!B319,'Pre-Summary'!$A$6:$P$184,3, FALSE)/100,AD320)</f>
        <v>0.86153966670000004</v>
      </c>
      <c r="AE319" s="10">
        <f>IFERROR(VLOOKUP(Summary!B319,'Pre-Summary'!$A$6:$P$184,7, FALSE)/100,AE320)</f>
        <v>2.735E-3</v>
      </c>
      <c r="AF319" s="99">
        <f t="shared" si="13"/>
        <v>0.43138124613962386</v>
      </c>
      <c r="AG319" s="99">
        <f t="shared" si="14"/>
        <v>1.3694409599398093E-3</v>
      </c>
      <c r="AH319" s="10" t="str">
        <f>IFERROR(VLOOKUP(B319,'Pre-Summary'!$AZ$6:$BE$65,3,FALSE),"")</f>
        <v/>
      </c>
      <c r="AI319" s="10" t="str">
        <f>IFERROR(VLOOKUP(B319,'Pre-Summary'!$AZ$6:$BE$65,5,FALSE),"")</f>
        <v/>
      </c>
      <c r="AJ319" s="10" t="str">
        <f>IFERROR(VLOOKUP(B319,'Pre-Summary'!$AZ$6:$BE$65,4,FALSE),"")</f>
        <v/>
      </c>
      <c r="AK319" s="10" t="str">
        <f>IFERROR(VLOOKUP(B319,'Pre-Summary'!$AZ$6:$BE$65,6,FALSE),"")</f>
        <v/>
      </c>
      <c r="AL319" s="10" t="str">
        <f>IFERROR(VLOOKUP(B319,'Pre-Summary'!$BG$6:$BL$44,3,FALSE),"")</f>
        <v/>
      </c>
      <c r="AM319" s="10" t="str">
        <f>IFERROR(VLOOKUP(B319,'Pre-Summary'!$BG$6:$BL$44,4,FALSE),"")</f>
        <v/>
      </c>
    </row>
    <row r="320" spans="2:39" ht="15" customHeight="1" x14ac:dyDescent="0.3">
      <c r="B320">
        <v>31.7</v>
      </c>
      <c r="C320" t="str">
        <f>IFERROR(VLOOKUP(B320,'Pre-Summary'!$DI$6:$DM$23,4,FALSE),"")</f>
        <v/>
      </c>
      <c r="D320" s="10" t="str">
        <f>IFERROR(VLOOKUP(B320,'Pre-Summary'!$AT$6:$AX$14,5,FALSE),D319)</f>
        <v>DSMZ v1.5: Using DSMZ 120 with NaHCO3</v>
      </c>
      <c r="E320" s="10" t="str">
        <f>IFERROR(VLOOKUP(B320,'Pre-Summary'!$AT$6:$AX$15,4,FALSE),"")</f>
        <v/>
      </c>
      <c r="F320">
        <f>IFERROR(VLOOKUP(B320,'Pre-Summary'!$AL$6:$AQ$13,6,FALSE),F319)</f>
        <v>0</v>
      </c>
      <c r="G320" t="str">
        <f>IFERROR(VLOOKUP(B320,'Pre-Summary'!$AE$6:$AJ$85,3,FALSE),"")</f>
        <v/>
      </c>
      <c r="H320" t="str">
        <f>IFERROR(VLOOKUP(B320,'Pre-Summary'!$AE$6:$AJ$85,4,FALSE),"")</f>
        <v/>
      </c>
      <c r="I320" t="str">
        <f>IFERROR(VLOOKUP(B320,'Pre-Summary'!$AE$6:$AJ$85,5,FALSE),"")</f>
        <v/>
      </c>
      <c r="J320" s="45" t="str">
        <f>IFERROR(VLOOKUP(B320,'Pre-Summary'!$AE$6:$AJ$85,6, FALSE),"")</f>
        <v/>
      </c>
      <c r="K320" s="45" t="str">
        <f>IFERROR(VLOOKUP(B320,'Pre-Summary'!$DE$6:$DG$61,3,FALSE),"")</f>
        <v/>
      </c>
      <c r="L320" s="45" t="str">
        <f>IFERROR(VLOOKUP(B320,'Pre-Summary'!$CU$6:$CW$36,3,FALSE),"")</f>
        <v/>
      </c>
      <c r="M320" s="45" t="str">
        <f>IFERROR(VLOOKUP(B320,'Pre-Summary'!$BW$6:$BY$58,2,FALSE),"")</f>
        <v/>
      </c>
      <c r="N320" s="45" t="str">
        <f>IFERROR(VLOOKUP(B320,'Pre-Summary'!$CD$6:$CF$64,2,FALSE),"")</f>
        <v/>
      </c>
      <c r="O320" s="99">
        <f>IFERROR(VLOOKUP(B320,'Pre-Summary'!$BO$6:$BQ$48,3, FALSE),O319)</f>
        <v>1.0915248032216731</v>
      </c>
      <c r="P320" s="99">
        <f>IFERROR(VLOOKUP(B320,'Pre-Summary'!$BS$6:$BU$35,3,FALSE),P319)</f>
        <v>0.25</v>
      </c>
      <c r="Q320" s="54">
        <f t="shared" si="12"/>
        <v>4.3660992128866924</v>
      </c>
      <c r="R320" s="53">
        <f>IFERROR(VLOOKUP(B320,'Pre-Summary'!$BG$6:$BM$44,7,FALSE),R321)</f>
        <v>2.7904161219319636E-2</v>
      </c>
      <c r="S320" s="53">
        <f>IFERROR(VLOOKUP(B320,'Pre-Summary'!$BG$6:$BM$44,6,FALSE),S321)</f>
        <v>3.3978715219895171E-2</v>
      </c>
      <c r="T320" s="45" t="str">
        <f>IFERROR(VLOOKUP(B320,'Pre-Summary'!$Y$6:$AC$83, 3,FALSE),"")</f>
        <v/>
      </c>
      <c r="U320" s="45" t="str">
        <f>IFERROR(VLOOKUP(B320,'Pre-Summary'!$Y$6:$AC$83, 4,FALSE),"")</f>
        <v/>
      </c>
      <c r="V320" t="str">
        <f>IFERROR(VLOOKUP(B320,'Pre-Summary'!$Y$6:$AC$83, 5,FALSE),"")</f>
        <v/>
      </c>
      <c r="W320" s="45" t="str">
        <f>IFERROR(VLOOKUP(B320,'Pre-Summary'!$Y$6:$AD$83,6,FALSE),"")</f>
        <v/>
      </c>
      <c r="X320" t="str">
        <f>IFERROR(VLOOKUP('Pre-Summary'!$DB$6:$DD$63,3,FALSE),"")</f>
        <v/>
      </c>
      <c r="Y320" t="str">
        <f>IFERROR(VLOOKUP(B320,'Pre-Summary'!$CR$6:$CT$36,3,FALSE),"")</f>
        <v/>
      </c>
      <c r="Z320" s="45" t="str">
        <f>IFERROR(VLOOKUP(B320,'Pre-Summary'!$BZ$6:$CB$63,2,FALSE),"")</f>
        <v/>
      </c>
      <c r="AA320" s="45" t="str">
        <f>IFERROR(VLOOKUP(B320,'Pre-Summary'!$CG$6:$CI$70,2,FALSE),"")</f>
        <v/>
      </c>
      <c r="AB320" s="99">
        <f>IFERROR(VLOOKUP(B320,'Pre-Summary'!$A$6:$P$178,9,FALSE),AB321)</f>
        <v>0.50070967456665783</v>
      </c>
      <c r="AC320" s="10">
        <f>IFERROR(VLOOKUP(Summary!B320,'Pre-Summary'!$A$6:$P$184,5, FALSE)/100,AC321)</f>
        <v>0.1357256667</v>
      </c>
      <c r="AD320" s="10">
        <f>IFERROR(VLOOKUP(Summary!B320,'Pre-Summary'!$A$6:$P$184,3, FALSE)/100,AD321)</f>
        <v>0.86153966670000004</v>
      </c>
      <c r="AE320" s="10">
        <f>IFERROR(VLOOKUP(Summary!B320,'Pre-Summary'!$A$6:$P$184,7, FALSE)/100,AE321)</f>
        <v>2.735E-3</v>
      </c>
      <c r="AF320" s="99">
        <f t="shared" si="13"/>
        <v>0.43138124613962386</v>
      </c>
      <c r="AG320" s="99">
        <f t="shared" si="14"/>
        <v>1.3694409599398093E-3</v>
      </c>
      <c r="AH320" s="10" t="str">
        <f>IFERROR(VLOOKUP(B320,'Pre-Summary'!$AZ$6:$BE$65,3,FALSE),"")</f>
        <v/>
      </c>
      <c r="AI320" s="10" t="str">
        <f>IFERROR(VLOOKUP(B320,'Pre-Summary'!$AZ$6:$BE$65,5,FALSE),"")</f>
        <v/>
      </c>
      <c r="AJ320" s="10" t="str">
        <f>IFERROR(VLOOKUP(B320,'Pre-Summary'!$AZ$6:$BE$65,4,FALSE),"")</f>
        <v/>
      </c>
      <c r="AK320" s="10" t="str">
        <f>IFERROR(VLOOKUP(B320,'Pre-Summary'!$AZ$6:$BE$65,6,FALSE),"")</f>
        <v/>
      </c>
      <c r="AL320" s="10" t="str">
        <f>IFERROR(VLOOKUP(B320,'Pre-Summary'!$BG$6:$BL$44,3,FALSE),"")</f>
        <v/>
      </c>
      <c r="AM320" s="10" t="str">
        <f>IFERROR(VLOOKUP(B320,'Pre-Summary'!$BG$6:$BL$44,4,FALSE),"")</f>
        <v/>
      </c>
    </row>
    <row r="321" spans="2:39" ht="15" customHeight="1" x14ac:dyDescent="0.3">
      <c r="B321">
        <v>31.8</v>
      </c>
      <c r="C321" t="str">
        <f>IFERROR(VLOOKUP(B321,'Pre-Summary'!$DI$6:$DM$23,4,FALSE),"")</f>
        <v/>
      </c>
      <c r="D321" s="10" t="str">
        <f>IFERROR(VLOOKUP(B321,'Pre-Summary'!$AT$6:$AX$14,5,FALSE),D320)</f>
        <v>DSMZ v1.5: Using DSMZ 120 with NaHCO3</v>
      </c>
      <c r="E321" s="10" t="str">
        <f>IFERROR(VLOOKUP(B321,'Pre-Summary'!$AT$6:$AX$15,4,FALSE),"")</f>
        <v/>
      </c>
      <c r="F321">
        <f>IFERROR(VLOOKUP(B321,'Pre-Summary'!$AL$6:$AQ$13,6,FALSE),F320)</f>
        <v>0</v>
      </c>
      <c r="G321" t="str">
        <f>IFERROR(VLOOKUP(B321,'Pre-Summary'!$AE$6:$AJ$85,3,FALSE),"")</f>
        <v/>
      </c>
      <c r="H321" t="str">
        <f>IFERROR(VLOOKUP(B321,'Pre-Summary'!$AE$6:$AJ$85,4,FALSE),"")</f>
        <v/>
      </c>
      <c r="I321" t="str">
        <f>IFERROR(VLOOKUP(B321,'Pre-Summary'!$AE$6:$AJ$85,5,FALSE),"")</f>
        <v/>
      </c>
      <c r="J321" s="45" t="str">
        <f>IFERROR(VLOOKUP(B321,'Pre-Summary'!$AE$6:$AJ$85,6, FALSE),"")</f>
        <v/>
      </c>
      <c r="K321" s="45" t="str">
        <f>IFERROR(VLOOKUP(B321,'Pre-Summary'!$DE$6:$DG$61,3,FALSE),"")</f>
        <v/>
      </c>
      <c r="L321" s="45" t="str">
        <f>IFERROR(VLOOKUP(B321,'Pre-Summary'!$CU$6:$CW$36,3,FALSE),"")</f>
        <v/>
      </c>
      <c r="M321" s="45" t="str">
        <f>IFERROR(VLOOKUP(B321,'Pre-Summary'!$BW$6:$BY$58,2,FALSE),"")</f>
        <v/>
      </c>
      <c r="N321" s="45" t="str">
        <f>IFERROR(VLOOKUP(B321,'Pre-Summary'!$CD$6:$CF$64,2,FALSE),"")</f>
        <v/>
      </c>
      <c r="O321" s="99">
        <f>IFERROR(VLOOKUP(B321,'Pre-Summary'!$BO$6:$BQ$48,3, FALSE),O320)</f>
        <v>1.0915248032216731</v>
      </c>
      <c r="P321" s="99">
        <f>IFERROR(VLOOKUP(B321,'Pre-Summary'!$BS$6:$BU$35,3,FALSE),P320)</f>
        <v>0.25</v>
      </c>
      <c r="Q321" s="54">
        <f t="shared" si="12"/>
        <v>4.3660992128866924</v>
      </c>
      <c r="R321" s="53">
        <f>IFERROR(VLOOKUP(B321,'Pre-Summary'!$BG$6:$BM$44,7,FALSE),R322)</f>
        <v>2.7904161219319636E-2</v>
      </c>
      <c r="S321" s="53">
        <f>IFERROR(VLOOKUP(B321,'Pre-Summary'!$BG$6:$BM$44,6,FALSE),S322)</f>
        <v>3.3978715219895171E-2</v>
      </c>
      <c r="T321" s="45" t="str">
        <f>IFERROR(VLOOKUP(B321,'Pre-Summary'!$Y$6:$AC$83, 3,FALSE),"")</f>
        <v/>
      </c>
      <c r="U321" s="45" t="str">
        <f>IFERROR(VLOOKUP(B321,'Pre-Summary'!$Y$6:$AC$83, 4,FALSE),"")</f>
        <v/>
      </c>
      <c r="V321" t="str">
        <f>IFERROR(VLOOKUP(B321,'Pre-Summary'!$Y$6:$AC$83, 5,FALSE),"")</f>
        <v/>
      </c>
      <c r="W321" s="45" t="str">
        <f>IFERROR(VLOOKUP(B321,'Pre-Summary'!$Y$6:$AD$83,6,FALSE),"")</f>
        <v/>
      </c>
      <c r="X321" t="str">
        <f>IFERROR(VLOOKUP('Pre-Summary'!$DB$6:$DD$63,3,FALSE),"")</f>
        <v/>
      </c>
      <c r="Y321" t="str">
        <f>IFERROR(VLOOKUP(B321,'Pre-Summary'!$CR$6:$CT$36,3,FALSE),"")</f>
        <v/>
      </c>
      <c r="Z321" s="45" t="str">
        <f>IFERROR(VLOOKUP(B321,'Pre-Summary'!$BZ$6:$CB$63,2,FALSE),"")</f>
        <v/>
      </c>
      <c r="AA321" s="45" t="str">
        <f>IFERROR(VLOOKUP(B321,'Pre-Summary'!$CG$6:$CI$70,2,FALSE),"")</f>
        <v/>
      </c>
      <c r="AB321" s="99">
        <f>IFERROR(VLOOKUP(B321,'Pre-Summary'!$A$6:$P$178,9,FALSE),AB322)</f>
        <v>0.50070967456665783</v>
      </c>
      <c r="AC321" s="10">
        <f>IFERROR(VLOOKUP(Summary!B321,'Pre-Summary'!$A$6:$P$184,5, FALSE)/100,AC322)</f>
        <v>0.1357256667</v>
      </c>
      <c r="AD321" s="10">
        <f>IFERROR(VLOOKUP(Summary!B321,'Pre-Summary'!$A$6:$P$184,3, FALSE)/100,AD322)</f>
        <v>0.86153966670000004</v>
      </c>
      <c r="AE321" s="10">
        <f>IFERROR(VLOOKUP(Summary!B321,'Pre-Summary'!$A$6:$P$184,7, FALSE)/100,AE322)</f>
        <v>2.735E-3</v>
      </c>
      <c r="AF321" s="99">
        <f t="shared" si="13"/>
        <v>0.43138124613962386</v>
      </c>
      <c r="AG321" s="99">
        <f t="shared" si="14"/>
        <v>1.3694409599398093E-3</v>
      </c>
      <c r="AH321" s="10" t="str">
        <f>IFERROR(VLOOKUP(B321,'Pre-Summary'!$AZ$6:$BE$65,3,FALSE),"")</f>
        <v/>
      </c>
      <c r="AI321" s="10" t="str">
        <f>IFERROR(VLOOKUP(B321,'Pre-Summary'!$AZ$6:$BE$65,5,FALSE),"")</f>
        <v/>
      </c>
      <c r="AJ321" s="10" t="str">
        <f>IFERROR(VLOOKUP(B321,'Pre-Summary'!$AZ$6:$BE$65,4,FALSE),"")</f>
        <v/>
      </c>
      <c r="AK321" s="10" t="str">
        <f>IFERROR(VLOOKUP(B321,'Pre-Summary'!$AZ$6:$BE$65,6,FALSE),"")</f>
        <v/>
      </c>
      <c r="AL321" s="10" t="str">
        <f>IFERROR(VLOOKUP(B321,'Pre-Summary'!$BG$6:$BL$44,3,FALSE),"")</f>
        <v/>
      </c>
      <c r="AM321" s="10" t="str">
        <f>IFERROR(VLOOKUP(B321,'Pre-Summary'!$BG$6:$BL$44,4,FALSE),"")</f>
        <v/>
      </c>
    </row>
    <row r="322" spans="2:39" ht="15" customHeight="1" x14ac:dyDescent="0.3">
      <c r="B322">
        <v>31.9</v>
      </c>
      <c r="C322" t="str">
        <f>IFERROR(VLOOKUP(B322,'Pre-Summary'!$DI$6:$DM$23,4,FALSE),"")</f>
        <v/>
      </c>
      <c r="D322" s="10" t="str">
        <f>IFERROR(VLOOKUP(B322,'Pre-Summary'!$AT$6:$AX$14,5,FALSE),D321)</f>
        <v>DSMZ v1.5: Using DSMZ 120 with NaHCO3</v>
      </c>
      <c r="E322" s="10" t="str">
        <f>IFERROR(VLOOKUP(B322,'Pre-Summary'!$AT$6:$AX$15,4,FALSE),"")</f>
        <v/>
      </c>
      <c r="F322">
        <f>IFERROR(VLOOKUP(B322,'Pre-Summary'!$AL$6:$AQ$13,6,FALSE),F321)</f>
        <v>0</v>
      </c>
      <c r="G322" t="str">
        <f>IFERROR(VLOOKUP(B322,'Pre-Summary'!$AE$6:$AJ$85,3,FALSE),"")</f>
        <v/>
      </c>
      <c r="H322" t="str">
        <f>IFERROR(VLOOKUP(B322,'Pre-Summary'!$AE$6:$AJ$85,4,FALSE),"")</f>
        <v/>
      </c>
      <c r="I322" t="str">
        <f>IFERROR(VLOOKUP(B322,'Pre-Summary'!$AE$6:$AJ$85,5,FALSE),"")</f>
        <v/>
      </c>
      <c r="J322" s="45" t="str">
        <f>IFERROR(VLOOKUP(B322,'Pre-Summary'!$AE$6:$AJ$85,6, FALSE),"")</f>
        <v/>
      </c>
      <c r="K322" s="45" t="str">
        <f>IFERROR(VLOOKUP(B322,'Pre-Summary'!$DE$6:$DG$61,3,FALSE),"")</f>
        <v/>
      </c>
      <c r="L322" s="45" t="str">
        <f>IFERROR(VLOOKUP(B322,'Pre-Summary'!$CU$6:$CW$36,3,FALSE),"")</f>
        <v/>
      </c>
      <c r="M322" s="45" t="str">
        <f>IFERROR(VLOOKUP(B322,'Pre-Summary'!$BW$6:$BY$58,2,FALSE),"")</f>
        <v/>
      </c>
      <c r="N322" s="45" t="str">
        <f>IFERROR(VLOOKUP(B322,'Pre-Summary'!$CD$6:$CF$64,2,FALSE),"")</f>
        <v/>
      </c>
      <c r="O322" s="99">
        <f>IFERROR(VLOOKUP(B322,'Pre-Summary'!$BO$6:$BQ$48,3, FALSE),O321)</f>
        <v>1.0915248032216731</v>
      </c>
      <c r="P322" s="99">
        <f>IFERROR(VLOOKUP(B322,'Pre-Summary'!$BS$6:$BU$35,3,FALSE),P321)</f>
        <v>0.25</v>
      </c>
      <c r="Q322" s="54">
        <f t="shared" si="12"/>
        <v>4.3660992128866924</v>
      </c>
      <c r="R322" s="53">
        <f>IFERROR(VLOOKUP(B322,'Pre-Summary'!$BG$6:$BM$44,7,FALSE),R323)</f>
        <v>2.7904161219319636E-2</v>
      </c>
      <c r="S322" s="53">
        <f>IFERROR(VLOOKUP(B322,'Pre-Summary'!$BG$6:$BM$44,6,FALSE),S323)</f>
        <v>3.3978715219895171E-2</v>
      </c>
      <c r="T322" s="45" t="str">
        <f>IFERROR(VLOOKUP(B322,'Pre-Summary'!$Y$6:$AC$83, 3,FALSE),"")</f>
        <v/>
      </c>
      <c r="U322" s="45" t="str">
        <f>IFERROR(VLOOKUP(B322,'Pre-Summary'!$Y$6:$AC$83, 4,FALSE),"")</f>
        <v/>
      </c>
      <c r="V322" t="str">
        <f>IFERROR(VLOOKUP(B322,'Pre-Summary'!$Y$6:$AC$83, 5,FALSE),"")</f>
        <v/>
      </c>
      <c r="W322" s="45" t="str">
        <f>IFERROR(VLOOKUP(B322,'Pre-Summary'!$Y$6:$AD$83,6,FALSE),"")</f>
        <v/>
      </c>
      <c r="X322" t="str">
        <f>IFERROR(VLOOKUP('Pre-Summary'!$DB$6:$DD$63,3,FALSE),"")</f>
        <v/>
      </c>
      <c r="Y322" t="str">
        <f>IFERROR(VLOOKUP(B322,'Pre-Summary'!$CR$6:$CT$36,3,FALSE),"")</f>
        <v/>
      </c>
      <c r="Z322" s="45" t="str">
        <f>IFERROR(VLOOKUP(B322,'Pre-Summary'!$BZ$6:$CB$63,2,FALSE),"")</f>
        <v/>
      </c>
      <c r="AA322" s="45" t="str">
        <f>IFERROR(VLOOKUP(B322,'Pre-Summary'!$CG$6:$CI$70,2,FALSE),"")</f>
        <v/>
      </c>
      <c r="AB322" s="99">
        <f>IFERROR(VLOOKUP(B322,'Pre-Summary'!$A$6:$P$178,9,FALSE),AB323)</f>
        <v>0.50070967456665783</v>
      </c>
      <c r="AC322" s="10">
        <f>IFERROR(VLOOKUP(Summary!B322,'Pre-Summary'!$A$6:$P$184,5, FALSE)/100,AC323)</f>
        <v>0.1357256667</v>
      </c>
      <c r="AD322" s="10">
        <f>IFERROR(VLOOKUP(Summary!B322,'Pre-Summary'!$A$6:$P$184,3, FALSE)/100,AD323)</f>
        <v>0.86153966670000004</v>
      </c>
      <c r="AE322" s="10">
        <f>IFERROR(VLOOKUP(Summary!B322,'Pre-Summary'!$A$6:$P$184,7, FALSE)/100,AE323)</f>
        <v>2.735E-3</v>
      </c>
      <c r="AF322" s="99">
        <f t="shared" si="13"/>
        <v>0.43138124613962386</v>
      </c>
      <c r="AG322" s="99">
        <f t="shared" si="14"/>
        <v>1.3694409599398093E-3</v>
      </c>
      <c r="AH322" s="10" t="str">
        <f>IFERROR(VLOOKUP(B322,'Pre-Summary'!$AZ$6:$BE$65,3,FALSE),"")</f>
        <v/>
      </c>
      <c r="AI322" s="10" t="str">
        <f>IFERROR(VLOOKUP(B322,'Pre-Summary'!$AZ$6:$BE$65,5,FALSE),"")</f>
        <v/>
      </c>
      <c r="AJ322" s="10" t="str">
        <f>IFERROR(VLOOKUP(B322,'Pre-Summary'!$AZ$6:$BE$65,4,FALSE),"")</f>
        <v/>
      </c>
      <c r="AK322" s="10" t="str">
        <f>IFERROR(VLOOKUP(B322,'Pre-Summary'!$AZ$6:$BE$65,6,FALSE),"")</f>
        <v/>
      </c>
      <c r="AL322" s="10" t="str">
        <f>IFERROR(VLOOKUP(B322,'Pre-Summary'!$BG$6:$BL$44,3,FALSE),"")</f>
        <v/>
      </c>
      <c r="AM322" s="10" t="str">
        <f>IFERROR(VLOOKUP(B322,'Pre-Summary'!$BG$6:$BL$44,4,FALSE),"")</f>
        <v/>
      </c>
    </row>
    <row r="323" spans="2:39" ht="15" customHeight="1" x14ac:dyDescent="0.3">
      <c r="B323">
        <v>32</v>
      </c>
      <c r="C323" t="str">
        <f>IFERROR(VLOOKUP(B323,'Pre-Summary'!$DI$6:$DM$23,4,FALSE),"")</f>
        <v/>
      </c>
      <c r="D323" s="10" t="str">
        <f>IFERROR(VLOOKUP(B323,'Pre-Summary'!$AT$6:$AX$14,5,FALSE),D322)</f>
        <v>DSMZ v1.5: Using DSMZ 120 with NaHCO3</v>
      </c>
      <c r="E323" s="10" t="str">
        <f>IFERROR(VLOOKUP(B323,'Pre-Summary'!$AT$6:$AX$15,4,FALSE),"")</f>
        <v/>
      </c>
      <c r="F323">
        <f>IFERROR(VLOOKUP(B323,'Pre-Summary'!$AL$6:$AQ$13,6,FALSE),F322)</f>
        <v>0</v>
      </c>
      <c r="G323" t="str">
        <f>IFERROR(VLOOKUP(B323,'Pre-Summary'!$AE$6:$AJ$85,3,FALSE),"")</f>
        <v/>
      </c>
      <c r="H323" t="str">
        <f>IFERROR(VLOOKUP(B323,'Pre-Summary'!$AE$6:$AJ$85,4,FALSE),"")</f>
        <v/>
      </c>
      <c r="I323" t="str">
        <f>IFERROR(VLOOKUP(B323,'Pre-Summary'!$AE$6:$AJ$85,5,FALSE),"")</f>
        <v/>
      </c>
      <c r="J323" s="45" t="str">
        <f>IFERROR(VLOOKUP(B323,'Pre-Summary'!$AE$6:$AJ$85,6, FALSE),"")</f>
        <v/>
      </c>
      <c r="K323" s="45" t="str">
        <f>IFERROR(VLOOKUP(B323,'Pre-Summary'!$DE$6:$DG$61,3,FALSE),"")</f>
        <v/>
      </c>
      <c r="L323" s="45" t="str">
        <f>IFERROR(VLOOKUP(B323,'Pre-Summary'!$CU$6:$CW$36,3,FALSE),"")</f>
        <v/>
      </c>
      <c r="M323" s="45" t="str">
        <f>IFERROR(VLOOKUP(B323,'Pre-Summary'!$BW$6:$BY$58,2,FALSE),"")</f>
        <v/>
      </c>
      <c r="N323" s="45" t="str">
        <f>IFERROR(VLOOKUP(B323,'Pre-Summary'!$CD$6:$CF$64,2,FALSE),"")</f>
        <v/>
      </c>
      <c r="O323" s="99">
        <f>IFERROR(VLOOKUP(B323,'Pre-Summary'!$BO$6:$BQ$48,3, FALSE),O322)</f>
        <v>1.0915248032216731</v>
      </c>
      <c r="P323" s="99">
        <f>IFERROR(VLOOKUP(B323,'Pre-Summary'!$BS$6:$BU$35,3,FALSE),P322)</f>
        <v>0.25</v>
      </c>
      <c r="Q323" s="54">
        <f t="shared" ref="Q323:Q386" si="15">O323/P323</f>
        <v>4.3660992128866924</v>
      </c>
      <c r="R323" s="53">
        <f>IFERROR(VLOOKUP(B323,'Pre-Summary'!$BG$6:$BM$44,7,FALSE),R324)</f>
        <v>2.7904161219319636E-2</v>
      </c>
      <c r="S323" s="53">
        <f>IFERROR(VLOOKUP(B323,'Pre-Summary'!$BG$6:$BM$44,6,FALSE),S324)</f>
        <v>3.3978715219895171E-2</v>
      </c>
      <c r="T323" s="45" t="str">
        <f>IFERROR(VLOOKUP(B323,'Pre-Summary'!$Y$6:$AC$83, 3,FALSE),"")</f>
        <v/>
      </c>
      <c r="U323" s="45" t="str">
        <f>IFERROR(VLOOKUP(B323,'Pre-Summary'!$Y$6:$AC$83, 4,FALSE),"")</f>
        <v/>
      </c>
      <c r="V323" t="str">
        <f>IFERROR(VLOOKUP(B323,'Pre-Summary'!$Y$6:$AC$83, 5,FALSE),"")</f>
        <v/>
      </c>
      <c r="W323" s="45" t="str">
        <f>IFERROR(VLOOKUP(B323,'Pre-Summary'!$Y$6:$AD$83,6,FALSE),"")</f>
        <v/>
      </c>
      <c r="X323" t="str">
        <f>IFERROR(VLOOKUP('Pre-Summary'!$DB$6:$DD$63,3,FALSE),"")</f>
        <v/>
      </c>
      <c r="Y323" t="str">
        <f>IFERROR(VLOOKUP(B323,'Pre-Summary'!$CR$6:$CT$36,3,FALSE),"")</f>
        <v/>
      </c>
      <c r="Z323" s="45" t="str">
        <f>IFERROR(VLOOKUP(B323,'Pre-Summary'!$BZ$6:$CB$63,2,FALSE),"")</f>
        <v/>
      </c>
      <c r="AA323" s="45" t="str">
        <f>IFERROR(VLOOKUP(B323,'Pre-Summary'!$CG$6:$CI$70,2,FALSE),"")</f>
        <v/>
      </c>
      <c r="AB323" s="99">
        <f>IFERROR(VLOOKUP(B323,'Pre-Summary'!$A$6:$P$178,9,FALSE),AB324)</f>
        <v>0.50070967456665783</v>
      </c>
      <c r="AC323" s="10">
        <f>IFERROR(VLOOKUP(Summary!B323,'Pre-Summary'!$A$6:$P$184,5, FALSE)/100,AC324)</f>
        <v>0.1357256667</v>
      </c>
      <c r="AD323" s="10">
        <f>IFERROR(VLOOKUP(Summary!B323,'Pre-Summary'!$A$6:$P$184,3, FALSE)/100,AD324)</f>
        <v>0.86153966670000004</v>
      </c>
      <c r="AE323" s="10">
        <f>IFERROR(VLOOKUP(Summary!B323,'Pre-Summary'!$A$6:$P$184,7, FALSE)/100,AE324)</f>
        <v>2.735E-3</v>
      </c>
      <c r="AF323" s="99">
        <f t="shared" ref="AF323:AF386" si="16">AD323*AB323</f>
        <v>0.43138124613962386</v>
      </c>
      <c r="AG323" s="99">
        <f t="shared" ref="AG323:AG386" si="17">AB323*AE323</f>
        <v>1.3694409599398093E-3</v>
      </c>
      <c r="AH323" s="10" t="str">
        <f>IFERROR(VLOOKUP(B323,'Pre-Summary'!$AZ$6:$BE$65,3,FALSE),"")</f>
        <v/>
      </c>
      <c r="AI323" s="10" t="str">
        <f>IFERROR(VLOOKUP(B323,'Pre-Summary'!$AZ$6:$BE$65,5,FALSE),"")</f>
        <v/>
      </c>
      <c r="AJ323" s="10" t="str">
        <f>IFERROR(VLOOKUP(B323,'Pre-Summary'!$AZ$6:$BE$65,4,FALSE),"")</f>
        <v/>
      </c>
      <c r="AK323" s="10" t="str">
        <f>IFERROR(VLOOKUP(B323,'Pre-Summary'!$AZ$6:$BE$65,6,FALSE),"")</f>
        <v/>
      </c>
      <c r="AL323" s="10" t="str">
        <f>IFERROR(VLOOKUP(B323,'Pre-Summary'!$BG$6:$BL$44,3,FALSE),"")</f>
        <v/>
      </c>
      <c r="AM323" s="10" t="str">
        <f>IFERROR(VLOOKUP(B323,'Pre-Summary'!$BG$6:$BL$44,4,FALSE),"")</f>
        <v/>
      </c>
    </row>
    <row r="324" spans="2:39" ht="15" customHeight="1" x14ac:dyDescent="0.3">
      <c r="B324">
        <v>32.1</v>
      </c>
      <c r="C324" t="str">
        <f>IFERROR(VLOOKUP(B324,'Pre-Summary'!$DI$6:$DM$23,4,FALSE),"")</f>
        <v/>
      </c>
      <c r="D324" s="10" t="str">
        <f>IFERROR(VLOOKUP(B324,'Pre-Summary'!$AT$6:$AX$14,5,FALSE),D323)</f>
        <v>DSMZ v1.5: Using DSMZ 120 with NaHCO3</v>
      </c>
      <c r="E324" s="10" t="str">
        <f>IFERROR(VLOOKUP(B324,'Pre-Summary'!$AT$6:$AX$15,4,FALSE),"")</f>
        <v/>
      </c>
      <c r="F324">
        <f>IFERROR(VLOOKUP(B324,'Pre-Summary'!$AL$6:$AQ$13,6,FALSE),F323)</f>
        <v>0</v>
      </c>
      <c r="G324" t="str">
        <f>IFERROR(VLOOKUP(B324,'Pre-Summary'!$AE$6:$AJ$85,3,FALSE),"")</f>
        <v/>
      </c>
      <c r="H324" t="str">
        <f>IFERROR(VLOOKUP(B324,'Pre-Summary'!$AE$6:$AJ$85,4,FALSE),"")</f>
        <v/>
      </c>
      <c r="I324" t="str">
        <f>IFERROR(VLOOKUP(B324,'Pre-Summary'!$AE$6:$AJ$85,5,FALSE),"")</f>
        <v/>
      </c>
      <c r="J324" s="45" t="str">
        <f>IFERROR(VLOOKUP(B324,'Pre-Summary'!$AE$6:$AJ$85,6, FALSE),"")</f>
        <v/>
      </c>
      <c r="K324" s="45" t="str">
        <f>IFERROR(VLOOKUP(B324,'Pre-Summary'!$DE$6:$DG$61,3,FALSE),"")</f>
        <v/>
      </c>
      <c r="L324" s="45" t="str">
        <f>IFERROR(VLOOKUP(B324,'Pre-Summary'!$CU$6:$CW$36,3,FALSE),"")</f>
        <v/>
      </c>
      <c r="M324" s="45" t="str">
        <f>IFERROR(VLOOKUP(B324,'Pre-Summary'!$BW$6:$BY$58,2,FALSE),"")</f>
        <v/>
      </c>
      <c r="N324" s="45" t="str">
        <f>IFERROR(VLOOKUP(B324,'Pre-Summary'!$CD$6:$CF$64,2,FALSE),"")</f>
        <v/>
      </c>
      <c r="O324" s="99">
        <f>IFERROR(VLOOKUP(B324,'Pre-Summary'!$BO$6:$BQ$48,3, FALSE),O323)</f>
        <v>1.0915248032216731</v>
      </c>
      <c r="P324" s="99">
        <f>IFERROR(VLOOKUP(B324,'Pre-Summary'!$BS$6:$BU$35,3,FALSE),P323)</f>
        <v>0.25</v>
      </c>
      <c r="Q324" s="54">
        <f t="shared" si="15"/>
        <v>4.3660992128866924</v>
      </c>
      <c r="R324" s="53">
        <f>IFERROR(VLOOKUP(B324,'Pre-Summary'!$BG$6:$BM$44,7,FALSE),R325)</f>
        <v>2.7904161219319636E-2</v>
      </c>
      <c r="S324" s="53">
        <f>IFERROR(VLOOKUP(B324,'Pre-Summary'!$BG$6:$BM$44,6,FALSE),S325)</f>
        <v>3.3978715219895171E-2</v>
      </c>
      <c r="T324" s="45" t="str">
        <f>IFERROR(VLOOKUP(B324,'Pre-Summary'!$Y$6:$AC$83, 3,FALSE),"")</f>
        <v/>
      </c>
      <c r="U324" s="45" t="str">
        <f>IFERROR(VLOOKUP(B324,'Pre-Summary'!$Y$6:$AC$83, 4,FALSE),"")</f>
        <v/>
      </c>
      <c r="V324" t="str">
        <f>IFERROR(VLOOKUP(B324,'Pre-Summary'!$Y$6:$AC$83, 5,FALSE),"")</f>
        <v/>
      </c>
      <c r="W324" s="45" t="str">
        <f>IFERROR(VLOOKUP(B324,'Pre-Summary'!$Y$6:$AD$83,6,FALSE),"")</f>
        <v/>
      </c>
      <c r="X324" t="str">
        <f>IFERROR(VLOOKUP('Pre-Summary'!$DB$6:$DD$63,3,FALSE),"")</f>
        <v/>
      </c>
      <c r="Y324" t="str">
        <f>IFERROR(VLOOKUP(B324,'Pre-Summary'!$CR$6:$CT$36,3,FALSE),"")</f>
        <v/>
      </c>
      <c r="Z324" s="45" t="str">
        <f>IFERROR(VLOOKUP(B324,'Pre-Summary'!$BZ$6:$CB$63,2,FALSE),"")</f>
        <v/>
      </c>
      <c r="AA324" s="45" t="str">
        <f>IFERROR(VLOOKUP(B324,'Pre-Summary'!$CG$6:$CI$70,2,FALSE),"")</f>
        <v/>
      </c>
      <c r="AB324" s="99">
        <f>IFERROR(VLOOKUP(B324,'Pre-Summary'!$A$6:$P$178,9,FALSE),AB325)</f>
        <v>0.50070967456665783</v>
      </c>
      <c r="AC324" s="10">
        <f>IFERROR(VLOOKUP(Summary!B324,'Pre-Summary'!$A$6:$P$184,5, FALSE)/100,AC325)</f>
        <v>0.1357256667</v>
      </c>
      <c r="AD324" s="10">
        <f>IFERROR(VLOOKUP(Summary!B324,'Pre-Summary'!$A$6:$P$184,3, FALSE)/100,AD325)</f>
        <v>0.86153966670000004</v>
      </c>
      <c r="AE324" s="10">
        <f>IFERROR(VLOOKUP(Summary!B324,'Pre-Summary'!$A$6:$P$184,7, FALSE)/100,AE325)</f>
        <v>2.735E-3</v>
      </c>
      <c r="AF324" s="99">
        <f t="shared" si="16"/>
        <v>0.43138124613962386</v>
      </c>
      <c r="AG324" s="99">
        <f t="shared" si="17"/>
        <v>1.3694409599398093E-3</v>
      </c>
      <c r="AH324" s="10" t="str">
        <f>IFERROR(VLOOKUP(B324,'Pre-Summary'!$AZ$6:$BE$65,3,FALSE),"")</f>
        <v/>
      </c>
      <c r="AI324" s="10" t="str">
        <f>IFERROR(VLOOKUP(B324,'Pre-Summary'!$AZ$6:$BE$65,5,FALSE),"")</f>
        <v/>
      </c>
      <c r="AJ324" s="10" t="str">
        <f>IFERROR(VLOOKUP(B324,'Pre-Summary'!$AZ$6:$BE$65,4,FALSE),"")</f>
        <v/>
      </c>
      <c r="AK324" s="10" t="str">
        <f>IFERROR(VLOOKUP(B324,'Pre-Summary'!$AZ$6:$BE$65,6,FALSE),"")</f>
        <v/>
      </c>
      <c r="AL324" s="10" t="str">
        <f>IFERROR(VLOOKUP(B324,'Pre-Summary'!$BG$6:$BL$44,3,FALSE),"")</f>
        <v/>
      </c>
      <c r="AM324" s="10" t="str">
        <f>IFERROR(VLOOKUP(B324,'Pre-Summary'!$BG$6:$BL$44,4,FALSE),"")</f>
        <v/>
      </c>
    </row>
    <row r="325" spans="2:39" ht="15" customHeight="1" x14ac:dyDescent="0.3">
      <c r="B325">
        <v>32.200000000000003</v>
      </c>
      <c r="C325" t="str">
        <f>IFERROR(VLOOKUP(B325,'Pre-Summary'!$DI$6:$DM$23,4,FALSE),"")</f>
        <v/>
      </c>
      <c r="D325" s="10" t="str">
        <f>IFERROR(VLOOKUP(B325,'Pre-Summary'!$AT$6:$AX$14,5,FALSE),D324)</f>
        <v>DSMZ v1.5: Using DSMZ 120 with NaHCO3</v>
      </c>
      <c r="E325" s="10" t="str">
        <f>IFERROR(VLOOKUP(B325,'Pre-Summary'!$AT$6:$AX$15,4,FALSE),"")</f>
        <v/>
      </c>
      <c r="F325">
        <f>IFERROR(VLOOKUP(B325,'Pre-Summary'!$AL$6:$AQ$13,6,FALSE),F324)</f>
        <v>0</v>
      </c>
      <c r="G325" t="str">
        <f>IFERROR(VLOOKUP(B325,'Pre-Summary'!$AE$6:$AJ$85,3,FALSE),"")</f>
        <v/>
      </c>
      <c r="H325" t="str">
        <f>IFERROR(VLOOKUP(B325,'Pre-Summary'!$AE$6:$AJ$85,4,FALSE),"")</f>
        <v/>
      </c>
      <c r="I325" t="str">
        <f>IFERROR(VLOOKUP(B325,'Pre-Summary'!$AE$6:$AJ$85,5,FALSE),"")</f>
        <v/>
      </c>
      <c r="J325" s="45" t="str">
        <f>IFERROR(VLOOKUP(B325,'Pre-Summary'!$AE$6:$AJ$85,6, FALSE),"")</f>
        <v/>
      </c>
      <c r="K325" s="45" t="str">
        <f>IFERROR(VLOOKUP(B325,'Pre-Summary'!$DE$6:$DG$61,3,FALSE),"")</f>
        <v/>
      </c>
      <c r="L325" s="45" t="str">
        <f>IFERROR(VLOOKUP(B325,'Pre-Summary'!$CU$6:$CW$36,3,FALSE),"")</f>
        <v/>
      </c>
      <c r="M325" s="45" t="str">
        <f>IFERROR(VLOOKUP(B325,'Pre-Summary'!$BW$6:$BY$58,2,FALSE),"")</f>
        <v/>
      </c>
      <c r="N325" s="45" t="str">
        <f>IFERROR(VLOOKUP(B325,'Pre-Summary'!$CD$6:$CF$64,2,FALSE),"")</f>
        <v/>
      </c>
      <c r="O325" s="99">
        <f>IFERROR(VLOOKUP(B325,'Pre-Summary'!$BO$6:$BQ$48,3, FALSE),O324)</f>
        <v>1.0915248032216731</v>
      </c>
      <c r="P325" s="99">
        <f>IFERROR(VLOOKUP(B325,'Pre-Summary'!$BS$6:$BU$35,3,FALSE),P324)</f>
        <v>0.25</v>
      </c>
      <c r="Q325" s="54">
        <f t="shared" si="15"/>
        <v>4.3660992128866924</v>
      </c>
      <c r="R325" s="53">
        <f>IFERROR(VLOOKUP(B325,'Pre-Summary'!$BG$6:$BM$44,7,FALSE),R326)</f>
        <v>2.7904161219319636E-2</v>
      </c>
      <c r="S325" s="53">
        <f>IFERROR(VLOOKUP(B325,'Pre-Summary'!$BG$6:$BM$44,6,FALSE),S326)</f>
        <v>3.3978715219895171E-2</v>
      </c>
      <c r="T325" s="45" t="str">
        <f>IFERROR(VLOOKUP(B325,'Pre-Summary'!$Y$6:$AC$83, 3,FALSE),"")</f>
        <v/>
      </c>
      <c r="U325" s="45" t="str">
        <f>IFERROR(VLOOKUP(B325,'Pre-Summary'!$Y$6:$AC$83, 4,FALSE),"")</f>
        <v/>
      </c>
      <c r="V325" t="str">
        <f>IFERROR(VLOOKUP(B325,'Pre-Summary'!$Y$6:$AC$83, 5,FALSE),"")</f>
        <v/>
      </c>
      <c r="W325" s="45" t="str">
        <f>IFERROR(VLOOKUP(B325,'Pre-Summary'!$Y$6:$AD$83,6,FALSE),"")</f>
        <v/>
      </c>
      <c r="X325" t="str">
        <f>IFERROR(VLOOKUP('Pre-Summary'!$DB$6:$DD$63,3,FALSE),"")</f>
        <v/>
      </c>
      <c r="Y325" t="str">
        <f>IFERROR(VLOOKUP(B325,'Pre-Summary'!$CR$6:$CT$36,3,FALSE),"")</f>
        <v/>
      </c>
      <c r="Z325" s="45" t="str">
        <f>IFERROR(VLOOKUP(B325,'Pre-Summary'!$BZ$6:$CB$63,2,FALSE),"")</f>
        <v/>
      </c>
      <c r="AA325" s="45" t="str">
        <f>IFERROR(VLOOKUP(B325,'Pre-Summary'!$CG$6:$CI$70,2,FALSE),"")</f>
        <v/>
      </c>
      <c r="AB325" s="99">
        <f>IFERROR(VLOOKUP(B325,'Pre-Summary'!$A$6:$P$178,9,FALSE),AB326)</f>
        <v>0.50070967456665783</v>
      </c>
      <c r="AC325" s="10">
        <f>IFERROR(VLOOKUP(Summary!B325,'Pre-Summary'!$A$6:$P$184,5, FALSE)/100,AC326)</f>
        <v>0.1357256667</v>
      </c>
      <c r="AD325" s="10">
        <f>IFERROR(VLOOKUP(Summary!B325,'Pre-Summary'!$A$6:$P$184,3, FALSE)/100,AD326)</f>
        <v>0.86153966670000004</v>
      </c>
      <c r="AE325" s="10">
        <f>IFERROR(VLOOKUP(Summary!B325,'Pre-Summary'!$A$6:$P$184,7, FALSE)/100,AE326)</f>
        <v>2.735E-3</v>
      </c>
      <c r="AF325" s="99">
        <f t="shared" si="16"/>
        <v>0.43138124613962386</v>
      </c>
      <c r="AG325" s="99">
        <f t="shared" si="17"/>
        <v>1.3694409599398093E-3</v>
      </c>
      <c r="AH325" s="10" t="str">
        <f>IFERROR(VLOOKUP(B325,'Pre-Summary'!$AZ$6:$BE$65,3,FALSE),"")</f>
        <v/>
      </c>
      <c r="AI325" s="10" t="str">
        <f>IFERROR(VLOOKUP(B325,'Pre-Summary'!$AZ$6:$BE$65,5,FALSE),"")</f>
        <v/>
      </c>
      <c r="AJ325" s="10" t="str">
        <f>IFERROR(VLOOKUP(B325,'Pre-Summary'!$AZ$6:$BE$65,4,FALSE),"")</f>
        <v/>
      </c>
      <c r="AK325" s="10" t="str">
        <f>IFERROR(VLOOKUP(B325,'Pre-Summary'!$AZ$6:$BE$65,6,FALSE),"")</f>
        <v/>
      </c>
      <c r="AL325" s="10" t="str">
        <f>IFERROR(VLOOKUP(B325,'Pre-Summary'!$BG$6:$BL$44,3,FALSE),"")</f>
        <v/>
      </c>
      <c r="AM325" s="10" t="str">
        <f>IFERROR(VLOOKUP(B325,'Pre-Summary'!$BG$6:$BL$44,4,FALSE),"")</f>
        <v/>
      </c>
    </row>
    <row r="326" spans="2:39" ht="15" customHeight="1" x14ac:dyDescent="0.3">
      <c r="B326">
        <v>32.299999999999997</v>
      </c>
      <c r="C326" t="str">
        <f>IFERROR(VLOOKUP(B326,'Pre-Summary'!$DI$6:$DM$23,4,FALSE),"")</f>
        <v/>
      </c>
      <c r="D326" s="10" t="str">
        <f>IFERROR(VLOOKUP(B326,'Pre-Summary'!$AT$6:$AX$14,5,FALSE),D325)</f>
        <v>DSMZ v1.5: Using DSMZ 120 with NaHCO3</v>
      </c>
      <c r="E326" s="10" t="str">
        <f>IFERROR(VLOOKUP(B326,'Pre-Summary'!$AT$6:$AX$15,4,FALSE),"")</f>
        <v/>
      </c>
      <c r="F326">
        <f>IFERROR(VLOOKUP(B326,'Pre-Summary'!$AL$6:$AQ$13,6,FALSE),F325)</f>
        <v>0</v>
      </c>
      <c r="G326" t="str">
        <f>IFERROR(VLOOKUP(B326,'Pre-Summary'!$AE$6:$AJ$85,3,FALSE),"")</f>
        <v/>
      </c>
      <c r="H326" t="str">
        <f>IFERROR(VLOOKUP(B326,'Pre-Summary'!$AE$6:$AJ$85,4,FALSE),"")</f>
        <v/>
      </c>
      <c r="I326" t="str">
        <f>IFERROR(VLOOKUP(B326,'Pre-Summary'!$AE$6:$AJ$85,5,FALSE),"")</f>
        <v/>
      </c>
      <c r="J326" s="45" t="str">
        <f>IFERROR(VLOOKUP(B326,'Pre-Summary'!$AE$6:$AJ$85,6, FALSE),"")</f>
        <v/>
      </c>
      <c r="K326" s="45" t="str">
        <f>IFERROR(VLOOKUP(B326,'Pre-Summary'!$DE$6:$DG$61,3,FALSE),"")</f>
        <v/>
      </c>
      <c r="L326" s="45" t="str">
        <f>IFERROR(VLOOKUP(B326,'Pre-Summary'!$CU$6:$CW$36,3,FALSE),"")</f>
        <v/>
      </c>
      <c r="M326" s="45" t="str">
        <f>IFERROR(VLOOKUP(B326,'Pre-Summary'!$BW$6:$BY$58,2,FALSE),"")</f>
        <v/>
      </c>
      <c r="N326" s="45" t="str">
        <f>IFERROR(VLOOKUP(B326,'Pre-Summary'!$CD$6:$CF$64,2,FALSE),"")</f>
        <v/>
      </c>
      <c r="O326" s="99">
        <f>IFERROR(VLOOKUP(B326,'Pre-Summary'!$BO$6:$BQ$48,3, FALSE),O325)</f>
        <v>1.0915248032216731</v>
      </c>
      <c r="P326" s="99">
        <f>IFERROR(VLOOKUP(B326,'Pre-Summary'!$BS$6:$BU$35,3,FALSE),P325)</f>
        <v>0.25</v>
      </c>
      <c r="Q326" s="54">
        <f t="shared" si="15"/>
        <v>4.3660992128866924</v>
      </c>
      <c r="R326" s="53">
        <f>IFERROR(VLOOKUP(B326,'Pre-Summary'!$BG$6:$BM$44,7,FALSE),R327)</f>
        <v>2.7904161219319636E-2</v>
      </c>
      <c r="S326" s="53">
        <f>IFERROR(VLOOKUP(B326,'Pre-Summary'!$BG$6:$BM$44,6,FALSE),S327)</f>
        <v>3.3978715219895171E-2</v>
      </c>
      <c r="T326" s="45" t="str">
        <f>IFERROR(VLOOKUP(B326,'Pre-Summary'!$Y$6:$AC$83, 3,FALSE),"")</f>
        <v/>
      </c>
      <c r="U326" s="45" t="str">
        <f>IFERROR(VLOOKUP(B326,'Pre-Summary'!$Y$6:$AC$83, 4,FALSE),"")</f>
        <v/>
      </c>
      <c r="V326" t="str">
        <f>IFERROR(VLOOKUP(B326,'Pre-Summary'!$Y$6:$AC$83, 5,FALSE),"")</f>
        <v/>
      </c>
      <c r="W326" s="45" t="str">
        <f>IFERROR(VLOOKUP(B326,'Pre-Summary'!$Y$6:$AD$83,6,FALSE),"")</f>
        <v/>
      </c>
      <c r="X326" t="str">
        <f>IFERROR(VLOOKUP('Pre-Summary'!$DB$6:$DD$63,3,FALSE),"")</f>
        <v/>
      </c>
      <c r="Y326" t="str">
        <f>IFERROR(VLOOKUP(B326,'Pre-Summary'!$CR$6:$CT$36,3,FALSE),"")</f>
        <v/>
      </c>
      <c r="Z326" s="45" t="str">
        <f>IFERROR(VLOOKUP(B326,'Pre-Summary'!$BZ$6:$CB$63,2,FALSE),"")</f>
        <v/>
      </c>
      <c r="AA326" s="45" t="str">
        <f>IFERROR(VLOOKUP(B326,'Pre-Summary'!$CG$6:$CI$70,2,FALSE),"")</f>
        <v/>
      </c>
      <c r="AB326" s="99">
        <f>IFERROR(VLOOKUP(B326,'Pre-Summary'!$A$6:$P$178,9,FALSE),AB327)</f>
        <v>0.50070967456665783</v>
      </c>
      <c r="AC326" s="10">
        <f>IFERROR(VLOOKUP(Summary!B326,'Pre-Summary'!$A$6:$P$184,5, FALSE)/100,AC327)</f>
        <v>0.1357256667</v>
      </c>
      <c r="AD326" s="10">
        <f>IFERROR(VLOOKUP(Summary!B326,'Pre-Summary'!$A$6:$P$184,3, FALSE)/100,AD327)</f>
        <v>0.86153966670000004</v>
      </c>
      <c r="AE326" s="10">
        <f>IFERROR(VLOOKUP(Summary!B326,'Pre-Summary'!$A$6:$P$184,7, FALSE)/100,AE327)</f>
        <v>2.735E-3</v>
      </c>
      <c r="AF326" s="99">
        <f t="shared" si="16"/>
        <v>0.43138124613962386</v>
      </c>
      <c r="AG326" s="99">
        <f t="shared" si="17"/>
        <v>1.3694409599398093E-3</v>
      </c>
      <c r="AH326" s="10" t="str">
        <f>IFERROR(VLOOKUP(B326,'Pre-Summary'!$AZ$6:$BE$65,3,FALSE),"")</f>
        <v/>
      </c>
      <c r="AI326" s="10" t="str">
        <f>IFERROR(VLOOKUP(B326,'Pre-Summary'!$AZ$6:$BE$65,5,FALSE),"")</f>
        <v/>
      </c>
      <c r="AJ326" s="10" t="str">
        <f>IFERROR(VLOOKUP(B326,'Pre-Summary'!$AZ$6:$BE$65,4,FALSE),"")</f>
        <v/>
      </c>
      <c r="AK326" s="10" t="str">
        <f>IFERROR(VLOOKUP(B326,'Pre-Summary'!$AZ$6:$BE$65,6,FALSE),"")</f>
        <v/>
      </c>
      <c r="AL326" s="10" t="str">
        <f>IFERROR(VLOOKUP(B326,'Pre-Summary'!$BG$6:$BL$44,3,FALSE),"")</f>
        <v/>
      </c>
      <c r="AM326" s="10" t="str">
        <f>IFERROR(VLOOKUP(B326,'Pre-Summary'!$BG$6:$BL$44,4,FALSE),"")</f>
        <v/>
      </c>
    </row>
    <row r="327" spans="2:39" ht="15" customHeight="1" x14ac:dyDescent="0.3">
      <c r="B327">
        <v>32.4</v>
      </c>
      <c r="C327" t="str">
        <f>IFERROR(VLOOKUP(B327,'Pre-Summary'!$DI$6:$DM$23,4,FALSE),"")</f>
        <v/>
      </c>
      <c r="D327" s="10" t="str">
        <f>IFERROR(VLOOKUP(B327,'Pre-Summary'!$AT$6:$AX$14,5,FALSE),D326)</f>
        <v>DSMZ v1.5: Using DSMZ 120 with NaHCO3</v>
      </c>
      <c r="E327" s="10" t="str">
        <f>IFERROR(VLOOKUP(B327,'Pre-Summary'!$AT$6:$AX$15,4,FALSE),"")</f>
        <v/>
      </c>
      <c r="F327">
        <f>IFERROR(VLOOKUP(B327,'Pre-Summary'!$AL$6:$AQ$13,6,FALSE),F326)</f>
        <v>0</v>
      </c>
      <c r="G327" t="str">
        <f>IFERROR(VLOOKUP(B327,'Pre-Summary'!$AE$6:$AJ$85,3,FALSE),"")</f>
        <v/>
      </c>
      <c r="H327" t="str">
        <f>IFERROR(VLOOKUP(B327,'Pre-Summary'!$AE$6:$AJ$85,4,FALSE),"")</f>
        <v/>
      </c>
      <c r="I327" t="str">
        <f>IFERROR(VLOOKUP(B327,'Pre-Summary'!$AE$6:$AJ$85,5,FALSE),"")</f>
        <v/>
      </c>
      <c r="J327" s="45" t="str">
        <f>IFERROR(VLOOKUP(B327,'Pre-Summary'!$AE$6:$AJ$85,6, FALSE),"")</f>
        <v/>
      </c>
      <c r="K327" s="45" t="str">
        <f>IFERROR(VLOOKUP(B327,'Pre-Summary'!$DE$6:$DG$61,3,FALSE),"")</f>
        <v/>
      </c>
      <c r="L327" s="45" t="str">
        <f>IFERROR(VLOOKUP(B327,'Pre-Summary'!$CU$6:$CW$36,3,FALSE),"")</f>
        <v/>
      </c>
      <c r="M327" s="45" t="str">
        <f>IFERROR(VLOOKUP(B327,'Pre-Summary'!$BW$6:$BY$58,2,FALSE),"")</f>
        <v/>
      </c>
      <c r="N327" s="45" t="str">
        <f>IFERROR(VLOOKUP(B327,'Pre-Summary'!$CD$6:$CF$64,2,FALSE),"")</f>
        <v/>
      </c>
      <c r="O327" s="99">
        <f>IFERROR(VLOOKUP(B327,'Pre-Summary'!$BO$6:$BQ$48,3, FALSE),O326)</f>
        <v>1.0915248032216731</v>
      </c>
      <c r="P327" s="99">
        <f>IFERROR(VLOOKUP(B327,'Pre-Summary'!$BS$6:$BU$35,3,FALSE),P326)</f>
        <v>0.25</v>
      </c>
      <c r="Q327" s="54">
        <f t="shared" si="15"/>
        <v>4.3660992128866924</v>
      </c>
      <c r="R327" s="53">
        <f>IFERROR(VLOOKUP(B327,'Pre-Summary'!$BG$6:$BM$44,7,FALSE),R328)</f>
        <v>2.7904161219319636E-2</v>
      </c>
      <c r="S327" s="53">
        <f>IFERROR(VLOOKUP(B327,'Pre-Summary'!$BG$6:$BM$44,6,FALSE),S328)</f>
        <v>3.3978715219895171E-2</v>
      </c>
      <c r="T327" s="45" t="str">
        <f>IFERROR(VLOOKUP(B327,'Pre-Summary'!$Y$6:$AC$83, 3,FALSE),"")</f>
        <v/>
      </c>
      <c r="U327" s="45" t="str">
        <f>IFERROR(VLOOKUP(B327,'Pre-Summary'!$Y$6:$AC$83, 4,FALSE),"")</f>
        <v/>
      </c>
      <c r="V327" t="str">
        <f>IFERROR(VLOOKUP(B327,'Pre-Summary'!$Y$6:$AC$83, 5,FALSE),"")</f>
        <v/>
      </c>
      <c r="W327" s="45" t="str">
        <f>IFERROR(VLOOKUP(B327,'Pre-Summary'!$Y$6:$AD$83,6,FALSE),"")</f>
        <v/>
      </c>
      <c r="X327" t="str">
        <f>IFERROR(VLOOKUP('Pre-Summary'!$DB$6:$DD$63,3,FALSE),"")</f>
        <v/>
      </c>
      <c r="Y327" t="str">
        <f>IFERROR(VLOOKUP(B327,'Pre-Summary'!$CR$6:$CT$36,3,FALSE),"")</f>
        <v/>
      </c>
      <c r="Z327" s="45" t="str">
        <f>IFERROR(VLOOKUP(B327,'Pre-Summary'!$BZ$6:$CB$63,2,FALSE),"")</f>
        <v/>
      </c>
      <c r="AA327" s="45" t="str">
        <f>IFERROR(VLOOKUP(B327,'Pre-Summary'!$CG$6:$CI$70,2,FALSE),"")</f>
        <v/>
      </c>
      <c r="AB327" s="99">
        <f>IFERROR(VLOOKUP(B327,'Pre-Summary'!$A$6:$P$178,9,FALSE),AB328)</f>
        <v>0.50070967456665783</v>
      </c>
      <c r="AC327" s="10">
        <f>IFERROR(VLOOKUP(Summary!B327,'Pre-Summary'!$A$6:$P$184,5, FALSE)/100,AC328)</f>
        <v>0.1357256667</v>
      </c>
      <c r="AD327" s="10">
        <f>IFERROR(VLOOKUP(Summary!B327,'Pre-Summary'!$A$6:$P$184,3, FALSE)/100,AD328)</f>
        <v>0.86153966670000004</v>
      </c>
      <c r="AE327" s="10">
        <f>IFERROR(VLOOKUP(Summary!B327,'Pre-Summary'!$A$6:$P$184,7, FALSE)/100,AE328)</f>
        <v>2.735E-3</v>
      </c>
      <c r="AF327" s="99">
        <f t="shared" si="16"/>
        <v>0.43138124613962386</v>
      </c>
      <c r="AG327" s="99">
        <f t="shared" si="17"/>
        <v>1.3694409599398093E-3</v>
      </c>
      <c r="AH327" s="10" t="str">
        <f>IFERROR(VLOOKUP(B327,'Pre-Summary'!$AZ$6:$BE$65,3,FALSE),"")</f>
        <v/>
      </c>
      <c r="AI327" s="10" t="str">
        <f>IFERROR(VLOOKUP(B327,'Pre-Summary'!$AZ$6:$BE$65,5,FALSE),"")</f>
        <v/>
      </c>
      <c r="AJ327" s="10" t="str">
        <f>IFERROR(VLOOKUP(B327,'Pre-Summary'!$AZ$6:$BE$65,4,FALSE),"")</f>
        <v/>
      </c>
      <c r="AK327" s="10" t="str">
        <f>IFERROR(VLOOKUP(B327,'Pre-Summary'!$AZ$6:$BE$65,6,FALSE),"")</f>
        <v/>
      </c>
      <c r="AL327" s="10" t="str">
        <f>IFERROR(VLOOKUP(B327,'Pre-Summary'!$BG$6:$BL$44,3,FALSE),"")</f>
        <v/>
      </c>
      <c r="AM327" s="10" t="str">
        <f>IFERROR(VLOOKUP(B327,'Pre-Summary'!$BG$6:$BL$44,4,FALSE),"")</f>
        <v/>
      </c>
    </row>
    <row r="328" spans="2:39" ht="15" customHeight="1" x14ac:dyDescent="0.3">
      <c r="B328">
        <v>32.5</v>
      </c>
      <c r="C328" t="str">
        <f>IFERROR(VLOOKUP(B328,'Pre-Summary'!$DI$6:$DM$23,4,FALSE),"")</f>
        <v/>
      </c>
      <c r="D328" s="10" t="str">
        <f>IFERROR(VLOOKUP(B328,'Pre-Summary'!$AT$6:$AX$14,5,FALSE),D327)</f>
        <v>DSMZ v1.5: Using DSMZ 120 with NaHCO3</v>
      </c>
      <c r="E328" s="10" t="str">
        <f>IFERROR(VLOOKUP(B328,'Pre-Summary'!$AT$6:$AX$15,4,FALSE),"")</f>
        <v/>
      </c>
      <c r="F328">
        <f>IFERROR(VLOOKUP(B328,'Pre-Summary'!$AL$6:$AQ$13,6,FALSE),F327)</f>
        <v>0</v>
      </c>
      <c r="G328" t="str">
        <f>IFERROR(VLOOKUP(B328,'Pre-Summary'!$AE$6:$AJ$85,3,FALSE),"")</f>
        <v/>
      </c>
      <c r="H328" t="str">
        <f>IFERROR(VLOOKUP(B328,'Pre-Summary'!$AE$6:$AJ$85,4,FALSE),"")</f>
        <v/>
      </c>
      <c r="I328" t="str">
        <f>IFERROR(VLOOKUP(B328,'Pre-Summary'!$AE$6:$AJ$85,5,FALSE),"")</f>
        <v/>
      </c>
      <c r="J328" s="45" t="str">
        <f>IFERROR(VLOOKUP(B328,'Pre-Summary'!$AE$6:$AJ$85,6, FALSE),"")</f>
        <v/>
      </c>
      <c r="K328" s="45" t="str">
        <f>IFERROR(VLOOKUP(B328,'Pre-Summary'!$DE$6:$DG$61,3,FALSE),"")</f>
        <v/>
      </c>
      <c r="L328" s="45" t="str">
        <f>IFERROR(VLOOKUP(B328,'Pre-Summary'!$CU$6:$CW$36,3,FALSE),"")</f>
        <v/>
      </c>
      <c r="M328" s="45" t="str">
        <f>IFERROR(VLOOKUP(B328,'Pre-Summary'!$BW$6:$BY$58,2,FALSE),"")</f>
        <v/>
      </c>
      <c r="N328" s="45" t="str">
        <f>IFERROR(VLOOKUP(B328,'Pre-Summary'!$CD$6:$CF$64,2,FALSE),"")</f>
        <v/>
      </c>
      <c r="O328" s="99">
        <f>IFERROR(VLOOKUP(B328,'Pre-Summary'!$BO$6:$BQ$48,3, FALSE),O327)</f>
        <v>1.0915248032216731</v>
      </c>
      <c r="P328" s="99">
        <f>IFERROR(VLOOKUP(B328,'Pre-Summary'!$BS$6:$BU$35,3,FALSE),P327)</f>
        <v>0.25</v>
      </c>
      <c r="Q328" s="54">
        <f t="shared" si="15"/>
        <v>4.3660992128866924</v>
      </c>
      <c r="R328" s="53">
        <f>IFERROR(VLOOKUP(B328,'Pre-Summary'!$BG$6:$BM$44,7,FALSE),R329)</f>
        <v>2.7904161219319636E-2</v>
      </c>
      <c r="S328" s="53">
        <f>IFERROR(VLOOKUP(B328,'Pre-Summary'!$BG$6:$BM$44,6,FALSE),S329)</f>
        <v>3.3978715219895171E-2</v>
      </c>
      <c r="T328" s="45" t="str">
        <f>IFERROR(VLOOKUP(B328,'Pre-Summary'!$Y$6:$AC$83, 3,FALSE),"")</f>
        <v/>
      </c>
      <c r="U328" s="45" t="str">
        <f>IFERROR(VLOOKUP(B328,'Pre-Summary'!$Y$6:$AC$83, 4,FALSE),"")</f>
        <v/>
      </c>
      <c r="V328" t="str">
        <f>IFERROR(VLOOKUP(B328,'Pre-Summary'!$Y$6:$AC$83, 5,FALSE),"")</f>
        <v/>
      </c>
      <c r="W328" s="45" t="str">
        <f>IFERROR(VLOOKUP(B328,'Pre-Summary'!$Y$6:$AD$83,6,FALSE),"")</f>
        <v/>
      </c>
      <c r="X328" t="str">
        <f>IFERROR(VLOOKUP('Pre-Summary'!$DB$6:$DD$63,3,FALSE),"")</f>
        <v/>
      </c>
      <c r="Y328" t="str">
        <f>IFERROR(VLOOKUP(B328,'Pre-Summary'!$CR$6:$CT$36,3,FALSE),"")</f>
        <v/>
      </c>
      <c r="Z328" s="45" t="str">
        <f>IFERROR(VLOOKUP(B328,'Pre-Summary'!$BZ$6:$CB$63,2,FALSE),"")</f>
        <v/>
      </c>
      <c r="AA328" s="45" t="str">
        <f>IFERROR(VLOOKUP(B328,'Pre-Summary'!$CG$6:$CI$70,2,FALSE),"")</f>
        <v/>
      </c>
      <c r="AB328" s="99">
        <f>IFERROR(VLOOKUP(B328,'Pre-Summary'!$A$6:$P$178,9,FALSE),AB329)</f>
        <v>0.50070967456665783</v>
      </c>
      <c r="AC328" s="10">
        <f>IFERROR(VLOOKUP(Summary!B328,'Pre-Summary'!$A$6:$P$184,5, FALSE)/100,AC329)</f>
        <v>0.1357256667</v>
      </c>
      <c r="AD328" s="10">
        <f>IFERROR(VLOOKUP(Summary!B328,'Pre-Summary'!$A$6:$P$184,3, FALSE)/100,AD329)</f>
        <v>0.86153966670000004</v>
      </c>
      <c r="AE328" s="10">
        <f>IFERROR(VLOOKUP(Summary!B328,'Pre-Summary'!$A$6:$P$184,7, FALSE)/100,AE329)</f>
        <v>2.735E-3</v>
      </c>
      <c r="AF328" s="99">
        <f t="shared" si="16"/>
        <v>0.43138124613962386</v>
      </c>
      <c r="AG328" s="99">
        <f t="shared" si="17"/>
        <v>1.3694409599398093E-3</v>
      </c>
      <c r="AH328" s="10" t="str">
        <f>IFERROR(VLOOKUP(B328,'Pre-Summary'!$AZ$6:$BE$65,3,FALSE),"")</f>
        <v/>
      </c>
      <c r="AI328" s="10" t="str">
        <f>IFERROR(VLOOKUP(B328,'Pre-Summary'!$AZ$6:$BE$65,5,FALSE),"")</f>
        <v/>
      </c>
      <c r="AJ328" s="10" t="str">
        <f>IFERROR(VLOOKUP(B328,'Pre-Summary'!$AZ$6:$BE$65,4,FALSE),"")</f>
        <v/>
      </c>
      <c r="AK328" s="10" t="str">
        <f>IFERROR(VLOOKUP(B328,'Pre-Summary'!$AZ$6:$BE$65,6,FALSE),"")</f>
        <v/>
      </c>
      <c r="AL328" s="10" t="str">
        <f>IFERROR(VLOOKUP(B328,'Pre-Summary'!$BG$6:$BL$44,3,FALSE),"")</f>
        <v/>
      </c>
      <c r="AM328" s="10" t="str">
        <f>IFERROR(VLOOKUP(B328,'Pre-Summary'!$BG$6:$BL$44,4,FALSE),"")</f>
        <v/>
      </c>
    </row>
    <row r="329" spans="2:39" ht="15" customHeight="1" x14ac:dyDescent="0.3">
      <c r="B329">
        <v>32.6</v>
      </c>
      <c r="C329" t="str">
        <f>IFERROR(VLOOKUP(B329,'Pre-Summary'!$DI$6:$DM$23,4,FALSE),"")</f>
        <v/>
      </c>
      <c r="D329" s="10" t="str">
        <f>IFERROR(VLOOKUP(B329,'Pre-Summary'!$AT$6:$AX$14,5,FALSE),D328)</f>
        <v>DSMZ v1.5: Using DSMZ 120 with NaHCO3</v>
      </c>
      <c r="E329" s="10" t="str">
        <f>IFERROR(VLOOKUP(B329,'Pre-Summary'!$AT$6:$AX$15,4,FALSE),"")</f>
        <v/>
      </c>
      <c r="F329">
        <f>IFERROR(VLOOKUP(B329,'Pre-Summary'!$AL$6:$AQ$13,6,FALSE),F328)</f>
        <v>0</v>
      </c>
      <c r="G329" t="str">
        <f>IFERROR(VLOOKUP(B329,'Pre-Summary'!$AE$6:$AJ$85,3,FALSE),"")</f>
        <v/>
      </c>
      <c r="H329" t="str">
        <f>IFERROR(VLOOKUP(B329,'Pre-Summary'!$AE$6:$AJ$85,4,FALSE),"")</f>
        <v/>
      </c>
      <c r="I329" t="str">
        <f>IFERROR(VLOOKUP(B329,'Pre-Summary'!$AE$6:$AJ$85,5,FALSE),"")</f>
        <v/>
      </c>
      <c r="J329" s="45" t="str">
        <f>IFERROR(VLOOKUP(B329,'Pre-Summary'!$AE$6:$AJ$85,6, FALSE),"")</f>
        <v/>
      </c>
      <c r="K329" s="45" t="str">
        <f>IFERROR(VLOOKUP(B329,'Pre-Summary'!$DE$6:$DG$61,3,FALSE),"")</f>
        <v/>
      </c>
      <c r="L329" s="45" t="str">
        <f>IFERROR(VLOOKUP(B329,'Pre-Summary'!$CU$6:$CW$36,3,FALSE),"")</f>
        <v/>
      </c>
      <c r="M329" s="45" t="str">
        <f>IFERROR(VLOOKUP(B329,'Pre-Summary'!$BW$6:$BY$58,2,FALSE),"")</f>
        <v/>
      </c>
      <c r="N329" s="45" t="str">
        <f>IFERROR(VLOOKUP(B329,'Pre-Summary'!$CD$6:$CF$64,2,FALSE),"")</f>
        <v/>
      </c>
      <c r="O329" s="99">
        <f>IFERROR(VLOOKUP(B329,'Pre-Summary'!$BO$6:$BQ$48,3, FALSE),O328)</f>
        <v>1.0915248032216731</v>
      </c>
      <c r="P329" s="99">
        <f>IFERROR(VLOOKUP(B329,'Pre-Summary'!$BS$6:$BU$35,3,FALSE),P328)</f>
        <v>0.25</v>
      </c>
      <c r="Q329" s="54">
        <f t="shared" si="15"/>
        <v>4.3660992128866924</v>
      </c>
      <c r="R329" s="53">
        <f>IFERROR(VLOOKUP(B329,'Pre-Summary'!$BG$6:$BM$44,7,FALSE),R330)</f>
        <v>2.7904161219319636E-2</v>
      </c>
      <c r="S329" s="53">
        <f>IFERROR(VLOOKUP(B329,'Pre-Summary'!$BG$6:$BM$44,6,FALSE),S330)</f>
        <v>3.3978715219895171E-2</v>
      </c>
      <c r="T329" s="45" t="str">
        <f>IFERROR(VLOOKUP(B329,'Pre-Summary'!$Y$6:$AC$83, 3,FALSE),"")</f>
        <v/>
      </c>
      <c r="U329" s="45" t="str">
        <f>IFERROR(VLOOKUP(B329,'Pre-Summary'!$Y$6:$AC$83, 4,FALSE),"")</f>
        <v/>
      </c>
      <c r="V329" t="str">
        <f>IFERROR(VLOOKUP(B329,'Pre-Summary'!$Y$6:$AC$83, 5,FALSE),"")</f>
        <v/>
      </c>
      <c r="W329" s="45" t="str">
        <f>IFERROR(VLOOKUP(B329,'Pre-Summary'!$Y$6:$AD$83,6,FALSE),"")</f>
        <v/>
      </c>
      <c r="X329" t="str">
        <f>IFERROR(VLOOKUP('Pre-Summary'!$DB$6:$DD$63,3,FALSE),"")</f>
        <v/>
      </c>
      <c r="Y329" t="str">
        <f>IFERROR(VLOOKUP(B329,'Pre-Summary'!$CR$6:$CT$36,3,FALSE),"")</f>
        <v/>
      </c>
      <c r="Z329" s="45" t="str">
        <f>IFERROR(VLOOKUP(B329,'Pre-Summary'!$BZ$6:$CB$63,2,FALSE),"")</f>
        <v/>
      </c>
      <c r="AA329" s="45" t="str">
        <f>IFERROR(VLOOKUP(B329,'Pre-Summary'!$CG$6:$CI$70,2,FALSE),"")</f>
        <v/>
      </c>
      <c r="AB329" s="99">
        <f>IFERROR(VLOOKUP(B329,'Pre-Summary'!$A$6:$P$178,9,FALSE),AB330)</f>
        <v>0.50070967456665783</v>
      </c>
      <c r="AC329" s="10">
        <f>IFERROR(VLOOKUP(Summary!B329,'Pre-Summary'!$A$6:$P$184,5, FALSE)/100,AC330)</f>
        <v>0.1357256667</v>
      </c>
      <c r="AD329" s="10">
        <f>IFERROR(VLOOKUP(Summary!B329,'Pre-Summary'!$A$6:$P$184,3, FALSE)/100,AD330)</f>
        <v>0.86153966670000004</v>
      </c>
      <c r="AE329" s="10">
        <f>IFERROR(VLOOKUP(Summary!B329,'Pre-Summary'!$A$6:$P$184,7, FALSE)/100,AE330)</f>
        <v>2.735E-3</v>
      </c>
      <c r="AF329" s="99">
        <f t="shared" si="16"/>
        <v>0.43138124613962386</v>
      </c>
      <c r="AG329" s="99">
        <f t="shared" si="17"/>
        <v>1.3694409599398093E-3</v>
      </c>
      <c r="AH329" s="10" t="str">
        <f>IFERROR(VLOOKUP(B329,'Pre-Summary'!$AZ$6:$BE$65,3,FALSE),"")</f>
        <v/>
      </c>
      <c r="AI329" s="10" t="str">
        <f>IFERROR(VLOOKUP(B329,'Pre-Summary'!$AZ$6:$BE$65,5,FALSE),"")</f>
        <v/>
      </c>
      <c r="AJ329" s="10" t="str">
        <f>IFERROR(VLOOKUP(B329,'Pre-Summary'!$AZ$6:$BE$65,4,FALSE),"")</f>
        <v/>
      </c>
      <c r="AK329" s="10" t="str">
        <f>IFERROR(VLOOKUP(B329,'Pre-Summary'!$AZ$6:$BE$65,6,FALSE),"")</f>
        <v/>
      </c>
      <c r="AL329" s="10" t="str">
        <f>IFERROR(VLOOKUP(B329,'Pre-Summary'!$BG$6:$BL$44,3,FALSE),"")</f>
        <v/>
      </c>
      <c r="AM329" s="10" t="str">
        <f>IFERROR(VLOOKUP(B329,'Pre-Summary'!$BG$6:$BL$44,4,FALSE),"")</f>
        <v/>
      </c>
    </row>
    <row r="330" spans="2:39" ht="15" customHeight="1" x14ac:dyDescent="0.3">
      <c r="B330">
        <v>32.700000000000003</v>
      </c>
      <c r="C330" t="str">
        <f>IFERROR(VLOOKUP(B330,'Pre-Summary'!$DI$6:$DM$23,4,FALSE),"")</f>
        <v/>
      </c>
      <c r="D330" s="10" t="str">
        <f>IFERROR(VLOOKUP(B330,'Pre-Summary'!$AT$6:$AX$14,5,FALSE),D329)</f>
        <v>DSMZ v1.5: Using DSMZ 120 with NaHCO3</v>
      </c>
      <c r="E330" s="10" t="str">
        <f>IFERROR(VLOOKUP(B330,'Pre-Summary'!$AT$6:$AX$15,4,FALSE),"")</f>
        <v/>
      </c>
      <c r="F330">
        <f>IFERROR(VLOOKUP(B330,'Pre-Summary'!$AL$6:$AQ$13,6,FALSE),F329)</f>
        <v>0</v>
      </c>
      <c r="G330" t="str">
        <f>IFERROR(VLOOKUP(B330,'Pre-Summary'!$AE$6:$AJ$85,3,FALSE),"")</f>
        <v/>
      </c>
      <c r="H330" t="str">
        <f>IFERROR(VLOOKUP(B330,'Pre-Summary'!$AE$6:$AJ$85,4,FALSE),"")</f>
        <v/>
      </c>
      <c r="I330" t="str">
        <f>IFERROR(VLOOKUP(B330,'Pre-Summary'!$AE$6:$AJ$85,5,FALSE),"")</f>
        <v/>
      </c>
      <c r="J330" s="45" t="str">
        <f>IFERROR(VLOOKUP(B330,'Pre-Summary'!$AE$6:$AJ$85,6, FALSE),"")</f>
        <v/>
      </c>
      <c r="K330" s="45" t="str">
        <f>IFERROR(VLOOKUP(B330,'Pre-Summary'!$DE$6:$DG$61,3,FALSE),"")</f>
        <v/>
      </c>
      <c r="L330" s="45" t="str">
        <f>IFERROR(VLOOKUP(B330,'Pre-Summary'!$CU$6:$CW$36,3,FALSE),"")</f>
        <v/>
      </c>
      <c r="M330" s="45" t="str">
        <f>IFERROR(VLOOKUP(B330,'Pre-Summary'!$BW$6:$BY$58,2,FALSE),"")</f>
        <v/>
      </c>
      <c r="N330" s="45" t="str">
        <f>IFERROR(VLOOKUP(B330,'Pre-Summary'!$CD$6:$CF$64,2,FALSE),"")</f>
        <v/>
      </c>
      <c r="O330" s="99">
        <f>IFERROR(VLOOKUP(B330,'Pre-Summary'!$BO$6:$BQ$48,3, FALSE),O329)</f>
        <v>1.0915248032216731</v>
      </c>
      <c r="P330" s="99">
        <f>IFERROR(VLOOKUP(B330,'Pre-Summary'!$BS$6:$BU$35,3,FALSE),P329)</f>
        <v>0.25</v>
      </c>
      <c r="Q330" s="54">
        <f t="shared" si="15"/>
        <v>4.3660992128866924</v>
      </c>
      <c r="R330" s="53">
        <f>IFERROR(VLOOKUP(B330,'Pre-Summary'!$BG$6:$BM$44,7,FALSE),R331)</f>
        <v>2.7904161219319636E-2</v>
      </c>
      <c r="S330" s="53">
        <f>IFERROR(VLOOKUP(B330,'Pre-Summary'!$BG$6:$BM$44,6,FALSE),S331)</f>
        <v>3.3978715219895171E-2</v>
      </c>
      <c r="T330" s="45" t="str">
        <f>IFERROR(VLOOKUP(B330,'Pre-Summary'!$Y$6:$AC$83, 3,FALSE),"")</f>
        <v/>
      </c>
      <c r="U330" s="45" t="str">
        <f>IFERROR(VLOOKUP(B330,'Pre-Summary'!$Y$6:$AC$83, 4,FALSE),"")</f>
        <v/>
      </c>
      <c r="V330" t="str">
        <f>IFERROR(VLOOKUP(B330,'Pre-Summary'!$Y$6:$AC$83, 5,FALSE),"")</f>
        <v/>
      </c>
      <c r="W330" s="45" t="str">
        <f>IFERROR(VLOOKUP(B330,'Pre-Summary'!$Y$6:$AD$83,6,FALSE),"")</f>
        <v/>
      </c>
      <c r="X330" t="str">
        <f>IFERROR(VLOOKUP('Pre-Summary'!$DB$6:$DD$63,3,FALSE),"")</f>
        <v/>
      </c>
      <c r="Y330" t="str">
        <f>IFERROR(VLOOKUP(B330,'Pre-Summary'!$CR$6:$CT$36,3,FALSE),"")</f>
        <v/>
      </c>
      <c r="Z330" s="45" t="str">
        <f>IFERROR(VLOOKUP(B330,'Pre-Summary'!$BZ$6:$CB$63,2,FALSE),"")</f>
        <v/>
      </c>
      <c r="AA330" s="45" t="str">
        <f>IFERROR(VLOOKUP(B330,'Pre-Summary'!$CG$6:$CI$70,2,FALSE),"")</f>
        <v/>
      </c>
      <c r="AB330" s="99">
        <f>IFERROR(VLOOKUP(B330,'Pre-Summary'!$A$6:$P$178,9,FALSE),AB331)</f>
        <v>0.50070967456665783</v>
      </c>
      <c r="AC330" s="10">
        <f>IFERROR(VLOOKUP(Summary!B330,'Pre-Summary'!$A$6:$P$184,5, FALSE)/100,AC331)</f>
        <v>0.1357256667</v>
      </c>
      <c r="AD330" s="10">
        <f>IFERROR(VLOOKUP(Summary!B330,'Pre-Summary'!$A$6:$P$184,3, FALSE)/100,AD331)</f>
        <v>0.86153966670000004</v>
      </c>
      <c r="AE330" s="10">
        <f>IFERROR(VLOOKUP(Summary!B330,'Pre-Summary'!$A$6:$P$184,7, FALSE)/100,AE331)</f>
        <v>2.735E-3</v>
      </c>
      <c r="AF330" s="99">
        <f t="shared" si="16"/>
        <v>0.43138124613962386</v>
      </c>
      <c r="AG330" s="99">
        <f t="shared" si="17"/>
        <v>1.3694409599398093E-3</v>
      </c>
      <c r="AH330" s="10" t="str">
        <f>IFERROR(VLOOKUP(B330,'Pre-Summary'!$AZ$6:$BE$65,3,FALSE),"")</f>
        <v/>
      </c>
      <c r="AI330" s="10" t="str">
        <f>IFERROR(VLOOKUP(B330,'Pre-Summary'!$AZ$6:$BE$65,5,FALSE),"")</f>
        <v/>
      </c>
      <c r="AJ330" s="10" t="str">
        <f>IFERROR(VLOOKUP(B330,'Pre-Summary'!$AZ$6:$BE$65,4,FALSE),"")</f>
        <v/>
      </c>
      <c r="AK330" s="10" t="str">
        <f>IFERROR(VLOOKUP(B330,'Pre-Summary'!$AZ$6:$BE$65,6,FALSE),"")</f>
        <v/>
      </c>
      <c r="AL330" s="10" t="str">
        <f>IFERROR(VLOOKUP(B330,'Pre-Summary'!$BG$6:$BL$44,3,FALSE),"")</f>
        <v/>
      </c>
      <c r="AM330" s="10" t="str">
        <f>IFERROR(VLOOKUP(B330,'Pre-Summary'!$BG$6:$BL$44,4,FALSE),"")</f>
        <v/>
      </c>
    </row>
    <row r="331" spans="2:39" ht="15" customHeight="1" x14ac:dyDescent="0.3">
      <c r="B331">
        <v>32.799999999999997</v>
      </c>
      <c r="C331" t="str">
        <f>IFERROR(VLOOKUP(B331,'Pre-Summary'!$DI$6:$DM$23,4,FALSE),"")</f>
        <v/>
      </c>
      <c r="D331" s="10" t="str">
        <f>IFERROR(VLOOKUP(B331,'Pre-Summary'!$AT$6:$AX$14,5,FALSE),D330)</f>
        <v>DSMZ v1.5: Using DSMZ 120 with NaHCO3</v>
      </c>
      <c r="E331" s="10" t="str">
        <f>IFERROR(VLOOKUP(B331,'Pre-Summary'!$AT$6:$AX$15,4,FALSE),"")</f>
        <v/>
      </c>
      <c r="F331">
        <f>IFERROR(VLOOKUP(B331,'Pre-Summary'!$AL$6:$AQ$13,6,FALSE),F330)</f>
        <v>0</v>
      </c>
      <c r="G331" t="str">
        <f>IFERROR(VLOOKUP(B331,'Pre-Summary'!$AE$6:$AJ$85,3,FALSE),"")</f>
        <v/>
      </c>
      <c r="H331" t="str">
        <f>IFERROR(VLOOKUP(B331,'Pre-Summary'!$AE$6:$AJ$85,4,FALSE),"")</f>
        <v/>
      </c>
      <c r="I331" t="str">
        <f>IFERROR(VLOOKUP(B331,'Pre-Summary'!$AE$6:$AJ$85,5,FALSE),"")</f>
        <v/>
      </c>
      <c r="J331" s="45" t="str">
        <f>IFERROR(VLOOKUP(B331,'Pre-Summary'!$AE$6:$AJ$85,6, FALSE),"")</f>
        <v/>
      </c>
      <c r="K331" s="45" t="str">
        <f>IFERROR(VLOOKUP(B331,'Pre-Summary'!$DE$6:$DG$61,3,FALSE),"")</f>
        <v/>
      </c>
      <c r="L331" s="45" t="str">
        <f>IFERROR(VLOOKUP(B331,'Pre-Summary'!$CU$6:$CW$36,3,FALSE),"")</f>
        <v/>
      </c>
      <c r="M331" s="45" t="str">
        <f>IFERROR(VLOOKUP(B331,'Pre-Summary'!$BW$6:$BY$58,2,FALSE),"")</f>
        <v/>
      </c>
      <c r="N331" s="45" t="str">
        <f>IFERROR(VLOOKUP(B331,'Pre-Summary'!$CD$6:$CF$64,2,FALSE),"")</f>
        <v/>
      </c>
      <c r="O331" s="99">
        <f>IFERROR(VLOOKUP(B331,'Pre-Summary'!$BO$6:$BQ$48,3, FALSE),O330)</f>
        <v>1.0915248032216731</v>
      </c>
      <c r="P331" s="99">
        <f>IFERROR(VLOOKUP(B331,'Pre-Summary'!$BS$6:$BU$35,3,FALSE),P330)</f>
        <v>0.25</v>
      </c>
      <c r="Q331" s="54">
        <f t="shared" si="15"/>
        <v>4.3660992128866924</v>
      </c>
      <c r="R331" s="53">
        <f>IFERROR(VLOOKUP(B331,'Pre-Summary'!$BG$6:$BM$44,7,FALSE),R332)</f>
        <v>2.7904161219319636E-2</v>
      </c>
      <c r="S331" s="53">
        <f>IFERROR(VLOOKUP(B331,'Pre-Summary'!$BG$6:$BM$44,6,FALSE),S332)</f>
        <v>3.3978715219895171E-2</v>
      </c>
      <c r="T331" s="45" t="str">
        <f>IFERROR(VLOOKUP(B331,'Pre-Summary'!$Y$6:$AC$83, 3,FALSE),"")</f>
        <v/>
      </c>
      <c r="U331" s="45" t="str">
        <f>IFERROR(VLOOKUP(B331,'Pre-Summary'!$Y$6:$AC$83, 4,FALSE),"")</f>
        <v/>
      </c>
      <c r="V331" t="str">
        <f>IFERROR(VLOOKUP(B331,'Pre-Summary'!$Y$6:$AC$83, 5,FALSE),"")</f>
        <v/>
      </c>
      <c r="W331" s="45" t="str">
        <f>IFERROR(VLOOKUP(B331,'Pre-Summary'!$Y$6:$AD$83,6,FALSE),"")</f>
        <v/>
      </c>
      <c r="X331" t="str">
        <f>IFERROR(VLOOKUP('Pre-Summary'!$DB$6:$DD$63,3,FALSE),"")</f>
        <v/>
      </c>
      <c r="Y331" t="str">
        <f>IFERROR(VLOOKUP(B331,'Pre-Summary'!$CR$6:$CT$36,3,FALSE),"")</f>
        <v/>
      </c>
      <c r="Z331" s="45" t="str">
        <f>IFERROR(VLOOKUP(B331,'Pre-Summary'!$BZ$6:$CB$63,2,FALSE),"")</f>
        <v/>
      </c>
      <c r="AA331" s="45" t="str">
        <f>IFERROR(VLOOKUP(B331,'Pre-Summary'!$CG$6:$CI$70,2,FALSE),"")</f>
        <v/>
      </c>
      <c r="AB331" s="99">
        <f>IFERROR(VLOOKUP(B331,'Pre-Summary'!$A$6:$P$178,9,FALSE),AB332)</f>
        <v>0.50070967456665783</v>
      </c>
      <c r="AC331" s="10">
        <f>IFERROR(VLOOKUP(Summary!B331,'Pre-Summary'!$A$6:$P$184,5, FALSE)/100,AC332)</f>
        <v>0.1357256667</v>
      </c>
      <c r="AD331" s="10">
        <f>IFERROR(VLOOKUP(Summary!B331,'Pre-Summary'!$A$6:$P$184,3, FALSE)/100,AD332)</f>
        <v>0.86153966670000004</v>
      </c>
      <c r="AE331" s="10">
        <f>IFERROR(VLOOKUP(Summary!B331,'Pre-Summary'!$A$6:$P$184,7, FALSE)/100,AE332)</f>
        <v>2.735E-3</v>
      </c>
      <c r="AF331" s="99">
        <f t="shared" si="16"/>
        <v>0.43138124613962386</v>
      </c>
      <c r="AG331" s="99">
        <f t="shared" si="17"/>
        <v>1.3694409599398093E-3</v>
      </c>
      <c r="AH331" s="10" t="str">
        <f>IFERROR(VLOOKUP(B331,'Pre-Summary'!$AZ$6:$BE$65,3,FALSE),"")</f>
        <v/>
      </c>
      <c r="AI331" s="10" t="str">
        <f>IFERROR(VLOOKUP(B331,'Pre-Summary'!$AZ$6:$BE$65,5,FALSE),"")</f>
        <v/>
      </c>
      <c r="AJ331" s="10" t="str">
        <f>IFERROR(VLOOKUP(B331,'Pre-Summary'!$AZ$6:$BE$65,4,FALSE),"")</f>
        <v/>
      </c>
      <c r="AK331" s="10" t="str">
        <f>IFERROR(VLOOKUP(B331,'Pre-Summary'!$AZ$6:$BE$65,6,FALSE),"")</f>
        <v/>
      </c>
      <c r="AL331" s="10" t="str">
        <f>IFERROR(VLOOKUP(B331,'Pre-Summary'!$BG$6:$BL$44,3,FALSE),"")</f>
        <v/>
      </c>
      <c r="AM331" s="10" t="str">
        <f>IFERROR(VLOOKUP(B331,'Pre-Summary'!$BG$6:$BL$44,4,FALSE),"")</f>
        <v/>
      </c>
    </row>
    <row r="332" spans="2:39" ht="15" customHeight="1" x14ac:dyDescent="0.3">
      <c r="B332">
        <v>32.9</v>
      </c>
      <c r="C332" t="str">
        <f>IFERROR(VLOOKUP(B332,'Pre-Summary'!$DI$6:$DM$23,4,FALSE),"")</f>
        <v/>
      </c>
      <c r="D332" s="10" t="str">
        <f>IFERROR(VLOOKUP(B332,'Pre-Summary'!$AT$6:$AX$14,5,FALSE),D331)</f>
        <v>DSMZ v1.5: Using DSMZ 120 with NaHCO3</v>
      </c>
      <c r="E332" s="10" t="str">
        <f>IFERROR(VLOOKUP(B332,'Pre-Summary'!$AT$6:$AX$15,4,FALSE),"")</f>
        <v/>
      </c>
      <c r="F332">
        <f>IFERROR(VLOOKUP(B332,'Pre-Summary'!$AL$6:$AQ$13,6,FALSE),F331)</f>
        <v>0</v>
      </c>
      <c r="G332" t="str">
        <f>IFERROR(VLOOKUP(B332,'Pre-Summary'!$AE$6:$AJ$85,3,FALSE),"")</f>
        <v/>
      </c>
      <c r="H332" t="str">
        <f>IFERROR(VLOOKUP(B332,'Pre-Summary'!$AE$6:$AJ$85,4,FALSE),"")</f>
        <v/>
      </c>
      <c r="I332" t="str">
        <f>IFERROR(VLOOKUP(B332,'Pre-Summary'!$AE$6:$AJ$85,5,FALSE),"")</f>
        <v/>
      </c>
      <c r="J332" s="45" t="str">
        <f>IFERROR(VLOOKUP(B332,'Pre-Summary'!$AE$6:$AJ$85,6, FALSE),"")</f>
        <v/>
      </c>
      <c r="K332" s="45" t="str">
        <f>IFERROR(VLOOKUP(B332,'Pre-Summary'!$DE$6:$DG$61,3,FALSE),"")</f>
        <v/>
      </c>
      <c r="L332" s="45" t="str">
        <f>IFERROR(VLOOKUP(B332,'Pre-Summary'!$CU$6:$CW$36,3,FALSE),"")</f>
        <v/>
      </c>
      <c r="M332" s="45" t="str">
        <f>IFERROR(VLOOKUP(B332,'Pre-Summary'!$BW$6:$BY$58,2,FALSE),"")</f>
        <v/>
      </c>
      <c r="N332" s="45" t="str">
        <f>IFERROR(VLOOKUP(B332,'Pre-Summary'!$CD$6:$CF$64,2,FALSE),"")</f>
        <v/>
      </c>
      <c r="O332" s="99">
        <f>IFERROR(VLOOKUP(B332,'Pre-Summary'!$BO$6:$BQ$48,3, FALSE),O331)</f>
        <v>1.0915248032216731</v>
      </c>
      <c r="P332" s="99">
        <f>IFERROR(VLOOKUP(B332,'Pre-Summary'!$BS$6:$BU$35,3,FALSE),P331)</f>
        <v>0.25</v>
      </c>
      <c r="Q332" s="54">
        <f t="shared" si="15"/>
        <v>4.3660992128866924</v>
      </c>
      <c r="R332" s="53">
        <f>IFERROR(VLOOKUP(B332,'Pre-Summary'!$BG$6:$BM$44,7,FALSE),R333)</f>
        <v>2.7904161219319636E-2</v>
      </c>
      <c r="S332" s="53">
        <f>IFERROR(VLOOKUP(B332,'Pre-Summary'!$BG$6:$BM$44,6,FALSE),S333)</f>
        <v>3.3978715219895171E-2</v>
      </c>
      <c r="T332" s="45" t="str">
        <f>IFERROR(VLOOKUP(B332,'Pre-Summary'!$Y$6:$AC$83, 3,FALSE),"")</f>
        <v/>
      </c>
      <c r="U332" s="45" t="str">
        <f>IFERROR(VLOOKUP(B332,'Pre-Summary'!$Y$6:$AC$83, 4,FALSE),"")</f>
        <v/>
      </c>
      <c r="V332" t="str">
        <f>IFERROR(VLOOKUP(B332,'Pre-Summary'!$Y$6:$AC$83, 5,FALSE),"")</f>
        <v/>
      </c>
      <c r="W332" s="45" t="str">
        <f>IFERROR(VLOOKUP(B332,'Pre-Summary'!$Y$6:$AD$83,6,FALSE),"")</f>
        <v/>
      </c>
      <c r="X332" t="str">
        <f>IFERROR(VLOOKUP('Pre-Summary'!$DB$6:$DD$63,3,FALSE),"")</f>
        <v/>
      </c>
      <c r="Y332" t="str">
        <f>IFERROR(VLOOKUP(B332,'Pre-Summary'!$CR$6:$CT$36,3,FALSE),"")</f>
        <v/>
      </c>
      <c r="Z332" s="45" t="str">
        <f>IFERROR(VLOOKUP(B332,'Pre-Summary'!$BZ$6:$CB$63,2,FALSE),"")</f>
        <v/>
      </c>
      <c r="AA332" s="45" t="str">
        <f>IFERROR(VLOOKUP(B332,'Pre-Summary'!$CG$6:$CI$70,2,FALSE),"")</f>
        <v/>
      </c>
      <c r="AB332" s="99">
        <f>IFERROR(VLOOKUP(B332,'Pre-Summary'!$A$6:$P$178,9,FALSE),AB333)</f>
        <v>0.50070967456665783</v>
      </c>
      <c r="AC332" s="10">
        <f>IFERROR(VLOOKUP(Summary!B332,'Pre-Summary'!$A$6:$P$184,5, FALSE)/100,AC333)</f>
        <v>0.1357256667</v>
      </c>
      <c r="AD332" s="10">
        <f>IFERROR(VLOOKUP(Summary!B332,'Pre-Summary'!$A$6:$P$184,3, FALSE)/100,AD333)</f>
        <v>0.86153966670000004</v>
      </c>
      <c r="AE332" s="10">
        <f>IFERROR(VLOOKUP(Summary!B332,'Pre-Summary'!$A$6:$P$184,7, FALSE)/100,AE333)</f>
        <v>2.735E-3</v>
      </c>
      <c r="AF332" s="99">
        <f t="shared" si="16"/>
        <v>0.43138124613962386</v>
      </c>
      <c r="AG332" s="99">
        <f t="shared" si="17"/>
        <v>1.3694409599398093E-3</v>
      </c>
      <c r="AH332" s="10" t="str">
        <f>IFERROR(VLOOKUP(B332,'Pre-Summary'!$AZ$6:$BE$65,3,FALSE),"")</f>
        <v/>
      </c>
      <c r="AI332" s="10" t="str">
        <f>IFERROR(VLOOKUP(B332,'Pre-Summary'!$AZ$6:$BE$65,5,FALSE),"")</f>
        <v/>
      </c>
      <c r="AJ332" s="10" t="str">
        <f>IFERROR(VLOOKUP(B332,'Pre-Summary'!$AZ$6:$BE$65,4,FALSE),"")</f>
        <v/>
      </c>
      <c r="AK332" s="10" t="str">
        <f>IFERROR(VLOOKUP(B332,'Pre-Summary'!$AZ$6:$BE$65,6,FALSE),"")</f>
        <v/>
      </c>
      <c r="AL332" s="10" t="str">
        <f>IFERROR(VLOOKUP(B332,'Pre-Summary'!$BG$6:$BL$44,3,FALSE),"")</f>
        <v/>
      </c>
      <c r="AM332" s="10" t="str">
        <f>IFERROR(VLOOKUP(B332,'Pre-Summary'!$BG$6:$BL$44,4,FALSE),"")</f>
        <v/>
      </c>
    </row>
    <row r="333" spans="2:39" ht="15" customHeight="1" x14ac:dyDescent="0.3">
      <c r="B333">
        <v>33</v>
      </c>
      <c r="C333" t="str">
        <f>IFERROR(VLOOKUP(B333,'Pre-Summary'!$DI$6:$DM$23,4,FALSE),"")</f>
        <v/>
      </c>
      <c r="D333" s="10" t="str">
        <f>IFERROR(VLOOKUP(B333,'Pre-Summary'!$AT$6:$AX$14,5,FALSE),D332)</f>
        <v>DSMZ v1.5: Using DSMZ 120 with NaHCO3</v>
      </c>
      <c r="E333" s="10" t="str">
        <f>IFERROR(VLOOKUP(B333,'Pre-Summary'!$AT$6:$AX$15,4,FALSE),"")</f>
        <v/>
      </c>
      <c r="F333">
        <f>IFERROR(VLOOKUP(B333,'Pre-Summary'!$AL$6:$AQ$13,6,FALSE),F332)</f>
        <v>0</v>
      </c>
      <c r="G333" t="str">
        <f>IFERROR(VLOOKUP(B333,'Pre-Summary'!$AE$6:$AJ$85,3,FALSE),"")</f>
        <v/>
      </c>
      <c r="H333" t="str">
        <f>IFERROR(VLOOKUP(B333,'Pre-Summary'!$AE$6:$AJ$85,4,FALSE),"")</f>
        <v/>
      </c>
      <c r="I333" t="str">
        <f>IFERROR(VLOOKUP(B333,'Pre-Summary'!$AE$6:$AJ$85,5,FALSE),"")</f>
        <v/>
      </c>
      <c r="J333" s="45" t="str">
        <f>IFERROR(VLOOKUP(B333,'Pre-Summary'!$AE$6:$AJ$85,6, FALSE),"")</f>
        <v/>
      </c>
      <c r="K333" s="45" t="str">
        <f>IFERROR(VLOOKUP(B333,'Pre-Summary'!$DE$6:$DG$61,3,FALSE),"")</f>
        <v/>
      </c>
      <c r="L333" s="45" t="str">
        <f>IFERROR(VLOOKUP(B333,'Pre-Summary'!$CU$6:$CW$36,3,FALSE),"")</f>
        <v/>
      </c>
      <c r="M333" s="45" t="str">
        <f>IFERROR(VLOOKUP(B333,'Pre-Summary'!$BW$6:$BY$58,2,FALSE),"")</f>
        <v/>
      </c>
      <c r="N333" s="45" t="str">
        <f>IFERROR(VLOOKUP(B333,'Pre-Summary'!$CD$6:$CF$64,2,FALSE),"")</f>
        <v/>
      </c>
      <c r="O333" s="99">
        <f>IFERROR(VLOOKUP(B333,'Pre-Summary'!$BO$6:$BQ$48,3, FALSE),O332)</f>
        <v>1.0915248032216731</v>
      </c>
      <c r="P333" s="99">
        <f>IFERROR(VLOOKUP(B333,'Pre-Summary'!$BS$6:$BU$35,3,FALSE),P332)</f>
        <v>0.25</v>
      </c>
      <c r="Q333" s="54">
        <f t="shared" si="15"/>
        <v>4.3660992128866924</v>
      </c>
      <c r="R333" s="53">
        <f>IFERROR(VLOOKUP(B333,'Pre-Summary'!$BG$6:$BM$44,7,FALSE),R334)</f>
        <v>2.7904161219319636E-2</v>
      </c>
      <c r="S333" s="53">
        <f>IFERROR(VLOOKUP(B333,'Pre-Summary'!$BG$6:$BM$44,6,FALSE),S334)</f>
        <v>3.3978715219895171E-2</v>
      </c>
      <c r="T333" s="45" t="str">
        <f>IFERROR(VLOOKUP(B333,'Pre-Summary'!$Y$6:$AC$83, 3,FALSE),"")</f>
        <v/>
      </c>
      <c r="U333" s="45" t="str">
        <f>IFERROR(VLOOKUP(B333,'Pre-Summary'!$Y$6:$AC$83, 4,FALSE),"")</f>
        <v/>
      </c>
      <c r="V333" t="str">
        <f>IFERROR(VLOOKUP(B333,'Pre-Summary'!$Y$6:$AC$83, 5,FALSE),"")</f>
        <v/>
      </c>
      <c r="W333" s="45" t="str">
        <f>IFERROR(VLOOKUP(B333,'Pre-Summary'!$Y$6:$AD$83,6,FALSE),"")</f>
        <v/>
      </c>
      <c r="X333" t="str">
        <f>IFERROR(VLOOKUP('Pre-Summary'!$DB$6:$DD$63,3,FALSE),"")</f>
        <v/>
      </c>
      <c r="Y333" t="str">
        <f>IFERROR(VLOOKUP(B333,'Pre-Summary'!$CR$6:$CT$36,3,FALSE),"")</f>
        <v/>
      </c>
      <c r="Z333" s="45" t="str">
        <f>IFERROR(VLOOKUP(B333,'Pre-Summary'!$BZ$6:$CB$63,2,FALSE),"")</f>
        <v/>
      </c>
      <c r="AA333" s="45" t="str">
        <f>IFERROR(VLOOKUP(B333,'Pre-Summary'!$CG$6:$CI$70,2,FALSE),"")</f>
        <v/>
      </c>
      <c r="AB333" s="99">
        <f>IFERROR(VLOOKUP(B333,'Pre-Summary'!$A$6:$P$178,9,FALSE),AB334)</f>
        <v>0.50070967456665783</v>
      </c>
      <c r="AC333" s="10">
        <f>IFERROR(VLOOKUP(Summary!B333,'Pre-Summary'!$A$6:$P$184,5, FALSE)/100,AC334)</f>
        <v>0.1357256667</v>
      </c>
      <c r="AD333" s="10">
        <f>IFERROR(VLOOKUP(Summary!B333,'Pre-Summary'!$A$6:$P$184,3, FALSE)/100,AD334)</f>
        <v>0.86153966670000004</v>
      </c>
      <c r="AE333" s="10">
        <f>IFERROR(VLOOKUP(Summary!B333,'Pre-Summary'!$A$6:$P$184,7, FALSE)/100,AE334)</f>
        <v>2.735E-3</v>
      </c>
      <c r="AF333" s="99">
        <f t="shared" si="16"/>
        <v>0.43138124613962386</v>
      </c>
      <c r="AG333" s="99">
        <f t="shared" si="17"/>
        <v>1.3694409599398093E-3</v>
      </c>
      <c r="AH333" s="10" t="str">
        <f>IFERROR(VLOOKUP(B333,'Pre-Summary'!$AZ$6:$BE$65,3,FALSE),"")</f>
        <v/>
      </c>
      <c r="AI333" s="10" t="str">
        <f>IFERROR(VLOOKUP(B333,'Pre-Summary'!$AZ$6:$BE$65,5,FALSE),"")</f>
        <v/>
      </c>
      <c r="AJ333" s="10" t="str">
        <f>IFERROR(VLOOKUP(B333,'Pre-Summary'!$AZ$6:$BE$65,4,FALSE),"")</f>
        <v/>
      </c>
      <c r="AK333" s="10" t="str">
        <f>IFERROR(VLOOKUP(B333,'Pre-Summary'!$AZ$6:$BE$65,6,FALSE),"")</f>
        <v/>
      </c>
      <c r="AL333" s="10" t="str">
        <f>IFERROR(VLOOKUP(B333,'Pre-Summary'!$BG$6:$BL$44,3,FALSE),"")</f>
        <v/>
      </c>
      <c r="AM333" s="10" t="str">
        <f>IFERROR(VLOOKUP(B333,'Pre-Summary'!$BG$6:$BL$44,4,FALSE),"")</f>
        <v/>
      </c>
    </row>
    <row r="334" spans="2:39" ht="15" customHeight="1" x14ac:dyDescent="0.3">
      <c r="B334">
        <v>33.1</v>
      </c>
      <c r="C334" t="str">
        <f>IFERROR(VLOOKUP(B334,'Pre-Summary'!$DI$6:$DM$23,4,FALSE),"")</f>
        <v/>
      </c>
      <c r="D334" s="10" t="str">
        <f>IFERROR(VLOOKUP(B334,'Pre-Summary'!$AT$6:$AX$14,5,FALSE),D333)</f>
        <v>DSMZ v1.5: Using DSMZ 120 with NaHCO3</v>
      </c>
      <c r="E334" s="10" t="str">
        <f>IFERROR(VLOOKUP(B334,'Pre-Summary'!$AT$6:$AX$15,4,FALSE),"")</f>
        <v/>
      </c>
      <c r="F334">
        <f>IFERROR(VLOOKUP(B334,'Pre-Summary'!$AL$6:$AQ$13,6,FALSE),F333)</f>
        <v>0</v>
      </c>
      <c r="G334" t="str">
        <f>IFERROR(VLOOKUP(B334,'Pre-Summary'!$AE$6:$AJ$85,3,FALSE),"")</f>
        <v/>
      </c>
      <c r="H334" t="str">
        <f>IFERROR(VLOOKUP(B334,'Pre-Summary'!$AE$6:$AJ$85,4,FALSE),"")</f>
        <v/>
      </c>
      <c r="I334" t="str">
        <f>IFERROR(VLOOKUP(B334,'Pre-Summary'!$AE$6:$AJ$85,5,FALSE),"")</f>
        <v/>
      </c>
      <c r="J334" s="45" t="str">
        <f>IFERROR(VLOOKUP(B334,'Pre-Summary'!$AE$6:$AJ$85,6, FALSE),"")</f>
        <v/>
      </c>
      <c r="K334" s="45" t="str">
        <f>IFERROR(VLOOKUP(B334,'Pre-Summary'!$DE$6:$DG$61,3,FALSE),"")</f>
        <v/>
      </c>
      <c r="L334" s="45" t="str">
        <f>IFERROR(VLOOKUP(B334,'Pre-Summary'!$CU$6:$CW$36,3,FALSE),"")</f>
        <v/>
      </c>
      <c r="M334" s="45" t="str">
        <f>IFERROR(VLOOKUP(B334,'Pre-Summary'!$BW$6:$BY$58,2,FALSE),"")</f>
        <v/>
      </c>
      <c r="N334" s="45" t="str">
        <f>IFERROR(VLOOKUP(B334,'Pre-Summary'!$CD$6:$CF$64,2,FALSE),"")</f>
        <v/>
      </c>
      <c r="O334" s="99">
        <f>IFERROR(VLOOKUP(B334,'Pre-Summary'!$BO$6:$BQ$48,3, FALSE),O333)</f>
        <v>1.0915248032216731</v>
      </c>
      <c r="P334" s="99">
        <f>IFERROR(VLOOKUP(B334,'Pre-Summary'!$BS$6:$BU$35,3,FALSE),P333)</f>
        <v>0.25</v>
      </c>
      <c r="Q334" s="54">
        <f t="shared" si="15"/>
        <v>4.3660992128866924</v>
      </c>
      <c r="R334" s="53">
        <f>IFERROR(VLOOKUP(B334,'Pre-Summary'!$BG$6:$BM$44,7,FALSE),R335)</f>
        <v>2.7904161219319636E-2</v>
      </c>
      <c r="S334" s="53">
        <f>IFERROR(VLOOKUP(B334,'Pre-Summary'!$BG$6:$BM$44,6,FALSE),S335)</f>
        <v>3.3978715219895171E-2</v>
      </c>
      <c r="T334" s="45" t="str">
        <f>IFERROR(VLOOKUP(B334,'Pre-Summary'!$Y$6:$AC$83, 3,FALSE),"")</f>
        <v/>
      </c>
      <c r="U334" s="45" t="str">
        <f>IFERROR(VLOOKUP(B334,'Pre-Summary'!$Y$6:$AC$83, 4,FALSE),"")</f>
        <v/>
      </c>
      <c r="V334" t="str">
        <f>IFERROR(VLOOKUP(B334,'Pre-Summary'!$Y$6:$AC$83, 5,FALSE),"")</f>
        <v/>
      </c>
      <c r="W334" s="45" t="str">
        <f>IFERROR(VLOOKUP(B334,'Pre-Summary'!$Y$6:$AD$83,6,FALSE),"")</f>
        <v/>
      </c>
      <c r="X334" t="str">
        <f>IFERROR(VLOOKUP('Pre-Summary'!$DB$6:$DD$63,3,FALSE),"")</f>
        <v/>
      </c>
      <c r="Y334" t="str">
        <f>IFERROR(VLOOKUP(B334,'Pre-Summary'!$CR$6:$CT$36,3,FALSE),"")</f>
        <v/>
      </c>
      <c r="Z334" s="45" t="str">
        <f>IFERROR(VLOOKUP(B334,'Pre-Summary'!$BZ$6:$CB$63,2,FALSE),"")</f>
        <v/>
      </c>
      <c r="AA334" s="45" t="str">
        <f>IFERROR(VLOOKUP(B334,'Pre-Summary'!$CG$6:$CI$70,2,FALSE),"")</f>
        <v/>
      </c>
      <c r="AB334" s="99">
        <f>IFERROR(VLOOKUP(B334,'Pre-Summary'!$A$6:$P$178,9,FALSE),AB335)</f>
        <v>0.50070967456665783</v>
      </c>
      <c r="AC334" s="10">
        <f>IFERROR(VLOOKUP(Summary!B334,'Pre-Summary'!$A$6:$P$184,5, FALSE)/100,AC335)</f>
        <v>0.1357256667</v>
      </c>
      <c r="AD334" s="10">
        <f>IFERROR(VLOOKUP(Summary!B334,'Pre-Summary'!$A$6:$P$184,3, FALSE)/100,AD335)</f>
        <v>0.86153966670000004</v>
      </c>
      <c r="AE334" s="10">
        <f>IFERROR(VLOOKUP(Summary!B334,'Pre-Summary'!$A$6:$P$184,7, FALSE)/100,AE335)</f>
        <v>2.735E-3</v>
      </c>
      <c r="AF334" s="99">
        <f t="shared" si="16"/>
        <v>0.43138124613962386</v>
      </c>
      <c r="AG334" s="99">
        <f t="shared" si="17"/>
        <v>1.3694409599398093E-3</v>
      </c>
      <c r="AH334" s="10" t="str">
        <f>IFERROR(VLOOKUP(B334,'Pre-Summary'!$AZ$6:$BE$65,3,FALSE),"")</f>
        <v/>
      </c>
      <c r="AI334" s="10" t="str">
        <f>IFERROR(VLOOKUP(B334,'Pre-Summary'!$AZ$6:$BE$65,5,FALSE),"")</f>
        <v/>
      </c>
      <c r="AJ334" s="10" t="str">
        <f>IFERROR(VLOOKUP(B334,'Pre-Summary'!$AZ$6:$BE$65,4,FALSE),"")</f>
        <v/>
      </c>
      <c r="AK334" s="10" t="str">
        <f>IFERROR(VLOOKUP(B334,'Pre-Summary'!$AZ$6:$BE$65,6,FALSE),"")</f>
        <v/>
      </c>
      <c r="AL334" s="10" t="str">
        <f>IFERROR(VLOOKUP(B334,'Pre-Summary'!$BG$6:$BL$44,3,FALSE),"")</f>
        <v/>
      </c>
      <c r="AM334" s="10" t="str">
        <f>IFERROR(VLOOKUP(B334,'Pre-Summary'!$BG$6:$BL$44,4,FALSE),"")</f>
        <v/>
      </c>
    </row>
    <row r="335" spans="2:39" ht="15" customHeight="1" x14ac:dyDescent="0.3">
      <c r="B335">
        <v>33.200000000000003</v>
      </c>
      <c r="C335" t="str">
        <f>IFERROR(VLOOKUP(B335,'Pre-Summary'!$DI$6:$DM$23,4,FALSE),"")</f>
        <v/>
      </c>
      <c r="D335" s="10" t="str">
        <f>IFERROR(VLOOKUP(B335,'Pre-Summary'!$AT$6:$AX$14,5,FALSE),D334)</f>
        <v>DSMZ v1.5: Using DSMZ 120 with NaHCO3</v>
      </c>
      <c r="E335" s="10" t="str">
        <f>IFERROR(VLOOKUP(B335,'Pre-Summary'!$AT$6:$AX$15,4,FALSE),"")</f>
        <v/>
      </c>
      <c r="F335">
        <f>IFERROR(VLOOKUP(B335,'Pre-Summary'!$AL$6:$AQ$13,6,FALSE),F334)</f>
        <v>0</v>
      </c>
      <c r="G335" t="str">
        <f>IFERROR(VLOOKUP(B335,'Pre-Summary'!$AE$6:$AJ$85,3,FALSE),"")</f>
        <v/>
      </c>
      <c r="H335" t="str">
        <f>IFERROR(VLOOKUP(B335,'Pre-Summary'!$AE$6:$AJ$85,4,FALSE),"")</f>
        <v/>
      </c>
      <c r="I335" t="str">
        <f>IFERROR(VLOOKUP(B335,'Pre-Summary'!$AE$6:$AJ$85,5,FALSE),"")</f>
        <v/>
      </c>
      <c r="J335" s="45" t="str">
        <f>IFERROR(VLOOKUP(B335,'Pre-Summary'!$AE$6:$AJ$85,6, FALSE),"")</f>
        <v/>
      </c>
      <c r="K335" s="45" t="str">
        <f>IFERROR(VLOOKUP(B335,'Pre-Summary'!$DE$6:$DG$61,3,FALSE),"")</f>
        <v/>
      </c>
      <c r="L335" s="45" t="str">
        <f>IFERROR(VLOOKUP(B335,'Pre-Summary'!$CU$6:$CW$36,3,FALSE),"")</f>
        <v/>
      </c>
      <c r="M335" s="45" t="str">
        <f>IFERROR(VLOOKUP(B335,'Pre-Summary'!$BW$6:$BY$58,2,FALSE),"")</f>
        <v/>
      </c>
      <c r="N335" s="45" t="str">
        <f>IFERROR(VLOOKUP(B335,'Pre-Summary'!$CD$6:$CF$64,2,FALSE),"")</f>
        <v/>
      </c>
      <c r="O335" s="99">
        <f>IFERROR(VLOOKUP(B335,'Pre-Summary'!$BO$6:$BQ$48,3, FALSE),O334)</f>
        <v>1.0915248032216731</v>
      </c>
      <c r="P335" s="99">
        <f>IFERROR(VLOOKUP(B335,'Pre-Summary'!$BS$6:$BU$35,3,FALSE),P334)</f>
        <v>0.25</v>
      </c>
      <c r="Q335" s="54">
        <f t="shared" si="15"/>
        <v>4.3660992128866924</v>
      </c>
      <c r="R335" s="53">
        <f>IFERROR(VLOOKUP(B335,'Pre-Summary'!$BG$6:$BM$44,7,FALSE),R336)</f>
        <v>2.7904161219319636E-2</v>
      </c>
      <c r="S335" s="53">
        <f>IFERROR(VLOOKUP(B335,'Pre-Summary'!$BG$6:$BM$44,6,FALSE),S336)</f>
        <v>3.3978715219895171E-2</v>
      </c>
      <c r="T335" s="45" t="str">
        <f>IFERROR(VLOOKUP(B335,'Pre-Summary'!$Y$6:$AC$83, 3,FALSE),"")</f>
        <v/>
      </c>
      <c r="U335" s="45" t="str">
        <f>IFERROR(VLOOKUP(B335,'Pre-Summary'!$Y$6:$AC$83, 4,FALSE),"")</f>
        <v/>
      </c>
      <c r="V335" t="str">
        <f>IFERROR(VLOOKUP(B335,'Pre-Summary'!$Y$6:$AC$83, 5,FALSE),"")</f>
        <v/>
      </c>
      <c r="W335" s="45" t="str">
        <f>IFERROR(VLOOKUP(B335,'Pre-Summary'!$Y$6:$AD$83,6,FALSE),"")</f>
        <v/>
      </c>
      <c r="X335" t="str">
        <f>IFERROR(VLOOKUP('Pre-Summary'!$DB$6:$DD$63,3,FALSE),"")</f>
        <v/>
      </c>
      <c r="Y335" t="str">
        <f>IFERROR(VLOOKUP(B335,'Pre-Summary'!$CR$6:$CT$36,3,FALSE),"")</f>
        <v/>
      </c>
      <c r="Z335" s="45" t="str">
        <f>IFERROR(VLOOKUP(B335,'Pre-Summary'!$BZ$6:$CB$63,2,FALSE),"")</f>
        <v/>
      </c>
      <c r="AA335" s="45" t="str">
        <f>IFERROR(VLOOKUP(B335,'Pre-Summary'!$CG$6:$CI$70,2,FALSE),"")</f>
        <v/>
      </c>
      <c r="AB335" s="99">
        <f>IFERROR(VLOOKUP(B335,'Pre-Summary'!$A$6:$P$178,9,FALSE),AB336)</f>
        <v>0.50070967456665783</v>
      </c>
      <c r="AC335" s="10">
        <f>IFERROR(VLOOKUP(Summary!B335,'Pre-Summary'!$A$6:$P$184,5, FALSE)/100,AC336)</f>
        <v>0.1357256667</v>
      </c>
      <c r="AD335" s="10">
        <f>IFERROR(VLOOKUP(Summary!B335,'Pre-Summary'!$A$6:$P$184,3, FALSE)/100,AD336)</f>
        <v>0.86153966670000004</v>
      </c>
      <c r="AE335" s="10">
        <f>IFERROR(VLOOKUP(Summary!B335,'Pre-Summary'!$A$6:$P$184,7, FALSE)/100,AE336)</f>
        <v>2.735E-3</v>
      </c>
      <c r="AF335" s="99">
        <f t="shared" si="16"/>
        <v>0.43138124613962386</v>
      </c>
      <c r="AG335" s="99">
        <f t="shared" si="17"/>
        <v>1.3694409599398093E-3</v>
      </c>
      <c r="AH335" s="10" t="str">
        <f>IFERROR(VLOOKUP(B335,'Pre-Summary'!$AZ$6:$BE$65,3,FALSE),"")</f>
        <v/>
      </c>
      <c r="AI335" s="10" t="str">
        <f>IFERROR(VLOOKUP(B335,'Pre-Summary'!$AZ$6:$BE$65,5,FALSE),"")</f>
        <v/>
      </c>
      <c r="AJ335" s="10" t="str">
        <f>IFERROR(VLOOKUP(B335,'Pre-Summary'!$AZ$6:$BE$65,4,FALSE),"")</f>
        <v/>
      </c>
      <c r="AK335" s="10" t="str">
        <f>IFERROR(VLOOKUP(B335,'Pre-Summary'!$AZ$6:$BE$65,6,FALSE),"")</f>
        <v/>
      </c>
      <c r="AL335" s="10" t="str">
        <f>IFERROR(VLOOKUP(B335,'Pre-Summary'!$BG$6:$BL$44,3,FALSE),"")</f>
        <v/>
      </c>
      <c r="AM335" s="10" t="str">
        <f>IFERROR(VLOOKUP(B335,'Pre-Summary'!$BG$6:$BL$44,4,FALSE),"")</f>
        <v/>
      </c>
    </row>
    <row r="336" spans="2:39" ht="15" customHeight="1" x14ac:dyDescent="0.3">
      <c r="B336">
        <v>33.299999999999997</v>
      </c>
      <c r="C336" t="str">
        <f>IFERROR(VLOOKUP(B336,'Pre-Summary'!$DI$6:$DM$23,4,FALSE),"")</f>
        <v/>
      </c>
      <c r="D336" s="10" t="str">
        <f>IFERROR(VLOOKUP(B336,'Pre-Summary'!$AT$6:$AX$14,5,FALSE),D335)</f>
        <v>DSMZ v1.5: Using DSMZ 120 with NaHCO3</v>
      </c>
      <c r="E336" s="10" t="str">
        <f>IFERROR(VLOOKUP(B336,'Pre-Summary'!$AT$6:$AX$15,4,FALSE),"")</f>
        <v/>
      </c>
      <c r="F336">
        <f>IFERROR(VLOOKUP(B336,'Pre-Summary'!$AL$6:$AQ$13,6,FALSE),F335)</f>
        <v>0</v>
      </c>
      <c r="G336" t="str">
        <f>IFERROR(VLOOKUP(B336,'Pre-Summary'!$AE$6:$AJ$85,3,FALSE),"")</f>
        <v/>
      </c>
      <c r="H336" t="str">
        <f>IFERROR(VLOOKUP(B336,'Pre-Summary'!$AE$6:$AJ$85,4,FALSE),"")</f>
        <v/>
      </c>
      <c r="I336" t="str">
        <f>IFERROR(VLOOKUP(B336,'Pre-Summary'!$AE$6:$AJ$85,5,FALSE),"")</f>
        <v/>
      </c>
      <c r="J336" s="45" t="str">
        <f>IFERROR(VLOOKUP(B336,'Pre-Summary'!$AE$6:$AJ$85,6, FALSE),"")</f>
        <v/>
      </c>
      <c r="K336" s="45" t="str">
        <f>IFERROR(VLOOKUP(B336,'Pre-Summary'!$DE$6:$DG$61,3,FALSE),"")</f>
        <v/>
      </c>
      <c r="L336" s="45" t="str">
        <f>IFERROR(VLOOKUP(B336,'Pre-Summary'!$CU$6:$CW$36,3,FALSE),"")</f>
        <v/>
      </c>
      <c r="M336" s="45" t="str">
        <f>IFERROR(VLOOKUP(B336,'Pre-Summary'!$BW$6:$BY$58,2,FALSE),"")</f>
        <v/>
      </c>
      <c r="N336" s="45" t="str">
        <f>IFERROR(VLOOKUP(B336,'Pre-Summary'!$CD$6:$CF$64,2,FALSE),"")</f>
        <v/>
      </c>
      <c r="O336" s="99">
        <f>IFERROR(VLOOKUP(B336,'Pre-Summary'!$BO$6:$BQ$48,3, FALSE),O335)</f>
        <v>1.0915248032216731</v>
      </c>
      <c r="P336" s="99">
        <f>IFERROR(VLOOKUP(B336,'Pre-Summary'!$BS$6:$BU$35,3,FALSE),P335)</f>
        <v>0.25</v>
      </c>
      <c r="Q336" s="54">
        <f t="shared" si="15"/>
        <v>4.3660992128866924</v>
      </c>
      <c r="R336" s="53">
        <f>IFERROR(VLOOKUP(B336,'Pre-Summary'!$BG$6:$BM$44,7,FALSE),R337)</f>
        <v>2.7904161219319636E-2</v>
      </c>
      <c r="S336" s="53">
        <f>IFERROR(VLOOKUP(B336,'Pre-Summary'!$BG$6:$BM$44,6,FALSE),S337)</f>
        <v>3.3978715219895171E-2</v>
      </c>
      <c r="T336" s="45" t="str">
        <f>IFERROR(VLOOKUP(B336,'Pre-Summary'!$Y$6:$AC$83, 3,FALSE),"")</f>
        <v/>
      </c>
      <c r="U336" s="45" t="str">
        <f>IFERROR(VLOOKUP(B336,'Pre-Summary'!$Y$6:$AC$83, 4,FALSE),"")</f>
        <v/>
      </c>
      <c r="V336" t="str">
        <f>IFERROR(VLOOKUP(B336,'Pre-Summary'!$Y$6:$AC$83, 5,FALSE),"")</f>
        <v/>
      </c>
      <c r="W336" s="45" t="str">
        <f>IFERROR(VLOOKUP(B336,'Pre-Summary'!$Y$6:$AD$83,6,FALSE),"")</f>
        <v/>
      </c>
      <c r="X336" t="str">
        <f>IFERROR(VLOOKUP('Pre-Summary'!$DB$6:$DD$63,3,FALSE),"")</f>
        <v/>
      </c>
      <c r="Y336" t="str">
        <f>IFERROR(VLOOKUP(B336,'Pre-Summary'!$CR$6:$CT$36,3,FALSE),"")</f>
        <v/>
      </c>
      <c r="Z336" s="45" t="str">
        <f>IFERROR(VLOOKUP(B336,'Pre-Summary'!$BZ$6:$CB$63,2,FALSE),"")</f>
        <v/>
      </c>
      <c r="AA336" s="45" t="str">
        <f>IFERROR(VLOOKUP(B336,'Pre-Summary'!$CG$6:$CI$70,2,FALSE),"")</f>
        <v/>
      </c>
      <c r="AB336" s="99">
        <f>IFERROR(VLOOKUP(B336,'Pre-Summary'!$A$6:$P$178,9,FALSE),AB337)</f>
        <v>0.50070967456665783</v>
      </c>
      <c r="AC336" s="10">
        <f>IFERROR(VLOOKUP(Summary!B336,'Pre-Summary'!$A$6:$P$184,5, FALSE)/100,AC337)</f>
        <v>0.1357256667</v>
      </c>
      <c r="AD336" s="10">
        <f>IFERROR(VLOOKUP(Summary!B336,'Pre-Summary'!$A$6:$P$184,3, FALSE)/100,AD337)</f>
        <v>0.86153966670000004</v>
      </c>
      <c r="AE336" s="10">
        <f>IFERROR(VLOOKUP(Summary!B336,'Pre-Summary'!$A$6:$P$184,7, FALSE)/100,AE337)</f>
        <v>2.735E-3</v>
      </c>
      <c r="AF336" s="99">
        <f t="shared" si="16"/>
        <v>0.43138124613962386</v>
      </c>
      <c r="AG336" s="99">
        <f t="shared" si="17"/>
        <v>1.3694409599398093E-3</v>
      </c>
      <c r="AH336" s="10" t="str">
        <f>IFERROR(VLOOKUP(B336,'Pre-Summary'!$AZ$6:$BE$65,3,FALSE),"")</f>
        <v/>
      </c>
      <c r="AI336" s="10" t="str">
        <f>IFERROR(VLOOKUP(B336,'Pre-Summary'!$AZ$6:$BE$65,5,FALSE),"")</f>
        <v/>
      </c>
      <c r="AJ336" s="10" t="str">
        <f>IFERROR(VLOOKUP(B336,'Pre-Summary'!$AZ$6:$BE$65,4,FALSE),"")</f>
        <v/>
      </c>
      <c r="AK336" s="10" t="str">
        <f>IFERROR(VLOOKUP(B336,'Pre-Summary'!$AZ$6:$BE$65,6,FALSE),"")</f>
        <v/>
      </c>
      <c r="AL336" s="10" t="str">
        <f>IFERROR(VLOOKUP(B336,'Pre-Summary'!$BG$6:$BL$44,3,FALSE),"")</f>
        <v/>
      </c>
      <c r="AM336" s="10" t="str">
        <f>IFERROR(VLOOKUP(B336,'Pre-Summary'!$BG$6:$BL$44,4,FALSE),"")</f>
        <v/>
      </c>
    </row>
    <row r="337" spans="2:39" ht="15" customHeight="1" x14ac:dyDescent="0.3">
      <c r="B337">
        <v>33.4</v>
      </c>
      <c r="C337" t="str">
        <f>IFERROR(VLOOKUP(B337,'Pre-Summary'!$DI$6:$DM$23,4,FALSE),"")</f>
        <v/>
      </c>
      <c r="D337" s="10" t="str">
        <f>IFERROR(VLOOKUP(B337,'Pre-Summary'!$AT$6:$AX$14,5,FALSE),D336)</f>
        <v>DSMZ v1.5: Using DSMZ 120 with NaHCO3</v>
      </c>
      <c r="E337" s="10" t="str">
        <f>IFERROR(VLOOKUP(B337,'Pre-Summary'!$AT$6:$AX$15,4,FALSE),"")</f>
        <v/>
      </c>
      <c r="F337">
        <f>IFERROR(VLOOKUP(B337,'Pre-Summary'!$AL$6:$AQ$13,6,FALSE),F336)</f>
        <v>0</v>
      </c>
      <c r="G337" t="str">
        <f>IFERROR(VLOOKUP(B337,'Pre-Summary'!$AE$6:$AJ$85,3,FALSE),"")</f>
        <v/>
      </c>
      <c r="H337" t="str">
        <f>IFERROR(VLOOKUP(B337,'Pre-Summary'!$AE$6:$AJ$85,4,FALSE),"")</f>
        <v/>
      </c>
      <c r="I337" t="str">
        <f>IFERROR(VLOOKUP(B337,'Pre-Summary'!$AE$6:$AJ$85,5,FALSE),"")</f>
        <v/>
      </c>
      <c r="J337" s="45" t="str">
        <f>IFERROR(VLOOKUP(B337,'Pre-Summary'!$AE$6:$AJ$85,6, FALSE),"")</f>
        <v/>
      </c>
      <c r="K337" s="45" t="str">
        <f>IFERROR(VLOOKUP(B337,'Pre-Summary'!$DE$6:$DG$61,3,FALSE),"")</f>
        <v/>
      </c>
      <c r="L337" s="45" t="str">
        <f>IFERROR(VLOOKUP(B337,'Pre-Summary'!$CU$6:$CW$36,3,FALSE),"")</f>
        <v/>
      </c>
      <c r="M337" s="45" t="str">
        <f>IFERROR(VLOOKUP(B337,'Pre-Summary'!$BW$6:$BY$58,2,FALSE),"")</f>
        <v/>
      </c>
      <c r="N337" s="45" t="str">
        <f>IFERROR(VLOOKUP(B337,'Pre-Summary'!$CD$6:$CF$64,2,FALSE),"")</f>
        <v/>
      </c>
      <c r="O337" s="99">
        <f>IFERROR(VLOOKUP(B337,'Pre-Summary'!$BO$6:$BQ$48,3, FALSE),O336)</f>
        <v>1.0915248032216731</v>
      </c>
      <c r="P337" s="99">
        <f>IFERROR(VLOOKUP(B337,'Pre-Summary'!$BS$6:$BU$35,3,FALSE),P336)</f>
        <v>0.25</v>
      </c>
      <c r="Q337" s="54">
        <f t="shared" si="15"/>
        <v>4.3660992128866924</v>
      </c>
      <c r="R337" s="53">
        <f>IFERROR(VLOOKUP(B337,'Pre-Summary'!$BG$6:$BM$44,7,FALSE),R338)</f>
        <v>2.7904161219319636E-2</v>
      </c>
      <c r="S337" s="53">
        <f>IFERROR(VLOOKUP(B337,'Pre-Summary'!$BG$6:$BM$44,6,FALSE),S338)</f>
        <v>3.3978715219895171E-2</v>
      </c>
      <c r="T337" s="45" t="str">
        <f>IFERROR(VLOOKUP(B337,'Pre-Summary'!$Y$6:$AC$83, 3,FALSE),"")</f>
        <v/>
      </c>
      <c r="U337" s="45" t="str">
        <f>IFERROR(VLOOKUP(B337,'Pre-Summary'!$Y$6:$AC$83, 4,FALSE),"")</f>
        <v/>
      </c>
      <c r="V337" t="str">
        <f>IFERROR(VLOOKUP(B337,'Pre-Summary'!$Y$6:$AC$83, 5,FALSE),"")</f>
        <v/>
      </c>
      <c r="W337" s="45" t="str">
        <f>IFERROR(VLOOKUP(B337,'Pre-Summary'!$Y$6:$AD$83,6,FALSE),"")</f>
        <v/>
      </c>
      <c r="X337" t="str">
        <f>IFERROR(VLOOKUP('Pre-Summary'!$DB$6:$DD$63,3,FALSE),"")</f>
        <v/>
      </c>
      <c r="Y337" t="str">
        <f>IFERROR(VLOOKUP(B337,'Pre-Summary'!$CR$6:$CT$36,3,FALSE),"")</f>
        <v/>
      </c>
      <c r="Z337" s="45" t="str">
        <f>IFERROR(VLOOKUP(B337,'Pre-Summary'!$BZ$6:$CB$63,2,FALSE),"")</f>
        <v/>
      </c>
      <c r="AA337" s="45" t="str">
        <f>IFERROR(VLOOKUP(B337,'Pre-Summary'!$CG$6:$CI$70,2,FALSE),"")</f>
        <v/>
      </c>
      <c r="AB337" s="99">
        <f>IFERROR(VLOOKUP(B337,'Pre-Summary'!$A$6:$P$178,9,FALSE),AB338)</f>
        <v>0.50070967456665783</v>
      </c>
      <c r="AC337" s="10">
        <f>IFERROR(VLOOKUP(Summary!B337,'Pre-Summary'!$A$6:$P$184,5, FALSE)/100,AC338)</f>
        <v>0.1357256667</v>
      </c>
      <c r="AD337" s="10">
        <f>IFERROR(VLOOKUP(Summary!B337,'Pre-Summary'!$A$6:$P$184,3, FALSE)/100,AD338)</f>
        <v>0.86153966670000004</v>
      </c>
      <c r="AE337" s="10">
        <f>IFERROR(VLOOKUP(Summary!B337,'Pre-Summary'!$A$6:$P$184,7, FALSE)/100,AE338)</f>
        <v>2.735E-3</v>
      </c>
      <c r="AF337" s="99">
        <f t="shared" si="16"/>
        <v>0.43138124613962386</v>
      </c>
      <c r="AG337" s="99">
        <f t="shared" si="17"/>
        <v>1.3694409599398093E-3</v>
      </c>
      <c r="AH337" s="10" t="str">
        <f>IFERROR(VLOOKUP(B337,'Pre-Summary'!$AZ$6:$BE$65,3,FALSE),"")</f>
        <v/>
      </c>
      <c r="AI337" s="10" t="str">
        <f>IFERROR(VLOOKUP(B337,'Pre-Summary'!$AZ$6:$BE$65,5,FALSE),"")</f>
        <v/>
      </c>
      <c r="AJ337" s="10" t="str">
        <f>IFERROR(VLOOKUP(B337,'Pre-Summary'!$AZ$6:$BE$65,4,FALSE),"")</f>
        <v/>
      </c>
      <c r="AK337" s="10" t="str">
        <f>IFERROR(VLOOKUP(B337,'Pre-Summary'!$AZ$6:$BE$65,6,FALSE),"")</f>
        <v/>
      </c>
      <c r="AL337" s="10" t="str">
        <f>IFERROR(VLOOKUP(B337,'Pre-Summary'!$BG$6:$BL$44,3,FALSE),"")</f>
        <v/>
      </c>
      <c r="AM337" s="10" t="str">
        <f>IFERROR(VLOOKUP(B337,'Pre-Summary'!$BG$6:$BL$44,4,FALSE),"")</f>
        <v/>
      </c>
    </row>
    <row r="338" spans="2:39" ht="15" customHeight="1" x14ac:dyDescent="0.3">
      <c r="B338">
        <v>33.5</v>
      </c>
      <c r="C338" t="str">
        <f>IFERROR(VLOOKUP(B338,'Pre-Summary'!$DI$6:$DM$23,4,FALSE),"")</f>
        <v/>
      </c>
      <c r="D338" s="10" t="str">
        <f>IFERROR(VLOOKUP(B338,'Pre-Summary'!$AT$6:$AX$14,5,FALSE),D337)</f>
        <v>DSMZ v1.5: Using DSMZ 120 with NaHCO3</v>
      </c>
      <c r="E338" s="10" t="str">
        <f>IFERROR(VLOOKUP(B338,'Pre-Summary'!$AT$6:$AX$15,4,FALSE),"")</f>
        <v/>
      </c>
      <c r="F338">
        <f>IFERROR(VLOOKUP(B338,'Pre-Summary'!$AL$6:$AQ$13,6,FALSE),F337)</f>
        <v>0</v>
      </c>
      <c r="G338" t="str">
        <f>IFERROR(VLOOKUP(B338,'Pre-Summary'!$AE$6:$AJ$85,3,FALSE),"")</f>
        <v/>
      </c>
      <c r="H338" t="str">
        <f>IFERROR(VLOOKUP(B338,'Pre-Summary'!$AE$6:$AJ$85,4,FALSE),"")</f>
        <v/>
      </c>
      <c r="I338" t="str">
        <f>IFERROR(VLOOKUP(B338,'Pre-Summary'!$AE$6:$AJ$85,5,FALSE),"")</f>
        <v/>
      </c>
      <c r="J338" s="45" t="str">
        <f>IFERROR(VLOOKUP(B338,'Pre-Summary'!$AE$6:$AJ$85,6, FALSE),"")</f>
        <v/>
      </c>
      <c r="K338" s="45" t="str">
        <f>IFERROR(VLOOKUP(B338,'Pre-Summary'!$DE$6:$DG$61,3,FALSE),"")</f>
        <v/>
      </c>
      <c r="L338" s="45" t="str">
        <f>IFERROR(VLOOKUP(B338,'Pre-Summary'!$CU$6:$CW$36,3,FALSE),"")</f>
        <v/>
      </c>
      <c r="M338" s="45" t="str">
        <f>IFERROR(VLOOKUP(B338,'Pre-Summary'!$BW$6:$BY$58,2,FALSE),"")</f>
        <v/>
      </c>
      <c r="N338" s="45" t="str">
        <f>IFERROR(VLOOKUP(B338,'Pre-Summary'!$CD$6:$CF$64,2,FALSE),"")</f>
        <v/>
      </c>
      <c r="O338" s="99">
        <f>IFERROR(VLOOKUP(B338,'Pre-Summary'!$BO$6:$BQ$48,3, FALSE),O337)</f>
        <v>1.0915248032216731</v>
      </c>
      <c r="P338" s="99">
        <f>IFERROR(VLOOKUP(B338,'Pre-Summary'!$BS$6:$BU$35,3,FALSE),P337)</f>
        <v>0.25</v>
      </c>
      <c r="Q338" s="54">
        <f t="shared" si="15"/>
        <v>4.3660992128866924</v>
      </c>
      <c r="R338" s="53">
        <f>IFERROR(VLOOKUP(B338,'Pre-Summary'!$BG$6:$BM$44,7,FALSE),R339)</f>
        <v>2.7904161219319636E-2</v>
      </c>
      <c r="S338" s="53">
        <f>IFERROR(VLOOKUP(B338,'Pre-Summary'!$BG$6:$BM$44,6,FALSE),S339)</f>
        <v>3.3978715219895171E-2</v>
      </c>
      <c r="T338" s="45" t="str">
        <f>IFERROR(VLOOKUP(B338,'Pre-Summary'!$Y$6:$AC$83, 3,FALSE),"")</f>
        <v/>
      </c>
      <c r="U338" s="45" t="str">
        <f>IFERROR(VLOOKUP(B338,'Pre-Summary'!$Y$6:$AC$83, 4,FALSE),"")</f>
        <v/>
      </c>
      <c r="V338" t="str">
        <f>IFERROR(VLOOKUP(B338,'Pre-Summary'!$Y$6:$AC$83, 5,FALSE),"")</f>
        <v/>
      </c>
      <c r="W338" s="45" t="str">
        <f>IFERROR(VLOOKUP(B338,'Pre-Summary'!$Y$6:$AD$83,6,FALSE),"")</f>
        <v/>
      </c>
      <c r="X338" t="str">
        <f>IFERROR(VLOOKUP('Pre-Summary'!$DB$6:$DD$63,3,FALSE),"")</f>
        <v/>
      </c>
      <c r="Y338" t="str">
        <f>IFERROR(VLOOKUP(B338,'Pre-Summary'!$CR$6:$CT$36,3,FALSE),"")</f>
        <v/>
      </c>
      <c r="Z338" s="45" t="str">
        <f>IFERROR(VLOOKUP(B338,'Pre-Summary'!$BZ$6:$CB$63,2,FALSE),"")</f>
        <v/>
      </c>
      <c r="AA338" s="45" t="str">
        <f>IFERROR(VLOOKUP(B338,'Pre-Summary'!$CG$6:$CI$70,2,FALSE),"")</f>
        <v/>
      </c>
      <c r="AB338" s="99">
        <f>IFERROR(VLOOKUP(B338,'Pre-Summary'!$A$6:$P$178,9,FALSE),AB339)</f>
        <v>0.50070967456665783</v>
      </c>
      <c r="AC338" s="10">
        <f>IFERROR(VLOOKUP(Summary!B338,'Pre-Summary'!$A$6:$P$184,5, FALSE)/100,AC339)</f>
        <v>0.1357256667</v>
      </c>
      <c r="AD338" s="10">
        <f>IFERROR(VLOOKUP(Summary!B338,'Pre-Summary'!$A$6:$P$184,3, FALSE)/100,AD339)</f>
        <v>0.86153966670000004</v>
      </c>
      <c r="AE338" s="10">
        <f>IFERROR(VLOOKUP(Summary!B338,'Pre-Summary'!$A$6:$P$184,7, FALSE)/100,AE339)</f>
        <v>2.735E-3</v>
      </c>
      <c r="AF338" s="99">
        <f t="shared" si="16"/>
        <v>0.43138124613962386</v>
      </c>
      <c r="AG338" s="99">
        <f t="shared" si="17"/>
        <v>1.3694409599398093E-3</v>
      </c>
      <c r="AH338" s="10" t="str">
        <f>IFERROR(VLOOKUP(B338,'Pre-Summary'!$AZ$6:$BE$65,3,FALSE),"")</f>
        <v/>
      </c>
      <c r="AI338" s="10" t="str">
        <f>IFERROR(VLOOKUP(B338,'Pre-Summary'!$AZ$6:$BE$65,5,FALSE),"")</f>
        <v/>
      </c>
      <c r="AJ338" s="10" t="str">
        <f>IFERROR(VLOOKUP(B338,'Pre-Summary'!$AZ$6:$BE$65,4,FALSE),"")</f>
        <v/>
      </c>
      <c r="AK338" s="10" t="str">
        <f>IFERROR(VLOOKUP(B338,'Pre-Summary'!$AZ$6:$BE$65,6,FALSE),"")</f>
        <v/>
      </c>
      <c r="AL338" s="10" t="str">
        <f>IFERROR(VLOOKUP(B338,'Pre-Summary'!$BG$6:$BL$44,3,FALSE),"")</f>
        <v/>
      </c>
      <c r="AM338" s="10" t="str">
        <f>IFERROR(VLOOKUP(B338,'Pre-Summary'!$BG$6:$BL$44,4,FALSE),"")</f>
        <v/>
      </c>
    </row>
    <row r="339" spans="2:39" ht="15" customHeight="1" x14ac:dyDescent="0.3">
      <c r="B339">
        <v>33.6</v>
      </c>
      <c r="C339" t="str">
        <f>IFERROR(VLOOKUP(B339,'Pre-Summary'!$DI$6:$DM$23,4,FALSE),"")</f>
        <v/>
      </c>
      <c r="D339" s="10" t="str">
        <f>IFERROR(VLOOKUP(B339,'Pre-Summary'!$AT$6:$AX$14,5,FALSE),D338)</f>
        <v>DSMZ v1.5: Using DSMZ 120 with NaHCO3</v>
      </c>
      <c r="E339" s="10" t="str">
        <f>IFERROR(VLOOKUP(B339,'Pre-Summary'!$AT$6:$AX$15,4,FALSE),"")</f>
        <v/>
      </c>
      <c r="F339">
        <f>IFERROR(VLOOKUP(B339,'Pre-Summary'!$AL$6:$AQ$13,6,FALSE),F338)</f>
        <v>0</v>
      </c>
      <c r="G339" t="str">
        <f>IFERROR(VLOOKUP(B339,'Pre-Summary'!$AE$6:$AJ$85,3,FALSE),"")</f>
        <v/>
      </c>
      <c r="H339" t="str">
        <f>IFERROR(VLOOKUP(B339,'Pre-Summary'!$AE$6:$AJ$85,4,FALSE),"")</f>
        <v/>
      </c>
      <c r="I339" t="str">
        <f>IFERROR(VLOOKUP(B339,'Pre-Summary'!$AE$6:$AJ$85,5,FALSE),"")</f>
        <v/>
      </c>
      <c r="J339" s="45" t="str">
        <f>IFERROR(VLOOKUP(B339,'Pre-Summary'!$AE$6:$AJ$85,6, FALSE),"")</f>
        <v/>
      </c>
      <c r="K339" s="45" t="str">
        <f>IFERROR(VLOOKUP(B339,'Pre-Summary'!$DE$6:$DG$61,3,FALSE),"")</f>
        <v/>
      </c>
      <c r="L339" s="45" t="str">
        <f>IFERROR(VLOOKUP(B339,'Pre-Summary'!$CU$6:$CW$36,3,FALSE),"")</f>
        <v/>
      </c>
      <c r="M339" s="45" t="str">
        <f>IFERROR(VLOOKUP(B339,'Pre-Summary'!$BW$6:$BY$58,2,FALSE),"")</f>
        <v/>
      </c>
      <c r="N339" s="45" t="str">
        <f>IFERROR(VLOOKUP(B339,'Pre-Summary'!$CD$6:$CF$64,2,FALSE),"")</f>
        <v/>
      </c>
      <c r="O339" s="99">
        <f>IFERROR(VLOOKUP(B339,'Pre-Summary'!$BO$6:$BQ$48,3, FALSE),O338)</f>
        <v>1.0915248032216731</v>
      </c>
      <c r="P339" s="99">
        <f>IFERROR(VLOOKUP(B339,'Pre-Summary'!$BS$6:$BU$35,3,FALSE),P338)</f>
        <v>0.25</v>
      </c>
      <c r="Q339" s="54">
        <f t="shared" si="15"/>
        <v>4.3660992128866924</v>
      </c>
      <c r="R339" s="53">
        <f>IFERROR(VLOOKUP(B339,'Pre-Summary'!$BG$6:$BM$44,7,FALSE),R340)</f>
        <v>2.7904161219319636E-2</v>
      </c>
      <c r="S339" s="53">
        <f>IFERROR(VLOOKUP(B339,'Pre-Summary'!$BG$6:$BM$44,6,FALSE),S340)</f>
        <v>3.3978715219895171E-2</v>
      </c>
      <c r="T339" s="45" t="str">
        <f>IFERROR(VLOOKUP(B339,'Pre-Summary'!$Y$6:$AC$83, 3,FALSE),"")</f>
        <v/>
      </c>
      <c r="U339" s="45" t="str">
        <f>IFERROR(VLOOKUP(B339,'Pre-Summary'!$Y$6:$AC$83, 4,FALSE),"")</f>
        <v/>
      </c>
      <c r="V339" t="str">
        <f>IFERROR(VLOOKUP(B339,'Pre-Summary'!$Y$6:$AC$83, 5,FALSE),"")</f>
        <v/>
      </c>
      <c r="W339" s="45" t="str">
        <f>IFERROR(VLOOKUP(B339,'Pre-Summary'!$Y$6:$AD$83,6,FALSE),"")</f>
        <v/>
      </c>
      <c r="X339" t="str">
        <f>IFERROR(VLOOKUP('Pre-Summary'!$DB$6:$DD$63,3,FALSE),"")</f>
        <v/>
      </c>
      <c r="Y339" t="str">
        <f>IFERROR(VLOOKUP(B339,'Pre-Summary'!$CR$6:$CT$36,3,FALSE),"")</f>
        <v/>
      </c>
      <c r="Z339" s="45" t="str">
        <f>IFERROR(VLOOKUP(B339,'Pre-Summary'!$BZ$6:$CB$63,2,FALSE),"")</f>
        <v/>
      </c>
      <c r="AA339" s="45" t="str">
        <f>IFERROR(VLOOKUP(B339,'Pre-Summary'!$CG$6:$CI$70,2,FALSE),"")</f>
        <v/>
      </c>
      <c r="AB339" s="99">
        <f>IFERROR(VLOOKUP(B339,'Pre-Summary'!$A$6:$P$178,9,FALSE),AB340)</f>
        <v>0.50070967456665783</v>
      </c>
      <c r="AC339" s="10">
        <f>IFERROR(VLOOKUP(Summary!B339,'Pre-Summary'!$A$6:$P$184,5, FALSE)/100,AC340)</f>
        <v>0.1357256667</v>
      </c>
      <c r="AD339" s="10">
        <f>IFERROR(VLOOKUP(Summary!B339,'Pre-Summary'!$A$6:$P$184,3, FALSE)/100,AD340)</f>
        <v>0.86153966670000004</v>
      </c>
      <c r="AE339" s="10">
        <f>IFERROR(VLOOKUP(Summary!B339,'Pre-Summary'!$A$6:$P$184,7, FALSE)/100,AE340)</f>
        <v>2.735E-3</v>
      </c>
      <c r="AF339" s="99">
        <f t="shared" si="16"/>
        <v>0.43138124613962386</v>
      </c>
      <c r="AG339" s="99">
        <f t="shared" si="17"/>
        <v>1.3694409599398093E-3</v>
      </c>
      <c r="AH339" s="10" t="str">
        <f>IFERROR(VLOOKUP(B339,'Pre-Summary'!$AZ$6:$BE$65,3,FALSE),"")</f>
        <v/>
      </c>
      <c r="AI339" s="10" t="str">
        <f>IFERROR(VLOOKUP(B339,'Pre-Summary'!$AZ$6:$BE$65,5,FALSE),"")</f>
        <v/>
      </c>
      <c r="AJ339" s="10" t="str">
        <f>IFERROR(VLOOKUP(B339,'Pre-Summary'!$AZ$6:$BE$65,4,FALSE),"")</f>
        <v/>
      </c>
      <c r="AK339" s="10" t="str">
        <f>IFERROR(VLOOKUP(B339,'Pre-Summary'!$AZ$6:$BE$65,6,FALSE),"")</f>
        <v/>
      </c>
      <c r="AL339" s="10" t="str">
        <f>IFERROR(VLOOKUP(B339,'Pre-Summary'!$BG$6:$BL$44,3,FALSE),"")</f>
        <v/>
      </c>
      <c r="AM339" s="10" t="str">
        <f>IFERROR(VLOOKUP(B339,'Pre-Summary'!$BG$6:$BL$44,4,FALSE),"")</f>
        <v/>
      </c>
    </row>
    <row r="340" spans="2:39" ht="15" customHeight="1" x14ac:dyDescent="0.3">
      <c r="B340">
        <v>33.700000000000003</v>
      </c>
      <c r="C340" t="str">
        <f>IFERROR(VLOOKUP(B340,'Pre-Summary'!$DI$6:$DM$23,4,FALSE),"")</f>
        <v/>
      </c>
      <c r="D340" s="10" t="str">
        <f>IFERROR(VLOOKUP(B340,'Pre-Summary'!$AT$6:$AX$14,5,FALSE),D339)</f>
        <v>DSMZ v1.5: Using DSMZ 120 with NaHCO3</v>
      </c>
      <c r="E340" s="10" t="str">
        <f>IFERROR(VLOOKUP(B340,'Pre-Summary'!$AT$6:$AX$15,4,FALSE),"")</f>
        <v/>
      </c>
      <c r="F340">
        <f>IFERROR(VLOOKUP(B340,'Pre-Summary'!$AL$6:$AQ$13,6,FALSE),F339)</f>
        <v>0</v>
      </c>
      <c r="G340" t="str">
        <f>IFERROR(VLOOKUP(B340,'Pre-Summary'!$AE$6:$AJ$85,3,FALSE),"")</f>
        <v/>
      </c>
      <c r="H340" t="str">
        <f>IFERROR(VLOOKUP(B340,'Pre-Summary'!$AE$6:$AJ$85,4,FALSE),"")</f>
        <v/>
      </c>
      <c r="I340" t="str">
        <f>IFERROR(VLOOKUP(B340,'Pre-Summary'!$AE$6:$AJ$85,5,FALSE),"")</f>
        <v/>
      </c>
      <c r="J340" s="45" t="str">
        <f>IFERROR(VLOOKUP(B340,'Pre-Summary'!$AE$6:$AJ$85,6, FALSE),"")</f>
        <v/>
      </c>
      <c r="K340" s="45" t="str">
        <f>IFERROR(VLOOKUP(B340,'Pre-Summary'!$DE$6:$DG$61,3,FALSE),"")</f>
        <v/>
      </c>
      <c r="L340" s="45" t="str">
        <f>IFERROR(VLOOKUP(B340,'Pre-Summary'!$CU$6:$CW$36,3,FALSE),"")</f>
        <v/>
      </c>
      <c r="M340" s="45" t="str">
        <f>IFERROR(VLOOKUP(B340,'Pre-Summary'!$BW$6:$BY$58,2,FALSE),"")</f>
        <v/>
      </c>
      <c r="N340" s="45" t="str">
        <f>IFERROR(VLOOKUP(B340,'Pre-Summary'!$CD$6:$CF$64,2,FALSE),"")</f>
        <v/>
      </c>
      <c r="O340" s="99">
        <f>IFERROR(VLOOKUP(B340,'Pre-Summary'!$BO$6:$BQ$48,3, FALSE),O339)</f>
        <v>1.0915248032216731</v>
      </c>
      <c r="P340" s="99">
        <f>IFERROR(VLOOKUP(B340,'Pre-Summary'!$BS$6:$BU$35,3,FALSE),P339)</f>
        <v>0.25</v>
      </c>
      <c r="Q340" s="54">
        <f t="shared" si="15"/>
        <v>4.3660992128866924</v>
      </c>
      <c r="R340" s="53">
        <f>IFERROR(VLOOKUP(B340,'Pre-Summary'!$BG$6:$BM$44,7,FALSE),R341)</f>
        <v>2.7904161219319636E-2</v>
      </c>
      <c r="S340" s="53">
        <f>IFERROR(VLOOKUP(B340,'Pre-Summary'!$BG$6:$BM$44,6,FALSE),S341)</f>
        <v>3.3978715219895171E-2</v>
      </c>
      <c r="T340" s="45" t="str">
        <f>IFERROR(VLOOKUP(B340,'Pre-Summary'!$Y$6:$AC$83, 3,FALSE),"")</f>
        <v/>
      </c>
      <c r="U340" s="45" t="str">
        <f>IFERROR(VLOOKUP(B340,'Pre-Summary'!$Y$6:$AC$83, 4,FALSE),"")</f>
        <v/>
      </c>
      <c r="V340" t="str">
        <f>IFERROR(VLOOKUP(B340,'Pre-Summary'!$Y$6:$AC$83, 5,FALSE),"")</f>
        <v/>
      </c>
      <c r="W340" s="45" t="str">
        <f>IFERROR(VLOOKUP(B340,'Pre-Summary'!$Y$6:$AD$83,6,FALSE),"")</f>
        <v/>
      </c>
      <c r="X340" t="str">
        <f>IFERROR(VLOOKUP('Pre-Summary'!$DB$6:$DD$63,3,FALSE),"")</f>
        <v/>
      </c>
      <c r="Y340" t="str">
        <f>IFERROR(VLOOKUP(B340,'Pre-Summary'!$CR$6:$CT$36,3,FALSE),"")</f>
        <v/>
      </c>
      <c r="Z340" s="45" t="str">
        <f>IFERROR(VLOOKUP(B340,'Pre-Summary'!$BZ$6:$CB$63,2,FALSE),"")</f>
        <v/>
      </c>
      <c r="AA340" s="45" t="str">
        <f>IFERROR(VLOOKUP(B340,'Pre-Summary'!$CG$6:$CI$70,2,FALSE),"")</f>
        <v/>
      </c>
      <c r="AB340" s="99">
        <f>IFERROR(VLOOKUP(B340,'Pre-Summary'!$A$6:$P$178,9,FALSE),AB341)</f>
        <v>0.50070967456665783</v>
      </c>
      <c r="AC340" s="10">
        <f>IFERROR(VLOOKUP(Summary!B340,'Pre-Summary'!$A$6:$P$184,5, FALSE)/100,AC341)</f>
        <v>0.1357256667</v>
      </c>
      <c r="AD340" s="10">
        <f>IFERROR(VLOOKUP(Summary!B340,'Pre-Summary'!$A$6:$P$184,3, FALSE)/100,AD341)</f>
        <v>0.86153966670000004</v>
      </c>
      <c r="AE340" s="10">
        <f>IFERROR(VLOOKUP(Summary!B340,'Pre-Summary'!$A$6:$P$184,7, FALSE)/100,AE341)</f>
        <v>2.735E-3</v>
      </c>
      <c r="AF340" s="99">
        <f t="shared" si="16"/>
        <v>0.43138124613962386</v>
      </c>
      <c r="AG340" s="99">
        <f t="shared" si="17"/>
        <v>1.3694409599398093E-3</v>
      </c>
      <c r="AH340" s="10" t="str">
        <f>IFERROR(VLOOKUP(B340,'Pre-Summary'!$AZ$6:$BE$65,3,FALSE),"")</f>
        <v/>
      </c>
      <c r="AI340" s="10" t="str">
        <f>IFERROR(VLOOKUP(B340,'Pre-Summary'!$AZ$6:$BE$65,5,FALSE),"")</f>
        <v/>
      </c>
      <c r="AJ340" s="10" t="str">
        <f>IFERROR(VLOOKUP(B340,'Pre-Summary'!$AZ$6:$BE$65,4,FALSE),"")</f>
        <v/>
      </c>
      <c r="AK340" s="10" t="str">
        <f>IFERROR(VLOOKUP(B340,'Pre-Summary'!$AZ$6:$BE$65,6,FALSE),"")</f>
        <v/>
      </c>
      <c r="AL340" s="10" t="str">
        <f>IFERROR(VLOOKUP(B340,'Pre-Summary'!$BG$6:$BL$44,3,FALSE),"")</f>
        <v/>
      </c>
      <c r="AM340" s="10" t="str">
        <f>IFERROR(VLOOKUP(B340,'Pre-Summary'!$BG$6:$BL$44,4,FALSE),"")</f>
        <v/>
      </c>
    </row>
    <row r="341" spans="2:39" ht="15" customHeight="1" x14ac:dyDescent="0.3">
      <c r="B341">
        <v>33.799999999999997</v>
      </c>
      <c r="C341" t="str">
        <f>IFERROR(VLOOKUP(B341,'Pre-Summary'!$DI$6:$DM$23,4,FALSE),"")</f>
        <v/>
      </c>
      <c r="D341" s="10" t="str">
        <f>IFERROR(VLOOKUP(B341,'Pre-Summary'!$AT$6:$AX$14,5,FALSE),D340)</f>
        <v>DSMZ v1.5: Using DSMZ 120 with NaHCO3</v>
      </c>
      <c r="E341" s="10" t="str">
        <f>IFERROR(VLOOKUP(B341,'Pre-Summary'!$AT$6:$AX$15,4,FALSE),"")</f>
        <v/>
      </c>
      <c r="F341">
        <f>IFERROR(VLOOKUP(B341,'Pre-Summary'!$AL$6:$AQ$13,6,FALSE),F340)</f>
        <v>0</v>
      </c>
      <c r="G341" t="str">
        <f>IFERROR(VLOOKUP(B341,'Pre-Summary'!$AE$6:$AJ$85,3,FALSE),"")</f>
        <v/>
      </c>
      <c r="H341" t="str">
        <f>IFERROR(VLOOKUP(B341,'Pre-Summary'!$AE$6:$AJ$85,4,FALSE),"")</f>
        <v/>
      </c>
      <c r="I341" t="str">
        <f>IFERROR(VLOOKUP(B341,'Pre-Summary'!$AE$6:$AJ$85,5,FALSE),"")</f>
        <v/>
      </c>
      <c r="J341" s="45" t="str">
        <f>IFERROR(VLOOKUP(B341,'Pre-Summary'!$AE$6:$AJ$85,6, FALSE),"")</f>
        <v/>
      </c>
      <c r="K341" s="45" t="str">
        <f>IFERROR(VLOOKUP(B341,'Pre-Summary'!$DE$6:$DG$61,3,FALSE),"")</f>
        <v/>
      </c>
      <c r="L341" s="45" t="str">
        <f>IFERROR(VLOOKUP(B341,'Pre-Summary'!$CU$6:$CW$36,3,FALSE),"")</f>
        <v/>
      </c>
      <c r="M341" s="45" t="str">
        <f>IFERROR(VLOOKUP(B341,'Pre-Summary'!$BW$6:$BY$58,2,FALSE),"")</f>
        <v/>
      </c>
      <c r="N341" s="45" t="str">
        <f>IFERROR(VLOOKUP(B341,'Pre-Summary'!$CD$6:$CF$64,2,FALSE),"")</f>
        <v/>
      </c>
      <c r="O341" s="99">
        <f>IFERROR(VLOOKUP(B341,'Pre-Summary'!$BO$6:$BQ$48,3, FALSE),O340)</f>
        <v>1.0915248032216731</v>
      </c>
      <c r="P341" s="99">
        <f>IFERROR(VLOOKUP(B341,'Pre-Summary'!$BS$6:$BU$35,3,FALSE),P340)</f>
        <v>0.25</v>
      </c>
      <c r="Q341" s="54">
        <f t="shared" si="15"/>
        <v>4.3660992128866924</v>
      </c>
      <c r="R341" s="53">
        <f>IFERROR(VLOOKUP(B341,'Pre-Summary'!$BG$6:$BM$44,7,FALSE),R342)</f>
        <v>2.7904161219319636E-2</v>
      </c>
      <c r="S341" s="53">
        <f>IFERROR(VLOOKUP(B341,'Pre-Summary'!$BG$6:$BM$44,6,FALSE),S342)</f>
        <v>3.3978715219895171E-2</v>
      </c>
      <c r="T341" s="45" t="str">
        <f>IFERROR(VLOOKUP(B341,'Pre-Summary'!$Y$6:$AC$83, 3,FALSE),"")</f>
        <v/>
      </c>
      <c r="U341" s="45" t="str">
        <f>IFERROR(VLOOKUP(B341,'Pre-Summary'!$Y$6:$AC$83, 4,FALSE),"")</f>
        <v/>
      </c>
      <c r="V341" t="str">
        <f>IFERROR(VLOOKUP(B341,'Pre-Summary'!$Y$6:$AC$83, 5,FALSE),"")</f>
        <v/>
      </c>
      <c r="W341" s="45" t="str">
        <f>IFERROR(VLOOKUP(B341,'Pre-Summary'!$Y$6:$AD$83,6,FALSE),"")</f>
        <v/>
      </c>
      <c r="X341" t="str">
        <f>IFERROR(VLOOKUP('Pre-Summary'!$DB$6:$DD$63,3,FALSE),"")</f>
        <v/>
      </c>
      <c r="Y341" t="str">
        <f>IFERROR(VLOOKUP(B341,'Pre-Summary'!$CR$6:$CT$36,3,FALSE),"")</f>
        <v/>
      </c>
      <c r="Z341" s="45" t="str">
        <f>IFERROR(VLOOKUP(B341,'Pre-Summary'!$BZ$6:$CB$63,2,FALSE),"")</f>
        <v/>
      </c>
      <c r="AA341" s="45" t="str">
        <f>IFERROR(VLOOKUP(B341,'Pre-Summary'!$CG$6:$CI$70,2,FALSE),"")</f>
        <v/>
      </c>
      <c r="AB341" s="99">
        <f>IFERROR(VLOOKUP(B341,'Pre-Summary'!$A$6:$P$178,9,FALSE),AB342)</f>
        <v>0.50070967456665783</v>
      </c>
      <c r="AC341" s="10">
        <f>IFERROR(VLOOKUP(Summary!B341,'Pre-Summary'!$A$6:$P$184,5, FALSE)/100,AC342)</f>
        <v>0.1357256667</v>
      </c>
      <c r="AD341" s="10">
        <f>IFERROR(VLOOKUP(Summary!B341,'Pre-Summary'!$A$6:$P$184,3, FALSE)/100,AD342)</f>
        <v>0.86153966670000004</v>
      </c>
      <c r="AE341" s="10">
        <f>IFERROR(VLOOKUP(Summary!B341,'Pre-Summary'!$A$6:$P$184,7, FALSE)/100,AE342)</f>
        <v>2.735E-3</v>
      </c>
      <c r="AF341" s="99">
        <f t="shared" si="16"/>
        <v>0.43138124613962386</v>
      </c>
      <c r="AG341" s="99">
        <f t="shared" si="17"/>
        <v>1.3694409599398093E-3</v>
      </c>
      <c r="AH341" s="10" t="str">
        <f>IFERROR(VLOOKUP(B341,'Pre-Summary'!$AZ$6:$BE$65,3,FALSE),"")</f>
        <v/>
      </c>
      <c r="AI341" s="10" t="str">
        <f>IFERROR(VLOOKUP(B341,'Pre-Summary'!$AZ$6:$BE$65,5,FALSE),"")</f>
        <v/>
      </c>
      <c r="AJ341" s="10" t="str">
        <f>IFERROR(VLOOKUP(B341,'Pre-Summary'!$AZ$6:$BE$65,4,FALSE),"")</f>
        <v/>
      </c>
      <c r="AK341" s="10" t="str">
        <f>IFERROR(VLOOKUP(B341,'Pre-Summary'!$AZ$6:$BE$65,6,FALSE),"")</f>
        <v/>
      </c>
      <c r="AL341" s="10" t="str">
        <f>IFERROR(VLOOKUP(B341,'Pre-Summary'!$BG$6:$BL$44,3,FALSE),"")</f>
        <v/>
      </c>
      <c r="AM341" s="10" t="str">
        <f>IFERROR(VLOOKUP(B341,'Pre-Summary'!$BG$6:$BL$44,4,FALSE),"")</f>
        <v/>
      </c>
    </row>
    <row r="342" spans="2:39" ht="15" customHeight="1" x14ac:dyDescent="0.3">
      <c r="B342">
        <v>33.9</v>
      </c>
      <c r="C342" t="str">
        <f>IFERROR(VLOOKUP(B342,'Pre-Summary'!$DI$6:$DM$23,4,FALSE),"")</f>
        <v/>
      </c>
      <c r="D342" s="10" t="str">
        <f>IFERROR(VLOOKUP(B342,'Pre-Summary'!$AT$6:$AX$14,5,FALSE),D341)</f>
        <v>DSMZ v1.5: Using DSMZ 120 with NaHCO3</v>
      </c>
      <c r="E342" s="10" t="str">
        <f>IFERROR(VLOOKUP(B342,'Pre-Summary'!$AT$6:$AX$15,4,FALSE),"")</f>
        <v/>
      </c>
      <c r="F342">
        <f>IFERROR(VLOOKUP(B342,'Pre-Summary'!$AL$6:$AQ$13,6,FALSE),F341)</f>
        <v>0</v>
      </c>
      <c r="G342" t="str">
        <f>IFERROR(VLOOKUP(B342,'Pre-Summary'!$AE$6:$AJ$85,3,FALSE),"")</f>
        <v/>
      </c>
      <c r="H342" t="str">
        <f>IFERROR(VLOOKUP(B342,'Pre-Summary'!$AE$6:$AJ$85,4,FALSE),"")</f>
        <v/>
      </c>
      <c r="I342" t="str">
        <f>IFERROR(VLOOKUP(B342,'Pre-Summary'!$AE$6:$AJ$85,5,FALSE),"")</f>
        <v/>
      </c>
      <c r="J342" s="45" t="str">
        <f>IFERROR(VLOOKUP(B342,'Pre-Summary'!$AE$6:$AJ$85,6, FALSE),"")</f>
        <v/>
      </c>
      <c r="K342" s="45" t="str">
        <f>IFERROR(VLOOKUP(B342,'Pre-Summary'!$DE$6:$DG$61,3,FALSE),"")</f>
        <v/>
      </c>
      <c r="L342" s="45" t="str">
        <f>IFERROR(VLOOKUP(B342,'Pre-Summary'!$CU$6:$CW$36,3,FALSE),"")</f>
        <v/>
      </c>
      <c r="M342" s="45" t="str">
        <f>IFERROR(VLOOKUP(B342,'Pre-Summary'!$BW$6:$BY$58,2,FALSE),"")</f>
        <v/>
      </c>
      <c r="N342" s="45" t="str">
        <f>IFERROR(VLOOKUP(B342,'Pre-Summary'!$CD$6:$CF$64,2,FALSE),"")</f>
        <v/>
      </c>
      <c r="O342" s="99">
        <f>IFERROR(VLOOKUP(B342,'Pre-Summary'!$BO$6:$BQ$48,3, FALSE),O341)</f>
        <v>1.0915248032216731</v>
      </c>
      <c r="P342" s="99">
        <f>IFERROR(VLOOKUP(B342,'Pre-Summary'!$BS$6:$BU$35,3,FALSE),P341)</f>
        <v>0.25</v>
      </c>
      <c r="Q342" s="54">
        <f t="shared" si="15"/>
        <v>4.3660992128866924</v>
      </c>
      <c r="R342" s="53">
        <f>IFERROR(VLOOKUP(B342,'Pre-Summary'!$BG$6:$BM$44,7,FALSE),R343)</f>
        <v>2.7904161219319636E-2</v>
      </c>
      <c r="S342" s="53">
        <f>IFERROR(VLOOKUP(B342,'Pre-Summary'!$BG$6:$BM$44,6,FALSE),S343)</f>
        <v>3.3978715219895171E-2</v>
      </c>
      <c r="T342" s="45" t="str">
        <f>IFERROR(VLOOKUP(B342,'Pre-Summary'!$Y$6:$AC$83, 3,FALSE),"")</f>
        <v/>
      </c>
      <c r="U342" s="45" t="str">
        <f>IFERROR(VLOOKUP(B342,'Pre-Summary'!$Y$6:$AC$83, 4,FALSE),"")</f>
        <v/>
      </c>
      <c r="V342" t="str">
        <f>IFERROR(VLOOKUP(B342,'Pre-Summary'!$Y$6:$AC$83, 5,FALSE),"")</f>
        <v/>
      </c>
      <c r="W342" s="45" t="str">
        <f>IFERROR(VLOOKUP(B342,'Pre-Summary'!$Y$6:$AD$83,6,FALSE),"")</f>
        <v/>
      </c>
      <c r="X342" t="str">
        <f>IFERROR(VLOOKUP('Pre-Summary'!$DB$6:$DD$63,3,FALSE),"")</f>
        <v/>
      </c>
      <c r="Y342" t="str">
        <f>IFERROR(VLOOKUP(B342,'Pre-Summary'!$CR$6:$CT$36,3,FALSE),"")</f>
        <v/>
      </c>
      <c r="Z342" s="45" t="str">
        <f>IFERROR(VLOOKUP(B342,'Pre-Summary'!$BZ$6:$CB$63,2,FALSE),"")</f>
        <v/>
      </c>
      <c r="AA342" s="45" t="str">
        <f>IFERROR(VLOOKUP(B342,'Pre-Summary'!$CG$6:$CI$70,2,FALSE),"")</f>
        <v/>
      </c>
      <c r="AB342" s="99">
        <f>IFERROR(VLOOKUP(B342,'Pre-Summary'!$A$6:$P$178,9,FALSE),AB343)</f>
        <v>0.50070967456665783</v>
      </c>
      <c r="AC342" s="10">
        <f>IFERROR(VLOOKUP(Summary!B342,'Pre-Summary'!$A$6:$P$184,5, FALSE)/100,AC343)</f>
        <v>0.1357256667</v>
      </c>
      <c r="AD342" s="10">
        <f>IFERROR(VLOOKUP(Summary!B342,'Pre-Summary'!$A$6:$P$184,3, FALSE)/100,AD343)</f>
        <v>0.86153966670000004</v>
      </c>
      <c r="AE342" s="10">
        <f>IFERROR(VLOOKUP(Summary!B342,'Pre-Summary'!$A$6:$P$184,7, FALSE)/100,AE343)</f>
        <v>2.735E-3</v>
      </c>
      <c r="AF342" s="99">
        <f t="shared" si="16"/>
        <v>0.43138124613962386</v>
      </c>
      <c r="AG342" s="99">
        <f t="shared" si="17"/>
        <v>1.3694409599398093E-3</v>
      </c>
      <c r="AH342" s="10" t="str">
        <f>IFERROR(VLOOKUP(B342,'Pre-Summary'!$AZ$6:$BE$65,3,FALSE),"")</f>
        <v/>
      </c>
      <c r="AI342" s="10" t="str">
        <f>IFERROR(VLOOKUP(B342,'Pre-Summary'!$AZ$6:$BE$65,5,FALSE),"")</f>
        <v/>
      </c>
      <c r="AJ342" s="10" t="str">
        <f>IFERROR(VLOOKUP(B342,'Pre-Summary'!$AZ$6:$BE$65,4,FALSE),"")</f>
        <v/>
      </c>
      <c r="AK342" s="10" t="str">
        <f>IFERROR(VLOOKUP(B342,'Pre-Summary'!$AZ$6:$BE$65,6,FALSE),"")</f>
        <v/>
      </c>
      <c r="AL342" s="10" t="str">
        <f>IFERROR(VLOOKUP(B342,'Pre-Summary'!$BG$6:$BL$44,3,FALSE),"")</f>
        <v/>
      </c>
      <c r="AM342" s="10" t="str">
        <f>IFERROR(VLOOKUP(B342,'Pre-Summary'!$BG$6:$BL$44,4,FALSE),"")</f>
        <v/>
      </c>
    </row>
    <row r="343" spans="2:39" ht="15" customHeight="1" x14ac:dyDescent="0.3">
      <c r="B343">
        <v>34</v>
      </c>
      <c r="C343" t="str">
        <f>IFERROR(VLOOKUP(B343,'Pre-Summary'!$DI$6:$DM$23,4,FALSE),"")</f>
        <v/>
      </c>
      <c r="D343" s="10" t="str">
        <f>IFERROR(VLOOKUP(B343,'Pre-Summary'!$AT$6:$AX$14,5,FALSE),D342)</f>
        <v>DSMZ v1.5: Using DSMZ 120 with NaHCO3</v>
      </c>
      <c r="E343" s="10" t="str">
        <f>IFERROR(VLOOKUP(B343,'Pre-Summary'!$AT$6:$AX$15,4,FALSE),"")</f>
        <v/>
      </c>
      <c r="F343">
        <f>IFERROR(VLOOKUP(B343,'Pre-Summary'!$AL$6:$AQ$13,6,FALSE),F342)</f>
        <v>0</v>
      </c>
      <c r="G343" t="str">
        <f>IFERROR(VLOOKUP(B343,'Pre-Summary'!$AE$6:$AJ$85,3,FALSE),"")</f>
        <v/>
      </c>
      <c r="H343" t="str">
        <f>IFERROR(VLOOKUP(B343,'Pre-Summary'!$AE$6:$AJ$85,4,FALSE),"")</f>
        <v/>
      </c>
      <c r="I343" t="str">
        <f>IFERROR(VLOOKUP(B343,'Pre-Summary'!$AE$6:$AJ$85,5,FALSE),"")</f>
        <v/>
      </c>
      <c r="J343" s="45" t="str">
        <f>IFERROR(VLOOKUP(B343,'Pre-Summary'!$AE$6:$AJ$85,6, FALSE),"")</f>
        <v/>
      </c>
      <c r="K343" s="45" t="str">
        <f>IFERROR(VLOOKUP(B343,'Pre-Summary'!$DE$6:$DG$61,3,FALSE),"")</f>
        <v/>
      </c>
      <c r="L343" s="45" t="str">
        <f>IFERROR(VLOOKUP(B343,'Pre-Summary'!$CU$6:$CW$36,3,FALSE),"")</f>
        <v/>
      </c>
      <c r="M343" s="45" t="str">
        <f>IFERROR(VLOOKUP(B343,'Pre-Summary'!$BW$6:$BY$58,2,FALSE),"")</f>
        <v/>
      </c>
      <c r="N343" s="45" t="str">
        <f>IFERROR(VLOOKUP(B343,'Pre-Summary'!$CD$6:$CF$64,2,FALSE),"")</f>
        <v/>
      </c>
      <c r="O343" s="99">
        <f>IFERROR(VLOOKUP(B343,'Pre-Summary'!$BO$6:$BQ$48,3, FALSE),O342)</f>
        <v>1.0915248032216731</v>
      </c>
      <c r="P343" s="99">
        <f>IFERROR(VLOOKUP(B343,'Pre-Summary'!$BS$6:$BU$35,3,FALSE),P342)</f>
        <v>0.25</v>
      </c>
      <c r="Q343" s="54">
        <f t="shared" si="15"/>
        <v>4.3660992128866924</v>
      </c>
      <c r="R343" s="53">
        <f>IFERROR(VLOOKUP(B343,'Pre-Summary'!$BG$6:$BM$44,7,FALSE),R344)</f>
        <v>2.7904161219319636E-2</v>
      </c>
      <c r="S343" s="53">
        <f>IFERROR(VLOOKUP(B343,'Pre-Summary'!$BG$6:$BM$44,6,FALSE),S344)</f>
        <v>3.3978715219895171E-2</v>
      </c>
      <c r="T343" s="45" t="str">
        <f>IFERROR(VLOOKUP(B343,'Pre-Summary'!$Y$6:$AC$83, 3,FALSE),"")</f>
        <v/>
      </c>
      <c r="U343" s="45" t="str">
        <f>IFERROR(VLOOKUP(B343,'Pre-Summary'!$Y$6:$AC$83, 4,FALSE),"")</f>
        <v/>
      </c>
      <c r="V343" t="str">
        <f>IFERROR(VLOOKUP(B343,'Pre-Summary'!$Y$6:$AC$83, 5,FALSE),"")</f>
        <v/>
      </c>
      <c r="W343" s="45" t="str">
        <f>IFERROR(VLOOKUP(B343,'Pre-Summary'!$Y$6:$AD$83,6,FALSE),"")</f>
        <v/>
      </c>
      <c r="X343" t="str">
        <f>IFERROR(VLOOKUP('Pre-Summary'!$DB$6:$DD$63,3,FALSE),"")</f>
        <v/>
      </c>
      <c r="Y343" t="str">
        <f>IFERROR(VLOOKUP(B343,'Pre-Summary'!$CR$6:$CT$36,3,FALSE),"")</f>
        <v/>
      </c>
      <c r="Z343" s="45" t="str">
        <f>IFERROR(VLOOKUP(B343,'Pre-Summary'!$BZ$6:$CB$63,2,FALSE),"")</f>
        <v/>
      </c>
      <c r="AA343" s="45" t="str">
        <f>IFERROR(VLOOKUP(B343,'Pre-Summary'!$CG$6:$CI$70,2,FALSE),"")</f>
        <v/>
      </c>
      <c r="AB343" s="99">
        <f>IFERROR(VLOOKUP(B343,'Pre-Summary'!$A$6:$P$178,9,FALSE),AB344)</f>
        <v>0.55228059519701667</v>
      </c>
      <c r="AC343" s="10">
        <f>IFERROR(VLOOKUP(Summary!B343,'Pre-Summary'!$A$6:$P$184,5, FALSE)/100,AC344)</f>
        <v>0.27094999999999997</v>
      </c>
      <c r="AD343" s="10">
        <f>IFERROR(VLOOKUP(Summary!B343,'Pre-Summary'!$A$6:$P$184,3, FALSE)/100,AD344)</f>
        <v>0.72263599999999995</v>
      </c>
      <c r="AE343" s="10">
        <f>IFERROR(VLOOKUP(Summary!B343,'Pre-Summary'!$A$6:$P$184,7, FALSE)/100,AE344)</f>
        <v>6.4139999999999996E-3</v>
      </c>
      <c r="AF343" s="99">
        <f t="shared" si="16"/>
        <v>0.39909784019079131</v>
      </c>
      <c r="AG343" s="99">
        <f t="shared" si="17"/>
        <v>3.5423277375936646E-3</v>
      </c>
      <c r="AH343" s="10" t="str">
        <f>IFERROR(VLOOKUP(B343,'Pre-Summary'!$AZ$6:$BE$65,3,FALSE),"")</f>
        <v/>
      </c>
      <c r="AI343" s="10" t="str">
        <f>IFERROR(VLOOKUP(B343,'Pre-Summary'!$AZ$6:$BE$65,5,FALSE),"")</f>
        <v/>
      </c>
      <c r="AJ343" s="10" t="str">
        <f>IFERROR(VLOOKUP(B343,'Pre-Summary'!$AZ$6:$BE$65,4,FALSE),"")</f>
        <v/>
      </c>
      <c r="AK343" s="10" t="str">
        <f>IFERROR(VLOOKUP(B343,'Pre-Summary'!$AZ$6:$BE$65,6,FALSE),"")</f>
        <v/>
      </c>
      <c r="AL343" s="10" t="str">
        <f>IFERROR(VLOOKUP(B343,'Pre-Summary'!$BG$6:$BL$44,3,FALSE),"")</f>
        <v/>
      </c>
      <c r="AM343" s="10" t="str">
        <f>IFERROR(VLOOKUP(B343,'Pre-Summary'!$BG$6:$BL$44,4,FALSE),"")</f>
        <v/>
      </c>
    </row>
    <row r="344" spans="2:39" ht="15" customHeight="1" x14ac:dyDescent="0.3">
      <c r="B344">
        <v>34.1</v>
      </c>
      <c r="C344" t="str">
        <f>IFERROR(VLOOKUP(B344,'Pre-Summary'!$DI$6:$DM$23,4,FALSE),"")</f>
        <v/>
      </c>
      <c r="D344" s="10" t="str">
        <f>IFERROR(VLOOKUP(B344,'Pre-Summary'!$AT$6:$AX$14,5,FALSE),D343)</f>
        <v>DSMZ v1.5: Using DSMZ 120 with NaHCO3</v>
      </c>
      <c r="E344" s="10" t="str">
        <f>IFERROR(VLOOKUP(B344,'Pre-Summary'!$AT$6:$AX$15,4,FALSE),"")</f>
        <v/>
      </c>
      <c r="F344">
        <f>IFERROR(VLOOKUP(B344,'Pre-Summary'!$AL$6:$AQ$13,6,FALSE),F343)</f>
        <v>0</v>
      </c>
      <c r="G344" t="str">
        <f>IFERROR(VLOOKUP(B344,'Pre-Summary'!$AE$6:$AJ$85,3,FALSE),"")</f>
        <v/>
      </c>
      <c r="H344" t="str">
        <f>IFERROR(VLOOKUP(B344,'Pre-Summary'!$AE$6:$AJ$85,4,FALSE),"")</f>
        <v/>
      </c>
      <c r="I344" t="str">
        <f>IFERROR(VLOOKUP(B344,'Pre-Summary'!$AE$6:$AJ$85,5,FALSE),"")</f>
        <v/>
      </c>
      <c r="J344" s="45" t="str">
        <f>IFERROR(VLOOKUP(B344,'Pre-Summary'!$AE$6:$AJ$85,6, FALSE),"")</f>
        <v/>
      </c>
      <c r="K344" s="45" t="str">
        <f>IFERROR(VLOOKUP(B344,'Pre-Summary'!$DE$6:$DG$61,3,FALSE),"")</f>
        <v/>
      </c>
      <c r="L344" s="45" t="str">
        <f>IFERROR(VLOOKUP(B344,'Pre-Summary'!$CU$6:$CW$36,3,FALSE),"")</f>
        <v/>
      </c>
      <c r="M344" s="45" t="str">
        <f>IFERROR(VLOOKUP(B344,'Pre-Summary'!$BW$6:$BY$58,2,FALSE),"")</f>
        <v/>
      </c>
      <c r="N344" s="45" t="str">
        <f>IFERROR(VLOOKUP(B344,'Pre-Summary'!$CD$6:$CF$64,2,FALSE),"")</f>
        <v/>
      </c>
      <c r="O344" s="99">
        <f>IFERROR(VLOOKUP(B344,'Pre-Summary'!$BO$6:$BQ$48,3, FALSE),O343)</f>
        <v>1.0915248032216731</v>
      </c>
      <c r="P344" s="99">
        <f>IFERROR(VLOOKUP(B344,'Pre-Summary'!$BS$6:$BU$35,3,FALSE),P343)</f>
        <v>0.25</v>
      </c>
      <c r="Q344" s="54">
        <f t="shared" si="15"/>
        <v>4.3660992128866924</v>
      </c>
      <c r="R344" s="53">
        <f>IFERROR(VLOOKUP(B344,'Pre-Summary'!$BG$6:$BM$44,7,FALSE),R345)</f>
        <v>2.7904161219319636E-2</v>
      </c>
      <c r="S344" s="53">
        <f>IFERROR(VLOOKUP(B344,'Pre-Summary'!$BG$6:$BM$44,6,FALSE),S345)</f>
        <v>3.3978715219895171E-2</v>
      </c>
      <c r="T344" s="45" t="str">
        <f>IFERROR(VLOOKUP(B344,'Pre-Summary'!$Y$6:$AC$83, 3,FALSE),"")</f>
        <v/>
      </c>
      <c r="U344" s="45" t="str">
        <f>IFERROR(VLOOKUP(B344,'Pre-Summary'!$Y$6:$AC$83, 4,FALSE),"")</f>
        <v/>
      </c>
      <c r="V344" t="str">
        <f>IFERROR(VLOOKUP(B344,'Pre-Summary'!$Y$6:$AC$83, 5,FALSE),"")</f>
        <v/>
      </c>
      <c r="W344" s="45" t="str">
        <f>IFERROR(VLOOKUP(B344,'Pre-Summary'!$Y$6:$AD$83,6,FALSE),"")</f>
        <v/>
      </c>
      <c r="X344" t="str">
        <f>IFERROR(VLOOKUP('Pre-Summary'!$DB$6:$DD$63,3,FALSE),"")</f>
        <v/>
      </c>
      <c r="Y344" t="str">
        <f>IFERROR(VLOOKUP(B344,'Pre-Summary'!$CR$6:$CT$36,3,FALSE),"")</f>
        <v/>
      </c>
      <c r="Z344" s="45" t="str">
        <f>IFERROR(VLOOKUP(B344,'Pre-Summary'!$BZ$6:$CB$63,2,FALSE),"")</f>
        <v/>
      </c>
      <c r="AA344" s="45" t="str">
        <f>IFERROR(VLOOKUP(B344,'Pre-Summary'!$CG$6:$CI$70,2,FALSE),"")</f>
        <v/>
      </c>
      <c r="AB344" s="99">
        <f>IFERROR(VLOOKUP(B344,'Pre-Summary'!$A$6:$P$178,9,FALSE),AB345)</f>
        <v>0.55228059519701667</v>
      </c>
      <c r="AC344" s="10">
        <f>IFERROR(VLOOKUP(Summary!B344,'Pre-Summary'!$A$6:$P$184,5, FALSE)/100,AC345)</f>
        <v>0.27094999999999997</v>
      </c>
      <c r="AD344" s="10">
        <f>IFERROR(VLOOKUP(Summary!B344,'Pre-Summary'!$A$6:$P$184,3, FALSE)/100,AD345)</f>
        <v>0.72263599999999995</v>
      </c>
      <c r="AE344" s="10">
        <f>IFERROR(VLOOKUP(Summary!B344,'Pre-Summary'!$A$6:$P$184,7, FALSE)/100,AE345)</f>
        <v>6.4139999999999996E-3</v>
      </c>
      <c r="AF344" s="99">
        <f t="shared" si="16"/>
        <v>0.39909784019079131</v>
      </c>
      <c r="AG344" s="99">
        <f t="shared" si="17"/>
        <v>3.5423277375936646E-3</v>
      </c>
      <c r="AH344" s="10" t="str">
        <f>IFERROR(VLOOKUP(B344,'Pre-Summary'!$AZ$6:$BE$65,3,FALSE),"")</f>
        <v/>
      </c>
      <c r="AI344" s="10" t="str">
        <f>IFERROR(VLOOKUP(B344,'Pre-Summary'!$AZ$6:$BE$65,5,FALSE),"")</f>
        <v/>
      </c>
      <c r="AJ344" s="10" t="str">
        <f>IFERROR(VLOOKUP(B344,'Pre-Summary'!$AZ$6:$BE$65,4,FALSE),"")</f>
        <v/>
      </c>
      <c r="AK344" s="10" t="str">
        <f>IFERROR(VLOOKUP(B344,'Pre-Summary'!$AZ$6:$BE$65,6,FALSE),"")</f>
        <v/>
      </c>
      <c r="AL344" s="10" t="str">
        <f>IFERROR(VLOOKUP(B344,'Pre-Summary'!$BG$6:$BL$44,3,FALSE),"")</f>
        <v/>
      </c>
      <c r="AM344" s="10" t="str">
        <f>IFERROR(VLOOKUP(B344,'Pre-Summary'!$BG$6:$BL$44,4,FALSE),"")</f>
        <v/>
      </c>
    </row>
    <row r="345" spans="2:39" ht="15" customHeight="1" x14ac:dyDescent="0.3">
      <c r="B345">
        <v>34.200000000000003</v>
      </c>
      <c r="C345" t="str">
        <f>IFERROR(VLOOKUP(B345,'Pre-Summary'!$DI$6:$DM$23,4,FALSE),"")</f>
        <v/>
      </c>
      <c r="D345" s="10" t="str">
        <f>IFERROR(VLOOKUP(B345,'Pre-Summary'!$AT$6:$AX$14,5,FALSE),D344)</f>
        <v>DSMZ v1.5: Using DSMZ 120 with NaHCO3</v>
      </c>
      <c r="E345" s="10" t="str">
        <f>IFERROR(VLOOKUP(B345,'Pre-Summary'!$AT$6:$AX$15,4,FALSE),"")</f>
        <v/>
      </c>
      <c r="F345">
        <f>IFERROR(VLOOKUP(B345,'Pre-Summary'!$AL$6:$AQ$13,6,FALSE),F344)</f>
        <v>0</v>
      </c>
      <c r="G345" t="str">
        <f>IFERROR(VLOOKUP(B345,'Pre-Summary'!$AE$6:$AJ$85,3,FALSE),"")</f>
        <v/>
      </c>
      <c r="H345" t="str">
        <f>IFERROR(VLOOKUP(B345,'Pre-Summary'!$AE$6:$AJ$85,4,FALSE),"")</f>
        <v/>
      </c>
      <c r="I345" t="str">
        <f>IFERROR(VLOOKUP(B345,'Pre-Summary'!$AE$6:$AJ$85,5,FALSE),"")</f>
        <v/>
      </c>
      <c r="J345" s="45" t="str">
        <f>IFERROR(VLOOKUP(B345,'Pre-Summary'!$AE$6:$AJ$85,6, FALSE),"")</f>
        <v/>
      </c>
      <c r="K345" s="45" t="str">
        <f>IFERROR(VLOOKUP(B345,'Pre-Summary'!$DE$6:$DG$61,3,FALSE),"")</f>
        <v/>
      </c>
      <c r="L345" s="45" t="str">
        <f>IFERROR(VLOOKUP(B345,'Pre-Summary'!$CU$6:$CW$36,3,FALSE),"")</f>
        <v/>
      </c>
      <c r="M345" s="45" t="str">
        <f>IFERROR(VLOOKUP(B345,'Pre-Summary'!$BW$6:$BY$58,2,FALSE),"")</f>
        <v/>
      </c>
      <c r="N345" s="45" t="str">
        <f>IFERROR(VLOOKUP(B345,'Pre-Summary'!$CD$6:$CF$64,2,FALSE),"")</f>
        <v/>
      </c>
      <c r="O345" s="99">
        <f>IFERROR(VLOOKUP(B345,'Pre-Summary'!$BO$6:$BQ$48,3, FALSE),O344)</f>
        <v>1.0915248032216731</v>
      </c>
      <c r="P345" s="99">
        <f>IFERROR(VLOOKUP(B345,'Pre-Summary'!$BS$6:$BU$35,3,FALSE),P344)</f>
        <v>0.25</v>
      </c>
      <c r="Q345" s="54">
        <f t="shared" si="15"/>
        <v>4.3660992128866924</v>
      </c>
      <c r="R345" s="53">
        <f>IFERROR(VLOOKUP(B345,'Pre-Summary'!$BG$6:$BM$44,7,FALSE),R346)</f>
        <v>2.7904161219319636E-2</v>
      </c>
      <c r="S345" s="53">
        <f>IFERROR(VLOOKUP(B345,'Pre-Summary'!$BG$6:$BM$44,6,FALSE),S346)</f>
        <v>3.3978715219895171E-2</v>
      </c>
      <c r="T345" s="45" t="str">
        <f>IFERROR(VLOOKUP(B345,'Pre-Summary'!$Y$6:$AC$83, 3,FALSE),"")</f>
        <v/>
      </c>
      <c r="U345" s="45" t="str">
        <f>IFERROR(VLOOKUP(B345,'Pre-Summary'!$Y$6:$AC$83, 4,FALSE),"")</f>
        <v/>
      </c>
      <c r="V345" t="str">
        <f>IFERROR(VLOOKUP(B345,'Pre-Summary'!$Y$6:$AC$83, 5,FALSE),"")</f>
        <v/>
      </c>
      <c r="W345" s="45" t="str">
        <f>IFERROR(VLOOKUP(B345,'Pre-Summary'!$Y$6:$AD$83,6,FALSE),"")</f>
        <v/>
      </c>
      <c r="X345" t="str">
        <f>IFERROR(VLOOKUP('Pre-Summary'!$DB$6:$DD$63,3,FALSE),"")</f>
        <v/>
      </c>
      <c r="Y345" t="str">
        <f>IFERROR(VLOOKUP(B345,'Pre-Summary'!$CR$6:$CT$36,3,FALSE),"")</f>
        <v/>
      </c>
      <c r="Z345" s="45" t="str">
        <f>IFERROR(VLOOKUP(B345,'Pre-Summary'!$BZ$6:$CB$63,2,FALSE),"")</f>
        <v/>
      </c>
      <c r="AA345" s="45" t="str">
        <f>IFERROR(VLOOKUP(B345,'Pre-Summary'!$CG$6:$CI$70,2,FALSE),"")</f>
        <v/>
      </c>
      <c r="AB345" s="99">
        <f>IFERROR(VLOOKUP(B345,'Pre-Summary'!$A$6:$P$178,9,FALSE),AB346)</f>
        <v>0.55228059519701667</v>
      </c>
      <c r="AC345" s="10">
        <f>IFERROR(VLOOKUP(Summary!B345,'Pre-Summary'!$A$6:$P$184,5, FALSE)/100,AC346)</f>
        <v>0.27094999999999997</v>
      </c>
      <c r="AD345" s="10">
        <f>IFERROR(VLOOKUP(Summary!B345,'Pre-Summary'!$A$6:$P$184,3, FALSE)/100,AD346)</f>
        <v>0.72263599999999995</v>
      </c>
      <c r="AE345" s="10">
        <f>IFERROR(VLOOKUP(Summary!B345,'Pre-Summary'!$A$6:$P$184,7, FALSE)/100,AE346)</f>
        <v>6.4139999999999996E-3</v>
      </c>
      <c r="AF345" s="99">
        <f t="shared" si="16"/>
        <v>0.39909784019079131</v>
      </c>
      <c r="AG345" s="99">
        <f t="shared" si="17"/>
        <v>3.5423277375936646E-3</v>
      </c>
      <c r="AH345" s="10" t="str">
        <f>IFERROR(VLOOKUP(B345,'Pre-Summary'!$AZ$6:$BE$65,3,FALSE),"")</f>
        <v/>
      </c>
      <c r="AI345" s="10" t="str">
        <f>IFERROR(VLOOKUP(B345,'Pre-Summary'!$AZ$6:$BE$65,5,FALSE),"")</f>
        <v/>
      </c>
      <c r="AJ345" s="10" t="str">
        <f>IFERROR(VLOOKUP(B345,'Pre-Summary'!$AZ$6:$BE$65,4,FALSE),"")</f>
        <v/>
      </c>
      <c r="AK345" s="10" t="str">
        <f>IFERROR(VLOOKUP(B345,'Pre-Summary'!$AZ$6:$BE$65,6,FALSE),"")</f>
        <v/>
      </c>
      <c r="AL345" s="10" t="str">
        <f>IFERROR(VLOOKUP(B345,'Pre-Summary'!$BG$6:$BL$44,3,FALSE),"")</f>
        <v/>
      </c>
      <c r="AM345" s="10" t="str">
        <f>IFERROR(VLOOKUP(B345,'Pre-Summary'!$BG$6:$BL$44,4,FALSE),"")</f>
        <v/>
      </c>
    </row>
    <row r="346" spans="2:39" ht="15" customHeight="1" x14ac:dyDescent="0.3">
      <c r="B346">
        <v>34.299999999999997</v>
      </c>
      <c r="C346" t="str">
        <f>IFERROR(VLOOKUP(B346,'Pre-Summary'!$DI$6:$DM$23,4,FALSE),"")</f>
        <v/>
      </c>
      <c r="D346" s="10" t="str">
        <f>IFERROR(VLOOKUP(B346,'Pre-Summary'!$AT$6:$AX$14,5,FALSE),D345)</f>
        <v>DSMZ v1.5: Using DSMZ 120 with NaHCO3</v>
      </c>
      <c r="E346" s="10" t="str">
        <f>IFERROR(VLOOKUP(B346,'Pre-Summary'!$AT$6:$AX$15,4,FALSE),"")</f>
        <v/>
      </c>
      <c r="F346">
        <f>IFERROR(VLOOKUP(B346,'Pre-Summary'!$AL$6:$AQ$13,6,FALSE),F345)</f>
        <v>0</v>
      </c>
      <c r="G346" t="str">
        <f>IFERROR(VLOOKUP(B346,'Pre-Summary'!$AE$6:$AJ$85,3,FALSE),"")</f>
        <v/>
      </c>
      <c r="H346" t="str">
        <f>IFERROR(VLOOKUP(B346,'Pre-Summary'!$AE$6:$AJ$85,4,FALSE),"")</f>
        <v/>
      </c>
      <c r="I346" t="str">
        <f>IFERROR(VLOOKUP(B346,'Pre-Summary'!$AE$6:$AJ$85,5,FALSE),"")</f>
        <v/>
      </c>
      <c r="J346" s="45" t="str">
        <f>IFERROR(VLOOKUP(B346,'Pre-Summary'!$AE$6:$AJ$85,6, FALSE),"")</f>
        <v/>
      </c>
      <c r="K346" s="45" t="str">
        <f>IFERROR(VLOOKUP(B346,'Pre-Summary'!$DE$6:$DG$61,3,FALSE),"")</f>
        <v/>
      </c>
      <c r="L346" s="45" t="str">
        <f>IFERROR(VLOOKUP(B346,'Pre-Summary'!$CU$6:$CW$36,3,FALSE),"")</f>
        <v/>
      </c>
      <c r="M346" s="45" t="str">
        <f>IFERROR(VLOOKUP(B346,'Pre-Summary'!$BW$6:$BY$58,2,FALSE),"")</f>
        <v/>
      </c>
      <c r="N346" s="45" t="str">
        <f>IFERROR(VLOOKUP(B346,'Pre-Summary'!$CD$6:$CF$64,2,FALSE),"")</f>
        <v/>
      </c>
      <c r="O346" s="99">
        <f>IFERROR(VLOOKUP(B346,'Pre-Summary'!$BO$6:$BQ$48,3, FALSE),O345)</f>
        <v>1.0915248032216731</v>
      </c>
      <c r="P346" s="99">
        <f>IFERROR(VLOOKUP(B346,'Pre-Summary'!$BS$6:$BU$35,3,FALSE),P345)</f>
        <v>0.25</v>
      </c>
      <c r="Q346" s="54">
        <f t="shared" si="15"/>
        <v>4.3660992128866924</v>
      </c>
      <c r="R346" s="53">
        <f>IFERROR(VLOOKUP(B346,'Pre-Summary'!$BG$6:$BM$44,7,FALSE),R347)</f>
        <v>2.7904161219319636E-2</v>
      </c>
      <c r="S346" s="53">
        <f>IFERROR(VLOOKUP(B346,'Pre-Summary'!$BG$6:$BM$44,6,FALSE),S347)</f>
        <v>3.3978715219895171E-2</v>
      </c>
      <c r="T346" s="45" t="str">
        <f>IFERROR(VLOOKUP(B346,'Pre-Summary'!$Y$6:$AC$83, 3,FALSE),"")</f>
        <v/>
      </c>
      <c r="U346" s="45" t="str">
        <f>IFERROR(VLOOKUP(B346,'Pre-Summary'!$Y$6:$AC$83, 4,FALSE),"")</f>
        <v/>
      </c>
      <c r="V346" t="str">
        <f>IFERROR(VLOOKUP(B346,'Pre-Summary'!$Y$6:$AC$83, 5,FALSE),"")</f>
        <v/>
      </c>
      <c r="W346" s="45" t="str">
        <f>IFERROR(VLOOKUP(B346,'Pre-Summary'!$Y$6:$AD$83,6,FALSE),"")</f>
        <v/>
      </c>
      <c r="X346" t="str">
        <f>IFERROR(VLOOKUP('Pre-Summary'!$DB$6:$DD$63,3,FALSE),"")</f>
        <v/>
      </c>
      <c r="Y346" t="str">
        <f>IFERROR(VLOOKUP(B346,'Pre-Summary'!$CR$6:$CT$36,3,FALSE),"")</f>
        <v/>
      </c>
      <c r="Z346" s="45" t="str">
        <f>IFERROR(VLOOKUP(B346,'Pre-Summary'!$BZ$6:$CB$63,2,FALSE),"")</f>
        <v/>
      </c>
      <c r="AA346" s="45" t="str">
        <f>IFERROR(VLOOKUP(B346,'Pre-Summary'!$CG$6:$CI$70,2,FALSE),"")</f>
        <v/>
      </c>
      <c r="AB346" s="99">
        <f>IFERROR(VLOOKUP(B346,'Pre-Summary'!$A$6:$P$178,9,FALSE),AB347)</f>
        <v>0.55228059519701667</v>
      </c>
      <c r="AC346" s="10">
        <f>IFERROR(VLOOKUP(Summary!B346,'Pre-Summary'!$A$6:$P$184,5, FALSE)/100,AC347)</f>
        <v>0.27094999999999997</v>
      </c>
      <c r="AD346" s="10">
        <f>IFERROR(VLOOKUP(Summary!B346,'Pre-Summary'!$A$6:$P$184,3, FALSE)/100,AD347)</f>
        <v>0.72263599999999995</v>
      </c>
      <c r="AE346" s="10">
        <f>IFERROR(VLOOKUP(Summary!B346,'Pre-Summary'!$A$6:$P$184,7, FALSE)/100,AE347)</f>
        <v>6.4139999999999996E-3</v>
      </c>
      <c r="AF346" s="99">
        <f t="shared" si="16"/>
        <v>0.39909784019079131</v>
      </c>
      <c r="AG346" s="99">
        <f t="shared" si="17"/>
        <v>3.5423277375936646E-3</v>
      </c>
      <c r="AH346" s="10" t="str">
        <f>IFERROR(VLOOKUP(B346,'Pre-Summary'!$AZ$6:$BE$65,3,FALSE),"")</f>
        <v/>
      </c>
      <c r="AI346" s="10" t="str">
        <f>IFERROR(VLOOKUP(B346,'Pre-Summary'!$AZ$6:$BE$65,5,FALSE),"")</f>
        <v/>
      </c>
      <c r="AJ346" s="10" t="str">
        <f>IFERROR(VLOOKUP(B346,'Pre-Summary'!$AZ$6:$BE$65,4,FALSE),"")</f>
        <v/>
      </c>
      <c r="AK346" s="10" t="str">
        <f>IFERROR(VLOOKUP(B346,'Pre-Summary'!$AZ$6:$BE$65,6,FALSE),"")</f>
        <v/>
      </c>
      <c r="AL346" s="10" t="str">
        <f>IFERROR(VLOOKUP(B346,'Pre-Summary'!$BG$6:$BL$44,3,FALSE),"")</f>
        <v/>
      </c>
      <c r="AM346" s="10" t="str">
        <f>IFERROR(VLOOKUP(B346,'Pre-Summary'!$BG$6:$BL$44,4,FALSE),"")</f>
        <v/>
      </c>
    </row>
    <row r="347" spans="2:39" ht="15" customHeight="1" x14ac:dyDescent="0.3">
      <c r="B347">
        <v>34.4</v>
      </c>
      <c r="C347" t="str">
        <f>IFERROR(VLOOKUP(B347,'Pre-Summary'!$DI$6:$DM$23,4,FALSE),"")</f>
        <v/>
      </c>
      <c r="D347" s="10" t="str">
        <f>IFERROR(VLOOKUP(B347,'Pre-Summary'!$AT$6:$AX$14,5,FALSE),D346)</f>
        <v>DSMZ v1.5: Using DSMZ 120 with NaHCO3</v>
      </c>
      <c r="E347" s="10" t="str">
        <f>IFERROR(VLOOKUP(B347,'Pre-Summary'!$AT$6:$AX$15,4,FALSE),"")</f>
        <v/>
      </c>
      <c r="F347">
        <f>IFERROR(VLOOKUP(B347,'Pre-Summary'!$AL$6:$AQ$13,6,FALSE),F346)</f>
        <v>0</v>
      </c>
      <c r="G347" t="str">
        <f>IFERROR(VLOOKUP(B347,'Pre-Summary'!$AE$6:$AJ$85,3,FALSE),"")</f>
        <v/>
      </c>
      <c r="H347" t="str">
        <f>IFERROR(VLOOKUP(B347,'Pre-Summary'!$AE$6:$AJ$85,4,FALSE),"")</f>
        <v/>
      </c>
      <c r="I347" t="str">
        <f>IFERROR(VLOOKUP(B347,'Pre-Summary'!$AE$6:$AJ$85,5,FALSE),"")</f>
        <v/>
      </c>
      <c r="J347" s="45" t="str">
        <f>IFERROR(VLOOKUP(B347,'Pre-Summary'!$AE$6:$AJ$85,6, FALSE),"")</f>
        <v/>
      </c>
      <c r="K347" s="45" t="str">
        <f>IFERROR(VLOOKUP(B347,'Pre-Summary'!$DE$6:$DG$61,3,FALSE),"")</f>
        <v/>
      </c>
      <c r="L347" s="45" t="str">
        <f>IFERROR(VLOOKUP(B347,'Pre-Summary'!$CU$6:$CW$36,3,FALSE),"")</f>
        <v/>
      </c>
      <c r="M347" s="45" t="str">
        <f>IFERROR(VLOOKUP(B347,'Pre-Summary'!$BW$6:$BY$58,2,FALSE),"")</f>
        <v/>
      </c>
      <c r="N347" s="45" t="str">
        <f>IFERROR(VLOOKUP(B347,'Pre-Summary'!$CD$6:$CF$64,2,FALSE),"")</f>
        <v/>
      </c>
      <c r="O347" s="99">
        <f>IFERROR(VLOOKUP(B347,'Pre-Summary'!$BO$6:$BQ$48,3, FALSE),O346)</f>
        <v>1.0915248032216731</v>
      </c>
      <c r="P347" s="99">
        <f>IFERROR(VLOOKUP(B347,'Pre-Summary'!$BS$6:$BU$35,3,FALSE),P346)</f>
        <v>0.25</v>
      </c>
      <c r="Q347" s="54">
        <f t="shared" si="15"/>
        <v>4.3660992128866924</v>
      </c>
      <c r="R347" s="53">
        <f>IFERROR(VLOOKUP(B347,'Pre-Summary'!$BG$6:$BM$44,7,FALSE),R348)</f>
        <v>2.7904161219319636E-2</v>
      </c>
      <c r="S347" s="53">
        <f>IFERROR(VLOOKUP(B347,'Pre-Summary'!$BG$6:$BM$44,6,FALSE),S348)</f>
        <v>3.3978715219895171E-2</v>
      </c>
      <c r="T347" s="45" t="str">
        <f>IFERROR(VLOOKUP(B347,'Pre-Summary'!$Y$6:$AC$83, 3,FALSE),"")</f>
        <v/>
      </c>
      <c r="U347" s="45" t="str">
        <f>IFERROR(VLOOKUP(B347,'Pre-Summary'!$Y$6:$AC$83, 4,FALSE),"")</f>
        <v/>
      </c>
      <c r="V347" t="str">
        <f>IFERROR(VLOOKUP(B347,'Pre-Summary'!$Y$6:$AC$83, 5,FALSE),"")</f>
        <v/>
      </c>
      <c r="W347" s="45" t="str">
        <f>IFERROR(VLOOKUP(B347,'Pre-Summary'!$Y$6:$AD$83,6,FALSE),"")</f>
        <v/>
      </c>
      <c r="X347" t="str">
        <f>IFERROR(VLOOKUP('Pre-Summary'!$DB$6:$DD$63,3,FALSE),"")</f>
        <v/>
      </c>
      <c r="Y347" t="str">
        <f>IFERROR(VLOOKUP(B347,'Pre-Summary'!$CR$6:$CT$36,3,FALSE),"")</f>
        <v/>
      </c>
      <c r="Z347" s="45" t="str">
        <f>IFERROR(VLOOKUP(B347,'Pre-Summary'!$BZ$6:$CB$63,2,FALSE),"")</f>
        <v/>
      </c>
      <c r="AA347" s="45" t="str">
        <f>IFERROR(VLOOKUP(B347,'Pre-Summary'!$CG$6:$CI$70,2,FALSE),"")</f>
        <v/>
      </c>
      <c r="AB347" s="99">
        <f>IFERROR(VLOOKUP(B347,'Pre-Summary'!$A$6:$P$178,9,FALSE),AB348)</f>
        <v>0.55228059519701667</v>
      </c>
      <c r="AC347" s="10">
        <f>IFERROR(VLOOKUP(Summary!B347,'Pre-Summary'!$A$6:$P$184,5, FALSE)/100,AC348)</f>
        <v>0.27094999999999997</v>
      </c>
      <c r="AD347" s="10">
        <f>IFERROR(VLOOKUP(Summary!B347,'Pre-Summary'!$A$6:$P$184,3, FALSE)/100,AD348)</f>
        <v>0.72263599999999995</v>
      </c>
      <c r="AE347" s="10">
        <f>IFERROR(VLOOKUP(Summary!B347,'Pre-Summary'!$A$6:$P$184,7, FALSE)/100,AE348)</f>
        <v>6.4139999999999996E-3</v>
      </c>
      <c r="AF347" s="99">
        <f t="shared" si="16"/>
        <v>0.39909784019079131</v>
      </c>
      <c r="AG347" s="99">
        <f t="shared" si="17"/>
        <v>3.5423277375936646E-3</v>
      </c>
      <c r="AH347" s="10" t="str">
        <f>IFERROR(VLOOKUP(B347,'Pre-Summary'!$AZ$6:$BE$65,3,FALSE),"")</f>
        <v/>
      </c>
      <c r="AI347" s="10" t="str">
        <f>IFERROR(VLOOKUP(B347,'Pre-Summary'!$AZ$6:$BE$65,5,FALSE),"")</f>
        <v/>
      </c>
      <c r="AJ347" s="10" t="str">
        <f>IFERROR(VLOOKUP(B347,'Pre-Summary'!$AZ$6:$BE$65,4,FALSE),"")</f>
        <v/>
      </c>
      <c r="AK347" s="10" t="str">
        <f>IFERROR(VLOOKUP(B347,'Pre-Summary'!$AZ$6:$BE$65,6,FALSE),"")</f>
        <v/>
      </c>
      <c r="AL347" s="10" t="str">
        <f>IFERROR(VLOOKUP(B347,'Pre-Summary'!$BG$6:$BL$44,3,FALSE),"")</f>
        <v/>
      </c>
      <c r="AM347" s="10" t="str">
        <f>IFERROR(VLOOKUP(B347,'Pre-Summary'!$BG$6:$BL$44,4,FALSE),"")</f>
        <v/>
      </c>
    </row>
    <row r="348" spans="2:39" ht="15" customHeight="1" x14ac:dyDescent="0.3">
      <c r="B348">
        <v>34.5</v>
      </c>
      <c r="C348" t="str">
        <f>IFERROR(VLOOKUP(B348,'Pre-Summary'!$DI$6:$DM$23,4,FALSE),"")</f>
        <v/>
      </c>
      <c r="D348" s="10" t="str">
        <f>IFERROR(VLOOKUP(B348,'Pre-Summary'!$AT$6:$AX$14,5,FALSE),D347)</f>
        <v>DSMZ v1.5: Using DSMZ 120 with NaHCO3</v>
      </c>
      <c r="E348" s="10" t="str">
        <f>IFERROR(VLOOKUP(B348,'Pre-Summary'!$AT$6:$AX$15,4,FALSE),"")</f>
        <v/>
      </c>
      <c r="F348">
        <f>IFERROR(VLOOKUP(B348,'Pre-Summary'!$AL$6:$AQ$13,6,FALSE),F347)</f>
        <v>0</v>
      </c>
      <c r="G348" t="str">
        <f>IFERROR(VLOOKUP(B348,'Pre-Summary'!$AE$6:$AJ$85,3,FALSE),"")</f>
        <v/>
      </c>
      <c r="H348" t="str">
        <f>IFERROR(VLOOKUP(B348,'Pre-Summary'!$AE$6:$AJ$85,4,FALSE),"")</f>
        <v/>
      </c>
      <c r="I348" t="str">
        <f>IFERROR(VLOOKUP(B348,'Pre-Summary'!$AE$6:$AJ$85,5,FALSE),"")</f>
        <v/>
      </c>
      <c r="J348" s="45" t="str">
        <f>IFERROR(VLOOKUP(B348,'Pre-Summary'!$AE$6:$AJ$85,6, FALSE),"")</f>
        <v/>
      </c>
      <c r="K348" s="45" t="str">
        <f>IFERROR(VLOOKUP(B348,'Pre-Summary'!$DE$6:$DG$61,3,FALSE),"")</f>
        <v/>
      </c>
      <c r="L348" s="45" t="str">
        <f>IFERROR(VLOOKUP(B348,'Pre-Summary'!$CU$6:$CW$36,3,FALSE),"")</f>
        <v/>
      </c>
      <c r="M348" s="45" t="str">
        <f>IFERROR(VLOOKUP(B348,'Pre-Summary'!$BW$6:$BY$58,2,FALSE),"")</f>
        <v/>
      </c>
      <c r="N348" s="45" t="str">
        <f>IFERROR(VLOOKUP(B348,'Pre-Summary'!$CD$6:$CF$64,2,FALSE),"")</f>
        <v/>
      </c>
      <c r="O348" s="99">
        <f>IFERROR(VLOOKUP(B348,'Pre-Summary'!$BO$6:$BQ$48,3, FALSE),O347)</f>
        <v>1.0915248032216731</v>
      </c>
      <c r="P348" s="99">
        <f>IFERROR(VLOOKUP(B348,'Pre-Summary'!$BS$6:$BU$35,3,FALSE),P347)</f>
        <v>0.25</v>
      </c>
      <c r="Q348" s="54">
        <f t="shared" si="15"/>
        <v>4.3660992128866924</v>
      </c>
      <c r="R348" s="53">
        <f>IFERROR(VLOOKUP(B348,'Pre-Summary'!$BG$6:$BM$44,7,FALSE),R349)</f>
        <v>2.7904161219319636E-2</v>
      </c>
      <c r="S348" s="53">
        <f>IFERROR(VLOOKUP(B348,'Pre-Summary'!$BG$6:$BM$44,6,FALSE),S349)</f>
        <v>3.3978715219895171E-2</v>
      </c>
      <c r="T348" s="45" t="str">
        <f>IFERROR(VLOOKUP(B348,'Pre-Summary'!$Y$6:$AC$83, 3,FALSE),"")</f>
        <v/>
      </c>
      <c r="U348" s="45" t="str">
        <f>IFERROR(VLOOKUP(B348,'Pre-Summary'!$Y$6:$AC$83, 4,FALSE),"")</f>
        <v/>
      </c>
      <c r="V348" t="str">
        <f>IFERROR(VLOOKUP(B348,'Pre-Summary'!$Y$6:$AC$83, 5,FALSE),"")</f>
        <v/>
      </c>
      <c r="W348" s="45" t="str">
        <f>IFERROR(VLOOKUP(B348,'Pre-Summary'!$Y$6:$AD$83,6,FALSE),"")</f>
        <v/>
      </c>
      <c r="X348" t="str">
        <f>IFERROR(VLOOKUP('Pre-Summary'!$DB$6:$DD$63,3,FALSE),"")</f>
        <v/>
      </c>
      <c r="Y348" t="str">
        <f>IFERROR(VLOOKUP(B348,'Pre-Summary'!$CR$6:$CT$36,3,FALSE),"")</f>
        <v/>
      </c>
      <c r="Z348" s="45" t="str">
        <f>IFERROR(VLOOKUP(B348,'Pre-Summary'!$BZ$6:$CB$63,2,FALSE),"")</f>
        <v/>
      </c>
      <c r="AA348" s="45" t="str">
        <f>IFERROR(VLOOKUP(B348,'Pre-Summary'!$CG$6:$CI$70,2,FALSE),"")</f>
        <v/>
      </c>
      <c r="AB348" s="99">
        <f>IFERROR(VLOOKUP(B348,'Pre-Summary'!$A$6:$P$178,9,FALSE),AB349)</f>
        <v>0.55228059519701667</v>
      </c>
      <c r="AC348" s="10">
        <f>IFERROR(VLOOKUP(Summary!B348,'Pre-Summary'!$A$6:$P$184,5, FALSE)/100,AC349)</f>
        <v>0.27094999999999997</v>
      </c>
      <c r="AD348" s="10">
        <f>IFERROR(VLOOKUP(Summary!B348,'Pre-Summary'!$A$6:$P$184,3, FALSE)/100,AD349)</f>
        <v>0.72263599999999995</v>
      </c>
      <c r="AE348" s="10">
        <f>IFERROR(VLOOKUP(Summary!B348,'Pre-Summary'!$A$6:$P$184,7, FALSE)/100,AE349)</f>
        <v>6.4139999999999996E-3</v>
      </c>
      <c r="AF348" s="99">
        <f t="shared" si="16"/>
        <v>0.39909784019079131</v>
      </c>
      <c r="AG348" s="99">
        <f t="shared" si="17"/>
        <v>3.5423277375936646E-3</v>
      </c>
      <c r="AH348" s="10" t="str">
        <f>IFERROR(VLOOKUP(B348,'Pre-Summary'!$AZ$6:$BE$65,3,FALSE),"")</f>
        <v/>
      </c>
      <c r="AI348" s="10" t="str">
        <f>IFERROR(VLOOKUP(B348,'Pre-Summary'!$AZ$6:$BE$65,5,FALSE),"")</f>
        <v/>
      </c>
      <c r="AJ348" s="10" t="str">
        <f>IFERROR(VLOOKUP(B348,'Pre-Summary'!$AZ$6:$BE$65,4,FALSE),"")</f>
        <v/>
      </c>
      <c r="AK348" s="10" t="str">
        <f>IFERROR(VLOOKUP(B348,'Pre-Summary'!$AZ$6:$BE$65,6,FALSE),"")</f>
        <v/>
      </c>
      <c r="AL348" s="10" t="str">
        <f>IFERROR(VLOOKUP(B348,'Pre-Summary'!$BG$6:$BL$44,3,FALSE),"")</f>
        <v/>
      </c>
      <c r="AM348" s="10" t="str">
        <f>IFERROR(VLOOKUP(B348,'Pre-Summary'!$BG$6:$BL$44,4,FALSE),"")</f>
        <v/>
      </c>
    </row>
    <row r="349" spans="2:39" ht="15" customHeight="1" x14ac:dyDescent="0.3">
      <c r="B349">
        <v>34.6</v>
      </c>
      <c r="C349" t="str">
        <f>IFERROR(VLOOKUP(B349,'Pre-Summary'!$DI$6:$DM$23,4,FALSE),"")</f>
        <v/>
      </c>
      <c r="D349" s="10" t="str">
        <f>IFERROR(VLOOKUP(B349,'Pre-Summary'!$AT$6:$AX$14,5,FALSE),D348)</f>
        <v>DSMZ v1.5: Using DSMZ 120 with NaHCO3</v>
      </c>
      <c r="E349" s="10" t="str">
        <f>IFERROR(VLOOKUP(B349,'Pre-Summary'!$AT$6:$AX$15,4,FALSE),"")</f>
        <v/>
      </c>
      <c r="F349">
        <f>IFERROR(VLOOKUP(B349,'Pre-Summary'!$AL$6:$AQ$13,6,FALSE),F348)</f>
        <v>0</v>
      </c>
      <c r="G349" t="str">
        <f>IFERROR(VLOOKUP(B349,'Pre-Summary'!$AE$6:$AJ$85,3,FALSE),"")</f>
        <v/>
      </c>
      <c r="H349" t="str">
        <f>IFERROR(VLOOKUP(B349,'Pre-Summary'!$AE$6:$AJ$85,4,FALSE),"")</f>
        <v/>
      </c>
      <c r="I349" t="str">
        <f>IFERROR(VLOOKUP(B349,'Pre-Summary'!$AE$6:$AJ$85,5,FALSE),"")</f>
        <v/>
      </c>
      <c r="J349" s="45" t="str">
        <f>IFERROR(VLOOKUP(B349,'Pre-Summary'!$AE$6:$AJ$85,6, FALSE),"")</f>
        <v/>
      </c>
      <c r="K349" s="45" t="str">
        <f>IFERROR(VLOOKUP(B349,'Pre-Summary'!$DE$6:$DG$61,3,FALSE),"")</f>
        <v/>
      </c>
      <c r="L349" s="45" t="str">
        <f>IFERROR(VLOOKUP(B349,'Pre-Summary'!$CU$6:$CW$36,3,FALSE),"")</f>
        <v/>
      </c>
      <c r="M349" s="45" t="str">
        <f>IFERROR(VLOOKUP(B349,'Pre-Summary'!$BW$6:$BY$58,2,FALSE),"")</f>
        <v/>
      </c>
      <c r="N349" s="45" t="str">
        <f>IFERROR(VLOOKUP(B349,'Pre-Summary'!$CD$6:$CF$64,2,FALSE),"")</f>
        <v/>
      </c>
      <c r="O349" s="99">
        <f>IFERROR(VLOOKUP(B349,'Pre-Summary'!$BO$6:$BQ$48,3, FALSE),O348)</f>
        <v>1.0915248032216731</v>
      </c>
      <c r="P349" s="99">
        <f>IFERROR(VLOOKUP(B349,'Pre-Summary'!$BS$6:$BU$35,3,FALSE),P348)</f>
        <v>0.25</v>
      </c>
      <c r="Q349" s="54">
        <f t="shared" si="15"/>
        <v>4.3660992128866924</v>
      </c>
      <c r="R349" s="53">
        <f>IFERROR(VLOOKUP(B349,'Pre-Summary'!$BG$6:$BM$44,7,FALSE),R350)</f>
        <v>2.7904161219319636E-2</v>
      </c>
      <c r="S349" s="53">
        <f>IFERROR(VLOOKUP(B349,'Pre-Summary'!$BG$6:$BM$44,6,FALSE),S350)</f>
        <v>3.3978715219895171E-2</v>
      </c>
      <c r="T349" s="45" t="str">
        <f>IFERROR(VLOOKUP(B349,'Pre-Summary'!$Y$6:$AC$83, 3,FALSE),"")</f>
        <v/>
      </c>
      <c r="U349" s="45" t="str">
        <f>IFERROR(VLOOKUP(B349,'Pre-Summary'!$Y$6:$AC$83, 4,FALSE),"")</f>
        <v/>
      </c>
      <c r="V349" t="str">
        <f>IFERROR(VLOOKUP(B349,'Pre-Summary'!$Y$6:$AC$83, 5,FALSE),"")</f>
        <v/>
      </c>
      <c r="W349" s="45" t="str">
        <f>IFERROR(VLOOKUP(B349,'Pre-Summary'!$Y$6:$AD$83,6,FALSE),"")</f>
        <v/>
      </c>
      <c r="X349" t="str">
        <f>IFERROR(VLOOKUP('Pre-Summary'!$DB$6:$DD$63,3,FALSE),"")</f>
        <v/>
      </c>
      <c r="Y349" t="str">
        <f>IFERROR(VLOOKUP(B349,'Pre-Summary'!$CR$6:$CT$36,3,FALSE),"")</f>
        <v/>
      </c>
      <c r="Z349" s="45" t="str">
        <f>IFERROR(VLOOKUP(B349,'Pre-Summary'!$BZ$6:$CB$63,2,FALSE),"")</f>
        <v/>
      </c>
      <c r="AA349" s="45" t="str">
        <f>IFERROR(VLOOKUP(B349,'Pre-Summary'!$CG$6:$CI$70,2,FALSE),"")</f>
        <v/>
      </c>
      <c r="AB349" s="99">
        <f>IFERROR(VLOOKUP(B349,'Pre-Summary'!$A$6:$P$178,9,FALSE),AB350)</f>
        <v>0.55228059519701667</v>
      </c>
      <c r="AC349" s="10">
        <f>IFERROR(VLOOKUP(Summary!B349,'Pre-Summary'!$A$6:$P$184,5, FALSE)/100,AC350)</f>
        <v>0.27094999999999997</v>
      </c>
      <c r="AD349" s="10">
        <f>IFERROR(VLOOKUP(Summary!B349,'Pre-Summary'!$A$6:$P$184,3, FALSE)/100,AD350)</f>
        <v>0.72263599999999995</v>
      </c>
      <c r="AE349" s="10">
        <f>IFERROR(VLOOKUP(Summary!B349,'Pre-Summary'!$A$6:$P$184,7, FALSE)/100,AE350)</f>
        <v>6.4139999999999996E-3</v>
      </c>
      <c r="AF349" s="99">
        <f t="shared" si="16"/>
        <v>0.39909784019079131</v>
      </c>
      <c r="AG349" s="99">
        <f t="shared" si="17"/>
        <v>3.5423277375936646E-3</v>
      </c>
      <c r="AH349" s="10" t="str">
        <f>IFERROR(VLOOKUP(B349,'Pre-Summary'!$AZ$6:$BE$65,3,FALSE),"")</f>
        <v/>
      </c>
      <c r="AI349" s="10" t="str">
        <f>IFERROR(VLOOKUP(B349,'Pre-Summary'!$AZ$6:$BE$65,5,FALSE),"")</f>
        <v/>
      </c>
      <c r="AJ349" s="10" t="str">
        <f>IFERROR(VLOOKUP(B349,'Pre-Summary'!$AZ$6:$BE$65,4,FALSE),"")</f>
        <v/>
      </c>
      <c r="AK349" s="10" t="str">
        <f>IFERROR(VLOOKUP(B349,'Pre-Summary'!$AZ$6:$BE$65,6,FALSE),"")</f>
        <v/>
      </c>
      <c r="AL349" s="10" t="str">
        <f>IFERROR(VLOOKUP(B349,'Pre-Summary'!$BG$6:$BL$44,3,FALSE),"")</f>
        <v/>
      </c>
      <c r="AM349" s="10" t="str">
        <f>IFERROR(VLOOKUP(B349,'Pre-Summary'!$BG$6:$BL$44,4,FALSE),"")</f>
        <v/>
      </c>
    </row>
    <row r="350" spans="2:39" ht="15" customHeight="1" x14ac:dyDescent="0.3">
      <c r="B350">
        <v>34.700000000000003</v>
      </c>
      <c r="C350" t="str">
        <f>IFERROR(VLOOKUP(B350,'Pre-Summary'!$DI$6:$DM$23,4,FALSE),"")</f>
        <v/>
      </c>
      <c r="D350" s="10" t="str">
        <f>IFERROR(VLOOKUP(B350,'Pre-Summary'!$AT$6:$AX$14,5,FALSE),D349)</f>
        <v>DSMZ v1.5: Using DSMZ 120 with NaHCO3</v>
      </c>
      <c r="E350" s="10" t="str">
        <f>IFERROR(VLOOKUP(B350,'Pre-Summary'!$AT$6:$AX$15,4,FALSE),"")</f>
        <v/>
      </c>
      <c r="F350">
        <f>IFERROR(VLOOKUP(B350,'Pre-Summary'!$AL$6:$AQ$13,6,FALSE),F349)</f>
        <v>0</v>
      </c>
      <c r="G350" t="str">
        <f>IFERROR(VLOOKUP(B350,'Pre-Summary'!$AE$6:$AJ$85,3,FALSE),"")</f>
        <v/>
      </c>
      <c r="H350" t="str">
        <f>IFERROR(VLOOKUP(B350,'Pre-Summary'!$AE$6:$AJ$85,4,FALSE),"")</f>
        <v/>
      </c>
      <c r="I350" t="str">
        <f>IFERROR(VLOOKUP(B350,'Pre-Summary'!$AE$6:$AJ$85,5,FALSE),"")</f>
        <v/>
      </c>
      <c r="J350" s="45" t="str">
        <f>IFERROR(VLOOKUP(B350,'Pre-Summary'!$AE$6:$AJ$85,6, FALSE),"")</f>
        <v/>
      </c>
      <c r="K350" s="45" t="str">
        <f>IFERROR(VLOOKUP(B350,'Pre-Summary'!$DE$6:$DG$61,3,FALSE),"")</f>
        <v/>
      </c>
      <c r="L350" s="45" t="str">
        <f>IFERROR(VLOOKUP(B350,'Pre-Summary'!$CU$6:$CW$36,3,FALSE),"")</f>
        <v/>
      </c>
      <c r="M350" s="45" t="str">
        <f>IFERROR(VLOOKUP(B350,'Pre-Summary'!$BW$6:$BY$58,2,FALSE),"")</f>
        <v/>
      </c>
      <c r="N350" s="45" t="str">
        <f>IFERROR(VLOOKUP(B350,'Pre-Summary'!$CD$6:$CF$64,2,FALSE),"")</f>
        <v/>
      </c>
      <c r="O350" s="99">
        <f>IFERROR(VLOOKUP(B350,'Pre-Summary'!$BO$6:$BQ$48,3, FALSE),O349)</f>
        <v>1.0915248032216731</v>
      </c>
      <c r="P350" s="99">
        <f>IFERROR(VLOOKUP(B350,'Pre-Summary'!$BS$6:$BU$35,3,FALSE),P349)</f>
        <v>0.25</v>
      </c>
      <c r="Q350" s="54">
        <f t="shared" si="15"/>
        <v>4.3660992128866924</v>
      </c>
      <c r="R350" s="53">
        <f>IFERROR(VLOOKUP(B350,'Pre-Summary'!$BG$6:$BM$44,7,FALSE),R351)</f>
        <v>2.7904161219319636E-2</v>
      </c>
      <c r="S350" s="53">
        <f>IFERROR(VLOOKUP(B350,'Pre-Summary'!$BG$6:$BM$44,6,FALSE),S351)</f>
        <v>3.3978715219895171E-2</v>
      </c>
      <c r="T350" s="45" t="str">
        <f>IFERROR(VLOOKUP(B350,'Pre-Summary'!$Y$6:$AC$83, 3,FALSE),"")</f>
        <v/>
      </c>
      <c r="U350" s="45" t="str">
        <f>IFERROR(VLOOKUP(B350,'Pre-Summary'!$Y$6:$AC$83, 4,FALSE),"")</f>
        <v/>
      </c>
      <c r="V350" t="str">
        <f>IFERROR(VLOOKUP(B350,'Pre-Summary'!$Y$6:$AC$83, 5,FALSE),"")</f>
        <v/>
      </c>
      <c r="W350" s="45" t="str">
        <f>IFERROR(VLOOKUP(B350,'Pre-Summary'!$Y$6:$AD$83,6,FALSE),"")</f>
        <v/>
      </c>
      <c r="X350" t="str">
        <f>IFERROR(VLOOKUP('Pre-Summary'!$DB$6:$DD$63,3,FALSE),"")</f>
        <v/>
      </c>
      <c r="Y350" t="str">
        <f>IFERROR(VLOOKUP(B350,'Pre-Summary'!$CR$6:$CT$36,3,FALSE),"")</f>
        <v/>
      </c>
      <c r="Z350" s="45" t="str">
        <f>IFERROR(VLOOKUP(B350,'Pre-Summary'!$BZ$6:$CB$63,2,FALSE),"")</f>
        <v/>
      </c>
      <c r="AA350" s="45" t="str">
        <f>IFERROR(VLOOKUP(B350,'Pre-Summary'!$CG$6:$CI$70,2,FALSE),"")</f>
        <v/>
      </c>
      <c r="AB350" s="99">
        <f>IFERROR(VLOOKUP(B350,'Pre-Summary'!$A$6:$P$178,9,FALSE),AB351)</f>
        <v>0.55228059519701667</v>
      </c>
      <c r="AC350" s="10">
        <f>IFERROR(VLOOKUP(Summary!B350,'Pre-Summary'!$A$6:$P$184,5, FALSE)/100,AC351)</f>
        <v>0.27094999999999997</v>
      </c>
      <c r="AD350" s="10">
        <f>IFERROR(VLOOKUP(Summary!B350,'Pre-Summary'!$A$6:$P$184,3, FALSE)/100,AD351)</f>
        <v>0.72263599999999995</v>
      </c>
      <c r="AE350" s="10">
        <f>IFERROR(VLOOKUP(Summary!B350,'Pre-Summary'!$A$6:$P$184,7, FALSE)/100,AE351)</f>
        <v>6.4139999999999996E-3</v>
      </c>
      <c r="AF350" s="99">
        <f t="shared" si="16"/>
        <v>0.39909784019079131</v>
      </c>
      <c r="AG350" s="99">
        <f t="shared" si="17"/>
        <v>3.5423277375936646E-3</v>
      </c>
      <c r="AH350" s="10" t="str">
        <f>IFERROR(VLOOKUP(B350,'Pre-Summary'!$AZ$6:$BE$65,3,FALSE),"")</f>
        <v/>
      </c>
      <c r="AI350" s="10" t="str">
        <f>IFERROR(VLOOKUP(B350,'Pre-Summary'!$AZ$6:$BE$65,5,FALSE),"")</f>
        <v/>
      </c>
      <c r="AJ350" s="10" t="str">
        <f>IFERROR(VLOOKUP(B350,'Pre-Summary'!$AZ$6:$BE$65,4,FALSE),"")</f>
        <v/>
      </c>
      <c r="AK350" s="10" t="str">
        <f>IFERROR(VLOOKUP(B350,'Pre-Summary'!$AZ$6:$BE$65,6,FALSE),"")</f>
        <v/>
      </c>
      <c r="AL350" s="10" t="str">
        <f>IFERROR(VLOOKUP(B350,'Pre-Summary'!$BG$6:$BL$44,3,FALSE),"")</f>
        <v/>
      </c>
      <c r="AM350" s="10" t="str">
        <f>IFERROR(VLOOKUP(B350,'Pre-Summary'!$BG$6:$BL$44,4,FALSE),"")</f>
        <v/>
      </c>
    </row>
    <row r="351" spans="2:39" ht="15" customHeight="1" x14ac:dyDescent="0.3">
      <c r="B351">
        <v>34.799999999999997</v>
      </c>
      <c r="C351" t="str">
        <f>IFERROR(VLOOKUP(B351,'Pre-Summary'!$DI$6:$DM$23,4,FALSE),"")</f>
        <v/>
      </c>
      <c r="D351" s="10" t="str">
        <f>IFERROR(VLOOKUP(B351,'Pre-Summary'!$AT$6:$AX$14,5,FALSE),D350)</f>
        <v>DSMZ v1.5: Using DSMZ 120 with NaHCO3</v>
      </c>
      <c r="E351" s="10" t="str">
        <f>IFERROR(VLOOKUP(B351,'Pre-Summary'!$AT$6:$AX$15,4,FALSE),"")</f>
        <v/>
      </c>
      <c r="F351">
        <f>IFERROR(VLOOKUP(B351,'Pre-Summary'!$AL$6:$AQ$13,6,FALSE),F350)</f>
        <v>0</v>
      </c>
      <c r="G351" t="str">
        <f>IFERROR(VLOOKUP(B351,'Pre-Summary'!$AE$6:$AJ$85,3,FALSE),"")</f>
        <v/>
      </c>
      <c r="H351" t="str">
        <f>IFERROR(VLOOKUP(B351,'Pre-Summary'!$AE$6:$AJ$85,4,FALSE),"")</f>
        <v/>
      </c>
      <c r="I351" t="str">
        <f>IFERROR(VLOOKUP(B351,'Pre-Summary'!$AE$6:$AJ$85,5,FALSE),"")</f>
        <v/>
      </c>
      <c r="J351" s="45" t="str">
        <f>IFERROR(VLOOKUP(B351,'Pre-Summary'!$AE$6:$AJ$85,6, FALSE),"")</f>
        <v/>
      </c>
      <c r="K351" s="45" t="str">
        <f>IFERROR(VLOOKUP(B351,'Pre-Summary'!$DE$6:$DG$61,3,FALSE),"")</f>
        <v/>
      </c>
      <c r="L351" s="45" t="str">
        <f>IFERROR(VLOOKUP(B351,'Pre-Summary'!$CU$6:$CW$36,3,FALSE),"")</f>
        <v/>
      </c>
      <c r="M351" s="45" t="str">
        <f>IFERROR(VLOOKUP(B351,'Pre-Summary'!$BW$6:$BY$58,2,FALSE),"")</f>
        <v/>
      </c>
      <c r="N351" s="45" t="str">
        <f>IFERROR(VLOOKUP(B351,'Pre-Summary'!$CD$6:$CF$64,2,FALSE),"")</f>
        <v/>
      </c>
      <c r="O351" s="99">
        <f>IFERROR(VLOOKUP(B351,'Pre-Summary'!$BO$6:$BQ$48,3, FALSE),O350)</f>
        <v>1.0915248032216731</v>
      </c>
      <c r="P351" s="99">
        <f>IFERROR(VLOOKUP(B351,'Pre-Summary'!$BS$6:$BU$35,3,FALSE),P350)</f>
        <v>0.25</v>
      </c>
      <c r="Q351" s="54">
        <f t="shared" si="15"/>
        <v>4.3660992128866924</v>
      </c>
      <c r="R351" s="53">
        <f>IFERROR(VLOOKUP(B351,'Pre-Summary'!$BG$6:$BM$44,7,FALSE),R352)</f>
        <v>2.7904161219319636E-2</v>
      </c>
      <c r="S351" s="53">
        <f>IFERROR(VLOOKUP(B351,'Pre-Summary'!$BG$6:$BM$44,6,FALSE),S352)</f>
        <v>3.3978715219895171E-2</v>
      </c>
      <c r="T351" s="45" t="str">
        <f>IFERROR(VLOOKUP(B351,'Pre-Summary'!$Y$6:$AC$83, 3,FALSE),"")</f>
        <v/>
      </c>
      <c r="U351" s="45" t="str">
        <f>IFERROR(VLOOKUP(B351,'Pre-Summary'!$Y$6:$AC$83, 4,FALSE),"")</f>
        <v/>
      </c>
      <c r="V351" t="str">
        <f>IFERROR(VLOOKUP(B351,'Pre-Summary'!$Y$6:$AC$83, 5,FALSE),"")</f>
        <v/>
      </c>
      <c r="W351" s="45" t="str">
        <f>IFERROR(VLOOKUP(B351,'Pre-Summary'!$Y$6:$AD$83,6,FALSE),"")</f>
        <v/>
      </c>
      <c r="X351" t="str">
        <f>IFERROR(VLOOKUP('Pre-Summary'!$DB$6:$DD$63,3,FALSE),"")</f>
        <v/>
      </c>
      <c r="Y351" t="str">
        <f>IFERROR(VLOOKUP(B351,'Pre-Summary'!$CR$6:$CT$36,3,FALSE),"")</f>
        <v/>
      </c>
      <c r="Z351" s="45" t="str">
        <f>IFERROR(VLOOKUP(B351,'Pre-Summary'!$BZ$6:$CB$63,2,FALSE),"")</f>
        <v/>
      </c>
      <c r="AA351" s="45" t="str">
        <f>IFERROR(VLOOKUP(B351,'Pre-Summary'!$CG$6:$CI$70,2,FALSE),"")</f>
        <v/>
      </c>
      <c r="AB351" s="99">
        <f>IFERROR(VLOOKUP(B351,'Pre-Summary'!$A$6:$P$178,9,FALSE),AB352)</f>
        <v>0.55228059519701667</v>
      </c>
      <c r="AC351" s="10">
        <f>IFERROR(VLOOKUP(Summary!B351,'Pre-Summary'!$A$6:$P$184,5, FALSE)/100,AC352)</f>
        <v>0.27094999999999997</v>
      </c>
      <c r="AD351" s="10">
        <f>IFERROR(VLOOKUP(Summary!B351,'Pre-Summary'!$A$6:$P$184,3, FALSE)/100,AD352)</f>
        <v>0.72263599999999995</v>
      </c>
      <c r="AE351" s="10">
        <f>IFERROR(VLOOKUP(Summary!B351,'Pre-Summary'!$A$6:$P$184,7, FALSE)/100,AE352)</f>
        <v>6.4139999999999996E-3</v>
      </c>
      <c r="AF351" s="99">
        <f t="shared" si="16"/>
        <v>0.39909784019079131</v>
      </c>
      <c r="AG351" s="99">
        <f t="shared" si="17"/>
        <v>3.5423277375936646E-3</v>
      </c>
      <c r="AH351" s="10" t="str">
        <f>IFERROR(VLOOKUP(B351,'Pre-Summary'!$AZ$6:$BE$65,3,FALSE),"")</f>
        <v/>
      </c>
      <c r="AI351" s="10" t="str">
        <f>IFERROR(VLOOKUP(B351,'Pre-Summary'!$AZ$6:$BE$65,5,FALSE),"")</f>
        <v/>
      </c>
      <c r="AJ351" s="10" t="str">
        <f>IFERROR(VLOOKUP(B351,'Pre-Summary'!$AZ$6:$BE$65,4,FALSE),"")</f>
        <v/>
      </c>
      <c r="AK351" s="10" t="str">
        <f>IFERROR(VLOOKUP(B351,'Pre-Summary'!$AZ$6:$BE$65,6,FALSE),"")</f>
        <v/>
      </c>
      <c r="AL351" s="10" t="str">
        <f>IFERROR(VLOOKUP(B351,'Pre-Summary'!$BG$6:$BL$44,3,FALSE),"")</f>
        <v/>
      </c>
      <c r="AM351" s="10" t="str">
        <f>IFERROR(VLOOKUP(B351,'Pre-Summary'!$BG$6:$BL$44,4,FALSE),"")</f>
        <v/>
      </c>
    </row>
    <row r="352" spans="2:39" ht="15" customHeight="1" x14ac:dyDescent="0.3">
      <c r="B352">
        <v>34.9</v>
      </c>
      <c r="C352" t="str">
        <f>IFERROR(VLOOKUP(B352,'Pre-Summary'!$DI$6:$DM$23,4,FALSE),"")</f>
        <v>B34</v>
      </c>
      <c r="D352" s="10" t="str">
        <f>IFERROR(VLOOKUP(B352,'Pre-Summary'!$AT$6:$AX$14,5,FALSE),D351)</f>
        <v>DSMZ v1.5: Using DSMZ 120 with NaHCO3</v>
      </c>
      <c r="E352" s="10" t="str">
        <f>IFERROR(VLOOKUP(B352,'Pre-Summary'!$AT$6:$AX$15,4,FALSE),"")</f>
        <v/>
      </c>
      <c r="F352">
        <f>IFERROR(VLOOKUP(B352,'Pre-Summary'!$AL$6:$AQ$13,6,FALSE),F351)</f>
        <v>1.9981842105263166</v>
      </c>
      <c r="G352" t="str">
        <f>IFERROR(VLOOKUP(B352,'Pre-Summary'!$AE$6:$AJ$85,3,FALSE),"")</f>
        <v/>
      </c>
      <c r="H352" t="str">
        <f>IFERROR(VLOOKUP(B352,'Pre-Summary'!$AE$6:$AJ$85,4,FALSE),"")</f>
        <v/>
      </c>
      <c r="I352" t="str">
        <f>IFERROR(VLOOKUP(B352,'Pre-Summary'!$AE$6:$AJ$85,5,FALSE),"")</f>
        <v/>
      </c>
      <c r="J352" s="45" t="str">
        <f>IFERROR(VLOOKUP(B352,'Pre-Summary'!$AE$6:$AJ$85,6, FALSE),"")</f>
        <v/>
      </c>
      <c r="K352" s="45" t="str">
        <f>IFERROR(VLOOKUP(B352,'Pre-Summary'!$DE$6:$DG$61,3,FALSE),"")</f>
        <v/>
      </c>
      <c r="L352" s="45" t="str">
        <f>IFERROR(VLOOKUP(B352,'Pre-Summary'!$CU$6:$CW$36,3,FALSE),"")</f>
        <v/>
      </c>
      <c r="M352" s="45" t="str">
        <f>IFERROR(VLOOKUP(B352,'Pre-Summary'!$BW$6:$BY$58,2,FALSE),"")</f>
        <v/>
      </c>
      <c r="N352" s="45" t="str">
        <f>IFERROR(VLOOKUP(B352,'Pre-Summary'!$CD$6:$CF$64,2,FALSE),"")</f>
        <v/>
      </c>
      <c r="O352" s="99">
        <f>IFERROR(VLOOKUP(B352,'Pre-Summary'!$BO$6:$BQ$48,3, FALSE),O351)</f>
        <v>1.0915248032216731</v>
      </c>
      <c r="P352" s="99">
        <f>IFERROR(VLOOKUP(B352,'Pre-Summary'!$BS$6:$BU$35,3,FALSE),P351)</f>
        <v>0.25</v>
      </c>
      <c r="Q352" s="54">
        <f t="shared" si="15"/>
        <v>4.3660992128866924</v>
      </c>
      <c r="R352" s="53">
        <f>IFERROR(VLOOKUP(B352,'Pre-Summary'!$BG$6:$BM$44,7,FALSE),R353)</f>
        <v>2.7904161219319636E-2</v>
      </c>
      <c r="S352" s="53">
        <f>IFERROR(VLOOKUP(B352,'Pre-Summary'!$BG$6:$BM$44,6,FALSE),S353)</f>
        <v>3.3978715219895171E-2</v>
      </c>
      <c r="T352" s="45" t="str">
        <f>IFERROR(VLOOKUP(B352,'Pre-Summary'!$Y$6:$AC$83, 3,FALSE),"")</f>
        <v/>
      </c>
      <c r="U352" s="45" t="str">
        <f>IFERROR(VLOOKUP(B352,'Pre-Summary'!$Y$6:$AC$83, 4,FALSE),"")</f>
        <v/>
      </c>
      <c r="V352" t="str">
        <f>IFERROR(VLOOKUP(B352,'Pre-Summary'!$Y$6:$AC$83, 5,FALSE),"")</f>
        <v/>
      </c>
      <c r="W352" s="45" t="str">
        <f>IFERROR(VLOOKUP(B352,'Pre-Summary'!$Y$6:$AD$83,6,FALSE),"")</f>
        <v/>
      </c>
      <c r="X352" t="str">
        <f>IFERROR(VLOOKUP('Pre-Summary'!$DB$6:$DD$63,3,FALSE),"")</f>
        <v/>
      </c>
      <c r="Y352" t="str">
        <f>IFERROR(VLOOKUP(B352,'Pre-Summary'!$CR$6:$CT$36,3,FALSE),"")</f>
        <v/>
      </c>
      <c r="Z352" s="45" t="str">
        <f>IFERROR(VLOOKUP(B352,'Pre-Summary'!$BZ$6:$CB$63,2,FALSE),"")</f>
        <v/>
      </c>
      <c r="AA352" s="45" t="str">
        <f>IFERROR(VLOOKUP(B352,'Pre-Summary'!$CG$6:$CI$70,2,FALSE),"")</f>
        <v/>
      </c>
      <c r="AB352" s="99">
        <f>IFERROR(VLOOKUP(B352,'Pre-Summary'!$A$6:$P$178,9,FALSE),AB353)</f>
        <v>0.55228059519701667</v>
      </c>
      <c r="AC352" s="10">
        <f>IFERROR(VLOOKUP(Summary!B352,'Pre-Summary'!$A$6:$P$184,5, FALSE)/100,AC353)</f>
        <v>0.27094999999999997</v>
      </c>
      <c r="AD352" s="10">
        <f>IFERROR(VLOOKUP(Summary!B352,'Pre-Summary'!$A$6:$P$184,3, FALSE)/100,AD353)</f>
        <v>0.72263599999999995</v>
      </c>
      <c r="AE352" s="10">
        <f>IFERROR(VLOOKUP(Summary!B352,'Pre-Summary'!$A$6:$P$184,7, FALSE)/100,AE353)</f>
        <v>6.4139999999999996E-3</v>
      </c>
      <c r="AF352" s="99">
        <f t="shared" si="16"/>
        <v>0.39909784019079131</v>
      </c>
      <c r="AG352" s="99">
        <f t="shared" si="17"/>
        <v>3.5423277375936646E-3</v>
      </c>
      <c r="AH352" s="10" t="str">
        <f>IFERROR(VLOOKUP(B352,'Pre-Summary'!$AZ$6:$BE$65,3,FALSE),"")</f>
        <v/>
      </c>
      <c r="AI352" s="10" t="str">
        <f>IFERROR(VLOOKUP(B352,'Pre-Summary'!$AZ$6:$BE$65,5,FALSE),"")</f>
        <v/>
      </c>
      <c r="AJ352" s="10" t="str">
        <f>IFERROR(VLOOKUP(B352,'Pre-Summary'!$AZ$6:$BE$65,4,FALSE),"")</f>
        <v/>
      </c>
      <c r="AK352" s="10" t="str">
        <f>IFERROR(VLOOKUP(B352,'Pre-Summary'!$AZ$6:$BE$65,6,FALSE),"")</f>
        <v/>
      </c>
      <c r="AL352" s="10" t="str">
        <f>IFERROR(VLOOKUP(B352,'Pre-Summary'!$BG$6:$BL$44,3,FALSE),"")</f>
        <v/>
      </c>
      <c r="AM352" s="10" t="str">
        <f>IFERROR(VLOOKUP(B352,'Pre-Summary'!$BG$6:$BL$44,4,FALSE),"")</f>
        <v/>
      </c>
    </row>
    <row r="353" spans="2:39" ht="15" customHeight="1" x14ac:dyDescent="0.3">
      <c r="B353">
        <v>35</v>
      </c>
      <c r="C353" t="str">
        <f>IFERROR(VLOOKUP(B353,'Pre-Summary'!$DI$6:$DM$23,4,FALSE),"")</f>
        <v/>
      </c>
      <c r="D353" s="10" t="str">
        <f>IFERROR(VLOOKUP(B353,'Pre-Summary'!$AT$6:$AX$14,5,FALSE),D352)</f>
        <v>DSMZ v1.5: Using DSMZ 120 with NaHCO3</v>
      </c>
      <c r="E353" s="10" t="str">
        <f>IFERROR(VLOOKUP(B353,'Pre-Summary'!$AT$6:$AX$15,4,FALSE),"")</f>
        <v/>
      </c>
      <c r="F353">
        <f>IFERROR(VLOOKUP(B353,'Pre-Summary'!$AL$6:$AQ$13,6,FALSE),F352)</f>
        <v>5.9405263157894746E-2</v>
      </c>
      <c r="G353" t="str">
        <f>IFERROR(VLOOKUP(B353,'Pre-Summary'!$AE$6:$AJ$85,3,FALSE),"")</f>
        <v/>
      </c>
      <c r="H353" t="str">
        <f>IFERROR(VLOOKUP(B353,'Pre-Summary'!$AE$6:$AJ$85,4,FALSE),"")</f>
        <v/>
      </c>
      <c r="I353" t="str">
        <f>IFERROR(VLOOKUP(B353,'Pre-Summary'!$AE$6:$AJ$85,5,FALSE),"")</f>
        <v/>
      </c>
      <c r="J353" s="45" t="str">
        <f>IFERROR(VLOOKUP(B353,'Pre-Summary'!$AE$6:$AJ$85,6, FALSE),"")</f>
        <v/>
      </c>
      <c r="K353" s="45" t="str">
        <f>IFERROR(VLOOKUP(B353,'Pre-Summary'!$DE$6:$DG$61,3,FALSE),"")</f>
        <v/>
      </c>
      <c r="L353" s="45" t="str">
        <f>IFERROR(VLOOKUP(B353,'Pre-Summary'!$CU$6:$CW$36,3,FALSE),"")</f>
        <v/>
      </c>
      <c r="M353" s="45" t="str">
        <f>IFERROR(VLOOKUP(B353,'Pre-Summary'!$BW$6:$BY$58,2,FALSE),"")</f>
        <v/>
      </c>
      <c r="N353" s="45" t="str">
        <f>IFERROR(VLOOKUP(B353,'Pre-Summary'!$CD$6:$CF$64,2,FALSE),"")</f>
        <v/>
      </c>
      <c r="O353" s="99">
        <f>IFERROR(VLOOKUP(B353,'Pre-Summary'!$BO$6:$BQ$48,3, FALSE),O352)</f>
        <v>1.0915248032216731</v>
      </c>
      <c r="P353" s="99">
        <f>IFERROR(VLOOKUP(B353,'Pre-Summary'!$BS$6:$BU$35,3,FALSE),P352)</f>
        <v>0.25</v>
      </c>
      <c r="Q353" s="54">
        <f t="shared" si="15"/>
        <v>4.3660992128866924</v>
      </c>
      <c r="R353" s="53">
        <f>IFERROR(VLOOKUP(B353,'Pre-Summary'!$BG$6:$BM$44,7,FALSE),R354)</f>
        <v>2.7904161219319636E-2</v>
      </c>
      <c r="S353" s="53">
        <f>IFERROR(VLOOKUP(B353,'Pre-Summary'!$BG$6:$BM$44,6,FALSE),S354)</f>
        <v>3.3978715219895171E-2</v>
      </c>
      <c r="T353" s="45" t="str">
        <f>IFERROR(VLOOKUP(B353,'Pre-Summary'!$Y$6:$AC$83, 3,FALSE),"")</f>
        <v/>
      </c>
      <c r="U353" s="45" t="str">
        <f>IFERROR(VLOOKUP(B353,'Pre-Summary'!$Y$6:$AC$83, 4,FALSE),"")</f>
        <v/>
      </c>
      <c r="V353" t="str">
        <f>IFERROR(VLOOKUP(B353,'Pre-Summary'!$Y$6:$AC$83, 5,FALSE),"")</f>
        <v/>
      </c>
      <c r="W353" s="45" t="str">
        <f>IFERROR(VLOOKUP(B353,'Pre-Summary'!$Y$6:$AD$83,6,FALSE),"")</f>
        <v/>
      </c>
      <c r="X353" t="str">
        <f>IFERROR(VLOOKUP('Pre-Summary'!$DB$6:$DD$63,3,FALSE),"")</f>
        <v/>
      </c>
      <c r="Y353" t="str">
        <f>IFERROR(VLOOKUP(B353,'Pre-Summary'!$CR$6:$CT$36,3,FALSE),"")</f>
        <v/>
      </c>
      <c r="Z353" s="45" t="str">
        <f>IFERROR(VLOOKUP(B353,'Pre-Summary'!$BZ$6:$CB$63,2,FALSE),"")</f>
        <v/>
      </c>
      <c r="AA353" s="45" t="str">
        <f>IFERROR(VLOOKUP(B353,'Pre-Summary'!$CG$6:$CI$70,2,FALSE),"")</f>
        <v/>
      </c>
      <c r="AB353" s="99">
        <f>IFERROR(VLOOKUP(B353,'Pre-Summary'!$A$6:$P$178,9,FALSE),AB354)</f>
        <v>0.55228059519701667</v>
      </c>
      <c r="AC353" s="10">
        <f>IFERROR(VLOOKUP(Summary!B353,'Pre-Summary'!$A$6:$P$184,5, FALSE)/100,AC354)</f>
        <v>0.27094999999999997</v>
      </c>
      <c r="AD353" s="10">
        <f>IFERROR(VLOOKUP(Summary!B353,'Pre-Summary'!$A$6:$P$184,3, FALSE)/100,AD354)</f>
        <v>0.72263599999999995</v>
      </c>
      <c r="AE353" s="10">
        <f>IFERROR(VLOOKUP(Summary!B353,'Pre-Summary'!$A$6:$P$184,7, FALSE)/100,AE354)</f>
        <v>6.4139999999999996E-3</v>
      </c>
      <c r="AF353" s="99">
        <f t="shared" si="16"/>
        <v>0.39909784019079131</v>
      </c>
      <c r="AG353" s="99">
        <f t="shared" si="17"/>
        <v>3.5423277375936646E-3</v>
      </c>
      <c r="AH353" s="10" t="str">
        <f>IFERROR(VLOOKUP(B353,'Pre-Summary'!$AZ$6:$BE$65,3,FALSE),"")</f>
        <v/>
      </c>
      <c r="AI353" s="10" t="str">
        <f>IFERROR(VLOOKUP(B353,'Pre-Summary'!$AZ$6:$BE$65,5,FALSE),"")</f>
        <v/>
      </c>
      <c r="AJ353" s="10" t="str">
        <f>IFERROR(VLOOKUP(B353,'Pre-Summary'!$AZ$6:$BE$65,4,FALSE),"")</f>
        <v/>
      </c>
      <c r="AK353" s="10" t="str">
        <f>IFERROR(VLOOKUP(B353,'Pre-Summary'!$AZ$6:$BE$65,6,FALSE),"")</f>
        <v/>
      </c>
      <c r="AL353" s="10" t="str">
        <f>IFERROR(VLOOKUP(B353,'Pre-Summary'!$BG$6:$BL$44,3,FALSE),"")</f>
        <v/>
      </c>
      <c r="AM353" s="10" t="str">
        <f>IFERROR(VLOOKUP(B353,'Pre-Summary'!$BG$6:$BL$44,4,FALSE),"")</f>
        <v/>
      </c>
    </row>
    <row r="354" spans="2:39" ht="15" customHeight="1" x14ac:dyDescent="0.3">
      <c r="B354">
        <v>35.1</v>
      </c>
      <c r="C354" t="str">
        <f>IFERROR(VLOOKUP(B354,'Pre-Summary'!$DI$6:$DM$23,4,FALSE),"")</f>
        <v/>
      </c>
      <c r="D354" s="10" t="str">
        <f>IFERROR(VLOOKUP(B354,'Pre-Summary'!$AT$6:$AX$14,5,FALSE),D353)</f>
        <v>DSMZ v1.5: Using DSMZ 120 with NaHCO3</v>
      </c>
      <c r="E354" s="10" t="str">
        <f>IFERROR(VLOOKUP(B354,'Pre-Summary'!$AT$6:$AX$15,4,FALSE),"")</f>
        <v/>
      </c>
      <c r="F354">
        <f>IFERROR(VLOOKUP(B354,'Pre-Summary'!$AL$6:$AQ$13,6,FALSE),F353)</f>
        <v>5.9405263157894746E-2</v>
      </c>
      <c r="G354" t="str">
        <f>IFERROR(VLOOKUP(B354,'Pre-Summary'!$AE$6:$AJ$85,3,FALSE),"")</f>
        <v/>
      </c>
      <c r="H354" t="str">
        <f>IFERROR(VLOOKUP(B354,'Pre-Summary'!$AE$6:$AJ$85,4,FALSE),"")</f>
        <v/>
      </c>
      <c r="I354" t="str">
        <f>IFERROR(VLOOKUP(B354,'Pre-Summary'!$AE$6:$AJ$85,5,FALSE),"")</f>
        <v/>
      </c>
      <c r="J354" s="45" t="str">
        <f>IFERROR(VLOOKUP(B354,'Pre-Summary'!$AE$6:$AJ$85,6, FALSE),"")</f>
        <v/>
      </c>
      <c r="K354" s="45" t="str">
        <f>IFERROR(VLOOKUP(B354,'Pre-Summary'!$DE$6:$DG$61,3,FALSE),"")</f>
        <v/>
      </c>
      <c r="L354" s="45" t="str">
        <f>IFERROR(VLOOKUP(B354,'Pre-Summary'!$CU$6:$CW$36,3,FALSE),"")</f>
        <v/>
      </c>
      <c r="M354" s="45" t="str">
        <f>IFERROR(VLOOKUP(B354,'Pre-Summary'!$BW$6:$BY$58,2,FALSE),"")</f>
        <v/>
      </c>
      <c r="N354" s="45" t="str">
        <f>IFERROR(VLOOKUP(B354,'Pre-Summary'!$CD$6:$CF$64,2,FALSE),"")</f>
        <v/>
      </c>
      <c r="O354" s="99">
        <f>IFERROR(VLOOKUP(B354,'Pre-Summary'!$BO$6:$BQ$48,3, FALSE),O353)</f>
        <v>1.0915248032216731</v>
      </c>
      <c r="P354" s="99">
        <f>IFERROR(VLOOKUP(B354,'Pre-Summary'!$BS$6:$BU$35,3,FALSE),P353)</f>
        <v>0.25</v>
      </c>
      <c r="Q354" s="54">
        <f t="shared" si="15"/>
        <v>4.3660992128866924</v>
      </c>
      <c r="R354" s="53">
        <f>IFERROR(VLOOKUP(B354,'Pre-Summary'!$BG$6:$BM$44,7,FALSE),R355)</f>
        <v>2.7904161219319636E-2</v>
      </c>
      <c r="S354" s="53">
        <f>IFERROR(VLOOKUP(B354,'Pre-Summary'!$BG$6:$BM$44,6,FALSE),S355)</f>
        <v>3.3978715219895171E-2</v>
      </c>
      <c r="T354" s="45" t="str">
        <f>IFERROR(VLOOKUP(B354,'Pre-Summary'!$Y$6:$AC$83, 3,FALSE),"")</f>
        <v/>
      </c>
      <c r="U354" s="45" t="str">
        <f>IFERROR(VLOOKUP(B354,'Pre-Summary'!$Y$6:$AC$83, 4,FALSE),"")</f>
        <v/>
      </c>
      <c r="V354" t="str">
        <f>IFERROR(VLOOKUP(B354,'Pre-Summary'!$Y$6:$AC$83, 5,FALSE),"")</f>
        <v/>
      </c>
      <c r="W354" s="45" t="str">
        <f>IFERROR(VLOOKUP(B354,'Pre-Summary'!$Y$6:$AD$83,6,FALSE),"")</f>
        <v/>
      </c>
      <c r="X354" t="str">
        <f>IFERROR(VLOOKUP('Pre-Summary'!$DB$6:$DD$63,3,FALSE),"")</f>
        <v/>
      </c>
      <c r="Y354" t="str">
        <f>IFERROR(VLOOKUP(B354,'Pre-Summary'!$CR$6:$CT$36,3,FALSE),"")</f>
        <v/>
      </c>
      <c r="Z354" s="45" t="str">
        <f>IFERROR(VLOOKUP(B354,'Pre-Summary'!$BZ$6:$CB$63,2,FALSE),"")</f>
        <v/>
      </c>
      <c r="AA354" s="45" t="str">
        <f>IFERROR(VLOOKUP(B354,'Pre-Summary'!$CG$6:$CI$70,2,FALSE),"")</f>
        <v/>
      </c>
      <c r="AB354" s="99">
        <f>IFERROR(VLOOKUP(B354,'Pre-Summary'!$A$6:$P$178,9,FALSE),AB355)</f>
        <v>0.55228059519701667</v>
      </c>
      <c r="AC354" s="10">
        <f>IFERROR(VLOOKUP(Summary!B354,'Pre-Summary'!$A$6:$P$184,5, FALSE)/100,AC355)</f>
        <v>0.27094999999999997</v>
      </c>
      <c r="AD354" s="10">
        <f>IFERROR(VLOOKUP(Summary!B354,'Pre-Summary'!$A$6:$P$184,3, FALSE)/100,AD355)</f>
        <v>0.72263599999999995</v>
      </c>
      <c r="AE354" s="10">
        <f>IFERROR(VLOOKUP(Summary!B354,'Pre-Summary'!$A$6:$P$184,7, FALSE)/100,AE355)</f>
        <v>6.4139999999999996E-3</v>
      </c>
      <c r="AF354" s="99">
        <f t="shared" si="16"/>
        <v>0.39909784019079131</v>
      </c>
      <c r="AG354" s="99">
        <f t="shared" si="17"/>
        <v>3.5423277375936646E-3</v>
      </c>
      <c r="AH354" s="10" t="str">
        <f>IFERROR(VLOOKUP(B354,'Pre-Summary'!$AZ$6:$BE$65,3,FALSE),"")</f>
        <v/>
      </c>
      <c r="AI354" s="10" t="str">
        <f>IFERROR(VLOOKUP(B354,'Pre-Summary'!$AZ$6:$BE$65,5,FALSE),"")</f>
        <v/>
      </c>
      <c r="AJ354" s="10" t="str">
        <f>IFERROR(VLOOKUP(B354,'Pre-Summary'!$AZ$6:$BE$65,4,FALSE),"")</f>
        <v/>
      </c>
      <c r="AK354" s="10" t="str">
        <f>IFERROR(VLOOKUP(B354,'Pre-Summary'!$AZ$6:$BE$65,6,FALSE),"")</f>
        <v/>
      </c>
      <c r="AL354" s="10" t="str">
        <f>IFERROR(VLOOKUP(B354,'Pre-Summary'!$BG$6:$BL$44,3,FALSE),"")</f>
        <v/>
      </c>
      <c r="AM354" s="10" t="str">
        <f>IFERROR(VLOOKUP(B354,'Pre-Summary'!$BG$6:$BL$44,4,FALSE),"")</f>
        <v/>
      </c>
    </row>
    <row r="355" spans="2:39" ht="15" customHeight="1" x14ac:dyDescent="0.3">
      <c r="B355">
        <v>35.200000000000003</v>
      </c>
      <c r="C355" t="str">
        <f>IFERROR(VLOOKUP(B355,'Pre-Summary'!$DI$6:$DM$23,4,FALSE),"")</f>
        <v/>
      </c>
      <c r="D355" s="10" t="str">
        <f>IFERROR(VLOOKUP(B355,'Pre-Summary'!$AT$6:$AX$14,5,FALSE),D354)</f>
        <v>DSMZ v1.5: Using DSMZ 120 with NaHCO3</v>
      </c>
      <c r="E355" s="10" t="str">
        <f>IFERROR(VLOOKUP(B355,'Pre-Summary'!$AT$6:$AX$15,4,FALSE),"")</f>
        <v/>
      </c>
      <c r="F355">
        <f>IFERROR(VLOOKUP(B355,'Pre-Summary'!$AL$6:$AQ$13,6,FALSE),F354)</f>
        <v>5.9405263157894746E-2</v>
      </c>
      <c r="G355" t="str">
        <f>IFERROR(VLOOKUP(B355,'Pre-Summary'!$AE$6:$AJ$85,3,FALSE),"")</f>
        <v/>
      </c>
      <c r="H355" t="str">
        <f>IFERROR(VLOOKUP(B355,'Pre-Summary'!$AE$6:$AJ$85,4,FALSE),"")</f>
        <v/>
      </c>
      <c r="I355" t="str">
        <f>IFERROR(VLOOKUP(B355,'Pre-Summary'!$AE$6:$AJ$85,5,FALSE),"")</f>
        <v/>
      </c>
      <c r="J355" s="45" t="str">
        <f>IFERROR(VLOOKUP(B355,'Pre-Summary'!$AE$6:$AJ$85,6, FALSE),"")</f>
        <v/>
      </c>
      <c r="K355" s="45" t="str">
        <f>IFERROR(VLOOKUP(B355,'Pre-Summary'!$DE$6:$DG$61,3,FALSE),"")</f>
        <v/>
      </c>
      <c r="L355" s="45" t="str">
        <f>IFERROR(VLOOKUP(B355,'Pre-Summary'!$CU$6:$CW$36,3,FALSE),"")</f>
        <v/>
      </c>
      <c r="M355" s="45" t="str">
        <f>IFERROR(VLOOKUP(B355,'Pre-Summary'!$BW$6:$BY$58,2,FALSE),"")</f>
        <v/>
      </c>
      <c r="N355" s="45" t="str">
        <f>IFERROR(VLOOKUP(B355,'Pre-Summary'!$CD$6:$CF$64,2,FALSE),"")</f>
        <v/>
      </c>
      <c r="O355" s="99">
        <f>IFERROR(VLOOKUP(B355,'Pre-Summary'!$BO$6:$BQ$48,3, FALSE),O354)</f>
        <v>1.0915248032216731</v>
      </c>
      <c r="P355" s="99">
        <f>IFERROR(VLOOKUP(B355,'Pre-Summary'!$BS$6:$BU$35,3,FALSE),P354)</f>
        <v>0.25</v>
      </c>
      <c r="Q355" s="54">
        <f t="shared" si="15"/>
        <v>4.3660992128866924</v>
      </c>
      <c r="R355" s="53">
        <f>IFERROR(VLOOKUP(B355,'Pre-Summary'!$BG$6:$BM$44,7,FALSE),R356)</f>
        <v>2.7904161219319636E-2</v>
      </c>
      <c r="S355" s="53">
        <f>IFERROR(VLOOKUP(B355,'Pre-Summary'!$BG$6:$BM$44,6,FALSE),S356)</f>
        <v>3.3978715219895171E-2</v>
      </c>
      <c r="T355" s="45" t="str">
        <f>IFERROR(VLOOKUP(B355,'Pre-Summary'!$Y$6:$AC$83, 3,FALSE),"")</f>
        <v/>
      </c>
      <c r="U355" s="45" t="str">
        <f>IFERROR(VLOOKUP(B355,'Pre-Summary'!$Y$6:$AC$83, 4,FALSE),"")</f>
        <v/>
      </c>
      <c r="V355" t="str">
        <f>IFERROR(VLOOKUP(B355,'Pre-Summary'!$Y$6:$AC$83, 5,FALSE),"")</f>
        <v/>
      </c>
      <c r="W355" s="45" t="str">
        <f>IFERROR(VLOOKUP(B355,'Pre-Summary'!$Y$6:$AD$83,6,FALSE),"")</f>
        <v/>
      </c>
      <c r="X355" t="str">
        <f>IFERROR(VLOOKUP('Pre-Summary'!$DB$6:$DD$63,3,FALSE),"")</f>
        <v/>
      </c>
      <c r="Y355" t="str">
        <f>IFERROR(VLOOKUP(B355,'Pre-Summary'!$CR$6:$CT$36,3,FALSE),"")</f>
        <v/>
      </c>
      <c r="Z355" s="45" t="str">
        <f>IFERROR(VLOOKUP(B355,'Pre-Summary'!$BZ$6:$CB$63,2,FALSE),"")</f>
        <v/>
      </c>
      <c r="AA355" s="45" t="str">
        <f>IFERROR(VLOOKUP(B355,'Pre-Summary'!$CG$6:$CI$70,2,FALSE),"")</f>
        <v/>
      </c>
      <c r="AB355" s="99">
        <f>IFERROR(VLOOKUP(B355,'Pre-Summary'!$A$6:$P$178,9,FALSE),AB356)</f>
        <v>0.55228059519701667</v>
      </c>
      <c r="AC355" s="10">
        <f>IFERROR(VLOOKUP(Summary!B355,'Pre-Summary'!$A$6:$P$184,5, FALSE)/100,AC356)</f>
        <v>0.27094999999999997</v>
      </c>
      <c r="AD355" s="10">
        <f>IFERROR(VLOOKUP(Summary!B355,'Pre-Summary'!$A$6:$P$184,3, FALSE)/100,AD356)</f>
        <v>0.72263599999999995</v>
      </c>
      <c r="AE355" s="10">
        <f>IFERROR(VLOOKUP(Summary!B355,'Pre-Summary'!$A$6:$P$184,7, FALSE)/100,AE356)</f>
        <v>6.4139999999999996E-3</v>
      </c>
      <c r="AF355" s="99">
        <f t="shared" si="16"/>
        <v>0.39909784019079131</v>
      </c>
      <c r="AG355" s="99">
        <f t="shared" si="17"/>
        <v>3.5423277375936646E-3</v>
      </c>
      <c r="AH355" s="10" t="str">
        <f>IFERROR(VLOOKUP(B355,'Pre-Summary'!$AZ$6:$BE$65,3,FALSE),"")</f>
        <v/>
      </c>
      <c r="AI355" s="10" t="str">
        <f>IFERROR(VLOOKUP(B355,'Pre-Summary'!$AZ$6:$BE$65,5,FALSE),"")</f>
        <v/>
      </c>
      <c r="AJ355" s="10" t="str">
        <f>IFERROR(VLOOKUP(B355,'Pre-Summary'!$AZ$6:$BE$65,4,FALSE),"")</f>
        <v/>
      </c>
      <c r="AK355" s="10" t="str">
        <f>IFERROR(VLOOKUP(B355,'Pre-Summary'!$AZ$6:$BE$65,6,FALSE),"")</f>
        <v/>
      </c>
      <c r="AL355" s="10" t="str">
        <f>IFERROR(VLOOKUP(B355,'Pre-Summary'!$BG$6:$BL$44,3,FALSE),"")</f>
        <v/>
      </c>
      <c r="AM355" s="10" t="str">
        <f>IFERROR(VLOOKUP(B355,'Pre-Summary'!$BG$6:$BL$44,4,FALSE),"")</f>
        <v/>
      </c>
    </row>
    <row r="356" spans="2:39" ht="15" customHeight="1" x14ac:dyDescent="0.3">
      <c r="B356">
        <v>35.299999999999997</v>
      </c>
      <c r="C356" t="str">
        <f>IFERROR(VLOOKUP(B356,'Pre-Summary'!$DI$6:$DM$23,4,FALSE),"")</f>
        <v/>
      </c>
      <c r="D356" s="10" t="str">
        <f>IFERROR(VLOOKUP(B356,'Pre-Summary'!$AT$6:$AX$14,5,FALSE),D355)</f>
        <v>DSMZ v1.5: Using DSMZ 120 with NaHCO3</v>
      </c>
      <c r="E356" s="10" t="str">
        <f>IFERROR(VLOOKUP(B356,'Pre-Summary'!$AT$6:$AX$15,4,FALSE),"")</f>
        <v/>
      </c>
      <c r="F356">
        <f>IFERROR(VLOOKUP(B356,'Pre-Summary'!$AL$6:$AQ$13,6,FALSE),F355)</f>
        <v>5.9405263157894746E-2</v>
      </c>
      <c r="G356" t="str">
        <f>IFERROR(VLOOKUP(B356,'Pre-Summary'!$AE$6:$AJ$85,3,FALSE),"")</f>
        <v/>
      </c>
      <c r="H356" t="str">
        <f>IFERROR(VLOOKUP(B356,'Pre-Summary'!$AE$6:$AJ$85,4,FALSE),"")</f>
        <v/>
      </c>
      <c r="I356" t="str">
        <f>IFERROR(VLOOKUP(B356,'Pre-Summary'!$AE$6:$AJ$85,5,FALSE),"")</f>
        <v/>
      </c>
      <c r="J356" s="45" t="str">
        <f>IFERROR(VLOOKUP(B356,'Pre-Summary'!$AE$6:$AJ$85,6, FALSE),"")</f>
        <v/>
      </c>
      <c r="K356" s="45" t="str">
        <f>IFERROR(VLOOKUP(B356,'Pre-Summary'!$DE$6:$DG$61,3,FALSE),"")</f>
        <v/>
      </c>
      <c r="L356" s="45" t="str">
        <f>IFERROR(VLOOKUP(B356,'Pre-Summary'!$CU$6:$CW$36,3,FALSE),"")</f>
        <v/>
      </c>
      <c r="M356" s="45" t="str">
        <f>IFERROR(VLOOKUP(B356,'Pre-Summary'!$BW$6:$BY$58,2,FALSE),"")</f>
        <v/>
      </c>
      <c r="N356" s="45" t="str">
        <f>IFERROR(VLOOKUP(B356,'Pre-Summary'!$CD$6:$CF$64,2,FALSE),"")</f>
        <v/>
      </c>
      <c r="O356" s="99">
        <f>IFERROR(VLOOKUP(B356,'Pre-Summary'!$BO$6:$BQ$48,3, FALSE),O355)</f>
        <v>1.0915248032216731</v>
      </c>
      <c r="P356" s="99">
        <f>IFERROR(VLOOKUP(B356,'Pre-Summary'!$BS$6:$BU$35,3,FALSE),P355)</f>
        <v>0.25</v>
      </c>
      <c r="Q356" s="54">
        <f t="shared" si="15"/>
        <v>4.3660992128866924</v>
      </c>
      <c r="R356" s="53">
        <f>IFERROR(VLOOKUP(B356,'Pre-Summary'!$BG$6:$BM$44,7,FALSE),R357)</f>
        <v>2.7904161219319636E-2</v>
      </c>
      <c r="S356" s="53">
        <f>IFERROR(VLOOKUP(B356,'Pre-Summary'!$BG$6:$BM$44,6,FALSE),S357)</f>
        <v>3.3978715219895171E-2</v>
      </c>
      <c r="T356" s="45" t="str">
        <f>IFERROR(VLOOKUP(B356,'Pre-Summary'!$Y$6:$AC$83, 3,FALSE),"")</f>
        <v/>
      </c>
      <c r="U356" s="45" t="str">
        <f>IFERROR(VLOOKUP(B356,'Pre-Summary'!$Y$6:$AC$83, 4,FALSE),"")</f>
        <v/>
      </c>
      <c r="V356" t="str">
        <f>IFERROR(VLOOKUP(B356,'Pre-Summary'!$Y$6:$AC$83, 5,FALSE),"")</f>
        <v/>
      </c>
      <c r="W356" s="45" t="str">
        <f>IFERROR(VLOOKUP(B356,'Pre-Summary'!$Y$6:$AD$83,6,FALSE),"")</f>
        <v/>
      </c>
      <c r="X356" t="str">
        <f>IFERROR(VLOOKUP('Pre-Summary'!$DB$6:$DD$63,3,FALSE),"")</f>
        <v/>
      </c>
      <c r="Y356" t="str">
        <f>IFERROR(VLOOKUP(B356,'Pre-Summary'!$CR$6:$CT$36,3,FALSE),"")</f>
        <v/>
      </c>
      <c r="Z356" s="45" t="str">
        <f>IFERROR(VLOOKUP(B356,'Pre-Summary'!$BZ$6:$CB$63,2,FALSE),"")</f>
        <v/>
      </c>
      <c r="AA356" s="45" t="str">
        <f>IFERROR(VLOOKUP(B356,'Pre-Summary'!$CG$6:$CI$70,2,FALSE),"")</f>
        <v/>
      </c>
      <c r="AB356" s="99">
        <f>IFERROR(VLOOKUP(B356,'Pre-Summary'!$A$6:$P$178,9,FALSE),AB357)</f>
        <v>0.55228059519701667</v>
      </c>
      <c r="AC356" s="10">
        <f>IFERROR(VLOOKUP(Summary!B356,'Pre-Summary'!$A$6:$P$184,5, FALSE)/100,AC357)</f>
        <v>0.27094999999999997</v>
      </c>
      <c r="AD356" s="10">
        <f>IFERROR(VLOOKUP(Summary!B356,'Pre-Summary'!$A$6:$P$184,3, FALSE)/100,AD357)</f>
        <v>0.72263599999999995</v>
      </c>
      <c r="AE356" s="10">
        <f>IFERROR(VLOOKUP(Summary!B356,'Pre-Summary'!$A$6:$P$184,7, FALSE)/100,AE357)</f>
        <v>6.4139999999999996E-3</v>
      </c>
      <c r="AF356" s="99">
        <f t="shared" si="16"/>
        <v>0.39909784019079131</v>
      </c>
      <c r="AG356" s="99">
        <f t="shared" si="17"/>
        <v>3.5423277375936646E-3</v>
      </c>
      <c r="AH356" s="10" t="str">
        <f>IFERROR(VLOOKUP(B356,'Pre-Summary'!$AZ$6:$BE$65,3,FALSE),"")</f>
        <v/>
      </c>
      <c r="AI356" s="10" t="str">
        <f>IFERROR(VLOOKUP(B356,'Pre-Summary'!$AZ$6:$BE$65,5,FALSE),"")</f>
        <v/>
      </c>
      <c r="AJ356" s="10" t="str">
        <f>IFERROR(VLOOKUP(B356,'Pre-Summary'!$AZ$6:$BE$65,4,FALSE),"")</f>
        <v/>
      </c>
      <c r="AK356" s="10" t="str">
        <f>IFERROR(VLOOKUP(B356,'Pre-Summary'!$AZ$6:$BE$65,6,FALSE),"")</f>
        <v/>
      </c>
      <c r="AL356" s="10" t="str">
        <f>IFERROR(VLOOKUP(B356,'Pre-Summary'!$BG$6:$BL$44,3,FALSE),"")</f>
        <v/>
      </c>
      <c r="AM356" s="10" t="str">
        <f>IFERROR(VLOOKUP(B356,'Pre-Summary'!$BG$6:$BL$44,4,FALSE),"")</f>
        <v/>
      </c>
    </row>
    <row r="357" spans="2:39" ht="15" customHeight="1" x14ac:dyDescent="0.3">
      <c r="B357">
        <v>35.4</v>
      </c>
      <c r="C357" t="str">
        <f>IFERROR(VLOOKUP(B357,'Pre-Summary'!$DI$6:$DM$23,4,FALSE),"")</f>
        <v/>
      </c>
      <c r="D357" s="10" t="str">
        <f>IFERROR(VLOOKUP(B357,'Pre-Summary'!$AT$6:$AX$14,5,FALSE),D356)</f>
        <v>DSMZ v1.5: Using DSMZ 120 with NaHCO3</v>
      </c>
      <c r="E357" s="10" t="str">
        <f>IFERROR(VLOOKUP(B357,'Pre-Summary'!$AT$6:$AX$15,4,FALSE),"")</f>
        <v/>
      </c>
      <c r="F357">
        <f>IFERROR(VLOOKUP(B357,'Pre-Summary'!$AL$6:$AQ$13,6,FALSE),F356)</f>
        <v>5.9405263157894746E-2</v>
      </c>
      <c r="G357" t="str">
        <f>IFERROR(VLOOKUP(B357,'Pre-Summary'!$AE$6:$AJ$85,3,FALSE),"")</f>
        <v/>
      </c>
      <c r="H357" t="str">
        <f>IFERROR(VLOOKUP(B357,'Pre-Summary'!$AE$6:$AJ$85,4,FALSE),"")</f>
        <v/>
      </c>
      <c r="I357" t="str">
        <f>IFERROR(VLOOKUP(B357,'Pre-Summary'!$AE$6:$AJ$85,5,FALSE),"")</f>
        <v/>
      </c>
      <c r="J357" s="45" t="str">
        <f>IFERROR(VLOOKUP(B357,'Pre-Summary'!$AE$6:$AJ$85,6, FALSE),"")</f>
        <v/>
      </c>
      <c r="K357" s="45" t="str">
        <f>IFERROR(VLOOKUP(B357,'Pre-Summary'!$DE$6:$DG$61,3,FALSE),"")</f>
        <v/>
      </c>
      <c r="L357" s="45" t="str">
        <f>IFERROR(VLOOKUP(B357,'Pre-Summary'!$CU$6:$CW$36,3,FALSE),"")</f>
        <v/>
      </c>
      <c r="M357" s="45" t="str">
        <f>IFERROR(VLOOKUP(B357,'Pre-Summary'!$BW$6:$BY$58,2,FALSE),"")</f>
        <v/>
      </c>
      <c r="N357" s="45" t="str">
        <f>IFERROR(VLOOKUP(B357,'Pre-Summary'!$CD$6:$CF$64,2,FALSE),"")</f>
        <v/>
      </c>
      <c r="O357" s="99">
        <f>IFERROR(VLOOKUP(B357,'Pre-Summary'!$BO$6:$BQ$48,3, FALSE),O356)</f>
        <v>1.0915248032216731</v>
      </c>
      <c r="P357" s="99">
        <f>IFERROR(VLOOKUP(B357,'Pre-Summary'!$BS$6:$BU$35,3,FALSE),P356)</f>
        <v>0.25</v>
      </c>
      <c r="Q357" s="54">
        <f t="shared" si="15"/>
        <v>4.3660992128866924</v>
      </c>
      <c r="R357" s="53">
        <f>IFERROR(VLOOKUP(B357,'Pre-Summary'!$BG$6:$BM$44,7,FALSE),R358)</f>
        <v>2.7904161219319636E-2</v>
      </c>
      <c r="S357" s="53">
        <f>IFERROR(VLOOKUP(B357,'Pre-Summary'!$BG$6:$BM$44,6,FALSE),S358)</f>
        <v>3.3978715219895171E-2</v>
      </c>
      <c r="T357" s="45" t="str">
        <f>IFERROR(VLOOKUP(B357,'Pre-Summary'!$Y$6:$AC$83, 3,FALSE),"")</f>
        <v/>
      </c>
      <c r="U357" s="45" t="str">
        <f>IFERROR(VLOOKUP(B357,'Pre-Summary'!$Y$6:$AC$83, 4,FALSE),"")</f>
        <v/>
      </c>
      <c r="V357" t="str">
        <f>IFERROR(VLOOKUP(B357,'Pre-Summary'!$Y$6:$AC$83, 5,FALSE),"")</f>
        <v/>
      </c>
      <c r="W357" s="45" t="str">
        <f>IFERROR(VLOOKUP(B357,'Pre-Summary'!$Y$6:$AD$83,6,FALSE),"")</f>
        <v/>
      </c>
      <c r="X357" t="str">
        <f>IFERROR(VLOOKUP('Pre-Summary'!$DB$6:$DD$63,3,FALSE),"")</f>
        <v/>
      </c>
      <c r="Y357" t="str">
        <f>IFERROR(VLOOKUP(B357,'Pre-Summary'!$CR$6:$CT$36,3,FALSE),"")</f>
        <v/>
      </c>
      <c r="Z357" s="45" t="str">
        <f>IFERROR(VLOOKUP(B357,'Pre-Summary'!$BZ$6:$CB$63,2,FALSE),"")</f>
        <v/>
      </c>
      <c r="AA357" s="45" t="str">
        <f>IFERROR(VLOOKUP(B357,'Pre-Summary'!$CG$6:$CI$70,2,FALSE),"")</f>
        <v/>
      </c>
      <c r="AB357" s="99">
        <f>IFERROR(VLOOKUP(B357,'Pre-Summary'!$A$6:$P$178,9,FALSE),AB358)</f>
        <v>0.55228059519701667</v>
      </c>
      <c r="AC357" s="10">
        <f>IFERROR(VLOOKUP(Summary!B357,'Pre-Summary'!$A$6:$P$184,5, FALSE)/100,AC358)</f>
        <v>0.27094999999999997</v>
      </c>
      <c r="AD357" s="10">
        <f>IFERROR(VLOOKUP(Summary!B357,'Pre-Summary'!$A$6:$P$184,3, FALSE)/100,AD358)</f>
        <v>0.72263599999999995</v>
      </c>
      <c r="AE357" s="10">
        <f>IFERROR(VLOOKUP(Summary!B357,'Pre-Summary'!$A$6:$P$184,7, FALSE)/100,AE358)</f>
        <v>6.4139999999999996E-3</v>
      </c>
      <c r="AF357" s="99">
        <f t="shared" si="16"/>
        <v>0.39909784019079131</v>
      </c>
      <c r="AG357" s="99">
        <f t="shared" si="17"/>
        <v>3.5423277375936646E-3</v>
      </c>
      <c r="AH357" s="10" t="str">
        <f>IFERROR(VLOOKUP(B357,'Pre-Summary'!$AZ$6:$BE$65,3,FALSE),"")</f>
        <v/>
      </c>
      <c r="AI357" s="10" t="str">
        <f>IFERROR(VLOOKUP(B357,'Pre-Summary'!$AZ$6:$BE$65,5,FALSE),"")</f>
        <v/>
      </c>
      <c r="AJ357" s="10" t="str">
        <f>IFERROR(VLOOKUP(B357,'Pre-Summary'!$AZ$6:$BE$65,4,FALSE),"")</f>
        <v/>
      </c>
      <c r="AK357" s="10" t="str">
        <f>IFERROR(VLOOKUP(B357,'Pre-Summary'!$AZ$6:$BE$65,6,FALSE),"")</f>
        <v/>
      </c>
      <c r="AL357" s="10" t="str">
        <f>IFERROR(VLOOKUP(B357,'Pre-Summary'!$BG$6:$BL$44,3,FALSE),"")</f>
        <v/>
      </c>
      <c r="AM357" s="10" t="str">
        <f>IFERROR(VLOOKUP(B357,'Pre-Summary'!$BG$6:$BL$44,4,FALSE),"")</f>
        <v/>
      </c>
    </row>
    <row r="358" spans="2:39" ht="15" customHeight="1" x14ac:dyDescent="0.3">
      <c r="B358">
        <v>35.5</v>
      </c>
      <c r="C358" t="str">
        <f>IFERROR(VLOOKUP(B358,'Pre-Summary'!$DI$6:$DM$23,4,FALSE),"")</f>
        <v/>
      </c>
      <c r="D358" s="10" t="str">
        <f>IFERROR(VLOOKUP(B358,'Pre-Summary'!$AT$6:$AX$14,5,FALSE),D357)</f>
        <v>DSMZ v1.5: Using DSMZ 120 with NaHCO3</v>
      </c>
      <c r="E358" s="10" t="str">
        <f>IFERROR(VLOOKUP(B358,'Pre-Summary'!$AT$6:$AX$15,4,FALSE),"")</f>
        <v/>
      </c>
      <c r="F358">
        <f>IFERROR(VLOOKUP(B358,'Pre-Summary'!$AL$6:$AQ$13,6,FALSE),F357)</f>
        <v>5.9405263157894746E-2</v>
      </c>
      <c r="G358" t="str">
        <f>IFERROR(VLOOKUP(B358,'Pre-Summary'!$AE$6:$AJ$85,3,FALSE),"")</f>
        <v/>
      </c>
      <c r="H358" t="str">
        <f>IFERROR(VLOOKUP(B358,'Pre-Summary'!$AE$6:$AJ$85,4,FALSE),"")</f>
        <v/>
      </c>
      <c r="I358" t="str">
        <f>IFERROR(VLOOKUP(B358,'Pre-Summary'!$AE$6:$AJ$85,5,FALSE),"")</f>
        <v/>
      </c>
      <c r="J358" s="45" t="str">
        <f>IFERROR(VLOOKUP(B358,'Pre-Summary'!$AE$6:$AJ$85,6, FALSE),"")</f>
        <v/>
      </c>
      <c r="K358" s="45" t="str">
        <f>IFERROR(VLOOKUP(B358,'Pre-Summary'!$DE$6:$DG$61,3,FALSE),"")</f>
        <v/>
      </c>
      <c r="L358" s="45" t="str">
        <f>IFERROR(VLOOKUP(B358,'Pre-Summary'!$CU$6:$CW$36,3,FALSE),"")</f>
        <v/>
      </c>
      <c r="M358" s="45" t="str">
        <f>IFERROR(VLOOKUP(B358,'Pre-Summary'!$BW$6:$BY$58,2,FALSE),"")</f>
        <v/>
      </c>
      <c r="N358" s="45" t="str">
        <f>IFERROR(VLOOKUP(B358,'Pre-Summary'!$CD$6:$CF$64,2,FALSE),"")</f>
        <v/>
      </c>
      <c r="O358" s="99">
        <f>IFERROR(VLOOKUP(B358,'Pre-Summary'!$BO$6:$BQ$48,3, FALSE),O357)</f>
        <v>1.0915248032216731</v>
      </c>
      <c r="P358" s="99">
        <f>IFERROR(VLOOKUP(B358,'Pre-Summary'!$BS$6:$BU$35,3,FALSE),P357)</f>
        <v>0.25</v>
      </c>
      <c r="Q358" s="54">
        <f t="shared" si="15"/>
        <v>4.3660992128866924</v>
      </c>
      <c r="R358" s="53">
        <f>IFERROR(VLOOKUP(B358,'Pre-Summary'!$BG$6:$BM$44,7,FALSE),R359)</f>
        <v>2.7904161219319636E-2</v>
      </c>
      <c r="S358" s="53">
        <f>IFERROR(VLOOKUP(B358,'Pre-Summary'!$BG$6:$BM$44,6,FALSE),S359)</f>
        <v>3.3978715219895171E-2</v>
      </c>
      <c r="T358" s="45" t="str">
        <f>IFERROR(VLOOKUP(B358,'Pre-Summary'!$Y$6:$AC$83, 3,FALSE),"")</f>
        <v/>
      </c>
      <c r="U358" s="45" t="str">
        <f>IFERROR(VLOOKUP(B358,'Pre-Summary'!$Y$6:$AC$83, 4,FALSE),"")</f>
        <v/>
      </c>
      <c r="V358" t="str">
        <f>IFERROR(VLOOKUP(B358,'Pre-Summary'!$Y$6:$AC$83, 5,FALSE),"")</f>
        <v/>
      </c>
      <c r="W358" s="45" t="str">
        <f>IFERROR(VLOOKUP(B358,'Pre-Summary'!$Y$6:$AD$83,6,FALSE),"")</f>
        <v/>
      </c>
      <c r="X358" t="str">
        <f>IFERROR(VLOOKUP('Pre-Summary'!$DB$6:$DD$63,3,FALSE),"")</f>
        <v/>
      </c>
      <c r="Y358" t="str">
        <f>IFERROR(VLOOKUP(B358,'Pre-Summary'!$CR$6:$CT$36,3,FALSE),"")</f>
        <v/>
      </c>
      <c r="Z358" s="45" t="str">
        <f>IFERROR(VLOOKUP(B358,'Pre-Summary'!$BZ$6:$CB$63,2,FALSE),"")</f>
        <v/>
      </c>
      <c r="AA358" s="45" t="str">
        <f>IFERROR(VLOOKUP(B358,'Pre-Summary'!$CG$6:$CI$70,2,FALSE),"")</f>
        <v/>
      </c>
      <c r="AB358" s="99">
        <f>IFERROR(VLOOKUP(B358,'Pre-Summary'!$A$6:$P$178,9,FALSE),AB359)</f>
        <v>0.55228059519701667</v>
      </c>
      <c r="AC358" s="10">
        <f>IFERROR(VLOOKUP(Summary!B358,'Pre-Summary'!$A$6:$P$184,5, FALSE)/100,AC359)</f>
        <v>0.27094999999999997</v>
      </c>
      <c r="AD358" s="10">
        <f>IFERROR(VLOOKUP(Summary!B358,'Pre-Summary'!$A$6:$P$184,3, FALSE)/100,AD359)</f>
        <v>0.72263599999999995</v>
      </c>
      <c r="AE358" s="10">
        <f>IFERROR(VLOOKUP(Summary!B358,'Pre-Summary'!$A$6:$P$184,7, FALSE)/100,AE359)</f>
        <v>6.4139999999999996E-3</v>
      </c>
      <c r="AF358" s="99">
        <f t="shared" si="16"/>
        <v>0.39909784019079131</v>
      </c>
      <c r="AG358" s="99">
        <f t="shared" si="17"/>
        <v>3.5423277375936646E-3</v>
      </c>
      <c r="AH358" s="10" t="str">
        <f>IFERROR(VLOOKUP(B358,'Pre-Summary'!$AZ$6:$BE$65,3,FALSE),"")</f>
        <v/>
      </c>
      <c r="AI358" s="10" t="str">
        <f>IFERROR(VLOOKUP(B358,'Pre-Summary'!$AZ$6:$BE$65,5,FALSE),"")</f>
        <v/>
      </c>
      <c r="AJ358" s="10" t="str">
        <f>IFERROR(VLOOKUP(B358,'Pre-Summary'!$AZ$6:$BE$65,4,FALSE),"")</f>
        <v/>
      </c>
      <c r="AK358" s="10" t="str">
        <f>IFERROR(VLOOKUP(B358,'Pre-Summary'!$AZ$6:$BE$65,6,FALSE),"")</f>
        <v/>
      </c>
      <c r="AL358" s="10" t="str">
        <f>IFERROR(VLOOKUP(B358,'Pre-Summary'!$BG$6:$BL$44,3,FALSE),"")</f>
        <v/>
      </c>
      <c r="AM358" s="10" t="str">
        <f>IFERROR(VLOOKUP(B358,'Pre-Summary'!$BG$6:$BL$44,4,FALSE),"")</f>
        <v/>
      </c>
    </row>
    <row r="359" spans="2:39" ht="15" customHeight="1" x14ac:dyDescent="0.3">
      <c r="B359">
        <v>35.6</v>
      </c>
      <c r="C359" t="str">
        <f>IFERROR(VLOOKUP(B359,'Pre-Summary'!$DI$6:$DM$23,4,FALSE),"")</f>
        <v/>
      </c>
      <c r="D359" s="10" t="str">
        <f>IFERROR(VLOOKUP(B359,'Pre-Summary'!$AT$6:$AX$14,5,FALSE),D358)</f>
        <v>DSMZ v1.5: Using DSMZ 120 with NaHCO3</v>
      </c>
      <c r="E359" s="10" t="str">
        <f>IFERROR(VLOOKUP(B359,'Pre-Summary'!$AT$6:$AX$15,4,FALSE),"")</f>
        <v/>
      </c>
      <c r="F359">
        <f>IFERROR(VLOOKUP(B359,'Pre-Summary'!$AL$6:$AQ$13,6,FALSE),F358)</f>
        <v>5.9405263157894746E-2</v>
      </c>
      <c r="G359" t="str">
        <f>IFERROR(VLOOKUP(B359,'Pre-Summary'!$AE$6:$AJ$85,3,FALSE),"")</f>
        <v/>
      </c>
      <c r="H359" t="str">
        <f>IFERROR(VLOOKUP(B359,'Pre-Summary'!$AE$6:$AJ$85,4,FALSE),"")</f>
        <v/>
      </c>
      <c r="I359" t="str">
        <f>IFERROR(VLOOKUP(B359,'Pre-Summary'!$AE$6:$AJ$85,5,FALSE),"")</f>
        <v/>
      </c>
      <c r="J359" s="45" t="str">
        <f>IFERROR(VLOOKUP(B359,'Pre-Summary'!$AE$6:$AJ$85,6, FALSE),"")</f>
        <v/>
      </c>
      <c r="K359" s="45" t="str">
        <f>IFERROR(VLOOKUP(B359,'Pre-Summary'!$DE$6:$DG$61,3,FALSE),"")</f>
        <v/>
      </c>
      <c r="L359" s="45" t="str">
        <f>IFERROR(VLOOKUP(B359,'Pre-Summary'!$CU$6:$CW$36,3,FALSE),"")</f>
        <v/>
      </c>
      <c r="M359" s="45" t="str">
        <f>IFERROR(VLOOKUP(B359,'Pre-Summary'!$BW$6:$BY$58,2,FALSE),"")</f>
        <v/>
      </c>
      <c r="N359" s="45" t="str">
        <f>IFERROR(VLOOKUP(B359,'Pre-Summary'!$CD$6:$CF$64,2,FALSE),"")</f>
        <v/>
      </c>
      <c r="O359" s="99">
        <f>IFERROR(VLOOKUP(B359,'Pre-Summary'!$BO$6:$BQ$48,3, FALSE),O358)</f>
        <v>1.0915248032216731</v>
      </c>
      <c r="P359" s="99">
        <f>IFERROR(VLOOKUP(B359,'Pre-Summary'!$BS$6:$BU$35,3,FALSE),P358)</f>
        <v>0.25</v>
      </c>
      <c r="Q359" s="54">
        <f t="shared" si="15"/>
        <v>4.3660992128866924</v>
      </c>
      <c r="R359" s="53">
        <f>IFERROR(VLOOKUP(B359,'Pre-Summary'!$BG$6:$BM$44,7,FALSE),R360)</f>
        <v>2.7904161219319636E-2</v>
      </c>
      <c r="S359" s="53">
        <f>IFERROR(VLOOKUP(B359,'Pre-Summary'!$BG$6:$BM$44,6,FALSE),S360)</f>
        <v>3.3978715219895171E-2</v>
      </c>
      <c r="T359" s="45" t="str">
        <f>IFERROR(VLOOKUP(B359,'Pre-Summary'!$Y$6:$AC$83, 3,FALSE),"")</f>
        <v/>
      </c>
      <c r="U359" s="45" t="str">
        <f>IFERROR(VLOOKUP(B359,'Pre-Summary'!$Y$6:$AC$83, 4,FALSE),"")</f>
        <v/>
      </c>
      <c r="V359" t="str">
        <f>IFERROR(VLOOKUP(B359,'Pre-Summary'!$Y$6:$AC$83, 5,FALSE),"")</f>
        <v/>
      </c>
      <c r="W359" s="45" t="str">
        <f>IFERROR(VLOOKUP(B359,'Pre-Summary'!$Y$6:$AD$83,6,FALSE),"")</f>
        <v/>
      </c>
      <c r="X359" t="str">
        <f>IFERROR(VLOOKUP('Pre-Summary'!$DB$6:$DD$63,3,FALSE),"")</f>
        <v/>
      </c>
      <c r="Y359" t="str">
        <f>IFERROR(VLOOKUP(B359,'Pre-Summary'!$CR$6:$CT$36,3,FALSE),"")</f>
        <v/>
      </c>
      <c r="Z359" s="45" t="str">
        <f>IFERROR(VLOOKUP(B359,'Pre-Summary'!$BZ$6:$CB$63,2,FALSE),"")</f>
        <v/>
      </c>
      <c r="AA359" s="45" t="str">
        <f>IFERROR(VLOOKUP(B359,'Pre-Summary'!$CG$6:$CI$70,2,FALSE),"")</f>
        <v/>
      </c>
      <c r="AB359" s="99">
        <f>IFERROR(VLOOKUP(B359,'Pre-Summary'!$A$6:$P$178,9,FALSE),AB360)</f>
        <v>0.55228059519701667</v>
      </c>
      <c r="AC359" s="10">
        <f>IFERROR(VLOOKUP(Summary!B359,'Pre-Summary'!$A$6:$P$184,5, FALSE)/100,AC360)</f>
        <v>0.27094999999999997</v>
      </c>
      <c r="AD359" s="10">
        <f>IFERROR(VLOOKUP(Summary!B359,'Pre-Summary'!$A$6:$P$184,3, FALSE)/100,AD360)</f>
        <v>0.72263599999999995</v>
      </c>
      <c r="AE359" s="10">
        <f>IFERROR(VLOOKUP(Summary!B359,'Pre-Summary'!$A$6:$P$184,7, FALSE)/100,AE360)</f>
        <v>6.4139999999999996E-3</v>
      </c>
      <c r="AF359" s="99">
        <f t="shared" si="16"/>
        <v>0.39909784019079131</v>
      </c>
      <c r="AG359" s="99">
        <f t="shared" si="17"/>
        <v>3.5423277375936646E-3</v>
      </c>
      <c r="AH359" s="10" t="str">
        <f>IFERROR(VLOOKUP(B359,'Pre-Summary'!$AZ$6:$BE$65,3,FALSE),"")</f>
        <v/>
      </c>
      <c r="AI359" s="10" t="str">
        <f>IFERROR(VLOOKUP(B359,'Pre-Summary'!$AZ$6:$BE$65,5,FALSE),"")</f>
        <v/>
      </c>
      <c r="AJ359" s="10" t="str">
        <f>IFERROR(VLOOKUP(B359,'Pre-Summary'!$AZ$6:$BE$65,4,FALSE),"")</f>
        <v/>
      </c>
      <c r="AK359" s="10" t="str">
        <f>IFERROR(VLOOKUP(B359,'Pre-Summary'!$AZ$6:$BE$65,6,FALSE),"")</f>
        <v/>
      </c>
      <c r="AL359" s="10" t="str">
        <f>IFERROR(VLOOKUP(B359,'Pre-Summary'!$BG$6:$BL$44,3,FALSE),"")</f>
        <v/>
      </c>
      <c r="AM359" s="10" t="str">
        <f>IFERROR(VLOOKUP(B359,'Pre-Summary'!$BG$6:$BL$44,4,FALSE),"")</f>
        <v/>
      </c>
    </row>
    <row r="360" spans="2:39" ht="15" customHeight="1" x14ac:dyDescent="0.3">
      <c r="B360">
        <v>35.700000000000003</v>
      </c>
      <c r="C360" t="str">
        <f>IFERROR(VLOOKUP(B360,'Pre-Summary'!$DI$6:$DM$23,4,FALSE),"")</f>
        <v/>
      </c>
      <c r="D360" s="10" t="str">
        <f>IFERROR(VLOOKUP(B360,'Pre-Summary'!$AT$6:$AX$14,5,FALSE),D359)</f>
        <v>DSMZ v1.5: Using DSMZ 120 with NaHCO3</v>
      </c>
      <c r="E360" s="10" t="str">
        <f>IFERROR(VLOOKUP(B360,'Pre-Summary'!$AT$6:$AX$15,4,FALSE),"")</f>
        <v/>
      </c>
      <c r="F360">
        <f>IFERROR(VLOOKUP(B360,'Pre-Summary'!$AL$6:$AQ$13,6,FALSE),F359)</f>
        <v>5.9405263157894746E-2</v>
      </c>
      <c r="G360" t="str">
        <f>IFERROR(VLOOKUP(B360,'Pre-Summary'!$AE$6:$AJ$85,3,FALSE),"")</f>
        <v/>
      </c>
      <c r="H360" t="str">
        <f>IFERROR(VLOOKUP(B360,'Pre-Summary'!$AE$6:$AJ$85,4,FALSE),"")</f>
        <v/>
      </c>
      <c r="I360" t="str">
        <f>IFERROR(VLOOKUP(B360,'Pre-Summary'!$AE$6:$AJ$85,5,FALSE),"")</f>
        <v/>
      </c>
      <c r="J360" s="45" t="str">
        <f>IFERROR(VLOOKUP(B360,'Pre-Summary'!$AE$6:$AJ$85,6, FALSE),"")</f>
        <v/>
      </c>
      <c r="K360" s="45" t="str">
        <f>IFERROR(VLOOKUP(B360,'Pre-Summary'!$DE$6:$DG$61,3,FALSE),"")</f>
        <v/>
      </c>
      <c r="L360" s="45" t="str">
        <f>IFERROR(VLOOKUP(B360,'Pre-Summary'!$CU$6:$CW$36,3,FALSE),"")</f>
        <v/>
      </c>
      <c r="M360" s="45" t="str">
        <f>IFERROR(VLOOKUP(B360,'Pre-Summary'!$BW$6:$BY$58,2,FALSE),"")</f>
        <v/>
      </c>
      <c r="N360" s="45" t="str">
        <f>IFERROR(VLOOKUP(B360,'Pre-Summary'!$CD$6:$CF$64,2,FALSE),"")</f>
        <v/>
      </c>
      <c r="O360" s="99">
        <f>IFERROR(VLOOKUP(B360,'Pre-Summary'!$BO$6:$BQ$48,3, FALSE),O359)</f>
        <v>1.0915248032216731</v>
      </c>
      <c r="P360" s="99">
        <f>IFERROR(VLOOKUP(B360,'Pre-Summary'!$BS$6:$BU$35,3,FALSE),P359)</f>
        <v>0.25</v>
      </c>
      <c r="Q360" s="54">
        <f t="shared" si="15"/>
        <v>4.3660992128866924</v>
      </c>
      <c r="R360" s="53">
        <f>IFERROR(VLOOKUP(B360,'Pre-Summary'!$BG$6:$BM$44,7,FALSE),R361)</f>
        <v>2.7904161219319636E-2</v>
      </c>
      <c r="S360" s="53">
        <f>IFERROR(VLOOKUP(B360,'Pre-Summary'!$BG$6:$BM$44,6,FALSE),S361)</f>
        <v>3.3978715219895171E-2</v>
      </c>
      <c r="T360" s="45" t="str">
        <f>IFERROR(VLOOKUP(B360,'Pre-Summary'!$Y$6:$AC$83, 3,FALSE),"")</f>
        <v/>
      </c>
      <c r="U360" s="45" t="str">
        <f>IFERROR(VLOOKUP(B360,'Pre-Summary'!$Y$6:$AC$83, 4,FALSE),"")</f>
        <v/>
      </c>
      <c r="V360" t="str">
        <f>IFERROR(VLOOKUP(B360,'Pre-Summary'!$Y$6:$AC$83, 5,FALSE),"")</f>
        <v/>
      </c>
      <c r="W360" s="45" t="str">
        <f>IFERROR(VLOOKUP(B360,'Pre-Summary'!$Y$6:$AD$83,6,FALSE),"")</f>
        <v/>
      </c>
      <c r="X360" t="str">
        <f>IFERROR(VLOOKUP('Pre-Summary'!$DB$6:$DD$63,3,FALSE),"")</f>
        <v/>
      </c>
      <c r="Y360" t="str">
        <f>IFERROR(VLOOKUP(B360,'Pre-Summary'!$CR$6:$CT$36,3,FALSE),"")</f>
        <v/>
      </c>
      <c r="Z360" s="45" t="str">
        <f>IFERROR(VLOOKUP(B360,'Pre-Summary'!$BZ$6:$CB$63,2,FALSE),"")</f>
        <v/>
      </c>
      <c r="AA360" s="45" t="str">
        <f>IFERROR(VLOOKUP(B360,'Pre-Summary'!$CG$6:$CI$70,2,FALSE),"")</f>
        <v/>
      </c>
      <c r="AB360" s="99">
        <f>IFERROR(VLOOKUP(B360,'Pre-Summary'!$A$6:$P$178,9,FALSE),AB361)</f>
        <v>0.55228059519701667</v>
      </c>
      <c r="AC360" s="10">
        <f>IFERROR(VLOOKUP(Summary!B360,'Pre-Summary'!$A$6:$P$184,5, FALSE)/100,AC361)</f>
        <v>0.27094999999999997</v>
      </c>
      <c r="AD360" s="10">
        <f>IFERROR(VLOOKUP(Summary!B360,'Pre-Summary'!$A$6:$P$184,3, FALSE)/100,AD361)</f>
        <v>0.72263599999999995</v>
      </c>
      <c r="AE360" s="10">
        <f>IFERROR(VLOOKUP(Summary!B360,'Pre-Summary'!$A$6:$P$184,7, FALSE)/100,AE361)</f>
        <v>6.4139999999999996E-3</v>
      </c>
      <c r="AF360" s="99">
        <f t="shared" si="16"/>
        <v>0.39909784019079131</v>
      </c>
      <c r="AG360" s="99">
        <f t="shared" si="17"/>
        <v>3.5423277375936646E-3</v>
      </c>
      <c r="AH360" s="10" t="str">
        <f>IFERROR(VLOOKUP(B360,'Pre-Summary'!$AZ$6:$BE$65,3,FALSE),"")</f>
        <v/>
      </c>
      <c r="AI360" s="10" t="str">
        <f>IFERROR(VLOOKUP(B360,'Pre-Summary'!$AZ$6:$BE$65,5,FALSE),"")</f>
        <v/>
      </c>
      <c r="AJ360" s="10" t="str">
        <f>IFERROR(VLOOKUP(B360,'Pre-Summary'!$AZ$6:$BE$65,4,FALSE),"")</f>
        <v/>
      </c>
      <c r="AK360" s="10" t="str">
        <f>IFERROR(VLOOKUP(B360,'Pre-Summary'!$AZ$6:$BE$65,6,FALSE),"")</f>
        <v/>
      </c>
      <c r="AL360" s="10" t="str">
        <f>IFERROR(VLOOKUP(B360,'Pre-Summary'!$BG$6:$BL$44,3,FALSE),"")</f>
        <v/>
      </c>
      <c r="AM360" s="10" t="str">
        <f>IFERROR(VLOOKUP(B360,'Pre-Summary'!$BG$6:$BL$44,4,FALSE),"")</f>
        <v/>
      </c>
    </row>
    <row r="361" spans="2:39" ht="15" customHeight="1" x14ac:dyDescent="0.3">
      <c r="B361">
        <v>35.799999999999997</v>
      </c>
      <c r="C361" t="str">
        <f>IFERROR(VLOOKUP(B361,'Pre-Summary'!$DI$6:$DM$23,4,FALSE),"")</f>
        <v/>
      </c>
      <c r="D361" s="10" t="str">
        <f>IFERROR(VLOOKUP(B361,'Pre-Summary'!$AT$6:$AX$14,5,FALSE),D360)</f>
        <v>DSMZ v1.5: Using DSMZ 120 with NaHCO3</v>
      </c>
      <c r="E361" s="10" t="str">
        <f>IFERROR(VLOOKUP(B361,'Pre-Summary'!$AT$6:$AX$15,4,FALSE),"")</f>
        <v/>
      </c>
      <c r="F361">
        <f>IFERROR(VLOOKUP(B361,'Pre-Summary'!$AL$6:$AQ$13,6,FALSE),F360)</f>
        <v>5.9405263157894746E-2</v>
      </c>
      <c r="G361" t="str">
        <f>IFERROR(VLOOKUP(B361,'Pre-Summary'!$AE$6:$AJ$85,3,FALSE),"")</f>
        <v/>
      </c>
      <c r="H361" t="str">
        <f>IFERROR(VLOOKUP(B361,'Pre-Summary'!$AE$6:$AJ$85,4,FALSE),"")</f>
        <v/>
      </c>
      <c r="I361" t="str">
        <f>IFERROR(VLOOKUP(B361,'Pre-Summary'!$AE$6:$AJ$85,5,FALSE),"")</f>
        <v/>
      </c>
      <c r="J361" s="45" t="str">
        <f>IFERROR(VLOOKUP(B361,'Pre-Summary'!$AE$6:$AJ$85,6, FALSE),"")</f>
        <v/>
      </c>
      <c r="K361" s="45" t="str">
        <f>IFERROR(VLOOKUP(B361,'Pre-Summary'!$DE$6:$DG$61,3,FALSE),"")</f>
        <v/>
      </c>
      <c r="L361" s="45" t="str">
        <f>IFERROR(VLOOKUP(B361,'Pre-Summary'!$CU$6:$CW$36,3,FALSE),"")</f>
        <v/>
      </c>
      <c r="M361" s="45" t="str">
        <f>IFERROR(VLOOKUP(B361,'Pre-Summary'!$BW$6:$BY$58,2,FALSE),"")</f>
        <v/>
      </c>
      <c r="N361" s="45" t="str">
        <f>IFERROR(VLOOKUP(B361,'Pre-Summary'!$CD$6:$CF$64,2,FALSE),"")</f>
        <v/>
      </c>
      <c r="O361" s="99">
        <f>IFERROR(VLOOKUP(B361,'Pre-Summary'!$BO$6:$BQ$48,3, FALSE),O360)</f>
        <v>1.0915248032216731</v>
      </c>
      <c r="P361" s="99">
        <f>IFERROR(VLOOKUP(B361,'Pre-Summary'!$BS$6:$BU$35,3,FALSE),P360)</f>
        <v>0.25</v>
      </c>
      <c r="Q361" s="54">
        <f t="shared" si="15"/>
        <v>4.3660992128866924</v>
      </c>
      <c r="R361" s="53">
        <f>IFERROR(VLOOKUP(B361,'Pre-Summary'!$BG$6:$BM$44,7,FALSE),R362)</f>
        <v>2.7904161219319636E-2</v>
      </c>
      <c r="S361" s="53">
        <f>IFERROR(VLOOKUP(B361,'Pre-Summary'!$BG$6:$BM$44,6,FALSE),S362)</f>
        <v>3.3978715219895171E-2</v>
      </c>
      <c r="T361" s="45" t="str">
        <f>IFERROR(VLOOKUP(B361,'Pre-Summary'!$Y$6:$AC$83, 3,FALSE),"")</f>
        <v/>
      </c>
      <c r="U361" s="45" t="str">
        <f>IFERROR(VLOOKUP(B361,'Pre-Summary'!$Y$6:$AC$83, 4,FALSE),"")</f>
        <v/>
      </c>
      <c r="V361" t="str">
        <f>IFERROR(VLOOKUP(B361,'Pre-Summary'!$Y$6:$AC$83, 5,FALSE),"")</f>
        <v/>
      </c>
      <c r="W361" s="45" t="str">
        <f>IFERROR(VLOOKUP(B361,'Pre-Summary'!$Y$6:$AD$83,6,FALSE),"")</f>
        <v/>
      </c>
      <c r="X361" t="str">
        <f>IFERROR(VLOOKUP('Pre-Summary'!$DB$6:$DD$63,3,FALSE),"")</f>
        <v/>
      </c>
      <c r="Y361" t="str">
        <f>IFERROR(VLOOKUP(B361,'Pre-Summary'!$CR$6:$CT$36,3,FALSE),"")</f>
        <v/>
      </c>
      <c r="Z361" s="45" t="str">
        <f>IFERROR(VLOOKUP(B361,'Pre-Summary'!$BZ$6:$CB$63,2,FALSE),"")</f>
        <v/>
      </c>
      <c r="AA361" s="45" t="str">
        <f>IFERROR(VLOOKUP(B361,'Pre-Summary'!$CG$6:$CI$70,2,FALSE),"")</f>
        <v/>
      </c>
      <c r="AB361" s="99">
        <f>IFERROR(VLOOKUP(B361,'Pre-Summary'!$A$6:$P$178,9,FALSE),AB362)</f>
        <v>0.55228059519701667</v>
      </c>
      <c r="AC361" s="10">
        <f>IFERROR(VLOOKUP(Summary!B361,'Pre-Summary'!$A$6:$P$184,5, FALSE)/100,AC362)</f>
        <v>0.27094999999999997</v>
      </c>
      <c r="AD361" s="10">
        <f>IFERROR(VLOOKUP(Summary!B361,'Pre-Summary'!$A$6:$P$184,3, FALSE)/100,AD362)</f>
        <v>0.72263599999999995</v>
      </c>
      <c r="AE361" s="10">
        <f>IFERROR(VLOOKUP(Summary!B361,'Pre-Summary'!$A$6:$P$184,7, FALSE)/100,AE362)</f>
        <v>6.4139999999999996E-3</v>
      </c>
      <c r="AF361" s="99">
        <f t="shared" si="16"/>
        <v>0.39909784019079131</v>
      </c>
      <c r="AG361" s="99">
        <f t="shared" si="17"/>
        <v>3.5423277375936646E-3</v>
      </c>
      <c r="AH361" s="10" t="str">
        <f>IFERROR(VLOOKUP(B361,'Pre-Summary'!$AZ$6:$BE$65,3,FALSE),"")</f>
        <v/>
      </c>
      <c r="AI361" s="10" t="str">
        <f>IFERROR(VLOOKUP(B361,'Pre-Summary'!$AZ$6:$BE$65,5,FALSE),"")</f>
        <v/>
      </c>
      <c r="AJ361" s="10" t="str">
        <f>IFERROR(VLOOKUP(B361,'Pre-Summary'!$AZ$6:$BE$65,4,FALSE),"")</f>
        <v/>
      </c>
      <c r="AK361" s="10" t="str">
        <f>IFERROR(VLOOKUP(B361,'Pre-Summary'!$AZ$6:$BE$65,6,FALSE),"")</f>
        <v/>
      </c>
      <c r="AL361" s="10" t="str">
        <f>IFERROR(VLOOKUP(B361,'Pre-Summary'!$BG$6:$BL$44,3,FALSE),"")</f>
        <v/>
      </c>
      <c r="AM361" s="10" t="str">
        <f>IFERROR(VLOOKUP(B361,'Pre-Summary'!$BG$6:$BL$44,4,FALSE),"")</f>
        <v/>
      </c>
    </row>
    <row r="362" spans="2:39" ht="15" customHeight="1" x14ac:dyDescent="0.3">
      <c r="B362">
        <v>35.9</v>
      </c>
      <c r="C362" t="str">
        <f>IFERROR(VLOOKUP(B362,'Pre-Summary'!$DI$6:$DM$23,4,FALSE),"")</f>
        <v/>
      </c>
      <c r="D362" s="10" t="str">
        <f>IFERROR(VLOOKUP(B362,'Pre-Summary'!$AT$6:$AX$14,5,FALSE),D361)</f>
        <v>DSMZ v1.5: Using DSMZ 120 with NaHCO3</v>
      </c>
      <c r="E362" s="10" t="str">
        <f>IFERROR(VLOOKUP(B362,'Pre-Summary'!$AT$6:$AX$15,4,FALSE),"")</f>
        <v/>
      </c>
      <c r="F362">
        <f>IFERROR(VLOOKUP(B362,'Pre-Summary'!$AL$6:$AQ$13,6,FALSE),F361)</f>
        <v>5.9405263157894746E-2</v>
      </c>
      <c r="G362" t="str">
        <f>IFERROR(VLOOKUP(B362,'Pre-Summary'!$AE$6:$AJ$85,3,FALSE),"")</f>
        <v/>
      </c>
      <c r="H362" t="str">
        <f>IFERROR(VLOOKUP(B362,'Pre-Summary'!$AE$6:$AJ$85,4,FALSE),"")</f>
        <v/>
      </c>
      <c r="I362" t="str">
        <f>IFERROR(VLOOKUP(B362,'Pre-Summary'!$AE$6:$AJ$85,5,FALSE),"")</f>
        <v/>
      </c>
      <c r="J362" s="45" t="str">
        <f>IFERROR(VLOOKUP(B362,'Pre-Summary'!$AE$6:$AJ$85,6, FALSE),"")</f>
        <v/>
      </c>
      <c r="K362" s="45" t="str">
        <f>IFERROR(VLOOKUP(B362,'Pre-Summary'!$DE$6:$DG$61,3,FALSE),"")</f>
        <v/>
      </c>
      <c r="L362" s="45" t="str">
        <f>IFERROR(VLOOKUP(B362,'Pre-Summary'!$CU$6:$CW$36,3,FALSE),"")</f>
        <v/>
      </c>
      <c r="M362" s="45" t="str">
        <f>IFERROR(VLOOKUP(B362,'Pre-Summary'!$BW$6:$BY$58,2,FALSE),"")</f>
        <v/>
      </c>
      <c r="N362" s="45" t="str">
        <f>IFERROR(VLOOKUP(B362,'Pre-Summary'!$CD$6:$CF$64,2,FALSE),"")</f>
        <v/>
      </c>
      <c r="O362" s="99">
        <f>IFERROR(VLOOKUP(B362,'Pre-Summary'!$BO$6:$BQ$48,3, FALSE),O361)</f>
        <v>1.0915248032216731</v>
      </c>
      <c r="P362" s="99">
        <f>IFERROR(VLOOKUP(B362,'Pre-Summary'!$BS$6:$BU$35,3,FALSE),P361)</f>
        <v>0.25</v>
      </c>
      <c r="Q362" s="54">
        <f t="shared" si="15"/>
        <v>4.3660992128866924</v>
      </c>
      <c r="R362" s="53">
        <f>IFERROR(VLOOKUP(B362,'Pre-Summary'!$BG$6:$BM$44,7,FALSE),R363)</f>
        <v>2.7904161219319636E-2</v>
      </c>
      <c r="S362" s="53">
        <f>IFERROR(VLOOKUP(B362,'Pre-Summary'!$BG$6:$BM$44,6,FALSE),S363)</f>
        <v>3.3978715219895171E-2</v>
      </c>
      <c r="T362" s="45" t="str">
        <f>IFERROR(VLOOKUP(B362,'Pre-Summary'!$Y$6:$AC$83, 3,FALSE),"")</f>
        <v/>
      </c>
      <c r="U362" s="45" t="str">
        <f>IFERROR(VLOOKUP(B362,'Pre-Summary'!$Y$6:$AC$83, 4,FALSE),"")</f>
        <v/>
      </c>
      <c r="V362" t="str">
        <f>IFERROR(VLOOKUP(B362,'Pre-Summary'!$Y$6:$AC$83, 5,FALSE),"")</f>
        <v/>
      </c>
      <c r="W362" s="45" t="str">
        <f>IFERROR(VLOOKUP(B362,'Pre-Summary'!$Y$6:$AD$83,6,FALSE),"")</f>
        <v/>
      </c>
      <c r="X362" t="str">
        <f>IFERROR(VLOOKUP('Pre-Summary'!$DB$6:$DD$63,3,FALSE),"")</f>
        <v/>
      </c>
      <c r="Y362" t="str">
        <f>IFERROR(VLOOKUP(B362,'Pre-Summary'!$CR$6:$CT$36,3,FALSE),"")</f>
        <v/>
      </c>
      <c r="Z362" s="45" t="str">
        <f>IFERROR(VLOOKUP(B362,'Pre-Summary'!$BZ$6:$CB$63,2,FALSE),"")</f>
        <v/>
      </c>
      <c r="AA362" s="45" t="str">
        <f>IFERROR(VLOOKUP(B362,'Pre-Summary'!$CG$6:$CI$70,2,FALSE),"")</f>
        <v/>
      </c>
      <c r="AB362" s="99">
        <f>IFERROR(VLOOKUP(B362,'Pre-Summary'!$A$6:$P$178,9,FALSE),AB363)</f>
        <v>0.55228059519701667</v>
      </c>
      <c r="AC362" s="10">
        <f>IFERROR(VLOOKUP(Summary!B362,'Pre-Summary'!$A$6:$P$184,5, FALSE)/100,AC363)</f>
        <v>0.27094999999999997</v>
      </c>
      <c r="AD362" s="10">
        <f>IFERROR(VLOOKUP(Summary!B362,'Pre-Summary'!$A$6:$P$184,3, FALSE)/100,AD363)</f>
        <v>0.72263599999999995</v>
      </c>
      <c r="AE362" s="10">
        <f>IFERROR(VLOOKUP(Summary!B362,'Pre-Summary'!$A$6:$P$184,7, FALSE)/100,AE363)</f>
        <v>6.4139999999999996E-3</v>
      </c>
      <c r="AF362" s="99">
        <f t="shared" si="16"/>
        <v>0.39909784019079131</v>
      </c>
      <c r="AG362" s="99">
        <f t="shared" si="17"/>
        <v>3.5423277375936646E-3</v>
      </c>
      <c r="AH362" s="10" t="str">
        <f>IFERROR(VLOOKUP(B362,'Pre-Summary'!$AZ$6:$BE$65,3,FALSE),"")</f>
        <v/>
      </c>
      <c r="AI362" s="10" t="str">
        <f>IFERROR(VLOOKUP(B362,'Pre-Summary'!$AZ$6:$BE$65,5,FALSE),"")</f>
        <v/>
      </c>
      <c r="AJ362" s="10" t="str">
        <f>IFERROR(VLOOKUP(B362,'Pre-Summary'!$AZ$6:$BE$65,4,FALSE),"")</f>
        <v/>
      </c>
      <c r="AK362" s="10" t="str">
        <f>IFERROR(VLOOKUP(B362,'Pre-Summary'!$AZ$6:$BE$65,6,FALSE),"")</f>
        <v/>
      </c>
      <c r="AL362" s="10" t="str">
        <f>IFERROR(VLOOKUP(B362,'Pre-Summary'!$BG$6:$BL$44,3,FALSE),"")</f>
        <v/>
      </c>
      <c r="AM362" s="10" t="str">
        <f>IFERROR(VLOOKUP(B362,'Pre-Summary'!$BG$6:$BL$44,4,FALSE),"")</f>
        <v/>
      </c>
    </row>
    <row r="363" spans="2:39" ht="15" customHeight="1" x14ac:dyDescent="0.3">
      <c r="B363">
        <v>36</v>
      </c>
      <c r="C363" t="str">
        <f>IFERROR(VLOOKUP(B363,'Pre-Summary'!$DI$6:$DM$23,4,FALSE),"")</f>
        <v/>
      </c>
      <c r="D363" s="10" t="str">
        <f>IFERROR(VLOOKUP(B363,'Pre-Summary'!$AT$6:$AX$14,5,FALSE),D362)</f>
        <v>DSMZ v1.5: Using DSMZ 120 with NaHCO3</v>
      </c>
      <c r="E363" s="10" t="str">
        <f>IFERROR(VLOOKUP(B363,'Pre-Summary'!$AT$6:$AX$15,4,FALSE),"")</f>
        <v/>
      </c>
      <c r="F363">
        <f>IFERROR(VLOOKUP(B363,'Pre-Summary'!$AL$6:$AQ$13,6,FALSE),F362)</f>
        <v>5.9405263157894746E-2</v>
      </c>
      <c r="G363" t="str">
        <f>IFERROR(VLOOKUP(B363,'Pre-Summary'!$AE$6:$AJ$85,3,FALSE),"")</f>
        <v/>
      </c>
      <c r="H363" t="str">
        <f>IFERROR(VLOOKUP(B363,'Pre-Summary'!$AE$6:$AJ$85,4,FALSE),"")</f>
        <v/>
      </c>
      <c r="I363" t="str">
        <f>IFERROR(VLOOKUP(B363,'Pre-Summary'!$AE$6:$AJ$85,5,FALSE),"")</f>
        <v/>
      </c>
      <c r="J363" s="45" t="str">
        <f>IFERROR(VLOOKUP(B363,'Pre-Summary'!$AE$6:$AJ$85,6, FALSE),"")</f>
        <v/>
      </c>
      <c r="K363" s="45" t="str">
        <f>IFERROR(VLOOKUP(B363,'Pre-Summary'!$DE$6:$DG$61,3,FALSE),"")</f>
        <v/>
      </c>
      <c r="L363" s="45" t="str">
        <f>IFERROR(VLOOKUP(B363,'Pre-Summary'!$CU$6:$CW$36,3,FALSE),"")</f>
        <v/>
      </c>
      <c r="M363" s="45" t="str">
        <f>IFERROR(VLOOKUP(B363,'Pre-Summary'!$BW$6:$BY$58,2,FALSE),"")</f>
        <v/>
      </c>
      <c r="N363" s="45" t="str">
        <f>IFERROR(VLOOKUP(B363,'Pre-Summary'!$CD$6:$CF$64,2,FALSE),"")</f>
        <v/>
      </c>
      <c r="O363" s="99">
        <f>IFERROR(VLOOKUP(B363,'Pre-Summary'!$BO$6:$BQ$48,3, FALSE),O362)</f>
        <v>1.0915248032216731</v>
      </c>
      <c r="P363" s="99">
        <f>IFERROR(VLOOKUP(B363,'Pre-Summary'!$BS$6:$BU$35,3,FALSE),P362)</f>
        <v>0.25</v>
      </c>
      <c r="Q363" s="54">
        <f t="shared" si="15"/>
        <v>4.3660992128866924</v>
      </c>
      <c r="R363" s="53">
        <f>IFERROR(VLOOKUP(B363,'Pre-Summary'!$BG$6:$BM$44,7,FALSE),R364)</f>
        <v>2.7904161219319636E-2</v>
      </c>
      <c r="S363" s="53">
        <f>IFERROR(VLOOKUP(B363,'Pre-Summary'!$BG$6:$BM$44,6,FALSE),S364)</f>
        <v>3.3978715219895171E-2</v>
      </c>
      <c r="T363" s="45" t="str">
        <f>IFERROR(VLOOKUP(B363,'Pre-Summary'!$Y$6:$AC$83, 3,FALSE),"")</f>
        <v/>
      </c>
      <c r="U363" s="45" t="str">
        <f>IFERROR(VLOOKUP(B363,'Pre-Summary'!$Y$6:$AC$83, 4,FALSE),"")</f>
        <v/>
      </c>
      <c r="V363" t="str">
        <f>IFERROR(VLOOKUP(B363,'Pre-Summary'!$Y$6:$AC$83, 5,FALSE),"")</f>
        <v/>
      </c>
      <c r="W363" s="45" t="str">
        <f>IFERROR(VLOOKUP(B363,'Pre-Summary'!$Y$6:$AD$83,6,FALSE),"")</f>
        <v/>
      </c>
      <c r="X363" t="str">
        <f>IFERROR(VLOOKUP('Pre-Summary'!$DB$6:$DD$63,3,FALSE),"")</f>
        <v/>
      </c>
      <c r="Y363" t="str">
        <f>IFERROR(VLOOKUP(B363,'Pre-Summary'!$CR$6:$CT$36,3,FALSE),"")</f>
        <v/>
      </c>
      <c r="Z363" s="45" t="str">
        <f>IFERROR(VLOOKUP(B363,'Pre-Summary'!$BZ$6:$CB$63,2,FALSE),"")</f>
        <v/>
      </c>
      <c r="AA363" s="45" t="str">
        <f>IFERROR(VLOOKUP(B363,'Pre-Summary'!$CG$6:$CI$70,2,FALSE),"")</f>
        <v/>
      </c>
      <c r="AB363" s="99">
        <f>IFERROR(VLOOKUP(B363,'Pre-Summary'!$A$6:$P$178,9,FALSE),AB364)</f>
        <v>0.55228059519701667</v>
      </c>
      <c r="AC363" s="10">
        <f>IFERROR(VLOOKUP(Summary!B363,'Pre-Summary'!$A$6:$P$184,5, FALSE)/100,AC364)</f>
        <v>0.27094999999999997</v>
      </c>
      <c r="AD363" s="10">
        <f>IFERROR(VLOOKUP(Summary!B363,'Pre-Summary'!$A$6:$P$184,3, FALSE)/100,AD364)</f>
        <v>0.72263599999999995</v>
      </c>
      <c r="AE363" s="10">
        <f>IFERROR(VLOOKUP(Summary!B363,'Pre-Summary'!$A$6:$P$184,7, FALSE)/100,AE364)</f>
        <v>6.4139999999999996E-3</v>
      </c>
      <c r="AF363" s="99">
        <f t="shared" si="16"/>
        <v>0.39909784019079131</v>
      </c>
      <c r="AG363" s="99">
        <f t="shared" si="17"/>
        <v>3.5423277375936646E-3</v>
      </c>
      <c r="AH363" s="10" t="str">
        <f>IFERROR(VLOOKUP(B363,'Pre-Summary'!$AZ$6:$BE$65,3,FALSE),"")</f>
        <v/>
      </c>
      <c r="AI363" s="10" t="str">
        <f>IFERROR(VLOOKUP(B363,'Pre-Summary'!$AZ$6:$BE$65,5,FALSE),"")</f>
        <v/>
      </c>
      <c r="AJ363" s="10" t="str">
        <f>IFERROR(VLOOKUP(B363,'Pre-Summary'!$AZ$6:$BE$65,4,FALSE),"")</f>
        <v/>
      </c>
      <c r="AK363" s="10" t="str">
        <f>IFERROR(VLOOKUP(B363,'Pre-Summary'!$AZ$6:$BE$65,6,FALSE),"")</f>
        <v/>
      </c>
      <c r="AL363" s="10" t="str">
        <f>IFERROR(VLOOKUP(B363,'Pre-Summary'!$BG$6:$BL$44,3,FALSE),"")</f>
        <v/>
      </c>
      <c r="AM363" s="10" t="str">
        <f>IFERROR(VLOOKUP(B363,'Pre-Summary'!$BG$6:$BL$44,4,FALSE),"")</f>
        <v/>
      </c>
    </row>
    <row r="364" spans="2:39" ht="15" customHeight="1" x14ac:dyDescent="0.3">
      <c r="B364">
        <v>36.1</v>
      </c>
      <c r="C364" t="str">
        <f>IFERROR(VLOOKUP(B364,'Pre-Summary'!$DI$6:$DM$23,4,FALSE),"")</f>
        <v/>
      </c>
      <c r="D364" s="10" t="str">
        <f>IFERROR(VLOOKUP(B364,'Pre-Summary'!$AT$6:$AX$14,5,FALSE),D363)</f>
        <v>DSMZ v1.5: Using DSMZ 120 with NaHCO3</v>
      </c>
      <c r="E364" s="10" t="str">
        <f>IFERROR(VLOOKUP(B364,'Pre-Summary'!$AT$6:$AX$15,4,FALSE),"")</f>
        <v/>
      </c>
      <c r="F364">
        <f>IFERROR(VLOOKUP(B364,'Pre-Summary'!$AL$6:$AQ$13,6,FALSE),F363)</f>
        <v>5.9405263157894746E-2</v>
      </c>
      <c r="G364" t="str">
        <f>IFERROR(VLOOKUP(B364,'Pre-Summary'!$AE$6:$AJ$85,3,FALSE),"")</f>
        <v/>
      </c>
      <c r="H364" t="str">
        <f>IFERROR(VLOOKUP(B364,'Pre-Summary'!$AE$6:$AJ$85,4,FALSE),"")</f>
        <v/>
      </c>
      <c r="I364" t="str">
        <f>IFERROR(VLOOKUP(B364,'Pre-Summary'!$AE$6:$AJ$85,5,FALSE),"")</f>
        <v/>
      </c>
      <c r="J364" s="45" t="str">
        <f>IFERROR(VLOOKUP(B364,'Pre-Summary'!$AE$6:$AJ$85,6, FALSE),"")</f>
        <v/>
      </c>
      <c r="K364" s="45" t="str">
        <f>IFERROR(VLOOKUP(B364,'Pre-Summary'!$DE$6:$DG$61,3,FALSE),"")</f>
        <v/>
      </c>
      <c r="L364" s="45" t="str">
        <f>IFERROR(VLOOKUP(B364,'Pre-Summary'!$CU$6:$CW$36,3,FALSE),"")</f>
        <v/>
      </c>
      <c r="M364" s="45" t="str">
        <f>IFERROR(VLOOKUP(B364,'Pre-Summary'!$BW$6:$BY$58,2,FALSE),"")</f>
        <v/>
      </c>
      <c r="N364" s="45" t="str">
        <f>IFERROR(VLOOKUP(B364,'Pre-Summary'!$CD$6:$CF$64,2,FALSE),"")</f>
        <v/>
      </c>
      <c r="O364" s="99">
        <f>IFERROR(VLOOKUP(B364,'Pre-Summary'!$BO$6:$BQ$48,3, FALSE),O363)</f>
        <v>1.0915248032216731</v>
      </c>
      <c r="P364" s="99">
        <f>IFERROR(VLOOKUP(B364,'Pre-Summary'!$BS$6:$BU$35,3,FALSE),P363)</f>
        <v>0.25</v>
      </c>
      <c r="Q364" s="54">
        <f t="shared" si="15"/>
        <v>4.3660992128866924</v>
      </c>
      <c r="R364" s="53">
        <f>IFERROR(VLOOKUP(B364,'Pre-Summary'!$BG$6:$BM$44,7,FALSE),R365)</f>
        <v>2.7904161219319636E-2</v>
      </c>
      <c r="S364" s="53">
        <f>IFERROR(VLOOKUP(B364,'Pre-Summary'!$BG$6:$BM$44,6,FALSE),S365)</f>
        <v>3.3978715219895171E-2</v>
      </c>
      <c r="T364" s="45" t="str">
        <f>IFERROR(VLOOKUP(B364,'Pre-Summary'!$Y$6:$AC$83, 3,FALSE),"")</f>
        <v/>
      </c>
      <c r="U364" s="45" t="str">
        <f>IFERROR(VLOOKUP(B364,'Pre-Summary'!$Y$6:$AC$83, 4,FALSE),"")</f>
        <v/>
      </c>
      <c r="V364" t="str">
        <f>IFERROR(VLOOKUP(B364,'Pre-Summary'!$Y$6:$AC$83, 5,FALSE),"")</f>
        <v/>
      </c>
      <c r="W364" s="45" t="str">
        <f>IFERROR(VLOOKUP(B364,'Pre-Summary'!$Y$6:$AD$83,6,FALSE),"")</f>
        <v/>
      </c>
      <c r="X364" t="str">
        <f>IFERROR(VLOOKUP('Pre-Summary'!$DB$6:$DD$63,3,FALSE),"")</f>
        <v/>
      </c>
      <c r="Y364" t="str">
        <f>IFERROR(VLOOKUP(B364,'Pre-Summary'!$CR$6:$CT$36,3,FALSE),"")</f>
        <v/>
      </c>
      <c r="Z364" s="45" t="str">
        <f>IFERROR(VLOOKUP(B364,'Pre-Summary'!$BZ$6:$CB$63,2,FALSE),"")</f>
        <v/>
      </c>
      <c r="AA364" s="45" t="str">
        <f>IFERROR(VLOOKUP(B364,'Pre-Summary'!$CG$6:$CI$70,2,FALSE),"")</f>
        <v/>
      </c>
      <c r="AB364" s="99">
        <f>IFERROR(VLOOKUP(B364,'Pre-Summary'!$A$6:$P$178,9,FALSE),AB365)</f>
        <v>0.55228059519701667</v>
      </c>
      <c r="AC364" s="10">
        <f>IFERROR(VLOOKUP(Summary!B364,'Pre-Summary'!$A$6:$P$184,5, FALSE)/100,AC365)</f>
        <v>0.27094999999999997</v>
      </c>
      <c r="AD364" s="10">
        <f>IFERROR(VLOOKUP(Summary!B364,'Pre-Summary'!$A$6:$P$184,3, FALSE)/100,AD365)</f>
        <v>0.72263599999999995</v>
      </c>
      <c r="AE364" s="10">
        <f>IFERROR(VLOOKUP(Summary!B364,'Pre-Summary'!$A$6:$P$184,7, FALSE)/100,AE365)</f>
        <v>6.4139999999999996E-3</v>
      </c>
      <c r="AF364" s="99">
        <f t="shared" si="16"/>
        <v>0.39909784019079131</v>
      </c>
      <c r="AG364" s="99">
        <f t="shared" si="17"/>
        <v>3.5423277375936646E-3</v>
      </c>
      <c r="AH364" s="10" t="str">
        <f>IFERROR(VLOOKUP(B364,'Pre-Summary'!$AZ$6:$BE$65,3,FALSE),"")</f>
        <v/>
      </c>
      <c r="AI364" s="10" t="str">
        <f>IFERROR(VLOOKUP(B364,'Pre-Summary'!$AZ$6:$BE$65,5,FALSE),"")</f>
        <v/>
      </c>
      <c r="AJ364" s="10" t="str">
        <f>IFERROR(VLOOKUP(B364,'Pre-Summary'!$AZ$6:$BE$65,4,FALSE),"")</f>
        <v/>
      </c>
      <c r="AK364" s="10" t="str">
        <f>IFERROR(VLOOKUP(B364,'Pre-Summary'!$AZ$6:$BE$65,6,FALSE),"")</f>
        <v/>
      </c>
      <c r="AL364" s="10" t="str">
        <f>IFERROR(VLOOKUP(B364,'Pre-Summary'!$BG$6:$BL$44,3,FALSE),"")</f>
        <v/>
      </c>
      <c r="AM364" s="10" t="str">
        <f>IFERROR(VLOOKUP(B364,'Pre-Summary'!$BG$6:$BL$44,4,FALSE),"")</f>
        <v/>
      </c>
    </row>
    <row r="365" spans="2:39" ht="15" customHeight="1" x14ac:dyDescent="0.3">
      <c r="B365">
        <v>36.200000000000003</v>
      </c>
      <c r="C365" t="str">
        <f>IFERROR(VLOOKUP(B365,'Pre-Summary'!$DI$6:$DM$23,4,FALSE),"")</f>
        <v/>
      </c>
      <c r="D365" s="10" t="str">
        <f>IFERROR(VLOOKUP(B365,'Pre-Summary'!$AT$6:$AX$14,5,FALSE),D364)</f>
        <v>DSMZ v1.5: Using DSMZ 120 with NaHCO3</v>
      </c>
      <c r="E365" s="10" t="str">
        <f>IFERROR(VLOOKUP(B365,'Pre-Summary'!$AT$6:$AX$15,4,FALSE),"")</f>
        <v/>
      </c>
      <c r="F365">
        <f>IFERROR(VLOOKUP(B365,'Pre-Summary'!$AL$6:$AQ$13,6,FALSE),F364)</f>
        <v>5.9405263157894746E-2</v>
      </c>
      <c r="G365" t="str">
        <f>IFERROR(VLOOKUP(B365,'Pre-Summary'!$AE$6:$AJ$85,3,FALSE),"")</f>
        <v/>
      </c>
      <c r="H365" t="str">
        <f>IFERROR(VLOOKUP(B365,'Pre-Summary'!$AE$6:$AJ$85,4,FALSE),"")</f>
        <v/>
      </c>
      <c r="I365" t="str">
        <f>IFERROR(VLOOKUP(B365,'Pre-Summary'!$AE$6:$AJ$85,5,FALSE),"")</f>
        <v/>
      </c>
      <c r="J365" s="45" t="str">
        <f>IFERROR(VLOOKUP(B365,'Pre-Summary'!$AE$6:$AJ$85,6, FALSE),"")</f>
        <v/>
      </c>
      <c r="K365" s="45" t="str">
        <f>IFERROR(VLOOKUP(B365,'Pre-Summary'!$DE$6:$DG$61,3,FALSE),"")</f>
        <v/>
      </c>
      <c r="L365" s="45" t="str">
        <f>IFERROR(VLOOKUP(B365,'Pre-Summary'!$CU$6:$CW$36,3,FALSE),"")</f>
        <v/>
      </c>
      <c r="M365" s="45" t="str">
        <f>IFERROR(VLOOKUP(B365,'Pre-Summary'!$BW$6:$BY$58,2,FALSE),"")</f>
        <v/>
      </c>
      <c r="N365" s="45" t="str">
        <f>IFERROR(VLOOKUP(B365,'Pre-Summary'!$CD$6:$CF$64,2,FALSE),"")</f>
        <v/>
      </c>
      <c r="O365" s="99">
        <f>IFERROR(VLOOKUP(B365,'Pre-Summary'!$BO$6:$BQ$48,3, FALSE),O364)</f>
        <v>1.0915248032216731</v>
      </c>
      <c r="P365" s="99">
        <f>IFERROR(VLOOKUP(B365,'Pre-Summary'!$BS$6:$BU$35,3,FALSE),P364)</f>
        <v>0.25</v>
      </c>
      <c r="Q365" s="54">
        <f t="shared" si="15"/>
        <v>4.3660992128866924</v>
      </c>
      <c r="R365" s="53">
        <f>IFERROR(VLOOKUP(B365,'Pre-Summary'!$BG$6:$BM$44,7,FALSE),R366)</f>
        <v>2.7904161219319636E-2</v>
      </c>
      <c r="S365" s="53">
        <f>IFERROR(VLOOKUP(B365,'Pre-Summary'!$BG$6:$BM$44,6,FALSE),S366)</f>
        <v>3.3978715219895171E-2</v>
      </c>
      <c r="T365" s="45" t="str">
        <f>IFERROR(VLOOKUP(B365,'Pre-Summary'!$Y$6:$AC$83, 3,FALSE),"")</f>
        <v/>
      </c>
      <c r="U365" s="45" t="str">
        <f>IFERROR(VLOOKUP(B365,'Pre-Summary'!$Y$6:$AC$83, 4,FALSE),"")</f>
        <v/>
      </c>
      <c r="V365" t="str">
        <f>IFERROR(VLOOKUP(B365,'Pre-Summary'!$Y$6:$AC$83, 5,FALSE),"")</f>
        <v/>
      </c>
      <c r="W365" s="45" t="str">
        <f>IFERROR(VLOOKUP(B365,'Pre-Summary'!$Y$6:$AD$83,6,FALSE),"")</f>
        <v/>
      </c>
      <c r="X365" t="str">
        <f>IFERROR(VLOOKUP('Pre-Summary'!$DB$6:$DD$63,3,FALSE),"")</f>
        <v/>
      </c>
      <c r="Y365" t="str">
        <f>IFERROR(VLOOKUP(B365,'Pre-Summary'!$CR$6:$CT$36,3,FALSE),"")</f>
        <v/>
      </c>
      <c r="Z365" s="45" t="str">
        <f>IFERROR(VLOOKUP(B365,'Pre-Summary'!$BZ$6:$CB$63,2,FALSE),"")</f>
        <v/>
      </c>
      <c r="AA365" s="45" t="str">
        <f>IFERROR(VLOOKUP(B365,'Pre-Summary'!$CG$6:$CI$70,2,FALSE),"")</f>
        <v/>
      </c>
      <c r="AB365" s="99">
        <f>IFERROR(VLOOKUP(B365,'Pre-Summary'!$A$6:$P$178,9,FALSE),AB366)</f>
        <v>0.55228059519701667</v>
      </c>
      <c r="AC365" s="10">
        <f>IFERROR(VLOOKUP(Summary!B365,'Pre-Summary'!$A$6:$P$184,5, FALSE)/100,AC366)</f>
        <v>0.27094999999999997</v>
      </c>
      <c r="AD365" s="10">
        <f>IFERROR(VLOOKUP(Summary!B365,'Pre-Summary'!$A$6:$P$184,3, FALSE)/100,AD366)</f>
        <v>0.72263599999999995</v>
      </c>
      <c r="AE365" s="10">
        <f>IFERROR(VLOOKUP(Summary!B365,'Pre-Summary'!$A$6:$P$184,7, FALSE)/100,AE366)</f>
        <v>6.4139999999999996E-3</v>
      </c>
      <c r="AF365" s="99">
        <f t="shared" si="16"/>
        <v>0.39909784019079131</v>
      </c>
      <c r="AG365" s="99">
        <f t="shared" si="17"/>
        <v>3.5423277375936646E-3</v>
      </c>
      <c r="AH365" s="10" t="str">
        <f>IFERROR(VLOOKUP(B365,'Pre-Summary'!$AZ$6:$BE$65,3,FALSE),"")</f>
        <v/>
      </c>
      <c r="AI365" s="10" t="str">
        <f>IFERROR(VLOOKUP(B365,'Pre-Summary'!$AZ$6:$BE$65,5,FALSE),"")</f>
        <v/>
      </c>
      <c r="AJ365" s="10" t="str">
        <f>IFERROR(VLOOKUP(B365,'Pre-Summary'!$AZ$6:$BE$65,4,FALSE),"")</f>
        <v/>
      </c>
      <c r="AK365" s="10" t="str">
        <f>IFERROR(VLOOKUP(B365,'Pre-Summary'!$AZ$6:$BE$65,6,FALSE),"")</f>
        <v/>
      </c>
      <c r="AL365" s="10" t="str">
        <f>IFERROR(VLOOKUP(B365,'Pre-Summary'!$BG$6:$BL$44,3,FALSE),"")</f>
        <v/>
      </c>
      <c r="AM365" s="10" t="str">
        <f>IFERROR(VLOOKUP(B365,'Pre-Summary'!$BG$6:$BL$44,4,FALSE),"")</f>
        <v/>
      </c>
    </row>
    <row r="366" spans="2:39" ht="15" customHeight="1" x14ac:dyDescent="0.3">
      <c r="B366">
        <v>36.299999999999997</v>
      </c>
      <c r="C366" t="str">
        <f>IFERROR(VLOOKUP(B366,'Pre-Summary'!$DI$6:$DM$23,4,FALSE),"")</f>
        <v/>
      </c>
      <c r="D366" s="10" t="str">
        <f>IFERROR(VLOOKUP(B366,'Pre-Summary'!$AT$6:$AX$14,5,FALSE),D365)</f>
        <v>DSMZ v1.5: Using DSMZ 120 with NaHCO3</v>
      </c>
      <c r="E366" s="10" t="str">
        <f>IFERROR(VLOOKUP(B366,'Pre-Summary'!$AT$6:$AX$15,4,FALSE),"")</f>
        <v/>
      </c>
      <c r="F366">
        <f>IFERROR(VLOOKUP(B366,'Pre-Summary'!$AL$6:$AQ$13,6,FALSE),F365)</f>
        <v>5.9405263157894746E-2</v>
      </c>
      <c r="G366" t="str">
        <f>IFERROR(VLOOKUP(B366,'Pre-Summary'!$AE$6:$AJ$85,3,FALSE),"")</f>
        <v/>
      </c>
      <c r="H366" t="str">
        <f>IFERROR(VLOOKUP(B366,'Pre-Summary'!$AE$6:$AJ$85,4,FALSE),"")</f>
        <v/>
      </c>
      <c r="I366" t="str">
        <f>IFERROR(VLOOKUP(B366,'Pre-Summary'!$AE$6:$AJ$85,5,FALSE),"")</f>
        <v/>
      </c>
      <c r="J366" s="45" t="str">
        <f>IFERROR(VLOOKUP(B366,'Pre-Summary'!$AE$6:$AJ$85,6, FALSE),"")</f>
        <v/>
      </c>
      <c r="K366" s="45" t="str">
        <f>IFERROR(VLOOKUP(B366,'Pre-Summary'!$DE$6:$DG$61,3,FALSE),"")</f>
        <v/>
      </c>
      <c r="L366" s="45" t="str">
        <f>IFERROR(VLOOKUP(B366,'Pre-Summary'!$CU$6:$CW$36,3,FALSE),"")</f>
        <v/>
      </c>
      <c r="M366" s="45" t="str">
        <f>IFERROR(VLOOKUP(B366,'Pre-Summary'!$BW$6:$BY$58,2,FALSE),"")</f>
        <v/>
      </c>
      <c r="N366" s="45" t="str">
        <f>IFERROR(VLOOKUP(B366,'Pre-Summary'!$CD$6:$CF$64,2,FALSE),"")</f>
        <v/>
      </c>
      <c r="O366" s="99">
        <f>IFERROR(VLOOKUP(B366,'Pre-Summary'!$BO$6:$BQ$48,3, FALSE),O365)</f>
        <v>1.0915248032216731</v>
      </c>
      <c r="P366" s="99">
        <f>IFERROR(VLOOKUP(B366,'Pre-Summary'!$BS$6:$BU$35,3,FALSE),P365)</f>
        <v>0.25</v>
      </c>
      <c r="Q366" s="54">
        <f t="shared" si="15"/>
        <v>4.3660992128866924</v>
      </c>
      <c r="R366" s="53">
        <f>IFERROR(VLOOKUP(B366,'Pre-Summary'!$BG$6:$BM$44,7,FALSE),R367)</f>
        <v>2.7904161219319636E-2</v>
      </c>
      <c r="S366" s="53">
        <f>IFERROR(VLOOKUP(B366,'Pre-Summary'!$BG$6:$BM$44,6,FALSE),S367)</f>
        <v>3.3978715219895171E-2</v>
      </c>
      <c r="T366" s="45" t="str">
        <f>IFERROR(VLOOKUP(B366,'Pre-Summary'!$Y$6:$AC$83, 3,FALSE),"")</f>
        <v/>
      </c>
      <c r="U366" s="45" t="str">
        <f>IFERROR(VLOOKUP(B366,'Pre-Summary'!$Y$6:$AC$83, 4,FALSE),"")</f>
        <v/>
      </c>
      <c r="V366" t="str">
        <f>IFERROR(VLOOKUP(B366,'Pre-Summary'!$Y$6:$AC$83, 5,FALSE),"")</f>
        <v/>
      </c>
      <c r="W366" s="45" t="str">
        <f>IFERROR(VLOOKUP(B366,'Pre-Summary'!$Y$6:$AD$83,6,FALSE),"")</f>
        <v/>
      </c>
      <c r="X366" t="str">
        <f>IFERROR(VLOOKUP('Pre-Summary'!$DB$6:$DD$63,3,FALSE),"")</f>
        <v/>
      </c>
      <c r="Y366" t="str">
        <f>IFERROR(VLOOKUP(B366,'Pre-Summary'!$CR$6:$CT$36,3,FALSE),"")</f>
        <v/>
      </c>
      <c r="Z366" s="45" t="str">
        <f>IFERROR(VLOOKUP(B366,'Pre-Summary'!$BZ$6:$CB$63,2,FALSE),"")</f>
        <v/>
      </c>
      <c r="AA366" s="45" t="str">
        <f>IFERROR(VLOOKUP(B366,'Pre-Summary'!$CG$6:$CI$70,2,FALSE),"")</f>
        <v/>
      </c>
      <c r="AB366" s="99">
        <f>IFERROR(VLOOKUP(B366,'Pre-Summary'!$A$6:$P$178,9,FALSE),AB367)</f>
        <v>0.55228059519701667</v>
      </c>
      <c r="AC366" s="10">
        <f>IFERROR(VLOOKUP(Summary!B366,'Pre-Summary'!$A$6:$P$184,5, FALSE)/100,AC367)</f>
        <v>0.27094999999999997</v>
      </c>
      <c r="AD366" s="10">
        <f>IFERROR(VLOOKUP(Summary!B366,'Pre-Summary'!$A$6:$P$184,3, FALSE)/100,AD367)</f>
        <v>0.72263599999999995</v>
      </c>
      <c r="AE366" s="10">
        <f>IFERROR(VLOOKUP(Summary!B366,'Pre-Summary'!$A$6:$P$184,7, FALSE)/100,AE367)</f>
        <v>6.4139999999999996E-3</v>
      </c>
      <c r="AF366" s="99">
        <f t="shared" si="16"/>
        <v>0.39909784019079131</v>
      </c>
      <c r="AG366" s="99">
        <f t="shared" si="17"/>
        <v>3.5423277375936646E-3</v>
      </c>
      <c r="AH366" s="10" t="str">
        <f>IFERROR(VLOOKUP(B366,'Pre-Summary'!$AZ$6:$BE$65,3,FALSE),"")</f>
        <v/>
      </c>
      <c r="AI366" s="10" t="str">
        <f>IFERROR(VLOOKUP(B366,'Pre-Summary'!$AZ$6:$BE$65,5,FALSE),"")</f>
        <v/>
      </c>
      <c r="AJ366" s="10" t="str">
        <f>IFERROR(VLOOKUP(B366,'Pre-Summary'!$AZ$6:$BE$65,4,FALSE),"")</f>
        <v/>
      </c>
      <c r="AK366" s="10" t="str">
        <f>IFERROR(VLOOKUP(B366,'Pre-Summary'!$AZ$6:$BE$65,6,FALSE),"")</f>
        <v/>
      </c>
      <c r="AL366" s="10" t="str">
        <f>IFERROR(VLOOKUP(B366,'Pre-Summary'!$BG$6:$BL$44,3,FALSE),"")</f>
        <v/>
      </c>
      <c r="AM366" s="10" t="str">
        <f>IFERROR(VLOOKUP(B366,'Pre-Summary'!$BG$6:$BL$44,4,FALSE),"")</f>
        <v/>
      </c>
    </row>
    <row r="367" spans="2:39" ht="15" customHeight="1" x14ac:dyDescent="0.3">
      <c r="B367">
        <v>36.4</v>
      </c>
      <c r="C367" t="str">
        <f>IFERROR(VLOOKUP(B367,'Pre-Summary'!$DI$6:$DM$23,4,FALSE),"")</f>
        <v/>
      </c>
      <c r="D367" s="10" t="str">
        <f>IFERROR(VLOOKUP(B367,'Pre-Summary'!$AT$6:$AX$14,5,FALSE),D366)</f>
        <v>DSMZ v1.5: Using DSMZ 120 with NaHCO3</v>
      </c>
      <c r="E367" s="10" t="str">
        <f>IFERROR(VLOOKUP(B367,'Pre-Summary'!$AT$6:$AX$15,4,FALSE),"")</f>
        <v/>
      </c>
      <c r="F367">
        <f>IFERROR(VLOOKUP(B367,'Pre-Summary'!$AL$6:$AQ$13,6,FALSE),F366)</f>
        <v>5.9405263157894746E-2</v>
      </c>
      <c r="G367" t="str">
        <f>IFERROR(VLOOKUP(B367,'Pre-Summary'!$AE$6:$AJ$85,3,FALSE),"")</f>
        <v/>
      </c>
      <c r="H367" t="str">
        <f>IFERROR(VLOOKUP(B367,'Pre-Summary'!$AE$6:$AJ$85,4,FALSE),"")</f>
        <v/>
      </c>
      <c r="I367" t="str">
        <f>IFERROR(VLOOKUP(B367,'Pre-Summary'!$AE$6:$AJ$85,5,FALSE),"")</f>
        <v/>
      </c>
      <c r="J367" s="45" t="str">
        <f>IFERROR(VLOOKUP(B367,'Pre-Summary'!$AE$6:$AJ$85,6, FALSE),"")</f>
        <v/>
      </c>
      <c r="K367" s="45" t="str">
        <f>IFERROR(VLOOKUP(B367,'Pre-Summary'!$DE$6:$DG$61,3,FALSE),"")</f>
        <v/>
      </c>
      <c r="L367" s="45" t="str">
        <f>IFERROR(VLOOKUP(B367,'Pre-Summary'!$CU$6:$CW$36,3,FALSE),"")</f>
        <v/>
      </c>
      <c r="M367" s="45" t="str">
        <f>IFERROR(VLOOKUP(B367,'Pre-Summary'!$BW$6:$BY$58,2,FALSE),"")</f>
        <v/>
      </c>
      <c r="N367" s="45" t="str">
        <f>IFERROR(VLOOKUP(B367,'Pre-Summary'!$CD$6:$CF$64,2,FALSE),"")</f>
        <v/>
      </c>
      <c r="O367" s="99">
        <f>IFERROR(VLOOKUP(B367,'Pre-Summary'!$BO$6:$BQ$48,3, FALSE),O366)</f>
        <v>1.0915248032216731</v>
      </c>
      <c r="P367" s="99">
        <f>IFERROR(VLOOKUP(B367,'Pre-Summary'!$BS$6:$BU$35,3,FALSE),P366)</f>
        <v>0.25</v>
      </c>
      <c r="Q367" s="54">
        <f t="shared" si="15"/>
        <v>4.3660992128866924</v>
      </c>
      <c r="R367" s="53">
        <f>IFERROR(VLOOKUP(B367,'Pre-Summary'!$BG$6:$BM$44,7,FALSE),R368)</f>
        <v>2.7904161219319636E-2</v>
      </c>
      <c r="S367" s="53">
        <f>IFERROR(VLOOKUP(B367,'Pre-Summary'!$BG$6:$BM$44,6,FALSE),S368)</f>
        <v>3.3978715219895171E-2</v>
      </c>
      <c r="T367" s="45" t="str">
        <f>IFERROR(VLOOKUP(B367,'Pre-Summary'!$Y$6:$AC$83, 3,FALSE),"")</f>
        <v/>
      </c>
      <c r="U367" s="45" t="str">
        <f>IFERROR(VLOOKUP(B367,'Pre-Summary'!$Y$6:$AC$83, 4,FALSE),"")</f>
        <v/>
      </c>
      <c r="V367" t="str">
        <f>IFERROR(VLOOKUP(B367,'Pre-Summary'!$Y$6:$AC$83, 5,FALSE),"")</f>
        <v/>
      </c>
      <c r="W367" s="45" t="str">
        <f>IFERROR(VLOOKUP(B367,'Pre-Summary'!$Y$6:$AD$83,6,FALSE),"")</f>
        <v/>
      </c>
      <c r="X367" t="str">
        <f>IFERROR(VLOOKUP('Pre-Summary'!$DB$6:$DD$63,3,FALSE),"")</f>
        <v/>
      </c>
      <c r="Y367" t="str">
        <f>IFERROR(VLOOKUP(B367,'Pre-Summary'!$CR$6:$CT$36,3,FALSE),"")</f>
        <v/>
      </c>
      <c r="Z367" s="45" t="str">
        <f>IFERROR(VLOOKUP(B367,'Pre-Summary'!$BZ$6:$CB$63,2,FALSE),"")</f>
        <v/>
      </c>
      <c r="AA367" s="45" t="str">
        <f>IFERROR(VLOOKUP(B367,'Pre-Summary'!$CG$6:$CI$70,2,FALSE),"")</f>
        <v/>
      </c>
      <c r="AB367" s="99">
        <f>IFERROR(VLOOKUP(B367,'Pre-Summary'!$A$6:$P$178,9,FALSE),AB368)</f>
        <v>0.55228059519701667</v>
      </c>
      <c r="AC367" s="10">
        <f>IFERROR(VLOOKUP(Summary!B367,'Pre-Summary'!$A$6:$P$184,5, FALSE)/100,AC368)</f>
        <v>0.27094999999999997</v>
      </c>
      <c r="AD367" s="10">
        <f>IFERROR(VLOOKUP(Summary!B367,'Pre-Summary'!$A$6:$P$184,3, FALSE)/100,AD368)</f>
        <v>0.72263599999999995</v>
      </c>
      <c r="AE367" s="10">
        <f>IFERROR(VLOOKUP(Summary!B367,'Pre-Summary'!$A$6:$P$184,7, FALSE)/100,AE368)</f>
        <v>6.4139999999999996E-3</v>
      </c>
      <c r="AF367" s="99">
        <f t="shared" si="16"/>
        <v>0.39909784019079131</v>
      </c>
      <c r="AG367" s="99">
        <f t="shared" si="17"/>
        <v>3.5423277375936646E-3</v>
      </c>
      <c r="AH367" s="10" t="str">
        <f>IFERROR(VLOOKUP(B367,'Pre-Summary'!$AZ$6:$BE$65,3,FALSE),"")</f>
        <v/>
      </c>
      <c r="AI367" s="10" t="str">
        <f>IFERROR(VLOOKUP(B367,'Pre-Summary'!$AZ$6:$BE$65,5,FALSE),"")</f>
        <v/>
      </c>
      <c r="AJ367" s="10" t="str">
        <f>IFERROR(VLOOKUP(B367,'Pre-Summary'!$AZ$6:$BE$65,4,FALSE),"")</f>
        <v/>
      </c>
      <c r="AK367" s="10" t="str">
        <f>IFERROR(VLOOKUP(B367,'Pre-Summary'!$AZ$6:$BE$65,6,FALSE),"")</f>
        <v/>
      </c>
      <c r="AL367" s="10" t="str">
        <f>IFERROR(VLOOKUP(B367,'Pre-Summary'!$BG$6:$BL$44,3,FALSE),"")</f>
        <v/>
      </c>
      <c r="AM367" s="10" t="str">
        <f>IFERROR(VLOOKUP(B367,'Pre-Summary'!$BG$6:$BL$44,4,FALSE),"")</f>
        <v/>
      </c>
    </row>
    <row r="368" spans="2:39" ht="15" customHeight="1" x14ac:dyDescent="0.3">
      <c r="B368">
        <v>36.5</v>
      </c>
      <c r="C368" t="str">
        <f>IFERROR(VLOOKUP(B368,'Pre-Summary'!$DI$6:$DM$23,4,FALSE),"")</f>
        <v/>
      </c>
      <c r="D368" s="10" t="str">
        <f>IFERROR(VLOOKUP(B368,'Pre-Summary'!$AT$6:$AX$14,5,FALSE),D367)</f>
        <v>DSMZ v1.5: Using DSMZ 120 with NaHCO3</v>
      </c>
      <c r="E368" s="10" t="str">
        <f>IFERROR(VLOOKUP(B368,'Pre-Summary'!$AT$6:$AX$15,4,FALSE),"")</f>
        <v/>
      </c>
      <c r="F368">
        <f>IFERROR(VLOOKUP(B368,'Pre-Summary'!$AL$6:$AQ$13,6,FALSE),F367)</f>
        <v>5.9405263157894746E-2</v>
      </c>
      <c r="G368" t="str">
        <f>IFERROR(VLOOKUP(B368,'Pre-Summary'!$AE$6:$AJ$85,3,FALSE),"")</f>
        <v/>
      </c>
      <c r="H368" t="str">
        <f>IFERROR(VLOOKUP(B368,'Pre-Summary'!$AE$6:$AJ$85,4,FALSE),"")</f>
        <v/>
      </c>
      <c r="I368" t="str">
        <f>IFERROR(VLOOKUP(B368,'Pre-Summary'!$AE$6:$AJ$85,5,FALSE),"")</f>
        <v/>
      </c>
      <c r="J368" s="45" t="str">
        <f>IFERROR(VLOOKUP(B368,'Pre-Summary'!$AE$6:$AJ$85,6, FALSE),"")</f>
        <v/>
      </c>
      <c r="K368" s="45" t="str">
        <f>IFERROR(VLOOKUP(B368,'Pre-Summary'!$DE$6:$DG$61,3,FALSE),"")</f>
        <v/>
      </c>
      <c r="L368" s="45" t="str">
        <f>IFERROR(VLOOKUP(B368,'Pre-Summary'!$CU$6:$CW$36,3,FALSE),"")</f>
        <v/>
      </c>
      <c r="M368" s="45" t="str">
        <f>IFERROR(VLOOKUP(B368,'Pre-Summary'!$BW$6:$BY$58,2,FALSE),"")</f>
        <v/>
      </c>
      <c r="N368" s="45" t="str">
        <f>IFERROR(VLOOKUP(B368,'Pre-Summary'!$CD$6:$CF$64,2,FALSE),"")</f>
        <v/>
      </c>
      <c r="O368" s="99">
        <f>IFERROR(VLOOKUP(B368,'Pre-Summary'!$BO$6:$BQ$48,3, FALSE),O367)</f>
        <v>1.0915248032216731</v>
      </c>
      <c r="P368" s="99">
        <f>IFERROR(VLOOKUP(B368,'Pre-Summary'!$BS$6:$BU$35,3,FALSE),P367)</f>
        <v>0.25</v>
      </c>
      <c r="Q368" s="54">
        <f t="shared" si="15"/>
        <v>4.3660992128866924</v>
      </c>
      <c r="R368" s="53">
        <f>IFERROR(VLOOKUP(B368,'Pre-Summary'!$BG$6:$BM$44,7,FALSE),R369)</f>
        <v>2.7904161219319636E-2</v>
      </c>
      <c r="S368" s="53">
        <f>IFERROR(VLOOKUP(B368,'Pre-Summary'!$BG$6:$BM$44,6,FALSE),S369)</f>
        <v>3.3978715219895171E-2</v>
      </c>
      <c r="T368" s="45" t="str">
        <f>IFERROR(VLOOKUP(B368,'Pre-Summary'!$Y$6:$AC$83, 3,FALSE),"")</f>
        <v/>
      </c>
      <c r="U368" s="45" t="str">
        <f>IFERROR(VLOOKUP(B368,'Pre-Summary'!$Y$6:$AC$83, 4,FALSE),"")</f>
        <v/>
      </c>
      <c r="V368" t="str">
        <f>IFERROR(VLOOKUP(B368,'Pre-Summary'!$Y$6:$AC$83, 5,FALSE),"")</f>
        <v/>
      </c>
      <c r="W368" s="45" t="str">
        <f>IFERROR(VLOOKUP(B368,'Pre-Summary'!$Y$6:$AD$83,6,FALSE),"")</f>
        <v/>
      </c>
      <c r="X368" t="str">
        <f>IFERROR(VLOOKUP('Pre-Summary'!$DB$6:$DD$63,3,FALSE),"")</f>
        <v/>
      </c>
      <c r="Y368" t="str">
        <f>IFERROR(VLOOKUP(B368,'Pre-Summary'!$CR$6:$CT$36,3,FALSE),"")</f>
        <v/>
      </c>
      <c r="Z368" s="45" t="str">
        <f>IFERROR(VLOOKUP(B368,'Pre-Summary'!$BZ$6:$CB$63,2,FALSE),"")</f>
        <v/>
      </c>
      <c r="AA368" s="45" t="str">
        <f>IFERROR(VLOOKUP(B368,'Pre-Summary'!$CG$6:$CI$70,2,FALSE),"")</f>
        <v/>
      </c>
      <c r="AB368" s="99">
        <f>IFERROR(VLOOKUP(B368,'Pre-Summary'!$A$6:$P$178,9,FALSE),AB369)</f>
        <v>0.55228059519701667</v>
      </c>
      <c r="AC368" s="10">
        <f>IFERROR(VLOOKUP(Summary!B368,'Pre-Summary'!$A$6:$P$184,5, FALSE)/100,AC369)</f>
        <v>0.27094999999999997</v>
      </c>
      <c r="AD368" s="10">
        <f>IFERROR(VLOOKUP(Summary!B368,'Pre-Summary'!$A$6:$P$184,3, FALSE)/100,AD369)</f>
        <v>0.72263599999999995</v>
      </c>
      <c r="AE368" s="10">
        <f>IFERROR(VLOOKUP(Summary!B368,'Pre-Summary'!$A$6:$P$184,7, FALSE)/100,AE369)</f>
        <v>6.4139999999999996E-3</v>
      </c>
      <c r="AF368" s="99">
        <f t="shared" si="16"/>
        <v>0.39909784019079131</v>
      </c>
      <c r="AG368" s="99">
        <f t="shared" si="17"/>
        <v>3.5423277375936646E-3</v>
      </c>
      <c r="AH368" s="10" t="str">
        <f>IFERROR(VLOOKUP(B368,'Pre-Summary'!$AZ$6:$BE$65,3,FALSE),"")</f>
        <v/>
      </c>
      <c r="AI368" s="10" t="str">
        <f>IFERROR(VLOOKUP(B368,'Pre-Summary'!$AZ$6:$BE$65,5,FALSE),"")</f>
        <v/>
      </c>
      <c r="AJ368" s="10" t="str">
        <f>IFERROR(VLOOKUP(B368,'Pre-Summary'!$AZ$6:$BE$65,4,FALSE),"")</f>
        <v/>
      </c>
      <c r="AK368" s="10" t="str">
        <f>IFERROR(VLOOKUP(B368,'Pre-Summary'!$AZ$6:$BE$65,6,FALSE),"")</f>
        <v/>
      </c>
      <c r="AL368" s="10" t="str">
        <f>IFERROR(VLOOKUP(B368,'Pre-Summary'!$BG$6:$BL$44,3,FALSE),"")</f>
        <v/>
      </c>
      <c r="AM368" s="10" t="str">
        <f>IFERROR(VLOOKUP(B368,'Pre-Summary'!$BG$6:$BL$44,4,FALSE),"")</f>
        <v/>
      </c>
    </row>
    <row r="369" spans="2:39" ht="15" customHeight="1" x14ac:dyDescent="0.3">
      <c r="B369">
        <v>36.6</v>
      </c>
      <c r="C369" t="str">
        <f>IFERROR(VLOOKUP(B369,'Pre-Summary'!$DI$6:$DM$23,4,FALSE),"")</f>
        <v/>
      </c>
      <c r="D369" s="10" t="str">
        <f>IFERROR(VLOOKUP(B369,'Pre-Summary'!$AT$6:$AX$14,5,FALSE),D368)</f>
        <v>DSMZ v1.5: Using DSMZ 120 with NaHCO3</v>
      </c>
      <c r="E369" s="10" t="str">
        <f>IFERROR(VLOOKUP(B369,'Pre-Summary'!$AT$6:$AX$15,4,FALSE),"")</f>
        <v/>
      </c>
      <c r="F369">
        <f>IFERROR(VLOOKUP(B369,'Pre-Summary'!$AL$6:$AQ$13,6,FALSE),F368)</f>
        <v>5.9405263157894746E-2</v>
      </c>
      <c r="G369" t="str">
        <f>IFERROR(VLOOKUP(B369,'Pre-Summary'!$AE$6:$AJ$85,3,FALSE),"")</f>
        <v/>
      </c>
      <c r="H369" t="str">
        <f>IFERROR(VLOOKUP(B369,'Pre-Summary'!$AE$6:$AJ$85,4,FALSE),"")</f>
        <v/>
      </c>
      <c r="I369" t="str">
        <f>IFERROR(VLOOKUP(B369,'Pre-Summary'!$AE$6:$AJ$85,5,FALSE),"")</f>
        <v/>
      </c>
      <c r="J369" s="45" t="str">
        <f>IFERROR(VLOOKUP(B369,'Pre-Summary'!$AE$6:$AJ$85,6, FALSE),"")</f>
        <v/>
      </c>
      <c r="K369" s="45" t="str">
        <f>IFERROR(VLOOKUP(B369,'Pre-Summary'!$DE$6:$DG$61,3,FALSE),"")</f>
        <v/>
      </c>
      <c r="L369" s="45" t="str">
        <f>IFERROR(VLOOKUP(B369,'Pre-Summary'!$CU$6:$CW$36,3,FALSE),"")</f>
        <v/>
      </c>
      <c r="M369" s="45" t="str">
        <f>IFERROR(VLOOKUP(B369,'Pre-Summary'!$BW$6:$BY$58,2,FALSE),"")</f>
        <v/>
      </c>
      <c r="N369" s="45" t="str">
        <f>IFERROR(VLOOKUP(B369,'Pre-Summary'!$CD$6:$CF$64,2,FALSE),"")</f>
        <v/>
      </c>
      <c r="O369" s="99">
        <f>IFERROR(VLOOKUP(B369,'Pre-Summary'!$BO$6:$BQ$48,3, FALSE),O368)</f>
        <v>1.0915248032216731</v>
      </c>
      <c r="P369" s="99">
        <f>IFERROR(VLOOKUP(B369,'Pre-Summary'!$BS$6:$BU$35,3,FALSE),P368)</f>
        <v>0.25</v>
      </c>
      <c r="Q369" s="54">
        <f t="shared" si="15"/>
        <v>4.3660992128866924</v>
      </c>
      <c r="R369" s="53">
        <f>IFERROR(VLOOKUP(B369,'Pre-Summary'!$BG$6:$BM$44,7,FALSE),R370)</f>
        <v>2.7904161219319636E-2</v>
      </c>
      <c r="S369" s="53">
        <f>IFERROR(VLOOKUP(B369,'Pre-Summary'!$BG$6:$BM$44,6,FALSE),S370)</f>
        <v>3.3978715219895171E-2</v>
      </c>
      <c r="T369" s="45" t="str">
        <f>IFERROR(VLOOKUP(B369,'Pre-Summary'!$Y$6:$AC$83, 3,FALSE),"")</f>
        <v/>
      </c>
      <c r="U369" s="45" t="str">
        <f>IFERROR(VLOOKUP(B369,'Pre-Summary'!$Y$6:$AC$83, 4,FALSE),"")</f>
        <v/>
      </c>
      <c r="V369" t="str">
        <f>IFERROR(VLOOKUP(B369,'Pre-Summary'!$Y$6:$AC$83, 5,FALSE),"")</f>
        <v/>
      </c>
      <c r="W369" s="45" t="str">
        <f>IFERROR(VLOOKUP(B369,'Pre-Summary'!$Y$6:$AD$83,6,FALSE),"")</f>
        <v/>
      </c>
      <c r="X369" t="str">
        <f>IFERROR(VLOOKUP('Pre-Summary'!$DB$6:$DD$63,3,FALSE),"")</f>
        <v/>
      </c>
      <c r="Y369" t="str">
        <f>IFERROR(VLOOKUP(B369,'Pre-Summary'!$CR$6:$CT$36,3,FALSE),"")</f>
        <v/>
      </c>
      <c r="Z369" s="45" t="str">
        <f>IFERROR(VLOOKUP(B369,'Pre-Summary'!$BZ$6:$CB$63,2,FALSE),"")</f>
        <v/>
      </c>
      <c r="AA369" s="45" t="str">
        <f>IFERROR(VLOOKUP(B369,'Pre-Summary'!$CG$6:$CI$70,2,FALSE),"")</f>
        <v/>
      </c>
      <c r="AB369" s="99">
        <f>IFERROR(VLOOKUP(B369,'Pre-Summary'!$A$6:$P$178,9,FALSE),AB370)</f>
        <v>0.55228059519701667</v>
      </c>
      <c r="AC369" s="10">
        <f>IFERROR(VLOOKUP(Summary!B369,'Pre-Summary'!$A$6:$P$184,5, FALSE)/100,AC370)</f>
        <v>0.27094999999999997</v>
      </c>
      <c r="AD369" s="10">
        <f>IFERROR(VLOOKUP(Summary!B369,'Pre-Summary'!$A$6:$P$184,3, FALSE)/100,AD370)</f>
        <v>0.72263599999999995</v>
      </c>
      <c r="AE369" s="10">
        <f>IFERROR(VLOOKUP(Summary!B369,'Pre-Summary'!$A$6:$P$184,7, FALSE)/100,AE370)</f>
        <v>6.4139999999999996E-3</v>
      </c>
      <c r="AF369" s="99">
        <f t="shared" si="16"/>
        <v>0.39909784019079131</v>
      </c>
      <c r="AG369" s="99">
        <f t="shared" si="17"/>
        <v>3.5423277375936646E-3</v>
      </c>
      <c r="AH369" s="10" t="str">
        <f>IFERROR(VLOOKUP(B369,'Pre-Summary'!$AZ$6:$BE$65,3,FALSE),"")</f>
        <v/>
      </c>
      <c r="AI369" s="10" t="str">
        <f>IFERROR(VLOOKUP(B369,'Pre-Summary'!$AZ$6:$BE$65,5,FALSE),"")</f>
        <v/>
      </c>
      <c r="AJ369" s="10" t="str">
        <f>IFERROR(VLOOKUP(B369,'Pre-Summary'!$AZ$6:$BE$65,4,FALSE),"")</f>
        <v/>
      </c>
      <c r="AK369" s="10" t="str">
        <f>IFERROR(VLOOKUP(B369,'Pre-Summary'!$AZ$6:$BE$65,6,FALSE),"")</f>
        <v/>
      </c>
      <c r="AL369" s="10" t="str">
        <f>IFERROR(VLOOKUP(B369,'Pre-Summary'!$BG$6:$BL$44,3,FALSE),"")</f>
        <v/>
      </c>
      <c r="AM369" s="10" t="str">
        <f>IFERROR(VLOOKUP(B369,'Pre-Summary'!$BG$6:$BL$44,4,FALSE),"")</f>
        <v/>
      </c>
    </row>
    <row r="370" spans="2:39" ht="15" customHeight="1" x14ac:dyDescent="0.3">
      <c r="B370">
        <v>36.700000000000003</v>
      </c>
      <c r="C370" t="str">
        <f>IFERROR(VLOOKUP(B370,'Pre-Summary'!$DI$6:$DM$23,4,FALSE),"")</f>
        <v/>
      </c>
      <c r="D370" s="10" t="str">
        <f>IFERROR(VLOOKUP(B370,'Pre-Summary'!$AT$6:$AX$14,5,FALSE),D369)</f>
        <v>DSMZ v1.5: Using DSMZ 120 with NaHCO3</v>
      </c>
      <c r="E370" s="10" t="str">
        <f>IFERROR(VLOOKUP(B370,'Pre-Summary'!$AT$6:$AX$15,4,FALSE),"")</f>
        <v/>
      </c>
      <c r="F370">
        <f>IFERROR(VLOOKUP(B370,'Pre-Summary'!$AL$6:$AQ$13,6,FALSE),F369)</f>
        <v>5.9405263157894746E-2</v>
      </c>
      <c r="G370" t="str">
        <f>IFERROR(VLOOKUP(B370,'Pre-Summary'!$AE$6:$AJ$85,3,FALSE),"")</f>
        <v/>
      </c>
      <c r="H370" t="str">
        <f>IFERROR(VLOOKUP(B370,'Pre-Summary'!$AE$6:$AJ$85,4,FALSE),"")</f>
        <v/>
      </c>
      <c r="I370" t="str">
        <f>IFERROR(VLOOKUP(B370,'Pre-Summary'!$AE$6:$AJ$85,5,FALSE),"")</f>
        <v/>
      </c>
      <c r="J370" s="45" t="str">
        <f>IFERROR(VLOOKUP(B370,'Pre-Summary'!$AE$6:$AJ$85,6, FALSE),"")</f>
        <v/>
      </c>
      <c r="K370" s="45" t="str">
        <f>IFERROR(VLOOKUP(B370,'Pre-Summary'!$DE$6:$DG$61,3,FALSE),"")</f>
        <v/>
      </c>
      <c r="L370" s="45" t="str">
        <f>IFERROR(VLOOKUP(B370,'Pre-Summary'!$CU$6:$CW$36,3,FALSE),"")</f>
        <v/>
      </c>
      <c r="M370" s="45" t="str">
        <f>IFERROR(VLOOKUP(B370,'Pre-Summary'!$BW$6:$BY$58,2,FALSE),"")</f>
        <v/>
      </c>
      <c r="N370" s="45" t="str">
        <f>IFERROR(VLOOKUP(B370,'Pre-Summary'!$CD$6:$CF$64,2,FALSE),"")</f>
        <v/>
      </c>
      <c r="O370" s="99">
        <f>IFERROR(VLOOKUP(B370,'Pre-Summary'!$BO$6:$BQ$48,3, FALSE),O369)</f>
        <v>1.0915248032216731</v>
      </c>
      <c r="P370" s="99">
        <f>IFERROR(VLOOKUP(B370,'Pre-Summary'!$BS$6:$BU$35,3,FALSE),P369)</f>
        <v>0.25</v>
      </c>
      <c r="Q370" s="54">
        <f t="shared" si="15"/>
        <v>4.3660992128866924</v>
      </c>
      <c r="R370" s="53">
        <f>IFERROR(VLOOKUP(B370,'Pre-Summary'!$BG$6:$BM$44,7,FALSE),R371)</f>
        <v>2.7904161219319636E-2</v>
      </c>
      <c r="S370" s="53">
        <f>IFERROR(VLOOKUP(B370,'Pre-Summary'!$BG$6:$BM$44,6,FALSE),S371)</f>
        <v>3.3978715219895171E-2</v>
      </c>
      <c r="T370" s="45" t="str">
        <f>IFERROR(VLOOKUP(B370,'Pre-Summary'!$Y$6:$AC$83, 3,FALSE),"")</f>
        <v/>
      </c>
      <c r="U370" s="45" t="str">
        <f>IFERROR(VLOOKUP(B370,'Pre-Summary'!$Y$6:$AC$83, 4,FALSE),"")</f>
        <v/>
      </c>
      <c r="V370" t="str">
        <f>IFERROR(VLOOKUP(B370,'Pre-Summary'!$Y$6:$AC$83, 5,FALSE),"")</f>
        <v/>
      </c>
      <c r="W370" s="45" t="str">
        <f>IFERROR(VLOOKUP(B370,'Pre-Summary'!$Y$6:$AD$83,6,FALSE),"")</f>
        <v/>
      </c>
      <c r="X370" t="str">
        <f>IFERROR(VLOOKUP('Pre-Summary'!$DB$6:$DD$63,3,FALSE),"")</f>
        <v/>
      </c>
      <c r="Y370" t="str">
        <f>IFERROR(VLOOKUP(B370,'Pre-Summary'!$CR$6:$CT$36,3,FALSE),"")</f>
        <v/>
      </c>
      <c r="Z370" s="45" t="str">
        <f>IFERROR(VLOOKUP(B370,'Pre-Summary'!$BZ$6:$CB$63,2,FALSE),"")</f>
        <v/>
      </c>
      <c r="AA370" s="45" t="str">
        <f>IFERROR(VLOOKUP(B370,'Pre-Summary'!$CG$6:$CI$70,2,FALSE),"")</f>
        <v/>
      </c>
      <c r="AB370" s="99">
        <f>IFERROR(VLOOKUP(B370,'Pre-Summary'!$A$6:$P$178,9,FALSE),AB371)</f>
        <v>0.55228059519701667</v>
      </c>
      <c r="AC370" s="10">
        <f>IFERROR(VLOOKUP(Summary!B370,'Pre-Summary'!$A$6:$P$184,5, FALSE)/100,AC371)</f>
        <v>0.27094999999999997</v>
      </c>
      <c r="AD370" s="10">
        <f>IFERROR(VLOOKUP(Summary!B370,'Pre-Summary'!$A$6:$P$184,3, FALSE)/100,AD371)</f>
        <v>0.72263599999999995</v>
      </c>
      <c r="AE370" s="10">
        <f>IFERROR(VLOOKUP(Summary!B370,'Pre-Summary'!$A$6:$P$184,7, FALSE)/100,AE371)</f>
        <v>6.4139999999999996E-3</v>
      </c>
      <c r="AF370" s="99">
        <f t="shared" si="16"/>
        <v>0.39909784019079131</v>
      </c>
      <c r="AG370" s="99">
        <f t="shared" si="17"/>
        <v>3.5423277375936646E-3</v>
      </c>
      <c r="AH370" s="10" t="str">
        <f>IFERROR(VLOOKUP(B370,'Pre-Summary'!$AZ$6:$BE$65,3,FALSE),"")</f>
        <v/>
      </c>
      <c r="AI370" s="10" t="str">
        <f>IFERROR(VLOOKUP(B370,'Pre-Summary'!$AZ$6:$BE$65,5,FALSE),"")</f>
        <v/>
      </c>
      <c r="AJ370" s="10" t="str">
        <f>IFERROR(VLOOKUP(B370,'Pre-Summary'!$AZ$6:$BE$65,4,FALSE),"")</f>
        <v/>
      </c>
      <c r="AK370" s="10" t="str">
        <f>IFERROR(VLOOKUP(B370,'Pre-Summary'!$AZ$6:$BE$65,6,FALSE),"")</f>
        <v/>
      </c>
      <c r="AL370" s="10" t="str">
        <f>IFERROR(VLOOKUP(B370,'Pre-Summary'!$BG$6:$BL$44,3,FALSE),"")</f>
        <v/>
      </c>
      <c r="AM370" s="10" t="str">
        <f>IFERROR(VLOOKUP(B370,'Pre-Summary'!$BG$6:$BL$44,4,FALSE),"")</f>
        <v/>
      </c>
    </row>
    <row r="371" spans="2:39" ht="15" customHeight="1" x14ac:dyDescent="0.3">
      <c r="B371">
        <v>36.799999999999997</v>
      </c>
      <c r="C371" t="str">
        <f>IFERROR(VLOOKUP(B371,'Pre-Summary'!$DI$6:$DM$23,4,FALSE),"")</f>
        <v/>
      </c>
      <c r="D371" s="10" t="str">
        <f>IFERROR(VLOOKUP(B371,'Pre-Summary'!$AT$6:$AX$14,5,FALSE),D370)</f>
        <v>DSMZ v1.5: Using DSMZ 120 with NaHCO3</v>
      </c>
      <c r="E371" s="10" t="str">
        <f>IFERROR(VLOOKUP(B371,'Pre-Summary'!$AT$6:$AX$15,4,FALSE),"")</f>
        <v/>
      </c>
      <c r="F371">
        <f>IFERROR(VLOOKUP(B371,'Pre-Summary'!$AL$6:$AQ$13,6,FALSE),F370)</f>
        <v>5.9405263157894746E-2</v>
      </c>
      <c r="G371" t="str">
        <f>IFERROR(VLOOKUP(B371,'Pre-Summary'!$AE$6:$AJ$85,3,FALSE),"")</f>
        <v/>
      </c>
      <c r="H371" t="str">
        <f>IFERROR(VLOOKUP(B371,'Pre-Summary'!$AE$6:$AJ$85,4,FALSE),"")</f>
        <v/>
      </c>
      <c r="I371" t="str">
        <f>IFERROR(VLOOKUP(B371,'Pre-Summary'!$AE$6:$AJ$85,5,FALSE),"")</f>
        <v/>
      </c>
      <c r="J371" s="45" t="str">
        <f>IFERROR(VLOOKUP(B371,'Pre-Summary'!$AE$6:$AJ$85,6, FALSE),"")</f>
        <v/>
      </c>
      <c r="K371" s="45" t="str">
        <f>IFERROR(VLOOKUP(B371,'Pre-Summary'!$DE$6:$DG$61,3,FALSE),"")</f>
        <v/>
      </c>
      <c r="L371" s="45" t="str">
        <f>IFERROR(VLOOKUP(B371,'Pre-Summary'!$CU$6:$CW$36,3,FALSE),"")</f>
        <v/>
      </c>
      <c r="M371" s="45" t="str">
        <f>IFERROR(VLOOKUP(B371,'Pre-Summary'!$BW$6:$BY$58,2,FALSE),"")</f>
        <v/>
      </c>
      <c r="N371" s="45" t="str">
        <f>IFERROR(VLOOKUP(B371,'Pre-Summary'!$CD$6:$CF$64,2,FALSE),"")</f>
        <v/>
      </c>
      <c r="O371" s="99">
        <f>IFERROR(VLOOKUP(B371,'Pre-Summary'!$BO$6:$BQ$48,3, FALSE),O370)</f>
        <v>1.0915248032216731</v>
      </c>
      <c r="P371" s="99">
        <f>IFERROR(VLOOKUP(B371,'Pre-Summary'!$BS$6:$BU$35,3,FALSE),P370)</f>
        <v>0.25</v>
      </c>
      <c r="Q371" s="54">
        <f t="shared" si="15"/>
        <v>4.3660992128866924</v>
      </c>
      <c r="R371" s="53">
        <f>IFERROR(VLOOKUP(B371,'Pre-Summary'!$BG$6:$BM$44,7,FALSE),R372)</f>
        <v>2.7904161219319636E-2</v>
      </c>
      <c r="S371" s="53">
        <f>IFERROR(VLOOKUP(B371,'Pre-Summary'!$BG$6:$BM$44,6,FALSE),S372)</f>
        <v>3.3978715219895171E-2</v>
      </c>
      <c r="T371" s="45" t="str">
        <f>IFERROR(VLOOKUP(B371,'Pre-Summary'!$Y$6:$AC$83, 3,FALSE),"")</f>
        <v/>
      </c>
      <c r="U371" s="45" t="str">
        <f>IFERROR(VLOOKUP(B371,'Pre-Summary'!$Y$6:$AC$83, 4,FALSE),"")</f>
        <v/>
      </c>
      <c r="V371" t="str">
        <f>IFERROR(VLOOKUP(B371,'Pre-Summary'!$Y$6:$AC$83, 5,FALSE),"")</f>
        <v/>
      </c>
      <c r="W371" s="45" t="str">
        <f>IFERROR(VLOOKUP(B371,'Pre-Summary'!$Y$6:$AD$83,6,FALSE),"")</f>
        <v/>
      </c>
      <c r="X371" t="str">
        <f>IFERROR(VLOOKUP('Pre-Summary'!$DB$6:$DD$63,3,FALSE),"")</f>
        <v/>
      </c>
      <c r="Y371" t="str">
        <f>IFERROR(VLOOKUP(B371,'Pre-Summary'!$CR$6:$CT$36,3,FALSE),"")</f>
        <v/>
      </c>
      <c r="Z371" s="45" t="str">
        <f>IFERROR(VLOOKUP(B371,'Pre-Summary'!$BZ$6:$CB$63,2,FALSE),"")</f>
        <v/>
      </c>
      <c r="AA371" s="45" t="str">
        <f>IFERROR(VLOOKUP(B371,'Pre-Summary'!$CG$6:$CI$70,2,FALSE),"")</f>
        <v/>
      </c>
      <c r="AB371" s="99">
        <f>IFERROR(VLOOKUP(B371,'Pre-Summary'!$A$6:$P$178,9,FALSE),AB372)</f>
        <v>0.55228059519701667</v>
      </c>
      <c r="AC371" s="10">
        <f>IFERROR(VLOOKUP(Summary!B371,'Pre-Summary'!$A$6:$P$184,5, FALSE)/100,AC372)</f>
        <v>0.27094999999999997</v>
      </c>
      <c r="AD371" s="10">
        <f>IFERROR(VLOOKUP(Summary!B371,'Pre-Summary'!$A$6:$P$184,3, FALSE)/100,AD372)</f>
        <v>0.72263599999999995</v>
      </c>
      <c r="AE371" s="10">
        <f>IFERROR(VLOOKUP(Summary!B371,'Pre-Summary'!$A$6:$P$184,7, FALSE)/100,AE372)</f>
        <v>6.4139999999999996E-3</v>
      </c>
      <c r="AF371" s="99">
        <f t="shared" si="16"/>
        <v>0.39909784019079131</v>
      </c>
      <c r="AG371" s="99">
        <f t="shared" si="17"/>
        <v>3.5423277375936646E-3</v>
      </c>
      <c r="AH371" s="10" t="str">
        <f>IFERROR(VLOOKUP(B371,'Pre-Summary'!$AZ$6:$BE$65,3,FALSE),"")</f>
        <v/>
      </c>
      <c r="AI371" s="10" t="str">
        <f>IFERROR(VLOOKUP(B371,'Pre-Summary'!$AZ$6:$BE$65,5,FALSE),"")</f>
        <v/>
      </c>
      <c r="AJ371" s="10" t="str">
        <f>IFERROR(VLOOKUP(B371,'Pre-Summary'!$AZ$6:$BE$65,4,FALSE),"")</f>
        <v/>
      </c>
      <c r="AK371" s="10" t="str">
        <f>IFERROR(VLOOKUP(B371,'Pre-Summary'!$AZ$6:$BE$65,6,FALSE),"")</f>
        <v/>
      </c>
      <c r="AL371" s="10" t="str">
        <f>IFERROR(VLOOKUP(B371,'Pre-Summary'!$BG$6:$BL$44,3,FALSE),"")</f>
        <v/>
      </c>
      <c r="AM371" s="10" t="str">
        <f>IFERROR(VLOOKUP(B371,'Pre-Summary'!$BG$6:$BL$44,4,FALSE),"")</f>
        <v/>
      </c>
    </row>
    <row r="372" spans="2:39" ht="15" customHeight="1" x14ac:dyDescent="0.3">
      <c r="B372">
        <v>36.9</v>
      </c>
      <c r="C372" t="str">
        <f>IFERROR(VLOOKUP(B372,'Pre-Summary'!$DI$6:$DM$23,4,FALSE),"")</f>
        <v/>
      </c>
      <c r="D372" s="10" t="str">
        <f>IFERROR(VLOOKUP(B372,'Pre-Summary'!$AT$6:$AX$14,5,FALSE),D371)</f>
        <v>DSMZ v1.5: Using DSMZ 120 with NaHCO3</v>
      </c>
      <c r="E372" s="10" t="str">
        <f>IFERROR(VLOOKUP(B372,'Pre-Summary'!$AT$6:$AX$15,4,FALSE),"")</f>
        <v/>
      </c>
      <c r="F372">
        <f>IFERROR(VLOOKUP(B372,'Pre-Summary'!$AL$6:$AQ$13,6,FALSE),F371)</f>
        <v>5.9405263157894746E-2</v>
      </c>
      <c r="G372" t="str">
        <f>IFERROR(VLOOKUP(B372,'Pre-Summary'!$AE$6:$AJ$85,3,FALSE),"")</f>
        <v/>
      </c>
      <c r="H372" t="str">
        <f>IFERROR(VLOOKUP(B372,'Pre-Summary'!$AE$6:$AJ$85,4,FALSE),"")</f>
        <v/>
      </c>
      <c r="I372" t="str">
        <f>IFERROR(VLOOKUP(B372,'Pre-Summary'!$AE$6:$AJ$85,5,FALSE),"")</f>
        <v/>
      </c>
      <c r="J372" s="45" t="str">
        <f>IFERROR(VLOOKUP(B372,'Pre-Summary'!$AE$6:$AJ$85,6, FALSE),"")</f>
        <v/>
      </c>
      <c r="K372" s="45" t="str">
        <f>IFERROR(VLOOKUP(B372,'Pre-Summary'!$DE$6:$DG$61,3,FALSE),"")</f>
        <v/>
      </c>
      <c r="L372" s="45" t="str">
        <f>IFERROR(VLOOKUP(B372,'Pre-Summary'!$CU$6:$CW$36,3,FALSE),"")</f>
        <v/>
      </c>
      <c r="M372" s="45" t="str">
        <f>IFERROR(VLOOKUP(B372,'Pre-Summary'!$BW$6:$BY$58,2,FALSE),"")</f>
        <v/>
      </c>
      <c r="N372" s="45" t="str">
        <f>IFERROR(VLOOKUP(B372,'Pre-Summary'!$CD$6:$CF$64,2,FALSE),"")</f>
        <v/>
      </c>
      <c r="O372" s="99">
        <f>IFERROR(VLOOKUP(B372,'Pre-Summary'!$BO$6:$BQ$48,3, FALSE),O371)</f>
        <v>1.0915248032216731</v>
      </c>
      <c r="P372" s="99">
        <f>IFERROR(VLOOKUP(B372,'Pre-Summary'!$BS$6:$BU$35,3,FALSE),P371)</f>
        <v>0.25</v>
      </c>
      <c r="Q372" s="54">
        <f t="shared" si="15"/>
        <v>4.3660992128866924</v>
      </c>
      <c r="R372" s="53">
        <f>IFERROR(VLOOKUP(B372,'Pre-Summary'!$BG$6:$BM$44,7,FALSE),R373)</f>
        <v>2.7904161219319636E-2</v>
      </c>
      <c r="S372" s="53">
        <f>IFERROR(VLOOKUP(B372,'Pre-Summary'!$BG$6:$BM$44,6,FALSE),S373)</f>
        <v>3.3978715219895171E-2</v>
      </c>
      <c r="T372" s="45" t="str">
        <f>IFERROR(VLOOKUP(B372,'Pre-Summary'!$Y$6:$AC$83, 3,FALSE),"")</f>
        <v/>
      </c>
      <c r="U372" s="45" t="str">
        <f>IFERROR(VLOOKUP(B372,'Pre-Summary'!$Y$6:$AC$83, 4,FALSE),"")</f>
        <v/>
      </c>
      <c r="V372" t="str">
        <f>IFERROR(VLOOKUP(B372,'Pre-Summary'!$Y$6:$AC$83, 5,FALSE),"")</f>
        <v/>
      </c>
      <c r="W372" s="45" t="str">
        <f>IFERROR(VLOOKUP(B372,'Pre-Summary'!$Y$6:$AD$83,6,FALSE),"")</f>
        <v/>
      </c>
      <c r="X372" t="str">
        <f>IFERROR(VLOOKUP('Pre-Summary'!$DB$6:$DD$63,3,FALSE),"")</f>
        <v/>
      </c>
      <c r="Y372" t="str">
        <f>IFERROR(VLOOKUP(B372,'Pre-Summary'!$CR$6:$CT$36,3,FALSE),"")</f>
        <v/>
      </c>
      <c r="Z372" s="45" t="str">
        <f>IFERROR(VLOOKUP(B372,'Pre-Summary'!$BZ$6:$CB$63,2,FALSE),"")</f>
        <v/>
      </c>
      <c r="AA372" s="45" t="str">
        <f>IFERROR(VLOOKUP(B372,'Pre-Summary'!$CG$6:$CI$70,2,FALSE),"")</f>
        <v/>
      </c>
      <c r="AB372" s="99">
        <f>IFERROR(VLOOKUP(B372,'Pre-Summary'!$A$6:$P$178,9,FALSE),AB373)</f>
        <v>0.55228059519701667</v>
      </c>
      <c r="AC372" s="10">
        <f>IFERROR(VLOOKUP(Summary!B372,'Pre-Summary'!$A$6:$P$184,5, FALSE)/100,AC373)</f>
        <v>0.27094999999999997</v>
      </c>
      <c r="AD372" s="10">
        <f>IFERROR(VLOOKUP(Summary!B372,'Pre-Summary'!$A$6:$P$184,3, FALSE)/100,AD373)</f>
        <v>0.72263599999999995</v>
      </c>
      <c r="AE372" s="10">
        <f>IFERROR(VLOOKUP(Summary!B372,'Pre-Summary'!$A$6:$P$184,7, FALSE)/100,AE373)</f>
        <v>6.4139999999999996E-3</v>
      </c>
      <c r="AF372" s="99">
        <f t="shared" si="16"/>
        <v>0.39909784019079131</v>
      </c>
      <c r="AG372" s="99">
        <f t="shared" si="17"/>
        <v>3.5423277375936646E-3</v>
      </c>
      <c r="AH372" s="10" t="str">
        <f>IFERROR(VLOOKUP(B372,'Pre-Summary'!$AZ$6:$BE$65,3,FALSE),"")</f>
        <v/>
      </c>
      <c r="AI372" s="10" t="str">
        <f>IFERROR(VLOOKUP(B372,'Pre-Summary'!$AZ$6:$BE$65,5,FALSE),"")</f>
        <v/>
      </c>
      <c r="AJ372" s="10" t="str">
        <f>IFERROR(VLOOKUP(B372,'Pre-Summary'!$AZ$6:$BE$65,4,FALSE),"")</f>
        <v/>
      </c>
      <c r="AK372" s="10" t="str">
        <f>IFERROR(VLOOKUP(B372,'Pre-Summary'!$AZ$6:$BE$65,6,FALSE),"")</f>
        <v/>
      </c>
      <c r="AL372" s="10" t="str">
        <f>IFERROR(VLOOKUP(B372,'Pre-Summary'!$BG$6:$BL$44,3,FALSE),"")</f>
        <v/>
      </c>
      <c r="AM372" s="10" t="str">
        <f>IFERROR(VLOOKUP(B372,'Pre-Summary'!$BG$6:$BL$44,4,FALSE),"")</f>
        <v/>
      </c>
    </row>
    <row r="373" spans="2:39" ht="15" customHeight="1" x14ac:dyDescent="0.3">
      <c r="B373">
        <v>37</v>
      </c>
      <c r="C373" t="str">
        <f>IFERROR(VLOOKUP(B373,'Pre-Summary'!$DI$6:$DM$23,4,FALSE),"")</f>
        <v/>
      </c>
      <c r="D373" s="10" t="str">
        <f>IFERROR(VLOOKUP(B373,'Pre-Summary'!$AT$6:$AX$14,5,FALSE),D372)</f>
        <v>DSMZ v1.5: Using DSMZ 120 with NaHCO3</v>
      </c>
      <c r="E373" s="10" t="str">
        <f>IFERROR(VLOOKUP(B373,'Pre-Summary'!$AT$6:$AX$15,4,FALSE),"")</f>
        <v/>
      </c>
      <c r="F373">
        <f>IFERROR(VLOOKUP(B373,'Pre-Summary'!$AL$6:$AQ$13,6,FALSE),F372)</f>
        <v>5.9405263157894746E-2</v>
      </c>
      <c r="G373" t="str">
        <f>IFERROR(VLOOKUP(B373,'Pre-Summary'!$AE$6:$AJ$85,3,FALSE),"")</f>
        <v/>
      </c>
      <c r="H373" t="str">
        <f>IFERROR(VLOOKUP(B373,'Pre-Summary'!$AE$6:$AJ$85,4,FALSE),"")</f>
        <v/>
      </c>
      <c r="I373" t="str">
        <f>IFERROR(VLOOKUP(B373,'Pre-Summary'!$AE$6:$AJ$85,5,FALSE),"")</f>
        <v/>
      </c>
      <c r="J373" s="45" t="str">
        <f>IFERROR(VLOOKUP(B373,'Pre-Summary'!$AE$6:$AJ$85,6, FALSE),"")</f>
        <v/>
      </c>
      <c r="K373" s="45" t="str">
        <f>IFERROR(VLOOKUP(B373,'Pre-Summary'!$DE$6:$DG$61,3,FALSE),"")</f>
        <v/>
      </c>
      <c r="L373" s="45" t="str">
        <f>IFERROR(VLOOKUP(B373,'Pre-Summary'!$CU$6:$CW$36,3,FALSE),"")</f>
        <v/>
      </c>
      <c r="M373" s="45" t="str">
        <f>IFERROR(VLOOKUP(B373,'Pre-Summary'!$BW$6:$BY$58,2,FALSE),"")</f>
        <v/>
      </c>
      <c r="N373" s="45" t="str">
        <f>IFERROR(VLOOKUP(B373,'Pre-Summary'!$CD$6:$CF$64,2,FALSE),"")</f>
        <v/>
      </c>
      <c r="O373" s="99">
        <f>IFERROR(VLOOKUP(B373,'Pre-Summary'!$BO$6:$BQ$48,3, FALSE),O372)</f>
        <v>1.0915248032216731</v>
      </c>
      <c r="P373" s="99">
        <f>IFERROR(VLOOKUP(B373,'Pre-Summary'!$BS$6:$BU$35,3,FALSE),P372)</f>
        <v>0.25</v>
      </c>
      <c r="Q373" s="54">
        <f t="shared" si="15"/>
        <v>4.3660992128866924</v>
      </c>
      <c r="R373" s="53">
        <f>IFERROR(VLOOKUP(B373,'Pre-Summary'!$BG$6:$BM$44,7,FALSE),R374)</f>
        <v>2.7904161219319636E-2</v>
      </c>
      <c r="S373" s="53">
        <f>IFERROR(VLOOKUP(B373,'Pre-Summary'!$BG$6:$BM$44,6,FALSE),S374)</f>
        <v>3.3978715219895171E-2</v>
      </c>
      <c r="T373" s="45" t="str">
        <f>IFERROR(VLOOKUP(B373,'Pre-Summary'!$Y$6:$AC$83, 3,FALSE),"")</f>
        <v/>
      </c>
      <c r="U373" s="45" t="str">
        <f>IFERROR(VLOOKUP(B373,'Pre-Summary'!$Y$6:$AC$83, 4,FALSE),"")</f>
        <v/>
      </c>
      <c r="V373" t="str">
        <f>IFERROR(VLOOKUP(B373,'Pre-Summary'!$Y$6:$AC$83, 5,FALSE),"")</f>
        <v/>
      </c>
      <c r="W373" s="45" t="str">
        <f>IFERROR(VLOOKUP(B373,'Pre-Summary'!$Y$6:$AD$83,6,FALSE),"")</f>
        <v/>
      </c>
      <c r="X373" t="str">
        <f>IFERROR(VLOOKUP('Pre-Summary'!$DB$6:$DD$63,3,FALSE),"")</f>
        <v/>
      </c>
      <c r="Y373" t="str">
        <f>IFERROR(VLOOKUP(B373,'Pre-Summary'!$CR$6:$CT$36,3,FALSE),"")</f>
        <v/>
      </c>
      <c r="Z373" s="45" t="str">
        <f>IFERROR(VLOOKUP(B373,'Pre-Summary'!$BZ$6:$CB$63,2,FALSE),"")</f>
        <v/>
      </c>
      <c r="AA373" s="45" t="str">
        <f>IFERROR(VLOOKUP(B373,'Pre-Summary'!$CG$6:$CI$70,2,FALSE),"")</f>
        <v/>
      </c>
      <c r="AB373" s="99">
        <f>IFERROR(VLOOKUP(B373,'Pre-Summary'!$A$6:$P$178,9,FALSE),AB374)</f>
        <v>0.55228059519701667</v>
      </c>
      <c r="AC373" s="10">
        <f>IFERROR(VLOOKUP(Summary!B373,'Pre-Summary'!$A$6:$P$184,5, FALSE)/100,AC374)</f>
        <v>0.27094999999999997</v>
      </c>
      <c r="AD373" s="10">
        <f>IFERROR(VLOOKUP(Summary!B373,'Pre-Summary'!$A$6:$P$184,3, FALSE)/100,AD374)</f>
        <v>0.72263599999999995</v>
      </c>
      <c r="AE373" s="10">
        <f>IFERROR(VLOOKUP(Summary!B373,'Pre-Summary'!$A$6:$P$184,7, FALSE)/100,AE374)</f>
        <v>6.4139999999999996E-3</v>
      </c>
      <c r="AF373" s="99">
        <f t="shared" si="16"/>
        <v>0.39909784019079131</v>
      </c>
      <c r="AG373" s="99">
        <f t="shared" si="17"/>
        <v>3.5423277375936646E-3</v>
      </c>
      <c r="AH373" s="10" t="str">
        <f>IFERROR(VLOOKUP(B373,'Pre-Summary'!$AZ$6:$BE$65,3,FALSE),"")</f>
        <v/>
      </c>
      <c r="AI373" s="10" t="str">
        <f>IFERROR(VLOOKUP(B373,'Pre-Summary'!$AZ$6:$BE$65,5,FALSE),"")</f>
        <v/>
      </c>
      <c r="AJ373" s="10" t="str">
        <f>IFERROR(VLOOKUP(B373,'Pre-Summary'!$AZ$6:$BE$65,4,FALSE),"")</f>
        <v/>
      </c>
      <c r="AK373" s="10" t="str">
        <f>IFERROR(VLOOKUP(B373,'Pre-Summary'!$AZ$6:$BE$65,6,FALSE),"")</f>
        <v/>
      </c>
      <c r="AL373" s="10" t="str">
        <f>IFERROR(VLOOKUP(B373,'Pre-Summary'!$BG$6:$BL$44,3,FALSE),"")</f>
        <v/>
      </c>
      <c r="AM373" s="10" t="str">
        <f>IFERROR(VLOOKUP(B373,'Pre-Summary'!$BG$6:$BL$44,4,FALSE),"")</f>
        <v/>
      </c>
    </row>
    <row r="374" spans="2:39" ht="15" customHeight="1" x14ac:dyDescent="0.3">
      <c r="B374">
        <v>37.1</v>
      </c>
      <c r="C374" t="str">
        <f>IFERROR(VLOOKUP(B374,'Pre-Summary'!$DI$6:$DM$23,4,FALSE),"")</f>
        <v/>
      </c>
      <c r="D374" s="10" t="str">
        <f>IFERROR(VLOOKUP(B374,'Pre-Summary'!$AT$6:$AX$14,5,FALSE),D373)</f>
        <v>DSMZ v1.5: Using DSMZ 120 with NaHCO3</v>
      </c>
      <c r="E374" s="10" t="str">
        <f>IFERROR(VLOOKUP(B374,'Pre-Summary'!$AT$6:$AX$15,4,FALSE),"")</f>
        <v/>
      </c>
      <c r="F374">
        <f>IFERROR(VLOOKUP(B374,'Pre-Summary'!$AL$6:$AQ$13,6,FALSE),F373)</f>
        <v>5.9405263157894746E-2</v>
      </c>
      <c r="G374" t="str">
        <f>IFERROR(VLOOKUP(B374,'Pre-Summary'!$AE$6:$AJ$85,3,FALSE),"")</f>
        <v/>
      </c>
      <c r="H374" t="str">
        <f>IFERROR(VLOOKUP(B374,'Pre-Summary'!$AE$6:$AJ$85,4,FALSE),"")</f>
        <v/>
      </c>
      <c r="I374" t="str">
        <f>IFERROR(VLOOKUP(B374,'Pre-Summary'!$AE$6:$AJ$85,5,FALSE),"")</f>
        <v/>
      </c>
      <c r="J374" s="45" t="str">
        <f>IFERROR(VLOOKUP(B374,'Pre-Summary'!$AE$6:$AJ$85,6, FALSE),"")</f>
        <v/>
      </c>
      <c r="K374" s="45" t="str">
        <f>IFERROR(VLOOKUP(B374,'Pre-Summary'!$DE$6:$DG$61,3,FALSE),"")</f>
        <v/>
      </c>
      <c r="L374" s="45" t="str">
        <f>IFERROR(VLOOKUP(B374,'Pre-Summary'!$CU$6:$CW$36,3,FALSE),"")</f>
        <v/>
      </c>
      <c r="M374" s="45" t="str">
        <f>IFERROR(VLOOKUP(B374,'Pre-Summary'!$BW$6:$BY$58,2,FALSE),"")</f>
        <v/>
      </c>
      <c r="N374" s="45" t="str">
        <f>IFERROR(VLOOKUP(B374,'Pre-Summary'!$CD$6:$CF$64,2,FALSE),"")</f>
        <v/>
      </c>
      <c r="O374" s="99">
        <f>IFERROR(VLOOKUP(B374,'Pre-Summary'!$BO$6:$BQ$48,3, FALSE),O373)</f>
        <v>1.0915248032216731</v>
      </c>
      <c r="P374" s="99">
        <f>IFERROR(VLOOKUP(B374,'Pre-Summary'!$BS$6:$BU$35,3,FALSE),P373)</f>
        <v>0.25</v>
      </c>
      <c r="Q374" s="54">
        <f t="shared" si="15"/>
        <v>4.3660992128866924</v>
      </c>
      <c r="R374" s="53">
        <f>IFERROR(VLOOKUP(B374,'Pre-Summary'!$BG$6:$BM$44,7,FALSE),R375)</f>
        <v>2.7904161219319636E-2</v>
      </c>
      <c r="S374" s="53">
        <f>IFERROR(VLOOKUP(B374,'Pre-Summary'!$BG$6:$BM$44,6,FALSE),S375)</f>
        <v>3.3978715219895171E-2</v>
      </c>
      <c r="T374" s="45" t="str">
        <f>IFERROR(VLOOKUP(B374,'Pre-Summary'!$Y$6:$AC$83, 3,FALSE),"")</f>
        <v/>
      </c>
      <c r="U374" s="45" t="str">
        <f>IFERROR(VLOOKUP(B374,'Pre-Summary'!$Y$6:$AC$83, 4,FALSE),"")</f>
        <v/>
      </c>
      <c r="V374" t="str">
        <f>IFERROR(VLOOKUP(B374,'Pre-Summary'!$Y$6:$AC$83, 5,FALSE),"")</f>
        <v/>
      </c>
      <c r="W374" s="45" t="str">
        <f>IFERROR(VLOOKUP(B374,'Pre-Summary'!$Y$6:$AD$83,6,FALSE),"")</f>
        <v/>
      </c>
      <c r="X374" t="str">
        <f>IFERROR(VLOOKUP('Pre-Summary'!$DB$6:$DD$63,3,FALSE),"")</f>
        <v/>
      </c>
      <c r="Y374" t="str">
        <f>IFERROR(VLOOKUP(B374,'Pre-Summary'!$CR$6:$CT$36,3,FALSE),"")</f>
        <v/>
      </c>
      <c r="Z374" s="45" t="str">
        <f>IFERROR(VLOOKUP(B374,'Pre-Summary'!$BZ$6:$CB$63,2,FALSE),"")</f>
        <v/>
      </c>
      <c r="AA374" s="45" t="str">
        <f>IFERROR(VLOOKUP(B374,'Pre-Summary'!$CG$6:$CI$70,2,FALSE),"")</f>
        <v/>
      </c>
      <c r="AB374" s="99">
        <f>IFERROR(VLOOKUP(B374,'Pre-Summary'!$A$6:$P$178,9,FALSE),AB375)</f>
        <v>0.55228059519701667</v>
      </c>
      <c r="AC374" s="10">
        <f>IFERROR(VLOOKUP(Summary!B374,'Pre-Summary'!$A$6:$P$184,5, FALSE)/100,AC375)</f>
        <v>0.27094999999999997</v>
      </c>
      <c r="AD374" s="10">
        <f>IFERROR(VLOOKUP(Summary!B374,'Pre-Summary'!$A$6:$P$184,3, FALSE)/100,AD375)</f>
        <v>0.72263599999999995</v>
      </c>
      <c r="AE374" s="10">
        <f>IFERROR(VLOOKUP(Summary!B374,'Pre-Summary'!$A$6:$P$184,7, FALSE)/100,AE375)</f>
        <v>6.4139999999999996E-3</v>
      </c>
      <c r="AF374" s="99">
        <f t="shared" si="16"/>
        <v>0.39909784019079131</v>
      </c>
      <c r="AG374" s="99">
        <f t="shared" si="17"/>
        <v>3.5423277375936646E-3</v>
      </c>
      <c r="AH374" s="10" t="str">
        <f>IFERROR(VLOOKUP(B374,'Pre-Summary'!$AZ$6:$BE$65,3,FALSE),"")</f>
        <v/>
      </c>
      <c r="AI374" s="10" t="str">
        <f>IFERROR(VLOOKUP(B374,'Pre-Summary'!$AZ$6:$BE$65,5,FALSE),"")</f>
        <v/>
      </c>
      <c r="AJ374" s="10" t="str">
        <f>IFERROR(VLOOKUP(B374,'Pre-Summary'!$AZ$6:$BE$65,4,FALSE),"")</f>
        <v/>
      </c>
      <c r="AK374" s="10" t="str">
        <f>IFERROR(VLOOKUP(B374,'Pre-Summary'!$AZ$6:$BE$65,6,FALSE),"")</f>
        <v/>
      </c>
      <c r="AL374" s="10" t="str">
        <f>IFERROR(VLOOKUP(B374,'Pre-Summary'!$BG$6:$BL$44,3,FALSE),"")</f>
        <v/>
      </c>
      <c r="AM374" s="10" t="str">
        <f>IFERROR(VLOOKUP(B374,'Pre-Summary'!$BG$6:$BL$44,4,FALSE),"")</f>
        <v/>
      </c>
    </row>
    <row r="375" spans="2:39" ht="15" customHeight="1" x14ac:dyDescent="0.3">
      <c r="B375">
        <v>37.200000000000003</v>
      </c>
      <c r="C375" t="str">
        <f>IFERROR(VLOOKUP(B375,'Pre-Summary'!$DI$6:$DM$23,4,FALSE),"")</f>
        <v/>
      </c>
      <c r="D375" s="10" t="str">
        <f>IFERROR(VLOOKUP(B375,'Pre-Summary'!$AT$6:$AX$14,5,FALSE),D374)</f>
        <v>DSMZ v1.5: Using DSMZ 120 with NaHCO3</v>
      </c>
      <c r="E375" s="10" t="str">
        <f>IFERROR(VLOOKUP(B375,'Pre-Summary'!$AT$6:$AX$15,4,FALSE),"")</f>
        <v/>
      </c>
      <c r="F375">
        <f>IFERROR(VLOOKUP(B375,'Pre-Summary'!$AL$6:$AQ$13,6,FALSE),F374)</f>
        <v>5.9405263157894746E-2</v>
      </c>
      <c r="G375" t="str">
        <f>IFERROR(VLOOKUP(B375,'Pre-Summary'!$AE$6:$AJ$85,3,FALSE),"")</f>
        <v/>
      </c>
      <c r="H375" t="str">
        <f>IFERROR(VLOOKUP(B375,'Pre-Summary'!$AE$6:$AJ$85,4,FALSE),"")</f>
        <v/>
      </c>
      <c r="I375" t="str">
        <f>IFERROR(VLOOKUP(B375,'Pre-Summary'!$AE$6:$AJ$85,5,FALSE),"")</f>
        <v/>
      </c>
      <c r="J375" s="45" t="str">
        <f>IFERROR(VLOOKUP(B375,'Pre-Summary'!$AE$6:$AJ$85,6, FALSE),"")</f>
        <v/>
      </c>
      <c r="K375" s="45" t="str">
        <f>IFERROR(VLOOKUP(B375,'Pre-Summary'!$DE$6:$DG$61,3,FALSE),"")</f>
        <v/>
      </c>
      <c r="L375" s="45" t="str">
        <f>IFERROR(VLOOKUP(B375,'Pre-Summary'!$CU$6:$CW$36,3,FALSE),"")</f>
        <v/>
      </c>
      <c r="M375" s="45" t="str">
        <f>IFERROR(VLOOKUP(B375,'Pre-Summary'!$BW$6:$BY$58,2,FALSE),"")</f>
        <v/>
      </c>
      <c r="N375" s="45" t="str">
        <f>IFERROR(VLOOKUP(B375,'Pre-Summary'!$CD$6:$CF$64,2,FALSE),"")</f>
        <v/>
      </c>
      <c r="O375" s="99">
        <f>IFERROR(VLOOKUP(B375,'Pre-Summary'!$BO$6:$BQ$48,3, FALSE),O374)</f>
        <v>1.0915248032216731</v>
      </c>
      <c r="P375" s="99">
        <f>IFERROR(VLOOKUP(B375,'Pre-Summary'!$BS$6:$BU$35,3,FALSE),P374)</f>
        <v>0.25</v>
      </c>
      <c r="Q375" s="54">
        <f t="shared" si="15"/>
        <v>4.3660992128866924</v>
      </c>
      <c r="R375" s="53">
        <f>IFERROR(VLOOKUP(B375,'Pre-Summary'!$BG$6:$BM$44,7,FALSE),R376)</f>
        <v>2.7904161219319636E-2</v>
      </c>
      <c r="S375" s="53">
        <f>IFERROR(VLOOKUP(B375,'Pre-Summary'!$BG$6:$BM$44,6,FALSE),S376)</f>
        <v>3.3978715219895171E-2</v>
      </c>
      <c r="T375" s="45" t="str">
        <f>IFERROR(VLOOKUP(B375,'Pre-Summary'!$Y$6:$AC$83, 3,FALSE),"")</f>
        <v/>
      </c>
      <c r="U375" s="45" t="str">
        <f>IFERROR(VLOOKUP(B375,'Pre-Summary'!$Y$6:$AC$83, 4,FALSE),"")</f>
        <v/>
      </c>
      <c r="V375" t="str">
        <f>IFERROR(VLOOKUP(B375,'Pre-Summary'!$Y$6:$AC$83, 5,FALSE),"")</f>
        <v/>
      </c>
      <c r="W375" s="45" t="str">
        <f>IFERROR(VLOOKUP(B375,'Pre-Summary'!$Y$6:$AD$83,6,FALSE),"")</f>
        <v/>
      </c>
      <c r="X375" t="str">
        <f>IFERROR(VLOOKUP('Pre-Summary'!$DB$6:$DD$63,3,FALSE),"")</f>
        <v/>
      </c>
      <c r="Y375" t="str">
        <f>IFERROR(VLOOKUP(B375,'Pre-Summary'!$CR$6:$CT$36,3,FALSE),"")</f>
        <v/>
      </c>
      <c r="Z375" s="45" t="str">
        <f>IFERROR(VLOOKUP(B375,'Pre-Summary'!$BZ$6:$CB$63,2,FALSE),"")</f>
        <v/>
      </c>
      <c r="AA375" s="45" t="str">
        <f>IFERROR(VLOOKUP(B375,'Pre-Summary'!$CG$6:$CI$70,2,FALSE),"")</f>
        <v/>
      </c>
      <c r="AB375" s="99">
        <f>IFERROR(VLOOKUP(B375,'Pre-Summary'!$A$6:$P$178,9,FALSE),AB376)</f>
        <v>0.55228059519701667</v>
      </c>
      <c r="AC375" s="10">
        <f>IFERROR(VLOOKUP(Summary!B375,'Pre-Summary'!$A$6:$P$184,5, FALSE)/100,AC376)</f>
        <v>0.27094999999999997</v>
      </c>
      <c r="AD375" s="10">
        <f>IFERROR(VLOOKUP(Summary!B375,'Pre-Summary'!$A$6:$P$184,3, FALSE)/100,AD376)</f>
        <v>0.72263599999999995</v>
      </c>
      <c r="AE375" s="10">
        <f>IFERROR(VLOOKUP(Summary!B375,'Pre-Summary'!$A$6:$P$184,7, FALSE)/100,AE376)</f>
        <v>6.4139999999999996E-3</v>
      </c>
      <c r="AF375" s="99">
        <f t="shared" si="16"/>
        <v>0.39909784019079131</v>
      </c>
      <c r="AG375" s="99">
        <f t="shared" si="17"/>
        <v>3.5423277375936646E-3</v>
      </c>
      <c r="AH375" s="10" t="str">
        <f>IFERROR(VLOOKUP(B375,'Pre-Summary'!$AZ$6:$BE$65,3,FALSE),"")</f>
        <v/>
      </c>
      <c r="AI375" s="10" t="str">
        <f>IFERROR(VLOOKUP(B375,'Pre-Summary'!$AZ$6:$BE$65,5,FALSE),"")</f>
        <v/>
      </c>
      <c r="AJ375" s="10" t="str">
        <f>IFERROR(VLOOKUP(B375,'Pre-Summary'!$AZ$6:$BE$65,4,FALSE),"")</f>
        <v/>
      </c>
      <c r="AK375" s="10" t="str">
        <f>IFERROR(VLOOKUP(B375,'Pre-Summary'!$AZ$6:$BE$65,6,FALSE),"")</f>
        <v/>
      </c>
      <c r="AL375" s="10" t="str">
        <f>IFERROR(VLOOKUP(B375,'Pre-Summary'!$BG$6:$BL$44,3,FALSE),"")</f>
        <v/>
      </c>
      <c r="AM375" s="10" t="str">
        <f>IFERROR(VLOOKUP(B375,'Pre-Summary'!$BG$6:$BL$44,4,FALSE),"")</f>
        <v/>
      </c>
    </row>
    <row r="376" spans="2:39" ht="15" customHeight="1" x14ac:dyDescent="0.3">
      <c r="B376">
        <v>37.299999999999997</v>
      </c>
      <c r="C376" t="str">
        <f>IFERROR(VLOOKUP(B376,'Pre-Summary'!$DI$6:$DM$23,4,FALSE),"")</f>
        <v/>
      </c>
      <c r="D376" s="10" t="str">
        <f>IFERROR(VLOOKUP(B376,'Pre-Summary'!$AT$6:$AX$14,5,FALSE),D375)</f>
        <v>DSMZ v1.5: Using DSMZ 120 with NaHCO3</v>
      </c>
      <c r="E376" s="10" t="str">
        <f>IFERROR(VLOOKUP(B376,'Pre-Summary'!$AT$6:$AX$15,4,FALSE),"")</f>
        <v/>
      </c>
      <c r="F376">
        <f>IFERROR(VLOOKUP(B376,'Pre-Summary'!$AL$6:$AQ$13,6,FALSE),F375)</f>
        <v>5.9405263157894746E-2</v>
      </c>
      <c r="G376" t="str">
        <f>IFERROR(VLOOKUP(B376,'Pre-Summary'!$AE$6:$AJ$85,3,FALSE),"")</f>
        <v/>
      </c>
      <c r="H376" t="str">
        <f>IFERROR(VLOOKUP(B376,'Pre-Summary'!$AE$6:$AJ$85,4,FALSE),"")</f>
        <v/>
      </c>
      <c r="I376" t="str">
        <f>IFERROR(VLOOKUP(B376,'Pre-Summary'!$AE$6:$AJ$85,5,FALSE),"")</f>
        <v/>
      </c>
      <c r="J376" s="45" t="str">
        <f>IFERROR(VLOOKUP(B376,'Pre-Summary'!$AE$6:$AJ$85,6, FALSE),"")</f>
        <v/>
      </c>
      <c r="K376" s="45" t="str">
        <f>IFERROR(VLOOKUP(B376,'Pre-Summary'!$DE$6:$DG$61,3,FALSE),"")</f>
        <v/>
      </c>
      <c r="L376" s="45" t="str">
        <f>IFERROR(VLOOKUP(B376,'Pre-Summary'!$CU$6:$CW$36,3,FALSE),"")</f>
        <v/>
      </c>
      <c r="M376" s="45" t="str">
        <f>IFERROR(VLOOKUP(B376,'Pre-Summary'!$BW$6:$BY$58,2,FALSE),"")</f>
        <v/>
      </c>
      <c r="N376" s="45" t="str">
        <f>IFERROR(VLOOKUP(B376,'Pre-Summary'!$CD$6:$CF$64,2,FALSE),"")</f>
        <v/>
      </c>
      <c r="O376" s="99">
        <f>IFERROR(VLOOKUP(B376,'Pre-Summary'!$BO$6:$BQ$48,3, FALSE),O375)</f>
        <v>1.0915248032216731</v>
      </c>
      <c r="P376" s="99">
        <f>IFERROR(VLOOKUP(B376,'Pre-Summary'!$BS$6:$BU$35,3,FALSE),P375)</f>
        <v>0.25</v>
      </c>
      <c r="Q376" s="54">
        <f t="shared" si="15"/>
        <v>4.3660992128866924</v>
      </c>
      <c r="R376" s="53">
        <f>IFERROR(VLOOKUP(B376,'Pre-Summary'!$BG$6:$BM$44,7,FALSE),R377)</f>
        <v>2.7904161219319636E-2</v>
      </c>
      <c r="S376" s="53">
        <f>IFERROR(VLOOKUP(B376,'Pre-Summary'!$BG$6:$BM$44,6,FALSE),S377)</f>
        <v>3.3978715219895171E-2</v>
      </c>
      <c r="T376" s="45" t="str">
        <f>IFERROR(VLOOKUP(B376,'Pre-Summary'!$Y$6:$AC$83, 3,FALSE),"")</f>
        <v/>
      </c>
      <c r="U376" s="45" t="str">
        <f>IFERROR(VLOOKUP(B376,'Pre-Summary'!$Y$6:$AC$83, 4,FALSE),"")</f>
        <v/>
      </c>
      <c r="V376" t="str">
        <f>IFERROR(VLOOKUP(B376,'Pre-Summary'!$Y$6:$AC$83, 5,FALSE),"")</f>
        <v/>
      </c>
      <c r="W376" s="45" t="str">
        <f>IFERROR(VLOOKUP(B376,'Pre-Summary'!$Y$6:$AD$83,6,FALSE),"")</f>
        <v/>
      </c>
      <c r="X376" t="str">
        <f>IFERROR(VLOOKUP('Pre-Summary'!$DB$6:$DD$63,3,FALSE),"")</f>
        <v/>
      </c>
      <c r="Y376" t="str">
        <f>IFERROR(VLOOKUP(B376,'Pre-Summary'!$CR$6:$CT$36,3,FALSE),"")</f>
        <v/>
      </c>
      <c r="Z376" s="45" t="str">
        <f>IFERROR(VLOOKUP(B376,'Pre-Summary'!$BZ$6:$CB$63,2,FALSE),"")</f>
        <v/>
      </c>
      <c r="AA376" s="45" t="str">
        <f>IFERROR(VLOOKUP(B376,'Pre-Summary'!$CG$6:$CI$70,2,FALSE),"")</f>
        <v/>
      </c>
      <c r="AB376" s="99">
        <f>IFERROR(VLOOKUP(B376,'Pre-Summary'!$A$6:$P$178,9,FALSE),AB377)</f>
        <v>0.55228059519701667</v>
      </c>
      <c r="AC376" s="10">
        <f>IFERROR(VLOOKUP(Summary!B376,'Pre-Summary'!$A$6:$P$184,5, FALSE)/100,AC377)</f>
        <v>0.27094999999999997</v>
      </c>
      <c r="AD376" s="10">
        <f>IFERROR(VLOOKUP(Summary!B376,'Pre-Summary'!$A$6:$P$184,3, FALSE)/100,AD377)</f>
        <v>0.72263599999999995</v>
      </c>
      <c r="AE376" s="10">
        <f>IFERROR(VLOOKUP(Summary!B376,'Pre-Summary'!$A$6:$P$184,7, FALSE)/100,AE377)</f>
        <v>6.4139999999999996E-3</v>
      </c>
      <c r="AF376" s="99">
        <f t="shared" si="16"/>
        <v>0.39909784019079131</v>
      </c>
      <c r="AG376" s="99">
        <f t="shared" si="17"/>
        <v>3.5423277375936646E-3</v>
      </c>
      <c r="AH376" s="10" t="str">
        <f>IFERROR(VLOOKUP(B376,'Pre-Summary'!$AZ$6:$BE$65,3,FALSE),"")</f>
        <v/>
      </c>
      <c r="AI376" s="10" t="str">
        <f>IFERROR(VLOOKUP(B376,'Pre-Summary'!$AZ$6:$BE$65,5,FALSE),"")</f>
        <v/>
      </c>
      <c r="AJ376" s="10" t="str">
        <f>IFERROR(VLOOKUP(B376,'Pre-Summary'!$AZ$6:$BE$65,4,FALSE),"")</f>
        <v/>
      </c>
      <c r="AK376" s="10" t="str">
        <f>IFERROR(VLOOKUP(B376,'Pre-Summary'!$AZ$6:$BE$65,6,FALSE),"")</f>
        <v/>
      </c>
      <c r="AL376" s="10" t="str">
        <f>IFERROR(VLOOKUP(B376,'Pre-Summary'!$BG$6:$BL$44,3,FALSE),"")</f>
        <v/>
      </c>
      <c r="AM376" s="10" t="str">
        <f>IFERROR(VLOOKUP(B376,'Pre-Summary'!$BG$6:$BL$44,4,FALSE),"")</f>
        <v/>
      </c>
    </row>
    <row r="377" spans="2:39" ht="15" customHeight="1" x14ac:dyDescent="0.3">
      <c r="B377">
        <v>37.4</v>
      </c>
      <c r="C377" t="str">
        <f>IFERROR(VLOOKUP(B377,'Pre-Summary'!$DI$6:$DM$23,4,FALSE),"")</f>
        <v/>
      </c>
      <c r="D377" s="10" t="str">
        <f>IFERROR(VLOOKUP(B377,'Pre-Summary'!$AT$6:$AX$14,5,FALSE),D376)</f>
        <v>DSMZ v1.5: Using DSMZ 120 with NaHCO3</v>
      </c>
      <c r="E377" s="10" t="str">
        <f>IFERROR(VLOOKUP(B377,'Pre-Summary'!$AT$6:$AX$15,4,FALSE),"")</f>
        <v/>
      </c>
      <c r="F377">
        <f>IFERROR(VLOOKUP(B377,'Pre-Summary'!$AL$6:$AQ$13,6,FALSE),F376)</f>
        <v>5.9405263157894746E-2</v>
      </c>
      <c r="G377" t="str">
        <f>IFERROR(VLOOKUP(B377,'Pre-Summary'!$AE$6:$AJ$85,3,FALSE),"")</f>
        <v/>
      </c>
      <c r="H377" t="str">
        <f>IFERROR(VLOOKUP(B377,'Pre-Summary'!$AE$6:$AJ$85,4,FALSE),"")</f>
        <v/>
      </c>
      <c r="I377" t="str">
        <f>IFERROR(VLOOKUP(B377,'Pre-Summary'!$AE$6:$AJ$85,5,FALSE),"")</f>
        <v/>
      </c>
      <c r="J377" s="45" t="str">
        <f>IFERROR(VLOOKUP(B377,'Pre-Summary'!$AE$6:$AJ$85,6, FALSE),"")</f>
        <v/>
      </c>
      <c r="K377" s="45" t="str">
        <f>IFERROR(VLOOKUP(B377,'Pre-Summary'!$DE$6:$DG$61,3,FALSE),"")</f>
        <v/>
      </c>
      <c r="L377" s="45" t="str">
        <f>IFERROR(VLOOKUP(B377,'Pre-Summary'!$CU$6:$CW$36,3,FALSE),"")</f>
        <v/>
      </c>
      <c r="M377" s="45" t="str">
        <f>IFERROR(VLOOKUP(B377,'Pre-Summary'!$BW$6:$BY$58,2,FALSE),"")</f>
        <v/>
      </c>
      <c r="N377" s="45" t="str">
        <f>IFERROR(VLOOKUP(B377,'Pre-Summary'!$CD$6:$CF$64,2,FALSE),"")</f>
        <v/>
      </c>
      <c r="O377" s="99">
        <f>IFERROR(VLOOKUP(B377,'Pre-Summary'!$BO$6:$BQ$48,3, FALSE),O376)</f>
        <v>1.0915248032216731</v>
      </c>
      <c r="P377" s="99">
        <f>IFERROR(VLOOKUP(B377,'Pre-Summary'!$BS$6:$BU$35,3,FALSE),P376)</f>
        <v>0.25</v>
      </c>
      <c r="Q377" s="54">
        <f t="shared" si="15"/>
        <v>4.3660992128866924</v>
      </c>
      <c r="R377" s="53">
        <f>IFERROR(VLOOKUP(B377,'Pre-Summary'!$BG$6:$BM$44,7,FALSE),R378)</f>
        <v>2.7904161219319636E-2</v>
      </c>
      <c r="S377" s="53">
        <f>IFERROR(VLOOKUP(B377,'Pre-Summary'!$BG$6:$BM$44,6,FALSE),S378)</f>
        <v>3.3978715219895171E-2</v>
      </c>
      <c r="T377" s="45" t="str">
        <f>IFERROR(VLOOKUP(B377,'Pre-Summary'!$Y$6:$AC$83, 3,FALSE),"")</f>
        <v/>
      </c>
      <c r="U377" s="45" t="str">
        <f>IFERROR(VLOOKUP(B377,'Pre-Summary'!$Y$6:$AC$83, 4,FALSE),"")</f>
        <v/>
      </c>
      <c r="V377" t="str">
        <f>IFERROR(VLOOKUP(B377,'Pre-Summary'!$Y$6:$AC$83, 5,FALSE),"")</f>
        <v/>
      </c>
      <c r="W377" s="45" t="str">
        <f>IFERROR(VLOOKUP(B377,'Pre-Summary'!$Y$6:$AD$83,6,FALSE),"")</f>
        <v/>
      </c>
      <c r="X377" t="str">
        <f>IFERROR(VLOOKUP('Pre-Summary'!$DB$6:$DD$63,3,FALSE),"")</f>
        <v/>
      </c>
      <c r="Y377" t="str">
        <f>IFERROR(VLOOKUP(B377,'Pre-Summary'!$CR$6:$CT$36,3,FALSE),"")</f>
        <v/>
      </c>
      <c r="Z377" s="45" t="str">
        <f>IFERROR(VLOOKUP(B377,'Pre-Summary'!$BZ$6:$CB$63,2,FALSE),"")</f>
        <v/>
      </c>
      <c r="AA377" s="45" t="str">
        <f>IFERROR(VLOOKUP(B377,'Pre-Summary'!$CG$6:$CI$70,2,FALSE),"")</f>
        <v/>
      </c>
      <c r="AB377" s="99">
        <f>IFERROR(VLOOKUP(B377,'Pre-Summary'!$A$6:$P$178,9,FALSE),AB378)</f>
        <v>0.55228059519701667</v>
      </c>
      <c r="AC377" s="10">
        <f>IFERROR(VLOOKUP(Summary!B377,'Pre-Summary'!$A$6:$P$184,5, FALSE)/100,AC378)</f>
        <v>0.27094999999999997</v>
      </c>
      <c r="AD377" s="10">
        <f>IFERROR(VLOOKUP(Summary!B377,'Pre-Summary'!$A$6:$P$184,3, FALSE)/100,AD378)</f>
        <v>0.72263599999999995</v>
      </c>
      <c r="AE377" s="10">
        <f>IFERROR(VLOOKUP(Summary!B377,'Pre-Summary'!$A$6:$P$184,7, FALSE)/100,AE378)</f>
        <v>6.4139999999999996E-3</v>
      </c>
      <c r="AF377" s="99">
        <f t="shared" si="16"/>
        <v>0.39909784019079131</v>
      </c>
      <c r="AG377" s="99">
        <f t="shared" si="17"/>
        <v>3.5423277375936646E-3</v>
      </c>
      <c r="AH377" s="10" t="str">
        <f>IFERROR(VLOOKUP(B377,'Pre-Summary'!$AZ$6:$BE$65,3,FALSE),"")</f>
        <v/>
      </c>
      <c r="AI377" s="10" t="str">
        <f>IFERROR(VLOOKUP(B377,'Pre-Summary'!$AZ$6:$BE$65,5,FALSE),"")</f>
        <v/>
      </c>
      <c r="AJ377" s="10" t="str">
        <f>IFERROR(VLOOKUP(B377,'Pre-Summary'!$AZ$6:$BE$65,4,FALSE),"")</f>
        <v/>
      </c>
      <c r="AK377" s="10" t="str">
        <f>IFERROR(VLOOKUP(B377,'Pre-Summary'!$AZ$6:$BE$65,6,FALSE),"")</f>
        <v/>
      </c>
      <c r="AL377" s="10" t="str">
        <f>IFERROR(VLOOKUP(B377,'Pre-Summary'!$BG$6:$BL$44,3,FALSE),"")</f>
        <v/>
      </c>
      <c r="AM377" s="10" t="str">
        <f>IFERROR(VLOOKUP(B377,'Pre-Summary'!$BG$6:$BL$44,4,FALSE),"")</f>
        <v/>
      </c>
    </row>
    <row r="378" spans="2:39" ht="15" customHeight="1" x14ac:dyDescent="0.3">
      <c r="B378">
        <v>37.5</v>
      </c>
      <c r="C378" t="str">
        <f>IFERROR(VLOOKUP(B378,'Pre-Summary'!$DI$6:$DM$23,4,FALSE),"")</f>
        <v/>
      </c>
      <c r="D378" s="10" t="str">
        <f>IFERROR(VLOOKUP(B378,'Pre-Summary'!$AT$6:$AX$14,5,FALSE),D377)</f>
        <v>DSMZ v1.5: Using DSMZ 120 with NaHCO3</v>
      </c>
      <c r="E378" s="10" t="str">
        <f>IFERROR(VLOOKUP(B378,'Pre-Summary'!$AT$6:$AX$15,4,FALSE),"")</f>
        <v/>
      </c>
      <c r="F378">
        <f>IFERROR(VLOOKUP(B378,'Pre-Summary'!$AL$6:$AQ$13,6,FALSE),F377)</f>
        <v>5.9405263157894746E-2</v>
      </c>
      <c r="G378" t="str">
        <f>IFERROR(VLOOKUP(B378,'Pre-Summary'!$AE$6:$AJ$85,3,FALSE),"")</f>
        <v/>
      </c>
      <c r="H378" t="str">
        <f>IFERROR(VLOOKUP(B378,'Pre-Summary'!$AE$6:$AJ$85,4,FALSE),"")</f>
        <v/>
      </c>
      <c r="I378" t="str">
        <f>IFERROR(VLOOKUP(B378,'Pre-Summary'!$AE$6:$AJ$85,5,FALSE),"")</f>
        <v/>
      </c>
      <c r="J378" s="45" t="str">
        <f>IFERROR(VLOOKUP(B378,'Pre-Summary'!$AE$6:$AJ$85,6, FALSE),"")</f>
        <v/>
      </c>
      <c r="K378" s="45" t="str">
        <f>IFERROR(VLOOKUP(B378,'Pre-Summary'!$DE$6:$DG$61,3,FALSE),"")</f>
        <v/>
      </c>
      <c r="L378" s="45" t="str">
        <f>IFERROR(VLOOKUP(B378,'Pre-Summary'!$CU$6:$CW$36,3,FALSE),"")</f>
        <v/>
      </c>
      <c r="M378" s="45" t="str">
        <f>IFERROR(VLOOKUP(B378,'Pre-Summary'!$BW$6:$BY$58,2,FALSE),"")</f>
        <v/>
      </c>
      <c r="N378" s="45" t="str">
        <f>IFERROR(VLOOKUP(B378,'Pre-Summary'!$CD$6:$CF$64,2,FALSE),"")</f>
        <v/>
      </c>
      <c r="O378" s="99">
        <f>IFERROR(VLOOKUP(B378,'Pre-Summary'!$BO$6:$BQ$48,3, FALSE),O377)</f>
        <v>1.0915248032216731</v>
      </c>
      <c r="P378" s="99">
        <f>IFERROR(VLOOKUP(B378,'Pre-Summary'!$BS$6:$BU$35,3,FALSE),P377)</f>
        <v>0.25</v>
      </c>
      <c r="Q378" s="54">
        <f t="shared" si="15"/>
        <v>4.3660992128866924</v>
      </c>
      <c r="R378" s="53">
        <f>IFERROR(VLOOKUP(B378,'Pre-Summary'!$BG$6:$BM$44,7,FALSE),R379)</f>
        <v>2.7904161219319636E-2</v>
      </c>
      <c r="S378" s="53">
        <f>IFERROR(VLOOKUP(B378,'Pre-Summary'!$BG$6:$BM$44,6,FALSE),S379)</f>
        <v>3.3978715219895171E-2</v>
      </c>
      <c r="T378" s="45" t="str">
        <f>IFERROR(VLOOKUP(B378,'Pre-Summary'!$Y$6:$AC$83, 3,FALSE),"")</f>
        <v/>
      </c>
      <c r="U378" s="45" t="str">
        <f>IFERROR(VLOOKUP(B378,'Pre-Summary'!$Y$6:$AC$83, 4,FALSE),"")</f>
        <v/>
      </c>
      <c r="V378" t="str">
        <f>IFERROR(VLOOKUP(B378,'Pre-Summary'!$Y$6:$AC$83, 5,FALSE),"")</f>
        <v/>
      </c>
      <c r="W378" s="45" t="str">
        <f>IFERROR(VLOOKUP(B378,'Pre-Summary'!$Y$6:$AD$83,6,FALSE),"")</f>
        <v/>
      </c>
      <c r="X378" t="str">
        <f>IFERROR(VLOOKUP('Pre-Summary'!$DB$6:$DD$63,3,FALSE),"")</f>
        <v/>
      </c>
      <c r="Y378" t="str">
        <f>IFERROR(VLOOKUP(B378,'Pre-Summary'!$CR$6:$CT$36,3,FALSE),"")</f>
        <v/>
      </c>
      <c r="Z378" s="45" t="str">
        <f>IFERROR(VLOOKUP(B378,'Pre-Summary'!$BZ$6:$CB$63,2,FALSE),"")</f>
        <v/>
      </c>
      <c r="AA378" s="45" t="str">
        <f>IFERROR(VLOOKUP(B378,'Pre-Summary'!$CG$6:$CI$70,2,FALSE),"")</f>
        <v/>
      </c>
      <c r="AB378" s="99">
        <f>IFERROR(VLOOKUP(B378,'Pre-Summary'!$A$6:$P$178,9,FALSE),AB379)</f>
        <v>0.55228059519701667</v>
      </c>
      <c r="AC378" s="10">
        <f>IFERROR(VLOOKUP(Summary!B378,'Pre-Summary'!$A$6:$P$184,5, FALSE)/100,AC379)</f>
        <v>0.27094999999999997</v>
      </c>
      <c r="AD378" s="10">
        <f>IFERROR(VLOOKUP(Summary!B378,'Pre-Summary'!$A$6:$P$184,3, FALSE)/100,AD379)</f>
        <v>0.72263599999999995</v>
      </c>
      <c r="AE378" s="10">
        <f>IFERROR(VLOOKUP(Summary!B378,'Pre-Summary'!$A$6:$P$184,7, FALSE)/100,AE379)</f>
        <v>6.4139999999999996E-3</v>
      </c>
      <c r="AF378" s="99">
        <f t="shared" si="16"/>
        <v>0.39909784019079131</v>
      </c>
      <c r="AG378" s="99">
        <f t="shared" si="17"/>
        <v>3.5423277375936646E-3</v>
      </c>
      <c r="AH378" s="10" t="str">
        <f>IFERROR(VLOOKUP(B378,'Pre-Summary'!$AZ$6:$BE$65,3,FALSE),"")</f>
        <v/>
      </c>
      <c r="AI378" s="10" t="str">
        <f>IFERROR(VLOOKUP(B378,'Pre-Summary'!$AZ$6:$BE$65,5,FALSE),"")</f>
        <v/>
      </c>
      <c r="AJ378" s="10" t="str">
        <f>IFERROR(VLOOKUP(B378,'Pre-Summary'!$AZ$6:$BE$65,4,FALSE),"")</f>
        <v/>
      </c>
      <c r="AK378" s="10" t="str">
        <f>IFERROR(VLOOKUP(B378,'Pre-Summary'!$AZ$6:$BE$65,6,FALSE),"")</f>
        <v/>
      </c>
      <c r="AL378" s="10" t="str">
        <f>IFERROR(VLOOKUP(B378,'Pre-Summary'!$BG$6:$BL$44,3,FALSE),"")</f>
        <v/>
      </c>
      <c r="AM378" s="10" t="str">
        <f>IFERROR(VLOOKUP(B378,'Pre-Summary'!$BG$6:$BL$44,4,FALSE),"")</f>
        <v/>
      </c>
    </row>
    <row r="379" spans="2:39" ht="15" customHeight="1" x14ac:dyDescent="0.3">
      <c r="B379">
        <v>37.6</v>
      </c>
      <c r="C379" t="str">
        <f>IFERROR(VLOOKUP(B379,'Pre-Summary'!$DI$6:$DM$23,4,FALSE),"")</f>
        <v/>
      </c>
      <c r="D379" s="10" t="str">
        <f>IFERROR(VLOOKUP(B379,'Pre-Summary'!$AT$6:$AX$14,5,FALSE),D378)</f>
        <v>DSMZ v1.5: Using DSMZ 120 with NaHCO3</v>
      </c>
      <c r="E379" s="10" t="str">
        <f>IFERROR(VLOOKUP(B379,'Pre-Summary'!$AT$6:$AX$15,4,FALSE),"")</f>
        <v/>
      </c>
      <c r="F379">
        <f>IFERROR(VLOOKUP(B379,'Pre-Summary'!$AL$6:$AQ$13,6,FALSE),F378)</f>
        <v>5.9405263157894746E-2</v>
      </c>
      <c r="G379" t="str">
        <f>IFERROR(VLOOKUP(B379,'Pre-Summary'!$AE$6:$AJ$85,3,FALSE),"")</f>
        <v/>
      </c>
      <c r="H379" t="str">
        <f>IFERROR(VLOOKUP(B379,'Pre-Summary'!$AE$6:$AJ$85,4,FALSE),"")</f>
        <v/>
      </c>
      <c r="I379" t="str">
        <f>IFERROR(VLOOKUP(B379,'Pre-Summary'!$AE$6:$AJ$85,5,FALSE),"")</f>
        <v/>
      </c>
      <c r="J379" s="45" t="str">
        <f>IFERROR(VLOOKUP(B379,'Pre-Summary'!$AE$6:$AJ$85,6, FALSE),"")</f>
        <v/>
      </c>
      <c r="K379" s="45" t="str">
        <f>IFERROR(VLOOKUP(B379,'Pre-Summary'!$DE$6:$DG$61,3,FALSE),"")</f>
        <v/>
      </c>
      <c r="L379" s="45" t="str">
        <f>IFERROR(VLOOKUP(B379,'Pre-Summary'!$CU$6:$CW$36,3,FALSE),"")</f>
        <v/>
      </c>
      <c r="M379" s="45" t="str">
        <f>IFERROR(VLOOKUP(B379,'Pre-Summary'!$BW$6:$BY$58,2,FALSE),"")</f>
        <v/>
      </c>
      <c r="N379" s="45" t="str">
        <f>IFERROR(VLOOKUP(B379,'Pre-Summary'!$CD$6:$CF$64,2,FALSE),"")</f>
        <v/>
      </c>
      <c r="O379" s="99">
        <f>IFERROR(VLOOKUP(B379,'Pre-Summary'!$BO$6:$BQ$48,3, FALSE),O378)</f>
        <v>1.0915248032216731</v>
      </c>
      <c r="P379" s="99">
        <f>IFERROR(VLOOKUP(B379,'Pre-Summary'!$BS$6:$BU$35,3,FALSE),P378)</f>
        <v>0.25</v>
      </c>
      <c r="Q379" s="54">
        <f t="shared" si="15"/>
        <v>4.3660992128866924</v>
      </c>
      <c r="R379" s="53">
        <f>IFERROR(VLOOKUP(B379,'Pre-Summary'!$BG$6:$BM$44,7,FALSE),R380)</f>
        <v>2.7904161219319636E-2</v>
      </c>
      <c r="S379" s="53">
        <f>IFERROR(VLOOKUP(B379,'Pre-Summary'!$BG$6:$BM$44,6,FALSE),S380)</f>
        <v>3.3978715219895171E-2</v>
      </c>
      <c r="T379" s="45" t="str">
        <f>IFERROR(VLOOKUP(B379,'Pre-Summary'!$Y$6:$AC$83, 3,FALSE),"")</f>
        <v/>
      </c>
      <c r="U379" s="45" t="str">
        <f>IFERROR(VLOOKUP(B379,'Pre-Summary'!$Y$6:$AC$83, 4,FALSE),"")</f>
        <v/>
      </c>
      <c r="V379" t="str">
        <f>IFERROR(VLOOKUP(B379,'Pre-Summary'!$Y$6:$AC$83, 5,FALSE),"")</f>
        <v/>
      </c>
      <c r="W379" s="45" t="str">
        <f>IFERROR(VLOOKUP(B379,'Pre-Summary'!$Y$6:$AD$83,6,FALSE),"")</f>
        <v/>
      </c>
      <c r="X379" t="str">
        <f>IFERROR(VLOOKUP('Pre-Summary'!$DB$6:$DD$63,3,FALSE),"")</f>
        <v/>
      </c>
      <c r="Y379" t="str">
        <f>IFERROR(VLOOKUP(B379,'Pre-Summary'!$CR$6:$CT$36,3,FALSE),"")</f>
        <v/>
      </c>
      <c r="Z379" s="45" t="str">
        <f>IFERROR(VLOOKUP(B379,'Pre-Summary'!$BZ$6:$CB$63,2,FALSE),"")</f>
        <v/>
      </c>
      <c r="AA379" s="45" t="str">
        <f>IFERROR(VLOOKUP(B379,'Pre-Summary'!$CG$6:$CI$70,2,FALSE),"")</f>
        <v/>
      </c>
      <c r="AB379" s="99">
        <f>IFERROR(VLOOKUP(B379,'Pre-Summary'!$A$6:$P$178,9,FALSE),AB380)</f>
        <v>0.55228059519701667</v>
      </c>
      <c r="AC379" s="10">
        <f>IFERROR(VLOOKUP(Summary!B379,'Pre-Summary'!$A$6:$P$184,5, FALSE)/100,AC380)</f>
        <v>0.27094999999999997</v>
      </c>
      <c r="AD379" s="10">
        <f>IFERROR(VLOOKUP(Summary!B379,'Pre-Summary'!$A$6:$P$184,3, FALSE)/100,AD380)</f>
        <v>0.72263599999999995</v>
      </c>
      <c r="AE379" s="10">
        <f>IFERROR(VLOOKUP(Summary!B379,'Pre-Summary'!$A$6:$P$184,7, FALSE)/100,AE380)</f>
        <v>6.4139999999999996E-3</v>
      </c>
      <c r="AF379" s="99">
        <f t="shared" si="16"/>
        <v>0.39909784019079131</v>
      </c>
      <c r="AG379" s="99">
        <f t="shared" si="17"/>
        <v>3.5423277375936646E-3</v>
      </c>
      <c r="AH379" s="10" t="str">
        <f>IFERROR(VLOOKUP(B379,'Pre-Summary'!$AZ$6:$BE$65,3,FALSE),"")</f>
        <v/>
      </c>
      <c r="AI379" s="10" t="str">
        <f>IFERROR(VLOOKUP(B379,'Pre-Summary'!$AZ$6:$BE$65,5,FALSE),"")</f>
        <v/>
      </c>
      <c r="AJ379" s="10" t="str">
        <f>IFERROR(VLOOKUP(B379,'Pre-Summary'!$AZ$6:$BE$65,4,FALSE),"")</f>
        <v/>
      </c>
      <c r="AK379" s="10" t="str">
        <f>IFERROR(VLOOKUP(B379,'Pre-Summary'!$AZ$6:$BE$65,6,FALSE),"")</f>
        <v/>
      </c>
      <c r="AL379" s="10" t="str">
        <f>IFERROR(VLOOKUP(B379,'Pre-Summary'!$BG$6:$BL$44,3,FALSE),"")</f>
        <v/>
      </c>
      <c r="AM379" s="10" t="str">
        <f>IFERROR(VLOOKUP(B379,'Pre-Summary'!$BG$6:$BL$44,4,FALSE),"")</f>
        <v/>
      </c>
    </row>
    <row r="380" spans="2:39" ht="15" customHeight="1" x14ac:dyDescent="0.3">
      <c r="B380">
        <v>37.700000000000003</v>
      </c>
      <c r="C380" t="str">
        <f>IFERROR(VLOOKUP(B380,'Pre-Summary'!$DI$6:$DM$23,4,FALSE),"")</f>
        <v/>
      </c>
      <c r="D380" s="10" t="str">
        <f>IFERROR(VLOOKUP(B380,'Pre-Summary'!$AT$6:$AX$14,5,FALSE),D379)</f>
        <v>DSMZ v1.5: Using DSMZ 120 with NaHCO3</v>
      </c>
      <c r="E380" s="10" t="str">
        <f>IFERROR(VLOOKUP(B380,'Pre-Summary'!$AT$6:$AX$15,4,FALSE),"")</f>
        <v/>
      </c>
      <c r="F380">
        <f>IFERROR(VLOOKUP(B380,'Pre-Summary'!$AL$6:$AQ$13,6,FALSE),F379)</f>
        <v>5.9405263157894746E-2</v>
      </c>
      <c r="G380" t="str">
        <f>IFERROR(VLOOKUP(B380,'Pre-Summary'!$AE$6:$AJ$85,3,FALSE),"")</f>
        <v/>
      </c>
      <c r="H380" t="str">
        <f>IFERROR(VLOOKUP(B380,'Pre-Summary'!$AE$6:$AJ$85,4,FALSE),"")</f>
        <v/>
      </c>
      <c r="I380" t="str">
        <f>IFERROR(VLOOKUP(B380,'Pre-Summary'!$AE$6:$AJ$85,5,FALSE),"")</f>
        <v/>
      </c>
      <c r="J380" s="45" t="str">
        <f>IFERROR(VLOOKUP(B380,'Pre-Summary'!$AE$6:$AJ$85,6, FALSE),"")</f>
        <v/>
      </c>
      <c r="K380" s="45" t="str">
        <f>IFERROR(VLOOKUP(B380,'Pre-Summary'!$DE$6:$DG$61,3,FALSE),"")</f>
        <v/>
      </c>
      <c r="L380" s="45" t="str">
        <f>IFERROR(VLOOKUP(B380,'Pre-Summary'!$CU$6:$CW$36,3,FALSE),"")</f>
        <v/>
      </c>
      <c r="M380" s="45" t="str">
        <f>IFERROR(VLOOKUP(B380,'Pre-Summary'!$BW$6:$BY$58,2,FALSE),"")</f>
        <v/>
      </c>
      <c r="N380" s="45" t="str">
        <f>IFERROR(VLOOKUP(B380,'Pre-Summary'!$CD$6:$CF$64,2,FALSE),"")</f>
        <v/>
      </c>
      <c r="O380" s="99">
        <f>IFERROR(VLOOKUP(B380,'Pre-Summary'!$BO$6:$BQ$48,3, FALSE),O379)</f>
        <v>1.0915248032216731</v>
      </c>
      <c r="P380" s="99">
        <f>IFERROR(VLOOKUP(B380,'Pre-Summary'!$BS$6:$BU$35,3,FALSE),P379)</f>
        <v>0.25</v>
      </c>
      <c r="Q380" s="54">
        <f t="shared" si="15"/>
        <v>4.3660992128866924</v>
      </c>
      <c r="R380" s="53">
        <f>IFERROR(VLOOKUP(B380,'Pre-Summary'!$BG$6:$BM$44,7,FALSE),R381)</f>
        <v>2.7904161219319636E-2</v>
      </c>
      <c r="S380" s="53">
        <f>IFERROR(VLOOKUP(B380,'Pre-Summary'!$BG$6:$BM$44,6,FALSE),S381)</f>
        <v>3.3978715219895171E-2</v>
      </c>
      <c r="T380" s="45" t="str">
        <f>IFERROR(VLOOKUP(B380,'Pre-Summary'!$Y$6:$AC$83, 3,FALSE),"")</f>
        <v/>
      </c>
      <c r="U380" s="45" t="str">
        <f>IFERROR(VLOOKUP(B380,'Pre-Summary'!$Y$6:$AC$83, 4,FALSE),"")</f>
        <v/>
      </c>
      <c r="V380" t="str">
        <f>IFERROR(VLOOKUP(B380,'Pre-Summary'!$Y$6:$AC$83, 5,FALSE),"")</f>
        <v/>
      </c>
      <c r="W380" s="45" t="str">
        <f>IFERROR(VLOOKUP(B380,'Pre-Summary'!$Y$6:$AD$83,6,FALSE),"")</f>
        <v/>
      </c>
      <c r="X380" t="str">
        <f>IFERROR(VLOOKUP('Pre-Summary'!$DB$6:$DD$63,3,FALSE),"")</f>
        <v/>
      </c>
      <c r="Y380" t="str">
        <f>IFERROR(VLOOKUP(B380,'Pre-Summary'!$CR$6:$CT$36,3,FALSE),"")</f>
        <v/>
      </c>
      <c r="Z380" s="45" t="str">
        <f>IFERROR(VLOOKUP(B380,'Pre-Summary'!$BZ$6:$CB$63,2,FALSE),"")</f>
        <v/>
      </c>
      <c r="AA380" s="45" t="str">
        <f>IFERROR(VLOOKUP(B380,'Pre-Summary'!$CG$6:$CI$70,2,FALSE),"")</f>
        <v/>
      </c>
      <c r="AB380" s="99">
        <f>IFERROR(VLOOKUP(B380,'Pre-Summary'!$A$6:$P$178,9,FALSE),AB381)</f>
        <v>0.55228059519701667</v>
      </c>
      <c r="AC380" s="10">
        <f>IFERROR(VLOOKUP(Summary!B380,'Pre-Summary'!$A$6:$P$184,5, FALSE)/100,AC381)</f>
        <v>0.27094999999999997</v>
      </c>
      <c r="AD380" s="10">
        <f>IFERROR(VLOOKUP(Summary!B380,'Pre-Summary'!$A$6:$P$184,3, FALSE)/100,AD381)</f>
        <v>0.72263599999999995</v>
      </c>
      <c r="AE380" s="10">
        <f>IFERROR(VLOOKUP(Summary!B380,'Pre-Summary'!$A$6:$P$184,7, FALSE)/100,AE381)</f>
        <v>6.4139999999999996E-3</v>
      </c>
      <c r="AF380" s="99">
        <f t="shared" si="16"/>
        <v>0.39909784019079131</v>
      </c>
      <c r="AG380" s="99">
        <f t="shared" si="17"/>
        <v>3.5423277375936646E-3</v>
      </c>
      <c r="AH380" s="10" t="str">
        <f>IFERROR(VLOOKUP(B380,'Pre-Summary'!$AZ$6:$BE$65,3,FALSE),"")</f>
        <v/>
      </c>
      <c r="AI380" s="10" t="str">
        <f>IFERROR(VLOOKUP(B380,'Pre-Summary'!$AZ$6:$BE$65,5,FALSE),"")</f>
        <v/>
      </c>
      <c r="AJ380" s="10" t="str">
        <f>IFERROR(VLOOKUP(B380,'Pre-Summary'!$AZ$6:$BE$65,4,FALSE),"")</f>
        <v/>
      </c>
      <c r="AK380" s="10" t="str">
        <f>IFERROR(VLOOKUP(B380,'Pre-Summary'!$AZ$6:$BE$65,6,FALSE),"")</f>
        <v/>
      </c>
      <c r="AL380" s="10" t="str">
        <f>IFERROR(VLOOKUP(B380,'Pre-Summary'!$BG$6:$BL$44,3,FALSE),"")</f>
        <v/>
      </c>
      <c r="AM380" s="10" t="str">
        <f>IFERROR(VLOOKUP(B380,'Pre-Summary'!$BG$6:$BL$44,4,FALSE),"")</f>
        <v/>
      </c>
    </row>
    <row r="381" spans="2:39" ht="15" customHeight="1" x14ac:dyDescent="0.3">
      <c r="B381">
        <v>37.799999999999997</v>
      </c>
      <c r="C381" t="str">
        <f>IFERROR(VLOOKUP(B381,'Pre-Summary'!$DI$6:$DM$23,4,FALSE),"")</f>
        <v/>
      </c>
      <c r="D381" s="10" t="str">
        <f>IFERROR(VLOOKUP(B381,'Pre-Summary'!$AT$6:$AX$14,5,FALSE),D380)</f>
        <v>DSMZ v1.5: Using DSMZ 120 with NaHCO3</v>
      </c>
      <c r="E381" s="10" t="str">
        <f>IFERROR(VLOOKUP(B381,'Pre-Summary'!$AT$6:$AX$15,4,FALSE),"")</f>
        <v/>
      </c>
      <c r="F381">
        <f>IFERROR(VLOOKUP(B381,'Pre-Summary'!$AL$6:$AQ$13,6,FALSE),F380)</f>
        <v>5.9405263157894746E-2</v>
      </c>
      <c r="G381" t="str">
        <f>IFERROR(VLOOKUP(B381,'Pre-Summary'!$AE$6:$AJ$85,3,FALSE),"")</f>
        <v/>
      </c>
      <c r="H381" t="str">
        <f>IFERROR(VLOOKUP(B381,'Pre-Summary'!$AE$6:$AJ$85,4,FALSE),"")</f>
        <v/>
      </c>
      <c r="I381" t="str">
        <f>IFERROR(VLOOKUP(B381,'Pre-Summary'!$AE$6:$AJ$85,5,FALSE),"")</f>
        <v/>
      </c>
      <c r="J381" s="45" t="str">
        <f>IFERROR(VLOOKUP(B381,'Pre-Summary'!$AE$6:$AJ$85,6, FALSE),"")</f>
        <v/>
      </c>
      <c r="K381" s="45" t="str">
        <f>IFERROR(VLOOKUP(B381,'Pre-Summary'!$DE$6:$DG$61,3,FALSE),"")</f>
        <v/>
      </c>
      <c r="L381" s="45" t="str">
        <f>IFERROR(VLOOKUP(B381,'Pre-Summary'!$CU$6:$CW$36,3,FALSE),"")</f>
        <v/>
      </c>
      <c r="M381" s="45" t="str">
        <f>IFERROR(VLOOKUP(B381,'Pre-Summary'!$BW$6:$BY$58,2,FALSE),"")</f>
        <v/>
      </c>
      <c r="N381" s="45" t="str">
        <f>IFERROR(VLOOKUP(B381,'Pre-Summary'!$CD$6:$CF$64,2,FALSE),"")</f>
        <v/>
      </c>
      <c r="O381" s="99">
        <f>IFERROR(VLOOKUP(B381,'Pre-Summary'!$BO$6:$BQ$48,3, FALSE),O380)</f>
        <v>1.0915248032216731</v>
      </c>
      <c r="P381" s="99">
        <f>IFERROR(VLOOKUP(B381,'Pre-Summary'!$BS$6:$BU$35,3,FALSE),P380)</f>
        <v>0.25</v>
      </c>
      <c r="Q381" s="54">
        <f t="shared" si="15"/>
        <v>4.3660992128866924</v>
      </c>
      <c r="R381" s="53">
        <f>IFERROR(VLOOKUP(B381,'Pre-Summary'!$BG$6:$BM$44,7,FALSE),R382)</f>
        <v>2.7904161219319636E-2</v>
      </c>
      <c r="S381" s="53">
        <f>IFERROR(VLOOKUP(B381,'Pre-Summary'!$BG$6:$BM$44,6,FALSE),S382)</f>
        <v>3.3978715219895171E-2</v>
      </c>
      <c r="T381" s="45" t="str">
        <f>IFERROR(VLOOKUP(B381,'Pre-Summary'!$Y$6:$AC$83, 3,FALSE),"")</f>
        <v/>
      </c>
      <c r="U381" s="45" t="str">
        <f>IFERROR(VLOOKUP(B381,'Pre-Summary'!$Y$6:$AC$83, 4,FALSE),"")</f>
        <v/>
      </c>
      <c r="V381" t="str">
        <f>IFERROR(VLOOKUP(B381,'Pre-Summary'!$Y$6:$AC$83, 5,FALSE),"")</f>
        <v/>
      </c>
      <c r="W381" s="45" t="str">
        <f>IFERROR(VLOOKUP(B381,'Pre-Summary'!$Y$6:$AD$83,6,FALSE),"")</f>
        <v/>
      </c>
      <c r="X381" t="str">
        <f>IFERROR(VLOOKUP('Pre-Summary'!$DB$6:$DD$63,3,FALSE),"")</f>
        <v/>
      </c>
      <c r="Y381" t="str">
        <f>IFERROR(VLOOKUP(B381,'Pre-Summary'!$CR$6:$CT$36,3,FALSE),"")</f>
        <v/>
      </c>
      <c r="Z381" s="45" t="str">
        <f>IFERROR(VLOOKUP(B381,'Pre-Summary'!$BZ$6:$CB$63,2,FALSE),"")</f>
        <v/>
      </c>
      <c r="AA381" s="45" t="str">
        <f>IFERROR(VLOOKUP(B381,'Pre-Summary'!$CG$6:$CI$70,2,FALSE),"")</f>
        <v/>
      </c>
      <c r="AB381" s="99">
        <f>IFERROR(VLOOKUP(B381,'Pre-Summary'!$A$6:$P$178,9,FALSE),AB382)</f>
        <v>0.55228059519701667</v>
      </c>
      <c r="AC381" s="10">
        <f>IFERROR(VLOOKUP(Summary!B381,'Pre-Summary'!$A$6:$P$184,5, FALSE)/100,AC382)</f>
        <v>0.27094999999999997</v>
      </c>
      <c r="AD381" s="10">
        <f>IFERROR(VLOOKUP(Summary!B381,'Pre-Summary'!$A$6:$P$184,3, FALSE)/100,AD382)</f>
        <v>0.72263599999999995</v>
      </c>
      <c r="AE381" s="10">
        <f>IFERROR(VLOOKUP(Summary!B381,'Pre-Summary'!$A$6:$P$184,7, FALSE)/100,AE382)</f>
        <v>6.4139999999999996E-3</v>
      </c>
      <c r="AF381" s="99">
        <f t="shared" si="16"/>
        <v>0.39909784019079131</v>
      </c>
      <c r="AG381" s="99">
        <f t="shared" si="17"/>
        <v>3.5423277375936646E-3</v>
      </c>
      <c r="AH381" s="10" t="str">
        <f>IFERROR(VLOOKUP(B381,'Pre-Summary'!$AZ$6:$BE$65,3,FALSE),"")</f>
        <v/>
      </c>
      <c r="AI381" s="10" t="str">
        <f>IFERROR(VLOOKUP(B381,'Pre-Summary'!$AZ$6:$BE$65,5,FALSE),"")</f>
        <v/>
      </c>
      <c r="AJ381" s="10" t="str">
        <f>IFERROR(VLOOKUP(B381,'Pre-Summary'!$AZ$6:$BE$65,4,FALSE),"")</f>
        <v/>
      </c>
      <c r="AK381" s="10" t="str">
        <f>IFERROR(VLOOKUP(B381,'Pre-Summary'!$AZ$6:$BE$65,6,FALSE),"")</f>
        <v/>
      </c>
      <c r="AL381" s="10" t="str">
        <f>IFERROR(VLOOKUP(B381,'Pre-Summary'!$BG$6:$BL$44,3,FALSE),"")</f>
        <v/>
      </c>
      <c r="AM381" s="10" t="str">
        <f>IFERROR(VLOOKUP(B381,'Pre-Summary'!$BG$6:$BL$44,4,FALSE),"")</f>
        <v/>
      </c>
    </row>
    <row r="382" spans="2:39" ht="15" customHeight="1" x14ac:dyDescent="0.3">
      <c r="B382">
        <v>37.9</v>
      </c>
      <c r="C382" t="str">
        <f>IFERROR(VLOOKUP(B382,'Pre-Summary'!$DI$6:$DM$23,4,FALSE),"")</f>
        <v/>
      </c>
      <c r="D382" s="10" t="str">
        <f>IFERROR(VLOOKUP(B382,'Pre-Summary'!$AT$6:$AX$14,5,FALSE),D381)</f>
        <v>DSMZ v1.5: Using DSMZ 120 with NaHCO3</v>
      </c>
      <c r="E382" s="10" t="str">
        <f>IFERROR(VLOOKUP(B382,'Pre-Summary'!$AT$6:$AX$15,4,FALSE),"")</f>
        <v/>
      </c>
      <c r="F382">
        <f>IFERROR(VLOOKUP(B382,'Pre-Summary'!$AL$6:$AQ$13,6,FALSE),F381)</f>
        <v>5.9405263157894746E-2</v>
      </c>
      <c r="G382" t="str">
        <f>IFERROR(VLOOKUP(B382,'Pre-Summary'!$AE$6:$AJ$85,3,FALSE),"")</f>
        <v/>
      </c>
      <c r="H382" t="str">
        <f>IFERROR(VLOOKUP(B382,'Pre-Summary'!$AE$6:$AJ$85,4,FALSE),"")</f>
        <v/>
      </c>
      <c r="I382" t="str">
        <f>IFERROR(VLOOKUP(B382,'Pre-Summary'!$AE$6:$AJ$85,5,FALSE),"")</f>
        <v/>
      </c>
      <c r="J382" s="45" t="str">
        <f>IFERROR(VLOOKUP(B382,'Pre-Summary'!$AE$6:$AJ$85,6, FALSE),"")</f>
        <v/>
      </c>
      <c r="K382" s="45" t="str">
        <f>IFERROR(VLOOKUP(B382,'Pre-Summary'!$DE$6:$DG$61,3,FALSE),"")</f>
        <v/>
      </c>
      <c r="L382" s="45" t="str">
        <f>IFERROR(VLOOKUP(B382,'Pre-Summary'!$CU$6:$CW$36,3,FALSE),"")</f>
        <v/>
      </c>
      <c r="M382" s="45" t="str">
        <f>IFERROR(VLOOKUP(B382,'Pre-Summary'!$BW$6:$BY$58,2,FALSE),"")</f>
        <v/>
      </c>
      <c r="N382" s="45" t="str">
        <f>IFERROR(VLOOKUP(B382,'Pre-Summary'!$CD$6:$CF$64,2,FALSE),"")</f>
        <v/>
      </c>
      <c r="O382" s="99">
        <f>IFERROR(VLOOKUP(B382,'Pre-Summary'!$BO$6:$BQ$48,3, FALSE),O381)</f>
        <v>1.0915248032216731</v>
      </c>
      <c r="P382" s="99">
        <f>IFERROR(VLOOKUP(B382,'Pre-Summary'!$BS$6:$BU$35,3,FALSE),P381)</f>
        <v>0.25</v>
      </c>
      <c r="Q382" s="54">
        <f t="shared" si="15"/>
        <v>4.3660992128866924</v>
      </c>
      <c r="R382" s="53">
        <f>IFERROR(VLOOKUP(B382,'Pre-Summary'!$BG$6:$BM$44,7,FALSE),R383)</f>
        <v>2.7904161219319636E-2</v>
      </c>
      <c r="S382" s="53">
        <f>IFERROR(VLOOKUP(B382,'Pre-Summary'!$BG$6:$BM$44,6,FALSE),S383)</f>
        <v>3.3978715219895171E-2</v>
      </c>
      <c r="T382" s="45" t="str">
        <f>IFERROR(VLOOKUP(B382,'Pre-Summary'!$Y$6:$AC$83, 3,FALSE),"")</f>
        <v/>
      </c>
      <c r="U382" s="45" t="str">
        <f>IFERROR(VLOOKUP(B382,'Pre-Summary'!$Y$6:$AC$83, 4,FALSE),"")</f>
        <v/>
      </c>
      <c r="V382" t="str">
        <f>IFERROR(VLOOKUP(B382,'Pre-Summary'!$Y$6:$AC$83, 5,FALSE),"")</f>
        <v/>
      </c>
      <c r="W382" s="45" t="str">
        <f>IFERROR(VLOOKUP(B382,'Pre-Summary'!$Y$6:$AD$83,6,FALSE),"")</f>
        <v/>
      </c>
      <c r="X382" t="str">
        <f>IFERROR(VLOOKUP('Pre-Summary'!$DB$6:$DD$63,3,FALSE),"")</f>
        <v/>
      </c>
      <c r="Y382" t="str">
        <f>IFERROR(VLOOKUP(B382,'Pre-Summary'!$CR$6:$CT$36,3,FALSE),"")</f>
        <v/>
      </c>
      <c r="Z382" s="45" t="str">
        <f>IFERROR(VLOOKUP(B382,'Pre-Summary'!$BZ$6:$CB$63,2,FALSE),"")</f>
        <v/>
      </c>
      <c r="AA382" s="45" t="str">
        <f>IFERROR(VLOOKUP(B382,'Pre-Summary'!$CG$6:$CI$70,2,FALSE),"")</f>
        <v/>
      </c>
      <c r="AB382" s="99">
        <f>IFERROR(VLOOKUP(B382,'Pre-Summary'!$A$6:$P$178,9,FALSE),AB383)</f>
        <v>0.55228059519701667</v>
      </c>
      <c r="AC382" s="10">
        <f>IFERROR(VLOOKUP(Summary!B382,'Pre-Summary'!$A$6:$P$184,5, FALSE)/100,AC383)</f>
        <v>0.27094999999999997</v>
      </c>
      <c r="AD382" s="10">
        <f>IFERROR(VLOOKUP(Summary!B382,'Pre-Summary'!$A$6:$P$184,3, FALSE)/100,AD383)</f>
        <v>0.72263599999999995</v>
      </c>
      <c r="AE382" s="10">
        <f>IFERROR(VLOOKUP(Summary!B382,'Pre-Summary'!$A$6:$P$184,7, FALSE)/100,AE383)</f>
        <v>6.4139999999999996E-3</v>
      </c>
      <c r="AF382" s="99">
        <f t="shared" si="16"/>
        <v>0.39909784019079131</v>
      </c>
      <c r="AG382" s="99">
        <f t="shared" si="17"/>
        <v>3.5423277375936646E-3</v>
      </c>
      <c r="AH382" s="10" t="str">
        <f>IFERROR(VLOOKUP(B382,'Pre-Summary'!$AZ$6:$BE$65,3,FALSE),"")</f>
        <v/>
      </c>
      <c r="AI382" s="10" t="str">
        <f>IFERROR(VLOOKUP(B382,'Pre-Summary'!$AZ$6:$BE$65,5,FALSE),"")</f>
        <v/>
      </c>
      <c r="AJ382" s="10" t="str">
        <f>IFERROR(VLOOKUP(B382,'Pre-Summary'!$AZ$6:$BE$65,4,FALSE),"")</f>
        <v/>
      </c>
      <c r="AK382" s="10" t="str">
        <f>IFERROR(VLOOKUP(B382,'Pre-Summary'!$AZ$6:$BE$65,6,FALSE),"")</f>
        <v/>
      </c>
      <c r="AL382" s="10" t="str">
        <f>IFERROR(VLOOKUP(B382,'Pre-Summary'!$BG$6:$BL$44,3,FALSE),"")</f>
        <v/>
      </c>
      <c r="AM382" s="10" t="str">
        <f>IFERROR(VLOOKUP(B382,'Pre-Summary'!$BG$6:$BL$44,4,FALSE),"")</f>
        <v/>
      </c>
    </row>
    <row r="383" spans="2:39" ht="15" customHeight="1" x14ac:dyDescent="0.3">
      <c r="B383">
        <v>38</v>
      </c>
      <c r="C383" t="str">
        <f>IFERROR(VLOOKUP(B383,'Pre-Summary'!$DI$6:$DM$23,4,FALSE),"")</f>
        <v/>
      </c>
      <c r="D383" s="10" t="str">
        <f>IFERROR(VLOOKUP(B383,'Pre-Summary'!$AT$6:$AX$14,5,FALSE),D382)</f>
        <v>DSMZ v1.5: Using DSMZ 120 with NaHCO3</v>
      </c>
      <c r="E383" s="10" t="str">
        <f>IFERROR(VLOOKUP(B383,'Pre-Summary'!$AT$6:$AX$15,4,FALSE),"")</f>
        <v/>
      </c>
      <c r="F383">
        <f>IFERROR(VLOOKUP(B383,'Pre-Summary'!$AL$6:$AQ$13,6,FALSE),F382)</f>
        <v>5.9405263157894746E-2</v>
      </c>
      <c r="G383" t="str">
        <f>IFERROR(VLOOKUP(B383,'Pre-Summary'!$AE$6:$AJ$85,3,FALSE),"")</f>
        <v/>
      </c>
      <c r="H383" t="str">
        <f>IFERROR(VLOOKUP(B383,'Pre-Summary'!$AE$6:$AJ$85,4,FALSE),"")</f>
        <v/>
      </c>
      <c r="I383" t="str">
        <f>IFERROR(VLOOKUP(B383,'Pre-Summary'!$AE$6:$AJ$85,5,FALSE),"")</f>
        <v/>
      </c>
      <c r="J383" s="45" t="str">
        <f>IFERROR(VLOOKUP(B383,'Pre-Summary'!$AE$6:$AJ$85,6, FALSE),"")</f>
        <v/>
      </c>
      <c r="K383" s="45">
        <f>IFERROR(VLOOKUP(B383,'Pre-Summary'!$DE$6:$DG$61,3,FALSE),"")</f>
        <v>17545.426063635256</v>
      </c>
      <c r="L383" s="45" t="str">
        <f>IFERROR(VLOOKUP(B383,'Pre-Summary'!$CU$6:$CW$36,3,FALSE),"")</f>
        <v/>
      </c>
      <c r="M383" s="45" t="str">
        <f>IFERROR(VLOOKUP(B383,'Pre-Summary'!$BW$6:$BY$58,2,FALSE),"")</f>
        <v/>
      </c>
      <c r="N383" s="45" t="str">
        <f>IFERROR(VLOOKUP(B383,'Pre-Summary'!$CD$6:$CF$64,2,FALSE),"")</f>
        <v/>
      </c>
      <c r="O383" s="99">
        <f>IFERROR(VLOOKUP(B383,'Pre-Summary'!$BO$6:$BQ$48,3, FALSE),O382)</f>
        <v>1.0915248032216731</v>
      </c>
      <c r="P383" s="99">
        <f>IFERROR(VLOOKUP(B383,'Pre-Summary'!$BS$6:$BU$35,3,FALSE),P382)</f>
        <v>0.25</v>
      </c>
      <c r="Q383" s="54">
        <f t="shared" si="15"/>
        <v>4.3660992128866924</v>
      </c>
      <c r="R383" s="53">
        <f>IFERROR(VLOOKUP(B383,'Pre-Summary'!$BG$6:$BM$44,7,FALSE),R384)</f>
        <v>2.7904161219319636E-2</v>
      </c>
      <c r="S383" s="53">
        <f>IFERROR(VLOOKUP(B383,'Pre-Summary'!$BG$6:$BM$44,6,FALSE),S384)</f>
        <v>3.3978715219895171E-2</v>
      </c>
      <c r="T383" s="45" t="str">
        <f>IFERROR(VLOOKUP(B383,'Pre-Summary'!$Y$6:$AC$83, 3,FALSE),"")</f>
        <v/>
      </c>
      <c r="U383" s="45" t="str">
        <f>IFERROR(VLOOKUP(B383,'Pre-Summary'!$Y$6:$AC$83, 4,FALSE),"")</f>
        <v/>
      </c>
      <c r="V383" t="str">
        <f>IFERROR(VLOOKUP(B383,'Pre-Summary'!$Y$6:$AC$83, 5,FALSE),"")</f>
        <v/>
      </c>
      <c r="W383" s="45" t="str">
        <f>IFERROR(VLOOKUP(B383,'Pre-Summary'!$Y$6:$AD$83,6,FALSE),"")</f>
        <v/>
      </c>
      <c r="X383" t="str">
        <f>IFERROR(VLOOKUP('Pre-Summary'!$DB$6:$DD$63,3,FALSE),"")</f>
        <v/>
      </c>
      <c r="Y383" t="str">
        <f>IFERROR(VLOOKUP(B383,'Pre-Summary'!$CR$6:$CT$36,3,FALSE),"")</f>
        <v/>
      </c>
      <c r="Z383" s="45" t="str">
        <f>IFERROR(VLOOKUP(B383,'Pre-Summary'!$BZ$6:$CB$63,2,FALSE),"")</f>
        <v/>
      </c>
      <c r="AA383" s="45" t="str">
        <f>IFERROR(VLOOKUP(B383,'Pre-Summary'!$CG$6:$CI$70,2,FALSE),"")</f>
        <v/>
      </c>
      <c r="AB383" s="99">
        <f>IFERROR(VLOOKUP(B383,'Pre-Summary'!$A$6:$P$178,9,FALSE),AB384)</f>
        <v>0.56106418808084624</v>
      </c>
      <c r="AC383" s="10">
        <f>IFERROR(VLOOKUP(Summary!B383,'Pre-Summary'!$A$6:$P$184,5, FALSE)/100,AC384)</f>
        <v>0.82638299999999998</v>
      </c>
      <c r="AD383" s="10">
        <f>IFERROR(VLOOKUP(Summary!B383,'Pre-Summary'!$A$6:$P$184,3, FALSE)/100,AD384)</f>
        <v>0.10673033333333334</v>
      </c>
      <c r="AE383" s="10">
        <f>IFERROR(VLOOKUP(Summary!B383,'Pre-Summary'!$A$6:$P$184,7, FALSE)/100,AE384)</f>
        <v>6.6886666666666664E-2</v>
      </c>
      <c r="AF383" s="99">
        <f t="shared" si="16"/>
        <v>5.9882567815264749E-2</v>
      </c>
      <c r="AG383" s="99">
        <f t="shared" si="17"/>
        <v>3.7527713326767534E-2</v>
      </c>
      <c r="AH383" s="10" t="str">
        <f>IFERROR(VLOOKUP(B383,'Pre-Summary'!$AZ$6:$BE$65,3,FALSE),"")</f>
        <v/>
      </c>
      <c r="AI383" s="10" t="str">
        <f>IFERROR(VLOOKUP(B383,'Pre-Summary'!$AZ$6:$BE$65,5,FALSE),"")</f>
        <v/>
      </c>
      <c r="AJ383" s="10" t="str">
        <f>IFERROR(VLOOKUP(B383,'Pre-Summary'!$AZ$6:$BE$65,4,FALSE),"")</f>
        <v/>
      </c>
      <c r="AK383" s="10" t="str">
        <f>IFERROR(VLOOKUP(B383,'Pre-Summary'!$AZ$6:$BE$65,6,FALSE),"")</f>
        <v/>
      </c>
      <c r="AL383" s="10" t="str">
        <f>IFERROR(VLOOKUP(B383,'Pre-Summary'!$BG$6:$BL$44,3,FALSE),"")</f>
        <v/>
      </c>
      <c r="AM383" s="10" t="str">
        <f>IFERROR(VLOOKUP(B383,'Pre-Summary'!$BG$6:$BL$44,4,FALSE),"")</f>
        <v/>
      </c>
    </row>
    <row r="384" spans="2:39" ht="15" customHeight="1" x14ac:dyDescent="0.3">
      <c r="B384">
        <v>38.1</v>
      </c>
      <c r="C384" t="str">
        <f>IFERROR(VLOOKUP(B384,'Pre-Summary'!$DI$6:$DM$23,4,FALSE),"")</f>
        <v/>
      </c>
      <c r="D384" s="10" t="str">
        <f>IFERROR(VLOOKUP(B384,'Pre-Summary'!$AT$6:$AX$14,5,FALSE),D383)</f>
        <v>DSMZ v1.5: Using DSMZ 120 with NaHCO3</v>
      </c>
      <c r="E384" s="10" t="str">
        <f>IFERROR(VLOOKUP(B384,'Pre-Summary'!$AT$6:$AX$15,4,FALSE),"")</f>
        <v/>
      </c>
      <c r="F384">
        <f>IFERROR(VLOOKUP(B384,'Pre-Summary'!$AL$6:$AQ$13,6,FALSE),F383)</f>
        <v>5.9405263157894746E-2</v>
      </c>
      <c r="G384" t="str">
        <f>IFERROR(VLOOKUP(B384,'Pre-Summary'!$AE$6:$AJ$85,3,FALSE),"")</f>
        <v/>
      </c>
      <c r="H384" t="str">
        <f>IFERROR(VLOOKUP(B384,'Pre-Summary'!$AE$6:$AJ$85,4,FALSE),"")</f>
        <v/>
      </c>
      <c r="I384" t="str">
        <f>IFERROR(VLOOKUP(B384,'Pre-Summary'!$AE$6:$AJ$85,5,FALSE),"")</f>
        <v/>
      </c>
      <c r="J384" s="45" t="str">
        <f>IFERROR(VLOOKUP(B384,'Pre-Summary'!$AE$6:$AJ$85,6, FALSE),"")</f>
        <v/>
      </c>
      <c r="K384" s="45" t="str">
        <f>IFERROR(VLOOKUP(B384,'Pre-Summary'!$DE$6:$DG$61,3,FALSE),"")</f>
        <v/>
      </c>
      <c r="L384" s="45" t="str">
        <f>IFERROR(VLOOKUP(B384,'Pre-Summary'!$CU$6:$CW$36,3,FALSE),"")</f>
        <v/>
      </c>
      <c r="M384" s="45" t="str">
        <f>IFERROR(VLOOKUP(B384,'Pre-Summary'!$BW$6:$BY$58,2,FALSE),"")</f>
        <v/>
      </c>
      <c r="N384" s="45" t="str">
        <f>IFERROR(VLOOKUP(B384,'Pre-Summary'!$CD$6:$CF$64,2,FALSE),"")</f>
        <v/>
      </c>
      <c r="O384" s="99">
        <f>IFERROR(VLOOKUP(B384,'Pre-Summary'!$BO$6:$BQ$48,3, FALSE),O383)</f>
        <v>1.0915248032216731</v>
      </c>
      <c r="P384" s="99">
        <f>IFERROR(VLOOKUP(B384,'Pre-Summary'!$BS$6:$BU$35,3,FALSE),P383)</f>
        <v>0.25</v>
      </c>
      <c r="Q384" s="54">
        <f t="shared" si="15"/>
        <v>4.3660992128866924</v>
      </c>
      <c r="R384" s="53">
        <f>IFERROR(VLOOKUP(B384,'Pre-Summary'!$BG$6:$BM$44,7,FALSE),R385)</f>
        <v>2.7904161219319636E-2</v>
      </c>
      <c r="S384" s="53">
        <f>IFERROR(VLOOKUP(B384,'Pre-Summary'!$BG$6:$BM$44,6,FALSE),S385)</f>
        <v>3.3978715219895171E-2</v>
      </c>
      <c r="T384" s="45" t="str">
        <f>IFERROR(VLOOKUP(B384,'Pre-Summary'!$Y$6:$AC$83, 3,FALSE),"")</f>
        <v/>
      </c>
      <c r="U384" s="45" t="str">
        <f>IFERROR(VLOOKUP(B384,'Pre-Summary'!$Y$6:$AC$83, 4,FALSE),"")</f>
        <v/>
      </c>
      <c r="V384" t="str">
        <f>IFERROR(VLOOKUP(B384,'Pre-Summary'!$Y$6:$AC$83, 5,FALSE),"")</f>
        <v/>
      </c>
      <c r="W384" s="45" t="str">
        <f>IFERROR(VLOOKUP(B384,'Pre-Summary'!$Y$6:$AD$83,6,FALSE),"")</f>
        <v/>
      </c>
      <c r="X384" t="str">
        <f>IFERROR(VLOOKUP('Pre-Summary'!$DB$6:$DD$63,3,FALSE),"")</f>
        <v/>
      </c>
      <c r="Y384" t="str">
        <f>IFERROR(VLOOKUP(B384,'Pre-Summary'!$CR$6:$CT$36,3,FALSE),"")</f>
        <v/>
      </c>
      <c r="Z384" s="45">
        <f>IFERROR(VLOOKUP(B384,'Pre-Summary'!$BZ$6:$CB$63,2,FALSE),"")</f>
        <v>32.384141484775292</v>
      </c>
      <c r="AA384" s="45">
        <f>IFERROR(VLOOKUP(B384,'Pre-Summary'!$CG$6:$CI$70,2,FALSE),"")</f>
        <v>772.32437700248738</v>
      </c>
      <c r="AB384" s="99">
        <f>IFERROR(VLOOKUP(B384,'Pre-Summary'!$A$6:$P$178,9,FALSE),AB385)</f>
        <v>0.56106418808084624</v>
      </c>
      <c r="AC384" s="10">
        <f>IFERROR(VLOOKUP(Summary!B384,'Pre-Summary'!$A$6:$P$184,5, FALSE)/100,AC385)</f>
        <v>0.82638299999999998</v>
      </c>
      <c r="AD384" s="10">
        <f>IFERROR(VLOOKUP(Summary!B384,'Pre-Summary'!$A$6:$P$184,3, FALSE)/100,AD385)</f>
        <v>0.10673033333333334</v>
      </c>
      <c r="AE384" s="10">
        <f>IFERROR(VLOOKUP(Summary!B384,'Pre-Summary'!$A$6:$P$184,7, FALSE)/100,AE385)</f>
        <v>6.6886666666666664E-2</v>
      </c>
      <c r="AF384" s="99">
        <f t="shared" si="16"/>
        <v>5.9882567815264749E-2</v>
      </c>
      <c r="AG384" s="99">
        <f t="shared" si="17"/>
        <v>3.7527713326767534E-2</v>
      </c>
      <c r="AH384" s="10">
        <f>IFERROR(VLOOKUP(B384,'Pre-Summary'!$AZ$6:$BE$65,3,FALSE),"")</f>
        <v>383</v>
      </c>
      <c r="AI384" s="10">
        <f>IFERROR(VLOOKUP(B384,'Pre-Summary'!$AZ$6:$BE$65,5,FALSE),"")</f>
        <v>304</v>
      </c>
      <c r="AJ384" s="10">
        <f>IFERROR(VLOOKUP(B384,'Pre-Summary'!$AZ$6:$BE$65,4,FALSE),"")</f>
        <v>253</v>
      </c>
      <c r="AK384" s="10">
        <f>IFERROR(VLOOKUP(B384,'Pre-Summary'!$AZ$6:$BE$65,6,FALSE),"")</f>
        <v>198</v>
      </c>
      <c r="AL384" s="10">
        <f>IFERROR(VLOOKUP(B384,'Pre-Summary'!$BG$6:$BL$44,3,FALSE),"")</f>
        <v>10.707535739380075</v>
      </c>
      <c r="AM384" s="10">
        <f>IFERROR(VLOOKUP(B384,'Pre-Summary'!$BG$6:$BL$44,4,FALSE),"")</f>
        <v>9.1969339622654545</v>
      </c>
    </row>
    <row r="385" spans="2:39" ht="15" customHeight="1" x14ac:dyDescent="0.3">
      <c r="B385">
        <v>38.200000000000003</v>
      </c>
      <c r="C385" t="str">
        <f>IFERROR(VLOOKUP(B385,'Pre-Summary'!$DI$6:$DM$23,4,FALSE),"")</f>
        <v/>
      </c>
      <c r="D385" s="10" t="str">
        <f>IFERROR(VLOOKUP(B385,'Pre-Summary'!$AT$6:$AX$14,5,FALSE),D384)</f>
        <v>DSMZ v2: Dropped Na-Ac out of DSMZ 120 media</v>
      </c>
      <c r="E385" s="10">
        <f>IFERROR(VLOOKUP(B385,'Pre-Summary'!$AT$6:$AX$15,4,FALSE),"")</f>
        <v>1</v>
      </c>
      <c r="F385">
        <f>IFERROR(VLOOKUP(B385,'Pre-Summary'!$AL$6:$AQ$13,6,FALSE),F384)</f>
        <v>5.9405263157894746E-2</v>
      </c>
      <c r="G385" t="str">
        <f>IFERROR(VLOOKUP(B385,'Pre-Summary'!$AE$6:$AJ$85,3,FALSE),"")</f>
        <v/>
      </c>
      <c r="H385" t="str">
        <f>IFERROR(VLOOKUP(B385,'Pre-Summary'!$AE$6:$AJ$85,4,FALSE),"")</f>
        <v/>
      </c>
      <c r="I385" t="str">
        <f>IFERROR(VLOOKUP(B385,'Pre-Summary'!$AE$6:$AJ$85,5,FALSE),"")</f>
        <v/>
      </c>
      <c r="J385" s="45" t="str">
        <f>IFERROR(VLOOKUP(B385,'Pre-Summary'!$AE$6:$AJ$85,6, FALSE),"")</f>
        <v/>
      </c>
      <c r="K385" s="45" t="str">
        <f>IFERROR(VLOOKUP(B385,'Pre-Summary'!$DE$6:$DG$61,3,FALSE),"")</f>
        <v/>
      </c>
      <c r="L385" s="45" t="str">
        <f>IFERROR(VLOOKUP(B385,'Pre-Summary'!$CU$6:$CW$36,3,FALSE),"")</f>
        <v/>
      </c>
      <c r="M385" s="45" t="str">
        <f>IFERROR(VLOOKUP(B385,'Pre-Summary'!$BW$6:$BY$58,2,FALSE),"")</f>
        <v/>
      </c>
      <c r="N385" s="45" t="str">
        <f>IFERROR(VLOOKUP(B385,'Pre-Summary'!$CD$6:$CF$64,2,FALSE),"")</f>
        <v/>
      </c>
      <c r="O385" s="99">
        <f>IFERROR(VLOOKUP(B385,'Pre-Summary'!$BO$6:$BQ$48,3, FALSE),O384)</f>
        <v>1.0915248032216731</v>
      </c>
      <c r="P385" s="99">
        <f>IFERROR(VLOOKUP(B385,'Pre-Summary'!$BS$6:$BU$35,3,FALSE),P384)</f>
        <v>0.25</v>
      </c>
      <c r="Q385" s="54">
        <f t="shared" si="15"/>
        <v>4.3660992128866924</v>
      </c>
      <c r="R385" s="53">
        <f>IFERROR(VLOOKUP(B385,'Pre-Summary'!$BG$6:$BM$44,7,FALSE),R386)</f>
        <v>7.5915763918363535E-2</v>
      </c>
      <c r="S385" s="53">
        <f>IFERROR(VLOOKUP(B385,'Pre-Summary'!$BG$6:$BM$44,6,FALSE),S386)</f>
        <v>5.2897473997019086E-2</v>
      </c>
      <c r="T385" s="45" t="str">
        <f>IFERROR(VLOOKUP(B385,'Pre-Summary'!$Y$6:$AC$83, 3,FALSE),"")</f>
        <v/>
      </c>
      <c r="U385" s="45" t="str">
        <f>IFERROR(VLOOKUP(B385,'Pre-Summary'!$Y$6:$AC$83, 4,FALSE),"")</f>
        <v/>
      </c>
      <c r="V385" t="str">
        <f>IFERROR(VLOOKUP(B385,'Pre-Summary'!$Y$6:$AC$83, 5,FALSE),"")</f>
        <v/>
      </c>
      <c r="W385" s="45" t="str">
        <f>IFERROR(VLOOKUP(B385,'Pre-Summary'!$Y$6:$AD$83,6,FALSE),"")</f>
        <v/>
      </c>
      <c r="X385" t="str">
        <f>IFERROR(VLOOKUP('Pre-Summary'!$DB$6:$DD$63,3,FALSE),"")</f>
        <v/>
      </c>
      <c r="Y385" t="str">
        <f>IFERROR(VLOOKUP(B385,'Pre-Summary'!$CR$6:$CT$36,3,FALSE),"")</f>
        <v/>
      </c>
      <c r="Z385" s="45" t="str">
        <f>IFERROR(VLOOKUP(B385,'Pre-Summary'!$BZ$6:$CB$63,2,FALSE),"")</f>
        <v/>
      </c>
      <c r="AA385" s="45" t="str">
        <f>IFERROR(VLOOKUP(B385,'Pre-Summary'!$CG$6:$CI$70,2,FALSE),"")</f>
        <v/>
      </c>
      <c r="AB385" s="99">
        <f>IFERROR(VLOOKUP(B385,'Pre-Summary'!$A$6:$P$178,9,FALSE),AB386)</f>
        <v>0.56106418808084624</v>
      </c>
      <c r="AC385" s="10">
        <f>IFERROR(VLOOKUP(Summary!B385,'Pre-Summary'!$A$6:$P$184,5, FALSE)/100,AC386)</f>
        <v>0.82638299999999998</v>
      </c>
      <c r="AD385" s="10">
        <f>IFERROR(VLOOKUP(Summary!B385,'Pre-Summary'!$A$6:$P$184,3, FALSE)/100,AD386)</f>
        <v>0.10673033333333334</v>
      </c>
      <c r="AE385" s="10">
        <f>IFERROR(VLOOKUP(Summary!B385,'Pre-Summary'!$A$6:$P$184,7, FALSE)/100,AE386)</f>
        <v>6.6886666666666664E-2</v>
      </c>
      <c r="AF385" s="99">
        <f t="shared" si="16"/>
        <v>5.9882567815264749E-2</v>
      </c>
      <c r="AG385" s="99">
        <f t="shared" si="17"/>
        <v>3.7527713326767534E-2</v>
      </c>
      <c r="AH385" s="10" t="str">
        <f>IFERROR(VLOOKUP(B385,'Pre-Summary'!$AZ$6:$BE$65,3,FALSE),"")</f>
        <v/>
      </c>
      <c r="AI385" s="10" t="str">
        <f>IFERROR(VLOOKUP(B385,'Pre-Summary'!$AZ$6:$BE$65,5,FALSE),"")</f>
        <v/>
      </c>
      <c r="AJ385" s="10" t="str">
        <f>IFERROR(VLOOKUP(B385,'Pre-Summary'!$AZ$6:$BE$65,4,FALSE),"")</f>
        <v/>
      </c>
      <c r="AK385" s="10" t="str">
        <f>IFERROR(VLOOKUP(B385,'Pre-Summary'!$AZ$6:$BE$65,6,FALSE),"")</f>
        <v/>
      </c>
      <c r="AL385" s="10" t="str">
        <f>IFERROR(VLOOKUP(B385,'Pre-Summary'!$BG$6:$BL$44,3,FALSE),"")</f>
        <v/>
      </c>
      <c r="AM385" s="10" t="str">
        <f>IFERROR(VLOOKUP(B385,'Pre-Summary'!$BG$6:$BL$44,4,FALSE),"")</f>
        <v/>
      </c>
    </row>
    <row r="386" spans="2:39" ht="15" customHeight="1" x14ac:dyDescent="0.3">
      <c r="B386">
        <v>38.299999999999997</v>
      </c>
      <c r="C386" t="str">
        <f>IFERROR(VLOOKUP(B386,'Pre-Summary'!$DI$6:$DM$23,4,FALSE),"")</f>
        <v/>
      </c>
      <c r="D386" s="10" t="str">
        <f>IFERROR(VLOOKUP(B386,'Pre-Summary'!$AT$6:$AX$14,5,FALSE),D385)</f>
        <v>DSMZ v2: Dropped Na-Ac out of DSMZ 120 media</v>
      </c>
      <c r="E386" s="10" t="str">
        <f>IFERROR(VLOOKUP(B386,'Pre-Summary'!$AT$6:$AX$15,4,FALSE),"")</f>
        <v/>
      </c>
      <c r="F386">
        <f>IFERROR(VLOOKUP(B386,'Pre-Summary'!$AL$6:$AQ$13,6,FALSE),F385)</f>
        <v>5.9405263157894746E-2</v>
      </c>
      <c r="G386" t="str">
        <f>IFERROR(VLOOKUP(B386,'Pre-Summary'!$AE$6:$AJ$85,3,FALSE),"")</f>
        <v/>
      </c>
      <c r="H386" t="str">
        <f>IFERROR(VLOOKUP(B386,'Pre-Summary'!$AE$6:$AJ$85,4,FALSE),"")</f>
        <v/>
      </c>
      <c r="I386" t="str">
        <f>IFERROR(VLOOKUP(B386,'Pre-Summary'!$AE$6:$AJ$85,5,FALSE),"")</f>
        <v/>
      </c>
      <c r="J386" s="45" t="str">
        <f>IFERROR(VLOOKUP(B386,'Pre-Summary'!$AE$6:$AJ$85,6, FALSE),"")</f>
        <v/>
      </c>
      <c r="K386" s="45" t="str">
        <f>IFERROR(VLOOKUP(B386,'Pre-Summary'!$DE$6:$DG$61,3,FALSE),"")</f>
        <v/>
      </c>
      <c r="L386" s="45" t="str">
        <f>IFERROR(VLOOKUP(B386,'Pre-Summary'!$CU$6:$CW$36,3,FALSE),"")</f>
        <v/>
      </c>
      <c r="M386" s="45" t="str">
        <f>IFERROR(VLOOKUP(B386,'Pre-Summary'!$BW$6:$BY$58,2,FALSE),"")</f>
        <v/>
      </c>
      <c r="N386" s="45" t="str">
        <f>IFERROR(VLOOKUP(B386,'Pre-Summary'!$CD$6:$CF$64,2,FALSE),"")</f>
        <v/>
      </c>
      <c r="O386" s="99">
        <f>IFERROR(VLOOKUP(B386,'Pre-Summary'!$BO$6:$BQ$48,3, FALSE),O385)</f>
        <v>1.0915248032216731</v>
      </c>
      <c r="P386" s="99">
        <f>IFERROR(VLOOKUP(B386,'Pre-Summary'!$BS$6:$BU$35,3,FALSE),P385)</f>
        <v>0.25</v>
      </c>
      <c r="Q386" s="54">
        <f t="shared" si="15"/>
        <v>4.3660992128866924</v>
      </c>
      <c r="R386" s="53">
        <f>IFERROR(VLOOKUP(B386,'Pre-Summary'!$BG$6:$BM$44,7,FALSE),R387)</f>
        <v>7.5915763918363535E-2</v>
      </c>
      <c r="S386" s="53">
        <f>IFERROR(VLOOKUP(B386,'Pre-Summary'!$BG$6:$BM$44,6,FALSE),S387)</f>
        <v>5.2897473997019086E-2</v>
      </c>
      <c r="T386" s="45" t="str">
        <f>IFERROR(VLOOKUP(B386,'Pre-Summary'!$Y$6:$AC$83, 3,FALSE),"")</f>
        <v/>
      </c>
      <c r="U386" s="45" t="str">
        <f>IFERROR(VLOOKUP(B386,'Pre-Summary'!$Y$6:$AC$83, 4,FALSE),"")</f>
        <v/>
      </c>
      <c r="V386" t="str">
        <f>IFERROR(VLOOKUP(B386,'Pre-Summary'!$Y$6:$AC$83, 5,FALSE),"")</f>
        <v/>
      </c>
      <c r="W386" s="45" t="str">
        <f>IFERROR(VLOOKUP(B386,'Pre-Summary'!$Y$6:$AD$83,6,FALSE),"")</f>
        <v/>
      </c>
      <c r="X386" t="str">
        <f>IFERROR(VLOOKUP('Pre-Summary'!$DB$6:$DD$63,3,FALSE),"")</f>
        <v/>
      </c>
      <c r="Y386" t="str">
        <f>IFERROR(VLOOKUP(B386,'Pre-Summary'!$CR$6:$CT$36,3,FALSE),"")</f>
        <v/>
      </c>
      <c r="Z386" s="45" t="str">
        <f>IFERROR(VLOOKUP(B386,'Pre-Summary'!$BZ$6:$CB$63,2,FALSE),"")</f>
        <v/>
      </c>
      <c r="AA386" s="45" t="str">
        <f>IFERROR(VLOOKUP(B386,'Pre-Summary'!$CG$6:$CI$70,2,FALSE),"")</f>
        <v/>
      </c>
      <c r="AB386" s="99">
        <f>IFERROR(VLOOKUP(B386,'Pre-Summary'!$A$6:$P$178,9,FALSE),AB387)</f>
        <v>0.56106418808084624</v>
      </c>
      <c r="AC386" s="10">
        <f>IFERROR(VLOOKUP(Summary!B386,'Pre-Summary'!$A$6:$P$184,5, FALSE)/100,AC387)</f>
        <v>0.82638299999999998</v>
      </c>
      <c r="AD386" s="10">
        <f>IFERROR(VLOOKUP(Summary!B386,'Pre-Summary'!$A$6:$P$184,3, FALSE)/100,AD387)</f>
        <v>0.10673033333333334</v>
      </c>
      <c r="AE386" s="10">
        <f>IFERROR(VLOOKUP(Summary!B386,'Pre-Summary'!$A$6:$P$184,7, FALSE)/100,AE387)</f>
        <v>6.6886666666666664E-2</v>
      </c>
      <c r="AF386" s="99">
        <f t="shared" si="16"/>
        <v>5.9882567815264749E-2</v>
      </c>
      <c r="AG386" s="99">
        <f t="shared" si="17"/>
        <v>3.7527713326767534E-2</v>
      </c>
      <c r="AH386" s="10" t="str">
        <f>IFERROR(VLOOKUP(B386,'Pre-Summary'!$AZ$6:$BE$65,3,FALSE),"")</f>
        <v/>
      </c>
      <c r="AI386" s="10" t="str">
        <f>IFERROR(VLOOKUP(B386,'Pre-Summary'!$AZ$6:$BE$65,5,FALSE),"")</f>
        <v/>
      </c>
      <c r="AJ386" s="10" t="str">
        <f>IFERROR(VLOOKUP(B386,'Pre-Summary'!$AZ$6:$BE$65,4,FALSE),"")</f>
        <v/>
      </c>
      <c r="AK386" s="10" t="str">
        <f>IFERROR(VLOOKUP(B386,'Pre-Summary'!$AZ$6:$BE$65,6,FALSE),"")</f>
        <v/>
      </c>
      <c r="AL386" s="10" t="str">
        <f>IFERROR(VLOOKUP(B386,'Pre-Summary'!$BG$6:$BL$44,3,FALSE),"")</f>
        <v/>
      </c>
      <c r="AM386" s="10" t="str">
        <f>IFERROR(VLOOKUP(B386,'Pre-Summary'!$BG$6:$BL$44,4,FALSE),"")</f>
        <v/>
      </c>
    </row>
    <row r="387" spans="2:39" ht="15" customHeight="1" x14ac:dyDescent="0.3">
      <c r="B387">
        <v>38.4</v>
      </c>
      <c r="C387" t="str">
        <f>IFERROR(VLOOKUP(B387,'Pre-Summary'!$DI$6:$DM$23,4,FALSE),"")</f>
        <v/>
      </c>
      <c r="D387" s="10" t="str">
        <f>IFERROR(VLOOKUP(B387,'Pre-Summary'!$AT$6:$AX$14,5,FALSE),D386)</f>
        <v>DSMZ v2: Dropped Na-Ac out of DSMZ 120 media</v>
      </c>
      <c r="E387" s="10" t="str">
        <f>IFERROR(VLOOKUP(B387,'Pre-Summary'!$AT$6:$AX$15,4,FALSE),"")</f>
        <v/>
      </c>
      <c r="F387">
        <f>IFERROR(VLOOKUP(B387,'Pre-Summary'!$AL$6:$AQ$13,6,FALSE),F386)</f>
        <v>5.9405263157894746E-2</v>
      </c>
      <c r="G387" t="str">
        <f>IFERROR(VLOOKUP(B387,'Pre-Summary'!$AE$6:$AJ$85,3,FALSE),"")</f>
        <v/>
      </c>
      <c r="H387" t="str">
        <f>IFERROR(VLOOKUP(B387,'Pre-Summary'!$AE$6:$AJ$85,4,FALSE),"")</f>
        <v/>
      </c>
      <c r="I387" t="str">
        <f>IFERROR(VLOOKUP(B387,'Pre-Summary'!$AE$6:$AJ$85,5,FALSE),"")</f>
        <v/>
      </c>
      <c r="J387" s="45" t="str">
        <f>IFERROR(VLOOKUP(B387,'Pre-Summary'!$AE$6:$AJ$85,6, FALSE),"")</f>
        <v/>
      </c>
      <c r="K387" s="45" t="str">
        <f>IFERROR(VLOOKUP(B387,'Pre-Summary'!$DE$6:$DG$61,3,FALSE),"")</f>
        <v/>
      </c>
      <c r="L387" s="45" t="str">
        <f>IFERROR(VLOOKUP(B387,'Pre-Summary'!$CU$6:$CW$36,3,FALSE),"")</f>
        <v/>
      </c>
      <c r="M387" s="45" t="str">
        <f>IFERROR(VLOOKUP(B387,'Pre-Summary'!$BW$6:$BY$58,2,FALSE),"")</f>
        <v/>
      </c>
      <c r="N387" s="45" t="str">
        <f>IFERROR(VLOOKUP(B387,'Pre-Summary'!$CD$6:$CF$64,2,FALSE),"")</f>
        <v/>
      </c>
      <c r="O387" s="99">
        <f>IFERROR(VLOOKUP(B387,'Pre-Summary'!$BO$6:$BQ$48,3, FALSE),O386)</f>
        <v>1.0915248032216731</v>
      </c>
      <c r="P387" s="99">
        <f>IFERROR(VLOOKUP(B387,'Pre-Summary'!$BS$6:$BU$35,3,FALSE),P386)</f>
        <v>0.25</v>
      </c>
      <c r="Q387" s="54">
        <f t="shared" ref="Q387:Q450" si="18">O387/P387</f>
        <v>4.3660992128866924</v>
      </c>
      <c r="R387" s="53">
        <f>IFERROR(VLOOKUP(B387,'Pre-Summary'!$BG$6:$BM$44,7,FALSE),R388)</f>
        <v>7.5915763918363535E-2</v>
      </c>
      <c r="S387" s="53">
        <f>IFERROR(VLOOKUP(B387,'Pre-Summary'!$BG$6:$BM$44,6,FALSE),S388)</f>
        <v>5.2897473997019086E-2</v>
      </c>
      <c r="T387" s="45" t="str">
        <f>IFERROR(VLOOKUP(B387,'Pre-Summary'!$Y$6:$AC$83, 3,FALSE),"")</f>
        <v/>
      </c>
      <c r="U387" s="45" t="str">
        <f>IFERROR(VLOOKUP(B387,'Pre-Summary'!$Y$6:$AC$83, 4,FALSE),"")</f>
        <v/>
      </c>
      <c r="V387" t="str">
        <f>IFERROR(VLOOKUP(B387,'Pre-Summary'!$Y$6:$AC$83, 5,FALSE),"")</f>
        <v/>
      </c>
      <c r="W387" s="45" t="str">
        <f>IFERROR(VLOOKUP(B387,'Pre-Summary'!$Y$6:$AD$83,6,FALSE),"")</f>
        <v/>
      </c>
      <c r="X387" t="str">
        <f>IFERROR(VLOOKUP('Pre-Summary'!$DB$6:$DD$63,3,FALSE),"")</f>
        <v/>
      </c>
      <c r="Y387" t="str">
        <f>IFERROR(VLOOKUP(B387,'Pre-Summary'!$CR$6:$CT$36,3,FALSE),"")</f>
        <v/>
      </c>
      <c r="Z387" s="45" t="str">
        <f>IFERROR(VLOOKUP(B387,'Pre-Summary'!$BZ$6:$CB$63,2,FALSE),"")</f>
        <v/>
      </c>
      <c r="AA387" s="45" t="str">
        <f>IFERROR(VLOOKUP(B387,'Pre-Summary'!$CG$6:$CI$70,2,FALSE),"")</f>
        <v/>
      </c>
      <c r="AB387" s="99">
        <f>IFERROR(VLOOKUP(B387,'Pre-Summary'!$A$6:$P$178,9,FALSE),AB388)</f>
        <v>0.56106418808084624</v>
      </c>
      <c r="AC387" s="10">
        <f>IFERROR(VLOOKUP(Summary!B387,'Pre-Summary'!$A$6:$P$184,5, FALSE)/100,AC388)</f>
        <v>0.82638299999999998</v>
      </c>
      <c r="AD387" s="10">
        <f>IFERROR(VLOOKUP(Summary!B387,'Pre-Summary'!$A$6:$P$184,3, FALSE)/100,AD388)</f>
        <v>0.10673033333333334</v>
      </c>
      <c r="AE387" s="10">
        <f>IFERROR(VLOOKUP(Summary!B387,'Pre-Summary'!$A$6:$P$184,7, FALSE)/100,AE388)</f>
        <v>6.6886666666666664E-2</v>
      </c>
      <c r="AF387" s="99">
        <f t="shared" ref="AF387:AF450" si="19">AD387*AB387</f>
        <v>5.9882567815264749E-2</v>
      </c>
      <c r="AG387" s="99">
        <f t="shared" ref="AG387:AG450" si="20">AB387*AE387</f>
        <v>3.7527713326767534E-2</v>
      </c>
      <c r="AH387" s="10" t="str">
        <f>IFERROR(VLOOKUP(B387,'Pre-Summary'!$AZ$6:$BE$65,3,FALSE),"")</f>
        <v/>
      </c>
      <c r="AI387" s="10" t="str">
        <f>IFERROR(VLOOKUP(B387,'Pre-Summary'!$AZ$6:$BE$65,5,FALSE),"")</f>
        <v/>
      </c>
      <c r="AJ387" s="10" t="str">
        <f>IFERROR(VLOOKUP(B387,'Pre-Summary'!$AZ$6:$BE$65,4,FALSE),"")</f>
        <v/>
      </c>
      <c r="AK387" s="10" t="str">
        <f>IFERROR(VLOOKUP(B387,'Pre-Summary'!$AZ$6:$BE$65,6,FALSE),"")</f>
        <v/>
      </c>
      <c r="AL387" s="10" t="str">
        <f>IFERROR(VLOOKUP(B387,'Pre-Summary'!$BG$6:$BL$44,3,FALSE),"")</f>
        <v/>
      </c>
      <c r="AM387" s="10" t="str">
        <f>IFERROR(VLOOKUP(B387,'Pre-Summary'!$BG$6:$BL$44,4,FALSE),"")</f>
        <v/>
      </c>
    </row>
    <row r="388" spans="2:39" ht="15" customHeight="1" x14ac:dyDescent="0.3">
      <c r="B388">
        <v>38.5</v>
      </c>
      <c r="C388" t="str">
        <f>IFERROR(VLOOKUP(B388,'Pre-Summary'!$DI$6:$DM$23,4,FALSE),"")</f>
        <v/>
      </c>
      <c r="D388" s="10" t="str">
        <f>IFERROR(VLOOKUP(B388,'Pre-Summary'!$AT$6:$AX$14,5,FALSE),D387)</f>
        <v>DSMZ v2: Dropped Na-Ac out of DSMZ 120 media</v>
      </c>
      <c r="E388" s="10" t="str">
        <f>IFERROR(VLOOKUP(B388,'Pre-Summary'!$AT$6:$AX$15,4,FALSE),"")</f>
        <v/>
      </c>
      <c r="F388">
        <f>IFERROR(VLOOKUP(B388,'Pre-Summary'!$AL$6:$AQ$13,6,FALSE),F387)</f>
        <v>5.9405263157894746E-2</v>
      </c>
      <c r="G388" t="str">
        <f>IFERROR(VLOOKUP(B388,'Pre-Summary'!$AE$6:$AJ$85,3,FALSE),"")</f>
        <v/>
      </c>
      <c r="H388" t="str">
        <f>IFERROR(VLOOKUP(B388,'Pre-Summary'!$AE$6:$AJ$85,4,FALSE),"")</f>
        <v/>
      </c>
      <c r="I388" t="str">
        <f>IFERROR(VLOOKUP(B388,'Pre-Summary'!$AE$6:$AJ$85,5,FALSE),"")</f>
        <v/>
      </c>
      <c r="J388" s="45" t="str">
        <f>IFERROR(VLOOKUP(B388,'Pre-Summary'!$AE$6:$AJ$85,6, FALSE),"")</f>
        <v/>
      </c>
      <c r="K388" s="45" t="str">
        <f>IFERROR(VLOOKUP(B388,'Pre-Summary'!$DE$6:$DG$61,3,FALSE),"")</f>
        <v/>
      </c>
      <c r="L388" s="45" t="str">
        <f>IFERROR(VLOOKUP(B388,'Pre-Summary'!$CU$6:$CW$36,3,FALSE),"")</f>
        <v/>
      </c>
      <c r="M388" s="45" t="str">
        <f>IFERROR(VLOOKUP(B388,'Pre-Summary'!$BW$6:$BY$58,2,FALSE),"")</f>
        <v/>
      </c>
      <c r="N388" s="45" t="str">
        <f>IFERROR(VLOOKUP(B388,'Pre-Summary'!$CD$6:$CF$64,2,FALSE),"")</f>
        <v/>
      </c>
      <c r="O388" s="99">
        <f>IFERROR(VLOOKUP(B388,'Pre-Summary'!$BO$6:$BQ$48,3, FALSE),O387)</f>
        <v>1.0915248032216731</v>
      </c>
      <c r="P388" s="99">
        <f>IFERROR(VLOOKUP(B388,'Pre-Summary'!$BS$6:$BU$35,3,FALSE),P387)</f>
        <v>0.25</v>
      </c>
      <c r="Q388" s="54">
        <f t="shared" si="18"/>
        <v>4.3660992128866924</v>
      </c>
      <c r="R388" s="53">
        <f>IFERROR(VLOOKUP(B388,'Pre-Summary'!$BG$6:$BM$44,7,FALSE),R389)</f>
        <v>7.5915763918363535E-2</v>
      </c>
      <c r="S388" s="53">
        <f>IFERROR(VLOOKUP(B388,'Pre-Summary'!$BG$6:$BM$44,6,FALSE),S389)</f>
        <v>5.2897473997019086E-2</v>
      </c>
      <c r="T388" s="45" t="str">
        <f>IFERROR(VLOOKUP(B388,'Pre-Summary'!$Y$6:$AC$83, 3,FALSE),"")</f>
        <v/>
      </c>
      <c r="U388" s="45" t="str">
        <f>IFERROR(VLOOKUP(B388,'Pre-Summary'!$Y$6:$AC$83, 4,FALSE),"")</f>
        <v/>
      </c>
      <c r="V388" t="str">
        <f>IFERROR(VLOOKUP(B388,'Pre-Summary'!$Y$6:$AC$83, 5,FALSE),"")</f>
        <v/>
      </c>
      <c r="W388" s="45" t="str">
        <f>IFERROR(VLOOKUP(B388,'Pre-Summary'!$Y$6:$AD$83,6,FALSE),"")</f>
        <v/>
      </c>
      <c r="X388" t="str">
        <f>IFERROR(VLOOKUP('Pre-Summary'!$DB$6:$DD$63,3,FALSE),"")</f>
        <v/>
      </c>
      <c r="Y388" t="str">
        <f>IFERROR(VLOOKUP(B388,'Pre-Summary'!$CR$6:$CT$36,3,FALSE),"")</f>
        <v/>
      </c>
      <c r="Z388" s="45" t="str">
        <f>IFERROR(VLOOKUP(B388,'Pre-Summary'!$BZ$6:$CB$63,2,FALSE),"")</f>
        <v/>
      </c>
      <c r="AA388" s="45" t="str">
        <f>IFERROR(VLOOKUP(B388,'Pre-Summary'!$CG$6:$CI$70,2,FALSE),"")</f>
        <v/>
      </c>
      <c r="AB388" s="99">
        <f>IFERROR(VLOOKUP(B388,'Pre-Summary'!$A$6:$P$178,9,FALSE),AB389)</f>
        <v>0.56106418808084624</v>
      </c>
      <c r="AC388" s="10">
        <f>IFERROR(VLOOKUP(Summary!B388,'Pre-Summary'!$A$6:$P$184,5, FALSE)/100,AC389)</f>
        <v>0.82638299999999998</v>
      </c>
      <c r="AD388" s="10">
        <f>IFERROR(VLOOKUP(Summary!B388,'Pre-Summary'!$A$6:$P$184,3, FALSE)/100,AD389)</f>
        <v>0.10673033333333334</v>
      </c>
      <c r="AE388" s="10">
        <f>IFERROR(VLOOKUP(Summary!B388,'Pre-Summary'!$A$6:$P$184,7, FALSE)/100,AE389)</f>
        <v>6.6886666666666664E-2</v>
      </c>
      <c r="AF388" s="99">
        <f t="shared" si="19"/>
        <v>5.9882567815264749E-2</v>
      </c>
      <c r="AG388" s="99">
        <f t="shared" si="20"/>
        <v>3.7527713326767534E-2</v>
      </c>
      <c r="AH388" s="10" t="str">
        <f>IFERROR(VLOOKUP(B388,'Pre-Summary'!$AZ$6:$BE$65,3,FALSE),"")</f>
        <v/>
      </c>
      <c r="AI388" s="10" t="str">
        <f>IFERROR(VLOOKUP(B388,'Pre-Summary'!$AZ$6:$BE$65,5,FALSE),"")</f>
        <v/>
      </c>
      <c r="AJ388" s="10" t="str">
        <f>IFERROR(VLOOKUP(B388,'Pre-Summary'!$AZ$6:$BE$65,4,FALSE),"")</f>
        <v/>
      </c>
      <c r="AK388" s="10" t="str">
        <f>IFERROR(VLOOKUP(B388,'Pre-Summary'!$AZ$6:$BE$65,6,FALSE),"")</f>
        <v/>
      </c>
      <c r="AL388" s="10" t="str">
        <f>IFERROR(VLOOKUP(B388,'Pre-Summary'!$BG$6:$BL$44,3,FALSE),"")</f>
        <v/>
      </c>
      <c r="AM388" s="10" t="str">
        <f>IFERROR(VLOOKUP(B388,'Pre-Summary'!$BG$6:$BL$44,4,FALSE),"")</f>
        <v/>
      </c>
    </row>
    <row r="389" spans="2:39" ht="15" customHeight="1" x14ac:dyDescent="0.3">
      <c r="B389">
        <v>38.6</v>
      </c>
      <c r="C389" t="str">
        <f>IFERROR(VLOOKUP(B389,'Pre-Summary'!$DI$6:$DM$23,4,FALSE),"")</f>
        <v/>
      </c>
      <c r="D389" s="10" t="str">
        <f>IFERROR(VLOOKUP(B389,'Pre-Summary'!$AT$6:$AX$14,5,FALSE),D388)</f>
        <v>DSMZ v2: Dropped Na-Ac out of DSMZ 120 media</v>
      </c>
      <c r="E389" s="10" t="str">
        <f>IFERROR(VLOOKUP(B389,'Pre-Summary'!$AT$6:$AX$15,4,FALSE),"")</f>
        <v/>
      </c>
      <c r="F389">
        <f>IFERROR(VLOOKUP(B389,'Pre-Summary'!$AL$6:$AQ$13,6,FALSE),F388)</f>
        <v>5.9405263157894746E-2</v>
      </c>
      <c r="G389" t="str">
        <f>IFERROR(VLOOKUP(B389,'Pre-Summary'!$AE$6:$AJ$85,3,FALSE),"")</f>
        <v/>
      </c>
      <c r="H389" t="str">
        <f>IFERROR(VLOOKUP(B389,'Pre-Summary'!$AE$6:$AJ$85,4,FALSE),"")</f>
        <v/>
      </c>
      <c r="I389" t="str">
        <f>IFERROR(VLOOKUP(B389,'Pre-Summary'!$AE$6:$AJ$85,5,FALSE),"")</f>
        <v/>
      </c>
      <c r="J389" s="45" t="str">
        <f>IFERROR(VLOOKUP(B389,'Pre-Summary'!$AE$6:$AJ$85,6, FALSE),"")</f>
        <v/>
      </c>
      <c r="K389" s="45" t="str">
        <f>IFERROR(VLOOKUP(B389,'Pre-Summary'!$DE$6:$DG$61,3,FALSE),"")</f>
        <v/>
      </c>
      <c r="L389" s="45" t="str">
        <f>IFERROR(VLOOKUP(B389,'Pre-Summary'!$CU$6:$CW$36,3,FALSE),"")</f>
        <v/>
      </c>
      <c r="M389" s="45" t="str">
        <f>IFERROR(VLOOKUP(B389,'Pre-Summary'!$BW$6:$BY$58,2,FALSE),"")</f>
        <v/>
      </c>
      <c r="N389" s="45" t="str">
        <f>IFERROR(VLOOKUP(B389,'Pre-Summary'!$CD$6:$CF$64,2,FALSE),"")</f>
        <v/>
      </c>
      <c r="O389" s="99">
        <f>IFERROR(VLOOKUP(B389,'Pre-Summary'!$BO$6:$BQ$48,3, FALSE),O388)</f>
        <v>1.0915248032216731</v>
      </c>
      <c r="P389" s="99">
        <f>IFERROR(VLOOKUP(B389,'Pre-Summary'!$BS$6:$BU$35,3,FALSE),P388)</f>
        <v>0.25</v>
      </c>
      <c r="Q389" s="54">
        <f t="shared" si="18"/>
        <v>4.3660992128866924</v>
      </c>
      <c r="R389" s="53">
        <f>IFERROR(VLOOKUP(B389,'Pre-Summary'!$BG$6:$BM$44,7,FALSE),R390)</f>
        <v>7.5915763918363535E-2</v>
      </c>
      <c r="S389" s="53">
        <f>IFERROR(VLOOKUP(B389,'Pre-Summary'!$BG$6:$BM$44,6,FALSE),S390)</f>
        <v>5.2897473997019086E-2</v>
      </c>
      <c r="T389" s="45" t="str">
        <f>IFERROR(VLOOKUP(B389,'Pre-Summary'!$Y$6:$AC$83, 3,FALSE),"")</f>
        <v/>
      </c>
      <c r="U389" s="45" t="str">
        <f>IFERROR(VLOOKUP(B389,'Pre-Summary'!$Y$6:$AC$83, 4,FALSE),"")</f>
        <v/>
      </c>
      <c r="V389" t="str">
        <f>IFERROR(VLOOKUP(B389,'Pre-Summary'!$Y$6:$AC$83, 5,FALSE),"")</f>
        <v/>
      </c>
      <c r="W389" s="45" t="str">
        <f>IFERROR(VLOOKUP(B389,'Pre-Summary'!$Y$6:$AD$83,6,FALSE),"")</f>
        <v/>
      </c>
      <c r="X389" t="str">
        <f>IFERROR(VLOOKUP('Pre-Summary'!$DB$6:$DD$63,3,FALSE),"")</f>
        <v/>
      </c>
      <c r="Y389" t="str">
        <f>IFERROR(VLOOKUP(B389,'Pre-Summary'!$CR$6:$CT$36,3,FALSE),"")</f>
        <v/>
      </c>
      <c r="Z389" s="45" t="str">
        <f>IFERROR(VLOOKUP(B389,'Pre-Summary'!$BZ$6:$CB$63,2,FALSE),"")</f>
        <v/>
      </c>
      <c r="AA389" s="45" t="str">
        <f>IFERROR(VLOOKUP(B389,'Pre-Summary'!$CG$6:$CI$70,2,FALSE),"")</f>
        <v/>
      </c>
      <c r="AB389" s="99">
        <f>IFERROR(VLOOKUP(B389,'Pre-Summary'!$A$6:$P$178,9,FALSE),AB390)</f>
        <v>0.56106418808084624</v>
      </c>
      <c r="AC389" s="10">
        <f>IFERROR(VLOOKUP(Summary!B389,'Pre-Summary'!$A$6:$P$184,5, FALSE)/100,AC390)</f>
        <v>0.82638299999999998</v>
      </c>
      <c r="AD389" s="10">
        <f>IFERROR(VLOOKUP(Summary!B389,'Pre-Summary'!$A$6:$P$184,3, FALSE)/100,AD390)</f>
        <v>0.10673033333333334</v>
      </c>
      <c r="AE389" s="10">
        <f>IFERROR(VLOOKUP(Summary!B389,'Pre-Summary'!$A$6:$P$184,7, FALSE)/100,AE390)</f>
        <v>6.6886666666666664E-2</v>
      </c>
      <c r="AF389" s="99">
        <f t="shared" si="19"/>
        <v>5.9882567815264749E-2</v>
      </c>
      <c r="AG389" s="99">
        <f t="shared" si="20"/>
        <v>3.7527713326767534E-2</v>
      </c>
      <c r="AH389" s="10" t="str">
        <f>IFERROR(VLOOKUP(B389,'Pre-Summary'!$AZ$6:$BE$65,3,FALSE),"")</f>
        <v/>
      </c>
      <c r="AI389" s="10" t="str">
        <f>IFERROR(VLOOKUP(B389,'Pre-Summary'!$AZ$6:$BE$65,5,FALSE),"")</f>
        <v/>
      </c>
      <c r="AJ389" s="10" t="str">
        <f>IFERROR(VLOOKUP(B389,'Pre-Summary'!$AZ$6:$BE$65,4,FALSE),"")</f>
        <v/>
      </c>
      <c r="AK389" s="10" t="str">
        <f>IFERROR(VLOOKUP(B389,'Pre-Summary'!$AZ$6:$BE$65,6,FALSE),"")</f>
        <v/>
      </c>
      <c r="AL389" s="10" t="str">
        <f>IFERROR(VLOOKUP(B389,'Pre-Summary'!$BG$6:$BL$44,3,FALSE),"")</f>
        <v/>
      </c>
      <c r="AM389" s="10" t="str">
        <f>IFERROR(VLOOKUP(B389,'Pre-Summary'!$BG$6:$BL$44,4,FALSE),"")</f>
        <v/>
      </c>
    </row>
    <row r="390" spans="2:39" ht="15" customHeight="1" x14ac:dyDescent="0.3">
      <c r="B390">
        <v>38.700000000000003</v>
      </c>
      <c r="C390" t="str">
        <f>IFERROR(VLOOKUP(B390,'Pre-Summary'!$DI$6:$DM$23,4,FALSE),"")</f>
        <v/>
      </c>
      <c r="D390" s="10" t="str">
        <f>IFERROR(VLOOKUP(B390,'Pre-Summary'!$AT$6:$AX$14,5,FALSE),D389)</f>
        <v>DSMZ v2: Dropped Na-Ac out of DSMZ 120 media</v>
      </c>
      <c r="E390" s="10" t="str">
        <f>IFERROR(VLOOKUP(B390,'Pre-Summary'!$AT$6:$AX$15,4,FALSE),"")</f>
        <v/>
      </c>
      <c r="F390">
        <f>IFERROR(VLOOKUP(B390,'Pre-Summary'!$AL$6:$AQ$13,6,FALSE),F389)</f>
        <v>5.9405263157894746E-2</v>
      </c>
      <c r="G390" t="str">
        <f>IFERROR(VLOOKUP(B390,'Pre-Summary'!$AE$6:$AJ$85,3,FALSE),"")</f>
        <v/>
      </c>
      <c r="H390" t="str">
        <f>IFERROR(VLOOKUP(B390,'Pre-Summary'!$AE$6:$AJ$85,4,FALSE),"")</f>
        <v/>
      </c>
      <c r="I390" t="str">
        <f>IFERROR(VLOOKUP(B390,'Pre-Summary'!$AE$6:$AJ$85,5,FALSE),"")</f>
        <v/>
      </c>
      <c r="J390" s="45" t="str">
        <f>IFERROR(VLOOKUP(B390,'Pre-Summary'!$AE$6:$AJ$85,6, FALSE),"")</f>
        <v/>
      </c>
      <c r="K390" s="45" t="str">
        <f>IFERROR(VLOOKUP(B390,'Pre-Summary'!$DE$6:$DG$61,3,FALSE),"")</f>
        <v/>
      </c>
      <c r="L390" s="45" t="str">
        <f>IFERROR(VLOOKUP(B390,'Pre-Summary'!$CU$6:$CW$36,3,FALSE),"")</f>
        <v/>
      </c>
      <c r="M390" s="45" t="str">
        <f>IFERROR(VLOOKUP(B390,'Pre-Summary'!$BW$6:$BY$58,2,FALSE),"")</f>
        <v/>
      </c>
      <c r="N390" s="45" t="str">
        <f>IFERROR(VLOOKUP(B390,'Pre-Summary'!$CD$6:$CF$64,2,FALSE),"")</f>
        <v/>
      </c>
      <c r="O390" s="99">
        <f>IFERROR(VLOOKUP(B390,'Pre-Summary'!$BO$6:$BQ$48,3, FALSE),O389)</f>
        <v>1.0915248032216731</v>
      </c>
      <c r="P390" s="99">
        <f>IFERROR(VLOOKUP(B390,'Pre-Summary'!$BS$6:$BU$35,3,FALSE),P389)</f>
        <v>0.25</v>
      </c>
      <c r="Q390" s="54">
        <f t="shared" si="18"/>
        <v>4.3660992128866924</v>
      </c>
      <c r="R390" s="53">
        <f>IFERROR(VLOOKUP(B390,'Pre-Summary'!$BG$6:$BM$44,7,FALSE),R391)</f>
        <v>7.5915763918363535E-2</v>
      </c>
      <c r="S390" s="53">
        <f>IFERROR(VLOOKUP(B390,'Pre-Summary'!$BG$6:$BM$44,6,FALSE),S391)</f>
        <v>5.2897473997019086E-2</v>
      </c>
      <c r="T390" s="45" t="str">
        <f>IFERROR(VLOOKUP(B390,'Pre-Summary'!$Y$6:$AC$83, 3,FALSE),"")</f>
        <v/>
      </c>
      <c r="U390" s="45" t="str">
        <f>IFERROR(VLOOKUP(B390,'Pre-Summary'!$Y$6:$AC$83, 4,FALSE),"")</f>
        <v/>
      </c>
      <c r="V390" t="str">
        <f>IFERROR(VLOOKUP(B390,'Pre-Summary'!$Y$6:$AC$83, 5,FALSE),"")</f>
        <v/>
      </c>
      <c r="W390" s="45" t="str">
        <f>IFERROR(VLOOKUP(B390,'Pre-Summary'!$Y$6:$AD$83,6,FALSE),"")</f>
        <v/>
      </c>
      <c r="X390" t="str">
        <f>IFERROR(VLOOKUP('Pre-Summary'!$DB$6:$DD$63,3,FALSE),"")</f>
        <v/>
      </c>
      <c r="Y390" t="str">
        <f>IFERROR(VLOOKUP(B390,'Pre-Summary'!$CR$6:$CT$36,3,FALSE),"")</f>
        <v/>
      </c>
      <c r="Z390" s="45" t="str">
        <f>IFERROR(VLOOKUP(B390,'Pre-Summary'!$BZ$6:$CB$63,2,FALSE),"")</f>
        <v/>
      </c>
      <c r="AA390" s="45" t="str">
        <f>IFERROR(VLOOKUP(B390,'Pre-Summary'!$CG$6:$CI$70,2,FALSE),"")</f>
        <v/>
      </c>
      <c r="AB390" s="99">
        <f>IFERROR(VLOOKUP(B390,'Pre-Summary'!$A$6:$P$178,9,FALSE),AB391)</f>
        <v>0.56106418808084624</v>
      </c>
      <c r="AC390" s="10">
        <f>IFERROR(VLOOKUP(Summary!B390,'Pre-Summary'!$A$6:$P$184,5, FALSE)/100,AC391)</f>
        <v>0.82638299999999998</v>
      </c>
      <c r="AD390" s="10">
        <f>IFERROR(VLOOKUP(Summary!B390,'Pre-Summary'!$A$6:$P$184,3, FALSE)/100,AD391)</f>
        <v>0.10673033333333334</v>
      </c>
      <c r="AE390" s="10">
        <f>IFERROR(VLOOKUP(Summary!B390,'Pre-Summary'!$A$6:$P$184,7, FALSE)/100,AE391)</f>
        <v>6.6886666666666664E-2</v>
      </c>
      <c r="AF390" s="99">
        <f t="shared" si="19"/>
        <v>5.9882567815264749E-2</v>
      </c>
      <c r="AG390" s="99">
        <f t="shared" si="20"/>
        <v>3.7527713326767534E-2</v>
      </c>
      <c r="AH390" s="10" t="str">
        <f>IFERROR(VLOOKUP(B390,'Pre-Summary'!$AZ$6:$BE$65,3,FALSE),"")</f>
        <v/>
      </c>
      <c r="AI390" s="10" t="str">
        <f>IFERROR(VLOOKUP(B390,'Pre-Summary'!$AZ$6:$BE$65,5,FALSE),"")</f>
        <v/>
      </c>
      <c r="AJ390" s="10" t="str">
        <f>IFERROR(VLOOKUP(B390,'Pre-Summary'!$AZ$6:$BE$65,4,FALSE),"")</f>
        <v/>
      </c>
      <c r="AK390" s="10" t="str">
        <f>IFERROR(VLOOKUP(B390,'Pre-Summary'!$AZ$6:$BE$65,6,FALSE),"")</f>
        <v/>
      </c>
      <c r="AL390" s="10" t="str">
        <f>IFERROR(VLOOKUP(B390,'Pre-Summary'!$BG$6:$BL$44,3,FALSE),"")</f>
        <v/>
      </c>
      <c r="AM390" s="10" t="str">
        <f>IFERROR(VLOOKUP(B390,'Pre-Summary'!$BG$6:$BL$44,4,FALSE),"")</f>
        <v/>
      </c>
    </row>
    <row r="391" spans="2:39" ht="15" customHeight="1" x14ac:dyDescent="0.3">
      <c r="B391">
        <v>38.799999999999997</v>
      </c>
      <c r="C391" t="str">
        <f>IFERROR(VLOOKUP(B391,'Pre-Summary'!$DI$6:$DM$23,4,FALSE),"")</f>
        <v/>
      </c>
      <c r="D391" s="10" t="str">
        <f>IFERROR(VLOOKUP(B391,'Pre-Summary'!$AT$6:$AX$14,5,FALSE),D390)</f>
        <v>DSMZ v2: Dropped Na-Ac out of DSMZ 120 media</v>
      </c>
      <c r="E391" s="10" t="str">
        <f>IFERROR(VLOOKUP(B391,'Pre-Summary'!$AT$6:$AX$15,4,FALSE),"")</f>
        <v/>
      </c>
      <c r="F391">
        <f>IFERROR(VLOOKUP(B391,'Pre-Summary'!$AL$6:$AQ$13,6,FALSE),F390)</f>
        <v>5.9405263157894746E-2</v>
      </c>
      <c r="G391" t="str">
        <f>IFERROR(VLOOKUP(B391,'Pre-Summary'!$AE$6:$AJ$85,3,FALSE),"")</f>
        <v/>
      </c>
      <c r="H391" t="str">
        <f>IFERROR(VLOOKUP(B391,'Pre-Summary'!$AE$6:$AJ$85,4,FALSE),"")</f>
        <v/>
      </c>
      <c r="I391" t="str">
        <f>IFERROR(VLOOKUP(B391,'Pre-Summary'!$AE$6:$AJ$85,5,FALSE),"")</f>
        <v/>
      </c>
      <c r="J391" s="45" t="str">
        <f>IFERROR(VLOOKUP(B391,'Pre-Summary'!$AE$6:$AJ$85,6, FALSE),"")</f>
        <v/>
      </c>
      <c r="K391" s="45" t="str">
        <f>IFERROR(VLOOKUP(B391,'Pre-Summary'!$DE$6:$DG$61,3,FALSE),"")</f>
        <v/>
      </c>
      <c r="L391" s="45" t="str">
        <f>IFERROR(VLOOKUP(B391,'Pre-Summary'!$CU$6:$CW$36,3,FALSE),"")</f>
        <v/>
      </c>
      <c r="M391" s="45" t="str">
        <f>IFERROR(VLOOKUP(B391,'Pre-Summary'!$BW$6:$BY$58,2,FALSE),"")</f>
        <v/>
      </c>
      <c r="N391" s="45" t="str">
        <f>IFERROR(VLOOKUP(B391,'Pre-Summary'!$CD$6:$CF$64,2,FALSE),"")</f>
        <v/>
      </c>
      <c r="O391" s="99">
        <f>IFERROR(VLOOKUP(B391,'Pre-Summary'!$BO$6:$BQ$48,3, FALSE),O390)</f>
        <v>1.0915248032216731</v>
      </c>
      <c r="P391" s="99">
        <f>IFERROR(VLOOKUP(B391,'Pre-Summary'!$BS$6:$BU$35,3,FALSE),P390)</f>
        <v>0.25</v>
      </c>
      <c r="Q391" s="54">
        <f t="shared" si="18"/>
        <v>4.3660992128866924</v>
      </c>
      <c r="R391" s="53">
        <f>IFERROR(VLOOKUP(B391,'Pre-Summary'!$BG$6:$BM$44,7,FALSE),R392)</f>
        <v>7.5915763918363535E-2</v>
      </c>
      <c r="S391" s="53">
        <f>IFERROR(VLOOKUP(B391,'Pre-Summary'!$BG$6:$BM$44,6,FALSE),S392)</f>
        <v>5.2897473997019086E-2</v>
      </c>
      <c r="T391" s="45" t="str">
        <f>IFERROR(VLOOKUP(B391,'Pre-Summary'!$Y$6:$AC$83, 3,FALSE),"")</f>
        <v/>
      </c>
      <c r="U391" s="45" t="str">
        <f>IFERROR(VLOOKUP(B391,'Pre-Summary'!$Y$6:$AC$83, 4,FALSE),"")</f>
        <v/>
      </c>
      <c r="V391" t="str">
        <f>IFERROR(VLOOKUP(B391,'Pre-Summary'!$Y$6:$AC$83, 5,FALSE),"")</f>
        <v/>
      </c>
      <c r="W391" s="45" t="str">
        <f>IFERROR(VLOOKUP(B391,'Pre-Summary'!$Y$6:$AD$83,6,FALSE),"")</f>
        <v/>
      </c>
      <c r="X391" t="str">
        <f>IFERROR(VLOOKUP('Pre-Summary'!$DB$6:$DD$63,3,FALSE),"")</f>
        <v/>
      </c>
      <c r="Y391" t="str">
        <f>IFERROR(VLOOKUP(B391,'Pre-Summary'!$CR$6:$CT$36,3,FALSE),"")</f>
        <v/>
      </c>
      <c r="Z391" s="45" t="str">
        <f>IFERROR(VLOOKUP(B391,'Pre-Summary'!$BZ$6:$CB$63,2,FALSE),"")</f>
        <v/>
      </c>
      <c r="AA391" s="45" t="str">
        <f>IFERROR(VLOOKUP(B391,'Pre-Summary'!$CG$6:$CI$70,2,FALSE),"")</f>
        <v/>
      </c>
      <c r="AB391" s="99">
        <f>IFERROR(VLOOKUP(B391,'Pre-Summary'!$A$6:$P$178,9,FALSE),AB392)</f>
        <v>0.56106418808084624</v>
      </c>
      <c r="AC391" s="10">
        <f>IFERROR(VLOOKUP(Summary!B391,'Pre-Summary'!$A$6:$P$184,5, FALSE)/100,AC392)</f>
        <v>0.82638299999999998</v>
      </c>
      <c r="AD391" s="10">
        <f>IFERROR(VLOOKUP(Summary!B391,'Pre-Summary'!$A$6:$P$184,3, FALSE)/100,AD392)</f>
        <v>0.10673033333333334</v>
      </c>
      <c r="AE391" s="10">
        <f>IFERROR(VLOOKUP(Summary!B391,'Pre-Summary'!$A$6:$P$184,7, FALSE)/100,AE392)</f>
        <v>6.6886666666666664E-2</v>
      </c>
      <c r="AF391" s="99">
        <f t="shared" si="19"/>
        <v>5.9882567815264749E-2</v>
      </c>
      <c r="AG391" s="99">
        <f t="shared" si="20"/>
        <v>3.7527713326767534E-2</v>
      </c>
      <c r="AH391" s="10" t="str">
        <f>IFERROR(VLOOKUP(B391,'Pre-Summary'!$AZ$6:$BE$65,3,FALSE),"")</f>
        <v/>
      </c>
      <c r="AI391" s="10" t="str">
        <f>IFERROR(VLOOKUP(B391,'Pre-Summary'!$AZ$6:$BE$65,5,FALSE),"")</f>
        <v/>
      </c>
      <c r="AJ391" s="10" t="str">
        <f>IFERROR(VLOOKUP(B391,'Pre-Summary'!$AZ$6:$BE$65,4,FALSE),"")</f>
        <v/>
      </c>
      <c r="AK391" s="10" t="str">
        <f>IFERROR(VLOOKUP(B391,'Pre-Summary'!$AZ$6:$BE$65,6,FALSE),"")</f>
        <v/>
      </c>
      <c r="AL391" s="10" t="str">
        <f>IFERROR(VLOOKUP(B391,'Pre-Summary'!$BG$6:$BL$44,3,FALSE),"")</f>
        <v/>
      </c>
      <c r="AM391" s="10" t="str">
        <f>IFERROR(VLOOKUP(B391,'Pre-Summary'!$BG$6:$BL$44,4,FALSE),"")</f>
        <v/>
      </c>
    </row>
    <row r="392" spans="2:39" ht="15" customHeight="1" x14ac:dyDescent="0.3">
      <c r="B392">
        <v>38.9</v>
      </c>
      <c r="C392" t="str">
        <f>IFERROR(VLOOKUP(B392,'Pre-Summary'!$DI$6:$DM$23,4,FALSE),"")</f>
        <v/>
      </c>
      <c r="D392" s="10" t="str">
        <f>IFERROR(VLOOKUP(B392,'Pre-Summary'!$AT$6:$AX$14,5,FALSE),D391)</f>
        <v>DSMZ v2: Dropped Na-Ac out of DSMZ 120 media</v>
      </c>
      <c r="E392" s="10" t="str">
        <f>IFERROR(VLOOKUP(B392,'Pre-Summary'!$AT$6:$AX$15,4,FALSE),"")</f>
        <v/>
      </c>
      <c r="F392">
        <f>IFERROR(VLOOKUP(B392,'Pre-Summary'!$AL$6:$AQ$13,6,FALSE),F391)</f>
        <v>5.9405263157894746E-2</v>
      </c>
      <c r="G392" t="str">
        <f>IFERROR(VLOOKUP(B392,'Pre-Summary'!$AE$6:$AJ$85,3,FALSE),"")</f>
        <v/>
      </c>
      <c r="H392" t="str">
        <f>IFERROR(VLOOKUP(B392,'Pre-Summary'!$AE$6:$AJ$85,4,FALSE),"")</f>
        <v/>
      </c>
      <c r="I392" t="str">
        <f>IFERROR(VLOOKUP(B392,'Pre-Summary'!$AE$6:$AJ$85,5,FALSE),"")</f>
        <v/>
      </c>
      <c r="J392" s="45" t="str">
        <f>IFERROR(VLOOKUP(B392,'Pre-Summary'!$AE$6:$AJ$85,6, FALSE),"")</f>
        <v/>
      </c>
      <c r="K392" s="45" t="str">
        <f>IFERROR(VLOOKUP(B392,'Pre-Summary'!$DE$6:$DG$61,3,FALSE),"")</f>
        <v/>
      </c>
      <c r="L392" s="45" t="str">
        <f>IFERROR(VLOOKUP(B392,'Pre-Summary'!$CU$6:$CW$36,3,FALSE),"")</f>
        <v/>
      </c>
      <c r="M392" s="45" t="str">
        <f>IFERROR(VLOOKUP(B392,'Pre-Summary'!$BW$6:$BY$58,2,FALSE),"")</f>
        <v/>
      </c>
      <c r="N392" s="45" t="str">
        <f>IFERROR(VLOOKUP(B392,'Pre-Summary'!$CD$6:$CF$64,2,FALSE),"")</f>
        <v/>
      </c>
      <c r="O392" s="99">
        <f>IFERROR(VLOOKUP(B392,'Pre-Summary'!$BO$6:$BQ$48,3, FALSE),O391)</f>
        <v>1.0915248032216731</v>
      </c>
      <c r="P392" s="99">
        <f>IFERROR(VLOOKUP(B392,'Pre-Summary'!$BS$6:$BU$35,3,FALSE),P391)</f>
        <v>0.25</v>
      </c>
      <c r="Q392" s="54">
        <f t="shared" si="18"/>
        <v>4.3660992128866924</v>
      </c>
      <c r="R392" s="53">
        <f>IFERROR(VLOOKUP(B392,'Pre-Summary'!$BG$6:$BM$44,7,FALSE),R393)</f>
        <v>7.5915763918363535E-2</v>
      </c>
      <c r="S392" s="53">
        <f>IFERROR(VLOOKUP(B392,'Pre-Summary'!$BG$6:$BM$44,6,FALSE),S393)</f>
        <v>5.2897473997019086E-2</v>
      </c>
      <c r="T392" s="45" t="str">
        <f>IFERROR(VLOOKUP(B392,'Pre-Summary'!$Y$6:$AC$83, 3,FALSE),"")</f>
        <v/>
      </c>
      <c r="U392" s="45" t="str">
        <f>IFERROR(VLOOKUP(B392,'Pre-Summary'!$Y$6:$AC$83, 4,FALSE),"")</f>
        <v/>
      </c>
      <c r="V392" t="str">
        <f>IFERROR(VLOOKUP(B392,'Pre-Summary'!$Y$6:$AC$83, 5,FALSE),"")</f>
        <v/>
      </c>
      <c r="W392" s="45" t="str">
        <f>IFERROR(VLOOKUP(B392,'Pre-Summary'!$Y$6:$AD$83,6,FALSE),"")</f>
        <v/>
      </c>
      <c r="X392" t="str">
        <f>IFERROR(VLOOKUP('Pre-Summary'!$DB$6:$DD$63,3,FALSE),"")</f>
        <v/>
      </c>
      <c r="Y392" t="str">
        <f>IFERROR(VLOOKUP(B392,'Pre-Summary'!$CR$6:$CT$36,3,FALSE),"")</f>
        <v/>
      </c>
      <c r="Z392" s="45" t="str">
        <f>IFERROR(VLOOKUP(B392,'Pre-Summary'!$BZ$6:$CB$63,2,FALSE),"")</f>
        <v/>
      </c>
      <c r="AA392" s="45" t="str">
        <f>IFERROR(VLOOKUP(B392,'Pre-Summary'!$CG$6:$CI$70,2,FALSE),"")</f>
        <v/>
      </c>
      <c r="AB392" s="99">
        <f>IFERROR(VLOOKUP(B392,'Pre-Summary'!$A$6:$P$178,9,FALSE),AB393)</f>
        <v>0.56106418808084624</v>
      </c>
      <c r="AC392" s="10">
        <f>IFERROR(VLOOKUP(Summary!B392,'Pre-Summary'!$A$6:$P$184,5, FALSE)/100,AC393)</f>
        <v>0.82638299999999998</v>
      </c>
      <c r="AD392" s="10">
        <f>IFERROR(VLOOKUP(Summary!B392,'Pre-Summary'!$A$6:$P$184,3, FALSE)/100,AD393)</f>
        <v>0.10673033333333334</v>
      </c>
      <c r="AE392" s="10">
        <f>IFERROR(VLOOKUP(Summary!B392,'Pre-Summary'!$A$6:$P$184,7, FALSE)/100,AE393)</f>
        <v>6.6886666666666664E-2</v>
      </c>
      <c r="AF392" s="99">
        <f t="shared" si="19"/>
        <v>5.9882567815264749E-2</v>
      </c>
      <c r="AG392" s="99">
        <f t="shared" si="20"/>
        <v>3.7527713326767534E-2</v>
      </c>
      <c r="AH392" s="10" t="str">
        <f>IFERROR(VLOOKUP(B392,'Pre-Summary'!$AZ$6:$BE$65,3,FALSE),"")</f>
        <v/>
      </c>
      <c r="AI392" s="10" t="str">
        <f>IFERROR(VLOOKUP(B392,'Pre-Summary'!$AZ$6:$BE$65,5,FALSE),"")</f>
        <v/>
      </c>
      <c r="AJ392" s="10" t="str">
        <f>IFERROR(VLOOKUP(B392,'Pre-Summary'!$AZ$6:$BE$65,4,FALSE),"")</f>
        <v/>
      </c>
      <c r="AK392" s="10" t="str">
        <f>IFERROR(VLOOKUP(B392,'Pre-Summary'!$AZ$6:$BE$65,6,FALSE),"")</f>
        <v/>
      </c>
      <c r="AL392" s="10" t="str">
        <f>IFERROR(VLOOKUP(B392,'Pre-Summary'!$BG$6:$BL$44,3,FALSE),"")</f>
        <v/>
      </c>
      <c r="AM392" s="10" t="str">
        <f>IFERROR(VLOOKUP(B392,'Pre-Summary'!$BG$6:$BL$44,4,FALSE),"")</f>
        <v/>
      </c>
    </row>
    <row r="393" spans="2:39" ht="15" customHeight="1" x14ac:dyDescent="0.3">
      <c r="B393">
        <v>39</v>
      </c>
      <c r="C393" t="str">
        <f>IFERROR(VLOOKUP(B393,'Pre-Summary'!$DI$6:$DM$23,4,FALSE),"")</f>
        <v/>
      </c>
      <c r="D393" s="10" t="str">
        <f>IFERROR(VLOOKUP(B393,'Pre-Summary'!$AT$6:$AX$14,5,FALSE),D392)</f>
        <v>DSMZ v2: Dropped Na-Ac out of DSMZ 120 media</v>
      </c>
      <c r="E393" s="10" t="str">
        <f>IFERROR(VLOOKUP(B393,'Pre-Summary'!$AT$6:$AX$15,4,FALSE),"")</f>
        <v/>
      </c>
      <c r="F393">
        <f>IFERROR(VLOOKUP(B393,'Pre-Summary'!$AL$6:$AQ$13,6,FALSE),F392)</f>
        <v>5.9405263157894746E-2</v>
      </c>
      <c r="G393" t="str">
        <f>IFERROR(VLOOKUP(B393,'Pre-Summary'!$AE$6:$AJ$85,3,FALSE),"")</f>
        <v/>
      </c>
      <c r="H393" t="str">
        <f>IFERROR(VLOOKUP(B393,'Pre-Summary'!$AE$6:$AJ$85,4,FALSE),"")</f>
        <v/>
      </c>
      <c r="I393" t="str">
        <f>IFERROR(VLOOKUP(B393,'Pre-Summary'!$AE$6:$AJ$85,5,FALSE),"")</f>
        <v/>
      </c>
      <c r="J393" s="45" t="str">
        <f>IFERROR(VLOOKUP(B393,'Pre-Summary'!$AE$6:$AJ$85,6, FALSE),"")</f>
        <v/>
      </c>
      <c r="K393" s="45">
        <f>IFERROR(VLOOKUP(B393,'Pre-Summary'!$DE$6:$DG$61,3,FALSE),"")</f>
        <v>15620</v>
      </c>
      <c r="L393" s="45" t="str">
        <f>IFERROR(VLOOKUP(B393,'Pre-Summary'!$CU$6:$CW$36,3,FALSE),"")</f>
        <v/>
      </c>
      <c r="M393" s="45" t="str">
        <f>IFERROR(VLOOKUP(B393,'Pre-Summary'!$BW$6:$BY$58,2,FALSE),"")</f>
        <v/>
      </c>
      <c r="N393" s="45" t="str">
        <f>IFERROR(VLOOKUP(B393,'Pre-Summary'!$CD$6:$CF$64,2,FALSE),"")</f>
        <v/>
      </c>
      <c r="O393" s="99">
        <f>IFERROR(VLOOKUP(B393,'Pre-Summary'!$BO$6:$BQ$48,3, FALSE),O392)</f>
        <v>1.0915248032216731</v>
      </c>
      <c r="P393" s="99">
        <f>IFERROR(VLOOKUP(B393,'Pre-Summary'!$BS$6:$BU$35,3,FALSE),P392)</f>
        <v>0.25</v>
      </c>
      <c r="Q393" s="54">
        <f t="shared" si="18"/>
        <v>4.3660992128866924</v>
      </c>
      <c r="R393" s="53">
        <f>IFERROR(VLOOKUP(B393,'Pre-Summary'!$BG$6:$BM$44,7,FALSE),R394)</f>
        <v>7.5915763918363535E-2</v>
      </c>
      <c r="S393" s="53">
        <f>IFERROR(VLOOKUP(B393,'Pre-Summary'!$BG$6:$BM$44,6,FALSE),S394)</f>
        <v>5.2897473997019086E-2</v>
      </c>
      <c r="T393" s="45" t="str">
        <f>IFERROR(VLOOKUP(B393,'Pre-Summary'!$Y$6:$AC$83, 3,FALSE),"")</f>
        <v/>
      </c>
      <c r="U393" s="45" t="str">
        <f>IFERROR(VLOOKUP(B393,'Pre-Summary'!$Y$6:$AC$83, 4,FALSE),"")</f>
        <v/>
      </c>
      <c r="V393" t="str">
        <f>IFERROR(VLOOKUP(B393,'Pre-Summary'!$Y$6:$AC$83, 5,FALSE),"")</f>
        <v/>
      </c>
      <c r="W393" s="45" t="str">
        <f>IFERROR(VLOOKUP(B393,'Pre-Summary'!$Y$6:$AD$83,6,FALSE),"")</f>
        <v/>
      </c>
      <c r="X393" t="str">
        <f>IFERROR(VLOOKUP('Pre-Summary'!$DB$6:$DD$63,3,FALSE),"")</f>
        <v/>
      </c>
      <c r="Y393" t="str">
        <f>IFERROR(VLOOKUP(B393,'Pre-Summary'!$CR$6:$CT$36,3,FALSE),"")</f>
        <v/>
      </c>
      <c r="Z393" s="45" t="str">
        <f>IFERROR(VLOOKUP(B393,'Pre-Summary'!$BZ$6:$CB$63,2,FALSE),"")</f>
        <v/>
      </c>
      <c r="AA393" s="45" t="str">
        <f>IFERROR(VLOOKUP(B393,'Pre-Summary'!$CG$6:$CI$70,2,FALSE),"")</f>
        <v/>
      </c>
      <c r="AB393" s="99">
        <f>IFERROR(VLOOKUP(B393,'Pre-Summary'!$A$6:$P$178,9,FALSE),AB394)</f>
        <v>0.56106418808084624</v>
      </c>
      <c r="AC393" s="10">
        <f>IFERROR(VLOOKUP(Summary!B393,'Pre-Summary'!$A$6:$P$184,5, FALSE)/100,AC394)</f>
        <v>0.82638299999999998</v>
      </c>
      <c r="AD393" s="10">
        <f>IFERROR(VLOOKUP(Summary!B393,'Pre-Summary'!$A$6:$P$184,3, FALSE)/100,AD394)</f>
        <v>0.10673033333333334</v>
      </c>
      <c r="AE393" s="10">
        <f>IFERROR(VLOOKUP(Summary!B393,'Pre-Summary'!$A$6:$P$184,7, FALSE)/100,AE394)</f>
        <v>6.6886666666666664E-2</v>
      </c>
      <c r="AF393" s="99">
        <f t="shared" si="19"/>
        <v>5.9882567815264749E-2</v>
      </c>
      <c r="AG393" s="99">
        <f t="shared" si="20"/>
        <v>3.7527713326767534E-2</v>
      </c>
      <c r="AH393" s="10" t="str">
        <f>IFERROR(VLOOKUP(B393,'Pre-Summary'!$AZ$6:$BE$65,3,FALSE),"")</f>
        <v/>
      </c>
      <c r="AI393" s="10" t="str">
        <f>IFERROR(VLOOKUP(B393,'Pre-Summary'!$AZ$6:$BE$65,5,FALSE),"")</f>
        <v/>
      </c>
      <c r="AJ393" s="10" t="str">
        <f>IFERROR(VLOOKUP(B393,'Pre-Summary'!$AZ$6:$BE$65,4,FALSE),"")</f>
        <v/>
      </c>
      <c r="AK393" s="10" t="str">
        <f>IFERROR(VLOOKUP(B393,'Pre-Summary'!$AZ$6:$BE$65,6,FALSE),"")</f>
        <v/>
      </c>
      <c r="AL393" s="10" t="str">
        <f>IFERROR(VLOOKUP(B393,'Pre-Summary'!$BG$6:$BL$44,3,FALSE),"")</f>
        <v/>
      </c>
      <c r="AM393" s="10" t="str">
        <f>IFERROR(VLOOKUP(B393,'Pre-Summary'!$BG$6:$BL$44,4,FALSE),"")</f>
        <v/>
      </c>
    </row>
    <row r="394" spans="2:39" ht="15" customHeight="1" x14ac:dyDescent="0.3">
      <c r="B394">
        <v>39.1</v>
      </c>
      <c r="C394" t="str">
        <f>IFERROR(VLOOKUP(B394,'Pre-Summary'!$DI$6:$DM$23,4,FALSE),"")</f>
        <v/>
      </c>
      <c r="D394" s="10" t="str">
        <f>IFERROR(VLOOKUP(B394,'Pre-Summary'!$AT$6:$AX$14,5,FALSE),D393)</f>
        <v>DSMZ v2: Dropped Na-Ac out of DSMZ 120 media</v>
      </c>
      <c r="E394" s="10" t="str">
        <f>IFERROR(VLOOKUP(B394,'Pre-Summary'!$AT$6:$AX$15,4,FALSE),"")</f>
        <v/>
      </c>
      <c r="F394">
        <f>IFERROR(VLOOKUP(B394,'Pre-Summary'!$AL$6:$AQ$13,6,FALSE),F393)</f>
        <v>5.9405263157894746E-2</v>
      </c>
      <c r="G394" t="str">
        <f>IFERROR(VLOOKUP(B394,'Pre-Summary'!$AE$6:$AJ$85,3,FALSE),"")</f>
        <v/>
      </c>
      <c r="H394" t="str">
        <f>IFERROR(VLOOKUP(B394,'Pre-Summary'!$AE$6:$AJ$85,4,FALSE),"")</f>
        <v/>
      </c>
      <c r="I394" t="str">
        <f>IFERROR(VLOOKUP(B394,'Pre-Summary'!$AE$6:$AJ$85,5,FALSE),"")</f>
        <v/>
      </c>
      <c r="J394" s="45" t="str">
        <f>IFERROR(VLOOKUP(B394,'Pre-Summary'!$AE$6:$AJ$85,6, FALSE),"")</f>
        <v/>
      </c>
      <c r="K394" s="45" t="str">
        <f>IFERROR(VLOOKUP(B394,'Pre-Summary'!$DE$6:$DG$61,3,FALSE),"")</f>
        <v/>
      </c>
      <c r="L394" s="45" t="str">
        <f>IFERROR(VLOOKUP(B394,'Pre-Summary'!$CU$6:$CW$36,3,FALSE),"")</f>
        <v/>
      </c>
      <c r="M394" s="45" t="str">
        <f>IFERROR(VLOOKUP(B394,'Pre-Summary'!$BW$6:$BY$58,2,FALSE),"")</f>
        <v/>
      </c>
      <c r="N394" s="45" t="str">
        <f>IFERROR(VLOOKUP(B394,'Pre-Summary'!$CD$6:$CF$64,2,FALSE),"")</f>
        <v/>
      </c>
      <c r="O394" s="99">
        <f>IFERROR(VLOOKUP(B394,'Pre-Summary'!$BO$6:$BQ$48,3, FALSE),O393)</f>
        <v>1.0915248032216731</v>
      </c>
      <c r="P394" s="99">
        <f>IFERROR(VLOOKUP(B394,'Pre-Summary'!$BS$6:$BU$35,3,FALSE),P393)</f>
        <v>0.25</v>
      </c>
      <c r="Q394" s="54">
        <f t="shared" si="18"/>
        <v>4.3660992128866924</v>
      </c>
      <c r="R394" s="53">
        <f>IFERROR(VLOOKUP(B394,'Pre-Summary'!$BG$6:$BM$44,7,FALSE),R395)</f>
        <v>7.5915763918363535E-2</v>
      </c>
      <c r="S394" s="53">
        <f>IFERROR(VLOOKUP(B394,'Pre-Summary'!$BG$6:$BM$44,6,FALSE),S395)</f>
        <v>5.2897473997019086E-2</v>
      </c>
      <c r="T394" s="45" t="str">
        <f>IFERROR(VLOOKUP(B394,'Pre-Summary'!$Y$6:$AC$83, 3,FALSE),"")</f>
        <v/>
      </c>
      <c r="U394" s="45" t="str">
        <f>IFERROR(VLOOKUP(B394,'Pre-Summary'!$Y$6:$AC$83, 4,FALSE),"")</f>
        <v/>
      </c>
      <c r="V394" t="str">
        <f>IFERROR(VLOOKUP(B394,'Pre-Summary'!$Y$6:$AC$83, 5,FALSE),"")</f>
        <v/>
      </c>
      <c r="W394" s="45" t="str">
        <f>IFERROR(VLOOKUP(B394,'Pre-Summary'!$Y$6:$AD$83,6,FALSE),"")</f>
        <v/>
      </c>
      <c r="X394" t="str">
        <f>IFERROR(VLOOKUP('Pre-Summary'!$DB$6:$DD$63,3,FALSE),"")</f>
        <v/>
      </c>
      <c r="Y394" t="str">
        <f>IFERROR(VLOOKUP(B394,'Pre-Summary'!$CR$6:$CT$36,3,FALSE),"")</f>
        <v/>
      </c>
      <c r="Z394" s="45" t="str">
        <f>IFERROR(VLOOKUP(B394,'Pre-Summary'!$BZ$6:$CB$63,2,FALSE),"")</f>
        <v/>
      </c>
      <c r="AA394" s="45" t="str">
        <f>IFERROR(VLOOKUP(B394,'Pre-Summary'!$CG$6:$CI$70,2,FALSE),"")</f>
        <v/>
      </c>
      <c r="AB394" s="99">
        <f>IFERROR(VLOOKUP(B394,'Pre-Summary'!$A$6:$P$178,9,FALSE),AB395)</f>
        <v>0.56106418808084624</v>
      </c>
      <c r="AC394" s="10">
        <f>IFERROR(VLOOKUP(Summary!B394,'Pre-Summary'!$A$6:$P$184,5, FALSE)/100,AC395)</f>
        <v>0.82638299999999998</v>
      </c>
      <c r="AD394" s="10">
        <f>IFERROR(VLOOKUP(Summary!B394,'Pre-Summary'!$A$6:$P$184,3, FALSE)/100,AD395)</f>
        <v>0.10673033333333334</v>
      </c>
      <c r="AE394" s="10">
        <f>IFERROR(VLOOKUP(Summary!B394,'Pre-Summary'!$A$6:$P$184,7, FALSE)/100,AE395)</f>
        <v>6.6886666666666664E-2</v>
      </c>
      <c r="AF394" s="99">
        <f t="shared" si="19"/>
        <v>5.9882567815264749E-2</v>
      </c>
      <c r="AG394" s="99">
        <f t="shared" si="20"/>
        <v>3.7527713326767534E-2</v>
      </c>
      <c r="AH394" s="10" t="str">
        <f>IFERROR(VLOOKUP(B394,'Pre-Summary'!$AZ$6:$BE$65,3,FALSE),"")</f>
        <v/>
      </c>
      <c r="AI394" s="10" t="str">
        <f>IFERROR(VLOOKUP(B394,'Pre-Summary'!$AZ$6:$BE$65,5,FALSE),"")</f>
        <v/>
      </c>
      <c r="AJ394" s="10" t="str">
        <f>IFERROR(VLOOKUP(B394,'Pre-Summary'!$AZ$6:$BE$65,4,FALSE),"")</f>
        <v/>
      </c>
      <c r="AK394" s="10" t="str">
        <f>IFERROR(VLOOKUP(B394,'Pre-Summary'!$AZ$6:$BE$65,6,FALSE),"")</f>
        <v/>
      </c>
      <c r="AL394" s="10" t="str">
        <f>IFERROR(VLOOKUP(B394,'Pre-Summary'!$BG$6:$BL$44,3,FALSE),"")</f>
        <v/>
      </c>
      <c r="AM394" s="10" t="str">
        <f>IFERROR(VLOOKUP(B394,'Pre-Summary'!$BG$6:$BL$44,4,FALSE),"")</f>
        <v/>
      </c>
    </row>
    <row r="395" spans="2:39" ht="15" customHeight="1" x14ac:dyDescent="0.3">
      <c r="B395">
        <v>39.200000000000003</v>
      </c>
      <c r="C395" t="str">
        <f>IFERROR(VLOOKUP(B395,'Pre-Summary'!$DI$6:$DM$23,4,FALSE),"")</f>
        <v/>
      </c>
      <c r="D395" s="10" t="str">
        <f>IFERROR(VLOOKUP(B395,'Pre-Summary'!$AT$6:$AX$14,5,FALSE),D394)</f>
        <v>DSMZ v2: Dropped Na-Ac out of DSMZ 120 media</v>
      </c>
      <c r="E395" s="10" t="str">
        <f>IFERROR(VLOOKUP(B395,'Pre-Summary'!$AT$6:$AX$15,4,FALSE),"")</f>
        <v/>
      </c>
      <c r="F395">
        <f>IFERROR(VLOOKUP(B395,'Pre-Summary'!$AL$6:$AQ$13,6,FALSE),F394)</f>
        <v>5.9405263157894746E-2</v>
      </c>
      <c r="G395" t="str">
        <f>IFERROR(VLOOKUP(B395,'Pre-Summary'!$AE$6:$AJ$85,3,FALSE),"")</f>
        <v/>
      </c>
      <c r="H395" t="str">
        <f>IFERROR(VLOOKUP(B395,'Pre-Summary'!$AE$6:$AJ$85,4,FALSE),"")</f>
        <v/>
      </c>
      <c r="I395" t="str">
        <f>IFERROR(VLOOKUP(B395,'Pre-Summary'!$AE$6:$AJ$85,5,FALSE),"")</f>
        <v/>
      </c>
      <c r="J395" s="45" t="str">
        <f>IFERROR(VLOOKUP(B395,'Pre-Summary'!$AE$6:$AJ$85,6, FALSE),"")</f>
        <v/>
      </c>
      <c r="K395" s="45" t="str">
        <f>IFERROR(VLOOKUP(B395,'Pre-Summary'!$DE$6:$DG$61,3,FALSE),"")</f>
        <v/>
      </c>
      <c r="L395" s="45" t="str">
        <f>IFERROR(VLOOKUP(B395,'Pre-Summary'!$CU$6:$CW$36,3,FALSE),"")</f>
        <v/>
      </c>
      <c r="M395" s="45" t="str">
        <f>IFERROR(VLOOKUP(B395,'Pre-Summary'!$BW$6:$BY$58,2,FALSE),"")</f>
        <v/>
      </c>
      <c r="N395" s="45" t="str">
        <f>IFERROR(VLOOKUP(B395,'Pre-Summary'!$CD$6:$CF$64,2,FALSE),"")</f>
        <v/>
      </c>
      <c r="O395" s="99">
        <f>IFERROR(VLOOKUP(B395,'Pre-Summary'!$BO$6:$BQ$48,3, FALSE),O394)</f>
        <v>1.0915248032216731</v>
      </c>
      <c r="P395" s="99">
        <f>IFERROR(VLOOKUP(B395,'Pre-Summary'!$BS$6:$BU$35,3,FALSE),P394)</f>
        <v>0.25</v>
      </c>
      <c r="Q395" s="54">
        <f t="shared" si="18"/>
        <v>4.3660992128866924</v>
      </c>
      <c r="R395" s="53">
        <f>IFERROR(VLOOKUP(B395,'Pre-Summary'!$BG$6:$BM$44,7,FALSE),R396)</f>
        <v>7.5915763918363535E-2</v>
      </c>
      <c r="S395" s="53">
        <f>IFERROR(VLOOKUP(B395,'Pre-Summary'!$BG$6:$BM$44,6,FALSE),S396)</f>
        <v>5.2897473997019086E-2</v>
      </c>
      <c r="T395" s="45" t="str">
        <f>IFERROR(VLOOKUP(B395,'Pre-Summary'!$Y$6:$AC$83, 3,FALSE),"")</f>
        <v/>
      </c>
      <c r="U395" s="45" t="str">
        <f>IFERROR(VLOOKUP(B395,'Pre-Summary'!$Y$6:$AC$83, 4,FALSE),"")</f>
        <v/>
      </c>
      <c r="V395" t="str">
        <f>IFERROR(VLOOKUP(B395,'Pre-Summary'!$Y$6:$AC$83, 5,FALSE),"")</f>
        <v/>
      </c>
      <c r="W395" s="45" t="str">
        <f>IFERROR(VLOOKUP(B395,'Pre-Summary'!$Y$6:$AD$83,6,FALSE),"")</f>
        <v/>
      </c>
      <c r="X395" t="str">
        <f>IFERROR(VLOOKUP('Pre-Summary'!$DB$6:$DD$63,3,FALSE),"")</f>
        <v/>
      </c>
      <c r="Y395" t="str">
        <f>IFERROR(VLOOKUP(B395,'Pre-Summary'!$CR$6:$CT$36,3,FALSE),"")</f>
        <v/>
      </c>
      <c r="Z395" s="45" t="str">
        <f>IFERROR(VLOOKUP(B395,'Pre-Summary'!$BZ$6:$CB$63,2,FALSE),"")</f>
        <v/>
      </c>
      <c r="AA395" s="45" t="str">
        <f>IFERROR(VLOOKUP(B395,'Pre-Summary'!$CG$6:$CI$70,2,FALSE),"")</f>
        <v/>
      </c>
      <c r="AB395" s="99">
        <f>IFERROR(VLOOKUP(B395,'Pre-Summary'!$A$6:$P$178,9,FALSE),AB396)</f>
        <v>0.56106418808084624</v>
      </c>
      <c r="AC395" s="10">
        <f>IFERROR(VLOOKUP(Summary!B395,'Pre-Summary'!$A$6:$P$184,5, FALSE)/100,AC396)</f>
        <v>0.82638299999999998</v>
      </c>
      <c r="AD395" s="10">
        <f>IFERROR(VLOOKUP(Summary!B395,'Pre-Summary'!$A$6:$P$184,3, FALSE)/100,AD396)</f>
        <v>0.10673033333333334</v>
      </c>
      <c r="AE395" s="10">
        <f>IFERROR(VLOOKUP(Summary!B395,'Pre-Summary'!$A$6:$P$184,7, FALSE)/100,AE396)</f>
        <v>6.6886666666666664E-2</v>
      </c>
      <c r="AF395" s="99">
        <f t="shared" si="19"/>
        <v>5.9882567815264749E-2</v>
      </c>
      <c r="AG395" s="99">
        <f t="shared" si="20"/>
        <v>3.7527713326767534E-2</v>
      </c>
      <c r="AH395" s="10" t="str">
        <f>IFERROR(VLOOKUP(B395,'Pre-Summary'!$AZ$6:$BE$65,3,FALSE),"")</f>
        <v/>
      </c>
      <c r="AI395" s="10" t="str">
        <f>IFERROR(VLOOKUP(B395,'Pre-Summary'!$AZ$6:$BE$65,5,FALSE),"")</f>
        <v/>
      </c>
      <c r="AJ395" s="10" t="str">
        <f>IFERROR(VLOOKUP(B395,'Pre-Summary'!$AZ$6:$BE$65,4,FALSE),"")</f>
        <v/>
      </c>
      <c r="AK395" s="10" t="str">
        <f>IFERROR(VLOOKUP(B395,'Pre-Summary'!$AZ$6:$BE$65,6,FALSE),"")</f>
        <v/>
      </c>
      <c r="AL395" s="10" t="str">
        <f>IFERROR(VLOOKUP(B395,'Pre-Summary'!$BG$6:$BL$44,3,FALSE),"")</f>
        <v/>
      </c>
      <c r="AM395" s="10" t="str">
        <f>IFERROR(VLOOKUP(B395,'Pre-Summary'!$BG$6:$BL$44,4,FALSE),"")</f>
        <v/>
      </c>
    </row>
    <row r="396" spans="2:39" ht="15" customHeight="1" x14ac:dyDescent="0.3">
      <c r="B396">
        <v>39.299999999999997</v>
      </c>
      <c r="C396" t="str">
        <f>IFERROR(VLOOKUP(B396,'Pre-Summary'!$DI$6:$DM$23,4,FALSE),"")</f>
        <v/>
      </c>
      <c r="D396" s="10" t="str">
        <f>IFERROR(VLOOKUP(B396,'Pre-Summary'!$AT$6:$AX$14,5,FALSE),D395)</f>
        <v>DSMZ v2: Dropped Na-Ac out of DSMZ 120 media</v>
      </c>
      <c r="E396" s="10" t="str">
        <f>IFERROR(VLOOKUP(B396,'Pre-Summary'!$AT$6:$AX$15,4,FALSE),"")</f>
        <v/>
      </c>
      <c r="F396">
        <f>IFERROR(VLOOKUP(B396,'Pre-Summary'!$AL$6:$AQ$13,6,FALSE),F395)</f>
        <v>5.9405263157894746E-2</v>
      </c>
      <c r="G396" t="str">
        <f>IFERROR(VLOOKUP(B396,'Pre-Summary'!$AE$6:$AJ$85,3,FALSE),"")</f>
        <v/>
      </c>
      <c r="H396" t="str">
        <f>IFERROR(VLOOKUP(B396,'Pre-Summary'!$AE$6:$AJ$85,4,FALSE),"")</f>
        <v/>
      </c>
      <c r="I396" t="str">
        <f>IFERROR(VLOOKUP(B396,'Pre-Summary'!$AE$6:$AJ$85,5,FALSE),"")</f>
        <v/>
      </c>
      <c r="J396" s="45" t="str">
        <f>IFERROR(VLOOKUP(B396,'Pre-Summary'!$AE$6:$AJ$85,6, FALSE),"")</f>
        <v/>
      </c>
      <c r="K396" s="45" t="str">
        <f>IFERROR(VLOOKUP(B396,'Pre-Summary'!$DE$6:$DG$61,3,FALSE),"")</f>
        <v/>
      </c>
      <c r="L396" s="45" t="str">
        <f>IFERROR(VLOOKUP(B396,'Pre-Summary'!$CU$6:$CW$36,3,FALSE),"")</f>
        <v/>
      </c>
      <c r="M396" s="45" t="str">
        <f>IFERROR(VLOOKUP(B396,'Pre-Summary'!$BW$6:$BY$58,2,FALSE),"")</f>
        <v/>
      </c>
      <c r="N396" s="45" t="str">
        <f>IFERROR(VLOOKUP(B396,'Pre-Summary'!$CD$6:$CF$64,2,FALSE),"")</f>
        <v/>
      </c>
      <c r="O396" s="99">
        <f>IFERROR(VLOOKUP(B396,'Pre-Summary'!$BO$6:$BQ$48,3, FALSE),O395)</f>
        <v>1.0915248032216731</v>
      </c>
      <c r="P396" s="99">
        <f>IFERROR(VLOOKUP(B396,'Pre-Summary'!$BS$6:$BU$35,3,FALSE),P395)</f>
        <v>0.25</v>
      </c>
      <c r="Q396" s="54">
        <f t="shared" si="18"/>
        <v>4.3660992128866924</v>
      </c>
      <c r="R396" s="53">
        <f>IFERROR(VLOOKUP(B396,'Pre-Summary'!$BG$6:$BM$44,7,FALSE),R397)</f>
        <v>7.5915763918363535E-2</v>
      </c>
      <c r="S396" s="53">
        <f>IFERROR(VLOOKUP(B396,'Pre-Summary'!$BG$6:$BM$44,6,FALSE),S397)</f>
        <v>5.2897473997019086E-2</v>
      </c>
      <c r="T396" s="45" t="str">
        <f>IFERROR(VLOOKUP(B396,'Pre-Summary'!$Y$6:$AC$83, 3,FALSE),"")</f>
        <v/>
      </c>
      <c r="U396" s="45" t="str">
        <f>IFERROR(VLOOKUP(B396,'Pre-Summary'!$Y$6:$AC$83, 4,FALSE),"")</f>
        <v/>
      </c>
      <c r="V396" t="str">
        <f>IFERROR(VLOOKUP(B396,'Pre-Summary'!$Y$6:$AC$83, 5,FALSE),"")</f>
        <v/>
      </c>
      <c r="W396" s="45" t="str">
        <f>IFERROR(VLOOKUP(B396,'Pre-Summary'!$Y$6:$AD$83,6,FALSE),"")</f>
        <v/>
      </c>
      <c r="X396" t="str">
        <f>IFERROR(VLOOKUP('Pre-Summary'!$DB$6:$DD$63,3,FALSE),"")</f>
        <v/>
      </c>
      <c r="Y396" t="str">
        <f>IFERROR(VLOOKUP(B396,'Pre-Summary'!$CR$6:$CT$36,3,FALSE),"")</f>
        <v/>
      </c>
      <c r="Z396" s="45" t="str">
        <f>IFERROR(VLOOKUP(B396,'Pre-Summary'!$BZ$6:$CB$63,2,FALSE),"")</f>
        <v/>
      </c>
      <c r="AA396" s="45" t="str">
        <f>IFERROR(VLOOKUP(B396,'Pre-Summary'!$CG$6:$CI$70,2,FALSE),"")</f>
        <v/>
      </c>
      <c r="AB396" s="99">
        <f>IFERROR(VLOOKUP(B396,'Pre-Summary'!$A$6:$P$178,9,FALSE),AB397)</f>
        <v>0.56106418808084624</v>
      </c>
      <c r="AC396" s="10">
        <f>IFERROR(VLOOKUP(Summary!B396,'Pre-Summary'!$A$6:$P$184,5, FALSE)/100,AC397)</f>
        <v>0.82638299999999998</v>
      </c>
      <c r="AD396" s="10">
        <f>IFERROR(VLOOKUP(Summary!B396,'Pre-Summary'!$A$6:$P$184,3, FALSE)/100,AD397)</f>
        <v>0.10673033333333334</v>
      </c>
      <c r="AE396" s="10">
        <f>IFERROR(VLOOKUP(Summary!B396,'Pre-Summary'!$A$6:$P$184,7, FALSE)/100,AE397)</f>
        <v>6.6886666666666664E-2</v>
      </c>
      <c r="AF396" s="99">
        <f t="shared" si="19"/>
        <v>5.9882567815264749E-2</v>
      </c>
      <c r="AG396" s="99">
        <f t="shared" si="20"/>
        <v>3.7527713326767534E-2</v>
      </c>
      <c r="AH396" s="10" t="str">
        <f>IFERROR(VLOOKUP(B396,'Pre-Summary'!$AZ$6:$BE$65,3,FALSE),"")</f>
        <v/>
      </c>
      <c r="AI396" s="10" t="str">
        <f>IFERROR(VLOOKUP(B396,'Pre-Summary'!$AZ$6:$BE$65,5,FALSE),"")</f>
        <v/>
      </c>
      <c r="AJ396" s="10" t="str">
        <f>IFERROR(VLOOKUP(B396,'Pre-Summary'!$AZ$6:$BE$65,4,FALSE),"")</f>
        <v/>
      </c>
      <c r="AK396" s="10" t="str">
        <f>IFERROR(VLOOKUP(B396,'Pre-Summary'!$AZ$6:$BE$65,6,FALSE),"")</f>
        <v/>
      </c>
      <c r="AL396" s="10" t="str">
        <f>IFERROR(VLOOKUP(B396,'Pre-Summary'!$BG$6:$BL$44,3,FALSE),"")</f>
        <v/>
      </c>
      <c r="AM396" s="10" t="str">
        <f>IFERROR(VLOOKUP(B396,'Pre-Summary'!$BG$6:$BL$44,4,FALSE),"")</f>
        <v/>
      </c>
    </row>
    <row r="397" spans="2:39" ht="15" customHeight="1" x14ac:dyDescent="0.3">
      <c r="B397">
        <v>39.4</v>
      </c>
      <c r="C397" t="str">
        <f>IFERROR(VLOOKUP(B397,'Pre-Summary'!$DI$6:$DM$23,4,FALSE),"")</f>
        <v/>
      </c>
      <c r="D397" s="10" t="str">
        <f>IFERROR(VLOOKUP(B397,'Pre-Summary'!$AT$6:$AX$14,5,FALSE),D396)</f>
        <v>DSMZ v2: Dropped Na-Ac out of DSMZ 120 media</v>
      </c>
      <c r="E397" s="10" t="str">
        <f>IFERROR(VLOOKUP(B397,'Pre-Summary'!$AT$6:$AX$15,4,FALSE),"")</f>
        <v/>
      </c>
      <c r="F397">
        <f>IFERROR(VLOOKUP(B397,'Pre-Summary'!$AL$6:$AQ$13,6,FALSE),F396)</f>
        <v>5.9405263157894746E-2</v>
      </c>
      <c r="G397" t="str">
        <f>IFERROR(VLOOKUP(B397,'Pre-Summary'!$AE$6:$AJ$85,3,FALSE),"")</f>
        <v/>
      </c>
      <c r="H397" t="str">
        <f>IFERROR(VLOOKUP(B397,'Pre-Summary'!$AE$6:$AJ$85,4,FALSE),"")</f>
        <v/>
      </c>
      <c r="I397" t="str">
        <f>IFERROR(VLOOKUP(B397,'Pre-Summary'!$AE$6:$AJ$85,5,FALSE),"")</f>
        <v/>
      </c>
      <c r="J397" s="45" t="str">
        <f>IFERROR(VLOOKUP(B397,'Pre-Summary'!$AE$6:$AJ$85,6, FALSE),"")</f>
        <v/>
      </c>
      <c r="K397" s="45" t="str">
        <f>IFERROR(VLOOKUP(B397,'Pre-Summary'!$DE$6:$DG$61,3,FALSE),"")</f>
        <v/>
      </c>
      <c r="L397" s="45" t="str">
        <f>IFERROR(VLOOKUP(B397,'Pre-Summary'!$CU$6:$CW$36,3,FALSE),"")</f>
        <v/>
      </c>
      <c r="M397" s="45" t="str">
        <f>IFERROR(VLOOKUP(B397,'Pre-Summary'!$BW$6:$BY$58,2,FALSE),"")</f>
        <v/>
      </c>
      <c r="N397" s="45" t="str">
        <f>IFERROR(VLOOKUP(B397,'Pre-Summary'!$CD$6:$CF$64,2,FALSE),"")</f>
        <v/>
      </c>
      <c r="O397" s="99">
        <f>IFERROR(VLOOKUP(B397,'Pre-Summary'!$BO$6:$BQ$48,3, FALSE),O396)</f>
        <v>1.0915248032216731</v>
      </c>
      <c r="P397" s="99">
        <f>IFERROR(VLOOKUP(B397,'Pre-Summary'!$BS$6:$BU$35,3,FALSE),P396)</f>
        <v>0.25</v>
      </c>
      <c r="Q397" s="54">
        <f t="shared" si="18"/>
        <v>4.3660992128866924</v>
      </c>
      <c r="R397" s="53">
        <f>IFERROR(VLOOKUP(B397,'Pre-Summary'!$BG$6:$BM$44,7,FALSE),R398)</f>
        <v>7.5915763918363535E-2</v>
      </c>
      <c r="S397" s="53">
        <f>IFERROR(VLOOKUP(B397,'Pre-Summary'!$BG$6:$BM$44,6,FALSE),S398)</f>
        <v>5.2897473997019086E-2</v>
      </c>
      <c r="T397" s="45" t="str">
        <f>IFERROR(VLOOKUP(B397,'Pre-Summary'!$Y$6:$AC$83, 3,FALSE),"")</f>
        <v/>
      </c>
      <c r="U397" s="45" t="str">
        <f>IFERROR(VLOOKUP(B397,'Pre-Summary'!$Y$6:$AC$83, 4,FALSE),"")</f>
        <v/>
      </c>
      <c r="V397" t="str">
        <f>IFERROR(VLOOKUP(B397,'Pre-Summary'!$Y$6:$AC$83, 5,FALSE),"")</f>
        <v/>
      </c>
      <c r="W397" s="45" t="str">
        <f>IFERROR(VLOOKUP(B397,'Pre-Summary'!$Y$6:$AD$83,6,FALSE),"")</f>
        <v/>
      </c>
      <c r="X397" t="str">
        <f>IFERROR(VLOOKUP('Pre-Summary'!$DB$6:$DD$63,3,FALSE),"")</f>
        <v/>
      </c>
      <c r="Y397" t="str">
        <f>IFERROR(VLOOKUP(B397,'Pre-Summary'!$CR$6:$CT$36,3,FALSE),"")</f>
        <v/>
      </c>
      <c r="Z397" s="45" t="str">
        <f>IFERROR(VLOOKUP(B397,'Pre-Summary'!$BZ$6:$CB$63,2,FALSE),"")</f>
        <v/>
      </c>
      <c r="AA397" s="45" t="str">
        <f>IFERROR(VLOOKUP(B397,'Pre-Summary'!$CG$6:$CI$70,2,FALSE),"")</f>
        <v/>
      </c>
      <c r="AB397" s="99">
        <f>IFERROR(VLOOKUP(B397,'Pre-Summary'!$A$6:$P$178,9,FALSE),AB398)</f>
        <v>0.56106418808084624</v>
      </c>
      <c r="AC397" s="10">
        <f>IFERROR(VLOOKUP(Summary!B397,'Pre-Summary'!$A$6:$P$184,5, FALSE)/100,AC398)</f>
        <v>0.82638299999999998</v>
      </c>
      <c r="AD397" s="10">
        <f>IFERROR(VLOOKUP(Summary!B397,'Pre-Summary'!$A$6:$P$184,3, FALSE)/100,AD398)</f>
        <v>0.10673033333333334</v>
      </c>
      <c r="AE397" s="10">
        <f>IFERROR(VLOOKUP(Summary!B397,'Pre-Summary'!$A$6:$P$184,7, FALSE)/100,AE398)</f>
        <v>6.6886666666666664E-2</v>
      </c>
      <c r="AF397" s="99">
        <f t="shared" si="19"/>
        <v>5.9882567815264749E-2</v>
      </c>
      <c r="AG397" s="99">
        <f t="shared" si="20"/>
        <v>3.7527713326767534E-2</v>
      </c>
      <c r="AH397" s="10" t="str">
        <f>IFERROR(VLOOKUP(B397,'Pre-Summary'!$AZ$6:$BE$65,3,FALSE),"")</f>
        <v/>
      </c>
      <c r="AI397" s="10" t="str">
        <f>IFERROR(VLOOKUP(B397,'Pre-Summary'!$AZ$6:$BE$65,5,FALSE),"")</f>
        <v/>
      </c>
      <c r="AJ397" s="10" t="str">
        <f>IFERROR(VLOOKUP(B397,'Pre-Summary'!$AZ$6:$BE$65,4,FALSE),"")</f>
        <v/>
      </c>
      <c r="AK397" s="10" t="str">
        <f>IFERROR(VLOOKUP(B397,'Pre-Summary'!$AZ$6:$BE$65,6,FALSE),"")</f>
        <v/>
      </c>
      <c r="AL397" s="10" t="str">
        <f>IFERROR(VLOOKUP(B397,'Pre-Summary'!$BG$6:$BL$44,3,FALSE),"")</f>
        <v/>
      </c>
      <c r="AM397" s="10" t="str">
        <f>IFERROR(VLOOKUP(B397,'Pre-Summary'!$BG$6:$BL$44,4,FALSE),"")</f>
        <v/>
      </c>
    </row>
    <row r="398" spans="2:39" ht="15" customHeight="1" x14ac:dyDescent="0.3">
      <c r="B398">
        <v>39.5</v>
      </c>
      <c r="C398" t="str">
        <f>IFERROR(VLOOKUP(B398,'Pre-Summary'!$DI$6:$DM$23,4,FALSE),"")</f>
        <v/>
      </c>
      <c r="D398" s="10" t="str">
        <f>IFERROR(VLOOKUP(B398,'Pre-Summary'!$AT$6:$AX$14,5,FALSE),D397)</f>
        <v>DSMZ v2: Dropped Na-Ac out of DSMZ 120 media</v>
      </c>
      <c r="E398" s="10" t="str">
        <f>IFERROR(VLOOKUP(B398,'Pre-Summary'!$AT$6:$AX$15,4,FALSE),"")</f>
        <v/>
      </c>
      <c r="F398">
        <f>IFERROR(VLOOKUP(B398,'Pre-Summary'!$AL$6:$AQ$13,6,FALSE),F397)</f>
        <v>5.9405263157894746E-2</v>
      </c>
      <c r="G398" t="str">
        <f>IFERROR(VLOOKUP(B398,'Pre-Summary'!$AE$6:$AJ$85,3,FALSE),"")</f>
        <v/>
      </c>
      <c r="H398" t="str">
        <f>IFERROR(VLOOKUP(B398,'Pre-Summary'!$AE$6:$AJ$85,4,FALSE),"")</f>
        <v/>
      </c>
      <c r="I398" t="str">
        <f>IFERROR(VLOOKUP(B398,'Pre-Summary'!$AE$6:$AJ$85,5,FALSE),"")</f>
        <v/>
      </c>
      <c r="J398" s="45" t="str">
        <f>IFERROR(VLOOKUP(B398,'Pre-Summary'!$AE$6:$AJ$85,6, FALSE),"")</f>
        <v/>
      </c>
      <c r="K398" s="45" t="str">
        <f>IFERROR(VLOOKUP(B398,'Pre-Summary'!$DE$6:$DG$61,3,FALSE),"")</f>
        <v/>
      </c>
      <c r="L398" s="45" t="str">
        <f>IFERROR(VLOOKUP(B398,'Pre-Summary'!$CU$6:$CW$36,3,FALSE),"")</f>
        <v/>
      </c>
      <c r="M398" s="45" t="str">
        <f>IFERROR(VLOOKUP(B398,'Pre-Summary'!$BW$6:$BY$58,2,FALSE),"")</f>
        <v/>
      </c>
      <c r="N398" s="45" t="str">
        <f>IFERROR(VLOOKUP(B398,'Pre-Summary'!$CD$6:$CF$64,2,FALSE),"")</f>
        <v/>
      </c>
      <c r="O398" s="99">
        <f>IFERROR(VLOOKUP(B398,'Pre-Summary'!$BO$6:$BQ$48,3, FALSE),O397)</f>
        <v>1.0915248032216731</v>
      </c>
      <c r="P398" s="99">
        <f>IFERROR(VLOOKUP(B398,'Pre-Summary'!$BS$6:$BU$35,3,FALSE),P397)</f>
        <v>0.25</v>
      </c>
      <c r="Q398" s="54">
        <f t="shared" si="18"/>
        <v>4.3660992128866924</v>
      </c>
      <c r="R398" s="53">
        <f>IFERROR(VLOOKUP(B398,'Pre-Summary'!$BG$6:$BM$44,7,FALSE),R399)</f>
        <v>7.5915763918363535E-2</v>
      </c>
      <c r="S398" s="53">
        <f>IFERROR(VLOOKUP(B398,'Pre-Summary'!$BG$6:$BM$44,6,FALSE),S399)</f>
        <v>5.2897473997019086E-2</v>
      </c>
      <c r="T398" s="45" t="str">
        <f>IFERROR(VLOOKUP(B398,'Pre-Summary'!$Y$6:$AC$83, 3,FALSE),"")</f>
        <v/>
      </c>
      <c r="U398" s="45" t="str">
        <f>IFERROR(VLOOKUP(B398,'Pre-Summary'!$Y$6:$AC$83, 4,FALSE),"")</f>
        <v/>
      </c>
      <c r="V398" t="str">
        <f>IFERROR(VLOOKUP(B398,'Pre-Summary'!$Y$6:$AC$83, 5,FALSE),"")</f>
        <v/>
      </c>
      <c r="W398" s="45" t="str">
        <f>IFERROR(VLOOKUP(B398,'Pre-Summary'!$Y$6:$AD$83,6,FALSE),"")</f>
        <v/>
      </c>
      <c r="X398" t="str">
        <f>IFERROR(VLOOKUP('Pre-Summary'!$DB$6:$DD$63,3,FALSE),"")</f>
        <v/>
      </c>
      <c r="Y398" t="str">
        <f>IFERROR(VLOOKUP(B398,'Pre-Summary'!$CR$6:$CT$36,3,FALSE),"")</f>
        <v/>
      </c>
      <c r="Z398" s="45" t="str">
        <f>IFERROR(VLOOKUP(B398,'Pre-Summary'!$BZ$6:$CB$63,2,FALSE),"")</f>
        <v/>
      </c>
      <c r="AA398" s="45" t="str">
        <f>IFERROR(VLOOKUP(B398,'Pre-Summary'!$CG$6:$CI$70,2,FALSE),"")</f>
        <v/>
      </c>
      <c r="AB398" s="99">
        <f>IFERROR(VLOOKUP(B398,'Pre-Summary'!$A$6:$P$178,9,FALSE),AB399)</f>
        <v>0.56106418808084624</v>
      </c>
      <c r="AC398" s="10">
        <f>IFERROR(VLOOKUP(Summary!B398,'Pre-Summary'!$A$6:$P$184,5, FALSE)/100,AC399)</f>
        <v>0.82638299999999998</v>
      </c>
      <c r="AD398" s="10">
        <f>IFERROR(VLOOKUP(Summary!B398,'Pre-Summary'!$A$6:$P$184,3, FALSE)/100,AD399)</f>
        <v>0.10673033333333334</v>
      </c>
      <c r="AE398" s="10">
        <f>IFERROR(VLOOKUP(Summary!B398,'Pre-Summary'!$A$6:$P$184,7, FALSE)/100,AE399)</f>
        <v>6.6886666666666664E-2</v>
      </c>
      <c r="AF398" s="99">
        <f t="shared" si="19"/>
        <v>5.9882567815264749E-2</v>
      </c>
      <c r="AG398" s="99">
        <f t="shared" si="20"/>
        <v>3.7527713326767534E-2</v>
      </c>
      <c r="AH398" s="10" t="str">
        <f>IFERROR(VLOOKUP(B398,'Pre-Summary'!$AZ$6:$BE$65,3,FALSE),"")</f>
        <v/>
      </c>
      <c r="AI398" s="10" t="str">
        <f>IFERROR(VLOOKUP(B398,'Pre-Summary'!$AZ$6:$BE$65,5,FALSE),"")</f>
        <v/>
      </c>
      <c r="AJ398" s="10" t="str">
        <f>IFERROR(VLOOKUP(B398,'Pre-Summary'!$AZ$6:$BE$65,4,FALSE),"")</f>
        <v/>
      </c>
      <c r="AK398" s="10" t="str">
        <f>IFERROR(VLOOKUP(B398,'Pre-Summary'!$AZ$6:$BE$65,6,FALSE),"")</f>
        <v/>
      </c>
      <c r="AL398" s="10" t="str">
        <f>IFERROR(VLOOKUP(B398,'Pre-Summary'!$BG$6:$BL$44,3,FALSE),"")</f>
        <v/>
      </c>
      <c r="AM398" s="10" t="str">
        <f>IFERROR(VLOOKUP(B398,'Pre-Summary'!$BG$6:$BL$44,4,FALSE),"")</f>
        <v/>
      </c>
    </row>
    <row r="399" spans="2:39" ht="15" customHeight="1" x14ac:dyDescent="0.3">
      <c r="B399">
        <v>39.6</v>
      </c>
      <c r="C399" t="str">
        <f>IFERROR(VLOOKUP(B399,'Pre-Summary'!$DI$6:$DM$23,4,FALSE),"")</f>
        <v/>
      </c>
      <c r="D399" s="10" t="str">
        <f>IFERROR(VLOOKUP(B399,'Pre-Summary'!$AT$6:$AX$14,5,FALSE),D398)</f>
        <v>DSMZ v2: Dropped Na-Ac out of DSMZ 120 media</v>
      </c>
      <c r="E399" s="10" t="str">
        <f>IFERROR(VLOOKUP(B399,'Pre-Summary'!$AT$6:$AX$15,4,FALSE),"")</f>
        <v/>
      </c>
      <c r="F399">
        <f>IFERROR(VLOOKUP(B399,'Pre-Summary'!$AL$6:$AQ$13,6,FALSE),F398)</f>
        <v>5.9405263157894746E-2</v>
      </c>
      <c r="G399" t="str">
        <f>IFERROR(VLOOKUP(B399,'Pre-Summary'!$AE$6:$AJ$85,3,FALSE),"")</f>
        <v/>
      </c>
      <c r="H399" t="str">
        <f>IFERROR(VLOOKUP(B399,'Pre-Summary'!$AE$6:$AJ$85,4,FALSE),"")</f>
        <v/>
      </c>
      <c r="I399" t="str">
        <f>IFERROR(VLOOKUP(B399,'Pre-Summary'!$AE$6:$AJ$85,5,FALSE),"")</f>
        <v/>
      </c>
      <c r="J399" s="45" t="str">
        <f>IFERROR(VLOOKUP(B399,'Pre-Summary'!$AE$6:$AJ$85,6, FALSE),"")</f>
        <v/>
      </c>
      <c r="K399" s="45" t="str">
        <f>IFERROR(VLOOKUP(B399,'Pre-Summary'!$DE$6:$DG$61,3,FALSE),"")</f>
        <v/>
      </c>
      <c r="L399" s="45" t="str">
        <f>IFERROR(VLOOKUP(B399,'Pre-Summary'!$CU$6:$CW$36,3,FALSE),"")</f>
        <v/>
      </c>
      <c r="M399" s="45" t="str">
        <f>IFERROR(VLOOKUP(B399,'Pre-Summary'!$BW$6:$BY$58,2,FALSE),"")</f>
        <v/>
      </c>
      <c r="N399" s="45" t="str">
        <f>IFERROR(VLOOKUP(B399,'Pre-Summary'!$CD$6:$CF$64,2,FALSE),"")</f>
        <v/>
      </c>
      <c r="O399" s="99">
        <f>IFERROR(VLOOKUP(B399,'Pre-Summary'!$BO$6:$BQ$48,3, FALSE),O398)</f>
        <v>1.0915248032216731</v>
      </c>
      <c r="P399" s="99">
        <f>IFERROR(VLOOKUP(B399,'Pre-Summary'!$BS$6:$BU$35,3,FALSE),P398)</f>
        <v>0.25</v>
      </c>
      <c r="Q399" s="54">
        <f t="shared" si="18"/>
        <v>4.3660992128866924</v>
      </c>
      <c r="R399" s="53">
        <f>IFERROR(VLOOKUP(B399,'Pre-Summary'!$BG$6:$BM$44,7,FALSE),R400)</f>
        <v>7.5915763918363535E-2</v>
      </c>
      <c r="S399" s="53">
        <f>IFERROR(VLOOKUP(B399,'Pre-Summary'!$BG$6:$BM$44,6,FALSE),S400)</f>
        <v>5.2897473997019086E-2</v>
      </c>
      <c r="T399" s="45" t="str">
        <f>IFERROR(VLOOKUP(B399,'Pre-Summary'!$Y$6:$AC$83, 3,FALSE),"")</f>
        <v/>
      </c>
      <c r="U399" s="45" t="str">
        <f>IFERROR(VLOOKUP(B399,'Pre-Summary'!$Y$6:$AC$83, 4,FALSE),"")</f>
        <v/>
      </c>
      <c r="V399" t="str">
        <f>IFERROR(VLOOKUP(B399,'Pre-Summary'!$Y$6:$AC$83, 5,FALSE),"")</f>
        <v/>
      </c>
      <c r="W399" s="45" t="str">
        <f>IFERROR(VLOOKUP(B399,'Pre-Summary'!$Y$6:$AD$83,6,FALSE),"")</f>
        <v/>
      </c>
      <c r="X399" t="str">
        <f>IFERROR(VLOOKUP('Pre-Summary'!$DB$6:$DD$63,3,FALSE),"")</f>
        <v/>
      </c>
      <c r="Y399" t="str">
        <f>IFERROR(VLOOKUP(B399,'Pre-Summary'!$CR$6:$CT$36,3,FALSE),"")</f>
        <v/>
      </c>
      <c r="Z399" s="45" t="str">
        <f>IFERROR(VLOOKUP(B399,'Pre-Summary'!$BZ$6:$CB$63,2,FALSE),"")</f>
        <v/>
      </c>
      <c r="AA399" s="45" t="str">
        <f>IFERROR(VLOOKUP(B399,'Pre-Summary'!$CG$6:$CI$70,2,FALSE),"")</f>
        <v/>
      </c>
      <c r="AB399" s="99">
        <f>IFERROR(VLOOKUP(B399,'Pre-Summary'!$A$6:$P$178,9,FALSE),AB400)</f>
        <v>0.56106418808084624</v>
      </c>
      <c r="AC399" s="10">
        <f>IFERROR(VLOOKUP(Summary!B399,'Pre-Summary'!$A$6:$P$184,5, FALSE)/100,AC400)</f>
        <v>0.82638299999999998</v>
      </c>
      <c r="AD399" s="10">
        <f>IFERROR(VLOOKUP(Summary!B399,'Pre-Summary'!$A$6:$P$184,3, FALSE)/100,AD400)</f>
        <v>0.10673033333333334</v>
      </c>
      <c r="AE399" s="10">
        <f>IFERROR(VLOOKUP(Summary!B399,'Pre-Summary'!$A$6:$P$184,7, FALSE)/100,AE400)</f>
        <v>6.6886666666666664E-2</v>
      </c>
      <c r="AF399" s="99">
        <f t="shared" si="19"/>
        <v>5.9882567815264749E-2</v>
      </c>
      <c r="AG399" s="99">
        <f t="shared" si="20"/>
        <v>3.7527713326767534E-2</v>
      </c>
      <c r="AH399" s="10" t="str">
        <f>IFERROR(VLOOKUP(B399,'Pre-Summary'!$AZ$6:$BE$65,3,FALSE),"")</f>
        <v/>
      </c>
      <c r="AI399" s="10" t="str">
        <f>IFERROR(VLOOKUP(B399,'Pre-Summary'!$AZ$6:$BE$65,5,FALSE),"")</f>
        <v/>
      </c>
      <c r="AJ399" s="10" t="str">
        <f>IFERROR(VLOOKUP(B399,'Pre-Summary'!$AZ$6:$BE$65,4,FALSE),"")</f>
        <v/>
      </c>
      <c r="AK399" s="10" t="str">
        <f>IFERROR(VLOOKUP(B399,'Pre-Summary'!$AZ$6:$BE$65,6,FALSE),"")</f>
        <v/>
      </c>
      <c r="AL399" s="10" t="str">
        <f>IFERROR(VLOOKUP(B399,'Pre-Summary'!$BG$6:$BL$44,3,FALSE),"")</f>
        <v/>
      </c>
      <c r="AM399" s="10" t="str">
        <f>IFERROR(VLOOKUP(B399,'Pre-Summary'!$BG$6:$BL$44,4,FALSE),"")</f>
        <v/>
      </c>
    </row>
    <row r="400" spans="2:39" ht="15" customHeight="1" x14ac:dyDescent="0.3">
      <c r="B400">
        <v>39.700000000000003</v>
      </c>
      <c r="C400" t="str">
        <f>IFERROR(VLOOKUP(B400,'Pre-Summary'!$DI$6:$DM$23,4,FALSE),"")</f>
        <v/>
      </c>
      <c r="D400" s="10" t="str">
        <f>IFERROR(VLOOKUP(B400,'Pre-Summary'!$AT$6:$AX$14,5,FALSE),D399)</f>
        <v>DSMZ v2: Dropped Na-Ac out of DSMZ 120 media</v>
      </c>
      <c r="E400" s="10" t="str">
        <f>IFERROR(VLOOKUP(B400,'Pre-Summary'!$AT$6:$AX$15,4,FALSE),"")</f>
        <v/>
      </c>
      <c r="F400">
        <f>IFERROR(VLOOKUP(B400,'Pre-Summary'!$AL$6:$AQ$13,6,FALSE),F399)</f>
        <v>5.9405263157894746E-2</v>
      </c>
      <c r="G400" t="str">
        <f>IFERROR(VLOOKUP(B400,'Pre-Summary'!$AE$6:$AJ$85,3,FALSE),"")</f>
        <v/>
      </c>
      <c r="H400" t="str">
        <f>IFERROR(VLOOKUP(B400,'Pre-Summary'!$AE$6:$AJ$85,4,FALSE),"")</f>
        <v/>
      </c>
      <c r="I400" t="str">
        <f>IFERROR(VLOOKUP(B400,'Pre-Summary'!$AE$6:$AJ$85,5,FALSE),"")</f>
        <v/>
      </c>
      <c r="J400" s="45" t="str">
        <f>IFERROR(VLOOKUP(B400,'Pre-Summary'!$AE$6:$AJ$85,6, FALSE),"")</f>
        <v/>
      </c>
      <c r="K400" s="45" t="str">
        <f>IFERROR(VLOOKUP(B400,'Pre-Summary'!$DE$6:$DG$61,3,FALSE),"")</f>
        <v/>
      </c>
      <c r="L400" s="45" t="str">
        <f>IFERROR(VLOOKUP(B400,'Pre-Summary'!$CU$6:$CW$36,3,FALSE),"")</f>
        <v/>
      </c>
      <c r="M400" s="45" t="str">
        <f>IFERROR(VLOOKUP(B400,'Pre-Summary'!$BW$6:$BY$58,2,FALSE),"")</f>
        <v/>
      </c>
      <c r="N400" s="45" t="str">
        <f>IFERROR(VLOOKUP(B400,'Pre-Summary'!$CD$6:$CF$64,2,FALSE),"")</f>
        <v/>
      </c>
      <c r="O400" s="99">
        <f>IFERROR(VLOOKUP(B400,'Pre-Summary'!$BO$6:$BQ$48,3, FALSE),O399)</f>
        <v>1.0915248032216731</v>
      </c>
      <c r="P400" s="99">
        <f>IFERROR(VLOOKUP(B400,'Pre-Summary'!$BS$6:$BU$35,3,FALSE),P399)</f>
        <v>0.25</v>
      </c>
      <c r="Q400" s="54">
        <f t="shared" si="18"/>
        <v>4.3660992128866924</v>
      </c>
      <c r="R400" s="53">
        <f>IFERROR(VLOOKUP(B400,'Pre-Summary'!$BG$6:$BM$44,7,FALSE),R401)</f>
        <v>7.5915763918363535E-2</v>
      </c>
      <c r="S400" s="53">
        <f>IFERROR(VLOOKUP(B400,'Pre-Summary'!$BG$6:$BM$44,6,FALSE),S401)</f>
        <v>5.2897473997019086E-2</v>
      </c>
      <c r="T400" s="45" t="str">
        <f>IFERROR(VLOOKUP(B400,'Pre-Summary'!$Y$6:$AC$83, 3,FALSE),"")</f>
        <v/>
      </c>
      <c r="U400" s="45" t="str">
        <f>IFERROR(VLOOKUP(B400,'Pre-Summary'!$Y$6:$AC$83, 4,FALSE),"")</f>
        <v/>
      </c>
      <c r="V400" t="str">
        <f>IFERROR(VLOOKUP(B400,'Pre-Summary'!$Y$6:$AC$83, 5,FALSE),"")</f>
        <v/>
      </c>
      <c r="W400" s="45" t="str">
        <f>IFERROR(VLOOKUP(B400,'Pre-Summary'!$Y$6:$AD$83,6,FALSE),"")</f>
        <v/>
      </c>
      <c r="X400" t="str">
        <f>IFERROR(VLOOKUP('Pre-Summary'!$DB$6:$DD$63,3,FALSE),"")</f>
        <v/>
      </c>
      <c r="Y400" t="str">
        <f>IFERROR(VLOOKUP(B400,'Pre-Summary'!$CR$6:$CT$36,3,FALSE),"")</f>
        <v/>
      </c>
      <c r="Z400" s="45" t="str">
        <f>IFERROR(VLOOKUP(B400,'Pre-Summary'!$BZ$6:$CB$63,2,FALSE),"")</f>
        <v/>
      </c>
      <c r="AA400" s="45" t="str">
        <f>IFERROR(VLOOKUP(B400,'Pre-Summary'!$CG$6:$CI$70,2,FALSE),"")</f>
        <v/>
      </c>
      <c r="AB400" s="99">
        <f>IFERROR(VLOOKUP(B400,'Pre-Summary'!$A$6:$P$178,9,FALSE),AB401)</f>
        <v>0.56106418808084624</v>
      </c>
      <c r="AC400" s="10">
        <f>IFERROR(VLOOKUP(Summary!B400,'Pre-Summary'!$A$6:$P$184,5, FALSE)/100,AC401)</f>
        <v>0.82638299999999998</v>
      </c>
      <c r="AD400" s="10">
        <f>IFERROR(VLOOKUP(Summary!B400,'Pre-Summary'!$A$6:$P$184,3, FALSE)/100,AD401)</f>
        <v>0.10673033333333334</v>
      </c>
      <c r="AE400" s="10">
        <f>IFERROR(VLOOKUP(Summary!B400,'Pre-Summary'!$A$6:$P$184,7, FALSE)/100,AE401)</f>
        <v>6.6886666666666664E-2</v>
      </c>
      <c r="AF400" s="99">
        <f t="shared" si="19"/>
        <v>5.9882567815264749E-2</v>
      </c>
      <c r="AG400" s="99">
        <f t="shared" si="20"/>
        <v>3.7527713326767534E-2</v>
      </c>
      <c r="AH400" s="10" t="str">
        <f>IFERROR(VLOOKUP(B400,'Pre-Summary'!$AZ$6:$BE$65,3,FALSE),"")</f>
        <v/>
      </c>
      <c r="AI400" s="10" t="str">
        <f>IFERROR(VLOOKUP(B400,'Pre-Summary'!$AZ$6:$BE$65,5,FALSE),"")</f>
        <v/>
      </c>
      <c r="AJ400" s="10" t="str">
        <f>IFERROR(VLOOKUP(B400,'Pre-Summary'!$AZ$6:$BE$65,4,FALSE),"")</f>
        <v/>
      </c>
      <c r="AK400" s="10" t="str">
        <f>IFERROR(VLOOKUP(B400,'Pre-Summary'!$AZ$6:$BE$65,6,FALSE),"")</f>
        <v/>
      </c>
      <c r="AL400" s="10" t="str">
        <f>IFERROR(VLOOKUP(B400,'Pre-Summary'!$BG$6:$BL$44,3,FALSE),"")</f>
        <v/>
      </c>
      <c r="AM400" s="10" t="str">
        <f>IFERROR(VLOOKUP(B400,'Pre-Summary'!$BG$6:$BL$44,4,FALSE),"")</f>
        <v/>
      </c>
    </row>
    <row r="401" spans="2:39" ht="15" customHeight="1" x14ac:dyDescent="0.3">
      <c r="B401">
        <v>39.799999999999997</v>
      </c>
      <c r="C401" t="str">
        <f>IFERROR(VLOOKUP(B401,'Pre-Summary'!$DI$6:$DM$23,4,FALSE),"")</f>
        <v/>
      </c>
      <c r="D401" s="10" t="str">
        <f>IFERROR(VLOOKUP(B401,'Pre-Summary'!$AT$6:$AX$14,5,FALSE),D400)</f>
        <v>DSMZ v2: Dropped Na-Ac out of DSMZ 120 media</v>
      </c>
      <c r="E401" s="10" t="str">
        <f>IFERROR(VLOOKUP(B401,'Pre-Summary'!$AT$6:$AX$15,4,FALSE),"")</f>
        <v/>
      </c>
      <c r="F401">
        <f>IFERROR(VLOOKUP(B401,'Pre-Summary'!$AL$6:$AQ$13,6,FALSE),F400)</f>
        <v>5.9405263157894746E-2</v>
      </c>
      <c r="G401" t="str">
        <f>IFERROR(VLOOKUP(B401,'Pre-Summary'!$AE$6:$AJ$85,3,FALSE),"")</f>
        <v/>
      </c>
      <c r="H401" t="str">
        <f>IFERROR(VLOOKUP(B401,'Pre-Summary'!$AE$6:$AJ$85,4,FALSE),"")</f>
        <v/>
      </c>
      <c r="I401" t="str">
        <f>IFERROR(VLOOKUP(B401,'Pre-Summary'!$AE$6:$AJ$85,5,FALSE),"")</f>
        <v/>
      </c>
      <c r="J401" s="45" t="str">
        <f>IFERROR(VLOOKUP(B401,'Pre-Summary'!$AE$6:$AJ$85,6, FALSE),"")</f>
        <v/>
      </c>
      <c r="K401" s="45" t="str">
        <f>IFERROR(VLOOKUP(B401,'Pre-Summary'!$DE$6:$DG$61,3,FALSE),"")</f>
        <v/>
      </c>
      <c r="L401" s="45" t="str">
        <f>IFERROR(VLOOKUP(B401,'Pre-Summary'!$CU$6:$CW$36,3,FALSE),"")</f>
        <v/>
      </c>
      <c r="M401" s="45" t="str">
        <f>IFERROR(VLOOKUP(B401,'Pre-Summary'!$BW$6:$BY$58,2,FALSE),"")</f>
        <v/>
      </c>
      <c r="N401" s="45" t="str">
        <f>IFERROR(VLOOKUP(B401,'Pre-Summary'!$CD$6:$CF$64,2,FALSE),"")</f>
        <v/>
      </c>
      <c r="O401" s="99">
        <f>IFERROR(VLOOKUP(B401,'Pre-Summary'!$BO$6:$BQ$48,3, FALSE),O400)</f>
        <v>1.0915248032216731</v>
      </c>
      <c r="P401" s="99">
        <f>IFERROR(VLOOKUP(B401,'Pre-Summary'!$BS$6:$BU$35,3,FALSE),P400)</f>
        <v>0.25</v>
      </c>
      <c r="Q401" s="54">
        <f t="shared" si="18"/>
        <v>4.3660992128866924</v>
      </c>
      <c r="R401" s="53">
        <f>IFERROR(VLOOKUP(B401,'Pre-Summary'!$BG$6:$BM$44,7,FALSE),R402)</f>
        <v>7.5915763918363535E-2</v>
      </c>
      <c r="S401" s="53">
        <f>IFERROR(VLOOKUP(B401,'Pre-Summary'!$BG$6:$BM$44,6,FALSE),S402)</f>
        <v>5.2897473997019086E-2</v>
      </c>
      <c r="T401" s="45" t="str">
        <f>IFERROR(VLOOKUP(B401,'Pre-Summary'!$Y$6:$AC$83, 3,FALSE),"")</f>
        <v/>
      </c>
      <c r="U401" s="45" t="str">
        <f>IFERROR(VLOOKUP(B401,'Pre-Summary'!$Y$6:$AC$83, 4,FALSE),"")</f>
        <v/>
      </c>
      <c r="V401" t="str">
        <f>IFERROR(VLOOKUP(B401,'Pre-Summary'!$Y$6:$AC$83, 5,FALSE),"")</f>
        <v/>
      </c>
      <c r="W401" s="45" t="str">
        <f>IFERROR(VLOOKUP(B401,'Pre-Summary'!$Y$6:$AD$83,6,FALSE),"")</f>
        <v/>
      </c>
      <c r="X401" t="str">
        <f>IFERROR(VLOOKUP('Pre-Summary'!$DB$6:$DD$63,3,FALSE),"")</f>
        <v/>
      </c>
      <c r="Y401" t="str">
        <f>IFERROR(VLOOKUP(B401,'Pre-Summary'!$CR$6:$CT$36,3,FALSE),"")</f>
        <v/>
      </c>
      <c r="Z401" s="45" t="str">
        <f>IFERROR(VLOOKUP(B401,'Pre-Summary'!$BZ$6:$CB$63,2,FALSE),"")</f>
        <v/>
      </c>
      <c r="AA401" s="45" t="str">
        <f>IFERROR(VLOOKUP(B401,'Pre-Summary'!$CG$6:$CI$70,2,FALSE),"")</f>
        <v/>
      </c>
      <c r="AB401" s="99">
        <f>IFERROR(VLOOKUP(B401,'Pre-Summary'!$A$6:$P$178,9,FALSE),AB402)</f>
        <v>0.56106418808084624</v>
      </c>
      <c r="AC401" s="10">
        <f>IFERROR(VLOOKUP(Summary!B401,'Pre-Summary'!$A$6:$P$184,5, FALSE)/100,AC402)</f>
        <v>0.82638299999999998</v>
      </c>
      <c r="AD401" s="10">
        <f>IFERROR(VLOOKUP(Summary!B401,'Pre-Summary'!$A$6:$P$184,3, FALSE)/100,AD402)</f>
        <v>0.10673033333333334</v>
      </c>
      <c r="AE401" s="10">
        <f>IFERROR(VLOOKUP(Summary!B401,'Pre-Summary'!$A$6:$P$184,7, FALSE)/100,AE402)</f>
        <v>6.6886666666666664E-2</v>
      </c>
      <c r="AF401" s="99">
        <f t="shared" si="19"/>
        <v>5.9882567815264749E-2</v>
      </c>
      <c r="AG401" s="99">
        <f t="shared" si="20"/>
        <v>3.7527713326767534E-2</v>
      </c>
      <c r="AH401" s="10" t="str">
        <f>IFERROR(VLOOKUP(B401,'Pre-Summary'!$AZ$6:$BE$65,3,FALSE),"")</f>
        <v/>
      </c>
      <c r="AI401" s="10" t="str">
        <f>IFERROR(VLOOKUP(B401,'Pre-Summary'!$AZ$6:$BE$65,5,FALSE),"")</f>
        <v/>
      </c>
      <c r="AJ401" s="10" t="str">
        <f>IFERROR(VLOOKUP(B401,'Pre-Summary'!$AZ$6:$BE$65,4,FALSE),"")</f>
        <v/>
      </c>
      <c r="AK401" s="10" t="str">
        <f>IFERROR(VLOOKUP(B401,'Pre-Summary'!$AZ$6:$BE$65,6,FALSE),"")</f>
        <v/>
      </c>
      <c r="AL401" s="10" t="str">
        <f>IFERROR(VLOOKUP(B401,'Pre-Summary'!$BG$6:$BL$44,3,FALSE),"")</f>
        <v/>
      </c>
      <c r="AM401" s="10" t="str">
        <f>IFERROR(VLOOKUP(B401,'Pre-Summary'!$BG$6:$BL$44,4,FALSE),"")</f>
        <v/>
      </c>
    </row>
    <row r="402" spans="2:39" ht="15" customHeight="1" x14ac:dyDescent="0.3">
      <c r="B402">
        <v>39.9</v>
      </c>
      <c r="C402" t="str">
        <f>IFERROR(VLOOKUP(B402,'Pre-Summary'!$DI$6:$DM$23,4,FALSE),"")</f>
        <v/>
      </c>
      <c r="D402" s="10" t="str">
        <f>IFERROR(VLOOKUP(B402,'Pre-Summary'!$AT$6:$AX$14,5,FALSE),D401)</f>
        <v>DSMZ v2: Dropped Na-Ac out of DSMZ 120 media</v>
      </c>
      <c r="E402" s="10" t="str">
        <f>IFERROR(VLOOKUP(B402,'Pre-Summary'!$AT$6:$AX$15,4,FALSE),"")</f>
        <v/>
      </c>
      <c r="F402">
        <f>IFERROR(VLOOKUP(B402,'Pre-Summary'!$AL$6:$AQ$13,6,FALSE),F401)</f>
        <v>5.9405263157894746E-2</v>
      </c>
      <c r="G402" t="str">
        <f>IFERROR(VLOOKUP(B402,'Pre-Summary'!$AE$6:$AJ$85,3,FALSE),"")</f>
        <v/>
      </c>
      <c r="H402" t="str">
        <f>IFERROR(VLOOKUP(B402,'Pre-Summary'!$AE$6:$AJ$85,4,FALSE),"")</f>
        <v/>
      </c>
      <c r="I402" t="str">
        <f>IFERROR(VLOOKUP(B402,'Pre-Summary'!$AE$6:$AJ$85,5,FALSE),"")</f>
        <v/>
      </c>
      <c r="J402" s="45" t="str">
        <f>IFERROR(VLOOKUP(B402,'Pre-Summary'!$AE$6:$AJ$85,6, FALSE),"")</f>
        <v/>
      </c>
      <c r="K402" s="45" t="str">
        <f>IFERROR(VLOOKUP(B402,'Pre-Summary'!$DE$6:$DG$61,3,FALSE),"")</f>
        <v/>
      </c>
      <c r="L402" s="45" t="str">
        <f>IFERROR(VLOOKUP(B402,'Pre-Summary'!$CU$6:$CW$36,3,FALSE),"")</f>
        <v/>
      </c>
      <c r="M402" s="45" t="str">
        <f>IFERROR(VLOOKUP(B402,'Pre-Summary'!$BW$6:$BY$58,2,FALSE),"")</f>
        <v/>
      </c>
      <c r="N402" s="45" t="str">
        <f>IFERROR(VLOOKUP(B402,'Pre-Summary'!$CD$6:$CF$64,2,FALSE),"")</f>
        <v/>
      </c>
      <c r="O402" s="99">
        <f>IFERROR(VLOOKUP(B402,'Pre-Summary'!$BO$6:$BQ$48,3, FALSE),O401)</f>
        <v>1.0915248032216731</v>
      </c>
      <c r="P402" s="99">
        <f>IFERROR(VLOOKUP(B402,'Pre-Summary'!$BS$6:$BU$35,3,FALSE),P401)</f>
        <v>0.25</v>
      </c>
      <c r="Q402" s="54">
        <f t="shared" si="18"/>
        <v>4.3660992128866924</v>
      </c>
      <c r="R402" s="53">
        <f>IFERROR(VLOOKUP(B402,'Pre-Summary'!$BG$6:$BM$44,7,FALSE),R403)</f>
        <v>7.5915763918363535E-2</v>
      </c>
      <c r="S402" s="53">
        <f>IFERROR(VLOOKUP(B402,'Pre-Summary'!$BG$6:$BM$44,6,FALSE),S403)</f>
        <v>5.2897473997019086E-2</v>
      </c>
      <c r="T402" s="45" t="str">
        <f>IFERROR(VLOOKUP(B402,'Pre-Summary'!$Y$6:$AC$83, 3,FALSE),"")</f>
        <v/>
      </c>
      <c r="U402" s="45" t="str">
        <f>IFERROR(VLOOKUP(B402,'Pre-Summary'!$Y$6:$AC$83, 4,FALSE),"")</f>
        <v/>
      </c>
      <c r="V402" t="str">
        <f>IFERROR(VLOOKUP(B402,'Pre-Summary'!$Y$6:$AC$83, 5,FALSE),"")</f>
        <v/>
      </c>
      <c r="W402" s="45" t="str">
        <f>IFERROR(VLOOKUP(B402,'Pre-Summary'!$Y$6:$AD$83,6,FALSE),"")</f>
        <v/>
      </c>
      <c r="X402" t="str">
        <f>IFERROR(VLOOKUP('Pre-Summary'!$DB$6:$DD$63,3,FALSE),"")</f>
        <v/>
      </c>
      <c r="Y402" t="str">
        <f>IFERROR(VLOOKUP(B402,'Pre-Summary'!$CR$6:$CT$36,3,FALSE),"")</f>
        <v/>
      </c>
      <c r="Z402" s="45" t="str">
        <f>IFERROR(VLOOKUP(B402,'Pre-Summary'!$BZ$6:$CB$63,2,FALSE),"")</f>
        <v/>
      </c>
      <c r="AA402" s="45" t="str">
        <f>IFERROR(VLOOKUP(B402,'Pre-Summary'!$CG$6:$CI$70,2,FALSE),"")</f>
        <v/>
      </c>
      <c r="AB402" s="99">
        <f>IFERROR(VLOOKUP(B402,'Pre-Summary'!$A$6:$P$178,9,FALSE),AB403)</f>
        <v>0.56106418808084624</v>
      </c>
      <c r="AC402" s="10">
        <f>IFERROR(VLOOKUP(Summary!B402,'Pre-Summary'!$A$6:$P$184,5, FALSE)/100,AC403)</f>
        <v>0.82638299999999998</v>
      </c>
      <c r="AD402" s="10">
        <f>IFERROR(VLOOKUP(Summary!B402,'Pre-Summary'!$A$6:$P$184,3, FALSE)/100,AD403)</f>
        <v>0.10673033333333334</v>
      </c>
      <c r="AE402" s="10">
        <f>IFERROR(VLOOKUP(Summary!B402,'Pre-Summary'!$A$6:$P$184,7, FALSE)/100,AE403)</f>
        <v>6.6886666666666664E-2</v>
      </c>
      <c r="AF402" s="99">
        <f t="shared" si="19"/>
        <v>5.9882567815264749E-2</v>
      </c>
      <c r="AG402" s="99">
        <f t="shared" si="20"/>
        <v>3.7527713326767534E-2</v>
      </c>
      <c r="AH402" s="10" t="str">
        <f>IFERROR(VLOOKUP(B402,'Pre-Summary'!$AZ$6:$BE$65,3,FALSE),"")</f>
        <v/>
      </c>
      <c r="AI402" s="10" t="str">
        <f>IFERROR(VLOOKUP(B402,'Pre-Summary'!$AZ$6:$BE$65,5,FALSE),"")</f>
        <v/>
      </c>
      <c r="AJ402" s="10" t="str">
        <f>IFERROR(VLOOKUP(B402,'Pre-Summary'!$AZ$6:$BE$65,4,FALSE),"")</f>
        <v/>
      </c>
      <c r="AK402" s="10" t="str">
        <f>IFERROR(VLOOKUP(B402,'Pre-Summary'!$AZ$6:$BE$65,6,FALSE),"")</f>
        <v/>
      </c>
      <c r="AL402" s="10" t="str">
        <f>IFERROR(VLOOKUP(B402,'Pre-Summary'!$BG$6:$BL$44,3,FALSE),"")</f>
        <v/>
      </c>
      <c r="AM402" s="10" t="str">
        <f>IFERROR(VLOOKUP(B402,'Pre-Summary'!$BG$6:$BL$44,4,FALSE),"")</f>
        <v/>
      </c>
    </row>
    <row r="403" spans="2:39" ht="15" customHeight="1" x14ac:dyDescent="0.3">
      <c r="B403">
        <v>40</v>
      </c>
      <c r="C403" t="str">
        <f>IFERROR(VLOOKUP(B403,'Pre-Summary'!$DI$6:$DM$23,4,FALSE),"")</f>
        <v/>
      </c>
      <c r="D403" s="10" t="str">
        <f>IFERROR(VLOOKUP(B403,'Pre-Summary'!$AT$6:$AX$14,5,FALSE),D402)</f>
        <v>DSMZ v2: Dropped Na-Ac out of DSMZ 120 media</v>
      </c>
      <c r="E403" s="10" t="str">
        <f>IFERROR(VLOOKUP(B403,'Pre-Summary'!$AT$6:$AX$15,4,FALSE),"")</f>
        <v/>
      </c>
      <c r="F403">
        <f>IFERROR(VLOOKUP(B403,'Pre-Summary'!$AL$6:$AQ$13,6,FALSE),F402)</f>
        <v>5.9405263157894746E-2</v>
      </c>
      <c r="G403" t="str">
        <f>IFERROR(VLOOKUP(B403,'Pre-Summary'!$AE$6:$AJ$85,3,FALSE),"")</f>
        <v/>
      </c>
      <c r="H403" t="str">
        <f>IFERROR(VLOOKUP(B403,'Pre-Summary'!$AE$6:$AJ$85,4,FALSE),"")</f>
        <v/>
      </c>
      <c r="I403" t="str">
        <f>IFERROR(VLOOKUP(B403,'Pre-Summary'!$AE$6:$AJ$85,5,FALSE),"")</f>
        <v/>
      </c>
      <c r="J403" s="45" t="str">
        <f>IFERROR(VLOOKUP(B403,'Pre-Summary'!$AE$6:$AJ$85,6, FALSE),"")</f>
        <v/>
      </c>
      <c r="K403" s="45" t="str">
        <f>IFERROR(VLOOKUP(B403,'Pre-Summary'!$DE$6:$DG$61,3,FALSE),"")</f>
        <v/>
      </c>
      <c r="L403" s="45" t="str">
        <f>IFERROR(VLOOKUP(B403,'Pre-Summary'!$CU$6:$CW$36,3,FALSE),"")</f>
        <v/>
      </c>
      <c r="M403" s="45" t="str">
        <f>IFERROR(VLOOKUP(B403,'Pre-Summary'!$BW$6:$BY$58,2,FALSE),"")</f>
        <v/>
      </c>
      <c r="N403" s="45" t="str">
        <f>IFERROR(VLOOKUP(B403,'Pre-Summary'!$CD$6:$CF$64,2,FALSE),"")</f>
        <v/>
      </c>
      <c r="O403" s="99">
        <f>IFERROR(VLOOKUP(B403,'Pre-Summary'!$BO$6:$BQ$48,3, FALSE),O402)</f>
        <v>1.0915248032216731</v>
      </c>
      <c r="P403" s="99">
        <f>IFERROR(VLOOKUP(B403,'Pre-Summary'!$BS$6:$BU$35,3,FALSE),P402)</f>
        <v>0.25</v>
      </c>
      <c r="Q403" s="54">
        <f t="shared" si="18"/>
        <v>4.3660992128866924</v>
      </c>
      <c r="R403" s="53">
        <f>IFERROR(VLOOKUP(B403,'Pre-Summary'!$BG$6:$BM$44,7,FALSE),R404)</f>
        <v>7.5915763918363535E-2</v>
      </c>
      <c r="S403" s="53">
        <f>IFERROR(VLOOKUP(B403,'Pre-Summary'!$BG$6:$BM$44,6,FALSE),S404)</f>
        <v>5.2897473997019086E-2</v>
      </c>
      <c r="T403" s="45" t="str">
        <f>IFERROR(VLOOKUP(B403,'Pre-Summary'!$Y$6:$AC$83, 3,FALSE),"")</f>
        <v/>
      </c>
      <c r="U403" s="45" t="str">
        <f>IFERROR(VLOOKUP(B403,'Pre-Summary'!$Y$6:$AC$83, 4,FALSE),"")</f>
        <v/>
      </c>
      <c r="V403" t="str">
        <f>IFERROR(VLOOKUP(B403,'Pre-Summary'!$Y$6:$AC$83, 5,FALSE),"")</f>
        <v/>
      </c>
      <c r="W403" s="45" t="str">
        <f>IFERROR(VLOOKUP(B403,'Pre-Summary'!$Y$6:$AD$83,6,FALSE),"")</f>
        <v/>
      </c>
      <c r="X403" t="str">
        <f>IFERROR(VLOOKUP('Pre-Summary'!$DB$6:$DD$63,3,FALSE),"")</f>
        <v/>
      </c>
      <c r="Y403" t="str">
        <f>IFERROR(VLOOKUP(B403,'Pre-Summary'!$CR$6:$CT$36,3,FALSE),"")</f>
        <v/>
      </c>
      <c r="Z403" s="45" t="str">
        <f>IFERROR(VLOOKUP(B403,'Pre-Summary'!$BZ$6:$CB$63,2,FALSE),"")</f>
        <v/>
      </c>
      <c r="AA403" s="45" t="str">
        <f>IFERROR(VLOOKUP(B403,'Pre-Summary'!$CG$6:$CI$70,2,FALSE),"")</f>
        <v/>
      </c>
      <c r="AB403" s="99">
        <f>IFERROR(VLOOKUP(B403,'Pre-Summary'!$A$6:$P$178,9,FALSE),AB404)</f>
        <v>0.56106418808084624</v>
      </c>
      <c r="AC403" s="10">
        <f>IFERROR(VLOOKUP(Summary!B403,'Pre-Summary'!$A$6:$P$184,5, FALSE)/100,AC404)</f>
        <v>0.82638299999999998</v>
      </c>
      <c r="AD403" s="10">
        <f>IFERROR(VLOOKUP(Summary!B403,'Pre-Summary'!$A$6:$P$184,3, FALSE)/100,AD404)</f>
        <v>0.10673033333333334</v>
      </c>
      <c r="AE403" s="10">
        <f>IFERROR(VLOOKUP(Summary!B403,'Pre-Summary'!$A$6:$P$184,7, FALSE)/100,AE404)</f>
        <v>6.6886666666666664E-2</v>
      </c>
      <c r="AF403" s="99">
        <f t="shared" si="19"/>
        <v>5.9882567815264749E-2</v>
      </c>
      <c r="AG403" s="99">
        <f t="shared" si="20"/>
        <v>3.7527713326767534E-2</v>
      </c>
      <c r="AH403" s="10" t="str">
        <f>IFERROR(VLOOKUP(B403,'Pre-Summary'!$AZ$6:$BE$65,3,FALSE),"")</f>
        <v/>
      </c>
      <c r="AI403" s="10" t="str">
        <f>IFERROR(VLOOKUP(B403,'Pre-Summary'!$AZ$6:$BE$65,5,FALSE),"")</f>
        <v/>
      </c>
      <c r="AJ403" s="10" t="str">
        <f>IFERROR(VLOOKUP(B403,'Pre-Summary'!$AZ$6:$BE$65,4,FALSE),"")</f>
        <v/>
      </c>
      <c r="AK403" s="10" t="str">
        <f>IFERROR(VLOOKUP(B403,'Pre-Summary'!$AZ$6:$BE$65,6,FALSE),"")</f>
        <v/>
      </c>
      <c r="AL403" s="10" t="str">
        <f>IFERROR(VLOOKUP(B403,'Pre-Summary'!$BG$6:$BL$44,3,FALSE),"")</f>
        <v/>
      </c>
      <c r="AM403" s="10" t="str">
        <f>IFERROR(VLOOKUP(B403,'Pre-Summary'!$BG$6:$BL$44,4,FALSE),"")</f>
        <v/>
      </c>
    </row>
    <row r="404" spans="2:39" ht="15" customHeight="1" x14ac:dyDescent="0.3">
      <c r="B404">
        <v>40.1</v>
      </c>
      <c r="C404" t="str">
        <f>IFERROR(VLOOKUP(B404,'Pre-Summary'!$DI$6:$DM$23,4,FALSE),"")</f>
        <v/>
      </c>
      <c r="D404" s="10" t="str">
        <f>IFERROR(VLOOKUP(B404,'Pre-Summary'!$AT$6:$AX$14,5,FALSE),D403)</f>
        <v>DSMZ v2: Dropped Na-Ac out of DSMZ 120 media</v>
      </c>
      <c r="E404" s="10" t="str">
        <f>IFERROR(VLOOKUP(B404,'Pre-Summary'!$AT$6:$AX$15,4,FALSE),"")</f>
        <v/>
      </c>
      <c r="F404">
        <f>IFERROR(VLOOKUP(B404,'Pre-Summary'!$AL$6:$AQ$13,6,FALSE),F403)</f>
        <v>5.9405263157894746E-2</v>
      </c>
      <c r="G404" t="str">
        <f>IFERROR(VLOOKUP(B404,'Pre-Summary'!$AE$6:$AJ$85,3,FALSE),"")</f>
        <v/>
      </c>
      <c r="H404" t="str">
        <f>IFERROR(VLOOKUP(B404,'Pre-Summary'!$AE$6:$AJ$85,4,FALSE),"")</f>
        <v/>
      </c>
      <c r="I404" t="str">
        <f>IFERROR(VLOOKUP(B404,'Pre-Summary'!$AE$6:$AJ$85,5,FALSE),"")</f>
        <v/>
      </c>
      <c r="J404" s="45" t="str">
        <f>IFERROR(VLOOKUP(B404,'Pre-Summary'!$AE$6:$AJ$85,6, FALSE),"")</f>
        <v/>
      </c>
      <c r="K404" s="45" t="str">
        <f>IFERROR(VLOOKUP(B404,'Pre-Summary'!$DE$6:$DG$61,3,FALSE),"")</f>
        <v/>
      </c>
      <c r="L404" s="45" t="str">
        <f>IFERROR(VLOOKUP(B404,'Pre-Summary'!$CU$6:$CW$36,3,FALSE),"")</f>
        <v/>
      </c>
      <c r="M404" s="45" t="str">
        <f>IFERROR(VLOOKUP(B404,'Pre-Summary'!$BW$6:$BY$58,2,FALSE),"")</f>
        <v/>
      </c>
      <c r="N404" s="45" t="str">
        <f>IFERROR(VLOOKUP(B404,'Pre-Summary'!$CD$6:$CF$64,2,FALSE),"")</f>
        <v/>
      </c>
      <c r="O404" s="99">
        <f>IFERROR(VLOOKUP(B404,'Pre-Summary'!$BO$6:$BQ$48,3, FALSE),O403)</f>
        <v>1.0915248032216731</v>
      </c>
      <c r="P404" s="99">
        <f>IFERROR(VLOOKUP(B404,'Pre-Summary'!$BS$6:$BU$35,3,FALSE),P403)</f>
        <v>0.25</v>
      </c>
      <c r="Q404" s="54">
        <f t="shared" si="18"/>
        <v>4.3660992128866924</v>
      </c>
      <c r="R404" s="53">
        <f>IFERROR(VLOOKUP(B404,'Pre-Summary'!$BG$6:$BM$44,7,FALSE),R405)</f>
        <v>7.5915763918363535E-2</v>
      </c>
      <c r="S404" s="53">
        <f>IFERROR(VLOOKUP(B404,'Pre-Summary'!$BG$6:$BM$44,6,FALSE),S405)</f>
        <v>5.2897473997019086E-2</v>
      </c>
      <c r="T404" s="45" t="str">
        <f>IFERROR(VLOOKUP(B404,'Pre-Summary'!$Y$6:$AC$83, 3,FALSE),"")</f>
        <v/>
      </c>
      <c r="U404" s="45" t="str">
        <f>IFERROR(VLOOKUP(B404,'Pre-Summary'!$Y$6:$AC$83, 4,FALSE),"")</f>
        <v/>
      </c>
      <c r="V404" t="str">
        <f>IFERROR(VLOOKUP(B404,'Pre-Summary'!$Y$6:$AC$83, 5,FALSE),"")</f>
        <v/>
      </c>
      <c r="W404" s="45" t="str">
        <f>IFERROR(VLOOKUP(B404,'Pre-Summary'!$Y$6:$AD$83,6,FALSE),"")</f>
        <v/>
      </c>
      <c r="X404" t="str">
        <f>IFERROR(VLOOKUP('Pre-Summary'!$DB$6:$DD$63,3,FALSE),"")</f>
        <v/>
      </c>
      <c r="Y404" t="str">
        <f>IFERROR(VLOOKUP(B404,'Pre-Summary'!$CR$6:$CT$36,3,FALSE),"")</f>
        <v/>
      </c>
      <c r="Z404" s="45" t="str">
        <f>IFERROR(VLOOKUP(B404,'Pre-Summary'!$BZ$6:$CB$63,2,FALSE),"")</f>
        <v/>
      </c>
      <c r="AA404" s="45" t="str">
        <f>IFERROR(VLOOKUP(B404,'Pre-Summary'!$CG$6:$CI$70,2,FALSE),"")</f>
        <v/>
      </c>
      <c r="AB404" s="99">
        <f>IFERROR(VLOOKUP(B404,'Pre-Summary'!$A$6:$P$178,9,FALSE),AB405)</f>
        <v>0.56106418808084624</v>
      </c>
      <c r="AC404" s="10">
        <f>IFERROR(VLOOKUP(Summary!B404,'Pre-Summary'!$A$6:$P$184,5, FALSE)/100,AC405)</f>
        <v>0.82638299999999998</v>
      </c>
      <c r="AD404" s="10">
        <f>IFERROR(VLOOKUP(Summary!B404,'Pre-Summary'!$A$6:$P$184,3, FALSE)/100,AD405)</f>
        <v>0.10673033333333334</v>
      </c>
      <c r="AE404" s="10">
        <f>IFERROR(VLOOKUP(Summary!B404,'Pre-Summary'!$A$6:$P$184,7, FALSE)/100,AE405)</f>
        <v>6.6886666666666664E-2</v>
      </c>
      <c r="AF404" s="99">
        <f t="shared" si="19"/>
        <v>5.9882567815264749E-2</v>
      </c>
      <c r="AG404" s="99">
        <f t="shared" si="20"/>
        <v>3.7527713326767534E-2</v>
      </c>
      <c r="AH404" s="10" t="str">
        <f>IFERROR(VLOOKUP(B404,'Pre-Summary'!$AZ$6:$BE$65,3,FALSE),"")</f>
        <v/>
      </c>
      <c r="AI404" s="10" t="str">
        <f>IFERROR(VLOOKUP(B404,'Pre-Summary'!$AZ$6:$BE$65,5,FALSE),"")</f>
        <v/>
      </c>
      <c r="AJ404" s="10" t="str">
        <f>IFERROR(VLOOKUP(B404,'Pre-Summary'!$AZ$6:$BE$65,4,FALSE),"")</f>
        <v/>
      </c>
      <c r="AK404" s="10" t="str">
        <f>IFERROR(VLOOKUP(B404,'Pre-Summary'!$AZ$6:$BE$65,6,FALSE),"")</f>
        <v/>
      </c>
      <c r="AL404" s="10" t="str">
        <f>IFERROR(VLOOKUP(B404,'Pre-Summary'!$BG$6:$BL$44,3,FALSE),"")</f>
        <v/>
      </c>
      <c r="AM404" s="10" t="str">
        <f>IFERROR(VLOOKUP(B404,'Pre-Summary'!$BG$6:$BL$44,4,FALSE),"")</f>
        <v/>
      </c>
    </row>
    <row r="405" spans="2:39" ht="15" customHeight="1" x14ac:dyDescent="0.3">
      <c r="B405">
        <v>40.200000000000003</v>
      </c>
      <c r="C405" t="str">
        <f>IFERROR(VLOOKUP(B405,'Pre-Summary'!$DI$6:$DM$23,4,FALSE),"")</f>
        <v/>
      </c>
      <c r="D405" s="10" t="str">
        <f>IFERROR(VLOOKUP(B405,'Pre-Summary'!$AT$6:$AX$14,5,FALSE),D404)</f>
        <v>DSMZ v2: Dropped Na-Ac out of DSMZ 120 media</v>
      </c>
      <c r="E405" s="10" t="str">
        <f>IFERROR(VLOOKUP(B405,'Pre-Summary'!$AT$6:$AX$15,4,FALSE),"")</f>
        <v/>
      </c>
      <c r="F405">
        <f>IFERROR(VLOOKUP(B405,'Pre-Summary'!$AL$6:$AQ$13,6,FALSE),F404)</f>
        <v>5.9405263157894746E-2</v>
      </c>
      <c r="G405" t="str">
        <f>IFERROR(VLOOKUP(B405,'Pre-Summary'!$AE$6:$AJ$85,3,FALSE),"")</f>
        <v/>
      </c>
      <c r="H405" t="str">
        <f>IFERROR(VLOOKUP(B405,'Pre-Summary'!$AE$6:$AJ$85,4,FALSE),"")</f>
        <v/>
      </c>
      <c r="I405" t="str">
        <f>IFERROR(VLOOKUP(B405,'Pre-Summary'!$AE$6:$AJ$85,5,FALSE),"")</f>
        <v/>
      </c>
      <c r="J405" s="45" t="str">
        <f>IFERROR(VLOOKUP(B405,'Pre-Summary'!$AE$6:$AJ$85,6, FALSE),"")</f>
        <v/>
      </c>
      <c r="K405" s="45" t="str">
        <f>IFERROR(VLOOKUP(B405,'Pre-Summary'!$DE$6:$DG$61,3,FALSE),"")</f>
        <v/>
      </c>
      <c r="L405" s="45" t="str">
        <f>IFERROR(VLOOKUP(B405,'Pre-Summary'!$CU$6:$CW$36,3,FALSE),"")</f>
        <v/>
      </c>
      <c r="M405" s="45" t="str">
        <f>IFERROR(VLOOKUP(B405,'Pre-Summary'!$BW$6:$BY$58,2,FALSE),"")</f>
        <v/>
      </c>
      <c r="N405" s="45" t="str">
        <f>IFERROR(VLOOKUP(B405,'Pre-Summary'!$CD$6:$CF$64,2,FALSE),"")</f>
        <v/>
      </c>
      <c r="O405" s="99">
        <f>IFERROR(VLOOKUP(B405,'Pre-Summary'!$BO$6:$BQ$48,3, FALSE),O404)</f>
        <v>1.0915248032216731</v>
      </c>
      <c r="P405" s="99">
        <f>IFERROR(VLOOKUP(B405,'Pre-Summary'!$BS$6:$BU$35,3,FALSE),P404)</f>
        <v>0.25</v>
      </c>
      <c r="Q405" s="54">
        <f t="shared" si="18"/>
        <v>4.3660992128866924</v>
      </c>
      <c r="R405" s="53">
        <f>IFERROR(VLOOKUP(B405,'Pre-Summary'!$BG$6:$BM$44,7,FALSE),R406)</f>
        <v>7.5915763918363535E-2</v>
      </c>
      <c r="S405" s="53">
        <f>IFERROR(VLOOKUP(B405,'Pre-Summary'!$BG$6:$BM$44,6,FALSE),S406)</f>
        <v>5.2897473997019086E-2</v>
      </c>
      <c r="T405" s="45" t="str">
        <f>IFERROR(VLOOKUP(B405,'Pre-Summary'!$Y$6:$AC$83, 3,FALSE),"")</f>
        <v/>
      </c>
      <c r="U405" s="45" t="str">
        <f>IFERROR(VLOOKUP(B405,'Pre-Summary'!$Y$6:$AC$83, 4,FALSE),"")</f>
        <v/>
      </c>
      <c r="V405" t="str">
        <f>IFERROR(VLOOKUP(B405,'Pre-Summary'!$Y$6:$AC$83, 5,FALSE),"")</f>
        <v/>
      </c>
      <c r="W405" s="45" t="str">
        <f>IFERROR(VLOOKUP(B405,'Pre-Summary'!$Y$6:$AD$83,6,FALSE),"")</f>
        <v/>
      </c>
      <c r="X405" t="str">
        <f>IFERROR(VLOOKUP('Pre-Summary'!$DB$6:$DD$63,3,FALSE),"")</f>
        <v/>
      </c>
      <c r="Y405" t="str">
        <f>IFERROR(VLOOKUP(B405,'Pre-Summary'!$CR$6:$CT$36,3,FALSE),"")</f>
        <v/>
      </c>
      <c r="Z405" s="45" t="str">
        <f>IFERROR(VLOOKUP(B405,'Pre-Summary'!$BZ$6:$CB$63,2,FALSE),"")</f>
        <v/>
      </c>
      <c r="AA405" s="45" t="str">
        <f>IFERROR(VLOOKUP(B405,'Pre-Summary'!$CG$6:$CI$70,2,FALSE),"")</f>
        <v/>
      </c>
      <c r="AB405" s="99">
        <f>IFERROR(VLOOKUP(B405,'Pre-Summary'!$A$6:$P$178,9,FALSE),AB406)</f>
        <v>0.56106418808084624</v>
      </c>
      <c r="AC405" s="10">
        <f>IFERROR(VLOOKUP(Summary!B405,'Pre-Summary'!$A$6:$P$184,5, FALSE)/100,AC406)</f>
        <v>0.82638299999999998</v>
      </c>
      <c r="AD405" s="10">
        <f>IFERROR(VLOOKUP(Summary!B405,'Pre-Summary'!$A$6:$P$184,3, FALSE)/100,AD406)</f>
        <v>0.10673033333333334</v>
      </c>
      <c r="AE405" s="10">
        <f>IFERROR(VLOOKUP(Summary!B405,'Pre-Summary'!$A$6:$P$184,7, FALSE)/100,AE406)</f>
        <v>6.6886666666666664E-2</v>
      </c>
      <c r="AF405" s="99">
        <f t="shared" si="19"/>
        <v>5.9882567815264749E-2</v>
      </c>
      <c r="AG405" s="99">
        <f t="shared" si="20"/>
        <v>3.7527713326767534E-2</v>
      </c>
      <c r="AH405" s="10" t="str">
        <f>IFERROR(VLOOKUP(B405,'Pre-Summary'!$AZ$6:$BE$65,3,FALSE),"")</f>
        <v/>
      </c>
      <c r="AI405" s="10" t="str">
        <f>IFERROR(VLOOKUP(B405,'Pre-Summary'!$AZ$6:$BE$65,5,FALSE),"")</f>
        <v/>
      </c>
      <c r="AJ405" s="10" t="str">
        <f>IFERROR(VLOOKUP(B405,'Pre-Summary'!$AZ$6:$BE$65,4,FALSE),"")</f>
        <v/>
      </c>
      <c r="AK405" s="10" t="str">
        <f>IFERROR(VLOOKUP(B405,'Pre-Summary'!$AZ$6:$BE$65,6,FALSE),"")</f>
        <v/>
      </c>
      <c r="AL405" s="10" t="str">
        <f>IFERROR(VLOOKUP(B405,'Pre-Summary'!$BG$6:$BL$44,3,FALSE),"")</f>
        <v/>
      </c>
      <c r="AM405" s="10" t="str">
        <f>IFERROR(VLOOKUP(B405,'Pre-Summary'!$BG$6:$BL$44,4,FALSE),"")</f>
        <v/>
      </c>
    </row>
    <row r="406" spans="2:39" ht="15" customHeight="1" x14ac:dyDescent="0.3">
      <c r="B406">
        <v>40.299999999999997</v>
      </c>
      <c r="C406" t="str">
        <f>IFERROR(VLOOKUP(B406,'Pre-Summary'!$DI$6:$DM$23,4,FALSE),"")</f>
        <v/>
      </c>
      <c r="D406" s="10" t="str">
        <f>IFERROR(VLOOKUP(B406,'Pre-Summary'!$AT$6:$AX$14,5,FALSE),D405)</f>
        <v>DSMZ v2: Dropped Na-Ac out of DSMZ 120 media</v>
      </c>
      <c r="E406" s="10" t="str">
        <f>IFERROR(VLOOKUP(B406,'Pre-Summary'!$AT$6:$AX$15,4,FALSE),"")</f>
        <v/>
      </c>
      <c r="F406">
        <f>IFERROR(VLOOKUP(B406,'Pre-Summary'!$AL$6:$AQ$13,6,FALSE),F405)</f>
        <v>5.9405263157894746E-2</v>
      </c>
      <c r="G406" t="str">
        <f>IFERROR(VLOOKUP(B406,'Pre-Summary'!$AE$6:$AJ$85,3,FALSE),"")</f>
        <v/>
      </c>
      <c r="H406" t="str">
        <f>IFERROR(VLOOKUP(B406,'Pre-Summary'!$AE$6:$AJ$85,4,FALSE),"")</f>
        <v/>
      </c>
      <c r="I406" t="str">
        <f>IFERROR(VLOOKUP(B406,'Pre-Summary'!$AE$6:$AJ$85,5,FALSE),"")</f>
        <v/>
      </c>
      <c r="J406" s="45" t="str">
        <f>IFERROR(VLOOKUP(B406,'Pre-Summary'!$AE$6:$AJ$85,6, FALSE),"")</f>
        <v/>
      </c>
      <c r="K406" s="45" t="str">
        <f>IFERROR(VLOOKUP(B406,'Pre-Summary'!$DE$6:$DG$61,3,FALSE),"")</f>
        <v/>
      </c>
      <c r="L406" s="45" t="str">
        <f>IFERROR(VLOOKUP(B406,'Pre-Summary'!$CU$6:$CW$36,3,FALSE),"")</f>
        <v/>
      </c>
      <c r="M406" s="45" t="str">
        <f>IFERROR(VLOOKUP(B406,'Pre-Summary'!$BW$6:$BY$58,2,FALSE),"")</f>
        <v/>
      </c>
      <c r="N406" s="45" t="str">
        <f>IFERROR(VLOOKUP(B406,'Pre-Summary'!$CD$6:$CF$64,2,FALSE),"")</f>
        <v/>
      </c>
      <c r="O406" s="99">
        <f>IFERROR(VLOOKUP(B406,'Pre-Summary'!$BO$6:$BQ$48,3, FALSE),O405)</f>
        <v>1.0915248032216731</v>
      </c>
      <c r="P406" s="99">
        <f>IFERROR(VLOOKUP(B406,'Pre-Summary'!$BS$6:$BU$35,3,FALSE),P405)</f>
        <v>0.25</v>
      </c>
      <c r="Q406" s="54">
        <f t="shared" si="18"/>
        <v>4.3660992128866924</v>
      </c>
      <c r="R406" s="53">
        <f>IFERROR(VLOOKUP(B406,'Pre-Summary'!$BG$6:$BM$44,7,FALSE),R407)</f>
        <v>7.5915763918363535E-2</v>
      </c>
      <c r="S406" s="53">
        <f>IFERROR(VLOOKUP(B406,'Pre-Summary'!$BG$6:$BM$44,6,FALSE),S407)</f>
        <v>5.2897473997019086E-2</v>
      </c>
      <c r="T406" s="45" t="str">
        <f>IFERROR(VLOOKUP(B406,'Pre-Summary'!$Y$6:$AC$83, 3,FALSE),"")</f>
        <v/>
      </c>
      <c r="U406" s="45" t="str">
        <f>IFERROR(VLOOKUP(B406,'Pre-Summary'!$Y$6:$AC$83, 4,FALSE),"")</f>
        <v/>
      </c>
      <c r="V406" t="str">
        <f>IFERROR(VLOOKUP(B406,'Pre-Summary'!$Y$6:$AC$83, 5,FALSE),"")</f>
        <v/>
      </c>
      <c r="W406" s="45" t="str">
        <f>IFERROR(VLOOKUP(B406,'Pre-Summary'!$Y$6:$AD$83,6,FALSE),"")</f>
        <v/>
      </c>
      <c r="X406" t="str">
        <f>IFERROR(VLOOKUP('Pre-Summary'!$DB$6:$DD$63,3,FALSE),"")</f>
        <v/>
      </c>
      <c r="Y406" t="str">
        <f>IFERROR(VLOOKUP(B406,'Pre-Summary'!$CR$6:$CT$36,3,FALSE),"")</f>
        <v/>
      </c>
      <c r="Z406" s="45" t="str">
        <f>IFERROR(VLOOKUP(B406,'Pre-Summary'!$BZ$6:$CB$63,2,FALSE),"")</f>
        <v/>
      </c>
      <c r="AA406" s="45" t="str">
        <f>IFERROR(VLOOKUP(B406,'Pre-Summary'!$CG$6:$CI$70,2,FALSE),"")</f>
        <v/>
      </c>
      <c r="AB406" s="99">
        <f>IFERROR(VLOOKUP(B406,'Pre-Summary'!$A$6:$P$178,9,FALSE),AB407)</f>
        <v>0.56106418808084624</v>
      </c>
      <c r="AC406" s="10">
        <f>IFERROR(VLOOKUP(Summary!B406,'Pre-Summary'!$A$6:$P$184,5, FALSE)/100,AC407)</f>
        <v>0.82638299999999998</v>
      </c>
      <c r="AD406" s="10">
        <f>IFERROR(VLOOKUP(Summary!B406,'Pre-Summary'!$A$6:$P$184,3, FALSE)/100,AD407)</f>
        <v>0.10673033333333334</v>
      </c>
      <c r="AE406" s="10">
        <f>IFERROR(VLOOKUP(Summary!B406,'Pre-Summary'!$A$6:$P$184,7, FALSE)/100,AE407)</f>
        <v>6.6886666666666664E-2</v>
      </c>
      <c r="AF406" s="99">
        <f t="shared" si="19"/>
        <v>5.9882567815264749E-2</v>
      </c>
      <c r="AG406" s="99">
        <f t="shared" si="20"/>
        <v>3.7527713326767534E-2</v>
      </c>
      <c r="AH406" s="10" t="str">
        <f>IFERROR(VLOOKUP(B406,'Pre-Summary'!$AZ$6:$BE$65,3,FALSE),"")</f>
        <v/>
      </c>
      <c r="AI406" s="10" t="str">
        <f>IFERROR(VLOOKUP(B406,'Pre-Summary'!$AZ$6:$BE$65,5,FALSE),"")</f>
        <v/>
      </c>
      <c r="AJ406" s="10" t="str">
        <f>IFERROR(VLOOKUP(B406,'Pre-Summary'!$AZ$6:$BE$65,4,FALSE),"")</f>
        <v/>
      </c>
      <c r="AK406" s="10" t="str">
        <f>IFERROR(VLOOKUP(B406,'Pre-Summary'!$AZ$6:$BE$65,6,FALSE),"")</f>
        <v/>
      </c>
      <c r="AL406" s="10" t="str">
        <f>IFERROR(VLOOKUP(B406,'Pre-Summary'!$BG$6:$BL$44,3,FALSE),"")</f>
        <v/>
      </c>
      <c r="AM406" s="10" t="str">
        <f>IFERROR(VLOOKUP(B406,'Pre-Summary'!$BG$6:$BL$44,4,FALSE),"")</f>
        <v/>
      </c>
    </row>
    <row r="407" spans="2:39" ht="15" customHeight="1" x14ac:dyDescent="0.3">
      <c r="B407">
        <v>40.4</v>
      </c>
      <c r="C407" t="str">
        <f>IFERROR(VLOOKUP(B407,'Pre-Summary'!$DI$6:$DM$23,4,FALSE),"")</f>
        <v/>
      </c>
      <c r="D407" s="10" t="str">
        <f>IFERROR(VLOOKUP(B407,'Pre-Summary'!$AT$6:$AX$14,5,FALSE),D406)</f>
        <v>DSMZ v2: Dropped Na-Ac out of DSMZ 120 media</v>
      </c>
      <c r="E407" s="10" t="str">
        <f>IFERROR(VLOOKUP(B407,'Pre-Summary'!$AT$6:$AX$15,4,FALSE),"")</f>
        <v/>
      </c>
      <c r="F407">
        <f>IFERROR(VLOOKUP(B407,'Pre-Summary'!$AL$6:$AQ$13,6,FALSE),F406)</f>
        <v>5.9405263157894746E-2</v>
      </c>
      <c r="G407" t="str">
        <f>IFERROR(VLOOKUP(B407,'Pre-Summary'!$AE$6:$AJ$85,3,FALSE),"")</f>
        <v/>
      </c>
      <c r="H407" t="str">
        <f>IFERROR(VLOOKUP(B407,'Pre-Summary'!$AE$6:$AJ$85,4,FALSE),"")</f>
        <v/>
      </c>
      <c r="I407" t="str">
        <f>IFERROR(VLOOKUP(B407,'Pre-Summary'!$AE$6:$AJ$85,5,FALSE),"")</f>
        <v/>
      </c>
      <c r="J407" s="45" t="str">
        <f>IFERROR(VLOOKUP(B407,'Pre-Summary'!$AE$6:$AJ$85,6, FALSE),"")</f>
        <v/>
      </c>
      <c r="K407" s="45" t="str">
        <f>IFERROR(VLOOKUP(B407,'Pre-Summary'!$DE$6:$DG$61,3,FALSE),"")</f>
        <v/>
      </c>
      <c r="L407" s="45" t="str">
        <f>IFERROR(VLOOKUP(B407,'Pre-Summary'!$CU$6:$CW$36,3,FALSE),"")</f>
        <v/>
      </c>
      <c r="M407" s="45" t="str">
        <f>IFERROR(VLOOKUP(B407,'Pre-Summary'!$BW$6:$BY$58,2,FALSE),"")</f>
        <v/>
      </c>
      <c r="N407" s="45" t="str">
        <f>IFERROR(VLOOKUP(B407,'Pre-Summary'!$CD$6:$CF$64,2,FALSE),"")</f>
        <v/>
      </c>
      <c r="O407" s="99">
        <f>IFERROR(VLOOKUP(B407,'Pre-Summary'!$BO$6:$BQ$48,3, FALSE),O406)</f>
        <v>1.0915248032216731</v>
      </c>
      <c r="P407" s="99">
        <f>IFERROR(VLOOKUP(B407,'Pre-Summary'!$BS$6:$BU$35,3,FALSE),P406)</f>
        <v>0.25</v>
      </c>
      <c r="Q407" s="54">
        <f t="shared" si="18"/>
        <v>4.3660992128866924</v>
      </c>
      <c r="R407" s="53">
        <f>IFERROR(VLOOKUP(B407,'Pre-Summary'!$BG$6:$BM$44,7,FALSE),R408)</f>
        <v>7.5915763918363535E-2</v>
      </c>
      <c r="S407" s="53">
        <f>IFERROR(VLOOKUP(B407,'Pre-Summary'!$BG$6:$BM$44,6,FALSE),S408)</f>
        <v>5.2897473997019086E-2</v>
      </c>
      <c r="T407" s="45" t="str">
        <f>IFERROR(VLOOKUP(B407,'Pre-Summary'!$Y$6:$AC$83, 3,FALSE),"")</f>
        <v/>
      </c>
      <c r="U407" s="45" t="str">
        <f>IFERROR(VLOOKUP(B407,'Pre-Summary'!$Y$6:$AC$83, 4,FALSE),"")</f>
        <v/>
      </c>
      <c r="V407" t="str">
        <f>IFERROR(VLOOKUP(B407,'Pre-Summary'!$Y$6:$AC$83, 5,FALSE),"")</f>
        <v/>
      </c>
      <c r="W407" s="45" t="str">
        <f>IFERROR(VLOOKUP(B407,'Pre-Summary'!$Y$6:$AD$83,6,FALSE),"")</f>
        <v/>
      </c>
      <c r="X407" t="str">
        <f>IFERROR(VLOOKUP('Pre-Summary'!$DB$6:$DD$63,3,FALSE),"")</f>
        <v/>
      </c>
      <c r="Y407" t="str">
        <f>IFERROR(VLOOKUP(B407,'Pre-Summary'!$CR$6:$CT$36,3,FALSE),"")</f>
        <v/>
      </c>
      <c r="Z407" s="45" t="str">
        <f>IFERROR(VLOOKUP(B407,'Pre-Summary'!$BZ$6:$CB$63,2,FALSE),"")</f>
        <v/>
      </c>
      <c r="AA407" s="45" t="str">
        <f>IFERROR(VLOOKUP(B407,'Pre-Summary'!$CG$6:$CI$70,2,FALSE),"")</f>
        <v/>
      </c>
      <c r="AB407" s="99">
        <f>IFERROR(VLOOKUP(B407,'Pre-Summary'!$A$6:$P$178,9,FALSE),AB408)</f>
        <v>0.56106418808084624</v>
      </c>
      <c r="AC407" s="10">
        <f>IFERROR(VLOOKUP(Summary!B407,'Pre-Summary'!$A$6:$P$184,5, FALSE)/100,AC408)</f>
        <v>0.82638299999999998</v>
      </c>
      <c r="AD407" s="10">
        <f>IFERROR(VLOOKUP(Summary!B407,'Pre-Summary'!$A$6:$P$184,3, FALSE)/100,AD408)</f>
        <v>0.10673033333333334</v>
      </c>
      <c r="AE407" s="10">
        <f>IFERROR(VLOOKUP(Summary!B407,'Pre-Summary'!$A$6:$P$184,7, FALSE)/100,AE408)</f>
        <v>6.6886666666666664E-2</v>
      </c>
      <c r="AF407" s="99">
        <f t="shared" si="19"/>
        <v>5.9882567815264749E-2</v>
      </c>
      <c r="AG407" s="99">
        <f t="shared" si="20"/>
        <v>3.7527713326767534E-2</v>
      </c>
      <c r="AH407" s="10" t="str">
        <f>IFERROR(VLOOKUP(B407,'Pre-Summary'!$AZ$6:$BE$65,3,FALSE),"")</f>
        <v/>
      </c>
      <c r="AI407" s="10" t="str">
        <f>IFERROR(VLOOKUP(B407,'Pre-Summary'!$AZ$6:$BE$65,5,FALSE),"")</f>
        <v/>
      </c>
      <c r="AJ407" s="10" t="str">
        <f>IFERROR(VLOOKUP(B407,'Pre-Summary'!$AZ$6:$BE$65,4,FALSE),"")</f>
        <v/>
      </c>
      <c r="AK407" s="10" t="str">
        <f>IFERROR(VLOOKUP(B407,'Pre-Summary'!$AZ$6:$BE$65,6,FALSE),"")</f>
        <v/>
      </c>
      <c r="AL407" s="10" t="str">
        <f>IFERROR(VLOOKUP(B407,'Pre-Summary'!$BG$6:$BL$44,3,FALSE),"")</f>
        <v/>
      </c>
      <c r="AM407" s="10" t="str">
        <f>IFERROR(VLOOKUP(B407,'Pre-Summary'!$BG$6:$BL$44,4,FALSE),"")</f>
        <v/>
      </c>
    </row>
    <row r="408" spans="2:39" ht="15" customHeight="1" x14ac:dyDescent="0.3">
      <c r="B408">
        <v>40.5</v>
      </c>
      <c r="C408" t="str">
        <f>IFERROR(VLOOKUP(B408,'Pre-Summary'!$DI$6:$DM$23,4,FALSE),"")</f>
        <v/>
      </c>
      <c r="D408" s="10" t="str">
        <f>IFERROR(VLOOKUP(B408,'Pre-Summary'!$AT$6:$AX$14,5,FALSE),D407)</f>
        <v>DSMZ v2: Dropped Na-Ac out of DSMZ 120 media</v>
      </c>
      <c r="E408" s="10" t="str">
        <f>IFERROR(VLOOKUP(B408,'Pre-Summary'!$AT$6:$AX$15,4,FALSE),"")</f>
        <v/>
      </c>
      <c r="F408">
        <f>IFERROR(VLOOKUP(B408,'Pre-Summary'!$AL$6:$AQ$13,6,FALSE),F407)</f>
        <v>5.9405263157894746E-2</v>
      </c>
      <c r="G408" t="str">
        <f>IFERROR(VLOOKUP(B408,'Pre-Summary'!$AE$6:$AJ$85,3,FALSE),"")</f>
        <v/>
      </c>
      <c r="H408" t="str">
        <f>IFERROR(VLOOKUP(B408,'Pre-Summary'!$AE$6:$AJ$85,4,FALSE),"")</f>
        <v/>
      </c>
      <c r="I408" t="str">
        <f>IFERROR(VLOOKUP(B408,'Pre-Summary'!$AE$6:$AJ$85,5,FALSE),"")</f>
        <v/>
      </c>
      <c r="J408" s="45" t="str">
        <f>IFERROR(VLOOKUP(B408,'Pre-Summary'!$AE$6:$AJ$85,6, FALSE),"")</f>
        <v/>
      </c>
      <c r="K408" s="45" t="str">
        <f>IFERROR(VLOOKUP(B408,'Pre-Summary'!$DE$6:$DG$61,3,FALSE),"")</f>
        <v/>
      </c>
      <c r="L408" s="45" t="str">
        <f>IFERROR(VLOOKUP(B408,'Pre-Summary'!$CU$6:$CW$36,3,FALSE),"")</f>
        <v/>
      </c>
      <c r="M408" s="45" t="str">
        <f>IFERROR(VLOOKUP(B408,'Pre-Summary'!$BW$6:$BY$58,2,FALSE),"")</f>
        <v/>
      </c>
      <c r="N408" s="45" t="str">
        <f>IFERROR(VLOOKUP(B408,'Pre-Summary'!$CD$6:$CF$64,2,FALSE),"")</f>
        <v/>
      </c>
      <c r="O408" s="99">
        <f>IFERROR(VLOOKUP(B408,'Pre-Summary'!$BO$6:$BQ$48,3, FALSE),O407)</f>
        <v>1.0915248032216731</v>
      </c>
      <c r="P408" s="99">
        <f>IFERROR(VLOOKUP(B408,'Pre-Summary'!$BS$6:$BU$35,3,FALSE),P407)</f>
        <v>0.25</v>
      </c>
      <c r="Q408" s="54">
        <f t="shared" si="18"/>
        <v>4.3660992128866924</v>
      </c>
      <c r="R408" s="53">
        <f>IFERROR(VLOOKUP(B408,'Pre-Summary'!$BG$6:$BM$44,7,FALSE),R409)</f>
        <v>7.5915763918363535E-2</v>
      </c>
      <c r="S408" s="53">
        <f>IFERROR(VLOOKUP(B408,'Pre-Summary'!$BG$6:$BM$44,6,FALSE),S409)</f>
        <v>5.2897473997019086E-2</v>
      </c>
      <c r="T408" s="45" t="str">
        <f>IFERROR(VLOOKUP(B408,'Pre-Summary'!$Y$6:$AC$83, 3,FALSE),"")</f>
        <v/>
      </c>
      <c r="U408" s="45" t="str">
        <f>IFERROR(VLOOKUP(B408,'Pre-Summary'!$Y$6:$AC$83, 4,FALSE),"")</f>
        <v/>
      </c>
      <c r="V408" t="str">
        <f>IFERROR(VLOOKUP(B408,'Pre-Summary'!$Y$6:$AC$83, 5,FALSE),"")</f>
        <v/>
      </c>
      <c r="W408" s="45" t="str">
        <f>IFERROR(VLOOKUP(B408,'Pre-Summary'!$Y$6:$AD$83,6,FALSE),"")</f>
        <v/>
      </c>
      <c r="X408" t="str">
        <f>IFERROR(VLOOKUP('Pre-Summary'!$DB$6:$DD$63,3,FALSE),"")</f>
        <v/>
      </c>
      <c r="Y408" t="str">
        <f>IFERROR(VLOOKUP(B408,'Pre-Summary'!$CR$6:$CT$36,3,FALSE),"")</f>
        <v/>
      </c>
      <c r="Z408" s="45" t="str">
        <f>IFERROR(VLOOKUP(B408,'Pre-Summary'!$BZ$6:$CB$63,2,FALSE),"")</f>
        <v/>
      </c>
      <c r="AA408" s="45" t="str">
        <f>IFERROR(VLOOKUP(B408,'Pre-Summary'!$CG$6:$CI$70,2,FALSE),"")</f>
        <v/>
      </c>
      <c r="AB408" s="99">
        <f>IFERROR(VLOOKUP(B408,'Pre-Summary'!$A$6:$P$178,9,FALSE),AB409)</f>
        <v>0.56106418808084624</v>
      </c>
      <c r="AC408" s="10">
        <f>IFERROR(VLOOKUP(Summary!B408,'Pre-Summary'!$A$6:$P$184,5, FALSE)/100,AC409)</f>
        <v>0.82638299999999998</v>
      </c>
      <c r="AD408" s="10">
        <f>IFERROR(VLOOKUP(Summary!B408,'Pre-Summary'!$A$6:$P$184,3, FALSE)/100,AD409)</f>
        <v>0.10673033333333334</v>
      </c>
      <c r="AE408" s="10">
        <f>IFERROR(VLOOKUP(Summary!B408,'Pre-Summary'!$A$6:$P$184,7, FALSE)/100,AE409)</f>
        <v>6.6886666666666664E-2</v>
      </c>
      <c r="AF408" s="99">
        <f t="shared" si="19"/>
        <v>5.9882567815264749E-2</v>
      </c>
      <c r="AG408" s="99">
        <f t="shared" si="20"/>
        <v>3.7527713326767534E-2</v>
      </c>
      <c r="AH408" s="10" t="str">
        <f>IFERROR(VLOOKUP(B408,'Pre-Summary'!$AZ$6:$BE$65,3,FALSE),"")</f>
        <v/>
      </c>
      <c r="AI408" s="10" t="str">
        <f>IFERROR(VLOOKUP(B408,'Pre-Summary'!$AZ$6:$BE$65,5,FALSE),"")</f>
        <v/>
      </c>
      <c r="AJ408" s="10" t="str">
        <f>IFERROR(VLOOKUP(B408,'Pre-Summary'!$AZ$6:$BE$65,4,FALSE),"")</f>
        <v/>
      </c>
      <c r="AK408" s="10" t="str">
        <f>IFERROR(VLOOKUP(B408,'Pre-Summary'!$AZ$6:$BE$65,6,FALSE),"")</f>
        <v/>
      </c>
      <c r="AL408" s="10" t="str">
        <f>IFERROR(VLOOKUP(B408,'Pre-Summary'!$BG$6:$BL$44,3,FALSE),"")</f>
        <v/>
      </c>
      <c r="AM408" s="10" t="str">
        <f>IFERROR(VLOOKUP(B408,'Pre-Summary'!$BG$6:$BL$44,4,FALSE),"")</f>
        <v/>
      </c>
    </row>
    <row r="409" spans="2:39" ht="15" customHeight="1" x14ac:dyDescent="0.3">
      <c r="B409">
        <v>40.6</v>
      </c>
      <c r="C409" t="str">
        <f>IFERROR(VLOOKUP(B409,'Pre-Summary'!$DI$6:$DM$23,4,FALSE),"")</f>
        <v/>
      </c>
      <c r="D409" s="10" t="str">
        <f>IFERROR(VLOOKUP(B409,'Pre-Summary'!$AT$6:$AX$14,5,FALSE),D408)</f>
        <v>DSMZ v2: Dropped Na-Ac out of DSMZ 120 media</v>
      </c>
      <c r="E409" s="10" t="str">
        <f>IFERROR(VLOOKUP(B409,'Pre-Summary'!$AT$6:$AX$15,4,FALSE),"")</f>
        <v/>
      </c>
      <c r="F409">
        <f>IFERROR(VLOOKUP(B409,'Pre-Summary'!$AL$6:$AQ$13,6,FALSE),F408)</f>
        <v>5.9405263157894746E-2</v>
      </c>
      <c r="G409" t="str">
        <f>IFERROR(VLOOKUP(B409,'Pre-Summary'!$AE$6:$AJ$85,3,FALSE),"")</f>
        <v/>
      </c>
      <c r="H409" t="str">
        <f>IFERROR(VLOOKUP(B409,'Pre-Summary'!$AE$6:$AJ$85,4,FALSE),"")</f>
        <v/>
      </c>
      <c r="I409" t="str">
        <f>IFERROR(VLOOKUP(B409,'Pre-Summary'!$AE$6:$AJ$85,5,FALSE),"")</f>
        <v/>
      </c>
      <c r="J409" s="45" t="str">
        <f>IFERROR(VLOOKUP(B409,'Pre-Summary'!$AE$6:$AJ$85,6, FALSE),"")</f>
        <v/>
      </c>
      <c r="K409" s="45" t="str">
        <f>IFERROR(VLOOKUP(B409,'Pre-Summary'!$DE$6:$DG$61,3,FALSE),"")</f>
        <v/>
      </c>
      <c r="L409" s="45" t="str">
        <f>IFERROR(VLOOKUP(B409,'Pre-Summary'!$CU$6:$CW$36,3,FALSE),"")</f>
        <v/>
      </c>
      <c r="M409" s="45" t="str">
        <f>IFERROR(VLOOKUP(B409,'Pre-Summary'!$BW$6:$BY$58,2,FALSE),"")</f>
        <v/>
      </c>
      <c r="N409" s="45" t="str">
        <f>IFERROR(VLOOKUP(B409,'Pre-Summary'!$CD$6:$CF$64,2,FALSE),"")</f>
        <v/>
      </c>
      <c r="O409" s="99">
        <f>IFERROR(VLOOKUP(B409,'Pre-Summary'!$BO$6:$BQ$48,3, FALSE),O408)</f>
        <v>1.0915248032216731</v>
      </c>
      <c r="P409" s="99">
        <f>IFERROR(VLOOKUP(B409,'Pre-Summary'!$BS$6:$BU$35,3,FALSE),P408)</f>
        <v>0.25</v>
      </c>
      <c r="Q409" s="54">
        <f t="shared" si="18"/>
        <v>4.3660992128866924</v>
      </c>
      <c r="R409" s="53">
        <f>IFERROR(VLOOKUP(B409,'Pre-Summary'!$BG$6:$BM$44,7,FALSE),R410)</f>
        <v>7.5915763918363535E-2</v>
      </c>
      <c r="S409" s="53">
        <f>IFERROR(VLOOKUP(B409,'Pre-Summary'!$BG$6:$BM$44,6,FALSE),S410)</f>
        <v>5.2897473997019086E-2</v>
      </c>
      <c r="T409" s="45" t="str">
        <f>IFERROR(VLOOKUP(B409,'Pre-Summary'!$Y$6:$AC$83, 3,FALSE),"")</f>
        <v/>
      </c>
      <c r="U409" s="45" t="str">
        <f>IFERROR(VLOOKUP(B409,'Pre-Summary'!$Y$6:$AC$83, 4,FALSE),"")</f>
        <v/>
      </c>
      <c r="V409" t="str">
        <f>IFERROR(VLOOKUP(B409,'Pre-Summary'!$Y$6:$AC$83, 5,FALSE),"")</f>
        <v/>
      </c>
      <c r="W409" s="45" t="str">
        <f>IFERROR(VLOOKUP(B409,'Pre-Summary'!$Y$6:$AD$83,6,FALSE),"")</f>
        <v/>
      </c>
      <c r="X409" t="str">
        <f>IFERROR(VLOOKUP('Pre-Summary'!$DB$6:$DD$63,3,FALSE),"")</f>
        <v/>
      </c>
      <c r="Y409" t="str">
        <f>IFERROR(VLOOKUP(B409,'Pre-Summary'!$CR$6:$CT$36,3,FALSE),"")</f>
        <v/>
      </c>
      <c r="Z409" s="45" t="str">
        <f>IFERROR(VLOOKUP(B409,'Pre-Summary'!$BZ$6:$CB$63,2,FALSE),"")</f>
        <v/>
      </c>
      <c r="AA409" s="45" t="str">
        <f>IFERROR(VLOOKUP(B409,'Pre-Summary'!$CG$6:$CI$70,2,FALSE),"")</f>
        <v/>
      </c>
      <c r="AB409" s="99">
        <f>IFERROR(VLOOKUP(B409,'Pre-Summary'!$A$6:$P$178,9,FALSE),AB410)</f>
        <v>0.56106418808084624</v>
      </c>
      <c r="AC409" s="10">
        <f>IFERROR(VLOOKUP(Summary!B409,'Pre-Summary'!$A$6:$P$184,5, FALSE)/100,AC410)</f>
        <v>0.82638299999999998</v>
      </c>
      <c r="AD409" s="10">
        <f>IFERROR(VLOOKUP(Summary!B409,'Pre-Summary'!$A$6:$P$184,3, FALSE)/100,AD410)</f>
        <v>0.10673033333333334</v>
      </c>
      <c r="AE409" s="10">
        <f>IFERROR(VLOOKUP(Summary!B409,'Pre-Summary'!$A$6:$P$184,7, FALSE)/100,AE410)</f>
        <v>6.6886666666666664E-2</v>
      </c>
      <c r="AF409" s="99">
        <f t="shared" si="19"/>
        <v>5.9882567815264749E-2</v>
      </c>
      <c r="AG409" s="99">
        <f t="shared" si="20"/>
        <v>3.7527713326767534E-2</v>
      </c>
      <c r="AH409" s="10" t="str">
        <f>IFERROR(VLOOKUP(B409,'Pre-Summary'!$AZ$6:$BE$65,3,FALSE),"")</f>
        <v/>
      </c>
      <c r="AI409" s="10" t="str">
        <f>IFERROR(VLOOKUP(B409,'Pre-Summary'!$AZ$6:$BE$65,5,FALSE),"")</f>
        <v/>
      </c>
      <c r="AJ409" s="10" t="str">
        <f>IFERROR(VLOOKUP(B409,'Pre-Summary'!$AZ$6:$BE$65,4,FALSE),"")</f>
        <v/>
      </c>
      <c r="AK409" s="10" t="str">
        <f>IFERROR(VLOOKUP(B409,'Pre-Summary'!$AZ$6:$BE$65,6,FALSE),"")</f>
        <v/>
      </c>
      <c r="AL409" s="10" t="str">
        <f>IFERROR(VLOOKUP(B409,'Pre-Summary'!$BG$6:$BL$44,3,FALSE),"")</f>
        <v/>
      </c>
      <c r="AM409" s="10" t="str">
        <f>IFERROR(VLOOKUP(B409,'Pre-Summary'!$BG$6:$BL$44,4,FALSE),"")</f>
        <v/>
      </c>
    </row>
    <row r="410" spans="2:39" ht="15" customHeight="1" x14ac:dyDescent="0.3">
      <c r="B410">
        <v>40.700000000000003</v>
      </c>
      <c r="C410" t="str">
        <f>IFERROR(VLOOKUP(B410,'Pre-Summary'!$DI$6:$DM$23,4,FALSE),"")</f>
        <v/>
      </c>
      <c r="D410" s="10" t="str">
        <f>IFERROR(VLOOKUP(B410,'Pre-Summary'!$AT$6:$AX$14,5,FALSE),D409)</f>
        <v>DSMZ v2: Dropped Na-Ac out of DSMZ 120 media</v>
      </c>
      <c r="E410" s="10" t="str">
        <f>IFERROR(VLOOKUP(B410,'Pre-Summary'!$AT$6:$AX$15,4,FALSE),"")</f>
        <v/>
      </c>
      <c r="F410">
        <f>IFERROR(VLOOKUP(B410,'Pre-Summary'!$AL$6:$AQ$13,6,FALSE),F409)</f>
        <v>5.9405263157894746E-2</v>
      </c>
      <c r="G410" t="str">
        <f>IFERROR(VLOOKUP(B410,'Pre-Summary'!$AE$6:$AJ$85,3,FALSE),"")</f>
        <v/>
      </c>
      <c r="H410" t="str">
        <f>IFERROR(VLOOKUP(B410,'Pre-Summary'!$AE$6:$AJ$85,4,FALSE),"")</f>
        <v/>
      </c>
      <c r="I410" t="str">
        <f>IFERROR(VLOOKUP(B410,'Pre-Summary'!$AE$6:$AJ$85,5,FALSE),"")</f>
        <v/>
      </c>
      <c r="J410" s="45" t="str">
        <f>IFERROR(VLOOKUP(B410,'Pre-Summary'!$AE$6:$AJ$85,6, FALSE),"")</f>
        <v/>
      </c>
      <c r="K410" s="45" t="str">
        <f>IFERROR(VLOOKUP(B410,'Pre-Summary'!$DE$6:$DG$61,3,FALSE),"")</f>
        <v/>
      </c>
      <c r="L410" s="45" t="str">
        <f>IFERROR(VLOOKUP(B410,'Pre-Summary'!$CU$6:$CW$36,3,FALSE),"")</f>
        <v/>
      </c>
      <c r="M410" s="45" t="str">
        <f>IFERROR(VLOOKUP(B410,'Pre-Summary'!$BW$6:$BY$58,2,FALSE),"")</f>
        <v/>
      </c>
      <c r="N410" s="45" t="str">
        <f>IFERROR(VLOOKUP(B410,'Pre-Summary'!$CD$6:$CF$64,2,FALSE),"")</f>
        <v/>
      </c>
      <c r="O410" s="99">
        <f>IFERROR(VLOOKUP(B410,'Pre-Summary'!$BO$6:$BQ$48,3, FALSE),O409)</f>
        <v>1.0915248032216731</v>
      </c>
      <c r="P410" s="99">
        <f>IFERROR(VLOOKUP(B410,'Pre-Summary'!$BS$6:$BU$35,3,FALSE),P409)</f>
        <v>0.25</v>
      </c>
      <c r="Q410" s="54">
        <f t="shared" si="18"/>
        <v>4.3660992128866924</v>
      </c>
      <c r="R410" s="53">
        <f>IFERROR(VLOOKUP(B410,'Pre-Summary'!$BG$6:$BM$44,7,FALSE),R411)</f>
        <v>7.5915763918363535E-2</v>
      </c>
      <c r="S410" s="53">
        <f>IFERROR(VLOOKUP(B410,'Pre-Summary'!$BG$6:$BM$44,6,FALSE),S411)</f>
        <v>5.2897473997019086E-2</v>
      </c>
      <c r="T410" s="45" t="str">
        <f>IFERROR(VLOOKUP(B410,'Pre-Summary'!$Y$6:$AC$83, 3,FALSE),"")</f>
        <v/>
      </c>
      <c r="U410" s="45" t="str">
        <f>IFERROR(VLOOKUP(B410,'Pre-Summary'!$Y$6:$AC$83, 4,FALSE),"")</f>
        <v/>
      </c>
      <c r="V410" t="str">
        <f>IFERROR(VLOOKUP(B410,'Pre-Summary'!$Y$6:$AC$83, 5,FALSE),"")</f>
        <v/>
      </c>
      <c r="W410" s="45" t="str">
        <f>IFERROR(VLOOKUP(B410,'Pre-Summary'!$Y$6:$AD$83,6,FALSE),"")</f>
        <v/>
      </c>
      <c r="X410" t="str">
        <f>IFERROR(VLOOKUP('Pre-Summary'!$DB$6:$DD$63,3,FALSE),"")</f>
        <v/>
      </c>
      <c r="Y410" t="str">
        <f>IFERROR(VLOOKUP(B410,'Pre-Summary'!$CR$6:$CT$36,3,FALSE),"")</f>
        <v/>
      </c>
      <c r="Z410" s="45" t="str">
        <f>IFERROR(VLOOKUP(B410,'Pre-Summary'!$BZ$6:$CB$63,2,FALSE),"")</f>
        <v/>
      </c>
      <c r="AA410" s="45" t="str">
        <f>IFERROR(VLOOKUP(B410,'Pre-Summary'!$CG$6:$CI$70,2,FALSE),"")</f>
        <v/>
      </c>
      <c r="AB410" s="99">
        <f>IFERROR(VLOOKUP(B410,'Pre-Summary'!$A$6:$P$178,9,FALSE),AB411)</f>
        <v>0.56106418808084624</v>
      </c>
      <c r="AC410" s="10">
        <f>IFERROR(VLOOKUP(Summary!B410,'Pre-Summary'!$A$6:$P$184,5, FALSE)/100,AC411)</f>
        <v>0.82638299999999998</v>
      </c>
      <c r="AD410" s="10">
        <f>IFERROR(VLOOKUP(Summary!B410,'Pre-Summary'!$A$6:$P$184,3, FALSE)/100,AD411)</f>
        <v>0.10673033333333334</v>
      </c>
      <c r="AE410" s="10">
        <f>IFERROR(VLOOKUP(Summary!B410,'Pre-Summary'!$A$6:$P$184,7, FALSE)/100,AE411)</f>
        <v>6.6886666666666664E-2</v>
      </c>
      <c r="AF410" s="99">
        <f t="shared" si="19"/>
        <v>5.9882567815264749E-2</v>
      </c>
      <c r="AG410" s="99">
        <f t="shared" si="20"/>
        <v>3.7527713326767534E-2</v>
      </c>
      <c r="AH410" s="10" t="str">
        <f>IFERROR(VLOOKUP(B410,'Pre-Summary'!$AZ$6:$BE$65,3,FALSE),"")</f>
        <v/>
      </c>
      <c r="AI410" s="10" t="str">
        <f>IFERROR(VLOOKUP(B410,'Pre-Summary'!$AZ$6:$BE$65,5,FALSE),"")</f>
        <v/>
      </c>
      <c r="AJ410" s="10" t="str">
        <f>IFERROR(VLOOKUP(B410,'Pre-Summary'!$AZ$6:$BE$65,4,FALSE),"")</f>
        <v/>
      </c>
      <c r="AK410" s="10" t="str">
        <f>IFERROR(VLOOKUP(B410,'Pre-Summary'!$AZ$6:$BE$65,6,FALSE),"")</f>
        <v/>
      </c>
      <c r="AL410" s="10" t="str">
        <f>IFERROR(VLOOKUP(B410,'Pre-Summary'!$BG$6:$BL$44,3,FALSE),"")</f>
        <v/>
      </c>
      <c r="AM410" s="10" t="str">
        <f>IFERROR(VLOOKUP(B410,'Pre-Summary'!$BG$6:$BL$44,4,FALSE),"")</f>
        <v/>
      </c>
    </row>
    <row r="411" spans="2:39" ht="15" customHeight="1" x14ac:dyDescent="0.3">
      <c r="B411">
        <v>40.799999999999997</v>
      </c>
      <c r="C411" t="str">
        <f>IFERROR(VLOOKUP(B411,'Pre-Summary'!$DI$6:$DM$23,4,FALSE),"")</f>
        <v/>
      </c>
      <c r="D411" s="10" t="str">
        <f>IFERROR(VLOOKUP(B411,'Pre-Summary'!$AT$6:$AX$14,5,FALSE),D410)</f>
        <v>DSMZ v2: Dropped Na-Ac out of DSMZ 120 media</v>
      </c>
      <c r="E411" s="10" t="str">
        <f>IFERROR(VLOOKUP(B411,'Pre-Summary'!$AT$6:$AX$15,4,FALSE),"")</f>
        <v/>
      </c>
      <c r="F411">
        <f>IFERROR(VLOOKUP(B411,'Pre-Summary'!$AL$6:$AQ$13,6,FALSE),F410)</f>
        <v>5.9405263157894746E-2</v>
      </c>
      <c r="G411" t="str">
        <f>IFERROR(VLOOKUP(B411,'Pre-Summary'!$AE$6:$AJ$85,3,FALSE),"")</f>
        <v/>
      </c>
      <c r="H411" t="str">
        <f>IFERROR(VLOOKUP(B411,'Pre-Summary'!$AE$6:$AJ$85,4,FALSE),"")</f>
        <v/>
      </c>
      <c r="I411" t="str">
        <f>IFERROR(VLOOKUP(B411,'Pre-Summary'!$AE$6:$AJ$85,5,FALSE),"")</f>
        <v/>
      </c>
      <c r="J411" s="45" t="str">
        <f>IFERROR(VLOOKUP(B411,'Pre-Summary'!$AE$6:$AJ$85,6, FALSE),"")</f>
        <v/>
      </c>
      <c r="K411" s="45" t="str">
        <f>IFERROR(VLOOKUP(B411,'Pre-Summary'!$DE$6:$DG$61,3,FALSE),"")</f>
        <v/>
      </c>
      <c r="L411" s="45" t="str">
        <f>IFERROR(VLOOKUP(B411,'Pre-Summary'!$CU$6:$CW$36,3,FALSE),"")</f>
        <v/>
      </c>
      <c r="M411" s="45" t="str">
        <f>IFERROR(VLOOKUP(B411,'Pre-Summary'!$BW$6:$BY$58,2,FALSE),"")</f>
        <v/>
      </c>
      <c r="N411" s="45" t="str">
        <f>IFERROR(VLOOKUP(B411,'Pre-Summary'!$CD$6:$CF$64,2,FALSE),"")</f>
        <v/>
      </c>
      <c r="O411" s="99">
        <f>IFERROR(VLOOKUP(B411,'Pre-Summary'!$BO$6:$BQ$48,3, FALSE),O410)</f>
        <v>1.0915248032216731</v>
      </c>
      <c r="P411" s="99">
        <f>IFERROR(VLOOKUP(B411,'Pre-Summary'!$BS$6:$BU$35,3,FALSE),P410)</f>
        <v>0.25</v>
      </c>
      <c r="Q411" s="54">
        <f t="shared" si="18"/>
        <v>4.3660992128866924</v>
      </c>
      <c r="R411" s="53">
        <f>IFERROR(VLOOKUP(B411,'Pre-Summary'!$BG$6:$BM$44,7,FALSE),R412)</f>
        <v>7.5915763918363535E-2</v>
      </c>
      <c r="S411" s="53">
        <f>IFERROR(VLOOKUP(B411,'Pre-Summary'!$BG$6:$BM$44,6,FALSE),S412)</f>
        <v>5.2897473997019086E-2</v>
      </c>
      <c r="T411" s="45" t="str">
        <f>IFERROR(VLOOKUP(B411,'Pre-Summary'!$Y$6:$AC$83, 3,FALSE),"")</f>
        <v/>
      </c>
      <c r="U411" s="45" t="str">
        <f>IFERROR(VLOOKUP(B411,'Pre-Summary'!$Y$6:$AC$83, 4,FALSE),"")</f>
        <v/>
      </c>
      <c r="V411" t="str">
        <f>IFERROR(VLOOKUP(B411,'Pre-Summary'!$Y$6:$AC$83, 5,FALSE),"")</f>
        <v/>
      </c>
      <c r="W411" s="45" t="str">
        <f>IFERROR(VLOOKUP(B411,'Pre-Summary'!$Y$6:$AD$83,6,FALSE),"")</f>
        <v/>
      </c>
      <c r="X411" t="str">
        <f>IFERROR(VLOOKUP('Pre-Summary'!$DB$6:$DD$63,3,FALSE),"")</f>
        <v/>
      </c>
      <c r="Y411" t="str">
        <f>IFERROR(VLOOKUP(B411,'Pre-Summary'!$CR$6:$CT$36,3,FALSE),"")</f>
        <v/>
      </c>
      <c r="Z411" s="45" t="str">
        <f>IFERROR(VLOOKUP(B411,'Pre-Summary'!$BZ$6:$CB$63,2,FALSE),"")</f>
        <v/>
      </c>
      <c r="AA411" s="45" t="str">
        <f>IFERROR(VLOOKUP(B411,'Pre-Summary'!$CG$6:$CI$70,2,FALSE),"")</f>
        <v/>
      </c>
      <c r="AB411" s="99">
        <f>IFERROR(VLOOKUP(B411,'Pre-Summary'!$A$6:$P$178,9,FALSE),AB412)</f>
        <v>0.56106418808084624</v>
      </c>
      <c r="AC411" s="10">
        <f>IFERROR(VLOOKUP(Summary!B411,'Pre-Summary'!$A$6:$P$184,5, FALSE)/100,AC412)</f>
        <v>0.82638299999999998</v>
      </c>
      <c r="AD411" s="10">
        <f>IFERROR(VLOOKUP(Summary!B411,'Pre-Summary'!$A$6:$P$184,3, FALSE)/100,AD412)</f>
        <v>0.10673033333333334</v>
      </c>
      <c r="AE411" s="10">
        <f>IFERROR(VLOOKUP(Summary!B411,'Pre-Summary'!$A$6:$P$184,7, FALSE)/100,AE412)</f>
        <v>6.6886666666666664E-2</v>
      </c>
      <c r="AF411" s="99">
        <f t="shared" si="19"/>
        <v>5.9882567815264749E-2</v>
      </c>
      <c r="AG411" s="99">
        <f t="shared" si="20"/>
        <v>3.7527713326767534E-2</v>
      </c>
      <c r="AH411" s="10" t="str">
        <f>IFERROR(VLOOKUP(B411,'Pre-Summary'!$AZ$6:$BE$65,3,FALSE),"")</f>
        <v/>
      </c>
      <c r="AI411" s="10" t="str">
        <f>IFERROR(VLOOKUP(B411,'Pre-Summary'!$AZ$6:$BE$65,5,FALSE),"")</f>
        <v/>
      </c>
      <c r="AJ411" s="10" t="str">
        <f>IFERROR(VLOOKUP(B411,'Pre-Summary'!$AZ$6:$BE$65,4,FALSE),"")</f>
        <v/>
      </c>
      <c r="AK411" s="10" t="str">
        <f>IFERROR(VLOOKUP(B411,'Pre-Summary'!$AZ$6:$BE$65,6,FALSE),"")</f>
        <v/>
      </c>
      <c r="AL411" s="10" t="str">
        <f>IFERROR(VLOOKUP(B411,'Pre-Summary'!$BG$6:$BL$44,3,FALSE),"")</f>
        <v/>
      </c>
      <c r="AM411" s="10" t="str">
        <f>IFERROR(VLOOKUP(B411,'Pre-Summary'!$BG$6:$BL$44,4,FALSE),"")</f>
        <v/>
      </c>
    </row>
    <row r="412" spans="2:39" ht="15" customHeight="1" x14ac:dyDescent="0.3">
      <c r="B412">
        <v>40.9</v>
      </c>
      <c r="C412" t="str">
        <f>IFERROR(VLOOKUP(B412,'Pre-Summary'!$DI$6:$DM$23,4,FALSE),"")</f>
        <v/>
      </c>
      <c r="D412" s="10" t="str">
        <f>IFERROR(VLOOKUP(B412,'Pre-Summary'!$AT$6:$AX$14,5,FALSE),D411)</f>
        <v>DSMZ v2: Dropped Na-Ac out of DSMZ 120 media</v>
      </c>
      <c r="E412" s="10" t="str">
        <f>IFERROR(VLOOKUP(B412,'Pre-Summary'!$AT$6:$AX$15,4,FALSE),"")</f>
        <v/>
      </c>
      <c r="F412">
        <f>IFERROR(VLOOKUP(B412,'Pre-Summary'!$AL$6:$AQ$13,6,FALSE),F411)</f>
        <v>5.9405263157894746E-2</v>
      </c>
      <c r="G412" t="str">
        <f>IFERROR(VLOOKUP(B412,'Pre-Summary'!$AE$6:$AJ$85,3,FALSE),"")</f>
        <v/>
      </c>
      <c r="H412" t="str">
        <f>IFERROR(VLOOKUP(B412,'Pre-Summary'!$AE$6:$AJ$85,4,FALSE),"")</f>
        <v/>
      </c>
      <c r="I412" t="str">
        <f>IFERROR(VLOOKUP(B412,'Pre-Summary'!$AE$6:$AJ$85,5,FALSE),"")</f>
        <v/>
      </c>
      <c r="J412" s="45" t="str">
        <f>IFERROR(VLOOKUP(B412,'Pre-Summary'!$AE$6:$AJ$85,6, FALSE),"")</f>
        <v/>
      </c>
      <c r="K412" s="45" t="str">
        <f>IFERROR(VLOOKUP(B412,'Pre-Summary'!$DE$6:$DG$61,3,FALSE),"")</f>
        <v/>
      </c>
      <c r="L412" s="45" t="str">
        <f>IFERROR(VLOOKUP(B412,'Pre-Summary'!$CU$6:$CW$36,3,FALSE),"")</f>
        <v/>
      </c>
      <c r="M412" s="45" t="str">
        <f>IFERROR(VLOOKUP(B412,'Pre-Summary'!$BW$6:$BY$58,2,FALSE),"")</f>
        <v/>
      </c>
      <c r="N412" s="45" t="str">
        <f>IFERROR(VLOOKUP(B412,'Pre-Summary'!$CD$6:$CF$64,2,FALSE),"")</f>
        <v/>
      </c>
      <c r="O412" s="99">
        <f>IFERROR(VLOOKUP(B412,'Pre-Summary'!$BO$6:$BQ$48,3, FALSE),O411)</f>
        <v>1.0915248032216731</v>
      </c>
      <c r="P412" s="99">
        <f>IFERROR(VLOOKUP(B412,'Pre-Summary'!$BS$6:$BU$35,3,FALSE),P411)</f>
        <v>0.25</v>
      </c>
      <c r="Q412" s="54">
        <f t="shared" si="18"/>
        <v>4.3660992128866924</v>
      </c>
      <c r="R412" s="53">
        <f>IFERROR(VLOOKUP(B412,'Pre-Summary'!$BG$6:$BM$44,7,FALSE),R413)</f>
        <v>7.5915763918363535E-2</v>
      </c>
      <c r="S412" s="53">
        <f>IFERROR(VLOOKUP(B412,'Pre-Summary'!$BG$6:$BM$44,6,FALSE),S413)</f>
        <v>5.2897473997019086E-2</v>
      </c>
      <c r="T412" s="45" t="str">
        <f>IFERROR(VLOOKUP(B412,'Pre-Summary'!$Y$6:$AC$83, 3,FALSE),"")</f>
        <v/>
      </c>
      <c r="U412" s="45" t="str">
        <f>IFERROR(VLOOKUP(B412,'Pre-Summary'!$Y$6:$AC$83, 4,FALSE),"")</f>
        <v/>
      </c>
      <c r="V412" t="str">
        <f>IFERROR(VLOOKUP(B412,'Pre-Summary'!$Y$6:$AC$83, 5,FALSE),"")</f>
        <v/>
      </c>
      <c r="W412" s="45" t="str">
        <f>IFERROR(VLOOKUP(B412,'Pre-Summary'!$Y$6:$AD$83,6,FALSE),"")</f>
        <v/>
      </c>
      <c r="X412" t="str">
        <f>IFERROR(VLOOKUP('Pre-Summary'!$DB$6:$DD$63,3,FALSE),"")</f>
        <v/>
      </c>
      <c r="Y412" t="str">
        <f>IFERROR(VLOOKUP(B412,'Pre-Summary'!$CR$6:$CT$36,3,FALSE),"")</f>
        <v/>
      </c>
      <c r="Z412" s="45" t="str">
        <f>IFERROR(VLOOKUP(B412,'Pre-Summary'!$BZ$6:$CB$63,2,FALSE),"")</f>
        <v/>
      </c>
      <c r="AA412" s="45" t="str">
        <f>IFERROR(VLOOKUP(B412,'Pre-Summary'!$CG$6:$CI$70,2,FALSE),"")</f>
        <v/>
      </c>
      <c r="AB412" s="99">
        <f>IFERROR(VLOOKUP(B412,'Pre-Summary'!$A$6:$P$178,9,FALSE),AB413)</f>
        <v>0.56106418808084624</v>
      </c>
      <c r="AC412" s="10">
        <f>IFERROR(VLOOKUP(Summary!B412,'Pre-Summary'!$A$6:$P$184,5, FALSE)/100,AC413)</f>
        <v>0.82638299999999998</v>
      </c>
      <c r="AD412" s="10">
        <f>IFERROR(VLOOKUP(Summary!B412,'Pre-Summary'!$A$6:$P$184,3, FALSE)/100,AD413)</f>
        <v>0.10673033333333334</v>
      </c>
      <c r="AE412" s="10">
        <f>IFERROR(VLOOKUP(Summary!B412,'Pre-Summary'!$A$6:$P$184,7, FALSE)/100,AE413)</f>
        <v>6.6886666666666664E-2</v>
      </c>
      <c r="AF412" s="99">
        <f t="shared" si="19"/>
        <v>5.9882567815264749E-2</v>
      </c>
      <c r="AG412" s="99">
        <f t="shared" si="20"/>
        <v>3.7527713326767534E-2</v>
      </c>
      <c r="AH412" s="10" t="str">
        <f>IFERROR(VLOOKUP(B412,'Pre-Summary'!$AZ$6:$BE$65,3,FALSE),"")</f>
        <v/>
      </c>
      <c r="AI412" s="10" t="str">
        <f>IFERROR(VLOOKUP(B412,'Pre-Summary'!$AZ$6:$BE$65,5,FALSE),"")</f>
        <v/>
      </c>
      <c r="AJ412" s="10" t="str">
        <f>IFERROR(VLOOKUP(B412,'Pre-Summary'!$AZ$6:$BE$65,4,FALSE),"")</f>
        <v/>
      </c>
      <c r="AK412" s="10" t="str">
        <f>IFERROR(VLOOKUP(B412,'Pre-Summary'!$AZ$6:$BE$65,6,FALSE),"")</f>
        <v/>
      </c>
      <c r="AL412" s="10" t="str">
        <f>IFERROR(VLOOKUP(B412,'Pre-Summary'!$BG$6:$BL$44,3,FALSE),"")</f>
        <v/>
      </c>
      <c r="AM412" s="10" t="str">
        <f>IFERROR(VLOOKUP(B412,'Pre-Summary'!$BG$6:$BL$44,4,FALSE),"")</f>
        <v/>
      </c>
    </row>
    <row r="413" spans="2:39" ht="15" customHeight="1" x14ac:dyDescent="0.3">
      <c r="B413">
        <v>41</v>
      </c>
      <c r="C413" t="str">
        <f>IFERROR(VLOOKUP(B413,'Pre-Summary'!$DI$6:$DM$23,4,FALSE),"")</f>
        <v/>
      </c>
      <c r="D413" s="10" t="str">
        <f>IFERROR(VLOOKUP(B413,'Pre-Summary'!$AT$6:$AX$14,5,FALSE),D412)</f>
        <v>DSMZ v2: Dropped Na-Ac out of DSMZ 120 media</v>
      </c>
      <c r="E413" s="10" t="str">
        <f>IFERROR(VLOOKUP(B413,'Pre-Summary'!$AT$6:$AX$15,4,FALSE),"")</f>
        <v/>
      </c>
      <c r="F413">
        <f>IFERROR(VLOOKUP(B413,'Pre-Summary'!$AL$6:$AQ$13,6,FALSE),F412)</f>
        <v>5.9405263157894746E-2</v>
      </c>
      <c r="G413" t="str">
        <f>IFERROR(VLOOKUP(B413,'Pre-Summary'!$AE$6:$AJ$85,3,FALSE),"")</f>
        <v/>
      </c>
      <c r="H413" t="str">
        <f>IFERROR(VLOOKUP(B413,'Pre-Summary'!$AE$6:$AJ$85,4,FALSE),"")</f>
        <v/>
      </c>
      <c r="I413" t="str">
        <f>IFERROR(VLOOKUP(B413,'Pre-Summary'!$AE$6:$AJ$85,5,FALSE),"")</f>
        <v/>
      </c>
      <c r="J413" s="45" t="str">
        <f>IFERROR(VLOOKUP(B413,'Pre-Summary'!$AE$6:$AJ$85,6, FALSE),"")</f>
        <v/>
      </c>
      <c r="K413" s="45" t="str">
        <f>IFERROR(VLOOKUP(B413,'Pre-Summary'!$DE$6:$DG$61,3,FALSE),"")</f>
        <v/>
      </c>
      <c r="L413" s="45" t="str">
        <f>IFERROR(VLOOKUP(B413,'Pre-Summary'!$CU$6:$CW$36,3,FALSE),"")</f>
        <v/>
      </c>
      <c r="M413" s="45" t="str">
        <f>IFERROR(VLOOKUP(B413,'Pre-Summary'!$BW$6:$BY$58,2,FALSE),"")</f>
        <v/>
      </c>
      <c r="N413" s="45" t="str">
        <f>IFERROR(VLOOKUP(B413,'Pre-Summary'!$CD$6:$CF$64,2,FALSE),"")</f>
        <v/>
      </c>
      <c r="O413" s="99">
        <f>IFERROR(VLOOKUP(B413,'Pre-Summary'!$BO$6:$BQ$48,3, FALSE),O412)</f>
        <v>1.0915248032216731</v>
      </c>
      <c r="P413" s="99">
        <f>IFERROR(VLOOKUP(B413,'Pre-Summary'!$BS$6:$BU$35,3,FALSE),P412)</f>
        <v>0.25</v>
      </c>
      <c r="Q413" s="54">
        <f t="shared" si="18"/>
        <v>4.3660992128866924</v>
      </c>
      <c r="R413" s="53">
        <f>IFERROR(VLOOKUP(B413,'Pre-Summary'!$BG$6:$BM$44,7,FALSE),R414)</f>
        <v>7.5915763918363535E-2</v>
      </c>
      <c r="S413" s="53">
        <f>IFERROR(VLOOKUP(B413,'Pre-Summary'!$BG$6:$BM$44,6,FALSE),S414)</f>
        <v>5.2897473997019086E-2</v>
      </c>
      <c r="T413" s="45" t="str">
        <f>IFERROR(VLOOKUP(B413,'Pre-Summary'!$Y$6:$AC$83, 3,FALSE),"")</f>
        <v/>
      </c>
      <c r="U413" s="45" t="str">
        <f>IFERROR(VLOOKUP(B413,'Pre-Summary'!$Y$6:$AC$83, 4,FALSE),"")</f>
        <v/>
      </c>
      <c r="V413" t="str">
        <f>IFERROR(VLOOKUP(B413,'Pre-Summary'!$Y$6:$AC$83, 5,FALSE),"")</f>
        <v/>
      </c>
      <c r="W413" s="45" t="str">
        <f>IFERROR(VLOOKUP(B413,'Pre-Summary'!$Y$6:$AD$83,6,FALSE),"")</f>
        <v/>
      </c>
      <c r="X413" t="str">
        <f>IFERROR(VLOOKUP('Pre-Summary'!$DB$6:$DD$63,3,FALSE),"")</f>
        <v/>
      </c>
      <c r="Y413" t="str">
        <f>IFERROR(VLOOKUP(B413,'Pre-Summary'!$CR$6:$CT$36,3,FALSE),"")</f>
        <v/>
      </c>
      <c r="Z413" s="45" t="str">
        <f>IFERROR(VLOOKUP(B413,'Pre-Summary'!$BZ$6:$CB$63,2,FALSE),"")</f>
        <v/>
      </c>
      <c r="AA413" s="45" t="str">
        <f>IFERROR(VLOOKUP(B413,'Pre-Summary'!$CG$6:$CI$70,2,FALSE),"")</f>
        <v/>
      </c>
      <c r="AB413" s="99">
        <f>IFERROR(VLOOKUP(B413,'Pre-Summary'!$A$6:$P$178,9,FALSE),AB414)</f>
        <v>0.56106418808084624</v>
      </c>
      <c r="AC413" s="10">
        <f>IFERROR(VLOOKUP(Summary!B413,'Pre-Summary'!$A$6:$P$184,5, FALSE)/100,AC414)</f>
        <v>0.82638299999999998</v>
      </c>
      <c r="AD413" s="10">
        <f>IFERROR(VLOOKUP(Summary!B413,'Pre-Summary'!$A$6:$P$184,3, FALSE)/100,AD414)</f>
        <v>0.10673033333333334</v>
      </c>
      <c r="AE413" s="10">
        <f>IFERROR(VLOOKUP(Summary!B413,'Pre-Summary'!$A$6:$P$184,7, FALSE)/100,AE414)</f>
        <v>6.6886666666666664E-2</v>
      </c>
      <c r="AF413" s="99">
        <f t="shared" si="19"/>
        <v>5.9882567815264749E-2</v>
      </c>
      <c r="AG413" s="99">
        <f t="shared" si="20"/>
        <v>3.7527713326767534E-2</v>
      </c>
      <c r="AH413" s="10" t="str">
        <f>IFERROR(VLOOKUP(B413,'Pre-Summary'!$AZ$6:$BE$65,3,FALSE),"")</f>
        <v/>
      </c>
      <c r="AI413" s="10" t="str">
        <f>IFERROR(VLOOKUP(B413,'Pre-Summary'!$AZ$6:$BE$65,5,FALSE),"")</f>
        <v/>
      </c>
      <c r="AJ413" s="10" t="str">
        <f>IFERROR(VLOOKUP(B413,'Pre-Summary'!$AZ$6:$BE$65,4,FALSE),"")</f>
        <v/>
      </c>
      <c r="AK413" s="10" t="str">
        <f>IFERROR(VLOOKUP(B413,'Pre-Summary'!$AZ$6:$BE$65,6,FALSE),"")</f>
        <v/>
      </c>
      <c r="AL413" s="10" t="str">
        <f>IFERROR(VLOOKUP(B413,'Pre-Summary'!$BG$6:$BL$44,3,FALSE),"")</f>
        <v/>
      </c>
      <c r="AM413" s="10" t="str">
        <f>IFERROR(VLOOKUP(B413,'Pre-Summary'!$BG$6:$BL$44,4,FALSE),"")</f>
        <v/>
      </c>
    </row>
    <row r="414" spans="2:39" ht="15" customHeight="1" x14ac:dyDescent="0.3">
      <c r="B414">
        <v>41.1</v>
      </c>
      <c r="C414" t="str">
        <f>IFERROR(VLOOKUP(B414,'Pre-Summary'!$DI$6:$DM$23,4,FALSE),"")</f>
        <v/>
      </c>
      <c r="D414" s="10" t="str">
        <f>IFERROR(VLOOKUP(B414,'Pre-Summary'!$AT$6:$AX$14,5,FALSE),D413)</f>
        <v>DSMZ v2: Dropped Na-Ac out of DSMZ 120 media</v>
      </c>
      <c r="E414" s="10" t="str">
        <f>IFERROR(VLOOKUP(B414,'Pre-Summary'!$AT$6:$AX$15,4,FALSE),"")</f>
        <v/>
      </c>
      <c r="F414">
        <f>IFERROR(VLOOKUP(B414,'Pre-Summary'!$AL$6:$AQ$13,6,FALSE),F413)</f>
        <v>5.9405263157894746E-2</v>
      </c>
      <c r="G414" t="str">
        <f>IFERROR(VLOOKUP(B414,'Pre-Summary'!$AE$6:$AJ$85,3,FALSE),"")</f>
        <v/>
      </c>
      <c r="H414" t="str">
        <f>IFERROR(VLOOKUP(B414,'Pre-Summary'!$AE$6:$AJ$85,4,FALSE),"")</f>
        <v/>
      </c>
      <c r="I414" t="str">
        <f>IFERROR(VLOOKUP(B414,'Pre-Summary'!$AE$6:$AJ$85,5,FALSE),"")</f>
        <v/>
      </c>
      <c r="J414" s="45" t="str">
        <f>IFERROR(VLOOKUP(B414,'Pre-Summary'!$AE$6:$AJ$85,6, FALSE),"")</f>
        <v/>
      </c>
      <c r="K414" s="45" t="str">
        <f>IFERROR(VLOOKUP(B414,'Pre-Summary'!$DE$6:$DG$61,3,FALSE),"")</f>
        <v/>
      </c>
      <c r="L414" s="45" t="str">
        <f>IFERROR(VLOOKUP(B414,'Pre-Summary'!$CU$6:$CW$36,3,FALSE),"")</f>
        <v/>
      </c>
      <c r="M414" s="45" t="str">
        <f>IFERROR(VLOOKUP(B414,'Pre-Summary'!$BW$6:$BY$58,2,FALSE),"")</f>
        <v/>
      </c>
      <c r="N414" s="45" t="str">
        <f>IFERROR(VLOOKUP(B414,'Pre-Summary'!$CD$6:$CF$64,2,FALSE),"")</f>
        <v/>
      </c>
      <c r="O414" s="99">
        <f>IFERROR(VLOOKUP(B414,'Pre-Summary'!$BO$6:$BQ$48,3, FALSE),O413)</f>
        <v>1.0915248032216731</v>
      </c>
      <c r="P414" s="99">
        <f>IFERROR(VLOOKUP(B414,'Pre-Summary'!$BS$6:$BU$35,3,FALSE),P413)</f>
        <v>0.25</v>
      </c>
      <c r="Q414" s="54">
        <f t="shared" si="18"/>
        <v>4.3660992128866924</v>
      </c>
      <c r="R414" s="53">
        <f>IFERROR(VLOOKUP(B414,'Pre-Summary'!$BG$6:$BM$44,7,FALSE),R415)</f>
        <v>7.5915763918363535E-2</v>
      </c>
      <c r="S414" s="53">
        <f>IFERROR(VLOOKUP(B414,'Pre-Summary'!$BG$6:$BM$44,6,FALSE),S415)</f>
        <v>5.2897473997019086E-2</v>
      </c>
      <c r="T414" s="45" t="str">
        <f>IFERROR(VLOOKUP(B414,'Pre-Summary'!$Y$6:$AC$83, 3,FALSE),"")</f>
        <v/>
      </c>
      <c r="U414" s="45" t="str">
        <f>IFERROR(VLOOKUP(B414,'Pre-Summary'!$Y$6:$AC$83, 4,FALSE),"")</f>
        <v/>
      </c>
      <c r="V414" t="str">
        <f>IFERROR(VLOOKUP(B414,'Pre-Summary'!$Y$6:$AC$83, 5,FALSE),"")</f>
        <v/>
      </c>
      <c r="W414" s="45" t="str">
        <f>IFERROR(VLOOKUP(B414,'Pre-Summary'!$Y$6:$AD$83,6,FALSE),"")</f>
        <v/>
      </c>
      <c r="X414" t="str">
        <f>IFERROR(VLOOKUP('Pre-Summary'!$DB$6:$DD$63,3,FALSE),"")</f>
        <v/>
      </c>
      <c r="Y414" t="str">
        <f>IFERROR(VLOOKUP(B414,'Pre-Summary'!$CR$6:$CT$36,3,FALSE),"")</f>
        <v/>
      </c>
      <c r="Z414" s="45" t="str">
        <f>IFERROR(VLOOKUP(B414,'Pre-Summary'!$BZ$6:$CB$63,2,FALSE),"")</f>
        <v/>
      </c>
      <c r="AA414" s="45" t="str">
        <f>IFERROR(VLOOKUP(B414,'Pre-Summary'!$CG$6:$CI$70,2,FALSE),"")</f>
        <v/>
      </c>
      <c r="AB414" s="99">
        <f>IFERROR(VLOOKUP(B414,'Pre-Summary'!$A$6:$P$178,9,FALSE),AB415)</f>
        <v>0.56106418808084624</v>
      </c>
      <c r="AC414" s="10">
        <f>IFERROR(VLOOKUP(Summary!B414,'Pre-Summary'!$A$6:$P$184,5, FALSE)/100,AC415)</f>
        <v>0.82638299999999998</v>
      </c>
      <c r="AD414" s="10">
        <f>IFERROR(VLOOKUP(Summary!B414,'Pre-Summary'!$A$6:$P$184,3, FALSE)/100,AD415)</f>
        <v>0.10673033333333334</v>
      </c>
      <c r="AE414" s="10">
        <f>IFERROR(VLOOKUP(Summary!B414,'Pre-Summary'!$A$6:$P$184,7, FALSE)/100,AE415)</f>
        <v>6.6886666666666664E-2</v>
      </c>
      <c r="AF414" s="99">
        <f t="shared" si="19"/>
        <v>5.9882567815264749E-2</v>
      </c>
      <c r="AG414" s="99">
        <f t="shared" si="20"/>
        <v>3.7527713326767534E-2</v>
      </c>
      <c r="AH414" s="10" t="str">
        <f>IFERROR(VLOOKUP(B414,'Pre-Summary'!$AZ$6:$BE$65,3,FALSE),"")</f>
        <v/>
      </c>
      <c r="AI414" s="10" t="str">
        <f>IFERROR(VLOOKUP(B414,'Pre-Summary'!$AZ$6:$BE$65,5,FALSE),"")</f>
        <v/>
      </c>
      <c r="AJ414" s="10" t="str">
        <f>IFERROR(VLOOKUP(B414,'Pre-Summary'!$AZ$6:$BE$65,4,FALSE),"")</f>
        <v/>
      </c>
      <c r="AK414" s="10" t="str">
        <f>IFERROR(VLOOKUP(B414,'Pre-Summary'!$AZ$6:$BE$65,6,FALSE),"")</f>
        <v/>
      </c>
      <c r="AL414" s="10" t="str">
        <f>IFERROR(VLOOKUP(B414,'Pre-Summary'!$BG$6:$BL$44,3,FALSE),"")</f>
        <v/>
      </c>
      <c r="AM414" s="10" t="str">
        <f>IFERROR(VLOOKUP(B414,'Pre-Summary'!$BG$6:$BL$44,4,FALSE),"")</f>
        <v/>
      </c>
    </row>
    <row r="415" spans="2:39" ht="15" customHeight="1" x14ac:dyDescent="0.3">
      <c r="B415">
        <v>41.2</v>
      </c>
      <c r="C415" t="str">
        <f>IFERROR(VLOOKUP(B415,'Pre-Summary'!$DI$6:$DM$23,4,FALSE),"")</f>
        <v/>
      </c>
      <c r="D415" s="10" t="str">
        <f>IFERROR(VLOOKUP(B415,'Pre-Summary'!$AT$6:$AX$14,5,FALSE),D414)</f>
        <v>DSMZ v2: Dropped Na-Ac out of DSMZ 120 media</v>
      </c>
      <c r="E415" s="10" t="str">
        <f>IFERROR(VLOOKUP(B415,'Pre-Summary'!$AT$6:$AX$15,4,FALSE),"")</f>
        <v/>
      </c>
      <c r="F415">
        <f>IFERROR(VLOOKUP(B415,'Pre-Summary'!$AL$6:$AQ$13,6,FALSE),F414)</f>
        <v>5.9405263157894746E-2</v>
      </c>
      <c r="G415" t="str">
        <f>IFERROR(VLOOKUP(B415,'Pre-Summary'!$AE$6:$AJ$85,3,FALSE),"")</f>
        <v/>
      </c>
      <c r="H415" t="str">
        <f>IFERROR(VLOOKUP(B415,'Pre-Summary'!$AE$6:$AJ$85,4,FALSE),"")</f>
        <v/>
      </c>
      <c r="I415" t="str">
        <f>IFERROR(VLOOKUP(B415,'Pre-Summary'!$AE$6:$AJ$85,5,FALSE),"")</f>
        <v/>
      </c>
      <c r="J415" s="45" t="str">
        <f>IFERROR(VLOOKUP(B415,'Pre-Summary'!$AE$6:$AJ$85,6, FALSE),"")</f>
        <v/>
      </c>
      <c r="K415" s="45" t="str">
        <f>IFERROR(VLOOKUP(B415,'Pre-Summary'!$DE$6:$DG$61,3,FALSE),"")</f>
        <v/>
      </c>
      <c r="L415" s="45" t="str">
        <f>IFERROR(VLOOKUP(B415,'Pre-Summary'!$CU$6:$CW$36,3,FALSE),"")</f>
        <v/>
      </c>
      <c r="M415" s="45" t="str">
        <f>IFERROR(VLOOKUP(B415,'Pre-Summary'!$BW$6:$BY$58,2,FALSE),"")</f>
        <v/>
      </c>
      <c r="N415" s="45" t="str">
        <f>IFERROR(VLOOKUP(B415,'Pre-Summary'!$CD$6:$CF$64,2,FALSE),"")</f>
        <v/>
      </c>
      <c r="O415" s="99">
        <f>IFERROR(VLOOKUP(B415,'Pre-Summary'!$BO$6:$BQ$48,3, FALSE),O414)</f>
        <v>1.0915248032216731</v>
      </c>
      <c r="P415" s="99">
        <f>IFERROR(VLOOKUP(B415,'Pre-Summary'!$BS$6:$BU$35,3,FALSE),P414)</f>
        <v>0.25</v>
      </c>
      <c r="Q415" s="54">
        <f t="shared" si="18"/>
        <v>4.3660992128866924</v>
      </c>
      <c r="R415" s="53">
        <f>IFERROR(VLOOKUP(B415,'Pre-Summary'!$BG$6:$BM$44,7,FALSE),R416)</f>
        <v>7.5915763918363535E-2</v>
      </c>
      <c r="S415" s="53">
        <f>IFERROR(VLOOKUP(B415,'Pre-Summary'!$BG$6:$BM$44,6,FALSE),S416)</f>
        <v>5.2897473997019086E-2</v>
      </c>
      <c r="T415" s="45" t="str">
        <f>IFERROR(VLOOKUP(B415,'Pre-Summary'!$Y$6:$AC$83, 3,FALSE),"")</f>
        <v/>
      </c>
      <c r="U415" s="45" t="str">
        <f>IFERROR(VLOOKUP(B415,'Pre-Summary'!$Y$6:$AC$83, 4,FALSE),"")</f>
        <v/>
      </c>
      <c r="V415" t="str">
        <f>IFERROR(VLOOKUP(B415,'Pre-Summary'!$Y$6:$AC$83, 5,FALSE),"")</f>
        <v/>
      </c>
      <c r="W415" s="45" t="str">
        <f>IFERROR(VLOOKUP(B415,'Pre-Summary'!$Y$6:$AD$83,6,FALSE),"")</f>
        <v/>
      </c>
      <c r="X415" t="str">
        <f>IFERROR(VLOOKUP('Pre-Summary'!$DB$6:$DD$63,3,FALSE),"")</f>
        <v/>
      </c>
      <c r="Y415" t="str">
        <f>IFERROR(VLOOKUP(B415,'Pre-Summary'!$CR$6:$CT$36,3,FALSE),"")</f>
        <v/>
      </c>
      <c r="Z415" s="45" t="str">
        <f>IFERROR(VLOOKUP(B415,'Pre-Summary'!$BZ$6:$CB$63,2,FALSE),"")</f>
        <v/>
      </c>
      <c r="AA415" s="45" t="str">
        <f>IFERROR(VLOOKUP(B415,'Pre-Summary'!$CG$6:$CI$70,2,FALSE),"")</f>
        <v/>
      </c>
      <c r="AB415" s="99">
        <f>IFERROR(VLOOKUP(B415,'Pre-Summary'!$A$6:$P$178,9,FALSE),AB416)</f>
        <v>0.56106418808084624</v>
      </c>
      <c r="AC415" s="10">
        <f>IFERROR(VLOOKUP(Summary!B415,'Pre-Summary'!$A$6:$P$184,5, FALSE)/100,AC416)</f>
        <v>0.82638299999999998</v>
      </c>
      <c r="AD415" s="10">
        <f>IFERROR(VLOOKUP(Summary!B415,'Pre-Summary'!$A$6:$P$184,3, FALSE)/100,AD416)</f>
        <v>0.10673033333333334</v>
      </c>
      <c r="AE415" s="10">
        <f>IFERROR(VLOOKUP(Summary!B415,'Pre-Summary'!$A$6:$P$184,7, FALSE)/100,AE416)</f>
        <v>6.6886666666666664E-2</v>
      </c>
      <c r="AF415" s="99">
        <f t="shared" si="19"/>
        <v>5.9882567815264749E-2</v>
      </c>
      <c r="AG415" s="99">
        <f t="shared" si="20"/>
        <v>3.7527713326767534E-2</v>
      </c>
      <c r="AH415" s="10" t="str">
        <f>IFERROR(VLOOKUP(B415,'Pre-Summary'!$AZ$6:$BE$65,3,FALSE),"")</f>
        <v/>
      </c>
      <c r="AI415" s="10" t="str">
        <f>IFERROR(VLOOKUP(B415,'Pre-Summary'!$AZ$6:$BE$65,5,FALSE),"")</f>
        <v/>
      </c>
      <c r="AJ415" s="10" t="str">
        <f>IFERROR(VLOOKUP(B415,'Pre-Summary'!$AZ$6:$BE$65,4,FALSE),"")</f>
        <v/>
      </c>
      <c r="AK415" s="10" t="str">
        <f>IFERROR(VLOOKUP(B415,'Pre-Summary'!$AZ$6:$BE$65,6,FALSE),"")</f>
        <v/>
      </c>
      <c r="AL415" s="10" t="str">
        <f>IFERROR(VLOOKUP(B415,'Pre-Summary'!$BG$6:$BL$44,3,FALSE),"")</f>
        <v/>
      </c>
      <c r="AM415" s="10" t="str">
        <f>IFERROR(VLOOKUP(B415,'Pre-Summary'!$BG$6:$BL$44,4,FALSE),"")</f>
        <v/>
      </c>
    </row>
    <row r="416" spans="2:39" ht="15" customHeight="1" x14ac:dyDescent="0.3">
      <c r="B416">
        <v>41.3</v>
      </c>
      <c r="C416" t="str">
        <f>IFERROR(VLOOKUP(B416,'Pre-Summary'!$DI$6:$DM$23,4,FALSE),"")</f>
        <v/>
      </c>
      <c r="D416" s="10" t="str">
        <f>IFERROR(VLOOKUP(B416,'Pre-Summary'!$AT$6:$AX$14,5,FALSE),D415)</f>
        <v>DSMZ v2: Dropped Na-Ac out of DSMZ 120 media</v>
      </c>
      <c r="E416" s="10" t="str">
        <f>IFERROR(VLOOKUP(B416,'Pre-Summary'!$AT$6:$AX$15,4,FALSE),"")</f>
        <v/>
      </c>
      <c r="F416">
        <f>IFERROR(VLOOKUP(B416,'Pre-Summary'!$AL$6:$AQ$13,6,FALSE),F415)</f>
        <v>5.9405263157894746E-2</v>
      </c>
      <c r="G416" t="str">
        <f>IFERROR(VLOOKUP(B416,'Pre-Summary'!$AE$6:$AJ$85,3,FALSE),"")</f>
        <v/>
      </c>
      <c r="H416" t="str">
        <f>IFERROR(VLOOKUP(B416,'Pre-Summary'!$AE$6:$AJ$85,4,FALSE),"")</f>
        <v/>
      </c>
      <c r="I416" t="str">
        <f>IFERROR(VLOOKUP(B416,'Pre-Summary'!$AE$6:$AJ$85,5,FALSE),"")</f>
        <v/>
      </c>
      <c r="J416" s="45" t="str">
        <f>IFERROR(VLOOKUP(B416,'Pre-Summary'!$AE$6:$AJ$85,6, FALSE),"")</f>
        <v/>
      </c>
      <c r="K416" s="45" t="str">
        <f>IFERROR(VLOOKUP(B416,'Pre-Summary'!$DE$6:$DG$61,3,FALSE),"")</f>
        <v/>
      </c>
      <c r="L416" s="45" t="str">
        <f>IFERROR(VLOOKUP(B416,'Pre-Summary'!$CU$6:$CW$36,3,FALSE),"")</f>
        <v/>
      </c>
      <c r="M416" s="45" t="str">
        <f>IFERROR(VLOOKUP(B416,'Pre-Summary'!$BW$6:$BY$58,2,FALSE),"")</f>
        <v/>
      </c>
      <c r="N416" s="45" t="str">
        <f>IFERROR(VLOOKUP(B416,'Pre-Summary'!$CD$6:$CF$64,2,FALSE),"")</f>
        <v/>
      </c>
      <c r="O416" s="99">
        <f>IFERROR(VLOOKUP(B416,'Pre-Summary'!$BO$6:$BQ$48,3, FALSE),O415)</f>
        <v>1.0915248032216731</v>
      </c>
      <c r="P416" s="99">
        <f>IFERROR(VLOOKUP(B416,'Pre-Summary'!$BS$6:$BU$35,3,FALSE),P415)</f>
        <v>0.25</v>
      </c>
      <c r="Q416" s="54">
        <f t="shared" si="18"/>
        <v>4.3660992128866924</v>
      </c>
      <c r="R416" s="53">
        <f>IFERROR(VLOOKUP(B416,'Pre-Summary'!$BG$6:$BM$44,7,FALSE),R417)</f>
        <v>7.5915763918363535E-2</v>
      </c>
      <c r="S416" s="53">
        <f>IFERROR(VLOOKUP(B416,'Pre-Summary'!$BG$6:$BM$44,6,FALSE),S417)</f>
        <v>5.2897473997019086E-2</v>
      </c>
      <c r="T416" s="45" t="str">
        <f>IFERROR(VLOOKUP(B416,'Pre-Summary'!$Y$6:$AC$83, 3,FALSE),"")</f>
        <v/>
      </c>
      <c r="U416" s="45" t="str">
        <f>IFERROR(VLOOKUP(B416,'Pre-Summary'!$Y$6:$AC$83, 4,FALSE),"")</f>
        <v/>
      </c>
      <c r="V416" t="str">
        <f>IFERROR(VLOOKUP(B416,'Pre-Summary'!$Y$6:$AC$83, 5,FALSE),"")</f>
        <v/>
      </c>
      <c r="W416" s="45" t="str">
        <f>IFERROR(VLOOKUP(B416,'Pre-Summary'!$Y$6:$AD$83,6,FALSE),"")</f>
        <v/>
      </c>
      <c r="X416" t="str">
        <f>IFERROR(VLOOKUP('Pre-Summary'!$DB$6:$DD$63,3,FALSE),"")</f>
        <v/>
      </c>
      <c r="Y416" t="str">
        <f>IFERROR(VLOOKUP(B416,'Pre-Summary'!$CR$6:$CT$36,3,FALSE),"")</f>
        <v/>
      </c>
      <c r="Z416" s="45" t="str">
        <f>IFERROR(VLOOKUP(B416,'Pre-Summary'!$BZ$6:$CB$63,2,FALSE),"")</f>
        <v/>
      </c>
      <c r="AA416" s="45" t="str">
        <f>IFERROR(VLOOKUP(B416,'Pre-Summary'!$CG$6:$CI$70,2,FALSE),"")</f>
        <v/>
      </c>
      <c r="AB416" s="99">
        <f>IFERROR(VLOOKUP(B416,'Pre-Summary'!$A$6:$P$178,9,FALSE),AB417)</f>
        <v>0.56106418808084624</v>
      </c>
      <c r="AC416" s="10">
        <f>IFERROR(VLOOKUP(Summary!B416,'Pre-Summary'!$A$6:$P$184,5, FALSE)/100,AC417)</f>
        <v>0.82638299999999998</v>
      </c>
      <c r="AD416" s="10">
        <f>IFERROR(VLOOKUP(Summary!B416,'Pre-Summary'!$A$6:$P$184,3, FALSE)/100,AD417)</f>
        <v>0.10673033333333334</v>
      </c>
      <c r="AE416" s="10">
        <f>IFERROR(VLOOKUP(Summary!B416,'Pre-Summary'!$A$6:$P$184,7, FALSE)/100,AE417)</f>
        <v>6.6886666666666664E-2</v>
      </c>
      <c r="AF416" s="99">
        <f t="shared" si="19"/>
        <v>5.9882567815264749E-2</v>
      </c>
      <c r="AG416" s="99">
        <f t="shared" si="20"/>
        <v>3.7527713326767534E-2</v>
      </c>
      <c r="AH416" s="10" t="str">
        <f>IFERROR(VLOOKUP(B416,'Pre-Summary'!$AZ$6:$BE$65,3,FALSE),"")</f>
        <v/>
      </c>
      <c r="AI416" s="10" t="str">
        <f>IFERROR(VLOOKUP(B416,'Pre-Summary'!$AZ$6:$BE$65,5,FALSE),"")</f>
        <v/>
      </c>
      <c r="AJ416" s="10" t="str">
        <f>IFERROR(VLOOKUP(B416,'Pre-Summary'!$AZ$6:$BE$65,4,FALSE),"")</f>
        <v/>
      </c>
      <c r="AK416" s="10" t="str">
        <f>IFERROR(VLOOKUP(B416,'Pre-Summary'!$AZ$6:$BE$65,6,FALSE),"")</f>
        <v/>
      </c>
      <c r="AL416" s="10" t="str">
        <f>IFERROR(VLOOKUP(B416,'Pre-Summary'!$BG$6:$BL$44,3,FALSE),"")</f>
        <v/>
      </c>
      <c r="AM416" s="10" t="str">
        <f>IFERROR(VLOOKUP(B416,'Pre-Summary'!$BG$6:$BL$44,4,FALSE),"")</f>
        <v/>
      </c>
    </row>
    <row r="417" spans="2:39" ht="15" customHeight="1" x14ac:dyDescent="0.3">
      <c r="B417">
        <v>41.4</v>
      </c>
      <c r="C417" t="str">
        <f>IFERROR(VLOOKUP(B417,'Pre-Summary'!$DI$6:$DM$23,4,FALSE),"")</f>
        <v/>
      </c>
      <c r="D417" s="10" t="str">
        <f>IFERROR(VLOOKUP(B417,'Pre-Summary'!$AT$6:$AX$14,5,FALSE),D416)</f>
        <v>DSMZ v2: Dropped Na-Ac out of DSMZ 120 media</v>
      </c>
      <c r="E417" s="10" t="str">
        <f>IFERROR(VLOOKUP(B417,'Pre-Summary'!$AT$6:$AX$15,4,FALSE),"")</f>
        <v/>
      </c>
      <c r="F417">
        <f>IFERROR(VLOOKUP(B417,'Pre-Summary'!$AL$6:$AQ$13,6,FALSE),F416)</f>
        <v>5.9405263157894746E-2</v>
      </c>
      <c r="G417" t="str">
        <f>IFERROR(VLOOKUP(B417,'Pre-Summary'!$AE$6:$AJ$85,3,FALSE),"")</f>
        <v/>
      </c>
      <c r="H417" t="str">
        <f>IFERROR(VLOOKUP(B417,'Pre-Summary'!$AE$6:$AJ$85,4,FALSE),"")</f>
        <v/>
      </c>
      <c r="I417" t="str">
        <f>IFERROR(VLOOKUP(B417,'Pre-Summary'!$AE$6:$AJ$85,5,FALSE),"")</f>
        <v/>
      </c>
      <c r="J417" s="45" t="str">
        <f>IFERROR(VLOOKUP(B417,'Pre-Summary'!$AE$6:$AJ$85,6, FALSE),"")</f>
        <v/>
      </c>
      <c r="K417" s="45" t="str">
        <f>IFERROR(VLOOKUP(B417,'Pre-Summary'!$DE$6:$DG$61,3,FALSE),"")</f>
        <v/>
      </c>
      <c r="L417" s="45" t="str">
        <f>IFERROR(VLOOKUP(B417,'Pre-Summary'!$CU$6:$CW$36,3,FALSE),"")</f>
        <v/>
      </c>
      <c r="M417" s="45" t="str">
        <f>IFERROR(VLOOKUP(B417,'Pre-Summary'!$BW$6:$BY$58,2,FALSE),"")</f>
        <v/>
      </c>
      <c r="N417" s="45" t="str">
        <f>IFERROR(VLOOKUP(B417,'Pre-Summary'!$CD$6:$CF$64,2,FALSE),"")</f>
        <v/>
      </c>
      <c r="O417" s="99">
        <f>IFERROR(VLOOKUP(B417,'Pre-Summary'!$BO$6:$BQ$48,3, FALSE),O416)</f>
        <v>1.0915248032216731</v>
      </c>
      <c r="P417" s="99">
        <f>IFERROR(VLOOKUP(B417,'Pre-Summary'!$BS$6:$BU$35,3,FALSE),P416)</f>
        <v>0.25</v>
      </c>
      <c r="Q417" s="54">
        <f t="shared" si="18"/>
        <v>4.3660992128866924</v>
      </c>
      <c r="R417" s="53">
        <f>IFERROR(VLOOKUP(B417,'Pre-Summary'!$BG$6:$BM$44,7,FALSE),R418)</f>
        <v>7.5915763918363535E-2</v>
      </c>
      <c r="S417" s="53">
        <f>IFERROR(VLOOKUP(B417,'Pre-Summary'!$BG$6:$BM$44,6,FALSE),S418)</f>
        <v>5.2897473997019086E-2</v>
      </c>
      <c r="T417" s="45" t="str">
        <f>IFERROR(VLOOKUP(B417,'Pre-Summary'!$Y$6:$AC$83, 3,FALSE),"")</f>
        <v/>
      </c>
      <c r="U417" s="45" t="str">
        <f>IFERROR(VLOOKUP(B417,'Pre-Summary'!$Y$6:$AC$83, 4,FALSE),"")</f>
        <v/>
      </c>
      <c r="V417" t="str">
        <f>IFERROR(VLOOKUP(B417,'Pre-Summary'!$Y$6:$AC$83, 5,FALSE),"")</f>
        <v/>
      </c>
      <c r="W417" s="45" t="str">
        <f>IFERROR(VLOOKUP(B417,'Pre-Summary'!$Y$6:$AD$83,6,FALSE),"")</f>
        <v/>
      </c>
      <c r="X417" t="str">
        <f>IFERROR(VLOOKUP('Pre-Summary'!$DB$6:$DD$63,3,FALSE),"")</f>
        <v/>
      </c>
      <c r="Y417" t="str">
        <f>IFERROR(VLOOKUP(B417,'Pre-Summary'!$CR$6:$CT$36,3,FALSE),"")</f>
        <v/>
      </c>
      <c r="Z417" s="45" t="str">
        <f>IFERROR(VLOOKUP(B417,'Pre-Summary'!$BZ$6:$CB$63,2,FALSE),"")</f>
        <v/>
      </c>
      <c r="AA417" s="45" t="str">
        <f>IFERROR(VLOOKUP(B417,'Pre-Summary'!$CG$6:$CI$70,2,FALSE),"")</f>
        <v/>
      </c>
      <c r="AB417" s="99">
        <f>IFERROR(VLOOKUP(B417,'Pre-Summary'!$A$6:$P$178,9,FALSE),AB418)</f>
        <v>0.56106418808084624</v>
      </c>
      <c r="AC417" s="10">
        <f>IFERROR(VLOOKUP(Summary!B417,'Pre-Summary'!$A$6:$P$184,5, FALSE)/100,AC418)</f>
        <v>0.82638299999999998</v>
      </c>
      <c r="AD417" s="10">
        <f>IFERROR(VLOOKUP(Summary!B417,'Pre-Summary'!$A$6:$P$184,3, FALSE)/100,AD418)</f>
        <v>0.10673033333333334</v>
      </c>
      <c r="AE417" s="10">
        <f>IFERROR(VLOOKUP(Summary!B417,'Pre-Summary'!$A$6:$P$184,7, FALSE)/100,AE418)</f>
        <v>6.6886666666666664E-2</v>
      </c>
      <c r="AF417" s="99">
        <f t="shared" si="19"/>
        <v>5.9882567815264749E-2</v>
      </c>
      <c r="AG417" s="99">
        <f t="shared" si="20"/>
        <v>3.7527713326767534E-2</v>
      </c>
      <c r="AH417" s="10" t="str">
        <f>IFERROR(VLOOKUP(B417,'Pre-Summary'!$AZ$6:$BE$65,3,FALSE),"")</f>
        <v/>
      </c>
      <c r="AI417" s="10" t="str">
        <f>IFERROR(VLOOKUP(B417,'Pre-Summary'!$AZ$6:$BE$65,5,FALSE),"")</f>
        <v/>
      </c>
      <c r="AJ417" s="10" t="str">
        <f>IFERROR(VLOOKUP(B417,'Pre-Summary'!$AZ$6:$BE$65,4,FALSE),"")</f>
        <v/>
      </c>
      <c r="AK417" s="10" t="str">
        <f>IFERROR(VLOOKUP(B417,'Pre-Summary'!$AZ$6:$BE$65,6,FALSE),"")</f>
        <v/>
      </c>
      <c r="AL417" s="10" t="str">
        <f>IFERROR(VLOOKUP(B417,'Pre-Summary'!$BG$6:$BL$44,3,FALSE),"")</f>
        <v/>
      </c>
      <c r="AM417" s="10" t="str">
        <f>IFERROR(VLOOKUP(B417,'Pre-Summary'!$BG$6:$BL$44,4,FALSE),"")</f>
        <v/>
      </c>
    </row>
    <row r="418" spans="2:39" ht="15" customHeight="1" x14ac:dyDescent="0.3">
      <c r="B418">
        <v>41.5</v>
      </c>
      <c r="C418" t="str">
        <f>IFERROR(VLOOKUP(B418,'Pre-Summary'!$DI$6:$DM$23,4,FALSE),"")</f>
        <v/>
      </c>
      <c r="D418" s="10" t="str">
        <f>IFERROR(VLOOKUP(B418,'Pre-Summary'!$AT$6:$AX$14,5,FALSE),D417)</f>
        <v>DSMZ v2: Dropped Na-Ac out of DSMZ 120 media</v>
      </c>
      <c r="E418" s="10" t="str">
        <f>IFERROR(VLOOKUP(B418,'Pre-Summary'!$AT$6:$AX$15,4,FALSE),"")</f>
        <v/>
      </c>
      <c r="F418">
        <f>IFERROR(VLOOKUP(B418,'Pre-Summary'!$AL$6:$AQ$13,6,FALSE),F417)</f>
        <v>5.9405263157894746E-2</v>
      </c>
      <c r="G418" t="str">
        <f>IFERROR(VLOOKUP(B418,'Pre-Summary'!$AE$6:$AJ$85,3,FALSE),"")</f>
        <v/>
      </c>
      <c r="H418" t="str">
        <f>IFERROR(VLOOKUP(B418,'Pre-Summary'!$AE$6:$AJ$85,4,FALSE),"")</f>
        <v/>
      </c>
      <c r="I418" t="str">
        <f>IFERROR(VLOOKUP(B418,'Pre-Summary'!$AE$6:$AJ$85,5,FALSE),"")</f>
        <v/>
      </c>
      <c r="J418" s="45" t="str">
        <f>IFERROR(VLOOKUP(B418,'Pre-Summary'!$AE$6:$AJ$85,6, FALSE),"")</f>
        <v/>
      </c>
      <c r="K418" s="45" t="str">
        <f>IFERROR(VLOOKUP(B418,'Pre-Summary'!$DE$6:$DG$61,3,FALSE),"")</f>
        <v/>
      </c>
      <c r="L418" s="45" t="str">
        <f>IFERROR(VLOOKUP(B418,'Pre-Summary'!$CU$6:$CW$36,3,FALSE),"")</f>
        <v/>
      </c>
      <c r="M418" s="45" t="str">
        <f>IFERROR(VLOOKUP(B418,'Pre-Summary'!$BW$6:$BY$58,2,FALSE),"")</f>
        <v/>
      </c>
      <c r="N418" s="45" t="str">
        <f>IFERROR(VLOOKUP(B418,'Pre-Summary'!$CD$6:$CF$64,2,FALSE),"")</f>
        <v/>
      </c>
      <c r="O418" s="99">
        <f>IFERROR(VLOOKUP(B418,'Pre-Summary'!$BO$6:$BQ$48,3, FALSE),O417)</f>
        <v>1.0915248032216731</v>
      </c>
      <c r="P418" s="99">
        <f>IFERROR(VLOOKUP(B418,'Pre-Summary'!$BS$6:$BU$35,3,FALSE),P417)</f>
        <v>0.25</v>
      </c>
      <c r="Q418" s="54">
        <f t="shared" si="18"/>
        <v>4.3660992128866924</v>
      </c>
      <c r="R418" s="53">
        <f>IFERROR(VLOOKUP(B418,'Pre-Summary'!$BG$6:$BM$44,7,FALSE),R419)</f>
        <v>7.5915763918363535E-2</v>
      </c>
      <c r="S418" s="53">
        <f>IFERROR(VLOOKUP(B418,'Pre-Summary'!$BG$6:$BM$44,6,FALSE),S419)</f>
        <v>5.2897473997019086E-2</v>
      </c>
      <c r="T418" s="45" t="str">
        <f>IFERROR(VLOOKUP(B418,'Pre-Summary'!$Y$6:$AC$83, 3,FALSE),"")</f>
        <v/>
      </c>
      <c r="U418" s="45" t="str">
        <f>IFERROR(VLOOKUP(B418,'Pre-Summary'!$Y$6:$AC$83, 4,FALSE),"")</f>
        <v/>
      </c>
      <c r="V418" t="str">
        <f>IFERROR(VLOOKUP(B418,'Pre-Summary'!$Y$6:$AC$83, 5,FALSE),"")</f>
        <v/>
      </c>
      <c r="W418" s="45" t="str">
        <f>IFERROR(VLOOKUP(B418,'Pre-Summary'!$Y$6:$AD$83,6,FALSE),"")</f>
        <v/>
      </c>
      <c r="X418" t="str">
        <f>IFERROR(VLOOKUP('Pre-Summary'!$DB$6:$DD$63,3,FALSE),"")</f>
        <v/>
      </c>
      <c r="Y418" t="str">
        <f>IFERROR(VLOOKUP(B418,'Pre-Summary'!$CR$6:$CT$36,3,FALSE),"")</f>
        <v/>
      </c>
      <c r="Z418" s="45" t="str">
        <f>IFERROR(VLOOKUP(B418,'Pre-Summary'!$BZ$6:$CB$63,2,FALSE),"")</f>
        <v/>
      </c>
      <c r="AA418" s="45" t="str">
        <f>IFERROR(VLOOKUP(B418,'Pre-Summary'!$CG$6:$CI$70,2,FALSE),"")</f>
        <v/>
      </c>
      <c r="AB418" s="99">
        <f>IFERROR(VLOOKUP(B418,'Pre-Summary'!$A$6:$P$178,9,FALSE),AB419)</f>
        <v>0.56106418808084624</v>
      </c>
      <c r="AC418" s="10">
        <f>IFERROR(VLOOKUP(Summary!B418,'Pre-Summary'!$A$6:$P$184,5, FALSE)/100,AC419)</f>
        <v>0.82638299999999998</v>
      </c>
      <c r="AD418" s="10">
        <f>IFERROR(VLOOKUP(Summary!B418,'Pre-Summary'!$A$6:$P$184,3, FALSE)/100,AD419)</f>
        <v>0.10673033333333334</v>
      </c>
      <c r="AE418" s="10">
        <f>IFERROR(VLOOKUP(Summary!B418,'Pre-Summary'!$A$6:$P$184,7, FALSE)/100,AE419)</f>
        <v>6.6886666666666664E-2</v>
      </c>
      <c r="AF418" s="99">
        <f t="shared" si="19"/>
        <v>5.9882567815264749E-2</v>
      </c>
      <c r="AG418" s="99">
        <f t="shared" si="20"/>
        <v>3.7527713326767534E-2</v>
      </c>
      <c r="AH418" s="10" t="str">
        <f>IFERROR(VLOOKUP(B418,'Pre-Summary'!$AZ$6:$BE$65,3,FALSE),"")</f>
        <v/>
      </c>
      <c r="AI418" s="10" t="str">
        <f>IFERROR(VLOOKUP(B418,'Pre-Summary'!$AZ$6:$BE$65,5,FALSE),"")</f>
        <v/>
      </c>
      <c r="AJ418" s="10" t="str">
        <f>IFERROR(VLOOKUP(B418,'Pre-Summary'!$AZ$6:$BE$65,4,FALSE),"")</f>
        <v/>
      </c>
      <c r="AK418" s="10" t="str">
        <f>IFERROR(VLOOKUP(B418,'Pre-Summary'!$AZ$6:$BE$65,6,FALSE),"")</f>
        <v/>
      </c>
      <c r="AL418" s="10" t="str">
        <f>IFERROR(VLOOKUP(B418,'Pre-Summary'!$BG$6:$BL$44,3,FALSE),"")</f>
        <v/>
      </c>
      <c r="AM418" s="10" t="str">
        <f>IFERROR(VLOOKUP(B418,'Pre-Summary'!$BG$6:$BL$44,4,FALSE),"")</f>
        <v/>
      </c>
    </row>
    <row r="419" spans="2:39" ht="15" customHeight="1" x14ac:dyDescent="0.3">
      <c r="B419">
        <v>41.6</v>
      </c>
      <c r="C419" t="str">
        <f>IFERROR(VLOOKUP(B419,'Pre-Summary'!$DI$6:$DM$23,4,FALSE),"")</f>
        <v/>
      </c>
      <c r="D419" s="10" t="str">
        <f>IFERROR(VLOOKUP(B419,'Pre-Summary'!$AT$6:$AX$14,5,FALSE),D418)</f>
        <v>DSMZ v2: Dropped Na-Ac out of DSMZ 120 media</v>
      </c>
      <c r="E419" s="10" t="str">
        <f>IFERROR(VLOOKUP(B419,'Pre-Summary'!$AT$6:$AX$15,4,FALSE),"")</f>
        <v/>
      </c>
      <c r="F419">
        <f>IFERROR(VLOOKUP(B419,'Pre-Summary'!$AL$6:$AQ$13,6,FALSE),F418)</f>
        <v>5.9405263157894746E-2</v>
      </c>
      <c r="G419" t="str">
        <f>IFERROR(VLOOKUP(B419,'Pre-Summary'!$AE$6:$AJ$85,3,FALSE),"")</f>
        <v/>
      </c>
      <c r="H419" t="str">
        <f>IFERROR(VLOOKUP(B419,'Pre-Summary'!$AE$6:$AJ$85,4,FALSE),"")</f>
        <v/>
      </c>
      <c r="I419" t="str">
        <f>IFERROR(VLOOKUP(B419,'Pre-Summary'!$AE$6:$AJ$85,5,FALSE),"")</f>
        <v/>
      </c>
      <c r="J419" s="45" t="str">
        <f>IFERROR(VLOOKUP(B419,'Pre-Summary'!$AE$6:$AJ$85,6, FALSE),"")</f>
        <v/>
      </c>
      <c r="K419" s="45" t="str">
        <f>IFERROR(VLOOKUP(B419,'Pre-Summary'!$DE$6:$DG$61,3,FALSE),"")</f>
        <v/>
      </c>
      <c r="L419" s="45" t="str">
        <f>IFERROR(VLOOKUP(B419,'Pre-Summary'!$CU$6:$CW$36,3,FALSE),"")</f>
        <v/>
      </c>
      <c r="M419" s="45" t="str">
        <f>IFERROR(VLOOKUP(B419,'Pre-Summary'!$BW$6:$BY$58,2,FALSE),"")</f>
        <v/>
      </c>
      <c r="N419" s="45" t="str">
        <f>IFERROR(VLOOKUP(B419,'Pre-Summary'!$CD$6:$CF$64,2,FALSE),"")</f>
        <v/>
      </c>
      <c r="O419" s="99">
        <f>IFERROR(VLOOKUP(B419,'Pre-Summary'!$BO$6:$BQ$48,3, FALSE),O418)</f>
        <v>1.0915248032216731</v>
      </c>
      <c r="P419" s="99">
        <f>IFERROR(VLOOKUP(B419,'Pre-Summary'!$BS$6:$BU$35,3,FALSE),P418)</f>
        <v>0.25</v>
      </c>
      <c r="Q419" s="54">
        <f t="shared" si="18"/>
        <v>4.3660992128866924</v>
      </c>
      <c r="R419" s="53">
        <f>IFERROR(VLOOKUP(B419,'Pre-Summary'!$BG$6:$BM$44,7,FALSE),R420)</f>
        <v>7.5915763918363535E-2</v>
      </c>
      <c r="S419" s="53">
        <f>IFERROR(VLOOKUP(B419,'Pre-Summary'!$BG$6:$BM$44,6,FALSE),S420)</f>
        <v>5.2897473997019086E-2</v>
      </c>
      <c r="T419" s="45" t="str">
        <f>IFERROR(VLOOKUP(B419,'Pre-Summary'!$Y$6:$AC$83, 3,FALSE),"")</f>
        <v/>
      </c>
      <c r="U419" s="45" t="str">
        <f>IFERROR(VLOOKUP(B419,'Pre-Summary'!$Y$6:$AC$83, 4,FALSE),"")</f>
        <v/>
      </c>
      <c r="V419" t="str">
        <f>IFERROR(VLOOKUP(B419,'Pre-Summary'!$Y$6:$AC$83, 5,FALSE),"")</f>
        <v/>
      </c>
      <c r="W419" s="45" t="str">
        <f>IFERROR(VLOOKUP(B419,'Pre-Summary'!$Y$6:$AD$83,6,FALSE),"")</f>
        <v/>
      </c>
      <c r="X419" t="str">
        <f>IFERROR(VLOOKUP('Pre-Summary'!$DB$6:$DD$63,3,FALSE),"")</f>
        <v/>
      </c>
      <c r="Y419" t="str">
        <f>IFERROR(VLOOKUP(B419,'Pre-Summary'!$CR$6:$CT$36,3,FALSE),"")</f>
        <v/>
      </c>
      <c r="Z419" s="45" t="str">
        <f>IFERROR(VLOOKUP(B419,'Pre-Summary'!$BZ$6:$CB$63,2,FALSE),"")</f>
        <v/>
      </c>
      <c r="AA419" s="45" t="str">
        <f>IFERROR(VLOOKUP(B419,'Pre-Summary'!$CG$6:$CI$70,2,FALSE),"")</f>
        <v/>
      </c>
      <c r="AB419" s="99">
        <f>IFERROR(VLOOKUP(B419,'Pre-Summary'!$A$6:$P$178,9,FALSE),AB420)</f>
        <v>0.56106418808084624</v>
      </c>
      <c r="AC419" s="10">
        <f>IFERROR(VLOOKUP(Summary!B419,'Pre-Summary'!$A$6:$P$184,5, FALSE)/100,AC420)</f>
        <v>0.82638299999999998</v>
      </c>
      <c r="AD419" s="10">
        <f>IFERROR(VLOOKUP(Summary!B419,'Pre-Summary'!$A$6:$P$184,3, FALSE)/100,AD420)</f>
        <v>0.10673033333333334</v>
      </c>
      <c r="AE419" s="10">
        <f>IFERROR(VLOOKUP(Summary!B419,'Pre-Summary'!$A$6:$P$184,7, FALSE)/100,AE420)</f>
        <v>6.6886666666666664E-2</v>
      </c>
      <c r="AF419" s="99">
        <f t="shared" si="19"/>
        <v>5.9882567815264749E-2</v>
      </c>
      <c r="AG419" s="99">
        <f t="shared" si="20"/>
        <v>3.7527713326767534E-2</v>
      </c>
      <c r="AH419" s="10" t="str">
        <f>IFERROR(VLOOKUP(B419,'Pre-Summary'!$AZ$6:$BE$65,3,FALSE),"")</f>
        <v/>
      </c>
      <c r="AI419" s="10" t="str">
        <f>IFERROR(VLOOKUP(B419,'Pre-Summary'!$AZ$6:$BE$65,5,FALSE),"")</f>
        <v/>
      </c>
      <c r="AJ419" s="10" t="str">
        <f>IFERROR(VLOOKUP(B419,'Pre-Summary'!$AZ$6:$BE$65,4,FALSE),"")</f>
        <v/>
      </c>
      <c r="AK419" s="10" t="str">
        <f>IFERROR(VLOOKUP(B419,'Pre-Summary'!$AZ$6:$BE$65,6,FALSE),"")</f>
        <v/>
      </c>
      <c r="AL419" s="10" t="str">
        <f>IFERROR(VLOOKUP(B419,'Pre-Summary'!$BG$6:$BL$44,3,FALSE),"")</f>
        <v/>
      </c>
      <c r="AM419" s="10" t="str">
        <f>IFERROR(VLOOKUP(B419,'Pre-Summary'!$BG$6:$BL$44,4,FALSE),"")</f>
        <v/>
      </c>
    </row>
    <row r="420" spans="2:39" ht="15" customHeight="1" x14ac:dyDescent="0.3">
      <c r="B420">
        <v>41.7</v>
      </c>
      <c r="C420" t="str">
        <f>IFERROR(VLOOKUP(B420,'Pre-Summary'!$DI$6:$DM$23,4,FALSE),"")</f>
        <v/>
      </c>
      <c r="D420" s="10" t="str">
        <f>IFERROR(VLOOKUP(B420,'Pre-Summary'!$AT$6:$AX$14,5,FALSE),D419)</f>
        <v>DSMZ v2: Dropped Na-Ac out of DSMZ 120 media</v>
      </c>
      <c r="E420" s="10" t="str">
        <f>IFERROR(VLOOKUP(B420,'Pre-Summary'!$AT$6:$AX$15,4,FALSE),"")</f>
        <v/>
      </c>
      <c r="F420">
        <f>IFERROR(VLOOKUP(B420,'Pre-Summary'!$AL$6:$AQ$13,6,FALSE),F419)</f>
        <v>5.9405263157894746E-2</v>
      </c>
      <c r="G420" t="str">
        <f>IFERROR(VLOOKUP(B420,'Pre-Summary'!$AE$6:$AJ$85,3,FALSE),"")</f>
        <v/>
      </c>
      <c r="H420" t="str">
        <f>IFERROR(VLOOKUP(B420,'Pre-Summary'!$AE$6:$AJ$85,4,FALSE),"")</f>
        <v/>
      </c>
      <c r="I420" t="str">
        <f>IFERROR(VLOOKUP(B420,'Pre-Summary'!$AE$6:$AJ$85,5,FALSE),"")</f>
        <v/>
      </c>
      <c r="J420" s="45" t="str">
        <f>IFERROR(VLOOKUP(B420,'Pre-Summary'!$AE$6:$AJ$85,6, FALSE),"")</f>
        <v/>
      </c>
      <c r="K420" s="45" t="str">
        <f>IFERROR(VLOOKUP(B420,'Pre-Summary'!$DE$6:$DG$61,3,FALSE),"")</f>
        <v/>
      </c>
      <c r="L420" s="45" t="str">
        <f>IFERROR(VLOOKUP(B420,'Pre-Summary'!$CU$6:$CW$36,3,FALSE),"")</f>
        <v/>
      </c>
      <c r="M420" s="45" t="str">
        <f>IFERROR(VLOOKUP(B420,'Pre-Summary'!$BW$6:$BY$58,2,FALSE),"")</f>
        <v/>
      </c>
      <c r="N420" s="45" t="str">
        <f>IFERROR(VLOOKUP(B420,'Pre-Summary'!$CD$6:$CF$64,2,FALSE),"")</f>
        <v/>
      </c>
      <c r="O420" s="99">
        <f>IFERROR(VLOOKUP(B420,'Pre-Summary'!$BO$6:$BQ$48,3, FALSE),O419)</f>
        <v>1.0915248032216731</v>
      </c>
      <c r="P420" s="99">
        <f>IFERROR(VLOOKUP(B420,'Pre-Summary'!$BS$6:$BU$35,3,FALSE),P419)</f>
        <v>0.25</v>
      </c>
      <c r="Q420" s="54">
        <f t="shared" si="18"/>
        <v>4.3660992128866924</v>
      </c>
      <c r="R420" s="53">
        <f>IFERROR(VLOOKUP(B420,'Pre-Summary'!$BG$6:$BM$44,7,FALSE),R421)</f>
        <v>7.5915763918363535E-2</v>
      </c>
      <c r="S420" s="53">
        <f>IFERROR(VLOOKUP(B420,'Pre-Summary'!$BG$6:$BM$44,6,FALSE),S421)</f>
        <v>5.2897473997019086E-2</v>
      </c>
      <c r="T420" s="45" t="str">
        <f>IFERROR(VLOOKUP(B420,'Pre-Summary'!$Y$6:$AC$83, 3,FALSE),"")</f>
        <v/>
      </c>
      <c r="U420" s="45" t="str">
        <f>IFERROR(VLOOKUP(B420,'Pre-Summary'!$Y$6:$AC$83, 4,FALSE),"")</f>
        <v/>
      </c>
      <c r="V420" t="str">
        <f>IFERROR(VLOOKUP(B420,'Pre-Summary'!$Y$6:$AC$83, 5,FALSE),"")</f>
        <v/>
      </c>
      <c r="W420" s="45" t="str">
        <f>IFERROR(VLOOKUP(B420,'Pre-Summary'!$Y$6:$AD$83,6,FALSE),"")</f>
        <v/>
      </c>
      <c r="X420" t="str">
        <f>IFERROR(VLOOKUP('Pre-Summary'!$DB$6:$DD$63,3,FALSE),"")</f>
        <v/>
      </c>
      <c r="Y420" t="str">
        <f>IFERROR(VLOOKUP(B420,'Pre-Summary'!$CR$6:$CT$36,3,FALSE),"")</f>
        <v/>
      </c>
      <c r="Z420" s="45" t="str">
        <f>IFERROR(VLOOKUP(B420,'Pre-Summary'!$BZ$6:$CB$63,2,FALSE),"")</f>
        <v/>
      </c>
      <c r="AA420" s="45" t="str">
        <f>IFERROR(VLOOKUP(B420,'Pre-Summary'!$CG$6:$CI$70,2,FALSE),"")</f>
        <v/>
      </c>
      <c r="AB420" s="99">
        <f>IFERROR(VLOOKUP(B420,'Pre-Summary'!$A$6:$P$178,9,FALSE),AB421)</f>
        <v>0.56106418808084624</v>
      </c>
      <c r="AC420" s="10">
        <f>IFERROR(VLOOKUP(Summary!B420,'Pre-Summary'!$A$6:$P$184,5, FALSE)/100,AC421)</f>
        <v>0.82638299999999998</v>
      </c>
      <c r="AD420" s="10">
        <f>IFERROR(VLOOKUP(Summary!B420,'Pre-Summary'!$A$6:$P$184,3, FALSE)/100,AD421)</f>
        <v>0.10673033333333334</v>
      </c>
      <c r="AE420" s="10">
        <f>IFERROR(VLOOKUP(Summary!B420,'Pre-Summary'!$A$6:$P$184,7, FALSE)/100,AE421)</f>
        <v>6.6886666666666664E-2</v>
      </c>
      <c r="AF420" s="99">
        <f t="shared" si="19"/>
        <v>5.9882567815264749E-2</v>
      </c>
      <c r="AG420" s="99">
        <f t="shared" si="20"/>
        <v>3.7527713326767534E-2</v>
      </c>
      <c r="AH420" s="10" t="str">
        <f>IFERROR(VLOOKUP(B420,'Pre-Summary'!$AZ$6:$BE$65,3,FALSE),"")</f>
        <v/>
      </c>
      <c r="AI420" s="10" t="str">
        <f>IFERROR(VLOOKUP(B420,'Pre-Summary'!$AZ$6:$BE$65,5,FALSE),"")</f>
        <v/>
      </c>
      <c r="AJ420" s="10" t="str">
        <f>IFERROR(VLOOKUP(B420,'Pre-Summary'!$AZ$6:$BE$65,4,FALSE),"")</f>
        <v/>
      </c>
      <c r="AK420" s="10" t="str">
        <f>IFERROR(VLOOKUP(B420,'Pre-Summary'!$AZ$6:$BE$65,6,FALSE),"")</f>
        <v/>
      </c>
      <c r="AL420" s="10" t="str">
        <f>IFERROR(VLOOKUP(B420,'Pre-Summary'!$BG$6:$BL$44,3,FALSE),"")</f>
        <v/>
      </c>
      <c r="AM420" s="10" t="str">
        <f>IFERROR(VLOOKUP(B420,'Pre-Summary'!$BG$6:$BL$44,4,FALSE),"")</f>
        <v/>
      </c>
    </row>
    <row r="421" spans="2:39" ht="15" customHeight="1" x14ac:dyDescent="0.3">
      <c r="B421">
        <v>41.8</v>
      </c>
      <c r="C421" t="str">
        <f>IFERROR(VLOOKUP(B421,'Pre-Summary'!$DI$6:$DM$23,4,FALSE),"")</f>
        <v/>
      </c>
      <c r="D421" s="10" t="str">
        <f>IFERROR(VLOOKUP(B421,'Pre-Summary'!$AT$6:$AX$14,5,FALSE),D420)</f>
        <v>DSMZ v2: Dropped Na-Ac out of DSMZ 120 media</v>
      </c>
      <c r="E421" s="10" t="str">
        <f>IFERROR(VLOOKUP(B421,'Pre-Summary'!$AT$6:$AX$15,4,FALSE),"")</f>
        <v/>
      </c>
      <c r="F421">
        <f>IFERROR(VLOOKUP(B421,'Pre-Summary'!$AL$6:$AQ$13,6,FALSE),F420)</f>
        <v>5.9405263157894746E-2</v>
      </c>
      <c r="G421" t="str">
        <f>IFERROR(VLOOKUP(B421,'Pre-Summary'!$AE$6:$AJ$85,3,FALSE),"")</f>
        <v/>
      </c>
      <c r="H421" t="str">
        <f>IFERROR(VLOOKUP(B421,'Pre-Summary'!$AE$6:$AJ$85,4,FALSE),"")</f>
        <v/>
      </c>
      <c r="I421" t="str">
        <f>IFERROR(VLOOKUP(B421,'Pre-Summary'!$AE$6:$AJ$85,5,FALSE),"")</f>
        <v/>
      </c>
      <c r="J421" s="45" t="str">
        <f>IFERROR(VLOOKUP(B421,'Pre-Summary'!$AE$6:$AJ$85,6, FALSE),"")</f>
        <v/>
      </c>
      <c r="K421" s="45" t="str">
        <f>IFERROR(VLOOKUP(B421,'Pre-Summary'!$DE$6:$DG$61,3,FALSE),"")</f>
        <v/>
      </c>
      <c r="L421" s="45" t="str">
        <f>IFERROR(VLOOKUP(B421,'Pre-Summary'!$CU$6:$CW$36,3,FALSE),"")</f>
        <v/>
      </c>
      <c r="M421" s="45" t="str">
        <f>IFERROR(VLOOKUP(B421,'Pre-Summary'!$BW$6:$BY$58,2,FALSE),"")</f>
        <v/>
      </c>
      <c r="N421" s="45" t="str">
        <f>IFERROR(VLOOKUP(B421,'Pre-Summary'!$CD$6:$CF$64,2,FALSE),"")</f>
        <v/>
      </c>
      <c r="O421" s="99">
        <f>IFERROR(VLOOKUP(B421,'Pre-Summary'!$BO$6:$BQ$48,3, FALSE),O420)</f>
        <v>1.0915248032216731</v>
      </c>
      <c r="P421" s="99">
        <f>IFERROR(VLOOKUP(B421,'Pre-Summary'!$BS$6:$BU$35,3,FALSE),P420)</f>
        <v>0.25</v>
      </c>
      <c r="Q421" s="54">
        <f t="shared" si="18"/>
        <v>4.3660992128866924</v>
      </c>
      <c r="R421" s="53">
        <f>IFERROR(VLOOKUP(B421,'Pre-Summary'!$BG$6:$BM$44,7,FALSE),R422)</f>
        <v>7.5915763918363535E-2</v>
      </c>
      <c r="S421" s="53">
        <f>IFERROR(VLOOKUP(B421,'Pre-Summary'!$BG$6:$BM$44,6,FALSE),S422)</f>
        <v>5.2897473997019086E-2</v>
      </c>
      <c r="T421" s="45" t="str">
        <f>IFERROR(VLOOKUP(B421,'Pre-Summary'!$Y$6:$AC$83, 3,FALSE),"")</f>
        <v/>
      </c>
      <c r="U421" s="45" t="str">
        <f>IFERROR(VLOOKUP(B421,'Pre-Summary'!$Y$6:$AC$83, 4,FALSE),"")</f>
        <v/>
      </c>
      <c r="V421" t="str">
        <f>IFERROR(VLOOKUP(B421,'Pre-Summary'!$Y$6:$AC$83, 5,FALSE),"")</f>
        <v/>
      </c>
      <c r="W421" s="45" t="str">
        <f>IFERROR(VLOOKUP(B421,'Pre-Summary'!$Y$6:$AD$83,6,FALSE),"")</f>
        <v/>
      </c>
      <c r="X421" t="str">
        <f>IFERROR(VLOOKUP('Pre-Summary'!$DB$6:$DD$63,3,FALSE),"")</f>
        <v/>
      </c>
      <c r="Y421" t="str">
        <f>IFERROR(VLOOKUP(B421,'Pre-Summary'!$CR$6:$CT$36,3,FALSE),"")</f>
        <v/>
      </c>
      <c r="Z421" s="45" t="str">
        <f>IFERROR(VLOOKUP(B421,'Pre-Summary'!$BZ$6:$CB$63,2,FALSE),"")</f>
        <v/>
      </c>
      <c r="AA421" s="45" t="str">
        <f>IFERROR(VLOOKUP(B421,'Pre-Summary'!$CG$6:$CI$70,2,FALSE),"")</f>
        <v/>
      </c>
      <c r="AB421" s="99">
        <f>IFERROR(VLOOKUP(B421,'Pre-Summary'!$A$6:$P$178,9,FALSE),AB422)</f>
        <v>0.56106418808084624</v>
      </c>
      <c r="AC421" s="10">
        <f>IFERROR(VLOOKUP(Summary!B421,'Pre-Summary'!$A$6:$P$184,5, FALSE)/100,AC422)</f>
        <v>0.82638299999999998</v>
      </c>
      <c r="AD421" s="10">
        <f>IFERROR(VLOOKUP(Summary!B421,'Pre-Summary'!$A$6:$P$184,3, FALSE)/100,AD422)</f>
        <v>0.10673033333333334</v>
      </c>
      <c r="AE421" s="10">
        <f>IFERROR(VLOOKUP(Summary!B421,'Pre-Summary'!$A$6:$P$184,7, FALSE)/100,AE422)</f>
        <v>6.6886666666666664E-2</v>
      </c>
      <c r="AF421" s="99">
        <f t="shared" si="19"/>
        <v>5.9882567815264749E-2</v>
      </c>
      <c r="AG421" s="99">
        <f t="shared" si="20"/>
        <v>3.7527713326767534E-2</v>
      </c>
      <c r="AH421" s="10" t="str">
        <f>IFERROR(VLOOKUP(B421,'Pre-Summary'!$AZ$6:$BE$65,3,FALSE),"")</f>
        <v/>
      </c>
      <c r="AI421" s="10" t="str">
        <f>IFERROR(VLOOKUP(B421,'Pre-Summary'!$AZ$6:$BE$65,5,FALSE),"")</f>
        <v/>
      </c>
      <c r="AJ421" s="10" t="str">
        <f>IFERROR(VLOOKUP(B421,'Pre-Summary'!$AZ$6:$BE$65,4,FALSE),"")</f>
        <v/>
      </c>
      <c r="AK421" s="10" t="str">
        <f>IFERROR(VLOOKUP(B421,'Pre-Summary'!$AZ$6:$BE$65,6,FALSE),"")</f>
        <v/>
      </c>
      <c r="AL421" s="10" t="str">
        <f>IFERROR(VLOOKUP(B421,'Pre-Summary'!$BG$6:$BL$44,3,FALSE),"")</f>
        <v/>
      </c>
      <c r="AM421" s="10" t="str">
        <f>IFERROR(VLOOKUP(B421,'Pre-Summary'!$BG$6:$BL$44,4,FALSE),"")</f>
        <v/>
      </c>
    </row>
    <row r="422" spans="2:39" ht="15" customHeight="1" x14ac:dyDescent="0.3">
      <c r="B422">
        <v>41.9</v>
      </c>
      <c r="C422" t="str">
        <f>IFERROR(VLOOKUP(B422,'Pre-Summary'!$DI$6:$DM$23,4,FALSE),"")</f>
        <v/>
      </c>
      <c r="D422" s="10" t="str">
        <f>IFERROR(VLOOKUP(B422,'Pre-Summary'!$AT$6:$AX$14,5,FALSE),D421)</f>
        <v>DSMZ v2: Dropped Na-Ac out of DSMZ 120 media</v>
      </c>
      <c r="E422" s="10" t="str">
        <f>IFERROR(VLOOKUP(B422,'Pre-Summary'!$AT$6:$AX$15,4,FALSE),"")</f>
        <v/>
      </c>
      <c r="F422">
        <f>IFERROR(VLOOKUP(B422,'Pre-Summary'!$AL$6:$AQ$13,6,FALSE),F421)</f>
        <v>5.9405263157894746E-2</v>
      </c>
      <c r="G422" t="str">
        <f>IFERROR(VLOOKUP(B422,'Pre-Summary'!$AE$6:$AJ$85,3,FALSE),"")</f>
        <v/>
      </c>
      <c r="H422" t="str">
        <f>IFERROR(VLOOKUP(B422,'Pre-Summary'!$AE$6:$AJ$85,4,FALSE),"")</f>
        <v/>
      </c>
      <c r="I422" t="str">
        <f>IFERROR(VLOOKUP(B422,'Pre-Summary'!$AE$6:$AJ$85,5,FALSE),"")</f>
        <v/>
      </c>
      <c r="J422" s="45" t="str">
        <f>IFERROR(VLOOKUP(B422,'Pre-Summary'!$AE$6:$AJ$85,6, FALSE),"")</f>
        <v/>
      </c>
      <c r="K422" s="45" t="str">
        <f>IFERROR(VLOOKUP(B422,'Pre-Summary'!$DE$6:$DG$61,3,FALSE),"")</f>
        <v/>
      </c>
      <c r="L422" s="45" t="str">
        <f>IFERROR(VLOOKUP(B422,'Pre-Summary'!$CU$6:$CW$36,3,FALSE),"")</f>
        <v/>
      </c>
      <c r="M422" s="45" t="str">
        <f>IFERROR(VLOOKUP(B422,'Pre-Summary'!$BW$6:$BY$58,2,FALSE),"")</f>
        <v/>
      </c>
      <c r="N422" s="45" t="str">
        <f>IFERROR(VLOOKUP(B422,'Pre-Summary'!$CD$6:$CF$64,2,FALSE),"")</f>
        <v/>
      </c>
      <c r="O422" s="99">
        <f>IFERROR(VLOOKUP(B422,'Pre-Summary'!$BO$6:$BQ$48,3, FALSE),O421)</f>
        <v>1.0915248032216731</v>
      </c>
      <c r="P422" s="99">
        <f>IFERROR(VLOOKUP(B422,'Pre-Summary'!$BS$6:$BU$35,3,FALSE),P421)</f>
        <v>0.25</v>
      </c>
      <c r="Q422" s="54">
        <f t="shared" si="18"/>
        <v>4.3660992128866924</v>
      </c>
      <c r="R422" s="53">
        <f>IFERROR(VLOOKUP(B422,'Pre-Summary'!$BG$6:$BM$44,7,FALSE),R423)</f>
        <v>7.5915763918363535E-2</v>
      </c>
      <c r="S422" s="53">
        <f>IFERROR(VLOOKUP(B422,'Pre-Summary'!$BG$6:$BM$44,6,FALSE),S423)</f>
        <v>5.2897473997019086E-2</v>
      </c>
      <c r="T422" s="45" t="str">
        <f>IFERROR(VLOOKUP(B422,'Pre-Summary'!$Y$6:$AC$83, 3,FALSE),"")</f>
        <v/>
      </c>
      <c r="U422" s="45" t="str">
        <f>IFERROR(VLOOKUP(B422,'Pre-Summary'!$Y$6:$AC$83, 4,FALSE),"")</f>
        <v/>
      </c>
      <c r="V422" t="str">
        <f>IFERROR(VLOOKUP(B422,'Pre-Summary'!$Y$6:$AC$83, 5,FALSE),"")</f>
        <v/>
      </c>
      <c r="W422" s="45" t="str">
        <f>IFERROR(VLOOKUP(B422,'Pre-Summary'!$Y$6:$AD$83,6,FALSE),"")</f>
        <v/>
      </c>
      <c r="X422" t="str">
        <f>IFERROR(VLOOKUP('Pre-Summary'!$DB$6:$DD$63,3,FALSE),"")</f>
        <v/>
      </c>
      <c r="Y422" t="str">
        <f>IFERROR(VLOOKUP(B422,'Pre-Summary'!$CR$6:$CT$36,3,FALSE),"")</f>
        <v/>
      </c>
      <c r="Z422" s="45" t="str">
        <f>IFERROR(VLOOKUP(B422,'Pre-Summary'!$BZ$6:$CB$63,2,FALSE),"")</f>
        <v/>
      </c>
      <c r="AA422" s="45" t="str">
        <f>IFERROR(VLOOKUP(B422,'Pre-Summary'!$CG$6:$CI$70,2,FALSE),"")</f>
        <v/>
      </c>
      <c r="AB422" s="99">
        <f>IFERROR(VLOOKUP(B422,'Pre-Summary'!$A$6:$P$178,9,FALSE),AB423)</f>
        <v>0.56106418808084624</v>
      </c>
      <c r="AC422" s="10">
        <f>IFERROR(VLOOKUP(Summary!B422,'Pre-Summary'!$A$6:$P$184,5, FALSE)/100,AC423)</f>
        <v>0.82638299999999998</v>
      </c>
      <c r="AD422" s="10">
        <f>IFERROR(VLOOKUP(Summary!B422,'Pre-Summary'!$A$6:$P$184,3, FALSE)/100,AD423)</f>
        <v>0.10673033333333334</v>
      </c>
      <c r="AE422" s="10">
        <f>IFERROR(VLOOKUP(Summary!B422,'Pre-Summary'!$A$6:$P$184,7, FALSE)/100,AE423)</f>
        <v>6.6886666666666664E-2</v>
      </c>
      <c r="AF422" s="99">
        <f t="shared" si="19"/>
        <v>5.9882567815264749E-2</v>
      </c>
      <c r="AG422" s="99">
        <f t="shared" si="20"/>
        <v>3.7527713326767534E-2</v>
      </c>
      <c r="AH422" s="10" t="str">
        <f>IFERROR(VLOOKUP(B422,'Pre-Summary'!$AZ$6:$BE$65,3,FALSE),"")</f>
        <v/>
      </c>
      <c r="AI422" s="10" t="str">
        <f>IFERROR(VLOOKUP(B422,'Pre-Summary'!$AZ$6:$BE$65,5,FALSE),"")</f>
        <v/>
      </c>
      <c r="AJ422" s="10" t="str">
        <f>IFERROR(VLOOKUP(B422,'Pre-Summary'!$AZ$6:$BE$65,4,FALSE),"")</f>
        <v/>
      </c>
      <c r="AK422" s="10" t="str">
        <f>IFERROR(VLOOKUP(B422,'Pre-Summary'!$AZ$6:$BE$65,6,FALSE),"")</f>
        <v/>
      </c>
      <c r="AL422" s="10" t="str">
        <f>IFERROR(VLOOKUP(B422,'Pre-Summary'!$BG$6:$BL$44,3,FALSE),"")</f>
        <v/>
      </c>
      <c r="AM422" s="10" t="str">
        <f>IFERROR(VLOOKUP(B422,'Pre-Summary'!$BG$6:$BL$44,4,FALSE),"")</f>
        <v/>
      </c>
    </row>
    <row r="423" spans="2:39" ht="15" customHeight="1" x14ac:dyDescent="0.3">
      <c r="B423">
        <v>42</v>
      </c>
      <c r="C423" t="str">
        <f>IFERROR(VLOOKUP(B423,'Pre-Summary'!$DI$6:$DM$23,4,FALSE),"")</f>
        <v/>
      </c>
      <c r="D423" s="10" t="str">
        <f>IFERROR(VLOOKUP(B423,'Pre-Summary'!$AT$6:$AX$14,5,FALSE),D422)</f>
        <v>DSMZ v2: Dropped Na-Ac out of DSMZ 120 media</v>
      </c>
      <c r="E423" s="10" t="str">
        <f>IFERROR(VLOOKUP(B423,'Pre-Summary'!$AT$6:$AX$15,4,FALSE),"")</f>
        <v/>
      </c>
      <c r="F423">
        <f>IFERROR(VLOOKUP(B423,'Pre-Summary'!$AL$6:$AQ$13,6,FALSE),F422)</f>
        <v>5.9405263157894746E-2</v>
      </c>
      <c r="G423" t="str">
        <f>IFERROR(VLOOKUP(B423,'Pre-Summary'!$AE$6:$AJ$85,3,FALSE),"")</f>
        <v/>
      </c>
      <c r="H423" t="str">
        <f>IFERROR(VLOOKUP(B423,'Pre-Summary'!$AE$6:$AJ$85,4,FALSE),"")</f>
        <v/>
      </c>
      <c r="I423" t="str">
        <f>IFERROR(VLOOKUP(B423,'Pre-Summary'!$AE$6:$AJ$85,5,FALSE),"")</f>
        <v/>
      </c>
      <c r="J423" s="45" t="str">
        <f>IFERROR(VLOOKUP(B423,'Pre-Summary'!$AE$6:$AJ$85,6, FALSE),"")</f>
        <v/>
      </c>
      <c r="K423" s="45" t="str">
        <f>IFERROR(VLOOKUP(B423,'Pre-Summary'!$DE$6:$DG$61,3,FALSE),"")</f>
        <v/>
      </c>
      <c r="L423" s="45" t="str">
        <f>IFERROR(VLOOKUP(B423,'Pre-Summary'!$CU$6:$CW$36,3,FALSE),"")</f>
        <v/>
      </c>
      <c r="M423" s="45" t="str">
        <f>IFERROR(VLOOKUP(B423,'Pre-Summary'!$BW$6:$BY$58,2,FALSE),"")</f>
        <v/>
      </c>
      <c r="N423" s="45" t="str">
        <f>IFERROR(VLOOKUP(B423,'Pre-Summary'!$CD$6:$CF$64,2,FALSE),"")</f>
        <v/>
      </c>
      <c r="O423" s="99">
        <f>IFERROR(VLOOKUP(B423,'Pre-Summary'!$BO$6:$BQ$48,3, FALSE),O422)</f>
        <v>1.0915248032216731</v>
      </c>
      <c r="P423" s="99">
        <f>IFERROR(VLOOKUP(B423,'Pre-Summary'!$BS$6:$BU$35,3,FALSE),P422)</f>
        <v>0.25</v>
      </c>
      <c r="Q423" s="54">
        <f t="shared" si="18"/>
        <v>4.3660992128866924</v>
      </c>
      <c r="R423" s="53">
        <f>IFERROR(VLOOKUP(B423,'Pre-Summary'!$BG$6:$BM$44,7,FALSE),R424)</f>
        <v>7.5915763918363535E-2</v>
      </c>
      <c r="S423" s="53">
        <f>IFERROR(VLOOKUP(B423,'Pre-Summary'!$BG$6:$BM$44,6,FALSE),S424)</f>
        <v>5.2897473997019086E-2</v>
      </c>
      <c r="T423" s="45" t="str">
        <f>IFERROR(VLOOKUP(B423,'Pre-Summary'!$Y$6:$AC$83, 3,FALSE),"")</f>
        <v/>
      </c>
      <c r="U423" s="45" t="str">
        <f>IFERROR(VLOOKUP(B423,'Pre-Summary'!$Y$6:$AC$83, 4,FALSE),"")</f>
        <v/>
      </c>
      <c r="V423" t="str">
        <f>IFERROR(VLOOKUP(B423,'Pre-Summary'!$Y$6:$AC$83, 5,FALSE),"")</f>
        <v/>
      </c>
      <c r="W423" s="45" t="str">
        <f>IFERROR(VLOOKUP(B423,'Pre-Summary'!$Y$6:$AD$83,6,FALSE),"")</f>
        <v/>
      </c>
      <c r="X423" t="str">
        <f>IFERROR(VLOOKUP('Pre-Summary'!$DB$6:$DD$63,3,FALSE),"")</f>
        <v/>
      </c>
      <c r="Y423" t="str">
        <f>IFERROR(VLOOKUP(B423,'Pre-Summary'!$CR$6:$CT$36,3,FALSE),"")</f>
        <v/>
      </c>
      <c r="Z423" s="45" t="str">
        <f>IFERROR(VLOOKUP(B423,'Pre-Summary'!$BZ$6:$CB$63,2,FALSE),"")</f>
        <v/>
      </c>
      <c r="AA423" s="45" t="str">
        <f>IFERROR(VLOOKUP(B423,'Pre-Summary'!$CG$6:$CI$70,2,FALSE),"")</f>
        <v/>
      </c>
      <c r="AB423" s="99">
        <f>IFERROR(VLOOKUP(B423,'Pre-Summary'!$A$6:$P$178,9,FALSE),AB424)</f>
        <v>0.56106418808084624</v>
      </c>
      <c r="AC423" s="10">
        <f>IFERROR(VLOOKUP(Summary!B423,'Pre-Summary'!$A$6:$P$184,5, FALSE)/100,AC424)</f>
        <v>0.82638299999999998</v>
      </c>
      <c r="AD423" s="10">
        <f>IFERROR(VLOOKUP(Summary!B423,'Pre-Summary'!$A$6:$P$184,3, FALSE)/100,AD424)</f>
        <v>0.10673033333333334</v>
      </c>
      <c r="AE423" s="10">
        <f>IFERROR(VLOOKUP(Summary!B423,'Pre-Summary'!$A$6:$P$184,7, FALSE)/100,AE424)</f>
        <v>6.6886666666666664E-2</v>
      </c>
      <c r="AF423" s="99">
        <f t="shared" si="19"/>
        <v>5.9882567815264749E-2</v>
      </c>
      <c r="AG423" s="99">
        <f t="shared" si="20"/>
        <v>3.7527713326767534E-2</v>
      </c>
      <c r="AH423" s="10" t="str">
        <f>IFERROR(VLOOKUP(B423,'Pre-Summary'!$AZ$6:$BE$65,3,FALSE),"")</f>
        <v/>
      </c>
      <c r="AI423" s="10" t="str">
        <f>IFERROR(VLOOKUP(B423,'Pre-Summary'!$AZ$6:$BE$65,5,FALSE),"")</f>
        <v/>
      </c>
      <c r="AJ423" s="10" t="str">
        <f>IFERROR(VLOOKUP(B423,'Pre-Summary'!$AZ$6:$BE$65,4,FALSE),"")</f>
        <v/>
      </c>
      <c r="AK423" s="10" t="str">
        <f>IFERROR(VLOOKUP(B423,'Pre-Summary'!$AZ$6:$BE$65,6,FALSE),"")</f>
        <v/>
      </c>
      <c r="AL423" s="10" t="str">
        <f>IFERROR(VLOOKUP(B423,'Pre-Summary'!$BG$6:$BL$44,3,FALSE),"")</f>
        <v/>
      </c>
      <c r="AM423" s="10" t="str">
        <f>IFERROR(VLOOKUP(B423,'Pre-Summary'!$BG$6:$BL$44,4,FALSE),"")</f>
        <v/>
      </c>
    </row>
    <row r="424" spans="2:39" ht="15" customHeight="1" x14ac:dyDescent="0.3">
      <c r="B424">
        <v>42.1</v>
      </c>
      <c r="C424" t="str">
        <f>IFERROR(VLOOKUP(B424,'Pre-Summary'!$DI$6:$DM$23,4,FALSE),"")</f>
        <v/>
      </c>
      <c r="D424" s="10" t="str">
        <f>IFERROR(VLOOKUP(B424,'Pre-Summary'!$AT$6:$AX$14,5,FALSE),D423)</f>
        <v>DSMZ v2: Dropped Na-Ac out of DSMZ 120 media</v>
      </c>
      <c r="E424" s="10" t="str">
        <f>IFERROR(VLOOKUP(B424,'Pre-Summary'!$AT$6:$AX$15,4,FALSE),"")</f>
        <v/>
      </c>
      <c r="F424">
        <f>IFERROR(VLOOKUP(B424,'Pre-Summary'!$AL$6:$AQ$13,6,FALSE),F423)</f>
        <v>5.9405263157894746E-2</v>
      </c>
      <c r="G424" t="str">
        <f>IFERROR(VLOOKUP(B424,'Pre-Summary'!$AE$6:$AJ$85,3,FALSE),"")</f>
        <v/>
      </c>
      <c r="H424" t="str">
        <f>IFERROR(VLOOKUP(B424,'Pre-Summary'!$AE$6:$AJ$85,4,FALSE),"")</f>
        <v/>
      </c>
      <c r="I424" t="str">
        <f>IFERROR(VLOOKUP(B424,'Pre-Summary'!$AE$6:$AJ$85,5,FALSE),"")</f>
        <v/>
      </c>
      <c r="J424" s="45" t="str">
        <f>IFERROR(VLOOKUP(B424,'Pre-Summary'!$AE$6:$AJ$85,6, FALSE),"")</f>
        <v/>
      </c>
      <c r="K424" s="45" t="str">
        <f>IFERROR(VLOOKUP(B424,'Pre-Summary'!$DE$6:$DG$61,3,FALSE),"")</f>
        <v/>
      </c>
      <c r="L424" s="45" t="str">
        <f>IFERROR(VLOOKUP(B424,'Pre-Summary'!$CU$6:$CW$36,3,FALSE),"")</f>
        <v/>
      </c>
      <c r="M424" s="45" t="str">
        <f>IFERROR(VLOOKUP(B424,'Pre-Summary'!$BW$6:$BY$58,2,FALSE),"")</f>
        <v/>
      </c>
      <c r="N424" s="45" t="str">
        <f>IFERROR(VLOOKUP(B424,'Pre-Summary'!$CD$6:$CF$64,2,FALSE),"")</f>
        <v/>
      </c>
      <c r="O424" s="99">
        <f>IFERROR(VLOOKUP(B424,'Pre-Summary'!$BO$6:$BQ$48,3, FALSE),O423)</f>
        <v>1.0915248032216731</v>
      </c>
      <c r="P424" s="99">
        <f>IFERROR(VLOOKUP(B424,'Pre-Summary'!$BS$6:$BU$35,3,FALSE),P423)</f>
        <v>0.25</v>
      </c>
      <c r="Q424" s="54">
        <f t="shared" si="18"/>
        <v>4.3660992128866924</v>
      </c>
      <c r="R424" s="53">
        <f>IFERROR(VLOOKUP(B424,'Pre-Summary'!$BG$6:$BM$44,7,FALSE),R425)</f>
        <v>7.5915763918363535E-2</v>
      </c>
      <c r="S424" s="53">
        <f>IFERROR(VLOOKUP(B424,'Pre-Summary'!$BG$6:$BM$44,6,FALSE),S425)</f>
        <v>5.2897473997019086E-2</v>
      </c>
      <c r="T424" s="45" t="str">
        <f>IFERROR(VLOOKUP(B424,'Pre-Summary'!$Y$6:$AC$83, 3,FALSE),"")</f>
        <v/>
      </c>
      <c r="U424" s="45" t="str">
        <f>IFERROR(VLOOKUP(B424,'Pre-Summary'!$Y$6:$AC$83, 4,FALSE),"")</f>
        <v/>
      </c>
      <c r="V424" t="str">
        <f>IFERROR(VLOOKUP(B424,'Pre-Summary'!$Y$6:$AC$83, 5,FALSE),"")</f>
        <v/>
      </c>
      <c r="W424" s="45" t="str">
        <f>IFERROR(VLOOKUP(B424,'Pre-Summary'!$Y$6:$AD$83,6,FALSE),"")</f>
        <v/>
      </c>
      <c r="X424" t="str">
        <f>IFERROR(VLOOKUP('Pre-Summary'!$DB$6:$DD$63,3,FALSE),"")</f>
        <v/>
      </c>
      <c r="Y424" t="str">
        <f>IFERROR(VLOOKUP(B424,'Pre-Summary'!$CR$6:$CT$36,3,FALSE),"")</f>
        <v/>
      </c>
      <c r="Z424" s="45" t="str">
        <f>IFERROR(VLOOKUP(B424,'Pre-Summary'!$BZ$6:$CB$63,2,FALSE),"")</f>
        <v/>
      </c>
      <c r="AA424" s="45" t="str">
        <f>IFERROR(VLOOKUP(B424,'Pre-Summary'!$CG$6:$CI$70,2,FALSE),"")</f>
        <v/>
      </c>
      <c r="AB424" s="99">
        <f>IFERROR(VLOOKUP(B424,'Pre-Summary'!$A$6:$P$178,9,FALSE),AB425)</f>
        <v>0.56106418808084624</v>
      </c>
      <c r="AC424" s="10">
        <f>IFERROR(VLOOKUP(Summary!B424,'Pre-Summary'!$A$6:$P$184,5, FALSE)/100,AC425)</f>
        <v>0.82638299999999998</v>
      </c>
      <c r="AD424" s="10">
        <f>IFERROR(VLOOKUP(Summary!B424,'Pre-Summary'!$A$6:$P$184,3, FALSE)/100,AD425)</f>
        <v>0.10673033333333334</v>
      </c>
      <c r="AE424" s="10">
        <f>IFERROR(VLOOKUP(Summary!B424,'Pre-Summary'!$A$6:$P$184,7, FALSE)/100,AE425)</f>
        <v>6.6886666666666664E-2</v>
      </c>
      <c r="AF424" s="99">
        <f t="shared" si="19"/>
        <v>5.9882567815264749E-2</v>
      </c>
      <c r="AG424" s="99">
        <f t="shared" si="20"/>
        <v>3.7527713326767534E-2</v>
      </c>
      <c r="AH424" s="10" t="str">
        <f>IFERROR(VLOOKUP(B424,'Pre-Summary'!$AZ$6:$BE$65,3,FALSE),"")</f>
        <v/>
      </c>
      <c r="AI424" s="10" t="str">
        <f>IFERROR(VLOOKUP(B424,'Pre-Summary'!$AZ$6:$BE$65,5,FALSE),"")</f>
        <v/>
      </c>
      <c r="AJ424" s="10" t="str">
        <f>IFERROR(VLOOKUP(B424,'Pre-Summary'!$AZ$6:$BE$65,4,FALSE),"")</f>
        <v/>
      </c>
      <c r="AK424" s="10" t="str">
        <f>IFERROR(VLOOKUP(B424,'Pre-Summary'!$AZ$6:$BE$65,6,FALSE),"")</f>
        <v/>
      </c>
      <c r="AL424" s="10" t="str">
        <f>IFERROR(VLOOKUP(B424,'Pre-Summary'!$BG$6:$BL$44,3,FALSE),"")</f>
        <v/>
      </c>
      <c r="AM424" s="10" t="str">
        <f>IFERROR(VLOOKUP(B424,'Pre-Summary'!$BG$6:$BL$44,4,FALSE),"")</f>
        <v/>
      </c>
    </row>
    <row r="425" spans="2:39" ht="15" customHeight="1" x14ac:dyDescent="0.3">
      <c r="B425">
        <v>42.2</v>
      </c>
      <c r="C425" t="str">
        <f>IFERROR(VLOOKUP(B425,'Pre-Summary'!$DI$6:$DM$23,4,FALSE),"")</f>
        <v/>
      </c>
      <c r="D425" s="10" t="str">
        <f>IFERROR(VLOOKUP(B425,'Pre-Summary'!$AT$6:$AX$14,5,FALSE),D424)</f>
        <v>DSMZ v2: Dropped Na-Ac out of DSMZ 120 media</v>
      </c>
      <c r="E425" s="10" t="str">
        <f>IFERROR(VLOOKUP(B425,'Pre-Summary'!$AT$6:$AX$15,4,FALSE),"")</f>
        <v/>
      </c>
      <c r="F425">
        <f>IFERROR(VLOOKUP(B425,'Pre-Summary'!$AL$6:$AQ$13,6,FALSE),F424)</f>
        <v>5.9405263157894746E-2</v>
      </c>
      <c r="G425" t="str">
        <f>IFERROR(VLOOKUP(B425,'Pre-Summary'!$AE$6:$AJ$85,3,FALSE),"")</f>
        <v/>
      </c>
      <c r="H425" t="str">
        <f>IFERROR(VLOOKUP(B425,'Pre-Summary'!$AE$6:$AJ$85,4,FALSE),"")</f>
        <v/>
      </c>
      <c r="I425" t="str">
        <f>IFERROR(VLOOKUP(B425,'Pre-Summary'!$AE$6:$AJ$85,5,FALSE),"")</f>
        <v/>
      </c>
      <c r="J425" s="45" t="str">
        <f>IFERROR(VLOOKUP(B425,'Pre-Summary'!$AE$6:$AJ$85,6, FALSE),"")</f>
        <v/>
      </c>
      <c r="K425" s="45" t="str">
        <f>IFERROR(VLOOKUP(B425,'Pre-Summary'!$DE$6:$DG$61,3,FALSE),"")</f>
        <v/>
      </c>
      <c r="L425" s="45" t="str">
        <f>IFERROR(VLOOKUP(B425,'Pre-Summary'!$CU$6:$CW$36,3,FALSE),"")</f>
        <v/>
      </c>
      <c r="M425" s="45" t="str">
        <f>IFERROR(VLOOKUP(B425,'Pre-Summary'!$BW$6:$BY$58,2,FALSE),"")</f>
        <v/>
      </c>
      <c r="N425" s="45" t="str">
        <f>IFERROR(VLOOKUP(B425,'Pre-Summary'!$CD$6:$CF$64,2,FALSE),"")</f>
        <v/>
      </c>
      <c r="O425" s="99">
        <f>IFERROR(VLOOKUP(B425,'Pre-Summary'!$BO$6:$BQ$48,3, FALSE),O424)</f>
        <v>1.0915248032216731</v>
      </c>
      <c r="P425" s="99">
        <f>IFERROR(VLOOKUP(B425,'Pre-Summary'!$BS$6:$BU$35,3,FALSE),P424)</f>
        <v>0.25</v>
      </c>
      <c r="Q425" s="54">
        <f t="shared" si="18"/>
        <v>4.3660992128866924</v>
      </c>
      <c r="R425" s="53">
        <f>IFERROR(VLOOKUP(B425,'Pre-Summary'!$BG$6:$BM$44,7,FALSE),R426)</f>
        <v>7.5915763918363535E-2</v>
      </c>
      <c r="S425" s="53">
        <f>IFERROR(VLOOKUP(B425,'Pre-Summary'!$BG$6:$BM$44,6,FALSE),S426)</f>
        <v>5.2897473997019086E-2</v>
      </c>
      <c r="T425" s="45" t="str">
        <f>IFERROR(VLOOKUP(B425,'Pre-Summary'!$Y$6:$AC$83, 3,FALSE),"")</f>
        <v/>
      </c>
      <c r="U425" s="45" t="str">
        <f>IFERROR(VLOOKUP(B425,'Pre-Summary'!$Y$6:$AC$83, 4,FALSE),"")</f>
        <v/>
      </c>
      <c r="V425" t="str">
        <f>IFERROR(VLOOKUP(B425,'Pre-Summary'!$Y$6:$AC$83, 5,FALSE),"")</f>
        <v/>
      </c>
      <c r="W425" s="45" t="str">
        <f>IFERROR(VLOOKUP(B425,'Pre-Summary'!$Y$6:$AD$83,6,FALSE),"")</f>
        <v/>
      </c>
      <c r="X425" t="str">
        <f>IFERROR(VLOOKUP('Pre-Summary'!$DB$6:$DD$63,3,FALSE),"")</f>
        <v/>
      </c>
      <c r="Y425" t="str">
        <f>IFERROR(VLOOKUP(B425,'Pre-Summary'!$CR$6:$CT$36,3,FALSE),"")</f>
        <v/>
      </c>
      <c r="Z425" s="45" t="str">
        <f>IFERROR(VLOOKUP(B425,'Pre-Summary'!$BZ$6:$CB$63,2,FALSE),"")</f>
        <v/>
      </c>
      <c r="AA425" s="45" t="str">
        <f>IFERROR(VLOOKUP(B425,'Pre-Summary'!$CG$6:$CI$70,2,FALSE),"")</f>
        <v/>
      </c>
      <c r="AB425" s="99">
        <f>IFERROR(VLOOKUP(B425,'Pre-Summary'!$A$6:$P$178,9,FALSE),AB426)</f>
        <v>0.56106418808084624</v>
      </c>
      <c r="AC425" s="10">
        <f>IFERROR(VLOOKUP(Summary!B425,'Pre-Summary'!$A$6:$P$184,5, FALSE)/100,AC426)</f>
        <v>0.82638299999999998</v>
      </c>
      <c r="AD425" s="10">
        <f>IFERROR(VLOOKUP(Summary!B425,'Pre-Summary'!$A$6:$P$184,3, FALSE)/100,AD426)</f>
        <v>0.10673033333333334</v>
      </c>
      <c r="AE425" s="10">
        <f>IFERROR(VLOOKUP(Summary!B425,'Pre-Summary'!$A$6:$P$184,7, FALSE)/100,AE426)</f>
        <v>6.6886666666666664E-2</v>
      </c>
      <c r="AF425" s="99">
        <f t="shared" si="19"/>
        <v>5.9882567815264749E-2</v>
      </c>
      <c r="AG425" s="99">
        <f t="shared" si="20"/>
        <v>3.7527713326767534E-2</v>
      </c>
      <c r="AH425" s="10" t="str">
        <f>IFERROR(VLOOKUP(B425,'Pre-Summary'!$AZ$6:$BE$65,3,FALSE),"")</f>
        <v/>
      </c>
      <c r="AI425" s="10" t="str">
        <f>IFERROR(VLOOKUP(B425,'Pre-Summary'!$AZ$6:$BE$65,5,FALSE),"")</f>
        <v/>
      </c>
      <c r="AJ425" s="10" t="str">
        <f>IFERROR(VLOOKUP(B425,'Pre-Summary'!$AZ$6:$BE$65,4,FALSE),"")</f>
        <v/>
      </c>
      <c r="AK425" s="10" t="str">
        <f>IFERROR(VLOOKUP(B425,'Pre-Summary'!$AZ$6:$BE$65,6,FALSE),"")</f>
        <v/>
      </c>
      <c r="AL425" s="10" t="str">
        <f>IFERROR(VLOOKUP(B425,'Pre-Summary'!$BG$6:$BL$44,3,FALSE),"")</f>
        <v/>
      </c>
      <c r="AM425" s="10" t="str">
        <f>IFERROR(VLOOKUP(B425,'Pre-Summary'!$BG$6:$BL$44,4,FALSE),"")</f>
        <v/>
      </c>
    </row>
    <row r="426" spans="2:39" ht="15" customHeight="1" x14ac:dyDescent="0.3">
      <c r="B426">
        <v>42.3</v>
      </c>
      <c r="C426" t="str">
        <f>IFERROR(VLOOKUP(B426,'Pre-Summary'!$DI$6:$DM$23,4,FALSE),"")</f>
        <v/>
      </c>
      <c r="D426" s="10" t="str">
        <f>IFERROR(VLOOKUP(B426,'Pre-Summary'!$AT$6:$AX$14,5,FALSE),D425)</f>
        <v>DSMZ v2: Dropped Na-Ac out of DSMZ 120 media</v>
      </c>
      <c r="E426" s="10" t="str">
        <f>IFERROR(VLOOKUP(B426,'Pre-Summary'!$AT$6:$AX$15,4,FALSE),"")</f>
        <v/>
      </c>
      <c r="F426">
        <f>IFERROR(VLOOKUP(B426,'Pre-Summary'!$AL$6:$AQ$13,6,FALSE),F425)</f>
        <v>5.9405263157894746E-2</v>
      </c>
      <c r="G426" t="str">
        <f>IFERROR(VLOOKUP(B426,'Pre-Summary'!$AE$6:$AJ$85,3,FALSE),"")</f>
        <v/>
      </c>
      <c r="H426" t="str">
        <f>IFERROR(VLOOKUP(B426,'Pre-Summary'!$AE$6:$AJ$85,4,FALSE),"")</f>
        <v/>
      </c>
      <c r="I426" t="str">
        <f>IFERROR(VLOOKUP(B426,'Pre-Summary'!$AE$6:$AJ$85,5,FALSE),"")</f>
        <v/>
      </c>
      <c r="J426" s="45" t="str">
        <f>IFERROR(VLOOKUP(B426,'Pre-Summary'!$AE$6:$AJ$85,6, FALSE),"")</f>
        <v/>
      </c>
      <c r="K426" s="45" t="str">
        <f>IFERROR(VLOOKUP(B426,'Pre-Summary'!$DE$6:$DG$61,3,FALSE),"")</f>
        <v/>
      </c>
      <c r="L426" s="45" t="str">
        <f>IFERROR(VLOOKUP(B426,'Pre-Summary'!$CU$6:$CW$36,3,FALSE),"")</f>
        <v/>
      </c>
      <c r="M426" s="45" t="str">
        <f>IFERROR(VLOOKUP(B426,'Pre-Summary'!$BW$6:$BY$58,2,FALSE),"")</f>
        <v/>
      </c>
      <c r="N426" s="45" t="str">
        <f>IFERROR(VLOOKUP(B426,'Pre-Summary'!$CD$6:$CF$64,2,FALSE),"")</f>
        <v/>
      </c>
      <c r="O426" s="99">
        <f>IFERROR(VLOOKUP(B426,'Pre-Summary'!$BO$6:$BQ$48,3, FALSE),O425)</f>
        <v>1.0915248032216731</v>
      </c>
      <c r="P426" s="99">
        <f>IFERROR(VLOOKUP(B426,'Pre-Summary'!$BS$6:$BU$35,3,FALSE),P425)</f>
        <v>0.25</v>
      </c>
      <c r="Q426" s="54">
        <f t="shared" si="18"/>
        <v>4.3660992128866924</v>
      </c>
      <c r="R426" s="53">
        <f>IFERROR(VLOOKUP(B426,'Pre-Summary'!$BG$6:$BM$44,7,FALSE),R427)</f>
        <v>7.5915763918363535E-2</v>
      </c>
      <c r="S426" s="53">
        <f>IFERROR(VLOOKUP(B426,'Pre-Summary'!$BG$6:$BM$44,6,FALSE),S427)</f>
        <v>5.2897473997019086E-2</v>
      </c>
      <c r="T426" s="45" t="str">
        <f>IFERROR(VLOOKUP(B426,'Pre-Summary'!$Y$6:$AC$83, 3,FALSE),"")</f>
        <v/>
      </c>
      <c r="U426" s="45" t="str">
        <f>IFERROR(VLOOKUP(B426,'Pre-Summary'!$Y$6:$AC$83, 4,FALSE),"")</f>
        <v/>
      </c>
      <c r="V426" t="str">
        <f>IFERROR(VLOOKUP(B426,'Pre-Summary'!$Y$6:$AC$83, 5,FALSE),"")</f>
        <v/>
      </c>
      <c r="W426" s="45" t="str">
        <f>IFERROR(VLOOKUP(B426,'Pre-Summary'!$Y$6:$AD$83,6,FALSE),"")</f>
        <v/>
      </c>
      <c r="X426" t="str">
        <f>IFERROR(VLOOKUP('Pre-Summary'!$DB$6:$DD$63,3,FALSE),"")</f>
        <v/>
      </c>
      <c r="Y426" t="str">
        <f>IFERROR(VLOOKUP(B426,'Pre-Summary'!$CR$6:$CT$36,3,FALSE),"")</f>
        <v/>
      </c>
      <c r="Z426" s="45" t="str">
        <f>IFERROR(VLOOKUP(B426,'Pre-Summary'!$BZ$6:$CB$63,2,FALSE),"")</f>
        <v/>
      </c>
      <c r="AA426" s="45" t="str">
        <f>IFERROR(VLOOKUP(B426,'Pre-Summary'!$CG$6:$CI$70,2,FALSE),"")</f>
        <v/>
      </c>
      <c r="AB426" s="99">
        <f>IFERROR(VLOOKUP(B426,'Pre-Summary'!$A$6:$P$178,9,FALSE),AB427)</f>
        <v>0.56106418808084624</v>
      </c>
      <c r="AC426" s="10">
        <f>IFERROR(VLOOKUP(Summary!B426,'Pre-Summary'!$A$6:$P$184,5, FALSE)/100,AC427)</f>
        <v>0.82638299999999998</v>
      </c>
      <c r="AD426" s="10">
        <f>IFERROR(VLOOKUP(Summary!B426,'Pre-Summary'!$A$6:$P$184,3, FALSE)/100,AD427)</f>
        <v>0.10673033333333334</v>
      </c>
      <c r="AE426" s="10">
        <f>IFERROR(VLOOKUP(Summary!B426,'Pre-Summary'!$A$6:$P$184,7, FALSE)/100,AE427)</f>
        <v>6.6886666666666664E-2</v>
      </c>
      <c r="AF426" s="99">
        <f t="shared" si="19"/>
        <v>5.9882567815264749E-2</v>
      </c>
      <c r="AG426" s="99">
        <f t="shared" si="20"/>
        <v>3.7527713326767534E-2</v>
      </c>
      <c r="AH426" s="10" t="str">
        <f>IFERROR(VLOOKUP(B426,'Pre-Summary'!$AZ$6:$BE$65,3,FALSE),"")</f>
        <v/>
      </c>
      <c r="AI426" s="10" t="str">
        <f>IFERROR(VLOOKUP(B426,'Pre-Summary'!$AZ$6:$BE$65,5,FALSE),"")</f>
        <v/>
      </c>
      <c r="AJ426" s="10" t="str">
        <f>IFERROR(VLOOKUP(B426,'Pre-Summary'!$AZ$6:$BE$65,4,FALSE),"")</f>
        <v/>
      </c>
      <c r="AK426" s="10" t="str">
        <f>IFERROR(VLOOKUP(B426,'Pre-Summary'!$AZ$6:$BE$65,6,FALSE),"")</f>
        <v/>
      </c>
      <c r="AL426" s="10" t="str">
        <f>IFERROR(VLOOKUP(B426,'Pre-Summary'!$BG$6:$BL$44,3,FALSE),"")</f>
        <v/>
      </c>
      <c r="AM426" s="10" t="str">
        <f>IFERROR(VLOOKUP(B426,'Pre-Summary'!$BG$6:$BL$44,4,FALSE),"")</f>
        <v/>
      </c>
    </row>
    <row r="427" spans="2:39" ht="15" customHeight="1" x14ac:dyDescent="0.3">
      <c r="B427">
        <v>42.4</v>
      </c>
      <c r="C427" t="str">
        <f>IFERROR(VLOOKUP(B427,'Pre-Summary'!$DI$6:$DM$23,4,FALSE),"")</f>
        <v/>
      </c>
      <c r="D427" s="10" t="str">
        <f>IFERROR(VLOOKUP(B427,'Pre-Summary'!$AT$6:$AX$14,5,FALSE),D426)</f>
        <v>DSMZ v2: Dropped Na-Ac out of DSMZ 120 media</v>
      </c>
      <c r="E427" s="10" t="str">
        <f>IFERROR(VLOOKUP(B427,'Pre-Summary'!$AT$6:$AX$15,4,FALSE),"")</f>
        <v/>
      </c>
      <c r="F427">
        <f>IFERROR(VLOOKUP(B427,'Pre-Summary'!$AL$6:$AQ$13,6,FALSE),F426)</f>
        <v>5.9405263157894746E-2</v>
      </c>
      <c r="G427" t="str">
        <f>IFERROR(VLOOKUP(B427,'Pre-Summary'!$AE$6:$AJ$85,3,FALSE),"")</f>
        <v/>
      </c>
      <c r="H427" t="str">
        <f>IFERROR(VLOOKUP(B427,'Pre-Summary'!$AE$6:$AJ$85,4,FALSE),"")</f>
        <v/>
      </c>
      <c r="I427" t="str">
        <f>IFERROR(VLOOKUP(B427,'Pre-Summary'!$AE$6:$AJ$85,5,FALSE),"")</f>
        <v/>
      </c>
      <c r="J427" s="45" t="str">
        <f>IFERROR(VLOOKUP(B427,'Pre-Summary'!$AE$6:$AJ$85,6, FALSE),"")</f>
        <v/>
      </c>
      <c r="K427" s="45" t="str">
        <f>IFERROR(VLOOKUP(B427,'Pre-Summary'!$DE$6:$DG$61,3,FALSE),"")</f>
        <v/>
      </c>
      <c r="L427" s="45" t="str">
        <f>IFERROR(VLOOKUP(B427,'Pre-Summary'!$CU$6:$CW$36,3,FALSE),"")</f>
        <v/>
      </c>
      <c r="M427" s="45" t="str">
        <f>IFERROR(VLOOKUP(B427,'Pre-Summary'!$BW$6:$BY$58,2,FALSE),"")</f>
        <v/>
      </c>
      <c r="N427" s="45" t="str">
        <f>IFERROR(VLOOKUP(B427,'Pre-Summary'!$CD$6:$CF$64,2,FALSE),"")</f>
        <v/>
      </c>
      <c r="O427" s="99">
        <f>IFERROR(VLOOKUP(B427,'Pre-Summary'!$BO$6:$BQ$48,3, FALSE),O426)</f>
        <v>1.0915248032216731</v>
      </c>
      <c r="P427" s="99">
        <f>IFERROR(VLOOKUP(B427,'Pre-Summary'!$BS$6:$BU$35,3,FALSE),P426)</f>
        <v>0.25</v>
      </c>
      <c r="Q427" s="54">
        <f t="shared" si="18"/>
        <v>4.3660992128866924</v>
      </c>
      <c r="R427" s="53">
        <f>IFERROR(VLOOKUP(B427,'Pre-Summary'!$BG$6:$BM$44,7,FALSE),R428)</f>
        <v>7.5915763918363535E-2</v>
      </c>
      <c r="S427" s="53">
        <f>IFERROR(VLOOKUP(B427,'Pre-Summary'!$BG$6:$BM$44,6,FALSE),S428)</f>
        <v>5.2897473997019086E-2</v>
      </c>
      <c r="T427" s="45" t="str">
        <f>IFERROR(VLOOKUP(B427,'Pre-Summary'!$Y$6:$AC$83, 3,FALSE),"")</f>
        <v/>
      </c>
      <c r="U427" s="45" t="str">
        <f>IFERROR(VLOOKUP(B427,'Pre-Summary'!$Y$6:$AC$83, 4,FALSE),"")</f>
        <v/>
      </c>
      <c r="V427" t="str">
        <f>IFERROR(VLOOKUP(B427,'Pre-Summary'!$Y$6:$AC$83, 5,FALSE),"")</f>
        <v/>
      </c>
      <c r="W427" s="45" t="str">
        <f>IFERROR(VLOOKUP(B427,'Pre-Summary'!$Y$6:$AD$83,6,FALSE),"")</f>
        <v/>
      </c>
      <c r="X427" t="str">
        <f>IFERROR(VLOOKUP('Pre-Summary'!$DB$6:$DD$63,3,FALSE),"")</f>
        <v/>
      </c>
      <c r="Y427" t="str">
        <f>IFERROR(VLOOKUP(B427,'Pre-Summary'!$CR$6:$CT$36,3,FALSE),"")</f>
        <v/>
      </c>
      <c r="Z427" s="45" t="str">
        <f>IFERROR(VLOOKUP(B427,'Pre-Summary'!$BZ$6:$CB$63,2,FALSE),"")</f>
        <v/>
      </c>
      <c r="AA427" s="45" t="str">
        <f>IFERROR(VLOOKUP(B427,'Pre-Summary'!$CG$6:$CI$70,2,FALSE),"")</f>
        <v/>
      </c>
      <c r="AB427" s="99">
        <f>IFERROR(VLOOKUP(B427,'Pre-Summary'!$A$6:$P$178,9,FALSE),AB428)</f>
        <v>0.56106418808084624</v>
      </c>
      <c r="AC427" s="10">
        <f>IFERROR(VLOOKUP(Summary!B427,'Pre-Summary'!$A$6:$P$184,5, FALSE)/100,AC428)</f>
        <v>0.82638299999999998</v>
      </c>
      <c r="AD427" s="10">
        <f>IFERROR(VLOOKUP(Summary!B427,'Pre-Summary'!$A$6:$P$184,3, FALSE)/100,AD428)</f>
        <v>0.10673033333333334</v>
      </c>
      <c r="AE427" s="10">
        <f>IFERROR(VLOOKUP(Summary!B427,'Pre-Summary'!$A$6:$P$184,7, FALSE)/100,AE428)</f>
        <v>6.6886666666666664E-2</v>
      </c>
      <c r="AF427" s="99">
        <f t="shared" si="19"/>
        <v>5.9882567815264749E-2</v>
      </c>
      <c r="AG427" s="99">
        <f t="shared" si="20"/>
        <v>3.7527713326767534E-2</v>
      </c>
      <c r="AH427" s="10" t="str">
        <f>IFERROR(VLOOKUP(B427,'Pre-Summary'!$AZ$6:$BE$65,3,FALSE),"")</f>
        <v/>
      </c>
      <c r="AI427" s="10" t="str">
        <f>IFERROR(VLOOKUP(B427,'Pre-Summary'!$AZ$6:$BE$65,5,FALSE),"")</f>
        <v/>
      </c>
      <c r="AJ427" s="10" t="str">
        <f>IFERROR(VLOOKUP(B427,'Pre-Summary'!$AZ$6:$BE$65,4,FALSE),"")</f>
        <v/>
      </c>
      <c r="AK427" s="10" t="str">
        <f>IFERROR(VLOOKUP(B427,'Pre-Summary'!$AZ$6:$BE$65,6,FALSE),"")</f>
        <v/>
      </c>
      <c r="AL427" s="10" t="str">
        <f>IFERROR(VLOOKUP(B427,'Pre-Summary'!$BG$6:$BL$44,3,FALSE),"")</f>
        <v/>
      </c>
      <c r="AM427" s="10" t="str">
        <f>IFERROR(VLOOKUP(B427,'Pre-Summary'!$BG$6:$BL$44,4,FALSE),"")</f>
        <v/>
      </c>
    </row>
    <row r="428" spans="2:39" ht="15" customHeight="1" x14ac:dyDescent="0.3">
      <c r="B428">
        <v>42.5</v>
      </c>
      <c r="C428" t="str">
        <f>IFERROR(VLOOKUP(B428,'Pre-Summary'!$DI$6:$DM$23,4,FALSE),"")</f>
        <v/>
      </c>
      <c r="D428" s="10" t="str">
        <f>IFERROR(VLOOKUP(B428,'Pre-Summary'!$AT$6:$AX$14,5,FALSE),D427)</f>
        <v>DSMZ v2: Dropped Na-Ac out of DSMZ 120 media</v>
      </c>
      <c r="E428" s="10" t="str">
        <f>IFERROR(VLOOKUP(B428,'Pre-Summary'!$AT$6:$AX$15,4,FALSE),"")</f>
        <v/>
      </c>
      <c r="F428">
        <f>IFERROR(VLOOKUP(B428,'Pre-Summary'!$AL$6:$AQ$13,6,FALSE),F427)</f>
        <v>5.9405263157894746E-2</v>
      </c>
      <c r="G428" t="str">
        <f>IFERROR(VLOOKUP(B428,'Pre-Summary'!$AE$6:$AJ$85,3,FALSE),"")</f>
        <v/>
      </c>
      <c r="H428" t="str">
        <f>IFERROR(VLOOKUP(B428,'Pre-Summary'!$AE$6:$AJ$85,4,FALSE),"")</f>
        <v/>
      </c>
      <c r="I428" t="str">
        <f>IFERROR(VLOOKUP(B428,'Pre-Summary'!$AE$6:$AJ$85,5,FALSE),"")</f>
        <v/>
      </c>
      <c r="J428" s="45" t="str">
        <f>IFERROR(VLOOKUP(B428,'Pre-Summary'!$AE$6:$AJ$85,6, FALSE),"")</f>
        <v/>
      </c>
      <c r="K428" s="45" t="str">
        <f>IFERROR(VLOOKUP(B428,'Pre-Summary'!$DE$6:$DG$61,3,FALSE),"")</f>
        <v/>
      </c>
      <c r="L428" s="45" t="str">
        <f>IFERROR(VLOOKUP(B428,'Pre-Summary'!$CU$6:$CW$36,3,FALSE),"")</f>
        <v/>
      </c>
      <c r="M428" s="45" t="str">
        <f>IFERROR(VLOOKUP(B428,'Pre-Summary'!$BW$6:$BY$58,2,FALSE),"")</f>
        <v/>
      </c>
      <c r="N428" s="45" t="str">
        <f>IFERROR(VLOOKUP(B428,'Pre-Summary'!$CD$6:$CF$64,2,FALSE),"")</f>
        <v/>
      </c>
      <c r="O428" s="99">
        <f>IFERROR(VLOOKUP(B428,'Pre-Summary'!$BO$6:$BQ$48,3, FALSE),O427)</f>
        <v>1.0915248032216731</v>
      </c>
      <c r="P428" s="99">
        <f>IFERROR(VLOOKUP(B428,'Pre-Summary'!$BS$6:$BU$35,3,FALSE),P427)</f>
        <v>0.25</v>
      </c>
      <c r="Q428" s="54">
        <f t="shared" si="18"/>
        <v>4.3660992128866924</v>
      </c>
      <c r="R428" s="53">
        <f>IFERROR(VLOOKUP(B428,'Pre-Summary'!$BG$6:$BM$44,7,FALSE),R429)</f>
        <v>7.5915763918363535E-2</v>
      </c>
      <c r="S428" s="53">
        <f>IFERROR(VLOOKUP(B428,'Pre-Summary'!$BG$6:$BM$44,6,FALSE),S429)</f>
        <v>5.2897473997019086E-2</v>
      </c>
      <c r="T428" s="45" t="str">
        <f>IFERROR(VLOOKUP(B428,'Pre-Summary'!$Y$6:$AC$83, 3,FALSE),"")</f>
        <v/>
      </c>
      <c r="U428" s="45" t="str">
        <f>IFERROR(VLOOKUP(B428,'Pre-Summary'!$Y$6:$AC$83, 4,FALSE),"")</f>
        <v/>
      </c>
      <c r="V428" t="str">
        <f>IFERROR(VLOOKUP(B428,'Pre-Summary'!$Y$6:$AC$83, 5,FALSE),"")</f>
        <v/>
      </c>
      <c r="W428" s="45" t="str">
        <f>IFERROR(VLOOKUP(B428,'Pre-Summary'!$Y$6:$AD$83,6,FALSE),"")</f>
        <v/>
      </c>
      <c r="X428" t="str">
        <f>IFERROR(VLOOKUP('Pre-Summary'!$DB$6:$DD$63,3,FALSE),"")</f>
        <v/>
      </c>
      <c r="Y428" t="str">
        <f>IFERROR(VLOOKUP(B428,'Pre-Summary'!$CR$6:$CT$36,3,FALSE),"")</f>
        <v/>
      </c>
      <c r="Z428" s="45" t="str">
        <f>IFERROR(VLOOKUP(B428,'Pre-Summary'!$BZ$6:$CB$63,2,FALSE),"")</f>
        <v/>
      </c>
      <c r="AA428" s="45" t="str">
        <f>IFERROR(VLOOKUP(B428,'Pre-Summary'!$CG$6:$CI$70,2,FALSE),"")</f>
        <v/>
      </c>
      <c r="AB428" s="99">
        <f>IFERROR(VLOOKUP(B428,'Pre-Summary'!$A$6:$P$178,9,FALSE),AB429)</f>
        <v>0.56106418808084624</v>
      </c>
      <c r="AC428" s="10">
        <f>IFERROR(VLOOKUP(Summary!B428,'Pre-Summary'!$A$6:$P$184,5, FALSE)/100,AC429)</f>
        <v>0.82638299999999998</v>
      </c>
      <c r="AD428" s="10">
        <f>IFERROR(VLOOKUP(Summary!B428,'Pre-Summary'!$A$6:$P$184,3, FALSE)/100,AD429)</f>
        <v>0.10673033333333334</v>
      </c>
      <c r="AE428" s="10">
        <f>IFERROR(VLOOKUP(Summary!B428,'Pre-Summary'!$A$6:$P$184,7, FALSE)/100,AE429)</f>
        <v>6.6886666666666664E-2</v>
      </c>
      <c r="AF428" s="99">
        <f t="shared" si="19"/>
        <v>5.9882567815264749E-2</v>
      </c>
      <c r="AG428" s="99">
        <f t="shared" si="20"/>
        <v>3.7527713326767534E-2</v>
      </c>
      <c r="AH428" s="10" t="str">
        <f>IFERROR(VLOOKUP(B428,'Pre-Summary'!$AZ$6:$BE$65,3,FALSE),"")</f>
        <v/>
      </c>
      <c r="AI428" s="10" t="str">
        <f>IFERROR(VLOOKUP(B428,'Pre-Summary'!$AZ$6:$BE$65,5,FALSE),"")</f>
        <v/>
      </c>
      <c r="AJ428" s="10" t="str">
        <f>IFERROR(VLOOKUP(B428,'Pre-Summary'!$AZ$6:$BE$65,4,FALSE),"")</f>
        <v/>
      </c>
      <c r="AK428" s="10" t="str">
        <f>IFERROR(VLOOKUP(B428,'Pre-Summary'!$AZ$6:$BE$65,6,FALSE),"")</f>
        <v/>
      </c>
      <c r="AL428" s="10" t="str">
        <f>IFERROR(VLOOKUP(B428,'Pre-Summary'!$BG$6:$BL$44,3,FALSE),"")</f>
        <v/>
      </c>
      <c r="AM428" s="10" t="str">
        <f>IFERROR(VLOOKUP(B428,'Pre-Summary'!$BG$6:$BL$44,4,FALSE),"")</f>
        <v/>
      </c>
    </row>
    <row r="429" spans="2:39" ht="15" customHeight="1" x14ac:dyDescent="0.3">
      <c r="B429">
        <v>42.6</v>
      </c>
      <c r="C429" t="str">
        <f>IFERROR(VLOOKUP(B429,'Pre-Summary'!$DI$6:$DM$23,4,FALSE),"")</f>
        <v/>
      </c>
      <c r="D429" s="10" t="str">
        <f>IFERROR(VLOOKUP(B429,'Pre-Summary'!$AT$6:$AX$14,5,FALSE),D428)</f>
        <v>DSMZ v2: Dropped Na-Ac out of DSMZ 120 media</v>
      </c>
      <c r="E429" s="10" t="str">
        <f>IFERROR(VLOOKUP(B429,'Pre-Summary'!$AT$6:$AX$15,4,FALSE),"")</f>
        <v/>
      </c>
      <c r="F429">
        <f>IFERROR(VLOOKUP(B429,'Pre-Summary'!$AL$6:$AQ$13,6,FALSE),F428)</f>
        <v>5.9405263157894746E-2</v>
      </c>
      <c r="G429" t="str">
        <f>IFERROR(VLOOKUP(B429,'Pre-Summary'!$AE$6:$AJ$85,3,FALSE),"")</f>
        <v/>
      </c>
      <c r="H429" t="str">
        <f>IFERROR(VLOOKUP(B429,'Pre-Summary'!$AE$6:$AJ$85,4,FALSE),"")</f>
        <v/>
      </c>
      <c r="I429" t="str">
        <f>IFERROR(VLOOKUP(B429,'Pre-Summary'!$AE$6:$AJ$85,5,FALSE),"")</f>
        <v/>
      </c>
      <c r="J429" s="45" t="str">
        <f>IFERROR(VLOOKUP(B429,'Pre-Summary'!$AE$6:$AJ$85,6, FALSE),"")</f>
        <v/>
      </c>
      <c r="K429" s="45" t="str">
        <f>IFERROR(VLOOKUP(B429,'Pre-Summary'!$DE$6:$DG$61,3,FALSE),"")</f>
        <v/>
      </c>
      <c r="L429" s="45" t="str">
        <f>IFERROR(VLOOKUP(B429,'Pre-Summary'!$CU$6:$CW$36,3,FALSE),"")</f>
        <v/>
      </c>
      <c r="M429" s="45" t="str">
        <f>IFERROR(VLOOKUP(B429,'Pre-Summary'!$BW$6:$BY$58,2,FALSE),"")</f>
        <v/>
      </c>
      <c r="N429" s="45" t="str">
        <f>IFERROR(VLOOKUP(B429,'Pre-Summary'!$CD$6:$CF$64,2,FALSE),"")</f>
        <v/>
      </c>
      <c r="O429" s="99">
        <f>IFERROR(VLOOKUP(B429,'Pre-Summary'!$BO$6:$BQ$48,3, FALSE),O428)</f>
        <v>1.0915248032216731</v>
      </c>
      <c r="P429" s="99">
        <f>IFERROR(VLOOKUP(B429,'Pre-Summary'!$BS$6:$BU$35,3,FALSE),P428)</f>
        <v>0.25</v>
      </c>
      <c r="Q429" s="54">
        <f t="shared" si="18"/>
        <v>4.3660992128866924</v>
      </c>
      <c r="R429" s="53">
        <f>IFERROR(VLOOKUP(B429,'Pre-Summary'!$BG$6:$BM$44,7,FALSE),R430)</f>
        <v>7.5915763918363535E-2</v>
      </c>
      <c r="S429" s="53">
        <f>IFERROR(VLOOKUP(B429,'Pre-Summary'!$BG$6:$BM$44,6,FALSE),S430)</f>
        <v>5.2897473997019086E-2</v>
      </c>
      <c r="T429" s="45" t="str">
        <f>IFERROR(VLOOKUP(B429,'Pre-Summary'!$Y$6:$AC$83, 3,FALSE),"")</f>
        <v/>
      </c>
      <c r="U429" s="45" t="str">
        <f>IFERROR(VLOOKUP(B429,'Pre-Summary'!$Y$6:$AC$83, 4,FALSE),"")</f>
        <v/>
      </c>
      <c r="V429" t="str">
        <f>IFERROR(VLOOKUP(B429,'Pre-Summary'!$Y$6:$AC$83, 5,FALSE),"")</f>
        <v/>
      </c>
      <c r="W429" s="45" t="str">
        <f>IFERROR(VLOOKUP(B429,'Pre-Summary'!$Y$6:$AD$83,6,FALSE),"")</f>
        <v/>
      </c>
      <c r="X429" t="str">
        <f>IFERROR(VLOOKUP('Pre-Summary'!$DB$6:$DD$63,3,FALSE),"")</f>
        <v/>
      </c>
      <c r="Y429" t="str">
        <f>IFERROR(VLOOKUP(B429,'Pre-Summary'!$CR$6:$CT$36,3,FALSE),"")</f>
        <v/>
      </c>
      <c r="Z429" s="45" t="str">
        <f>IFERROR(VLOOKUP(B429,'Pre-Summary'!$BZ$6:$CB$63,2,FALSE),"")</f>
        <v/>
      </c>
      <c r="AA429" s="45" t="str">
        <f>IFERROR(VLOOKUP(B429,'Pre-Summary'!$CG$6:$CI$70,2,FALSE),"")</f>
        <v/>
      </c>
      <c r="AB429" s="99">
        <f>IFERROR(VLOOKUP(B429,'Pre-Summary'!$A$6:$P$178,9,FALSE),AB430)</f>
        <v>0.56106418808084624</v>
      </c>
      <c r="AC429" s="10">
        <f>IFERROR(VLOOKUP(Summary!B429,'Pre-Summary'!$A$6:$P$184,5, FALSE)/100,AC430)</f>
        <v>0.82638299999999998</v>
      </c>
      <c r="AD429" s="10">
        <f>IFERROR(VLOOKUP(Summary!B429,'Pre-Summary'!$A$6:$P$184,3, FALSE)/100,AD430)</f>
        <v>0.10673033333333334</v>
      </c>
      <c r="AE429" s="10">
        <f>IFERROR(VLOOKUP(Summary!B429,'Pre-Summary'!$A$6:$P$184,7, FALSE)/100,AE430)</f>
        <v>6.6886666666666664E-2</v>
      </c>
      <c r="AF429" s="99">
        <f t="shared" si="19"/>
        <v>5.9882567815264749E-2</v>
      </c>
      <c r="AG429" s="99">
        <f t="shared" si="20"/>
        <v>3.7527713326767534E-2</v>
      </c>
      <c r="AH429" s="10" t="str">
        <f>IFERROR(VLOOKUP(B429,'Pre-Summary'!$AZ$6:$BE$65,3,FALSE),"")</f>
        <v/>
      </c>
      <c r="AI429" s="10" t="str">
        <f>IFERROR(VLOOKUP(B429,'Pre-Summary'!$AZ$6:$BE$65,5,FALSE),"")</f>
        <v/>
      </c>
      <c r="AJ429" s="10" t="str">
        <f>IFERROR(VLOOKUP(B429,'Pre-Summary'!$AZ$6:$BE$65,4,FALSE),"")</f>
        <v/>
      </c>
      <c r="AK429" s="10" t="str">
        <f>IFERROR(VLOOKUP(B429,'Pre-Summary'!$AZ$6:$BE$65,6,FALSE),"")</f>
        <v/>
      </c>
      <c r="AL429" s="10" t="str">
        <f>IFERROR(VLOOKUP(B429,'Pre-Summary'!$BG$6:$BL$44,3,FALSE),"")</f>
        <v/>
      </c>
      <c r="AM429" s="10" t="str">
        <f>IFERROR(VLOOKUP(B429,'Pre-Summary'!$BG$6:$BL$44,4,FALSE),"")</f>
        <v/>
      </c>
    </row>
    <row r="430" spans="2:39" ht="15" customHeight="1" x14ac:dyDescent="0.3">
      <c r="B430">
        <v>42.7</v>
      </c>
      <c r="C430" t="str">
        <f>IFERROR(VLOOKUP(B430,'Pre-Summary'!$DI$6:$DM$23,4,FALSE),"")</f>
        <v/>
      </c>
      <c r="D430" s="10" t="str">
        <f>IFERROR(VLOOKUP(B430,'Pre-Summary'!$AT$6:$AX$14,5,FALSE),D429)</f>
        <v>DSMZ v2: Dropped Na-Ac out of DSMZ 120 media</v>
      </c>
      <c r="E430" s="10" t="str">
        <f>IFERROR(VLOOKUP(B430,'Pre-Summary'!$AT$6:$AX$15,4,FALSE),"")</f>
        <v/>
      </c>
      <c r="F430">
        <f>IFERROR(VLOOKUP(B430,'Pre-Summary'!$AL$6:$AQ$13,6,FALSE),F429)</f>
        <v>5.9405263157894746E-2</v>
      </c>
      <c r="G430" t="str">
        <f>IFERROR(VLOOKUP(B430,'Pre-Summary'!$AE$6:$AJ$85,3,FALSE),"")</f>
        <v/>
      </c>
      <c r="H430" t="str">
        <f>IFERROR(VLOOKUP(B430,'Pre-Summary'!$AE$6:$AJ$85,4,FALSE),"")</f>
        <v/>
      </c>
      <c r="I430" t="str">
        <f>IFERROR(VLOOKUP(B430,'Pre-Summary'!$AE$6:$AJ$85,5,FALSE),"")</f>
        <v/>
      </c>
      <c r="J430" s="45" t="str">
        <f>IFERROR(VLOOKUP(B430,'Pre-Summary'!$AE$6:$AJ$85,6, FALSE),"")</f>
        <v/>
      </c>
      <c r="K430" s="45" t="str">
        <f>IFERROR(VLOOKUP(B430,'Pre-Summary'!$DE$6:$DG$61,3,FALSE),"")</f>
        <v/>
      </c>
      <c r="L430" s="45" t="str">
        <f>IFERROR(VLOOKUP(B430,'Pre-Summary'!$CU$6:$CW$36,3,FALSE),"")</f>
        <v/>
      </c>
      <c r="M430" s="45" t="str">
        <f>IFERROR(VLOOKUP(B430,'Pre-Summary'!$BW$6:$BY$58,2,FALSE),"")</f>
        <v/>
      </c>
      <c r="N430" s="45" t="str">
        <f>IFERROR(VLOOKUP(B430,'Pre-Summary'!$CD$6:$CF$64,2,FALSE),"")</f>
        <v/>
      </c>
      <c r="O430" s="99">
        <f>IFERROR(VLOOKUP(B430,'Pre-Summary'!$BO$6:$BQ$48,3, FALSE),O429)</f>
        <v>1.0915248032216731</v>
      </c>
      <c r="P430" s="99">
        <f>IFERROR(VLOOKUP(B430,'Pre-Summary'!$BS$6:$BU$35,3,FALSE),P429)</f>
        <v>0.25</v>
      </c>
      <c r="Q430" s="54">
        <f t="shared" si="18"/>
        <v>4.3660992128866924</v>
      </c>
      <c r="R430" s="53">
        <f>IFERROR(VLOOKUP(B430,'Pre-Summary'!$BG$6:$BM$44,7,FALSE),R431)</f>
        <v>7.5915763918363535E-2</v>
      </c>
      <c r="S430" s="53">
        <f>IFERROR(VLOOKUP(B430,'Pre-Summary'!$BG$6:$BM$44,6,FALSE),S431)</f>
        <v>5.2897473997019086E-2</v>
      </c>
      <c r="T430" s="45" t="str">
        <f>IFERROR(VLOOKUP(B430,'Pre-Summary'!$Y$6:$AC$83, 3,FALSE),"")</f>
        <v/>
      </c>
      <c r="U430" s="45" t="str">
        <f>IFERROR(VLOOKUP(B430,'Pre-Summary'!$Y$6:$AC$83, 4,FALSE),"")</f>
        <v/>
      </c>
      <c r="V430" t="str">
        <f>IFERROR(VLOOKUP(B430,'Pre-Summary'!$Y$6:$AC$83, 5,FALSE),"")</f>
        <v/>
      </c>
      <c r="W430" s="45" t="str">
        <f>IFERROR(VLOOKUP(B430,'Pre-Summary'!$Y$6:$AD$83,6,FALSE),"")</f>
        <v/>
      </c>
      <c r="X430" t="str">
        <f>IFERROR(VLOOKUP('Pre-Summary'!$DB$6:$DD$63,3,FALSE),"")</f>
        <v/>
      </c>
      <c r="Y430" t="str">
        <f>IFERROR(VLOOKUP(B430,'Pre-Summary'!$CR$6:$CT$36,3,FALSE),"")</f>
        <v/>
      </c>
      <c r="Z430" s="45" t="str">
        <f>IFERROR(VLOOKUP(B430,'Pre-Summary'!$BZ$6:$CB$63,2,FALSE),"")</f>
        <v/>
      </c>
      <c r="AA430" s="45" t="str">
        <f>IFERROR(VLOOKUP(B430,'Pre-Summary'!$CG$6:$CI$70,2,FALSE),"")</f>
        <v/>
      </c>
      <c r="AB430" s="99">
        <f>IFERROR(VLOOKUP(B430,'Pre-Summary'!$A$6:$P$178,9,FALSE),AB431)</f>
        <v>0.56106418808084624</v>
      </c>
      <c r="AC430" s="10">
        <f>IFERROR(VLOOKUP(Summary!B430,'Pre-Summary'!$A$6:$P$184,5, FALSE)/100,AC431)</f>
        <v>0.82638299999999998</v>
      </c>
      <c r="AD430" s="10">
        <f>IFERROR(VLOOKUP(Summary!B430,'Pre-Summary'!$A$6:$P$184,3, FALSE)/100,AD431)</f>
        <v>0.10673033333333334</v>
      </c>
      <c r="AE430" s="10">
        <f>IFERROR(VLOOKUP(Summary!B430,'Pre-Summary'!$A$6:$P$184,7, FALSE)/100,AE431)</f>
        <v>6.6886666666666664E-2</v>
      </c>
      <c r="AF430" s="99">
        <f t="shared" si="19"/>
        <v>5.9882567815264749E-2</v>
      </c>
      <c r="AG430" s="99">
        <f t="shared" si="20"/>
        <v>3.7527713326767534E-2</v>
      </c>
      <c r="AH430" s="10" t="str">
        <f>IFERROR(VLOOKUP(B430,'Pre-Summary'!$AZ$6:$BE$65,3,FALSE),"")</f>
        <v/>
      </c>
      <c r="AI430" s="10" t="str">
        <f>IFERROR(VLOOKUP(B430,'Pre-Summary'!$AZ$6:$BE$65,5,FALSE),"")</f>
        <v/>
      </c>
      <c r="AJ430" s="10" t="str">
        <f>IFERROR(VLOOKUP(B430,'Pre-Summary'!$AZ$6:$BE$65,4,FALSE),"")</f>
        <v/>
      </c>
      <c r="AK430" s="10" t="str">
        <f>IFERROR(VLOOKUP(B430,'Pre-Summary'!$AZ$6:$BE$65,6,FALSE),"")</f>
        <v/>
      </c>
      <c r="AL430" s="10" t="str">
        <f>IFERROR(VLOOKUP(B430,'Pre-Summary'!$BG$6:$BL$44,3,FALSE),"")</f>
        <v/>
      </c>
      <c r="AM430" s="10" t="str">
        <f>IFERROR(VLOOKUP(B430,'Pre-Summary'!$BG$6:$BL$44,4,FALSE),"")</f>
        <v/>
      </c>
    </row>
    <row r="431" spans="2:39" ht="15" customHeight="1" x14ac:dyDescent="0.3">
      <c r="B431">
        <v>42.8</v>
      </c>
      <c r="C431" t="str">
        <f>IFERROR(VLOOKUP(B431,'Pre-Summary'!$DI$6:$DM$23,4,FALSE),"")</f>
        <v/>
      </c>
      <c r="D431" s="10" t="str">
        <f>IFERROR(VLOOKUP(B431,'Pre-Summary'!$AT$6:$AX$14,5,FALSE),D430)</f>
        <v>DSMZ v2: Dropped Na-Ac out of DSMZ 120 media</v>
      </c>
      <c r="E431" s="10" t="str">
        <f>IFERROR(VLOOKUP(B431,'Pre-Summary'!$AT$6:$AX$15,4,FALSE),"")</f>
        <v/>
      </c>
      <c r="F431">
        <f>IFERROR(VLOOKUP(B431,'Pre-Summary'!$AL$6:$AQ$13,6,FALSE),F430)</f>
        <v>5.9405263157894746E-2</v>
      </c>
      <c r="G431" t="str">
        <f>IFERROR(VLOOKUP(B431,'Pre-Summary'!$AE$6:$AJ$85,3,FALSE),"")</f>
        <v/>
      </c>
      <c r="H431" t="str">
        <f>IFERROR(VLOOKUP(B431,'Pre-Summary'!$AE$6:$AJ$85,4,FALSE),"")</f>
        <v/>
      </c>
      <c r="I431" t="str">
        <f>IFERROR(VLOOKUP(B431,'Pre-Summary'!$AE$6:$AJ$85,5,FALSE),"")</f>
        <v/>
      </c>
      <c r="J431" s="45" t="str">
        <f>IFERROR(VLOOKUP(B431,'Pre-Summary'!$AE$6:$AJ$85,6, FALSE),"")</f>
        <v/>
      </c>
      <c r="K431" s="45" t="str">
        <f>IFERROR(VLOOKUP(B431,'Pre-Summary'!$DE$6:$DG$61,3,FALSE),"")</f>
        <v/>
      </c>
      <c r="L431" s="45" t="str">
        <f>IFERROR(VLOOKUP(B431,'Pre-Summary'!$CU$6:$CW$36,3,FALSE),"")</f>
        <v/>
      </c>
      <c r="M431" s="45" t="str">
        <f>IFERROR(VLOOKUP(B431,'Pre-Summary'!$BW$6:$BY$58,2,FALSE),"")</f>
        <v/>
      </c>
      <c r="N431" s="45" t="str">
        <f>IFERROR(VLOOKUP(B431,'Pre-Summary'!$CD$6:$CF$64,2,FALSE),"")</f>
        <v/>
      </c>
      <c r="O431" s="99">
        <f>IFERROR(VLOOKUP(B431,'Pre-Summary'!$BO$6:$BQ$48,3, FALSE),O430)</f>
        <v>1.0915248032216731</v>
      </c>
      <c r="P431" s="99">
        <f>IFERROR(VLOOKUP(B431,'Pre-Summary'!$BS$6:$BU$35,3,FALSE),P430)</f>
        <v>0.25</v>
      </c>
      <c r="Q431" s="54">
        <f t="shared" si="18"/>
        <v>4.3660992128866924</v>
      </c>
      <c r="R431" s="53">
        <f>IFERROR(VLOOKUP(B431,'Pre-Summary'!$BG$6:$BM$44,7,FALSE),R432)</f>
        <v>7.5915763918363535E-2</v>
      </c>
      <c r="S431" s="53">
        <f>IFERROR(VLOOKUP(B431,'Pre-Summary'!$BG$6:$BM$44,6,FALSE),S432)</f>
        <v>5.2897473997019086E-2</v>
      </c>
      <c r="T431" s="45" t="str">
        <f>IFERROR(VLOOKUP(B431,'Pre-Summary'!$Y$6:$AC$83, 3,FALSE),"")</f>
        <v/>
      </c>
      <c r="U431" s="45" t="str">
        <f>IFERROR(VLOOKUP(B431,'Pre-Summary'!$Y$6:$AC$83, 4,FALSE),"")</f>
        <v/>
      </c>
      <c r="V431" t="str">
        <f>IFERROR(VLOOKUP(B431,'Pre-Summary'!$Y$6:$AC$83, 5,FALSE),"")</f>
        <v/>
      </c>
      <c r="W431" s="45" t="str">
        <f>IFERROR(VLOOKUP(B431,'Pre-Summary'!$Y$6:$AD$83,6,FALSE),"")</f>
        <v/>
      </c>
      <c r="X431" t="str">
        <f>IFERROR(VLOOKUP('Pre-Summary'!$DB$6:$DD$63,3,FALSE),"")</f>
        <v/>
      </c>
      <c r="Y431" t="str">
        <f>IFERROR(VLOOKUP(B431,'Pre-Summary'!$CR$6:$CT$36,3,FALSE),"")</f>
        <v/>
      </c>
      <c r="Z431" s="45" t="str">
        <f>IFERROR(VLOOKUP(B431,'Pre-Summary'!$BZ$6:$CB$63,2,FALSE),"")</f>
        <v/>
      </c>
      <c r="AA431" s="45" t="str">
        <f>IFERROR(VLOOKUP(B431,'Pre-Summary'!$CG$6:$CI$70,2,FALSE),"")</f>
        <v/>
      </c>
      <c r="AB431" s="99">
        <f>IFERROR(VLOOKUP(B431,'Pre-Summary'!$A$6:$P$178,9,FALSE),AB432)</f>
        <v>0.56106418808084624</v>
      </c>
      <c r="AC431" s="10">
        <f>IFERROR(VLOOKUP(Summary!B431,'Pre-Summary'!$A$6:$P$184,5, FALSE)/100,AC432)</f>
        <v>0.82638299999999998</v>
      </c>
      <c r="AD431" s="10">
        <f>IFERROR(VLOOKUP(Summary!B431,'Pre-Summary'!$A$6:$P$184,3, FALSE)/100,AD432)</f>
        <v>0.10673033333333334</v>
      </c>
      <c r="AE431" s="10">
        <f>IFERROR(VLOOKUP(Summary!B431,'Pre-Summary'!$A$6:$P$184,7, FALSE)/100,AE432)</f>
        <v>6.6886666666666664E-2</v>
      </c>
      <c r="AF431" s="99">
        <f t="shared" si="19"/>
        <v>5.9882567815264749E-2</v>
      </c>
      <c r="AG431" s="99">
        <f t="shared" si="20"/>
        <v>3.7527713326767534E-2</v>
      </c>
      <c r="AH431" s="10" t="str">
        <f>IFERROR(VLOOKUP(B431,'Pre-Summary'!$AZ$6:$BE$65,3,FALSE),"")</f>
        <v/>
      </c>
      <c r="AI431" s="10" t="str">
        <f>IFERROR(VLOOKUP(B431,'Pre-Summary'!$AZ$6:$BE$65,5,FALSE),"")</f>
        <v/>
      </c>
      <c r="AJ431" s="10" t="str">
        <f>IFERROR(VLOOKUP(B431,'Pre-Summary'!$AZ$6:$BE$65,4,FALSE),"")</f>
        <v/>
      </c>
      <c r="AK431" s="10" t="str">
        <f>IFERROR(VLOOKUP(B431,'Pre-Summary'!$AZ$6:$BE$65,6,FALSE),"")</f>
        <v/>
      </c>
      <c r="AL431" s="10" t="str">
        <f>IFERROR(VLOOKUP(B431,'Pre-Summary'!$BG$6:$BL$44,3,FALSE),"")</f>
        <v/>
      </c>
      <c r="AM431" s="10" t="str">
        <f>IFERROR(VLOOKUP(B431,'Pre-Summary'!$BG$6:$BL$44,4,FALSE),"")</f>
        <v/>
      </c>
    </row>
    <row r="432" spans="2:39" ht="15" customHeight="1" x14ac:dyDescent="0.3">
      <c r="B432">
        <v>42.9</v>
      </c>
      <c r="C432" t="str">
        <f>IFERROR(VLOOKUP(B432,'Pre-Summary'!$DI$6:$DM$23,4,FALSE),"")</f>
        <v/>
      </c>
      <c r="D432" s="10" t="str">
        <f>IFERROR(VLOOKUP(B432,'Pre-Summary'!$AT$6:$AX$14,5,FALSE),D431)</f>
        <v>DSMZ v2: Dropped Na-Ac out of DSMZ 120 media</v>
      </c>
      <c r="E432" s="10" t="str">
        <f>IFERROR(VLOOKUP(B432,'Pre-Summary'!$AT$6:$AX$15,4,FALSE),"")</f>
        <v/>
      </c>
      <c r="F432">
        <f>IFERROR(VLOOKUP(B432,'Pre-Summary'!$AL$6:$AQ$13,6,FALSE),F431)</f>
        <v>5.9405263157894746E-2</v>
      </c>
      <c r="G432" t="str">
        <f>IFERROR(VLOOKUP(B432,'Pre-Summary'!$AE$6:$AJ$85,3,FALSE),"")</f>
        <v/>
      </c>
      <c r="H432" t="str">
        <f>IFERROR(VLOOKUP(B432,'Pre-Summary'!$AE$6:$AJ$85,4,FALSE),"")</f>
        <v/>
      </c>
      <c r="I432" t="str">
        <f>IFERROR(VLOOKUP(B432,'Pre-Summary'!$AE$6:$AJ$85,5,FALSE),"")</f>
        <v/>
      </c>
      <c r="J432" s="45" t="str">
        <f>IFERROR(VLOOKUP(B432,'Pre-Summary'!$AE$6:$AJ$85,6, FALSE),"")</f>
        <v/>
      </c>
      <c r="K432" s="45" t="str">
        <f>IFERROR(VLOOKUP(B432,'Pre-Summary'!$DE$6:$DG$61,3,FALSE),"")</f>
        <v/>
      </c>
      <c r="L432" s="45" t="str">
        <f>IFERROR(VLOOKUP(B432,'Pre-Summary'!$CU$6:$CW$36,3,FALSE),"")</f>
        <v/>
      </c>
      <c r="M432" s="45" t="str">
        <f>IFERROR(VLOOKUP(B432,'Pre-Summary'!$BW$6:$BY$58,2,FALSE),"")</f>
        <v/>
      </c>
      <c r="N432" s="45" t="str">
        <f>IFERROR(VLOOKUP(B432,'Pre-Summary'!$CD$6:$CF$64,2,FALSE),"")</f>
        <v/>
      </c>
      <c r="O432" s="99">
        <f>IFERROR(VLOOKUP(B432,'Pre-Summary'!$BO$6:$BQ$48,3, FALSE),O431)</f>
        <v>1.0915248032216731</v>
      </c>
      <c r="P432" s="99">
        <f>IFERROR(VLOOKUP(B432,'Pre-Summary'!$BS$6:$BU$35,3,FALSE),P431)</f>
        <v>0.25</v>
      </c>
      <c r="Q432" s="54">
        <f t="shared" si="18"/>
        <v>4.3660992128866924</v>
      </c>
      <c r="R432" s="53">
        <f>IFERROR(VLOOKUP(B432,'Pre-Summary'!$BG$6:$BM$44,7,FALSE),R433)</f>
        <v>7.5915763918363535E-2</v>
      </c>
      <c r="S432" s="53">
        <f>IFERROR(VLOOKUP(B432,'Pre-Summary'!$BG$6:$BM$44,6,FALSE),S433)</f>
        <v>5.2897473997019086E-2</v>
      </c>
      <c r="T432" s="45" t="str">
        <f>IFERROR(VLOOKUP(B432,'Pre-Summary'!$Y$6:$AC$83, 3,FALSE),"")</f>
        <v/>
      </c>
      <c r="U432" s="45" t="str">
        <f>IFERROR(VLOOKUP(B432,'Pre-Summary'!$Y$6:$AC$83, 4,FALSE),"")</f>
        <v/>
      </c>
      <c r="V432" t="str">
        <f>IFERROR(VLOOKUP(B432,'Pre-Summary'!$Y$6:$AC$83, 5,FALSE),"")</f>
        <v/>
      </c>
      <c r="W432" s="45" t="str">
        <f>IFERROR(VLOOKUP(B432,'Pre-Summary'!$Y$6:$AD$83,6,FALSE),"")</f>
        <v/>
      </c>
      <c r="X432" t="str">
        <f>IFERROR(VLOOKUP('Pre-Summary'!$DB$6:$DD$63,3,FALSE),"")</f>
        <v/>
      </c>
      <c r="Y432" t="str">
        <f>IFERROR(VLOOKUP(B432,'Pre-Summary'!$CR$6:$CT$36,3,FALSE),"")</f>
        <v/>
      </c>
      <c r="Z432" s="45" t="str">
        <f>IFERROR(VLOOKUP(B432,'Pre-Summary'!$BZ$6:$CB$63,2,FALSE),"")</f>
        <v/>
      </c>
      <c r="AA432" s="45" t="str">
        <f>IFERROR(VLOOKUP(B432,'Pre-Summary'!$CG$6:$CI$70,2,FALSE),"")</f>
        <v/>
      </c>
      <c r="AB432" s="99">
        <f>IFERROR(VLOOKUP(B432,'Pre-Summary'!$A$6:$P$178,9,FALSE),AB433)</f>
        <v>0.56106418808084624</v>
      </c>
      <c r="AC432" s="10">
        <f>IFERROR(VLOOKUP(Summary!B432,'Pre-Summary'!$A$6:$P$184,5, FALSE)/100,AC433)</f>
        <v>0.82638299999999998</v>
      </c>
      <c r="AD432" s="10">
        <f>IFERROR(VLOOKUP(Summary!B432,'Pre-Summary'!$A$6:$P$184,3, FALSE)/100,AD433)</f>
        <v>0.10673033333333334</v>
      </c>
      <c r="AE432" s="10">
        <f>IFERROR(VLOOKUP(Summary!B432,'Pre-Summary'!$A$6:$P$184,7, FALSE)/100,AE433)</f>
        <v>6.6886666666666664E-2</v>
      </c>
      <c r="AF432" s="99">
        <f t="shared" si="19"/>
        <v>5.9882567815264749E-2</v>
      </c>
      <c r="AG432" s="99">
        <f t="shared" si="20"/>
        <v>3.7527713326767534E-2</v>
      </c>
      <c r="AH432" s="10" t="str">
        <f>IFERROR(VLOOKUP(B432,'Pre-Summary'!$AZ$6:$BE$65,3,FALSE),"")</f>
        <v/>
      </c>
      <c r="AI432" s="10" t="str">
        <f>IFERROR(VLOOKUP(B432,'Pre-Summary'!$AZ$6:$BE$65,5,FALSE),"")</f>
        <v/>
      </c>
      <c r="AJ432" s="10" t="str">
        <f>IFERROR(VLOOKUP(B432,'Pre-Summary'!$AZ$6:$BE$65,4,FALSE),"")</f>
        <v/>
      </c>
      <c r="AK432" s="10" t="str">
        <f>IFERROR(VLOOKUP(B432,'Pre-Summary'!$AZ$6:$BE$65,6,FALSE),"")</f>
        <v/>
      </c>
      <c r="AL432" s="10" t="str">
        <f>IFERROR(VLOOKUP(B432,'Pre-Summary'!$BG$6:$BL$44,3,FALSE),"")</f>
        <v/>
      </c>
      <c r="AM432" s="10" t="str">
        <f>IFERROR(VLOOKUP(B432,'Pre-Summary'!$BG$6:$BL$44,4,FALSE),"")</f>
        <v/>
      </c>
    </row>
    <row r="433" spans="2:39" ht="15" customHeight="1" x14ac:dyDescent="0.3">
      <c r="B433">
        <v>43</v>
      </c>
      <c r="C433" t="str">
        <f>IFERROR(VLOOKUP(B433,'Pre-Summary'!$DI$6:$DM$23,4,FALSE),"")</f>
        <v/>
      </c>
      <c r="D433" s="10" t="str">
        <f>IFERROR(VLOOKUP(B433,'Pre-Summary'!$AT$6:$AX$14,5,FALSE),D432)</f>
        <v>DSMZ v2: Dropped Na-Ac out of DSMZ 120 media</v>
      </c>
      <c r="E433" s="10" t="str">
        <f>IFERROR(VLOOKUP(B433,'Pre-Summary'!$AT$6:$AX$15,4,FALSE),"")</f>
        <v/>
      </c>
      <c r="F433">
        <f>IFERROR(VLOOKUP(B433,'Pre-Summary'!$AL$6:$AQ$13,6,FALSE),F432)</f>
        <v>5.9405263157894746E-2</v>
      </c>
      <c r="G433" t="str">
        <f>IFERROR(VLOOKUP(B433,'Pre-Summary'!$AE$6:$AJ$85,3,FALSE),"")</f>
        <v/>
      </c>
      <c r="H433" t="str">
        <f>IFERROR(VLOOKUP(B433,'Pre-Summary'!$AE$6:$AJ$85,4,FALSE),"")</f>
        <v/>
      </c>
      <c r="I433" t="str">
        <f>IFERROR(VLOOKUP(B433,'Pre-Summary'!$AE$6:$AJ$85,5,FALSE),"")</f>
        <v/>
      </c>
      <c r="J433" s="45" t="str">
        <f>IFERROR(VLOOKUP(B433,'Pre-Summary'!$AE$6:$AJ$85,6, FALSE),"")</f>
        <v/>
      </c>
      <c r="K433" s="45" t="str">
        <f>IFERROR(VLOOKUP(B433,'Pre-Summary'!$DE$6:$DG$61,3,FALSE),"")</f>
        <v/>
      </c>
      <c r="L433" s="45" t="str">
        <f>IFERROR(VLOOKUP(B433,'Pre-Summary'!$CU$6:$CW$36,3,FALSE),"")</f>
        <v/>
      </c>
      <c r="M433" s="45" t="str">
        <f>IFERROR(VLOOKUP(B433,'Pre-Summary'!$BW$6:$BY$58,2,FALSE),"")</f>
        <v/>
      </c>
      <c r="N433" s="45" t="str">
        <f>IFERROR(VLOOKUP(B433,'Pre-Summary'!$CD$6:$CF$64,2,FALSE),"")</f>
        <v/>
      </c>
      <c r="O433" s="99">
        <f>IFERROR(VLOOKUP(B433,'Pre-Summary'!$BO$6:$BQ$48,3, FALSE),O432)</f>
        <v>1.0915248032216731</v>
      </c>
      <c r="P433" s="99">
        <f>IFERROR(VLOOKUP(B433,'Pre-Summary'!$BS$6:$BU$35,3,FALSE),P432)</f>
        <v>0.25</v>
      </c>
      <c r="Q433" s="54">
        <f t="shared" si="18"/>
        <v>4.3660992128866924</v>
      </c>
      <c r="R433" s="53">
        <f>IFERROR(VLOOKUP(B433,'Pre-Summary'!$BG$6:$BM$44,7,FALSE),R434)</f>
        <v>7.5915763918363535E-2</v>
      </c>
      <c r="S433" s="53">
        <f>IFERROR(VLOOKUP(B433,'Pre-Summary'!$BG$6:$BM$44,6,FALSE),S434)</f>
        <v>5.2897473997019086E-2</v>
      </c>
      <c r="T433" s="45" t="str">
        <f>IFERROR(VLOOKUP(B433,'Pre-Summary'!$Y$6:$AC$83, 3,FALSE),"")</f>
        <v/>
      </c>
      <c r="U433" s="45" t="str">
        <f>IFERROR(VLOOKUP(B433,'Pre-Summary'!$Y$6:$AC$83, 4,FALSE),"")</f>
        <v/>
      </c>
      <c r="V433" t="str">
        <f>IFERROR(VLOOKUP(B433,'Pre-Summary'!$Y$6:$AC$83, 5,FALSE),"")</f>
        <v/>
      </c>
      <c r="W433" s="45" t="str">
        <f>IFERROR(VLOOKUP(B433,'Pre-Summary'!$Y$6:$AD$83,6,FALSE),"")</f>
        <v/>
      </c>
      <c r="X433" t="str">
        <f>IFERROR(VLOOKUP('Pre-Summary'!$DB$6:$DD$63,3,FALSE),"")</f>
        <v/>
      </c>
      <c r="Y433" t="str">
        <f>IFERROR(VLOOKUP(B433,'Pre-Summary'!$CR$6:$CT$36,3,FALSE),"")</f>
        <v/>
      </c>
      <c r="Z433" s="45" t="str">
        <f>IFERROR(VLOOKUP(B433,'Pre-Summary'!$BZ$6:$CB$63,2,FALSE),"")</f>
        <v/>
      </c>
      <c r="AA433" s="45" t="str">
        <f>IFERROR(VLOOKUP(B433,'Pre-Summary'!$CG$6:$CI$70,2,FALSE),"")</f>
        <v/>
      </c>
      <c r="AB433" s="99">
        <f>IFERROR(VLOOKUP(B433,'Pre-Summary'!$A$6:$P$178,9,FALSE),AB434)</f>
        <v>0.56106418808084624</v>
      </c>
      <c r="AC433" s="10">
        <f>IFERROR(VLOOKUP(Summary!B433,'Pre-Summary'!$A$6:$P$184,5, FALSE)/100,AC434)</f>
        <v>0.82638299999999998</v>
      </c>
      <c r="AD433" s="10">
        <f>IFERROR(VLOOKUP(Summary!B433,'Pre-Summary'!$A$6:$P$184,3, FALSE)/100,AD434)</f>
        <v>0.10673033333333334</v>
      </c>
      <c r="AE433" s="10">
        <f>IFERROR(VLOOKUP(Summary!B433,'Pre-Summary'!$A$6:$P$184,7, FALSE)/100,AE434)</f>
        <v>6.6886666666666664E-2</v>
      </c>
      <c r="AF433" s="99">
        <f t="shared" si="19"/>
        <v>5.9882567815264749E-2</v>
      </c>
      <c r="AG433" s="99">
        <f t="shared" si="20"/>
        <v>3.7527713326767534E-2</v>
      </c>
      <c r="AH433" s="10" t="str">
        <f>IFERROR(VLOOKUP(B433,'Pre-Summary'!$AZ$6:$BE$65,3,FALSE),"")</f>
        <v/>
      </c>
      <c r="AI433" s="10" t="str">
        <f>IFERROR(VLOOKUP(B433,'Pre-Summary'!$AZ$6:$BE$65,5,FALSE),"")</f>
        <v/>
      </c>
      <c r="AJ433" s="10" t="str">
        <f>IFERROR(VLOOKUP(B433,'Pre-Summary'!$AZ$6:$BE$65,4,FALSE),"")</f>
        <v/>
      </c>
      <c r="AK433" s="10" t="str">
        <f>IFERROR(VLOOKUP(B433,'Pre-Summary'!$AZ$6:$BE$65,6,FALSE),"")</f>
        <v/>
      </c>
      <c r="AL433" s="10" t="str">
        <f>IFERROR(VLOOKUP(B433,'Pre-Summary'!$BG$6:$BL$44,3,FALSE),"")</f>
        <v/>
      </c>
      <c r="AM433" s="10" t="str">
        <f>IFERROR(VLOOKUP(B433,'Pre-Summary'!$BG$6:$BL$44,4,FALSE),"")</f>
        <v/>
      </c>
    </row>
    <row r="434" spans="2:39" ht="15" customHeight="1" x14ac:dyDescent="0.3">
      <c r="B434">
        <v>43.1</v>
      </c>
      <c r="C434" t="str">
        <f>IFERROR(VLOOKUP(B434,'Pre-Summary'!$DI$6:$DM$23,4,FALSE),"")</f>
        <v/>
      </c>
      <c r="D434" s="10" t="str">
        <f>IFERROR(VLOOKUP(B434,'Pre-Summary'!$AT$6:$AX$14,5,FALSE),D433)</f>
        <v>DSMZ v2: Dropped Na-Ac out of DSMZ 120 media</v>
      </c>
      <c r="E434" s="10" t="str">
        <f>IFERROR(VLOOKUP(B434,'Pre-Summary'!$AT$6:$AX$15,4,FALSE),"")</f>
        <v/>
      </c>
      <c r="F434">
        <f>IFERROR(VLOOKUP(B434,'Pre-Summary'!$AL$6:$AQ$13,6,FALSE),F433)</f>
        <v>5.9405263157894746E-2</v>
      </c>
      <c r="G434" t="str">
        <f>IFERROR(VLOOKUP(B434,'Pre-Summary'!$AE$6:$AJ$85,3,FALSE),"")</f>
        <v/>
      </c>
      <c r="H434" t="str">
        <f>IFERROR(VLOOKUP(B434,'Pre-Summary'!$AE$6:$AJ$85,4,FALSE),"")</f>
        <v/>
      </c>
      <c r="I434" t="str">
        <f>IFERROR(VLOOKUP(B434,'Pre-Summary'!$AE$6:$AJ$85,5,FALSE),"")</f>
        <v/>
      </c>
      <c r="J434" s="45" t="str">
        <f>IFERROR(VLOOKUP(B434,'Pre-Summary'!$AE$6:$AJ$85,6, FALSE),"")</f>
        <v/>
      </c>
      <c r="K434" s="45" t="str">
        <f>IFERROR(VLOOKUP(B434,'Pre-Summary'!$DE$6:$DG$61,3,FALSE),"")</f>
        <v/>
      </c>
      <c r="L434" s="45" t="str">
        <f>IFERROR(VLOOKUP(B434,'Pre-Summary'!$CU$6:$CW$36,3,FALSE),"")</f>
        <v/>
      </c>
      <c r="M434" s="45" t="str">
        <f>IFERROR(VLOOKUP(B434,'Pre-Summary'!$BW$6:$BY$58,2,FALSE),"")</f>
        <v/>
      </c>
      <c r="N434" s="45" t="str">
        <f>IFERROR(VLOOKUP(B434,'Pre-Summary'!$CD$6:$CF$64,2,FALSE),"")</f>
        <v/>
      </c>
      <c r="O434" s="99">
        <f>IFERROR(VLOOKUP(B434,'Pre-Summary'!$BO$6:$BQ$48,3, FALSE),O433)</f>
        <v>1.0915248032216731</v>
      </c>
      <c r="P434" s="99">
        <f>IFERROR(VLOOKUP(B434,'Pre-Summary'!$BS$6:$BU$35,3,FALSE),P433)</f>
        <v>0.25</v>
      </c>
      <c r="Q434" s="54">
        <f t="shared" si="18"/>
        <v>4.3660992128866924</v>
      </c>
      <c r="R434" s="53">
        <f>IFERROR(VLOOKUP(B434,'Pre-Summary'!$BG$6:$BM$44,7,FALSE),R435)</f>
        <v>7.5915763918363535E-2</v>
      </c>
      <c r="S434" s="53">
        <f>IFERROR(VLOOKUP(B434,'Pre-Summary'!$BG$6:$BM$44,6,FALSE),S435)</f>
        <v>5.2897473997019086E-2</v>
      </c>
      <c r="T434" s="45" t="str">
        <f>IFERROR(VLOOKUP(B434,'Pre-Summary'!$Y$6:$AC$83, 3,FALSE),"")</f>
        <v/>
      </c>
      <c r="U434" s="45" t="str">
        <f>IFERROR(VLOOKUP(B434,'Pre-Summary'!$Y$6:$AC$83, 4,FALSE),"")</f>
        <v/>
      </c>
      <c r="V434" t="str">
        <f>IFERROR(VLOOKUP(B434,'Pre-Summary'!$Y$6:$AC$83, 5,FALSE),"")</f>
        <v/>
      </c>
      <c r="W434" s="45" t="str">
        <f>IFERROR(VLOOKUP(B434,'Pre-Summary'!$Y$6:$AD$83,6,FALSE),"")</f>
        <v/>
      </c>
      <c r="X434" t="str">
        <f>IFERROR(VLOOKUP('Pre-Summary'!$DB$6:$DD$63,3,FALSE),"")</f>
        <v/>
      </c>
      <c r="Y434" t="str">
        <f>IFERROR(VLOOKUP(B434,'Pre-Summary'!$CR$6:$CT$36,3,FALSE),"")</f>
        <v/>
      </c>
      <c r="Z434" s="45" t="str">
        <f>IFERROR(VLOOKUP(B434,'Pre-Summary'!$BZ$6:$CB$63,2,FALSE),"")</f>
        <v/>
      </c>
      <c r="AA434" s="45" t="str">
        <f>IFERROR(VLOOKUP(B434,'Pre-Summary'!$CG$6:$CI$70,2,FALSE),"")</f>
        <v/>
      </c>
      <c r="AB434" s="99">
        <f>IFERROR(VLOOKUP(B434,'Pre-Summary'!$A$6:$P$178,9,FALSE),AB435)</f>
        <v>0.56106418808084624</v>
      </c>
      <c r="AC434" s="10">
        <f>IFERROR(VLOOKUP(Summary!B434,'Pre-Summary'!$A$6:$P$184,5, FALSE)/100,AC435)</f>
        <v>0.82638299999999998</v>
      </c>
      <c r="AD434" s="10">
        <f>IFERROR(VLOOKUP(Summary!B434,'Pre-Summary'!$A$6:$P$184,3, FALSE)/100,AD435)</f>
        <v>0.10673033333333334</v>
      </c>
      <c r="AE434" s="10">
        <f>IFERROR(VLOOKUP(Summary!B434,'Pre-Summary'!$A$6:$P$184,7, FALSE)/100,AE435)</f>
        <v>6.6886666666666664E-2</v>
      </c>
      <c r="AF434" s="99">
        <f t="shared" si="19"/>
        <v>5.9882567815264749E-2</v>
      </c>
      <c r="AG434" s="99">
        <f t="shared" si="20"/>
        <v>3.7527713326767534E-2</v>
      </c>
      <c r="AH434" s="10" t="str">
        <f>IFERROR(VLOOKUP(B434,'Pre-Summary'!$AZ$6:$BE$65,3,FALSE),"")</f>
        <v/>
      </c>
      <c r="AI434" s="10" t="str">
        <f>IFERROR(VLOOKUP(B434,'Pre-Summary'!$AZ$6:$BE$65,5,FALSE),"")</f>
        <v/>
      </c>
      <c r="AJ434" s="10" t="str">
        <f>IFERROR(VLOOKUP(B434,'Pre-Summary'!$AZ$6:$BE$65,4,FALSE),"")</f>
        <v/>
      </c>
      <c r="AK434" s="10" t="str">
        <f>IFERROR(VLOOKUP(B434,'Pre-Summary'!$AZ$6:$BE$65,6,FALSE),"")</f>
        <v/>
      </c>
      <c r="AL434" s="10" t="str">
        <f>IFERROR(VLOOKUP(B434,'Pre-Summary'!$BG$6:$BL$44,3,FALSE),"")</f>
        <v/>
      </c>
      <c r="AM434" s="10" t="str">
        <f>IFERROR(VLOOKUP(B434,'Pre-Summary'!$BG$6:$BL$44,4,FALSE),"")</f>
        <v/>
      </c>
    </row>
    <row r="435" spans="2:39" ht="15" customHeight="1" x14ac:dyDescent="0.3">
      <c r="B435">
        <v>43.2</v>
      </c>
      <c r="C435" t="str">
        <f>IFERROR(VLOOKUP(B435,'Pre-Summary'!$DI$6:$DM$23,4,FALSE),"")</f>
        <v/>
      </c>
      <c r="D435" s="10" t="str">
        <f>IFERROR(VLOOKUP(B435,'Pre-Summary'!$AT$6:$AX$14,5,FALSE),D434)</f>
        <v>DSMZ v2: Dropped Na-Ac out of DSMZ 120 media</v>
      </c>
      <c r="E435" s="10" t="str">
        <f>IFERROR(VLOOKUP(B435,'Pre-Summary'!$AT$6:$AX$15,4,FALSE),"")</f>
        <v/>
      </c>
      <c r="F435">
        <f>IFERROR(VLOOKUP(B435,'Pre-Summary'!$AL$6:$AQ$13,6,FALSE),F434)</f>
        <v>5.9405263157894746E-2</v>
      </c>
      <c r="G435" t="str">
        <f>IFERROR(VLOOKUP(B435,'Pre-Summary'!$AE$6:$AJ$85,3,FALSE),"")</f>
        <v/>
      </c>
      <c r="H435" t="str">
        <f>IFERROR(VLOOKUP(B435,'Pre-Summary'!$AE$6:$AJ$85,4,FALSE),"")</f>
        <v/>
      </c>
      <c r="I435" t="str">
        <f>IFERROR(VLOOKUP(B435,'Pre-Summary'!$AE$6:$AJ$85,5,FALSE),"")</f>
        <v/>
      </c>
      <c r="J435" s="45" t="str">
        <f>IFERROR(VLOOKUP(B435,'Pre-Summary'!$AE$6:$AJ$85,6, FALSE),"")</f>
        <v/>
      </c>
      <c r="K435" s="45" t="str">
        <f>IFERROR(VLOOKUP(B435,'Pre-Summary'!$DE$6:$DG$61,3,FALSE),"")</f>
        <v/>
      </c>
      <c r="L435" s="45" t="str">
        <f>IFERROR(VLOOKUP(B435,'Pre-Summary'!$CU$6:$CW$36,3,FALSE),"")</f>
        <v/>
      </c>
      <c r="M435" s="45" t="str">
        <f>IFERROR(VLOOKUP(B435,'Pre-Summary'!$BW$6:$BY$58,2,FALSE),"")</f>
        <v/>
      </c>
      <c r="N435" s="45" t="str">
        <f>IFERROR(VLOOKUP(B435,'Pre-Summary'!$CD$6:$CF$64,2,FALSE),"")</f>
        <v/>
      </c>
      <c r="O435" s="99">
        <f>IFERROR(VLOOKUP(B435,'Pre-Summary'!$BO$6:$BQ$48,3, FALSE),O434)</f>
        <v>1.0915248032216731</v>
      </c>
      <c r="P435" s="99">
        <f>IFERROR(VLOOKUP(B435,'Pre-Summary'!$BS$6:$BU$35,3,FALSE),P434)</f>
        <v>0.25</v>
      </c>
      <c r="Q435" s="54">
        <f t="shared" si="18"/>
        <v>4.3660992128866924</v>
      </c>
      <c r="R435" s="53">
        <f>IFERROR(VLOOKUP(B435,'Pre-Summary'!$BG$6:$BM$44,7,FALSE),R436)</f>
        <v>7.5915763918363535E-2</v>
      </c>
      <c r="S435" s="53">
        <f>IFERROR(VLOOKUP(B435,'Pre-Summary'!$BG$6:$BM$44,6,FALSE),S436)</f>
        <v>5.2897473997019086E-2</v>
      </c>
      <c r="T435" s="45" t="str">
        <f>IFERROR(VLOOKUP(B435,'Pre-Summary'!$Y$6:$AC$83, 3,FALSE),"")</f>
        <v/>
      </c>
      <c r="U435" s="45" t="str">
        <f>IFERROR(VLOOKUP(B435,'Pre-Summary'!$Y$6:$AC$83, 4,FALSE),"")</f>
        <v/>
      </c>
      <c r="V435" t="str">
        <f>IFERROR(VLOOKUP(B435,'Pre-Summary'!$Y$6:$AC$83, 5,FALSE),"")</f>
        <v/>
      </c>
      <c r="W435" s="45" t="str">
        <f>IFERROR(VLOOKUP(B435,'Pre-Summary'!$Y$6:$AD$83,6,FALSE),"")</f>
        <v/>
      </c>
      <c r="X435" t="str">
        <f>IFERROR(VLOOKUP('Pre-Summary'!$DB$6:$DD$63,3,FALSE),"")</f>
        <v/>
      </c>
      <c r="Y435" t="str">
        <f>IFERROR(VLOOKUP(B435,'Pre-Summary'!$CR$6:$CT$36,3,FALSE),"")</f>
        <v/>
      </c>
      <c r="Z435" s="45" t="str">
        <f>IFERROR(VLOOKUP(B435,'Pre-Summary'!$BZ$6:$CB$63,2,FALSE),"")</f>
        <v/>
      </c>
      <c r="AA435" s="45" t="str">
        <f>IFERROR(VLOOKUP(B435,'Pre-Summary'!$CG$6:$CI$70,2,FALSE),"")</f>
        <v/>
      </c>
      <c r="AB435" s="99">
        <f>IFERROR(VLOOKUP(B435,'Pre-Summary'!$A$6:$P$178,9,FALSE),AB436)</f>
        <v>0.56106418808084624</v>
      </c>
      <c r="AC435" s="10">
        <f>IFERROR(VLOOKUP(Summary!B435,'Pre-Summary'!$A$6:$P$184,5, FALSE)/100,AC436)</f>
        <v>0.82638299999999998</v>
      </c>
      <c r="AD435" s="10">
        <f>IFERROR(VLOOKUP(Summary!B435,'Pre-Summary'!$A$6:$P$184,3, FALSE)/100,AD436)</f>
        <v>0.10673033333333334</v>
      </c>
      <c r="AE435" s="10">
        <f>IFERROR(VLOOKUP(Summary!B435,'Pre-Summary'!$A$6:$P$184,7, FALSE)/100,AE436)</f>
        <v>6.6886666666666664E-2</v>
      </c>
      <c r="AF435" s="99">
        <f t="shared" si="19"/>
        <v>5.9882567815264749E-2</v>
      </c>
      <c r="AG435" s="99">
        <f t="shared" si="20"/>
        <v>3.7527713326767534E-2</v>
      </c>
      <c r="AH435" s="10" t="str">
        <f>IFERROR(VLOOKUP(B435,'Pre-Summary'!$AZ$6:$BE$65,3,FALSE),"")</f>
        <v/>
      </c>
      <c r="AI435" s="10" t="str">
        <f>IFERROR(VLOOKUP(B435,'Pre-Summary'!$AZ$6:$BE$65,5,FALSE),"")</f>
        <v/>
      </c>
      <c r="AJ435" s="10" t="str">
        <f>IFERROR(VLOOKUP(B435,'Pre-Summary'!$AZ$6:$BE$65,4,FALSE),"")</f>
        <v/>
      </c>
      <c r="AK435" s="10" t="str">
        <f>IFERROR(VLOOKUP(B435,'Pre-Summary'!$AZ$6:$BE$65,6,FALSE),"")</f>
        <v/>
      </c>
      <c r="AL435" s="10" t="str">
        <f>IFERROR(VLOOKUP(B435,'Pre-Summary'!$BG$6:$BL$44,3,FALSE),"")</f>
        <v/>
      </c>
      <c r="AM435" s="10" t="str">
        <f>IFERROR(VLOOKUP(B435,'Pre-Summary'!$BG$6:$BL$44,4,FALSE),"")</f>
        <v/>
      </c>
    </row>
    <row r="436" spans="2:39" ht="15" customHeight="1" x14ac:dyDescent="0.3">
      <c r="B436">
        <v>43.3</v>
      </c>
      <c r="C436" t="str">
        <f>IFERROR(VLOOKUP(B436,'Pre-Summary'!$DI$6:$DM$23,4,FALSE),"")</f>
        <v/>
      </c>
      <c r="D436" s="10" t="str">
        <f>IFERROR(VLOOKUP(B436,'Pre-Summary'!$AT$6:$AX$14,5,FALSE),D435)</f>
        <v>DSMZ v2: Dropped Na-Ac out of DSMZ 120 media</v>
      </c>
      <c r="E436" s="10" t="str">
        <f>IFERROR(VLOOKUP(B436,'Pre-Summary'!$AT$6:$AX$15,4,FALSE),"")</f>
        <v/>
      </c>
      <c r="F436">
        <f>IFERROR(VLOOKUP(B436,'Pre-Summary'!$AL$6:$AQ$13,6,FALSE),F435)</f>
        <v>5.9405263157894746E-2</v>
      </c>
      <c r="G436" t="str">
        <f>IFERROR(VLOOKUP(B436,'Pre-Summary'!$AE$6:$AJ$85,3,FALSE),"")</f>
        <v/>
      </c>
      <c r="H436" t="str">
        <f>IFERROR(VLOOKUP(B436,'Pre-Summary'!$AE$6:$AJ$85,4,FALSE),"")</f>
        <v/>
      </c>
      <c r="I436" t="str">
        <f>IFERROR(VLOOKUP(B436,'Pre-Summary'!$AE$6:$AJ$85,5,FALSE),"")</f>
        <v/>
      </c>
      <c r="J436" s="45" t="str">
        <f>IFERROR(VLOOKUP(B436,'Pre-Summary'!$AE$6:$AJ$85,6, FALSE),"")</f>
        <v/>
      </c>
      <c r="K436" s="45" t="str">
        <f>IFERROR(VLOOKUP(B436,'Pre-Summary'!$DE$6:$DG$61,3,FALSE),"")</f>
        <v/>
      </c>
      <c r="L436" s="45" t="str">
        <f>IFERROR(VLOOKUP(B436,'Pre-Summary'!$CU$6:$CW$36,3,FALSE),"")</f>
        <v/>
      </c>
      <c r="M436" s="45" t="str">
        <f>IFERROR(VLOOKUP(B436,'Pre-Summary'!$BW$6:$BY$58,2,FALSE),"")</f>
        <v/>
      </c>
      <c r="N436" s="45" t="str">
        <f>IFERROR(VLOOKUP(B436,'Pre-Summary'!$CD$6:$CF$64,2,FALSE),"")</f>
        <v/>
      </c>
      <c r="O436" s="99">
        <f>IFERROR(VLOOKUP(B436,'Pre-Summary'!$BO$6:$BQ$48,3, FALSE),O435)</f>
        <v>1.0915248032216731</v>
      </c>
      <c r="P436" s="99">
        <f>IFERROR(VLOOKUP(B436,'Pre-Summary'!$BS$6:$BU$35,3,FALSE),P435)</f>
        <v>0.25</v>
      </c>
      <c r="Q436" s="54">
        <f t="shared" si="18"/>
        <v>4.3660992128866924</v>
      </c>
      <c r="R436" s="53">
        <f>IFERROR(VLOOKUP(B436,'Pre-Summary'!$BG$6:$BM$44,7,FALSE),R437)</f>
        <v>7.5915763918363535E-2</v>
      </c>
      <c r="S436" s="53">
        <f>IFERROR(VLOOKUP(B436,'Pre-Summary'!$BG$6:$BM$44,6,FALSE),S437)</f>
        <v>5.2897473997019086E-2</v>
      </c>
      <c r="T436" s="45" t="str">
        <f>IFERROR(VLOOKUP(B436,'Pre-Summary'!$Y$6:$AC$83, 3,FALSE),"")</f>
        <v/>
      </c>
      <c r="U436" s="45" t="str">
        <f>IFERROR(VLOOKUP(B436,'Pre-Summary'!$Y$6:$AC$83, 4,FALSE),"")</f>
        <v/>
      </c>
      <c r="V436" t="str">
        <f>IFERROR(VLOOKUP(B436,'Pre-Summary'!$Y$6:$AC$83, 5,FALSE),"")</f>
        <v/>
      </c>
      <c r="W436" s="45" t="str">
        <f>IFERROR(VLOOKUP(B436,'Pre-Summary'!$Y$6:$AD$83,6,FALSE),"")</f>
        <v/>
      </c>
      <c r="X436" t="str">
        <f>IFERROR(VLOOKUP('Pre-Summary'!$DB$6:$DD$63,3,FALSE),"")</f>
        <v/>
      </c>
      <c r="Y436" t="str">
        <f>IFERROR(VLOOKUP(B436,'Pre-Summary'!$CR$6:$CT$36,3,FALSE),"")</f>
        <v/>
      </c>
      <c r="Z436" s="45" t="str">
        <f>IFERROR(VLOOKUP(B436,'Pre-Summary'!$BZ$6:$CB$63,2,FALSE),"")</f>
        <v/>
      </c>
      <c r="AA436" s="45" t="str">
        <f>IFERROR(VLOOKUP(B436,'Pre-Summary'!$CG$6:$CI$70,2,FALSE),"")</f>
        <v/>
      </c>
      <c r="AB436" s="99">
        <f>IFERROR(VLOOKUP(B436,'Pre-Summary'!$A$6:$P$178,9,FALSE),AB437)</f>
        <v>0.54933613431406059</v>
      </c>
      <c r="AC436" s="10">
        <f>IFERROR(VLOOKUP(Summary!B436,'Pre-Summary'!$A$6:$P$184,5, FALSE)/100,AC437)</f>
        <v>0.50395600000000007</v>
      </c>
      <c r="AD436" s="10">
        <f>IFERROR(VLOOKUP(Summary!B436,'Pre-Summary'!$A$6:$P$184,3, FALSE)/100,AD437)</f>
        <v>0.48541899999999999</v>
      </c>
      <c r="AE436" s="10">
        <f>IFERROR(VLOOKUP(Summary!B436,'Pre-Summary'!$A$6:$P$184,7, FALSE)/100,AE437)</f>
        <v>1.0624666666666666E-2</v>
      </c>
      <c r="AF436" s="99">
        <f t="shared" si="19"/>
        <v>0.26665819698259696</v>
      </c>
      <c r="AG436" s="99">
        <f t="shared" si="20"/>
        <v>5.8365133150421224E-3</v>
      </c>
      <c r="AH436" s="10" t="str">
        <f>IFERROR(VLOOKUP(B436,'Pre-Summary'!$AZ$6:$BE$65,3,FALSE),"")</f>
        <v/>
      </c>
      <c r="AI436" s="10" t="str">
        <f>IFERROR(VLOOKUP(B436,'Pre-Summary'!$AZ$6:$BE$65,5,FALSE),"")</f>
        <v/>
      </c>
      <c r="AJ436" s="10" t="str">
        <f>IFERROR(VLOOKUP(B436,'Pre-Summary'!$AZ$6:$BE$65,4,FALSE),"")</f>
        <v/>
      </c>
      <c r="AK436" s="10" t="str">
        <f>IFERROR(VLOOKUP(B436,'Pre-Summary'!$AZ$6:$BE$65,6,FALSE),"")</f>
        <v/>
      </c>
      <c r="AL436" s="10" t="str">
        <f>IFERROR(VLOOKUP(B436,'Pre-Summary'!$BG$6:$BL$44,3,FALSE),"")</f>
        <v/>
      </c>
      <c r="AM436" s="10" t="str">
        <f>IFERROR(VLOOKUP(B436,'Pre-Summary'!$BG$6:$BL$44,4,FALSE),"")</f>
        <v/>
      </c>
    </row>
    <row r="437" spans="2:39" ht="15" customHeight="1" x14ac:dyDescent="0.3">
      <c r="B437">
        <v>43.4</v>
      </c>
      <c r="C437" t="str">
        <f>IFERROR(VLOOKUP(B437,'Pre-Summary'!$DI$6:$DM$23,4,FALSE),"")</f>
        <v/>
      </c>
      <c r="D437" s="10" t="str">
        <f>IFERROR(VLOOKUP(B437,'Pre-Summary'!$AT$6:$AX$14,5,FALSE),D436)</f>
        <v>DSMZ v2: Dropped Na-Ac out of DSMZ 120 media</v>
      </c>
      <c r="E437" s="10" t="str">
        <f>IFERROR(VLOOKUP(B437,'Pre-Summary'!$AT$6:$AX$15,4,FALSE),"")</f>
        <v/>
      </c>
      <c r="F437">
        <f>IFERROR(VLOOKUP(B437,'Pre-Summary'!$AL$6:$AQ$13,6,FALSE),F436)</f>
        <v>5.9405263157894746E-2</v>
      </c>
      <c r="G437" t="str">
        <f>IFERROR(VLOOKUP(B437,'Pre-Summary'!$AE$6:$AJ$85,3,FALSE),"")</f>
        <v/>
      </c>
      <c r="H437" t="str">
        <f>IFERROR(VLOOKUP(B437,'Pre-Summary'!$AE$6:$AJ$85,4,FALSE),"")</f>
        <v/>
      </c>
      <c r="I437" t="str">
        <f>IFERROR(VLOOKUP(B437,'Pre-Summary'!$AE$6:$AJ$85,5,FALSE),"")</f>
        <v/>
      </c>
      <c r="J437" s="45" t="str">
        <f>IFERROR(VLOOKUP(B437,'Pre-Summary'!$AE$6:$AJ$85,6, FALSE),"")</f>
        <v/>
      </c>
      <c r="K437" s="45" t="str">
        <f>IFERROR(VLOOKUP(B437,'Pre-Summary'!$DE$6:$DG$61,3,FALSE),"")</f>
        <v/>
      </c>
      <c r="L437" s="45" t="str">
        <f>IFERROR(VLOOKUP(B437,'Pre-Summary'!$CU$6:$CW$36,3,FALSE),"")</f>
        <v/>
      </c>
      <c r="M437" s="45" t="str">
        <f>IFERROR(VLOOKUP(B437,'Pre-Summary'!$BW$6:$BY$58,2,FALSE),"")</f>
        <v/>
      </c>
      <c r="N437" s="45" t="str">
        <f>IFERROR(VLOOKUP(B437,'Pre-Summary'!$CD$6:$CF$64,2,FALSE),"")</f>
        <v/>
      </c>
      <c r="O437" s="99">
        <f>IFERROR(VLOOKUP(B437,'Pre-Summary'!$BO$6:$BQ$48,3, FALSE),O436)</f>
        <v>1.0915248032216731</v>
      </c>
      <c r="P437" s="99">
        <f>IFERROR(VLOOKUP(B437,'Pre-Summary'!$BS$6:$BU$35,3,FALSE),P436)</f>
        <v>0.25</v>
      </c>
      <c r="Q437" s="54">
        <f t="shared" si="18"/>
        <v>4.3660992128866924</v>
      </c>
      <c r="R437" s="53">
        <f>IFERROR(VLOOKUP(B437,'Pre-Summary'!$BG$6:$BM$44,7,FALSE),R438)</f>
        <v>7.5915763918363535E-2</v>
      </c>
      <c r="S437" s="53">
        <f>IFERROR(VLOOKUP(B437,'Pre-Summary'!$BG$6:$BM$44,6,FALSE),S438)</f>
        <v>5.2897473997019086E-2</v>
      </c>
      <c r="T437" s="45" t="str">
        <f>IFERROR(VLOOKUP(B437,'Pre-Summary'!$Y$6:$AC$83, 3,FALSE),"")</f>
        <v/>
      </c>
      <c r="U437" s="45" t="str">
        <f>IFERROR(VLOOKUP(B437,'Pre-Summary'!$Y$6:$AC$83, 4,FALSE),"")</f>
        <v/>
      </c>
      <c r="V437" t="str">
        <f>IFERROR(VLOOKUP(B437,'Pre-Summary'!$Y$6:$AC$83, 5,FALSE),"")</f>
        <v/>
      </c>
      <c r="W437" s="45" t="str">
        <f>IFERROR(VLOOKUP(B437,'Pre-Summary'!$Y$6:$AD$83,6,FALSE),"")</f>
        <v/>
      </c>
      <c r="X437" t="str">
        <f>IFERROR(VLOOKUP('Pre-Summary'!$DB$6:$DD$63,3,FALSE),"")</f>
        <v/>
      </c>
      <c r="Y437" t="str">
        <f>IFERROR(VLOOKUP(B437,'Pre-Summary'!$CR$6:$CT$36,3,FALSE),"")</f>
        <v/>
      </c>
      <c r="Z437" s="45" t="str">
        <f>IFERROR(VLOOKUP(B437,'Pre-Summary'!$BZ$6:$CB$63,2,FALSE),"")</f>
        <v/>
      </c>
      <c r="AA437" s="45" t="str">
        <f>IFERROR(VLOOKUP(B437,'Pre-Summary'!$CG$6:$CI$70,2,FALSE),"")</f>
        <v/>
      </c>
      <c r="AB437" s="99">
        <f>IFERROR(VLOOKUP(B437,'Pre-Summary'!$A$6:$P$178,9,FALSE),AB438)</f>
        <v>0.54933613431406059</v>
      </c>
      <c r="AC437" s="10">
        <f>IFERROR(VLOOKUP(Summary!B437,'Pre-Summary'!$A$6:$P$184,5, FALSE)/100,AC438)</f>
        <v>0.50395600000000007</v>
      </c>
      <c r="AD437" s="10">
        <f>IFERROR(VLOOKUP(Summary!B437,'Pre-Summary'!$A$6:$P$184,3, FALSE)/100,AD438)</f>
        <v>0.48541899999999999</v>
      </c>
      <c r="AE437" s="10">
        <f>IFERROR(VLOOKUP(Summary!B437,'Pre-Summary'!$A$6:$P$184,7, FALSE)/100,AE438)</f>
        <v>1.0624666666666666E-2</v>
      </c>
      <c r="AF437" s="99">
        <f t="shared" si="19"/>
        <v>0.26665819698259696</v>
      </c>
      <c r="AG437" s="99">
        <f t="shared" si="20"/>
        <v>5.8365133150421224E-3</v>
      </c>
      <c r="AH437" s="10" t="str">
        <f>IFERROR(VLOOKUP(B437,'Pre-Summary'!$AZ$6:$BE$65,3,FALSE),"")</f>
        <v/>
      </c>
      <c r="AI437" s="10" t="str">
        <f>IFERROR(VLOOKUP(B437,'Pre-Summary'!$AZ$6:$BE$65,5,FALSE),"")</f>
        <v/>
      </c>
      <c r="AJ437" s="10" t="str">
        <f>IFERROR(VLOOKUP(B437,'Pre-Summary'!$AZ$6:$BE$65,4,FALSE),"")</f>
        <v/>
      </c>
      <c r="AK437" s="10" t="str">
        <f>IFERROR(VLOOKUP(B437,'Pre-Summary'!$AZ$6:$BE$65,6,FALSE),"")</f>
        <v/>
      </c>
      <c r="AL437" s="10" t="str">
        <f>IFERROR(VLOOKUP(B437,'Pre-Summary'!$BG$6:$BL$44,3,FALSE),"")</f>
        <v/>
      </c>
      <c r="AM437" s="10" t="str">
        <f>IFERROR(VLOOKUP(B437,'Pre-Summary'!$BG$6:$BL$44,4,FALSE),"")</f>
        <v/>
      </c>
    </row>
    <row r="438" spans="2:39" ht="15" customHeight="1" x14ac:dyDescent="0.3">
      <c r="B438">
        <v>43.5</v>
      </c>
      <c r="C438" t="str">
        <f>IFERROR(VLOOKUP(B438,'Pre-Summary'!$DI$6:$DM$23,4,FALSE),"")</f>
        <v/>
      </c>
      <c r="D438" s="10" t="str">
        <f>IFERROR(VLOOKUP(B438,'Pre-Summary'!$AT$6:$AX$14,5,FALSE),D437)</f>
        <v>DSMZ v2: Dropped Na-Ac out of DSMZ 120 media</v>
      </c>
      <c r="E438" s="10" t="str">
        <f>IFERROR(VLOOKUP(B438,'Pre-Summary'!$AT$6:$AX$15,4,FALSE),"")</f>
        <v/>
      </c>
      <c r="F438">
        <f>IFERROR(VLOOKUP(B438,'Pre-Summary'!$AL$6:$AQ$13,6,FALSE),F437)</f>
        <v>5.9405263157894746E-2</v>
      </c>
      <c r="G438" t="str">
        <f>IFERROR(VLOOKUP(B438,'Pre-Summary'!$AE$6:$AJ$85,3,FALSE),"")</f>
        <v/>
      </c>
      <c r="H438" t="str">
        <f>IFERROR(VLOOKUP(B438,'Pre-Summary'!$AE$6:$AJ$85,4,FALSE),"")</f>
        <v/>
      </c>
      <c r="I438" t="str">
        <f>IFERROR(VLOOKUP(B438,'Pre-Summary'!$AE$6:$AJ$85,5,FALSE),"")</f>
        <v/>
      </c>
      <c r="J438" s="45" t="str">
        <f>IFERROR(VLOOKUP(B438,'Pre-Summary'!$AE$6:$AJ$85,6, FALSE),"")</f>
        <v/>
      </c>
      <c r="K438" s="45" t="str">
        <f>IFERROR(VLOOKUP(B438,'Pre-Summary'!$DE$6:$DG$61,3,FALSE),"")</f>
        <v/>
      </c>
      <c r="L438" s="45" t="str">
        <f>IFERROR(VLOOKUP(B438,'Pre-Summary'!$CU$6:$CW$36,3,FALSE),"")</f>
        <v/>
      </c>
      <c r="M438" s="45" t="str">
        <f>IFERROR(VLOOKUP(B438,'Pre-Summary'!$BW$6:$BY$58,2,FALSE),"")</f>
        <v/>
      </c>
      <c r="N438" s="45" t="str">
        <f>IFERROR(VLOOKUP(B438,'Pre-Summary'!$CD$6:$CF$64,2,FALSE),"")</f>
        <v/>
      </c>
      <c r="O438" s="99">
        <f>IFERROR(VLOOKUP(B438,'Pre-Summary'!$BO$6:$BQ$48,3, FALSE),O437)</f>
        <v>1.0915248032216731</v>
      </c>
      <c r="P438" s="99">
        <f>IFERROR(VLOOKUP(B438,'Pre-Summary'!$BS$6:$BU$35,3,FALSE),P437)</f>
        <v>0.25</v>
      </c>
      <c r="Q438" s="54">
        <f t="shared" si="18"/>
        <v>4.3660992128866924</v>
      </c>
      <c r="R438" s="53">
        <f>IFERROR(VLOOKUP(B438,'Pre-Summary'!$BG$6:$BM$44,7,FALSE),R439)</f>
        <v>7.5915763918363535E-2</v>
      </c>
      <c r="S438" s="53">
        <f>IFERROR(VLOOKUP(B438,'Pre-Summary'!$BG$6:$BM$44,6,FALSE),S439)</f>
        <v>5.2897473997019086E-2</v>
      </c>
      <c r="T438" s="45">
        <f>IFERROR(VLOOKUP(B438,'Pre-Summary'!$Y$6:$AC$83, 3,FALSE),"")</f>
        <v>278.82666666666665</v>
      </c>
      <c r="U438" s="45" t="str">
        <f>IFERROR(VLOOKUP(B438,'Pre-Summary'!$Y$6:$AC$83, 4,FALSE),"")</f>
        <v/>
      </c>
      <c r="V438">
        <f>IFERROR(VLOOKUP(B438,'Pre-Summary'!$Y$6:$AC$83, 5,FALSE),"")</f>
        <v>0</v>
      </c>
      <c r="W438" s="45">
        <f>IFERROR(VLOOKUP(B438,'Pre-Summary'!$Y$6:$AD$83,6,FALSE),"")</f>
        <v>297.50805333333329</v>
      </c>
      <c r="X438" t="str">
        <f>IFERROR(VLOOKUP('Pre-Summary'!$DB$6:$DD$63,3,FALSE),"")</f>
        <v/>
      </c>
      <c r="Y438" t="str">
        <f>IFERROR(VLOOKUP(B438,'Pre-Summary'!$CR$6:$CT$36,3,FALSE),"")</f>
        <v/>
      </c>
      <c r="Z438" s="45">
        <f>IFERROR(VLOOKUP(B438,'Pre-Summary'!$BZ$6:$CB$63,2,FALSE),"")</f>
        <v>273.01711944777958</v>
      </c>
      <c r="AA438" s="45">
        <f>IFERROR(VLOOKUP(B438,'Pre-Summary'!$CG$6:$CI$70,2,FALSE),"")</f>
        <v>233.25331435106139</v>
      </c>
      <c r="AB438" s="99">
        <f>IFERROR(VLOOKUP(B438,'Pre-Summary'!$A$6:$P$178,9,FALSE),AB439)</f>
        <v>0.54933613431406059</v>
      </c>
      <c r="AC438" s="10">
        <f>IFERROR(VLOOKUP(Summary!B438,'Pre-Summary'!$A$6:$P$184,5, FALSE)/100,AC439)</f>
        <v>0.50395600000000007</v>
      </c>
      <c r="AD438" s="10">
        <f>IFERROR(VLOOKUP(Summary!B438,'Pre-Summary'!$A$6:$P$184,3, FALSE)/100,AD439)</f>
        <v>0.48541899999999999</v>
      </c>
      <c r="AE438" s="10">
        <f>IFERROR(VLOOKUP(Summary!B438,'Pre-Summary'!$A$6:$P$184,7, FALSE)/100,AE439)</f>
        <v>1.0624666666666666E-2</v>
      </c>
      <c r="AF438" s="99">
        <f t="shared" si="19"/>
        <v>0.26665819698259696</v>
      </c>
      <c r="AG438" s="99">
        <f t="shared" si="20"/>
        <v>5.8365133150421224E-3</v>
      </c>
      <c r="AH438" s="10" t="str">
        <f>IFERROR(VLOOKUP(B438,'Pre-Summary'!$AZ$6:$BE$65,3,FALSE),"")</f>
        <v/>
      </c>
      <c r="AI438" s="10" t="str">
        <f>IFERROR(VLOOKUP(B438,'Pre-Summary'!$AZ$6:$BE$65,5,FALSE),"")</f>
        <v/>
      </c>
      <c r="AJ438" s="10" t="str">
        <f>IFERROR(VLOOKUP(B438,'Pre-Summary'!$AZ$6:$BE$65,4,FALSE),"")</f>
        <v/>
      </c>
      <c r="AK438" s="10" t="str">
        <f>IFERROR(VLOOKUP(B438,'Pre-Summary'!$AZ$6:$BE$65,6,FALSE),"")</f>
        <v/>
      </c>
      <c r="AL438" s="10" t="str">
        <f>IFERROR(VLOOKUP(B438,'Pre-Summary'!$BG$6:$BL$44,3,FALSE),"")</f>
        <v/>
      </c>
      <c r="AM438" s="10" t="str">
        <f>IFERROR(VLOOKUP(B438,'Pre-Summary'!$BG$6:$BL$44,4,FALSE),"")</f>
        <v/>
      </c>
    </row>
    <row r="439" spans="2:39" ht="15" customHeight="1" x14ac:dyDescent="0.3">
      <c r="B439">
        <v>43.6</v>
      </c>
      <c r="C439" t="str">
        <f>IFERROR(VLOOKUP(B439,'Pre-Summary'!$DI$6:$DM$23,4,FALSE),"")</f>
        <v/>
      </c>
      <c r="D439" s="10" t="str">
        <f>IFERROR(VLOOKUP(B439,'Pre-Summary'!$AT$6:$AX$14,5,FALSE),D438)</f>
        <v>DSMZ v2: Dropped Na-Ac out of DSMZ 120 media</v>
      </c>
      <c r="E439" s="10" t="str">
        <f>IFERROR(VLOOKUP(B439,'Pre-Summary'!$AT$6:$AX$15,4,FALSE),"")</f>
        <v/>
      </c>
      <c r="F439">
        <f>IFERROR(VLOOKUP(B439,'Pre-Summary'!$AL$6:$AQ$13,6,FALSE),F438)</f>
        <v>5.9405263157894746E-2</v>
      </c>
      <c r="G439" t="str">
        <f>IFERROR(VLOOKUP(B439,'Pre-Summary'!$AE$6:$AJ$85,3,FALSE),"")</f>
        <v/>
      </c>
      <c r="H439" t="str">
        <f>IFERROR(VLOOKUP(B439,'Pre-Summary'!$AE$6:$AJ$85,4,FALSE),"")</f>
        <v/>
      </c>
      <c r="I439" t="str">
        <f>IFERROR(VLOOKUP(B439,'Pre-Summary'!$AE$6:$AJ$85,5,FALSE),"")</f>
        <v/>
      </c>
      <c r="J439" s="45" t="str">
        <f>IFERROR(VLOOKUP(B439,'Pre-Summary'!$AE$6:$AJ$85,6, FALSE),"")</f>
        <v/>
      </c>
      <c r="K439" s="45" t="str">
        <f>IFERROR(VLOOKUP(B439,'Pre-Summary'!$DE$6:$DG$61,3,FALSE),"")</f>
        <v/>
      </c>
      <c r="L439" s="45" t="str">
        <f>IFERROR(VLOOKUP(B439,'Pre-Summary'!$CU$6:$CW$36,3,FALSE),"")</f>
        <v/>
      </c>
      <c r="M439" s="45" t="str">
        <f>IFERROR(VLOOKUP(B439,'Pre-Summary'!$BW$6:$BY$58,2,FALSE),"")</f>
        <v/>
      </c>
      <c r="N439" s="45" t="str">
        <f>IFERROR(VLOOKUP(B439,'Pre-Summary'!$CD$6:$CF$64,2,FALSE),"")</f>
        <v/>
      </c>
      <c r="O439" s="99">
        <f>IFERROR(VLOOKUP(B439,'Pre-Summary'!$BO$6:$BQ$48,3, FALSE),O438)</f>
        <v>1.0915248032216731</v>
      </c>
      <c r="P439" s="99">
        <f>IFERROR(VLOOKUP(B439,'Pre-Summary'!$BS$6:$BU$35,3,FALSE),P438)</f>
        <v>0.25</v>
      </c>
      <c r="Q439" s="54">
        <f t="shared" si="18"/>
        <v>4.3660992128866924</v>
      </c>
      <c r="R439" s="53">
        <f>IFERROR(VLOOKUP(B439,'Pre-Summary'!$BG$6:$BM$44,7,FALSE),R440)</f>
        <v>7.5915763918363535E-2</v>
      </c>
      <c r="S439" s="53">
        <f>IFERROR(VLOOKUP(B439,'Pre-Summary'!$BG$6:$BM$44,6,FALSE),S440)</f>
        <v>5.2897473997019086E-2</v>
      </c>
      <c r="T439" s="45" t="str">
        <f>IFERROR(VLOOKUP(B439,'Pre-Summary'!$Y$6:$AC$83, 3,FALSE),"")</f>
        <v/>
      </c>
      <c r="U439" s="45" t="str">
        <f>IFERROR(VLOOKUP(B439,'Pre-Summary'!$Y$6:$AC$83, 4,FALSE),"")</f>
        <v/>
      </c>
      <c r="V439" t="str">
        <f>IFERROR(VLOOKUP(B439,'Pre-Summary'!$Y$6:$AC$83, 5,FALSE),"")</f>
        <v/>
      </c>
      <c r="W439" s="45" t="str">
        <f>IFERROR(VLOOKUP(B439,'Pre-Summary'!$Y$6:$AD$83,6,FALSE),"")</f>
        <v/>
      </c>
      <c r="X439" t="str">
        <f>IFERROR(VLOOKUP('Pre-Summary'!$DB$6:$DD$63,3,FALSE),"")</f>
        <v/>
      </c>
      <c r="Y439" t="str">
        <f>IFERROR(VLOOKUP(B439,'Pre-Summary'!$CR$6:$CT$36,3,FALSE),"")</f>
        <v/>
      </c>
      <c r="Z439" s="45" t="str">
        <f>IFERROR(VLOOKUP(B439,'Pre-Summary'!$BZ$6:$CB$63,2,FALSE),"")</f>
        <v/>
      </c>
      <c r="AA439" s="45" t="str">
        <f>IFERROR(VLOOKUP(B439,'Pre-Summary'!$CG$6:$CI$70,2,FALSE),"")</f>
        <v/>
      </c>
      <c r="AB439" s="99">
        <f>IFERROR(VLOOKUP(B439,'Pre-Summary'!$A$6:$P$178,9,FALSE),AB440)</f>
        <v>0.54933613431406059</v>
      </c>
      <c r="AC439" s="10">
        <f>IFERROR(VLOOKUP(Summary!B439,'Pre-Summary'!$A$6:$P$184,5, FALSE)/100,AC440)</f>
        <v>0.50395600000000007</v>
      </c>
      <c r="AD439" s="10">
        <f>IFERROR(VLOOKUP(Summary!B439,'Pre-Summary'!$A$6:$P$184,3, FALSE)/100,AD440)</f>
        <v>0.48541899999999999</v>
      </c>
      <c r="AE439" s="10">
        <f>IFERROR(VLOOKUP(Summary!B439,'Pre-Summary'!$A$6:$P$184,7, FALSE)/100,AE440)</f>
        <v>1.0624666666666666E-2</v>
      </c>
      <c r="AF439" s="99">
        <f t="shared" si="19"/>
        <v>0.26665819698259696</v>
      </c>
      <c r="AG439" s="99">
        <f t="shared" si="20"/>
        <v>5.8365133150421224E-3</v>
      </c>
      <c r="AH439" s="10" t="str">
        <f>IFERROR(VLOOKUP(B439,'Pre-Summary'!$AZ$6:$BE$65,3,FALSE),"")</f>
        <v/>
      </c>
      <c r="AI439" s="10" t="str">
        <f>IFERROR(VLOOKUP(B439,'Pre-Summary'!$AZ$6:$BE$65,5,FALSE),"")</f>
        <v/>
      </c>
      <c r="AJ439" s="10" t="str">
        <f>IFERROR(VLOOKUP(B439,'Pre-Summary'!$AZ$6:$BE$65,4,FALSE),"")</f>
        <v/>
      </c>
      <c r="AK439" s="10" t="str">
        <f>IFERROR(VLOOKUP(B439,'Pre-Summary'!$AZ$6:$BE$65,6,FALSE),"")</f>
        <v/>
      </c>
      <c r="AL439" s="10" t="str">
        <f>IFERROR(VLOOKUP(B439,'Pre-Summary'!$BG$6:$BL$44,3,FALSE),"")</f>
        <v/>
      </c>
      <c r="AM439" s="10" t="str">
        <f>IFERROR(VLOOKUP(B439,'Pre-Summary'!$BG$6:$BL$44,4,FALSE),"")</f>
        <v/>
      </c>
    </row>
    <row r="440" spans="2:39" ht="15" customHeight="1" x14ac:dyDescent="0.3">
      <c r="B440">
        <v>43.7</v>
      </c>
      <c r="C440" t="str">
        <f>IFERROR(VLOOKUP(B440,'Pre-Summary'!$DI$6:$DM$23,4,FALSE),"")</f>
        <v/>
      </c>
      <c r="D440" s="10" t="str">
        <f>IFERROR(VLOOKUP(B440,'Pre-Summary'!$AT$6:$AX$14,5,FALSE),D439)</f>
        <v>DSMZ v2: Dropped Na-Ac out of DSMZ 120 media</v>
      </c>
      <c r="E440" s="10" t="str">
        <f>IFERROR(VLOOKUP(B440,'Pre-Summary'!$AT$6:$AX$15,4,FALSE),"")</f>
        <v/>
      </c>
      <c r="F440">
        <f>IFERROR(VLOOKUP(B440,'Pre-Summary'!$AL$6:$AQ$13,6,FALSE),F439)</f>
        <v>5.9405263157894746E-2</v>
      </c>
      <c r="G440" t="str">
        <f>IFERROR(VLOOKUP(B440,'Pre-Summary'!$AE$6:$AJ$85,3,FALSE),"")</f>
        <v/>
      </c>
      <c r="H440" t="str">
        <f>IFERROR(VLOOKUP(B440,'Pre-Summary'!$AE$6:$AJ$85,4,FALSE),"")</f>
        <v/>
      </c>
      <c r="I440" t="str">
        <f>IFERROR(VLOOKUP(B440,'Pre-Summary'!$AE$6:$AJ$85,5,FALSE),"")</f>
        <v/>
      </c>
      <c r="J440" s="45" t="str">
        <f>IFERROR(VLOOKUP(B440,'Pre-Summary'!$AE$6:$AJ$85,6, FALSE),"")</f>
        <v/>
      </c>
      <c r="K440" s="45" t="str">
        <f>IFERROR(VLOOKUP(B440,'Pre-Summary'!$DE$6:$DG$61,3,FALSE),"")</f>
        <v/>
      </c>
      <c r="L440" s="45" t="str">
        <f>IFERROR(VLOOKUP(B440,'Pre-Summary'!$CU$6:$CW$36,3,FALSE),"")</f>
        <v/>
      </c>
      <c r="M440" s="45" t="str">
        <f>IFERROR(VLOOKUP(B440,'Pre-Summary'!$BW$6:$BY$58,2,FALSE),"")</f>
        <v/>
      </c>
      <c r="N440" s="45" t="str">
        <f>IFERROR(VLOOKUP(B440,'Pre-Summary'!$CD$6:$CF$64,2,FALSE),"")</f>
        <v/>
      </c>
      <c r="O440" s="99">
        <f>IFERROR(VLOOKUP(B440,'Pre-Summary'!$BO$6:$BQ$48,3, FALSE),O439)</f>
        <v>1.0915248032216731</v>
      </c>
      <c r="P440" s="99">
        <f>IFERROR(VLOOKUP(B440,'Pre-Summary'!$BS$6:$BU$35,3,FALSE),P439)</f>
        <v>0.25</v>
      </c>
      <c r="Q440" s="54">
        <f t="shared" si="18"/>
        <v>4.3660992128866924</v>
      </c>
      <c r="R440" s="53">
        <f>IFERROR(VLOOKUP(B440,'Pre-Summary'!$BG$6:$BM$44,7,FALSE),R441)</f>
        <v>7.5915763918363535E-2</v>
      </c>
      <c r="S440" s="53">
        <f>IFERROR(VLOOKUP(B440,'Pre-Summary'!$BG$6:$BM$44,6,FALSE),S441)</f>
        <v>5.2897473997019086E-2</v>
      </c>
      <c r="T440" s="45" t="str">
        <f>IFERROR(VLOOKUP(B440,'Pre-Summary'!$Y$6:$AC$83, 3,FALSE),"")</f>
        <v/>
      </c>
      <c r="U440" s="45" t="str">
        <f>IFERROR(VLOOKUP(B440,'Pre-Summary'!$Y$6:$AC$83, 4,FALSE),"")</f>
        <v/>
      </c>
      <c r="V440" t="str">
        <f>IFERROR(VLOOKUP(B440,'Pre-Summary'!$Y$6:$AC$83, 5,FALSE),"")</f>
        <v/>
      </c>
      <c r="W440" s="45" t="str">
        <f>IFERROR(VLOOKUP(B440,'Pre-Summary'!$Y$6:$AD$83,6,FALSE),"")</f>
        <v/>
      </c>
      <c r="X440" t="str">
        <f>IFERROR(VLOOKUP('Pre-Summary'!$DB$6:$DD$63,3,FALSE),"")</f>
        <v/>
      </c>
      <c r="Y440" t="str">
        <f>IFERROR(VLOOKUP(B440,'Pre-Summary'!$CR$6:$CT$36,3,FALSE),"")</f>
        <v/>
      </c>
      <c r="Z440" s="45" t="str">
        <f>IFERROR(VLOOKUP(B440,'Pre-Summary'!$BZ$6:$CB$63,2,FALSE),"")</f>
        <v/>
      </c>
      <c r="AA440" s="45" t="str">
        <f>IFERROR(VLOOKUP(B440,'Pre-Summary'!$CG$6:$CI$70,2,FALSE),"")</f>
        <v/>
      </c>
      <c r="AB440" s="99">
        <f>IFERROR(VLOOKUP(B440,'Pre-Summary'!$A$6:$P$178,9,FALSE),AB441)</f>
        <v>0.54933613431406059</v>
      </c>
      <c r="AC440" s="10">
        <f>IFERROR(VLOOKUP(Summary!B440,'Pre-Summary'!$A$6:$P$184,5, FALSE)/100,AC441)</f>
        <v>0.50395600000000007</v>
      </c>
      <c r="AD440" s="10">
        <f>IFERROR(VLOOKUP(Summary!B440,'Pre-Summary'!$A$6:$P$184,3, FALSE)/100,AD441)</f>
        <v>0.48541899999999999</v>
      </c>
      <c r="AE440" s="10">
        <f>IFERROR(VLOOKUP(Summary!B440,'Pre-Summary'!$A$6:$P$184,7, FALSE)/100,AE441)</f>
        <v>1.0624666666666666E-2</v>
      </c>
      <c r="AF440" s="99">
        <f t="shared" si="19"/>
        <v>0.26665819698259696</v>
      </c>
      <c r="AG440" s="99">
        <f t="shared" si="20"/>
        <v>5.8365133150421224E-3</v>
      </c>
      <c r="AH440" s="10" t="str">
        <f>IFERROR(VLOOKUP(B440,'Pre-Summary'!$AZ$6:$BE$65,3,FALSE),"")</f>
        <v/>
      </c>
      <c r="AI440" s="10" t="str">
        <f>IFERROR(VLOOKUP(B440,'Pre-Summary'!$AZ$6:$BE$65,5,FALSE),"")</f>
        <v/>
      </c>
      <c r="AJ440" s="10" t="str">
        <f>IFERROR(VLOOKUP(B440,'Pre-Summary'!$AZ$6:$BE$65,4,FALSE),"")</f>
        <v/>
      </c>
      <c r="AK440" s="10" t="str">
        <f>IFERROR(VLOOKUP(B440,'Pre-Summary'!$AZ$6:$BE$65,6,FALSE),"")</f>
        <v/>
      </c>
      <c r="AL440" s="10" t="str">
        <f>IFERROR(VLOOKUP(B440,'Pre-Summary'!$BG$6:$BL$44,3,FALSE),"")</f>
        <v/>
      </c>
      <c r="AM440" s="10" t="str">
        <f>IFERROR(VLOOKUP(B440,'Pre-Summary'!$BG$6:$BL$44,4,FALSE),"")</f>
        <v/>
      </c>
    </row>
    <row r="441" spans="2:39" ht="15" customHeight="1" x14ac:dyDescent="0.3">
      <c r="B441">
        <v>43.8</v>
      </c>
      <c r="C441" t="str">
        <f>IFERROR(VLOOKUP(B441,'Pre-Summary'!$DI$6:$DM$23,4,FALSE),"")</f>
        <v/>
      </c>
      <c r="D441" s="10" t="str">
        <f>IFERROR(VLOOKUP(B441,'Pre-Summary'!$AT$6:$AX$14,5,FALSE),D440)</f>
        <v>DSMZ v2: Dropped Na-Ac out of DSMZ 120 media</v>
      </c>
      <c r="E441" s="10" t="str">
        <f>IFERROR(VLOOKUP(B441,'Pre-Summary'!$AT$6:$AX$15,4,FALSE),"")</f>
        <v/>
      </c>
      <c r="F441">
        <f>IFERROR(VLOOKUP(B441,'Pre-Summary'!$AL$6:$AQ$13,6,FALSE),F440)</f>
        <v>5.9405263157894746E-2</v>
      </c>
      <c r="G441" t="str">
        <f>IFERROR(VLOOKUP(B441,'Pre-Summary'!$AE$6:$AJ$85,3,FALSE),"")</f>
        <v/>
      </c>
      <c r="H441" t="str">
        <f>IFERROR(VLOOKUP(B441,'Pre-Summary'!$AE$6:$AJ$85,4,FALSE),"")</f>
        <v/>
      </c>
      <c r="I441" t="str">
        <f>IFERROR(VLOOKUP(B441,'Pre-Summary'!$AE$6:$AJ$85,5,FALSE),"")</f>
        <v/>
      </c>
      <c r="J441" s="45" t="str">
        <f>IFERROR(VLOOKUP(B441,'Pre-Summary'!$AE$6:$AJ$85,6, FALSE),"")</f>
        <v/>
      </c>
      <c r="K441" s="45" t="str">
        <f>IFERROR(VLOOKUP(B441,'Pre-Summary'!$DE$6:$DG$61,3,FALSE),"")</f>
        <v/>
      </c>
      <c r="L441" s="45" t="str">
        <f>IFERROR(VLOOKUP(B441,'Pre-Summary'!$CU$6:$CW$36,3,FALSE),"")</f>
        <v/>
      </c>
      <c r="M441" s="45" t="str">
        <f>IFERROR(VLOOKUP(B441,'Pre-Summary'!$BW$6:$BY$58,2,FALSE),"")</f>
        <v/>
      </c>
      <c r="N441" s="45" t="str">
        <f>IFERROR(VLOOKUP(B441,'Pre-Summary'!$CD$6:$CF$64,2,FALSE),"")</f>
        <v/>
      </c>
      <c r="O441" s="99">
        <f>IFERROR(VLOOKUP(B441,'Pre-Summary'!$BO$6:$BQ$48,3, FALSE),O440)</f>
        <v>1.0915248032216731</v>
      </c>
      <c r="P441" s="99">
        <f>IFERROR(VLOOKUP(B441,'Pre-Summary'!$BS$6:$BU$35,3,FALSE),P440)</f>
        <v>0.25</v>
      </c>
      <c r="Q441" s="54">
        <f t="shared" si="18"/>
        <v>4.3660992128866924</v>
      </c>
      <c r="R441" s="53">
        <f>IFERROR(VLOOKUP(B441,'Pre-Summary'!$BG$6:$BM$44,7,FALSE),R442)</f>
        <v>7.5915763918363535E-2</v>
      </c>
      <c r="S441" s="53">
        <f>IFERROR(VLOOKUP(B441,'Pre-Summary'!$BG$6:$BM$44,6,FALSE),S442)</f>
        <v>5.2897473997019086E-2</v>
      </c>
      <c r="T441" s="45" t="str">
        <f>IFERROR(VLOOKUP(B441,'Pre-Summary'!$Y$6:$AC$83, 3,FALSE),"")</f>
        <v/>
      </c>
      <c r="U441" s="45" t="str">
        <f>IFERROR(VLOOKUP(B441,'Pre-Summary'!$Y$6:$AC$83, 4,FALSE),"")</f>
        <v/>
      </c>
      <c r="V441" t="str">
        <f>IFERROR(VLOOKUP(B441,'Pre-Summary'!$Y$6:$AC$83, 5,FALSE),"")</f>
        <v/>
      </c>
      <c r="W441" s="45" t="str">
        <f>IFERROR(VLOOKUP(B441,'Pre-Summary'!$Y$6:$AD$83,6,FALSE),"")</f>
        <v/>
      </c>
      <c r="X441" t="str">
        <f>IFERROR(VLOOKUP('Pre-Summary'!$DB$6:$DD$63,3,FALSE),"")</f>
        <v/>
      </c>
      <c r="Y441" t="str">
        <f>IFERROR(VLOOKUP(B441,'Pre-Summary'!$CR$6:$CT$36,3,FALSE),"")</f>
        <v/>
      </c>
      <c r="Z441" s="45" t="str">
        <f>IFERROR(VLOOKUP(B441,'Pre-Summary'!$BZ$6:$CB$63,2,FALSE),"")</f>
        <v/>
      </c>
      <c r="AA441" s="45" t="str">
        <f>IFERROR(VLOOKUP(B441,'Pre-Summary'!$CG$6:$CI$70,2,FALSE),"")</f>
        <v/>
      </c>
      <c r="AB441" s="99">
        <f>IFERROR(VLOOKUP(B441,'Pre-Summary'!$A$6:$P$178,9,FALSE),AB442)</f>
        <v>0.54933613431406059</v>
      </c>
      <c r="AC441" s="10">
        <f>IFERROR(VLOOKUP(Summary!B441,'Pre-Summary'!$A$6:$P$184,5, FALSE)/100,AC442)</f>
        <v>0.50395600000000007</v>
      </c>
      <c r="AD441" s="10">
        <f>IFERROR(VLOOKUP(Summary!B441,'Pre-Summary'!$A$6:$P$184,3, FALSE)/100,AD442)</f>
        <v>0.48541899999999999</v>
      </c>
      <c r="AE441" s="10">
        <f>IFERROR(VLOOKUP(Summary!B441,'Pre-Summary'!$A$6:$P$184,7, FALSE)/100,AE442)</f>
        <v>1.0624666666666666E-2</v>
      </c>
      <c r="AF441" s="99">
        <f t="shared" si="19"/>
        <v>0.26665819698259696</v>
      </c>
      <c r="AG441" s="99">
        <f t="shared" si="20"/>
        <v>5.8365133150421224E-3</v>
      </c>
      <c r="AH441" s="10" t="str">
        <f>IFERROR(VLOOKUP(B441,'Pre-Summary'!$AZ$6:$BE$65,3,FALSE),"")</f>
        <v/>
      </c>
      <c r="AI441" s="10" t="str">
        <f>IFERROR(VLOOKUP(B441,'Pre-Summary'!$AZ$6:$BE$65,5,FALSE),"")</f>
        <v/>
      </c>
      <c r="AJ441" s="10" t="str">
        <f>IFERROR(VLOOKUP(B441,'Pre-Summary'!$AZ$6:$BE$65,4,FALSE),"")</f>
        <v/>
      </c>
      <c r="AK441" s="10" t="str">
        <f>IFERROR(VLOOKUP(B441,'Pre-Summary'!$AZ$6:$BE$65,6,FALSE),"")</f>
        <v/>
      </c>
      <c r="AL441" s="10" t="str">
        <f>IFERROR(VLOOKUP(B441,'Pre-Summary'!$BG$6:$BL$44,3,FALSE),"")</f>
        <v/>
      </c>
      <c r="AM441" s="10" t="str">
        <f>IFERROR(VLOOKUP(B441,'Pre-Summary'!$BG$6:$BL$44,4,FALSE),"")</f>
        <v/>
      </c>
    </row>
    <row r="442" spans="2:39" ht="15" customHeight="1" x14ac:dyDescent="0.3">
      <c r="B442">
        <v>43.9</v>
      </c>
      <c r="C442" t="str">
        <f>IFERROR(VLOOKUP(B442,'Pre-Summary'!$DI$6:$DM$23,4,FALSE),"")</f>
        <v/>
      </c>
      <c r="D442" s="10" t="str">
        <f>IFERROR(VLOOKUP(B442,'Pre-Summary'!$AT$6:$AX$14,5,FALSE),D441)</f>
        <v>DSMZ v2: Dropped Na-Ac out of DSMZ 120 media</v>
      </c>
      <c r="E442" s="10" t="str">
        <f>IFERROR(VLOOKUP(B442,'Pre-Summary'!$AT$6:$AX$15,4,FALSE),"")</f>
        <v/>
      </c>
      <c r="F442">
        <f>IFERROR(VLOOKUP(B442,'Pre-Summary'!$AL$6:$AQ$13,6,FALSE),F441)</f>
        <v>5.9405263157894746E-2</v>
      </c>
      <c r="G442" t="str">
        <f>IFERROR(VLOOKUP(B442,'Pre-Summary'!$AE$6:$AJ$85,3,FALSE),"")</f>
        <v/>
      </c>
      <c r="H442" t="str">
        <f>IFERROR(VLOOKUP(B442,'Pre-Summary'!$AE$6:$AJ$85,4,FALSE),"")</f>
        <v/>
      </c>
      <c r="I442" t="str">
        <f>IFERROR(VLOOKUP(B442,'Pre-Summary'!$AE$6:$AJ$85,5,FALSE),"")</f>
        <v/>
      </c>
      <c r="J442" s="45" t="str">
        <f>IFERROR(VLOOKUP(B442,'Pre-Summary'!$AE$6:$AJ$85,6, FALSE),"")</f>
        <v/>
      </c>
      <c r="K442" s="45" t="str">
        <f>IFERROR(VLOOKUP(B442,'Pre-Summary'!$DE$6:$DG$61,3,FALSE),"")</f>
        <v/>
      </c>
      <c r="L442" s="45" t="str">
        <f>IFERROR(VLOOKUP(B442,'Pre-Summary'!$CU$6:$CW$36,3,FALSE),"")</f>
        <v/>
      </c>
      <c r="M442" s="45" t="str">
        <f>IFERROR(VLOOKUP(B442,'Pre-Summary'!$BW$6:$BY$58,2,FALSE),"")</f>
        <v/>
      </c>
      <c r="N442" s="45" t="str">
        <f>IFERROR(VLOOKUP(B442,'Pre-Summary'!$CD$6:$CF$64,2,FALSE),"")</f>
        <v/>
      </c>
      <c r="O442" s="99">
        <f>IFERROR(VLOOKUP(B442,'Pre-Summary'!$BO$6:$BQ$48,3, FALSE),O441)</f>
        <v>1.0915248032216731</v>
      </c>
      <c r="P442" s="99">
        <f>IFERROR(VLOOKUP(B442,'Pre-Summary'!$BS$6:$BU$35,3,FALSE),P441)</f>
        <v>0.25</v>
      </c>
      <c r="Q442" s="54">
        <f t="shared" si="18"/>
        <v>4.3660992128866924</v>
      </c>
      <c r="R442" s="53">
        <f>IFERROR(VLOOKUP(B442,'Pre-Summary'!$BG$6:$BM$44,7,FALSE),R443)</f>
        <v>7.5915763918363535E-2</v>
      </c>
      <c r="S442" s="53">
        <f>IFERROR(VLOOKUP(B442,'Pre-Summary'!$BG$6:$BM$44,6,FALSE),S443)</f>
        <v>5.2897473997019086E-2</v>
      </c>
      <c r="T442" s="45" t="str">
        <f>IFERROR(VLOOKUP(B442,'Pre-Summary'!$Y$6:$AC$83, 3,FALSE),"")</f>
        <v/>
      </c>
      <c r="U442" s="45" t="str">
        <f>IFERROR(VLOOKUP(B442,'Pre-Summary'!$Y$6:$AC$83, 4,FALSE),"")</f>
        <v/>
      </c>
      <c r="V442" t="str">
        <f>IFERROR(VLOOKUP(B442,'Pre-Summary'!$Y$6:$AC$83, 5,FALSE),"")</f>
        <v/>
      </c>
      <c r="W442" s="45" t="str">
        <f>IFERROR(VLOOKUP(B442,'Pre-Summary'!$Y$6:$AD$83,6,FALSE),"")</f>
        <v/>
      </c>
      <c r="X442" t="str">
        <f>IFERROR(VLOOKUP('Pre-Summary'!$DB$6:$DD$63,3,FALSE),"")</f>
        <v/>
      </c>
      <c r="Y442" t="str">
        <f>IFERROR(VLOOKUP(B442,'Pre-Summary'!$CR$6:$CT$36,3,FALSE),"")</f>
        <v/>
      </c>
      <c r="Z442" s="45" t="str">
        <f>IFERROR(VLOOKUP(B442,'Pre-Summary'!$BZ$6:$CB$63,2,FALSE),"")</f>
        <v/>
      </c>
      <c r="AA442" s="45" t="str">
        <f>IFERROR(VLOOKUP(B442,'Pre-Summary'!$CG$6:$CI$70,2,FALSE),"")</f>
        <v/>
      </c>
      <c r="AB442" s="99">
        <f>IFERROR(VLOOKUP(B442,'Pre-Summary'!$A$6:$P$178,9,FALSE),AB443)</f>
        <v>0.54933613431406059</v>
      </c>
      <c r="AC442" s="10">
        <f>IFERROR(VLOOKUP(Summary!B442,'Pre-Summary'!$A$6:$P$184,5, FALSE)/100,AC443)</f>
        <v>0.50395600000000007</v>
      </c>
      <c r="AD442" s="10">
        <f>IFERROR(VLOOKUP(Summary!B442,'Pre-Summary'!$A$6:$P$184,3, FALSE)/100,AD443)</f>
        <v>0.48541899999999999</v>
      </c>
      <c r="AE442" s="10">
        <f>IFERROR(VLOOKUP(Summary!B442,'Pre-Summary'!$A$6:$P$184,7, FALSE)/100,AE443)</f>
        <v>1.0624666666666666E-2</v>
      </c>
      <c r="AF442" s="99">
        <f t="shared" si="19"/>
        <v>0.26665819698259696</v>
      </c>
      <c r="AG442" s="99">
        <f t="shared" si="20"/>
        <v>5.8365133150421224E-3</v>
      </c>
      <c r="AH442" s="10" t="str">
        <f>IFERROR(VLOOKUP(B442,'Pre-Summary'!$AZ$6:$BE$65,3,FALSE),"")</f>
        <v/>
      </c>
      <c r="AI442" s="10" t="str">
        <f>IFERROR(VLOOKUP(B442,'Pre-Summary'!$AZ$6:$BE$65,5,FALSE),"")</f>
        <v/>
      </c>
      <c r="AJ442" s="10" t="str">
        <f>IFERROR(VLOOKUP(B442,'Pre-Summary'!$AZ$6:$BE$65,4,FALSE),"")</f>
        <v/>
      </c>
      <c r="AK442" s="10" t="str">
        <f>IFERROR(VLOOKUP(B442,'Pre-Summary'!$AZ$6:$BE$65,6,FALSE),"")</f>
        <v/>
      </c>
      <c r="AL442" s="10" t="str">
        <f>IFERROR(VLOOKUP(B442,'Pre-Summary'!$BG$6:$BL$44,3,FALSE),"")</f>
        <v/>
      </c>
      <c r="AM442" s="10" t="str">
        <f>IFERROR(VLOOKUP(B442,'Pre-Summary'!$BG$6:$BL$44,4,FALSE),"")</f>
        <v/>
      </c>
    </row>
    <row r="443" spans="2:39" ht="15" customHeight="1" x14ac:dyDescent="0.3">
      <c r="B443">
        <v>44</v>
      </c>
      <c r="C443" t="str">
        <f>IFERROR(VLOOKUP(B443,'Pre-Summary'!$DI$6:$DM$23,4,FALSE),"")</f>
        <v/>
      </c>
      <c r="D443" s="10" t="str">
        <f>IFERROR(VLOOKUP(B443,'Pre-Summary'!$AT$6:$AX$14,5,FALSE),D442)</f>
        <v>DSMZ v2: Dropped Na-Ac out of DSMZ 120 media</v>
      </c>
      <c r="E443" s="10" t="str">
        <f>IFERROR(VLOOKUP(B443,'Pre-Summary'!$AT$6:$AX$15,4,FALSE),"")</f>
        <v/>
      </c>
      <c r="F443">
        <f>IFERROR(VLOOKUP(B443,'Pre-Summary'!$AL$6:$AQ$13,6,FALSE),F442)</f>
        <v>5.9405263157894746E-2</v>
      </c>
      <c r="G443" t="str">
        <f>IFERROR(VLOOKUP(B443,'Pre-Summary'!$AE$6:$AJ$85,3,FALSE),"")</f>
        <v/>
      </c>
      <c r="H443" t="str">
        <f>IFERROR(VLOOKUP(B443,'Pre-Summary'!$AE$6:$AJ$85,4,FALSE),"")</f>
        <v/>
      </c>
      <c r="I443" t="str">
        <f>IFERROR(VLOOKUP(B443,'Pre-Summary'!$AE$6:$AJ$85,5,FALSE),"")</f>
        <v/>
      </c>
      <c r="J443" s="45" t="str">
        <f>IFERROR(VLOOKUP(B443,'Pre-Summary'!$AE$6:$AJ$85,6, FALSE),"")</f>
        <v/>
      </c>
      <c r="K443" s="45" t="str">
        <f>IFERROR(VLOOKUP(B443,'Pre-Summary'!$DE$6:$DG$61,3,FALSE),"")</f>
        <v/>
      </c>
      <c r="L443" s="45" t="str">
        <f>IFERROR(VLOOKUP(B443,'Pre-Summary'!$CU$6:$CW$36,3,FALSE),"")</f>
        <v/>
      </c>
      <c r="M443" s="45" t="str">
        <f>IFERROR(VLOOKUP(B443,'Pre-Summary'!$BW$6:$BY$58,2,FALSE),"")</f>
        <v/>
      </c>
      <c r="N443" s="45" t="str">
        <f>IFERROR(VLOOKUP(B443,'Pre-Summary'!$CD$6:$CF$64,2,FALSE),"")</f>
        <v/>
      </c>
      <c r="O443" s="99">
        <f>IFERROR(VLOOKUP(B443,'Pre-Summary'!$BO$6:$BQ$48,3, FALSE),O442)</f>
        <v>1.0915248032216731</v>
      </c>
      <c r="P443" s="99">
        <f>IFERROR(VLOOKUP(B443,'Pre-Summary'!$BS$6:$BU$35,3,FALSE),P442)</f>
        <v>0.25</v>
      </c>
      <c r="Q443" s="54">
        <f t="shared" si="18"/>
        <v>4.3660992128866924</v>
      </c>
      <c r="R443" s="53">
        <f>IFERROR(VLOOKUP(B443,'Pre-Summary'!$BG$6:$BM$44,7,FALSE),R444)</f>
        <v>7.5915763918363535E-2</v>
      </c>
      <c r="S443" s="53">
        <f>IFERROR(VLOOKUP(B443,'Pre-Summary'!$BG$6:$BM$44,6,FALSE),S444)</f>
        <v>5.2897473997019086E-2</v>
      </c>
      <c r="T443" s="45" t="str">
        <f>IFERROR(VLOOKUP(B443,'Pre-Summary'!$Y$6:$AC$83, 3,FALSE),"")</f>
        <v/>
      </c>
      <c r="U443" s="45" t="str">
        <f>IFERROR(VLOOKUP(B443,'Pre-Summary'!$Y$6:$AC$83, 4,FALSE),"")</f>
        <v/>
      </c>
      <c r="V443" t="str">
        <f>IFERROR(VLOOKUP(B443,'Pre-Summary'!$Y$6:$AC$83, 5,FALSE),"")</f>
        <v/>
      </c>
      <c r="W443" s="45" t="str">
        <f>IFERROR(VLOOKUP(B443,'Pre-Summary'!$Y$6:$AD$83,6,FALSE),"")</f>
        <v/>
      </c>
      <c r="X443" t="str">
        <f>IFERROR(VLOOKUP('Pre-Summary'!$DB$6:$DD$63,3,FALSE),"")</f>
        <v/>
      </c>
      <c r="Y443" t="str">
        <f>IFERROR(VLOOKUP(B443,'Pre-Summary'!$CR$6:$CT$36,3,FALSE),"")</f>
        <v/>
      </c>
      <c r="Z443" s="45" t="str">
        <f>IFERROR(VLOOKUP(B443,'Pre-Summary'!$BZ$6:$CB$63,2,FALSE),"")</f>
        <v/>
      </c>
      <c r="AA443" s="45" t="str">
        <f>IFERROR(VLOOKUP(B443,'Pre-Summary'!$CG$6:$CI$70,2,FALSE),"")</f>
        <v/>
      </c>
      <c r="AB443" s="99">
        <f>IFERROR(VLOOKUP(B443,'Pre-Summary'!$A$6:$P$178,9,FALSE),AB444)</f>
        <v>0.54933613431406059</v>
      </c>
      <c r="AC443" s="10">
        <f>IFERROR(VLOOKUP(Summary!B443,'Pre-Summary'!$A$6:$P$184,5, FALSE)/100,AC444)</f>
        <v>0.50395600000000007</v>
      </c>
      <c r="AD443" s="10">
        <f>IFERROR(VLOOKUP(Summary!B443,'Pre-Summary'!$A$6:$P$184,3, FALSE)/100,AD444)</f>
        <v>0.48541899999999999</v>
      </c>
      <c r="AE443" s="10">
        <f>IFERROR(VLOOKUP(Summary!B443,'Pre-Summary'!$A$6:$P$184,7, FALSE)/100,AE444)</f>
        <v>1.0624666666666666E-2</v>
      </c>
      <c r="AF443" s="99">
        <f t="shared" si="19"/>
        <v>0.26665819698259696</v>
      </c>
      <c r="AG443" s="99">
        <f t="shared" si="20"/>
        <v>5.8365133150421224E-3</v>
      </c>
      <c r="AH443" s="10" t="str">
        <f>IFERROR(VLOOKUP(B443,'Pre-Summary'!$AZ$6:$BE$65,3,FALSE),"")</f>
        <v/>
      </c>
      <c r="AI443" s="10" t="str">
        <f>IFERROR(VLOOKUP(B443,'Pre-Summary'!$AZ$6:$BE$65,5,FALSE),"")</f>
        <v/>
      </c>
      <c r="AJ443" s="10" t="str">
        <f>IFERROR(VLOOKUP(B443,'Pre-Summary'!$AZ$6:$BE$65,4,FALSE),"")</f>
        <v/>
      </c>
      <c r="AK443" s="10" t="str">
        <f>IFERROR(VLOOKUP(B443,'Pre-Summary'!$AZ$6:$BE$65,6,FALSE),"")</f>
        <v/>
      </c>
      <c r="AL443" s="10" t="str">
        <f>IFERROR(VLOOKUP(B443,'Pre-Summary'!$BG$6:$BL$44,3,FALSE),"")</f>
        <v/>
      </c>
      <c r="AM443" s="10" t="str">
        <f>IFERROR(VLOOKUP(B443,'Pre-Summary'!$BG$6:$BL$44,4,FALSE),"")</f>
        <v/>
      </c>
    </row>
    <row r="444" spans="2:39" ht="15" customHeight="1" x14ac:dyDescent="0.3">
      <c r="B444">
        <v>44.1</v>
      </c>
      <c r="C444" t="str">
        <f>IFERROR(VLOOKUP(B444,'Pre-Summary'!$DI$6:$DM$23,4,FALSE),"")</f>
        <v/>
      </c>
      <c r="D444" s="10" t="str">
        <f>IFERROR(VLOOKUP(B444,'Pre-Summary'!$AT$6:$AX$14,5,FALSE),D443)</f>
        <v>DSMZ v2: Dropped Na-Ac out of DSMZ 120 media</v>
      </c>
      <c r="E444" s="10" t="str">
        <f>IFERROR(VLOOKUP(B444,'Pre-Summary'!$AT$6:$AX$15,4,FALSE),"")</f>
        <v/>
      </c>
      <c r="F444">
        <f>IFERROR(VLOOKUP(B444,'Pre-Summary'!$AL$6:$AQ$13,6,FALSE),F443)</f>
        <v>5.9405263157894746E-2</v>
      </c>
      <c r="G444" t="str">
        <f>IFERROR(VLOOKUP(B444,'Pre-Summary'!$AE$6:$AJ$85,3,FALSE),"")</f>
        <v/>
      </c>
      <c r="H444" t="str">
        <f>IFERROR(VLOOKUP(B444,'Pre-Summary'!$AE$6:$AJ$85,4,FALSE),"")</f>
        <v/>
      </c>
      <c r="I444" t="str">
        <f>IFERROR(VLOOKUP(B444,'Pre-Summary'!$AE$6:$AJ$85,5,FALSE),"")</f>
        <v/>
      </c>
      <c r="J444" s="45" t="str">
        <f>IFERROR(VLOOKUP(B444,'Pre-Summary'!$AE$6:$AJ$85,6, FALSE),"")</f>
        <v/>
      </c>
      <c r="K444" s="45" t="str">
        <f>IFERROR(VLOOKUP(B444,'Pre-Summary'!$DE$6:$DG$61,3,FALSE),"")</f>
        <v/>
      </c>
      <c r="L444" s="45" t="str">
        <f>IFERROR(VLOOKUP(B444,'Pre-Summary'!$CU$6:$CW$36,3,FALSE),"")</f>
        <v/>
      </c>
      <c r="M444" s="45" t="str">
        <f>IFERROR(VLOOKUP(B444,'Pre-Summary'!$BW$6:$BY$58,2,FALSE),"")</f>
        <v/>
      </c>
      <c r="N444" s="45" t="str">
        <f>IFERROR(VLOOKUP(B444,'Pre-Summary'!$CD$6:$CF$64,2,FALSE),"")</f>
        <v/>
      </c>
      <c r="O444" s="99">
        <f>IFERROR(VLOOKUP(B444,'Pre-Summary'!$BO$6:$BQ$48,3, FALSE),O443)</f>
        <v>1.0915248032216731</v>
      </c>
      <c r="P444" s="99">
        <f>IFERROR(VLOOKUP(B444,'Pre-Summary'!$BS$6:$BU$35,3,FALSE),P443)</f>
        <v>0.25</v>
      </c>
      <c r="Q444" s="54">
        <f t="shared" si="18"/>
        <v>4.3660992128866924</v>
      </c>
      <c r="R444" s="53">
        <f>IFERROR(VLOOKUP(B444,'Pre-Summary'!$BG$6:$BM$44,7,FALSE),R445)</f>
        <v>7.5915763918363535E-2</v>
      </c>
      <c r="S444" s="53">
        <f>IFERROR(VLOOKUP(B444,'Pre-Summary'!$BG$6:$BM$44,6,FALSE),S445)</f>
        <v>5.2897473997019086E-2</v>
      </c>
      <c r="T444" s="45" t="str">
        <f>IFERROR(VLOOKUP(B444,'Pre-Summary'!$Y$6:$AC$83, 3,FALSE),"")</f>
        <v/>
      </c>
      <c r="U444" s="45" t="str">
        <f>IFERROR(VLOOKUP(B444,'Pre-Summary'!$Y$6:$AC$83, 4,FALSE),"")</f>
        <v/>
      </c>
      <c r="V444" t="str">
        <f>IFERROR(VLOOKUP(B444,'Pre-Summary'!$Y$6:$AC$83, 5,FALSE),"")</f>
        <v/>
      </c>
      <c r="W444" s="45" t="str">
        <f>IFERROR(VLOOKUP(B444,'Pre-Summary'!$Y$6:$AD$83,6,FALSE),"")</f>
        <v/>
      </c>
      <c r="X444" t="str">
        <f>IFERROR(VLOOKUP('Pre-Summary'!$DB$6:$DD$63,3,FALSE),"")</f>
        <v/>
      </c>
      <c r="Y444" t="str">
        <f>IFERROR(VLOOKUP(B444,'Pre-Summary'!$CR$6:$CT$36,3,FALSE),"")</f>
        <v/>
      </c>
      <c r="Z444" s="45" t="str">
        <f>IFERROR(VLOOKUP(B444,'Pre-Summary'!$BZ$6:$CB$63,2,FALSE),"")</f>
        <v/>
      </c>
      <c r="AA444" s="45" t="str">
        <f>IFERROR(VLOOKUP(B444,'Pre-Summary'!$CG$6:$CI$70,2,FALSE),"")</f>
        <v/>
      </c>
      <c r="AB444" s="99">
        <f>IFERROR(VLOOKUP(B444,'Pre-Summary'!$A$6:$P$178,9,FALSE),AB445)</f>
        <v>0.54933613431406059</v>
      </c>
      <c r="AC444" s="10">
        <f>IFERROR(VLOOKUP(Summary!B444,'Pre-Summary'!$A$6:$P$184,5, FALSE)/100,AC445)</f>
        <v>0.50395600000000007</v>
      </c>
      <c r="AD444" s="10">
        <f>IFERROR(VLOOKUP(Summary!B444,'Pre-Summary'!$A$6:$P$184,3, FALSE)/100,AD445)</f>
        <v>0.48541899999999999</v>
      </c>
      <c r="AE444" s="10">
        <f>IFERROR(VLOOKUP(Summary!B444,'Pre-Summary'!$A$6:$P$184,7, FALSE)/100,AE445)</f>
        <v>1.0624666666666666E-2</v>
      </c>
      <c r="AF444" s="99">
        <f t="shared" si="19"/>
        <v>0.26665819698259696</v>
      </c>
      <c r="AG444" s="99">
        <f t="shared" si="20"/>
        <v>5.8365133150421224E-3</v>
      </c>
      <c r="AH444" s="10" t="str">
        <f>IFERROR(VLOOKUP(B444,'Pre-Summary'!$AZ$6:$BE$65,3,FALSE),"")</f>
        <v/>
      </c>
      <c r="AI444" s="10" t="str">
        <f>IFERROR(VLOOKUP(B444,'Pre-Summary'!$AZ$6:$BE$65,5,FALSE),"")</f>
        <v/>
      </c>
      <c r="AJ444" s="10" t="str">
        <f>IFERROR(VLOOKUP(B444,'Pre-Summary'!$AZ$6:$BE$65,4,FALSE),"")</f>
        <v/>
      </c>
      <c r="AK444" s="10" t="str">
        <f>IFERROR(VLOOKUP(B444,'Pre-Summary'!$AZ$6:$BE$65,6,FALSE),"")</f>
        <v/>
      </c>
      <c r="AL444" s="10" t="str">
        <f>IFERROR(VLOOKUP(B444,'Pre-Summary'!$BG$6:$BL$44,3,FALSE),"")</f>
        <v/>
      </c>
      <c r="AM444" s="10" t="str">
        <f>IFERROR(VLOOKUP(B444,'Pre-Summary'!$BG$6:$BL$44,4,FALSE),"")</f>
        <v/>
      </c>
    </row>
    <row r="445" spans="2:39" ht="15" customHeight="1" x14ac:dyDescent="0.3">
      <c r="B445">
        <v>44.2</v>
      </c>
      <c r="C445" t="str">
        <f>IFERROR(VLOOKUP(B445,'Pre-Summary'!$DI$6:$DM$23,4,FALSE),"")</f>
        <v/>
      </c>
      <c r="D445" s="10" t="str">
        <f>IFERROR(VLOOKUP(B445,'Pre-Summary'!$AT$6:$AX$14,5,FALSE),D444)</f>
        <v>DSMZ v2: Dropped Na-Ac out of DSMZ 120 media</v>
      </c>
      <c r="E445" s="10" t="str">
        <f>IFERROR(VLOOKUP(B445,'Pre-Summary'!$AT$6:$AX$15,4,FALSE),"")</f>
        <v/>
      </c>
      <c r="F445">
        <f>IFERROR(VLOOKUP(B445,'Pre-Summary'!$AL$6:$AQ$13,6,FALSE),F444)</f>
        <v>5.9405263157894746E-2</v>
      </c>
      <c r="G445" t="str">
        <f>IFERROR(VLOOKUP(B445,'Pre-Summary'!$AE$6:$AJ$85,3,FALSE),"")</f>
        <v/>
      </c>
      <c r="H445" t="str">
        <f>IFERROR(VLOOKUP(B445,'Pre-Summary'!$AE$6:$AJ$85,4,FALSE),"")</f>
        <v/>
      </c>
      <c r="I445" t="str">
        <f>IFERROR(VLOOKUP(B445,'Pre-Summary'!$AE$6:$AJ$85,5,FALSE),"")</f>
        <v/>
      </c>
      <c r="J445" s="45" t="str">
        <f>IFERROR(VLOOKUP(B445,'Pre-Summary'!$AE$6:$AJ$85,6, FALSE),"")</f>
        <v/>
      </c>
      <c r="K445" s="45" t="str">
        <f>IFERROR(VLOOKUP(B445,'Pre-Summary'!$DE$6:$DG$61,3,FALSE),"")</f>
        <v/>
      </c>
      <c r="L445" s="45" t="str">
        <f>IFERROR(VLOOKUP(B445,'Pre-Summary'!$CU$6:$CW$36,3,FALSE),"")</f>
        <v/>
      </c>
      <c r="M445" s="45" t="str">
        <f>IFERROR(VLOOKUP(B445,'Pre-Summary'!$BW$6:$BY$58,2,FALSE),"")</f>
        <v/>
      </c>
      <c r="N445" s="45" t="str">
        <f>IFERROR(VLOOKUP(B445,'Pre-Summary'!$CD$6:$CF$64,2,FALSE),"")</f>
        <v/>
      </c>
      <c r="O445" s="99">
        <f>IFERROR(VLOOKUP(B445,'Pre-Summary'!$BO$6:$BQ$48,3, FALSE),O444)</f>
        <v>1.0915248032216731</v>
      </c>
      <c r="P445" s="99">
        <f>IFERROR(VLOOKUP(B445,'Pre-Summary'!$BS$6:$BU$35,3,FALSE),P444)</f>
        <v>0.25</v>
      </c>
      <c r="Q445" s="54">
        <f t="shared" si="18"/>
        <v>4.3660992128866924</v>
      </c>
      <c r="R445" s="53">
        <f>IFERROR(VLOOKUP(B445,'Pre-Summary'!$BG$6:$BM$44,7,FALSE),R446)</f>
        <v>7.5915763918363535E-2</v>
      </c>
      <c r="S445" s="53">
        <f>IFERROR(VLOOKUP(B445,'Pre-Summary'!$BG$6:$BM$44,6,FALSE),S446)</f>
        <v>5.2897473997019086E-2</v>
      </c>
      <c r="T445" s="45" t="str">
        <f>IFERROR(VLOOKUP(B445,'Pre-Summary'!$Y$6:$AC$83, 3,FALSE),"")</f>
        <v/>
      </c>
      <c r="U445" s="45" t="str">
        <f>IFERROR(VLOOKUP(B445,'Pre-Summary'!$Y$6:$AC$83, 4,FALSE),"")</f>
        <v/>
      </c>
      <c r="V445" t="str">
        <f>IFERROR(VLOOKUP(B445,'Pre-Summary'!$Y$6:$AC$83, 5,FALSE),"")</f>
        <v/>
      </c>
      <c r="W445" s="45" t="str">
        <f>IFERROR(VLOOKUP(B445,'Pre-Summary'!$Y$6:$AD$83,6,FALSE),"")</f>
        <v/>
      </c>
      <c r="X445" t="str">
        <f>IFERROR(VLOOKUP('Pre-Summary'!$DB$6:$DD$63,3,FALSE),"")</f>
        <v/>
      </c>
      <c r="Y445" t="str">
        <f>IFERROR(VLOOKUP(B445,'Pre-Summary'!$CR$6:$CT$36,3,FALSE),"")</f>
        <v/>
      </c>
      <c r="Z445" s="45" t="str">
        <f>IFERROR(VLOOKUP(B445,'Pre-Summary'!$BZ$6:$CB$63,2,FALSE),"")</f>
        <v/>
      </c>
      <c r="AA445" s="45" t="str">
        <f>IFERROR(VLOOKUP(B445,'Pre-Summary'!$CG$6:$CI$70,2,FALSE),"")</f>
        <v/>
      </c>
      <c r="AB445" s="99">
        <f>IFERROR(VLOOKUP(B445,'Pre-Summary'!$A$6:$P$178,9,FALSE),AB446)</f>
        <v>0.54933613431406059</v>
      </c>
      <c r="AC445" s="10">
        <f>IFERROR(VLOOKUP(Summary!B445,'Pre-Summary'!$A$6:$P$184,5, FALSE)/100,AC446)</f>
        <v>0.50395600000000007</v>
      </c>
      <c r="AD445" s="10">
        <f>IFERROR(VLOOKUP(Summary!B445,'Pre-Summary'!$A$6:$P$184,3, FALSE)/100,AD446)</f>
        <v>0.48541899999999999</v>
      </c>
      <c r="AE445" s="10">
        <f>IFERROR(VLOOKUP(Summary!B445,'Pre-Summary'!$A$6:$P$184,7, FALSE)/100,AE446)</f>
        <v>1.0624666666666666E-2</v>
      </c>
      <c r="AF445" s="99">
        <f t="shared" si="19"/>
        <v>0.26665819698259696</v>
      </c>
      <c r="AG445" s="99">
        <f t="shared" si="20"/>
        <v>5.8365133150421224E-3</v>
      </c>
      <c r="AH445" s="10" t="str">
        <f>IFERROR(VLOOKUP(B445,'Pre-Summary'!$AZ$6:$BE$65,3,FALSE),"")</f>
        <v/>
      </c>
      <c r="AI445" s="10" t="str">
        <f>IFERROR(VLOOKUP(B445,'Pre-Summary'!$AZ$6:$BE$65,5,FALSE),"")</f>
        <v/>
      </c>
      <c r="AJ445" s="10" t="str">
        <f>IFERROR(VLOOKUP(B445,'Pre-Summary'!$AZ$6:$BE$65,4,FALSE),"")</f>
        <v/>
      </c>
      <c r="AK445" s="10" t="str">
        <f>IFERROR(VLOOKUP(B445,'Pre-Summary'!$AZ$6:$BE$65,6,FALSE),"")</f>
        <v/>
      </c>
      <c r="AL445" s="10" t="str">
        <f>IFERROR(VLOOKUP(B445,'Pre-Summary'!$BG$6:$BL$44,3,FALSE),"")</f>
        <v/>
      </c>
      <c r="AM445" s="10" t="str">
        <f>IFERROR(VLOOKUP(B445,'Pre-Summary'!$BG$6:$BL$44,4,FALSE),"")</f>
        <v/>
      </c>
    </row>
    <row r="446" spans="2:39" ht="15" customHeight="1" x14ac:dyDescent="0.3">
      <c r="B446">
        <v>44.3</v>
      </c>
      <c r="C446" t="str">
        <f>IFERROR(VLOOKUP(B446,'Pre-Summary'!$DI$6:$DM$23,4,FALSE),"")</f>
        <v/>
      </c>
      <c r="D446" s="10" t="str">
        <f>IFERROR(VLOOKUP(B446,'Pre-Summary'!$AT$6:$AX$14,5,FALSE),D445)</f>
        <v>DSMZ v2: Dropped Na-Ac out of DSMZ 120 media</v>
      </c>
      <c r="E446" s="10" t="str">
        <f>IFERROR(VLOOKUP(B446,'Pre-Summary'!$AT$6:$AX$15,4,FALSE),"")</f>
        <v/>
      </c>
      <c r="F446">
        <f>IFERROR(VLOOKUP(B446,'Pre-Summary'!$AL$6:$AQ$13,6,FALSE),F445)</f>
        <v>5.9405263157894746E-2</v>
      </c>
      <c r="G446" t="str">
        <f>IFERROR(VLOOKUP(B446,'Pre-Summary'!$AE$6:$AJ$85,3,FALSE),"")</f>
        <v/>
      </c>
      <c r="H446" t="str">
        <f>IFERROR(VLOOKUP(B446,'Pre-Summary'!$AE$6:$AJ$85,4,FALSE),"")</f>
        <v/>
      </c>
      <c r="I446" t="str">
        <f>IFERROR(VLOOKUP(B446,'Pre-Summary'!$AE$6:$AJ$85,5,FALSE),"")</f>
        <v/>
      </c>
      <c r="J446" s="45" t="str">
        <f>IFERROR(VLOOKUP(B446,'Pre-Summary'!$AE$6:$AJ$85,6, FALSE),"")</f>
        <v/>
      </c>
      <c r="K446" s="45" t="str">
        <f>IFERROR(VLOOKUP(B446,'Pre-Summary'!$DE$6:$DG$61,3,FALSE),"")</f>
        <v/>
      </c>
      <c r="L446" s="45" t="str">
        <f>IFERROR(VLOOKUP(B446,'Pre-Summary'!$CU$6:$CW$36,3,FALSE),"")</f>
        <v/>
      </c>
      <c r="M446" s="45" t="str">
        <f>IFERROR(VLOOKUP(B446,'Pre-Summary'!$BW$6:$BY$58,2,FALSE),"")</f>
        <v/>
      </c>
      <c r="N446" s="45" t="str">
        <f>IFERROR(VLOOKUP(B446,'Pre-Summary'!$CD$6:$CF$64,2,FALSE),"")</f>
        <v/>
      </c>
      <c r="O446" s="99">
        <f>IFERROR(VLOOKUP(B446,'Pre-Summary'!$BO$6:$BQ$48,3, FALSE),O445)</f>
        <v>1.0915248032216731</v>
      </c>
      <c r="P446" s="99">
        <f>IFERROR(VLOOKUP(B446,'Pre-Summary'!$BS$6:$BU$35,3,FALSE),P445)</f>
        <v>0.25</v>
      </c>
      <c r="Q446" s="54">
        <f t="shared" si="18"/>
        <v>4.3660992128866924</v>
      </c>
      <c r="R446" s="53">
        <f>IFERROR(VLOOKUP(B446,'Pre-Summary'!$BG$6:$BM$44,7,FALSE),R447)</f>
        <v>7.5915763918363535E-2</v>
      </c>
      <c r="S446" s="53">
        <f>IFERROR(VLOOKUP(B446,'Pre-Summary'!$BG$6:$BM$44,6,FALSE),S447)</f>
        <v>5.2897473997019086E-2</v>
      </c>
      <c r="T446" s="45" t="str">
        <f>IFERROR(VLOOKUP(B446,'Pre-Summary'!$Y$6:$AC$83, 3,FALSE),"")</f>
        <v/>
      </c>
      <c r="U446" s="45" t="str">
        <f>IFERROR(VLOOKUP(B446,'Pre-Summary'!$Y$6:$AC$83, 4,FALSE),"")</f>
        <v/>
      </c>
      <c r="V446" t="str">
        <f>IFERROR(VLOOKUP(B446,'Pre-Summary'!$Y$6:$AC$83, 5,FALSE),"")</f>
        <v/>
      </c>
      <c r="W446" s="45" t="str">
        <f>IFERROR(VLOOKUP(B446,'Pre-Summary'!$Y$6:$AD$83,6,FALSE),"")</f>
        <v/>
      </c>
      <c r="X446" t="str">
        <f>IFERROR(VLOOKUP('Pre-Summary'!$DB$6:$DD$63,3,FALSE),"")</f>
        <v/>
      </c>
      <c r="Y446" t="str">
        <f>IFERROR(VLOOKUP(B446,'Pre-Summary'!$CR$6:$CT$36,3,FALSE),"")</f>
        <v/>
      </c>
      <c r="Z446" s="45" t="str">
        <f>IFERROR(VLOOKUP(B446,'Pre-Summary'!$BZ$6:$CB$63,2,FALSE),"")</f>
        <v/>
      </c>
      <c r="AA446" s="45" t="str">
        <f>IFERROR(VLOOKUP(B446,'Pre-Summary'!$CG$6:$CI$70,2,FALSE),"")</f>
        <v/>
      </c>
      <c r="AB446" s="99">
        <f>IFERROR(VLOOKUP(B446,'Pre-Summary'!$A$6:$P$178,9,FALSE),AB447)</f>
        <v>0.54933613431406059</v>
      </c>
      <c r="AC446" s="10">
        <f>IFERROR(VLOOKUP(Summary!B446,'Pre-Summary'!$A$6:$P$184,5, FALSE)/100,AC447)</f>
        <v>0.50395600000000007</v>
      </c>
      <c r="AD446" s="10">
        <f>IFERROR(VLOOKUP(Summary!B446,'Pre-Summary'!$A$6:$P$184,3, FALSE)/100,AD447)</f>
        <v>0.48541899999999999</v>
      </c>
      <c r="AE446" s="10">
        <f>IFERROR(VLOOKUP(Summary!B446,'Pre-Summary'!$A$6:$P$184,7, FALSE)/100,AE447)</f>
        <v>1.0624666666666666E-2</v>
      </c>
      <c r="AF446" s="99">
        <f t="shared" si="19"/>
        <v>0.26665819698259696</v>
      </c>
      <c r="AG446" s="99">
        <f t="shared" si="20"/>
        <v>5.8365133150421224E-3</v>
      </c>
      <c r="AH446" s="10" t="str">
        <f>IFERROR(VLOOKUP(B446,'Pre-Summary'!$AZ$6:$BE$65,3,FALSE),"")</f>
        <v/>
      </c>
      <c r="AI446" s="10" t="str">
        <f>IFERROR(VLOOKUP(B446,'Pre-Summary'!$AZ$6:$BE$65,5,FALSE),"")</f>
        <v/>
      </c>
      <c r="AJ446" s="10" t="str">
        <f>IFERROR(VLOOKUP(B446,'Pre-Summary'!$AZ$6:$BE$65,4,FALSE),"")</f>
        <v/>
      </c>
      <c r="AK446" s="10" t="str">
        <f>IFERROR(VLOOKUP(B446,'Pre-Summary'!$AZ$6:$BE$65,6,FALSE),"")</f>
        <v/>
      </c>
      <c r="AL446" s="10" t="str">
        <f>IFERROR(VLOOKUP(B446,'Pre-Summary'!$BG$6:$BL$44,3,FALSE),"")</f>
        <v/>
      </c>
      <c r="AM446" s="10" t="str">
        <f>IFERROR(VLOOKUP(B446,'Pre-Summary'!$BG$6:$BL$44,4,FALSE),"")</f>
        <v/>
      </c>
    </row>
    <row r="447" spans="2:39" ht="15" customHeight="1" x14ac:dyDescent="0.3">
      <c r="B447">
        <v>44.4</v>
      </c>
      <c r="C447" t="str">
        <f>IFERROR(VLOOKUP(B447,'Pre-Summary'!$DI$6:$DM$23,4,FALSE),"")</f>
        <v/>
      </c>
      <c r="D447" s="10" t="str">
        <f>IFERROR(VLOOKUP(B447,'Pre-Summary'!$AT$6:$AX$14,5,FALSE),D446)</f>
        <v>DSMZ v2: Dropped Na-Ac out of DSMZ 120 media</v>
      </c>
      <c r="E447" s="10" t="str">
        <f>IFERROR(VLOOKUP(B447,'Pre-Summary'!$AT$6:$AX$15,4,FALSE),"")</f>
        <v/>
      </c>
      <c r="F447">
        <f>IFERROR(VLOOKUP(B447,'Pre-Summary'!$AL$6:$AQ$13,6,FALSE),F446)</f>
        <v>5.9405263157894746E-2</v>
      </c>
      <c r="G447" t="str">
        <f>IFERROR(VLOOKUP(B447,'Pre-Summary'!$AE$6:$AJ$85,3,FALSE),"")</f>
        <v/>
      </c>
      <c r="H447" t="str">
        <f>IFERROR(VLOOKUP(B447,'Pre-Summary'!$AE$6:$AJ$85,4,FALSE),"")</f>
        <v/>
      </c>
      <c r="I447" t="str">
        <f>IFERROR(VLOOKUP(B447,'Pre-Summary'!$AE$6:$AJ$85,5,FALSE),"")</f>
        <v/>
      </c>
      <c r="J447" s="45" t="str">
        <f>IFERROR(VLOOKUP(B447,'Pre-Summary'!$AE$6:$AJ$85,6, FALSE),"")</f>
        <v/>
      </c>
      <c r="K447" s="45" t="str">
        <f>IFERROR(VLOOKUP(B447,'Pre-Summary'!$DE$6:$DG$61,3,FALSE),"")</f>
        <v/>
      </c>
      <c r="L447" s="45" t="str">
        <f>IFERROR(VLOOKUP(B447,'Pre-Summary'!$CU$6:$CW$36,3,FALSE),"")</f>
        <v/>
      </c>
      <c r="M447" s="45" t="str">
        <f>IFERROR(VLOOKUP(B447,'Pre-Summary'!$BW$6:$BY$58,2,FALSE),"")</f>
        <v/>
      </c>
      <c r="N447" s="45" t="str">
        <f>IFERROR(VLOOKUP(B447,'Pre-Summary'!$CD$6:$CF$64,2,FALSE),"")</f>
        <v/>
      </c>
      <c r="O447" s="99">
        <f>IFERROR(VLOOKUP(B447,'Pre-Summary'!$BO$6:$BQ$48,3, FALSE),O446)</f>
        <v>1.0915248032216731</v>
      </c>
      <c r="P447" s="99">
        <f>IFERROR(VLOOKUP(B447,'Pre-Summary'!$BS$6:$BU$35,3,FALSE),P446)</f>
        <v>0.25</v>
      </c>
      <c r="Q447" s="54">
        <f t="shared" si="18"/>
        <v>4.3660992128866924</v>
      </c>
      <c r="R447" s="53">
        <f>IFERROR(VLOOKUP(B447,'Pre-Summary'!$BG$6:$BM$44,7,FALSE),R448)</f>
        <v>7.5915763918363535E-2</v>
      </c>
      <c r="S447" s="53">
        <f>IFERROR(VLOOKUP(B447,'Pre-Summary'!$BG$6:$BM$44,6,FALSE),S448)</f>
        <v>5.2897473997019086E-2</v>
      </c>
      <c r="T447" s="45" t="str">
        <f>IFERROR(VLOOKUP(B447,'Pre-Summary'!$Y$6:$AC$83, 3,FALSE),"")</f>
        <v/>
      </c>
      <c r="U447" s="45" t="str">
        <f>IFERROR(VLOOKUP(B447,'Pre-Summary'!$Y$6:$AC$83, 4,FALSE),"")</f>
        <v/>
      </c>
      <c r="V447" t="str">
        <f>IFERROR(VLOOKUP(B447,'Pre-Summary'!$Y$6:$AC$83, 5,FALSE),"")</f>
        <v/>
      </c>
      <c r="W447" s="45" t="str">
        <f>IFERROR(VLOOKUP(B447,'Pre-Summary'!$Y$6:$AD$83,6,FALSE),"")</f>
        <v/>
      </c>
      <c r="X447" t="str">
        <f>IFERROR(VLOOKUP('Pre-Summary'!$DB$6:$DD$63,3,FALSE),"")</f>
        <v/>
      </c>
      <c r="Y447" t="str">
        <f>IFERROR(VLOOKUP(B447,'Pre-Summary'!$CR$6:$CT$36,3,FALSE),"")</f>
        <v/>
      </c>
      <c r="Z447" s="45" t="str">
        <f>IFERROR(VLOOKUP(B447,'Pre-Summary'!$BZ$6:$CB$63,2,FALSE),"")</f>
        <v/>
      </c>
      <c r="AA447" s="45" t="str">
        <f>IFERROR(VLOOKUP(B447,'Pre-Summary'!$CG$6:$CI$70,2,FALSE),"")</f>
        <v/>
      </c>
      <c r="AB447" s="99">
        <f>IFERROR(VLOOKUP(B447,'Pre-Summary'!$A$6:$P$178,9,FALSE),AB448)</f>
        <v>0.54933613431406059</v>
      </c>
      <c r="AC447" s="10">
        <f>IFERROR(VLOOKUP(Summary!B447,'Pre-Summary'!$A$6:$P$184,5, FALSE)/100,AC448)</f>
        <v>0.50395600000000007</v>
      </c>
      <c r="AD447" s="10">
        <f>IFERROR(VLOOKUP(Summary!B447,'Pre-Summary'!$A$6:$P$184,3, FALSE)/100,AD448)</f>
        <v>0.48541899999999999</v>
      </c>
      <c r="AE447" s="10">
        <f>IFERROR(VLOOKUP(Summary!B447,'Pre-Summary'!$A$6:$P$184,7, FALSE)/100,AE448)</f>
        <v>1.0624666666666666E-2</v>
      </c>
      <c r="AF447" s="99">
        <f t="shared" si="19"/>
        <v>0.26665819698259696</v>
      </c>
      <c r="AG447" s="99">
        <f t="shared" si="20"/>
        <v>5.8365133150421224E-3</v>
      </c>
      <c r="AH447" s="10" t="str">
        <f>IFERROR(VLOOKUP(B447,'Pre-Summary'!$AZ$6:$BE$65,3,FALSE),"")</f>
        <v/>
      </c>
      <c r="AI447" s="10" t="str">
        <f>IFERROR(VLOOKUP(B447,'Pre-Summary'!$AZ$6:$BE$65,5,FALSE),"")</f>
        <v/>
      </c>
      <c r="AJ447" s="10" t="str">
        <f>IFERROR(VLOOKUP(B447,'Pre-Summary'!$AZ$6:$BE$65,4,FALSE),"")</f>
        <v/>
      </c>
      <c r="AK447" s="10" t="str">
        <f>IFERROR(VLOOKUP(B447,'Pre-Summary'!$AZ$6:$BE$65,6,FALSE),"")</f>
        <v/>
      </c>
      <c r="AL447" s="10" t="str">
        <f>IFERROR(VLOOKUP(B447,'Pre-Summary'!$BG$6:$BL$44,3,FALSE),"")</f>
        <v/>
      </c>
      <c r="AM447" s="10" t="str">
        <f>IFERROR(VLOOKUP(B447,'Pre-Summary'!$BG$6:$BL$44,4,FALSE),"")</f>
        <v/>
      </c>
    </row>
    <row r="448" spans="2:39" ht="15" customHeight="1" x14ac:dyDescent="0.3">
      <c r="B448">
        <v>44.5</v>
      </c>
      <c r="C448" t="str">
        <f>IFERROR(VLOOKUP(B448,'Pre-Summary'!$DI$6:$DM$23,4,FALSE),"")</f>
        <v/>
      </c>
      <c r="D448" s="10" t="str">
        <f>IFERROR(VLOOKUP(B448,'Pre-Summary'!$AT$6:$AX$14,5,FALSE),D447)</f>
        <v>DSMZ v2: Dropped Na-Ac out of DSMZ 120 media</v>
      </c>
      <c r="E448" s="10" t="str">
        <f>IFERROR(VLOOKUP(B448,'Pre-Summary'!$AT$6:$AX$15,4,FALSE),"")</f>
        <v/>
      </c>
      <c r="F448">
        <f>IFERROR(VLOOKUP(B448,'Pre-Summary'!$AL$6:$AQ$13,6,FALSE),F447)</f>
        <v>5.9405263157894746E-2</v>
      </c>
      <c r="G448" t="str">
        <f>IFERROR(VLOOKUP(B448,'Pre-Summary'!$AE$6:$AJ$85,3,FALSE),"")</f>
        <v/>
      </c>
      <c r="H448" t="str">
        <f>IFERROR(VLOOKUP(B448,'Pre-Summary'!$AE$6:$AJ$85,4,FALSE),"")</f>
        <v/>
      </c>
      <c r="I448" t="str">
        <f>IFERROR(VLOOKUP(B448,'Pre-Summary'!$AE$6:$AJ$85,5,FALSE),"")</f>
        <v/>
      </c>
      <c r="J448" s="45" t="str">
        <f>IFERROR(VLOOKUP(B448,'Pre-Summary'!$AE$6:$AJ$85,6, FALSE),"")</f>
        <v/>
      </c>
      <c r="K448" s="45" t="str">
        <f>IFERROR(VLOOKUP(B448,'Pre-Summary'!$DE$6:$DG$61,3,FALSE),"")</f>
        <v/>
      </c>
      <c r="L448" s="45" t="str">
        <f>IFERROR(VLOOKUP(B448,'Pre-Summary'!$CU$6:$CW$36,3,FALSE),"")</f>
        <v/>
      </c>
      <c r="M448" s="45" t="str">
        <f>IFERROR(VLOOKUP(B448,'Pre-Summary'!$BW$6:$BY$58,2,FALSE),"")</f>
        <v/>
      </c>
      <c r="N448" s="45" t="str">
        <f>IFERROR(VLOOKUP(B448,'Pre-Summary'!$CD$6:$CF$64,2,FALSE),"")</f>
        <v/>
      </c>
      <c r="O448" s="99">
        <f>IFERROR(VLOOKUP(B448,'Pre-Summary'!$BO$6:$BQ$48,3, FALSE),O447)</f>
        <v>1.0915248032216731</v>
      </c>
      <c r="P448" s="99">
        <f>IFERROR(VLOOKUP(B448,'Pre-Summary'!$BS$6:$BU$35,3,FALSE),P447)</f>
        <v>0.25</v>
      </c>
      <c r="Q448" s="54">
        <f t="shared" si="18"/>
        <v>4.3660992128866924</v>
      </c>
      <c r="R448" s="53">
        <f>IFERROR(VLOOKUP(B448,'Pre-Summary'!$BG$6:$BM$44,7,FALSE),R449)</f>
        <v>7.5915763918363535E-2</v>
      </c>
      <c r="S448" s="53">
        <f>IFERROR(VLOOKUP(B448,'Pre-Summary'!$BG$6:$BM$44,6,FALSE),S449)</f>
        <v>5.2897473997019086E-2</v>
      </c>
      <c r="T448" s="45" t="str">
        <f>IFERROR(VLOOKUP(B448,'Pre-Summary'!$Y$6:$AC$83, 3,FALSE),"")</f>
        <v/>
      </c>
      <c r="U448" s="45" t="str">
        <f>IFERROR(VLOOKUP(B448,'Pre-Summary'!$Y$6:$AC$83, 4,FALSE),"")</f>
        <v/>
      </c>
      <c r="V448" t="str">
        <f>IFERROR(VLOOKUP(B448,'Pre-Summary'!$Y$6:$AC$83, 5,FALSE),"")</f>
        <v/>
      </c>
      <c r="W448" s="45" t="str">
        <f>IFERROR(VLOOKUP(B448,'Pre-Summary'!$Y$6:$AD$83,6,FALSE),"")</f>
        <v/>
      </c>
      <c r="X448" t="str">
        <f>IFERROR(VLOOKUP('Pre-Summary'!$DB$6:$DD$63,3,FALSE),"")</f>
        <v/>
      </c>
      <c r="Y448" t="str">
        <f>IFERROR(VLOOKUP(B448,'Pre-Summary'!$CR$6:$CT$36,3,FALSE),"")</f>
        <v/>
      </c>
      <c r="Z448" s="45" t="str">
        <f>IFERROR(VLOOKUP(B448,'Pre-Summary'!$BZ$6:$CB$63,2,FALSE),"")</f>
        <v/>
      </c>
      <c r="AA448" s="45" t="str">
        <f>IFERROR(VLOOKUP(B448,'Pre-Summary'!$CG$6:$CI$70,2,FALSE),"")</f>
        <v/>
      </c>
      <c r="AB448" s="99">
        <f>IFERROR(VLOOKUP(B448,'Pre-Summary'!$A$6:$P$178,9,FALSE),AB449)</f>
        <v>0.54933613431406059</v>
      </c>
      <c r="AC448" s="10">
        <f>IFERROR(VLOOKUP(Summary!B448,'Pre-Summary'!$A$6:$P$184,5, FALSE)/100,AC449)</f>
        <v>0.50395600000000007</v>
      </c>
      <c r="AD448" s="10">
        <f>IFERROR(VLOOKUP(Summary!B448,'Pre-Summary'!$A$6:$P$184,3, FALSE)/100,AD449)</f>
        <v>0.48541899999999999</v>
      </c>
      <c r="AE448" s="10">
        <f>IFERROR(VLOOKUP(Summary!B448,'Pre-Summary'!$A$6:$P$184,7, FALSE)/100,AE449)</f>
        <v>1.0624666666666666E-2</v>
      </c>
      <c r="AF448" s="99">
        <f t="shared" si="19"/>
        <v>0.26665819698259696</v>
      </c>
      <c r="AG448" s="99">
        <f t="shared" si="20"/>
        <v>5.8365133150421224E-3</v>
      </c>
      <c r="AH448" s="10" t="str">
        <f>IFERROR(VLOOKUP(B448,'Pre-Summary'!$AZ$6:$BE$65,3,FALSE),"")</f>
        <v/>
      </c>
      <c r="AI448" s="10" t="str">
        <f>IFERROR(VLOOKUP(B448,'Pre-Summary'!$AZ$6:$BE$65,5,FALSE),"")</f>
        <v/>
      </c>
      <c r="AJ448" s="10" t="str">
        <f>IFERROR(VLOOKUP(B448,'Pre-Summary'!$AZ$6:$BE$65,4,FALSE),"")</f>
        <v/>
      </c>
      <c r="AK448" s="10" t="str">
        <f>IFERROR(VLOOKUP(B448,'Pre-Summary'!$AZ$6:$BE$65,6,FALSE),"")</f>
        <v/>
      </c>
      <c r="AL448" s="10" t="str">
        <f>IFERROR(VLOOKUP(B448,'Pre-Summary'!$BG$6:$BL$44,3,FALSE),"")</f>
        <v/>
      </c>
      <c r="AM448" s="10" t="str">
        <f>IFERROR(VLOOKUP(B448,'Pre-Summary'!$BG$6:$BL$44,4,FALSE),"")</f>
        <v/>
      </c>
    </row>
    <row r="449" spans="2:39" ht="15" customHeight="1" x14ac:dyDescent="0.3">
      <c r="B449">
        <v>44.6</v>
      </c>
      <c r="C449" t="str">
        <f>IFERROR(VLOOKUP(B449,'Pre-Summary'!$DI$6:$DM$23,4,FALSE),"")</f>
        <v/>
      </c>
      <c r="D449" s="10" t="str">
        <f>IFERROR(VLOOKUP(B449,'Pre-Summary'!$AT$6:$AX$14,5,FALSE),D448)</f>
        <v>DSMZ v2: Dropped Na-Ac out of DSMZ 120 media</v>
      </c>
      <c r="E449" s="10" t="str">
        <f>IFERROR(VLOOKUP(B449,'Pre-Summary'!$AT$6:$AX$15,4,FALSE),"")</f>
        <v/>
      </c>
      <c r="F449">
        <f>IFERROR(VLOOKUP(B449,'Pre-Summary'!$AL$6:$AQ$13,6,FALSE),F448)</f>
        <v>5.9405263157894746E-2</v>
      </c>
      <c r="G449" t="str">
        <f>IFERROR(VLOOKUP(B449,'Pre-Summary'!$AE$6:$AJ$85,3,FALSE),"")</f>
        <v/>
      </c>
      <c r="H449" t="str">
        <f>IFERROR(VLOOKUP(B449,'Pre-Summary'!$AE$6:$AJ$85,4,FALSE),"")</f>
        <v/>
      </c>
      <c r="I449" t="str">
        <f>IFERROR(VLOOKUP(B449,'Pre-Summary'!$AE$6:$AJ$85,5,FALSE),"")</f>
        <v/>
      </c>
      <c r="J449" s="45" t="str">
        <f>IFERROR(VLOOKUP(B449,'Pre-Summary'!$AE$6:$AJ$85,6, FALSE),"")</f>
        <v/>
      </c>
      <c r="K449" s="45" t="str">
        <f>IFERROR(VLOOKUP(B449,'Pre-Summary'!$DE$6:$DG$61,3,FALSE),"")</f>
        <v/>
      </c>
      <c r="L449" s="45" t="str">
        <f>IFERROR(VLOOKUP(B449,'Pre-Summary'!$CU$6:$CW$36,3,FALSE),"")</f>
        <v/>
      </c>
      <c r="M449" s="45" t="str">
        <f>IFERROR(VLOOKUP(B449,'Pre-Summary'!$BW$6:$BY$58,2,FALSE),"")</f>
        <v/>
      </c>
      <c r="N449" s="45" t="str">
        <f>IFERROR(VLOOKUP(B449,'Pre-Summary'!$CD$6:$CF$64,2,FALSE),"")</f>
        <v/>
      </c>
      <c r="O449" s="99">
        <f>IFERROR(VLOOKUP(B449,'Pre-Summary'!$BO$6:$BQ$48,3, FALSE),O448)</f>
        <v>1.0915248032216731</v>
      </c>
      <c r="P449" s="99">
        <f>IFERROR(VLOOKUP(B449,'Pre-Summary'!$BS$6:$BU$35,3,FALSE),P448)</f>
        <v>0.25</v>
      </c>
      <c r="Q449" s="54">
        <f t="shared" si="18"/>
        <v>4.3660992128866924</v>
      </c>
      <c r="R449" s="53">
        <f>IFERROR(VLOOKUP(B449,'Pre-Summary'!$BG$6:$BM$44,7,FALSE),R450)</f>
        <v>7.5915763918363535E-2</v>
      </c>
      <c r="S449" s="53">
        <f>IFERROR(VLOOKUP(B449,'Pre-Summary'!$BG$6:$BM$44,6,FALSE),S450)</f>
        <v>5.2897473997019086E-2</v>
      </c>
      <c r="T449" s="45" t="str">
        <f>IFERROR(VLOOKUP(B449,'Pre-Summary'!$Y$6:$AC$83, 3,FALSE),"")</f>
        <v/>
      </c>
      <c r="U449" s="45" t="str">
        <f>IFERROR(VLOOKUP(B449,'Pre-Summary'!$Y$6:$AC$83, 4,FALSE),"")</f>
        <v/>
      </c>
      <c r="V449" t="str">
        <f>IFERROR(VLOOKUP(B449,'Pre-Summary'!$Y$6:$AC$83, 5,FALSE),"")</f>
        <v/>
      </c>
      <c r="W449" s="45" t="str">
        <f>IFERROR(VLOOKUP(B449,'Pre-Summary'!$Y$6:$AD$83,6,FALSE),"")</f>
        <v/>
      </c>
      <c r="X449" t="str">
        <f>IFERROR(VLOOKUP('Pre-Summary'!$DB$6:$DD$63,3,FALSE),"")</f>
        <v/>
      </c>
      <c r="Y449" t="str">
        <f>IFERROR(VLOOKUP(B449,'Pre-Summary'!$CR$6:$CT$36,3,FALSE),"")</f>
        <v/>
      </c>
      <c r="Z449" s="45" t="str">
        <f>IFERROR(VLOOKUP(B449,'Pre-Summary'!$BZ$6:$CB$63,2,FALSE),"")</f>
        <v/>
      </c>
      <c r="AA449" s="45" t="str">
        <f>IFERROR(VLOOKUP(B449,'Pre-Summary'!$CG$6:$CI$70,2,FALSE),"")</f>
        <v/>
      </c>
      <c r="AB449" s="99">
        <f>IFERROR(VLOOKUP(B449,'Pre-Summary'!$A$6:$P$178,9,FALSE),AB450)</f>
        <v>0.54933613431406059</v>
      </c>
      <c r="AC449" s="10">
        <f>IFERROR(VLOOKUP(Summary!B449,'Pre-Summary'!$A$6:$P$184,5, FALSE)/100,AC450)</f>
        <v>0.50395600000000007</v>
      </c>
      <c r="AD449" s="10">
        <f>IFERROR(VLOOKUP(Summary!B449,'Pre-Summary'!$A$6:$P$184,3, FALSE)/100,AD450)</f>
        <v>0.48541899999999999</v>
      </c>
      <c r="AE449" s="10">
        <f>IFERROR(VLOOKUP(Summary!B449,'Pre-Summary'!$A$6:$P$184,7, FALSE)/100,AE450)</f>
        <v>1.0624666666666666E-2</v>
      </c>
      <c r="AF449" s="99">
        <f t="shared" si="19"/>
        <v>0.26665819698259696</v>
      </c>
      <c r="AG449" s="99">
        <f t="shared" si="20"/>
        <v>5.8365133150421224E-3</v>
      </c>
      <c r="AH449" s="10" t="str">
        <f>IFERROR(VLOOKUP(B449,'Pre-Summary'!$AZ$6:$BE$65,3,FALSE),"")</f>
        <v/>
      </c>
      <c r="AI449" s="10" t="str">
        <f>IFERROR(VLOOKUP(B449,'Pre-Summary'!$AZ$6:$BE$65,5,FALSE),"")</f>
        <v/>
      </c>
      <c r="AJ449" s="10" t="str">
        <f>IFERROR(VLOOKUP(B449,'Pre-Summary'!$AZ$6:$BE$65,4,FALSE),"")</f>
        <v/>
      </c>
      <c r="AK449" s="10" t="str">
        <f>IFERROR(VLOOKUP(B449,'Pre-Summary'!$AZ$6:$BE$65,6,FALSE),"")</f>
        <v/>
      </c>
      <c r="AL449" s="10" t="str">
        <f>IFERROR(VLOOKUP(B449,'Pre-Summary'!$BG$6:$BL$44,3,FALSE),"")</f>
        <v/>
      </c>
      <c r="AM449" s="10" t="str">
        <f>IFERROR(VLOOKUP(B449,'Pre-Summary'!$BG$6:$BL$44,4,FALSE),"")</f>
        <v/>
      </c>
    </row>
    <row r="450" spans="2:39" ht="15" customHeight="1" x14ac:dyDescent="0.3">
      <c r="B450">
        <v>44.7</v>
      </c>
      <c r="C450" t="str">
        <f>IFERROR(VLOOKUP(B450,'Pre-Summary'!$DI$6:$DM$23,4,FALSE),"")</f>
        <v/>
      </c>
      <c r="D450" s="10" t="str">
        <f>IFERROR(VLOOKUP(B450,'Pre-Summary'!$AT$6:$AX$14,5,FALSE),D449)</f>
        <v>DSMZ v2: Dropped Na-Ac out of DSMZ 120 media</v>
      </c>
      <c r="E450" s="10" t="str">
        <f>IFERROR(VLOOKUP(B450,'Pre-Summary'!$AT$6:$AX$15,4,FALSE),"")</f>
        <v/>
      </c>
      <c r="F450">
        <f>IFERROR(VLOOKUP(B450,'Pre-Summary'!$AL$6:$AQ$13,6,FALSE),F449)</f>
        <v>5.9405263157894746E-2</v>
      </c>
      <c r="G450" t="str">
        <f>IFERROR(VLOOKUP(B450,'Pre-Summary'!$AE$6:$AJ$85,3,FALSE),"")</f>
        <v/>
      </c>
      <c r="H450" t="str">
        <f>IFERROR(VLOOKUP(B450,'Pre-Summary'!$AE$6:$AJ$85,4,FALSE),"")</f>
        <v/>
      </c>
      <c r="I450" t="str">
        <f>IFERROR(VLOOKUP(B450,'Pre-Summary'!$AE$6:$AJ$85,5,FALSE),"")</f>
        <v/>
      </c>
      <c r="J450" s="45" t="str">
        <f>IFERROR(VLOOKUP(B450,'Pre-Summary'!$AE$6:$AJ$85,6, FALSE),"")</f>
        <v/>
      </c>
      <c r="K450" s="45" t="str">
        <f>IFERROR(VLOOKUP(B450,'Pre-Summary'!$DE$6:$DG$61,3,FALSE),"")</f>
        <v/>
      </c>
      <c r="L450" s="45" t="str">
        <f>IFERROR(VLOOKUP(B450,'Pre-Summary'!$CU$6:$CW$36,3,FALSE),"")</f>
        <v/>
      </c>
      <c r="M450" s="45" t="str">
        <f>IFERROR(VLOOKUP(B450,'Pre-Summary'!$BW$6:$BY$58,2,FALSE),"")</f>
        <v/>
      </c>
      <c r="N450" s="45" t="str">
        <f>IFERROR(VLOOKUP(B450,'Pre-Summary'!$CD$6:$CF$64,2,FALSE),"")</f>
        <v/>
      </c>
      <c r="O450" s="99">
        <f>IFERROR(VLOOKUP(B450,'Pre-Summary'!$BO$6:$BQ$48,3, FALSE),O449)</f>
        <v>1.0915248032216731</v>
      </c>
      <c r="P450" s="99">
        <f>IFERROR(VLOOKUP(B450,'Pre-Summary'!$BS$6:$BU$35,3,FALSE),P449)</f>
        <v>0.25</v>
      </c>
      <c r="Q450" s="54">
        <f t="shared" si="18"/>
        <v>4.3660992128866924</v>
      </c>
      <c r="R450" s="53">
        <f>IFERROR(VLOOKUP(B450,'Pre-Summary'!$BG$6:$BM$44,7,FALSE),R451)</f>
        <v>7.5915763918363535E-2</v>
      </c>
      <c r="S450" s="53">
        <f>IFERROR(VLOOKUP(B450,'Pre-Summary'!$BG$6:$BM$44,6,FALSE),S451)</f>
        <v>5.2897473997019086E-2</v>
      </c>
      <c r="T450" s="45" t="str">
        <f>IFERROR(VLOOKUP(B450,'Pre-Summary'!$Y$6:$AC$83, 3,FALSE),"")</f>
        <v/>
      </c>
      <c r="U450" s="45" t="str">
        <f>IFERROR(VLOOKUP(B450,'Pre-Summary'!$Y$6:$AC$83, 4,FALSE),"")</f>
        <v/>
      </c>
      <c r="V450" t="str">
        <f>IFERROR(VLOOKUP(B450,'Pre-Summary'!$Y$6:$AC$83, 5,FALSE),"")</f>
        <v/>
      </c>
      <c r="W450" s="45" t="str">
        <f>IFERROR(VLOOKUP(B450,'Pre-Summary'!$Y$6:$AD$83,6,FALSE),"")</f>
        <v/>
      </c>
      <c r="X450" t="str">
        <f>IFERROR(VLOOKUP('Pre-Summary'!$DB$6:$DD$63,3,FALSE),"")</f>
        <v/>
      </c>
      <c r="Y450" t="str">
        <f>IFERROR(VLOOKUP(B450,'Pre-Summary'!$CR$6:$CT$36,3,FALSE),"")</f>
        <v/>
      </c>
      <c r="Z450" s="45" t="str">
        <f>IFERROR(VLOOKUP(B450,'Pre-Summary'!$BZ$6:$CB$63,2,FALSE),"")</f>
        <v/>
      </c>
      <c r="AA450" s="45" t="str">
        <f>IFERROR(VLOOKUP(B450,'Pre-Summary'!$CG$6:$CI$70,2,FALSE),"")</f>
        <v/>
      </c>
      <c r="AB450" s="99">
        <f>IFERROR(VLOOKUP(B450,'Pre-Summary'!$A$6:$P$178,9,FALSE),AB451)</f>
        <v>0.54933613431406059</v>
      </c>
      <c r="AC450" s="10">
        <f>IFERROR(VLOOKUP(Summary!B450,'Pre-Summary'!$A$6:$P$184,5, FALSE)/100,AC451)</f>
        <v>0.50395600000000007</v>
      </c>
      <c r="AD450" s="10">
        <f>IFERROR(VLOOKUP(Summary!B450,'Pre-Summary'!$A$6:$P$184,3, FALSE)/100,AD451)</f>
        <v>0.48541899999999999</v>
      </c>
      <c r="AE450" s="10">
        <f>IFERROR(VLOOKUP(Summary!B450,'Pre-Summary'!$A$6:$P$184,7, FALSE)/100,AE451)</f>
        <v>1.0624666666666666E-2</v>
      </c>
      <c r="AF450" s="99">
        <f t="shared" si="19"/>
        <v>0.26665819698259696</v>
      </c>
      <c r="AG450" s="99">
        <f t="shared" si="20"/>
        <v>5.8365133150421224E-3</v>
      </c>
      <c r="AH450" s="10" t="str">
        <f>IFERROR(VLOOKUP(B450,'Pre-Summary'!$AZ$6:$BE$65,3,FALSE),"")</f>
        <v/>
      </c>
      <c r="AI450" s="10" t="str">
        <f>IFERROR(VLOOKUP(B450,'Pre-Summary'!$AZ$6:$BE$65,5,FALSE),"")</f>
        <v/>
      </c>
      <c r="AJ450" s="10" t="str">
        <f>IFERROR(VLOOKUP(B450,'Pre-Summary'!$AZ$6:$BE$65,4,FALSE),"")</f>
        <v/>
      </c>
      <c r="AK450" s="10" t="str">
        <f>IFERROR(VLOOKUP(B450,'Pre-Summary'!$AZ$6:$BE$65,6,FALSE),"")</f>
        <v/>
      </c>
      <c r="AL450" s="10" t="str">
        <f>IFERROR(VLOOKUP(B450,'Pre-Summary'!$BG$6:$BL$44,3,FALSE),"")</f>
        <v/>
      </c>
      <c r="AM450" s="10" t="str">
        <f>IFERROR(VLOOKUP(B450,'Pre-Summary'!$BG$6:$BL$44,4,FALSE),"")</f>
        <v/>
      </c>
    </row>
    <row r="451" spans="2:39" ht="15" customHeight="1" x14ac:dyDescent="0.3">
      <c r="B451">
        <v>44.8</v>
      </c>
      <c r="C451" t="str">
        <f>IFERROR(VLOOKUP(B451,'Pre-Summary'!$DI$6:$DM$23,4,FALSE),"")</f>
        <v/>
      </c>
      <c r="D451" s="10" t="str">
        <f>IFERROR(VLOOKUP(B451,'Pre-Summary'!$AT$6:$AX$14,5,FALSE),D450)</f>
        <v>DSMZ v2: Dropped Na-Ac out of DSMZ 120 media</v>
      </c>
      <c r="E451" s="10" t="str">
        <f>IFERROR(VLOOKUP(B451,'Pre-Summary'!$AT$6:$AX$15,4,FALSE),"")</f>
        <v/>
      </c>
      <c r="F451">
        <f>IFERROR(VLOOKUP(B451,'Pre-Summary'!$AL$6:$AQ$13,6,FALSE),F450)</f>
        <v>5.9405263157894746E-2</v>
      </c>
      <c r="G451" t="str">
        <f>IFERROR(VLOOKUP(B451,'Pre-Summary'!$AE$6:$AJ$85,3,FALSE),"")</f>
        <v/>
      </c>
      <c r="H451" t="str">
        <f>IFERROR(VLOOKUP(B451,'Pre-Summary'!$AE$6:$AJ$85,4,FALSE),"")</f>
        <v/>
      </c>
      <c r="I451" t="str">
        <f>IFERROR(VLOOKUP(B451,'Pre-Summary'!$AE$6:$AJ$85,5,FALSE),"")</f>
        <v/>
      </c>
      <c r="J451" s="45" t="str">
        <f>IFERROR(VLOOKUP(B451,'Pre-Summary'!$AE$6:$AJ$85,6, FALSE),"")</f>
        <v/>
      </c>
      <c r="K451" s="45" t="str">
        <f>IFERROR(VLOOKUP(B451,'Pre-Summary'!$DE$6:$DG$61,3,FALSE),"")</f>
        <v/>
      </c>
      <c r="L451" s="45" t="str">
        <f>IFERROR(VLOOKUP(B451,'Pre-Summary'!$CU$6:$CW$36,3,FALSE),"")</f>
        <v/>
      </c>
      <c r="M451" s="45" t="str">
        <f>IFERROR(VLOOKUP(B451,'Pre-Summary'!$BW$6:$BY$58,2,FALSE),"")</f>
        <v/>
      </c>
      <c r="N451" s="45" t="str">
        <f>IFERROR(VLOOKUP(B451,'Pre-Summary'!$CD$6:$CF$64,2,FALSE),"")</f>
        <v/>
      </c>
      <c r="O451" s="99">
        <f>IFERROR(VLOOKUP(B451,'Pre-Summary'!$BO$6:$BQ$48,3, FALSE),O450)</f>
        <v>1.0915248032216731</v>
      </c>
      <c r="P451" s="99">
        <f>IFERROR(VLOOKUP(B451,'Pre-Summary'!$BS$6:$BU$35,3,FALSE),P450)</f>
        <v>0.25</v>
      </c>
      <c r="Q451" s="54">
        <f t="shared" ref="Q451:Q514" si="21">O451/P451</f>
        <v>4.3660992128866924</v>
      </c>
      <c r="R451" s="53">
        <f>IFERROR(VLOOKUP(B451,'Pre-Summary'!$BG$6:$BM$44,7,FALSE),R452)</f>
        <v>7.5915763918363535E-2</v>
      </c>
      <c r="S451" s="53">
        <f>IFERROR(VLOOKUP(B451,'Pre-Summary'!$BG$6:$BM$44,6,FALSE),S452)</f>
        <v>5.2897473997019086E-2</v>
      </c>
      <c r="T451" s="45" t="str">
        <f>IFERROR(VLOOKUP(B451,'Pre-Summary'!$Y$6:$AC$83, 3,FALSE),"")</f>
        <v/>
      </c>
      <c r="U451" s="45" t="str">
        <f>IFERROR(VLOOKUP(B451,'Pre-Summary'!$Y$6:$AC$83, 4,FALSE),"")</f>
        <v/>
      </c>
      <c r="V451" t="str">
        <f>IFERROR(VLOOKUP(B451,'Pre-Summary'!$Y$6:$AC$83, 5,FALSE),"")</f>
        <v/>
      </c>
      <c r="W451" s="45" t="str">
        <f>IFERROR(VLOOKUP(B451,'Pre-Summary'!$Y$6:$AD$83,6,FALSE),"")</f>
        <v/>
      </c>
      <c r="X451" t="str">
        <f>IFERROR(VLOOKUP('Pre-Summary'!$DB$6:$DD$63,3,FALSE),"")</f>
        <v/>
      </c>
      <c r="Y451" t="str">
        <f>IFERROR(VLOOKUP(B451,'Pre-Summary'!$CR$6:$CT$36,3,FALSE),"")</f>
        <v/>
      </c>
      <c r="Z451" s="45" t="str">
        <f>IFERROR(VLOOKUP(B451,'Pre-Summary'!$BZ$6:$CB$63,2,FALSE),"")</f>
        <v/>
      </c>
      <c r="AA451" s="45" t="str">
        <f>IFERROR(VLOOKUP(B451,'Pre-Summary'!$CG$6:$CI$70,2,FALSE),"")</f>
        <v/>
      </c>
      <c r="AB451" s="99">
        <f>IFERROR(VLOOKUP(B451,'Pre-Summary'!$A$6:$P$178,9,FALSE),AB452)</f>
        <v>0.54933613431406059</v>
      </c>
      <c r="AC451" s="10">
        <f>IFERROR(VLOOKUP(Summary!B451,'Pre-Summary'!$A$6:$P$184,5, FALSE)/100,AC452)</f>
        <v>0.50395600000000007</v>
      </c>
      <c r="AD451" s="10">
        <f>IFERROR(VLOOKUP(Summary!B451,'Pre-Summary'!$A$6:$P$184,3, FALSE)/100,AD452)</f>
        <v>0.48541899999999999</v>
      </c>
      <c r="AE451" s="10">
        <f>IFERROR(VLOOKUP(Summary!B451,'Pre-Summary'!$A$6:$P$184,7, FALSE)/100,AE452)</f>
        <v>1.0624666666666666E-2</v>
      </c>
      <c r="AF451" s="99">
        <f t="shared" ref="AF451:AF514" si="22">AD451*AB451</f>
        <v>0.26665819698259696</v>
      </c>
      <c r="AG451" s="99">
        <f t="shared" ref="AG451:AG514" si="23">AB451*AE451</f>
        <v>5.8365133150421224E-3</v>
      </c>
      <c r="AH451" s="10" t="str">
        <f>IFERROR(VLOOKUP(B451,'Pre-Summary'!$AZ$6:$BE$65,3,FALSE),"")</f>
        <v/>
      </c>
      <c r="AI451" s="10" t="str">
        <f>IFERROR(VLOOKUP(B451,'Pre-Summary'!$AZ$6:$BE$65,5,FALSE),"")</f>
        <v/>
      </c>
      <c r="AJ451" s="10" t="str">
        <f>IFERROR(VLOOKUP(B451,'Pre-Summary'!$AZ$6:$BE$65,4,FALSE),"")</f>
        <v/>
      </c>
      <c r="AK451" s="10" t="str">
        <f>IFERROR(VLOOKUP(B451,'Pre-Summary'!$AZ$6:$BE$65,6,FALSE),"")</f>
        <v/>
      </c>
      <c r="AL451" s="10" t="str">
        <f>IFERROR(VLOOKUP(B451,'Pre-Summary'!$BG$6:$BL$44,3,FALSE),"")</f>
        <v/>
      </c>
      <c r="AM451" s="10" t="str">
        <f>IFERROR(VLOOKUP(B451,'Pre-Summary'!$BG$6:$BL$44,4,FALSE),"")</f>
        <v/>
      </c>
    </row>
    <row r="452" spans="2:39" ht="15" customHeight="1" x14ac:dyDescent="0.3">
      <c r="B452">
        <v>44.9</v>
      </c>
      <c r="C452" t="str">
        <f>IFERROR(VLOOKUP(B452,'Pre-Summary'!$DI$6:$DM$23,4,FALSE),"")</f>
        <v/>
      </c>
      <c r="D452" s="10" t="str">
        <f>IFERROR(VLOOKUP(B452,'Pre-Summary'!$AT$6:$AX$14,5,FALSE),D451)</f>
        <v>DSMZ v2: Dropped Na-Ac out of DSMZ 120 media</v>
      </c>
      <c r="E452" s="10" t="str">
        <f>IFERROR(VLOOKUP(B452,'Pre-Summary'!$AT$6:$AX$15,4,FALSE),"")</f>
        <v/>
      </c>
      <c r="F452">
        <f>IFERROR(VLOOKUP(B452,'Pre-Summary'!$AL$6:$AQ$13,6,FALSE),F451)</f>
        <v>5.9405263157894746E-2</v>
      </c>
      <c r="G452" t="str">
        <f>IFERROR(VLOOKUP(B452,'Pre-Summary'!$AE$6:$AJ$85,3,FALSE),"")</f>
        <v/>
      </c>
      <c r="H452" t="str">
        <f>IFERROR(VLOOKUP(B452,'Pre-Summary'!$AE$6:$AJ$85,4,FALSE),"")</f>
        <v/>
      </c>
      <c r="I452" t="str">
        <f>IFERROR(VLOOKUP(B452,'Pre-Summary'!$AE$6:$AJ$85,5,FALSE),"")</f>
        <v/>
      </c>
      <c r="J452" s="45" t="str">
        <f>IFERROR(VLOOKUP(B452,'Pre-Summary'!$AE$6:$AJ$85,6, FALSE),"")</f>
        <v/>
      </c>
      <c r="K452" s="45" t="str">
        <f>IFERROR(VLOOKUP(B452,'Pre-Summary'!$DE$6:$DG$61,3,FALSE),"")</f>
        <v/>
      </c>
      <c r="L452" s="45" t="str">
        <f>IFERROR(VLOOKUP(B452,'Pre-Summary'!$CU$6:$CW$36,3,FALSE),"")</f>
        <v/>
      </c>
      <c r="M452" s="45" t="str">
        <f>IFERROR(VLOOKUP(B452,'Pre-Summary'!$BW$6:$BY$58,2,FALSE),"")</f>
        <v/>
      </c>
      <c r="N452" s="45" t="str">
        <f>IFERROR(VLOOKUP(B452,'Pre-Summary'!$CD$6:$CF$64,2,FALSE),"")</f>
        <v/>
      </c>
      <c r="O452" s="99">
        <f>IFERROR(VLOOKUP(B452,'Pre-Summary'!$BO$6:$BQ$48,3, FALSE),O451)</f>
        <v>1.0915248032216731</v>
      </c>
      <c r="P452" s="99">
        <f>IFERROR(VLOOKUP(B452,'Pre-Summary'!$BS$6:$BU$35,3,FALSE),P451)</f>
        <v>0.25</v>
      </c>
      <c r="Q452" s="54">
        <f t="shared" si="21"/>
        <v>4.3660992128866924</v>
      </c>
      <c r="R452" s="53">
        <f>IFERROR(VLOOKUP(B452,'Pre-Summary'!$BG$6:$BM$44,7,FALSE),R453)</f>
        <v>7.5915763918363535E-2</v>
      </c>
      <c r="S452" s="53">
        <f>IFERROR(VLOOKUP(B452,'Pre-Summary'!$BG$6:$BM$44,6,FALSE),S453)</f>
        <v>5.2897473997019086E-2</v>
      </c>
      <c r="T452" s="45" t="str">
        <f>IFERROR(VLOOKUP(B452,'Pre-Summary'!$Y$6:$AC$83, 3,FALSE),"")</f>
        <v/>
      </c>
      <c r="U452" s="45" t="str">
        <f>IFERROR(VLOOKUP(B452,'Pre-Summary'!$Y$6:$AC$83, 4,FALSE),"")</f>
        <v/>
      </c>
      <c r="V452" t="str">
        <f>IFERROR(VLOOKUP(B452,'Pre-Summary'!$Y$6:$AC$83, 5,FALSE),"")</f>
        <v/>
      </c>
      <c r="W452" s="45" t="str">
        <f>IFERROR(VLOOKUP(B452,'Pre-Summary'!$Y$6:$AD$83,6,FALSE),"")</f>
        <v/>
      </c>
      <c r="X452" t="str">
        <f>IFERROR(VLOOKUP('Pre-Summary'!$DB$6:$DD$63,3,FALSE),"")</f>
        <v/>
      </c>
      <c r="Y452" t="str">
        <f>IFERROR(VLOOKUP(B452,'Pre-Summary'!$CR$6:$CT$36,3,FALSE),"")</f>
        <v/>
      </c>
      <c r="Z452" s="45" t="str">
        <f>IFERROR(VLOOKUP(B452,'Pre-Summary'!$BZ$6:$CB$63,2,FALSE),"")</f>
        <v/>
      </c>
      <c r="AA452" s="45" t="str">
        <f>IFERROR(VLOOKUP(B452,'Pre-Summary'!$CG$6:$CI$70,2,FALSE),"")</f>
        <v/>
      </c>
      <c r="AB452" s="99">
        <f>IFERROR(VLOOKUP(B452,'Pre-Summary'!$A$6:$P$178,9,FALSE),AB453)</f>
        <v>0.54933613431406059</v>
      </c>
      <c r="AC452" s="10">
        <f>IFERROR(VLOOKUP(Summary!B452,'Pre-Summary'!$A$6:$P$184,5, FALSE)/100,AC453)</f>
        <v>0.50395600000000007</v>
      </c>
      <c r="AD452" s="10">
        <f>IFERROR(VLOOKUP(Summary!B452,'Pre-Summary'!$A$6:$P$184,3, FALSE)/100,AD453)</f>
        <v>0.48541899999999999</v>
      </c>
      <c r="AE452" s="10">
        <f>IFERROR(VLOOKUP(Summary!B452,'Pre-Summary'!$A$6:$P$184,7, FALSE)/100,AE453)</f>
        <v>1.0624666666666666E-2</v>
      </c>
      <c r="AF452" s="99">
        <f t="shared" si="22"/>
        <v>0.26665819698259696</v>
      </c>
      <c r="AG452" s="99">
        <f t="shared" si="23"/>
        <v>5.8365133150421224E-3</v>
      </c>
      <c r="AH452" s="10" t="str">
        <f>IFERROR(VLOOKUP(B452,'Pre-Summary'!$AZ$6:$BE$65,3,FALSE),"")</f>
        <v/>
      </c>
      <c r="AI452" s="10" t="str">
        <f>IFERROR(VLOOKUP(B452,'Pre-Summary'!$AZ$6:$BE$65,5,FALSE),"")</f>
        <v/>
      </c>
      <c r="AJ452" s="10" t="str">
        <f>IFERROR(VLOOKUP(B452,'Pre-Summary'!$AZ$6:$BE$65,4,FALSE),"")</f>
        <v/>
      </c>
      <c r="AK452" s="10" t="str">
        <f>IFERROR(VLOOKUP(B452,'Pre-Summary'!$AZ$6:$BE$65,6,FALSE),"")</f>
        <v/>
      </c>
      <c r="AL452" s="10" t="str">
        <f>IFERROR(VLOOKUP(B452,'Pre-Summary'!$BG$6:$BL$44,3,FALSE),"")</f>
        <v/>
      </c>
      <c r="AM452" s="10" t="str">
        <f>IFERROR(VLOOKUP(B452,'Pre-Summary'!$BG$6:$BL$44,4,FALSE),"")</f>
        <v/>
      </c>
    </row>
    <row r="453" spans="2:39" ht="15" customHeight="1" x14ac:dyDescent="0.3">
      <c r="B453">
        <v>45</v>
      </c>
      <c r="C453" t="str">
        <f>IFERROR(VLOOKUP(B453,'Pre-Summary'!$DI$6:$DM$23,4,FALSE),"")</f>
        <v/>
      </c>
      <c r="D453" s="10" t="str">
        <f>IFERROR(VLOOKUP(B453,'Pre-Summary'!$AT$6:$AX$14,5,FALSE),D452)</f>
        <v>DSMZ v2: Dropped Na-Ac out of DSMZ 120 media</v>
      </c>
      <c r="E453" s="10" t="str">
        <f>IFERROR(VLOOKUP(B453,'Pre-Summary'!$AT$6:$AX$15,4,FALSE),"")</f>
        <v/>
      </c>
      <c r="F453">
        <f>IFERROR(VLOOKUP(B453,'Pre-Summary'!$AL$6:$AQ$13,6,FALSE),F452)</f>
        <v>5.9405263157894746E-2</v>
      </c>
      <c r="G453" t="str">
        <f>IFERROR(VLOOKUP(B453,'Pre-Summary'!$AE$6:$AJ$85,3,FALSE),"")</f>
        <v/>
      </c>
      <c r="H453" t="str">
        <f>IFERROR(VLOOKUP(B453,'Pre-Summary'!$AE$6:$AJ$85,4,FALSE),"")</f>
        <v/>
      </c>
      <c r="I453" t="str">
        <f>IFERROR(VLOOKUP(B453,'Pre-Summary'!$AE$6:$AJ$85,5,FALSE),"")</f>
        <v/>
      </c>
      <c r="J453" s="45" t="str">
        <f>IFERROR(VLOOKUP(B453,'Pre-Summary'!$AE$6:$AJ$85,6, FALSE),"")</f>
        <v/>
      </c>
      <c r="K453" s="45" t="str">
        <f>IFERROR(VLOOKUP(B453,'Pre-Summary'!$DE$6:$DG$61,3,FALSE),"")</f>
        <v/>
      </c>
      <c r="L453" s="45" t="str">
        <f>IFERROR(VLOOKUP(B453,'Pre-Summary'!$CU$6:$CW$36,3,FALSE),"")</f>
        <v/>
      </c>
      <c r="M453" s="45" t="str">
        <f>IFERROR(VLOOKUP(B453,'Pre-Summary'!$BW$6:$BY$58,2,FALSE),"")</f>
        <v/>
      </c>
      <c r="N453" s="45" t="str">
        <f>IFERROR(VLOOKUP(B453,'Pre-Summary'!$CD$6:$CF$64,2,FALSE),"")</f>
        <v/>
      </c>
      <c r="O453" s="99">
        <f>IFERROR(VLOOKUP(B453,'Pre-Summary'!$BO$6:$BQ$48,3, FALSE),O452)</f>
        <v>1.0915248032216731</v>
      </c>
      <c r="P453" s="99">
        <f>IFERROR(VLOOKUP(B453,'Pre-Summary'!$BS$6:$BU$35,3,FALSE),P452)</f>
        <v>0.25</v>
      </c>
      <c r="Q453" s="54">
        <f t="shared" si="21"/>
        <v>4.3660992128866924</v>
      </c>
      <c r="R453" s="53">
        <f>IFERROR(VLOOKUP(B453,'Pre-Summary'!$BG$6:$BM$44,7,FALSE),R454)</f>
        <v>7.5915763918363535E-2</v>
      </c>
      <c r="S453" s="53">
        <f>IFERROR(VLOOKUP(B453,'Pre-Summary'!$BG$6:$BM$44,6,FALSE),S454)</f>
        <v>5.2897473997019086E-2</v>
      </c>
      <c r="T453" s="45" t="str">
        <f>IFERROR(VLOOKUP(B453,'Pre-Summary'!$Y$6:$AC$83, 3,FALSE),"")</f>
        <v/>
      </c>
      <c r="U453" s="45" t="str">
        <f>IFERROR(VLOOKUP(B453,'Pre-Summary'!$Y$6:$AC$83, 4,FALSE),"")</f>
        <v/>
      </c>
      <c r="V453" t="str">
        <f>IFERROR(VLOOKUP(B453,'Pre-Summary'!$Y$6:$AC$83, 5,FALSE),"")</f>
        <v/>
      </c>
      <c r="W453" s="45" t="str">
        <f>IFERROR(VLOOKUP(B453,'Pre-Summary'!$Y$6:$AD$83,6,FALSE),"")</f>
        <v/>
      </c>
      <c r="X453" t="str">
        <f>IFERROR(VLOOKUP('Pre-Summary'!$DB$6:$DD$63,3,FALSE),"")</f>
        <v/>
      </c>
      <c r="Y453" t="str">
        <f>IFERROR(VLOOKUP(B453,'Pre-Summary'!$CR$6:$CT$36,3,FALSE),"")</f>
        <v/>
      </c>
      <c r="Z453" s="45" t="str">
        <f>IFERROR(VLOOKUP(B453,'Pre-Summary'!$BZ$6:$CB$63,2,FALSE),"")</f>
        <v/>
      </c>
      <c r="AA453" s="45" t="str">
        <f>IFERROR(VLOOKUP(B453,'Pre-Summary'!$CG$6:$CI$70,2,FALSE),"")</f>
        <v/>
      </c>
      <c r="AB453" s="99">
        <f>IFERROR(VLOOKUP(B453,'Pre-Summary'!$A$6:$P$178,9,FALSE),AB454)</f>
        <v>0.54933613431406059</v>
      </c>
      <c r="AC453" s="10">
        <f>IFERROR(VLOOKUP(Summary!B453,'Pre-Summary'!$A$6:$P$184,5, FALSE)/100,AC454)</f>
        <v>0.50395600000000007</v>
      </c>
      <c r="AD453" s="10">
        <f>IFERROR(VLOOKUP(Summary!B453,'Pre-Summary'!$A$6:$P$184,3, FALSE)/100,AD454)</f>
        <v>0.48541899999999999</v>
      </c>
      <c r="AE453" s="10">
        <f>IFERROR(VLOOKUP(Summary!B453,'Pre-Summary'!$A$6:$P$184,7, FALSE)/100,AE454)</f>
        <v>1.0624666666666666E-2</v>
      </c>
      <c r="AF453" s="99">
        <f t="shared" si="22"/>
        <v>0.26665819698259696</v>
      </c>
      <c r="AG453" s="99">
        <f t="shared" si="23"/>
        <v>5.8365133150421224E-3</v>
      </c>
      <c r="AH453" s="10" t="str">
        <f>IFERROR(VLOOKUP(B453,'Pre-Summary'!$AZ$6:$BE$65,3,FALSE),"")</f>
        <v/>
      </c>
      <c r="AI453" s="10" t="str">
        <f>IFERROR(VLOOKUP(B453,'Pre-Summary'!$AZ$6:$BE$65,5,FALSE),"")</f>
        <v/>
      </c>
      <c r="AJ453" s="10" t="str">
        <f>IFERROR(VLOOKUP(B453,'Pre-Summary'!$AZ$6:$BE$65,4,FALSE),"")</f>
        <v/>
      </c>
      <c r="AK453" s="10" t="str">
        <f>IFERROR(VLOOKUP(B453,'Pre-Summary'!$AZ$6:$BE$65,6,FALSE),"")</f>
        <v/>
      </c>
      <c r="AL453" s="10" t="str">
        <f>IFERROR(VLOOKUP(B453,'Pre-Summary'!$BG$6:$BL$44,3,FALSE),"")</f>
        <v/>
      </c>
      <c r="AM453" s="10" t="str">
        <f>IFERROR(VLOOKUP(B453,'Pre-Summary'!$BG$6:$BL$44,4,FALSE),"")</f>
        <v/>
      </c>
    </row>
    <row r="454" spans="2:39" ht="15" customHeight="1" x14ac:dyDescent="0.3">
      <c r="B454">
        <v>45.1</v>
      </c>
      <c r="C454" t="str">
        <f>IFERROR(VLOOKUP(B454,'Pre-Summary'!$DI$6:$DM$23,4,FALSE),"")</f>
        <v/>
      </c>
      <c r="D454" s="10" t="str">
        <f>IFERROR(VLOOKUP(B454,'Pre-Summary'!$AT$6:$AX$14,5,FALSE),D453)</f>
        <v>DSMZ v2: Dropped Na-Ac out of DSMZ 120 media</v>
      </c>
      <c r="E454" s="10" t="str">
        <f>IFERROR(VLOOKUP(B454,'Pre-Summary'!$AT$6:$AX$15,4,FALSE),"")</f>
        <v/>
      </c>
      <c r="F454">
        <f>IFERROR(VLOOKUP(B454,'Pre-Summary'!$AL$6:$AQ$13,6,FALSE),F453)</f>
        <v>5.9405263157894746E-2</v>
      </c>
      <c r="G454" t="str">
        <f>IFERROR(VLOOKUP(B454,'Pre-Summary'!$AE$6:$AJ$85,3,FALSE),"")</f>
        <v/>
      </c>
      <c r="H454" t="str">
        <f>IFERROR(VLOOKUP(B454,'Pre-Summary'!$AE$6:$AJ$85,4,FALSE),"")</f>
        <v/>
      </c>
      <c r="I454" t="str">
        <f>IFERROR(VLOOKUP(B454,'Pre-Summary'!$AE$6:$AJ$85,5,FALSE),"")</f>
        <v/>
      </c>
      <c r="J454" s="45" t="str">
        <f>IFERROR(VLOOKUP(B454,'Pre-Summary'!$AE$6:$AJ$85,6, FALSE),"")</f>
        <v/>
      </c>
      <c r="K454" s="45" t="str">
        <f>IFERROR(VLOOKUP(B454,'Pre-Summary'!$DE$6:$DG$61,3,FALSE),"")</f>
        <v/>
      </c>
      <c r="L454" s="45" t="str">
        <f>IFERROR(VLOOKUP(B454,'Pre-Summary'!$CU$6:$CW$36,3,FALSE),"")</f>
        <v/>
      </c>
      <c r="M454" s="45" t="str">
        <f>IFERROR(VLOOKUP(B454,'Pre-Summary'!$BW$6:$BY$58,2,FALSE),"")</f>
        <v/>
      </c>
      <c r="N454" s="45" t="str">
        <f>IFERROR(VLOOKUP(B454,'Pre-Summary'!$CD$6:$CF$64,2,FALSE),"")</f>
        <v/>
      </c>
      <c r="O454" s="99">
        <f>IFERROR(VLOOKUP(B454,'Pre-Summary'!$BO$6:$BQ$48,3, FALSE),O453)</f>
        <v>1.0915248032216731</v>
      </c>
      <c r="P454" s="99">
        <f>IFERROR(VLOOKUP(B454,'Pre-Summary'!$BS$6:$BU$35,3,FALSE),P453)</f>
        <v>0.25</v>
      </c>
      <c r="Q454" s="54">
        <f t="shared" si="21"/>
        <v>4.3660992128866924</v>
      </c>
      <c r="R454" s="53">
        <f>IFERROR(VLOOKUP(B454,'Pre-Summary'!$BG$6:$BM$44,7,FALSE),R455)</f>
        <v>7.5915763918363535E-2</v>
      </c>
      <c r="S454" s="53">
        <f>IFERROR(VLOOKUP(B454,'Pre-Summary'!$BG$6:$BM$44,6,FALSE),S455)</f>
        <v>5.2897473997019086E-2</v>
      </c>
      <c r="T454" s="45" t="str">
        <f>IFERROR(VLOOKUP(B454,'Pre-Summary'!$Y$6:$AC$83, 3,FALSE),"")</f>
        <v/>
      </c>
      <c r="U454" s="45" t="str">
        <f>IFERROR(VLOOKUP(B454,'Pre-Summary'!$Y$6:$AC$83, 4,FALSE),"")</f>
        <v/>
      </c>
      <c r="V454" t="str">
        <f>IFERROR(VLOOKUP(B454,'Pre-Summary'!$Y$6:$AC$83, 5,FALSE),"")</f>
        <v/>
      </c>
      <c r="W454" s="45" t="str">
        <f>IFERROR(VLOOKUP(B454,'Pre-Summary'!$Y$6:$AD$83,6,FALSE),"")</f>
        <v/>
      </c>
      <c r="X454" t="str">
        <f>IFERROR(VLOOKUP('Pre-Summary'!$DB$6:$DD$63,3,FALSE),"")</f>
        <v/>
      </c>
      <c r="Y454" t="str">
        <f>IFERROR(VLOOKUP(B454,'Pre-Summary'!$CR$6:$CT$36,3,FALSE),"")</f>
        <v/>
      </c>
      <c r="Z454" s="45" t="str">
        <f>IFERROR(VLOOKUP(B454,'Pre-Summary'!$BZ$6:$CB$63,2,FALSE),"")</f>
        <v/>
      </c>
      <c r="AA454" s="45" t="str">
        <f>IFERROR(VLOOKUP(B454,'Pre-Summary'!$CG$6:$CI$70,2,FALSE),"")</f>
        <v/>
      </c>
      <c r="AB454" s="99">
        <f>IFERROR(VLOOKUP(B454,'Pre-Summary'!$A$6:$P$178,9,FALSE),AB455)</f>
        <v>0.54933613431406059</v>
      </c>
      <c r="AC454" s="10">
        <f>IFERROR(VLOOKUP(Summary!B454,'Pre-Summary'!$A$6:$P$184,5, FALSE)/100,AC455)</f>
        <v>0.50395600000000007</v>
      </c>
      <c r="AD454" s="10">
        <f>IFERROR(VLOOKUP(Summary!B454,'Pre-Summary'!$A$6:$P$184,3, FALSE)/100,AD455)</f>
        <v>0.48541899999999999</v>
      </c>
      <c r="AE454" s="10">
        <f>IFERROR(VLOOKUP(Summary!B454,'Pre-Summary'!$A$6:$P$184,7, FALSE)/100,AE455)</f>
        <v>1.0624666666666666E-2</v>
      </c>
      <c r="AF454" s="99">
        <f t="shared" si="22"/>
        <v>0.26665819698259696</v>
      </c>
      <c r="AG454" s="99">
        <f t="shared" si="23"/>
        <v>5.8365133150421224E-3</v>
      </c>
      <c r="AH454" s="10" t="str">
        <f>IFERROR(VLOOKUP(B454,'Pre-Summary'!$AZ$6:$BE$65,3,FALSE),"")</f>
        <v/>
      </c>
      <c r="AI454" s="10" t="str">
        <f>IFERROR(VLOOKUP(B454,'Pre-Summary'!$AZ$6:$BE$65,5,FALSE),"")</f>
        <v/>
      </c>
      <c r="AJ454" s="10" t="str">
        <f>IFERROR(VLOOKUP(B454,'Pre-Summary'!$AZ$6:$BE$65,4,FALSE),"")</f>
        <v/>
      </c>
      <c r="AK454" s="10" t="str">
        <f>IFERROR(VLOOKUP(B454,'Pre-Summary'!$AZ$6:$BE$65,6,FALSE),"")</f>
        <v/>
      </c>
      <c r="AL454" s="10" t="str">
        <f>IFERROR(VLOOKUP(B454,'Pre-Summary'!$BG$6:$BL$44,3,FALSE),"")</f>
        <v/>
      </c>
      <c r="AM454" s="10" t="str">
        <f>IFERROR(VLOOKUP(B454,'Pre-Summary'!$BG$6:$BL$44,4,FALSE),"")</f>
        <v/>
      </c>
    </row>
    <row r="455" spans="2:39" ht="15" customHeight="1" x14ac:dyDescent="0.3">
      <c r="B455">
        <v>45.2</v>
      </c>
      <c r="C455" t="str">
        <f>IFERROR(VLOOKUP(B455,'Pre-Summary'!$DI$6:$DM$23,4,FALSE),"")</f>
        <v/>
      </c>
      <c r="D455" s="10" t="str">
        <f>IFERROR(VLOOKUP(B455,'Pre-Summary'!$AT$6:$AX$14,5,FALSE),D454)</f>
        <v>DSMZ v2: Dropped Na-Ac out of DSMZ 120 media</v>
      </c>
      <c r="E455" s="10" t="str">
        <f>IFERROR(VLOOKUP(B455,'Pre-Summary'!$AT$6:$AX$15,4,FALSE),"")</f>
        <v/>
      </c>
      <c r="F455">
        <f>IFERROR(VLOOKUP(B455,'Pre-Summary'!$AL$6:$AQ$13,6,FALSE),F454)</f>
        <v>5.9405263157894746E-2</v>
      </c>
      <c r="G455" t="str">
        <f>IFERROR(VLOOKUP(B455,'Pre-Summary'!$AE$6:$AJ$85,3,FALSE),"")</f>
        <v/>
      </c>
      <c r="H455" t="str">
        <f>IFERROR(VLOOKUP(B455,'Pre-Summary'!$AE$6:$AJ$85,4,FALSE),"")</f>
        <v/>
      </c>
      <c r="I455" t="str">
        <f>IFERROR(VLOOKUP(B455,'Pre-Summary'!$AE$6:$AJ$85,5,FALSE),"")</f>
        <v/>
      </c>
      <c r="J455" s="45" t="str">
        <f>IFERROR(VLOOKUP(B455,'Pre-Summary'!$AE$6:$AJ$85,6, FALSE),"")</f>
        <v/>
      </c>
      <c r="K455" s="45" t="str">
        <f>IFERROR(VLOOKUP(B455,'Pre-Summary'!$DE$6:$DG$61,3,FALSE),"")</f>
        <v/>
      </c>
      <c r="L455" s="45" t="str">
        <f>IFERROR(VLOOKUP(B455,'Pre-Summary'!$CU$6:$CW$36,3,FALSE),"")</f>
        <v/>
      </c>
      <c r="M455" s="45" t="str">
        <f>IFERROR(VLOOKUP(B455,'Pre-Summary'!$BW$6:$BY$58,2,FALSE),"")</f>
        <v/>
      </c>
      <c r="N455" s="45" t="str">
        <f>IFERROR(VLOOKUP(B455,'Pre-Summary'!$CD$6:$CF$64,2,FALSE),"")</f>
        <v/>
      </c>
      <c r="O455" s="99">
        <f>IFERROR(VLOOKUP(B455,'Pre-Summary'!$BO$6:$BQ$48,3, FALSE),O454)</f>
        <v>1.0915248032216731</v>
      </c>
      <c r="P455" s="99">
        <f>IFERROR(VLOOKUP(B455,'Pre-Summary'!$BS$6:$BU$35,3,FALSE),P454)</f>
        <v>0.25</v>
      </c>
      <c r="Q455" s="54">
        <f t="shared" si="21"/>
        <v>4.3660992128866924</v>
      </c>
      <c r="R455" s="53">
        <f>IFERROR(VLOOKUP(B455,'Pre-Summary'!$BG$6:$BM$44,7,FALSE),R456)</f>
        <v>7.5915763918363535E-2</v>
      </c>
      <c r="S455" s="53">
        <f>IFERROR(VLOOKUP(B455,'Pre-Summary'!$BG$6:$BM$44,6,FALSE),S456)</f>
        <v>5.2897473997019086E-2</v>
      </c>
      <c r="T455" s="45" t="str">
        <f>IFERROR(VLOOKUP(B455,'Pre-Summary'!$Y$6:$AC$83, 3,FALSE),"")</f>
        <v/>
      </c>
      <c r="U455" s="45" t="str">
        <f>IFERROR(VLOOKUP(B455,'Pre-Summary'!$Y$6:$AC$83, 4,FALSE),"")</f>
        <v/>
      </c>
      <c r="V455" t="str">
        <f>IFERROR(VLOOKUP(B455,'Pre-Summary'!$Y$6:$AC$83, 5,FALSE),"")</f>
        <v/>
      </c>
      <c r="W455" s="45" t="str">
        <f>IFERROR(VLOOKUP(B455,'Pre-Summary'!$Y$6:$AD$83,6,FALSE),"")</f>
        <v/>
      </c>
      <c r="X455" t="str">
        <f>IFERROR(VLOOKUP('Pre-Summary'!$DB$6:$DD$63,3,FALSE),"")</f>
        <v/>
      </c>
      <c r="Y455" t="str">
        <f>IFERROR(VLOOKUP(B455,'Pre-Summary'!$CR$6:$CT$36,3,FALSE),"")</f>
        <v/>
      </c>
      <c r="Z455" s="45" t="str">
        <f>IFERROR(VLOOKUP(B455,'Pre-Summary'!$BZ$6:$CB$63,2,FALSE),"")</f>
        <v/>
      </c>
      <c r="AA455" s="45" t="str">
        <f>IFERROR(VLOOKUP(B455,'Pre-Summary'!$CG$6:$CI$70,2,FALSE),"")</f>
        <v/>
      </c>
      <c r="AB455" s="99">
        <f>IFERROR(VLOOKUP(B455,'Pre-Summary'!$A$6:$P$178,9,FALSE),AB456)</f>
        <v>0.54933613431406059</v>
      </c>
      <c r="AC455" s="10">
        <f>IFERROR(VLOOKUP(Summary!B455,'Pre-Summary'!$A$6:$P$184,5, FALSE)/100,AC456)</f>
        <v>0.50395600000000007</v>
      </c>
      <c r="AD455" s="10">
        <f>IFERROR(VLOOKUP(Summary!B455,'Pre-Summary'!$A$6:$P$184,3, FALSE)/100,AD456)</f>
        <v>0.48541899999999999</v>
      </c>
      <c r="AE455" s="10">
        <f>IFERROR(VLOOKUP(Summary!B455,'Pre-Summary'!$A$6:$P$184,7, FALSE)/100,AE456)</f>
        <v>1.0624666666666666E-2</v>
      </c>
      <c r="AF455" s="99">
        <f t="shared" si="22"/>
        <v>0.26665819698259696</v>
      </c>
      <c r="AG455" s="99">
        <f t="shared" si="23"/>
        <v>5.8365133150421224E-3</v>
      </c>
      <c r="AH455" s="10" t="str">
        <f>IFERROR(VLOOKUP(B455,'Pre-Summary'!$AZ$6:$BE$65,3,FALSE),"")</f>
        <v/>
      </c>
      <c r="AI455" s="10" t="str">
        <f>IFERROR(VLOOKUP(B455,'Pre-Summary'!$AZ$6:$BE$65,5,FALSE),"")</f>
        <v/>
      </c>
      <c r="AJ455" s="10" t="str">
        <f>IFERROR(VLOOKUP(B455,'Pre-Summary'!$AZ$6:$BE$65,4,FALSE),"")</f>
        <v/>
      </c>
      <c r="AK455" s="10" t="str">
        <f>IFERROR(VLOOKUP(B455,'Pre-Summary'!$AZ$6:$BE$65,6,FALSE),"")</f>
        <v/>
      </c>
      <c r="AL455" s="10" t="str">
        <f>IFERROR(VLOOKUP(B455,'Pre-Summary'!$BG$6:$BL$44,3,FALSE),"")</f>
        <v/>
      </c>
      <c r="AM455" s="10" t="str">
        <f>IFERROR(VLOOKUP(B455,'Pre-Summary'!$BG$6:$BL$44,4,FALSE),"")</f>
        <v/>
      </c>
    </row>
    <row r="456" spans="2:39" ht="15" customHeight="1" x14ac:dyDescent="0.3">
      <c r="B456">
        <v>45.3</v>
      </c>
      <c r="C456" t="str">
        <f>IFERROR(VLOOKUP(B456,'Pre-Summary'!$DI$6:$DM$23,4,FALSE),"")</f>
        <v/>
      </c>
      <c r="D456" s="10" t="str">
        <f>IFERROR(VLOOKUP(B456,'Pre-Summary'!$AT$6:$AX$14,5,FALSE),D455)</f>
        <v>DSMZ v2: Dropped Na-Ac out of DSMZ 120 media</v>
      </c>
      <c r="E456" s="10" t="str">
        <f>IFERROR(VLOOKUP(B456,'Pre-Summary'!$AT$6:$AX$15,4,FALSE),"")</f>
        <v/>
      </c>
      <c r="F456">
        <f>IFERROR(VLOOKUP(B456,'Pre-Summary'!$AL$6:$AQ$13,6,FALSE),F455)</f>
        <v>5.9405263157894746E-2</v>
      </c>
      <c r="G456" t="str">
        <f>IFERROR(VLOOKUP(B456,'Pre-Summary'!$AE$6:$AJ$85,3,FALSE),"")</f>
        <v/>
      </c>
      <c r="H456" t="str">
        <f>IFERROR(VLOOKUP(B456,'Pre-Summary'!$AE$6:$AJ$85,4,FALSE),"")</f>
        <v/>
      </c>
      <c r="I456" t="str">
        <f>IFERROR(VLOOKUP(B456,'Pre-Summary'!$AE$6:$AJ$85,5,FALSE),"")</f>
        <v/>
      </c>
      <c r="J456" s="45" t="str">
        <f>IFERROR(VLOOKUP(B456,'Pre-Summary'!$AE$6:$AJ$85,6, FALSE),"")</f>
        <v/>
      </c>
      <c r="K456" s="45" t="str">
        <f>IFERROR(VLOOKUP(B456,'Pre-Summary'!$DE$6:$DG$61,3,FALSE),"")</f>
        <v/>
      </c>
      <c r="L456" s="45" t="str">
        <f>IFERROR(VLOOKUP(B456,'Pre-Summary'!$CU$6:$CW$36,3,FALSE),"")</f>
        <v/>
      </c>
      <c r="M456" s="45" t="str">
        <f>IFERROR(VLOOKUP(B456,'Pre-Summary'!$BW$6:$BY$58,2,FALSE),"")</f>
        <v/>
      </c>
      <c r="N456" s="45" t="str">
        <f>IFERROR(VLOOKUP(B456,'Pre-Summary'!$CD$6:$CF$64,2,FALSE),"")</f>
        <v/>
      </c>
      <c r="O456" s="99">
        <f>IFERROR(VLOOKUP(B456,'Pre-Summary'!$BO$6:$BQ$48,3, FALSE),O455)</f>
        <v>1.0915248032216731</v>
      </c>
      <c r="P456" s="99">
        <f>IFERROR(VLOOKUP(B456,'Pre-Summary'!$BS$6:$BU$35,3,FALSE),P455)</f>
        <v>0.25</v>
      </c>
      <c r="Q456" s="54">
        <f t="shared" si="21"/>
        <v>4.3660992128866924</v>
      </c>
      <c r="R456" s="53">
        <f>IFERROR(VLOOKUP(B456,'Pre-Summary'!$BG$6:$BM$44,7,FALSE),R457)</f>
        <v>7.5915763918363535E-2</v>
      </c>
      <c r="S456" s="53">
        <f>IFERROR(VLOOKUP(B456,'Pre-Summary'!$BG$6:$BM$44,6,FALSE),S457)</f>
        <v>5.2897473997019086E-2</v>
      </c>
      <c r="T456" s="45" t="str">
        <f>IFERROR(VLOOKUP(B456,'Pre-Summary'!$Y$6:$AC$83, 3,FALSE),"")</f>
        <v/>
      </c>
      <c r="U456" s="45" t="str">
        <f>IFERROR(VLOOKUP(B456,'Pre-Summary'!$Y$6:$AC$83, 4,FALSE),"")</f>
        <v/>
      </c>
      <c r="V456" t="str">
        <f>IFERROR(VLOOKUP(B456,'Pre-Summary'!$Y$6:$AC$83, 5,FALSE),"")</f>
        <v/>
      </c>
      <c r="W456" s="45" t="str">
        <f>IFERROR(VLOOKUP(B456,'Pre-Summary'!$Y$6:$AD$83,6,FALSE),"")</f>
        <v/>
      </c>
      <c r="X456" t="str">
        <f>IFERROR(VLOOKUP('Pre-Summary'!$DB$6:$DD$63,3,FALSE),"")</f>
        <v/>
      </c>
      <c r="Y456" t="str">
        <f>IFERROR(VLOOKUP(B456,'Pre-Summary'!$CR$6:$CT$36,3,FALSE),"")</f>
        <v/>
      </c>
      <c r="Z456" s="45" t="str">
        <f>IFERROR(VLOOKUP(B456,'Pre-Summary'!$BZ$6:$CB$63,2,FALSE),"")</f>
        <v/>
      </c>
      <c r="AA456" s="45" t="str">
        <f>IFERROR(VLOOKUP(B456,'Pre-Summary'!$CG$6:$CI$70,2,FALSE),"")</f>
        <v/>
      </c>
      <c r="AB456" s="99">
        <f>IFERROR(VLOOKUP(B456,'Pre-Summary'!$A$6:$P$178,9,FALSE),AB457)</f>
        <v>0.54933613431406059</v>
      </c>
      <c r="AC456" s="10">
        <f>IFERROR(VLOOKUP(Summary!B456,'Pre-Summary'!$A$6:$P$184,5, FALSE)/100,AC457)</f>
        <v>0.50395600000000007</v>
      </c>
      <c r="AD456" s="10">
        <f>IFERROR(VLOOKUP(Summary!B456,'Pre-Summary'!$A$6:$P$184,3, FALSE)/100,AD457)</f>
        <v>0.48541899999999999</v>
      </c>
      <c r="AE456" s="10">
        <f>IFERROR(VLOOKUP(Summary!B456,'Pre-Summary'!$A$6:$P$184,7, FALSE)/100,AE457)</f>
        <v>1.0624666666666666E-2</v>
      </c>
      <c r="AF456" s="99">
        <f t="shared" si="22"/>
        <v>0.26665819698259696</v>
      </c>
      <c r="AG456" s="99">
        <f t="shared" si="23"/>
        <v>5.8365133150421224E-3</v>
      </c>
      <c r="AH456" s="10" t="str">
        <f>IFERROR(VLOOKUP(B456,'Pre-Summary'!$AZ$6:$BE$65,3,FALSE),"")</f>
        <v/>
      </c>
      <c r="AI456" s="10" t="str">
        <f>IFERROR(VLOOKUP(B456,'Pre-Summary'!$AZ$6:$BE$65,5,FALSE),"")</f>
        <v/>
      </c>
      <c r="AJ456" s="10" t="str">
        <f>IFERROR(VLOOKUP(B456,'Pre-Summary'!$AZ$6:$BE$65,4,FALSE),"")</f>
        <v/>
      </c>
      <c r="AK456" s="10" t="str">
        <f>IFERROR(VLOOKUP(B456,'Pre-Summary'!$AZ$6:$BE$65,6,FALSE),"")</f>
        <v/>
      </c>
      <c r="AL456" s="10" t="str">
        <f>IFERROR(VLOOKUP(B456,'Pre-Summary'!$BG$6:$BL$44,3,FALSE),"")</f>
        <v/>
      </c>
      <c r="AM456" s="10" t="str">
        <f>IFERROR(VLOOKUP(B456,'Pre-Summary'!$BG$6:$BL$44,4,FALSE),"")</f>
        <v/>
      </c>
    </row>
    <row r="457" spans="2:39" ht="15" customHeight="1" x14ac:dyDescent="0.3">
      <c r="B457">
        <v>45.4</v>
      </c>
      <c r="C457" t="str">
        <f>IFERROR(VLOOKUP(B457,'Pre-Summary'!$DI$6:$DM$23,4,FALSE),"")</f>
        <v/>
      </c>
      <c r="D457" s="10" t="str">
        <f>IFERROR(VLOOKUP(B457,'Pre-Summary'!$AT$6:$AX$14,5,FALSE),D456)</f>
        <v>DSMZ v2: Dropped Na-Ac out of DSMZ 120 media</v>
      </c>
      <c r="E457" s="10" t="str">
        <f>IFERROR(VLOOKUP(B457,'Pre-Summary'!$AT$6:$AX$15,4,FALSE),"")</f>
        <v/>
      </c>
      <c r="F457">
        <f>IFERROR(VLOOKUP(B457,'Pre-Summary'!$AL$6:$AQ$13,6,FALSE),F456)</f>
        <v>5.9405263157894746E-2</v>
      </c>
      <c r="G457" t="str">
        <f>IFERROR(VLOOKUP(B457,'Pre-Summary'!$AE$6:$AJ$85,3,FALSE),"")</f>
        <v/>
      </c>
      <c r="H457" t="str">
        <f>IFERROR(VLOOKUP(B457,'Pre-Summary'!$AE$6:$AJ$85,4,FALSE),"")</f>
        <v/>
      </c>
      <c r="I457" t="str">
        <f>IFERROR(VLOOKUP(B457,'Pre-Summary'!$AE$6:$AJ$85,5,FALSE),"")</f>
        <v/>
      </c>
      <c r="J457" s="45" t="str">
        <f>IFERROR(VLOOKUP(B457,'Pre-Summary'!$AE$6:$AJ$85,6, FALSE),"")</f>
        <v/>
      </c>
      <c r="K457" s="45" t="str">
        <f>IFERROR(VLOOKUP(B457,'Pre-Summary'!$DE$6:$DG$61,3,FALSE),"")</f>
        <v/>
      </c>
      <c r="L457" s="45" t="str">
        <f>IFERROR(VLOOKUP(B457,'Pre-Summary'!$CU$6:$CW$36,3,FALSE),"")</f>
        <v/>
      </c>
      <c r="M457" s="45" t="str">
        <f>IFERROR(VLOOKUP(B457,'Pre-Summary'!$BW$6:$BY$58,2,FALSE),"")</f>
        <v/>
      </c>
      <c r="N457" s="45" t="str">
        <f>IFERROR(VLOOKUP(B457,'Pre-Summary'!$CD$6:$CF$64,2,FALSE),"")</f>
        <v/>
      </c>
      <c r="O457" s="99">
        <f>IFERROR(VLOOKUP(B457,'Pre-Summary'!$BO$6:$BQ$48,3, FALSE),O456)</f>
        <v>1.0915248032216731</v>
      </c>
      <c r="P457" s="99">
        <f>IFERROR(VLOOKUP(B457,'Pre-Summary'!$BS$6:$BU$35,3,FALSE),P456)</f>
        <v>0.25</v>
      </c>
      <c r="Q457" s="54">
        <f t="shared" si="21"/>
        <v>4.3660992128866924</v>
      </c>
      <c r="R457" s="53">
        <f>IFERROR(VLOOKUP(B457,'Pre-Summary'!$BG$6:$BM$44,7,FALSE),R458)</f>
        <v>7.5915763918363535E-2</v>
      </c>
      <c r="S457" s="53">
        <f>IFERROR(VLOOKUP(B457,'Pre-Summary'!$BG$6:$BM$44,6,FALSE),S458)</f>
        <v>5.2897473997019086E-2</v>
      </c>
      <c r="T457" s="45" t="str">
        <f>IFERROR(VLOOKUP(B457,'Pre-Summary'!$Y$6:$AC$83, 3,FALSE),"")</f>
        <v/>
      </c>
      <c r="U457" s="45" t="str">
        <f>IFERROR(VLOOKUP(B457,'Pre-Summary'!$Y$6:$AC$83, 4,FALSE),"")</f>
        <v/>
      </c>
      <c r="V457" t="str">
        <f>IFERROR(VLOOKUP(B457,'Pre-Summary'!$Y$6:$AC$83, 5,FALSE),"")</f>
        <v/>
      </c>
      <c r="W457" s="45" t="str">
        <f>IFERROR(VLOOKUP(B457,'Pre-Summary'!$Y$6:$AD$83,6,FALSE),"")</f>
        <v/>
      </c>
      <c r="X457" t="str">
        <f>IFERROR(VLOOKUP('Pre-Summary'!$DB$6:$DD$63,3,FALSE),"")</f>
        <v/>
      </c>
      <c r="Y457" t="str">
        <f>IFERROR(VLOOKUP(B457,'Pre-Summary'!$CR$6:$CT$36,3,FALSE),"")</f>
        <v/>
      </c>
      <c r="Z457" s="45" t="str">
        <f>IFERROR(VLOOKUP(B457,'Pre-Summary'!$BZ$6:$CB$63,2,FALSE),"")</f>
        <v/>
      </c>
      <c r="AA457" s="45" t="str">
        <f>IFERROR(VLOOKUP(B457,'Pre-Summary'!$CG$6:$CI$70,2,FALSE),"")</f>
        <v/>
      </c>
      <c r="AB457" s="99">
        <f>IFERROR(VLOOKUP(B457,'Pre-Summary'!$A$6:$P$178,9,FALSE),AB458)</f>
        <v>0.54933613431406059</v>
      </c>
      <c r="AC457" s="10">
        <f>IFERROR(VLOOKUP(Summary!B457,'Pre-Summary'!$A$6:$P$184,5, FALSE)/100,AC458)</f>
        <v>0.50395600000000007</v>
      </c>
      <c r="AD457" s="10">
        <f>IFERROR(VLOOKUP(Summary!B457,'Pre-Summary'!$A$6:$P$184,3, FALSE)/100,AD458)</f>
        <v>0.48541899999999999</v>
      </c>
      <c r="AE457" s="10">
        <f>IFERROR(VLOOKUP(Summary!B457,'Pre-Summary'!$A$6:$P$184,7, FALSE)/100,AE458)</f>
        <v>1.0624666666666666E-2</v>
      </c>
      <c r="AF457" s="99">
        <f t="shared" si="22"/>
        <v>0.26665819698259696</v>
      </c>
      <c r="AG457" s="99">
        <f t="shared" si="23"/>
        <v>5.8365133150421224E-3</v>
      </c>
      <c r="AH457" s="10" t="str">
        <f>IFERROR(VLOOKUP(B457,'Pre-Summary'!$AZ$6:$BE$65,3,FALSE),"")</f>
        <v/>
      </c>
      <c r="AI457" s="10" t="str">
        <f>IFERROR(VLOOKUP(B457,'Pre-Summary'!$AZ$6:$BE$65,5,FALSE),"")</f>
        <v/>
      </c>
      <c r="AJ457" s="10" t="str">
        <f>IFERROR(VLOOKUP(B457,'Pre-Summary'!$AZ$6:$BE$65,4,FALSE),"")</f>
        <v/>
      </c>
      <c r="AK457" s="10" t="str">
        <f>IFERROR(VLOOKUP(B457,'Pre-Summary'!$AZ$6:$BE$65,6,FALSE),"")</f>
        <v/>
      </c>
      <c r="AL457" s="10" t="str">
        <f>IFERROR(VLOOKUP(B457,'Pre-Summary'!$BG$6:$BL$44,3,FALSE),"")</f>
        <v/>
      </c>
      <c r="AM457" s="10" t="str">
        <f>IFERROR(VLOOKUP(B457,'Pre-Summary'!$BG$6:$BL$44,4,FALSE),"")</f>
        <v/>
      </c>
    </row>
    <row r="458" spans="2:39" ht="15" customHeight="1" x14ac:dyDescent="0.3">
      <c r="B458">
        <v>45.5</v>
      </c>
      <c r="C458" t="str">
        <f>IFERROR(VLOOKUP(B458,'Pre-Summary'!$DI$6:$DM$23,4,FALSE),"")</f>
        <v/>
      </c>
      <c r="D458" s="10" t="str">
        <f>IFERROR(VLOOKUP(B458,'Pre-Summary'!$AT$6:$AX$14,5,FALSE),D457)</f>
        <v>DSMZ v2: Dropped Na-Ac out of DSMZ 120 media</v>
      </c>
      <c r="E458" s="10" t="str">
        <f>IFERROR(VLOOKUP(B458,'Pre-Summary'!$AT$6:$AX$15,4,FALSE),"")</f>
        <v/>
      </c>
      <c r="F458">
        <f>IFERROR(VLOOKUP(B458,'Pre-Summary'!$AL$6:$AQ$13,6,FALSE),F457)</f>
        <v>5.9405263157894746E-2</v>
      </c>
      <c r="G458" t="str">
        <f>IFERROR(VLOOKUP(B458,'Pre-Summary'!$AE$6:$AJ$85,3,FALSE),"")</f>
        <v/>
      </c>
      <c r="H458" t="str">
        <f>IFERROR(VLOOKUP(B458,'Pre-Summary'!$AE$6:$AJ$85,4,FALSE),"")</f>
        <v/>
      </c>
      <c r="I458" t="str">
        <f>IFERROR(VLOOKUP(B458,'Pre-Summary'!$AE$6:$AJ$85,5,FALSE),"")</f>
        <v/>
      </c>
      <c r="J458" s="45" t="str">
        <f>IFERROR(VLOOKUP(B458,'Pre-Summary'!$AE$6:$AJ$85,6, FALSE),"")</f>
        <v/>
      </c>
      <c r="K458" s="45" t="str">
        <f>IFERROR(VLOOKUP(B458,'Pre-Summary'!$DE$6:$DG$61,3,FALSE),"")</f>
        <v/>
      </c>
      <c r="L458" s="45" t="str">
        <f>IFERROR(VLOOKUP(B458,'Pre-Summary'!$CU$6:$CW$36,3,FALSE),"")</f>
        <v/>
      </c>
      <c r="M458" s="45" t="str">
        <f>IFERROR(VLOOKUP(B458,'Pre-Summary'!$BW$6:$BY$58,2,FALSE),"")</f>
        <v/>
      </c>
      <c r="N458" s="45" t="str">
        <f>IFERROR(VLOOKUP(B458,'Pre-Summary'!$CD$6:$CF$64,2,FALSE),"")</f>
        <v/>
      </c>
      <c r="O458" s="99">
        <f>IFERROR(VLOOKUP(B458,'Pre-Summary'!$BO$6:$BQ$48,3, FALSE),O457)</f>
        <v>1.0915248032216731</v>
      </c>
      <c r="P458" s="99">
        <f>IFERROR(VLOOKUP(B458,'Pre-Summary'!$BS$6:$BU$35,3,FALSE),P457)</f>
        <v>0.25</v>
      </c>
      <c r="Q458" s="54">
        <f t="shared" si="21"/>
        <v>4.3660992128866924</v>
      </c>
      <c r="R458" s="53">
        <f>IFERROR(VLOOKUP(B458,'Pre-Summary'!$BG$6:$BM$44,7,FALSE),R459)</f>
        <v>7.5915763918363535E-2</v>
      </c>
      <c r="S458" s="53">
        <f>IFERROR(VLOOKUP(B458,'Pre-Summary'!$BG$6:$BM$44,6,FALSE),S459)</f>
        <v>5.2897473997019086E-2</v>
      </c>
      <c r="T458" s="45" t="str">
        <f>IFERROR(VLOOKUP(B458,'Pre-Summary'!$Y$6:$AC$83, 3,FALSE),"")</f>
        <v/>
      </c>
      <c r="U458" s="45" t="str">
        <f>IFERROR(VLOOKUP(B458,'Pre-Summary'!$Y$6:$AC$83, 4,FALSE),"")</f>
        <v/>
      </c>
      <c r="V458" t="str">
        <f>IFERROR(VLOOKUP(B458,'Pre-Summary'!$Y$6:$AC$83, 5,FALSE),"")</f>
        <v/>
      </c>
      <c r="W458" s="45" t="str">
        <f>IFERROR(VLOOKUP(B458,'Pre-Summary'!$Y$6:$AD$83,6,FALSE),"")</f>
        <v/>
      </c>
      <c r="X458" t="str">
        <f>IFERROR(VLOOKUP('Pre-Summary'!$DB$6:$DD$63,3,FALSE),"")</f>
        <v/>
      </c>
      <c r="Y458" t="str">
        <f>IFERROR(VLOOKUP(B458,'Pre-Summary'!$CR$6:$CT$36,3,FALSE),"")</f>
        <v/>
      </c>
      <c r="Z458" s="45" t="str">
        <f>IFERROR(VLOOKUP(B458,'Pre-Summary'!$BZ$6:$CB$63,2,FALSE),"")</f>
        <v/>
      </c>
      <c r="AA458" s="45" t="str">
        <f>IFERROR(VLOOKUP(B458,'Pre-Summary'!$CG$6:$CI$70,2,FALSE),"")</f>
        <v/>
      </c>
      <c r="AB458" s="99">
        <f>IFERROR(VLOOKUP(B458,'Pre-Summary'!$A$6:$P$178,9,FALSE),AB459)</f>
        <v>0.54933613431406059</v>
      </c>
      <c r="AC458" s="10">
        <f>IFERROR(VLOOKUP(Summary!B458,'Pre-Summary'!$A$6:$P$184,5, FALSE)/100,AC459)</f>
        <v>0.50395600000000007</v>
      </c>
      <c r="AD458" s="10">
        <f>IFERROR(VLOOKUP(Summary!B458,'Pre-Summary'!$A$6:$P$184,3, FALSE)/100,AD459)</f>
        <v>0.48541899999999999</v>
      </c>
      <c r="AE458" s="10">
        <f>IFERROR(VLOOKUP(Summary!B458,'Pre-Summary'!$A$6:$P$184,7, FALSE)/100,AE459)</f>
        <v>1.0624666666666666E-2</v>
      </c>
      <c r="AF458" s="99">
        <f t="shared" si="22"/>
        <v>0.26665819698259696</v>
      </c>
      <c r="AG458" s="99">
        <f t="shared" si="23"/>
        <v>5.8365133150421224E-3</v>
      </c>
      <c r="AH458" s="10" t="str">
        <f>IFERROR(VLOOKUP(B458,'Pre-Summary'!$AZ$6:$BE$65,3,FALSE),"")</f>
        <v/>
      </c>
      <c r="AI458" s="10" t="str">
        <f>IFERROR(VLOOKUP(B458,'Pre-Summary'!$AZ$6:$BE$65,5,FALSE),"")</f>
        <v/>
      </c>
      <c r="AJ458" s="10" t="str">
        <f>IFERROR(VLOOKUP(B458,'Pre-Summary'!$AZ$6:$BE$65,4,FALSE),"")</f>
        <v/>
      </c>
      <c r="AK458" s="10" t="str">
        <f>IFERROR(VLOOKUP(B458,'Pre-Summary'!$AZ$6:$BE$65,6,FALSE),"")</f>
        <v/>
      </c>
      <c r="AL458" s="10" t="str">
        <f>IFERROR(VLOOKUP(B458,'Pre-Summary'!$BG$6:$BL$44,3,FALSE),"")</f>
        <v/>
      </c>
      <c r="AM458" s="10" t="str">
        <f>IFERROR(VLOOKUP(B458,'Pre-Summary'!$BG$6:$BL$44,4,FALSE),"")</f>
        <v/>
      </c>
    </row>
    <row r="459" spans="2:39" ht="15" customHeight="1" x14ac:dyDescent="0.3">
      <c r="B459">
        <v>45.6</v>
      </c>
      <c r="C459" t="str">
        <f>IFERROR(VLOOKUP(B459,'Pre-Summary'!$DI$6:$DM$23,4,FALSE),"")</f>
        <v/>
      </c>
      <c r="D459" s="10" t="str">
        <f>IFERROR(VLOOKUP(B459,'Pre-Summary'!$AT$6:$AX$14,5,FALSE),D458)</f>
        <v>DSMZ v2: Dropped Na-Ac out of DSMZ 120 media</v>
      </c>
      <c r="E459" s="10" t="str">
        <f>IFERROR(VLOOKUP(B459,'Pre-Summary'!$AT$6:$AX$15,4,FALSE),"")</f>
        <v/>
      </c>
      <c r="F459">
        <f>IFERROR(VLOOKUP(B459,'Pre-Summary'!$AL$6:$AQ$13,6,FALSE),F458)</f>
        <v>5.9405263157894746E-2</v>
      </c>
      <c r="G459" t="str">
        <f>IFERROR(VLOOKUP(B459,'Pre-Summary'!$AE$6:$AJ$85,3,FALSE),"")</f>
        <v/>
      </c>
      <c r="H459" t="str">
        <f>IFERROR(VLOOKUP(B459,'Pre-Summary'!$AE$6:$AJ$85,4,FALSE),"")</f>
        <v/>
      </c>
      <c r="I459" t="str">
        <f>IFERROR(VLOOKUP(B459,'Pre-Summary'!$AE$6:$AJ$85,5,FALSE),"")</f>
        <v/>
      </c>
      <c r="J459" s="45" t="str">
        <f>IFERROR(VLOOKUP(B459,'Pre-Summary'!$AE$6:$AJ$85,6, FALSE),"")</f>
        <v/>
      </c>
      <c r="K459" s="45" t="str">
        <f>IFERROR(VLOOKUP(B459,'Pre-Summary'!$DE$6:$DG$61,3,FALSE),"")</f>
        <v/>
      </c>
      <c r="L459" s="45" t="str">
        <f>IFERROR(VLOOKUP(B459,'Pre-Summary'!$CU$6:$CW$36,3,FALSE),"")</f>
        <v/>
      </c>
      <c r="M459" s="45" t="str">
        <f>IFERROR(VLOOKUP(B459,'Pre-Summary'!$BW$6:$BY$58,2,FALSE),"")</f>
        <v/>
      </c>
      <c r="N459" s="45" t="str">
        <f>IFERROR(VLOOKUP(B459,'Pre-Summary'!$CD$6:$CF$64,2,FALSE),"")</f>
        <v/>
      </c>
      <c r="O459" s="99">
        <f>IFERROR(VLOOKUP(B459,'Pre-Summary'!$BO$6:$BQ$48,3, FALSE),O458)</f>
        <v>1.0915248032216731</v>
      </c>
      <c r="P459" s="99">
        <f>IFERROR(VLOOKUP(B459,'Pre-Summary'!$BS$6:$BU$35,3,FALSE),P458)</f>
        <v>0.25</v>
      </c>
      <c r="Q459" s="54">
        <f t="shared" si="21"/>
        <v>4.3660992128866924</v>
      </c>
      <c r="R459" s="53">
        <f>IFERROR(VLOOKUP(B459,'Pre-Summary'!$BG$6:$BM$44,7,FALSE),R460)</f>
        <v>7.5915763918363535E-2</v>
      </c>
      <c r="S459" s="53">
        <f>IFERROR(VLOOKUP(B459,'Pre-Summary'!$BG$6:$BM$44,6,FALSE),S460)</f>
        <v>5.2897473997019086E-2</v>
      </c>
      <c r="T459" s="45" t="str">
        <f>IFERROR(VLOOKUP(B459,'Pre-Summary'!$Y$6:$AC$83, 3,FALSE),"")</f>
        <v/>
      </c>
      <c r="U459" s="45" t="str">
        <f>IFERROR(VLOOKUP(B459,'Pre-Summary'!$Y$6:$AC$83, 4,FALSE),"")</f>
        <v/>
      </c>
      <c r="V459" t="str">
        <f>IFERROR(VLOOKUP(B459,'Pre-Summary'!$Y$6:$AC$83, 5,FALSE),"")</f>
        <v/>
      </c>
      <c r="W459" s="45" t="str">
        <f>IFERROR(VLOOKUP(B459,'Pre-Summary'!$Y$6:$AD$83,6,FALSE),"")</f>
        <v/>
      </c>
      <c r="X459" t="str">
        <f>IFERROR(VLOOKUP('Pre-Summary'!$DB$6:$DD$63,3,FALSE),"")</f>
        <v/>
      </c>
      <c r="Y459" t="str">
        <f>IFERROR(VLOOKUP(B459,'Pre-Summary'!$CR$6:$CT$36,3,FALSE),"")</f>
        <v/>
      </c>
      <c r="Z459" s="45" t="str">
        <f>IFERROR(VLOOKUP(B459,'Pre-Summary'!$BZ$6:$CB$63,2,FALSE),"")</f>
        <v/>
      </c>
      <c r="AA459" s="45" t="str">
        <f>IFERROR(VLOOKUP(B459,'Pre-Summary'!$CG$6:$CI$70,2,FALSE),"")</f>
        <v/>
      </c>
      <c r="AB459" s="99">
        <f>IFERROR(VLOOKUP(B459,'Pre-Summary'!$A$6:$P$178,9,FALSE),AB460)</f>
        <v>0.54933613431406059</v>
      </c>
      <c r="AC459" s="10">
        <f>IFERROR(VLOOKUP(Summary!B459,'Pre-Summary'!$A$6:$P$184,5, FALSE)/100,AC460)</f>
        <v>0.50395600000000007</v>
      </c>
      <c r="AD459" s="10">
        <f>IFERROR(VLOOKUP(Summary!B459,'Pre-Summary'!$A$6:$P$184,3, FALSE)/100,AD460)</f>
        <v>0.48541899999999999</v>
      </c>
      <c r="AE459" s="10">
        <f>IFERROR(VLOOKUP(Summary!B459,'Pre-Summary'!$A$6:$P$184,7, FALSE)/100,AE460)</f>
        <v>1.0624666666666666E-2</v>
      </c>
      <c r="AF459" s="99">
        <f t="shared" si="22"/>
        <v>0.26665819698259696</v>
      </c>
      <c r="AG459" s="99">
        <f t="shared" si="23"/>
        <v>5.8365133150421224E-3</v>
      </c>
      <c r="AH459" s="10" t="str">
        <f>IFERROR(VLOOKUP(B459,'Pre-Summary'!$AZ$6:$BE$65,3,FALSE),"")</f>
        <v/>
      </c>
      <c r="AI459" s="10" t="str">
        <f>IFERROR(VLOOKUP(B459,'Pre-Summary'!$AZ$6:$BE$65,5,FALSE),"")</f>
        <v/>
      </c>
      <c r="AJ459" s="10" t="str">
        <f>IFERROR(VLOOKUP(B459,'Pre-Summary'!$AZ$6:$BE$65,4,FALSE),"")</f>
        <v/>
      </c>
      <c r="AK459" s="10" t="str">
        <f>IFERROR(VLOOKUP(B459,'Pre-Summary'!$AZ$6:$BE$65,6,FALSE),"")</f>
        <v/>
      </c>
      <c r="AL459" s="10" t="str">
        <f>IFERROR(VLOOKUP(B459,'Pre-Summary'!$BG$6:$BL$44,3,FALSE),"")</f>
        <v/>
      </c>
      <c r="AM459" s="10" t="str">
        <f>IFERROR(VLOOKUP(B459,'Pre-Summary'!$BG$6:$BL$44,4,FALSE),"")</f>
        <v/>
      </c>
    </row>
    <row r="460" spans="2:39" ht="15" customHeight="1" x14ac:dyDescent="0.3">
      <c r="B460">
        <v>45.7</v>
      </c>
      <c r="C460" t="str">
        <f>IFERROR(VLOOKUP(B460,'Pre-Summary'!$DI$6:$DM$23,4,FALSE),"")</f>
        <v/>
      </c>
      <c r="D460" s="10" t="str">
        <f>IFERROR(VLOOKUP(B460,'Pre-Summary'!$AT$6:$AX$14,5,FALSE),D459)</f>
        <v>DSMZ v2: Dropped Na-Ac out of DSMZ 120 media</v>
      </c>
      <c r="E460" s="10" t="str">
        <f>IFERROR(VLOOKUP(B460,'Pre-Summary'!$AT$6:$AX$15,4,FALSE),"")</f>
        <v/>
      </c>
      <c r="F460">
        <f>IFERROR(VLOOKUP(B460,'Pre-Summary'!$AL$6:$AQ$13,6,FALSE),F459)</f>
        <v>5.9405263157894746E-2</v>
      </c>
      <c r="G460" t="str">
        <f>IFERROR(VLOOKUP(B460,'Pre-Summary'!$AE$6:$AJ$85,3,FALSE),"")</f>
        <v/>
      </c>
      <c r="H460" t="str">
        <f>IFERROR(VLOOKUP(B460,'Pre-Summary'!$AE$6:$AJ$85,4,FALSE),"")</f>
        <v/>
      </c>
      <c r="I460" t="str">
        <f>IFERROR(VLOOKUP(B460,'Pre-Summary'!$AE$6:$AJ$85,5,FALSE),"")</f>
        <v/>
      </c>
      <c r="J460" s="45" t="str">
        <f>IFERROR(VLOOKUP(B460,'Pre-Summary'!$AE$6:$AJ$85,6, FALSE),"")</f>
        <v/>
      </c>
      <c r="K460" s="45" t="str">
        <f>IFERROR(VLOOKUP(B460,'Pre-Summary'!$DE$6:$DG$61,3,FALSE),"")</f>
        <v/>
      </c>
      <c r="L460" s="45" t="str">
        <f>IFERROR(VLOOKUP(B460,'Pre-Summary'!$CU$6:$CW$36,3,FALSE),"")</f>
        <v/>
      </c>
      <c r="M460" s="45" t="str">
        <f>IFERROR(VLOOKUP(B460,'Pre-Summary'!$BW$6:$BY$58,2,FALSE),"")</f>
        <v/>
      </c>
      <c r="N460" s="45" t="str">
        <f>IFERROR(VLOOKUP(B460,'Pre-Summary'!$CD$6:$CF$64,2,FALSE),"")</f>
        <v/>
      </c>
      <c r="O460" s="99">
        <f>IFERROR(VLOOKUP(B460,'Pre-Summary'!$BO$6:$BQ$48,3, FALSE),O459)</f>
        <v>1.0915248032216731</v>
      </c>
      <c r="P460" s="99">
        <f>IFERROR(VLOOKUP(B460,'Pre-Summary'!$BS$6:$BU$35,3,FALSE),P459)</f>
        <v>0.25</v>
      </c>
      <c r="Q460" s="54">
        <f t="shared" si="21"/>
        <v>4.3660992128866924</v>
      </c>
      <c r="R460" s="53">
        <f>IFERROR(VLOOKUP(B460,'Pre-Summary'!$BG$6:$BM$44,7,FALSE),R461)</f>
        <v>7.5915763918363535E-2</v>
      </c>
      <c r="S460" s="53">
        <f>IFERROR(VLOOKUP(B460,'Pre-Summary'!$BG$6:$BM$44,6,FALSE),S461)</f>
        <v>5.2897473997019086E-2</v>
      </c>
      <c r="T460" s="45" t="str">
        <f>IFERROR(VLOOKUP(B460,'Pre-Summary'!$Y$6:$AC$83, 3,FALSE),"")</f>
        <v/>
      </c>
      <c r="U460" s="45" t="str">
        <f>IFERROR(VLOOKUP(B460,'Pre-Summary'!$Y$6:$AC$83, 4,FALSE),"")</f>
        <v/>
      </c>
      <c r="V460" t="str">
        <f>IFERROR(VLOOKUP(B460,'Pre-Summary'!$Y$6:$AC$83, 5,FALSE),"")</f>
        <v/>
      </c>
      <c r="W460" s="45" t="str">
        <f>IFERROR(VLOOKUP(B460,'Pre-Summary'!$Y$6:$AD$83,6,FALSE),"")</f>
        <v/>
      </c>
      <c r="X460" t="str">
        <f>IFERROR(VLOOKUP('Pre-Summary'!$DB$6:$DD$63,3,FALSE),"")</f>
        <v/>
      </c>
      <c r="Y460" t="str">
        <f>IFERROR(VLOOKUP(B460,'Pre-Summary'!$CR$6:$CT$36,3,FALSE),"")</f>
        <v/>
      </c>
      <c r="Z460" s="45" t="str">
        <f>IFERROR(VLOOKUP(B460,'Pre-Summary'!$BZ$6:$CB$63,2,FALSE),"")</f>
        <v/>
      </c>
      <c r="AA460" s="45" t="str">
        <f>IFERROR(VLOOKUP(B460,'Pre-Summary'!$CG$6:$CI$70,2,FALSE),"")</f>
        <v/>
      </c>
      <c r="AB460" s="99">
        <f>IFERROR(VLOOKUP(B460,'Pre-Summary'!$A$6:$P$178,9,FALSE),AB461)</f>
        <v>0.54933613431406059</v>
      </c>
      <c r="AC460" s="10">
        <f>IFERROR(VLOOKUP(Summary!B460,'Pre-Summary'!$A$6:$P$184,5, FALSE)/100,AC461)</f>
        <v>0.50395600000000007</v>
      </c>
      <c r="AD460" s="10">
        <f>IFERROR(VLOOKUP(Summary!B460,'Pre-Summary'!$A$6:$P$184,3, FALSE)/100,AD461)</f>
        <v>0.48541899999999999</v>
      </c>
      <c r="AE460" s="10">
        <f>IFERROR(VLOOKUP(Summary!B460,'Pre-Summary'!$A$6:$P$184,7, FALSE)/100,AE461)</f>
        <v>1.0624666666666666E-2</v>
      </c>
      <c r="AF460" s="99">
        <f t="shared" si="22"/>
        <v>0.26665819698259696</v>
      </c>
      <c r="AG460" s="99">
        <f t="shared" si="23"/>
        <v>5.8365133150421224E-3</v>
      </c>
      <c r="AH460" s="10" t="str">
        <f>IFERROR(VLOOKUP(B460,'Pre-Summary'!$AZ$6:$BE$65,3,FALSE),"")</f>
        <v/>
      </c>
      <c r="AI460" s="10" t="str">
        <f>IFERROR(VLOOKUP(B460,'Pre-Summary'!$AZ$6:$BE$65,5,FALSE),"")</f>
        <v/>
      </c>
      <c r="AJ460" s="10" t="str">
        <f>IFERROR(VLOOKUP(B460,'Pre-Summary'!$AZ$6:$BE$65,4,FALSE),"")</f>
        <v/>
      </c>
      <c r="AK460" s="10" t="str">
        <f>IFERROR(VLOOKUP(B460,'Pre-Summary'!$AZ$6:$BE$65,6,FALSE),"")</f>
        <v/>
      </c>
      <c r="AL460" s="10" t="str">
        <f>IFERROR(VLOOKUP(B460,'Pre-Summary'!$BG$6:$BL$44,3,FALSE),"")</f>
        <v/>
      </c>
      <c r="AM460" s="10" t="str">
        <f>IFERROR(VLOOKUP(B460,'Pre-Summary'!$BG$6:$BL$44,4,FALSE),"")</f>
        <v/>
      </c>
    </row>
    <row r="461" spans="2:39" ht="15" customHeight="1" x14ac:dyDescent="0.3">
      <c r="B461">
        <v>45.8</v>
      </c>
      <c r="C461" t="str">
        <f>IFERROR(VLOOKUP(B461,'Pre-Summary'!$DI$6:$DM$23,4,FALSE),"")</f>
        <v/>
      </c>
      <c r="D461" s="10" t="str">
        <f>IFERROR(VLOOKUP(B461,'Pre-Summary'!$AT$6:$AX$14,5,FALSE),D460)</f>
        <v>DSMZ v2: Dropped Na-Ac out of DSMZ 120 media</v>
      </c>
      <c r="E461" s="10" t="str">
        <f>IFERROR(VLOOKUP(B461,'Pre-Summary'!$AT$6:$AX$15,4,FALSE),"")</f>
        <v/>
      </c>
      <c r="F461">
        <f>IFERROR(VLOOKUP(B461,'Pre-Summary'!$AL$6:$AQ$13,6,FALSE),F460)</f>
        <v>5.9405263157894746E-2</v>
      </c>
      <c r="G461" t="str">
        <f>IFERROR(VLOOKUP(B461,'Pre-Summary'!$AE$6:$AJ$85,3,FALSE),"")</f>
        <v/>
      </c>
      <c r="H461" t="str">
        <f>IFERROR(VLOOKUP(B461,'Pre-Summary'!$AE$6:$AJ$85,4,FALSE),"")</f>
        <v/>
      </c>
      <c r="I461" t="str">
        <f>IFERROR(VLOOKUP(B461,'Pre-Summary'!$AE$6:$AJ$85,5,FALSE),"")</f>
        <v/>
      </c>
      <c r="J461" s="45" t="str">
        <f>IFERROR(VLOOKUP(B461,'Pre-Summary'!$AE$6:$AJ$85,6, FALSE),"")</f>
        <v/>
      </c>
      <c r="K461" s="45" t="str">
        <f>IFERROR(VLOOKUP(B461,'Pre-Summary'!$DE$6:$DG$61,3,FALSE),"")</f>
        <v/>
      </c>
      <c r="L461" s="45" t="str">
        <f>IFERROR(VLOOKUP(B461,'Pre-Summary'!$CU$6:$CW$36,3,FALSE),"")</f>
        <v/>
      </c>
      <c r="M461" s="45" t="str">
        <f>IFERROR(VLOOKUP(B461,'Pre-Summary'!$BW$6:$BY$58,2,FALSE),"")</f>
        <v/>
      </c>
      <c r="N461" s="45" t="str">
        <f>IFERROR(VLOOKUP(B461,'Pre-Summary'!$CD$6:$CF$64,2,FALSE),"")</f>
        <v/>
      </c>
      <c r="O461" s="99">
        <f>IFERROR(VLOOKUP(B461,'Pre-Summary'!$BO$6:$BQ$48,3, FALSE),O460)</f>
        <v>1.0915248032216731</v>
      </c>
      <c r="P461" s="99">
        <f>IFERROR(VLOOKUP(B461,'Pre-Summary'!$BS$6:$BU$35,3,FALSE),P460)</f>
        <v>0.25</v>
      </c>
      <c r="Q461" s="54">
        <f t="shared" si="21"/>
        <v>4.3660992128866924</v>
      </c>
      <c r="R461" s="53">
        <f>IFERROR(VLOOKUP(B461,'Pre-Summary'!$BG$6:$BM$44,7,FALSE),R462)</f>
        <v>7.5915763918363535E-2</v>
      </c>
      <c r="S461" s="53">
        <f>IFERROR(VLOOKUP(B461,'Pre-Summary'!$BG$6:$BM$44,6,FALSE),S462)</f>
        <v>5.2897473997019086E-2</v>
      </c>
      <c r="T461" s="45" t="str">
        <f>IFERROR(VLOOKUP(B461,'Pre-Summary'!$Y$6:$AC$83, 3,FALSE),"")</f>
        <v/>
      </c>
      <c r="U461" s="45" t="str">
        <f>IFERROR(VLOOKUP(B461,'Pre-Summary'!$Y$6:$AC$83, 4,FALSE),"")</f>
        <v/>
      </c>
      <c r="V461" t="str">
        <f>IFERROR(VLOOKUP(B461,'Pre-Summary'!$Y$6:$AC$83, 5,FALSE),"")</f>
        <v/>
      </c>
      <c r="W461" s="45" t="str">
        <f>IFERROR(VLOOKUP(B461,'Pre-Summary'!$Y$6:$AD$83,6,FALSE),"")</f>
        <v/>
      </c>
      <c r="X461" t="str">
        <f>IFERROR(VLOOKUP('Pre-Summary'!$DB$6:$DD$63,3,FALSE),"")</f>
        <v/>
      </c>
      <c r="Y461" t="str">
        <f>IFERROR(VLOOKUP(B461,'Pre-Summary'!$CR$6:$CT$36,3,FALSE),"")</f>
        <v/>
      </c>
      <c r="Z461" s="45" t="str">
        <f>IFERROR(VLOOKUP(B461,'Pre-Summary'!$BZ$6:$CB$63,2,FALSE),"")</f>
        <v/>
      </c>
      <c r="AA461" s="45" t="str">
        <f>IFERROR(VLOOKUP(B461,'Pre-Summary'!$CG$6:$CI$70,2,FALSE),"")</f>
        <v/>
      </c>
      <c r="AB461" s="99">
        <f>IFERROR(VLOOKUP(B461,'Pre-Summary'!$A$6:$P$178,9,FALSE),AB462)</f>
        <v>0.54933613431406059</v>
      </c>
      <c r="AC461" s="10">
        <f>IFERROR(VLOOKUP(Summary!B461,'Pre-Summary'!$A$6:$P$184,5, FALSE)/100,AC462)</f>
        <v>0.50395600000000007</v>
      </c>
      <c r="AD461" s="10">
        <f>IFERROR(VLOOKUP(Summary!B461,'Pre-Summary'!$A$6:$P$184,3, FALSE)/100,AD462)</f>
        <v>0.48541899999999999</v>
      </c>
      <c r="AE461" s="10">
        <f>IFERROR(VLOOKUP(Summary!B461,'Pre-Summary'!$A$6:$P$184,7, FALSE)/100,AE462)</f>
        <v>1.0624666666666666E-2</v>
      </c>
      <c r="AF461" s="99">
        <f t="shared" si="22"/>
        <v>0.26665819698259696</v>
      </c>
      <c r="AG461" s="99">
        <f t="shared" si="23"/>
        <v>5.8365133150421224E-3</v>
      </c>
      <c r="AH461" s="10" t="str">
        <f>IFERROR(VLOOKUP(B461,'Pre-Summary'!$AZ$6:$BE$65,3,FALSE),"")</f>
        <v/>
      </c>
      <c r="AI461" s="10" t="str">
        <f>IFERROR(VLOOKUP(B461,'Pre-Summary'!$AZ$6:$BE$65,5,FALSE),"")</f>
        <v/>
      </c>
      <c r="AJ461" s="10" t="str">
        <f>IFERROR(VLOOKUP(B461,'Pre-Summary'!$AZ$6:$BE$65,4,FALSE),"")</f>
        <v/>
      </c>
      <c r="AK461" s="10" t="str">
        <f>IFERROR(VLOOKUP(B461,'Pre-Summary'!$AZ$6:$BE$65,6,FALSE),"")</f>
        <v/>
      </c>
      <c r="AL461" s="10" t="str">
        <f>IFERROR(VLOOKUP(B461,'Pre-Summary'!$BG$6:$BL$44,3,FALSE),"")</f>
        <v/>
      </c>
      <c r="AM461" s="10" t="str">
        <f>IFERROR(VLOOKUP(B461,'Pre-Summary'!$BG$6:$BL$44,4,FALSE),"")</f>
        <v/>
      </c>
    </row>
    <row r="462" spans="2:39" ht="15" customHeight="1" x14ac:dyDescent="0.3">
      <c r="B462">
        <v>45.9</v>
      </c>
      <c r="C462" t="str">
        <f>IFERROR(VLOOKUP(B462,'Pre-Summary'!$DI$6:$DM$23,4,FALSE),"")</f>
        <v/>
      </c>
      <c r="D462" s="10" t="str">
        <f>IFERROR(VLOOKUP(B462,'Pre-Summary'!$AT$6:$AX$14,5,FALSE),D461)</f>
        <v>DSMZ v2: Dropped Na-Ac out of DSMZ 120 media</v>
      </c>
      <c r="E462" s="10" t="str">
        <f>IFERROR(VLOOKUP(B462,'Pre-Summary'!$AT$6:$AX$15,4,FALSE),"")</f>
        <v/>
      </c>
      <c r="F462">
        <f>IFERROR(VLOOKUP(B462,'Pre-Summary'!$AL$6:$AQ$13,6,FALSE),F461)</f>
        <v>5.9405263157894746E-2</v>
      </c>
      <c r="G462" t="str">
        <f>IFERROR(VLOOKUP(B462,'Pre-Summary'!$AE$6:$AJ$85,3,FALSE),"")</f>
        <v/>
      </c>
      <c r="H462" t="str">
        <f>IFERROR(VLOOKUP(B462,'Pre-Summary'!$AE$6:$AJ$85,4,FALSE),"")</f>
        <v/>
      </c>
      <c r="I462" t="str">
        <f>IFERROR(VLOOKUP(B462,'Pre-Summary'!$AE$6:$AJ$85,5,FALSE),"")</f>
        <v/>
      </c>
      <c r="J462" s="45" t="str">
        <f>IFERROR(VLOOKUP(B462,'Pre-Summary'!$AE$6:$AJ$85,6, FALSE),"")</f>
        <v/>
      </c>
      <c r="K462" s="45" t="str">
        <f>IFERROR(VLOOKUP(B462,'Pre-Summary'!$DE$6:$DG$61,3,FALSE),"")</f>
        <v/>
      </c>
      <c r="L462" s="45" t="str">
        <f>IFERROR(VLOOKUP(B462,'Pre-Summary'!$CU$6:$CW$36,3,FALSE),"")</f>
        <v/>
      </c>
      <c r="M462" s="45" t="str">
        <f>IFERROR(VLOOKUP(B462,'Pre-Summary'!$BW$6:$BY$58,2,FALSE),"")</f>
        <v/>
      </c>
      <c r="N462" s="45" t="str">
        <f>IFERROR(VLOOKUP(B462,'Pre-Summary'!$CD$6:$CF$64,2,FALSE),"")</f>
        <v/>
      </c>
      <c r="O462" s="99">
        <f>IFERROR(VLOOKUP(B462,'Pre-Summary'!$BO$6:$BQ$48,3, FALSE),O461)</f>
        <v>1.0915248032216731</v>
      </c>
      <c r="P462" s="99">
        <f>IFERROR(VLOOKUP(B462,'Pre-Summary'!$BS$6:$BU$35,3,FALSE),P461)</f>
        <v>0.25</v>
      </c>
      <c r="Q462" s="54">
        <f t="shared" si="21"/>
        <v>4.3660992128866924</v>
      </c>
      <c r="R462" s="53">
        <f>IFERROR(VLOOKUP(B462,'Pre-Summary'!$BG$6:$BM$44,7,FALSE),R463)</f>
        <v>7.5915763918363535E-2</v>
      </c>
      <c r="S462" s="53">
        <f>IFERROR(VLOOKUP(B462,'Pre-Summary'!$BG$6:$BM$44,6,FALSE),S463)</f>
        <v>5.2897473997019086E-2</v>
      </c>
      <c r="T462" s="45" t="str">
        <f>IFERROR(VLOOKUP(B462,'Pre-Summary'!$Y$6:$AC$83, 3,FALSE),"")</f>
        <v/>
      </c>
      <c r="U462" s="45" t="str">
        <f>IFERROR(VLOOKUP(B462,'Pre-Summary'!$Y$6:$AC$83, 4,FALSE),"")</f>
        <v/>
      </c>
      <c r="V462" t="str">
        <f>IFERROR(VLOOKUP(B462,'Pre-Summary'!$Y$6:$AC$83, 5,FALSE),"")</f>
        <v/>
      </c>
      <c r="W462" s="45" t="str">
        <f>IFERROR(VLOOKUP(B462,'Pre-Summary'!$Y$6:$AD$83,6,FALSE),"")</f>
        <v/>
      </c>
      <c r="X462" t="str">
        <f>IFERROR(VLOOKUP('Pre-Summary'!$DB$6:$DD$63,3,FALSE),"")</f>
        <v/>
      </c>
      <c r="Y462" t="str">
        <f>IFERROR(VLOOKUP(B462,'Pre-Summary'!$CR$6:$CT$36,3,FALSE),"")</f>
        <v/>
      </c>
      <c r="Z462" s="45" t="str">
        <f>IFERROR(VLOOKUP(B462,'Pre-Summary'!$BZ$6:$CB$63,2,FALSE),"")</f>
        <v/>
      </c>
      <c r="AA462" s="45" t="str">
        <f>IFERROR(VLOOKUP(B462,'Pre-Summary'!$CG$6:$CI$70,2,FALSE),"")</f>
        <v/>
      </c>
      <c r="AB462" s="99">
        <f>IFERROR(VLOOKUP(B462,'Pre-Summary'!$A$6:$P$178,9,FALSE),AB463)</f>
        <v>0.54933613431406059</v>
      </c>
      <c r="AC462" s="10">
        <f>IFERROR(VLOOKUP(Summary!B462,'Pre-Summary'!$A$6:$P$184,5, FALSE)/100,AC463)</f>
        <v>0.50395600000000007</v>
      </c>
      <c r="AD462" s="10">
        <f>IFERROR(VLOOKUP(Summary!B462,'Pre-Summary'!$A$6:$P$184,3, FALSE)/100,AD463)</f>
        <v>0.48541899999999999</v>
      </c>
      <c r="AE462" s="10">
        <f>IFERROR(VLOOKUP(Summary!B462,'Pre-Summary'!$A$6:$P$184,7, FALSE)/100,AE463)</f>
        <v>1.0624666666666666E-2</v>
      </c>
      <c r="AF462" s="99">
        <f t="shared" si="22"/>
        <v>0.26665819698259696</v>
      </c>
      <c r="AG462" s="99">
        <f t="shared" si="23"/>
        <v>5.8365133150421224E-3</v>
      </c>
      <c r="AH462" s="10" t="str">
        <f>IFERROR(VLOOKUP(B462,'Pre-Summary'!$AZ$6:$BE$65,3,FALSE),"")</f>
        <v/>
      </c>
      <c r="AI462" s="10" t="str">
        <f>IFERROR(VLOOKUP(B462,'Pre-Summary'!$AZ$6:$BE$65,5,FALSE),"")</f>
        <v/>
      </c>
      <c r="AJ462" s="10" t="str">
        <f>IFERROR(VLOOKUP(B462,'Pre-Summary'!$AZ$6:$BE$65,4,FALSE),"")</f>
        <v/>
      </c>
      <c r="AK462" s="10" t="str">
        <f>IFERROR(VLOOKUP(B462,'Pre-Summary'!$AZ$6:$BE$65,6,FALSE),"")</f>
        <v/>
      </c>
      <c r="AL462" s="10" t="str">
        <f>IFERROR(VLOOKUP(B462,'Pre-Summary'!$BG$6:$BL$44,3,FALSE),"")</f>
        <v/>
      </c>
      <c r="AM462" s="10" t="str">
        <f>IFERROR(VLOOKUP(B462,'Pre-Summary'!$BG$6:$BL$44,4,FALSE),"")</f>
        <v/>
      </c>
    </row>
    <row r="463" spans="2:39" ht="15" customHeight="1" x14ac:dyDescent="0.3">
      <c r="B463">
        <v>46</v>
      </c>
      <c r="C463" t="str">
        <f>IFERROR(VLOOKUP(B463,'Pre-Summary'!$DI$6:$DM$23,4,FALSE),"")</f>
        <v/>
      </c>
      <c r="D463" s="10" t="str">
        <f>IFERROR(VLOOKUP(B463,'Pre-Summary'!$AT$6:$AX$14,5,FALSE),D462)</f>
        <v>DSMZ v2: Dropped Na-Ac out of DSMZ 120 media</v>
      </c>
      <c r="E463" s="10" t="str">
        <f>IFERROR(VLOOKUP(B463,'Pre-Summary'!$AT$6:$AX$15,4,FALSE),"")</f>
        <v/>
      </c>
      <c r="F463">
        <f>IFERROR(VLOOKUP(B463,'Pre-Summary'!$AL$6:$AQ$13,6,FALSE),F462)</f>
        <v>5.9405263157894746E-2</v>
      </c>
      <c r="G463" t="str">
        <f>IFERROR(VLOOKUP(B463,'Pre-Summary'!$AE$6:$AJ$85,3,FALSE),"")</f>
        <v/>
      </c>
      <c r="H463" t="str">
        <f>IFERROR(VLOOKUP(B463,'Pre-Summary'!$AE$6:$AJ$85,4,FALSE),"")</f>
        <v/>
      </c>
      <c r="I463" t="str">
        <f>IFERROR(VLOOKUP(B463,'Pre-Summary'!$AE$6:$AJ$85,5,FALSE),"")</f>
        <v/>
      </c>
      <c r="J463" s="45" t="str">
        <f>IFERROR(VLOOKUP(B463,'Pre-Summary'!$AE$6:$AJ$85,6, FALSE),"")</f>
        <v/>
      </c>
      <c r="K463" s="45" t="str">
        <f>IFERROR(VLOOKUP(B463,'Pre-Summary'!$DE$6:$DG$61,3,FALSE),"")</f>
        <v/>
      </c>
      <c r="L463" s="45" t="str">
        <f>IFERROR(VLOOKUP(B463,'Pre-Summary'!$CU$6:$CW$36,3,FALSE),"")</f>
        <v/>
      </c>
      <c r="M463" s="45" t="str">
        <f>IFERROR(VLOOKUP(B463,'Pre-Summary'!$BW$6:$BY$58,2,FALSE),"")</f>
        <v/>
      </c>
      <c r="N463" s="45" t="str">
        <f>IFERROR(VLOOKUP(B463,'Pre-Summary'!$CD$6:$CF$64,2,FALSE),"")</f>
        <v/>
      </c>
      <c r="O463" s="99">
        <f>IFERROR(VLOOKUP(B463,'Pre-Summary'!$BO$6:$BQ$48,3, FALSE),O462)</f>
        <v>1.0915248032216731</v>
      </c>
      <c r="P463" s="99">
        <f>IFERROR(VLOOKUP(B463,'Pre-Summary'!$BS$6:$BU$35,3,FALSE),P462)</f>
        <v>0.25</v>
      </c>
      <c r="Q463" s="54">
        <f t="shared" si="21"/>
        <v>4.3660992128866924</v>
      </c>
      <c r="R463" s="53">
        <f>IFERROR(VLOOKUP(B463,'Pre-Summary'!$BG$6:$BM$44,7,FALSE),R464)</f>
        <v>7.5915763918363535E-2</v>
      </c>
      <c r="S463" s="53">
        <f>IFERROR(VLOOKUP(B463,'Pre-Summary'!$BG$6:$BM$44,6,FALSE),S464)</f>
        <v>5.2897473997019086E-2</v>
      </c>
      <c r="T463" s="45" t="str">
        <f>IFERROR(VLOOKUP(B463,'Pre-Summary'!$Y$6:$AC$83, 3,FALSE),"")</f>
        <v/>
      </c>
      <c r="U463" s="45" t="str">
        <f>IFERROR(VLOOKUP(B463,'Pre-Summary'!$Y$6:$AC$83, 4,FALSE),"")</f>
        <v/>
      </c>
      <c r="V463" t="str">
        <f>IFERROR(VLOOKUP(B463,'Pre-Summary'!$Y$6:$AC$83, 5,FALSE),"")</f>
        <v/>
      </c>
      <c r="W463" s="45" t="str">
        <f>IFERROR(VLOOKUP(B463,'Pre-Summary'!$Y$6:$AD$83,6,FALSE),"")</f>
        <v/>
      </c>
      <c r="X463" t="str">
        <f>IFERROR(VLOOKUP('Pre-Summary'!$DB$6:$DD$63,3,FALSE),"")</f>
        <v/>
      </c>
      <c r="Y463" t="str">
        <f>IFERROR(VLOOKUP(B463,'Pre-Summary'!$CR$6:$CT$36,3,FALSE),"")</f>
        <v/>
      </c>
      <c r="Z463" s="45" t="str">
        <f>IFERROR(VLOOKUP(B463,'Pre-Summary'!$BZ$6:$CB$63,2,FALSE),"")</f>
        <v/>
      </c>
      <c r="AA463" s="45" t="str">
        <f>IFERROR(VLOOKUP(B463,'Pre-Summary'!$CG$6:$CI$70,2,FALSE),"")</f>
        <v/>
      </c>
      <c r="AB463" s="99">
        <f>IFERROR(VLOOKUP(B463,'Pre-Summary'!$A$6:$P$178,9,FALSE),AB464)</f>
        <v>0.54933613431406059</v>
      </c>
      <c r="AC463" s="10">
        <f>IFERROR(VLOOKUP(Summary!B463,'Pre-Summary'!$A$6:$P$184,5, FALSE)/100,AC464)</f>
        <v>0.50395600000000007</v>
      </c>
      <c r="AD463" s="10">
        <f>IFERROR(VLOOKUP(Summary!B463,'Pre-Summary'!$A$6:$P$184,3, FALSE)/100,AD464)</f>
        <v>0.48541899999999999</v>
      </c>
      <c r="AE463" s="10">
        <f>IFERROR(VLOOKUP(Summary!B463,'Pre-Summary'!$A$6:$P$184,7, FALSE)/100,AE464)</f>
        <v>1.0624666666666666E-2</v>
      </c>
      <c r="AF463" s="99">
        <f t="shared" si="22"/>
        <v>0.26665819698259696</v>
      </c>
      <c r="AG463" s="99">
        <f t="shared" si="23"/>
        <v>5.8365133150421224E-3</v>
      </c>
      <c r="AH463" s="10" t="str">
        <f>IFERROR(VLOOKUP(B463,'Pre-Summary'!$AZ$6:$BE$65,3,FALSE),"")</f>
        <v/>
      </c>
      <c r="AI463" s="10" t="str">
        <f>IFERROR(VLOOKUP(B463,'Pre-Summary'!$AZ$6:$BE$65,5,FALSE),"")</f>
        <v/>
      </c>
      <c r="AJ463" s="10" t="str">
        <f>IFERROR(VLOOKUP(B463,'Pre-Summary'!$AZ$6:$BE$65,4,FALSE),"")</f>
        <v/>
      </c>
      <c r="AK463" s="10" t="str">
        <f>IFERROR(VLOOKUP(B463,'Pre-Summary'!$AZ$6:$BE$65,6,FALSE),"")</f>
        <v/>
      </c>
      <c r="AL463" s="10" t="str">
        <f>IFERROR(VLOOKUP(B463,'Pre-Summary'!$BG$6:$BL$44,3,FALSE),"")</f>
        <v/>
      </c>
      <c r="AM463" s="10" t="str">
        <f>IFERROR(VLOOKUP(B463,'Pre-Summary'!$BG$6:$BL$44,4,FALSE),"")</f>
        <v/>
      </c>
    </row>
    <row r="464" spans="2:39" ht="15" customHeight="1" x14ac:dyDescent="0.3">
      <c r="B464">
        <v>46.1</v>
      </c>
      <c r="C464" t="str">
        <f>IFERROR(VLOOKUP(B464,'Pre-Summary'!$DI$6:$DM$23,4,FALSE),"")</f>
        <v/>
      </c>
      <c r="D464" s="10" t="str">
        <f>IFERROR(VLOOKUP(B464,'Pre-Summary'!$AT$6:$AX$14,5,FALSE),D463)</f>
        <v>DSMZ v2: Dropped Na-Ac out of DSMZ 120 media</v>
      </c>
      <c r="E464" s="10" t="str">
        <f>IFERROR(VLOOKUP(B464,'Pre-Summary'!$AT$6:$AX$15,4,FALSE),"")</f>
        <v/>
      </c>
      <c r="F464">
        <f>IFERROR(VLOOKUP(B464,'Pre-Summary'!$AL$6:$AQ$13,6,FALSE),F463)</f>
        <v>5.9405263157894746E-2</v>
      </c>
      <c r="G464" t="str">
        <f>IFERROR(VLOOKUP(B464,'Pre-Summary'!$AE$6:$AJ$85,3,FALSE),"")</f>
        <v/>
      </c>
      <c r="H464" t="str">
        <f>IFERROR(VLOOKUP(B464,'Pre-Summary'!$AE$6:$AJ$85,4,FALSE),"")</f>
        <v/>
      </c>
      <c r="I464" t="str">
        <f>IFERROR(VLOOKUP(B464,'Pre-Summary'!$AE$6:$AJ$85,5,FALSE),"")</f>
        <v/>
      </c>
      <c r="J464" s="45" t="str">
        <f>IFERROR(VLOOKUP(B464,'Pre-Summary'!$AE$6:$AJ$85,6, FALSE),"")</f>
        <v/>
      </c>
      <c r="K464" s="45" t="str">
        <f>IFERROR(VLOOKUP(B464,'Pre-Summary'!$DE$6:$DG$61,3,FALSE),"")</f>
        <v/>
      </c>
      <c r="L464" s="45" t="str">
        <f>IFERROR(VLOOKUP(B464,'Pre-Summary'!$CU$6:$CW$36,3,FALSE),"")</f>
        <v/>
      </c>
      <c r="M464" s="45" t="str">
        <f>IFERROR(VLOOKUP(B464,'Pre-Summary'!$BW$6:$BY$58,2,FALSE),"")</f>
        <v/>
      </c>
      <c r="N464" s="45" t="str">
        <f>IFERROR(VLOOKUP(B464,'Pre-Summary'!$CD$6:$CF$64,2,FALSE),"")</f>
        <v/>
      </c>
      <c r="O464" s="99">
        <f>IFERROR(VLOOKUP(B464,'Pre-Summary'!$BO$6:$BQ$48,3, FALSE),O463)</f>
        <v>1.0915248032216731</v>
      </c>
      <c r="P464" s="99">
        <f>IFERROR(VLOOKUP(B464,'Pre-Summary'!$BS$6:$BU$35,3,FALSE),P463)</f>
        <v>0.25</v>
      </c>
      <c r="Q464" s="54">
        <f t="shared" si="21"/>
        <v>4.3660992128866924</v>
      </c>
      <c r="R464" s="53">
        <f>IFERROR(VLOOKUP(B464,'Pre-Summary'!$BG$6:$BM$44,7,FALSE),R465)</f>
        <v>7.5915763918363535E-2</v>
      </c>
      <c r="S464" s="53">
        <f>IFERROR(VLOOKUP(B464,'Pre-Summary'!$BG$6:$BM$44,6,FALSE),S465)</f>
        <v>5.2897473997019086E-2</v>
      </c>
      <c r="T464" s="45" t="str">
        <f>IFERROR(VLOOKUP(B464,'Pre-Summary'!$Y$6:$AC$83, 3,FALSE),"")</f>
        <v/>
      </c>
      <c r="U464" s="45" t="str">
        <f>IFERROR(VLOOKUP(B464,'Pre-Summary'!$Y$6:$AC$83, 4,FALSE),"")</f>
        <v/>
      </c>
      <c r="V464" t="str">
        <f>IFERROR(VLOOKUP(B464,'Pre-Summary'!$Y$6:$AC$83, 5,FALSE),"")</f>
        <v/>
      </c>
      <c r="W464" s="45" t="str">
        <f>IFERROR(VLOOKUP(B464,'Pre-Summary'!$Y$6:$AD$83,6,FALSE),"")</f>
        <v/>
      </c>
      <c r="X464" t="str">
        <f>IFERROR(VLOOKUP('Pre-Summary'!$DB$6:$DD$63,3,FALSE),"")</f>
        <v/>
      </c>
      <c r="Y464" t="str">
        <f>IFERROR(VLOOKUP(B464,'Pre-Summary'!$CR$6:$CT$36,3,FALSE),"")</f>
        <v/>
      </c>
      <c r="Z464" s="45" t="str">
        <f>IFERROR(VLOOKUP(B464,'Pre-Summary'!$BZ$6:$CB$63,2,FALSE),"")</f>
        <v/>
      </c>
      <c r="AA464" s="45" t="str">
        <f>IFERROR(VLOOKUP(B464,'Pre-Summary'!$CG$6:$CI$70,2,FALSE),"")</f>
        <v/>
      </c>
      <c r="AB464" s="99">
        <f>IFERROR(VLOOKUP(B464,'Pre-Summary'!$A$6:$P$178,9,FALSE),AB465)</f>
        <v>0.54933613431406059</v>
      </c>
      <c r="AC464" s="10">
        <f>IFERROR(VLOOKUP(Summary!B464,'Pre-Summary'!$A$6:$P$184,5, FALSE)/100,AC465)</f>
        <v>0.50395600000000007</v>
      </c>
      <c r="AD464" s="10">
        <f>IFERROR(VLOOKUP(Summary!B464,'Pre-Summary'!$A$6:$P$184,3, FALSE)/100,AD465)</f>
        <v>0.48541899999999999</v>
      </c>
      <c r="AE464" s="10">
        <f>IFERROR(VLOOKUP(Summary!B464,'Pre-Summary'!$A$6:$P$184,7, FALSE)/100,AE465)</f>
        <v>1.0624666666666666E-2</v>
      </c>
      <c r="AF464" s="99">
        <f t="shared" si="22"/>
        <v>0.26665819698259696</v>
      </c>
      <c r="AG464" s="99">
        <f t="shared" si="23"/>
        <v>5.8365133150421224E-3</v>
      </c>
      <c r="AH464" s="10" t="str">
        <f>IFERROR(VLOOKUP(B464,'Pre-Summary'!$AZ$6:$BE$65,3,FALSE),"")</f>
        <v/>
      </c>
      <c r="AI464" s="10" t="str">
        <f>IFERROR(VLOOKUP(B464,'Pre-Summary'!$AZ$6:$BE$65,5,FALSE),"")</f>
        <v/>
      </c>
      <c r="AJ464" s="10" t="str">
        <f>IFERROR(VLOOKUP(B464,'Pre-Summary'!$AZ$6:$BE$65,4,FALSE),"")</f>
        <v/>
      </c>
      <c r="AK464" s="10" t="str">
        <f>IFERROR(VLOOKUP(B464,'Pre-Summary'!$AZ$6:$BE$65,6,FALSE),"")</f>
        <v/>
      </c>
      <c r="AL464" s="10" t="str">
        <f>IFERROR(VLOOKUP(B464,'Pre-Summary'!$BG$6:$BL$44,3,FALSE),"")</f>
        <v/>
      </c>
      <c r="AM464" s="10" t="str">
        <f>IFERROR(VLOOKUP(B464,'Pre-Summary'!$BG$6:$BL$44,4,FALSE),"")</f>
        <v/>
      </c>
    </row>
    <row r="465" spans="2:39" ht="15" customHeight="1" x14ac:dyDescent="0.3">
      <c r="B465">
        <v>46.2</v>
      </c>
      <c r="C465" t="str">
        <f>IFERROR(VLOOKUP(B465,'Pre-Summary'!$DI$6:$DM$23,4,FALSE),"")</f>
        <v/>
      </c>
      <c r="D465" s="10" t="str">
        <f>IFERROR(VLOOKUP(B465,'Pre-Summary'!$AT$6:$AX$14,5,FALSE),D464)</f>
        <v>DSMZ v2: Dropped Na-Ac out of DSMZ 120 media</v>
      </c>
      <c r="E465" s="10" t="str">
        <f>IFERROR(VLOOKUP(B465,'Pre-Summary'!$AT$6:$AX$15,4,FALSE),"")</f>
        <v/>
      </c>
      <c r="F465">
        <f>IFERROR(VLOOKUP(B465,'Pre-Summary'!$AL$6:$AQ$13,6,FALSE),F464)</f>
        <v>5.9405263157894746E-2</v>
      </c>
      <c r="G465" t="str">
        <f>IFERROR(VLOOKUP(B465,'Pre-Summary'!$AE$6:$AJ$85,3,FALSE),"")</f>
        <v/>
      </c>
      <c r="H465" t="str">
        <f>IFERROR(VLOOKUP(B465,'Pre-Summary'!$AE$6:$AJ$85,4,FALSE),"")</f>
        <v/>
      </c>
      <c r="I465" t="str">
        <f>IFERROR(VLOOKUP(B465,'Pre-Summary'!$AE$6:$AJ$85,5,FALSE),"")</f>
        <v/>
      </c>
      <c r="J465" s="45" t="str">
        <f>IFERROR(VLOOKUP(B465,'Pre-Summary'!$AE$6:$AJ$85,6, FALSE),"")</f>
        <v/>
      </c>
      <c r="K465" s="45" t="str">
        <f>IFERROR(VLOOKUP(B465,'Pre-Summary'!$DE$6:$DG$61,3,FALSE),"")</f>
        <v/>
      </c>
      <c r="L465" s="45" t="str">
        <f>IFERROR(VLOOKUP(B465,'Pre-Summary'!$CU$6:$CW$36,3,FALSE),"")</f>
        <v/>
      </c>
      <c r="M465" s="45" t="str">
        <f>IFERROR(VLOOKUP(B465,'Pre-Summary'!$BW$6:$BY$58,2,FALSE),"")</f>
        <v/>
      </c>
      <c r="N465" s="45" t="str">
        <f>IFERROR(VLOOKUP(B465,'Pre-Summary'!$CD$6:$CF$64,2,FALSE),"")</f>
        <v/>
      </c>
      <c r="O465" s="99">
        <f>IFERROR(VLOOKUP(B465,'Pre-Summary'!$BO$6:$BQ$48,3, FALSE),O464)</f>
        <v>1.0915248032216731</v>
      </c>
      <c r="P465" s="99">
        <f>IFERROR(VLOOKUP(B465,'Pre-Summary'!$BS$6:$BU$35,3,FALSE),P464)</f>
        <v>0.25</v>
      </c>
      <c r="Q465" s="54">
        <f t="shared" si="21"/>
        <v>4.3660992128866924</v>
      </c>
      <c r="R465" s="53">
        <f>IFERROR(VLOOKUP(B465,'Pre-Summary'!$BG$6:$BM$44,7,FALSE),R466)</f>
        <v>7.5915763918363535E-2</v>
      </c>
      <c r="S465" s="53">
        <f>IFERROR(VLOOKUP(B465,'Pre-Summary'!$BG$6:$BM$44,6,FALSE),S466)</f>
        <v>5.2897473997019086E-2</v>
      </c>
      <c r="T465" s="45" t="str">
        <f>IFERROR(VLOOKUP(B465,'Pre-Summary'!$Y$6:$AC$83, 3,FALSE),"")</f>
        <v/>
      </c>
      <c r="U465" s="45" t="str">
        <f>IFERROR(VLOOKUP(B465,'Pre-Summary'!$Y$6:$AC$83, 4,FALSE),"")</f>
        <v/>
      </c>
      <c r="V465" t="str">
        <f>IFERROR(VLOOKUP(B465,'Pre-Summary'!$Y$6:$AC$83, 5,FALSE),"")</f>
        <v/>
      </c>
      <c r="W465" s="45" t="str">
        <f>IFERROR(VLOOKUP(B465,'Pre-Summary'!$Y$6:$AD$83,6,FALSE),"")</f>
        <v/>
      </c>
      <c r="X465" t="str">
        <f>IFERROR(VLOOKUP('Pre-Summary'!$DB$6:$DD$63,3,FALSE),"")</f>
        <v/>
      </c>
      <c r="Y465" t="str">
        <f>IFERROR(VLOOKUP(B465,'Pre-Summary'!$CR$6:$CT$36,3,FALSE),"")</f>
        <v/>
      </c>
      <c r="Z465" s="45" t="str">
        <f>IFERROR(VLOOKUP(B465,'Pre-Summary'!$BZ$6:$CB$63,2,FALSE),"")</f>
        <v/>
      </c>
      <c r="AA465" s="45" t="str">
        <f>IFERROR(VLOOKUP(B465,'Pre-Summary'!$CG$6:$CI$70,2,FALSE),"")</f>
        <v/>
      </c>
      <c r="AB465" s="99">
        <f>IFERROR(VLOOKUP(B465,'Pre-Summary'!$A$6:$P$178,9,FALSE),AB466)</f>
        <v>0.54933613431406059</v>
      </c>
      <c r="AC465" s="10">
        <f>IFERROR(VLOOKUP(Summary!B465,'Pre-Summary'!$A$6:$P$184,5, FALSE)/100,AC466)</f>
        <v>0.50395600000000007</v>
      </c>
      <c r="AD465" s="10">
        <f>IFERROR(VLOOKUP(Summary!B465,'Pre-Summary'!$A$6:$P$184,3, FALSE)/100,AD466)</f>
        <v>0.48541899999999999</v>
      </c>
      <c r="AE465" s="10">
        <f>IFERROR(VLOOKUP(Summary!B465,'Pre-Summary'!$A$6:$P$184,7, FALSE)/100,AE466)</f>
        <v>1.0624666666666666E-2</v>
      </c>
      <c r="AF465" s="99">
        <f t="shared" si="22"/>
        <v>0.26665819698259696</v>
      </c>
      <c r="AG465" s="99">
        <f t="shared" si="23"/>
        <v>5.8365133150421224E-3</v>
      </c>
      <c r="AH465" s="10" t="str">
        <f>IFERROR(VLOOKUP(B465,'Pre-Summary'!$AZ$6:$BE$65,3,FALSE),"")</f>
        <v/>
      </c>
      <c r="AI465" s="10" t="str">
        <f>IFERROR(VLOOKUP(B465,'Pre-Summary'!$AZ$6:$BE$65,5,FALSE),"")</f>
        <v/>
      </c>
      <c r="AJ465" s="10" t="str">
        <f>IFERROR(VLOOKUP(B465,'Pre-Summary'!$AZ$6:$BE$65,4,FALSE),"")</f>
        <v/>
      </c>
      <c r="AK465" s="10" t="str">
        <f>IFERROR(VLOOKUP(B465,'Pre-Summary'!$AZ$6:$BE$65,6,FALSE),"")</f>
        <v/>
      </c>
      <c r="AL465" s="10" t="str">
        <f>IFERROR(VLOOKUP(B465,'Pre-Summary'!$BG$6:$BL$44,3,FALSE),"")</f>
        <v/>
      </c>
      <c r="AM465" s="10" t="str">
        <f>IFERROR(VLOOKUP(B465,'Pre-Summary'!$BG$6:$BL$44,4,FALSE),"")</f>
        <v/>
      </c>
    </row>
    <row r="466" spans="2:39" ht="15" customHeight="1" x14ac:dyDescent="0.3">
      <c r="B466">
        <v>46.3</v>
      </c>
      <c r="C466" t="str">
        <f>IFERROR(VLOOKUP(B466,'Pre-Summary'!$DI$6:$DM$23,4,FALSE),"")</f>
        <v/>
      </c>
      <c r="D466" s="10" t="str">
        <f>IFERROR(VLOOKUP(B466,'Pre-Summary'!$AT$6:$AX$14,5,FALSE),D465)</f>
        <v>DSMZ v2: Dropped Na-Ac out of DSMZ 120 media</v>
      </c>
      <c r="E466" s="10" t="str">
        <f>IFERROR(VLOOKUP(B466,'Pre-Summary'!$AT$6:$AX$15,4,FALSE),"")</f>
        <v/>
      </c>
      <c r="F466">
        <f>IFERROR(VLOOKUP(B466,'Pre-Summary'!$AL$6:$AQ$13,6,FALSE),F465)</f>
        <v>5.9405263157894746E-2</v>
      </c>
      <c r="G466" t="str">
        <f>IFERROR(VLOOKUP(B466,'Pre-Summary'!$AE$6:$AJ$85,3,FALSE),"")</f>
        <v/>
      </c>
      <c r="H466" t="str">
        <f>IFERROR(VLOOKUP(B466,'Pre-Summary'!$AE$6:$AJ$85,4,FALSE),"")</f>
        <v/>
      </c>
      <c r="I466" t="str">
        <f>IFERROR(VLOOKUP(B466,'Pre-Summary'!$AE$6:$AJ$85,5,FALSE),"")</f>
        <v/>
      </c>
      <c r="J466" s="45" t="str">
        <f>IFERROR(VLOOKUP(B466,'Pre-Summary'!$AE$6:$AJ$85,6, FALSE),"")</f>
        <v/>
      </c>
      <c r="K466" s="45" t="str">
        <f>IFERROR(VLOOKUP(B466,'Pre-Summary'!$DE$6:$DG$61,3,FALSE),"")</f>
        <v/>
      </c>
      <c r="L466" s="45" t="str">
        <f>IFERROR(VLOOKUP(B466,'Pre-Summary'!$CU$6:$CW$36,3,FALSE),"")</f>
        <v/>
      </c>
      <c r="M466" s="45" t="str">
        <f>IFERROR(VLOOKUP(B466,'Pre-Summary'!$BW$6:$BY$58,2,FALSE),"")</f>
        <v/>
      </c>
      <c r="N466" s="45" t="str">
        <f>IFERROR(VLOOKUP(B466,'Pre-Summary'!$CD$6:$CF$64,2,FALSE),"")</f>
        <v/>
      </c>
      <c r="O466" s="99">
        <f>IFERROR(VLOOKUP(B466,'Pre-Summary'!$BO$6:$BQ$48,3, FALSE),O465)</f>
        <v>1.0915248032216731</v>
      </c>
      <c r="P466" s="99">
        <f>IFERROR(VLOOKUP(B466,'Pre-Summary'!$BS$6:$BU$35,3,FALSE),P465)</f>
        <v>0.25</v>
      </c>
      <c r="Q466" s="54">
        <f t="shared" si="21"/>
        <v>4.3660992128866924</v>
      </c>
      <c r="R466" s="53">
        <f>IFERROR(VLOOKUP(B466,'Pre-Summary'!$BG$6:$BM$44,7,FALSE),R467)</f>
        <v>7.5915763918363535E-2</v>
      </c>
      <c r="S466" s="53">
        <f>IFERROR(VLOOKUP(B466,'Pre-Summary'!$BG$6:$BM$44,6,FALSE),S467)</f>
        <v>5.2897473997019086E-2</v>
      </c>
      <c r="T466" s="45" t="str">
        <f>IFERROR(VLOOKUP(B466,'Pre-Summary'!$Y$6:$AC$83, 3,FALSE),"")</f>
        <v/>
      </c>
      <c r="U466" s="45" t="str">
        <f>IFERROR(VLOOKUP(B466,'Pre-Summary'!$Y$6:$AC$83, 4,FALSE),"")</f>
        <v/>
      </c>
      <c r="V466" t="str">
        <f>IFERROR(VLOOKUP(B466,'Pre-Summary'!$Y$6:$AC$83, 5,FALSE),"")</f>
        <v/>
      </c>
      <c r="W466" s="45" t="str">
        <f>IFERROR(VLOOKUP(B466,'Pre-Summary'!$Y$6:$AD$83,6,FALSE),"")</f>
        <v/>
      </c>
      <c r="X466" t="str">
        <f>IFERROR(VLOOKUP('Pre-Summary'!$DB$6:$DD$63,3,FALSE),"")</f>
        <v/>
      </c>
      <c r="Y466" t="str">
        <f>IFERROR(VLOOKUP(B466,'Pre-Summary'!$CR$6:$CT$36,3,FALSE),"")</f>
        <v/>
      </c>
      <c r="Z466" s="45" t="str">
        <f>IFERROR(VLOOKUP(B466,'Pre-Summary'!$BZ$6:$CB$63,2,FALSE),"")</f>
        <v/>
      </c>
      <c r="AA466" s="45" t="str">
        <f>IFERROR(VLOOKUP(B466,'Pre-Summary'!$CG$6:$CI$70,2,FALSE),"")</f>
        <v/>
      </c>
      <c r="AB466" s="99">
        <f>IFERROR(VLOOKUP(B466,'Pre-Summary'!$A$6:$P$178,9,FALSE),AB467)</f>
        <v>0.54933613431406059</v>
      </c>
      <c r="AC466" s="10">
        <f>IFERROR(VLOOKUP(Summary!B466,'Pre-Summary'!$A$6:$P$184,5, FALSE)/100,AC467)</f>
        <v>0.50395600000000007</v>
      </c>
      <c r="AD466" s="10">
        <f>IFERROR(VLOOKUP(Summary!B466,'Pre-Summary'!$A$6:$P$184,3, FALSE)/100,AD467)</f>
        <v>0.48541899999999999</v>
      </c>
      <c r="AE466" s="10">
        <f>IFERROR(VLOOKUP(Summary!B466,'Pre-Summary'!$A$6:$P$184,7, FALSE)/100,AE467)</f>
        <v>1.0624666666666666E-2</v>
      </c>
      <c r="AF466" s="99">
        <f t="shared" si="22"/>
        <v>0.26665819698259696</v>
      </c>
      <c r="AG466" s="99">
        <f t="shared" si="23"/>
        <v>5.8365133150421224E-3</v>
      </c>
      <c r="AH466" s="10" t="str">
        <f>IFERROR(VLOOKUP(B466,'Pre-Summary'!$AZ$6:$BE$65,3,FALSE),"")</f>
        <v/>
      </c>
      <c r="AI466" s="10" t="str">
        <f>IFERROR(VLOOKUP(B466,'Pre-Summary'!$AZ$6:$BE$65,5,FALSE),"")</f>
        <v/>
      </c>
      <c r="AJ466" s="10" t="str">
        <f>IFERROR(VLOOKUP(B466,'Pre-Summary'!$AZ$6:$BE$65,4,FALSE),"")</f>
        <v/>
      </c>
      <c r="AK466" s="10" t="str">
        <f>IFERROR(VLOOKUP(B466,'Pre-Summary'!$AZ$6:$BE$65,6,FALSE),"")</f>
        <v/>
      </c>
      <c r="AL466" s="10" t="str">
        <f>IFERROR(VLOOKUP(B466,'Pre-Summary'!$BG$6:$BL$44,3,FALSE),"")</f>
        <v/>
      </c>
      <c r="AM466" s="10" t="str">
        <f>IFERROR(VLOOKUP(B466,'Pre-Summary'!$BG$6:$BL$44,4,FALSE),"")</f>
        <v/>
      </c>
    </row>
    <row r="467" spans="2:39" ht="15" customHeight="1" x14ac:dyDescent="0.3">
      <c r="B467">
        <v>46.4</v>
      </c>
      <c r="C467" t="str">
        <f>IFERROR(VLOOKUP(B467,'Pre-Summary'!$DI$6:$DM$23,4,FALSE),"")</f>
        <v/>
      </c>
      <c r="D467" s="10" t="str">
        <f>IFERROR(VLOOKUP(B467,'Pre-Summary'!$AT$6:$AX$14,5,FALSE),D466)</f>
        <v>DSMZ v2: Dropped Na-Ac out of DSMZ 120 media</v>
      </c>
      <c r="E467" s="10" t="str">
        <f>IFERROR(VLOOKUP(B467,'Pre-Summary'!$AT$6:$AX$15,4,FALSE),"")</f>
        <v/>
      </c>
      <c r="F467">
        <f>IFERROR(VLOOKUP(B467,'Pre-Summary'!$AL$6:$AQ$13,6,FALSE),F466)</f>
        <v>5.9405263157894746E-2</v>
      </c>
      <c r="G467" t="str">
        <f>IFERROR(VLOOKUP(B467,'Pre-Summary'!$AE$6:$AJ$85,3,FALSE),"")</f>
        <v/>
      </c>
      <c r="H467" t="str">
        <f>IFERROR(VLOOKUP(B467,'Pre-Summary'!$AE$6:$AJ$85,4,FALSE),"")</f>
        <v/>
      </c>
      <c r="I467" t="str">
        <f>IFERROR(VLOOKUP(B467,'Pre-Summary'!$AE$6:$AJ$85,5,FALSE),"")</f>
        <v/>
      </c>
      <c r="J467" s="45" t="str">
        <f>IFERROR(VLOOKUP(B467,'Pre-Summary'!$AE$6:$AJ$85,6, FALSE),"")</f>
        <v/>
      </c>
      <c r="K467" s="45" t="str">
        <f>IFERROR(VLOOKUP(B467,'Pre-Summary'!$DE$6:$DG$61,3,FALSE),"")</f>
        <v/>
      </c>
      <c r="L467" s="45" t="str">
        <f>IFERROR(VLOOKUP(B467,'Pre-Summary'!$CU$6:$CW$36,3,FALSE),"")</f>
        <v/>
      </c>
      <c r="M467" s="45" t="str">
        <f>IFERROR(VLOOKUP(B467,'Pre-Summary'!$BW$6:$BY$58,2,FALSE),"")</f>
        <v/>
      </c>
      <c r="N467" s="45" t="str">
        <f>IFERROR(VLOOKUP(B467,'Pre-Summary'!$CD$6:$CF$64,2,FALSE),"")</f>
        <v/>
      </c>
      <c r="O467" s="99">
        <f>IFERROR(VLOOKUP(B467,'Pre-Summary'!$BO$6:$BQ$48,3, FALSE),O466)</f>
        <v>1.0915248032216731</v>
      </c>
      <c r="P467" s="99">
        <f>IFERROR(VLOOKUP(B467,'Pre-Summary'!$BS$6:$BU$35,3,FALSE),P466)</f>
        <v>0.25</v>
      </c>
      <c r="Q467" s="54">
        <f t="shared" si="21"/>
        <v>4.3660992128866924</v>
      </c>
      <c r="R467" s="53">
        <f>IFERROR(VLOOKUP(B467,'Pre-Summary'!$BG$6:$BM$44,7,FALSE),R468)</f>
        <v>7.5915763918363535E-2</v>
      </c>
      <c r="S467" s="53">
        <f>IFERROR(VLOOKUP(B467,'Pre-Summary'!$BG$6:$BM$44,6,FALSE),S468)</f>
        <v>5.2897473997019086E-2</v>
      </c>
      <c r="T467" s="45" t="str">
        <f>IFERROR(VLOOKUP(B467,'Pre-Summary'!$Y$6:$AC$83, 3,FALSE),"")</f>
        <v/>
      </c>
      <c r="U467" s="45" t="str">
        <f>IFERROR(VLOOKUP(B467,'Pre-Summary'!$Y$6:$AC$83, 4,FALSE),"")</f>
        <v/>
      </c>
      <c r="V467" t="str">
        <f>IFERROR(VLOOKUP(B467,'Pre-Summary'!$Y$6:$AC$83, 5,FALSE),"")</f>
        <v/>
      </c>
      <c r="W467" s="45" t="str">
        <f>IFERROR(VLOOKUP(B467,'Pre-Summary'!$Y$6:$AD$83,6,FALSE),"")</f>
        <v/>
      </c>
      <c r="X467" t="str">
        <f>IFERROR(VLOOKUP('Pre-Summary'!$DB$6:$DD$63,3,FALSE),"")</f>
        <v/>
      </c>
      <c r="Y467" t="str">
        <f>IFERROR(VLOOKUP(B467,'Pre-Summary'!$CR$6:$CT$36,3,FALSE),"")</f>
        <v/>
      </c>
      <c r="Z467" s="45" t="str">
        <f>IFERROR(VLOOKUP(B467,'Pre-Summary'!$BZ$6:$CB$63,2,FALSE),"")</f>
        <v/>
      </c>
      <c r="AA467" s="45" t="str">
        <f>IFERROR(VLOOKUP(B467,'Pre-Summary'!$CG$6:$CI$70,2,FALSE),"")</f>
        <v/>
      </c>
      <c r="AB467" s="99">
        <f>IFERROR(VLOOKUP(B467,'Pre-Summary'!$A$6:$P$178,9,FALSE),AB468)</f>
        <v>0.54933613431406059</v>
      </c>
      <c r="AC467" s="10">
        <f>IFERROR(VLOOKUP(Summary!B467,'Pre-Summary'!$A$6:$P$184,5, FALSE)/100,AC468)</f>
        <v>0.50395600000000007</v>
      </c>
      <c r="AD467" s="10">
        <f>IFERROR(VLOOKUP(Summary!B467,'Pre-Summary'!$A$6:$P$184,3, FALSE)/100,AD468)</f>
        <v>0.48541899999999999</v>
      </c>
      <c r="AE467" s="10">
        <f>IFERROR(VLOOKUP(Summary!B467,'Pre-Summary'!$A$6:$P$184,7, FALSE)/100,AE468)</f>
        <v>1.0624666666666666E-2</v>
      </c>
      <c r="AF467" s="99">
        <f t="shared" si="22"/>
        <v>0.26665819698259696</v>
      </c>
      <c r="AG467" s="99">
        <f t="shared" si="23"/>
        <v>5.8365133150421224E-3</v>
      </c>
      <c r="AH467" s="10" t="str">
        <f>IFERROR(VLOOKUP(B467,'Pre-Summary'!$AZ$6:$BE$65,3,FALSE),"")</f>
        <v/>
      </c>
      <c r="AI467" s="10" t="str">
        <f>IFERROR(VLOOKUP(B467,'Pre-Summary'!$AZ$6:$BE$65,5,FALSE),"")</f>
        <v/>
      </c>
      <c r="AJ467" s="10" t="str">
        <f>IFERROR(VLOOKUP(B467,'Pre-Summary'!$AZ$6:$BE$65,4,FALSE),"")</f>
        <v/>
      </c>
      <c r="AK467" s="10" t="str">
        <f>IFERROR(VLOOKUP(B467,'Pre-Summary'!$AZ$6:$BE$65,6,FALSE),"")</f>
        <v/>
      </c>
      <c r="AL467" s="10" t="str">
        <f>IFERROR(VLOOKUP(B467,'Pre-Summary'!$BG$6:$BL$44,3,FALSE),"")</f>
        <v/>
      </c>
      <c r="AM467" s="10" t="str">
        <f>IFERROR(VLOOKUP(B467,'Pre-Summary'!$BG$6:$BL$44,4,FALSE),"")</f>
        <v/>
      </c>
    </row>
    <row r="468" spans="2:39" ht="15" customHeight="1" x14ac:dyDescent="0.3">
      <c r="B468">
        <v>46.5</v>
      </c>
      <c r="C468" t="str">
        <f>IFERROR(VLOOKUP(B468,'Pre-Summary'!$DI$6:$DM$23,4,FALSE),"")</f>
        <v/>
      </c>
      <c r="D468" s="10" t="str">
        <f>IFERROR(VLOOKUP(B468,'Pre-Summary'!$AT$6:$AX$14,5,FALSE),D467)</f>
        <v>DSMZ v2: Dropped Na-Ac out of DSMZ 120 media</v>
      </c>
      <c r="E468" s="10" t="str">
        <f>IFERROR(VLOOKUP(B468,'Pre-Summary'!$AT$6:$AX$15,4,FALSE),"")</f>
        <v/>
      </c>
      <c r="F468">
        <f>IFERROR(VLOOKUP(B468,'Pre-Summary'!$AL$6:$AQ$13,6,FALSE),F467)</f>
        <v>5.9405263157894746E-2</v>
      </c>
      <c r="G468" t="str">
        <f>IFERROR(VLOOKUP(B468,'Pre-Summary'!$AE$6:$AJ$85,3,FALSE),"")</f>
        <v/>
      </c>
      <c r="H468" t="str">
        <f>IFERROR(VLOOKUP(B468,'Pre-Summary'!$AE$6:$AJ$85,4,FALSE),"")</f>
        <v/>
      </c>
      <c r="I468" t="str">
        <f>IFERROR(VLOOKUP(B468,'Pre-Summary'!$AE$6:$AJ$85,5,FALSE),"")</f>
        <v/>
      </c>
      <c r="J468" s="45" t="str">
        <f>IFERROR(VLOOKUP(B468,'Pre-Summary'!$AE$6:$AJ$85,6, FALSE),"")</f>
        <v/>
      </c>
      <c r="K468" s="45" t="str">
        <f>IFERROR(VLOOKUP(B468,'Pre-Summary'!$DE$6:$DG$61,3,FALSE),"")</f>
        <v/>
      </c>
      <c r="L468" s="45" t="str">
        <f>IFERROR(VLOOKUP(B468,'Pre-Summary'!$CU$6:$CW$36,3,FALSE),"")</f>
        <v/>
      </c>
      <c r="M468" s="45" t="str">
        <f>IFERROR(VLOOKUP(B468,'Pre-Summary'!$BW$6:$BY$58,2,FALSE),"")</f>
        <v/>
      </c>
      <c r="N468" s="45" t="str">
        <f>IFERROR(VLOOKUP(B468,'Pre-Summary'!$CD$6:$CF$64,2,FALSE),"")</f>
        <v/>
      </c>
      <c r="O468" s="99">
        <f>IFERROR(VLOOKUP(B468,'Pre-Summary'!$BO$6:$BQ$48,3, FALSE),O467)</f>
        <v>1.0915248032216731</v>
      </c>
      <c r="P468" s="99">
        <f>IFERROR(VLOOKUP(B468,'Pre-Summary'!$BS$6:$BU$35,3,FALSE),P467)</f>
        <v>0.25</v>
      </c>
      <c r="Q468" s="54">
        <f t="shared" si="21"/>
        <v>4.3660992128866924</v>
      </c>
      <c r="R468" s="53">
        <f>IFERROR(VLOOKUP(B468,'Pre-Summary'!$BG$6:$BM$44,7,FALSE),R469)</f>
        <v>7.5915763918363535E-2</v>
      </c>
      <c r="S468" s="53">
        <f>IFERROR(VLOOKUP(B468,'Pre-Summary'!$BG$6:$BM$44,6,FALSE),S469)</f>
        <v>5.2897473997019086E-2</v>
      </c>
      <c r="T468" s="45" t="str">
        <f>IFERROR(VLOOKUP(B468,'Pre-Summary'!$Y$6:$AC$83, 3,FALSE),"")</f>
        <v/>
      </c>
      <c r="U468" s="45" t="str">
        <f>IFERROR(VLOOKUP(B468,'Pre-Summary'!$Y$6:$AC$83, 4,FALSE),"")</f>
        <v/>
      </c>
      <c r="V468" t="str">
        <f>IFERROR(VLOOKUP(B468,'Pre-Summary'!$Y$6:$AC$83, 5,FALSE),"")</f>
        <v/>
      </c>
      <c r="W468" s="45" t="str">
        <f>IFERROR(VLOOKUP(B468,'Pre-Summary'!$Y$6:$AD$83,6,FALSE),"")</f>
        <v/>
      </c>
      <c r="X468" t="str">
        <f>IFERROR(VLOOKUP('Pre-Summary'!$DB$6:$DD$63,3,FALSE),"")</f>
        <v/>
      </c>
      <c r="Y468" t="str">
        <f>IFERROR(VLOOKUP(B468,'Pre-Summary'!$CR$6:$CT$36,3,FALSE),"")</f>
        <v/>
      </c>
      <c r="Z468" s="45" t="str">
        <f>IFERROR(VLOOKUP(B468,'Pre-Summary'!$BZ$6:$CB$63,2,FALSE),"")</f>
        <v/>
      </c>
      <c r="AA468" s="45" t="str">
        <f>IFERROR(VLOOKUP(B468,'Pre-Summary'!$CG$6:$CI$70,2,FALSE),"")</f>
        <v/>
      </c>
      <c r="AB468" s="99">
        <f>IFERROR(VLOOKUP(B468,'Pre-Summary'!$A$6:$P$178,9,FALSE),AB469)</f>
        <v>0.54933613431406059</v>
      </c>
      <c r="AC468" s="10">
        <f>IFERROR(VLOOKUP(Summary!B468,'Pre-Summary'!$A$6:$P$184,5, FALSE)/100,AC469)</f>
        <v>0.50395600000000007</v>
      </c>
      <c r="AD468" s="10">
        <f>IFERROR(VLOOKUP(Summary!B468,'Pre-Summary'!$A$6:$P$184,3, FALSE)/100,AD469)</f>
        <v>0.48541899999999999</v>
      </c>
      <c r="AE468" s="10">
        <f>IFERROR(VLOOKUP(Summary!B468,'Pre-Summary'!$A$6:$P$184,7, FALSE)/100,AE469)</f>
        <v>1.0624666666666666E-2</v>
      </c>
      <c r="AF468" s="99">
        <f t="shared" si="22"/>
        <v>0.26665819698259696</v>
      </c>
      <c r="AG468" s="99">
        <f t="shared" si="23"/>
        <v>5.8365133150421224E-3</v>
      </c>
      <c r="AH468" s="10" t="str">
        <f>IFERROR(VLOOKUP(B468,'Pre-Summary'!$AZ$6:$BE$65,3,FALSE),"")</f>
        <v/>
      </c>
      <c r="AI468" s="10" t="str">
        <f>IFERROR(VLOOKUP(B468,'Pre-Summary'!$AZ$6:$BE$65,5,FALSE),"")</f>
        <v/>
      </c>
      <c r="AJ468" s="10" t="str">
        <f>IFERROR(VLOOKUP(B468,'Pre-Summary'!$AZ$6:$BE$65,4,FALSE),"")</f>
        <v/>
      </c>
      <c r="AK468" s="10" t="str">
        <f>IFERROR(VLOOKUP(B468,'Pre-Summary'!$AZ$6:$BE$65,6,FALSE),"")</f>
        <v/>
      </c>
      <c r="AL468" s="10" t="str">
        <f>IFERROR(VLOOKUP(B468,'Pre-Summary'!$BG$6:$BL$44,3,FALSE),"")</f>
        <v/>
      </c>
      <c r="AM468" s="10" t="str">
        <f>IFERROR(VLOOKUP(B468,'Pre-Summary'!$BG$6:$BL$44,4,FALSE),"")</f>
        <v/>
      </c>
    </row>
    <row r="469" spans="2:39" ht="15" customHeight="1" x14ac:dyDescent="0.3">
      <c r="B469">
        <v>46.6</v>
      </c>
      <c r="C469" t="str">
        <f>IFERROR(VLOOKUP(B469,'Pre-Summary'!$DI$6:$DM$23,4,FALSE),"")</f>
        <v/>
      </c>
      <c r="D469" s="10" t="str">
        <f>IFERROR(VLOOKUP(B469,'Pre-Summary'!$AT$6:$AX$14,5,FALSE),D468)</f>
        <v>DSMZ v2: Dropped Na-Ac out of DSMZ 120 media</v>
      </c>
      <c r="E469" s="10" t="str">
        <f>IFERROR(VLOOKUP(B469,'Pre-Summary'!$AT$6:$AX$15,4,FALSE),"")</f>
        <v/>
      </c>
      <c r="F469">
        <f>IFERROR(VLOOKUP(B469,'Pre-Summary'!$AL$6:$AQ$13,6,FALSE),F468)</f>
        <v>5.9405263157894746E-2</v>
      </c>
      <c r="G469" t="str">
        <f>IFERROR(VLOOKUP(B469,'Pre-Summary'!$AE$6:$AJ$85,3,FALSE),"")</f>
        <v/>
      </c>
      <c r="H469" t="str">
        <f>IFERROR(VLOOKUP(B469,'Pre-Summary'!$AE$6:$AJ$85,4,FALSE),"")</f>
        <v/>
      </c>
      <c r="I469" t="str">
        <f>IFERROR(VLOOKUP(B469,'Pre-Summary'!$AE$6:$AJ$85,5,FALSE),"")</f>
        <v/>
      </c>
      <c r="J469" s="45" t="str">
        <f>IFERROR(VLOOKUP(B469,'Pre-Summary'!$AE$6:$AJ$85,6, FALSE),"")</f>
        <v/>
      </c>
      <c r="K469" s="45" t="str">
        <f>IFERROR(VLOOKUP(B469,'Pre-Summary'!$DE$6:$DG$61,3,FALSE),"")</f>
        <v/>
      </c>
      <c r="L469" s="45" t="str">
        <f>IFERROR(VLOOKUP(B469,'Pre-Summary'!$CU$6:$CW$36,3,FALSE),"")</f>
        <v/>
      </c>
      <c r="M469" s="45" t="str">
        <f>IFERROR(VLOOKUP(B469,'Pre-Summary'!$BW$6:$BY$58,2,FALSE),"")</f>
        <v/>
      </c>
      <c r="N469" s="45" t="str">
        <f>IFERROR(VLOOKUP(B469,'Pre-Summary'!$CD$6:$CF$64,2,FALSE),"")</f>
        <v/>
      </c>
      <c r="O469" s="99">
        <f>IFERROR(VLOOKUP(B469,'Pre-Summary'!$BO$6:$BQ$48,3, FALSE),O468)</f>
        <v>1.0915248032216731</v>
      </c>
      <c r="P469" s="99">
        <f>IFERROR(VLOOKUP(B469,'Pre-Summary'!$BS$6:$BU$35,3,FALSE),P468)</f>
        <v>0.25</v>
      </c>
      <c r="Q469" s="54">
        <f t="shared" si="21"/>
        <v>4.3660992128866924</v>
      </c>
      <c r="R469" s="53">
        <f>IFERROR(VLOOKUP(B469,'Pre-Summary'!$BG$6:$BM$44,7,FALSE),R470)</f>
        <v>7.5915763918363535E-2</v>
      </c>
      <c r="S469" s="53">
        <f>IFERROR(VLOOKUP(B469,'Pre-Summary'!$BG$6:$BM$44,6,FALSE),S470)</f>
        <v>5.2897473997019086E-2</v>
      </c>
      <c r="T469" s="45" t="str">
        <f>IFERROR(VLOOKUP(B469,'Pre-Summary'!$Y$6:$AC$83, 3,FALSE),"")</f>
        <v/>
      </c>
      <c r="U469" s="45" t="str">
        <f>IFERROR(VLOOKUP(B469,'Pre-Summary'!$Y$6:$AC$83, 4,FALSE),"")</f>
        <v/>
      </c>
      <c r="V469" t="str">
        <f>IFERROR(VLOOKUP(B469,'Pre-Summary'!$Y$6:$AC$83, 5,FALSE),"")</f>
        <v/>
      </c>
      <c r="W469" s="45" t="str">
        <f>IFERROR(VLOOKUP(B469,'Pre-Summary'!$Y$6:$AD$83,6,FALSE),"")</f>
        <v/>
      </c>
      <c r="X469" t="str">
        <f>IFERROR(VLOOKUP('Pre-Summary'!$DB$6:$DD$63,3,FALSE),"")</f>
        <v/>
      </c>
      <c r="Y469" t="str">
        <f>IFERROR(VLOOKUP(B469,'Pre-Summary'!$CR$6:$CT$36,3,FALSE),"")</f>
        <v/>
      </c>
      <c r="Z469" s="45" t="str">
        <f>IFERROR(VLOOKUP(B469,'Pre-Summary'!$BZ$6:$CB$63,2,FALSE),"")</f>
        <v/>
      </c>
      <c r="AA469" s="45" t="str">
        <f>IFERROR(VLOOKUP(B469,'Pre-Summary'!$CG$6:$CI$70,2,FALSE),"")</f>
        <v/>
      </c>
      <c r="AB469" s="99">
        <f>IFERROR(VLOOKUP(B469,'Pre-Summary'!$A$6:$P$178,9,FALSE),AB470)</f>
        <v>0.54933613431406059</v>
      </c>
      <c r="AC469" s="10">
        <f>IFERROR(VLOOKUP(Summary!B469,'Pre-Summary'!$A$6:$P$184,5, FALSE)/100,AC470)</f>
        <v>0.50395600000000007</v>
      </c>
      <c r="AD469" s="10">
        <f>IFERROR(VLOOKUP(Summary!B469,'Pre-Summary'!$A$6:$P$184,3, FALSE)/100,AD470)</f>
        <v>0.48541899999999999</v>
      </c>
      <c r="AE469" s="10">
        <f>IFERROR(VLOOKUP(Summary!B469,'Pre-Summary'!$A$6:$P$184,7, FALSE)/100,AE470)</f>
        <v>1.0624666666666666E-2</v>
      </c>
      <c r="AF469" s="99">
        <f t="shared" si="22"/>
        <v>0.26665819698259696</v>
      </c>
      <c r="AG469" s="99">
        <f t="shared" si="23"/>
        <v>5.8365133150421224E-3</v>
      </c>
      <c r="AH469" s="10" t="str">
        <f>IFERROR(VLOOKUP(B469,'Pre-Summary'!$AZ$6:$BE$65,3,FALSE),"")</f>
        <v/>
      </c>
      <c r="AI469" s="10" t="str">
        <f>IFERROR(VLOOKUP(B469,'Pre-Summary'!$AZ$6:$BE$65,5,FALSE),"")</f>
        <v/>
      </c>
      <c r="AJ469" s="10" t="str">
        <f>IFERROR(VLOOKUP(B469,'Pre-Summary'!$AZ$6:$BE$65,4,FALSE),"")</f>
        <v/>
      </c>
      <c r="AK469" s="10" t="str">
        <f>IFERROR(VLOOKUP(B469,'Pre-Summary'!$AZ$6:$BE$65,6,FALSE),"")</f>
        <v/>
      </c>
      <c r="AL469" s="10" t="str">
        <f>IFERROR(VLOOKUP(B469,'Pre-Summary'!$BG$6:$BL$44,3,FALSE),"")</f>
        <v/>
      </c>
      <c r="AM469" s="10" t="str">
        <f>IFERROR(VLOOKUP(B469,'Pre-Summary'!$BG$6:$BL$44,4,FALSE),"")</f>
        <v/>
      </c>
    </row>
    <row r="470" spans="2:39" ht="15" customHeight="1" x14ac:dyDescent="0.3">
      <c r="B470">
        <v>46.7</v>
      </c>
      <c r="C470" t="str">
        <f>IFERROR(VLOOKUP(B470,'Pre-Summary'!$DI$6:$DM$23,4,FALSE),"")</f>
        <v/>
      </c>
      <c r="D470" s="10" t="str">
        <f>IFERROR(VLOOKUP(B470,'Pre-Summary'!$AT$6:$AX$14,5,FALSE),D469)</f>
        <v>DSMZ v2: Dropped Na-Ac out of DSMZ 120 media</v>
      </c>
      <c r="E470" s="10" t="str">
        <f>IFERROR(VLOOKUP(B470,'Pre-Summary'!$AT$6:$AX$15,4,FALSE),"")</f>
        <v/>
      </c>
      <c r="F470">
        <f>IFERROR(VLOOKUP(B470,'Pre-Summary'!$AL$6:$AQ$13,6,FALSE),F469)</f>
        <v>5.9405263157894746E-2</v>
      </c>
      <c r="G470" t="str">
        <f>IFERROR(VLOOKUP(B470,'Pre-Summary'!$AE$6:$AJ$85,3,FALSE),"")</f>
        <v/>
      </c>
      <c r="H470" t="str">
        <f>IFERROR(VLOOKUP(B470,'Pre-Summary'!$AE$6:$AJ$85,4,FALSE),"")</f>
        <v/>
      </c>
      <c r="I470" t="str">
        <f>IFERROR(VLOOKUP(B470,'Pre-Summary'!$AE$6:$AJ$85,5,FALSE),"")</f>
        <v/>
      </c>
      <c r="J470" s="45" t="str">
        <f>IFERROR(VLOOKUP(B470,'Pre-Summary'!$AE$6:$AJ$85,6, FALSE),"")</f>
        <v/>
      </c>
      <c r="K470" s="45" t="str">
        <f>IFERROR(VLOOKUP(B470,'Pre-Summary'!$DE$6:$DG$61,3,FALSE),"")</f>
        <v/>
      </c>
      <c r="L470" s="45" t="str">
        <f>IFERROR(VLOOKUP(B470,'Pre-Summary'!$CU$6:$CW$36,3,FALSE),"")</f>
        <v/>
      </c>
      <c r="M470" s="45" t="str">
        <f>IFERROR(VLOOKUP(B470,'Pre-Summary'!$BW$6:$BY$58,2,FALSE),"")</f>
        <v/>
      </c>
      <c r="N470" s="45" t="str">
        <f>IFERROR(VLOOKUP(B470,'Pre-Summary'!$CD$6:$CF$64,2,FALSE),"")</f>
        <v/>
      </c>
      <c r="O470" s="99">
        <f>IFERROR(VLOOKUP(B470,'Pre-Summary'!$BO$6:$BQ$48,3, FALSE),O469)</f>
        <v>1.0915248032216731</v>
      </c>
      <c r="P470" s="99">
        <f>IFERROR(VLOOKUP(B470,'Pre-Summary'!$BS$6:$BU$35,3,FALSE),P469)</f>
        <v>0.25</v>
      </c>
      <c r="Q470" s="54">
        <f t="shared" si="21"/>
        <v>4.3660992128866924</v>
      </c>
      <c r="R470" s="53">
        <f>IFERROR(VLOOKUP(B470,'Pre-Summary'!$BG$6:$BM$44,7,FALSE),R471)</f>
        <v>7.5915763918363535E-2</v>
      </c>
      <c r="S470" s="53">
        <f>IFERROR(VLOOKUP(B470,'Pre-Summary'!$BG$6:$BM$44,6,FALSE),S471)</f>
        <v>5.2897473997019086E-2</v>
      </c>
      <c r="T470" s="45" t="str">
        <f>IFERROR(VLOOKUP(B470,'Pre-Summary'!$Y$6:$AC$83, 3,FALSE),"")</f>
        <v/>
      </c>
      <c r="U470" s="45" t="str">
        <f>IFERROR(VLOOKUP(B470,'Pre-Summary'!$Y$6:$AC$83, 4,FALSE),"")</f>
        <v/>
      </c>
      <c r="V470" t="str">
        <f>IFERROR(VLOOKUP(B470,'Pre-Summary'!$Y$6:$AC$83, 5,FALSE),"")</f>
        <v/>
      </c>
      <c r="W470" s="45" t="str">
        <f>IFERROR(VLOOKUP(B470,'Pre-Summary'!$Y$6:$AD$83,6,FALSE),"")</f>
        <v/>
      </c>
      <c r="X470" t="str">
        <f>IFERROR(VLOOKUP('Pre-Summary'!$DB$6:$DD$63,3,FALSE),"")</f>
        <v/>
      </c>
      <c r="Y470" t="str">
        <f>IFERROR(VLOOKUP(B470,'Pre-Summary'!$CR$6:$CT$36,3,FALSE),"")</f>
        <v/>
      </c>
      <c r="Z470" s="45" t="str">
        <f>IFERROR(VLOOKUP(B470,'Pre-Summary'!$BZ$6:$CB$63,2,FALSE),"")</f>
        <v/>
      </c>
      <c r="AA470" s="45" t="str">
        <f>IFERROR(VLOOKUP(B470,'Pre-Summary'!$CG$6:$CI$70,2,FALSE),"")</f>
        <v/>
      </c>
      <c r="AB470" s="99">
        <f>IFERROR(VLOOKUP(B470,'Pre-Summary'!$A$6:$P$178,9,FALSE),AB471)</f>
        <v>0.54933613431406059</v>
      </c>
      <c r="AC470" s="10">
        <f>IFERROR(VLOOKUP(Summary!B470,'Pre-Summary'!$A$6:$P$184,5, FALSE)/100,AC471)</f>
        <v>0.50395600000000007</v>
      </c>
      <c r="AD470" s="10">
        <f>IFERROR(VLOOKUP(Summary!B470,'Pre-Summary'!$A$6:$P$184,3, FALSE)/100,AD471)</f>
        <v>0.48541899999999999</v>
      </c>
      <c r="AE470" s="10">
        <f>IFERROR(VLOOKUP(Summary!B470,'Pre-Summary'!$A$6:$P$184,7, FALSE)/100,AE471)</f>
        <v>1.0624666666666666E-2</v>
      </c>
      <c r="AF470" s="99">
        <f t="shared" si="22"/>
        <v>0.26665819698259696</v>
      </c>
      <c r="AG470" s="99">
        <f t="shared" si="23"/>
        <v>5.8365133150421224E-3</v>
      </c>
      <c r="AH470" s="10" t="str">
        <f>IFERROR(VLOOKUP(B470,'Pre-Summary'!$AZ$6:$BE$65,3,FALSE),"")</f>
        <v/>
      </c>
      <c r="AI470" s="10" t="str">
        <f>IFERROR(VLOOKUP(B470,'Pre-Summary'!$AZ$6:$BE$65,5,FALSE),"")</f>
        <v/>
      </c>
      <c r="AJ470" s="10" t="str">
        <f>IFERROR(VLOOKUP(B470,'Pre-Summary'!$AZ$6:$BE$65,4,FALSE),"")</f>
        <v/>
      </c>
      <c r="AK470" s="10" t="str">
        <f>IFERROR(VLOOKUP(B470,'Pre-Summary'!$AZ$6:$BE$65,6,FALSE),"")</f>
        <v/>
      </c>
      <c r="AL470" s="10" t="str">
        <f>IFERROR(VLOOKUP(B470,'Pre-Summary'!$BG$6:$BL$44,3,FALSE),"")</f>
        <v/>
      </c>
      <c r="AM470" s="10" t="str">
        <f>IFERROR(VLOOKUP(B470,'Pre-Summary'!$BG$6:$BL$44,4,FALSE),"")</f>
        <v/>
      </c>
    </row>
    <row r="471" spans="2:39" ht="15" customHeight="1" x14ac:dyDescent="0.3">
      <c r="B471">
        <v>46.8</v>
      </c>
      <c r="C471" t="str">
        <f>IFERROR(VLOOKUP(B471,'Pre-Summary'!$DI$6:$DM$23,4,FALSE),"")</f>
        <v/>
      </c>
      <c r="D471" s="10" t="str">
        <f>IFERROR(VLOOKUP(B471,'Pre-Summary'!$AT$6:$AX$14,5,FALSE),D470)</f>
        <v>DSMZ v2: Dropped Na-Ac out of DSMZ 120 media</v>
      </c>
      <c r="E471" s="10" t="str">
        <f>IFERROR(VLOOKUP(B471,'Pre-Summary'!$AT$6:$AX$15,4,FALSE),"")</f>
        <v/>
      </c>
      <c r="F471">
        <f>IFERROR(VLOOKUP(B471,'Pre-Summary'!$AL$6:$AQ$13,6,FALSE),F470)</f>
        <v>5.9405263157894746E-2</v>
      </c>
      <c r="G471" t="str">
        <f>IFERROR(VLOOKUP(B471,'Pre-Summary'!$AE$6:$AJ$85,3,FALSE),"")</f>
        <v/>
      </c>
      <c r="H471" t="str">
        <f>IFERROR(VLOOKUP(B471,'Pre-Summary'!$AE$6:$AJ$85,4,FALSE),"")</f>
        <v/>
      </c>
      <c r="I471" t="str">
        <f>IFERROR(VLOOKUP(B471,'Pre-Summary'!$AE$6:$AJ$85,5,FALSE),"")</f>
        <v/>
      </c>
      <c r="J471" s="45" t="str">
        <f>IFERROR(VLOOKUP(B471,'Pre-Summary'!$AE$6:$AJ$85,6, FALSE),"")</f>
        <v/>
      </c>
      <c r="K471" s="45" t="str">
        <f>IFERROR(VLOOKUP(B471,'Pre-Summary'!$DE$6:$DG$61,3,FALSE),"")</f>
        <v/>
      </c>
      <c r="L471" s="45" t="str">
        <f>IFERROR(VLOOKUP(B471,'Pre-Summary'!$CU$6:$CW$36,3,FALSE),"")</f>
        <v/>
      </c>
      <c r="M471" s="45" t="str">
        <f>IFERROR(VLOOKUP(B471,'Pre-Summary'!$BW$6:$BY$58,2,FALSE),"")</f>
        <v/>
      </c>
      <c r="N471" s="45" t="str">
        <f>IFERROR(VLOOKUP(B471,'Pre-Summary'!$CD$6:$CF$64,2,FALSE),"")</f>
        <v/>
      </c>
      <c r="O471" s="99">
        <f>IFERROR(VLOOKUP(B471,'Pre-Summary'!$BO$6:$BQ$48,3, FALSE),O470)</f>
        <v>1.0915248032216731</v>
      </c>
      <c r="P471" s="99">
        <f>IFERROR(VLOOKUP(B471,'Pre-Summary'!$BS$6:$BU$35,3,FALSE),P470)</f>
        <v>0.25</v>
      </c>
      <c r="Q471" s="54">
        <f t="shared" si="21"/>
        <v>4.3660992128866924</v>
      </c>
      <c r="R471" s="53">
        <f>IFERROR(VLOOKUP(B471,'Pre-Summary'!$BG$6:$BM$44,7,FALSE),R472)</f>
        <v>7.5915763918363535E-2</v>
      </c>
      <c r="S471" s="53">
        <f>IFERROR(VLOOKUP(B471,'Pre-Summary'!$BG$6:$BM$44,6,FALSE),S472)</f>
        <v>5.2897473997019086E-2</v>
      </c>
      <c r="T471" s="45" t="str">
        <f>IFERROR(VLOOKUP(B471,'Pre-Summary'!$Y$6:$AC$83, 3,FALSE),"")</f>
        <v/>
      </c>
      <c r="U471" s="45" t="str">
        <f>IFERROR(VLOOKUP(B471,'Pre-Summary'!$Y$6:$AC$83, 4,FALSE),"")</f>
        <v/>
      </c>
      <c r="V471" t="str">
        <f>IFERROR(VLOOKUP(B471,'Pre-Summary'!$Y$6:$AC$83, 5,FALSE),"")</f>
        <v/>
      </c>
      <c r="W471" s="45" t="str">
        <f>IFERROR(VLOOKUP(B471,'Pre-Summary'!$Y$6:$AD$83,6,FALSE),"")</f>
        <v/>
      </c>
      <c r="X471" t="str">
        <f>IFERROR(VLOOKUP('Pre-Summary'!$DB$6:$DD$63,3,FALSE),"")</f>
        <v/>
      </c>
      <c r="Y471" t="str">
        <f>IFERROR(VLOOKUP(B471,'Pre-Summary'!$CR$6:$CT$36,3,FALSE),"")</f>
        <v/>
      </c>
      <c r="Z471" s="45" t="str">
        <f>IFERROR(VLOOKUP(B471,'Pre-Summary'!$BZ$6:$CB$63,2,FALSE),"")</f>
        <v/>
      </c>
      <c r="AA471" s="45" t="str">
        <f>IFERROR(VLOOKUP(B471,'Pre-Summary'!$CG$6:$CI$70,2,FALSE),"")</f>
        <v/>
      </c>
      <c r="AB471" s="99">
        <f>IFERROR(VLOOKUP(B471,'Pre-Summary'!$A$6:$P$178,9,FALSE),AB472)</f>
        <v>0.54933613431406059</v>
      </c>
      <c r="AC471" s="10">
        <f>IFERROR(VLOOKUP(Summary!B471,'Pre-Summary'!$A$6:$P$184,5, FALSE)/100,AC472)</f>
        <v>0.50395600000000007</v>
      </c>
      <c r="AD471" s="10">
        <f>IFERROR(VLOOKUP(Summary!B471,'Pre-Summary'!$A$6:$P$184,3, FALSE)/100,AD472)</f>
        <v>0.48541899999999999</v>
      </c>
      <c r="AE471" s="10">
        <f>IFERROR(VLOOKUP(Summary!B471,'Pre-Summary'!$A$6:$P$184,7, FALSE)/100,AE472)</f>
        <v>1.0624666666666666E-2</v>
      </c>
      <c r="AF471" s="99">
        <f t="shared" si="22"/>
        <v>0.26665819698259696</v>
      </c>
      <c r="AG471" s="99">
        <f t="shared" si="23"/>
        <v>5.8365133150421224E-3</v>
      </c>
      <c r="AH471" s="10" t="str">
        <f>IFERROR(VLOOKUP(B471,'Pre-Summary'!$AZ$6:$BE$65,3,FALSE),"")</f>
        <v/>
      </c>
      <c r="AI471" s="10" t="str">
        <f>IFERROR(VLOOKUP(B471,'Pre-Summary'!$AZ$6:$BE$65,5,FALSE),"")</f>
        <v/>
      </c>
      <c r="AJ471" s="10" t="str">
        <f>IFERROR(VLOOKUP(B471,'Pre-Summary'!$AZ$6:$BE$65,4,FALSE),"")</f>
        <v/>
      </c>
      <c r="AK471" s="10" t="str">
        <f>IFERROR(VLOOKUP(B471,'Pre-Summary'!$AZ$6:$BE$65,6,FALSE),"")</f>
        <v/>
      </c>
      <c r="AL471" s="10" t="str">
        <f>IFERROR(VLOOKUP(B471,'Pre-Summary'!$BG$6:$BL$44,3,FALSE),"")</f>
        <v/>
      </c>
      <c r="AM471" s="10" t="str">
        <f>IFERROR(VLOOKUP(B471,'Pre-Summary'!$BG$6:$BL$44,4,FALSE),"")</f>
        <v/>
      </c>
    </row>
    <row r="472" spans="2:39" ht="15" customHeight="1" x14ac:dyDescent="0.3">
      <c r="B472">
        <v>46.9</v>
      </c>
      <c r="C472" t="str">
        <f>IFERROR(VLOOKUP(B472,'Pre-Summary'!$DI$6:$DM$23,4,FALSE),"")</f>
        <v/>
      </c>
      <c r="D472" s="10" t="str">
        <f>IFERROR(VLOOKUP(B472,'Pre-Summary'!$AT$6:$AX$14,5,FALSE),D471)</f>
        <v>DSMZ v2: Dropped Na-Ac out of DSMZ 120 media</v>
      </c>
      <c r="E472" s="10" t="str">
        <f>IFERROR(VLOOKUP(B472,'Pre-Summary'!$AT$6:$AX$15,4,FALSE),"")</f>
        <v/>
      </c>
      <c r="F472">
        <f>IFERROR(VLOOKUP(B472,'Pre-Summary'!$AL$6:$AQ$13,6,FALSE),F471)</f>
        <v>5.9405263157894746E-2</v>
      </c>
      <c r="G472" t="str">
        <f>IFERROR(VLOOKUP(B472,'Pre-Summary'!$AE$6:$AJ$85,3,FALSE),"")</f>
        <v/>
      </c>
      <c r="H472" t="str">
        <f>IFERROR(VLOOKUP(B472,'Pre-Summary'!$AE$6:$AJ$85,4,FALSE),"")</f>
        <v/>
      </c>
      <c r="I472" t="str">
        <f>IFERROR(VLOOKUP(B472,'Pre-Summary'!$AE$6:$AJ$85,5,FALSE),"")</f>
        <v/>
      </c>
      <c r="J472" s="45" t="str">
        <f>IFERROR(VLOOKUP(B472,'Pre-Summary'!$AE$6:$AJ$85,6, FALSE),"")</f>
        <v/>
      </c>
      <c r="K472" s="45" t="str">
        <f>IFERROR(VLOOKUP(B472,'Pre-Summary'!$DE$6:$DG$61,3,FALSE),"")</f>
        <v/>
      </c>
      <c r="L472" s="45" t="str">
        <f>IFERROR(VLOOKUP(B472,'Pre-Summary'!$CU$6:$CW$36,3,FALSE),"")</f>
        <v/>
      </c>
      <c r="M472" s="45" t="str">
        <f>IFERROR(VLOOKUP(B472,'Pre-Summary'!$BW$6:$BY$58,2,FALSE),"")</f>
        <v/>
      </c>
      <c r="N472" s="45" t="str">
        <f>IFERROR(VLOOKUP(B472,'Pre-Summary'!$CD$6:$CF$64,2,FALSE),"")</f>
        <v/>
      </c>
      <c r="O472" s="99">
        <f>IFERROR(VLOOKUP(B472,'Pre-Summary'!$BO$6:$BQ$48,3, FALSE),O471)</f>
        <v>1.0915248032216731</v>
      </c>
      <c r="P472" s="99">
        <f>IFERROR(VLOOKUP(B472,'Pre-Summary'!$BS$6:$BU$35,3,FALSE),P471)</f>
        <v>0.25</v>
      </c>
      <c r="Q472" s="54">
        <f t="shared" si="21"/>
        <v>4.3660992128866924</v>
      </c>
      <c r="R472" s="53">
        <f>IFERROR(VLOOKUP(B472,'Pre-Summary'!$BG$6:$BM$44,7,FALSE),R473)</f>
        <v>7.5915763918363535E-2</v>
      </c>
      <c r="S472" s="53">
        <f>IFERROR(VLOOKUP(B472,'Pre-Summary'!$BG$6:$BM$44,6,FALSE),S473)</f>
        <v>5.2897473997019086E-2</v>
      </c>
      <c r="T472" s="45" t="str">
        <f>IFERROR(VLOOKUP(B472,'Pre-Summary'!$Y$6:$AC$83, 3,FALSE),"")</f>
        <v/>
      </c>
      <c r="U472" s="45" t="str">
        <f>IFERROR(VLOOKUP(B472,'Pre-Summary'!$Y$6:$AC$83, 4,FALSE),"")</f>
        <v/>
      </c>
      <c r="V472" t="str">
        <f>IFERROR(VLOOKUP(B472,'Pre-Summary'!$Y$6:$AC$83, 5,FALSE),"")</f>
        <v/>
      </c>
      <c r="W472" s="45" t="str">
        <f>IFERROR(VLOOKUP(B472,'Pre-Summary'!$Y$6:$AD$83,6,FALSE),"")</f>
        <v/>
      </c>
      <c r="X472" t="str">
        <f>IFERROR(VLOOKUP('Pre-Summary'!$DB$6:$DD$63,3,FALSE),"")</f>
        <v/>
      </c>
      <c r="Y472" t="str">
        <f>IFERROR(VLOOKUP(B472,'Pre-Summary'!$CR$6:$CT$36,3,FALSE),"")</f>
        <v/>
      </c>
      <c r="Z472" s="45" t="str">
        <f>IFERROR(VLOOKUP(B472,'Pre-Summary'!$BZ$6:$CB$63,2,FALSE),"")</f>
        <v/>
      </c>
      <c r="AA472" s="45" t="str">
        <f>IFERROR(VLOOKUP(B472,'Pre-Summary'!$CG$6:$CI$70,2,FALSE),"")</f>
        <v/>
      </c>
      <c r="AB472" s="99">
        <f>IFERROR(VLOOKUP(B472,'Pre-Summary'!$A$6:$P$178,9,FALSE),AB473)</f>
        <v>0.54933613431406059</v>
      </c>
      <c r="AC472" s="10">
        <f>IFERROR(VLOOKUP(Summary!B472,'Pre-Summary'!$A$6:$P$184,5, FALSE)/100,AC473)</f>
        <v>0.50395600000000007</v>
      </c>
      <c r="AD472" s="10">
        <f>IFERROR(VLOOKUP(Summary!B472,'Pre-Summary'!$A$6:$P$184,3, FALSE)/100,AD473)</f>
        <v>0.48541899999999999</v>
      </c>
      <c r="AE472" s="10">
        <f>IFERROR(VLOOKUP(Summary!B472,'Pre-Summary'!$A$6:$P$184,7, FALSE)/100,AE473)</f>
        <v>1.0624666666666666E-2</v>
      </c>
      <c r="AF472" s="99">
        <f t="shared" si="22"/>
        <v>0.26665819698259696</v>
      </c>
      <c r="AG472" s="99">
        <f t="shared" si="23"/>
        <v>5.8365133150421224E-3</v>
      </c>
      <c r="AH472" s="10" t="str">
        <f>IFERROR(VLOOKUP(B472,'Pre-Summary'!$AZ$6:$BE$65,3,FALSE),"")</f>
        <v/>
      </c>
      <c r="AI472" s="10" t="str">
        <f>IFERROR(VLOOKUP(B472,'Pre-Summary'!$AZ$6:$BE$65,5,FALSE),"")</f>
        <v/>
      </c>
      <c r="AJ472" s="10" t="str">
        <f>IFERROR(VLOOKUP(B472,'Pre-Summary'!$AZ$6:$BE$65,4,FALSE),"")</f>
        <v/>
      </c>
      <c r="AK472" s="10" t="str">
        <f>IFERROR(VLOOKUP(B472,'Pre-Summary'!$AZ$6:$BE$65,6,FALSE),"")</f>
        <v/>
      </c>
      <c r="AL472" s="10" t="str">
        <f>IFERROR(VLOOKUP(B472,'Pre-Summary'!$BG$6:$BL$44,3,FALSE),"")</f>
        <v/>
      </c>
      <c r="AM472" s="10" t="str">
        <f>IFERROR(VLOOKUP(B472,'Pre-Summary'!$BG$6:$BL$44,4,FALSE),"")</f>
        <v/>
      </c>
    </row>
    <row r="473" spans="2:39" ht="15" customHeight="1" x14ac:dyDescent="0.3">
      <c r="B473">
        <v>47</v>
      </c>
      <c r="C473" t="str">
        <f>IFERROR(VLOOKUP(B473,'Pre-Summary'!$DI$6:$DM$23,4,FALSE),"")</f>
        <v/>
      </c>
      <c r="D473" s="10" t="str">
        <f>IFERROR(VLOOKUP(B473,'Pre-Summary'!$AT$6:$AX$14,5,FALSE),D472)</f>
        <v>DSMZ v2: Dropped Na-Ac out of DSMZ 120 media</v>
      </c>
      <c r="E473" s="10" t="str">
        <f>IFERROR(VLOOKUP(B473,'Pre-Summary'!$AT$6:$AX$15,4,FALSE),"")</f>
        <v/>
      </c>
      <c r="F473">
        <f>IFERROR(VLOOKUP(B473,'Pre-Summary'!$AL$6:$AQ$13,6,FALSE),F472)</f>
        <v>5.9405263157894746E-2</v>
      </c>
      <c r="G473" t="str">
        <f>IFERROR(VLOOKUP(B473,'Pre-Summary'!$AE$6:$AJ$85,3,FALSE),"")</f>
        <v/>
      </c>
      <c r="H473" t="str">
        <f>IFERROR(VLOOKUP(B473,'Pre-Summary'!$AE$6:$AJ$85,4,FALSE),"")</f>
        <v/>
      </c>
      <c r="I473" t="str">
        <f>IFERROR(VLOOKUP(B473,'Pre-Summary'!$AE$6:$AJ$85,5,FALSE),"")</f>
        <v/>
      </c>
      <c r="J473" s="45" t="str">
        <f>IFERROR(VLOOKUP(B473,'Pre-Summary'!$AE$6:$AJ$85,6, FALSE),"")</f>
        <v/>
      </c>
      <c r="K473" s="45" t="str">
        <f>IFERROR(VLOOKUP(B473,'Pre-Summary'!$DE$6:$DG$61,3,FALSE),"")</f>
        <v/>
      </c>
      <c r="L473" s="45" t="str">
        <f>IFERROR(VLOOKUP(B473,'Pre-Summary'!$CU$6:$CW$36,3,FALSE),"")</f>
        <v/>
      </c>
      <c r="M473" s="45" t="str">
        <f>IFERROR(VLOOKUP(B473,'Pre-Summary'!$BW$6:$BY$58,2,FALSE),"")</f>
        <v/>
      </c>
      <c r="N473" s="45" t="str">
        <f>IFERROR(VLOOKUP(B473,'Pre-Summary'!$CD$6:$CF$64,2,FALSE),"")</f>
        <v/>
      </c>
      <c r="O473" s="99">
        <f>IFERROR(VLOOKUP(B473,'Pre-Summary'!$BO$6:$BQ$48,3, FALSE),O472)</f>
        <v>1.0915248032216731</v>
      </c>
      <c r="P473" s="99">
        <f>IFERROR(VLOOKUP(B473,'Pre-Summary'!$BS$6:$BU$35,3,FALSE),P472)</f>
        <v>0.25</v>
      </c>
      <c r="Q473" s="54">
        <f t="shared" si="21"/>
        <v>4.3660992128866924</v>
      </c>
      <c r="R473" s="53">
        <f>IFERROR(VLOOKUP(B473,'Pre-Summary'!$BG$6:$BM$44,7,FALSE),R474)</f>
        <v>7.5915763918363535E-2</v>
      </c>
      <c r="S473" s="53">
        <f>IFERROR(VLOOKUP(B473,'Pre-Summary'!$BG$6:$BM$44,6,FALSE),S474)</f>
        <v>5.2897473997019086E-2</v>
      </c>
      <c r="T473" s="45" t="str">
        <f>IFERROR(VLOOKUP(B473,'Pre-Summary'!$Y$6:$AC$83, 3,FALSE),"")</f>
        <v/>
      </c>
      <c r="U473" s="45" t="str">
        <f>IFERROR(VLOOKUP(B473,'Pre-Summary'!$Y$6:$AC$83, 4,FALSE),"")</f>
        <v/>
      </c>
      <c r="V473" t="str">
        <f>IFERROR(VLOOKUP(B473,'Pre-Summary'!$Y$6:$AC$83, 5,FALSE),"")</f>
        <v/>
      </c>
      <c r="W473" s="45" t="str">
        <f>IFERROR(VLOOKUP(B473,'Pre-Summary'!$Y$6:$AD$83,6,FALSE),"")</f>
        <v/>
      </c>
      <c r="X473" t="str">
        <f>IFERROR(VLOOKUP('Pre-Summary'!$DB$6:$DD$63,3,FALSE),"")</f>
        <v/>
      </c>
      <c r="Y473" t="str">
        <f>IFERROR(VLOOKUP(B473,'Pre-Summary'!$CR$6:$CT$36,3,FALSE),"")</f>
        <v/>
      </c>
      <c r="Z473" s="45" t="str">
        <f>IFERROR(VLOOKUP(B473,'Pre-Summary'!$BZ$6:$CB$63,2,FALSE),"")</f>
        <v/>
      </c>
      <c r="AA473" s="45" t="str">
        <f>IFERROR(VLOOKUP(B473,'Pre-Summary'!$CG$6:$CI$70,2,FALSE),"")</f>
        <v/>
      </c>
      <c r="AB473" s="99">
        <f>IFERROR(VLOOKUP(B473,'Pre-Summary'!$A$6:$P$178,9,FALSE),AB474)</f>
        <v>0.54933613431406059</v>
      </c>
      <c r="AC473" s="10">
        <f>IFERROR(VLOOKUP(Summary!B473,'Pre-Summary'!$A$6:$P$184,5, FALSE)/100,AC474)</f>
        <v>0.50395600000000007</v>
      </c>
      <c r="AD473" s="10">
        <f>IFERROR(VLOOKUP(Summary!B473,'Pre-Summary'!$A$6:$P$184,3, FALSE)/100,AD474)</f>
        <v>0.48541899999999999</v>
      </c>
      <c r="AE473" s="10">
        <f>IFERROR(VLOOKUP(Summary!B473,'Pre-Summary'!$A$6:$P$184,7, FALSE)/100,AE474)</f>
        <v>1.0624666666666666E-2</v>
      </c>
      <c r="AF473" s="99">
        <f t="shared" si="22"/>
        <v>0.26665819698259696</v>
      </c>
      <c r="AG473" s="99">
        <f t="shared" si="23"/>
        <v>5.8365133150421224E-3</v>
      </c>
      <c r="AH473" s="10" t="str">
        <f>IFERROR(VLOOKUP(B473,'Pre-Summary'!$AZ$6:$BE$65,3,FALSE),"")</f>
        <v/>
      </c>
      <c r="AI473" s="10" t="str">
        <f>IFERROR(VLOOKUP(B473,'Pre-Summary'!$AZ$6:$BE$65,5,FALSE),"")</f>
        <v/>
      </c>
      <c r="AJ473" s="10" t="str">
        <f>IFERROR(VLOOKUP(B473,'Pre-Summary'!$AZ$6:$BE$65,4,FALSE),"")</f>
        <v/>
      </c>
      <c r="AK473" s="10" t="str">
        <f>IFERROR(VLOOKUP(B473,'Pre-Summary'!$AZ$6:$BE$65,6,FALSE),"")</f>
        <v/>
      </c>
      <c r="AL473" s="10" t="str">
        <f>IFERROR(VLOOKUP(B473,'Pre-Summary'!$BG$6:$BL$44,3,FALSE),"")</f>
        <v/>
      </c>
      <c r="AM473" s="10" t="str">
        <f>IFERROR(VLOOKUP(B473,'Pre-Summary'!$BG$6:$BL$44,4,FALSE),"")</f>
        <v/>
      </c>
    </row>
    <row r="474" spans="2:39" ht="15" customHeight="1" x14ac:dyDescent="0.3">
      <c r="B474">
        <v>47.1</v>
      </c>
      <c r="C474" t="str">
        <f>IFERROR(VLOOKUP(B474,'Pre-Summary'!$DI$6:$DM$23,4,FALSE),"")</f>
        <v/>
      </c>
      <c r="D474" s="10" t="str">
        <f>IFERROR(VLOOKUP(B474,'Pre-Summary'!$AT$6:$AX$14,5,FALSE),D473)</f>
        <v>DSMZ v2: Dropped Na-Ac out of DSMZ 120 media</v>
      </c>
      <c r="E474" s="10" t="str">
        <f>IFERROR(VLOOKUP(B474,'Pre-Summary'!$AT$6:$AX$15,4,FALSE),"")</f>
        <v/>
      </c>
      <c r="F474">
        <f>IFERROR(VLOOKUP(B474,'Pre-Summary'!$AL$6:$AQ$13,6,FALSE),F473)</f>
        <v>5.9405263157894746E-2</v>
      </c>
      <c r="G474" t="str">
        <f>IFERROR(VLOOKUP(B474,'Pre-Summary'!$AE$6:$AJ$85,3,FALSE),"")</f>
        <v/>
      </c>
      <c r="H474" t="str">
        <f>IFERROR(VLOOKUP(B474,'Pre-Summary'!$AE$6:$AJ$85,4,FALSE),"")</f>
        <v/>
      </c>
      <c r="I474" t="str">
        <f>IFERROR(VLOOKUP(B474,'Pre-Summary'!$AE$6:$AJ$85,5,FALSE),"")</f>
        <v/>
      </c>
      <c r="J474" s="45" t="str">
        <f>IFERROR(VLOOKUP(B474,'Pre-Summary'!$AE$6:$AJ$85,6, FALSE),"")</f>
        <v/>
      </c>
      <c r="K474" s="45" t="str">
        <f>IFERROR(VLOOKUP(B474,'Pre-Summary'!$DE$6:$DG$61,3,FALSE),"")</f>
        <v/>
      </c>
      <c r="L474" s="45" t="str">
        <f>IFERROR(VLOOKUP(B474,'Pre-Summary'!$CU$6:$CW$36,3,FALSE),"")</f>
        <v/>
      </c>
      <c r="M474" s="45" t="str">
        <f>IFERROR(VLOOKUP(B474,'Pre-Summary'!$BW$6:$BY$58,2,FALSE),"")</f>
        <v/>
      </c>
      <c r="N474" s="45" t="str">
        <f>IFERROR(VLOOKUP(B474,'Pre-Summary'!$CD$6:$CF$64,2,FALSE),"")</f>
        <v/>
      </c>
      <c r="O474" s="99">
        <f>IFERROR(VLOOKUP(B474,'Pre-Summary'!$BO$6:$BQ$48,3, FALSE),O473)</f>
        <v>1.0915248032216731</v>
      </c>
      <c r="P474" s="99">
        <f>IFERROR(VLOOKUP(B474,'Pre-Summary'!$BS$6:$BU$35,3,FALSE),P473)</f>
        <v>0.25</v>
      </c>
      <c r="Q474" s="54">
        <f t="shared" si="21"/>
        <v>4.3660992128866924</v>
      </c>
      <c r="R474" s="53">
        <f>IFERROR(VLOOKUP(B474,'Pre-Summary'!$BG$6:$BM$44,7,FALSE),R475)</f>
        <v>7.5915763918363535E-2</v>
      </c>
      <c r="S474" s="53">
        <f>IFERROR(VLOOKUP(B474,'Pre-Summary'!$BG$6:$BM$44,6,FALSE),S475)</f>
        <v>5.2897473997019086E-2</v>
      </c>
      <c r="T474" s="45" t="str">
        <f>IFERROR(VLOOKUP(B474,'Pre-Summary'!$Y$6:$AC$83, 3,FALSE),"")</f>
        <v/>
      </c>
      <c r="U474" s="45" t="str">
        <f>IFERROR(VLOOKUP(B474,'Pre-Summary'!$Y$6:$AC$83, 4,FALSE),"")</f>
        <v/>
      </c>
      <c r="V474" t="str">
        <f>IFERROR(VLOOKUP(B474,'Pre-Summary'!$Y$6:$AC$83, 5,FALSE),"")</f>
        <v/>
      </c>
      <c r="W474" s="45" t="str">
        <f>IFERROR(VLOOKUP(B474,'Pre-Summary'!$Y$6:$AD$83,6,FALSE),"")</f>
        <v/>
      </c>
      <c r="X474" t="str">
        <f>IFERROR(VLOOKUP('Pre-Summary'!$DB$6:$DD$63,3,FALSE),"")</f>
        <v/>
      </c>
      <c r="Y474" t="str">
        <f>IFERROR(VLOOKUP(B474,'Pre-Summary'!$CR$6:$CT$36,3,FALSE),"")</f>
        <v/>
      </c>
      <c r="Z474" s="45" t="str">
        <f>IFERROR(VLOOKUP(B474,'Pre-Summary'!$BZ$6:$CB$63,2,FALSE),"")</f>
        <v/>
      </c>
      <c r="AA474" s="45" t="str">
        <f>IFERROR(VLOOKUP(B474,'Pre-Summary'!$CG$6:$CI$70,2,FALSE),"")</f>
        <v/>
      </c>
      <c r="AB474" s="99">
        <f>IFERROR(VLOOKUP(B474,'Pre-Summary'!$A$6:$P$178,9,FALSE),AB475)</f>
        <v>0.54933613431406059</v>
      </c>
      <c r="AC474" s="10">
        <f>IFERROR(VLOOKUP(Summary!B474,'Pre-Summary'!$A$6:$P$184,5, FALSE)/100,AC475)</f>
        <v>0.50395600000000007</v>
      </c>
      <c r="AD474" s="10">
        <f>IFERROR(VLOOKUP(Summary!B474,'Pre-Summary'!$A$6:$P$184,3, FALSE)/100,AD475)</f>
        <v>0.48541899999999999</v>
      </c>
      <c r="AE474" s="10">
        <f>IFERROR(VLOOKUP(Summary!B474,'Pre-Summary'!$A$6:$P$184,7, FALSE)/100,AE475)</f>
        <v>1.0624666666666666E-2</v>
      </c>
      <c r="AF474" s="99">
        <f t="shared" si="22"/>
        <v>0.26665819698259696</v>
      </c>
      <c r="AG474" s="99">
        <f t="shared" si="23"/>
        <v>5.8365133150421224E-3</v>
      </c>
      <c r="AH474" s="10" t="str">
        <f>IFERROR(VLOOKUP(B474,'Pre-Summary'!$AZ$6:$BE$65,3,FALSE),"")</f>
        <v/>
      </c>
      <c r="AI474" s="10" t="str">
        <f>IFERROR(VLOOKUP(B474,'Pre-Summary'!$AZ$6:$BE$65,5,FALSE),"")</f>
        <v/>
      </c>
      <c r="AJ474" s="10" t="str">
        <f>IFERROR(VLOOKUP(B474,'Pre-Summary'!$AZ$6:$BE$65,4,FALSE),"")</f>
        <v/>
      </c>
      <c r="AK474" s="10" t="str">
        <f>IFERROR(VLOOKUP(B474,'Pre-Summary'!$AZ$6:$BE$65,6,FALSE),"")</f>
        <v/>
      </c>
      <c r="AL474" s="10" t="str">
        <f>IFERROR(VLOOKUP(B474,'Pre-Summary'!$BG$6:$BL$44,3,FALSE),"")</f>
        <v/>
      </c>
      <c r="AM474" s="10" t="str">
        <f>IFERROR(VLOOKUP(B474,'Pre-Summary'!$BG$6:$BL$44,4,FALSE),"")</f>
        <v/>
      </c>
    </row>
    <row r="475" spans="2:39" ht="15" customHeight="1" x14ac:dyDescent="0.3">
      <c r="B475">
        <v>47.2</v>
      </c>
      <c r="C475" t="str">
        <f>IFERROR(VLOOKUP(B475,'Pre-Summary'!$DI$6:$DM$23,4,FALSE),"")</f>
        <v/>
      </c>
      <c r="D475" s="10" t="str">
        <f>IFERROR(VLOOKUP(B475,'Pre-Summary'!$AT$6:$AX$14,5,FALSE),D474)</f>
        <v>DSMZ v2: Dropped Na-Ac out of DSMZ 120 media</v>
      </c>
      <c r="E475" s="10" t="str">
        <f>IFERROR(VLOOKUP(B475,'Pre-Summary'!$AT$6:$AX$15,4,FALSE),"")</f>
        <v/>
      </c>
      <c r="F475">
        <f>IFERROR(VLOOKUP(B475,'Pre-Summary'!$AL$6:$AQ$13,6,FALSE),F474)</f>
        <v>5.9405263157894746E-2</v>
      </c>
      <c r="G475" t="str">
        <f>IFERROR(VLOOKUP(B475,'Pre-Summary'!$AE$6:$AJ$85,3,FALSE),"")</f>
        <v/>
      </c>
      <c r="H475" t="str">
        <f>IFERROR(VLOOKUP(B475,'Pre-Summary'!$AE$6:$AJ$85,4,FALSE),"")</f>
        <v/>
      </c>
      <c r="I475" t="str">
        <f>IFERROR(VLOOKUP(B475,'Pre-Summary'!$AE$6:$AJ$85,5,FALSE),"")</f>
        <v/>
      </c>
      <c r="J475" s="45" t="str">
        <f>IFERROR(VLOOKUP(B475,'Pre-Summary'!$AE$6:$AJ$85,6, FALSE),"")</f>
        <v/>
      </c>
      <c r="K475" s="45" t="str">
        <f>IFERROR(VLOOKUP(B475,'Pre-Summary'!$DE$6:$DG$61,3,FALSE),"")</f>
        <v/>
      </c>
      <c r="L475" s="45" t="str">
        <f>IFERROR(VLOOKUP(B475,'Pre-Summary'!$CU$6:$CW$36,3,FALSE),"")</f>
        <v/>
      </c>
      <c r="M475" s="45" t="str">
        <f>IFERROR(VLOOKUP(B475,'Pre-Summary'!$BW$6:$BY$58,2,FALSE),"")</f>
        <v/>
      </c>
      <c r="N475" s="45" t="str">
        <f>IFERROR(VLOOKUP(B475,'Pre-Summary'!$CD$6:$CF$64,2,FALSE),"")</f>
        <v/>
      </c>
      <c r="O475" s="99">
        <f>IFERROR(VLOOKUP(B475,'Pre-Summary'!$BO$6:$BQ$48,3, FALSE),O474)</f>
        <v>1.0915248032216731</v>
      </c>
      <c r="P475" s="99">
        <f>IFERROR(VLOOKUP(B475,'Pre-Summary'!$BS$6:$BU$35,3,FALSE),P474)</f>
        <v>0.25</v>
      </c>
      <c r="Q475" s="54">
        <f t="shared" si="21"/>
        <v>4.3660992128866924</v>
      </c>
      <c r="R475" s="53">
        <f>IFERROR(VLOOKUP(B475,'Pre-Summary'!$BG$6:$BM$44,7,FALSE),R476)</f>
        <v>7.5915763918363535E-2</v>
      </c>
      <c r="S475" s="53">
        <f>IFERROR(VLOOKUP(B475,'Pre-Summary'!$BG$6:$BM$44,6,FALSE),S476)</f>
        <v>5.2897473997019086E-2</v>
      </c>
      <c r="T475" s="45" t="str">
        <f>IFERROR(VLOOKUP(B475,'Pre-Summary'!$Y$6:$AC$83, 3,FALSE),"")</f>
        <v/>
      </c>
      <c r="U475" s="45" t="str">
        <f>IFERROR(VLOOKUP(B475,'Pre-Summary'!$Y$6:$AC$83, 4,FALSE),"")</f>
        <v/>
      </c>
      <c r="V475" t="str">
        <f>IFERROR(VLOOKUP(B475,'Pre-Summary'!$Y$6:$AC$83, 5,FALSE),"")</f>
        <v/>
      </c>
      <c r="W475" s="45" t="str">
        <f>IFERROR(VLOOKUP(B475,'Pre-Summary'!$Y$6:$AD$83,6,FALSE),"")</f>
        <v/>
      </c>
      <c r="X475" t="str">
        <f>IFERROR(VLOOKUP('Pre-Summary'!$DB$6:$DD$63,3,FALSE),"")</f>
        <v/>
      </c>
      <c r="Y475" t="str">
        <f>IFERROR(VLOOKUP(B475,'Pre-Summary'!$CR$6:$CT$36,3,FALSE),"")</f>
        <v/>
      </c>
      <c r="Z475" s="45" t="str">
        <f>IFERROR(VLOOKUP(B475,'Pre-Summary'!$BZ$6:$CB$63,2,FALSE),"")</f>
        <v/>
      </c>
      <c r="AA475" s="45" t="str">
        <f>IFERROR(VLOOKUP(B475,'Pre-Summary'!$CG$6:$CI$70,2,FALSE),"")</f>
        <v/>
      </c>
      <c r="AB475" s="99">
        <f>IFERROR(VLOOKUP(B475,'Pre-Summary'!$A$6:$P$178,9,FALSE),AB476)</f>
        <v>0.54933613431406059</v>
      </c>
      <c r="AC475" s="10">
        <f>IFERROR(VLOOKUP(Summary!B475,'Pre-Summary'!$A$6:$P$184,5, FALSE)/100,AC476)</f>
        <v>0.50395600000000007</v>
      </c>
      <c r="AD475" s="10">
        <f>IFERROR(VLOOKUP(Summary!B475,'Pre-Summary'!$A$6:$P$184,3, FALSE)/100,AD476)</f>
        <v>0.48541899999999999</v>
      </c>
      <c r="AE475" s="10">
        <f>IFERROR(VLOOKUP(Summary!B475,'Pre-Summary'!$A$6:$P$184,7, FALSE)/100,AE476)</f>
        <v>1.0624666666666666E-2</v>
      </c>
      <c r="AF475" s="99">
        <f t="shared" si="22"/>
        <v>0.26665819698259696</v>
      </c>
      <c r="AG475" s="99">
        <f t="shared" si="23"/>
        <v>5.8365133150421224E-3</v>
      </c>
      <c r="AH475" s="10" t="str">
        <f>IFERROR(VLOOKUP(B475,'Pre-Summary'!$AZ$6:$BE$65,3,FALSE),"")</f>
        <v/>
      </c>
      <c r="AI475" s="10" t="str">
        <f>IFERROR(VLOOKUP(B475,'Pre-Summary'!$AZ$6:$BE$65,5,FALSE),"")</f>
        <v/>
      </c>
      <c r="AJ475" s="10" t="str">
        <f>IFERROR(VLOOKUP(B475,'Pre-Summary'!$AZ$6:$BE$65,4,FALSE),"")</f>
        <v/>
      </c>
      <c r="AK475" s="10" t="str">
        <f>IFERROR(VLOOKUP(B475,'Pre-Summary'!$AZ$6:$BE$65,6,FALSE),"")</f>
        <v/>
      </c>
      <c r="AL475" s="10" t="str">
        <f>IFERROR(VLOOKUP(B475,'Pre-Summary'!$BG$6:$BL$44,3,FALSE),"")</f>
        <v/>
      </c>
      <c r="AM475" s="10" t="str">
        <f>IFERROR(VLOOKUP(B475,'Pre-Summary'!$BG$6:$BL$44,4,FALSE),"")</f>
        <v/>
      </c>
    </row>
    <row r="476" spans="2:39" ht="15" customHeight="1" x14ac:dyDescent="0.3">
      <c r="B476">
        <v>47.3</v>
      </c>
      <c r="C476" t="str">
        <f>IFERROR(VLOOKUP(B476,'Pre-Summary'!$DI$6:$DM$23,4,FALSE),"")</f>
        <v/>
      </c>
      <c r="D476" s="10" t="str">
        <f>IFERROR(VLOOKUP(B476,'Pre-Summary'!$AT$6:$AX$14,5,FALSE),D475)</f>
        <v>DSMZ v2: Dropped Na-Ac out of DSMZ 120 media</v>
      </c>
      <c r="E476" s="10" t="str">
        <f>IFERROR(VLOOKUP(B476,'Pre-Summary'!$AT$6:$AX$15,4,FALSE),"")</f>
        <v/>
      </c>
      <c r="F476">
        <f>IFERROR(VLOOKUP(B476,'Pre-Summary'!$AL$6:$AQ$13,6,FALSE),F475)</f>
        <v>5.9405263157894746E-2</v>
      </c>
      <c r="G476" t="str">
        <f>IFERROR(VLOOKUP(B476,'Pre-Summary'!$AE$6:$AJ$85,3,FALSE),"")</f>
        <v/>
      </c>
      <c r="H476" t="str">
        <f>IFERROR(VLOOKUP(B476,'Pre-Summary'!$AE$6:$AJ$85,4,FALSE),"")</f>
        <v/>
      </c>
      <c r="I476" t="str">
        <f>IFERROR(VLOOKUP(B476,'Pre-Summary'!$AE$6:$AJ$85,5,FALSE),"")</f>
        <v/>
      </c>
      <c r="J476" s="45" t="str">
        <f>IFERROR(VLOOKUP(B476,'Pre-Summary'!$AE$6:$AJ$85,6, FALSE),"")</f>
        <v/>
      </c>
      <c r="K476" s="45" t="str">
        <f>IFERROR(VLOOKUP(B476,'Pre-Summary'!$DE$6:$DG$61,3,FALSE),"")</f>
        <v/>
      </c>
      <c r="L476" s="45" t="str">
        <f>IFERROR(VLOOKUP(B476,'Pre-Summary'!$CU$6:$CW$36,3,FALSE),"")</f>
        <v/>
      </c>
      <c r="M476" s="45" t="str">
        <f>IFERROR(VLOOKUP(B476,'Pre-Summary'!$BW$6:$BY$58,2,FALSE),"")</f>
        <v/>
      </c>
      <c r="N476" s="45" t="str">
        <f>IFERROR(VLOOKUP(B476,'Pre-Summary'!$CD$6:$CF$64,2,FALSE),"")</f>
        <v/>
      </c>
      <c r="O476" s="99">
        <f>IFERROR(VLOOKUP(B476,'Pre-Summary'!$BO$6:$BQ$48,3, FALSE),O475)</f>
        <v>1.0915248032216731</v>
      </c>
      <c r="P476" s="99">
        <f>IFERROR(VLOOKUP(B476,'Pre-Summary'!$BS$6:$BU$35,3,FALSE),P475)</f>
        <v>0.25</v>
      </c>
      <c r="Q476" s="54">
        <f t="shared" si="21"/>
        <v>4.3660992128866924</v>
      </c>
      <c r="R476" s="53">
        <f>IFERROR(VLOOKUP(B476,'Pre-Summary'!$BG$6:$BM$44,7,FALSE),R477)</f>
        <v>7.5915763918363535E-2</v>
      </c>
      <c r="S476" s="53">
        <f>IFERROR(VLOOKUP(B476,'Pre-Summary'!$BG$6:$BM$44,6,FALSE),S477)</f>
        <v>5.2897473997019086E-2</v>
      </c>
      <c r="T476" s="45" t="str">
        <f>IFERROR(VLOOKUP(B476,'Pre-Summary'!$Y$6:$AC$83, 3,FALSE),"")</f>
        <v/>
      </c>
      <c r="U476" s="45" t="str">
        <f>IFERROR(VLOOKUP(B476,'Pre-Summary'!$Y$6:$AC$83, 4,FALSE),"")</f>
        <v/>
      </c>
      <c r="V476" t="str">
        <f>IFERROR(VLOOKUP(B476,'Pre-Summary'!$Y$6:$AC$83, 5,FALSE),"")</f>
        <v/>
      </c>
      <c r="W476" s="45" t="str">
        <f>IFERROR(VLOOKUP(B476,'Pre-Summary'!$Y$6:$AD$83,6,FALSE),"")</f>
        <v/>
      </c>
      <c r="X476" t="str">
        <f>IFERROR(VLOOKUP('Pre-Summary'!$DB$6:$DD$63,3,FALSE),"")</f>
        <v/>
      </c>
      <c r="Y476" t="str">
        <f>IFERROR(VLOOKUP(B476,'Pre-Summary'!$CR$6:$CT$36,3,FALSE),"")</f>
        <v/>
      </c>
      <c r="Z476" s="45" t="str">
        <f>IFERROR(VLOOKUP(B476,'Pre-Summary'!$BZ$6:$CB$63,2,FALSE),"")</f>
        <v/>
      </c>
      <c r="AA476" s="45" t="str">
        <f>IFERROR(VLOOKUP(B476,'Pre-Summary'!$CG$6:$CI$70,2,FALSE),"")</f>
        <v/>
      </c>
      <c r="AB476" s="99">
        <f>IFERROR(VLOOKUP(B476,'Pre-Summary'!$A$6:$P$178,9,FALSE),AB477)</f>
        <v>0.54933613431406059</v>
      </c>
      <c r="AC476" s="10">
        <f>IFERROR(VLOOKUP(Summary!B476,'Pre-Summary'!$A$6:$P$184,5, FALSE)/100,AC477)</f>
        <v>0.50395600000000007</v>
      </c>
      <c r="AD476" s="10">
        <f>IFERROR(VLOOKUP(Summary!B476,'Pre-Summary'!$A$6:$P$184,3, FALSE)/100,AD477)</f>
        <v>0.48541899999999999</v>
      </c>
      <c r="AE476" s="10">
        <f>IFERROR(VLOOKUP(Summary!B476,'Pre-Summary'!$A$6:$P$184,7, FALSE)/100,AE477)</f>
        <v>1.0624666666666666E-2</v>
      </c>
      <c r="AF476" s="99">
        <f t="shared" si="22"/>
        <v>0.26665819698259696</v>
      </c>
      <c r="AG476" s="99">
        <f t="shared" si="23"/>
        <v>5.8365133150421224E-3</v>
      </c>
      <c r="AH476" s="10" t="str">
        <f>IFERROR(VLOOKUP(B476,'Pre-Summary'!$AZ$6:$BE$65,3,FALSE),"")</f>
        <v/>
      </c>
      <c r="AI476" s="10" t="str">
        <f>IFERROR(VLOOKUP(B476,'Pre-Summary'!$AZ$6:$BE$65,5,FALSE),"")</f>
        <v/>
      </c>
      <c r="AJ476" s="10" t="str">
        <f>IFERROR(VLOOKUP(B476,'Pre-Summary'!$AZ$6:$BE$65,4,FALSE),"")</f>
        <v/>
      </c>
      <c r="AK476" s="10" t="str">
        <f>IFERROR(VLOOKUP(B476,'Pre-Summary'!$AZ$6:$BE$65,6,FALSE),"")</f>
        <v/>
      </c>
      <c r="AL476" s="10" t="str">
        <f>IFERROR(VLOOKUP(B476,'Pre-Summary'!$BG$6:$BL$44,3,FALSE),"")</f>
        <v/>
      </c>
      <c r="AM476" s="10" t="str">
        <f>IFERROR(VLOOKUP(B476,'Pre-Summary'!$BG$6:$BL$44,4,FALSE),"")</f>
        <v/>
      </c>
    </row>
    <row r="477" spans="2:39" ht="15" customHeight="1" x14ac:dyDescent="0.3">
      <c r="B477">
        <v>47.4</v>
      </c>
      <c r="C477" t="str">
        <f>IFERROR(VLOOKUP(B477,'Pre-Summary'!$DI$6:$DM$23,4,FALSE),"")</f>
        <v/>
      </c>
      <c r="D477" s="10" t="str">
        <f>IFERROR(VLOOKUP(B477,'Pre-Summary'!$AT$6:$AX$14,5,FALSE),D476)</f>
        <v>DSMZ v2: Dropped Na-Ac out of DSMZ 120 media</v>
      </c>
      <c r="E477" s="10" t="str">
        <f>IFERROR(VLOOKUP(B477,'Pre-Summary'!$AT$6:$AX$15,4,FALSE),"")</f>
        <v/>
      </c>
      <c r="F477">
        <f>IFERROR(VLOOKUP(B477,'Pre-Summary'!$AL$6:$AQ$13,6,FALSE),F476)</f>
        <v>5.9405263157894746E-2</v>
      </c>
      <c r="G477" t="str">
        <f>IFERROR(VLOOKUP(B477,'Pre-Summary'!$AE$6:$AJ$85,3,FALSE),"")</f>
        <v/>
      </c>
      <c r="H477" t="str">
        <f>IFERROR(VLOOKUP(B477,'Pre-Summary'!$AE$6:$AJ$85,4,FALSE),"")</f>
        <v/>
      </c>
      <c r="I477" t="str">
        <f>IFERROR(VLOOKUP(B477,'Pre-Summary'!$AE$6:$AJ$85,5,FALSE),"")</f>
        <v/>
      </c>
      <c r="J477" s="45" t="str">
        <f>IFERROR(VLOOKUP(B477,'Pre-Summary'!$AE$6:$AJ$85,6, FALSE),"")</f>
        <v/>
      </c>
      <c r="K477" s="45" t="str">
        <f>IFERROR(VLOOKUP(B477,'Pre-Summary'!$DE$6:$DG$61,3,FALSE),"")</f>
        <v/>
      </c>
      <c r="L477" s="45" t="str">
        <f>IFERROR(VLOOKUP(B477,'Pre-Summary'!$CU$6:$CW$36,3,FALSE),"")</f>
        <v/>
      </c>
      <c r="M477" s="45" t="str">
        <f>IFERROR(VLOOKUP(B477,'Pre-Summary'!$BW$6:$BY$58,2,FALSE),"")</f>
        <v/>
      </c>
      <c r="N477" s="45" t="str">
        <f>IFERROR(VLOOKUP(B477,'Pre-Summary'!$CD$6:$CF$64,2,FALSE),"")</f>
        <v/>
      </c>
      <c r="O477" s="99">
        <f>IFERROR(VLOOKUP(B477,'Pre-Summary'!$BO$6:$BQ$48,3, FALSE),O476)</f>
        <v>1.0915248032216731</v>
      </c>
      <c r="P477" s="99">
        <f>IFERROR(VLOOKUP(B477,'Pre-Summary'!$BS$6:$BU$35,3,FALSE),P476)</f>
        <v>0.25</v>
      </c>
      <c r="Q477" s="54">
        <f t="shared" si="21"/>
        <v>4.3660992128866924</v>
      </c>
      <c r="R477" s="53">
        <f>IFERROR(VLOOKUP(B477,'Pre-Summary'!$BG$6:$BM$44,7,FALSE),R478)</f>
        <v>7.5915763918363535E-2</v>
      </c>
      <c r="S477" s="53">
        <f>IFERROR(VLOOKUP(B477,'Pre-Summary'!$BG$6:$BM$44,6,FALSE),S478)</f>
        <v>5.2897473997019086E-2</v>
      </c>
      <c r="T477" s="45" t="str">
        <f>IFERROR(VLOOKUP(B477,'Pre-Summary'!$Y$6:$AC$83, 3,FALSE),"")</f>
        <v/>
      </c>
      <c r="U477" s="45" t="str">
        <f>IFERROR(VLOOKUP(B477,'Pre-Summary'!$Y$6:$AC$83, 4,FALSE),"")</f>
        <v/>
      </c>
      <c r="V477" t="str">
        <f>IFERROR(VLOOKUP(B477,'Pre-Summary'!$Y$6:$AC$83, 5,FALSE),"")</f>
        <v/>
      </c>
      <c r="W477" s="45" t="str">
        <f>IFERROR(VLOOKUP(B477,'Pre-Summary'!$Y$6:$AD$83,6,FALSE),"")</f>
        <v/>
      </c>
      <c r="X477" t="str">
        <f>IFERROR(VLOOKUP('Pre-Summary'!$DB$6:$DD$63,3,FALSE),"")</f>
        <v/>
      </c>
      <c r="Y477" t="str">
        <f>IFERROR(VLOOKUP(B477,'Pre-Summary'!$CR$6:$CT$36,3,FALSE),"")</f>
        <v/>
      </c>
      <c r="Z477" s="45" t="str">
        <f>IFERROR(VLOOKUP(B477,'Pre-Summary'!$BZ$6:$CB$63,2,FALSE),"")</f>
        <v/>
      </c>
      <c r="AA477" s="45" t="str">
        <f>IFERROR(VLOOKUP(B477,'Pre-Summary'!$CG$6:$CI$70,2,FALSE),"")</f>
        <v/>
      </c>
      <c r="AB477" s="99">
        <f>IFERROR(VLOOKUP(B477,'Pre-Summary'!$A$6:$P$178,9,FALSE),AB478)</f>
        <v>0.54933613431406059</v>
      </c>
      <c r="AC477" s="10">
        <f>IFERROR(VLOOKUP(Summary!B477,'Pre-Summary'!$A$6:$P$184,5, FALSE)/100,AC478)</f>
        <v>0.50395600000000007</v>
      </c>
      <c r="AD477" s="10">
        <f>IFERROR(VLOOKUP(Summary!B477,'Pre-Summary'!$A$6:$P$184,3, FALSE)/100,AD478)</f>
        <v>0.48541899999999999</v>
      </c>
      <c r="AE477" s="10">
        <f>IFERROR(VLOOKUP(Summary!B477,'Pre-Summary'!$A$6:$P$184,7, FALSE)/100,AE478)</f>
        <v>1.0624666666666666E-2</v>
      </c>
      <c r="AF477" s="99">
        <f t="shared" si="22"/>
        <v>0.26665819698259696</v>
      </c>
      <c r="AG477" s="99">
        <f t="shared" si="23"/>
        <v>5.8365133150421224E-3</v>
      </c>
      <c r="AH477" s="10" t="str">
        <f>IFERROR(VLOOKUP(B477,'Pre-Summary'!$AZ$6:$BE$65,3,FALSE),"")</f>
        <v/>
      </c>
      <c r="AI477" s="10" t="str">
        <f>IFERROR(VLOOKUP(B477,'Pre-Summary'!$AZ$6:$BE$65,5,FALSE),"")</f>
        <v/>
      </c>
      <c r="AJ477" s="10" t="str">
        <f>IFERROR(VLOOKUP(B477,'Pre-Summary'!$AZ$6:$BE$65,4,FALSE),"")</f>
        <v/>
      </c>
      <c r="AK477" s="10" t="str">
        <f>IFERROR(VLOOKUP(B477,'Pre-Summary'!$AZ$6:$BE$65,6,FALSE),"")</f>
        <v/>
      </c>
      <c r="AL477" s="10" t="str">
        <f>IFERROR(VLOOKUP(B477,'Pre-Summary'!$BG$6:$BL$44,3,FALSE),"")</f>
        <v/>
      </c>
      <c r="AM477" s="10" t="str">
        <f>IFERROR(VLOOKUP(B477,'Pre-Summary'!$BG$6:$BL$44,4,FALSE),"")</f>
        <v/>
      </c>
    </row>
    <row r="478" spans="2:39" ht="15" customHeight="1" x14ac:dyDescent="0.3">
      <c r="B478">
        <v>47.5</v>
      </c>
      <c r="C478" t="str">
        <f>IFERROR(VLOOKUP(B478,'Pre-Summary'!$DI$6:$DM$23,4,FALSE),"")</f>
        <v/>
      </c>
      <c r="D478" s="10" t="str">
        <f>IFERROR(VLOOKUP(B478,'Pre-Summary'!$AT$6:$AX$14,5,FALSE),D477)</f>
        <v>DSMZ v2: Dropped Na-Ac out of DSMZ 120 media</v>
      </c>
      <c r="E478" s="10" t="str">
        <f>IFERROR(VLOOKUP(B478,'Pre-Summary'!$AT$6:$AX$15,4,FALSE),"")</f>
        <v/>
      </c>
      <c r="F478">
        <f>IFERROR(VLOOKUP(B478,'Pre-Summary'!$AL$6:$AQ$13,6,FALSE),F477)</f>
        <v>5.9405263157894746E-2</v>
      </c>
      <c r="G478" t="str">
        <f>IFERROR(VLOOKUP(B478,'Pre-Summary'!$AE$6:$AJ$85,3,FALSE),"")</f>
        <v/>
      </c>
      <c r="H478" t="str">
        <f>IFERROR(VLOOKUP(B478,'Pre-Summary'!$AE$6:$AJ$85,4,FALSE),"")</f>
        <v/>
      </c>
      <c r="I478" t="str">
        <f>IFERROR(VLOOKUP(B478,'Pre-Summary'!$AE$6:$AJ$85,5,FALSE),"")</f>
        <v/>
      </c>
      <c r="J478" s="45" t="str">
        <f>IFERROR(VLOOKUP(B478,'Pre-Summary'!$AE$6:$AJ$85,6, FALSE),"")</f>
        <v/>
      </c>
      <c r="K478" s="45" t="str">
        <f>IFERROR(VLOOKUP(B478,'Pre-Summary'!$DE$6:$DG$61,3,FALSE),"")</f>
        <v/>
      </c>
      <c r="L478" s="45" t="str">
        <f>IFERROR(VLOOKUP(B478,'Pre-Summary'!$CU$6:$CW$36,3,FALSE),"")</f>
        <v/>
      </c>
      <c r="M478" s="45" t="str">
        <f>IFERROR(VLOOKUP(B478,'Pre-Summary'!$BW$6:$BY$58,2,FALSE),"")</f>
        <v/>
      </c>
      <c r="N478" s="45" t="str">
        <f>IFERROR(VLOOKUP(B478,'Pre-Summary'!$CD$6:$CF$64,2,FALSE),"")</f>
        <v/>
      </c>
      <c r="O478" s="99">
        <f>IFERROR(VLOOKUP(B478,'Pre-Summary'!$BO$6:$BQ$48,3, FALSE),O477)</f>
        <v>1.0915248032216731</v>
      </c>
      <c r="P478" s="99">
        <f>IFERROR(VLOOKUP(B478,'Pre-Summary'!$BS$6:$BU$35,3,FALSE),P477)</f>
        <v>0.25</v>
      </c>
      <c r="Q478" s="54">
        <f t="shared" si="21"/>
        <v>4.3660992128866924</v>
      </c>
      <c r="R478" s="53">
        <f>IFERROR(VLOOKUP(B478,'Pre-Summary'!$BG$6:$BM$44,7,FALSE),R479)</f>
        <v>7.5915763918363535E-2</v>
      </c>
      <c r="S478" s="53">
        <f>IFERROR(VLOOKUP(B478,'Pre-Summary'!$BG$6:$BM$44,6,FALSE),S479)</f>
        <v>5.2897473997019086E-2</v>
      </c>
      <c r="T478" s="45" t="str">
        <f>IFERROR(VLOOKUP(B478,'Pre-Summary'!$Y$6:$AC$83, 3,FALSE),"")</f>
        <v/>
      </c>
      <c r="U478" s="45" t="str">
        <f>IFERROR(VLOOKUP(B478,'Pre-Summary'!$Y$6:$AC$83, 4,FALSE),"")</f>
        <v/>
      </c>
      <c r="V478" t="str">
        <f>IFERROR(VLOOKUP(B478,'Pre-Summary'!$Y$6:$AC$83, 5,FALSE),"")</f>
        <v/>
      </c>
      <c r="W478" s="45" t="str">
        <f>IFERROR(VLOOKUP(B478,'Pre-Summary'!$Y$6:$AD$83,6,FALSE),"")</f>
        <v/>
      </c>
      <c r="X478" t="str">
        <f>IFERROR(VLOOKUP('Pre-Summary'!$DB$6:$DD$63,3,FALSE),"")</f>
        <v/>
      </c>
      <c r="Y478" t="str">
        <f>IFERROR(VLOOKUP(B478,'Pre-Summary'!$CR$6:$CT$36,3,FALSE),"")</f>
        <v/>
      </c>
      <c r="Z478" s="45" t="str">
        <f>IFERROR(VLOOKUP(B478,'Pre-Summary'!$BZ$6:$CB$63,2,FALSE),"")</f>
        <v/>
      </c>
      <c r="AA478" s="45" t="str">
        <f>IFERROR(VLOOKUP(B478,'Pre-Summary'!$CG$6:$CI$70,2,FALSE),"")</f>
        <v/>
      </c>
      <c r="AB478" s="99">
        <f>IFERROR(VLOOKUP(B478,'Pre-Summary'!$A$6:$P$178,9,FALSE),AB479)</f>
        <v>0.54933613431406059</v>
      </c>
      <c r="AC478" s="10">
        <f>IFERROR(VLOOKUP(Summary!B478,'Pre-Summary'!$A$6:$P$184,5, FALSE)/100,AC479)</f>
        <v>0.50395600000000007</v>
      </c>
      <c r="AD478" s="10">
        <f>IFERROR(VLOOKUP(Summary!B478,'Pre-Summary'!$A$6:$P$184,3, FALSE)/100,AD479)</f>
        <v>0.48541899999999999</v>
      </c>
      <c r="AE478" s="10">
        <f>IFERROR(VLOOKUP(Summary!B478,'Pre-Summary'!$A$6:$P$184,7, FALSE)/100,AE479)</f>
        <v>1.0624666666666666E-2</v>
      </c>
      <c r="AF478" s="99">
        <f t="shared" si="22"/>
        <v>0.26665819698259696</v>
      </c>
      <c r="AG478" s="99">
        <f t="shared" si="23"/>
        <v>5.8365133150421224E-3</v>
      </c>
      <c r="AH478" s="10" t="str">
        <f>IFERROR(VLOOKUP(B478,'Pre-Summary'!$AZ$6:$BE$65,3,FALSE),"")</f>
        <v/>
      </c>
      <c r="AI478" s="10" t="str">
        <f>IFERROR(VLOOKUP(B478,'Pre-Summary'!$AZ$6:$BE$65,5,FALSE),"")</f>
        <v/>
      </c>
      <c r="AJ478" s="10" t="str">
        <f>IFERROR(VLOOKUP(B478,'Pre-Summary'!$AZ$6:$BE$65,4,FALSE),"")</f>
        <v/>
      </c>
      <c r="AK478" s="10" t="str">
        <f>IFERROR(VLOOKUP(B478,'Pre-Summary'!$AZ$6:$BE$65,6,FALSE),"")</f>
        <v/>
      </c>
      <c r="AL478" s="10" t="str">
        <f>IFERROR(VLOOKUP(B478,'Pre-Summary'!$BG$6:$BL$44,3,FALSE),"")</f>
        <v/>
      </c>
      <c r="AM478" s="10" t="str">
        <f>IFERROR(VLOOKUP(B478,'Pre-Summary'!$BG$6:$BL$44,4,FALSE),"")</f>
        <v/>
      </c>
    </row>
    <row r="479" spans="2:39" ht="15" customHeight="1" x14ac:dyDescent="0.3">
      <c r="B479">
        <v>47.6</v>
      </c>
      <c r="C479" t="str">
        <f>IFERROR(VLOOKUP(B479,'Pre-Summary'!$DI$6:$DM$23,4,FALSE),"")</f>
        <v/>
      </c>
      <c r="D479" s="10" t="str">
        <f>IFERROR(VLOOKUP(B479,'Pre-Summary'!$AT$6:$AX$14,5,FALSE),D478)</f>
        <v>DSMZ v2: Dropped Na-Ac out of DSMZ 120 media</v>
      </c>
      <c r="E479" s="10" t="str">
        <f>IFERROR(VLOOKUP(B479,'Pre-Summary'!$AT$6:$AX$15,4,FALSE),"")</f>
        <v/>
      </c>
      <c r="F479">
        <f>IFERROR(VLOOKUP(B479,'Pre-Summary'!$AL$6:$AQ$13,6,FALSE),F478)</f>
        <v>5.9405263157894746E-2</v>
      </c>
      <c r="G479" t="str">
        <f>IFERROR(VLOOKUP(B479,'Pre-Summary'!$AE$6:$AJ$85,3,FALSE),"")</f>
        <v/>
      </c>
      <c r="H479" t="str">
        <f>IFERROR(VLOOKUP(B479,'Pre-Summary'!$AE$6:$AJ$85,4,FALSE),"")</f>
        <v/>
      </c>
      <c r="I479" t="str">
        <f>IFERROR(VLOOKUP(B479,'Pre-Summary'!$AE$6:$AJ$85,5,FALSE),"")</f>
        <v/>
      </c>
      <c r="J479" s="45" t="str">
        <f>IFERROR(VLOOKUP(B479,'Pre-Summary'!$AE$6:$AJ$85,6, FALSE),"")</f>
        <v/>
      </c>
      <c r="K479" s="45" t="str">
        <f>IFERROR(VLOOKUP(B479,'Pre-Summary'!$DE$6:$DG$61,3,FALSE),"")</f>
        <v/>
      </c>
      <c r="L479" s="45" t="str">
        <f>IFERROR(VLOOKUP(B479,'Pre-Summary'!$CU$6:$CW$36,3,FALSE),"")</f>
        <v/>
      </c>
      <c r="M479" s="45" t="str">
        <f>IFERROR(VLOOKUP(B479,'Pre-Summary'!$BW$6:$BY$58,2,FALSE),"")</f>
        <v/>
      </c>
      <c r="N479" s="45" t="str">
        <f>IFERROR(VLOOKUP(B479,'Pre-Summary'!$CD$6:$CF$64,2,FALSE),"")</f>
        <v/>
      </c>
      <c r="O479" s="99">
        <f>IFERROR(VLOOKUP(B479,'Pre-Summary'!$BO$6:$BQ$48,3, FALSE),O478)</f>
        <v>1.0915248032216731</v>
      </c>
      <c r="P479" s="99">
        <f>IFERROR(VLOOKUP(B479,'Pre-Summary'!$BS$6:$BU$35,3,FALSE),P478)</f>
        <v>0.25</v>
      </c>
      <c r="Q479" s="54">
        <f t="shared" si="21"/>
        <v>4.3660992128866924</v>
      </c>
      <c r="R479" s="53">
        <f>IFERROR(VLOOKUP(B479,'Pre-Summary'!$BG$6:$BM$44,7,FALSE),R480)</f>
        <v>7.5915763918363535E-2</v>
      </c>
      <c r="S479" s="53">
        <f>IFERROR(VLOOKUP(B479,'Pre-Summary'!$BG$6:$BM$44,6,FALSE),S480)</f>
        <v>5.2897473997019086E-2</v>
      </c>
      <c r="T479" s="45" t="str">
        <f>IFERROR(VLOOKUP(B479,'Pre-Summary'!$Y$6:$AC$83, 3,FALSE),"")</f>
        <v/>
      </c>
      <c r="U479" s="45" t="str">
        <f>IFERROR(VLOOKUP(B479,'Pre-Summary'!$Y$6:$AC$83, 4,FALSE),"")</f>
        <v/>
      </c>
      <c r="V479" t="str">
        <f>IFERROR(VLOOKUP(B479,'Pre-Summary'!$Y$6:$AC$83, 5,FALSE),"")</f>
        <v/>
      </c>
      <c r="W479" s="45" t="str">
        <f>IFERROR(VLOOKUP(B479,'Pre-Summary'!$Y$6:$AD$83,6,FALSE),"")</f>
        <v/>
      </c>
      <c r="X479" t="str">
        <f>IFERROR(VLOOKUP('Pre-Summary'!$DB$6:$DD$63,3,FALSE),"")</f>
        <v/>
      </c>
      <c r="Y479" t="str">
        <f>IFERROR(VLOOKUP(B479,'Pre-Summary'!$CR$6:$CT$36,3,FALSE),"")</f>
        <v/>
      </c>
      <c r="Z479" s="45" t="str">
        <f>IFERROR(VLOOKUP(B479,'Pre-Summary'!$BZ$6:$CB$63,2,FALSE),"")</f>
        <v/>
      </c>
      <c r="AA479" s="45" t="str">
        <f>IFERROR(VLOOKUP(B479,'Pre-Summary'!$CG$6:$CI$70,2,FALSE),"")</f>
        <v/>
      </c>
      <c r="AB479" s="99">
        <f>IFERROR(VLOOKUP(B479,'Pre-Summary'!$A$6:$P$178,9,FALSE),AB480)</f>
        <v>0.54933613431406059</v>
      </c>
      <c r="AC479" s="10">
        <f>IFERROR(VLOOKUP(Summary!B479,'Pre-Summary'!$A$6:$P$184,5, FALSE)/100,AC480)</f>
        <v>0.50395600000000007</v>
      </c>
      <c r="AD479" s="10">
        <f>IFERROR(VLOOKUP(Summary!B479,'Pre-Summary'!$A$6:$P$184,3, FALSE)/100,AD480)</f>
        <v>0.48541899999999999</v>
      </c>
      <c r="AE479" s="10">
        <f>IFERROR(VLOOKUP(Summary!B479,'Pre-Summary'!$A$6:$P$184,7, FALSE)/100,AE480)</f>
        <v>1.0624666666666666E-2</v>
      </c>
      <c r="AF479" s="99">
        <f t="shared" si="22"/>
        <v>0.26665819698259696</v>
      </c>
      <c r="AG479" s="99">
        <f t="shared" si="23"/>
        <v>5.8365133150421224E-3</v>
      </c>
      <c r="AH479" s="10" t="str">
        <f>IFERROR(VLOOKUP(B479,'Pre-Summary'!$AZ$6:$BE$65,3,FALSE),"")</f>
        <v/>
      </c>
      <c r="AI479" s="10" t="str">
        <f>IFERROR(VLOOKUP(B479,'Pre-Summary'!$AZ$6:$BE$65,5,FALSE),"")</f>
        <v/>
      </c>
      <c r="AJ479" s="10" t="str">
        <f>IFERROR(VLOOKUP(B479,'Pre-Summary'!$AZ$6:$BE$65,4,FALSE),"")</f>
        <v/>
      </c>
      <c r="AK479" s="10" t="str">
        <f>IFERROR(VLOOKUP(B479,'Pre-Summary'!$AZ$6:$BE$65,6,FALSE),"")</f>
        <v/>
      </c>
      <c r="AL479" s="10" t="str">
        <f>IFERROR(VLOOKUP(B479,'Pre-Summary'!$BG$6:$BL$44,3,FALSE),"")</f>
        <v/>
      </c>
      <c r="AM479" s="10" t="str">
        <f>IFERROR(VLOOKUP(B479,'Pre-Summary'!$BG$6:$BL$44,4,FALSE),"")</f>
        <v/>
      </c>
    </row>
    <row r="480" spans="2:39" ht="15" customHeight="1" x14ac:dyDescent="0.3">
      <c r="B480">
        <v>47.7</v>
      </c>
      <c r="C480" t="str">
        <f>IFERROR(VLOOKUP(B480,'Pre-Summary'!$DI$6:$DM$23,4,FALSE),"")</f>
        <v/>
      </c>
      <c r="D480" s="10" t="str">
        <f>IFERROR(VLOOKUP(B480,'Pre-Summary'!$AT$6:$AX$14,5,FALSE),D479)</f>
        <v>DSMZ v2: Dropped Na-Ac out of DSMZ 120 media</v>
      </c>
      <c r="E480" s="10" t="str">
        <f>IFERROR(VLOOKUP(B480,'Pre-Summary'!$AT$6:$AX$15,4,FALSE),"")</f>
        <v/>
      </c>
      <c r="F480">
        <f>IFERROR(VLOOKUP(B480,'Pre-Summary'!$AL$6:$AQ$13,6,FALSE),F479)</f>
        <v>5.9405263157894746E-2</v>
      </c>
      <c r="G480" t="str">
        <f>IFERROR(VLOOKUP(B480,'Pre-Summary'!$AE$6:$AJ$85,3,FALSE),"")</f>
        <v/>
      </c>
      <c r="H480" t="str">
        <f>IFERROR(VLOOKUP(B480,'Pre-Summary'!$AE$6:$AJ$85,4,FALSE),"")</f>
        <v/>
      </c>
      <c r="I480" t="str">
        <f>IFERROR(VLOOKUP(B480,'Pre-Summary'!$AE$6:$AJ$85,5,FALSE),"")</f>
        <v/>
      </c>
      <c r="J480" s="45" t="str">
        <f>IFERROR(VLOOKUP(B480,'Pre-Summary'!$AE$6:$AJ$85,6, FALSE),"")</f>
        <v/>
      </c>
      <c r="K480" s="45" t="str">
        <f>IFERROR(VLOOKUP(B480,'Pre-Summary'!$DE$6:$DG$61,3,FALSE),"")</f>
        <v/>
      </c>
      <c r="L480" s="45" t="str">
        <f>IFERROR(VLOOKUP(B480,'Pre-Summary'!$CU$6:$CW$36,3,FALSE),"")</f>
        <v/>
      </c>
      <c r="M480" s="45" t="str">
        <f>IFERROR(VLOOKUP(B480,'Pre-Summary'!$BW$6:$BY$58,2,FALSE),"")</f>
        <v/>
      </c>
      <c r="N480" s="45" t="str">
        <f>IFERROR(VLOOKUP(B480,'Pre-Summary'!$CD$6:$CF$64,2,FALSE),"")</f>
        <v/>
      </c>
      <c r="O480" s="99">
        <f>IFERROR(VLOOKUP(B480,'Pre-Summary'!$BO$6:$BQ$48,3, FALSE),O479)</f>
        <v>1.0915248032216731</v>
      </c>
      <c r="P480" s="99">
        <f>IFERROR(VLOOKUP(B480,'Pre-Summary'!$BS$6:$BU$35,3,FALSE),P479)</f>
        <v>0.25</v>
      </c>
      <c r="Q480" s="54">
        <f t="shared" si="21"/>
        <v>4.3660992128866924</v>
      </c>
      <c r="R480" s="53">
        <f>IFERROR(VLOOKUP(B480,'Pre-Summary'!$BG$6:$BM$44,7,FALSE),R481)</f>
        <v>7.5915763918363535E-2</v>
      </c>
      <c r="S480" s="53">
        <f>IFERROR(VLOOKUP(B480,'Pre-Summary'!$BG$6:$BM$44,6,FALSE),S481)</f>
        <v>5.2897473997019086E-2</v>
      </c>
      <c r="T480" s="45" t="str">
        <f>IFERROR(VLOOKUP(B480,'Pre-Summary'!$Y$6:$AC$83, 3,FALSE),"")</f>
        <v/>
      </c>
      <c r="U480" s="45" t="str">
        <f>IFERROR(VLOOKUP(B480,'Pre-Summary'!$Y$6:$AC$83, 4,FALSE),"")</f>
        <v/>
      </c>
      <c r="V480" t="str">
        <f>IFERROR(VLOOKUP(B480,'Pre-Summary'!$Y$6:$AC$83, 5,FALSE),"")</f>
        <v/>
      </c>
      <c r="W480" s="45" t="str">
        <f>IFERROR(VLOOKUP(B480,'Pre-Summary'!$Y$6:$AD$83,6,FALSE),"")</f>
        <v/>
      </c>
      <c r="X480" t="str">
        <f>IFERROR(VLOOKUP('Pre-Summary'!$DB$6:$DD$63,3,FALSE),"")</f>
        <v/>
      </c>
      <c r="Y480" t="str">
        <f>IFERROR(VLOOKUP(B480,'Pre-Summary'!$CR$6:$CT$36,3,FALSE),"")</f>
        <v/>
      </c>
      <c r="Z480" s="45" t="str">
        <f>IFERROR(VLOOKUP(B480,'Pre-Summary'!$BZ$6:$CB$63,2,FALSE),"")</f>
        <v/>
      </c>
      <c r="AA480" s="45" t="str">
        <f>IFERROR(VLOOKUP(B480,'Pre-Summary'!$CG$6:$CI$70,2,FALSE),"")</f>
        <v/>
      </c>
      <c r="AB480" s="99">
        <f>IFERROR(VLOOKUP(B480,'Pre-Summary'!$A$6:$P$178,9,FALSE),AB481)</f>
        <v>0.54933613431406059</v>
      </c>
      <c r="AC480" s="10">
        <f>IFERROR(VLOOKUP(Summary!B480,'Pre-Summary'!$A$6:$P$184,5, FALSE)/100,AC481)</f>
        <v>0.50395600000000007</v>
      </c>
      <c r="AD480" s="10">
        <f>IFERROR(VLOOKUP(Summary!B480,'Pre-Summary'!$A$6:$P$184,3, FALSE)/100,AD481)</f>
        <v>0.48541899999999999</v>
      </c>
      <c r="AE480" s="10">
        <f>IFERROR(VLOOKUP(Summary!B480,'Pre-Summary'!$A$6:$P$184,7, FALSE)/100,AE481)</f>
        <v>1.0624666666666666E-2</v>
      </c>
      <c r="AF480" s="99">
        <f t="shared" si="22"/>
        <v>0.26665819698259696</v>
      </c>
      <c r="AG480" s="99">
        <f t="shared" si="23"/>
        <v>5.8365133150421224E-3</v>
      </c>
      <c r="AH480" s="10" t="str">
        <f>IFERROR(VLOOKUP(B480,'Pre-Summary'!$AZ$6:$BE$65,3,FALSE),"")</f>
        <v/>
      </c>
      <c r="AI480" s="10" t="str">
        <f>IFERROR(VLOOKUP(B480,'Pre-Summary'!$AZ$6:$BE$65,5,FALSE),"")</f>
        <v/>
      </c>
      <c r="AJ480" s="10" t="str">
        <f>IFERROR(VLOOKUP(B480,'Pre-Summary'!$AZ$6:$BE$65,4,FALSE),"")</f>
        <v/>
      </c>
      <c r="AK480" s="10" t="str">
        <f>IFERROR(VLOOKUP(B480,'Pre-Summary'!$AZ$6:$BE$65,6,FALSE),"")</f>
        <v/>
      </c>
      <c r="AL480" s="10" t="str">
        <f>IFERROR(VLOOKUP(B480,'Pre-Summary'!$BG$6:$BL$44,3,FALSE),"")</f>
        <v/>
      </c>
      <c r="AM480" s="10" t="str">
        <f>IFERROR(VLOOKUP(B480,'Pre-Summary'!$BG$6:$BL$44,4,FALSE),"")</f>
        <v/>
      </c>
    </row>
    <row r="481" spans="2:39" ht="15" customHeight="1" x14ac:dyDescent="0.3">
      <c r="B481">
        <v>47.8</v>
      </c>
      <c r="C481" t="str">
        <f>IFERROR(VLOOKUP(B481,'Pre-Summary'!$DI$6:$DM$23,4,FALSE),"")</f>
        <v/>
      </c>
      <c r="D481" s="10" t="str">
        <f>IFERROR(VLOOKUP(B481,'Pre-Summary'!$AT$6:$AX$14,5,FALSE),D480)</f>
        <v>DSMZ v2: Dropped Na-Ac out of DSMZ 120 media</v>
      </c>
      <c r="E481" s="10" t="str">
        <f>IFERROR(VLOOKUP(B481,'Pre-Summary'!$AT$6:$AX$15,4,FALSE),"")</f>
        <v/>
      </c>
      <c r="F481">
        <f>IFERROR(VLOOKUP(B481,'Pre-Summary'!$AL$6:$AQ$13,6,FALSE),F480)</f>
        <v>5.9405263157894746E-2</v>
      </c>
      <c r="G481" t="str">
        <f>IFERROR(VLOOKUP(B481,'Pre-Summary'!$AE$6:$AJ$85,3,FALSE),"")</f>
        <v/>
      </c>
      <c r="H481" t="str">
        <f>IFERROR(VLOOKUP(B481,'Pre-Summary'!$AE$6:$AJ$85,4,FALSE),"")</f>
        <v/>
      </c>
      <c r="I481" t="str">
        <f>IFERROR(VLOOKUP(B481,'Pre-Summary'!$AE$6:$AJ$85,5,FALSE),"")</f>
        <v/>
      </c>
      <c r="J481" s="45" t="str">
        <f>IFERROR(VLOOKUP(B481,'Pre-Summary'!$AE$6:$AJ$85,6, FALSE),"")</f>
        <v/>
      </c>
      <c r="K481" s="45" t="str">
        <f>IFERROR(VLOOKUP(B481,'Pre-Summary'!$DE$6:$DG$61,3,FALSE),"")</f>
        <v/>
      </c>
      <c r="L481" s="45" t="str">
        <f>IFERROR(VLOOKUP(B481,'Pre-Summary'!$CU$6:$CW$36,3,FALSE),"")</f>
        <v/>
      </c>
      <c r="M481" s="45" t="str">
        <f>IFERROR(VLOOKUP(B481,'Pre-Summary'!$BW$6:$BY$58,2,FALSE),"")</f>
        <v/>
      </c>
      <c r="N481" s="45" t="str">
        <f>IFERROR(VLOOKUP(B481,'Pre-Summary'!$CD$6:$CF$64,2,FALSE),"")</f>
        <v/>
      </c>
      <c r="O481" s="99">
        <f>IFERROR(VLOOKUP(B481,'Pre-Summary'!$BO$6:$BQ$48,3, FALSE),O480)</f>
        <v>1.0915248032216731</v>
      </c>
      <c r="P481" s="99">
        <f>IFERROR(VLOOKUP(B481,'Pre-Summary'!$BS$6:$BU$35,3,FALSE),P480)</f>
        <v>0.25</v>
      </c>
      <c r="Q481" s="54">
        <f t="shared" si="21"/>
        <v>4.3660992128866924</v>
      </c>
      <c r="R481" s="53">
        <f>IFERROR(VLOOKUP(B481,'Pre-Summary'!$BG$6:$BM$44,7,FALSE),R482)</f>
        <v>7.5915763918363535E-2</v>
      </c>
      <c r="S481" s="53">
        <f>IFERROR(VLOOKUP(B481,'Pre-Summary'!$BG$6:$BM$44,6,FALSE),S482)</f>
        <v>5.2897473997019086E-2</v>
      </c>
      <c r="T481" s="45" t="str">
        <f>IFERROR(VLOOKUP(B481,'Pre-Summary'!$Y$6:$AC$83, 3,FALSE),"")</f>
        <v/>
      </c>
      <c r="U481" s="45" t="str">
        <f>IFERROR(VLOOKUP(B481,'Pre-Summary'!$Y$6:$AC$83, 4,FALSE),"")</f>
        <v/>
      </c>
      <c r="V481" t="str">
        <f>IFERROR(VLOOKUP(B481,'Pre-Summary'!$Y$6:$AC$83, 5,FALSE),"")</f>
        <v/>
      </c>
      <c r="W481" s="45" t="str">
        <f>IFERROR(VLOOKUP(B481,'Pre-Summary'!$Y$6:$AD$83,6,FALSE),"")</f>
        <v/>
      </c>
      <c r="X481" t="str">
        <f>IFERROR(VLOOKUP('Pre-Summary'!$DB$6:$DD$63,3,FALSE),"")</f>
        <v/>
      </c>
      <c r="Y481" t="str">
        <f>IFERROR(VLOOKUP(B481,'Pre-Summary'!$CR$6:$CT$36,3,FALSE),"")</f>
        <v/>
      </c>
      <c r="Z481" s="45" t="str">
        <f>IFERROR(VLOOKUP(B481,'Pre-Summary'!$BZ$6:$CB$63,2,FALSE),"")</f>
        <v/>
      </c>
      <c r="AA481" s="45" t="str">
        <f>IFERROR(VLOOKUP(B481,'Pre-Summary'!$CG$6:$CI$70,2,FALSE),"")</f>
        <v/>
      </c>
      <c r="AB481" s="99">
        <f>IFERROR(VLOOKUP(B481,'Pre-Summary'!$A$6:$P$178,9,FALSE),AB482)</f>
        <v>0.54933613431406059</v>
      </c>
      <c r="AC481" s="10">
        <f>IFERROR(VLOOKUP(Summary!B481,'Pre-Summary'!$A$6:$P$184,5, FALSE)/100,AC482)</f>
        <v>0.50395600000000007</v>
      </c>
      <c r="AD481" s="10">
        <f>IFERROR(VLOOKUP(Summary!B481,'Pre-Summary'!$A$6:$P$184,3, FALSE)/100,AD482)</f>
        <v>0.48541899999999999</v>
      </c>
      <c r="AE481" s="10">
        <f>IFERROR(VLOOKUP(Summary!B481,'Pre-Summary'!$A$6:$P$184,7, FALSE)/100,AE482)</f>
        <v>1.0624666666666666E-2</v>
      </c>
      <c r="AF481" s="99">
        <f t="shared" si="22"/>
        <v>0.26665819698259696</v>
      </c>
      <c r="AG481" s="99">
        <f t="shared" si="23"/>
        <v>5.8365133150421224E-3</v>
      </c>
      <c r="AH481" s="10" t="str">
        <f>IFERROR(VLOOKUP(B481,'Pre-Summary'!$AZ$6:$BE$65,3,FALSE),"")</f>
        <v/>
      </c>
      <c r="AI481" s="10" t="str">
        <f>IFERROR(VLOOKUP(B481,'Pre-Summary'!$AZ$6:$BE$65,5,FALSE),"")</f>
        <v/>
      </c>
      <c r="AJ481" s="10" t="str">
        <f>IFERROR(VLOOKUP(B481,'Pre-Summary'!$AZ$6:$BE$65,4,FALSE),"")</f>
        <v/>
      </c>
      <c r="AK481" s="10" t="str">
        <f>IFERROR(VLOOKUP(B481,'Pre-Summary'!$AZ$6:$BE$65,6,FALSE),"")</f>
        <v/>
      </c>
      <c r="AL481" s="10" t="str">
        <f>IFERROR(VLOOKUP(B481,'Pre-Summary'!$BG$6:$BL$44,3,FALSE),"")</f>
        <v/>
      </c>
      <c r="AM481" s="10" t="str">
        <f>IFERROR(VLOOKUP(B481,'Pre-Summary'!$BG$6:$BL$44,4,FALSE),"")</f>
        <v/>
      </c>
    </row>
    <row r="482" spans="2:39" ht="15" customHeight="1" x14ac:dyDescent="0.3">
      <c r="B482">
        <v>47.9</v>
      </c>
      <c r="C482" t="str">
        <f>IFERROR(VLOOKUP(B482,'Pre-Summary'!$DI$6:$DM$23,4,FALSE),"")</f>
        <v/>
      </c>
      <c r="D482" s="10" t="str">
        <f>IFERROR(VLOOKUP(B482,'Pre-Summary'!$AT$6:$AX$14,5,FALSE),D481)</f>
        <v>DSMZ v2: Dropped Na-Ac out of DSMZ 120 media</v>
      </c>
      <c r="E482" s="10" t="str">
        <f>IFERROR(VLOOKUP(B482,'Pre-Summary'!$AT$6:$AX$15,4,FALSE),"")</f>
        <v/>
      </c>
      <c r="F482">
        <f>IFERROR(VLOOKUP(B482,'Pre-Summary'!$AL$6:$AQ$13,6,FALSE),F481)</f>
        <v>5.9405263157894746E-2</v>
      </c>
      <c r="G482" t="str">
        <f>IFERROR(VLOOKUP(B482,'Pre-Summary'!$AE$6:$AJ$85,3,FALSE),"")</f>
        <v/>
      </c>
      <c r="H482" t="str">
        <f>IFERROR(VLOOKUP(B482,'Pre-Summary'!$AE$6:$AJ$85,4,FALSE),"")</f>
        <v/>
      </c>
      <c r="I482" t="str">
        <f>IFERROR(VLOOKUP(B482,'Pre-Summary'!$AE$6:$AJ$85,5,FALSE),"")</f>
        <v/>
      </c>
      <c r="J482" s="45" t="str">
        <f>IFERROR(VLOOKUP(B482,'Pre-Summary'!$AE$6:$AJ$85,6, FALSE),"")</f>
        <v/>
      </c>
      <c r="K482" s="45" t="str">
        <f>IFERROR(VLOOKUP(B482,'Pre-Summary'!$DE$6:$DG$61,3,FALSE),"")</f>
        <v/>
      </c>
      <c r="L482" s="45" t="str">
        <f>IFERROR(VLOOKUP(B482,'Pre-Summary'!$CU$6:$CW$36,3,FALSE),"")</f>
        <v/>
      </c>
      <c r="M482" s="45" t="str">
        <f>IFERROR(VLOOKUP(B482,'Pre-Summary'!$BW$6:$BY$58,2,FALSE),"")</f>
        <v/>
      </c>
      <c r="N482" s="45" t="str">
        <f>IFERROR(VLOOKUP(B482,'Pre-Summary'!$CD$6:$CF$64,2,FALSE),"")</f>
        <v/>
      </c>
      <c r="O482" s="99">
        <f>IFERROR(VLOOKUP(B482,'Pre-Summary'!$BO$6:$BQ$48,3, FALSE),O481)</f>
        <v>1.0915248032216731</v>
      </c>
      <c r="P482" s="99">
        <f>IFERROR(VLOOKUP(B482,'Pre-Summary'!$BS$6:$BU$35,3,FALSE),P481)</f>
        <v>0.25</v>
      </c>
      <c r="Q482" s="54">
        <f t="shared" si="21"/>
        <v>4.3660992128866924</v>
      </c>
      <c r="R482" s="53">
        <f>IFERROR(VLOOKUP(B482,'Pre-Summary'!$BG$6:$BM$44,7,FALSE),R483)</f>
        <v>7.5915763918363535E-2</v>
      </c>
      <c r="S482" s="53">
        <f>IFERROR(VLOOKUP(B482,'Pre-Summary'!$BG$6:$BM$44,6,FALSE),S483)</f>
        <v>5.2897473997019086E-2</v>
      </c>
      <c r="T482" s="45" t="str">
        <f>IFERROR(VLOOKUP(B482,'Pre-Summary'!$Y$6:$AC$83, 3,FALSE),"")</f>
        <v/>
      </c>
      <c r="U482" s="45" t="str">
        <f>IFERROR(VLOOKUP(B482,'Pre-Summary'!$Y$6:$AC$83, 4,FALSE),"")</f>
        <v/>
      </c>
      <c r="V482" t="str">
        <f>IFERROR(VLOOKUP(B482,'Pre-Summary'!$Y$6:$AC$83, 5,FALSE),"")</f>
        <v/>
      </c>
      <c r="W482" s="45" t="str">
        <f>IFERROR(VLOOKUP(B482,'Pre-Summary'!$Y$6:$AD$83,6,FALSE),"")</f>
        <v/>
      </c>
      <c r="X482" t="str">
        <f>IFERROR(VLOOKUP('Pre-Summary'!$DB$6:$DD$63,3,FALSE),"")</f>
        <v/>
      </c>
      <c r="Y482" t="str">
        <f>IFERROR(VLOOKUP(B482,'Pre-Summary'!$CR$6:$CT$36,3,FALSE),"")</f>
        <v/>
      </c>
      <c r="Z482" s="45" t="str">
        <f>IFERROR(VLOOKUP(B482,'Pre-Summary'!$BZ$6:$CB$63,2,FALSE),"")</f>
        <v/>
      </c>
      <c r="AA482" s="45" t="str">
        <f>IFERROR(VLOOKUP(B482,'Pre-Summary'!$CG$6:$CI$70,2,FALSE),"")</f>
        <v/>
      </c>
      <c r="AB482" s="99">
        <f>IFERROR(VLOOKUP(B482,'Pre-Summary'!$A$6:$P$178,9,FALSE),AB483)</f>
        <v>0.54933613431406059</v>
      </c>
      <c r="AC482" s="10">
        <f>IFERROR(VLOOKUP(Summary!B482,'Pre-Summary'!$A$6:$P$184,5, FALSE)/100,AC483)</f>
        <v>0.50395600000000007</v>
      </c>
      <c r="AD482" s="10">
        <f>IFERROR(VLOOKUP(Summary!B482,'Pre-Summary'!$A$6:$P$184,3, FALSE)/100,AD483)</f>
        <v>0.48541899999999999</v>
      </c>
      <c r="AE482" s="10">
        <f>IFERROR(VLOOKUP(Summary!B482,'Pre-Summary'!$A$6:$P$184,7, FALSE)/100,AE483)</f>
        <v>1.0624666666666666E-2</v>
      </c>
      <c r="AF482" s="99">
        <f t="shared" si="22"/>
        <v>0.26665819698259696</v>
      </c>
      <c r="AG482" s="99">
        <f t="shared" si="23"/>
        <v>5.8365133150421224E-3</v>
      </c>
      <c r="AH482" s="10" t="str">
        <f>IFERROR(VLOOKUP(B482,'Pre-Summary'!$AZ$6:$BE$65,3,FALSE),"")</f>
        <v/>
      </c>
      <c r="AI482" s="10" t="str">
        <f>IFERROR(VLOOKUP(B482,'Pre-Summary'!$AZ$6:$BE$65,5,FALSE),"")</f>
        <v/>
      </c>
      <c r="AJ482" s="10" t="str">
        <f>IFERROR(VLOOKUP(B482,'Pre-Summary'!$AZ$6:$BE$65,4,FALSE),"")</f>
        <v/>
      </c>
      <c r="AK482" s="10" t="str">
        <f>IFERROR(VLOOKUP(B482,'Pre-Summary'!$AZ$6:$BE$65,6,FALSE),"")</f>
        <v/>
      </c>
      <c r="AL482" s="10" t="str">
        <f>IFERROR(VLOOKUP(B482,'Pre-Summary'!$BG$6:$BL$44,3,FALSE),"")</f>
        <v/>
      </c>
      <c r="AM482" s="10" t="str">
        <f>IFERROR(VLOOKUP(B482,'Pre-Summary'!$BG$6:$BL$44,4,FALSE),"")</f>
        <v/>
      </c>
    </row>
    <row r="483" spans="2:39" ht="15" customHeight="1" x14ac:dyDescent="0.3">
      <c r="B483">
        <v>48</v>
      </c>
      <c r="C483" t="str">
        <f>IFERROR(VLOOKUP(B483,'Pre-Summary'!$DI$6:$DM$23,4,FALSE),"")</f>
        <v/>
      </c>
      <c r="D483" s="10" t="str">
        <f>IFERROR(VLOOKUP(B483,'Pre-Summary'!$AT$6:$AX$14,5,FALSE),D482)</f>
        <v>DSMZ v2: Dropped Na-Ac out of DSMZ 120 media</v>
      </c>
      <c r="E483" s="10" t="str">
        <f>IFERROR(VLOOKUP(B483,'Pre-Summary'!$AT$6:$AX$15,4,FALSE),"")</f>
        <v/>
      </c>
      <c r="F483">
        <f>IFERROR(VLOOKUP(B483,'Pre-Summary'!$AL$6:$AQ$13,6,FALSE),F482)</f>
        <v>5.9405263157894746E-2</v>
      </c>
      <c r="G483" t="str">
        <f>IFERROR(VLOOKUP(B483,'Pre-Summary'!$AE$6:$AJ$85,3,FALSE),"")</f>
        <v/>
      </c>
      <c r="H483" t="str">
        <f>IFERROR(VLOOKUP(B483,'Pre-Summary'!$AE$6:$AJ$85,4,FALSE),"")</f>
        <v/>
      </c>
      <c r="I483" t="str">
        <f>IFERROR(VLOOKUP(B483,'Pre-Summary'!$AE$6:$AJ$85,5,FALSE),"")</f>
        <v/>
      </c>
      <c r="J483" s="45" t="str">
        <f>IFERROR(VLOOKUP(B483,'Pre-Summary'!$AE$6:$AJ$85,6, FALSE),"")</f>
        <v/>
      </c>
      <c r="K483" s="45" t="str">
        <f>IFERROR(VLOOKUP(B483,'Pre-Summary'!$DE$6:$DG$61,3,FALSE),"")</f>
        <v/>
      </c>
      <c r="L483" s="45" t="str">
        <f>IFERROR(VLOOKUP(B483,'Pre-Summary'!$CU$6:$CW$36,3,FALSE),"")</f>
        <v/>
      </c>
      <c r="M483" s="45" t="str">
        <f>IFERROR(VLOOKUP(B483,'Pre-Summary'!$BW$6:$BY$58,2,FALSE),"")</f>
        <v/>
      </c>
      <c r="N483" s="45" t="str">
        <f>IFERROR(VLOOKUP(B483,'Pre-Summary'!$CD$6:$CF$64,2,FALSE),"")</f>
        <v/>
      </c>
      <c r="O483" s="99">
        <f>IFERROR(VLOOKUP(B483,'Pre-Summary'!$BO$6:$BQ$48,3, FALSE),O482)</f>
        <v>1.0915248032216731</v>
      </c>
      <c r="P483" s="99">
        <f>IFERROR(VLOOKUP(B483,'Pre-Summary'!$BS$6:$BU$35,3,FALSE),P482)</f>
        <v>0.25</v>
      </c>
      <c r="Q483" s="54">
        <f t="shared" si="21"/>
        <v>4.3660992128866924</v>
      </c>
      <c r="R483" s="53">
        <f>IFERROR(VLOOKUP(B483,'Pre-Summary'!$BG$6:$BM$44,7,FALSE),R484)</f>
        <v>7.5915763918363535E-2</v>
      </c>
      <c r="S483" s="53">
        <f>IFERROR(VLOOKUP(B483,'Pre-Summary'!$BG$6:$BM$44,6,FALSE),S484)</f>
        <v>5.2897473997019086E-2</v>
      </c>
      <c r="T483" s="45" t="str">
        <f>IFERROR(VLOOKUP(B483,'Pre-Summary'!$Y$6:$AC$83, 3,FALSE),"")</f>
        <v/>
      </c>
      <c r="U483" s="45" t="str">
        <f>IFERROR(VLOOKUP(B483,'Pre-Summary'!$Y$6:$AC$83, 4,FALSE),"")</f>
        <v/>
      </c>
      <c r="V483" t="str">
        <f>IFERROR(VLOOKUP(B483,'Pre-Summary'!$Y$6:$AC$83, 5,FALSE),"")</f>
        <v/>
      </c>
      <c r="W483" s="45" t="str">
        <f>IFERROR(VLOOKUP(B483,'Pre-Summary'!$Y$6:$AD$83,6,FALSE),"")</f>
        <v/>
      </c>
      <c r="X483" t="str">
        <f>IFERROR(VLOOKUP('Pre-Summary'!$DB$6:$DD$63,3,FALSE),"")</f>
        <v/>
      </c>
      <c r="Y483" t="str">
        <f>IFERROR(VLOOKUP(B483,'Pre-Summary'!$CR$6:$CT$36,3,FALSE),"")</f>
        <v/>
      </c>
      <c r="Z483" s="45" t="str">
        <f>IFERROR(VLOOKUP(B483,'Pre-Summary'!$BZ$6:$CB$63,2,FALSE),"")</f>
        <v/>
      </c>
      <c r="AA483" s="45" t="str">
        <f>IFERROR(VLOOKUP(B483,'Pre-Summary'!$CG$6:$CI$70,2,FALSE),"")</f>
        <v/>
      </c>
      <c r="AB483" s="99">
        <f>IFERROR(VLOOKUP(B483,'Pre-Summary'!$A$6:$P$178,9,FALSE),AB484)</f>
        <v>0.54933613431406059</v>
      </c>
      <c r="AC483" s="10">
        <f>IFERROR(VLOOKUP(Summary!B483,'Pre-Summary'!$A$6:$P$184,5, FALSE)/100,AC484)</f>
        <v>0.50395600000000007</v>
      </c>
      <c r="AD483" s="10">
        <f>IFERROR(VLOOKUP(Summary!B483,'Pre-Summary'!$A$6:$P$184,3, FALSE)/100,AD484)</f>
        <v>0.48541899999999999</v>
      </c>
      <c r="AE483" s="10">
        <f>IFERROR(VLOOKUP(Summary!B483,'Pre-Summary'!$A$6:$P$184,7, FALSE)/100,AE484)</f>
        <v>1.0624666666666666E-2</v>
      </c>
      <c r="AF483" s="99">
        <f t="shared" si="22"/>
        <v>0.26665819698259696</v>
      </c>
      <c r="AG483" s="99">
        <f t="shared" si="23"/>
        <v>5.8365133150421224E-3</v>
      </c>
      <c r="AH483" s="10" t="str">
        <f>IFERROR(VLOOKUP(B483,'Pre-Summary'!$AZ$6:$BE$65,3,FALSE),"")</f>
        <v/>
      </c>
      <c r="AI483" s="10" t="str">
        <f>IFERROR(VLOOKUP(B483,'Pre-Summary'!$AZ$6:$BE$65,5,FALSE),"")</f>
        <v/>
      </c>
      <c r="AJ483" s="10" t="str">
        <f>IFERROR(VLOOKUP(B483,'Pre-Summary'!$AZ$6:$BE$65,4,FALSE),"")</f>
        <v/>
      </c>
      <c r="AK483" s="10" t="str">
        <f>IFERROR(VLOOKUP(B483,'Pre-Summary'!$AZ$6:$BE$65,6,FALSE),"")</f>
        <v/>
      </c>
      <c r="AL483" s="10" t="str">
        <f>IFERROR(VLOOKUP(B483,'Pre-Summary'!$BG$6:$BL$44,3,FALSE),"")</f>
        <v/>
      </c>
      <c r="AM483" s="10" t="str">
        <f>IFERROR(VLOOKUP(B483,'Pre-Summary'!$BG$6:$BL$44,4,FALSE),"")</f>
        <v/>
      </c>
    </row>
    <row r="484" spans="2:39" ht="15" customHeight="1" x14ac:dyDescent="0.3">
      <c r="B484">
        <v>48.1</v>
      </c>
      <c r="C484" t="str">
        <f>IFERROR(VLOOKUP(B484,'Pre-Summary'!$DI$6:$DM$23,4,FALSE),"")</f>
        <v/>
      </c>
      <c r="D484" s="10" t="str">
        <f>IFERROR(VLOOKUP(B484,'Pre-Summary'!$AT$6:$AX$14,5,FALSE),D483)</f>
        <v>DSMZ v2: Dropped Na-Ac out of DSMZ 120 media</v>
      </c>
      <c r="E484" s="10" t="str">
        <f>IFERROR(VLOOKUP(B484,'Pre-Summary'!$AT$6:$AX$15,4,FALSE),"")</f>
        <v/>
      </c>
      <c r="F484">
        <f>IFERROR(VLOOKUP(B484,'Pre-Summary'!$AL$6:$AQ$13,6,FALSE),F483)</f>
        <v>5.9405263157894746E-2</v>
      </c>
      <c r="G484" t="str">
        <f>IFERROR(VLOOKUP(B484,'Pre-Summary'!$AE$6:$AJ$85,3,FALSE),"")</f>
        <v/>
      </c>
      <c r="H484" t="str">
        <f>IFERROR(VLOOKUP(B484,'Pre-Summary'!$AE$6:$AJ$85,4,FALSE),"")</f>
        <v/>
      </c>
      <c r="I484" t="str">
        <f>IFERROR(VLOOKUP(B484,'Pre-Summary'!$AE$6:$AJ$85,5,FALSE),"")</f>
        <v/>
      </c>
      <c r="J484" s="45" t="str">
        <f>IFERROR(VLOOKUP(B484,'Pre-Summary'!$AE$6:$AJ$85,6, FALSE),"")</f>
        <v/>
      </c>
      <c r="K484" s="45" t="str">
        <f>IFERROR(VLOOKUP(B484,'Pre-Summary'!$DE$6:$DG$61,3,FALSE),"")</f>
        <v/>
      </c>
      <c r="L484" s="45" t="str">
        <f>IFERROR(VLOOKUP(B484,'Pre-Summary'!$CU$6:$CW$36,3,FALSE),"")</f>
        <v/>
      </c>
      <c r="M484" s="45" t="str">
        <f>IFERROR(VLOOKUP(B484,'Pre-Summary'!$BW$6:$BY$58,2,FALSE),"")</f>
        <v/>
      </c>
      <c r="N484" s="45" t="str">
        <f>IFERROR(VLOOKUP(B484,'Pre-Summary'!$CD$6:$CF$64,2,FALSE),"")</f>
        <v/>
      </c>
      <c r="O484" s="99">
        <f>IFERROR(VLOOKUP(B484,'Pre-Summary'!$BO$6:$BQ$48,3, FALSE),O483)</f>
        <v>1.0915248032216731</v>
      </c>
      <c r="P484" s="99">
        <f>IFERROR(VLOOKUP(B484,'Pre-Summary'!$BS$6:$BU$35,3,FALSE),P483)</f>
        <v>0.25</v>
      </c>
      <c r="Q484" s="54">
        <f t="shared" si="21"/>
        <v>4.3660992128866924</v>
      </c>
      <c r="R484" s="53">
        <f>IFERROR(VLOOKUP(B484,'Pre-Summary'!$BG$6:$BM$44,7,FALSE),R485)</f>
        <v>7.5915763918363535E-2</v>
      </c>
      <c r="S484" s="53">
        <f>IFERROR(VLOOKUP(B484,'Pre-Summary'!$BG$6:$BM$44,6,FALSE),S485)</f>
        <v>5.2897473997019086E-2</v>
      </c>
      <c r="T484" s="45" t="str">
        <f>IFERROR(VLOOKUP(B484,'Pre-Summary'!$Y$6:$AC$83, 3,FALSE),"")</f>
        <v/>
      </c>
      <c r="U484" s="45" t="str">
        <f>IFERROR(VLOOKUP(B484,'Pre-Summary'!$Y$6:$AC$83, 4,FALSE),"")</f>
        <v/>
      </c>
      <c r="V484" t="str">
        <f>IFERROR(VLOOKUP(B484,'Pre-Summary'!$Y$6:$AC$83, 5,FALSE),"")</f>
        <v/>
      </c>
      <c r="W484" s="45" t="str">
        <f>IFERROR(VLOOKUP(B484,'Pre-Summary'!$Y$6:$AD$83,6,FALSE),"")</f>
        <v/>
      </c>
      <c r="X484" t="str">
        <f>IFERROR(VLOOKUP('Pre-Summary'!$DB$6:$DD$63,3,FALSE),"")</f>
        <v/>
      </c>
      <c r="Y484" t="str">
        <f>IFERROR(VLOOKUP(B484,'Pre-Summary'!$CR$6:$CT$36,3,FALSE),"")</f>
        <v/>
      </c>
      <c r="Z484" s="45" t="str">
        <f>IFERROR(VLOOKUP(B484,'Pre-Summary'!$BZ$6:$CB$63,2,FALSE),"")</f>
        <v/>
      </c>
      <c r="AA484" s="45" t="str">
        <f>IFERROR(VLOOKUP(B484,'Pre-Summary'!$CG$6:$CI$70,2,FALSE),"")</f>
        <v/>
      </c>
      <c r="AB484" s="99">
        <f>IFERROR(VLOOKUP(B484,'Pre-Summary'!$A$6:$P$178,9,FALSE),AB485)</f>
        <v>0.54933613431406059</v>
      </c>
      <c r="AC484" s="10">
        <f>IFERROR(VLOOKUP(Summary!B484,'Pre-Summary'!$A$6:$P$184,5, FALSE)/100,AC485)</f>
        <v>0.50395600000000007</v>
      </c>
      <c r="AD484" s="10">
        <f>IFERROR(VLOOKUP(Summary!B484,'Pre-Summary'!$A$6:$P$184,3, FALSE)/100,AD485)</f>
        <v>0.48541899999999999</v>
      </c>
      <c r="AE484" s="10">
        <f>IFERROR(VLOOKUP(Summary!B484,'Pre-Summary'!$A$6:$P$184,7, FALSE)/100,AE485)</f>
        <v>1.0624666666666666E-2</v>
      </c>
      <c r="AF484" s="99">
        <f t="shared" si="22"/>
        <v>0.26665819698259696</v>
      </c>
      <c r="AG484" s="99">
        <f t="shared" si="23"/>
        <v>5.8365133150421224E-3</v>
      </c>
      <c r="AH484" s="10" t="str">
        <f>IFERROR(VLOOKUP(B484,'Pre-Summary'!$AZ$6:$BE$65,3,FALSE),"")</f>
        <v/>
      </c>
      <c r="AI484" s="10" t="str">
        <f>IFERROR(VLOOKUP(B484,'Pre-Summary'!$AZ$6:$BE$65,5,FALSE),"")</f>
        <v/>
      </c>
      <c r="AJ484" s="10" t="str">
        <f>IFERROR(VLOOKUP(B484,'Pre-Summary'!$AZ$6:$BE$65,4,FALSE),"")</f>
        <v/>
      </c>
      <c r="AK484" s="10" t="str">
        <f>IFERROR(VLOOKUP(B484,'Pre-Summary'!$AZ$6:$BE$65,6,FALSE),"")</f>
        <v/>
      </c>
      <c r="AL484" s="10" t="str">
        <f>IFERROR(VLOOKUP(B484,'Pre-Summary'!$BG$6:$BL$44,3,FALSE),"")</f>
        <v/>
      </c>
      <c r="AM484" s="10" t="str">
        <f>IFERROR(VLOOKUP(B484,'Pre-Summary'!$BG$6:$BL$44,4,FALSE),"")</f>
        <v/>
      </c>
    </row>
    <row r="485" spans="2:39" ht="15" customHeight="1" x14ac:dyDescent="0.3">
      <c r="B485">
        <v>48.2</v>
      </c>
      <c r="C485" t="str">
        <f>IFERROR(VLOOKUP(B485,'Pre-Summary'!$DI$6:$DM$23,4,FALSE),"")</f>
        <v/>
      </c>
      <c r="D485" s="10" t="str">
        <f>IFERROR(VLOOKUP(B485,'Pre-Summary'!$AT$6:$AX$14,5,FALSE),D484)</f>
        <v>DSMZ v2: Dropped Na-Ac out of DSMZ 120 media</v>
      </c>
      <c r="E485" s="10" t="str">
        <f>IFERROR(VLOOKUP(B485,'Pre-Summary'!$AT$6:$AX$15,4,FALSE),"")</f>
        <v/>
      </c>
      <c r="F485">
        <f>IFERROR(VLOOKUP(B485,'Pre-Summary'!$AL$6:$AQ$13,6,FALSE),F484)</f>
        <v>5.9405263157894746E-2</v>
      </c>
      <c r="G485" t="str">
        <f>IFERROR(VLOOKUP(B485,'Pre-Summary'!$AE$6:$AJ$85,3,FALSE),"")</f>
        <v/>
      </c>
      <c r="H485" t="str">
        <f>IFERROR(VLOOKUP(B485,'Pre-Summary'!$AE$6:$AJ$85,4,FALSE),"")</f>
        <v/>
      </c>
      <c r="I485" t="str">
        <f>IFERROR(VLOOKUP(B485,'Pre-Summary'!$AE$6:$AJ$85,5,FALSE),"")</f>
        <v/>
      </c>
      <c r="J485" s="45" t="str">
        <f>IFERROR(VLOOKUP(B485,'Pre-Summary'!$AE$6:$AJ$85,6, FALSE),"")</f>
        <v/>
      </c>
      <c r="K485" s="45" t="str">
        <f>IFERROR(VLOOKUP(B485,'Pre-Summary'!$DE$6:$DG$61,3,FALSE),"")</f>
        <v/>
      </c>
      <c r="L485" s="45" t="str">
        <f>IFERROR(VLOOKUP(B485,'Pre-Summary'!$CU$6:$CW$36,3,FALSE),"")</f>
        <v/>
      </c>
      <c r="M485" s="45" t="str">
        <f>IFERROR(VLOOKUP(B485,'Pre-Summary'!$BW$6:$BY$58,2,FALSE),"")</f>
        <v/>
      </c>
      <c r="N485" s="45" t="str">
        <f>IFERROR(VLOOKUP(B485,'Pre-Summary'!$CD$6:$CF$64,2,FALSE),"")</f>
        <v/>
      </c>
      <c r="O485" s="99">
        <f>IFERROR(VLOOKUP(B485,'Pre-Summary'!$BO$6:$BQ$48,3, FALSE),O484)</f>
        <v>1.0915248032216731</v>
      </c>
      <c r="P485" s="99">
        <f>IFERROR(VLOOKUP(B485,'Pre-Summary'!$BS$6:$BU$35,3,FALSE),P484)</f>
        <v>0.25</v>
      </c>
      <c r="Q485" s="54">
        <f t="shared" si="21"/>
        <v>4.3660992128866924</v>
      </c>
      <c r="R485" s="53">
        <f>IFERROR(VLOOKUP(B485,'Pre-Summary'!$BG$6:$BM$44,7,FALSE),R486)</f>
        <v>7.5915763918363535E-2</v>
      </c>
      <c r="S485" s="53">
        <f>IFERROR(VLOOKUP(B485,'Pre-Summary'!$BG$6:$BM$44,6,FALSE),S486)</f>
        <v>5.2897473997019086E-2</v>
      </c>
      <c r="T485" s="45" t="str">
        <f>IFERROR(VLOOKUP(B485,'Pre-Summary'!$Y$6:$AC$83, 3,FALSE),"")</f>
        <v/>
      </c>
      <c r="U485" s="45" t="str">
        <f>IFERROR(VLOOKUP(B485,'Pre-Summary'!$Y$6:$AC$83, 4,FALSE),"")</f>
        <v/>
      </c>
      <c r="V485" t="str">
        <f>IFERROR(VLOOKUP(B485,'Pre-Summary'!$Y$6:$AC$83, 5,FALSE),"")</f>
        <v/>
      </c>
      <c r="W485" s="45" t="str">
        <f>IFERROR(VLOOKUP(B485,'Pre-Summary'!$Y$6:$AD$83,6,FALSE),"")</f>
        <v/>
      </c>
      <c r="X485" t="str">
        <f>IFERROR(VLOOKUP('Pre-Summary'!$DB$6:$DD$63,3,FALSE),"")</f>
        <v/>
      </c>
      <c r="Y485" t="str">
        <f>IFERROR(VLOOKUP(B485,'Pre-Summary'!$CR$6:$CT$36,3,FALSE),"")</f>
        <v/>
      </c>
      <c r="Z485" s="45" t="str">
        <f>IFERROR(VLOOKUP(B485,'Pre-Summary'!$BZ$6:$CB$63,2,FALSE),"")</f>
        <v/>
      </c>
      <c r="AA485" s="45" t="str">
        <f>IFERROR(VLOOKUP(B485,'Pre-Summary'!$CG$6:$CI$70,2,FALSE),"")</f>
        <v/>
      </c>
      <c r="AB485" s="99">
        <f>IFERROR(VLOOKUP(B485,'Pre-Summary'!$A$6:$P$178,9,FALSE),AB486)</f>
        <v>0.54933613431406059</v>
      </c>
      <c r="AC485" s="10">
        <f>IFERROR(VLOOKUP(Summary!B485,'Pre-Summary'!$A$6:$P$184,5, FALSE)/100,AC486)</f>
        <v>0.50395600000000007</v>
      </c>
      <c r="AD485" s="10">
        <f>IFERROR(VLOOKUP(Summary!B485,'Pre-Summary'!$A$6:$P$184,3, FALSE)/100,AD486)</f>
        <v>0.48541899999999999</v>
      </c>
      <c r="AE485" s="10">
        <f>IFERROR(VLOOKUP(Summary!B485,'Pre-Summary'!$A$6:$P$184,7, FALSE)/100,AE486)</f>
        <v>1.0624666666666666E-2</v>
      </c>
      <c r="AF485" s="99">
        <f t="shared" si="22"/>
        <v>0.26665819698259696</v>
      </c>
      <c r="AG485" s="99">
        <f t="shared" si="23"/>
        <v>5.8365133150421224E-3</v>
      </c>
      <c r="AH485" s="10" t="str">
        <f>IFERROR(VLOOKUP(B485,'Pre-Summary'!$AZ$6:$BE$65,3,FALSE),"")</f>
        <v/>
      </c>
      <c r="AI485" s="10" t="str">
        <f>IFERROR(VLOOKUP(B485,'Pre-Summary'!$AZ$6:$BE$65,5,FALSE),"")</f>
        <v/>
      </c>
      <c r="AJ485" s="10" t="str">
        <f>IFERROR(VLOOKUP(B485,'Pre-Summary'!$AZ$6:$BE$65,4,FALSE),"")</f>
        <v/>
      </c>
      <c r="AK485" s="10" t="str">
        <f>IFERROR(VLOOKUP(B485,'Pre-Summary'!$AZ$6:$BE$65,6,FALSE),"")</f>
        <v/>
      </c>
      <c r="AL485" s="10" t="str">
        <f>IFERROR(VLOOKUP(B485,'Pre-Summary'!$BG$6:$BL$44,3,FALSE),"")</f>
        <v/>
      </c>
      <c r="AM485" s="10" t="str">
        <f>IFERROR(VLOOKUP(B485,'Pre-Summary'!$BG$6:$BL$44,4,FALSE),"")</f>
        <v/>
      </c>
    </row>
    <row r="486" spans="2:39" ht="15" customHeight="1" x14ac:dyDescent="0.3">
      <c r="B486">
        <v>48.3</v>
      </c>
      <c r="C486" t="str">
        <f>IFERROR(VLOOKUP(B486,'Pre-Summary'!$DI$6:$DM$23,4,FALSE),"")</f>
        <v/>
      </c>
      <c r="D486" s="10" t="str">
        <f>IFERROR(VLOOKUP(B486,'Pre-Summary'!$AT$6:$AX$14,5,FALSE),D485)</f>
        <v>DSMZ v2: Dropped Na-Ac out of DSMZ 120 media</v>
      </c>
      <c r="E486" s="10" t="str">
        <f>IFERROR(VLOOKUP(B486,'Pre-Summary'!$AT$6:$AX$15,4,FALSE),"")</f>
        <v/>
      </c>
      <c r="F486">
        <f>IFERROR(VLOOKUP(B486,'Pre-Summary'!$AL$6:$AQ$13,6,FALSE),F485)</f>
        <v>5.9405263157894746E-2</v>
      </c>
      <c r="G486" t="str">
        <f>IFERROR(VLOOKUP(B486,'Pre-Summary'!$AE$6:$AJ$85,3,FALSE),"")</f>
        <v/>
      </c>
      <c r="H486" t="str">
        <f>IFERROR(VLOOKUP(B486,'Pre-Summary'!$AE$6:$AJ$85,4,FALSE),"")</f>
        <v/>
      </c>
      <c r="I486" t="str">
        <f>IFERROR(VLOOKUP(B486,'Pre-Summary'!$AE$6:$AJ$85,5,FALSE),"")</f>
        <v/>
      </c>
      <c r="J486" s="45" t="str">
        <f>IFERROR(VLOOKUP(B486,'Pre-Summary'!$AE$6:$AJ$85,6, FALSE),"")</f>
        <v/>
      </c>
      <c r="K486" s="45" t="str">
        <f>IFERROR(VLOOKUP(B486,'Pre-Summary'!$DE$6:$DG$61,3,FALSE),"")</f>
        <v/>
      </c>
      <c r="L486" s="45" t="str">
        <f>IFERROR(VLOOKUP(B486,'Pre-Summary'!$CU$6:$CW$36,3,FALSE),"")</f>
        <v/>
      </c>
      <c r="M486" s="45" t="str">
        <f>IFERROR(VLOOKUP(B486,'Pre-Summary'!$BW$6:$BY$58,2,FALSE),"")</f>
        <v/>
      </c>
      <c r="N486" s="45" t="str">
        <f>IFERROR(VLOOKUP(B486,'Pre-Summary'!$CD$6:$CF$64,2,FALSE),"")</f>
        <v/>
      </c>
      <c r="O486" s="99">
        <f>IFERROR(VLOOKUP(B486,'Pre-Summary'!$BO$6:$BQ$48,3, FALSE),O485)</f>
        <v>1.0915248032216731</v>
      </c>
      <c r="P486" s="99">
        <f>IFERROR(VLOOKUP(B486,'Pre-Summary'!$BS$6:$BU$35,3,FALSE),P485)</f>
        <v>0.25</v>
      </c>
      <c r="Q486" s="54">
        <f t="shared" si="21"/>
        <v>4.3660992128866924</v>
      </c>
      <c r="R486" s="53">
        <f>IFERROR(VLOOKUP(B486,'Pre-Summary'!$BG$6:$BM$44,7,FALSE),R487)</f>
        <v>7.5915763918363535E-2</v>
      </c>
      <c r="S486" s="53">
        <f>IFERROR(VLOOKUP(B486,'Pre-Summary'!$BG$6:$BM$44,6,FALSE),S487)</f>
        <v>5.2897473997019086E-2</v>
      </c>
      <c r="T486" s="45" t="str">
        <f>IFERROR(VLOOKUP(B486,'Pre-Summary'!$Y$6:$AC$83, 3,FALSE),"")</f>
        <v/>
      </c>
      <c r="U486" s="45" t="str">
        <f>IFERROR(VLOOKUP(B486,'Pre-Summary'!$Y$6:$AC$83, 4,FALSE),"")</f>
        <v/>
      </c>
      <c r="V486" t="str">
        <f>IFERROR(VLOOKUP(B486,'Pre-Summary'!$Y$6:$AC$83, 5,FALSE),"")</f>
        <v/>
      </c>
      <c r="W486" s="45" t="str">
        <f>IFERROR(VLOOKUP(B486,'Pre-Summary'!$Y$6:$AD$83,6,FALSE),"")</f>
        <v/>
      </c>
      <c r="X486" t="str">
        <f>IFERROR(VLOOKUP('Pre-Summary'!$DB$6:$DD$63,3,FALSE),"")</f>
        <v/>
      </c>
      <c r="Y486" t="str">
        <f>IFERROR(VLOOKUP(B486,'Pre-Summary'!$CR$6:$CT$36,3,FALSE),"")</f>
        <v/>
      </c>
      <c r="Z486" s="45" t="str">
        <f>IFERROR(VLOOKUP(B486,'Pre-Summary'!$BZ$6:$CB$63,2,FALSE),"")</f>
        <v/>
      </c>
      <c r="AA486" s="45" t="str">
        <f>IFERROR(VLOOKUP(B486,'Pre-Summary'!$CG$6:$CI$70,2,FALSE),"")</f>
        <v/>
      </c>
      <c r="AB486" s="99">
        <f>IFERROR(VLOOKUP(B486,'Pre-Summary'!$A$6:$P$178,9,FALSE),AB487)</f>
        <v>0.54933613431406059</v>
      </c>
      <c r="AC486" s="10">
        <f>IFERROR(VLOOKUP(Summary!B486,'Pre-Summary'!$A$6:$P$184,5, FALSE)/100,AC487)</f>
        <v>0.50395600000000007</v>
      </c>
      <c r="AD486" s="10">
        <f>IFERROR(VLOOKUP(Summary!B486,'Pre-Summary'!$A$6:$P$184,3, FALSE)/100,AD487)</f>
        <v>0.48541899999999999</v>
      </c>
      <c r="AE486" s="10">
        <f>IFERROR(VLOOKUP(Summary!B486,'Pre-Summary'!$A$6:$P$184,7, FALSE)/100,AE487)</f>
        <v>1.0624666666666666E-2</v>
      </c>
      <c r="AF486" s="99">
        <f t="shared" si="22"/>
        <v>0.26665819698259696</v>
      </c>
      <c r="AG486" s="99">
        <f t="shared" si="23"/>
        <v>5.8365133150421224E-3</v>
      </c>
      <c r="AH486" s="10" t="str">
        <f>IFERROR(VLOOKUP(B486,'Pre-Summary'!$AZ$6:$BE$65,3,FALSE),"")</f>
        <v/>
      </c>
      <c r="AI486" s="10" t="str">
        <f>IFERROR(VLOOKUP(B486,'Pre-Summary'!$AZ$6:$BE$65,5,FALSE),"")</f>
        <v/>
      </c>
      <c r="AJ486" s="10" t="str">
        <f>IFERROR(VLOOKUP(B486,'Pre-Summary'!$AZ$6:$BE$65,4,FALSE),"")</f>
        <v/>
      </c>
      <c r="AK486" s="10" t="str">
        <f>IFERROR(VLOOKUP(B486,'Pre-Summary'!$AZ$6:$BE$65,6,FALSE),"")</f>
        <v/>
      </c>
      <c r="AL486" s="10" t="str">
        <f>IFERROR(VLOOKUP(B486,'Pre-Summary'!$BG$6:$BL$44,3,FALSE),"")</f>
        <v/>
      </c>
      <c r="AM486" s="10" t="str">
        <f>IFERROR(VLOOKUP(B486,'Pre-Summary'!$BG$6:$BL$44,4,FALSE),"")</f>
        <v/>
      </c>
    </row>
    <row r="487" spans="2:39" ht="15" customHeight="1" x14ac:dyDescent="0.3">
      <c r="B487">
        <v>48.4</v>
      </c>
      <c r="C487" t="str">
        <f>IFERROR(VLOOKUP(B487,'Pre-Summary'!$DI$6:$DM$23,4,FALSE),"")</f>
        <v/>
      </c>
      <c r="D487" s="10" t="str">
        <f>IFERROR(VLOOKUP(B487,'Pre-Summary'!$AT$6:$AX$14,5,FALSE),D486)</f>
        <v>DSMZ v2: Dropped Na-Ac out of DSMZ 120 media</v>
      </c>
      <c r="E487" s="10" t="str">
        <f>IFERROR(VLOOKUP(B487,'Pre-Summary'!$AT$6:$AX$15,4,FALSE),"")</f>
        <v/>
      </c>
      <c r="F487">
        <f>IFERROR(VLOOKUP(B487,'Pre-Summary'!$AL$6:$AQ$13,6,FALSE),F486)</f>
        <v>5.9405263157894746E-2</v>
      </c>
      <c r="G487" t="str">
        <f>IFERROR(VLOOKUP(B487,'Pre-Summary'!$AE$6:$AJ$85,3,FALSE),"")</f>
        <v/>
      </c>
      <c r="H487" t="str">
        <f>IFERROR(VLOOKUP(B487,'Pre-Summary'!$AE$6:$AJ$85,4,FALSE),"")</f>
        <v/>
      </c>
      <c r="I487" t="str">
        <f>IFERROR(VLOOKUP(B487,'Pre-Summary'!$AE$6:$AJ$85,5,FALSE),"")</f>
        <v/>
      </c>
      <c r="J487" s="45" t="str">
        <f>IFERROR(VLOOKUP(B487,'Pre-Summary'!$AE$6:$AJ$85,6, FALSE),"")</f>
        <v/>
      </c>
      <c r="K487" s="45" t="str">
        <f>IFERROR(VLOOKUP(B487,'Pre-Summary'!$DE$6:$DG$61,3,FALSE),"")</f>
        <v/>
      </c>
      <c r="L487" s="45" t="str">
        <f>IFERROR(VLOOKUP(B487,'Pre-Summary'!$CU$6:$CW$36,3,FALSE),"")</f>
        <v/>
      </c>
      <c r="M487" s="45" t="str">
        <f>IFERROR(VLOOKUP(B487,'Pre-Summary'!$BW$6:$BY$58,2,FALSE),"")</f>
        <v/>
      </c>
      <c r="N487" s="45" t="str">
        <f>IFERROR(VLOOKUP(B487,'Pre-Summary'!$CD$6:$CF$64,2,FALSE),"")</f>
        <v/>
      </c>
      <c r="O487" s="99">
        <f>IFERROR(VLOOKUP(B487,'Pre-Summary'!$BO$6:$BQ$48,3, FALSE),O486)</f>
        <v>1.0915248032216731</v>
      </c>
      <c r="P487" s="99">
        <f>IFERROR(VLOOKUP(B487,'Pre-Summary'!$BS$6:$BU$35,3,FALSE),P486)</f>
        <v>0.25</v>
      </c>
      <c r="Q487" s="54">
        <f t="shared" si="21"/>
        <v>4.3660992128866924</v>
      </c>
      <c r="R487" s="53">
        <f>IFERROR(VLOOKUP(B487,'Pre-Summary'!$BG$6:$BM$44,7,FALSE),R488)</f>
        <v>7.5915763918363535E-2</v>
      </c>
      <c r="S487" s="53">
        <f>IFERROR(VLOOKUP(B487,'Pre-Summary'!$BG$6:$BM$44,6,FALSE),S488)</f>
        <v>5.2897473997019086E-2</v>
      </c>
      <c r="T487" s="45" t="str">
        <f>IFERROR(VLOOKUP(B487,'Pre-Summary'!$Y$6:$AC$83, 3,FALSE),"")</f>
        <v/>
      </c>
      <c r="U487" s="45" t="str">
        <f>IFERROR(VLOOKUP(B487,'Pre-Summary'!$Y$6:$AC$83, 4,FALSE),"")</f>
        <v/>
      </c>
      <c r="V487" t="str">
        <f>IFERROR(VLOOKUP(B487,'Pre-Summary'!$Y$6:$AC$83, 5,FALSE),"")</f>
        <v/>
      </c>
      <c r="W487" s="45" t="str">
        <f>IFERROR(VLOOKUP(B487,'Pre-Summary'!$Y$6:$AD$83,6,FALSE),"")</f>
        <v/>
      </c>
      <c r="X487" t="str">
        <f>IFERROR(VLOOKUP('Pre-Summary'!$DB$6:$DD$63,3,FALSE),"")</f>
        <v/>
      </c>
      <c r="Y487" t="str">
        <f>IFERROR(VLOOKUP(B487,'Pre-Summary'!$CR$6:$CT$36,3,FALSE),"")</f>
        <v/>
      </c>
      <c r="Z487" s="45" t="str">
        <f>IFERROR(VLOOKUP(B487,'Pre-Summary'!$BZ$6:$CB$63,2,FALSE),"")</f>
        <v/>
      </c>
      <c r="AA487" s="45" t="str">
        <f>IFERROR(VLOOKUP(B487,'Pre-Summary'!$CG$6:$CI$70,2,FALSE),"")</f>
        <v/>
      </c>
      <c r="AB487" s="99">
        <f>IFERROR(VLOOKUP(B487,'Pre-Summary'!$A$6:$P$178,9,FALSE),AB488)</f>
        <v>0.54933613431406059</v>
      </c>
      <c r="AC487" s="10">
        <f>IFERROR(VLOOKUP(Summary!B487,'Pre-Summary'!$A$6:$P$184,5, FALSE)/100,AC488)</f>
        <v>0.50395600000000007</v>
      </c>
      <c r="AD487" s="10">
        <f>IFERROR(VLOOKUP(Summary!B487,'Pre-Summary'!$A$6:$P$184,3, FALSE)/100,AD488)</f>
        <v>0.48541899999999999</v>
      </c>
      <c r="AE487" s="10">
        <f>IFERROR(VLOOKUP(Summary!B487,'Pre-Summary'!$A$6:$P$184,7, FALSE)/100,AE488)</f>
        <v>1.0624666666666666E-2</v>
      </c>
      <c r="AF487" s="99">
        <f t="shared" si="22"/>
        <v>0.26665819698259696</v>
      </c>
      <c r="AG487" s="99">
        <f t="shared" si="23"/>
        <v>5.8365133150421224E-3</v>
      </c>
      <c r="AH487" s="10" t="str">
        <f>IFERROR(VLOOKUP(B487,'Pre-Summary'!$AZ$6:$BE$65,3,FALSE),"")</f>
        <v/>
      </c>
      <c r="AI487" s="10" t="str">
        <f>IFERROR(VLOOKUP(B487,'Pre-Summary'!$AZ$6:$BE$65,5,FALSE),"")</f>
        <v/>
      </c>
      <c r="AJ487" s="10" t="str">
        <f>IFERROR(VLOOKUP(B487,'Pre-Summary'!$AZ$6:$BE$65,4,FALSE),"")</f>
        <v/>
      </c>
      <c r="AK487" s="10" t="str">
        <f>IFERROR(VLOOKUP(B487,'Pre-Summary'!$AZ$6:$BE$65,6,FALSE),"")</f>
        <v/>
      </c>
      <c r="AL487" s="10" t="str">
        <f>IFERROR(VLOOKUP(B487,'Pre-Summary'!$BG$6:$BL$44,3,FALSE),"")</f>
        <v/>
      </c>
      <c r="AM487" s="10" t="str">
        <f>IFERROR(VLOOKUP(B487,'Pre-Summary'!$BG$6:$BL$44,4,FALSE),"")</f>
        <v/>
      </c>
    </row>
    <row r="488" spans="2:39" ht="15" customHeight="1" x14ac:dyDescent="0.3">
      <c r="B488">
        <v>48.5</v>
      </c>
      <c r="C488" t="str">
        <f>IFERROR(VLOOKUP(B488,'Pre-Summary'!$DI$6:$DM$23,4,FALSE),"")</f>
        <v/>
      </c>
      <c r="D488" s="10" t="str">
        <f>IFERROR(VLOOKUP(B488,'Pre-Summary'!$AT$6:$AX$14,5,FALSE),D487)</f>
        <v>DSMZ v2: Dropped Na-Ac out of DSMZ 120 media</v>
      </c>
      <c r="E488" s="10" t="str">
        <f>IFERROR(VLOOKUP(B488,'Pre-Summary'!$AT$6:$AX$15,4,FALSE),"")</f>
        <v/>
      </c>
      <c r="F488">
        <f>IFERROR(VLOOKUP(B488,'Pre-Summary'!$AL$6:$AQ$13,6,FALSE),F487)</f>
        <v>5.9405263157894746E-2</v>
      </c>
      <c r="G488" t="str">
        <f>IFERROR(VLOOKUP(B488,'Pre-Summary'!$AE$6:$AJ$85,3,FALSE),"")</f>
        <v/>
      </c>
      <c r="H488" t="str">
        <f>IFERROR(VLOOKUP(B488,'Pre-Summary'!$AE$6:$AJ$85,4,FALSE),"")</f>
        <v/>
      </c>
      <c r="I488" t="str">
        <f>IFERROR(VLOOKUP(B488,'Pre-Summary'!$AE$6:$AJ$85,5,FALSE),"")</f>
        <v/>
      </c>
      <c r="J488" s="45" t="str">
        <f>IFERROR(VLOOKUP(B488,'Pre-Summary'!$AE$6:$AJ$85,6, FALSE),"")</f>
        <v/>
      </c>
      <c r="K488" s="45" t="str">
        <f>IFERROR(VLOOKUP(B488,'Pre-Summary'!$DE$6:$DG$61,3,FALSE),"")</f>
        <v/>
      </c>
      <c r="L488" s="45" t="str">
        <f>IFERROR(VLOOKUP(B488,'Pre-Summary'!$CU$6:$CW$36,3,FALSE),"")</f>
        <v/>
      </c>
      <c r="M488" s="45" t="str">
        <f>IFERROR(VLOOKUP(B488,'Pre-Summary'!$BW$6:$BY$58,2,FALSE),"")</f>
        <v/>
      </c>
      <c r="N488" s="45">
        <f>IFERROR(VLOOKUP(B488,'Pre-Summary'!$CD$6:$CF$64,2,FALSE),"")</f>
        <v>3541.7443808292142</v>
      </c>
      <c r="O488" s="99">
        <f>IFERROR(VLOOKUP(B488,'Pre-Summary'!$BO$6:$BQ$48,3, FALSE),O487)</f>
        <v>1.0915248032216731</v>
      </c>
      <c r="P488" s="99">
        <f>IFERROR(VLOOKUP(B488,'Pre-Summary'!$BS$6:$BU$35,3,FALSE),P487)</f>
        <v>0.25</v>
      </c>
      <c r="Q488" s="54">
        <f t="shared" si="21"/>
        <v>4.3660992128866924</v>
      </c>
      <c r="R488" s="53">
        <f>IFERROR(VLOOKUP(B488,'Pre-Summary'!$BG$6:$BM$44,7,FALSE),R489)</f>
        <v>7.5915763918363535E-2</v>
      </c>
      <c r="S488" s="53">
        <f>IFERROR(VLOOKUP(B488,'Pre-Summary'!$BG$6:$BM$44,6,FALSE),S489)</f>
        <v>5.2897473997019086E-2</v>
      </c>
      <c r="T488" s="45" t="str">
        <f>IFERROR(VLOOKUP(B488,'Pre-Summary'!$Y$6:$AC$83, 3,FALSE),"")</f>
        <v/>
      </c>
      <c r="U488" s="45" t="str">
        <f>IFERROR(VLOOKUP(B488,'Pre-Summary'!$Y$6:$AC$83, 4,FALSE),"")</f>
        <v/>
      </c>
      <c r="V488" t="str">
        <f>IFERROR(VLOOKUP(B488,'Pre-Summary'!$Y$6:$AC$83, 5,FALSE),"")</f>
        <v/>
      </c>
      <c r="W488" s="45" t="str">
        <f>IFERROR(VLOOKUP(B488,'Pre-Summary'!$Y$6:$AD$83,6,FALSE),"")</f>
        <v/>
      </c>
      <c r="X488" t="str">
        <f>IFERROR(VLOOKUP('Pre-Summary'!$DB$6:$DD$63,3,FALSE),"")</f>
        <v/>
      </c>
      <c r="Y488" t="str">
        <f>IFERROR(VLOOKUP(B488,'Pre-Summary'!$CR$6:$CT$36,3,FALSE),"")</f>
        <v/>
      </c>
      <c r="Z488" s="45" t="str">
        <f>IFERROR(VLOOKUP(B488,'Pre-Summary'!$BZ$6:$CB$63,2,FALSE),"")</f>
        <v/>
      </c>
      <c r="AA488" s="45" t="str">
        <f>IFERROR(VLOOKUP(B488,'Pre-Summary'!$CG$6:$CI$70,2,FALSE),"")</f>
        <v/>
      </c>
      <c r="AB488" s="99">
        <f>IFERROR(VLOOKUP(B488,'Pre-Summary'!$A$6:$P$178,9,FALSE),AB489)</f>
        <v>0.54933613431406059</v>
      </c>
      <c r="AC488" s="10">
        <f>IFERROR(VLOOKUP(Summary!B488,'Pre-Summary'!$A$6:$P$184,5, FALSE)/100,AC489)</f>
        <v>0.50395600000000007</v>
      </c>
      <c r="AD488" s="10">
        <f>IFERROR(VLOOKUP(Summary!B488,'Pre-Summary'!$A$6:$P$184,3, FALSE)/100,AD489)</f>
        <v>0.48541899999999999</v>
      </c>
      <c r="AE488" s="10">
        <f>IFERROR(VLOOKUP(Summary!B488,'Pre-Summary'!$A$6:$P$184,7, FALSE)/100,AE489)</f>
        <v>1.0624666666666666E-2</v>
      </c>
      <c r="AF488" s="99">
        <f t="shared" si="22"/>
        <v>0.26665819698259696</v>
      </c>
      <c r="AG488" s="99">
        <f t="shared" si="23"/>
        <v>5.8365133150421224E-3</v>
      </c>
      <c r="AH488" s="10" t="str">
        <f>IFERROR(VLOOKUP(B488,'Pre-Summary'!$AZ$6:$BE$65,3,FALSE),"")</f>
        <v/>
      </c>
      <c r="AI488" s="10" t="str">
        <f>IFERROR(VLOOKUP(B488,'Pre-Summary'!$AZ$6:$BE$65,5,FALSE),"")</f>
        <v/>
      </c>
      <c r="AJ488" s="10" t="str">
        <f>IFERROR(VLOOKUP(B488,'Pre-Summary'!$AZ$6:$BE$65,4,FALSE),"")</f>
        <v/>
      </c>
      <c r="AK488" s="10" t="str">
        <f>IFERROR(VLOOKUP(B488,'Pre-Summary'!$AZ$6:$BE$65,6,FALSE),"")</f>
        <v/>
      </c>
      <c r="AL488" s="10" t="str">
        <f>IFERROR(VLOOKUP(B488,'Pre-Summary'!$BG$6:$BL$44,3,FALSE),"")</f>
        <v/>
      </c>
      <c r="AM488" s="10" t="str">
        <f>IFERROR(VLOOKUP(B488,'Pre-Summary'!$BG$6:$BL$44,4,FALSE),"")</f>
        <v/>
      </c>
    </row>
    <row r="489" spans="2:39" ht="15" customHeight="1" x14ac:dyDescent="0.3">
      <c r="B489">
        <v>48.6</v>
      </c>
      <c r="C489" t="str">
        <f>IFERROR(VLOOKUP(B489,'Pre-Summary'!$DI$6:$DM$23,4,FALSE),"")</f>
        <v/>
      </c>
      <c r="D489" s="10" t="str">
        <f>IFERROR(VLOOKUP(B489,'Pre-Summary'!$AT$6:$AX$14,5,FALSE),D488)</f>
        <v>DSMZ v2: Dropped Na-Ac out of DSMZ 120 media</v>
      </c>
      <c r="E489" s="10" t="str">
        <f>IFERROR(VLOOKUP(B489,'Pre-Summary'!$AT$6:$AX$15,4,FALSE),"")</f>
        <v/>
      </c>
      <c r="F489">
        <f>IFERROR(VLOOKUP(B489,'Pre-Summary'!$AL$6:$AQ$13,6,FALSE),F488)</f>
        <v>5.9405263157894746E-2</v>
      </c>
      <c r="G489" t="str">
        <f>IFERROR(VLOOKUP(B489,'Pre-Summary'!$AE$6:$AJ$85,3,FALSE),"")</f>
        <v/>
      </c>
      <c r="H489" t="str">
        <f>IFERROR(VLOOKUP(B489,'Pre-Summary'!$AE$6:$AJ$85,4,FALSE),"")</f>
        <v/>
      </c>
      <c r="I489" t="str">
        <f>IFERROR(VLOOKUP(B489,'Pre-Summary'!$AE$6:$AJ$85,5,FALSE),"")</f>
        <v/>
      </c>
      <c r="J489" s="45" t="str">
        <f>IFERROR(VLOOKUP(B489,'Pre-Summary'!$AE$6:$AJ$85,6, FALSE),"")</f>
        <v/>
      </c>
      <c r="K489" s="45" t="str">
        <f>IFERROR(VLOOKUP(B489,'Pre-Summary'!$DE$6:$DG$61,3,FALSE),"")</f>
        <v/>
      </c>
      <c r="L489" s="45" t="str">
        <f>IFERROR(VLOOKUP(B489,'Pre-Summary'!$CU$6:$CW$36,3,FALSE),"")</f>
        <v/>
      </c>
      <c r="M489" s="45" t="str">
        <f>IFERROR(VLOOKUP(B489,'Pre-Summary'!$BW$6:$BY$58,2,FALSE),"")</f>
        <v/>
      </c>
      <c r="N489" s="45" t="str">
        <f>IFERROR(VLOOKUP(B489,'Pre-Summary'!$CD$6:$CF$64,2,FALSE),"")</f>
        <v/>
      </c>
      <c r="O489" s="99">
        <f>IFERROR(VLOOKUP(B489,'Pre-Summary'!$BO$6:$BQ$48,3, FALSE),O488)</f>
        <v>1.0915248032216731</v>
      </c>
      <c r="P489" s="99">
        <f>IFERROR(VLOOKUP(B489,'Pre-Summary'!$BS$6:$BU$35,3,FALSE),P488)</f>
        <v>0.25</v>
      </c>
      <c r="Q489" s="54">
        <f t="shared" si="21"/>
        <v>4.3660992128866924</v>
      </c>
      <c r="R489" s="53">
        <f>IFERROR(VLOOKUP(B489,'Pre-Summary'!$BG$6:$BM$44,7,FALSE),R490)</f>
        <v>7.5915763918363535E-2</v>
      </c>
      <c r="S489" s="53">
        <f>IFERROR(VLOOKUP(B489,'Pre-Summary'!$BG$6:$BM$44,6,FALSE),S490)</f>
        <v>5.2897473997019086E-2</v>
      </c>
      <c r="T489" s="45" t="str">
        <f>IFERROR(VLOOKUP(B489,'Pre-Summary'!$Y$6:$AC$83, 3,FALSE),"")</f>
        <v/>
      </c>
      <c r="U489" s="45" t="str">
        <f>IFERROR(VLOOKUP(B489,'Pre-Summary'!$Y$6:$AC$83, 4,FALSE),"")</f>
        <v/>
      </c>
      <c r="V489" t="str">
        <f>IFERROR(VLOOKUP(B489,'Pre-Summary'!$Y$6:$AC$83, 5,FALSE),"")</f>
        <v/>
      </c>
      <c r="W489" s="45" t="str">
        <f>IFERROR(VLOOKUP(B489,'Pre-Summary'!$Y$6:$AD$83,6,FALSE),"")</f>
        <v/>
      </c>
      <c r="X489" t="str">
        <f>IFERROR(VLOOKUP('Pre-Summary'!$DB$6:$DD$63,3,FALSE),"")</f>
        <v/>
      </c>
      <c r="Y489" t="str">
        <f>IFERROR(VLOOKUP(B489,'Pre-Summary'!$CR$6:$CT$36,3,FALSE),"")</f>
        <v/>
      </c>
      <c r="Z489" s="45" t="str">
        <f>IFERROR(VLOOKUP(B489,'Pre-Summary'!$BZ$6:$CB$63,2,FALSE),"")</f>
        <v/>
      </c>
      <c r="AA489" s="45" t="str">
        <f>IFERROR(VLOOKUP(B489,'Pre-Summary'!$CG$6:$CI$70,2,FALSE),"")</f>
        <v/>
      </c>
      <c r="AB489" s="99">
        <f>IFERROR(VLOOKUP(B489,'Pre-Summary'!$A$6:$P$178,9,FALSE),AB490)</f>
        <v>0.54933613431406059</v>
      </c>
      <c r="AC489" s="10">
        <f>IFERROR(VLOOKUP(Summary!B489,'Pre-Summary'!$A$6:$P$184,5, FALSE)/100,AC490)</f>
        <v>0.50395600000000007</v>
      </c>
      <c r="AD489" s="10">
        <f>IFERROR(VLOOKUP(Summary!B489,'Pre-Summary'!$A$6:$P$184,3, FALSE)/100,AD490)</f>
        <v>0.48541899999999999</v>
      </c>
      <c r="AE489" s="10">
        <f>IFERROR(VLOOKUP(Summary!B489,'Pre-Summary'!$A$6:$P$184,7, FALSE)/100,AE490)</f>
        <v>1.0624666666666666E-2</v>
      </c>
      <c r="AF489" s="99">
        <f t="shared" si="22"/>
        <v>0.26665819698259696</v>
      </c>
      <c r="AG489" s="99">
        <f t="shared" si="23"/>
        <v>5.8365133150421224E-3</v>
      </c>
      <c r="AH489" s="10" t="str">
        <f>IFERROR(VLOOKUP(B489,'Pre-Summary'!$AZ$6:$BE$65,3,FALSE),"")</f>
        <v/>
      </c>
      <c r="AI489" s="10" t="str">
        <f>IFERROR(VLOOKUP(B489,'Pre-Summary'!$AZ$6:$BE$65,5,FALSE),"")</f>
        <v/>
      </c>
      <c r="AJ489" s="10" t="str">
        <f>IFERROR(VLOOKUP(B489,'Pre-Summary'!$AZ$6:$BE$65,4,FALSE),"")</f>
        <v/>
      </c>
      <c r="AK489" s="10" t="str">
        <f>IFERROR(VLOOKUP(B489,'Pre-Summary'!$AZ$6:$BE$65,6,FALSE),"")</f>
        <v/>
      </c>
      <c r="AL489" s="10" t="str">
        <f>IFERROR(VLOOKUP(B489,'Pre-Summary'!$BG$6:$BL$44,3,FALSE),"")</f>
        <v/>
      </c>
      <c r="AM489" s="10" t="str">
        <f>IFERROR(VLOOKUP(B489,'Pre-Summary'!$BG$6:$BL$44,4,FALSE),"")</f>
        <v/>
      </c>
    </row>
    <row r="490" spans="2:39" ht="15" customHeight="1" x14ac:dyDescent="0.3">
      <c r="B490">
        <v>48.7</v>
      </c>
      <c r="C490" t="str">
        <f>IFERROR(VLOOKUP(B490,'Pre-Summary'!$DI$6:$DM$23,4,FALSE),"")</f>
        <v/>
      </c>
      <c r="D490" s="10" t="str">
        <f>IFERROR(VLOOKUP(B490,'Pre-Summary'!$AT$6:$AX$14,5,FALSE),D489)</f>
        <v>DSMZ v2: Dropped Na-Ac out of DSMZ 120 media</v>
      </c>
      <c r="E490" s="10" t="str">
        <f>IFERROR(VLOOKUP(B490,'Pre-Summary'!$AT$6:$AX$15,4,FALSE),"")</f>
        <v/>
      </c>
      <c r="F490">
        <f>IFERROR(VLOOKUP(B490,'Pre-Summary'!$AL$6:$AQ$13,6,FALSE),F489)</f>
        <v>5.9405263157894746E-2</v>
      </c>
      <c r="G490" t="str">
        <f>IFERROR(VLOOKUP(B490,'Pre-Summary'!$AE$6:$AJ$85,3,FALSE),"")</f>
        <v/>
      </c>
      <c r="H490" t="str">
        <f>IFERROR(VLOOKUP(B490,'Pre-Summary'!$AE$6:$AJ$85,4,FALSE),"")</f>
        <v/>
      </c>
      <c r="I490" t="str">
        <f>IFERROR(VLOOKUP(B490,'Pre-Summary'!$AE$6:$AJ$85,5,FALSE),"")</f>
        <v/>
      </c>
      <c r="J490" s="45" t="str">
        <f>IFERROR(VLOOKUP(B490,'Pre-Summary'!$AE$6:$AJ$85,6, FALSE),"")</f>
        <v/>
      </c>
      <c r="K490" s="45" t="str">
        <f>IFERROR(VLOOKUP(B490,'Pre-Summary'!$DE$6:$DG$61,3,FALSE),"")</f>
        <v/>
      </c>
      <c r="L490" s="45" t="str">
        <f>IFERROR(VLOOKUP(B490,'Pre-Summary'!$CU$6:$CW$36,3,FALSE),"")</f>
        <v/>
      </c>
      <c r="M490" s="45" t="str">
        <f>IFERROR(VLOOKUP(B490,'Pre-Summary'!$BW$6:$BY$58,2,FALSE),"")</f>
        <v/>
      </c>
      <c r="N490" s="45" t="str">
        <f>IFERROR(VLOOKUP(B490,'Pre-Summary'!$CD$6:$CF$64,2,FALSE),"")</f>
        <v/>
      </c>
      <c r="O490" s="99">
        <f>IFERROR(VLOOKUP(B490,'Pre-Summary'!$BO$6:$BQ$48,3, FALSE),O489)</f>
        <v>1.0915248032216731</v>
      </c>
      <c r="P490" s="99">
        <f>IFERROR(VLOOKUP(B490,'Pre-Summary'!$BS$6:$BU$35,3,FALSE),P489)</f>
        <v>0.25</v>
      </c>
      <c r="Q490" s="54">
        <f t="shared" si="21"/>
        <v>4.3660992128866924</v>
      </c>
      <c r="R490" s="53">
        <f>IFERROR(VLOOKUP(B490,'Pre-Summary'!$BG$6:$BM$44,7,FALSE),R491)</f>
        <v>7.5915763918363535E-2</v>
      </c>
      <c r="S490" s="53">
        <f>IFERROR(VLOOKUP(B490,'Pre-Summary'!$BG$6:$BM$44,6,FALSE),S491)</f>
        <v>5.2897473997019086E-2</v>
      </c>
      <c r="T490" s="45" t="str">
        <f>IFERROR(VLOOKUP(B490,'Pre-Summary'!$Y$6:$AC$83, 3,FALSE),"")</f>
        <v/>
      </c>
      <c r="U490" s="45" t="str">
        <f>IFERROR(VLOOKUP(B490,'Pre-Summary'!$Y$6:$AC$83, 4,FALSE),"")</f>
        <v/>
      </c>
      <c r="V490" t="str">
        <f>IFERROR(VLOOKUP(B490,'Pre-Summary'!$Y$6:$AC$83, 5,FALSE),"")</f>
        <v/>
      </c>
      <c r="W490" s="45" t="str">
        <f>IFERROR(VLOOKUP(B490,'Pre-Summary'!$Y$6:$AD$83,6,FALSE),"")</f>
        <v/>
      </c>
      <c r="X490" t="str">
        <f>IFERROR(VLOOKUP('Pre-Summary'!$DB$6:$DD$63,3,FALSE),"")</f>
        <v/>
      </c>
      <c r="Y490" t="str">
        <f>IFERROR(VLOOKUP(B490,'Pre-Summary'!$CR$6:$CT$36,3,FALSE),"")</f>
        <v/>
      </c>
      <c r="Z490" s="45" t="str">
        <f>IFERROR(VLOOKUP(B490,'Pre-Summary'!$BZ$6:$CB$63,2,FALSE),"")</f>
        <v/>
      </c>
      <c r="AA490" s="45" t="str">
        <f>IFERROR(VLOOKUP(B490,'Pre-Summary'!$CG$6:$CI$70,2,FALSE),"")</f>
        <v/>
      </c>
      <c r="AB490" s="99">
        <f>IFERROR(VLOOKUP(B490,'Pre-Summary'!$A$6:$P$178,9,FALSE),AB491)</f>
        <v>0.54933613431406059</v>
      </c>
      <c r="AC490" s="10">
        <f>IFERROR(VLOOKUP(Summary!B490,'Pre-Summary'!$A$6:$P$184,5, FALSE)/100,AC491)</f>
        <v>0.50395600000000007</v>
      </c>
      <c r="AD490" s="10">
        <f>IFERROR(VLOOKUP(Summary!B490,'Pre-Summary'!$A$6:$P$184,3, FALSE)/100,AD491)</f>
        <v>0.48541899999999999</v>
      </c>
      <c r="AE490" s="10">
        <f>IFERROR(VLOOKUP(Summary!B490,'Pre-Summary'!$A$6:$P$184,7, FALSE)/100,AE491)</f>
        <v>1.0624666666666666E-2</v>
      </c>
      <c r="AF490" s="99">
        <f t="shared" si="22"/>
        <v>0.26665819698259696</v>
      </c>
      <c r="AG490" s="99">
        <f t="shared" si="23"/>
        <v>5.8365133150421224E-3</v>
      </c>
      <c r="AH490" s="10" t="str">
        <f>IFERROR(VLOOKUP(B490,'Pre-Summary'!$AZ$6:$BE$65,3,FALSE),"")</f>
        <v/>
      </c>
      <c r="AI490" s="10" t="str">
        <f>IFERROR(VLOOKUP(B490,'Pre-Summary'!$AZ$6:$BE$65,5,FALSE),"")</f>
        <v/>
      </c>
      <c r="AJ490" s="10" t="str">
        <f>IFERROR(VLOOKUP(B490,'Pre-Summary'!$AZ$6:$BE$65,4,FALSE),"")</f>
        <v/>
      </c>
      <c r="AK490" s="10" t="str">
        <f>IFERROR(VLOOKUP(B490,'Pre-Summary'!$AZ$6:$BE$65,6,FALSE),"")</f>
        <v/>
      </c>
      <c r="AL490" s="10" t="str">
        <f>IFERROR(VLOOKUP(B490,'Pre-Summary'!$BG$6:$BL$44,3,FALSE),"")</f>
        <v/>
      </c>
      <c r="AM490" s="10" t="str">
        <f>IFERROR(VLOOKUP(B490,'Pre-Summary'!$BG$6:$BL$44,4,FALSE),"")</f>
        <v/>
      </c>
    </row>
    <row r="491" spans="2:39" ht="15" customHeight="1" x14ac:dyDescent="0.3">
      <c r="B491">
        <v>48.8</v>
      </c>
      <c r="C491" t="str">
        <f>IFERROR(VLOOKUP(B491,'Pre-Summary'!$DI$6:$DM$23,4,FALSE),"")</f>
        <v/>
      </c>
      <c r="D491" s="10" t="str">
        <f>IFERROR(VLOOKUP(B491,'Pre-Summary'!$AT$6:$AX$14,5,FALSE),D490)</f>
        <v>DSMZ v2: Dropped Na-Ac out of DSMZ 120 media</v>
      </c>
      <c r="E491" s="10" t="str">
        <f>IFERROR(VLOOKUP(B491,'Pre-Summary'!$AT$6:$AX$15,4,FALSE),"")</f>
        <v/>
      </c>
      <c r="F491">
        <f>IFERROR(VLOOKUP(B491,'Pre-Summary'!$AL$6:$AQ$13,6,FALSE),F490)</f>
        <v>5.9405263157894746E-2</v>
      </c>
      <c r="G491" t="str">
        <f>IFERROR(VLOOKUP(B491,'Pre-Summary'!$AE$6:$AJ$85,3,FALSE),"")</f>
        <v/>
      </c>
      <c r="H491" t="str">
        <f>IFERROR(VLOOKUP(B491,'Pre-Summary'!$AE$6:$AJ$85,4,FALSE),"")</f>
        <v/>
      </c>
      <c r="I491" t="str">
        <f>IFERROR(VLOOKUP(B491,'Pre-Summary'!$AE$6:$AJ$85,5,FALSE),"")</f>
        <v/>
      </c>
      <c r="J491" s="45" t="str">
        <f>IFERROR(VLOOKUP(B491,'Pre-Summary'!$AE$6:$AJ$85,6, FALSE),"")</f>
        <v/>
      </c>
      <c r="K491" s="45" t="str">
        <f>IFERROR(VLOOKUP(B491,'Pre-Summary'!$DE$6:$DG$61,3,FALSE),"")</f>
        <v/>
      </c>
      <c r="L491" s="45" t="str">
        <f>IFERROR(VLOOKUP(B491,'Pre-Summary'!$CU$6:$CW$36,3,FALSE),"")</f>
        <v/>
      </c>
      <c r="M491" s="45" t="str">
        <f>IFERROR(VLOOKUP(B491,'Pre-Summary'!$BW$6:$BY$58,2,FALSE),"")</f>
        <v/>
      </c>
      <c r="N491" s="45" t="str">
        <f>IFERROR(VLOOKUP(B491,'Pre-Summary'!$CD$6:$CF$64,2,FALSE),"")</f>
        <v/>
      </c>
      <c r="O491" s="99">
        <f>IFERROR(VLOOKUP(B491,'Pre-Summary'!$BO$6:$BQ$48,3, FALSE),O490)</f>
        <v>1.0915248032216731</v>
      </c>
      <c r="P491" s="99">
        <f>IFERROR(VLOOKUP(B491,'Pre-Summary'!$BS$6:$BU$35,3,FALSE),P490)</f>
        <v>0.25</v>
      </c>
      <c r="Q491" s="54">
        <f t="shared" si="21"/>
        <v>4.3660992128866924</v>
      </c>
      <c r="R491" s="53">
        <f>IFERROR(VLOOKUP(B491,'Pre-Summary'!$BG$6:$BM$44,7,FALSE),R492)</f>
        <v>7.5915763918363535E-2</v>
      </c>
      <c r="S491" s="53">
        <f>IFERROR(VLOOKUP(B491,'Pre-Summary'!$BG$6:$BM$44,6,FALSE),S492)</f>
        <v>5.2897473997019086E-2</v>
      </c>
      <c r="T491" s="45" t="str">
        <f>IFERROR(VLOOKUP(B491,'Pre-Summary'!$Y$6:$AC$83, 3,FALSE),"")</f>
        <v/>
      </c>
      <c r="U491" s="45" t="str">
        <f>IFERROR(VLOOKUP(B491,'Pre-Summary'!$Y$6:$AC$83, 4,FALSE),"")</f>
        <v/>
      </c>
      <c r="V491" t="str">
        <f>IFERROR(VLOOKUP(B491,'Pre-Summary'!$Y$6:$AC$83, 5,FALSE),"")</f>
        <v/>
      </c>
      <c r="W491" s="45" t="str">
        <f>IFERROR(VLOOKUP(B491,'Pre-Summary'!$Y$6:$AD$83,6,FALSE),"")</f>
        <v/>
      </c>
      <c r="X491" t="str">
        <f>IFERROR(VLOOKUP('Pre-Summary'!$DB$6:$DD$63,3,FALSE),"")</f>
        <v/>
      </c>
      <c r="Y491" t="str">
        <f>IFERROR(VLOOKUP(B491,'Pre-Summary'!$CR$6:$CT$36,3,FALSE),"")</f>
        <v/>
      </c>
      <c r="Z491" s="45" t="str">
        <f>IFERROR(VLOOKUP(B491,'Pre-Summary'!$BZ$6:$CB$63,2,FALSE),"")</f>
        <v/>
      </c>
      <c r="AA491" s="45" t="str">
        <f>IFERROR(VLOOKUP(B491,'Pre-Summary'!$CG$6:$CI$70,2,FALSE),"")</f>
        <v/>
      </c>
      <c r="AB491" s="99">
        <f>IFERROR(VLOOKUP(B491,'Pre-Summary'!$A$6:$P$178,9,FALSE),AB492)</f>
        <v>0.54933613431406059</v>
      </c>
      <c r="AC491" s="10">
        <f>IFERROR(VLOOKUP(Summary!B491,'Pre-Summary'!$A$6:$P$184,5, FALSE)/100,AC492)</f>
        <v>0.50395600000000007</v>
      </c>
      <c r="AD491" s="10">
        <f>IFERROR(VLOOKUP(Summary!B491,'Pre-Summary'!$A$6:$P$184,3, FALSE)/100,AD492)</f>
        <v>0.48541899999999999</v>
      </c>
      <c r="AE491" s="10">
        <f>IFERROR(VLOOKUP(Summary!B491,'Pre-Summary'!$A$6:$P$184,7, FALSE)/100,AE492)</f>
        <v>1.0624666666666666E-2</v>
      </c>
      <c r="AF491" s="99">
        <f t="shared" si="22"/>
        <v>0.26665819698259696</v>
      </c>
      <c r="AG491" s="99">
        <f t="shared" si="23"/>
        <v>5.8365133150421224E-3</v>
      </c>
      <c r="AH491" s="10" t="str">
        <f>IFERROR(VLOOKUP(B491,'Pre-Summary'!$AZ$6:$BE$65,3,FALSE),"")</f>
        <v/>
      </c>
      <c r="AI491" s="10" t="str">
        <f>IFERROR(VLOOKUP(B491,'Pre-Summary'!$AZ$6:$BE$65,5,FALSE),"")</f>
        <v/>
      </c>
      <c r="AJ491" s="10" t="str">
        <f>IFERROR(VLOOKUP(B491,'Pre-Summary'!$AZ$6:$BE$65,4,FALSE),"")</f>
        <v/>
      </c>
      <c r="AK491" s="10" t="str">
        <f>IFERROR(VLOOKUP(B491,'Pre-Summary'!$AZ$6:$BE$65,6,FALSE),"")</f>
        <v/>
      </c>
      <c r="AL491" s="10" t="str">
        <f>IFERROR(VLOOKUP(B491,'Pre-Summary'!$BG$6:$BL$44,3,FALSE),"")</f>
        <v/>
      </c>
      <c r="AM491" s="10" t="str">
        <f>IFERROR(VLOOKUP(B491,'Pre-Summary'!$BG$6:$BL$44,4,FALSE),"")</f>
        <v/>
      </c>
    </row>
    <row r="492" spans="2:39" ht="15" customHeight="1" x14ac:dyDescent="0.3">
      <c r="B492">
        <v>48.9</v>
      </c>
      <c r="C492" t="str">
        <f>IFERROR(VLOOKUP(B492,'Pre-Summary'!$DI$6:$DM$23,4,FALSE),"")</f>
        <v/>
      </c>
      <c r="D492" s="10" t="str">
        <f>IFERROR(VLOOKUP(B492,'Pre-Summary'!$AT$6:$AX$14,5,FALSE),D491)</f>
        <v>DSMZ v2: Dropped Na-Ac out of DSMZ 120 media</v>
      </c>
      <c r="E492" s="10" t="str">
        <f>IFERROR(VLOOKUP(B492,'Pre-Summary'!$AT$6:$AX$15,4,FALSE),"")</f>
        <v/>
      </c>
      <c r="F492">
        <f>IFERROR(VLOOKUP(B492,'Pre-Summary'!$AL$6:$AQ$13,6,FALSE),F491)</f>
        <v>5.9405263157894746E-2</v>
      </c>
      <c r="G492" t="str">
        <f>IFERROR(VLOOKUP(B492,'Pre-Summary'!$AE$6:$AJ$85,3,FALSE),"")</f>
        <v/>
      </c>
      <c r="H492" t="str">
        <f>IFERROR(VLOOKUP(B492,'Pre-Summary'!$AE$6:$AJ$85,4,FALSE),"")</f>
        <v/>
      </c>
      <c r="I492" t="str">
        <f>IFERROR(VLOOKUP(B492,'Pre-Summary'!$AE$6:$AJ$85,5,FALSE),"")</f>
        <v/>
      </c>
      <c r="J492" s="45" t="str">
        <f>IFERROR(VLOOKUP(B492,'Pre-Summary'!$AE$6:$AJ$85,6, FALSE),"")</f>
        <v/>
      </c>
      <c r="K492" s="45" t="str">
        <f>IFERROR(VLOOKUP(B492,'Pre-Summary'!$DE$6:$DG$61,3,FALSE),"")</f>
        <v/>
      </c>
      <c r="L492" s="45" t="str">
        <f>IFERROR(VLOOKUP(B492,'Pre-Summary'!$CU$6:$CW$36,3,FALSE),"")</f>
        <v/>
      </c>
      <c r="M492" s="45" t="str">
        <f>IFERROR(VLOOKUP(B492,'Pre-Summary'!$BW$6:$BY$58,2,FALSE),"")</f>
        <v/>
      </c>
      <c r="N492" s="45" t="str">
        <f>IFERROR(VLOOKUP(B492,'Pre-Summary'!$CD$6:$CF$64,2,FALSE),"")</f>
        <v/>
      </c>
      <c r="O492" s="99">
        <f>IFERROR(VLOOKUP(B492,'Pre-Summary'!$BO$6:$BQ$48,3, FALSE),O491)</f>
        <v>1.0915248032216731</v>
      </c>
      <c r="P492" s="99">
        <f>IFERROR(VLOOKUP(B492,'Pre-Summary'!$BS$6:$BU$35,3,FALSE),P491)</f>
        <v>0.25</v>
      </c>
      <c r="Q492" s="54">
        <f t="shared" si="21"/>
        <v>4.3660992128866924</v>
      </c>
      <c r="R492" s="53">
        <f>IFERROR(VLOOKUP(B492,'Pre-Summary'!$BG$6:$BM$44,7,FALSE),R493)</f>
        <v>7.5915763918363535E-2</v>
      </c>
      <c r="S492" s="53">
        <f>IFERROR(VLOOKUP(B492,'Pre-Summary'!$BG$6:$BM$44,6,FALSE),S493)</f>
        <v>5.2897473997019086E-2</v>
      </c>
      <c r="T492" s="45" t="str">
        <f>IFERROR(VLOOKUP(B492,'Pre-Summary'!$Y$6:$AC$83, 3,FALSE),"")</f>
        <v/>
      </c>
      <c r="U492" s="45" t="str">
        <f>IFERROR(VLOOKUP(B492,'Pre-Summary'!$Y$6:$AC$83, 4,FALSE),"")</f>
        <v/>
      </c>
      <c r="V492" t="str">
        <f>IFERROR(VLOOKUP(B492,'Pre-Summary'!$Y$6:$AC$83, 5,FALSE),"")</f>
        <v/>
      </c>
      <c r="W492" s="45" t="str">
        <f>IFERROR(VLOOKUP(B492,'Pre-Summary'!$Y$6:$AD$83,6,FALSE),"")</f>
        <v/>
      </c>
      <c r="X492" t="str">
        <f>IFERROR(VLOOKUP('Pre-Summary'!$DB$6:$DD$63,3,FALSE),"")</f>
        <v/>
      </c>
      <c r="Y492" t="str">
        <f>IFERROR(VLOOKUP(B492,'Pre-Summary'!$CR$6:$CT$36,3,FALSE),"")</f>
        <v/>
      </c>
      <c r="Z492" s="45" t="str">
        <f>IFERROR(VLOOKUP(B492,'Pre-Summary'!$BZ$6:$CB$63,2,FALSE),"")</f>
        <v/>
      </c>
      <c r="AA492" s="45" t="str">
        <f>IFERROR(VLOOKUP(B492,'Pre-Summary'!$CG$6:$CI$70,2,FALSE),"")</f>
        <v/>
      </c>
      <c r="AB492" s="99">
        <f>IFERROR(VLOOKUP(B492,'Pre-Summary'!$A$6:$P$178,9,FALSE),AB493)</f>
        <v>0.54933613431406059</v>
      </c>
      <c r="AC492" s="10">
        <f>IFERROR(VLOOKUP(Summary!B492,'Pre-Summary'!$A$6:$P$184,5, FALSE)/100,AC493)</f>
        <v>0.50395600000000007</v>
      </c>
      <c r="AD492" s="10">
        <f>IFERROR(VLOOKUP(Summary!B492,'Pre-Summary'!$A$6:$P$184,3, FALSE)/100,AD493)</f>
        <v>0.48541899999999999</v>
      </c>
      <c r="AE492" s="10">
        <f>IFERROR(VLOOKUP(Summary!B492,'Pre-Summary'!$A$6:$P$184,7, FALSE)/100,AE493)</f>
        <v>1.0624666666666666E-2</v>
      </c>
      <c r="AF492" s="99">
        <f t="shared" si="22"/>
        <v>0.26665819698259696</v>
      </c>
      <c r="AG492" s="99">
        <f t="shared" si="23"/>
        <v>5.8365133150421224E-3</v>
      </c>
      <c r="AH492" s="10" t="str">
        <f>IFERROR(VLOOKUP(B492,'Pre-Summary'!$AZ$6:$BE$65,3,FALSE),"")</f>
        <v/>
      </c>
      <c r="AI492" s="10" t="str">
        <f>IFERROR(VLOOKUP(B492,'Pre-Summary'!$AZ$6:$BE$65,5,FALSE),"")</f>
        <v/>
      </c>
      <c r="AJ492" s="10" t="str">
        <f>IFERROR(VLOOKUP(B492,'Pre-Summary'!$AZ$6:$BE$65,4,FALSE),"")</f>
        <v/>
      </c>
      <c r="AK492" s="10" t="str">
        <f>IFERROR(VLOOKUP(B492,'Pre-Summary'!$AZ$6:$BE$65,6,FALSE),"")</f>
        <v/>
      </c>
      <c r="AL492" s="10" t="str">
        <f>IFERROR(VLOOKUP(B492,'Pre-Summary'!$BG$6:$BL$44,3,FALSE),"")</f>
        <v/>
      </c>
      <c r="AM492" s="10" t="str">
        <f>IFERROR(VLOOKUP(B492,'Pre-Summary'!$BG$6:$BL$44,4,FALSE),"")</f>
        <v/>
      </c>
    </row>
    <row r="493" spans="2:39" ht="15" customHeight="1" x14ac:dyDescent="0.3">
      <c r="B493">
        <v>49</v>
      </c>
      <c r="C493" t="str">
        <f>IFERROR(VLOOKUP(B493,'Pre-Summary'!$DI$6:$DM$23,4,FALSE),"")</f>
        <v/>
      </c>
      <c r="D493" s="10" t="str">
        <f>IFERROR(VLOOKUP(B493,'Pre-Summary'!$AT$6:$AX$14,5,FALSE),D492)</f>
        <v>DSMZ v2: Dropped Na-Ac out of DSMZ 120 media</v>
      </c>
      <c r="E493" s="10" t="str">
        <f>IFERROR(VLOOKUP(B493,'Pre-Summary'!$AT$6:$AX$15,4,FALSE),"")</f>
        <v/>
      </c>
      <c r="F493">
        <f>IFERROR(VLOOKUP(B493,'Pre-Summary'!$AL$6:$AQ$13,6,FALSE),F492)</f>
        <v>5.9405263157894746E-2</v>
      </c>
      <c r="G493" t="str">
        <f>IFERROR(VLOOKUP(B493,'Pre-Summary'!$AE$6:$AJ$85,3,FALSE),"")</f>
        <v/>
      </c>
      <c r="H493" t="str">
        <f>IFERROR(VLOOKUP(B493,'Pre-Summary'!$AE$6:$AJ$85,4,FALSE),"")</f>
        <v/>
      </c>
      <c r="I493" t="str">
        <f>IFERROR(VLOOKUP(B493,'Pre-Summary'!$AE$6:$AJ$85,5,FALSE),"")</f>
        <v/>
      </c>
      <c r="J493" s="45" t="str">
        <f>IFERROR(VLOOKUP(B493,'Pre-Summary'!$AE$6:$AJ$85,6, FALSE),"")</f>
        <v/>
      </c>
      <c r="K493" s="45" t="str">
        <f>IFERROR(VLOOKUP(B493,'Pre-Summary'!$DE$6:$DG$61,3,FALSE),"")</f>
        <v/>
      </c>
      <c r="L493" s="45" t="str">
        <f>IFERROR(VLOOKUP(B493,'Pre-Summary'!$CU$6:$CW$36,3,FALSE),"")</f>
        <v/>
      </c>
      <c r="M493" s="45" t="str">
        <f>IFERROR(VLOOKUP(B493,'Pre-Summary'!$BW$6:$BY$58,2,FALSE),"")</f>
        <v/>
      </c>
      <c r="N493" s="45" t="str">
        <f>IFERROR(VLOOKUP(B493,'Pre-Summary'!$CD$6:$CF$64,2,FALSE),"")</f>
        <v/>
      </c>
      <c r="O493" s="99">
        <f>IFERROR(VLOOKUP(B493,'Pre-Summary'!$BO$6:$BQ$48,3, FALSE),O492)</f>
        <v>1.0915248032216731</v>
      </c>
      <c r="P493" s="99">
        <f>IFERROR(VLOOKUP(B493,'Pre-Summary'!$BS$6:$BU$35,3,FALSE),P492)</f>
        <v>0.25</v>
      </c>
      <c r="Q493" s="54">
        <f t="shared" si="21"/>
        <v>4.3660992128866924</v>
      </c>
      <c r="R493" s="53">
        <f>IFERROR(VLOOKUP(B493,'Pre-Summary'!$BG$6:$BM$44,7,FALSE),R494)</f>
        <v>7.5915763918363535E-2</v>
      </c>
      <c r="S493" s="53">
        <f>IFERROR(VLOOKUP(B493,'Pre-Summary'!$BG$6:$BM$44,6,FALSE),S494)</f>
        <v>5.2897473997019086E-2</v>
      </c>
      <c r="T493" s="45" t="str">
        <f>IFERROR(VLOOKUP(B493,'Pre-Summary'!$Y$6:$AC$83, 3,FALSE),"")</f>
        <v/>
      </c>
      <c r="U493" s="45" t="str">
        <f>IFERROR(VLOOKUP(B493,'Pre-Summary'!$Y$6:$AC$83, 4,FALSE),"")</f>
        <v/>
      </c>
      <c r="V493" t="str">
        <f>IFERROR(VLOOKUP(B493,'Pre-Summary'!$Y$6:$AC$83, 5,FALSE),"")</f>
        <v/>
      </c>
      <c r="W493" s="45" t="str">
        <f>IFERROR(VLOOKUP(B493,'Pre-Summary'!$Y$6:$AD$83,6,FALSE),"")</f>
        <v/>
      </c>
      <c r="X493" t="str">
        <f>IFERROR(VLOOKUP('Pre-Summary'!$DB$6:$DD$63,3,FALSE),"")</f>
        <v/>
      </c>
      <c r="Y493" t="str">
        <f>IFERROR(VLOOKUP(B493,'Pre-Summary'!$CR$6:$CT$36,3,FALSE),"")</f>
        <v/>
      </c>
      <c r="Z493" s="45" t="str">
        <f>IFERROR(VLOOKUP(B493,'Pre-Summary'!$BZ$6:$CB$63,2,FALSE),"")</f>
        <v/>
      </c>
      <c r="AA493" s="45" t="str">
        <f>IFERROR(VLOOKUP(B493,'Pre-Summary'!$CG$6:$CI$70,2,FALSE),"")</f>
        <v/>
      </c>
      <c r="AB493" s="99">
        <f>IFERROR(VLOOKUP(B493,'Pre-Summary'!$A$6:$P$178,9,FALSE),AB494)</f>
        <v>0.54933613431406059</v>
      </c>
      <c r="AC493" s="10">
        <f>IFERROR(VLOOKUP(Summary!B493,'Pre-Summary'!$A$6:$P$184,5, FALSE)/100,AC494)</f>
        <v>0.50395600000000007</v>
      </c>
      <c r="AD493" s="10">
        <f>IFERROR(VLOOKUP(Summary!B493,'Pre-Summary'!$A$6:$P$184,3, FALSE)/100,AD494)</f>
        <v>0.48541899999999999</v>
      </c>
      <c r="AE493" s="10">
        <f>IFERROR(VLOOKUP(Summary!B493,'Pre-Summary'!$A$6:$P$184,7, FALSE)/100,AE494)</f>
        <v>1.0624666666666666E-2</v>
      </c>
      <c r="AF493" s="99">
        <f t="shared" si="22"/>
        <v>0.26665819698259696</v>
      </c>
      <c r="AG493" s="99">
        <f t="shared" si="23"/>
        <v>5.8365133150421224E-3</v>
      </c>
      <c r="AH493" s="10" t="str">
        <f>IFERROR(VLOOKUP(B493,'Pre-Summary'!$AZ$6:$BE$65,3,FALSE),"")</f>
        <v/>
      </c>
      <c r="AI493" s="10" t="str">
        <f>IFERROR(VLOOKUP(B493,'Pre-Summary'!$AZ$6:$BE$65,5,FALSE),"")</f>
        <v/>
      </c>
      <c r="AJ493" s="10" t="str">
        <f>IFERROR(VLOOKUP(B493,'Pre-Summary'!$AZ$6:$BE$65,4,FALSE),"")</f>
        <v/>
      </c>
      <c r="AK493" s="10" t="str">
        <f>IFERROR(VLOOKUP(B493,'Pre-Summary'!$AZ$6:$BE$65,6,FALSE),"")</f>
        <v/>
      </c>
      <c r="AL493" s="10" t="str">
        <f>IFERROR(VLOOKUP(B493,'Pre-Summary'!$BG$6:$BL$44,3,FALSE),"")</f>
        <v/>
      </c>
      <c r="AM493" s="10" t="str">
        <f>IFERROR(VLOOKUP(B493,'Pre-Summary'!$BG$6:$BL$44,4,FALSE),"")</f>
        <v/>
      </c>
    </row>
    <row r="494" spans="2:39" ht="15" customHeight="1" x14ac:dyDescent="0.3">
      <c r="B494">
        <v>49.1</v>
      </c>
      <c r="C494" t="str">
        <f>IFERROR(VLOOKUP(B494,'Pre-Summary'!$DI$6:$DM$23,4,FALSE),"")</f>
        <v/>
      </c>
      <c r="D494" s="10" t="str">
        <f>IFERROR(VLOOKUP(B494,'Pre-Summary'!$AT$6:$AX$14,5,FALSE),D493)</f>
        <v>DSMZ v2: Dropped Na-Ac out of DSMZ 120 media</v>
      </c>
      <c r="E494" s="10" t="str">
        <f>IFERROR(VLOOKUP(B494,'Pre-Summary'!$AT$6:$AX$15,4,FALSE),"")</f>
        <v/>
      </c>
      <c r="F494">
        <f>IFERROR(VLOOKUP(B494,'Pre-Summary'!$AL$6:$AQ$13,6,FALSE),F493)</f>
        <v>5.9405263157894746E-2</v>
      </c>
      <c r="G494" t="str">
        <f>IFERROR(VLOOKUP(B494,'Pre-Summary'!$AE$6:$AJ$85,3,FALSE),"")</f>
        <v/>
      </c>
      <c r="H494" t="str">
        <f>IFERROR(VLOOKUP(B494,'Pre-Summary'!$AE$6:$AJ$85,4,FALSE),"")</f>
        <v/>
      </c>
      <c r="I494" t="str">
        <f>IFERROR(VLOOKUP(B494,'Pre-Summary'!$AE$6:$AJ$85,5,FALSE),"")</f>
        <v/>
      </c>
      <c r="J494" s="45" t="str">
        <f>IFERROR(VLOOKUP(B494,'Pre-Summary'!$AE$6:$AJ$85,6, FALSE),"")</f>
        <v/>
      </c>
      <c r="K494" s="45" t="str">
        <f>IFERROR(VLOOKUP(B494,'Pre-Summary'!$DE$6:$DG$61,3,FALSE),"")</f>
        <v/>
      </c>
      <c r="L494" s="45" t="str">
        <f>IFERROR(VLOOKUP(B494,'Pre-Summary'!$CU$6:$CW$36,3,FALSE),"")</f>
        <v/>
      </c>
      <c r="M494" s="45" t="str">
        <f>IFERROR(VLOOKUP(B494,'Pre-Summary'!$BW$6:$BY$58,2,FALSE),"")</f>
        <v/>
      </c>
      <c r="N494" s="45" t="str">
        <f>IFERROR(VLOOKUP(B494,'Pre-Summary'!$CD$6:$CF$64,2,FALSE),"")</f>
        <v/>
      </c>
      <c r="O494" s="99">
        <f>IFERROR(VLOOKUP(B494,'Pre-Summary'!$BO$6:$BQ$48,3, FALSE),O493)</f>
        <v>1.0915248032216731</v>
      </c>
      <c r="P494" s="99">
        <f>IFERROR(VLOOKUP(B494,'Pre-Summary'!$BS$6:$BU$35,3,FALSE),P493)</f>
        <v>0.25</v>
      </c>
      <c r="Q494" s="54">
        <f t="shared" si="21"/>
        <v>4.3660992128866924</v>
      </c>
      <c r="R494" s="53">
        <f>IFERROR(VLOOKUP(B494,'Pre-Summary'!$BG$6:$BM$44,7,FALSE),R495)</f>
        <v>7.5915763918363535E-2</v>
      </c>
      <c r="S494" s="53">
        <f>IFERROR(VLOOKUP(B494,'Pre-Summary'!$BG$6:$BM$44,6,FALSE),S495)</f>
        <v>5.2897473997019086E-2</v>
      </c>
      <c r="T494" s="45" t="str">
        <f>IFERROR(VLOOKUP(B494,'Pre-Summary'!$Y$6:$AC$83, 3,FALSE),"")</f>
        <v/>
      </c>
      <c r="U494" s="45" t="str">
        <f>IFERROR(VLOOKUP(B494,'Pre-Summary'!$Y$6:$AC$83, 4,FALSE),"")</f>
        <v/>
      </c>
      <c r="V494" t="str">
        <f>IFERROR(VLOOKUP(B494,'Pre-Summary'!$Y$6:$AC$83, 5,FALSE),"")</f>
        <v/>
      </c>
      <c r="W494" s="45" t="str">
        <f>IFERROR(VLOOKUP(B494,'Pre-Summary'!$Y$6:$AD$83,6,FALSE),"")</f>
        <v/>
      </c>
      <c r="X494" t="str">
        <f>IFERROR(VLOOKUP('Pre-Summary'!$DB$6:$DD$63,3,FALSE),"")</f>
        <v/>
      </c>
      <c r="Y494" t="str">
        <f>IFERROR(VLOOKUP(B494,'Pre-Summary'!$CR$6:$CT$36,3,FALSE),"")</f>
        <v/>
      </c>
      <c r="Z494" s="45" t="str">
        <f>IFERROR(VLOOKUP(B494,'Pre-Summary'!$BZ$6:$CB$63,2,FALSE),"")</f>
        <v/>
      </c>
      <c r="AA494" s="45" t="str">
        <f>IFERROR(VLOOKUP(B494,'Pre-Summary'!$CG$6:$CI$70,2,FALSE),"")</f>
        <v/>
      </c>
      <c r="AB494" s="99">
        <f>IFERROR(VLOOKUP(B494,'Pre-Summary'!$A$6:$P$178,9,FALSE),AB495)</f>
        <v>0.54933613431406059</v>
      </c>
      <c r="AC494" s="10">
        <f>IFERROR(VLOOKUP(Summary!B494,'Pre-Summary'!$A$6:$P$184,5, FALSE)/100,AC495)</f>
        <v>0.50395600000000007</v>
      </c>
      <c r="AD494" s="10">
        <f>IFERROR(VLOOKUP(Summary!B494,'Pre-Summary'!$A$6:$P$184,3, FALSE)/100,AD495)</f>
        <v>0.48541899999999999</v>
      </c>
      <c r="AE494" s="10">
        <f>IFERROR(VLOOKUP(Summary!B494,'Pre-Summary'!$A$6:$P$184,7, FALSE)/100,AE495)</f>
        <v>1.0624666666666666E-2</v>
      </c>
      <c r="AF494" s="99">
        <f t="shared" si="22"/>
        <v>0.26665819698259696</v>
      </c>
      <c r="AG494" s="99">
        <f t="shared" si="23"/>
        <v>5.8365133150421224E-3</v>
      </c>
      <c r="AH494" s="10" t="str">
        <f>IFERROR(VLOOKUP(B494,'Pre-Summary'!$AZ$6:$BE$65,3,FALSE),"")</f>
        <v/>
      </c>
      <c r="AI494" s="10" t="str">
        <f>IFERROR(VLOOKUP(B494,'Pre-Summary'!$AZ$6:$BE$65,5,FALSE),"")</f>
        <v/>
      </c>
      <c r="AJ494" s="10" t="str">
        <f>IFERROR(VLOOKUP(B494,'Pre-Summary'!$AZ$6:$BE$65,4,FALSE),"")</f>
        <v/>
      </c>
      <c r="AK494" s="10" t="str">
        <f>IFERROR(VLOOKUP(B494,'Pre-Summary'!$AZ$6:$BE$65,6,FALSE),"")</f>
        <v/>
      </c>
      <c r="AL494" s="10" t="str">
        <f>IFERROR(VLOOKUP(B494,'Pre-Summary'!$BG$6:$BL$44,3,FALSE),"")</f>
        <v/>
      </c>
      <c r="AM494" s="10" t="str">
        <f>IFERROR(VLOOKUP(B494,'Pre-Summary'!$BG$6:$BL$44,4,FALSE),"")</f>
        <v/>
      </c>
    </row>
    <row r="495" spans="2:39" ht="15" customHeight="1" x14ac:dyDescent="0.3">
      <c r="B495">
        <v>49.2</v>
      </c>
      <c r="C495" t="str">
        <f>IFERROR(VLOOKUP(B495,'Pre-Summary'!$DI$6:$DM$23,4,FALSE),"")</f>
        <v/>
      </c>
      <c r="D495" s="10" t="str">
        <f>IFERROR(VLOOKUP(B495,'Pre-Summary'!$AT$6:$AX$14,5,FALSE),D494)</f>
        <v>DSMZ v2: Dropped Na-Ac out of DSMZ 120 media</v>
      </c>
      <c r="E495" s="10" t="str">
        <f>IFERROR(VLOOKUP(B495,'Pre-Summary'!$AT$6:$AX$15,4,FALSE),"")</f>
        <v/>
      </c>
      <c r="F495">
        <f>IFERROR(VLOOKUP(B495,'Pre-Summary'!$AL$6:$AQ$13,6,FALSE),F494)</f>
        <v>5.9405263157894746E-2</v>
      </c>
      <c r="G495" t="str">
        <f>IFERROR(VLOOKUP(B495,'Pre-Summary'!$AE$6:$AJ$85,3,FALSE),"")</f>
        <v/>
      </c>
      <c r="H495" t="str">
        <f>IFERROR(VLOOKUP(B495,'Pre-Summary'!$AE$6:$AJ$85,4,FALSE),"")</f>
        <v/>
      </c>
      <c r="I495" t="str">
        <f>IFERROR(VLOOKUP(B495,'Pre-Summary'!$AE$6:$AJ$85,5,FALSE),"")</f>
        <v/>
      </c>
      <c r="J495" s="45" t="str">
        <f>IFERROR(VLOOKUP(B495,'Pre-Summary'!$AE$6:$AJ$85,6, FALSE),"")</f>
        <v/>
      </c>
      <c r="K495" s="45" t="str">
        <f>IFERROR(VLOOKUP(B495,'Pre-Summary'!$DE$6:$DG$61,3,FALSE),"")</f>
        <v/>
      </c>
      <c r="L495" s="45" t="str">
        <f>IFERROR(VLOOKUP(B495,'Pre-Summary'!$CU$6:$CW$36,3,FALSE),"")</f>
        <v/>
      </c>
      <c r="M495" s="45" t="str">
        <f>IFERROR(VLOOKUP(B495,'Pre-Summary'!$BW$6:$BY$58,2,FALSE),"")</f>
        <v/>
      </c>
      <c r="N495" s="45" t="str">
        <f>IFERROR(VLOOKUP(B495,'Pre-Summary'!$CD$6:$CF$64,2,FALSE),"")</f>
        <v/>
      </c>
      <c r="O495" s="99">
        <f>IFERROR(VLOOKUP(B495,'Pre-Summary'!$BO$6:$BQ$48,3, FALSE),O494)</f>
        <v>1.0915248032216731</v>
      </c>
      <c r="P495" s="99">
        <f>IFERROR(VLOOKUP(B495,'Pre-Summary'!$BS$6:$BU$35,3,FALSE),P494)</f>
        <v>0.25</v>
      </c>
      <c r="Q495" s="54">
        <f t="shared" si="21"/>
        <v>4.3660992128866924</v>
      </c>
      <c r="R495" s="53">
        <f>IFERROR(VLOOKUP(B495,'Pre-Summary'!$BG$6:$BM$44,7,FALSE),R496)</f>
        <v>7.5915763918363535E-2</v>
      </c>
      <c r="S495" s="53">
        <f>IFERROR(VLOOKUP(B495,'Pre-Summary'!$BG$6:$BM$44,6,FALSE),S496)</f>
        <v>5.2897473997019086E-2</v>
      </c>
      <c r="T495" s="45" t="str">
        <f>IFERROR(VLOOKUP(B495,'Pre-Summary'!$Y$6:$AC$83, 3,FALSE),"")</f>
        <v/>
      </c>
      <c r="U495" s="45" t="str">
        <f>IFERROR(VLOOKUP(B495,'Pre-Summary'!$Y$6:$AC$83, 4,FALSE),"")</f>
        <v/>
      </c>
      <c r="V495" t="str">
        <f>IFERROR(VLOOKUP(B495,'Pre-Summary'!$Y$6:$AC$83, 5,FALSE),"")</f>
        <v/>
      </c>
      <c r="W495" s="45" t="str">
        <f>IFERROR(VLOOKUP(B495,'Pre-Summary'!$Y$6:$AD$83,6,FALSE),"")</f>
        <v/>
      </c>
      <c r="X495" t="str">
        <f>IFERROR(VLOOKUP('Pre-Summary'!$DB$6:$DD$63,3,FALSE),"")</f>
        <v/>
      </c>
      <c r="Y495" t="str">
        <f>IFERROR(VLOOKUP(B495,'Pre-Summary'!$CR$6:$CT$36,3,FALSE),"")</f>
        <v/>
      </c>
      <c r="Z495" s="45" t="str">
        <f>IFERROR(VLOOKUP(B495,'Pre-Summary'!$BZ$6:$CB$63,2,FALSE),"")</f>
        <v/>
      </c>
      <c r="AA495" s="45" t="str">
        <f>IFERROR(VLOOKUP(B495,'Pre-Summary'!$CG$6:$CI$70,2,FALSE),"")</f>
        <v/>
      </c>
      <c r="AB495" s="99">
        <f>IFERROR(VLOOKUP(B495,'Pre-Summary'!$A$6:$P$178,9,FALSE),AB496)</f>
        <v>0.87858471235308822</v>
      </c>
      <c r="AC495" s="10">
        <f>IFERROR(VLOOKUP(Summary!B495,'Pre-Summary'!$A$6:$P$184,5, FALSE)/100,AC496)</f>
        <v>0.67272566666666667</v>
      </c>
      <c r="AD495" s="10">
        <f>IFERROR(VLOOKUP(Summary!B495,'Pre-Summary'!$A$6:$P$184,3, FALSE)/100,AD496)</f>
        <v>8.9092333333333329E-2</v>
      </c>
      <c r="AE495" s="10">
        <f>IFERROR(VLOOKUP(Summary!B495,'Pre-Summary'!$A$6:$P$184,7, FALSE)/100,AE496)</f>
        <v>0.23818233333333336</v>
      </c>
      <c r="AF495" s="99">
        <f t="shared" si="22"/>
        <v>7.827516205453211E-2</v>
      </c>
      <c r="AG495" s="99">
        <f t="shared" si="23"/>
        <v>0.20926335681925406</v>
      </c>
      <c r="AH495" s="10" t="str">
        <f>IFERROR(VLOOKUP(B495,'Pre-Summary'!$AZ$6:$BE$65,3,FALSE),"")</f>
        <v/>
      </c>
      <c r="AI495" s="10" t="str">
        <f>IFERROR(VLOOKUP(B495,'Pre-Summary'!$AZ$6:$BE$65,5,FALSE),"")</f>
        <v/>
      </c>
      <c r="AJ495" s="10" t="str">
        <f>IFERROR(VLOOKUP(B495,'Pre-Summary'!$AZ$6:$BE$65,4,FALSE),"")</f>
        <v/>
      </c>
      <c r="AK495" s="10" t="str">
        <f>IFERROR(VLOOKUP(B495,'Pre-Summary'!$AZ$6:$BE$65,6,FALSE),"")</f>
        <v/>
      </c>
      <c r="AL495" s="10" t="str">
        <f>IFERROR(VLOOKUP(B495,'Pre-Summary'!$BG$6:$BL$44,3,FALSE),"")</f>
        <v/>
      </c>
      <c r="AM495" s="10" t="str">
        <f>IFERROR(VLOOKUP(B495,'Pre-Summary'!$BG$6:$BL$44,4,FALSE),"")</f>
        <v/>
      </c>
    </row>
    <row r="496" spans="2:39" ht="15" customHeight="1" x14ac:dyDescent="0.3">
      <c r="B496">
        <v>49.3</v>
      </c>
      <c r="C496" t="str">
        <f>IFERROR(VLOOKUP(B496,'Pre-Summary'!$DI$6:$DM$23,4,FALSE),"")</f>
        <v/>
      </c>
      <c r="D496" s="10" t="str">
        <f>IFERROR(VLOOKUP(B496,'Pre-Summary'!$AT$6:$AX$14,5,FALSE),D495)</f>
        <v>DSMZ v2: Dropped Na-Ac out of DSMZ 120 media</v>
      </c>
      <c r="E496" s="10" t="str">
        <f>IFERROR(VLOOKUP(B496,'Pre-Summary'!$AT$6:$AX$15,4,FALSE),"")</f>
        <v/>
      </c>
      <c r="F496">
        <f>IFERROR(VLOOKUP(B496,'Pre-Summary'!$AL$6:$AQ$13,6,FALSE),F495)</f>
        <v>5.9405263157894746E-2</v>
      </c>
      <c r="G496" t="str">
        <f>IFERROR(VLOOKUP(B496,'Pre-Summary'!$AE$6:$AJ$85,3,FALSE),"")</f>
        <v/>
      </c>
      <c r="H496" t="str">
        <f>IFERROR(VLOOKUP(B496,'Pre-Summary'!$AE$6:$AJ$85,4,FALSE),"")</f>
        <v/>
      </c>
      <c r="I496" t="str">
        <f>IFERROR(VLOOKUP(B496,'Pre-Summary'!$AE$6:$AJ$85,5,FALSE),"")</f>
        <v/>
      </c>
      <c r="J496" s="45" t="str">
        <f>IFERROR(VLOOKUP(B496,'Pre-Summary'!$AE$6:$AJ$85,6, FALSE),"")</f>
        <v/>
      </c>
      <c r="K496" s="45" t="str">
        <f>IFERROR(VLOOKUP(B496,'Pre-Summary'!$DE$6:$DG$61,3,FALSE),"")</f>
        <v/>
      </c>
      <c r="L496" s="45" t="str">
        <f>IFERROR(VLOOKUP(B496,'Pre-Summary'!$CU$6:$CW$36,3,FALSE),"")</f>
        <v/>
      </c>
      <c r="M496" s="45" t="str">
        <f>IFERROR(VLOOKUP(B496,'Pre-Summary'!$BW$6:$BY$58,2,FALSE),"")</f>
        <v/>
      </c>
      <c r="N496" s="45" t="str">
        <f>IFERROR(VLOOKUP(B496,'Pre-Summary'!$CD$6:$CF$64,2,FALSE),"")</f>
        <v/>
      </c>
      <c r="O496" s="99">
        <f>IFERROR(VLOOKUP(B496,'Pre-Summary'!$BO$6:$BQ$48,3, FALSE),O495)</f>
        <v>1.0915248032216731</v>
      </c>
      <c r="P496" s="99">
        <f>IFERROR(VLOOKUP(B496,'Pre-Summary'!$BS$6:$BU$35,3,FALSE),P495)</f>
        <v>0.25</v>
      </c>
      <c r="Q496" s="54">
        <f t="shared" si="21"/>
        <v>4.3660992128866924</v>
      </c>
      <c r="R496" s="53">
        <f>IFERROR(VLOOKUP(B496,'Pre-Summary'!$BG$6:$BM$44,7,FALSE),R497)</f>
        <v>7.5915763918363535E-2</v>
      </c>
      <c r="S496" s="53">
        <f>IFERROR(VLOOKUP(B496,'Pre-Summary'!$BG$6:$BM$44,6,FALSE),S497)</f>
        <v>5.2897473997019086E-2</v>
      </c>
      <c r="T496" s="45" t="str">
        <f>IFERROR(VLOOKUP(B496,'Pre-Summary'!$Y$6:$AC$83, 3,FALSE),"")</f>
        <v/>
      </c>
      <c r="U496" s="45" t="str">
        <f>IFERROR(VLOOKUP(B496,'Pre-Summary'!$Y$6:$AC$83, 4,FALSE),"")</f>
        <v/>
      </c>
      <c r="V496" t="str">
        <f>IFERROR(VLOOKUP(B496,'Pre-Summary'!$Y$6:$AC$83, 5,FALSE),"")</f>
        <v/>
      </c>
      <c r="W496" s="45" t="str">
        <f>IFERROR(VLOOKUP(B496,'Pre-Summary'!$Y$6:$AD$83,6,FALSE),"")</f>
        <v/>
      </c>
      <c r="X496" t="str">
        <f>IFERROR(VLOOKUP('Pre-Summary'!$DB$6:$DD$63,3,FALSE),"")</f>
        <v/>
      </c>
      <c r="Y496" t="str">
        <f>IFERROR(VLOOKUP(B496,'Pre-Summary'!$CR$6:$CT$36,3,FALSE),"")</f>
        <v/>
      </c>
      <c r="Z496" s="45" t="str">
        <f>IFERROR(VLOOKUP(B496,'Pre-Summary'!$BZ$6:$CB$63,2,FALSE),"")</f>
        <v/>
      </c>
      <c r="AA496" s="45" t="str">
        <f>IFERROR(VLOOKUP(B496,'Pre-Summary'!$CG$6:$CI$70,2,FALSE),"")</f>
        <v/>
      </c>
      <c r="AB496" s="99">
        <f>IFERROR(VLOOKUP(B496,'Pre-Summary'!$A$6:$P$178,9,FALSE),AB497)</f>
        <v>0.87858471235308822</v>
      </c>
      <c r="AC496" s="10">
        <f>IFERROR(VLOOKUP(Summary!B496,'Pre-Summary'!$A$6:$P$184,5, FALSE)/100,AC497)</f>
        <v>0.67272566666666667</v>
      </c>
      <c r="AD496" s="10">
        <f>IFERROR(VLOOKUP(Summary!B496,'Pre-Summary'!$A$6:$P$184,3, FALSE)/100,AD497)</f>
        <v>8.9092333333333329E-2</v>
      </c>
      <c r="AE496" s="10">
        <f>IFERROR(VLOOKUP(Summary!B496,'Pre-Summary'!$A$6:$P$184,7, FALSE)/100,AE497)</f>
        <v>0.23818233333333336</v>
      </c>
      <c r="AF496" s="99">
        <f t="shared" si="22"/>
        <v>7.827516205453211E-2</v>
      </c>
      <c r="AG496" s="99">
        <f t="shared" si="23"/>
        <v>0.20926335681925406</v>
      </c>
      <c r="AH496" s="10" t="str">
        <f>IFERROR(VLOOKUP(B496,'Pre-Summary'!$AZ$6:$BE$65,3,FALSE),"")</f>
        <v/>
      </c>
      <c r="AI496" s="10" t="str">
        <f>IFERROR(VLOOKUP(B496,'Pre-Summary'!$AZ$6:$BE$65,5,FALSE),"")</f>
        <v/>
      </c>
      <c r="AJ496" s="10" t="str">
        <f>IFERROR(VLOOKUP(B496,'Pre-Summary'!$AZ$6:$BE$65,4,FALSE),"")</f>
        <v/>
      </c>
      <c r="AK496" s="10" t="str">
        <f>IFERROR(VLOOKUP(B496,'Pre-Summary'!$AZ$6:$BE$65,6,FALSE),"")</f>
        <v/>
      </c>
      <c r="AL496" s="10" t="str">
        <f>IFERROR(VLOOKUP(B496,'Pre-Summary'!$BG$6:$BL$44,3,FALSE),"")</f>
        <v/>
      </c>
      <c r="AM496" s="10" t="str">
        <f>IFERROR(VLOOKUP(B496,'Pre-Summary'!$BG$6:$BL$44,4,FALSE),"")</f>
        <v/>
      </c>
    </row>
    <row r="497" spans="2:39" ht="15" customHeight="1" x14ac:dyDescent="0.3">
      <c r="B497">
        <v>49.4</v>
      </c>
      <c r="C497" t="str">
        <f>IFERROR(VLOOKUP(B497,'Pre-Summary'!$DI$6:$DM$23,4,FALSE),"")</f>
        <v/>
      </c>
      <c r="D497" s="10" t="str">
        <f>IFERROR(VLOOKUP(B497,'Pre-Summary'!$AT$6:$AX$14,5,FALSE),D496)</f>
        <v>DSMZ v2: Dropped Na-Ac out of DSMZ 120 media</v>
      </c>
      <c r="E497" s="10" t="str">
        <f>IFERROR(VLOOKUP(B497,'Pre-Summary'!$AT$6:$AX$15,4,FALSE),"")</f>
        <v/>
      </c>
      <c r="F497">
        <f>IFERROR(VLOOKUP(B497,'Pre-Summary'!$AL$6:$AQ$13,6,FALSE),F496)</f>
        <v>5.9405263157894746E-2</v>
      </c>
      <c r="G497" t="str">
        <f>IFERROR(VLOOKUP(B497,'Pre-Summary'!$AE$6:$AJ$85,3,FALSE),"")</f>
        <v/>
      </c>
      <c r="H497" t="str">
        <f>IFERROR(VLOOKUP(B497,'Pre-Summary'!$AE$6:$AJ$85,4,FALSE),"")</f>
        <v/>
      </c>
      <c r="I497" t="str">
        <f>IFERROR(VLOOKUP(B497,'Pre-Summary'!$AE$6:$AJ$85,5,FALSE),"")</f>
        <v/>
      </c>
      <c r="J497" s="45" t="str">
        <f>IFERROR(VLOOKUP(B497,'Pre-Summary'!$AE$6:$AJ$85,6, FALSE),"")</f>
        <v/>
      </c>
      <c r="K497" s="45" t="str">
        <f>IFERROR(VLOOKUP(B497,'Pre-Summary'!$DE$6:$DG$61,3,FALSE),"")</f>
        <v/>
      </c>
      <c r="L497" s="45" t="str">
        <f>IFERROR(VLOOKUP(B497,'Pre-Summary'!$CU$6:$CW$36,3,FALSE),"")</f>
        <v/>
      </c>
      <c r="M497" s="45" t="str">
        <f>IFERROR(VLOOKUP(B497,'Pre-Summary'!$BW$6:$BY$58,2,FALSE),"")</f>
        <v/>
      </c>
      <c r="N497" s="45" t="str">
        <f>IFERROR(VLOOKUP(B497,'Pre-Summary'!$CD$6:$CF$64,2,FALSE),"")</f>
        <v/>
      </c>
      <c r="O497" s="99">
        <f>IFERROR(VLOOKUP(B497,'Pre-Summary'!$BO$6:$BQ$48,3, FALSE),O496)</f>
        <v>1.0915248032216731</v>
      </c>
      <c r="P497" s="99">
        <f>IFERROR(VLOOKUP(B497,'Pre-Summary'!$BS$6:$BU$35,3,FALSE),P496)</f>
        <v>0.25</v>
      </c>
      <c r="Q497" s="54">
        <f t="shared" si="21"/>
        <v>4.3660992128866924</v>
      </c>
      <c r="R497" s="53">
        <f>IFERROR(VLOOKUP(B497,'Pre-Summary'!$BG$6:$BM$44,7,FALSE),R498)</f>
        <v>7.5915763918363535E-2</v>
      </c>
      <c r="S497" s="53">
        <f>IFERROR(VLOOKUP(B497,'Pre-Summary'!$BG$6:$BM$44,6,FALSE),S498)</f>
        <v>5.2897473997019086E-2</v>
      </c>
      <c r="T497" s="45" t="str">
        <f>IFERROR(VLOOKUP(B497,'Pre-Summary'!$Y$6:$AC$83, 3,FALSE),"")</f>
        <v/>
      </c>
      <c r="U497" s="45" t="str">
        <f>IFERROR(VLOOKUP(B497,'Pre-Summary'!$Y$6:$AC$83, 4,FALSE),"")</f>
        <v/>
      </c>
      <c r="V497" t="str">
        <f>IFERROR(VLOOKUP(B497,'Pre-Summary'!$Y$6:$AC$83, 5,FALSE),"")</f>
        <v/>
      </c>
      <c r="W497" s="45" t="str">
        <f>IFERROR(VLOOKUP(B497,'Pre-Summary'!$Y$6:$AD$83,6,FALSE),"")</f>
        <v/>
      </c>
      <c r="X497" t="str">
        <f>IFERROR(VLOOKUP('Pre-Summary'!$DB$6:$DD$63,3,FALSE),"")</f>
        <v/>
      </c>
      <c r="Y497" t="str">
        <f>IFERROR(VLOOKUP(B497,'Pre-Summary'!$CR$6:$CT$36,3,FALSE),"")</f>
        <v/>
      </c>
      <c r="Z497" s="45" t="str">
        <f>IFERROR(VLOOKUP(B497,'Pre-Summary'!$BZ$6:$CB$63,2,FALSE),"")</f>
        <v/>
      </c>
      <c r="AA497" s="45" t="str">
        <f>IFERROR(VLOOKUP(B497,'Pre-Summary'!$CG$6:$CI$70,2,FALSE),"")</f>
        <v/>
      </c>
      <c r="AB497" s="99">
        <f>IFERROR(VLOOKUP(B497,'Pre-Summary'!$A$6:$P$178,9,FALSE),AB498)</f>
        <v>0.87858471235308822</v>
      </c>
      <c r="AC497" s="10">
        <f>IFERROR(VLOOKUP(Summary!B497,'Pre-Summary'!$A$6:$P$184,5, FALSE)/100,AC498)</f>
        <v>0.67272566666666667</v>
      </c>
      <c r="AD497" s="10">
        <f>IFERROR(VLOOKUP(Summary!B497,'Pre-Summary'!$A$6:$P$184,3, FALSE)/100,AD498)</f>
        <v>8.9092333333333329E-2</v>
      </c>
      <c r="AE497" s="10">
        <f>IFERROR(VLOOKUP(Summary!B497,'Pre-Summary'!$A$6:$P$184,7, FALSE)/100,AE498)</f>
        <v>0.23818233333333336</v>
      </c>
      <c r="AF497" s="99">
        <f t="shared" si="22"/>
        <v>7.827516205453211E-2</v>
      </c>
      <c r="AG497" s="99">
        <f t="shared" si="23"/>
        <v>0.20926335681925406</v>
      </c>
      <c r="AH497" s="10" t="str">
        <f>IFERROR(VLOOKUP(B497,'Pre-Summary'!$AZ$6:$BE$65,3,FALSE),"")</f>
        <v/>
      </c>
      <c r="AI497" s="10" t="str">
        <f>IFERROR(VLOOKUP(B497,'Pre-Summary'!$AZ$6:$BE$65,5,FALSE),"")</f>
        <v/>
      </c>
      <c r="AJ497" s="10" t="str">
        <f>IFERROR(VLOOKUP(B497,'Pre-Summary'!$AZ$6:$BE$65,4,FALSE),"")</f>
        <v/>
      </c>
      <c r="AK497" s="10" t="str">
        <f>IFERROR(VLOOKUP(B497,'Pre-Summary'!$AZ$6:$BE$65,6,FALSE),"")</f>
        <v/>
      </c>
      <c r="AL497" s="10" t="str">
        <f>IFERROR(VLOOKUP(B497,'Pre-Summary'!$BG$6:$BL$44,3,FALSE),"")</f>
        <v/>
      </c>
      <c r="AM497" s="10" t="str">
        <f>IFERROR(VLOOKUP(B497,'Pre-Summary'!$BG$6:$BL$44,4,FALSE),"")</f>
        <v/>
      </c>
    </row>
    <row r="498" spans="2:39" ht="15" customHeight="1" x14ac:dyDescent="0.3">
      <c r="B498">
        <v>49.5</v>
      </c>
      <c r="C498" t="str">
        <f>IFERROR(VLOOKUP(B498,'Pre-Summary'!$DI$6:$DM$23,4,FALSE),"")</f>
        <v/>
      </c>
      <c r="D498" s="10" t="str">
        <f>IFERROR(VLOOKUP(B498,'Pre-Summary'!$AT$6:$AX$14,5,FALSE),D497)</f>
        <v>DSMZ v2: Dropped Na-Ac out of DSMZ 120 media</v>
      </c>
      <c r="E498" s="10" t="str">
        <f>IFERROR(VLOOKUP(B498,'Pre-Summary'!$AT$6:$AX$15,4,FALSE),"")</f>
        <v/>
      </c>
      <c r="F498">
        <f>IFERROR(VLOOKUP(B498,'Pre-Summary'!$AL$6:$AQ$13,6,FALSE),F497)</f>
        <v>5.9405263157894746E-2</v>
      </c>
      <c r="G498" t="str">
        <f>IFERROR(VLOOKUP(B498,'Pre-Summary'!$AE$6:$AJ$85,3,FALSE),"")</f>
        <v/>
      </c>
      <c r="H498" t="str">
        <f>IFERROR(VLOOKUP(B498,'Pre-Summary'!$AE$6:$AJ$85,4,FALSE),"")</f>
        <v/>
      </c>
      <c r="I498" t="str">
        <f>IFERROR(VLOOKUP(B498,'Pre-Summary'!$AE$6:$AJ$85,5,FALSE),"")</f>
        <v/>
      </c>
      <c r="J498" s="45" t="str">
        <f>IFERROR(VLOOKUP(B498,'Pre-Summary'!$AE$6:$AJ$85,6, FALSE),"")</f>
        <v/>
      </c>
      <c r="K498" s="45" t="str">
        <f>IFERROR(VLOOKUP(B498,'Pre-Summary'!$DE$6:$DG$61,3,FALSE),"")</f>
        <v/>
      </c>
      <c r="L498" s="45" t="str">
        <f>IFERROR(VLOOKUP(B498,'Pre-Summary'!$CU$6:$CW$36,3,FALSE),"")</f>
        <v/>
      </c>
      <c r="M498" s="45" t="str">
        <f>IFERROR(VLOOKUP(B498,'Pre-Summary'!$BW$6:$BY$58,2,FALSE),"")</f>
        <v/>
      </c>
      <c r="N498" s="45" t="str">
        <f>IFERROR(VLOOKUP(B498,'Pre-Summary'!$CD$6:$CF$64,2,FALSE),"")</f>
        <v/>
      </c>
      <c r="O498" s="99">
        <f>IFERROR(VLOOKUP(B498,'Pre-Summary'!$BO$6:$BQ$48,3, FALSE),O497)</f>
        <v>1.0915248032216731</v>
      </c>
      <c r="P498" s="99">
        <f>IFERROR(VLOOKUP(B498,'Pre-Summary'!$BS$6:$BU$35,3,FALSE),P497)</f>
        <v>0.25</v>
      </c>
      <c r="Q498" s="54">
        <f t="shared" si="21"/>
        <v>4.3660992128866924</v>
      </c>
      <c r="R498" s="53">
        <f>IFERROR(VLOOKUP(B498,'Pre-Summary'!$BG$6:$BM$44,7,FALSE),R499)</f>
        <v>7.5915763918363535E-2</v>
      </c>
      <c r="S498" s="53">
        <f>IFERROR(VLOOKUP(B498,'Pre-Summary'!$BG$6:$BM$44,6,FALSE),S499)</f>
        <v>5.2897473997019086E-2</v>
      </c>
      <c r="T498" s="45" t="str">
        <f>IFERROR(VLOOKUP(B498,'Pre-Summary'!$Y$6:$AC$83, 3,FALSE),"")</f>
        <v/>
      </c>
      <c r="U498" s="45" t="str">
        <f>IFERROR(VLOOKUP(B498,'Pre-Summary'!$Y$6:$AC$83, 4,FALSE),"")</f>
        <v/>
      </c>
      <c r="V498" t="str">
        <f>IFERROR(VLOOKUP(B498,'Pre-Summary'!$Y$6:$AC$83, 5,FALSE),"")</f>
        <v/>
      </c>
      <c r="W498" s="45" t="str">
        <f>IFERROR(VLOOKUP(B498,'Pre-Summary'!$Y$6:$AD$83,6,FALSE),"")</f>
        <v/>
      </c>
      <c r="X498" t="str">
        <f>IFERROR(VLOOKUP('Pre-Summary'!$DB$6:$DD$63,3,FALSE),"")</f>
        <v/>
      </c>
      <c r="Y498" t="str">
        <f>IFERROR(VLOOKUP(B498,'Pre-Summary'!$CR$6:$CT$36,3,FALSE),"")</f>
        <v/>
      </c>
      <c r="Z498" s="45" t="str">
        <f>IFERROR(VLOOKUP(B498,'Pre-Summary'!$BZ$6:$CB$63,2,FALSE),"")</f>
        <v/>
      </c>
      <c r="AA498" s="45" t="str">
        <f>IFERROR(VLOOKUP(B498,'Pre-Summary'!$CG$6:$CI$70,2,FALSE),"")</f>
        <v/>
      </c>
      <c r="AB498" s="99">
        <f>IFERROR(VLOOKUP(B498,'Pre-Summary'!$A$6:$P$178,9,FALSE),AB499)</f>
        <v>0.87858471235308822</v>
      </c>
      <c r="AC498" s="10">
        <f>IFERROR(VLOOKUP(Summary!B498,'Pre-Summary'!$A$6:$P$184,5, FALSE)/100,AC499)</f>
        <v>0.67272566666666667</v>
      </c>
      <c r="AD498" s="10">
        <f>IFERROR(VLOOKUP(Summary!B498,'Pre-Summary'!$A$6:$P$184,3, FALSE)/100,AD499)</f>
        <v>8.9092333333333329E-2</v>
      </c>
      <c r="AE498" s="10">
        <f>IFERROR(VLOOKUP(Summary!B498,'Pre-Summary'!$A$6:$P$184,7, FALSE)/100,AE499)</f>
        <v>0.23818233333333336</v>
      </c>
      <c r="AF498" s="99">
        <f t="shared" si="22"/>
        <v>7.827516205453211E-2</v>
      </c>
      <c r="AG498" s="99">
        <f t="shared" si="23"/>
        <v>0.20926335681925406</v>
      </c>
      <c r="AH498" s="10" t="str">
        <f>IFERROR(VLOOKUP(B498,'Pre-Summary'!$AZ$6:$BE$65,3,FALSE),"")</f>
        <v/>
      </c>
      <c r="AI498" s="10" t="str">
        <f>IFERROR(VLOOKUP(B498,'Pre-Summary'!$AZ$6:$BE$65,5,FALSE),"")</f>
        <v/>
      </c>
      <c r="AJ498" s="10" t="str">
        <f>IFERROR(VLOOKUP(B498,'Pre-Summary'!$AZ$6:$BE$65,4,FALSE),"")</f>
        <v/>
      </c>
      <c r="AK498" s="10" t="str">
        <f>IFERROR(VLOOKUP(B498,'Pre-Summary'!$AZ$6:$BE$65,6,FALSE),"")</f>
        <v/>
      </c>
      <c r="AL498" s="10" t="str">
        <f>IFERROR(VLOOKUP(B498,'Pre-Summary'!$BG$6:$BL$44,3,FALSE),"")</f>
        <v/>
      </c>
      <c r="AM498" s="10" t="str">
        <f>IFERROR(VLOOKUP(B498,'Pre-Summary'!$BG$6:$BL$44,4,FALSE),"")</f>
        <v/>
      </c>
    </row>
    <row r="499" spans="2:39" ht="15" customHeight="1" x14ac:dyDescent="0.3">
      <c r="B499">
        <v>49.6</v>
      </c>
      <c r="C499" t="str">
        <f>IFERROR(VLOOKUP(B499,'Pre-Summary'!$DI$6:$DM$23,4,FALSE),"")</f>
        <v/>
      </c>
      <c r="D499" s="10" t="str">
        <f>IFERROR(VLOOKUP(B499,'Pre-Summary'!$AT$6:$AX$14,5,FALSE),D498)</f>
        <v>DSMZ v2: Dropped Na-Ac out of DSMZ 120 media</v>
      </c>
      <c r="E499" s="10" t="str">
        <f>IFERROR(VLOOKUP(B499,'Pre-Summary'!$AT$6:$AX$15,4,FALSE),"")</f>
        <v/>
      </c>
      <c r="F499">
        <f>IFERROR(VLOOKUP(B499,'Pre-Summary'!$AL$6:$AQ$13,6,FALSE),F498)</f>
        <v>5.9405263157894746E-2</v>
      </c>
      <c r="G499" t="str">
        <f>IFERROR(VLOOKUP(B499,'Pre-Summary'!$AE$6:$AJ$85,3,FALSE),"")</f>
        <v/>
      </c>
      <c r="H499" t="str">
        <f>IFERROR(VLOOKUP(B499,'Pre-Summary'!$AE$6:$AJ$85,4,FALSE),"")</f>
        <v/>
      </c>
      <c r="I499" t="str">
        <f>IFERROR(VLOOKUP(B499,'Pre-Summary'!$AE$6:$AJ$85,5,FALSE),"")</f>
        <v/>
      </c>
      <c r="J499" s="45" t="str">
        <f>IFERROR(VLOOKUP(B499,'Pre-Summary'!$AE$6:$AJ$85,6, FALSE),"")</f>
        <v/>
      </c>
      <c r="K499" s="45" t="str">
        <f>IFERROR(VLOOKUP(B499,'Pre-Summary'!$DE$6:$DG$61,3,FALSE),"")</f>
        <v/>
      </c>
      <c r="L499" s="45" t="str">
        <f>IFERROR(VLOOKUP(B499,'Pre-Summary'!$CU$6:$CW$36,3,FALSE),"")</f>
        <v/>
      </c>
      <c r="M499" s="45" t="str">
        <f>IFERROR(VLOOKUP(B499,'Pre-Summary'!$BW$6:$BY$58,2,FALSE),"")</f>
        <v/>
      </c>
      <c r="N499" s="45" t="str">
        <f>IFERROR(VLOOKUP(B499,'Pre-Summary'!$CD$6:$CF$64,2,FALSE),"")</f>
        <v/>
      </c>
      <c r="O499" s="99">
        <f>IFERROR(VLOOKUP(B499,'Pre-Summary'!$BO$6:$BQ$48,3, FALSE),O498)</f>
        <v>1.0915248032216731</v>
      </c>
      <c r="P499" s="99">
        <f>IFERROR(VLOOKUP(B499,'Pre-Summary'!$BS$6:$BU$35,3,FALSE),P498)</f>
        <v>0.25</v>
      </c>
      <c r="Q499" s="54">
        <f t="shared" si="21"/>
        <v>4.3660992128866924</v>
      </c>
      <c r="R499" s="53">
        <f>IFERROR(VLOOKUP(B499,'Pre-Summary'!$BG$6:$BM$44,7,FALSE),R500)</f>
        <v>7.5915763918363535E-2</v>
      </c>
      <c r="S499" s="53">
        <f>IFERROR(VLOOKUP(B499,'Pre-Summary'!$BG$6:$BM$44,6,FALSE),S500)</f>
        <v>5.2897473997019086E-2</v>
      </c>
      <c r="T499" s="45" t="str">
        <f>IFERROR(VLOOKUP(B499,'Pre-Summary'!$Y$6:$AC$83, 3,FALSE),"")</f>
        <v/>
      </c>
      <c r="U499" s="45" t="str">
        <f>IFERROR(VLOOKUP(B499,'Pre-Summary'!$Y$6:$AC$83, 4,FALSE),"")</f>
        <v/>
      </c>
      <c r="V499" t="str">
        <f>IFERROR(VLOOKUP(B499,'Pre-Summary'!$Y$6:$AC$83, 5,FALSE),"")</f>
        <v/>
      </c>
      <c r="W499" s="45" t="str">
        <f>IFERROR(VLOOKUP(B499,'Pre-Summary'!$Y$6:$AD$83,6,FALSE),"")</f>
        <v/>
      </c>
      <c r="X499" t="str">
        <f>IFERROR(VLOOKUP('Pre-Summary'!$DB$6:$DD$63,3,FALSE),"")</f>
        <v/>
      </c>
      <c r="Y499" t="str">
        <f>IFERROR(VLOOKUP(B499,'Pre-Summary'!$CR$6:$CT$36,3,FALSE),"")</f>
        <v/>
      </c>
      <c r="Z499" s="45" t="str">
        <f>IFERROR(VLOOKUP(B499,'Pre-Summary'!$BZ$6:$CB$63,2,FALSE),"")</f>
        <v/>
      </c>
      <c r="AA499" s="45" t="str">
        <f>IFERROR(VLOOKUP(B499,'Pre-Summary'!$CG$6:$CI$70,2,FALSE),"")</f>
        <v/>
      </c>
      <c r="AB499" s="99">
        <f>IFERROR(VLOOKUP(B499,'Pre-Summary'!$A$6:$P$178,9,FALSE),AB500)</f>
        <v>0.87858471235308822</v>
      </c>
      <c r="AC499" s="10">
        <f>IFERROR(VLOOKUP(Summary!B499,'Pre-Summary'!$A$6:$P$184,5, FALSE)/100,AC500)</f>
        <v>0.67272566666666667</v>
      </c>
      <c r="AD499" s="10">
        <f>IFERROR(VLOOKUP(Summary!B499,'Pre-Summary'!$A$6:$P$184,3, FALSE)/100,AD500)</f>
        <v>8.9092333333333329E-2</v>
      </c>
      <c r="AE499" s="10">
        <f>IFERROR(VLOOKUP(Summary!B499,'Pre-Summary'!$A$6:$P$184,7, FALSE)/100,AE500)</f>
        <v>0.23818233333333336</v>
      </c>
      <c r="AF499" s="99">
        <f t="shared" si="22"/>
        <v>7.827516205453211E-2</v>
      </c>
      <c r="AG499" s="99">
        <f t="shared" si="23"/>
        <v>0.20926335681925406</v>
      </c>
      <c r="AH499" s="10" t="str">
        <f>IFERROR(VLOOKUP(B499,'Pre-Summary'!$AZ$6:$BE$65,3,FALSE),"")</f>
        <v/>
      </c>
      <c r="AI499" s="10" t="str">
        <f>IFERROR(VLOOKUP(B499,'Pre-Summary'!$AZ$6:$BE$65,5,FALSE),"")</f>
        <v/>
      </c>
      <c r="AJ499" s="10" t="str">
        <f>IFERROR(VLOOKUP(B499,'Pre-Summary'!$AZ$6:$BE$65,4,FALSE),"")</f>
        <v/>
      </c>
      <c r="AK499" s="10" t="str">
        <f>IFERROR(VLOOKUP(B499,'Pre-Summary'!$AZ$6:$BE$65,6,FALSE),"")</f>
        <v/>
      </c>
      <c r="AL499" s="10" t="str">
        <f>IFERROR(VLOOKUP(B499,'Pre-Summary'!$BG$6:$BL$44,3,FALSE),"")</f>
        <v/>
      </c>
      <c r="AM499" s="10" t="str">
        <f>IFERROR(VLOOKUP(B499,'Pre-Summary'!$BG$6:$BL$44,4,FALSE),"")</f>
        <v/>
      </c>
    </row>
    <row r="500" spans="2:39" ht="15" customHeight="1" x14ac:dyDescent="0.3">
      <c r="B500">
        <v>49.7</v>
      </c>
      <c r="C500" t="str">
        <f>IFERROR(VLOOKUP(B500,'Pre-Summary'!$DI$6:$DM$23,4,FALSE),"")</f>
        <v/>
      </c>
      <c r="D500" s="10" t="str">
        <f>IFERROR(VLOOKUP(B500,'Pre-Summary'!$AT$6:$AX$14,5,FALSE),D499)</f>
        <v>DSMZ v2: Dropped Na-Ac out of DSMZ 120 media</v>
      </c>
      <c r="E500" s="10" t="str">
        <f>IFERROR(VLOOKUP(B500,'Pre-Summary'!$AT$6:$AX$15,4,FALSE),"")</f>
        <v/>
      </c>
      <c r="F500">
        <f>IFERROR(VLOOKUP(B500,'Pre-Summary'!$AL$6:$AQ$13,6,FALSE),F499)</f>
        <v>5.9405263157894746E-2</v>
      </c>
      <c r="G500" t="str">
        <f>IFERROR(VLOOKUP(B500,'Pre-Summary'!$AE$6:$AJ$85,3,FALSE),"")</f>
        <v/>
      </c>
      <c r="H500" t="str">
        <f>IFERROR(VLOOKUP(B500,'Pre-Summary'!$AE$6:$AJ$85,4,FALSE),"")</f>
        <v/>
      </c>
      <c r="I500" t="str">
        <f>IFERROR(VLOOKUP(B500,'Pre-Summary'!$AE$6:$AJ$85,5,FALSE),"")</f>
        <v/>
      </c>
      <c r="J500" s="45" t="str">
        <f>IFERROR(VLOOKUP(B500,'Pre-Summary'!$AE$6:$AJ$85,6, FALSE),"")</f>
        <v/>
      </c>
      <c r="K500" s="45" t="str">
        <f>IFERROR(VLOOKUP(B500,'Pre-Summary'!$DE$6:$DG$61,3,FALSE),"")</f>
        <v/>
      </c>
      <c r="L500" s="45" t="str">
        <f>IFERROR(VLOOKUP(B500,'Pre-Summary'!$CU$6:$CW$36,3,FALSE),"")</f>
        <v/>
      </c>
      <c r="M500" s="45" t="str">
        <f>IFERROR(VLOOKUP(B500,'Pre-Summary'!$BW$6:$BY$58,2,FALSE),"")</f>
        <v/>
      </c>
      <c r="N500" s="45" t="str">
        <f>IFERROR(VLOOKUP(B500,'Pre-Summary'!$CD$6:$CF$64,2,FALSE),"")</f>
        <v/>
      </c>
      <c r="O500" s="99">
        <f>IFERROR(VLOOKUP(B500,'Pre-Summary'!$BO$6:$BQ$48,3, FALSE),O499)</f>
        <v>1.0915248032216731</v>
      </c>
      <c r="P500" s="99">
        <f>IFERROR(VLOOKUP(B500,'Pre-Summary'!$BS$6:$BU$35,3,FALSE),P499)</f>
        <v>0.25</v>
      </c>
      <c r="Q500" s="54">
        <f t="shared" si="21"/>
        <v>4.3660992128866924</v>
      </c>
      <c r="R500" s="53">
        <f>IFERROR(VLOOKUP(B500,'Pre-Summary'!$BG$6:$BM$44,7,FALSE),R501)</f>
        <v>7.5915763918363535E-2</v>
      </c>
      <c r="S500" s="53">
        <f>IFERROR(VLOOKUP(B500,'Pre-Summary'!$BG$6:$BM$44,6,FALSE),S501)</f>
        <v>5.2897473997019086E-2</v>
      </c>
      <c r="T500" s="45" t="str">
        <f>IFERROR(VLOOKUP(B500,'Pre-Summary'!$Y$6:$AC$83, 3,FALSE),"")</f>
        <v/>
      </c>
      <c r="U500" s="45" t="str">
        <f>IFERROR(VLOOKUP(B500,'Pre-Summary'!$Y$6:$AC$83, 4,FALSE),"")</f>
        <v/>
      </c>
      <c r="V500" t="str">
        <f>IFERROR(VLOOKUP(B500,'Pre-Summary'!$Y$6:$AC$83, 5,FALSE),"")</f>
        <v/>
      </c>
      <c r="W500" s="45" t="str">
        <f>IFERROR(VLOOKUP(B500,'Pre-Summary'!$Y$6:$AD$83,6,FALSE),"")</f>
        <v/>
      </c>
      <c r="X500" t="str">
        <f>IFERROR(VLOOKUP('Pre-Summary'!$DB$6:$DD$63,3,FALSE),"")</f>
        <v/>
      </c>
      <c r="Y500" t="str">
        <f>IFERROR(VLOOKUP(B500,'Pre-Summary'!$CR$6:$CT$36,3,FALSE),"")</f>
        <v/>
      </c>
      <c r="Z500" s="45" t="str">
        <f>IFERROR(VLOOKUP(B500,'Pre-Summary'!$BZ$6:$CB$63,2,FALSE),"")</f>
        <v/>
      </c>
      <c r="AA500" s="45" t="str">
        <f>IFERROR(VLOOKUP(B500,'Pre-Summary'!$CG$6:$CI$70,2,FALSE),"")</f>
        <v/>
      </c>
      <c r="AB500" s="99">
        <f>IFERROR(VLOOKUP(B500,'Pre-Summary'!$A$6:$P$178,9,FALSE),AB501)</f>
        <v>0.87858471235308822</v>
      </c>
      <c r="AC500" s="10">
        <f>IFERROR(VLOOKUP(Summary!B500,'Pre-Summary'!$A$6:$P$184,5, FALSE)/100,AC501)</f>
        <v>0.67272566666666667</v>
      </c>
      <c r="AD500" s="10">
        <f>IFERROR(VLOOKUP(Summary!B500,'Pre-Summary'!$A$6:$P$184,3, FALSE)/100,AD501)</f>
        <v>8.9092333333333329E-2</v>
      </c>
      <c r="AE500" s="10">
        <f>IFERROR(VLOOKUP(Summary!B500,'Pre-Summary'!$A$6:$P$184,7, FALSE)/100,AE501)</f>
        <v>0.23818233333333336</v>
      </c>
      <c r="AF500" s="99">
        <f t="shared" si="22"/>
        <v>7.827516205453211E-2</v>
      </c>
      <c r="AG500" s="99">
        <f t="shared" si="23"/>
        <v>0.20926335681925406</v>
      </c>
      <c r="AH500" s="10" t="str">
        <f>IFERROR(VLOOKUP(B500,'Pre-Summary'!$AZ$6:$BE$65,3,FALSE),"")</f>
        <v/>
      </c>
      <c r="AI500" s="10" t="str">
        <f>IFERROR(VLOOKUP(B500,'Pre-Summary'!$AZ$6:$BE$65,5,FALSE),"")</f>
        <v/>
      </c>
      <c r="AJ500" s="10" t="str">
        <f>IFERROR(VLOOKUP(B500,'Pre-Summary'!$AZ$6:$BE$65,4,FALSE),"")</f>
        <v/>
      </c>
      <c r="AK500" s="10" t="str">
        <f>IFERROR(VLOOKUP(B500,'Pre-Summary'!$AZ$6:$BE$65,6,FALSE),"")</f>
        <v/>
      </c>
      <c r="AL500" s="10" t="str">
        <f>IFERROR(VLOOKUP(B500,'Pre-Summary'!$BG$6:$BL$44,3,FALSE),"")</f>
        <v/>
      </c>
      <c r="AM500" s="10" t="str">
        <f>IFERROR(VLOOKUP(B500,'Pre-Summary'!$BG$6:$BL$44,4,FALSE),"")</f>
        <v/>
      </c>
    </row>
    <row r="501" spans="2:39" ht="15" customHeight="1" x14ac:dyDescent="0.3">
      <c r="B501">
        <v>49.8</v>
      </c>
      <c r="C501" t="str">
        <f>IFERROR(VLOOKUP(B501,'Pre-Summary'!$DI$6:$DM$23,4,FALSE),"")</f>
        <v/>
      </c>
      <c r="D501" s="10" t="str">
        <f>IFERROR(VLOOKUP(B501,'Pre-Summary'!$AT$6:$AX$14,5,FALSE),D500)</f>
        <v>DSMZ v2: Dropped Na-Ac out of DSMZ 120 media</v>
      </c>
      <c r="E501" s="10" t="str">
        <f>IFERROR(VLOOKUP(B501,'Pre-Summary'!$AT$6:$AX$15,4,FALSE),"")</f>
        <v/>
      </c>
      <c r="F501">
        <f>IFERROR(VLOOKUP(B501,'Pre-Summary'!$AL$6:$AQ$13,6,FALSE),F500)</f>
        <v>5.9405263157894746E-2</v>
      </c>
      <c r="G501" t="str">
        <f>IFERROR(VLOOKUP(B501,'Pre-Summary'!$AE$6:$AJ$85,3,FALSE),"")</f>
        <v/>
      </c>
      <c r="H501" t="str">
        <f>IFERROR(VLOOKUP(B501,'Pre-Summary'!$AE$6:$AJ$85,4,FALSE),"")</f>
        <v/>
      </c>
      <c r="I501" t="str">
        <f>IFERROR(VLOOKUP(B501,'Pre-Summary'!$AE$6:$AJ$85,5,FALSE),"")</f>
        <v/>
      </c>
      <c r="J501" s="45" t="str">
        <f>IFERROR(VLOOKUP(B501,'Pre-Summary'!$AE$6:$AJ$85,6, FALSE),"")</f>
        <v/>
      </c>
      <c r="K501" s="45" t="str">
        <f>IFERROR(VLOOKUP(B501,'Pre-Summary'!$DE$6:$DG$61,3,FALSE),"")</f>
        <v/>
      </c>
      <c r="L501" s="45" t="str">
        <f>IFERROR(VLOOKUP(B501,'Pre-Summary'!$CU$6:$CW$36,3,FALSE),"")</f>
        <v/>
      </c>
      <c r="M501" s="45" t="str">
        <f>IFERROR(VLOOKUP(B501,'Pre-Summary'!$BW$6:$BY$58,2,FALSE),"")</f>
        <v/>
      </c>
      <c r="N501" s="45" t="str">
        <f>IFERROR(VLOOKUP(B501,'Pre-Summary'!$CD$6:$CF$64,2,FALSE),"")</f>
        <v/>
      </c>
      <c r="O501" s="99">
        <f>IFERROR(VLOOKUP(B501,'Pre-Summary'!$BO$6:$BQ$48,3, FALSE),O500)</f>
        <v>1.0915248032216731</v>
      </c>
      <c r="P501" s="99">
        <f>IFERROR(VLOOKUP(B501,'Pre-Summary'!$BS$6:$BU$35,3,FALSE),P500)</f>
        <v>0.25</v>
      </c>
      <c r="Q501" s="54">
        <f t="shared" si="21"/>
        <v>4.3660992128866924</v>
      </c>
      <c r="R501" s="53">
        <f>IFERROR(VLOOKUP(B501,'Pre-Summary'!$BG$6:$BM$44,7,FALSE),R502)</f>
        <v>7.5915763918363535E-2</v>
      </c>
      <c r="S501" s="53">
        <f>IFERROR(VLOOKUP(B501,'Pre-Summary'!$BG$6:$BM$44,6,FALSE),S502)</f>
        <v>5.2897473997019086E-2</v>
      </c>
      <c r="T501" s="45" t="str">
        <f>IFERROR(VLOOKUP(B501,'Pre-Summary'!$Y$6:$AC$83, 3,FALSE),"")</f>
        <v/>
      </c>
      <c r="U501" s="45" t="str">
        <f>IFERROR(VLOOKUP(B501,'Pre-Summary'!$Y$6:$AC$83, 4,FALSE),"")</f>
        <v/>
      </c>
      <c r="V501" t="str">
        <f>IFERROR(VLOOKUP(B501,'Pre-Summary'!$Y$6:$AC$83, 5,FALSE),"")</f>
        <v/>
      </c>
      <c r="W501" s="45" t="str">
        <f>IFERROR(VLOOKUP(B501,'Pre-Summary'!$Y$6:$AD$83,6,FALSE),"")</f>
        <v/>
      </c>
      <c r="X501" t="str">
        <f>IFERROR(VLOOKUP('Pre-Summary'!$DB$6:$DD$63,3,FALSE),"")</f>
        <v/>
      </c>
      <c r="Y501" t="str">
        <f>IFERROR(VLOOKUP(B501,'Pre-Summary'!$CR$6:$CT$36,3,FALSE),"")</f>
        <v/>
      </c>
      <c r="Z501" s="45" t="str">
        <f>IFERROR(VLOOKUP(B501,'Pre-Summary'!$BZ$6:$CB$63,2,FALSE),"")</f>
        <v/>
      </c>
      <c r="AA501" s="45" t="str">
        <f>IFERROR(VLOOKUP(B501,'Pre-Summary'!$CG$6:$CI$70,2,FALSE),"")</f>
        <v/>
      </c>
      <c r="AB501" s="99">
        <f>IFERROR(VLOOKUP(B501,'Pre-Summary'!$A$6:$P$178,9,FALSE),AB502)</f>
        <v>0.87858471235308822</v>
      </c>
      <c r="AC501" s="10">
        <f>IFERROR(VLOOKUP(Summary!B501,'Pre-Summary'!$A$6:$P$184,5, FALSE)/100,AC502)</f>
        <v>0.67272566666666667</v>
      </c>
      <c r="AD501" s="10">
        <f>IFERROR(VLOOKUP(Summary!B501,'Pre-Summary'!$A$6:$P$184,3, FALSE)/100,AD502)</f>
        <v>8.9092333333333329E-2</v>
      </c>
      <c r="AE501" s="10">
        <f>IFERROR(VLOOKUP(Summary!B501,'Pre-Summary'!$A$6:$P$184,7, FALSE)/100,AE502)</f>
        <v>0.23818233333333336</v>
      </c>
      <c r="AF501" s="99">
        <f t="shared" si="22"/>
        <v>7.827516205453211E-2</v>
      </c>
      <c r="AG501" s="99">
        <f t="shared" si="23"/>
        <v>0.20926335681925406</v>
      </c>
      <c r="AH501" s="10" t="str">
        <f>IFERROR(VLOOKUP(B501,'Pre-Summary'!$AZ$6:$BE$65,3,FALSE),"")</f>
        <v/>
      </c>
      <c r="AI501" s="10" t="str">
        <f>IFERROR(VLOOKUP(B501,'Pre-Summary'!$AZ$6:$BE$65,5,FALSE),"")</f>
        <v/>
      </c>
      <c r="AJ501" s="10" t="str">
        <f>IFERROR(VLOOKUP(B501,'Pre-Summary'!$AZ$6:$BE$65,4,FALSE),"")</f>
        <v/>
      </c>
      <c r="AK501" s="10" t="str">
        <f>IFERROR(VLOOKUP(B501,'Pre-Summary'!$AZ$6:$BE$65,6,FALSE),"")</f>
        <v/>
      </c>
      <c r="AL501" s="10" t="str">
        <f>IFERROR(VLOOKUP(B501,'Pre-Summary'!$BG$6:$BL$44,3,FALSE),"")</f>
        <v/>
      </c>
      <c r="AM501" s="10" t="str">
        <f>IFERROR(VLOOKUP(B501,'Pre-Summary'!$BG$6:$BL$44,4,FALSE),"")</f>
        <v/>
      </c>
    </row>
    <row r="502" spans="2:39" ht="15" customHeight="1" x14ac:dyDescent="0.3">
      <c r="B502">
        <v>49.9</v>
      </c>
      <c r="C502" t="str">
        <f>IFERROR(VLOOKUP(B502,'Pre-Summary'!$DI$6:$DM$23,4,FALSE),"")</f>
        <v/>
      </c>
      <c r="D502" s="10" t="str">
        <f>IFERROR(VLOOKUP(B502,'Pre-Summary'!$AT$6:$AX$14,5,FALSE),D501)</f>
        <v>DSMZ v2: Dropped Na-Ac out of DSMZ 120 media</v>
      </c>
      <c r="E502" s="10" t="str">
        <f>IFERROR(VLOOKUP(B502,'Pre-Summary'!$AT$6:$AX$15,4,FALSE),"")</f>
        <v/>
      </c>
      <c r="F502">
        <f>IFERROR(VLOOKUP(B502,'Pre-Summary'!$AL$6:$AQ$13,6,FALSE),F501)</f>
        <v>5.9405263157894746E-2</v>
      </c>
      <c r="G502" t="str">
        <f>IFERROR(VLOOKUP(B502,'Pre-Summary'!$AE$6:$AJ$85,3,FALSE),"")</f>
        <v/>
      </c>
      <c r="H502" t="str">
        <f>IFERROR(VLOOKUP(B502,'Pre-Summary'!$AE$6:$AJ$85,4,FALSE),"")</f>
        <v/>
      </c>
      <c r="I502" t="str">
        <f>IFERROR(VLOOKUP(B502,'Pre-Summary'!$AE$6:$AJ$85,5,FALSE),"")</f>
        <v/>
      </c>
      <c r="J502" s="45" t="str">
        <f>IFERROR(VLOOKUP(B502,'Pre-Summary'!$AE$6:$AJ$85,6, FALSE),"")</f>
        <v/>
      </c>
      <c r="K502" s="45" t="str">
        <f>IFERROR(VLOOKUP(B502,'Pre-Summary'!$DE$6:$DG$61,3,FALSE),"")</f>
        <v/>
      </c>
      <c r="L502" s="45" t="str">
        <f>IFERROR(VLOOKUP(B502,'Pre-Summary'!$CU$6:$CW$36,3,FALSE),"")</f>
        <v/>
      </c>
      <c r="M502" s="45" t="str">
        <f>IFERROR(VLOOKUP(B502,'Pre-Summary'!$BW$6:$BY$58,2,FALSE),"")</f>
        <v/>
      </c>
      <c r="N502" s="45" t="str">
        <f>IFERROR(VLOOKUP(B502,'Pre-Summary'!$CD$6:$CF$64,2,FALSE),"")</f>
        <v/>
      </c>
      <c r="O502" s="99">
        <f>IFERROR(VLOOKUP(B502,'Pre-Summary'!$BO$6:$BQ$48,3, FALSE),O501)</f>
        <v>1.0915248032216731</v>
      </c>
      <c r="P502" s="99">
        <f>IFERROR(VLOOKUP(B502,'Pre-Summary'!$BS$6:$BU$35,3,FALSE),P501)</f>
        <v>0.25</v>
      </c>
      <c r="Q502" s="54">
        <f t="shared" si="21"/>
        <v>4.3660992128866924</v>
      </c>
      <c r="R502" s="53">
        <f>IFERROR(VLOOKUP(B502,'Pre-Summary'!$BG$6:$BM$44,7,FALSE),R503)</f>
        <v>7.5915763918363535E-2</v>
      </c>
      <c r="S502" s="53">
        <f>IFERROR(VLOOKUP(B502,'Pre-Summary'!$BG$6:$BM$44,6,FALSE),S503)</f>
        <v>5.2897473997019086E-2</v>
      </c>
      <c r="T502" s="45" t="str">
        <f>IFERROR(VLOOKUP(B502,'Pre-Summary'!$Y$6:$AC$83, 3,FALSE),"")</f>
        <v/>
      </c>
      <c r="U502" s="45" t="str">
        <f>IFERROR(VLOOKUP(B502,'Pre-Summary'!$Y$6:$AC$83, 4,FALSE),"")</f>
        <v/>
      </c>
      <c r="V502" t="str">
        <f>IFERROR(VLOOKUP(B502,'Pre-Summary'!$Y$6:$AC$83, 5,FALSE),"")</f>
        <v/>
      </c>
      <c r="W502" s="45" t="str">
        <f>IFERROR(VLOOKUP(B502,'Pre-Summary'!$Y$6:$AD$83,6,FALSE),"")</f>
        <v/>
      </c>
      <c r="X502" t="str">
        <f>IFERROR(VLOOKUP('Pre-Summary'!$DB$6:$DD$63,3,FALSE),"")</f>
        <v/>
      </c>
      <c r="Y502" t="str">
        <f>IFERROR(VLOOKUP(B502,'Pre-Summary'!$CR$6:$CT$36,3,FALSE),"")</f>
        <v/>
      </c>
      <c r="Z502" s="45" t="str">
        <f>IFERROR(VLOOKUP(B502,'Pre-Summary'!$BZ$6:$CB$63,2,FALSE),"")</f>
        <v/>
      </c>
      <c r="AA502" s="45" t="str">
        <f>IFERROR(VLOOKUP(B502,'Pre-Summary'!$CG$6:$CI$70,2,FALSE),"")</f>
        <v/>
      </c>
      <c r="AB502" s="99">
        <f>IFERROR(VLOOKUP(B502,'Pre-Summary'!$A$6:$P$178,9,FALSE),AB503)</f>
        <v>0.87858471235308822</v>
      </c>
      <c r="AC502" s="10">
        <f>IFERROR(VLOOKUP(Summary!B502,'Pre-Summary'!$A$6:$P$184,5, FALSE)/100,AC503)</f>
        <v>0.67272566666666667</v>
      </c>
      <c r="AD502" s="10">
        <f>IFERROR(VLOOKUP(Summary!B502,'Pre-Summary'!$A$6:$P$184,3, FALSE)/100,AD503)</f>
        <v>8.9092333333333329E-2</v>
      </c>
      <c r="AE502" s="10">
        <f>IFERROR(VLOOKUP(Summary!B502,'Pre-Summary'!$A$6:$P$184,7, FALSE)/100,AE503)</f>
        <v>0.23818233333333336</v>
      </c>
      <c r="AF502" s="99">
        <f t="shared" si="22"/>
        <v>7.827516205453211E-2</v>
      </c>
      <c r="AG502" s="99">
        <f t="shared" si="23"/>
        <v>0.20926335681925406</v>
      </c>
      <c r="AH502" s="10" t="str">
        <f>IFERROR(VLOOKUP(B502,'Pre-Summary'!$AZ$6:$BE$65,3,FALSE),"")</f>
        <v/>
      </c>
      <c r="AI502" s="10" t="str">
        <f>IFERROR(VLOOKUP(B502,'Pre-Summary'!$AZ$6:$BE$65,5,FALSE),"")</f>
        <v/>
      </c>
      <c r="AJ502" s="10" t="str">
        <f>IFERROR(VLOOKUP(B502,'Pre-Summary'!$AZ$6:$BE$65,4,FALSE),"")</f>
        <v/>
      </c>
      <c r="AK502" s="10" t="str">
        <f>IFERROR(VLOOKUP(B502,'Pre-Summary'!$AZ$6:$BE$65,6,FALSE),"")</f>
        <v/>
      </c>
      <c r="AL502" s="10" t="str">
        <f>IFERROR(VLOOKUP(B502,'Pre-Summary'!$BG$6:$BL$44,3,FALSE),"")</f>
        <v/>
      </c>
      <c r="AM502" s="10" t="str">
        <f>IFERROR(VLOOKUP(B502,'Pre-Summary'!$BG$6:$BL$44,4,FALSE),"")</f>
        <v/>
      </c>
    </row>
    <row r="503" spans="2:39" ht="15" customHeight="1" x14ac:dyDescent="0.3">
      <c r="B503">
        <v>50</v>
      </c>
      <c r="C503" t="str">
        <f>IFERROR(VLOOKUP(B503,'Pre-Summary'!$DI$6:$DM$23,4,FALSE),"")</f>
        <v/>
      </c>
      <c r="D503" s="10" t="str">
        <f>IFERROR(VLOOKUP(B503,'Pre-Summary'!$AT$6:$AX$14,5,FALSE),D502)</f>
        <v>DSMZ v2: Dropped Na-Ac out of DSMZ 120 media</v>
      </c>
      <c r="E503" s="10" t="str">
        <f>IFERROR(VLOOKUP(B503,'Pre-Summary'!$AT$6:$AX$15,4,FALSE),"")</f>
        <v/>
      </c>
      <c r="F503">
        <f>IFERROR(VLOOKUP(B503,'Pre-Summary'!$AL$6:$AQ$13,6,FALSE),F502)</f>
        <v>5.9405263157894746E-2</v>
      </c>
      <c r="G503" t="str">
        <f>IFERROR(VLOOKUP(B503,'Pre-Summary'!$AE$6:$AJ$85,3,FALSE),"")</f>
        <v/>
      </c>
      <c r="H503" t="str">
        <f>IFERROR(VLOOKUP(B503,'Pre-Summary'!$AE$6:$AJ$85,4,FALSE),"")</f>
        <v/>
      </c>
      <c r="I503" t="str">
        <f>IFERROR(VLOOKUP(B503,'Pre-Summary'!$AE$6:$AJ$85,5,FALSE),"")</f>
        <v/>
      </c>
      <c r="J503" s="45" t="str">
        <f>IFERROR(VLOOKUP(B503,'Pre-Summary'!$AE$6:$AJ$85,6, FALSE),"")</f>
        <v/>
      </c>
      <c r="K503" s="45" t="str">
        <f>IFERROR(VLOOKUP(B503,'Pre-Summary'!$DE$6:$DG$61,3,FALSE),"")</f>
        <v/>
      </c>
      <c r="L503" s="45" t="str">
        <f>IFERROR(VLOOKUP(B503,'Pre-Summary'!$CU$6:$CW$36,3,FALSE),"")</f>
        <v/>
      </c>
      <c r="M503" s="45" t="str">
        <f>IFERROR(VLOOKUP(B503,'Pre-Summary'!$BW$6:$BY$58,2,FALSE),"")</f>
        <v/>
      </c>
      <c r="N503" s="45" t="str">
        <f>IFERROR(VLOOKUP(B503,'Pre-Summary'!$CD$6:$CF$64,2,FALSE),"")</f>
        <v/>
      </c>
      <c r="O503" s="99">
        <f>IFERROR(VLOOKUP(B503,'Pre-Summary'!$BO$6:$BQ$48,3, FALSE),O502)</f>
        <v>1.0915248032216731</v>
      </c>
      <c r="P503" s="99">
        <f>IFERROR(VLOOKUP(B503,'Pre-Summary'!$BS$6:$BU$35,3,FALSE),P502)</f>
        <v>0.25</v>
      </c>
      <c r="Q503" s="54">
        <f t="shared" si="21"/>
        <v>4.3660992128866924</v>
      </c>
      <c r="R503" s="53">
        <f>IFERROR(VLOOKUP(B503,'Pre-Summary'!$BG$6:$BM$44,7,FALSE),R504)</f>
        <v>7.5915763918363535E-2</v>
      </c>
      <c r="S503" s="53">
        <f>IFERROR(VLOOKUP(B503,'Pre-Summary'!$BG$6:$BM$44,6,FALSE),S504)</f>
        <v>5.2897473997019086E-2</v>
      </c>
      <c r="T503" s="45" t="str">
        <f>IFERROR(VLOOKUP(B503,'Pre-Summary'!$Y$6:$AC$83, 3,FALSE),"")</f>
        <v/>
      </c>
      <c r="U503" s="45" t="str">
        <f>IFERROR(VLOOKUP(B503,'Pre-Summary'!$Y$6:$AC$83, 4,FALSE),"")</f>
        <v/>
      </c>
      <c r="V503" t="str">
        <f>IFERROR(VLOOKUP(B503,'Pre-Summary'!$Y$6:$AC$83, 5,FALSE),"")</f>
        <v/>
      </c>
      <c r="W503" s="45" t="str">
        <f>IFERROR(VLOOKUP(B503,'Pre-Summary'!$Y$6:$AD$83,6,FALSE),"")</f>
        <v/>
      </c>
      <c r="X503" t="str">
        <f>IFERROR(VLOOKUP('Pre-Summary'!$DB$6:$DD$63,3,FALSE),"")</f>
        <v/>
      </c>
      <c r="Y503" t="str">
        <f>IFERROR(VLOOKUP(B503,'Pre-Summary'!$CR$6:$CT$36,3,FALSE),"")</f>
        <v/>
      </c>
      <c r="Z503" s="45" t="str">
        <f>IFERROR(VLOOKUP(B503,'Pre-Summary'!$BZ$6:$CB$63,2,FALSE),"")</f>
        <v/>
      </c>
      <c r="AA503" s="45" t="str">
        <f>IFERROR(VLOOKUP(B503,'Pre-Summary'!$CG$6:$CI$70,2,FALSE),"")</f>
        <v/>
      </c>
      <c r="AB503" s="99">
        <f>IFERROR(VLOOKUP(B503,'Pre-Summary'!$A$6:$P$178,9,FALSE),AB504)</f>
        <v>0.87858471235308822</v>
      </c>
      <c r="AC503" s="10">
        <f>IFERROR(VLOOKUP(Summary!B503,'Pre-Summary'!$A$6:$P$184,5, FALSE)/100,AC504)</f>
        <v>0.67272566666666667</v>
      </c>
      <c r="AD503" s="10">
        <f>IFERROR(VLOOKUP(Summary!B503,'Pre-Summary'!$A$6:$P$184,3, FALSE)/100,AD504)</f>
        <v>8.9092333333333329E-2</v>
      </c>
      <c r="AE503" s="10">
        <f>IFERROR(VLOOKUP(Summary!B503,'Pre-Summary'!$A$6:$P$184,7, FALSE)/100,AE504)</f>
        <v>0.23818233333333336</v>
      </c>
      <c r="AF503" s="99">
        <f t="shared" si="22"/>
        <v>7.827516205453211E-2</v>
      </c>
      <c r="AG503" s="99">
        <f t="shared" si="23"/>
        <v>0.20926335681925406</v>
      </c>
      <c r="AH503" s="10" t="str">
        <f>IFERROR(VLOOKUP(B503,'Pre-Summary'!$AZ$6:$BE$65,3,FALSE),"")</f>
        <v/>
      </c>
      <c r="AI503" s="10" t="str">
        <f>IFERROR(VLOOKUP(B503,'Pre-Summary'!$AZ$6:$BE$65,5,FALSE),"")</f>
        <v/>
      </c>
      <c r="AJ503" s="10" t="str">
        <f>IFERROR(VLOOKUP(B503,'Pre-Summary'!$AZ$6:$BE$65,4,FALSE),"")</f>
        <v/>
      </c>
      <c r="AK503" s="10" t="str">
        <f>IFERROR(VLOOKUP(B503,'Pre-Summary'!$AZ$6:$BE$65,6,FALSE),"")</f>
        <v/>
      </c>
      <c r="AL503" s="10" t="str">
        <f>IFERROR(VLOOKUP(B503,'Pre-Summary'!$BG$6:$BL$44,3,FALSE),"")</f>
        <v/>
      </c>
      <c r="AM503" s="10" t="str">
        <f>IFERROR(VLOOKUP(B503,'Pre-Summary'!$BG$6:$BL$44,4,FALSE),"")</f>
        <v/>
      </c>
    </row>
    <row r="504" spans="2:39" ht="15" customHeight="1" x14ac:dyDescent="0.3">
      <c r="B504">
        <v>50.1</v>
      </c>
      <c r="C504" t="str">
        <f>IFERROR(VLOOKUP(B504,'Pre-Summary'!$DI$6:$DM$23,4,FALSE),"")</f>
        <v/>
      </c>
      <c r="D504" s="10" t="str">
        <f>IFERROR(VLOOKUP(B504,'Pre-Summary'!$AT$6:$AX$14,5,FALSE),D503)</f>
        <v>DSMZ v2: Dropped Na-Ac out of DSMZ 120 media</v>
      </c>
      <c r="E504" s="10" t="str">
        <f>IFERROR(VLOOKUP(B504,'Pre-Summary'!$AT$6:$AX$15,4,FALSE),"")</f>
        <v/>
      </c>
      <c r="F504">
        <f>IFERROR(VLOOKUP(B504,'Pre-Summary'!$AL$6:$AQ$13,6,FALSE),F503)</f>
        <v>5.9405263157894746E-2</v>
      </c>
      <c r="G504" t="str">
        <f>IFERROR(VLOOKUP(B504,'Pre-Summary'!$AE$6:$AJ$85,3,FALSE),"")</f>
        <v/>
      </c>
      <c r="H504" t="str">
        <f>IFERROR(VLOOKUP(B504,'Pre-Summary'!$AE$6:$AJ$85,4,FALSE),"")</f>
        <v/>
      </c>
      <c r="I504" t="str">
        <f>IFERROR(VLOOKUP(B504,'Pre-Summary'!$AE$6:$AJ$85,5,FALSE),"")</f>
        <v/>
      </c>
      <c r="J504" s="45" t="str">
        <f>IFERROR(VLOOKUP(B504,'Pre-Summary'!$AE$6:$AJ$85,6, FALSE),"")</f>
        <v/>
      </c>
      <c r="K504" s="45" t="str">
        <f>IFERROR(VLOOKUP(B504,'Pre-Summary'!$DE$6:$DG$61,3,FALSE),"")</f>
        <v/>
      </c>
      <c r="L504" s="45" t="str">
        <f>IFERROR(VLOOKUP(B504,'Pre-Summary'!$CU$6:$CW$36,3,FALSE),"")</f>
        <v/>
      </c>
      <c r="M504" s="45" t="str">
        <f>IFERROR(VLOOKUP(B504,'Pre-Summary'!$BW$6:$BY$58,2,FALSE),"")</f>
        <v/>
      </c>
      <c r="N504" s="45" t="str">
        <f>IFERROR(VLOOKUP(B504,'Pre-Summary'!$CD$6:$CF$64,2,FALSE),"")</f>
        <v/>
      </c>
      <c r="O504" s="99">
        <f>IFERROR(VLOOKUP(B504,'Pre-Summary'!$BO$6:$BQ$48,3, FALSE),O503)</f>
        <v>1.0915248032216731</v>
      </c>
      <c r="P504" s="99">
        <f>IFERROR(VLOOKUP(B504,'Pre-Summary'!$BS$6:$BU$35,3,FALSE),P503)</f>
        <v>0.25</v>
      </c>
      <c r="Q504" s="54">
        <f t="shared" si="21"/>
        <v>4.3660992128866924</v>
      </c>
      <c r="R504" s="53">
        <f>IFERROR(VLOOKUP(B504,'Pre-Summary'!$BG$6:$BM$44,7,FALSE),R505)</f>
        <v>7.5915763918363535E-2</v>
      </c>
      <c r="S504" s="53">
        <f>IFERROR(VLOOKUP(B504,'Pre-Summary'!$BG$6:$BM$44,6,FALSE),S505)</f>
        <v>5.2897473997019086E-2</v>
      </c>
      <c r="T504" s="45" t="str">
        <f>IFERROR(VLOOKUP(B504,'Pre-Summary'!$Y$6:$AC$83, 3,FALSE),"")</f>
        <v/>
      </c>
      <c r="U504" s="45" t="str">
        <f>IFERROR(VLOOKUP(B504,'Pre-Summary'!$Y$6:$AC$83, 4,FALSE),"")</f>
        <v/>
      </c>
      <c r="V504" t="str">
        <f>IFERROR(VLOOKUP(B504,'Pre-Summary'!$Y$6:$AC$83, 5,FALSE),"")</f>
        <v/>
      </c>
      <c r="W504" s="45" t="str">
        <f>IFERROR(VLOOKUP(B504,'Pre-Summary'!$Y$6:$AD$83,6,FALSE),"")</f>
        <v/>
      </c>
      <c r="X504" t="str">
        <f>IFERROR(VLOOKUP('Pre-Summary'!$DB$6:$DD$63,3,FALSE),"")</f>
        <v/>
      </c>
      <c r="Y504" t="str">
        <f>IFERROR(VLOOKUP(B504,'Pre-Summary'!$CR$6:$CT$36,3,FALSE),"")</f>
        <v/>
      </c>
      <c r="Z504" s="45" t="str">
        <f>IFERROR(VLOOKUP(B504,'Pre-Summary'!$BZ$6:$CB$63,2,FALSE),"")</f>
        <v/>
      </c>
      <c r="AA504" s="45" t="str">
        <f>IFERROR(VLOOKUP(B504,'Pre-Summary'!$CG$6:$CI$70,2,FALSE),"")</f>
        <v/>
      </c>
      <c r="AB504" s="99">
        <f>IFERROR(VLOOKUP(B504,'Pre-Summary'!$A$6:$P$178,9,FALSE),AB505)</f>
        <v>0.87858471235308822</v>
      </c>
      <c r="AC504" s="10">
        <f>IFERROR(VLOOKUP(Summary!B504,'Pre-Summary'!$A$6:$P$184,5, FALSE)/100,AC505)</f>
        <v>0.67272566666666667</v>
      </c>
      <c r="AD504" s="10">
        <f>IFERROR(VLOOKUP(Summary!B504,'Pre-Summary'!$A$6:$P$184,3, FALSE)/100,AD505)</f>
        <v>8.9092333333333329E-2</v>
      </c>
      <c r="AE504" s="10">
        <f>IFERROR(VLOOKUP(Summary!B504,'Pre-Summary'!$A$6:$P$184,7, FALSE)/100,AE505)</f>
        <v>0.23818233333333336</v>
      </c>
      <c r="AF504" s="99">
        <f t="shared" si="22"/>
        <v>7.827516205453211E-2</v>
      </c>
      <c r="AG504" s="99">
        <f t="shared" si="23"/>
        <v>0.20926335681925406</v>
      </c>
      <c r="AH504" s="10" t="str">
        <f>IFERROR(VLOOKUP(B504,'Pre-Summary'!$AZ$6:$BE$65,3,FALSE),"")</f>
        <v/>
      </c>
      <c r="AI504" s="10" t="str">
        <f>IFERROR(VLOOKUP(B504,'Pre-Summary'!$AZ$6:$BE$65,5,FALSE),"")</f>
        <v/>
      </c>
      <c r="AJ504" s="10" t="str">
        <f>IFERROR(VLOOKUP(B504,'Pre-Summary'!$AZ$6:$BE$65,4,FALSE),"")</f>
        <v/>
      </c>
      <c r="AK504" s="10" t="str">
        <f>IFERROR(VLOOKUP(B504,'Pre-Summary'!$AZ$6:$BE$65,6,FALSE),"")</f>
        <v/>
      </c>
      <c r="AL504" s="10" t="str">
        <f>IFERROR(VLOOKUP(B504,'Pre-Summary'!$BG$6:$BL$44,3,FALSE),"")</f>
        <v/>
      </c>
      <c r="AM504" s="10" t="str">
        <f>IFERROR(VLOOKUP(B504,'Pre-Summary'!$BG$6:$BL$44,4,FALSE),"")</f>
        <v/>
      </c>
    </row>
    <row r="505" spans="2:39" ht="15" customHeight="1" x14ac:dyDescent="0.3">
      <c r="B505">
        <v>50.2</v>
      </c>
      <c r="C505" t="str">
        <f>IFERROR(VLOOKUP(B505,'Pre-Summary'!$DI$6:$DM$23,4,FALSE),"")</f>
        <v/>
      </c>
      <c r="D505" s="10" t="str">
        <f>IFERROR(VLOOKUP(B505,'Pre-Summary'!$AT$6:$AX$14,5,FALSE),D504)</f>
        <v>DSMZ v2: Dropped Na-Ac out of DSMZ 120 media</v>
      </c>
      <c r="E505" s="10" t="str">
        <f>IFERROR(VLOOKUP(B505,'Pre-Summary'!$AT$6:$AX$15,4,FALSE),"")</f>
        <v/>
      </c>
      <c r="F505">
        <f>IFERROR(VLOOKUP(B505,'Pre-Summary'!$AL$6:$AQ$13,6,FALSE),F504)</f>
        <v>5.9405263157894746E-2</v>
      </c>
      <c r="G505" t="str">
        <f>IFERROR(VLOOKUP(B505,'Pre-Summary'!$AE$6:$AJ$85,3,FALSE),"")</f>
        <v/>
      </c>
      <c r="H505" t="str">
        <f>IFERROR(VLOOKUP(B505,'Pre-Summary'!$AE$6:$AJ$85,4,FALSE),"")</f>
        <v/>
      </c>
      <c r="I505" t="str">
        <f>IFERROR(VLOOKUP(B505,'Pre-Summary'!$AE$6:$AJ$85,5,FALSE),"")</f>
        <v/>
      </c>
      <c r="J505" s="45" t="str">
        <f>IFERROR(VLOOKUP(B505,'Pre-Summary'!$AE$6:$AJ$85,6, FALSE),"")</f>
        <v/>
      </c>
      <c r="K505" s="45" t="str">
        <f>IFERROR(VLOOKUP(B505,'Pre-Summary'!$DE$6:$DG$61,3,FALSE),"")</f>
        <v/>
      </c>
      <c r="L505" s="45" t="str">
        <f>IFERROR(VLOOKUP(B505,'Pre-Summary'!$CU$6:$CW$36,3,FALSE),"")</f>
        <v/>
      </c>
      <c r="M505" s="45" t="str">
        <f>IFERROR(VLOOKUP(B505,'Pre-Summary'!$BW$6:$BY$58,2,FALSE),"")</f>
        <v/>
      </c>
      <c r="N505" s="45" t="str">
        <f>IFERROR(VLOOKUP(B505,'Pre-Summary'!$CD$6:$CF$64,2,FALSE),"")</f>
        <v/>
      </c>
      <c r="O505" s="99">
        <f>IFERROR(VLOOKUP(B505,'Pre-Summary'!$BO$6:$BQ$48,3, FALSE),O504)</f>
        <v>1.0915248032216731</v>
      </c>
      <c r="P505" s="99">
        <f>IFERROR(VLOOKUP(B505,'Pre-Summary'!$BS$6:$BU$35,3,FALSE),P504)</f>
        <v>0.25</v>
      </c>
      <c r="Q505" s="54">
        <f t="shared" si="21"/>
        <v>4.3660992128866924</v>
      </c>
      <c r="R505" s="53">
        <f>IFERROR(VLOOKUP(B505,'Pre-Summary'!$BG$6:$BM$44,7,FALSE),R506)</f>
        <v>7.5915763918363535E-2</v>
      </c>
      <c r="S505" s="53">
        <f>IFERROR(VLOOKUP(B505,'Pre-Summary'!$BG$6:$BM$44,6,FALSE),S506)</f>
        <v>5.2897473997019086E-2</v>
      </c>
      <c r="T505" s="45" t="str">
        <f>IFERROR(VLOOKUP(B505,'Pre-Summary'!$Y$6:$AC$83, 3,FALSE),"")</f>
        <v/>
      </c>
      <c r="U505" s="45" t="str">
        <f>IFERROR(VLOOKUP(B505,'Pre-Summary'!$Y$6:$AC$83, 4,FALSE),"")</f>
        <v/>
      </c>
      <c r="V505" t="str">
        <f>IFERROR(VLOOKUP(B505,'Pre-Summary'!$Y$6:$AC$83, 5,FALSE),"")</f>
        <v/>
      </c>
      <c r="W505" s="45" t="str">
        <f>IFERROR(VLOOKUP(B505,'Pre-Summary'!$Y$6:$AD$83,6,FALSE),"")</f>
        <v/>
      </c>
      <c r="X505" t="str">
        <f>IFERROR(VLOOKUP('Pre-Summary'!$DB$6:$DD$63,3,FALSE),"")</f>
        <v/>
      </c>
      <c r="Y505" t="str">
        <f>IFERROR(VLOOKUP(B505,'Pre-Summary'!$CR$6:$CT$36,3,FALSE),"")</f>
        <v/>
      </c>
      <c r="Z505" s="45" t="str">
        <f>IFERROR(VLOOKUP(B505,'Pre-Summary'!$BZ$6:$CB$63,2,FALSE),"")</f>
        <v/>
      </c>
      <c r="AA505" s="45" t="str">
        <f>IFERROR(VLOOKUP(B505,'Pre-Summary'!$CG$6:$CI$70,2,FALSE),"")</f>
        <v/>
      </c>
      <c r="AB505" s="99">
        <f>IFERROR(VLOOKUP(B505,'Pre-Summary'!$A$6:$P$178,9,FALSE),AB506)</f>
        <v>0.87858471235308822</v>
      </c>
      <c r="AC505" s="10">
        <f>IFERROR(VLOOKUP(Summary!B505,'Pre-Summary'!$A$6:$P$184,5, FALSE)/100,AC506)</f>
        <v>0.67272566666666667</v>
      </c>
      <c r="AD505" s="10">
        <f>IFERROR(VLOOKUP(Summary!B505,'Pre-Summary'!$A$6:$P$184,3, FALSE)/100,AD506)</f>
        <v>8.9092333333333329E-2</v>
      </c>
      <c r="AE505" s="10">
        <f>IFERROR(VLOOKUP(Summary!B505,'Pre-Summary'!$A$6:$P$184,7, FALSE)/100,AE506)</f>
        <v>0.23818233333333336</v>
      </c>
      <c r="AF505" s="99">
        <f t="shared" si="22"/>
        <v>7.827516205453211E-2</v>
      </c>
      <c r="AG505" s="99">
        <f t="shared" si="23"/>
        <v>0.20926335681925406</v>
      </c>
      <c r="AH505" s="10" t="str">
        <f>IFERROR(VLOOKUP(B505,'Pre-Summary'!$AZ$6:$BE$65,3,FALSE),"")</f>
        <v/>
      </c>
      <c r="AI505" s="10" t="str">
        <f>IFERROR(VLOOKUP(B505,'Pre-Summary'!$AZ$6:$BE$65,5,FALSE),"")</f>
        <v/>
      </c>
      <c r="AJ505" s="10" t="str">
        <f>IFERROR(VLOOKUP(B505,'Pre-Summary'!$AZ$6:$BE$65,4,FALSE),"")</f>
        <v/>
      </c>
      <c r="AK505" s="10" t="str">
        <f>IFERROR(VLOOKUP(B505,'Pre-Summary'!$AZ$6:$BE$65,6,FALSE),"")</f>
        <v/>
      </c>
      <c r="AL505" s="10" t="str">
        <f>IFERROR(VLOOKUP(B505,'Pre-Summary'!$BG$6:$BL$44,3,FALSE),"")</f>
        <v/>
      </c>
      <c r="AM505" s="10" t="str">
        <f>IFERROR(VLOOKUP(B505,'Pre-Summary'!$BG$6:$BL$44,4,FALSE),"")</f>
        <v/>
      </c>
    </row>
    <row r="506" spans="2:39" ht="15" customHeight="1" x14ac:dyDescent="0.3">
      <c r="B506">
        <v>50.3</v>
      </c>
      <c r="C506" t="str">
        <f>IFERROR(VLOOKUP(B506,'Pre-Summary'!$DI$6:$DM$23,4,FALSE),"")</f>
        <v/>
      </c>
      <c r="D506" s="10" t="str">
        <f>IFERROR(VLOOKUP(B506,'Pre-Summary'!$AT$6:$AX$14,5,FALSE),D505)</f>
        <v>DSMZ v2: Dropped Na-Ac out of DSMZ 120 media</v>
      </c>
      <c r="E506" s="10" t="str">
        <f>IFERROR(VLOOKUP(B506,'Pre-Summary'!$AT$6:$AX$15,4,FALSE),"")</f>
        <v/>
      </c>
      <c r="F506">
        <f>IFERROR(VLOOKUP(B506,'Pre-Summary'!$AL$6:$AQ$13,6,FALSE),F505)</f>
        <v>5.9405263157894746E-2</v>
      </c>
      <c r="G506" t="str">
        <f>IFERROR(VLOOKUP(B506,'Pre-Summary'!$AE$6:$AJ$85,3,FALSE),"")</f>
        <v/>
      </c>
      <c r="H506" t="str">
        <f>IFERROR(VLOOKUP(B506,'Pre-Summary'!$AE$6:$AJ$85,4,FALSE),"")</f>
        <v/>
      </c>
      <c r="I506" t="str">
        <f>IFERROR(VLOOKUP(B506,'Pre-Summary'!$AE$6:$AJ$85,5,FALSE),"")</f>
        <v/>
      </c>
      <c r="J506" s="45" t="str">
        <f>IFERROR(VLOOKUP(B506,'Pre-Summary'!$AE$6:$AJ$85,6, FALSE),"")</f>
        <v/>
      </c>
      <c r="K506" s="45" t="str">
        <f>IFERROR(VLOOKUP(B506,'Pre-Summary'!$DE$6:$DG$61,3,FALSE),"")</f>
        <v/>
      </c>
      <c r="L506" s="45" t="str">
        <f>IFERROR(VLOOKUP(B506,'Pre-Summary'!$CU$6:$CW$36,3,FALSE),"")</f>
        <v/>
      </c>
      <c r="M506" s="45" t="str">
        <f>IFERROR(VLOOKUP(B506,'Pre-Summary'!$BW$6:$BY$58,2,FALSE),"")</f>
        <v/>
      </c>
      <c r="N506" s="45" t="str">
        <f>IFERROR(VLOOKUP(B506,'Pre-Summary'!$CD$6:$CF$64,2,FALSE),"")</f>
        <v/>
      </c>
      <c r="O506" s="99">
        <f>IFERROR(VLOOKUP(B506,'Pre-Summary'!$BO$6:$BQ$48,3, FALSE),O505)</f>
        <v>1.0915248032216731</v>
      </c>
      <c r="P506" s="99">
        <f>IFERROR(VLOOKUP(B506,'Pre-Summary'!$BS$6:$BU$35,3,FALSE),P505)</f>
        <v>0.25</v>
      </c>
      <c r="Q506" s="54">
        <f t="shared" si="21"/>
        <v>4.3660992128866924</v>
      </c>
      <c r="R506" s="53">
        <f>IFERROR(VLOOKUP(B506,'Pre-Summary'!$BG$6:$BM$44,7,FALSE),R507)</f>
        <v>7.5915763918363535E-2</v>
      </c>
      <c r="S506" s="53">
        <f>IFERROR(VLOOKUP(B506,'Pre-Summary'!$BG$6:$BM$44,6,FALSE),S507)</f>
        <v>5.2897473997019086E-2</v>
      </c>
      <c r="T506" s="45" t="str">
        <f>IFERROR(VLOOKUP(B506,'Pre-Summary'!$Y$6:$AC$83, 3,FALSE),"")</f>
        <v/>
      </c>
      <c r="U506" s="45" t="str">
        <f>IFERROR(VLOOKUP(B506,'Pre-Summary'!$Y$6:$AC$83, 4,FALSE),"")</f>
        <v/>
      </c>
      <c r="V506" t="str">
        <f>IFERROR(VLOOKUP(B506,'Pre-Summary'!$Y$6:$AC$83, 5,FALSE),"")</f>
        <v/>
      </c>
      <c r="W506" s="45" t="str">
        <f>IFERROR(VLOOKUP(B506,'Pre-Summary'!$Y$6:$AD$83,6,FALSE),"")</f>
        <v/>
      </c>
      <c r="X506" t="str">
        <f>IFERROR(VLOOKUP('Pre-Summary'!$DB$6:$DD$63,3,FALSE),"")</f>
        <v/>
      </c>
      <c r="Y506" t="str">
        <f>IFERROR(VLOOKUP(B506,'Pre-Summary'!$CR$6:$CT$36,3,FALSE),"")</f>
        <v/>
      </c>
      <c r="Z506" s="45" t="str">
        <f>IFERROR(VLOOKUP(B506,'Pre-Summary'!$BZ$6:$CB$63,2,FALSE),"")</f>
        <v/>
      </c>
      <c r="AA506" s="45" t="str">
        <f>IFERROR(VLOOKUP(B506,'Pre-Summary'!$CG$6:$CI$70,2,FALSE),"")</f>
        <v/>
      </c>
      <c r="AB506" s="99">
        <f>IFERROR(VLOOKUP(B506,'Pre-Summary'!$A$6:$P$178,9,FALSE),AB507)</f>
        <v>0.87858471235308822</v>
      </c>
      <c r="AC506" s="10">
        <f>IFERROR(VLOOKUP(Summary!B506,'Pre-Summary'!$A$6:$P$184,5, FALSE)/100,AC507)</f>
        <v>0.67272566666666667</v>
      </c>
      <c r="AD506" s="10">
        <f>IFERROR(VLOOKUP(Summary!B506,'Pre-Summary'!$A$6:$P$184,3, FALSE)/100,AD507)</f>
        <v>8.9092333333333329E-2</v>
      </c>
      <c r="AE506" s="10">
        <f>IFERROR(VLOOKUP(Summary!B506,'Pre-Summary'!$A$6:$P$184,7, FALSE)/100,AE507)</f>
        <v>0.23818233333333336</v>
      </c>
      <c r="AF506" s="99">
        <f t="shared" si="22"/>
        <v>7.827516205453211E-2</v>
      </c>
      <c r="AG506" s="99">
        <f t="shared" si="23"/>
        <v>0.20926335681925406</v>
      </c>
      <c r="AH506" s="10" t="str">
        <f>IFERROR(VLOOKUP(B506,'Pre-Summary'!$AZ$6:$BE$65,3,FALSE),"")</f>
        <v/>
      </c>
      <c r="AI506" s="10" t="str">
        <f>IFERROR(VLOOKUP(B506,'Pre-Summary'!$AZ$6:$BE$65,5,FALSE),"")</f>
        <v/>
      </c>
      <c r="AJ506" s="10" t="str">
        <f>IFERROR(VLOOKUP(B506,'Pre-Summary'!$AZ$6:$BE$65,4,FALSE),"")</f>
        <v/>
      </c>
      <c r="AK506" s="10" t="str">
        <f>IFERROR(VLOOKUP(B506,'Pre-Summary'!$AZ$6:$BE$65,6,FALSE),"")</f>
        <v/>
      </c>
      <c r="AL506" s="10" t="str">
        <f>IFERROR(VLOOKUP(B506,'Pre-Summary'!$BG$6:$BL$44,3,FALSE),"")</f>
        <v/>
      </c>
      <c r="AM506" s="10" t="str">
        <f>IFERROR(VLOOKUP(B506,'Pre-Summary'!$BG$6:$BL$44,4,FALSE),"")</f>
        <v/>
      </c>
    </row>
    <row r="507" spans="2:39" ht="15" customHeight="1" x14ac:dyDescent="0.3">
      <c r="B507">
        <v>50.4</v>
      </c>
      <c r="C507" t="str">
        <f>IFERROR(VLOOKUP(B507,'Pre-Summary'!$DI$6:$DM$23,4,FALSE),"")</f>
        <v/>
      </c>
      <c r="D507" s="10" t="str">
        <f>IFERROR(VLOOKUP(B507,'Pre-Summary'!$AT$6:$AX$14,5,FALSE),D506)</f>
        <v>DSMZ v2: Dropped Na-Ac out of DSMZ 120 media</v>
      </c>
      <c r="E507" s="10" t="str">
        <f>IFERROR(VLOOKUP(B507,'Pre-Summary'!$AT$6:$AX$15,4,FALSE),"")</f>
        <v/>
      </c>
      <c r="F507">
        <f>IFERROR(VLOOKUP(B507,'Pre-Summary'!$AL$6:$AQ$13,6,FALSE),F506)</f>
        <v>5.9405263157894746E-2</v>
      </c>
      <c r="G507" t="str">
        <f>IFERROR(VLOOKUP(B507,'Pre-Summary'!$AE$6:$AJ$85,3,FALSE),"")</f>
        <v/>
      </c>
      <c r="H507" t="str">
        <f>IFERROR(VLOOKUP(B507,'Pre-Summary'!$AE$6:$AJ$85,4,FALSE),"")</f>
        <v/>
      </c>
      <c r="I507" t="str">
        <f>IFERROR(VLOOKUP(B507,'Pre-Summary'!$AE$6:$AJ$85,5,FALSE),"")</f>
        <v/>
      </c>
      <c r="J507" s="45" t="str">
        <f>IFERROR(VLOOKUP(B507,'Pre-Summary'!$AE$6:$AJ$85,6, FALSE),"")</f>
        <v/>
      </c>
      <c r="K507" s="45" t="str">
        <f>IFERROR(VLOOKUP(B507,'Pre-Summary'!$DE$6:$DG$61,3,FALSE),"")</f>
        <v/>
      </c>
      <c r="L507" s="45" t="str">
        <f>IFERROR(VLOOKUP(B507,'Pre-Summary'!$CU$6:$CW$36,3,FALSE),"")</f>
        <v/>
      </c>
      <c r="M507" s="45" t="str">
        <f>IFERROR(VLOOKUP(B507,'Pre-Summary'!$BW$6:$BY$58,2,FALSE),"")</f>
        <v/>
      </c>
      <c r="N507" s="45" t="str">
        <f>IFERROR(VLOOKUP(B507,'Pre-Summary'!$CD$6:$CF$64,2,FALSE),"")</f>
        <v/>
      </c>
      <c r="O507" s="99">
        <f>IFERROR(VLOOKUP(B507,'Pre-Summary'!$BO$6:$BQ$48,3, FALSE),O506)</f>
        <v>1.0915248032216731</v>
      </c>
      <c r="P507" s="99">
        <f>IFERROR(VLOOKUP(B507,'Pre-Summary'!$BS$6:$BU$35,3,FALSE),P506)</f>
        <v>0.25</v>
      </c>
      <c r="Q507" s="54">
        <f t="shared" si="21"/>
        <v>4.3660992128866924</v>
      </c>
      <c r="R507" s="53">
        <f>IFERROR(VLOOKUP(B507,'Pre-Summary'!$BG$6:$BM$44,7,FALSE),R508)</f>
        <v>7.5915763918363535E-2</v>
      </c>
      <c r="S507" s="53">
        <f>IFERROR(VLOOKUP(B507,'Pre-Summary'!$BG$6:$BM$44,6,FALSE),S508)</f>
        <v>5.2897473997019086E-2</v>
      </c>
      <c r="T507" s="45" t="str">
        <f>IFERROR(VLOOKUP(B507,'Pre-Summary'!$Y$6:$AC$83, 3,FALSE),"")</f>
        <v/>
      </c>
      <c r="U507" s="45" t="str">
        <f>IFERROR(VLOOKUP(B507,'Pre-Summary'!$Y$6:$AC$83, 4,FALSE),"")</f>
        <v/>
      </c>
      <c r="V507" t="str">
        <f>IFERROR(VLOOKUP(B507,'Pre-Summary'!$Y$6:$AC$83, 5,FALSE),"")</f>
        <v/>
      </c>
      <c r="W507" s="45" t="str">
        <f>IFERROR(VLOOKUP(B507,'Pre-Summary'!$Y$6:$AD$83,6,FALSE),"")</f>
        <v/>
      </c>
      <c r="X507" t="str">
        <f>IFERROR(VLOOKUP('Pre-Summary'!$DB$6:$DD$63,3,FALSE),"")</f>
        <v/>
      </c>
      <c r="Y507" t="str">
        <f>IFERROR(VLOOKUP(B507,'Pre-Summary'!$CR$6:$CT$36,3,FALSE),"")</f>
        <v/>
      </c>
      <c r="Z507" s="45" t="str">
        <f>IFERROR(VLOOKUP(B507,'Pre-Summary'!$BZ$6:$CB$63,2,FALSE),"")</f>
        <v/>
      </c>
      <c r="AA507" s="45" t="str">
        <f>IFERROR(VLOOKUP(B507,'Pre-Summary'!$CG$6:$CI$70,2,FALSE),"")</f>
        <v/>
      </c>
      <c r="AB507" s="99">
        <f>IFERROR(VLOOKUP(B507,'Pre-Summary'!$A$6:$P$178,9,FALSE),AB508)</f>
        <v>0.87858471235308822</v>
      </c>
      <c r="AC507" s="10">
        <f>IFERROR(VLOOKUP(Summary!B507,'Pre-Summary'!$A$6:$P$184,5, FALSE)/100,AC508)</f>
        <v>0.67272566666666667</v>
      </c>
      <c r="AD507" s="10">
        <f>IFERROR(VLOOKUP(Summary!B507,'Pre-Summary'!$A$6:$P$184,3, FALSE)/100,AD508)</f>
        <v>8.9092333333333329E-2</v>
      </c>
      <c r="AE507" s="10">
        <f>IFERROR(VLOOKUP(Summary!B507,'Pre-Summary'!$A$6:$P$184,7, FALSE)/100,AE508)</f>
        <v>0.23818233333333336</v>
      </c>
      <c r="AF507" s="99">
        <f t="shared" si="22"/>
        <v>7.827516205453211E-2</v>
      </c>
      <c r="AG507" s="99">
        <f t="shared" si="23"/>
        <v>0.20926335681925406</v>
      </c>
      <c r="AH507" s="10" t="str">
        <f>IFERROR(VLOOKUP(B507,'Pre-Summary'!$AZ$6:$BE$65,3,FALSE),"")</f>
        <v/>
      </c>
      <c r="AI507" s="10" t="str">
        <f>IFERROR(VLOOKUP(B507,'Pre-Summary'!$AZ$6:$BE$65,5,FALSE),"")</f>
        <v/>
      </c>
      <c r="AJ507" s="10" t="str">
        <f>IFERROR(VLOOKUP(B507,'Pre-Summary'!$AZ$6:$BE$65,4,FALSE),"")</f>
        <v/>
      </c>
      <c r="AK507" s="10" t="str">
        <f>IFERROR(VLOOKUP(B507,'Pre-Summary'!$AZ$6:$BE$65,6,FALSE),"")</f>
        <v/>
      </c>
      <c r="AL507" s="10" t="str">
        <f>IFERROR(VLOOKUP(B507,'Pre-Summary'!$BG$6:$BL$44,3,FALSE),"")</f>
        <v/>
      </c>
      <c r="AM507" s="10" t="str">
        <f>IFERROR(VLOOKUP(B507,'Pre-Summary'!$BG$6:$BL$44,4,FALSE),"")</f>
        <v/>
      </c>
    </row>
    <row r="508" spans="2:39" ht="15" customHeight="1" x14ac:dyDescent="0.3">
      <c r="B508">
        <v>50.5</v>
      </c>
      <c r="C508" t="str">
        <f>IFERROR(VLOOKUP(B508,'Pre-Summary'!$DI$6:$DM$23,4,FALSE),"")</f>
        <v/>
      </c>
      <c r="D508" s="10" t="str">
        <f>IFERROR(VLOOKUP(B508,'Pre-Summary'!$AT$6:$AX$14,5,FALSE),D507)</f>
        <v>DSMZ v2: Dropped Na-Ac out of DSMZ 120 media</v>
      </c>
      <c r="E508" s="10" t="str">
        <f>IFERROR(VLOOKUP(B508,'Pre-Summary'!$AT$6:$AX$15,4,FALSE),"")</f>
        <v/>
      </c>
      <c r="F508">
        <f>IFERROR(VLOOKUP(B508,'Pre-Summary'!$AL$6:$AQ$13,6,FALSE),F507)</f>
        <v>5.9405263157894746E-2</v>
      </c>
      <c r="G508" t="str">
        <f>IFERROR(VLOOKUP(B508,'Pre-Summary'!$AE$6:$AJ$85,3,FALSE),"")</f>
        <v/>
      </c>
      <c r="H508" t="str">
        <f>IFERROR(VLOOKUP(B508,'Pre-Summary'!$AE$6:$AJ$85,4,FALSE),"")</f>
        <v/>
      </c>
      <c r="I508" t="str">
        <f>IFERROR(VLOOKUP(B508,'Pre-Summary'!$AE$6:$AJ$85,5,FALSE),"")</f>
        <v/>
      </c>
      <c r="J508" s="45" t="str">
        <f>IFERROR(VLOOKUP(B508,'Pre-Summary'!$AE$6:$AJ$85,6, FALSE),"")</f>
        <v/>
      </c>
      <c r="K508" s="45" t="str">
        <f>IFERROR(VLOOKUP(B508,'Pre-Summary'!$DE$6:$DG$61,3,FALSE),"")</f>
        <v/>
      </c>
      <c r="L508" s="45" t="str">
        <f>IFERROR(VLOOKUP(B508,'Pre-Summary'!$CU$6:$CW$36,3,FALSE),"")</f>
        <v/>
      </c>
      <c r="M508" s="45" t="str">
        <f>IFERROR(VLOOKUP(B508,'Pre-Summary'!$BW$6:$BY$58,2,FALSE),"")</f>
        <v/>
      </c>
      <c r="N508" s="45" t="str">
        <f>IFERROR(VLOOKUP(B508,'Pre-Summary'!$CD$6:$CF$64,2,FALSE),"")</f>
        <v/>
      </c>
      <c r="O508" s="99">
        <f>IFERROR(VLOOKUP(B508,'Pre-Summary'!$BO$6:$BQ$48,3, FALSE),O507)</f>
        <v>1.0915248032216731</v>
      </c>
      <c r="P508" s="99">
        <f>IFERROR(VLOOKUP(B508,'Pre-Summary'!$BS$6:$BU$35,3,FALSE),P507)</f>
        <v>0.25</v>
      </c>
      <c r="Q508" s="54">
        <f t="shared" si="21"/>
        <v>4.3660992128866924</v>
      </c>
      <c r="R508" s="53">
        <f>IFERROR(VLOOKUP(B508,'Pre-Summary'!$BG$6:$BM$44,7,FALSE),R509)</f>
        <v>7.5915763918363535E-2</v>
      </c>
      <c r="S508" s="53">
        <f>IFERROR(VLOOKUP(B508,'Pre-Summary'!$BG$6:$BM$44,6,FALSE),S509)</f>
        <v>5.2897473997019086E-2</v>
      </c>
      <c r="T508" s="45" t="str">
        <f>IFERROR(VLOOKUP(B508,'Pre-Summary'!$Y$6:$AC$83, 3,FALSE),"")</f>
        <v/>
      </c>
      <c r="U508" s="45" t="str">
        <f>IFERROR(VLOOKUP(B508,'Pre-Summary'!$Y$6:$AC$83, 4,FALSE),"")</f>
        <v/>
      </c>
      <c r="V508" t="str">
        <f>IFERROR(VLOOKUP(B508,'Pre-Summary'!$Y$6:$AC$83, 5,FALSE),"")</f>
        <v/>
      </c>
      <c r="W508" s="45" t="str">
        <f>IFERROR(VLOOKUP(B508,'Pre-Summary'!$Y$6:$AD$83,6,FALSE),"")</f>
        <v/>
      </c>
      <c r="X508" t="str">
        <f>IFERROR(VLOOKUP('Pre-Summary'!$DB$6:$DD$63,3,FALSE),"")</f>
        <v/>
      </c>
      <c r="Y508" t="str">
        <f>IFERROR(VLOOKUP(B508,'Pre-Summary'!$CR$6:$CT$36,3,FALSE),"")</f>
        <v/>
      </c>
      <c r="Z508" s="45" t="str">
        <f>IFERROR(VLOOKUP(B508,'Pre-Summary'!$BZ$6:$CB$63,2,FALSE),"")</f>
        <v/>
      </c>
      <c r="AA508" s="45" t="str">
        <f>IFERROR(VLOOKUP(B508,'Pre-Summary'!$CG$6:$CI$70,2,FALSE),"")</f>
        <v/>
      </c>
      <c r="AB508" s="99">
        <f>IFERROR(VLOOKUP(B508,'Pre-Summary'!$A$6:$P$178,9,FALSE),AB509)</f>
        <v>0.87858471235308822</v>
      </c>
      <c r="AC508" s="10">
        <f>IFERROR(VLOOKUP(Summary!B508,'Pre-Summary'!$A$6:$P$184,5, FALSE)/100,AC509)</f>
        <v>0.67272566666666667</v>
      </c>
      <c r="AD508" s="10">
        <f>IFERROR(VLOOKUP(Summary!B508,'Pre-Summary'!$A$6:$P$184,3, FALSE)/100,AD509)</f>
        <v>8.9092333333333329E-2</v>
      </c>
      <c r="AE508" s="10">
        <f>IFERROR(VLOOKUP(Summary!B508,'Pre-Summary'!$A$6:$P$184,7, FALSE)/100,AE509)</f>
        <v>0.23818233333333336</v>
      </c>
      <c r="AF508" s="99">
        <f t="shared" si="22"/>
        <v>7.827516205453211E-2</v>
      </c>
      <c r="AG508" s="99">
        <f t="shared" si="23"/>
        <v>0.20926335681925406</v>
      </c>
      <c r="AH508" s="10" t="str">
        <f>IFERROR(VLOOKUP(B508,'Pre-Summary'!$AZ$6:$BE$65,3,FALSE),"")</f>
        <v/>
      </c>
      <c r="AI508" s="10" t="str">
        <f>IFERROR(VLOOKUP(B508,'Pre-Summary'!$AZ$6:$BE$65,5,FALSE),"")</f>
        <v/>
      </c>
      <c r="AJ508" s="10" t="str">
        <f>IFERROR(VLOOKUP(B508,'Pre-Summary'!$AZ$6:$BE$65,4,FALSE),"")</f>
        <v/>
      </c>
      <c r="AK508" s="10" t="str">
        <f>IFERROR(VLOOKUP(B508,'Pre-Summary'!$AZ$6:$BE$65,6,FALSE),"")</f>
        <v/>
      </c>
      <c r="AL508" s="10" t="str">
        <f>IFERROR(VLOOKUP(B508,'Pre-Summary'!$BG$6:$BL$44,3,FALSE),"")</f>
        <v/>
      </c>
      <c r="AM508" s="10" t="str">
        <f>IFERROR(VLOOKUP(B508,'Pre-Summary'!$BG$6:$BL$44,4,FALSE),"")</f>
        <v/>
      </c>
    </row>
    <row r="509" spans="2:39" ht="15" customHeight="1" x14ac:dyDescent="0.3">
      <c r="B509">
        <v>50.6</v>
      </c>
      <c r="C509" t="str">
        <f>IFERROR(VLOOKUP(B509,'Pre-Summary'!$DI$6:$DM$23,4,FALSE),"")</f>
        <v/>
      </c>
      <c r="D509" s="10" t="str">
        <f>IFERROR(VLOOKUP(B509,'Pre-Summary'!$AT$6:$AX$14,5,FALSE),D508)</f>
        <v>DSMZ v2: Dropped Na-Ac out of DSMZ 120 media</v>
      </c>
      <c r="E509" s="10" t="str">
        <f>IFERROR(VLOOKUP(B509,'Pre-Summary'!$AT$6:$AX$15,4,FALSE),"")</f>
        <v/>
      </c>
      <c r="F509">
        <f>IFERROR(VLOOKUP(B509,'Pre-Summary'!$AL$6:$AQ$13,6,FALSE),F508)</f>
        <v>5.9405263157894746E-2</v>
      </c>
      <c r="G509" t="str">
        <f>IFERROR(VLOOKUP(B509,'Pre-Summary'!$AE$6:$AJ$85,3,FALSE),"")</f>
        <v/>
      </c>
      <c r="H509" t="str">
        <f>IFERROR(VLOOKUP(B509,'Pre-Summary'!$AE$6:$AJ$85,4,FALSE),"")</f>
        <v/>
      </c>
      <c r="I509" t="str">
        <f>IFERROR(VLOOKUP(B509,'Pre-Summary'!$AE$6:$AJ$85,5,FALSE),"")</f>
        <v/>
      </c>
      <c r="J509" s="45" t="str">
        <f>IFERROR(VLOOKUP(B509,'Pre-Summary'!$AE$6:$AJ$85,6, FALSE),"")</f>
        <v/>
      </c>
      <c r="K509" s="45" t="str">
        <f>IFERROR(VLOOKUP(B509,'Pre-Summary'!$DE$6:$DG$61,3,FALSE),"")</f>
        <v/>
      </c>
      <c r="L509" s="45" t="str">
        <f>IFERROR(VLOOKUP(B509,'Pre-Summary'!$CU$6:$CW$36,3,FALSE),"")</f>
        <v/>
      </c>
      <c r="M509" s="45" t="str">
        <f>IFERROR(VLOOKUP(B509,'Pre-Summary'!$BW$6:$BY$58,2,FALSE),"")</f>
        <v/>
      </c>
      <c r="N509" s="45" t="str">
        <f>IFERROR(VLOOKUP(B509,'Pre-Summary'!$CD$6:$CF$64,2,FALSE),"")</f>
        <v/>
      </c>
      <c r="O509" s="99">
        <f>IFERROR(VLOOKUP(B509,'Pre-Summary'!$BO$6:$BQ$48,3, FALSE),O508)</f>
        <v>1.0915248032216731</v>
      </c>
      <c r="P509" s="99">
        <f>IFERROR(VLOOKUP(B509,'Pre-Summary'!$BS$6:$BU$35,3,FALSE),P508)</f>
        <v>0.25</v>
      </c>
      <c r="Q509" s="54">
        <f t="shared" si="21"/>
        <v>4.3660992128866924</v>
      </c>
      <c r="R509" s="53">
        <f>IFERROR(VLOOKUP(B509,'Pre-Summary'!$BG$6:$BM$44,7,FALSE),R510)</f>
        <v>7.5915763918363535E-2</v>
      </c>
      <c r="S509" s="53">
        <f>IFERROR(VLOOKUP(B509,'Pre-Summary'!$BG$6:$BM$44,6,FALSE),S510)</f>
        <v>5.2897473997019086E-2</v>
      </c>
      <c r="T509" s="45" t="str">
        <f>IFERROR(VLOOKUP(B509,'Pre-Summary'!$Y$6:$AC$83, 3,FALSE),"")</f>
        <v/>
      </c>
      <c r="U509" s="45" t="str">
        <f>IFERROR(VLOOKUP(B509,'Pre-Summary'!$Y$6:$AC$83, 4,FALSE),"")</f>
        <v/>
      </c>
      <c r="V509" t="str">
        <f>IFERROR(VLOOKUP(B509,'Pre-Summary'!$Y$6:$AC$83, 5,FALSE),"")</f>
        <v/>
      </c>
      <c r="W509" s="45" t="str">
        <f>IFERROR(VLOOKUP(B509,'Pre-Summary'!$Y$6:$AD$83,6,FALSE),"")</f>
        <v/>
      </c>
      <c r="X509" t="str">
        <f>IFERROR(VLOOKUP('Pre-Summary'!$DB$6:$DD$63,3,FALSE),"")</f>
        <v/>
      </c>
      <c r="Y509" t="str">
        <f>IFERROR(VLOOKUP(B509,'Pre-Summary'!$CR$6:$CT$36,3,FALSE),"")</f>
        <v/>
      </c>
      <c r="Z509" s="45" t="str">
        <f>IFERROR(VLOOKUP(B509,'Pre-Summary'!$BZ$6:$CB$63,2,FALSE),"")</f>
        <v/>
      </c>
      <c r="AA509" s="45" t="str">
        <f>IFERROR(VLOOKUP(B509,'Pre-Summary'!$CG$6:$CI$70,2,FALSE),"")</f>
        <v/>
      </c>
      <c r="AB509" s="99">
        <f>IFERROR(VLOOKUP(B509,'Pre-Summary'!$A$6:$P$178,9,FALSE),AB510)</f>
        <v>0.87858471235308822</v>
      </c>
      <c r="AC509" s="10">
        <f>IFERROR(VLOOKUP(Summary!B509,'Pre-Summary'!$A$6:$P$184,5, FALSE)/100,AC510)</f>
        <v>0.67272566666666667</v>
      </c>
      <c r="AD509" s="10">
        <f>IFERROR(VLOOKUP(Summary!B509,'Pre-Summary'!$A$6:$P$184,3, FALSE)/100,AD510)</f>
        <v>8.9092333333333329E-2</v>
      </c>
      <c r="AE509" s="10">
        <f>IFERROR(VLOOKUP(Summary!B509,'Pre-Summary'!$A$6:$P$184,7, FALSE)/100,AE510)</f>
        <v>0.23818233333333336</v>
      </c>
      <c r="AF509" s="99">
        <f t="shared" si="22"/>
        <v>7.827516205453211E-2</v>
      </c>
      <c r="AG509" s="99">
        <f t="shared" si="23"/>
        <v>0.20926335681925406</v>
      </c>
      <c r="AH509" s="10" t="str">
        <f>IFERROR(VLOOKUP(B509,'Pre-Summary'!$AZ$6:$BE$65,3,FALSE),"")</f>
        <v/>
      </c>
      <c r="AI509" s="10" t="str">
        <f>IFERROR(VLOOKUP(B509,'Pre-Summary'!$AZ$6:$BE$65,5,FALSE),"")</f>
        <v/>
      </c>
      <c r="AJ509" s="10" t="str">
        <f>IFERROR(VLOOKUP(B509,'Pre-Summary'!$AZ$6:$BE$65,4,FALSE),"")</f>
        <v/>
      </c>
      <c r="AK509" s="10" t="str">
        <f>IFERROR(VLOOKUP(B509,'Pre-Summary'!$AZ$6:$BE$65,6,FALSE),"")</f>
        <v/>
      </c>
      <c r="AL509" s="10" t="str">
        <f>IFERROR(VLOOKUP(B509,'Pre-Summary'!$BG$6:$BL$44,3,FALSE),"")</f>
        <v/>
      </c>
      <c r="AM509" s="10" t="str">
        <f>IFERROR(VLOOKUP(B509,'Pre-Summary'!$BG$6:$BL$44,4,FALSE),"")</f>
        <v/>
      </c>
    </row>
    <row r="510" spans="2:39" ht="15" customHeight="1" x14ac:dyDescent="0.3">
      <c r="B510">
        <v>50.7</v>
      </c>
      <c r="C510" t="str">
        <f>IFERROR(VLOOKUP(B510,'Pre-Summary'!$DI$6:$DM$23,4,FALSE),"")</f>
        <v/>
      </c>
      <c r="D510" s="10" t="str">
        <f>IFERROR(VLOOKUP(B510,'Pre-Summary'!$AT$6:$AX$14,5,FALSE),D509)</f>
        <v>DSMZ v2: Dropped Na-Ac out of DSMZ 120 media</v>
      </c>
      <c r="E510" s="10" t="str">
        <f>IFERROR(VLOOKUP(B510,'Pre-Summary'!$AT$6:$AX$15,4,FALSE),"")</f>
        <v/>
      </c>
      <c r="F510">
        <f>IFERROR(VLOOKUP(B510,'Pre-Summary'!$AL$6:$AQ$13,6,FALSE),F509)</f>
        <v>5.9405263157894746E-2</v>
      </c>
      <c r="G510" t="str">
        <f>IFERROR(VLOOKUP(B510,'Pre-Summary'!$AE$6:$AJ$85,3,FALSE),"")</f>
        <v/>
      </c>
      <c r="H510" t="str">
        <f>IFERROR(VLOOKUP(B510,'Pre-Summary'!$AE$6:$AJ$85,4,FALSE),"")</f>
        <v/>
      </c>
      <c r="I510" t="str">
        <f>IFERROR(VLOOKUP(B510,'Pre-Summary'!$AE$6:$AJ$85,5,FALSE),"")</f>
        <v/>
      </c>
      <c r="J510" s="45" t="str">
        <f>IFERROR(VLOOKUP(B510,'Pre-Summary'!$AE$6:$AJ$85,6, FALSE),"")</f>
        <v/>
      </c>
      <c r="K510" s="45" t="str">
        <f>IFERROR(VLOOKUP(B510,'Pre-Summary'!$DE$6:$DG$61,3,FALSE),"")</f>
        <v/>
      </c>
      <c r="L510" s="45" t="str">
        <f>IFERROR(VLOOKUP(B510,'Pre-Summary'!$CU$6:$CW$36,3,FALSE),"")</f>
        <v/>
      </c>
      <c r="M510" s="45" t="str">
        <f>IFERROR(VLOOKUP(B510,'Pre-Summary'!$BW$6:$BY$58,2,FALSE),"")</f>
        <v/>
      </c>
      <c r="N510" s="45" t="str">
        <f>IFERROR(VLOOKUP(B510,'Pre-Summary'!$CD$6:$CF$64,2,FALSE),"")</f>
        <v/>
      </c>
      <c r="O510" s="99">
        <f>IFERROR(VLOOKUP(B510,'Pre-Summary'!$BO$6:$BQ$48,3, FALSE),O509)</f>
        <v>1.0915248032216731</v>
      </c>
      <c r="P510" s="99">
        <f>IFERROR(VLOOKUP(B510,'Pre-Summary'!$BS$6:$BU$35,3,FALSE),P509)</f>
        <v>0.25</v>
      </c>
      <c r="Q510" s="54">
        <f t="shared" si="21"/>
        <v>4.3660992128866924</v>
      </c>
      <c r="R510" s="53">
        <f>IFERROR(VLOOKUP(B510,'Pre-Summary'!$BG$6:$BM$44,7,FALSE),R511)</f>
        <v>7.5915763918363535E-2</v>
      </c>
      <c r="S510" s="53">
        <f>IFERROR(VLOOKUP(B510,'Pre-Summary'!$BG$6:$BM$44,6,FALSE),S511)</f>
        <v>5.2897473997019086E-2</v>
      </c>
      <c r="T510" s="45" t="str">
        <f>IFERROR(VLOOKUP(B510,'Pre-Summary'!$Y$6:$AC$83, 3,FALSE),"")</f>
        <v/>
      </c>
      <c r="U510" s="45" t="str">
        <f>IFERROR(VLOOKUP(B510,'Pre-Summary'!$Y$6:$AC$83, 4,FALSE),"")</f>
        <v/>
      </c>
      <c r="V510" t="str">
        <f>IFERROR(VLOOKUP(B510,'Pre-Summary'!$Y$6:$AC$83, 5,FALSE),"")</f>
        <v/>
      </c>
      <c r="W510" s="45" t="str">
        <f>IFERROR(VLOOKUP(B510,'Pre-Summary'!$Y$6:$AD$83,6,FALSE),"")</f>
        <v/>
      </c>
      <c r="X510" t="str">
        <f>IFERROR(VLOOKUP('Pre-Summary'!$DB$6:$DD$63,3,FALSE),"")</f>
        <v/>
      </c>
      <c r="Y510" t="str">
        <f>IFERROR(VLOOKUP(B510,'Pre-Summary'!$CR$6:$CT$36,3,FALSE),"")</f>
        <v/>
      </c>
      <c r="Z510" s="45" t="str">
        <f>IFERROR(VLOOKUP(B510,'Pre-Summary'!$BZ$6:$CB$63,2,FALSE),"")</f>
        <v/>
      </c>
      <c r="AA510" s="45" t="str">
        <f>IFERROR(VLOOKUP(B510,'Pre-Summary'!$CG$6:$CI$70,2,FALSE),"")</f>
        <v/>
      </c>
      <c r="AB510" s="99">
        <f>IFERROR(VLOOKUP(B510,'Pre-Summary'!$A$6:$P$178,9,FALSE),AB511)</f>
        <v>0.87858471235308822</v>
      </c>
      <c r="AC510" s="10">
        <f>IFERROR(VLOOKUP(Summary!B510,'Pre-Summary'!$A$6:$P$184,5, FALSE)/100,AC511)</f>
        <v>0.67272566666666667</v>
      </c>
      <c r="AD510" s="10">
        <f>IFERROR(VLOOKUP(Summary!B510,'Pre-Summary'!$A$6:$P$184,3, FALSE)/100,AD511)</f>
        <v>8.9092333333333329E-2</v>
      </c>
      <c r="AE510" s="10">
        <f>IFERROR(VLOOKUP(Summary!B510,'Pre-Summary'!$A$6:$P$184,7, FALSE)/100,AE511)</f>
        <v>0.23818233333333336</v>
      </c>
      <c r="AF510" s="99">
        <f t="shared" si="22"/>
        <v>7.827516205453211E-2</v>
      </c>
      <c r="AG510" s="99">
        <f t="shared" si="23"/>
        <v>0.20926335681925406</v>
      </c>
      <c r="AH510" s="10" t="str">
        <f>IFERROR(VLOOKUP(B510,'Pre-Summary'!$AZ$6:$BE$65,3,FALSE),"")</f>
        <v/>
      </c>
      <c r="AI510" s="10" t="str">
        <f>IFERROR(VLOOKUP(B510,'Pre-Summary'!$AZ$6:$BE$65,5,FALSE),"")</f>
        <v/>
      </c>
      <c r="AJ510" s="10" t="str">
        <f>IFERROR(VLOOKUP(B510,'Pre-Summary'!$AZ$6:$BE$65,4,FALSE),"")</f>
        <v/>
      </c>
      <c r="AK510" s="10" t="str">
        <f>IFERROR(VLOOKUP(B510,'Pre-Summary'!$AZ$6:$BE$65,6,FALSE),"")</f>
        <v/>
      </c>
      <c r="AL510" s="10" t="str">
        <f>IFERROR(VLOOKUP(B510,'Pre-Summary'!$BG$6:$BL$44,3,FALSE),"")</f>
        <v/>
      </c>
      <c r="AM510" s="10" t="str">
        <f>IFERROR(VLOOKUP(B510,'Pre-Summary'!$BG$6:$BL$44,4,FALSE),"")</f>
        <v/>
      </c>
    </row>
    <row r="511" spans="2:39" ht="15" customHeight="1" x14ac:dyDescent="0.3">
      <c r="B511">
        <v>50.8</v>
      </c>
      <c r="C511" t="str">
        <f>IFERROR(VLOOKUP(B511,'Pre-Summary'!$DI$6:$DM$23,4,FALSE),"")</f>
        <v/>
      </c>
      <c r="D511" s="10" t="str">
        <f>IFERROR(VLOOKUP(B511,'Pre-Summary'!$AT$6:$AX$14,5,FALSE),D510)</f>
        <v>DSMZ v2: Dropped Na-Ac out of DSMZ 120 media</v>
      </c>
      <c r="E511" s="10" t="str">
        <f>IFERROR(VLOOKUP(B511,'Pre-Summary'!$AT$6:$AX$15,4,FALSE),"")</f>
        <v/>
      </c>
      <c r="F511">
        <f>IFERROR(VLOOKUP(B511,'Pre-Summary'!$AL$6:$AQ$13,6,FALSE),F510)</f>
        <v>5.9405263157894746E-2</v>
      </c>
      <c r="G511" t="str">
        <f>IFERROR(VLOOKUP(B511,'Pre-Summary'!$AE$6:$AJ$85,3,FALSE),"")</f>
        <v/>
      </c>
      <c r="H511" t="str">
        <f>IFERROR(VLOOKUP(B511,'Pre-Summary'!$AE$6:$AJ$85,4,FALSE),"")</f>
        <v/>
      </c>
      <c r="I511" t="str">
        <f>IFERROR(VLOOKUP(B511,'Pre-Summary'!$AE$6:$AJ$85,5,FALSE),"")</f>
        <v/>
      </c>
      <c r="J511" s="45" t="str">
        <f>IFERROR(VLOOKUP(B511,'Pre-Summary'!$AE$6:$AJ$85,6, FALSE),"")</f>
        <v/>
      </c>
      <c r="K511" s="45" t="str">
        <f>IFERROR(VLOOKUP(B511,'Pre-Summary'!$DE$6:$DG$61,3,FALSE),"")</f>
        <v/>
      </c>
      <c r="L511" s="45" t="str">
        <f>IFERROR(VLOOKUP(B511,'Pre-Summary'!$CU$6:$CW$36,3,FALSE),"")</f>
        <v/>
      </c>
      <c r="M511" s="45" t="str">
        <f>IFERROR(VLOOKUP(B511,'Pre-Summary'!$BW$6:$BY$58,2,FALSE),"")</f>
        <v/>
      </c>
      <c r="N511" s="45" t="str">
        <f>IFERROR(VLOOKUP(B511,'Pre-Summary'!$CD$6:$CF$64,2,FALSE),"")</f>
        <v/>
      </c>
      <c r="O511" s="99">
        <f>IFERROR(VLOOKUP(B511,'Pre-Summary'!$BO$6:$BQ$48,3, FALSE),O510)</f>
        <v>1.0915248032216731</v>
      </c>
      <c r="P511" s="99">
        <f>IFERROR(VLOOKUP(B511,'Pre-Summary'!$BS$6:$BU$35,3,FALSE),P510)</f>
        <v>0.25</v>
      </c>
      <c r="Q511" s="54">
        <f t="shared" si="21"/>
        <v>4.3660992128866924</v>
      </c>
      <c r="R511" s="53">
        <f>IFERROR(VLOOKUP(B511,'Pre-Summary'!$BG$6:$BM$44,7,FALSE),R512)</f>
        <v>7.5915763918363535E-2</v>
      </c>
      <c r="S511" s="53">
        <f>IFERROR(VLOOKUP(B511,'Pre-Summary'!$BG$6:$BM$44,6,FALSE),S512)</f>
        <v>5.2897473997019086E-2</v>
      </c>
      <c r="T511" s="45" t="str">
        <f>IFERROR(VLOOKUP(B511,'Pre-Summary'!$Y$6:$AC$83, 3,FALSE),"")</f>
        <v/>
      </c>
      <c r="U511" s="45" t="str">
        <f>IFERROR(VLOOKUP(B511,'Pre-Summary'!$Y$6:$AC$83, 4,FALSE),"")</f>
        <v/>
      </c>
      <c r="V511" t="str">
        <f>IFERROR(VLOOKUP(B511,'Pre-Summary'!$Y$6:$AC$83, 5,FALSE),"")</f>
        <v/>
      </c>
      <c r="W511" s="45" t="str">
        <f>IFERROR(VLOOKUP(B511,'Pre-Summary'!$Y$6:$AD$83,6,FALSE),"")</f>
        <v/>
      </c>
      <c r="X511" t="str">
        <f>IFERROR(VLOOKUP('Pre-Summary'!$DB$6:$DD$63,3,FALSE),"")</f>
        <v/>
      </c>
      <c r="Y511" t="str">
        <f>IFERROR(VLOOKUP(B511,'Pre-Summary'!$CR$6:$CT$36,3,FALSE),"")</f>
        <v/>
      </c>
      <c r="Z511" s="45" t="str">
        <f>IFERROR(VLOOKUP(B511,'Pre-Summary'!$BZ$6:$CB$63,2,FALSE),"")</f>
        <v/>
      </c>
      <c r="AA511" s="45" t="str">
        <f>IFERROR(VLOOKUP(B511,'Pre-Summary'!$CG$6:$CI$70,2,FALSE),"")</f>
        <v/>
      </c>
      <c r="AB511" s="99">
        <f>IFERROR(VLOOKUP(B511,'Pre-Summary'!$A$6:$P$178,9,FALSE),AB512)</f>
        <v>0.87858471235308822</v>
      </c>
      <c r="AC511" s="10">
        <f>IFERROR(VLOOKUP(Summary!B511,'Pre-Summary'!$A$6:$P$184,5, FALSE)/100,AC512)</f>
        <v>0.67272566666666667</v>
      </c>
      <c r="AD511" s="10">
        <f>IFERROR(VLOOKUP(Summary!B511,'Pre-Summary'!$A$6:$P$184,3, FALSE)/100,AD512)</f>
        <v>8.9092333333333329E-2</v>
      </c>
      <c r="AE511" s="10">
        <f>IFERROR(VLOOKUP(Summary!B511,'Pre-Summary'!$A$6:$P$184,7, FALSE)/100,AE512)</f>
        <v>0.23818233333333336</v>
      </c>
      <c r="AF511" s="99">
        <f t="shared" si="22"/>
        <v>7.827516205453211E-2</v>
      </c>
      <c r="AG511" s="99">
        <f t="shared" si="23"/>
        <v>0.20926335681925406</v>
      </c>
      <c r="AH511" s="10" t="str">
        <f>IFERROR(VLOOKUP(B511,'Pre-Summary'!$AZ$6:$BE$65,3,FALSE),"")</f>
        <v/>
      </c>
      <c r="AI511" s="10" t="str">
        <f>IFERROR(VLOOKUP(B511,'Pre-Summary'!$AZ$6:$BE$65,5,FALSE),"")</f>
        <v/>
      </c>
      <c r="AJ511" s="10" t="str">
        <f>IFERROR(VLOOKUP(B511,'Pre-Summary'!$AZ$6:$BE$65,4,FALSE),"")</f>
        <v/>
      </c>
      <c r="AK511" s="10" t="str">
        <f>IFERROR(VLOOKUP(B511,'Pre-Summary'!$AZ$6:$BE$65,6,FALSE),"")</f>
        <v/>
      </c>
      <c r="AL511" s="10" t="str">
        <f>IFERROR(VLOOKUP(B511,'Pre-Summary'!$BG$6:$BL$44,3,FALSE),"")</f>
        <v/>
      </c>
      <c r="AM511" s="10" t="str">
        <f>IFERROR(VLOOKUP(B511,'Pre-Summary'!$BG$6:$BL$44,4,FALSE),"")</f>
        <v/>
      </c>
    </row>
    <row r="512" spans="2:39" ht="15" customHeight="1" x14ac:dyDescent="0.3">
      <c r="B512">
        <v>50.9</v>
      </c>
      <c r="C512" t="str">
        <f>IFERROR(VLOOKUP(B512,'Pre-Summary'!$DI$6:$DM$23,4,FALSE),"")</f>
        <v/>
      </c>
      <c r="D512" s="10" t="str">
        <f>IFERROR(VLOOKUP(B512,'Pre-Summary'!$AT$6:$AX$14,5,FALSE),D511)</f>
        <v>DSMZ v2: Dropped Na-Ac out of DSMZ 120 media</v>
      </c>
      <c r="E512" s="10" t="str">
        <f>IFERROR(VLOOKUP(B512,'Pre-Summary'!$AT$6:$AX$15,4,FALSE),"")</f>
        <v/>
      </c>
      <c r="F512">
        <f>IFERROR(VLOOKUP(B512,'Pre-Summary'!$AL$6:$AQ$13,6,FALSE),F511)</f>
        <v>5.9405263157894746E-2</v>
      </c>
      <c r="G512" t="str">
        <f>IFERROR(VLOOKUP(B512,'Pre-Summary'!$AE$6:$AJ$85,3,FALSE),"")</f>
        <v/>
      </c>
      <c r="H512" t="str">
        <f>IFERROR(VLOOKUP(B512,'Pre-Summary'!$AE$6:$AJ$85,4,FALSE),"")</f>
        <v/>
      </c>
      <c r="I512" t="str">
        <f>IFERROR(VLOOKUP(B512,'Pre-Summary'!$AE$6:$AJ$85,5,FALSE),"")</f>
        <v/>
      </c>
      <c r="J512" s="45" t="str">
        <f>IFERROR(VLOOKUP(B512,'Pre-Summary'!$AE$6:$AJ$85,6, FALSE),"")</f>
        <v/>
      </c>
      <c r="K512" s="45" t="str">
        <f>IFERROR(VLOOKUP(B512,'Pre-Summary'!$DE$6:$DG$61,3,FALSE),"")</f>
        <v/>
      </c>
      <c r="L512" s="45" t="str">
        <f>IFERROR(VLOOKUP(B512,'Pre-Summary'!$CU$6:$CW$36,3,FALSE),"")</f>
        <v/>
      </c>
      <c r="M512" s="45" t="str">
        <f>IFERROR(VLOOKUP(B512,'Pre-Summary'!$BW$6:$BY$58,2,FALSE),"")</f>
        <v/>
      </c>
      <c r="N512" s="45" t="str">
        <f>IFERROR(VLOOKUP(B512,'Pre-Summary'!$CD$6:$CF$64,2,FALSE),"")</f>
        <v/>
      </c>
      <c r="O512" s="99">
        <f>IFERROR(VLOOKUP(B512,'Pre-Summary'!$BO$6:$BQ$48,3, FALSE),O511)</f>
        <v>1.0915248032216731</v>
      </c>
      <c r="P512" s="99">
        <f>IFERROR(VLOOKUP(B512,'Pre-Summary'!$BS$6:$BU$35,3,FALSE),P511)</f>
        <v>0.25</v>
      </c>
      <c r="Q512" s="54">
        <f t="shared" si="21"/>
        <v>4.3660992128866924</v>
      </c>
      <c r="R512" s="53">
        <f>IFERROR(VLOOKUP(B512,'Pre-Summary'!$BG$6:$BM$44,7,FALSE),R513)</f>
        <v>7.5915763918363535E-2</v>
      </c>
      <c r="S512" s="53">
        <f>IFERROR(VLOOKUP(B512,'Pre-Summary'!$BG$6:$BM$44,6,FALSE),S513)</f>
        <v>5.2897473997019086E-2</v>
      </c>
      <c r="T512" s="45" t="str">
        <f>IFERROR(VLOOKUP(B512,'Pre-Summary'!$Y$6:$AC$83, 3,FALSE),"")</f>
        <v/>
      </c>
      <c r="U512" s="45" t="str">
        <f>IFERROR(VLOOKUP(B512,'Pre-Summary'!$Y$6:$AC$83, 4,FALSE),"")</f>
        <v/>
      </c>
      <c r="V512" t="str">
        <f>IFERROR(VLOOKUP(B512,'Pre-Summary'!$Y$6:$AC$83, 5,FALSE),"")</f>
        <v/>
      </c>
      <c r="W512" s="45" t="str">
        <f>IFERROR(VLOOKUP(B512,'Pre-Summary'!$Y$6:$AD$83,6,FALSE),"")</f>
        <v/>
      </c>
      <c r="X512" t="str">
        <f>IFERROR(VLOOKUP('Pre-Summary'!$DB$6:$DD$63,3,FALSE),"")</f>
        <v/>
      </c>
      <c r="Y512" t="str">
        <f>IFERROR(VLOOKUP(B512,'Pre-Summary'!$CR$6:$CT$36,3,FALSE),"")</f>
        <v/>
      </c>
      <c r="Z512" s="45" t="str">
        <f>IFERROR(VLOOKUP(B512,'Pre-Summary'!$BZ$6:$CB$63,2,FALSE),"")</f>
        <v/>
      </c>
      <c r="AA512" s="45" t="str">
        <f>IFERROR(VLOOKUP(B512,'Pre-Summary'!$CG$6:$CI$70,2,FALSE),"")</f>
        <v/>
      </c>
      <c r="AB512" s="99">
        <f>IFERROR(VLOOKUP(B512,'Pre-Summary'!$A$6:$P$178,9,FALSE),AB513)</f>
        <v>0.87858471235308822</v>
      </c>
      <c r="AC512" s="10">
        <f>IFERROR(VLOOKUP(Summary!B512,'Pre-Summary'!$A$6:$P$184,5, FALSE)/100,AC513)</f>
        <v>0.67272566666666667</v>
      </c>
      <c r="AD512" s="10">
        <f>IFERROR(VLOOKUP(Summary!B512,'Pre-Summary'!$A$6:$P$184,3, FALSE)/100,AD513)</f>
        <v>8.9092333333333329E-2</v>
      </c>
      <c r="AE512" s="10">
        <f>IFERROR(VLOOKUP(Summary!B512,'Pre-Summary'!$A$6:$P$184,7, FALSE)/100,AE513)</f>
        <v>0.23818233333333336</v>
      </c>
      <c r="AF512" s="99">
        <f t="shared" si="22"/>
        <v>7.827516205453211E-2</v>
      </c>
      <c r="AG512" s="99">
        <f t="shared" si="23"/>
        <v>0.20926335681925406</v>
      </c>
      <c r="AH512" s="10" t="str">
        <f>IFERROR(VLOOKUP(B512,'Pre-Summary'!$AZ$6:$BE$65,3,FALSE),"")</f>
        <v/>
      </c>
      <c r="AI512" s="10" t="str">
        <f>IFERROR(VLOOKUP(B512,'Pre-Summary'!$AZ$6:$BE$65,5,FALSE),"")</f>
        <v/>
      </c>
      <c r="AJ512" s="10" t="str">
        <f>IFERROR(VLOOKUP(B512,'Pre-Summary'!$AZ$6:$BE$65,4,FALSE),"")</f>
        <v/>
      </c>
      <c r="AK512" s="10" t="str">
        <f>IFERROR(VLOOKUP(B512,'Pre-Summary'!$AZ$6:$BE$65,6,FALSE),"")</f>
        <v/>
      </c>
      <c r="AL512" s="10" t="str">
        <f>IFERROR(VLOOKUP(B512,'Pre-Summary'!$BG$6:$BL$44,3,FALSE),"")</f>
        <v/>
      </c>
      <c r="AM512" s="10" t="str">
        <f>IFERROR(VLOOKUP(B512,'Pre-Summary'!$BG$6:$BL$44,4,FALSE),"")</f>
        <v/>
      </c>
    </row>
    <row r="513" spans="2:39" ht="15" customHeight="1" x14ac:dyDescent="0.3">
      <c r="B513">
        <v>51</v>
      </c>
      <c r="C513" t="str">
        <f>IFERROR(VLOOKUP(B513,'Pre-Summary'!$DI$6:$DM$23,4,FALSE),"")</f>
        <v/>
      </c>
      <c r="D513" s="10" t="str">
        <f>IFERROR(VLOOKUP(B513,'Pre-Summary'!$AT$6:$AX$14,5,FALSE),D512)</f>
        <v>DSMZ v2: Dropped Na-Ac out of DSMZ 120 media</v>
      </c>
      <c r="E513" s="10" t="str">
        <f>IFERROR(VLOOKUP(B513,'Pre-Summary'!$AT$6:$AX$15,4,FALSE),"")</f>
        <v/>
      </c>
      <c r="F513">
        <f>IFERROR(VLOOKUP(B513,'Pre-Summary'!$AL$6:$AQ$13,6,FALSE),F512)</f>
        <v>5.9405263157894746E-2</v>
      </c>
      <c r="G513" t="str">
        <f>IFERROR(VLOOKUP(B513,'Pre-Summary'!$AE$6:$AJ$85,3,FALSE),"")</f>
        <v/>
      </c>
      <c r="H513" t="str">
        <f>IFERROR(VLOOKUP(B513,'Pre-Summary'!$AE$6:$AJ$85,4,FALSE),"")</f>
        <v/>
      </c>
      <c r="I513" t="str">
        <f>IFERROR(VLOOKUP(B513,'Pre-Summary'!$AE$6:$AJ$85,5,FALSE),"")</f>
        <v/>
      </c>
      <c r="J513" s="45" t="str">
        <f>IFERROR(VLOOKUP(B513,'Pre-Summary'!$AE$6:$AJ$85,6, FALSE),"")</f>
        <v/>
      </c>
      <c r="K513" s="45" t="str">
        <f>IFERROR(VLOOKUP(B513,'Pre-Summary'!$DE$6:$DG$61,3,FALSE),"")</f>
        <v/>
      </c>
      <c r="L513" s="45" t="str">
        <f>IFERROR(VLOOKUP(B513,'Pre-Summary'!$CU$6:$CW$36,3,FALSE),"")</f>
        <v/>
      </c>
      <c r="M513" s="45" t="str">
        <f>IFERROR(VLOOKUP(B513,'Pre-Summary'!$BW$6:$BY$58,2,FALSE),"")</f>
        <v/>
      </c>
      <c r="N513" s="45" t="str">
        <f>IFERROR(VLOOKUP(B513,'Pre-Summary'!$CD$6:$CF$64,2,FALSE),"")</f>
        <v/>
      </c>
      <c r="O513" s="99">
        <f>IFERROR(VLOOKUP(B513,'Pre-Summary'!$BO$6:$BQ$48,3, FALSE),O512)</f>
        <v>1.0915248032216731</v>
      </c>
      <c r="P513" s="99">
        <f>IFERROR(VLOOKUP(B513,'Pre-Summary'!$BS$6:$BU$35,3,FALSE),P512)</f>
        <v>0.25</v>
      </c>
      <c r="Q513" s="54">
        <f t="shared" si="21"/>
        <v>4.3660992128866924</v>
      </c>
      <c r="R513" s="53">
        <f>IFERROR(VLOOKUP(B513,'Pre-Summary'!$BG$6:$BM$44,7,FALSE),R514)</f>
        <v>7.5915763918363535E-2</v>
      </c>
      <c r="S513" s="53">
        <f>IFERROR(VLOOKUP(B513,'Pre-Summary'!$BG$6:$BM$44,6,FALSE),S514)</f>
        <v>5.2897473997019086E-2</v>
      </c>
      <c r="T513" s="45" t="str">
        <f>IFERROR(VLOOKUP(B513,'Pre-Summary'!$Y$6:$AC$83, 3,FALSE),"")</f>
        <v/>
      </c>
      <c r="U513" s="45" t="str">
        <f>IFERROR(VLOOKUP(B513,'Pre-Summary'!$Y$6:$AC$83, 4,FALSE),"")</f>
        <v/>
      </c>
      <c r="V513" t="str">
        <f>IFERROR(VLOOKUP(B513,'Pre-Summary'!$Y$6:$AC$83, 5,FALSE),"")</f>
        <v/>
      </c>
      <c r="W513" s="45" t="str">
        <f>IFERROR(VLOOKUP(B513,'Pre-Summary'!$Y$6:$AD$83,6,FALSE),"")</f>
        <v/>
      </c>
      <c r="X513" t="str">
        <f>IFERROR(VLOOKUP('Pre-Summary'!$DB$6:$DD$63,3,FALSE),"")</f>
        <v/>
      </c>
      <c r="Y513" t="str">
        <f>IFERROR(VLOOKUP(B513,'Pre-Summary'!$CR$6:$CT$36,3,FALSE),"")</f>
        <v/>
      </c>
      <c r="Z513" s="45" t="str">
        <f>IFERROR(VLOOKUP(B513,'Pre-Summary'!$BZ$6:$CB$63,2,FALSE),"")</f>
        <v/>
      </c>
      <c r="AA513" s="45" t="str">
        <f>IFERROR(VLOOKUP(B513,'Pre-Summary'!$CG$6:$CI$70,2,FALSE),"")</f>
        <v/>
      </c>
      <c r="AB513" s="99">
        <f>IFERROR(VLOOKUP(B513,'Pre-Summary'!$A$6:$P$178,9,FALSE),AB514)</f>
        <v>0.87858471235308822</v>
      </c>
      <c r="AC513" s="10">
        <f>IFERROR(VLOOKUP(Summary!B513,'Pre-Summary'!$A$6:$P$184,5, FALSE)/100,AC514)</f>
        <v>0.67272566666666667</v>
      </c>
      <c r="AD513" s="10">
        <f>IFERROR(VLOOKUP(Summary!B513,'Pre-Summary'!$A$6:$P$184,3, FALSE)/100,AD514)</f>
        <v>8.9092333333333329E-2</v>
      </c>
      <c r="AE513" s="10">
        <f>IFERROR(VLOOKUP(Summary!B513,'Pre-Summary'!$A$6:$P$184,7, FALSE)/100,AE514)</f>
        <v>0.23818233333333336</v>
      </c>
      <c r="AF513" s="99">
        <f t="shared" si="22"/>
        <v>7.827516205453211E-2</v>
      </c>
      <c r="AG513" s="99">
        <f t="shared" si="23"/>
        <v>0.20926335681925406</v>
      </c>
      <c r="AH513" s="10" t="str">
        <f>IFERROR(VLOOKUP(B513,'Pre-Summary'!$AZ$6:$BE$65,3,FALSE),"")</f>
        <v/>
      </c>
      <c r="AI513" s="10" t="str">
        <f>IFERROR(VLOOKUP(B513,'Pre-Summary'!$AZ$6:$BE$65,5,FALSE),"")</f>
        <v/>
      </c>
      <c r="AJ513" s="10" t="str">
        <f>IFERROR(VLOOKUP(B513,'Pre-Summary'!$AZ$6:$BE$65,4,FALSE),"")</f>
        <v/>
      </c>
      <c r="AK513" s="10" t="str">
        <f>IFERROR(VLOOKUP(B513,'Pre-Summary'!$AZ$6:$BE$65,6,FALSE),"")</f>
        <v/>
      </c>
      <c r="AL513" s="10" t="str">
        <f>IFERROR(VLOOKUP(B513,'Pre-Summary'!$BG$6:$BL$44,3,FALSE),"")</f>
        <v/>
      </c>
      <c r="AM513" s="10" t="str">
        <f>IFERROR(VLOOKUP(B513,'Pre-Summary'!$BG$6:$BL$44,4,FALSE),"")</f>
        <v/>
      </c>
    </row>
    <row r="514" spans="2:39" ht="15" customHeight="1" x14ac:dyDescent="0.3">
      <c r="B514">
        <v>51.1</v>
      </c>
      <c r="C514" t="str">
        <f>IFERROR(VLOOKUP(B514,'Pre-Summary'!$DI$6:$DM$23,4,FALSE),"")</f>
        <v/>
      </c>
      <c r="D514" s="10" t="str">
        <f>IFERROR(VLOOKUP(B514,'Pre-Summary'!$AT$6:$AX$14,5,FALSE),D513)</f>
        <v>DSMZ v2: Dropped Na-Ac out of DSMZ 120 media</v>
      </c>
      <c r="E514" s="10" t="str">
        <f>IFERROR(VLOOKUP(B514,'Pre-Summary'!$AT$6:$AX$15,4,FALSE),"")</f>
        <v/>
      </c>
      <c r="F514">
        <f>IFERROR(VLOOKUP(B514,'Pre-Summary'!$AL$6:$AQ$13,6,FALSE),F513)</f>
        <v>5.9405263157894746E-2</v>
      </c>
      <c r="G514" t="str">
        <f>IFERROR(VLOOKUP(B514,'Pre-Summary'!$AE$6:$AJ$85,3,FALSE),"")</f>
        <v/>
      </c>
      <c r="H514" t="str">
        <f>IFERROR(VLOOKUP(B514,'Pre-Summary'!$AE$6:$AJ$85,4,FALSE),"")</f>
        <v/>
      </c>
      <c r="I514" t="str">
        <f>IFERROR(VLOOKUP(B514,'Pre-Summary'!$AE$6:$AJ$85,5,FALSE),"")</f>
        <v/>
      </c>
      <c r="J514" s="45" t="str">
        <f>IFERROR(VLOOKUP(B514,'Pre-Summary'!$AE$6:$AJ$85,6, FALSE),"")</f>
        <v/>
      </c>
      <c r="K514" s="45" t="str">
        <f>IFERROR(VLOOKUP(B514,'Pre-Summary'!$DE$6:$DG$61,3,FALSE),"")</f>
        <v/>
      </c>
      <c r="L514" s="45" t="str">
        <f>IFERROR(VLOOKUP(B514,'Pre-Summary'!$CU$6:$CW$36,3,FALSE),"")</f>
        <v/>
      </c>
      <c r="M514" s="45" t="str">
        <f>IFERROR(VLOOKUP(B514,'Pre-Summary'!$BW$6:$BY$58,2,FALSE),"")</f>
        <v/>
      </c>
      <c r="N514" s="45" t="str">
        <f>IFERROR(VLOOKUP(B514,'Pre-Summary'!$CD$6:$CF$64,2,FALSE),"")</f>
        <v/>
      </c>
      <c r="O514" s="99">
        <f>IFERROR(VLOOKUP(B514,'Pre-Summary'!$BO$6:$BQ$48,3, FALSE),O513)</f>
        <v>1.0915248032216731</v>
      </c>
      <c r="P514" s="99">
        <f>IFERROR(VLOOKUP(B514,'Pre-Summary'!$BS$6:$BU$35,3,FALSE),P513)</f>
        <v>0.25</v>
      </c>
      <c r="Q514" s="54">
        <f t="shared" si="21"/>
        <v>4.3660992128866924</v>
      </c>
      <c r="R514" s="53">
        <f>IFERROR(VLOOKUP(B514,'Pre-Summary'!$BG$6:$BM$44,7,FALSE),R515)</f>
        <v>7.5915763918363535E-2</v>
      </c>
      <c r="S514" s="53">
        <f>IFERROR(VLOOKUP(B514,'Pre-Summary'!$BG$6:$BM$44,6,FALSE),S515)</f>
        <v>5.2897473997019086E-2</v>
      </c>
      <c r="T514" s="45" t="str">
        <f>IFERROR(VLOOKUP(B514,'Pre-Summary'!$Y$6:$AC$83, 3,FALSE),"")</f>
        <v/>
      </c>
      <c r="U514" s="45" t="str">
        <f>IFERROR(VLOOKUP(B514,'Pre-Summary'!$Y$6:$AC$83, 4,FALSE),"")</f>
        <v/>
      </c>
      <c r="V514" t="str">
        <f>IFERROR(VLOOKUP(B514,'Pre-Summary'!$Y$6:$AC$83, 5,FALSE),"")</f>
        <v/>
      </c>
      <c r="W514" s="45" t="str">
        <f>IFERROR(VLOOKUP(B514,'Pre-Summary'!$Y$6:$AD$83,6,FALSE),"")</f>
        <v/>
      </c>
      <c r="X514" t="str">
        <f>IFERROR(VLOOKUP('Pre-Summary'!$DB$6:$DD$63,3,FALSE),"")</f>
        <v/>
      </c>
      <c r="Y514" t="str">
        <f>IFERROR(VLOOKUP(B514,'Pre-Summary'!$CR$6:$CT$36,3,FALSE),"")</f>
        <v/>
      </c>
      <c r="Z514" s="45" t="str">
        <f>IFERROR(VLOOKUP(B514,'Pre-Summary'!$BZ$6:$CB$63,2,FALSE),"")</f>
        <v/>
      </c>
      <c r="AA514" s="45" t="str">
        <f>IFERROR(VLOOKUP(B514,'Pre-Summary'!$CG$6:$CI$70,2,FALSE),"")</f>
        <v/>
      </c>
      <c r="AB514" s="99">
        <f>IFERROR(VLOOKUP(B514,'Pre-Summary'!$A$6:$P$178,9,FALSE),AB515)</f>
        <v>0.87858471235308822</v>
      </c>
      <c r="AC514" s="10">
        <f>IFERROR(VLOOKUP(Summary!B514,'Pre-Summary'!$A$6:$P$184,5, FALSE)/100,AC515)</f>
        <v>0.67272566666666667</v>
      </c>
      <c r="AD514" s="10">
        <f>IFERROR(VLOOKUP(Summary!B514,'Pre-Summary'!$A$6:$P$184,3, FALSE)/100,AD515)</f>
        <v>8.9092333333333329E-2</v>
      </c>
      <c r="AE514" s="10">
        <f>IFERROR(VLOOKUP(Summary!B514,'Pre-Summary'!$A$6:$P$184,7, FALSE)/100,AE515)</f>
        <v>0.23818233333333336</v>
      </c>
      <c r="AF514" s="99">
        <f t="shared" si="22"/>
        <v>7.827516205453211E-2</v>
      </c>
      <c r="AG514" s="99">
        <f t="shared" si="23"/>
        <v>0.20926335681925406</v>
      </c>
      <c r="AH514" s="10" t="str">
        <f>IFERROR(VLOOKUP(B514,'Pre-Summary'!$AZ$6:$BE$65,3,FALSE),"")</f>
        <v/>
      </c>
      <c r="AI514" s="10" t="str">
        <f>IFERROR(VLOOKUP(B514,'Pre-Summary'!$AZ$6:$BE$65,5,FALSE),"")</f>
        <v/>
      </c>
      <c r="AJ514" s="10" t="str">
        <f>IFERROR(VLOOKUP(B514,'Pre-Summary'!$AZ$6:$BE$65,4,FALSE),"")</f>
        <v/>
      </c>
      <c r="AK514" s="10" t="str">
        <f>IFERROR(VLOOKUP(B514,'Pre-Summary'!$AZ$6:$BE$65,6,FALSE),"")</f>
        <v/>
      </c>
      <c r="AL514" s="10" t="str">
        <f>IFERROR(VLOOKUP(B514,'Pre-Summary'!$BG$6:$BL$44,3,FALSE),"")</f>
        <v/>
      </c>
      <c r="AM514" s="10" t="str">
        <f>IFERROR(VLOOKUP(B514,'Pre-Summary'!$BG$6:$BL$44,4,FALSE),"")</f>
        <v/>
      </c>
    </row>
    <row r="515" spans="2:39" ht="15" customHeight="1" x14ac:dyDescent="0.3">
      <c r="B515">
        <v>51.2</v>
      </c>
      <c r="C515" t="str">
        <f>IFERROR(VLOOKUP(B515,'Pre-Summary'!$DI$6:$DM$23,4,FALSE),"")</f>
        <v/>
      </c>
      <c r="D515" s="10" t="str">
        <f>IFERROR(VLOOKUP(B515,'Pre-Summary'!$AT$6:$AX$14,5,FALSE),D514)</f>
        <v>DSMZ v2: Dropped Na-Ac out of DSMZ 120 media</v>
      </c>
      <c r="E515" s="10" t="str">
        <f>IFERROR(VLOOKUP(B515,'Pre-Summary'!$AT$6:$AX$15,4,FALSE),"")</f>
        <v/>
      </c>
      <c r="F515">
        <f>IFERROR(VLOOKUP(B515,'Pre-Summary'!$AL$6:$AQ$13,6,FALSE),F514)</f>
        <v>5.9405263157894746E-2</v>
      </c>
      <c r="G515" t="str">
        <f>IFERROR(VLOOKUP(B515,'Pre-Summary'!$AE$6:$AJ$85,3,FALSE),"")</f>
        <v/>
      </c>
      <c r="H515" t="str">
        <f>IFERROR(VLOOKUP(B515,'Pre-Summary'!$AE$6:$AJ$85,4,FALSE),"")</f>
        <v/>
      </c>
      <c r="I515" t="str">
        <f>IFERROR(VLOOKUP(B515,'Pre-Summary'!$AE$6:$AJ$85,5,FALSE),"")</f>
        <v/>
      </c>
      <c r="J515" s="45" t="str">
        <f>IFERROR(VLOOKUP(B515,'Pre-Summary'!$AE$6:$AJ$85,6, FALSE),"")</f>
        <v/>
      </c>
      <c r="K515" s="45" t="str">
        <f>IFERROR(VLOOKUP(B515,'Pre-Summary'!$DE$6:$DG$61,3,FALSE),"")</f>
        <v/>
      </c>
      <c r="L515" s="45" t="str">
        <f>IFERROR(VLOOKUP(B515,'Pre-Summary'!$CU$6:$CW$36,3,FALSE),"")</f>
        <v/>
      </c>
      <c r="M515" s="45" t="str">
        <f>IFERROR(VLOOKUP(B515,'Pre-Summary'!$BW$6:$BY$58,2,FALSE),"")</f>
        <v/>
      </c>
      <c r="N515" s="45" t="str">
        <f>IFERROR(VLOOKUP(B515,'Pre-Summary'!$CD$6:$CF$64,2,FALSE),"")</f>
        <v/>
      </c>
      <c r="O515" s="99">
        <f>IFERROR(VLOOKUP(B515,'Pre-Summary'!$BO$6:$BQ$48,3, FALSE),O514)</f>
        <v>1.0915248032216731</v>
      </c>
      <c r="P515" s="99">
        <f>IFERROR(VLOOKUP(B515,'Pre-Summary'!$BS$6:$BU$35,3,FALSE),P514)</f>
        <v>0.25</v>
      </c>
      <c r="Q515" s="54">
        <f t="shared" ref="Q515:Q578" si="24">O515/P515</f>
        <v>4.3660992128866924</v>
      </c>
      <c r="R515" s="53">
        <f>IFERROR(VLOOKUP(B515,'Pre-Summary'!$BG$6:$BM$44,7,FALSE),R516)</f>
        <v>7.5915763918363535E-2</v>
      </c>
      <c r="S515" s="53">
        <f>IFERROR(VLOOKUP(B515,'Pre-Summary'!$BG$6:$BM$44,6,FALSE),S516)</f>
        <v>5.2897473997019086E-2</v>
      </c>
      <c r="T515" s="45" t="str">
        <f>IFERROR(VLOOKUP(B515,'Pre-Summary'!$Y$6:$AC$83, 3,FALSE),"")</f>
        <v/>
      </c>
      <c r="U515" s="45" t="str">
        <f>IFERROR(VLOOKUP(B515,'Pre-Summary'!$Y$6:$AC$83, 4,FALSE),"")</f>
        <v/>
      </c>
      <c r="V515" t="str">
        <f>IFERROR(VLOOKUP(B515,'Pre-Summary'!$Y$6:$AC$83, 5,FALSE),"")</f>
        <v/>
      </c>
      <c r="W515" s="45" t="str">
        <f>IFERROR(VLOOKUP(B515,'Pre-Summary'!$Y$6:$AD$83,6,FALSE),"")</f>
        <v/>
      </c>
      <c r="X515" t="str">
        <f>IFERROR(VLOOKUP('Pre-Summary'!$DB$6:$DD$63,3,FALSE),"")</f>
        <v/>
      </c>
      <c r="Y515" t="str">
        <f>IFERROR(VLOOKUP(B515,'Pre-Summary'!$CR$6:$CT$36,3,FALSE),"")</f>
        <v/>
      </c>
      <c r="Z515" s="45" t="str">
        <f>IFERROR(VLOOKUP(B515,'Pre-Summary'!$BZ$6:$CB$63,2,FALSE),"")</f>
        <v/>
      </c>
      <c r="AA515" s="45" t="str">
        <f>IFERROR(VLOOKUP(B515,'Pre-Summary'!$CG$6:$CI$70,2,FALSE),"")</f>
        <v/>
      </c>
      <c r="AB515" s="99">
        <f>IFERROR(VLOOKUP(B515,'Pre-Summary'!$A$6:$P$178,9,FALSE),AB516)</f>
        <v>0.87858471235308822</v>
      </c>
      <c r="AC515" s="10">
        <f>IFERROR(VLOOKUP(Summary!B515,'Pre-Summary'!$A$6:$P$184,5, FALSE)/100,AC516)</f>
        <v>0.67272566666666667</v>
      </c>
      <c r="AD515" s="10">
        <f>IFERROR(VLOOKUP(Summary!B515,'Pre-Summary'!$A$6:$P$184,3, FALSE)/100,AD516)</f>
        <v>8.9092333333333329E-2</v>
      </c>
      <c r="AE515" s="10">
        <f>IFERROR(VLOOKUP(Summary!B515,'Pre-Summary'!$A$6:$P$184,7, FALSE)/100,AE516)</f>
        <v>0.23818233333333336</v>
      </c>
      <c r="AF515" s="99">
        <f t="shared" ref="AF515:AF578" si="25">AD515*AB515</f>
        <v>7.827516205453211E-2</v>
      </c>
      <c r="AG515" s="99">
        <f t="shared" ref="AG515:AG578" si="26">AB515*AE515</f>
        <v>0.20926335681925406</v>
      </c>
      <c r="AH515" s="10" t="str">
        <f>IFERROR(VLOOKUP(B515,'Pre-Summary'!$AZ$6:$BE$65,3,FALSE),"")</f>
        <v/>
      </c>
      <c r="AI515" s="10" t="str">
        <f>IFERROR(VLOOKUP(B515,'Pre-Summary'!$AZ$6:$BE$65,5,FALSE),"")</f>
        <v/>
      </c>
      <c r="AJ515" s="10" t="str">
        <f>IFERROR(VLOOKUP(B515,'Pre-Summary'!$AZ$6:$BE$65,4,FALSE),"")</f>
        <v/>
      </c>
      <c r="AK515" s="10" t="str">
        <f>IFERROR(VLOOKUP(B515,'Pre-Summary'!$AZ$6:$BE$65,6,FALSE),"")</f>
        <v/>
      </c>
      <c r="AL515" s="10" t="str">
        <f>IFERROR(VLOOKUP(B515,'Pre-Summary'!$BG$6:$BL$44,3,FALSE),"")</f>
        <v/>
      </c>
      <c r="AM515" s="10" t="str">
        <f>IFERROR(VLOOKUP(B515,'Pre-Summary'!$BG$6:$BL$44,4,FALSE),"")</f>
        <v/>
      </c>
    </row>
    <row r="516" spans="2:39" ht="15" customHeight="1" x14ac:dyDescent="0.3">
      <c r="B516">
        <v>51.3</v>
      </c>
      <c r="C516" t="str">
        <f>IFERROR(VLOOKUP(B516,'Pre-Summary'!$DI$6:$DM$23,4,FALSE),"")</f>
        <v/>
      </c>
      <c r="D516" s="10" t="str">
        <f>IFERROR(VLOOKUP(B516,'Pre-Summary'!$AT$6:$AX$14,5,FALSE),D515)</f>
        <v>DSMZ v2: Dropped Na-Ac out of DSMZ 120 media</v>
      </c>
      <c r="E516" s="10" t="str">
        <f>IFERROR(VLOOKUP(B516,'Pre-Summary'!$AT$6:$AX$15,4,FALSE),"")</f>
        <v/>
      </c>
      <c r="F516">
        <f>IFERROR(VLOOKUP(B516,'Pre-Summary'!$AL$6:$AQ$13,6,FALSE),F515)</f>
        <v>5.9405263157894746E-2</v>
      </c>
      <c r="G516" t="str">
        <f>IFERROR(VLOOKUP(B516,'Pre-Summary'!$AE$6:$AJ$85,3,FALSE),"")</f>
        <v/>
      </c>
      <c r="H516" t="str">
        <f>IFERROR(VLOOKUP(B516,'Pre-Summary'!$AE$6:$AJ$85,4,FALSE),"")</f>
        <v/>
      </c>
      <c r="I516" t="str">
        <f>IFERROR(VLOOKUP(B516,'Pre-Summary'!$AE$6:$AJ$85,5,FALSE),"")</f>
        <v/>
      </c>
      <c r="J516" s="45" t="str">
        <f>IFERROR(VLOOKUP(B516,'Pre-Summary'!$AE$6:$AJ$85,6, FALSE),"")</f>
        <v/>
      </c>
      <c r="K516" s="45" t="str">
        <f>IFERROR(VLOOKUP(B516,'Pre-Summary'!$DE$6:$DG$61,3,FALSE),"")</f>
        <v/>
      </c>
      <c r="L516" s="45" t="str">
        <f>IFERROR(VLOOKUP(B516,'Pre-Summary'!$CU$6:$CW$36,3,FALSE),"")</f>
        <v/>
      </c>
      <c r="M516" s="45" t="str">
        <f>IFERROR(VLOOKUP(B516,'Pre-Summary'!$BW$6:$BY$58,2,FALSE),"")</f>
        <v/>
      </c>
      <c r="N516" s="45" t="str">
        <f>IFERROR(VLOOKUP(B516,'Pre-Summary'!$CD$6:$CF$64,2,FALSE),"")</f>
        <v/>
      </c>
      <c r="O516" s="99">
        <f>IFERROR(VLOOKUP(B516,'Pre-Summary'!$BO$6:$BQ$48,3, FALSE),O515)</f>
        <v>1.0915248032216731</v>
      </c>
      <c r="P516" s="99">
        <f>IFERROR(VLOOKUP(B516,'Pre-Summary'!$BS$6:$BU$35,3,FALSE),P515)</f>
        <v>0.25</v>
      </c>
      <c r="Q516" s="54">
        <f t="shared" si="24"/>
        <v>4.3660992128866924</v>
      </c>
      <c r="R516" s="53">
        <f>IFERROR(VLOOKUP(B516,'Pre-Summary'!$BG$6:$BM$44,7,FALSE),R517)</f>
        <v>7.5915763918363535E-2</v>
      </c>
      <c r="S516" s="53">
        <f>IFERROR(VLOOKUP(B516,'Pre-Summary'!$BG$6:$BM$44,6,FALSE),S517)</f>
        <v>5.2897473997019086E-2</v>
      </c>
      <c r="T516" s="45" t="str">
        <f>IFERROR(VLOOKUP(B516,'Pre-Summary'!$Y$6:$AC$83, 3,FALSE),"")</f>
        <v/>
      </c>
      <c r="U516" s="45" t="str">
        <f>IFERROR(VLOOKUP(B516,'Pre-Summary'!$Y$6:$AC$83, 4,FALSE),"")</f>
        <v/>
      </c>
      <c r="V516" t="str">
        <f>IFERROR(VLOOKUP(B516,'Pre-Summary'!$Y$6:$AC$83, 5,FALSE),"")</f>
        <v/>
      </c>
      <c r="W516" s="45" t="str">
        <f>IFERROR(VLOOKUP(B516,'Pre-Summary'!$Y$6:$AD$83,6,FALSE),"")</f>
        <v/>
      </c>
      <c r="X516" t="str">
        <f>IFERROR(VLOOKUP('Pre-Summary'!$DB$6:$DD$63,3,FALSE),"")</f>
        <v/>
      </c>
      <c r="Y516" t="str">
        <f>IFERROR(VLOOKUP(B516,'Pre-Summary'!$CR$6:$CT$36,3,FALSE),"")</f>
        <v/>
      </c>
      <c r="Z516" s="45" t="str">
        <f>IFERROR(VLOOKUP(B516,'Pre-Summary'!$BZ$6:$CB$63,2,FALSE),"")</f>
        <v/>
      </c>
      <c r="AA516" s="45" t="str">
        <f>IFERROR(VLOOKUP(B516,'Pre-Summary'!$CG$6:$CI$70,2,FALSE),"")</f>
        <v/>
      </c>
      <c r="AB516" s="99">
        <f>IFERROR(VLOOKUP(B516,'Pre-Summary'!$A$6:$P$178,9,FALSE),AB517)</f>
        <v>0.87858471235308822</v>
      </c>
      <c r="AC516" s="10">
        <f>IFERROR(VLOOKUP(Summary!B516,'Pre-Summary'!$A$6:$P$184,5, FALSE)/100,AC517)</f>
        <v>0.67272566666666667</v>
      </c>
      <c r="AD516" s="10">
        <f>IFERROR(VLOOKUP(Summary!B516,'Pre-Summary'!$A$6:$P$184,3, FALSE)/100,AD517)</f>
        <v>8.9092333333333329E-2</v>
      </c>
      <c r="AE516" s="10">
        <f>IFERROR(VLOOKUP(Summary!B516,'Pre-Summary'!$A$6:$P$184,7, FALSE)/100,AE517)</f>
        <v>0.23818233333333336</v>
      </c>
      <c r="AF516" s="99">
        <f t="shared" si="25"/>
        <v>7.827516205453211E-2</v>
      </c>
      <c r="AG516" s="99">
        <f t="shared" si="26"/>
        <v>0.20926335681925406</v>
      </c>
      <c r="AH516" s="10" t="str">
        <f>IFERROR(VLOOKUP(B516,'Pre-Summary'!$AZ$6:$BE$65,3,FALSE),"")</f>
        <v/>
      </c>
      <c r="AI516" s="10" t="str">
        <f>IFERROR(VLOOKUP(B516,'Pre-Summary'!$AZ$6:$BE$65,5,FALSE),"")</f>
        <v/>
      </c>
      <c r="AJ516" s="10" t="str">
        <f>IFERROR(VLOOKUP(B516,'Pre-Summary'!$AZ$6:$BE$65,4,FALSE),"")</f>
        <v/>
      </c>
      <c r="AK516" s="10" t="str">
        <f>IFERROR(VLOOKUP(B516,'Pre-Summary'!$AZ$6:$BE$65,6,FALSE),"")</f>
        <v/>
      </c>
      <c r="AL516" s="10" t="str">
        <f>IFERROR(VLOOKUP(B516,'Pre-Summary'!$BG$6:$BL$44,3,FALSE),"")</f>
        <v/>
      </c>
      <c r="AM516" s="10" t="str">
        <f>IFERROR(VLOOKUP(B516,'Pre-Summary'!$BG$6:$BL$44,4,FALSE),"")</f>
        <v/>
      </c>
    </row>
    <row r="517" spans="2:39" ht="15" customHeight="1" x14ac:dyDescent="0.3">
      <c r="B517">
        <v>51.4</v>
      </c>
      <c r="C517" t="str">
        <f>IFERROR(VLOOKUP(B517,'Pre-Summary'!$DI$6:$DM$23,4,FALSE),"")</f>
        <v/>
      </c>
      <c r="D517" s="10" t="str">
        <f>IFERROR(VLOOKUP(B517,'Pre-Summary'!$AT$6:$AX$14,5,FALSE),D516)</f>
        <v>DSMZ v2: Dropped Na-Ac out of DSMZ 120 media</v>
      </c>
      <c r="E517" s="10" t="str">
        <f>IFERROR(VLOOKUP(B517,'Pre-Summary'!$AT$6:$AX$15,4,FALSE),"")</f>
        <v/>
      </c>
      <c r="F517">
        <f>IFERROR(VLOOKUP(B517,'Pre-Summary'!$AL$6:$AQ$13,6,FALSE),F516)</f>
        <v>5.9405263157894746E-2</v>
      </c>
      <c r="G517" t="str">
        <f>IFERROR(VLOOKUP(B517,'Pre-Summary'!$AE$6:$AJ$85,3,FALSE),"")</f>
        <v/>
      </c>
      <c r="H517" t="str">
        <f>IFERROR(VLOOKUP(B517,'Pre-Summary'!$AE$6:$AJ$85,4,FALSE),"")</f>
        <v/>
      </c>
      <c r="I517" t="str">
        <f>IFERROR(VLOOKUP(B517,'Pre-Summary'!$AE$6:$AJ$85,5,FALSE),"")</f>
        <v/>
      </c>
      <c r="J517" s="45" t="str">
        <f>IFERROR(VLOOKUP(B517,'Pre-Summary'!$AE$6:$AJ$85,6, FALSE),"")</f>
        <v/>
      </c>
      <c r="K517" s="45" t="str">
        <f>IFERROR(VLOOKUP(B517,'Pre-Summary'!$DE$6:$DG$61,3,FALSE),"")</f>
        <v/>
      </c>
      <c r="L517" s="45" t="str">
        <f>IFERROR(VLOOKUP(B517,'Pre-Summary'!$CU$6:$CW$36,3,FALSE),"")</f>
        <v/>
      </c>
      <c r="M517" s="45" t="str">
        <f>IFERROR(VLOOKUP(B517,'Pre-Summary'!$BW$6:$BY$58,2,FALSE),"")</f>
        <v/>
      </c>
      <c r="N517" s="45" t="str">
        <f>IFERROR(VLOOKUP(B517,'Pre-Summary'!$CD$6:$CF$64,2,FALSE),"")</f>
        <v/>
      </c>
      <c r="O517" s="99">
        <f>IFERROR(VLOOKUP(B517,'Pre-Summary'!$BO$6:$BQ$48,3, FALSE),O516)</f>
        <v>1.0915248032216731</v>
      </c>
      <c r="P517" s="99">
        <f>IFERROR(VLOOKUP(B517,'Pre-Summary'!$BS$6:$BU$35,3,FALSE),P516)</f>
        <v>0.25</v>
      </c>
      <c r="Q517" s="54">
        <f t="shared" si="24"/>
        <v>4.3660992128866924</v>
      </c>
      <c r="R517" s="53">
        <f>IFERROR(VLOOKUP(B517,'Pre-Summary'!$BG$6:$BM$44,7,FALSE),R518)</f>
        <v>7.5915763918363535E-2</v>
      </c>
      <c r="S517" s="53">
        <f>IFERROR(VLOOKUP(B517,'Pre-Summary'!$BG$6:$BM$44,6,FALSE),S518)</f>
        <v>5.2897473997019086E-2</v>
      </c>
      <c r="T517" s="45" t="str">
        <f>IFERROR(VLOOKUP(B517,'Pre-Summary'!$Y$6:$AC$83, 3,FALSE),"")</f>
        <v/>
      </c>
      <c r="U517" s="45" t="str">
        <f>IFERROR(VLOOKUP(B517,'Pre-Summary'!$Y$6:$AC$83, 4,FALSE),"")</f>
        <v/>
      </c>
      <c r="V517" t="str">
        <f>IFERROR(VLOOKUP(B517,'Pre-Summary'!$Y$6:$AC$83, 5,FALSE),"")</f>
        <v/>
      </c>
      <c r="W517" s="45" t="str">
        <f>IFERROR(VLOOKUP(B517,'Pre-Summary'!$Y$6:$AD$83,6,FALSE),"")</f>
        <v/>
      </c>
      <c r="X517" t="str">
        <f>IFERROR(VLOOKUP('Pre-Summary'!$DB$6:$DD$63,3,FALSE),"")</f>
        <v/>
      </c>
      <c r="Y517" t="str">
        <f>IFERROR(VLOOKUP(B517,'Pre-Summary'!$CR$6:$CT$36,3,FALSE),"")</f>
        <v/>
      </c>
      <c r="Z517" s="45" t="str">
        <f>IFERROR(VLOOKUP(B517,'Pre-Summary'!$BZ$6:$CB$63,2,FALSE),"")</f>
        <v/>
      </c>
      <c r="AA517" s="45" t="str">
        <f>IFERROR(VLOOKUP(B517,'Pre-Summary'!$CG$6:$CI$70,2,FALSE),"")</f>
        <v/>
      </c>
      <c r="AB517" s="99">
        <f>IFERROR(VLOOKUP(B517,'Pre-Summary'!$A$6:$P$178,9,FALSE),AB518)</f>
        <v>0.87858471235308822</v>
      </c>
      <c r="AC517" s="10">
        <f>IFERROR(VLOOKUP(Summary!B517,'Pre-Summary'!$A$6:$P$184,5, FALSE)/100,AC518)</f>
        <v>0.67272566666666667</v>
      </c>
      <c r="AD517" s="10">
        <f>IFERROR(VLOOKUP(Summary!B517,'Pre-Summary'!$A$6:$P$184,3, FALSE)/100,AD518)</f>
        <v>8.9092333333333329E-2</v>
      </c>
      <c r="AE517" s="10">
        <f>IFERROR(VLOOKUP(Summary!B517,'Pre-Summary'!$A$6:$P$184,7, FALSE)/100,AE518)</f>
        <v>0.23818233333333336</v>
      </c>
      <c r="AF517" s="99">
        <f t="shared" si="25"/>
        <v>7.827516205453211E-2</v>
      </c>
      <c r="AG517" s="99">
        <f t="shared" si="26"/>
        <v>0.20926335681925406</v>
      </c>
      <c r="AH517" s="10" t="str">
        <f>IFERROR(VLOOKUP(B517,'Pre-Summary'!$AZ$6:$BE$65,3,FALSE),"")</f>
        <v/>
      </c>
      <c r="AI517" s="10" t="str">
        <f>IFERROR(VLOOKUP(B517,'Pre-Summary'!$AZ$6:$BE$65,5,FALSE),"")</f>
        <v/>
      </c>
      <c r="AJ517" s="10" t="str">
        <f>IFERROR(VLOOKUP(B517,'Pre-Summary'!$AZ$6:$BE$65,4,FALSE),"")</f>
        <v/>
      </c>
      <c r="AK517" s="10" t="str">
        <f>IFERROR(VLOOKUP(B517,'Pre-Summary'!$AZ$6:$BE$65,6,FALSE),"")</f>
        <v/>
      </c>
      <c r="AL517" s="10" t="str">
        <f>IFERROR(VLOOKUP(B517,'Pre-Summary'!$BG$6:$BL$44,3,FALSE),"")</f>
        <v/>
      </c>
      <c r="AM517" s="10" t="str">
        <f>IFERROR(VLOOKUP(B517,'Pre-Summary'!$BG$6:$BL$44,4,FALSE),"")</f>
        <v/>
      </c>
    </row>
    <row r="518" spans="2:39" ht="15" customHeight="1" x14ac:dyDescent="0.3">
      <c r="B518">
        <v>51.5</v>
      </c>
      <c r="C518" t="str">
        <f>IFERROR(VLOOKUP(B518,'Pre-Summary'!$DI$6:$DM$23,4,FALSE),"")</f>
        <v/>
      </c>
      <c r="D518" s="10" t="str">
        <f>IFERROR(VLOOKUP(B518,'Pre-Summary'!$AT$6:$AX$14,5,FALSE),D517)</f>
        <v>DSMZ v2: Dropped Na-Ac out of DSMZ 120 media</v>
      </c>
      <c r="E518" s="10" t="str">
        <f>IFERROR(VLOOKUP(B518,'Pre-Summary'!$AT$6:$AX$15,4,FALSE),"")</f>
        <v/>
      </c>
      <c r="F518">
        <f>IFERROR(VLOOKUP(B518,'Pre-Summary'!$AL$6:$AQ$13,6,FALSE),F517)</f>
        <v>5.9405263157894746E-2</v>
      </c>
      <c r="G518" t="str">
        <f>IFERROR(VLOOKUP(B518,'Pre-Summary'!$AE$6:$AJ$85,3,FALSE),"")</f>
        <v/>
      </c>
      <c r="H518" t="str">
        <f>IFERROR(VLOOKUP(B518,'Pre-Summary'!$AE$6:$AJ$85,4,FALSE),"")</f>
        <v/>
      </c>
      <c r="I518" t="str">
        <f>IFERROR(VLOOKUP(B518,'Pre-Summary'!$AE$6:$AJ$85,5,FALSE),"")</f>
        <v/>
      </c>
      <c r="J518" s="45" t="str">
        <f>IFERROR(VLOOKUP(B518,'Pre-Summary'!$AE$6:$AJ$85,6, FALSE),"")</f>
        <v/>
      </c>
      <c r="K518" s="45" t="str">
        <f>IFERROR(VLOOKUP(B518,'Pre-Summary'!$DE$6:$DG$61,3,FALSE),"")</f>
        <v/>
      </c>
      <c r="L518" s="45" t="str">
        <f>IFERROR(VLOOKUP(B518,'Pre-Summary'!$CU$6:$CW$36,3,FALSE),"")</f>
        <v/>
      </c>
      <c r="M518" s="45" t="str">
        <f>IFERROR(VLOOKUP(B518,'Pre-Summary'!$BW$6:$BY$58,2,FALSE),"")</f>
        <v/>
      </c>
      <c r="N518" s="45">
        <f>IFERROR(VLOOKUP(B518,'Pre-Summary'!$CD$6:$CF$64,2,FALSE),"")</f>
        <v>657.40650293792157</v>
      </c>
      <c r="O518" s="99">
        <f>IFERROR(VLOOKUP(B518,'Pre-Summary'!$BO$6:$BQ$48,3, FALSE),O517)</f>
        <v>1.0915248032216731</v>
      </c>
      <c r="P518" s="99">
        <f>IFERROR(VLOOKUP(B518,'Pre-Summary'!$BS$6:$BU$35,3,FALSE),P517)</f>
        <v>0.25</v>
      </c>
      <c r="Q518" s="54">
        <f t="shared" si="24"/>
        <v>4.3660992128866924</v>
      </c>
      <c r="R518" s="53">
        <f>IFERROR(VLOOKUP(B518,'Pre-Summary'!$BG$6:$BM$44,7,FALSE),R519)</f>
        <v>7.5915763918363535E-2</v>
      </c>
      <c r="S518" s="53">
        <f>IFERROR(VLOOKUP(B518,'Pre-Summary'!$BG$6:$BM$44,6,FALSE),S519)</f>
        <v>5.2897473997019086E-2</v>
      </c>
      <c r="T518" s="45" t="str">
        <f>IFERROR(VLOOKUP(B518,'Pre-Summary'!$Y$6:$AC$83, 3,FALSE),"")</f>
        <v/>
      </c>
      <c r="U518" s="45" t="str">
        <f>IFERROR(VLOOKUP(B518,'Pre-Summary'!$Y$6:$AC$83, 4,FALSE),"")</f>
        <v/>
      </c>
      <c r="V518" t="str">
        <f>IFERROR(VLOOKUP(B518,'Pre-Summary'!$Y$6:$AC$83, 5,FALSE),"")</f>
        <v/>
      </c>
      <c r="W518" s="45" t="str">
        <f>IFERROR(VLOOKUP(B518,'Pre-Summary'!$Y$6:$AD$83,6,FALSE),"")</f>
        <v/>
      </c>
      <c r="X518" t="str">
        <f>IFERROR(VLOOKUP('Pre-Summary'!$DB$6:$DD$63,3,FALSE),"")</f>
        <v/>
      </c>
      <c r="Y518" t="str">
        <f>IFERROR(VLOOKUP(B518,'Pre-Summary'!$CR$6:$CT$36,3,FALSE),"")</f>
        <v/>
      </c>
      <c r="Z518" s="45" t="str">
        <f>IFERROR(VLOOKUP(B518,'Pre-Summary'!$BZ$6:$CB$63,2,FALSE),"")</f>
        <v/>
      </c>
      <c r="AA518" s="45" t="str">
        <f>IFERROR(VLOOKUP(B518,'Pre-Summary'!$CG$6:$CI$70,2,FALSE),"")</f>
        <v/>
      </c>
      <c r="AB518" s="99">
        <f>IFERROR(VLOOKUP(B518,'Pre-Summary'!$A$6:$P$178,9,FALSE),AB519)</f>
        <v>0.87858471235308822</v>
      </c>
      <c r="AC518" s="10">
        <f>IFERROR(VLOOKUP(Summary!B518,'Pre-Summary'!$A$6:$P$184,5, FALSE)/100,AC519)</f>
        <v>0.67272566666666667</v>
      </c>
      <c r="AD518" s="10">
        <f>IFERROR(VLOOKUP(Summary!B518,'Pre-Summary'!$A$6:$P$184,3, FALSE)/100,AD519)</f>
        <v>8.9092333333333329E-2</v>
      </c>
      <c r="AE518" s="10">
        <f>IFERROR(VLOOKUP(Summary!B518,'Pre-Summary'!$A$6:$P$184,7, FALSE)/100,AE519)</f>
        <v>0.23818233333333336</v>
      </c>
      <c r="AF518" s="99">
        <f t="shared" si="25"/>
        <v>7.827516205453211E-2</v>
      </c>
      <c r="AG518" s="99">
        <f t="shared" si="26"/>
        <v>0.20926335681925406</v>
      </c>
      <c r="AH518" s="10" t="str">
        <f>IFERROR(VLOOKUP(B518,'Pre-Summary'!$AZ$6:$BE$65,3,FALSE),"")</f>
        <v/>
      </c>
      <c r="AI518" s="10" t="str">
        <f>IFERROR(VLOOKUP(B518,'Pre-Summary'!$AZ$6:$BE$65,5,FALSE),"")</f>
        <v/>
      </c>
      <c r="AJ518" s="10" t="str">
        <f>IFERROR(VLOOKUP(B518,'Pre-Summary'!$AZ$6:$BE$65,4,FALSE),"")</f>
        <v/>
      </c>
      <c r="AK518" s="10" t="str">
        <f>IFERROR(VLOOKUP(B518,'Pre-Summary'!$AZ$6:$BE$65,6,FALSE),"")</f>
        <v/>
      </c>
      <c r="AL518" s="10" t="str">
        <f>IFERROR(VLOOKUP(B518,'Pre-Summary'!$BG$6:$BL$44,3,FALSE),"")</f>
        <v/>
      </c>
      <c r="AM518" s="10" t="str">
        <f>IFERROR(VLOOKUP(B518,'Pre-Summary'!$BG$6:$BL$44,4,FALSE),"")</f>
        <v/>
      </c>
    </row>
    <row r="519" spans="2:39" ht="15" customHeight="1" x14ac:dyDescent="0.3">
      <c r="B519">
        <v>51.6</v>
      </c>
      <c r="C519" t="str">
        <f>IFERROR(VLOOKUP(B519,'Pre-Summary'!$DI$6:$DM$23,4,FALSE),"")</f>
        <v/>
      </c>
      <c r="D519" s="10" t="str">
        <f>IFERROR(VLOOKUP(B519,'Pre-Summary'!$AT$6:$AX$14,5,FALSE),D518)</f>
        <v>DSMZ v2: Dropped Na-Ac out of DSMZ 120 media</v>
      </c>
      <c r="E519" s="10" t="str">
        <f>IFERROR(VLOOKUP(B519,'Pre-Summary'!$AT$6:$AX$15,4,FALSE),"")</f>
        <v/>
      </c>
      <c r="F519">
        <f>IFERROR(VLOOKUP(B519,'Pre-Summary'!$AL$6:$AQ$13,6,FALSE),F518)</f>
        <v>5.9405263157894746E-2</v>
      </c>
      <c r="G519" t="str">
        <f>IFERROR(VLOOKUP(B519,'Pre-Summary'!$AE$6:$AJ$85,3,FALSE),"")</f>
        <v/>
      </c>
      <c r="H519" t="str">
        <f>IFERROR(VLOOKUP(B519,'Pre-Summary'!$AE$6:$AJ$85,4,FALSE),"")</f>
        <v/>
      </c>
      <c r="I519" t="str">
        <f>IFERROR(VLOOKUP(B519,'Pre-Summary'!$AE$6:$AJ$85,5,FALSE),"")</f>
        <v/>
      </c>
      <c r="J519" s="45" t="str">
        <f>IFERROR(VLOOKUP(B519,'Pre-Summary'!$AE$6:$AJ$85,6, FALSE),"")</f>
        <v/>
      </c>
      <c r="K519" s="45" t="str">
        <f>IFERROR(VLOOKUP(B519,'Pre-Summary'!$DE$6:$DG$61,3,FALSE),"")</f>
        <v/>
      </c>
      <c r="L519" s="45" t="str">
        <f>IFERROR(VLOOKUP(B519,'Pre-Summary'!$CU$6:$CW$36,3,FALSE),"")</f>
        <v/>
      </c>
      <c r="M519" s="45" t="str">
        <f>IFERROR(VLOOKUP(B519,'Pre-Summary'!$BW$6:$BY$58,2,FALSE),"")</f>
        <v/>
      </c>
      <c r="N519" s="45" t="str">
        <f>IFERROR(VLOOKUP(B519,'Pre-Summary'!$CD$6:$CF$64,2,FALSE),"")</f>
        <v/>
      </c>
      <c r="O519" s="99">
        <f>IFERROR(VLOOKUP(B519,'Pre-Summary'!$BO$6:$BQ$48,3, FALSE),O518)</f>
        <v>1.0915248032216731</v>
      </c>
      <c r="P519" s="99">
        <f>IFERROR(VLOOKUP(B519,'Pre-Summary'!$BS$6:$BU$35,3,FALSE),P518)</f>
        <v>0.25</v>
      </c>
      <c r="Q519" s="54">
        <f t="shared" si="24"/>
        <v>4.3660992128866924</v>
      </c>
      <c r="R519" s="53">
        <f>IFERROR(VLOOKUP(B519,'Pre-Summary'!$BG$6:$BM$44,7,FALSE),R520)</f>
        <v>7.5915763918363535E-2</v>
      </c>
      <c r="S519" s="53">
        <f>IFERROR(VLOOKUP(B519,'Pre-Summary'!$BG$6:$BM$44,6,FALSE),S520)</f>
        <v>5.2897473997019086E-2</v>
      </c>
      <c r="T519" s="45" t="str">
        <f>IFERROR(VLOOKUP(B519,'Pre-Summary'!$Y$6:$AC$83, 3,FALSE),"")</f>
        <v/>
      </c>
      <c r="U519" s="45" t="str">
        <f>IFERROR(VLOOKUP(B519,'Pre-Summary'!$Y$6:$AC$83, 4,FALSE),"")</f>
        <v/>
      </c>
      <c r="V519" t="str">
        <f>IFERROR(VLOOKUP(B519,'Pre-Summary'!$Y$6:$AC$83, 5,FALSE),"")</f>
        <v/>
      </c>
      <c r="W519" s="45" t="str">
        <f>IFERROR(VLOOKUP(B519,'Pre-Summary'!$Y$6:$AD$83,6,FALSE),"")</f>
        <v/>
      </c>
      <c r="X519" t="str">
        <f>IFERROR(VLOOKUP('Pre-Summary'!$DB$6:$DD$63,3,FALSE),"")</f>
        <v/>
      </c>
      <c r="Y519" t="str">
        <f>IFERROR(VLOOKUP(B519,'Pre-Summary'!$CR$6:$CT$36,3,FALSE),"")</f>
        <v/>
      </c>
      <c r="Z519" s="45" t="str">
        <f>IFERROR(VLOOKUP(B519,'Pre-Summary'!$BZ$6:$CB$63,2,FALSE),"")</f>
        <v/>
      </c>
      <c r="AA519" s="45" t="str">
        <f>IFERROR(VLOOKUP(B519,'Pre-Summary'!$CG$6:$CI$70,2,FALSE),"")</f>
        <v/>
      </c>
      <c r="AB519" s="99">
        <f>IFERROR(VLOOKUP(B519,'Pre-Summary'!$A$6:$P$178,9,FALSE),AB520)</f>
        <v>0.87858471235308822</v>
      </c>
      <c r="AC519" s="10">
        <f>IFERROR(VLOOKUP(Summary!B519,'Pre-Summary'!$A$6:$P$184,5, FALSE)/100,AC520)</f>
        <v>0.67272566666666667</v>
      </c>
      <c r="AD519" s="10">
        <f>IFERROR(VLOOKUP(Summary!B519,'Pre-Summary'!$A$6:$P$184,3, FALSE)/100,AD520)</f>
        <v>8.9092333333333329E-2</v>
      </c>
      <c r="AE519" s="10">
        <f>IFERROR(VLOOKUP(Summary!B519,'Pre-Summary'!$A$6:$P$184,7, FALSE)/100,AE520)</f>
        <v>0.23818233333333336</v>
      </c>
      <c r="AF519" s="99">
        <f t="shared" si="25"/>
        <v>7.827516205453211E-2</v>
      </c>
      <c r="AG519" s="99">
        <f t="shared" si="26"/>
        <v>0.20926335681925406</v>
      </c>
      <c r="AH519" s="10" t="str">
        <f>IFERROR(VLOOKUP(B519,'Pre-Summary'!$AZ$6:$BE$65,3,FALSE),"")</f>
        <v/>
      </c>
      <c r="AI519" s="10" t="str">
        <f>IFERROR(VLOOKUP(B519,'Pre-Summary'!$AZ$6:$BE$65,5,FALSE),"")</f>
        <v/>
      </c>
      <c r="AJ519" s="10" t="str">
        <f>IFERROR(VLOOKUP(B519,'Pre-Summary'!$AZ$6:$BE$65,4,FALSE),"")</f>
        <v/>
      </c>
      <c r="AK519" s="10" t="str">
        <f>IFERROR(VLOOKUP(B519,'Pre-Summary'!$AZ$6:$BE$65,6,FALSE),"")</f>
        <v/>
      </c>
      <c r="AL519" s="10" t="str">
        <f>IFERROR(VLOOKUP(B519,'Pre-Summary'!$BG$6:$BL$44,3,FALSE),"")</f>
        <v/>
      </c>
      <c r="AM519" s="10" t="str">
        <f>IFERROR(VLOOKUP(B519,'Pre-Summary'!$BG$6:$BL$44,4,FALSE),"")</f>
        <v/>
      </c>
    </row>
    <row r="520" spans="2:39" ht="15" customHeight="1" x14ac:dyDescent="0.3">
      <c r="B520">
        <v>51.7</v>
      </c>
      <c r="C520" t="str">
        <f>IFERROR(VLOOKUP(B520,'Pre-Summary'!$DI$6:$DM$23,4,FALSE),"")</f>
        <v/>
      </c>
      <c r="D520" s="10" t="str">
        <f>IFERROR(VLOOKUP(B520,'Pre-Summary'!$AT$6:$AX$14,5,FALSE),D519)</f>
        <v>DSMZ v2: Dropped Na-Ac out of DSMZ 120 media</v>
      </c>
      <c r="E520" s="10" t="str">
        <f>IFERROR(VLOOKUP(B520,'Pre-Summary'!$AT$6:$AX$15,4,FALSE),"")</f>
        <v/>
      </c>
      <c r="F520">
        <f>IFERROR(VLOOKUP(B520,'Pre-Summary'!$AL$6:$AQ$13,6,FALSE),F519)</f>
        <v>5.9405263157894746E-2</v>
      </c>
      <c r="G520" t="str">
        <f>IFERROR(VLOOKUP(B520,'Pre-Summary'!$AE$6:$AJ$85,3,FALSE),"")</f>
        <v/>
      </c>
      <c r="H520" t="str">
        <f>IFERROR(VLOOKUP(B520,'Pre-Summary'!$AE$6:$AJ$85,4,FALSE),"")</f>
        <v/>
      </c>
      <c r="I520" t="str">
        <f>IFERROR(VLOOKUP(B520,'Pre-Summary'!$AE$6:$AJ$85,5,FALSE),"")</f>
        <v/>
      </c>
      <c r="J520" s="45" t="str">
        <f>IFERROR(VLOOKUP(B520,'Pre-Summary'!$AE$6:$AJ$85,6, FALSE),"")</f>
        <v/>
      </c>
      <c r="K520" s="45" t="str">
        <f>IFERROR(VLOOKUP(B520,'Pre-Summary'!$DE$6:$DG$61,3,FALSE),"")</f>
        <v/>
      </c>
      <c r="L520" s="45" t="str">
        <f>IFERROR(VLOOKUP(B520,'Pre-Summary'!$CU$6:$CW$36,3,FALSE),"")</f>
        <v/>
      </c>
      <c r="M520" s="45" t="str">
        <f>IFERROR(VLOOKUP(B520,'Pre-Summary'!$BW$6:$BY$58,2,FALSE),"")</f>
        <v/>
      </c>
      <c r="N520" s="45" t="str">
        <f>IFERROR(VLOOKUP(B520,'Pre-Summary'!$CD$6:$CF$64,2,FALSE),"")</f>
        <v/>
      </c>
      <c r="O520" s="99">
        <f>IFERROR(VLOOKUP(B520,'Pre-Summary'!$BO$6:$BQ$48,3, FALSE),O519)</f>
        <v>1.0915248032216731</v>
      </c>
      <c r="P520" s="99">
        <f>IFERROR(VLOOKUP(B520,'Pre-Summary'!$BS$6:$BU$35,3,FALSE),P519)</f>
        <v>0.25</v>
      </c>
      <c r="Q520" s="54">
        <f t="shared" si="24"/>
        <v>4.3660992128866924</v>
      </c>
      <c r="R520" s="53">
        <f>IFERROR(VLOOKUP(B520,'Pre-Summary'!$BG$6:$BM$44,7,FALSE),R521)</f>
        <v>7.5915763918363535E-2</v>
      </c>
      <c r="S520" s="53">
        <f>IFERROR(VLOOKUP(B520,'Pre-Summary'!$BG$6:$BM$44,6,FALSE),S521)</f>
        <v>5.2897473997019086E-2</v>
      </c>
      <c r="T520" s="45" t="str">
        <f>IFERROR(VLOOKUP(B520,'Pre-Summary'!$Y$6:$AC$83, 3,FALSE),"")</f>
        <v/>
      </c>
      <c r="U520" s="45" t="str">
        <f>IFERROR(VLOOKUP(B520,'Pre-Summary'!$Y$6:$AC$83, 4,FALSE),"")</f>
        <v/>
      </c>
      <c r="V520" t="str">
        <f>IFERROR(VLOOKUP(B520,'Pre-Summary'!$Y$6:$AC$83, 5,FALSE),"")</f>
        <v/>
      </c>
      <c r="W520" s="45" t="str">
        <f>IFERROR(VLOOKUP(B520,'Pre-Summary'!$Y$6:$AD$83,6,FALSE),"")</f>
        <v/>
      </c>
      <c r="X520" t="str">
        <f>IFERROR(VLOOKUP('Pre-Summary'!$DB$6:$DD$63,3,FALSE),"")</f>
        <v/>
      </c>
      <c r="Y520" t="str">
        <f>IFERROR(VLOOKUP(B520,'Pre-Summary'!$CR$6:$CT$36,3,FALSE),"")</f>
        <v/>
      </c>
      <c r="Z520" s="45" t="str">
        <f>IFERROR(VLOOKUP(B520,'Pre-Summary'!$BZ$6:$CB$63,2,FALSE),"")</f>
        <v/>
      </c>
      <c r="AA520" s="45" t="str">
        <f>IFERROR(VLOOKUP(B520,'Pre-Summary'!$CG$6:$CI$70,2,FALSE),"")</f>
        <v/>
      </c>
      <c r="AB520" s="99">
        <f>IFERROR(VLOOKUP(B520,'Pre-Summary'!$A$6:$P$178,9,FALSE),AB521)</f>
        <v>0.87858471235308822</v>
      </c>
      <c r="AC520" s="10">
        <f>IFERROR(VLOOKUP(Summary!B520,'Pre-Summary'!$A$6:$P$184,5, FALSE)/100,AC521)</f>
        <v>0.67272566666666667</v>
      </c>
      <c r="AD520" s="10">
        <f>IFERROR(VLOOKUP(Summary!B520,'Pre-Summary'!$A$6:$P$184,3, FALSE)/100,AD521)</f>
        <v>8.9092333333333329E-2</v>
      </c>
      <c r="AE520" s="10">
        <f>IFERROR(VLOOKUP(Summary!B520,'Pre-Summary'!$A$6:$P$184,7, FALSE)/100,AE521)</f>
        <v>0.23818233333333336</v>
      </c>
      <c r="AF520" s="99">
        <f t="shared" si="25"/>
        <v>7.827516205453211E-2</v>
      </c>
      <c r="AG520" s="99">
        <f t="shared" si="26"/>
        <v>0.20926335681925406</v>
      </c>
      <c r="AH520" s="10" t="str">
        <f>IFERROR(VLOOKUP(B520,'Pre-Summary'!$AZ$6:$BE$65,3,FALSE),"")</f>
        <v/>
      </c>
      <c r="AI520" s="10" t="str">
        <f>IFERROR(VLOOKUP(B520,'Pre-Summary'!$AZ$6:$BE$65,5,FALSE),"")</f>
        <v/>
      </c>
      <c r="AJ520" s="10" t="str">
        <f>IFERROR(VLOOKUP(B520,'Pre-Summary'!$AZ$6:$BE$65,4,FALSE),"")</f>
        <v/>
      </c>
      <c r="AK520" s="10" t="str">
        <f>IFERROR(VLOOKUP(B520,'Pre-Summary'!$AZ$6:$BE$65,6,FALSE),"")</f>
        <v/>
      </c>
      <c r="AL520" s="10" t="str">
        <f>IFERROR(VLOOKUP(B520,'Pre-Summary'!$BG$6:$BL$44,3,FALSE),"")</f>
        <v/>
      </c>
      <c r="AM520" s="10" t="str">
        <f>IFERROR(VLOOKUP(B520,'Pre-Summary'!$BG$6:$BL$44,4,FALSE),"")</f>
        <v/>
      </c>
    </row>
    <row r="521" spans="2:39" ht="15" customHeight="1" x14ac:dyDescent="0.3">
      <c r="B521">
        <v>51.8</v>
      </c>
      <c r="C521" t="str">
        <f>IFERROR(VLOOKUP(B521,'Pre-Summary'!$DI$6:$DM$23,4,FALSE),"")</f>
        <v/>
      </c>
      <c r="D521" s="10" t="str">
        <f>IFERROR(VLOOKUP(B521,'Pre-Summary'!$AT$6:$AX$14,5,FALSE),D520)</f>
        <v>DSMZ v2: Dropped Na-Ac out of DSMZ 120 media</v>
      </c>
      <c r="E521" s="10" t="str">
        <f>IFERROR(VLOOKUP(B521,'Pre-Summary'!$AT$6:$AX$15,4,FALSE),"")</f>
        <v/>
      </c>
      <c r="F521">
        <f>IFERROR(VLOOKUP(B521,'Pre-Summary'!$AL$6:$AQ$13,6,FALSE),F520)</f>
        <v>5.9405263157894746E-2</v>
      </c>
      <c r="G521" t="str">
        <f>IFERROR(VLOOKUP(B521,'Pre-Summary'!$AE$6:$AJ$85,3,FALSE),"")</f>
        <v/>
      </c>
      <c r="H521" t="str">
        <f>IFERROR(VLOOKUP(B521,'Pre-Summary'!$AE$6:$AJ$85,4,FALSE),"")</f>
        <v/>
      </c>
      <c r="I521" t="str">
        <f>IFERROR(VLOOKUP(B521,'Pre-Summary'!$AE$6:$AJ$85,5,FALSE),"")</f>
        <v/>
      </c>
      <c r="J521" s="45" t="str">
        <f>IFERROR(VLOOKUP(B521,'Pre-Summary'!$AE$6:$AJ$85,6, FALSE),"")</f>
        <v/>
      </c>
      <c r="K521" s="45" t="str">
        <f>IFERROR(VLOOKUP(B521,'Pre-Summary'!$DE$6:$DG$61,3,FALSE),"")</f>
        <v/>
      </c>
      <c r="L521" s="45" t="str">
        <f>IFERROR(VLOOKUP(B521,'Pre-Summary'!$CU$6:$CW$36,3,FALSE),"")</f>
        <v/>
      </c>
      <c r="M521" s="45" t="str">
        <f>IFERROR(VLOOKUP(B521,'Pre-Summary'!$BW$6:$BY$58,2,FALSE),"")</f>
        <v/>
      </c>
      <c r="N521" s="45" t="str">
        <f>IFERROR(VLOOKUP(B521,'Pre-Summary'!$CD$6:$CF$64,2,FALSE),"")</f>
        <v/>
      </c>
      <c r="O521" s="99">
        <f>IFERROR(VLOOKUP(B521,'Pre-Summary'!$BO$6:$BQ$48,3, FALSE),O520)</f>
        <v>1.0915248032216731</v>
      </c>
      <c r="P521" s="99">
        <f>IFERROR(VLOOKUP(B521,'Pre-Summary'!$BS$6:$BU$35,3,FALSE),P520)</f>
        <v>0.25</v>
      </c>
      <c r="Q521" s="54">
        <f t="shared" si="24"/>
        <v>4.3660992128866924</v>
      </c>
      <c r="R521" s="53">
        <f>IFERROR(VLOOKUP(B521,'Pre-Summary'!$BG$6:$BM$44,7,FALSE),R522)</f>
        <v>7.5915763918363535E-2</v>
      </c>
      <c r="S521" s="53">
        <f>IFERROR(VLOOKUP(B521,'Pre-Summary'!$BG$6:$BM$44,6,FALSE),S522)</f>
        <v>5.2897473997019086E-2</v>
      </c>
      <c r="T521" s="45" t="str">
        <f>IFERROR(VLOOKUP(B521,'Pre-Summary'!$Y$6:$AC$83, 3,FALSE),"")</f>
        <v/>
      </c>
      <c r="U521" s="45" t="str">
        <f>IFERROR(VLOOKUP(B521,'Pre-Summary'!$Y$6:$AC$83, 4,FALSE),"")</f>
        <v/>
      </c>
      <c r="V521" t="str">
        <f>IFERROR(VLOOKUP(B521,'Pre-Summary'!$Y$6:$AC$83, 5,FALSE),"")</f>
        <v/>
      </c>
      <c r="W521" s="45" t="str">
        <f>IFERROR(VLOOKUP(B521,'Pre-Summary'!$Y$6:$AD$83,6,FALSE),"")</f>
        <v/>
      </c>
      <c r="X521" t="str">
        <f>IFERROR(VLOOKUP('Pre-Summary'!$DB$6:$DD$63,3,FALSE),"")</f>
        <v/>
      </c>
      <c r="Y521" t="str">
        <f>IFERROR(VLOOKUP(B521,'Pre-Summary'!$CR$6:$CT$36,3,FALSE),"")</f>
        <v/>
      </c>
      <c r="Z521" s="45" t="str">
        <f>IFERROR(VLOOKUP(B521,'Pre-Summary'!$BZ$6:$CB$63,2,FALSE),"")</f>
        <v/>
      </c>
      <c r="AA521" s="45" t="str">
        <f>IFERROR(VLOOKUP(B521,'Pre-Summary'!$CG$6:$CI$70,2,FALSE),"")</f>
        <v/>
      </c>
      <c r="AB521" s="99">
        <f>IFERROR(VLOOKUP(B521,'Pre-Summary'!$A$6:$P$178,9,FALSE),AB522)</f>
        <v>0.87858471235308822</v>
      </c>
      <c r="AC521" s="10">
        <f>IFERROR(VLOOKUP(Summary!B521,'Pre-Summary'!$A$6:$P$184,5, FALSE)/100,AC522)</f>
        <v>0.67272566666666667</v>
      </c>
      <c r="AD521" s="10">
        <f>IFERROR(VLOOKUP(Summary!B521,'Pre-Summary'!$A$6:$P$184,3, FALSE)/100,AD522)</f>
        <v>8.9092333333333329E-2</v>
      </c>
      <c r="AE521" s="10">
        <f>IFERROR(VLOOKUP(Summary!B521,'Pre-Summary'!$A$6:$P$184,7, FALSE)/100,AE522)</f>
        <v>0.23818233333333336</v>
      </c>
      <c r="AF521" s="99">
        <f t="shared" si="25"/>
        <v>7.827516205453211E-2</v>
      </c>
      <c r="AG521" s="99">
        <f t="shared" si="26"/>
        <v>0.20926335681925406</v>
      </c>
      <c r="AH521" s="10" t="str">
        <f>IFERROR(VLOOKUP(B521,'Pre-Summary'!$AZ$6:$BE$65,3,FALSE),"")</f>
        <v/>
      </c>
      <c r="AI521" s="10" t="str">
        <f>IFERROR(VLOOKUP(B521,'Pre-Summary'!$AZ$6:$BE$65,5,FALSE),"")</f>
        <v/>
      </c>
      <c r="AJ521" s="10" t="str">
        <f>IFERROR(VLOOKUP(B521,'Pre-Summary'!$AZ$6:$BE$65,4,FALSE),"")</f>
        <v/>
      </c>
      <c r="AK521" s="10" t="str">
        <f>IFERROR(VLOOKUP(B521,'Pre-Summary'!$AZ$6:$BE$65,6,FALSE),"")</f>
        <v/>
      </c>
      <c r="AL521" s="10" t="str">
        <f>IFERROR(VLOOKUP(B521,'Pre-Summary'!$BG$6:$BL$44,3,FALSE),"")</f>
        <v/>
      </c>
      <c r="AM521" s="10" t="str">
        <f>IFERROR(VLOOKUP(B521,'Pre-Summary'!$BG$6:$BL$44,4,FALSE),"")</f>
        <v/>
      </c>
    </row>
    <row r="522" spans="2:39" ht="15" customHeight="1" x14ac:dyDescent="0.3">
      <c r="B522">
        <v>51.9</v>
      </c>
      <c r="C522" t="str">
        <f>IFERROR(VLOOKUP(B522,'Pre-Summary'!$DI$6:$DM$23,4,FALSE),"")</f>
        <v/>
      </c>
      <c r="D522" s="10" t="str">
        <f>IFERROR(VLOOKUP(B522,'Pre-Summary'!$AT$6:$AX$14,5,FALSE),D521)</f>
        <v>DSMZ v2: Dropped Na-Ac out of DSMZ 120 media</v>
      </c>
      <c r="E522" s="10" t="str">
        <f>IFERROR(VLOOKUP(B522,'Pre-Summary'!$AT$6:$AX$15,4,FALSE),"")</f>
        <v/>
      </c>
      <c r="F522">
        <f>IFERROR(VLOOKUP(B522,'Pre-Summary'!$AL$6:$AQ$13,6,FALSE),F521)</f>
        <v>5.9405263157894746E-2</v>
      </c>
      <c r="G522" t="str">
        <f>IFERROR(VLOOKUP(B522,'Pre-Summary'!$AE$6:$AJ$85,3,FALSE),"")</f>
        <v/>
      </c>
      <c r="H522" t="str">
        <f>IFERROR(VLOOKUP(B522,'Pre-Summary'!$AE$6:$AJ$85,4,FALSE),"")</f>
        <v/>
      </c>
      <c r="I522" t="str">
        <f>IFERROR(VLOOKUP(B522,'Pre-Summary'!$AE$6:$AJ$85,5,FALSE),"")</f>
        <v/>
      </c>
      <c r="J522" s="45" t="str">
        <f>IFERROR(VLOOKUP(B522,'Pre-Summary'!$AE$6:$AJ$85,6, FALSE),"")</f>
        <v/>
      </c>
      <c r="K522" s="45" t="str">
        <f>IFERROR(VLOOKUP(B522,'Pre-Summary'!$DE$6:$DG$61,3,FALSE),"")</f>
        <v/>
      </c>
      <c r="L522" s="45" t="str">
        <f>IFERROR(VLOOKUP(B522,'Pre-Summary'!$CU$6:$CW$36,3,FALSE),"")</f>
        <v/>
      </c>
      <c r="M522" s="45" t="str">
        <f>IFERROR(VLOOKUP(B522,'Pre-Summary'!$BW$6:$BY$58,2,FALSE),"")</f>
        <v/>
      </c>
      <c r="N522" s="45" t="str">
        <f>IFERROR(VLOOKUP(B522,'Pre-Summary'!$CD$6:$CF$64,2,FALSE),"")</f>
        <v/>
      </c>
      <c r="O522" s="99">
        <f>IFERROR(VLOOKUP(B522,'Pre-Summary'!$BO$6:$BQ$48,3, FALSE),O521)</f>
        <v>1.0915248032216731</v>
      </c>
      <c r="P522" s="99">
        <f>IFERROR(VLOOKUP(B522,'Pre-Summary'!$BS$6:$BU$35,3,FALSE),P521)</f>
        <v>0.25</v>
      </c>
      <c r="Q522" s="54">
        <f t="shared" si="24"/>
        <v>4.3660992128866924</v>
      </c>
      <c r="R522" s="53">
        <f>IFERROR(VLOOKUP(B522,'Pre-Summary'!$BG$6:$BM$44,7,FALSE),R523)</f>
        <v>7.5915763918363535E-2</v>
      </c>
      <c r="S522" s="53">
        <f>IFERROR(VLOOKUP(B522,'Pre-Summary'!$BG$6:$BM$44,6,FALSE),S523)</f>
        <v>5.2897473997019086E-2</v>
      </c>
      <c r="T522" s="45" t="str">
        <f>IFERROR(VLOOKUP(B522,'Pre-Summary'!$Y$6:$AC$83, 3,FALSE),"")</f>
        <v/>
      </c>
      <c r="U522" s="45" t="str">
        <f>IFERROR(VLOOKUP(B522,'Pre-Summary'!$Y$6:$AC$83, 4,FALSE),"")</f>
        <v/>
      </c>
      <c r="V522" t="str">
        <f>IFERROR(VLOOKUP(B522,'Pre-Summary'!$Y$6:$AC$83, 5,FALSE),"")</f>
        <v/>
      </c>
      <c r="W522" s="45" t="str">
        <f>IFERROR(VLOOKUP(B522,'Pre-Summary'!$Y$6:$AD$83,6,FALSE),"")</f>
        <v/>
      </c>
      <c r="X522" t="str">
        <f>IFERROR(VLOOKUP('Pre-Summary'!$DB$6:$DD$63,3,FALSE),"")</f>
        <v/>
      </c>
      <c r="Y522" t="str">
        <f>IFERROR(VLOOKUP(B522,'Pre-Summary'!$CR$6:$CT$36,3,FALSE),"")</f>
        <v/>
      </c>
      <c r="Z522" s="45" t="str">
        <f>IFERROR(VLOOKUP(B522,'Pre-Summary'!$BZ$6:$CB$63,2,FALSE),"")</f>
        <v/>
      </c>
      <c r="AA522" s="45" t="str">
        <f>IFERROR(VLOOKUP(B522,'Pre-Summary'!$CG$6:$CI$70,2,FALSE),"")</f>
        <v/>
      </c>
      <c r="AB522" s="99">
        <f>IFERROR(VLOOKUP(B522,'Pre-Summary'!$A$6:$P$178,9,FALSE),AB523)</f>
        <v>0.87858471235308822</v>
      </c>
      <c r="AC522" s="10">
        <f>IFERROR(VLOOKUP(Summary!B522,'Pre-Summary'!$A$6:$P$184,5, FALSE)/100,AC523)</f>
        <v>0.67272566666666667</v>
      </c>
      <c r="AD522" s="10">
        <f>IFERROR(VLOOKUP(Summary!B522,'Pre-Summary'!$A$6:$P$184,3, FALSE)/100,AD523)</f>
        <v>8.9092333333333329E-2</v>
      </c>
      <c r="AE522" s="10">
        <f>IFERROR(VLOOKUP(Summary!B522,'Pre-Summary'!$A$6:$P$184,7, FALSE)/100,AE523)</f>
        <v>0.23818233333333336</v>
      </c>
      <c r="AF522" s="99">
        <f t="shared" si="25"/>
        <v>7.827516205453211E-2</v>
      </c>
      <c r="AG522" s="99">
        <f t="shared" si="26"/>
        <v>0.20926335681925406</v>
      </c>
      <c r="AH522" s="10" t="str">
        <f>IFERROR(VLOOKUP(B522,'Pre-Summary'!$AZ$6:$BE$65,3,FALSE),"")</f>
        <v/>
      </c>
      <c r="AI522" s="10" t="str">
        <f>IFERROR(VLOOKUP(B522,'Pre-Summary'!$AZ$6:$BE$65,5,FALSE),"")</f>
        <v/>
      </c>
      <c r="AJ522" s="10" t="str">
        <f>IFERROR(VLOOKUP(B522,'Pre-Summary'!$AZ$6:$BE$65,4,FALSE),"")</f>
        <v/>
      </c>
      <c r="AK522" s="10" t="str">
        <f>IFERROR(VLOOKUP(B522,'Pre-Summary'!$AZ$6:$BE$65,6,FALSE),"")</f>
        <v/>
      </c>
      <c r="AL522" s="10" t="str">
        <f>IFERROR(VLOOKUP(B522,'Pre-Summary'!$BG$6:$BL$44,3,FALSE),"")</f>
        <v/>
      </c>
      <c r="AM522" s="10" t="str">
        <f>IFERROR(VLOOKUP(B522,'Pre-Summary'!$BG$6:$BL$44,4,FALSE),"")</f>
        <v/>
      </c>
    </row>
    <row r="523" spans="2:39" ht="15" customHeight="1" x14ac:dyDescent="0.3">
      <c r="B523">
        <v>52</v>
      </c>
      <c r="C523" t="str">
        <f>IFERROR(VLOOKUP(B523,'Pre-Summary'!$DI$6:$DM$23,4,FALSE),"")</f>
        <v/>
      </c>
      <c r="D523" s="10" t="str">
        <f>IFERROR(VLOOKUP(B523,'Pre-Summary'!$AT$6:$AX$14,5,FALSE),D522)</f>
        <v>DSMZ v2: Dropped Na-Ac out of DSMZ 120 media</v>
      </c>
      <c r="E523" s="10" t="str">
        <f>IFERROR(VLOOKUP(B523,'Pre-Summary'!$AT$6:$AX$15,4,FALSE),"")</f>
        <v/>
      </c>
      <c r="F523">
        <f>IFERROR(VLOOKUP(B523,'Pre-Summary'!$AL$6:$AQ$13,6,FALSE),F522)</f>
        <v>5.9405263157894746E-2</v>
      </c>
      <c r="G523">
        <f>IFERROR(VLOOKUP(B523,'Pre-Summary'!$AE$6:$AJ$85,3,FALSE),"")</f>
        <v>909.76333333333332</v>
      </c>
      <c r="H523">
        <f>IFERROR(VLOOKUP(B523,'Pre-Summary'!$AE$6:$AJ$85,4,FALSE),"")</f>
        <v>236.41333333333336</v>
      </c>
      <c r="I523">
        <f>IFERROR(VLOOKUP(B523,'Pre-Summary'!$AE$6:$AJ$85,5,FALSE),"")</f>
        <v>0</v>
      </c>
      <c r="J523" s="45">
        <f>IFERROR(VLOOKUP(B523,'Pre-Summary'!$AE$6:$AJ$85,6, FALSE),"")</f>
        <v>1328.6472633333333</v>
      </c>
      <c r="K523" s="45" t="str">
        <f>IFERROR(VLOOKUP(B523,'Pre-Summary'!$DE$6:$DG$61,3,FALSE),"")</f>
        <v/>
      </c>
      <c r="L523" s="45" t="str">
        <f>IFERROR(VLOOKUP(B523,'Pre-Summary'!$CU$6:$CW$36,3,FALSE),"")</f>
        <v/>
      </c>
      <c r="M523" s="45" t="str">
        <f>IFERROR(VLOOKUP(B523,'Pre-Summary'!$BW$6:$BY$58,2,FALSE),"")</f>
        <v/>
      </c>
      <c r="N523" s="45" t="str">
        <f>IFERROR(VLOOKUP(B523,'Pre-Summary'!$CD$6:$CF$64,2,FALSE),"")</f>
        <v/>
      </c>
      <c r="O523" s="99">
        <f>IFERROR(VLOOKUP(B523,'Pre-Summary'!$BO$6:$BQ$48,3, FALSE),O522)</f>
        <v>1.0915248032216731</v>
      </c>
      <c r="P523" s="99">
        <f>IFERROR(VLOOKUP(B523,'Pre-Summary'!$BS$6:$BU$35,3,FALSE),P522)</f>
        <v>0.25</v>
      </c>
      <c r="Q523" s="54">
        <f t="shared" si="24"/>
        <v>4.3660992128866924</v>
      </c>
      <c r="R523" s="53">
        <f>IFERROR(VLOOKUP(B523,'Pre-Summary'!$BG$6:$BM$44,7,FALSE),R524)</f>
        <v>7.5915763918363535E-2</v>
      </c>
      <c r="S523" s="53">
        <f>IFERROR(VLOOKUP(B523,'Pre-Summary'!$BG$6:$BM$44,6,FALSE),S524)</f>
        <v>5.2897473997019086E-2</v>
      </c>
      <c r="T523" s="45">
        <f>IFERROR(VLOOKUP(B523,'Pre-Summary'!$Y$6:$AC$83, 3,FALSE),"")</f>
        <v>19.353333333333332</v>
      </c>
      <c r="U523" s="45">
        <f>IFERROR(VLOOKUP(B523,'Pre-Summary'!$Y$6:$AC$83, 4,FALSE),"")</f>
        <v>424.1133333333334</v>
      </c>
      <c r="V523">
        <f>IFERROR(VLOOKUP(B523,'Pre-Summary'!$Y$6:$AC$83, 5,FALSE),"")</f>
        <v>0</v>
      </c>
      <c r="W523" s="45">
        <f>IFERROR(VLOOKUP(B523,'Pre-Summary'!$Y$6:$AD$83,6,FALSE),"")</f>
        <v>662.75759333333338</v>
      </c>
      <c r="X523" t="str">
        <f>IFERROR(VLOOKUP('Pre-Summary'!$DB$6:$DD$63,3,FALSE),"")</f>
        <v/>
      </c>
      <c r="Y523" t="str">
        <f>IFERROR(VLOOKUP(B523,'Pre-Summary'!$CR$6:$CT$36,3,FALSE),"")</f>
        <v/>
      </c>
      <c r="Z523" s="45" t="str">
        <f>IFERROR(VLOOKUP(B523,'Pre-Summary'!$BZ$6:$CB$63,2,FALSE),"")</f>
        <v/>
      </c>
      <c r="AA523" s="45" t="str">
        <f>IFERROR(VLOOKUP(B523,'Pre-Summary'!$CG$6:$CI$70,2,FALSE),"")</f>
        <v/>
      </c>
      <c r="AB523" s="99">
        <f>IFERROR(VLOOKUP(B523,'Pre-Summary'!$A$6:$P$178,9,FALSE),AB524)</f>
        <v>0.87858471235308822</v>
      </c>
      <c r="AC523" s="10">
        <f>IFERROR(VLOOKUP(Summary!B523,'Pre-Summary'!$A$6:$P$184,5, FALSE)/100,AC524)</f>
        <v>0.67272566666666667</v>
      </c>
      <c r="AD523" s="10">
        <f>IFERROR(VLOOKUP(Summary!B523,'Pre-Summary'!$A$6:$P$184,3, FALSE)/100,AD524)</f>
        <v>8.9092333333333329E-2</v>
      </c>
      <c r="AE523" s="10">
        <f>IFERROR(VLOOKUP(Summary!B523,'Pre-Summary'!$A$6:$P$184,7, FALSE)/100,AE524)</f>
        <v>0.23818233333333336</v>
      </c>
      <c r="AF523" s="99">
        <f t="shared" si="25"/>
        <v>7.827516205453211E-2</v>
      </c>
      <c r="AG523" s="99">
        <f t="shared" si="26"/>
        <v>0.20926335681925406</v>
      </c>
      <c r="AH523" s="10" t="str">
        <f>IFERROR(VLOOKUP(B523,'Pre-Summary'!$AZ$6:$BE$65,3,FALSE),"")</f>
        <v/>
      </c>
      <c r="AI523" s="10" t="str">
        <f>IFERROR(VLOOKUP(B523,'Pre-Summary'!$AZ$6:$BE$65,5,FALSE),"")</f>
        <v/>
      </c>
      <c r="AJ523" s="10" t="str">
        <f>IFERROR(VLOOKUP(B523,'Pre-Summary'!$AZ$6:$BE$65,4,FALSE),"")</f>
        <v/>
      </c>
      <c r="AK523" s="10" t="str">
        <f>IFERROR(VLOOKUP(B523,'Pre-Summary'!$AZ$6:$BE$65,6,FALSE),"")</f>
        <v/>
      </c>
      <c r="AL523" s="10" t="str">
        <f>IFERROR(VLOOKUP(B523,'Pre-Summary'!$BG$6:$BL$44,3,FALSE),"")</f>
        <v/>
      </c>
      <c r="AM523" s="10" t="str">
        <f>IFERROR(VLOOKUP(B523,'Pre-Summary'!$BG$6:$BL$44,4,FALSE),"")</f>
        <v/>
      </c>
    </row>
    <row r="524" spans="2:39" ht="15" customHeight="1" x14ac:dyDescent="0.3">
      <c r="B524">
        <v>52.1</v>
      </c>
      <c r="C524" t="str">
        <f>IFERROR(VLOOKUP(B524,'Pre-Summary'!$DI$6:$DM$23,4,FALSE),"")</f>
        <v/>
      </c>
      <c r="D524" s="10" t="str">
        <f>IFERROR(VLOOKUP(B524,'Pre-Summary'!$AT$6:$AX$14,5,FALSE),D523)</f>
        <v>DSMZ v2: Dropped Na-Ac out of DSMZ 120 media</v>
      </c>
      <c r="E524" s="10" t="str">
        <f>IFERROR(VLOOKUP(B524,'Pre-Summary'!$AT$6:$AX$15,4,FALSE),"")</f>
        <v/>
      </c>
      <c r="F524">
        <f>IFERROR(VLOOKUP(B524,'Pre-Summary'!$AL$6:$AQ$13,6,FALSE),F523)</f>
        <v>5.9405263157894746E-2</v>
      </c>
      <c r="G524" t="str">
        <f>IFERROR(VLOOKUP(B524,'Pre-Summary'!$AE$6:$AJ$85,3,FALSE),"")</f>
        <v/>
      </c>
      <c r="H524" t="str">
        <f>IFERROR(VLOOKUP(B524,'Pre-Summary'!$AE$6:$AJ$85,4,FALSE),"")</f>
        <v/>
      </c>
      <c r="I524" t="str">
        <f>IFERROR(VLOOKUP(B524,'Pre-Summary'!$AE$6:$AJ$85,5,FALSE),"")</f>
        <v/>
      </c>
      <c r="J524" s="45" t="str">
        <f>IFERROR(VLOOKUP(B524,'Pre-Summary'!$AE$6:$AJ$85,6, FALSE),"")</f>
        <v/>
      </c>
      <c r="K524" s="45" t="str">
        <f>IFERROR(VLOOKUP(B524,'Pre-Summary'!$DE$6:$DG$61,3,FALSE),"")</f>
        <v/>
      </c>
      <c r="L524" s="45" t="str">
        <f>IFERROR(VLOOKUP(B524,'Pre-Summary'!$CU$6:$CW$36,3,FALSE),"")</f>
        <v/>
      </c>
      <c r="M524" s="45" t="str">
        <f>IFERROR(VLOOKUP(B524,'Pre-Summary'!$BW$6:$BY$58,2,FALSE),"")</f>
        <v/>
      </c>
      <c r="N524" s="45" t="str">
        <f>IFERROR(VLOOKUP(B524,'Pre-Summary'!$CD$6:$CF$64,2,FALSE),"")</f>
        <v/>
      </c>
      <c r="O524" s="99">
        <f>IFERROR(VLOOKUP(B524,'Pre-Summary'!$BO$6:$BQ$48,3, FALSE),O523)</f>
        <v>1.0915248032216731</v>
      </c>
      <c r="P524" s="99">
        <f>IFERROR(VLOOKUP(B524,'Pre-Summary'!$BS$6:$BU$35,3,FALSE),P523)</f>
        <v>0.25</v>
      </c>
      <c r="Q524" s="54">
        <f t="shared" si="24"/>
        <v>4.3660992128866924</v>
      </c>
      <c r="R524" s="53">
        <f>IFERROR(VLOOKUP(B524,'Pre-Summary'!$BG$6:$BM$44,7,FALSE),R525)</f>
        <v>7.5915763918363535E-2</v>
      </c>
      <c r="S524" s="53">
        <f>IFERROR(VLOOKUP(B524,'Pre-Summary'!$BG$6:$BM$44,6,FALSE),S525)</f>
        <v>5.2897473997019086E-2</v>
      </c>
      <c r="T524" s="45" t="str">
        <f>IFERROR(VLOOKUP(B524,'Pre-Summary'!$Y$6:$AC$83, 3,FALSE),"")</f>
        <v/>
      </c>
      <c r="U524" s="45" t="str">
        <f>IFERROR(VLOOKUP(B524,'Pre-Summary'!$Y$6:$AC$83, 4,FALSE),"")</f>
        <v/>
      </c>
      <c r="V524" t="str">
        <f>IFERROR(VLOOKUP(B524,'Pre-Summary'!$Y$6:$AC$83, 5,FALSE),"")</f>
        <v/>
      </c>
      <c r="W524" s="45" t="str">
        <f>IFERROR(VLOOKUP(B524,'Pre-Summary'!$Y$6:$AD$83,6,FALSE),"")</f>
        <v/>
      </c>
      <c r="X524" t="str">
        <f>IFERROR(VLOOKUP('Pre-Summary'!$DB$6:$DD$63,3,FALSE),"")</f>
        <v/>
      </c>
      <c r="Y524" t="str">
        <f>IFERROR(VLOOKUP(B524,'Pre-Summary'!$CR$6:$CT$36,3,FALSE),"")</f>
        <v/>
      </c>
      <c r="Z524" s="45" t="str">
        <f>IFERROR(VLOOKUP(B524,'Pre-Summary'!$BZ$6:$CB$63,2,FALSE),"")</f>
        <v/>
      </c>
      <c r="AA524" s="45" t="str">
        <f>IFERROR(VLOOKUP(B524,'Pre-Summary'!$CG$6:$CI$70,2,FALSE),"")</f>
        <v/>
      </c>
      <c r="AB524" s="99">
        <f>IFERROR(VLOOKUP(B524,'Pre-Summary'!$A$6:$P$178,9,FALSE),AB525)</f>
        <v>0.87858471235308822</v>
      </c>
      <c r="AC524" s="10">
        <f>IFERROR(VLOOKUP(Summary!B524,'Pre-Summary'!$A$6:$P$184,5, FALSE)/100,AC525)</f>
        <v>0.67272566666666667</v>
      </c>
      <c r="AD524" s="10">
        <f>IFERROR(VLOOKUP(Summary!B524,'Pre-Summary'!$A$6:$P$184,3, FALSE)/100,AD525)</f>
        <v>8.9092333333333329E-2</v>
      </c>
      <c r="AE524" s="10">
        <f>IFERROR(VLOOKUP(Summary!B524,'Pre-Summary'!$A$6:$P$184,7, FALSE)/100,AE525)</f>
        <v>0.23818233333333336</v>
      </c>
      <c r="AF524" s="99">
        <f t="shared" si="25"/>
        <v>7.827516205453211E-2</v>
      </c>
      <c r="AG524" s="99">
        <f t="shared" si="26"/>
        <v>0.20926335681925406</v>
      </c>
      <c r="AH524" s="10" t="str">
        <f>IFERROR(VLOOKUP(B524,'Pre-Summary'!$AZ$6:$BE$65,3,FALSE),"")</f>
        <v/>
      </c>
      <c r="AI524" s="10" t="str">
        <f>IFERROR(VLOOKUP(B524,'Pre-Summary'!$AZ$6:$BE$65,5,FALSE),"")</f>
        <v/>
      </c>
      <c r="AJ524" s="10" t="str">
        <f>IFERROR(VLOOKUP(B524,'Pre-Summary'!$AZ$6:$BE$65,4,FALSE),"")</f>
        <v/>
      </c>
      <c r="AK524" s="10" t="str">
        <f>IFERROR(VLOOKUP(B524,'Pre-Summary'!$AZ$6:$BE$65,6,FALSE),"")</f>
        <v/>
      </c>
      <c r="AL524" s="10" t="str">
        <f>IFERROR(VLOOKUP(B524,'Pre-Summary'!$BG$6:$BL$44,3,FALSE),"")</f>
        <v/>
      </c>
      <c r="AM524" s="10" t="str">
        <f>IFERROR(VLOOKUP(B524,'Pre-Summary'!$BG$6:$BL$44,4,FALSE),"")</f>
        <v/>
      </c>
    </row>
    <row r="525" spans="2:39" ht="15" customHeight="1" x14ac:dyDescent="0.3">
      <c r="B525">
        <v>52.2</v>
      </c>
      <c r="C525" t="str">
        <f>IFERROR(VLOOKUP(B525,'Pre-Summary'!$DI$6:$DM$23,4,FALSE),"")</f>
        <v/>
      </c>
      <c r="D525" s="10" t="str">
        <f>IFERROR(VLOOKUP(B525,'Pre-Summary'!$AT$6:$AX$14,5,FALSE),D524)</f>
        <v>DSMZ v2: Dropped Na-Ac out of DSMZ 120 media</v>
      </c>
      <c r="E525" s="10" t="str">
        <f>IFERROR(VLOOKUP(B525,'Pre-Summary'!$AT$6:$AX$15,4,FALSE),"")</f>
        <v/>
      </c>
      <c r="F525">
        <f>IFERROR(VLOOKUP(B525,'Pre-Summary'!$AL$6:$AQ$13,6,FALSE),F524)</f>
        <v>5.9405263157894746E-2</v>
      </c>
      <c r="G525" t="str">
        <f>IFERROR(VLOOKUP(B525,'Pre-Summary'!$AE$6:$AJ$85,3,FALSE),"")</f>
        <v/>
      </c>
      <c r="H525" t="str">
        <f>IFERROR(VLOOKUP(B525,'Pre-Summary'!$AE$6:$AJ$85,4,FALSE),"")</f>
        <v/>
      </c>
      <c r="I525" t="str">
        <f>IFERROR(VLOOKUP(B525,'Pre-Summary'!$AE$6:$AJ$85,5,FALSE),"")</f>
        <v/>
      </c>
      <c r="J525" s="45" t="str">
        <f>IFERROR(VLOOKUP(B525,'Pre-Summary'!$AE$6:$AJ$85,6, FALSE),"")</f>
        <v/>
      </c>
      <c r="K525" s="45" t="str">
        <f>IFERROR(VLOOKUP(B525,'Pre-Summary'!$DE$6:$DG$61,3,FALSE),"")</f>
        <v/>
      </c>
      <c r="L525" s="45" t="str">
        <f>IFERROR(VLOOKUP(B525,'Pre-Summary'!$CU$6:$CW$36,3,FALSE),"")</f>
        <v/>
      </c>
      <c r="M525" s="45" t="str">
        <f>IFERROR(VLOOKUP(B525,'Pre-Summary'!$BW$6:$BY$58,2,FALSE),"")</f>
        <v/>
      </c>
      <c r="N525" s="45" t="str">
        <f>IFERROR(VLOOKUP(B525,'Pre-Summary'!$CD$6:$CF$64,2,FALSE),"")</f>
        <v/>
      </c>
      <c r="O525" s="99">
        <f>IFERROR(VLOOKUP(B525,'Pre-Summary'!$BO$6:$BQ$48,3, FALSE),O524)</f>
        <v>1.0915248032216731</v>
      </c>
      <c r="P525" s="99">
        <f>IFERROR(VLOOKUP(B525,'Pre-Summary'!$BS$6:$BU$35,3,FALSE),P524)</f>
        <v>0.25</v>
      </c>
      <c r="Q525" s="54">
        <f t="shared" si="24"/>
        <v>4.3660992128866924</v>
      </c>
      <c r="R525" s="53">
        <f>IFERROR(VLOOKUP(B525,'Pre-Summary'!$BG$6:$BM$44,7,FALSE),R526)</f>
        <v>7.5915763918363535E-2</v>
      </c>
      <c r="S525" s="53">
        <f>IFERROR(VLOOKUP(B525,'Pre-Summary'!$BG$6:$BM$44,6,FALSE),S526)</f>
        <v>5.2897473997019086E-2</v>
      </c>
      <c r="T525" s="45" t="str">
        <f>IFERROR(VLOOKUP(B525,'Pre-Summary'!$Y$6:$AC$83, 3,FALSE),"")</f>
        <v/>
      </c>
      <c r="U525" s="45" t="str">
        <f>IFERROR(VLOOKUP(B525,'Pre-Summary'!$Y$6:$AC$83, 4,FALSE),"")</f>
        <v/>
      </c>
      <c r="V525" t="str">
        <f>IFERROR(VLOOKUP(B525,'Pre-Summary'!$Y$6:$AC$83, 5,FALSE),"")</f>
        <v/>
      </c>
      <c r="W525" s="45" t="str">
        <f>IFERROR(VLOOKUP(B525,'Pre-Summary'!$Y$6:$AD$83,6,FALSE),"")</f>
        <v/>
      </c>
      <c r="X525" t="str">
        <f>IFERROR(VLOOKUP('Pre-Summary'!$DB$6:$DD$63,3,FALSE),"")</f>
        <v/>
      </c>
      <c r="Y525" t="str">
        <f>IFERROR(VLOOKUP(B525,'Pre-Summary'!$CR$6:$CT$36,3,FALSE),"")</f>
        <v/>
      </c>
      <c r="Z525" s="45" t="str">
        <f>IFERROR(VLOOKUP(B525,'Pre-Summary'!$BZ$6:$CB$63,2,FALSE),"")</f>
        <v/>
      </c>
      <c r="AA525" s="45" t="str">
        <f>IFERROR(VLOOKUP(B525,'Pre-Summary'!$CG$6:$CI$70,2,FALSE),"")</f>
        <v/>
      </c>
      <c r="AB525" s="99">
        <f>IFERROR(VLOOKUP(B525,'Pre-Summary'!$A$6:$P$178,9,FALSE),AB526)</f>
        <v>0.87858471235308822</v>
      </c>
      <c r="AC525" s="10">
        <f>IFERROR(VLOOKUP(Summary!B525,'Pre-Summary'!$A$6:$P$184,5, FALSE)/100,AC526)</f>
        <v>0.67272566666666667</v>
      </c>
      <c r="AD525" s="10">
        <f>IFERROR(VLOOKUP(Summary!B525,'Pre-Summary'!$A$6:$P$184,3, FALSE)/100,AD526)</f>
        <v>8.9092333333333329E-2</v>
      </c>
      <c r="AE525" s="10">
        <f>IFERROR(VLOOKUP(Summary!B525,'Pre-Summary'!$A$6:$P$184,7, FALSE)/100,AE526)</f>
        <v>0.23818233333333336</v>
      </c>
      <c r="AF525" s="99">
        <f t="shared" si="25"/>
        <v>7.827516205453211E-2</v>
      </c>
      <c r="AG525" s="99">
        <f t="shared" si="26"/>
        <v>0.20926335681925406</v>
      </c>
      <c r="AH525" s="10" t="str">
        <f>IFERROR(VLOOKUP(B525,'Pre-Summary'!$AZ$6:$BE$65,3,FALSE),"")</f>
        <v/>
      </c>
      <c r="AI525" s="10" t="str">
        <f>IFERROR(VLOOKUP(B525,'Pre-Summary'!$AZ$6:$BE$65,5,FALSE),"")</f>
        <v/>
      </c>
      <c r="AJ525" s="10" t="str">
        <f>IFERROR(VLOOKUP(B525,'Pre-Summary'!$AZ$6:$BE$65,4,FALSE),"")</f>
        <v/>
      </c>
      <c r="AK525" s="10" t="str">
        <f>IFERROR(VLOOKUP(B525,'Pre-Summary'!$AZ$6:$BE$65,6,FALSE),"")</f>
        <v/>
      </c>
      <c r="AL525" s="10" t="str">
        <f>IFERROR(VLOOKUP(B525,'Pre-Summary'!$BG$6:$BL$44,3,FALSE),"")</f>
        <v/>
      </c>
      <c r="AM525" s="10" t="str">
        <f>IFERROR(VLOOKUP(B525,'Pre-Summary'!$BG$6:$BL$44,4,FALSE),"")</f>
        <v/>
      </c>
    </row>
    <row r="526" spans="2:39" ht="15" customHeight="1" x14ac:dyDescent="0.3">
      <c r="B526">
        <v>52.3</v>
      </c>
      <c r="C526" t="str">
        <f>IFERROR(VLOOKUP(B526,'Pre-Summary'!$DI$6:$DM$23,4,FALSE),"")</f>
        <v/>
      </c>
      <c r="D526" s="10" t="str">
        <f>IFERROR(VLOOKUP(B526,'Pre-Summary'!$AT$6:$AX$14,5,FALSE),D525)</f>
        <v>DSMZ v2: Dropped Na-Ac out of DSMZ 120 media</v>
      </c>
      <c r="E526" s="10" t="str">
        <f>IFERROR(VLOOKUP(B526,'Pre-Summary'!$AT$6:$AX$15,4,FALSE),"")</f>
        <v/>
      </c>
      <c r="F526">
        <f>IFERROR(VLOOKUP(B526,'Pre-Summary'!$AL$6:$AQ$13,6,FALSE),F525)</f>
        <v>5.9405263157894746E-2</v>
      </c>
      <c r="G526" t="str">
        <f>IFERROR(VLOOKUP(B526,'Pre-Summary'!$AE$6:$AJ$85,3,FALSE),"")</f>
        <v/>
      </c>
      <c r="H526" t="str">
        <f>IFERROR(VLOOKUP(B526,'Pre-Summary'!$AE$6:$AJ$85,4,FALSE),"")</f>
        <v/>
      </c>
      <c r="I526" t="str">
        <f>IFERROR(VLOOKUP(B526,'Pre-Summary'!$AE$6:$AJ$85,5,FALSE),"")</f>
        <v/>
      </c>
      <c r="J526" s="45" t="str">
        <f>IFERROR(VLOOKUP(B526,'Pre-Summary'!$AE$6:$AJ$85,6, FALSE),"")</f>
        <v/>
      </c>
      <c r="K526" s="45" t="str">
        <f>IFERROR(VLOOKUP(B526,'Pre-Summary'!$DE$6:$DG$61,3,FALSE),"")</f>
        <v/>
      </c>
      <c r="L526" s="45" t="str">
        <f>IFERROR(VLOOKUP(B526,'Pre-Summary'!$CU$6:$CW$36,3,FALSE),"")</f>
        <v/>
      </c>
      <c r="M526" s="45" t="str">
        <f>IFERROR(VLOOKUP(B526,'Pre-Summary'!$BW$6:$BY$58,2,FALSE),"")</f>
        <v/>
      </c>
      <c r="N526" s="45" t="str">
        <f>IFERROR(VLOOKUP(B526,'Pre-Summary'!$CD$6:$CF$64,2,FALSE),"")</f>
        <v/>
      </c>
      <c r="O526" s="99">
        <f>IFERROR(VLOOKUP(B526,'Pre-Summary'!$BO$6:$BQ$48,3, FALSE),O525)</f>
        <v>1.0915248032216731</v>
      </c>
      <c r="P526" s="99">
        <f>IFERROR(VLOOKUP(B526,'Pre-Summary'!$BS$6:$BU$35,3,FALSE),P525)</f>
        <v>0.25</v>
      </c>
      <c r="Q526" s="54">
        <f t="shared" si="24"/>
        <v>4.3660992128866924</v>
      </c>
      <c r="R526" s="53">
        <f>IFERROR(VLOOKUP(B526,'Pre-Summary'!$BG$6:$BM$44,7,FALSE),R527)</f>
        <v>7.5915763918363535E-2</v>
      </c>
      <c r="S526" s="53">
        <f>IFERROR(VLOOKUP(B526,'Pre-Summary'!$BG$6:$BM$44,6,FALSE),S527)</f>
        <v>5.2897473997019086E-2</v>
      </c>
      <c r="T526" s="45" t="str">
        <f>IFERROR(VLOOKUP(B526,'Pre-Summary'!$Y$6:$AC$83, 3,FALSE),"")</f>
        <v/>
      </c>
      <c r="U526" s="45" t="str">
        <f>IFERROR(VLOOKUP(B526,'Pre-Summary'!$Y$6:$AC$83, 4,FALSE),"")</f>
        <v/>
      </c>
      <c r="V526" t="str">
        <f>IFERROR(VLOOKUP(B526,'Pre-Summary'!$Y$6:$AC$83, 5,FALSE),"")</f>
        <v/>
      </c>
      <c r="W526" s="45" t="str">
        <f>IFERROR(VLOOKUP(B526,'Pre-Summary'!$Y$6:$AD$83,6,FALSE),"")</f>
        <v/>
      </c>
      <c r="X526" t="str">
        <f>IFERROR(VLOOKUP('Pre-Summary'!$DB$6:$DD$63,3,FALSE),"")</f>
        <v/>
      </c>
      <c r="Y526" t="str">
        <f>IFERROR(VLOOKUP(B526,'Pre-Summary'!$CR$6:$CT$36,3,FALSE),"")</f>
        <v/>
      </c>
      <c r="Z526" s="45" t="str">
        <f>IFERROR(VLOOKUP(B526,'Pre-Summary'!$BZ$6:$CB$63,2,FALSE),"")</f>
        <v/>
      </c>
      <c r="AA526" s="45" t="str">
        <f>IFERROR(VLOOKUP(B526,'Pre-Summary'!$CG$6:$CI$70,2,FALSE),"")</f>
        <v/>
      </c>
      <c r="AB526" s="99">
        <f>IFERROR(VLOOKUP(B526,'Pre-Summary'!$A$6:$P$178,9,FALSE),AB527)</f>
        <v>0.87858471235308822</v>
      </c>
      <c r="AC526" s="10">
        <f>IFERROR(VLOOKUP(Summary!B526,'Pre-Summary'!$A$6:$P$184,5, FALSE)/100,AC527)</f>
        <v>0.67272566666666667</v>
      </c>
      <c r="AD526" s="10">
        <f>IFERROR(VLOOKUP(Summary!B526,'Pre-Summary'!$A$6:$P$184,3, FALSE)/100,AD527)</f>
        <v>8.9092333333333329E-2</v>
      </c>
      <c r="AE526" s="10">
        <f>IFERROR(VLOOKUP(Summary!B526,'Pre-Summary'!$A$6:$P$184,7, FALSE)/100,AE527)</f>
        <v>0.23818233333333336</v>
      </c>
      <c r="AF526" s="99">
        <f t="shared" si="25"/>
        <v>7.827516205453211E-2</v>
      </c>
      <c r="AG526" s="99">
        <f t="shared" si="26"/>
        <v>0.20926335681925406</v>
      </c>
      <c r="AH526" s="10" t="str">
        <f>IFERROR(VLOOKUP(B526,'Pre-Summary'!$AZ$6:$BE$65,3,FALSE),"")</f>
        <v/>
      </c>
      <c r="AI526" s="10" t="str">
        <f>IFERROR(VLOOKUP(B526,'Pre-Summary'!$AZ$6:$BE$65,5,FALSE),"")</f>
        <v/>
      </c>
      <c r="AJ526" s="10" t="str">
        <f>IFERROR(VLOOKUP(B526,'Pre-Summary'!$AZ$6:$BE$65,4,FALSE),"")</f>
        <v/>
      </c>
      <c r="AK526" s="10" t="str">
        <f>IFERROR(VLOOKUP(B526,'Pre-Summary'!$AZ$6:$BE$65,6,FALSE),"")</f>
        <v/>
      </c>
      <c r="AL526" s="10" t="str">
        <f>IFERROR(VLOOKUP(B526,'Pre-Summary'!$BG$6:$BL$44,3,FALSE),"")</f>
        <v/>
      </c>
      <c r="AM526" s="10" t="str">
        <f>IFERROR(VLOOKUP(B526,'Pre-Summary'!$BG$6:$BL$44,4,FALSE),"")</f>
        <v/>
      </c>
    </row>
    <row r="527" spans="2:39" ht="15" customHeight="1" x14ac:dyDescent="0.3">
      <c r="B527">
        <v>52.4</v>
      </c>
      <c r="C527" t="str">
        <f>IFERROR(VLOOKUP(B527,'Pre-Summary'!$DI$6:$DM$23,4,FALSE),"")</f>
        <v/>
      </c>
      <c r="D527" s="10" t="str">
        <f>IFERROR(VLOOKUP(B527,'Pre-Summary'!$AT$6:$AX$14,5,FALSE),D526)</f>
        <v>DSMZ v2: Dropped Na-Ac out of DSMZ 120 media</v>
      </c>
      <c r="E527" s="10" t="str">
        <f>IFERROR(VLOOKUP(B527,'Pre-Summary'!$AT$6:$AX$15,4,FALSE),"")</f>
        <v/>
      </c>
      <c r="F527">
        <f>IFERROR(VLOOKUP(B527,'Pre-Summary'!$AL$6:$AQ$13,6,FALSE),F526)</f>
        <v>5.9405263157894746E-2</v>
      </c>
      <c r="G527" t="str">
        <f>IFERROR(VLOOKUP(B527,'Pre-Summary'!$AE$6:$AJ$85,3,FALSE),"")</f>
        <v/>
      </c>
      <c r="H527" t="str">
        <f>IFERROR(VLOOKUP(B527,'Pre-Summary'!$AE$6:$AJ$85,4,FALSE),"")</f>
        <v/>
      </c>
      <c r="I527" t="str">
        <f>IFERROR(VLOOKUP(B527,'Pre-Summary'!$AE$6:$AJ$85,5,FALSE),"")</f>
        <v/>
      </c>
      <c r="J527" s="45" t="str">
        <f>IFERROR(VLOOKUP(B527,'Pre-Summary'!$AE$6:$AJ$85,6, FALSE),"")</f>
        <v/>
      </c>
      <c r="K527" s="45" t="str">
        <f>IFERROR(VLOOKUP(B527,'Pre-Summary'!$DE$6:$DG$61,3,FALSE),"")</f>
        <v/>
      </c>
      <c r="L527" s="45" t="str">
        <f>IFERROR(VLOOKUP(B527,'Pre-Summary'!$CU$6:$CW$36,3,FALSE),"")</f>
        <v/>
      </c>
      <c r="M527" s="45" t="str">
        <f>IFERROR(VLOOKUP(B527,'Pre-Summary'!$BW$6:$BY$58,2,FALSE),"")</f>
        <v/>
      </c>
      <c r="N527" s="45" t="str">
        <f>IFERROR(VLOOKUP(B527,'Pre-Summary'!$CD$6:$CF$64,2,FALSE),"")</f>
        <v/>
      </c>
      <c r="O527" s="99">
        <f>IFERROR(VLOOKUP(B527,'Pre-Summary'!$BO$6:$BQ$48,3, FALSE),O526)</f>
        <v>1.0915248032216731</v>
      </c>
      <c r="P527" s="99">
        <f>IFERROR(VLOOKUP(B527,'Pre-Summary'!$BS$6:$BU$35,3,FALSE),P526)</f>
        <v>0.25</v>
      </c>
      <c r="Q527" s="54">
        <f t="shared" si="24"/>
        <v>4.3660992128866924</v>
      </c>
      <c r="R527" s="53">
        <f>IFERROR(VLOOKUP(B527,'Pre-Summary'!$BG$6:$BM$44,7,FALSE),R528)</f>
        <v>7.5915763918363535E-2</v>
      </c>
      <c r="S527" s="53">
        <f>IFERROR(VLOOKUP(B527,'Pre-Summary'!$BG$6:$BM$44,6,FALSE),S528)</f>
        <v>5.2897473997019086E-2</v>
      </c>
      <c r="T527" s="45" t="str">
        <f>IFERROR(VLOOKUP(B527,'Pre-Summary'!$Y$6:$AC$83, 3,FALSE),"")</f>
        <v/>
      </c>
      <c r="U527" s="45" t="str">
        <f>IFERROR(VLOOKUP(B527,'Pre-Summary'!$Y$6:$AC$83, 4,FALSE),"")</f>
        <v/>
      </c>
      <c r="V527" t="str">
        <f>IFERROR(VLOOKUP(B527,'Pre-Summary'!$Y$6:$AC$83, 5,FALSE),"")</f>
        <v/>
      </c>
      <c r="W527" s="45" t="str">
        <f>IFERROR(VLOOKUP(B527,'Pre-Summary'!$Y$6:$AD$83,6,FALSE),"")</f>
        <v/>
      </c>
      <c r="X527" t="str">
        <f>IFERROR(VLOOKUP('Pre-Summary'!$DB$6:$DD$63,3,FALSE),"")</f>
        <v/>
      </c>
      <c r="Y527" t="str">
        <f>IFERROR(VLOOKUP(B527,'Pre-Summary'!$CR$6:$CT$36,3,FALSE),"")</f>
        <v/>
      </c>
      <c r="Z527" s="45" t="str">
        <f>IFERROR(VLOOKUP(B527,'Pre-Summary'!$BZ$6:$CB$63,2,FALSE),"")</f>
        <v/>
      </c>
      <c r="AA527" s="45" t="str">
        <f>IFERROR(VLOOKUP(B527,'Pre-Summary'!$CG$6:$CI$70,2,FALSE),"")</f>
        <v/>
      </c>
      <c r="AB527" s="99">
        <f>IFERROR(VLOOKUP(B527,'Pre-Summary'!$A$6:$P$178,9,FALSE),AB528)</f>
        <v>0.87858471235308822</v>
      </c>
      <c r="AC527" s="10">
        <f>IFERROR(VLOOKUP(Summary!B527,'Pre-Summary'!$A$6:$P$184,5, FALSE)/100,AC528)</f>
        <v>0.67272566666666667</v>
      </c>
      <c r="AD527" s="10">
        <f>IFERROR(VLOOKUP(Summary!B527,'Pre-Summary'!$A$6:$P$184,3, FALSE)/100,AD528)</f>
        <v>8.9092333333333329E-2</v>
      </c>
      <c r="AE527" s="10">
        <f>IFERROR(VLOOKUP(Summary!B527,'Pre-Summary'!$A$6:$P$184,7, FALSE)/100,AE528)</f>
        <v>0.23818233333333336</v>
      </c>
      <c r="AF527" s="99">
        <f t="shared" si="25"/>
        <v>7.827516205453211E-2</v>
      </c>
      <c r="AG527" s="99">
        <f t="shared" si="26"/>
        <v>0.20926335681925406</v>
      </c>
      <c r="AH527" s="10" t="str">
        <f>IFERROR(VLOOKUP(B527,'Pre-Summary'!$AZ$6:$BE$65,3,FALSE),"")</f>
        <v/>
      </c>
      <c r="AI527" s="10" t="str">
        <f>IFERROR(VLOOKUP(B527,'Pre-Summary'!$AZ$6:$BE$65,5,FALSE),"")</f>
        <v/>
      </c>
      <c r="AJ527" s="10" t="str">
        <f>IFERROR(VLOOKUP(B527,'Pre-Summary'!$AZ$6:$BE$65,4,FALSE),"")</f>
        <v/>
      </c>
      <c r="AK527" s="10" t="str">
        <f>IFERROR(VLOOKUP(B527,'Pre-Summary'!$AZ$6:$BE$65,6,FALSE),"")</f>
        <v/>
      </c>
      <c r="AL527" s="10" t="str">
        <f>IFERROR(VLOOKUP(B527,'Pre-Summary'!$BG$6:$BL$44,3,FALSE),"")</f>
        <v/>
      </c>
      <c r="AM527" s="10" t="str">
        <f>IFERROR(VLOOKUP(B527,'Pre-Summary'!$BG$6:$BL$44,4,FALSE),"")</f>
        <v/>
      </c>
    </row>
    <row r="528" spans="2:39" ht="15" customHeight="1" x14ac:dyDescent="0.3">
      <c r="B528">
        <v>52.5</v>
      </c>
      <c r="C528" t="str">
        <f>IFERROR(VLOOKUP(B528,'Pre-Summary'!$DI$6:$DM$23,4,FALSE),"")</f>
        <v/>
      </c>
      <c r="D528" s="10" t="str">
        <f>IFERROR(VLOOKUP(B528,'Pre-Summary'!$AT$6:$AX$14,5,FALSE),D527)</f>
        <v>DSMZ v2: Dropped Na-Ac out of DSMZ 120 media</v>
      </c>
      <c r="E528" s="10" t="str">
        <f>IFERROR(VLOOKUP(B528,'Pre-Summary'!$AT$6:$AX$15,4,FALSE),"")</f>
        <v/>
      </c>
      <c r="F528">
        <f>IFERROR(VLOOKUP(B528,'Pre-Summary'!$AL$6:$AQ$13,6,FALSE),F527)</f>
        <v>5.9405263157894746E-2</v>
      </c>
      <c r="G528" t="str">
        <f>IFERROR(VLOOKUP(B528,'Pre-Summary'!$AE$6:$AJ$85,3,FALSE),"")</f>
        <v/>
      </c>
      <c r="H528" t="str">
        <f>IFERROR(VLOOKUP(B528,'Pre-Summary'!$AE$6:$AJ$85,4,FALSE),"")</f>
        <v/>
      </c>
      <c r="I528" t="str">
        <f>IFERROR(VLOOKUP(B528,'Pre-Summary'!$AE$6:$AJ$85,5,FALSE),"")</f>
        <v/>
      </c>
      <c r="J528" s="45" t="str">
        <f>IFERROR(VLOOKUP(B528,'Pre-Summary'!$AE$6:$AJ$85,6, FALSE),"")</f>
        <v/>
      </c>
      <c r="K528" s="45" t="str">
        <f>IFERROR(VLOOKUP(B528,'Pre-Summary'!$DE$6:$DG$61,3,FALSE),"")</f>
        <v/>
      </c>
      <c r="L528" s="45" t="str">
        <f>IFERROR(VLOOKUP(B528,'Pre-Summary'!$CU$6:$CW$36,3,FALSE),"")</f>
        <v/>
      </c>
      <c r="M528" s="45" t="str">
        <f>IFERROR(VLOOKUP(B528,'Pre-Summary'!$BW$6:$BY$58,2,FALSE),"")</f>
        <v/>
      </c>
      <c r="N528" s="45" t="str">
        <f>IFERROR(VLOOKUP(B528,'Pre-Summary'!$CD$6:$CF$64,2,FALSE),"")</f>
        <v/>
      </c>
      <c r="O528" s="99">
        <f>IFERROR(VLOOKUP(B528,'Pre-Summary'!$BO$6:$BQ$48,3, FALSE),O527)</f>
        <v>1.0915248032216731</v>
      </c>
      <c r="P528" s="99">
        <f>IFERROR(VLOOKUP(B528,'Pre-Summary'!$BS$6:$BU$35,3,FALSE),P527)</f>
        <v>0.25</v>
      </c>
      <c r="Q528" s="54">
        <f t="shared" si="24"/>
        <v>4.3660992128866924</v>
      </c>
      <c r="R528" s="53">
        <f>IFERROR(VLOOKUP(B528,'Pre-Summary'!$BG$6:$BM$44,7,FALSE),R529)</f>
        <v>7.5915763918363535E-2</v>
      </c>
      <c r="S528" s="53">
        <f>IFERROR(VLOOKUP(B528,'Pre-Summary'!$BG$6:$BM$44,6,FALSE),S529)</f>
        <v>5.2897473997019086E-2</v>
      </c>
      <c r="T528" s="45" t="str">
        <f>IFERROR(VLOOKUP(B528,'Pre-Summary'!$Y$6:$AC$83, 3,FALSE),"")</f>
        <v/>
      </c>
      <c r="U528" s="45" t="str">
        <f>IFERROR(VLOOKUP(B528,'Pre-Summary'!$Y$6:$AC$83, 4,FALSE),"")</f>
        <v/>
      </c>
      <c r="V528" t="str">
        <f>IFERROR(VLOOKUP(B528,'Pre-Summary'!$Y$6:$AC$83, 5,FALSE),"")</f>
        <v/>
      </c>
      <c r="W528" s="45" t="str">
        <f>IFERROR(VLOOKUP(B528,'Pre-Summary'!$Y$6:$AD$83,6,FALSE),"")</f>
        <v/>
      </c>
      <c r="X528" t="str">
        <f>IFERROR(VLOOKUP('Pre-Summary'!$DB$6:$DD$63,3,FALSE),"")</f>
        <v/>
      </c>
      <c r="Y528" t="str">
        <f>IFERROR(VLOOKUP(B528,'Pre-Summary'!$CR$6:$CT$36,3,FALSE),"")</f>
        <v/>
      </c>
      <c r="Z528" s="45" t="str">
        <f>IFERROR(VLOOKUP(B528,'Pre-Summary'!$BZ$6:$CB$63,2,FALSE),"")</f>
        <v/>
      </c>
      <c r="AA528" s="45" t="str">
        <f>IFERROR(VLOOKUP(B528,'Pre-Summary'!$CG$6:$CI$70,2,FALSE),"")</f>
        <v/>
      </c>
      <c r="AB528" s="99">
        <f>IFERROR(VLOOKUP(B528,'Pre-Summary'!$A$6:$P$178,9,FALSE),AB529)</f>
        <v>0.87858471235308822</v>
      </c>
      <c r="AC528" s="10">
        <f>IFERROR(VLOOKUP(Summary!B528,'Pre-Summary'!$A$6:$P$184,5, FALSE)/100,AC529)</f>
        <v>0.67272566666666667</v>
      </c>
      <c r="AD528" s="10">
        <f>IFERROR(VLOOKUP(Summary!B528,'Pre-Summary'!$A$6:$P$184,3, FALSE)/100,AD529)</f>
        <v>8.9092333333333329E-2</v>
      </c>
      <c r="AE528" s="10">
        <f>IFERROR(VLOOKUP(Summary!B528,'Pre-Summary'!$A$6:$P$184,7, FALSE)/100,AE529)</f>
        <v>0.23818233333333336</v>
      </c>
      <c r="AF528" s="99">
        <f t="shared" si="25"/>
        <v>7.827516205453211E-2</v>
      </c>
      <c r="AG528" s="99">
        <f t="shared" si="26"/>
        <v>0.20926335681925406</v>
      </c>
      <c r="AH528" s="10" t="str">
        <f>IFERROR(VLOOKUP(B528,'Pre-Summary'!$AZ$6:$BE$65,3,FALSE),"")</f>
        <v/>
      </c>
      <c r="AI528" s="10" t="str">
        <f>IFERROR(VLOOKUP(B528,'Pre-Summary'!$AZ$6:$BE$65,5,FALSE),"")</f>
        <v/>
      </c>
      <c r="AJ528" s="10" t="str">
        <f>IFERROR(VLOOKUP(B528,'Pre-Summary'!$AZ$6:$BE$65,4,FALSE),"")</f>
        <v/>
      </c>
      <c r="AK528" s="10" t="str">
        <f>IFERROR(VLOOKUP(B528,'Pre-Summary'!$AZ$6:$BE$65,6,FALSE),"")</f>
        <v/>
      </c>
      <c r="AL528" s="10" t="str">
        <f>IFERROR(VLOOKUP(B528,'Pre-Summary'!$BG$6:$BL$44,3,FALSE),"")</f>
        <v/>
      </c>
      <c r="AM528" s="10" t="str">
        <f>IFERROR(VLOOKUP(B528,'Pre-Summary'!$BG$6:$BL$44,4,FALSE),"")</f>
        <v/>
      </c>
    </row>
    <row r="529" spans="2:39" ht="15" customHeight="1" x14ac:dyDescent="0.3">
      <c r="B529">
        <v>52.6</v>
      </c>
      <c r="C529" t="str">
        <f>IFERROR(VLOOKUP(B529,'Pre-Summary'!$DI$6:$DM$23,4,FALSE),"")</f>
        <v/>
      </c>
      <c r="D529" s="10" t="str">
        <f>IFERROR(VLOOKUP(B529,'Pre-Summary'!$AT$6:$AX$14,5,FALSE),D528)</f>
        <v>DSMZ v2: Dropped Na-Ac out of DSMZ 120 media</v>
      </c>
      <c r="E529" s="10" t="str">
        <f>IFERROR(VLOOKUP(B529,'Pre-Summary'!$AT$6:$AX$15,4,FALSE),"")</f>
        <v/>
      </c>
      <c r="F529">
        <f>IFERROR(VLOOKUP(B529,'Pre-Summary'!$AL$6:$AQ$13,6,FALSE),F528)</f>
        <v>5.9405263157894746E-2</v>
      </c>
      <c r="G529" t="str">
        <f>IFERROR(VLOOKUP(B529,'Pre-Summary'!$AE$6:$AJ$85,3,FALSE),"")</f>
        <v/>
      </c>
      <c r="H529" t="str">
        <f>IFERROR(VLOOKUP(B529,'Pre-Summary'!$AE$6:$AJ$85,4,FALSE),"")</f>
        <v/>
      </c>
      <c r="I529" t="str">
        <f>IFERROR(VLOOKUP(B529,'Pre-Summary'!$AE$6:$AJ$85,5,FALSE),"")</f>
        <v/>
      </c>
      <c r="J529" s="45" t="str">
        <f>IFERROR(VLOOKUP(B529,'Pre-Summary'!$AE$6:$AJ$85,6, FALSE),"")</f>
        <v/>
      </c>
      <c r="K529" s="45" t="str">
        <f>IFERROR(VLOOKUP(B529,'Pre-Summary'!$DE$6:$DG$61,3,FALSE),"")</f>
        <v/>
      </c>
      <c r="L529" s="45" t="str">
        <f>IFERROR(VLOOKUP(B529,'Pre-Summary'!$CU$6:$CW$36,3,FALSE),"")</f>
        <v/>
      </c>
      <c r="M529" s="45" t="str">
        <f>IFERROR(VLOOKUP(B529,'Pre-Summary'!$BW$6:$BY$58,2,FALSE),"")</f>
        <v/>
      </c>
      <c r="N529" s="45" t="str">
        <f>IFERROR(VLOOKUP(B529,'Pre-Summary'!$CD$6:$CF$64,2,FALSE),"")</f>
        <v/>
      </c>
      <c r="O529" s="99">
        <f>IFERROR(VLOOKUP(B529,'Pre-Summary'!$BO$6:$BQ$48,3, FALSE),O528)</f>
        <v>1.0915248032216731</v>
      </c>
      <c r="P529" s="99">
        <f>IFERROR(VLOOKUP(B529,'Pre-Summary'!$BS$6:$BU$35,3,FALSE),P528)</f>
        <v>0.25</v>
      </c>
      <c r="Q529" s="54">
        <f t="shared" si="24"/>
        <v>4.3660992128866924</v>
      </c>
      <c r="R529" s="53">
        <f>IFERROR(VLOOKUP(B529,'Pre-Summary'!$BG$6:$BM$44,7,FALSE),R530)</f>
        <v>7.5915763918363535E-2</v>
      </c>
      <c r="S529" s="53">
        <f>IFERROR(VLOOKUP(B529,'Pre-Summary'!$BG$6:$BM$44,6,FALSE),S530)</f>
        <v>5.2897473997019086E-2</v>
      </c>
      <c r="T529" s="45" t="str">
        <f>IFERROR(VLOOKUP(B529,'Pre-Summary'!$Y$6:$AC$83, 3,FALSE),"")</f>
        <v/>
      </c>
      <c r="U529" s="45" t="str">
        <f>IFERROR(VLOOKUP(B529,'Pre-Summary'!$Y$6:$AC$83, 4,FALSE),"")</f>
        <v/>
      </c>
      <c r="V529" t="str">
        <f>IFERROR(VLOOKUP(B529,'Pre-Summary'!$Y$6:$AC$83, 5,FALSE),"")</f>
        <v/>
      </c>
      <c r="W529" s="45" t="str">
        <f>IFERROR(VLOOKUP(B529,'Pre-Summary'!$Y$6:$AD$83,6,FALSE),"")</f>
        <v/>
      </c>
      <c r="X529" t="str">
        <f>IFERROR(VLOOKUP('Pre-Summary'!$DB$6:$DD$63,3,FALSE),"")</f>
        <v/>
      </c>
      <c r="Y529" t="str">
        <f>IFERROR(VLOOKUP(B529,'Pre-Summary'!$CR$6:$CT$36,3,FALSE),"")</f>
        <v/>
      </c>
      <c r="Z529" s="45" t="str">
        <f>IFERROR(VLOOKUP(B529,'Pre-Summary'!$BZ$6:$CB$63,2,FALSE),"")</f>
        <v/>
      </c>
      <c r="AA529" s="45" t="str">
        <f>IFERROR(VLOOKUP(B529,'Pre-Summary'!$CG$6:$CI$70,2,FALSE),"")</f>
        <v/>
      </c>
      <c r="AB529" s="99">
        <f>IFERROR(VLOOKUP(B529,'Pre-Summary'!$A$6:$P$178,9,FALSE),AB530)</f>
        <v>0.87858471235308822</v>
      </c>
      <c r="AC529" s="10">
        <f>IFERROR(VLOOKUP(Summary!B529,'Pre-Summary'!$A$6:$P$184,5, FALSE)/100,AC530)</f>
        <v>0.67272566666666667</v>
      </c>
      <c r="AD529" s="10">
        <f>IFERROR(VLOOKUP(Summary!B529,'Pre-Summary'!$A$6:$P$184,3, FALSE)/100,AD530)</f>
        <v>8.9092333333333329E-2</v>
      </c>
      <c r="AE529" s="10">
        <f>IFERROR(VLOOKUP(Summary!B529,'Pre-Summary'!$A$6:$P$184,7, FALSE)/100,AE530)</f>
        <v>0.23818233333333336</v>
      </c>
      <c r="AF529" s="99">
        <f t="shared" si="25"/>
        <v>7.827516205453211E-2</v>
      </c>
      <c r="AG529" s="99">
        <f t="shared" si="26"/>
        <v>0.20926335681925406</v>
      </c>
      <c r="AH529" s="10" t="str">
        <f>IFERROR(VLOOKUP(B529,'Pre-Summary'!$AZ$6:$BE$65,3,FALSE),"")</f>
        <v/>
      </c>
      <c r="AI529" s="10" t="str">
        <f>IFERROR(VLOOKUP(B529,'Pre-Summary'!$AZ$6:$BE$65,5,FALSE),"")</f>
        <v/>
      </c>
      <c r="AJ529" s="10" t="str">
        <f>IFERROR(VLOOKUP(B529,'Pre-Summary'!$AZ$6:$BE$65,4,FALSE),"")</f>
        <v/>
      </c>
      <c r="AK529" s="10" t="str">
        <f>IFERROR(VLOOKUP(B529,'Pre-Summary'!$AZ$6:$BE$65,6,FALSE),"")</f>
        <v/>
      </c>
      <c r="AL529" s="10" t="str">
        <f>IFERROR(VLOOKUP(B529,'Pre-Summary'!$BG$6:$BL$44,3,FALSE),"")</f>
        <v/>
      </c>
      <c r="AM529" s="10" t="str">
        <f>IFERROR(VLOOKUP(B529,'Pre-Summary'!$BG$6:$BL$44,4,FALSE),"")</f>
        <v/>
      </c>
    </row>
    <row r="530" spans="2:39" ht="15" customHeight="1" x14ac:dyDescent="0.3">
      <c r="B530">
        <v>52.7</v>
      </c>
      <c r="C530" t="str">
        <f>IFERROR(VLOOKUP(B530,'Pre-Summary'!$DI$6:$DM$23,4,FALSE),"")</f>
        <v/>
      </c>
      <c r="D530" s="10" t="str">
        <f>IFERROR(VLOOKUP(B530,'Pre-Summary'!$AT$6:$AX$14,5,FALSE),D529)</f>
        <v>DSMZ v2: Dropped Na-Ac out of DSMZ 120 media</v>
      </c>
      <c r="E530" s="10" t="str">
        <f>IFERROR(VLOOKUP(B530,'Pre-Summary'!$AT$6:$AX$15,4,FALSE),"")</f>
        <v/>
      </c>
      <c r="F530">
        <f>IFERROR(VLOOKUP(B530,'Pre-Summary'!$AL$6:$AQ$13,6,FALSE),F529)</f>
        <v>5.9405263157894746E-2</v>
      </c>
      <c r="G530" t="str">
        <f>IFERROR(VLOOKUP(B530,'Pre-Summary'!$AE$6:$AJ$85,3,FALSE),"")</f>
        <v/>
      </c>
      <c r="H530" t="str">
        <f>IFERROR(VLOOKUP(B530,'Pre-Summary'!$AE$6:$AJ$85,4,FALSE),"")</f>
        <v/>
      </c>
      <c r="I530" t="str">
        <f>IFERROR(VLOOKUP(B530,'Pre-Summary'!$AE$6:$AJ$85,5,FALSE),"")</f>
        <v/>
      </c>
      <c r="J530" s="45" t="str">
        <f>IFERROR(VLOOKUP(B530,'Pre-Summary'!$AE$6:$AJ$85,6, FALSE),"")</f>
        <v/>
      </c>
      <c r="K530" s="45" t="str">
        <f>IFERROR(VLOOKUP(B530,'Pre-Summary'!$DE$6:$DG$61,3,FALSE),"")</f>
        <v/>
      </c>
      <c r="L530" s="45" t="str">
        <f>IFERROR(VLOOKUP(B530,'Pre-Summary'!$CU$6:$CW$36,3,FALSE),"")</f>
        <v/>
      </c>
      <c r="M530" s="45" t="str">
        <f>IFERROR(VLOOKUP(B530,'Pre-Summary'!$BW$6:$BY$58,2,FALSE),"")</f>
        <v/>
      </c>
      <c r="N530" s="45" t="str">
        <f>IFERROR(VLOOKUP(B530,'Pre-Summary'!$CD$6:$CF$64,2,FALSE),"")</f>
        <v/>
      </c>
      <c r="O530" s="99">
        <f>IFERROR(VLOOKUP(B530,'Pre-Summary'!$BO$6:$BQ$48,3, FALSE),O529)</f>
        <v>1.0915248032216731</v>
      </c>
      <c r="P530" s="99">
        <f>IFERROR(VLOOKUP(B530,'Pre-Summary'!$BS$6:$BU$35,3,FALSE),P529)</f>
        <v>0.25</v>
      </c>
      <c r="Q530" s="54">
        <f t="shared" si="24"/>
        <v>4.3660992128866924</v>
      </c>
      <c r="R530" s="53">
        <f>IFERROR(VLOOKUP(B530,'Pre-Summary'!$BG$6:$BM$44,7,FALSE),R531)</f>
        <v>7.5915763918363535E-2</v>
      </c>
      <c r="S530" s="53">
        <f>IFERROR(VLOOKUP(B530,'Pre-Summary'!$BG$6:$BM$44,6,FALSE),S531)</f>
        <v>5.2897473997019086E-2</v>
      </c>
      <c r="T530" s="45" t="str">
        <f>IFERROR(VLOOKUP(B530,'Pre-Summary'!$Y$6:$AC$83, 3,FALSE),"")</f>
        <v/>
      </c>
      <c r="U530" s="45" t="str">
        <f>IFERROR(VLOOKUP(B530,'Pre-Summary'!$Y$6:$AC$83, 4,FALSE),"")</f>
        <v/>
      </c>
      <c r="V530" t="str">
        <f>IFERROR(VLOOKUP(B530,'Pre-Summary'!$Y$6:$AC$83, 5,FALSE),"")</f>
        <v/>
      </c>
      <c r="W530" s="45" t="str">
        <f>IFERROR(VLOOKUP(B530,'Pre-Summary'!$Y$6:$AD$83,6,FALSE),"")</f>
        <v/>
      </c>
      <c r="X530" t="str">
        <f>IFERROR(VLOOKUP('Pre-Summary'!$DB$6:$DD$63,3,FALSE),"")</f>
        <v/>
      </c>
      <c r="Y530" t="str">
        <f>IFERROR(VLOOKUP(B530,'Pre-Summary'!$CR$6:$CT$36,3,FALSE),"")</f>
        <v/>
      </c>
      <c r="Z530" s="45" t="str">
        <f>IFERROR(VLOOKUP(B530,'Pre-Summary'!$BZ$6:$CB$63,2,FALSE),"")</f>
        <v/>
      </c>
      <c r="AA530" s="45" t="str">
        <f>IFERROR(VLOOKUP(B530,'Pre-Summary'!$CG$6:$CI$70,2,FALSE),"")</f>
        <v/>
      </c>
      <c r="AB530" s="99">
        <f>IFERROR(VLOOKUP(B530,'Pre-Summary'!$A$6:$P$178,9,FALSE),AB531)</f>
        <v>0.87858471235308822</v>
      </c>
      <c r="AC530" s="10">
        <f>IFERROR(VLOOKUP(Summary!B530,'Pre-Summary'!$A$6:$P$184,5, FALSE)/100,AC531)</f>
        <v>0.67272566666666667</v>
      </c>
      <c r="AD530" s="10">
        <f>IFERROR(VLOOKUP(Summary!B530,'Pre-Summary'!$A$6:$P$184,3, FALSE)/100,AD531)</f>
        <v>8.9092333333333329E-2</v>
      </c>
      <c r="AE530" s="10">
        <f>IFERROR(VLOOKUP(Summary!B530,'Pre-Summary'!$A$6:$P$184,7, FALSE)/100,AE531)</f>
        <v>0.23818233333333336</v>
      </c>
      <c r="AF530" s="99">
        <f t="shared" si="25"/>
        <v>7.827516205453211E-2</v>
      </c>
      <c r="AG530" s="99">
        <f t="shared" si="26"/>
        <v>0.20926335681925406</v>
      </c>
      <c r="AH530" s="10" t="str">
        <f>IFERROR(VLOOKUP(B530,'Pre-Summary'!$AZ$6:$BE$65,3,FALSE),"")</f>
        <v/>
      </c>
      <c r="AI530" s="10" t="str">
        <f>IFERROR(VLOOKUP(B530,'Pre-Summary'!$AZ$6:$BE$65,5,FALSE),"")</f>
        <v/>
      </c>
      <c r="AJ530" s="10" t="str">
        <f>IFERROR(VLOOKUP(B530,'Pre-Summary'!$AZ$6:$BE$65,4,FALSE),"")</f>
        <v/>
      </c>
      <c r="AK530" s="10" t="str">
        <f>IFERROR(VLOOKUP(B530,'Pre-Summary'!$AZ$6:$BE$65,6,FALSE),"")</f>
        <v/>
      </c>
      <c r="AL530" s="10" t="str">
        <f>IFERROR(VLOOKUP(B530,'Pre-Summary'!$BG$6:$BL$44,3,FALSE),"")</f>
        <v/>
      </c>
      <c r="AM530" s="10" t="str">
        <f>IFERROR(VLOOKUP(B530,'Pre-Summary'!$BG$6:$BL$44,4,FALSE),"")</f>
        <v/>
      </c>
    </row>
    <row r="531" spans="2:39" ht="15" customHeight="1" x14ac:dyDescent="0.3">
      <c r="B531">
        <v>52.8</v>
      </c>
      <c r="C531" t="str">
        <f>IFERROR(VLOOKUP(B531,'Pre-Summary'!$DI$6:$DM$23,4,FALSE),"")</f>
        <v/>
      </c>
      <c r="D531" s="10" t="str">
        <f>IFERROR(VLOOKUP(B531,'Pre-Summary'!$AT$6:$AX$14,5,FALSE),D530)</f>
        <v>DSMZ v2: Dropped Na-Ac out of DSMZ 120 media</v>
      </c>
      <c r="E531" s="10" t="str">
        <f>IFERROR(VLOOKUP(B531,'Pre-Summary'!$AT$6:$AX$15,4,FALSE),"")</f>
        <v/>
      </c>
      <c r="F531">
        <f>IFERROR(VLOOKUP(B531,'Pre-Summary'!$AL$6:$AQ$13,6,FALSE),F530)</f>
        <v>5.9405263157894746E-2</v>
      </c>
      <c r="G531" t="str">
        <f>IFERROR(VLOOKUP(B531,'Pre-Summary'!$AE$6:$AJ$85,3,FALSE),"")</f>
        <v/>
      </c>
      <c r="H531" t="str">
        <f>IFERROR(VLOOKUP(B531,'Pre-Summary'!$AE$6:$AJ$85,4,FALSE),"")</f>
        <v/>
      </c>
      <c r="I531" t="str">
        <f>IFERROR(VLOOKUP(B531,'Pre-Summary'!$AE$6:$AJ$85,5,FALSE),"")</f>
        <v/>
      </c>
      <c r="J531" s="45" t="str">
        <f>IFERROR(VLOOKUP(B531,'Pre-Summary'!$AE$6:$AJ$85,6, FALSE),"")</f>
        <v/>
      </c>
      <c r="K531" s="45" t="str">
        <f>IFERROR(VLOOKUP(B531,'Pre-Summary'!$DE$6:$DG$61,3,FALSE),"")</f>
        <v/>
      </c>
      <c r="L531" s="45" t="str">
        <f>IFERROR(VLOOKUP(B531,'Pre-Summary'!$CU$6:$CW$36,3,FALSE),"")</f>
        <v/>
      </c>
      <c r="M531" s="45" t="str">
        <f>IFERROR(VLOOKUP(B531,'Pre-Summary'!$BW$6:$BY$58,2,FALSE),"")</f>
        <v/>
      </c>
      <c r="N531" s="45" t="str">
        <f>IFERROR(VLOOKUP(B531,'Pre-Summary'!$CD$6:$CF$64,2,FALSE),"")</f>
        <v/>
      </c>
      <c r="O531" s="99">
        <f>IFERROR(VLOOKUP(B531,'Pre-Summary'!$BO$6:$BQ$48,3, FALSE),O530)</f>
        <v>1.0915248032216731</v>
      </c>
      <c r="P531" s="99">
        <f>IFERROR(VLOOKUP(B531,'Pre-Summary'!$BS$6:$BU$35,3,FALSE),P530)</f>
        <v>0.25</v>
      </c>
      <c r="Q531" s="54">
        <f t="shared" si="24"/>
        <v>4.3660992128866924</v>
      </c>
      <c r="R531" s="53">
        <f>IFERROR(VLOOKUP(B531,'Pre-Summary'!$BG$6:$BM$44,7,FALSE),R532)</f>
        <v>7.5915763918363535E-2</v>
      </c>
      <c r="S531" s="53">
        <f>IFERROR(VLOOKUP(B531,'Pre-Summary'!$BG$6:$BM$44,6,FALSE),S532)</f>
        <v>5.2897473997019086E-2</v>
      </c>
      <c r="T531" s="45" t="str">
        <f>IFERROR(VLOOKUP(B531,'Pre-Summary'!$Y$6:$AC$83, 3,FALSE),"")</f>
        <v/>
      </c>
      <c r="U531" s="45" t="str">
        <f>IFERROR(VLOOKUP(B531,'Pre-Summary'!$Y$6:$AC$83, 4,FALSE),"")</f>
        <v/>
      </c>
      <c r="V531" t="str">
        <f>IFERROR(VLOOKUP(B531,'Pre-Summary'!$Y$6:$AC$83, 5,FALSE),"")</f>
        <v/>
      </c>
      <c r="W531" s="45" t="str">
        <f>IFERROR(VLOOKUP(B531,'Pre-Summary'!$Y$6:$AD$83,6,FALSE),"")</f>
        <v/>
      </c>
      <c r="X531" t="str">
        <f>IFERROR(VLOOKUP('Pre-Summary'!$DB$6:$DD$63,3,FALSE),"")</f>
        <v/>
      </c>
      <c r="Y531" t="str">
        <f>IFERROR(VLOOKUP(B531,'Pre-Summary'!$CR$6:$CT$36,3,FALSE),"")</f>
        <v/>
      </c>
      <c r="Z531" s="45" t="str">
        <f>IFERROR(VLOOKUP(B531,'Pre-Summary'!$BZ$6:$CB$63,2,FALSE),"")</f>
        <v/>
      </c>
      <c r="AA531" s="45" t="str">
        <f>IFERROR(VLOOKUP(B531,'Pre-Summary'!$CG$6:$CI$70,2,FALSE),"")</f>
        <v/>
      </c>
      <c r="AB531" s="99">
        <f>IFERROR(VLOOKUP(B531,'Pre-Summary'!$A$6:$P$178,9,FALSE),AB532)</f>
        <v>0.87858471235308822</v>
      </c>
      <c r="AC531" s="10">
        <f>IFERROR(VLOOKUP(Summary!B531,'Pre-Summary'!$A$6:$P$184,5, FALSE)/100,AC532)</f>
        <v>0.67272566666666667</v>
      </c>
      <c r="AD531" s="10">
        <f>IFERROR(VLOOKUP(Summary!B531,'Pre-Summary'!$A$6:$P$184,3, FALSE)/100,AD532)</f>
        <v>8.9092333333333329E-2</v>
      </c>
      <c r="AE531" s="10">
        <f>IFERROR(VLOOKUP(Summary!B531,'Pre-Summary'!$A$6:$P$184,7, FALSE)/100,AE532)</f>
        <v>0.23818233333333336</v>
      </c>
      <c r="AF531" s="99">
        <f t="shared" si="25"/>
        <v>7.827516205453211E-2</v>
      </c>
      <c r="AG531" s="99">
        <f t="shared" si="26"/>
        <v>0.20926335681925406</v>
      </c>
      <c r="AH531" s="10" t="str">
        <f>IFERROR(VLOOKUP(B531,'Pre-Summary'!$AZ$6:$BE$65,3,FALSE),"")</f>
        <v/>
      </c>
      <c r="AI531" s="10" t="str">
        <f>IFERROR(VLOOKUP(B531,'Pre-Summary'!$AZ$6:$BE$65,5,FALSE),"")</f>
        <v/>
      </c>
      <c r="AJ531" s="10" t="str">
        <f>IFERROR(VLOOKUP(B531,'Pre-Summary'!$AZ$6:$BE$65,4,FALSE),"")</f>
        <v/>
      </c>
      <c r="AK531" s="10" t="str">
        <f>IFERROR(VLOOKUP(B531,'Pre-Summary'!$AZ$6:$BE$65,6,FALSE),"")</f>
        <v/>
      </c>
      <c r="AL531" s="10" t="str">
        <f>IFERROR(VLOOKUP(B531,'Pre-Summary'!$BG$6:$BL$44,3,FALSE),"")</f>
        <v/>
      </c>
      <c r="AM531" s="10" t="str">
        <f>IFERROR(VLOOKUP(B531,'Pre-Summary'!$BG$6:$BL$44,4,FALSE),"")</f>
        <v/>
      </c>
    </row>
    <row r="532" spans="2:39" ht="15" customHeight="1" x14ac:dyDescent="0.3">
      <c r="B532">
        <v>52.9</v>
      </c>
      <c r="C532" t="str">
        <f>IFERROR(VLOOKUP(B532,'Pre-Summary'!$DI$6:$DM$23,4,FALSE),"")</f>
        <v/>
      </c>
      <c r="D532" s="10" t="str">
        <f>IFERROR(VLOOKUP(B532,'Pre-Summary'!$AT$6:$AX$14,5,FALSE),D531)</f>
        <v>DSMZ v2: Dropped Na-Ac out of DSMZ 120 media</v>
      </c>
      <c r="E532" s="10" t="str">
        <f>IFERROR(VLOOKUP(B532,'Pre-Summary'!$AT$6:$AX$15,4,FALSE),"")</f>
        <v/>
      </c>
      <c r="F532">
        <f>IFERROR(VLOOKUP(B532,'Pre-Summary'!$AL$6:$AQ$13,6,FALSE),F531)</f>
        <v>5.9405263157894746E-2</v>
      </c>
      <c r="G532" t="str">
        <f>IFERROR(VLOOKUP(B532,'Pre-Summary'!$AE$6:$AJ$85,3,FALSE),"")</f>
        <v/>
      </c>
      <c r="H532" t="str">
        <f>IFERROR(VLOOKUP(B532,'Pre-Summary'!$AE$6:$AJ$85,4,FALSE),"")</f>
        <v/>
      </c>
      <c r="I532" t="str">
        <f>IFERROR(VLOOKUP(B532,'Pre-Summary'!$AE$6:$AJ$85,5,FALSE),"")</f>
        <v/>
      </c>
      <c r="J532" s="45" t="str">
        <f>IFERROR(VLOOKUP(B532,'Pre-Summary'!$AE$6:$AJ$85,6, FALSE),"")</f>
        <v/>
      </c>
      <c r="K532" s="45" t="str">
        <f>IFERROR(VLOOKUP(B532,'Pre-Summary'!$DE$6:$DG$61,3,FALSE),"")</f>
        <v/>
      </c>
      <c r="L532" s="45" t="str">
        <f>IFERROR(VLOOKUP(B532,'Pre-Summary'!$CU$6:$CW$36,3,FALSE),"")</f>
        <v/>
      </c>
      <c r="M532" s="45" t="str">
        <f>IFERROR(VLOOKUP(B532,'Pre-Summary'!$BW$6:$BY$58,2,FALSE),"")</f>
        <v/>
      </c>
      <c r="N532" s="45" t="str">
        <f>IFERROR(VLOOKUP(B532,'Pre-Summary'!$CD$6:$CF$64,2,FALSE),"")</f>
        <v/>
      </c>
      <c r="O532" s="99">
        <f>IFERROR(VLOOKUP(B532,'Pre-Summary'!$BO$6:$BQ$48,3, FALSE),O531)</f>
        <v>1.0915248032216731</v>
      </c>
      <c r="P532" s="99">
        <f>IFERROR(VLOOKUP(B532,'Pre-Summary'!$BS$6:$BU$35,3,FALSE),P531)</f>
        <v>0.25</v>
      </c>
      <c r="Q532" s="54">
        <f t="shared" si="24"/>
        <v>4.3660992128866924</v>
      </c>
      <c r="R532" s="53">
        <f>IFERROR(VLOOKUP(B532,'Pre-Summary'!$BG$6:$BM$44,7,FALSE),R533)</f>
        <v>7.5915763918363535E-2</v>
      </c>
      <c r="S532" s="53">
        <f>IFERROR(VLOOKUP(B532,'Pre-Summary'!$BG$6:$BM$44,6,FALSE),S533)</f>
        <v>5.2897473997019086E-2</v>
      </c>
      <c r="T532" s="45" t="str">
        <f>IFERROR(VLOOKUP(B532,'Pre-Summary'!$Y$6:$AC$83, 3,FALSE),"")</f>
        <v/>
      </c>
      <c r="U532" s="45" t="str">
        <f>IFERROR(VLOOKUP(B532,'Pre-Summary'!$Y$6:$AC$83, 4,FALSE),"")</f>
        <v/>
      </c>
      <c r="V532" t="str">
        <f>IFERROR(VLOOKUP(B532,'Pre-Summary'!$Y$6:$AC$83, 5,FALSE),"")</f>
        <v/>
      </c>
      <c r="W532" s="45" t="str">
        <f>IFERROR(VLOOKUP(B532,'Pre-Summary'!$Y$6:$AD$83,6,FALSE),"")</f>
        <v/>
      </c>
      <c r="X532" t="str">
        <f>IFERROR(VLOOKUP('Pre-Summary'!$DB$6:$DD$63,3,FALSE),"")</f>
        <v/>
      </c>
      <c r="Y532" t="str">
        <f>IFERROR(VLOOKUP(B532,'Pre-Summary'!$CR$6:$CT$36,3,FALSE),"")</f>
        <v/>
      </c>
      <c r="Z532" s="45" t="str">
        <f>IFERROR(VLOOKUP(B532,'Pre-Summary'!$BZ$6:$CB$63,2,FALSE),"")</f>
        <v/>
      </c>
      <c r="AA532" s="45" t="str">
        <f>IFERROR(VLOOKUP(B532,'Pre-Summary'!$CG$6:$CI$70,2,FALSE),"")</f>
        <v/>
      </c>
      <c r="AB532" s="99">
        <f>IFERROR(VLOOKUP(B532,'Pre-Summary'!$A$6:$P$178,9,FALSE),AB533)</f>
        <v>0.87858471235308822</v>
      </c>
      <c r="AC532" s="10">
        <f>IFERROR(VLOOKUP(Summary!B532,'Pre-Summary'!$A$6:$P$184,5, FALSE)/100,AC533)</f>
        <v>0.67272566666666667</v>
      </c>
      <c r="AD532" s="10">
        <f>IFERROR(VLOOKUP(Summary!B532,'Pre-Summary'!$A$6:$P$184,3, FALSE)/100,AD533)</f>
        <v>8.9092333333333329E-2</v>
      </c>
      <c r="AE532" s="10">
        <f>IFERROR(VLOOKUP(Summary!B532,'Pre-Summary'!$A$6:$P$184,7, FALSE)/100,AE533)</f>
        <v>0.23818233333333336</v>
      </c>
      <c r="AF532" s="99">
        <f t="shared" si="25"/>
        <v>7.827516205453211E-2</v>
      </c>
      <c r="AG532" s="99">
        <f t="shared" si="26"/>
        <v>0.20926335681925406</v>
      </c>
      <c r="AH532" s="10" t="str">
        <f>IFERROR(VLOOKUP(B532,'Pre-Summary'!$AZ$6:$BE$65,3,FALSE),"")</f>
        <v/>
      </c>
      <c r="AI532" s="10" t="str">
        <f>IFERROR(VLOOKUP(B532,'Pre-Summary'!$AZ$6:$BE$65,5,FALSE),"")</f>
        <v/>
      </c>
      <c r="AJ532" s="10" t="str">
        <f>IFERROR(VLOOKUP(B532,'Pre-Summary'!$AZ$6:$BE$65,4,FALSE),"")</f>
        <v/>
      </c>
      <c r="AK532" s="10" t="str">
        <f>IFERROR(VLOOKUP(B532,'Pre-Summary'!$AZ$6:$BE$65,6,FALSE),"")</f>
        <v/>
      </c>
      <c r="AL532" s="10" t="str">
        <f>IFERROR(VLOOKUP(B532,'Pre-Summary'!$BG$6:$BL$44,3,FALSE),"")</f>
        <v/>
      </c>
      <c r="AM532" s="10" t="str">
        <f>IFERROR(VLOOKUP(B532,'Pre-Summary'!$BG$6:$BL$44,4,FALSE),"")</f>
        <v/>
      </c>
    </row>
    <row r="533" spans="2:39" ht="15" customHeight="1" x14ac:dyDescent="0.3">
      <c r="B533">
        <v>53</v>
      </c>
      <c r="C533" t="str">
        <f>IFERROR(VLOOKUP(B533,'Pre-Summary'!$DI$6:$DM$23,4,FALSE),"")</f>
        <v/>
      </c>
      <c r="D533" s="10" t="str">
        <f>IFERROR(VLOOKUP(B533,'Pre-Summary'!$AT$6:$AX$14,5,FALSE),D532)</f>
        <v>DSMZ v2: Dropped Na-Ac out of DSMZ 120 media</v>
      </c>
      <c r="E533" s="10" t="str">
        <f>IFERROR(VLOOKUP(B533,'Pre-Summary'!$AT$6:$AX$15,4,FALSE),"")</f>
        <v/>
      </c>
      <c r="F533">
        <f>IFERROR(VLOOKUP(B533,'Pre-Summary'!$AL$6:$AQ$13,6,FALSE),F532)</f>
        <v>5.9405263157894746E-2</v>
      </c>
      <c r="G533" t="str">
        <f>IFERROR(VLOOKUP(B533,'Pre-Summary'!$AE$6:$AJ$85,3,FALSE),"")</f>
        <v/>
      </c>
      <c r="H533" t="str">
        <f>IFERROR(VLOOKUP(B533,'Pre-Summary'!$AE$6:$AJ$85,4,FALSE),"")</f>
        <v/>
      </c>
      <c r="I533" t="str">
        <f>IFERROR(VLOOKUP(B533,'Pre-Summary'!$AE$6:$AJ$85,5,FALSE),"")</f>
        <v/>
      </c>
      <c r="J533" s="45" t="str">
        <f>IFERROR(VLOOKUP(B533,'Pre-Summary'!$AE$6:$AJ$85,6, FALSE),"")</f>
        <v/>
      </c>
      <c r="K533" s="45" t="str">
        <f>IFERROR(VLOOKUP(B533,'Pre-Summary'!$DE$6:$DG$61,3,FALSE),"")</f>
        <v/>
      </c>
      <c r="L533" s="45" t="str">
        <f>IFERROR(VLOOKUP(B533,'Pre-Summary'!$CU$6:$CW$36,3,FALSE),"")</f>
        <v/>
      </c>
      <c r="M533" s="45" t="str">
        <f>IFERROR(VLOOKUP(B533,'Pre-Summary'!$BW$6:$BY$58,2,FALSE),"")</f>
        <v/>
      </c>
      <c r="N533" s="45" t="str">
        <f>IFERROR(VLOOKUP(B533,'Pre-Summary'!$CD$6:$CF$64,2,FALSE),"")</f>
        <v/>
      </c>
      <c r="O533" s="99">
        <f>IFERROR(VLOOKUP(B533,'Pre-Summary'!$BO$6:$BQ$48,3, FALSE),O532)</f>
        <v>1.0915248032216731</v>
      </c>
      <c r="P533" s="99">
        <f>IFERROR(VLOOKUP(B533,'Pre-Summary'!$BS$6:$BU$35,3,FALSE),P532)</f>
        <v>0.25</v>
      </c>
      <c r="Q533" s="54">
        <f t="shared" si="24"/>
        <v>4.3660992128866924</v>
      </c>
      <c r="R533" s="53">
        <f>IFERROR(VLOOKUP(B533,'Pre-Summary'!$BG$6:$BM$44,7,FALSE),R534)</f>
        <v>7.5915763918363535E-2</v>
      </c>
      <c r="S533" s="53">
        <f>IFERROR(VLOOKUP(B533,'Pre-Summary'!$BG$6:$BM$44,6,FALSE),S534)</f>
        <v>5.2897473997019086E-2</v>
      </c>
      <c r="T533" s="45" t="str">
        <f>IFERROR(VLOOKUP(B533,'Pre-Summary'!$Y$6:$AC$83, 3,FALSE),"")</f>
        <v/>
      </c>
      <c r="U533" s="45" t="str">
        <f>IFERROR(VLOOKUP(B533,'Pre-Summary'!$Y$6:$AC$83, 4,FALSE),"")</f>
        <v/>
      </c>
      <c r="V533" t="str">
        <f>IFERROR(VLOOKUP(B533,'Pre-Summary'!$Y$6:$AC$83, 5,FALSE),"")</f>
        <v/>
      </c>
      <c r="W533" s="45" t="str">
        <f>IFERROR(VLOOKUP(B533,'Pre-Summary'!$Y$6:$AD$83,6,FALSE),"")</f>
        <v/>
      </c>
      <c r="X533" t="str">
        <f>IFERROR(VLOOKUP('Pre-Summary'!$DB$6:$DD$63,3,FALSE),"")</f>
        <v/>
      </c>
      <c r="Y533" t="str">
        <f>IFERROR(VLOOKUP(B533,'Pre-Summary'!$CR$6:$CT$36,3,FALSE),"")</f>
        <v/>
      </c>
      <c r="Z533" s="45" t="str">
        <f>IFERROR(VLOOKUP(B533,'Pre-Summary'!$BZ$6:$CB$63,2,FALSE),"")</f>
        <v/>
      </c>
      <c r="AA533" s="45" t="str">
        <f>IFERROR(VLOOKUP(B533,'Pre-Summary'!$CG$6:$CI$70,2,FALSE),"")</f>
        <v/>
      </c>
      <c r="AB533" s="99">
        <f>IFERROR(VLOOKUP(B533,'Pre-Summary'!$A$6:$P$178,9,FALSE),AB534)</f>
        <v>0.87858471235308822</v>
      </c>
      <c r="AC533" s="10">
        <f>IFERROR(VLOOKUP(Summary!B533,'Pre-Summary'!$A$6:$P$184,5, FALSE)/100,AC534)</f>
        <v>0.67272566666666667</v>
      </c>
      <c r="AD533" s="10">
        <f>IFERROR(VLOOKUP(Summary!B533,'Pre-Summary'!$A$6:$P$184,3, FALSE)/100,AD534)</f>
        <v>8.9092333333333329E-2</v>
      </c>
      <c r="AE533" s="10">
        <f>IFERROR(VLOOKUP(Summary!B533,'Pre-Summary'!$A$6:$P$184,7, FALSE)/100,AE534)</f>
        <v>0.23818233333333336</v>
      </c>
      <c r="AF533" s="99">
        <f t="shared" si="25"/>
        <v>7.827516205453211E-2</v>
      </c>
      <c r="AG533" s="99">
        <f t="shared" si="26"/>
        <v>0.20926335681925406</v>
      </c>
      <c r="AH533" s="10" t="str">
        <f>IFERROR(VLOOKUP(B533,'Pre-Summary'!$AZ$6:$BE$65,3,FALSE),"")</f>
        <v/>
      </c>
      <c r="AI533" s="10" t="str">
        <f>IFERROR(VLOOKUP(B533,'Pre-Summary'!$AZ$6:$BE$65,5,FALSE),"")</f>
        <v/>
      </c>
      <c r="AJ533" s="10" t="str">
        <f>IFERROR(VLOOKUP(B533,'Pre-Summary'!$AZ$6:$BE$65,4,FALSE),"")</f>
        <v/>
      </c>
      <c r="AK533" s="10" t="str">
        <f>IFERROR(VLOOKUP(B533,'Pre-Summary'!$AZ$6:$BE$65,6,FALSE),"")</f>
        <v/>
      </c>
      <c r="AL533" s="10" t="str">
        <f>IFERROR(VLOOKUP(B533,'Pre-Summary'!$BG$6:$BL$44,3,FALSE),"")</f>
        <v/>
      </c>
      <c r="AM533" s="10" t="str">
        <f>IFERROR(VLOOKUP(B533,'Pre-Summary'!$BG$6:$BL$44,4,FALSE),"")</f>
        <v/>
      </c>
    </row>
    <row r="534" spans="2:39" ht="15" customHeight="1" x14ac:dyDescent="0.3">
      <c r="B534">
        <v>53.1</v>
      </c>
      <c r="C534" t="str">
        <f>IFERROR(VLOOKUP(B534,'Pre-Summary'!$DI$6:$DM$23,4,FALSE),"")</f>
        <v/>
      </c>
      <c r="D534" s="10" t="str">
        <f>IFERROR(VLOOKUP(B534,'Pre-Summary'!$AT$6:$AX$14,5,FALSE),D533)</f>
        <v>DSMZ v2: Dropped Na-Ac out of DSMZ 120 media</v>
      </c>
      <c r="E534" s="10" t="str">
        <f>IFERROR(VLOOKUP(B534,'Pre-Summary'!$AT$6:$AX$15,4,FALSE),"")</f>
        <v/>
      </c>
      <c r="F534">
        <f>IFERROR(VLOOKUP(B534,'Pre-Summary'!$AL$6:$AQ$13,6,FALSE),F533)</f>
        <v>5.9405263157894746E-2</v>
      </c>
      <c r="G534" t="str">
        <f>IFERROR(VLOOKUP(B534,'Pre-Summary'!$AE$6:$AJ$85,3,FALSE),"")</f>
        <v/>
      </c>
      <c r="H534" t="str">
        <f>IFERROR(VLOOKUP(B534,'Pre-Summary'!$AE$6:$AJ$85,4,FALSE),"")</f>
        <v/>
      </c>
      <c r="I534" t="str">
        <f>IFERROR(VLOOKUP(B534,'Pre-Summary'!$AE$6:$AJ$85,5,FALSE),"")</f>
        <v/>
      </c>
      <c r="J534" s="45" t="str">
        <f>IFERROR(VLOOKUP(B534,'Pre-Summary'!$AE$6:$AJ$85,6, FALSE),"")</f>
        <v/>
      </c>
      <c r="K534" s="45" t="str">
        <f>IFERROR(VLOOKUP(B534,'Pre-Summary'!$DE$6:$DG$61,3,FALSE),"")</f>
        <v/>
      </c>
      <c r="L534" s="45" t="str">
        <f>IFERROR(VLOOKUP(B534,'Pre-Summary'!$CU$6:$CW$36,3,FALSE),"")</f>
        <v/>
      </c>
      <c r="M534" s="45" t="str">
        <f>IFERROR(VLOOKUP(B534,'Pre-Summary'!$BW$6:$BY$58,2,FALSE),"")</f>
        <v/>
      </c>
      <c r="N534" s="45" t="str">
        <f>IFERROR(VLOOKUP(B534,'Pre-Summary'!$CD$6:$CF$64,2,FALSE),"")</f>
        <v/>
      </c>
      <c r="O534" s="99">
        <f>IFERROR(VLOOKUP(B534,'Pre-Summary'!$BO$6:$BQ$48,3, FALSE),O533)</f>
        <v>1.0915248032216731</v>
      </c>
      <c r="P534" s="99">
        <f>IFERROR(VLOOKUP(B534,'Pre-Summary'!$BS$6:$BU$35,3,FALSE),P533)</f>
        <v>0.25</v>
      </c>
      <c r="Q534" s="54">
        <f t="shared" si="24"/>
        <v>4.3660992128866924</v>
      </c>
      <c r="R534" s="53">
        <f>IFERROR(VLOOKUP(B534,'Pre-Summary'!$BG$6:$BM$44,7,FALSE),R535)</f>
        <v>7.5915763918363535E-2</v>
      </c>
      <c r="S534" s="53">
        <f>IFERROR(VLOOKUP(B534,'Pre-Summary'!$BG$6:$BM$44,6,FALSE),S535)</f>
        <v>5.2897473997019086E-2</v>
      </c>
      <c r="T534" s="45" t="str">
        <f>IFERROR(VLOOKUP(B534,'Pre-Summary'!$Y$6:$AC$83, 3,FALSE),"")</f>
        <v/>
      </c>
      <c r="U534" s="45" t="str">
        <f>IFERROR(VLOOKUP(B534,'Pre-Summary'!$Y$6:$AC$83, 4,FALSE),"")</f>
        <v/>
      </c>
      <c r="V534" t="str">
        <f>IFERROR(VLOOKUP(B534,'Pre-Summary'!$Y$6:$AC$83, 5,FALSE),"")</f>
        <v/>
      </c>
      <c r="W534" s="45" t="str">
        <f>IFERROR(VLOOKUP(B534,'Pre-Summary'!$Y$6:$AD$83,6,FALSE),"")</f>
        <v/>
      </c>
      <c r="X534" t="str">
        <f>IFERROR(VLOOKUP('Pre-Summary'!$DB$6:$DD$63,3,FALSE),"")</f>
        <v/>
      </c>
      <c r="Y534" t="str">
        <f>IFERROR(VLOOKUP(B534,'Pre-Summary'!$CR$6:$CT$36,3,FALSE),"")</f>
        <v/>
      </c>
      <c r="Z534" s="45" t="str">
        <f>IFERROR(VLOOKUP(B534,'Pre-Summary'!$BZ$6:$CB$63,2,FALSE),"")</f>
        <v/>
      </c>
      <c r="AA534" s="45" t="str">
        <f>IFERROR(VLOOKUP(B534,'Pre-Summary'!$CG$6:$CI$70,2,FALSE),"")</f>
        <v/>
      </c>
      <c r="AB534" s="99">
        <f>IFERROR(VLOOKUP(B534,'Pre-Summary'!$A$6:$P$178,9,FALSE),AB535)</f>
        <v>0.87858471235308822</v>
      </c>
      <c r="AC534" s="10">
        <f>IFERROR(VLOOKUP(Summary!B534,'Pre-Summary'!$A$6:$P$184,5, FALSE)/100,AC535)</f>
        <v>0.67272566666666667</v>
      </c>
      <c r="AD534" s="10">
        <f>IFERROR(VLOOKUP(Summary!B534,'Pre-Summary'!$A$6:$P$184,3, FALSE)/100,AD535)</f>
        <v>8.9092333333333329E-2</v>
      </c>
      <c r="AE534" s="10">
        <f>IFERROR(VLOOKUP(Summary!B534,'Pre-Summary'!$A$6:$P$184,7, FALSE)/100,AE535)</f>
        <v>0.23818233333333336</v>
      </c>
      <c r="AF534" s="99">
        <f t="shared" si="25"/>
        <v>7.827516205453211E-2</v>
      </c>
      <c r="AG534" s="99">
        <f t="shared" si="26"/>
        <v>0.20926335681925406</v>
      </c>
      <c r="AH534" s="10" t="str">
        <f>IFERROR(VLOOKUP(B534,'Pre-Summary'!$AZ$6:$BE$65,3,FALSE),"")</f>
        <v/>
      </c>
      <c r="AI534" s="10" t="str">
        <f>IFERROR(VLOOKUP(B534,'Pre-Summary'!$AZ$6:$BE$65,5,FALSE),"")</f>
        <v/>
      </c>
      <c r="AJ534" s="10" t="str">
        <f>IFERROR(VLOOKUP(B534,'Pre-Summary'!$AZ$6:$BE$65,4,FALSE),"")</f>
        <v/>
      </c>
      <c r="AK534" s="10" t="str">
        <f>IFERROR(VLOOKUP(B534,'Pre-Summary'!$AZ$6:$BE$65,6,FALSE),"")</f>
        <v/>
      </c>
      <c r="AL534" s="10" t="str">
        <f>IFERROR(VLOOKUP(B534,'Pre-Summary'!$BG$6:$BL$44,3,FALSE),"")</f>
        <v/>
      </c>
      <c r="AM534" s="10" t="str">
        <f>IFERROR(VLOOKUP(B534,'Pre-Summary'!$BG$6:$BL$44,4,FALSE),"")</f>
        <v/>
      </c>
    </row>
    <row r="535" spans="2:39" ht="15" customHeight="1" x14ac:dyDescent="0.3">
      <c r="B535">
        <v>53.2</v>
      </c>
      <c r="C535" t="str">
        <f>IFERROR(VLOOKUP(B535,'Pre-Summary'!$DI$6:$DM$23,4,FALSE),"")</f>
        <v/>
      </c>
      <c r="D535" s="10" t="str">
        <f>IFERROR(VLOOKUP(B535,'Pre-Summary'!$AT$6:$AX$14,5,FALSE),D534)</f>
        <v>DSMZ v2: Dropped Na-Ac out of DSMZ 120 media</v>
      </c>
      <c r="E535" s="10" t="str">
        <f>IFERROR(VLOOKUP(B535,'Pre-Summary'!$AT$6:$AX$15,4,FALSE),"")</f>
        <v/>
      </c>
      <c r="F535">
        <f>IFERROR(VLOOKUP(B535,'Pre-Summary'!$AL$6:$AQ$13,6,FALSE),F534)</f>
        <v>5.9405263157894746E-2</v>
      </c>
      <c r="G535" t="str">
        <f>IFERROR(VLOOKUP(B535,'Pre-Summary'!$AE$6:$AJ$85,3,FALSE),"")</f>
        <v/>
      </c>
      <c r="H535" t="str">
        <f>IFERROR(VLOOKUP(B535,'Pre-Summary'!$AE$6:$AJ$85,4,FALSE),"")</f>
        <v/>
      </c>
      <c r="I535" t="str">
        <f>IFERROR(VLOOKUP(B535,'Pre-Summary'!$AE$6:$AJ$85,5,FALSE),"")</f>
        <v/>
      </c>
      <c r="J535" s="45" t="str">
        <f>IFERROR(VLOOKUP(B535,'Pre-Summary'!$AE$6:$AJ$85,6, FALSE),"")</f>
        <v/>
      </c>
      <c r="K535" s="45" t="str">
        <f>IFERROR(VLOOKUP(B535,'Pre-Summary'!$DE$6:$DG$61,3,FALSE),"")</f>
        <v/>
      </c>
      <c r="L535" s="45" t="str">
        <f>IFERROR(VLOOKUP(B535,'Pre-Summary'!$CU$6:$CW$36,3,FALSE),"")</f>
        <v/>
      </c>
      <c r="M535" s="45" t="str">
        <f>IFERROR(VLOOKUP(B535,'Pre-Summary'!$BW$6:$BY$58,2,FALSE),"")</f>
        <v/>
      </c>
      <c r="N535" s="45" t="str">
        <f>IFERROR(VLOOKUP(B535,'Pre-Summary'!$CD$6:$CF$64,2,FALSE),"")</f>
        <v/>
      </c>
      <c r="O535" s="99">
        <f>IFERROR(VLOOKUP(B535,'Pre-Summary'!$BO$6:$BQ$48,3, FALSE),O534)</f>
        <v>1.0915248032216731</v>
      </c>
      <c r="P535" s="99">
        <f>IFERROR(VLOOKUP(B535,'Pre-Summary'!$BS$6:$BU$35,3,FALSE),P534)</f>
        <v>0.25</v>
      </c>
      <c r="Q535" s="54">
        <f t="shared" si="24"/>
        <v>4.3660992128866924</v>
      </c>
      <c r="R535" s="53">
        <f>IFERROR(VLOOKUP(B535,'Pre-Summary'!$BG$6:$BM$44,7,FALSE),R536)</f>
        <v>7.5915763918363535E-2</v>
      </c>
      <c r="S535" s="53">
        <f>IFERROR(VLOOKUP(B535,'Pre-Summary'!$BG$6:$BM$44,6,FALSE),S536)</f>
        <v>5.2897473997019086E-2</v>
      </c>
      <c r="T535" s="45" t="str">
        <f>IFERROR(VLOOKUP(B535,'Pre-Summary'!$Y$6:$AC$83, 3,FALSE),"")</f>
        <v/>
      </c>
      <c r="U535" s="45" t="str">
        <f>IFERROR(VLOOKUP(B535,'Pre-Summary'!$Y$6:$AC$83, 4,FALSE),"")</f>
        <v/>
      </c>
      <c r="V535" t="str">
        <f>IFERROR(VLOOKUP(B535,'Pre-Summary'!$Y$6:$AC$83, 5,FALSE),"")</f>
        <v/>
      </c>
      <c r="W535" s="45" t="str">
        <f>IFERROR(VLOOKUP(B535,'Pre-Summary'!$Y$6:$AD$83,6,FALSE),"")</f>
        <v/>
      </c>
      <c r="X535" t="str">
        <f>IFERROR(VLOOKUP('Pre-Summary'!$DB$6:$DD$63,3,FALSE),"")</f>
        <v/>
      </c>
      <c r="Y535" t="str">
        <f>IFERROR(VLOOKUP(B535,'Pre-Summary'!$CR$6:$CT$36,3,FALSE),"")</f>
        <v/>
      </c>
      <c r="Z535" s="45" t="str">
        <f>IFERROR(VLOOKUP(B535,'Pre-Summary'!$BZ$6:$CB$63,2,FALSE),"")</f>
        <v/>
      </c>
      <c r="AA535" s="45" t="str">
        <f>IFERROR(VLOOKUP(B535,'Pre-Summary'!$CG$6:$CI$70,2,FALSE),"")</f>
        <v/>
      </c>
      <c r="AB535" s="99">
        <f>IFERROR(VLOOKUP(B535,'Pre-Summary'!$A$6:$P$178,9,FALSE),AB536)</f>
        <v>0.87858471235308822</v>
      </c>
      <c r="AC535" s="10">
        <f>IFERROR(VLOOKUP(Summary!B535,'Pre-Summary'!$A$6:$P$184,5, FALSE)/100,AC536)</f>
        <v>0.67272566666666667</v>
      </c>
      <c r="AD535" s="10">
        <f>IFERROR(VLOOKUP(Summary!B535,'Pre-Summary'!$A$6:$P$184,3, FALSE)/100,AD536)</f>
        <v>8.9092333333333329E-2</v>
      </c>
      <c r="AE535" s="10">
        <f>IFERROR(VLOOKUP(Summary!B535,'Pre-Summary'!$A$6:$P$184,7, FALSE)/100,AE536)</f>
        <v>0.23818233333333336</v>
      </c>
      <c r="AF535" s="99">
        <f t="shared" si="25"/>
        <v>7.827516205453211E-2</v>
      </c>
      <c r="AG535" s="99">
        <f t="shared" si="26"/>
        <v>0.20926335681925406</v>
      </c>
      <c r="AH535" s="10" t="str">
        <f>IFERROR(VLOOKUP(B535,'Pre-Summary'!$AZ$6:$BE$65,3,FALSE),"")</f>
        <v/>
      </c>
      <c r="AI535" s="10" t="str">
        <f>IFERROR(VLOOKUP(B535,'Pre-Summary'!$AZ$6:$BE$65,5,FALSE),"")</f>
        <v/>
      </c>
      <c r="AJ535" s="10" t="str">
        <f>IFERROR(VLOOKUP(B535,'Pre-Summary'!$AZ$6:$BE$65,4,FALSE),"")</f>
        <v/>
      </c>
      <c r="AK535" s="10" t="str">
        <f>IFERROR(VLOOKUP(B535,'Pre-Summary'!$AZ$6:$BE$65,6,FALSE),"")</f>
        <v/>
      </c>
      <c r="AL535" s="10" t="str">
        <f>IFERROR(VLOOKUP(B535,'Pre-Summary'!$BG$6:$BL$44,3,FALSE),"")</f>
        <v/>
      </c>
      <c r="AM535" s="10" t="str">
        <f>IFERROR(VLOOKUP(B535,'Pre-Summary'!$BG$6:$BL$44,4,FALSE),"")</f>
        <v/>
      </c>
    </row>
    <row r="536" spans="2:39" ht="15" customHeight="1" x14ac:dyDescent="0.3">
      <c r="B536">
        <v>53.3</v>
      </c>
      <c r="C536" t="str">
        <f>IFERROR(VLOOKUP(B536,'Pre-Summary'!$DI$6:$DM$23,4,FALSE),"")</f>
        <v/>
      </c>
      <c r="D536" s="10" t="str">
        <f>IFERROR(VLOOKUP(B536,'Pre-Summary'!$AT$6:$AX$14,5,FALSE),D535)</f>
        <v>DSMZ v2: Dropped Na-Ac out of DSMZ 120 media</v>
      </c>
      <c r="E536" s="10" t="str">
        <f>IFERROR(VLOOKUP(B536,'Pre-Summary'!$AT$6:$AX$15,4,FALSE),"")</f>
        <v/>
      </c>
      <c r="F536">
        <f>IFERROR(VLOOKUP(B536,'Pre-Summary'!$AL$6:$AQ$13,6,FALSE),F535)</f>
        <v>5.9405263157894746E-2</v>
      </c>
      <c r="G536" t="str">
        <f>IFERROR(VLOOKUP(B536,'Pre-Summary'!$AE$6:$AJ$85,3,FALSE),"")</f>
        <v/>
      </c>
      <c r="H536" t="str">
        <f>IFERROR(VLOOKUP(B536,'Pre-Summary'!$AE$6:$AJ$85,4,FALSE),"")</f>
        <v/>
      </c>
      <c r="I536" t="str">
        <f>IFERROR(VLOOKUP(B536,'Pre-Summary'!$AE$6:$AJ$85,5,FALSE),"")</f>
        <v/>
      </c>
      <c r="J536" s="45" t="str">
        <f>IFERROR(VLOOKUP(B536,'Pre-Summary'!$AE$6:$AJ$85,6, FALSE),"")</f>
        <v/>
      </c>
      <c r="K536" s="45" t="str">
        <f>IFERROR(VLOOKUP(B536,'Pre-Summary'!$DE$6:$DG$61,3,FALSE),"")</f>
        <v/>
      </c>
      <c r="L536" s="45" t="str">
        <f>IFERROR(VLOOKUP(B536,'Pre-Summary'!$CU$6:$CW$36,3,FALSE),"")</f>
        <v/>
      </c>
      <c r="M536" s="45" t="str">
        <f>IFERROR(VLOOKUP(B536,'Pre-Summary'!$BW$6:$BY$58,2,FALSE),"")</f>
        <v/>
      </c>
      <c r="N536" s="45" t="str">
        <f>IFERROR(VLOOKUP(B536,'Pre-Summary'!$CD$6:$CF$64,2,FALSE),"")</f>
        <v/>
      </c>
      <c r="O536" s="99">
        <f>IFERROR(VLOOKUP(B536,'Pre-Summary'!$BO$6:$BQ$48,3, FALSE),O535)</f>
        <v>1.0915248032216731</v>
      </c>
      <c r="P536" s="99">
        <f>IFERROR(VLOOKUP(B536,'Pre-Summary'!$BS$6:$BU$35,3,FALSE),P535)</f>
        <v>0.25</v>
      </c>
      <c r="Q536" s="54">
        <f t="shared" si="24"/>
        <v>4.3660992128866924</v>
      </c>
      <c r="R536" s="53">
        <f>IFERROR(VLOOKUP(B536,'Pre-Summary'!$BG$6:$BM$44,7,FALSE),R537)</f>
        <v>7.5915763918363535E-2</v>
      </c>
      <c r="S536" s="53">
        <f>IFERROR(VLOOKUP(B536,'Pre-Summary'!$BG$6:$BM$44,6,FALSE),S537)</f>
        <v>5.2897473997019086E-2</v>
      </c>
      <c r="T536" s="45" t="str">
        <f>IFERROR(VLOOKUP(B536,'Pre-Summary'!$Y$6:$AC$83, 3,FALSE),"")</f>
        <v/>
      </c>
      <c r="U536" s="45" t="str">
        <f>IFERROR(VLOOKUP(B536,'Pre-Summary'!$Y$6:$AC$83, 4,FALSE),"")</f>
        <v/>
      </c>
      <c r="V536" t="str">
        <f>IFERROR(VLOOKUP(B536,'Pre-Summary'!$Y$6:$AC$83, 5,FALSE),"")</f>
        <v/>
      </c>
      <c r="W536" s="45" t="str">
        <f>IFERROR(VLOOKUP(B536,'Pre-Summary'!$Y$6:$AD$83,6,FALSE),"")</f>
        <v/>
      </c>
      <c r="X536" t="str">
        <f>IFERROR(VLOOKUP('Pre-Summary'!$DB$6:$DD$63,3,FALSE),"")</f>
        <v/>
      </c>
      <c r="Y536" t="str">
        <f>IFERROR(VLOOKUP(B536,'Pre-Summary'!$CR$6:$CT$36,3,FALSE),"")</f>
        <v/>
      </c>
      <c r="Z536" s="45" t="str">
        <f>IFERROR(VLOOKUP(B536,'Pre-Summary'!$BZ$6:$CB$63,2,FALSE),"")</f>
        <v/>
      </c>
      <c r="AA536" s="45" t="str">
        <f>IFERROR(VLOOKUP(B536,'Pre-Summary'!$CG$6:$CI$70,2,FALSE),"")</f>
        <v/>
      </c>
      <c r="AB536" s="99">
        <f>IFERROR(VLOOKUP(B536,'Pre-Summary'!$A$6:$P$178,9,FALSE),AB537)</f>
        <v>0.87858471235308822</v>
      </c>
      <c r="AC536" s="10">
        <f>IFERROR(VLOOKUP(Summary!B536,'Pre-Summary'!$A$6:$P$184,5, FALSE)/100,AC537)</f>
        <v>0.67272566666666667</v>
      </c>
      <c r="AD536" s="10">
        <f>IFERROR(VLOOKUP(Summary!B536,'Pre-Summary'!$A$6:$P$184,3, FALSE)/100,AD537)</f>
        <v>8.9092333333333329E-2</v>
      </c>
      <c r="AE536" s="10">
        <f>IFERROR(VLOOKUP(Summary!B536,'Pre-Summary'!$A$6:$P$184,7, FALSE)/100,AE537)</f>
        <v>0.23818233333333336</v>
      </c>
      <c r="AF536" s="99">
        <f t="shared" si="25"/>
        <v>7.827516205453211E-2</v>
      </c>
      <c r="AG536" s="99">
        <f t="shared" si="26"/>
        <v>0.20926335681925406</v>
      </c>
      <c r="AH536" s="10" t="str">
        <f>IFERROR(VLOOKUP(B536,'Pre-Summary'!$AZ$6:$BE$65,3,FALSE),"")</f>
        <v/>
      </c>
      <c r="AI536" s="10" t="str">
        <f>IFERROR(VLOOKUP(B536,'Pre-Summary'!$AZ$6:$BE$65,5,FALSE),"")</f>
        <v/>
      </c>
      <c r="AJ536" s="10" t="str">
        <f>IFERROR(VLOOKUP(B536,'Pre-Summary'!$AZ$6:$BE$65,4,FALSE),"")</f>
        <v/>
      </c>
      <c r="AK536" s="10" t="str">
        <f>IFERROR(VLOOKUP(B536,'Pre-Summary'!$AZ$6:$BE$65,6,FALSE),"")</f>
        <v/>
      </c>
      <c r="AL536" s="10" t="str">
        <f>IFERROR(VLOOKUP(B536,'Pre-Summary'!$BG$6:$BL$44,3,FALSE),"")</f>
        <v/>
      </c>
      <c r="AM536" s="10" t="str">
        <f>IFERROR(VLOOKUP(B536,'Pre-Summary'!$BG$6:$BL$44,4,FALSE),"")</f>
        <v/>
      </c>
    </row>
    <row r="537" spans="2:39" ht="15" customHeight="1" x14ac:dyDescent="0.3">
      <c r="B537">
        <v>53.4</v>
      </c>
      <c r="C537" t="str">
        <f>IFERROR(VLOOKUP(B537,'Pre-Summary'!$DI$6:$DM$23,4,FALSE),"")</f>
        <v/>
      </c>
      <c r="D537" s="10" t="str">
        <f>IFERROR(VLOOKUP(B537,'Pre-Summary'!$AT$6:$AX$14,5,FALSE),D536)</f>
        <v>DSMZ v2: Dropped Na-Ac out of DSMZ 120 media</v>
      </c>
      <c r="E537" s="10" t="str">
        <f>IFERROR(VLOOKUP(B537,'Pre-Summary'!$AT$6:$AX$15,4,FALSE),"")</f>
        <v/>
      </c>
      <c r="F537">
        <f>IFERROR(VLOOKUP(B537,'Pre-Summary'!$AL$6:$AQ$13,6,FALSE),F536)</f>
        <v>5.9405263157894746E-2</v>
      </c>
      <c r="G537" t="str">
        <f>IFERROR(VLOOKUP(B537,'Pre-Summary'!$AE$6:$AJ$85,3,FALSE),"")</f>
        <v/>
      </c>
      <c r="H537" t="str">
        <f>IFERROR(VLOOKUP(B537,'Pre-Summary'!$AE$6:$AJ$85,4,FALSE),"")</f>
        <v/>
      </c>
      <c r="I537" t="str">
        <f>IFERROR(VLOOKUP(B537,'Pre-Summary'!$AE$6:$AJ$85,5,FALSE),"")</f>
        <v/>
      </c>
      <c r="J537" s="45" t="str">
        <f>IFERROR(VLOOKUP(B537,'Pre-Summary'!$AE$6:$AJ$85,6, FALSE),"")</f>
        <v/>
      </c>
      <c r="K537" s="45" t="str">
        <f>IFERROR(VLOOKUP(B537,'Pre-Summary'!$DE$6:$DG$61,3,FALSE),"")</f>
        <v/>
      </c>
      <c r="L537" s="45" t="str">
        <f>IFERROR(VLOOKUP(B537,'Pre-Summary'!$CU$6:$CW$36,3,FALSE),"")</f>
        <v/>
      </c>
      <c r="M537" s="45" t="str">
        <f>IFERROR(VLOOKUP(B537,'Pre-Summary'!$BW$6:$BY$58,2,FALSE),"")</f>
        <v/>
      </c>
      <c r="N537" s="45" t="str">
        <f>IFERROR(VLOOKUP(B537,'Pre-Summary'!$CD$6:$CF$64,2,FALSE),"")</f>
        <v/>
      </c>
      <c r="O537" s="99">
        <f>IFERROR(VLOOKUP(B537,'Pre-Summary'!$BO$6:$BQ$48,3, FALSE),O536)</f>
        <v>1.0915248032216731</v>
      </c>
      <c r="P537" s="99">
        <f>IFERROR(VLOOKUP(B537,'Pre-Summary'!$BS$6:$BU$35,3,FALSE),P536)</f>
        <v>0.25</v>
      </c>
      <c r="Q537" s="54">
        <f t="shared" si="24"/>
        <v>4.3660992128866924</v>
      </c>
      <c r="R537" s="53">
        <f>IFERROR(VLOOKUP(B537,'Pre-Summary'!$BG$6:$BM$44,7,FALSE),R538)</f>
        <v>7.5915763918363535E-2</v>
      </c>
      <c r="S537" s="53">
        <f>IFERROR(VLOOKUP(B537,'Pre-Summary'!$BG$6:$BM$44,6,FALSE),S538)</f>
        <v>5.2897473997019086E-2</v>
      </c>
      <c r="T537" s="45" t="str">
        <f>IFERROR(VLOOKUP(B537,'Pre-Summary'!$Y$6:$AC$83, 3,FALSE),"")</f>
        <v/>
      </c>
      <c r="U537" s="45" t="str">
        <f>IFERROR(VLOOKUP(B537,'Pre-Summary'!$Y$6:$AC$83, 4,FALSE),"")</f>
        <v/>
      </c>
      <c r="V537" t="str">
        <f>IFERROR(VLOOKUP(B537,'Pre-Summary'!$Y$6:$AC$83, 5,FALSE),"")</f>
        <v/>
      </c>
      <c r="W537" s="45" t="str">
        <f>IFERROR(VLOOKUP(B537,'Pre-Summary'!$Y$6:$AD$83,6,FALSE),"")</f>
        <v/>
      </c>
      <c r="X537" t="str">
        <f>IFERROR(VLOOKUP('Pre-Summary'!$DB$6:$DD$63,3,FALSE),"")</f>
        <v/>
      </c>
      <c r="Y537" t="str">
        <f>IFERROR(VLOOKUP(B537,'Pre-Summary'!$CR$6:$CT$36,3,FALSE),"")</f>
        <v/>
      </c>
      <c r="Z537" s="45" t="str">
        <f>IFERROR(VLOOKUP(B537,'Pre-Summary'!$BZ$6:$CB$63,2,FALSE),"")</f>
        <v/>
      </c>
      <c r="AA537" s="45" t="str">
        <f>IFERROR(VLOOKUP(B537,'Pre-Summary'!$CG$6:$CI$70,2,FALSE),"")</f>
        <v/>
      </c>
      <c r="AB537" s="99">
        <f>IFERROR(VLOOKUP(B537,'Pre-Summary'!$A$6:$P$178,9,FALSE),AB538)</f>
        <v>0.87858471235308822</v>
      </c>
      <c r="AC537" s="10">
        <f>IFERROR(VLOOKUP(Summary!B537,'Pre-Summary'!$A$6:$P$184,5, FALSE)/100,AC538)</f>
        <v>0.67272566666666667</v>
      </c>
      <c r="AD537" s="10">
        <f>IFERROR(VLOOKUP(Summary!B537,'Pre-Summary'!$A$6:$P$184,3, FALSE)/100,AD538)</f>
        <v>8.9092333333333329E-2</v>
      </c>
      <c r="AE537" s="10">
        <f>IFERROR(VLOOKUP(Summary!B537,'Pre-Summary'!$A$6:$P$184,7, FALSE)/100,AE538)</f>
        <v>0.23818233333333336</v>
      </c>
      <c r="AF537" s="99">
        <f t="shared" si="25"/>
        <v>7.827516205453211E-2</v>
      </c>
      <c r="AG537" s="99">
        <f t="shared" si="26"/>
        <v>0.20926335681925406</v>
      </c>
      <c r="AH537" s="10" t="str">
        <f>IFERROR(VLOOKUP(B537,'Pre-Summary'!$AZ$6:$BE$65,3,FALSE),"")</f>
        <v/>
      </c>
      <c r="AI537" s="10" t="str">
        <f>IFERROR(VLOOKUP(B537,'Pre-Summary'!$AZ$6:$BE$65,5,FALSE),"")</f>
        <v/>
      </c>
      <c r="AJ537" s="10" t="str">
        <f>IFERROR(VLOOKUP(B537,'Pre-Summary'!$AZ$6:$BE$65,4,FALSE),"")</f>
        <v/>
      </c>
      <c r="AK537" s="10" t="str">
        <f>IFERROR(VLOOKUP(B537,'Pre-Summary'!$AZ$6:$BE$65,6,FALSE),"")</f>
        <v/>
      </c>
      <c r="AL537" s="10" t="str">
        <f>IFERROR(VLOOKUP(B537,'Pre-Summary'!$BG$6:$BL$44,3,FALSE),"")</f>
        <v/>
      </c>
      <c r="AM537" s="10" t="str">
        <f>IFERROR(VLOOKUP(B537,'Pre-Summary'!$BG$6:$BL$44,4,FALSE),"")</f>
        <v/>
      </c>
    </row>
    <row r="538" spans="2:39" ht="15" customHeight="1" x14ac:dyDescent="0.3">
      <c r="B538">
        <v>53.5</v>
      </c>
      <c r="C538" t="str">
        <f>IFERROR(VLOOKUP(B538,'Pre-Summary'!$DI$6:$DM$23,4,FALSE),"")</f>
        <v/>
      </c>
      <c r="D538" s="10" t="str">
        <f>IFERROR(VLOOKUP(B538,'Pre-Summary'!$AT$6:$AX$14,5,FALSE),D537)</f>
        <v>DSMZ v2: Dropped Na-Ac out of DSMZ 120 media</v>
      </c>
      <c r="E538" s="10" t="str">
        <f>IFERROR(VLOOKUP(B538,'Pre-Summary'!$AT$6:$AX$15,4,FALSE),"")</f>
        <v/>
      </c>
      <c r="F538">
        <f>IFERROR(VLOOKUP(B538,'Pre-Summary'!$AL$6:$AQ$13,6,FALSE),F537)</f>
        <v>5.9405263157894746E-2</v>
      </c>
      <c r="G538" t="str">
        <f>IFERROR(VLOOKUP(B538,'Pre-Summary'!$AE$6:$AJ$85,3,FALSE),"")</f>
        <v/>
      </c>
      <c r="H538" t="str">
        <f>IFERROR(VLOOKUP(B538,'Pre-Summary'!$AE$6:$AJ$85,4,FALSE),"")</f>
        <v/>
      </c>
      <c r="I538" t="str">
        <f>IFERROR(VLOOKUP(B538,'Pre-Summary'!$AE$6:$AJ$85,5,FALSE),"")</f>
        <v/>
      </c>
      <c r="J538" s="45" t="str">
        <f>IFERROR(VLOOKUP(B538,'Pre-Summary'!$AE$6:$AJ$85,6, FALSE),"")</f>
        <v/>
      </c>
      <c r="K538" s="45" t="str">
        <f>IFERROR(VLOOKUP(B538,'Pre-Summary'!$DE$6:$DG$61,3,FALSE),"")</f>
        <v/>
      </c>
      <c r="L538" s="45" t="str">
        <f>IFERROR(VLOOKUP(B538,'Pre-Summary'!$CU$6:$CW$36,3,FALSE),"")</f>
        <v/>
      </c>
      <c r="M538" s="45" t="str">
        <f>IFERROR(VLOOKUP(B538,'Pre-Summary'!$BW$6:$BY$58,2,FALSE),"")</f>
        <v/>
      </c>
      <c r="N538" s="45" t="str">
        <f>IFERROR(VLOOKUP(B538,'Pre-Summary'!$CD$6:$CF$64,2,FALSE),"")</f>
        <v/>
      </c>
      <c r="O538" s="99">
        <f>IFERROR(VLOOKUP(B538,'Pre-Summary'!$BO$6:$BQ$48,3, FALSE),O537)</f>
        <v>1.0915248032216731</v>
      </c>
      <c r="P538" s="99">
        <f>IFERROR(VLOOKUP(B538,'Pre-Summary'!$BS$6:$BU$35,3,FALSE),P537)</f>
        <v>0.25</v>
      </c>
      <c r="Q538" s="54">
        <f t="shared" si="24"/>
        <v>4.3660992128866924</v>
      </c>
      <c r="R538" s="53">
        <f>IFERROR(VLOOKUP(B538,'Pre-Summary'!$BG$6:$BM$44,7,FALSE),R539)</f>
        <v>7.5915763918363535E-2</v>
      </c>
      <c r="S538" s="53">
        <f>IFERROR(VLOOKUP(B538,'Pre-Summary'!$BG$6:$BM$44,6,FALSE),S539)</f>
        <v>5.2897473997019086E-2</v>
      </c>
      <c r="T538" s="45" t="str">
        <f>IFERROR(VLOOKUP(B538,'Pre-Summary'!$Y$6:$AC$83, 3,FALSE),"")</f>
        <v/>
      </c>
      <c r="U538" s="45" t="str">
        <f>IFERROR(VLOOKUP(B538,'Pre-Summary'!$Y$6:$AC$83, 4,FALSE),"")</f>
        <v/>
      </c>
      <c r="V538" t="str">
        <f>IFERROR(VLOOKUP(B538,'Pre-Summary'!$Y$6:$AC$83, 5,FALSE),"")</f>
        <v/>
      </c>
      <c r="W538" s="45" t="str">
        <f>IFERROR(VLOOKUP(B538,'Pre-Summary'!$Y$6:$AD$83,6,FALSE),"")</f>
        <v/>
      </c>
      <c r="X538" t="str">
        <f>IFERROR(VLOOKUP('Pre-Summary'!$DB$6:$DD$63,3,FALSE),"")</f>
        <v/>
      </c>
      <c r="Y538" t="str">
        <f>IFERROR(VLOOKUP(B538,'Pre-Summary'!$CR$6:$CT$36,3,FALSE),"")</f>
        <v/>
      </c>
      <c r="Z538" s="45" t="str">
        <f>IFERROR(VLOOKUP(B538,'Pre-Summary'!$BZ$6:$CB$63,2,FALSE),"")</f>
        <v/>
      </c>
      <c r="AA538" s="45" t="str">
        <f>IFERROR(VLOOKUP(B538,'Pre-Summary'!$CG$6:$CI$70,2,FALSE),"")</f>
        <v/>
      </c>
      <c r="AB538" s="99">
        <f>IFERROR(VLOOKUP(B538,'Pre-Summary'!$A$6:$P$178,9,FALSE),AB539)</f>
        <v>0.87858471235308822</v>
      </c>
      <c r="AC538" s="10">
        <f>IFERROR(VLOOKUP(Summary!B538,'Pre-Summary'!$A$6:$P$184,5, FALSE)/100,AC539)</f>
        <v>0.67272566666666667</v>
      </c>
      <c r="AD538" s="10">
        <f>IFERROR(VLOOKUP(Summary!B538,'Pre-Summary'!$A$6:$P$184,3, FALSE)/100,AD539)</f>
        <v>8.9092333333333329E-2</v>
      </c>
      <c r="AE538" s="10">
        <f>IFERROR(VLOOKUP(Summary!B538,'Pre-Summary'!$A$6:$P$184,7, FALSE)/100,AE539)</f>
        <v>0.23818233333333336</v>
      </c>
      <c r="AF538" s="99">
        <f t="shared" si="25"/>
        <v>7.827516205453211E-2</v>
      </c>
      <c r="AG538" s="99">
        <f t="shared" si="26"/>
        <v>0.20926335681925406</v>
      </c>
      <c r="AH538" s="10" t="str">
        <f>IFERROR(VLOOKUP(B538,'Pre-Summary'!$AZ$6:$BE$65,3,FALSE),"")</f>
        <v/>
      </c>
      <c r="AI538" s="10" t="str">
        <f>IFERROR(VLOOKUP(B538,'Pre-Summary'!$AZ$6:$BE$65,5,FALSE),"")</f>
        <v/>
      </c>
      <c r="AJ538" s="10" t="str">
        <f>IFERROR(VLOOKUP(B538,'Pre-Summary'!$AZ$6:$BE$65,4,FALSE),"")</f>
        <v/>
      </c>
      <c r="AK538" s="10" t="str">
        <f>IFERROR(VLOOKUP(B538,'Pre-Summary'!$AZ$6:$BE$65,6,FALSE),"")</f>
        <v/>
      </c>
      <c r="AL538" s="10" t="str">
        <f>IFERROR(VLOOKUP(B538,'Pre-Summary'!$BG$6:$BL$44,3,FALSE),"")</f>
        <v/>
      </c>
      <c r="AM538" s="10" t="str">
        <f>IFERROR(VLOOKUP(B538,'Pre-Summary'!$BG$6:$BL$44,4,FALSE),"")</f>
        <v/>
      </c>
    </row>
    <row r="539" spans="2:39" ht="15" customHeight="1" x14ac:dyDescent="0.3">
      <c r="B539">
        <v>53.6</v>
      </c>
      <c r="C539" t="str">
        <f>IFERROR(VLOOKUP(B539,'Pre-Summary'!$DI$6:$DM$23,4,FALSE),"")</f>
        <v/>
      </c>
      <c r="D539" s="10" t="str">
        <f>IFERROR(VLOOKUP(B539,'Pre-Summary'!$AT$6:$AX$14,5,FALSE),D538)</f>
        <v>DSMZ v2: Dropped Na-Ac out of DSMZ 120 media</v>
      </c>
      <c r="E539" s="10" t="str">
        <f>IFERROR(VLOOKUP(B539,'Pre-Summary'!$AT$6:$AX$15,4,FALSE),"")</f>
        <v/>
      </c>
      <c r="F539">
        <f>IFERROR(VLOOKUP(B539,'Pre-Summary'!$AL$6:$AQ$13,6,FALSE),F538)</f>
        <v>5.9405263157894746E-2</v>
      </c>
      <c r="G539" t="str">
        <f>IFERROR(VLOOKUP(B539,'Pre-Summary'!$AE$6:$AJ$85,3,FALSE),"")</f>
        <v/>
      </c>
      <c r="H539" t="str">
        <f>IFERROR(VLOOKUP(B539,'Pre-Summary'!$AE$6:$AJ$85,4,FALSE),"")</f>
        <v/>
      </c>
      <c r="I539" t="str">
        <f>IFERROR(VLOOKUP(B539,'Pre-Summary'!$AE$6:$AJ$85,5,FALSE),"")</f>
        <v/>
      </c>
      <c r="J539" s="45" t="str">
        <f>IFERROR(VLOOKUP(B539,'Pre-Summary'!$AE$6:$AJ$85,6, FALSE),"")</f>
        <v/>
      </c>
      <c r="K539" s="45" t="str">
        <f>IFERROR(VLOOKUP(B539,'Pre-Summary'!$DE$6:$DG$61,3,FALSE),"")</f>
        <v/>
      </c>
      <c r="L539" s="45" t="str">
        <f>IFERROR(VLOOKUP(B539,'Pre-Summary'!$CU$6:$CW$36,3,FALSE),"")</f>
        <v/>
      </c>
      <c r="M539" s="45" t="str">
        <f>IFERROR(VLOOKUP(B539,'Pre-Summary'!$BW$6:$BY$58,2,FALSE),"")</f>
        <v/>
      </c>
      <c r="N539" s="45" t="str">
        <f>IFERROR(VLOOKUP(B539,'Pre-Summary'!$CD$6:$CF$64,2,FALSE),"")</f>
        <v/>
      </c>
      <c r="O539" s="99">
        <f>IFERROR(VLOOKUP(B539,'Pre-Summary'!$BO$6:$BQ$48,3, FALSE),O538)</f>
        <v>1.0915248032216731</v>
      </c>
      <c r="P539" s="99">
        <f>IFERROR(VLOOKUP(B539,'Pre-Summary'!$BS$6:$BU$35,3,FALSE),P538)</f>
        <v>0.25</v>
      </c>
      <c r="Q539" s="54">
        <f t="shared" si="24"/>
        <v>4.3660992128866924</v>
      </c>
      <c r="R539" s="53">
        <f>IFERROR(VLOOKUP(B539,'Pre-Summary'!$BG$6:$BM$44,7,FALSE),R540)</f>
        <v>7.5915763918363535E-2</v>
      </c>
      <c r="S539" s="53">
        <f>IFERROR(VLOOKUP(B539,'Pre-Summary'!$BG$6:$BM$44,6,FALSE),S540)</f>
        <v>5.2897473997019086E-2</v>
      </c>
      <c r="T539" s="45" t="str">
        <f>IFERROR(VLOOKUP(B539,'Pre-Summary'!$Y$6:$AC$83, 3,FALSE),"")</f>
        <v/>
      </c>
      <c r="U539" s="45" t="str">
        <f>IFERROR(VLOOKUP(B539,'Pre-Summary'!$Y$6:$AC$83, 4,FALSE),"")</f>
        <v/>
      </c>
      <c r="V539" t="str">
        <f>IFERROR(VLOOKUP(B539,'Pre-Summary'!$Y$6:$AC$83, 5,FALSE),"")</f>
        <v/>
      </c>
      <c r="W539" s="45" t="str">
        <f>IFERROR(VLOOKUP(B539,'Pre-Summary'!$Y$6:$AD$83,6,FALSE),"")</f>
        <v/>
      </c>
      <c r="X539" t="str">
        <f>IFERROR(VLOOKUP('Pre-Summary'!$DB$6:$DD$63,3,FALSE),"")</f>
        <v/>
      </c>
      <c r="Y539" t="str">
        <f>IFERROR(VLOOKUP(B539,'Pre-Summary'!$CR$6:$CT$36,3,FALSE),"")</f>
        <v/>
      </c>
      <c r="Z539" s="45" t="str">
        <f>IFERROR(VLOOKUP(B539,'Pre-Summary'!$BZ$6:$CB$63,2,FALSE),"")</f>
        <v/>
      </c>
      <c r="AA539" s="45" t="str">
        <f>IFERROR(VLOOKUP(B539,'Pre-Summary'!$CG$6:$CI$70,2,FALSE),"")</f>
        <v/>
      </c>
      <c r="AB539" s="99">
        <f>IFERROR(VLOOKUP(B539,'Pre-Summary'!$A$6:$P$178,9,FALSE),AB540)</f>
        <v>0.87858471235308822</v>
      </c>
      <c r="AC539" s="10">
        <f>IFERROR(VLOOKUP(Summary!B539,'Pre-Summary'!$A$6:$P$184,5, FALSE)/100,AC540)</f>
        <v>0.67272566666666667</v>
      </c>
      <c r="AD539" s="10">
        <f>IFERROR(VLOOKUP(Summary!B539,'Pre-Summary'!$A$6:$P$184,3, FALSE)/100,AD540)</f>
        <v>8.9092333333333329E-2</v>
      </c>
      <c r="AE539" s="10">
        <f>IFERROR(VLOOKUP(Summary!B539,'Pre-Summary'!$A$6:$P$184,7, FALSE)/100,AE540)</f>
        <v>0.23818233333333336</v>
      </c>
      <c r="AF539" s="99">
        <f t="shared" si="25"/>
        <v>7.827516205453211E-2</v>
      </c>
      <c r="AG539" s="99">
        <f t="shared" si="26"/>
        <v>0.20926335681925406</v>
      </c>
      <c r="AH539" s="10" t="str">
        <f>IFERROR(VLOOKUP(B539,'Pre-Summary'!$AZ$6:$BE$65,3,FALSE),"")</f>
        <v/>
      </c>
      <c r="AI539" s="10" t="str">
        <f>IFERROR(VLOOKUP(B539,'Pre-Summary'!$AZ$6:$BE$65,5,FALSE),"")</f>
        <v/>
      </c>
      <c r="AJ539" s="10" t="str">
        <f>IFERROR(VLOOKUP(B539,'Pre-Summary'!$AZ$6:$BE$65,4,FALSE),"")</f>
        <v/>
      </c>
      <c r="AK539" s="10" t="str">
        <f>IFERROR(VLOOKUP(B539,'Pre-Summary'!$AZ$6:$BE$65,6,FALSE),"")</f>
        <v/>
      </c>
      <c r="AL539" s="10" t="str">
        <f>IFERROR(VLOOKUP(B539,'Pre-Summary'!$BG$6:$BL$44,3,FALSE),"")</f>
        <v/>
      </c>
      <c r="AM539" s="10" t="str">
        <f>IFERROR(VLOOKUP(B539,'Pre-Summary'!$BG$6:$BL$44,4,FALSE),"")</f>
        <v/>
      </c>
    </row>
    <row r="540" spans="2:39" ht="15" customHeight="1" x14ac:dyDescent="0.3">
      <c r="B540">
        <v>53.7</v>
      </c>
      <c r="C540" t="str">
        <f>IFERROR(VLOOKUP(B540,'Pre-Summary'!$DI$6:$DM$23,4,FALSE),"")</f>
        <v/>
      </c>
      <c r="D540" s="10" t="str">
        <f>IFERROR(VLOOKUP(B540,'Pre-Summary'!$AT$6:$AX$14,5,FALSE),D539)</f>
        <v>DSMZ v2: Dropped Na-Ac out of DSMZ 120 media</v>
      </c>
      <c r="E540" s="10" t="str">
        <f>IFERROR(VLOOKUP(B540,'Pre-Summary'!$AT$6:$AX$15,4,FALSE),"")</f>
        <v/>
      </c>
      <c r="F540">
        <f>IFERROR(VLOOKUP(B540,'Pre-Summary'!$AL$6:$AQ$13,6,FALSE),F539)</f>
        <v>5.9405263157894746E-2</v>
      </c>
      <c r="G540" t="str">
        <f>IFERROR(VLOOKUP(B540,'Pre-Summary'!$AE$6:$AJ$85,3,FALSE),"")</f>
        <v/>
      </c>
      <c r="H540" t="str">
        <f>IFERROR(VLOOKUP(B540,'Pre-Summary'!$AE$6:$AJ$85,4,FALSE),"")</f>
        <v/>
      </c>
      <c r="I540" t="str">
        <f>IFERROR(VLOOKUP(B540,'Pre-Summary'!$AE$6:$AJ$85,5,FALSE),"")</f>
        <v/>
      </c>
      <c r="J540" s="45" t="str">
        <f>IFERROR(VLOOKUP(B540,'Pre-Summary'!$AE$6:$AJ$85,6, FALSE),"")</f>
        <v/>
      </c>
      <c r="K540" s="45" t="str">
        <f>IFERROR(VLOOKUP(B540,'Pre-Summary'!$DE$6:$DG$61,3,FALSE),"")</f>
        <v/>
      </c>
      <c r="L540" s="45" t="str">
        <f>IFERROR(VLOOKUP(B540,'Pre-Summary'!$CU$6:$CW$36,3,FALSE),"")</f>
        <v/>
      </c>
      <c r="M540" s="45" t="str">
        <f>IFERROR(VLOOKUP(B540,'Pre-Summary'!$BW$6:$BY$58,2,FALSE),"")</f>
        <v/>
      </c>
      <c r="N540" s="45" t="str">
        <f>IFERROR(VLOOKUP(B540,'Pre-Summary'!$CD$6:$CF$64,2,FALSE),"")</f>
        <v/>
      </c>
      <c r="O540" s="99">
        <f>IFERROR(VLOOKUP(B540,'Pre-Summary'!$BO$6:$BQ$48,3, FALSE),O539)</f>
        <v>1.0915248032216731</v>
      </c>
      <c r="P540" s="99">
        <f>IFERROR(VLOOKUP(B540,'Pre-Summary'!$BS$6:$BU$35,3,FALSE),P539)</f>
        <v>0.25</v>
      </c>
      <c r="Q540" s="54">
        <f t="shared" si="24"/>
        <v>4.3660992128866924</v>
      </c>
      <c r="R540" s="53">
        <f>IFERROR(VLOOKUP(B540,'Pre-Summary'!$BG$6:$BM$44,7,FALSE),R541)</f>
        <v>7.5915763918363535E-2</v>
      </c>
      <c r="S540" s="53">
        <f>IFERROR(VLOOKUP(B540,'Pre-Summary'!$BG$6:$BM$44,6,FALSE),S541)</f>
        <v>5.2897473997019086E-2</v>
      </c>
      <c r="T540" s="45" t="str">
        <f>IFERROR(VLOOKUP(B540,'Pre-Summary'!$Y$6:$AC$83, 3,FALSE),"")</f>
        <v/>
      </c>
      <c r="U540" s="45" t="str">
        <f>IFERROR(VLOOKUP(B540,'Pre-Summary'!$Y$6:$AC$83, 4,FALSE),"")</f>
        <v/>
      </c>
      <c r="V540" t="str">
        <f>IFERROR(VLOOKUP(B540,'Pre-Summary'!$Y$6:$AC$83, 5,FALSE),"")</f>
        <v/>
      </c>
      <c r="W540" s="45" t="str">
        <f>IFERROR(VLOOKUP(B540,'Pre-Summary'!$Y$6:$AD$83,6,FALSE),"")</f>
        <v/>
      </c>
      <c r="X540" t="str">
        <f>IFERROR(VLOOKUP('Pre-Summary'!$DB$6:$DD$63,3,FALSE),"")</f>
        <v/>
      </c>
      <c r="Y540" t="str">
        <f>IFERROR(VLOOKUP(B540,'Pre-Summary'!$CR$6:$CT$36,3,FALSE),"")</f>
        <v/>
      </c>
      <c r="Z540" s="45" t="str">
        <f>IFERROR(VLOOKUP(B540,'Pre-Summary'!$BZ$6:$CB$63,2,FALSE),"")</f>
        <v/>
      </c>
      <c r="AA540" s="45" t="str">
        <f>IFERROR(VLOOKUP(B540,'Pre-Summary'!$CG$6:$CI$70,2,FALSE),"")</f>
        <v/>
      </c>
      <c r="AB540" s="99">
        <f>IFERROR(VLOOKUP(B540,'Pre-Summary'!$A$6:$P$178,9,FALSE),AB541)</f>
        <v>0.87858471235308822</v>
      </c>
      <c r="AC540" s="10">
        <f>IFERROR(VLOOKUP(Summary!B540,'Pre-Summary'!$A$6:$P$184,5, FALSE)/100,AC541)</f>
        <v>0.67272566666666667</v>
      </c>
      <c r="AD540" s="10">
        <f>IFERROR(VLOOKUP(Summary!B540,'Pre-Summary'!$A$6:$P$184,3, FALSE)/100,AD541)</f>
        <v>8.9092333333333329E-2</v>
      </c>
      <c r="AE540" s="10">
        <f>IFERROR(VLOOKUP(Summary!B540,'Pre-Summary'!$A$6:$P$184,7, FALSE)/100,AE541)</f>
        <v>0.23818233333333336</v>
      </c>
      <c r="AF540" s="99">
        <f t="shared" si="25"/>
        <v>7.827516205453211E-2</v>
      </c>
      <c r="AG540" s="99">
        <f t="shared" si="26"/>
        <v>0.20926335681925406</v>
      </c>
      <c r="AH540" s="10" t="str">
        <f>IFERROR(VLOOKUP(B540,'Pre-Summary'!$AZ$6:$BE$65,3,FALSE),"")</f>
        <v/>
      </c>
      <c r="AI540" s="10" t="str">
        <f>IFERROR(VLOOKUP(B540,'Pre-Summary'!$AZ$6:$BE$65,5,FALSE),"")</f>
        <v/>
      </c>
      <c r="AJ540" s="10" t="str">
        <f>IFERROR(VLOOKUP(B540,'Pre-Summary'!$AZ$6:$BE$65,4,FALSE),"")</f>
        <v/>
      </c>
      <c r="AK540" s="10" t="str">
        <f>IFERROR(VLOOKUP(B540,'Pre-Summary'!$AZ$6:$BE$65,6,FALSE),"")</f>
        <v/>
      </c>
      <c r="AL540" s="10" t="str">
        <f>IFERROR(VLOOKUP(B540,'Pre-Summary'!$BG$6:$BL$44,3,FALSE),"")</f>
        <v/>
      </c>
      <c r="AM540" s="10" t="str">
        <f>IFERROR(VLOOKUP(B540,'Pre-Summary'!$BG$6:$BL$44,4,FALSE),"")</f>
        <v/>
      </c>
    </row>
    <row r="541" spans="2:39" ht="15" customHeight="1" x14ac:dyDescent="0.3">
      <c r="B541">
        <v>53.8</v>
      </c>
      <c r="C541" t="str">
        <f>IFERROR(VLOOKUP(B541,'Pre-Summary'!$DI$6:$DM$23,4,FALSE),"")</f>
        <v/>
      </c>
      <c r="D541" s="10" t="str">
        <f>IFERROR(VLOOKUP(B541,'Pre-Summary'!$AT$6:$AX$14,5,FALSE),D540)</f>
        <v>DSMZ v2: Dropped Na-Ac out of DSMZ 120 media</v>
      </c>
      <c r="E541" s="10" t="str">
        <f>IFERROR(VLOOKUP(B541,'Pre-Summary'!$AT$6:$AX$15,4,FALSE),"")</f>
        <v/>
      </c>
      <c r="F541">
        <f>IFERROR(VLOOKUP(B541,'Pre-Summary'!$AL$6:$AQ$13,6,FALSE),F540)</f>
        <v>5.9405263157894746E-2</v>
      </c>
      <c r="G541" t="str">
        <f>IFERROR(VLOOKUP(B541,'Pre-Summary'!$AE$6:$AJ$85,3,FALSE),"")</f>
        <v/>
      </c>
      <c r="H541" t="str">
        <f>IFERROR(VLOOKUP(B541,'Pre-Summary'!$AE$6:$AJ$85,4,FALSE),"")</f>
        <v/>
      </c>
      <c r="I541" t="str">
        <f>IFERROR(VLOOKUP(B541,'Pre-Summary'!$AE$6:$AJ$85,5,FALSE),"")</f>
        <v/>
      </c>
      <c r="J541" s="45" t="str">
        <f>IFERROR(VLOOKUP(B541,'Pre-Summary'!$AE$6:$AJ$85,6, FALSE),"")</f>
        <v/>
      </c>
      <c r="K541" s="45" t="str">
        <f>IFERROR(VLOOKUP(B541,'Pre-Summary'!$DE$6:$DG$61,3,FALSE),"")</f>
        <v/>
      </c>
      <c r="L541" s="45" t="str">
        <f>IFERROR(VLOOKUP(B541,'Pre-Summary'!$CU$6:$CW$36,3,FALSE),"")</f>
        <v/>
      </c>
      <c r="M541" s="45" t="str">
        <f>IFERROR(VLOOKUP(B541,'Pre-Summary'!$BW$6:$BY$58,2,FALSE),"")</f>
        <v/>
      </c>
      <c r="N541" s="45" t="str">
        <f>IFERROR(VLOOKUP(B541,'Pre-Summary'!$CD$6:$CF$64,2,FALSE),"")</f>
        <v/>
      </c>
      <c r="O541" s="99">
        <f>IFERROR(VLOOKUP(B541,'Pre-Summary'!$BO$6:$BQ$48,3, FALSE),O540)</f>
        <v>1.0915248032216731</v>
      </c>
      <c r="P541" s="99">
        <f>IFERROR(VLOOKUP(B541,'Pre-Summary'!$BS$6:$BU$35,3,FALSE),P540)</f>
        <v>0.25</v>
      </c>
      <c r="Q541" s="54">
        <f t="shared" si="24"/>
        <v>4.3660992128866924</v>
      </c>
      <c r="R541" s="53">
        <f>IFERROR(VLOOKUP(B541,'Pre-Summary'!$BG$6:$BM$44,7,FALSE),R542)</f>
        <v>7.5915763918363535E-2</v>
      </c>
      <c r="S541" s="53">
        <f>IFERROR(VLOOKUP(B541,'Pre-Summary'!$BG$6:$BM$44,6,FALSE),S542)</f>
        <v>5.2897473997019086E-2</v>
      </c>
      <c r="T541" s="45" t="str">
        <f>IFERROR(VLOOKUP(B541,'Pre-Summary'!$Y$6:$AC$83, 3,FALSE),"")</f>
        <v/>
      </c>
      <c r="U541" s="45" t="str">
        <f>IFERROR(VLOOKUP(B541,'Pre-Summary'!$Y$6:$AC$83, 4,FALSE),"")</f>
        <v/>
      </c>
      <c r="V541" t="str">
        <f>IFERROR(VLOOKUP(B541,'Pre-Summary'!$Y$6:$AC$83, 5,FALSE),"")</f>
        <v/>
      </c>
      <c r="W541" s="45" t="str">
        <f>IFERROR(VLOOKUP(B541,'Pre-Summary'!$Y$6:$AD$83,6,FALSE),"")</f>
        <v/>
      </c>
      <c r="X541" t="str">
        <f>IFERROR(VLOOKUP('Pre-Summary'!$DB$6:$DD$63,3,FALSE),"")</f>
        <v/>
      </c>
      <c r="Y541" t="str">
        <f>IFERROR(VLOOKUP(B541,'Pre-Summary'!$CR$6:$CT$36,3,FALSE),"")</f>
        <v/>
      </c>
      <c r="Z541" s="45" t="str">
        <f>IFERROR(VLOOKUP(B541,'Pre-Summary'!$BZ$6:$CB$63,2,FALSE),"")</f>
        <v/>
      </c>
      <c r="AA541" s="45" t="str">
        <f>IFERROR(VLOOKUP(B541,'Pre-Summary'!$CG$6:$CI$70,2,FALSE),"")</f>
        <v/>
      </c>
      <c r="AB541" s="99">
        <f>IFERROR(VLOOKUP(B541,'Pre-Summary'!$A$6:$P$178,9,FALSE),AB542)</f>
        <v>0.87858471235308822</v>
      </c>
      <c r="AC541" s="10">
        <f>IFERROR(VLOOKUP(Summary!B541,'Pre-Summary'!$A$6:$P$184,5, FALSE)/100,AC542)</f>
        <v>0.67272566666666667</v>
      </c>
      <c r="AD541" s="10">
        <f>IFERROR(VLOOKUP(Summary!B541,'Pre-Summary'!$A$6:$P$184,3, FALSE)/100,AD542)</f>
        <v>8.9092333333333329E-2</v>
      </c>
      <c r="AE541" s="10">
        <f>IFERROR(VLOOKUP(Summary!B541,'Pre-Summary'!$A$6:$P$184,7, FALSE)/100,AE542)</f>
        <v>0.23818233333333336</v>
      </c>
      <c r="AF541" s="99">
        <f t="shared" si="25"/>
        <v>7.827516205453211E-2</v>
      </c>
      <c r="AG541" s="99">
        <f t="shared" si="26"/>
        <v>0.20926335681925406</v>
      </c>
      <c r="AH541" s="10" t="str">
        <f>IFERROR(VLOOKUP(B541,'Pre-Summary'!$AZ$6:$BE$65,3,FALSE),"")</f>
        <v/>
      </c>
      <c r="AI541" s="10" t="str">
        <f>IFERROR(VLOOKUP(B541,'Pre-Summary'!$AZ$6:$BE$65,5,FALSE),"")</f>
        <v/>
      </c>
      <c r="AJ541" s="10" t="str">
        <f>IFERROR(VLOOKUP(B541,'Pre-Summary'!$AZ$6:$BE$65,4,FALSE),"")</f>
        <v/>
      </c>
      <c r="AK541" s="10" t="str">
        <f>IFERROR(VLOOKUP(B541,'Pre-Summary'!$AZ$6:$BE$65,6,FALSE),"")</f>
        <v/>
      </c>
      <c r="AL541" s="10" t="str">
        <f>IFERROR(VLOOKUP(B541,'Pre-Summary'!$BG$6:$BL$44,3,FALSE),"")</f>
        <v/>
      </c>
      <c r="AM541" s="10" t="str">
        <f>IFERROR(VLOOKUP(B541,'Pre-Summary'!$BG$6:$BL$44,4,FALSE),"")</f>
        <v/>
      </c>
    </row>
    <row r="542" spans="2:39" ht="15" customHeight="1" x14ac:dyDescent="0.3">
      <c r="B542">
        <v>53.9</v>
      </c>
      <c r="C542" t="str">
        <f>IFERROR(VLOOKUP(B542,'Pre-Summary'!$DI$6:$DM$23,4,FALSE),"")</f>
        <v/>
      </c>
      <c r="D542" s="10" t="str">
        <f>IFERROR(VLOOKUP(B542,'Pre-Summary'!$AT$6:$AX$14,5,FALSE),D541)</f>
        <v>DSMZ v2: Dropped Na-Ac out of DSMZ 120 media</v>
      </c>
      <c r="E542" s="10" t="str">
        <f>IFERROR(VLOOKUP(B542,'Pre-Summary'!$AT$6:$AX$15,4,FALSE),"")</f>
        <v/>
      </c>
      <c r="F542">
        <f>IFERROR(VLOOKUP(B542,'Pre-Summary'!$AL$6:$AQ$13,6,FALSE),F541)</f>
        <v>5.9405263157894746E-2</v>
      </c>
      <c r="G542" t="str">
        <f>IFERROR(VLOOKUP(B542,'Pre-Summary'!$AE$6:$AJ$85,3,FALSE),"")</f>
        <v/>
      </c>
      <c r="H542" t="str">
        <f>IFERROR(VLOOKUP(B542,'Pre-Summary'!$AE$6:$AJ$85,4,FALSE),"")</f>
        <v/>
      </c>
      <c r="I542" t="str">
        <f>IFERROR(VLOOKUP(B542,'Pre-Summary'!$AE$6:$AJ$85,5,FALSE),"")</f>
        <v/>
      </c>
      <c r="J542" s="45" t="str">
        <f>IFERROR(VLOOKUP(B542,'Pre-Summary'!$AE$6:$AJ$85,6, FALSE),"")</f>
        <v/>
      </c>
      <c r="K542" s="45" t="str">
        <f>IFERROR(VLOOKUP(B542,'Pre-Summary'!$DE$6:$DG$61,3,FALSE),"")</f>
        <v/>
      </c>
      <c r="L542" s="45" t="str">
        <f>IFERROR(VLOOKUP(B542,'Pre-Summary'!$CU$6:$CW$36,3,FALSE),"")</f>
        <v/>
      </c>
      <c r="M542" s="45" t="str">
        <f>IFERROR(VLOOKUP(B542,'Pre-Summary'!$BW$6:$BY$58,2,FALSE),"")</f>
        <v/>
      </c>
      <c r="N542" s="45" t="str">
        <f>IFERROR(VLOOKUP(B542,'Pre-Summary'!$CD$6:$CF$64,2,FALSE),"")</f>
        <v/>
      </c>
      <c r="O542" s="99">
        <f>IFERROR(VLOOKUP(B542,'Pre-Summary'!$BO$6:$BQ$48,3, FALSE),O541)</f>
        <v>1.0915248032216731</v>
      </c>
      <c r="P542" s="99">
        <f>IFERROR(VLOOKUP(B542,'Pre-Summary'!$BS$6:$BU$35,3,FALSE),P541)</f>
        <v>0.25</v>
      </c>
      <c r="Q542" s="54">
        <f t="shared" si="24"/>
        <v>4.3660992128866924</v>
      </c>
      <c r="R542" s="53">
        <f>IFERROR(VLOOKUP(B542,'Pre-Summary'!$BG$6:$BM$44,7,FALSE),R543)</f>
        <v>7.5915763918363535E-2</v>
      </c>
      <c r="S542" s="53">
        <f>IFERROR(VLOOKUP(B542,'Pre-Summary'!$BG$6:$BM$44,6,FALSE),S543)</f>
        <v>5.2897473997019086E-2</v>
      </c>
      <c r="T542" s="45" t="str">
        <f>IFERROR(VLOOKUP(B542,'Pre-Summary'!$Y$6:$AC$83, 3,FALSE),"")</f>
        <v/>
      </c>
      <c r="U542" s="45" t="str">
        <f>IFERROR(VLOOKUP(B542,'Pre-Summary'!$Y$6:$AC$83, 4,FALSE),"")</f>
        <v/>
      </c>
      <c r="V542" t="str">
        <f>IFERROR(VLOOKUP(B542,'Pre-Summary'!$Y$6:$AC$83, 5,FALSE),"")</f>
        <v/>
      </c>
      <c r="W542" s="45" t="str">
        <f>IFERROR(VLOOKUP(B542,'Pre-Summary'!$Y$6:$AD$83,6,FALSE),"")</f>
        <v/>
      </c>
      <c r="X542" t="str">
        <f>IFERROR(VLOOKUP('Pre-Summary'!$DB$6:$DD$63,3,FALSE),"")</f>
        <v/>
      </c>
      <c r="Y542" t="str">
        <f>IFERROR(VLOOKUP(B542,'Pre-Summary'!$CR$6:$CT$36,3,FALSE),"")</f>
        <v/>
      </c>
      <c r="Z542" s="45" t="str">
        <f>IFERROR(VLOOKUP(B542,'Pre-Summary'!$BZ$6:$CB$63,2,FALSE),"")</f>
        <v/>
      </c>
      <c r="AA542" s="45" t="str">
        <f>IFERROR(VLOOKUP(B542,'Pre-Summary'!$CG$6:$CI$70,2,FALSE),"")</f>
        <v/>
      </c>
      <c r="AB542" s="99">
        <f>IFERROR(VLOOKUP(B542,'Pre-Summary'!$A$6:$P$178,9,FALSE),AB543)</f>
        <v>0.87858471235308822</v>
      </c>
      <c r="AC542" s="10">
        <f>IFERROR(VLOOKUP(Summary!B542,'Pre-Summary'!$A$6:$P$184,5, FALSE)/100,AC543)</f>
        <v>0.67272566666666667</v>
      </c>
      <c r="AD542" s="10">
        <f>IFERROR(VLOOKUP(Summary!B542,'Pre-Summary'!$A$6:$P$184,3, FALSE)/100,AD543)</f>
        <v>8.9092333333333329E-2</v>
      </c>
      <c r="AE542" s="10">
        <f>IFERROR(VLOOKUP(Summary!B542,'Pre-Summary'!$A$6:$P$184,7, FALSE)/100,AE543)</f>
        <v>0.23818233333333336</v>
      </c>
      <c r="AF542" s="99">
        <f t="shared" si="25"/>
        <v>7.827516205453211E-2</v>
      </c>
      <c r="AG542" s="99">
        <f t="shared" si="26"/>
        <v>0.20926335681925406</v>
      </c>
      <c r="AH542" s="10" t="str">
        <f>IFERROR(VLOOKUP(B542,'Pre-Summary'!$AZ$6:$BE$65,3,FALSE),"")</f>
        <v/>
      </c>
      <c r="AI542" s="10" t="str">
        <f>IFERROR(VLOOKUP(B542,'Pre-Summary'!$AZ$6:$BE$65,5,FALSE),"")</f>
        <v/>
      </c>
      <c r="AJ542" s="10" t="str">
        <f>IFERROR(VLOOKUP(B542,'Pre-Summary'!$AZ$6:$BE$65,4,FALSE),"")</f>
        <v/>
      </c>
      <c r="AK542" s="10" t="str">
        <f>IFERROR(VLOOKUP(B542,'Pre-Summary'!$AZ$6:$BE$65,6,FALSE),"")</f>
        <v/>
      </c>
      <c r="AL542" s="10" t="str">
        <f>IFERROR(VLOOKUP(B542,'Pre-Summary'!$BG$6:$BL$44,3,FALSE),"")</f>
        <v/>
      </c>
      <c r="AM542" s="10" t="str">
        <f>IFERROR(VLOOKUP(B542,'Pre-Summary'!$BG$6:$BL$44,4,FALSE),"")</f>
        <v/>
      </c>
    </row>
    <row r="543" spans="2:39" ht="15" customHeight="1" x14ac:dyDescent="0.3">
      <c r="B543">
        <v>54</v>
      </c>
      <c r="C543" t="str">
        <f>IFERROR(VLOOKUP(B543,'Pre-Summary'!$DI$6:$DM$23,4,FALSE),"")</f>
        <v/>
      </c>
      <c r="D543" s="10" t="str">
        <f>IFERROR(VLOOKUP(B543,'Pre-Summary'!$AT$6:$AX$14,5,FALSE),D542)</f>
        <v>DSMZ v2: Dropped Na-Ac out of DSMZ 120 media</v>
      </c>
      <c r="E543" s="10" t="str">
        <f>IFERROR(VLOOKUP(B543,'Pre-Summary'!$AT$6:$AX$15,4,FALSE),"")</f>
        <v/>
      </c>
      <c r="F543">
        <f>IFERROR(VLOOKUP(B543,'Pre-Summary'!$AL$6:$AQ$13,6,FALSE),F542)</f>
        <v>5.9405263157894746E-2</v>
      </c>
      <c r="G543" t="str">
        <f>IFERROR(VLOOKUP(B543,'Pre-Summary'!$AE$6:$AJ$85,3,FALSE),"")</f>
        <v/>
      </c>
      <c r="H543" t="str">
        <f>IFERROR(VLOOKUP(B543,'Pre-Summary'!$AE$6:$AJ$85,4,FALSE),"")</f>
        <v/>
      </c>
      <c r="I543" t="str">
        <f>IFERROR(VLOOKUP(B543,'Pre-Summary'!$AE$6:$AJ$85,5,FALSE),"")</f>
        <v/>
      </c>
      <c r="J543" s="45" t="str">
        <f>IFERROR(VLOOKUP(B543,'Pre-Summary'!$AE$6:$AJ$85,6, FALSE),"")</f>
        <v/>
      </c>
      <c r="K543" s="45" t="str">
        <f>IFERROR(VLOOKUP(B543,'Pre-Summary'!$DE$6:$DG$61,3,FALSE),"")</f>
        <v/>
      </c>
      <c r="L543" s="45" t="str">
        <f>IFERROR(VLOOKUP(B543,'Pre-Summary'!$CU$6:$CW$36,3,FALSE),"")</f>
        <v/>
      </c>
      <c r="M543" s="45" t="str">
        <f>IFERROR(VLOOKUP(B543,'Pre-Summary'!$BW$6:$BY$58,2,FALSE),"")</f>
        <v/>
      </c>
      <c r="N543" s="45" t="str">
        <f>IFERROR(VLOOKUP(B543,'Pre-Summary'!$CD$6:$CF$64,2,FALSE),"")</f>
        <v/>
      </c>
      <c r="O543" s="99">
        <f>IFERROR(VLOOKUP(B543,'Pre-Summary'!$BO$6:$BQ$48,3, FALSE),O542)</f>
        <v>1.0915248032216731</v>
      </c>
      <c r="P543" s="99">
        <f>IFERROR(VLOOKUP(B543,'Pre-Summary'!$BS$6:$BU$35,3,FALSE),P542)</f>
        <v>0.25</v>
      </c>
      <c r="Q543" s="54">
        <f t="shared" si="24"/>
        <v>4.3660992128866924</v>
      </c>
      <c r="R543" s="53">
        <f>IFERROR(VLOOKUP(B543,'Pre-Summary'!$BG$6:$BM$44,7,FALSE),R544)</f>
        <v>7.5915763918363535E-2</v>
      </c>
      <c r="S543" s="53">
        <f>IFERROR(VLOOKUP(B543,'Pre-Summary'!$BG$6:$BM$44,6,FALSE),S544)</f>
        <v>5.2897473997019086E-2</v>
      </c>
      <c r="T543" s="45" t="str">
        <f>IFERROR(VLOOKUP(B543,'Pre-Summary'!$Y$6:$AC$83, 3,FALSE),"")</f>
        <v/>
      </c>
      <c r="U543" s="45" t="str">
        <f>IFERROR(VLOOKUP(B543,'Pre-Summary'!$Y$6:$AC$83, 4,FALSE),"")</f>
        <v/>
      </c>
      <c r="V543" t="str">
        <f>IFERROR(VLOOKUP(B543,'Pre-Summary'!$Y$6:$AC$83, 5,FALSE),"")</f>
        <v/>
      </c>
      <c r="W543" s="45" t="str">
        <f>IFERROR(VLOOKUP(B543,'Pre-Summary'!$Y$6:$AD$83,6,FALSE),"")</f>
        <v/>
      </c>
      <c r="X543" t="str">
        <f>IFERROR(VLOOKUP('Pre-Summary'!$DB$6:$DD$63,3,FALSE),"")</f>
        <v/>
      </c>
      <c r="Y543" t="str">
        <f>IFERROR(VLOOKUP(B543,'Pre-Summary'!$CR$6:$CT$36,3,FALSE),"")</f>
        <v/>
      </c>
      <c r="Z543" s="45" t="str">
        <f>IFERROR(VLOOKUP(B543,'Pre-Summary'!$BZ$6:$CB$63,2,FALSE),"")</f>
        <v/>
      </c>
      <c r="AA543" s="45" t="str">
        <f>IFERROR(VLOOKUP(B543,'Pre-Summary'!$CG$6:$CI$70,2,FALSE),"")</f>
        <v/>
      </c>
      <c r="AB543" s="99">
        <f>IFERROR(VLOOKUP(B543,'Pre-Summary'!$A$6:$P$178,9,FALSE),AB544)</f>
        <v>0.87858471235308822</v>
      </c>
      <c r="AC543" s="10">
        <f>IFERROR(VLOOKUP(Summary!B543,'Pre-Summary'!$A$6:$P$184,5, FALSE)/100,AC544)</f>
        <v>0.67272566666666667</v>
      </c>
      <c r="AD543" s="10">
        <f>IFERROR(VLOOKUP(Summary!B543,'Pre-Summary'!$A$6:$P$184,3, FALSE)/100,AD544)</f>
        <v>8.9092333333333329E-2</v>
      </c>
      <c r="AE543" s="10">
        <f>IFERROR(VLOOKUP(Summary!B543,'Pre-Summary'!$A$6:$P$184,7, FALSE)/100,AE544)</f>
        <v>0.23818233333333336</v>
      </c>
      <c r="AF543" s="99">
        <f t="shared" si="25"/>
        <v>7.827516205453211E-2</v>
      </c>
      <c r="AG543" s="99">
        <f t="shared" si="26"/>
        <v>0.20926335681925406</v>
      </c>
      <c r="AH543" s="10" t="str">
        <f>IFERROR(VLOOKUP(B543,'Pre-Summary'!$AZ$6:$BE$65,3,FALSE),"")</f>
        <v/>
      </c>
      <c r="AI543" s="10" t="str">
        <f>IFERROR(VLOOKUP(B543,'Pre-Summary'!$AZ$6:$BE$65,5,FALSE),"")</f>
        <v/>
      </c>
      <c r="AJ543" s="10" t="str">
        <f>IFERROR(VLOOKUP(B543,'Pre-Summary'!$AZ$6:$BE$65,4,FALSE),"")</f>
        <v/>
      </c>
      <c r="AK543" s="10" t="str">
        <f>IFERROR(VLOOKUP(B543,'Pre-Summary'!$AZ$6:$BE$65,6,FALSE),"")</f>
        <v/>
      </c>
      <c r="AL543" s="10" t="str">
        <f>IFERROR(VLOOKUP(B543,'Pre-Summary'!$BG$6:$BL$44,3,FALSE),"")</f>
        <v/>
      </c>
      <c r="AM543" s="10" t="str">
        <f>IFERROR(VLOOKUP(B543,'Pre-Summary'!$BG$6:$BL$44,4,FALSE),"")</f>
        <v/>
      </c>
    </row>
    <row r="544" spans="2:39" ht="15" customHeight="1" x14ac:dyDescent="0.3">
      <c r="B544">
        <v>54.1</v>
      </c>
      <c r="C544" t="str">
        <f>IFERROR(VLOOKUP(B544,'Pre-Summary'!$DI$6:$DM$23,4,FALSE),"")</f>
        <v/>
      </c>
      <c r="D544" s="10" t="str">
        <f>IFERROR(VLOOKUP(B544,'Pre-Summary'!$AT$6:$AX$14,5,FALSE),D543)</f>
        <v>DSMZ v2: Dropped Na-Ac out of DSMZ 120 media</v>
      </c>
      <c r="E544" s="10" t="str">
        <f>IFERROR(VLOOKUP(B544,'Pre-Summary'!$AT$6:$AX$15,4,FALSE),"")</f>
        <v/>
      </c>
      <c r="F544">
        <f>IFERROR(VLOOKUP(B544,'Pre-Summary'!$AL$6:$AQ$13,6,FALSE),F543)</f>
        <v>5.9405263157894746E-2</v>
      </c>
      <c r="G544" t="str">
        <f>IFERROR(VLOOKUP(B544,'Pre-Summary'!$AE$6:$AJ$85,3,FALSE),"")</f>
        <v/>
      </c>
      <c r="H544" t="str">
        <f>IFERROR(VLOOKUP(B544,'Pre-Summary'!$AE$6:$AJ$85,4,FALSE),"")</f>
        <v/>
      </c>
      <c r="I544" t="str">
        <f>IFERROR(VLOOKUP(B544,'Pre-Summary'!$AE$6:$AJ$85,5,FALSE),"")</f>
        <v/>
      </c>
      <c r="J544" s="45" t="str">
        <f>IFERROR(VLOOKUP(B544,'Pre-Summary'!$AE$6:$AJ$85,6, FALSE),"")</f>
        <v/>
      </c>
      <c r="K544" s="45" t="str">
        <f>IFERROR(VLOOKUP(B544,'Pre-Summary'!$DE$6:$DG$61,3,FALSE),"")</f>
        <v/>
      </c>
      <c r="L544" s="45" t="str">
        <f>IFERROR(VLOOKUP(B544,'Pre-Summary'!$CU$6:$CW$36,3,FALSE),"")</f>
        <v/>
      </c>
      <c r="M544" s="45" t="str">
        <f>IFERROR(VLOOKUP(B544,'Pre-Summary'!$BW$6:$BY$58,2,FALSE),"")</f>
        <v/>
      </c>
      <c r="N544" s="45" t="str">
        <f>IFERROR(VLOOKUP(B544,'Pre-Summary'!$CD$6:$CF$64,2,FALSE),"")</f>
        <v/>
      </c>
      <c r="O544" s="99">
        <f>IFERROR(VLOOKUP(B544,'Pre-Summary'!$BO$6:$BQ$48,3, FALSE),O543)</f>
        <v>1.0915248032216731</v>
      </c>
      <c r="P544" s="99">
        <f>IFERROR(VLOOKUP(B544,'Pre-Summary'!$BS$6:$BU$35,3,FALSE),P543)</f>
        <v>0.25</v>
      </c>
      <c r="Q544" s="54">
        <f t="shared" si="24"/>
        <v>4.3660992128866924</v>
      </c>
      <c r="R544" s="53">
        <f>IFERROR(VLOOKUP(B544,'Pre-Summary'!$BG$6:$BM$44,7,FALSE),R545)</f>
        <v>7.5915763918363535E-2</v>
      </c>
      <c r="S544" s="53">
        <f>IFERROR(VLOOKUP(B544,'Pre-Summary'!$BG$6:$BM$44,6,FALSE),S545)</f>
        <v>5.2897473997019086E-2</v>
      </c>
      <c r="T544" s="45" t="str">
        <f>IFERROR(VLOOKUP(B544,'Pre-Summary'!$Y$6:$AC$83, 3,FALSE),"")</f>
        <v/>
      </c>
      <c r="U544" s="45" t="str">
        <f>IFERROR(VLOOKUP(B544,'Pre-Summary'!$Y$6:$AC$83, 4,FALSE),"")</f>
        <v/>
      </c>
      <c r="V544" t="str">
        <f>IFERROR(VLOOKUP(B544,'Pre-Summary'!$Y$6:$AC$83, 5,FALSE),"")</f>
        <v/>
      </c>
      <c r="W544" s="45" t="str">
        <f>IFERROR(VLOOKUP(B544,'Pre-Summary'!$Y$6:$AD$83,6,FALSE),"")</f>
        <v/>
      </c>
      <c r="X544" t="str">
        <f>IFERROR(VLOOKUP('Pre-Summary'!$DB$6:$DD$63,3,FALSE),"")</f>
        <v/>
      </c>
      <c r="Y544" t="str">
        <f>IFERROR(VLOOKUP(B544,'Pre-Summary'!$CR$6:$CT$36,3,FALSE),"")</f>
        <v/>
      </c>
      <c r="Z544" s="45" t="str">
        <f>IFERROR(VLOOKUP(B544,'Pre-Summary'!$BZ$6:$CB$63,2,FALSE),"")</f>
        <v/>
      </c>
      <c r="AA544" s="45" t="str">
        <f>IFERROR(VLOOKUP(B544,'Pre-Summary'!$CG$6:$CI$70,2,FALSE),"")</f>
        <v/>
      </c>
      <c r="AB544" s="99">
        <f>IFERROR(VLOOKUP(B544,'Pre-Summary'!$A$6:$P$178,9,FALSE),AB545)</f>
        <v>0.87858471235308822</v>
      </c>
      <c r="AC544" s="10">
        <f>IFERROR(VLOOKUP(Summary!B544,'Pre-Summary'!$A$6:$P$184,5, FALSE)/100,AC545)</f>
        <v>0.67272566666666667</v>
      </c>
      <c r="AD544" s="10">
        <f>IFERROR(VLOOKUP(Summary!B544,'Pre-Summary'!$A$6:$P$184,3, FALSE)/100,AD545)</f>
        <v>8.9092333333333329E-2</v>
      </c>
      <c r="AE544" s="10">
        <f>IFERROR(VLOOKUP(Summary!B544,'Pre-Summary'!$A$6:$P$184,7, FALSE)/100,AE545)</f>
        <v>0.23818233333333336</v>
      </c>
      <c r="AF544" s="99">
        <f t="shared" si="25"/>
        <v>7.827516205453211E-2</v>
      </c>
      <c r="AG544" s="99">
        <f t="shared" si="26"/>
        <v>0.20926335681925406</v>
      </c>
      <c r="AH544" s="10" t="str">
        <f>IFERROR(VLOOKUP(B544,'Pre-Summary'!$AZ$6:$BE$65,3,FALSE),"")</f>
        <v/>
      </c>
      <c r="AI544" s="10" t="str">
        <f>IFERROR(VLOOKUP(B544,'Pre-Summary'!$AZ$6:$BE$65,5,FALSE),"")</f>
        <v/>
      </c>
      <c r="AJ544" s="10" t="str">
        <f>IFERROR(VLOOKUP(B544,'Pre-Summary'!$AZ$6:$BE$65,4,FALSE),"")</f>
        <v/>
      </c>
      <c r="AK544" s="10" t="str">
        <f>IFERROR(VLOOKUP(B544,'Pre-Summary'!$AZ$6:$BE$65,6,FALSE),"")</f>
        <v/>
      </c>
      <c r="AL544" s="10" t="str">
        <f>IFERROR(VLOOKUP(B544,'Pre-Summary'!$BG$6:$BL$44,3,FALSE),"")</f>
        <v/>
      </c>
      <c r="AM544" s="10" t="str">
        <f>IFERROR(VLOOKUP(B544,'Pre-Summary'!$BG$6:$BL$44,4,FALSE),"")</f>
        <v/>
      </c>
    </row>
    <row r="545" spans="2:39" ht="15" customHeight="1" x14ac:dyDescent="0.3">
      <c r="B545">
        <v>54.2</v>
      </c>
      <c r="C545" t="str">
        <f>IFERROR(VLOOKUP(B545,'Pre-Summary'!$DI$6:$DM$23,4,FALSE),"")</f>
        <v/>
      </c>
      <c r="D545" s="10" t="str">
        <f>IFERROR(VLOOKUP(B545,'Pre-Summary'!$AT$6:$AX$14,5,FALSE),D544)</f>
        <v>DSMZ v2: Dropped Na-Ac out of DSMZ 120 media</v>
      </c>
      <c r="E545" s="10" t="str">
        <f>IFERROR(VLOOKUP(B545,'Pre-Summary'!$AT$6:$AX$15,4,FALSE),"")</f>
        <v/>
      </c>
      <c r="F545">
        <f>IFERROR(VLOOKUP(B545,'Pre-Summary'!$AL$6:$AQ$13,6,FALSE),F544)</f>
        <v>5.9405263157894746E-2</v>
      </c>
      <c r="G545" t="str">
        <f>IFERROR(VLOOKUP(B545,'Pre-Summary'!$AE$6:$AJ$85,3,FALSE),"")</f>
        <v/>
      </c>
      <c r="H545" t="str">
        <f>IFERROR(VLOOKUP(B545,'Pre-Summary'!$AE$6:$AJ$85,4,FALSE),"")</f>
        <v/>
      </c>
      <c r="I545" t="str">
        <f>IFERROR(VLOOKUP(B545,'Pre-Summary'!$AE$6:$AJ$85,5,FALSE),"")</f>
        <v/>
      </c>
      <c r="J545" s="45" t="str">
        <f>IFERROR(VLOOKUP(B545,'Pre-Summary'!$AE$6:$AJ$85,6, FALSE),"")</f>
        <v/>
      </c>
      <c r="K545" s="45" t="str">
        <f>IFERROR(VLOOKUP(B545,'Pre-Summary'!$DE$6:$DG$61,3,FALSE),"")</f>
        <v/>
      </c>
      <c r="L545" s="45" t="str">
        <f>IFERROR(VLOOKUP(B545,'Pre-Summary'!$CU$6:$CW$36,3,FALSE),"")</f>
        <v/>
      </c>
      <c r="M545" s="45" t="str">
        <f>IFERROR(VLOOKUP(B545,'Pre-Summary'!$BW$6:$BY$58,2,FALSE),"")</f>
        <v/>
      </c>
      <c r="N545" s="45" t="str">
        <f>IFERROR(VLOOKUP(B545,'Pre-Summary'!$CD$6:$CF$64,2,FALSE),"")</f>
        <v/>
      </c>
      <c r="O545" s="99">
        <f>IFERROR(VLOOKUP(B545,'Pre-Summary'!$BO$6:$BQ$48,3, FALSE),O544)</f>
        <v>1.0915248032216731</v>
      </c>
      <c r="P545" s="99">
        <f>IFERROR(VLOOKUP(B545,'Pre-Summary'!$BS$6:$BU$35,3,FALSE),P544)</f>
        <v>0.25</v>
      </c>
      <c r="Q545" s="54">
        <f t="shared" si="24"/>
        <v>4.3660992128866924</v>
      </c>
      <c r="R545" s="53">
        <f>IFERROR(VLOOKUP(B545,'Pre-Summary'!$BG$6:$BM$44,7,FALSE),R546)</f>
        <v>7.5915763918363535E-2</v>
      </c>
      <c r="S545" s="53">
        <f>IFERROR(VLOOKUP(B545,'Pre-Summary'!$BG$6:$BM$44,6,FALSE),S546)</f>
        <v>5.2897473997019086E-2</v>
      </c>
      <c r="T545" s="45" t="str">
        <f>IFERROR(VLOOKUP(B545,'Pre-Summary'!$Y$6:$AC$83, 3,FALSE),"")</f>
        <v/>
      </c>
      <c r="U545" s="45" t="str">
        <f>IFERROR(VLOOKUP(B545,'Pre-Summary'!$Y$6:$AC$83, 4,FALSE),"")</f>
        <v/>
      </c>
      <c r="V545" t="str">
        <f>IFERROR(VLOOKUP(B545,'Pre-Summary'!$Y$6:$AC$83, 5,FALSE),"")</f>
        <v/>
      </c>
      <c r="W545" s="45" t="str">
        <f>IFERROR(VLOOKUP(B545,'Pre-Summary'!$Y$6:$AD$83,6,FALSE),"")</f>
        <v/>
      </c>
      <c r="X545" t="str">
        <f>IFERROR(VLOOKUP('Pre-Summary'!$DB$6:$DD$63,3,FALSE),"")</f>
        <v/>
      </c>
      <c r="Y545" t="str">
        <f>IFERROR(VLOOKUP(B545,'Pre-Summary'!$CR$6:$CT$36,3,FALSE),"")</f>
        <v/>
      </c>
      <c r="Z545" s="45" t="str">
        <f>IFERROR(VLOOKUP(B545,'Pre-Summary'!$BZ$6:$CB$63,2,FALSE),"")</f>
        <v/>
      </c>
      <c r="AA545" s="45" t="str">
        <f>IFERROR(VLOOKUP(B545,'Pre-Summary'!$CG$6:$CI$70,2,FALSE),"")</f>
        <v/>
      </c>
      <c r="AB545" s="99">
        <f>IFERROR(VLOOKUP(B545,'Pre-Summary'!$A$6:$P$178,9,FALSE),AB546)</f>
        <v>0.87858471235308822</v>
      </c>
      <c r="AC545" s="10">
        <f>IFERROR(VLOOKUP(Summary!B545,'Pre-Summary'!$A$6:$P$184,5, FALSE)/100,AC546)</f>
        <v>0.67272566666666667</v>
      </c>
      <c r="AD545" s="10">
        <f>IFERROR(VLOOKUP(Summary!B545,'Pre-Summary'!$A$6:$P$184,3, FALSE)/100,AD546)</f>
        <v>8.9092333333333329E-2</v>
      </c>
      <c r="AE545" s="10">
        <f>IFERROR(VLOOKUP(Summary!B545,'Pre-Summary'!$A$6:$P$184,7, FALSE)/100,AE546)</f>
        <v>0.23818233333333336</v>
      </c>
      <c r="AF545" s="99">
        <f t="shared" si="25"/>
        <v>7.827516205453211E-2</v>
      </c>
      <c r="AG545" s="99">
        <f t="shared" si="26"/>
        <v>0.20926335681925406</v>
      </c>
      <c r="AH545" s="10" t="str">
        <f>IFERROR(VLOOKUP(B545,'Pre-Summary'!$AZ$6:$BE$65,3,FALSE),"")</f>
        <v/>
      </c>
      <c r="AI545" s="10" t="str">
        <f>IFERROR(VLOOKUP(B545,'Pre-Summary'!$AZ$6:$BE$65,5,FALSE),"")</f>
        <v/>
      </c>
      <c r="AJ545" s="10" t="str">
        <f>IFERROR(VLOOKUP(B545,'Pre-Summary'!$AZ$6:$BE$65,4,FALSE),"")</f>
        <v/>
      </c>
      <c r="AK545" s="10" t="str">
        <f>IFERROR(VLOOKUP(B545,'Pre-Summary'!$AZ$6:$BE$65,6,FALSE),"")</f>
        <v/>
      </c>
      <c r="AL545" s="10" t="str">
        <f>IFERROR(VLOOKUP(B545,'Pre-Summary'!$BG$6:$BL$44,3,FALSE),"")</f>
        <v/>
      </c>
      <c r="AM545" s="10" t="str">
        <f>IFERROR(VLOOKUP(B545,'Pre-Summary'!$BG$6:$BL$44,4,FALSE),"")</f>
        <v/>
      </c>
    </row>
    <row r="546" spans="2:39" ht="15" customHeight="1" x14ac:dyDescent="0.3">
      <c r="B546">
        <v>54.3</v>
      </c>
      <c r="C546" t="str">
        <f>IFERROR(VLOOKUP(B546,'Pre-Summary'!$DI$6:$DM$23,4,FALSE),"")</f>
        <v/>
      </c>
      <c r="D546" s="10" t="str">
        <f>IFERROR(VLOOKUP(B546,'Pre-Summary'!$AT$6:$AX$14,5,FALSE),D545)</f>
        <v>DSMZ v2: Dropped Na-Ac out of DSMZ 120 media</v>
      </c>
      <c r="E546" s="10" t="str">
        <f>IFERROR(VLOOKUP(B546,'Pre-Summary'!$AT$6:$AX$15,4,FALSE),"")</f>
        <v/>
      </c>
      <c r="F546">
        <f>IFERROR(VLOOKUP(B546,'Pre-Summary'!$AL$6:$AQ$13,6,FALSE),F545)</f>
        <v>5.9405263157894746E-2</v>
      </c>
      <c r="G546" t="str">
        <f>IFERROR(VLOOKUP(B546,'Pre-Summary'!$AE$6:$AJ$85,3,FALSE),"")</f>
        <v/>
      </c>
      <c r="H546" t="str">
        <f>IFERROR(VLOOKUP(B546,'Pre-Summary'!$AE$6:$AJ$85,4,FALSE),"")</f>
        <v/>
      </c>
      <c r="I546" t="str">
        <f>IFERROR(VLOOKUP(B546,'Pre-Summary'!$AE$6:$AJ$85,5,FALSE),"")</f>
        <v/>
      </c>
      <c r="J546" s="45" t="str">
        <f>IFERROR(VLOOKUP(B546,'Pre-Summary'!$AE$6:$AJ$85,6, FALSE),"")</f>
        <v/>
      </c>
      <c r="K546" s="45" t="str">
        <f>IFERROR(VLOOKUP(B546,'Pre-Summary'!$DE$6:$DG$61,3,FALSE),"")</f>
        <v/>
      </c>
      <c r="L546" s="45" t="str">
        <f>IFERROR(VLOOKUP(B546,'Pre-Summary'!$CU$6:$CW$36,3,FALSE),"")</f>
        <v/>
      </c>
      <c r="M546" s="45" t="str">
        <f>IFERROR(VLOOKUP(B546,'Pre-Summary'!$BW$6:$BY$58,2,FALSE),"")</f>
        <v/>
      </c>
      <c r="N546" s="45" t="str">
        <f>IFERROR(VLOOKUP(B546,'Pre-Summary'!$CD$6:$CF$64,2,FALSE),"")</f>
        <v/>
      </c>
      <c r="O546" s="99">
        <f>IFERROR(VLOOKUP(B546,'Pre-Summary'!$BO$6:$BQ$48,3, FALSE),O545)</f>
        <v>1.0915248032216731</v>
      </c>
      <c r="P546" s="99">
        <f>IFERROR(VLOOKUP(B546,'Pre-Summary'!$BS$6:$BU$35,3,FALSE),P545)</f>
        <v>0.25</v>
      </c>
      <c r="Q546" s="54">
        <f t="shared" si="24"/>
        <v>4.3660992128866924</v>
      </c>
      <c r="R546" s="53">
        <f>IFERROR(VLOOKUP(B546,'Pre-Summary'!$BG$6:$BM$44,7,FALSE),R547)</f>
        <v>7.5915763918363535E-2</v>
      </c>
      <c r="S546" s="53">
        <f>IFERROR(VLOOKUP(B546,'Pre-Summary'!$BG$6:$BM$44,6,FALSE),S547)</f>
        <v>5.2897473997019086E-2</v>
      </c>
      <c r="T546" s="45" t="str">
        <f>IFERROR(VLOOKUP(B546,'Pre-Summary'!$Y$6:$AC$83, 3,FALSE),"")</f>
        <v/>
      </c>
      <c r="U546" s="45" t="str">
        <f>IFERROR(VLOOKUP(B546,'Pre-Summary'!$Y$6:$AC$83, 4,FALSE),"")</f>
        <v/>
      </c>
      <c r="V546" t="str">
        <f>IFERROR(VLOOKUP(B546,'Pre-Summary'!$Y$6:$AC$83, 5,FALSE),"")</f>
        <v/>
      </c>
      <c r="W546" s="45" t="str">
        <f>IFERROR(VLOOKUP(B546,'Pre-Summary'!$Y$6:$AD$83,6,FALSE),"")</f>
        <v/>
      </c>
      <c r="X546" t="str">
        <f>IFERROR(VLOOKUP('Pre-Summary'!$DB$6:$DD$63,3,FALSE),"")</f>
        <v/>
      </c>
      <c r="Y546" t="str">
        <f>IFERROR(VLOOKUP(B546,'Pre-Summary'!$CR$6:$CT$36,3,FALSE),"")</f>
        <v/>
      </c>
      <c r="Z546" s="45" t="str">
        <f>IFERROR(VLOOKUP(B546,'Pre-Summary'!$BZ$6:$CB$63,2,FALSE),"")</f>
        <v/>
      </c>
      <c r="AA546" s="45" t="str">
        <f>IFERROR(VLOOKUP(B546,'Pre-Summary'!$CG$6:$CI$70,2,FALSE),"")</f>
        <v/>
      </c>
      <c r="AB546" s="99">
        <f>IFERROR(VLOOKUP(B546,'Pre-Summary'!$A$6:$P$178,9,FALSE),AB547)</f>
        <v>0.87858471235308822</v>
      </c>
      <c r="AC546" s="10">
        <f>IFERROR(VLOOKUP(Summary!B546,'Pre-Summary'!$A$6:$P$184,5, FALSE)/100,AC547)</f>
        <v>0.67272566666666667</v>
      </c>
      <c r="AD546" s="10">
        <f>IFERROR(VLOOKUP(Summary!B546,'Pre-Summary'!$A$6:$P$184,3, FALSE)/100,AD547)</f>
        <v>8.9092333333333329E-2</v>
      </c>
      <c r="AE546" s="10">
        <f>IFERROR(VLOOKUP(Summary!B546,'Pre-Summary'!$A$6:$P$184,7, FALSE)/100,AE547)</f>
        <v>0.23818233333333336</v>
      </c>
      <c r="AF546" s="99">
        <f t="shared" si="25"/>
        <v>7.827516205453211E-2</v>
      </c>
      <c r="AG546" s="99">
        <f t="shared" si="26"/>
        <v>0.20926335681925406</v>
      </c>
      <c r="AH546" s="10" t="str">
        <f>IFERROR(VLOOKUP(B546,'Pre-Summary'!$AZ$6:$BE$65,3,FALSE),"")</f>
        <v/>
      </c>
      <c r="AI546" s="10" t="str">
        <f>IFERROR(VLOOKUP(B546,'Pre-Summary'!$AZ$6:$BE$65,5,FALSE),"")</f>
        <v/>
      </c>
      <c r="AJ546" s="10" t="str">
        <f>IFERROR(VLOOKUP(B546,'Pre-Summary'!$AZ$6:$BE$65,4,FALSE),"")</f>
        <v/>
      </c>
      <c r="AK546" s="10" t="str">
        <f>IFERROR(VLOOKUP(B546,'Pre-Summary'!$AZ$6:$BE$65,6,FALSE),"")</f>
        <v/>
      </c>
      <c r="AL546" s="10" t="str">
        <f>IFERROR(VLOOKUP(B546,'Pre-Summary'!$BG$6:$BL$44,3,FALSE),"")</f>
        <v/>
      </c>
      <c r="AM546" s="10" t="str">
        <f>IFERROR(VLOOKUP(B546,'Pre-Summary'!$BG$6:$BL$44,4,FALSE),"")</f>
        <v/>
      </c>
    </row>
    <row r="547" spans="2:39" ht="15" customHeight="1" x14ac:dyDescent="0.3">
      <c r="B547">
        <v>54.4</v>
      </c>
      <c r="C547" t="str">
        <f>IFERROR(VLOOKUP(B547,'Pre-Summary'!$DI$6:$DM$23,4,FALSE),"")</f>
        <v/>
      </c>
      <c r="D547" s="10" t="str">
        <f>IFERROR(VLOOKUP(B547,'Pre-Summary'!$AT$6:$AX$14,5,FALSE),D546)</f>
        <v>DSMZ v2: Dropped Na-Ac out of DSMZ 120 media</v>
      </c>
      <c r="E547" s="10" t="str">
        <f>IFERROR(VLOOKUP(B547,'Pre-Summary'!$AT$6:$AX$15,4,FALSE),"")</f>
        <v/>
      </c>
      <c r="F547">
        <f>IFERROR(VLOOKUP(B547,'Pre-Summary'!$AL$6:$AQ$13,6,FALSE),F546)</f>
        <v>5.9405263157894746E-2</v>
      </c>
      <c r="G547" t="str">
        <f>IFERROR(VLOOKUP(B547,'Pre-Summary'!$AE$6:$AJ$85,3,FALSE),"")</f>
        <v/>
      </c>
      <c r="H547" t="str">
        <f>IFERROR(VLOOKUP(B547,'Pre-Summary'!$AE$6:$AJ$85,4,FALSE),"")</f>
        <v/>
      </c>
      <c r="I547" t="str">
        <f>IFERROR(VLOOKUP(B547,'Pre-Summary'!$AE$6:$AJ$85,5,FALSE),"")</f>
        <v/>
      </c>
      <c r="J547" s="45" t="str">
        <f>IFERROR(VLOOKUP(B547,'Pre-Summary'!$AE$6:$AJ$85,6, FALSE),"")</f>
        <v/>
      </c>
      <c r="K547" s="45" t="str">
        <f>IFERROR(VLOOKUP(B547,'Pre-Summary'!$DE$6:$DG$61,3,FALSE),"")</f>
        <v/>
      </c>
      <c r="L547" s="45" t="str">
        <f>IFERROR(VLOOKUP(B547,'Pre-Summary'!$CU$6:$CW$36,3,FALSE),"")</f>
        <v/>
      </c>
      <c r="M547" s="45" t="str">
        <f>IFERROR(VLOOKUP(B547,'Pre-Summary'!$BW$6:$BY$58,2,FALSE),"")</f>
        <v/>
      </c>
      <c r="N547" s="45" t="str">
        <f>IFERROR(VLOOKUP(B547,'Pre-Summary'!$CD$6:$CF$64,2,FALSE),"")</f>
        <v/>
      </c>
      <c r="O547" s="99">
        <f>IFERROR(VLOOKUP(B547,'Pre-Summary'!$BO$6:$BQ$48,3, FALSE),O546)</f>
        <v>1.0915248032216731</v>
      </c>
      <c r="P547" s="99">
        <f>IFERROR(VLOOKUP(B547,'Pre-Summary'!$BS$6:$BU$35,3,FALSE),P546)</f>
        <v>0.25</v>
      </c>
      <c r="Q547" s="54">
        <f t="shared" si="24"/>
        <v>4.3660992128866924</v>
      </c>
      <c r="R547" s="53">
        <f>IFERROR(VLOOKUP(B547,'Pre-Summary'!$BG$6:$BM$44,7,FALSE),R548)</f>
        <v>7.5915763918363535E-2</v>
      </c>
      <c r="S547" s="53">
        <f>IFERROR(VLOOKUP(B547,'Pre-Summary'!$BG$6:$BM$44,6,FALSE),S548)</f>
        <v>5.2897473997019086E-2</v>
      </c>
      <c r="T547" s="45" t="str">
        <f>IFERROR(VLOOKUP(B547,'Pre-Summary'!$Y$6:$AC$83, 3,FALSE),"")</f>
        <v/>
      </c>
      <c r="U547" s="45" t="str">
        <f>IFERROR(VLOOKUP(B547,'Pre-Summary'!$Y$6:$AC$83, 4,FALSE),"")</f>
        <v/>
      </c>
      <c r="V547" t="str">
        <f>IFERROR(VLOOKUP(B547,'Pre-Summary'!$Y$6:$AC$83, 5,FALSE),"")</f>
        <v/>
      </c>
      <c r="W547" s="45" t="str">
        <f>IFERROR(VLOOKUP(B547,'Pre-Summary'!$Y$6:$AD$83,6,FALSE),"")</f>
        <v/>
      </c>
      <c r="X547" t="str">
        <f>IFERROR(VLOOKUP('Pre-Summary'!$DB$6:$DD$63,3,FALSE),"")</f>
        <v/>
      </c>
      <c r="Y547" t="str">
        <f>IFERROR(VLOOKUP(B547,'Pre-Summary'!$CR$6:$CT$36,3,FALSE),"")</f>
        <v/>
      </c>
      <c r="Z547" s="45" t="str">
        <f>IFERROR(VLOOKUP(B547,'Pre-Summary'!$BZ$6:$CB$63,2,FALSE),"")</f>
        <v/>
      </c>
      <c r="AA547" s="45" t="str">
        <f>IFERROR(VLOOKUP(B547,'Pre-Summary'!$CG$6:$CI$70,2,FALSE),"")</f>
        <v/>
      </c>
      <c r="AB547" s="99">
        <f>IFERROR(VLOOKUP(B547,'Pre-Summary'!$A$6:$P$178,9,FALSE),AB548)</f>
        <v>0.87858471235308822</v>
      </c>
      <c r="AC547" s="10">
        <f>IFERROR(VLOOKUP(Summary!B547,'Pre-Summary'!$A$6:$P$184,5, FALSE)/100,AC548)</f>
        <v>0.67272566666666667</v>
      </c>
      <c r="AD547" s="10">
        <f>IFERROR(VLOOKUP(Summary!B547,'Pre-Summary'!$A$6:$P$184,3, FALSE)/100,AD548)</f>
        <v>8.9092333333333329E-2</v>
      </c>
      <c r="AE547" s="10">
        <f>IFERROR(VLOOKUP(Summary!B547,'Pre-Summary'!$A$6:$P$184,7, FALSE)/100,AE548)</f>
        <v>0.23818233333333336</v>
      </c>
      <c r="AF547" s="99">
        <f t="shared" si="25"/>
        <v>7.827516205453211E-2</v>
      </c>
      <c r="AG547" s="99">
        <f t="shared" si="26"/>
        <v>0.20926335681925406</v>
      </c>
      <c r="AH547" s="10" t="str">
        <f>IFERROR(VLOOKUP(B547,'Pre-Summary'!$AZ$6:$BE$65,3,FALSE),"")</f>
        <v/>
      </c>
      <c r="AI547" s="10" t="str">
        <f>IFERROR(VLOOKUP(B547,'Pre-Summary'!$AZ$6:$BE$65,5,FALSE),"")</f>
        <v/>
      </c>
      <c r="AJ547" s="10" t="str">
        <f>IFERROR(VLOOKUP(B547,'Pre-Summary'!$AZ$6:$BE$65,4,FALSE),"")</f>
        <v/>
      </c>
      <c r="AK547" s="10" t="str">
        <f>IFERROR(VLOOKUP(B547,'Pre-Summary'!$AZ$6:$BE$65,6,FALSE),"")</f>
        <v/>
      </c>
      <c r="AL547" s="10" t="str">
        <f>IFERROR(VLOOKUP(B547,'Pre-Summary'!$BG$6:$BL$44,3,FALSE),"")</f>
        <v/>
      </c>
      <c r="AM547" s="10" t="str">
        <f>IFERROR(VLOOKUP(B547,'Pre-Summary'!$BG$6:$BL$44,4,FALSE),"")</f>
        <v/>
      </c>
    </row>
    <row r="548" spans="2:39" ht="15" customHeight="1" x14ac:dyDescent="0.3">
      <c r="B548">
        <v>54.5</v>
      </c>
      <c r="C548" t="str">
        <f>IFERROR(VLOOKUP(B548,'Pre-Summary'!$DI$6:$DM$23,4,FALSE),"")</f>
        <v/>
      </c>
      <c r="D548" s="10" t="str">
        <f>IFERROR(VLOOKUP(B548,'Pre-Summary'!$AT$6:$AX$14,5,FALSE),D547)</f>
        <v>DSMZ v2: Dropped Na-Ac out of DSMZ 120 media</v>
      </c>
      <c r="E548" s="10" t="str">
        <f>IFERROR(VLOOKUP(B548,'Pre-Summary'!$AT$6:$AX$15,4,FALSE),"")</f>
        <v/>
      </c>
      <c r="F548">
        <f>IFERROR(VLOOKUP(B548,'Pre-Summary'!$AL$6:$AQ$13,6,FALSE),F547)</f>
        <v>5.9405263157894746E-2</v>
      </c>
      <c r="G548" t="str">
        <f>IFERROR(VLOOKUP(B548,'Pre-Summary'!$AE$6:$AJ$85,3,FALSE),"")</f>
        <v/>
      </c>
      <c r="H548" t="str">
        <f>IFERROR(VLOOKUP(B548,'Pre-Summary'!$AE$6:$AJ$85,4,FALSE),"")</f>
        <v/>
      </c>
      <c r="I548" t="str">
        <f>IFERROR(VLOOKUP(B548,'Pre-Summary'!$AE$6:$AJ$85,5,FALSE),"")</f>
        <v/>
      </c>
      <c r="J548" s="45" t="str">
        <f>IFERROR(VLOOKUP(B548,'Pre-Summary'!$AE$6:$AJ$85,6, FALSE),"")</f>
        <v/>
      </c>
      <c r="K548" s="45" t="str">
        <f>IFERROR(VLOOKUP(B548,'Pre-Summary'!$DE$6:$DG$61,3,FALSE),"")</f>
        <v/>
      </c>
      <c r="L548" s="45" t="str">
        <f>IFERROR(VLOOKUP(B548,'Pre-Summary'!$CU$6:$CW$36,3,FALSE),"")</f>
        <v/>
      </c>
      <c r="M548" s="45" t="str">
        <f>IFERROR(VLOOKUP(B548,'Pre-Summary'!$BW$6:$BY$58,2,FALSE),"")</f>
        <v/>
      </c>
      <c r="N548" s="45" t="str">
        <f>IFERROR(VLOOKUP(B548,'Pre-Summary'!$CD$6:$CF$64,2,FALSE),"")</f>
        <v/>
      </c>
      <c r="O548" s="99">
        <f>IFERROR(VLOOKUP(B548,'Pre-Summary'!$BO$6:$BQ$48,3, FALSE),O547)</f>
        <v>1.0915248032216731</v>
      </c>
      <c r="P548" s="99">
        <f>IFERROR(VLOOKUP(B548,'Pre-Summary'!$BS$6:$BU$35,3,FALSE),P547)</f>
        <v>0.25</v>
      </c>
      <c r="Q548" s="54">
        <f t="shared" si="24"/>
        <v>4.3660992128866924</v>
      </c>
      <c r="R548" s="53">
        <f>IFERROR(VLOOKUP(B548,'Pre-Summary'!$BG$6:$BM$44,7,FALSE),R549)</f>
        <v>7.5915763918363535E-2</v>
      </c>
      <c r="S548" s="53">
        <f>IFERROR(VLOOKUP(B548,'Pre-Summary'!$BG$6:$BM$44,6,FALSE),S549)</f>
        <v>5.2897473997019086E-2</v>
      </c>
      <c r="T548" s="45" t="str">
        <f>IFERROR(VLOOKUP(B548,'Pre-Summary'!$Y$6:$AC$83, 3,FALSE),"")</f>
        <v/>
      </c>
      <c r="U548" s="45" t="str">
        <f>IFERROR(VLOOKUP(B548,'Pre-Summary'!$Y$6:$AC$83, 4,FALSE),"")</f>
        <v/>
      </c>
      <c r="V548" t="str">
        <f>IFERROR(VLOOKUP(B548,'Pre-Summary'!$Y$6:$AC$83, 5,FALSE),"")</f>
        <v/>
      </c>
      <c r="W548" s="45" t="str">
        <f>IFERROR(VLOOKUP(B548,'Pre-Summary'!$Y$6:$AD$83,6,FALSE),"")</f>
        <v/>
      </c>
      <c r="X548" t="str">
        <f>IFERROR(VLOOKUP('Pre-Summary'!$DB$6:$DD$63,3,FALSE),"")</f>
        <v/>
      </c>
      <c r="Y548" t="str">
        <f>IFERROR(VLOOKUP(B548,'Pre-Summary'!$CR$6:$CT$36,3,FALSE),"")</f>
        <v/>
      </c>
      <c r="Z548" s="45" t="str">
        <f>IFERROR(VLOOKUP(B548,'Pre-Summary'!$BZ$6:$CB$63,2,FALSE),"")</f>
        <v/>
      </c>
      <c r="AA548" s="45" t="str">
        <f>IFERROR(VLOOKUP(B548,'Pre-Summary'!$CG$6:$CI$70,2,FALSE),"")</f>
        <v/>
      </c>
      <c r="AB548" s="99">
        <f>IFERROR(VLOOKUP(B548,'Pre-Summary'!$A$6:$P$178,9,FALSE),AB549)</f>
        <v>0.87858471235308822</v>
      </c>
      <c r="AC548" s="10">
        <f>IFERROR(VLOOKUP(Summary!B548,'Pre-Summary'!$A$6:$P$184,5, FALSE)/100,AC549)</f>
        <v>0.67272566666666667</v>
      </c>
      <c r="AD548" s="10">
        <f>IFERROR(VLOOKUP(Summary!B548,'Pre-Summary'!$A$6:$P$184,3, FALSE)/100,AD549)</f>
        <v>8.9092333333333329E-2</v>
      </c>
      <c r="AE548" s="10">
        <f>IFERROR(VLOOKUP(Summary!B548,'Pre-Summary'!$A$6:$P$184,7, FALSE)/100,AE549)</f>
        <v>0.23818233333333336</v>
      </c>
      <c r="AF548" s="99">
        <f t="shared" si="25"/>
        <v>7.827516205453211E-2</v>
      </c>
      <c r="AG548" s="99">
        <f t="shared" si="26"/>
        <v>0.20926335681925406</v>
      </c>
      <c r="AH548" s="10" t="str">
        <f>IFERROR(VLOOKUP(B548,'Pre-Summary'!$AZ$6:$BE$65,3,FALSE),"")</f>
        <v/>
      </c>
      <c r="AI548" s="10" t="str">
        <f>IFERROR(VLOOKUP(B548,'Pre-Summary'!$AZ$6:$BE$65,5,FALSE),"")</f>
        <v/>
      </c>
      <c r="AJ548" s="10" t="str">
        <f>IFERROR(VLOOKUP(B548,'Pre-Summary'!$AZ$6:$BE$65,4,FALSE),"")</f>
        <v/>
      </c>
      <c r="AK548" s="10" t="str">
        <f>IFERROR(VLOOKUP(B548,'Pre-Summary'!$AZ$6:$BE$65,6,FALSE),"")</f>
        <v/>
      </c>
      <c r="AL548" s="10" t="str">
        <f>IFERROR(VLOOKUP(B548,'Pre-Summary'!$BG$6:$BL$44,3,FALSE),"")</f>
        <v/>
      </c>
      <c r="AM548" s="10" t="str">
        <f>IFERROR(VLOOKUP(B548,'Pre-Summary'!$BG$6:$BL$44,4,FALSE),"")</f>
        <v/>
      </c>
    </row>
    <row r="549" spans="2:39" ht="15" customHeight="1" x14ac:dyDescent="0.3">
      <c r="B549">
        <v>54.6</v>
      </c>
      <c r="C549" t="str">
        <f>IFERROR(VLOOKUP(B549,'Pre-Summary'!$DI$6:$DM$23,4,FALSE),"")</f>
        <v/>
      </c>
      <c r="D549" s="10" t="str">
        <f>IFERROR(VLOOKUP(B549,'Pre-Summary'!$AT$6:$AX$14,5,FALSE),D548)</f>
        <v>DSMZ v2: Dropped Na-Ac out of DSMZ 120 media</v>
      </c>
      <c r="E549" s="10" t="str">
        <f>IFERROR(VLOOKUP(B549,'Pre-Summary'!$AT$6:$AX$15,4,FALSE),"")</f>
        <v/>
      </c>
      <c r="F549">
        <f>IFERROR(VLOOKUP(B549,'Pre-Summary'!$AL$6:$AQ$13,6,FALSE),F548)</f>
        <v>5.9405263157894746E-2</v>
      </c>
      <c r="G549" t="str">
        <f>IFERROR(VLOOKUP(B549,'Pre-Summary'!$AE$6:$AJ$85,3,FALSE),"")</f>
        <v/>
      </c>
      <c r="H549" t="str">
        <f>IFERROR(VLOOKUP(B549,'Pre-Summary'!$AE$6:$AJ$85,4,FALSE),"")</f>
        <v/>
      </c>
      <c r="I549" t="str">
        <f>IFERROR(VLOOKUP(B549,'Pre-Summary'!$AE$6:$AJ$85,5,FALSE),"")</f>
        <v/>
      </c>
      <c r="J549" s="45" t="str">
        <f>IFERROR(VLOOKUP(B549,'Pre-Summary'!$AE$6:$AJ$85,6, FALSE),"")</f>
        <v/>
      </c>
      <c r="K549" s="45" t="str">
        <f>IFERROR(VLOOKUP(B549,'Pre-Summary'!$DE$6:$DG$61,3,FALSE),"")</f>
        <v/>
      </c>
      <c r="L549" s="45" t="str">
        <f>IFERROR(VLOOKUP(B549,'Pre-Summary'!$CU$6:$CW$36,3,FALSE),"")</f>
        <v/>
      </c>
      <c r="M549" s="45" t="str">
        <f>IFERROR(VLOOKUP(B549,'Pre-Summary'!$BW$6:$BY$58,2,FALSE),"")</f>
        <v/>
      </c>
      <c r="N549" s="45" t="str">
        <f>IFERROR(VLOOKUP(B549,'Pre-Summary'!$CD$6:$CF$64,2,FALSE),"")</f>
        <v/>
      </c>
      <c r="O549" s="99">
        <f>IFERROR(VLOOKUP(B549,'Pre-Summary'!$BO$6:$BQ$48,3, FALSE),O548)</f>
        <v>1.0915248032216731</v>
      </c>
      <c r="P549" s="99">
        <f>IFERROR(VLOOKUP(B549,'Pre-Summary'!$BS$6:$BU$35,3,FALSE),P548)</f>
        <v>0.25</v>
      </c>
      <c r="Q549" s="54">
        <f t="shared" si="24"/>
        <v>4.3660992128866924</v>
      </c>
      <c r="R549" s="53">
        <f>IFERROR(VLOOKUP(B549,'Pre-Summary'!$BG$6:$BM$44,7,FALSE),R550)</f>
        <v>7.5915763918363535E-2</v>
      </c>
      <c r="S549" s="53">
        <f>IFERROR(VLOOKUP(B549,'Pre-Summary'!$BG$6:$BM$44,6,FALSE),S550)</f>
        <v>5.2897473997019086E-2</v>
      </c>
      <c r="T549" s="45" t="str">
        <f>IFERROR(VLOOKUP(B549,'Pre-Summary'!$Y$6:$AC$83, 3,FALSE),"")</f>
        <v/>
      </c>
      <c r="U549" s="45" t="str">
        <f>IFERROR(VLOOKUP(B549,'Pre-Summary'!$Y$6:$AC$83, 4,FALSE),"")</f>
        <v/>
      </c>
      <c r="V549" t="str">
        <f>IFERROR(VLOOKUP(B549,'Pre-Summary'!$Y$6:$AC$83, 5,FALSE),"")</f>
        <v/>
      </c>
      <c r="W549" s="45" t="str">
        <f>IFERROR(VLOOKUP(B549,'Pre-Summary'!$Y$6:$AD$83,6,FALSE),"")</f>
        <v/>
      </c>
      <c r="X549" t="str">
        <f>IFERROR(VLOOKUP('Pre-Summary'!$DB$6:$DD$63,3,FALSE),"")</f>
        <v/>
      </c>
      <c r="Y549" t="str">
        <f>IFERROR(VLOOKUP(B549,'Pre-Summary'!$CR$6:$CT$36,3,FALSE),"")</f>
        <v/>
      </c>
      <c r="Z549" s="45" t="str">
        <f>IFERROR(VLOOKUP(B549,'Pre-Summary'!$BZ$6:$CB$63,2,FALSE),"")</f>
        <v/>
      </c>
      <c r="AA549" s="45" t="str">
        <f>IFERROR(VLOOKUP(B549,'Pre-Summary'!$CG$6:$CI$70,2,FALSE),"")</f>
        <v/>
      </c>
      <c r="AB549" s="99">
        <f>IFERROR(VLOOKUP(B549,'Pre-Summary'!$A$6:$P$178,9,FALSE),AB550)</f>
        <v>0.87858471235308822</v>
      </c>
      <c r="AC549" s="10">
        <f>IFERROR(VLOOKUP(Summary!B549,'Pre-Summary'!$A$6:$P$184,5, FALSE)/100,AC550)</f>
        <v>0.67272566666666667</v>
      </c>
      <c r="AD549" s="10">
        <f>IFERROR(VLOOKUP(Summary!B549,'Pre-Summary'!$A$6:$P$184,3, FALSE)/100,AD550)</f>
        <v>8.9092333333333329E-2</v>
      </c>
      <c r="AE549" s="10">
        <f>IFERROR(VLOOKUP(Summary!B549,'Pre-Summary'!$A$6:$P$184,7, FALSE)/100,AE550)</f>
        <v>0.23818233333333336</v>
      </c>
      <c r="AF549" s="99">
        <f t="shared" si="25"/>
        <v>7.827516205453211E-2</v>
      </c>
      <c r="AG549" s="99">
        <f t="shared" si="26"/>
        <v>0.20926335681925406</v>
      </c>
      <c r="AH549" s="10" t="str">
        <f>IFERROR(VLOOKUP(B549,'Pre-Summary'!$AZ$6:$BE$65,3,FALSE),"")</f>
        <v/>
      </c>
      <c r="AI549" s="10" t="str">
        <f>IFERROR(VLOOKUP(B549,'Pre-Summary'!$AZ$6:$BE$65,5,FALSE),"")</f>
        <v/>
      </c>
      <c r="AJ549" s="10" t="str">
        <f>IFERROR(VLOOKUP(B549,'Pre-Summary'!$AZ$6:$BE$65,4,FALSE),"")</f>
        <v/>
      </c>
      <c r="AK549" s="10" t="str">
        <f>IFERROR(VLOOKUP(B549,'Pre-Summary'!$AZ$6:$BE$65,6,FALSE),"")</f>
        <v/>
      </c>
      <c r="AL549" s="10" t="str">
        <f>IFERROR(VLOOKUP(B549,'Pre-Summary'!$BG$6:$BL$44,3,FALSE),"")</f>
        <v/>
      </c>
      <c r="AM549" s="10" t="str">
        <f>IFERROR(VLOOKUP(B549,'Pre-Summary'!$BG$6:$BL$44,4,FALSE),"")</f>
        <v/>
      </c>
    </row>
    <row r="550" spans="2:39" ht="15" customHeight="1" x14ac:dyDescent="0.3">
      <c r="B550">
        <v>54.7</v>
      </c>
      <c r="C550" t="str">
        <f>IFERROR(VLOOKUP(B550,'Pre-Summary'!$DI$6:$DM$23,4,FALSE),"")</f>
        <v/>
      </c>
      <c r="D550" s="10" t="str">
        <f>IFERROR(VLOOKUP(B550,'Pre-Summary'!$AT$6:$AX$14,5,FALSE),D549)</f>
        <v>DSMZ v2: Dropped Na-Ac out of DSMZ 120 media</v>
      </c>
      <c r="E550" s="10" t="str">
        <f>IFERROR(VLOOKUP(B550,'Pre-Summary'!$AT$6:$AX$15,4,FALSE),"")</f>
        <v/>
      </c>
      <c r="F550">
        <f>IFERROR(VLOOKUP(B550,'Pre-Summary'!$AL$6:$AQ$13,6,FALSE),F549)</f>
        <v>5.9405263157894746E-2</v>
      </c>
      <c r="G550" t="str">
        <f>IFERROR(VLOOKUP(B550,'Pre-Summary'!$AE$6:$AJ$85,3,FALSE),"")</f>
        <v/>
      </c>
      <c r="H550" t="str">
        <f>IFERROR(VLOOKUP(B550,'Pre-Summary'!$AE$6:$AJ$85,4,FALSE),"")</f>
        <v/>
      </c>
      <c r="I550" t="str">
        <f>IFERROR(VLOOKUP(B550,'Pre-Summary'!$AE$6:$AJ$85,5,FALSE),"")</f>
        <v/>
      </c>
      <c r="J550" s="45" t="str">
        <f>IFERROR(VLOOKUP(B550,'Pre-Summary'!$AE$6:$AJ$85,6, FALSE),"")</f>
        <v/>
      </c>
      <c r="K550" s="45" t="str">
        <f>IFERROR(VLOOKUP(B550,'Pre-Summary'!$DE$6:$DG$61,3,FALSE),"")</f>
        <v/>
      </c>
      <c r="L550" s="45" t="str">
        <f>IFERROR(VLOOKUP(B550,'Pre-Summary'!$CU$6:$CW$36,3,FALSE),"")</f>
        <v/>
      </c>
      <c r="M550" s="45" t="str">
        <f>IFERROR(VLOOKUP(B550,'Pre-Summary'!$BW$6:$BY$58,2,FALSE),"")</f>
        <v/>
      </c>
      <c r="N550" s="45" t="str">
        <f>IFERROR(VLOOKUP(B550,'Pre-Summary'!$CD$6:$CF$64,2,FALSE),"")</f>
        <v/>
      </c>
      <c r="O550" s="99">
        <f>IFERROR(VLOOKUP(B550,'Pre-Summary'!$BO$6:$BQ$48,3, FALSE),O549)</f>
        <v>1.0915248032216731</v>
      </c>
      <c r="P550" s="99">
        <f>IFERROR(VLOOKUP(B550,'Pre-Summary'!$BS$6:$BU$35,3,FALSE),P549)</f>
        <v>0.25</v>
      </c>
      <c r="Q550" s="54">
        <f t="shared" si="24"/>
        <v>4.3660992128866924</v>
      </c>
      <c r="R550" s="53">
        <f>IFERROR(VLOOKUP(B550,'Pre-Summary'!$BG$6:$BM$44,7,FALSE),R551)</f>
        <v>7.5915763918363535E-2</v>
      </c>
      <c r="S550" s="53">
        <f>IFERROR(VLOOKUP(B550,'Pre-Summary'!$BG$6:$BM$44,6,FALSE),S551)</f>
        <v>5.2897473997019086E-2</v>
      </c>
      <c r="T550" s="45" t="str">
        <f>IFERROR(VLOOKUP(B550,'Pre-Summary'!$Y$6:$AC$83, 3,FALSE),"")</f>
        <v/>
      </c>
      <c r="U550" s="45" t="str">
        <f>IFERROR(VLOOKUP(B550,'Pre-Summary'!$Y$6:$AC$83, 4,FALSE),"")</f>
        <v/>
      </c>
      <c r="V550" t="str">
        <f>IFERROR(VLOOKUP(B550,'Pre-Summary'!$Y$6:$AC$83, 5,FALSE),"")</f>
        <v/>
      </c>
      <c r="W550" s="45" t="str">
        <f>IFERROR(VLOOKUP(B550,'Pre-Summary'!$Y$6:$AD$83,6,FALSE),"")</f>
        <v/>
      </c>
      <c r="X550" t="str">
        <f>IFERROR(VLOOKUP('Pre-Summary'!$DB$6:$DD$63,3,FALSE),"")</f>
        <v/>
      </c>
      <c r="Y550" t="str">
        <f>IFERROR(VLOOKUP(B550,'Pre-Summary'!$CR$6:$CT$36,3,FALSE),"")</f>
        <v/>
      </c>
      <c r="Z550" s="45" t="str">
        <f>IFERROR(VLOOKUP(B550,'Pre-Summary'!$BZ$6:$CB$63,2,FALSE),"")</f>
        <v/>
      </c>
      <c r="AA550" s="45" t="str">
        <f>IFERROR(VLOOKUP(B550,'Pre-Summary'!$CG$6:$CI$70,2,FALSE),"")</f>
        <v/>
      </c>
      <c r="AB550" s="99">
        <f>IFERROR(VLOOKUP(B550,'Pre-Summary'!$A$6:$P$178,9,FALSE),AB551)</f>
        <v>0.87858471235308822</v>
      </c>
      <c r="AC550" s="10">
        <f>IFERROR(VLOOKUP(Summary!B550,'Pre-Summary'!$A$6:$P$184,5, FALSE)/100,AC551)</f>
        <v>0.67272566666666667</v>
      </c>
      <c r="AD550" s="10">
        <f>IFERROR(VLOOKUP(Summary!B550,'Pre-Summary'!$A$6:$P$184,3, FALSE)/100,AD551)</f>
        <v>8.9092333333333329E-2</v>
      </c>
      <c r="AE550" s="10">
        <f>IFERROR(VLOOKUP(Summary!B550,'Pre-Summary'!$A$6:$P$184,7, FALSE)/100,AE551)</f>
        <v>0.23818233333333336</v>
      </c>
      <c r="AF550" s="99">
        <f t="shared" si="25"/>
        <v>7.827516205453211E-2</v>
      </c>
      <c r="AG550" s="99">
        <f t="shared" si="26"/>
        <v>0.20926335681925406</v>
      </c>
      <c r="AH550" s="10" t="str">
        <f>IFERROR(VLOOKUP(B550,'Pre-Summary'!$AZ$6:$BE$65,3,FALSE),"")</f>
        <v/>
      </c>
      <c r="AI550" s="10" t="str">
        <f>IFERROR(VLOOKUP(B550,'Pre-Summary'!$AZ$6:$BE$65,5,FALSE),"")</f>
        <v/>
      </c>
      <c r="AJ550" s="10" t="str">
        <f>IFERROR(VLOOKUP(B550,'Pre-Summary'!$AZ$6:$BE$65,4,FALSE),"")</f>
        <v/>
      </c>
      <c r="AK550" s="10" t="str">
        <f>IFERROR(VLOOKUP(B550,'Pre-Summary'!$AZ$6:$BE$65,6,FALSE),"")</f>
        <v/>
      </c>
      <c r="AL550" s="10" t="str">
        <f>IFERROR(VLOOKUP(B550,'Pre-Summary'!$BG$6:$BL$44,3,FALSE),"")</f>
        <v/>
      </c>
      <c r="AM550" s="10" t="str">
        <f>IFERROR(VLOOKUP(B550,'Pre-Summary'!$BG$6:$BL$44,4,FALSE),"")</f>
        <v/>
      </c>
    </row>
    <row r="551" spans="2:39" ht="15" customHeight="1" x14ac:dyDescent="0.3">
      <c r="B551">
        <v>54.8</v>
      </c>
      <c r="C551" t="str">
        <f>IFERROR(VLOOKUP(B551,'Pre-Summary'!$DI$6:$DM$23,4,FALSE),"")</f>
        <v/>
      </c>
      <c r="D551" s="10" t="str">
        <f>IFERROR(VLOOKUP(B551,'Pre-Summary'!$AT$6:$AX$14,5,FALSE),D550)</f>
        <v>DSMZ v2: Dropped Na-Ac out of DSMZ 120 media</v>
      </c>
      <c r="E551" s="10" t="str">
        <f>IFERROR(VLOOKUP(B551,'Pre-Summary'!$AT$6:$AX$15,4,FALSE),"")</f>
        <v/>
      </c>
      <c r="F551">
        <f>IFERROR(VLOOKUP(B551,'Pre-Summary'!$AL$6:$AQ$13,6,FALSE),F550)</f>
        <v>5.9405263157894746E-2</v>
      </c>
      <c r="G551" t="str">
        <f>IFERROR(VLOOKUP(B551,'Pre-Summary'!$AE$6:$AJ$85,3,FALSE),"")</f>
        <v/>
      </c>
      <c r="H551" t="str">
        <f>IFERROR(VLOOKUP(B551,'Pre-Summary'!$AE$6:$AJ$85,4,FALSE),"")</f>
        <v/>
      </c>
      <c r="I551" t="str">
        <f>IFERROR(VLOOKUP(B551,'Pre-Summary'!$AE$6:$AJ$85,5,FALSE),"")</f>
        <v/>
      </c>
      <c r="J551" s="45" t="str">
        <f>IFERROR(VLOOKUP(B551,'Pre-Summary'!$AE$6:$AJ$85,6, FALSE),"")</f>
        <v/>
      </c>
      <c r="K551" s="45" t="str">
        <f>IFERROR(VLOOKUP(B551,'Pre-Summary'!$DE$6:$DG$61,3,FALSE),"")</f>
        <v/>
      </c>
      <c r="L551" s="45" t="str">
        <f>IFERROR(VLOOKUP(B551,'Pre-Summary'!$CU$6:$CW$36,3,FALSE),"")</f>
        <v/>
      </c>
      <c r="M551" s="45" t="str">
        <f>IFERROR(VLOOKUP(B551,'Pre-Summary'!$BW$6:$BY$58,2,FALSE),"")</f>
        <v/>
      </c>
      <c r="N551" s="45" t="str">
        <f>IFERROR(VLOOKUP(B551,'Pre-Summary'!$CD$6:$CF$64,2,FALSE),"")</f>
        <v/>
      </c>
      <c r="O551" s="99">
        <f>IFERROR(VLOOKUP(B551,'Pre-Summary'!$BO$6:$BQ$48,3, FALSE),O550)</f>
        <v>1.0915248032216731</v>
      </c>
      <c r="P551" s="99">
        <f>IFERROR(VLOOKUP(B551,'Pre-Summary'!$BS$6:$BU$35,3,FALSE),P550)</f>
        <v>0.25</v>
      </c>
      <c r="Q551" s="54">
        <f t="shared" si="24"/>
        <v>4.3660992128866924</v>
      </c>
      <c r="R551" s="53">
        <f>IFERROR(VLOOKUP(B551,'Pre-Summary'!$BG$6:$BM$44,7,FALSE),R552)</f>
        <v>7.5915763918363535E-2</v>
      </c>
      <c r="S551" s="53">
        <f>IFERROR(VLOOKUP(B551,'Pre-Summary'!$BG$6:$BM$44,6,FALSE),S552)</f>
        <v>5.2897473997019086E-2</v>
      </c>
      <c r="T551" s="45" t="str">
        <f>IFERROR(VLOOKUP(B551,'Pre-Summary'!$Y$6:$AC$83, 3,FALSE),"")</f>
        <v/>
      </c>
      <c r="U551" s="45" t="str">
        <f>IFERROR(VLOOKUP(B551,'Pre-Summary'!$Y$6:$AC$83, 4,FALSE),"")</f>
        <v/>
      </c>
      <c r="V551" t="str">
        <f>IFERROR(VLOOKUP(B551,'Pre-Summary'!$Y$6:$AC$83, 5,FALSE),"")</f>
        <v/>
      </c>
      <c r="W551" s="45" t="str">
        <f>IFERROR(VLOOKUP(B551,'Pre-Summary'!$Y$6:$AD$83,6,FALSE),"")</f>
        <v/>
      </c>
      <c r="X551" t="str">
        <f>IFERROR(VLOOKUP('Pre-Summary'!$DB$6:$DD$63,3,FALSE),"")</f>
        <v/>
      </c>
      <c r="Y551" t="str">
        <f>IFERROR(VLOOKUP(B551,'Pre-Summary'!$CR$6:$CT$36,3,FALSE),"")</f>
        <v/>
      </c>
      <c r="Z551" s="45" t="str">
        <f>IFERROR(VLOOKUP(B551,'Pre-Summary'!$BZ$6:$CB$63,2,FALSE),"")</f>
        <v/>
      </c>
      <c r="AA551" s="45" t="str">
        <f>IFERROR(VLOOKUP(B551,'Pre-Summary'!$CG$6:$CI$70,2,FALSE),"")</f>
        <v/>
      </c>
      <c r="AB551" s="99">
        <f>IFERROR(VLOOKUP(B551,'Pre-Summary'!$A$6:$P$178,9,FALSE),AB552)</f>
        <v>0.87858471235308822</v>
      </c>
      <c r="AC551" s="10">
        <f>IFERROR(VLOOKUP(Summary!B551,'Pre-Summary'!$A$6:$P$184,5, FALSE)/100,AC552)</f>
        <v>0.67272566666666667</v>
      </c>
      <c r="AD551" s="10">
        <f>IFERROR(VLOOKUP(Summary!B551,'Pre-Summary'!$A$6:$P$184,3, FALSE)/100,AD552)</f>
        <v>8.9092333333333329E-2</v>
      </c>
      <c r="AE551" s="10">
        <f>IFERROR(VLOOKUP(Summary!B551,'Pre-Summary'!$A$6:$P$184,7, FALSE)/100,AE552)</f>
        <v>0.23818233333333336</v>
      </c>
      <c r="AF551" s="99">
        <f t="shared" si="25"/>
        <v>7.827516205453211E-2</v>
      </c>
      <c r="AG551" s="99">
        <f t="shared" si="26"/>
        <v>0.20926335681925406</v>
      </c>
      <c r="AH551" s="10" t="str">
        <f>IFERROR(VLOOKUP(B551,'Pre-Summary'!$AZ$6:$BE$65,3,FALSE),"")</f>
        <v/>
      </c>
      <c r="AI551" s="10" t="str">
        <f>IFERROR(VLOOKUP(B551,'Pre-Summary'!$AZ$6:$BE$65,5,FALSE),"")</f>
        <v/>
      </c>
      <c r="AJ551" s="10" t="str">
        <f>IFERROR(VLOOKUP(B551,'Pre-Summary'!$AZ$6:$BE$65,4,FALSE),"")</f>
        <v/>
      </c>
      <c r="AK551" s="10" t="str">
        <f>IFERROR(VLOOKUP(B551,'Pre-Summary'!$AZ$6:$BE$65,6,FALSE),"")</f>
        <v/>
      </c>
      <c r="AL551" s="10" t="str">
        <f>IFERROR(VLOOKUP(B551,'Pre-Summary'!$BG$6:$BL$44,3,FALSE),"")</f>
        <v/>
      </c>
      <c r="AM551" s="10" t="str">
        <f>IFERROR(VLOOKUP(B551,'Pre-Summary'!$BG$6:$BL$44,4,FALSE),"")</f>
        <v/>
      </c>
    </row>
    <row r="552" spans="2:39" ht="15" customHeight="1" x14ac:dyDescent="0.3">
      <c r="B552">
        <v>54.9</v>
      </c>
      <c r="C552" t="str">
        <f>IFERROR(VLOOKUP(B552,'Pre-Summary'!$DI$6:$DM$23,4,FALSE),"")</f>
        <v/>
      </c>
      <c r="D552" s="10" t="str">
        <f>IFERROR(VLOOKUP(B552,'Pre-Summary'!$AT$6:$AX$14,5,FALSE),D551)</f>
        <v>DSMZ v2: Dropped Na-Ac out of DSMZ 120 media</v>
      </c>
      <c r="E552" s="10" t="str">
        <f>IFERROR(VLOOKUP(B552,'Pre-Summary'!$AT$6:$AX$15,4,FALSE),"")</f>
        <v/>
      </c>
      <c r="F552">
        <f>IFERROR(VLOOKUP(B552,'Pre-Summary'!$AL$6:$AQ$13,6,FALSE),F551)</f>
        <v>5.9405263157894746E-2</v>
      </c>
      <c r="G552" t="str">
        <f>IFERROR(VLOOKUP(B552,'Pre-Summary'!$AE$6:$AJ$85,3,FALSE),"")</f>
        <v/>
      </c>
      <c r="H552" t="str">
        <f>IFERROR(VLOOKUP(B552,'Pre-Summary'!$AE$6:$AJ$85,4,FALSE),"")</f>
        <v/>
      </c>
      <c r="I552" t="str">
        <f>IFERROR(VLOOKUP(B552,'Pre-Summary'!$AE$6:$AJ$85,5,FALSE),"")</f>
        <v/>
      </c>
      <c r="J552" s="45" t="str">
        <f>IFERROR(VLOOKUP(B552,'Pre-Summary'!$AE$6:$AJ$85,6, FALSE),"")</f>
        <v/>
      </c>
      <c r="K552" s="45" t="str">
        <f>IFERROR(VLOOKUP(B552,'Pre-Summary'!$DE$6:$DG$61,3,FALSE),"")</f>
        <v/>
      </c>
      <c r="L552" s="45" t="str">
        <f>IFERROR(VLOOKUP(B552,'Pre-Summary'!$CU$6:$CW$36,3,FALSE),"")</f>
        <v/>
      </c>
      <c r="M552" s="45" t="str">
        <f>IFERROR(VLOOKUP(B552,'Pre-Summary'!$BW$6:$BY$58,2,FALSE),"")</f>
        <v/>
      </c>
      <c r="N552" s="45" t="str">
        <f>IFERROR(VLOOKUP(B552,'Pre-Summary'!$CD$6:$CF$64,2,FALSE),"")</f>
        <v/>
      </c>
      <c r="O552" s="99">
        <f>IFERROR(VLOOKUP(B552,'Pre-Summary'!$BO$6:$BQ$48,3, FALSE),O551)</f>
        <v>1.0915248032216731</v>
      </c>
      <c r="P552" s="99">
        <f>IFERROR(VLOOKUP(B552,'Pre-Summary'!$BS$6:$BU$35,3,FALSE),P551)</f>
        <v>0.25</v>
      </c>
      <c r="Q552" s="54">
        <f t="shared" si="24"/>
        <v>4.3660992128866924</v>
      </c>
      <c r="R552" s="53">
        <f>IFERROR(VLOOKUP(B552,'Pre-Summary'!$BG$6:$BM$44,7,FALSE),R553)</f>
        <v>7.5915763918363535E-2</v>
      </c>
      <c r="S552" s="53">
        <f>IFERROR(VLOOKUP(B552,'Pre-Summary'!$BG$6:$BM$44,6,FALSE),S553)</f>
        <v>5.2897473997019086E-2</v>
      </c>
      <c r="T552" s="45" t="str">
        <f>IFERROR(VLOOKUP(B552,'Pre-Summary'!$Y$6:$AC$83, 3,FALSE),"")</f>
        <v/>
      </c>
      <c r="U552" s="45" t="str">
        <f>IFERROR(VLOOKUP(B552,'Pre-Summary'!$Y$6:$AC$83, 4,FALSE),"")</f>
        <v/>
      </c>
      <c r="V552" t="str">
        <f>IFERROR(VLOOKUP(B552,'Pre-Summary'!$Y$6:$AC$83, 5,FALSE),"")</f>
        <v/>
      </c>
      <c r="W552" s="45" t="str">
        <f>IFERROR(VLOOKUP(B552,'Pre-Summary'!$Y$6:$AD$83,6,FALSE),"")</f>
        <v/>
      </c>
      <c r="X552" t="str">
        <f>IFERROR(VLOOKUP('Pre-Summary'!$DB$6:$DD$63,3,FALSE),"")</f>
        <v/>
      </c>
      <c r="Y552" t="str">
        <f>IFERROR(VLOOKUP(B552,'Pre-Summary'!$CR$6:$CT$36,3,FALSE),"")</f>
        <v/>
      </c>
      <c r="Z552" s="45" t="str">
        <f>IFERROR(VLOOKUP(B552,'Pre-Summary'!$BZ$6:$CB$63,2,FALSE),"")</f>
        <v/>
      </c>
      <c r="AA552" s="45" t="str">
        <f>IFERROR(VLOOKUP(B552,'Pre-Summary'!$CG$6:$CI$70,2,FALSE),"")</f>
        <v/>
      </c>
      <c r="AB552" s="99">
        <f>IFERROR(VLOOKUP(B552,'Pre-Summary'!$A$6:$P$178,9,FALSE),AB553)</f>
        <v>0.87858471235308822</v>
      </c>
      <c r="AC552" s="10">
        <f>IFERROR(VLOOKUP(Summary!B552,'Pre-Summary'!$A$6:$P$184,5, FALSE)/100,AC553)</f>
        <v>0.67272566666666667</v>
      </c>
      <c r="AD552" s="10">
        <f>IFERROR(VLOOKUP(Summary!B552,'Pre-Summary'!$A$6:$P$184,3, FALSE)/100,AD553)</f>
        <v>8.9092333333333329E-2</v>
      </c>
      <c r="AE552" s="10">
        <f>IFERROR(VLOOKUP(Summary!B552,'Pre-Summary'!$A$6:$P$184,7, FALSE)/100,AE553)</f>
        <v>0.23818233333333336</v>
      </c>
      <c r="AF552" s="99">
        <f t="shared" si="25"/>
        <v>7.827516205453211E-2</v>
      </c>
      <c r="AG552" s="99">
        <f t="shared" si="26"/>
        <v>0.20926335681925406</v>
      </c>
      <c r="AH552" s="10" t="str">
        <f>IFERROR(VLOOKUP(B552,'Pre-Summary'!$AZ$6:$BE$65,3,FALSE),"")</f>
        <v/>
      </c>
      <c r="AI552" s="10" t="str">
        <f>IFERROR(VLOOKUP(B552,'Pre-Summary'!$AZ$6:$BE$65,5,FALSE),"")</f>
        <v/>
      </c>
      <c r="AJ552" s="10" t="str">
        <f>IFERROR(VLOOKUP(B552,'Pre-Summary'!$AZ$6:$BE$65,4,FALSE),"")</f>
        <v/>
      </c>
      <c r="AK552" s="10" t="str">
        <f>IFERROR(VLOOKUP(B552,'Pre-Summary'!$AZ$6:$BE$65,6,FALSE),"")</f>
        <v/>
      </c>
      <c r="AL552" s="10" t="str">
        <f>IFERROR(VLOOKUP(B552,'Pre-Summary'!$BG$6:$BL$44,3,FALSE),"")</f>
        <v/>
      </c>
      <c r="AM552" s="10" t="str">
        <f>IFERROR(VLOOKUP(B552,'Pre-Summary'!$BG$6:$BL$44,4,FALSE),"")</f>
        <v/>
      </c>
    </row>
    <row r="553" spans="2:39" ht="15" customHeight="1" x14ac:dyDescent="0.3">
      <c r="B553">
        <v>55</v>
      </c>
      <c r="C553" t="str">
        <f>IFERROR(VLOOKUP(B553,'Pre-Summary'!$DI$6:$DM$23,4,FALSE),"")</f>
        <v/>
      </c>
      <c r="D553" s="10" t="str">
        <f>IFERROR(VLOOKUP(B553,'Pre-Summary'!$AT$6:$AX$14,5,FALSE),D552)</f>
        <v>DSMZ v2: Dropped Na-Ac out of DSMZ 120 media</v>
      </c>
      <c r="E553" s="10" t="str">
        <f>IFERROR(VLOOKUP(B553,'Pre-Summary'!$AT$6:$AX$15,4,FALSE),"")</f>
        <v/>
      </c>
      <c r="F553">
        <f>IFERROR(VLOOKUP(B553,'Pre-Summary'!$AL$6:$AQ$13,6,FALSE),F552)</f>
        <v>5.9405263157894746E-2</v>
      </c>
      <c r="G553" t="str">
        <f>IFERROR(VLOOKUP(B553,'Pre-Summary'!$AE$6:$AJ$85,3,FALSE),"")</f>
        <v/>
      </c>
      <c r="H553" t="str">
        <f>IFERROR(VLOOKUP(B553,'Pre-Summary'!$AE$6:$AJ$85,4,FALSE),"")</f>
        <v/>
      </c>
      <c r="I553" t="str">
        <f>IFERROR(VLOOKUP(B553,'Pre-Summary'!$AE$6:$AJ$85,5,FALSE),"")</f>
        <v/>
      </c>
      <c r="J553" s="45" t="str">
        <f>IFERROR(VLOOKUP(B553,'Pre-Summary'!$AE$6:$AJ$85,6, FALSE),"")</f>
        <v/>
      </c>
      <c r="K553" s="45" t="str">
        <f>IFERROR(VLOOKUP(B553,'Pre-Summary'!$DE$6:$DG$61,3,FALSE),"")</f>
        <v/>
      </c>
      <c r="L553" s="45" t="str">
        <f>IFERROR(VLOOKUP(B553,'Pre-Summary'!$CU$6:$CW$36,3,FALSE),"")</f>
        <v/>
      </c>
      <c r="M553" s="45" t="str">
        <f>IFERROR(VLOOKUP(B553,'Pre-Summary'!$BW$6:$BY$58,2,FALSE),"")</f>
        <v/>
      </c>
      <c r="N553" s="45" t="str">
        <f>IFERROR(VLOOKUP(B553,'Pre-Summary'!$CD$6:$CF$64,2,FALSE),"")</f>
        <v/>
      </c>
      <c r="O553" s="99">
        <f>IFERROR(VLOOKUP(B553,'Pre-Summary'!$BO$6:$BQ$48,3, FALSE),O552)</f>
        <v>1.0915248032216731</v>
      </c>
      <c r="P553" s="99">
        <f>IFERROR(VLOOKUP(B553,'Pre-Summary'!$BS$6:$BU$35,3,FALSE),P552)</f>
        <v>0.25</v>
      </c>
      <c r="Q553" s="54">
        <f t="shared" si="24"/>
        <v>4.3660992128866924</v>
      </c>
      <c r="R553" s="53">
        <f>IFERROR(VLOOKUP(B553,'Pre-Summary'!$BG$6:$BM$44,7,FALSE),R554)</f>
        <v>7.5915763918363535E-2</v>
      </c>
      <c r="S553" s="53">
        <f>IFERROR(VLOOKUP(B553,'Pre-Summary'!$BG$6:$BM$44,6,FALSE),S554)</f>
        <v>5.2897473997019086E-2</v>
      </c>
      <c r="T553" s="45" t="str">
        <f>IFERROR(VLOOKUP(B553,'Pre-Summary'!$Y$6:$AC$83, 3,FALSE),"")</f>
        <v/>
      </c>
      <c r="U553" s="45" t="str">
        <f>IFERROR(VLOOKUP(B553,'Pre-Summary'!$Y$6:$AC$83, 4,FALSE),"")</f>
        <v/>
      </c>
      <c r="V553" t="str">
        <f>IFERROR(VLOOKUP(B553,'Pre-Summary'!$Y$6:$AC$83, 5,FALSE),"")</f>
        <v/>
      </c>
      <c r="W553" s="45" t="str">
        <f>IFERROR(VLOOKUP(B553,'Pre-Summary'!$Y$6:$AD$83,6,FALSE),"")</f>
        <v/>
      </c>
      <c r="X553" t="str">
        <f>IFERROR(VLOOKUP('Pre-Summary'!$DB$6:$DD$63,3,FALSE),"")</f>
        <v/>
      </c>
      <c r="Y553" t="str">
        <f>IFERROR(VLOOKUP(B553,'Pre-Summary'!$CR$6:$CT$36,3,FALSE),"")</f>
        <v/>
      </c>
      <c r="Z553" s="45" t="str">
        <f>IFERROR(VLOOKUP(B553,'Pre-Summary'!$BZ$6:$CB$63,2,FALSE),"")</f>
        <v/>
      </c>
      <c r="AA553" s="45" t="str">
        <f>IFERROR(VLOOKUP(B553,'Pre-Summary'!$CG$6:$CI$70,2,FALSE),"")</f>
        <v/>
      </c>
      <c r="AB553" s="99">
        <f>IFERROR(VLOOKUP(B553,'Pre-Summary'!$A$6:$P$178,9,FALSE),AB554)</f>
        <v>0.87858471235308822</v>
      </c>
      <c r="AC553" s="10">
        <f>IFERROR(VLOOKUP(Summary!B553,'Pre-Summary'!$A$6:$P$184,5, FALSE)/100,AC554)</f>
        <v>0.67272566666666667</v>
      </c>
      <c r="AD553" s="10">
        <f>IFERROR(VLOOKUP(Summary!B553,'Pre-Summary'!$A$6:$P$184,3, FALSE)/100,AD554)</f>
        <v>8.9092333333333329E-2</v>
      </c>
      <c r="AE553" s="10">
        <f>IFERROR(VLOOKUP(Summary!B553,'Pre-Summary'!$A$6:$P$184,7, FALSE)/100,AE554)</f>
        <v>0.23818233333333336</v>
      </c>
      <c r="AF553" s="99">
        <f t="shared" si="25"/>
        <v>7.827516205453211E-2</v>
      </c>
      <c r="AG553" s="99">
        <f t="shared" si="26"/>
        <v>0.20926335681925406</v>
      </c>
      <c r="AH553" s="10" t="str">
        <f>IFERROR(VLOOKUP(B553,'Pre-Summary'!$AZ$6:$BE$65,3,FALSE),"")</f>
        <v/>
      </c>
      <c r="AI553" s="10" t="str">
        <f>IFERROR(VLOOKUP(B553,'Pre-Summary'!$AZ$6:$BE$65,5,FALSE),"")</f>
        <v/>
      </c>
      <c r="AJ553" s="10" t="str">
        <f>IFERROR(VLOOKUP(B553,'Pre-Summary'!$AZ$6:$BE$65,4,FALSE),"")</f>
        <v/>
      </c>
      <c r="AK553" s="10" t="str">
        <f>IFERROR(VLOOKUP(B553,'Pre-Summary'!$AZ$6:$BE$65,6,FALSE),"")</f>
        <v/>
      </c>
      <c r="AL553" s="10" t="str">
        <f>IFERROR(VLOOKUP(B553,'Pre-Summary'!$BG$6:$BL$44,3,FALSE),"")</f>
        <v/>
      </c>
      <c r="AM553" s="10" t="str">
        <f>IFERROR(VLOOKUP(B553,'Pre-Summary'!$BG$6:$BL$44,4,FALSE),"")</f>
        <v/>
      </c>
    </row>
    <row r="554" spans="2:39" ht="15" customHeight="1" x14ac:dyDescent="0.3">
      <c r="B554">
        <v>55.1</v>
      </c>
      <c r="C554" t="str">
        <f>IFERROR(VLOOKUP(B554,'Pre-Summary'!$DI$6:$DM$23,4,FALSE),"")</f>
        <v/>
      </c>
      <c r="D554" s="10" t="str">
        <f>IFERROR(VLOOKUP(B554,'Pre-Summary'!$AT$6:$AX$14,5,FALSE),D553)</f>
        <v>DSMZ v2: Dropped Na-Ac out of DSMZ 120 media</v>
      </c>
      <c r="E554" s="10" t="str">
        <f>IFERROR(VLOOKUP(B554,'Pre-Summary'!$AT$6:$AX$15,4,FALSE),"")</f>
        <v/>
      </c>
      <c r="F554">
        <f>IFERROR(VLOOKUP(B554,'Pre-Summary'!$AL$6:$AQ$13,6,FALSE),F553)</f>
        <v>5.9405263157894746E-2</v>
      </c>
      <c r="G554" t="str">
        <f>IFERROR(VLOOKUP(B554,'Pre-Summary'!$AE$6:$AJ$85,3,FALSE),"")</f>
        <v/>
      </c>
      <c r="H554" t="str">
        <f>IFERROR(VLOOKUP(B554,'Pre-Summary'!$AE$6:$AJ$85,4,FALSE),"")</f>
        <v/>
      </c>
      <c r="I554" t="str">
        <f>IFERROR(VLOOKUP(B554,'Pre-Summary'!$AE$6:$AJ$85,5,FALSE),"")</f>
        <v/>
      </c>
      <c r="J554" s="45" t="str">
        <f>IFERROR(VLOOKUP(B554,'Pre-Summary'!$AE$6:$AJ$85,6, FALSE),"")</f>
        <v/>
      </c>
      <c r="K554" s="45" t="str">
        <f>IFERROR(VLOOKUP(B554,'Pre-Summary'!$DE$6:$DG$61,3,FALSE),"")</f>
        <v/>
      </c>
      <c r="L554" s="45" t="str">
        <f>IFERROR(VLOOKUP(B554,'Pre-Summary'!$CU$6:$CW$36,3,FALSE),"")</f>
        <v/>
      </c>
      <c r="M554" s="45" t="str">
        <f>IFERROR(VLOOKUP(B554,'Pre-Summary'!$BW$6:$BY$58,2,FALSE),"")</f>
        <v/>
      </c>
      <c r="N554" s="45" t="str">
        <f>IFERROR(VLOOKUP(B554,'Pre-Summary'!$CD$6:$CF$64,2,FALSE),"")</f>
        <v/>
      </c>
      <c r="O554" s="99">
        <f>IFERROR(VLOOKUP(B554,'Pre-Summary'!$BO$6:$BQ$48,3, FALSE),O553)</f>
        <v>1.0915248032216731</v>
      </c>
      <c r="P554" s="99">
        <f>IFERROR(VLOOKUP(B554,'Pre-Summary'!$BS$6:$BU$35,3,FALSE),P553)</f>
        <v>0.25</v>
      </c>
      <c r="Q554" s="54">
        <f t="shared" si="24"/>
        <v>4.3660992128866924</v>
      </c>
      <c r="R554" s="53">
        <f>IFERROR(VLOOKUP(B554,'Pre-Summary'!$BG$6:$BM$44,7,FALSE),R555)</f>
        <v>7.5915763918363535E-2</v>
      </c>
      <c r="S554" s="53">
        <f>IFERROR(VLOOKUP(B554,'Pre-Summary'!$BG$6:$BM$44,6,FALSE),S555)</f>
        <v>5.2897473997019086E-2</v>
      </c>
      <c r="T554" s="45" t="str">
        <f>IFERROR(VLOOKUP(B554,'Pre-Summary'!$Y$6:$AC$83, 3,FALSE),"")</f>
        <v/>
      </c>
      <c r="U554" s="45" t="str">
        <f>IFERROR(VLOOKUP(B554,'Pre-Summary'!$Y$6:$AC$83, 4,FALSE),"")</f>
        <v/>
      </c>
      <c r="V554" t="str">
        <f>IFERROR(VLOOKUP(B554,'Pre-Summary'!$Y$6:$AC$83, 5,FALSE),"")</f>
        <v/>
      </c>
      <c r="W554" s="45" t="str">
        <f>IFERROR(VLOOKUP(B554,'Pre-Summary'!$Y$6:$AD$83,6,FALSE),"")</f>
        <v/>
      </c>
      <c r="X554" t="str">
        <f>IFERROR(VLOOKUP('Pre-Summary'!$DB$6:$DD$63,3,FALSE),"")</f>
        <v/>
      </c>
      <c r="Y554" t="str">
        <f>IFERROR(VLOOKUP(B554,'Pre-Summary'!$CR$6:$CT$36,3,FALSE),"")</f>
        <v/>
      </c>
      <c r="Z554" s="45" t="str">
        <f>IFERROR(VLOOKUP(B554,'Pre-Summary'!$BZ$6:$CB$63,2,FALSE),"")</f>
        <v/>
      </c>
      <c r="AA554" s="45" t="str">
        <f>IFERROR(VLOOKUP(B554,'Pre-Summary'!$CG$6:$CI$70,2,FALSE),"")</f>
        <v/>
      </c>
      <c r="AB554" s="99">
        <f>IFERROR(VLOOKUP(B554,'Pre-Summary'!$A$6:$P$178,9,FALSE),AB555)</f>
        <v>0.87858471235308822</v>
      </c>
      <c r="AC554" s="10">
        <f>IFERROR(VLOOKUP(Summary!B554,'Pre-Summary'!$A$6:$P$184,5, FALSE)/100,AC555)</f>
        <v>0.67272566666666667</v>
      </c>
      <c r="AD554" s="10">
        <f>IFERROR(VLOOKUP(Summary!B554,'Pre-Summary'!$A$6:$P$184,3, FALSE)/100,AD555)</f>
        <v>8.9092333333333329E-2</v>
      </c>
      <c r="AE554" s="10">
        <f>IFERROR(VLOOKUP(Summary!B554,'Pre-Summary'!$A$6:$P$184,7, FALSE)/100,AE555)</f>
        <v>0.23818233333333336</v>
      </c>
      <c r="AF554" s="99">
        <f t="shared" si="25"/>
        <v>7.827516205453211E-2</v>
      </c>
      <c r="AG554" s="99">
        <f t="shared" si="26"/>
        <v>0.20926335681925406</v>
      </c>
      <c r="AH554" s="10" t="str">
        <f>IFERROR(VLOOKUP(B554,'Pre-Summary'!$AZ$6:$BE$65,3,FALSE),"")</f>
        <v/>
      </c>
      <c r="AI554" s="10" t="str">
        <f>IFERROR(VLOOKUP(B554,'Pre-Summary'!$AZ$6:$BE$65,5,FALSE),"")</f>
        <v/>
      </c>
      <c r="AJ554" s="10" t="str">
        <f>IFERROR(VLOOKUP(B554,'Pre-Summary'!$AZ$6:$BE$65,4,FALSE),"")</f>
        <v/>
      </c>
      <c r="AK554" s="10" t="str">
        <f>IFERROR(VLOOKUP(B554,'Pre-Summary'!$AZ$6:$BE$65,6,FALSE),"")</f>
        <v/>
      </c>
      <c r="AL554" s="10" t="str">
        <f>IFERROR(VLOOKUP(B554,'Pre-Summary'!$BG$6:$BL$44,3,FALSE),"")</f>
        <v/>
      </c>
      <c r="AM554" s="10" t="str">
        <f>IFERROR(VLOOKUP(B554,'Pre-Summary'!$BG$6:$BL$44,4,FALSE),"")</f>
        <v/>
      </c>
    </row>
    <row r="555" spans="2:39" ht="15" customHeight="1" x14ac:dyDescent="0.3">
      <c r="B555">
        <v>55.2</v>
      </c>
      <c r="C555" t="str">
        <f>IFERROR(VLOOKUP(B555,'Pre-Summary'!$DI$6:$DM$23,4,FALSE),"")</f>
        <v/>
      </c>
      <c r="D555" s="10" t="str">
        <f>IFERROR(VLOOKUP(B555,'Pre-Summary'!$AT$6:$AX$14,5,FALSE),D554)</f>
        <v>DSMZ v2: Dropped Na-Ac out of DSMZ 120 media</v>
      </c>
      <c r="E555" s="10" t="str">
        <f>IFERROR(VLOOKUP(B555,'Pre-Summary'!$AT$6:$AX$15,4,FALSE),"")</f>
        <v/>
      </c>
      <c r="F555">
        <f>IFERROR(VLOOKUP(B555,'Pre-Summary'!$AL$6:$AQ$13,6,FALSE),F554)</f>
        <v>5.9405263157894746E-2</v>
      </c>
      <c r="G555" t="str">
        <f>IFERROR(VLOOKUP(B555,'Pre-Summary'!$AE$6:$AJ$85,3,FALSE),"")</f>
        <v/>
      </c>
      <c r="H555" t="str">
        <f>IFERROR(VLOOKUP(B555,'Pre-Summary'!$AE$6:$AJ$85,4,FALSE),"")</f>
        <v/>
      </c>
      <c r="I555" t="str">
        <f>IFERROR(VLOOKUP(B555,'Pre-Summary'!$AE$6:$AJ$85,5,FALSE),"")</f>
        <v/>
      </c>
      <c r="J555" s="45" t="str">
        <f>IFERROR(VLOOKUP(B555,'Pre-Summary'!$AE$6:$AJ$85,6, FALSE),"")</f>
        <v/>
      </c>
      <c r="K555" s="45" t="str">
        <f>IFERROR(VLOOKUP(B555,'Pre-Summary'!$DE$6:$DG$61,3,FALSE),"")</f>
        <v/>
      </c>
      <c r="L555" s="45" t="str">
        <f>IFERROR(VLOOKUP(B555,'Pre-Summary'!$CU$6:$CW$36,3,FALSE),"")</f>
        <v/>
      </c>
      <c r="M555" s="45" t="str">
        <f>IFERROR(VLOOKUP(B555,'Pre-Summary'!$BW$6:$BY$58,2,FALSE),"")</f>
        <v/>
      </c>
      <c r="N555" s="45" t="str">
        <f>IFERROR(VLOOKUP(B555,'Pre-Summary'!$CD$6:$CF$64,2,FALSE),"")</f>
        <v/>
      </c>
      <c r="O555" s="99">
        <f>IFERROR(VLOOKUP(B555,'Pre-Summary'!$BO$6:$BQ$48,3, FALSE),O554)</f>
        <v>1.0915248032216731</v>
      </c>
      <c r="P555" s="99">
        <f>IFERROR(VLOOKUP(B555,'Pre-Summary'!$BS$6:$BU$35,3,FALSE),P554)</f>
        <v>0.25</v>
      </c>
      <c r="Q555" s="54">
        <f t="shared" si="24"/>
        <v>4.3660992128866924</v>
      </c>
      <c r="R555" s="53">
        <f>IFERROR(VLOOKUP(B555,'Pre-Summary'!$BG$6:$BM$44,7,FALSE),R556)</f>
        <v>7.5915763918363535E-2</v>
      </c>
      <c r="S555" s="53">
        <f>IFERROR(VLOOKUP(B555,'Pre-Summary'!$BG$6:$BM$44,6,FALSE),S556)</f>
        <v>5.2897473997019086E-2</v>
      </c>
      <c r="T555" s="45" t="str">
        <f>IFERROR(VLOOKUP(B555,'Pre-Summary'!$Y$6:$AC$83, 3,FALSE),"")</f>
        <v/>
      </c>
      <c r="U555" s="45" t="str">
        <f>IFERROR(VLOOKUP(B555,'Pre-Summary'!$Y$6:$AC$83, 4,FALSE),"")</f>
        <v/>
      </c>
      <c r="V555" t="str">
        <f>IFERROR(VLOOKUP(B555,'Pre-Summary'!$Y$6:$AC$83, 5,FALSE),"")</f>
        <v/>
      </c>
      <c r="W555" s="45" t="str">
        <f>IFERROR(VLOOKUP(B555,'Pre-Summary'!$Y$6:$AD$83,6,FALSE),"")</f>
        <v/>
      </c>
      <c r="X555" t="str">
        <f>IFERROR(VLOOKUP('Pre-Summary'!$DB$6:$DD$63,3,FALSE),"")</f>
        <v/>
      </c>
      <c r="Y555" t="str">
        <f>IFERROR(VLOOKUP(B555,'Pre-Summary'!$CR$6:$CT$36,3,FALSE),"")</f>
        <v/>
      </c>
      <c r="Z555" s="45" t="str">
        <f>IFERROR(VLOOKUP(B555,'Pre-Summary'!$BZ$6:$CB$63,2,FALSE),"")</f>
        <v/>
      </c>
      <c r="AA555" s="45" t="str">
        <f>IFERROR(VLOOKUP(B555,'Pre-Summary'!$CG$6:$CI$70,2,FALSE),"")</f>
        <v/>
      </c>
      <c r="AB555" s="99">
        <f>IFERROR(VLOOKUP(B555,'Pre-Summary'!$A$6:$P$178,9,FALSE),AB556)</f>
        <v>0.87858471235308822</v>
      </c>
      <c r="AC555" s="10">
        <f>IFERROR(VLOOKUP(Summary!B555,'Pre-Summary'!$A$6:$P$184,5, FALSE)/100,AC556)</f>
        <v>0.67272566666666667</v>
      </c>
      <c r="AD555" s="10">
        <f>IFERROR(VLOOKUP(Summary!B555,'Pre-Summary'!$A$6:$P$184,3, FALSE)/100,AD556)</f>
        <v>8.9092333333333329E-2</v>
      </c>
      <c r="AE555" s="10">
        <f>IFERROR(VLOOKUP(Summary!B555,'Pre-Summary'!$A$6:$P$184,7, FALSE)/100,AE556)</f>
        <v>0.23818233333333336</v>
      </c>
      <c r="AF555" s="99">
        <f t="shared" si="25"/>
        <v>7.827516205453211E-2</v>
      </c>
      <c r="AG555" s="99">
        <f t="shared" si="26"/>
        <v>0.20926335681925406</v>
      </c>
      <c r="AH555" s="10" t="str">
        <f>IFERROR(VLOOKUP(B555,'Pre-Summary'!$AZ$6:$BE$65,3,FALSE),"")</f>
        <v/>
      </c>
      <c r="AI555" s="10" t="str">
        <f>IFERROR(VLOOKUP(B555,'Pre-Summary'!$AZ$6:$BE$65,5,FALSE),"")</f>
        <v/>
      </c>
      <c r="AJ555" s="10" t="str">
        <f>IFERROR(VLOOKUP(B555,'Pre-Summary'!$AZ$6:$BE$65,4,FALSE),"")</f>
        <v/>
      </c>
      <c r="AK555" s="10" t="str">
        <f>IFERROR(VLOOKUP(B555,'Pre-Summary'!$AZ$6:$BE$65,6,FALSE),"")</f>
        <v/>
      </c>
      <c r="AL555" s="10" t="str">
        <f>IFERROR(VLOOKUP(B555,'Pre-Summary'!$BG$6:$BL$44,3,FALSE),"")</f>
        <v/>
      </c>
      <c r="AM555" s="10" t="str">
        <f>IFERROR(VLOOKUP(B555,'Pre-Summary'!$BG$6:$BL$44,4,FALSE),"")</f>
        <v/>
      </c>
    </row>
    <row r="556" spans="2:39" ht="15" customHeight="1" x14ac:dyDescent="0.3">
      <c r="B556">
        <v>55.3</v>
      </c>
      <c r="C556" t="str">
        <f>IFERROR(VLOOKUP(B556,'Pre-Summary'!$DI$6:$DM$23,4,FALSE),"")</f>
        <v/>
      </c>
      <c r="D556" s="10" t="str">
        <f>IFERROR(VLOOKUP(B556,'Pre-Summary'!$AT$6:$AX$14,5,FALSE),D555)</f>
        <v>DSMZ v2: Dropped Na-Ac out of DSMZ 120 media</v>
      </c>
      <c r="E556" s="10" t="str">
        <f>IFERROR(VLOOKUP(B556,'Pre-Summary'!$AT$6:$AX$15,4,FALSE),"")</f>
        <v/>
      </c>
      <c r="F556">
        <f>IFERROR(VLOOKUP(B556,'Pre-Summary'!$AL$6:$AQ$13,6,FALSE),F555)</f>
        <v>5.9405263157894746E-2</v>
      </c>
      <c r="G556" t="str">
        <f>IFERROR(VLOOKUP(B556,'Pre-Summary'!$AE$6:$AJ$85,3,FALSE),"")</f>
        <v/>
      </c>
      <c r="H556" t="str">
        <f>IFERROR(VLOOKUP(B556,'Pre-Summary'!$AE$6:$AJ$85,4,FALSE),"")</f>
        <v/>
      </c>
      <c r="I556" t="str">
        <f>IFERROR(VLOOKUP(B556,'Pre-Summary'!$AE$6:$AJ$85,5,FALSE),"")</f>
        <v/>
      </c>
      <c r="J556" s="45" t="str">
        <f>IFERROR(VLOOKUP(B556,'Pre-Summary'!$AE$6:$AJ$85,6, FALSE),"")</f>
        <v/>
      </c>
      <c r="K556" s="45" t="str">
        <f>IFERROR(VLOOKUP(B556,'Pre-Summary'!$DE$6:$DG$61,3,FALSE),"")</f>
        <v/>
      </c>
      <c r="L556" s="45" t="str">
        <f>IFERROR(VLOOKUP(B556,'Pre-Summary'!$CU$6:$CW$36,3,FALSE),"")</f>
        <v/>
      </c>
      <c r="M556" s="45" t="str">
        <f>IFERROR(VLOOKUP(B556,'Pre-Summary'!$BW$6:$BY$58,2,FALSE),"")</f>
        <v/>
      </c>
      <c r="N556" s="45" t="str">
        <f>IFERROR(VLOOKUP(B556,'Pre-Summary'!$CD$6:$CF$64,2,FALSE),"")</f>
        <v/>
      </c>
      <c r="O556" s="99">
        <f>IFERROR(VLOOKUP(B556,'Pre-Summary'!$BO$6:$BQ$48,3, FALSE),O555)</f>
        <v>1.0915248032216731</v>
      </c>
      <c r="P556" s="99">
        <f>IFERROR(VLOOKUP(B556,'Pre-Summary'!$BS$6:$BU$35,3,FALSE),P555)</f>
        <v>0.25</v>
      </c>
      <c r="Q556" s="54">
        <f t="shared" si="24"/>
        <v>4.3660992128866924</v>
      </c>
      <c r="R556" s="53">
        <f>IFERROR(VLOOKUP(B556,'Pre-Summary'!$BG$6:$BM$44,7,FALSE),R557)</f>
        <v>7.5915763918363535E-2</v>
      </c>
      <c r="S556" s="53">
        <f>IFERROR(VLOOKUP(B556,'Pre-Summary'!$BG$6:$BM$44,6,FALSE),S557)</f>
        <v>5.2897473997019086E-2</v>
      </c>
      <c r="T556" s="45" t="str">
        <f>IFERROR(VLOOKUP(B556,'Pre-Summary'!$Y$6:$AC$83, 3,FALSE),"")</f>
        <v/>
      </c>
      <c r="U556" s="45" t="str">
        <f>IFERROR(VLOOKUP(B556,'Pre-Summary'!$Y$6:$AC$83, 4,FALSE),"")</f>
        <v/>
      </c>
      <c r="V556" t="str">
        <f>IFERROR(VLOOKUP(B556,'Pre-Summary'!$Y$6:$AC$83, 5,FALSE),"")</f>
        <v/>
      </c>
      <c r="W556" s="45" t="str">
        <f>IFERROR(VLOOKUP(B556,'Pre-Summary'!$Y$6:$AD$83,6,FALSE),"")</f>
        <v/>
      </c>
      <c r="X556" t="str">
        <f>IFERROR(VLOOKUP('Pre-Summary'!$DB$6:$DD$63,3,FALSE),"")</f>
        <v/>
      </c>
      <c r="Y556" t="str">
        <f>IFERROR(VLOOKUP(B556,'Pre-Summary'!$CR$6:$CT$36,3,FALSE),"")</f>
        <v/>
      </c>
      <c r="Z556" s="45" t="str">
        <f>IFERROR(VLOOKUP(B556,'Pre-Summary'!$BZ$6:$CB$63,2,FALSE),"")</f>
        <v/>
      </c>
      <c r="AA556" s="45" t="str">
        <f>IFERROR(VLOOKUP(B556,'Pre-Summary'!$CG$6:$CI$70,2,FALSE),"")</f>
        <v/>
      </c>
      <c r="AB556" s="99">
        <f>IFERROR(VLOOKUP(B556,'Pre-Summary'!$A$6:$P$178,9,FALSE),AB557)</f>
        <v>0.87858471235308822</v>
      </c>
      <c r="AC556" s="10">
        <f>IFERROR(VLOOKUP(Summary!B556,'Pre-Summary'!$A$6:$P$184,5, FALSE)/100,AC557)</f>
        <v>0.67272566666666667</v>
      </c>
      <c r="AD556" s="10">
        <f>IFERROR(VLOOKUP(Summary!B556,'Pre-Summary'!$A$6:$P$184,3, FALSE)/100,AD557)</f>
        <v>8.9092333333333329E-2</v>
      </c>
      <c r="AE556" s="10">
        <f>IFERROR(VLOOKUP(Summary!B556,'Pre-Summary'!$A$6:$P$184,7, FALSE)/100,AE557)</f>
        <v>0.23818233333333336</v>
      </c>
      <c r="AF556" s="99">
        <f t="shared" si="25"/>
        <v>7.827516205453211E-2</v>
      </c>
      <c r="AG556" s="99">
        <f t="shared" si="26"/>
        <v>0.20926335681925406</v>
      </c>
      <c r="AH556" s="10" t="str">
        <f>IFERROR(VLOOKUP(B556,'Pre-Summary'!$AZ$6:$BE$65,3,FALSE),"")</f>
        <v/>
      </c>
      <c r="AI556" s="10" t="str">
        <f>IFERROR(VLOOKUP(B556,'Pre-Summary'!$AZ$6:$BE$65,5,FALSE),"")</f>
        <v/>
      </c>
      <c r="AJ556" s="10" t="str">
        <f>IFERROR(VLOOKUP(B556,'Pre-Summary'!$AZ$6:$BE$65,4,FALSE),"")</f>
        <v/>
      </c>
      <c r="AK556" s="10" t="str">
        <f>IFERROR(VLOOKUP(B556,'Pre-Summary'!$AZ$6:$BE$65,6,FALSE),"")</f>
        <v/>
      </c>
      <c r="AL556" s="10" t="str">
        <f>IFERROR(VLOOKUP(B556,'Pre-Summary'!$BG$6:$BL$44,3,FALSE),"")</f>
        <v/>
      </c>
      <c r="AM556" s="10" t="str">
        <f>IFERROR(VLOOKUP(B556,'Pre-Summary'!$BG$6:$BL$44,4,FALSE),"")</f>
        <v/>
      </c>
    </row>
    <row r="557" spans="2:39" ht="15" customHeight="1" x14ac:dyDescent="0.3">
      <c r="B557">
        <v>55.4</v>
      </c>
      <c r="C557" t="str">
        <f>IFERROR(VLOOKUP(B557,'Pre-Summary'!$DI$6:$DM$23,4,FALSE),"")</f>
        <v/>
      </c>
      <c r="D557" s="10" t="str">
        <f>IFERROR(VLOOKUP(B557,'Pre-Summary'!$AT$6:$AX$14,5,FALSE),D556)</f>
        <v>DSMZ v2: Dropped Na-Ac out of DSMZ 120 media</v>
      </c>
      <c r="E557" s="10" t="str">
        <f>IFERROR(VLOOKUP(B557,'Pre-Summary'!$AT$6:$AX$15,4,FALSE),"")</f>
        <v/>
      </c>
      <c r="F557">
        <f>IFERROR(VLOOKUP(B557,'Pre-Summary'!$AL$6:$AQ$13,6,FALSE),F556)</f>
        <v>5.9405263157894746E-2</v>
      </c>
      <c r="G557" t="str">
        <f>IFERROR(VLOOKUP(B557,'Pre-Summary'!$AE$6:$AJ$85,3,FALSE),"")</f>
        <v/>
      </c>
      <c r="H557" t="str">
        <f>IFERROR(VLOOKUP(B557,'Pre-Summary'!$AE$6:$AJ$85,4,FALSE),"")</f>
        <v/>
      </c>
      <c r="I557" t="str">
        <f>IFERROR(VLOOKUP(B557,'Pre-Summary'!$AE$6:$AJ$85,5,FALSE),"")</f>
        <v/>
      </c>
      <c r="J557" s="45" t="str">
        <f>IFERROR(VLOOKUP(B557,'Pre-Summary'!$AE$6:$AJ$85,6, FALSE),"")</f>
        <v/>
      </c>
      <c r="K557" s="45" t="str">
        <f>IFERROR(VLOOKUP(B557,'Pre-Summary'!$DE$6:$DG$61,3,FALSE),"")</f>
        <v/>
      </c>
      <c r="L557" s="45" t="str">
        <f>IFERROR(VLOOKUP(B557,'Pre-Summary'!$CU$6:$CW$36,3,FALSE),"")</f>
        <v/>
      </c>
      <c r="M557" s="45" t="str">
        <f>IFERROR(VLOOKUP(B557,'Pre-Summary'!$BW$6:$BY$58,2,FALSE),"")</f>
        <v/>
      </c>
      <c r="N557" s="45" t="str">
        <f>IFERROR(VLOOKUP(B557,'Pre-Summary'!$CD$6:$CF$64,2,FALSE),"")</f>
        <v/>
      </c>
      <c r="O557" s="99">
        <f>IFERROR(VLOOKUP(B557,'Pre-Summary'!$BO$6:$BQ$48,3, FALSE),O556)</f>
        <v>1.0915248032216731</v>
      </c>
      <c r="P557" s="99">
        <f>IFERROR(VLOOKUP(B557,'Pre-Summary'!$BS$6:$BU$35,3,FALSE),P556)</f>
        <v>0.25</v>
      </c>
      <c r="Q557" s="54">
        <f t="shared" si="24"/>
        <v>4.3660992128866924</v>
      </c>
      <c r="R557" s="53">
        <f>IFERROR(VLOOKUP(B557,'Pre-Summary'!$BG$6:$BM$44,7,FALSE),R558)</f>
        <v>7.5915763918363535E-2</v>
      </c>
      <c r="S557" s="53">
        <f>IFERROR(VLOOKUP(B557,'Pre-Summary'!$BG$6:$BM$44,6,FALSE),S558)</f>
        <v>5.2897473997019086E-2</v>
      </c>
      <c r="T557" s="45" t="str">
        <f>IFERROR(VLOOKUP(B557,'Pre-Summary'!$Y$6:$AC$83, 3,FALSE),"")</f>
        <v/>
      </c>
      <c r="U557" s="45" t="str">
        <f>IFERROR(VLOOKUP(B557,'Pre-Summary'!$Y$6:$AC$83, 4,FALSE),"")</f>
        <v/>
      </c>
      <c r="V557" t="str">
        <f>IFERROR(VLOOKUP(B557,'Pre-Summary'!$Y$6:$AC$83, 5,FALSE),"")</f>
        <v/>
      </c>
      <c r="W557" s="45" t="str">
        <f>IFERROR(VLOOKUP(B557,'Pre-Summary'!$Y$6:$AD$83,6,FALSE),"")</f>
        <v/>
      </c>
      <c r="X557" t="str">
        <f>IFERROR(VLOOKUP('Pre-Summary'!$DB$6:$DD$63,3,FALSE),"")</f>
        <v/>
      </c>
      <c r="Y557" t="str">
        <f>IFERROR(VLOOKUP(B557,'Pre-Summary'!$CR$6:$CT$36,3,FALSE),"")</f>
        <v/>
      </c>
      <c r="Z557" s="45" t="str">
        <f>IFERROR(VLOOKUP(B557,'Pre-Summary'!$BZ$6:$CB$63,2,FALSE),"")</f>
        <v/>
      </c>
      <c r="AA557" s="45" t="str">
        <f>IFERROR(VLOOKUP(B557,'Pre-Summary'!$CG$6:$CI$70,2,FALSE),"")</f>
        <v/>
      </c>
      <c r="AB557" s="99">
        <f>IFERROR(VLOOKUP(B557,'Pre-Summary'!$A$6:$P$178,9,FALSE),AB558)</f>
        <v>0.87858471235308822</v>
      </c>
      <c r="AC557" s="10">
        <f>IFERROR(VLOOKUP(Summary!B557,'Pre-Summary'!$A$6:$P$184,5, FALSE)/100,AC558)</f>
        <v>0.67272566666666667</v>
      </c>
      <c r="AD557" s="10">
        <f>IFERROR(VLOOKUP(Summary!B557,'Pre-Summary'!$A$6:$P$184,3, FALSE)/100,AD558)</f>
        <v>8.9092333333333329E-2</v>
      </c>
      <c r="AE557" s="10">
        <f>IFERROR(VLOOKUP(Summary!B557,'Pre-Summary'!$A$6:$P$184,7, FALSE)/100,AE558)</f>
        <v>0.23818233333333336</v>
      </c>
      <c r="AF557" s="99">
        <f t="shared" si="25"/>
        <v>7.827516205453211E-2</v>
      </c>
      <c r="AG557" s="99">
        <f t="shared" si="26"/>
        <v>0.20926335681925406</v>
      </c>
      <c r="AH557" s="10" t="str">
        <f>IFERROR(VLOOKUP(B557,'Pre-Summary'!$AZ$6:$BE$65,3,FALSE),"")</f>
        <v/>
      </c>
      <c r="AI557" s="10" t="str">
        <f>IFERROR(VLOOKUP(B557,'Pre-Summary'!$AZ$6:$BE$65,5,FALSE),"")</f>
        <v/>
      </c>
      <c r="AJ557" s="10" t="str">
        <f>IFERROR(VLOOKUP(B557,'Pre-Summary'!$AZ$6:$BE$65,4,FALSE),"")</f>
        <v/>
      </c>
      <c r="AK557" s="10" t="str">
        <f>IFERROR(VLOOKUP(B557,'Pre-Summary'!$AZ$6:$BE$65,6,FALSE),"")</f>
        <v/>
      </c>
      <c r="AL557" s="10" t="str">
        <f>IFERROR(VLOOKUP(B557,'Pre-Summary'!$BG$6:$BL$44,3,FALSE),"")</f>
        <v/>
      </c>
      <c r="AM557" s="10" t="str">
        <f>IFERROR(VLOOKUP(B557,'Pre-Summary'!$BG$6:$BL$44,4,FALSE),"")</f>
        <v/>
      </c>
    </row>
    <row r="558" spans="2:39" ht="15" customHeight="1" x14ac:dyDescent="0.3">
      <c r="B558">
        <v>55.5</v>
      </c>
      <c r="C558" t="str">
        <f>IFERROR(VLOOKUP(B558,'Pre-Summary'!$DI$6:$DM$23,4,FALSE),"")</f>
        <v/>
      </c>
      <c r="D558" s="10" t="str">
        <f>IFERROR(VLOOKUP(B558,'Pre-Summary'!$AT$6:$AX$14,5,FALSE),D557)</f>
        <v>DSMZ v2: Dropped Na-Ac out of DSMZ 120 media</v>
      </c>
      <c r="E558" s="10" t="str">
        <f>IFERROR(VLOOKUP(B558,'Pre-Summary'!$AT$6:$AX$15,4,FALSE),"")</f>
        <v/>
      </c>
      <c r="F558">
        <f>IFERROR(VLOOKUP(B558,'Pre-Summary'!$AL$6:$AQ$13,6,FALSE),F557)</f>
        <v>5.9405263157894746E-2</v>
      </c>
      <c r="G558" t="str">
        <f>IFERROR(VLOOKUP(B558,'Pre-Summary'!$AE$6:$AJ$85,3,FALSE),"")</f>
        <v/>
      </c>
      <c r="H558" t="str">
        <f>IFERROR(VLOOKUP(B558,'Pre-Summary'!$AE$6:$AJ$85,4,FALSE),"")</f>
        <v/>
      </c>
      <c r="I558" t="str">
        <f>IFERROR(VLOOKUP(B558,'Pre-Summary'!$AE$6:$AJ$85,5,FALSE),"")</f>
        <v/>
      </c>
      <c r="J558" s="45" t="str">
        <f>IFERROR(VLOOKUP(B558,'Pre-Summary'!$AE$6:$AJ$85,6, FALSE),"")</f>
        <v/>
      </c>
      <c r="K558" s="45" t="str">
        <f>IFERROR(VLOOKUP(B558,'Pre-Summary'!$DE$6:$DG$61,3,FALSE),"")</f>
        <v/>
      </c>
      <c r="L558" s="45" t="str">
        <f>IFERROR(VLOOKUP(B558,'Pre-Summary'!$CU$6:$CW$36,3,FALSE),"")</f>
        <v/>
      </c>
      <c r="M558" s="45" t="str">
        <f>IFERROR(VLOOKUP(B558,'Pre-Summary'!$BW$6:$BY$58,2,FALSE),"")</f>
        <v/>
      </c>
      <c r="N558" s="45">
        <f>IFERROR(VLOOKUP(B558,'Pre-Summary'!$CD$6:$CF$64,2,FALSE),"")</f>
        <v>3781.250440459843</v>
      </c>
      <c r="O558" s="99">
        <f>IFERROR(VLOOKUP(B558,'Pre-Summary'!$BO$6:$BQ$48,3, FALSE),O557)</f>
        <v>1.0915248032216731</v>
      </c>
      <c r="P558" s="99">
        <f>IFERROR(VLOOKUP(B558,'Pre-Summary'!$BS$6:$BU$35,3,FALSE),P557)</f>
        <v>0.25</v>
      </c>
      <c r="Q558" s="54">
        <f t="shared" si="24"/>
        <v>4.3660992128866924</v>
      </c>
      <c r="R558" s="53">
        <f>IFERROR(VLOOKUP(B558,'Pre-Summary'!$BG$6:$BM$44,7,FALSE),R559)</f>
        <v>7.5915763918363535E-2</v>
      </c>
      <c r="S558" s="53">
        <f>IFERROR(VLOOKUP(B558,'Pre-Summary'!$BG$6:$BM$44,6,FALSE),S559)</f>
        <v>5.2897473997019086E-2</v>
      </c>
      <c r="T558" s="45" t="str">
        <f>IFERROR(VLOOKUP(B558,'Pre-Summary'!$Y$6:$AC$83, 3,FALSE),"")</f>
        <v/>
      </c>
      <c r="U558" s="45" t="str">
        <f>IFERROR(VLOOKUP(B558,'Pre-Summary'!$Y$6:$AC$83, 4,FALSE),"")</f>
        <v/>
      </c>
      <c r="V558" t="str">
        <f>IFERROR(VLOOKUP(B558,'Pre-Summary'!$Y$6:$AC$83, 5,FALSE),"")</f>
        <v/>
      </c>
      <c r="W558" s="45" t="str">
        <f>IFERROR(VLOOKUP(B558,'Pre-Summary'!$Y$6:$AD$83,6,FALSE),"")</f>
        <v/>
      </c>
      <c r="X558" t="str">
        <f>IFERROR(VLOOKUP('Pre-Summary'!$DB$6:$DD$63,3,FALSE),"")</f>
        <v/>
      </c>
      <c r="Y558" t="str">
        <f>IFERROR(VLOOKUP(B558,'Pre-Summary'!$CR$6:$CT$36,3,FALSE),"")</f>
        <v/>
      </c>
      <c r="Z558" s="45" t="str">
        <f>IFERROR(VLOOKUP(B558,'Pre-Summary'!$BZ$6:$CB$63,2,FALSE),"")</f>
        <v/>
      </c>
      <c r="AA558" s="45" t="str">
        <f>IFERROR(VLOOKUP(B558,'Pre-Summary'!$CG$6:$CI$70,2,FALSE),"")</f>
        <v/>
      </c>
      <c r="AB558" s="99">
        <f>IFERROR(VLOOKUP(B558,'Pre-Summary'!$A$6:$P$178,9,FALSE),AB559)</f>
        <v>0.87858471235308822</v>
      </c>
      <c r="AC558" s="10">
        <f>IFERROR(VLOOKUP(Summary!B558,'Pre-Summary'!$A$6:$P$184,5, FALSE)/100,AC559)</f>
        <v>0.67272566666666667</v>
      </c>
      <c r="AD558" s="10">
        <f>IFERROR(VLOOKUP(Summary!B558,'Pre-Summary'!$A$6:$P$184,3, FALSE)/100,AD559)</f>
        <v>8.9092333333333329E-2</v>
      </c>
      <c r="AE558" s="10">
        <f>IFERROR(VLOOKUP(Summary!B558,'Pre-Summary'!$A$6:$P$184,7, FALSE)/100,AE559)</f>
        <v>0.23818233333333336</v>
      </c>
      <c r="AF558" s="99">
        <f t="shared" si="25"/>
        <v>7.827516205453211E-2</v>
      </c>
      <c r="AG558" s="99">
        <f t="shared" si="26"/>
        <v>0.20926335681925406</v>
      </c>
      <c r="AH558" s="10" t="str">
        <f>IFERROR(VLOOKUP(B558,'Pre-Summary'!$AZ$6:$BE$65,3,FALSE),"")</f>
        <v/>
      </c>
      <c r="AI558" s="10" t="str">
        <f>IFERROR(VLOOKUP(B558,'Pre-Summary'!$AZ$6:$BE$65,5,FALSE),"")</f>
        <v/>
      </c>
      <c r="AJ558" s="10" t="str">
        <f>IFERROR(VLOOKUP(B558,'Pre-Summary'!$AZ$6:$BE$65,4,FALSE),"")</f>
        <v/>
      </c>
      <c r="AK558" s="10" t="str">
        <f>IFERROR(VLOOKUP(B558,'Pre-Summary'!$AZ$6:$BE$65,6,FALSE),"")</f>
        <v/>
      </c>
      <c r="AL558" s="10" t="str">
        <f>IFERROR(VLOOKUP(B558,'Pre-Summary'!$BG$6:$BL$44,3,FALSE),"")</f>
        <v/>
      </c>
      <c r="AM558" s="10" t="str">
        <f>IFERROR(VLOOKUP(B558,'Pre-Summary'!$BG$6:$BL$44,4,FALSE),"")</f>
        <v/>
      </c>
    </row>
    <row r="559" spans="2:39" ht="15" customHeight="1" x14ac:dyDescent="0.3">
      <c r="B559">
        <v>55.6</v>
      </c>
      <c r="C559" t="str">
        <f>IFERROR(VLOOKUP(B559,'Pre-Summary'!$DI$6:$DM$23,4,FALSE),"")</f>
        <v/>
      </c>
      <c r="D559" s="10" t="str">
        <f>IFERROR(VLOOKUP(B559,'Pre-Summary'!$AT$6:$AX$14,5,FALSE),D558)</f>
        <v>DSMZ v2: Dropped Na-Ac out of DSMZ 120 media</v>
      </c>
      <c r="E559" s="10" t="str">
        <f>IFERROR(VLOOKUP(B559,'Pre-Summary'!$AT$6:$AX$15,4,FALSE),"")</f>
        <v/>
      </c>
      <c r="F559">
        <f>IFERROR(VLOOKUP(B559,'Pre-Summary'!$AL$6:$AQ$13,6,FALSE),F558)</f>
        <v>5.9405263157894746E-2</v>
      </c>
      <c r="G559" t="str">
        <f>IFERROR(VLOOKUP(B559,'Pre-Summary'!$AE$6:$AJ$85,3,FALSE),"")</f>
        <v/>
      </c>
      <c r="H559" t="str">
        <f>IFERROR(VLOOKUP(B559,'Pre-Summary'!$AE$6:$AJ$85,4,FALSE),"")</f>
        <v/>
      </c>
      <c r="I559" t="str">
        <f>IFERROR(VLOOKUP(B559,'Pre-Summary'!$AE$6:$AJ$85,5,FALSE),"")</f>
        <v/>
      </c>
      <c r="J559" s="45" t="str">
        <f>IFERROR(VLOOKUP(B559,'Pre-Summary'!$AE$6:$AJ$85,6, FALSE),"")</f>
        <v/>
      </c>
      <c r="K559" s="45" t="str">
        <f>IFERROR(VLOOKUP(B559,'Pre-Summary'!$DE$6:$DG$61,3,FALSE),"")</f>
        <v/>
      </c>
      <c r="L559" s="45" t="str">
        <f>IFERROR(VLOOKUP(B559,'Pre-Summary'!$CU$6:$CW$36,3,FALSE),"")</f>
        <v/>
      </c>
      <c r="M559" s="45" t="str">
        <f>IFERROR(VLOOKUP(B559,'Pre-Summary'!$BW$6:$BY$58,2,FALSE),"")</f>
        <v/>
      </c>
      <c r="N559" s="45" t="str">
        <f>IFERROR(VLOOKUP(B559,'Pre-Summary'!$CD$6:$CF$64,2,FALSE),"")</f>
        <v/>
      </c>
      <c r="O559" s="99">
        <f>IFERROR(VLOOKUP(B559,'Pre-Summary'!$BO$6:$BQ$48,3, FALSE),O558)</f>
        <v>1.0915248032216731</v>
      </c>
      <c r="P559" s="99">
        <f>IFERROR(VLOOKUP(B559,'Pre-Summary'!$BS$6:$BU$35,3,FALSE),P558)</f>
        <v>0.25</v>
      </c>
      <c r="Q559" s="54">
        <f t="shared" si="24"/>
        <v>4.3660992128866924</v>
      </c>
      <c r="R559" s="53">
        <f>IFERROR(VLOOKUP(B559,'Pre-Summary'!$BG$6:$BM$44,7,FALSE),R560)</f>
        <v>7.5915763918363535E-2</v>
      </c>
      <c r="S559" s="53">
        <f>IFERROR(VLOOKUP(B559,'Pre-Summary'!$BG$6:$BM$44,6,FALSE),S560)</f>
        <v>5.2897473997019086E-2</v>
      </c>
      <c r="T559" s="45" t="str">
        <f>IFERROR(VLOOKUP(B559,'Pre-Summary'!$Y$6:$AC$83, 3,FALSE),"")</f>
        <v/>
      </c>
      <c r="U559" s="45" t="str">
        <f>IFERROR(VLOOKUP(B559,'Pre-Summary'!$Y$6:$AC$83, 4,FALSE),"")</f>
        <v/>
      </c>
      <c r="V559" t="str">
        <f>IFERROR(VLOOKUP(B559,'Pre-Summary'!$Y$6:$AC$83, 5,FALSE),"")</f>
        <v/>
      </c>
      <c r="W559" s="45" t="str">
        <f>IFERROR(VLOOKUP(B559,'Pre-Summary'!$Y$6:$AD$83,6,FALSE),"")</f>
        <v/>
      </c>
      <c r="X559" t="str">
        <f>IFERROR(VLOOKUP('Pre-Summary'!$DB$6:$DD$63,3,FALSE),"")</f>
        <v/>
      </c>
      <c r="Y559" t="str">
        <f>IFERROR(VLOOKUP(B559,'Pre-Summary'!$CR$6:$CT$36,3,FALSE),"")</f>
        <v/>
      </c>
      <c r="Z559" s="45" t="str">
        <f>IFERROR(VLOOKUP(B559,'Pre-Summary'!$BZ$6:$CB$63,2,FALSE),"")</f>
        <v/>
      </c>
      <c r="AA559" s="45" t="str">
        <f>IFERROR(VLOOKUP(B559,'Pre-Summary'!$CG$6:$CI$70,2,FALSE),"")</f>
        <v/>
      </c>
      <c r="AB559" s="99">
        <f>IFERROR(VLOOKUP(B559,'Pre-Summary'!$A$6:$P$178,9,FALSE),AB560)</f>
        <v>0.87858471235308822</v>
      </c>
      <c r="AC559" s="10">
        <f>IFERROR(VLOOKUP(Summary!B559,'Pre-Summary'!$A$6:$P$184,5, FALSE)/100,AC560)</f>
        <v>0.67272566666666667</v>
      </c>
      <c r="AD559" s="10">
        <f>IFERROR(VLOOKUP(Summary!B559,'Pre-Summary'!$A$6:$P$184,3, FALSE)/100,AD560)</f>
        <v>8.9092333333333329E-2</v>
      </c>
      <c r="AE559" s="10">
        <f>IFERROR(VLOOKUP(Summary!B559,'Pre-Summary'!$A$6:$P$184,7, FALSE)/100,AE560)</f>
        <v>0.23818233333333336</v>
      </c>
      <c r="AF559" s="99">
        <f t="shared" si="25"/>
        <v>7.827516205453211E-2</v>
      </c>
      <c r="AG559" s="99">
        <f t="shared" si="26"/>
        <v>0.20926335681925406</v>
      </c>
      <c r="AH559" s="10" t="str">
        <f>IFERROR(VLOOKUP(B559,'Pre-Summary'!$AZ$6:$BE$65,3,FALSE),"")</f>
        <v/>
      </c>
      <c r="AI559" s="10" t="str">
        <f>IFERROR(VLOOKUP(B559,'Pre-Summary'!$AZ$6:$BE$65,5,FALSE),"")</f>
        <v/>
      </c>
      <c r="AJ559" s="10" t="str">
        <f>IFERROR(VLOOKUP(B559,'Pre-Summary'!$AZ$6:$BE$65,4,FALSE),"")</f>
        <v/>
      </c>
      <c r="AK559" s="10" t="str">
        <f>IFERROR(VLOOKUP(B559,'Pre-Summary'!$AZ$6:$BE$65,6,FALSE),"")</f>
        <v/>
      </c>
      <c r="AL559" s="10" t="str">
        <f>IFERROR(VLOOKUP(B559,'Pre-Summary'!$BG$6:$BL$44,3,FALSE),"")</f>
        <v/>
      </c>
      <c r="AM559" s="10" t="str">
        <f>IFERROR(VLOOKUP(B559,'Pre-Summary'!$BG$6:$BL$44,4,FALSE),"")</f>
        <v/>
      </c>
    </row>
    <row r="560" spans="2:39" ht="15" customHeight="1" x14ac:dyDescent="0.3">
      <c r="B560">
        <v>55.7</v>
      </c>
      <c r="C560" t="str">
        <f>IFERROR(VLOOKUP(B560,'Pre-Summary'!$DI$6:$DM$23,4,FALSE),"")</f>
        <v/>
      </c>
      <c r="D560" s="10" t="str">
        <f>IFERROR(VLOOKUP(B560,'Pre-Summary'!$AT$6:$AX$14,5,FALSE),D559)</f>
        <v>DSMZ v2: Dropped Na-Ac out of DSMZ 120 media</v>
      </c>
      <c r="E560" s="10" t="str">
        <f>IFERROR(VLOOKUP(B560,'Pre-Summary'!$AT$6:$AX$15,4,FALSE),"")</f>
        <v/>
      </c>
      <c r="F560">
        <f>IFERROR(VLOOKUP(B560,'Pre-Summary'!$AL$6:$AQ$13,6,FALSE),F559)</f>
        <v>5.9405263157894746E-2</v>
      </c>
      <c r="G560" t="str">
        <f>IFERROR(VLOOKUP(B560,'Pre-Summary'!$AE$6:$AJ$85,3,FALSE),"")</f>
        <v/>
      </c>
      <c r="H560" t="str">
        <f>IFERROR(VLOOKUP(B560,'Pre-Summary'!$AE$6:$AJ$85,4,FALSE),"")</f>
        <v/>
      </c>
      <c r="I560" t="str">
        <f>IFERROR(VLOOKUP(B560,'Pre-Summary'!$AE$6:$AJ$85,5,FALSE),"")</f>
        <v/>
      </c>
      <c r="J560" s="45" t="str">
        <f>IFERROR(VLOOKUP(B560,'Pre-Summary'!$AE$6:$AJ$85,6, FALSE),"")</f>
        <v/>
      </c>
      <c r="K560" s="45" t="str">
        <f>IFERROR(VLOOKUP(B560,'Pre-Summary'!$DE$6:$DG$61,3,FALSE),"")</f>
        <v/>
      </c>
      <c r="L560" s="45" t="str">
        <f>IFERROR(VLOOKUP(B560,'Pre-Summary'!$CU$6:$CW$36,3,FALSE),"")</f>
        <v/>
      </c>
      <c r="M560" s="45" t="str">
        <f>IFERROR(VLOOKUP(B560,'Pre-Summary'!$BW$6:$BY$58,2,FALSE),"")</f>
        <v/>
      </c>
      <c r="N560" s="45" t="str">
        <f>IFERROR(VLOOKUP(B560,'Pre-Summary'!$CD$6:$CF$64,2,FALSE),"")</f>
        <v/>
      </c>
      <c r="O560" s="99">
        <f>IFERROR(VLOOKUP(B560,'Pre-Summary'!$BO$6:$BQ$48,3, FALSE),O559)</f>
        <v>1.0915248032216731</v>
      </c>
      <c r="P560" s="99">
        <f>IFERROR(VLOOKUP(B560,'Pre-Summary'!$BS$6:$BU$35,3,FALSE),P559)</f>
        <v>0.25</v>
      </c>
      <c r="Q560" s="54">
        <f t="shared" si="24"/>
        <v>4.3660992128866924</v>
      </c>
      <c r="R560" s="53">
        <f>IFERROR(VLOOKUP(B560,'Pre-Summary'!$BG$6:$BM$44,7,FALSE),R561)</f>
        <v>7.5915763918363535E-2</v>
      </c>
      <c r="S560" s="53">
        <f>IFERROR(VLOOKUP(B560,'Pre-Summary'!$BG$6:$BM$44,6,FALSE),S561)</f>
        <v>5.2897473997019086E-2</v>
      </c>
      <c r="T560" s="45" t="str">
        <f>IFERROR(VLOOKUP(B560,'Pre-Summary'!$Y$6:$AC$83, 3,FALSE),"")</f>
        <v/>
      </c>
      <c r="U560" s="45" t="str">
        <f>IFERROR(VLOOKUP(B560,'Pre-Summary'!$Y$6:$AC$83, 4,FALSE),"")</f>
        <v/>
      </c>
      <c r="V560" t="str">
        <f>IFERROR(VLOOKUP(B560,'Pre-Summary'!$Y$6:$AC$83, 5,FALSE),"")</f>
        <v/>
      </c>
      <c r="W560" s="45" t="str">
        <f>IFERROR(VLOOKUP(B560,'Pre-Summary'!$Y$6:$AD$83,6,FALSE),"")</f>
        <v/>
      </c>
      <c r="X560" t="str">
        <f>IFERROR(VLOOKUP('Pre-Summary'!$DB$6:$DD$63,3,FALSE),"")</f>
        <v/>
      </c>
      <c r="Y560" t="str">
        <f>IFERROR(VLOOKUP(B560,'Pre-Summary'!$CR$6:$CT$36,3,FALSE),"")</f>
        <v/>
      </c>
      <c r="Z560" s="45" t="str">
        <f>IFERROR(VLOOKUP(B560,'Pre-Summary'!$BZ$6:$CB$63,2,FALSE),"")</f>
        <v/>
      </c>
      <c r="AA560" s="45" t="str">
        <f>IFERROR(VLOOKUP(B560,'Pre-Summary'!$CG$6:$CI$70,2,FALSE),"")</f>
        <v/>
      </c>
      <c r="AB560" s="99">
        <f>IFERROR(VLOOKUP(B560,'Pre-Summary'!$A$6:$P$178,9,FALSE),AB561)</f>
        <v>0.87858471235308822</v>
      </c>
      <c r="AC560" s="10">
        <f>IFERROR(VLOOKUP(Summary!B560,'Pre-Summary'!$A$6:$P$184,5, FALSE)/100,AC561)</f>
        <v>0.67272566666666667</v>
      </c>
      <c r="AD560" s="10">
        <f>IFERROR(VLOOKUP(Summary!B560,'Pre-Summary'!$A$6:$P$184,3, FALSE)/100,AD561)</f>
        <v>8.9092333333333329E-2</v>
      </c>
      <c r="AE560" s="10">
        <f>IFERROR(VLOOKUP(Summary!B560,'Pre-Summary'!$A$6:$P$184,7, FALSE)/100,AE561)</f>
        <v>0.23818233333333336</v>
      </c>
      <c r="AF560" s="99">
        <f t="shared" si="25"/>
        <v>7.827516205453211E-2</v>
      </c>
      <c r="AG560" s="99">
        <f t="shared" si="26"/>
        <v>0.20926335681925406</v>
      </c>
      <c r="AH560" s="10" t="str">
        <f>IFERROR(VLOOKUP(B560,'Pre-Summary'!$AZ$6:$BE$65,3,FALSE),"")</f>
        <v/>
      </c>
      <c r="AI560" s="10" t="str">
        <f>IFERROR(VLOOKUP(B560,'Pre-Summary'!$AZ$6:$BE$65,5,FALSE),"")</f>
        <v/>
      </c>
      <c r="AJ560" s="10" t="str">
        <f>IFERROR(VLOOKUP(B560,'Pre-Summary'!$AZ$6:$BE$65,4,FALSE),"")</f>
        <v/>
      </c>
      <c r="AK560" s="10" t="str">
        <f>IFERROR(VLOOKUP(B560,'Pre-Summary'!$AZ$6:$BE$65,6,FALSE),"")</f>
        <v/>
      </c>
      <c r="AL560" s="10" t="str">
        <f>IFERROR(VLOOKUP(B560,'Pre-Summary'!$BG$6:$BL$44,3,FALSE),"")</f>
        <v/>
      </c>
      <c r="AM560" s="10" t="str">
        <f>IFERROR(VLOOKUP(B560,'Pre-Summary'!$BG$6:$BL$44,4,FALSE),"")</f>
        <v/>
      </c>
    </row>
    <row r="561" spans="2:39" ht="15" customHeight="1" x14ac:dyDescent="0.3">
      <c r="B561">
        <v>55.8</v>
      </c>
      <c r="C561" t="str">
        <f>IFERROR(VLOOKUP(B561,'Pre-Summary'!$DI$6:$DM$23,4,FALSE),"")</f>
        <v/>
      </c>
      <c r="D561" s="10" t="str">
        <f>IFERROR(VLOOKUP(B561,'Pre-Summary'!$AT$6:$AX$14,5,FALSE),D560)</f>
        <v>DSMZ v2: Dropped Na-Ac out of DSMZ 120 media</v>
      </c>
      <c r="E561" s="10" t="str">
        <f>IFERROR(VLOOKUP(B561,'Pre-Summary'!$AT$6:$AX$15,4,FALSE),"")</f>
        <v/>
      </c>
      <c r="F561">
        <f>IFERROR(VLOOKUP(B561,'Pre-Summary'!$AL$6:$AQ$13,6,FALSE),F560)</f>
        <v>5.9405263157894746E-2</v>
      </c>
      <c r="G561" t="str">
        <f>IFERROR(VLOOKUP(B561,'Pre-Summary'!$AE$6:$AJ$85,3,FALSE),"")</f>
        <v/>
      </c>
      <c r="H561" t="str">
        <f>IFERROR(VLOOKUP(B561,'Pre-Summary'!$AE$6:$AJ$85,4,FALSE),"")</f>
        <v/>
      </c>
      <c r="I561" t="str">
        <f>IFERROR(VLOOKUP(B561,'Pre-Summary'!$AE$6:$AJ$85,5,FALSE),"")</f>
        <v/>
      </c>
      <c r="J561" s="45" t="str">
        <f>IFERROR(VLOOKUP(B561,'Pre-Summary'!$AE$6:$AJ$85,6, FALSE),"")</f>
        <v/>
      </c>
      <c r="K561" s="45" t="str">
        <f>IFERROR(VLOOKUP(B561,'Pre-Summary'!$DE$6:$DG$61,3,FALSE),"")</f>
        <v/>
      </c>
      <c r="L561" s="45" t="str">
        <f>IFERROR(VLOOKUP(B561,'Pre-Summary'!$CU$6:$CW$36,3,FALSE),"")</f>
        <v/>
      </c>
      <c r="M561" s="45" t="str">
        <f>IFERROR(VLOOKUP(B561,'Pre-Summary'!$BW$6:$BY$58,2,FALSE),"")</f>
        <v/>
      </c>
      <c r="N561" s="45" t="str">
        <f>IFERROR(VLOOKUP(B561,'Pre-Summary'!$CD$6:$CF$64,2,FALSE),"")</f>
        <v/>
      </c>
      <c r="O561" s="99">
        <f>IFERROR(VLOOKUP(B561,'Pre-Summary'!$BO$6:$BQ$48,3, FALSE),O560)</f>
        <v>1.0915248032216731</v>
      </c>
      <c r="P561" s="99">
        <f>IFERROR(VLOOKUP(B561,'Pre-Summary'!$BS$6:$BU$35,3,FALSE),P560)</f>
        <v>0.25</v>
      </c>
      <c r="Q561" s="54">
        <f t="shared" si="24"/>
        <v>4.3660992128866924</v>
      </c>
      <c r="R561" s="53">
        <f>IFERROR(VLOOKUP(B561,'Pre-Summary'!$BG$6:$BM$44,7,FALSE),R562)</f>
        <v>7.5915763918363535E-2</v>
      </c>
      <c r="S561" s="53">
        <f>IFERROR(VLOOKUP(B561,'Pre-Summary'!$BG$6:$BM$44,6,FALSE),S562)</f>
        <v>5.2897473997019086E-2</v>
      </c>
      <c r="T561" s="45" t="str">
        <f>IFERROR(VLOOKUP(B561,'Pre-Summary'!$Y$6:$AC$83, 3,FALSE),"")</f>
        <v/>
      </c>
      <c r="U561" s="45" t="str">
        <f>IFERROR(VLOOKUP(B561,'Pre-Summary'!$Y$6:$AC$83, 4,FALSE),"")</f>
        <v/>
      </c>
      <c r="V561" t="str">
        <f>IFERROR(VLOOKUP(B561,'Pre-Summary'!$Y$6:$AC$83, 5,FALSE),"")</f>
        <v/>
      </c>
      <c r="W561" s="45" t="str">
        <f>IFERROR(VLOOKUP(B561,'Pre-Summary'!$Y$6:$AD$83,6,FALSE),"")</f>
        <v/>
      </c>
      <c r="X561" t="str">
        <f>IFERROR(VLOOKUP('Pre-Summary'!$DB$6:$DD$63,3,FALSE),"")</f>
        <v/>
      </c>
      <c r="Y561" t="str">
        <f>IFERROR(VLOOKUP(B561,'Pre-Summary'!$CR$6:$CT$36,3,FALSE),"")</f>
        <v/>
      </c>
      <c r="Z561" s="45" t="str">
        <f>IFERROR(VLOOKUP(B561,'Pre-Summary'!$BZ$6:$CB$63,2,FALSE),"")</f>
        <v/>
      </c>
      <c r="AA561" s="45" t="str">
        <f>IFERROR(VLOOKUP(B561,'Pre-Summary'!$CG$6:$CI$70,2,FALSE),"")</f>
        <v/>
      </c>
      <c r="AB561" s="99">
        <f>IFERROR(VLOOKUP(B561,'Pre-Summary'!$A$6:$P$178,9,FALSE),AB562)</f>
        <v>0.87858471235308822</v>
      </c>
      <c r="AC561" s="10">
        <f>IFERROR(VLOOKUP(Summary!B561,'Pre-Summary'!$A$6:$P$184,5, FALSE)/100,AC562)</f>
        <v>0.67272566666666667</v>
      </c>
      <c r="AD561" s="10">
        <f>IFERROR(VLOOKUP(Summary!B561,'Pre-Summary'!$A$6:$P$184,3, FALSE)/100,AD562)</f>
        <v>8.9092333333333329E-2</v>
      </c>
      <c r="AE561" s="10">
        <f>IFERROR(VLOOKUP(Summary!B561,'Pre-Summary'!$A$6:$P$184,7, FALSE)/100,AE562)</f>
        <v>0.23818233333333336</v>
      </c>
      <c r="AF561" s="99">
        <f t="shared" si="25"/>
        <v>7.827516205453211E-2</v>
      </c>
      <c r="AG561" s="99">
        <f t="shared" si="26"/>
        <v>0.20926335681925406</v>
      </c>
      <c r="AH561" s="10" t="str">
        <f>IFERROR(VLOOKUP(B561,'Pre-Summary'!$AZ$6:$BE$65,3,FALSE),"")</f>
        <v/>
      </c>
      <c r="AI561" s="10" t="str">
        <f>IFERROR(VLOOKUP(B561,'Pre-Summary'!$AZ$6:$BE$65,5,FALSE),"")</f>
        <v/>
      </c>
      <c r="AJ561" s="10" t="str">
        <f>IFERROR(VLOOKUP(B561,'Pre-Summary'!$AZ$6:$BE$65,4,FALSE),"")</f>
        <v/>
      </c>
      <c r="AK561" s="10" t="str">
        <f>IFERROR(VLOOKUP(B561,'Pre-Summary'!$AZ$6:$BE$65,6,FALSE),"")</f>
        <v/>
      </c>
      <c r="AL561" s="10" t="str">
        <f>IFERROR(VLOOKUP(B561,'Pre-Summary'!$BG$6:$BL$44,3,FALSE),"")</f>
        <v/>
      </c>
      <c r="AM561" s="10" t="str">
        <f>IFERROR(VLOOKUP(B561,'Pre-Summary'!$BG$6:$BL$44,4,FALSE),"")</f>
        <v/>
      </c>
    </row>
    <row r="562" spans="2:39" ht="15" customHeight="1" x14ac:dyDescent="0.3">
      <c r="B562">
        <v>55.9</v>
      </c>
      <c r="C562" t="str">
        <f>IFERROR(VLOOKUP(B562,'Pre-Summary'!$DI$6:$DM$23,4,FALSE),"")</f>
        <v/>
      </c>
      <c r="D562" s="10" t="str">
        <f>IFERROR(VLOOKUP(B562,'Pre-Summary'!$AT$6:$AX$14,5,FALSE),D561)</f>
        <v>DSMZ v2: Dropped Na-Ac out of DSMZ 120 media</v>
      </c>
      <c r="E562" s="10" t="str">
        <f>IFERROR(VLOOKUP(B562,'Pre-Summary'!$AT$6:$AX$15,4,FALSE),"")</f>
        <v/>
      </c>
      <c r="F562">
        <f>IFERROR(VLOOKUP(B562,'Pre-Summary'!$AL$6:$AQ$13,6,FALSE),F561)</f>
        <v>5.9405263157894746E-2</v>
      </c>
      <c r="G562" t="str">
        <f>IFERROR(VLOOKUP(B562,'Pre-Summary'!$AE$6:$AJ$85,3,FALSE),"")</f>
        <v/>
      </c>
      <c r="H562" t="str">
        <f>IFERROR(VLOOKUP(B562,'Pre-Summary'!$AE$6:$AJ$85,4,FALSE),"")</f>
        <v/>
      </c>
      <c r="I562" t="str">
        <f>IFERROR(VLOOKUP(B562,'Pre-Summary'!$AE$6:$AJ$85,5,FALSE),"")</f>
        <v/>
      </c>
      <c r="J562" s="45" t="str">
        <f>IFERROR(VLOOKUP(B562,'Pre-Summary'!$AE$6:$AJ$85,6, FALSE),"")</f>
        <v/>
      </c>
      <c r="K562" s="45" t="str">
        <f>IFERROR(VLOOKUP(B562,'Pre-Summary'!$DE$6:$DG$61,3,FALSE),"")</f>
        <v/>
      </c>
      <c r="L562" s="45" t="str">
        <f>IFERROR(VLOOKUP(B562,'Pre-Summary'!$CU$6:$CW$36,3,FALSE),"")</f>
        <v/>
      </c>
      <c r="M562" s="45" t="str">
        <f>IFERROR(VLOOKUP(B562,'Pre-Summary'!$BW$6:$BY$58,2,FALSE),"")</f>
        <v/>
      </c>
      <c r="N562" s="45" t="str">
        <f>IFERROR(VLOOKUP(B562,'Pre-Summary'!$CD$6:$CF$64,2,FALSE),"")</f>
        <v/>
      </c>
      <c r="O562" s="99">
        <f>IFERROR(VLOOKUP(B562,'Pre-Summary'!$BO$6:$BQ$48,3, FALSE),O561)</f>
        <v>1.0915248032216731</v>
      </c>
      <c r="P562" s="99">
        <f>IFERROR(VLOOKUP(B562,'Pre-Summary'!$BS$6:$BU$35,3,FALSE),P561)</f>
        <v>0.25</v>
      </c>
      <c r="Q562" s="54">
        <f t="shared" si="24"/>
        <v>4.3660992128866924</v>
      </c>
      <c r="R562" s="53">
        <f>IFERROR(VLOOKUP(B562,'Pre-Summary'!$BG$6:$BM$44,7,FALSE),R563)</f>
        <v>7.5915763918363535E-2</v>
      </c>
      <c r="S562" s="53">
        <f>IFERROR(VLOOKUP(B562,'Pre-Summary'!$BG$6:$BM$44,6,FALSE),S563)</f>
        <v>5.2897473997019086E-2</v>
      </c>
      <c r="T562" s="45" t="str">
        <f>IFERROR(VLOOKUP(B562,'Pre-Summary'!$Y$6:$AC$83, 3,FALSE),"")</f>
        <v/>
      </c>
      <c r="U562" s="45" t="str">
        <f>IFERROR(VLOOKUP(B562,'Pre-Summary'!$Y$6:$AC$83, 4,FALSE),"")</f>
        <v/>
      </c>
      <c r="V562" t="str">
        <f>IFERROR(VLOOKUP(B562,'Pre-Summary'!$Y$6:$AC$83, 5,FALSE),"")</f>
        <v/>
      </c>
      <c r="W562" s="45" t="str">
        <f>IFERROR(VLOOKUP(B562,'Pre-Summary'!$Y$6:$AD$83,6,FALSE),"")</f>
        <v/>
      </c>
      <c r="X562" t="str">
        <f>IFERROR(VLOOKUP('Pre-Summary'!$DB$6:$DD$63,3,FALSE),"")</f>
        <v/>
      </c>
      <c r="Y562" t="str">
        <f>IFERROR(VLOOKUP(B562,'Pre-Summary'!$CR$6:$CT$36,3,FALSE),"")</f>
        <v/>
      </c>
      <c r="Z562" s="45" t="str">
        <f>IFERROR(VLOOKUP(B562,'Pre-Summary'!$BZ$6:$CB$63,2,FALSE),"")</f>
        <v/>
      </c>
      <c r="AA562" s="45" t="str">
        <f>IFERROR(VLOOKUP(B562,'Pre-Summary'!$CG$6:$CI$70,2,FALSE),"")</f>
        <v/>
      </c>
      <c r="AB562" s="99">
        <f>IFERROR(VLOOKUP(B562,'Pre-Summary'!$A$6:$P$178,9,FALSE),AB563)</f>
        <v>0.87858471235308822</v>
      </c>
      <c r="AC562" s="10">
        <f>IFERROR(VLOOKUP(Summary!B562,'Pre-Summary'!$A$6:$P$184,5, FALSE)/100,AC563)</f>
        <v>0.67272566666666667</v>
      </c>
      <c r="AD562" s="10">
        <f>IFERROR(VLOOKUP(Summary!B562,'Pre-Summary'!$A$6:$P$184,3, FALSE)/100,AD563)</f>
        <v>8.9092333333333329E-2</v>
      </c>
      <c r="AE562" s="10">
        <f>IFERROR(VLOOKUP(Summary!B562,'Pre-Summary'!$A$6:$P$184,7, FALSE)/100,AE563)</f>
        <v>0.23818233333333336</v>
      </c>
      <c r="AF562" s="99">
        <f t="shared" si="25"/>
        <v>7.827516205453211E-2</v>
      </c>
      <c r="AG562" s="99">
        <f t="shared" si="26"/>
        <v>0.20926335681925406</v>
      </c>
      <c r="AH562" s="10" t="str">
        <f>IFERROR(VLOOKUP(B562,'Pre-Summary'!$AZ$6:$BE$65,3,FALSE),"")</f>
        <v/>
      </c>
      <c r="AI562" s="10" t="str">
        <f>IFERROR(VLOOKUP(B562,'Pre-Summary'!$AZ$6:$BE$65,5,FALSE),"")</f>
        <v/>
      </c>
      <c r="AJ562" s="10" t="str">
        <f>IFERROR(VLOOKUP(B562,'Pre-Summary'!$AZ$6:$BE$65,4,FALSE),"")</f>
        <v/>
      </c>
      <c r="AK562" s="10" t="str">
        <f>IFERROR(VLOOKUP(B562,'Pre-Summary'!$AZ$6:$BE$65,6,FALSE),"")</f>
        <v/>
      </c>
      <c r="AL562" s="10" t="str">
        <f>IFERROR(VLOOKUP(B562,'Pre-Summary'!$BG$6:$BL$44,3,FALSE),"")</f>
        <v/>
      </c>
      <c r="AM562" s="10" t="str">
        <f>IFERROR(VLOOKUP(B562,'Pre-Summary'!$BG$6:$BL$44,4,FALSE),"")</f>
        <v/>
      </c>
    </row>
    <row r="563" spans="2:39" ht="15" customHeight="1" x14ac:dyDescent="0.3">
      <c r="B563">
        <v>56</v>
      </c>
      <c r="C563" t="str">
        <f>IFERROR(VLOOKUP(B563,'Pre-Summary'!$DI$6:$DM$23,4,FALSE),"")</f>
        <v/>
      </c>
      <c r="D563" s="10" t="str">
        <f>IFERROR(VLOOKUP(B563,'Pre-Summary'!$AT$6:$AX$14,5,FALSE),D562)</f>
        <v>DSMZ v2: Dropped Na-Ac out of DSMZ 120 media</v>
      </c>
      <c r="E563" s="10" t="str">
        <f>IFERROR(VLOOKUP(B563,'Pre-Summary'!$AT$6:$AX$15,4,FALSE),"")</f>
        <v/>
      </c>
      <c r="F563">
        <f>IFERROR(VLOOKUP(B563,'Pre-Summary'!$AL$6:$AQ$13,6,FALSE),F562)</f>
        <v>5.9405263157894746E-2</v>
      </c>
      <c r="G563" t="str">
        <f>IFERROR(VLOOKUP(B563,'Pre-Summary'!$AE$6:$AJ$85,3,FALSE),"")</f>
        <v/>
      </c>
      <c r="H563" t="str">
        <f>IFERROR(VLOOKUP(B563,'Pre-Summary'!$AE$6:$AJ$85,4,FALSE),"")</f>
        <v/>
      </c>
      <c r="I563" t="str">
        <f>IFERROR(VLOOKUP(B563,'Pre-Summary'!$AE$6:$AJ$85,5,FALSE),"")</f>
        <v/>
      </c>
      <c r="J563" s="45" t="str">
        <f>IFERROR(VLOOKUP(B563,'Pre-Summary'!$AE$6:$AJ$85,6, FALSE),"")</f>
        <v/>
      </c>
      <c r="K563" s="45" t="str">
        <f>IFERROR(VLOOKUP(B563,'Pre-Summary'!$DE$6:$DG$61,3,FALSE),"")</f>
        <v/>
      </c>
      <c r="L563" s="45" t="str">
        <f>IFERROR(VLOOKUP(B563,'Pre-Summary'!$CU$6:$CW$36,3,FALSE),"")</f>
        <v/>
      </c>
      <c r="M563" s="45" t="str">
        <f>IFERROR(VLOOKUP(B563,'Pre-Summary'!$BW$6:$BY$58,2,FALSE),"")</f>
        <v/>
      </c>
      <c r="N563" s="45" t="str">
        <f>IFERROR(VLOOKUP(B563,'Pre-Summary'!$CD$6:$CF$64,2,FALSE),"")</f>
        <v/>
      </c>
      <c r="O563" s="99">
        <f>IFERROR(VLOOKUP(B563,'Pre-Summary'!$BO$6:$BQ$48,3, FALSE),O562)</f>
        <v>1.0915248032216731</v>
      </c>
      <c r="P563" s="99">
        <f>IFERROR(VLOOKUP(B563,'Pre-Summary'!$BS$6:$BU$35,3,FALSE),P562)</f>
        <v>0.25</v>
      </c>
      <c r="Q563" s="54">
        <f t="shared" si="24"/>
        <v>4.3660992128866924</v>
      </c>
      <c r="R563" s="53">
        <f>IFERROR(VLOOKUP(B563,'Pre-Summary'!$BG$6:$BM$44,7,FALSE),R564)</f>
        <v>7.5915763918363535E-2</v>
      </c>
      <c r="S563" s="53">
        <f>IFERROR(VLOOKUP(B563,'Pre-Summary'!$BG$6:$BM$44,6,FALSE),S564)</f>
        <v>5.2897473997019086E-2</v>
      </c>
      <c r="T563" s="45" t="str">
        <f>IFERROR(VLOOKUP(B563,'Pre-Summary'!$Y$6:$AC$83, 3,FALSE),"")</f>
        <v/>
      </c>
      <c r="U563" s="45" t="str">
        <f>IFERROR(VLOOKUP(B563,'Pre-Summary'!$Y$6:$AC$83, 4,FALSE),"")</f>
        <v/>
      </c>
      <c r="V563" t="str">
        <f>IFERROR(VLOOKUP(B563,'Pre-Summary'!$Y$6:$AC$83, 5,FALSE),"")</f>
        <v/>
      </c>
      <c r="W563" s="45" t="str">
        <f>IFERROR(VLOOKUP(B563,'Pre-Summary'!$Y$6:$AD$83,6,FALSE),"")</f>
        <v/>
      </c>
      <c r="X563" t="str">
        <f>IFERROR(VLOOKUP('Pre-Summary'!$DB$6:$DD$63,3,FALSE),"")</f>
        <v/>
      </c>
      <c r="Y563" t="str">
        <f>IFERROR(VLOOKUP(B563,'Pre-Summary'!$CR$6:$CT$36,3,FALSE),"")</f>
        <v/>
      </c>
      <c r="Z563" s="45" t="str">
        <f>IFERROR(VLOOKUP(B563,'Pre-Summary'!$BZ$6:$CB$63,2,FALSE),"")</f>
        <v/>
      </c>
      <c r="AA563" s="45" t="str">
        <f>IFERROR(VLOOKUP(B563,'Pre-Summary'!$CG$6:$CI$70,2,FALSE),"")</f>
        <v/>
      </c>
      <c r="AB563" s="99">
        <f>IFERROR(VLOOKUP(B563,'Pre-Summary'!$A$6:$P$178,9,FALSE),AB564)</f>
        <v>0.87858471235308822</v>
      </c>
      <c r="AC563" s="10">
        <f>IFERROR(VLOOKUP(Summary!B563,'Pre-Summary'!$A$6:$P$184,5, FALSE)/100,AC564)</f>
        <v>0.67272566666666667</v>
      </c>
      <c r="AD563" s="10">
        <f>IFERROR(VLOOKUP(Summary!B563,'Pre-Summary'!$A$6:$P$184,3, FALSE)/100,AD564)</f>
        <v>8.9092333333333329E-2</v>
      </c>
      <c r="AE563" s="10">
        <f>IFERROR(VLOOKUP(Summary!B563,'Pre-Summary'!$A$6:$P$184,7, FALSE)/100,AE564)</f>
        <v>0.23818233333333336</v>
      </c>
      <c r="AF563" s="99">
        <f t="shared" si="25"/>
        <v>7.827516205453211E-2</v>
      </c>
      <c r="AG563" s="99">
        <f t="shared" si="26"/>
        <v>0.20926335681925406</v>
      </c>
      <c r="AH563" s="10" t="str">
        <f>IFERROR(VLOOKUP(B563,'Pre-Summary'!$AZ$6:$BE$65,3,FALSE),"")</f>
        <v/>
      </c>
      <c r="AI563" s="10" t="str">
        <f>IFERROR(VLOOKUP(B563,'Pre-Summary'!$AZ$6:$BE$65,5,FALSE),"")</f>
        <v/>
      </c>
      <c r="AJ563" s="10" t="str">
        <f>IFERROR(VLOOKUP(B563,'Pre-Summary'!$AZ$6:$BE$65,4,FALSE),"")</f>
        <v/>
      </c>
      <c r="AK563" s="10" t="str">
        <f>IFERROR(VLOOKUP(B563,'Pre-Summary'!$AZ$6:$BE$65,6,FALSE),"")</f>
        <v/>
      </c>
      <c r="AL563" s="10" t="str">
        <f>IFERROR(VLOOKUP(B563,'Pre-Summary'!$BG$6:$BL$44,3,FALSE),"")</f>
        <v/>
      </c>
      <c r="AM563" s="10" t="str">
        <f>IFERROR(VLOOKUP(B563,'Pre-Summary'!$BG$6:$BL$44,4,FALSE),"")</f>
        <v/>
      </c>
    </row>
    <row r="564" spans="2:39" ht="15" customHeight="1" x14ac:dyDescent="0.3">
      <c r="B564">
        <v>56.1</v>
      </c>
      <c r="C564" t="str">
        <f>IFERROR(VLOOKUP(B564,'Pre-Summary'!$DI$6:$DM$23,4,FALSE),"")</f>
        <v/>
      </c>
      <c r="D564" s="10" t="str">
        <f>IFERROR(VLOOKUP(B564,'Pre-Summary'!$AT$6:$AX$14,5,FALSE),D563)</f>
        <v>DSMZ v2: Dropped Na-Ac out of DSMZ 120 media</v>
      </c>
      <c r="E564" s="10" t="str">
        <f>IFERROR(VLOOKUP(B564,'Pre-Summary'!$AT$6:$AX$15,4,FALSE),"")</f>
        <v/>
      </c>
      <c r="F564">
        <f>IFERROR(VLOOKUP(B564,'Pre-Summary'!$AL$6:$AQ$13,6,FALSE),F563)</f>
        <v>5.9405263157894746E-2</v>
      </c>
      <c r="G564" t="str">
        <f>IFERROR(VLOOKUP(B564,'Pre-Summary'!$AE$6:$AJ$85,3,FALSE),"")</f>
        <v/>
      </c>
      <c r="H564" t="str">
        <f>IFERROR(VLOOKUP(B564,'Pre-Summary'!$AE$6:$AJ$85,4,FALSE),"")</f>
        <v/>
      </c>
      <c r="I564" t="str">
        <f>IFERROR(VLOOKUP(B564,'Pre-Summary'!$AE$6:$AJ$85,5,FALSE),"")</f>
        <v/>
      </c>
      <c r="J564" s="45" t="str">
        <f>IFERROR(VLOOKUP(B564,'Pre-Summary'!$AE$6:$AJ$85,6, FALSE),"")</f>
        <v/>
      </c>
      <c r="K564" s="45" t="str">
        <f>IFERROR(VLOOKUP(B564,'Pre-Summary'!$DE$6:$DG$61,3,FALSE),"")</f>
        <v/>
      </c>
      <c r="L564" s="45" t="str">
        <f>IFERROR(VLOOKUP(B564,'Pre-Summary'!$CU$6:$CW$36,3,FALSE),"")</f>
        <v/>
      </c>
      <c r="M564" s="45" t="str">
        <f>IFERROR(VLOOKUP(B564,'Pre-Summary'!$BW$6:$BY$58,2,FALSE),"")</f>
        <v/>
      </c>
      <c r="N564" s="45" t="str">
        <f>IFERROR(VLOOKUP(B564,'Pre-Summary'!$CD$6:$CF$64,2,FALSE),"")</f>
        <v/>
      </c>
      <c r="O564" s="99">
        <f>IFERROR(VLOOKUP(B564,'Pre-Summary'!$BO$6:$BQ$48,3, FALSE),O563)</f>
        <v>1.0915248032216731</v>
      </c>
      <c r="P564" s="99">
        <f>IFERROR(VLOOKUP(B564,'Pre-Summary'!$BS$6:$BU$35,3,FALSE),P563)</f>
        <v>0.25</v>
      </c>
      <c r="Q564" s="54">
        <f t="shared" si="24"/>
        <v>4.3660992128866924</v>
      </c>
      <c r="R564" s="53">
        <f>IFERROR(VLOOKUP(B564,'Pre-Summary'!$BG$6:$BM$44,7,FALSE),R565)</f>
        <v>7.5915763918363535E-2</v>
      </c>
      <c r="S564" s="53">
        <f>IFERROR(VLOOKUP(B564,'Pre-Summary'!$BG$6:$BM$44,6,FALSE),S565)</f>
        <v>5.2897473997019086E-2</v>
      </c>
      <c r="T564" s="45" t="str">
        <f>IFERROR(VLOOKUP(B564,'Pre-Summary'!$Y$6:$AC$83, 3,FALSE),"")</f>
        <v/>
      </c>
      <c r="U564" s="45" t="str">
        <f>IFERROR(VLOOKUP(B564,'Pre-Summary'!$Y$6:$AC$83, 4,FALSE),"")</f>
        <v/>
      </c>
      <c r="V564" t="str">
        <f>IFERROR(VLOOKUP(B564,'Pre-Summary'!$Y$6:$AC$83, 5,FALSE),"")</f>
        <v/>
      </c>
      <c r="W564" s="45" t="str">
        <f>IFERROR(VLOOKUP(B564,'Pre-Summary'!$Y$6:$AD$83,6,FALSE),"")</f>
        <v/>
      </c>
      <c r="X564" t="str">
        <f>IFERROR(VLOOKUP('Pre-Summary'!$DB$6:$DD$63,3,FALSE),"")</f>
        <v/>
      </c>
      <c r="Y564" t="str">
        <f>IFERROR(VLOOKUP(B564,'Pre-Summary'!$CR$6:$CT$36,3,FALSE),"")</f>
        <v/>
      </c>
      <c r="Z564" s="45" t="str">
        <f>IFERROR(VLOOKUP(B564,'Pre-Summary'!$BZ$6:$CB$63,2,FALSE),"")</f>
        <v/>
      </c>
      <c r="AA564" s="45" t="str">
        <f>IFERROR(VLOOKUP(B564,'Pre-Summary'!$CG$6:$CI$70,2,FALSE),"")</f>
        <v/>
      </c>
      <c r="AB564" s="99">
        <f>IFERROR(VLOOKUP(B564,'Pre-Summary'!$A$6:$P$178,9,FALSE),AB565)</f>
        <v>0.87858471235308822</v>
      </c>
      <c r="AC564" s="10">
        <f>IFERROR(VLOOKUP(Summary!B564,'Pre-Summary'!$A$6:$P$184,5, FALSE)/100,AC565)</f>
        <v>0.67272566666666667</v>
      </c>
      <c r="AD564" s="10">
        <f>IFERROR(VLOOKUP(Summary!B564,'Pre-Summary'!$A$6:$P$184,3, FALSE)/100,AD565)</f>
        <v>8.9092333333333329E-2</v>
      </c>
      <c r="AE564" s="10">
        <f>IFERROR(VLOOKUP(Summary!B564,'Pre-Summary'!$A$6:$P$184,7, FALSE)/100,AE565)</f>
        <v>0.23818233333333336</v>
      </c>
      <c r="AF564" s="99">
        <f t="shared" si="25"/>
        <v>7.827516205453211E-2</v>
      </c>
      <c r="AG564" s="99">
        <f t="shared" si="26"/>
        <v>0.20926335681925406</v>
      </c>
      <c r="AH564" s="10" t="str">
        <f>IFERROR(VLOOKUP(B564,'Pre-Summary'!$AZ$6:$BE$65,3,FALSE),"")</f>
        <v/>
      </c>
      <c r="AI564" s="10" t="str">
        <f>IFERROR(VLOOKUP(B564,'Pre-Summary'!$AZ$6:$BE$65,5,FALSE),"")</f>
        <v/>
      </c>
      <c r="AJ564" s="10" t="str">
        <f>IFERROR(VLOOKUP(B564,'Pre-Summary'!$AZ$6:$BE$65,4,FALSE),"")</f>
        <v/>
      </c>
      <c r="AK564" s="10" t="str">
        <f>IFERROR(VLOOKUP(B564,'Pre-Summary'!$AZ$6:$BE$65,6,FALSE),"")</f>
        <v/>
      </c>
      <c r="AL564" s="10" t="str">
        <f>IFERROR(VLOOKUP(B564,'Pre-Summary'!$BG$6:$BL$44,3,FALSE),"")</f>
        <v/>
      </c>
      <c r="AM564" s="10" t="str">
        <f>IFERROR(VLOOKUP(B564,'Pre-Summary'!$BG$6:$BL$44,4,FALSE),"")</f>
        <v/>
      </c>
    </row>
    <row r="565" spans="2:39" ht="15" customHeight="1" x14ac:dyDescent="0.3">
      <c r="B565">
        <v>56.2</v>
      </c>
      <c r="C565" t="str">
        <f>IFERROR(VLOOKUP(B565,'Pre-Summary'!$DI$6:$DM$23,4,FALSE),"")</f>
        <v/>
      </c>
      <c r="D565" s="10" t="str">
        <f>IFERROR(VLOOKUP(B565,'Pre-Summary'!$AT$6:$AX$14,5,FALSE),D564)</f>
        <v>DSMZ v2: Dropped Na-Ac out of DSMZ 120 media</v>
      </c>
      <c r="E565" s="10" t="str">
        <f>IFERROR(VLOOKUP(B565,'Pre-Summary'!$AT$6:$AX$15,4,FALSE),"")</f>
        <v/>
      </c>
      <c r="F565">
        <f>IFERROR(VLOOKUP(B565,'Pre-Summary'!$AL$6:$AQ$13,6,FALSE),F564)</f>
        <v>5.9405263157894746E-2</v>
      </c>
      <c r="G565" t="str">
        <f>IFERROR(VLOOKUP(B565,'Pre-Summary'!$AE$6:$AJ$85,3,FALSE),"")</f>
        <v/>
      </c>
      <c r="H565" t="str">
        <f>IFERROR(VLOOKUP(B565,'Pre-Summary'!$AE$6:$AJ$85,4,FALSE),"")</f>
        <v/>
      </c>
      <c r="I565" t="str">
        <f>IFERROR(VLOOKUP(B565,'Pre-Summary'!$AE$6:$AJ$85,5,FALSE),"")</f>
        <v/>
      </c>
      <c r="J565" s="45" t="str">
        <f>IFERROR(VLOOKUP(B565,'Pre-Summary'!$AE$6:$AJ$85,6, FALSE),"")</f>
        <v/>
      </c>
      <c r="K565" s="45" t="str">
        <f>IFERROR(VLOOKUP(B565,'Pre-Summary'!$DE$6:$DG$61,3,FALSE),"")</f>
        <v/>
      </c>
      <c r="L565" s="45" t="str">
        <f>IFERROR(VLOOKUP(B565,'Pre-Summary'!$CU$6:$CW$36,3,FALSE),"")</f>
        <v/>
      </c>
      <c r="M565" s="45" t="str">
        <f>IFERROR(VLOOKUP(B565,'Pre-Summary'!$BW$6:$BY$58,2,FALSE),"")</f>
        <v/>
      </c>
      <c r="N565" s="45" t="str">
        <f>IFERROR(VLOOKUP(B565,'Pre-Summary'!$CD$6:$CF$64,2,FALSE),"")</f>
        <v/>
      </c>
      <c r="O565" s="99">
        <f>IFERROR(VLOOKUP(B565,'Pre-Summary'!$BO$6:$BQ$48,3, FALSE),O564)</f>
        <v>1.0915248032216731</v>
      </c>
      <c r="P565" s="99">
        <f>IFERROR(VLOOKUP(B565,'Pre-Summary'!$BS$6:$BU$35,3,FALSE),P564)</f>
        <v>0.25</v>
      </c>
      <c r="Q565" s="54">
        <f t="shared" si="24"/>
        <v>4.3660992128866924</v>
      </c>
      <c r="R565" s="53">
        <f>IFERROR(VLOOKUP(B565,'Pre-Summary'!$BG$6:$BM$44,7,FALSE),R566)</f>
        <v>7.5915763918363535E-2</v>
      </c>
      <c r="S565" s="53">
        <f>IFERROR(VLOOKUP(B565,'Pre-Summary'!$BG$6:$BM$44,6,FALSE),S566)</f>
        <v>5.2897473997019086E-2</v>
      </c>
      <c r="T565" s="45" t="str">
        <f>IFERROR(VLOOKUP(B565,'Pre-Summary'!$Y$6:$AC$83, 3,FALSE),"")</f>
        <v/>
      </c>
      <c r="U565" s="45" t="str">
        <f>IFERROR(VLOOKUP(B565,'Pre-Summary'!$Y$6:$AC$83, 4,FALSE),"")</f>
        <v/>
      </c>
      <c r="V565" t="str">
        <f>IFERROR(VLOOKUP(B565,'Pre-Summary'!$Y$6:$AC$83, 5,FALSE),"")</f>
        <v/>
      </c>
      <c r="W565" s="45" t="str">
        <f>IFERROR(VLOOKUP(B565,'Pre-Summary'!$Y$6:$AD$83,6,FALSE),"")</f>
        <v/>
      </c>
      <c r="X565" t="str">
        <f>IFERROR(VLOOKUP('Pre-Summary'!$DB$6:$DD$63,3,FALSE),"")</f>
        <v/>
      </c>
      <c r="Y565" t="str">
        <f>IFERROR(VLOOKUP(B565,'Pre-Summary'!$CR$6:$CT$36,3,FALSE),"")</f>
        <v/>
      </c>
      <c r="Z565" s="45" t="str">
        <f>IFERROR(VLOOKUP(B565,'Pre-Summary'!$BZ$6:$CB$63,2,FALSE),"")</f>
        <v/>
      </c>
      <c r="AA565" s="45" t="str">
        <f>IFERROR(VLOOKUP(B565,'Pre-Summary'!$CG$6:$CI$70,2,FALSE),"")</f>
        <v/>
      </c>
      <c r="AB565" s="99">
        <f>IFERROR(VLOOKUP(B565,'Pre-Summary'!$A$6:$P$178,9,FALSE),AB566)</f>
        <v>0.87858471235308822</v>
      </c>
      <c r="AC565" s="10">
        <f>IFERROR(VLOOKUP(Summary!B565,'Pre-Summary'!$A$6:$P$184,5, FALSE)/100,AC566)</f>
        <v>0.67272566666666667</v>
      </c>
      <c r="AD565" s="10">
        <f>IFERROR(VLOOKUP(Summary!B565,'Pre-Summary'!$A$6:$P$184,3, FALSE)/100,AD566)</f>
        <v>8.9092333333333329E-2</v>
      </c>
      <c r="AE565" s="10">
        <f>IFERROR(VLOOKUP(Summary!B565,'Pre-Summary'!$A$6:$P$184,7, FALSE)/100,AE566)</f>
        <v>0.23818233333333336</v>
      </c>
      <c r="AF565" s="99">
        <f t="shared" si="25"/>
        <v>7.827516205453211E-2</v>
      </c>
      <c r="AG565" s="99">
        <f t="shared" si="26"/>
        <v>0.20926335681925406</v>
      </c>
      <c r="AH565" s="10" t="str">
        <f>IFERROR(VLOOKUP(B565,'Pre-Summary'!$AZ$6:$BE$65,3,FALSE),"")</f>
        <v/>
      </c>
      <c r="AI565" s="10" t="str">
        <f>IFERROR(VLOOKUP(B565,'Pre-Summary'!$AZ$6:$BE$65,5,FALSE),"")</f>
        <v/>
      </c>
      <c r="AJ565" s="10" t="str">
        <f>IFERROR(VLOOKUP(B565,'Pre-Summary'!$AZ$6:$BE$65,4,FALSE),"")</f>
        <v/>
      </c>
      <c r="AK565" s="10" t="str">
        <f>IFERROR(VLOOKUP(B565,'Pre-Summary'!$AZ$6:$BE$65,6,FALSE),"")</f>
        <v/>
      </c>
      <c r="AL565" s="10" t="str">
        <f>IFERROR(VLOOKUP(B565,'Pre-Summary'!$BG$6:$BL$44,3,FALSE),"")</f>
        <v/>
      </c>
      <c r="AM565" s="10" t="str">
        <f>IFERROR(VLOOKUP(B565,'Pre-Summary'!$BG$6:$BL$44,4,FALSE),"")</f>
        <v/>
      </c>
    </row>
    <row r="566" spans="2:39" ht="15" customHeight="1" x14ac:dyDescent="0.3">
      <c r="B566">
        <v>56.3</v>
      </c>
      <c r="C566" t="str">
        <f>IFERROR(VLOOKUP(B566,'Pre-Summary'!$DI$6:$DM$23,4,FALSE),"")</f>
        <v/>
      </c>
      <c r="D566" s="10" t="str">
        <f>IFERROR(VLOOKUP(B566,'Pre-Summary'!$AT$6:$AX$14,5,FALSE),D565)</f>
        <v>DSMZ v2: Dropped Na-Ac out of DSMZ 120 media</v>
      </c>
      <c r="E566" s="10" t="str">
        <f>IFERROR(VLOOKUP(B566,'Pre-Summary'!$AT$6:$AX$15,4,FALSE),"")</f>
        <v/>
      </c>
      <c r="F566">
        <f>IFERROR(VLOOKUP(B566,'Pre-Summary'!$AL$6:$AQ$13,6,FALSE),F565)</f>
        <v>5.9405263157894746E-2</v>
      </c>
      <c r="G566" t="str">
        <f>IFERROR(VLOOKUP(B566,'Pre-Summary'!$AE$6:$AJ$85,3,FALSE),"")</f>
        <v/>
      </c>
      <c r="H566" t="str">
        <f>IFERROR(VLOOKUP(B566,'Pre-Summary'!$AE$6:$AJ$85,4,FALSE),"")</f>
        <v/>
      </c>
      <c r="I566" t="str">
        <f>IFERROR(VLOOKUP(B566,'Pre-Summary'!$AE$6:$AJ$85,5,FALSE),"")</f>
        <v/>
      </c>
      <c r="J566" s="45" t="str">
        <f>IFERROR(VLOOKUP(B566,'Pre-Summary'!$AE$6:$AJ$85,6, FALSE),"")</f>
        <v/>
      </c>
      <c r="K566" s="45" t="str">
        <f>IFERROR(VLOOKUP(B566,'Pre-Summary'!$DE$6:$DG$61,3,FALSE),"")</f>
        <v/>
      </c>
      <c r="L566" s="45" t="str">
        <f>IFERROR(VLOOKUP(B566,'Pre-Summary'!$CU$6:$CW$36,3,FALSE),"")</f>
        <v/>
      </c>
      <c r="M566" s="45" t="str">
        <f>IFERROR(VLOOKUP(B566,'Pre-Summary'!$BW$6:$BY$58,2,FALSE),"")</f>
        <v/>
      </c>
      <c r="N566" s="45" t="str">
        <f>IFERROR(VLOOKUP(B566,'Pre-Summary'!$CD$6:$CF$64,2,FALSE),"")</f>
        <v/>
      </c>
      <c r="O566" s="99">
        <f>IFERROR(VLOOKUP(B566,'Pre-Summary'!$BO$6:$BQ$48,3, FALSE),O565)</f>
        <v>1.0915248032216731</v>
      </c>
      <c r="P566" s="99">
        <f>IFERROR(VLOOKUP(B566,'Pre-Summary'!$BS$6:$BU$35,3,FALSE),P565)</f>
        <v>0.25</v>
      </c>
      <c r="Q566" s="54">
        <f t="shared" si="24"/>
        <v>4.3660992128866924</v>
      </c>
      <c r="R566" s="53">
        <f>IFERROR(VLOOKUP(B566,'Pre-Summary'!$BG$6:$BM$44,7,FALSE),R567)</f>
        <v>7.5915763918363535E-2</v>
      </c>
      <c r="S566" s="53">
        <f>IFERROR(VLOOKUP(B566,'Pre-Summary'!$BG$6:$BM$44,6,FALSE),S567)</f>
        <v>5.2897473997019086E-2</v>
      </c>
      <c r="T566" s="45" t="str">
        <f>IFERROR(VLOOKUP(B566,'Pre-Summary'!$Y$6:$AC$83, 3,FALSE),"")</f>
        <v/>
      </c>
      <c r="U566" s="45" t="str">
        <f>IFERROR(VLOOKUP(B566,'Pre-Summary'!$Y$6:$AC$83, 4,FALSE),"")</f>
        <v/>
      </c>
      <c r="V566" t="str">
        <f>IFERROR(VLOOKUP(B566,'Pre-Summary'!$Y$6:$AC$83, 5,FALSE),"")</f>
        <v/>
      </c>
      <c r="W566" s="45" t="str">
        <f>IFERROR(VLOOKUP(B566,'Pre-Summary'!$Y$6:$AD$83,6,FALSE),"")</f>
        <v/>
      </c>
      <c r="X566" t="str">
        <f>IFERROR(VLOOKUP('Pre-Summary'!$DB$6:$DD$63,3,FALSE),"")</f>
        <v/>
      </c>
      <c r="Y566" t="str">
        <f>IFERROR(VLOOKUP(B566,'Pre-Summary'!$CR$6:$CT$36,3,FALSE),"")</f>
        <v/>
      </c>
      <c r="Z566" s="45" t="str">
        <f>IFERROR(VLOOKUP(B566,'Pre-Summary'!$BZ$6:$CB$63,2,FALSE),"")</f>
        <v/>
      </c>
      <c r="AA566" s="45" t="str">
        <f>IFERROR(VLOOKUP(B566,'Pre-Summary'!$CG$6:$CI$70,2,FALSE),"")</f>
        <v/>
      </c>
      <c r="AB566" s="99">
        <f>IFERROR(VLOOKUP(B566,'Pre-Summary'!$A$6:$P$178,9,FALSE),AB567)</f>
        <v>0.87858471235308822</v>
      </c>
      <c r="AC566" s="10">
        <f>IFERROR(VLOOKUP(Summary!B566,'Pre-Summary'!$A$6:$P$184,5, FALSE)/100,AC567)</f>
        <v>0.67272566666666667</v>
      </c>
      <c r="AD566" s="10">
        <f>IFERROR(VLOOKUP(Summary!B566,'Pre-Summary'!$A$6:$P$184,3, FALSE)/100,AD567)</f>
        <v>8.9092333333333329E-2</v>
      </c>
      <c r="AE566" s="10">
        <f>IFERROR(VLOOKUP(Summary!B566,'Pre-Summary'!$A$6:$P$184,7, FALSE)/100,AE567)</f>
        <v>0.23818233333333336</v>
      </c>
      <c r="AF566" s="99">
        <f t="shared" si="25"/>
        <v>7.827516205453211E-2</v>
      </c>
      <c r="AG566" s="99">
        <f t="shared" si="26"/>
        <v>0.20926335681925406</v>
      </c>
      <c r="AH566" s="10" t="str">
        <f>IFERROR(VLOOKUP(B566,'Pre-Summary'!$AZ$6:$BE$65,3,FALSE),"")</f>
        <v/>
      </c>
      <c r="AI566" s="10" t="str">
        <f>IFERROR(VLOOKUP(B566,'Pre-Summary'!$AZ$6:$BE$65,5,FALSE),"")</f>
        <v/>
      </c>
      <c r="AJ566" s="10" t="str">
        <f>IFERROR(VLOOKUP(B566,'Pre-Summary'!$AZ$6:$BE$65,4,FALSE),"")</f>
        <v/>
      </c>
      <c r="AK566" s="10" t="str">
        <f>IFERROR(VLOOKUP(B566,'Pre-Summary'!$AZ$6:$BE$65,6,FALSE),"")</f>
        <v/>
      </c>
      <c r="AL566" s="10" t="str">
        <f>IFERROR(VLOOKUP(B566,'Pre-Summary'!$BG$6:$BL$44,3,FALSE),"")</f>
        <v/>
      </c>
      <c r="AM566" s="10" t="str">
        <f>IFERROR(VLOOKUP(B566,'Pre-Summary'!$BG$6:$BL$44,4,FALSE),"")</f>
        <v/>
      </c>
    </row>
    <row r="567" spans="2:39" ht="15" customHeight="1" x14ac:dyDescent="0.3">
      <c r="B567">
        <v>56.4</v>
      </c>
      <c r="C567" t="str">
        <f>IFERROR(VLOOKUP(B567,'Pre-Summary'!$DI$6:$DM$23,4,FALSE),"")</f>
        <v/>
      </c>
      <c r="D567" s="10" t="str">
        <f>IFERROR(VLOOKUP(B567,'Pre-Summary'!$AT$6:$AX$14,5,FALSE),D566)</f>
        <v>DSMZ v2: Dropped Na-Ac out of DSMZ 120 media</v>
      </c>
      <c r="E567" s="10" t="str">
        <f>IFERROR(VLOOKUP(B567,'Pre-Summary'!$AT$6:$AX$15,4,FALSE),"")</f>
        <v/>
      </c>
      <c r="F567">
        <f>IFERROR(VLOOKUP(B567,'Pre-Summary'!$AL$6:$AQ$13,6,FALSE),F566)</f>
        <v>5.9405263157894746E-2</v>
      </c>
      <c r="G567" t="str">
        <f>IFERROR(VLOOKUP(B567,'Pre-Summary'!$AE$6:$AJ$85,3,FALSE),"")</f>
        <v/>
      </c>
      <c r="H567" t="str">
        <f>IFERROR(VLOOKUP(B567,'Pre-Summary'!$AE$6:$AJ$85,4,FALSE),"")</f>
        <v/>
      </c>
      <c r="I567" t="str">
        <f>IFERROR(VLOOKUP(B567,'Pre-Summary'!$AE$6:$AJ$85,5,FALSE),"")</f>
        <v/>
      </c>
      <c r="J567" s="45" t="str">
        <f>IFERROR(VLOOKUP(B567,'Pre-Summary'!$AE$6:$AJ$85,6, FALSE),"")</f>
        <v/>
      </c>
      <c r="K567" s="45" t="str">
        <f>IFERROR(VLOOKUP(B567,'Pre-Summary'!$DE$6:$DG$61,3,FALSE),"")</f>
        <v/>
      </c>
      <c r="L567" s="45" t="str">
        <f>IFERROR(VLOOKUP(B567,'Pre-Summary'!$CU$6:$CW$36,3,FALSE),"")</f>
        <v/>
      </c>
      <c r="M567" s="45" t="str">
        <f>IFERROR(VLOOKUP(B567,'Pre-Summary'!$BW$6:$BY$58,2,FALSE),"")</f>
        <v/>
      </c>
      <c r="N567" s="45" t="str">
        <f>IFERROR(VLOOKUP(B567,'Pre-Summary'!$CD$6:$CF$64,2,FALSE),"")</f>
        <v/>
      </c>
      <c r="O567" s="99">
        <f>IFERROR(VLOOKUP(B567,'Pre-Summary'!$BO$6:$BQ$48,3, FALSE),O566)</f>
        <v>1.0915248032216731</v>
      </c>
      <c r="P567" s="99">
        <f>IFERROR(VLOOKUP(B567,'Pre-Summary'!$BS$6:$BU$35,3,FALSE),P566)</f>
        <v>0.25</v>
      </c>
      <c r="Q567" s="54">
        <f t="shared" si="24"/>
        <v>4.3660992128866924</v>
      </c>
      <c r="R567" s="53">
        <f>IFERROR(VLOOKUP(B567,'Pre-Summary'!$BG$6:$BM$44,7,FALSE),R568)</f>
        <v>7.5915763918363535E-2</v>
      </c>
      <c r="S567" s="53">
        <f>IFERROR(VLOOKUP(B567,'Pre-Summary'!$BG$6:$BM$44,6,FALSE),S568)</f>
        <v>5.2897473997019086E-2</v>
      </c>
      <c r="T567" s="45" t="str">
        <f>IFERROR(VLOOKUP(B567,'Pre-Summary'!$Y$6:$AC$83, 3,FALSE),"")</f>
        <v/>
      </c>
      <c r="U567" s="45" t="str">
        <f>IFERROR(VLOOKUP(B567,'Pre-Summary'!$Y$6:$AC$83, 4,FALSE),"")</f>
        <v/>
      </c>
      <c r="V567" t="str">
        <f>IFERROR(VLOOKUP(B567,'Pre-Summary'!$Y$6:$AC$83, 5,FALSE),"")</f>
        <v/>
      </c>
      <c r="W567" s="45" t="str">
        <f>IFERROR(VLOOKUP(B567,'Pre-Summary'!$Y$6:$AD$83,6,FALSE),"")</f>
        <v/>
      </c>
      <c r="X567" t="str">
        <f>IFERROR(VLOOKUP('Pre-Summary'!$DB$6:$DD$63,3,FALSE),"")</f>
        <v/>
      </c>
      <c r="Y567" t="str">
        <f>IFERROR(VLOOKUP(B567,'Pre-Summary'!$CR$6:$CT$36,3,FALSE),"")</f>
        <v/>
      </c>
      <c r="Z567" s="45" t="str">
        <f>IFERROR(VLOOKUP(B567,'Pre-Summary'!$BZ$6:$CB$63,2,FALSE),"")</f>
        <v/>
      </c>
      <c r="AA567" s="45" t="str">
        <f>IFERROR(VLOOKUP(B567,'Pre-Summary'!$CG$6:$CI$70,2,FALSE),"")</f>
        <v/>
      </c>
      <c r="AB567" s="99">
        <f>IFERROR(VLOOKUP(B567,'Pre-Summary'!$A$6:$P$178,9,FALSE),AB568)</f>
        <v>0.87858471235308822</v>
      </c>
      <c r="AC567" s="10">
        <f>IFERROR(VLOOKUP(Summary!B567,'Pre-Summary'!$A$6:$P$184,5, FALSE)/100,AC568)</f>
        <v>0.67272566666666667</v>
      </c>
      <c r="AD567" s="10">
        <f>IFERROR(VLOOKUP(Summary!B567,'Pre-Summary'!$A$6:$P$184,3, FALSE)/100,AD568)</f>
        <v>8.9092333333333329E-2</v>
      </c>
      <c r="AE567" s="10">
        <f>IFERROR(VLOOKUP(Summary!B567,'Pre-Summary'!$A$6:$P$184,7, FALSE)/100,AE568)</f>
        <v>0.23818233333333336</v>
      </c>
      <c r="AF567" s="99">
        <f t="shared" si="25"/>
        <v>7.827516205453211E-2</v>
      </c>
      <c r="AG567" s="99">
        <f t="shared" si="26"/>
        <v>0.20926335681925406</v>
      </c>
      <c r="AH567" s="10" t="str">
        <f>IFERROR(VLOOKUP(B567,'Pre-Summary'!$AZ$6:$BE$65,3,FALSE),"")</f>
        <v/>
      </c>
      <c r="AI567" s="10" t="str">
        <f>IFERROR(VLOOKUP(B567,'Pre-Summary'!$AZ$6:$BE$65,5,FALSE),"")</f>
        <v/>
      </c>
      <c r="AJ567" s="10" t="str">
        <f>IFERROR(VLOOKUP(B567,'Pre-Summary'!$AZ$6:$BE$65,4,FALSE),"")</f>
        <v/>
      </c>
      <c r="AK567" s="10" t="str">
        <f>IFERROR(VLOOKUP(B567,'Pre-Summary'!$AZ$6:$BE$65,6,FALSE),"")</f>
        <v/>
      </c>
      <c r="AL567" s="10" t="str">
        <f>IFERROR(VLOOKUP(B567,'Pre-Summary'!$BG$6:$BL$44,3,FALSE),"")</f>
        <v/>
      </c>
      <c r="AM567" s="10" t="str">
        <f>IFERROR(VLOOKUP(B567,'Pre-Summary'!$BG$6:$BL$44,4,FALSE),"")</f>
        <v/>
      </c>
    </row>
    <row r="568" spans="2:39" ht="15" customHeight="1" x14ac:dyDescent="0.3">
      <c r="B568">
        <v>56.5</v>
      </c>
      <c r="C568" t="str">
        <f>IFERROR(VLOOKUP(B568,'Pre-Summary'!$DI$6:$DM$23,4,FALSE),"")</f>
        <v/>
      </c>
      <c r="D568" s="10" t="str">
        <f>IFERROR(VLOOKUP(B568,'Pre-Summary'!$AT$6:$AX$14,5,FALSE),D567)</f>
        <v>DSMZ v2: Dropped Na-Ac out of DSMZ 120 media</v>
      </c>
      <c r="E568" s="10" t="str">
        <f>IFERROR(VLOOKUP(B568,'Pre-Summary'!$AT$6:$AX$15,4,FALSE),"")</f>
        <v/>
      </c>
      <c r="F568">
        <f>IFERROR(VLOOKUP(B568,'Pre-Summary'!$AL$6:$AQ$13,6,FALSE),F567)</f>
        <v>5.9405263157894746E-2</v>
      </c>
      <c r="G568" t="str">
        <f>IFERROR(VLOOKUP(B568,'Pre-Summary'!$AE$6:$AJ$85,3,FALSE),"")</f>
        <v/>
      </c>
      <c r="H568" t="str">
        <f>IFERROR(VLOOKUP(B568,'Pre-Summary'!$AE$6:$AJ$85,4,FALSE),"")</f>
        <v/>
      </c>
      <c r="I568" t="str">
        <f>IFERROR(VLOOKUP(B568,'Pre-Summary'!$AE$6:$AJ$85,5,FALSE),"")</f>
        <v/>
      </c>
      <c r="J568" s="45" t="str">
        <f>IFERROR(VLOOKUP(B568,'Pre-Summary'!$AE$6:$AJ$85,6, FALSE),"")</f>
        <v/>
      </c>
      <c r="K568" s="45" t="str">
        <f>IFERROR(VLOOKUP(B568,'Pre-Summary'!$DE$6:$DG$61,3,FALSE),"")</f>
        <v/>
      </c>
      <c r="L568" s="45" t="str">
        <f>IFERROR(VLOOKUP(B568,'Pre-Summary'!$CU$6:$CW$36,3,FALSE),"")</f>
        <v/>
      </c>
      <c r="M568" s="45" t="str">
        <f>IFERROR(VLOOKUP(B568,'Pre-Summary'!$BW$6:$BY$58,2,FALSE),"")</f>
        <v/>
      </c>
      <c r="N568" s="45" t="str">
        <f>IFERROR(VLOOKUP(B568,'Pre-Summary'!$CD$6:$CF$64,2,FALSE),"")</f>
        <v/>
      </c>
      <c r="O568" s="99">
        <f>IFERROR(VLOOKUP(B568,'Pre-Summary'!$BO$6:$BQ$48,3, FALSE),O567)</f>
        <v>1.0915248032216731</v>
      </c>
      <c r="P568" s="99">
        <f>IFERROR(VLOOKUP(B568,'Pre-Summary'!$BS$6:$BU$35,3,FALSE),P567)</f>
        <v>0.25</v>
      </c>
      <c r="Q568" s="54">
        <f t="shared" si="24"/>
        <v>4.3660992128866924</v>
      </c>
      <c r="R568" s="53">
        <f>IFERROR(VLOOKUP(B568,'Pre-Summary'!$BG$6:$BM$44,7,FALSE),R569)</f>
        <v>7.5915763918363535E-2</v>
      </c>
      <c r="S568" s="53">
        <f>IFERROR(VLOOKUP(B568,'Pre-Summary'!$BG$6:$BM$44,6,FALSE),S569)</f>
        <v>5.2897473997019086E-2</v>
      </c>
      <c r="T568" s="45" t="str">
        <f>IFERROR(VLOOKUP(B568,'Pre-Summary'!$Y$6:$AC$83, 3,FALSE),"")</f>
        <v/>
      </c>
      <c r="U568" s="45" t="str">
        <f>IFERROR(VLOOKUP(B568,'Pre-Summary'!$Y$6:$AC$83, 4,FALSE),"")</f>
        <v/>
      </c>
      <c r="V568" t="str">
        <f>IFERROR(VLOOKUP(B568,'Pre-Summary'!$Y$6:$AC$83, 5,FALSE),"")</f>
        <v/>
      </c>
      <c r="W568" s="45" t="str">
        <f>IFERROR(VLOOKUP(B568,'Pre-Summary'!$Y$6:$AD$83,6,FALSE),"")</f>
        <v/>
      </c>
      <c r="X568" t="str">
        <f>IFERROR(VLOOKUP('Pre-Summary'!$DB$6:$DD$63,3,FALSE),"")</f>
        <v/>
      </c>
      <c r="Y568" t="str">
        <f>IFERROR(VLOOKUP(B568,'Pre-Summary'!$CR$6:$CT$36,3,FALSE),"")</f>
        <v/>
      </c>
      <c r="Z568" s="45" t="str">
        <f>IFERROR(VLOOKUP(B568,'Pre-Summary'!$BZ$6:$CB$63,2,FALSE),"")</f>
        <v/>
      </c>
      <c r="AA568" s="45" t="str">
        <f>IFERROR(VLOOKUP(B568,'Pre-Summary'!$CG$6:$CI$70,2,FALSE),"")</f>
        <v/>
      </c>
      <c r="AB568" s="99">
        <f>IFERROR(VLOOKUP(B568,'Pre-Summary'!$A$6:$P$178,9,FALSE),AB569)</f>
        <v>0.87858471235308822</v>
      </c>
      <c r="AC568" s="10">
        <f>IFERROR(VLOOKUP(Summary!B568,'Pre-Summary'!$A$6:$P$184,5, FALSE)/100,AC569)</f>
        <v>0.67272566666666667</v>
      </c>
      <c r="AD568" s="10">
        <f>IFERROR(VLOOKUP(Summary!B568,'Pre-Summary'!$A$6:$P$184,3, FALSE)/100,AD569)</f>
        <v>8.9092333333333329E-2</v>
      </c>
      <c r="AE568" s="10">
        <f>IFERROR(VLOOKUP(Summary!B568,'Pre-Summary'!$A$6:$P$184,7, FALSE)/100,AE569)</f>
        <v>0.23818233333333336</v>
      </c>
      <c r="AF568" s="99">
        <f t="shared" si="25"/>
        <v>7.827516205453211E-2</v>
      </c>
      <c r="AG568" s="99">
        <f t="shared" si="26"/>
        <v>0.20926335681925406</v>
      </c>
      <c r="AH568" s="10" t="str">
        <f>IFERROR(VLOOKUP(B568,'Pre-Summary'!$AZ$6:$BE$65,3,FALSE),"")</f>
        <v/>
      </c>
      <c r="AI568" s="10" t="str">
        <f>IFERROR(VLOOKUP(B568,'Pre-Summary'!$AZ$6:$BE$65,5,FALSE),"")</f>
        <v/>
      </c>
      <c r="AJ568" s="10" t="str">
        <f>IFERROR(VLOOKUP(B568,'Pre-Summary'!$AZ$6:$BE$65,4,FALSE),"")</f>
        <v/>
      </c>
      <c r="AK568" s="10" t="str">
        <f>IFERROR(VLOOKUP(B568,'Pre-Summary'!$AZ$6:$BE$65,6,FALSE),"")</f>
        <v/>
      </c>
      <c r="AL568" s="10" t="str">
        <f>IFERROR(VLOOKUP(B568,'Pre-Summary'!$BG$6:$BL$44,3,FALSE),"")</f>
        <v/>
      </c>
      <c r="AM568" s="10" t="str">
        <f>IFERROR(VLOOKUP(B568,'Pre-Summary'!$BG$6:$BL$44,4,FALSE),"")</f>
        <v/>
      </c>
    </row>
    <row r="569" spans="2:39" ht="15" customHeight="1" x14ac:dyDescent="0.3">
      <c r="B569">
        <v>56.6</v>
      </c>
      <c r="C569" t="str">
        <f>IFERROR(VLOOKUP(B569,'Pre-Summary'!$DI$6:$DM$23,4,FALSE),"")</f>
        <v/>
      </c>
      <c r="D569" s="10" t="str">
        <f>IFERROR(VLOOKUP(B569,'Pre-Summary'!$AT$6:$AX$14,5,FALSE),D568)</f>
        <v>DSMZ v2: Dropped Na-Ac out of DSMZ 120 media</v>
      </c>
      <c r="E569" s="10" t="str">
        <f>IFERROR(VLOOKUP(B569,'Pre-Summary'!$AT$6:$AX$15,4,FALSE),"")</f>
        <v/>
      </c>
      <c r="F569">
        <f>IFERROR(VLOOKUP(B569,'Pre-Summary'!$AL$6:$AQ$13,6,FALSE),F568)</f>
        <v>5.9405263157894746E-2</v>
      </c>
      <c r="G569" t="str">
        <f>IFERROR(VLOOKUP(B569,'Pre-Summary'!$AE$6:$AJ$85,3,FALSE),"")</f>
        <v/>
      </c>
      <c r="H569" t="str">
        <f>IFERROR(VLOOKUP(B569,'Pre-Summary'!$AE$6:$AJ$85,4,FALSE),"")</f>
        <v/>
      </c>
      <c r="I569" t="str">
        <f>IFERROR(VLOOKUP(B569,'Pre-Summary'!$AE$6:$AJ$85,5,FALSE),"")</f>
        <v/>
      </c>
      <c r="J569" s="45" t="str">
        <f>IFERROR(VLOOKUP(B569,'Pre-Summary'!$AE$6:$AJ$85,6, FALSE),"")</f>
        <v/>
      </c>
      <c r="K569" s="45" t="str">
        <f>IFERROR(VLOOKUP(B569,'Pre-Summary'!$DE$6:$DG$61,3,FALSE),"")</f>
        <v/>
      </c>
      <c r="L569" s="45" t="str">
        <f>IFERROR(VLOOKUP(B569,'Pre-Summary'!$CU$6:$CW$36,3,FALSE),"")</f>
        <v/>
      </c>
      <c r="M569" s="45" t="str">
        <f>IFERROR(VLOOKUP(B569,'Pre-Summary'!$BW$6:$BY$58,2,FALSE),"")</f>
        <v/>
      </c>
      <c r="N569" s="45" t="str">
        <f>IFERROR(VLOOKUP(B569,'Pre-Summary'!$CD$6:$CF$64,2,FALSE),"")</f>
        <v/>
      </c>
      <c r="O569" s="99">
        <f>IFERROR(VLOOKUP(B569,'Pre-Summary'!$BO$6:$BQ$48,3, FALSE),O568)</f>
        <v>1.0915248032216731</v>
      </c>
      <c r="P569" s="99">
        <f>IFERROR(VLOOKUP(B569,'Pre-Summary'!$BS$6:$BU$35,3,FALSE),P568)</f>
        <v>0.25</v>
      </c>
      <c r="Q569" s="54">
        <f t="shared" si="24"/>
        <v>4.3660992128866924</v>
      </c>
      <c r="R569" s="53">
        <f>IFERROR(VLOOKUP(B569,'Pre-Summary'!$BG$6:$BM$44,7,FALSE),R570)</f>
        <v>7.5915763918363535E-2</v>
      </c>
      <c r="S569" s="53">
        <f>IFERROR(VLOOKUP(B569,'Pre-Summary'!$BG$6:$BM$44,6,FALSE),S570)</f>
        <v>5.2897473997019086E-2</v>
      </c>
      <c r="T569" s="45" t="str">
        <f>IFERROR(VLOOKUP(B569,'Pre-Summary'!$Y$6:$AC$83, 3,FALSE),"")</f>
        <v/>
      </c>
      <c r="U569" s="45" t="str">
        <f>IFERROR(VLOOKUP(B569,'Pre-Summary'!$Y$6:$AC$83, 4,FALSE),"")</f>
        <v/>
      </c>
      <c r="V569" t="str">
        <f>IFERROR(VLOOKUP(B569,'Pre-Summary'!$Y$6:$AC$83, 5,FALSE),"")</f>
        <v/>
      </c>
      <c r="W569" s="45" t="str">
        <f>IFERROR(VLOOKUP(B569,'Pre-Summary'!$Y$6:$AD$83,6,FALSE),"")</f>
        <v/>
      </c>
      <c r="X569" t="str">
        <f>IFERROR(VLOOKUP('Pre-Summary'!$DB$6:$DD$63,3,FALSE),"")</f>
        <v/>
      </c>
      <c r="Y569" t="str">
        <f>IFERROR(VLOOKUP(B569,'Pre-Summary'!$CR$6:$CT$36,3,FALSE),"")</f>
        <v/>
      </c>
      <c r="Z569" s="45" t="str">
        <f>IFERROR(VLOOKUP(B569,'Pre-Summary'!$BZ$6:$CB$63,2,FALSE),"")</f>
        <v/>
      </c>
      <c r="AA569" s="45" t="str">
        <f>IFERROR(VLOOKUP(B569,'Pre-Summary'!$CG$6:$CI$70,2,FALSE),"")</f>
        <v/>
      </c>
      <c r="AB569" s="99">
        <f>IFERROR(VLOOKUP(B569,'Pre-Summary'!$A$6:$P$178,9,FALSE),AB570)</f>
        <v>0.87858471235308822</v>
      </c>
      <c r="AC569" s="10">
        <f>IFERROR(VLOOKUP(Summary!B569,'Pre-Summary'!$A$6:$P$184,5, FALSE)/100,AC570)</f>
        <v>0.67272566666666667</v>
      </c>
      <c r="AD569" s="10">
        <f>IFERROR(VLOOKUP(Summary!B569,'Pre-Summary'!$A$6:$P$184,3, FALSE)/100,AD570)</f>
        <v>8.9092333333333329E-2</v>
      </c>
      <c r="AE569" s="10">
        <f>IFERROR(VLOOKUP(Summary!B569,'Pre-Summary'!$A$6:$P$184,7, FALSE)/100,AE570)</f>
        <v>0.23818233333333336</v>
      </c>
      <c r="AF569" s="99">
        <f t="shared" si="25"/>
        <v>7.827516205453211E-2</v>
      </c>
      <c r="AG569" s="99">
        <f t="shared" si="26"/>
        <v>0.20926335681925406</v>
      </c>
      <c r="AH569" s="10" t="str">
        <f>IFERROR(VLOOKUP(B569,'Pre-Summary'!$AZ$6:$BE$65,3,FALSE),"")</f>
        <v/>
      </c>
      <c r="AI569" s="10" t="str">
        <f>IFERROR(VLOOKUP(B569,'Pre-Summary'!$AZ$6:$BE$65,5,FALSE),"")</f>
        <v/>
      </c>
      <c r="AJ569" s="10" t="str">
        <f>IFERROR(VLOOKUP(B569,'Pre-Summary'!$AZ$6:$BE$65,4,FALSE),"")</f>
        <v/>
      </c>
      <c r="AK569" s="10" t="str">
        <f>IFERROR(VLOOKUP(B569,'Pre-Summary'!$AZ$6:$BE$65,6,FALSE),"")</f>
        <v/>
      </c>
      <c r="AL569" s="10" t="str">
        <f>IFERROR(VLOOKUP(B569,'Pre-Summary'!$BG$6:$BL$44,3,FALSE),"")</f>
        <v/>
      </c>
      <c r="AM569" s="10" t="str">
        <f>IFERROR(VLOOKUP(B569,'Pre-Summary'!$BG$6:$BL$44,4,FALSE),"")</f>
        <v/>
      </c>
    </row>
    <row r="570" spans="2:39" ht="15" customHeight="1" x14ac:dyDescent="0.3">
      <c r="B570">
        <v>56.7</v>
      </c>
      <c r="C570" t="str">
        <f>IFERROR(VLOOKUP(B570,'Pre-Summary'!$DI$6:$DM$23,4,FALSE),"")</f>
        <v/>
      </c>
      <c r="D570" s="10" t="str">
        <f>IFERROR(VLOOKUP(B570,'Pre-Summary'!$AT$6:$AX$14,5,FALSE),D569)</f>
        <v>DSMZ v2: Dropped Na-Ac out of DSMZ 120 media</v>
      </c>
      <c r="E570" s="10" t="str">
        <f>IFERROR(VLOOKUP(B570,'Pre-Summary'!$AT$6:$AX$15,4,FALSE),"")</f>
        <v/>
      </c>
      <c r="F570">
        <f>IFERROR(VLOOKUP(B570,'Pre-Summary'!$AL$6:$AQ$13,6,FALSE),F569)</f>
        <v>5.9405263157894746E-2</v>
      </c>
      <c r="G570" t="str">
        <f>IFERROR(VLOOKUP(B570,'Pre-Summary'!$AE$6:$AJ$85,3,FALSE),"")</f>
        <v/>
      </c>
      <c r="H570" t="str">
        <f>IFERROR(VLOOKUP(B570,'Pre-Summary'!$AE$6:$AJ$85,4,FALSE),"")</f>
        <v/>
      </c>
      <c r="I570" t="str">
        <f>IFERROR(VLOOKUP(B570,'Pre-Summary'!$AE$6:$AJ$85,5,FALSE),"")</f>
        <v/>
      </c>
      <c r="J570" s="45" t="str">
        <f>IFERROR(VLOOKUP(B570,'Pre-Summary'!$AE$6:$AJ$85,6, FALSE),"")</f>
        <v/>
      </c>
      <c r="K570" s="45" t="str">
        <f>IFERROR(VLOOKUP(B570,'Pre-Summary'!$DE$6:$DG$61,3,FALSE),"")</f>
        <v/>
      </c>
      <c r="L570" s="45" t="str">
        <f>IFERROR(VLOOKUP(B570,'Pre-Summary'!$CU$6:$CW$36,3,FALSE),"")</f>
        <v/>
      </c>
      <c r="M570" s="45" t="str">
        <f>IFERROR(VLOOKUP(B570,'Pre-Summary'!$BW$6:$BY$58,2,FALSE),"")</f>
        <v/>
      </c>
      <c r="N570" s="45" t="str">
        <f>IFERROR(VLOOKUP(B570,'Pre-Summary'!$CD$6:$CF$64,2,FALSE),"")</f>
        <v/>
      </c>
      <c r="O570" s="99">
        <f>IFERROR(VLOOKUP(B570,'Pre-Summary'!$BO$6:$BQ$48,3, FALSE),O569)</f>
        <v>1.0915248032216731</v>
      </c>
      <c r="P570" s="99">
        <f>IFERROR(VLOOKUP(B570,'Pre-Summary'!$BS$6:$BU$35,3,FALSE),P569)</f>
        <v>0.25</v>
      </c>
      <c r="Q570" s="54">
        <f t="shared" si="24"/>
        <v>4.3660992128866924</v>
      </c>
      <c r="R570" s="53">
        <f>IFERROR(VLOOKUP(B570,'Pre-Summary'!$BG$6:$BM$44,7,FALSE),R571)</f>
        <v>7.5915763918363535E-2</v>
      </c>
      <c r="S570" s="53">
        <f>IFERROR(VLOOKUP(B570,'Pre-Summary'!$BG$6:$BM$44,6,FALSE),S571)</f>
        <v>5.2897473997019086E-2</v>
      </c>
      <c r="T570" s="45" t="str">
        <f>IFERROR(VLOOKUP(B570,'Pre-Summary'!$Y$6:$AC$83, 3,FALSE),"")</f>
        <v/>
      </c>
      <c r="U570" s="45" t="str">
        <f>IFERROR(VLOOKUP(B570,'Pre-Summary'!$Y$6:$AC$83, 4,FALSE),"")</f>
        <v/>
      </c>
      <c r="V570" t="str">
        <f>IFERROR(VLOOKUP(B570,'Pre-Summary'!$Y$6:$AC$83, 5,FALSE),"")</f>
        <v/>
      </c>
      <c r="W570" s="45" t="str">
        <f>IFERROR(VLOOKUP(B570,'Pre-Summary'!$Y$6:$AD$83,6,FALSE),"")</f>
        <v/>
      </c>
      <c r="X570" t="str">
        <f>IFERROR(VLOOKUP('Pre-Summary'!$DB$6:$DD$63,3,FALSE),"")</f>
        <v/>
      </c>
      <c r="Y570" t="str">
        <f>IFERROR(VLOOKUP(B570,'Pre-Summary'!$CR$6:$CT$36,3,FALSE),"")</f>
        <v/>
      </c>
      <c r="Z570" s="45" t="str">
        <f>IFERROR(VLOOKUP(B570,'Pre-Summary'!$BZ$6:$CB$63,2,FALSE),"")</f>
        <v/>
      </c>
      <c r="AA570" s="45" t="str">
        <f>IFERROR(VLOOKUP(B570,'Pre-Summary'!$CG$6:$CI$70,2,FALSE),"")</f>
        <v/>
      </c>
      <c r="AB570" s="99">
        <f>IFERROR(VLOOKUP(B570,'Pre-Summary'!$A$6:$P$178,9,FALSE),AB571)</f>
        <v>0.87858471235308822</v>
      </c>
      <c r="AC570" s="10">
        <f>IFERROR(VLOOKUP(Summary!B570,'Pre-Summary'!$A$6:$P$184,5, FALSE)/100,AC571)</f>
        <v>0.67272566666666667</v>
      </c>
      <c r="AD570" s="10">
        <f>IFERROR(VLOOKUP(Summary!B570,'Pre-Summary'!$A$6:$P$184,3, FALSE)/100,AD571)</f>
        <v>8.9092333333333329E-2</v>
      </c>
      <c r="AE570" s="10">
        <f>IFERROR(VLOOKUP(Summary!B570,'Pre-Summary'!$A$6:$P$184,7, FALSE)/100,AE571)</f>
        <v>0.23818233333333336</v>
      </c>
      <c r="AF570" s="99">
        <f t="shared" si="25"/>
        <v>7.827516205453211E-2</v>
      </c>
      <c r="AG570" s="99">
        <f t="shared" si="26"/>
        <v>0.20926335681925406</v>
      </c>
      <c r="AH570" s="10" t="str">
        <f>IFERROR(VLOOKUP(B570,'Pre-Summary'!$AZ$6:$BE$65,3,FALSE),"")</f>
        <v/>
      </c>
      <c r="AI570" s="10" t="str">
        <f>IFERROR(VLOOKUP(B570,'Pre-Summary'!$AZ$6:$BE$65,5,FALSE),"")</f>
        <v/>
      </c>
      <c r="AJ570" s="10" t="str">
        <f>IFERROR(VLOOKUP(B570,'Pre-Summary'!$AZ$6:$BE$65,4,FALSE),"")</f>
        <v/>
      </c>
      <c r="AK570" s="10" t="str">
        <f>IFERROR(VLOOKUP(B570,'Pre-Summary'!$AZ$6:$BE$65,6,FALSE),"")</f>
        <v/>
      </c>
      <c r="AL570" s="10" t="str">
        <f>IFERROR(VLOOKUP(B570,'Pre-Summary'!$BG$6:$BL$44,3,FALSE),"")</f>
        <v/>
      </c>
      <c r="AM570" s="10" t="str">
        <f>IFERROR(VLOOKUP(B570,'Pre-Summary'!$BG$6:$BL$44,4,FALSE),"")</f>
        <v/>
      </c>
    </row>
    <row r="571" spans="2:39" ht="15" customHeight="1" x14ac:dyDescent="0.3">
      <c r="B571">
        <v>56.8</v>
      </c>
      <c r="C571" t="str">
        <f>IFERROR(VLOOKUP(B571,'Pre-Summary'!$DI$6:$DM$23,4,FALSE),"")</f>
        <v/>
      </c>
      <c r="D571" s="10" t="str">
        <f>IFERROR(VLOOKUP(B571,'Pre-Summary'!$AT$6:$AX$14,5,FALSE),D570)</f>
        <v>DSMZ v2: Dropped Na-Ac out of DSMZ 120 media</v>
      </c>
      <c r="E571" s="10" t="str">
        <f>IFERROR(VLOOKUP(B571,'Pre-Summary'!$AT$6:$AX$15,4,FALSE),"")</f>
        <v/>
      </c>
      <c r="F571">
        <f>IFERROR(VLOOKUP(B571,'Pre-Summary'!$AL$6:$AQ$13,6,FALSE),F570)</f>
        <v>5.9405263157894746E-2</v>
      </c>
      <c r="G571" t="str">
        <f>IFERROR(VLOOKUP(B571,'Pre-Summary'!$AE$6:$AJ$85,3,FALSE),"")</f>
        <v/>
      </c>
      <c r="H571" t="str">
        <f>IFERROR(VLOOKUP(B571,'Pre-Summary'!$AE$6:$AJ$85,4,FALSE),"")</f>
        <v/>
      </c>
      <c r="I571" t="str">
        <f>IFERROR(VLOOKUP(B571,'Pre-Summary'!$AE$6:$AJ$85,5,FALSE),"")</f>
        <v/>
      </c>
      <c r="J571" s="45" t="str">
        <f>IFERROR(VLOOKUP(B571,'Pre-Summary'!$AE$6:$AJ$85,6, FALSE),"")</f>
        <v/>
      </c>
      <c r="K571" s="45" t="str">
        <f>IFERROR(VLOOKUP(B571,'Pre-Summary'!$DE$6:$DG$61,3,FALSE),"")</f>
        <v/>
      </c>
      <c r="L571" s="45" t="str">
        <f>IFERROR(VLOOKUP(B571,'Pre-Summary'!$CU$6:$CW$36,3,FALSE),"")</f>
        <v/>
      </c>
      <c r="M571" s="45" t="str">
        <f>IFERROR(VLOOKUP(B571,'Pre-Summary'!$BW$6:$BY$58,2,FALSE),"")</f>
        <v/>
      </c>
      <c r="N571" s="45" t="str">
        <f>IFERROR(VLOOKUP(B571,'Pre-Summary'!$CD$6:$CF$64,2,FALSE),"")</f>
        <v/>
      </c>
      <c r="O571" s="99">
        <f>IFERROR(VLOOKUP(B571,'Pre-Summary'!$BO$6:$BQ$48,3, FALSE),O570)</f>
        <v>1.0915248032216731</v>
      </c>
      <c r="P571" s="99">
        <f>IFERROR(VLOOKUP(B571,'Pre-Summary'!$BS$6:$BU$35,3,FALSE),P570)</f>
        <v>0.25</v>
      </c>
      <c r="Q571" s="54">
        <f t="shared" si="24"/>
        <v>4.3660992128866924</v>
      </c>
      <c r="R571" s="53">
        <f>IFERROR(VLOOKUP(B571,'Pre-Summary'!$BG$6:$BM$44,7,FALSE),R572)</f>
        <v>7.5915763918363535E-2</v>
      </c>
      <c r="S571" s="53">
        <f>IFERROR(VLOOKUP(B571,'Pre-Summary'!$BG$6:$BM$44,6,FALSE),S572)</f>
        <v>5.2897473997019086E-2</v>
      </c>
      <c r="T571" s="45" t="str">
        <f>IFERROR(VLOOKUP(B571,'Pre-Summary'!$Y$6:$AC$83, 3,FALSE),"")</f>
        <v/>
      </c>
      <c r="U571" s="45" t="str">
        <f>IFERROR(VLOOKUP(B571,'Pre-Summary'!$Y$6:$AC$83, 4,FALSE),"")</f>
        <v/>
      </c>
      <c r="V571" t="str">
        <f>IFERROR(VLOOKUP(B571,'Pre-Summary'!$Y$6:$AC$83, 5,FALSE),"")</f>
        <v/>
      </c>
      <c r="W571" s="45" t="str">
        <f>IFERROR(VLOOKUP(B571,'Pre-Summary'!$Y$6:$AD$83,6,FALSE),"")</f>
        <v/>
      </c>
      <c r="X571" t="str">
        <f>IFERROR(VLOOKUP('Pre-Summary'!$DB$6:$DD$63,3,FALSE),"")</f>
        <v/>
      </c>
      <c r="Y571" t="str">
        <f>IFERROR(VLOOKUP(B571,'Pre-Summary'!$CR$6:$CT$36,3,FALSE),"")</f>
        <v/>
      </c>
      <c r="Z571" s="45" t="str">
        <f>IFERROR(VLOOKUP(B571,'Pre-Summary'!$BZ$6:$CB$63,2,FALSE),"")</f>
        <v/>
      </c>
      <c r="AA571" s="45" t="str">
        <f>IFERROR(VLOOKUP(B571,'Pre-Summary'!$CG$6:$CI$70,2,FALSE),"")</f>
        <v/>
      </c>
      <c r="AB571" s="99">
        <f>IFERROR(VLOOKUP(B571,'Pre-Summary'!$A$6:$P$178,9,FALSE),AB572)</f>
        <v>0.87858471235308822</v>
      </c>
      <c r="AC571" s="10">
        <f>IFERROR(VLOOKUP(Summary!B571,'Pre-Summary'!$A$6:$P$184,5, FALSE)/100,AC572)</f>
        <v>0.67272566666666667</v>
      </c>
      <c r="AD571" s="10">
        <f>IFERROR(VLOOKUP(Summary!B571,'Pre-Summary'!$A$6:$P$184,3, FALSE)/100,AD572)</f>
        <v>8.9092333333333329E-2</v>
      </c>
      <c r="AE571" s="10">
        <f>IFERROR(VLOOKUP(Summary!B571,'Pre-Summary'!$A$6:$P$184,7, FALSE)/100,AE572)</f>
        <v>0.23818233333333336</v>
      </c>
      <c r="AF571" s="99">
        <f t="shared" si="25"/>
        <v>7.827516205453211E-2</v>
      </c>
      <c r="AG571" s="99">
        <f t="shared" si="26"/>
        <v>0.20926335681925406</v>
      </c>
      <c r="AH571" s="10" t="str">
        <f>IFERROR(VLOOKUP(B571,'Pre-Summary'!$AZ$6:$BE$65,3,FALSE),"")</f>
        <v/>
      </c>
      <c r="AI571" s="10" t="str">
        <f>IFERROR(VLOOKUP(B571,'Pre-Summary'!$AZ$6:$BE$65,5,FALSE),"")</f>
        <v/>
      </c>
      <c r="AJ571" s="10" t="str">
        <f>IFERROR(VLOOKUP(B571,'Pre-Summary'!$AZ$6:$BE$65,4,FALSE),"")</f>
        <v/>
      </c>
      <c r="AK571" s="10" t="str">
        <f>IFERROR(VLOOKUP(B571,'Pre-Summary'!$AZ$6:$BE$65,6,FALSE),"")</f>
        <v/>
      </c>
      <c r="AL571" s="10" t="str">
        <f>IFERROR(VLOOKUP(B571,'Pre-Summary'!$BG$6:$BL$44,3,FALSE),"")</f>
        <v/>
      </c>
      <c r="AM571" s="10" t="str">
        <f>IFERROR(VLOOKUP(B571,'Pre-Summary'!$BG$6:$BL$44,4,FALSE),"")</f>
        <v/>
      </c>
    </row>
    <row r="572" spans="2:39" ht="15" customHeight="1" x14ac:dyDescent="0.3">
      <c r="B572">
        <v>56.9</v>
      </c>
      <c r="C572" t="str">
        <f>IFERROR(VLOOKUP(B572,'Pre-Summary'!$DI$6:$DM$23,4,FALSE),"")</f>
        <v/>
      </c>
      <c r="D572" s="10" t="str">
        <f>IFERROR(VLOOKUP(B572,'Pre-Summary'!$AT$6:$AX$14,5,FALSE),D571)</f>
        <v>DSMZ v2: Dropped Na-Ac out of DSMZ 120 media</v>
      </c>
      <c r="E572" s="10" t="str">
        <f>IFERROR(VLOOKUP(B572,'Pre-Summary'!$AT$6:$AX$15,4,FALSE),"")</f>
        <v/>
      </c>
      <c r="F572">
        <f>IFERROR(VLOOKUP(B572,'Pre-Summary'!$AL$6:$AQ$13,6,FALSE),F571)</f>
        <v>5.9405263157894746E-2</v>
      </c>
      <c r="G572" t="str">
        <f>IFERROR(VLOOKUP(B572,'Pre-Summary'!$AE$6:$AJ$85,3,FALSE),"")</f>
        <v/>
      </c>
      <c r="H572" t="str">
        <f>IFERROR(VLOOKUP(B572,'Pre-Summary'!$AE$6:$AJ$85,4,FALSE),"")</f>
        <v/>
      </c>
      <c r="I572" t="str">
        <f>IFERROR(VLOOKUP(B572,'Pre-Summary'!$AE$6:$AJ$85,5,FALSE),"")</f>
        <v/>
      </c>
      <c r="J572" s="45" t="str">
        <f>IFERROR(VLOOKUP(B572,'Pre-Summary'!$AE$6:$AJ$85,6, FALSE),"")</f>
        <v/>
      </c>
      <c r="K572" s="45" t="str">
        <f>IFERROR(VLOOKUP(B572,'Pre-Summary'!$DE$6:$DG$61,3,FALSE),"")</f>
        <v/>
      </c>
      <c r="L572" s="45" t="str">
        <f>IFERROR(VLOOKUP(B572,'Pre-Summary'!$CU$6:$CW$36,3,FALSE),"")</f>
        <v/>
      </c>
      <c r="M572" s="45" t="str">
        <f>IFERROR(VLOOKUP(B572,'Pre-Summary'!$BW$6:$BY$58,2,FALSE),"")</f>
        <v/>
      </c>
      <c r="N572" s="45" t="str">
        <f>IFERROR(VLOOKUP(B572,'Pre-Summary'!$CD$6:$CF$64,2,FALSE),"")</f>
        <v/>
      </c>
      <c r="O572" s="99">
        <f>IFERROR(VLOOKUP(B572,'Pre-Summary'!$BO$6:$BQ$48,3, FALSE),O571)</f>
        <v>1.0915248032216731</v>
      </c>
      <c r="P572" s="99">
        <f>IFERROR(VLOOKUP(B572,'Pre-Summary'!$BS$6:$BU$35,3,FALSE),P571)</f>
        <v>0.25</v>
      </c>
      <c r="Q572" s="54">
        <f t="shared" si="24"/>
        <v>4.3660992128866924</v>
      </c>
      <c r="R572" s="53">
        <f>IFERROR(VLOOKUP(B572,'Pre-Summary'!$BG$6:$BM$44,7,FALSE),R573)</f>
        <v>7.5915763918363535E-2</v>
      </c>
      <c r="S572" s="53">
        <f>IFERROR(VLOOKUP(B572,'Pre-Summary'!$BG$6:$BM$44,6,FALSE),S573)</f>
        <v>5.2897473997019086E-2</v>
      </c>
      <c r="T572" s="45" t="str">
        <f>IFERROR(VLOOKUP(B572,'Pre-Summary'!$Y$6:$AC$83, 3,FALSE),"")</f>
        <v/>
      </c>
      <c r="U572" s="45" t="str">
        <f>IFERROR(VLOOKUP(B572,'Pre-Summary'!$Y$6:$AC$83, 4,FALSE),"")</f>
        <v/>
      </c>
      <c r="V572" t="str">
        <f>IFERROR(VLOOKUP(B572,'Pre-Summary'!$Y$6:$AC$83, 5,FALSE),"")</f>
        <v/>
      </c>
      <c r="W572" s="45" t="str">
        <f>IFERROR(VLOOKUP(B572,'Pre-Summary'!$Y$6:$AD$83,6,FALSE),"")</f>
        <v/>
      </c>
      <c r="X572" t="str">
        <f>IFERROR(VLOOKUP('Pre-Summary'!$DB$6:$DD$63,3,FALSE),"")</f>
        <v/>
      </c>
      <c r="Y572" t="str">
        <f>IFERROR(VLOOKUP(B572,'Pre-Summary'!$CR$6:$CT$36,3,FALSE),"")</f>
        <v/>
      </c>
      <c r="Z572" s="45" t="str">
        <f>IFERROR(VLOOKUP(B572,'Pre-Summary'!$BZ$6:$CB$63,2,FALSE),"")</f>
        <v/>
      </c>
      <c r="AA572" s="45" t="str">
        <f>IFERROR(VLOOKUP(B572,'Pre-Summary'!$CG$6:$CI$70,2,FALSE),"")</f>
        <v/>
      </c>
      <c r="AB572" s="99">
        <f>IFERROR(VLOOKUP(B572,'Pre-Summary'!$A$6:$P$178,9,FALSE),AB573)</f>
        <v>0.87858471235308822</v>
      </c>
      <c r="AC572" s="10">
        <f>IFERROR(VLOOKUP(Summary!B572,'Pre-Summary'!$A$6:$P$184,5, FALSE)/100,AC573)</f>
        <v>0.67272566666666667</v>
      </c>
      <c r="AD572" s="10">
        <f>IFERROR(VLOOKUP(Summary!B572,'Pre-Summary'!$A$6:$P$184,3, FALSE)/100,AD573)</f>
        <v>8.9092333333333329E-2</v>
      </c>
      <c r="AE572" s="10">
        <f>IFERROR(VLOOKUP(Summary!B572,'Pre-Summary'!$A$6:$P$184,7, FALSE)/100,AE573)</f>
        <v>0.23818233333333336</v>
      </c>
      <c r="AF572" s="99">
        <f t="shared" si="25"/>
        <v>7.827516205453211E-2</v>
      </c>
      <c r="AG572" s="99">
        <f t="shared" si="26"/>
        <v>0.20926335681925406</v>
      </c>
      <c r="AH572" s="10" t="str">
        <f>IFERROR(VLOOKUP(B572,'Pre-Summary'!$AZ$6:$BE$65,3,FALSE),"")</f>
        <v/>
      </c>
      <c r="AI572" s="10" t="str">
        <f>IFERROR(VLOOKUP(B572,'Pre-Summary'!$AZ$6:$BE$65,5,FALSE),"")</f>
        <v/>
      </c>
      <c r="AJ572" s="10" t="str">
        <f>IFERROR(VLOOKUP(B572,'Pre-Summary'!$AZ$6:$BE$65,4,FALSE),"")</f>
        <v/>
      </c>
      <c r="AK572" s="10" t="str">
        <f>IFERROR(VLOOKUP(B572,'Pre-Summary'!$AZ$6:$BE$65,6,FALSE),"")</f>
        <v/>
      </c>
      <c r="AL572" s="10" t="str">
        <f>IFERROR(VLOOKUP(B572,'Pre-Summary'!$BG$6:$BL$44,3,FALSE),"")</f>
        <v/>
      </c>
      <c r="AM572" s="10" t="str">
        <f>IFERROR(VLOOKUP(B572,'Pre-Summary'!$BG$6:$BL$44,4,FALSE),"")</f>
        <v/>
      </c>
    </row>
    <row r="573" spans="2:39" ht="15" customHeight="1" x14ac:dyDescent="0.3">
      <c r="B573">
        <v>57</v>
      </c>
      <c r="C573" t="str">
        <f>IFERROR(VLOOKUP(B573,'Pre-Summary'!$DI$6:$DM$23,4,FALSE),"")</f>
        <v/>
      </c>
      <c r="D573" s="10" t="str">
        <f>IFERROR(VLOOKUP(B573,'Pre-Summary'!$AT$6:$AX$14,5,FALSE),D572)</f>
        <v>DSMZ v2: Dropped Na-Ac out of DSMZ 120 media</v>
      </c>
      <c r="E573" s="10" t="str">
        <f>IFERROR(VLOOKUP(B573,'Pre-Summary'!$AT$6:$AX$15,4,FALSE),"")</f>
        <v/>
      </c>
      <c r="F573">
        <f>IFERROR(VLOOKUP(B573,'Pre-Summary'!$AL$6:$AQ$13,6,FALSE),F572)</f>
        <v>5.9405263157894746E-2</v>
      </c>
      <c r="G573" t="str">
        <f>IFERROR(VLOOKUP(B573,'Pre-Summary'!$AE$6:$AJ$85,3,FALSE),"")</f>
        <v/>
      </c>
      <c r="H573" t="str">
        <f>IFERROR(VLOOKUP(B573,'Pre-Summary'!$AE$6:$AJ$85,4,FALSE),"")</f>
        <v/>
      </c>
      <c r="I573" t="str">
        <f>IFERROR(VLOOKUP(B573,'Pre-Summary'!$AE$6:$AJ$85,5,FALSE),"")</f>
        <v/>
      </c>
      <c r="J573" s="45" t="str">
        <f>IFERROR(VLOOKUP(B573,'Pre-Summary'!$AE$6:$AJ$85,6, FALSE),"")</f>
        <v/>
      </c>
      <c r="K573" s="45" t="str">
        <f>IFERROR(VLOOKUP(B573,'Pre-Summary'!$DE$6:$DG$61,3,FALSE),"")</f>
        <v/>
      </c>
      <c r="L573" s="45" t="str">
        <f>IFERROR(VLOOKUP(B573,'Pre-Summary'!$CU$6:$CW$36,3,FALSE),"")</f>
        <v/>
      </c>
      <c r="M573" s="45" t="str">
        <f>IFERROR(VLOOKUP(B573,'Pre-Summary'!$BW$6:$BY$58,2,FALSE),"")</f>
        <v/>
      </c>
      <c r="N573" s="45" t="str">
        <f>IFERROR(VLOOKUP(B573,'Pre-Summary'!$CD$6:$CF$64,2,FALSE),"")</f>
        <v/>
      </c>
      <c r="O573" s="99">
        <f>IFERROR(VLOOKUP(B573,'Pre-Summary'!$BO$6:$BQ$48,3, FALSE),O572)</f>
        <v>1.0915248032216731</v>
      </c>
      <c r="P573" s="99">
        <f>IFERROR(VLOOKUP(B573,'Pre-Summary'!$BS$6:$BU$35,3,FALSE),P572)</f>
        <v>0.25</v>
      </c>
      <c r="Q573" s="54">
        <f t="shared" si="24"/>
        <v>4.3660992128866924</v>
      </c>
      <c r="R573" s="53">
        <f>IFERROR(VLOOKUP(B573,'Pre-Summary'!$BG$6:$BM$44,7,FALSE),R574)</f>
        <v>7.5915763918363535E-2</v>
      </c>
      <c r="S573" s="53">
        <f>IFERROR(VLOOKUP(B573,'Pre-Summary'!$BG$6:$BM$44,6,FALSE),S574)</f>
        <v>5.2897473997019086E-2</v>
      </c>
      <c r="T573" s="45" t="str">
        <f>IFERROR(VLOOKUP(B573,'Pre-Summary'!$Y$6:$AC$83, 3,FALSE),"")</f>
        <v/>
      </c>
      <c r="U573" s="45" t="str">
        <f>IFERROR(VLOOKUP(B573,'Pre-Summary'!$Y$6:$AC$83, 4,FALSE),"")</f>
        <v/>
      </c>
      <c r="V573" t="str">
        <f>IFERROR(VLOOKUP(B573,'Pre-Summary'!$Y$6:$AC$83, 5,FALSE),"")</f>
        <v/>
      </c>
      <c r="W573" s="45" t="str">
        <f>IFERROR(VLOOKUP(B573,'Pre-Summary'!$Y$6:$AD$83,6,FALSE),"")</f>
        <v/>
      </c>
      <c r="X573" t="str">
        <f>IFERROR(VLOOKUP('Pre-Summary'!$DB$6:$DD$63,3,FALSE),"")</f>
        <v/>
      </c>
      <c r="Y573" t="str">
        <f>IFERROR(VLOOKUP(B573,'Pre-Summary'!$CR$6:$CT$36,3,FALSE),"")</f>
        <v/>
      </c>
      <c r="Z573" s="45" t="str">
        <f>IFERROR(VLOOKUP(B573,'Pre-Summary'!$BZ$6:$CB$63,2,FALSE),"")</f>
        <v/>
      </c>
      <c r="AA573" s="45" t="str">
        <f>IFERROR(VLOOKUP(B573,'Pre-Summary'!$CG$6:$CI$70,2,FALSE),"")</f>
        <v/>
      </c>
      <c r="AB573" s="99">
        <f>IFERROR(VLOOKUP(B573,'Pre-Summary'!$A$6:$P$178,9,FALSE),AB574)</f>
        <v>0.87858471235308822</v>
      </c>
      <c r="AC573" s="10">
        <f>IFERROR(VLOOKUP(Summary!B573,'Pre-Summary'!$A$6:$P$184,5, FALSE)/100,AC574)</f>
        <v>0.67272566666666667</v>
      </c>
      <c r="AD573" s="10">
        <f>IFERROR(VLOOKUP(Summary!B573,'Pre-Summary'!$A$6:$P$184,3, FALSE)/100,AD574)</f>
        <v>8.9092333333333329E-2</v>
      </c>
      <c r="AE573" s="10">
        <f>IFERROR(VLOOKUP(Summary!B573,'Pre-Summary'!$A$6:$P$184,7, FALSE)/100,AE574)</f>
        <v>0.23818233333333336</v>
      </c>
      <c r="AF573" s="99">
        <f t="shared" si="25"/>
        <v>7.827516205453211E-2</v>
      </c>
      <c r="AG573" s="99">
        <f t="shared" si="26"/>
        <v>0.20926335681925406</v>
      </c>
      <c r="AH573" s="10" t="str">
        <f>IFERROR(VLOOKUP(B573,'Pre-Summary'!$AZ$6:$BE$65,3,FALSE),"")</f>
        <v/>
      </c>
      <c r="AI573" s="10" t="str">
        <f>IFERROR(VLOOKUP(B573,'Pre-Summary'!$AZ$6:$BE$65,5,FALSE),"")</f>
        <v/>
      </c>
      <c r="AJ573" s="10" t="str">
        <f>IFERROR(VLOOKUP(B573,'Pre-Summary'!$AZ$6:$BE$65,4,FALSE),"")</f>
        <v/>
      </c>
      <c r="AK573" s="10" t="str">
        <f>IFERROR(VLOOKUP(B573,'Pre-Summary'!$AZ$6:$BE$65,6,FALSE),"")</f>
        <v/>
      </c>
      <c r="AL573" s="10" t="str">
        <f>IFERROR(VLOOKUP(B573,'Pre-Summary'!$BG$6:$BL$44,3,FALSE),"")</f>
        <v/>
      </c>
      <c r="AM573" s="10" t="str">
        <f>IFERROR(VLOOKUP(B573,'Pre-Summary'!$BG$6:$BL$44,4,FALSE),"")</f>
        <v/>
      </c>
    </row>
    <row r="574" spans="2:39" ht="15" customHeight="1" x14ac:dyDescent="0.3">
      <c r="B574">
        <v>57.1</v>
      </c>
      <c r="C574" t="str">
        <f>IFERROR(VLOOKUP(B574,'Pre-Summary'!$DI$6:$DM$23,4,FALSE),"")</f>
        <v/>
      </c>
      <c r="D574" s="10" t="str">
        <f>IFERROR(VLOOKUP(B574,'Pre-Summary'!$AT$6:$AX$14,5,FALSE),D573)</f>
        <v>DSMZ v2: Dropped Na-Ac out of DSMZ 120 media</v>
      </c>
      <c r="E574" s="10" t="str">
        <f>IFERROR(VLOOKUP(B574,'Pre-Summary'!$AT$6:$AX$15,4,FALSE),"")</f>
        <v/>
      </c>
      <c r="F574">
        <f>IFERROR(VLOOKUP(B574,'Pre-Summary'!$AL$6:$AQ$13,6,FALSE),F573)</f>
        <v>5.9405263157894746E-2</v>
      </c>
      <c r="G574" t="str">
        <f>IFERROR(VLOOKUP(B574,'Pre-Summary'!$AE$6:$AJ$85,3,FALSE),"")</f>
        <v/>
      </c>
      <c r="H574" t="str">
        <f>IFERROR(VLOOKUP(B574,'Pre-Summary'!$AE$6:$AJ$85,4,FALSE),"")</f>
        <v/>
      </c>
      <c r="I574" t="str">
        <f>IFERROR(VLOOKUP(B574,'Pre-Summary'!$AE$6:$AJ$85,5,FALSE),"")</f>
        <v/>
      </c>
      <c r="J574" s="45" t="str">
        <f>IFERROR(VLOOKUP(B574,'Pre-Summary'!$AE$6:$AJ$85,6, FALSE),"")</f>
        <v/>
      </c>
      <c r="K574" s="45" t="str">
        <f>IFERROR(VLOOKUP(B574,'Pre-Summary'!$DE$6:$DG$61,3,FALSE),"")</f>
        <v/>
      </c>
      <c r="L574" s="45" t="str">
        <f>IFERROR(VLOOKUP(B574,'Pre-Summary'!$CU$6:$CW$36,3,FALSE),"")</f>
        <v/>
      </c>
      <c r="M574" s="45" t="str">
        <f>IFERROR(VLOOKUP(B574,'Pre-Summary'!$BW$6:$BY$58,2,FALSE),"")</f>
        <v/>
      </c>
      <c r="N574" s="45" t="str">
        <f>IFERROR(VLOOKUP(B574,'Pre-Summary'!$CD$6:$CF$64,2,FALSE),"")</f>
        <v/>
      </c>
      <c r="O574" s="99">
        <f>IFERROR(VLOOKUP(B574,'Pre-Summary'!$BO$6:$BQ$48,3, FALSE),O573)</f>
        <v>1.0915248032216731</v>
      </c>
      <c r="P574" s="99">
        <f>IFERROR(VLOOKUP(B574,'Pre-Summary'!$BS$6:$BU$35,3,FALSE),P573)</f>
        <v>0.25</v>
      </c>
      <c r="Q574" s="54">
        <f t="shared" si="24"/>
        <v>4.3660992128866924</v>
      </c>
      <c r="R574" s="53">
        <f>IFERROR(VLOOKUP(B574,'Pre-Summary'!$BG$6:$BM$44,7,FALSE),R575)</f>
        <v>7.5915763918363535E-2</v>
      </c>
      <c r="S574" s="53">
        <f>IFERROR(VLOOKUP(B574,'Pre-Summary'!$BG$6:$BM$44,6,FALSE),S575)</f>
        <v>5.2897473997019086E-2</v>
      </c>
      <c r="T574" s="45" t="str">
        <f>IFERROR(VLOOKUP(B574,'Pre-Summary'!$Y$6:$AC$83, 3,FALSE),"")</f>
        <v/>
      </c>
      <c r="U574" s="45" t="str">
        <f>IFERROR(VLOOKUP(B574,'Pre-Summary'!$Y$6:$AC$83, 4,FALSE),"")</f>
        <v/>
      </c>
      <c r="V574" t="str">
        <f>IFERROR(VLOOKUP(B574,'Pre-Summary'!$Y$6:$AC$83, 5,FALSE),"")</f>
        <v/>
      </c>
      <c r="W574" s="45" t="str">
        <f>IFERROR(VLOOKUP(B574,'Pre-Summary'!$Y$6:$AD$83,6,FALSE),"")</f>
        <v/>
      </c>
      <c r="X574" t="str">
        <f>IFERROR(VLOOKUP('Pre-Summary'!$DB$6:$DD$63,3,FALSE),"")</f>
        <v/>
      </c>
      <c r="Y574" t="str">
        <f>IFERROR(VLOOKUP(B574,'Pre-Summary'!$CR$6:$CT$36,3,FALSE),"")</f>
        <v/>
      </c>
      <c r="Z574" s="45" t="str">
        <f>IFERROR(VLOOKUP(B574,'Pre-Summary'!$BZ$6:$CB$63,2,FALSE),"")</f>
        <v/>
      </c>
      <c r="AA574" s="45" t="str">
        <f>IFERROR(VLOOKUP(B574,'Pre-Summary'!$CG$6:$CI$70,2,FALSE),"")</f>
        <v/>
      </c>
      <c r="AB574" s="99">
        <f>IFERROR(VLOOKUP(B574,'Pre-Summary'!$A$6:$P$178,9,FALSE),AB575)</f>
        <v>0.87858471235308822</v>
      </c>
      <c r="AC574" s="10">
        <f>IFERROR(VLOOKUP(Summary!B574,'Pre-Summary'!$A$6:$P$184,5, FALSE)/100,AC575)</f>
        <v>0.67272566666666667</v>
      </c>
      <c r="AD574" s="10">
        <f>IFERROR(VLOOKUP(Summary!B574,'Pre-Summary'!$A$6:$P$184,3, FALSE)/100,AD575)</f>
        <v>8.9092333333333329E-2</v>
      </c>
      <c r="AE574" s="10">
        <f>IFERROR(VLOOKUP(Summary!B574,'Pre-Summary'!$A$6:$P$184,7, FALSE)/100,AE575)</f>
        <v>0.23818233333333336</v>
      </c>
      <c r="AF574" s="99">
        <f t="shared" si="25"/>
        <v>7.827516205453211E-2</v>
      </c>
      <c r="AG574" s="99">
        <f t="shared" si="26"/>
        <v>0.20926335681925406</v>
      </c>
      <c r="AH574" s="10" t="str">
        <f>IFERROR(VLOOKUP(B574,'Pre-Summary'!$AZ$6:$BE$65,3,FALSE),"")</f>
        <v/>
      </c>
      <c r="AI574" s="10" t="str">
        <f>IFERROR(VLOOKUP(B574,'Pre-Summary'!$AZ$6:$BE$65,5,FALSE),"")</f>
        <v/>
      </c>
      <c r="AJ574" s="10" t="str">
        <f>IFERROR(VLOOKUP(B574,'Pre-Summary'!$AZ$6:$BE$65,4,FALSE),"")</f>
        <v/>
      </c>
      <c r="AK574" s="10" t="str">
        <f>IFERROR(VLOOKUP(B574,'Pre-Summary'!$AZ$6:$BE$65,6,FALSE),"")</f>
        <v/>
      </c>
      <c r="AL574" s="10" t="str">
        <f>IFERROR(VLOOKUP(B574,'Pre-Summary'!$BG$6:$BL$44,3,FALSE),"")</f>
        <v/>
      </c>
      <c r="AM574" s="10" t="str">
        <f>IFERROR(VLOOKUP(B574,'Pre-Summary'!$BG$6:$BL$44,4,FALSE),"")</f>
        <v/>
      </c>
    </row>
    <row r="575" spans="2:39" ht="15" customHeight="1" x14ac:dyDescent="0.3">
      <c r="B575">
        <v>57.2</v>
      </c>
      <c r="C575" t="str">
        <f>IFERROR(VLOOKUP(B575,'Pre-Summary'!$DI$6:$DM$23,4,FALSE),"")</f>
        <v/>
      </c>
      <c r="D575" s="10" t="str">
        <f>IFERROR(VLOOKUP(B575,'Pre-Summary'!$AT$6:$AX$14,5,FALSE),D574)</f>
        <v>DSMZ v2: Dropped Na-Ac out of DSMZ 120 media</v>
      </c>
      <c r="E575" s="10" t="str">
        <f>IFERROR(VLOOKUP(B575,'Pre-Summary'!$AT$6:$AX$15,4,FALSE),"")</f>
        <v/>
      </c>
      <c r="F575">
        <f>IFERROR(VLOOKUP(B575,'Pre-Summary'!$AL$6:$AQ$13,6,FALSE),F574)</f>
        <v>5.9405263157894746E-2</v>
      </c>
      <c r="G575" t="str">
        <f>IFERROR(VLOOKUP(B575,'Pre-Summary'!$AE$6:$AJ$85,3,FALSE),"")</f>
        <v/>
      </c>
      <c r="H575" t="str">
        <f>IFERROR(VLOOKUP(B575,'Pre-Summary'!$AE$6:$AJ$85,4,FALSE),"")</f>
        <v/>
      </c>
      <c r="I575" t="str">
        <f>IFERROR(VLOOKUP(B575,'Pre-Summary'!$AE$6:$AJ$85,5,FALSE),"")</f>
        <v/>
      </c>
      <c r="J575" s="45" t="str">
        <f>IFERROR(VLOOKUP(B575,'Pre-Summary'!$AE$6:$AJ$85,6, FALSE),"")</f>
        <v/>
      </c>
      <c r="K575" s="45" t="str">
        <f>IFERROR(VLOOKUP(B575,'Pre-Summary'!$DE$6:$DG$61,3,FALSE),"")</f>
        <v/>
      </c>
      <c r="L575" s="45" t="str">
        <f>IFERROR(VLOOKUP(B575,'Pre-Summary'!$CU$6:$CW$36,3,FALSE),"")</f>
        <v/>
      </c>
      <c r="M575" s="45" t="str">
        <f>IFERROR(VLOOKUP(B575,'Pre-Summary'!$BW$6:$BY$58,2,FALSE),"")</f>
        <v/>
      </c>
      <c r="N575" s="45" t="str">
        <f>IFERROR(VLOOKUP(B575,'Pre-Summary'!$CD$6:$CF$64,2,FALSE),"")</f>
        <v/>
      </c>
      <c r="O575" s="99">
        <f>IFERROR(VLOOKUP(B575,'Pre-Summary'!$BO$6:$BQ$48,3, FALSE),O574)</f>
        <v>1.0915248032216731</v>
      </c>
      <c r="P575" s="99">
        <f>IFERROR(VLOOKUP(B575,'Pre-Summary'!$BS$6:$BU$35,3,FALSE),P574)</f>
        <v>0.25</v>
      </c>
      <c r="Q575" s="54">
        <f t="shared" si="24"/>
        <v>4.3660992128866924</v>
      </c>
      <c r="R575" s="53">
        <f>IFERROR(VLOOKUP(B575,'Pre-Summary'!$BG$6:$BM$44,7,FALSE),R576)</f>
        <v>7.5915763918363535E-2</v>
      </c>
      <c r="S575" s="53">
        <f>IFERROR(VLOOKUP(B575,'Pre-Summary'!$BG$6:$BM$44,6,FALSE),S576)</f>
        <v>5.2897473997019086E-2</v>
      </c>
      <c r="T575" s="45" t="str">
        <f>IFERROR(VLOOKUP(B575,'Pre-Summary'!$Y$6:$AC$83, 3,FALSE),"")</f>
        <v/>
      </c>
      <c r="U575" s="45" t="str">
        <f>IFERROR(VLOOKUP(B575,'Pre-Summary'!$Y$6:$AC$83, 4,FALSE),"")</f>
        <v/>
      </c>
      <c r="V575" t="str">
        <f>IFERROR(VLOOKUP(B575,'Pre-Summary'!$Y$6:$AC$83, 5,FALSE),"")</f>
        <v/>
      </c>
      <c r="W575" s="45" t="str">
        <f>IFERROR(VLOOKUP(B575,'Pre-Summary'!$Y$6:$AD$83,6,FALSE),"")</f>
        <v/>
      </c>
      <c r="X575" t="str">
        <f>IFERROR(VLOOKUP('Pre-Summary'!$DB$6:$DD$63,3,FALSE),"")</f>
        <v/>
      </c>
      <c r="Y575" t="str">
        <f>IFERROR(VLOOKUP(B575,'Pre-Summary'!$CR$6:$CT$36,3,FALSE),"")</f>
        <v/>
      </c>
      <c r="Z575" s="45" t="str">
        <f>IFERROR(VLOOKUP(B575,'Pre-Summary'!$BZ$6:$CB$63,2,FALSE),"")</f>
        <v/>
      </c>
      <c r="AA575" s="45" t="str">
        <f>IFERROR(VLOOKUP(B575,'Pre-Summary'!$CG$6:$CI$70,2,FALSE),"")</f>
        <v/>
      </c>
      <c r="AB575" s="99">
        <f>IFERROR(VLOOKUP(B575,'Pre-Summary'!$A$6:$P$178,9,FALSE),AB576)</f>
        <v>0.87858471235308822</v>
      </c>
      <c r="AC575" s="10">
        <f>IFERROR(VLOOKUP(Summary!B575,'Pre-Summary'!$A$6:$P$184,5, FALSE)/100,AC576)</f>
        <v>0.67272566666666667</v>
      </c>
      <c r="AD575" s="10">
        <f>IFERROR(VLOOKUP(Summary!B575,'Pre-Summary'!$A$6:$P$184,3, FALSE)/100,AD576)</f>
        <v>8.9092333333333329E-2</v>
      </c>
      <c r="AE575" s="10">
        <f>IFERROR(VLOOKUP(Summary!B575,'Pre-Summary'!$A$6:$P$184,7, FALSE)/100,AE576)</f>
        <v>0.23818233333333336</v>
      </c>
      <c r="AF575" s="99">
        <f t="shared" si="25"/>
        <v>7.827516205453211E-2</v>
      </c>
      <c r="AG575" s="99">
        <f t="shared" si="26"/>
        <v>0.20926335681925406</v>
      </c>
      <c r="AH575" s="10" t="str">
        <f>IFERROR(VLOOKUP(B575,'Pre-Summary'!$AZ$6:$BE$65,3,FALSE),"")</f>
        <v/>
      </c>
      <c r="AI575" s="10" t="str">
        <f>IFERROR(VLOOKUP(B575,'Pre-Summary'!$AZ$6:$BE$65,5,FALSE),"")</f>
        <v/>
      </c>
      <c r="AJ575" s="10" t="str">
        <f>IFERROR(VLOOKUP(B575,'Pre-Summary'!$AZ$6:$BE$65,4,FALSE),"")</f>
        <v/>
      </c>
      <c r="AK575" s="10" t="str">
        <f>IFERROR(VLOOKUP(B575,'Pre-Summary'!$AZ$6:$BE$65,6,FALSE),"")</f>
        <v/>
      </c>
      <c r="AL575" s="10" t="str">
        <f>IFERROR(VLOOKUP(B575,'Pre-Summary'!$BG$6:$BL$44,3,FALSE),"")</f>
        <v/>
      </c>
      <c r="AM575" s="10" t="str">
        <f>IFERROR(VLOOKUP(B575,'Pre-Summary'!$BG$6:$BL$44,4,FALSE),"")</f>
        <v/>
      </c>
    </row>
    <row r="576" spans="2:39" ht="15" customHeight="1" x14ac:dyDescent="0.3">
      <c r="B576">
        <v>57.3</v>
      </c>
      <c r="C576" t="str">
        <f>IFERROR(VLOOKUP(B576,'Pre-Summary'!$DI$6:$DM$23,4,FALSE),"")</f>
        <v/>
      </c>
      <c r="D576" s="10" t="str">
        <f>IFERROR(VLOOKUP(B576,'Pre-Summary'!$AT$6:$AX$14,5,FALSE),D575)</f>
        <v>DSMZ v2: Dropped Na-Ac out of DSMZ 120 media</v>
      </c>
      <c r="E576" s="10" t="str">
        <f>IFERROR(VLOOKUP(B576,'Pre-Summary'!$AT$6:$AX$15,4,FALSE),"")</f>
        <v/>
      </c>
      <c r="F576">
        <f>IFERROR(VLOOKUP(B576,'Pre-Summary'!$AL$6:$AQ$13,6,FALSE),F575)</f>
        <v>5.9405263157894746E-2</v>
      </c>
      <c r="G576" t="str">
        <f>IFERROR(VLOOKUP(B576,'Pre-Summary'!$AE$6:$AJ$85,3,FALSE),"")</f>
        <v/>
      </c>
      <c r="H576" t="str">
        <f>IFERROR(VLOOKUP(B576,'Pre-Summary'!$AE$6:$AJ$85,4,FALSE),"")</f>
        <v/>
      </c>
      <c r="I576" t="str">
        <f>IFERROR(VLOOKUP(B576,'Pre-Summary'!$AE$6:$AJ$85,5,FALSE),"")</f>
        <v/>
      </c>
      <c r="J576" s="45" t="str">
        <f>IFERROR(VLOOKUP(B576,'Pre-Summary'!$AE$6:$AJ$85,6, FALSE),"")</f>
        <v/>
      </c>
      <c r="K576" s="45" t="str">
        <f>IFERROR(VLOOKUP(B576,'Pre-Summary'!$DE$6:$DG$61,3,FALSE),"")</f>
        <v/>
      </c>
      <c r="L576" s="45" t="str">
        <f>IFERROR(VLOOKUP(B576,'Pre-Summary'!$CU$6:$CW$36,3,FALSE),"")</f>
        <v/>
      </c>
      <c r="M576" s="45" t="str">
        <f>IFERROR(VLOOKUP(B576,'Pre-Summary'!$BW$6:$BY$58,2,FALSE),"")</f>
        <v/>
      </c>
      <c r="N576" s="45" t="str">
        <f>IFERROR(VLOOKUP(B576,'Pre-Summary'!$CD$6:$CF$64,2,FALSE),"")</f>
        <v/>
      </c>
      <c r="O576" s="99">
        <f>IFERROR(VLOOKUP(B576,'Pre-Summary'!$BO$6:$BQ$48,3, FALSE),O575)</f>
        <v>1.0915248032216731</v>
      </c>
      <c r="P576" s="99">
        <f>IFERROR(VLOOKUP(B576,'Pre-Summary'!$BS$6:$BU$35,3,FALSE),P575)</f>
        <v>0.25</v>
      </c>
      <c r="Q576" s="54">
        <f t="shared" si="24"/>
        <v>4.3660992128866924</v>
      </c>
      <c r="R576" s="53">
        <f>IFERROR(VLOOKUP(B576,'Pre-Summary'!$BG$6:$BM$44,7,FALSE),R577)</f>
        <v>7.5915763918363535E-2</v>
      </c>
      <c r="S576" s="53">
        <f>IFERROR(VLOOKUP(B576,'Pre-Summary'!$BG$6:$BM$44,6,FALSE),S577)</f>
        <v>5.2897473997019086E-2</v>
      </c>
      <c r="T576" s="45" t="str">
        <f>IFERROR(VLOOKUP(B576,'Pre-Summary'!$Y$6:$AC$83, 3,FALSE),"")</f>
        <v/>
      </c>
      <c r="U576" s="45" t="str">
        <f>IFERROR(VLOOKUP(B576,'Pre-Summary'!$Y$6:$AC$83, 4,FALSE),"")</f>
        <v/>
      </c>
      <c r="V576" t="str">
        <f>IFERROR(VLOOKUP(B576,'Pre-Summary'!$Y$6:$AC$83, 5,FALSE),"")</f>
        <v/>
      </c>
      <c r="W576" s="45" t="str">
        <f>IFERROR(VLOOKUP(B576,'Pre-Summary'!$Y$6:$AD$83,6,FALSE),"")</f>
        <v/>
      </c>
      <c r="X576" t="str">
        <f>IFERROR(VLOOKUP('Pre-Summary'!$DB$6:$DD$63,3,FALSE),"")</f>
        <v/>
      </c>
      <c r="Y576" t="str">
        <f>IFERROR(VLOOKUP(B576,'Pre-Summary'!$CR$6:$CT$36,3,FALSE),"")</f>
        <v/>
      </c>
      <c r="Z576" s="45" t="str">
        <f>IFERROR(VLOOKUP(B576,'Pre-Summary'!$BZ$6:$CB$63,2,FALSE),"")</f>
        <v/>
      </c>
      <c r="AA576" s="45" t="str">
        <f>IFERROR(VLOOKUP(B576,'Pre-Summary'!$CG$6:$CI$70,2,FALSE),"")</f>
        <v/>
      </c>
      <c r="AB576" s="99">
        <f>IFERROR(VLOOKUP(B576,'Pre-Summary'!$A$6:$P$178,9,FALSE),AB577)</f>
        <v>0.87858471235308822</v>
      </c>
      <c r="AC576" s="10">
        <f>IFERROR(VLOOKUP(Summary!B576,'Pre-Summary'!$A$6:$P$184,5, FALSE)/100,AC577)</f>
        <v>0.67272566666666667</v>
      </c>
      <c r="AD576" s="10">
        <f>IFERROR(VLOOKUP(Summary!B576,'Pre-Summary'!$A$6:$P$184,3, FALSE)/100,AD577)</f>
        <v>8.9092333333333329E-2</v>
      </c>
      <c r="AE576" s="10">
        <f>IFERROR(VLOOKUP(Summary!B576,'Pre-Summary'!$A$6:$P$184,7, FALSE)/100,AE577)</f>
        <v>0.23818233333333336</v>
      </c>
      <c r="AF576" s="99">
        <f t="shared" si="25"/>
        <v>7.827516205453211E-2</v>
      </c>
      <c r="AG576" s="99">
        <f t="shared" si="26"/>
        <v>0.20926335681925406</v>
      </c>
      <c r="AH576" s="10" t="str">
        <f>IFERROR(VLOOKUP(B576,'Pre-Summary'!$AZ$6:$BE$65,3,FALSE),"")</f>
        <v/>
      </c>
      <c r="AI576" s="10" t="str">
        <f>IFERROR(VLOOKUP(B576,'Pre-Summary'!$AZ$6:$BE$65,5,FALSE),"")</f>
        <v/>
      </c>
      <c r="AJ576" s="10" t="str">
        <f>IFERROR(VLOOKUP(B576,'Pre-Summary'!$AZ$6:$BE$65,4,FALSE),"")</f>
        <v/>
      </c>
      <c r="AK576" s="10" t="str">
        <f>IFERROR(VLOOKUP(B576,'Pre-Summary'!$AZ$6:$BE$65,6,FALSE),"")</f>
        <v/>
      </c>
      <c r="AL576" s="10" t="str">
        <f>IFERROR(VLOOKUP(B576,'Pre-Summary'!$BG$6:$BL$44,3,FALSE),"")</f>
        <v/>
      </c>
      <c r="AM576" s="10" t="str">
        <f>IFERROR(VLOOKUP(B576,'Pre-Summary'!$BG$6:$BL$44,4,FALSE),"")</f>
        <v/>
      </c>
    </row>
    <row r="577" spans="2:39" ht="15" customHeight="1" x14ac:dyDescent="0.3">
      <c r="B577">
        <v>57.4</v>
      </c>
      <c r="C577" t="str">
        <f>IFERROR(VLOOKUP(B577,'Pre-Summary'!$DI$6:$DM$23,4,FALSE),"")</f>
        <v/>
      </c>
      <c r="D577" s="10" t="str">
        <f>IFERROR(VLOOKUP(B577,'Pre-Summary'!$AT$6:$AX$14,5,FALSE),D576)</f>
        <v>DSMZ v2: Dropped Na-Ac out of DSMZ 120 media</v>
      </c>
      <c r="E577" s="10" t="str">
        <f>IFERROR(VLOOKUP(B577,'Pre-Summary'!$AT$6:$AX$15,4,FALSE),"")</f>
        <v/>
      </c>
      <c r="F577">
        <f>IFERROR(VLOOKUP(B577,'Pre-Summary'!$AL$6:$AQ$13,6,FALSE),F576)</f>
        <v>5.9405263157894746E-2</v>
      </c>
      <c r="G577" t="str">
        <f>IFERROR(VLOOKUP(B577,'Pre-Summary'!$AE$6:$AJ$85,3,FALSE),"")</f>
        <v/>
      </c>
      <c r="H577" t="str">
        <f>IFERROR(VLOOKUP(B577,'Pre-Summary'!$AE$6:$AJ$85,4,FALSE),"")</f>
        <v/>
      </c>
      <c r="I577" t="str">
        <f>IFERROR(VLOOKUP(B577,'Pre-Summary'!$AE$6:$AJ$85,5,FALSE),"")</f>
        <v/>
      </c>
      <c r="J577" s="45" t="str">
        <f>IFERROR(VLOOKUP(B577,'Pre-Summary'!$AE$6:$AJ$85,6, FALSE),"")</f>
        <v/>
      </c>
      <c r="K577" s="45" t="str">
        <f>IFERROR(VLOOKUP(B577,'Pre-Summary'!$DE$6:$DG$61,3,FALSE),"")</f>
        <v/>
      </c>
      <c r="L577" s="45" t="str">
        <f>IFERROR(VLOOKUP(B577,'Pre-Summary'!$CU$6:$CW$36,3,FALSE),"")</f>
        <v/>
      </c>
      <c r="M577" s="45" t="str">
        <f>IFERROR(VLOOKUP(B577,'Pre-Summary'!$BW$6:$BY$58,2,FALSE),"")</f>
        <v/>
      </c>
      <c r="N577" s="45" t="str">
        <f>IFERROR(VLOOKUP(B577,'Pre-Summary'!$CD$6:$CF$64,2,FALSE),"")</f>
        <v/>
      </c>
      <c r="O577" s="99">
        <f>IFERROR(VLOOKUP(B577,'Pre-Summary'!$BO$6:$BQ$48,3, FALSE),O576)</f>
        <v>1.0915248032216731</v>
      </c>
      <c r="P577" s="99">
        <f>IFERROR(VLOOKUP(B577,'Pre-Summary'!$BS$6:$BU$35,3,FALSE),P576)</f>
        <v>0.25</v>
      </c>
      <c r="Q577" s="54">
        <f t="shared" si="24"/>
        <v>4.3660992128866924</v>
      </c>
      <c r="R577" s="53">
        <f>IFERROR(VLOOKUP(B577,'Pre-Summary'!$BG$6:$BM$44,7,FALSE),R578)</f>
        <v>7.5915763918363535E-2</v>
      </c>
      <c r="S577" s="53">
        <f>IFERROR(VLOOKUP(B577,'Pre-Summary'!$BG$6:$BM$44,6,FALSE),S578)</f>
        <v>5.2897473997019086E-2</v>
      </c>
      <c r="T577" s="45" t="str">
        <f>IFERROR(VLOOKUP(B577,'Pre-Summary'!$Y$6:$AC$83, 3,FALSE),"")</f>
        <v/>
      </c>
      <c r="U577" s="45" t="str">
        <f>IFERROR(VLOOKUP(B577,'Pre-Summary'!$Y$6:$AC$83, 4,FALSE),"")</f>
        <v/>
      </c>
      <c r="V577" t="str">
        <f>IFERROR(VLOOKUP(B577,'Pre-Summary'!$Y$6:$AC$83, 5,FALSE),"")</f>
        <v/>
      </c>
      <c r="W577" s="45" t="str">
        <f>IFERROR(VLOOKUP(B577,'Pre-Summary'!$Y$6:$AD$83,6,FALSE),"")</f>
        <v/>
      </c>
      <c r="X577" t="str">
        <f>IFERROR(VLOOKUP('Pre-Summary'!$DB$6:$DD$63,3,FALSE),"")</f>
        <v/>
      </c>
      <c r="Y577" t="str">
        <f>IFERROR(VLOOKUP(B577,'Pre-Summary'!$CR$6:$CT$36,3,FALSE),"")</f>
        <v/>
      </c>
      <c r="Z577" s="45" t="str">
        <f>IFERROR(VLOOKUP(B577,'Pre-Summary'!$BZ$6:$CB$63,2,FALSE),"")</f>
        <v/>
      </c>
      <c r="AA577" s="45" t="str">
        <f>IFERROR(VLOOKUP(B577,'Pre-Summary'!$CG$6:$CI$70,2,FALSE),"")</f>
        <v/>
      </c>
      <c r="AB577" s="99">
        <f>IFERROR(VLOOKUP(B577,'Pre-Summary'!$A$6:$P$178,9,FALSE),AB578)</f>
        <v>0.87858471235308822</v>
      </c>
      <c r="AC577" s="10">
        <f>IFERROR(VLOOKUP(Summary!B577,'Pre-Summary'!$A$6:$P$184,5, FALSE)/100,AC578)</f>
        <v>0.67272566666666667</v>
      </c>
      <c r="AD577" s="10">
        <f>IFERROR(VLOOKUP(Summary!B577,'Pre-Summary'!$A$6:$P$184,3, FALSE)/100,AD578)</f>
        <v>8.9092333333333329E-2</v>
      </c>
      <c r="AE577" s="10">
        <f>IFERROR(VLOOKUP(Summary!B577,'Pre-Summary'!$A$6:$P$184,7, FALSE)/100,AE578)</f>
        <v>0.23818233333333336</v>
      </c>
      <c r="AF577" s="99">
        <f t="shared" si="25"/>
        <v>7.827516205453211E-2</v>
      </c>
      <c r="AG577" s="99">
        <f t="shared" si="26"/>
        <v>0.20926335681925406</v>
      </c>
      <c r="AH577" s="10" t="str">
        <f>IFERROR(VLOOKUP(B577,'Pre-Summary'!$AZ$6:$BE$65,3,FALSE),"")</f>
        <v/>
      </c>
      <c r="AI577" s="10" t="str">
        <f>IFERROR(VLOOKUP(B577,'Pre-Summary'!$AZ$6:$BE$65,5,FALSE),"")</f>
        <v/>
      </c>
      <c r="AJ577" s="10" t="str">
        <f>IFERROR(VLOOKUP(B577,'Pre-Summary'!$AZ$6:$BE$65,4,FALSE),"")</f>
        <v/>
      </c>
      <c r="AK577" s="10" t="str">
        <f>IFERROR(VLOOKUP(B577,'Pre-Summary'!$AZ$6:$BE$65,6,FALSE),"")</f>
        <v/>
      </c>
      <c r="AL577" s="10" t="str">
        <f>IFERROR(VLOOKUP(B577,'Pre-Summary'!$BG$6:$BL$44,3,FALSE),"")</f>
        <v/>
      </c>
      <c r="AM577" s="10" t="str">
        <f>IFERROR(VLOOKUP(B577,'Pre-Summary'!$BG$6:$BL$44,4,FALSE),"")</f>
        <v/>
      </c>
    </row>
    <row r="578" spans="2:39" ht="15" customHeight="1" x14ac:dyDescent="0.3">
      <c r="B578">
        <v>57.5</v>
      </c>
      <c r="C578" t="str">
        <f>IFERROR(VLOOKUP(B578,'Pre-Summary'!$DI$6:$DM$23,4,FALSE),"")</f>
        <v/>
      </c>
      <c r="D578" s="10" t="str">
        <f>IFERROR(VLOOKUP(B578,'Pre-Summary'!$AT$6:$AX$14,5,FALSE),D577)</f>
        <v>DSMZ v2: Dropped Na-Ac out of DSMZ 120 media</v>
      </c>
      <c r="E578" s="10" t="str">
        <f>IFERROR(VLOOKUP(B578,'Pre-Summary'!$AT$6:$AX$15,4,FALSE),"")</f>
        <v/>
      </c>
      <c r="F578">
        <f>IFERROR(VLOOKUP(B578,'Pre-Summary'!$AL$6:$AQ$13,6,FALSE),F577)</f>
        <v>5.9405263157894746E-2</v>
      </c>
      <c r="G578" t="str">
        <f>IFERROR(VLOOKUP(B578,'Pre-Summary'!$AE$6:$AJ$85,3,FALSE),"")</f>
        <v/>
      </c>
      <c r="H578" t="str">
        <f>IFERROR(VLOOKUP(B578,'Pre-Summary'!$AE$6:$AJ$85,4,FALSE),"")</f>
        <v/>
      </c>
      <c r="I578" t="str">
        <f>IFERROR(VLOOKUP(B578,'Pre-Summary'!$AE$6:$AJ$85,5,FALSE),"")</f>
        <v/>
      </c>
      <c r="J578" s="45" t="str">
        <f>IFERROR(VLOOKUP(B578,'Pre-Summary'!$AE$6:$AJ$85,6, FALSE),"")</f>
        <v/>
      </c>
      <c r="K578" s="45" t="str">
        <f>IFERROR(VLOOKUP(B578,'Pre-Summary'!$DE$6:$DG$61,3,FALSE),"")</f>
        <v/>
      </c>
      <c r="L578" s="45" t="str">
        <f>IFERROR(VLOOKUP(B578,'Pre-Summary'!$CU$6:$CW$36,3,FALSE),"")</f>
        <v/>
      </c>
      <c r="M578" s="45" t="str">
        <f>IFERROR(VLOOKUP(B578,'Pre-Summary'!$BW$6:$BY$58,2,FALSE),"")</f>
        <v/>
      </c>
      <c r="N578" s="45" t="str">
        <f>IFERROR(VLOOKUP(B578,'Pre-Summary'!$CD$6:$CF$64,2,FALSE),"")</f>
        <v/>
      </c>
      <c r="O578" s="99">
        <f>IFERROR(VLOOKUP(B578,'Pre-Summary'!$BO$6:$BQ$48,3, FALSE),O577)</f>
        <v>1.0915248032216731</v>
      </c>
      <c r="P578" s="99">
        <f>IFERROR(VLOOKUP(B578,'Pre-Summary'!$BS$6:$BU$35,3,FALSE),P577)</f>
        <v>0.25</v>
      </c>
      <c r="Q578" s="54">
        <f t="shared" si="24"/>
        <v>4.3660992128866924</v>
      </c>
      <c r="R578" s="53">
        <f>IFERROR(VLOOKUP(B578,'Pre-Summary'!$BG$6:$BM$44,7,FALSE),R579)</f>
        <v>7.5915763918363535E-2</v>
      </c>
      <c r="S578" s="53">
        <f>IFERROR(VLOOKUP(B578,'Pre-Summary'!$BG$6:$BM$44,6,FALSE),S579)</f>
        <v>5.2897473997019086E-2</v>
      </c>
      <c r="T578" s="45" t="str">
        <f>IFERROR(VLOOKUP(B578,'Pre-Summary'!$Y$6:$AC$83, 3,FALSE),"")</f>
        <v/>
      </c>
      <c r="U578" s="45" t="str">
        <f>IFERROR(VLOOKUP(B578,'Pre-Summary'!$Y$6:$AC$83, 4,FALSE),"")</f>
        <v/>
      </c>
      <c r="V578" t="str">
        <f>IFERROR(VLOOKUP(B578,'Pre-Summary'!$Y$6:$AC$83, 5,FALSE),"")</f>
        <v/>
      </c>
      <c r="W578" s="45" t="str">
        <f>IFERROR(VLOOKUP(B578,'Pre-Summary'!$Y$6:$AD$83,6,FALSE),"")</f>
        <v/>
      </c>
      <c r="X578" t="str">
        <f>IFERROR(VLOOKUP('Pre-Summary'!$DB$6:$DD$63,3,FALSE),"")</f>
        <v/>
      </c>
      <c r="Y578" t="str">
        <f>IFERROR(VLOOKUP(B578,'Pre-Summary'!$CR$6:$CT$36,3,FALSE),"")</f>
        <v/>
      </c>
      <c r="Z578" s="45" t="str">
        <f>IFERROR(VLOOKUP(B578,'Pre-Summary'!$BZ$6:$CB$63,2,FALSE),"")</f>
        <v/>
      </c>
      <c r="AA578" s="45" t="str">
        <f>IFERROR(VLOOKUP(B578,'Pre-Summary'!$CG$6:$CI$70,2,FALSE),"")</f>
        <v/>
      </c>
      <c r="AB578" s="99">
        <f>IFERROR(VLOOKUP(B578,'Pre-Summary'!$A$6:$P$178,9,FALSE),AB579)</f>
        <v>0.87858471235308822</v>
      </c>
      <c r="AC578" s="10">
        <f>IFERROR(VLOOKUP(Summary!B578,'Pre-Summary'!$A$6:$P$184,5, FALSE)/100,AC579)</f>
        <v>0.67272566666666667</v>
      </c>
      <c r="AD578" s="10">
        <f>IFERROR(VLOOKUP(Summary!B578,'Pre-Summary'!$A$6:$P$184,3, FALSE)/100,AD579)</f>
        <v>8.9092333333333329E-2</v>
      </c>
      <c r="AE578" s="10">
        <f>IFERROR(VLOOKUP(Summary!B578,'Pre-Summary'!$A$6:$P$184,7, FALSE)/100,AE579)</f>
        <v>0.23818233333333336</v>
      </c>
      <c r="AF578" s="99">
        <f t="shared" si="25"/>
        <v>7.827516205453211E-2</v>
      </c>
      <c r="AG578" s="99">
        <f t="shared" si="26"/>
        <v>0.20926335681925406</v>
      </c>
      <c r="AH578" s="10" t="str">
        <f>IFERROR(VLOOKUP(B578,'Pre-Summary'!$AZ$6:$BE$65,3,FALSE),"")</f>
        <v/>
      </c>
      <c r="AI578" s="10" t="str">
        <f>IFERROR(VLOOKUP(B578,'Pre-Summary'!$AZ$6:$BE$65,5,FALSE),"")</f>
        <v/>
      </c>
      <c r="AJ578" s="10" t="str">
        <f>IFERROR(VLOOKUP(B578,'Pre-Summary'!$AZ$6:$BE$65,4,FALSE),"")</f>
        <v/>
      </c>
      <c r="AK578" s="10" t="str">
        <f>IFERROR(VLOOKUP(B578,'Pre-Summary'!$AZ$6:$BE$65,6,FALSE),"")</f>
        <v/>
      </c>
      <c r="AL578" s="10" t="str">
        <f>IFERROR(VLOOKUP(B578,'Pre-Summary'!$BG$6:$BL$44,3,FALSE),"")</f>
        <v/>
      </c>
      <c r="AM578" s="10" t="str">
        <f>IFERROR(VLOOKUP(B578,'Pre-Summary'!$BG$6:$BL$44,4,FALSE),"")</f>
        <v/>
      </c>
    </row>
    <row r="579" spans="2:39" ht="15" customHeight="1" x14ac:dyDescent="0.3">
      <c r="B579">
        <v>57.6</v>
      </c>
      <c r="C579" t="str">
        <f>IFERROR(VLOOKUP(B579,'Pre-Summary'!$DI$6:$DM$23,4,FALSE),"")</f>
        <v/>
      </c>
      <c r="D579" s="10" t="str">
        <f>IFERROR(VLOOKUP(B579,'Pre-Summary'!$AT$6:$AX$14,5,FALSE),D578)</f>
        <v>DSMZ v2: Dropped Na-Ac out of DSMZ 120 media</v>
      </c>
      <c r="E579" s="10" t="str">
        <f>IFERROR(VLOOKUP(B579,'Pre-Summary'!$AT$6:$AX$15,4,FALSE),"")</f>
        <v/>
      </c>
      <c r="F579">
        <f>IFERROR(VLOOKUP(B579,'Pre-Summary'!$AL$6:$AQ$13,6,FALSE),F578)</f>
        <v>5.9405263157894746E-2</v>
      </c>
      <c r="G579" t="str">
        <f>IFERROR(VLOOKUP(B579,'Pre-Summary'!$AE$6:$AJ$85,3,FALSE),"")</f>
        <v/>
      </c>
      <c r="H579" t="str">
        <f>IFERROR(VLOOKUP(B579,'Pre-Summary'!$AE$6:$AJ$85,4,FALSE),"")</f>
        <v/>
      </c>
      <c r="I579" t="str">
        <f>IFERROR(VLOOKUP(B579,'Pre-Summary'!$AE$6:$AJ$85,5,FALSE),"")</f>
        <v/>
      </c>
      <c r="J579" s="45" t="str">
        <f>IFERROR(VLOOKUP(B579,'Pre-Summary'!$AE$6:$AJ$85,6, FALSE),"")</f>
        <v/>
      </c>
      <c r="K579" s="45" t="str">
        <f>IFERROR(VLOOKUP(B579,'Pre-Summary'!$DE$6:$DG$61,3,FALSE),"")</f>
        <v/>
      </c>
      <c r="L579" s="45" t="str">
        <f>IFERROR(VLOOKUP(B579,'Pre-Summary'!$CU$6:$CW$36,3,FALSE),"")</f>
        <v/>
      </c>
      <c r="M579" s="45" t="str">
        <f>IFERROR(VLOOKUP(B579,'Pre-Summary'!$BW$6:$BY$58,2,FALSE),"")</f>
        <v/>
      </c>
      <c r="N579" s="45" t="str">
        <f>IFERROR(VLOOKUP(B579,'Pre-Summary'!$CD$6:$CF$64,2,FALSE),"")</f>
        <v/>
      </c>
      <c r="O579" s="99">
        <f>IFERROR(VLOOKUP(B579,'Pre-Summary'!$BO$6:$BQ$48,3, FALSE),O578)</f>
        <v>1.0915248032216731</v>
      </c>
      <c r="P579" s="99">
        <f>IFERROR(VLOOKUP(B579,'Pre-Summary'!$BS$6:$BU$35,3,FALSE),P578)</f>
        <v>0.25</v>
      </c>
      <c r="Q579" s="54">
        <f t="shared" ref="Q579:Q642" si="27">O579/P579</f>
        <v>4.3660992128866924</v>
      </c>
      <c r="R579" s="53">
        <f>IFERROR(VLOOKUP(B579,'Pre-Summary'!$BG$6:$BM$44,7,FALSE),R580)</f>
        <v>7.5915763918363535E-2</v>
      </c>
      <c r="S579" s="53">
        <f>IFERROR(VLOOKUP(B579,'Pre-Summary'!$BG$6:$BM$44,6,FALSE),S580)</f>
        <v>5.2897473997019086E-2</v>
      </c>
      <c r="T579" s="45" t="str">
        <f>IFERROR(VLOOKUP(B579,'Pre-Summary'!$Y$6:$AC$83, 3,FALSE),"")</f>
        <v/>
      </c>
      <c r="U579" s="45" t="str">
        <f>IFERROR(VLOOKUP(B579,'Pre-Summary'!$Y$6:$AC$83, 4,FALSE),"")</f>
        <v/>
      </c>
      <c r="V579" t="str">
        <f>IFERROR(VLOOKUP(B579,'Pre-Summary'!$Y$6:$AC$83, 5,FALSE),"")</f>
        <v/>
      </c>
      <c r="W579" s="45" t="str">
        <f>IFERROR(VLOOKUP(B579,'Pre-Summary'!$Y$6:$AD$83,6,FALSE),"")</f>
        <v/>
      </c>
      <c r="X579" t="str">
        <f>IFERROR(VLOOKUP('Pre-Summary'!$DB$6:$DD$63,3,FALSE),"")</f>
        <v/>
      </c>
      <c r="Y579" t="str">
        <f>IFERROR(VLOOKUP(B579,'Pre-Summary'!$CR$6:$CT$36,3,FALSE),"")</f>
        <v/>
      </c>
      <c r="Z579" s="45" t="str">
        <f>IFERROR(VLOOKUP(B579,'Pre-Summary'!$BZ$6:$CB$63,2,FALSE),"")</f>
        <v/>
      </c>
      <c r="AA579" s="45" t="str">
        <f>IFERROR(VLOOKUP(B579,'Pre-Summary'!$CG$6:$CI$70,2,FALSE),"")</f>
        <v/>
      </c>
      <c r="AB579" s="99">
        <f>IFERROR(VLOOKUP(B579,'Pre-Summary'!$A$6:$P$178,9,FALSE),AB580)</f>
        <v>0.87858471235308822</v>
      </c>
      <c r="AC579" s="10">
        <f>IFERROR(VLOOKUP(Summary!B579,'Pre-Summary'!$A$6:$P$184,5, FALSE)/100,AC580)</f>
        <v>0.67272566666666667</v>
      </c>
      <c r="AD579" s="10">
        <f>IFERROR(VLOOKUP(Summary!B579,'Pre-Summary'!$A$6:$P$184,3, FALSE)/100,AD580)</f>
        <v>8.9092333333333329E-2</v>
      </c>
      <c r="AE579" s="10">
        <f>IFERROR(VLOOKUP(Summary!B579,'Pre-Summary'!$A$6:$P$184,7, FALSE)/100,AE580)</f>
        <v>0.23818233333333336</v>
      </c>
      <c r="AF579" s="99">
        <f t="shared" ref="AF579:AF642" si="28">AD579*AB579</f>
        <v>7.827516205453211E-2</v>
      </c>
      <c r="AG579" s="99">
        <f t="shared" ref="AG579:AG642" si="29">AB579*AE579</f>
        <v>0.20926335681925406</v>
      </c>
      <c r="AH579" s="10" t="str">
        <f>IFERROR(VLOOKUP(B579,'Pre-Summary'!$AZ$6:$BE$65,3,FALSE),"")</f>
        <v/>
      </c>
      <c r="AI579" s="10" t="str">
        <f>IFERROR(VLOOKUP(B579,'Pre-Summary'!$AZ$6:$BE$65,5,FALSE),"")</f>
        <v/>
      </c>
      <c r="AJ579" s="10" t="str">
        <f>IFERROR(VLOOKUP(B579,'Pre-Summary'!$AZ$6:$BE$65,4,FALSE),"")</f>
        <v/>
      </c>
      <c r="AK579" s="10" t="str">
        <f>IFERROR(VLOOKUP(B579,'Pre-Summary'!$AZ$6:$BE$65,6,FALSE),"")</f>
        <v/>
      </c>
      <c r="AL579" s="10" t="str">
        <f>IFERROR(VLOOKUP(B579,'Pre-Summary'!$BG$6:$BL$44,3,FALSE),"")</f>
        <v/>
      </c>
      <c r="AM579" s="10" t="str">
        <f>IFERROR(VLOOKUP(B579,'Pre-Summary'!$BG$6:$BL$44,4,FALSE),"")</f>
        <v/>
      </c>
    </row>
    <row r="580" spans="2:39" ht="15" customHeight="1" x14ac:dyDescent="0.3">
      <c r="B580">
        <v>57.7</v>
      </c>
      <c r="C580" t="str">
        <f>IFERROR(VLOOKUP(B580,'Pre-Summary'!$DI$6:$DM$23,4,FALSE),"")</f>
        <v/>
      </c>
      <c r="D580" s="10" t="str">
        <f>IFERROR(VLOOKUP(B580,'Pre-Summary'!$AT$6:$AX$14,5,FALSE),D579)</f>
        <v>DSMZ v2: Dropped Na-Ac out of DSMZ 120 media</v>
      </c>
      <c r="E580" s="10" t="str">
        <f>IFERROR(VLOOKUP(B580,'Pre-Summary'!$AT$6:$AX$15,4,FALSE),"")</f>
        <v/>
      </c>
      <c r="F580">
        <f>IFERROR(VLOOKUP(B580,'Pre-Summary'!$AL$6:$AQ$13,6,FALSE),F579)</f>
        <v>5.9405263157894746E-2</v>
      </c>
      <c r="G580" t="str">
        <f>IFERROR(VLOOKUP(B580,'Pre-Summary'!$AE$6:$AJ$85,3,FALSE),"")</f>
        <v/>
      </c>
      <c r="H580" t="str">
        <f>IFERROR(VLOOKUP(B580,'Pre-Summary'!$AE$6:$AJ$85,4,FALSE),"")</f>
        <v/>
      </c>
      <c r="I580" t="str">
        <f>IFERROR(VLOOKUP(B580,'Pre-Summary'!$AE$6:$AJ$85,5,FALSE),"")</f>
        <v/>
      </c>
      <c r="J580" s="45" t="str">
        <f>IFERROR(VLOOKUP(B580,'Pre-Summary'!$AE$6:$AJ$85,6, FALSE),"")</f>
        <v/>
      </c>
      <c r="K580" s="45" t="str">
        <f>IFERROR(VLOOKUP(B580,'Pre-Summary'!$DE$6:$DG$61,3,FALSE),"")</f>
        <v/>
      </c>
      <c r="L580" s="45" t="str">
        <f>IFERROR(VLOOKUP(B580,'Pre-Summary'!$CU$6:$CW$36,3,FALSE),"")</f>
        <v/>
      </c>
      <c r="M580" s="45" t="str">
        <f>IFERROR(VLOOKUP(B580,'Pre-Summary'!$BW$6:$BY$58,2,FALSE),"")</f>
        <v/>
      </c>
      <c r="N580" s="45" t="str">
        <f>IFERROR(VLOOKUP(B580,'Pre-Summary'!$CD$6:$CF$64,2,FALSE),"")</f>
        <v/>
      </c>
      <c r="O580" s="99">
        <f>IFERROR(VLOOKUP(B580,'Pre-Summary'!$BO$6:$BQ$48,3, FALSE),O579)</f>
        <v>1.0915248032216731</v>
      </c>
      <c r="P580" s="99">
        <f>IFERROR(VLOOKUP(B580,'Pre-Summary'!$BS$6:$BU$35,3,FALSE),P579)</f>
        <v>0.25</v>
      </c>
      <c r="Q580" s="54">
        <f t="shared" si="27"/>
        <v>4.3660992128866924</v>
      </c>
      <c r="R580" s="53">
        <f>IFERROR(VLOOKUP(B580,'Pre-Summary'!$BG$6:$BM$44,7,FALSE),R581)</f>
        <v>7.5915763918363535E-2</v>
      </c>
      <c r="S580" s="53">
        <f>IFERROR(VLOOKUP(B580,'Pre-Summary'!$BG$6:$BM$44,6,FALSE),S581)</f>
        <v>5.2897473997019086E-2</v>
      </c>
      <c r="T580" s="45" t="str">
        <f>IFERROR(VLOOKUP(B580,'Pre-Summary'!$Y$6:$AC$83, 3,FALSE),"")</f>
        <v/>
      </c>
      <c r="U580" s="45" t="str">
        <f>IFERROR(VLOOKUP(B580,'Pre-Summary'!$Y$6:$AC$83, 4,FALSE),"")</f>
        <v/>
      </c>
      <c r="V580" t="str">
        <f>IFERROR(VLOOKUP(B580,'Pre-Summary'!$Y$6:$AC$83, 5,FALSE),"")</f>
        <v/>
      </c>
      <c r="W580" s="45" t="str">
        <f>IFERROR(VLOOKUP(B580,'Pre-Summary'!$Y$6:$AD$83,6,FALSE),"")</f>
        <v/>
      </c>
      <c r="X580" t="str">
        <f>IFERROR(VLOOKUP('Pre-Summary'!$DB$6:$DD$63,3,FALSE),"")</f>
        <v/>
      </c>
      <c r="Y580" t="str">
        <f>IFERROR(VLOOKUP(B580,'Pre-Summary'!$CR$6:$CT$36,3,FALSE),"")</f>
        <v/>
      </c>
      <c r="Z580" s="45" t="str">
        <f>IFERROR(VLOOKUP(B580,'Pre-Summary'!$BZ$6:$CB$63,2,FALSE),"")</f>
        <v/>
      </c>
      <c r="AA580" s="45" t="str">
        <f>IFERROR(VLOOKUP(B580,'Pre-Summary'!$CG$6:$CI$70,2,FALSE),"")</f>
        <v/>
      </c>
      <c r="AB580" s="99">
        <f>IFERROR(VLOOKUP(B580,'Pre-Summary'!$A$6:$P$178,9,FALSE),AB581)</f>
        <v>0.87858471235308822</v>
      </c>
      <c r="AC580" s="10">
        <f>IFERROR(VLOOKUP(Summary!B580,'Pre-Summary'!$A$6:$P$184,5, FALSE)/100,AC581)</f>
        <v>0.67272566666666667</v>
      </c>
      <c r="AD580" s="10">
        <f>IFERROR(VLOOKUP(Summary!B580,'Pre-Summary'!$A$6:$P$184,3, FALSE)/100,AD581)</f>
        <v>8.9092333333333329E-2</v>
      </c>
      <c r="AE580" s="10">
        <f>IFERROR(VLOOKUP(Summary!B580,'Pre-Summary'!$A$6:$P$184,7, FALSE)/100,AE581)</f>
        <v>0.23818233333333336</v>
      </c>
      <c r="AF580" s="99">
        <f t="shared" si="28"/>
        <v>7.827516205453211E-2</v>
      </c>
      <c r="AG580" s="99">
        <f t="shared" si="29"/>
        <v>0.20926335681925406</v>
      </c>
      <c r="AH580" s="10" t="str">
        <f>IFERROR(VLOOKUP(B580,'Pre-Summary'!$AZ$6:$BE$65,3,FALSE),"")</f>
        <v/>
      </c>
      <c r="AI580" s="10" t="str">
        <f>IFERROR(VLOOKUP(B580,'Pre-Summary'!$AZ$6:$BE$65,5,FALSE),"")</f>
        <v/>
      </c>
      <c r="AJ580" s="10" t="str">
        <f>IFERROR(VLOOKUP(B580,'Pre-Summary'!$AZ$6:$BE$65,4,FALSE),"")</f>
        <v/>
      </c>
      <c r="AK580" s="10" t="str">
        <f>IFERROR(VLOOKUP(B580,'Pre-Summary'!$AZ$6:$BE$65,6,FALSE),"")</f>
        <v/>
      </c>
      <c r="AL580" s="10" t="str">
        <f>IFERROR(VLOOKUP(B580,'Pre-Summary'!$BG$6:$BL$44,3,FALSE),"")</f>
        <v/>
      </c>
      <c r="AM580" s="10" t="str">
        <f>IFERROR(VLOOKUP(B580,'Pre-Summary'!$BG$6:$BL$44,4,FALSE),"")</f>
        <v/>
      </c>
    </row>
    <row r="581" spans="2:39" ht="15" customHeight="1" x14ac:dyDescent="0.3">
      <c r="B581">
        <v>57.8</v>
      </c>
      <c r="C581" t="str">
        <f>IFERROR(VLOOKUP(B581,'Pre-Summary'!$DI$6:$DM$23,4,FALSE),"")</f>
        <v/>
      </c>
      <c r="D581" s="10" t="str">
        <f>IFERROR(VLOOKUP(B581,'Pre-Summary'!$AT$6:$AX$14,5,FALSE),D580)</f>
        <v>DSMZ v2: Dropped Na-Ac out of DSMZ 120 media</v>
      </c>
      <c r="E581" s="10" t="str">
        <f>IFERROR(VLOOKUP(B581,'Pre-Summary'!$AT$6:$AX$15,4,FALSE),"")</f>
        <v/>
      </c>
      <c r="F581">
        <f>IFERROR(VLOOKUP(B581,'Pre-Summary'!$AL$6:$AQ$13,6,FALSE),F580)</f>
        <v>5.9405263157894746E-2</v>
      </c>
      <c r="G581" t="str">
        <f>IFERROR(VLOOKUP(B581,'Pre-Summary'!$AE$6:$AJ$85,3,FALSE),"")</f>
        <v/>
      </c>
      <c r="H581" t="str">
        <f>IFERROR(VLOOKUP(B581,'Pre-Summary'!$AE$6:$AJ$85,4,FALSE),"")</f>
        <v/>
      </c>
      <c r="I581" t="str">
        <f>IFERROR(VLOOKUP(B581,'Pre-Summary'!$AE$6:$AJ$85,5,FALSE),"")</f>
        <v/>
      </c>
      <c r="J581" s="45" t="str">
        <f>IFERROR(VLOOKUP(B581,'Pre-Summary'!$AE$6:$AJ$85,6, FALSE),"")</f>
        <v/>
      </c>
      <c r="K581" s="45" t="str">
        <f>IFERROR(VLOOKUP(B581,'Pre-Summary'!$DE$6:$DG$61,3,FALSE),"")</f>
        <v/>
      </c>
      <c r="L581" s="45" t="str">
        <f>IFERROR(VLOOKUP(B581,'Pre-Summary'!$CU$6:$CW$36,3,FALSE),"")</f>
        <v/>
      </c>
      <c r="M581" s="45" t="str">
        <f>IFERROR(VLOOKUP(B581,'Pre-Summary'!$BW$6:$BY$58,2,FALSE),"")</f>
        <v/>
      </c>
      <c r="N581" s="45" t="str">
        <f>IFERROR(VLOOKUP(B581,'Pre-Summary'!$CD$6:$CF$64,2,FALSE),"")</f>
        <v/>
      </c>
      <c r="O581" s="99">
        <f>IFERROR(VLOOKUP(B581,'Pre-Summary'!$BO$6:$BQ$48,3, FALSE),O580)</f>
        <v>1.0915248032216731</v>
      </c>
      <c r="P581" s="99">
        <f>IFERROR(VLOOKUP(B581,'Pre-Summary'!$BS$6:$BU$35,3,FALSE),P580)</f>
        <v>0.25</v>
      </c>
      <c r="Q581" s="54">
        <f t="shared" si="27"/>
        <v>4.3660992128866924</v>
      </c>
      <c r="R581" s="53">
        <f>IFERROR(VLOOKUP(B581,'Pre-Summary'!$BG$6:$BM$44,7,FALSE),R582)</f>
        <v>7.5915763918363535E-2</v>
      </c>
      <c r="S581" s="53">
        <f>IFERROR(VLOOKUP(B581,'Pre-Summary'!$BG$6:$BM$44,6,FALSE),S582)</f>
        <v>5.2897473997019086E-2</v>
      </c>
      <c r="T581" s="45" t="str">
        <f>IFERROR(VLOOKUP(B581,'Pre-Summary'!$Y$6:$AC$83, 3,FALSE),"")</f>
        <v/>
      </c>
      <c r="U581" s="45" t="str">
        <f>IFERROR(VLOOKUP(B581,'Pre-Summary'!$Y$6:$AC$83, 4,FALSE),"")</f>
        <v/>
      </c>
      <c r="V581" t="str">
        <f>IFERROR(VLOOKUP(B581,'Pre-Summary'!$Y$6:$AC$83, 5,FALSE),"")</f>
        <v/>
      </c>
      <c r="W581" s="45" t="str">
        <f>IFERROR(VLOOKUP(B581,'Pre-Summary'!$Y$6:$AD$83,6,FALSE),"")</f>
        <v/>
      </c>
      <c r="X581" t="str">
        <f>IFERROR(VLOOKUP('Pre-Summary'!$DB$6:$DD$63,3,FALSE),"")</f>
        <v/>
      </c>
      <c r="Y581" t="str">
        <f>IFERROR(VLOOKUP(B581,'Pre-Summary'!$CR$6:$CT$36,3,FALSE),"")</f>
        <v/>
      </c>
      <c r="Z581" s="45" t="str">
        <f>IFERROR(VLOOKUP(B581,'Pre-Summary'!$BZ$6:$CB$63,2,FALSE),"")</f>
        <v/>
      </c>
      <c r="AA581" s="45" t="str">
        <f>IFERROR(VLOOKUP(B581,'Pre-Summary'!$CG$6:$CI$70,2,FALSE),"")</f>
        <v/>
      </c>
      <c r="AB581" s="99">
        <f>IFERROR(VLOOKUP(B581,'Pre-Summary'!$A$6:$P$178,9,FALSE),AB582)</f>
        <v>0.87858471235308822</v>
      </c>
      <c r="AC581" s="10">
        <f>IFERROR(VLOOKUP(Summary!B581,'Pre-Summary'!$A$6:$P$184,5, FALSE)/100,AC582)</f>
        <v>0.67272566666666667</v>
      </c>
      <c r="AD581" s="10">
        <f>IFERROR(VLOOKUP(Summary!B581,'Pre-Summary'!$A$6:$P$184,3, FALSE)/100,AD582)</f>
        <v>8.9092333333333329E-2</v>
      </c>
      <c r="AE581" s="10">
        <f>IFERROR(VLOOKUP(Summary!B581,'Pre-Summary'!$A$6:$P$184,7, FALSE)/100,AE582)</f>
        <v>0.23818233333333336</v>
      </c>
      <c r="AF581" s="99">
        <f t="shared" si="28"/>
        <v>7.827516205453211E-2</v>
      </c>
      <c r="AG581" s="99">
        <f t="shared" si="29"/>
        <v>0.20926335681925406</v>
      </c>
      <c r="AH581" s="10" t="str">
        <f>IFERROR(VLOOKUP(B581,'Pre-Summary'!$AZ$6:$BE$65,3,FALSE),"")</f>
        <v/>
      </c>
      <c r="AI581" s="10" t="str">
        <f>IFERROR(VLOOKUP(B581,'Pre-Summary'!$AZ$6:$BE$65,5,FALSE),"")</f>
        <v/>
      </c>
      <c r="AJ581" s="10" t="str">
        <f>IFERROR(VLOOKUP(B581,'Pre-Summary'!$AZ$6:$BE$65,4,FALSE),"")</f>
        <v/>
      </c>
      <c r="AK581" s="10" t="str">
        <f>IFERROR(VLOOKUP(B581,'Pre-Summary'!$AZ$6:$BE$65,6,FALSE),"")</f>
        <v/>
      </c>
      <c r="AL581" s="10" t="str">
        <f>IFERROR(VLOOKUP(B581,'Pre-Summary'!$BG$6:$BL$44,3,FALSE),"")</f>
        <v/>
      </c>
      <c r="AM581" s="10" t="str">
        <f>IFERROR(VLOOKUP(B581,'Pre-Summary'!$BG$6:$BL$44,4,FALSE),"")</f>
        <v/>
      </c>
    </row>
    <row r="582" spans="2:39" ht="15" customHeight="1" x14ac:dyDescent="0.3">
      <c r="B582">
        <v>57.9</v>
      </c>
      <c r="C582" t="str">
        <f>IFERROR(VLOOKUP(B582,'Pre-Summary'!$DI$6:$DM$23,4,FALSE),"")</f>
        <v/>
      </c>
      <c r="D582" s="10" t="str">
        <f>IFERROR(VLOOKUP(B582,'Pre-Summary'!$AT$6:$AX$14,5,FALSE),D581)</f>
        <v>DSMZ v2: Dropped Na-Ac out of DSMZ 120 media</v>
      </c>
      <c r="E582" s="10" t="str">
        <f>IFERROR(VLOOKUP(B582,'Pre-Summary'!$AT$6:$AX$15,4,FALSE),"")</f>
        <v/>
      </c>
      <c r="F582">
        <f>IFERROR(VLOOKUP(B582,'Pre-Summary'!$AL$6:$AQ$13,6,FALSE),F581)</f>
        <v>5.9405263157894746E-2</v>
      </c>
      <c r="G582" t="str">
        <f>IFERROR(VLOOKUP(B582,'Pre-Summary'!$AE$6:$AJ$85,3,FALSE),"")</f>
        <v/>
      </c>
      <c r="H582" t="str">
        <f>IFERROR(VLOOKUP(B582,'Pre-Summary'!$AE$6:$AJ$85,4,FALSE),"")</f>
        <v/>
      </c>
      <c r="I582" t="str">
        <f>IFERROR(VLOOKUP(B582,'Pre-Summary'!$AE$6:$AJ$85,5,FALSE),"")</f>
        <v/>
      </c>
      <c r="J582" s="45" t="str">
        <f>IFERROR(VLOOKUP(B582,'Pre-Summary'!$AE$6:$AJ$85,6, FALSE),"")</f>
        <v/>
      </c>
      <c r="K582" s="45" t="str">
        <f>IFERROR(VLOOKUP(B582,'Pre-Summary'!$DE$6:$DG$61,3,FALSE),"")</f>
        <v/>
      </c>
      <c r="L582" s="45" t="str">
        <f>IFERROR(VLOOKUP(B582,'Pre-Summary'!$CU$6:$CW$36,3,FALSE),"")</f>
        <v/>
      </c>
      <c r="M582" s="45" t="str">
        <f>IFERROR(VLOOKUP(B582,'Pre-Summary'!$BW$6:$BY$58,2,FALSE),"")</f>
        <v/>
      </c>
      <c r="N582" s="45" t="str">
        <f>IFERROR(VLOOKUP(B582,'Pre-Summary'!$CD$6:$CF$64,2,FALSE),"")</f>
        <v/>
      </c>
      <c r="O582" s="99">
        <f>IFERROR(VLOOKUP(B582,'Pre-Summary'!$BO$6:$BQ$48,3, FALSE),O581)</f>
        <v>1.0915248032216731</v>
      </c>
      <c r="P582" s="99">
        <f>IFERROR(VLOOKUP(B582,'Pre-Summary'!$BS$6:$BU$35,3,FALSE),P581)</f>
        <v>0.25</v>
      </c>
      <c r="Q582" s="54">
        <f t="shared" si="27"/>
        <v>4.3660992128866924</v>
      </c>
      <c r="R582" s="53">
        <f>IFERROR(VLOOKUP(B582,'Pre-Summary'!$BG$6:$BM$44,7,FALSE),R583)</f>
        <v>7.5915763918363535E-2</v>
      </c>
      <c r="S582" s="53">
        <f>IFERROR(VLOOKUP(B582,'Pre-Summary'!$BG$6:$BM$44,6,FALSE),S583)</f>
        <v>5.2897473997019086E-2</v>
      </c>
      <c r="T582" s="45" t="str">
        <f>IFERROR(VLOOKUP(B582,'Pre-Summary'!$Y$6:$AC$83, 3,FALSE),"")</f>
        <v/>
      </c>
      <c r="U582" s="45" t="str">
        <f>IFERROR(VLOOKUP(B582,'Pre-Summary'!$Y$6:$AC$83, 4,FALSE),"")</f>
        <v/>
      </c>
      <c r="V582" t="str">
        <f>IFERROR(VLOOKUP(B582,'Pre-Summary'!$Y$6:$AC$83, 5,FALSE),"")</f>
        <v/>
      </c>
      <c r="W582" s="45" t="str">
        <f>IFERROR(VLOOKUP(B582,'Pre-Summary'!$Y$6:$AD$83,6,FALSE),"")</f>
        <v/>
      </c>
      <c r="X582" t="str">
        <f>IFERROR(VLOOKUP('Pre-Summary'!$DB$6:$DD$63,3,FALSE),"")</f>
        <v/>
      </c>
      <c r="Y582" t="str">
        <f>IFERROR(VLOOKUP(B582,'Pre-Summary'!$CR$6:$CT$36,3,FALSE),"")</f>
        <v/>
      </c>
      <c r="Z582" s="45" t="str">
        <f>IFERROR(VLOOKUP(B582,'Pre-Summary'!$BZ$6:$CB$63,2,FALSE),"")</f>
        <v/>
      </c>
      <c r="AA582" s="45" t="str">
        <f>IFERROR(VLOOKUP(B582,'Pre-Summary'!$CG$6:$CI$70,2,FALSE),"")</f>
        <v/>
      </c>
      <c r="AB582" s="99">
        <f>IFERROR(VLOOKUP(B582,'Pre-Summary'!$A$6:$P$178,9,FALSE),AB583)</f>
        <v>0.87858471235308822</v>
      </c>
      <c r="AC582" s="10">
        <f>IFERROR(VLOOKUP(Summary!B582,'Pre-Summary'!$A$6:$P$184,5, FALSE)/100,AC583)</f>
        <v>0.67272566666666667</v>
      </c>
      <c r="AD582" s="10">
        <f>IFERROR(VLOOKUP(Summary!B582,'Pre-Summary'!$A$6:$P$184,3, FALSE)/100,AD583)</f>
        <v>8.9092333333333329E-2</v>
      </c>
      <c r="AE582" s="10">
        <f>IFERROR(VLOOKUP(Summary!B582,'Pre-Summary'!$A$6:$P$184,7, FALSE)/100,AE583)</f>
        <v>0.23818233333333336</v>
      </c>
      <c r="AF582" s="99">
        <f t="shared" si="28"/>
        <v>7.827516205453211E-2</v>
      </c>
      <c r="AG582" s="99">
        <f t="shared" si="29"/>
        <v>0.20926335681925406</v>
      </c>
      <c r="AH582" s="10" t="str">
        <f>IFERROR(VLOOKUP(B582,'Pre-Summary'!$AZ$6:$BE$65,3,FALSE),"")</f>
        <v/>
      </c>
      <c r="AI582" s="10" t="str">
        <f>IFERROR(VLOOKUP(B582,'Pre-Summary'!$AZ$6:$BE$65,5,FALSE),"")</f>
        <v/>
      </c>
      <c r="AJ582" s="10" t="str">
        <f>IFERROR(VLOOKUP(B582,'Pre-Summary'!$AZ$6:$BE$65,4,FALSE),"")</f>
        <v/>
      </c>
      <c r="AK582" s="10" t="str">
        <f>IFERROR(VLOOKUP(B582,'Pre-Summary'!$AZ$6:$BE$65,6,FALSE),"")</f>
        <v/>
      </c>
      <c r="AL582" s="10" t="str">
        <f>IFERROR(VLOOKUP(B582,'Pre-Summary'!$BG$6:$BL$44,3,FALSE),"")</f>
        <v/>
      </c>
      <c r="AM582" s="10" t="str">
        <f>IFERROR(VLOOKUP(B582,'Pre-Summary'!$BG$6:$BL$44,4,FALSE),"")</f>
        <v/>
      </c>
    </row>
    <row r="583" spans="2:39" ht="15" customHeight="1" x14ac:dyDescent="0.3">
      <c r="B583">
        <v>58</v>
      </c>
      <c r="C583" t="str">
        <f>IFERROR(VLOOKUP(B583,'Pre-Summary'!$DI$6:$DM$23,4,FALSE),"")</f>
        <v/>
      </c>
      <c r="D583" s="10" t="str">
        <f>IFERROR(VLOOKUP(B583,'Pre-Summary'!$AT$6:$AX$14,5,FALSE),D582)</f>
        <v>DSMZ v2: Dropped Na-Ac out of DSMZ 120 media</v>
      </c>
      <c r="E583" s="10" t="str">
        <f>IFERROR(VLOOKUP(B583,'Pre-Summary'!$AT$6:$AX$15,4,FALSE),"")</f>
        <v/>
      </c>
      <c r="F583">
        <f>IFERROR(VLOOKUP(B583,'Pre-Summary'!$AL$6:$AQ$13,6,FALSE),F582)</f>
        <v>5.9405263157894746E-2</v>
      </c>
      <c r="G583" t="str">
        <f>IFERROR(VLOOKUP(B583,'Pre-Summary'!$AE$6:$AJ$85,3,FALSE),"")</f>
        <v/>
      </c>
      <c r="H583" t="str">
        <f>IFERROR(VLOOKUP(B583,'Pre-Summary'!$AE$6:$AJ$85,4,FALSE),"")</f>
        <v/>
      </c>
      <c r="I583" t="str">
        <f>IFERROR(VLOOKUP(B583,'Pre-Summary'!$AE$6:$AJ$85,5,FALSE),"")</f>
        <v/>
      </c>
      <c r="J583" s="45" t="str">
        <f>IFERROR(VLOOKUP(B583,'Pre-Summary'!$AE$6:$AJ$85,6, FALSE),"")</f>
        <v/>
      </c>
      <c r="K583" s="45" t="str">
        <f>IFERROR(VLOOKUP(B583,'Pre-Summary'!$DE$6:$DG$61,3,FALSE),"")</f>
        <v/>
      </c>
      <c r="L583" s="45" t="str">
        <f>IFERROR(VLOOKUP(B583,'Pre-Summary'!$CU$6:$CW$36,3,FALSE),"")</f>
        <v/>
      </c>
      <c r="M583" s="45" t="str">
        <f>IFERROR(VLOOKUP(B583,'Pre-Summary'!$BW$6:$BY$58,2,FALSE),"")</f>
        <v/>
      </c>
      <c r="N583" s="45" t="str">
        <f>IFERROR(VLOOKUP(B583,'Pre-Summary'!$CD$6:$CF$64,2,FALSE),"")</f>
        <v/>
      </c>
      <c r="O583" s="99">
        <f>IFERROR(VLOOKUP(B583,'Pre-Summary'!$BO$6:$BQ$48,3, FALSE),O582)</f>
        <v>0.9</v>
      </c>
      <c r="P583" s="99">
        <f>IFERROR(VLOOKUP(B583,'Pre-Summary'!$BS$6:$BU$35,3,FALSE),P582)</f>
        <v>0.5</v>
      </c>
      <c r="Q583" s="54">
        <f t="shared" si="27"/>
        <v>1.8</v>
      </c>
      <c r="R583" s="53">
        <f>IFERROR(VLOOKUP(B583,'Pre-Summary'!$BG$6:$BM$44,7,FALSE),R584)</f>
        <v>7.5915763918363535E-2</v>
      </c>
      <c r="S583" s="53">
        <f>IFERROR(VLOOKUP(B583,'Pre-Summary'!$BG$6:$BM$44,6,FALSE),S584)</f>
        <v>5.2897473997019086E-2</v>
      </c>
      <c r="T583" s="45" t="str">
        <f>IFERROR(VLOOKUP(B583,'Pre-Summary'!$Y$6:$AC$83, 3,FALSE),"")</f>
        <v/>
      </c>
      <c r="U583" s="45" t="str">
        <f>IFERROR(VLOOKUP(B583,'Pre-Summary'!$Y$6:$AC$83, 4,FALSE),"")</f>
        <v/>
      </c>
      <c r="V583" t="str">
        <f>IFERROR(VLOOKUP(B583,'Pre-Summary'!$Y$6:$AC$83, 5,FALSE),"")</f>
        <v/>
      </c>
      <c r="W583" s="45" t="str">
        <f>IFERROR(VLOOKUP(B583,'Pre-Summary'!$Y$6:$AD$83,6,FALSE),"")</f>
        <v/>
      </c>
      <c r="X583" t="str">
        <f>IFERROR(VLOOKUP('Pre-Summary'!$DB$6:$DD$63,3,FALSE),"")</f>
        <v/>
      </c>
      <c r="Y583" t="str">
        <f>IFERROR(VLOOKUP(B583,'Pre-Summary'!$CR$6:$CT$36,3,FALSE),"")</f>
        <v/>
      </c>
      <c r="Z583" s="45" t="str">
        <f>IFERROR(VLOOKUP(B583,'Pre-Summary'!$BZ$6:$CB$63,2,FALSE),"")</f>
        <v/>
      </c>
      <c r="AA583" s="45" t="str">
        <f>IFERROR(VLOOKUP(B583,'Pre-Summary'!$CG$6:$CI$70,2,FALSE),"")</f>
        <v/>
      </c>
      <c r="AB583" s="99">
        <f>IFERROR(VLOOKUP(B583,'Pre-Summary'!$A$6:$P$178,9,FALSE),AB584)</f>
        <v>0.87858471235308822</v>
      </c>
      <c r="AC583" s="10">
        <f>IFERROR(VLOOKUP(Summary!B583,'Pre-Summary'!$A$6:$P$184,5, FALSE)/100,AC584)</f>
        <v>0.67272566666666667</v>
      </c>
      <c r="AD583" s="10">
        <f>IFERROR(VLOOKUP(Summary!B583,'Pre-Summary'!$A$6:$P$184,3, FALSE)/100,AD584)</f>
        <v>8.9092333333333329E-2</v>
      </c>
      <c r="AE583" s="10">
        <f>IFERROR(VLOOKUP(Summary!B583,'Pre-Summary'!$A$6:$P$184,7, FALSE)/100,AE584)</f>
        <v>0.23818233333333336</v>
      </c>
      <c r="AF583" s="99">
        <f t="shared" si="28"/>
        <v>7.827516205453211E-2</v>
      </c>
      <c r="AG583" s="99">
        <f t="shared" si="29"/>
        <v>0.20926335681925406</v>
      </c>
      <c r="AH583" s="10" t="str">
        <f>IFERROR(VLOOKUP(B583,'Pre-Summary'!$AZ$6:$BE$65,3,FALSE),"")</f>
        <v/>
      </c>
      <c r="AI583" s="10" t="str">
        <f>IFERROR(VLOOKUP(B583,'Pre-Summary'!$AZ$6:$BE$65,5,FALSE),"")</f>
        <v/>
      </c>
      <c r="AJ583" s="10" t="str">
        <f>IFERROR(VLOOKUP(B583,'Pre-Summary'!$AZ$6:$BE$65,4,FALSE),"")</f>
        <v/>
      </c>
      <c r="AK583" s="10" t="str">
        <f>IFERROR(VLOOKUP(B583,'Pre-Summary'!$AZ$6:$BE$65,6,FALSE),"")</f>
        <v/>
      </c>
      <c r="AL583" s="10" t="str">
        <f>IFERROR(VLOOKUP(B583,'Pre-Summary'!$BG$6:$BL$44,3,FALSE),"")</f>
        <v/>
      </c>
      <c r="AM583" s="10" t="str">
        <f>IFERROR(VLOOKUP(B583,'Pre-Summary'!$BG$6:$BL$44,4,FALSE),"")</f>
        <v/>
      </c>
    </row>
    <row r="584" spans="2:39" ht="15" customHeight="1" x14ac:dyDescent="0.3">
      <c r="B584">
        <v>58.1</v>
      </c>
      <c r="C584" t="str">
        <f>IFERROR(VLOOKUP(B584,'Pre-Summary'!$DI$6:$DM$23,4,FALSE),"")</f>
        <v/>
      </c>
      <c r="D584" s="10" t="str">
        <f>IFERROR(VLOOKUP(B584,'Pre-Summary'!$AT$6:$AX$14,5,FALSE),D583)</f>
        <v>DSMZ v2: Dropped Na-Ac out of DSMZ 120 media</v>
      </c>
      <c r="E584" s="10" t="str">
        <f>IFERROR(VLOOKUP(B584,'Pre-Summary'!$AT$6:$AX$15,4,FALSE),"")</f>
        <v/>
      </c>
      <c r="F584">
        <f>IFERROR(VLOOKUP(B584,'Pre-Summary'!$AL$6:$AQ$13,6,FALSE),F583)</f>
        <v>5.9405263157894746E-2</v>
      </c>
      <c r="G584" t="str">
        <f>IFERROR(VLOOKUP(B584,'Pre-Summary'!$AE$6:$AJ$85,3,FALSE),"")</f>
        <v/>
      </c>
      <c r="H584" t="str">
        <f>IFERROR(VLOOKUP(B584,'Pre-Summary'!$AE$6:$AJ$85,4,FALSE),"")</f>
        <v/>
      </c>
      <c r="I584" t="str">
        <f>IFERROR(VLOOKUP(B584,'Pre-Summary'!$AE$6:$AJ$85,5,FALSE),"")</f>
        <v/>
      </c>
      <c r="J584" s="45" t="str">
        <f>IFERROR(VLOOKUP(B584,'Pre-Summary'!$AE$6:$AJ$85,6, FALSE),"")</f>
        <v/>
      </c>
      <c r="K584" s="45" t="str">
        <f>IFERROR(VLOOKUP(B584,'Pre-Summary'!$DE$6:$DG$61,3,FALSE),"")</f>
        <v/>
      </c>
      <c r="L584" s="45" t="str">
        <f>IFERROR(VLOOKUP(B584,'Pre-Summary'!$CU$6:$CW$36,3,FALSE),"")</f>
        <v/>
      </c>
      <c r="M584" s="45" t="str">
        <f>IFERROR(VLOOKUP(B584,'Pre-Summary'!$BW$6:$BY$58,2,FALSE),"")</f>
        <v/>
      </c>
      <c r="N584" s="45" t="str">
        <f>IFERROR(VLOOKUP(B584,'Pre-Summary'!$CD$6:$CF$64,2,FALSE),"")</f>
        <v/>
      </c>
      <c r="O584" s="99">
        <f>IFERROR(VLOOKUP(B584,'Pre-Summary'!$BO$6:$BQ$48,3, FALSE),O583)</f>
        <v>0.9</v>
      </c>
      <c r="P584" s="99">
        <f>IFERROR(VLOOKUP(B584,'Pre-Summary'!$BS$6:$BU$35,3,FALSE),P583)</f>
        <v>0.5</v>
      </c>
      <c r="Q584" s="54">
        <f t="shared" si="27"/>
        <v>1.8</v>
      </c>
      <c r="R584" s="53">
        <f>IFERROR(VLOOKUP(B584,'Pre-Summary'!$BG$6:$BM$44,7,FALSE),R585)</f>
        <v>7.5915763918363535E-2</v>
      </c>
      <c r="S584" s="53">
        <f>IFERROR(VLOOKUP(B584,'Pre-Summary'!$BG$6:$BM$44,6,FALSE),S585)</f>
        <v>5.2897473997019086E-2</v>
      </c>
      <c r="T584" s="45" t="str">
        <f>IFERROR(VLOOKUP(B584,'Pre-Summary'!$Y$6:$AC$83, 3,FALSE),"")</f>
        <v/>
      </c>
      <c r="U584" s="45" t="str">
        <f>IFERROR(VLOOKUP(B584,'Pre-Summary'!$Y$6:$AC$83, 4,FALSE),"")</f>
        <v/>
      </c>
      <c r="V584" t="str">
        <f>IFERROR(VLOOKUP(B584,'Pre-Summary'!$Y$6:$AC$83, 5,FALSE),"")</f>
        <v/>
      </c>
      <c r="W584" s="45" t="str">
        <f>IFERROR(VLOOKUP(B584,'Pre-Summary'!$Y$6:$AD$83,6,FALSE),"")</f>
        <v/>
      </c>
      <c r="X584" t="str">
        <f>IFERROR(VLOOKUP('Pre-Summary'!$DB$6:$DD$63,3,FALSE),"")</f>
        <v/>
      </c>
      <c r="Y584" t="str">
        <f>IFERROR(VLOOKUP(B584,'Pre-Summary'!$CR$6:$CT$36,3,FALSE),"")</f>
        <v/>
      </c>
      <c r="Z584" s="45" t="str">
        <f>IFERROR(VLOOKUP(B584,'Pre-Summary'!$BZ$6:$CB$63,2,FALSE),"")</f>
        <v/>
      </c>
      <c r="AA584" s="45" t="str">
        <f>IFERROR(VLOOKUP(B584,'Pre-Summary'!$CG$6:$CI$70,2,FALSE),"")</f>
        <v/>
      </c>
      <c r="AB584" s="99">
        <f>IFERROR(VLOOKUP(B584,'Pre-Summary'!$A$6:$P$178,9,FALSE),AB585)</f>
        <v>0.87858471235308822</v>
      </c>
      <c r="AC584" s="10">
        <f>IFERROR(VLOOKUP(Summary!B584,'Pre-Summary'!$A$6:$P$184,5, FALSE)/100,AC585)</f>
        <v>0.67272566666666667</v>
      </c>
      <c r="AD584" s="10">
        <f>IFERROR(VLOOKUP(Summary!B584,'Pre-Summary'!$A$6:$P$184,3, FALSE)/100,AD585)</f>
        <v>8.9092333333333329E-2</v>
      </c>
      <c r="AE584" s="10">
        <f>IFERROR(VLOOKUP(Summary!B584,'Pre-Summary'!$A$6:$P$184,7, FALSE)/100,AE585)</f>
        <v>0.23818233333333336</v>
      </c>
      <c r="AF584" s="99">
        <f t="shared" si="28"/>
        <v>7.827516205453211E-2</v>
      </c>
      <c r="AG584" s="99">
        <f t="shared" si="29"/>
        <v>0.20926335681925406</v>
      </c>
      <c r="AH584" s="10" t="str">
        <f>IFERROR(VLOOKUP(B584,'Pre-Summary'!$AZ$6:$BE$65,3,FALSE),"")</f>
        <v/>
      </c>
      <c r="AI584" s="10" t="str">
        <f>IFERROR(VLOOKUP(B584,'Pre-Summary'!$AZ$6:$BE$65,5,FALSE),"")</f>
        <v/>
      </c>
      <c r="AJ584" s="10" t="str">
        <f>IFERROR(VLOOKUP(B584,'Pre-Summary'!$AZ$6:$BE$65,4,FALSE),"")</f>
        <v/>
      </c>
      <c r="AK584" s="10" t="str">
        <f>IFERROR(VLOOKUP(B584,'Pre-Summary'!$AZ$6:$BE$65,6,FALSE),"")</f>
        <v/>
      </c>
      <c r="AL584" s="10" t="str">
        <f>IFERROR(VLOOKUP(B584,'Pre-Summary'!$BG$6:$BL$44,3,FALSE),"")</f>
        <v/>
      </c>
      <c r="AM584" s="10" t="str">
        <f>IFERROR(VLOOKUP(B584,'Pre-Summary'!$BG$6:$BL$44,4,FALSE),"")</f>
        <v/>
      </c>
    </row>
    <row r="585" spans="2:39" ht="15" customHeight="1" x14ac:dyDescent="0.3">
      <c r="B585">
        <v>58.2</v>
      </c>
      <c r="C585" t="str">
        <f>IFERROR(VLOOKUP(B585,'Pre-Summary'!$DI$6:$DM$23,4,FALSE),"")</f>
        <v/>
      </c>
      <c r="D585" s="10" t="str">
        <f>IFERROR(VLOOKUP(B585,'Pre-Summary'!$AT$6:$AX$14,5,FALSE),D584)</f>
        <v>DSMZ v2: Dropped Na-Ac out of DSMZ 120 media</v>
      </c>
      <c r="E585" s="10" t="str">
        <f>IFERROR(VLOOKUP(B585,'Pre-Summary'!$AT$6:$AX$15,4,FALSE),"")</f>
        <v/>
      </c>
      <c r="F585">
        <f>IFERROR(VLOOKUP(B585,'Pre-Summary'!$AL$6:$AQ$13,6,FALSE),F584)</f>
        <v>5.9405263157894746E-2</v>
      </c>
      <c r="G585" t="str">
        <f>IFERROR(VLOOKUP(B585,'Pre-Summary'!$AE$6:$AJ$85,3,FALSE),"")</f>
        <v/>
      </c>
      <c r="H585" t="str">
        <f>IFERROR(VLOOKUP(B585,'Pre-Summary'!$AE$6:$AJ$85,4,FALSE),"")</f>
        <v/>
      </c>
      <c r="I585" t="str">
        <f>IFERROR(VLOOKUP(B585,'Pre-Summary'!$AE$6:$AJ$85,5,FALSE),"")</f>
        <v/>
      </c>
      <c r="J585" s="45" t="str">
        <f>IFERROR(VLOOKUP(B585,'Pre-Summary'!$AE$6:$AJ$85,6, FALSE),"")</f>
        <v/>
      </c>
      <c r="K585" s="45" t="str">
        <f>IFERROR(VLOOKUP(B585,'Pre-Summary'!$DE$6:$DG$61,3,FALSE),"")</f>
        <v/>
      </c>
      <c r="L585" s="45" t="str">
        <f>IFERROR(VLOOKUP(B585,'Pre-Summary'!$CU$6:$CW$36,3,FALSE),"")</f>
        <v/>
      </c>
      <c r="M585" s="45" t="str">
        <f>IFERROR(VLOOKUP(B585,'Pre-Summary'!$BW$6:$BY$58,2,FALSE),"")</f>
        <v/>
      </c>
      <c r="N585" s="45" t="str">
        <f>IFERROR(VLOOKUP(B585,'Pre-Summary'!$CD$6:$CF$64,2,FALSE),"")</f>
        <v/>
      </c>
      <c r="O585" s="99">
        <f>IFERROR(VLOOKUP(B585,'Pre-Summary'!$BO$6:$BQ$48,3, FALSE),O584)</f>
        <v>0.9</v>
      </c>
      <c r="P585" s="99">
        <f>IFERROR(VLOOKUP(B585,'Pre-Summary'!$BS$6:$BU$35,3,FALSE),P584)</f>
        <v>0.5</v>
      </c>
      <c r="Q585" s="54">
        <f t="shared" si="27"/>
        <v>1.8</v>
      </c>
      <c r="R585" s="53">
        <f>IFERROR(VLOOKUP(B585,'Pre-Summary'!$BG$6:$BM$44,7,FALSE),R586)</f>
        <v>7.5915763918363535E-2</v>
      </c>
      <c r="S585" s="53">
        <f>IFERROR(VLOOKUP(B585,'Pre-Summary'!$BG$6:$BM$44,6,FALSE),S586)</f>
        <v>5.2897473997019086E-2</v>
      </c>
      <c r="T585" s="45" t="str">
        <f>IFERROR(VLOOKUP(B585,'Pre-Summary'!$Y$6:$AC$83, 3,FALSE),"")</f>
        <v/>
      </c>
      <c r="U585" s="45" t="str">
        <f>IFERROR(VLOOKUP(B585,'Pre-Summary'!$Y$6:$AC$83, 4,FALSE),"")</f>
        <v/>
      </c>
      <c r="V585" t="str">
        <f>IFERROR(VLOOKUP(B585,'Pre-Summary'!$Y$6:$AC$83, 5,FALSE),"")</f>
        <v/>
      </c>
      <c r="W585" s="45" t="str">
        <f>IFERROR(VLOOKUP(B585,'Pre-Summary'!$Y$6:$AD$83,6,FALSE),"")</f>
        <v/>
      </c>
      <c r="X585" t="str">
        <f>IFERROR(VLOOKUP('Pre-Summary'!$DB$6:$DD$63,3,FALSE),"")</f>
        <v/>
      </c>
      <c r="Y585" t="str">
        <f>IFERROR(VLOOKUP(B585,'Pre-Summary'!$CR$6:$CT$36,3,FALSE),"")</f>
        <v/>
      </c>
      <c r="Z585" s="45" t="str">
        <f>IFERROR(VLOOKUP(B585,'Pre-Summary'!$BZ$6:$CB$63,2,FALSE),"")</f>
        <v/>
      </c>
      <c r="AA585" s="45" t="str">
        <f>IFERROR(VLOOKUP(B585,'Pre-Summary'!$CG$6:$CI$70,2,FALSE),"")</f>
        <v/>
      </c>
      <c r="AB585" s="99">
        <f>IFERROR(VLOOKUP(B585,'Pre-Summary'!$A$6:$P$178,9,FALSE),AB586)</f>
        <v>0.87858471235308822</v>
      </c>
      <c r="AC585" s="10">
        <f>IFERROR(VLOOKUP(Summary!B585,'Pre-Summary'!$A$6:$P$184,5, FALSE)/100,AC586)</f>
        <v>0.67272566666666667</v>
      </c>
      <c r="AD585" s="10">
        <f>IFERROR(VLOOKUP(Summary!B585,'Pre-Summary'!$A$6:$P$184,3, FALSE)/100,AD586)</f>
        <v>8.9092333333333329E-2</v>
      </c>
      <c r="AE585" s="10">
        <f>IFERROR(VLOOKUP(Summary!B585,'Pre-Summary'!$A$6:$P$184,7, FALSE)/100,AE586)</f>
        <v>0.23818233333333336</v>
      </c>
      <c r="AF585" s="99">
        <f t="shared" si="28"/>
        <v>7.827516205453211E-2</v>
      </c>
      <c r="AG585" s="99">
        <f t="shared" si="29"/>
        <v>0.20926335681925406</v>
      </c>
      <c r="AH585" s="10" t="str">
        <f>IFERROR(VLOOKUP(B585,'Pre-Summary'!$AZ$6:$BE$65,3,FALSE),"")</f>
        <v/>
      </c>
      <c r="AI585" s="10" t="str">
        <f>IFERROR(VLOOKUP(B585,'Pre-Summary'!$AZ$6:$BE$65,5,FALSE),"")</f>
        <v/>
      </c>
      <c r="AJ585" s="10" t="str">
        <f>IFERROR(VLOOKUP(B585,'Pre-Summary'!$AZ$6:$BE$65,4,FALSE),"")</f>
        <v/>
      </c>
      <c r="AK585" s="10" t="str">
        <f>IFERROR(VLOOKUP(B585,'Pre-Summary'!$AZ$6:$BE$65,6,FALSE),"")</f>
        <v/>
      </c>
      <c r="AL585" s="10" t="str">
        <f>IFERROR(VLOOKUP(B585,'Pre-Summary'!$BG$6:$BL$44,3,FALSE),"")</f>
        <v/>
      </c>
      <c r="AM585" s="10" t="str">
        <f>IFERROR(VLOOKUP(B585,'Pre-Summary'!$BG$6:$BL$44,4,FALSE),"")</f>
        <v/>
      </c>
    </row>
    <row r="586" spans="2:39" ht="15" customHeight="1" x14ac:dyDescent="0.3">
      <c r="B586">
        <v>58.3</v>
      </c>
      <c r="C586" t="str">
        <f>IFERROR(VLOOKUP(B586,'Pre-Summary'!$DI$6:$DM$23,4,FALSE),"")</f>
        <v/>
      </c>
      <c r="D586" s="10" t="str">
        <f>IFERROR(VLOOKUP(B586,'Pre-Summary'!$AT$6:$AX$14,5,FALSE),D585)</f>
        <v>DSMZ v2: Dropped Na-Ac out of DSMZ 120 media</v>
      </c>
      <c r="E586" s="10" t="str">
        <f>IFERROR(VLOOKUP(B586,'Pre-Summary'!$AT$6:$AX$15,4,FALSE),"")</f>
        <v/>
      </c>
      <c r="F586">
        <f>IFERROR(VLOOKUP(B586,'Pre-Summary'!$AL$6:$AQ$13,6,FALSE),F585)</f>
        <v>5.9405263157894746E-2</v>
      </c>
      <c r="G586" t="str">
        <f>IFERROR(VLOOKUP(B586,'Pre-Summary'!$AE$6:$AJ$85,3,FALSE),"")</f>
        <v/>
      </c>
      <c r="H586" t="str">
        <f>IFERROR(VLOOKUP(B586,'Pre-Summary'!$AE$6:$AJ$85,4,FALSE),"")</f>
        <v/>
      </c>
      <c r="I586" t="str">
        <f>IFERROR(VLOOKUP(B586,'Pre-Summary'!$AE$6:$AJ$85,5,FALSE),"")</f>
        <v/>
      </c>
      <c r="J586" s="45" t="str">
        <f>IFERROR(VLOOKUP(B586,'Pre-Summary'!$AE$6:$AJ$85,6, FALSE),"")</f>
        <v/>
      </c>
      <c r="K586" s="45" t="str">
        <f>IFERROR(VLOOKUP(B586,'Pre-Summary'!$DE$6:$DG$61,3,FALSE),"")</f>
        <v/>
      </c>
      <c r="L586" s="45" t="str">
        <f>IFERROR(VLOOKUP(B586,'Pre-Summary'!$CU$6:$CW$36,3,FALSE),"")</f>
        <v/>
      </c>
      <c r="M586" s="45" t="str">
        <f>IFERROR(VLOOKUP(B586,'Pre-Summary'!$BW$6:$BY$58,2,FALSE),"")</f>
        <v/>
      </c>
      <c r="N586" s="45" t="str">
        <f>IFERROR(VLOOKUP(B586,'Pre-Summary'!$CD$6:$CF$64,2,FALSE),"")</f>
        <v/>
      </c>
      <c r="O586" s="99">
        <f>IFERROR(VLOOKUP(B586,'Pre-Summary'!$BO$6:$BQ$48,3, FALSE),O585)</f>
        <v>0.9</v>
      </c>
      <c r="P586" s="99">
        <f>IFERROR(VLOOKUP(B586,'Pre-Summary'!$BS$6:$BU$35,3,FALSE),P585)</f>
        <v>0.5</v>
      </c>
      <c r="Q586" s="54">
        <f t="shared" si="27"/>
        <v>1.8</v>
      </c>
      <c r="R586" s="53">
        <f>IFERROR(VLOOKUP(B586,'Pre-Summary'!$BG$6:$BM$44,7,FALSE),R587)</f>
        <v>7.5915763918363535E-2</v>
      </c>
      <c r="S586" s="53">
        <f>IFERROR(VLOOKUP(B586,'Pre-Summary'!$BG$6:$BM$44,6,FALSE),S587)</f>
        <v>5.2897473997019086E-2</v>
      </c>
      <c r="T586" s="45" t="str">
        <f>IFERROR(VLOOKUP(B586,'Pre-Summary'!$Y$6:$AC$83, 3,FALSE),"")</f>
        <v/>
      </c>
      <c r="U586" s="45" t="str">
        <f>IFERROR(VLOOKUP(B586,'Pre-Summary'!$Y$6:$AC$83, 4,FALSE),"")</f>
        <v/>
      </c>
      <c r="V586" t="str">
        <f>IFERROR(VLOOKUP(B586,'Pre-Summary'!$Y$6:$AC$83, 5,FALSE),"")</f>
        <v/>
      </c>
      <c r="W586" s="45" t="str">
        <f>IFERROR(VLOOKUP(B586,'Pre-Summary'!$Y$6:$AD$83,6,FALSE),"")</f>
        <v/>
      </c>
      <c r="X586" t="str">
        <f>IFERROR(VLOOKUP('Pre-Summary'!$DB$6:$DD$63,3,FALSE),"")</f>
        <v/>
      </c>
      <c r="Y586" t="str">
        <f>IFERROR(VLOOKUP(B586,'Pre-Summary'!$CR$6:$CT$36,3,FALSE),"")</f>
        <v/>
      </c>
      <c r="Z586" s="45" t="str">
        <f>IFERROR(VLOOKUP(B586,'Pre-Summary'!$BZ$6:$CB$63,2,FALSE),"")</f>
        <v/>
      </c>
      <c r="AA586" s="45" t="str">
        <f>IFERROR(VLOOKUP(B586,'Pre-Summary'!$CG$6:$CI$70,2,FALSE),"")</f>
        <v/>
      </c>
      <c r="AB586" s="99">
        <f>IFERROR(VLOOKUP(B586,'Pre-Summary'!$A$6:$P$178,9,FALSE),AB587)</f>
        <v>0.87858471235308822</v>
      </c>
      <c r="AC586" s="10">
        <f>IFERROR(VLOOKUP(Summary!B586,'Pre-Summary'!$A$6:$P$184,5, FALSE)/100,AC587)</f>
        <v>0.67272566666666667</v>
      </c>
      <c r="AD586" s="10">
        <f>IFERROR(VLOOKUP(Summary!B586,'Pre-Summary'!$A$6:$P$184,3, FALSE)/100,AD587)</f>
        <v>8.9092333333333329E-2</v>
      </c>
      <c r="AE586" s="10">
        <f>IFERROR(VLOOKUP(Summary!B586,'Pre-Summary'!$A$6:$P$184,7, FALSE)/100,AE587)</f>
        <v>0.23818233333333336</v>
      </c>
      <c r="AF586" s="99">
        <f t="shared" si="28"/>
        <v>7.827516205453211E-2</v>
      </c>
      <c r="AG586" s="99">
        <f t="shared" si="29"/>
        <v>0.20926335681925406</v>
      </c>
      <c r="AH586" s="10" t="str">
        <f>IFERROR(VLOOKUP(B586,'Pre-Summary'!$AZ$6:$BE$65,3,FALSE),"")</f>
        <v/>
      </c>
      <c r="AI586" s="10" t="str">
        <f>IFERROR(VLOOKUP(B586,'Pre-Summary'!$AZ$6:$BE$65,5,FALSE),"")</f>
        <v/>
      </c>
      <c r="AJ586" s="10" t="str">
        <f>IFERROR(VLOOKUP(B586,'Pre-Summary'!$AZ$6:$BE$65,4,FALSE),"")</f>
        <v/>
      </c>
      <c r="AK586" s="10" t="str">
        <f>IFERROR(VLOOKUP(B586,'Pre-Summary'!$AZ$6:$BE$65,6,FALSE),"")</f>
        <v/>
      </c>
      <c r="AL586" s="10" t="str">
        <f>IFERROR(VLOOKUP(B586,'Pre-Summary'!$BG$6:$BL$44,3,FALSE),"")</f>
        <v/>
      </c>
      <c r="AM586" s="10" t="str">
        <f>IFERROR(VLOOKUP(B586,'Pre-Summary'!$BG$6:$BL$44,4,FALSE),"")</f>
        <v/>
      </c>
    </row>
    <row r="587" spans="2:39" ht="15" customHeight="1" x14ac:dyDescent="0.3">
      <c r="B587">
        <v>58.4</v>
      </c>
      <c r="C587" t="str">
        <f>IFERROR(VLOOKUP(B587,'Pre-Summary'!$DI$6:$DM$23,4,FALSE),"")</f>
        <v/>
      </c>
      <c r="D587" s="10" t="str">
        <f>IFERROR(VLOOKUP(B587,'Pre-Summary'!$AT$6:$AX$14,5,FALSE),D586)</f>
        <v>DSMZ v2: Dropped Na-Ac out of DSMZ 120 media</v>
      </c>
      <c r="E587" s="10" t="str">
        <f>IFERROR(VLOOKUP(B587,'Pre-Summary'!$AT$6:$AX$15,4,FALSE),"")</f>
        <v/>
      </c>
      <c r="F587">
        <f>IFERROR(VLOOKUP(B587,'Pre-Summary'!$AL$6:$AQ$13,6,FALSE),F586)</f>
        <v>5.9405263157894746E-2</v>
      </c>
      <c r="G587" t="str">
        <f>IFERROR(VLOOKUP(B587,'Pre-Summary'!$AE$6:$AJ$85,3,FALSE),"")</f>
        <v/>
      </c>
      <c r="H587" t="str">
        <f>IFERROR(VLOOKUP(B587,'Pre-Summary'!$AE$6:$AJ$85,4,FALSE),"")</f>
        <v/>
      </c>
      <c r="I587" t="str">
        <f>IFERROR(VLOOKUP(B587,'Pre-Summary'!$AE$6:$AJ$85,5,FALSE),"")</f>
        <v/>
      </c>
      <c r="J587" s="45" t="str">
        <f>IFERROR(VLOOKUP(B587,'Pre-Summary'!$AE$6:$AJ$85,6, FALSE),"")</f>
        <v/>
      </c>
      <c r="K587" s="45" t="str">
        <f>IFERROR(VLOOKUP(B587,'Pre-Summary'!$DE$6:$DG$61,3,FALSE),"")</f>
        <v/>
      </c>
      <c r="L587" s="45" t="str">
        <f>IFERROR(VLOOKUP(B587,'Pre-Summary'!$CU$6:$CW$36,3,FALSE),"")</f>
        <v/>
      </c>
      <c r="M587" s="45" t="str">
        <f>IFERROR(VLOOKUP(B587,'Pre-Summary'!$BW$6:$BY$58,2,FALSE),"")</f>
        <v/>
      </c>
      <c r="N587" s="45" t="str">
        <f>IFERROR(VLOOKUP(B587,'Pre-Summary'!$CD$6:$CF$64,2,FALSE),"")</f>
        <v/>
      </c>
      <c r="O587" s="99">
        <f>IFERROR(VLOOKUP(B587,'Pre-Summary'!$BO$6:$BQ$48,3, FALSE),O586)</f>
        <v>0.9</v>
      </c>
      <c r="P587" s="99">
        <f>IFERROR(VLOOKUP(B587,'Pre-Summary'!$BS$6:$BU$35,3,FALSE),P586)</f>
        <v>0.5</v>
      </c>
      <c r="Q587" s="54">
        <f t="shared" si="27"/>
        <v>1.8</v>
      </c>
      <c r="R587" s="53">
        <f>IFERROR(VLOOKUP(B587,'Pre-Summary'!$BG$6:$BM$44,7,FALSE),R588)</f>
        <v>7.5915763918363535E-2</v>
      </c>
      <c r="S587" s="53">
        <f>IFERROR(VLOOKUP(B587,'Pre-Summary'!$BG$6:$BM$44,6,FALSE),S588)</f>
        <v>5.2897473997019086E-2</v>
      </c>
      <c r="T587" s="45" t="str">
        <f>IFERROR(VLOOKUP(B587,'Pre-Summary'!$Y$6:$AC$83, 3,FALSE),"")</f>
        <v/>
      </c>
      <c r="U587" s="45" t="str">
        <f>IFERROR(VLOOKUP(B587,'Pre-Summary'!$Y$6:$AC$83, 4,FALSE),"")</f>
        <v/>
      </c>
      <c r="V587" t="str">
        <f>IFERROR(VLOOKUP(B587,'Pre-Summary'!$Y$6:$AC$83, 5,FALSE),"")</f>
        <v/>
      </c>
      <c r="W587" s="45" t="str">
        <f>IFERROR(VLOOKUP(B587,'Pre-Summary'!$Y$6:$AD$83,6,FALSE),"")</f>
        <v/>
      </c>
      <c r="X587" t="str">
        <f>IFERROR(VLOOKUP('Pre-Summary'!$DB$6:$DD$63,3,FALSE),"")</f>
        <v/>
      </c>
      <c r="Y587" t="str">
        <f>IFERROR(VLOOKUP(B587,'Pre-Summary'!$CR$6:$CT$36,3,FALSE),"")</f>
        <v/>
      </c>
      <c r="Z587" s="45" t="str">
        <f>IFERROR(VLOOKUP(B587,'Pre-Summary'!$BZ$6:$CB$63,2,FALSE),"")</f>
        <v/>
      </c>
      <c r="AA587" s="45" t="str">
        <f>IFERROR(VLOOKUP(B587,'Pre-Summary'!$CG$6:$CI$70,2,FALSE),"")</f>
        <v/>
      </c>
      <c r="AB587" s="99">
        <f>IFERROR(VLOOKUP(B587,'Pre-Summary'!$A$6:$P$178,9,FALSE),AB588)</f>
        <v>0.87858471235308822</v>
      </c>
      <c r="AC587" s="10">
        <f>IFERROR(VLOOKUP(Summary!B587,'Pre-Summary'!$A$6:$P$184,5, FALSE)/100,AC588)</f>
        <v>0.67272566666666667</v>
      </c>
      <c r="AD587" s="10">
        <f>IFERROR(VLOOKUP(Summary!B587,'Pre-Summary'!$A$6:$P$184,3, FALSE)/100,AD588)</f>
        <v>8.9092333333333329E-2</v>
      </c>
      <c r="AE587" s="10">
        <f>IFERROR(VLOOKUP(Summary!B587,'Pre-Summary'!$A$6:$P$184,7, FALSE)/100,AE588)</f>
        <v>0.23818233333333336</v>
      </c>
      <c r="AF587" s="99">
        <f t="shared" si="28"/>
        <v>7.827516205453211E-2</v>
      </c>
      <c r="AG587" s="99">
        <f t="shared" si="29"/>
        <v>0.20926335681925406</v>
      </c>
      <c r="AH587" s="10" t="str">
        <f>IFERROR(VLOOKUP(B587,'Pre-Summary'!$AZ$6:$BE$65,3,FALSE),"")</f>
        <v/>
      </c>
      <c r="AI587" s="10" t="str">
        <f>IFERROR(VLOOKUP(B587,'Pre-Summary'!$AZ$6:$BE$65,5,FALSE),"")</f>
        <v/>
      </c>
      <c r="AJ587" s="10" t="str">
        <f>IFERROR(VLOOKUP(B587,'Pre-Summary'!$AZ$6:$BE$65,4,FALSE),"")</f>
        <v/>
      </c>
      <c r="AK587" s="10" t="str">
        <f>IFERROR(VLOOKUP(B587,'Pre-Summary'!$AZ$6:$BE$65,6,FALSE),"")</f>
        <v/>
      </c>
      <c r="AL587" s="10" t="str">
        <f>IFERROR(VLOOKUP(B587,'Pre-Summary'!$BG$6:$BL$44,3,FALSE),"")</f>
        <v/>
      </c>
      <c r="AM587" s="10" t="str">
        <f>IFERROR(VLOOKUP(B587,'Pre-Summary'!$BG$6:$BL$44,4,FALSE),"")</f>
        <v/>
      </c>
    </row>
    <row r="588" spans="2:39" ht="15" customHeight="1" x14ac:dyDescent="0.3">
      <c r="B588">
        <v>58.5</v>
      </c>
      <c r="C588" t="str">
        <f>IFERROR(VLOOKUP(B588,'Pre-Summary'!$DI$6:$DM$23,4,FALSE),"")</f>
        <v/>
      </c>
      <c r="D588" s="10" t="str">
        <f>IFERROR(VLOOKUP(B588,'Pre-Summary'!$AT$6:$AX$14,5,FALSE),D587)</f>
        <v>DSMZ v2: Dropped Na-Ac out of DSMZ 120 media</v>
      </c>
      <c r="E588" s="10" t="str">
        <f>IFERROR(VLOOKUP(B588,'Pre-Summary'!$AT$6:$AX$15,4,FALSE),"")</f>
        <v/>
      </c>
      <c r="F588">
        <f>IFERROR(VLOOKUP(B588,'Pre-Summary'!$AL$6:$AQ$13,6,FALSE),F587)</f>
        <v>5.9405263157894746E-2</v>
      </c>
      <c r="G588" t="str">
        <f>IFERROR(VLOOKUP(B588,'Pre-Summary'!$AE$6:$AJ$85,3,FALSE),"")</f>
        <v/>
      </c>
      <c r="H588" t="str">
        <f>IFERROR(VLOOKUP(B588,'Pre-Summary'!$AE$6:$AJ$85,4,FALSE),"")</f>
        <v/>
      </c>
      <c r="I588" t="str">
        <f>IFERROR(VLOOKUP(B588,'Pre-Summary'!$AE$6:$AJ$85,5,FALSE),"")</f>
        <v/>
      </c>
      <c r="J588" s="45" t="str">
        <f>IFERROR(VLOOKUP(B588,'Pre-Summary'!$AE$6:$AJ$85,6, FALSE),"")</f>
        <v/>
      </c>
      <c r="K588" s="45" t="str">
        <f>IFERROR(VLOOKUP(B588,'Pre-Summary'!$DE$6:$DG$61,3,FALSE),"")</f>
        <v/>
      </c>
      <c r="L588" s="45" t="str">
        <f>IFERROR(VLOOKUP(B588,'Pre-Summary'!$CU$6:$CW$36,3,FALSE),"")</f>
        <v/>
      </c>
      <c r="M588" s="45" t="str">
        <f>IFERROR(VLOOKUP(B588,'Pre-Summary'!$BW$6:$BY$58,2,FALSE),"")</f>
        <v/>
      </c>
      <c r="N588" s="45">
        <f>IFERROR(VLOOKUP(B588,'Pre-Summary'!$CD$6:$CF$64,2,FALSE),"")</f>
        <v>5297.2333722784433</v>
      </c>
      <c r="O588" s="99">
        <f>IFERROR(VLOOKUP(B588,'Pre-Summary'!$BO$6:$BQ$48,3, FALSE),O587)</f>
        <v>0.9</v>
      </c>
      <c r="P588" s="99">
        <f>IFERROR(VLOOKUP(B588,'Pre-Summary'!$BS$6:$BU$35,3,FALSE),P587)</f>
        <v>0.5</v>
      </c>
      <c r="Q588" s="54">
        <f t="shared" si="27"/>
        <v>1.8</v>
      </c>
      <c r="R588" s="53">
        <f>IFERROR(VLOOKUP(B588,'Pre-Summary'!$BG$6:$BM$44,7,FALSE),R589)</f>
        <v>7.5915763918363535E-2</v>
      </c>
      <c r="S588" s="53">
        <f>IFERROR(VLOOKUP(B588,'Pre-Summary'!$BG$6:$BM$44,6,FALSE),S589)</f>
        <v>5.2897473997019086E-2</v>
      </c>
      <c r="T588" s="45" t="str">
        <f>IFERROR(VLOOKUP(B588,'Pre-Summary'!$Y$6:$AC$83, 3,FALSE),"")</f>
        <v/>
      </c>
      <c r="U588" s="45" t="str">
        <f>IFERROR(VLOOKUP(B588,'Pre-Summary'!$Y$6:$AC$83, 4,FALSE),"")</f>
        <v/>
      </c>
      <c r="V588" t="str">
        <f>IFERROR(VLOOKUP(B588,'Pre-Summary'!$Y$6:$AC$83, 5,FALSE),"")</f>
        <v/>
      </c>
      <c r="W588" s="45" t="str">
        <f>IFERROR(VLOOKUP(B588,'Pre-Summary'!$Y$6:$AD$83,6,FALSE),"")</f>
        <v/>
      </c>
      <c r="X588" t="str">
        <f>IFERROR(VLOOKUP('Pre-Summary'!$DB$6:$DD$63,3,FALSE),"")</f>
        <v/>
      </c>
      <c r="Y588" t="str">
        <f>IFERROR(VLOOKUP(B588,'Pre-Summary'!$CR$6:$CT$36,3,FALSE),"")</f>
        <v/>
      </c>
      <c r="Z588" s="45" t="str">
        <f>IFERROR(VLOOKUP(B588,'Pre-Summary'!$BZ$6:$CB$63,2,FALSE),"")</f>
        <v/>
      </c>
      <c r="AA588" s="45" t="str">
        <f>IFERROR(VLOOKUP(B588,'Pre-Summary'!$CG$6:$CI$70,2,FALSE),"")</f>
        <v/>
      </c>
      <c r="AB588" s="99">
        <f>IFERROR(VLOOKUP(B588,'Pre-Summary'!$A$6:$P$178,9,FALSE),AB589)</f>
        <v>0.87858471235308822</v>
      </c>
      <c r="AC588" s="10">
        <f>IFERROR(VLOOKUP(Summary!B588,'Pre-Summary'!$A$6:$P$184,5, FALSE)/100,AC589)</f>
        <v>0.67272566666666667</v>
      </c>
      <c r="AD588" s="10">
        <f>IFERROR(VLOOKUP(Summary!B588,'Pre-Summary'!$A$6:$P$184,3, FALSE)/100,AD589)</f>
        <v>8.9092333333333329E-2</v>
      </c>
      <c r="AE588" s="10">
        <f>IFERROR(VLOOKUP(Summary!B588,'Pre-Summary'!$A$6:$P$184,7, FALSE)/100,AE589)</f>
        <v>0.23818233333333336</v>
      </c>
      <c r="AF588" s="99">
        <f t="shared" si="28"/>
        <v>7.827516205453211E-2</v>
      </c>
      <c r="AG588" s="99">
        <f t="shared" si="29"/>
        <v>0.20926335681925406</v>
      </c>
      <c r="AH588" s="10" t="str">
        <f>IFERROR(VLOOKUP(B588,'Pre-Summary'!$AZ$6:$BE$65,3,FALSE),"")</f>
        <v/>
      </c>
      <c r="AI588" s="10" t="str">
        <f>IFERROR(VLOOKUP(B588,'Pre-Summary'!$AZ$6:$BE$65,5,FALSE),"")</f>
        <v/>
      </c>
      <c r="AJ588" s="10" t="str">
        <f>IFERROR(VLOOKUP(B588,'Pre-Summary'!$AZ$6:$BE$65,4,FALSE),"")</f>
        <v/>
      </c>
      <c r="AK588" s="10" t="str">
        <f>IFERROR(VLOOKUP(B588,'Pre-Summary'!$AZ$6:$BE$65,6,FALSE),"")</f>
        <v/>
      </c>
      <c r="AL588" s="10" t="str">
        <f>IFERROR(VLOOKUP(B588,'Pre-Summary'!$BG$6:$BL$44,3,FALSE),"")</f>
        <v/>
      </c>
      <c r="AM588" s="10" t="str">
        <f>IFERROR(VLOOKUP(B588,'Pre-Summary'!$BG$6:$BL$44,4,FALSE),"")</f>
        <v/>
      </c>
    </row>
    <row r="589" spans="2:39" ht="15" customHeight="1" x14ac:dyDescent="0.3">
      <c r="B589">
        <v>58.6</v>
      </c>
      <c r="C589" t="str">
        <f>IFERROR(VLOOKUP(B589,'Pre-Summary'!$DI$6:$DM$23,4,FALSE),"")</f>
        <v/>
      </c>
      <c r="D589" s="10" t="str">
        <f>IFERROR(VLOOKUP(B589,'Pre-Summary'!$AT$6:$AX$14,5,FALSE),D588)</f>
        <v>DSMZ v2: Dropped Na-Ac out of DSMZ 120 media</v>
      </c>
      <c r="E589" s="10" t="str">
        <f>IFERROR(VLOOKUP(B589,'Pre-Summary'!$AT$6:$AX$15,4,FALSE),"")</f>
        <v/>
      </c>
      <c r="F589">
        <f>IFERROR(VLOOKUP(B589,'Pre-Summary'!$AL$6:$AQ$13,6,FALSE),F588)</f>
        <v>5.9405263157894746E-2</v>
      </c>
      <c r="G589" t="str">
        <f>IFERROR(VLOOKUP(B589,'Pre-Summary'!$AE$6:$AJ$85,3,FALSE),"")</f>
        <v/>
      </c>
      <c r="H589" t="str">
        <f>IFERROR(VLOOKUP(B589,'Pre-Summary'!$AE$6:$AJ$85,4,FALSE),"")</f>
        <v/>
      </c>
      <c r="I589" t="str">
        <f>IFERROR(VLOOKUP(B589,'Pre-Summary'!$AE$6:$AJ$85,5,FALSE),"")</f>
        <v/>
      </c>
      <c r="J589" s="45" t="str">
        <f>IFERROR(VLOOKUP(B589,'Pre-Summary'!$AE$6:$AJ$85,6, FALSE),"")</f>
        <v/>
      </c>
      <c r="K589" s="45" t="str">
        <f>IFERROR(VLOOKUP(B589,'Pre-Summary'!$DE$6:$DG$61,3,FALSE),"")</f>
        <v/>
      </c>
      <c r="L589" s="45" t="str">
        <f>IFERROR(VLOOKUP(B589,'Pre-Summary'!$CU$6:$CW$36,3,FALSE),"")</f>
        <v/>
      </c>
      <c r="M589" s="45" t="str">
        <f>IFERROR(VLOOKUP(B589,'Pre-Summary'!$BW$6:$BY$58,2,FALSE),"")</f>
        <v/>
      </c>
      <c r="N589" s="45" t="str">
        <f>IFERROR(VLOOKUP(B589,'Pre-Summary'!$CD$6:$CF$64,2,FALSE),"")</f>
        <v/>
      </c>
      <c r="O589" s="99">
        <f>IFERROR(VLOOKUP(B589,'Pre-Summary'!$BO$6:$BQ$48,3, FALSE),O588)</f>
        <v>0.9</v>
      </c>
      <c r="P589" s="99">
        <f>IFERROR(VLOOKUP(B589,'Pre-Summary'!$BS$6:$BU$35,3,FALSE),P588)</f>
        <v>0.5</v>
      </c>
      <c r="Q589" s="54">
        <f t="shared" si="27"/>
        <v>1.8</v>
      </c>
      <c r="R589" s="53">
        <f>IFERROR(VLOOKUP(B589,'Pre-Summary'!$BG$6:$BM$44,7,FALSE),R590)</f>
        <v>7.5915763918363535E-2</v>
      </c>
      <c r="S589" s="53">
        <f>IFERROR(VLOOKUP(B589,'Pre-Summary'!$BG$6:$BM$44,6,FALSE),S590)</f>
        <v>5.2897473997019086E-2</v>
      </c>
      <c r="T589" s="45" t="str">
        <f>IFERROR(VLOOKUP(B589,'Pre-Summary'!$Y$6:$AC$83, 3,FALSE),"")</f>
        <v/>
      </c>
      <c r="U589" s="45" t="str">
        <f>IFERROR(VLOOKUP(B589,'Pre-Summary'!$Y$6:$AC$83, 4,FALSE),"")</f>
        <v/>
      </c>
      <c r="V589" t="str">
        <f>IFERROR(VLOOKUP(B589,'Pre-Summary'!$Y$6:$AC$83, 5,FALSE),"")</f>
        <v/>
      </c>
      <c r="W589" s="45" t="str">
        <f>IFERROR(VLOOKUP(B589,'Pre-Summary'!$Y$6:$AD$83,6,FALSE),"")</f>
        <v/>
      </c>
      <c r="X589" t="str">
        <f>IFERROR(VLOOKUP('Pre-Summary'!$DB$6:$DD$63,3,FALSE),"")</f>
        <v/>
      </c>
      <c r="Y589" t="str">
        <f>IFERROR(VLOOKUP(B589,'Pre-Summary'!$CR$6:$CT$36,3,FALSE),"")</f>
        <v/>
      </c>
      <c r="Z589" s="45" t="str">
        <f>IFERROR(VLOOKUP(B589,'Pre-Summary'!$BZ$6:$CB$63,2,FALSE),"")</f>
        <v/>
      </c>
      <c r="AA589" s="45" t="str">
        <f>IFERROR(VLOOKUP(B589,'Pre-Summary'!$CG$6:$CI$70,2,FALSE),"")</f>
        <v/>
      </c>
      <c r="AB589" s="99">
        <f>IFERROR(VLOOKUP(B589,'Pre-Summary'!$A$6:$P$178,9,FALSE),AB590)</f>
        <v>0.87858471235308822</v>
      </c>
      <c r="AC589" s="10">
        <f>IFERROR(VLOOKUP(Summary!B589,'Pre-Summary'!$A$6:$P$184,5, FALSE)/100,AC590)</f>
        <v>0.67272566666666667</v>
      </c>
      <c r="AD589" s="10">
        <f>IFERROR(VLOOKUP(Summary!B589,'Pre-Summary'!$A$6:$P$184,3, FALSE)/100,AD590)</f>
        <v>8.9092333333333329E-2</v>
      </c>
      <c r="AE589" s="10">
        <f>IFERROR(VLOOKUP(Summary!B589,'Pre-Summary'!$A$6:$P$184,7, FALSE)/100,AE590)</f>
        <v>0.23818233333333336</v>
      </c>
      <c r="AF589" s="99">
        <f t="shared" si="28"/>
        <v>7.827516205453211E-2</v>
      </c>
      <c r="AG589" s="99">
        <f t="shared" si="29"/>
        <v>0.20926335681925406</v>
      </c>
      <c r="AH589" s="10" t="str">
        <f>IFERROR(VLOOKUP(B589,'Pre-Summary'!$AZ$6:$BE$65,3,FALSE),"")</f>
        <v/>
      </c>
      <c r="AI589" s="10" t="str">
        <f>IFERROR(VLOOKUP(B589,'Pre-Summary'!$AZ$6:$BE$65,5,FALSE),"")</f>
        <v/>
      </c>
      <c r="AJ589" s="10" t="str">
        <f>IFERROR(VLOOKUP(B589,'Pre-Summary'!$AZ$6:$BE$65,4,FALSE),"")</f>
        <v/>
      </c>
      <c r="AK589" s="10" t="str">
        <f>IFERROR(VLOOKUP(B589,'Pre-Summary'!$AZ$6:$BE$65,6,FALSE),"")</f>
        <v/>
      </c>
      <c r="AL589" s="10" t="str">
        <f>IFERROR(VLOOKUP(B589,'Pre-Summary'!$BG$6:$BL$44,3,FALSE),"")</f>
        <v/>
      </c>
      <c r="AM589" s="10" t="str">
        <f>IFERROR(VLOOKUP(B589,'Pre-Summary'!$BG$6:$BL$44,4,FALSE),"")</f>
        <v/>
      </c>
    </row>
    <row r="590" spans="2:39" ht="15" customHeight="1" x14ac:dyDescent="0.3">
      <c r="B590">
        <v>58.7</v>
      </c>
      <c r="C590" t="str">
        <f>IFERROR(VLOOKUP(B590,'Pre-Summary'!$DI$6:$DM$23,4,FALSE),"")</f>
        <v/>
      </c>
      <c r="D590" s="10" t="str">
        <f>IFERROR(VLOOKUP(B590,'Pre-Summary'!$AT$6:$AX$14,5,FALSE),D589)</f>
        <v>DSMZ v2: Dropped Na-Ac out of DSMZ 120 media</v>
      </c>
      <c r="E590" s="10" t="str">
        <f>IFERROR(VLOOKUP(B590,'Pre-Summary'!$AT$6:$AX$15,4,FALSE),"")</f>
        <v/>
      </c>
      <c r="F590">
        <f>IFERROR(VLOOKUP(B590,'Pre-Summary'!$AL$6:$AQ$13,6,FALSE),F589)</f>
        <v>5.9405263157894746E-2</v>
      </c>
      <c r="G590" t="str">
        <f>IFERROR(VLOOKUP(B590,'Pre-Summary'!$AE$6:$AJ$85,3,FALSE),"")</f>
        <v/>
      </c>
      <c r="H590" t="str">
        <f>IFERROR(VLOOKUP(B590,'Pre-Summary'!$AE$6:$AJ$85,4,FALSE),"")</f>
        <v/>
      </c>
      <c r="I590" t="str">
        <f>IFERROR(VLOOKUP(B590,'Pre-Summary'!$AE$6:$AJ$85,5,FALSE),"")</f>
        <v/>
      </c>
      <c r="J590" s="45" t="str">
        <f>IFERROR(VLOOKUP(B590,'Pre-Summary'!$AE$6:$AJ$85,6, FALSE),"")</f>
        <v/>
      </c>
      <c r="K590" s="45" t="str">
        <f>IFERROR(VLOOKUP(B590,'Pre-Summary'!$DE$6:$DG$61,3,FALSE),"")</f>
        <v/>
      </c>
      <c r="L590" s="45" t="str">
        <f>IFERROR(VLOOKUP(B590,'Pre-Summary'!$CU$6:$CW$36,3,FALSE),"")</f>
        <v/>
      </c>
      <c r="M590" s="45" t="str">
        <f>IFERROR(VLOOKUP(B590,'Pre-Summary'!$BW$6:$BY$58,2,FALSE),"")</f>
        <v/>
      </c>
      <c r="N590" s="45" t="str">
        <f>IFERROR(VLOOKUP(B590,'Pre-Summary'!$CD$6:$CF$64,2,FALSE),"")</f>
        <v/>
      </c>
      <c r="O590" s="99">
        <f>IFERROR(VLOOKUP(B590,'Pre-Summary'!$BO$6:$BQ$48,3, FALSE),O589)</f>
        <v>0.9</v>
      </c>
      <c r="P590" s="99">
        <f>IFERROR(VLOOKUP(B590,'Pre-Summary'!$BS$6:$BU$35,3,FALSE),P589)</f>
        <v>0.5</v>
      </c>
      <c r="Q590" s="54">
        <f t="shared" si="27"/>
        <v>1.8</v>
      </c>
      <c r="R590" s="53">
        <f>IFERROR(VLOOKUP(B590,'Pre-Summary'!$BG$6:$BM$44,7,FALSE),R591)</f>
        <v>7.5915763918363535E-2</v>
      </c>
      <c r="S590" s="53">
        <f>IFERROR(VLOOKUP(B590,'Pre-Summary'!$BG$6:$BM$44,6,FALSE),S591)</f>
        <v>5.2897473997019086E-2</v>
      </c>
      <c r="T590" s="45" t="str">
        <f>IFERROR(VLOOKUP(B590,'Pre-Summary'!$Y$6:$AC$83, 3,FALSE),"")</f>
        <v/>
      </c>
      <c r="U590" s="45" t="str">
        <f>IFERROR(VLOOKUP(B590,'Pre-Summary'!$Y$6:$AC$83, 4,FALSE),"")</f>
        <v/>
      </c>
      <c r="V590" t="str">
        <f>IFERROR(VLOOKUP(B590,'Pre-Summary'!$Y$6:$AC$83, 5,FALSE),"")</f>
        <v/>
      </c>
      <c r="W590" s="45" t="str">
        <f>IFERROR(VLOOKUP(B590,'Pre-Summary'!$Y$6:$AD$83,6,FALSE),"")</f>
        <v/>
      </c>
      <c r="X590" t="str">
        <f>IFERROR(VLOOKUP('Pre-Summary'!$DB$6:$DD$63,3,FALSE),"")</f>
        <v/>
      </c>
      <c r="Y590" t="str">
        <f>IFERROR(VLOOKUP(B590,'Pre-Summary'!$CR$6:$CT$36,3,FALSE),"")</f>
        <v/>
      </c>
      <c r="Z590" s="45" t="str">
        <f>IFERROR(VLOOKUP(B590,'Pre-Summary'!$BZ$6:$CB$63,2,FALSE),"")</f>
        <v/>
      </c>
      <c r="AA590" s="45" t="str">
        <f>IFERROR(VLOOKUP(B590,'Pre-Summary'!$CG$6:$CI$70,2,FALSE),"")</f>
        <v/>
      </c>
      <c r="AB590" s="99">
        <f>IFERROR(VLOOKUP(B590,'Pre-Summary'!$A$6:$P$178,9,FALSE),AB591)</f>
        <v>0.87858471235308822</v>
      </c>
      <c r="AC590" s="10">
        <f>IFERROR(VLOOKUP(Summary!B590,'Pre-Summary'!$A$6:$P$184,5, FALSE)/100,AC591)</f>
        <v>0.67272566666666667</v>
      </c>
      <c r="AD590" s="10">
        <f>IFERROR(VLOOKUP(Summary!B590,'Pre-Summary'!$A$6:$P$184,3, FALSE)/100,AD591)</f>
        <v>8.9092333333333329E-2</v>
      </c>
      <c r="AE590" s="10">
        <f>IFERROR(VLOOKUP(Summary!B590,'Pre-Summary'!$A$6:$P$184,7, FALSE)/100,AE591)</f>
        <v>0.23818233333333336</v>
      </c>
      <c r="AF590" s="99">
        <f t="shared" si="28"/>
        <v>7.827516205453211E-2</v>
      </c>
      <c r="AG590" s="99">
        <f t="shared" si="29"/>
        <v>0.20926335681925406</v>
      </c>
      <c r="AH590" s="10" t="str">
        <f>IFERROR(VLOOKUP(B590,'Pre-Summary'!$AZ$6:$BE$65,3,FALSE),"")</f>
        <v/>
      </c>
      <c r="AI590" s="10" t="str">
        <f>IFERROR(VLOOKUP(B590,'Pre-Summary'!$AZ$6:$BE$65,5,FALSE),"")</f>
        <v/>
      </c>
      <c r="AJ590" s="10" t="str">
        <f>IFERROR(VLOOKUP(B590,'Pre-Summary'!$AZ$6:$BE$65,4,FALSE),"")</f>
        <v/>
      </c>
      <c r="AK590" s="10" t="str">
        <f>IFERROR(VLOOKUP(B590,'Pre-Summary'!$AZ$6:$BE$65,6,FALSE),"")</f>
        <v/>
      </c>
      <c r="AL590" s="10" t="str">
        <f>IFERROR(VLOOKUP(B590,'Pre-Summary'!$BG$6:$BL$44,3,FALSE),"")</f>
        <v/>
      </c>
      <c r="AM590" s="10" t="str">
        <f>IFERROR(VLOOKUP(B590,'Pre-Summary'!$BG$6:$BL$44,4,FALSE),"")</f>
        <v/>
      </c>
    </row>
    <row r="591" spans="2:39" ht="15" customHeight="1" x14ac:dyDescent="0.3">
      <c r="B591">
        <v>58.8</v>
      </c>
      <c r="C591" t="str">
        <f>IFERROR(VLOOKUP(B591,'Pre-Summary'!$DI$6:$DM$23,4,FALSE),"")</f>
        <v/>
      </c>
      <c r="D591" s="10" t="str">
        <f>IFERROR(VLOOKUP(B591,'Pre-Summary'!$AT$6:$AX$14,5,FALSE),D590)</f>
        <v>DSMZ v2: Dropped Na-Ac out of DSMZ 120 media</v>
      </c>
      <c r="E591" s="10" t="str">
        <f>IFERROR(VLOOKUP(B591,'Pre-Summary'!$AT$6:$AX$15,4,FALSE),"")</f>
        <v/>
      </c>
      <c r="F591">
        <f>IFERROR(VLOOKUP(B591,'Pre-Summary'!$AL$6:$AQ$13,6,FALSE),F590)</f>
        <v>5.9405263157894746E-2</v>
      </c>
      <c r="G591" t="str">
        <f>IFERROR(VLOOKUP(B591,'Pre-Summary'!$AE$6:$AJ$85,3,FALSE),"")</f>
        <v/>
      </c>
      <c r="H591" t="str">
        <f>IFERROR(VLOOKUP(B591,'Pre-Summary'!$AE$6:$AJ$85,4,FALSE),"")</f>
        <v/>
      </c>
      <c r="I591" t="str">
        <f>IFERROR(VLOOKUP(B591,'Pre-Summary'!$AE$6:$AJ$85,5,FALSE),"")</f>
        <v/>
      </c>
      <c r="J591" s="45" t="str">
        <f>IFERROR(VLOOKUP(B591,'Pre-Summary'!$AE$6:$AJ$85,6, FALSE),"")</f>
        <v/>
      </c>
      <c r="K591" s="45" t="str">
        <f>IFERROR(VLOOKUP(B591,'Pre-Summary'!$DE$6:$DG$61,3,FALSE),"")</f>
        <v/>
      </c>
      <c r="L591" s="45" t="str">
        <f>IFERROR(VLOOKUP(B591,'Pre-Summary'!$CU$6:$CW$36,3,FALSE),"")</f>
        <v/>
      </c>
      <c r="M591" s="45" t="str">
        <f>IFERROR(VLOOKUP(B591,'Pre-Summary'!$BW$6:$BY$58,2,FALSE),"")</f>
        <v/>
      </c>
      <c r="N591" s="45" t="str">
        <f>IFERROR(VLOOKUP(B591,'Pre-Summary'!$CD$6:$CF$64,2,FALSE),"")</f>
        <v/>
      </c>
      <c r="O591" s="99">
        <f>IFERROR(VLOOKUP(B591,'Pre-Summary'!$BO$6:$BQ$48,3, FALSE),O590)</f>
        <v>0.9</v>
      </c>
      <c r="P591" s="99">
        <f>IFERROR(VLOOKUP(B591,'Pre-Summary'!$BS$6:$BU$35,3,FALSE),P590)</f>
        <v>0.5</v>
      </c>
      <c r="Q591" s="54">
        <f t="shared" si="27"/>
        <v>1.8</v>
      </c>
      <c r="R591" s="53">
        <f>IFERROR(VLOOKUP(B591,'Pre-Summary'!$BG$6:$BM$44,7,FALSE),R592)</f>
        <v>7.5915763918363535E-2</v>
      </c>
      <c r="S591" s="53">
        <f>IFERROR(VLOOKUP(B591,'Pre-Summary'!$BG$6:$BM$44,6,FALSE),S592)</f>
        <v>5.2897473997019086E-2</v>
      </c>
      <c r="T591" s="45" t="str">
        <f>IFERROR(VLOOKUP(B591,'Pre-Summary'!$Y$6:$AC$83, 3,FALSE),"")</f>
        <v/>
      </c>
      <c r="U591" s="45" t="str">
        <f>IFERROR(VLOOKUP(B591,'Pre-Summary'!$Y$6:$AC$83, 4,FALSE),"")</f>
        <v/>
      </c>
      <c r="V591" t="str">
        <f>IFERROR(VLOOKUP(B591,'Pre-Summary'!$Y$6:$AC$83, 5,FALSE),"")</f>
        <v/>
      </c>
      <c r="W591" s="45" t="str">
        <f>IFERROR(VLOOKUP(B591,'Pre-Summary'!$Y$6:$AD$83,6,FALSE),"")</f>
        <v/>
      </c>
      <c r="X591" t="str">
        <f>IFERROR(VLOOKUP('Pre-Summary'!$DB$6:$DD$63,3,FALSE),"")</f>
        <v/>
      </c>
      <c r="Y591" t="str">
        <f>IFERROR(VLOOKUP(B591,'Pre-Summary'!$CR$6:$CT$36,3,FALSE),"")</f>
        <v/>
      </c>
      <c r="Z591" s="45" t="str">
        <f>IFERROR(VLOOKUP(B591,'Pre-Summary'!$BZ$6:$CB$63,2,FALSE),"")</f>
        <v/>
      </c>
      <c r="AA591" s="45" t="str">
        <f>IFERROR(VLOOKUP(B591,'Pre-Summary'!$CG$6:$CI$70,2,FALSE),"")</f>
        <v/>
      </c>
      <c r="AB591" s="99">
        <f>IFERROR(VLOOKUP(B591,'Pre-Summary'!$A$6:$P$178,9,FALSE),AB592)</f>
        <v>0.87858471235308822</v>
      </c>
      <c r="AC591" s="10">
        <f>IFERROR(VLOOKUP(Summary!B591,'Pre-Summary'!$A$6:$P$184,5, FALSE)/100,AC592)</f>
        <v>0.67272566666666667</v>
      </c>
      <c r="AD591" s="10">
        <f>IFERROR(VLOOKUP(Summary!B591,'Pre-Summary'!$A$6:$P$184,3, FALSE)/100,AD592)</f>
        <v>8.9092333333333329E-2</v>
      </c>
      <c r="AE591" s="10">
        <f>IFERROR(VLOOKUP(Summary!B591,'Pre-Summary'!$A$6:$P$184,7, FALSE)/100,AE592)</f>
        <v>0.23818233333333336</v>
      </c>
      <c r="AF591" s="99">
        <f t="shared" si="28"/>
        <v>7.827516205453211E-2</v>
      </c>
      <c r="AG591" s="99">
        <f t="shared" si="29"/>
        <v>0.20926335681925406</v>
      </c>
      <c r="AH591" s="10" t="str">
        <f>IFERROR(VLOOKUP(B591,'Pre-Summary'!$AZ$6:$BE$65,3,FALSE),"")</f>
        <v/>
      </c>
      <c r="AI591" s="10" t="str">
        <f>IFERROR(VLOOKUP(B591,'Pre-Summary'!$AZ$6:$BE$65,5,FALSE),"")</f>
        <v/>
      </c>
      <c r="AJ591" s="10" t="str">
        <f>IFERROR(VLOOKUP(B591,'Pre-Summary'!$AZ$6:$BE$65,4,FALSE),"")</f>
        <v/>
      </c>
      <c r="AK591" s="10" t="str">
        <f>IFERROR(VLOOKUP(B591,'Pre-Summary'!$AZ$6:$BE$65,6,FALSE),"")</f>
        <v/>
      </c>
      <c r="AL591" s="10" t="str">
        <f>IFERROR(VLOOKUP(B591,'Pre-Summary'!$BG$6:$BL$44,3,FALSE),"")</f>
        <v/>
      </c>
      <c r="AM591" s="10" t="str">
        <f>IFERROR(VLOOKUP(B591,'Pre-Summary'!$BG$6:$BL$44,4,FALSE),"")</f>
        <v/>
      </c>
    </row>
    <row r="592" spans="2:39" ht="15" customHeight="1" x14ac:dyDescent="0.3">
      <c r="B592">
        <v>58.9</v>
      </c>
      <c r="C592" t="str">
        <f>IFERROR(VLOOKUP(B592,'Pre-Summary'!$DI$6:$DM$23,4,FALSE),"")</f>
        <v/>
      </c>
      <c r="D592" s="10" t="str">
        <f>IFERROR(VLOOKUP(B592,'Pre-Summary'!$AT$6:$AX$14,5,FALSE),D591)</f>
        <v>DSMZ v2: Dropped Na-Ac out of DSMZ 120 media</v>
      </c>
      <c r="E592" s="10" t="str">
        <f>IFERROR(VLOOKUP(B592,'Pre-Summary'!$AT$6:$AX$15,4,FALSE),"")</f>
        <v/>
      </c>
      <c r="F592">
        <f>IFERROR(VLOOKUP(B592,'Pre-Summary'!$AL$6:$AQ$13,6,FALSE),F591)</f>
        <v>5.9405263157894746E-2</v>
      </c>
      <c r="G592" t="str">
        <f>IFERROR(VLOOKUP(B592,'Pre-Summary'!$AE$6:$AJ$85,3,FALSE),"")</f>
        <v/>
      </c>
      <c r="H592" t="str">
        <f>IFERROR(VLOOKUP(B592,'Pre-Summary'!$AE$6:$AJ$85,4,FALSE),"")</f>
        <v/>
      </c>
      <c r="I592" t="str">
        <f>IFERROR(VLOOKUP(B592,'Pre-Summary'!$AE$6:$AJ$85,5,FALSE),"")</f>
        <v/>
      </c>
      <c r="J592" s="45" t="str">
        <f>IFERROR(VLOOKUP(B592,'Pre-Summary'!$AE$6:$AJ$85,6, FALSE),"")</f>
        <v/>
      </c>
      <c r="K592" s="45" t="str">
        <f>IFERROR(VLOOKUP(B592,'Pre-Summary'!$DE$6:$DG$61,3,FALSE),"")</f>
        <v/>
      </c>
      <c r="L592" s="45" t="str">
        <f>IFERROR(VLOOKUP(B592,'Pre-Summary'!$CU$6:$CW$36,3,FALSE),"")</f>
        <v/>
      </c>
      <c r="M592" s="45" t="str">
        <f>IFERROR(VLOOKUP(B592,'Pre-Summary'!$BW$6:$BY$58,2,FALSE),"")</f>
        <v/>
      </c>
      <c r="N592" s="45" t="str">
        <f>IFERROR(VLOOKUP(B592,'Pre-Summary'!$CD$6:$CF$64,2,FALSE),"")</f>
        <v/>
      </c>
      <c r="O592" s="99">
        <f>IFERROR(VLOOKUP(B592,'Pre-Summary'!$BO$6:$BQ$48,3, FALSE),O591)</f>
        <v>0.9</v>
      </c>
      <c r="P592" s="99">
        <f>IFERROR(VLOOKUP(B592,'Pre-Summary'!$BS$6:$BU$35,3,FALSE),P591)</f>
        <v>0.5</v>
      </c>
      <c r="Q592" s="54">
        <f t="shared" si="27"/>
        <v>1.8</v>
      </c>
      <c r="R592" s="53">
        <f>IFERROR(VLOOKUP(B592,'Pre-Summary'!$BG$6:$BM$44,7,FALSE),R593)</f>
        <v>7.5915763918363535E-2</v>
      </c>
      <c r="S592" s="53">
        <f>IFERROR(VLOOKUP(B592,'Pre-Summary'!$BG$6:$BM$44,6,FALSE),S593)</f>
        <v>5.2897473997019086E-2</v>
      </c>
      <c r="T592" s="45" t="str">
        <f>IFERROR(VLOOKUP(B592,'Pre-Summary'!$Y$6:$AC$83, 3,FALSE),"")</f>
        <v/>
      </c>
      <c r="U592" s="45" t="str">
        <f>IFERROR(VLOOKUP(B592,'Pre-Summary'!$Y$6:$AC$83, 4,FALSE),"")</f>
        <v/>
      </c>
      <c r="V592" t="str">
        <f>IFERROR(VLOOKUP(B592,'Pre-Summary'!$Y$6:$AC$83, 5,FALSE),"")</f>
        <v/>
      </c>
      <c r="W592" s="45" t="str">
        <f>IFERROR(VLOOKUP(B592,'Pre-Summary'!$Y$6:$AD$83,6,FALSE),"")</f>
        <v/>
      </c>
      <c r="X592" t="str">
        <f>IFERROR(VLOOKUP('Pre-Summary'!$DB$6:$DD$63,3,FALSE),"")</f>
        <v/>
      </c>
      <c r="Y592" t="str">
        <f>IFERROR(VLOOKUP(B592,'Pre-Summary'!$CR$6:$CT$36,3,FALSE),"")</f>
        <v/>
      </c>
      <c r="Z592" s="45" t="str">
        <f>IFERROR(VLOOKUP(B592,'Pre-Summary'!$BZ$6:$CB$63,2,FALSE),"")</f>
        <v/>
      </c>
      <c r="AA592" s="45" t="str">
        <f>IFERROR(VLOOKUP(B592,'Pre-Summary'!$CG$6:$CI$70,2,FALSE),"")</f>
        <v/>
      </c>
      <c r="AB592" s="99">
        <f>IFERROR(VLOOKUP(B592,'Pre-Summary'!$A$6:$P$178,9,FALSE),AB593)</f>
        <v>0.87858471235308822</v>
      </c>
      <c r="AC592" s="10">
        <f>IFERROR(VLOOKUP(Summary!B592,'Pre-Summary'!$A$6:$P$184,5, FALSE)/100,AC593)</f>
        <v>0.67272566666666667</v>
      </c>
      <c r="AD592" s="10">
        <f>IFERROR(VLOOKUP(Summary!B592,'Pre-Summary'!$A$6:$P$184,3, FALSE)/100,AD593)</f>
        <v>8.9092333333333329E-2</v>
      </c>
      <c r="AE592" s="10">
        <f>IFERROR(VLOOKUP(Summary!B592,'Pre-Summary'!$A$6:$P$184,7, FALSE)/100,AE593)</f>
        <v>0.23818233333333336</v>
      </c>
      <c r="AF592" s="99">
        <f t="shared" si="28"/>
        <v>7.827516205453211E-2</v>
      </c>
      <c r="AG592" s="99">
        <f t="shared" si="29"/>
        <v>0.20926335681925406</v>
      </c>
      <c r="AH592" s="10" t="str">
        <f>IFERROR(VLOOKUP(B592,'Pre-Summary'!$AZ$6:$BE$65,3,FALSE),"")</f>
        <v/>
      </c>
      <c r="AI592" s="10" t="str">
        <f>IFERROR(VLOOKUP(B592,'Pre-Summary'!$AZ$6:$BE$65,5,FALSE),"")</f>
        <v/>
      </c>
      <c r="AJ592" s="10" t="str">
        <f>IFERROR(VLOOKUP(B592,'Pre-Summary'!$AZ$6:$BE$65,4,FALSE),"")</f>
        <v/>
      </c>
      <c r="AK592" s="10" t="str">
        <f>IFERROR(VLOOKUP(B592,'Pre-Summary'!$AZ$6:$BE$65,6,FALSE),"")</f>
        <v/>
      </c>
      <c r="AL592" s="10" t="str">
        <f>IFERROR(VLOOKUP(B592,'Pre-Summary'!$BG$6:$BL$44,3,FALSE),"")</f>
        <v/>
      </c>
      <c r="AM592" s="10" t="str">
        <f>IFERROR(VLOOKUP(B592,'Pre-Summary'!$BG$6:$BL$44,4,FALSE),"")</f>
        <v/>
      </c>
    </row>
    <row r="593" spans="2:39" ht="15" customHeight="1" x14ac:dyDescent="0.3">
      <c r="B593">
        <v>59</v>
      </c>
      <c r="C593" t="str">
        <f>IFERROR(VLOOKUP(B593,'Pre-Summary'!$DI$6:$DM$23,4,FALSE),"")</f>
        <v/>
      </c>
      <c r="D593" s="10" t="str">
        <f>IFERROR(VLOOKUP(B593,'Pre-Summary'!$AT$6:$AX$14,5,FALSE),D592)</f>
        <v>DSMZ v2: Dropped Na-Ac out of DSMZ 120 media</v>
      </c>
      <c r="E593" s="10" t="str">
        <f>IFERROR(VLOOKUP(B593,'Pre-Summary'!$AT$6:$AX$15,4,FALSE),"")</f>
        <v/>
      </c>
      <c r="F593">
        <f>IFERROR(VLOOKUP(B593,'Pre-Summary'!$AL$6:$AQ$13,6,FALSE),F592)</f>
        <v>5.9405263157894746E-2</v>
      </c>
      <c r="G593" t="str">
        <f>IFERROR(VLOOKUP(B593,'Pre-Summary'!$AE$6:$AJ$85,3,FALSE),"")</f>
        <v/>
      </c>
      <c r="H593" t="str">
        <f>IFERROR(VLOOKUP(B593,'Pre-Summary'!$AE$6:$AJ$85,4,FALSE),"")</f>
        <v/>
      </c>
      <c r="I593" t="str">
        <f>IFERROR(VLOOKUP(B593,'Pre-Summary'!$AE$6:$AJ$85,5,FALSE),"")</f>
        <v/>
      </c>
      <c r="J593" s="45" t="str">
        <f>IFERROR(VLOOKUP(B593,'Pre-Summary'!$AE$6:$AJ$85,6, FALSE),"")</f>
        <v/>
      </c>
      <c r="K593" s="45" t="str">
        <f>IFERROR(VLOOKUP(B593,'Pre-Summary'!$DE$6:$DG$61,3,FALSE),"")</f>
        <v/>
      </c>
      <c r="L593" s="45" t="str">
        <f>IFERROR(VLOOKUP(B593,'Pre-Summary'!$CU$6:$CW$36,3,FALSE),"")</f>
        <v/>
      </c>
      <c r="M593" s="45" t="str">
        <f>IFERROR(VLOOKUP(B593,'Pre-Summary'!$BW$6:$BY$58,2,FALSE),"")</f>
        <v/>
      </c>
      <c r="N593" s="45" t="str">
        <f>IFERROR(VLOOKUP(B593,'Pre-Summary'!$CD$6:$CF$64,2,FALSE),"")</f>
        <v/>
      </c>
      <c r="O593" s="99">
        <f>IFERROR(VLOOKUP(B593,'Pre-Summary'!$BO$6:$BQ$48,3, FALSE),O592)</f>
        <v>0.9</v>
      </c>
      <c r="P593" s="99">
        <f>IFERROR(VLOOKUP(B593,'Pre-Summary'!$BS$6:$BU$35,3,FALSE),P592)</f>
        <v>0.5</v>
      </c>
      <c r="Q593" s="54">
        <f t="shared" si="27"/>
        <v>1.8</v>
      </c>
      <c r="R593" s="53">
        <f>IFERROR(VLOOKUP(B593,'Pre-Summary'!$BG$6:$BM$44,7,FALSE),R594)</f>
        <v>7.5915763918363535E-2</v>
      </c>
      <c r="S593" s="53">
        <f>IFERROR(VLOOKUP(B593,'Pre-Summary'!$BG$6:$BM$44,6,FALSE),S594)</f>
        <v>5.2897473997019086E-2</v>
      </c>
      <c r="T593" s="45" t="str">
        <f>IFERROR(VLOOKUP(B593,'Pre-Summary'!$Y$6:$AC$83, 3,FALSE),"")</f>
        <v/>
      </c>
      <c r="U593" s="45" t="str">
        <f>IFERROR(VLOOKUP(B593,'Pre-Summary'!$Y$6:$AC$83, 4,FALSE),"")</f>
        <v/>
      </c>
      <c r="V593" t="str">
        <f>IFERROR(VLOOKUP(B593,'Pre-Summary'!$Y$6:$AC$83, 5,FALSE),"")</f>
        <v/>
      </c>
      <c r="W593" s="45" t="str">
        <f>IFERROR(VLOOKUP(B593,'Pre-Summary'!$Y$6:$AD$83,6,FALSE),"")</f>
        <v/>
      </c>
      <c r="X593" t="str">
        <f>IFERROR(VLOOKUP('Pre-Summary'!$DB$6:$DD$63,3,FALSE),"")</f>
        <v/>
      </c>
      <c r="Y593" t="str">
        <f>IFERROR(VLOOKUP(B593,'Pre-Summary'!$CR$6:$CT$36,3,FALSE),"")</f>
        <v/>
      </c>
      <c r="Z593" s="45" t="str">
        <f>IFERROR(VLOOKUP(B593,'Pre-Summary'!$BZ$6:$CB$63,2,FALSE),"")</f>
        <v/>
      </c>
      <c r="AA593" s="45" t="str">
        <f>IFERROR(VLOOKUP(B593,'Pre-Summary'!$CG$6:$CI$70,2,FALSE),"")</f>
        <v/>
      </c>
      <c r="AB593" s="99">
        <f>IFERROR(VLOOKUP(B593,'Pre-Summary'!$A$6:$P$178,9,FALSE),AB594)</f>
        <v>0.87858471235308822</v>
      </c>
      <c r="AC593" s="10">
        <f>IFERROR(VLOOKUP(Summary!B593,'Pre-Summary'!$A$6:$P$184,5, FALSE)/100,AC594)</f>
        <v>0.67272566666666667</v>
      </c>
      <c r="AD593" s="10">
        <f>IFERROR(VLOOKUP(Summary!B593,'Pre-Summary'!$A$6:$P$184,3, FALSE)/100,AD594)</f>
        <v>8.9092333333333329E-2</v>
      </c>
      <c r="AE593" s="10">
        <f>IFERROR(VLOOKUP(Summary!B593,'Pre-Summary'!$A$6:$P$184,7, FALSE)/100,AE594)</f>
        <v>0.23818233333333336</v>
      </c>
      <c r="AF593" s="99">
        <f t="shared" si="28"/>
        <v>7.827516205453211E-2</v>
      </c>
      <c r="AG593" s="99">
        <f t="shared" si="29"/>
        <v>0.20926335681925406</v>
      </c>
      <c r="AH593" s="10" t="str">
        <f>IFERROR(VLOOKUP(B593,'Pre-Summary'!$AZ$6:$BE$65,3,FALSE),"")</f>
        <v/>
      </c>
      <c r="AI593" s="10" t="str">
        <f>IFERROR(VLOOKUP(B593,'Pre-Summary'!$AZ$6:$BE$65,5,FALSE),"")</f>
        <v/>
      </c>
      <c r="AJ593" s="10" t="str">
        <f>IFERROR(VLOOKUP(B593,'Pre-Summary'!$AZ$6:$BE$65,4,FALSE),"")</f>
        <v/>
      </c>
      <c r="AK593" s="10" t="str">
        <f>IFERROR(VLOOKUP(B593,'Pre-Summary'!$AZ$6:$BE$65,6,FALSE),"")</f>
        <v/>
      </c>
      <c r="AL593" s="10" t="str">
        <f>IFERROR(VLOOKUP(B593,'Pre-Summary'!$BG$6:$BL$44,3,FALSE),"")</f>
        <v/>
      </c>
      <c r="AM593" s="10" t="str">
        <f>IFERROR(VLOOKUP(B593,'Pre-Summary'!$BG$6:$BL$44,4,FALSE),"")</f>
        <v/>
      </c>
    </row>
    <row r="594" spans="2:39" ht="15" customHeight="1" x14ac:dyDescent="0.3">
      <c r="B594">
        <v>59.1</v>
      </c>
      <c r="C594" t="str">
        <f>IFERROR(VLOOKUP(B594,'Pre-Summary'!$DI$6:$DM$23,4,FALSE),"")</f>
        <v/>
      </c>
      <c r="D594" s="10" t="str">
        <f>IFERROR(VLOOKUP(B594,'Pre-Summary'!$AT$6:$AX$14,5,FALSE),D593)</f>
        <v>DSMZ v2: Dropped Na-Ac out of DSMZ 120 media</v>
      </c>
      <c r="E594" s="10" t="str">
        <f>IFERROR(VLOOKUP(B594,'Pre-Summary'!$AT$6:$AX$15,4,FALSE),"")</f>
        <v/>
      </c>
      <c r="F594">
        <f>IFERROR(VLOOKUP(B594,'Pre-Summary'!$AL$6:$AQ$13,6,FALSE),F593)</f>
        <v>5.9405263157894746E-2</v>
      </c>
      <c r="G594" t="str">
        <f>IFERROR(VLOOKUP(B594,'Pre-Summary'!$AE$6:$AJ$85,3,FALSE),"")</f>
        <v/>
      </c>
      <c r="H594" t="str">
        <f>IFERROR(VLOOKUP(B594,'Pre-Summary'!$AE$6:$AJ$85,4,FALSE),"")</f>
        <v/>
      </c>
      <c r="I594" t="str">
        <f>IFERROR(VLOOKUP(B594,'Pre-Summary'!$AE$6:$AJ$85,5,FALSE),"")</f>
        <v/>
      </c>
      <c r="J594" s="45" t="str">
        <f>IFERROR(VLOOKUP(B594,'Pre-Summary'!$AE$6:$AJ$85,6, FALSE),"")</f>
        <v/>
      </c>
      <c r="K594" s="45" t="str">
        <f>IFERROR(VLOOKUP(B594,'Pre-Summary'!$DE$6:$DG$61,3,FALSE),"")</f>
        <v/>
      </c>
      <c r="L594" s="45" t="str">
        <f>IFERROR(VLOOKUP(B594,'Pre-Summary'!$CU$6:$CW$36,3,FALSE),"")</f>
        <v/>
      </c>
      <c r="M594" s="45" t="str">
        <f>IFERROR(VLOOKUP(B594,'Pre-Summary'!$BW$6:$BY$58,2,FALSE),"")</f>
        <v/>
      </c>
      <c r="N594" s="45" t="str">
        <f>IFERROR(VLOOKUP(B594,'Pre-Summary'!$CD$6:$CF$64,2,FALSE),"")</f>
        <v/>
      </c>
      <c r="O594" s="99">
        <f>IFERROR(VLOOKUP(B594,'Pre-Summary'!$BO$6:$BQ$48,3, FALSE),O593)</f>
        <v>0.9</v>
      </c>
      <c r="P594" s="99">
        <f>IFERROR(VLOOKUP(B594,'Pre-Summary'!$BS$6:$BU$35,3,FALSE),P593)</f>
        <v>0.5</v>
      </c>
      <c r="Q594" s="54">
        <f t="shared" si="27"/>
        <v>1.8</v>
      </c>
      <c r="R594" s="53">
        <f>IFERROR(VLOOKUP(B594,'Pre-Summary'!$BG$6:$BM$44,7,FALSE),R595)</f>
        <v>7.5915763918363535E-2</v>
      </c>
      <c r="S594" s="53">
        <f>IFERROR(VLOOKUP(B594,'Pre-Summary'!$BG$6:$BM$44,6,FALSE),S595)</f>
        <v>5.2897473997019086E-2</v>
      </c>
      <c r="T594" s="45" t="str">
        <f>IFERROR(VLOOKUP(B594,'Pre-Summary'!$Y$6:$AC$83, 3,FALSE),"")</f>
        <v/>
      </c>
      <c r="U594" s="45" t="str">
        <f>IFERROR(VLOOKUP(B594,'Pre-Summary'!$Y$6:$AC$83, 4,FALSE),"")</f>
        <v/>
      </c>
      <c r="V594" t="str">
        <f>IFERROR(VLOOKUP(B594,'Pre-Summary'!$Y$6:$AC$83, 5,FALSE),"")</f>
        <v/>
      </c>
      <c r="W594" s="45" t="str">
        <f>IFERROR(VLOOKUP(B594,'Pre-Summary'!$Y$6:$AD$83,6,FALSE),"")</f>
        <v/>
      </c>
      <c r="X594" t="str">
        <f>IFERROR(VLOOKUP('Pre-Summary'!$DB$6:$DD$63,3,FALSE),"")</f>
        <v/>
      </c>
      <c r="Y594" t="str">
        <f>IFERROR(VLOOKUP(B594,'Pre-Summary'!$CR$6:$CT$36,3,FALSE),"")</f>
        <v/>
      </c>
      <c r="Z594" s="45" t="str">
        <f>IFERROR(VLOOKUP(B594,'Pre-Summary'!$BZ$6:$CB$63,2,FALSE),"")</f>
        <v/>
      </c>
      <c r="AA594" s="45" t="str">
        <f>IFERROR(VLOOKUP(B594,'Pre-Summary'!$CG$6:$CI$70,2,FALSE),"")</f>
        <v/>
      </c>
      <c r="AB594" s="99">
        <f>IFERROR(VLOOKUP(B594,'Pre-Summary'!$A$6:$P$178,9,FALSE),AB595)</f>
        <v>0.87858471235308822</v>
      </c>
      <c r="AC594" s="10">
        <f>IFERROR(VLOOKUP(Summary!B594,'Pre-Summary'!$A$6:$P$184,5, FALSE)/100,AC595)</f>
        <v>0.67272566666666667</v>
      </c>
      <c r="AD594" s="10">
        <f>IFERROR(VLOOKUP(Summary!B594,'Pre-Summary'!$A$6:$P$184,3, FALSE)/100,AD595)</f>
        <v>8.9092333333333329E-2</v>
      </c>
      <c r="AE594" s="10">
        <f>IFERROR(VLOOKUP(Summary!B594,'Pre-Summary'!$A$6:$P$184,7, FALSE)/100,AE595)</f>
        <v>0.23818233333333336</v>
      </c>
      <c r="AF594" s="99">
        <f t="shared" si="28"/>
        <v>7.827516205453211E-2</v>
      </c>
      <c r="AG594" s="99">
        <f t="shared" si="29"/>
        <v>0.20926335681925406</v>
      </c>
      <c r="AH594" s="10" t="str">
        <f>IFERROR(VLOOKUP(B594,'Pre-Summary'!$AZ$6:$BE$65,3,FALSE),"")</f>
        <v/>
      </c>
      <c r="AI594" s="10" t="str">
        <f>IFERROR(VLOOKUP(B594,'Pre-Summary'!$AZ$6:$BE$65,5,FALSE),"")</f>
        <v/>
      </c>
      <c r="AJ594" s="10" t="str">
        <f>IFERROR(VLOOKUP(B594,'Pre-Summary'!$AZ$6:$BE$65,4,FALSE),"")</f>
        <v/>
      </c>
      <c r="AK594" s="10" t="str">
        <f>IFERROR(VLOOKUP(B594,'Pre-Summary'!$AZ$6:$BE$65,6,FALSE),"")</f>
        <v/>
      </c>
      <c r="AL594" s="10" t="str">
        <f>IFERROR(VLOOKUP(B594,'Pre-Summary'!$BG$6:$BL$44,3,FALSE),"")</f>
        <v/>
      </c>
      <c r="AM594" s="10" t="str">
        <f>IFERROR(VLOOKUP(B594,'Pre-Summary'!$BG$6:$BL$44,4,FALSE),"")</f>
        <v/>
      </c>
    </row>
    <row r="595" spans="2:39" ht="15" customHeight="1" x14ac:dyDescent="0.3">
      <c r="B595">
        <v>59.2</v>
      </c>
      <c r="C595" t="str">
        <f>IFERROR(VLOOKUP(B595,'Pre-Summary'!$DI$6:$DM$23,4,FALSE),"")</f>
        <v/>
      </c>
      <c r="D595" s="10" t="str">
        <f>IFERROR(VLOOKUP(B595,'Pre-Summary'!$AT$6:$AX$14,5,FALSE),D594)</f>
        <v>DSMZ v2: Dropped Na-Ac out of DSMZ 120 media</v>
      </c>
      <c r="E595" s="10" t="str">
        <f>IFERROR(VLOOKUP(B595,'Pre-Summary'!$AT$6:$AX$15,4,FALSE),"")</f>
        <v/>
      </c>
      <c r="F595">
        <f>IFERROR(VLOOKUP(B595,'Pre-Summary'!$AL$6:$AQ$13,6,FALSE),F594)</f>
        <v>5.9405263157894746E-2</v>
      </c>
      <c r="G595" t="str">
        <f>IFERROR(VLOOKUP(B595,'Pre-Summary'!$AE$6:$AJ$85,3,FALSE),"")</f>
        <v/>
      </c>
      <c r="H595" t="str">
        <f>IFERROR(VLOOKUP(B595,'Pre-Summary'!$AE$6:$AJ$85,4,FALSE),"")</f>
        <v/>
      </c>
      <c r="I595" t="str">
        <f>IFERROR(VLOOKUP(B595,'Pre-Summary'!$AE$6:$AJ$85,5,FALSE),"")</f>
        <v/>
      </c>
      <c r="J595" s="45" t="str">
        <f>IFERROR(VLOOKUP(B595,'Pre-Summary'!$AE$6:$AJ$85,6, FALSE),"")</f>
        <v/>
      </c>
      <c r="K595" s="45" t="str">
        <f>IFERROR(VLOOKUP(B595,'Pre-Summary'!$DE$6:$DG$61,3,FALSE),"")</f>
        <v/>
      </c>
      <c r="L595" s="45" t="str">
        <f>IFERROR(VLOOKUP(B595,'Pre-Summary'!$CU$6:$CW$36,3,FALSE),"")</f>
        <v/>
      </c>
      <c r="M595" s="45" t="str">
        <f>IFERROR(VLOOKUP(B595,'Pre-Summary'!$BW$6:$BY$58,2,FALSE),"")</f>
        <v/>
      </c>
      <c r="N595" s="45" t="str">
        <f>IFERROR(VLOOKUP(B595,'Pre-Summary'!$CD$6:$CF$64,2,FALSE),"")</f>
        <v/>
      </c>
      <c r="O595" s="99">
        <f>IFERROR(VLOOKUP(B595,'Pre-Summary'!$BO$6:$BQ$48,3, FALSE),O594)</f>
        <v>0.9</v>
      </c>
      <c r="P595" s="99">
        <f>IFERROR(VLOOKUP(B595,'Pre-Summary'!$BS$6:$BU$35,3,FALSE),P594)</f>
        <v>0.5</v>
      </c>
      <c r="Q595" s="54">
        <f t="shared" si="27"/>
        <v>1.8</v>
      </c>
      <c r="R595" s="53">
        <f>IFERROR(VLOOKUP(B595,'Pre-Summary'!$BG$6:$BM$44,7,FALSE),R596)</f>
        <v>7.5915763918363535E-2</v>
      </c>
      <c r="S595" s="53">
        <f>IFERROR(VLOOKUP(B595,'Pre-Summary'!$BG$6:$BM$44,6,FALSE),S596)</f>
        <v>5.2897473997019086E-2</v>
      </c>
      <c r="T595" s="45" t="str">
        <f>IFERROR(VLOOKUP(B595,'Pre-Summary'!$Y$6:$AC$83, 3,FALSE),"")</f>
        <v/>
      </c>
      <c r="U595" s="45" t="str">
        <f>IFERROR(VLOOKUP(B595,'Pre-Summary'!$Y$6:$AC$83, 4,FALSE),"")</f>
        <v/>
      </c>
      <c r="V595" t="str">
        <f>IFERROR(VLOOKUP(B595,'Pre-Summary'!$Y$6:$AC$83, 5,FALSE),"")</f>
        <v/>
      </c>
      <c r="W595" s="45" t="str">
        <f>IFERROR(VLOOKUP(B595,'Pre-Summary'!$Y$6:$AD$83,6,FALSE),"")</f>
        <v/>
      </c>
      <c r="X595" t="str">
        <f>IFERROR(VLOOKUP('Pre-Summary'!$DB$6:$DD$63,3,FALSE),"")</f>
        <v/>
      </c>
      <c r="Y595" t="str">
        <f>IFERROR(VLOOKUP(B595,'Pre-Summary'!$CR$6:$CT$36,3,FALSE),"")</f>
        <v/>
      </c>
      <c r="Z595" s="45" t="str">
        <f>IFERROR(VLOOKUP(B595,'Pre-Summary'!$BZ$6:$CB$63,2,FALSE),"")</f>
        <v/>
      </c>
      <c r="AA595" s="45" t="str">
        <f>IFERROR(VLOOKUP(B595,'Pre-Summary'!$CG$6:$CI$70,2,FALSE),"")</f>
        <v/>
      </c>
      <c r="AB595" s="99">
        <f>IFERROR(VLOOKUP(B595,'Pre-Summary'!$A$6:$P$178,9,FALSE),AB596)</f>
        <v>0.87858471235308822</v>
      </c>
      <c r="AC595" s="10">
        <f>IFERROR(VLOOKUP(Summary!B595,'Pre-Summary'!$A$6:$P$184,5, FALSE)/100,AC596)</f>
        <v>0.67272566666666667</v>
      </c>
      <c r="AD595" s="10">
        <f>IFERROR(VLOOKUP(Summary!B595,'Pre-Summary'!$A$6:$P$184,3, FALSE)/100,AD596)</f>
        <v>8.9092333333333329E-2</v>
      </c>
      <c r="AE595" s="10">
        <f>IFERROR(VLOOKUP(Summary!B595,'Pre-Summary'!$A$6:$P$184,7, FALSE)/100,AE596)</f>
        <v>0.23818233333333336</v>
      </c>
      <c r="AF595" s="99">
        <f t="shared" si="28"/>
        <v>7.827516205453211E-2</v>
      </c>
      <c r="AG595" s="99">
        <f t="shared" si="29"/>
        <v>0.20926335681925406</v>
      </c>
      <c r="AH595" s="10" t="str">
        <f>IFERROR(VLOOKUP(B595,'Pre-Summary'!$AZ$6:$BE$65,3,FALSE),"")</f>
        <v/>
      </c>
      <c r="AI595" s="10" t="str">
        <f>IFERROR(VLOOKUP(B595,'Pre-Summary'!$AZ$6:$BE$65,5,FALSE),"")</f>
        <v/>
      </c>
      <c r="AJ595" s="10" t="str">
        <f>IFERROR(VLOOKUP(B595,'Pre-Summary'!$AZ$6:$BE$65,4,FALSE),"")</f>
        <v/>
      </c>
      <c r="AK595" s="10" t="str">
        <f>IFERROR(VLOOKUP(B595,'Pre-Summary'!$AZ$6:$BE$65,6,FALSE),"")</f>
        <v/>
      </c>
      <c r="AL595" s="10" t="str">
        <f>IFERROR(VLOOKUP(B595,'Pre-Summary'!$BG$6:$BL$44,3,FALSE),"")</f>
        <v/>
      </c>
      <c r="AM595" s="10" t="str">
        <f>IFERROR(VLOOKUP(B595,'Pre-Summary'!$BG$6:$BL$44,4,FALSE),"")</f>
        <v/>
      </c>
    </row>
    <row r="596" spans="2:39" ht="15" customHeight="1" x14ac:dyDescent="0.3">
      <c r="B596">
        <v>59.3</v>
      </c>
      <c r="C596" t="str">
        <f>IFERROR(VLOOKUP(B596,'Pre-Summary'!$DI$6:$DM$23,4,FALSE),"")</f>
        <v/>
      </c>
      <c r="D596" s="10" t="str">
        <f>IFERROR(VLOOKUP(B596,'Pre-Summary'!$AT$6:$AX$14,5,FALSE),D595)</f>
        <v>DSMZ v2: Dropped Na-Ac out of DSMZ 120 media</v>
      </c>
      <c r="E596" s="10" t="str">
        <f>IFERROR(VLOOKUP(B596,'Pre-Summary'!$AT$6:$AX$15,4,FALSE),"")</f>
        <v/>
      </c>
      <c r="F596">
        <f>IFERROR(VLOOKUP(B596,'Pre-Summary'!$AL$6:$AQ$13,6,FALSE),F595)</f>
        <v>5.9405263157894746E-2</v>
      </c>
      <c r="G596" t="str">
        <f>IFERROR(VLOOKUP(B596,'Pre-Summary'!$AE$6:$AJ$85,3,FALSE),"")</f>
        <v/>
      </c>
      <c r="H596" t="str">
        <f>IFERROR(VLOOKUP(B596,'Pre-Summary'!$AE$6:$AJ$85,4,FALSE),"")</f>
        <v/>
      </c>
      <c r="I596" t="str">
        <f>IFERROR(VLOOKUP(B596,'Pre-Summary'!$AE$6:$AJ$85,5,FALSE),"")</f>
        <v/>
      </c>
      <c r="J596" s="45" t="str">
        <f>IFERROR(VLOOKUP(B596,'Pre-Summary'!$AE$6:$AJ$85,6, FALSE),"")</f>
        <v/>
      </c>
      <c r="K596" s="45" t="str">
        <f>IFERROR(VLOOKUP(B596,'Pre-Summary'!$DE$6:$DG$61,3,FALSE),"")</f>
        <v/>
      </c>
      <c r="L596" s="45" t="str">
        <f>IFERROR(VLOOKUP(B596,'Pre-Summary'!$CU$6:$CW$36,3,FALSE),"")</f>
        <v/>
      </c>
      <c r="M596" s="45" t="str">
        <f>IFERROR(VLOOKUP(B596,'Pre-Summary'!$BW$6:$BY$58,2,FALSE),"")</f>
        <v/>
      </c>
      <c r="N596" s="45" t="str">
        <f>IFERROR(VLOOKUP(B596,'Pre-Summary'!$CD$6:$CF$64,2,FALSE),"")</f>
        <v/>
      </c>
      <c r="O596" s="99">
        <f>IFERROR(VLOOKUP(B596,'Pre-Summary'!$BO$6:$BQ$48,3, FALSE),O595)</f>
        <v>0.9</v>
      </c>
      <c r="P596" s="99">
        <f>IFERROR(VLOOKUP(B596,'Pre-Summary'!$BS$6:$BU$35,3,FALSE),P595)</f>
        <v>0.5</v>
      </c>
      <c r="Q596" s="54">
        <f t="shared" si="27"/>
        <v>1.8</v>
      </c>
      <c r="R596" s="53">
        <f>IFERROR(VLOOKUP(B596,'Pre-Summary'!$BG$6:$BM$44,7,FALSE),R597)</f>
        <v>7.5915763918363535E-2</v>
      </c>
      <c r="S596" s="53">
        <f>IFERROR(VLOOKUP(B596,'Pre-Summary'!$BG$6:$BM$44,6,FALSE),S597)</f>
        <v>5.2897473997019086E-2</v>
      </c>
      <c r="T596" s="45" t="str">
        <f>IFERROR(VLOOKUP(B596,'Pre-Summary'!$Y$6:$AC$83, 3,FALSE),"")</f>
        <v/>
      </c>
      <c r="U596" s="45" t="str">
        <f>IFERROR(VLOOKUP(B596,'Pre-Summary'!$Y$6:$AC$83, 4,FALSE),"")</f>
        <v/>
      </c>
      <c r="V596" t="str">
        <f>IFERROR(VLOOKUP(B596,'Pre-Summary'!$Y$6:$AC$83, 5,FALSE),"")</f>
        <v/>
      </c>
      <c r="W596" s="45" t="str">
        <f>IFERROR(VLOOKUP(B596,'Pre-Summary'!$Y$6:$AD$83,6,FALSE),"")</f>
        <v/>
      </c>
      <c r="X596" t="str">
        <f>IFERROR(VLOOKUP('Pre-Summary'!$DB$6:$DD$63,3,FALSE),"")</f>
        <v/>
      </c>
      <c r="Y596" t="str">
        <f>IFERROR(VLOOKUP(B596,'Pre-Summary'!$CR$6:$CT$36,3,FALSE),"")</f>
        <v/>
      </c>
      <c r="Z596" s="45" t="str">
        <f>IFERROR(VLOOKUP(B596,'Pre-Summary'!$BZ$6:$CB$63,2,FALSE),"")</f>
        <v/>
      </c>
      <c r="AA596" s="45" t="str">
        <f>IFERROR(VLOOKUP(B596,'Pre-Summary'!$CG$6:$CI$70,2,FALSE),"")</f>
        <v/>
      </c>
      <c r="AB596" s="99">
        <f>IFERROR(VLOOKUP(B596,'Pre-Summary'!$A$6:$P$178,9,FALSE),AB597)</f>
        <v>0.87858471235308822</v>
      </c>
      <c r="AC596" s="10">
        <f>IFERROR(VLOOKUP(Summary!B596,'Pre-Summary'!$A$6:$P$184,5, FALSE)/100,AC597)</f>
        <v>0.67272566666666667</v>
      </c>
      <c r="AD596" s="10">
        <f>IFERROR(VLOOKUP(Summary!B596,'Pre-Summary'!$A$6:$P$184,3, FALSE)/100,AD597)</f>
        <v>8.9092333333333329E-2</v>
      </c>
      <c r="AE596" s="10">
        <f>IFERROR(VLOOKUP(Summary!B596,'Pre-Summary'!$A$6:$P$184,7, FALSE)/100,AE597)</f>
        <v>0.23818233333333336</v>
      </c>
      <c r="AF596" s="99">
        <f t="shared" si="28"/>
        <v>7.827516205453211E-2</v>
      </c>
      <c r="AG596" s="99">
        <f t="shared" si="29"/>
        <v>0.20926335681925406</v>
      </c>
      <c r="AH596" s="10" t="str">
        <f>IFERROR(VLOOKUP(B596,'Pre-Summary'!$AZ$6:$BE$65,3,FALSE),"")</f>
        <v/>
      </c>
      <c r="AI596" s="10" t="str">
        <f>IFERROR(VLOOKUP(B596,'Pre-Summary'!$AZ$6:$BE$65,5,FALSE),"")</f>
        <v/>
      </c>
      <c r="AJ596" s="10" t="str">
        <f>IFERROR(VLOOKUP(B596,'Pre-Summary'!$AZ$6:$BE$65,4,FALSE),"")</f>
        <v/>
      </c>
      <c r="AK596" s="10" t="str">
        <f>IFERROR(VLOOKUP(B596,'Pre-Summary'!$AZ$6:$BE$65,6,FALSE),"")</f>
        <v/>
      </c>
      <c r="AL596" s="10" t="str">
        <f>IFERROR(VLOOKUP(B596,'Pre-Summary'!$BG$6:$BL$44,3,FALSE),"")</f>
        <v/>
      </c>
      <c r="AM596" s="10" t="str">
        <f>IFERROR(VLOOKUP(B596,'Pre-Summary'!$BG$6:$BL$44,4,FALSE),"")</f>
        <v/>
      </c>
    </row>
    <row r="597" spans="2:39" ht="15" customHeight="1" x14ac:dyDescent="0.3">
      <c r="B597">
        <v>59.4</v>
      </c>
      <c r="C597" t="str">
        <f>IFERROR(VLOOKUP(B597,'Pre-Summary'!$DI$6:$DM$23,4,FALSE),"")</f>
        <v/>
      </c>
      <c r="D597" s="10" t="str">
        <f>IFERROR(VLOOKUP(B597,'Pre-Summary'!$AT$6:$AX$14,5,FALSE),D596)</f>
        <v>DSMZ v2: Dropped Na-Ac out of DSMZ 120 media</v>
      </c>
      <c r="E597" s="10" t="str">
        <f>IFERROR(VLOOKUP(B597,'Pre-Summary'!$AT$6:$AX$15,4,FALSE),"")</f>
        <v/>
      </c>
      <c r="F597">
        <f>IFERROR(VLOOKUP(B597,'Pre-Summary'!$AL$6:$AQ$13,6,FALSE),F596)</f>
        <v>5.9405263157894746E-2</v>
      </c>
      <c r="G597" t="str">
        <f>IFERROR(VLOOKUP(B597,'Pre-Summary'!$AE$6:$AJ$85,3,FALSE),"")</f>
        <v/>
      </c>
      <c r="H597" t="str">
        <f>IFERROR(VLOOKUP(B597,'Pre-Summary'!$AE$6:$AJ$85,4,FALSE),"")</f>
        <v/>
      </c>
      <c r="I597" t="str">
        <f>IFERROR(VLOOKUP(B597,'Pre-Summary'!$AE$6:$AJ$85,5,FALSE),"")</f>
        <v/>
      </c>
      <c r="J597" s="45" t="str">
        <f>IFERROR(VLOOKUP(B597,'Pre-Summary'!$AE$6:$AJ$85,6, FALSE),"")</f>
        <v/>
      </c>
      <c r="K597" s="45" t="str">
        <f>IFERROR(VLOOKUP(B597,'Pre-Summary'!$DE$6:$DG$61,3,FALSE),"")</f>
        <v/>
      </c>
      <c r="L597" s="45" t="str">
        <f>IFERROR(VLOOKUP(B597,'Pre-Summary'!$CU$6:$CW$36,3,FALSE),"")</f>
        <v/>
      </c>
      <c r="M597" s="45" t="str">
        <f>IFERROR(VLOOKUP(B597,'Pre-Summary'!$BW$6:$BY$58,2,FALSE),"")</f>
        <v/>
      </c>
      <c r="N597" s="45" t="str">
        <f>IFERROR(VLOOKUP(B597,'Pre-Summary'!$CD$6:$CF$64,2,FALSE),"")</f>
        <v/>
      </c>
      <c r="O597" s="99">
        <f>IFERROR(VLOOKUP(B597,'Pre-Summary'!$BO$6:$BQ$48,3, FALSE),O596)</f>
        <v>0.9</v>
      </c>
      <c r="P597" s="99">
        <f>IFERROR(VLOOKUP(B597,'Pre-Summary'!$BS$6:$BU$35,3,FALSE),P596)</f>
        <v>0.5</v>
      </c>
      <c r="Q597" s="54">
        <f t="shared" si="27"/>
        <v>1.8</v>
      </c>
      <c r="R597" s="53">
        <f>IFERROR(VLOOKUP(B597,'Pre-Summary'!$BG$6:$BM$44,7,FALSE),R598)</f>
        <v>7.5915763918363535E-2</v>
      </c>
      <c r="S597" s="53">
        <f>IFERROR(VLOOKUP(B597,'Pre-Summary'!$BG$6:$BM$44,6,FALSE),S598)</f>
        <v>5.2897473997019086E-2</v>
      </c>
      <c r="T597" s="45" t="str">
        <f>IFERROR(VLOOKUP(B597,'Pre-Summary'!$Y$6:$AC$83, 3,FALSE),"")</f>
        <v/>
      </c>
      <c r="U597" s="45" t="str">
        <f>IFERROR(VLOOKUP(B597,'Pre-Summary'!$Y$6:$AC$83, 4,FALSE),"")</f>
        <v/>
      </c>
      <c r="V597" t="str">
        <f>IFERROR(VLOOKUP(B597,'Pre-Summary'!$Y$6:$AC$83, 5,FALSE),"")</f>
        <v/>
      </c>
      <c r="W597" s="45" t="str">
        <f>IFERROR(VLOOKUP(B597,'Pre-Summary'!$Y$6:$AD$83,6,FALSE),"")</f>
        <v/>
      </c>
      <c r="X597" t="str">
        <f>IFERROR(VLOOKUP('Pre-Summary'!$DB$6:$DD$63,3,FALSE),"")</f>
        <v/>
      </c>
      <c r="Y597" t="str">
        <f>IFERROR(VLOOKUP(B597,'Pre-Summary'!$CR$6:$CT$36,3,FALSE),"")</f>
        <v/>
      </c>
      <c r="Z597" s="45" t="str">
        <f>IFERROR(VLOOKUP(B597,'Pre-Summary'!$BZ$6:$CB$63,2,FALSE),"")</f>
        <v/>
      </c>
      <c r="AA597" s="45" t="str">
        <f>IFERROR(VLOOKUP(B597,'Pre-Summary'!$CG$6:$CI$70,2,FALSE),"")</f>
        <v/>
      </c>
      <c r="AB597" s="99">
        <f>IFERROR(VLOOKUP(B597,'Pre-Summary'!$A$6:$P$178,9,FALSE),AB598)</f>
        <v>0.87858471235308822</v>
      </c>
      <c r="AC597" s="10">
        <f>IFERROR(VLOOKUP(Summary!B597,'Pre-Summary'!$A$6:$P$184,5, FALSE)/100,AC598)</f>
        <v>0.67272566666666667</v>
      </c>
      <c r="AD597" s="10">
        <f>IFERROR(VLOOKUP(Summary!B597,'Pre-Summary'!$A$6:$P$184,3, FALSE)/100,AD598)</f>
        <v>8.9092333333333329E-2</v>
      </c>
      <c r="AE597" s="10">
        <f>IFERROR(VLOOKUP(Summary!B597,'Pre-Summary'!$A$6:$P$184,7, FALSE)/100,AE598)</f>
        <v>0.23818233333333336</v>
      </c>
      <c r="AF597" s="99">
        <f t="shared" si="28"/>
        <v>7.827516205453211E-2</v>
      </c>
      <c r="AG597" s="99">
        <f t="shared" si="29"/>
        <v>0.20926335681925406</v>
      </c>
      <c r="AH597" s="10" t="str">
        <f>IFERROR(VLOOKUP(B597,'Pre-Summary'!$AZ$6:$BE$65,3,FALSE),"")</f>
        <v/>
      </c>
      <c r="AI597" s="10" t="str">
        <f>IFERROR(VLOOKUP(B597,'Pre-Summary'!$AZ$6:$BE$65,5,FALSE),"")</f>
        <v/>
      </c>
      <c r="AJ597" s="10" t="str">
        <f>IFERROR(VLOOKUP(B597,'Pre-Summary'!$AZ$6:$BE$65,4,FALSE),"")</f>
        <v/>
      </c>
      <c r="AK597" s="10" t="str">
        <f>IFERROR(VLOOKUP(B597,'Pre-Summary'!$AZ$6:$BE$65,6,FALSE),"")</f>
        <v/>
      </c>
      <c r="AL597" s="10" t="str">
        <f>IFERROR(VLOOKUP(B597,'Pre-Summary'!$BG$6:$BL$44,3,FALSE),"")</f>
        <v/>
      </c>
      <c r="AM597" s="10" t="str">
        <f>IFERROR(VLOOKUP(B597,'Pre-Summary'!$BG$6:$BL$44,4,FALSE),"")</f>
        <v/>
      </c>
    </row>
    <row r="598" spans="2:39" ht="15" customHeight="1" x14ac:dyDescent="0.3">
      <c r="B598">
        <v>59.5</v>
      </c>
      <c r="C598" t="str">
        <f>IFERROR(VLOOKUP(B598,'Pre-Summary'!$DI$6:$DM$23,4,FALSE),"")</f>
        <v/>
      </c>
      <c r="D598" s="10" t="str">
        <f>IFERROR(VLOOKUP(B598,'Pre-Summary'!$AT$6:$AX$14,5,FALSE),D597)</f>
        <v>DSMZ v2: Dropped Na-Ac out of DSMZ 120 media</v>
      </c>
      <c r="E598" s="10" t="str">
        <f>IFERROR(VLOOKUP(B598,'Pre-Summary'!$AT$6:$AX$15,4,FALSE),"")</f>
        <v/>
      </c>
      <c r="F598">
        <f>IFERROR(VLOOKUP(B598,'Pre-Summary'!$AL$6:$AQ$13,6,FALSE),F597)</f>
        <v>5.9405263157894746E-2</v>
      </c>
      <c r="G598" t="str">
        <f>IFERROR(VLOOKUP(B598,'Pre-Summary'!$AE$6:$AJ$85,3,FALSE),"")</f>
        <v/>
      </c>
      <c r="H598" t="str">
        <f>IFERROR(VLOOKUP(B598,'Pre-Summary'!$AE$6:$AJ$85,4,FALSE),"")</f>
        <v/>
      </c>
      <c r="I598" t="str">
        <f>IFERROR(VLOOKUP(B598,'Pre-Summary'!$AE$6:$AJ$85,5,FALSE),"")</f>
        <v/>
      </c>
      <c r="J598" s="45" t="str">
        <f>IFERROR(VLOOKUP(B598,'Pre-Summary'!$AE$6:$AJ$85,6, FALSE),"")</f>
        <v/>
      </c>
      <c r="K598" s="45" t="str">
        <f>IFERROR(VLOOKUP(B598,'Pre-Summary'!$DE$6:$DG$61,3,FALSE),"")</f>
        <v/>
      </c>
      <c r="L598" s="45" t="str">
        <f>IFERROR(VLOOKUP(B598,'Pre-Summary'!$CU$6:$CW$36,3,FALSE),"")</f>
        <v/>
      </c>
      <c r="M598" s="45" t="str">
        <f>IFERROR(VLOOKUP(B598,'Pre-Summary'!$BW$6:$BY$58,2,FALSE),"")</f>
        <v/>
      </c>
      <c r="N598" s="45" t="str">
        <f>IFERROR(VLOOKUP(B598,'Pre-Summary'!$CD$6:$CF$64,2,FALSE),"")</f>
        <v/>
      </c>
      <c r="O598" s="99">
        <f>IFERROR(VLOOKUP(B598,'Pre-Summary'!$BO$6:$BQ$48,3, FALSE),O597)</f>
        <v>0.9</v>
      </c>
      <c r="P598" s="99">
        <f>IFERROR(VLOOKUP(B598,'Pre-Summary'!$BS$6:$BU$35,3,FALSE),P597)</f>
        <v>0.5</v>
      </c>
      <c r="Q598" s="54">
        <f t="shared" si="27"/>
        <v>1.8</v>
      </c>
      <c r="R598" s="53">
        <f>IFERROR(VLOOKUP(B598,'Pre-Summary'!$BG$6:$BM$44,7,FALSE),R599)</f>
        <v>7.5915763918363535E-2</v>
      </c>
      <c r="S598" s="53">
        <f>IFERROR(VLOOKUP(B598,'Pre-Summary'!$BG$6:$BM$44,6,FALSE),S599)</f>
        <v>5.2897473997019086E-2</v>
      </c>
      <c r="T598" s="45" t="str">
        <f>IFERROR(VLOOKUP(B598,'Pre-Summary'!$Y$6:$AC$83, 3,FALSE),"")</f>
        <v/>
      </c>
      <c r="U598" s="45" t="str">
        <f>IFERROR(VLOOKUP(B598,'Pre-Summary'!$Y$6:$AC$83, 4,FALSE),"")</f>
        <v/>
      </c>
      <c r="V598" t="str">
        <f>IFERROR(VLOOKUP(B598,'Pre-Summary'!$Y$6:$AC$83, 5,FALSE),"")</f>
        <v/>
      </c>
      <c r="W598" s="45" t="str">
        <f>IFERROR(VLOOKUP(B598,'Pre-Summary'!$Y$6:$AD$83,6,FALSE),"")</f>
        <v/>
      </c>
      <c r="X598" t="str">
        <f>IFERROR(VLOOKUP('Pre-Summary'!$DB$6:$DD$63,3,FALSE),"")</f>
        <v/>
      </c>
      <c r="Y598" t="str">
        <f>IFERROR(VLOOKUP(B598,'Pre-Summary'!$CR$6:$CT$36,3,FALSE),"")</f>
        <v/>
      </c>
      <c r="Z598" s="45" t="str">
        <f>IFERROR(VLOOKUP(B598,'Pre-Summary'!$BZ$6:$CB$63,2,FALSE),"")</f>
        <v/>
      </c>
      <c r="AA598" s="45" t="str">
        <f>IFERROR(VLOOKUP(B598,'Pre-Summary'!$CG$6:$CI$70,2,FALSE),"")</f>
        <v/>
      </c>
      <c r="AB598" s="99">
        <f>IFERROR(VLOOKUP(B598,'Pre-Summary'!$A$6:$P$178,9,FALSE),AB599)</f>
        <v>0.87858471235308822</v>
      </c>
      <c r="AC598" s="10">
        <f>IFERROR(VLOOKUP(Summary!B598,'Pre-Summary'!$A$6:$P$184,5, FALSE)/100,AC599)</f>
        <v>0.67272566666666667</v>
      </c>
      <c r="AD598" s="10">
        <f>IFERROR(VLOOKUP(Summary!B598,'Pre-Summary'!$A$6:$P$184,3, FALSE)/100,AD599)</f>
        <v>8.9092333333333329E-2</v>
      </c>
      <c r="AE598" s="10">
        <f>IFERROR(VLOOKUP(Summary!B598,'Pre-Summary'!$A$6:$P$184,7, FALSE)/100,AE599)</f>
        <v>0.23818233333333336</v>
      </c>
      <c r="AF598" s="99">
        <f t="shared" si="28"/>
        <v>7.827516205453211E-2</v>
      </c>
      <c r="AG598" s="99">
        <f t="shared" si="29"/>
        <v>0.20926335681925406</v>
      </c>
      <c r="AH598" s="10" t="str">
        <f>IFERROR(VLOOKUP(B598,'Pre-Summary'!$AZ$6:$BE$65,3,FALSE),"")</f>
        <v/>
      </c>
      <c r="AI598" s="10" t="str">
        <f>IFERROR(VLOOKUP(B598,'Pre-Summary'!$AZ$6:$BE$65,5,FALSE),"")</f>
        <v/>
      </c>
      <c r="AJ598" s="10" t="str">
        <f>IFERROR(VLOOKUP(B598,'Pre-Summary'!$AZ$6:$BE$65,4,FALSE),"")</f>
        <v/>
      </c>
      <c r="AK598" s="10" t="str">
        <f>IFERROR(VLOOKUP(B598,'Pre-Summary'!$AZ$6:$BE$65,6,FALSE),"")</f>
        <v/>
      </c>
      <c r="AL598" s="10" t="str">
        <f>IFERROR(VLOOKUP(B598,'Pre-Summary'!$BG$6:$BL$44,3,FALSE),"")</f>
        <v/>
      </c>
      <c r="AM598" s="10" t="str">
        <f>IFERROR(VLOOKUP(B598,'Pre-Summary'!$BG$6:$BL$44,4,FALSE),"")</f>
        <v/>
      </c>
    </row>
    <row r="599" spans="2:39" ht="15" customHeight="1" x14ac:dyDescent="0.3">
      <c r="B599">
        <v>59.6</v>
      </c>
      <c r="C599" t="str">
        <f>IFERROR(VLOOKUP(B599,'Pre-Summary'!$DI$6:$DM$23,4,FALSE),"")</f>
        <v/>
      </c>
      <c r="D599" s="10" t="str">
        <f>IFERROR(VLOOKUP(B599,'Pre-Summary'!$AT$6:$AX$14,5,FALSE),D598)</f>
        <v>DSMZ v2: Dropped Na-Ac out of DSMZ 120 media</v>
      </c>
      <c r="E599" s="10" t="str">
        <f>IFERROR(VLOOKUP(B599,'Pre-Summary'!$AT$6:$AX$15,4,FALSE),"")</f>
        <v/>
      </c>
      <c r="F599">
        <f>IFERROR(VLOOKUP(B599,'Pre-Summary'!$AL$6:$AQ$13,6,FALSE),F598)</f>
        <v>5.9405263157894746E-2</v>
      </c>
      <c r="G599" t="str">
        <f>IFERROR(VLOOKUP(B599,'Pre-Summary'!$AE$6:$AJ$85,3,FALSE),"")</f>
        <v/>
      </c>
      <c r="H599" t="str">
        <f>IFERROR(VLOOKUP(B599,'Pre-Summary'!$AE$6:$AJ$85,4,FALSE),"")</f>
        <v/>
      </c>
      <c r="I599" t="str">
        <f>IFERROR(VLOOKUP(B599,'Pre-Summary'!$AE$6:$AJ$85,5,FALSE),"")</f>
        <v/>
      </c>
      <c r="J599" s="45" t="str">
        <f>IFERROR(VLOOKUP(B599,'Pre-Summary'!$AE$6:$AJ$85,6, FALSE),"")</f>
        <v/>
      </c>
      <c r="K599" s="45" t="str">
        <f>IFERROR(VLOOKUP(B599,'Pre-Summary'!$DE$6:$DG$61,3,FALSE),"")</f>
        <v/>
      </c>
      <c r="L599" s="45" t="str">
        <f>IFERROR(VLOOKUP(B599,'Pre-Summary'!$CU$6:$CW$36,3,FALSE),"")</f>
        <v/>
      </c>
      <c r="M599" s="45" t="str">
        <f>IFERROR(VLOOKUP(B599,'Pre-Summary'!$BW$6:$BY$58,2,FALSE),"")</f>
        <v/>
      </c>
      <c r="N599" s="45" t="str">
        <f>IFERROR(VLOOKUP(B599,'Pre-Summary'!$CD$6:$CF$64,2,FALSE),"")</f>
        <v/>
      </c>
      <c r="O599" s="99">
        <f>IFERROR(VLOOKUP(B599,'Pre-Summary'!$BO$6:$BQ$48,3, FALSE),O598)</f>
        <v>0.9</v>
      </c>
      <c r="P599" s="99">
        <f>IFERROR(VLOOKUP(B599,'Pre-Summary'!$BS$6:$BU$35,3,FALSE),P598)</f>
        <v>0.5</v>
      </c>
      <c r="Q599" s="54">
        <f t="shared" si="27"/>
        <v>1.8</v>
      </c>
      <c r="R599" s="53">
        <f>IFERROR(VLOOKUP(B599,'Pre-Summary'!$BG$6:$BM$44,7,FALSE),R600)</f>
        <v>7.5915763918363535E-2</v>
      </c>
      <c r="S599" s="53">
        <f>IFERROR(VLOOKUP(B599,'Pre-Summary'!$BG$6:$BM$44,6,FALSE),S600)</f>
        <v>5.2897473997019086E-2</v>
      </c>
      <c r="T599" s="45" t="str">
        <f>IFERROR(VLOOKUP(B599,'Pre-Summary'!$Y$6:$AC$83, 3,FALSE),"")</f>
        <v/>
      </c>
      <c r="U599" s="45" t="str">
        <f>IFERROR(VLOOKUP(B599,'Pre-Summary'!$Y$6:$AC$83, 4,FALSE),"")</f>
        <v/>
      </c>
      <c r="V599" t="str">
        <f>IFERROR(VLOOKUP(B599,'Pre-Summary'!$Y$6:$AC$83, 5,FALSE),"")</f>
        <v/>
      </c>
      <c r="W599" s="45" t="str">
        <f>IFERROR(VLOOKUP(B599,'Pre-Summary'!$Y$6:$AD$83,6,FALSE),"")</f>
        <v/>
      </c>
      <c r="X599" t="str">
        <f>IFERROR(VLOOKUP('Pre-Summary'!$DB$6:$DD$63,3,FALSE),"")</f>
        <v/>
      </c>
      <c r="Y599" t="str">
        <f>IFERROR(VLOOKUP(B599,'Pre-Summary'!$CR$6:$CT$36,3,FALSE),"")</f>
        <v/>
      </c>
      <c r="Z599" s="45" t="str">
        <f>IFERROR(VLOOKUP(B599,'Pre-Summary'!$BZ$6:$CB$63,2,FALSE),"")</f>
        <v/>
      </c>
      <c r="AA599" s="45" t="str">
        <f>IFERROR(VLOOKUP(B599,'Pre-Summary'!$CG$6:$CI$70,2,FALSE),"")</f>
        <v/>
      </c>
      <c r="AB599" s="99">
        <f>IFERROR(VLOOKUP(B599,'Pre-Summary'!$A$6:$P$178,9,FALSE),AB600)</f>
        <v>0.87858471235308822</v>
      </c>
      <c r="AC599" s="10">
        <f>IFERROR(VLOOKUP(Summary!B599,'Pre-Summary'!$A$6:$P$184,5, FALSE)/100,AC600)</f>
        <v>0.67272566666666667</v>
      </c>
      <c r="AD599" s="10">
        <f>IFERROR(VLOOKUP(Summary!B599,'Pre-Summary'!$A$6:$P$184,3, FALSE)/100,AD600)</f>
        <v>8.9092333333333329E-2</v>
      </c>
      <c r="AE599" s="10">
        <f>IFERROR(VLOOKUP(Summary!B599,'Pre-Summary'!$A$6:$P$184,7, FALSE)/100,AE600)</f>
        <v>0.23818233333333336</v>
      </c>
      <c r="AF599" s="99">
        <f t="shared" si="28"/>
        <v>7.827516205453211E-2</v>
      </c>
      <c r="AG599" s="99">
        <f t="shared" si="29"/>
        <v>0.20926335681925406</v>
      </c>
      <c r="AH599" s="10" t="str">
        <f>IFERROR(VLOOKUP(B599,'Pre-Summary'!$AZ$6:$BE$65,3,FALSE),"")</f>
        <v/>
      </c>
      <c r="AI599" s="10" t="str">
        <f>IFERROR(VLOOKUP(B599,'Pre-Summary'!$AZ$6:$BE$65,5,FALSE),"")</f>
        <v/>
      </c>
      <c r="AJ599" s="10" t="str">
        <f>IFERROR(VLOOKUP(B599,'Pre-Summary'!$AZ$6:$BE$65,4,FALSE),"")</f>
        <v/>
      </c>
      <c r="AK599" s="10" t="str">
        <f>IFERROR(VLOOKUP(B599,'Pre-Summary'!$AZ$6:$BE$65,6,FALSE),"")</f>
        <v/>
      </c>
      <c r="AL599" s="10" t="str">
        <f>IFERROR(VLOOKUP(B599,'Pre-Summary'!$BG$6:$BL$44,3,FALSE),"")</f>
        <v/>
      </c>
      <c r="AM599" s="10" t="str">
        <f>IFERROR(VLOOKUP(B599,'Pre-Summary'!$BG$6:$BL$44,4,FALSE),"")</f>
        <v/>
      </c>
    </row>
    <row r="600" spans="2:39" ht="15" customHeight="1" x14ac:dyDescent="0.3">
      <c r="B600">
        <v>59.7</v>
      </c>
      <c r="C600" t="str">
        <f>IFERROR(VLOOKUP(B600,'Pre-Summary'!$DI$6:$DM$23,4,FALSE),"")</f>
        <v/>
      </c>
      <c r="D600" s="10" t="str">
        <f>IFERROR(VLOOKUP(B600,'Pre-Summary'!$AT$6:$AX$14,5,FALSE),D599)</f>
        <v>DSMZ v2: Dropped Na-Ac out of DSMZ 120 media</v>
      </c>
      <c r="E600" s="10" t="str">
        <f>IFERROR(VLOOKUP(B600,'Pre-Summary'!$AT$6:$AX$15,4,FALSE),"")</f>
        <v/>
      </c>
      <c r="F600">
        <f>IFERROR(VLOOKUP(B600,'Pre-Summary'!$AL$6:$AQ$13,6,FALSE),F599)</f>
        <v>5.9405263157894746E-2</v>
      </c>
      <c r="G600" t="str">
        <f>IFERROR(VLOOKUP(B600,'Pre-Summary'!$AE$6:$AJ$85,3,FALSE),"")</f>
        <v/>
      </c>
      <c r="H600" t="str">
        <f>IFERROR(VLOOKUP(B600,'Pre-Summary'!$AE$6:$AJ$85,4,FALSE),"")</f>
        <v/>
      </c>
      <c r="I600" t="str">
        <f>IFERROR(VLOOKUP(B600,'Pre-Summary'!$AE$6:$AJ$85,5,FALSE),"")</f>
        <v/>
      </c>
      <c r="J600" s="45" t="str">
        <f>IFERROR(VLOOKUP(B600,'Pre-Summary'!$AE$6:$AJ$85,6, FALSE),"")</f>
        <v/>
      </c>
      <c r="K600" s="45" t="str">
        <f>IFERROR(VLOOKUP(B600,'Pre-Summary'!$DE$6:$DG$61,3,FALSE),"")</f>
        <v/>
      </c>
      <c r="L600" s="45" t="str">
        <f>IFERROR(VLOOKUP(B600,'Pre-Summary'!$CU$6:$CW$36,3,FALSE),"")</f>
        <v/>
      </c>
      <c r="M600" s="45" t="str">
        <f>IFERROR(VLOOKUP(B600,'Pre-Summary'!$BW$6:$BY$58,2,FALSE),"")</f>
        <v/>
      </c>
      <c r="N600" s="45" t="str">
        <f>IFERROR(VLOOKUP(B600,'Pre-Summary'!$CD$6:$CF$64,2,FALSE),"")</f>
        <v/>
      </c>
      <c r="O600" s="99">
        <f>IFERROR(VLOOKUP(B600,'Pre-Summary'!$BO$6:$BQ$48,3, FALSE),O599)</f>
        <v>0.9</v>
      </c>
      <c r="P600" s="99">
        <f>IFERROR(VLOOKUP(B600,'Pre-Summary'!$BS$6:$BU$35,3,FALSE),P599)</f>
        <v>0.5</v>
      </c>
      <c r="Q600" s="54">
        <f t="shared" si="27"/>
        <v>1.8</v>
      </c>
      <c r="R600" s="53">
        <f>IFERROR(VLOOKUP(B600,'Pre-Summary'!$BG$6:$BM$44,7,FALSE),R601)</f>
        <v>7.5915763918363535E-2</v>
      </c>
      <c r="S600" s="53">
        <f>IFERROR(VLOOKUP(B600,'Pre-Summary'!$BG$6:$BM$44,6,FALSE),S601)</f>
        <v>5.2897473997019086E-2</v>
      </c>
      <c r="T600" s="45" t="str">
        <f>IFERROR(VLOOKUP(B600,'Pre-Summary'!$Y$6:$AC$83, 3,FALSE),"")</f>
        <v/>
      </c>
      <c r="U600" s="45" t="str">
        <f>IFERROR(VLOOKUP(B600,'Pre-Summary'!$Y$6:$AC$83, 4,FALSE),"")</f>
        <v/>
      </c>
      <c r="V600" t="str">
        <f>IFERROR(VLOOKUP(B600,'Pre-Summary'!$Y$6:$AC$83, 5,FALSE),"")</f>
        <v/>
      </c>
      <c r="W600" s="45" t="str">
        <f>IFERROR(VLOOKUP(B600,'Pre-Summary'!$Y$6:$AD$83,6,FALSE),"")</f>
        <v/>
      </c>
      <c r="X600" t="str">
        <f>IFERROR(VLOOKUP('Pre-Summary'!$DB$6:$DD$63,3,FALSE),"")</f>
        <v/>
      </c>
      <c r="Y600" t="str">
        <f>IFERROR(VLOOKUP(B600,'Pre-Summary'!$CR$6:$CT$36,3,FALSE),"")</f>
        <v/>
      </c>
      <c r="Z600" s="45" t="str">
        <f>IFERROR(VLOOKUP(B600,'Pre-Summary'!$BZ$6:$CB$63,2,FALSE),"")</f>
        <v/>
      </c>
      <c r="AA600" s="45" t="str">
        <f>IFERROR(VLOOKUP(B600,'Pre-Summary'!$CG$6:$CI$70,2,FALSE),"")</f>
        <v/>
      </c>
      <c r="AB600" s="99">
        <f>IFERROR(VLOOKUP(B600,'Pre-Summary'!$A$6:$P$178,9,FALSE),AB601)</f>
        <v>0.87858471235308822</v>
      </c>
      <c r="AC600" s="10">
        <f>IFERROR(VLOOKUP(Summary!B600,'Pre-Summary'!$A$6:$P$184,5, FALSE)/100,AC601)</f>
        <v>0.67272566666666667</v>
      </c>
      <c r="AD600" s="10">
        <f>IFERROR(VLOOKUP(Summary!B600,'Pre-Summary'!$A$6:$P$184,3, FALSE)/100,AD601)</f>
        <v>8.9092333333333329E-2</v>
      </c>
      <c r="AE600" s="10">
        <f>IFERROR(VLOOKUP(Summary!B600,'Pre-Summary'!$A$6:$P$184,7, FALSE)/100,AE601)</f>
        <v>0.23818233333333336</v>
      </c>
      <c r="AF600" s="99">
        <f t="shared" si="28"/>
        <v>7.827516205453211E-2</v>
      </c>
      <c r="AG600" s="99">
        <f t="shared" si="29"/>
        <v>0.20926335681925406</v>
      </c>
      <c r="AH600" s="10" t="str">
        <f>IFERROR(VLOOKUP(B600,'Pre-Summary'!$AZ$6:$BE$65,3,FALSE),"")</f>
        <v/>
      </c>
      <c r="AI600" s="10" t="str">
        <f>IFERROR(VLOOKUP(B600,'Pre-Summary'!$AZ$6:$BE$65,5,FALSE),"")</f>
        <v/>
      </c>
      <c r="AJ600" s="10" t="str">
        <f>IFERROR(VLOOKUP(B600,'Pre-Summary'!$AZ$6:$BE$65,4,FALSE),"")</f>
        <v/>
      </c>
      <c r="AK600" s="10" t="str">
        <f>IFERROR(VLOOKUP(B600,'Pre-Summary'!$AZ$6:$BE$65,6,FALSE),"")</f>
        <v/>
      </c>
      <c r="AL600" s="10" t="str">
        <f>IFERROR(VLOOKUP(B600,'Pre-Summary'!$BG$6:$BL$44,3,FALSE),"")</f>
        <v/>
      </c>
      <c r="AM600" s="10" t="str">
        <f>IFERROR(VLOOKUP(B600,'Pre-Summary'!$BG$6:$BL$44,4,FALSE),"")</f>
        <v/>
      </c>
    </row>
    <row r="601" spans="2:39" ht="15" customHeight="1" x14ac:dyDescent="0.3">
      <c r="B601">
        <v>59.8</v>
      </c>
      <c r="C601" t="str">
        <f>IFERROR(VLOOKUP(B601,'Pre-Summary'!$DI$6:$DM$23,4,FALSE),"")</f>
        <v/>
      </c>
      <c r="D601" s="10" t="str">
        <f>IFERROR(VLOOKUP(B601,'Pre-Summary'!$AT$6:$AX$14,5,FALSE),D600)</f>
        <v>DSMZ v2: Dropped Na-Ac out of DSMZ 120 media</v>
      </c>
      <c r="E601" s="10" t="str">
        <f>IFERROR(VLOOKUP(B601,'Pre-Summary'!$AT$6:$AX$15,4,FALSE),"")</f>
        <v/>
      </c>
      <c r="F601">
        <f>IFERROR(VLOOKUP(B601,'Pre-Summary'!$AL$6:$AQ$13,6,FALSE),F600)</f>
        <v>5.9405263157894746E-2</v>
      </c>
      <c r="G601" t="str">
        <f>IFERROR(VLOOKUP(B601,'Pre-Summary'!$AE$6:$AJ$85,3,FALSE),"")</f>
        <v/>
      </c>
      <c r="H601" t="str">
        <f>IFERROR(VLOOKUP(B601,'Pre-Summary'!$AE$6:$AJ$85,4,FALSE),"")</f>
        <v/>
      </c>
      <c r="I601" t="str">
        <f>IFERROR(VLOOKUP(B601,'Pre-Summary'!$AE$6:$AJ$85,5,FALSE),"")</f>
        <v/>
      </c>
      <c r="J601" s="45" t="str">
        <f>IFERROR(VLOOKUP(B601,'Pre-Summary'!$AE$6:$AJ$85,6, FALSE),"")</f>
        <v/>
      </c>
      <c r="K601" s="45" t="str">
        <f>IFERROR(VLOOKUP(B601,'Pre-Summary'!$DE$6:$DG$61,3,FALSE),"")</f>
        <v/>
      </c>
      <c r="L601" s="45" t="str">
        <f>IFERROR(VLOOKUP(B601,'Pre-Summary'!$CU$6:$CW$36,3,FALSE),"")</f>
        <v/>
      </c>
      <c r="M601" s="45" t="str">
        <f>IFERROR(VLOOKUP(B601,'Pre-Summary'!$BW$6:$BY$58,2,FALSE),"")</f>
        <v/>
      </c>
      <c r="N601" s="45" t="str">
        <f>IFERROR(VLOOKUP(B601,'Pre-Summary'!$CD$6:$CF$64,2,FALSE),"")</f>
        <v/>
      </c>
      <c r="O601" s="99">
        <f>IFERROR(VLOOKUP(B601,'Pre-Summary'!$BO$6:$BQ$48,3, FALSE),O600)</f>
        <v>0.9</v>
      </c>
      <c r="P601" s="99">
        <f>IFERROR(VLOOKUP(B601,'Pre-Summary'!$BS$6:$BU$35,3,FALSE),P600)</f>
        <v>0.5</v>
      </c>
      <c r="Q601" s="54">
        <f t="shared" si="27"/>
        <v>1.8</v>
      </c>
      <c r="R601" s="53">
        <f>IFERROR(VLOOKUP(B601,'Pre-Summary'!$BG$6:$BM$44,7,FALSE),R602)</f>
        <v>7.5915763918363535E-2</v>
      </c>
      <c r="S601" s="53">
        <f>IFERROR(VLOOKUP(B601,'Pre-Summary'!$BG$6:$BM$44,6,FALSE),S602)</f>
        <v>5.2897473997019086E-2</v>
      </c>
      <c r="T601" s="45" t="str">
        <f>IFERROR(VLOOKUP(B601,'Pre-Summary'!$Y$6:$AC$83, 3,FALSE),"")</f>
        <v/>
      </c>
      <c r="U601" s="45" t="str">
        <f>IFERROR(VLOOKUP(B601,'Pre-Summary'!$Y$6:$AC$83, 4,FALSE),"")</f>
        <v/>
      </c>
      <c r="V601" t="str">
        <f>IFERROR(VLOOKUP(B601,'Pre-Summary'!$Y$6:$AC$83, 5,FALSE),"")</f>
        <v/>
      </c>
      <c r="W601" s="45" t="str">
        <f>IFERROR(VLOOKUP(B601,'Pre-Summary'!$Y$6:$AD$83,6,FALSE),"")</f>
        <v/>
      </c>
      <c r="X601" t="str">
        <f>IFERROR(VLOOKUP('Pre-Summary'!$DB$6:$DD$63,3,FALSE),"")</f>
        <v/>
      </c>
      <c r="Y601" t="str">
        <f>IFERROR(VLOOKUP(B601,'Pre-Summary'!$CR$6:$CT$36,3,FALSE),"")</f>
        <v/>
      </c>
      <c r="Z601" s="45" t="str">
        <f>IFERROR(VLOOKUP(B601,'Pre-Summary'!$BZ$6:$CB$63,2,FALSE),"")</f>
        <v/>
      </c>
      <c r="AA601" s="45" t="str">
        <f>IFERROR(VLOOKUP(B601,'Pre-Summary'!$CG$6:$CI$70,2,FALSE),"")</f>
        <v/>
      </c>
      <c r="AB601" s="99">
        <f>IFERROR(VLOOKUP(B601,'Pre-Summary'!$A$6:$P$178,9,FALSE),AB602)</f>
        <v>0.87858471235308822</v>
      </c>
      <c r="AC601" s="10">
        <f>IFERROR(VLOOKUP(Summary!B601,'Pre-Summary'!$A$6:$P$184,5, FALSE)/100,AC602)</f>
        <v>0.67272566666666667</v>
      </c>
      <c r="AD601" s="10">
        <f>IFERROR(VLOOKUP(Summary!B601,'Pre-Summary'!$A$6:$P$184,3, FALSE)/100,AD602)</f>
        <v>8.9092333333333329E-2</v>
      </c>
      <c r="AE601" s="10">
        <f>IFERROR(VLOOKUP(Summary!B601,'Pre-Summary'!$A$6:$P$184,7, FALSE)/100,AE602)</f>
        <v>0.23818233333333336</v>
      </c>
      <c r="AF601" s="99">
        <f t="shared" si="28"/>
        <v>7.827516205453211E-2</v>
      </c>
      <c r="AG601" s="99">
        <f t="shared" si="29"/>
        <v>0.20926335681925406</v>
      </c>
      <c r="AH601" s="10" t="str">
        <f>IFERROR(VLOOKUP(B601,'Pre-Summary'!$AZ$6:$BE$65,3,FALSE),"")</f>
        <v/>
      </c>
      <c r="AI601" s="10" t="str">
        <f>IFERROR(VLOOKUP(B601,'Pre-Summary'!$AZ$6:$BE$65,5,FALSE),"")</f>
        <v/>
      </c>
      <c r="AJ601" s="10" t="str">
        <f>IFERROR(VLOOKUP(B601,'Pre-Summary'!$AZ$6:$BE$65,4,FALSE),"")</f>
        <v/>
      </c>
      <c r="AK601" s="10" t="str">
        <f>IFERROR(VLOOKUP(B601,'Pre-Summary'!$AZ$6:$BE$65,6,FALSE),"")</f>
        <v/>
      </c>
      <c r="AL601" s="10" t="str">
        <f>IFERROR(VLOOKUP(B601,'Pre-Summary'!$BG$6:$BL$44,3,FALSE),"")</f>
        <v/>
      </c>
      <c r="AM601" s="10" t="str">
        <f>IFERROR(VLOOKUP(B601,'Pre-Summary'!$BG$6:$BL$44,4,FALSE),"")</f>
        <v/>
      </c>
    </row>
    <row r="602" spans="2:39" ht="15" customHeight="1" x14ac:dyDescent="0.3">
      <c r="B602">
        <v>59.9</v>
      </c>
      <c r="C602" t="str">
        <f>IFERROR(VLOOKUP(B602,'Pre-Summary'!$DI$6:$DM$23,4,FALSE),"")</f>
        <v/>
      </c>
      <c r="D602" s="10" t="str">
        <f>IFERROR(VLOOKUP(B602,'Pre-Summary'!$AT$6:$AX$14,5,FALSE),D601)</f>
        <v>DSMZ v2: Dropped Na-Ac out of DSMZ 120 media</v>
      </c>
      <c r="E602" s="10" t="str">
        <f>IFERROR(VLOOKUP(B602,'Pre-Summary'!$AT$6:$AX$15,4,FALSE),"")</f>
        <v/>
      </c>
      <c r="F602">
        <f>IFERROR(VLOOKUP(B602,'Pre-Summary'!$AL$6:$AQ$13,6,FALSE),F601)</f>
        <v>5.9405263157894746E-2</v>
      </c>
      <c r="G602" t="str">
        <f>IFERROR(VLOOKUP(B602,'Pre-Summary'!$AE$6:$AJ$85,3,FALSE),"")</f>
        <v/>
      </c>
      <c r="H602" t="str">
        <f>IFERROR(VLOOKUP(B602,'Pre-Summary'!$AE$6:$AJ$85,4,FALSE),"")</f>
        <v/>
      </c>
      <c r="I602" t="str">
        <f>IFERROR(VLOOKUP(B602,'Pre-Summary'!$AE$6:$AJ$85,5,FALSE),"")</f>
        <v/>
      </c>
      <c r="J602" s="45" t="str">
        <f>IFERROR(VLOOKUP(B602,'Pre-Summary'!$AE$6:$AJ$85,6, FALSE),"")</f>
        <v/>
      </c>
      <c r="K602" s="45" t="str">
        <f>IFERROR(VLOOKUP(B602,'Pre-Summary'!$DE$6:$DG$61,3,FALSE),"")</f>
        <v/>
      </c>
      <c r="L602" s="45" t="str">
        <f>IFERROR(VLOOKUP(B602,'Pre-Summary'!$CU$6:$CW$36,3,FALSE),"")</f>
        <v/>
      </c>
      <c r="M602" s="45" t="str">
        <f>IFERROR(VLOOKUP(B602,'Pre-Summary'!$BW$6:$BY$58,2,FALSE),"")</f>
        <v/>
      </c>
      <c r="N602" s="45" t="str">
        <f>IFERROR(VLOOKUP(B602,'Pre-Summary'!$CD$6:$CF$64,2,FALSE),"")</f>
        <v/>
      </c>
      <c r="O602" s="99">
        <f>IFERROR(VLOOKUP(B602,'Pre-Summary'!$BO$6:$BQ$48,3, FALSE),O601)</f>
        <v>0.9</v>
      </c>
      <c r="P602" s="99">
        <f>IFERROR(VLOOKUP(B602,'Pre-Summary'!$BS$6:$BU$35,3,FALSE),P601)</f>
        <v>0.5</v>
      </c>
      <c r="Q602" s="54">
        <f t="shared" si="27"/>
        <v>1.8</v>
      </c>
      <c r="R602" s="53">
        <f>IFERROR(VLOOKUP(B602,'Pre-Summary'!$BG$6:$BM$44,7,FALSE),R603)</f>
        <v>7.5915763918363535E-2</v>
      </c>
      <c r="S602" s="53">
        <f>IFERROR(VLOOKUP(B602,'Pre-Summary'!$BG$6:$BM$44,6,FALSE),S603)</f>
        <v>5.2897473997019086E-2</v>
      </c>
      <c r="T602" s="45" t="str">
        <f>IFERROR(VLOOKUP(B602,'Pre-Summary'!$Y$6:$AC$83, 3,FALSE),"")</f>
        <v/>
      </c>
      <c r="U602" s="45" t="str">
        <f>IFERROR(VLOOKUP(B602,'Pre-Summary'!$Y$6:$AC$83, 4,FALSE),"")</f>
        <v/>
      </c>
      <c r="V602" t="str">
        <f>IFERROR(VLOOKUP(B602,'Pre-Summary'!$Y$6:$AC$83, 5,FALSE),"")</f>
        <v/>
      </c>
      <c r="W602" s="45" t="str">
        <f>IFERROR(VLOOKUP(B602,'Pre-Summary'!$Y$6:$AD$83,6,FALSE),"")</f>
        <v/>
      </c>
      <c r="X602" t="str">
        <f>IFERROR(VLOOKUP('Pre-Summary'!$DB$6:$DD$63,3,FALSE),"")</f>
        <v/>
      </c>
      <c r="Y602" t="str">
        <f>IFERROR(VLOOKUP(B602,'Pre-Summary'!$CR$6:$CT$36,3,FALSE),"")</f>
        <v/>
      </c>
      <c r="Z602" s="45" t="str">
        <f>IFERROR(VLOOKUP(B602,'Pre-Summary'!$BZ$6:$CB$63,2,FALSE),"")</f>
        <v/>
      </c>
      <c r="AA602" s="45" t="str">
        <f>IFERROR(VLOOKUP(B602,'Pre-Summary'!$CG$6:$CI$70,2,FALSE),"")</f>
        <v/>
      </c>
      <c r="AB602" s="99">
        <f>IFERROR(VLOOKUP(B602,'Pre-Summary'!$A$6:$P$178,9,FALSE),AB603)</f>
        <v>0.87858471235308822</v>
      </c>
      <c r="AC602" s="10">
        <f>IFERROR(VLOOKUP(Summary!B602,'Pre-Summary'!$A$6:$P$184,5, FALSE)/100,AC603)</f>
        <v>0.67272566666666667</v>
      </c>
      <c r="AD602" s="10">
        <f>IFERROR(VLOOKUP(Summary!B602,'Pre-Summary'!$A$6:$P$184,3, FALSE)/100,AD603)</f>
        <v>8.9092333333333329E-2</v>
      </c>
      <c r="AE602" s="10">
        <f>IFERROR(VLOOKUP(Summary!B602,'Pre-Summary'!$A$6:$P$184,7, FALSE)/100,AE603)</f>
        <v>0.23818233333333336</v>
      </c>
      <c r="AF602" s="99">
        <f t="shared" si="28"/>
        <v>7.827516205453211E-2</v>
      </c>
      <c r="AG602" s="99">
        <f t="shared" si="29"/>
        <v>0.20926335681925406</v>
      </c>
      <c r="AH602" s="10" t="str">
        <f>IFERROR(VLOOKUP(B602,'Pre-Summary'!$AZ$6:$BE$65,3,FALSE),"")</f>
        <v/>
      </c>
      <c r="AI602" s="10" t="str">
        <f>IFERROR(VLOOKUP(B602,'Pre-Summary'!$AZ$6:$BE$65,5,FALSE),"")</f>
        <v/>
      </c>
      <c r="AJ602" s="10" t="str">
        <f>IFERROR(VLOOKUP(B602,'Pre-Summary'!$AZ$6:$BE$65,4,FALSE),"")</f>
        <v/>
      </c>
      <c r="AK602" s="10" t="str">
        <f>IFERROR(VLOOKUP(B602,'Pre-Summary'!$AZ$6:$BE$65,6,FALSE),"")</f>
        <v/>
      </c>
      <c r="AL602" s="10" t="str">
        <f>IFERROR(VLOOKUP(B602,'Pre-Summary'!$BG$6:$BL$44,3,FALSE),"")</f>
        <v/>
      </c>
      <c r="AM602" s="10" t="str">
        <f>IFERROR(VLOOKUP(B602,'Pre-Summary'!$BG$6:$BL$44,4,FALSE),"")</f>
        <v/>
      </c>
    </row>
    <row r="603" spans="2:39" ht="15" customHeight="1" x14ac:dyDescent="0.3">
      <c r="B603">
        <v>60</v>
      </c>
      <c r="C603" t="str">
        <f>IFERROR(VLOOKUP(B603,'Pre-Summary'!$DI$6:$DM$23,4,FALSE),"")</f>
        <v/>
      </c>
      <c r="D603" s="10" t="str">
        <f>IFERROR(VLOOKUP(B603,'Pre-Summary'!$AT$6:$AX$14,5,FALSE),D602)</f>
        <v>DSMZ v2: Dropped Na-Ac out of DSMZ 120 media</v>
      </c>
      <c r="E603" s="10" t="str">
        <f>IFERROR(VLOOKUP(B603,'Pre-Summary'!$AT$6:$AX$15,4,FALSE),"")</f>
        <v/>
      </c>
      <c r="F603">
        <f>IFERROR(VLOOKUP(B603,'Pre-Summary'!$AL$6:$AQ$13,6,FALSE),F602)</f>
        <v>5.9405263157894746E-2</v>
      </c>
      <c r="G603" t="str">
        <f>IFERROR(VLOOKUP(B603,'Pre-Summary'!$AE$6:$AJ$85,3,FALSE),"")</f>
        <v/>
      </c>
      <c r="H603" t="str">
        <f>IFERROR(VLOOKUP(B603,'Pre-Summary'!$AE$6:$AJ$85,4,FALSE),"")</f>
        <v/>
      </c>
      <c r="I603" t="str">
        <f>IFERROR(VLOOKUP(B603,'Pre-Summary'!$AE$6:$AJ$85,5,FALSE),"")</f>
        <v/>
      </c>
      <c r="J603" s="45" t="str">
        <f>IFERROR(VLOOKUP(B603,'Pre-Summary'!$AE$6:$AJ$85,6, FALSE),"")</f>
        <v/>
      </c>
      <c r="K603" s="45" t="str">
        <f>IFERROR(VLOOKUP(B603,'Pre-Summary'!$DE$6:$DG$61,3,FALSE),"")</f>
        <v/>
      </c>
      <c r="L603" s="45" t="str">
        <f>IFERROR(VLOOKUP(B603,'Pre-Summary'!$CU$6:$CW$36,3,FALSE),"")</f>
        <v/>
      </c>
      <c r="M603" s="45" t="str">
        <f>IFERROR(VLOOKUP(B603,'Pre-Summary'!$BW$6:$BY$58,2,FALSE),"")</f>
        <v/>
      </c>
      <c r="N603" s="45" t="str">
        <f>IFERROR(VLOOKUP(B603,'Pre-Summary'!$CD$6:$CF$64,2,FALSE),"")</f>
        <v/>
      </c>
      <c r="O603" s="99">
        <f>IFERROR(VLOOKUP(B603,'Pre-Summary'!$BO$6:$BQ$48,3, FALSE),O602)</f>
        <v>0.9</v>
      </c>
      <c r="P603" s="99">
        <f>IFERROR(VLOOKUP(B603,'Pre-Summary'!$BS$6:$BU$35,3,FALSE),P602)</f>
        <v>0.5</v>
      </c>
      <c r="Q603" s="54">
        <f t="shared" si="27"/>
        <v>1.8</v>
      </c>
      <c r="R603" s="53">
        <f>IFERROR(VLOOKUP(B603,'Pre-Summary'!$BG$6:$BM$44,7,FALSE),R604)</f>
        <v>7.5915763918363535E-2</v>
      </c>
      <c r="S603" s="53">
        <f>IFERROR(VLOOKUP(B603,'Pre-Summary'!$BG$6:$BM$44,6,FALSE),S604)</f>
        <v>5.2897473997019086E-2</v>
      </c>
      <c r="T603" s="45" t="str">
        <f>IFERROR(VLOOKUP(B603,'Pre-Summary'!$Y$6:$AC$83, 3,FALSE),"")</f>
        <v/>
      </c>
      <c r="U603" s="45" t="str">
        <f>IFERROR(VLOOKUP(B603,'Pre-Summary'!$Y$6:$AC$83, 4,FALSE),"")</f>
        <v/>
      </c>
      <c r="V603" t="str">
        <f>IFERROR(VLOOKUP(B603,'Pre-Summary'!$Y$6:$AC$83, 5,FALSE),"")</f>
        <v/>
      </c>
      <c r="W603" s="45" t="str">
        <f>IFERROR(VLOOKUP(B603,'Pre-Summary'!$Y$6:$AD$83,6,FALSE),"")</f>
        <v/>
      </c>
      <c r="X603" t="str">
        <f>IFERROR(VLOOKUP('Pre-Summary'!$DB$6:$DD$63,3,FALSE),"")</f>
        <v/>
      </c>
      <c r="Y603" t="str">
        <f>IFERROR(VLOOKUP(B603,'Pre-Summary'!$CR$6:$CT$36,3,FALSE),"")</f>
        <v/>
      </c>
      <c r="Z603" s="45" t="str">
        <f>IFERROR(VLOOKUP(B603,'Pre-Summary'!$BZ$6:$CB$63,2,FALSE),"")</f>
        <v/>
      </c>
      <c r="AA603" s="45" t="str">
        <f>IFERROR(VLOOKUP(B603,'Pre-Summary'!$CG$6:$CI$70,2,FALSE),"")</f>
        <v/>
      </c>
      <c r="AB603" s="99">
        <f>IFERROR(VLOOKUP(B603,'Pre-Summary'!$A$6:$P$178,9,FALSE),AB604)</f>
        <v>0.87858471235308822</v>
      </c>
      <c r="AC603" s="10">
        <f>IFERROR(VLOOKUP(Summary!B603,'Pre-Summary'!$A$6:$P$184,5, FALSE)/100,AC604)</f>
        <v>0.67272566666666667</v>
      </c>
      <c r="AD603" s="10">
        <f>IFERROR(VLOOKUP(Summary!B603,'Pre-Summary'!$A$6:$P$184,3, FALSE)/100,AD604)</f>
        <v>8.9092333333333329E-2</v>
      </c>
      <c r="AE603" s="10">
        <f>IFERROR(VLOOKUP(Summary!B603,'Pre-Summary'!$A$6:$P$184,7, FALSE)/100,AE604)</f>
        <v>0.23818233333333336</v>
      </c>
      <c r="AF603" s="99">
        <f t="shared" si="28"/>
        <v>7.827516205453211E-2</v>
      </c>
      <c r="AG603" s="99">
        <f t="shared" si="29"/>
        <v>0.20926335681925406</v>
      </c>
      <c r="AH603" s="10" t="str">
        <f>IFERROR(VLOOKUP(B603,'Pre-Summary'!$AZ$6:$BE$65,3,FALSE),"")</f>
        <v/>
      </c>
      <c r="AI603" s="10" t="str">
        <f>IFERROR(VLOOKUP(B603,'Pre-Summary'!$AZ$6:$BE$65,5,FALSE),"")</f>
        <v/>
      </c>
      <c r="AJ603" s="10" t="str">
        <f>IFERROR(VLOOKUP(B603,'Pre-Summary'!$AZ$6:$BE$65,4,FALSE),"")</f>
        <v/>
      </c>
      <c r="AK603" s="10" t="str">
        <f>IFERROR(VLOOKUP(B603,'Pre-Summary'!$AZ$6:$BE$65,6,FALSE),"")</f>
        <v/>
      </c>
      <c r="AL603" s="10" t="str">
        <f>IFERROR(VLOOKUP(B603,'Pre-Summary'!$BG$6:$BL$44,3,FALSE),"")</f>
        <v/>
      </c>
      <c r="AM603" s="10" t="str">
        <f>IFERROR(VLOOKUP(B603,'Pre-Summary'!$BG$6:$BL$44,4,FALSE),"")</f>
        <v/>
      </c>
    </row>
    <row r="604" spans="2:39" ht="15" customHeight="1" x14ac:dyDescent="0.3">
      <c r="B604">
        <v>60.1</v>
      </c>
      <c r="C604" t="str">
        <f>IFERROR(VLOOKUP(B604,'Pre-Summary'!$DI$6:$DM$23,4,FALSE),"")</f>
        <v/>
      </c>
      <c r="D604" s="10" t="str">
        <f>IFERROR(VLOOKUP(B604,'Pre-Summary'!$AT$6:$AX$14,5,FALSE),D603)</f>
        <v>DSMZ v2: Dropped Na-Ac out of DSMZ 120 media</v>
      </c>
      <c r="E604" s="10" t="str">
        <f>IFERROR(VLOOKUP(B604,'Pre-Summary'!$AT$6:$AX$15,4,FALSE),"")</f>
        <v/>
      </c>
      <c r="F604">
        <f>IFERROR(VLOOKUP(B604,'Pre-Summary'!$AL$6:$AQ$13,6,FALSE),F603)</f>
        <v>5.9405263157894746E-2</v>
      </c>
      <c r="G604" t="str">
        <f>IFERROR(VLOOKUP(B604,'Pre-Summary'!$AE$6:$AJ$85,3,FALSE),"")</f>
        <v/>
      </c>
      <c r="H604" t="str">
        <f>IFERROR(VLOOKUP(B604,'Pre-Summary'!$AE$6:$AJ$85,4,FALSE),"")</f>
        <v/>
      </c>
      <c r="I604" t="str">
        <f>IFERROR(VLOOKUP(B604,'Pre-Summary'!$AE$6:$AJ$85,5,FALSE),"")</f>
        <v/>
      </c>
      <c r="J604" s="45" t="str">
        <f>IFERROR(VLOOKUP(B604,'Pre-Summary'!$AE$6:$AJ$85,6, FALSE),"")</f>
        <v/>
      </c>
      <c r="K604" s="45" t="str">
        <f>IFERROR(VLOOKUP(B604,'Pre-Summary'!$DE$6:$DG$61,3,FALSE),"")</f>
        <v/>
      </c>
      <c r="L604" s="45" t="str">
        <f>IFERROR(VLOOKUP(B604,'Pre-Summary'!$CU$6:$CW$36,3,FALSE),"")</f>
        <v/>
      </c>
      <c r="M604" s="45" t="str">
        <f>IFERROR(VLOOKUP(B604,'Pre-Summary'!$BW$6:$BY$58,2,FALSE),"")</f>
        <v/>
      </c>
      <c r="N604" s="45" t="str">
        <f>IFERROR(VLOOKUP(B604,'Pre-Summary'!$CD$6:$CF$64,2,FALSE),"")</f>
        <v/>
      </c>
      <c r="O604" s="99">
        <f>IFERROR(VLOOKUP(B604,'Pre-Summary'!$BO$6:$BQ$48,3, FALSE),O603)</f>
        <v>0.9</v>
      </c>
      <c r="P604" s="99">
        <f>IFERROR(VLOOKUP(B604,'Pre-Summary'!$BS$6:$BU$35,3,FALSE),P603)</f>
        <v>0.5</v>
      </c>
      <c r="Q604" s="54">
        <f t="shared" si="27"/>
        <v>1.8</v>
      </c>
      <c r="R604" s="53">
        <f>IFERROR(VLOOKUP(B604,'Pre-Summary'!$BG$6:$BM$44,7,FALSE),R605)</f>
        <v>7.5915763918363535E-2</v>
      </c>
      <c r="S604" s="53">
        <f>IFERROR(VLOOKUP(B604,'Pre-Summary'!$BG$6:$BM$44,6,FALSE),S605)</f>
        <v>5.2897473997019086E-2</v>
      </c>
      <c r="T604" s="45" t="str">
        <f>IFERROR(VLOOKUP(B604,'Pre-Summary'!$Y$6:$AC$83, 3,FALSE),"")</f>
        <v/>
      </c>
      <c r="U604" s="45" t="str">
        <f>IFERROR(VLOOKUP(B604,'Pre-Summary'!$Y$6:$AC$83, 4,FALSE),"")</f>
        <v/>
      </c>
      <c r="V604" t="str">
        <f>IFERROR(VLOOKUP(B604,'Pre-Summary'!$Y$6:$AC$83, 5,FALSE),"")</f>
        <v/>
      </c>
      <c r="W604" s="45" t="str">
        <f>IFERROR(VLOOKUP(B604,'Pre-Summary'!$Y$6:$AD$83,6,FALSE),"")</f>
        <v/>
      </c>
      <c r="X604" t="str">
        <f>IFERROR(VLOOKUP('Pre-Summary'!$DB$6:$DD$63,3,FALSE),"")</f>
        <v/>
      </c>
      <c r="Y604" t="str">
        <f>IFERROR(VLOOKUP(B604,'Pre-Summary'!$CR$6:$CT$36,3,FALSE),"")</f>
        <v/>
      </c>
      <c r="Z604" s="45" t="str">
        <f>IFERROR(VLOOKUP(B604,'Pre-Summary'!$BZ$6:$CB$63,2,FALSE),"")</f>
        <v/>
      </c>
      <c r="AA604" s="45" t="str">
        <f>IFERROR(VLOOKUP(B604,'Pre-Summary'!$CG$6:$CI$70,2,FALSE),"")</f>
        <v/>
      </c>
      <c r="AB604" s="99">
        <f>IFERROR(VLOOKUP(B604,'Pre-Summary'!$A$6:$P$178,9,FALSE),AB605)</f>
        <v>0.87858471235308822</v>
      </c>
      <c r="AC604" s="10">
        <f>IFERROR(VLOOKUP(Summary!B604,'Pre-Summary'!$A$6:$P$184,5, FALSE)/100,AC605)</f>
        <v>0.67272566666666667</v>
      </c>
      <c r="AD604" s="10">
        <f>IFERROR(VLOOKUP(Summary!B604,'Pre-Summary'!$A$6:$P$184,3, FALSE)/100,AD605)</f>
        <v>8.9092333333333329E-2</v>
      </c>
      <c r="AE604" s="10">
        <f>IFERROR(VLOOKUP(Summary!B604,'Pre-Summary'!$A$6:$P$184,7, FALSE)/100,AE605)</f>
        <v>0.23818233333333336</v>
      </c>
      <c r="AF604" s="99">
        <f t="shared" si="28"/>
        <v>7.827516205453211E-2</v>
      </c>
      <c r="AG604" s="99">
        <f t="shared" si="29"/>
        <v>0.20926335681925406</v>
      </c>
      <c r="AH604" s="10" t="str">
        <f>IFERROR(VLOOKUP(B604,'Pre-Summary'!$AZ$6:$BE$65,3,FALSE),"")</f>
        <v/>
      </c>
      <c r="AI604" s="10" t="str">
        <f>IFERROR(VLOOKUP(B604,'Pre-Summary'!$AZ$6:$BE$65,5,FALSE),"")</f>
        <v/>
      </c>
      <c r="AJ604" s="10" t="str">
        <f>IFERROR(VLOOKUP(B604,'Pre-Summary'!$AZ$6:$BE$65,4,FALSE),"")</f>
        <v/>
      </c>
      <c r="AK604" s="10" t="str">
        <f>IFERROR(VLOOKUP(B604,'Pre-Summary'!$AZ$6:$BE$65,6,FALSE),"")</f>
        <v/>
      </c>
      <c r="AL604" s="10" t="str">
        <f>IFERROR(VLOOKUP(B604,'Pre-Summary'!$BG$6:$BL$44,3,FALSE),"")</f>
        <v/>
      </c>
      <c r="AM604" s="10" t="str">
        <f>IFERROR(VLOOKUP(B604,'Pre-Summary'!$BG$6:$BL$44,4,FALSE),"")</f>
        <v/>
      </c>
    </row>
    <row r="605" spans="2:39" ht="15" customHeight="1" x14ac:dyDescent="0.3">
      <c r="B605">
        <v>60.2</v>
      </c>
      <c r="C605" t="str">
        <f>IFERROR(VLOOKUP(B605,'Pre-Summary'!$DI$6:$DM$23,4,FALSE),"")</f>
        <v/>
      </c>
      <c r="D605" s="10" t="str">
        <f>IFERROR(VLOOKUP(B605,'Pre-Summary'!$AT$6:$AX$14,5,FALSE),D604)</f>
        <v>DSMZ v2: Dropped Na-Ac out of DSMZ 120 media</v>
      </c>
      <c r="E605" s="10" t="str">
        <f>IFERROR(VLOOKUP(B605,'Pre-Summary'!$AT$6:$AX$15,4,FALSE),"")</f>
        <v/>
      </c>
      <c r="F605">
        <f>IFERROR(VLOOKUP(B605,'Pre-Summary'!$AL$6:$AQ$13,6,FALSE),F604)</f>
        <v>5.9405263157894746E-2</v>
      </c>
      <c r="G605" t="str">
        <f>IFERROR(VLOOKUP(B605,'Pre-Summary'!$AE$6:$AJ$85,3,FALSE),"")</f>
        <v/>
      </c>
      <c r="H605" t="str">
        <f>IFERROR(VLOOKUP(B605,'Pre-Summary'!$AE$6:$AJ$85,4,FALSE),"")</f>
        <v/>
      </c>
      <c r="I605" t="str">
        <f>IFERROR(VLOOKUP(B605,'Pre-Summary'!$AE$6:$AJ$85,5,FALSE),"")</f>
        <v/>
      </c>
      <c r="J605" s="45" t="str">
        <f>IFERROR(VLOOKUP(B605,'Pre-Summary'!$AE$6:$AJ$85,6, FALSE),"")</f>
        <v/>
      </c>
      <c r="K605" s="45" t="str">
        <f>IFERROR(VLOOKUP(B605,'Pre-Summary'!$DE$6:$DG$61,3,FALSE),"")</f>
        <v/>
      </c>
      <c r="L605" s="45" t="str">
        <f>IFERROR(VLOOKUP(B605,'Pre-Summary'!$CU$6:$CW$36,3,FALSE),"")</f>
        <v/>
      </c>
      <c r="M605" s="45" t="str">
        <f>IFERROR(VLOOKUP(B605,'Pre-Summary'!$BW$6:$BY$58,2,FALSE),"")</f>
        <v/>
      </c>
      <c r="N605" s="45" t="str">
        <f>IFERROR(VLOOKUP(B605,'Pre-Summary'!$CD$6:$CF$64,2,FALSE),"")</f>
        <v/>
      </c>
      <c r="O605" s="99">
        <f>IFERROR(VLOOKUP(B605,'Pre-Summary'!$BO$6:$BQ$48,3, FALSE),O604)</f>
        <v>0.9</v>
      </c>
      <c r="P605" s="99">
        <f>IFERROR(VLOOKUP(B605,'Pre-Summary'!$BS$6:$BU$35,3,FALSE),P604)</f>
        <v>0.5</v>
      </c>
      <c r="Q605" s="54">
        <f t="shared" si="27"/>
        <v>1.8</v>
      </c>
      <c r="R605" s="53">
        <f>IFERROR(VLOOKUP(B605,'Pre-Summary'!$BG$6:$BM$44,7,FALSE),R606)</f>
        <v>7.5915763918363535E-2</v>
      </c>
      <c r="S605" s="53">
        <f>IFERROR(VLOOKUP(B605,'Pre-Summary'!$BG$6:$BM$44,6,FALSE),S606)</f>
        <v>5.2897473997019086E-2</v>
      </c>
      <c r="T605" s="45" t="str">
        <f>IFERROR(VLOOKUP(B605,'Pre-Summary'!$Y$6:$AC$83, 3,FALSE),"")</f>
        <v/>
      </c>
      <c r="U605" s="45" t="str">
        <f>IFERROR(VLOOKUP(B605,'Pre-Summary'!$Y$6:$AC$83, 4,FALSE),"")</f>
        <v/>
      </c>
      <c r="V605" t="str">
        <f>IFERROR(VLOOKUP(B605,'Pre-Summary'!$Y$6:$AC$83, 5,FALSE),"")</f>
        <v/>
      </c>
      <c r="W605" s="45" t="str">
        <f>IFERROR(VLOOKUP(B605,'Pre-Summary'!$Y$6:$AD$83,6,FALSE),"")</f>
        <v/>
      </c>
      <c r="X605" t="str">
        <f>IFERROR(VLOOKUP('Pre-Summary'!$DB$6:$DD$63,3,FALSE),"")</f>
        <v/>
      </c>
      <c r="Y605" t="str">
        <f>IFERROR(VLOOKUP(B605,'Pre-Summary'!$CR$6:$CT$36,3,FALSE),"")</f>
        <v/>
      </c>
      <c r="Z605" s="45" t="str">
        <f>IFERROR(VLOOKUP(B605,'Pre-Summary'!$BZ$6:$CB$63,2,FALSE),"")</f>
        <v/>
      </c>
      <c r="AA605" s="45" t="str">
        <f>IFERROR(VLOOKUP(B605,'Pre-Summary'!$CG$6:$CI$70,2,FALSE),"")</f>
        <v/>
      </c>
      <c r="AB605" s="99">
        <f>IFERROR(VLOOKUP(B605,'Pre-Summary'!$A$6:$P$178,9,FALSE),AB606)</f>
        <v>0.87858471235308822</v>
      </c>
      <c r="AC605" s="10">
        <f>IFERROR(VLOOKUP(Summary!B605,'Pre-Summary'!$A$6:$P$184,5, FALSE)/100,AC606)</f>
        <v>0.67272566666666667</v>
      </c>
      <c r="AD605" s="10">
        <f>IFERROR(VLOOKUP(Summary!B605,'Pre-Summary'!$A$6:$P$184,3, FALSE)/100,AD606)</f>
        <v>8.9092333333333329E-2</v>
      </c>
      <c r="AE605" s="10">
        <f>IFERROR(VLOOKUP(Summary!B605,'Pre-Summary'!$A$6:$P$184,7, FALSE)/100,AE606)</f>
        <v>0.23818233333333336</v>
      </c>
      <c r="AF605" s="99">
        <f t="shared" si="28"/>
        <v>7.827516205453211E-2</v>
      </c>
      <c r="AG605" s="99">
        <f t="shared" si="29"/>
        <v>0.20926335681925406</v>
      </c>
      <c r="AH605" s="10" t="str">
        <f>IFERROR(VLOOKUP(B605,'Pre-Summary'!$AZ$6:$BE$65,3,FALSE),"")</f>
        <v/>
      </c>
      <c r="AI605" s="10" t="str">
        <f>IFERROR(VLOOKUP(B605,'Pre-Summary'!$AZ$6:$BE$65,5,FALSE),"")</f>
        <v/>
      </c>
      <c r="AJ605" s="10" t="str">
        <f>IFERROR(VLOOKUP(B605,'Pre-Summary'!$AZ$6:$BE$65,4,FALSE),"")</f>
        <v/>
      </c>
      <c r="AK605" s="10" t="str">
        <f>IFERROR(VLOOKUP(B605,'Pre-Summary'!$AZ$6:$BE$65,6,FALSE),"")</f>
        <v/>
      </c>
      <c r="AL605" s="10" t="str">
        <f>IFERROR(VLOOKUP(B605,'Pre-Summary'!$BG$6:$BL$44,3,FALSE),"")</f>
        <v/>
      </c>
      <c r="AM605" s="10" t="str">
        <f>IFERROR(VLOOKUP(B605,'Pre-Summary'!$BG$6:$BL$44,4,FALSE),"")</f>
        <v/>
      </c>
    </row>
    <row r="606" spans="2:39" ht="15" customHeight="1" x14ac:dyDescent="0.3">
      <c r="B606">
        <v>60.3</v>
      </c>
      <c r="C606" t="str">
        <f>IFERROR(VLOOKUP(B606,'Pre-Summary'!$DI$6:$DM$23,4,FALSE),"")</f>
        <v/>
      </c>
      <c r="D606" s="10" t="str">
        <f>IFERROR(VLOOKUP(B606,'Pre-Summary'!$AT$6:$AX$14,5,FALSE),D605)</f>
        <v>DSMZ v2: Dropped Na-Ac out of DSMZ 120 media</v>
      </c>
      <c r="E606" s="10" t="str">
        <f>IFERROR(VLOOKUP(B606,'Pre-Summary'!$AT$6:$AX$15,4,FALSE),"")</f>
        <v/>
      </c>
      <c r="F606">
        <f>IFERROR(VLOOKUP(B606,'Pre-Summary'!$AL$6:$AQ$13,6,FALSE),F605)</f>
        <v>5.9405263157894746E-2</v>
      </c>
      <c r="G606" t="str">
        <f>IFERROR(VLOOKUP(B606,'Pre-Summary'!$AE$6:$AJ$85,3,FALSE),"")</f>
        <v/>
      </c>
      <c r="H606" t="str">
        <f>IFERROR(VLOOKUP(B606,'Pre-Summary'!$AE$6:$AJ$85,4,FALSE),"")</f>
        <v/>
      </c>
      <c r="I606" t="str">
        <f>IFERROR(VLOOKUP(B606,'Pre-Summary'!$AE$6:$AJ$85,5,FALSE),"")</f>
        <v/>
      </c>
      <c r="J606" s="45" t="str">
        <f>IFERROR(VLOOKUP(B606,'Pre-Summary'!$AE$6:$AJ$85,6, FALSE),"")</f>
        <v/>
      </c>
      <c r="K606" s="45" t="str">
        <f>IFERROR(VLOOKUP(B606,'Pre-Summary'!$DE$6:$DG$61,3,FALSE),"")</f>
        <v/>
      </c>
      <c r="L606" s="45" t="str">
        <f>IFERROR(VLOOKUP(B606,'Pre-Summary'!$CU$6:$CW$36,3,FALSE),"")</f>
        <v/>
      </c>
      <c r="M606" s="45" t="str">
        <f>IFERROR(VLOOKUP(B606,'Pre-Summary'!$BW$6:$BY$58,2,FALSE),"")</f>
        <v/>
      </c>
      <c r="N606" s="45" t="str">
        <f>IFERROR(VLOOKUP(B606,'Pre-Summary'!$CD$6:$CF$64,2,FALSE),"")</f>
        <v/>
      </c>
      <c r="O606" s="99">
        <f>IFERROR(VLOOKUP(B606,'Pre-Summary'!$BO$6:$BQ$48,3, FALSE),O605)</f>
        <v>0.9</v>
      </c>
      <c r="P606" s="99">
        <f>IFERROR(VLOOKUP(B606,'Pre-Summary'!$BS$6:$BU$35,3,FALSE),P605)</f>
        <v>0.5</v>
      </c>
      <c r="Q606" s="54">
        <f t="shared" si="27"/>
        <v>1.8</v>
      </c>
      <c r="R606" s="53">
        <f>IFERROR(VLOOKUP(B606,'Pre-Summary'!$BG$6:$BM$44,7,FALSE),R607)</f>
        <v>7.5915763918363535E-2</v>
      </c>
      <c r="S606" s="53">
        <f>IFERROR(VLOOKUP(B606,'Pre-Summary'!$BG$6:$BM$44,6,FALSE),S607)</f>
        <v>5.2897473997019086E-2</v>
      </c>
      <c r="T606" s="45" t="str">
        <f>IFERROR(VLOOKUP(B606,'Pre-Summary'!$Y$6:$AC$83, 3,FALSE),"")</f>
        <v/>
      </c>
      <c r="U606" s="45" t="str">
        <f>IFERROR(VLOOKUP(B606,'Pre-Summary'!$Y$6:$AC$83, 4,FALSE),"")</f>
        <v/>
      </c>
      <c r="V606" t="str">
        <f>IFERROR(VLOOKUP(B606,'Pre-Summary'!$Y$6:$AC$83, 5,FALSE),"")</f>
        <v/>
      </c>
      <c r="W606" s="45" t="str">
        <f>IFERROR(VLOOKUP(B606,'Pre-Summary'!$Y$6:$AD$83,6,FALSE),"")</f>
        <v/>
      </c>
      <c r="X606" t="str">
        <f>IFERROR(VLOOKUP('Pre-Summary'!$DB$6:$DD$63,3,FALSE),"")</f>
        <v/>
      </c>
      <c r="Y606" t="str">
        <f>IFERROR(VLOOKUP(B606,'Pre-Summary'!$CR$6:$CT$36,3,FALSE),"")</f>
        <v/>
      </c>
      <c r="Z606" s="45" t="str">
        <f>IFERROR(VLOOKUP(B606,'Pre-Summary'!$BZ$6:$CB$63,2,FALSE),"")</f>
        <v/>
      </c>
      <c r="AA606" s="45" t="str">
        <f>IFERROR(VLOOKUP(B606,'Pre-Summary'!$CG$6:$CI$70,2,FALSE),"")</f>
        <v/>
      </c>
      <c r="AB606" s="99">
        <f>IFERROR(VLOOKUP(B606,'Pre-Summary'!$A$6:$P$178,9,FALSE),AB607)</f>
        <v>0.87858471235308822</v>
      </c>
      <c r="AC606" s="10">
        <f>IFERROR(VLOOKUP(Summary!B606,'Pre-Summary'!$A$6:$P$184,5, FALSE)/100,AC607)</f>
        <v>0.67272566666666667</v>
      </c>
      <c r="AD606" s="10">
        <f>IFERROR(VLOOKUP(Summary!B606,'Pre-Summary'!$A$6:$P$184,3, FALSE)/100,AD607)</f>
        <v>8.9092333333333329E-2</v>
      </c>
      <c r="AE606" s="10">
        <f>IFERROR(VLOOKUP(Summary!B606,'Pre-Summary'!$A$6:$P$184,7, FALSE)/100,AE607)</f>
        <v>0.23818233333333336</v>
      </c>
      <c r="AF606" s="99">
        <f t="shared" si="28"/>
        <v>7.827516205453211E-2</v>
      </c>
      <c r="AG606" s="99">
        <f t="shared" si="29"/>
        <v>0.20926335681925406</v>
      </c>
      <c r="AH606" s="10" t="str">
        <f>IFERROR(VLOOKUP(B606,'Pre-Summary'!$AZ$6:$BE$65,3,FALSE),"")</f>
        <v/>
      </c>
      <c r="AI606" s="10" t="str">
        <f>IFERROR(VLOOKUP(B606,'Pre-Summary'!$AZ$6:$BE$65,5,FALSE),"")</f>
        <v/>
      </c>
      <c r="AJ606" s="10" t="str">
        <f>IFERROR(VLOOKUP(B606,'Pre-Summary'!$AZ$6:$BE$65,4,FALSE),"")</f>
        <v/>
      </c>
      <c r="AK606" s="10" t="str">
        <f>IFERROR(VLOOKUP(B606,'Pre-Summary'!$AZ$6:$BE$65,6,FALSE),"")</f>
        <v/>
      </c>
      <c r="AL606" s="10" t="str">
        <f>IFERROR(VLOOKUP(B606,'Pre-Summary'!$BG$6:$BL$44,3,FALSE),"")</f>
        <v/>
      </c>
      <c r="AM606" s="10" t="str">
        <f>IFERROR(VLOOKUP(B606,'Pre-Summary'!$BG$6:$BL$44,4,FALSE),"")</f>
        <v/>
      </c>
    </row>
    <row r="607" spans="2:39" ht="15" customHeight="1" x14ac:dyDescent="0.3">
      <c r="B607">
        <v>60.4</v>
      </c>
      <c r="C607" t="str">
        <f>IFERROR(VLOOKUP(B607,'Pre-Summary'!$DI$6:$DM$23,4,FALSE),"")</f>
        <v/>
      </c>
      <c r="D607" s="10" t="str">
        <f>IFERROR(VLOOKUP(B607,'Pre-Summary'!$AT$6:$AX$14,5,FALSE),D606)</f>
        <v>DSMZ v2: Dropped Na-Ac out of DSMZ 120 media</v>
      </c>
      <c r="E607" s="10" t="str">
        <f>IFERROR(VLOOKUP(B607,'Pre-Summary'!$AT$6:$AX$15,4,FALSE),"")</f>
        <v/>
      </c>
      <c r="F607">
        <f>IFERROR(VLOOKUP(B607,'Pre-Summary'!$AL$6:$AQ$13,6,FALSE),F606)</f>
        <v>5.9405263157894746E-2</v>
      </c>
      <c r="G607" t="str">
        <f>IFERROR(VLOOKUP(B607,'Pre-Summary'!$AE$6:$AJ$85,3,FALSE),"")</f>
        <v/>
      </c>
      <c r="H607" t="str">
        <f>IFERROR(VLOOKUP(B607,'Pre-Summary'!$AE$6:$AJ$85,4,FALSE),"")</f>
        <v/>
      </c>
      <c r="I607" t="str">
        <f>IFERROR(VLOOKUP(B607,'Pre-Summary'!$AE$6:$AJ$85,5,FALSE),"")</f>
        <v/>
      </c>
      <c r="J607" s="45" t="str">
        <f>IFERROR(VLOOKUP(B607,'Pre-Summary'!$AE$6:$AJ$85,6, FALSE),"")</f>
        <v/>
      </c>
      <c r="K607" s="45" t="str">
        <f>IFERROR(VLOOKUP(B607,'Pre-Summary'!$DE$6:$DG$61,3,FALSE),"")</f>
        <v/>
      </c>
      <c r="L607" s="45" t="str">
        <f>IFERROR(VLOOKUP(B607,'Pre-Summary'!$CU$6:$CW$36,3,FALSE),"")</f>
        <v/>
      </c>
      <c r="M607" s="45" t="str">
        <f>IFERROR(VLOOKUP(B607,'Pre-Summary'!$BW$6:$BY$58,2,FALSE),"")</f>
        <v/>
      </c>
      <c r="N607" s="45" t="str">
        <f>IFERROR(VLOOKUP(B607,'Pre-Summary'!$CD$6:$CF$64,2,FALSE),"")</f>
        <v/>
      </c>
      <c r="O607" s="99">
        <f>IFERROR(VLOOKUP(B607,'Pre-Summary'!$BO$6:$BQ$48,3, FALSE),O606)</f>
        <v>0.9</v>
      </c>
      <c r="P607" s="99">
        <f>IFERROR(VLOOKUP(B607,'Pre-Summary'!$BS$6:$BU$35,3,FALSE),P606)</f>
        <v>0.5</v>
      </c>
      <c r="Q607" s="54">
        <f t="shared" si="27"/>
        <v>1.8</v>
      </c>
      <c r="R607" s="53">
        <f>IFERROR(VLOOKUP(B607,'Pre-Summary'!$BG$6:$BM$44,7,FALSE),R608)</f>
        <v>7.5915763918363535E-2</v>
      </c>
      <c r="S607" s="53">
        <f>IFERROR(VLOOKUP(B607,'Pre-Summary'!$BG$6:$BM$44,6,FALSE),S608)</f>
        <v>5.2897473997019086E-2</v>
      </c>
      <c r="T607" s="45" t="str">
        <f>IFERROR(VLOOKUP(B607,'Pre-Summary'!$Y$6:$AC$83, 3,FALSE),"")</f>
        <v/>
      </c>
      <c r="U607" s="45" t="str">
        <f>IFERROR(VLOOKUP(B607,'Pre-Summary'!$Y$6:$AC$83, 4,FALSE),"")</f>
        <v/>
      </c>
      <c r="V607" t="str">
        <f>IFERROR(VLOOKUP(B607,'Pre-Summary'!$Y$6:$AC$83, 5,FALSE),"")</f>
        <v/>
      </c>
      <c r="W607" s="45" t="str">
        <f>IFERROR(VLOOKUP(B607,'Pre-Summary'!$Y$6:$AD$83,6,FALSE),"")</f>
        <v/>
      </c>
      <c r="X607" t="str">
        <f>IFERROR(VLOOKUP('Pre-Summary'!$DB$6:$DD$63,3,FALSE),"")</f>
        <v/>
      </c>
      <c r="Y607" t="str">
        <f>IFERROR(VLOOKUP(B607,'Pre-Summary'!$CR$6:$CT$36,3,FALSE),"")</f>
        <v/>
      </c>
      <c r="Z607" s="45" t="str">
        <f>IFERROR(VLOOKUP(B607,'Pre-Summary'!$BZ$6:$CB$63,2,FALSE),"")</f>
        <v/>
      </c>
      <c r="AA607" s="45" t="str">
        <f>IFERROR(VLOOKUP(B607,'Pre-Summary'!$CG$6:$CI$70,2,FALSE),"")</f>
        <v/>
      </c>
      <c r="AB607" s="99">
        <f>IFERROR(VLOOKUP(B607,'Pre-Summary'!$A$6:$P$178,9,FALSE),AB608)</f>
        <v>0.87858471235308822</v>
      </c>
      <c r="AC607" s="10">
        <f>IFERROR(VLOOKUP(Summary!B607,'Pre-Summary'!$A$6:$P$184,5, FALSE)/100,AC608)</f>
        <v>0.67272566666666667</v>
      </c>
      <c r="AD607" s="10">
        <f>IFERROR(VLOOKUP(Summary!B607,'Pre-Summary'!$A$6:$P$184,3, FALSE)/100,AD608)</f>
        <v>8.9092333333333329E-2</v>
      </c>
      <c r="AE607" s="10">
        <f>IFERROR(VLOOKUP(Summary!B607,'Pre-Summary'!$A$6:$P$184,7, FALSE)/100,AE608)</f>
        <v>0.23818233333333336</v>
      </c>
      <c r="AF607" s="99">
        <f t="shared" si="28"/>
        <v>7.827516205453211E-2</v>
      </c>
      <c r="AG607" s="99">
        <f t="shared" si="29"/>
        <v>0.20926335681925406</v>
      </c>
      <c r="AH607" s="10" t="str">
        <f>IFERROR(VLOOKUP(B607,'Pre-Summary'!$AZ$6:$BE$65,3,FALSE),"")</f>
        <v/>
      </c>
      <c r="AI607" s="10" t="str">
        <f>IFERROR(VLOOKUP(B607,'Pre-Summary'!$AZ$6:$BE$65,5,FALSE),"")</f>
        <v/>
      </c>
      <c r="AJ607" s="10" t="str">
        <f>IFERROR(VLOOKUP(B607,'Pre-Summary'!$AZ$6:$BE$65,4,FALSE),"")</f>
        <v/>
      </c>
      <c r="AK607" s="10" t="str">
        <f>IFERROR(VLOOKUP(B607,'Pre-Summary'!$AZ$6:$BE$65,6,FALSE),"")</f>
        <v/>
      </c>
      <c r="AL607" s="10" t="str">
        <f>IFERROR(VLOOKUP(B607,'Pre-Summary'!$BG$6:$BL$44,3,FALSE),"")</f>
        <v/>
      </c>
      <c r="AM607" s="10" t="str">
        <f>IFERROR(VLOOKUP(B607,'Pre-Summary'!$BG$6:$BL$44,4,FALSE),"")</f>
        <v/>
      </c>
    </row>
    <row r="608" spans="2:39" ht="15" customHeight="1" x14ac:dyDescent="0.3">
      <c r="B608">
        <v>60.5</v>
      </c>
      <c r="C608" t="str">
        <f>IFERROR(VLOOKUP(B608,'Pre-Summary'!$DI$6:$DM$23,4,FALSE),"")</f>
        <v/>
      </c>
      <c r="D608" s="10" t="str">
        <f>IFERROR(VLOOKUP(B608,'Pre-Summary'!$AT$6:$AX$14,5,FALSE),D607)</f>
        <v>DSMZ v2: Dropped Na-Ac out of DSMZ 120 media</v>
      </c>
      <c r="E608" s="10" t="str">
        <f>IFERROR(VLOOKUP(B608,'Pre-Summary'!$AT$6:$AX$15,4,FALSE),"")</f>
        <v/>
      </c>
      <c r="F608">
        <f>IFERROR(VLOOKUP(B608,'Pre-Summary'!$AL$6:$AQ$13,6,FALSE),F607)</f>
        <v>5.9405263157894746E-2</v>
      </c>
      <c r="G608" t="str">
        <f>IFERROR(VLOOKUP(B608,'Pre-Summary'!$AE$6:$AJ$85,3,FALSE),"")</f>
        <v/>
      </c>
      <c r="H608" t="str">
        <f>IFERROR(VLOOKUP(B608,'Pre-Summary'!$AE$6:$AJ$85,4,FALSE),"")</f>
        <v/>
      </c>
      <c r="I608" t="str">
        <f>IFERROR(VLOOKUP(B608,'Pre-Summary'!$AE$6:$AJ$85,5,FALSE),"")</f>
        <v/>
      </c>
      <c r="J608" s="45" t="str">
        <f>IFERROR(VLOOKUP(B608,'Pre-Summary'!$AE$6:$AJ$85,6, FALSE),"")</f>
        <v/>
      </c>
      <c r="K608" s="45" t="str">
        <f>IFERROR(VLOOKUP(B608,'Pre-Summary'!$DE$6:$DG$61,3,FALSE),"")</f>
        <v/>
      </c>
      <c r="L608" s="45" t="str">
        <f>IFERROR(VLOOKUP(B608,'Pre-Summary'!$CU$6:$CW$36,3,FALSE),"")</f>
        <v/>
      </c>
      <c r="M608" s="45" t="str">
        <f>IFERROR(VLOOKUP(B608,'Pre-Summary'!$BW$6:$BY$58,2,FALSE),"")</f>
        <v/>
      </c>
      <c r="N608" s="45" t="str">
        <f>IFERROR(VLOOKUP(B608,'Pre-Summary'!$CD$6:$CF$64,2,FALSE),"")</f>
        <v/>
      </c>
      <c r="O608" s="99">
        <f>IFERROR(VLOOKUP(B608,'Pre-Summary'!$BO$6:$BQ$48,3, FALSE),O607)</f>
        <v>0.9</v>
      </c>
      <c r="P608" s="99">
        <f>IFERROR(VLOOKUP(B608,'Pre-Summary'!$BS$6:$BU$35,3,FALSE),P607)</f>
        <v>0.5</v>
      </c>
      <c r="Q608" s="54">
        <f t="shared" si="27"/>
        <v>1.8</v>
      </c>
      <c r="R608" s="53">
        <f>IFERROR(VLOOKUP(B608,'Pre-Summary'!$BG$6:$BM$44,7,FALSE),R609)</f>
        <v>7.5915763918363535E-2</v>
      </c>
      <c r="S608" s="53">
        <f>IFERROR(VLOOKUP(B608,'Pre-Summary'!$BG$6:$BM$44,6,FALSE),S609)</f>
        <v>5.2897473997019086E-2</v>
      </c>
      <c r="T608" s="45" t="str">
        <f>IFERROR(VLOOKUP(B608,'Pre-Summary'!$Y$6:$AC$83, 3,FALSE),"")</f>
        <v/>
      </c>
      <c r="U608" s="45" t="str">
        <f>IFERROR(VLOOKUP(B608,'Pre-Summary'!$Y$6:$AC$83, 4,FALSE),"")</f>
        <v/>
      </c>
      <c r="V608" t="str">
        <f>IFERROR(VLOOKUP(B608,'Pre-Summary'!$Y$6:$AC$83, 5,FALSE),"")</f>
        <v/>
      </c>
      <c r="W608" s="45" t="str">
        <f>IFERROR(VLOOKUP(B608,'Pre-Summary'!$Y$6:$AD$83,6,FALSE),"")</f>
        <v/>
      </c>
      <c r="X608" t="str">
        <f>IFERROR(VLOOKUP('Pre-Summary'!$DB$6:$DD$63,3,FALSE),"")</f>
        <v/>
      </c>
      <c r="Y608" t="str">
        <f>IFERROR(VLOOKUP(B608,'Pre-Summary'!$CR$6:$CT$36,3,FALSE),"")</f>
        <v/>
      </c>
      <c r="Z608" s="45" t="str">
        <f>IFERROR(VLOOKUP(B608,'Pre-Summary'!$BZ$6:$CB$63,2,FALSE),"")</f>
        <v/>
      </c>
      <c r="AA608" s="45" t="str">
        <f>IFERROR(VLOOKUP(B608,'Pre-Summary'!$CG$6:$CI$70,2,FALSE),"")</f>
        <v/>
      </c>
      <c r="AB608" s="99">
        <f>IFERROR(VLOOKUP(B608,'Pre-Summary'!$A$6:$P$178,9,FALSE),AB609)</f>
        <v>0.87858471235308822</v>
      </c>
      <c r="AC608" s="10">
        <f>IFERROR(VLOOKUP(Summary!B608,'Pre-Summary'!$A$6:$P$184,5, FALSE)/100,AC609)</f>
        <v>0.67272566666666667</v>
      </c>
      <c r="AD608" s="10">
        <f>IFERROR(VLOOKUP(Summary!B608,'Pre-Summary'!$A$6:$P$184,3, FALSE)/100,AD609)</f>
        <v>8.9092333333333329E-2</v>
      </c>
      <c r="AE608" s="10">
        <f>IFERROR(VLOOKUP(Summary!B608,'Pre-Summary'!$A$6:$P$184,7, FALSE)/100,AE609)</f>
        <v>0.23818233333333336</v>
      </c>
      <c r="AF608" s="99">
        <f t="shared" si="28"/>
        <v>7.827516205453211E-2</v>
      </c>
      <c r="AG608" s="99">
        <f t="shared" si="29"/>
        <v>0.20926335681925406</v>
      </c>
      <c r="AH608" s="10" t="str">
        <f>IFERROR(VLOOKUP(B608,'Pre-Summary'!$AZ$6:$BE$65,3,FALSE),"")</f>
        <v/>
      </c>
      <c r="AI608" s="10" t="str">
        <f>IFERROR(VLOOKUP(B608,'Pre-Summary'!$AZ$6:$BE$65,5,FALSE),"")</f>
        <v/>
      </c>
      <c r="AJ608" s="10" t="str">
        <f>IFERROR(VLOOKUP(B608,'Pre-Summary'!$AZ$6:$BE$65,4,FALSE),"")</f>
        <v/>
      </c>
      <c r="AK608" s="10" t="str">
        <f>IFERROR(VLOOKUP(B608,'Pre-Summary'!$AZ$6:$BE$65,6,FALSE),"")</f>
        <v/>
      </c>
      <c r="AL608" s="10" t="str">
        <f>IFERROR(VLOOKUP(B608,'Pre-Summary'!$BG$6:$BL$44,3,FALSE),"")</f>
        <v/>
      </c>
      <c r="AM608" s="10" t="str">
        <f>IFERROR(VLOOKUP(B608,'Pre-Summary'!$BG$6:$BL$44,4,FALSE),"")</f>
        <v/>
      </c>
    </row>
    <row r="609" spans="2:39" ht="15" customHeight="1" x14ac:dyDescent="0.3">
      <c r="B609">
        <v>60.6</v>
      </c>
      <c r="C609" t="str">
        <f>IFERROR(VLOOKUP(B609,'Pre-Summary'!$DI$6:$DM$23,4,FALSE),"")</f>
        <v/>
      </c>
      <c r="D609" s="10" t="str">
        <f>IFERROR(VLOOKUP(B609,'Pre-Summary'!$AT$6:$AX$14,5,FALSE),D608)</f>
        <v>DSMZ v2: Dropped Na-Ac out of DSMZ 120 media</v>
      </c>
      <c r="E609" s="10" t="str">
        <f>IFERROR(VLOOKUP(B609,'Pre-Summary'!$AT$6:$AX$15,4,FALSE),"")</f>
        <v/>
      </c>
      <c r="F609">
        <f>IFERROR(VLOOKUP(B609,'Pre-Summary'!$AL$6:$AQ$13,6,FALSE),F608)</f>
        <v>5.9405263157894746E-2</v>
      </c>
      <c r="G609" t="str">
        <f>IFERROR(VLOOKUP(B609,'Pre-Summary'!$AE$6:$AJ$85,3,FALSE),"")</f>
        <v/>
      </c>
      <c r="H609" t="str">
        <f>IFERROR(VLOOKUP(B609,'Pre-Summary'!$AE$6:$AJ$85,4,FALSE),"")</f>
        <v/>
      </c>
      <c r="I609" t="str">
        <f>IFERROR(VLOOKUP(B609,'Pre-Summary'!$AE$6:$AJ$85,5,FALSE),"")</f>
        <v/>
      </c>
      <c r="J609" s="45" t="str">
        <f>IFERROR(VLOOKUP(B609,'Pre-Summary'!$AE$6:$AJ$85,6, FALSE),"")</f>
        <v/>
      </c>
      <c r="K609" s="45" t="str">
        <f>IFERROR(VLOOKUP(B609,'Pre-Summary'!$DE$6:$DG$61,3,FALSE),"")</f>
        <v/>
      </c>
      <c r="L609" s="45" t="str">
        <f>IFERROR(VLOOKUP(B609,'Pre-Summary'!$CU$6:$CW$36,3,FALSE),"")</f>
        <v/>
      </c>
      <c r="M609" s="45" t="str">
        <f>IFERROR(VLOOKUP(B609,'Pre-Summary'!$BW$6:$BY$58,2,FALSE),"")</f>
        <v/>
      </c>
      <c r="N609" s="45" t="str">
        <f>IFERROR(VLOOKUP(B609,'Pre-Summary'!$CD$6:$CF$64,2,FALSE),"")</f>
        <v/>
      </c>
      <c r="O609" s="99">
        <f>IFERROR(VLOOKUP(B609,'Pre-Summary'!$BO$6:$BQ$48,3, FALSE),O608)</f>
        <v>0.9</v>
      </c>
      <c r="P609" s="99">
        <f>IFERROR(VLOOKUP(B609,'Pre-Summary'!$BS$6:$BU$35,3,FALSE),P608)</f>
        <v>0.5</v>
      </c>
      <c r="Q609" s="54">
        <f t="shared" si="27"/>
        <v>1.8</v>
      </c>
      <c r="R609" s="53">
        <f>IFERROR(VLOOKUP(B609,'Pre-Summary'!$BG$6:$BM$44,7,FALSE),R610)</f>
        <v>7.5915763918363535E-2</v>
      </c>
      <c r="S609" s="53">
        <f>IFERROR(VLOOKUP(B609,'Pre-Summary'!$BG$6:$BM$44,6,FALSE),S610)</f>
        <v>5.2897473997019086E-2</v>
      </c>
      <c r="T609" s="45" t="str">
        <f>IFERROR(VLOOKUP(B609,'Pre-Summary'!$Y$6:$AC$83, 3,FALSE),"")</f>
        <v/>
      </c>
      <c r="U609" s="45" t="str">
        <f>IFERROR(VLOOKUP(B609,'Pre-Summary'!$Y$6:$AC$83, 4,FALSE),"")</f>
        <v/>
      </c>
      <c r="V609" t="str">
        <f>IFERROR(VLOOKUP(B609,'Pre-Summary'!$Y$6:$AC$83, 5,FALSE),"")</f>
        <v/>
      </c>
      <c r="W609" s="45" t="str">
        <f>IFERROR(VLOOKUP(B609,'Pre-Summary'!$Y$6:$AD$83,6,FALSE),"")</f>
        <v/>
      </c>
      <c r="X609" t="str">
        <f>IFERROR(VLOOKUP('Pre-Summary'!$DB$6:$DD$63,3,FALSE),"")</f>
        <v/>
      </c>
      <c r="Y609" t="str">
        <f>IFERROR(VLOOKUP(B609,'Pre-Summary'!$CR$6:$CT$36,3,FALSE),"")</f>
        <v/>
      </c>
      <c r="Z609" s="45" t="str">
        <f>IFERROR(VLOOKUP(B609,'Pre-Summary'!$BZ$6:$CB$63,2,FALSE),"")</f>
        <v/>
      </c>
      <c r="AA609" s="45" t="str">
        <f>IFERROR(VLOOKUP(B609,'Pre-Summary'!$CG$6:$CI$70,2,FALSE),"")</f>
        <v/>
      </c>
      <c r="AB609" s="99">
        <f>IFERROR(VLOOKUP(B609,'Pre-Summary'!$A$6:$P$178,9,FALSE),AB610)</f>
        <v>0.87858471235308822</v>
      </c>
      <c r="AC609" s="10">
        <f>IFERROR(VLOOKUP(Summary!B609,'Pre-Summary'!$A$6:$P$184,5, FALSE)/100,AC610)</f>
        <v>0.67272566666666667</v>
      </c>
      <c r="AD609" s="10">
        <f>IFERROR(VLOOKUP(Summary!B609,'Pre-Summary'!$A$6:$P$184,3, FALSE)/100,AD610)</f>
        <v>8.9092333333333329E-2</v>
      </c>
      <c r="AE609" s="10">
        <f>IFERROR(VLOOKUP(Summary!B609,'Pre-Summary'!$A$6:$P$184,7, FALSE)/100,AE610)</f>
        <v>0.23818233333333336</v>
      </c>
      <c r="AF609" s="99">
        <f t="shared" si="28"/>
        <v>7.827516205453211E-2</v>
      </c>
      <c r="AG609" s="99">
        <f t="shared" si="29"/>
        <v>0.20926335681925406</v>
      </c>
      <c r="AH609" s="10" t="str">
        <f>IFERROR(VLOOKUP(B609,'Pre-Summary'!$AZ$6:$BE$65,3,FALSE),"")</f>
        <v/>
      </c>
      <c r="AI609" s="10" t="str">
        <f>IFERROR(VLOOKUP(B609,'Pre-Summary'!$AZ$6:$BE$65,5,FALSE),"")</f>
        <v/>
      </c>
      <c r="AJ609" s="10" t="str">
        <f>IFERROR(VLOOKUP(B609,'Pre-Summary'!$AZ$6:$BE$65,4,FALSE),"")</f>
        <v/>
      </c>
      <c r="AK609" s="10" t="str">
        <f>IFERROR(VLOOKUP(B609,'Pre-Summary'!$AZ$6:$BE$65,6,FALSE),"")</f>
        <v/>
      </c>
      <c r="AL609" s="10" t="str">
        <f>IFERROR(VLOOKUP(B609,'Pre-Summary'!$BG$6:$BL$44,3,FALSE),"")</f>
        <v/>
      </c>
      <c r="AM609" s="10" t="str">
        <f>IFERROR(VLOOKUP(B609,'Pre-Summary'!$BG$6:$BL$44,4,FALSE),"")</f>
        <v/>
      </c>
    </row>
    <row r="610" spans="2:39" ht="15" customHeight="1" x14ac:dyDescent="0.3">
      <c r="B610">
        <v>60.7</v>
      </c>
      <c r="C610" t="str">
        <f>IFERROR(VLOOKUP(B610,'Pre-Summary'!$DI$6:$DM$23,4,FALSE),"")</f>
        <v/>
      </c>
      <c r="D610" s="10" t="str">
        <f>IFERROR(VLOOKUP(B610,'Pre-Summary'!$AT$6:$AX$14,5,FALSE),D609)</f>
        <v>DSMZ v2: Dropped Na-Ac out of DSMZ 120 media</v>
      </c>
      <c r="E610" s="10" t="str">
        <f>IFERROR(VLOOKUP(B610,'Pre-Summary'!$AT$6:$AX$15,4,FALSE),"")</f>
        <v/>
      </c>
      <c r="F610">
        <f>IFERROR(VLOOKUP(B610,'Pre-Summary'!$AL$6:$AQ$13,6,FALSE),F609)</f>
        <v>5.9405263157894746E-2</v>
      </c>
      <c r="G610" t="str">
        <f>IFERROR(VLOOKUP(B610,'Pre-Summary'!$AE$6:$AJ$85,3,FALSE),"")</f>
        <v/>
      </c>
      <c r="H610" t="str">
        <f>IFERROR(VLOOKUP(B610,'Pre-Summary'!$AE$6:$AJ$85,4,FALSE),"")</f>
        <v/>
      </c>
      <c r="I610" t="str">
        <f>IFERROR(VLOOKUP(B610,'Pre-Summary'!$AE$6:$AJ$85,5,FALSE),"")</f>
        <v/>
      </c>
      <c r="J610" s="45" t="str">
        <f>IFERROR(VLOOKUP(B610,'Pre-Summary'!$AE$6:$AJ$85,6, FALSE),"")</f>
        <v/>
      </c>
      <c r="K610" s="45" t="str">
        <f>IFERROR(VLOOKUP(B610,'Pre-Summary'!$DE$6:$DG$61,3,FALSE),"")</f>
        <v/>
      </c>
      <c r="L610" s="45" t="str">
        <f>IFERROR(VLOOKUP(B610,'Pre-Summary'!$CU$6:$CW$36,3,FALSE),"")</f>
        <v/>
      </c>
      <c r="M610" s="45" t="str">
        <f>IFERROR(VLOOKUP(B610,'Pre-Summary'!$BW$6:$BY$58,2,FALSE),"")</f>
        <v/>
      </c>
      <c r="N610" s="45" t="str">
        <f>IFERROR(VLOOKUP(B610,'Pre-Summary'!$CD$6:$CF$64,2,FALSE),"")</f>
        <v/>
      </c>
      <c r="O610" s="99">
        <f>IFERROR(VLOOKUP(B610,'Pre-Summary'!$BO$6:$BQ$48,3, FALSE),O609)</f>
        <v>0.9</v>
      </c>
      <c r="P610" s="99">
        <f>IFERROR(VLOOKUP(B610,'Pre-Summary'!$BS$6:$BU$35,3,FALSE),P609)</f>
        <v>0.5</v>
      </c>
      <c r="Q610" s="54">
        <f t="shared" si="27"/>
        <v>1.8</v>
      </c>
      <c r="R610" s="53">
        <f>IFERROR(VLOOKUP(B610,'Pre-Summary'!$BG$6:$BM$44,7,FALSE),R611)</f>
        <v>7.5915763918363535E-2</v>
      </c>
      <c r="S610" s="53">
        <f>IFERROR(VLOOKUP(B610,'Pre-Summary'!$BG$6:$BM$44,6,FALSE),S611)</f>
        <v>5.2897473997019086E-2</v>
      </c>
      <c r="T610" s="45" t="str">
        <f>IFERROR(VLOOKUP(B610,'Pre-Summary'!$Y$6:$AC$83, 3,FALSE),"")</f>
        <v/>
      </c>
      <c r="U610" s="45" t="str">
        <f>IFERROR(VLOOKUP(B610,'Pre-Summary'!$Y$6:$AC$83, 4,FALSE),"")</f>
        <v/>
      </c>
      <c r="V610" t="str">
        <f>IFERROR(VLOOKUP(B610,'Pre-Summary'!$Y$6:$AC$83, 5,FALSE),"")</f>
        <v/>
      </c>
      <c r="W610" s="45" t="str">
        <f>IFERROR(VLOOKUP(B610,'Pre-Summary'!$Y$6:$AD$83,6,FALSE),"")</f>
        <v/>
      </c>
      <c r="X610" t="str">
        <f>IFERROR(VLOOKUP('Pre-Summary'!$DB$6:$DD$63,3,FALSE),"")</f>
        <v/>
      </c>
      <c r="Y610" t="str">
        <f>IFERROR(VLOOKUP(B610,'Pre-Summary'!$CR$6:$CT$36,3,FALSE),"")</f>
        <v/>
      </c>
      <c r="Z610" s="45" t="str">
        <f>IFERROR(VLOOKUP(B610,'Pre-Summary'!$BZ$6:$CB$63,2,FALSE),"")</f>
        <v/>
      </c>
      <c r="AA610" s="45" t="str">
        <f>IFERROR(VLOOKUP(B610,'Pre-Summary'!$CG$6:$CI$70,2,FALSE),"")</f>
        <v/>
      </c>
      <c r="AB610" s="99">
        <f>IFERROR(VLOOKUP(B610,'Pre-Summary'!$A$6:$P$178,9,FALSE),AB611)</f>
        <v>0.87858471235308822</v>
      </c>
      <c r="AC610" s="10">
        <f>IFERROR(VLOOKUP(Summary!B610,'Pre-Summary'!$A$6:$P$184,5, FALSE)/100,AC611)</f>
        <v>0.67272566666666667</v>
      </c>
      <c r="AD610" s="10">
        <f>IFERROR(VLOOKUP(Summary!B610,'Pre-Summary'!$A$6:$P$184,3, FALSE)/100,AD611)</f>
        <v>8.9092333333333329E-2</v>
      </c>
      <c r="AE610" s="10">
        <f>IFERROR(VLOOKUP(Summary!B610,'Pre-Summary'!$A$6:$P$184,7, FALSE)/100,AE611)</f>
        <v>0.23818233333333336</v>
      </c>
      <c r="AF610" s="99">
        <f t="shared" si="28"/>
        <v>7.827516205453211E-2</v>
      </c>
      <c r="AG610" s="99">
        <f t="shared" si="29"/>
        <v>0.20926335681925406</v>
      </c>
      <c r="AH610" s="10" t="str">
        <f>IFERROR(VLOOKUP(B610,'Pre-Summary'!$AZ$6:$BE$65,3,FALSE),"")</f>
        <v/>
      </c>
      <c r="AI610" s="10" t="str">
        <f>IFERROR(VLOOKUP(B610,'Pre-Summary'!$AZ$6:$BE$65,5,FALSE),"")</f>
        <v/>
      </c>
      <c r="AJ610" s="10" t="str">
        <f>IFERROR(VLOOKUP(B610,'Pre-Summary'!$AZ$6:$BE$65,4,FALSE),"")</f>
        <v/>
      </c>
      <c r="AK610" s="10" t="str">
        <f>IFERROR(VLOOKUP(B610,'Pre-Summary'!$AZ$6:$BE$65,6,FALSE),"")</f>
        <v/>
      </c>
      <c r="AL610" s="10" t="str">
        <f>IFERROR(VLOOKUP(B610,'Pre-Summary'!$BG$6:$BL$44,3,FALSE),"")</f>
        <v/>
      </c>
      <c r="AM610" s="10" t="str">
        <f>IFERROR(VLOOKUP(B610,'Pre-Summary'!$BG$6:$BL$44,4,FALSE),"")</f>
        <v/>
      </c>
    </row>
    <row r="611" spans="2:39" ht="15" customHeight="1" x14ac:dyDescent="0.3">
      <c r="B611">
        <v>60.8</v>
      </c>
      <c r="C611" t="str">
        <f>IFERROR(VLOOKUP(B611,'Pre-Summary'!$DI$6:$DM$23,4,FALSE),"")</f>
        <v/>
      </c>
      <c r="D611" s="10" t="str">
        <f>IFERROR(VLOOKUP(B611,'Pre-Summary'!$AT$6:$AX$14,5,FALSE),D610)</f>
        <v>DSMZ v2: Dropped Na-Ac out of DSMZ 120 media</v>
      </c>
      <c r="E611" s="10" t="str">
        <f>IFERROR(VLOOKUP(B611,'Pre-Summary'!$AT$6:$AX$15,4,FALSE),"")</f>
        <v/>
      </c>
      <c r="F611">
        <f>IFERROR(VLOOKUP(B611,'Pre-Summary'!$AL$6:$AQ$13,6,FALSE),F610)</f>
        <v>5.9405263157894746E-2</v>
      </c>
      <c r="G611" t="str">
        <f>IFERROR(VLOOKUP(B611,'Pre-Summary'!$AE$6:$AJ$85,3,FALSE),"")</f>
        <v/>
      </c>
      <c r="H611" t="str">
        <f>IFERROR(VLOOKUP(B611,'Pre-Summary'!$AE$6:$AJ$85,4,FALSE),"")</f>
        <v/>
      </c>
      <c r="I611" t="str">
        <f>IFERROR(VLOOKUP(B611,'Pre-Summary'!$AE$6:$AJ$85,5,FALSE),"")</f>
        <v/>
      </c>
      <c r="J611" s="45" t="str">
        <f>IFERROR(VLOOKUP(B611,'Pre-Summary'!$AE$6:$AJ$85,6, FALSE),"")</f>
        <v/>
      </c>
      <c r="K611" s="45" t="str">
        <f>IFERROR(VLOOKUP(B611,'Pre-Summary'!$DE$6:$DG$61,3,FALSE),"")</f>
        <v/>
      </c>
      <c r="L611" s="45" t="str">
        <f>IFERROR(VLOOKUP(B611,'Pre-Summary'!$CU$6:$CW$36,3,FALSE),"")</f>
        <v/>
      </c>
      <c r="M611" s="45" t="str">
        <f>IFERROR(VLOOKUP(B611,'Pre-Summary'!$BW$6:$BY$58,2,FALSE),"")</f>
        <v/>
      </c>
      <c r="N611" s="45" t="str">
        <f>IFERROR(VLOOKUP(B611,'Pre-Summary'!$CD$6:$CF$64,2,FALSE),"")</f>
        <v/>
      </c>
      <c r="O611" s="99">
        <f>IFERROR(VLOOKUP(B611,'Pre-Summary'!$BO$6:$BQ$48,3, FALSE),O610)</f>
        <v>0.9</v>
      </c>
      <c r="P611" s="99">
        <f>IFERROR(VLOOKUP(B611,'Pre-Summary'!$BS$6:$BU$35,3,FALSE),P610)</f>
        <v>0.5</v>
      </c>
      <c r="Q611" s="54">
        <f t="shared" si="27"/>
        <v>1.8</v>
      </c>
      <c r="R611" s="53">
        <f>IFERROR(VLOOKUP(B611,'Pre-Summary'!$BG$6:$BM$44,7,FALSE),R612)</f>
        <v>7.5915763918363535E-2</v>
      </c>
      <c r="S611" s="53">
        <f>IFERROR(VLOOKUP(B611,'Pre-Summary'!$BG$6:$BM$44,6,FALSE),S612)</f>
        <v>5.2897473997019086E-2</v>
      </c>
      <c r="T611" s="45" t="str">
        <f>IFERROR(VLOOKUP(B611,'Pre-Summary'!$Y$6:$AC$83, 3,FALSE),"")</f>
        <v/>
      </c>
      <c r="U611" s="45" t="str">
        <f>IFERROR(VLOOKUP(B611,'Pre-Summary'!$Y$6:$AC$83, 4,FALSE),"")</f>
        <v/>
      </c>
      <c r="V611" t="str">
        <f>IFERROR(VLOOKUP(B611,'Pre-Summary'!$Y$6:$AC$83, 5,FALSE),"")</f>
        <v/>
      </c>
      <c r="W611" s="45" t="str">
        <f>IFERROR(VLOOKUP(B611,'Pre-Summary'!$Y$6:$AD$83,6,FALSE),"")</f>
        <v/>
      </c>
      <c r="X611" t="str">
        <f>IFERROR(VLOOKUP('Pre-Summary'!$DB$6:$DD$63,3,FALSE),"")</f>
        <v/>
      </c>
      <c r="Y611" t="str">
        <f>IFERROR(VLOOKUP(B611,'Pre-Summary'!$CR$6:$CT$36,3,FALSE),"")</f>
        <v/>
      </c>
      <c r="Z611" s="45" t="str">
        <f>IFERROR(VLOOKUP(B611,'Pre-Summary'!$BZ$6:$CB$63,2,FALSE),"")</f>
        <v/>
      </c>
      <c r="AA611" s="45" t="str">
        <f>IFERROR(VLOOKUP(B611,'Pre-Summary'!$CG$6:$CI$70,2,FALSE),"")</f>
        <v/>
      </c>
      <c r="AB611" s="99">
        <f>IFERROR(VLOOKUP(B611,'Pre-Summary'!$A$6:$P$178,9,FALSE),AB612)</f>
        <v>0.87858471235308822</v>
      </c>
      <c r="AC611" s="10">
        <f>IFERROR(VLOOKUP(Summary!B611,'Pre-Summary'!$A$6:$P$184,5, FALSE)/100,AC612)</f>
        <v>0.67272566666666667</v>
      </c>
      <c r="AD611" s="10">
        <f>IFERROR(VLOOKUP(Summary!B611,'Pre-Summary'!$A$6:$P$184,3, FALSE)/100,AD612)</f>
        <v>8.9092333333333329E-2</v>
      </c>
      <c r="AE611" s="10">
        <f>IFERROR(VLOOKUP(Summary!B611,'Pre-Summary'!$A$6:$P$184,7, FALSE)/100,AE612)</f>
        <v>0.23818233333333336</v>
      </c>
      <c r="AF611" s="99">
        <f t="shared" si="28"/>
        <v>7.827516205453211E-2</v>
      </c>
      <c r="AG611" s="99">
        <f t="shared" si="29"/>
        <v>0.20926335681925406</v>
      </c>
      <c r="AH611" s="10" t="str">
        <f>IFERROR(VLOOKUP(B611,'Pre-Summary'!$AZ$6:$BE$65,3,FALSE),"")</f>
        <v/>
      </c>
      <c r="AI611" s="10" t="str">
        <f>IFERROR(VLOOKUP(B611,'Pre-Summary'!$AZ$6:$BE$65,5,FALSE),"")</f>
        <v/>
      </c>
      <c r="AJ611" s="10" t="str">
        <f>IFERROR(VLOOKUP(B611,'Pre-Summary'!$AZ$6:$BE$65,4,FALSE),"")</f>
        <v/>
      </c>
      <c r="AK611" s="10" t="str">
        <f>IFERROR(VLOOKUP(B611,'Pre-Summary'!$AZ$6:$BE$65,6,FALSE),"")</f>
        <v/>
      </c>
      <c r="AL611" s="10" t="str">
        <f>IFERROR(VLOOKUP(B611,'Pre-Summary'!$BG$6:$BL$44,3,FALSE),"")</f>
        <v/>
      </c>
      <c r="AM611" s="10" t="str">
        <f>IFERROR(VLOOKUP(B611,'Pre-Summary'!$BG$6:$BL$44,4,FALSE),"")</f>
        <v/>
      </c>
    </row>
    <row r="612" spans="2:39" ht="15" customHeight="1" x14ac:dyDescent="0.3">
      <c r="B612">
        <v>60.9</v>
      </c>
      <c r="C612" t="str">
        <f>IFERROR(VLOOKUP(B612,'Pre-Summary'!$DI$6:$DM$23,4,FALSE),"")</f>
        <v/>
      </c>
      <c r="D612" s="10" t="str">
        <f>IFERROR(VLOOKUP(B612,'Pre-Summary'!$AT$6:$AX$14,5,FALSE),D611)</f>
        <v>DSMZ v2: Dropped Na-Ac out of DSMZ 120 media</v>
      </c>
      <c r="E612" s="10" t="str">
        <f>IFERROR(VLOOKUP(B612,'Pre-Summary'!$AT$6:$AX$15,4,FALSE),"")</f>
        <v/>
      </c>
      <c r="F612">
        <f>IFERROR(VLOOKUP(B612,'Pre-Summary'!$AL$6:$AQ$13,6,FALSE),F611)</f>
        <v>5.9405263157894746E-2</v>
      </c>
      <c r="G612" t="str">
        <f>IFERROR(VLOOKUP(B612,'Pre-Summary'!$AE$6:$AJ$85,3,FALSE),"")</f>
        <v/>
      </c>
      <c r="H612" t="str">
        <f>IFERROR(VLOOKUP(B612,'Pre-Summary'!$AE$6:$AJ$85,4,FALSE),"")</f>
        <v/>
      </c>
      <c r="I612" t="str">
        <f>IFERROR(VLOOKUP(B612,'Pre-Summary'!$AE$6:$AJ$85,5,FALSE),"")</f>
        <v/>
      </c>
      <c r="J612" s="45" t="str">
        <f>IFERROR(VLOOKUP(B612,'Pre-Summary'!$AE$6:$AJ$85,6, FALSE),"")</f>
        <v/>
      </c>
      <c r="K612" s="45" t="str">
        <f>IFERROR(VLOOKUP(B612,'Pre-Summary'!$DE$6:$DG$61,3,FALSE),"")</f>
        <v/>
      </c>
      <c r="L612" s="45" t="str">
        <f>IFERROR(VLOOKUP(B612,'Pre-Summary'!$CU$6:$CW$36,3,FALSE),"")</f>
        <v/>
      </c>
      <c r="M612" s="45" t="str">
        <f>IFERROR(VLOOKUP(B612,'Pre-Summary'!$BW$6:$BY$58,2,FALSE),"")</f>
        <v/>
      </c>
      <c r="N612" s="45" t="str">
        <f>IFERROR(VLOOKUP(B612,'Pre-Summary'!$CD$6:$CF$64,2,FALSE),"")</f>
        <v/>
      </c>
      <c r="O612" s="99">
        <f>IFERROR(VLOOKUP(B612,'Pre-Summary'!$BO$6:$BQ$48,3, FALSE),O611)</f>
        <v>0.9</v>
      </c>
      <c r="P612" s="99">
        <f>IFERROR(VLOOKUP(B612,'Pre-Summary'!$BS$6:$BU$35,3,FALSE),P611)</f>
        <v>0.5</v>
      </c>
      <c r="Q612" s="54">
        <f t="shared" si="27"/>
        <v>1.8</v>
      </c>
      <c r="R612" s="53">
        <f>IFERROR(VLOOKUP(B612,'Pre-Summary'!$BG$6:$BM$44,7,FALSE),R613)</f>
        <v>7.5915763918363535E-2</v>
      </c>
      <c r="S612" s="53">
        <f>IFERROR(VLOOKUP(B612,'Pre-Summary'!$BG$6:$BM$44,6,FALSE),S613)</f>
        <v>5.2897473997019086E-2</v>
      </c>
      <c r="T612" s="45" t="str">
        <f>IFERROR(VLOOKUP(B612,'Pre-Summary'!$Y$6:$AC$83, 3,FALSE),"")</f>
        <v/>
      </c>
      <c r="U612" s="45" t="str">
        <f>IFERROR(VLOOKUP(B612,'Pre-Summary'!$Y$6:$AC$83, 4,FALSE),"")</f>
        <v/>
      </c>
      <c r="V612" t="str">
        <f>IFERROR(VLOOKUP(B612,'Pre-Summary'!$Y$6:$AC$83, 5,FALSE),"")</f>
        <v/>
      </c>
      <c r="W612" s="45" t="str">
        <f>IFERROR(VLOOKUP(B612,'Pre-Summary'!$Y$6:$AD$83,6,FALSE),"")</f>
        <v/>
      </c>
      <c r="X612" t="str">
        <f>IFERROR(VLOOKUP('Pre-Summary'!$DB$6:$DD$63,3,FALSE),"")</f>
        <v/>
      </c>
      <c r="Y612" t="str">
        <f>IFERROR(VLOOKUP(B612,'Pre-Summary'!$CR$6:$CT$36,3,FALSE),"")</f>
        <v/>
      </c>
      <c r="Z612" s="45" t="str">
        <f>IFERROR(VLOOKUP(B612,'Pre-Summary'!$BZ$6:$CB$63,2,FALSE),"")</f>
        <v/>
      </c>
      <c r="AA612" s="45" t="str">
        <f>IFERROR(VLOOKUP(B612,'Pre-Summary'!$CG$6:$CI$70,2,FALSE),"")</f>
        <v/>
      </c>
      <c r="AB612" s="99">
        <f>IFERROR(VLOOKUP(B612,'Pre-Summary'!$A$6:$P$178,9,FALSE),AB613)</f>
        <v>0.87858471235308822</v>
      </c>
      <c r="AC612" s="10">
        <f>IFERROR(VLOOKUP(Summary!B612,'Pre-Summary'!$A$6:$P$184,5, FALSE)/100,AC613)</f>
        <v>0.67272566666666667</v>
      </c>
      <c r="AD612" s="10">
        <f>IFERROR(VLOOKUP(Summary!B612,'Pre-Summary'!$A$6:$P$184,3, FALSE)/100,AD613)</f>
        <v>8.9092333333333329E-2</v>
      </c>
      <c r="AE612" s="10">
        <f>IFERROR(VLOOKUP(Summary!B612,'Pre-Summary'!$A$6:$P$184,7, FALSE)/100,AE613)</f>
        <v>0.23818233333333336</v>
      </c>
      <c r="AF612" s="99">
        <f t="shared" si="28"/>
        <v>7.827516205453211E-2</v>
      </c>
      <c r="AG612" s="99">
        <f t="shared" si="29"/>
        <v>0.20926335681925406</v>
      </c>
      <c r="AH612" s="10" t="str">
        <f>IFERROR(VLOOKUP(B612,'Pre-Summary'!$AZ$6:$BE$65,3,FALSE),"")</f>
        <v/>
      </c>
      <c r="AI612" s="10" t="str">
        <f>IFERROR(VLOOKUP(B612,'Pre-Summary'!$AZ$6:$BE$65,5,FALSE),"")</f>
        <v/>
      </c>
      <c r="AJ612" s="10" t="str">
        <f>IFERROR(VLOOKUP(B612,'Pre-Summary'!$AZ$6:$BE$65,4,FALSE),"")</f>
        <v/>
      </c>
      <c r="AK612" s="10" t="str">
        <f>IFERROR(VLOOKUP(B612,'Pre-Summary'!$AZ$6:$BE$65,6,FALSE),"")</f>
        <v/>
      </c>
      <c r="AL612" s="10" t="str">
        <f>IFERROR(VLOOKUP(B612,'Pre-Summary'!$BG$6:$BL$44,3,FALSE),"")</f>
        <v/>
      </c>
      <c r="AM612" s="10" t="str">
        <f>IFERROR(VLOOKUP(B612,'Pre-Summary'!$BG$6:$BL$44,4,FALSE),"")</f>
        <v/>
      </c>
    </row>
    <row r="613" spans="2:39" ht="15" customHeight="1" x14ac:dyDescent="0.3">
      <c r="B613">
        <v>61</v>
      </c>
      <c r="C613" t="str">
        <f>IFERROR(VLOOKUP(B613,'Pre-Summary'!$DI$6:$DM$23,4,FALSE),"")</f>
        <v/>
      </c>
      <c r="D613" s="10" t="str">
        <f>IFERROR(VLOOKUP(B613,'Pre-Summary'!$AT$6:$AX$14,5,FALSE),D612)</f>
        <v>DSMZ v2: Dropped Na-Ac out of DSMZ 120 media</v>
      </c>
      <c r="E613" s="10" t="str">
        <f>IFERROR(VLOOKUP(B613,'Pre-Summary'!$AT$6:$AX$15,4,FALSE),"")</f>
        <v/>
      </c>
      <c r="F613">
        <f>IFERROR(VLOOKUP(B613,'Pre-Summary'!$AL$6:$AQ$13,6,FALSE),F612)</f>
        <v>5.9405263157894746E-2</v>
      </c>
      <c r="G613" t="str">
        <f>IFERROR(VLOOKUP(B613,'Pre-Summary'!$AE$6:$AJ$85,3,FALSE),"")</f>
        <v/>
      </c>
      <c r="H613" t="str">
        <f>IFERROR(VLOOKUP(B613,'Pre-Summary'!$AE$6:$AJ$85,4,FALSE),"")</f>
        <v/>
      </c>
      <c r="I613" t="str">
        <f>IFERROR(VLOOKUP(B613,'Pre-Summary'!$AE$6:$AJ$85,5,FALSE),"")</f>
        <v/>
      </c>
      <c r="J613" s="45" t="str">
        <f>IFERROR(VLOOKUP(B613,'Pre-Summary'!$AE$6:$AJ$85,6, FALSE),"")</f>
        <v/>
      </c>
      <c r="K613" s="45" t="str">
        <f>IFERROR(VLOOKUP(B613,'Pre-Summary'!$DE$6:$DG$61,3,FALSE),"")</f>
        <v/>
      </c>
      <c r="L613" s="45" t="str">
        <f>IFERROR(VLOOKUP(B613,'Pre-Summary'!$CU$6:$CW$36,3,FALSE),"")</f>
        <v/>
      </c>
      <c r="M613" s="45" t="str">
        <f>IFERROR(VLOOKUP(B613,'Pre-Summary'!$BW$6:$BY$58,2,FALSE),"")</f>
        <v/>
      </c>
      <c r="N613" s="45" t="str">
        <f>IFERROR(VLOOKUP(B613,'Pre-Summary'!$CD$6:$CF$64,2,FALSE),"")</f>
        <v/>
      </c>
      <c r="O613" s="99">
        <f>IFERROR(VLOOKUP(B613,'Pre-Summary'!$BO$6:$BQ$48,3, FALSE),O612)</f>
        <v>0.9</v>
      </c>
      <c r="P613" s="99">
        <f>IFERROR(VLOOKUP(B613,'Pre-Summary'!$BS$6:$BU$35,3,FALSE),P612)</f>
        <v>0.5</v>
      </c>
      <c r="Q613" s="54">
        <f t="shared" si="27"/>
        <v>1.8</v>
      </c>
      <c r="R613" s="53">
        <f>IFERROR(VLOOKUP(B613,'Pre-Summary'!$BG$6:$BM$44,7,FALSE),R614)</f>
        <v>7.5915763918363535E-2</v>
      </c>
      <c r="S613" s="53">
        <f>IFERROR(VLOOKUP(B613,'Pre-Summary'!$BG$6:$BM$44,6,FALSE),S614)</f>
        <v>5.2897473997019086E-2</v>
      </c>
      <c r="T613" s="45" t="str">
        <f>IFERROR(VLOOKUP(B613,'Pre-Summary'!$Y$6:$AC$83, 3,FALSE),"")</f>
        <v/>
      </c>
      <c r="U613" s="45" t="str">
        <f>IFERROR(VLOOKUP(B613,'Pre-Summary'!$Y$6:$AC$83, 4,FALSE),"")</f>
        <v/>
      </c>
      <c r="V613" t="str">
        <f>IFERROR(VLOOKUP(B613,'Pre-Summary'!$Y$6:$AC$83, 5,FALSE),"")</f>
        <v/>
      </c>
      <c r="W613" s="45" t="str">
        <f>IFERROR(VLOOKUP(B613,'Pre-Summary'!$Y$6:$AD$83,6,FALSE),"")</f>
        <v/>
      </c>
      <c r="X613" t="str">
        <f>IFERROR(VLOOKUP('Pre-Summary'!$DB$6:$DD$63,3,FALSE),"")</f>
        <v/>
      </c>
      <c r="Y613" t="str">
        <f>IFERROR(VLOOKUP(B613,'Pre-Summary'!$CR$6:$CT$36,3,FALSE),"")</f>
        <v/>
      </c>
      <c r="Z613" s="45" t="str">
        <f>IFERROR(VLOOKUP(B613,'Pre-Summary'!$BZ$6:$CB$63,2,FALSE),"")</f>
        <v/>
      </c>
      <c r="AA613" s="45" t="str">
        <f>IFERROR(VLOOKUP(B613,'Pre-Summary'!$CG$6:$CI$70,2,FALSE),"")</f>
        <v/>
      </c>
      <c r="AB613" s="99">
        <f>IFERROR(VLOOKUP(B613,'Pre-Summary'!$A$6:$P$178,9,FALSE),AB614)</f>
        <v>0.87858471235308822</v>
      </c>
      <c r="AC613" s="10">
        <f>IFERROR(VLOOKUP(Summary!B613,'Pre-Summary'!$A$6:$P$184,5, FALSE)/100,AC614)</f>
        <v>0.67272566666666667</v>
      </c>
      <c r="AD613" s="10">
        <f>IFERROR(VLOOKUP(Summary!B613,'Pre-Summary'!$A$6:$P$184,3, FALSE)/100,AD614)</f>
        <v>8.9092333333333329E-2</v>
      </c>
      <c r="AE613" s="10">
        <f>IFERROR(VLOOKUP(Summary!B613,'Pre-Summary'!$A$6:$P$184,7, FALSE)/100,AE614)</f>
        <v>0.23818233333333336</v>
      </c>
      <c r="AF613" s="99">
        <f t="shared" si="28"/>
        <v>7.827516205453211E-2</v>
      </c>
      <c r="AG613" s="99">
        <f t="shared" si="29"/>
        <v>0.20926335681925406</v>
      </c>
      <c r="AH613" s="10" t="str">
        <f>IFERROR(VLOOKUP(B613,'Pre-Summary'!$AZ$6:$BE$65,3,FALSE),"")</f>
        <v/>
      </c>
      <c r="AI613" s="10" t="str">
        <f>IFERROR(VLOOKUP(B613,'Pre-Summary'!$AZ$6:$BE$65,5,FALSE),"")</f>
        <v/>
      </c>
      <c r="AJ613" s="10" t="str">
        <f>IFERROR(VLOOKUP(B613,'Pre-Summary'!$AZ$6:$BE$65,4,FALSE),"")</f>
        <v/>
      </c>
      <c r="AK613" s="10" t="str">
        <f>IFERROR(VLOOKUP(B613,'Pre-Summary'!$AZ$6:$BE$65,6,FALSE),"")</f>
        <v/>
      </c>
      <c r="AL613" s="10" t="str">
        <f>IFERROR(VLOOKUP(B613,'Pre-Summary'!$BG$6:$BL$44,3,FALSE),"")</f>
        <v/>
      </c>
      <c r="AM613" s="10" t="str">
        <f>IFERROR(VLOOKUP(B613,'Pre-Summary'!$BG$6:$BL$44,4,FALSE),"")</f>
        <v/>
      </c>
    </row>
    <row r="614" spans="2:39" ht="15" customHeight="1" x14ac:dyDescent="0.3">
      <c r="B614">
        <v>61.1</v>
      </c>
      <c r="C614" t="str">
        <f>IFERROR(VLOOKUP(B614,'Pre-Summary'!$DI$6:$DM$23,4,FALSE),"")</f>
        <v/>
      </c>
      <c r="D614" s="10" t="str">
        <f>IFERROR(VLOOKUP(B614,'Pre-Summary'!$AT$6:$AX$14,5,FALSE),D613)</f>
        <v>DSMZ v2: Dropped Na-Ac out of DSMZ 120 media</v>
      </c>
      <c r="E614" s="10" t="str">
        <f>IFERROR(VLOOKUP(B614,'Pre-Summary'!$AT$6:$AX$15,4,FALSE),"")</f>
        <v/>
      </c>
      <c r="F614">
        <f>IFERROR(VLOOKUP(B614,'Pre-Summary'!$AL$6:$AQ$13,6,FALSE),F613)</f>
        <v>5.9405263157894746E-2</v>
      </c>
      <c r="G614" t="str">
        <f>IFERROR(VLOOKUP(B614,'Pre-Summary'!$AE$6:$AJ$85,3,FALSE),"")</f>
        <v/>
      </c>
      <c r="H614" t="str">
        <f>IFERROR(VLOOKUP(B614,'Pre-Summary'!$AE$6:$AJ$85,4,FALSE),"")</f>
        <v/>
      </c>
      <c r="I614" t="str">
        <f>IFERROR(VLOOKUP(B614,'Pre-Summary'!$AE$6:$AJ$85,5,FALSE),"")</f>
        <v/>
      </c>
      <c r="J614" s="45" t="str">
        <f>IFERROR(VLOOKUP(B614,'Pre-Summary'!$AE$6:$AJ$85,6, FALSE),"")</f>
        <v/>
      </c>
      <c r="K614" s="45" t="str">
        <f>IFERROR(VLOOKUP(B614,'Pre-Summary'!$DE$6:$DG$61,3,FALSE),"")</f>
        <v/>
      </c>
      <c r="L614" s="45" t="str">
        <f>IFERROR(VLOOKUP(B614,'Pre-Summary'!$CU$6:$CW$36,3,FALSE),"")</f>
        <v/>
      </c>
      <c r="M614" s="45" t="str">
        <f>IFERROR(VLOOKUP(B614,'Pre-Summary'!$BW$6:$BY$58,2,FALSE),"")</f>
        <v/>
      </c>
      <c r="N614" s="45" t="str">
        <f>IFERROR(VLOOKUP(B614,'Pre-Summary'!$CD$6:$CF$64,2,FALSE),"")</f>
        <v/>
      </c>
      <c r="O614" s="99">
        <f>IFERROR(VLOOKUP(B614,'Pre-Summary'!$BO$6:$BQ$48,3, FALSE),O613)</f>
        <v>0.9</v>
      </c>
      <c r="P614" s="99">
        <f>IFERROR(VLOOKUP(B614,'Pre-Summary'!$BS$6:$BU$35,3,FALSE),P613)</f>
        <v>0.5</v>
      </c>
      <c r="Q614" s="54">
        <f t="shared" si="27"/>
        <v>1.8</v>
      </c>
      <c r="R614" s="53">
        <f>IFERROR(VLOOKUP(B614,'Pre-Summary'!$BG$6:$BM$44,7,FALSE),R615)</f>
        <v>7.5915763918363535E-2</v>
      </c>
      <c r="S614" s="53">
        <f>IFERROR(VLOOKUP(B614,'Pre-Summary'!$BG$6:$BM$44,6,FALSE),S615)</f>
        <v>5.2897473997019086E-2</v>
      </c>
      <c r="T614" s="45" t="str">
        <f>IFERROR(VLOOKUP(B614,'Pre-Summary'!$Y$6:$AC$83, 3,FALSE),"")</f>
        <v/>
      </c>
      <c r="U614" s="45" t="str">
        <f>IFERROR(VLOOKUP(B614,'Pre-Summary'!$Y$6:$AC$83, 4,FALSE),"")</f>
        <v/>
      </c>
      <c r="V614" t="str">
        <f>IFERROR(VLOOKUP(B614,'Pre-Summary'!$Y$6:$AC$83, 5,FALSE),"")</f>
        <v/>
      </c>
      <c r="W614" s="45" t="str">
        <f>IFERROR(VLOOKUP(B614,'Pre-Summary'!$Y$6:$AD$83,6,FALSE),"")</f>
        <v/>
      </c>
      <c r="X614" t="str">
        <f>IFERROR(VLOOKUP('Pre-Summary'!$DB$6:$DD$63,3,FALSE),"")</f>
        <v/>
      </c>
      <c r="Y614" t="str">
        <f>IFERROR(VLOOKUP(B614,'Pre-Summary'!$CR$6:$CT$36,3,FALSE),"")</f>
        <v/>
      </c>
      <c r="Z614" s="45" t="str">
        <f>IFERROR(VLOOKUP(B614,'Pre-Summary'!$BZ$6:$CB$63,2,FALSE),"")</f>
        <v/>
      </c>
      <c r="AA614" s="45" t="str">
        <f>IFERROR(VLOOKUP(B614,'Pre-Summary'!$CG$6:$CI$70,2,FALSE),"")</f>
        <v/>
      </c>
      <c r="AB614" s="99">
        <f>IFERROR(VLOOKUP(B614,'Pre-Summary'!$A$6:$P$178,9,FALSE),AB615)</f>
        <v>0.87858471235308822</v>
      </c>
      <c r="AC614" s="10">
        <f>IFERROR(VLOOKUP(Summary!B614,'Pre-Summary'!$A$6:$P$184,5, FALSE)/100,AC615)</f>
        <v>0.67272566666666667</v>
      </c>
      <c r="AD614" s="10">
        <f>IFERROR(VLOOKUP(Summary!B614,'Pre-Summary'!$A$6:$P$184,3, FALSE)/100,AD615)</f>
        <v>8.9092333333333329E-2</v>
      </c>
      <c r="AE614" s="10">
        <f>IFERROR(VLOOKUP(Summary!B614,'Pre-Summary'!$A$6:$P$184,7, FALSE)/100,AE615)</f>
        <v>0.23818233333333336</v>
      </c>
      <c r="AF614" s="99">
        <f t="shared" si="28"/>
        <v>7.827516205453211E-2</v>
      </c>
      <c r="AG614" s="99">
        <f t="shared" si="29"/>
        <v>0.20926335681925406</v>
      </c>
      <c r="AH614" s="10" t="str">
        <f>IFERROR(VLOOKUP(B614,'Pre-Summary'!$AZ$6:$BE$65,3,FALSE),"")</f>
        <v/>
      </c>
      <c r="AI614" s="10" t="str">
        <f>IFERROR(VLOOKUP(B614,'Pre-Summary'!$AZ$6:$BE$65,5,FALSE),"")</f>
        <v/>
      </c>
      <c r="AJ614" s="10" t="str">
        <f>IFERROR(VLOOKUP(B614,'Pre-Summary'!$AZ$6:$BE$65,4,FALSE),"")</f>
        <v/>
      </c>
      <c r="AK614" s="10" t="str">
        <f>IFERROR(VLOOKUP(B614,'Pre-Summary'!$AZ$6:$BE$65,6,FALSE),"")</f>
        <v/>
      </c>
      <c r="AL614" s="10" t="str">
        <f>IFERROR(VLOOKUP(B614,'Pre-Summary'!$BG$6:$BL$44,3,FALSE),"")</f>
        <v/>
      </c>
      <c r="AM614" s="10" t="str">
        <f>IFERROR(VLOOKUP(B614,'Pre-Summary'!$BG$6:$BL$44,4,FALSE),"")</f>
        <v/>
      </c>
    </row>
    <row r="615" spans="2:39" ht="15" customHeight="1" x14ac:dyDescent="0.3">
      <c r="B615">
        <v>61.2</v>
      </c>
      <c r="C615" t="str">
        <f>IFERROR(VLOOKUP(B615,'Pre-Summary'!$DI$6:$DM$23,4,FALSE),"")</f>
        <v/>
      </c>
      <c r="D615" s="10" t="str">
        <f>IFERROR(VLOOKUP(B615,'Pre-Summary'!$AT$6:$AX$14,5,FALSE),D614)</f>
        <v>DSMZ v2: Dropped Na-Ac out of DSMZ 120 media</v>
      </c>
      <c r="E615" s="10" t="str">
        <f>IFERROR(VLOOKUP(B615,'Pre-Summary'!$AT$6:$AX$15,4,FALSE),"")</f>
        <v/>
      </c>
      <c r="F615">
        <f>IFERROR(VLOOKUP(B615,'Pre-Summary'!$AL$6:$AQ$13,6,FALSE),F614)</f>
        <v>5.9405263157894746E-2</v>
      </c>
      <c r="G615" t="str">
        <f>IFERROR(VLOOKUP(B615,'Pre-Summary'!$AE$6:$AJ$85,3,FALSE),"")</f>
        <v/>
      </c>
      <c r="H615" t="str">
        <f>IFERROR(VLOOKUP(B615,'Pre-Summary'!$AE$6:$AJ$85,4,FALSE),"")</f>
        <v/>
      </c>
      <c r="I615" t="str">
        <f>IFERROR(VLOOKUP(B615,'Pre-Summary'!$AE$6:$AJ$85,5,FALSE),"")</f>
        <v/>
      </c>
      <c r="J615" s="45" t="str">
        <f>IFERROR(VLOOKUP(B615,'Pre-Summary'!$AE$6:$AJ$85,6, FALSE),"")</f>
        <v/>
      </c>
      <c r="K615" s="45" t="str">
        <f>IFERROR(VLOOKUP(B615,'Pre-Summary'!$DE$6:$DG$61,3,FALSE),"")</f>
        <v/>
      </c>
      <c r="L615" s="45" t="str">
        <f>IFERROR(VLOOKUP(B615,'Pre-Summary'!$CU$6:$CW$36,3,FALSE),"")</f>
        <v/>
      </c>
      <c r="M615" s="45" t="str">
        <f>IFERROR(VLOOKUP(B615,'Pre-Summary'!$BW$6:$BY$58,2,FALSE),"")</f>
        <v/>
      </c>
      <c r="N615" s="45" t="str">
        <f>IFERROR(VLOOKUP(B615,'Pre-Summary'!$CD$6:$CF$64,2,FALSE),"")</f>
        <v/>
      </c>
      <c r="O615" s="99">
        <f>IFERROR(VLOOKUP(B615,'Pre-Summary'!$BO$6:$BQ$48,3, FALSE),O614)</f>
        <v>0.9</v>
      </c>
      <c r="P615" s="99">
        <f>IFERROR(VLOOKUP(B615,'Pre-Summary'!$BS$6:$BU$35,3,FALSE),P614)</f>
        <v>0.5</v>
      </c>
      <c r="Q615" s="54">
        <f t="shared" si="27"/>
        <v>1.8</v>
      </c>
      <c r="R615" s="53">
        <f>IFERROR(VLOOKUP(B615,'Pre-Summary'!$BG$6:$BM$44,7,FALSE),R616)</f>
        <v>7.5915763918363535E-2</v>
      </c>
      <c r="S615" s="53">
        <f>IFERROR(VLOOKUP(B615,'Pre-Summary'!$BG$6:$BM$44,6,FALSE),S616)</f>
        <v>5.2897473997019086E-2</v>
      </c>
      <c r="T615" s="45" t="str">
        <f>IFERROR(VLOOKUP(B615,'Pre-Summary'!$Y$6:$AC$83, 3,FALSE),"")</f>
        <v/>
      </c>
      <c r="U615" s="45" t="str">
        <f>IFERROR(VLOOKUP(B615,'Pre-Summary'!$Y$6:$AC$83, 4,FALSE),"")</f>
        <v/>
      </c>
      <c r="V615" t="str">
        <f>IFERROR(VLOOKUP(B615,'Pre-Summary'!$Y$6:$AC$83, 5,FALSE),"")</f>
        <v/>
      </c>
      <c r="W615" s="45" t="str">
        <f>IFERROR(VLOOKUP(B615,'Pre-Summary'!$Y$6:$AD$83,6,FALSE),"")</f>
        <v/>
      </c>
      <c r="X615" t="str">
        <f>IFERROR(VLOOKUP('Pre-Summary'!$DB$6:$DD$63,3,FALSE),"")</f>
        <v/>
      </c>
      <c r="Y615" t="str">
        <f>IFERROR(VLOOKUP(B615,'Pre-Summary'!$CR$6:$CT$36,3,FALSE),"")</f>
        <v/>
      </c>
      <c r="Z615" s="45" t="str">
        <f>IFERROR(VLOOKUP(B615,'Pre-Summary'!$BZ$6:$CB$63,2,FALSE),"")</f>
        <v/>
      </c>
      <c r="AA615" s="45" t="str">
        <f>IFERROR(VLOOKUP(B615,'Pre-Summary'!$CG$6:$CI$70,2,FALSE),"")</f>
        <v/>
      </c>
      <c r="AB615" s="99">
        <f>IFERROR(VLOOKUP(B615,'Pre-Summary'!$A$6:$P$178,9,FALSE),AB616)</f>
        <v>0.87858471235308822</v>
      </c>
      <c r="AC615" s="10">
        <f>IFERROR(VLOOKUP(Summary!B615,'Pre-Summary'!$A$6:$P$184,5, FALSE)/100,AC616)</f>
        <v>0.67272566666666667</v>
      </c>
      <c r="AD615" s="10">
        <f>IFERROR(VLOOKUP(Summary!B615,'Pre-Summary'!$A$6:$P$184,3, FALSE)/100,AD616)</f>
        <v>8.9092333333333329E-2</v>
      </c>
      <c r="AE615" s="10">
        <f>IFERROR(VLOOKUP(Summary!B615,'Pre-Summary'!$A$6:$P$184,7, FALSE)/100,AE616)</f>
        <v>0.23818233333333336</v>
      </c>
      <c r="AF615" s="99">
        <f t="shared" si="28"/>
        <v>7.827516205453211E-2</v>
      </c>
      <c r="AG615" s="99">
        <f t="shared" si="29"/>
        <v>0.20926335681925406</v>
      </c>
      <c r="AH615" s="10" t="str">
        <f>IFERROR(VLOOKUP(B615,'Pre-Summary'!$AZ$6:$BE$65,3,FALSE),"")</f>
        <v/>
      </c>
      <c r="AI615" s="10" t="str">
        <f>IFERROR(VLOOKUP(B615,'Pre-Summary'!$AZ$6:$BE$65,5,FALSE),"")</f>
        <v/>
      </c>
      <c r="AJ615" s="10" t="str">
        <f>IFERROR(VLOOKUP(B615,'Pre-Summary'!$AZ$6:$BE$65,4,FALSE),"")</f>
        <v/>
      </c>
      <c r="AK615" s="10" t="str">
        <f>IFERROR(VLOOKUP(B615,'Pre-Summary'!$AZ$6:$BE$65,6,FALSE),"")</f>
        <v/>
      </c>
      <c r="AL615" s="10" t="str">
        <f>IFERROR(VLOOKUP(B615,'Pre-Summary'!$BG$6:$BL$44,3,FALSE),"")</f>
        <v/>
      </c>
      <c r="AM615" s="10" t="str">
        <f>IFERROR(VLOOKUP(B615,'Pre-Summary'!$BG$6:$BL$44,4,FALSE),"")</f>
        <v/>
      </c>
    </row>
    <row r="616" spans="2:39" ht="15" customHeight="1" x14ac:dyDescent="0.3">
      <c r="B616">
        <v>61.3</v>
      </c>
      <c r="C616" t="str">
        <f>IFERROR(VLOOKUP(B616,'Pre-Summary'!$DI$6:$DM$23,4,FALSE),"")</f>
        <v/>
      </c>
      <c r="D616" s="10" t="str">
        <f>IFERROR(VLOOKUP(B616,'Pre-Summary'!$AT$6:$AX$14,5,FALSE),D615)</f>
        <v>DSMZ v2: Dropped Na-Ac out of DSMZ 120 media</v>
      </c>
      <c r="E616" s="10" t="str">
        <f>IFERROR(VLOOKUP(B616,'Pre-Summary'!$AT$6:$AX$15,4,FALSE),"")</f>
        <v/>
      </c>
      <c r="F616">
        <f>IFERROR(VLOOKUP(B616,'Pre-Summary'!$AL$6:$AQ$13,6,FALSE),F615)</f>
        <v>5.9405263157894746E-2</v>
      </c>
      <c r="G616" t="str">
        <f>IFERROR(VLOOKUP(B616,'Pre-Summary'!$AE$6:$AJ$85,3,FALSE),"")</f>
        <v/>
      </c>
      <c r="H616" t="str">
        <f>IFERROR(VLOOKUP(B616,'Pre-Summary'!$AE$6:$AJ$85,4,FALSE),"")</f>
        <v/>
      </c>
      <c r="I616" t="str">
        <f>IFERROR(VLOOKUP(B616,'Pre-Summary'!$AE$6:$AJ$85,5,FALSE),"")</f>
        <v/>
      </c>
      <c r="J616" s="45" t="str">
        <f>IFERROR(VLOOKUP(B616,'Pre-Summary'!$AE$6:$AJ$85,6, FALSE),"")</f>
        <v/>
      </c>
      <c r="K616" s="45" t="str">
        <f>IFERROR(VLOOKUP(B616,'Pre-Summary'!$DE$6:$DG$61,3,FALSE),"")</f>
        <v/>
      </c>
      <c r="L616" s="45" t="str">
        <f>IFERROR(VLOOKUP(B616,'Pre-Summary'!$CU$6:$CW$36,3,FALSE),"")</f>
        <v/>
      </c>
      <c r="M616" s="45" t="str">
        <f>IFERROR(VLOOKUP(B616,'Pre-Summary'!$BW$6:$BY$58,2,FALSE),"")</f>
        <v/>
      </c>
      <c r="N616" s="45" t="str">
        <f>IFERROR(VLOOKUP(B616,'Pre-Summary'!$CD$6:$CF$64,2,FALSE),"")</f>
        <v/>
      </c>
      <c r="O616" s="99">
        <f>IFERROR(VLOOKUP(B616,'Pre-Summary'!$BO$6:$BQ$48,3, FALSE),O615)</f>
        <v>0.9</v>
      </c>
      <c r="P616" s="99">
        <f>IFERROR(VLOOKUP(B616,'Pre-Summary'!$BS$6:$BU$35,3,FALSE),P615)</f>
        <v>0.5</v>
      </c>
      <c r="Q616" s="54">
        <f t="shared" si="27"/>
        <v>1.8</v>
      </c>
      <c r="R616" s="53">
        <f>IFERROR(VLOOKUP(B616,'Pre-Summary'!$BG$6:$BM$44,7,FALSE),R617)</f>
        <v>7.5915763918363535E-2</v>
      </c>
      <c r="S616" s="53">
        <f>IFERROR(VLOOKUP(B616,'Pre-Summary'!$BG$6:$BM$44,6,FALSE),S617)</f>
        <v>5.2897473997019086E-2</v>
      </c>
      <c r="T616" s="45" t="str">
        <f>IFERROR(VLOOKUP(B616,'Pre-Summary'!$Y$6:$AC$83, 3,FALSE),"")</f>
        <v/>
      </c>
      <c r="U616" s="45" t="str">
        <f>IFERROR(VLOOKUP(B616,'Pre-Summary'!$Y$6:$AC$83, 4,FALSE),"")</f>
        <v/>
      </c>
      <c r="V616" t="str">
        <f>IFERROR(VLOOKUP(B616,'Pre-Summary'!$Y$6:$AC$83, 5,FALSE),"")</f>
        <v/>
      </c>
      <c r="W616" s="45" t="str">
        <f>IFERROR(VLOOKUP(B616,'Pre-Summary'!$Y$6:$AD$83,6,FALSE),"")</f>
        <v/>
      </c>
      <c r="X616" t="str">
        <f>IFERROR(VLOOKUP('Pre-Summary'!$DB$6:$DD$63,3,FALSE),"")</f>
        <v/>
      </c>
      <c r="Y616" t="str">
        <f>IFERROR(VLOOKUP(B616,'Pre-Summary'!$CR$6:$CT$36,3,FALSE),"")</f>
        <v/>
      </c>
      <c r="Z616" s="45" t="str">
        <f>IFERROR(VLOOKUP(B616,'Pre-Summary'!$BZ$6:$CB$63,2,FALSE),"")</f>
        <v/>
      </c>
      <c r="AA616" s="45" t="str">
        <f>IFERROR(VLOOKUP(B616,'Pre-Summary'!$CG$6:$CI$70,2,FALSE),"")</f>
        <v/>
      </c>
      <c r="AB616" s="99">
        <f>IFERROR(VLOOKUP(B616,'Pre-Summary'!$A$6:$P$178,9,FALSE),AB617)</f>
        <v>0.87858471235308822</v>
      </c>
      <c r="AC616" s="10">
        <f>IFERROR(VLOOKUP(Summary!B616,'Pre-Summary'!$A$6:$P$184,5, FALSE)/100,AC617)</f>
        <v>0.67272566666666667</v>
      </c>
      <c r="AD616" s="10">
        <f>IFERROR(VLOOKUP(Summary!B616,'Pre-Summary'!$A$6:$P$184,3, FALSE)/100,AD617)</f>
        <v>8.9092333333333329E-2</v>
      </c>
      <c r="AE616" s="10">
        <f>IFERROR(VLOOKUP(Summary!B616,'Pre-Summary'!$A$6:$P$184,7, FALSE)/100,AE617)</f>
        <v>0.23818233333333336</v>
      </c>
      <c r="AF616" s="99">
        <f t="shared" si="28"/>
        <v>7.827516205453211E-2</v>
      </c>
      <c r="AG616" s="99">
        <f t="shared" si="29"/>
        <v>0.20926335681925406</v>
      </c>
      <c r="AH616" s="10" t="str">
        <f>IFERROR(VLOOKUP(B616,'Pre-Summary'!$AZ$6:$BE$65,3,FALSE),"")</f>
        <v/>
      </c>
      <c r="AI616" s="10" t="str">
        <f>IFERROR(VLOOKUP(B616,'Pre-Summary'!$AZ$6:$BE$65,5,FALSE),"")</f>
        <v/>
      </c>
      <c r="AJ616" s="10" t="str">
        <f>IFERROR(VLOOKUP(B616,'Pre-Summary'!$AZ$6:$BE$65,4,FALSE),"")</f>
        <v/>
      </c>
      <c r="AK616" s="10" t="str">
        <f>IFERROR(VLOOKUP(B616,'Pre-Summary'!$AZ$6:$BE$65,6,FALSE),"")</f>
        <v/>
      </c>
      <c r="AL616" s="10" t="str">
        <f>IFERROR(VLOOKUP(B616,'Pre-Summary'!$BG$6:$BL$44,3,FALSE),"")</f>
        <v/>
      </c>
      <c r="AM616" s="10" t="str">
        <f>IFERROR(VLOOKUP(B616,'Pre-Summary'!$BG$6:$BL$44,4,FALSE),"")</f>
        <v/>
      </c>
    </row>
    <row r="617" spans="2:39" ht="15" customHeight="1" x14ac:dyDescent="0.3">
      <c r="B617">
        <v>61.4</v>
      </c>
      <c r="C617" t="str">
        <f>IFERROR(VLOOKUP(B617,'Pre-Summary'!$DI$6:$DM$23,4,FALSE),"")</f>
        <v/>
      </c>
      <c r="D617" s="10" t="str">
        <f>IFERROR(VLOOKUP(B617,'Pre-Summary'!$AT$6:$AX$14,5,FALSE),D616)</f>
        <v>DSMZ v2: Dropped Na-Ac out of DSMZ 120 media</v>
      </c>
      <c r="E617" s="10" t="str">
        <f>IFERROR(VLOOKUP(B617,'Pre-Summary'!$AT$6:$AX$15,4,FALSE),"")</f>
        <v/>
      </c>
      <c r="F617">
        <f>IFERROR(VLOOKUP(B617,'Pre-Summary'!$AL$6:$AQ$13,6,FALSE),F616)</f>
        <v>5.9405263157894746E-2</v>
      </c>
      <c r="G617" t="str">
        <f>IFERROR(VLOOKUP(B617,'Pre-Summary'!$AE$6:$AJ$85,3,FALSE),"")</f>
        <v/>
      </c>
      <c r="H617" t="str">
        <f>IFERROR(VLOOKUP(B617,'Pre-Summary'!$AE$6:$AJ$85,4,FALSE),"")</f>
        <v/>
      </c>
      <c r="I617" t="str">
        <f>IFERROR(VLOOKUP(B617,'Pre-Summary'!$AE$6:$AJ$85,5,FALSE),"")</f>
        <v/>
      </c>
      <c r="J617" s="45" t="str">
        <f>IFERROR(VLOOKUP(B617,'Pre-Summary'!$AE$6:$AJ$85,6, FALSE),"")</f>
        <v/>
      </c>
      <c r="K617" s="45" t="str">
        <f>IFERROR(VLOOKUP(B617,'Pre-Summary'!$DE$6:$DG$61,3,FALSE),"")</f>
        <v/>
      </c>
      <c r="L617" s="45" t="str">
        <f>IFERROR(VLOOKUP(B617,'Pre-Summary'!$CU$6:$CW$36,3,FALSE),"")</f>
        <v/>
      </c>
      <c r="M617" s="45" t="str">
        <f>IFERROR(VLOOKUP(B617,'Pre-Summary'!$BW$6:$BY$58,2,FALSE),"")</f>
        <v/>
      </c>
      <c r="N617" s="45" t="str">
        <f>IFERROR(VLOOKUP(B617,'Pre-Summary'!$CD$6:$CF$64,2,FALSE),"")</f>
        <v/>
      </c>
      <c r="O617" s="99">
        <f>IFERROR(VLOOKUP(B617,'Pre-Summary'!$BO$6:$BQ$48,3, FALSE),O616)</f>
        <v>0.9</v>
      </c>
      <c r="P617" s="99">
        <f>IFERROR(VLOOKUP(B617,'Pre-Summary'!$BS$6:$BU$35,3,FALSE),P616)</f>
        <v>0.5</v>
      </c>
      <c r="Q617" s="54">
        <f t="shared" si="27"/>
        <v>1.8</v>
      </c>
      <c r="R617" s="53">
        <f>IFERROR(VLOOKUP(B617,'Pre-Summary'!$BG$6:$BM$44,7,FALSE),R618)</f>
        <v>7.5915763918363535E-2</v>
      </c>
      <c r="S617" s="53">
        <f>IFERROR(VLOOKUP(B617,'Pre-Summary'!$BG$6:$BM$44,6,FALSE),S618)</f>
        <v>5.2897473997019086E-2</v>
      </c>
      <c r="T617" s="45" t="str">
        <f>IFERROR(VLOOKUP(B617,'Pre-Summary'!$Y$6:$AC$83, 3,FALSE),"")</f>
        <v/>
      </c>
      <c r="U617" s="45" t="str">
        <f>IFERROR(VLOOKUP(B617,'Pre-Summary'!$Y$6:$AC$83, 4,FALSE),"")</f>
        <v/>
      </c>
      <c r="V617" t="str">
        <f>IFERROR(VLOOKUP(B617,'Pre-Summary'!$Y$6:$AC$83, 5,FALSE),"")</f>
        <v/>
      </c>
      <c r="W617" s="45" t="str">
        <f>IFERROR(VLOOKUP(B617,'Pre-Summary'!$Y$6:$AD$83,6,FALSE),"")</f>
        <v/>
      </c>
      <c r="X617" t="str">
        <f>IFERROR(VLOOKUP('Pre-Summary'!$DB$6:$DD$63,3,FALSE),"")</f>
        <v/>
      </c>
      <c r="Y617" t="str">
        <f>IFERROR(VLOOKUP(B617,'Pre-Summary'!$CR$6:$CT$36,3,FALSE),"")</f>
        <v/>
      </c>
      <c r="Z617" s="45" t="str">
        <f>IFERROR(VLOOKUP(B617,'Pre-Summary'!$BZ$6:$CB$63,2,FALSE),"")</f>
        <v/>
      </c>
      <c r="AA617" s="45" t="str">
        <f>IFERROR(VLOOKUP(B617,'Pre-Summary'!$CG$6:$CI$70,2,FALSE),"")</f>
        <v/>
      </c>
      <c r="AB617" s="99">
        <f>IFERROR(VLOOKUP(B617,'Pre-Summary'!$A$6:$P$178,9,FALSE),AB618)</f>
        <v>0.87858471235308822</v>
      </c>
      <c r="AC617" s="10">
        <f>IFERROR(VLOOKUP(Summary!B617,'Pre-Summary'!$A$6:$P$184,5, FALSE)/100,AC618)</f>
        <v>0.67272566666666667</v>
      </c>
      <c r="AD617" s="10">
        <f>IFERROR(VLOOKUP(Summary!B617,'Pre-Summary'!$A$6:$P$184,3, FALSE)/100,AD618)</f>
        <v>8.9092333333333329E-2</v>
      </c>
      <c r="AE617" s="10">
        <f>IFERROR(VLOOKUP(Summary!B617,'Pre-Summary'!$A$6:$P$184,7, FALSE)/100,AE618)</f>
        <v>0.23818233333333336</v>
      </c>
      <c r="AF617" s="99">
        <f t="shared" si="28"/>
        <v>7.827516205453211E-2</v>
      </c>
      <c r="AG617" s="99">
        <f t="shared" si="29"/>
        <v>0.20926335681925406</v>
      </c>
      <c r="AH617" s="10" t="str">
        <f>IFERROR(VLOOKUP(B617,'Pre-Summary'!$AZ$6:$BE$65,3,FALSE),"")</f>
        <v/>
      </c>
      <c r="AI617" s="10" t="str">
        <f>IFERROR(VLOOKUP(B617,'Pre-Summary'!$AZ$6:$BE$65,5,FALSE),"")</f>
        <v/>
      </c>
      <c r="AJ617" s="10" t="str">
        <f>IFERROR(VLOOKUP(B617,'Pre-Summary'!$AZ$6:$BE$65,4,FALSE),"")</f>
        <v/>
      </c>
      <c r="AK617" s="10" t="str">
        <f>IFERROR(VLOOKUP(B617,'Pre-Summary'!$AZ$6:$BE$65,6,FALSE),"")</f>
        <v/>
      </c>
      <c r="AL617" s="10" t="str">
        <f>IFERROR(VLOOKUP(B617,'Pre-Summary'!$BG$6:$BL$44,3,FALSE),"")</f>
        <v/>
      </c>
      <c r="AM617" s="10" t="str">
        <f>IFERROR(VLOOKUP(B617,'Pre-Summary'!$BG$6:$BL$44,4,FALSE),"")</f>
        <v/>
      </c>
    </row>
    <row r="618" spans="2:39" ht="15" customHeight="1" x14ac:dyDescent="0.3">
      <c r="B618">
        <v>61.5</v>
      </c>
      <c r="C618" t="str">
        <f>IFERROR(VLOOKUP(B618,'Pre-Summary'!$DI$6:$DM$23,4,FALSE),"")</f>
        <v/>
      </c>
      <c r="D618" s="10" t="str">
        <f>IFERROR(VLOOKUP(B618,'Pre-Summary'!$AT$6:$AX$14,5,FALSE),D617)</f>
        <v>DSMZ v2: Dropped Na-Ac out of DSMZ 120 media</v>
      </c>
      <c r="E618" s="10" t="str">
        <f>IFERROR(VLOOKUP(B618,'Pre-Summary'!$AT$6:$AX$15,4,FALSE),"")</f>
        <v/>
      </c>
      <c r="F618">
        <f>IFERROR(VLOOKUP(B618,'Pre-Summary'!$AL$6:$AQ$13,6,FALSE),F617)</f>
        <v>5.9405263157894746E-2</v>
      </c>
      <c r="G618" t="str">
        <f>IFERROR(VLOOKUP(B618,'Pre-Summary'!$AE$6:$AJ$85,3,FALSE),"")</f>
        <v/>
      </c>
      <c r="H618" t="str">
        <f>IFERROR(VLOOKUP(B618,'Pre-Summary'!$AE$6:$AJ$85,4,FALSE),"")</f>
        <v/>
      </c>
      <c r="I618" t="str">
        <f>IFERROR(VLOOKUP(B618,'Pre-Summary'!$AE$6:$AJ$85,5,FALSE),"")</f>
        <v/>
      </c>
      <c r="J618" s="45" t="str">
        <f>IFERROR(VLOOKUP(B618,'Pre-Summary'!$AE$6:$AJ$85,6, FALSE),"")</f>
        <v/>
      </c>
      <c r="K618" s="45" t="str">
        <f>IFERROR(VLOOKUP(B618,'Pre-Summary'!$DE$6:$DG$61,3,FALSE),"")</f>
        <v/>
      </c>
      <c r="L618" s="45" t="str">
        <f>IFERROR(VLOOKUP(B618,'Pre-Summary'!$CU$6:$CW$36,3,FALSE),"")</f>
        <v/>
      </c>
      <c r="M618" s="45" t="str">
        <f>IFERROR(VLOOKUP(B618,'Pre-Summary'!$BW$6:$BY$58,2,FALSE),"")</f>
        <v/>
      </c>
      <c r="N618" s="45" t="str">
        <f>IFERROR(VLOOKUP(B618,'Pre-Summary'!$CD$6:$CF$64,2,FALSE),"")</f>
        <v/>
      </c>
      <c r="O618" s="99">
        <f>IFERROR(VLOOKUP(B618,'Pre-Summary'!$BO$6:$BQ$48,3, FALSE),O617)</f>
        <v>0.9</v>
      </c>
      <c r="P618" s="99">
        <f>IFERROR(VLOOKUP(B618,'Pre-Summary'!$BS$6:$BU$35,3,FALSE),P617)</f>
        <v>0.5</v>
      </c>
      <c r="Q618" s="54">
        <f t="shared" si="27"/>
        <v>1.8</v>
      </c>
      <c r="R618" s="53">
        <f>IFERROR(VLOOKUP(B618,'Pre-Summary'!$BG$6:$BM$44,7,FALSE),R619)</f>
        <v>7.5915763918363535E-2</v>
      </c>
      <c r="S618" s="53">
        <f>IFERROR(VLOOKUP(B618,'Pre-Summary'!$BG$6:$BM$44,6,FALSE),S619)</f>
        <v>5.2897473997019086E-2</v>
      </c>
      <c r="T618" s="45" t="str">
        <f>IFERROR(VLOOKUP(B618,'Pre-Summary'!$Y$6:$AC$83, 3,FALSE),"")</f>
        <v/>
      </c>
      <c r="U618" s="45" t="str">
        <f>IFERROR(VLOOKUP(B618,'Pre-Summary'!$Y$6:$AC$83, 4,FALSE),"")</f>
        <v/>
      </c>
      <c r="V618" t="str">
        <f>IFERROR(VLOOKUP(B618,'Pre-Summary'!$Y$6:$AC$83, 5,FALSE),"")</f>
        <v/>
      </c>
      <c r="W618" s="45" t="str">
        <f>IFERROR(VLOOKUP(B618,'Pre-Summary'!$Y$6:$AD$83,6,FALSE),"")</f>
        <v/>
      </c>
      <c r="X618" t="str">
        <f>IFERROR(VLOOKUP('Pre-Summary'!$DB$6:$DD$63,3,FALSE),"")</f>
        <v/>
      </c>
      <c r="Y618" t="str">
        <f>IFERROR(VLOOKUP(B618,'Pre-Summary'!$CR$6:$CT$36,3,FALSE),"")</f>
        <v/>
      </c>
      <c r="Z618" s="45" t="str">
        <f>IFERROR(VLOOKUP(B618,'Pre-Summary'!$BZ$6:$CB$63,2,FALSE),"")</f>
        <v/>
      </c>
      <c r="AA618" s="45" t="str">
        <f>IFERROR(VLOOKUP(B618,'Pre-Summary'!$CG$6:$CI$70,2,FALSE),"")</f>
        <v/>
      </c>
      <c r="AB618" s="99">
        <f>IFERROR(VLOOKUP(B618,'Pre-Summary'!$A$6:$P$178,9,FALSE),AB619)</f>
        <v>0.87858471235308822</v>
      </c>
      <c r="AC618" s="10">
        <f>IFERROR(VLOOKUP(Summary!B618,'Pre-Summary'!$A$6:$P$184,5, FALSE)/100,AC619)</f>
        <v>0.67272566666666667</v>
      </c>
      <c r="AD618" s="10">
        <f>IFERROR(VLOOKUP(Summary!B618,'Pre-Summary'!$A$6:$P$184,3, FALSE)/100,AD619)</f>
        <v>8.9092333333333329E-2</v>
      </c>
      <c r="AE618" s="10">
        <f>IFERROR(VLOOKUP(Summary!B618,'Pre-Summary'!$A$6:$P$184,7, FALSE)/100,AE619)</f>
        <v>0.23818233333333336</v>
      </c>
      <c r="AF618" s="99">
        <f t="shared" si="28"/>
        <v>7.827516205453211E-2</v>
      </c>
      <c r="AG618" s="99">
        <f t="shared" si="29"/>
        <v>0.20926335681925406</v>
      </c>
      <c r="AH618" s="10" t="str">
        <f>IFERROR(VLOOKUP(B618,'Pre-Summary'!$AZ$6:$BE$65,3,FALSE),"")</f>
        <v/>
      </c>
      <c r="AI618" s="10" t="str">
        <f>IFERROR(VLOOKUP(B618,'Pre-Summary'!$AZ$6:$BE$65,5,FALSE),"")</f>
        <v/>
      </c>
      <c r="AJ618" s="10" t="str">
        <f>IFERROR(VLOOKUP(B618,'Pre-Summary'!$AZ$6:$BE$65,4,FALSE),"")</f>
        <v/>
      </c>
      <c r="AK618" s="10" t="str">
        <f>IFERROR(VLOOKUP(B618,'Pre-Summary'!$AZ$6:$BE$65,6,FALSE),"")</f>
        <v/>
      </c>
      <c r="AL618" s="10" t="str">
        <f>IFERROR(VLOOKUP(B618,'Pre-Summary'!$BG$6:$BL$44,3,FALSE),"")</f>
        <v/>
      </c>
      <c r="AM618" s="10" t="str">
        <f>IFERROR(VLOOKUP(B618,'Pre-Summary'!$BG$6:$BL$44,4,FALSE),"")</f>
        <v/>
      </c>
    </row>
    <row r="619" spans="2:39" ht="15" customHeight="1" x14ac:dyDescent="0.3">
      <c r="B619">
        <v>61.6</v>
      </c>
      <c r="C619" t="str">
        <f>IFERROR(VLOOKUP(B619,'Pre-Summary'!$DI$6:$DM$23,4,FALSE),"")</f>
        <v/>
      </c>
      <c r="D619" s="10" t="str">
        <f>IFERROR(VLOOKUP(B619,'Pre-Summary'!$AT$6:$AX$14,5,FALSE),D618)</f>
        <v>DSMZ v2: Dropped Na-Ac out of DSMZ 120 media</v>
      </c>
      <c r="E619" s="10" t="str">
        <f>IFERROR(VLOOKUP(B619,'Pre-Summary'!$AT$6:$AX$15,4,FALSE),"")</f>
        <v/>
      </c>
      <c r="F619">
        <f>IFERROR(VLOOKUP(B619,'Pre-Summary'!$AL$6:$AQ$13,6,FALSE),F618)</f>
        <v>5.9405263157894746E-2</v>
      </c>
      <c r="G619" t="str">
        <f>IFERROR(VLOOKUP(B619,'Pre-Summary'!$AE$6:$AJ$85,3,FALSE),"")</f>
        <v/>
      </c>
      <c r="H619" t="str">
        <f>IFERROR(VLOOKUP(B619,'Pre-Summary'!$AE$6:$AJ$85,4,FALSE),"")</f>
        <v/>
      </c>
      <c r="I619" t="str">
        <f>IFERROR(VLOOKUP(B619,'Pre-Summary'!$AE$6:$AJ$85,5,FALSE),"")</f>
        <v/>
      </c>
      <c r="J619" s="45" t="str">
        <f>IFERROR(VLOOKUP(B619,'Pre-Summary'!$AE$6:$AJ$85,6, FALSE),"")</f>
        <v/>
      </c>
      <c r="K619" s="45" t="str">
        <f>IFERROR(VLOOKUP(B619,'Pre-Summary'!$DE$6:$DG$61,3,FALSE),"")</f>
        <v/>
      </c>
      <c r="L619" s="45" t="str">
        <f>IFERROR(VLOOKUP(B619,'Pre-Summary'!$CU$6:$CW$36,3,FALSE),"")</f>
        <v/>
      </c>
      <c r="M619" s="45" t="str">
        <f>IFERROR(VLOOKUP(B619,'Pre-Summary'!$BW$6:$BY$58,2,FALSE),"")</f>
        <v/>
      </c>
      <c r="N619" s="45" t="str">
        <f>IFERROR(VLOOKUP(B619,'Pre-Summary'!$CD$6:$CF$64,2,FALSE),"")</f>
        <v/>
      </c>
      <c r="O619" s="99">
        <f>IFERROR(VLOOKUP(B619,'Pre-Summary'!$BO$6:$BQ$48,3, FALSE),O618)</f>
        <v>0.9</v>
      </c>
      <c r="P619" s="99">
        <f>IFERROR(VLOOKUP(B619,'Pre-Summary'!$BS$6:$BU$35,3,FALSE),P618)</f>
        <v>0.5</v>
      </c>
      <c r="Q619" s="54">
        <f t="shared" si="27"/>
        <v>1.8</v>
      </c>
      <c r="R619" s="53">
        <f>IFERROR(VLOOKUP(B619,'Pre-Summary'!$BG$6:$BM$44,7,FALSE),R620)</f>
        <v>7.5915763918363535E-2</v>
      </c>
      <c r="S619" s="53">
        <f>IFERROR(VLOOKUP(B619,'Pre-Summary'!$BG$6:$BM$44,6,FALSE),S620)</f>
        <v>5.2897473997019086E-2</v>
      </c>
      <c r="T619" s="45" t="str">
        <f>IFERROR(VLOOKUP(B619,'Pre-Summary'!$Y$6:$AC$83, 3,FALSE),"")</f>
        <v/>
      </c>
      <c r="U619" s="45" t="str">
        <f>IFERROR(VLOOKUP(B619,'Pre-Summary'!$Y$6:$AC$83, 4,FALSE),"")</f>
        <v/>
      </c>
      <c r="V619" t="str">
        <f>IFERROR(VLOOKUP(B619,'Pre-Summary'!$Y$6:$AC$83, 5,FALSE),"")</f>
        <v/>
      </c>
      <c r="W619" s="45" t="str">
        <f>IFERROR(VLOOKUP(B619,'Pre-Summary'!$Y$6:$AD$83,6,FALSE),"")</f>
        <v/>
      </c>
      <c r="X619" t="str">
        <f>IFERROR(VLOOKUP('Pre-Summary'!$DB$6:$DD$63,3,FALSE),"")</f>
        <v/>
      </c>
      <c r="Y619" t="str">
        <f>IFERROR(VLOOKUP(B619,'Pre-Summary'!$CR$6:$CT$36,3,FALSE),"")</f>
        <v/>
      </c>
      <c r="Z619" s="45" t="str">
        <f>IFERROR(VLOOKUP(B619,'Pre-Summary'!$BZ$6:$CB$63,2,FALSE),"")</f>
        <v/>
      </c>
      <c r="AA619" s="45" t="str">
        <f>IFERROR(VLOOKUP(B619,'Pre-Summary'!$CG$6:$CI$70,2,FALSE),"")</f>
        <v/>
      </c>
      <c r="AB619" s="99">
        <f>IFERROR(VLOOKUP(B619,'Pre-Summary'!$A$6:$P$178,9,FALSE),AB620)</f>
        <v>0.87858471235308822</v>
      </c>
      <c r="AC619" s="10">
        <f>IFERROR(VLOOKUP(Summary!B619,'Pre-Summary'!$A$6:$P$184,5, FALSE)/100,AC620)</f>
        <v>0.67272566666666667</v>
      </c>
      <c r="AD619" s="10">
        <f>IFERROR(VLOOKUP(Summary!B619,'Pre-Summary'!$A$6:$P$184,3, FALSE)/100,AD620)</f>
        <v>8.9092333333333329E-2</v>
      </c>
      <c r="AE619" s="10">
        <f>IFERROR(VLOOKUP(Summary!B619,'Pre-Summary'!$A$6:$P$184,7, FALSE)/100,AE620)</f>
        <v>0.23818233333333336</v>
      </c>
      <c r="AF619" s="99">
        <f t="shared" si="28"/>
        <v>7.827516205453211E-2</v>
      </c>
      <c r="AG619" s="99">
        <f t="shared" si="29"/>
        <v>0.20926335681925406</v>
      </c>
      <c r="AH619" s="10" t="str">
        <f>IFERROR(VLOOKUP(B619,'Pre-Summary'!$AZ$6:$BE$65,3,FALSE),"")</f>
        <v/>
      </c>
      <c r="AI619" s="10" t="str">
        <f>IFERROR(VLOOKUP(B619,'Pre-Summary'!$AZ$6:$BE$65,5,FALSE),"")</f>
        <v/>
      </c>
      <c r="AJ619" s="10" t="str">
        <f>IFERROR(VLOOKUP(B619,'Pre-Summary'!$AZ$6:$BE$65,4,FALSE),"")</f>
        <v/>
      </c>
      <c r="AK619" s="10" t="str">
        <f>IFERROR(VLOOKUP(B619,'Pre-Summary'!$AZ$6:$BE$65,6,FALSE),"")</f>
        <v/>
      </c>
      <c r="AL619" s="10" t="str">
        <f>IFERROR(VLOOKUP(B619,'Pre-Summary'!$BG$6:$BL$44,3,FALSE),"")</f>
        <v/>
      </c>
      <c r="AM619" s="10" t="str">
        <f>IFERROR(VLOOKUP(B619,'Pre-Summary'!$BG$6:$BL$44,4,FALSE),"")</f>
        <v/>
      </c>
    </row>
    <row r="620" spans="2:39" ht="15" customHeight="1" x14ac:dyDescent="0.3">
      <c r="B620">
        <v>61.7</v>
      </c>
      <c r="C620" t="str">
        <f>IFERROR(VLOOKUP(B620,'Pre-Summary'!$DI$6:$DM$23,4,FALSE),"")</f>
        <v/>
      </c>
      <c r="D620" s="10" t="str">
        <f>IFERROR(VLOOKUP(B620,'Pre-Summary'!$AT$6:$AX$14,5,FALSE),D619)</f>
        <v>DSMZ v2: Dropped Na-Ac out of DSMZ 120 media</v>
      </c>
      <c r="E620" s="10" t="str">
        <f>IFERROR(VLOOKUP(B620,'Pre-Summary'!$AT$6:$AX$15,4,FALSE),"")</f>
        <v/>
      </c>
      <c r="F620">
        <f>IFERROR(VLOOKUP(B620,'Pre-Summary'!$AL$6:$AQ$13,6,FALSE),F619)</f>
        <v>5.9405263157894746E-2</v>
      </c>
      <c r="G620" t="str">
        <f>IFERROR(VLOOKUP(B620,'Pre-Summary'!$AE$6:$AJ$85,3,FALSE),"")</f>
        <v/>
      </c>
      <c r="H620" t="str">
        <f>IFERROR(VLOOKUP(B620,'Pre-Summary'!$AE$6:$AJ$85,4,FALSE),"")</f>
        <v/>
      </c>
      <c r="I620" t="str">
        <f>IFERROR(VLOOKUP(B620,'Pre-Summary'!$AE$6:$AJ$85,5,FALSE),"")</f>
        <v/>
      </c>
      <c r="J620" s="45" t="str">
        <f>IFERROR(VLOOKUP(B620,'Pre-Summary'!$AE$6:$AJ$85,6, FALSE),"")</f>
        <v/>
      </c>
      <c r="K620" s="45" t="str">
        <f>IFERROR(VLOOKUP(B620,'Pre-Summary'!$DE$6:$DG$61,3,FALSE),"")</f>
        <v/>
      </c>
      <c r="L620" s="45" t="str">
        <f>IFERROR(VLOOKUP(B620,'Pre-Summary'!$CU$6:$CW$36,3,FALSE),"")</f>
        <v/>
      </c>
      <c r="M620" s="45" t="str">
        <f>IFERROR(VLOOKUP(B620,'Pre-Summary'!$BW$6:$BY$58,2,FALSE),"")</f>
        <v/>
      </c>
      <c r="N620" s="45" t="str">
        <f>IFERROR(VLOOKUP(B620,'Pre-Summary'!$CD$6:$CF$64,2,FALSE),"")</f>
        <v/>
      </c>
      <c r="O620" s="99">
        <f>IFERROR(VLOOKUP(B620,'Pre-Summary'!$BO$6:$BQ$48,3, FALSE),O619)</f>
        <v>0.9</v>
      </c>
      <c r="P620" s="99">
        <f>IFERROR(VLOOKUP(B620,'Pre-Summary'!$BS$6:$BU$35,3,FALSE),P619)</f>
        <v>0.5</v>
      </c>
      <c r="Q620" s="54">
        <f t="shared" si="27"/>
        <v>1.8</v>
      </c>
      <c r="R620" s="53">
        <f>IFERROR(VLOOKUP(B620,'Pre-Summary'!$BG$6:$BM$44,7,FALSE),R621)</f>
        <v>7.5915763918363535E-2</v>
      </c>
      <c r="S620" s="53">
        <f>IFERROR(VLOOKUP(B620,'Pre-Summary'!$BG$6:$BM$44,6,FALSE),S621)</f>
        <v>5.2897473997019086E-2</v>
      </c>
      <c r="T620" s="45" t="str">
        <f>IFERROR(VLOOKUP(B620,'Pre-Summary'!$Y$6:$AC$83, 3,FALSE),"")</f>
        <v/>
      </c>
      <c r="U620" s="45" t="str">
        <f>IFERROR(VLOOKUP(B620,'Pre-Summary'!$Y$6:$AC$83, 4,FALSE),"")</f>
        <v/>
      </c>
      <c r="V620" t="str">
        <f>IFERROR(VLOOKUP(B620,'Pre-Summary'!$Y$6:$AC$83, 5,FALSE),"")</f>
        <v/>
      </c>
      <c r="W620" s="45" t="str">
        <f>IFERROR(VLOOKUP(B620,'Pre-Summary'!$Y$6:$AD$83,6,FALSE),"")</f>
        <v/>
      </c>
      <c r="X620" t="str">
        <f>IFERROR(VLOOKUP('Pre-Summary'!$DB$6:$DD$63,3,FALSE),"")</f>
        <v/>
      </c>
      <c r="Y620" t="str">
        <f>IFERROR(VLOOKUP(B620,'Pre-Summary'!$CR$6:$CT$36,3,FALSE),"")</f>
        <v/>
      </c>
      <c r="Z620" s="45" t="str">
        <f>IFERROR(VLOOKUP(B620,'Pre-Summary'!$BZ$6:$CB$63,2,FALSE),"")</f>
        <v/>
      </c>
      <c r="AA620" s="45" t="str">
        <f>IFERROR(VLOOKUP(B620,'Pre-Summary'!$CG$6:$CI$70,2,FALSE),"")</f>
        <v/>
      </c>
      <c r="AB620" s="99">
        <f>IFERROR(VLOOKUP(B620,'Pre-Summary'!$A$6:$P$178,9,FALSE),AB621)</f>
        <v>0.87858471235308822</v>
      </c>
      <c r="AC620" s="10">
        <f>IFERROR(VLOOKUP(Summary!B620,'Pre-Summary'!$A$6:$P$184,5, FALSE)/100,AC621)</f>
        <v>0.67272566666666667</v>
      </c>
      <c r="AD620" s="10">
        <f>IFERROR(VLOOKUP(Summary!B620,'Pre-Summary'!$A$6:$P$184,3, FALSE)/100,AD621)</f>
        <v>8.9092333333333329E-2</v>
      </c>
      <c r="AE620" s="10">
        <f>IFERROR(VLOOKUP(Summary!B620,'Pre-Summary'!$A$6:$P$184,7, FALSE)/100,AE621)</f>
        <v>0.23818233333333336</v>
      </c>
      <c r="AF620" s="99">
        <f t="shared" si="28"/>
        <v>7.827516205453211E-2</v>
      </c>
      <c r="AG620" s="99">
        <f t="shared" si="29"/>
        <v>0.20926335681925406</v>
      </c>
      <c r="AH620" s="10" t="str">
        <f>IFERROR(VLOOKUP(B620,'Pre-Summary'!$AZ$6:$BE$65,3,FALSE),"")</f>
        <v/>
      </c>
      <c r="AI620" s="10" t="str">
        <f>IFERROR(VLOOKUP(B620,'Pre-Summary'!$AZ$6:$BE$65,5,FALSE),"")</f>
        <v/>
      </c>
      <c r="AJ620" s="10" t="str">
        <f>IFERROR(VLOOKUP(B620,'Pre-Summary'!$AZ$6:$BE$65,4,FALSE),"")</f>
        <v/>
      </c>
      <c r="AK620" s="10" t="str">
        <f>IFERROR(VLOOKUP(B620,'Pre-Summary'!$AZ$6:$BE$65,6,FALSE),"")</f>
        <v/>
      </c>
      <c r="AL620" s="10" t="str">
        <f>IFERROR(VLOOKUP(B620,'Pre-Summary'!$BG$6:$BL$44,3,FALSE),"")</f>
        <v/>
      </c>
      <c r="AM620" s="10" t="str">
        <f>IFERROR(VLOOKUP(B620,'Pre-Summary'!$BG$6:$BL$44,4,FALSE),"")</f>
        <v/>
      </c>
    </row>
    <row r="621" spans="2:39" ht="15" customHeight="1" x14ac:dyDescent="0.3">
      <c r="B621">
        <v>61.8</v>
      </c>
      <c r="C621" t="str">
        <f>IFERROR(VLOOKUP(B621,'Pre-Summary'!$DI$6:$DM$23,4,FALSE),"")</f>
        <v/>
      </c>
      <c r="D621" s="10" t="str">
        <f>IFERROR(VLOOKUP(B621,'Pre-Summary'!$AT$6:$AX$14,5,FALSE),D620)</f>
        <v>DSMZ v2: Dropped Na-Ac out of DSMZ 120 media</v>
      </c>
      <c r="E621" s="10" t="str">
        <f>IFERROR(VLOOKUP(B621,'Pre-Summary'!$AT$6:$AX$15,4,FALSE),"")</f>
        <v/>
      </c>
      <c r="F621">
        <f>IFERROR(VLOOKUP(B621,'Pre-Summary'!$AL$6:$AQ$13,6,FALSE),F620)</f>
        <v>5.9405263157894746E-2</v>
      </c>
      <c r="G621" t="str">
        <f>IFERROR(VLOOKUP(B621,'Pre-Summary'!$AE$6:$AJ$85,3,FALSE),"")</f>
        <v/>
      </c>
      <c r="H621" t="str">
        <f>IFERROR(VLOOKUP(B621,'Pre-Summary'!$AE$6:$AJ$85,4,FALSE),"")</f>
        <v/>
      </c>
      <c r="I621" t="str">
        <f>IFERROR(VLOOKUP(B621,'Pre-Summary'!$AE$6:$AJ$85,5,FALSE),"")</f>
        <v/>
      </c>
      <c r="J621" s="45" t="str">
        <f>IFERROR(VLOOKUP(B621,'Pre-Summary'!$AE$6:$AJ$85,6, FALSE),"")</f>
        <v/>
      </c>
      <c r="K621" s="45" t="str">
        <f>IFERROR(VLOOKUP(B621,'Pre-Summary'!$DE$6:$DG$61,3,FALSE),"")</f>
        <v/>
      </c>
      <c r="L621" s="45" t="str">
        <f>IFERROR(VLOOKUP(B621,'Pre-Summary'!$CU$6:$CW$36,3,FALSE),"")</f>
        <v/>
      </c>
      <c r="M621" s="45" t="str">
        <f>IFERROR(VLOOKUP(B621,'Pre-Summary'!$BW$6:$BY$58,2,FALSE),"")</f>
        <v/>
      </c>
      <c r="N621" s="45" t="str">
        <f>IFERROR(VLOOKUP(B621,'Pre-Summary'!$CD$6:$CF$64,2,FALSE),"")</f>
        <v/>
      </c>
      <c r="O621" s="99">
        <f>IFERROR(VLOOKUP(B621,'Pre-Summary'!$BO$6:$BQ$48,3, FALSE),O620)</f>
        <v>0.9</v>
      </c>
      <c r="P621" s="99">
        <f>IFERROR(VLOOKUP(B621,'Pre-Summary'!$BS$6:$BU$35,3,FALSE),P620)</f>
        <v>0.5</v>
      </c>
      <c r="Q621" s="54">
        <f t="shared" si="27"/>
        <v>1.8</v>
      </c>
      <c r="R621" s="53">
        <f>IFERROR(VLOOKUP(B621,'Pre-Summary'!$BG$6:$BM$44,7,FALSE),R622)</f>
        <v>7.5915763918363535E-2</v>
      </c>
      <c r="S621" s="53">
        <f>IFERROR(VLOOKUP(B621,'Pre-Summary'!$BG$6:$BM$44,6,FALSE),S622)</f>
        <v>5.2897473997019086E-2</v>
      </c>
      <c r="T621" s="45" t="str">
        <f>IFERROR(VLOOKUP(B621,'Pre-Summary'!$Y$6:$AC$83, 3,FALSE),"")</f>
        <v/>
      </c>
      <c r="U621" s="45" t="str">
        <f>IFERROR(VLOOKUP(B621,'Pre-Summary'!$Y$6:$AC$83, 4,FALSE),"")</f>
        <v/>
      </c>
      <c r="V621" t="str">
        <f>IFERROR(VLOOKUP(B621,'Pre-Summary'!$Y$6:$AC$83, 5,FALSE),"")</f>
        <v/>
      </c>
      <c r="W621" s="45" t="str">
        <f>IFERROR(VLOOKUP(B621,'Pre-Summary'!$Y$6:$AD$83,6,FALSE),"")</f>
        <v/>
      </c>
      <c r="X621" t="str">
        <f>IFERROR(VLOOKUP('Pre-Summary'!$DB$6:$DD$63,3,FALSE),"")</f>
        <v/>
      </c>
      <c r="Y621" t="str">
        <f>IFERROR(VLOOKUP(B621,'Pre-Summary'!$CR$6:$CT$36,3,FALSE),"")</f>
        <v/>
      </c>
      <c r="Z621" s="45" t="str">
        <f>IFERROR(VLOOKUP(B621,'Pre-Summary'!$BZ$6:$CB$63,2,FALSE),"")</f>
        <v/>
      </c>
      <c r="AA621" s="45" t="str">
        <f>IFERROR(VLOOKUP(B621,'Pre-Summary'!$CG$6:$CI$70,2,FALSE),"")</f>
        <v/>
      </c>
      <c r="AB621" s="99">
        <f>IFERROR(VLOOKUP(B621,'Pre-Summary'!$A$6:$P$178,9,FALSE),AB622)</f>
        <v>0.87858471235308822</v>
      </c>
      <c r="AC621" s="10">
        <f>IFERROR(VLOOKUP(Summary!B621,'Pre-Summary'!$A$6:$P$184,5, FALSE)/100,AC622)</f>
        <v>0.67272566666666667</v>
      </c>
      <c r="AD621" s="10">
        <f>IFERROR(VLOOKUP(Summary!B621,'Pre-Summary'!$A$6:$P$184,3, FALSE)/100,AD622)</f>
        <v>8.9092333333333329E-2</v>
      </c>
      <c r="AE621" s="10">
        <f>IFERROR(VLOOKUP(Summary!B621,'Pre-Summary'!$A$6:$P$184,7, FALSE)/100,AE622)</f>
        <v>0.23818233333333336</v>
      </c>
      <c r="AF621" s="99">
        <f t="shared" si="28"/>
        <v>7.827516205453211E-2</v>
      </c>
      <c r="AG621" s="99">
        <f t="shared" si="29"/>
        <v>0.20926335681925406</v>
      </c>
      <c r="AH621" s="10" t="str">
        <f>IFERROR(VLOOKUP(B621,'Pre-Summary'!$AZ$6:$BE$65,3,FALSE),"")</f>
        <v/>
      </c>
      <c r="AI621" s="10" t="str">
        <f>IFERROR(VLOOKUP(B621,'Pre-Summary'!$AZ$6:$BE$65,5,FALSE),"")</f>
        <v/>
      </c>
      <c r="AJ621" s="10" t="str">
        <f>IFERROR(VLOOKUP(B621,'Pre-Summary'!$AZ$6:$BE$65,4,FALSE),"")</f>
        <v/>
      </c>
      <c r="AK621" s="10" t="str">
        <f>IFERROR(VLOOKUP(B621,'Pre-Summary'!$AZ$6:$BE$65,6,FALSE),"")</f>
        <v/>
      </c>
      <c r="AL621" s="10" t="str">
        <f>IFERROR(VLOOKUP(B621,'Pre-Summary'!$BG$6:$BL$44,3,FALSE),"")</f>
        <v/>
      </c>
      <c r="AM621" s="10" t="str">
        <f>IFERROR(VLOOKUP(B621,'Pre-Summary'!$BG$6:$BL$44,4,FALSE),"")</f>
        <v/>
      </c>
    </row>
    <row r="622" spans="2:39" ht="15" customHeight="1" x14ac:dyDescent="0.3">
      <c r="B622">
        <v>61.9</v>
      </c>
      <c r="C622" t="str">
        <f>IFERROR(VLOOKUP(B622,'Pre-Summary'!$DI$6:$DM$23,4,FALSE),"")</f>
        <v/>
      </c>
      <c r="D622" s="10" t="str">
        <f>IFERROR(VLOOKUP(B622,'Pre-Summary'!$AT$6:$AX$14,5,FALSE),D621)</f>
        <v>DSMZ v2: Dropped Na-Ac out of DSMZ 120 media</v>
      </c>
      <c r="E622" s="10" t="str">
        <f>IFERROR(VLOOKUP(B622,'Pre-Summary'!$AT$6:$AX$15,4,FALSE),"")</f>
        <v/>
      </c>
      <c r="F622">
        <f>IFERROR(VLOOKUP(B622,'Pre-Summary'!$AL$6:$AQ$13,6,FALSE),F621)</f>
        <v>5.9405263157894746E-2</v>
      </c>
      <c r="G622" t="str">
        <f>IFERROR(VLOOKUP(B622,'Pre-Summary'!$AE$6:$AJ$85,3,FALSE),"")</f>
        <v/>
      </c>
      <c r="H622" t="str">
        <f>IFERROR(VLOOKUP(B622,'Pre-Summary'!$AE$6:$AJ$85,4,FALSE),"")</f>
        <v/>
      </c>
      <c r="I622" t="str">
        <f>IFERROR(VLOOKUP(B622,'Pre-Summary'!$AE$6:$AJ$85,5,FALSE),"")</f>
        <v/>
      </c>
      <c r="J622" s="45" t="str">
        <f>IFERROR(VLOOKUP(B622,'Pre-Summary'!$AE$6:$AJ$85,6, FALSE),"")</f>
        <v/>
      </c>
      <c r="K622" s="45" t="str">
        <f>IFERROR(VLOOKUP(B622,'Pre-Summary'!$DE$6:$DG$61,3,FALSE),"")</f>
        <v/>
      </c>
      <c r="L622" s="45" t="str">
        <f>IFERROR(VLOOKUP(B622,'Pre-Summary'!$CU$6:$CW$36,3,FALSE),"")</f>
        <v/>
      </c>
      <c r="M622" s="45" t="str">
        <f>IFERROR(VLOOKUP(B622,'Pre-Summary'!$BW$6:$BY$58,2,FALSE),"")</f>
        <v/>
      </c>
      <c r="N622" s="45" t="str">
        <f>IFERROR(VLOOKUP(B622,'Pre-Summary'!$CD$6:$CF$64,2,FALSE),"")</f>
        <v/>
      </c>
      <c r="O622" s="99">
        <f>IFERROR(VLOOKUP(B622,'Pre-Summary'!$BO$6:$BQ$48,3, FALSE),O621)</f>
        <v>0.9</v>
      </c>
      <c r="P622" s="99">
        <f>IFERROR(VLOOKUP(B622,'Pre-Summary'!$BS$6:$BU$35,3,FALSE),P621)</f>
        <v>0.5</v>
      </c>
      <c r="Q622" s="54">
        <f t="shared" si="27"/>
        <v>1.8</v>
      </c>
      <c r="R622" s="53">
        <f>IFERROR(VLOOKUP(B622,'Pre-Summary'!$BG$6:$BM$44,7,FALSE),R623)</f>
        <v>7.5915763918363535E-2</v>
      </c>
      <c r="S622" s="53">
        <f>IFERROR(VLOOKUP(B622,'Pre-Summary'!$BG$6:$BM$44,6,FALSE),S623)</f>
        <v>5.2897473997019086E-2</v>
      </c>
      <c r="T622" s="45" t="str">
        <f>IFERROR(VLOOKUP(B622,'Pre-Summary'!$Y$6:$AC$83, 3,FALSE),"")</f>
        <v/>
      </c>
      <c r="U622" s="45" t="str">
        <f>IFERROR(VLOOKUP(B622,'Pre-Summary'!$Y$6:$AC$83, 4,FALSE),"")</f>
        <v/>
      </c>
      <c r="V622" t="str">
        <f>IFERROR(VLOOKUP(B622,'Pre-Summary'!$Y$6:$AC$83, 5,FALSE),"")</f>
        <v/>
      </c>
      <c r="W622" s="45" t="str">
        <f>IFERROR(VLOOKUP(B622,'Pre-Summary'!$Y$6:$AD$83,6,FALSE),"")</f>
        <v/>
      </c>
      <c r="X622" t="str">
        <f>IFERROR(VLOOKUP('Pre-Summary'!$DB$6:$DD$63,3,FALSE),"")</f>
        <v/>
      </c>
      <c r="Y622" t="str">
        <f>IFERROR(VLOOKUP(B622,'Pre-Summary'!$CR$6:$CT$36,3,FALSE),"")</f>
        <v/>
      </c>
      <c r="Z622" s="45" t="str">
        <f>IFERROR(VLOOKUP(B622,'Pre-Summary'!$BZ$6:$CB$63,2,FALSE),"")</f>
        <v/>
      </c>
      <c r="AA622" s="45" t="str">
        <f>IFERROR(VLOOKUP(B622,'Pre-Summary'!$CG$6:$CI$70,2,FALSE),"")</f>
        <v/>
      </c>
      <c r="AB622" s="99">
        <f>IFERROR(VLOOKUP(B622,'Pre-Summary'!$A$6:$P$178,9,FALSE),AB623)</f>
        <v>0.87858471235308822</v>
      </c>
      <c r="AC622" s="10">
        <f>IFERROR(VLOOKUP(Summary!B622,'Pre-Summary'!$A$6:$P$184,5, FALSE)/100,AC623)</f>
        <v>0.67272566666666667</v>
      </c>
      <c r="AD622" s="10">
        <f>IFERROR(VLOOKUP(Summary!B622,'Pre-Summary'!$A$6:$P$184,3, FALSE)/100,AD623)</f>
        <v>8.9092333333333329E-2</v>
      </c>
      <c r="AE622" s="10">
        <f>IFERROR(VLOOKUP(Summary!B622,'Pre-Summary'!$A$6:$P$184,7, FALSE)/100,AE623)</f>
        <v>0.23818233333333336</v>
      </c>
      <c r="AF622" s="99">
        <f t="shared" si="28"/>
        <v>7.827516205453211E-2</v>
      </c>
      <c r="AG622" s="99">
        <f t="shared" si="29"/>
        <v>0.20926335681925406</v>
      </c>
      <c r="AH622" s="10" t="str">
        <f>IFERROR(VLOOKUP(B622,'Pre-Summary'!$AZ$6:$BE$65,3,FALSE),"")</f>
        <v/>
      </c>
      <c r="AI622" s="10" t="str">
        <f>IFERROR(VLOOKUP(B622,'Pre-Summary'!$AZ$6:$BE$65,5,FALSE),"")</f>
        <v/>
      </c>
      <c r="AJ622" s="10" t="str">
        <f>IFERROR(VLOOKUP(B622,'Pre-Summary'!$AZ$6:$BE$65,4,FALSE),"")</f>
        <v/>
      </c>
      <c r="AK622" s="10" t="str">
        <f>IFERROR(VLOOKUP(B622,'Pre-Summary'!$AZ$6:$BE$65,6,FALSE),"")</f>
        <v/>
      </c>
      <c r="AL622" s="10" t="str">
        <f>IFERROR(VLOOKUP(B622,'Pre-Summary'!$BG$6:$BL$44,3,FALSE),"")</f>
        <v/>
      </c>
      <c r="AM622" s="10" t="str">
        <f>IFERROR(VLOOKUP(B622,'Pre-Summary'!$BG$6:$BL$44,4,FALSE),"")</f>
        <v/>
      </c>
    </row>
    <row r="623" spans="2:39" ht="15" customHeight="1" x14ac:dyDescent="0.3">
      <c r="B623">
        <v>62</v>
      </c>
      <c r="C623" t="str">
        <f>IFERROR(VLOOKUP(B623,'Pre-Summary'!$DI$6:$DM$23,4,FALSE),"")</f>
        <v/>
      </c>
      <c r="D623" s="10" t="str">
        <f>IFERROR(VLOOKUP(B623,'Pre-Summary'!$AT$6:$AX$14,5,FALSE),D622)</f>
        <v>DSMZ v2: Dropped Na-Ac out of DSMZ 120 media</v>
      </c>
      <c r="E623" s="10" t="str">
        <f>IFERROR(VLOOKUP(B623,'Pre-Summary'!$AT$6:$AX$15,4,FALSE),"")</f>
        <v/>
      </c>
      <c r="F623">
        <f>IFERROR(VLOOKUP(B623,'Pre-Summary'!$AL$6:$AQ$13,6,FALSE),F622)</f>
        <v>5.9405263157894746E-2</v>
      </c>
      <c r="G623" t="str">
        <f>IFERROR(VLOOKUP(B623,'Pre-Summary'!$AE$6:$AJ$85,3,FALSE),"")</f>
        <v/>
      </c>
      <c r="H623" t="str">
        <f>IFERROR(VLOOKUP(B623,'Pre-Summary'!$AE$6:$AJ$85,4,FALSE),"")</f>
        <v/>
      </c>
      <c r="I623" t="str">
        <f>IFERROR(VLOOKUP(B623,'Pre-Summary'!$AE$6:$AJ$85,5,FALSE),"")</f>
        <v/>
      </c>
      <c r="J623" s="45" t="str">
        <f>IFERROR(VLOOKUP(B623,'Pre-Summary'!$AE$6:$AJ$85,6, FALSE),"")</f>
        <v/>
      </c>
      <c r="K623" s="45" t="str">
        <f>IFERROR(VLOOKUP(B623,'Pre-Summary'!$DE$6:$DG$61,3,FALSE),"")</f>
        <v/>
      </c>
      <c r="L623" s="45" t="str">
        <f>IFERROR(VLOOKUP(B623,'Pre-Summary'!$CU$6:$CW$36,3,FALSE),"")</f>
        <v/>
      </c>
      <c r="M623" s="45" t="str">
        <f>IFERROR(VLOOKUP(B623,'Pre-Summary'!$BW$6:$BY$58,2,FALSE),"")</f>
        <v/>
      </c>
      <c r="N623" s="45" t="str">
        <f>IFERROR(VLOOKUP(B623,'Pre-Summary'!$CD$6:$CF$64,2,FALSE),"")</f>
        <v/>
      </c>
      <c r="O623" s="99">
        <f>IFERROR(VLOOKUP(B623,'Pre-Summary'!$BO$6:$BQ$48,3, FALSE),O622)</f>
        <v>0.9</v>
      </c>
      <c r="P623" s="99">
        <f>IFERROR(VLOOKUP(B623,'Pre-Summary'!$BS$6:$BU$35,3,FALSE),P622)</f>
        <v>0.5</v>
      </c>
      <c r="Q623" s="54">
        <f t="shared" si="27"/>
        <v>1.8</v>
      </c>
      <c r="R623" s="53">
        <f>IFERROR(VLOOKUP(B623,'Pre-Summary'!$BG$6:$BM$44,7,FALSE),R624)</f>
        <v>7.5915763918363535E-2</v>
      </c>
      <c r="S623" s="53">
        <f>IFERROR(VLOOKUP(B623,'Pre-Summary'!$BG$6:$BM$44,6,FALSE),S624)</f>
        <v>5.2897473997019086E-2</v>
      </c>
      <c r="T623" s="45" t="str">
        <f>IFERROR(VLOOKUP(B623,'Pre-Summary'!$Y$6:$AC$83, 3,FALSE),"")</f>
        <v/>
      </c>
      <c r="U623" s="45" t="str">
        <f>IFERROR(VLOOKUP(B623,'Pre-Summary'!$Y$6:$AC$83, 4,FALSE),"")</f>
        <v/>
      </c>
      <c r="V623" t="str">
        <f>IFERROR(VLOOKUP(B623,'Pre-Summary'!$Y$6:$AC$83, 5,FALSE),"")</f>
        <v/>
      </c>
      <c r="W623" s="45" t="str">
        <f>IFERROR(VLOOKUP(B623,'Pre-Summary'!$Y$6:$AD$83,6,FALSE),"")</f>
        <v/>
      </c>
      <c r="X623" t="str">
        <f>IFERROR(VLOOKUP('Pre-Summary'!$DB$6:$DD$63,3,FALSE),"")</f>
        <v/>
      </c>
      <c r="Y623" t="str">
        <f>IFERROR(VLOOKUP(B623,'Pre-Summary'!$CR$6:$CT$36,3,FALSE),"")</f>
        <v/>
      </c>
      <c r="Z623" s="45" t="str">
        <f>IFERROR(VLOOKUP(B623,'Pre-Summary'!$BZ$6:$CB$63,2,FALSE),"")</f>
        <v/>
      </c>
      <c r="AA623" s="45" t="str">
        <f>IFERROR(VLOOKUP(B623,'Pre-Summary'!$CG$6:$CI$70,2,FALSE),"")</f>
        <v/>
      </c>
      <c r="AB623" s="99">
        <f>IFERROR(VLOOKUP(B623,'Pre-Summary'!$A$6:$P$178,9,FALSE),AB624)</f>
        <v>0.87858471235308822</v>
      </c>
      <c r="AC623" s="10">
        <f>IFERROR(VLOOKUP(Summary!B623,'Pre-Summary'!$A$6:$P$184,5, FALSE)/100,AC624)</f>
        <v>0.67272566666666667</v>
      </c>
      <c r="AD623" s="10">
        <f>IFERROR(VLOOKUP(Summary!B623,'Pre-Summary'!$A$6:$P$184,3, FALSE)/100,AD624)</f>
        <v>8.9092333333333329E-2</v>
      </c>
      <c r="AE623" s="10">
        <f>IFERROR(VLOOKUP(Summary!B623,'Pre-Summary'!$A$6:$P$184,7, FALSE)/100,AE624)</f>
        <v>0.23818233333333336</v>
      </c>
      <c r="AF623" s="99">
        <f t="shared" si="28"/>
        <v>7.827516205453211E-2</v>
      </c>
      <c r="AG623" s="99">
        <f t="shared" si="29"/>
        <v>0.20926335681925406</v>
      </c>
      <c r="AH623" s="10" t="str">
        <f>IFERROR(VLOOKUP(B623,'Pre-Summary'!$AZ$6:$BE$65,3,FALSE),"")</f>
        <v/>
      </c>
      <c r="AI623" s="10" t="str">
        <f>IFERROR(VLOOKUP(B623,'Pre-Summary'!$AZ$6:$BE$65,5,FALSE),"")</f>
        <v/>
      </c>
      <c r="AJ623" s="10" t="str">
        <f>IFERROR(VLOOKUP(B623,'Pre-Summary'!$AZ$6:$BE$65,4,FALSE),"")</f>
        <v/>
      </c>
      <c r="AK623" s="10" t="str">
        <f>IFERROR(VLOOKUP(B623,'Pre-Summary'!$AZ$6:$BE$65,6,FALSE),"")</f>
        <v/>
      </c>
      <c r="AL623" s="10" t="str">
        <f>IFERROR(VLOOKUP(B623,'Pre-Summary'!$BG$6:$BL$44,3,FALSE),"")</f>
        <v/>
      </c>
      <c r="AM623" s="10" t="str">
        <f>IFERROR(VLOOKUP(B623,'Pre-Summary'!$BG$6:$BL$44,4,FALSE),"")</f>
        <v/>
      </c>
    </row>
    <row r="624" spans="2:39" ht="15" customHeight="1" x14ac:dyDescent="0.3">
      <c r="B624">
        <v>62.1</v>
      </c>
      <c r="C624" t="str">
        <f>IFERROR(VLOOKUP(B624,'Pre-Summary'!$DI$6:$DM$23,4,FALSE),"")</f>
        <v/>
      </c>
      <c r="D624" s="10" t="str">
        <f>IFERROR(VLOOKUP(B624,'Pre-Summary'!$AT$6:$AX$14,5,FALSE),D623)</f>
        <v>DSMZ v2: Dropped Na-Ac out of DSMZ 120 media</v>
      </c>
      <c r="E624" s="10" t="str">
        <f>IFERROR(VLOOKUP(B624,'Pre-Summary'!$AT$6:$AX$15,4,FALSE),"")</f>
        <v/>
      </c>
      <c r="F624">
        <f>IFERROR(VLOOKUP(B624,'Pre-Summary'!$AL$6:$AQ$13,6,FALSE),F623)</f>
        <v>5.9405263157894746E-2</v>
      </c>
      <c r="G624" t="str">
        <f>IFERROR(VLOOKUP(B624,'Pre-Summary'!$AE$6:$AJ$85,3,FALSE),"")</f>
        <v/>
      </c>
      <c r="H624" t="str">
        <f>IFERROR(VLOOKUP(B624,'Pre-Summary'!$AE$6:$AJ$85,4,FALSE),"")</f>
        <v/>
      </c>
      <c r="I624" t="str">
        <f>IFERROR(VLOOKUP(B624,'Pre-Summary'!$AE$6:$AJ$85,5,FALSE),"")</f>
        <v/>
      </c>
      <c r="J624" s="45" t="str">
        <f>IFERROR(VLOOKUP(B624,'Pre-Summary'!$AE$6:$AJ$85,6, FALSE),"")</f>
        <v/>
      </c>
      <c r="K624" s="45" t="str">
        <f>IFERROR(VLOOKUP(B624,'Pre-Summary'!$DE$6:$DG$61,3,FALSE),"")</f>
        <v/>
      </c>
      <c r="L624" s="45" t="str">
        <f>IFERROR(VLOOKUP(B624,'Pre-Summary'!$CU$6:$CW$36,3,FALSE),"")</f>
        <v/>
      </c>
      <c r="M624" s="45" t="str">
        <f>IFERROR(VLOOKUP(B624,'Pre-Summary'!$BW$6:$BY$58,2,FALSE),"")</f>
        <v/>
      </c>
      <c r="N624" s="45" t="str">
        <f>IFERROR(VLOOKUP(B624,'Pre-Summary'!$CD$6:$CF$64,2,FALSE),"")</f>
        <v/>
      </c>
      <c r="O624" s="99">
        <f>IFERROR(VLOOKUP(B624,'Pre-Summary'!$BO$6:$BQ$48,3, FALSE),O623)</f>
        <v>0.9</v>
      </c>
      <c r="P624" s="99">
        <f>IFERROR(VLOOKUP(B624,'Pre-Summary'!$BS$6:$BU$35,3,FALSE),P623)</f>
        <v>0.34399999999999997</v>
      </c>
      <c r="Q624" s="54">
        <f t="shared" si="27"/>
        <v>2.6162790697674421</v>
      </c>
      <c r="R624" s="53">
        <f>IFERROR(VLOOKUP(B624,'Pre-Summary'!$BG$6:$BM$44,7,FALSE),R625)</f>
        <v>7.5915763918363535E-2</v>
      </c>
      <c r="S624" s="53">
        <f>IFERROR(VLOOKUP(B624,'Pre-Summary'!$BG$6:$BM$44,6,FALSE),S625)</f>
        <v>5.2897473997019086E-2</v>
      </c>
      <c r="T624" s="45" t="str">
        <f>IFERROR(VLOOKUP(B624,'Pre-Summary'!$Y$6:$AC$83, 3,FALSE),"")</f>
        <v/>
      </c>
      <c r="U624" s="45" t="str">
        <f>IFERROR(VLOOKUP(B624,'Pre-Summary'!$Y$6:$AC$83, 4,FALSE),"")</f>
        <v/>
      </c>
      <c r="V624" t="str">
        <f>IFERROR(VLOOKUP(B624,'Pre-Summary'!$Y$6:$AC$83, 5,FALSE),"")</f>
        <v/>
      </c>
      <c r="W624" s="45" t="str">
        <f>IFERROR(VLOOKUP(B624,'Pre-Summary'!$Y$6:$AD$83,6,FALSE),"")</f>
        <v/>
      </c>
      <c r="X624" t="str">
        <f>IFERROR(VLOOKUP('Pre-Summary'!$DB$6:$DD$63,3,FALSE),"")</f>
        <v/>
      </c>
      <c r="Y624" t="str">
        <f>IFERROR(VLOOKUP(B624,'Pre-Summary'!$CR$6:$CT$36,3,FALSE),"")</f>
        <v/>
      </c>
      <c r="Z624" s="45" t="str">
        <f>IFERROR(VLOOKUP(B624,'Pre-Summary'!$BZ$6:$CB$63,2,FALSE),"")</f>
        <v/>
      </c>
      <c r="AA624" s="45" t="str">
        <f>IFERROR(VLOOKUP(B624,'Pre-Summary'!$CG$6:$CI$70,2,FALSE),"")</f>
        <v/>
      </c>
      <c r="AB624" s="99">
        <f>IFERROR(VLOOKUP(B624,'Pre-Summary'!$A$6:$P$178,9,FALSE),AB625)</f>
        <v>0.85539342592592615</v>
      </c>
      <c r="AC624" s="10">
        <f>IFERROR(VLOOKUP(Summary!B624,'Pre-Summary'!$A$6:$P$184,5, FALSE)/100,AC625)</f>
        <v>0.72243166666666658</v>
      </c>
      <c r="AD624" s="10">
        <f>IFERROR(VLOOKUP(Summary!B624,'Pre-Summary'!$A$6:$P$184,3, FALSE)/100,AD625)</f>
        <v>0</v>
      </c>
      <c r="AE624" s="10">
        <f>IFERROR(VLOOKUP(Summary!B624,'Pre-Summary'!$A$6:$P$184,7, FALSE)/100,AE625)</f>
        <v>0.27756833333333331</v>
      </c>
      <c r="AF624" s="99">
        <f t="shared" si="28"/>
        <v>0</v>
      </c>
      <c r="AG624" s="99">
        <f t="shared" si="29"/>
        <v>0.23743012757854942</v>
      </c>
      <c r="AH624" s="10" t="str">
        <f>IFERROR(VLOOKUP(B624,'Pre-Summary'!$AZ$6:$BE$65,3,FALSE),"")</f>
        <v/>
      </c>
      <c r="AI624" s="10" t="str">
        <f>IFERROR(VLOOKUP(B624,'Pre-Summary'!$AZ$6:$BE$65,5,FALSE),"")</f>
        <v/>
      </c>
      <c r="AJ624" s="10" t="str">
        <f>IFERROR(VLOOKUP(B624,'Pre-Summary'!$AZ$6:$BE$65,4,FALSE),"")</f>
        <v/>
      </c>
      <c r="AK624" s="10" t="str">
        <f>IFERROR(VLOOKUP(B624,'Pre-Summary'!$AZ$6:$BE$65,6,FALSE),"")</f>
        <v/>
      </c>
      <c r="AL624" s="10" t="str">
        <f>IFERROR(VLOOKUP(B624,'Pre-Summary'!$BG$6:$BL$44,3,FALSE),"")</f>
        <v/>
      </c>
      <c r="AM624" s="10" t="str">
        <f>IFERROR(VLOOKUP(B624,'Pre-Summary'!$BG$6:$BL$44,4,FALSE),"")</f>
        <v/>
      </c>
    </row>
    <row r="625" spans="2:39" ht="15" customHeight="1" x14ac:dyDescent="0.3">
      <c r="B625">
        <v>62.2</v>
      </c>
      <c r="C625" t="str">
        <f>IFERROR(VLOOKUP(B625,'Pre-Summary'!$DI$6:$DM$23,4,FALSE),"")</f>
        <v/>
      </c>
      <c r="D625" s="10" t="str">
        <f>IFERROR(VLOOKUP(B625,'Pre-Summary'!$AT$6:$AX$14,5,FALSE),D624)</f>
        <v>DSMZ v2: Dropped Na-Ac out of DSMZ 120 media</v>
      </c>
      <c r="E625" s="10" t="str">
        <f>IFERROR(VLOOKUP(B625,'Pre-Summary'!$AT$6:$AX$15,4,FALSE),"")</f>
        <v/>
      </c>
      <c r="F625">
        <f>IFERROR(VLOOKUP(B625,'Pre-Summary'!$AL$6:$AQ$13,6,FALSE),F624)</f>
        <v>5.9405263157894746E-2</v>
      </c>
      <c r="G625" t="str">
        <f>IFERROR(VLOOKUP(B625,'Pre-Summary'!$AE$6:$AJ$85,3,FALSE),"")</f>
        <v/>
      </c>
      <c r="H625" t="str">
        <f>IFERROR(VLOOKUP(B625,'Pre-Summary'!$AE$6:$AJ$85,4,FALSE),"")</f>
        <v/>
      </c>
      <c r="I625" t="str">
        <f>IFERROR(VLOOKUP(B625,'Pre-Summary'!$AE$6:$AJ$85,5,FALSE),"")</f>
        <v/>
      </c>
      <c r="J625" s="45" t="str">
        <f>IFERROR(VLOOKUP(B625,'Pre-Summary'!$AE$6:$AJ$85,6, FALSE),"")</f>
        <v/>
      </c>
      <c r="K625" s="45" t="str">
        <f>IFERROR(VLOOKUP(B625,'Pre-Summary'!$DE$6:$DG$61,3,FALSE),"")</f>
        <v/>
      </c>
      <c r="L625" s="45" t="str">
        <f>IFERROR(VLOOKUP(B625,'Pre-Summary'!$CU$6:$CW$36,3,FALSE),"")</f>
        <v/>
      </c>
      <c r="M625" s="45" t="str">
        <f>IFERROR(VLOOKUP(B625,'Pre-Summary'!$BW$6:$BY$58,2,FALSE),"")</f>
        <v/>
      </c>
      <c r="N625" s="45" t="str">
        <f>IFERROR(VLOOKUP(B625,'Pre-Summary'!$CD$6:$CF$64,2,FALSE),"")</f>
        <v/>
      </c>
      <c r="O625" s="99">
        <f>IFERROR(VLOOKUP(B625,'Pre-Summary'!$BO$6:$BQ$48,3, FALSE),O624)</f>
        <v>0.9</v>
      </c>
      <c r="P625" s="99">
        <f>IFERROR(VLOOKUP(B625,'Pre-Summary'!$BS$6:$BU$35,3,FALSE),P624)</f>
        <v>0.34399999999999997</v>
      </c>
      <c r="Q625" s="54">
        <f t="shared" si="27"/>
        <v>2.6162790697674421</v>
      </c>
      <c r="R625" s="53">
        <f>IFERROR(VLOOKUP(B625,'Pre-Summary'!$BG$6:$BM$44,7,FALSE),R626)</f>
        <v>7.5915763918363535E-2</v>
      </c>
      <c r="S625" s="53">
        <f>IFERROR(VLOOKUP(B625,'Pre-Summary'!$BG$6:$BM$44,6,FALSE),S626)</f>
        <v>5.2897473997019086E-2</v>
      </c>
      <c r="T625" s="45" t="str">
        <f>IFERROR(VLOOKUP(B625,'Pre-Summary'!$Y$6:$AC$83, 3,FALSE),"")</f>
        <v/>
      </c>
      <c r="U625" s="45" t="str">
        <f>IFERROR(VLOOKUP(B625,'Pre-Summary'!$Y$6:$AC$83, 4,FALSE),"")</f>
        <v/>
      </c>
      <c r="V625" t="str">
        <f>IFERROR(VLOOKUP(B625,'Pre-Summary'!$Y$6:$AC$83, 5,FALSE),"")</f>
        <v/>
      </c>
      <c r="W625" s="45" t="str">
        <f>IFERROR(VLOOKUP(B625,'Pre-Summary'!$Y$6:$AD$83,6,FALSE),"")</f>
        <v/>
      </c>
      <c r="X625" t="str">
        <f>IFERROR(VLOOKUP('Pre-Summary'!$DB$6:$DD$63,3,FALSE),"")</f>
        <v/>
      </c>
      <c r="Y625" t="str">
        <f>IFERROR(VLOOKUP(B625,'Pre-Summary'!$CR$6:$CT$36,3,FALSE),"")</f>
        <v/>
      </c>
      <c r="Z625" s="45" t="str">
        <f>IFERROR(VLOOKUP(B625,'Pre-Summary'!$BZ$6:$CB$63,2,FALSE),"")</f>
        <v/>
      </c>
      <c r="AA625" s="45" t="str">
        <f>IFERROR(VLOOKUP(B625,'Pre-Summary'!$CG$6:$CI$70,2,FALSE),"")</f>
        <v/>
      </c>
      <c r="AB625" s="99">
        <f>IFERROR(VLOOKUP(B625,'Pre-Summary'!$A$6:$P$178,9,FALSE),AB626)</f>
        <v>0.85539342592592615</v>
      </c>
      <c r="AC625" s="10">
        <f>IFERROR(VLOOKUP(Summary!B625,'Pre-Summary'!$A$6:$P$184,5, FALSE)/100,AC626)</f>
        <v>0.72243166666666658</v>
      </c>
      <c r="AD625" s="10">
        <f>IFERROR(VLOOKUP(Summary!B625,'Pre-Summary'!$A$6:$P$184,3, FALSE)/100,AD626)</f>
        <v>0</v>
      </c>
      <c r="AE625" s="10">
        <f>IFERROR(VLOOKUP(Summary!B625,'Pre-Summary'!$A$6:$P$184,7, FALSE)/100,AE626)</f>
        <v>0.27756833333333331</v>
      </c>
      <c r="AF625" s="99">
        <f t="shared" si="28"/>
        <v>0</v>
      </c>
      <c r="AG625" s="99">
        <f t="shared" si="29"/>
        <v>0.23743012757854942</v>
      </c>
      <c r="AH625" s="10" t="str">
        <f>IFERROR(VLOOKUP(B625,'Pre-Summary'!$AZ$6:$BE$65,3,FALSE),"")</f>
        <v/>
      </c>
      <c r="AI625" s="10" t="str">
        <f>IFERROR(VLOOKUP(B625,'Pre-Summary'!$AZ$6:$BE$65,5,FALSE),"")</f>
        <v/>
      </c>
      <c r="AJ625" s="10" t="str">
        <f>IFERROR(VLOOKUP(B625,'Pre-Summary'!$AZ$6:$BE$65,4,FALSE),"")</f>
        <v/>
      </c>
      <c r="AK625" s="10" t="str">
        <f>IFERROR(VLOOKUP(B625,'Pre-Summary'!$AZ$6:$BE$65,6,FALSE),"")</f>
        <v/>
      </c>
      <c r="AL625" s="10" t="str">
        <f>IFERROR(VLOOKUP(B625,'Pre-Summary'!$BG$6:$BL$44,3,FALSE),"")</f>
        <v/>
      </c>
      <c r="AM625" s="10" t="str">
        <f>IFERROR(VLOOKUP(B625,'Pre-Summary'!$BG$6:$BL$44,4,FALSE),"")</f>
        <v/>
      </c>
    </row>
    <row r="626" spans="2:39" ht="15" customHeight="1" x14ac:dyDescent="0.3">
      <c r="B626">
        <v>62.3</v>
      </c>
      <c r="C626" t="str">
        <f>IFERROR(VLOOKUP(B626,'Pre-Summary'!$DI$6:$DM$23,4,FALSE),"")</f>
        <v/>
      </c>
      <c r="D626" s="10" t="str">
        <f>IFERROR(VLOOKUP(B626,'Pre-Summary'!$AT$6:$AX$14,5,FALSE),D625)</f>
        <v>DSMZ v2: Dropped Na-Ac out of DSMZ 120 media</v>
      </c>
      <c r="E626" s="10" t="str">
        <f>IFERROR(VLOOKUP(B626,'Pre-Summary'!$AT$6:$AX$15,4,FALSE),"")</f>
        <v/>
      </c>
      <c r="F626">
        <f>IFERROR(VLOOKUP(B626,'Pre-Summary'!$AL$6:$AQ$13,6,FALSE),F625)</f>
        <v>5.9405263157894746E-2</v>
      </c>
      <c r="G626" t="str">
        <f>IFERROR(VLOOKUP(B626,'Pre-Summary'!$AE$6:$AJ$85,3,FALSE),"")</f>
        <v/>
      </c>
      <c r="H626" t="str">
        <f>IFERROR(VLOOKUP(B626,'Pre-Summary'!$AE$6:$AJ$85,4,FALSE),"")</f>
        <v/>
      </c>
      <c r="I626" t="str">
        <f>IFERROR(VLOOKUP(B626,'Pre-Summary'!$AE$6:$AJ$85,5,FALSE),"")</f>
        <v/>
      </c>
      <c r="J626" s="45" t="str">
        <f>IFERROR(VLOOKUP(B626,'Pre-Summary'!$AE$6:$AJ$85,6, FALSE),"")</f>
        <v/>
      </c>
      <c r="K626" s="45" t="str">
        <f>IFERROR(VLOOKUP(B626,'Pre-Summary'!$DE$6:$DG$61,3,FALSE),"")</f>
        <v/>
      </c>
      <c r="L626" s="45" t="str">
        <f>IFERROR(VLOOKUP(B626,'Pre-Summary'!$CU$6:$CW$36,3,FALSE),"")</f>
        <v/>
      </c>
      <c r="M626" s="45" t="str">
        <f>IFERROR(VLOOKUP(B626,'Pre-Summary'!$BW$6:$BY$58,2,FALSE),"")</f>
        <v/>
      </c>
      <c r="N626" s="45" t="str">
        <f>IFERROR(VLOOKUP(B626,'Pre-Summary'!$CD$6:$CF$64,2,FALSE),"")</f>
        <v/>
      </c>
      <c r="O626" s="99">
        <f>IFERROR(VLOOKUP(B626,'Pre-Summary'!$BO$6:$BQ$48,3, FALSE),O625)</f>
        <v>0.9</v>
      </c>
      <c r="P626" s="99">
        <f>IFERROR(VLOOKUP(B626,'Pre-Summary'!$BS$6:$BU$35,3,FALSE),P625)</f>
        <v>0.34399999999999997</v>
      </c>
      <c r="Q626" s="54">
        <f t="shared" si="27"/>
        <v>2.6162790697674421</v>
      </c>
      <c r="R626" s="53">
        <f>IFERROR(VLOOKUP(B626,'Pre-Summary'!$BG$6:$BM$44,7,FALSE),R627)</f>
        <v>7.5915763918363535E-2</v>
      </c>
      <c r="S626" s="53">
        <f>IFERROR(VLOOKUP(B626,'Pre-Summary'!$BG$6:$BM$44,6,FALSE),S627)</f>
        <v>5.2897473997019086E-2</v>
      </c>
      <c r="T626" s="45" t="str">
        <f>IFERROR(VLOOKUP(B626,'Pre-Summary'!$Y$6:$AC$83, 3,FALSE),"")</f>
        <v/>
      </c>
      <c r="U626" s="45" t="str">
        <f>IFERROR(VLOOKUP(B626,'Pre-Summary'!$Y$6:$AC$83, 4,FALSE),"")</f>
        <v/>
      </c>
      <c r="V626" t="str">
        <f>IFERROR(VLOOKUP(B626,'Pre-Summary'!$Y$6:$AC$83, 5,FALSE),"")</f>
        <v/>
      </c>
      <c r="W626" s="45" t="str">
        <f>IFERROR(VLOOKUP(B626,'Pre-Summary'!$Y$6:$AD$83,6,FALSE),"")</f>
        <v/>
      </c>
      <c r="X626" t="str">
        <f>IFERROR(VLOOKUP('Pre-Summary'!$DB$6:$DD$63,3,FALSE),"")</f>
        <v/>
      </c>
      <c r="Y626" t="str">
        <f>IFERROR(VLOOKUP(B626,'Pre-Summary'!$CR$6:$CT$36,3,FALSE),"")</f>
        <v/>
      </c>
      <c r="Z626" s="45" t="str">
        <f>IFERROR(VLOOKUP(B626,'Pre-Summary'!$BZ$6:$CB$63,2,FALSE),"")</f>
        <v/>
      </c>
      <c r="AA626" s="45" t="str">
        <f>IFERROR(VLOOKUP(B626,'Pre-Summary'!$CG$6:$CI$70,2,FALSE),"")</f>
        <v/>
      </c>
      <c r="AB626" s="99">
        <f>IFERROR(VLOOKUP(B626,'Pre-Summary'!$A$6:$P$178,9,FALSE),AB627)</f>
        <v>0.85539342592592615</v>
      </c>
      <c r="AC626" s="10">
        <f>IFERROR(VLOOKUP(Summary!B626,'Pre-Summary'!$A$6:$P$184,5, FALSE)/100,AC627)</f>
        <v>0.72243166666666658</v>
      </c>
      <c r="AD626" s="10">
        <f>IFERROR(VLOOKUP(Summary!B626,'Pre-Summary'!$A$6:$P$184,3, FALSE)/100,AD627)</f>
        <v>0</v>
      </c>
      <c r="AE626" s="10">
        <f>IFERROR(VLOOKUP(Summary!B626,'Pre-Summary'!$A$6:$P$184,7, FALSE)/100,AE627)</f>
        <v>0.27756833333333331</v>
      </c>
      <c r="AF626" s="99">
        <f t="shared" si="28"/>
        <v>0</v>
      </c>
      <c r="AG626" s="99">
        <f t="shared" si="29"/>
        <v>0.23743012757854942</v>
      </c>
      <c r="AH626" s="10" t="str">
        <f>IFERROR(VLOOKUP(B626,'Pre-Summary'!$AZ$6:$BE$65,3,FALSE),"")</f>
        <v/>
      </c>
      <c r="AI626" s="10" t="str">
        <f>IFERROR(VLOOKUP(B626,'Pre-Summary'!$AZ$6:$BE$65,5,FALSE),"")</f>
        <v/>
      </c>
      <c r="AJ626" s="10" t="str">
        <f>IFERROR(VLOOKUP(B626,'Pre-Summary'!$AZ$6:$BE$65,4,FALSE),"")</f>
        <v/>
      </c>
      <c r="AK626" s="10" t="str">
        <f>IFERROR(VLOOKUP(B626,'Pre-Summary'!$AZ$6:$BE$65,6,FALSE),"")</f>
        <v/>
      </c>
      <c r="AL626" s="10" t="str">
        <f>IFERROR(VLOOKUP(B626,'Pre-Summary'!$BG$6:$BL$44,3,FALSE),"")</f>
        <v/>
      </c>
      <c r="AM626" s="10" t="str">
        <f>IFERROR(VLOOKUP(B626,'Pre-Summary'!$BG$6:$BL$44,4,FALSE),"")</f>
        <v/>
      </c>
    </row>
    <row r="627" spans="2:39" ht="15" customHeight="1" x14ac:dyDescent="0.3">
      <c r="B627">
        <v>62.4</v>
      </c>
      <c r="C627" t="str">
        <f>IFERROR(VLOOKUP(B627,'Pre-Summary'!$DI$6:$DM$23,4,FALSE),"")</f>
        <v/>
      </c>
      <c r="D627" s="10" t="str">
        <f>IFERROR(VLOOKUP(B627,'Pre-Summary'!$AT$6:$AX$14,5,FALSE),D626)</f>
        <v>DSMZ v2: Dropped Na-Ac out of DSMZ 120 media</v>
      </c>
      <c r="E627" s="10" t="str">
        <f>IFERROR(VLOOKUP(B627,'Pre-Summary'!$AT$6:$AX$15,4,FALSE),"")</f>
        <v/>
      </c>
      <c r="F627">
        <f>IFERROR(VLOOKUP(B627,'Pre-Summary'!$AL$6:$AQ$13,6,FALSE),F626)</f>
        <v>5.9405263157894746E-2</v>
      </c>
      <c r="G627" t="str">
        <f>IFERROR(VLOOKUP(B627,'Pre-Summary'!$AE$6:$AJ$85,3,FALSE),"")</f>
        <v/>
      </c>
      <c r="H627" t="str">
        <f>IFERROR(VLOOKUP(B627,'Pre-Summary'!$AE$6:$AJ$85,4,FALSE),"")</f>
        <v/>
      </c>
      <c r="I627" t="str">
        <f>IFERROR(VLOOKUP(B627,'Pre-Summary'!$AE$6:$AJ$85,5,FALSE),"")</f>
        <v/>
      </c>
      <c r="J627" s="45" t="str">
        <f>IFERROR(VLOOKUP(B627,'Pre-Summary'!$AE$6:$AJ$85,6, FALSE),"")</f>
        <v/>
      </c>
      <c r="K627" s="45" t="str">
        <f>IFERROR(VLOOKUP(B627,'Pre-Summary'!$DE$6:$DG$61,3,FALSE),"")</f>
        <v/>
      </c>
      <c r="L627" s="45" t="str">
        <f>IFERROR(VLOOKUP(B627,'Pre-Summary'!$CU$6:$CW$36,3,FALSE),"")</f>
        <v/>
      </c>
      <c r="M627" s="45" t="str">
        <f>IFERROR(VLOOKUP(B627,'Pre-Summary'!$BW$6:$BY$58,2,FALSE),"")</f>
        <v/>
      </c>
      <c r="N627" s="45" t="str">
        <f>IFERROR(VLOOKUP(B627,'Pre-Summary'!$CD$6:$CF$64,2,FALSE),"")</f>
        <v/>
      </c>
      <c r="O627" s="99">
        <f>IFERROR(VLOOKUP(B627,'Pre-Summary'!$BO$6:$BQ$48,3, FALSE),O626)</f>
        <v>0.9</v>
      </c>
      <c r="P627" s="99">
        <f>IFERROR(VLOOKUP(B627,'Pre-Summary'!$BS$6:$BU$35,3,FALSE),P626)</f>
        <v>0.34399999999999997</v>
      </c>
      <c r="Q627" s="54">
        <f t="shared" si="27"/>
        <v>2.6162790697674421</v>
      </c>
      <c r="R627" s="53">
        <f>IFERROR(VLOOKUP(B627,'Pre-Summary'!$BG$6:$BM$44,7,FALSE),R628)</f>
        <v>7.5915763918363535E-2</v>
      </c>
      <c r="S627" s="53">
        <f>IFERROR(VLOOKUP(B627,'Pre-Summary'!$BG$6:$BM$44,6,FALSE),S628)</f>
        <v>5.2897473997019086E-2</v>
      </c>
      <c r="T627" s="45" t="str">
        <f>IFERROR(VLOOKUP(B627,'Pre-Summary'!$Y$6:$AC$83, 3,FALSE),"")</f>
        <v/>
      </c>
      <c r="U627" s="45" t="str">
        <f>IFERROR(VLOOKUP(B627,'Pre-Summary'!$Y$6:$AC$83, 4,FALSE),"")</f>
        <v/>
      </c>
      <c r="V627" t="str">
        <f>IFERROR(VLOOKUP(B627,'Pre-Summary'!$Y$6:$AC$83, 5,FALSE),"")</f>
        <v/>
      </c>
      <c r="W627" s="45" t="str">
        <f>IFERROR(VLOOKUP(B627,'Pre-Summary'!$Y$6:$AD$83,6,FALSE),"")</f>
        <v/>
      </c>
      <c r="X627" t="str">
        <f>IFERROR(VLOOKUP('Pre-Summary'!$DB$6:$DD$63,3,FALSE),"")</f>
        <v/>
      </c>
      <c r="Y627" t="str">
        <f>IFERROR(VLOOKUP(B627,'Pre-Summary'!$CR$6:$CT$36,3,FALSE),"")</f>
        <v/>
      </c>
      <c r="Z627" s="45" t="str">
        <f>IFERROR(VLOOKUP(B627,'Pre-Summary'!$BZ$6:$CB$63,2,FALSE),"")</f>
        <v/>
      </c>
      <c r="AA627" s="45" t="str">
        <f>IFERROR(VLOOKUP(B627,'Pre-Summary'!$CG$6:$CI$70,2,FALSE),"")</f>
        <v/>
      </c>
      <c r="AB627" s="99">
        <f>IFERROR(VLOOKUP(B627,'Pre-Summary'!$A$6:$P$178,9,FALSE),AB628)</f>
        <v>0.85539342592592615</v>
      </c>
      <c r="AC627" s="10">
        <f>IFERROR(VLOOKUP(Summary!B627,'Pre-Summary'!$A$6:$P$184,5, FALSE)/100,AC628)</f>
        <v>0.72243166666666658</v>
      </c>
      <c r="AD627" s="10">
        <f>IFERROR(VLOOKUP(Summary!B627,'Pre-Summary'!$A$6:$P$184,3, FALSE)/100,AD628)</f>
        <v>0</v>
      </c>
      <c r="AE627" s="10">
        <f>IFERROR(VLOOKUP(Summary!B627,'Pre-Summary'!$A$6:$P$184,7, FALSE)/100,AE628)</f>
        <v>0.27756833333333331</v>
      </c>
      <c r="AF627" s="99">
        <f t="shared" si="28"/>
        <v>0</v>
      </c>
      <c r="AG627" s="99">
        <f t="shared" si="29"/>
        <v>0.23743012757854942</v>
      </c>
      <c r="AH627" s="10" t="str">
        <f>IFERROR(VLOOKUP(B627,'Pre-Summary'!$AZ$6:$BE$65,3,FALSE),"")</f>
        <v/>
      </c>
      <c r="AI627" s="10" t="str">
        <f>IFERROR(VLOOKUP(B627,'Pre-Summary'!$AZ$6:$BE$65,5,FALSE),"")</f>
        <v/>
      </c>
      <c r="AJ627" s="10" t="str">
        <f>IFERROR(VLOOKUP(B627,'Pre-Summary'!$AZ$6:$BE$65,4,FALSE),"")</f>
        <v/>
      </c>
      <c r="AK627" s="10" t="str">
        <f>IFERROR(VLOOKUP(B627,'Pre-Summary'!$AZ$6:$BE$65,6,FALSE),"")</f>
        <v/>
      </c>
      <c r="AL627" s="10" t="str">
        <f>IFERROR(VLOOKUP(B627,'Pre-Summary'!$BG$6:$BL$44,3,FALSE),"")</f>
        <v/>
      </c>
      <c r="AM627" s="10" t="str">
        <f>IFERROR(VLOOKUP(B627,'Pre-Summary'!$BG$6:$BL$44,4,FALSE),"")</f>
        <v/>
      </c>
    </row>
    <row r="628" spans="2:39" ht="15" customHeight="1" x14ac:dyDescent="0.3">
      <c r="B628">
        <v>62.5</v>
      </c>
      <c r="C628" t="str">
        <f>IFERROR(VLOOKUP(B628,'Pre-Summary'!$DI$6:$DM$23,4,FALSE),"")</f>
        <v/>
      </c>
      <c r="D628" s="10" t="str">
        <f>IFERROR(VLOOKUP(B628,'Pre-Summary'!$AT$6:$AX$14,5,FALSE),D627)</f>
        <v>DSMZ v2: Dropped Na-Ac out of DSMZ 120 media</v>
      </c>
      <c r="E628" s="10" t="str">
        <f>IFERROR(VLOOKUP(B628,'Pre-Summary'!$AT$6:$AX$15,4,FALSE),"")</f>
        <v/>
      </c>
      <c r="F628">
        <f>IFERROR(VLOOKUP(B628,'Pre-Summary'!$AL$6:$AQ$13,6,FALSE),F627)</f>
        <v>5.9405263157894746E-2</v>
      </c>
      <c r="G628" t="str">
        <f>IFERROR(VLOOKUP(B628,'Pre-Summary'!$AE$6:$AJ$85,3,FALSE),"")</f>
        <v/>
      </c>
      <c r="H628" t="str">
        <f>IFERROR(VLOOKUP(B628,'Pre-Summary'!$AE$6:$AJ$85,4,FALSE),"")</f>
        <v/>
      </c>
      <c r="I628" t="str">
        <f>IFERROR(VLOOKUP(B628,'Pre-Summary'!$AE$6:$AJ$85,5,FALSE),"")</f>
        <v/>
      </c>
      <c r="J628" s="45" t="str">
        <f>IFERROR(VLOOKUP(B628,'Pre-Summary'!$AE$6:$AJ$85,6, FALSE),"")</f>
        <v/>
      </c>
      <c r="K628" s="45" t="str">
        <f>IFERROR(VLOOKUP(B628,'Pre-Summary'!$DE$6:$DG$61,3,FALSE),"")</f>
        <v/>
      </c>
      <c r="L628" s="45" t="str">
        <f>IFERROR(VLOOKUP(B628,'Pre-Summary'!$CU$6:$CW$36,3,FALSE),"")</f>
        <v/>
      </c>
      <c r="M628" s="45" t="str">
        <f>IFERROR(VLOOKUP(B628,'Pre-Summary'!$BW$6:$BY$58,2,FALSE),"")</f>
        <v/>
      </c>
      <c r="N628" s="45" t="str">
        <f>IFERROR(VLOOKUP(B628,'Pre-Summary'!$CD$6:$CF$64,2,FALSE),"")</f>
        <v/>
      </c>
      <c r="O628" s="99">
        <f>IFERROR(VLOOKUP(B628,'Pre-Summary'!$BO$6:$BQ$48,3, FALSE),O627)</f>
        <v>0.9</v>
      </c>
      <c r="P628" s="99">
        <f>IFERROR(VLOOKUP(B628,'Pre-Summary'!$BS$6:$BU$35,3,FALSE),P627)</f>
        <v>0.34399999999999997</v>
      </c>
      <c r="Q628" s="54">
        <f t="shared" si="27"/>
        <v>2.6162790697674421</v>
      </c>
      <c r="R628" s="53">
        <f>IFERROR(VLOOKUP(B628,'Pre-Summary'!$BG$6:$BM$44,7,FALSE),R629)</f>
        <v>7.5915763918363535E-2</v>
      </c>
      <c r="S628" s="53">
        <f>IFERROR(VLOOKUP(B628,'Pre-Summary'!$BG$6:$BM$44,6,FALSE),S629)</f>
        <v>5.2897473997019086E-2</v>
      </c>
      <c r="T628" s="45" t="str">
        <f>IFERROR(VLOOKUP(B628,'Pre-Summary'!$Y$6:$AC$83, 3,FALSE),"")</f>
        <v/>
      </c>
      <c r="U628" s="45" t="str">
        <f>IFERROR(VLOOKUP(B628,'Pre-Summary'!$Y$6:$AC$83, 4,FALSE),"")</f>
        <v/>
      </c>
      <c r="V628" t="str">
        <f>IFERROR(VLOOKUP(B628,'Pre-Summary'!$Y$6:$AC$83, 5,FALSE),"")</f>
        <v/>
      </c>
      <c r="W628" s="45" t="str">
        <f>IFERROR(VLOOKUP(B628,'Pre-Summary'!$Y$6:$AD$83,6,FALSE),"")</f>
        <v/>
      </c>
      <c r="X628" t="str">
        <f>IFERROR(VLOOKUP('Pre-Summary'!$DB$6:$DD$63,3,FALSE),"")</f>
        <v/>
      </c>
      <c r="Y628" t="str">
        <f>IFERROR(VLOOKUP(B628,'Pre-Summary'!$CR$6:$CT$36,3,FALSE),"")</f>
        <v/>
      </c>
      <c r="Z628" s="45" t="str">
        <f>IFERROR(VLOOKUP(B628,'Pre-Summary'!$BZ$6:$CB$63,2,FALSE),"")</f>
        <v/>
      </c>
      <c r="AA628" s="45" t="str">
        <f>IFERROR(VLOOKUP(B628,'Pre-Summary'!$CG$6:$CI$70,2,FALSE),"")</f>
        <v/>
      </c>
      <c r="AB628" s="99">
        <f>IFERROR(VLOOKUP(B628,'Pre-Summary'!$A$6:$P$178,9,FALSE),AB629)</f>
        <v>0.85539342592592615</v>
      </c>
      <c r="AC628" s="10">
        <f>IFERROR(VLOOKUP(Summary!B628,'Pre-Summary'!$A$6:$P$184,5, FALSE)/100,AC629)</f>
        <v>0.72243166666666658</v>
      </c>
      <c r="AD628" s="10">
        <f>IFERROR(VLOOKUP(Summary!B628,'Pre-Summary'!$A$6:$P$184,3, FALSE)/100,AD629)</f>
        <v>0</v>
      </c>
      <c r="AE628" s="10">
        <f>IFERROR(VLOOKUP(Summary!B628,'Pre-Summary'!$A$6:$P$184,7, FALSE)/100,AE629)</f>
        <v>0.27756833333333331</v>
      </c>
      <c r="AF628" s="99">
        <f t="shared" si="28"/>
        <v>0</v>
      </c>
      <c r="AG628" s="99">
        <f t="shared" si="29"/>
        <v>0.23743012757854942</v>
      </c>
      <c r="AH628" s="10" t="str">
        <f>IFERROR(VLOOKUP(B628,'Pre-Summary'!$AZ$6:$BE$65,3,FALSE),"")</f>
        <v/>
      </c>
      <c r="AI628" s="10" t="str">
        <f>IFERROR(VLOOKUP(B628,'Pre-Summary'!$AZ$6:$BE$65,5,FALSE),"")</f>
        <v/>
      </c>
      <c r="AJ628" s="10" t="str">
        <f>IFERROR(VLOOKUP(B628,'Pre-Summary'!$AZ$6:$BE$65,4,FALSE),"")</f>
        <v/>
      </c>
      <c r="AK628" s="10" t="str">
        <f>IFERROR(VLOOKUP(B628,'Pre-Summary'!$AZ$6:$BE$65,6,FALSE),"")</f>
        <v/>
      </c>
      <c r="AL628" s="10" t="str">
        <f>IFERROR(VLOOKUP(B628,'Pre-Summary'!$BG$6:$BL$44,3,FALSE),"")</f>
        <v/>
      </c>
      <c r="AM628" s="10" t="str">
        <f>IFERROR(VLOOKUP(B628,'Pre-Summary'!$BG$6:$BL$44,4,FALSE),"")</f>
        <v/>
      </c>
    </row>
    <row r="629" spans="2:39" ht="15" customHeight="1" x14ac:dyDescent="0.3">
      <c r="B629">
        <v>62.6</v>
      </c>
      <c r="C629" t="str">
        <f>IFERROR(VLOOKUP(B629,'Pre-Summary'!$DI$6:$DM$23,4,FALSE),"")</f>
        <v/>
      </c>
      <c r="D629" s="10" t="str">
        <f>IFERROR(VLOOKUP(B629,'Pre-Summary'!$AT$6:$AX$14,5,FALSE),D628)</f>
        <v>DSMZ v2: Dropped Na-Ac out of DSMZ 120 media</v>
      </c>
      <c r="E629" s="10" t="str">
        <f>IFERROR(VLOOKUP(B629,'Pre-Summary'!$AT$6:$AX$15,4,FALSE),"")</f>
        <v/>
      </c>
      <c r="F629">
        <f>IFERROR(VLOOKUP(B629,'Pre-Summary'!$AL$6:$AQ$13,6,FALSE),F628)</f>
        <v>5.9405263157894746E-2</v>
      </c>
      <c r="G629" t="str">
        <f>IFERROR(VLOOKUP(B629,'Pre-Summary'!$AE$6:$AJ$85,3,FALSE),"")</f>
        <v/>
      </c>
      <c r="H629" t="str">
        <f>IFERROR(VLOOKUP(B629,'Pre-Summary'!$AE$6:$AJ$85,4,FALSE),"")</f>
        <v/>
      </c>
      <c r="I629" t="str">
        <f>IFERROR(VLOOKUP(B629,'Pre-Summary'!$AE$6:$AJ$85,5,FALSE),"")</f>
        <v/>
      </c>
      <c r="J629" s="45" t="str">
        <f>IFERROR(VLOOKUP(B629,'Pre-Summary'!$AE$6:$AJ$85,6, FALSE),"")</f>
        <v/>
      </c>
      <c r="K629" s="45" t="str">
        <f>IFERROR(VLOOKUP(B629,'Pre-Summary'!$DE$6:$DG$61,3,FALSE),"")</f>
        <v/>
      </c>
      <c r="L629" s="45" t="str">
        <f>IFERROR(VLOOKUP(B629,'Pre-Summary'!$CU$6:$CW$36,3,FALSE),"")</f>
        <v/>
      </c>
      <c r="M629" s="45" t="str">
        <f>IFERROR(VLOOKUP(B629,'Pre-Summary'!$BW$6:$BY$58,2,FALSE),"")</f>
        <v/>
      </c>
      <c r="N629" s="45" t="str">
        <f>IFERROR(VLOOKUP(B629,'Pre-Summary'!$CD$6:$CF$64,2,FALSE),"")</f>
        <v/>
      </c>
      <c r="O629" s="99">
        <f>IFERROR(VLOOKUP(B629,'Pre-Summary'!$BO$6:$BQ$48,3, FALSE),O628)</f>
        <v>0.9</v>
      </c>
      <c r="P629" s="99">
        <f>IFERROR(VLOOKUP(B629,'Pre-Summary'!$BS$6:$BU$35,3,FALSE),P628)</f>
        <v>0.34399999999999997</v>
      </c>
      <c r="Q629" s="54">
        <f t="shared" si="27"/>
        <v>2.6162790697674421</v>
      </c>
      <c r="R629" s="53">
        <f>IFERROR(VLOOKUP(B629,'Pre-Summary'!$BG$6:$BM$44,7,FALSE),R630)</f>
        <v>7.5915763918363535E-2</v>
      </c>
      <c r="S629" s="53">
        <f>IFERROR(VLOOKUP(B629,'Pre-Summary'!$BG$6:$BM$44,6,FALSE),S630)</f>
        <v>5.2897473997019086E-2</v>
      </c>
      <c r="T629" s="45" t="str">
        <f>IFERROR(VLOOKUP(B629,'Pre-Summary'!$Y$6:$AC$83, 3,FALSE),"")</f>
        <v/>
      </c>
      <c r="U629" s="45" t="str">
        <f>IFERROR(VLOOKUP(B629,'Pre-Summary'!$Y$6:$AC$83, 4,FALSE),"")</f>
        <v/>
      </c>
      <c r="V629" t="str">
        <f>IFERROR(VLOOKUP(B629,'Pre-Summary'!$Y$6:$AC$83, 5,FALSE),"")</f>
        <v/>
      </c>
      <c r="W629" s="45" t="str">
        <f>IFERROR(VLOOKUP(B629,'Pre-Summary'!$Y$6:$AD$83,6,FALSE),"")</f>
        <v/>
      </c>
      <c r="X629" t="str">
        <f>IFERROR(VLOOKUP('Pre-Summary'!$DB$6:$DD$63,3,FALSE),"")</f>
        <v/>
      </c>
      <c r="Y629" t="str">
        <f>IFERROR(VLOOKUP(B629,'Pre-Summary'!$CR$6:$CT$36,3,FALSE),"")</f>
        <v/>
      </c>
      <c r="Z629" s="45" t="str">
        <f>IFERROR(VLOOKUP(B629,'Pre-Summary'!$BZ$6:$CB$63,2,FALSE),"")</f>
        <v/>
      </c>
      <c r="AA629" s="45" t="str">
        <f>IFERROR(VLOOKUP(B629,'Pre-Summary'!$CG$6:$CI$70,2,FALSE),"")</f>
        <v/>
      </c>
      <c r="AB629" s="99">
        <f>IFERROR(VLOOKUP(B629,'Pre-Summary'!$A$6:$P$178,9,FALSE),AB630)</f>
        <v>0.85539342592592615</v>
      </c>
      <c r="AC629" s="10">
        <f>IFERROR(VLOOKUP(Summary!B629,'Pre-Summary'!$A$6:$P$184,5, FALSE)/100,AC630)</f>
        <v>0.72243166666666658</v>
      </c>
      <c r="AD629" s="10">
        <f>IFERROR(VLOOKUP(Summary!B629,'Pre-Summary'!$A$6:$P$184,3, FALSE)/100,AD630)</f>
        <v>0</v>
      </c>
      <c r="AE629" s="10">
        <f>IFERROR(VLOOKUP(Summary!B629,'Pre-Summary'!$A$6:$P$184,7, FALSE)/100,AE630)</f>
        <v>0.27756833333333331</v>
      </c>
      <c r="AF629" s="99">
        <f t="shared" si="28"/>
        <v>0</v>
      </c>
      <c r="AG629" s="99">
        <f t="shared" si="29"/>
        <v>0.23743012757854942</v>
      </c>
      <c r="AH629" s="10" t="str">
        <f>IFERROR(VLOOKUP(B629,'Pre-Summary'!$AZ$6:$BE$65,3,FALSE),"")</f>
        <v/>
      </c>
      <c r="AI629" s="10" t="str">
        <f>IFERROR(VLOOKUP(B629,'Pre-Summary'!$AZ$6:$BE$65,5,FALSE),"")</f>
        <v/>
      </c>
      <c r="AJ629" s="10" t="str">
        <f>IFERROR(VLOOKUP(B629,'Pre-Summary'!$AZ$6:$BE$65,4,FALSE),"")</f>
        <v/>
      </c>
      <c r="AK629" s="10" t="str">
        <f>IFERROR(VLOOKUP(B629,'Pre-Summary'!$AZ$6:$BE$65,6,FALSE),"")</f>
        <v/>
      </c>
      <c r="AL629" s="10" t="str">
        <f>IFERROR(VLOOKUP(B629,'Pre-Summary'!$BG$6:$BL$44,3,FALSE),"")</f>
        <v/>
      </c>
      <c r="AM629" s="10" t="str">
        <f>IFERROR(VLOOKUP(B629,'Pre-Summary'!$BG$6:$BL$44,4,FALSE),"")</f>
        <v/>
      </c>
    </row>
    <row r="630" spans="2:39" ht="15" customHeight="1" x14ac:dyDescent="0.3">
      <c r="B630">
        <v>62.7</v>
      </c>
      <c r="C630" t="str">
        <f>IFERROR(VLOOKUP(B630,'Pre-Summary'!$DI$6:$DM$23,4,FALSE),"")</f>
        <v/>
      </c>
      <c r="D630" s="10" t="str">
        <f>IFERROR(VLOOKUP(B630,'Pre-Summary'!$AT$6:$AX$14,5,FALSE),D629)</f>
        <v>DSMZ v2: Dropped Na-Ac out of DSMZ 120 media</v>
      </c>
      <c r="E630" s="10" t="str">
        <f>IFERROR(VLOOKUP(B630,'Pre-Summary'!$AT$6:$AX$15,4,FALSE),"")</f>
        <v/>
      </c>
      <c r="F630">
        <f>IFERROR(VLOOKUP(B630,'Pre-Summary'!$AL$6:$AQ$13,6,FALSE),F629)</f>
        <v>5.9405263157894746E-2</v>
      </c>
      <c r="G630" t="str">
        <f>IFERROR(VLOOKUP(B630,'Pre-Summary'!$AE$6:$AJ$85,3,FALSE),"")</f>
        <v/>
      </c>
      <c r="H630" t="str">
        <f>IFERROR(VLOOKUP(B630,'Pre-Summary'!$AE$6:$AJ$85,4,FALSE),"")</f>
        <v/>
      </c>
      <c r="I630" t="str">
        <f>IFERROR(VLOOKUP(B630,'Pre-Summary'!$AE$6:$AJ$85,5,FALSE),"")</f>
        <v/>
      </c>
      <c r="J630" s="45" t="str">
        <f>IFERROR(VLOOKUP(B630,'Pre-Summary'!$AE$6:$AJ$85,6, FALSE),"")</f>
        <v/>
      </c>
      <c r="K630" s="45" t="str">
        <f>IFERROR(VLOOKUP(B630,'Pre-Summary'!$DE$6:$DG$61,3,FALSE),"")</f>
        <v/>
      </c>
      <c r="L630" s="45" t="str">
        <f>IFERROR(VLOOKUP(B630,'Pre-Summary'!$CU$6:$CW$36,3,FALSE),"")</f>
        <v/>
      </c>
      <c r="M630" s="45" t="str">
        <f>IFERROR(VLOOKUP(B630,'Pre-Summary'!$BW$6:$BY$58,2,FALSE),"")</f>
        <v/>
      </c>
      <c r="N630" s="45" t="str">
        <f>IFERROR(VLOOKUP(B630,'Pre-Summary'!$CD$6:$CF$64,2,FALSE),"")</f>
        <v/>
      </c>
      <c r="O630" s="99">
        <f>IFERROR(VLOOKUP(B630,'Pre-Summary'!$BO$6:$BQ$48,3, FALSE),O629)</f>
        <v>0.9</v>
      </c>
      <c r="P630" s="99">
        <f>IFERROR(VLOOKUP(B630,'Pre-Summary'!$BS$6:$BU$35,3,FALSE),P629)</f>
        <v>0.34399999999999997</v>
      </c>
      <c r="Q630" s="54">
        <f t="shared" si="27"/>
        <v>2.6162790697674421</v>
      </c>
      <c r="R630" s="53">
        <f>IFERROR(VLOOKUP(B630,'Pre-Summary'!$BG$6:$BM$44,7,FALSE),R631)</f>
        <v>7.5915763918363535E-2</v>
      </c>
      <c r="S630" s="53">
        <f>IFERROR(VLOOKUP(B630,'Pre-Summary'!$BG$6:$BM$44,6,FALSE),S631)</f>
        <v>5.2897473997019086E-2</v>
      </c>
      <c r="T630" s="45" t="str">
        <f>IFERROR(VLOOKUP(B630,'Pre-Summary'!$Y$6:$AC$83, 3,FALSE),"")</f>
        <v/>
      </c>
      <c r="U630" s="45" t="str">
        <f>IFERROR(VLOOKUP(B630,'Pre-Summary'!$Y$6:$AC$83, 4,FALSE),"")</f>
        <v/>
      </c>
      <c r="V630" t="str">
        <f>IFERROR(VLOOKUP(B630,'Pre-Summary'!$Y$6:$AC$83, 5,FALSE),"")</f>
        <v/>
      </c>
      <c r="W630" s="45" t="str">
        <f>IFERROR(VLOOKUP(B630,'Pre-Summary'!$Y$6:$AD$83,6,FALSE),"")</f>
        <v/>
      </c>
      <c r="X630" t="str">
        <f>IFERROR(VLOOKUP('Pre-Summary'!$DB$6:$DD$63,3,FALSE),"")</f>
        <v/>
      </c>
      <c r="Y630" t="str">
        <f>IFERROR(VLOOKUP(B630,'Pre-Summary'!$CR$6:$CT$36,3,FALSE),"")</f>
        <v/>
      </c>
      <c r="Z630" s="45" t="str">
        <f>IFERROR(VLOOKUP(B630,'Pre-Summary'!$BZ$6:$CB$63,2,FALSE),"")</f>
        <v/>
      </c>
      <c r="AA630" s="45" t="str">
        <f>IFERROR(VLOOKUP(B630,'Pre-Summary'!$CG$6:$CI$70,2,FALSE),"")</f>
        <v/>
      </c>
      <c r="AB630" s="99">
        <f>IFERROR(VLOOKUP(B630,'Pre-Summary'!$A$6:$P$178,9,FALSE),AB631)</f>
        <v>0.85539342592592615</v>
      </c>
      <c r="AC630" s="10">
        <f>IFERROR(VLOOKUP(Summary!B630,'Pre-Summary'!$A$6:$P$184,5, FALSE)/100,AC631)</f>
        <v>0.72243166666666658</v>
      </c>
      <c r="AD630" s="10">
        <f>IFERROR(VLOOKUP(Summary!B630,'Pre-Summary'!$A$6:$P$184,3, FALSE)/100,AD631)</f>
        <v>0</v>
      </c>
      <c r="AE630" s="10">
        <f>IFERROR(VLOOKUP(Summary!B630,'Pre-Summary'!$A$6:$P$184,7, FALSE)/100,AE631)</f>
        <v>0.27756833333333331</v>
      </c>
      <c r="AF630" s="99">
        <f t="shared" si="28"/>
        <v>0</v>
      </c>
      <c r="AG630" s="99">
        <f t="shared" si="29"/>
        <v>0.23743012757854942</v>
      </c>
      <c r="AH630" s="10" t="str">
        <f>IFERROR(VLOOKUP(B630,'Pre-Summary'!$AZ$6:$BE$65,3,FALSE),"")</f>
        <v/>
      </c>
      <c r="AI630" s="10" t="str">
        <f>IFERROR(VLOOKUP(B630,'Pre-Summary'!$AZ$6:$BE$65,5,FALSE),"")</f>
        <v/>
      </c>
      <c r="AJ630" s="10" t="str">
        <f>IFERROR(VLOOKUP(B630,'Pre-Summary'!$AZ$6:$BE$65,4,FALSE),"")</f>
        <v/>
      </c>
      <c r="AK630" s="10" t="str">
        <f>IFERROR(VLOOKUP(B630,'Pre-Summary'!$AZ$6:$BE$65,6,FALSE),"")</f>
        <v/>
      </c>
      <c r="AL630" s="10" t="str">
        <f>IFERROR(VLOOKUP(B630,'Pre-Summary'!$BG$6:$BL$44,3,FALSE),"")</f>
        <v/>
      </c>
      <c r="AM630" s="10" t="str">
        <f>IFERROR(VLOOKUP(B630,'Pre-Summary'!$BG$6:$BL$44,4,FALSE),"")</f>
        <v/>
      </c>
    </row>
    <row r="631" spans="2:39" ht="15" customHeight="1" x14ac:dyDescent="0.3">
      <c r="B631">
        <v>62.8</v>
      </c>
      <c r="C631" t="str">
        <f>IFERROR(VLOOKUP(B631,'Pre-Summary'!$DI$6:$DM$23,4,FALSE),"")</f>
        <v/>
      </c>
      <c r="D631" s="10" t="str">
        <f>IFERROR(VLOOKUP(B631,'Pre-Summary'!$AT$6:$AX$14,5,FALSE),D630)</f>
        <v>DSMZ v2: Dropped Na-Ac out of DSMZ 120 media</v>
      </c>
      <c r="E631" s="10" t="str">
        <f>IFERROR(VLOOKUP(B631,'Pre-Summary'!$AT$6:$AX$15,4,FALSE),"")</f>
        <v/>
      </c>
      <c r="F631">
        <f>IFERROR(VLOOKUP(B631,'Pre-Summary'!$AL$6:$AQ$13,6,FALSE),F630)</f>
        <v>5.9405263157894746E-2</v>
      </c>
      <c r="G631" t="str">
        <f>IFERROR(VLOOKUP(B631,'Pre-Summary'!$AE$6:$AJ$85,3,FALSE),"")</f>
        <v/>
      </c>
      <c r="H631" t="str">
        <f>IFERROR(VLOOKUP(B631,'Pre-Summary'!$AE$6:$AJ$85,4,FALSE),"")</f>
        <v/>
      </c>
      <c r="I631" t="str">
        <f>IFERROR(VLOOKUP(B631,'Pre-Summary'!$AE$6:$AJ$85,5,FALSE),"")</f>
        <v/>
      </c>
      <c r="J631" s="45" t="str">
        <f>IFERROR(VLOOKUP(B631,'Pre-Summary'!$AE$6:$AJ$85,6, FALSE),"")</f>
        <v/>
      </c>
      <c r="K631" s="45" t="str">
        <f>IFERROR(VLOOKUP(B631,'Pre-Summary'!$DE$6:$DG$61,3,FALSE),"")</f>
        <v/>
      </c>
      <c r="L631" s="45" t="str">
        <f>IFERROR(VLOOKUP(B631,'Pre-Summary'!$CU$6:$CW$36,3,FALSE),"")</f>
        <v/>
      </c>
      <c r="M631" s="45" t="str">
        <f>IFERROR(VLOOKUP(B631,'Pre-Summary'!$BW$6:$BY$58,2,FALSE),"")</f>
        <v/>
      </c>
      <c r="N631" s="45" t="str">
        <f>IFERROR(VLOOKUP(B631,'Pre-Summary'!$CD$6:$CF$64,2,FALSE),"")</f>
        <v/>
      </c>
      <c r="O631" s="99">
        <f>IFERROR(VLOOKUP(B631,'Pre-Summary'!$BO$6:$BQ$48,3, FALSE),O630)</f>
        <v>0.9</v>
      </c>
      <c r="P631" s="99">
        <f>IFERROR(VLOOKUP(B631,'Pre-Summary'!$BS$6:$BU$35,3,FALSE),P630)</f>
        <v>0.34399999999999997</v>
      </c>
      <c r="Q631" s="54">
        <f t="shared" si="27"/>
        <v>2.6162790697674421</v>
      </c>
      <c r="R631" s="53">
        <f>IFERROR(VLOOKUP(B631,'Pre-Summary'!$BG$6:$BM$44,7,FALSE),R632)</f>
        <v>7.5915763918363535E-2</v>
      </c>
      <c r="S631" s="53">
        <f>IFERROR(VLOOKUP(B631,'Pre-Summary'!$BG$6:$BM$44,6,FALSE),S632)</f>
        <v>5.2897473997019086E-2</v>
      </c>
      <c r="T631" s="45" t="str">
        <f>IFERROR(VLOOKUP(B631,'Pre-Summary'!$Y$6:$AC$83, 3,FALSE),"")</f>
        <v/>
      </c>
      <c r="U631" s="45" t="str">
        <f>IFERROR(VLOOKUP(B631,'Pre-Summary'!$Y$6:$AC$83, 4,FALSE),"")</f>
        <v/>
      </c>
      <c r="V631" t="str">
        <f>IFERROR(VLOOKUP(B631,'Pre-Summary'!$Y$6:$AC$83, 5,FALSE),"")</f>
        <v/>
      </c>
      <c r="W631" s="45" t="str">
        <f>IFERROR(VLOOKUP(B631,'Pre-Summary'!$Y$6:$AD$83,6,FALSE),"")</f>
        <v/>
      </c>
      <c r="X631" t="str">
        <f>IFERROR(VLOOKUP('Pre-Summary'!$DB$6:$DD$63,3,FALSE),"")</f>
        <v/>
      </c>
      <c r="Y631" t="str">
        <f>IFERROR(VLOOKUP(B631,'Pre-Summary'!$CR$6:$CT$36,3,FALSE),"")</f>
        <v/>
      </c>
      <c r="Z631" s="45" t="str">
        <f>IFERROR(VLOOKUP(B631,'Pre-Summary'!$BZ$6:$CB$63,2,FALSE),"")</f>
        <v/>
      </c>
      <c r="AA631" s="45" t="str">
        <f>IFERROR(VLOOKUP(B631,'Pre-Summary'!$CG$6:$CI$70,2,FALSE),"")</f>
        <v/>
      </c>
      <c r="AB631" s="99">
        <f>IFERROR(VLOOKUP(B631,'Pre-Summary'!$A$6:$P$178,9,FALSE),AB632)</f>
        <v>0.85539342592592615</v>
      </c>
      <c r="AC631" s="10">
        <f>IFERROR(VLOOKUP(Summary!B631,'Pre-Summary'!$A$6:$P$184,5, FALSE)/100,AC632)</f>
        <v>0.72243166666666658</v>
      </c>
      <c r="AD631" s="10">
        <f>IFERROR(VLOOKUP(Summary!B631,'Pre-Summary'!$A$6:$P$184,3, FALSE)/100,AD632)</f>
        <v>0</v>
      </c>
      <c r="AE631" s="10">
        <f>IFERROR(VLOOKUP(Summary!B631,'Pre-Summary'!$A$6:$P$184,7, FALSE)/100,AE632)</f>
        <v>0.27756833333333331</v>
      </c>
      <c r="AF631" s="99">
        <f t="shared" si="28"/>
        <v>0</v>
      </c>
      <c r="AG631" s="99">
        <f t="shared" si="29"/>
        <v>0.23743012757854942</v>
      </c>
      <c r="AH631" s="10" t="str">
        <f>IFERROR(VLOOKUP(B631,'Pre-Summary'!$AZ$6:$BE$65,3,FALSE),"")</f>
        <v/>
      </c>
      <c r="AI631" s="10" t="str">
        <f>IFERROR(VLOOKUP(B631,'Pre-Summary'!$AZ$6:$BE$65,5,FALSE),"")</f>
        <v/>
      </c>
      <c r="AJ631" s="10" t="str">
        <f>IFERROR(VLOOKUP(B631,'Pre-Summary'!$AZ$6:$BE$65,4,FALSE),"")</f>
        <v/>
      </c>
      <c r="AK631" s="10" t="str">
        <f>IFERROR(VLOOKUP(B631,'Pre-Summary'!$AZ$6:$BE$65,6,FALSE),"")</f>
        <v/>
      </c>
      <c r="AL631" s="10" t="str">
        <f>IFERROR(VLOOKUP(B631,'Pre-Summary'!$BG$6:$BL$44,3,FALSE),"")</f>
        <v/>
      </c>
      <c r="AM631" s="10" t="str">
        <f>IFERROR(VLOOKUP(B631,'Pre-Summary'!$BG$6:$BL$44,4,FALSE),"")</f>
        <v/>
      </c>
    </row>
    <row r="632" spans="2:39" ht="15" customHeight="1" x14ac:dyDescent="0.3">
      <c r="B632">
        <v>62.9</v>
      </c>
      <c r="C632" t="str">
        <f>IFERROR(VLOOKUP(B632,'Pre-Summary'!$DI$6:$DM$23,4,FALSE),"")</f>
        <v/>
      </c>
      <c r="D632" s="10" t="str">
        <f>IFERROR(VLOOKUP(B632,'Pre-Summary'!$AT$6:$AX$14,5,FALSE),D631)</f>
        <v>DSMZ v2: Dropped Na-Ac out of DSMZ 120 media</v>
      </c>
      <c r="E632" s="10" t="str">
        <f>IFERROR(VLOOKUP(B632,'Pre-Summary'!$AT$6:$AX$15,4,FALSE),"")</f>
        <v/>
      </c>
      <c r="F632">
        <f>IFERROR(VLOOKUP(B632,'Pre-Summary'!$AL$6:$AQ$13,6,FALSE),F631)</f>
        <v>5.9405263157894746E-2</v>
      </c>
      <c r="G632" t="str">
        <f>IFERROR(VLOOKUP(B632,'Pre-Summary'!$AE$6:$AJ$85,3,FALSE),"")</f>
        <v/>
      </c>
      <c r="H632" t="str">
        <f>IFERROR(VLOOKUP(B632,'Pre-Summary'!$AE$6:$AJ$85,4,FALSE),"")</f>
        <v/>
      </c>
      <c r="I632" t="str">
        <f>IFERROR(VLOOKUP(B632,'Pre-Summary'!$AE$6:$AJ$85,5,FALSE),"")</f>
        <v/>
      </c>
      <c r="J632" s="45" t="str">
        <f>IFERROR(VLOOKUP(B632,'Pre-Summary'!$AE$6:$AJ$85,6, FALSE),"")</f>
        <v/>
      </c>
      <c r="K632" s="45" t="str">
        <f>IFERROR(VLOOKUP(B632,'Pre-Summary'!$DE$6:$DG$61,3,FALSE),"")</f>
        <v/>
      </c>
      <c r="L632" s="45" t="str">
        <f>IFERROR(VLOOKUP(B632,'Pre-Summary'!$CU$6:$CW$36,3,FALSE),"")</f>
        <v/>
      </c>
      <c r="M632" s="45" t="str">
        <f>IFERROR(VLOOKUP(B632,'Pre-Summary'!$BW$6:$BY$58,2,FALSE),"")</f>
        <v/>
      </c>
      <c r="N632" s="45" t="str">
        <f>IFERROR(VLOOKUP(B632,'Pre-Summary'!$CD$6:$CF$64,2,FALSE),"")</f>
        <v/>
      </c>
      <c r="O632" s="99">
        <f>IFERROR(VLOOKUP(B632,'Pre-Summary'!$BO$6:$BQ$48,3, FALSE),O631)</f>
        <v>0.9</v>
      </c>
      <c r="P632" s="99">
        <f>IFERROR(VLOOKUP(B632,'Pre-Summary'!$BS$6:$BU$35,3,FALSE),P631)</f>
        <v>0.34399999999999997</v>
      </c>
      <c r="Q632" s="54">
        <f t="shared" si="27"/>
        <v>2.6162790697674421</v>
      </c>
      <c r="R632" s="53">
        <f>IFERROR(VLOOKUP(B632,'Pre-Summary'!$BG$6:$BM$44,7,FALSE),R633)</f>
        <v>7.5915763918363535E-2</v>
      </c>
      <c r="S632" s="53">
        <f>IFERROR(VLOOKUP(B632,'Pre-Summary'!$BG$6:$BM$44,6,FALSE),S633)</f>
        <v>5.2897473997019086E-2</v>
      </c>
      <c r="T632" s="45" t="str">
        <f>IFERROR(VLOOKUP(B632,'Pre-Summary'!$Y$6:$AC$83, 3,FALSE),"")</f>
        <v/>
      </c>
      <c r="U632" s="45" t="str">
        <f>IFERROR(VLOOKUP(B632,'Pre-Summary'!$Y$6:$AC$83, 4,FALSE),"")</f>
        <v/>
      </c>
      <c r="V632" t="str">
        <f>IFERROR(VLOOKUP(B632,'Pre-Summary'!$Y$6:$AC$83, 5,FALSE),"")</f>
        <v/>
      </c>
      <c r="W632" s="45" t="str">
        <f>IFERROR(VLOOKUP(B632,'Pre-Summary'!$Y$6:$AD$83,6,FALSE),"")</f>
        <v/>
      </c>
      <c r="X632" t="str">
        <f>IFERROR(VLOOKUP('Pre-Summary'!$DB$6:$DD$63,3,FALSE),"")</f>
        <v/>
      </c>
      <c r="Y632" t="str">
        <f>IFERROR(VLOOKUP(B632,'Pre-Summary'!$CR$6:$CT$36,3,FALSE),"")</f>
        <v/>
      </c>
      <c r="Z632" s="45" t="str">
        <f>IFERROR(VLOOKUP(B632,'Pre-Summary'!$BZ$6:$CB$63,2,FALSE),"")</f>
        <v/>
      </c>
      <c r="AA632" s="45" t="str">
        <f>IFERROR(VLOOKUP(B632,'Pre-Summary'!$CG$6:$CI$70,2,FALSE),"")</f>
        <v/>
      </c>
      <c r="AB632" s="99">
        <f>IFERROR(VLOOKUP(B632,'Pre-Summary'!$A$6:$P$178,9,FALSE),AB633)</f>
        <v>0.85539342592592615</v>
      </c>
      <c r="AC632" s="10">
        <f>IFERROR(VLOOKUP(Summary!B632,'Pre-Summary'!$A$6:$P$184,5, FALSE)/100,AC633)</f>
        <v>0.72243166666666658</v>
      </c>
      <c r="AD632" s="10">
        <f>IFERROR(VLOOKUP(Summary!B632,'Pre-Summary'!$A$6:$P$184,3, FALSE)/100,AD633)</f>
        <v>0</v>
      </c>
      <c r="AE632" s="10">
        <f>IFERROR(VLOOKUP(Summary!B632,'Pre-Summary'!$A$6:$P$184,7, FALSE)/100,AE633)</f>
        <v>0.27756833333333331</v>
      </c>
      <c r="AF632" s="99">
        <f t="shared" si="28"/>
        <v>0</v>
      </c>
      <c r="AG632" s="99">
        <f t="shared" si="29"/>
        <v>0.23743012757854942</v>
      </c>
      <c r="AH632" s="10" t="str">
        <f>IFERROR(VLOOKUP(B632,'Pre-Summary'!$AZ$6:$BE$65,3,FALSE),"")</f>
        <v/>
      </c>
      <c r="AI632" s="10" t="str">
        <f>IFERROR(VLOOKUP(B632,'Pre-Summary'!$AZ$6:$BE$65,5,FALSE),"")</f>
        <v/>
      </c>
      <c r="AJ632" s="10" t="str">
        <f>IFERROR(VLOOKUP(B632,'Pre-Summary'!$AZ$6:$BE$65,4,FALSE),"")</f>
        <v/>
      </c>
      <c r="AK632" s="10" t="str">
        <f>IFERROR(VLOOKUP(B632,'Pre-Summary'!$AZ$6:$BE$65,6,FALSE),"")</f>
        <v/>
      </c>
      <c r="AL632" s="10" t="str">
        <f>IFERROR(VLOOKUP(B632,'Pre-Summary'!$BG$6:$BL$44,3,FALSE),"")</f>
        <v/>
      </c>
      <c r="AM632" s="10" t="str">
        <f>IFERROR(VLOOKUP(B632,'Pre-Summary'!$BG$6:$BL$44,4,FALSE),"")</f>
        <v/>
      </c>
    </row>
    <row r="633" spans="2:39" ht="15" customHeight="1" x14ac:dyDescent="0.3">
      <c r="B633">
        <v>63</v>
      </c>
      <c r="C633" t="str">
        <f>IFERROR(VLOOKUP(B633,'Pre-Summary'!$DI$6:$DM$23,4,FALSE),"")</f>
        <v/>
      </c>
      <c r="D633" s="10" t="str">
        <f>IFERROR(VLOOKUP(B633,'Pre-Summary'!$AT$6:$AX$14,5,FALSE),D632)</f>
        <v>DSMZ v2: Dropped Na-Ac out of DSMZ 120 media</v>
      </c>
      <c r="E633" s="10" t="str">
        <f>IFERROR(VLOOKUP(B633,'Pre-Summary'!$AT$6:$AX$15,4,FALSE),"")</f>
        <v/>
      </c>
      <c r="F633">
        <f>IFERROR(VLOOKUP(B633,'Pre-Summary'!$AL$6:$AQ$13,6,FALSE),F632)</f>
        <v>5.9405263157894746E-2</v>
      </c>
      <c r="G633" t="str">
        <f>IFERROR(VLOOKUP(B633,'Pre-Summary'!$AE$6:$AJ$85,3,FALSE),"")</f>
        <v/>
      </c>
      <c r="H633" t="str">
        <f>IFERROR(VLOOKUP(B633,'Pre-Summary'!$AE$6:$AJ$85,4,FALSE),"")</f>
        <v/>
      </c>
      <c r="I633" t="str">
        <f>IFERROR(VLOOKUP(B633,'Pre-Summary'!$AE$6:$AJ$85,5,FALSE),"")</f>
        <v/>
      </c>
      <c r="J633" s="45" t="str">
        <f>IFERROR(VLOOKUP(B633,'Pre-Summary'!$AE$6:$AJ$85,6, FALSE),"")</f>
        <v/>
      </c>
      <c r="K633" s="45" t="str">
        <f>IFERROR(VLOOKUP(B633,'Pre-Summary'!$DE$6:$DG$61,3,FALSE),"")</f>
        <v/>
      </c>
      <c r="L633" s="45" t="str">
        <f>IFERROR(VLOOKUP(B633,'Pre-Summary'!$CU$6:$CW$36,3,FALSE),"")</f>
        <v/>
      </c>
      <c r="M633" s="45" t="str">
        <f>IFERROR(VLOOKUP(B633,'Pre-Summary'!$BW$6:$BY$58,2,FALSE),"")</f>
        <v/>
      </c>
      <c r="N633" s="45" t="str">
        <f>IFERROR(VLOOKUP(B633,'Pre-Summary'!$CD$6:$CF$64,2,FALSE),"")</f>
        <v/>
      </c>
      <c r="O633" s="99">
        <f>IFERROR(VLOOKUP(B633,'Pre-Summary'!$BO$6:$BQ$48,3, FALSE),O632)</f>
        <v>0.9</v>
      </c>
      <c r="P633" s="99">
        <f>IFERROR(VLOOKUP(B633,'Pre-Summary'!$BS$6:$BU$35,3,FALSE),P632)</f>
        <v>0.34399999999999997</v>
      </c>
      <c r="Q633" s="54">
        <f t="shared" si="27"/>
        <v>2.6162790697674421</v>
      </c>
      <c r="R633" s="53">
        <f>IFERROR(VLOOKUP(B633,'Pre-Summary'!$BG$6:$BM$44,7,FALSE),R634)</f>
        <v>7.5915763918363535E-2</v>
      </c>
      <c r="S633" s="53">
        <f>IFERROR(VLOOKUP(B633,'Pre-Summary'!$BG$6:$BM$44,6,FALSE),S634)</f>
        <v>5.2897473997019086E-2</v>
      </c>
      <c r="T633" s="45" t="str">
        <f>IFERROR(VLOOKUP(B633,'Pre-Summary'!$Y$6:$AC$83, 3,FALSE),"")</f>
        <v/>
      </c>
      <c r="U633" s="45" t="str">
        <f>IFERROR(VLOOKUP(B633,'Pre-Summary'!$Y$6:$AC$83, 4,FALSE),"")</f>
        <v/>
      </c>
      <c r="V633" t="str">
        <f>IFERROR(VLOOKUP(B633,'Pre-Summary'!$Y$6:$AC$83, 5,FALSE),"")</f>
        <v/>
      </c>
      <c r="W633" s="45" t="str">
        <f>IFERROR(VLOOKUP(B633,'Pre-Summary'!$Y$6:$AD$83,6,FALSE),"")</f>
        <v/>
      </c>
      <c r="X633" t="str">
        <f>IFERROR(VLOOKUP('Pre-Summary'!$DB$6:$DD$63,3,FALSE),"")</f>
        <v/>
      </c>
      <c r="Y633" t="str">
        <f>IFERROR(VLOOKUP(B633,'Pre-Summary'!$CR$6:$CT$36,3,FALSE),"")</f>
        <v/>
      </c>
      <c r="Z633" s="45" t="str">
        <f>IFERROR(VLOOKUP(B633,'Pre-Summary'!$BZ$6:$CB$63,2,FALSE),"")</f>
        <v/>
      </c>
      <c r="AA633" s="45" t="str">
        <f>IFERROR(VLOOKUP(B633,'Pre-Summary'!$CG$6:$CI$70,2,FALSE),"")</f>
        <v/>
      </c>
      <c r="AB633" s="99">
        <f>IFERROR(VLOOKUP(B633,'Pre-Summary'!$A$6:$P$178,9,FALSE),AB634)</f>
        <v>0.85539342592592615</v>
      </c>
      <c r="AC633" s="10">
        <f>IFERROR(VLOOKUP(Summary!B633,'Pre-Summary'!$A$6:$P$184,5, FALSE)/100,AC634)</f>
        <v>0.72243166666666658</v>
      </c>
      <c r="AD633" s="10">
        <f>IFERROR(VLOOKUP(Summary!B633,'Pre-Summary'!$A$6:$P$184,3, FALSE)/100,AD634)</f>
        <v>0</v>
      </c>
      <c r="AE633" s="10">
        <f>IFERROR(VLOOKUP(Summary!B633,'Pre-Summary'!$A$6:$P$184,7, FALSE)/100,AE634)</f>
        <v>0.27756833333333331</v>
      </c>
      <c r="AF633" s="99">
        <f t="shared" si="28"/>
        <v>0</v>
      </c>
      <c r="AG633" s="99">
        <f t="shared" si="29"/>
        <v>0.23743012757854942</v>
      </c>
      <c r="AH633" s="10" t="str">
        <f>IFERROR(VLOOKUP(B633,'Pre-Summary'!$AZ$6:$BE$65,3,FALSE),"")</f>
        <v/>
      </c>
      <c r="AI633" s="10" t="str">
        <f>IFERROR(VLOOKUP(B633,'Pre-Summary'!$AZ$6:$BE$65,5,FALSE),"")</f>
        <v/>
      </c>
      <c r="AJ633" s="10" t="str">
        <f>IFERROR(VLOOKUP(B633,'Pre-Summary'!$AZ$6:$BE$65,4,FALSE),"")</f>
        <v/>
      </c>
      <c r="AK633" s="10" t="str">
        <f>IFERROR(VLOOKUP(B633,'Pre-Summary'!$AZ$6:$BE$65,6,FALSE),"")</f>
        <v/>
      </c>
      <c r="AL633" s="10" t="str">
        <f>IFERROR(VLOOKUP(B633,'Pre-Summary'!$BG$6:$BL$44,3,FALSE),"")</f>
        <v/>
      </c>
      <c r="AM633" s="10" t="str">
        <f>IFERROR(VLOOKUP(B633,'Pre-Summary'!$BG$6:$BL$44,4,FALSE),"")</f>
        <v/>
      </c>
    </row>
    <row r="634" spans="2:39" ht="15" customHeight="1" x14ac:dyDescent="0.3">
      <c r="B634">
        <v>63.1</v>
      </c>
      <c r="C634" t="str">
        <f>IFERROR(VLOOKUP(B634,'Pre-Summary'!$DI$6:$DM$23,4,FALSE),"")</f>
        <v/>
      </c>
      <c r="D634" s="10" t="str">
        <f>IFERROR(VLOOKUP(B634,'Pre-Summary'!$AT$6:$AX$14,5,FALSE),D633)</f>
        <v>DSMZ v2: Dropped Na-Ac out of DSMZ 120 media</v>
      </c>
      <c r="E634" s="10" t="str">
        <f>IFERROR(VLOOKUP(B634,'Pre-Summary'!$AT$6:$AX$15,4,FALSE),"")</f>
        <v/>
      </c>
      <c r="F634">
        <f>IFERROR(VLOOKUP(B634,'Pre-Summary'!$AL$6:$AQ$13,6,FALSE),F633)</f>
        <v>5.9405263157894746E-2</v>
      </c>
      <c r="G634" t="str">
        <f>IFERROR(VLOOKUP(B634,'Pre-Summary'!$AE$6:$AJ$85,3,FALSE),"")</f>
        <v/>
      </c>
      <c r="H634" t="str">
        <f>IFERROR(VLOOKUP(B634,'Pre-Summary'!$AE$6:$AJ$85,4,FALSE),"")</f>
        <v/>
      </c>
      <c r="I634" t="str">
        <f>IFERROR(VLOOKUP(B634,'Pre-Summary'!$AE$6:$AJ$85,5,FALSE),"")</f>
        <v/>
      </c>
      <c r="J634" s="45" t="str">
        <f>IFERROR(VLOOKUP(B634,'Pre-Summary'!$AE$6:$AJ$85,6, FALSE),"")</f>
        <v/>
      </c>
      <c r="K634" s="45" t="str">
        <f>IFERROR(VLOOKUP(B634,'Pre-Summary'!$DE$6:$DG$61,3,FALSE),"")</f>
        <v/>
      </c>
      <c r="L634" s="45" t="str">
        <f>IFERROR(VLOOKUP(B634,'Pre-Summary'!$CU$6:$CW$36,3,FALSE),"")</f>
        <v/>
      </c>
      <c r="M634" s="45" t="str">
        <f>IFERROR(VLOOKUP(B634,'Pre-Summary'!$BW$6:$BY$58,2,FALSE),"")</f>
        <v/>
      </c>
      <c r="N634" s="45" t="str">
        <f>IFERROR(VLOOKUP(B634,'Pre-Summary'!$CD$6:$CF$64,2,FALSE),"")</f>
        <v/>
      </c>
      <c r="O634" s="99">
        <f>IFERROR(VLOOKUP(B634,'Pre-Summary'!$BO$6:$BQ$48,3, FALSE),O633)</f>
        <v>0.9</v>
      </c>
      <c r="P634" s="99">
        <f>IFERROR(VLOOKUP(B634,'Pre-Summary'!$BS$6:$BU$35,3,FALSE),P633)</f>
        <v>0.34399999999999997</v>
      </c>
      <c r="Q634" s="54">
        <f t="shared" si="27"/>
        <v>2.6162790697674421</v>
      </c>
      <c r="R634" s="53">
        <f>IFERROR(VLOOKUP(B634,'Pre-Summary'!$BG$6:$BM$44,7,FALSE),R635)</f>
        <v>7.5915763918363535E-2</v>
      </c>
      <c r="S634" s="53">
        <f>IFERROR(VLOOKUP(B634,'Pre-Summary'!$BG$6:$BM$44,6,FALSE),S635)</f>
        <v>5.2897473997019086E-2</v>
      </c>
      <c r="T634" s="45" t="str">
        <f>IFERROR(VLOOKUP(B634,'Pre-Summary'!$Y$6:$AC$83, 3,FALSE),"")</f>
        <v/>
      </c>
      <c r="U634" s="45" t="str">
        <f>IFERROR(VLOOKUP(B634,'Pre-Summary'!$Y$6:$AC$83, 4,FALSE),"")</f>
        <v/>
      </c>
      <c r="V634" t="str">
        <f>IFERROR(VLOOKUP(B634,'Pre-Summary'!$Y$6:$AC$83, 5,FALSE),"")</f>
        <v/>
      </c>
      <c r="W634" s="45" t="str">
        <f>IFERROR(VLOOKUP(B634,'Pre-Summary'!$Y$6:$AD$83,6,FALSE),"")</f>
        <v/>
      </c>
      <c r="X634" t="str">
        <f>IFERROR(VLOOKUP('Pre-Summary'!$DB$6:$DD$63,3,FALSE),"")</f>
        <v/>
      </c>
      <c r="Y634" t="str">
        <f>IFERROR(VLOOKUP(B634,'Pre-Summary'!$CR$6:$CT$36,3,FALSE),"")</f>
        <v/>
      </c>
      <c r="Z634" s="45" t="str">
        <f>IFERROR(VLOOKUP(B634,'Pre-Summary'!$BZ$6:$CB$63,2,FALSE),"")</f>
        <v/>
      </c>
      <c r="AA634" s="45" t="str">
        <f>IFERROR(VLOOKUP(B634,'Pre-Summary'!$CG$6:$CI$70,2,FALSE),"")</f>
        <v/>
      </c>
      <c r="AB634" s="99">
        <f>IFERROR(VLOOKUP(B634,'Pre-Summary'!$A$6:$P$178,9,FALSE),AB635)</f>
        <v>0.85539342592592615</v>
      </c>
      <c r="AC634" s="10">
        <f>IFERROR(VLOOKUP(Summary!B634,'Pre-Summary'!$A$6:$P$184,5, FALSE)/100,AC635)</f>
        <v>0.72243166666666658</v>
      </c>
      <c r="AD634" s="10">
        <f>IFERROR(VLOOKUP(Summary!B634,'Pre-Summary'!$A$6:$P$184,3, FALSE)/100,AD635)</f>
        <v>0</v>
      </c>
      <c r="AE634" s="10">
        <f>IFERROR(VLOOKUP(Summary!B634,'Pre-Summary'!$A$6:$P$184,7, FALSE)/100,AE635)</f>
        <v>0.27756833333333331</v>
      </c>
      <c r="AF634" s="99">
        <f t="shared" si="28"/>
        <v>0</v>
      </c>
      <c r="AG634" s="99">
        <f t="shared" si="29"/>
        <v>0.23743012757854942</v>
      </c>
      <c r="AH634" s="10" t="str">
        <f>IFERROR(VLOOKUP(B634,'Pre-Summary'!$AZ$6:$BE$65,3,FALSE),"")</f>
        <v/>
      </c>
      <c r="AI634" s="10" t="str">
        <f>IFERROR(VLOOKUP(B634,'Pre-Summary'!$AZ$6:$BE$65,5,FALSE),"")</f>
        <v/>
      </c>
      <c r="AJ634" s="10" t="str">
        <f>IFERROR(VLOOKUP(B634,'Pre-Summary'!$AZ$6:$BE$65,4,FALSE),"")</f>
        <v/>
      </c>
      <c r="AK634" s="10" t="str">
        <f>IFERROR(VLOOKUP(B634,'Pre-Summary'!$AZ$6:$BE$65,6,FALSE),"")</f>
        <v/>
      </c>
      <c r="AL634" s="10" t="str">
        <f>IFERROR(VLOOKUP(B634,'Pre-Summary'!$BG$6:$BL$44,3,FALSE),"")</f>
        <v/>
      </c>
      <c r="AM634" s="10" t="str">
        <f>IFERROR(VLOOKUP(B634,'Pre-Summary'!$BG$6:$BL$44,4,FALSE),"")</f>
        <v/>
      </c>
    </row>
    <row r="635" spans="2:39" ht="15" customHeight="1" x14ac:dyDescent="0.3">
      <c r="B635">
        <v>63.2</v>
      </c>
      <c r="C635" t="str">
        <f>IFERROR(VLOOKUP(B635,'Pre-Summary'!$DI$6:$DM$23,4,FALSE),"")</f>
        <v/>
      </c>
      <c r="D635" s="10" t="str">
        <f>IFERROR(VLOOKUP(B635,'Pre-Summary'!$AT$6:$AX$14,5,FALSE),D634)</f>
        <v>DSMZ v2: Dropped Na-Ac out of DSMZ 120 media</v>
      </c>
      <c r="E635" s="10" t="str">
        <f>IFERROR(VLOOKUP(B635,'Pre-Summary'!$AT$6:$AX$15,4,FALSE),"")</f>
        <v/>
      </c>
      <c r="F635">
        <f>IFERROR(VLOOKUP(B635,'Pre-Summary'!$AL$6:$AQ$13,6,FALSE),F634)</f>
        <v>5.9405263157894746E-2</v>
      </c>
      <c r="G635" t="str">
        <f>IFERROR(VLOOKUP(B635,'Pre-Summary'!$AE$6:$AJ$85,3,FALSE),"")</f>
        <v/>
      </c>
      <c r="H635" t="str">
        <f>IFERROR(VLOOKUP(B635,'Pre-Summary'!$AE$6:$AJ$85,4,FALSE),"")</f>
        <v/>
      </c>
      <c r="I635" t="str">
        <f>IFERROR(VLOOKUP(B635,'Pre-Summary'!$AE$6:$AJ$85,5,FALSE),"")</f>
        <v/>
      </c>
      <c r="J635" s="45" t="str">
        <f>IFERROR(VLOOKUP(B635,'Pre-Summary'!$AE$6:$AJ$85,6, FALSE),"")</f>
        <v/>
      </c>
      <c r="K635" s="45" t="str">
        <f>IFERROR(VLOOKUP(B635,'Pre-Summary'!$DE$6:$DG$61,3,FALSE),"")</f>
        <v/>
      </c>
      <c r="L635" s="45" t="str">
        <f>IFERROR(VLOOKUP(B635,'Pre-Summary'!$CU$6:$CW$36,3,FALSE),"")</f>
        <v/>
      </c>
      <c r="M635" s="45" t="str">
        <f>IFERROR(VLOOKUP(B635,'Pre-Summary'!$BW$6:$BY$58,2,FALSE),"")</f>
        <v/>
      </c>
      <c r="N635" s="45" t="str">
        <f>IFERROR(VLOOKUP(B635,'Pre-Summary'!$CD$6:$CF$64,2,FALSE),"")</f>
        <v/>
      </c>
      <c r="O635" s="99">
        <f>IFERROR(VLOOKUP(B635,'Pre-Summary'!$BO$6:$BQ$48,3, FALSE),O634)</f>
        <v>0.9</v>
      </c>
      <c r="P635" s="99">
        <f>IFERROR(VLOOKUP(B635,'Pre-Summary'!$BS$6:$BU$35,3,FALSE),P634)</f>
        <v>0.34399999999999997</v>
      </c>
      <c r="Q635" s="54">
        <f t="shared" si="27"/>
        <v>2.6162790697674421</v>
      </c>
      <c r="R635" s="53">
        <f>IFERROR(VLOOKUP(B635,'Pre-Summary'!$BG$6:$BM$44,7,FALSE),R636)</f>
        <v>7.5915763918363535E-2</v>
      </c>
      <c r="S635" s="53">
        <f>IFERROR(VLOOKUP(B635,'Pre-Summary'!$BG$6:$BM$44,6,FALSE),S636)</f>
        <v>5.2897473997019086E-2</v>
      </c>
      <c r="T635" s="45" t="str">
        <f>IFERROR(VLOOKUP(B635,'Pre-Summary'!$Y$6:$AC$83, 3,FALSE),"")</f>
        <v/>
      </c>
      <c r="U635" s="45" t="str">
        <f>IFERROR(VLOOKUP(B635,'Pre-Summary'!$Y$6:$AC$83, 4,FALSE),"")</f>
        <v/>
      </c>
      <c r="V635" t="str">
        <f>IFERROR(VLOOKUP(B635,'Pre-Summary'!$Y$6:$AC$83, 5,FALSE),"")</f>
        <v/>
      </c>
      <c r="W635" s="45" t="str">
        <f>IFERROR(VLOOKUP(B635,'Pre-Summary'!$Y$6:$AD$83,6,FALSE),"")</f>
        <v/>
      </c>
      <c r="X635" t="str">
        <f>IFERROR(VLOOKUP('Pre-Summary'!$DB$6:$DD$63,3,FALSE),"")</f>
        <v/>
      </c>
      <c r="Y635" t="str">
        <f>IFERROR(VLOOKUP(B635,'Pre-Summary'!$CR$6:$CT$36,3,FALSE),"")</f>
        <v/>
      </c>
      <c r="Z635" s="45" t="str">
        <f>IFERROR(VLOOKUP(B635,'Pre-Summary'!$BZ$6:$CB$63,2,FALSE),"")</f>
        <v/>
      </c>
      <c r="AA635" s="45" t="str">
        <f>IFERROR(VLOOKUP(B635,'Pre-Summary'!$CG$6:$CI$70,2,FALSE),"")</f>
        <v/>
      </c>
      <c r="AB635" s="99">
        <f>IFERROR(VLOOKUP(B635,'Pre-Summary'!$A$6:$P$178,9,FALSE),AB636)</f>
        <v>0.85539342592592615</v>
      </c>
      <c r="AC635" s="10">
        <f>IFERROR(VLOOKUP(Summary!B635,'Pre-Summary'!$A$6:$P$184,5, FALSE)/100,AC636)</f>
        <v>0.72243166666666658</v>
      </c>
      <c r="AD635" s="10">
        <f>IFERROR(VLOOKUP(Summary!B635,'Pre-Summary'!$A$6:$P$184,3, FALSE)/100,AD636)</f>
        <v>0</v>
      </c>
      <c r="AE635" s="10">
        <f>IFERROR(VLOOKUP(Summary!B635,'Pre-Summary'!$A$6:$P$184,7, FALSE)/100,AE636)</f>
        <v>0.27756833333333331</v>
      </c>
      <c r="AF635" s="99">
        <f t="shared" si="28"/>
        <v>0</v>
      </c>
      <c r="AG635" s="99">
        <f t="shared" si="29"/>
        <v>0.23743012757854942</v>
      </c>
      <c r="AH635" s="10" t="str">
        <f>IFERROR(VLOOKUP(B635,'Pre-Summary'!$AZ$6:$BE$65,3,FALSE),"")</f>
        <v/>
      </c>
      <c r="AI635" s="10" t="str">
        <f>IFERROR(VLOOKUP(B635,'Pre-Summary'!$AZ$6:$BE$65,5,FALSE),"")</f>
        <v/>
      </c>
      <c r="AJ635" s="10" t="str">
        <f>IFERROR(VLOOKUP(B635,'Pre-Summary'!$AZ$6:$BE$65,4,FALSE),"")</f>
        <v/>
      </c>
      <c r="AK635" s="10" t="str">
        <f>IFERROR(VLOOKUP(B635,'Pre-Summary'!$AZ$6:$BE$65,6,FALSE),"")</f>
        <v/>
      </c>
      <c r="AL635" s="10" t="str">
        <f>IFERROR(VLOOKUP(B635,'Pre-Summary'!$BG$6:$BL$44,3,FALSE),"")</f>
        <v/>
      </c>
      <c r="AM635" s="10" t="str">
        <f>IFERROR(VLOOKUP(B635,'Pre-Summary'!$BG$6:$BL$44,4,FALSE),"")</f>
        <v/>
      </c>
    </row>
    <row r="636" spans="2:39" ht="15" customHeight="1" x14ac:dyDescent="0.3">
      <c r="B636">
        <v>63.3</v>
      </c>
      <c r="C636" t="str">
        <f>IFERROR(VLOOKUP(B636,'Pre-Summary'!$DI$6:$DM$23,4,FALSE),"")</f>
        <v/>
      </c>
      <c r="D636" s="10" t="str">
        <f>IFERROR(VLOOKUP(B636,'Pre-Summary'!$AT$6:$AX$14,5,FALSE),D635)</f>
        <v>DSMZ v2: Dropped Na-Ac out of DSMZ 120 media</v>
      </c>
      <c r="E636" s="10" t="str">
        <f>IFERROR(VLOOKUP(B636,'Pre-Summary'!$AT$6:$AX$15,4,FALSE),"")</f>
        <v/>
      </c>
      <c r="F636">
        <f>IFERROR(VLOOKUP(B636,'Pre-Summary'!$AL$6:$AQ$13,6,FALSE),F635)</f>
        <v>5.9405263157894746E-2</v>
      </c>
      <c r="G636" t="str">
        <f>IFERROR(VLOOKUP(B636,'Pre-Summary'!$AE$6:$AJ$85,3,FALSE),"")</f>
        <v/>
      </c>
      <c r="H636" t="str">
        <f>IFERROR(VLOOKUP(B636,'Pre-Summary'!$AE$6:$AJ$85,4,FALSE),"")</f>
        <v/>
      </c>
      <c r="I636" t="str">
        <f>IFERROR(VLOOKUP(B636,'Pre-Summary'!$AE$6:$AJ$85,5,FALSE),"")</f>
        <v/>
      </c>
      <c r="J636" s="45" t="str">
        <f>IFERROR(VLOOKUP(B636,'Pre-Summary'!$AE$6:$AJ$85,6, FALSE),"")</f>
        <v/>
      </c>
      <c r="K636" s="45" t="str">
        <f>IFERROR(VLOOKUP(B636,'Pre-Summary'!$DE$6:$DG$61,3,FALSE),"")</f>
        <v/>
      </c>
      <c r="L636" s="45" t="str">
        <f>IFERROR(VLOOKUP(B636,'Pre-Summary'!$CU$6:$CW$36,3,FALSE),"")</f>
        <v/>
      </c>
      <c r="M636" s="45" t="str">
        <f>IFERROR(VLOOKUP(B636,'Pre-Summary'!$BW$6:$BY$58,2,FALSE),"")</f>
        <v/>
      </c>
      <c r="N636" s="45" t="str">
        <f>IFERROR(VLOOKUP(B636,'Pre-Summary'!$CD$6:$CF$64,2,FALSE),"")</f>
        <v/>
      </c>
      <c r="O636" s="99">
        <f>IFERROR(VLOOKUP(B636,'Pre-Summary'!$BO$6:$BQ$48,3, FALSE),O635)</f>
        <v>0.9</v>
      </c>
      <c r="P636" s="99">
        <f>IFERROR(VLOOKUP(B636,'Pre-Summary'!$BS$6:$BU$35,3,FALSE),P635)</f>
        <v>0.34399999999999997</v>
      </c>
      <c r="Q636" s="54">
        <f t="shared" si="27"/>
        <v>2.6162790697674421</v>
      </c>
      <c r="R636" s="53">
        <f>IFERROR(VLOOKUP(B636,'Pre-Summary'!$BG$6:$BM$44,7,FALSE),R637)</f>
        <v>7.5915763918363535E-2</v>
      </c>
      <c r="S636" s="53">
        <f>IFERROR(VLOOKUP(B636,'Pre-Summary'!$BG$6:$BM$44,6,FALSE),S637)</f>
        <v>5.2897473997019086E-2</v>
      </c>
      <c r="T636" s="45" t="str">
        <f>IFERROR(VLOOKUP(B636,'Pre-Summary'!$Y$6:$AC$83, 3,FALSE),"")</f>
        <v/>
      </c>
      <c r="U636" s="45" t="str">
        <f>IFERROR(VLOOKUP(B636,'Pre-Summary'!$Y$6:$AC$83, 4,FALSE),"")</f>
        <v/>
      </c>
      <c r="V636" t="str">
        <f>IFERROR(VLOOKUP(B636,'Pre-Summary'!$Y$6:$AC$83, 5,FALSE),"")</f>
        <v/>
      </c>
      <c r="W636" s="45" t="str">
        <f>IFERROR(VLOOKUP(B636,'Pre-Summary'!$Y$6:$AD$83,6,FALSE),"")</f>
        <v/>
      </c>
      <c r="X636" t="str">
        <f>IFERROR(VLOOKUP('Pre-Summary'!$DB$6:$DD$63,3,FALSE),"")</f>
        <v/>
      </c>
      <c r="Y636" t="str">
        <f>IFERROR(VLOOKUP(B636,'Pre-Summary'!$CR$6:$CT$36,3,FALSE),"")</f>
        <v/>
      </c>
      <c r="Z636" s="45" t="str">
        <f>IFERROR(VLOOKUP(B636,'Pre-Summary'!$BZ$6:$CB$63,2,FALSE),"")</f>
        <v/>
      </c>
      <c r="AA636" s="45" t="str">
        <f>IFERROR(VLOOKUP(B636,'Pre-Summary'!$CG$6:$CI$70,2,FALSE),"")</f>
        <v/>
      </c>
      <c r="AB636" s="99">
        <f>IFERROR(VLOOKUP(B636,'Pre-Summary'!$A$6:$P$178,9,FALSE),AB637)</f>
        <v>0.85539342592592615</v>
      </c>
      <c r="AC636" s="10">
        <f>IFERROR(VLOOKUP(Summary!B636,'Pre-Summary'!$A$6:$P$184,5, FALSE)/100,AC637)</f>
        <v>0.72243166666666658</v>
      </c>
      <c r="AD636" s="10">
        <f>IFERROR(VLOOKUP(Summary!B636,'Pre-Summary'!$A$6:$P$184,3, FALSE)/100,AD637)</f>
        <v>0</v>
      </c>
      <c r="AE636" s="10">
        <f>IFERROR(VLOOKUP(Summary!B636,'Pre-Summary'!$A$6:$P$184,7, FALSE)/100,AE637)</f>
        <v>0.27756833333333331</v>
      </c>
      <c r="AF636" s="99">
        <f t="shared" si="28"/>
        <v>0</v>
      </c>
      <c r="AG636" s="99">
        <f t="shared" si="29"/>
        <v>0.23743012757854942</v>
      </c>
      <c r="AH636" s="10" t="str">
        <f>IFERROR(VLOOKUP(B636,'Pre-Summary'!$AZ$6:$BE$65,3,FALSE),"")</f>
        <v/>
      </c>
      <c r="AI636" s="10" t="str">
        <f>IFERROR(VLOOKUP(B636,'Pre-Summary'!$AZ$6:$BE$65,5,FALSE),"")</f>
        <v/>
      </c>
      <c r="AJ636" s="10" t="str">
        <f>IFERROR(VLOOKUP(B636,'Pre-Summary'!$AZ$6:$BE$65,4,FALSE),"")</f>
        <v/>
      </c>
      <c r="AK636" s="10" t="str">
        <f>IFERROR(VLOOKUP(B636,'Pre-Summary'!$AZ$6:$BE$65,6,FALSE),"")</f>
        <v/>
      </c>
      <c r="AL636" s="10" t="str">
        <f>IFERROR(VLOOKUP(B636,'Pre-Summary'!$BG$6:$BL$44,3,FALSE),"")</f>
        <v/>
      </c>
      <c r="AM636" s="10" t="str">
        <f>IFERROR(VLOOKUP(B636,'Pre-Summary'!$BG$6:$BL$44,4,FALSE),"")</f>
        <v/>
      </c>
    </row>
    <row r="637" spans="2:39" ht="15" customHeight="1" x14ac:dyDescent="0.3">
      <c r="B637">
        <v>63.4</v>
      </c>
      <c r="C637" t="str">
        <f>IFERROR(VLOOKUP(B637,'Pre-Summary'!$DI$6:$DM$23,4,FALSE),"")</f>
        <v/>
      </c>
      <c r="D637" s="10" t="str">
        <f>IFERROR(VLOOKUP(B637,'Pre-Summary'!$AT$6:$AX$14,5,FALSE),D636)</f>
        <v>DSMZ v2: Dropped Na-Ac out of DSMZ 120 media</v>
      </c>
      <c r="E637" s="10" t="str">
        <f>IFERROR(VLOOKUP(B637,'Pre-Summary'!$AT$6:$AX$15,4,FALSE),"")</f>
        <v/>
      </c>
      <c r="F637">
        <f>IFERROR(VLOOKUP(B637,'Pre-Summary'!$AL$6:$AQ$13,6,FALSE),F636)</f>
        <v>5.9405263157894746E-2</v>
      </c>
      <c r="G637" t="str">
        <f>IFERROR(VLOOKUP(B637,'Pre-Summary'!$AE$6:$AJ$85,3,FALSE),"")</f>
        <v/>
      </c>
      <c r="H637" t="str">
        <f>IFERROR(VLOOKUP(B637,'Pre-Summary'!$AE$6:$AJ$85,4,FALSE),"")</f>
        <v/>
      </c>
      <c r="I637" t="str">
        <f>IFERROR(VLOOKUP(B637,'Pre-Summary'!$AE$6:$AJ$85,5,FALSE),"")</f>
        <v/>
      </c>
      <c r="J637" s="45" t="str">
        <f>IFERROR(VLOOKUP(B637,'Pre-Summary'!$AE$6:$AJ$85,6, FALSE),"")</f>
        <v/>
      </c>
      <c r="K637" s="45" t="str">
        <f>IFERROR(VLOOKUP(B637,'Pre-Summary'!$DE$6:$DG$61,3,FALSE),"")</f>
        <v/>
      </c>
      <c r="L637" s="45" t="str">
        <f>IFERROR(VLOOKUP(B637,'Pre-Summary'!$CU$6:$CW$36,3,FALSE),"")</f>
        <v/>
      </c>
      <c r="M637" s="45" t="str">
        <f>IFERROR(VLOOKUP(B637,'Pre-Summary'!$BW$6:$BY$58,2,FALSE),"")</f>
        <v/>
      </c>
      <c r="N637" s="45" t="str">
        <f>IFERROR(VLOOKUP(B637,'Pre-Summary'!$CD$6:$CF$64,2,FALSE),"")</f>
        <v/>
      </c>
      <c r="O637" s="99">
        <f>IFERROR(VLOOKUP(B637,'Pre-Summary'!$BO$6:$BQ$48,3, FALSE),O636)</f>
        <v>0.9</v>
      </c>
      <c r="P637" s="99">
        <f>IFERROR(VLOOKUP(B637,'Pre-Summary'!$BS$6:$BU$35,3,FALSE),P636)</f>
        <v>0.34399999999999997</v>
      </c>
      <c r="Q637" s="54">
        <f t="shared" si="27"/>
        <v>2.6162790697674421</v>
      </c>
      <c r="R637" s="53">
        <f>IFERROR(VLOOKUP(B637,'Pre-Summary'!$BG$6:$BM$44,7,FALSE),R638)</f>
        <v>7.5915763918363535E-2</v>
      </c>
      <c r="S637" s="53">
        <f>IFERROR(VLOOKUP(B637,'Pre-Summary'!$BG$6:$BM$44,6,FALSE),S638)</f>
        <v>5.2897473997019086E-2</v>
      </c>
      <c r="T637" s="45" t="str">
        <f>IFERROR(VLOOKUP(B637,'Pre-Summary'!$Y$6:$AC$83, 3,FALSE),"")</f>
        <v/>
      </c>
      <c r="U637" s="45" t="str">
        <f>IFERROR(VLOOKUP(B637,'Pre-Summary'!$Y$6:$AC$83, 4,FALSE),"")</f>
        <v/>
      </c>
      <c r="V637" t="str">
        <f>IFERROR(VLOOKUP(B637,'Pre-Summary'!$Y$6:$AC$83, 5,FALSE),"")</f>
        <v/>
      </c>
      <c r="W637" s="45" t="str">
        <f>IFERROR(VLOOKUP(B637,'Pre-Summary'!$Y$6:$AD$83,6,FALSE),"")</f>
        <v/>
      </c>
      <c r="X637" t="str">
        <f>IFERROR(VLOOKUP('Pre-Summary'!$DB$6:$DD$63,3,FALSE),"")</f>
        <v/>
      </c>
      <c r="Y637" t="str">
        <f>IFERROR(VLOOKUP(B637,'Pre-Summary'!$CR$6:$CT$36,3,FALSE),"")</f>
        <v/>
      </c>
      <c r="Z637" s="45" t="str">
        <f>IFERROR(VLOOKUP(B637,'Pre-Summary'!$BZ$6:$CB$63,2,FALSE),"")</f>
        <v/>
      </c>
      <c r="AA637" s="45" t="str">
        <f>IFERROR(VLOOKUP(B637,'Pre-Summary'!$CG$6:$CI$70,2,FALSE),"")</f>
        <v/>
      </c>
      <c r="AB637" s="99">
        <f>IFERROR(VLOOKUP(B637,'Pre-Summary'!$A$6:$P$178,9,FALSE),AB638)</f>
        <v>0.85539342592592615</v>
      </c>
      <c r="AC637" s="10">
        <f>IFERROR(VLOOKUP(Summary!B637,'Pre-Summary'!$A$6:$P$184,5, FALSE)/100,AC638)</f>
        <v>0.72243166666666658</v>
      </c>
      <c r="AD637" s="10">
        <f>IFERROR(VLOOKUP(Summary!B637,'Pre-Summary'!$A$6:$P$184,3, FALSE)/100,AD638)</f>
        <v>0</v>
      </c>
      <c r="AE637" s="10">
        <f>IFERROR(VLOOKUP(Summary!B637,'Pre-Summary'!$A$6:$P$184,7, FALSE)/100,AE638)</f>
        <v>0.27756833333333331</v>
      </c>
      <c r="AF637" s="99">
        <f t="shared" si="28"/>
        <v>0</v>
      </c>
      <c r="AG637" s="99">
        <f t="shared" si="29"/>
        <v>0.23743012757854942</v>
      </c>
      <c r="AH637" s="10" t="str">
        <f>IFERROR(VLOOKUP(B637,'Pre-Summary'!$AZ$6:$BE$65,3,FALSE),"")</f>
        <v/>
      </c>
      <c r="AI637" s="10" t="str">
        <f>IFERROR(VLOOKUP(B637,'Pre-Summary'!$AZ$6:$BE$65,5,FALSE),"")</f>
        <v/>
      </c>
      <c r="AJ637" s="10" t="str">
        <f>IFERROR(VLOOKUP(B637,'Pre-Summary'!$AZ$6:$BE$65,4,FALSE),"")</f>
        <v/>
      </c>
      <c r="AK637" s="10" t="str">
        <f>IFERROR(VLOOKUP(B637,'Pre-Summary'!$AZ$6:$BE$65,6,FALSE),"")</f>
        <v/>
      </c>
      <c r="AL637" s="10" t="str">
        <f>IFERROR(VLOOKUP(B637,'Pre-Summary'!$BG$6:$BL$44,3,FALSE),"")</f>
        <v/>
      </c>
      <c r="AM637" s="10" t="str">
        <f>IFERROR(VLOOKUP(B637,'Pre-Summary'!$BG$6:$BL$44,4,FALSE),"")</f>
        <v/>
      </c>
    </row>
    <row r="638" spans="2:39" ht="15" customHeight="1" x14ac:dyDescent="0.3">
      <c r="B638">
        <v>63.5</v>
      </c>
      <c r="C638" t="str">
        <f>IFERROR(VLOOKUP(B638,'Pre-Summary'!$DI$6:$DM$23,4,FALSE),"")</f>
        <v/>
      </c>
      <c r="D638" s="10" t="str">
        <f>IFERROR(VLOOKUP(B638,'Pre-Summary'!$AT$6:$AX$14,5,FALSE),D637)</f>
        <v>DSMZ v2: Dropped Na-Ac out of DSMZ 120 media</v>
      </c>
      <c r="E638" s="10" t="str">
        <f>IFERROR(VLOOKUP(B638,'Pre-Summary'!$AT$6:$AX$15,4,FALSE),"")</f>
        <v/>
      </c>
      <c r="F638">
        <f>IFERROR(VLOOKUP(B638,'Pre-Summary'!$AL$6:$AQ$13,6,FALSE),F637)</f>
        <v>5.9405263157894746E-2</v>
      </c>
      <c r="G638" t="str">
        <f>IFERROR(VLOOKUP(B638,'Pre-Summary'!$AE$6:$AJ$85,3,FALSE),"")</f>
        <v/>
      </c>
      <c r="H638" t="str">
        <f>IFERROR(VLOOKUP(B638,'Pre-Summary'!$AE$6:$AJ$85,4,FALSE),"")</f>
        <v/>
      </c>
      <c r="I638" t="str">
        <f>IFERROR(VLOOKUP(B638,'Pre-Summary'!$AE$6:$AJ$85,5,FALSE),"")</f>
        <v/>
      </c>
      <c r="J638" s="45" t="str">
        <f>IFERROR(VLOOKUP(B638,'Pre-Summary'!$AE$6:$AJ$85,6, FALSE),"")</f>
        <v/>
      </c>
      <c r="K638" s="45" t="str">
        <f>IFERROR(VLOOKUP(B638,'Pre-Summary'!$DE$6:$DG$61,3,FALSE),"")</f>
        <v/>
      </c>
      <c r="L638" s="45" t="str">
        <f>IFERROR(VLOOKUP(B638,'Pre-Summary'!$CU$6:$CW$36,3,FALSE),"")</f>
        <v/>
      </c>
      <c r="M638" s="45" t="str">
        <f>IFERROR(VLOOKUP(B638,'Pre-Summary'!$BW$6:$BY$58,2,FALSE),"")</f>
        <v/>
      </c>
      <c r="N638" s="45" t="str">
        <f>IFERROR(VLOOKUP(B638,'Pre-Summary'!$CD$6:$CF$64,2,FALSE),"")</f>
        <v/>
      </c>
      <c r="O638" s="99">
        <f>IFERROR(VLOOKUP(B638,'Pre-Summary'!$BO$6:$BQ$48,3, FALSE),O637)</f>
        <v>0.9</v>
      </c>
      <c r="P638" s="99">
        <f>IFERROR(VLOOKUP(B638,'Pre-Summary'!$BS$6:$BU$35,3,FALSE),P637)</f>
        <v>0.34399999999999997</v>
      </c>
      <c r="Q638" s="54">
        <f t="shared" si="27"/>
        <v>2.6162790697674421</v>
      </c>
      <c r="R638" s="53">
        <f>IFERROR(VLOOKUP(B638,'Pre-Summary'!$BG$6:$BM$44,7,FALSE),R639)</f>
        <v>7.5915763918363535E-2</v>
      </c>
      <c r="S638" s="53">
        <f>IFERROR(VLOOKUP(B638,'Pre-Summary'!$BG$6:$BM$44,6,FALSE),S639)</f>
        <v>5.2897473997019086E-2</v>
      </c>
      <c r="T638" s="45" t="str">
        <f>IFERROR(VLOOKUP(B638,'Pre-Summary'!$Y$6:$AC$83, 3,FALSE),"")</f>
        <v/>
      </c>
      <c r="U638" s="45" t="str">
        <f>IFERROR(VLOOKUP(B638,'Pre-Summary'!$Y$6:$AC$83, 4,FALSE),"")</f>
        <v/>
      </c>
      <c r="V638" t="str">
        <f>IFERROR(VLOOKUP(B638,'Pre-Summary'!$Y$6:$AC$83, 5,FALSE),"")</f>
        <v/>
      </c>
      <c r="W638" s="45" t="str">
        <f>IFERROR(VLOOKUP(B638,'Pre-Summary'!$Y$6:$AD$83,6,FALSE),"")</f>
        <v/>
      </c>
      <c r="X638" t="str">
        <f>IFERROR(VLOOKUP('Pre-Summary'!$DB$6:$DD$63,3,FALSE),"")</f>
        <v/>
      </c>
      <c r="Y638" t="str">
        <f>IFERROR(VLOOKUP(B638,'Pre-Summary'!$CR$6:$CT$36,3,FALSE),"")</f>
        <v/>
      </c>
      <c r="Z638" s="45" t="str">
        <f>IFERROR(VLOOKUP(B638,'Pre-Summary'!$BZ$6:$CB$63,2,FALSE),"")</f>
        <v/>
      </c>
      <c r="AA638" s="45" t="str">
        <f>IFERROR(VLOOKUP(B638,'Pre-Summary'!$CG$6:$CI$70,2,FALSE),"")</f>
        <v/>
      </c>
      <c r="AB638" s="99">
        <f>IFERROR(VLOOKUP(B638,'Pre-Summary'!$A$6:$P$178,9,FALSE),AB639)</f>
        <v>0.85539342592592615</v>
      </c>
      <c r="AC638" s="10">
        <f>IFERROR(VLOOKUP(Summary!B638,'Pre-Summary'!$A$6:$P$184,5, FALSE)/100,AC639)</f>
        <v>0.72243166666666658</v>
      </c>
      <c r="AD638" s="10">
        <f>IFERROR(VLOOKUP(Summary!B638,'Pre-Summary'!$A$6:$P$184,3, FALSE)/100,AD639)</f>
        <v>0</v>
      </c>
      <c r="AE638" s="10">
        <f>IFERROR(VLOOKUP(Summary!B638,'Pre-Summary'!$A$6:$P$184,7, FALSE)/100,AE639)</f>
        <v>0.27756833333333331</v>
      </c>
      <c r="AF638" s="99">
        <f t="shared" si="28"/>
        <v>0</v>
      </c>
      <c r="AG638" s="99">
        <f t="shared" si="29"/>
        <v>0.23743012757854942</v>
      </c>
      <c r="AH638" s="10" t="str">
        <f>IFERROR(VLOOKUP(B638,'Pre-Summary'!$AZ$6:$BE$65,3,FALSE),"")</f>
        <v/>
      </c>
      <c r="AI638" s="10" t="str">
        <f>IFERROR(VLOOKUP(B638,'Pre-Summary'!$AZ$6:$BE$65,5,FALSE),"")</f>
        <v/>
      </c>
      <c r="AJ638" s="10" t="str">
        <f>IFERROR(VLOOKUP(B638,'Pre-Summary'!$AZ$6:$BE$65,4,FALSE),"")</f>
        <v/>
      </c>
      <c r="AK638" s="10" t="str">
        <f>IFERROR(VLOOKUP(B638,'Pre-Summary'!$AZ$6:$BE$65,6,FALSE),"")</f>
        <v/>
      </c>
      <c r="AL638" s="10" t="str">
        <f>IFERROR(VLOOKUP(B638,'Pre-Summary'!$BG$6:$BL$44,3,FALSE),"")</f>
        <v/>
      </c>
      <c r="AM638" s="10" t="str">
        <f>IFERROR(VLOOKUP(B638,'Pre-Summary'!$BG$6:$BL$44,4,FALSE),"")</f>
        <v/>
      </c>
    </row>
    <row r="639" spans="2:39" ht="15" customHeight="1" x14ac:dyDescent="0.3">
      <c r="B639">
        <v>63.6</v>
      </c>
      <c r="C639" t="str">
        <f>IFERROR(VLOOKUP(B639,'Pre-Summary'!$DI$6:$DM$23,4,FALSE),"")</f>
        <v/>
      </c>
      <c r="D639" s="10" t="str">
        <f>IFERROR(VLOOKUP(B639,'Pre-Summary'!$AT$6:$AX$14,5,FALSE),D638)</f>
        <v>DSMZ v2: Dropped Na-Ac out of DSMZ 120 media</v>
      </c>
      <c r="E639" s="10" t="str">
        <f>IFERROR(VLOOKUP(B639,'Pre-Summary'!$AT$6:$AX$15,4,FALSE),"")</f>
        <v/>
      </c>
      <c r="F639">
        <f>IFERROR(VLOOKUP(B639,'Pre-Summary'!$AL$6:$AQ$13,6,FALSE),F638)</f>
        <v>5.9405263157894746E-2</v>
      </c>
      <c r="G639" t="str">
        <f>IFERROR(VLOOKUP(B639,'Pre-Summary'!$AE$6:$AJ$85,3,FALSE),"")</f>
        <v/>
      </c>
      <c r="H639" t="str">
        <f>IFERROR(VLOOKUP(B639,'Pre-Summary'!$AE$6:$AJ$85,4,FALSE),"")</f>
        <v/>
      </c>
      <c r="I639" t="str">
        <f>IFERROR(VLOOKUP(B639,'Pre-Summary'!$AE$6:$AJ$85,5,FALSE),"")</f>
        <v/>
      </c>
      <c r="J639" s="45" t="str">
        <f>IFERROR(VLOOKUP(B639,'Pre-Summary'!$AE$6:$AJ$85,6, FALSE),"")</f>
        <v/>
      </c>
      <c r="K639" s="45" t="str">
        <f>IFERROR(VLOOKUP(B639,'Pre-Summary'!$DE$6:$DG$61,3,FALSE),"")</f>
        <v/>
      </c>
      <c r="L639" s="45" t="str">
        <f>IFERROR(VLOOKUP(B639,'Pre-Summary'!$CU$6:$CW$36,3,FALSE),"")</f>
        <v/>
      </c>
      <c r="M639" s="45" t="str">
        <f>IFERROR(VLOOKUP(B639,'Pre-Summary'!$BW$6:$BY$58,2,FALSE),"")</f>
        <v/>
      </c>
      <c r="N639" s="45" t="str">
        <f>IFERROR(VLOOKUP(B639,'Pre-Summary'!$CD$6:$CF$64,2,FALSE),"")</f>
        <v/>
      </c>
      <c r="O639" s="99">
        <f>IFERROR(VLOOKUP(B639,'Pre-Summary'!$BO$6:$BQ$48,3, FALSE),O638)</f>
        <v>0.9</v>
      </c>
      <c r="P639" s="99">
        <f>IFERROR(VLOOKUP(B639,'Pre-Summary'!$BS$6:$BU$35,3,FALSE),P638)</f>
        <v>0.34399999999999997</v>
      </c>
      <c r="Q639" s="54">
        <f t="shared" si="27"/>
        <v>2.6162790697674421</v>
      </c>
      <c r="R639" s="53">
        <f>IFERROR(VLOOKUP(B639,'Pre-Summary'!$BG$6:$BM$44,7,FALSE),R640)</f>
        <v>7.5915763918363535E-2</v>
      </c>
      <c r="S639" s="53">
        <f>IFERROR(VLOOKUP(B639,'Pre-Summary'!$BG$6:$BM$44,6,FALSE),S640)</f>
        <v>5.2897473997019086E-2</v>
      </c>
      <c r="T639" s="45" t="str">
        <f>IFERROR(VLOOKUP(B639,'Pre-Summary'!$Y$6:$AC$83, 3,FALSE),"")</f>
        <v/>
      </c>
      <c r="U639" s="45" t="str">
        <f>IFERROR(VLOOKUP(B639,'Pre-Summary'!$Y$6:$AC$83, 4,FALSE),"")</f>
        <v/>
      </c>
      <c r="V639" t="str">
        <f>IFERROR(VLOOKUP(B639,'Pre-Summary'!$Y$6:$AC$83, 5,FALSE),"")</f>
        <v/>
      </c>
      <c r="W639" s="45" t="str">
        <f>IFERROR(VLOOKUP(B639,'Pre-Summary'!$Y$6:$AD$83,6,FALSE),"")</f>
        <v/>
      </c>
      <c r="X639" t="str">
        <f>IFERROR(VLOOKUP('Pre-Summary'!$DB$6:$DD$63,3,FALSE),"")</f>
        <v/>
      </c>
      <c r="Y639" t="str">
        <f>IFERROR(VLOOKUP(B639,'Pre-Summary'!$CR$6:$CT$36,3,FALSE),"")</f>
        <v/>
      </c>
      <c r="Z639" s="45" t="str">
        <f>IFERROR(VLOOKUP(B639,'Pre-Summary'!$BZ$6:$CB$63,2,FALSE),"")</f>
        <v/>
      </c>
      <c r="AA639" s="45" t="str">
        <f>IFERROR(VLOOKUP(B639,'Pre-Summary'!$CG$6:$CI$70,2,FALSE),"")</f>
        <v/>
      </c>
      <c r="AB639" s="99">
        <f>IFERROR(VLOOKUP(B639,'Pre-Summary'!$A$6:$P$178,9,FALSE),AB640)</f>
        <v>0.85539342592592615</v>
      </c>
      <c r="AC639" s="10">
        <f>IFERROR(VLOOKUP(Summary!B639,'Pre-Summary'!$A$6:$P$184,5, FALSE)/100,AC640)</f>
        <v>0.72243166666666658</v>
      </c>
      <c r="AD639" s="10">
        <f>IFERROR(VLOOKUP(Summary!B639,'Pre-Summary'!$A$6:$P$184,3, FALSE)/100,AD640)</f>
        <v>0</v>
      </c>
      <c r="AE639" s="10">
        <f>IFERROR(VLOOKUP(Summary!B639,'Pre-Summary'!$A$6:$P$184,7, FALSE)/100,AE640)</f>
        <v>0.27756833333333331</v>
      </c>
      <c r="AF639" s="99">
        <f t="shared" si="28"/>
        <v>0</v>
      </c>
      <c r="AG639" s="99">
        <f t="shared" si="29"/>
        <v>0.23743012757854942</v>
      </c>
      <c r="AH639" s="10" t="str">
        <f>IFERROR(VLOOKUP(B639,'Pre-Summary'!$AZ$6:$BE$65,3,FALSE),"")</f>
        <v/>
      </c>
      <c r="AI639" s="10" t="str">
        <f>IFERROR(VLOOKUP(B639,'Pre-Summary'!$AZ$6:$BE$65,5,FALSE),"")</f>
        <v/>
      </c>
      <c r="AJ639" s="10" t="str">
        <f>IFERROR(VLOOKUP(B639,'Pre-Summary'!$AZ$6:$BE$65,4,FALSE),"")</f>
        <v/>
      </c>
      <c r="AK639" s="10" t="str">
        <f>IFERROR(VLOOKUP(B639,'Pre-Summary'!$AZ$6:$BE$65,6,FALSE),"")</f>
        <v/>
      </c>
      <c r="AL639" s="10" t="str">
        <f>IFERROR(VLOOKUP(B639,'Pre-Summary'!$BG$6:$BL$44,3,FALSE),"")</f>
        <v/>
      </c>
      <c r="AM639" s="10" t="str">
        <f>IFERROR(VLOOKUP(B639,'Pre-Summary'!$BG$6:$BL$44,4,FALSE),"")</f>
        <v/>
      </c>
    </row>
    <row r="640" spans="2:39" ht="15" customHeight="1" x14ac:dyDescent="0.3">
      <c r="B640">
        <v>63.7</v>
      </c>
      <c r="C640" t="str">
        <f>IFERROR(VLOOKUP(B640,'Pre-Summary'!$DI$6:$DM$23,4,FALSE),"")</f>
        <v/>
      </c>
      <c r="D640" s="10" t="str">
        <f>IFERROR(VLOOKUP(B640,'Pre-Summary'!$AT$6:$AX$14,5,FALSE),D639)</f>
        <v>DSMZ v2: Dropped Na-Ac out of DSMZ 120 media</v>
      </c>
      <c r="E640" s="10" t="str">
        <f>IFERROR(VLOOKUP(B640,'Pre-Summary'!$AT$6:$AX$15,4,FALSE),"")</f>
        <v/>
      </c>
      <c r="F640">
        <f>IFERROR(VLOOKUP(B640,'Pre-Summary'!$AL$6:$AQ$13,6,FALSE),F639)</f>
        <v>5.9405263157894746E-2</v>
      </c>
      <c r="G640" t="str">
        <f>IFERROR(VLOOKUP(B640,'Pre-Summary'!$AE$6:$AJ$85,3,FALSE),"")</f>
        <v/>
      </c>
      <c r="H640" t="str">
        <f>IFERROR(VLOOKUP(B640,'Pre-Summary'!$AE$6:$AJ$85,4,FALSE),"")</f>
        <v/>
      </c>
      <c r="I640" t="str">
        <f>IFERROR(VLOOKUP(B640,'Pre-Summary'!$AE$6:$AJ$85,5,FALSE),"")</f>
        <v/>
      </c>
      <c r="J640" s="45" t="str">
        <f>IFERROR(VLOOKUP(B640,'Pre-Summary'!$AE$6:$AJ$85,6, FALSE),"")</f>
        <v/>
      </c>
      <c r="K640" s="45" t="str">
        <f>IFERROR(VLOOKUP(B640,'Pre-Summary'!$DE$6:$DG$61,3,FALSE),"")</f>
        <v/>
      </c>
      <c r="L640" s="45" t="str">
        <f>IFERROR(VLOOKUP(B640,'Pre-Summary'!$CU$6:$CW$36,3,FALSE),"")</f>
        <v/>
      </c>
      <c r="M640" s="45" t="str">
        <f>IFERROR(VLOOKUP(B640,'Pre-Summary'!$BW$6:$BY$58,2,FALSE),"")</f>
        <v/>
      </c>
      <c r="N640" s="45" t="str">
        <f>IFERROR(VLOOKUP(B640,'Pre-Summary'!$CD$6:$CF$64,2,FALSE),"")</f>
        <v/>
      </c>
      <c r="O640" s="99">
        <f>IFERROR(VLOOKUP(B640,'Pre-Summary'!$BO$6:$BQ$48,3, FALSE),O639)</f>
        <v>0.9</v>
      </c>
      <c r="P640" s="99">
        <f>IFERROR(VLOOKUP(B640,'Pre-Summary'!$BS$6:$BU$35,3,FALSE),P639)</f>
        <v>0.34399999999999997</v>
      </c>
      <c r="Q640" s="54">
        <f t="shared" si="27"/>
        <v>2.6162790697674421</v>
      </c>
      <c r="R640" s="53">
        <f>IFERROR(VLOOKUP(B640,'Pre-Summary'!$BG$6:$BM$44,7,FALSE),R641)</f>
        <v>7.5915763918363535E-2</v>
      </c>
      <c r="S640" s="53">
        <f>IFERROR(VLOOKUP(B640,'Pre-Summary'!$BG$6:$BM$44,6,FALSE),S641)</f>
        <v>5.2897473997019086E-2</v>
      </c>
      <c r="T640" s="45" t="str">
        <f>IFERROR(VLOOKUP(B640,'Pre-Summary'!$Y$6:$AC$83, 3,FALSE),"")</f>
        <v/>
      </c>
      <c r="U640" s="45" t="str">
        <f>IFERROR(VLOOKUP(B640,'Pre-Summary'!$Y$6:$AC$83, 4,FALSE),"")</f>
        <v/>
      </c>
      <c r="V640" t="str">
        <f>IFERROR(VLOOKUP(B640,'Pre-Summary'!$Y$6:$AC$83, 5,FALSE),"")</f>
        <v/>
      </c>
      <c r="W640" s="45" t="str">
        <f>IFERROR(VLOOKUP(B640,'Pre-Summary'!$Y$6:$AD$83,6,FALSE),"")</f>
        <v/>
      </c>
      <c r="X640" t="str">
        <f>IFERROR(VLOOKUP('Pre-Summary'!$DB$6:$DD$63,3,FALSE),"")</f>
        <v/>
      </c>
      <c r="Y640" t="str">
        <f>IFERROR(VLOOKUP(B640,'Pre-Summary'!$CR$6:$CT$36,3,FALSE),"")</f>
        <v/>
      </c>
      <c r="Z640" s="45" t="str">
        <f>IFERROR(VLOOKUP(B640,'Pre-Summary'!$BZ$6:$CB$63,2,FALSE),"")</f>
        <v/>
      </c>
      <c r="AA640" s="45" t="str">
        <f>IFERROR(VLOOKUP(B640,'Pre-Summary'!$CG$6:$CI$70,2,FALSE),"")</f>
        <v/>
      </c>
      <c r="AB640" s="99">
        <f>IFERROR(VLOOKUP(B640,'Pre-Summary'!$A$6:$P$178,9,FALSE),AB641)</f>
        <v>0.85539342592592615</v>
      </c>
      <c r="AC640" s="10">
        <f>IFERROR(VLOOKUP(Summary!B640,'Pre-Summary'!$A$6:$P$184,5, FALSE)/100,AC641)</f>
        <v>0.72243166666666658</v>
      </c>
      <c r="AD640" s="10">
        <f>IFERROR(VLOOKUP(Summary!B640,'Pre-Summary'!$A$6:$P$184,3, FALSE)/100,AD641)</f>
        <v>0</v>
      </c>
      <c r="AE640" s="10">
        <f>IFERROR(VLOOKUP(Summary!B640,'Pre-Summary'!$A$6:$P$184,7, FALSE)/100,AE641)</f>
        <v>0.27756833333333331</v>
      </c>
      <c r="AF640" s="99">
        <f t="shared" si="28"/>
        <v>0</v>
      </c>
      <c r="AG640" s="99">
        <f t="shared" si="29"/>
        <v>0.23743012757854942</v>
      </c>
      <c r="AH640" s="10" t="str">
        <f>IFERROR(VLOOKUP(B640,'Pre-Summary'!$AZ$6:$BE$65,3,FALSE),"")</f>
        <v/>
      </c>
      <c r="AI640" s="10" t="str">
        <f>IFERROR(VLOOKUP(B640,'Pre-Summary'!$AZ$6:$BE$65,5,FALSE),"")</f>
        <v/>
      </c>
      <c r="AJ640" s="10" t="str">
        <f>IFERROR(VLOOKUP(B640,'Pre-Summary'!$AZ$6:$BE$65,4,FALSE),"")</f>
        <v/>
      </c>
      <c r="AK640" s="10" t="str">
        <f>IFERROR(VLOOKUP(B640,'Pre-Summary'!$AZ$6:$BE$65,6,FALSE),"")</f>
        <v/>
      </c>
      <c r="AL640" s="10" t="str">
        <f>IFERROR(VLOOKUP(B640,'Pre-Summary'!$BG$6:$BL$44,3,FALSE),"")</f>
        <v/>
      </c>
      <c r="AM640" s="10" t="str">
        <f>IFERROR(VLOOKUP(B640,'Pre-Summary'!$BG$6:$BL$44,4,FALSE),"")</f>
        <v/>
      </c>
    </row>
    <row r="641" spans="2:39" ht="15" customHeight="1" x14ac:dyDescent="0.3">
      <c r="B641">
        <v>63.8</v>
      </c>
      <c r="C641" t="str">
        <f>IFERROR(VLOOKUP(B641,'Pre-Summary'!$DI$6:$DM$23,4,FALSE),"")</f>
        <v/>
      </c>
      <c r="D641" s="10" t="str">
        <f>IFERROR(VLOOKUP(B641,'Pre-Summary'!$AT$6:$AX$14,5,FALSE),D640)</f>
        <v>DSMZ v2: Dropped Na-Ac out of DSMZ 120 media</v>
      </c>
      <c r="E641" s="10" t="str">
        <f>IFERROR(VLOOKUP(B641,'Pre-Summary'!$AT$6:$AX$15,4,FALSE),"")</f>
        <v/>
      </c>
      <c r="F641">
        <f>IFERROR(VLOOKUP(B641,'Pre-Summary'!$AL$6:$AQ$13,6,FALSE),F640)</f>
        <v>5.9405263157894746E-2</v>
      </c>
      <c r="G641" t="str">
        <f>IFERROR(VLOOKUP(B641,'Pre-Summary'!$AE$6:$AJ$85,3,FALSE),"")</f>
        <v/>
      </c>
      <c r="H641" t="str">
        <f>IFERROR(VLOOKUP(B641,'Pre-Summary'!$AE$6:$AJ$85,4,FALSE),"")</f>
        <v/>
      </c>
      <c r="I641" t="str">
        <f>IFERROR(VLOOKUP(B641,'Pre-Summary'!$AE$6:$AJ$85,5,FALSE),"")</f>
        <v/>
      </c>
      <c r="J641" s="45" t="str">
        <f>IFERROR(VLOOKUP(B641,'Pre-Summary'!$AE$6:$AJ$85,6, FALSE),"")</f>
        <v/>
      </c>
      <c r="K641" s="45" t="str">
        <f>IFERROR(VLOOKUP(B641,'Pre-Summary'!$DE$6:$DG$61,3,FALSE),"")</f>
        <v/>
      </c>
      <c r="L641" s="45" t="str">
        <f>IFERROR(VLOOKUP(B641,'Pre-Summary'!$CU$6:$CW$36,3,FALSE),"")</f>
        <v/>
      </c>
      <c r="M641" s="45" t="str">
        <f>IFERROR(VLOOKUP(B641,'Pre-Summary'!$BW$6:$BY$58,2,FALSE),"")</f>
        <v/>
      </c>
      <c r="N641" s="45" t="str">
        <f>IFERROR(VLOOKUP(B641,'Pre-Summary'!$CD$6:$CF$64,2,FALSE),"")</f>
        <v/>
      </c>
      <c r="O641" s="99">
        <f>IFERROR(VLOOKUP(B641,'Pre-Summary'!$BO$6:$BQ$48,3, FALSE),O640)</f>
        <v>0.9</v>
      </c>
      <c r="P641" s="99">
        <f>IFERROR(VLOOKUP(B641,'Pre-Summary'!$BS$6:$BU$35,3,FALSE),P640)</f>
        <v>0.34399999999999997</v>
      </c>
      <c r="Q641" s="54">
        <f t="shared" si="27"/>
        <v>2.6162790697674421</v>
      </c>
      <c r="R641" s="53">
        <f>IFERROR(VLOOKUP(B641,'Pre-Summary'!$BG$6:$BM$44,7,FALSE),R642)</f>
        <v>7.5915763918363535E-2</v>
      </c>
      <c r="S641" s="53">
        <f>IFERROR(VLOOKUP(B641,'Pre-Summary'!$BG$6:$BM$44,6,FALSE),S642)</f>
        <v>5.2897473997019086E-2</v>
      </c>
      <c r="T641" s="45" t="str">
        <f>IFERROR(VLOOKUP(B641,'Pre-Summary'!$Y$6:$AC$83, 3,FALSE),"")</f>
        <v/>
      </c>
      <c r="U641" s="45" t="str">
        <f>IFERROR(VLOOKUP(B641,'Pre-Summary'!$Y$6:$AC$83, 4,FALSE),"")</f>
        <v/>
      </c>
      <c r="V641" t="str">
        <f>IFERROR(VLOOKUP(B641,'Pre-Summary'!$Y$6:$AC$83, 5,FALSE),"")</f>
        <v/>
      </c>
      <c r="W641" s="45" t="str">
        <f>IFERROR(VLOOKUP(B641,'Pre-Summary'!$Y$6:$AD$83,6,FALSE),"")</f>
        <v/>
      </c>
      <c r="X641" t="str">
        <f>IFERROR(VLOOKUP('Pre-Summary'!$DB$6:$DD$63,3,FALSE),"")</f>
        <v/>
      </c>
      <c r="Y641" t="str">
        <f>IFERROR(VLOOKUP(B641,'Pre-Summary'!$CR$6:$CT$36,3,FALSE),"")</f>
        <v/>
      </c>
      <c r="Z641" s="45" t="str">
        <f>IFERROR(VLOOKUP(B641,'Pre-Summary'!$BZ$6:$CB$63,2,FALSE),"")</f>
        <v/>
      </c>
      <c r="AA641" s="45" t="str">
        <f>IFERROR(VLOOKUP(B641,'Pre-Summary'!$CG$6:$CI$70,2,FALSE),"")</f>
        <v/>
      </c>
      <c r="AB641" s="99">
        <f>IFERROR(VLOOKUP(B641,'Pre-Summary'!$A$6:$P$178,9,FALSE),AB642)</f>
        <v>0.85539342592592615</v>
      </c>
      <c r="AC641" s="10">
        <f>IFERROR(VLOOKUP(Summary!B641,'Pre-Summary'!$A$6:$P$184,5, FALSE)/100,AC642)</f>
        <v>0.72243166666666658</v>
      </c>
      <c r="AD641" s="10">
        <f>IFERROR(VLOOKUP(Summary!B641,'Pre-Summary'!$A$6:$P$184,3, FALSE)/100,AD642)</f>
        <v>0</v>
      </c>
      <c r="AE641" s="10">
        <f>IFERROR(VLOOKUP(Summary!B641,'Pre-Summary'!$A$6:$P$184,7, FALSE)/100,AE642)</f>
        <v>0.27756833333333331</v>
      </c>
      <c r="AF641" s="99">
        <f t="shared" si="28"/>
        <v>0</v>
      </c>
      <c r="AG641" s="99">
        <f t="shared" si="29"/>
        <v>0.23743012757854942</v>
      </c>
      <c r="AH641" s="10" t="str">
        <f>IFERROR(VLOOKUP(B641,'Pre-Summary'!$AZ$6:$BE$65,3,FALSE),"")</f>
        <v/>
      </c>
      <c r="AI641" s="10" t="str">
        <f>IFERROR(VLOOKUP(B641,'Pre-Summary'!$AZ$6:$BE$65,5,FALSE),"")</f>
        <v/>
      </c>
      <c r="AJ641" s="10" t="str">
        <f>IFERROR(VLOOKUP(B641,'Pre-Summary'!$AZ$6:$BE$65,4,FALSE),"")</f>
        <v/>
      </c>
      <c r="AK641" s="10" t="str">
        <f>IFERROR(VLOOKUP(B641,'Pre-Summary'!$AZ$6:$BE$65,6,FALSE),"")</f>
        <v/>
      </c>
      <c r="AL641" s="10" t="str">
        <f>IFERROR(VLOOKUP(B641,'Pre-Summary'!$BG$6:$BL$44,3,FALSE),"")</f>
        <v/>
      </c>
      <c r="AM641" s="10" t="str">
        <f>IFERROR(VLOOKUP(B641,'Pre-Summary'!$BG$6:$BL$44,4,FALSE),"")</f>
        <v/>
      </c>
    </row>
    <row r="642" spans="2:39" ht="15" customHeight="1" x14ac:dyDescent="0.3">
      <c r="B642">
        <v>63.9</v>
      </c>
      <c r="C642" t="str">
        <f>IFERROR(VLOOKUP(B642,'Pre-Summary'!$DI$6:$DM$23,4,FALSE),"")</f>
        <v/>
      </c>
      <c r="D642" s="10" t="str">
        <f>IFERROR(VLOOKUP(B642,'Pre-Summary'!$AT$6:$AX$14,5,FALSE),D641)</f>
        <v>DSMZ v2: Dropped Na-Ac out of DSMZ 120 media</v>
      </c>
      <c r="E642" s="10" t="str">
        <f>IFERROR(VLOOKUP(B642,'Pre-Summary'!$AT$6:$AX$15,4,FALSE),"")</f>
        <v/>
      </c>
      <c r="F642">
        <f>IFERROR(VLOOKUP(B642,'Pre-Summary'!$AL$6:$AQ$13,6,FALSE),F641)</f>
        <v>5.9405263157894746E-2</v>
      </c>
      <c r="G642" t="str">
        <f>IFERROR(VLOOKUP(B642,'Pre-Summary'!$AE$6:$AJ$85,3,FALSE),"")</f>
        <v/>
      </c>
      <c r="H642" t="str">
        <f>IFERROR(VLOOKUP(B642,'Pre-Summary'!$AE$6:$AJ$85,4,FALSE),"")</f>
        <v/>
      </c>
      <c r="I642" t="str">
        <f>IFERROR(VLOOKUP(B642,'Pre-Summary'!$AE$6:$AJ$85,5,FALSE),"")</f>
        <v/>
      </c>
      <c r="J642" s="45" t="str">
        <f>IFERROR(VLOOKUP(B642,'Pre-Summary'!$AE$6:$AJ$85,6, FALSE),"")</f>
        <v/>
      </c>
      <c r="K642" s="45" t="str">
        <f>IFERROR(VLOOKUP(B642,'Pre-Summary'!$DE$6:$DG$61,3,FALSE),"")</f>
        <v/>
      </c>
      <c r="L642" s="45" t="str">
        <f>IFERROR(VLOOKUP(B642,'Pre-Summary'!$CU$6:$CW$36,3,FALSE),"")</f>
        <v/>
      </c>
      <c r="M642" s="45" t="str">
        <f>IFERROR(VLOOKUP(B642,'Pre-Summary'!$BW$6:$BY$58,2,FALSE),"")</f>
        <v/>
      </c>
      <c r="N642" s="45" t="str">
        <f>IFERROR(VLOOKUP(B642,'Pre-Summary'!$CD$6:$CF$64,2,FALSE),"")</f>
        <v/>
      </c>
      <c r="O642" s="99">
        <f>IFERROR(VLOOKUP(B642,'Pre-Summary'!$BO$6:$BQ$48,3, FALSE),O641)</f>
        <v>0.9</v>
      </c>
      <c r="P642" s="99">
        <f>IFERROR(VLOOKUP(B642,'Pre-Summary'!$BS$6:$BU$35,3,FALSE),P641)</f>
        <v>0.34399999999999997</v>
      </c>
      <c r="Q642" s="54">
        <f t="shared" si="27"/>
        <v>2.6162790697674421</v>
      </c>
      <c r="R642" s="53">
        <f>IFERROR(VLOOKUP(B642,'Pre-Summary'!$BG$6:$BM$44,7,FALSE),R643)</f>
        <v>7.5915763918363535E-2</v>
      </c>
      <c r="S642" s="53">
        <f>IFERROR(VLOOKUP(B642,'Pre-Summary'!$BG$6:$BM$44,6,FALSE),S643)</f>
        <v>5.2897473997019086E-2</v>
      </c>
      <c r="T642" s="45" t="str">
        <f>IFERROR(VLOOKUP(B642,'Pre-Summary'!$Y$6:$AC$83, 3,FALSE),"")</f>
        <v/>
      </c>
      <c r="U642" s="45" t="str">
        <f>IFERROR(VLOOKUP(B642,'Pre-Summary'!$Y$6:$AC$83, 4,FALSE),"")</f>
        <v/>
      </c>
      <c r="V642" t="str">
        <f>IFERROR(VLOOKUP(B642,'Pre-Summary'!$Y$6:$AC$83, 5,FALSE),"")</f>
        <v/>
      </c>
      <c r="W642" s="45" t="str">
        <f>IFERROR(VLOOKUP(B642,'Pre-Summary'!$Y$6:$AD$83,6,FALSE),"")</f>
        <v/>
      </c>
      <c r="X642" t="str">
        <f>IFERROR(VLOOKUP('Pre-Summary'!$DB$6:$DD$63,3,FALSE),"")</f>
        <v/>
      </c>
      <c r="Y642" t="str">
        <f>IFERROR(VLOOKUP(B642,'Pre-Summary'!$CR$6:$CT$36,3,FALSE),"")</f>
        <v/>
      </c>
      <c r="Z642" s="45" t="str">
        <f>IFERROR(VLOOKUP(B642,'Pre-Summary'!$BZ$6:$CB$63,2,FALSE),"")</f>
        <v/>
      </c>
      <c r="AA642" s="45" t="str">
        <f>IFERROR(VLOOKUP(B642,'Pre-Summary'!$CG$6:$CI$70,2,FALSE),"")</f>
        <v/>
      </c>
      <c r="AB642" s="99">
        <f>IFERROR(VLOOKUP(B642,'Pre-Summary'!$A$6:$P$178,9,FALSE),AB643)</f>
        <v>0.85539342592592615</v>
      </c>
      <c r="AC642" s="10">
        <f>IFERROR(VLOOKUP(Summary!B642,'Pre-Summary'!$A$6:$P$184,5, FALSE)/100,AC643)</f>
        <v>0.72243166666666658</v>
      </c>
      <c r="AD642" s="10">
        <f>IFERROR(VLOOKUP(Summary!B642,'Pre-Summary'!$A$6:$P$184,3, FALSE)/100,AD643)</f>
        <v>0</v>
      </c>
      <c r="AE642" s="10">
        <f>IFERROR(VLOOKUP(Summary!B642,'Pre-Summary'!$A$6:$P$184,7, FALSE)/100,AE643)</f>
        <v>0.27756833333333331</v>
      </c>
      <c r="AF642" s="99">
        <f t="shared" si="28"/>
        <v>0</v>
      </c>
      <c r="AG642" s="99">
        <f t="shared" si="29"/>
        <v>0.23743012757854942</v>
      </c>
      <c r="AH642" s="10" t="str">
        <f>IFERROR(VLOOKUP(B642,'Pre-Summary'!$AZ$6:$BE$65,3,FALSE),"")</f>
        <v/>
      </c>
      <c r="AI642" s="10" t="str">
        <f>IFERROR(VLOOKUP(B642,'Pre-Summary'!$AZ$6:$BE$65,5,FALSE),"")</f>
        <v/>
      </c>
      <c r="AJ642" s="10" t="str">
        <f>IFERROR(VLOOKUP(B642,'Pre-Summary'!$AZ$6:$BE$65,4,FALSE),"")</f>
        <v/>
      </c>
      <c r="AK642" s="10" t="str">
        <f>IFERROR(VLOOKUP(B642,'Pre-Summary'!$AZ$6:$BE$65,6,FALSE),"")</f>
        <v/>
      </c>
      <c r="AL642" s="10" t="str">
        <f>IFERROR(VLOOKUP(B642,'Pre-Summary'!$BG$6:$BL$44,3,FALSE),"")</f>
        <v/>
      </c>
      <c r="AM642" s="10" t="str">
        <f>IFERROR(VLOOKUP(B642,'Pre-Summary'!$BG$6:$BL$44,4,FALSE),"")</f>
        <v/>
      </c>
    </row>
    <row r="643" spans="2:39" ht="15" customHeight="1" x14ac:dyDescent="0.3">
      <c r="B643">
        <v>64</v>
      </c>
      <c r="C643" t="str">
        <f>IFERROR(VLOOKUP(B643,'Pre-Summary'!$DI$6:$DM$23,4,FALSE),"")</f>
        <v/>
      </c>
      <c r="D643" s="10" t="str">
        <f>IFERROR(VLOOKUP(B643,'Pre-Summary'!$AT$6:$AX$14,5,FALSE),D642)</f>
        <v>DSMZ v2: Dropped Na-Ac out of DSMZ 120 media</v>
      </c>
      <c r="E643" s="10" t="str">
        <f>IFERROR(VLOOKUP(B643,'Pre-Summary'!$AT$6:$AX$15,4,FALSE),"")</f>
        <v/>
      </c>
      <c r="F643">
        <f>IFERROR(VLOOKUP(B643,'Pre-Summary'!$AL$6:$AQ$13,6,FALSE),F642)</f>
        <v>5.9405263157894746E-2</v>
      </c>
      <c r="G643" t="str">
        <f>IFERROR(VLOOKUP(B643,'Pre-Summary'!$AE$6:$AJ$85,3,FALSE),"")</f>
        <v/>
      </c>
      <c r="H643" t="str">
        <f>IFERROR(VLOOKUP(B643,'Pre-Summary'!$AE$6:$AJ$85,4,FALSE),"")</f>
        <v/>
      </c>
      <c r="I643" t="str">
        <f>IFERROR(VLOOKUP(B643,'Pre-Summary'!$AE$6:$AJ$85,5,FALSE),"")</f>
        <v/>
      </c>
      <c r="J643" s="45" t="str">
        <f>IFERROR(VLOOKUP(B643,'Pre-Summary'!$AE$6:$AJ$85,6, FALSE),"")</f>
        <v/>
      </c>
      <c r="K643" s="45" t="str">
        <f>IFERROR(VLOOKUP(B643,'Pre-Summary'!$DE$6:$DG$61,3,FALSE),"")</f>
        <v/>
      </c>
      <c r="L643" s="45" t="str">
        <f>IFERROR(VLOOKUP(B643,'Pre-Summary'!$CU$6:$CW$36,3,FALSE),"")</f>
        <v/>
      </c>
      <c r="M643" s="45" t="str">
        <f>IFERROR(VLOOKUP(B643,'Pre-Summary'!$BW$6:$BY$58,2,FALSE),"")</f>
        <v/>
      </c>
      <c r="N643" s="45" t="str">
        <f>IFERROR(VLOOKUP(B643,'Pre-Summary'!$CD$6:$CF$64,2,FALSE),"")</f>
        <v/>
      </c>
      <c r="O643" s="99">
        <f>IFERROR(VLOOKUP(B643,'Pre-Summary'!$BO$6:$BQ$48,3, FALSE),O642)</f>
        <v>0.9</v>
      </c>
      <c r="P643" s="99">
        <f>IFERROR(VLOOKUP(B643,'Pre-Summary'!$BS$6:$BU$35,3,FALSE),P642)</f>
        <v>0.34399999999999997</v>
      </c>
      <c r="Q643" s="54">
        <f t="shared" ref="Q643:Q706" si="30">O643/P643</f>
        <v>2.6162790697674421</v>
      </c>
      <c r="R643" s="53">
        <f>IFERROR(VLOOKUP(B643,'Pre-Summary'!$BG$6:$BM$44,7,FALSE),R644)</f>
        <v>7.5915763918363535E-2</v>
      </c>
      <c r="S643" s="53">
        <f>IFERROR(VLOOKUP(B643,'Pre-Summary'!$BG$6:$BM$44,6,FALSE),S644)</f>
        <v>5.2897473997019086E-2</v>
      </c>
      <c r="T643" s="45" t="str">
        <f>IFERROR(VLOOKUP(B643,'Pre-Summary'!$Y$6:$AC$83, 3,FALSE),"")</f>
        <v/>
      </c>
      <c r="U643" s="45" t="str">
        <f>IFERROR(VLOOKUP(B643,'Pre-Summary'!$Y$6:$AC$83, 4,FALSE),"")</f>
        <v/>
      </c>
      <c r="V643" t="str">
        <f>IFERROR(VLOOKUP(B643,'Pre-Summary'!$Y$6:$AC$83, 5,FALSE),"")</f>
        <v/>
      </c>
      <c r="W643" s="45" t="str">
        <f>IFERROR(VLOOKUP(B643,'Pre-Summary'!$Y$6:$AD$83,6,FALSE),"")</f>
        <v/>
      </c>
      <c r="X643" t="str">
        <f>IFERROR(VLOOKUP('Pre-Summary'!$DB$6:$DD$63,3,FALSE),"")</f>
        <v/>
      </c>
      <c r="Y643" t="str">
        <f>IFERROR(VLOOKUP(B643,'Pre-Summary'!$CR$6:$CT$36,3,FALSE),"")</f>
        <v/>
      </c>
      <c r="Z643" s="45" t="str">
        <f>IFERROR(VLOOKUP(B643,'Pre-Summary'!$BZ$6:$CB$63,2,FALSE),"")</f>
        <v/>
      </c>
      <c r="AA643" s="45" t="str">
        <f>IFERROR(VLOOKUP(B643,'Pre-Summary'!$CG$6:$CI$70,2,FALSE),"")</f>
        <v/>
      </c>
      <c r="AB643" s="99">
        <f>IFERROR(VLOOKUP(B643,'Pre-Summary'!$A$6:$P$178,9,FALSE),AB644)</f>
        <v>0.85539342592592615</v>
      </c>
      <c r="AC643" s="10">
        <f>IFERROR(VLOOKUP(Summary!B643,'Pre-Summary'!$A$6:$P$184,5, FALSE)/100,AC644)</f>
        <v>0.72243166666666658</v>
      </c>
      <c r="AD643" s="10">
        <f>IFERROR(VLOOKUP(Summary!B643,'Pre-Summary'!$A$6:$P$184,3, FALSE)/100,AD644)</f>
        <v>0</v>
      </c>
      <c r="AE643" s="10">
        <f>IFERROR(VLOOKUP(Summary!B643,'Pre-Summary'!$A$6:$P$184,7, FALSE)/100,AE644)</f>
        <v>0.27756833333333331</v>
      </c>
      <c r="AF643" s="99">
        <f t="shared" ref="AF643:AF706" si="31">AD643*AB643</f>
        <v>0</v>
      </c>
      <c r="AG643" s="99">
        <f t="shared" ref="AG643:AG706" si="32">AB643*AE643</f>
        <v>0.23743012757854942</v>
      </c>
      <c r="AH643" s="10" t="str">
        <f>IFERROR(VLOOKUP(B643,'Pre-Summary'!$AZ$6:$BE$65,3,FALSE),"")</f>
        <v/>
      </c>
      <c r="AI643" s="10" t="str">
        <f>IFERROR(VLOOKUP(B643,'Pre-Summary'!$AZ$6:$BE$65,5,FALSE),"")</f>
        <v/>
      </c>
      <c r="AJ643" s="10" t="str">
        <f>IFERROR(VLOOKUP(B643,'Pre-Summary'!$AZ$6:$BE$65,4,FALSE),"")</f>
        <v/>
      </c>
      <c r="AK643" s="10" t="str">
        <f>IFERROR(VLOOKUP(B643,'Pre-Summary'!$AZ$6:$BE$65,6,FALSE),"")</f>
        <v/>
      </c>
      <c r="AL643" s="10" t="str">
        <f>IFERROR(VLOOKUP(B643,'Pre-Summary'!$BG$6:$BL$44,3,FALSE),"")</f>
        <v/>
      </c>
      <c r="AM643" s="10" t="str">
        <f>IFERROR(VLOOKUP(B643,'Pre-Summary'!$BG$6:$BL$44,4,FALSE),"")</f>
        <v/>
      </c>
    </row>
    <row r="644" spans="2:39" ht="15" customHeight="1" x14ac:dyDescent="0.3">
      <c r="B644">
        <v>64.099999999999994</v>
      </c>
      <c r="C644" t="str">
        <f>IFERROR(VLOOKUP(B644,'Pre-Summary'!$DI$6:$DM$23,4,FALSE),"")</f>
        <v/>
      </c>
      <c r="D644" s="10" t="str">
        <f>IFERROR(VLOOKUP(B644,'Pre-Summary'!$AT$6:$AX$14,5,FALSE),D643)</f>
        <v>DSMZ v2: Dropped Na-Ac out of DSMZ 120 media</v>
      </c>
      <c r="E644" s="10" t="str">
        <f>IFERROR(VLOOKUP(B644,'Pre-Summary'!$AT$6:$AX$15,4,FALSE),"")</f>
        <v/>
      </c>
      <c r="F644">
        <f>IFERROR(VLOOKUP(B644,'Pre-Summary'!$AL$6:$AQ$13,6,FALSE),F643)</f>
        <v>5.9405263157894746E-2</v>
      </c>
      <c r="G644" t="str">
        <f>IFERROR(VLOOKUP(B644,'Pre-Summary'!$AE$6:$AJ$85,3,FALSE),"")</f>
        <v/>
      </c>
      <c r="H644" t="str">
        <f>IFERROR(VLOOKUP(B644,'Pre-Summary'!$AE$6:$AJ$85,4,FALSE),"")</f>
        <v/>
      </c>
      <c r="I644" t="str">
        <f>IFERROR(VLOOKUP(B644,'Pre-Summary'!$AE$6:$AJ$85,5,FALSE),"")</f>
        <v/>
      </c>
      <c r="J644" s="45" t="str">
        <f>IFERROR(VLOOKUP(B644,'Pre-Summary'!$AE$6:$AJ$85,6, FALSE),"")</f>
        <v/>
      </c>
      <c r="K644" s="45" t="str">
        <f>IFERROR(VLOOKUP(B644,'Pre-Summary'!$DE$6:$DG$61,3,FALSE),"")</f>
        <v/>
      </c>
      <c r="L644" s="45" t="str">
        <f>IFERROR(VLOOKUP(B644,'Pre-Summary'!$CU$6:$CW$36,3,FALSE),"")</f>
        <v/>
      </c>
      <c r="M644" s="45" t="str">
        <f>IFERROR(VLOOKUP(B644,'Pre-Summary'!$BW$6:$BY$58,2,FALSE),"")</f>
        <v/>
      </c>
      <c r="N644" s="45" t="str">
        <f>IFERROR(VLOOKUP(B644,'Pre-Summary'!$CD$6:$CF$64,2,FALSE),"")</f>
        <v/>
      </c>
      <c r="O644" s="99">
        <f>IFERROR(VLOOKUP(B644,'Pre-Summary'!$BO$6:$BQ$48,3, FALSE),O643)</f>
        <v>0.9</v>
      </c>
      <c r="P644" s="99">
        <f>IFERROR(VLOOKUP(B644,'Pre-Summary'!$BS$6:$BU$35,3,FALSE),P643)</f>
        <v>0.34399999999999997</v>
      </c>
      <c r="Q644" s="54">
        <f t="shared" si="30"/>
        <v>2.6162790697674421</v>
      </c>
      <c r="R644" s="53">
        <f>IFERROR(VLOOKUP(B644,'Pre-Summary'!$BG$6:$BM$44,7,FALSE),R645)</f>
        <v>7.5915763918363535E-2</v>
      </c>
      <c r="S644" s="53">
        <f>IFERROR(VLOOKUP(B644,'Pre-Summary'!$BG$6:$BM$44,6,FALSE),S645)</f>
        <v>5.2897473997019086E-2</v>
      </c>
      <c r="T644" s="45" t="str">
        <f>IFERROR(VLOOKUP(B644,'Pre-Summary'!$Y$6:$AC$83, 3,FALSE),"")</f>
        <v/>
      </c>
      <c r="U644" s="45" t="str">
        <f>IFERROR(VLOOKUP(B644,'Pre-Summary'!$Y$6:$AC$83, 4,FALSE),"")</f>
        <v/>
      </c>
      <c r="V644" t="str">
        <f>IFERROR(VLOOKUP(B644,'Pre-Summary'!$Y$6:$AC$83, 5,FALSE),"")</f>
        <v/>
      </c>
      <c r="W644" s="45" t="str">
        <f>IFERROR(VLOOKUP(B644,'Pre-Summary'!$Y$6:$AD$83,6,FALSE),"")</f>
        <v/>
      </c>
      <c r="X644" t="str">
        <f>IFERROR(VLOOKUP('Pre-Summary'!$DB$6:$DD$63,3,FALSE),"")</f>
        <v/>
      </c>
      <c r="Y644" t="str">
        <f>IFERROR(VLOOKUP(B644,'Pre-Summary'!$CR$6:$CT$36,3,FALSE),"")</f>
        <v/>
      </c>
      <c r="Z644" s="45" t="str">
        <f>IFERROR(VLOOKUP(B644,'Pre-Summary'!$BZ$6:$CB$63,2,FALSE),"")</f>
        <v/>
      </c>
      <c r="AA644" s="45" t="str">
        <f>IFERROR(VLOOKUP(B644,'Pre-Summary'!$CG$6:$CI$70,2,FALSE),"")</f>
        <v/>
      </c>
      <c r="AB644" s="99">
        <f>IFERROR(VLOOKUP(B644,'Pre-Summary'!$A$6:$P$178,9,FALSE),AB645)</f>
        <v>0.85539342592592615</v>
      </c>
      <c r="AC644" s="10">
        <f>IFERROR(VLOOKUP(Summary!B644,'Pre-Summary'!$A$6:$P$184,5, FALSE)/100,AC645)</f>
        <v>0.72243166666666658</v>
      </c>
      <c r="AD644" s="10">
        <f>IFERROR(VLOOKUP(Summary!B644,'Pre-Summary'!$A$6:$P$184,3, FALSE)/100,AD645)</f>
        <v>0</v>
      </c>
      <c r="AE644" s="10">
        <f>IFERROR(VLOOKUP(Summary!B644,'Pre-Summary'!$A$6:$P$184,7, FALSE)/100,AE645)</f>
        <v>0.27756833333333331</v>
      </c>
      <c r="AF644" s="99">
        <f t="shared" si="31"/>
        <v>0</v>
      </c>
      <c r="AG644" s="99">
        <f t="shared" si="32"/>
        <v>0.23743012757854942</v>
      </c>
      <c r="AH644" s="10" t="str">
        <f>IFERROR(VLOOKUP(B644,'Pre-Summary'!$AZ$6:$BE$65,3,FALSE),"")</f>
        <v/>
      </c>
      <c r="AI644" s="10" t="str">
        <f>IFERROR(VLOOKUP(B644,'Pre-Summary'!$AZ$6:$BE$65,5,FALSE),"")</f>
        <v/>
      </c>
      <c r="AJ644" s="10" t="str">
        <f>IFERROR(VLOOKUP(B644,'Pre-Summary'!$AZ$6:$BE$65,4,FALSE),"")</f>
        <v/>
      </c>
      <c r="AK644" s="10" t="str">
        <f>IFERROR(VLOOKUP(B644,'Pre-Summary'!$AZ$6:$BE$65,6,FALSE),"")</f>
        <v/>
      </c>
      <c r="AL644" s="10" t="str">
        <f>IFERROR(VLOOKUP(B644,'Pre-Summary'!$BG$6:$BL$44,3,FALSE),"")</f>
        <v/>
      </c>
      <c r="AM644" s="10" t="str">
        <f>IFERROR(VLOOKUP(B644,'Pre-Summary'!$BG$6:$BL$44,4,FALSE),"")</f>
        <v/>
      </c>
    </row>
    <row r="645" spans="2:39" ht="15" customHeight="1" x14ac:dyDescent="0.3">
      <c r="B645">
        <v>64.2</v>
      </c>
      <c r="C645" t="str">
        <f>IFERROR(VLOOKUP(B645,'Pre-Summary'!$DI$6:$DM$23,4,FALSE),"")</f>
        <v/>
      </c>
      <c r="D645" s="10" t="str">
        <f>IFERROR(VLOOKUP(B645,'Pre-Summary'!$AT$6:$AX$14,5,FALSE),D644)</f>
        <v>DSMZ v2: Dropped Na-Ac out of DSMZ 120 media</v>
      </c>
      <c r="E645" s="10" t="str">
        <f>IFERROR(VLOOKUP(B645,'Pre-Summary'!$AT$6:$AX$15,4,FALSE),"")</f>
        <v/>
      </c>
      <c r="F645">
        <f>IFERROR(VLOOKUP(B645,'Pre-Summary'!$AL$6:$AQ$13,6,FALSE),F644)</f>
        <v>5.9405263157894746E-2</v>
      </c>
      <c r="G645" t="str">
        <f>IFERROR(VLOOKUP(B645,'Pre-Summary'!$AE$6:$AJ$85,3,FALSE),"")</f>
        <v/>
      </c>
      <c r="H645" t="str">
        <f>IFERROR(VLOOKUP(B645,'Pre-Summary'!$AE$6:$AJ$85,4,FALSE),"")</f>
        <v/>
      </c>
      <c r="I645" t="str">
        <f>IFERROR(VLOOKUP(B645,'Pre-Summary'!$AE$6:$AJ$85,5,FALSE),"")</f>
        <v/>
      </c>
      <c r="J645" s="45" t="str">
        <f>IFERROR(VLOOKUP(B645,'Pre-Summary'!$AE$6:$AJ$85,6, FALSE),"")</f>
        <v/>
      </c>
      <c r="K645" s="45" t="str">
        <f>IFERROR(VLOOKUP(B645,'Pre-Summary'!$DE$6:$DG$61,3,FALSE),"")</f>
        <v/>
      </c>
      <c r="L645" s="45" t="str">
        <f>IFERROR(VLOOKUP(B645,'Pre-Summary'!$CU$6:$CW$36,3,FALSE),"")</f>
        <v/>
      </c>
      <c r="M645" s="45" t="str">
        <f>IFERROR(VLOOKUP(B645,'Pre-Summary'!$BW$6:$BY$58,2,FALSE),"")</f>
        <v/>
      </c>
      <c r="N645" s="45" t="str">
        <f>IFERROR(VLOOKUP(B645,'Pre-Summary'!$CD$6:$CF$64,2,FALSE),"")</f>
        <v/>
      </c>
      <c r="O645" s="99">
        <f>IFERROR(VLOOKUP(B645,'Pre-Summary'!$BO$6:$BQ$48,3, FALSE),O644)</f>
        <v>0.9</v>
      </c>
      <c r="P645" s="99">
        <f>IFERROR(VLOOKUP(B645,'Pre-Summary'!$BS$6:$BU$35,3,FALSE),P644)</f>
        <v>0.34399999999999997</v>
      </c>
      <c r="Q645" s="54">
        <f t="shared" si="30"/>
        <v>2.6162790697674421</v>
      </c>
      <c r="R645" s="53">
        <f>IFERROR(VLOOKUP(B645,'Pre-Summary'!$BG$6:$BM$44,7,FALSE),R646)</f>
        <v>7.5915763918363535E-2</v>
      </c>
      <c r="S645" s="53">
        <f>IFERROR(VLOOKUP(B645,'Pre-Summary'!$BG$6:$BM$44,6,FALSE),S646)</f>
        <v>5.2897473997019086E-2</v>
      </c>
      <c r="T645" s="45" t="str">
        <f>IFERROR(VLOOKUP(B645,'Pre-Summary'!$Y$6:$AC$83, 3,FALSE),"")</f>
        <v/>
      </c>
      <c r="U645" s="45" t="str">
        <f>IFERROR(VLOOKUP(B645,'Pre-Summary'!$Y$6:$AC$83, 4,FALSE),"")</f>
        <v/>
      </c>
      <c r="V645" t="str">
        <f>IFERROR(VLOOKUP(B645,'Pre-Summary'!$Y$6:$AC$83, 5,FALSE),"")</f>
        <v/>
      </c>
      <c r="W645" s="45" t="str">
        <f>IFERROR(VLOOKUP(B645,'Pre-Summary'!$Y$6:$AD$83,6,FALSE),"")</f>
        <v/>
      </c>
      <c r="X645" t="str">
        <f>IFERROR(VLOOKUP('Pre-Summary'!$DB$6:$DD$63,3,FALSE),"")</f>
        <v/>
      </c>
      <c r="Y645" t="str">
        <f>IFERROR(VLOOKUP(B645,'Pre-Summary'!$CR$6:$CT$36,3,FALSE),"")</f>
        <v/>
      </c>
      <c r="Z645" s="45" t="str">
        <f>IFERROR(VLOOKUP(B645,'Pre-Summary'!$BZ$6:$CB$63,2,FALSE),"")</f>
        <v/>
      </c>
      <c r="AA645" s="45" t="str">
        <f>IFERROR(VLOOKUP(B645,'Pre-Summary'!$CG$6:$CI$70,2,FALSE),"")</f>
        <v/>
      </c>
      <c r="AB645" s="99">
        <f>IFERROR(VLOOKUP(B645,'Pre-Summary'!$A$6:$P$178,9,FALSE),AB646)</f>
        <v>0.85539342592592615</v>
      </c>
      <c r="AC645" s="10">
        <f>IFERROR(VLOOKUP(Summary!B645,'Pre-Summary'!$A$6:$P$184,5, FALSE)/100,AC646)</f>
        <v>0.72243166666666658</v>
      </c>
      <c r="AD645" s="10">
        <f>IFERROR(VLOOKUP(Summary!B645,'Pre-Summary'!$A$6:$P$184,3, FALSE)/100,AD646)</f>
        <v>0</v>
      </c>
      <c r="AE645" s="10">
        <f>IFERROR(VLOOKUP(Summary!B645,'Pre-Summary'!$A$6:$P$184,7, FALSE)/100,AE646)</f>
        <v>0.27756833333333331</v>
      </c>
      <c r="AF645" s="99">
        <f t="shared" si="31"/>
        <v>0</v>
      </c>
      <c r="AG645" s="99">
        <f t="shared" si="32"/>
        <v>0.23743012757854942</v>
      </c>
      <c r="AH645" s="10" t="str">
        <f>IFERROR(VLOOKUP(B645,'Pre-Summary'!$AZ$6:$BE$65,3,FALSE),"")</f>
        <v/>
      </c>
      <c r="AI645" s="10" t="str">
        <f>IFERROR(VLOOKUP(B645,'Pre-Summary'!$AZ$6:$BE$65,5,FALSE),"")</f>
        <v/>
      </c>
      <c r="AJ645" s="10" t="str">
        <f>IFERROR(VLOOKUP(B645,'Pre-Summary'!$AZ$6:$BE$65,4,FALSE),"")</f>
        <v/>
      </c>
      <c r="AK645" s="10" t="str">
        <f>IFERROR(VLOOKUP(B645,'Pre-Summary'!$AZ$6:$BE$65,6,FALSE),"")</f>
        <v/>
      </c>
      <c r="AL645" s="10" t="str">
        <f>IFERROR(VLOOKUP(B645,'Pre-Summary'!$BG$6:$BL$44,3,FALSE),"")</f>
        <v/>
      </c>
      <c r="AM645" s="10" t="str">
        <f>IFERROR(VLOOKUP(B645,'Pre-Summary'!$BG$6:$BL$44,4,FALSE),"")</f>
        <v/>
      </c>
    </row>
    <row r="646" spans="2:39" ht="15" customHeight="1" x14ac:dyDescent="0.3">
      <c r="B646">
        <v>64.3</v>
      </c>
      <c r="C646" t="str">
        <f>IFERROR(VLOOKUP(B646,'Pre-Summary'!$DI$6:$DM$23,4,FALSE),"")</f>
        <v/>
      </c>
      <c r="D646" s="10" t="str">
        <f>IFERROR(VLOOKUP(B646,'Pre-Summary'!$AT$6:$AX$14,5,FALSE),D645)</f>
        <v>DSMZ v2: Dropped Na-Ac out of DSMZ 120 media</v>
      </c>
      <c r="E646" s="10" t="str">
        <f>IFERROR(VLOOKUP(B646,'Pre-Summary'!$AT$6:$AX$15,4,FALSE),"")</f>
        <v/>
      </c>
      <c r="F646">
        <f>IFERROR(VLOOKUP(B646,'Pre-Summary'!$AL$6:$AQ$13,6,FALSE),F645)</f>
        <v>5.9405263157894746E-2</v>
      </c>
      <c r="G646" t="str">
        <f>IFERROR(VLOOKUP(B646,'Pre-Summary'!$AE$6:$AJ$85,3,FALSE),"")</f>
        <v/>
      </c>
      <c r="H646" t="str">
        <f>IFERROR(VLOOKUP(B646,'Pre-Summary'!$AE$6:$AJ$85,4,FALSE),"")</f>
        <v/>
      </c>
      <c r="I646" t="str">
        <f>IFERROR(VLOOKUP(B646,'Pre-Summary'!$AE$6:$AJ$85,5,FALSE),"")</f>
        <v/>
      </c>
      <c r="J646" s="45" t="str">
        <f>IFERROR(VLOOKUP(B646,'Pre-Summary'!$AE$6:$AJ$85,6, FALSE),"")</f>
        <v/>
      </c>
      <c r="K646" s="45" t="str">
        <f>IFERROR(VLOOKUP(B646,'Pre-Summary'!$DE$6:$DG$61,3,FALSE),"")</f>
        <v/>
      </c>
      <c r="L646" s="45" t="str">
        <f>IFERROR(VLOOKUP(B646,'Pre-Summary'!$CU$6:$CW$36,3,FALSE),"")</f>
        <v/>
      </c>
      <c r="M646" s="45" t="str">
        <f>IFERROR(VLOOKUP(B646,'Pre-Summary'!$BW$6:$BY$58,2,FALSE),"")</f>
        <v/>
      </c>
      <c r="N646" s="45" t="str">
        <f>IFERROR(VLOOKUP(B646,'Pre-Summary'!$CD$6:$CF$64,2,FALSE),"")</f>
        <v/>
      </c>
      <c r="O646" s="99">
        <f>IFERROR(VLOOKUP(B646,'Pre-Summary'!$BO$6:$BQ$48,3, FALSE),O645)</f>
        <v>0.9</v>
      </c>
      <c r="P646" s="99">
        <f>IFERROR(VLOOKUP(B646,'Pre-Summary'!$BS$6:$BU$35,3,FALSE),P645)</f>
        <v>0.34399999999999997</v>
      </c>
      <c r="Q646" s="54">
        <f t="shared" si="30"/>
        <v>2.6162790697674421</v>
      </c>
      <c r="R646" s="53">
        <f>IFERROR(VLOOKUP(B646,'Pre-Summary'!$BG$6:$BM$44,7,FALSE),R647)</f>
        <v>7.5915763918363535E-2</v>
      </c>
      <c r="S646" s="53">
        <f>IFERROR(VLOOKUP(B646,'Pre-Summary'!$BG$6:$BM$44,6,FALSE),S647)</f>
        <v>5.2897473997019086E-2</v>
      </c>
      <c r="T646" s="45" t="str">
        <f>IFERROR(VLOOKUP(B646,'Pre-Summary'!$Y$6:$AC$83, 3,FALSE),"")</f>
        <v/>
      </c>
      <c r="U646" s="45" t="str">
        <f>IFERROR(VLOOKUP(B646,'Pre-Summary'!$Y$6:$AC$83, 4,FALSE),"")</f>
        <v/>
      </c>
      <c r="V646" t="str">
        <f>IFERROR(VLOOKUP(B646,'Pre-Summary'!$Y$6:$AC$83, 5,FALSE),"")</f>
        <v/>
      </c>
      <c r="W646" s="45" t="str">
        <f>IFERROR(VLOOKUP(B646,'Pre-Summary'!$Y$6:$AD$83,6,FALSE),"")</f>
        <v/>
      </c>
      <c r="X646" t="str">
        <f>IFERROR(VLOOKUP('Pre-Summary'!$DB$6:$DD$63,3,FALSE),"")</f>
        <v/>
      </c>
      <c r="Y646" t="str">
        <f>IFERROR(VLOOKUP(B646,'Pre-Summary'!$CR$6:$CT$36,3,FALSE),"")</f>
        <v/>
      </c>
      <c r="Z646" s="45" t="str">
        <f>IFERROR(VLOOKUP(B646,'Pre-Summary'!$BZ$6:$CB$63,2,FALSE),"")</f>
        <v/>
      </c>
      <c r="AA646" s="45" t="str">
        <f>IFERROR(VLOOKUP(B646,'Pre-Summary'!$CG$6:$CI$70,2,FALSE),"")</f>
        <v/>
      </c>
      <c r="AB646" s="99">
        <f>IFERROR(VLOOKUP(B646,'Pre-Summary'!$A$6:$P$178,9,FALSE),AB647)</f>
        <v>0.85539342592592615</v>
      </c>
      <c r="AC646" s="10">
        <f>IFERROR(VLOOKUP(Summary!B646,'Pre-Summary'!$A$6:$P$184,5, FALSE)/100,AC647)</f>
        <v>0.72243166666666658</v>
      </c>
      <c r="AD646" s="10">
        <f>IFERROR(VLOOKUP(Summary!B646,'Pre-Summary'!$A$6:$P$184,3, FALSE)/100,AD647)</f>
        <v>0</v>
      </c>
      <c r="AE646" s="10">
        <f>IFERROR(VLOOKUP(Summary!B646,'Pre-Summary'!$A$6:$P$184,7, FALSE)/100,AE647)</f>
        <v>0.27756833333333331</v>
      </c>
      <c r="AF646" s="99">
        <f t="shared" si="31"/>
        <v>0</v>
      </c>
      <c r="AG646" s="99">
        <f t="shared" si="32"/>
        <v>0.23743012757854942</v>
      </c>
      <c r="AH646" s="10" t="str">
        <f>IFERROR(VLOOKUP(B646,'Pre-Summary'!$AZ$6:$BE$65,3,FALSE),"")</f>
        <v/>
      </c>
      <c r="AI646" s="10" t="str">
        <f>IFERROR(VLOOKUP(B646,'Pre-Summary'!$AZ$6:$BE$65,5,FALSE),"")</f>
        <v/>
      </c>
      <c r="AJ646" s="10" t="str">
        <f>IFERROR(VLOOKUP(B646,'Pre-Summary'!$AZ$6:$BE$65,4,FALSE),"")</f>
        <v/>
      </c>
      <c r="AK646" s="10" t="str">
        <f>IFERROR(VLOOKUP(B646,'Pre-Summary'!$AZ$6:$BE$65,6,FALSE),"")</f>
        <v/>
      </c>
      <c r="AL646" s="10" t="str">
        <f>IFERROR(VLOOKUP(B646,'Pre-Summary'!$BG$6:$BL$44,3,FALSE),"")</f>
        <v/>
      </c>
      <c r="AM646" s="10" t="str">
        <f>IFERROR(VLOOKUP(B646,'Pre-Summary'!$BG$6:$BL$44,4,FALSE),"")</f>
        <v/>
      </c>
    </row>
    <row r="647" spans="2:39" ht="15" customHeight="1" x14ac:dyDescent="0.3">
      <c r="B647">
        <v>64.400000000000006</v>
      </c>
      <c r="C647" t="str">
        <f>IFERROR(VLOOKUP(B647,'Pre-Summary'!$DI$6:$DM$23,4,FALSE),"")</f>
        <v/>
      </c>
      <c r="D647" s="10" t="str">
        <f>IFERROR(VLOOKUP(B647,'Pre-Summary'!$AT$6:$AX$14,5,FALSE),D646)</f>
        <v>DSMZ v2: Dropped Na-Ac out of DSMZ 120 media</v>
      </c>
      <c r="E647" s="10" t="str">
        <f>IFERROR(VLOOKUP(B647,'Pre-Summary'!$AT$6:$AX$15,4,FALSE),"")</f>
        <v/>
      </c>
      <c r="F647">
        <f>IFERROR(VLOOKUP(B647,'Pre-Summary'!$AL$6:$AQ$13,6,FALSE),F646)</f>
        <v>5.9405263157894746E-2</v>
      </c>
      <c r="G647" t="str">
        <f>IFERROR(VLOOKUP(B647,'Pre-Summary'!$AE$6:$AJ$85,3,FALSE),"")</f>
        <v/>
      </c>
      <c r="H647" t="str">
        <f>IFERROR(VLOOKUP(B647,'Pre-Summary'!$AE$6:$AJ$85,4,FALSE),"")</f>
        <v/>
      </c>
      <c r="I647" t="str">
        <f>IFERROR(VLOOKUP(B647,'Pre-Summary'!$AE$6:$AJ$85,5,FALSE),"")</f>
        <v/>
      </c>
      <c r="J647" s="45" t="str">
        <f>IFERROR(VLOOKUP(B647,'Pre-Summary'!$AE$6:$AJ$85,6, FALSE),"")</f>
        <v/>
      </c>
      <c r="K647" s="45" t="str">
        <f>IFERROR(VLOOKUP(B647,'Pre-Summary'!$DE$6:$DG$61,3,FALSE),"")</f>
        <v/>
      </c>
      <c r="L647" s="45" t="str">
        <f>IFERROR(VLOOKUP(B647,'Pre-Summary'!$CU$6:$CW$36,3,FALSE),"")</f>
        <v/>
      </c>
      <c r="M647" s="45" t="str">
        <f>IFERROR(VLOOKUP(B647,'Pre-Summary'!$BW$6:$BY$58,2,FALSE),"")</f>
        <v/>
      </c>
      <c r="N647" s="45" t="str">
        <f>IFERROR(VLOOKUP(B647,'Pre-Summary'!$CD$6:$CF$64,2,FALSE),"")</f>
        <v/>
      </c>
      <c r="O647" s="99">
        <f>IFERROR(VLOOKUP(B647,'Pre-Summary'!$BO$6:$BQ$48,3, FALSE),O646)</f>
        <v>0.9</v>
      </c>
      <c r="P647" s="99">
        <f>IFERROR(VLOOKUP(B647,'Pre-Summary'!$BS$6:$BU$35,3,FALSE),P646)</f>
        <v>0.34399999999999997</v>
      </c>
      <c r="Q647" s="54">
        <f t="shared" si="30"/>
        <v>2.6162790697674421</v>
      </c>
      <c r="R647" s="53">
        <f>IFERROR(VLOOKUP(B647,'Pre-Summary'!$BG$6:$BM$44,7,FALSE),R648)</f>
        <v>7.5915763918363535E-2</v>
      </c>
      <c r="S647" s="53">
        <f>IFERROR(VLOOKUP(B647,'Pre-Summary'!$BG$6:$BM$44,6,FALSE),S648)</f>
        <v>5.2897473997019086E-2</v>
      </c>
      <c r="T647" s="45" t="str">
        <f>IFERROR(VLOOKUP(B647,'Pre-Summary'!$Y$6:$AC$83, 3,FALSE),"")</f>
        <v/>
      </c>
      <c r="U647" s="45" t="str">
        <f>IFERROR(VLOOKUP(B647,'Pre-Summary'!$Y$6:$AC$83, 4,FALSE),"")</f>
        <v/>
      </c>
      <c r="V647" t="str">
        <f>IFERROR(VLOOKUP(B647,'Pre-Summary'!$Y$6:$AC$83, 5,FALSE),"")</f>
        <v/>
      </c>
      <c r="W647" s="45" t="str">
        <f>IFERROR(VLOOKUP(B647,'Pre-Summary'!$Y$6:$AD$83,6,FALSE),"")</f>
        <v/>
      </c>
      <c r="X647" t="str">
        <f>IFERROR(VLOOKUP('Pre-Summary'!$DB$6:$DD$63,3,FALSE),"")</f>
        <v/>
      </c>
      <c r="Y647" t="str">
        <f>IFERROR(VLOOKUP(B647,'Pre-Summary'!$CR$6:$CT$36,3,FALSE),"")</f>
        <v/>
      </c>
      <c r="Z647" s="45" t="str">
        <f>IFERROR(VLOOKUP(B647,'Pre-Summary'!$BZ$6:$CB$63,2,FALSE),"")</f>
        <v/>
      </c>
      <c r="AA647" s="45" t="str">
        <f>IFERROR(VLOOKUP(B647,'Pre-Summary'!$CG$6:$CI$70,2,FALSE),"")</f>
        <v/>
      </c>
      <c r="AB647" s="99">
        <f>IFERROR(VLOOKUP(B647,'Pre-Summary'!$A$6:$P$178,9,FALSE),AB648)</f>
        <v>0.85539342592592615</v>
      </c>
      <c r="AC647" s="10">
        <f>IFERROR(VLOOKUP(Summary!B647,'Pre-Summary'!$A$6:$P$184,5, FALSE)/100,AC648)</f>
        <v>0.72243166666666658</v>
      </c>
      <c r="AD647" s="10">
        <f>IFERROR(VLOOKUP(Summary!B647,'Pre-Summary'!$A$6:$P$184,3, FALSE)/100,AD648)</f>
        <v>0</v>
      </c>
      <c r="AE647" s="10">
        <f>IFERROR(VLOOKUP(Summary!B647,'Pre-Summary'!$A$6:$P$184,7, FALSE)/100,AE648)</f>
        <v>0.27756833333333331</v>
      </c>
      <c r="AF647" s="99">
        <f t="shared" si="31"/>
        <v>0</v>
      </c>
      <c r="AG647" s="99">
        <f t="shared" si="32"/>
        <v>0.23743012757854942</v>
      </c>
      <c r="AH647" s="10" t="str">
        <f>IFERROR(VLOOKUP(B647,'Pre-Summary'!$AZ$6:$BE$65,3,FALSE),"")</f>
        <v/>
      </c>
      <c r="AI647" s="10" t="str">
        <f>IFERROR(VLOOKUP(B647,'Pre-Summary'!$AZ$6:$BE$65,5,FALSE),"")</f>
        <v/>
      </c>
      <c r="AJ647" s="10" t="str">
        <f>IFERROR(VLOOKUP(B647,'Pre-Summary'!$AZ$6:$BE$65,4,FALSE),"")</f>
        <v/>
      </c>
      <c r="AK647" s="10" t="str">
        <f>IFERROR(VLOOKUP(B647,'Pre-Summary'!$AZ$6:$BE$65,6,FALSE),"")</f>
        <v/>
      </c>
      <c r="AL647" s="10" t="str">
        <f>IFERROR(VLOOKUP(B647,'Pre-Summary'!$BG$6:$BL$44,3,FALSE),"")</f>
        <v/>
      </c>
      <c r="AM647" s="10" t="str">
        <f>IFERROR(VLOOKUP(B647,'Pre-Summary'!$BG$6:$BL$44,4,FALSE),"")</f>
        <v/>
      </c>
    </row>
    <row r="648" spans="2:39" ht="15" customHeight="1" x14ac:dyDescent="0.3">
      <c r="B648">
        <v>64.5</v>
      </c>
      <c r="C648" t="str">
        <f>IFERROR(VLOOKUP(B648,'Pre-Summary'!$DI$6:$DM$23,4,FALSE),"")</f>
        <v/>
      </c>
      <c r="D648" s="10" t="str">
        <f>IFERROR(VLOOKUP(B648,'Pre-Summary'!$AT$6:$AX$14,5,FALSE),D647)</f>
        <v>DSMZ v2: Dropped Na-Ac out of DSMZ 120 media</v>
      </c>
      <c r="E648" s="10" t="str">
        <f>IFERROR(VLOOKUP(B648,'Pre-Summary'!$AT$6:$AX$15,4,FALSE),"")</f>
        <v/>
      </c>
      <c r="F648">
        <f>IFERROR(VLOOKUP(B648,'Pre-Summary'!$AL$6:$AQ$13,6,FALSE),F647)</f>
        <v>5.9405263157894746E-2</v>
      </c>
      <c r="G648" t="str">
        <f>IFERROR(VLOOKUP(B648,'Pre-Summary'!$AE$6:$AJ$85,3,FALSE),"")</f>
        <v/>
      </c>
      <c r="H648" t="str">
        <f>IFERROR(VLOOKUP(B648,'Pre-Summary'!$AE$6:$AJ$85,4,FALSE),"")</f>
        <v/>
      </c>
      <c r="I648" t="str">
        <f>IFERROR(VLOOKUP(B648,'Pre-Summary'!$AE$6:$AJ$85,5,FALSE),"")</f>
        <v/>
      </c>
      <c r="J648" s="45" t="str">
        <f>IFERROR(VLOOKUP(B648,'Pre-Summary'!$AE$6:$AJ$85,6, FALSE),"")</f>
        <v/>
      </c>
      <c r="K648" s="45" t="str">
        <f>IFERROR(VLOOKUP(B648,'Pre-Summary'!$DE$6:$DG$61,3,FALSE),"")</f>
        <v/>
      </c>
      <c r="L648" s="45" t="str">
        <f>IFERROR(VLOOKUP(B648,'Pre-Summary'!$CU$6:$CW$36,3,FALSE),"")</f>
        <v/>
      </c>
      <c r="M648" s="45" t="str">
        <f>IFERROR(VLOOKUP(B648,'Pre-Summary'!$BW$6:$BY$58,2,FALSE),"")</f>
        <v/>
      </c>
      <c r="N648" s="45" t="str">
        <f>IFERROR(VLOOKUP(B648,'Pre-Summary'!$CD$6:$CF$64,2,FALSE),"")</f>
        <v/>
      </c>
      <c r="O648" s="99">
        <f>IFERROR(VLOOKUP(B648,'Pre-Summary'!$BO$6:$BQ$48,3, FALSE),O647)</f>
        <v>0.9</v>
      </c>
      <c r="P648" s="99">
        <f>IFERROR(VLOOKUP(B648,'Pre-Summary'!$BS$6:$BU$35,3,FALSE),P647)</f>
        <v>0.34399999999999997</v>
      </c>
      <c r="Q648" s="54">
        <f t="shared" si="30"/>
        <v>2.6162790697674421</v>
      </c>
      <c r="R648" s="53">
        <f>IFERROR(VLOOKUP(B648,'Pre-Summary'!$BG$6:$BM$44,7,FALSE),R649)</f>
        <v>7.5915763918363535E-2</v>
      </c>
      <c r="S648" s="53">
        <f>IFERROR(VLOOKUP(B648,'Pre-Summary'!$BG$6:$BM$44,6,FALSE),S649)</f>
        <v>5.2897473997019086E-2</v>
      </c>
      <c r="T648" s="45" t="str">
        <f>IFERROR(VLOOKUP(B648,'Pre-Summary'!$Y$6:$AC$83, 3,FALSE),"")</f>
        <v/>
      </c>
      <c r="U648" s="45" t="str">
        <f>IFERROR(VLOOKUP(B648,'Pre-Summary'!$Y$6:$AC$83, 4,FALSE),"")</f>
        <v/>
      </c>
      <c r="V648" t="str">
        <f>IFERROR(VLOOKUP(B648,'Pre-Summary'!$Y$6:$AC$83, 5,FALSE),"")</f>
        <v/>
      </c>
      <c r="W648" s="45" t="str">
        <f>IFERROR(VLOOKUP(B648,'Pre-Summary'!$Y$6:$AD$83,6,FALSE),"")</f>
        <v/>
      </c>
      <c r="X648" t="str">
        <f>IFERROR(VLOOKUP('Pre-Summary'!$DB$6:$DD$63,3,FALSE),"")</f>
        <v/>
      </c>
      <c r="Y648" t="str">
        <f>IFERROR(VLOOKUP(B648,'Pre-Summary'!$CR$6:$CT$36,3,FALSE),"")</f>
        <v/>
      </c>
      <c r="Z648" s="45" t="str">
        <f>IFERROR(VLOOKUP(B648,'Pre-Summary'!$BZ$6:$CB$63,2,FALSE),"")</f>
        <v/>
      </c>
      <c r="AA648" s="45" t="str">
        <f>IFERROR(VLOOKUP(B648,'Pre-Summary'!$CG$6:$CI$70,2,FALSE),"")</f>
        <v/>
      </c>
      <c r="AB648" s="99">
        <f>IFERROR(VLOOKUP(B648,'Pre-Summary'!$A$6:$P$178,9,FALSE),AB649)</f>
        <v>0.85539342592592615</v>
      </c>
      <c r="AC648" s="10">
        <f>IFERROR(VLOOKUP(Summary!B648,'Pre-Summary'!$A$6:$P$184,5, FALSE)/100,AC649)</f>
        <v>0.72243166666666658</v>
      </c>
      <c r="AD648" s="10">
        <f>IFERROR(VLOOKUP(Summary!B648,'Pre-Summary'!$A$6:$P$184,3, FALSE)/100,AD649)</f>
        <v>0</v>
      </c>
      <c r="AE648" s="10">
        <f>IFERROR(VLOOKUP(Summary!B648,'Pre-Summary'!$A$6:$P$184,7, FALSE)/100,AE649)</f>
        <v>0.27756833333333331</v>
      </c>
      <c r="AF648" s="99">
        <f t="shared" si="31"/>
        <v>0</v>
      </c>
      <c r="AG648" s="99">
        <f t="shared" si="32"/>
        <v>0.23743012757854942</v>
      </c>
      <c r="AH648" s="10" t="str">
        <f>IFERROR(VLOOKUP(B648,'Pre-Summary'!$AZ$6:$BE$65,3,FALSE),"")</f>
        <v/>
      </c>
      <c r="AI648" s="10" t="str">
        <f>IFERROR(VLOOKUP(B648,'Pre-Summary'!$AZ$6:$BE$65,5,FALSE),"")</f>
        <v/>
      </c>
      <c r="AJ648" s="10" t="str">
        <f>IFERROR(VLOOKUP(B648,'Pre-Summary'!$AZ$6:$BE$65,4,FALSE),"")</f>
        <v/>
      </c>
      <c r="AK648" s="10" t="str">
        <f>IFERROR(VLOOKUP(B648,'Pre-Summary'!$AZ$6:$BE$65,6,FALSE),"")</f>
        <v/>
      </c>
      <c r="AL648" s="10" t="str">
        <f>IFERROR(VLOOKUP(B648,'Pre-Summary'!$BG$6:$BL$44,3,FALSE),"")</f>
        <v/>
      </c>
      <c r="AM648" s="10" t="str">
        <f>IFERROR(VLOOKUP(B648,'Pre-Summary'!$BG$6:$BL$44,4,FALSE),"")</f>
        <v/>
      </c>
    </row>
    <row r="649" spans="2:39" ht="15" customHeight="1" x14ac:dyDescent="0.3">
      <c r="B649">
        <v>64.599999999999994</v>
      </c>
      <c r="C649" t="str">
        <f>IFERROR(VLOOKUP(B649,'Pre-Summary'!$DI$6:$DM$23,4,FALSE),"")</f>
        <v/>
      </c>
      <c r="D649" s="10" t="str">
        <f>IFERROR(VLOOKUP(B649,'Pre-Summary'!$AT$6:$AX$14,5,FALSE),D648)</f>
        <v>DSMZ v2: Dropped Na-Ac out of DSMZ 120 media</v>
      </c>
      <c r="E649" s="10" t="str">
        <f>IFERROR(VLOOKUP(B649,'Pre-Summary'!$AT$6:$AX$15,4,FALSE),"")</f>
        <v/>
      </c>
      <c r="F649">
        <f>IFERROR(VLOOKUP(B649,'Pre-Summary'!$AL$6:$AQ$13,6,FALSE),F648)</f>
        <v>5.9405263157894746E-2</v>
      </c>
      <c r="G649" t="str">
        <f>IFERROR(VLOOKUP(B649,'Pre-Summary'!$AE$6:$AJ$85,3,FALSE),"")</f>
        <v/>
      </c>
      <c r="H649" t="str">
        <f>IFERROR(VLOOKUP(B649,'Pre-Summary'!$AE$6:$AJ$85,4,FALSE),"")</f>
        <v/>
      </c>
      <c r="I649" t="str">
        <f>IFERROR(VLOOKUP(B649,'Pre-Summary'!$AE$6:$AJ$85,5,FALSE),"")</f>
        <v/>
      </c>
      <c r="J649" s="45" t="str">
        <f>IFERROR(VLOOKUP(B649,'Pre-Summary'!$AE$6:$AJ$85,6, FALSE),"")</f>
        <v/>
      </c>
      <c r="K649" s="45" t="str">
        <f>IFERROR(VLOOKUP(B649,'Pre-Summary'!$DE$6:$DG$61,3,FALSE),"")</f>
        <v/>
      </c>
      <c r="L649" s="45" t="str">
        <f>IFERROR(VLOOKUP(B649,'Pre-Summary'!$CU$6:$CW$36,3,FALSE),"")</f>
        <v/>
      </c>
      <c r="M649" s="45" t="str">
        <f>IFERROR(VLOOKUP(B649,'Pre-Summary'!$BW$6:$BY$58,2,FALSE),"")</f>
        <v/>
      </c>
      <c r="N649" s="45" t="str">
        <f>IFERROR(VLOOKUP(B649,'Pre-Summary'!$CD$6:$CF$64,2,FALSE),"")</f>
        <v/>
      </c>
      <c r="O649" s="99">
        <f>IFERROR(VLOOKUP(B649,'Pre-Summary'!$BO$6:$BQ$48,3, FALSE),O648)</f>
        <v>0.9</v>
      </c>
      <c r="P649" s="99">
        <f>IFERROR(VLOOKUP(B649,'Pre-Summary'!$BS$6:$BU$35,3,FALSE),P648)</f>
        <v>0.34399999999999997</v>
      </c>
      <c r="Q649" s="54">
        <f t="shared" si="30"/>
        <v>2.6162790697674421</v>
      </c>
      <c r="R649" s="53">
        <f>IFERROR(VLOOKUP(B649,'Pre-Summary'!$BG$6:$BM$44,7,FALSE),R650)</f>
        <v>7.5915763918363535E-2</v>
      </c>
      <c r="S649" s="53">
        <f>IFERROR(VLOOKUP(B649,'Pre-Summary'!$BG$6:$BM$44,6,FALSE),S650)</f>
        <v>5.2897473997019086E-2</v>
      </c>
      <c r="T649" s="45" t="str">
        <f>IFERROR(VLOOKUP(B649,'Pre-Summary'!$Y$6:$AC$83, 3,FALSE),"")</f>
        <v/>
      </c>
      <c r="U649" s="45" t="str">
        <f>IFERROR(VLOOKUP(B649,'Pre-Summary'!$Y$6:$AC$83, 4,FALSE),"")</f>
        <v/>
      </c>
      <c r="V649" t="str">
        <f>IFERROR(VLOOKUP(B649,'Pre-Summary'!$Y$6:$AC$83, 5,FALSE),"")</f>
        <v/>
      </c>
      <c r="W649" s="45" t="str">
        <f>IFERROR(VLOOKUP(B649,'Pre-Summary'!$Y$6:$AD$83,6,FALSE),"")</f>
        <v/>
      </c>
      <c r="X649" t="str">
        <f>IFERROR(VLOOKUP('Pre-Summary'!$DB$6:$DD$63,3,FALSE),"")</f>
        <v/>
      </c>
      <c r="Y649" t="str">
        <f>IFERROR(VLOOKUP(B649,'Pre-Summary'!$CR$6:$CT$36,3,FALSE),"")</f>
        <v/>
      </c>
      <c r="Z649" s="45" t="str">
        <f>IFERROR(VLOOKUP(B649,'Pre-Summary'!$BZ$6:$CB$63,2,FALSE),"")</f>
        <v/>
      </c>
      <c r="AA649" s="45" t="str">
        <f>IFERROR(VLOOKUP(B649,'Pre-Summary'!$CG$6:$CI$70,2,FALSE),"")</f>
        <v/>
      </c>
      <c r="AB649" s="99">
        <f>IFERROR(VLOOKUP(B649,'Pre-Summary'!$A$6:$P$178,9,FALSE),AB650)</f>
        <v>0.85539342592592615</v>
      </c>
      <c r="AC649" s="10">
        <f>IFERROR(VLOOKUP(Summary!B649,'Pre-Summary'!$A$6:$P$184,5, FALSE)/100,AC650)</f>
        <v>0.72243166666666658</v>
      </c>
      <c r="AD649" s="10">
        <f>IFERROR(VLOOKUP(Summary!B649,'Pre-Summary'!$A$6:$P$184,3, FALSE)/100,AD650)</f>
        <v>0</v>
      </c>
      <c r="AE649" s="10">
        <f>IFERROR(VLOOKUP(Summary!B649,'Pre-Summary'!$A$6:$P$184,7, FALSE)/100,AE650)</f>
        <v>0.27756833333333331</v>
      </c>
      <c r="AF649" s="99">
        <f t="shared" si="31"/>
        <v>0</v>
      </c>
      <c r="AG649" s="99">
        <f t="shared" si="32"/>
        <v>0.23743012757854942</v>
      </c>
      <c r="AH649" s="10" t="str">
        <f>IFERROR(VLOOKUP(B649,'Pre-Summary'!$AZ$6:$BE$65,3,FALSE),"")</f>
        <v/>
      </c>
      <c r="AI649" s="10" t="str">
        <f>IFERROR(VLOOKUP(B649,'Pre-Summary'!$AZ$6:$BE$65,5,FALSE),"")</f>
        <v/>
      </c>
      <c r="AJ649" s="10" t="str">
        <f>IFERROR(VLOOKUP(B649,'Pre-Summary'!$AZ$6:$BE$65,4,FALSE),"")</f>
        <v/>
      </c>
      <c r="AK649" s="10" t="str">
        <f>IFERROR(VLOOKUP(B649,'Pre-Summary'!$AZ$6:$BE$65,6,FALSE),"")</f>
        <v/>
      </c>
      <c r="AL649" s="10" t="str">
        <f>IFERROR(VLOOKUP(B649,'Pre-Summary'!$BG$6:$BL$44,3,FALSE),"")</f>
        <v/>
      </c>
      <c r="AM649" s="10" t="str">
        <f>IFERROR(VLOOKUP(B649,'Pre-Summary'!$BG$6:$BL$44,4,FALSE),"")</f>
        <v/>
      </c>
    </row>
    <row r="650" spans="2:39" ht="15" customHeight="1" x14ac:dyDescent="0.3">
      <c r="B650">
        <v>64.7</v>
      </c>
      <c r="C650" t="str">
        <f>IFERROR(VLOOKUP(B650,'Pre-Summary'!$DI$6:$DM$23,4,FALSE),"")</f>
        <v/>
      </c>
      <c r="D650" s="10" t="str">
        <f>IFERROR(VLOOKUP(B650,'Pre-Summary'!$AT$6:$AX$14,5,FALSE),D649)</f>
        <v>DSMZ v2: Dropped Na-Ac out of DSMZ 120 media</v>
      </c>
      <c r="E650" s="10" t="str">
        <f>IFERROR(VLOOKUP(B650,'Pre-Summary'!$AT$6:$AX$15,4,FALSE),"")</f>
        <v/>
      </c>
      <c r="F650">
        <f>IFERROR(VLOOKUP(B650,'Pre-Summary'!$AL$6:$AQ$13,6,FALSE),F649)</f>
        <v>5.9405263157894746E-2</v>
      </c>
      <c r="G650" t="str">
        <f>IFERROR(VLOOKUP(B650,'Pre-Summary'!$AE$6:$AJ$85,3,FALSE),"")</f>
        <v/>
      </c>
      <c r="H650" t="str">
        <f>IFERROR(VLOOKUP(B650,'Pre-Summary'!$AE$6:$AJ$85,4,FALSE),"")</f>
        <v/>
      </c>
      <c r="I650" t="str">
        <f>IFERROR(VLOOKUP(B650,'Pre-Summary'!$AE$6:$AJ$85,5,FALSE),"")</f>
        <v/>
      </c>
      <c r="J650" s="45" t="str">
        <f>IFERROR(VLOOKUP(B650,'Pre-Summary'!$AE$6:$AJ$85,6, FALSE),"")</f>
        <v/>
      </c>
      <c r="K650" s="45" t="str">
        <f>IFERROR(VLOOKUP(B650,'Pre-Summary'!$DE$6:$DG$61,3,FALSE),"")</f>
        <v/>
      </c>
      <c r="L650" s="45" t="str">
        <f>IFERROR(VLOOKUP(B650,'Pre-Summary'!$CU$6:$CW$36,3,FALSE),"")</f>
        <v/>
      </c>
      <c r="M650" s="45" t="str">
        <f>IFERROR(VLOOKUP(B650,'Pre-Summary'!$BW$6:$BY$58,2,FALSE),"")</f>
        <v/>
      </c>
      <c r="N650" s="45" t="str">
        <f>IFERROR(VLOOKUP(B650,'Pre-Summary'!$CD$6:$CF$64,2,FALSE),"")</f>
        <v/>
      </c>
      <c r="O650" s="99">
        <f>IFERROR(VLOOKUP(B650,'Pre-Summary'!$BO$6:$BQ$48,3, FALSE),O649)</f>
        <v>0.9</v>
      </c>
      <c r="P650" s="99">
        <f>IFERROR(VLOOKUP(B650,'Pre-Summary'!$BS$6:$BU$35,3,FALSE),P649)</f>
        <v>0.34399999999999997</v>
      </c>
      <c r="Q650" s="54">
        <f t="shared" si="30"/>
        <v>2.6162790697674421</v>
      </c>
      <c r="R650" s="53">
        <f>IFERROR(VLOOKUP(B650,'Pre-Summary'!$BG$6:$BM$44,7,FALSE),R651)</f>
        <v>7.5915763918363535E-2</v>
      </c>
      <c r="S650" s="53">
        <f>IFERROR(VLOOKUP(B650,'Pre-Summary'!$BG$6:$BM$44,6,FALSE),S651)</f>
        <v>5.2897473997019086E-2</v>
      </c>
      <c r="T650" s="45" t="str">
        <f>IFERROR(VLOOKUP(B650,'Pre-Summary'!$Y$6:$AC$83, 3,FALSE),"")</f>
        <v/>
      </c>
      <c r="U650" s="45" t="str">
        <f>IFERROR(VLOOKUP(B650,'Pre-Summary'!$Y$6:$AC$83, 4,FALSE),"")</f>
        <v/>
      </c>
      <c r="V650" t="str">
        <f>IFERROR(VLOOKUP(B650,'Pre-Summary'!$Y$6:$AC$83, 5,FALSE),"")</f>
        <v/>
      </c>
      <c r="W650" s="45" t="str">
        <f>IFERROR(VLOOKUP(B650,'Pre-Summary'!$Y$6:$AD$83,6,FALSE),"")</f>
        <v/>
      </c>
      <c r="X650" t="str">
        <f>IFERROR(VLOOKUP('Pre-Summary'!$DB$6:$DD$63,3,FALSE),"")</f>
        <v/>
      </c>
      <c r="Y650" t="str">
        <f>IFERROR(VLOOKUP(B650,'Pre-Summary'!$CR$6:$CT$36,3,FALSE),"")</f>
        <v/>
      </c>
      <c r="Z650" s="45" t="str">
        <f>IFERROR(VLOOKUP(B650,'Pre-Summary'!$BZ$6:$CB$63,2,FALSE),"")</f>
        <v/>
      </c>
      <c r="AA650" s="45" t="str">
        <f>IFERROR(VLOOKUP(B650,'Pre-Summary'!$CG$6:$CI$70,2,FALSE),"")</f>
        <v/>
      </c>
      <c r="AB650" s="99">
        <f>IFERROR(VLOOKUP(B650,'Pre-Summary'!$A$6:$P$178,9,FALSE),AB651)</f>
        <v>0.85539342592592615</v>
      </c>
      <c r="AC650" s="10">
        <f>IFERROR(VLOOKUP(Summary!B650,'Pre-Summary'!$A$6:$P$184,5, FALSE)/100,AC651)</f>
        <v>0.72243166666666658</v>
      </c>
      <c r="AD650" s="10">
        <f>IFERROR(VLOOKUP(Summary!B650,'Pre-Summary'!$A$6:$P$184,3, FALSE)/100,AD651)</f>
        <v>0</v>
      </c>
      <c r="AE650" s="10">
        <f>IFERROR(VLOOKUP(Summary!B650,'Pre-Summary'!$A$6:$P$184,7, FALSE)/100,AE651)</f>
        <v>0.27756833333333331</v>
      </c>
      <c r="AF650" s="99">
        <f t="shared" si="31"/>
        <v>0</v>
      </c>
      <c r="AG650" s="99">
        <f t="shared" si="32"/>
        <v>0.23743012757854942</v>
      </c>
      <c r="AH650" s="10" t="str">
        <f>IFERROR(VLOOKUP(B650,'Pre-Summary'!$AZ$6:$BE$65,3,FALSE),"")</f>
        <v/>
      </c>
      <c r="AI650" s="10" t="str">
        <f>IFERROR(VLOOKUP(B650,'Pre-Summary'!$AZ$6:$BE$65,5,FALSE),"")</f>
        <v/>
      </c>
      <c r="AJ650" s="10" t="str">
        <f>IFERROR(VLOOKUP(B650,'Pre-Summary'!$AZ$6:$BE$65,4,FALSE),"")</f>
        <v/>
      </c>
      <c r="AK650" s="10" t="str">
        <f>IFERROR(VLOOKUP(B650,'Pre-Summary'!$AZ$6:$BE$65,6,FALSE),"")</f>
        <v/>
      </c>
      <c r="AL650" s="10" t="str">
        <f>IFERROR(VLOOKUP(B650,'Pre-Summary'!$BG$6:$BL$44,3,FALSE),"")</f>
        <v/>
      </c>
      <c r="AM650" s="10" t="str">
        <f>IFERROR(VLOOKUP(B650,'Pre-Summary'!$BG$6:$BL$44,4,FALSE),"")</f>
        <v/>
      </c>
    </row>
    <row r="651" spans="2:39" ht="15" customHeight="1" x14ac:dyDescent="0.3">
      <c r="B651">
        <v>64.8</v>
      </c>
      <c r="C651" t="str">
        <f>IFERROR(VLOOKUP(B651,'Pre-Summary'!$DI$6:$DM$23,4,FALSE),"")</f>
        <v/>
      </c>
      <c r="D651" s="10" t="str">
        <f>IFERROR(VLOOKUP(B651,'Pre-Summary'!$AT$6:$AX$14,5,FALSE),D650)</f>
        <v>DSMZ v2: Dropped Na-Ac out of DSMZ 120 media</v>
      </c>
      <c r="E651" s="10" t="str">
        <f>IFERROR(VLOOKUP(B651,'Pre-Summary'!$AT$6:$AX$15,4,FALSE),"")</f>
        <v/>
      </c>
      <c r="F651">
        <f>IFERROR(VLOOKUP(B651,'Pre-Summary'!$AL$6:$AQ$13,6,FALSE),F650)</f>
        <v>5.9405263157894746E-2</v>
      </c>
      <c r="G651" t="str">
        <f>IFERROR(VLOOKUP(B651,'Pre-Summary'!$AE$6:$AJ$85,3,FALSE),"")</f>
        <v/>
      </c>
      <c r="H651" t="str">
        <f>IFERROR(VLOOKUP(B651,'Pre-Summary'!$AE$6:$AJ$85,4,FALSE),"")</f>
        <v/>
      </c>
      <c r="I651" t="str">
        <f>IFERROR(VLOOKUP(B651,'Pre-Summary'!$AE$6:$AJ$85,5,FALSE),"")</f>
        <v/>
      </c>
      <c r="J651" s="45" t="str">
        <f>IFERROR(VLOOKUP(B651,'Pre-Summary'!$AE$6:$AJ$85,6, FALSE),"")</f>
        <v/>
      </c>
      <c r="K651" s="45" t="str">
        <f>IFERROR(VLOOKUP(B651,'Pre-Summary'!$DE$6:$DG$61,3,FALSE),"")</f>
        <v/>
      </c>
      <c r="L651" s="45" t="str">
        <f>IFERROR(VLOOKUP(B651,'Pre-Summary'!$CU$6:$CW$36,3,FALSE),"")</f>
        <v/>
      </c>
      <c r="M651" s="45" t="str">
        <f>IFERROR(VLOOKUP(B651,'Pre-Summary'!$BW$6:$BY$58,2,FALSE),"")</f>
        <v/>
      </c>
      <c r="N651" s="45" t="str">
        <f>IFERROR(VLOOKUP(B651,'Pre-Summary'!$CD$6:$CF$64,2,FALSE),"")</f>
        <v/>
      </c>
      <c r="O651" s="99">
        <f>IFERROR(VLOOKUP(B651,'Pre-Summary'!$BO$6:$BQ$48,3, FALSE),O650)</f>
        <v>0.9</v>
      </c>
      <c r="P651" s="99">
        <f>IFERROR(VLOOKUP(B651,'Pre-Summary'!$BS$6:$BU$35,3,FALSE),P650)</f>
        <v>0.34399999999999997</v>
      </c>
      <c r="Q651" s="54">
        <f t="shared" si="30"/>
        <v>2.6162790697674421</v>
      </c>
      <c r="R651" s="53">
        <f>IFERROR(VLOOKUP(B651,'Pre-Summary'!$BG$6:$BM$44,7,FALSE),R652)</f>
        <v>7.5915763918363535E-2</v>
      </c>
      <c r="S651" s="53">
        <f>IFERROR(VLOOKUP(B651,'Pre-Summary'!$BG$6:$BM$44,6,FALSE),S652)</f>
        <v>5.2897473997019086E-2</v>
      </c>
      <c r="T651" s="45" t="str">
        <f>IFERROR(VLOOKUP(B651,'Pre-Summary'!$Y$6:$AC$83, 3,FALSE),"")</f>
        <v/>
      </c>
      <c r="U651" s="45" t="str">
        <f>IFERROR(VLOOKUP(B651,'Pre-Summary'!$Y$6:$AC$83, 4,FALSE),"")</f>
        <v/>
      </c>
      <c r="V651" t="str">
        <f>IFERROR(VLOOKUP(B651,'Pre-Summary'!$Y$6:$AC$83, 5,FALSE),"")</f>
        <v/>
      </c>
      <c r="W651" s="45" t="str">
        <f>IFERROR(VLOOKUP(B651,'Pre-Summary'!$Y$6:$AD$83,6,FALSE),"")</f>
        <v/>
      </c>
      <c r="X651" t="str">
        <f>IFERROR(VLOOKUP('Pre-Summary'!$DB$6:$DD$63,3,FALSE),"")</f>
        <v/>
      </c>
      <c r="Y651" t="str">
        <f>IFERROR(VLOOKUP(B651,'Pre-Summary'!$CR$6:$CT$36,3,FALSE),"")</f>
        <v/>
      </c>
      <c r="Z651" s="45" t="str">
        <f>IFERROR(VLOOKUP(B651,'Pre-Summary'!$BZ$6:$CB$63,2,FALSE),"")</f>
        <v/>
      </c>
      <c r="AA651" s="45" t="str">
        <f>IFERROR(VLOOKUP(B651,'Pre-Summary'!$CG$6:$CI$70,2,FALSE),"")</f>
        <v/>
      </c>
      <c r="AB651" s="99">
        <f>IFERROR(VLOOKUP(B651,'Pre-Summary'!$A$6:$P$178,9,FALSE),AB652)</f>
        <v>0.85539342592592615</v>
      </c>
      <c r="AC651" s="10">
        <f>IFERROR(VLOOKUP(Summary!B651,'Pre-Summary'!$A$6:$P$184,5, FALSE)/100,AC652)</f>
        <v>0.72243166666666658</v>
      </c>
      <c r="AD651" s="10">
        <f>IFERROR(VLOOKUP(Summary!B651,'Pre-Summary'!$A$6:$P$184,3, FALSE)/100,AD652)</f>
        <v>0</v>
      </c>
      <c r="AE651" s="10">
        <f>IFERROR(VLOOKUP(Summary!B651,'Pre-Summary'!$A$6:$P$184,7, FALSE)/100,AE652)</f>
        <v>0.27756833333333331</v>
      </c>
      <c r="AF651" s="99">
        <f t="shared" si="31"/>
        <v>0</v>
      </c>
      <c r="AG651" s="99">
        <f t="shared" si="32"/>
        <v>0.23743012757854942</v>
      </c>
      <c r="AH651" s="10" t="str">
        <f>IFERROR(VLOOKUP(B651,'Pre-Summary'!$AZ$6:$BE$65,3,FALSE),"")</f>
        <v/>
      </c>
      <c r="AI651" s="10" t="str">
        <f>IFERROR(VLOOKUP(B651,'Pre-Summary'!$AZ$6:$BE$65,5,FALSE),"")</f>
        <v/>
      </c>
      <c r="AJ651" s="10" t="str">
        <f>IFERROR(VLOOKUP(B651,'Pre-Summary'!$AZ$6:$BE$65,4,FALSE),"")</f>
        <v/>
      </c>
      <c r="AK651" s="10" t="str">
        <f>IFERROR(VLOOKUP(B651,'Pre-Summary'!$AZ$6:$BE$65,6,FALSE),"")</f>
        <v/>
      </c>
      <c r="AL651" s="10" t="str">
        <f>IFERROR(VLOOKUP(B651,'Pre-Summary'!$BG$6:$BL$44,3,FALSE),"")</f>
        <v/>
      </c>
      <c r="AM651" s="10" t="str">
        <f>IFERROR(VLOOKUP(B651,'Pre-Summary'!$BG$6:$BL$44,4,FALSE),"")</f>
        <v/>
      </c>
    </row>
    <row r="652" spans="2:39" ht="15" customHeight="1" x14ac:dyDescent="0.3">
      <c r="B652">
        <v>64.900000000000006</v>
      </c>
      <c r="C652" t="str">
        <f>IFERROR(VLOOKUP(B652,'Pre-Summary'!$DI$6:$DM$23,4,FALSE),"")</f>
        <v/>
      </c>
      <c r="D652" s="10" t="str">
        <f>IFERROR(VLOOKUP(B652,'Pre-Summary'!$AT$6:$AX$14,5,FALSE),D651)</f>
        <v>DSMZ v2: Dropped Na-Ac out of DSMZ 120 media</v>
      </c>
      <c r="E652" s="10" t="str">
        <f>IFERROR(VLOOKUP(B652,'Pre-Summary'!$AT$6:$AX$15,4,FALSE),"")</f>
        <v/>
      </c>
      <c r="F652">
        <f>IFERROR(VLOOKUP(B652,'Pre-Summary'!$AL$6:$AQ$13,6,FALSE),F651)</f>
        <v>5.9405263157894746E-2</v>
      </c>
      <c r="G652">
        <f>IFERROR(VLOOKUP(B652,'Pre-Summary'!$AE$6:$AJ$85,3,FALSE),"")</f>
        <v>292.76</v>
      </c>
      <c r="H652">
        <f>IFERROR(VLOOKUP(B652,'Pre-Summary'!$AE$6:$AJ$85,4,FALSE),"")</f>
        <v>143.13999999999999</v>
      </c>
      <c r="I652">
        <f>IFERROR(VLOOKUP(B652,'Pre-Summary'!$AE$6:$AJ$85,5,FALSE),"")</f>
        <v>0</v>
      </c>
      <c r="J652" s="45">
        <f>IFERROR(VLOOKUP(B652,'Pre-Summary'!$AE$6:$AJ$85,6, FALSE),"")</f>
        <v>529.08888000000002</v>
      </c>
      <c r="K652" s="45" t="str">
        <f>IFERROR(VLOOKUP(B652,'Pre-Summary'!$DE$6:$DG$61,3,FALSE),"")</f>
        <v/>
      </c>
      <c r="L652" s="45" t="str">
        <f>IFERROR(VLOOKUP(B652,'Pre-Summary'!$CU$6:$CW$36,3,FALSE),"")</f>
        <v/>
      </c>
      <c r="M652" s="45" t="str">
        <f>IFERROR(VLOOKUP(B652,'Pre-Summary'!$BW$6:$BY$58,2,FALSE),"")</f>
        <v/>
      </c>
      <c r="N652" s="45" t="str">
        <f>IFERROR(VLOOKUP(B652,'Pre-Summary'!$CD$6:$CF$64,2,FALSE),"")</f>
        <v/>
      </c>
      <c r="O652" s="99">
        <f>IFERROR(VLOOKUP(B652,'Pre-Summary'!$BO$6:$BQ$48,3, FALSE),O651)</f>
        <v>0.9</v>
      </c>
      <c r="P652" s="99">
        <f>IFERROR(VLOOKUP(B652,'Pre-Summary'!$BS$6:$BU$35,3,FALSE),P651)</f>
        <v>0.34399999999999997</v>
      </c>
      <c r="Q652" s="54">
        <f t="shared" si="30"/>
        <v>2.6162790697674421</v>
      </c>
      <c r="R652" s="53">
        <f>IFERROR(VLOOKUP(B652,'Pre-Summary'!$BG$6:$BM$44,7,FALSE),R653)</f>
        <v>7.5915763918363535E-2</v>
      </c>
      <c r="S652" s="53">
        <f>IFERROR(VLOOKUP(B652,'Pre-Summary'!$BG$6:$BM$44,6,FALSE),S653)</f>
        <v>5.2897473997019086E-2</v>
      </c>
      <c r="T652" s="45">
        <f>IFERROR(VLOOKUP(B652,'Pre-Summary'!$Y$6:$AC$83, 3,FALSE),"")</f>
        <v>124.06</v>
      </c>
      <c r="U652" s="45">
        <f>IFERROR(VLOOKUP(B652,'Pre-Summary'!$Y$6:$AC$83, 4,FALSE),"")</f>
        <v>458.6</v>
      </c>
      <c r="V652">
        <f>IFERROR(VLOOKUP(B652,'Pre-Summary'!$Y$6:$AC$83, 5,FALSE),"")</f>
        <v>0</v>
      </c>
      <c r="W652" s="45">
        <f>IFERROR(VLOOKUP(B652,'Pre-Summary'!$Y$6:$AD$83,6,FALSE),"")</f>
        <v>826.69242000000008</v>
      </c>
      <c r="X652" t="str">
        <f>IFERROR(VLOOKUP('Pre-Summary'!$DB$6:$DD$63,3,FALSE),"")</f>
        <v/>
      </c>
      <c r="Y652" t="str">
        <f>IFERROR(VLOOKUP(B652,'Pre-Summary'!$CR$6:$CT$36,3,FALSE),"")</f>
        <v/>
      </c>
      <c r="Z652" s="45" t="str">
        <f>IFERROR(VLOOKUP(B652,'Pre-Summary'!$BZ$6:$CB$63,2,FALSE),"")</f>
        <v/>
      </c>
      <c r="AA652" s="45" t="str">
        <f>IFERROR(VLOOKUP(B652,'Pre-Summary'!$CG$6:$CI$70,2,FALSE),"")</f>
        <v/>
      </c>
      <c r="AB652" s="99">
        <f>IFERROR(VLOOKUP(B652,'Pre-Summary'!$A$6:$P$178,9,FALSE),AB653)</f>
        <v>0.85539342592592615</v>
      </c>
      <c r="AC652" s="10">
        <f>IFERROR(VLOOKUP(Summary!B652,'Pre-Summary'!$A$6:$P$184,5, FALSE)/100,AC653)</f>
        <v>0.72243166666666658</v>
      </c>
      <c r="AD652" s="10">
        <f>IFERROR(VLOOKUP(Summary!B652,'Pre-Summary'!$A$6:$P$184,3, FALSE)/100,AD653)</f>
        <v>0</v>
      </c>
      <c r="AE652" s="10">
        <f>IFERROR(VLOOKUP(Summary!B652,'Pre-Summary'!$A$6:$P$184,7, FALSE)/100,AE653)</f>
        <v>0.27756833333333331</v>
      </c>
      <c r="AF652" s="99">
        <f t="shared" si="31"/>
        <v>0</v>
      </c>
      <c r="AG652" s="99">
        <f t="shared" si="32"/>
        <v>0.23743012757854942</v>
      </c>
      <c r="AH652" s="10" t="str">
        <f>IFERROR(VLOOKUP(B652,'Pre-Summary'!$AZ$6:$BE$65,3,FALSE),"")</f>
        <v/>
      </c>
      <c r="AI652" s="10" t="str">
        <f>IFERROR(VLOOKUP(B652,'Pre-Summary'!$AZ$6:$BE$65,5,FALSE),"")</f>
        <v/>
      </c>
      <c r="AJ652" s="10" t="str">
        <f>IFERROR(VLOOKUP(B652,'Pre-Summary'!$AZ$6:$BE$65,4,FALSE),"")</f>
        <v/>
      </c>
      <c r="AK652" s="10" t="str">
        <f>IFERROR(VLOOKUP(B652,'Pre-Summary'!$AZ$6:$BE$65,6,FALSE),"")</f>
        <v/>
      </c>
      <c r="AL652" s="10" t="str">
        <f>IFERROR(VLOOKUP(B652,'Pre-Summary'!$BG$6:$BL$44,3,FALSE),"")</f>
        <v/>
      </c>
      <c r="AM652" s="10" t="str">
        <f>IFERROR(VLOOKUP(B652,'Pre-Summary'!$BG$6:$BL$44,4,FALSE),"")</f>
        <v/>
      </c>
    </row>
    <row r="653" spans="2:39" ht="15" customHeight="1" x14ac:dyDescent="0.3">
      <c r="B653">
        <v>65</v>
      </c>
      <c r="C653" t="str">
        <f>IFERROR(VLOOKUP(B653,'Pre-Summary'!$DI$6:$DM$23,4,FALSE),"")</f>
        <v/>
      </c>
      <c r="D653" s="10" t="str">
        <f>IFERROR(VLOOKUP(B653,'Pre-Summary'!$AT$6:$AX$14,5,FALSE),D652)</f>
        <v>DSMZ v2: Dropped Na-Ac out of DSMZ 120 media</v>
      </c>
      <c r="E653" s="10" t="str">
        <f>IFERROR(VLOOKUP(B653,'Pre-Summary'!$AT$6:$AX$15,4,FALSE),"")</f>
        <v/>
      </c>
      <c r="F653">
        <f>IFERROR(VLOOKUP(B653,'Pre-Summary'!$AL$6:$AQ$13,6,FALSE),F652)</f>
        <v>5.9405263157894746E-2</v>
      </c>
      <c r="G653" t="str">
        <f>IFERROR(VLOOKUP(B653,'Pre-Summary'!$AE$6:$AJ$85,3,FALSE),"")</f>
        <v/>
      </c>
      <c r="H653" t="str">
        <f>IFERROR(VLOOKUP(B653,'Pre-Summary'!$AE$6:$AJ$85,4,FALSE),"")</f>
        <v/>
      </c>
      <c r="I653" t="str">
        <f>IFERROR(VLOOKUP(B653,'Pre-Summary'!$AE$6:$AJ$85,5,FALSE),"")</f>
        <v/>
      </c>
      <c r="J653" s="45" t="str">
        <f>IFERROR(VLOOKUP(B653,'Pre-Summary'!$AE$6:$AJ$85,6, FALSE),"")</f>
        <v/>
      </c>
      <c r="K653" s="45" t="str">
        <f>IFERROR(VLOOKUP(B653,'Pre-Summary'!$DE$6:$DG$61,3,FALSE),"")</f>
        <v/>
      </c>
      <c r="L653" s="45" t="str">
        <f>IFERROR(VLOOKUP(B653,'Pre-Summary'!$CU$6:$CW$36,3,FALSE),"")</f>
        <v/>
      </c>
      <c r="M653" s="45" t="str">
        <f>IFERROR(VLOOKUP(B653,'Pre-Summary'!$BW$6:$BY$58,2,FALSE),"")</f>
        <v/>
      </c>
      <c r="N653" s="45" t="str">
        <f>IFERROR(VLOOKUP(B653,'Pre-Summary'!$CD$6:$CF$64,2,FALSE),"")</f>
        <v/>
      </c>
      <c r="O653" s="99">
        <f>IFERROR(VLOOKUP(B653,'Pre-Summary'!$BO$6:$BQ$48,3, FALSE),O652)</f>
        <v>0.98799999999999999</v>
      </c>
      <c r="P653" s="99">
        <f>IFERROR(VLOOKUP(B653,'Pre-Summary'!$BS$6:$BU$35,3,FALSE),P652)</f>
        <v>0.34399999999999997</v>
      </c>
      <c r="Q653" s="54">
        <f t="shared" si="30"/>
        <v>2.8720930232558142</v>
      </c>
      <c r="R653" s="53">
        <f>IFERROR(VLOOKUP(B653,'Pre-Summary'!$BG$6:$BM$44,7,FALSE),R654)</f>
        <v>7.5915763918363535E-2</v>
      </c>
      <c r="S653" s="53">
        <f>IFERROR(VLOOKUP(B653,'Pre-Summary'!$BG$6:$BM$44,6,FALSE),S654)</f>
        <v>5.2897473997019086E-2</v>
      </c>
      <c r="T653" s="45" t="str">
        <f>IFERROR(VLOOKUP(B653,'Pre-Summary'!$Y$6:$AC$83, 3,FALSE),"")</f>
        <v/>
      </c>
      <c r="U653" s="45" t="str">
        <f>IFERROR(VLOOKUP(B653,'Pre-Summary'!$Y$6:$AC$83, 4,FALSE),"")</f>
        <v/>
      </c>
      <c r="V653" t="str">
        <f>IFERROR(VLOOKUP(B653,'Pre-Summary'!$Y$6:$AC$83, 5,FALSE),"")</f>
        <v/>
      </c>
      <c r="W653" s="45" t="str">
        <f>IFERROR(VLOOKUP(B653,'Pre-Summary'!$Y$6:$AD$83,6,FALSE),"")</f>
        <v/>
      </c>
      <c r="X653" t="str">
        <f>IFERROR(VLOOKUP('Pre-Summary'!$DB$6:$DD$63,3,FALSE),"")</f>
        <v/>
      </c>
      <c r="Y653" t="str">
        <f>IFERROR(VLOOKUP(B653,'Pre-Summary'!$CR$6:$CT$36,3,FALSE),"")</f>
        <v/>
      </c>
      <c r="Z653" s="45" t="str">
        <f>IFERROR(VLOOKUP(B653,'Pre-Summary'!$BZ$6:$CB$63,2,FALSE),"")</f>
        <v/>
      </c>
      <c r="AA653" s="45" t="str">
        <f>IFERROR(VLOOKUP(B653,'Pre-Summary'!$CG$6:$CI$70,2,FALSE),"")</f>
        <v/>
      </c>
      <c r="AB653" s="99">
        <f>IFERROR(VLOOKUP(B653,'Pre-Summary'!$A$6:$P$178,9,FALSE),AB654)</f>
        <v>0.85539342592592615</v>
      </c>
      <c r="AC653" s="10">
        <f>IFERROR(VLOOKUP(Summary!B653,'Pre-Summary'!$A$6:$P$184,5, FALSE)/100,AC654)</f>
        <v>0.72243166666666658</v>
      </c>
      <c r="AD653" s="10">
        <f>IFERROR(VLOOKUP(Summary!B653,'Pre-Summary'!$A$6:$P$184,3, FALSE)/100,AD654)</f>
        <v>0</v>
      </c>
      <c r="AE653" s="10">
        <f>IFERROR(VLOOKUP(Summary!B653,'Pre-Summary'!$A$6:$P$184,7, FALSE)/100,AE654)</f>
        <v>0.27756833333333331</v>
      </c>
      <c r="AF653" s="99">
        <f t="shared" si="31"/>
        <v>0</v>
      </c>
      <c r="AG653" s="99">
        <f t="shared" si="32"/>
        <v>0.23743012757854942</v>
      </c>
      <c r="AH653" s="10" t="str">
        <f>IFERROR(VLOOKUP(B653,'Pre-Summary'!$AZ$6:$BE$65,3,FALSE),"")</f>
        <v/>
      </c>
      <c r="AI653" s="10" t="str">
        <f>IFERROR(VLOOKUP(B653,'Pre-Summary'!$AZ$6:$BE$65,5,FALSE),"")</f>
        <v/>
      </c>
      <c r="AJ653" s="10" t="str">
        <f>IFERROR(VLOOKUP(B653,'Pre-Summary'!$AZ$6:$BE$65,4,FALSE),"")</f>
        <v/>
      </c>
      <c r="AK653" s="10" t="str">
        <f>IFERROR(VLOOKUP(B653,'Pre-Summary'!$AZ$6:$BE$65,6,FALSE),"")</f>
        <v/>
      </c>
      <c r="AL653" s="10" t="str">
        <f>IFERROR(VLOOKUP(B653,'Pre-Summary'!$BG$6:$BL$44,3,FALSE),"")</f>
        <v/>
      </c>
      <c r="AM653" s="10" t="str">
        <f>IFERROR(VLOOKUP(B653,'Pre-Summary'!$BG$6:$BL$44,4,FALSE),"")</f>
        <v/>
      </c>
    </row>
    <row r="654" spans="2:39" ht="15" customHeight="1" x14ac:dyDescent="0.3">
      <c r="B654">
        <v>65.099999999999994</v>
      </c>
      <c r="C654" t="str">
        <f>IFERROR(VLOOKUP(B654,'Pre-Summary'!$DI$6:$DM$23,4,FALSE),"")</f>
        <v/>
      </c>
      <c r="D654" s="10" t="str">
        <f>IFERROR(VLOOKUP(B654,'Pre-Summary'!$AT$6:$AX$14,5,FALSE),D653)</f>
        <v>DSMZ v2: Dropped Na-Ac out of DSMZ 120 media</v>
      </c>
      <c r="E654" s="10" t="str">
        <f>IFERROR(VLOOKUP(B654,'Pre-Summary'!$AT$6:$AX$15,4,FALSE),"")</f>
        <v/>
      </c>
      <c r="F654">
        <f>IFERROR(VLOOKUP(B654,'Pre-Summary'!$AL$6:$AQ$13,6,FALSE),F653)</f>
        <v>5.9405263157894746E-2</v>
      </c>
      <c r="G654" t="str">
        <f>IFERROR(VLOOKUP(B654,'Pre-Summary'!$AE$6:$AJ$85,3,FALSE),"")</f>
        <v/>
      </c>
      <c r="H654" t="str">
        <f>IFERROR(VLOOKUP(B654,'Pre-Summary'!$AE$6:$AJ$85,4,FALSE),"")</f>
        <v/>
      </c>
      <c r="I654" t="str">
        <f>IFERROR(VLOOKUP(B654,'Pre-Summary'!$AE$6:$AJ$85,5,FALSE),"")</f>
        <v/>
      </c>
      <c r="J654" s="45" t="str">
        <f>IFERROR(VLOOKUP(B654,'Pre-Summary'!$AE$6:$AJ$85,6, FALSE),"")</f>
        <v/>
      </c>
      <c r="K654" s="45" t="str">
        <f>IFERROR(VLOOKUP(B654,'Pre-Summary'!$DE$6:$DG$61,3,FALSE),"")</f>
        <v/>
      </c>
      <c r="L654" s="45" t="str">
        <f>IFERROR(VLOOKUP(B654,'Pre-Summary'!$CU$6:$CW$36,3,FALSE),"")</f>
        <v/>
      </c>
      <c r="M654" s="45" t="str">
        <f>IFERROR(VLOOKUP(B654,'Pre-Summary'!$BW$6:$BY$58,2,FALSE),"")</f>
        <v/>
      </c>
      <c r="N654" s="45" t="str">
        <f>IFERROR(VLOOKUP(B654,'Pre-Summary'!$CD$6:$CF$64,2,FALSE),"")</f>
        <v/>
      </c>
      <c r="O654" s="99">
        <f>IFERROR(VLOOKUP(B654,'Pre-Summary'!$BO$6:$BQ$48,3, FALSE),O653)</f>
        <v>0.98799999999999999</v>
      </c>
      <c r="P654" s="99">
        <f>IFERROR(VLOOKUP(B654,'Pre-Summary'!$BS$6:$BU$35,3,FALSE),P653)</f>
        <v>0.34399999999999997</v>
      </c>
      <c r="Q654" s="54">
        <f t="shared" si="30"/>
        <v>2.8720930232558142</v>
      </c>
      <c r="R654" s="53">
        <f>IFERROR(VLOOKUP(B654,'Pre-Summary'!$BG$6:$BM$44,7,FALSE),R655)</f>
        <v>7.5915763918363535E-2</v>
      </c>
      <c r="S654" s="53">
        <f>IFERROR(VLOOKUP(B654,'Pre-Summary'!$BG$6:$BM$44,6,FALSE),S655)</f>
        <v>5.2897473997019086E-2</v>
      </c>
      <c r="T654" s="45" t="str">
        <f>IFERROR(VLOOKUP(B654,'Pre-Summary'!$Y$6:$AC$83, 3,FALSE),"")</f>
        <v/>
      </c>
      <c r="U654" s="45" t="str">
        <f>IFERROR(VLOOKUP(B654,'Pre-Summary'!$Y$6:$AC$83, 4,FALSE),"")</f>
        <v/>
      </c>
      <c r="V654" t="str">
        <f>IFERROR(VLOOKUP(B654,'Pre-Summary'!$Y$6:$AC$83, 5,FALSE),"")</f>
        <v/>
      </c>
      <c r="W654" s="45" t="str">
        <f>IFERROR(VLOOKUP(B654,'Pre-Summary'!$Y$6:$AD$83,6,FALSE),"")</f>
        <v/>
      </c>
      <c r="X654" t="str">
        <f>IFERROR(VLOOKUP('Pre-Summary'!$DB$6:$DD$63,3,FALSE),"")</f>
        <v/>
      </c>
      <c r="Y654" t="str">
        <f>IFERROR(VLOOKUP(B654,'Pre-Summary'!$CR$6:$CT$36,3,FALSE),"")</f>
        <v/>
      </c>
      <c r="Z654" s="45" t="str">
        <f>IFERROR(VLOOKUP(B654,'Pre-Summary'!$BZ$6:$CB$63,2,FALSE),"")</f>
        <v/>
      </c>
      <c r="AA654" s="45" t="str">
        <f>IFERROR(VLOOKUP(B654,'Pre-Summary'!$CG$6:$CI$70,2,FALSE),"")</f>
        <v/>
      </c>
      <c r="AB654" s="99">
        <f>IFERROR(VLOOKUP(B654,'Pre-Summary'!$A$6:$P$178,9,FALSE),AB655)</f>
        <v>0.84881825135540423</v>
      </c>
      <c r="AC654" s="10">
        <f>IFERROR(VLOOKUP(Summary!B654,'Pre-Summary'!$A$6:$P$184,5, FALSE)/100,AC655)</f>
        <v>0.77505331832279212</v>
      </c>
      <c r="AD654" s="10">
        <f>IFERROR(VLOOKUP(Summary!B654,'Pre-Summary'!$A$6:$P$184,3, FALSE)/100,AD655)</f>
        <v>3.6833887159730253E-3</v>
      </c>
      <c r="AE654" s="10">
        <f>IFERROR(VLOOKUP(Summary!B654,'Pre-Summary'!$A$6:$P$184,7, FALSE)/100,AE655)</f>
        <v>0.221264232960907</v>
      </c>
      <c r="AF654" s="99">
        <f t="shared" si="31"/>
        <v>3.1265275689544509E-3</v>
      </c>
      <c r="AG654" s="99">
        <f t="shared" si="32"/>
        <v>0.18781311930937186</v>
      </c>
      <c r="AH654" s="10" t="str">
        <f>IFERROR(VLOOKUP(B654,'Pre-Summary'!$AZ$6:$BE$65,3,FALSE),"")</f>
        <v/>
      </c>
      <c r="AI654" s="10" t="str">
        <f>IFERROR(VLOOKUP(B654,'Pre-Summary'!$AZ$6:$BE$65,5,FALSE),"")</f>
        <v/>
      </c>
      <c r="AJ654" s="10" t="str">
        <f>IFERROR(VLOOKUP(B654,'Pre-Summary'!$AZ$6:$BE$65,4,FALSE),"")</f>
        <v/>
      </c>
      <c r="AK654" s="10" t="str">
        <f>IFERROR(VLOOKUP(B654,'Pre-Summary'!$AZ$6:$BE$65,6,FALSE),"")</f>
        <v/>
      </c>
      <c r="AL654" s="10" t="str">
        <f>IFERROR(VLOOKUP(B654,'Pre-Summary'!$BG$6:$BL$44,3,FALSE),"")</f>
        <v/>
      </c>
      <c r="AM654" s="10" t="str">
        <f>IFERROR(VLOOKUP(B654,'Pre-Summary'!$BG$6:$BL$44,4,FALSE),"")</f>
        <v/>
      </c>
    </row>
    <row r="655" spans="2:39" ht="15" customHeight="1" x14ac:dyDescent="0.3">
      <c r="B655">
        <v>65.2</v>
      </c>
      <c r="C655" t="str">
        <f>IFERROR(VLOOKUP(B655,'Pre-Summary'!$DI$6:$DM$23,4,FALSE),"")</f>
        <v/>
      </c>
      <c r="D655" s="10" t="str">
        <f>IFERROR(VLOOKUP(B655,'Pre-Summary'!$AT$6:$AX$14,5,FALSE),D654)</f>
        <v>DSMZ v2: Dropped Na-Ac out of DSMZ 120 media</v>
      </c>
      <c r="E655" s="10" t="str">
        <f>IFERROR(VLOOKUP(B655,'Pre-Summary'!$AT$6:$AX$15,4,FALSE),"")</f>
        <v/>
      </c>
      <c r="F655">
        <f>IFERROR(VLOOKUP(B655,'Pre-Summary'!$AL$6:$AQ$13,6,FALSE),F654)</f>
        <v>5.9405263157894746E-2</v>
      </c>
      <c r="G655" t="str">
        <f>IFERROR(VLOOKUP(B655,'Pre-Summary'!$AE$6:$AJ$85,3,FALSE),"")</f>
        <v/>
      </c>
      <c r="H655" t="str">
        <f>IFERROR(VLOOKUP(B655,'Pre-Summary'!$AE$6:$AJ$85,4,FALSE),"")</f>
        <v/>
      </c>
      <c r="I655" t="str">
        <f>IFERROR(VLOOKUP(B655,'Pre-Summary'!$AE$6:$AJ$85,5,FALSE),"")</f>
        <v/>
      </c>
      <c r="J655" s="45" t="str">
        <f>IFERROR(VLOOKUP(B655,'Pre-Summary'!$AE$6:$AJ$85,6, FALSE),"")</f>
        <v/>
      </c>
      <c r="K655" s="45" t="str">
        <f>IFERROR(VLOOKUP(B655,'Pre-Summary'!$DE$6:$DG$61,3,FALSE),"")</f>
        <v/>
      </c>
      <c r="L655" s="45" t="str">
        <f>IFERROR(VLOOKUP(B655,'Pre-Summary'!$CU$6:$CW$36,3,FALSE),"")</f>
        <v/>
      </c>
      <c r="M655" s="45" t="str">
        <f>IFERROR(VLOOKUP(B655,'Pre-Summary'!$BW$6:$BY$58,2,FALSE),"")</f>
        <v/>
      </c>
      <c r="N655" s="45" t="str">
        <f>IFERROR(VLOOKUP(B655,'Pre-Summary'!$CD$6:$CF$64,2,FALSE),"")</f>
        <v/>
      </c>
      <c r="O655" s="99">
        <f>IFERROR(VLOOKUP(B655,'Pre-Summary'!$BO$6:$BQ$48,3, FALSE),O654)</f>
        <v>0.98799999999999999</v>
      </c>
      <c r="P655" s="99">
        <f>IFERROR(VLOOKUP(B655,'Pre-Summary'!$BS$6:$BU$35,3,FALSE),P654)</f>
        <v>0.34399999999999997</v>
      </c>
      <c r="Q655" s="54">
        <f t="shared" si="30"/>
        <v>2.8720930232558142</v>
      </c>
      <c r="R655" s="53">
        <f>IFERROR(VLOOKUP(B655,'Pre-Summary'!$BG$6:$BM$44,7,FALSE),R656)</f>
        <v>7.5915763918363535E-2</v>
      </c>
      <c r="S655" s="53">
        <f>IFERROR(VLOOKUP(B655,'Pre-Summary'!$BG$6:$BM$44,6,FALSE),S656)</f>
        <v>5.2897473997019086E-2</v>
      </c>
      <c r="T655" s="45" t="str">
        <f>IFERROR(VLOOKUP(B655,'Pre-Summary'!$Y$6:$AC$83, 3,FALSE),"")</f>
        <v/>
      </c>
      <c r="U655" s="45" t="str">
        <f>IFERROR(VLOOKUP(B655,'Pre-Summary'!$Y$6:$AC$83, 4,FALSE),"")</f>
        <v/>
      </c>
      <c r="V655" t="str">
        <f>IFERROR(VLOOKUP(B655,'Pre-Summary'!$Y$6:$AC$83, 5,FALSE),"")</f>
        <v/>
      </c>
      <c r="W655" s="45" t="str">
        <f>IFERROR(VLOOKUP(B655,'Pre-Summary'!$Y$6:$AD$83,6,FALSE),"")</f>
        <v/>
      </c>
      <c r="X655" t="str">
        <f>IFERROR(VLOOKUP('Pre-Summary'!$DB$6:$DD$63,3,FALSE),"")</f>
        <v/>
      </c>
      <c r="Y655" t="str">
        <f>IFERROR(VLOOKUP(B655,'Pre-Summary'!$CR$6:$CT$36,3,FALSE),"")</f>
        <v/>
      </c>
      <c r="Z655" s="45" t="str">
        <f>IFERROR(VLOOKUP(B655,'Pre-Summary'!$BZ$6:$CB$63,2,FALSE),"")</f>
        <v/>
      </c>
      <c r="AA655" s="45" t="str">
        <f>IFERROR(VLOOKUP(B655,'Pre-Summary'!$CG$6:$CI$70,2,FALSE),"")</f>
        <v/>
      </c>
      <c r="AB655" s="99">
        <f>IFERROR(VLOOKUP(B655,'Pre-Summary'!$A$6:$P$178,9,FALSE),AB656)</f>
        <v>0.84881825135540423</v>
      </c>
      <c r="AC655" s="10">
        <f>IFERROR(VLOOKUP(Summary!B655,'Pre-Summary'!$A$6:$P$184,5, FALSE)/100,AC656)</f>
        <v>0.77505331832279212</v>
      </c>
      <c r="AD655" s="10">
        <f>IFERROR(VLOOKUP(Summary!B655,'Pre-Summary'!$A$6:$P$184,3, FALSE)/100,AD656)</f>
        <v>3.6833887159730253E-3</v>
      </c>
      <c r="AE655" s="10">
        <f>IFERROR(VLOOKUP(Summary!B655,'Pre-Summary'!$A$6:$P$184,7, FALSE)/100,AE656)</f>
        <v>0.221264232960907</v>
      </c>
      <c r="AF655" s="99">
        <f t="shared" si="31"/>
        <v>3.1265275689544509E-3</v>
      </c>
      <c r="AG655" s="99">
        <f t="shared" si="32"/>
        <v>0.18781311930937186</v>
      </c>
      <c r="AH655" s="10" t="str">
        <f>IFERROR(VLOOKUP(B655,'Pre-Summary'!$AZ$6:$BE$65,3,FALSE),"")</f>
        <v/>
      </c>
      <c r="AI655" s="10" t="str">
        <f>IFERROR(VLOOKUP(B655,'Pre-Summary'!$AZ$6:$BE$65,5,FALSE),"")</f>
        <v/>
      </c>
      <c r="AJ655" s="10" t="str">
        <f>IFERROR(VLOOKUP(B655,'Pre-Summary'!$AZ$6:$BE$65,4,FALSE),"")</f>
        <v/>
      </c>
      <c r="AK655" s="10" t="str">
        <f>IFERROR(VLOOKUP(B655,'Pre-Summary'!$AZ$6:$BE$65,6,FALSE),"")</f>
        <v/>
      </c>
      <c r="AL655" s="10" t="str">
        <f>IFERROR(VLOOKUP(B655,'Pre-Summary'!$BG$6:$BL$44,3,FALSE),"")</f>
        <v/>
      </c>
      <c r="AM655" s="10" t="str">
        <f>IFERROR(VLOOKUP(B655,'Pre-Summary'!$BG$6:$BL$44,4,FALSE),"")</f>
        <v/>
      </c>
    </row>
    <row r="656" spans="2:39" ht="15" customHeight="1" x14ac:dyDescent="0.3">
      <c r="B656">
        <v>65.3</v>
      </c>
      <c r="C656" t="str">
        <f>IFERROR(VLOOKUP(B656,'Pre-Summary'!$DI$6:$DM$23,4,FALSE),"")</f>
        <v/>
      </c>
      <c r="D656" s="10" t="str">
        <f>IFERROR(VLOOKUP(B656,'Pre-Summary'!$AT$6:$AX$14,5,FALSE),D655)</f>
        <v>DSMZ v2: Dropped Na-Ac out of DSMZ 120 media</v>
      </c>
      <c r="E656" s="10" t="str">
        <f>IFERROR(VLOOKUP(B656,'Pre-Summary'!$AT$6:$AX$15,4,FALSE),"")</f>
        <v/>
      </c>
      <c r="F656">
        <f>IFERROR(VLOOKUP(B656,'Pre-Summary'!$AL$6:$AQ$13,6,FALSE),F655)</f>
        <v>5.9405263157894746E-2</v>
      </c>
      <c r="G656" t="str">
        <f>IFERROR(VLOOKUP(B656,'Pre-Summary'!$AE$6:$AJ$85,3,FALSE),"")</f>
        <v/>
      </c>
      <c r="H656" t="str">
        <f>IFERROR(VLOOKUP(B656,'Pre-Summary'!$AE$6:$AJ$85,4,FALSE),"")</f>
        <v/>
      </c>
      <c r="I656" t="str">
        <f>IFERROR(VLOOKUP(B656,'Pre-Summary'!$AE$6:$AJ$85,5,FALSE),"")</f>
        <v/>
      </c>
      <c r="J656" s="45" t="str">
        <f>IFERROR(VLOOKUP(B656,'Pre-Summary'!$AE$6:$AJ$85,6, FALSE),"")</f>
        <v/>
      </c>
      <c r="K656" s="45" t="str">
        <f>IFERROR(VLOOKUP(B656,'Pre-Summary'!$DE$6:$DG$61,3,FALSE),"")</f>
        <v/>
      </c>
      <c r="L656" s="45" t="str">
        <f>IFERROR(VLOOKUP(B656,'Pre-Summary'!$CU$6:$CW$36,3,FALSE),"")</f>
        <v/>
      </c>
      <c r="M656" s="45" t="str">
        <f>IFERROR(VLOOKUP(B656,'Pre-Summary'!$BW$6:$BY$58,2,FALSE),"")</f>
        <v/>
      </c>
      <c r="N656" s="45" t="str">
        <f>IFERROR(VLOOKUP(B656,'Pre-Summary'!$CD$6:$CF$64,2,FALSE),"")</f>
        <v/>
      </c>
      <c r="O656" s="99">
        <f>IFERROR(VLOOKUP(B656,'Pre-Summary'!$BO$6:$BQ$48,3, FALSE),O655)</f>
        <v>0.98799999999999999</v>
      </c>
      <c r="P656" s="99">
        <f>IFERROR(VLOOKUP(B656,'Pre-Summary'!$BS$6:$BU$35,3,FALSE),P655)</f>
        <v>0.34399999999999997</v>
      </c>
      <c r="Q656" s="54">
        <f t="shared" si="30"/>
        <v>2.8720930232558142</v>
      </c>
      <c r="R656" s="53">
        <f>IFERROR(VLOOKUP(B656,'Pre-Summary'!$BG$6:$BM$44,7,FALSE),R657)</f>
        <v>7.5915763918363535E-2</v>
      </c>
      <c r="S656" s="53">
        <f>IFERROR(VLOOKUP(B656,'Pre-Summary'!$BG$6:$BM$44,6,FALSE),S657)</f>
        <v>5.2897473997019086E-2</v>
      </c>
      <c r="T656" s="45" t="str">
        <f>IFERROR(VLOOKUP(B656,'Pre-Summary'!$Y$6:$AC$83, 3,FALSE),"")</f>
        <v/>
      </c>
      <c r="U656" s="45" t="str">
        <f>IFERROR(VLOOKUP(B656,'Pre-Summary'!$Y$6:$AC$83, 4,FALSE),"")</f>
        <v/>
      </c>
      <c r="V656" t="str">
        <f>IFERROR(VLOOKUP(B656,'Pre-Summary'!$Y$6:$AC$83, 5,FALSE),"")</f>
        <v/>
      </c>
      <c r="W656" s="45" t="str">
        <f>IFERROR(VLOOKUP(B656,'Pre-Summary'!$Y$6:$AD$83,6,FALSE),"")</f>
        <v/>
      </c>
      <c r="X656" t="str">
        <f>IFERROR(VLOOKUP('Pre-Summary'!$DB$6:$DD$63,3,FALSE),"")</f>
        <v/>
      </c>
      <c r="Y656" t="str">
        <f>IFERROR(VLOOKUP(B656,'Pre-Summary'!$CR$6:$CT$36,3,FALSE),"")</f>
        <v/>
      </c>
      <c r="Z656" s="45" t="str">
        <f>IFERROR(VLOOKUP(B656,'Pre-Summary'!$BZ$6:$CB$63,2,FALSE),"")</f>
        <v/>
      </c>
      <c r="AA656" s="45" t="str">
        <f>IFERROR(VLOOKUP(B656,'Pre-Summary'!$CG$6:$CI$70,2,FALSE),"")</f>
        <v/>
      </c>
      <c r="AB656" s="99">
        <f>IFERROR(VLOOKUP(B656,'Pre-Summary'!$A$6:$P$178,9,FALSE),AB657)</f>
        <v>0.84881825135540423</v>
      </c>
      <c r="AC656" s="10">
        <f>IFERROR(VLOOKUP(Summary!B656,'Pre-Summary'!$A$6:$P$184,5, FALSE)/100,AC657)</f>
        <v>0.77505331832279212</v>
      </c>
      <c r="AD656" s="10">
        <f>IFERROR(VLOOKUP(Summary!B656,'Pre-Summary'!$A$6:$P$184,3, FALSE)/100,AD657)</f>
        <v>3.6833887159730253E-3</v>
      </c>
      <c r="AE656" s="10">
        <f>IFERROR(VLOOKUP(Summary!B656,'Pre-Summary'!$A$6:$P$184,7, FALSE)/100,AE657)</f>
        <v>0.221264232960907</v>
      </c>
      <c r="AF656" s="99">
        <f t="shared" si="31"/>
        <v>3.1265275689544509E-3</v>
      </c>
      <c r="AG656" s="99">
        <f t="shared" si="32"/>
        <v>0.18781311930937186</v>
      </c>
      <c r="AH656" s="10" t="str">
        <f>IFERROR(VLOOKUP(B656,'Pre-Summary'!$AZ$6:$BE$65,3,FALSE),"")</f>
        <v/>
      </c>
      <c r="AI656" s="10" t="str">
        <f>IFERROR(VLOOKUP(B656,'Pre-Summary'!$AZ$6:$BE$65,5,FALSE),"")</f>
        <v/>
      </c>
      <c r="AJ656" s="10" t="str">
        <f>IFERROR(VLOOKUP(B656,'Pre-Summary'!$AZ$6:$BE$65,4,FALSE),"")</f>
        <v/>
      </c>
      <c r="AK656" s="10" t="str">
        <f>IFERROR(VLOOKUP(B656,'Pre-Summary'!$AZ$6:$BE$65,6,FALSE),"")</f>
        <v/>
      </c>
      <c r="AL656" s="10" t="str">
        <f>IFERROR(VLOOKUP(B656,'Pre-Summary'!$BG$6:$BL$44,3,FALSE),"")</f>
        <v/>
      </c>
      <c r="AM656" s="10" t="str">
        <f>IFERROR(VLOOKUP(B656,'Pre-Summary'!$BG$6:$BL$44,4,FALSE),"")</f>
        <v/>
      </c>
    </row>
    <row r="657" spans="2:39" ht="15" customHeight="1" x14ac:dyDescent="0.3">
      <c r="B657">
        <v>65.400000000000006</v>
      </c>
      <c r="C657" t="str">
        <f>IFERROR(VLOOKUP(B657,'Pre-Summary'!$DI$6:$DM$23,4,FALSE),"")</f>
        <v/>
      </c>
      <c r="D657" s="10" t="str">
        <f>IFERROR(VLOOKUP(B657,'Pre-Summary'!$AT$6:$AX$14,5,FALSE),D656)</f>
        <v>DSMZ v2: Dropped Na-Ac out of DSMZ 120 media</v>
      </c>
      <c r="E657" s="10" t="str">
        <f>IFERROR(VLOOKUP(B657,'Pre-Summary'!$AT$6:$AX$15,4,FALSE),"")</f>
        <v/>
      </c>
      <c r="F657">
        <f>IFERROR(VLOOKUP(B657,'Pre-Summary'!$AL$6:$AQ$13,6,FALSE),F656)</f>
        <v>5.9405263157894746E-2</v>
      </c>
      <c r="G657" t="str">
        <f>IFERROR(VLOOKUP(B657,'Pre-Summary'!$AE$6:$AJ$85,3,FALSE),"")</f>
        <v/>
      </c>
      <c r="H657" t="str">
        <f>IFERROR(VLOOKUP(B657,'Pre-Summary'!$AE$6:$AJ$85,4,FALSE),"")</f>
        <v/>
      </c>
      <c r="I657" t="str">
        <f>IFERROR(VLOOKUP(B657,'Pre-Summary'!$AE$6:$AJ$85,5,FALSE),"")</f>
        <v/>
      </c>
      <c r="J657" s="45" t="str">
        <f>IFERROR(VLOOKUP(B657,'Pre-Summary'!$AE$6:$AJ$85,6, FALSE),"")</f>
        <v/>
      </c>
      <c r="K657" s="45" t="str">
        <f>IFERROR(VLOOKUP(B657,'Pre-Summary'!$DE$6:$DG$61,3,FALSE),"")</f>
        <v/>
      </c>
      <c r="L657" s="45" t="str">
        <f>IFERROR(VLOOKUP(B657,'Pre-Summary'!$CU$6:$CW$36,3,FALSE),"")</f>
        <v/>
      </c>
      <c r="M657" s="45" t="str">
        <f>IFERROR(VLOOKUP(B657,'Pre-Summary'!$BW$6:$BY$58,2,FALSE),"")</f>
        <v/>
      </c>
      <c r="N657" s="45" t="str">
        <f>IFERROR(VLOOKUP(B657,'Pre-Summary'!$CD$6:$CF$64,2,FALSE),"")</f>
        <v/>
      </c>
      <c r="O657" s="99">
        <f>IFERROR(VLOOKUP(B657,'Pre-Summary'!$BO$6:$BQ$48,3, FALSE),O656)</f>
        <v>0.98799999999999999</v>
      </c>
      <c r="P657" s="99">
        <f>IFERROR(VLOOKUP(B657,'Pre-Summary'!$BS$6:$BU$35,3,FALSE),P656)</f>
        <v>0.34399999999999997</v>
      </c>
      <c r="Q657" s="54">
        <f t="shared" si="30"/>
        <v>2.8720930232558142</v>
      </c>
      <c r="R657" s="53">
        <f>IFERROR(VLOOKUP(B657,'Pre-Summary'!$BG$6:$BM$44,7,FALSE),R658)</f>
        <v>7.5915763918363535E-2</v>
      </c>
      <c r="S657" s="53">
        <f>IFERROR(VLOOKUP(B657,'Pre-Summary'!$BG$6:$BM$44,6,FALSE),S658)</f>
        <v>5.2897473997019086E-2</v>
      </c>
      <c r="T657" s="45" t="str">
        <f>IFERROR(VLOOKUP(B657,'Pre-Summary'!$Y$6:$AC$83, 3,FALSE),"")</f>
        <v/>
      </c>
      <c r="U657" s="45" t="str">
        <f>IFERROR(VLOOKUP(B657,'Pre-Summary'!$Y$6:$AC$83, 4,FALSE),"")</f>
        <v/>
      </c>
      <c r="V657" t="str">
        <f>IFERROR(VLOOKUP(B657,'Pre-Summary'!$Y$6:$AC$83, 5,FALSE),"")</f>
        <v/>
      </c>
      <c r="W657" s="45" t="str">
        <f>IFERROR(VLOOKUP(B657,'Pre-Summary'!$Y$6:$AD$83,6,FALSE),"")</f>
        <v/>
      </c>
      <c r="X657" t="str">
        <f>IFERROR(VLOOKUP('Pre-Summary'!$DB$6:$DD$63,3,FALSE),"")</f>
        <v/>
      </c>
      <c r="Y657" t="str">
        <f>IFERROR(VLOOKUP(B657,'Pre-Summary'!$CR$6:$CT$36,3,FALSE),"")</f>
        <v/>
      </c>
      <c r="Z657" s="45" t="str">
        <f>IFERROR(VLOOKUP(B657,'Pre-Summary'!$BZ$6:$CB$63,2,FALSE),"")</f>
        <v/>
      </c>
      <c r="AA657" s="45" t="str">
        <f>IFERROR(VLOOKUP(B657,'Pre-Summary'!$CG$6:$CI$70,2,FALSE),"")</f>
        <v/>
      </c>
      <c r="AB657" s="99">
        <f>IFERROR(VLOOKUP(B657,'Pre-Summary'!$A$6:$P$178,9,FALSE),AB658)</f>
        <v>0.84881825135540423</v>
      </c>
      <c r="AC657" s="10">
        <f>IFERROR(VLOOKUP(Summary!B657,'Pre-Summary'!$A$6:$P$184,5, FALSE)/100,AC658)</f>
        <v>0.77505331832279212</v>
      </c>
      <c r="AD657" s="10">
        <f>IFERROR(VLOOKUP(Summary!B657,'Pre-Summary'!$A$6:$P$184,3, FALSE)/100,AD658)</f>
        <v>3.6833887159730253E-3</v>
      </c>
      <c r="AE657" s="10">
        <f>IFERROR(VLOOKUP(Summary!B657,'Pre-Summary'!$A$6:$P$184,7, FALSE)/100,AE658)</f>
        <v>0.221264232960907</v>
      </c>
      <c r="AF657" s="99">
        <f t="shared" si="31"/>
        <v>3.1265275689544509E-3</v>
      </c>
      <c r="AG657" s="99">
        <f t="shared" si="32"/>
        <v>0.18781311930937186</v>
      </c>
      <c r="AH657" s="10" t="str">
        <f>IFERROR(VLOOKUP(B657,'Pre-Summary'!$AZ$6:$BE$65,3,FALSE),"")</f>
        <v/>
      </c>
      <c r="AI657" s="10" t="str">
        <f>IFERROR(VLOOKUP(B657,'Pre-Summary'!$AZ$6:$BE$65,5,FALSE),"")</f>
        <v/>
      </c>
      <c r="AJ657" s="10" t="str">
        <f>IFERROR(VLOOKUP(B657,'Pre-Summary'!$AZ$6:$BE$65,4,FALSE),"")</f>
        <v/>
      </c>
      <c r="AK657" s="10" t="str">
        <f>IFERROR(VLOOKUP(B657,'Pre-Summary'!$AZ$6:$BE$65,6,FALSE),"")</f>
        <v/>
      </c>
      <c r="AL657" s="10" t="str">
        <f>IFERROR(VLOOKUP(B657,'Pre-Summary'!$BG$6:$BL$44,3,FALSE),"")</f>
        <v/>
      </c>
      <c r="AM657" s="10" t="str">
        <f>IFERROR(VLOOKUP(B657,'Pre-Summary'!$BG$6:$BL$44,4,FALSE),"")</f>
        <v/>
      </c>
    </row>
    <row r="658" spans="2:39" ht="15" customHeight="1" x14ac:dyDescent="0.3">
      <c r="B658">
        <v>65.5</v>
      </c>
      <c r="C658" t="str">
        <f>IFERROR(VLOOKUP(B658,'Pre-Summary'!$DI$6:$DM$23,4,FALSE),"")</f>
        <v/>
      </c>
      <c r="D658" s="10" t="str">
        <f>IFERROR(VLOOKUP(B658,'Pre-Summary'!$AT$6:$AX$14,5,FALSE),D657)</f>
        <v>DSMZ v2: Dropped Na-Ac out of DSMZ 120 media</v>
      </c>
      <c r="E658" s="10" t="str">
        <f>IFERROR(VLOOKUP(B658,'Pre-Summary'!$AT$6:$AX$15,4,FALSE),"")</f>
        <v/>
      </c>
      <c r="F658">
        <f>IFERROR(VLOOKUP(B658,'Pre-Summary'!$AL$6:$AQ$13,6,FALSE),F657)</f>
        <v>5.9405263157894746E-2</v>
      </c>
      <c r="G658" t="str">
        <f>IFERROR(VLOOKUP(B658,'Pre-Summary'!$AE$6:$AJ$85,3,FALSE),"")</f>
        <v/>
      </c>
      <c r="H658" t="str">
        <f>IFERROR(VLOOKUP(B658,'Pre-Summary'!$AE$6:$AJ$85,4,FALSE),"")</f>
        <v/>
      </c>
      <c r="I658" t="str">
        <f>IFERROR(VLOOKUP(B658,'Pre-Summary'!$AE$6:$AJ$85,5,FALSE),"")</f>
        <v/>
      </c>
      <c r="J658" s="45" t="str">
        <f>IFERROR(VLOOKUP(B658,'Pre-Summary'!$AE$6:$AJ$85,6, FALSE),"")</f>
        <v/>
      </c>
      <c r="K658" s="45" t="str">
        <f>IFERROR(VLOOKUP(B658,'Pre-Summary'!$DE$6:$DG$61,3,FALSE),"")</f>
        <v/>
      </c>
      <c r="L658" s="45" t="str">
        <f>IFERROR(VLOOKUP(B658,'Pre-Summary'!$CU$6:$CW$36,3,FALSE),"")</f>
        <v/>
      </c>
      <c r="M658" s="45" t="str">
        <f>IFERROR(VLOOKUP(B658,'Pre-Summary'!$BW$6:$BY$58,2,FALSE),"")</f>
        <v/>
      </c>
      <c r="N658" s="45" t="str">
        <f>IFERROR(VLOOKUP(B658,'Pre-Summary'!$CD$6:$CF$64,2,FALSE),"")</f>
        <v/>
      </c>
      <c r="O658" s="99">
        <f>IFERROR(VLOOKUP(B658,'Pre-Summary'!$BO$6:$BQ$48,3, FALSE),O657)</f>
        <v>0.98799999999999999</v>
      </c>
      <c r="P658" s="99">
        <f>IFERROR(VLOOKUP(B658,'Pre-Summary'!$BS$6:$BU$35,3,FALSE),P657)</f>
        <v>0.34399999999999997</v>
      </c>
      <c r="Q658" s="54">
        <f t="shared" si="30"/>
        <v>2.8720930232558142</v>
      </c>
      <c r="R658" s="53">
        <f>IFERROR(VLOOKUP(B658,'Pre-Summary'!$BG$6:$BM$44,7,FALSE),R659)</f>
        <v>7.5915763918363535E-2</v>
      </c>
      <c r="S658" s="53">
        <f>IFERROR(VLOOKUP(B658,'Pre-Summary'!$BG$6:$BM$44,6,FALSE),S659)</f>
        <v>5.2897473997019086E-2</v>
      </c>
      <c r="T658" s="45">
        <f>IFERROR(VLOOKUP(B658,'Pre-Summary'!$Y$6:$AC$83, 3,FALSE),"")</f>
        <v>96.649999999999991</v>
      </c>
      <c r="U658" s="45">
        <f>IFERROR(VLOOKUP(B658,'Pre-Summary'!$Y$6:$AC$83, 4,FALSE),"")</f>
        <v>461.38</v>
      </c>
      <c r="V658">
        <f>IFERROR(VLOOKUP(B658,'Pre-Summary'!$Y$6:$AC$83, 5,FALSE),"")</f>
        <v>0</v>
      </c>
      <c r="W658" s="45">
        <f>IFERROR(VLOOKUP(B658,'Pre-Summary'!$Y$6:$AD$83,6,FALSE),"")</f>
        <v>801.65486999999996</v>
      </c>
      <c r="X658" t="str">
        <f>IFERROR(VLOOKUP('Pre-Summary'!$DB$6:$DD$63,3,FALSE),"")</f>
        <v/>
      </c>
      <c r="Y658" t="str">
        <f>IFERROR(VLOOKUP(B658,'Pre-Summary'!$CR$6:$CT$36,3,FALSE),"")</f>
        <v/>
      </c>
      <c r="Z658" s="45" t="str">
        <f>IFERROR(VLOOKUP(B658,'Pre-Summary'!$BZ$6:$CB$63,2,FALSE),"")</f>
        <v/>
      </c>
      <c r="AA658" s="45" t="str">
        <f>IFERROR(VLOOKUP(B658,'Pre-Summary'!$CG$6:$CI$70,2,FALSE),"")</f>
        <v/>
      </c>
      <c r="AB658" s="99">
        <f>IFERROR(VLOOKUP(B658,'Pre-Summary'!$A$6:$P$178,9,FALSE),AB659)</f>
        <v>0.84881825135540423</v>
      </c>
      <c r="AC658" s="10">
        <f>IFERROR(VLOOKUP(Summary!B658,'Pre-Summary'!$A$6:$P$184,5, FALSE)/100,AC659)</f>
        <v>0.77505331832279212</v>
      </c>
      <c r="AD658" s="10">
        <f>IFERROR(VLOOKUP(Summary!B658,'Pre-Summary'!$A$6:$P$184,3, FALSE)/100,AD659)</f>
        <v>3.6833887159730253E-3</v>
      </c>
      <c r="AE658" s="10">
        <f>IFERROR(VLOOKUP(Summary!B658,'Pre-Summary'!$A$6:$P$184,7, FALSE)/100,AE659)</f>
        <v>0.221264232960907</v>
      </c>
      <c r="AF658" s="99">
        <f t="shared" si="31"/>
        <v>3.1265275689544509E-3</v>
      </c>
      <c r="AG658" s="99">
        <f t="shared" si="32"/>
        <v>0.18781311930937186</v>
      </c>
      <c r="AH658" s="10" t="str">
        <f>IFERROR(VLOOKUP(B658,'Pre-Summary'!$AZ$6:$BE$65,3,FALSE),"")</f>
        <v/>
      </c>
      <c r="AI658" s="10" t="str">
        <f>IFERROR(VLOOKUP(B658,'Pre-Summary'!$AZ$6:$BE$65,5,FALSE),"")</f>
        <v/>
      </c>
      <c r="AJ658" s="10" t="str">
        <f>IFERROR(VLOOKUP(B658,'Pre-Summary'!$AZ$6:$BE$65,4,FALSE),"")</f>
        <v/>
      </c>
      <c r="AK658" s="10" t="str">
        <f>IFERROR(VLOOKUP(B658,'Pre-Summary'!$AZ$6:$BE$65,6,FALSE),"")</f>
        <v/>
      </c>
      <c r="AL658" s="10" t="str">
        <f>IFERROR(VLOOKUP(B658,'Pre-Summary'!$BG$6:$BL$44,3,FALSE),"")</f>
        <v/>
      </c>
      <c r="AM658" s="10" t="str">
        <f>IFERROR(VLOOKUP(B658,'Pre-Summary'!$BG$6:$BL$44,4,FALSE),"")</f>
        <v/>
      </c>
    </row>
    <row r="659" spans="2:39" ht="15" customHeight="1" x14ac:dyDescent="0.3">
      <c r="B659">
        <v>65.599999999999994</v>
      </c>
      <c r="C659" t="str">
        <f>IFERROR(VLOOKUP(B659,'Pre-Summary'!$DI$6:$DM$23,4,FALSE),"")</f>
        <v/>
      </c>
      <c r="D659" s="10" t="str">
        <f>IFERROR(VLOOKUP(B659,'Pre-Summary'!$AT$6:$AX$14,5,FALSE),D658)</f>
        <v>DSMZ v2: Dropped Na-Ac out of DSMZ 120 media</v>
      </c>
      <c r="E659" s="10" t="str">
        <f>IFERROR(VLOOKUP(B659,'Pre-Summary'!$AT$6:$AX$15,4,FALSE),"")</f>
        <v/>
      </c>
      <c r="F659">
        <f>IFERROR(VLOOKUP(B659,'Pre-Summary'!$AL$6:$AQ$13,6,FALSE),F658)</f>
        <v>5.9405263157894746E-2</v>
      </c>
      <c r="G659" t="str">
        <f>IFERROR(VLOOKUP(B659,'Pre-Summary'!$AE$6:$AJ$85,3,FALSE),"")</f>
        <v/>
      </c>
      <c r="H659" t="str">
        <f>IFERROR(VLOOKUP(B659,'Pre-Summary'!$AE$6:$AJ$85,4,FALSE),"")</f>
        <v/>
      </c>
      <c r="I659" t="str">
        <f>IFERROR(VLOOKUP(B659,'Pre-Summary'!$AE$6:$AJ$85,5,FALSE),"")</f>
        <v/>
      </c>
      <c r="J659" s="45" t="str">
        <f>IFERROR(VLOOKUP(B659,'Pre-Summary'!$AE$6:$AJ$85,6, FALSE),"")</f>
        <v/>
      </c>
      <c r="K659" s="45" t="str">
        <f>IFERROR(VLOOKUP(B659,'Pre-Summary'!$DE$6:$DG$61,3,FALSE),"")</f>
        <v/>
      </c>
      <c r="L659" s="45" t="str">
        <f>IFERROR(VLOOKUP(B659,'Pre-Summary'!$CU$6:$CW$36,3,FALSE),"")</f>
        <v/>
      </c>
      <c r="M659" s="45" t="str">
        <f>IFERROR(VLOOKUP(B659,'Pre-Summary'!$BW$6:$BY$58,2,FALSE),"")</f>
        <v/>
      </c>
      <c r="N659" s="45" t="str">
        <f>IFERROR(VLOOKUP(B659,'Pre-Summary'!$CD$6:$CF$64,2,FALSE),"")</f>
        <v/>
      </c>
      <c r="O659" s="99">
        <f>IFERROR(VLOOKUP(B659,'Pre-Summary'!$BO$6:$BQ$48,3, FALSE),O658)</f>
        <v>0.98799999999999999</v>
      </c>
      <c r="P659" s="99">
        <f>IFERROR(VLOOKUP(B659,'Pre-Summary'!$BS$6:$BU$35,3,FALSE),P658)</f>
        <v>0.34399999999999997</v>
      </c>
      <c r="Q659" s="54">
        <f t="shared" si="30"/>
        <v>2.8720930232558142</v>
      </c>
      <c r="R659" s="53">
        <f>IFERROR(VLOOKUP(B659,'Pre-Summary'!$BG$6:$BM$44,7,FALSE),R660)</f>
        <v>7.5915763918363535E-2</v>
      </c>
      <c r="S659" s="53">
        <f>IFERROR(VLOOKUP(B659,'Pre-Summary'!$BG$6:$BM$44,6,FALSE),S660)</f>
        <v>5.2897473997019086E-2</v>
      </c>
      <c r="T659" s="45" t="str">
        <f>IFERROR(VLOOKUP(B659,'Pre-Summary'!$Y$6:$AC$83, 3,FALSE),"")</f>
        <v/>
      </c>
      <c r="U659" s="45" t="str">
        <f>IFERROR(VLOOKUP(B659,'Pre-Summary'!$Y$6:$AC$83, 4,FALSE),"")</f>
        <v/>
      </c>
      <c r="V659" t="str">
        <f>IFERROR(VLOOKUP(B659,'Pre-Summary'!$Y$6:$AC$83, 5,FALSE),"")</f>
        <v/>
      </c>
      <c r="W659" s="45" t="str">
        <f>IFERROR(VLOOKUP(B659,'Pre-Summary'!$Y$6:$AD$83,6,FALSE),"")</f>
        <v/>
      </c>
      <c r="X659" t="str">
        <f>IFERROR(VLOOKUP('Pre-Summary'!$DB$6:$DD$63,3,FALSE),"")</f>
        <v/>
      </c>
      <c r="Y659" t="str">
        <f>IFERROR(VLOOKUP(B659,'Pre-Summary'!$CR$6:$CT$36,3,FALSE),"")</f>
        <v/>
      </c>
      <c r="Z659" s="45" t="str">
        <f>IFERROR(VLOOKUP(B659,'Pre-Summary'!$BZ$6:$CB$63,2,FALSE),"")</f>
        <v/>
      </c>
      <c r="AA659" s="45" t="str">
        <f>IFERROR(VLOOKUP(B659,'Pre-Summary'!$CG$6:$CI$70,2,FALSE),"")</f>
        <v/>
      </c>
      <c r="AB659" s="99">
        <f>IFERROR(VLOOKUP(B659,'Pre-Summary'!$A$6:$P$178,9,FALSE),AB660)</f>
        <v>0.84881825135540423</v>
      </c>
      <c r="AC659" s="10">
        <f>IFERROR(VLOOKUP(Summary!B659,'Pre-Summary'!$A$6:$P$184,5, FALSE)/100,AC660)</f>
        <v>0.77505331832279212</v>
      </c>
      <c r="AD659" s="10">
        <f>IFERROR(VLOOKUP(Summary!B659,'Pre-Summary'!$A$6:$P$184,3, FALSE)/100,AD660)</f>
        <v>3.6833887159730253E-3</v>
      </c>
      <c r="AE659" s="10">
        <f>IFERROR(VLOOKUP(Summary!B659,'Pre-Summary'!$A$6:$P$184,7, FALSE)/100,AE660)</f>
        <v>0.221264232960907</v>
      </c>
      <c r="AF659" s="99">
        <f t="shared" si="31"/>
        <v>3.1265275689544509E-3</v>
      </c>
      <c r="AG659" s="99">
        <f t="shared" si="32"/>
        <v>0.18781311930937186</v>
      </c>
      <c r="AH659" s="10" t="str">
        <f>IFERROR(VLOOKUP(B659,'Pre-Summary'!$AZ$6:$BE$65,3,FALSE),"")</f>
        <v/>
      </c>
      <c r="AI659" s="10" t="str">
        <f>IFERROR(VLOOKUP(B659,'Pre-Summary'!$AZ$6:$BE$65,5,FALSE),"")</f>
        <v/>
      </c>
      <c r="AJ659" s="10" t="str">
        <f>IFERROR(VLOOKUP(B659,'Pre-Summary'!$AZ$6:$BE$65,4,FALSE),"")</f>
        <v/>
      </c>
      <c r="AK659" s="10" t="str">
        <f>IFERROR(VLOOKUP(B659,'Pre-Summary'!$AZ$6:$BE$65,6,FALSE),"")</f>
        <v/>
      </c>
      <c r="AL659" s="10" t="str">
        <f>IFERROR(VLOOKUP(B659,'Pre-Summary'!$BG$6:$BL$44,3,FALSE),"")</f>
        <v/>
      </c>
      <c r="AM659" s="10" t="str">
        <f>IFERROR(VLOOKUP(B659,'Pre-Summary'!$BG$6:$BL$44,4,FALSE),"")</f>
        <v/>
      </c>
    </row>
    <row r="660" spans="2:39" ht="15" customHeight="1" x14ac:dyDescent="0.3">
      <c r="B660">
        <v>65.7</v>
      </c>
      <c r="C660" t="str">
        <f>IFERROR(VLOOKUP(B660,'Pre-Summary'!$DI$6:$DM$23,4,FALSE),"")</f>
        <v/>
      </c>
      <c r="D660" s="10" t="str">
        <f>IFERROR(VLOOKUP(B660,'Pre-Summary'!$AT$6:$AX$14,5,FALSE),D659)</f>
        <v>DSMZ v2: Dropped Na-Ac out of DSMZ 120 media</v>
      </c>
      <c r="E660" s="10" t="str">
        <f>IFERROR(VLOOKUP(B660,'Pre-Summary'!$AT$6:$AX$15,4,FALSE),"")</f>
        <v/>
      </c>
      <c r="F660">
        <f>IFERROR(VLOOKUP(B660,'Pre-Summary'!$AL$6:$AQ$13,6,FALSE),F659)</f>
        <v>5.9405263157894746E-2</v>
      </c>
      <c r="G660" t="str">
        <f>IFERROR(VLOOKUP(B660,'Pre-Summary'!$AE$6:$AJ$85,3,FALSE),"")</f>
        <v/>
      </c>
      <c r="H660" t="str">
        <f>IFERROR(VLOOKUP(B660,'Pre-Summary'!$AE$6:$AJ$85,4,FALSE),"")</f>
        <v/>
      </c>
      <c r="I660" t="str">
        <f>IFERROR(VLOOKUP(B660,'Pre-Summary'!$AE$6:$AJ$85,5,FALSE),"")</f>
        <v/>
      </c>
      <c r="J660" s="45" t="str">
        <f>IFERROR(VLOOKUP(B660,'Pre-Summary'!$AE$6:$AJ$85,6, FALSE),"")</f>
        <v/>
      </c>
      <c r="K660" s="45" t="str">
        <f>IFERROR(VLOOKUP(B660,'Pre-Summary'!$DE$6:$DG$61,3,FALSE),"")</f>
        <v/>
      </c>
      <c r="L660" s="45" t="str">
        <f>IFERROR(VLOOKUP(B660,'Pre-Summary'!$CU$6:$CW$36,3,FALSE),"")</f>
        <v/>
      </c>
      <c r="M660" s="45" t="str">
        <f>IFERROR(VLOOKUP(B660,'Pre-Summary'!$BW$6:$BY$58,2,FALSE),"")</f>
        <v/>
      </c>
      <c r="N660" s="45" t="str">
        <f>IFERROR(VLOOKUP(B660,'Pre-Summary'!$CD$6:$CF$64,2,FALSE),"")</f>
        <v/>
      </c>
      <c r="O660" s="99">
        <f>IFERROR(VLOOKUP(B660,'Pre-Summary'!$BO$6:$BQ$48,3, FALSE),O659)</f>
        <v>0.98799999999999999</v>
      </c>
      <c r="P660" s="99">
        <f>IFERROR(VLOOKUP(B660,'Pre-Summary'!$BS$6:$BU$35,3,FALSE),P659)</f>
        <v>0.34399999999999997</v>
      </c>
      <c r="Q660" s="54">
        <f t="shared" si="30"/>
        <v>2.8720930232558142</v>
      </c>
      <c r="R660" s="53">
        <f>IFERROR(VLOOKUP(B660,'Pre-Summary'!$BG$6:$BM$44,7,FALSE),R661)</f>
        <v>7.5915763918363535E-2</v>
      </c>
      <c r="S660" s="53">
        <f>IFERROR(VLOOKUP(B660,'Pre-Summary'!$BG$6:$BM$44,6,FALSE),S661)</f>
        <v>5.2897473997019086E-2</v>
      </c>
      <c r="T660" s="45" t="str">
        <f>IFERROR(VLOOKUP(B660,'Pre-Summary'!$Y$6:$AC$83, 3,FALSE),"")</f>
        <v/>
      </c>
      <c r="U660" s="45" t="str">
        <f>IFERROR(VLOOKUP(B660,'Pre-Summary'!$Y$6:$AC$83, 4,FALSE),"")</f>
        <v/>
      </c>
      <c r="V660" t="str">
        <f>IFERROR(VLOOKUP(B660,'Pre-Summary'!$Y$6:$AC$83, 5,FALSE),"")</f>
        <v/>
      </c>
      <c r="W660" s="45" t="str">
        <f>IFERROR(VLOOKUP(B660,'Pre-Summary'!$Y$6:$AD$83,6,FALSE),"")</f>
        <v/>
      </c>
      <c r="X660" t="str">
        <f>IFERROR(VLOOKUP('Pre-Summary'!$DB$6:$DD$63,3,FALSE),"")</f>
        <v/>
      </c>
      <c r="Y660" t="str">
        <f>IFERROR(VLOOKUP(B660,'Pre-Summary'!$CR$6:$CT$36,3,FALSE),"")</f>
        <v/>
      </c>
      <c r="Z660" s="45" t="str">
        <f>IFERROR(VLOOKUP(B660,'Pre-Summary'!$BZ$6:$CB$63,2,FALSE),"")</f>
        <v/>
      </c>
      <c r="AA660" s="45" t="str">
        <f>IFERROR(VLOOKUP(B660,'Pre-Summary'!$CG$6:$CI$70,2,FALSE),"")</f>
        <v/>
      </c>
      <c r="AB660" s="99">
        <f>IFERROR(VLOOKUP(B660,'Pre-Summary'!$A$6:$P$178,9,FALSE),AB661)</f>
        <v>0.84881825135540423</v>
      </c>
      <c r="AC660" s="10">
        <f>IFERROR(VLOOKUP(Summary!B660,'Pre-Summary'!$A$6:$P$184,5, FALSE)/100,AC661)</f>
        <v>0.77505331832279212</v>
      </c>
      <c r="AD660" s="10">
        <f>IFERROR(VLOOKUP(Summary!B660,'Pre-Summary'!$A$6:$P$184,3, FALSE)/100,AD661)</f>
        <v>3.6833887159730253E-3</v>
      </c>
      <c r="AE660" s="10">
        <f>IFERROR(VLOOKUP(Summary!B660,'Pre-Summary'!$A$6:$P$184,7, FALSE)/100,AE661)</f>
        <v>0.221264232960907</v>
      </c>
      <c r="AF660" s="99">
        <f t="shared" si="31"/>
        <v>3.1265275689544509E-3</v>
      </c>
      <c r="AG660" s="99">
        <f t="shared" si="32"/>
        <v>0.18781311930937186</v>
      </c>
      <c r="AH660" s="10" t="str">
        <f>IFERROR(VLOOKUP(B660,'Pre-Summary'!$AZ$6:$BE$65,3,FALSE),"")</f>
        <v/>
      </c>
      <c r="AI660" s="10" t="str">
        <f>IFERROR(VLOOKUP(B660,'Pre-Summary'!$AZ$6:$BE$65,5,FALSE),"")</f>
        <v/>
      </c>
      <c r="AJ660" s="10" t="str">
        <f>IFERROR(VLOOKUP(B660,'Pre-Summary'!$AZ$6:$BE$65,4,FALSE),"")</f>
        <v/>
      </c>
      <c r="AK660" s="10" t="str">
        <f>IFERROR(VLOOKUP(B660,'Pre-Summary'!$AZ$6:$BE$65,6,FALSE),"")</f>
        <v/>
      </c>
      <c r="AL660" s="10" t="str">
        <f>IFERROR(VLOOKUP(B660,'Pre-Summary'!$BG$6:$BL$44,3,FALSE),"")</f>
        <v/>
      </c>
      <c r="AM660" s="10" t="str">
        <f>IFERROR(VLOOKUP(B660,'Pre-Summary'!$BG$6:$BL$44,4,FALSE),"")</f>
        <v/>
      </c>
    </row>
    <row r="661" spans="2:39" ht="15" customHeight="1" x14ac:dyDescent="0.3">
      <c r="B661">
        <v>65.8</v>
      </c>
      <c r="C661" t="str">
        <f>IFERROR(VLOOKUP(B661,'Pre-Summary'!$DI$6:$DM$23,4,FALSE),"")</f>
        <v/>
      </c>
      <c r="D661" s="10" t="str">
        <f>IFERROR(VLOOKUP(B661,'Pre-Summary'!$AT$6:$AX$14,5,FALSE),D660)</f>
        <v>DSMZ v2: Dropped Na-Ac out of DSMZ 120 media</v>
      </c>
      <c r="E661" s="10" t="str">
        <f>IFERROR(VLOOKUP(B661,'Pre-Summary'!$AT$6:$AX$15,4,FALSE),"")</f>
        <v/>
      </c>
      <c r="F661">
        <f>IFERROR(VLOOKUP(B661,'Pre-Summary'!$AL$6:$AQ$13,6,FALSE),F660)</f>
        <v>5.9405263157894746E-2</v>
      </c>
      <c r="G661" t="str">
        <f>IFERROR(VLOOKUP(B661,'Pre-Summary'!$AE$6:$AJ$85,3,FALSE),"")</f>
        <v/>
      </c>
      <c r="H661" t="str">
        <f>IFERROR(VLOOKUP(B661,'Pre-Summary'!$AE$6:$AJ$85,4,FALSE),"")</f>
        <v/>
      </c>
      <c r="I661" t="str">
        <f>IFERROR(VLOOKUP(B661,'Pre-Summary'!$AE$6:$AJ$85,5,FALSE),"")</f>
        <v/>
      </c>
      <c r="J661" s="45" t="str">
        <f>IFERROR(VLOOKUP(B661,'Pre-Summary'!$AE$6:$AJ$85,6, FALSE),"")</f>
        <v/>
      </c>
      <c r="K661" s="45" t="str">
        <f>IFERROR(VLOOKUP(B661,'Pre-Summary'!$DE$6:$DG$61,3,FALSE),"")</f>
        <v/>
      </c>
      <c r="L661" s="45" t="str">
        <f>IFERROR(VLOOKUP(B661,'Pre-Summary'!$CU$6:$CW$36,3,FALSE),"")</f>
        <v/>
      </c>
      <c r="M661" s="45" t="str">
        <f>IFERROR(VLOOKUP(B661,'Pre-Summary'!$BW$6:$BY$58,2,FALSE),"")</f>
        <v/>
      </c>
      <c r="N661" s="45" t="str">
        <f>IFERROR(VLOOKUP(B661,'Pre-Summary'!$CD$6:$CF$64,2,FALSE),"")</f>
        <v/>
      </c>
      <c r="O661" s="99">
        <f>IFERROR(VLOOKUP(B661,'Pre-Summary'!$BO$6:$BQ$48,3, FALSE),O660)</f>
        <v>0.98799999999999999</v>
      </c>
      <c r="P661" s="99">
        <f>IFERROR(VLOOKUP(B661,'Pre-Summary'!$BS$6:$BU$35,3,FALSE),P660)</f>
        <v>0.34399999999999997</v>
      </c>
      <c r="Q661" s="54">
        <f t="shared" si="30"/>
        <v>2.8720930232558142</v>
      </c>
      <c r="R661" s="53">
        <f>IFERROR(VLOOKUP(B661,'Pre-Summary'!$BG$6:$BM$44,7,FALSE),R662)</f>
        <v>7.5915763918363535E-2</v>
      </c>
      <c r="S661" s="53">
        <f>IFERROR(VLOOKUP(B661,'Pre-Summary'!$BG$6:$BM$44,6,FALSE),S662)</f>
        <v>5.2897473997019086E-2</v>
      </c>
      <c r="T661" s="45" t="str">
        <f>IFERROR(VLOOKUP(B661,'Pre-Summary'!$Y$6:$AC$83, 3,FALSE),"")</f>
        <v/>
      </c>
      <c r="U661" s="45" t="str">
        <f>IFERROR(VLOOKUP(B661,'Pre-Summary'!$Y$6:$AC$83, 4,FALSE),"")</f>
        <v/>
      </c>
      <c r="V661" t="str">
        <f>IFERROR(VLOOKUP(B661,'Pre-Summary'!$Y$6:$AC$83, 5,FALSE),"")</f>
        <v/>
      </c>
      <c r="W661" s="45" t="str">
        <f>IFERROR(VLOOKUP(B661,'Pre-Summary'!$Y$6:$AD$83,6,FALSE),"")</f>
        <v/>
      </c>
      <c r="X661" t="str">
        <f>IFERROR(VLOOKUP('Pre-Summary'!$DB$6:$DD$63,3,FALSE),"")</f>
        <v/>
      </c>
      <c r="Y661" t="str">
        <f>IFERROR(VLOOKUP(B661,'Pre-Summary'!$CR$6:$CT$36,3,FALSE),"")</f>
        <v/>
      </c>
      <c r="Z661" s="45" t="str">
        <f>IFERROR(VLOOKUP(B661,'Pre-Summary'!$BZ$6:$CB$63,2,FALSE),"")</f>
        <v/>
      </c>
      <c r="AA661" s="45" t="str">
        <f>IFERROR(VLOOKUP(B661,'Pre-Summary'!$CG$6:$CI$70,2,FALSE),"")</f>
        <v/>
      </c>
      <c r="AB661" s="99">
        <f>IFERROR(VLOOKUP(B661,'Pre-Summary'!$A$6:$P$178,9,FALSE),AB662)</f>
        <v>0.84881825135540423</v>
      </c>
      <c r="AC661" s="10">
        <f>IFERROR(VLOOKUP(Summary!B661,'Pre-Summary'!$A$6:$P$184,5, FALSE)/100,AC662)</f>
        <v>0.77505331832279212</v>
      </c>
      <c r="AD661" s="10">
        <f>IFERROR(VLOOKUP(Summary!B661,'Pre-Summary'!$A$6:$P$184,3, FALSE)/100,AD662)</f>
        <v>3.6833887159730253E-3</v>
      </c>
      <c r="AE661" s="10">
        <f>IFERROR(VLOOKUP(Summary!B661,'Pre-Summary'!$A$6:$P$184,7, FALSE)/100,AE662)</f>
        <v>0.221264232960907</v>
      </c>
      <c r="AF661" s="99">
        <f t="shared" si="31"/>
        <v>3.1265275689544509E-3</v>
      </c>
      <c r="AG661" s="99">
        <f t="shared" si="32"/>
        <v>0.18781311930937186</v>
      </c>
      <c r="AH661" s="10" t="str">
        <f>IFERROR(VLOOKUP(B661,'Pre-Summary'!$AZ$6:$BE$65,3,FALSE),"")</f>
        <v/>
      </c>
      <c r="AI661" s="10" t="str">
        <f>IFERROR(VLOOKUP(B661,'Pre-Summary'!$AZ$6:$BE$65,5,FALSE),"")</f>
        <v/>
      </c>
      <c r="AJ661" s="10" t="str">
        <f>IFERROR(VLOOKUP(B661,'Pre-Summary'!$AZ$6:$BE$65,4,FALSE),"")</f>
        <v/>
      </c>
      <c r="AK661" s="10" t="str">
        <f>IFERROR(VLOOKUP(B661,'Pre-Summary'!$AZ$6:$BE$65,6,FALSE),"")</f>
        <v/>
      </c>
      <c r="AL661" s="10" t="str">
        <f>IFERROR(VLOOKUP(B661,'Pre-Summary'!$BG$6:$BL$44,3,FALSE),"")</f>
        <v/>
      </c>
      <c r="AM661" s="10" t="str">
        <f>IFERROR(VLOOKUP(B661,'Pre-Summary'!$BG$6:$BL$44,4,FALSE),"")</f>
        <v/>
      </c>
    </row>
    <row r="662" spans="2:39" ht="15" customHeight="1" x14ac:dyDescent="0.3">
      <c r="B662">
        <v>65.900000000000006</v>
      </c>
      <c r="C662" t="str">
        <f>IFERROR(VLOOKUP(B662,'Pre-Summary'!$DI$6:$DM$23,4,FALSE),"")</f>
        <v/>
      </c>
      <c r="D662" s="10" t="str">
        <f>IFERROR(VLOOKUP(B662,'Pre-Summary'!$AT$6:$AX$14,5,FALSE),D661)</f>
        <v>DSMZ v2: Dropped Na-Ac out of DSMZ 120 media</v>
      </c>
      <c r="E662" s="10" t="str">
        <f>IFERROR(VLOOKUP(B662,'Pre-Summary'!$AT$6:$AX$15,4,FALSE),"")</f>
        <v/>
      </c>
      <c r="F662">
        <f>IFERROR(VLOOKUP(B662,'Pre-Summary'!$AL$6:$AQ$13,6,FALSE),F661)</f>
        <v>5.9405263157894746E-2</v>
      </c>
      <c r="G662" t="str">
        <f>IFERROR(VLOOKUP(B662,'Pre-Summary'!$AE$6:$AJ$85,3,FALSE),"")</f>
        <v/>
      </c>
      <c r="H662" t="str">
        <f>IFERROR(VLOOKUP(B662,'Pre-Summary'!$AE$6:$AJ$85,4,FALSE),"")</f>
        <v/>
      </c>
      <c r="I662" t="str">
        <f>IFERROR(VLOOKUP(B662,'Pre-Summary'!$AE$6:$AJ$85,5,FALSE),"")</f>
        <v/>
      </c>
      <c r="J662" s="45" t="str">
        <f>IFERROR(VLOOKUP(B662,'Pre-Summary'!$AE$6:$AJ$85,6, FALSE),"")</f>
        <v/>
      </c>
      <c r="K662" s="45" t="str">
        <f>IFERROR(VLOOKUP(B662,'Pre-Summary'!$DE$6:$DG$61,3,FALSE),"")</f>
        <v/>
      </c>
      <c r="L662" s="45" t="str">
        <f>IFERROR(VLOOKUP(B662,'Pre-Summary'!$CU$6:$CW$36,3,FALSE),"")</f>
        <v/>
      </c>
      <c r="M662" s="45" t="str">
        <f>IFERROR(VLOOKUP(B662,'Pre-Summary'!$BW$6:$BY$58,2,FALSE),"")</f>
        <v/>
      </c>
      <c r="N662" s="45" t="str">
        <f>IFERROR(VLOOKUP(B662,'Pre-Summary'!$CD$6:$CF$64,2,FALSE),"")</f>
        <v/>
      </c>
      <c r="O662" s="99">
        <f>IFERROR(VLOOKUP(B662,'Pre-Summary'!$BO$6:$BQ$48,3, FALSE),O661)</f>
        <v>0.98799999999999999</v>
      </c>
      <c r="P662" s="99">
        <f>IFERROR(VLOOKUP(B662,'Pre-Summary'!$BS$6:$BU$35,3,FALSE),P661)</f>
        <v>0.34399999999999997</v>
      </c>
      <c r="Q662" s="54">
        <f t="shared" si="30"/>
        <v>2.8720930232558142</v>
      </c>
      <c r="R662" s="53">
        <f>IFERROR(VLOOKUP(B662,'Pre-Summary'!$BG$6:$BM$44,7,FALSE),R663)</f>
        <v>7.5915763918363535E-2</v>
      </c>
      <c r="S662" s="53">
        <f>IFERROR(VLOOKUP(B662,'Pre-Summary'!$BG$6:$BM$44,6,FALSE),S663)</f>
        <v>5.2897473997019086E-2</v>
      </c>
      <c r="T662" s="45" t="str">
        <f>IFERROR(VLOOKUP(B662,'Pre-Summary'!$Y$6:$AC$83, 3,FALSE),"")</f>
        <v/>
      </c>
      <c r="U662" s="45" t="str">
        <f>IFERROR(VLOOKUP(B662,'Pre-Summary'!$Y$6:$AC$83, 4,FALSE),"")</f>
        <v/>
      </c>
      <c r="V662" t="str">
        <f>IFERROR(VLOOKUP(B662,'Pre-Summary'!$Y$6:$AC$83, 5,FALSE),"")</f>
        <v/>
      </c>
      <c r="W662" s="45" t="str">
        <f>IFERROR(VLOOKUP(B662,'Pre-Summary'!$Y$6:$AD$83,6,FALSE),"")</f>
        <v/>
      </c>
      <c r="X662" t="str">
        <f>IFERROR(VLOOKUP('Pre-Summary'!$DB$6:$DD$63,3,FALSE),"")</f>
        <v/>
      </c>
      <c r="Y662" t="str">
        <f>IFERROR(VLOOKUP(B662,'Pre-Summary'!$CR$6:$CT$36,3,FALSE),"")</f>
        <v/>
      </c>
      <c r="Z662" s="45" t="str">
        <f>IFERROR(VLOOKUP(B662,'Pre-Summary'!$BZ$6:$CB$63,2,FALSE),"")</f>
        <v/>
      </c>
      <c r="AA662" s="45" t="str">
        <f>IFERROR(VLOOKUP(B662,'Pre-Summary'!$CG$6:$CI$70,2,FALSE),"")</f>
        <v/>
      </c>
      <c r="AB662" s="99">
        <f>IFERROR(VLOOKUP(B662,'Pre-Summary'!$A$6:$P$178,9,FALSE),AB663)</f>
        <v>0.84881825135540423</v>
      </c>
      <c r="AC662" s="10">
        <f>IFERROR(VLOOKUP(Summary!B662,'Pre-Summary'!$A$6:$P$184,5, FALSE)/100,AC663)</f>
        <v>0.77505331832279212</v>
      </c>
      <c r="AD662" s="10">
        <f>IFERROR(VLOOKUP(Summary!B662,'Pre-Summary'!$A$6:$P$184,3, FALSE)/100,AD663)</f>
        <v>3.6833887159730253E-3</v>
      </c>
      <c r="AE662" s="10">
        <f>IFERROR(VLOOKUP(Summary!B662,'Pre-Summary'!$A$6:$P$184,7, FALSE)/100,AE663)</f>
        <v>0.221264232960907</v>
      </c>
      <c r="AF662" s="99">
        <f t="shared" si="31"/>
        <v>3.1265275689544509E-3</v>
      </c>
      <c r="AG662" s="99">
        <f t="shared" si="32"/>
        <v>0.18781311930937186</v>
      </c>
      <c r="AH662" s="10" t="str">
        <f>IFERROR(VLOOKUP(B662,'Pre-Summary'!$AZ$6:$BE$65,3,FALSE),"")</f>
        <v/>
      </c>
      <c r="AI662" s="10" t="str">
        <f>IFERROR(VLOOKUP(B662,'Pre-Summary'!$AZ$6:$BE$65,5,FALSE),"")</f>
        <v/>
      </c>
      <c r="AJ662" s="10" t="str">
        <f>IFERROR(VLOOKUP(B662,'Pre-Summary'!$AZ$6:$BE$65,4,FALSE),"")</f>
        <v/>
      </c>
      <c r="AK662" s="10" t="str">
        <f>IFERROR(VLOOKUP(B662,'Pre-Summary'!$AZ$6:$BE$65,6,FALSE),"")</f>
        <v/>
      </c>
      <c r="AL662" s="10" t="str">
        <f>IFERROR(VLOOKUP(B662,'Pre-Summary'!$BG$6:$BL$44,3,FALSE),"")</f>
        <v/>
      </c>
      <c r="AM662" s="10" t="str">
        <f>IFERROR(VLOOKUP(B662,'Pre-Summary'!$BG$6:$BL$44,4,FALSE),"")</f>
        <v/>
      </c>
    </row>
    <row r="663" spans="2:39" ht="15" customHeight="1" x14ac:dyDescent="0.3">
      <c r="B663">
        <v>66</v>
      </c>
      <c r="C663" t="str">
        <f>IFERROR(VLOOKUP(B663,'Pre-Summary'!$DI$6:$DM$23,4,FALSE),"")</f>
        <v/>
      </c>
      <c r="D663" s="10" t="str">
        <f>IFERROR(VLOOKUP(B663,'Pre-Summary'!$AT$6:$AX$14,5,FALSE),D662)</f>
        <v>DSMZ v2: Dropped Na-Ac out of DSMZ 120 media</v>
      </c>
      <c r="E663" s="10" t="str">
        <f>IFERROR(VLOOKUP(B663,'Pre-Summary'!$AT$6:$AX$15,4,FALSE),"")</f>
        <v/>
      </c>
      <c r="F663">
        <f>IFERROR(VLOOKUP(B663,'Pre-Summary'!$AL$6:$AQ$13,6,FALSE),F662)</f>
        <v>5.9405263157894746E-2</v>
      </c>
      <c r="G663" t="str">
        <f>IFERROR(VLOOKUP(B663,'Pre-Summary'!$AE$6:$AJ$85,3,FALSE),"")</f>
        <v/>
      </c>
      <c r="H663" t="str">
        <f>IFERROR(VLOOKUP(B663,'Pre-Summary'!$AE$6:$AJ$85,4,FALSE),"")</f>
        <v/>
      </c>
      <c r="I663" t="str">
        <f>IFERROR(VLOOKUP(B663,'Pre-Summary'!$AE$6:$AJ$85,5,FALSE),"")</f>
        <v/>
      </c>
      <c r="J663" s="45" t="str">
        <f>IFERROR(VLOOKUP(B663,'Pre-Summary'!$AE$6:$AJ$85,6, FALSE),"")</f>
        <v/>
      </c>
      <c r="K663" s="45" t="str">
        <f>IFERROR(VLOOKUP(B663,'Pre-Summary'!$DE$6:$DG$61,3,FALSE),"")</f>
        <v/>
      </c>
      <c r="L663" s="45" t="str">
        <f>IFERROR(VLOOKUP(B663,'Pre-Summary'!$CU$6:$CW$36,3,FALSE),"")</f>
        <v/>
      </c>
      <c r="M663" s="45" t="str">
        <f>IFERROR(VLOOKUP(B663,'Pre-Summary'!$BW$6:$BY$58,2,FALSE),"")</f>
        <v/>
      </c>
      <c r="N663" s="45" t="str">
        <f>IFERROR(VLOOKUP(B663,'Pre-Summary'!$CD$6:$CF$64,2,FALSE),"")</f>
        <v/>
      </c>
      <c r="O663" s="99">
        <f>IFERROR(VLOOKUP(B663,'Pre-Summary'!$BO$6:$BQ$48,3, FALSE),O662)</f>
        <v>0.98799999999999999</v>
      </c>
      <c r="P663" s="99">
        <f>IFERROR(VLOOKUP(B663,'Pre-Summary'!$BS$6:$BU$35,3,FALSE),P662)</f>
        <v>0.34399999999999997</v>
      </c>
      <c r="Q663" s="54">
        <f t="shared" si="30"/>
        <v>2.8720930232558142</v>
      </c>
      <c r="R663" s="53">
        <f>IFERROR(VLOOKUP(B663,'Pre-Summary'!$BG$6:$BM$44,7,FALSE),R664)</f>
        <v>7.5915763918363535E-2</v>
      </c>
      <c r="S663" s="53">
        <f>IFERROR(VLOOKUP(B663,'Pre-Summary'!$BG$6:$BM$44,6,FALSE),S664)</f>
        <v>5.2897473997019086E-2</v>
      </c>
      <c r="T663" s="45" t="str">
        <f>IFERROR(VLOOKUP(B663,'Pre-Summary'!$Y$6:$AC$83, 3,FALSE),"")</f>
        <v/>
      </c>
      <c r="U663" s="45" t="str">
        <f>IFERROR(VLOOKUP(B663,'Pre-Summary'!$Y$6:$AC$83, 4,FALSE),"")</f>
        <v/>
      </c>
      <c r="V663" t="str">
        <f>IFERROR(VLOOKUP(B663,'Pre-Summary'!$Y$6:$AC$83, 5,FALSE),"")</f>
        <v/>
      </c>
      <c r="W663" s="45" t="str">
        <f>IFERROR(VLOOKUP(B663,'Pre-Summary'!$Y$6:$AD$83,6,FALSE),"")</f>
        <v/>
      </c>
      <c r="X663" t="str">
        <f>IFERROR(VLOOKUP('Pre-Summary'!$DB$6:$DD$63,3,FALSE),"")</f>
        <v/>
      </c>
      <c r="Y663" t="str">
        <f>IFERROR(VLOOKUP(B663,'Pre-Summary'!$CR$6:$CT$36,3,FALSE),"")</f>
        <v/>
      </c>
      <c r="Z663" s="45" t="str">
        <f>IFERROR(VLOOKUP(B663,'Pre-Summary'!$BZ$6:$CB$63,2,FALSE),"")</f>
        <v/>
      </c>
      <c r="AA663" s="45" t="str">
        <f>IFERROR(VLOOKUP(B663,'Pre-Summary'!$CG$6:$CI$70,2,FALSE),"")</f>
        <v/>
      </c>
      <c r="AB663" s="99">
        <f>IFERROR(VLOOKUP(B663,'Pre-Summary'!$A$6:$P$178,9,FALSE),AB664)</f>
        <v>0.84881825135540423</v>
      </c>
      <c r="AC663" s="10">
        <f>IFERROR(VLOOKUP(Summary!B663,'Pre-Summary'!$A$6:$P$184,5, FALSE)/100,AC664)</f>
        <v>0.77505331832279212</v>
      </c>
      <c r="AD663" s="10">
        <f>IFERROR(VLOOKUP(Summary!B663,'Pre-Summary'!$A$6:$P$184,3, FALSE)/100,AD664)</f>
        <v>3.6833887159730253E-3</v>
      </c>
      <c r="AE663" s="10">
        <f>IFERROR(VLOOKUP(Summary!B663,'Pre-Summary'!$A$6:$P$184,7, FALSE)/100,AE664)</f>
        <v>0.221264232960907</v>
      </c>
      <c r="AF663" s="99">
        <f t="shared" si="31"/>
        <v>3.1265275689544509E-3</v>
      </c>
      <c r="AG663" s="99">
        <f t="shared" si="32"/>
        <v>0.18781311930937186</v>
      </c>
      <c r="AH663" s="10" t="str">
        <f>IFERROR(VLOOKUP(B663,'Pre-Summary'!$AZ$6:$BE$65,3,FALSE),"")</f>
        <v/>
      </c>
      <c r="AI663" s="10" t="str">
        <f>IFERROR(VLOOKUP(B663,'Pre-Summary'!$AZ$6:$BE$65,5,FALSE),"")</f>
        <v/>
      </c>
      <c r="AJ663" s="10" t="str">
        <f>IFERROR(VLOOKUP(B663,'Pre-Summary'!$AZ$6:$BE$65,4,FALSE),"")</f>
        <v/>
      </c>
      <c r="AK663" s="10" t="str">
        <f>IFERROR(VLOOKUP(B663,'Pre-Summary'!$AZ$6:$BE$65,6,FALSE),"")</f>
        <v/>
      </c>
      <c r="AL663" s="10" t="str">
        <f>IFERROR(VLOOKUP(B663,'Pre-Summary'!$BG$6:$BL$44,3,FALSE),"")</f>
        <v/>
      </c>
      <c r="AM663" s="10" t="str">
        <f>IFERROR(VLOOKUP(B663,'Pre-Summary'!$BG$6:$BL$44,4,FALSE),"")</f>
        <v/>
      </c>
    </row>
    <row r="664" spans="2:39" ht="15" customHeight="1" x14ac:dyDescent="0.3">
      <c r="B664">
        <v>66.099999999999994</v>
      </c>
      <c r="C664" t="str">
        <f>IFERROR(VLOOKUP(B664,'Pre-Summary'!$DI$6:$DM$23,4,FALSE),"")</f>
        <v/>
      </c>
      <c r="D664" s="10" t="str">
        <f>IFERROR(VLOOKUP(B664,'Pre-Summary'!$AT$6:$AX$14,5,FALSE),D663)</f>
        <v>DSMZ v2: Dropped Na-Ac out of DSMZ 120 media</v>
      </c>
      <c r="E664" s="10" t="str">
        <f>IFERROR(VLOOKUP(B664,'Pre-Summary'!$AT$6:$AX$15,4,FALSE),"")</f>
        <v/>
      </c>
      <c r="F664">
        <f>IFERROR(VLOOKUP(B664,'Pre-Summary'!$AL$6:$AQ$13,6,FALSE),F663)</f>
        <v>5.9405263157894746E-2</v>
      </c>
      <c r="G664" t="str">
        <f>IFERROR(VLOOKUP(B664,'Pre-Summary'!$AE$6:$AJ$85,3,FALSE),"")</f>
        <v/>
      </c>
      <c r="H664" t="str">
        <f>IFERROR(VLOOKUP(B664,'Pre-Summary'!$AE$6:$AJ$85,4,FALSE),"")</f>
        <v/>
      </c>
      <c r="I664" t="str">
        <f>IFERROR(VLOOKUP(B664,'Pre-Summary'!$AE$6:$AJ$85,5,FALSE),"")</f>
        <v/>
      </c>
      <c r="J664" s="45" t="str">
        <f>IFERROR(VLOOKUP(B664,'Pre-Summary'!$AE$6:$AJ$85,6, FALSE),"")</f>
        <v/>
      </c>
      <c r="K664" s="45" t="str">
        <f>IFERROR(VLOOKUP(B664,'Pre-Summary'!$DE$6:$DG$61,3,FALSE),"")</f>
        <v/>
      </c>
      <c r="L664" s="45" t="str">
        <f>IFERROR(VLOOKUP(B664,'Pre-Summary'!$CU$6:$CW$36,3,FALSE),"")</f>
        <v/>
      </c>
      <c r="M664" s="45" t="str">
        <f>IFERROR(VLOOKUP(B664,'Pre-Summary'!$BW$6:$BY$58,2,FALSE),"")</f>
        <v/>
      </c>
      <c r="N664" s="45" t="str">
        <f>IFERROR(VLOOKUP(B664,'Pre-Summary'!$CD$6:$CF$64,2,FALSE),"")</f>
        <v/>
      </c>
      <c r="O664" s="99">
        <f>IFERROR(VLOOKUP(B664,'Pre-Summary'!$BO$6:$BQ$48,3, FALSE),O663)</f>
        <v>0.98799999999999999</v>
      </c>
      <c r="P664" s="99">
        <f>IFERROR(VLOOKUP(B664,'Pre-Summary'!$BS$6:$BU$35,3,FALSE),P663)</f>
        <v>0.34399999999999997</v>
      </c>
      <c r="Q664" s="54">
        <f t="shared" si="30"/>
        <v>2.8720930232558142</v>
      </c>
      <c r="R664" s="53">
        <f>IFERROR(VLOOKUP(B664,'Pre-Summary'!$BG$6:$BM$44,7,FALSE),R665)</f>
        <v>7.5915763918363535E-2</v>
      </c>
      <c r="S664" s="53">
        <f>IFERROR(VLOOKUP(B664,'Pre-Summary'!$BG$6:$BM$44,6,FALSE),S665)</f>
        <v>5.2897473997019086E-2</v>
      </c>
      <c r="T664" s="45" t="str">
        <f>IFERROR(VLOOKUP(B664,'Pre-Summary'!$Y$6:$AC$83, 3,FALSE),"")</f>
        <v/>
      </c>
      <c r="U664" s="45" t="str">
        <f>IFERROR(VLOOKUP(B664,'Pre-Summary'!$Y$6:$AC$83, 4,FALSE),"")</f>
        <v/>
      </c>
      <c r="V664" t="str">
        <f>IFERROR(VLOOKUP(B664,'Pre-Summary'!$Y$6:$AC$83, 5,FALSE),"")</f>
        <v/>
      </c>
      <c r="W664" s="45" t="str">
        <f>IFERROR(VLOOKUP(B664,'Pre-Summary'!$Y$6:$AD$83,6,FALSE),"")</f>
        <v/>
      </c>
      <c r="X664" t="str">
        <f>IFERROR(VLOOKUP('Pre-Summary'!$DB$6:$DD$63,3,FALSE),"")</f>
        <v/>
      </c>
      <c r="Y664" t="str">
        <f>IFERROR(VLOOKUP(B664,'Pre-Summary'!$CR$6:$CT$36,3,FALSE),"")</f>
        <v/>
      </c>
      <c r="Z664" s="45" t="str">
        <f>IFERROR(VLOOKUP(B664,'Pre-Summary'!$BZ$6:$CB$63,2,FALSE),"")</f>
        <v/>
      </c>
      <c r="AA664" s="45" t="str">
        <f>IFERROR(VLOOKUP(B664,'Pre-Summary'!$CG$6:$CI$70,2,FALSE),"")</f>
        <v/>
      </c>
      <c r="AB664" s="99">
        <f>IFERROR(VLOOKUP(B664,'Pre-Summary'!$A$6:$P$178,9,FALSE),AB665)</f>
        <v>0.84881825135540423</v>
      </c>
      <c r="AC664" s="10">
        <f>IFERROR(VLOOKUP(Summary!B664,'Pre-Summary'!$A$6:$P$184,5, FALSE)/100,AC665)</f>
        <v>0.77505331832279212</v>
      </c>
      <c r="AD664" s="10">
        <f>IFERROR(VLOOKUP(Summary!B664,'Pre-Summary'!$A$6:$P$184,3, FALSE)/100,AD665)</f>
        <v>3.6833887159730253E-3</v>
      </c>
      <c r="AE664" s="10">
        <f>IFERROR(VLOOKUP(Summary!B664,'Pre-Summary'!$A$6:$P$184,7, FALSE)/100,AE665)</f>
        <v>0.221264232960907</v>
      </c>
      <c r="AF664" s="99">
        <f t="shared" si="31"/>
        <v>3.1265275689544509E-3</v>
      </c>
      <c r="AG664" s="99">
        <f t="shared" si="32"/>
        <v>0.18781311930937186</v>
      </c>
      <c r="AH664" s="10" t="str">
        <f>IFERROR(VLOOKUP(B664,'Pre-Summary'!$AZ$6:$BE$65,3,FALSE),"")</f>
        <v/>
      </c>
      <c r="AI664" s="10" t="str">
        <f>IFERROR(VLOOKUP(B664,'Pre-Summary'!$AZ$6:$BE$65,5,FALSE),"")</f>
        <v/>
      </c>
      <c r="AJ664" s="10" t="str">
        <f>IFERROR(VLOOKUP(B664,'Pre-Summary'!$AZ$6:$BE$65,4,FALSE),"")</f>
        <v/>
      </c>
      <c r="AK664" s="10" t="str">
        <f>IFERROR(VLOOKUP(B664,'Pre-Summary'!$AZ$6:$BE$65,6,FALSE),"")</f>
        <v/>
      </c>
      <c r="AL664" s="10" t="str">
        <f>IFERROR(VLOOKUP(B664,'Pre-Summary'!$BG$6:$BL$44,3,FALSE),"")</f>
        <v/>
      </c>
      <c r="AM664" s="10" t="str">
        <f>IFERROR(VLOOKUP(B664,'Pre-Summary'!$BG$6:$BL$44,4,FALSE),"")</f>
        <v/>
      </c>
    </row>
    <row r="665" spans="2:39" ht="15" customHeight="1" x14ac:dyDescent="0.3">
      <c r="B665">
        <v>66.2</v>
      </c>
      <c r="C665" t="str">
        <f>IFERROR(VLOOKUP(B665,'Pre-Summary'!$DI$6:$DM$23,4,FALSE),"")</f>
        <v/>
      </c>
      <c r="D665" s="10" t="str">
        <f>IFERROR(VLOOKUP(B665,'Pre-Summary'!$AT$6:$AX$14,5,FALSE),D664)</f>
        <v>DSMZ v2: Dropped Na-Ac out of DSMZ 120 media</v>
      </c>
      <c r="E665" s="10" t="str">
        <f>IFERROR(VLOOKUP(B665,'Pre-Summary'!$AT$6:$AX$15,4,FALSE),"")</f>
        <v/>
      </c>
      <c r="F665">
        <f>IFERROR(VLOOKUP(B665,'Pre-Summary'!$AL$6:$AQ$13,6,FALSE),F664)</f>
        <v>5.9405263157894746E-2</v>
      </c>
      <c r="G665" t="str">
        <f>IFERROR(VLOOKUP(B665,'Pre-Summary'!$AE$6:$AJ$85,3,FALSE),"")</f>
        <v/>
      </c>
      <c r="H665" t="str">
        <f>IFERROR(VLOOKUP(B665,'Pre-Summary'!$AE$6:$AJ$85,4,FALSE),"")</f>
        <v/>
      </c>
      <c r="I665" t="str">
        <f>IFERROR(VLOOKUP(B665,'Pre-Summary'!$AE$6:$AJ$85,5,FALSE),"")</f>
        <v/>
      </c>
      <c r="J665" s="45" t="str">
        <f>IFERROR(VLOOKUP(B665,'Pre-Summary'!$AE$6:$AJ$85,6, FALSE),"")</f>
        <v/>
      </c>
      <c r="K665" s="45" t="str">
        <f>IFERROR(VLOOKUP(B665,'Pre-Summary'!$DE$6:$DG$61,3,FALSE),"")</f>
        <v/>
      </c>
      <c r="L665" s="45" t="str">
        <f>IFERROR(VLOOKUP(B665,'Pre-Summary'!$CU$6:$CW$36,3,FALSE),"")</f>
        <v/>
      </c>
      <c r="M665" s="45" t="str">
        <f>IFERROR(VLOOKUP(B665,'Pre-Summary'!$BW$6:$BY$58,2,FALSE),"")</f>
        <v/>
      </c>
      <c r="N665" s="45" t="str">
        <f>IFERROR(VLOOKUP(B665,'Pre-Summary'!$CD$6:$CF$64,2,FALSE),"")</f>
        <v/>
      </c>
      <c r="O665" s="99">
        <f>IFERROR(VLOOKUP(B665,'Pre-Summary'!$BO$6:$BQ$48,3, FALSE),O664)</f>
        <v>0.98799999999999999</v>
      </c>
      <c r="P665" s="99">
        <f>IFERROR(VLOOKUP(B665,'Pre-Summary'!$BS$6:$BU$35,3,FALSE),P664)</f>
        <v>0.34399999999999997</v>
      </c>
      <c r="Q665" s="54">
        <f t="shared" si="30"/>
        <v>2.8720930232558142</v>
      </c>
      <c r="R665" s="53">
        <f>IFERROR(VLOOKUP(B665,'Pre-Summary'!$BG$6:$BM$44,7,FALSE),R666)</f>
        <v>7.5915763918363535E-2</v>
      </c>
      <c r="S665" s="53">
        <f>IFERROR(VLOOKUP(B665,'Pre-Summary'!$BG$6:$BM$44,6,FALSE),S666)</f>
        <v>5.2897473997019086E-2</v>
      </c>
      <c r="T665" s="45" t="str">
        <f>IFERROR(VLOOKUP(B665,'Pre-Summary'!$Y$6:$AC$83, 3,FALSE),"")</f>
        <v/>
      </c>
      <c r="U665" s="45" t="str">
        <f>IFERROR(VLOOKUP(B665,'Pre-Summary'!$Y$6:$AC$83, 4,FALSE),"")</f>
        <v/>
      </c>
      <c r="V665" t="str">
        <f>IFERROR(VLOOKUP(B665,'Pre-Summary'!$Y$6:$AC$83, 5,FALSE),"")</f>
        <v/>
      </c>
      <c r="W665" s="45" t="str">
        <f>IFERROR(VLOOKUP(B665,'Pre-Summary'!$Y$6:$AD$83,6,FALSE),"")</f>
        <v/>
      </c>
      <c r="X665" t="str">
        <f>IFERROR(VLOOKUP('Pre-Summary'!$DB$6:$DD$63,3,FALSE),"")</f>
        <v/>
      </c>
      <c r="Y665" t="str">
        <f>IFERROR(VLOOKUP(B665,'Pre-Summary'!$CR$6:$CT$36,3,FALSE),"")</f>
        <v/>
      </c>
      <c r="Z665" s="45" t="str">
        <f>IFERROR(VLOOKUP(B665,'Pre-Summary'!$BZ$6:$CB$63,2,FALSE),"")</f>
        <v/>
      </c>
      <c r="AA665" s="45" t="str">
        <f>IFERROR(VLOOKUP(B665,'Pre-Summary'!$CG$6:$CI$70,2,FALSE),"")</f>
        <v/>
      </c>
      <c r="AB665" s="99">
        <f>IFERROR(VLOOKUP(B665,'Pre-Summary'!$A$6:$P$178,9,FALSE),AB666)</f>
        <v>0.84881825135540423</v>
      </c>
      <c r="AC665" s="10">
        <f>IFERROR(VLOOKUP(Summary!B665,'Pre-Summary'!$A$6:$P$184,5, FALSE)/100,AC666)</f>
        <v>0.77505331832279212</v>
      </c>
      <c r="AD665" s="10">
        <f>IFERROR(VLOOKUP(Summary!B665,'Pre-Summary'!$A$6:$P$184,3, FALSE)/100,AD666)</f>
        <v>3.6833887159730253E-3</v>
      </c>
      <c r="AE665" s="10">
        <f>IFERROR(VLOOKUP(Summary!B665,'Pre-Summary'!$A$6:$P$184,7, FALSE)/100,AE666)</f>
        <v>0.221264232960907</v>
      </c>
      <c r="AF665" s="99">
        <f t="shared" si="31"/>
        <v>3.1265275689544509E-3</v>
      </c>
      <c r="AG665" s="99">
        <f t="shared" si="32"/>
        <v>0.18781311930937186</v>
      </c>
      <c r="AH665" s="10" t="str">
        <f>IFERROR(VLOOKUP(B665,'Pre-Summary'!$AZ$6:$BE$65,3,FALSE),"")</f>
        <v/>
      </c>
      <c r="AI665" s="10" t="str">
        <f>IFERROR(VLOOKUP(B665,'Pre-Summary'!$AZ$6:$BE$65,5,FALSE),"")</f>
        <v/>
      </c>
      <c r="AJ665" s="10" t="str">
        <f>IFERROR(VLOOKUP(B665,'Pre-Summary'!$AZ$6:$BE$65,4,FALSE),"")</f>
        <v/>
      </c>
      <c r="AK665" s="10" t="str">
        <f>IFERROR(VLOOKUP(B665,'Pre-Summary'!$AZ$6:$BE$65,6,FALSE),"")</f>
        <v/>
      </c>
      <c r="AL665" s="10" t="str">
        <f>IFERROR(VLOOKUP(B665,'Pre-Summary'!$BG$6:$BL$44,3,FALSE),"")</f>
        <v/>
      </c>
      <c r="AM665" s="10" t="str">
        <f>IFERROR(VLOOKUP(B665,'Pre-Summary'!$BG$6:$BL$44,4,FALSE),"")</f>
        <v/>
      </c>
    </row>
    <row r="666" spans="2:39" ht="15" customHeight="1" x14ac:dyDescent="0.3">
      <c r="B666">
        <v>66.3</v>
      </c>
      <c r="C666" t="str">
        <f>IFERROR(VLOOKUP(B666,'Pre-Summary'!$DI$6:$DM$23,4,FALSE),"")</f>
        <v/>
      </c>
      <c r="D666" s="10" t="str">
        <f>IFERROR(VLOOKUP(B666,'Pre-Summary'!$AT$6:$AX$14,5,FALSE),D665)</f>
        <v>DSMZ v2: Dropped Na-Ac out of DSMZ 120 media</v>
      </c>
      <c r="E666" s="10" t="str">
        <f>IFERROR(VLOOKUP(B666,'Pre-Summary'!$AT$6:$AX$15,4,FALSE),"")</f>
        <v/>
      </c>
      <c r="F666">
        <f>IFERROR(VLOOKUP(B666,'Pre-Summary'!$AL$6:$AQ$13,6,FALSE),F665)</f>
        <v>5.9405263157894746E-2</v>
      </c>
      <c r="G666" t="str">
        <f>IFERROR(VLOOKUP(B666,'Pre-Summary'!$AE$6:$AJ$85,3,FALSE),"")</f>
        <v/>
      </c>
      <c r="H666" t="str">
        <f>IFERROR(VLOOKUP(B666,'Pre-Summary'!$AE$6:$AJ$85,4,FALSE),"")</f>
        <v/>
      </c>
      <c r="I666" t="str">
        <f>IFERROR(VLOOKUP(B666,'Pre-Summary'!$AE$6:$AJ$85,5,FALSE),"")</f>
        <v/>
      </c>
      <c r="J666" s="45" t="str">
        <f>IFERROR(VLOOKUP(B666,'Pre-Summary'!$AE$6:$AJ$85,6, FALSE),"")</f>
        <v/>
      </c>
      <c r="K666" s="45" t="str">
        <f>IFERROR(VLOOKUP(B666,'Pre-Summary'!$DE$6:$DG$61,3,FALSE),"")</f>
        <v/>
      </c>
      <c r="L666" s="45" t="str">
        <f>IFERROR(VLOOKUP(B666,'Pre-Summary'!$CU$6:$CW$36,3,FALSE),"")</f>
        <v/>
      </c>
      <c r="M666" s="45" t="str">
        <f>IFERROR(VLOOKUP(B666,'Pre-Summary'!$BW$6:$BY$58,2,FALSE),"")</f>
        <v/>
      </c>
      <c r="N666" s="45" t="str">
        <f>IFERROR(VLOOKUP(B666,'Pre-Summary'!$CD$6:$CF$64,2,FALSE),"")</f>
        <v/>
      </c>
      <c r="O666" s="99">
        <f>IFERROR(VLOOKUP(B666,'Pre-Summary'!$BO$6:$BQ$48,3, FALSE),O665)</f>
        <v>0.98799999999999999</v>
      </c>
      <c r="P666" s="99">
        <f>IFERROR(VLOOKUP(B666,'Pre-Summary'!$BS$6:$BU$35,3,FALSE),P665)</f>
        <v>0.34399999999999997</v>
      </c>
      <c r="Q666" s="54">
        <f t="shared" si="30"/>
        <v>2.8720930232558142</v>
      </c>
      <c r="R666" s="53">
        <f>IFERROR(VLOOKUP(B666,'Pre-Summary'!$BG$6:$BM$44,7,FALSE),R667)</f>
        <v>7.5915763918363535E-2</v>
      </c>
      <c r="S666" s="53">
        <f>IFERROR(VLOOKUP(B666,'Pre-Summary'!$BG$6:$BM$44,6,FALSE),S667)</f>
        <v>5.2897473997019086E-2</v>
      </c>
      <c r="T666" s="45" t="str">
        <f>IFERROR(VLOOKUP(B666,'Pre-Summary'!$Y$6:$AC$83, 3,FALSE),"")</f>
        <v/>
      </c>
      <c r="U666" s="45" t="str">
        <f>IFERROR(VLOOKUP(B666,'Pre-Summary'!$Y$6:$AC$83, 4,FALSE),"")</f>
        <v/>
      </c>
      <c r="V666" t="str">
        <f>IFERROR(VLOOKUP(B666,'Pre-Summary'!$Y$6:$AC$83, 5,FALSE),"")</f>
        <v/>
      </c>
      <c r="W666" s="45" t="str">
        <f>IFERROR(VLOOKUP(B666,'Pre-Summary'!$Y$6:$AD$83,6,FALSE),"")</f>
        <v/>
      </c>
      <c r="X666" t="str">
        <f>IFERROR(VLOOKUP('Pre-Summary'!$DB$6:$DD$63,3,FALSE),"")</f>
        <v/>
      </c>
      <c r="Y666" t="str">
        <f>IFERROR(VLOOKUP(B666,'Pre-Summary'!$CR$6:$CT$36,3,FALSE),"")</f>
        <v/>
      </c>
      <c r="Z666" s="45" t="str">
        <f>IFERROR(VLOOKUP(B666,'Pre-Summary'!$BZ$6:$CB$63,2,FALSE),"")</f>
        <v/>
      </c>
      <c r="AA666" s="45" t="str">
        <f>IFERROR(VLOOKUP(B666,'Pre-Summary'!$CG$6:$CI$70,2,FALSE),"")</f>
        <v/>
      </c>
      <c r="AB666" s="99">
        <f>IFERROR(VLOOKUP(B666,'Pre-Summary'!$A$6:$P$178,9,FALSE),AB667)</f>
        <v>0.84881825135540423</v>
      </c>
      <c r="AC666" s="10">
        <f>IFERROR(VLOOKUP(Summary!B666,'Pre-Summary'!$A$6:$P$184,5, FALSE)/100,AC667)</f>
        <v>0.77505331832279212</v>
      </c>
      <c r="AD666" s="10">
        <f>IFERROR(VLOOKUP(Summary!B666,'Pre-Summary'!$A$6:$P$184,3, FALSE)/100,AD667)</f>
        <v>3.6833887159730253E-3</v>
      </c>
      <c r="AE666" s="10">
        <f>IFERROR(VLOOKUP(Summary!B666,'Pre-Summary'!$A$6:$P$184,7, FALSE)/100,AE667)</f>
        <v>0.221264232960907</v>
      </c>
      <c r="AF666" s="99">
        <f t="shared" si="31"/>
        <v>3.1265275689544509E-3</v>
      </c>
      <c r="AG666" s="99">
        <f t="shared" si="32"/>
        <v>0.18781311930937186</v>
      </c>
      <c r="AH666" s="10" t="str">
        <f>IFERROR(VLOOKUP(B666,'Pre-Summary'!$AZ$6:$BE$65,3,FALSE),"")</f>
        <v/>
      </c>
      <c r="AI666" s="10" t="str">
        <f>IFERROR(VLOOKUP(B666,'Pre-Summary'!$AZ$6:$BE$65,5,FALSE),"")</f>
        <v/>
      </c>
      <c r="AJ666" s="10" t="str">
        <f>IFERROR(VLOOKUP(B666,'Pre-Summary'!$AZ$6:$BE$65,4,FALSE),"")</f>
        <v/>
      </c>
      <c r="AK666" s="10" t="str">
        <f>IFERROR(VLOOKUP(B666,'Pre-Summary'!$AZ$6:$BE$65,6,FALSE),"")</f>
        <v/>
      </c>
      <c r="AL666" s="10" t="str">
        <f>IFERROR(VLOOKUP(B666,'Pre-Summary'!$BG$6:$BL$44,3,FALSE),"")</f>
        <v/>
      </c>
      <c r="AM666" s="10" t="str">
        <f>IFERROR(VLOOKUP(B666,'Pre-Summary'!$BG$6:$BL$44,4,FALSE),"")</f>
        <v/>
      </c>
    </row>
    <row r="667" spans="2:39" ht="15" customHeight="1" x14ac:dyDescent="0.3">
      <c r="B667">
        <v>66.400000000000006</v>
      </c>
      <c r="C667" t="str">
        <f>IFERROR(VLOOKUP(B667,'Pre-Summary'!$DI$6:$DM$23,4,FALSE),"")</f>
        <v/>
      </c>
      <c r="D667" s="10" t="str">
        <f>IFERROR(VLOOKUP(B667,'Pre-Summary'!$AT$6:$AX$14,5,FALSE),D666)</f>
        <v>DSMZ v2: Dropped Na-Ac out of DSMZ 120 media</v>
      </c>
      <c r="E667" s="10" t="str">
        <f>IFERROR(VLOOKUP(B667,'Pre-Summary'!$AT$6:$AX$15,4,FALSE),"")</f>
        <v/>
      </c>
      <c r="F667">
        <f>IFERROR(VLOOKUP(B667,'Pre-Summary'!$AL$6:$AQ$13,6,FALSE),F666)</f>
        <v>5.9405263157894746E-2</v>
      </c>
      <c r="G667" t="str">
        <f>IFERROR(VLOOKUP(B667,'Pre-Summary'!$AE$6:$AJ$85,3,FALSE),"")</f>
        <v/>
      </c>
      <c r="H667" t="str">
        <f>IFERROR(VLOOKUP(B667,'Pre-Summary'!$AE$6:$AJ$85,4,FALSE),"")</f>
        <v/>
      </c>
      <c r="I667" t="str">
        <f>IFERROR(VLOOKUP(B667,'Pre-Summary'!$AE$6:$AJ$85,5,FALSE),"")</f>
        <v/>
      </c>
      <c r="J667" s="45" t="str">
        <f>IFERROR(VLOOKUP(B667,'Pre-Summary'!$AE$6:$AJ$85,6, FALSE),"")</f>
        <v/>
      </c>
      <c r="K667" s="45" t="str">
        <f>IFERROR(VLOOKUP(B667,'Pre-Summary'!$DE$6:$DG$61,3,FALSE),"")</f>
        <v/>
      </c>
      <c r="L667" s="45" t="str">
        <f>IFERROR(VLOOKUP(B667,'Pre-Summary'!$CU$6:$CW$36,3,FALSE),"")</f>
        <v/>
      </c>
      <c r="M667" s="45" t="str">
        <f>IFERROR(VLOOKUP(B667,'Pre-Summary'!$BW$6:$BY$58,2,FALSE),"")</f>
        <v/>
      </c>
      <c r="N667" s="45" t="str">
        <f>IFERROR(VLOOKUP(B667,'Pre-Summary'!$CD$6:$CF$64,2,FALSE),"")</f>
        <v/>
      </c>
      <c r="O667" s="99">
        <f>IFERROR(VLOOKUP(B667,'Pre-Summary'!$BO$6:$BQ$48,3, FALSE),O666)</f>
        <v>0.98799999999999999</v>
      </c>
      <c r="P667" s="99">
        <f>IFERROR(VLOOKUP(B667,'Pre-Summary'!$BS$6:$BU$35,3,FALSE),P666)</f>
        <v>0.34399999999999997</v>
      </c>
      <c r="Q667" s="54">
        <f t="shared" si="30"/>
        <v>2.8720930232558142</v>
      </c>
      <c r="R667" s="53">
        <f>IFERROR(VLOOKUP(B667,'Pre-Summary'!$BG$6:$BM$44,7,FALSE),R668)</f>
        <v>7.5915763918363535E-2</v>
      </c>
      <c r="S667" s="53">
        <f>IFERROR(VLOOKUP(B667,'Pre-Summary'!$BG$6:$BM$44,6,FALSE),S668)</f>
        <v>5.2897473997019086E-2</v>
      </c>
      <c r="T667" s="45" t="str">
        <f>IFERROR(VLOOKUP(B667,'Pre-Summary'!$Y$6:$AC$83, 3,FALSE),"")</f>
        <v/>
      </c>
      <c r="U667" s="45" t="str">
        <f>IFERROR(VLOOKUP(B667,'Pre-Summary'!$Y$6:$AC$83, 4,FALSE),"")</f>
        <v/>
      </c>
      <c r="V667" t="str">
        <f>IFERROR(VLOOKUP(B667,'Pre-Summary'!$Y$6:$AC$83, 5,FALSE),"")</f>
        <v/>
      </c>
      <c r="W667" s="45" t="str">
        <f>IFERROR(VLOOKUP(B667,'Pre-Summary'!$Y$6:$AD$83,6,FALSE),"")</f>
        <v/>
      </c>
      <c r="X667" t="str">
        <f>IFERROR(VLOOKUP('Pre-Summary'!$DB$6:$DD$63,3,FALSE),"")</f>
        <v/>
      </c>
      <c r="Y667" t="str">
        <f>IFERROR(VLOOKUP(B667,'Pre-Summary'!$CR$6:$CT$36,3,FALSE),"")</f>
        <v/>
      </c>
      <c r="Z667" s="45" t="str">
        <f>IFERROR(VLOOKUP(B667,'Pre-Summary'!$BZ$6:$CB$63,2,FALSE),"")</f>
        <v/>
      </c>
      <c r="AA667" s="45" t="str">
        <f>IFERROR(VLOOKUP(B667,'Pre-Summary'!$CG$6:$CI$70,2,FALSE),"")</f>
        <v/>
      </c>
      <c r="AB667" s="99">
        <f>IFERROR(VLOOKUP(B667,'Pre-Summary'!$A$6:$P$178,9,FALSE),AB668)</f>
        <v>0.84881825135540423</v>
      </c>
      <c r="AC667" s="10">
        <f>IFERROR(VLOOKUP(Summary!B667,'Pre-Summary'!$A$6:$P$184,5, FALSE)/100,AC668)</f>
        <v>0.77505331832279212</v>
      </c>
      <c r="AD667" s="10">
        <f>IFERROR(VLOOKUP(Summary!B667,'Pre-Summary'!$A$6:$P$184,3, FALSE)/100,AD668)</f>
        <v>3.6833887159730253E-3</v>
      </c>
      <c r="AE667" s="10">
        <f>IFERROR(VLOOKUP(Summary!B667,'Pre-Summary'!$A$6:$P$184,7, FALSE)/100,AE668)</f>
        <v>0.221264232960907</v>
      </c>
      <c r="AF667" s="99">
        <f t="shared" si="31"/>
        <v>3.1265275689544509E-3</v>
      </c>
      <c r="AG667" s="99">
        <f t="shared" si="32"/>
        <v>0.18781311930937186</v>
      </c>
      <c r="AH667" s="10" t="str">
        <f>IFERROR(VLOOKUP(B667,'Pre-Summary'!$AZ$6:$BE$65,3,FALSE),"")</f>
        <v/>
      </c>
      <c r="AI667" s="10" t="str">
        <f>IFERROR(VLOOKUP(B667,'Pre-Summary'!$AZ$6:$BE$65,5,FALSE),"")</f>
        <v/>
      </c>
      <c r="AJ667" s="10" t="str">
        <f>IFERROR(VLOOKUP(B667,'Pre-Summary'!$AZ$6:$BE$65,4,FALSE),"")</f>
        <v/>
      </c>
      <c r="AK667" s="10" t="str">
        <f>IFERROR(VLOOKUP(B667,'Pre-Summary'!$AZ$6:$BE$65,6,FALSE),"")</f>
        <v/>
      </c>
      <c r="AL667" s="10" t="str">
        <f>IFERROR(VLOOKUP(B667,'Pre-Summary'!$BG$6:$BL$44,3,FALSE),"")</f>
        <v/>
      </c>
      <c r="AM667" s="10" t="str">
        <f>IFERROR(VLOOKUP(B667,'Pre-Summary'!$BG$6:$BL$44,4,FALSE),"")</f>
        <v/>
      </c>
    </row>
    <row r="668" spans="2:39" ht="15" customHeight="1" x14ac:dyDescent="0.3">
      <c r="B668">
        <v>66.5</v>
      </c>
      <c r="C668" t="str">
        <f>IFERROR(VLOOKUP(B668,'Pre-Summary'!$DI$6:$DM$23,4,FALSE),"")</f>
        <v/>
      </c>
      <c r="D668" s="10" t="str">
        <f>IFERROR(VLOOKUP(B668,'Pre-Summary'!$AT$6:$AX$14,5,FALSE),D667)</f>
        <v>DSMZ v2: Dropped Na-Ac out of DSMZ 120 media</v>
      </c>
      <c r="E668" s="10" t="str">
        <f>IFERROR(VLOOKUP(B668,'Pre-Summary'!$AT$6:$AX$15,4,FALSE),"")</f>
        <v/>
      </c>
      <c r="F668">
        <f>IFERROR(VLOOKUP(B668,'Pre-Summary'!$AL$6:$AQ$13,6,FALSE),F667)</f>
        <v>5.9405263157894746E-2</v>
      </c>
      <c r="G668" t="str">
        <f>IFERROR(VLOOKUP(B668,'Pre-Summary'!$AE$6:$AJ$85,3,FALSE),"")</f>
        <v/>
      </c>
      <c r="H668" t="str">
        <f>IFERROR(VLOOKUP(B668,'Pre-Summary'!$AE$6:$AJ$85,4,FALSE),"")</f>
        <v/>
      </c>
      <c r="I668" t="str">
        <f>IFERROR(VLOOKUP(B668,'Pre-Summary'!$AE$6:$AJ$85,5,FALSE),"")</f>
        <v/>
      </c>
      <c r="J668" s="45" t="str">
        <f>IFERROR(VLOOKUP(B668,'Pre-Summary'!$AE$6:$AJ$85,6, FALSE),"")</f>
        <v/>
      </c>
      <c r="K668" s="45" t="str">
        <f>IFERROR(VLOOKUP(B668,'Pre-Summary'!$DE$6:$DG$61,3,FALSE),"")</f>
        <v/>
      </c>
      <c r="L668" s="45" t="str">
        <f>IFERROR(VLOOKUP(B668,'Pre-Summary'!$CU$6:$CW$36,3,FALSE),"")</f>
        <v/>
      </c>
      <c r="M668" s="45" t="str">
        <f>IFERROR(VLOOKUP(B668,'Pre-Summary'!$BW$6:$BY$58,2,FALSE),"")</f>
        <v/>
      </c>
      <c r="N668" s="45" t="str">
        <f>IFERROR(VLOOKUP(B668,'Pre-Summary'!$CD$6:$CF$64,2,FALSE),"")</f>
        <v/>
      </c>
      <c r="O668" s="99">
        <f>IFERROR(VLOOKUP(B668,'Pre-Summary'!$BO$6:$BQ$48,3, FALSE),O667)</f>
        <v>0.98799999999999999</v>
      </c>
      <c r="P668" s="99">
        <f>IFERROR(VLOOKUP(B668,'Pre-Summary'!$BS$6:$BU$35,3,FALSE),P667)</f>
        <v>0.34399999999999997</v>
      </c>
      <c r="Q668" s="54">
        <f t="shared" si="30"/>
        <v>2.8720930232558142</v>
      </c>
      <c r="R668" s="53">
        <f>IFERROR(VLOOKUP(B668,'Pre-Summary'!$BG$6:$BM$44,7,FALSE),R669)</f>
        <v>7.5915763918363535E-2</v>
      </c>
      <c r="S668" s="53">
        <f>IFERROR(VLOOKUP(B668,'Pre-Summary'!$BG$6:$BM$44,6,FALSE),S669)</f>
        <v>5.2897473997019086E-2</v>
      </c>
      <c r="T668" s="45" t="str">
        <f>IFERROR(VLOOKUP(B668,'Pre-Summary'!$Y$6:$AC$83, 3,FALSE),"")</f>
        <v/>
      </c>
      <c r="U668" s="45" t="str">
        <f>IFERROR(VLOOKUP(B668,'Pre-Summary'!$Y$6:$AC$83, 4,FALSE),"")</f>
        <v/>
      </c>
      <c r="V668" t="str">
        <f>IFERROR(VLOOKUP(B668,'Pre-Summary'!$Y$6:$AC$83, 5,FALSE),"")</f>
        <v/>
      </c>
      <c r="W668" s="45" t="str">
        <f>IFERROR(VLOOKUP(B668,'Pre-Summary'!$Y$6:$AD$83,6,FALSE),"")</f>
        <v/>
      </c>
      <c r="X668" t="str">
        <f>IFERROR(VLOOKUP('Pre-Summary'!$DB$6:$DD$63,3,FALSE),"")</f>
        <v/>
      </c>
      <c r="Y668" t="str">
        <f>IFERROR(VLOOKUP(B668,'Pre-Summary'!$CR$6:$CT$36,3,FALSE),"")</f>
        <v/>
      </c>
      <c r="Z668" s="45" t="str">
        <f>IFERROR(VLOOKUP(B668,'Pre-Summary'!$BZ$6:$CB$63,2,FALSE),"")</f>
        <v/>
      </c>
      <c r="AA668" s="45" t="str">
        <f>IFERROR(VLOOKUP(B668,'Pre-Summary'!$CG$6:$CI$70,2,FALSE),"")</f>
        <v/>
      </c>
      <c r="AB668" s="99">
        <f>IFERROR(VLOOKUP(B668,'Pre-Summary'!$A$6:$P$178,9,FALSE),AB669)</f>
        <v>0.84881825135540423</v>
      </c>
      <c r="AC668" s="10">
        <f>IFERROR(VLOOKUP(Summary!B668,'Pre-Summary'!$A$6:$P$184,5, FALSE)/100,AC669)</f>
        <v>0.77505331832279212</v>
      </c>
      <c r="AD668" s="10">
        <f>IFERROR(VLOOKUP(Summary!B668,'Pre-Summary'!$A$6:$P$184,3, FALSE)/100,AD669)</f>
        <v>3.6833887159730253E-3</v>
      </c>
      <c r="AE668" s="10">
        <f>IFERROR(VLOOKUP(Summary!B668,'Pre-Summary'!$A$6:$P$184,7, FALSE)/100,AE669)</f>
        <v>0.221264232960907</v>
      </c>
      <c r="AF668" s="99">
        <f t="shared" si="31"/>
        <v>3.1265275689544509E-3</v>
      </c>
      <c r="AG668" s="99">
        <f t="shared" si="32"/>
        <v>0.18781311930937186</v>
      </c>
      <c r="AH668" s="10" t="str">
        <f>IFERROR(VLOOKUP(B668,'Pre-Summary'!$AZ$6:$BE$65,3,FALSE),"")</f>
        <v/>
      </c>
      <c r="AI668" s="10" t="str">
        <f>IFERROR(VLOOKUP(B668,'Pre-Summary'!$AZ$6:$BE$65,5,FALSE),"")</f>
        <v/>
      </c>
      <c r="AJ668" s="10" t="str">
        <f>IFERROR(VLOOKUP(B668,'Pre-Summary'!$AZ$6:$BE$65,4,FALSE),"")</f>
        <v/>
      </c>
      <c r="AK668" s="10" t="str">
        <f>IFERROR(VLOOKUP(B668,'Pre-Summary'!$AZ$6:$BE$65,6,FALSE),"")</f>
        <v/>
      </c>
      <c r="AL668" s="10" t="str">
        <f>IFERROR(VLOOKUP(B668,'Pre-Summary'!$BG$6:$BL$44,3,FALSE),"")</f>
        <v/>
      </c>
      <c r="AM668" s="10" t="str">
        <f>IFERROR(VLOOKUP(B668,'Pre-Summary'!$BG$6:$BL$44,4,FALSE),"")</f>
        <v/>
      </c>
    </row>
    <row r="669" spans="2:39" ht="15" customHeight="1" x14ac:dyDescent="0.3">
      <c r="B669">
        <v>66.599999999999994</v>
      </c>
      <c r="C669" t="str">
        <f>IFERROR(VLOOKUP(B669,'Pre-Summary'!$DI$6:$DM$23,4,FALSE),"")</f>
        <v/>
      </c>
      <c r="D669" s="10" t="str">
        <f>IFERROR(VLOOKUP(B669,'Pre-Summary'!$AT$6:$AX$14,5,FALSE),D668)</f>
        <v>DSMZ v2: Dropped Na-Ac out of DSMZ 120 media</v>
      </c>
      <c r="E669" s="10" t="str">
        <f>IFERROR(VLOOKUP(B669,'Pre-Summary'!$AT$6:$AX$15,4,FALSE),"")</f>
        <v/>
      </c>
      <c r="F669">
        <f>IFERROR(VLOOKUP(B669,'Pre-Summary'!$AL$6:$AQ$13,6,FALSE),F668)</f>
        <v>5.9405263157894746E-2</v>
      </c>
      <c r="G669" t="str">
        <f>IFERROR(VLOOKUP(B669,'Pre-Summary'!$AE$6:$AJ$85,3,FALSE),"")</f>
        <v/>
      </c>
      <c r="H669" t="str">
        <f>IFERROR(VLOOKUP(B669,'Pre-Summary'!$AE$6:$AJ$85,4,FALSE),"")</f>
        <v/>
      </c>
      <c r="I669" t="str">
        <f>IFERROR(VLOOKUP(B669,'Pre-Summary'!$AE$6:$AJ$85,5,FALSE),"")</f>
        <v/>
      </c>
      <c r="J669" s="45" t="str">
        <f>IFERROR(VLOOKUP(B669,'Pre-Summary'!$AE$6:$AJ$85,6, FALSE),"")</f>
        <v/>
      </c>
      <c r="K669" s="45" t="str">
        <f>IFERROR(VLOOKUP(B669,'Pre-Summary'!$DE$6:$DG$61,3,FALSE),"")</f>
        <v/>
      </c>
      <c r="L669" s="45" t="str">
        <f>IFERROR(VLOOKUP(B669,'Pre-Summary'!$CU$6:$CW$36,3,FALSE),"")</f>
        <v/>
      </c>
      <c r="M669" s="45" t="str">
        <f>IFERROR(VLOOKUP(B669,'Pre-Summary'!$BW$6:$BY$58,2,FALSE),"")</f>
        <v/>
      </c>
      <c r="N669" s="45" t="str">
        <f>IFERROR(VLOOKUP(B669,'Pre-Summary'!$CD$6:$CF$64,2,FALSE),"")</f>
        <v/>
      </c>
      <c r="O669" s="99">
        <f>IFERROR(VLOOKUP(B669,'Pre-Summary'!$BO$6:$BQ$48,3, FALSE),O668)</f>
        <v>0.98799999999999999</v>
      </c>
      <c r="P669" s="99">
        <f>IFERROR(VLOOKUP(B669,'Pre-Summary'!$BS$6:$BU$35,3,FALSE),P668)</f>
        <v>0.34399999999999997</v>
      </c>
      <c r="Q669" s="54">
        <f t="shared" si="30"/>
        <v>2.8720930232558142</v>
      </c>
      <c r="R669" s="53">
        <f>IFERROR(VLOOKUP(B669,'Pre-Summary'!$BG$6:$BM$44,7,FALSE),R670)</f>
        <v>7.5915763918363535E-2</v>
      </c>
      <c r="S669" s="53">
        <f>IFERROR(VLOOKUP(B669,'Pre-Summary'!$BG$6:$BM$44,6,FALSE),S670)</f>
        <v>5.2897473997019086E-2</v>
      </c>
      <c r="T669" s="45" t="str">
        <f>IFERROR(VLOOKUP(B669,'Pre-Summary'!$Y$6:$AC$83, 3,FALSE),"")</f>
        <v/>
      </c>
      <c r="U669" s="45" t="str">
        <f>IFERROR(VLOOKUP(B669,'Pre-Summary'!$Y$6:$AC$83, 4,FALSE),"")</f>
        <v/>
      </c>
      <c r="V669" t="str">
        <f>IFERROR(VLOOKUP(B669,'Pre-Summary'!$Y$6:$AC$83, 5,FALSE),"")</f>
        <v/>
      </c>
      <c r="W669" s="45" t="str">
        <f>IFERROR(VLOOKUP(B669,'Pre-Summary'!$Y$6:$AD$83,6,FALSE),"")</f>
        <v/>
      </c>
      <c r="X669" t="str">
        <f>IFERROR(VLOOKUP('Pre-Summary'!$DB$6:$DD$63,3,FALSE),"")</f>
        <v/>
      </c>
      <c r="Y669" t="str">
        <f>IFERROR(VLOOKUP(B669,'Pre-Summary'!$CR$6:$CT$36,3,FALSE),"")</f>
        <v/>
      </c>
      <c r="Z669" s="45" t="str">
        <f>IFERROR(VLOOKUP(B669,'Pre-Summary'!$BZ$6:$CB$63,2,FALSE),"")</f>
        <v/>
      </c>
      <c r="AA669" s="45" t="str">
        <f>IFERROR(VLOOKUP(B669,'Pre-Summary'!$CG$6:$CI$70,2,FALSE),"")</f>
        <v/>
      </c>
      <c r="AB669" s="99">
        <f>IFERROR(VLOOKUP(B669,'Pre-Summary'!$A$6:$P$178,9,FALSE),AB670)</f>
        <v>0.84881825135540423</v>
      </c>
      <c r="AC669" s="10">
        <f>IFERROR(VLOOKUP(Summary!B669,'Pre-Summary'!$A$6:$P$184,5, FALSE)/100,AC670)</f>
        <v>0.77505331832279212</v>
      </c>
      <c r="AD669" s="10">
        <f>IFERROR(VLOOKUP(Summary!B669,'Pre-Summary'!$A$6:$P$184,3, FALSE)/100,AD670)</f>
        <v>3.6833887159730253E-3</v>
      </c>
      <c r="AE669" s="10">
        <f>IFERROR(VLOOKUP(Summary!B669,'Pre-Summary'!$A$6:$P$184,7, FALSE)/100,AE670)</f>
        <v>0.221264232960907</v>
      </c>
      <c r="AF669" s="99">
        <f t="shared" si="31"/>
        <v>3.1265275689544509E-3</v>
      </c>
      <c r="AG669" s="99">
        <f t="shared" si="32"/>
        <v>0.18781311930937186</v>
      </c>
      <c r="AH669" s="10" t="str">
        <f>IFERROR(VLOOKUP(B669,'Pre-Summary'!$AZ$6:$BE$65,3,FALSE),"")</f>
        <v/>
      </c>
      <c r="AI669" s="10" t="str">
        <f>IFERROR(VLOOKUP(B669,'Pre-Summary'!$AZ$6:$BE$65,5,FALSE),"")</f>
        <v/>
      </c>
      <c r="AJ669" s="10" t="str">
        <f>IFERROR(VLOOKUP(B669,'Pre-Summary'!$AZ$6:$BE$65,4,FALSE),"")</f>
        <v/>
      </c>
      <c r="AK669" s="10" t="str">
        <f>IFERROR(VLOOKUP(B669,'Pre-Summary'!$AZ$6:$BE$65,6,FALSE),"")</f>
        <v/>
      </c>
      <c r="AL669" s="10" t="str">
        <f>IFERROR(VLOOKUP(B669,'Pre-Summary'!$BG$6:$BL$44,3,FALSE),"")</f>
        <v/>
      </c>
      <c r="AM669" s="10" t="str">
        <f>IFERROR(VLOOKUP(B669,'Pre-Summary'!$BG$6:$BL$44,4,FALSE),"")</f>
        <v/>
      </c>
    </row>
    <row r="670" spans="2:39" ht="15" customHeight="1" x14ac:dyDescent="0.3">
      <c r="B670">
        <v>66.7</v>
      </c>
      <c r="C670" t="str">
        <f>IFERROR(VLOOKUP(B670,'Pre-Summary'!$DI$6:$DM$23,4,FALSE),"")</f>
        <v/>
      </c>
      <c r="D670" s="10" t="str">
        <f>IFERROR(VLOOKUP(B670,'Pre-Summary'!$AT$6:$AX$14,5,FALSE),D669)</f>
        <v>DSMZ v2: Dropped Na-Ac out of DSMZ 120 media</v>
      </c>
      <c r="E670" s="10" t="str">
        <f>IFERROR(VLOOKUP(B670,'Pre-Summary'!$AT$6:$AX$15,4,FALSE),"")</f>
        <v/>
      </c>
      <c r="F670">
        <f>IFERROR(VLOOKUP(B670,'Pre-Summary'!$AL$6:$AQ$13,6,FALSE),F669)</f>
        <v>5.9405263157894746E-2</v>
      </c>
      <c r="G670" t="str">
        <f>IFERROR(VLOOKUP(B670,'Pre-Summary'!$AE$6:$AJ$85,3,FALSE),"")</f>
        <v/>
      </c>
      <c r="H670" t="str">
        <f>IFERROR(VLOOKUP(B670,'Pre-Summary'!$AE$6:$AJ$85,4,FALSE),"")</f>
        <v/>
      </c>
      <c r="I670" t="str">
        <f>IFERROR(VLOOKUP(B670,'Pre-Summary'!$AE$6:$AJ$85,5,FALSE),"")</f>
        <v/>
      </c>
      <c r="J670" s="45" t="str">
        <f>IFERROR(VLOOKUP(B670,'Pre-Summary'!$AE$6:$AJ$85,6, FALSE),"")</f>
        <v/>
      </c>
      <c r="K670" s="45" t="str">
        <f>IFERROR(VLOOKUP(B670,'Pre-Summary'!$DE$6:$DG$61,3,FALSE),"")</f>
        <v/>
      </c>
      <c r="L670" s="45" t="str">
        <f>IFERROR(VLOOKUP(B670,'Pre-Summary'!$CU$6:$CW$36,3,FALSE),"")</f>
        <v/>
      </c>
      <c r="M670" s="45" t="str">
        <f>IFERROR(VLOOKUP(B670,'Pre-Summary'!$BW$6:$BY$58,2,FALSE),"")</f>
        <v/>
      </c>
      <c r="N670" s="45" t="str">
        <f>IFERROR(VLOOKUP(B670,'Pre-Summary'!$CD$6:$CF$64,2,FALSE),"")</f>
        <v/>
      </c>
      <c r="O670" s="99">
        <f>IFERROR(VLOOKUP(B670,'Pre-Summary'!$BO$6:$BQ$48,3, FALSE),O669)</f>
        <v>0.98799999999999999</v>
      </c>
      <c r="P670" s="99">
        <f>IFERROR(VLOOKUP(B670,'Pre-Summary'!$BS$6:$BU$35,3,FALSE),P669)</f>
        <v>0.34399999999999997</v>
      </c>
      <c r="Q670" s="54">
        <f t="shared" si="30"/>
        <v>2.8720930232558142</v>
      </c>
      <c r="R670" s="53">
        <f>IFERROR(VLOOKUP(B670,'Pre-Summary'!$BG$6:$BM$44,7,FALSE),R671)</f>
        <v>7.5915763918363535E-2</v>
      </c>
      <c r="S670" s="53">
        <f>IFERROR(VLOOKUP(B670,'Pre-Summary'!$BG$6:$BM$44,6,FALSE),S671)</f>
        <v>5.2897473997019086E-2</v>
      </c>
      <c r="T670" s="45" t="str">
        <f>IFERROR(VLOOKUP(B670,'Pre-Summary'!$Y$6:$AC$83, 3,FALSE),"")</f>
        <v/>
      </c>
      <c r="U670" s="45" t="str">
        <f>IFERROR(VLOOKUP(B670,'Pre-Summary'!$Y$6:$AC$83, 4,FALSE),"")</f>
        <v/>
      </c>
      <c r="V670" t="str">
        <f>IFERROR(VLOOKUP(B670,'Pre-Summary'!$Y$6:$AC$83, 5,FALSE),"")</f>
        <v/>
      </c>
      <c r="W670" s="45" t="str">
        <f>IFERROR(VLOOKUP(B670,'Pre-Summary'!$Y$6:$AD$83,6,FALSE),"")</f>
        <v/>
      </c>
      <c r="X670" t="str">
        <f>IFERROR(VLOOKUP('Pre-Summary'!$DB$6:$DD$63,3,FALSE),"")</f>
        <v/>
      </c>
      <c r="Y670" t="str">
        <f>IFERROR(VLOOKUP(B670,'Pre-Summary'!$CR$6:$CT$36,3,FALSE),"")</f>
        <v/>
      </c>
      <c r="Z670" s="45" t="str">
        <f>IFERROR(VLOOKUP(B670,'Pre-Summary'!$BZ$6:$CB$63,2,FALSE),"")</f>
        <v/>
      </c>
      <c r="AA670" s="45" t="str">
        <f>IFERROR(VLOOKUP(B670,'Pre-Summary'!$CG$6:$CI$70,2,FALSE),"")</f>
        <v/>
      </c>
      <c r="AB670" s="99">
        <f>IFERROR(VLOOKUP(B670,'Pre-Summary'!$A$6:$P$178,9,FALSE),AB671)</f>
        <v>0.84881825135540423</v>
      </c>
      <c r="AC670" s="10">
        <f>IFERROR(VLOOKUP(Summary!B670,'Pre-Summary'!$A$6:$P$184,5, FALSE)/100,AC671)</f>
        <v>0.77505331832279212</v>
      </c>
      <c r="AD670" s="10">
        <f>IFERROR(VLOOKUP(Summary!B670,'Pre-Summary'!$A$6:$P$184,3, FALSE)/100,AD671)</f>
        <v>3.6833887159730253E-3</v>
      </c>
      <c r="AE670" s="10">
        <f>IFERROR(VLOOKUP(Summary!B670,'Pre-Summary'!$A$6:$P$184,7, FALSE)/100,AE671)</f>
        <v>0.221264232960907</v>
      </c>
      <c r="AF670" s="99">
        <f t="shared" si="31"/>
        <v>3.1265275689544509E-3</v>
      </c>
      <c r="AG670" s="99">
        <f t="shared" si="32"/>
        <v>0.18781311930937186</v>
      </c>
      <c r="AH670" s="10" t="str">
        <f>IFERROR(VLOOKUP(B670,'Pre-Summary'!$AZ$6:$BE$65,3,FALSE),"")</f>
        <v/>
      </c>
      <c r="AI670" s="10" t="str">
        <f>IFERROR(VLOOKUP(B670,'Pre-Summary'!$AZ$6:$BE$65,5,FALSE),"")</f>
        <v/>
      </c>
      <c r="AJ670" s="10" t="str">
        <f>IFERROR(VLOOKUP(B670,'Pre-Summary'!$AZ$6:$BE$65,4,FALSE),"")</f>
        <v/>
      </c>
      <c r="AK670" s="10" t="str">
        <f>IFERROR(VLOOKUP(B670,'Pre-Summary'!$AZ$6:$BE$65,6,FALSE),"")</f>
        <v/>
      </c>
      <c r="AL670" s="10" t="str">
        <f>IFERROR(VLOOKUP(B670,'Pre-Summary'!$BG$6:$BL$44,3,FALSE),"")</f>
        <v/>
      </c>
      <c r="AM670" s="10" t="str">
        <f>IFERROR(VLOOKUP(B670,'Pre-Summary'!$BG$6:$BL$44,4,FALSE),"")</f>
        <v/>
      </c>
    </row>
    <row r="671" spans="2:39" ht="15" customHeight="1" x14ac:dyDescent="0.3">
      <c r="B671">
        <v>66.8</v>
      </c>
      <c r="C671" t="str">
        <f>IFERROR(VLOOKUP(B671,'Pre-Summary'!$DI$6:$DM$23,4,FALSE),"")</f>
        <v/>
      </c>
      <c r="D671" s="10" t="str">
        <f>IFERROR(VLOOKUP(B671,'Pre-Summary'!$AT$6:$AX$14,5,FALSE),D670)</f>
        <v>DSMZ v2: Dropped Na-Ac out of DSMZ 120 media</v>
      </c>
      <c r="E671" s="10" t="str">
        <f>IFERROR(VLOOKUP(B671,'Pre-Summary'!$AT$6:$AX$15,4,FALSE),"")</f>
        <v/>
      </c>
      <c r="F671">
        <f>IFERROR(VLOOKUP(B671,'Pre-Summary'!$AL$6:$AQ$13,6,FALSE),F670)</f>
        <v>5.9405263157894746E-2</v>
      </c>
      <c r="G671" t="str">
        <f>IFERROR(VLOOKUP(B671,'Pre-Summary'!$AE$6:$AJ$85,3,FALSE),"")</f>
        <v/>
      </c>
      <c r="H671" t="str">
        <f>IFERROR(VLOOKUP(B671,'Pre-Summary'!$AE$6:$AJ$85,4,FALSE),"")</f>
        <v/>
      </c>
      <c r="I671" t="str">
        <f>IFERROR(VLOOKUP(B671,'Pre-Summary'!$AE$6:$AJ$85,5,FALSE),"")</f>
        <v/>
      </c>
      <c r="J671" s="45" t="str">
        <f>IFERROR(VLOOKUP(B671,'Pre-Summary'!$AE$6:$AJ$85,6, FALSE),"")</f>
        <v/>
      </c>
      <c r="K671" s="45" t="str">
        <f>IFERROR(VLOOKUP(B671,'Pre-Summary'!$DE$6:$DG$61,3,FALSE),"")</f>
        <v/>
      </c>
      <c r="L671" s="45" t="str">
        <f>IFERROR(VLOOKUP(B671,'Pre-Summary'!$CU$6:$CW$36,3,FALSE),"")</f>
        <v/>
      </c>
      <c r="M671" s="45" t="str">
        <f>IFERROR(VLOOKUP(B671,'Pre-Summary'!$BW$6:$BY$58,2,FALSE),"")</f>
        <v/>
      </c>
      <c r="N671" s="45" t="str">
        <f>IFERROR(VLOOKUP(B671,'Pre-Summary'!$CD$6:$CF$64,2,FALSE),"")</f>
        <v/>
      </c>
      <c r="O671" s="99">
        <f>IFERROR(VLOOKUP(B671,'Pre-Summary'!$BO$6:$BQ$48,3, FALSE),O670)</f>
        <v>0.98799999999999999</v>
      </c>
      <c r="P671" s="99">
        <f>IFERROR(VLOOKUP(B671,'Pre-Summary'!$BS$6:$BU$35,3,FALSE),P670)</f>
        <v>0.34399999999999997</v>
      </c>
      <c r="Q671" s="54">
        <f t="shared" si="30"/>
        <v>2.8720930232558142</v>
      </c>
      <c r="R671" s="53">
        <f>IFERROR(VLOOKUP(B671,'Pre-Summary'!$BG$6:$BM$44,7,FALSE),R672)</f>
        <v>7.5915763918363535E-2</v>
      </c>
      <c r="S671" s="53">
        <f>IFERROR(VLOOKUP(B671,'Pre-Summary'!$BG$6:$BM$44,6,FALSE),S672)</f>
        <v>5.2897473997019086E-2</v>
      </c>
      <c r="T671" s="45" t="str">
        <f>IFERROR(VLOOKUP(B671,'Pre-Summary'!$Y$6:$AC$83, 3,FALSE),"")</f>
        <v/>
      </c>
      <c r="U671" s="45" t="str">
        <f>IFERROR(VLOOKUP(B671,'Pre-Summary'!$Y$6:$AC$83, 4,FALSE),"")</f>
        <v/>
      </c>
      <c r="V671" t="str">
        <f>IFERROR(VLOOKUP(B671,'Pre-Summary'!$Y$6:$AC$83, 5,FALSE),"")</f>
        <v/>
      </c>
      <c r="W671" s="45" t="str">
        <f>IFERROR(VLOOKUP(B671,'Pre-Summary'!$Y$6:$AD$83,6,FALSE),"")</f>
        <v/>
      </c>
      <c r="X671" t="str">
        <f>IFERROR(VLOOKUP('Pre-Summary'!$DB$6:$DD$63,3,FALSE),"")</f>
        <v/>
      </c>
      <c r="Y671" t="str">
        <f>IFERROR(VLOOKUP(B671,'Pre-Summary'!$CR$6:$CT$36,3,FALSE),"")</f>
        <v/>
      </c>
      <c r="Z671" s="45" t="str">
        <f>IFERROR(VLOOKUP(B671,'Pre-Summary'!$BZ$6:$CB$63,2,FALSE),"")</f>
        <v/>
      </c>
      <c r="AA671" s="45" t="str">
        <f>IFERROR(VLOOKUP(B671,'Pre-Summary'!$CG$6:$CI$70,2,FALSE),"")</f>
        <v/>
      </c>
      <c r="AB671" s="99">
        <f>IFERROR(VLOOKUP(B671,'Pre-Summary'!$A$6:$P$178,9,FALSE),AB672)</f>
        <v>0.84881825135540423</v>
      </c>
      <c r="AC671" s="10">
        <f>IFERROR(VLOOKUP(Summary!B671,'Pre-Summary'!$A$6:$P$184,5, FALSE)/100,AC672)</f>
        <v>0.77505331832279212</v>
      </c>
      <c r="AD671" s="10">
        <f>IFERROR(VLOOKUP(Summary!B671,'Pre-Summary'!$A$6:$P$184,3, FALSE)/100,AD672)</f>
        <v>3.6833887159730253E-3</v>
      </c>
      <c r="AE671" s="10">
        <f>IFERROR(VLOOKUP(Summary!B671,'Pre-Summary'!$A$6:$P$184,7, FALSE)/100,AE672)</f>
        <v>0.221264232960907</v>
      </c>
      <c r="AF671" s="99">
        <f t="shared" si="31"/>
        <v>3.1265275689544509E-3</v>
      </c>
      <c r="AG671" s="99">
        <f t="shared" si="32"/>
        <v>0.18781311930937186</v>
      </c>
      <c r="AH671" s="10" t="str">
        <f>IFERROR(VLOOKUP(B671,'Pre-Summary'!$AZ$6:$BE$65,3,FALSE),"")</f>
        <v/>
      </c>
      <c r="AI671" s="10" t="str">
        <f>IFERROR(VLOOKUP(B671,'Pre-Summary'!$AZ$6:$BE$65,5,FALSE),"")</f>
        <v/>
      </c>
      <c r="AJ671" s="10" t="str">
        <f>IFERROR(VLOOKUP(B671,'Pre-Summary'!$AZ$6:$BE$65,4,FALSE),"")</f>
        <v/>
      </c>
      <c r="AK671" s="10" t="str">
        <f>IFERROR(VLOOKUP(B671,'Pre-Summary'!$AZ$6:$BE$65,6,FALSE),"")</f>
        <v/>
      </c>
      <c r="AL671" s="10" t="str">
        <f>IFERROR(VLOOKUP(B671,'Pre-Summary'!$BG$6:$BL$44,3,FALSE),"")</f>
        <v/>
      </c>
      <c r="AM671" s="10" t="str">
        <f>IFERROR(VLOOKUP(B671,'Pre-Summary'!$BG$6:$BL$44,4,FALSE),"")</f>
        <v/>
      </c>
    </row>
    <row r="672" spans="2:39" ht="15" customHeight="1" x14ac:dyDescent="0.3">
      <c r="B672">
        <v>66.900000000000006</v>
      </c>
      <c r="C672" t="str">
        <f>IFERROR(VLOOKUP(B672,'Pre-Summary'!$DI$6:$DM$23,4,FALSE),"")</f>
        <v/>
      </c>
      <c r="D672" s="10" t="str">
        <f>IFERROR(VLOOKUP(B672,'Pre-Summary'!$AT$6:$AX$14,5,FALSE),D671)</f>
        <v>DSMZ v2: Dropped Na-Ac out of DSMZ 120 media</v>
      </c>
      <c r="E672" s="10" t="str">
        <f>IFERROR(VLOOKUP(B672,'Pre-Summary'!$AT$6:$AX$15,4,FALSE),"")</f>
        <v/>
      </c>
      <c r="F672">
        <f>IFERROR(VLOOKUP(B672,'Pre-Summary'!$AL$6:$AQ$13,6,FALSE),F671)</f>
        <v>5.9405263157894746E-2</v>
      </c>
      <c r="G672" t="str">
        <f>IFERROR(VLOOKUP(B672,'Pre-Summary'!$AE$6:$AJ$85,3,FALSE),"")</f>
        <v/>
      </c>
      <c r="H672" t="str">
        <f>IFERROR(VLOOKUP(B672,'Pre-Summary'!$AE$6:$AJ$85,4,FALSE),"")</f>
        <v/>
      </c>
      <c r="I672" t="str">
        <f>IFERROR(VLOOKUP(B672,'Pre-Summary'!$AE$6:$AJ$85,5,FALSE),"")</f>
        <v/>
      </c>
      <c r="J672" s="45" t="str">
        <f>IFERROR(VLOOKUP(B672,'Pre-Summary'!$AE$6:$AJ$85,6, FALSE),"")</f>
        <v/>
      </c>
      <c r="K672" s="45" t="str">
        <f>IFERROR(VLOOKUP(B672,'Pre-Summary'!$DE$6:$DG$61,3,FALSE),"")</f>
        <v/>
      </c>
      <c r="L672" s="45" t="str">
        <f>IFERROR(VLOOKUP(B672,'Pre-Summary'!$CU$6:$CW$36,3,FALSE),"")</f>
        <v/>
      </c>
      <c r="M672" s="45" t="str">
        <f>IFERROR(VLOOKUP(B672,'Pre-Summary'!$BW$6:$BY$58,2,FALSE),"")</f>
        <v/>
      </c>
      <c r="N672" s="45" t="str">
        <f>IFERROR(VLOOKUP(B672,'Pre-Summary'!$CD$6:$CF$64,2,FALSE),"")</f>
        <v/>
      </c>
      <c r="O672" s="99">
        <f>IFERROR(VLOOKUP(B672,'Pre-Summary'!$BO$6:$BQ$48,3, FALSE),O671)</f>
        <v>0.98799999999999999</v>
      </c>
      <c r="P672" s="99">
        <f>IFERROR(VLOOKUP(B672,'Pre-Summary'!$BS$6:$BU$35,3,FALSE),P671)</f>
        <v>0.34399999999999997</v>
      </c>
      <c r="Q672" s="54">
        <f t="shared" si="30"/>
        <v>2.8720930232558142</v>
      </c>
      <c r="R672" s="53">
        <f>IFERROR(VLOOKUP(B672,'Pre-Summary'!$BG$6:$BM$44,7,FALSE),R673)</f>
        <v>7.5915763918363535E-2</v>
      </c>
      <c r="S672" s="53">
        <f>IFERROR(VLOOKUP(B672,'Pre-Summary'!$BG$6:$BM$44,6,FALSE),S673)</f>
        <v>5.2897473997019086E-2</v>
      </c>
      <c r="T672" s="45" t="str">
        <f>IFERROR(VLOOKUP(B672,'Pre-Summary'!$Y$6:$AC$83, 3,FALSE),"")</f>
        <v/>
      </c>
      <c r="U672" s="45" t="str">
        <f>IFERROR(VLOOKUP(B672,'Pre-Summary'!$Y$6:$AC$83, 4,FALSE),"")</f>
        <v/>
      </c>
      <c r="V672" t="str">
        <f>IFERROR(VLOOKUP(B672,'Pre-Summary'!$Y$6:$AC$83, 5,FALSE),"")</f>
        <v/>
      </c>
      <c r="W672" s="45" t="str">
        <f>IFERROR(VLOOKUP(B672,'Pre-Summary'!$Y$6:$AD$83,6,FALSE),"")</f>
        <v/>
      </c>
      <c r="X672" t="str">
        <f>IFERROR(VLOOKUP('Pre-Summary'!$DB$6:$DD$63,3,FALSE),"")</f>
        <v/>
      </c>
      <c r="Y672" t="str">
        <f>IFERROR(VLOOKUP(B672,'Pre-Summary'!$CR$6:$CT$36,3,FALSE),"")</f>
        <v/>
      </c>
      <c r="Z672" s="45" t="str">
        <f>IFERROR(VLOOKUP(B672,'Pre-Summary'!$BZ$6:$CB$63,2,FALSE),"")</f>
        <v/>
      </c>
      <c r="AA672" s="45" t="str">
        <f>IFERROR(VLOOKUP(B672,'Pre-Summary'!$CG$6:$CI$70,2,FALSE),"")</f>
        <v/>
      </c>
      <c r="AB672" s="99">
        <f>IFERROR(VLOOKUP(B672,'Pre-Summary'!$A$6:$P$178,9,FALSE),AB673)</f>
        <v>0.84881825135540423</v>
      </c>
      <c r="AC672" s="10">
        <f>IFERROR(VLOOKUP(Summary!B672,'Pre-Summary'!$A$6:$P$184,5, FALSE)/100,AC673)</f>
        <v>0.77505331832279212</v>
      </c>
      <c r="AD672" s="10">
        <f>IFERROR(VLOOKUP(Summary!B672,'Pre-Summary'!$A$6:$P$184,3, FALSE)/100,AD673)</f>
        <v>3.6833887159730253E-3</v>
      </c>
      <c r="AE672" s="10">
        <f>IFERROR(VLOOKUP(Summary!B672,'Pre-Summary'!$A$6:$P$184,7, FALSE)/100,AE673)</f>
        <v>0.221264232960907</v>
      </c>
      <c r="AF672" s="99">
        <f t="shared" si="31"/>
        <v>3.1265275689544509E-3</v>
      </c>
      <c r="AG672" s="99">
        <f t="shared" si="32"/>
        <v>0.18781311930937186</v>
      </c>
      <c r="AH672" s="10" t="str">
        <f>IFERROR(VLOOKUP(B672,'Pre-Summary'!$AZ$6:$BE$65,3,FALSE),"")</f>
        <v/>
      </c>
      <c r="AI672" s="10" t="str">
        <f>IFERROR(VLOOKUP(B672,'Pre-Summary'!$AZ$6:$BE$65,5,FALSE),"")</f>
        <v/>
      </c>
      <c r="AJ672" s="10" t="str">
        <f>IFERROR(VLOOKUP(B672,'Pre-Summary'!$AZ$6:$BE$65,4,FALSE),"")</f>
        <v/>
      </c>
      <c r="AK672" s="10" t="str">
        <f>IFERROR(VLOOKUP(B672,'Pre-Summary'!$AZ$6:$BE$65,6,FALSE),"")</f>
        <v/>
      </c>
      <c r="AL672" s="10" t="str">
        <f>IFERROR(VLOOKUP(B672,'Pre-Summary'!$BG$6:$BL$44,3,FALSE),"")</f>
        <v/>
      </c>
      <c r="AM672" s="10" t="str">
        <f>IFERROR(VLOOKUP(B672,'Pre-Summary'!$BG$6:$BL$44,4,FALSE),"")</f>
        <v/>
      </c>
    </row>
    <row r="673" spans="2:39" ht="15" customHeight="1" x14ac:dyDescent="0.3">
      <c r="B673">
        <v>67</v>
      </c>
      <c r="C673" t="str">
        <f>IFERROR(VLOOKUP(B673,'Pre-Summary'!$DI$6:$DM$23,4,FALSE),"")</f>
        <v/>
      </c>
      <c r="D673" s="10" t="str">
        <f>IFERROR(VLOOKUP(B673,'Pre-Summary'!$AT$6:$AX$14,5,FALSE),D672)</f>
        <v>DSMZ v2: Dropped Na-Ac out of DSMZ 120 media</v>
      </c>
      <c r="E673" s="10" t="str">
        <f>IFERROR(VLOOKUP(B673,'Pre-Summary'!$AT$6:$AX$15,4,FALSE),"")</f>
        <v/>
      </c>
      <c r="F673">
        <f>IFERROR(VLOOKUP(B673,'Pre-Summary'!$AL$6:$AQ$13,6,FALSE),F672)</f>
        <v>5.9405263157894746E-2</v>
      </c>
      <c r="G673" t="str">
        <f>IFERROR(VLOOKUP(B673,'Pre-Summary'!$AE$6:$AJ$85,3,FALSE),"")</f>
        <v/>
      </c>
      <c r="H673" t="str">
        <f>IFERROR(VLOOKUP(B673,'Pre-Summary'!$AE$6:$AJ$85,4,FALSE),"")</f>
        <v/>
      </c>
      <c r="I673" t="str">
        <f>IFERROR(VLOOKUP(B673,'Pre-Summary'!$AE$6:$AJ$85,5,FALSE),"")</f>
        <v/>
      </c>
      <c r="J673" s="45" t="str">
        <f>IFERROR(VLOOKUP(B673,'Pre-Summary'!$AE$6:$AJ$85,6, FALSE),"")</f>
        <v/>
      </c>
      <c r="K673" s="45" t="str">
        <f>IFERROR(VLOOKUP(B673,'Pre-Summary'!$DE$6:$DG$61,3,FALSE),"")</f>
        <v/>
      </c>
      <c r="L673" s="45" t="str">
        <f>IFERROR(VLOOKUP(B673,'Pre-Summary'!$CU$6:$CW$36,3,FALSE),"")</f>
        <v/>
      </c>
      <c r="M673" s="45" t="str">
        <f>IFERROR(VLOOKUP(B673,'Pre-Summary'!$BW$6:$BY$58,2,FALSE),"")</f>
        <v/>
      </c>
      <c r="N673" s="45" t="str">
        <f>IFERROR(VLOOKUP(B673,'Pre-Summary'!$CD$6:$CF$64,2,FALSE),"")</f>
        <v/>
      </c>
      <c r="O673" s="99">
        <f>IFERROR(VLOOKUP(B673,'Pre-Summary'!$BO$6:$BQ$48,3, FALSE),O672)</f>
        <v>0.98799999999999999</v>
      </c>
      <c r="P673" s="99">
        <f>IFERROR(VLOOKUP(B673,'Pre-Summary'!$BS$6:$BU$35,3,FALSE),P672)</f>
        <v>0.34399999999999997</v>
      </c>
      <c r="Q673" s="54">
        <f t="shared" si="30"/>
        <v>2.8720930232558142</v>
      </c>
      <c r="R673" s="53">
        <f>IFERROR(VLOOKUP(B673,'Pre-Summary'!$BG$6:$BM$44,7,FALSE),R674)</f>
        <v>7.5915763918363535E-2</v>
      </c>
      <c r="S673" s="53">
        <f>IFERROR(VLOOKUP(B673,'Pre-Summary'!$BG$6:$BM$44,6,FALSE),S674)</f>
        <v>5.2897473997019086E-2</v>
      </c>
      <c r="T673" s="45" t="str">
        <f>IFERROR(VLOOKUP(B673,'Pre-Summary'!$Y$6:$AC$83, 3,FALSE),"")</f>
        <v/>
      </c>
      <c r="U673" s="45" t="str">
        <f>IFERROR(VLOOKUP(B673,'Pre-Summary'!$Y$6:$AC$83, 4,FALSE),"")</f>
        <v/>
      </c>
      <c r="V673" t="str">
        <f>IFERROR(VLOOKUP(B673,'Pre-Summary'!$Y$6:$AC$83, 5,FALSE),"")</f>
        <v/>
      </c>
      <c r="W673" s="45" t="str">
        <f>IFERROR(VLOOKUP(B673,'Pre-Summary'!$Y$6:$AD$83,6,FALSE),"")</f>
        <v/>
      </c>
      <c r="X673" t="str">
        <f>IFERROR(VLOOKUP('Pre-Summary'!$DB$6:$DD$63,3,FALSE),"")</f>
        <v/>
      </c>
      <c r="Y673" t="str">
        <f>IFERROR(VLOOKUP(B673,'Pre-Summary'!$CR$6:$CT$36,3,FALSE),"")</f>
        <v/>
      </c>
      <c r="Z673" s="45" t="str">
        <f>IFERROR(VLOOKUP(B673,'Pre-Summary'!$BZ$6:$CB$63,2,FALSE),"")</f>
        <v/>
      </c>
      <c r="AA673" s="45" t="str">
        <f>IFERROR(VLOOKUP(B673,'Pre-Summary'!$CG$6:$CI$70,2,FALSE),"")</f>
        <v/>
      </c>
      <c r="AB673" s="99">
        <f>IFERROR(VLOOKUP(B673,'Pre-Summary'!$A$6:$P$178,9,FALSE),AB674)</f>
        <v>0.84881825135540423</v>
      </c>
      <c r="AC673" s="10">
        <f>IFERROR(VLOOKUP(Summary!B673,'Pre-Summary'!$A$6:$P$184,5, FALSE)/100,AC674)</f>
        <v>0.77505331832279212</v>
      </c>
      <c r="AD673" s="10">
        <f>IFERROR(VLOOKUP(Summary!B673,'Pre-Summary'!$A$6:$P$184,3, FALSE)/100,AD674)</f>
        <v>3.6833887159730253E-3</v>
      </c>
      <c r="AE673" s="10">
        <f>IFERROR(VLOOKUP(Summary!B673,'Pre-Summary'!$A$6:$P$184,7, FALSE)/100,AE674)</f>
        <v>0.221264232960907</v>
      </c>
      <c r="AF673" s="99">
        <f t="shared" si="31"/>
        <v>3.1265275689544509E-3</v>
      </c>
      <c r="AG673" s="99">
        <f t="shared" si="32"/>
        <v>0.18781311930937186</v>
      </c>
      <c r="AH673" s="10" t="str">
        <f>IFERROR(VLOOKUP(B673,'Pre-Summary'!$AZ$6:$BE$65,3,FALSE),"")</f>
        <v/>
      </c>
      <c r="AI673" s="10" t="str">
        <f>IFERROR(VLOOKUP(B673,'Pre-Summary'!$AZ$6:$BE$65,5,FALSE),"")</f>
        <v/>
      </c>
      <c r="AJ673" s="10" t="str">
        <f>IFERROR(VLOOKUP(B673,'Pre-Summary'!$AZ$6:$BE$65,4,FALSE),"")</f>
        <v/>
      </c>
      <c r="AK673" s="10" t="str">
        <f>IFERROR(VLOOKUP(B673,'Pre-Summary'!$AZ$6:$BE$65,6,FALSE),"")</f>
        <v/>
      </c>
      <c r="AL673" s="10" t="str">
        <f>IFERROR(VLOOKUP(B673,'Pre-Summary'!$BG$6:$BL$44,3,FALSE),"")</f>
        <v/>
      </c>
      <c r="AM673" s="10" t="str">
        <f>IFERROR(VLOOKUP(B673,'Pre-Summary'!$BG$6:$BL$44,4,FALSE),"")</f>
        <v/>
      </c>
    </row>
    <row r="674" spans="2:39" ht="15" customHeight="1" x14ac:dyDescent="0.3">
      <c r="B674">
        <v>67.099999999999994</v>
      </c>
      <c r="C674" t="str">
        <f>IFERROR(VLOOKUP(B674,'Pre-Summary'!$DI$6:$DM$23,4,FALSE),"")</f>
        <v/>
      </c>
      <c r="D674" s="10" t="str">
        <f>IFERROR(VLOOKUP(B674,'Pre-Summary'!$AT$6:$AX$14,5,FALSE),D673)</f>
        <v>DSMZ v2: Dropped Na-Ac out of DSMZ 120 media</v>
      </c>
      <c r="E674" s="10" t="str">
        <f>IFERROR(VLOOKUP(B674,'Pre-Summary'!$AT$6:$AX$15,4,FALSE),"")</f>
        <v/>
      </c>
      <c r="F674">
        <f>IFERROR(VLOOKUP(B674,'Pre-Summary'!$AL$6:$AQ$13,6,FALSE),F673)</f>
        <v>5.9405263157894746E-2</v>
      </c>
      <c r="G674" t="str">
        <f>IFERROR(VLOOKUP(B674,'Pre-Summary'!$AE$6:$AJ$85,3,FALSE),"")</f>
        <v/>
      </c>
      <c r="H674" t="str">
        <f>IFERROR(VLOOKUP(B674,'Pre-Summary'!$AE$6:$AJ$85,4,FALSE),"")</f>
        <v/>
      </c>
      <c r="I674" t="str">
        <f>IFERROR(VLOOKUP(B674,'Pre-Summary'!$AE$6:$AJ$85,5,FALSE),"")</f>
        <v/>
      </c>
      <c r="J674" s="45" t="str">
        <f>IFERROR(VLOOKUP(B674,'Pre-Summary'!$AE$6:$AJ$85,6, FALSE),"")</f>
        <v/>
      </c>
      <c r="K674" s="45" t="str">
        <f>IFERROR(VLOOKUP(B674,'Pre-Summary'!$DE$6:$DG$61,3,FALSE),"")</f>
        <v/>
      </c>
      <c r="L674" s="45" t="str">
        <f>IFERROR(VLOOKUP(B674,'Pre-Summary'!$CU$6:$CW$36,3,FALSE),"")</f>
        <v/>
      </c>
      <c r="M674" s="45" t="str">
        <f>IFERROR(VLOOKUP(B674,'Pre-Summary'!$BW$6:$BY$58,2,FALSE),"")</f>
        <v/>
      </c>
      <c r="N674" s="45" t="str">
        <f>IFERROR(VLOOKUP(B674,'Pre-Summary'!$CD$6:$CF$64,2,FALSE),"")</f>
        <v/>
      </c>
      <c r="O674" s="99">
        <f>IFERROR(VLOOKUP(B674,'Pre-Summary'!$BO$6:$BQ$48,3, FALSE),O673)</f>
        <v>0.98799999999999999</v>
      </c>
      <c r="P674" s="99">
        <f>IFERROR(VLOOKUP(B674,'Pre-Summary'!$BS$6:$BU$35,3,FALSE),P673)</f>
        <v>0.34399999999999997</v>
      </c>
      <c r="Q674" s="54">
        <f t="shared" si="30"/>
        <v>2.8720930232558142</v>
      </c>
      <c r="R674" s="53">
        <f>IFERROR(VLOOKUP(B674,'Pre-Summary'!$BG$6:$BM$44,7,FALSE),R675)</f>
        <v>7.5915763918363535E-2</v>
      </c>
      <c r="S674" s="53">
        <f>IFERROR(VLOOKUP(B674,'Pre-Summary'!$BG$6:$BM$44,6,FALSE),S675)</f>
        <v>5.2897473997019086E-2</v>
      </c>
      <c r="T674" s="45" t="str">
        <f>IFERROR(VLOOKUP(B674,'Pre-Summary'!$Y$6:$AC$83, 3,FALSE),"")</f>
        <v/>
      </c>
      <c r="U674" s="45" t="str">
        <f>IFERROR(VLOOKUP(B674,'Pre-Summary'!$Y$6:$AC$83, 4,FALSE),"")</f>
        <v/>
      </c>
      <c r="V674" t="str">
        <f>IFERROR(VLOOKUP(B674,'Pre-Summary'!$Y$6:$AC$83, 5,FALSE),"")</f>
        <v/>
      </c>
      <c r="W674" s="45" t="str">
        <f>IFERROR(VLOOKUP(B674,'Pre-Summary'!$Y$6:$AD$83,6,FALSE),"")</f>
        <v/>
      </c>
      <c r="X674" t="str">
        <f>IFERROR(VLOOKUP('Pre-Summary'!$DB$6:$DD$63,3,FALSE),"")</f>
        <v/>
      </c>
      <c r="Y674" t="str">
        <f>IFERROR(VLOOKUP(B674,'Pre-Summary'!$CR$6:$CT$36,3,FALSE),"")</f>
        <v/>
      </c>
      <c r="Z674" s="45" t="str">
        <f>IFERROR(VLOOKUP(B674,'Pre-Summary'!$BZ$6:$CB$63,2,FALSE),"")</f>
        <v/>
      </c>
      <c r="AA674" s="45" t="str">
        <f>IFERROR(VLOOKUP(B674,'Pre-Summary'!$CG$6:$CI$70,2,FALSE),"")</f>
        <v/>
      </c>
      <c r="AB674" s="99">
        <f>IFERROR(VLOOKUP(B674,'Pre-Summary'!$A$6:$P$178,9,FALSE),AB675)</f>
        <v>0.84881825135540423</v>
      </c>
      <c r="AC674" s="10">
        <f>IFERROR(VLOOKUP(Summary!B674,'Pre-Summary'!$A$6:$P$184,5, FALSE)/100,AC675)</f>
        <v>0.77505331832279212</v>
      </c>
      <c r="AD674" s="10">
        <f>IFERROR(VLOOKUP(Summary!B674,'Pre-Summary'!$A$6:$P$184,3, FALSE)/100,AD675)</f>
        <v>3.6833887159730253E-3</v>
      </c>
      <c r="AE674" s="10">
        <f>IFERROR(VLOOKUP(Summary!B674,'Pre-Summary'!$A$6:$P$184,7, FALSE)/100,AE675)</f>
        <v>0.221264232960907</v>
      </c>
      <c r="AF674" s="99">
        <f t="shared" si="31"/>
        <v>3.1265275689544509E-3</v>
      </c>
      <c r="AG674" s="99">
        <f t="shared" si="32"/>
        <v>0.18781311930937186</v>
      </c>
      <c r="AH674" s="10" t="str">
        <f>IFERROR(VLOOKUP(B674,'Pre-Summary'!$AZ$6:$BE$65,3,FALSE),"")</f>
        <v/>
      </c>
      <c r="AI674" s="10" t="str">
        <f>IFERROR(VLOOKUP(B674,'Pre-Summary'!$AZ$6:$BE$65,5,FALSE),"")</f>
        <v/>
      </c>
      <c r="AJ674" s="10" t="str">
        <f>IFERROR(VLOOKUP(B674,'Pre-Summary'!$AZ$6:$BE$65,4,FALSE),"")</f>
        <v/>
      </c>
      <c r="AK674" s="10" t="str">
        <f>IFERROR(VLOOKUP(B674,'Pre-Summary'!$AZ$6:$BE$65,6,FALSE),"")</f>
        <v/>
      </c>
      <c r="AL674" s="10" t="str">
        <f>IFERROR(VLOOKUP(B674,'Pre-Summary'!$BG$6:$BL$44,3,FALSE),"")</f>
        <v/>
      </c>
      <c r="AM674" s="10" t="str">
        <f>IFERROR(VLOOKUP(B674,'Pre-Summary'!$BG$6:$BL$44,4,FALSE),"")</f>
        <v/>
      </c>
    </row>
    <row r="675" spans="2:39" ht="15" customHeight="1" x14ac:dyDescent="0.3">
      <c r="B675">
        <v>67.2</v>
      </c>
      <c r="C675" t="str">
        <f>IFERROR(VLOOKUP(B675,'Pre-Summary'!$DI$6:$DM$23,4,FALSE),"")</f>
        <v/>
      </c>
      <c r="D675" s="10" t="str">
        <f>IFERROR(VLOOKUP(B675,'Pre-Summary'!$AT$6:$AX$14,5,FALSE),D674)</f>
        <v>DSMZ v2: Dropped Na-Ac out of DSMZ 120 media</v>
      </c>
      <c r="E675" s="10" t="str">
        <f>IFERROR(VLOOKUP(B675,'Pre-Summary'!$AT$6:$AX$15,4,FALSE),"")</f>
        <v/>
      </c>
      <c r="F675">
        <f>IFERROR(VLOOKUP(B675,'Pre-Summary'!$AL$6:$AQ$13,6,FALSE),F674)</f>
        <v>5.9405263157894746E-2</v>
      </c>
      <c r="G675" t="str">
        <f>IFERROR(VLOOKUP(B675,'Pre-Summary'!$AE$6:$AJ$85,3,FALSE),"")</f>
        <v/>
      </c>
      <c r="H675" t="str">
        <f>IFERROR(VLOOKUP(B675,'Pre-Summary'!$AE$6:$AJ$85,4,FALSE),"")</f>
        <v/>
      </c>
      <c r="I675" t="str">
        <f>IFERROR(VLOOKUP(B675,'Pre-Summary'!$AE$6:$AJ$85,5,FALSE),"")</f>
        <v/>
      </c>
      <c r="J675" s="45" t="str">
        <f>IFERROR(VLOOKUP(B675,'Pre-Summary'!$AE$6:$AJ$85,6, FALSE),"")</f>
        <v/>
      </c>
      <c r="K675" s="45" t="str">
        <f>IFERROR(VLOOKUP(B675,'Pre-Summary'!$DE$6:$DG$61,3,FALSE),"")</f>
        <v/>
      </c>
      <c r="L675" s="45" t="str">
        <f>IFERROR(VLOOKUP(B675,'Pre-Summary'!$CU$6:$CW$36,3,FALSE),"")</f>
        <v/>
      </c>
      <c r="M675" s="45" t="str">
        <f>IFERROR(VLOOKUP(B675,'Pre-Summary'!$BW$6:$BY$58,2,FALSE),"")</f>
        <v/>
      </c>
      <c r="N675" s="45" t="str">
        <f>IFERROR(VLOOKUP(B675,'Pre-Summary'!$CD$6:$CF$64,2,FALSE),"")</f>
        <v/>
      </c>
      <c r="O675" s="99">
        <f>IFERROR(VLOOKUP(B675,'Pre-Summary'!$BO$6:$BQ$48,3, FALSE),O674)</f>
        <v>0.98799999999999999</v>
      </c>
      <c r="P675" s="99">
        <f>IFERROR(VLOOKUP(B675,'Pre-Summary'!$BS$6:$BU$35,3,FALSE),P674)</f>
        <v>0.34399999999999997</v>
      </c>
      <c r="Q675" s="54">
        <f t="shared" si="30"/>
        <v>2.8720930232558142</v>
      </c>
      <c r="R675" s="53">
        <f>IFERROR(VLOOKUP(B675,'Pre-Summary'!$BG$6:$BM$44,7,FALSE),R676)</f>
        <v>7.5915763918363535E-2</v>
      </c>
      <c r="S675" s="53">
        <f>IFERROR(VLOOKUP(B675,'Pre-Summary'!$BG$6:$BM$44,6,FALSE),S676)</f>
        <v>5.2897473997019086E-2</v>
      </c>
      <c r="T675" s="45" t="str">
        <f>IFERROR(VLOOKUP(B675,'Pre-Summary'!$Y$6:$AC$83, 3,FALSE),"")</f>
        <v/>
      </c>
      <c r="U675" s="45" t="str">
        <f>IFERROR(VLOOKUP(B675,'Pre-Summary'!$Y$6:$AC$83, 4,FALSE),"")</f>
        <v/>
      </c>
      <c r="V675" t="str">
        <f>IFERROR(VLOOKUP(B675,'Pre-Summary'!$Y$6:$AC$83, 5,FALSE),"")</f>
        <v/>
      </c>
      <c r="W675" s="45" t="str">
        <f>IFERROR(VLOOKUP(B675,'Pre-Summary'!$Y$6:$AD$83,6,FALSE),"")</f>
        <v/>
      </c>
      <c r="X675" t="str">
        <f>IFERROR(VLOOKUP('Pre-Summary'!$DB$6:$DD$63,3,FALSE),"")</f>
        <v/>
      </c>
      <c r="Y675" t="str">
        <f>IFERROR(VLOOKUP(B675,'Pre-Summary'!$CR$6:$CT$36,3,FALSE),"")</f>
        <v/>
      </c>
      <c r="Z675" s="45" t="str">
        <f>IFERROR(VLOOKUP(B675,'Pre-Summary'!$BZ$6:$CB$63,2,FALSE),"")</f>
        <v/>
      </c>
      <c r="AA675" s="45" t="str">
        <f>IFERROR(VLOOKUP(B675,'Pre-Summary'!$CG$6:$CI$70,2,FALSE),"")</f>
        <v/>
      </c>
      <c r="AB675" s="99">
        <f>IFERROR(VLOOKUP(B675,'Pre-Summary'!$A$6:$P$178,9,FALSE),AB676)</f>
        <v>0.84881825135540423</v>
      </c>
      <c r="AC675" s="10">
        <f>IFERROR(VLOOKUP(Summary!B675,'Pre-Summary'!$A$6:$P$184,5, FALSE)/100,AC676)</f>
        <v>0.77505331832279212</v>
      </c>
      <c r="AD675" s="10">
        <f>IFERROR(VLOOKUP(Summary!B675,'Pre-Summary'!$A$6:$P$184,3, FALSE)/100,AD676)</f>
        <v>3.6833887159730253E-3</v>
      </c>
      <c r="AE675" s="10">
        <f>IFERROR(VLOOKUP(Summary!B675,'Pre-Summary'!$A$6:$P$184,7, FALSE)/100,AE676)</f>
        <v>0.221264232960907</v>
      </c>
      <c r="AF675" s="99">
        <f t="shared" si="31"/>
        <v>3.1265275689544509E-3</v>
      </c>
      <c r="AG675" s="99">
        <f t="shared" si="32"/>
        <v>0.18781311930937186</v>
      </c>
      <c r="AH675" s="10" t="str">
        <f>IFERROR(VLOOKUP(B675,'Pre-Summary'!$AZ$6:$BE$65,3,FALSE),"")</f>
        <v/>
      </c>
      <c r="AI675" s="10" t="str">
        <f>IFERROR(VLOOKUP(B675,'Pre-Summary'!$AZ$6:$BE$65,5,FALSE),"")</f>
        <v/>
      </c>
      <c r="AJ675" s="10" t="str">
        <f>IFERROR(VLOOKUP(B675,'Pre-Summary'!$AZ$6:$BE$65,4,FALSE),"")</f>
        <v/>
      </c>
      <c r="AK675" s="10" t="str">
        <f>IFERROR(VLOOKUP(B675,'Pre-Summary'!$AZ$6:$BE$65,6,FALSE),"")</f>
        <v/>
      </c>
      <c r="AL675" s="10" t="str">
        <f>IFERROR(VLOOKUP(B675,'Pre-Summary'!$BG$6:$BL$44,3,FALSE),"")</f>
        <v/>
      </c>
      <c r="AM675" s="10" t="str">
        <f>IFERROR(VLOOKUP(B675,'Pre-Summary'!$BG$6:$BL$44,4,FALSE),"")</f>
        <v/>
      </c>
    </row>
    <row r="676" spans="2:39" ht="15" customHeight="1" x14ac:dyDescent="0.3">
      <c r="B676">
        <v>67.3</v>
      </c>
      <c r="C676" t="str">
        <f>IFERROR(VLOOKUP(B676,'Pre-Summary'!$DI$6:$DM$23,4,FALSE),"")</f>
        <v/>
      </c>
      <c r="D676" s="10" t="str">
        <f>IFERROR(VLOOKUP(B676,'Pre-Summary'!$AT$6:$AX$14,5,FALSE),D675)</f>
        <v>DSMZ v2: Dropped Na-Ac out of DSMZ 120 media</v>
      </c>
      <c r="E676" s="10" t="str">
        <f>IFERROR(VLOOKUP(B676,'Pre-Summary'!$AT$6:$AX$15,4,FALSE),"")</f>
        <v/>
      </c>
      <c r="F676">
        <f>IFERROR(VLOOKUP(B676,'Pre-Summary'!$AL$6:$AQ$13,6,FALSE),F675)</f>
        <v>5.9405263157894746E-2</v>
      </c>
      <c r="G676" t="str">
        <f>IFERROR(VLOOKUP(B676,'Pre-Summary'!$AE$6:$AJ$85,3,FALSE),"")</f>
        <v/>
      </c>
      <c r="H676" t="str">
        <f>IFERROR(VLOOKUP(B676,'Pre-Summary'!$AE$6:$AJ$85,4,FALSE),"")</f>
        <v/>
      </c>
      <c r="I676" t="str">
        <f>IFERROR(VLOOKUP(B676,'Pre-Summary'!$AE$6:$AJ$85,5,FALSE),"")</f>
        <v/>
      </c>
      <c r="J676" s="45" t="str">
        <f>IFERROR(VLOOKUP(B676,'Pre-Summary'!$AE$6:$AJ$85,6, FALSE),"")</f>
        <v/>
      </c>
      <c r="K676" s="45" t="str">
        <f>IFERROR(VLOOKUP(B676,'Pre-Summary'!$DE$6:$DG$61,3,FALSE),"")</f>
        <v/>
      </c>
      <c r="L676" s="45" t="str">
        <f>IFERROR(VLOOKUP(B676,'Pre-Summary'!$CU$6:$CW$36,3,FALSE),"")</f>
        <v/>
      </c>
      <c r="M676" s="45" t="str">
        <f>IFERROR(VLOOKUP(B676,'Pre-Summary'!$BW$6:$BY$58,2,FALSE),"")</f>
        <v/>
      </c>
      <c r="N676" s="45" t="str">
        <f>IFERROR(VLOOKUP(B676,'Pre-Summary'!$CD$6:$CF$64,2,FALSE),"")</f>
        <v/>
      </c>
      <c r="O676" s="99">
        <f>IFERROR(VLOOKUP(B676,'Pre-Summary'!$BO$6:$BQ$48,3, FALSE),O675)</f>
        <v>0.98799999999999999</v>
      </c>
      <c r="P676" s="99">
        <f>IFERROR(VLOOKUP(B676,'Pre-Summary'!$BS$6:$BU$35,3,FALSE),P675)</f>
        <v>0.34399999999999997</v>
      </c>
      <c r="Q676" s="54">
        <f t="shared" si="30"/>
        <v>2.8720930232558142</v>
      </c>
      <c r="R676" s="53">
        <f>IFERROR(VLOOKUP(B676,'Pre-Summary'!$BG$6:$BM$44,7,FALSE),R677)</f>
        <v>7.5915763918363535E-2</v>
      </c>
      <c r="S676" s="53">
        <f>IFERROR(VLOOKUP(B676,'Pre-Summary'!$BG$6:$BM$44,6,FALSE),S677)</f>
        <v>5.2897473997019086E-2</v>
      </c>
      <c r="T676" s="45" t="str">
        <f>IFERROR(VLOOKUP(B676,'Pre-Summary'!$Y$6:$AC$83, 3,FALSE),"")</f>
        <v/>
      </c>
      <c r="U676" s="45" t="str">
        <f>IFERROR(VLOOKUP(B676,'Pre-Summary'!$Y$6:$AC$83, 4,FALSE),"")</f>
        <v/>
      </c>
      <c r="V676" t="str">
        <f>IFERROR(VLOOKUP(B676,'Pre-Summary'!$Y$6:$AC$83, 5,FALSE),"")</f>
        <v/>
      </c>
      <c r="W676" s="45" t="str">
        <f>IFERROR(VLOOKUP(B676,'Pre-Summary'!$Y$6:$AD$83,6,FALSE),"")</f>
        <v/>
      </c>
      <c r="X676" t="str">
        <f>IFERROR(VLOOKUP('Pre-Summary'!$DB$6:$DD$63,3,FALSE),"")</f>
        <v/>
      </c>
      <c r="Y676" t="str">
        <f>IFERROR(VLOOKUP(B676,'Pre-Summary'!$CR$6:$CT$36,3,FALSE),"")</f>
        <v/>
      </c>
      <c r="Z676" s="45" t="str">
        <f>IFERROR(VLOOKUP(B676,'Pre-Summary'!$BZ$6:$CB$63,2,FALSE),"")</f>
        <v/>
      </c>
      <c r="AA676" s="45" t="str">
        <f>IFERROR(VLOOKUP(B676,'Pre-Summary'!$CG$6:$CI$70,2,FALSE),"")</f>
        <v/>
      </c>
      <c r="AB676" s="99">
        <f>IFERROR(VLOOKUP(B676,'Pre-Summary'!$A$6:$P$178,9,FALSE),AB677)</f>
        <v>0.84881825135540423</v>
      </c>
      <c r="AC676" s="10">
        <f>IFERROR(VLOOKUP(Summary!B676,'Pre-Summary'!$A$6:$P$184,5, FALSE)/100,AC677)</f>
        <v>0.77505331832279212</v>
      </c>
      <c r="AD676" s="10">
        <f>IFERROR(VLOOKUP(Summary!B676,'Pre-Summary'!$A$6:$P$184,3, FALSE)/100,AD677)</f>
        <v>3.6833887159730253E-3</v>
      </c>
      <c r="AE676" s="10">
        <f>IFERROR(VLOOKUP(Summary!B676,'Pre-Summary'!$A$6:$P$184,7, FALSE)/100,AE677)</f>
        <v>0.221264232960907</v>
      </c>
      <c r="AF676" s="99">
        <f t="shared" si="31"/>
        <v>3.1265275689544509E-3</v>
      </c>
      <c r="AG676" s="99">
        <f t="shared" si="32"/>
        <v>0.18781311930937186</v>
      </c>
      <c r="AH676" s="10" t="str">
        <f>IFERROR(VLOOKUP(B676,'Pre-Summary'!$AZ$6:$BE$65,3,FALSE),"")</f>
        <v/>
      </c>
      <c r="AI676" s="10" t="str">
        <f>IFERROR(VLOOKUP(B676,'Pre-Summary'!$AZ$6:$BE$65,5,FALSE),"")</f>
        <v/>
      </c>
      <c r="AJ676" s="10" t="str">
        <f>IFERROR(VLOOKUP(B676,'Pre-Summary'!$AZ$6:$BE$65,4,FALSE),"")</f>
        <v/>
      </c>
      <c r="AK676" s="10" t="str">
        <f>IFERROR(VLOOKUP(B676,'Pre-Summary'!$AZ$6:$BE$65,6,FALSE),"")</f>
        <v/>
      </c>
      <c r="AL676" s="10" t="str">
        <f>IFERROR(VLOOKUP(B676,'Pre-Summary'!$BG$6:$BL$44,3,FALSE),"")</f>
        <v/>
      </c>
      <c r="AM676" s="10" t="str">
        <f>IFERROR(VLOOKUP(B676,'Pre-Summary'!$BG$6:$BL$44,4,FALSE),"")</f>
        <v/>
      </c>
    </row>
    <row r="677" spans="2:39" ht="15" customHeight="1" x14ac:dyDescent="0.3">
      <c r="B677">
        <v>67.400000000000006</v>
      </c>
      <c r="C677" t="str">
        <f>IFERROR(VLOOKUP(B677,'Pre-Summary'!$DI$6:$DM$23,4,FALSE),"")</f>
        <v/>
      </c>
      <c r="D677" s="10" t="str">
        <f>IFERROR(VLOOKUP(B677,'Pre-Summary'!$AT$6:$AX$14,5,FALSE),D676)</f>
        <v>DSMZ v2: Dropped Na-Ac out of DSMZ 120 media</v>
      </c>
      <c r="E677" s="10" t="str">
        <f>IFERROR(VLOOKUP(B677,'Pre-Summary'!$AT$6:$AX$15,4,FALSE),"")</f>
        <v/>
      </c>
      <c r="F677">
        <f>IFERROR(VLOOKUP(B677,'Pre-Summary'!$AL$6:$AQ$13,6,FALSE),F676)</f>
        <v>5.9405263157894746E-2</v>
      </c>
      <c r="G677" t="str">
        <f>IFERROR(VLOOKUP(B677,'Pre-Summary'!$AE$6:$AJ$85,3,FALSE),"")</f>
        <v/>
      </c>
      <c r="H677" t="str">
        <f>IFERROR(VLOOKUP(B677,'Pre-Summary'!$AE$6:$AJ$85,4,FALSE),"")</f>
        <v/>
      </c>
      <c r="I677" t="str">
        <f>IFERROR(VLOOKUP(B677,'Pre-Summary'!$AE$6:$AJ$85,5,FALSE),"")</f>
        <v/>
      </c>
      <c r="J677" s="45" t="str">
        <f>IFERROR(VLOOKUP(B677,'Pre-Summary'!$AE$6:$AJ$85,6, FALSE),"")</f>
        <v/>
      </c>
      <c r="K677" s="45" t="str">
        <f>IFERROR(VLOOKUP(B677,'Pre-Summary'!$DE$6:$DG$61,3,FALSE),"")</f>
        <v/>
      </c>
      <c r="L677" s="45" t="str">
        <f>IFERROR(VLOOKUP(B677,'Pre-Summary'!$CU$6:$CW$36,3,FALSE),"")</f>
        <v/>
      </c>
      <c r="M677" s="45" t="str">
        <f>IFERROR(VLOOKUP(B677,'Pre-Summary'!$BW$6:$BY$58,2,FALSE),"")</f>
        <v/>
      </c>
      <c r="N677" s="45" t="str">
        <f>IFERROR(VLOOKUP(B677,'Pre-Summary'!$CD$6:$CF$64,2,FALSE),"")</f>
        <v/>
      </c>
      <c r="O677" s="99">
        <f>IFERROR(VLOOKUP(B677,'Pre-Summary'!$BO$6:$BQ$48,3, FALSE),O676)</f>
        <v>0.98799999999999999</v>
      </c>
      <c r="P677" s="99">
        <f>IFERROR(VLOOKUP(B677,'Pre-Summary'!$BS$6:$BU$35,3,FALSE),P676)</f>
        <v>0.34399999999999997</v>
      </c>
      <c r="Q677" s="54">
        <f t="shared" si="30"/>
        <v>2.8720930232558142</v>
      </c>
      <c r="R677" s="53">
        <f>IFERROR(VLOOKUP(B677,'Pre-Summary'!$BG$6:$BM$44,7,FALSE),R678)</f>
        <v>7.5915763918363535E-2</v>
      </c>
      <c r="S677" s="53">
        <f>IFERROR(VLOOKUP(B677,'Pre-Summary'!$BG$6:$BM$44,6,FALSE),S678)</f>
        <v>5.2897473997019086E-2</v>
      </c>
      <c r="T677" s="45" t="str">
        <f>IFERROR(VLOOKUP(B677,'Pre-Summary'!$Y$6:$AC$83, 3,FALSE),"")</f>
        <v/>
      </c>
      <c r="U677" s="45" t="str">
        <f>IFERROR(VLOOKUP(B677,'Pre-Summary'!$Y$6:$AC$83, 4,FALSE),"")</f>
        <v/>
      </c>
      <c r="V677" t="str">
        <f>IFERROR(VLOOKUP(B677,'Pre-Summary'!$Y$6:$AC$83, 5,FALSE),"")</f>
        <v/>
      </c>
      <c r="W677" s="45" t="str">
        <f>IFERROR(VLOOKUP(B677,'Pre-Summary'!$Y$6:$AD$83,6,FALSE),"")</f>
        <v/>
      </c>
      <c r="X677" t="str">
        <f>IFERROR(VLOOKUP('Pre-Summary'!$DB$6:$DD$63,3,FALSE),"")</f>
        <v/>
      </c>
      <c r="Y677" t="str">
        <f>IFERROR(VLOOKUP(B677,'Pre-Summary'!$CR$6:$CT$36,3,FALSE),"")</f>
        <v/>
      </c>
      <c r="Z677" s="45" t="str">
        <f>IFERROR(VLOOKUP(B677,'Pre-Summary'!$BZ$6:$CB$63,2,FALSE),"")</f>
        <v/>
      </c>
      <c r="AA677" s="45" t="str">
        <f>IFERROR(VLOOKUP(B677,'Pre-Summary'!$CG$6:$CI$70,2,FALSE),"")</f>
        <v/>
      </c>
      <c r="AB677" s="99">
        <f>IFERROR(VLOOKUP(B677,'Pre-Summary'!$A$6:$P$178,9,FALSE),AB678)</f>
        <v>0.84881825135540423</v>
      </c>
      <c r="AC677" s="10">
        <f>IFERROR(VLOOKUP(Summary!B677,'Pre-Summary'!$A$6:$P$184,5, FALSE)/100,AC678)</f>
        <v>0.77505331832279212</v>
      </c>
      <c r="AD677" s="10">
        <f>IFERROR(VLOOKUP(Summary!B677,'Pre-Summary'!$A$6:$P$184,3, FALSE)/100,AD678)</f>
        <v>3.6833887159730253E-3</v>
      </c>
      <c r="AE677" s="10">
        <f>IFERROR(VLOOKUP(Summary!B677,'Pre-Summary'!$A$6:$P$184,7, FALSE)/100,AE678)</f>
        <v>0.221264232960907</v>
      </c>
      <c r="AF677" s="99">
        <f t="shared" si="31"/>
        <v>3.1265275689544509E-3</v>
      </c>
      <c r="AG677" s="99">
        <f t="shared" si="32"/>
        <v>0.18781311930937186</v>
      </c>
      <c r="AH677" s="10" t="str">
        <f>IFERROR(VLOOKUP(B677,'Pre-Summary'!$AZ$6:$BE$65,3,FALSE),"")</f>
        <v/>
      </c>
      <c r="AI677" s="10" t="str">
        <f>IFERROR(VLOOKUP(B677,'Pre-Summary'!$AZ$6:$BE$65,5,FALSE),"")</f>
        <v/>
      </c>
      <c r="AJ677" s="10" t="str">
        <f>IFERROR(VLOOKUP(B677,'Pre-Summary'!$AZ$6:$BE$65,4,FALSE),"")</f>
        <v/>
      </c>
      <c r="AK677" s="10" t="str">
        <f>IFERROR(VLOOKUP(B677,'Pre-Summary'!$AZ$6:$BE$65,6,FALSE),"")</f>
        <v/>
      </c>
      <c r="AL677" s="10" t="str">
        <f>IFERROR(VLOOKUP(B677,'Pre-Summary'!$BG$6:$BL$44,3,FALSE),"")</f>
        <v/>
      </c>
      <c r="AM677" s="10" t="str">
        <f>IFERROR(VLOOKUP(B677,'Pre-Summary'!$BG$6:$BL$44,4,FALSE),"")</f>
        <v/>
      </c>
    </row>
    <row r="678" spans="2:39" ht="15" customHeight="1" x14ac:dyDescent="0.3">
      <c r="B678">
        <v>67.5</v>
      </c>
      <c r="C678" t="str">
        <f>IFERROR(VLOOKUP(B678,'Pre-Summary'!$DI$6:$DM$23,4,FALSE),"")</f>
        <v/>
      </c>
      <c r="D678" s="10" t="str">
        <f>IFERROR(VLOOKUP(B678,'Pre-Summary'!$AT$6:$AX$14,5,FALSE),D677)</f>
        <v>DSMZ v2: Dropped Na-Ac out of DSMZ 120 media</v>
      </c>
      <c r="E678" s="10" t="str">
        <f>IFERROR(VLOOKUP(B678,'Pre-Summary'!$AT$6:$AX$15,4,FALSE),"")</f>
        <v/>
      </c>
      <c r="F678">
        <f>IFERROR(VLOOKUP(B678,'Pre-Summary'!$AL$6:$AQ$13,6,FALSE),F677)</f>
        <v>5.9405263157894746E-2</v>
      </c>
      <c r="G678" t="str">
        <f>IFERROR(VLOOKUP(B678,'Pre-Summary'!$AE$6:$AJ$85,3,FALSE),"")</f>
        <v/>
      </c>
      <c r="H678" t="str">
        <f>IFERROR(VLOOKUP(B678,'Pre-Summary'!$AE$6:$AJ$85,4,FALSE),"")</f>
        <v/>
      </c>
      <c r="I678" t="str">
        <f>IFERROR(VLOOKUP(B678,'Pre-Summary'!$AE$6:$AJ$85,5,FALSE),"")</f>
        <v/>
      </c>
      <c r="J678" s="45" t="str">
        <f>IFERROR(VLOOKUP(B678,'Pre-Summary'!$AE$6:$AJ$85,6, FALSE),"")</f>
        <v/>
      </c>
      <c r="K678" s="45" t="str">
        <f>IFERROR(VLOOKUP(B678,'Pre-Summary'!$DE$6:$DG$61,3,FALSE),"")</f>
        <v/>
      </c>
      <c r="L678" s="45" t="str">
        <f>IFERROR(VLOOKUP(B678,'Pre-Summary'!$CU$6:$CW$36,3,FALSE),"")</f>
        <v/>
      </c>
      <c r="M678" s="45" t="str">
        <f>IFERROR(VLOOKUP(B678,'Pre-Summary'!$BW$6:$BY$58,2,FALSE),"")</f>
        <v/>
      </c>
      <c r="N678" s="45" t="str">
        <f>IFERROR(VLOOKUP(B678,'Pre-Summary'!$CD$6:$CF$64,2,FALSE),"")</f>
        <v/>
      </c>
      <c r="O678" s="99">
        <f>IFERROR(VLOOKUP(B678,'Pre-Summary'!$BO$6:$BQ$48,3, FALSE),O677)</f>
        <v>0.98799999999999999</v>
      </c>
      <c r="P678" s="99">
        <f>IFERROR(VLOOKUP(B678,'Pre-Summary'!$BS$6:$BU$35,3,FALSE),P677)</f>
        <v>0.34399999999999997</v>
      </c>
      <c r="Q678" s="54">
        <f t="shared" si="30"/>
        <v>2.8720930232558142</v>
      </c>
      <c r="R678" s="53">
        <f>IFERROR(VLOOKUP(B678,'Pre-Summary'!$BG$6:$BM$44,7,FALSE),R679)</f>
        <v>7.5915763918363535E-2</v>
      </c>
      <c r="S678" s="53">
        <f>IFERROR(VLOOKUP(B678,'Pre-Summary'!$BG$6:$BM$44,6,FALSE),S679)</f>
        <v>5.2897473997019086E-2</v>
      </c>
      <c r="T678" s="45" t="str">
        <f>IFERROR(VLOOKUP(B678,'Pre-Summary'!$Y$6:$AC$83, 3,FALSE),"")</f>
        <v/>
      </c>
      <c r="U678" s="45" t="str">
        <f>IFERROR(VLOOKUP(B678,'Pre-Summary'!$Y$6:$AC$83, 4,FALSE),"")</f>
        <v/>
      </c>
      <c r="V678" t="str">
        <f>IFERROR(VLOOKUP(B678,'Pre-Summary'!$Y$6:$AC$83, 5,FALSE),"")</f>
        <v/>
      </c>
      <c r="W678" s="45" t="str">
        <f>IFERROR(VLOOKUP(B678,'Pre-Summary'!$Y$6:$AD$83,6,FALSE),"")</f>
        <v/>
      </c>
      <c r="X678" t="str">
        <f>IFERROR(VLOOKUP('Pre-Summary'!$DB$6:$DD$63,3,FALSE),"")</f>
        <v/>
      </c>
      <c r="Y678" t="str">
        <f>IFERROR(VLOOKUP(B678,'Pre-Summary'!$CR$6:$CT$36,3,FALSE),"")</f>
        <v/>
      </c>
      <c r="Z678" s="45" t="str">
        <f>IFERROR(VLOOKUP(B678,'Pre-Summary'!$BZ$6:$CB$63,2,FALSE),"")</f>
        <v/>
      </c>
      <c r="AA678" s="45" t="str">
        <f>IFERROR(VLOOKUP(B678,'Pre-Summary'!$CG$6:$CI$70,2,FALSE),"")</f>
        <v/>
      </c>
      <c r="AB678" s="99">
        <f>IFERROR(VLOOKUP(B678,'Pre-Summary'!$A$6:$P$178,9,FALSE),AB679)</f>
        <v>0.84881825135540423</v>
      </c>
      <c r="AC678" s="10">
        <f>IFERROR(VLOOKUP(Summary!B678,'Pre-Summary'!$A$6:$P$184,5, FALSE)/100,AC679)</f>
        <v>0.77505331832279212</v>
      </c>
      <c r="AD678" s="10">
        <f>IFERROR(VLOOKUP(Summary!B678,'Pre-Summary'!$A$6:$P$184,3, FALSE)/100,AD679)</f>
        <v>3.6833887159730253E-3</v>
      </c>
      <c r="AE678" s="10">
        <f>IFERROR(VLOOKUP(Summary!B678,'Pre-Summary'!$A$6:$P$184,7, FALSE)/100,AE679)</f>
        <v>0.221264232960907</v>
      </c>
      <c r="AF678" s="99">
        <f t="shared" si="31"/>
        <v>3.1265275689544509E-3</v>
      </c>
      <c r="AG678" s="99">
        <f t="shared" si="32"/>
        <v>0.18781311930937186</v>
      </c>
      <c r="AH678" s="10" t="str">
        <f>IFERROR(VLOOKUP(B678,'Pre-Summary'!$AZ$6:$BE$65,3,FALSE),"")</f>
        <v/>
      </c>
      <c r="AI678" s="10" t="str">
        <f>IFERROR(VLOOKUP(B678,'Pre-Summary'!$AZ$6:$BE$65,5,FALSE),"")</f>
        <v/>
      </c>
      <c r="AJ678" s="10" t="str">
        <f>IFERROR(VLOOKUP(B678,'Pre-Summary'!$AZ$6:$BE$65,4,FALSE),"")</f>
        <v/>
      </c>
      <c r="AK678" s="10" t="str">
        <f>IFERROR(VLOOKUP(B678,'Pre-Summary'!$AZ$6:$BE$65,6,FALSE),"")</f>
        <v/>
      </c>
      <c r="AL678" s="10" t="str">
        <f>IFERROR(VLOOKUP(B678,'Pre-Summary'!$BG$6:$BL$44,3,FALSE),"")</f>
        <v/>
      </c>
      <c r="AM678" s="10" t="str">
        <f>IFERROR(VLOOKUP(B678,'Pre-Summary'!$BG$6:$BL$44,4,FALSE),"")</f>
        <v/>
      </c>
    </row>
    <row r="679" spans="2:39" ht="15" customHeight="1" x14ac:dyDescent="0.3">
      <c r="B679">
        <v>67.599999999999994</v>
      </c>
      <c r="C679" t="str">
        <f>IFERROR(VLOOKUP(B679,'Pre-Summary'!$DI$6:$DM$23,4,FALSE),"")</f>
        <v/>
      </c>
      <c r="D679" s="10" t="str">
        <f>IFERROR(VLOOKUP(B679,'Pre-Summary'!$AT$6:$AX$14,5,FALSE),D678)</f>
        <v>DSMZ v2: Dropped Na-Ac out of DSMZ 120 media</v>
      </c>
      <c r="E679" s="10" t="str">
        <f>IFERROR(VLOOKUP(B679,'Pre-Summary'!$AT$6:$AX$15,4,FALSE),"")</f>
        <v/>
      </c>
      <c r="F679">
        <f>IFERROR(VLOOKUP(B679,'Pre-Summary'!$AL$6:$AQ$13,6,FALSE),F678)</f>
        <v>5.9405263157894746E-2</v>
      </c>
      <c r="G679" t="str">
        <f>IFERROR(VLOOKUP(B679,'Pre-Summary'!$AE$6:$AJ$85,3,FALSE),"")</f>
        <v/>
      </c>
      <c r="H679" t="str">
        <f>IFERROR(VLOOKUP(B679,'Pre-Summary'!$AE$6:$AJ$85,4,FALSE),"")</f>
        <v/>
      </c>
      <c r="I679" t="str">
        <f>IFERROR(VLOOKUP(B679,'Pre-Summary'!$AE$6:$AJ$85,5,FALSE),"")</f>
        <v/>
      </c>
      <c r="J679" s="45" t="str">
        <f>IFERROR(VLOOKUP(B679,'Pre-Summary'!$AE$6:$AJ$85,6, FALSE),"")</f>
        <v/>
      </c>
      <c r="K679" s="45" t="str">
        <f>IFERROR(VLOOKUP(B679,'Pre-Summary'!$DE$6:$DG$61,3,FALSE),"")</f>
        <v/>
      </c>
      <c r="L679" s="45" t="str">
        <f>IFERROR(VLOOKUP(B679,'Pre-Summary'!$CU$6:$CW$36,3,FALSE),"")</f>
        <v/>
      </c>
      <c r="M679" s="45" t="str">
        <f>IFERROR(VLOOKUP(B679,'Pre-Summary'!$BW$6:$BY$58,2,FALSE),"")</f>
        <v/>
      </c>
      <c r="N679" s="45" t="str">
        <f>IFERROR(VLOOKUP(B679,'Pre-Summary'!$CD$6:$CF$64,2,FALSE),"")</f>
        <v/>
      </c>
      <c r="O679" s="99">
        <f>IFERROR(VLOOKUP(B679,'Pre-Summary'!$BO$6:$BQ$48,3, FALSE),O678)</f>
        <v>0.98799999999999999</v>
      </c>
      <c r="P679" s="99">
        <f>IFERROR(VLOOKUP(B679,'Pre-Summary'!$BS$6:$BU$35,3,FALSE),P678)</f>
        <v>0.34399999999999997</v>
      </c>
      <c r="Q679" s="54">
        <f t="shared" si="30"/>
        <v>2.8720930232558142</v>
      </c>
      <c r="R679" s="53">
        <f>IFERROR(VLOOKUP(B679,'Pre-Summary'!$BG$6:$BM$44,7,FALSE),R680)</f>
        <v>7.5915763918363535E-2</v>
      </c>
      <c r="S679" s="53">
        <f>IFERROR(VLOOKUP(B679,'Pre-Summary'!$BG$6:$BM$44,6,FALSE),S680)</f>
        <v>5.2897473997019086E-2</v>
      </c>
      <c r="T679" s="45" t="str">
        <f>IFERROR(VLOOKUP(B679,'Pre-Summary'!$Y$6:$AC$83, 3,FALSE),"")</f>
        <v/>
      </c>
      <c r="U679" s="45" t="str">
        <f>IFERROR(VLOOKUP(B679,'Pre-Summary'!$Y$6:$AC$83, 4,FALSE),"")</f>
        <v/>
      </c>
      <c r="V679" t="str">
        <f>IFERROR(VLOOKUP(B679,'Pre-Summary'!$Y$6:$AC$83, 5,FALSE),"")</f>
        <v/>
      </c>
      <c r="W679" s="45" t="str">
        <f>IFERROR(VLOOKUP(B679,'Pre-Summary'!$Y$6:$AD$83,6,FALSE),"")</f>
        <v/>
      </c>
      <c r="X679" t="str">
        <f>IFERROR(VLOOKUP('Pre-Summary'!$DB$6:$DD$63,3,FALSE),"")</f>
        <v/>
      </c>
      <c r="Y679" t="str">
        <f>IFERROR(VLOOKUP(B679,'Pre-Summary'!$CR$6:$CT$36,3,FALSE),"")</f>
        <v/>
      </c>
      <c r="Z679" s="45" t="str">
        <f>IFERROR(VLOOKUP(B679,'Pre-Summary'!$BZ$6:$CB$63,2,FALSE),"")</f>
        <v/>
      </c>
      <c r="AA679" s="45" t="str">
        <f>IFERROR(VLOOKUP(B679,'Pre-Summary'!$CG$6:$CI$70,2,FALSE),"")</f>
        <v/>
      </c>
      <c r="AB679" s="99">
        <f>IFERROR(VLOOKUP(B679,'Pre-Summary'!$A$6:$P$178,9,FALSE),AB680)</f>
        <v>0.84881825135540423</v>
      </c>
      <c r="AC679" s="10">
        <f>IFERROR(VLOOKUP(Summary!B679,'Pre-Summary'!$A$6:$P$184,5, FALSE)/100,AC680)</f>
        <v>0.77505331832279212</v>
      </c>
      <c r="AD679" s="10">
        <f>IFERROR(VLOOKUP(Summary!B679,'Pre-Summary'!$A$6:$P$184,3, FALSE)/100,AD680)</f>
        <v>3.6833887159730253E-3</v>
      </c>
      <c r="AE679" s="10">
        <f>IFERROR(VLOOKUP(Summary!B679,'Pre-Summary'!$A$6:$P$184,7, FALSE)/100,AE680)</f>
        <v>0.221264232960907</v>
      </c>
      <c r="AF679" s="99">
        <f t="shared" si="31"/>
        <v>3.1265275689544509E-3</v>
      </c>
      <c r="AG679" s="99">
        <f t="shared" si="32"/>
        <v>0.18781311930937186</v>
      </c>
      <c r="AH679" s="10" t="str">
        <f>IFERROR(VLOOKUP(B679,'Pre-Summary'!$AZ$6:$BE$65,3,FALSE),"")</f>
        <v/>
      </c>
      <c r="AI679" s="10" t="str">
        <f>IFERROR(VLOOKUP(B679,'Pre-Summary'!$AZ$6:$BE$65,5,FALSE),"")</f>
        <v/>
      </c>
      <c r="AJ679" s="10" t="str">
        <f>IFERROR(VLOOKUP(B679,'Pre-Summary'!$AZ$6:$BE$65,4,FALSE),"")</f>
        <v/>
      </c>
      <c r="AK679" s="10" t="str">
        <f>IFERROR(VLOOKUP(B679,'Pre-Summary'!$AZ$6:$BE$65,6,FALSE),"")</f>
        <v/>
      </c>
      <c r="AL679" s="10" t="str">
        <f>IFERROR(VLOOKUP(B679,'Pre-Summary'!$BG$6:$BL$44,3,FALSE),"")</f>
        <v/>
      </c>
      <c r="AM679" s="10" t="str">
        <f>IFERROR(VLOOKUP(B679,'Pre-Summary'!$BG$6:$BL$44,4,FALSE),"")</f>
        <v/>
      </c>
    </row>
    <row r="680" spans="2:39" ht="15" customHeight="1" x14ac:dyDescent="0.3">
      <c r="B680">
        <v>67.7</v>
      </c>
      <c r="C680" t="str">
        <f>IFERROR(VLOOKUP(B680,'Pre-Summary'!$DI$6:$DM$23,4,FALSE),"")</f>
        <v/>
      </c>
      <c r="D680" s="10" t="str">
        <f>IFERROR(VLOOKUP(B680,'Pre-Summary'!$AT$6:$AX$14,5,FALSE),D679)</f>
        <v>DSMZ v2: Dropped Na-Ac out of DSMZ 120 media</v>
      </c>
      <c r="E680" s="10" t="str">
        <f>IFERROR(VLOOKUP(B680,'Pre-Summary'!$AT$6:$AX$15,4,FALSE),"")</f>
        <v/>
      </c>
      <c r="F680">
        <f>IFERROR(VLOOKUP(B680,'Pre-Summary'!$AL$6:$AQ$13,6,FALSE),F679)</f>
        <v>5.9405263157894746E-2</v>
      </c>
      <c r="G680" t="str">
        <f>IFERROR(VLOOKUP(B680,'Pre-Summary'!$AE$6:$AJ$85,3,FALSE),"")</f>
        <v/>
      </c>
      <c r="H680" t="str">
        <f>IFERROR(VLOOKUP(B680,'Pre-Summary'!$AE$6:$AJ$85,4,FALSE),"")</f>
        <v/>
      </c>
      <c r="I680" t="str">
        <f>IFERROR(VLOOKUP(B680,'Pre-Summary'!$AE$6:$AJ$85,5,FALSE),"")</f>
        <v/>
      </c>
      <c r="J680" s="45" t="str">
        <f>IFERROR(VLOOKUP(B680,'Pre-Summary'!$AE$6:$AJ$85,6, FALSE),"")</f>
        <v/>
      </c>
      <c r="K680" s="45" t="str">
        <f>IFERROR(VLOOKUP(B680,'Pre-Summary'!$DE$6:$DG$61,3,FALSE),"")</f>
        <v/>
      </c>
      <c r="L680" s="45" t="str">
        <f>IFERROR(VLOOKUP(B680,'Pre-Summary'!$CU$6:$CW$36,3,FALSE),"")</f>
        <v/>
      </c>
      <c r="M680" s="45" t="str">
        <f>IFERROR(VLOOKUP(B680,'Pre-Summary'!$BW$6:$BY$58,2,FALSE),"")</f>
        <v/>
      </c>
      <c r="N680" s="45" t="str">
        <f>IFERROR(VLOOKUP(B680,'Pre-Summary'!$CD$6:$CF$64,2,FALSE),"")</f>
        <v/>
      </c>
      <c r="O680" s="99">
        <f>IFERROR(VLOOKUP(B680,'Pre-Summary'!$BO$6:$BQ$48,3, FALSE),O679)</f>
        <v>0.98799999999999999</v>
      </c>
      <c r="P680" s="99">
        <f>IFERROR(VLOOKUP(B680,'Pre-Summary'!$BS$6:$BU$35,3,FALSE),P679)</f>
        <v>0.34399999999999997</v>
      </c>
      <c r="Q680" s="54">
        <f t="shared" si="30"/>
        <v>2.8720930232558142</v>
      </c>
      <c r="R680" s="53">
        <f>IFERROR(VLOOKUP(B680,'Pre-Summary'!$BG$6:$BM$44,7,FALSE),R681)</f>
        <v>7.5915763918363535E-2</v>
      </c>
      <c r="S680" s="53">
        <f>IFERROR(VLOOKUP(B680,'Pre-Summary'!$BG$6:$BM$44,6,FALSE),S681)</f>
        <v>5.2897473997019086E-2</v>
      </c>
      <c r="T680" s="45" t="str">
        <f>IFERROR(VLOOKUP(B680,'Pre-Summary'!$Y$6:$AC$83, 3,FALSE),"")</f>
        <v/>
      </c>
      <c r="U680" s="45" t="str">
        <f>IFERROR(VLOOKUP(B680,'Pre-Summary'!$Y$6:$AC$83, 4,FALSE),"")</f>
        <v/>
      </c>
      <c r="V680" t="str">
        <f>IFERROR(VLOOKUP(B680,'Pre-Summary'!$Y$6:$AC$83, 5,FALSE),"")</f>
        <v/>
      </c>
      <c r="W680" s="45" t="str">
        <f>IFERROR(VLOOKUP(B680,'Pre-Summary'!$Y$6:$AD$83,6,FALSE),"")</f>
        <v/>
      </c>
      <c r="X680" t="str">
        <f>IFERROR(VLOOKUP('Pre-Summary'!$DB$6:$DD$63,3,FALSE),"")</f>
        <v/>
      </c>
      <c r="Y680" t="str">
        <f>IFERROR(VLOOKUP(B680,'Pre-Summary'!$CR$6:$CT$36,3,FALSE),"")</f>
        <v/>
      </c>
      <c r="Z680" s="45" t="str">
        <f>IFERROR(VLOOKUP(B680,'Pre-Summary'!$BZ$6:$CB$63,2,FALSE),"")</f>
        <v/>
      </c>
      <c r="AA680" s="45" t="str">
        <f>IFERROR(VLOOKUP(B680,'Pre-Summary'!$CG$6:$CI$70,2,FALSE),"")</f>
        <v/>
      </c>
      <c r="AB680" s="99">
        <f>IFERROR(VLOOKUP(B680,'Pre-Summary'!$A$6:$P$178,9,FALSE),AB681)</f>
        <v>0.84881825135540423</v>
      </c>
      <c r="AC680" s="10">
        <f>IFERROR(VLOOKUP(Summary!B680,'Pre-Summary'!$A$6:$P$184,5, FALSE)/100,AC681)</f>
        <v>0.77505331832279212</v>
      </c>
      <c r="AD680" s="10">
        <f>IFERROR(VLOOKUP(Summary!B680,'Pre-Summary'!$A$6:$P$184,3, FALSE)/100,AD681)</f>
        <v>3.6833887159730253E-3</v>
      </c>
      <c r="AE680" s="10">
        <f>IFERROR(VLOOKUP(Summary!B680,'Pre-Summary'!$A$6:$P$184,7, FALSE)/100,AE681)</f>
        <v>0.221264232960907</v>
      </c>
      <c r="AF680" s="99">
        <f t="shared" si="31"/>
        <v>3.1265275689544509E-3</v>
      </c>
      <c r="AG680" s="99">
        <f t="shared" si="32"/>
        <v>0.18781311930937186</v>
      </c>
      <c r="AH680" s="10" t="str">
        <f>IFERROR(VLOOKUP(B680,'Pre-Summary'!$AZ$6:$BE$65,3,FALSE),"")</f>
        <v/>
      </c>
      <c r="AI680" s="10" t="str">
        <f>IFERROR(VLOOKUP(B680,'Pre-Summary'!$AZ$6:$BE$65,5,FALSE),"")</f>
        <v/>
      </c>
      <c r="AJ680" s="10" t="str">
        <f>IFERROR(VLOOKUP(B680,'Pre-Summary'!$AZ$6:$BE$65,4,FALSE),"")</f>
        <v/>
      </c>
      <c r="AK680" s="10" t="str">
        <f>IFERROR(VLOOKUP(B680,'Pre-Summary'!$AZ$6:$BE$65,6,FALSE),"")</f>
        <v/>
      </c>
      <c r="AL680" s="10" t="str">
        <f>IFERROR(VLOOKUP(B680,'Pre-Summary'!$BG$6:$BL$44,3,FALSE),"")</f>
        <v/>
      </c>
      <c r="AM680" s="10" t="str">
        <f>IFERROR(VLOOKUP(B680,'Pre-Summary'!$BG$6:$BL$44,4,FALSE),"")</f>
        <v/>
      </c>
    </row>
    <row r="681" spans="2:39" ht="15" customHeight="1" x14ac:dyDescent="0.3">
      <c r="B681">
        <v>67.8</v>
      </c>
      <c r="C681" t="str">
        <f>IFERROR(VLOOKUP(B681,'Pre-Summary'!$DI$6:$DM$23,4,FALSE),"")</f>
        <v/>
      </c>
      <c r="D681" s="10" t="str">
        <f>IFERROR(VLOOKUP(B681,'Pre-Summary'!$AT$6:$AX$14,5,FALSE),D680)</f>
        <v>DSMZ v2: Dropped Na-Ac out of DSMZ 120 media</v>
      </c>
      <c r="E681" s="10" t="str">
        <f>IFERROR(VLOOKUP(B681,'Pre-Summary'!$AT$6:$AX$15,4,FALSE),"")</f>
        <v/>
      </c>
      <c r="F681">
        <f>IFERROR(VLOOKUP(B681,'Pre-Summary'!$AL$6:$AQ$13,6,FALSE),F680)</f>
        <v>5.9405263157894746E-2</v>
      </c>
      <c r="G681" t="str">
        <f>IFERROR(VLOOKUP(B681,'Pre-Summary'!$AE$6:$AJ$85,3,FALSE),"")</f>
        <v/>
      </c>
      <c r="H681" t="str">
        <f>IFERROR(VLOOKUP(B681,'Pre-Summary'!$AE$6:$AJ$85,4,FALSE),"")</f>
        <v/>
      </c>
      <c r="I681" t="str">
        <f>IFERROR(VLOOKUP(B681,'Pre-Summary'!$AE$6:$AJ$85,5,FALSE),"")</f>
        <v/>
      </c>
      <c r="J681" s="45" t="str">
        <f>IFERROR(VLOOKUP(B681,'Pre-Summary'!$AE$6:$AJ$85,6, FALSE),"")</f>
        <v/>
      </c>
      <c r="K681" s="45" t="str">
        <f>IFERROR(VLOOKUP(B681,'Pre-Summary'!$DE$6:$DG$61,3,FALSE),"")</f>
        <v/>
      </c>
      <c r="L681" s="45" t="str">
        <f>IFERROR(VLOOKUP(B681,'Pre-Summary'!$CU$6:$CW$36,3,FALSE),"")</f>
        <v/>
      </c>
      <c r="M681" s="45" t="str">
        <f>IFERROR(VLOOKUP(B681,'Pre-Summary'!$BW$6:$BY$58,2,FALSE),"")</f>
        <v/>
      </c>
      <c r="N681" s="45" t="str">
        <f>IFERROR(VLOOKUP(B681,'Pre-Summary'!$CD$6:$CF$64,2,FALSE),"")</f>
        <v/>
      </c>
      <c r="O681" s="99">
        <f>IFERROR(VLOOKUP(B681,'Pre-Summary'!$BO$6:$BQ$48,3, FALSE),O680)</f>
        <v>0.98799999999999999</v>
      </c>
      <c r="P681" s="99">
        <f>IFERROR(VLOOKUP(B681,'Pre-Summary'!$BS$6:$BU$35,3,FALSE),P680)</f>
        <v>0.34399999999999997</v>
      </c>
      <c r="Q681" s="54">
        <f t="shared" si="30"/>
        <v>2.8720930232558142</v>
      </c>
      <c r="R681" s="53">
        <f>IFERROR(VLOOKUP(B681,'Pre-Summary'!$BG$6:$BM$44,7,FALSE),R682)</f>
        <v>7.5915763918363535E-2</v>
      </c>
      <c r="S681" s="53">
        <f>IFERROR(VLOOKUP(B681,'Pre-Summary'!$BG$6:$BM$44,6,FALSE),S682)</f>
        <v>5.2897473997019086E-2</v>
      </c>
      <c r="T681" s="45" t="str">
        <f>IFERROR(VLOOKUP(B681,'Pre-Summary'!$Y$6:$AC$83, 3,FALSE),"")</f>
        <v/>
      </c>
      <c r="U681" s="45" t="str">
        <f>IFERROR(VLOOKUP(B681,'Pre-Summary'!$Y$6:$AC$83, 4,FALSE),"")</f>
        <v/>
      </c>
      <c r="V681" t="str">
        <f>IFERROR(VLOOKUP(B681,'Pre-Summary'!$Y$6:$AC$83, 5,FALSE),"")</f>
        <v/>
      </c>
      <c r="W681" s="45" t="str">
        <f>IFERROR(VLOOKUP(B681,'Pre-Summary'!$Y$6:$AD$83,6,FALSE),"")</f>
        <v/>
      </c>
      <c r="X681" t="str">
        <f>IFERROR(VLOOKUP('Pre-Summary'!$DB$6:$DD$63,3,FALSE),"")</f>
        <v/>
      </c>
      <c r="Y681" t="str">
        <f>IFERROR(VLOOKUP(B681,'Pre-Summary'!$CR$6:$CT$36,3,FALSE),"")</f>
        <v/>
      </c>
      <c r="Z681" s="45" t="str">
        <f>IFERROR(VLOOKUP(B681,'Pre-Summary'!$BZ$6:$CB$63,2,FALSE),"")</f>
        <v/>
      </c>
      <c r="AA681" s="45" t="str">
        <f>IFERROR(VLOOKUP(B681,'Pre-Summary'!$CG$6:$CI$70,2,FALSE),"")</f>
        <v/>
      </c>
      <c r="AB681" s="99">
        <f>IFERROR(VLOOKUP(B681,'Pre-Summary'!$A$6:$P$178,9,FALSE),AB682)</f>
        <v>0.84881825135540423</v>
      </c>
      <c r="AC681" s="10">
        <f>IFERROR(VLOOKUP(Summary!B681,'Pre-Summary'!$A$6:$P$184,5, FALSE)/100,AC682)</f>
        <v>0.77505331832279212</v>
      </c>
      <c r="AD681" s="10">
        <f>IFERROR(VLOOKUP(Summary!B681,'Pre-Summary'!$A$6:$P$184,3, FALSE)/100,AD682)</f>
        <v>3.6833887159730253E-3</v>
      </c>
      <c r="AE681" s="10">
        <f>IFERROR(VLOOKUP(Summary!B681,'Pre-Summary'!$A$6:$P$184,7, FALSE)/100,AE682)</f>
        <v>0.221264232960907</v>
      </c>
      <c r="AF681" s="99">
        <f t="shared" si="31"/>
        <v>3.1265275689544509E-3</v>
      </c>
      <c r="AG681" s="99">
        <f t="shared" si="32"/>
        <v>0.18781311930937186</v>
      </c>
      <c r="AH681" s="10" t="str">
        <f>IFERROR(VLOOKUP(B681,'Pre-Summary'!$AZ$6:$BE$65,3,FALSE),"")</f>
        <v/>
      </c>
      <c r="AI681" s="10" t="str">
        <f>IFERROR(VLOOKUP(B681,'Pre-Summary'!$AZ$6:$BE$65,5,FALSE),"")</f>
        <v/>
      </c>
      <c r="AJ681" s="10" t="str">
        <f>IFERROR(VLOOKUP(B681,'Pre-Summary'!$AZ$6:$BE$65,4,FALSE),"")</f>
        <v/>
      </c>
      <c r="AK681" s="10" t="str">
        <f>IFERROR(VLOOKUP(B681,'Pre-Summary'!$AZ$6:$BE$65,6,FALSE),"")</f>
        <v/>
      </c>
      <c r="AL681" s="10" t="str">
        <f>IFERROR(VLOOKUP(B681,'Pre-Summary'!$BG$6:$BL$44,3,FALSE),"")</f>
        <v/>
      </c>
      <c r="AM681" s="10" t="str">
        <f>IFERROR(VLOOKUP(B681,'Pre-Summary'!$BG$6:$BL$44,4,FALSE),"")</f>
        <v/>
      </c>
    </row>
    <row r="682" spans="2:39" ht="15" customHeight="1" x14ac:dyDescent="0.3">
      <c r="B682">
        <v>67.900000000000006</v>
      </c>
      <c r="C682" t="str">
        <f>IFERROR(VLOOKUP(B682,'Pre-Summary'!$DI$6:$DM$23,4,FALSE),"")</f>
        <v/>
      </c>
      <c r="D682" s="10" t="str">
        <f>IFERROR(VLOOKUP(B682,'Pre-Summary'!$AT$6:$AX$14,5,FALSE),D681)</f>
        <v>DSMZ v2: Dropped Na-Ac out of DSMZ 120 media</v>
      </c>
      <c r="E682" s="10" t="str">
        <f>IFERROR(VLOOKUP(B682,'Pre-Summary'!$AT$6:$AX$15,4,FALSE),"")</f>
        <v/>
      </c>
      <c r="F682">
        <f>IFERROR(VLOOKUP(B682,'Pre-Summary'!$AL$6:$AQ$13,6,FALSE),F681)</f>
        <v>5.9405263157894746E-2</v>
      </c>
      <c r="G682" t="str">
        <f>IFERROR(VLOOKUP(B682,'Pre-Summary'!$AE$6:$AJ$85,3,FALSE),"")</f>
        <v/>
      </c>
      <c r="H682" t="str">
        <f>IFERROR(VLOOKUP(B682,'Pre-Summary'!$AE$6:$AJ$85,4,FALSE),"")</f>
        <v/>
      </c>
      <c r="I682" t="str">
        <f>IFERROR(VLOOKUP(B682,'Pre-Summary'!$AE$6:$AJ$85,5,FALSE),"")</f>
        <v/>
      </c>
      <c r="J682" s="45" t="str">
        <f>IFERROR(VLOOKUP(B682,'Pre-Summary'!$AE$6:$AJ$85,6, FALSE),"")</f>
        <v/>
      </c>
      <c r="K682" s="45" t="str">
        <f>IFERROR(VLOOKUP(B682,'Pre-Summary'!$DE$6:$DG$61,3,FALSE),"")</f>
        <v/>
      </c>
      <c r="L682" s="45" t="str">
        <f>IFERROR(VLOOKUP(B682,'Pre-Summary'!$CU$6:$CW$36,3,FALSE),"")</f>
        <v/>
      </c>
      <c r="M682" s="45" t="str">
        <f>IFERROR(VLOOKUP(B682,'Pre-Summary'!$BW$6:$BY$58,2,FALSE),"")</f>
        <v/>
      </c>
      <c r="N682" s="45" t="str">
        <f>IFERROR(VLOOKUP(B682,'Pre-Summary'!$CD$6:$CF$64,2,FALSE),"")</f>
        <v/>
      </c>
      <c r="O682" s="99">
        <f>IFERROR(VLOOKUP(B682,'Pre-Summary'!$BO$6:$BQ$48,3, FALSE),O681)</f>
        <v>0.98799999999999999</v>
      </c>
      <c r="P682" s="99">
        <f>IFERROR(VLOOKUP(B682,'Pre-Summary'!$BS$6:$BU$35,3,FALSE),P681)</f>
        <v>0.34399999999999997</v>
      </c>
      <c r="Q682" s="54">
        <f t="shared" si="30"/>
        <v>2.8720930232558142</v>
      </c>
      <c r="R682" s="53">
        <f>IFERROR(VLOOKUP(B682,'Pre-Summary'!$BG$6:$BM$44,7,FALSE),R683)</f>
        <v>7.5915763918363535E-2</v>
      </c>
      <c r="S682" s="53">
        <f>IFERROR(VLOOKUP(B682,'Pre-Summary'!$BG$6:$BM$44,6,FALSE),S683)</f>
        <v>5.2897473997019086E-2</v>
      </c>
      <c r="T682" s="45" t="str">
        <f>IFERROR(VLOOKUP(B682,'Pre-Summary'!$Y$6:$AC$83, 3,FALSE),"")</f>
        <v/>
      </c>
      <c r="U682" s="45" t="str">
        <f>IFERROR(VLOOKUP(B682,'Pre-Summary'!$Y$6:$AC$83, 4,FALSE),"")</f>
        <v/>
      </c>
      <c r="V682" t="str">
        <f>IFERROR(VLOOKUP(B682,'Pre-Summary'!$Y$6:$AC$83, 5,FALSE),"")</f>
        <v/>
      </c>
      <c r="W682" s="45" t="str">
        <f>IFERROR(VLOOKUP(B682,'Pre-Summary'!$Y$6:$AD$83,6,FALSE),"")</f>
        <v/>
      </c>
      <c r="X682" t="str">
        <f>IFERROR(VLOOKUP('Pre-Summary'!$DB$6:$DD$63,3,FALSE),"")</f>
        <v/>
      </c>
      <c r="Y682" t="str">
        <f>IFERROR(VLOOKUP(B682,'Pre-Summary'!$CR$6:$CT$36,3,FALSE),"")</f>
        <v/>
      </c>
      <c r="Z682" s="45" t="str">
        <f>IFERROR(VLOOKUP(B682,'Pre-Summary'!$BZ$6:$CB$63,2,FALSE),"")</f>
        <v/>
      </c>
      <c r="AA682" s="45" t="str">
        <f>IFERROR(VLOOKUP(B682,'Pre-Summary'!$CG$6:$CI$70,2,FALSE),"")</f>
        <v/>
      </c>
      <c r="AB682" s="99">
        <f>IFERROR(VLOOKUP(B682,'Pre-Summary'!$A$6:$P$178,9,FALSE),AB683)</f>
        <v>0.84881825135540423</v>
      </c>
      <c r="AC682" s="10">
        <f>IFERROR(VLOOKUP(Summary!B682,'Pre-Summary'!$A$6:$P$184,5, FALSE)/100,AC683)</f>
        <v>0.77505331832279212</v>
      </c>
      <c r="AD682" s="10">
        <f>IFERROR(VLOOKUP(Summary!B682,'Pre-Summary'!$A$6:$P$184,3, FALSE)/100,AD683)</f>
        <v>3.6833887159730253E-3</v>
      </c>
      <c r="AE682" s="10">
        <f>IFERROR(VLOOKUP(Summary!B682,'Pre-Summary'!$A$6:$P$184,7, FALSE)/100,AE683)</f>
        <v>0.221264232960907</v>
      </c>
      <c r="AF682" s="99">
        <f t="shared" si="31"/>
        <v>3.1265275689544509E-3</v>
      </c>
      <c r="AG682" s="99">
        <f t="shared" si="32"/>
        <v>0.18781311930937186</v>
      </c>
      <c r="AH682" s="10" t="str">
        <f>IFERROR(VLOOKUP(B682,'Pre-Summary'!$AZ$6:$BE$65,3,FALSE),"")</f>
        <v/>
      </c>
      <c r="AI682" s="10" t="str">
        <f>IFERROR(VLOOKUP(B682,'Pre-Summary'!$AZ$6:$BE$65,5,FALSE),"")</f>
        <v/>
      </c>
      <c r="AJ682" s="10" t="str">
        <f>IFERROR(VLOOKUP(B682,'Pre-Summary'!$AZ$6:$BE$65,4,FALSE),"")</f>
        <v/>
      </c>
      <c r="AK682" s="10" t="str">
        <f>IFERROR(VLOOKUP(B682,'Pre-Summary'!$AZ$6:$BE$65,6,FALSE),"")</f>
        <v/>
      </c>
      <c r="AL682" s="10" t="str">
        <f>IFERROR(VLOOKUP(B682,'Pre-Summary'!$BG$6:$BL$44,3,FALSE),"")</f>
        <v/>
      </c>
      <c r="AM682" s="10" t="str">
        <f>IFERROR(VLOOKUP(B682,'Pre-Summary'!$BG$6:$BL$44,4,FALSE),"")</f>
        <v/>
      </c>
    </row>
    <row r="683" spans="2:39" ht="15" customHeight="1" x14ac:dyDescent="0.3">
      <c r="B683">
        <v>68</v>
      </c>
      <c r="C683" t="str">
        <f>IFERROR(VLOOKUP(B683,'Pre-Summary'!$DI$6:$DM$23,4,FALSE),"")</f>
        <v/>
      </c>
      <c r="D683" s="10" t="str">
        <f>IFERROR(VLOOKUP(B683,'Pre-Summary'!$AT$6:$AX$14,5,FALSE),D682)</f>
        <v>DSMZ v2: Dropped Na-Ac out of DSMZ 120 media</v>
      </c>
      <c r="E683" s="10" t="str">
        <f>IFERROR(VLOOKUP(B683,'Pre-Summary'!$AT$6:$AX$15,4,FALSE),"")</f>
        <v/>
      </c>
      <c r="F683">
        <f>IFERROR(VLOOKUP(B683,'Pre-Summary'!$AL$6:$AQ$13,6,FALSE),F682)</f>
        <v>5.9405263157894746E-2</v>
      </c>
      <c r="G683" t="str">
        <f>IFERROR(VLOOKUP(B683,'Pre-Summary'!$AE$6:$AJ$85,3,FALSE),"")</f>
        <v/>
      </c>
      <c r="H683" t="str">
        <f>IFERROR(VLOOKUP(B683,'Pre-Summary'!$AE$6:$AJ$85,4,FALSE),"")</f>
        <v/>
      </c>
      <c r="I683" t="str">
        <f>IFERROR(VLOOKUP(B683,'Pre-Summary'!$AE$6:$AJ$85,5,FALSE),"")</f>
        <v/>
      </c>
      <c r="J683" s="45" t="str">
        <f>IFERROR(VLOOKUP(B683,'Pre-Summary'!$AE$6:$AJ$85,6, FALSE),"")</f>
        <v/>
      </c>
      <c r="K683" s="45" t="str">
        <f>IFERROR(VLOOKUP(B683,'Pre-Summary'!$DE$6:$DG$61,3,FALSE),"")</f>
        <v/>
      </c>
      <c r="L683" s="45" t="str">
        <f>IFERROR(VLOOKUP(B683,'Pre-Summary'!$CU$6:$CW$36,3,FALSE),"")</f>
        <v/>
      </c>
      <c r="M683" s="45" t="str">
        <f>IFERROR(VLOOKUP(B683,'Pre-Summary'!$BW$6:$BY$58,2,FALSE),"")</f>
        <v/>
      </c>
      <c r="N683" s="45" t="str">
        <f>IFERROR(VLOOKUP(B683,'Pre-Summary'!$CD$6:$CF$64,2,FALSE),"")</f>
        <v/>
      </c>
      <c r="O683" s="99">
        <f>IFERROR(VLOOKUP(B683,'Pre-Summary'!$BO$6:$BQ$48,3, FALSE),O682)</f>
        <v>0.98799999999999999</v>
      </c>
      <c r="P683" s="99">
        <f>IFERROR(VLOOKUP(B683,'Pre-Summary'!$BS$6:$BU$35,3,FALSE),P682)</f>
        <v>0.34399999999999997</v>
      </c>
      <c r="Q683" s="54">
        <f t="shared" si="30"/>
        <v>2.8720930232558142</v>
      </c>
      <c r="R683" s="53">
        <f>IFERROR(VLOOKUP(B683,'Pre-Summary'!$BG$6:$BM$44,7,FALSE),R684)</f>
        <v>7.5915763918363535E-2</v>
      </c>
      <c r="S683" s="53">
        <f>IFERROR(VLOOKUP(B683,'Pre-Summary'!$BG$6:$BM$44,6,FALSE),S684)</f>
        <v>5.2897473997019086E-2</v>
      </c>
      <c r="T683" s="45" t="str">
        <f>IFERROR(VLOOKUP(B683,'Pre-Summary'!$Y$6:$AC$83, 3,FALSE),"")</f>
        <v/>
      </c>
      <c r="U683" s="45" t="str">
        <f>IFERROR(VLOOKUP(B683,'Pre-Summary'!$Y$6:$AC$83, 4,FALSE),"")</f>
        <v/>
      </c>
      <c r="V683" t="str">
        <f>IFERROR(VLOOKUP(B683,'Pre-Summary'!$Y$6:$AC$83, 5,FALSE),"")</f>
        <v/>
      </c>
      <c r="W683" s="45" t="str">
        <f>IFERROR(VLOOKUP(B683,'Pre-Summary'!$Y$6:$AD$83,6,FALSE),"")</f>
        <v/>
      </c>
      <c r="X683" t="str">
        <f>IFERROR(VLOOKUP('Pre-Summary'!$DB$6:$DD$63,3,FALSE),"")</f>
        <v/>
      </c>
      <c r="Y683" t="str">
        <f>IFERROR(VLOOKUP(B683,'Pre-Summary'!$CR$6:$CT$36,3,FALSE),"")</f>
        <v/>
      </c>
      <c r="Z683" s="45" t="str">
        <f>IFERROR(VLOOKUP(B683,'Pre-Summary'!$BZ$6:$CB$63,2,FALSE),"")</f>
        <v/>
      </c>
      <c r="AA683" s="45" t="str">
        <f>IFERROR(VLOOKUP(B683,'Pre-Summary'!$CG$6:$CI$70,2,FALSE),"")</f>
        <v/>
      </c>
      <c r="AB683" s="99">
        <f>IFERROR(VLOOKUP(B683,'Pre-Summary'!$A$6:$P$178,9,FALSE),AB684)</f>
        <v>0.84881825135540423</v>
      </c>
      <c r="AC683" s="10">
        <f>IFERROR(VLOOKUP(Summary!B683,'Pre-Summary'!$A$6:$P$184,5, FALSE)/100,AC684)</f>
        <v>0.77505331832279212</v>
      </c>
      <c r="AD683" s="10">
        <f>IFERROR(VLOOKUP(Summary!B683,'Pre-Summary'!$A$6:$P$184,3, FALSE)/100,AD684)</f>
        <v>3.6833887159730253E-3</v>
      </c>
      <c r="AE683" s="10">
        <f>IFERROR(VLOOKUP(Summary!B683,'Pre-Summary'!$A$6:$P$184,7, FALSE)/100,AE684)</f>
        <v>0.221264232960907</v>
      </c>
      <c r="AF683" s="99">
        <f t="shared" si="31"/>
        <v>3.1265275689544509E-3</v>
      </c>
      <c r="AG683" s="99">
        <f t="shared" si="32"/>
        <v>0.18781311930937186</v>
      </c>
      <c r="AH683" s="10" t="str">
        <f>IFERROR(VLOOKUP(B683,'Pre-Summary'!$AZ$6:$BE$65,3,FALSE),"")</f>
        <v/>
      </c>
      <c r="AI683" s="10" t="str">
        <f>IFERROR(VLOOKUP(B683,'Pre-Summary'!$AZ$6:$BE$65,5,FALSE),"")</f>
        <v/>
      </c>
      <c r="AJ683" s="10" t="str">
        <f>IFERROR(VLOOKUP(B683,'Pre-Summary'!$AZ$6:$BE$65,4,FALSE),"")</f>
        <v/>
      </c>
      <c r="AK683" s="10" t="str">
        <f>IFERROR(VLOOKUP(B683,'Pre-Summary'!$AZ$6:$BE$65,6,FALSE),"")</f>
        <v/>
      </c>
      <c r="AL683" s="10" t="str">
        <f>IFERROR(VLOOKUP(B683,'Pre-Summary'!$BG$6:$BL$44,3,FALSE),"")</f>
        <v/>
      </c>
      <c r="AM683" s="10" t="str">
        <f>IFERROR(VLOOKUP(B683,'Pre-Summary'!$BG$6:$BL$44,4,FALSE),"")</f>
        <v/>
      </c>
    </row>
    <row r="684" spans="2:39" ht="15" customHeight="1" x14ac:dyDescent="0.3">
      <c r="B684">
        <v>68.099999999999994</v>
      </c>
      <c r="C684" t="str">
        <f>IFERROR(VLOOKUP(B684,'Pre-Summary'!$DI$6:$DM$23,4,FALSE),"")</f>
        <v/>
      </c>
      <c r="D684" s="10" t="str">
        <f>IFERROR(VLOOKUP(B684,'Pre-Summary'!$AT$6:$AX$14,5,FALSE),D683)</f>
        <v>DSMZ v2: Dropped Na-Ac out of DSMZ 120 media</v>
      </c>
      <c r="E684" s="10" t="str">
        <f>IFERROR(VLOOKUP(B684,'Pre-Summary'!$AT$6:$AX$15,4,FALSE),"")</f>
        <v/>
      </c>
      <c r="F684">
        <f>IFERROR(VLOOKUP(B684,'Pre-Summary'!$AL$6:$AQ$13,6,FALSE),F683)</f>
        <v>5.9405263157894746E-2</v>
      </c>
      <c r="G684" t="str">
        <f>IFERROR(VLOOKUP(B684,'Pre-Summary'!$AE$6:$AJ$85,3,FALSE),"")</f>
        <v/>
      </c>
      <c r="H684" t="str">
        <f>IFERROR(VLOOKUP(B684,'Pre-Summary'!$AE$6:$AJ$85,4,FALSE),"")</f>
        <v/>
      </c>
      <c r="I684" t="str">
        <f>IFERROR(VLOOKUP(B684,'Pre-Summary'!$AE$6:$AJ$85,5,FALSE),"")</f>
        <v/>
      </c>
      <c r="J684" s="45" t="str">
        <f>IFERROR(VLOOKUP(B684,'Pre-Summary'!$AE$6:$AJ$85,6, FALSE),"")</f>
        <v/>
      </c>
      <c r="K684" s="45" t="str">
        <f>IFERROR(VLOOKUP(B684,'Pre-Summary'!$DE$6:$DG$61,3,FALSE),"")</f>
        <v/>
      </c>
      <c r="L684" s="45" t="str">
        <f>IFERROR(VLOOKUP(B684,'Pre-Summary'!$CU$6:$CW$36,3,FALSE),"")</f>
        <v/>
      </c>
      <c r="M684" s="45" t="str">
        <f>IFERROR(VLOOKUP(B684,'Pre-Summary'!$BW$6:$BY$58,2,FALSE),"")</f>
        <v/>
      </c>
      <c r="N684" s="45" t="str">
        <f>IFERROR(VLOOKUP(B684,'Pre-Summary'!$CD$6:$CF$64,2,FALSE),"")</f>
        <v/>
      </c>
      <c r="O684" s="99">
        <f>IFERROR(VLOOKUP(B684,'Pre-Summary'!$BO$6:$BQ$48,3, FALSE),O683)</f>
        <v>0.98799999999999999</v>
      </c>
      <c r="P684" s="99">
        <f>IFERROR(VLOOKUP(B684,'Pre-Summary'!$BS$6:$BU$35,3,FALSE),P683)</f>
        <v>0.34399999999999997</v>
      </c>
      <c r="Q684" s="54">
        <f t="shared" si="30"/>
        <v>2.8720930232558142</v>
      </c>
      <c r="R684" s="53">
        <f>IFERROR(VLOOKUP(B684,'Pre-Summary'!$BG$6:$BM$44,7,FALSE),R685)</f>
        <v>7.5915763918363535E-2</v>
      </c>
      <c r="S684" s="53">
        <f>IFERROR(VLOOKUP(B684,'Pre-Summary'!$BG$6:$BM$44,6,FALSE),S685)</f>
        <v>5.2897473997019086E-2</v>
      </c>
      <c r="T684" s="45" t="str">
        <f>IFERROR(VLOOKUP(B684,'Pre-Summary'!$Y$6:$AC$83, 3,FALSE),"")</f>
        <v/>
      </c>
      <c r="U684" s="45" t="str">
        <f>IFERROR(VLOOKUP(B684,'Pre-Summary'!$Y$6:$AC$83, 4,FALSE),"")</f>
        <v/>
      </c>
      <c r="V684" t="str">
        <f>IFERROR(VLOOKUP(B684,'Pre-Summary'!$Y$6:$AC$83, 5,FALSE),"")</f>
        <v/>
      </c>
      <c r="W684" s="45" t="str">
        <f>IFERROR(VLOOKUP(B684,'Pre-Summary'!$Y$6:$AD$83,6,FALSE),"")</f>
        <v/>
      </c>
      <c r="X684" t="str">
        <f>IFERROR(VLOOKUP('Pre-Summary'!$DB$6:$DD$63,3,FALSE),"")</f>
        <v/>
      </c>
      <c r="Y684" t="str">
        <f>IFERROR(VLOOKUP(B684,'Pre-Summary'!$CR$6:$CT$36,3,FALSE),"")</f>
        <v/>
      </c>
      <c r="Z684" s="45" t="str">
        <f>IFERROR(VLOOKUP(B684,'Pre-Summary'!$BZ$6:$CB$63,2,FALSE),"")</f>
        <v/>
      </c>
      <c r="AA684" s="45" t="str">
        <f>IFERROR(VLOOKUP(B684,'Pre-Summary'!$CG$6:$CI$70,2,FALSE),"")</f>
        <v/>
      </c>
      <c r="AB684" s="99">
        <f>IFERROR(VLOOKUP(B684,'Pre-Summary'!$A$6:$P$178,9,FALSE),AB685)</f>
        <v>0.84881825135540423</v>
      </c>
      <c r="AC684" s="10">
        <f>IFERROR(VLOOKUP(Summary!B684,'Pre-Summary'!$A$6:$P$184,5, FALSE)/100,AC685)</f>
        <v>0.77505331832279212</v>
      </c>
      <c r="AD684" s="10">
        <f>IFERROR(VLOOKUP(Summary!B684,'Pre-Summary'!$A$6:$P$184,3, FALSE)/100,AD685)</f>
        <v>3.6833887159730253E-3</v>
      </c>
      <c r="AE684" s="10">
        <f>IFERROR(VLOOKUP(Summary!B684,'Pre-Summary'!$A$6:$P$184,7, FALSE)/100,AE685)</f>
        <v>0.221264232960907</v>
      </c>
      <c r="AF684" s="99">
        <f t="shared" si="31"/>
        <v>3.1265275689544509E-3</v>
      </c>
      <c r="AG684" s="99">
        <f t="shared" si="32"/>
        <v>0.18781311930937186</v>
      </c>
      <c r="AH684" s="10" t="str">
        <f>IFERROR(VLOOKUP(B684,'Pre-Summary'!$AZ$6:$BE$65,3,FALSE),"")</f>
        <v/>
      </c>
      <c r="AI684" s="10" t="str">
        <f>IFERROR(VLOOKUP(B684,'Pre-Summary'!$AZ$6:$BE$65,5,FALSE),"")</f>
        <v/>
      </c>
      <c r="AJ684" s="10" t="str">
        <f>IFERROR(VLOOKUP(B684,'Pre-Summary'!$AZ$6:$BE$65,4,FALSE),"")</f>
        <v/>
      </c>
      <c r="AK684" s="10" t="str">
        <f>IFERROR(VLOOKUP(B684,'Pre-Summary'!$AZ$6:$BE$65,6,FALSE),"")</f>
        <v/>
      </c>
      <c r="AL684" s="10" t="str">
        <f>IFERROR(VLOOKUP(B684,'Pre-Summary'!$BG$6:$BL$44,3,FALSE),"")</f>
        <v/>
      </c>
      <c r="AM684" s="10" t="str">
        <f>IFERROR(VLOOKUP(B684,'Pre-Summary'!$BG$6:$BL$44,4,FALSE),"")</f>
        <v/>
      </c>
    </row>
    <row r="685" spans="2:39" ht="15" customHeight="1" x14ac:dyDescent="0.3">
      <c r="B685">
        <v>68.2</v>
      </c>
      <c r="C685" t="str">
        <f>IFERROR(VLOOKUP(B685,'Pre-Summary'!$DI$6:$DM$23,4,FALSE),"")</f>
        <v/>
      </c>
      <c r="D685" s="10" t="str">
        <f>IFERROR(VLOOKUP(B685,'Pre-Summary'!$AT$6:$AX$14,5,FALSE),D684)</f>
        <v>DSMZ v2: Dropped Na-Ac out of DSMZ 120 media</v>
      </c>
      <c r="E685" s="10" t="str">
        <f>IFERROR(VLOOKUP(B685,'Pre-Summary'!$AT$6:$AX$15,4,FALSE),"")</f>
        <v/>
      </c>
      <c r="F685">
        <f>IFERROR(VLOOKUP(B685,'Pre-Summary'!$AL$6:$AQ$13,6,FALSE),F684)</f>
        <v>5.9405263157894746E-2</v>
      </c>
      <c r="G685" t="str">
        <f>IFERROR(VLOOKUP(B685,'Pre-Summary'!$AE$6:$AJ$85,3,FALSE),"")</f>
        <v/>
      </c>
      <c r="H685" t="str">
        <f>IFERROR(VLOOKUP(B685,'Pre-Summary'!$AE$6:$AJ$85,4,FALSE),"")</f>
        <v/>
      </c>
      <c r="I685" t="str">
        <f>IFERROR(VLOOKUP(B685,'Pre-Summary'!$AE$6:$AJ$85,5,FALSE),"")</f>
        <v/>
      </c>
      <c r="J685" s="45" t="str">
        <f>IFERROR(VLOOKUP(B685,'Pre-Summary'!$AE$6:$AJ$85,6, FALSE),"")</f>
        <v/>
      </c>
      <c r="K685" s="45" t="str">
        <f>IFERROR(VLOOKUP(B685,'Pre-Summary'!$DE$6:$DG$61,3,FALSE),"")</f>
        <v/>
      </c>
      <c r="L685" s="45" t="str">
        <f>IFERROR(VLOOKUP(B685,'Pre-Summary'!$CU$6:$CW$36,3,FALSE),"")</f>
        <v/>
      </c>
      <c r="M685" s="45" t="str">
        <f>IFERROR(VLOOKUP(B685,'Pre-Summary'!$BW$6:$BY$58,2,FALSE),"")</f>
        <v/>
      </c>
      <c r="N685" s="45" t="str">
        <f>IFERROR(VLOOKUP(B685,'Pre-Summary'!$CD$6:$CF$64,2,FALSE),"")</f>
        <v/>
      </c>
      <c r="O685" s="99">
        <f>IFERROR(VLOOKUP(B685,'Pre-Summary'!$BO$6:$BQ$48,3, FALSE),O684)</f>
        <v>0.98799999999999999</v>
      </c>
      <c r="P685" s="99">
        <f>IFERROR(VLOOKUP(B685,'Pre-Summary'!$BS$6:$BU$35,3,FALSE),P684)</f>
        <v>0.34399999999999997</v>
      </c>
      <c r="Q685" s="54">
        <f t="shared" si="30"/>
        <v>2.8720930232558142</v>
      </c>
      <c r="R685" s="53">
        <f>IFERROR(VLOOKUP(B685,'Pre-Summary'!$BG$6:$BM$44,7,FALSE),R686)</f>
        <v>7.5915763918363535E-2</v>
      </c>
      <c r="S685" s="53">
        <f>IFERROR(VLOOKUP(B685,'Pre-Summary'!$BG$6:$BM$44,6,FALSE),S686)</f>
        <v>5.2897473997019086E-2</v>
      </c>
      <c r="T685" s="45" t="str">
        <f>IFERROR(VLOOKUP(B685,'Pre-Summary'!$Y$6:$AC$83, 3,FALSE),"")</f>
        <v/>
      </c>
      <c r="U685" s="45" t="str">
        <f>IFERROR(VLOOKUP(B685,'Pre-Summary'!$Y$6:$AC$83, 4,FALSE),"")</f>
        <v/>
      </c>
      <c r="V685" t="str">
        <f>IFERROR(VLOOKUP(B685,'Pre-Summary'!$Y$6:$AC$83, 5,FALSE),"")</f>
        <v/>
      </c>
      <c r="W685" s="45" t="str">
        <f>IFERROR(VLOOKUP(B685,'Pre-Summary'!$Y$6:$AD$83,6,FALSE),"")</f>
        <v/>
      </c>
      <c r="X685" t="str">
        <f>IFERROR(VLOOKUP('Pre-Summary'!$DB$6:$DD$63,3,FALSE),"")</f>
        <v/>
      </c>
      <c r="Y685" t="str">
        <f>IFERROR(VLOOKUP(B685,'Pre-Summary'!$CR$6:$CT$36,3,FALSE),"")</f>
        <v/>
      </c>
      <c r="Z685" s="45" t="str">
        <f>IFERROR(VLOOKUP(B685,'Pre-Summary'!$BZ$6:$CB$63,2,FALSE),"")</f>
        <v/>
      </c>
      <c r="AA685" s="45" t="str">
        <f>IFERROR(VLOOKUP(B685,'Pre-Summary'!$CG$6:$CI$70,2,FALSE),"")</f>
        <v/>
      </c>
      <c r="AB685" s="99">
        <f>IFERROR(VLOOKUP(B685,'Pre-Summary'!$A$6:$P$178,9,FALSE),AB686)</f>
        <v>0.84881825135540423</v>
      </c>
      <c r="AC685" s="10">
        <f>IFERROR(VLOOKUP(Summary!B685,'Pre-Summary'!$A$6:$P$184,5, FALSE)/100,AC686)</f>
        <v>0.77505331832279212</v>
      </c>
      <c r="AD685" s="10">
        <f>IFERROR(VLOOKUP(Summary!B685,'Pre-Summary'!$A$6:$P$184,3, FALSE)/100,AD686)</f>
        <v>3.6833887159730253E-3</v>
      </c>
      <c r="AE685" s="10">
        <f>IFERROR(VLOOKUP(Summary!B685,'Pre-Summary'!$A$6:$P$184,7, FALSE)/100,AE686)</f>
        <v>0.221264232960907</v>
      </c>
      <c r="AF685" s="99">
        <f t="shared" si="31"/>
        <v>3.1265275689544509E-3</v>
      </c>
      <c r="AG685" s="99">
        <f t="shared" si="32"/>
        <v>0.18781311930937186</v>
      </c>
      <c r="AH685" s="10" t="str">
        <f>IFERROR(VLOOKUP(B685,'Pre-Summary'!$AZ$6:$BE$65,3,FALSE),"")</f>
        <v/>
      </c>
      <c r="AI685" s="10" t="str">
        <f>IFERROR(VLOOKUP(B685,'Pre-Summary'!$AZ$6:$BE$65,5,FALSE),"")</f>
        <v/>
      </c>
      <c r="AJ685" s="10" t="str">
        <f>IFERROR(VLOOKUP(B685,'Pre-Summary'!$AZ$6:$BE$65,4,FALSE),"")</f>
        <v/>
      </c>
      <c r="AK685" s="10" t="str">
        <f>IFERROR(VLOOKUP(B685,'Pre-Summary'!$AZ$6:$BE$65,6,FALSE),"")</f>
        <v/>
      </c>
      <c r="AL685" s="10" t="str">
        <f>IFERROR(VLOOKUP(B685,'Pre-Summary'!$BG$6:$BL$44,3,FALSE),"")</f>
        <v/>
      </c>
      <c r="AM685" s="10" t="str">
        <f>IFERROR(VLOOKUP(B685,'Pre-Summary'!$BG$6:$BL$44,4,FALSE),"")</f>
        <v/>
      </c>
    </row>
    <row r="686" spans="2:39" ht="15" customHeight="1" x14ac:dyDescent="0.3">
      <c r="B686">
        <v>68.3</v>
      </c>
      <c r="C686" t="str">
        <f>IFERROR(VLOOKUP(B686,'Pre-Summary'!$DI$6:$DM$23,4,FALSE),"")</f>
        <v/>
      </c>
      <c r="D686" s="10" t="str">
        <f>IFERROR(VLOOKUP(B686,'Pre-Summary'!$AT$6:$AX$14,5,FALSE),D685)</f>
        <v>DSMZ v2: Dropped Na-Ac out of DSMZ 120 media</v>
      </c>
      <c r="E686" s="10" t="str">
        <f>IFERROR(VLOOKUP(B686,'Pre-Summary'!$AT$6:$AX$15,4,FALSE),"")</f>
        <v/>
      </c>
      <c r="F686">
        <f>IFERROR(VLOOKUP(B686,'Pre-Summary'!$AL$6:$AQ$13,6,FALSE),F685)</f>
        <v>5.9405263157894746E-2</v>
      </c>
      <c r="G686" t="str">
        <f>IFERROR(VLOOKUP(B686,'Pre-Summary'!$AE$6:$AJ$85,3,FALSE),"")</f>
        <v/>
      </c>
      <c r="H686" t="str">
        <f>IFERROR(VLOOKUP(B686,'Pre-Summary'!$AE$6:$AJ$85,4,FALSE),"")</f>
        <v/>
      </c>
      <c r="I686" t="str">
        <f>IFERROR(VLOOKUP(B686,'Pre-Summary'!$AE$6:$AJ$85,5,FALSE),"")</f>
        <v/>
      </c>
      <c r="J686" s="45" t="str">
        <f>IFERROR(VLOOKUP(B686,'Pre-Summary'!$AE$6:$AJ$85,6, FALSE),"")</f>
        <v/>
      </c>
      <c r="K686" s="45" t="str">
        <f>IFERROR(VLOOKUP(B686,'Pre-Summary'!$DE$6:$DG$61,3,FALSE),"")</f>
        <v/>
      </c>
      <c r="L686" s="45" t="str">
        <f>IFERROR(VLOOKUP(B686,'Pre-Summary'!$CU$6:$CW$36,3,FALSE),"")</f>
        <v/>
      </c>
      <c r="M686" s="45" t="str">
        <f>IFERROR(VLOOKUP(B686,'Pre-Summary'!$BW$6:$BY$58,2,FALSE),"")</f>
        <v/>
      </c>
      <c r="N686" s="45" t="str">
        <f>IFERROR(VLOOKUP(B686,'Pre-Summary'!$CD$6:$CF$64,2,FALSE),"")</f>
        <v/>
      </c>
      <c r="O686" s="99">
        <f>IFERROR(VLOOKUP(B686,'Pre-Summary'!$BO$6:$BQ$48,3, FALSE),O685)</f>
        <v>0.98799999999999999</v>
      </c>
      <c r="P686" s="99">
        <f>IFERROR(VLOOKUP(B686,'Pre-Summary'!$BS$6:$BU$35,3,FALSE),P685)</f>
        <v>0.34399999999999997</v>
      </c>
      <c r="Q686" s="54">
        <f t="shared" si="30"/>
        <v>2.8720930232558142</v>
      </c>
      <c r="R686" s="53">
        <f>IFERROR(VLOOKUP(B686,'Pre-Summary'!$BG$6:$BM$44,7,FALSE),R687)</f>
        <v>7.5915763918363535E-2</v>
      </c>
      <c r="S686" s="53">
        <f>IFERROR(VLOOKUP(B686,'Pre-Summary'!$BG$6:$BM$44,6,FALSE),S687)</f>
        <v>5.2897473997019086E-2</v>
      </c>
      <c r="T686" s="45" t="str">
        <f>IFERROR(VLOOKUP(B686,'Pre-Summary'!$Y$6:$AC$83, 3,FALSE),"")</f>
        <v/>
      </c>
      <c r="U686" s="45" t="str">
        <f>IFERROR(VLOOKUP(B686,'Pre-Summary'!$Y$6:$AC$83, 4,FALSE),"")</f>
        <v/>
      </c>
      <c r="V686" t="str">
        <f>IFERROR(VLOOKUP(B686,'Pre-Summary'!$Y$6:$AC$83, 5,FALSE),"")</f>
        <v/>
      </c>
      <c r="W686" s="45" t="str">
        <f>IFERROR(VLOOKUP(B686,'Pre-Summary'!$Y$6:$AD$83,6,FALSE),"")</f>
        <v/>
      </c>
      <c r="X686" t="str">
        <f>IFERROR(VLOOKUP('Pre-Summary'!$DB$6:$DD$63,3,FALSE),"")</f>
        <v/>
      </c>
      <c r="Y686" t="str">
        <f>IFERROR(VLOOKUP(B686,'Pre-Summary'!$CR$6:$CT$36,3,FALSE),"")</f>
        <v/>
      </c>
      <c r="Z686" s="45" t="str">
        <f>IFERROR(VLOOKUP(B686,'Pre-Summary'!$BZ$6:$CB$63,2,FALSE),"")</f>
        <v/>
      </c>
      <c r="AA686" s="45" t="str">
        <f>IFERROR(VLOOKUP(B686,'Pre-Summary'!$CG$6:$CI$70,2,FALSE),"")</f>
        <v/>
      </c>
      <c r="AB686" s="99">
        <f>IFERROR(VLOOKUP(B686,'Pre-Summary'!$A$6:$P$178,9,FALSE),AB687)</f>
        <v>0.84881825135540423</v>
      </c>
      <c r="AC686" s="10">
        <f>IFERROR(VLOOKUP(Summary!B686,'Pre-Summary'!$A$6:$P$184,5, FALSE)/100,AC687)</f>
        <v>0.77505331832279212</v>
      </c>
      <c r="AD686" s="10">
        <f>IFERROR(VLOOKUP(Summary!B686,'Pre-Summary'!$A$6:$P$184,3, FALSE)/100,AD687)</f>
        <v>3.6833887159730253E-3</v>
      </c>
      <c r="AE686" s="10">
        <f>IFERROR(VLOOKUP(Summary!B686,'Pre-Summary'!$A$6:$P$184,7, FALSE)/100,AE687)</f>
        <v>0.221264232960907</v>
      </c>
      <c r="AF686" s="99">
        <f t="shared" si="31"/>
        <v>3.1265275689544509E-3</v>
      </c>
      <c r="AG686" s="99">
        <f t="shared" si="32"/>
        <v>0.18781311930937186</v>
      </c>
      <c r="AH686" s="10" t="str">
        <f>IFERROR(VLOOKUP(B686,'Pre-Summary'!$AZ$6:$BE$65,3,FALSE),"")</f>
        <v/>
      </c>
      <c r="AI686" s="10" t="str">
        <f>IFERROR(VLOOKUP(B686,'Pre-Summary'!$AZ$6:$BE$65,5,FALSE),"")</f>
        <v/>
      </c>
      <c r="AJ686" s="10" t="str">
        <f>IFERROR(VLOOKUP(B686,'Pre-Summary'!$AZ$6:$BE$65,4,FALSE),"")</f>
        <v/>
      </c>
      <c r="AK686" s="10" t="str">
        <f>IFERROR(VLOOKUP(B686,'Pre-Summary'!$AZ$6:$BE$65,6,FALSE),"")</f>
        <v/>
      </c>
      <c r="AL686" s="10" t="str">
        <f>IFERROR(VLOOKUP(B686,'Pre-Summary'!$BG$6:$BL$44,3,FALSE),"")</f>
        <v/>
      </c>
      <c r="AM686" s="10" t="str">
        <f>IFERROR(VLOOKUP(B686,'Pre-Summary'!$BG$6:$BL$44,4,FALSE),"")</f>
        <v/>
      </c>
    </row>
    <row r="687" spans="2:39" ht="15" customHeight="1" x14ac:dyDescent="0.3">
      <c r="B687">
        <v>68.400000000000006</v>
      </c>
      <c r="C687" t="str">
        <f>IFERROR(VLOOKUP(B687,'Pre-Summary'!$DI$6:$DM$23,4,FALSE),"")</f>
        <v/>
      </c>
      <c r="D687" s="10" t="str">
        <f>IFERROR(VLOOKUP(B687,'Pre-Summary'!$AT$6:$AX$14,5,FALSE),D686)</f>
        <v>DSMZ v2: Dropped Na-Ac out of DSMZ 120 media</v>
      </c>
      <c r="E687" s="10" t="str">
        <f>IFERROR(VLOOKUP(B687,'Pre-Summary'!$AT$6:$AX$15,4,FALSE),"")</f>
        <v/>
      </c>
      <c r="F687">
        <f>IFERROR(VLOOKUP(B687,'Pre-Summary'!$AL$6:$AQ$13,6,FALSE),F686)</f>
        <v>5.9405263157894746E-2</v>
      </c>
      <c r="G687" t="str">
        <f>IFERROR(VLOOKUP(B687,'Pre-Summary'!$AE$6:$AJ$85,3,FALSE),"")</f>
        <v/>
      </c>
      <c r="H687" t="str">
        <f>IFERROR(VLOOKUP(B687,'Pre-Summary'!$AE$6:$AJ$85,4,FALSE),"")</f>
        <v/>
      </c>
      <c r="I687" t="str">
        <f>IFERROR(VLOOKUP(B687,'Pre-Summary'!$AE$6:$AJ$85,5,FALSE),"")</f>
        <v/>
      </c>
      <c r="J687" s="45" t="str">
        <f>IFERROR(VLOOKUP(B687,'Pre-Summary'!$AE$6:$AJ$85,6, FALSE),"")</f>
        <v/>
      </c>
      <c r="K687" s="45" t="str">
        <f>IFERROR(VLOOKUP(B687,'Pre-Summary'!$DE$6:$DG$61,3,FALSE),"")</f>
        <v/>
      </c>
      <c r="L687" s="45" t="str">
        <f>IFERROR(VLOOKUP(B687,'Pre-Summary'!$CU$6:$CW$36,3,FALSE),"")</f>
        <v/>
      </c>
      <c r="M687" s="45" t="str">
        <f>IFERROR(VLOOKUP(B687,'Pre-Summary'!$BW$6:$BY$58,2,FALSE),"")</f>
        <v/>
      </c>
      <c r="N687" s="45" t="str">
        <f>IFERROR(VLOOKUP(B687,'Pre-Summary'!$CD$6:$CF$64,2,FALSE),"")</f>
        <v/>
      </c>
      <c r="O687" s="99">
        <f>IFERROR(VLOOKUP(B687,'Pre-Summary'!$BO$6:$BQ$48,3, FALSE),O686)</f>
        <v>0.98799999999999999</v>
      </c>
      <c r="P687" s="99">
        <f>IFERROR(VLOOKUP(B687,'Pre-Summary'!$BS$6:$BU$35,3,FALSE),P686)</f>
        <v>0.34399999999999997</v>
      </c>
      <c r="Q687" s="54">
        <f t="shared" si="30"/>
        <v>2.8720930232558142</v>
      </c>
      <c r="R687" s="53">
        <f>IFERROR(VLOOKUP(B687,'Pre-Summary'!$BG$6:$BM$44,7,FALSE),R688)</f>
        <v>7.5915763918363535E-2</v>
      </c>
      <c r="S687" s="53">
        <f>IFERROR(VLOOKUP(B687,'Pre-Summary'!$BG$6:$BM$44,6,FALSE),S688)</f>
        <v>5.2897473997019086E-2</v>
      </c>
      <c r="T687" s="45" t="str">
        <f>IFERROR(VLOOKUP(B687,'Pre-Summary'!$Y$6:$AC$83, 3,FALSE),"")</f>
        <v/>
      </c>
      <c r="U687" s="45" t="str">
        <f>IFERROR(VLOOKUP(B687,'Pre-Summary'!$Y$6:$AC$83, 4,FALSE),"")</f>
        <v/>
      </c>
      <c r="V687" t="str">
        <f>IFERROR(VLOOKUP(B687,'Pre-Summary'!$Y$6:$AC$83, 5,FALSE),"")</f>
        <v/>
      </c>
      <c r="W687" s="45" t="str">
        <f>IFERROR(VLOOKUP(B687,'Pre-Summary'!$Y$6:$AD$83,6,FALSE),"")</f>
        <v/>
      </c>
      <c r="X687" t="str">
        <f>IFERROR(VLOOKUP('Pre-Summary'!$DB$6:$DD$63,3,FALSE),"")</f>
        <v/>
      </c>
      <c r="Y687" t="str">
        <f>IFERROR(VLOOKUP(B687,'Pre-Summary'!$CR$6:$CT$36,3,FALSE),"")</f>
        <v/>
      </c>
      <c r="Z687" s="45" t="str">
        <f>IFERROR(VLOOKUP(B687,'Pre-Summary'!$BZ$6:$CB$63,2,FALSE),"")</f>
        <v/>
      </c>
      <c r="AA687" s="45" t="str">
        <f>IFERROR(VLOOKUP(B687,'Pre-Summary'!$CG$6:$CI$70,2,FALSE),"")</f>
        <v/>
      </c>
      <c r="AB687" s="99">
        <f>IFERROR(VLOOKUP(B687,'Pre-Summary'!$A$6:$P$178,9,FALSE),AB688)</f>
        <v>0.84881825135540423</v>
      </c>
      <c r="AC687" s="10">
        <f>IFERROR(VLOOKUP(Summary!B687,'Pre-Summary'!$A$6:$P$184,5, FALSE)/100,AC688)</f>
        <v>0.77505331832279212</v>
      </c>
      <c r="AD687" s="10">
        <f>IFERROR(VLOOKUP(Summary!B687,'Pre-Summary'!$A$6:$P$184,3, FALSE)/100,AD688)</f>
        <v>3.6833887159730253E-3</v>
      </c>
      <c r="AE687" s="10">
        <f>IFERROR(VLOOKUP(Summary!B687,'Pre-Summary'!$A$6:$P$184,7, FALSE)/100,AE688)</f>
        <v>0.221264232960907</v>
      </c>
      <c r="AF687" s="99">
        <f t="shared" si="31"/>
        <v>3.1265275689544509E-3</v>
      </c>
      <c r="AG687" s="99">
        <f t="shared" si="32"/>
        <v>0.18781311930937186</v>
      </c>
      <c r="AH687" s="10" t="str">
        <f>IFERROR(VLOOKUP(B687,'Pre-Summary'!$AZ$6:$BE$65,3,FALSE),"")</f>
        <v/>
      </c>
      <c r="AI687" s="10" t="str">
        <f>IFERROR(VLOOKUP(B687,'Pre-Summary'!$AZ$6:$BE$65,5,FALSE),"")</f>
        <v/>
      </c>
      <c r="AJ687" s="10" t="str">
        <f>IFERROR(VLOOKUP(B687,'Pre-Summary'!$AZ$6:$BE$65,4,FALSE),"")</f>
        <v/>
      </c>
      <c r="AK687" s="10" t="str">
        <f>IFERROR(VLOOKUP(B687,'Pre-Summary'!$AZ$6:$BE$65,6,FALSE),"")</f>
        <v/>
      </c>
      <c r="AL687" s="10" t="str">
        <f>IFERROR(VLOOKUP(B687,'Pre-Summary'!$BG$6:$BL$44,3,FALSE),"")</f>
        <v/>
      </c>
      <c r="AM687" s="10" t="str">
        <f>IFERROR(VLOOKUP(B687,'Pre-Summary'!$BG$6:$BL$44,4,FALSE),"")</f>
        <v/>
      </c>
    </row>
    <row r="688" spans="2:39" ht="15" customHeight="1" x14ac:dyDescent="0.3">
      <c r="B688">
        <v>68.5</v>
      </c>
      <c r="C688" t="str">
        <f>IFERROR(VLOOKUP(B688,'Pre-Summary'!$DI$6:$DM$23,4,FALSE),"")</f>
        <v>C3</v>
      </c>
      <c r="D688" s="10" t="str">
        <f>IFERROR(VLOOKUP(B688,'Pre-Summary'!$AT$6:$AX$14,5,FALSE),D687)</f>
        <v>DSMZ v2: Dropped Na-Ac out of DSMZ 120 media</v>
      </c>
      <c r="E688" s="10" t="str">
        <f>IFERROR(VLOOKUP(B688,'Pre-Summary'!$AT$6:$AX$15,4,FALSE),"")</f>
        <v/>
      </c>
      <c r="F688">
        <f>IFERROR(VLOOKUP(B688,'Pre-Summary'!$AL$6:$AQ$13,6,FALSE),F687)</f>
        <v>5.9405263157894746E-2</v>
      </c>
      <c r="G688" t="str">
        <f>IFERROR(VLOOKUP(B688,'Pre-Summary'!$AE$6:$AJ$85,3,FALSE),"")</f>
        <v/>
      </c>
      <c r="H688" t="str">
        <f>IFERROR(VLOOKUP(B688,'Pre-Summary'!$AE$6:$AJ$85,4,FALSE),"")</f>
        <v/>
      </c>
      <c r="I688" t="str">
        <f>IFERROR(VLOOKUP(B688,'Pre-Summary'!$AE$6:$AJ$85,5,FALSE),"")</f>
        <v/>
      </c>
      <c r="J688" s="45" t="str">
        <f>IFERROR(VLOOKUP(B688,'Pre-Summary'!$AE$6:$AJ$85,6, FALSE),"")</f>
        <v/>
      </c>
      <c r="K688" s="45" t="str">
        <f>IFERROR(VLOOKUP(B688,'Pre-Summary'!$DE$6:$DG$61,3,FALSE),"")</f>
        <v/>
      </c>
      <c r="L688" s="45" t="str">
        <f>IFERROR(VLOOKUP(B688,'Pre-Summary'!$CU$6:$CW$36,3,FALSE),"")</f>
        <v/>
      </c>
      <c r="M688" s="45" t="str">
        <f>IFERROR(VLOOKUP(B688,'Pre-Summary'!$BW$6:$BY$58,2,FALSE),"")</f>
        <v/>
      </c>
      <c r="N688" s="45" t="str">
        <f>IFERROR(VLOOKUP(B688,'Pre-Summary'!$CD$6:$CF$64,2,FALSE),"")</f>
        <v/>
      </c>
      <c r="O688" s="99">
        <f>IFERROR(VLOOKUP(B688,'Pre-Summary'!$BO$6:$BQ$48,3, FALSE),O687)</f>
        <v>0.98799999999999999</v>
      </c>
      <c r="P688" s="99">
        <f>IFERROR(VLOOKUP(B688,'Pre-Summary'!$BS$6:$BU$35,3,FALSE),P687)</f>
        <v>0.34399999999999997</v>
      </c>
      <c r="Q688" s="54">
        <f t="shared" si="30"/>
        <v>2.8720930232558142</v>
      </c>
      <c r="R688" s="53">
        <f>IFERROR(VLOOKUP(B688,'Pre-Summary'!$BG$6:$BM$44,7,FALSE),R689)</f>
        <v>7.5915763918363535E-2</v>
      </c>
      <c r="S688" s="53">
        <f>IFERROR(VLOOKUP(B688,'Pre-Summary'!$BG$6:$BM$44,6,FALSE),S689)</f>
        <v>5.2897473997019086E-2</v>
      </c>
      <c r="T688" s="45" t="str">
        <f>IFERROR(VLOOKUP(B688,'Pre-Summary'!$Y$6:$AC$83, 3,FALSE),"")</f>
        <v/>
      </c>
      <c r="U688" s="45" t="str">
        <f>IFERROR(VLOOKUP(B688,'Pre-Summary'!$Y$6:$AC$83, 4,FALSE),"")</f>
        <v/>
      </c>
      <c r="V688" t="str">
        <f>IFERROR(VLOOKUP(B688,'Pre-Summary'!$Y$6:$AC$83, 5,FALSE),"")</f>
        <v/>
      </c>
      <c r="W688" s="45" t="str">
        <f>IFERROR(VLOOKUP(B688,'Pre-Summary'!$Y$6:$AD$83,6,FALSE),"")</f>
        <v/>
      </c>
      <c r="X688" t="str">
        <f>IFERROR(VLOOKUP('Pre-Summary'!$DB$6:$DD$63,3,FALSE),"")</f>
        <v/>
      </c>
      <c r="Y688" t="str">
        <f>IFERROR(VLOOKUP(B688,'Pre-Summary'!$CR$6:$CT$36,3,FALSE),"")</f>
        <v/>
      </c>
      <c r="Z688" s="45" t="str">
        <f>IFERROR(VLOOKUP(B688,'Pre-Summary'!$BZ$6:$CB$63,2,FALSE),"")</f>
        <v/>
      </c>
      <c r="AA688" s="45" t="str">
        <f>IFERROR(VLOOKUP(B688,'Pre-Summary'!$CG$6:$CI$70,2,FALSE),"")</f>
        <v/>
      </c>
      <c r="AB688" s="99">
        <f>IFERROR(VLOOKUP(B688,'Pre-Summary'!$A$6:$P$178,9,FALSE),AB689)</f>
        <v>0.84881825135540423</v>
      </c>
      <c r="AC688" s="10">
        <f>IFERROR(VLOOKUP(Summary!B688,'Pre-Summary'!$A$6:$P$184,5, FALSE)/100,AC689)</f>
        <v>0.77505331832279212</v>
      </c>
      <c r="AD688" s="10">
        <f>IFERROR(VLOOKUP(Summary!B688,'Pre-Summary'!$A$6:$P$184,3, FALSE)/100,AD689)</f>
        <v>3.6833887159730253E-3</v>
      </c>
      <c r="AE688" s="10">
        <f>IFERROR(VLOOKUP(Summary!B688,'Pre-Summary'!$A$6:$P$184,7, FALSE)/100,AE689)</f>
        <v>0.221264232960907</v>
      </c>
      <c r="AF688" s="99">
        <f t="shared" si="31"/>
        <v>3.1265275689544509E-3</v>
      </c>
      <c r="AG688" s="99">
        <f t="shared" si="32"/>
        <v>0.18781311930937186</v>
      </c>
      <c r="AH688" s="10" t="str">
        <f>IFERROR(VLOOKUP(B688,'Pre-Summary'!$AZ$6:$BE$65,3,FALSE),"")</f>
        <v/>
      </c>
      <c r="AI688" s="10" t="str">
        <f>IFERROR(VLOOKUP(B688,'Pre-Summary'!$AZ$6:$BE$65,5,FALSE),"")</f>
        <v/>
      </c>
      <c r="AJ688" s="10" t="str">
        <f>IFERROR(VLOOKUP(B688,'Pre-Summary'!$AZ$6:$BE$65,4,FALSE),"")</f>
        <v/>
      </c>
      <c r="AK688" s="10" t="str">
        <f>IFERROR(VLOOKUP(B688,'Pre-Summary'!$AZ$6:$BE$65,6,FALSE),"")</f>
        <v/>
      </c>
      <c r="AL688" s="10" t="str">
        <f>IFERROR(VLOOKUP(B688,'Pre-Summary'!$BG$6:$BL$44,3,FALSE),"")</f>
        <v/>
      </c>
      <c r="AM688" s="10" t="str">
        <f>IFERROR(VLOOKUP(B688,'Pre-Summary'!$BG$6:$BL$44,4,FALSE),"")</f>
        <v/>
      </c>
    </row>
    <row r="689" spans="2:39" ht="15" customHeight="1" x14ac:dyDescent="0.3">
      <c r="B689">
        <v>68.599999999999994</v>
      </c>
      <c r="C689" t="str">
        <f>IFERROR(VLOOKUP(B689,'Pre-Summary'!$DI$6:$DM$23,4,FALSE),"")</f>
        <v/>
      </c>
      <c r="D689" s="10" t="str">
        <f>IFERROR(VLOOKUP(B689,'Pre-Summary'!$AT$6:$AX$14,5,FALSE),D688)</f>
        <v>DSMZ v2: Dropped Na-Ac out of DSMZ 120 media</v>
      </c>
      <c r="E689" s="10" t="str">
        <f>IFERROR(VLOOKUP(B689,'Pre-Summary'!$AT$6:$AX$15,4,FALSE),"")</f>
        <v/>
      </c>
      <c r="F689">
        <f>IFERROR(VLOOKUP(B689,'Pre-Summary'!$AL$6:$AQ$13,6,FALSE),F688)</f>
        <v>5.9405263157894746E-2</v>
      </c>
      <c r="G689" t="str">
        <f>IFERROR(VLOOKUP(B689,'Pre-Summary'!$AE$6:$AJ$85,3,FALSE),"")</f>
        <v/>
      </c>
      <c r="H689" t="str">
        <f>IFERROR(VLOOKUP(B689,'Pre-Summary'!$AE$6:$AJ$85,4,FALSE),"")</f>
        <v/>
      </c>
      <c r="I689" t="str">
        <f>IFERROR(VLOOKUP(B689,'Pre-Summary'!$AE$6:$AJ$85,5,FALSE),"")</f>
        <v/>
      </c>
      <c r="J689" s="45" t="str">
        <f>IFERROR(VLOOKUP(B689,'Pre-Summary'!$AE$6:$AJ$85,6, FALSE),"")</f>
        <v/>
      </c>
      <c r="K689" s="45" t="str">
        <f>IFERROR(VLOOKUP(B689,'Pre-Summary'!$DE$6:$DG$61,3,FALSE),"")</f>
        <v/>
      </c>
      <c r="L689" s="45" t="str">
        <f>IFERROR(VLOOKUP(B689,'Pre-Summary'!$CU$6:$CW$36,3,FALSE),"")</f>
        <v/>
      </c>
      <c r="M689" s="45" t="str">
        <f>IFERROR(VLOOKUP(B689,'Pre-Summary'!$BW$6:$BY$58,2,FALSE),"")</f>
        <v/>
      </c>
      <c r="N689" s="45" t="str">
        <f>IFERROR(VLOOKUP(B689,'Pre-Summary'!$CD$6:$CF$64,2,FALSE),"")</f>
        <v/>
      </c>
      <c r="O689" s="99">
        <f>IFERROR(VLOOKUP(B689,'Pre-Summary'!$BO$6:$BQ$48,3, FALSE),O688)</f>
        <v>0.98799999999999999</v>
      </c>
      <c r="P689" s="99">
        <f>IFERROR(VLOOKUP(B689,'Pre-Summary'!$BS$6:$BU$35,3,FALSE),P688)</f>
        <v>0.34399999999999997</v>
      </c>
      <c r="Q689" s="54">
        <f t="shared" si="30"/>
        <v>2.8720930232558142</v>
      </c>
      <c r="R689" s="53">
        <f>IFERROR(VLOOKUP(B689,'Pre-Summary'!$BG$6:$BM$44,7,FALSE),R690)</f>
        <v>7.5915763918363535E-2</v>
      </c>
      <c r="S689" s="53">
        <f>IFERROR(VLOOKUP(B689,'Pre-Summary'!$BG$6:$BM$44,6,FALSE),S690)</f>
        <v>5.2897473997019086E-2</v>
      </c>
      <c r="T689" s="45" t="str">
        <f>IFERROR(VLOOKUP(B689,'Pre-Summary'!$Y$6:$AC$83, 3,FALSE),"")</f>
        <v/>
      </c>
      <c r="U689" s="45" t="str">
        <f>IFERROR(VLOOKUP(B689,'Pre-Summary'!$Y$6:$AC$83, 4,FALSE),"")</f>
        <v/>
      </c>
      <c r="V689" t="str">
        <f>IFERROR(VLOOKUP(B689,'Pre-Summary'!$Y$6:$AC$83, 5,FALSE),"")</f>
        <v/>
      </c>
      <c r="W689" s="45" t="str">
        <f>IFERROR(VLOOKUP(B689,'Pre-Summary'!$Y$6:$AD$83,6,FALSE),"")</f>
        <v/>
      </c>
      <c r="X689" t="str">
        <f>IFERROR(VLOOKUP('Pre-Summary'!$DB$6:$DD$63,3,FALSE),"")</f>
        <v/>
      </c>
      <c r="Y689" t="str">
        <f>IFERROR(VLOOKUP(B689,'Pre-Summary'!$CR$6:$CT$36,3,FALSE),"")</f>
        <v/>
      </c>
      <c r="Z689" s="45" t="str">
        <f>IFERROR(VLOOKUP(B689,'Pre-Summary'!$BZ$6:$CB$63,2,FALSE),"")</f>
        <v/>
      </c>
      <c r="AA689" s="45" t="str">
        <f>IFERROR(VLOOKUP(B689,'Pre-Summary'!$CG$6:$CI$70,2,FALSE),"")</f>
        <v/>
      </c>
      <c r="AB689" s="99">
        <f>IFERROR(VLOOKUP(B689,'Pre-Summary'!$A$6:$P$178,9,FALSE),AB690)</f>
        <v>0.84881825135540423</v>
      </c>
      <c r="AC689" s="10">
        <f>IFERROR(VLOOKUP(Summary!B689,'Pre-Summary'!$A$6:$P$184,5, FALSE)/100,AC690)</f>
        <v>0.77505331832279212</v>
      </c>
      <c r="AD689" s="10">
        <f>IFERROR(VLOOKUP(Summary!B689,'Pre-Summary'!$A$6:$P$184,3, FALSE)/100,AD690)</f>
        <v>3.6833887159730253E-3</v>
      </c>
      <c r="AE689" s="10">
        <f>IFERROR(VLOOKUP(Summary!B689,'Pre-Summary'!$A$6:$P$184,7, FALSE)/100,AE690)</f>
        <v>0.221264232960907</v>
      </c>
      <c r="AF689" s="99">
        <f t="shared" si="31"/>
        <v>3.1265275689544509E-3</v>
      </c>
      <c r="AG689" s="99">
        <f t="shared" si="32"/>
        <v>0.18781311930937186</v>
      </c>
      <c r="AH689" s="10" t="str">
        <f>IFERROR(VLOOKUP(B689,'Pre-Summary'!$AZ$6:$BE$65,3,FALSE),"")</f>
        <v/>
      </c>
      <c r="AI689" s="10" t="str">
        <f>IFERROR(VLOOKUP(B689,'Pre-Summary'!$AZ$6:$BE$65,5,FALSE),"")</f>
        <v/>
      </c>
      <c r="AJ689" s="10" t="str">
        <f>IFERROR(VLOOKUP(B689,'Pre-Summary'!$AZ$6:$BE$65,4,FALSE),"")</f>
        <v/>
      </c>
      <c r="AK689" s="10" t="str">
        <f>IFERROR(VLOOKUP(B689,'Pre-Summary'!$AZ$6:$BE$65,6,FALSE),"")</f>
        <v/>
      </c>
      <c r="AL689" s="10" t="str">
        <f>IFERROR(VLOOKUP(B689,'Pre-Summary'!$BG$6:$BL$44,3,FALSE),"")</f>
        <v/>
      </c>
      <c r="AM689" s="10" t="str">
        <f>IFERROR(VLOOKUP(B689,'Pre-Summary'!$BG$6:$BL$44,4,FALSE),"")</f>
        <v/>
      </c>
    </row>
    <row r="690" spans="2:39" ht="15" customHeight="1" x14ac:dyDescent="0.3">
      <c r="B690">
        <v>68.7</v>
      </c>
      <c r="C690" t="str">
        <f>IFERROR(VLOOKUP(B690,'Pre-Summary'!$DI$6:$DM$23,4,FALSE),"")</f>
        <v/>
      </c>
      <c r="D690" s="10" t="str">
        <f>IFERROR(VLOOKUP(B690,'Pre-Summary'!$AT$6:$AX$14,5,FALSE),D689)</f>
        <v>DSMZ v2: Dropped Na-Ac out of DSMZ 120 media</v>
      </c>
      <c r="E690" s="10" t="str">
        <f>IFERROR(VLOOKUP(B690,'Pre-Summary'!$AT$6:$AX$15,4,FALSE),"")</f>
        <v/>
      </c>
      <c r="F690">
        <f>IFERROR(VLOOKUP(B690,'Pre-Summary'!$AL$6:$AQ$13,6,FALSE),F689)</f>
        <v>5.9405263157894746E-2</v>
      </c>
      <c r="G690" t="str">
        <f>IFERROR(VLOOKUP(B690,'Pre-Summary'!$AE$6:$AJ$85,3,FALSE),"")</f>
        <v/>
      </c>
      <c r="H690" t="str">
        <f>IFERROR(VLOOKUP(B690,'Pre-Summary'!$AE$6:$AJ$85,4,FALSE),"")</f>
        <v/>
      </c>
      <c r="I690" t="str">
        <f>IFERROR(VLOOKUP(B690,'Pre-Summary'!$AE$6:$AJ$85,5,FALSE),"")</f>
        <v/>
      </c>
      <c r="J690" s="45" t="str">
        <f>IFERROR(VLOOKUP(B690,'Pre-Summary'!$AE$6:$AJ$85,6, FALSE),"")</f>
        <v/>
      </c>
      <c r="K690" s="45" t="str">
        <f>IFERROR(VLOOKUP(B690,'Pre-Summary'!$DE$6:$DG$61,3,FALSE),"")</f>
        <v/>
      </c>
      <c r="L690" s="45" t="str">
        <f>IFERROR(VLOOKUP(B690,'Pre-Summary'!$CU$6:$CW$36,3,FALSE),"")</f>
        <v/>
      </c>
      <c r="M690" s="45" t="str">
        <f>IFERROR(VLOOKUP(B690,'Pre-Summary'!$BW$6:$BY$58,2,FALSE),"")</f>
        <v/>
      </c>
      <c r="N690" s="45" t="str">
        <f>IFERROR(VLOOKUP(B690,'Pre-Summary'!$CD$6:$CF$64,2,FALSE),"")</f>
        <v/>
      </c>
      <c r="O690" s="99">
        <f>IFERROR(VLOOKUP(B690,'Pre-Summary'!$BO$6:$BQ$48,3, FALSE),O689)</f>
        <v>0.98799999999999999</v>
      </c>
      <c r="P690" s="99">
        <f>IFERROR(VLOOKUP(B690,'Pre-Summary'!$BS$6:$BU$35,3,FALSE),P689)</f>
        <v>0.34399999999999997</v>
      </c>
      <c r="Q690" s="54">
        <f t="shared" si="30"/>
        <v>2.8720930232558142</v>
      </c>
      <c r="R690" s="53">
        <f>IFERROR(VLOOKUP(B690,'Pre-Summary'!$BG$6:$BM$44,7,FALSE),R691)</f>
        <v>7.5915763918363535E-2</v>
      </c>
      <c r="S690" s="53">
        <f>IFERROR(VLOOKUP(B690,'Pre-Summary'!$BG$6:$BM$44,6,FALSE),S691)</f>
        <v>5.2897473997019086E-2</v>
      </c>
      <c r="T690" s="45" t="str">
        <f>IFERROR(VLOOKUP(B690,'Pre-Summary'!$Y$6:$AC$83, 3,FALSE),"")</f>
        <v/>
      </c>
      <c r="U690" s="45" t="str">
        <f>IFERROR(VLOOKUP(B690,'Pre-Summary'!$Y$6:$AC$83, 4,FALSE),"")</f>
        <v/>
      </c>
      <c r="V690" t="str">
        <f>IFERROR(VLOOKUP(B690,'Pre-Summary'!$Y$6:$AC$83, 5,FALSE),"")</f>
        <v/>
      </c>
      <c r="W690" s="45" t="str">
        <f>IFERROR(VLOOKUP(B690,'Pre-Summary'!$Y$6:$AD$83,6,FALSE),"")</f>
        <v/>
      </c>
      <c r="X690" t="str">
        <f>IFERROR(VLOOKUP('Pre-Summary'!$DB$6:$DD$63,3,FALSE),"")</f>
        <v/>
      </c>
      <c r="Y690" t="str">
        <f>IFERROR(VLOOKUP(B690,'Pre-Summary'!$CR$6:$CT$36,3,FALSE),"")</f>
        <v/>
      </c>
      <c r="Z690" s="45" t="str">
        <f>IFERROR(VLOOKUP(B690,'Pre-Summary'!$BZ$6:$CB$63,2,FALSE),"")</f>
        <v/>
      </c>
      <c r="AA690" s="45" t="str">
        <f>IFERROR(VLOOKUP(B690,'Pre-Summary'!$CG$6:$CI$70,2,FALSE),"")</f>
        <v/>
      </c>
      <c r="AB690" s="99">
        <f>IFERROR(VLOOKUP(B690,'Pre-Summary'!$A$6:$P$178,9,FALSE),AB691)</f>
        <v>0.84881825135540423</v>
      </c>
      <c r="AC690" s="10">
        <f>IFERROR(VLOOKUP(Summary!B690,'Pre-Summary'!$A$6:$P$184,5, FALSE)/100,AC691)</f>
        <v>0.77505331832279212</v>
      </c>
      <c r="AD690" s="10">
        <f>IFERROR(VLOOKUP(Summary!B690,'Pre-Summary'!$A$6:$P$184,3, FALSE)/100,AD691)</f>
        <v>3.6833887159730253E-3</v>
      </c>
      <c r="AE690" s="10">
        <f>IFERROR(VLOOKUP(Summary!B690,'Pre-Summary'!$A$6:$P$184,7, FALSE)/100,AE691)</f>
        <v>0.221264232960907</v>
      </c>
      <c r="AF690" s="99">
        <f t="shared" si="31"/>
        <v>3.1265275689544509E-3</v>
      </c>
      <c r="AG690" s="99">
        <f t="shared" si="32"/>
        <v>0.18781311930937186</v>
      </c>
      <c r="AH690" s="10" t="str">
        <f>IFERROR(VLOOKUP(B690,'Pre-Summary'!$AZ$6:$BE$65,3,FALSE),"")</f>
        <v/>
      </c>
      <c r="AI690" s="10" t="str">
        <f>IFERROR(VLOOKUP(B690,'Pre-Summary'!$AZ$6:$BE$65,5,FALSE),"")</f>
        <v/>
      </c>
      <c r="AJ690" s="10" t="str">
        <f>IFERROR(VLOOKUP(B690,'Pre-Summary'!$AZ$6:$BE$65,4,FALSE),"")</f>
        <v/>
      </c>
      <c r="AK690" s="10" t="str">
        <f>IFERROR(VLOOKUP(B690,'Pre-Summary'!$AZ$6:$BE$65,6,FALSE),"")</f>
        <v/>
      </c>
      <c r="AL690" s="10" t="str">
        <f>IFERROR(VLOOKUP(B690,'Pre-Summary'!$BG$6:$BL$44,3,FALSE),"")</f>
        <v/>
      </c>
      <c r="AM690" s="10" t="str">
        <f>IFERROR(VLOOKUP(B690,'Pre-Summary'!$BG$6:$BL$44,4,FALSE),"")</f>
        <v/>
      </c>
    </row>
    <row r="691" spans="2:39" ht="15" customHeight="1" x14ac:dyDescent="0.3">
      <c r="B691">
        <v>68.8</v>
      </c>
      <c r="C691" t="str">
        <f>IFERROR(VLOOKUP(B691,'Pre-Summary'!$DI$6:$DM$23,4,FALSE),"")</f>
        <v/>
      </c>
      <c r="D691" s="10" t="str">
        <f>IFERROR(VLOOKUP(B691,'Pre-Summary'!$AT$6:$AX$14,5,FALSE),D690)</f>
        <v>DSMZ v2: Dropped Na-Ac out of DSMZ 120 media</v>
      </c>
      <c r="E691" s="10" t="str">
        <f>IFERROR(VLOOKUP(B691,'Pre-Summary'!$AT$6:$AX$15,4,FALSE),"")</f>
        <v/>
      </c>
      <c r="F691">
        <f>IFERROR(VLOOKUP(B691,'Pre-Summary'!$AL$6:$AQ$13,6,FALSE),F690)</f>
        <v>5.9405263157894746E-2</v>
      </c>
      <c r="G691" t="str">
        <f>IFERROR(VLOOKUP(B691,'Pre-Summary'!$AE$6:$AJ$85,3,FALSE),"")</f>
        <v/>
      </c>
      <c r="H691" t="str">
        <f>IFERROR(VLOOKUP(B691,'Pre-Summary'!$AE$6:$AJ$85,4,FALSE),"")</f>
        <v/>
      </c>
      <c r="I691" t="str">
        <f>IFERROR(VLOOKUP(B691,'Pre-Summary'!$AE$6:$AJ$85,5,FALSE),"")</f>
        <v/>
      </c>
      <c r="J691" s="45" t="str">
        <f>IFERROR(VLOOKUP(B691,'Pre-Summary'!$AE$6:$AJ$85,6, FALSE),"")</f>
        <v/>
      </c>
      <c r="K691" s="45" t="str">
        <f>IFERROR(VLOOKUP(B691,'Pre-Summary'!$DE$6:$DG$61,3,FALSE),"")</f>
        <v/>
      </c>
      <c r="L691" s="45" t="str">
        <f>IFERROR(VLOOKUP(B691,'Pre-Summary'!$CU$6:$CW$36,3,FALSE),"")</f>
        <v/>
      </c>
      <c r="M691" s="45" t="str">
        <f>IFERROR(VLOOKUP(B691,'Pre-Summary'!$BW$6:$BY$58,2,FALSE),"")</f>
        <v/>
      </c>
      <c r="N691" s="45" t="str">
        <f>IFERROR(VLOOKUP(B691,'Pre-Summary'!$CD$6:$CF$64,2,FALSE),"")</f>
        <v/>
      </c>
      <c r="O691" s="99">
        <f>IFERROR(VLOOKUP(B691,'Pre-Summary'!$BO$6:$BQ$48,3, FALSE),O690)</f>
        <v>0.98799999999999999</v>
      </c>
      <c r="P691" s="99">
        <f>IFERROR(VLOOKUP(B691,'Pre-Summary'!$BS$6:$BU$35,3,FALSE),P690)</f>
        <v>0.34399999999999997</v>
      </c>
      <c r="Q691" s="54">
        <f t="shared" si="30"/>
        <v>2.8720930232558142</v>
      </c>
      <c r="R691" s="53">
        <f>IFERROR(VLOOKUP(B691,'Pre-Summary'!$BG$6:$BM$44,7,FALSE),R692)</f>
        <v>7.5915763918363535E-2</v>
      </c>
      <c r="S691" s="53">
        <f>IFERROR(VLOOKUP(B691,'Pre-Summary'!$BG$6:$BM$44,6,FALSE),S692)</f>
        <v>5.2897473997019086E-2</v>
      </c>
      <c r="T691" s="45" t="str">
        <f>IFERROR(VLOOKUP(B691,'Pre-Summary'!$Y$6:$AC$83, 3,FALSE),"")</f>
        <v/>
      </c>
      <c r="U691" s="45" t="str">
        <f>IFERROR(VLOOKUP(B691,'Pre-Summary'!$Y$6:$AC$83, 4,FALSE),"")</f>
        <v/>
      </c>
      <c r="V691" t="str">
        <f>IFERROR(VLOOKUP(B691,'Pre-Summary'!$Y$6:$AC$83, 5,FALSE),"")</f>
        <v/>
      </c>
      <c r="W691" s="45" t="str">
        <f>IFERROR(VLOOKUP(B691,'Pre-Summary'!$Y$6:$AD$83,6,FALSE),"")</f>
        <v/>
      </c>
      <c r="X691" t="str">
        <f>IFERROR(VLOOKUP('Pre-Summary'!$DB$6:$DD$63,3,FALSE),"")</f>
        <v/>
      </c>
      <c r="Y691" t="str">
        <f>IFERROR(VLOOKUP(B691,'Pre-Summary'!$CR$6:$CT$36,3,FALSE),"")</f>
        <v/>
      </c>
      <c r="Z691" s="45" t="str">
        <f>IFERROR(VLOOKUP(B691,'Pre-Summary'!$BZ$6:$CB$63,2,FALSE),"")</f>
        <v/>
      </c>
      <c r="AA691" s="45" t="str">
        <f>IFERROR(VLOOKUP(B691,'Pre-Summary'!$CG$6:$CI$70,2,FALSE),"")</f>
        <v/>
      </c>
      <c r="AB691" s="99">
        <f>IFERROR(VLOOKUP(B691,'Pre-Summary'!$A$6:$P$178,9,FALSE),AB692)</f>
        <v>0.84881825135540423</v>
      </c>
      <c r="AC691" s="10">
        <f>IFERROR(VLOOKUP(Summary!B691,'Pre-Summary'!$A$6:$P$184,5, FALSE)/100,AC692)</f>
        <v>0.77505331832279212</v>
      </c>
      <c r="AD691" s="10">
        <f>IFERROR(VLOOKUP(Summary!B691,'Pre-Summary'!$A$6:$P$184,3, FALSE)/100,AD692)</f>
        <v>3.6833887159730253E-3</v>
      </c>
      <c r="AE691" s="10">
        <f>IFERROR(VLOOKUP(Summary!B691,'Pre-Summary'!$A$6:$P$184,7, FALSE)/100,AE692)</f>
        <v>0.221264232960907</v>
      </c>
      <c r="AF691" s="99">
        <f t="shared" si="31"/>
        <v>3.1265275689544509E-3</v>
      </c>
      <c r="AG691" s="99">
        <f t="shared" si="32"/>
        <v>0.18781311930937186</v>
      </c>
      <c r="AH691" s="10" t="str">
        <f>IFERROR(VLOOKUP(B691,'Pre-Summary'!$AZ$6:$BE$65,3,FALSE),"")</f>
        <v/>
      </c>
      <c r="AI691" s="10" t="str">
        <f>IFERROR(VLOOKUP(B691,'Pre-Summary'!$AZ$6:$BE$65,5,FALSE),"")</f>
        <v/>
      </c>
      <c r="AJ691" s="10" t="str">
        <f>IFERROR(VLOOKUP(B691,'Pre-Summary'!$AZ$6:$BE$65,4,FALSE),"")</f>
        <v/>
      </c>
      <c r="AK691" s="10" t="str">
        <f>IFERROR(VLOOKUP(B691,'Pre-Summary'!$AZ$6:$BE$65,6,FALSE),"")</f>
        <v/>
      </c>
      <c r="AL691" s="10" t="str">
        <f>IFERROR(VLOOKUP(B691,'Pre-Summary'!$BG$6:$BL$44,3,FALSE),"")</f>
        <v/>
      </c>
      <c r="AM691" s="10" t="str">
        <f>IFERROR(VLOOKUP(B691,'Pre-Summary'!$BG$6:$BL$44,4,FALSE),"")</f>
        <v/>
      </c>
    </row>
    <row r="692" spans="2:39" ht="15" customHeight="1" x14ac:dyDescent="0.3">
      <c r="B692">
        <v>68.900000000000006</v>
      </c>
      <c r="C692" t="str">
        <f>IFERROR(VLOOKUP(B692,'Pre-Summary'!$DI$6:$DM$23,4,FALSE),"")</f>
        <v/>
      </c>
      <c r="D692" s="10" t="str">
        <f>IFERROR(VLOOKUP(B692,'Pre-Summary'!$AT$6:$AX$14,5,FALSE),D691)</f>
        <v>DSMZ v2: Dropped Na-Ac out of DSMZ 120 media</v>
      </c>
      <c r="E692" s="10" t="str">
        <f>IFERROR(VLOOKUP(B692,'Pre-Summary'!$AT$6:$AX$15,4,FALSE),"")</f>
        <v/>
      </c>
      <c r="F692">
        <f>IFERROR(VLOOKUP(B692,'Pre-Summary'!$AL$6:$AQ$13,6,FALSE),F691)</f>
        <v>5.9405263157894746E-2</v>
      </c>
      <c r="G692">
        <f>IFERROR(VLOOKUP(B692,'Pre-Summary'!$AE$6:$AJ$85,3,FALSE),"")</f>
        <v>1018.1399999999999</v>
      </c>
      <c r="H692">
        <f>IFERROR(VLOOKUP(B692,'Pre-Summary'!$AE$6:$AJ$85,4,FALSE),"")</f>
        <v>211.81</v>
      </c>
      <c r="I692">
        <f>IFERROR(VLOOKUP(B692,'Pre-Summary'!$AE$6:$AJ$85,5,FALSE),"")</f>
        <v>0</v>
      </c>
      <c r="J692" s="45">
        <f>IFERROR(VLOOKUP(B692,'Pre-Summary'!$AE$6:$AJ$85,6, FALSE),"")</f>
        <v>1407.0357199999999</v>
      </c>
      <c r="K692" s="45" t="str">
        <f>IFERROR(VLOOKUP(B692,'Pre-Summary'!$DE$6:$DG$61,3,FALSE),"")</f>
        <v/>
      </c>
      <c r="L692" s="45" t="str">
        <f>IFERROR(VLOOKUP(B692,'Pre-Summary'!$CU$6:$CW$36,3,FALSE),"")</f>
        <v/>
      </c>
      <c r="M692" s="45" t="str">
        <f>IFERROR(VLOOKUP(B692,'Pre-Summary'!$BW$6:$BY$58,2,FALSE),"")</f>
        <v/>
      </c>
      <c r="N692" s="45" t="str">
        <f>IFERROR(VLOOKUP(B692,'Pre-Summary'!$CD$6:$CF$64,2,FALSE),"")</f>
        <v/>
      </c>
      <c r="O692" s="99">
        <f>IFERROR(VLOOKUP(B692,'Pre-Summary'!$BO$6:$BQ$48,3, FALSE),O691)</f>
        <v>0.98799999999999999</v>
      </c>
      <c r="P692" s="99">
        <f>IFERROR(VLOOKUP(B692,'Pre-Summary'!$BS$6:$BU$35,3,FALSE),P691)</f>
        <v>0.34399999999999997</v>
      </c>
      <c r="Q692" s="54">
        <f t="shared" si="30"/>
        <v>2.8720930232558142</v>
      </c>
      <c r="R692" s="53">
        <f>IFERROR(VLOOKUP(B692,'Pre-Summary'!$BG$6:$BM$44,7,FALSE),R693)</f>
        <v>7.5915763918363535E-2</v>
      </c>
      <c r="S692" s="53">
        <f>IFERROR(VLOOKUP(B692,'Pre-Summary'!$BG$6:$BM$44,6,FALSE),S693)</f>
        <v>5.2897473997019086E-2</v>
      </c>
      <c r="T692" s="45">
        <f>IFERROR(VLOOKUP(B692,'Pre-Summary'!$Y$6:$AC$83, 3,FALSE),"")</f>
        <v>40.08</v>
      </c>
      <c r="U692" s="45">
        <f>IFERROR(VLOOKUP(B692,'Pre-Summary'!$Y$6:$AC$83, 4,FALSE),"")</f>
        <v>484.28</v>
      </c>
      <c r="V692">
        <f>IFERROR(VLOOKUP(B692,'Pre-Summary'!$Y$6:$AC$83, 5,FALSE),"")</f>
        <v>0</v>
      </c>
      <c r="W692" s="45">
        <f>IFERROR(VLOOKUP(B692,'Pre-Summary'!$Y$6:$AD$83,6,FALSE),"")</f>
        <v>775.96528000000001</v>
      </c>
      <c r="X692" t="str">
        <f>IFERROR(VLOOKUP('Pre-Summary'!$DB$6:$DD$63,3,FALSE),"")</f>
        <v/>
      </c>
      <c r="Y692" t="str">
        <f>IFERROR(VLOOKUP(B692,'Pre-Summary'!$CR$6:$CT$36,3,FALSE),"")</f>
        <v/>
      </c>
      <c r="Z692" s="45" t="str">
        <f>IFERROR(VLOOKUP(B692,'Pre-Summary'!$BZ$6:$CB$63,2,FALSE),"")</f>
        <v/>
      </c>
      <c r="AA692" s="45" t="str">
        <f>IFERROR(VLOOKUP(B692,'Pre-Summary'!$CG$6:$CI$70,2,FALSE),"")</f>
        <v/>
      </c>
      <c r="AB692" s="99">
        <f>IFERROR(VLOOKUP(B692,'Pre-Summary'!$A$6:$P$178,9,FALSE),AB693)</f>
        <v>0.84881825135540423</v>
      </c>
      <c r="AC692" s="10">
        <f>IFERROR(VLOOKUP(Summary!B692,'Pre-Summary'!$A$6:$P$184,5, FALSE)/100,AC693)</f>
        <v>0.77505331832279212</v>
      </c>
      <c r="AD692" s="10">
        <f>IFERROR(VLOOKUP(Summary!B692,'Pre-Summary'!$A$6:$P$184,3, FALSE)/100,AD693)</f>
        <v>3.6833887159730253E-3</v>
      </c>
      <c r="AE692" s="10">
        <f>IFERROR(VLOOKUP(Summary!B692,'Pre-Summary'!$A$6:$P$184,7, FALSE)/100,AE693)</f>
        <v>0.221264232960907</v>
      </c>
      <c r="AF692" s="99">
        <f t="shared" si="31"/>
        <v>3.1265275689544509E-3</v>
      </c>
      <c r="AG692" s="99">
        <f t="shared" si="32"/>
        <v>0.18781311930937186</v>
      </c>
      <c r="AH692" s="10" t="str">
        <f>IFERROR(VLOOKUP(B692,'Pre-Summary'!$AZ$6:$BE$65,3,FALSE),"")</f>
        <v/>
      </c>
      <c r="AI692" s="10" t="str">
        <f>IFERROR(VLOOKUP(B692,'Pre-Summary'!$AZ$6:$BE$65,5,FALSE),"")</f>
        <v/>
      </c>
      <c r="AJ692" s="10" t="str">
        <f>IFERROR(VLOOKUP(B692,'Pre-Summary'!$AZ$6:$BE$65,4,FALSE),"")</f>
        <v/>
      </c>
      <c r="AK692" s="10" t="str">
        <f>IFERROR(VLOOKUP(B692,'Pre-Summary'!$AZ$6:$BE$65,6,FALSE),"")</f>
        <v/>
      </c>
      <c r="AL692" s="10" t="str">
        <f>IFERROR(VLOOKUP(B692,'Pre-Summary'!$BG$6:$BL$44,3,FALSE),"")</f>
        <v/>
      </c>
      <c r="AM692" s="10" t="str">
        <f>IFERROR(VLOOKUP(B692,'Pre-Summary'!$BG$6:$BL$44,4,FALSE),"")</f>
        <v/>
      </c>
    </row>
    <row r="693" spans="2:39" ht="15" customHeight="1" x14ac:dyDescent="0.3">
      <c r="B693">
        <v>69</v>
      </c>
      <c r="C693" t="str">
        <f>IFERROR(VLOOKUP(B693,'Pre-Summary'!$DI$6:$DM$23,4,FALSE),"")</f>
        <v/>
      </c>
      <c r="D693" s="10" t="str">
        <f>IFERROR(VLOOKUP(B693,'Pre-Summary'!$AT$6:$AX$14,5,FALSE),D692)</f>
        <v>DSMZ v2: Dropped Na-Ac out of DSMZ 120 media</v>
      </c>
      <c r="E693" s="10" t="str">
        <f>IFERROR(VLOOKUP(B693,'Pre-Summary'!$AT$6:$AX$15,4,FALSE),"")</f>
        <v/>
      </c>
      <c r="F693">
        <f>IFERROR(VLOOKUP(B693,'Pre-Summary'!$AL$6:$AQ$13,6,FALSE),F692)</f>
        <v>5.9405263157894746E-2</v>
      </c>
      <c r="G693" t="str">
        <f>IFERROR(VLOOKUP(B693,'Pre-Summary'!$AE$6:$AJ$85,3,FALSE),"")</f>
        <v/>
      </c>
      <c r="H693" t="str">
        <f>IFERROR(VLOOKUP(B693,'Pre-Summary'!$AE$6:$AJ$85,4,FALSE),"")</f>
        <v/>
      </c>
      <c r="I693" t="str">
        <f>IFERROR(VLOOKUP(B693,'Pre-Summary'!$AE$6:$AJ$85,5,FALSE),"")</f>
        <v/>
      </c>
      <c r="J693" s="45" t="str">
        <f>IFERROR(VLOOKUP(B693,'Pre-Summary'!$AE$6:$AJ$85,6, FALSE),"")</f>
        <v/>
      </c>
      <c r="K693" s="45" t="str">
        <f>IFERROR(VLOOKUP(B693,'Pre-Summary'!$DE$6:$DG$61,3,FALSE),"")</f>
        <v/>
      </c>
      <c r="L693" s="45" t="str">
        <f>IFERROR(VLOOKUP(B693,'Pre-Summary'!$CU$6:$CW$36,3,FALSE),"")</f>
        <v/>
      </c>
      <c r="M693" s="45" t="str">
        <f>IFERROR(VLOOKUP(B693,'Pre-Summary'!$BW$6:$BY$58,2,FALSE),"")</f>
        <v/>
      </c>
      <c r="N693" s="45" t="str">
        <f>IFERROR(VLOOKUP(B693,'Pre-Summary'!$CD$6:$CF$64,2,FALSE),"")</f>
        <v/>
      </c>
      <c r="O693" s="99">
        <f>IFERROR(VLOOKUP(B693,'Pre-Summary'!$BO$6:$BQ$48,3, FALSE),O692)</f>
        <v>0.98799999999999999</v>
      </c>
      <c r="P693" s="99">
        <f>IFERROR(VLOOKUP(B693,'Pre-Summary'!$BS$6:$BU$35,3,FALSE),P692)</f>
        <v>0.34399999999999997</v>
      </c>
      <c r="Q693" s="54">
        <f t="shared" si="30"/>
        <v>2.8720930232558142</v>
      </c>
      <c r="R693" s="53">
        <f>IFERROR(VLOOKUP(B693,'Pre-Summary'!$BG$6:$BM$44,7,FALSE),R694)</f>
        <v>7.5915763918363535E-2</v>
      </c>
      <c r="S693" s="53">
        <f>IFERROR(VLOOKUP(B693,'Pre-Summary'!$BG$6:$BM$44,6,FALSE),S694)</f>
        <v>5.2897473997019086E-2</v>
      </c>
      <c r="T693" s="45" t="str">
        <f>IFERROR(VLOOKUP(B693,'Pre-Summary'!$Y$6:$AC$83, 3,FALSE),"")</f>
        <v/>
      </c>
      <c r="U693" s="45" t="str">
        <f>IFERROR(VLOOKUP(B693,'Pre-Summary'!$Y$6:$AC$83, 4,FALSE),"")</f>
        <v/>
      </c>
      <c r="V693" t="str">
        <f>IFERROR(VLOOKUP(B693,'Pre-Summary'!$Y$6:$AC$83, 5,FALSE),"")</f>
        <v/>
      </c>
      <c r="W693" s="45" t="str">
        <f>IFERROR(VLOOKUP(B693,'Pre-Summary'!$Y$6:$AD$83,6,FALSE),"")</f>
        <v/>
      </c>
      <c r="X693" t="str">
        <f>IFERROR(VLOOKUP('Pre-Summary'!$DB$6:$DD$63,3,FALSE),"")</f>
        <v/>
      </c>
      <c r="Y693" t="str">
        <f>IFERROR(VLOOKUP(B693,'Pre-Summary'!$CR$6:$CT$36,3,FALSE),"")</f>
        <v/>
      </c>
      <c r="Z693" s="45" t="str">
        <f>IFERROR(VLOOKUP(B693,'Pre-Summary'!$BZ$6:$CB$63,2,FALSE),"")</f>
        <v/>
      </c>
      <c r="AA693" s="45" t="str">
        <f>IFERROR(VLOOKUP(B693,'Pre-Summary'!$CG$6:$CI$70,2,FALSE),"")</f>
        <v/>
      </c>
      <c r="AB693" s="99">
        <f>IFERROR(VLOOKUP(B693,'Pre-Summary'!$A$6:$P$178,9,FALSE),AB694)</f>
        <v>0.84881825135540423</v>
      </c>
      <c r="AC693" s="10">
        <f>IFERROR(VLOOKUP(Summary!B693,'Pre-Summary'!$A$6:$P$184,5, FALSE)/100,AC694)</f>
        <v>0.77505331832279212</v>
      </c>
      <c r="AD693" s="10">
        <f>IFERROR(VLOOKUP(Summary!B693,'Pre-Summary'!$A$6:$P$184,3, FALSE)/100,AD694)</f>
        <v>3.6833887159730253E-3</v>
      </c>
      <c r="AE693" s="10">
        <f>IFERROR(VLOOKUP(Summary!B693,'Pre-Summary'!$A$6:$P$184,7, FALSE)/100,AE694)</f>
        <v>0.221264232960907</v>
      </c>
      <c r="AF693" s="99">
        <f t="shared" si="31"/>
        <v>3.1265275689544509E-3</v>
      </c>
      <c r="AG693" s="99">
        <f t="shared" si="32"/>
        <v>0.18781311930937186</v>
      </c>
      <c r="AH693" s="10" t="str">
        <f>IFERROR(VLOOKUP(B693,'Pre-Summary'!$AZ$6:$BE$65,3,FALSE),"")</f>
        <v/>
      </c>
      <c r="AI693" s="10" t="str">
        <f>IFERROR(VLOOKUP(B693,'Pre-Summary'!$AZ$6:$BE$65,5,FALSE),"")</f>
        <v/>
      </c>
      <c r="AJ693" s="10" t="str">
        <f>IFERROR(VLOOKUP(B693,'Pre-Summary'!$AZ$6:$BE$65,4,FALSE),"")</f>
        <v/>
      </c>
      <c r="AK693" s="10" t="str">
        <f>IFERROR(VLOOKUP(B693,'Pre-Summary'!$AZ$6:$BE$65,6,FALSE),"")</f>
        <v/>
      </c>
      <c r="AL693" s="10" t="str">
        <f>IFERROR(VLOOKUP(B693,'Pre-Summary'!$BG$6:$BL$44,3,FALSE),"")</f>
        <v/>
      </c>
      <c r="AM693" s="10" t="str">
        <f>IFERROR(VLOOKUP(B693,'Pre-Summary'!$BG$6:$BL$44,4,FALSE),"")</f>
        <v/>
      </c>
    </row>
    <row r="694" spans="2:39" ht="15" customHeight="1" x14ac:dyDescent="0.3">
      <c r="B694">
        <v>69.099999999999994</v>
      </c>
      <c r="C694" t="str">
        <f>IFERROR(VLOOKUP(B694,'Pre-Summary'!$DI$6:$DM$23,4,FALSE),"")</f>
        <v/>
      </c>
      <c r="D694" s="10" t="str">
        <f>IFERROR(VLOOKUP(B694,'Pre-Summary'!$AT$6:$AX$14,5,FALSE),D693)</f>
        <v>DSMZ v2: Dropped Na-Ac out of DSMZ 120 media</v>
      </c>
      <c r="E694" s="10" t="str">
        <f>IFERROR(VLOOKUP(B694,'Pre-Summary'!$AT$6:$AX$15,4,FALSE),"")</f>
        <v/>
      </c>
      <c r="F694">
        <f>IFERROR(VLOOKUP(B694,'Pre-Summary'!$AL$6:$AQ$13,6,FALSE),F693)</f>
        <v>5.9405263157894746E-2</v>
      </c>
      <c r="G694" t="str">
        <f>IFERROR(VLOOKUP(B694,'Pre-Summary'!$AE$6:$AJ$85,3,FALSE),"")</f>
        <v/>
      </c>
      <c r="H694" t="str">
        <f>IFERROR(VLOOKUP(B694,'Pre-Summary'!$AE$6:$AJ$85,4,FALSE),"")</f>
        <v/>
      </c>
      <c r="I694" t="str">
        <f>IFERROR(VLOOKUP(B694,'Pre-Summary'!$AE$6:$AJ$85,5,FALSE),"")</f>
        <v/>
      </c>
      <c r="J694" s="45" t="str">
        <f>IFERROR(VLOOKUP(B694,'Pre-Summary'!$AE$6:$AJ$85,6, FALSE),"")</f>
        <v/>
      </c>
      <c r="K694" s="45" t="str">
        <f>IFERROR(VLOOKUP(B694,'Pre-Summary'!$DE$6:$DG$61,3,FALSE),"")</f>
        <v/>
      </c>
      <c r="L694" s="45" t="str">
        <f>IFERROR(VLOOKUP(B694,'Pre-Summary'!$CU$6:$CW$36,3,FALSE),"")</f>
        <v/>
      </c>
      <c r="M694" s="45" t="str">
        <f>IFERROR(VLOOKUP(B694,'Pre-Summary'!$BW$6:$BY$58,2,FALSE),"")</f>
        <v/>
      </c>
      <c r="N694" s="45" t="str">
        <f>IFERROR(VLOOKUP(B694,'Pre-Summary'!$CD$6:$CF$64,2,FALSE),"")</f>
        <v/>
      </c>
      <c r="O694" s="99">
        <f>IFERROR(VLOOKUP(B694,'Pre-Summary'!$BO$6:$BQ$48,3, FALSE),O693)</f>
        <v>0.98799999999999999</v>
      </c>
      <c r="P694" s="99">
        <f>IFERROR(VLOOKUP(B694,'Pre-Summary'!$BS$6:$BU$35,3,FALSE),P693)</f>
        <v>0.34399999999999997</v>
      </c>
      <c r="Q694" s="54">
        <f t="shared" si="30"/>
        <v>2.8720930232558142</v>
      </c>
      <c r="R694" s="53">
        <f>IFERROR(VLOOKUP(B694,'Pre-Summary'!$BG$6:$BM$44,7,FALSE),R695)</f>
        <v>7.5915763918363535E-2</v>
      </c>
      <c r="S694" s="53">
        <f>IFERROR(VLOOKUP(B694,'Pre-Summary'!$BG$6:$BM$44,6,FALSE),S695)</f>
        <v>5.2897473997019086E-2</v>
      </c>
      <c r="T694" s="45" t="str">
        <f>IFERROR(VLOOKUP(B694,'Pre-Summary'!$Y$6:$AC$83, 3,FALSE),"")</f>
        <v/>
      </c>
      <c r="U694" s="45" t="str">
        <f>IFERROR(VLOOKUP(B694,'Pre-Summary'!$Y$6:$AC$83, 4,FALSE),"")</f>
        <v/>
      </c>
      <c r="V694" t="str">
        <f>IFERROR(VLOOKUP(B694,'Pre-Summary'!$Y$6:$AC$83, 5,FALSE),"")</f>
        <v/>
      </c>
      <c r="W694" s="45" t="str">
        <f>IFERROR(VLOOKUP(B694,'Pre-Summary'!$Y$6:$AD$83,6,FALSE),"")</f>
        <v/>
      </c>
      <c r="X694" t="str">
        <f>IFERROR(VLOOKUP('Pre-Summary'!$DB$6:$DD$63,3,FALSE),"")</f>
        <v/>
      </c>
      <c r="Y694" t="str">
        <f>IFERROR(VLOOKUP(B694,'Pre-Summary'!$CR$6:$CT$36,3,FALSE),"")</f>
        <v/>
      </c>
      <c r="Z694" s="45" t="str">
        <f>IFERROR(VLOOKUP(B694,'Pre-Summary'!$BZ$6:$CB$63,2,FALSE),"")</f>
        <v/>
      </c>
      <c r="AA694" s="45" t="str">
        <f>IFERROR(VLOOKUP(B694,'Pre-Summary'!$CG$6:$CI$70,2,FALSE),"")</f>
        <v/>
      </c>
      <c r="AB694" s="99">
        <f>IFERROR(VLOOKUP(B694,'Pre-Summary'!$A$6:$P$178,9,FALSE),AB695)</f>
        <v>0.84881825135540423</v>
      </c>
      <c r="AC694" s="10">
        <f>IFERROR(VLOOKUP(Summary!B694,'Pre-Summary'!$A$6:$P$184,5, FALSE)/100,AC695)</f>
        <v>0.77505331832279212</v>
      </c>
      <c r="AD694" s="10">
        <f>IFERROR(VLOOKUP(Summary!B694,'Pre-Summary'!$A$6:$P$184,3, FALSE)/100,AD695)</f>
        <v>3.6833887159730253E-3</v>
      </c>
      <c r="AE694" s="10">
        <f>IFERROR(VLOOKUP(Summary!B694,'Pre-Summary'!$A$6:$P$184,7, FALSE)/100,AE695)</f>
        <v>0.221264232960907</v>
      </c>
      <c r="AF694" s="99">
        <f t="shared" si="31"/>
        <v>3.1265275689544509E-3</v>
      </c>
      <c r="AG694" s="99">
        <f t="shared" si="32"/>
        <v>0.18781311930937186</v>
      </c>
      <c r="AH694" s="10" t="str">
        <f>IFERROR(VLOOKUP(B694,'Pre-Summary'!$AZ$6:$BE$65,3,FALSE),"")</f>
        <v/>
      </c>
      <c r="AI694" s="10" t="str">
        <f>IFERROR(VLOOKUP(B694,'Pre-Summary'!$AZ$6:$BE$65,5,FALSE),"")</f>
        <v/>
      </c>
      <c r="AJ694" s="10" t="str">
        <f>IFERROR(VLOOKUP(B694,'Pre-Summary'!$AZ$6:$BE$65,4,FALSE),"")</f>
        <v/>
      </c>
      <c r="AK694" s="10" t="str">
        <f>IFERROR(VLOOKUP(B694,'Pre-Summary'!$AZ$6:$BE$65,6,FALSE),"")</f>
        <v/>
      </c>
      <c r="AL694" s="10" t="str">
        <f>IFERROR(VLOOKUP(B694,'Pre-Summary'!$BG$6:$BL$44,3,FALSE),"")</f>
        <v/>
      </c>
      <c r="AM694" s="10" t="str">
        <f>IFERROR(VLOOKUP(B694,'Pre-Summary'!$BG$6:$BL$44,4,FALSE),"")</f>
        <v/>
      </c>
    </row>
    <row r="695" spans="2:39" ht="15" customHeight="1" x14ac:dyDescent="0.3">
      <c r="B695">
        <v>69.2</v>
      </c>
      <c r="C695" t="str">
        <f>IFERROR(VLOOKUP(B695,'Pre-Summary'!$DI$6:$DM$23,4,FALSE),"")</f>
        <v/>
      </c>
      <c r="D695" s="10" t="str">
        <f>IFERROR(VLOOKUP(B695,'Pre-Summary'!$AT$6:$AX$14,5,FALSE),D694)</f>
        <v>DSMZ v2: Dropped Na-Ac out of DSMZ 120 media</v>
      </c>
      <c r="E695" s="10" t="str">
        <f>IFERROR(VLOOKUP(B695,'Pre-Summary'!$AT$6:$AX$15,4,FALSE),"")</f>
        <v/>
      </c>
      <c r="F695">
        <f>IFERROR(VLOOKUP(B695,'Pre-Summary'!$AL$6:$AQ$13,6,FALSE),F694)</f>
        <v>5.9405263157894746E-2</v>
      </c>
      <c r="G695" t="str">
        <f>IFERROR(VLOOKUP(B695,'Pre-Summary'!$AE$6:$AJ$85,3,FALSE),"")</f>
        <v/>
      </c>
      <c r="H695" t="str">
        <f>IFERROR(VLOOKUP(B695,'Pre-Summary'!$AE$6:$AJ$85,4,FALSE),"")</f>
        <v/>
      </c>
      <c r="I695" t="str">
        <f>IFERROR(VLOOKUP(B695,'Pre-Summary'!$AE$6:$AJ$85,5,FALSE),"")</f>
        <v/>
      </c>
      <c r="J695" s="45" t="str">
        <f>IFERROR(VLOOKUP(B695,'Pre-Summary'!$AE$6:$AJ$85,6, FALSE),"")</f>
        <v/>
      </c>
      <c r="K695" s="45" t="str">
        <f>IFERROR(VLOOKUP(B695,'Pre-Summary'!$DE$6:$DG$61,3,FALSE),"")</f>
        <v/>
      </c>
      <c r="L695" s="45" t="str">
        <f>IFERROR(VLOOKUP(B695,'Pre-Summary'!$CU$6:$CW$36,3,FALSE),"")</f>
        <v/>
      </c>
      <c r="M695" s="45" t="str">
        <f>IFERROR(VLOOKUP(B695,'Pre-Summary'!$BW$6:$BY$58,2,FALSE),"")</f>
        <v/>
      </c>
      <c r="N695" s="45" t="str">
        <f>IFERROR(VLOOKUP(B695,'Pre-Summary'!$CD$6:$CF$64,2,FALSE),"")</f>
        <v/>
      </c>
      <c r="O695" s="99">
        <f>IFERROR(VLOOKUP(B695,'Pre-Summary'!$BO$6:$BQ$48,3, FALSE),O694)</f>
        <v>0.98799999999999999</v>
      </c>
      <c r="P695" s="99">
        <f>IFERROR(VLOOKUP(B695,'Pre-Summary'!$BS$6:$BU$35,3,FALSE),P694)</f>
        <v>0.34399999999999997</v>
      </c>
      <c r="Q695" s="54">
        <f t="shared" si="30"/>
        <v>2.8720930232558142</v>
      </c>
      <c r="R695" s="53">
        <f>IFERROR(VLOOKUP(B695,'Pre-Summary'!$BG$6:$BM$44,7,FALSE),R696)</f>
        <v>7.5915763918363535E-2</v>
      </c>
      <c r="S695" s="53">
        <f>IFERROR(VLOOKUP(B695,'Pre-Summary'!$BG$6:$BM$44,6,FALSE),S696)</f>
        <v>5.2897473997019086E-2</v>
      </c>
      <c r="T695" s="45" t="str">
        <f>IFERROR(VLOOKUP(B695,'Pre-Summary'!$Y$6:$AC$83, 3,FALSE),"")</f>
        <v/>
      </c>
      <c r="U695" s="45" t="str">
        <f>IFERROR(VLOOKUP(B695,'Pre-Summary'!$Y$6:$AC$83, 4,FALSE),"")</f>
        <v/>
      </c>
      <c r="V695" t="str">
        <f>IFERROR(VLOOKUP(B695,'Pre-Summary'!$Y$6:$AC$83, 5,FALSE),"")</f>
        <v/>
      </c>
      <c r="W695" s="45" t="str">
        <f>IFERROR(VLOOKUP(B695,'Pre-Summary'!$Y$6:$AD$83,6,FALSE),"")</f>
        <v/>
      </c>
      <c r="X695" t="str">
        <f>IFERROR(VLOOKUP('Pre-Summary'!$DB$6:$DD$63,3,FALSE),"")</f>
        <v/>
      </c>
      <c r="Y695" t="str">
        <f>IFERROR(VLOOKUP(B695,'Pre-Summary'!$CR$6:$CT$36,3,FALSE),"")</f>
        <v/>
      </c>
      <c r="Z695" s="45" t="str">
        <f>IFERROR(VLOOKUP(B695,'Pre-Summary'!$BZ$6:$CB$63,2,FALSE),"")</f>
        <v/>
      </c>
      <c r="AA695" s="45" t="str">
        <f>IFERROR(VLOOKUP(B695,'Pre-Summary'!$CG$6:$CI$70,2,FALSE),"")</f>
        <v/>
      </c>
      <c r="AB695" s="99">
        <f>IFERROR(VLOOKUP(B695,'Pre-Summary'!$A$6:$P$178,9,FALSE),AB696)</f>
        <v>0.84881825135540423</v>
      </c>
      <c r="AC695" s="10">
        <f>IFERROR(VLOOKUP(Summary!B695,'Pre-Summary'!$A$6:$P$184,5, FALSE)/100,AC696)</f>
        <v>0.77505331832279212</v>
      </c>
      <c r="AD695" s="10">
        <f>IFERROR(VLOOKUP(Summary!B695,'Pre-Summary'!$A$6:$P$184,3, FALSE)/100,AD696)</f>
        <v>3.6833887159730253E-3</v>
      </c>
      <c r="AE695" s="10">
        <f>IFERROR(VLOOKUP(Summary!B695,'Pre-Summary'!$A$6:$P$184,7, FALSE)/100,AE696)</f>
        <v>0.221264232960907</v>
      </c>
      <c r="AF695" s="99">
        <f t="shared" si="31"/>
        <v>3.1265275689544509E-3</v>
      </c>
      <c r="AG695" s="99">
        <f t="shared" si="32"/>
        <v>0.18781311930937186</v>
      </c>
      <c r="AH695" s="10" t="str">
        <f>IFERROR(VLOOKUP(B695,'Pre-Summary'!$AZ$6:$BE$65,3,FALSE),"")</f>
        <v/>
      </c>
      <c r="AI695" s="10" t="str">
        <f>IFERROR(VLOOKUP(B695,'Pre-Summary'!$AZ$6:$BE$65,5,FALSE),"")</f>
        <v/>
      </c>
      <c r="AJ695" s="10" t="str">
        <f>IFERROR(VLOOKUP(B695,'Pre-Summary'!$AZ$6:$BE$65,4,FALSE),"")</f>
        <v/>
      </c>
      <c r="AK695" s="10" t="str">
        <f>IFERROR(VLOOKUP(B695,'Pre-Summary'!$AZ$6:$BE$65,6,FALSE),"")</f>
        <v/>
      </c>
      <c r="AL695" s="10" t="str">
        <f>IFERROR(VLOOKUP(B695,'Pre-Summary'!$BG$6:$BL$44,3,FALSE),"")</f>
        <v/>
      </c>
      <c r="AM695" s="10" t="str">
        <f>IFERROR(VLOOKUP(B695,'Pre-Summary'!$BG$6:$BL$44,4,FALSE),"")</f>
        <v/>
      </c>
    </row>
    <row r="696" spans="2:39" ht="15" customHeight="1" x14ac:dyDescent="0.3">
      <c r="B696">
        <v>69.3</v>
      </c>
      <c r="C696" t="str">
        <f>IFERROR(VLOOKUP(B696,'Pre-Summary'!$DI$6:$DM$23,4,FALSE),"")</f>
        <v/>
      </c>
      <c r="D696" s="10" t="str">
        <f>IFERROR(VLOOKUP(B696,'Pre-Summary'!$AT$6:$AX$14,5,FALSE),D695)</f>
        <v>DSMZ v2: Dropped Na-Ac out of DSMZ 120 media</v>
      </c>
      <c r="E696" s="10" t="str">
        <f>IFERROR(VLOOKUP(B696,'Pre-Summary'!$AT$6:$AX$15,4,FALSE),"")</f>
        <v/>
      </c>
      <c r="F696">
        <f>IFERROR(VLOOKUP(B696,'Pre-Summary'!$AL$6:$AQ$13,6,FALSE),F695)</f>
        <v>5.9405263157894746E-2</v>
      </c>
      <c r="G696" t="str">
        <f>IFERROR(VLOOKUP(B696,'Pre-Summary'!$AE$6:$AJ$85,3,FALSE),"")</f>
        <v/>
      </c>
      <c r="H696" t="str">
        <f>IFERROR(VLOOKUP(B696,'Pre-Summary'!$AE$6:$AJ$85,4,FALSE),"")</f>
        <v/>
      </c>
      <c r="I696" t="str">
        <f>IFERROR(VLOOKUP(B696,'Pre-Summary'!$AE$6:$AJ$85,5,FALSE),"")</f>
        <v/>
      </c>
      <c r="J696" s="45" t="str">
        <f>IFERROR(VLOOKUP(B696,'Pre-Summary'!$AE$6:$AJ$85,6, FALSE),"")</f>
        <v/>
      </c>
      <c r="K696" s="45" t="str">
        <f>IFERROR(VLOOKUP(B696,'Pre-Summary'!$DE$6:$DG$61,3,FALSE),"")</f>
        <v/>
      </c>
      <c r="L696" s="45" t="str">
        <f>IFERROR(VLOOKUP(B696,'Pre-Summary'!$CU$6:$CW$36,3,FALSE),"")</f>
        <v/>
      </c>
      <c r="M696" s="45" t="str">
        <f>IFERROR(VLOOKUP(B696,'Pre-Summary'!$BW$6:$BY$58,2,FALSE),"")</f>
        <v/>
      </c>
      <c r="N696" s="45" t="str">
        <f>IFERROR(VLOOKUP(B696,'Pre-Summary'!$CD$6:$CF$64,2,FALSE),"")</f>
        <v/>
      </c>
      <c r="O696" s="99">
        <f>IFERROR(VLOOKUP(B696,'Pre-Summary'!$BO$6:$BQ$48,3, FALSE),O695)</f>
        <v>0.98799999999999999</v>
      </c>
      <c r="P696" s="99">
        <f>IFERROR(VLOOKUP(B696,'Pre-Summary'!$BS$6:$BU$35,3,FALSE),P695)</f>
        <v>0.34399999999999997</v>
      </c>
      <c r="Q696" s="54">
        <f t="shared" si="30"/>
        <v>2.8720930232558142</v>
      </c>
      <c r="R696" s="53">
        <f>IFERROR(VLOOKUP(B696,'Pre-Summary'!$BG$6:$BM$44,7,FALSE),R697)</f>
        <v>7.5915763918363535E-2</v>
      </c>
      <c r="S696" s="53">
        <f>IFERROR(VLOOKUP(B696,'Pre-Summary'!$BG$6:$BM$44,6,FALSE),S697)</f>
        <v>5.2897473997019086E-2</v>
      </c>
      <c r="T696" s="45" t="str">
        <f>IFERROR(VLOOKUP(B696,'Pre-Summary'!$Y$6:$AC$83, 3,FALSE),"")</f>
        <v/>
      </c>
      <c r="U696" s="45" t="str">
        <f>IFERROR(VLOOKUP(B696,'Pre-Summary'!$Y$6:$AC$83, 4,FALSE),"")</f>
        <v/>
      </c>
      <c r="V696" t="str">
        <f>IFERROR(VLOOKUP(B696,'Pre-Summary'!$Y$6:$AC$83, 5,FALSE),"")</f>
        <v/>
      </c>
      <c r="W696" s="45" t="str">
        <f>IFERROR(VLOOKUP(B696,'Pre-Summary'!$Y$6:$AD$83,6,FALSE),"")</f>
        <v/>
      </c>
      <c r="X696" t="str">
        <f>IFERROR(VLOOKUP('Pre-Summary'!$DB$6:$DD$63,3,FALSE),"")</f>
        <v/>
      </c>
      <c r="Y696" t="str">
        <f>IFERROR(VLOOKUP(B696,'Pre-Summary'!$CR$6:$CT$36,3,FALSE),"")</f>
        <v/>
      </c>
      <c r="Z696" s="45" t="str">
        <f>IFERROR(VLOOKUP(B696,'Pre-Summary'!$BZ$6:$CB$63,2,FALSE),"")</f>
        <v/>
      </c>
      <c r="AA696" s="45" t="str">
        <f>IFERROR(VLOOKUP(B696,'Pre-Summary'!$CG$6:$CI$70,2,FALSE),"")</f>
        <v/>
      </c>
      <c r="AB696" s="99">
        <f>IFERROR(VLOOKUP(B696,'Pre-Summary'!$A$6:$P$178,9,FALSE),AB697)</f>
        <v>0.84881825135540423</v>
      </c>
      <c r="AC696" s="10">
        <f>IFERROR(VLOOKUP(Summary!B696,'Pre-Summary'!$A$6:$P$184,5, FALSE)/100,AC697)</f>
        <v>0.77505331832279212</v>
      </c>
      <c r="AD696" s="10">
        <f>IFERROR(VLOOKUP(Summary!B696,'Pre-Summary'!$A$6:$P$184,3, FALSE)/100,AD697)</f>
        <v>3.6833887159730253E-3</v>
      </c>
      <c r="AE696" s="10">
        <f>IFERROR(VLOOKUP(Summary!B696,'Pre-Summary'!$A$6:$P$184,7, FALSE)/100,AE697)</f>
        <v>0.221264232960907</v>
      </c>
      <c r="AF696" s="99">
        <f t="shared" si="31"/>
        <v>3.1265275689544509E-3</v>
      </c>
      <c r="AG696" s="99">
        <f t="shared" si="32"/>
        <v>0.18781311930937186</v>
      </c>
      <c r="AH696" s="10" t="str">
        <f>IFERROR(VLOOKUP(B696,'Pre-Summary'!$AZ$6:$BE$65,3,FALSE),"")</f>
        <v/>
      </c>
      <c r="AI696" s="10" t="str">
        <f>IFERROR(VLOOKUP(B696,'Pre-Summary'!$AZ$6:$BE$65,5,FALSE),"")</f>
        <v/>
      </c>
      <c r="AJ696" s="10" t="str">
        <f>IFERROR(VLOOKUP(B696,'Pre-Summary'!$AZ$6:$BE$65,4,FALSE),"")</f>
        <v/>
      </c>
      <c r="AK696" s="10" t="str">
        <f>IFERROR(VLOOKUP(B696,'Pre-Summary'!$AZ$6:$BE$65,6,FALSE),"")</f>
        <v/>
      </c>
      <c r="AL696" s="10" t="str">
        <f>IFERROR(VLOOKUP(B696,'Pre-Summary'!$BG$6:$BL$44,3,FALSE),"")</f>
        <v/>
      </c>
      <c r="AM696" s="10" t="str">
        <f>IFERROR(VLOOKUP(B696,'Pre-Summary'!$BG$6:$BL$44,4,FALSE),"")</f>
        <v/>
      </c>
    </row>
    <row r="697" spans="2:39" ht="15" customHeight="1" x14ac:dyDescent="0.3">
      <c r="B697">
        <v>69.400000000000006</v>
      </c>
      <c r="C697" t="str">
        <f>IFERROR(VLOOKUP(B697,'Pre-Summary'!$DI$6:$DM$23,4,FALSE),"")</f>
        <v/>
      </c>
      <c r="D697" s="10" t="str">
        <f>IFERROR(VLOOKUP(B697,'Pre-Summary'!$AT$6:$AX$14,5,FALSE),D696)</f>
        <v>DSMZ v2: Dropped Na-Ac out of DSMZ 120 media</v>
      </c>
      <c r="E697" s="10" t="str">
        <f>IFERROR(VLOOKUP(B697,'Pre-Summary'!$AT$6:$AX$15,4,FALSE),"")</f>
        <v/>
      </c>
      <c r="F697">
        <f>IFERROR(VLOOKUP(B697,'Pre-Summary'!$AL$6:$AQ$13,6,FALSE),F696)</f>
        <v>5.9405263157894746E-2</v>
      </c>
      <c r="G697" t="str">
        <f>IFERROR(VLOOKUP(B697,'Pre-Summary'!$AE$6:$AJ$85,3,FALSE),"")</f>
        <v/>
      </c>
      <c r="H697" t="str">
        <f>IFERROR(VLOOKUP(B697,'Pre-Summary'!$AE$6:$AJ$85,4,FALSE),"")</f>
        <v/>
      </c>
      <c r="I697" t="str">
        <f>IFERROR(VLOOKUP(B697,'Pre-Summary'!$AE$6:$AJ$85,5,FALSE),"")</f>
        <v/>
      </c>
      <c r="J697" s="45" t="str">
        <f>IFERROR(VLOOKUP(B697,'Pre-Summary'!$AE$6:$AJ$85,6, FALSE),"")</f>
        <v/>
      </c>
      <c r="K697" s="45" t="str">
        <f>IFERROR(VLOOKUP(B697,'Pre-Summary'!$DE$6:$DG$61,3,FALSE),"")</f>
        <v/>
      </c>
      <c r="L697" s="45" t="str">
        <f>IFERROR(VLOOKUP(B697,'Pre-Summary'!$CU$6:$CW$36,3,FALSE),"")</f>
        <v/>
      </c>
      <c r="M697" s="45" t="str">
        <f>IFERROR(VLOOKUP(B697,'Pre-Summary'!$BW$6:$BY$58,2,FALSE),"")</f>
        <v/>
      </c>
      <c r="N697" s="45" t="str">
        <f>IFERROR(VLOOKUP(B697,'Pre-Summary'!$CD$6:$CF$64,2,FALSE),"")</f>
        <v/>
      </c>
      <c r="O697" s="99">
        <f>IFERROR(VLOOKUP(B697,'Pre-Summary'!$BO$6:$BQ$48,3, FALSE),O696)</f>
        <v>0.98799999999999999</v>
      </c>
      <c r="P697" s="99">
        <f>IFERROR(VLOOKUP(B697,'Pre-Summary'!$BS$6:$BU$35,3,FALSE),P696)</f>
        <v>0.34399999999999997</v>
      </c>
      <c r="Q697" s="54">
        <f t="shared" si="30"/>
        <v>2.8720930232558142</v>
      </c>
      <c r="R697" s="53">
        <f>IFERROR(VLOOKUP(B697,'Pre-Summary'!$BG$6:$BM$44,7,FALSE),R698)</f>
        <v>7.5915763918363535E-2</v>
      </c>
      <c r="S697" s="53">
        <f>IFERROR(VLOOKUP(B697,'Pre-Summary'!$BG$6:$BM$44,6,FALSE),S698)</f>
        <v>5.2897473997019086E-2</v>
      </c>
      <c r="T697" s="45" t="str">
        <f>IFERROR(VLOOKUP(B697,'Pre-Summary'!$Y$6:$AC$83, 3,FALSE),"")</f>
        <v/>
      </c>
      <c r="U697" s="45" t="str">
        <f>IFERROR(VLOOKUP(B697,'Pre-Summary'!$Y$6:$AC$83, 4,FALSE),"")</f>
        <v/>
      </c>
      <c r="V697" t="str">
        <f>IFERROR(VLOOKUP(B697,'Pre-Summary'!$Y$6:$AC$83, 5,FALSE),"")</f>
        <v/>
      </c>
      <c r="W697" s="45" t="str">
        <f>IFERROR(VLOOKUP(B697,'Pre-Summary'!$Y$6:$AD$83,6,FALSE),"")</f>
        <v/>
      </c>
      <c r="X697" t="str">
        <f>IFERROR(VLOOKUP('Pre-Summary'!$DB$6:$DD$63,3,FALSE),"")</f>
        <v/>
      </c>
      <c r="Y697" t="str">
        <f>IFERROR(VLOOKUP(B697,'Pre-Summary'!$CR$6:$CT$36,3,FALSE),"")</f>
        <v/>
      </c>
      <c r="Z697" s="45" t="str">
        <f>IFERROR(VLOOKUP(B697,'Pre-Summary'!$BZ$6:$CB$63,2,FALSE),"")</f>
        <v/>
      </c>
      <c r="AA697" s="45" t="str">
        <f>IFERROR(VLOOKUP(B697,'Pre-Summary'!$CG$6:$CI$70,2,FALSE),"")</f>
        <v/>
      </c>
      <c r="AB697" s="99">
        <f>IFERROR(VLOOKUP(B697,'Pre-Summary'!$A$6:$P$178,9,FALSE),AB698)</f>
        <v>0.84881825135540423</v>
      </c>
      <c r="AC697" s="10">
        <f>IFERROR(VLOOKUP(Summary!B697,'Pre-Summary'!$A$6:$P$184,5, FALSE)/100,AC698)</f>
        <v>0.77505331832279212</v>
      </c>
      <c r="AD697" s="10">
        <f>IFERROR(VLOOKUP(Summary!B697,'Pre-Summary'!$A$6:$P$184,3, FALSE)/100,AD698)</f>
        <v>3.6833887159730253E-3</v>
      </c>
      <c r="AE697" s="10">
        <f>IFERROR(VLOOKUP(Summary!B697,'Pre-Summary'!$A$6:$P$184,7, FALSE)/100,AE698)</f>
        <v>0.221264232960907</v>
      </c>
      <c r="AF697" s="99">
        <f t="shared" si="31"/>
        <v>3.1265275689544509E-3</v>
      </c>
      <c r="AG697" s="99">
        <f t="shared" si="32"/>
        <v>0.18781311930937186</v>
      </c>
      <c r="AH697" s="10" t="str">
        <f>IFERROR(VLOOKUP(B697,'Pre-Summary'!$AZ$6:$BE$65,3,FALSE),"")</f>
        <v/>
      </c>
      <c r="AI697" s="10" t="str">
        <f>IFERROR(VLOOKUP(B697,'Pre-Summary'!$AZ$6:$BE$65,5,FALSE),"")</f>
        <v/>
      </c>
      <c r="AJ697" s="10" t="str">
        <f>IFERROR(VLOOKUP(B697,'Pre-Summary'!$AZ$6:$BE$65,4,FALSE),"")</f>
        <v/>
      </c>
      <c r="AK697" s="10" t="str">
        <f>IFERROR(VLOOKUP(B697,'Pre-Summary'!$AZ$6:$BE$65,6,FALSE),"")</f>
        <v/>
      </c>
      <c r="AL697" s="10" t="str">
        <f>IFERROR(VLOOKUP(B697,'Pre-Summary'!$BG$6:$BL$44,3,FALSE),"")</f>
        <v/>
      </c>
      <c r="AM697" s="10" t="str">
        <f>IFERROR(VLOOKUP(B697,'Pre-Summary'!$BG$6:$BL$44,4,FALSE),"")</f>
        <v/>
      </c>
    </row>
    <row r="698" spans="2:39" ht="15" customHeight="1" x14ac:dyDescent="0.3">
      <c r="B698">
        <v>69.5</v>
      </c>
      <c r="C698" t="str">
        <f>IFERROR(VLOOKUP(B698,'Pre-Summary'!$DI$6:$DM$23,4,FALSE),"")</f>
        <v/>
      </c>
      <c r="D698" s="10" t="str">
        <f>IFERROR(VLOOKUP(B698,'Pre-Summary'!$AT$6:$AX$14,5,FALSE),D697)</f>
        <v>DSMZ v2: Dropped Na-Ac out of DSMZ 120 media</v>
      </c>
      <c r="E698" s="10" t="str">
        <f>IFERROR(VLOOKUP(B698,'Pre-Summary'!$AT$6:$AX$15,4,FALSE),"")</f>
        <v/>
      </c>
      <c r="F698">
        <f>IFERROR(VLOOKUP(B698,'Pre-Summary'!$AL$6:$AQ$13,6,FALSE),F697)</f>
        <v>5.9405263157894746E-2</v>
      </c>
      <c r="G698" t="str">
        <f>IFERROR(VLOOKUP(B698,'Pre-Summary'!$AE$6:$AJ$85,3,FALSE),"")</f>
        <v/>
      </c>
      <c r="H698" t="str">
        <f>IFERROR(VLOOKUP(B698,'Pre-Summary'!$AE$6:$AJ$85,4,FALSE),"")</f>
        <v/>
      </c>
      <c r="I698" t="str">
        <f>IFERROR(VLOOKUP(B698,'Pre-Summary'!$AE$6:$AJ$85,5,FALSE),"")</f>
        <v/>
      </c>
      <c r="J698" s="45" t="str">
        <f>IFERROR(VLOOKUP(B698,'Pre-Summary'!$AE$6:$AJ$85,6, FALSE),"")</f>
        <v/>
      </c>
      <c r="K698" s="45" t="str">
        <f>IFERROR(VLOOKUP(B698,'Pre-Summary'!$DE$6:$DG$61,3,FALSE),"")</f>
        <v/>
      </c>
      <c r="L698" s="45" t="str">
        <f>IFERROR(VLOOKUP(B698,'Pre-Summary'!$CU$6:$CW$36,3,FALSE),"")</f>
        <v/>
      </c>
      <c r="M698" s="45" t="str">
        <f>IFERROR(VLOOKUP(B698,'Pre-Summary'!$BW$6:$BY$58,2,FALSE),"")</f>
        <v/>
      </c>
      <c r="N698" s="45" t="str">
        <f>IFERROR(VLOOKUP(B698,'Pre-Summary'!$CD$6:$CF$64,2,FALSE),"")</f>
        <v/>
      </c>
      <c r="O698" s="99">
        <f>IFERROR(VLOOKUP(B698,'Pre-Summary'!$BO$6:$BQ$48,3, FALSE),O697)</f>
        <v>0.98799999999999999</v>
      </c>
      <c r="P698" s="99">
        <f>IFERROR(VLOOKUP(B698,'Pre-Summary'!$BS$6:$BU$35,3,FALSE),P697)</f>
        <v>0.34399999999999997</v>
      </c>
      <c r="Q698" s="54">
        <f t="shared" si="30"/>
        <v>2.8720930232558142</v>
      </c>
      <c r="R698" s="53">
        <f>IFERROR(VLOOKUP(B698,'Pre-Summary'!$BG$6:$BM$44,7,FALSE),R699)</f>
        <v>7.5915763918363535E-2</v>
      </c>
      <c r="S698" s="53">
        <f>IFERROR(VLOOKUP(B698,'Pre-Summary'!$BG$6:$BM$44,6,FALSE),S699)</f>
        <v>5.2897473997019086E-2</v>
      </c>
      <c r="T698" s="45" t="str">
        <f>IFERROR(VLOOKUP(B698,'Pre-Summary'!$Y$6:$AC$83, 3,FALSE),"")</f>
        <v/>
      </c>
      <c r="U698" s="45" t="str">
        <f>IFERROR(VLOOKUP(B698,'Pre-Summary'!$Y$6:$AC$83, 4,FALSE),"")</f>
        <v/>
      </c>
      <c r="V698" t="str">
        <f>IFERROR(VLOOKUP(B698,'Pre-Summary'!$Y$6:$AC$83, 5,FALSE),"")</f>
        <v/>
      </c>
      <c r="W698" s="45" t="str">
        <f>IFERROR(VLOOKUP(B698,'Pre-Summary'!$Y$6:$AD$83,6,FALSE),"")</f>
        <v/>
      </c>
      <c r="X698" t="str">
        <f>IFERROR(VLOOKUP('Pre-Summary'!$DB$6:$DD$63,3,FALSE),"")</f>
        <v/>
      </c>
      <c r="Y698" t="str">
        <f>IFERROR(VLOOKUP(B698,'Pre-Summary'!$CR$6:$CT$36,3,FALSE),"")</f>
        <v/>
      </c>
      <c r="Z698" s="45" t="str">
        <f>IFERROR(VLOOKUP(B698,'Pre-Summary'!$BZ$6:$CB$63,2,FALSE),"")</f>
        <v/>
      </c>
      <c r="AA698" s="45" t="str">
        <f>IFERROR(VLOOKUP(B698,'Pre-Summary'!$CG$6:$CI$70,2,FALSE),"")</f>
        <v/>
      </c>
      <c r="AB698" s="99">
        <f>IFERROR(VLOOKUP(B698,'Pre-Summary'!$A$6:$P$178,9,FALSE),AB699)</f>
        <v>0.84881825135540423</v>
      </c>
      <c r="AC698" s="10">
        <f>IFERROR(VLOOKUP(Summary!B698,'Pre-Summary'!$A$6:$P$184,5, FALSE)/100,AC699)</f>
        <v>0.77505331832279212</v>
      </c>
      <c r="AD698" s="10">
        <f>IFERROR(VLOOKUP(Summary!B698,'Pre-Summary'!$A$6:$P$184,3, FALSE)/100,AD699)</f>
        <v>3.6833887159730253E-3</v>
      </c>
      <c r="AE698" s="10">
        <f>IFERROR(VLOOKUP(Summary!B698,'Pre-Summary'!$A$6:$P$184,7, FALSE)/100,AE699)</f>
        <v>0.221264232960907</v>
      </c>
      <c r="AF698" s="99">
        <f t="shared" si="31"/>
        <v>3.1265275689544509E-3</v>
      </c>
      <c r="AG698" s="99">
        <f t="shared" si="32"/>
        <v>0.18781311930937186</v>
      </c>
      <c r="AH698" s="10" t="str">
        <f>IFERROR(VLOOKUP(B698,'Pre-Summary'!$AZ$6:$BE$65,3,FALSE),"")</f>
        <v/>
      </c>
      <c r="AI698" s="10" t="str">
        <f>IFERROR(VLOOKUP(B698,'Pre-Summary'!$AZ$6:$BE$65,5,FALSE),"")</f>
        <v/>
      </c>
      <c r="AJ698" s="10" t="str">
        <f>IFERROR(VLOOKUP(B698,'Pre-Summary'!$AZ$6:$BE$65,4,FALSE),"")</f>
        <v/>
      </c>
      <c r="AK698" s="10" t="str">
        <f>IFERROR(VLOOKUP(B698,'Pre-Summary'!$AZ$6:$BE$65,6,FALSE),"")</f>
        <v/>
      </c>
      <c r="AL698" s="10" t="str">
        <f>IFERROR(VLOOKUP(B698,'Pre-Summary'!$BG$6:$BL$44,3,FALSE),"")</f>
        <v/>
      </c>
      <c r="AM698" s="10" t="str">
        <f>IFERROR(VLOOKUP(B698,'Pre-Summary'!$BG$6:$BL$44,4,FALSE),"")</f>
        <v/>
      </c>
    </row>
    <row r="699" spans="2:39" ht="15" customHeight="1" x14ac:dyDescent="0.3">
      <c r="B699">
        <v>69.599999999999994</v>
      </c>
      <c r="C699" t="str">
        <f>IFERROR(VLOOKUP(B699,'Pre-Summary'!$DI$6:$DM$23,4,FALSE),"")</f>
        <v/>
      </c>
      <c r="D699" s="10" t="str">
        <f>IFERROR(VLOOKUP(B699,'Pre-Summary'!$AT$6:$AX$14,5,FALSE),D698)</f>
        <v>DSMZ v2: Dropped Na-Ac out of DSMZ 120 media</v>
      </c>
      <c r="E699" s="10" t="str">
        <f>IFERROR(VLOOKUP(B699,'Pre-Summary'!$AT$6:$AX$15,4,FALSE),"")</f>
        <v/>
      </c>
      <c r="F699">
        <f>IFERROR(VLOOKUP(B699,'Pre-Summary'!$AL$6:$AQ$13,6,FALSE),F698)</f>
        <v>5.9405263157894746E-2</v>
      </c>
      <c r="G699" t="str">
        <f>IFERROR(VLOOKUP(B699,'Pre-Summary'!$AE$6:$AJ$85,3,FALSE),"")</f>
        <v/>
      </c>
      <c r="H699" t="str">
        <f>IFERROR(VLOOKUP(B699,'Pre-Summary'!$AE$6:$AJ$85,4,FALSE),"")</f>
        <v/>
      </c>
      <c r="I699" t="str">
        <f>IFERROR(VLOOKUP(B699,'Pre-Summary'!$AE$6:$AJ$85,5,FALSE),"")</f>
        <v/>
      </c>
      <c r="J699" s="45" t="str">
        <f>IFERROR(VLOOKUP(B699,'Pre-Summary'!$AE$6:$AJ$85,6, FALSE),"")</f>
        <v/>
      </c>
      <c r="K699" s="45" t="str">
        <f>IFERROR(VLOOKUP(B699,'Pre-Summary'!$DE$6:$DG$61,3,FALSE),"")</f>
        <v/>
      </c>
      <c r="L699" s="45" t="str">
        <f>IFERROR(VLOOKUP(B699,'Pre-Summary'!$CU$6:$CW$36,3,FALSE),"")</f>
        <v/>
      </c>
      <c r="M699" s="45" t="str">
        <f>IFERROR(VLOOKUP(B699,'Pre-Summary'!$BW$6:$BY$58,2,FALSE),"")</f>
        <v/>
      </c>
      <c r="N699" s="45" t="str">
        <f>IFERROR(VLOOKUP(B699,'Pre-Summary'!$CD$6:$CF$64,2,FALSE),"")</f>
        <v/>
      </c>
      <c r="O699" s="99">
        <f>IFERROR(VLOOKUP(B699,'Pre-Summary'!$BO$6:$BQ$48,3, FALSE),O698)</f>
        <v>0.98799999999999999</v>
      </c>
      <c r="P699" s="99">
        <f>IFERROR(VLOOKUP(B699,'Pre-Summary'!$BS$6:$BU$35,3,FALSE),P698)</f>
        <v>0.34399999999999997</v>
      </c>
      <c r="Q699" s="54">
        <f t="shared" si="30"/>
        <v>2.8720930232558142</v>
      </c>
      <c r="R699" s="53">
        <f>IFERROR(VLOOKUP(B699,'Pre-Summary'!$BG$6:$BM$44,7,FALSE),R700)</f>
        <v>7.5915763918363535E-2</v>
      </c>
      <c r="S699" s="53">
        <f>IFERROR(VLOOKUP(B699,'Pre-Summary'!$BG$6:$BM$44,6,FALSE),S700)</f>
        <v>5.2897473997019086E-2</v>
      </c>
      <c r="T699" s="45" t="str">
        <f>IFERROR(VLOOKUP(B699,'Pre-Summary'!$Y$6:$AC$83, 3,FALSE),"")</f>
        <v/>
      </c>
      <c r="U699" s="45" t="str">
        <f>IFERROR(VLOOKUP(B699,'Pre-Summary'!$Y$6:$AC$83, 4,FALSE),"")</f>
        <v/>
      </c>
      <c r="V699" t="str">
        <f>IFERROR(VLOOKUP(B699,'Pre-Summary'!$Y$6:$AC$83, 5,FALSE),"")</f>
        <v/>
      </c>
      <c r="W699" s="45" t="str">
        <f>IFERROR(VLOOKUP(B699,'Pre-Summary'!$Y$6:$AD$83,6,FALSE),"")</f>
        <v/>
      </c>
      <c r="X699" t="str">
        <f>IFERROR(VLOOKUP('Pre-Summary'!$DB$6:$DD$63,3,FALSE),"")</f>
        <v/>
      </c>
      <c r="Y699" t="str">
        <f>IFERROR(VLOOKUP(B699,'Pre-Summary'!$CR$6:$CT$36,3,FALSE),"")</f>
        <v/>
      </c>
      <c r="Z699" s="45" t="str">
        <f>IFERROR(VLOOKUP(B699,'Pre-Summary'!$BZ$6:$CB$63,2,FALSE),"")</f>
        <v/>
      </c>
      <c r="AA699" s="45" t="str">
        <f>IFERROR(VLOOKUP(B699,'Pre-Summary'!$CG$6:$CI$70,2,FALSE),"")</f>
        <v/>
      </c>
      <c r="AB699" s="99">
        <f>IFERROR(VLOOKUP(B699,'Pre-Summary'!$A$6:$P$178,9,FALSE),AB700)</f>
        <v>0.84881825135540423</v>
      </c>
      <c r="AC699" s="10">
        <f>IFERROR(VLOOKUP(Summary!B699,'Pre-Summary'!$A$6:$P$184,5, FALSE)/100,AC700)</f>
        <v>0.77505331832279212</v>
      </c>
      <c r="AD699" s="10">
        <f>IFERROR(VLOOKUP(Summary!B699,'Pre-Summary'!$A$6:$P$184,3, FALSE)/100,AD700)</f>
        <v>3.6833887159730253E-3</v>
      </c>
      <c r="AE699" s="10">
        <f>IFERROR(VLOOKUP(Summary!B699,'Pre-Summary'!$A$6:$P$184,7, FALSE)/100,AE700)</f>
        <v>0.221264232960907</v>
      </c>
      <c r="AF699" s="99">
        <f t="shared" si="31"/>
        <v>3.1265275689544509E-3</v>
      </c>
      <c r="AG699" s="99">
        <f t="shared" si="32"/>
        <v>0.18781311930937186</v>
      </c>
      <c r="AH699" s="10" t="str">
        <f>IFERROR(VLOOKUP(B699,'Pre-Summary'!$AZ$6:$BE$65,3,FALSE),"")</f>
        <v/>
      </c>
      <c r="AI699" s="10" t="str">
        <f>IFERROR(VLOOKUP(B699,'Pre-Summary'!$AZ$6:$BE$65,5,FALSE),"")</f>
        <v/>
      </c>
      <c r="AJ699" s="10" t="str">
        <f>IFERROR(VLOOKUP(B699,'Pre-Summary'!$AZ$6:$BE$65,4,FALSE),"")</f>
        <v/>
      </c>
      <c r="AK699" s="10" t="str">
        <f>IFERROR(VLOOKUP(B699,'Pre-Summary'!$AZ$6:$BE$65,6,FALSE),"")</f>
        <v/>
      </c>
      <c r="AL699" s="10" t="str">
        <f>IFERROR(VLOOKUP(B699,'Pre-Summary'!$BG$6:$BL$44,3,FALSE),"")</f>
        <v/>
      </c>
      <c r="AM699" s="10" t="str">
        <f>IFERROR(VLOOKUP(B699,'Pre-Summary'!$BG$6:$BL$44,4,FALSE),"")</f>
        <v/>
      </c>
    </row>
    <row r="700" spans="2:39" ht="15" customHeight="1" x14ac:dyDescent="0.3">
      <c r="B700">
        <v>69.7</v>
      </c>
      <c r="C700" t="str">
        <f>IFERROR(VLOOKUP(B700,'Pre-Summary'!$DI$6:$DM$23,4,FALSE),"")</f>
        <v/>
      </c>
      <c r="D700" s="10" t="str">
        <f>IFERROR(VLOOKUP(B700,'Pre-Summary'!$AT$6:$AX$14,5,FALSE),D699)</f>
        <v>DSMZ v2: Dropped Na-Ac out of DSMZ 120 media</v>
      </c>
      <c r="E700" s="10" t="str">
        <f>IFERROR(VLOOKUP(B700,'Pre-Summary'!$AT$6:$AX$15,4,FALSE),"")</f>
        <v/>
      </c>
      <c r="F700">
        <f>IFERROR(VLOOKUP(B700,'Pre-Summary'!$AL$6:$AQ$13,6,FALSE),F699)</f>
        <v>5.9405263157894746E-2</v>
      </c>
      <c r="G700" t="str">
        <f>IFERROR(VLOOKUP(B700,'Pre-Summary'!$AE$6:$AJ$85,3,FALSE),"")</f>
        <v/>
      </c>
      <c r="H700" t="str">
        <f>IFERROR(VLOOKUP(B700,'Pre-Summary'!$AE$6:$AJ$85,4,FALSE),"")</f>
        <v/>
      </c>
      <c r="I700" t="str">
        <f>IFERROR(VLOOKUP(B700,'Pre-Summary'!$AE$6:$AJ$85,5,FALSE),"")</f>
        <v/>
      </c>
      <c r="J700" s="45" t="str">
        <f>IFERROR(VLOOKUP(B700,'Pre-Summary'!$AE$6:$AJ$85,6, FALSE),"")</f>
        <v/>
      </c>
      <c r="K700" s="45" t="str">
        <f>IFERROR(VLOOKUP(B700,'Pre-Summary'!$DE$6:$DG$61,3,FALSE),"")</f>
        <v/>
      </c>
      <c r="L700" s="45" t="str">
        <f>IFERROR(VLOOKUP(B700,'Pre-Summary'!$CU$6:$CW$36,3,FALSE),"")</f>
        <v/>
      </c>
      <c r="M700" s="45" t="str">
        <f>IFERROR(VLOOKUP(B700,'Pre-Summary'!$BW$6:$BY$58,2,FALSE),"")</f>
        <v/>
      </c>
      <c r="N700" s="45" t="str">
        <f>IFERROR(VLOOKUP(B700,'Pre-Summary'!$CD$6:$CF$64,2,FALSE),"")</f>
        <v/>
      </c>
      <c r="O700" s="99">
        <f>IFERROR(VLOOKUP(B700,'Pre-Summary'!$BO$6:$BQ$48,3, FALSE),O699)</f>
        <v>0.98799999999999999</v>
      </c>
      <c r="P700" s="99">
        <f>IFERROR(VLOOKUP(B700,'Pre-Summary'!$BS$6:$BU$35,3,FALSE),P699)</f>
        <v>0.34399999999999997</v>
      </c>
      <c r="Q700" s="54">
        <f t="shared" si="30"/>
        <v>2.8720930232558142</v>
      </c>
      <c r="R700" s="53">
        <f>IFERROR(VLOOKUP(B700,'Pre-Summary'!$BG$6:$BM$44,7,FALSE),R701)</f>
        <v>7.5915763918363535E-2</v>
      </c>
      <c r="S700" s="53">
        <f>IFERROR(VLOOKUP(B700,'Pre-Summary'!$BG$6:$BM$44,6,FALSE),S701)</f>
        <v>5.2897473997019086E-2</v>
      </c>
      <c r="T700" s="45" t="str">
        <f>IFERROR(VLOOKUP(B700,'Pre-Summary'!$Y$6:$AC$83, 3,FALSE),"")</f>
        <v/>
      </c>
      <c r="U700" s="45" t="str">
        <f>IFERROR(VLOOKUP(B700,'Pre-Summary'!$Y$6:$AC$83, 4,FALSE),"")</f>
        <v/>
      </c>
      <c r="V700" t="str">
        <f>IFERROR(VLOOKUP(B700,'Pre-Summary'!$Y$6:$AC$83, 5,FALSE),"")</f>
        <v/>
      </c>
      <c r="W700" s="45" t="str">
        <f>IFERROR(VLOOKUP(B700,'Pre-Summary'!$Y$6:$AD$83,6,FALSE),"")</f>
        <v/>
      </c>
      <c r="X700" t="str">
        <f>IFERROR(VLOOKUP('Pre-Summary'!$DB$6:$DD$63,3,FALSE),"")</f>
        <v/>
      </c>
      <c r="Y700" t="str">
        <f>IFERROR(VLOOKUP(B700,'Pre-Summary'!$CR$6:$CT$36,3,FALSE),"")</f>
        <v/>
      </c>
      <c r="Z700" s="45" t="str">
        <f>IFERROR(VLOOKUP(B700,'Pre-Summary'!$BZ$6:$CB$63,2,FALSE),"")</f>
        <v/>
      </c>
      <c r="AA700" s="45" t="str">
        <f>IFERROR(VLOOKUP(B700,'Pre-Summary'!$CG$6:$CI$70,2,FALSE),"")</f>
        <v/>
      </c>
      <c r="AB700" s="99">
        <f>IFERROR(VLOOKUP(B700,'Pre-Summary'!$A$6:$P$178,9,FALSE),AB701)</f>
        <v>0.84881825135540423</v>
      </c>
      <c r="AC700" s="10">
        <f>IFERROR(VLOOKUP(Summary!B700,'Pre-Summary'!$A$6:$P$184,5, FALSE)/100,AC701)</f>
        <v>0.77505331832279212</v>
      </c>
      <c r="AD700" s="10">
        <f>IFERROR(VLOOKUP(Summary!B700,'Pre-Summary'!$A$6:$P$184,3, FALSE)/100,AD701)</f>
        <v>3.6833887159730253E-3</v>
      </c>
      <c r="AE700" s="10">
        <f>IFERROR(VLOOKUP(Summary!B700,'Pre-Summary'!$A$6:$P$184,7, FALSE)/100,AE701)</f>
        <v>0.221264232960907</v>
      </c>
      <c r="AF700" s="99">
        <f t="shared" si="31"/>
        <v>3.1265275689544509E-3</v>
      </c>
      <c r="AG700" s="99">
        <f t="shared" si="32"/>
        <v>0.18781311930937186</v>
      </c>
      <c r="AH700" s="10" t="str">
        <f>IFERROR(VLOOKUP(B700,'Pre-Summary'!$AZ$6:$BE$65,3,FALSE),"")</f>
        <v/>
      </c>
      <c r="AI700" s="10" t="str">
        <f>IFERROR(VLOOKUP(B700,'Pre-Summary'!$AZ$6:$BE$65,5,FALSE),"")</f>
        <v/>
      </c>
      <c r="AJ700" s="10" t="str">
        <f>IFERROR(VLOOKUP(B700,'Pre-Summary'!$AZ$6:$BE$65,4,FALSE),"")</f>
        <v/>
      </c>
      <c r="AK700" s="10" t="str">
        <f>IFERROR(VLOOKUP(B700,'Pre-Summary'!$AZ$6:$BE$65,6,FALSE),"")</f>
        <v/>
      </c>
      <c r="AL700" s="10" t="str">
        <f>IFERROR(VLOOKUP(B700,'Pre-Summary'!$BG$6:$BL$44,3,FALSE),"")</f>
        <v/>
      </c>
      <c r="AM700" s="10" t="str">
        <f>IFERROR(VLOOKUP(B700,'Pre-Summary'!$BG$6:$BL$44,4,FALSE),"")</f>
        <v/>
      </c>
    </row>
    <row r="701" spans="2:39" ht="15" customHeight="1" x14ac:dyDescent="0.3">
      <c r="B701">
        <v>69.8</v>
      </c>
      <c r="C701" t="str">
        <f>IFERROR(VLOOKUP(B701,'Pre-Summary'!$DI$6:$DM$23,4,FALSE),"")</f>
        <v/>
      </c>
      <c r="D701" s="10" t="str">
        <f>IFERROR(VLOOKUP(B701,'Pre-Summary'!$AT$6:$AX$14,5,FALSE),D700)</f>
        <v>DSMZ v2: Dropped Na-Ac out of DSMZ 120 media</v>
      </c>
      <c r="E701" s="10" t="str">
        <f>IFERROR(VLOOKUP(B701,'Pre-Summary'!$AT$6:$AX$15,4,FALSE),"")</f>
        <v/>
      </c>
      <c r="F701">
        <f>IFERROR(VLOOKUP(B701,'Pre-Summary'!$AL$6:$AQ$13,6,FALSE),F700)</f>
        <v>5.9405263157894746E-2</v>
      </c>
      <c r="G701" t="str">
        <f>IFERROR(VLOOKUP(B701,'Pre-Summary'!$AE$6:$AJ$85,3,FALSE),"")</f>
        <v/>
      </c>
      <c r="H701" t="str">
        <f>IFERROR(VLOOKUP(B701,'Pre-Summary'!$AE$6:$AJ$85,4,FALSE),"")</f>
        <v/>
      </c>
      <c r="I701" t="str">
        <f>IFERROR(VLOOKUP(B701,'Pre-Summary'!$AE$6:$AJ$85,5,FALSE),"")</f>
        <v/>
      </c>
      <c r="J701" s="45" t="str">
        <f>IFERROR(VLOOKUP(B701,'Pre-Summary'!$AE$6:$AJ$85,6, FALSE),"")</f>
        <v/>
      </c>
      <c r="K701" s="45" t="str">
        <f>IFERROR(VLOOKUP(B701,'Pre-Summary'!$DE$6:$DG$61,3,FALSE),"")</f>
        <v/>
      </c>
      <c r="L701" s="45" t="str">
        <f>IFERROR(VLOOKUP(B701,'Pre-Summary'!$CU$6:$CW$36,3,FALSE),"")</f>
        <v/>
      </c>
      <c r="M701" s="45" t="str">
        <f>IFERROR(VLOOKUP(B701,'Pre-Summary'!$BW$6:$BY$58,2,FALSE),"")</f>
        <v/>
      </c>
      <c r="N701" s="45" t="str">
        <f>IFERROR(VLOOKUP(B701,'Pre-Summary'!$CD$6:$CF$64,2,FALSE),"")</f>
        <v/>
      </c>
      <c r="O701" s="99">
        <f>IFERROR(VLOOKUP(B701,'Pre-Summary'!$BO$6:$BQ$48,3, FALSE),O700)</f>
        <v>0.98799999999999999</v>
      </c>
      <c r="P701" s="99">
        <f>IFERROR(VLOOKUP(B701,'Pre-Summary'!$BS$6:$BU$35,3,FALSE),P700)</f>
        <v>0.34399999999999997</v>
      </c>
      <c r="Q701" s="54">
        <f t="shared" si="30"/>
        <v>2.8720930232558142</v>
      </c>
      <c r="R701" s="53">
        <f>IFERROR(VLOOKUP(B701,'Pre-Summary'!$BG$6:$BM$44,7,FALSE),R702)</f>
        <v>7.5915763918363535E-2</v>
      </c>
      <c r="S701" s="53">
        <f>IFERROR(VLOOKUP(B701,'Pre-Summary'!$BG$6:$BM$44,6,FALSE),S702)</f>
        <v>5.2897473997019086E-2</v>
      </c>
      <c r="T701" s="45" t="str">
        <f>IFERROR(VLOOKUP(B701,'Pre-Summary'!$Y$6:$AC$83, 3,FALSE),"")</f>
        <v/>
      </c>
      <c r="U701" s="45" t="str">
        <f>IFERROR(VLOOKUP(B701,'Pre-Summary'!$Y$6:$AC$83, 4,FALSE),"")</f>
        <v/>
      </c>
      <c r="V701" t="str">
        <f>IFERROR(VLOOKUP(B701,'Pre-Summary'!$Y$6:$AC$83, 5,FALSE),"")</f>
        <v/>
      </c>
      <c r="W701" s="45" t="str">
        <f>IFERROR(VLOOKUP(B701,'Pre-Summary'!$Y$6:$AD$83,6,FALSE),"")</f>
        <v/>
      </c>
      <c r="X701" t="str">
        <f>IFERROR(VLOOKUP('Pre-Summary'!$DB$6:$DD$63,3,FALSE),"")</f>
        <v/>
      </c>
      <c r="Y701" t="str">
        <f>IFERROR(VLOOKUP(B701,'Pre-Summary'!$CR$6:$CT$36,3,FALSE),"")</f>
        <v/>
      </c>
      <c r="Z701" s="45" t="str">
        <f>IFERROR(VLOOKUP(B701,'Pre-Summary'!$BZ$6:$CB$63,2,FALSE),"")</f>
        <v/>
      </c>
      <c r="AA701" s="45" t="str">
        <f>IFERROR(VLOOKUP(B701,'Pre-Summary'!$CG$6:$CI$70,2,FALSE),"")</f>
        <v/>
      </c>
      <c r="AB701" s="99">
        <f>IFERROR(VLOOKUP(B701,'Pre-Summary'!$A$6:$P$178,9,FALSE),AB702)</f>
        <v>0.84881825135540423</v>
      </c>
      <c r="AC701" s="10">
        <f>IFERROR(VLOOKUP(Summary!B701,'Pre-Summary'!$A$6:$P$184,5, FALSE)/100,AC702)</f>
        <v>0.77505331832279212</v>
      </c>
      <c r="AD701" s="10">
        <f>IFERROR(VLOOKUP(Summary!B701,'Pre-Summary'!$A$6:$P$184,3, FALSE)/100,AD702)</f>
        <v>3.6833887159730253E-3</v>
      </c>
      <c r="AE701" s="10">
        <f>IFERROR(VLOOKUP(Summary!B701,'Pre-Summary'!$A$6:$P$184,7, FALSE)/100,AE702)</f>
        <v>0.221264232960907</v>
      </c>
      <c r="AF701" s="99">
        <f t="shared" si="31"/>
        <v>3.1265275689544509E-3</v>
      </c>
      <c r="AG701" s="99">
        <f t="shared" si="32"/>
        <v>0.18781311930937186</v>
      </c>
      <c r="AH701" s="10" t="str">
        <f>IFERROR(VLOOKUP(B701,'Pre-Summary'!$AZ$6:$BE$65,3,FALSE),"")</f>
        <v/>
      </c>
      <c r="AI701" s="10" t="str">
        <f>IFERROR(VLOOKUP(B701,'Pre-Summary'!$AZ$6:$BE$65,5,FALSE),"")</f>
        <v/>
      </c>
      <c r="AJ701" s="10" t="str">
        <f>IFERROR(VLOOKUP(B701,'Pre-Summary'!$AZ$6:$BE$65,4,FALSE),"")</f>
        <v/>
      </c>
      <c r="AK701" s="10" t="str">
        <f>IFERROR(VLOOKUP(B701,'Pre-Summary'!$AZ$6:$BE$65,6,FALSE),"")</f>
        <v/>
      </c>
      <c r="AL701" s="10" t="str">
        <f>IFERROR(VLOOKUP(B701,'Pre-Summary'!$BG$6:$BL$44,3,FALSE),"")</f>
        <v/>
      </c>
      <c r="AM701" s="10" t="str">
        <f>IFERROR(VLOOKUP(B701,'Pre-Summary'!$BG$6:$BL$44,4,FALSE),"")</f>
        <v/>
      </c>
    </row>
    <row r="702" spans="2:39" ht="15" customHeight="1" x14ac:dyDescent="0.3">
      <c r="B702">
        <v>69.900000000000006</v>
      </c>
      <c r="C702" t="str">
        <f>IFERROR(VLOOKUP(B702,'Pre-Summary'!$DI$6:$DM$23,4,FALSE),"")</f>
        <v/>
      </c>
      <c r="D702" s="10" t="str">
        <f>IFERROR(VLOOKUP(B702,'Pre-Summary'!$AT$6:$AX$14,5,FALSE),D701)</f>
        <v>DSMZ v2: Dropped Na-Ac out of DSMZ 120 media</v>
      </c>
      <c r="E702" s="10" t="str">
        <f>IFERROR(VLOOKUP(B702,'Pre-Summary'!$AT$6:$AX$15,4,FALSE),"")</f>
        <v/>
      </c>
      <c r="F702">
        <f>IFERROR(VLOOKUP(B702,'Pre-Summary'!$AL$6:$AQ$13,6,FALSE),F701)</f>
        <v>5.9405263157894746E-2</v>
      </c>
      <c r="G702" t="str">
        <f>IFERROR(VLOOKUP(B702,'Pre-Summary'!$AE$6:$AJ$85,3,FALSE),"")</f>
        <v/>
      </c>
      <c r="H702" t="str">
        <f>IFERROR(VLOOKUP(B702,'Pre-Summary'!$AE$6:$AJ$85,4,FALSE),"")</f>
        <v/>
      </c>
      <c r="I702" t="str">
        <f>IFERROR(VLOOKUP(B702,'Pre-Summary'!$AE$6:$AJ$85,5,FALSE),"")</f>
        <v/>
      </c>
      <c r="J702" s="45" t="str">
        <f>IFERROR(VLOOKUP(B702,'Pre-Summary'!$AE$6:$AJ$85,6, FALSE),"")</f>
        <v/>
      </c>
      <c r="K702" s="45" t="str">
        <f>IFERROR(VLOOKUP(B702,'Pre-Summary'!$DE$6:$DG$61,3,FALSE),"")</f>
        <v/>
      </c>
      <c r="L702" s="45" t="str">
        <f>IFERROR(VLOOKUP(B702,'Pre-Summary'!$CU$6:$CW$36,3,FALSE),"")</f>
        <v/>
      </c>
      <c r="M702" s="45" t="str">
        <f>IFERROR(VLOOKUP(B702,'Pre-Summary'!$BW$6:$BY$58,2,FALSE),"")</f>
        <v/>
      </c>
      <c r="N702" s="45" t="str">
        <f>IFERROR(VLOOKUP(B702,'Pre-Summary'!$CD$6:$CF$64,2,FALSE),"")</f>
        <v/>
      </c>
      <c r="O702" s="99">
        <f>IFERROR(VLOOKUP(B702,'Pre-Summary'!$BO$6:$BQ$48,3, FALSE),O701)</f>
        <v>0.98799999999999999</v>
      </c>
      <c r="P702" s="99">
        <f>IFERROR(VLOOKUP(B702,'Pre-Summary'!$BS$6:$BU$35,3,FALSE),P701)</f>
        <v>0.34399999999999997</v>
      </c>
      <c r="Q702" s="54">
        <f t="shared" si="30"/>
        <v>2.8720930232558142</v>
      </c>
      <c r="R702" s="53">
        <f>IFERROR(VLOOKUP(B702,'Pre-Summary'!$BG$6:$BM$44,7,FALSE),R703)</f>
        <v>7.5915763918363535E-2</v>
      </c>
      <c r="S702" s="53">
        <f>IFERROR(VLOOKUP(B702,'Pre-Summary'!$BG$6:$BM$44,6,FALSE),S703)</f>
        <v>5.2897473997019086E-2</v>
      </c>
      <c r="T702" s="45" t="str">
        <f>IFERROR(VLOOKUP(B702,'Pre-Summary'!$Y$6:$AC$83, 3,FALSE),"")</f>
        <v/>
      </c>
      <c r="U702" s="45" t="str">
        <f>IFERROR(VLOOKUP(B702,'Pre-Summary'!$Y$6:$AC$83, 4,FALSE),"")</f>
        <v/>
      </c>
      <c r="V702" t="str">
        <f>IFERROR(VLOOKUP(B702,'Pre-Summary'!$Y$6:$AC$83, 5,FALSE),"")</f>
        <v/>
      </c>
      <c r="W702" s="45" t="str">
        <f>IFERROR(VLOOKUP(B702,'Pre-Summary'!$Y$6:$AD$83,6,FALSE),"")</f>
        <v/>
      </c>
      <c r="X702" t="str">
        <f>IFERROR(VLOOKUP('Pre-Summary'!$DB$6:$DD$63,3,FALSE),"")</f>
        <v/>
      </c>
      <c r="Y702" t="str">
        <f>IFERROR(VLOOKUP(B702,'Pre-Summary'!$CR$6:$CT$36,3,FALSE),"")</f>
        <v/>
      </c>
      <c r="Z702" s="45" t="str">
        <f>IFERROR(VLOOKUP(B702,'Pre-Summary'!$BZ$6:$CB$63,2,FALSE),"")</f>
        <v/>
      </c>
      <c r="AA702" s="45" t="str">
        <f>IFERROR(VLOOKUP(B702,'Pre-Summary'!$CG$6:$CI$70,2,FALSE),"")</f>
        <v/>
      </c>
      <c r="AB702" s="99">
        <f>IFERROR(VLOOKUP(B702,'Pre-Summary'!$A$6:$P$178,9,FALSE),AB703)</f>
        <v>0.84881825135540423</v>
      </c>
      <c r="AC702" s="10">
        <f>IFERROR(VLOOKUP(Summary!B702,'Pre-Summary'!$A$6:$P$184,5, FALSE)/100,AC703)</f>
        <v>0.77505331832279212</v>
      </c>
      <c r="AD702" s="10">
        <f>IFERROR(VLOOKUP(Summary!B702,'Pre-Summary'!$A$6:$P$184,3, FALSE)/100,AD703)</f>
        <v>3.6833887159730253E-3</v>
      </c>
      <c r="AE702" s="10">
        <f>IFERROR(VLOOKUP(Summary!B702,'Pre-Summary'!$A$6:$P$184,7, FALSE)/100,AE703)</f>
        <v>0.221264232960907</v>
      </c>
      <c r="AF702" s="99">
        <f t="shared" si="31"/>
        <v>3.1265275689544509E-3</v>
      </c>
      <c r="AG702" s="99">
        <f t="shared" si="32"/>
        <v>0.18781311930937186</v>
      </c>
      <c r="AH702" s="10" t="str">
        <f>IFERROR(VLOOKUP(B702,'Pre-Summary'!$AZ$6:$BE$65,3,FALSE),"")</f>
        <v/>
      </c>
      <c r="AI702" s="10" t="str">
        <f>IFERROR(VLOOKUP(B702,'Pre-Summary'!$AZ$6:$BE$65,5,FALSE),"")</f>
        <v/>
      </c>
      <c r="AJ702" s="10" t="str">
        <f>IFERROR(VLOOKUP(B702,'Pre-Summary'!$AZ$6:$BE$65,4,FALSE),"")</f>
        <v/>
      </c>
      <c r="AK702" s="10" t="str">
        <f>IFERROR(VLOOKUP(B702,'Pre-Summary'!$AZ$6:$BE$65,6,FALSE),"")</f>
        <v/>
      </c>
      <c r="AL702" s="10" t="str">
        <f>IFERROR(VLOOKUP(B702,'Pre-Summary'!$BG$6:$BL$44,3,FALSE),"")</f>
        <v/>
      </c>
      <c r="AM702" s="10" t="str">
        <f>IFERROR(VLOOKUP(B702,'Pre-Summary'!$BG$6:$BL$44,4,FALSE),"")</f>
        <v/>
      </c>
    </row>
    <row r="703" spans="2:39" ht="15" customHeight="1" x14ac:dyDescent="0.3">
      <c r="B703">
        <v>70</v>
      </c>
      <c r="C703" t="str">
        <f>IFERROR(VLOOKUP(B703,'Pre-Summary'!$DI$6:$DM$23,4,FALSE),"")</f>
        <v/>
      </c>
      <c r="D703" s="10" t="str">
        <f>IFERROR(VLOOKUP(B703,'Pre-Summary'!$AT$6:$AX$14,5,FALSE),D702)</f>
        <v>DSMZ v2: Dropped Na-Ac out of DSMZ 120 media</v>
      </c>
      <c r="E703" s="10" t="str">
        <f>IFERROR(VLOOKUP(B703,'Pre-Summary'!$AT$6:$AX$15,4,FALSE),"")</f>
        <v/>
      </c>
      <c r="F703">
        <f>IFERROR(VLOOKUP(B703,'Pre-Summary'!$AL$6:$AQ$13,6,FALSE),F702)</f>
        <v>5.9405263157894746E-2</v>
      </c>
      <c r="G703" t="str">
        <f>IFERROR(VLOOKUP(B703,'Pre-Summary'!$AE$6:$AJ$85,3,FALSE),"")</f>
        <v/>
      </c>
      <c r="H703" t="str">
        <f>IFERROR(VLOOKUP(B703,'Pre-Summary'!$AE$6:$AJ$85,4,FALSE),"")</f>
        <v/>
      </c>
      <c r="I703" t="str">
        <f>IFERROR(VLOOKUP(B703,'Pre-Summary'!$AE$6:$AJ$85,5,FALSE),"")</f>
        <v/>
      </c>
      <c r="J703" s="45" t="str">
        <f>IFERROR(VLOOKUP(B703,'Pre-Summary'!$AE$6:$AJ$85,6, FALSE),"")</f>
        <v/>
      </c>
      <c r="K703" s="45" t="str">
        <f>IFERROR(VLOOKUP(B703,'Pre-Summary'!$DE$6:$DG$61,3,FALSE),"")</f>
        <v/>
      </c>
      <c r="L703" s="45" t="str">
        <f>IFERROR(VLOOKUP(B703,'Pre-Summary'!$CU$6:$CW$36,3,FALSE),"")</f>
        <v/>
      </c>
      <c r="M703" s="45" t="str">
        <f>IFERROR(VLOOKUP(B703,'Pre-Summary'!$BW$6:$BY$58,2,FALSE),"")</f>
        <v/>
      </c>
      <c r="N703" s="45" t="str">
        <f>IFERROR(VLOOKUP(B703,'Pre-Summary'!$CD$6:$CF$64,2,FALSE),"")</f>
        <v/>
      </c>
      <c r="O703" s="99">
        <f>IFERROR(VLOOKUP(B703,'Pre-Summary'!$BO$6:$BQ$48,3, FALSE),O702)</f>
        <v>0.98799999999999999</v>
      </c>
      <c r="P703" s="99">
        <f>IFERROR(VLOOKUP(B703,'Pre-Summary'!$BS$6:$BU$35,3,FALSE),P702)</f>
        <v>0.34399999999999997</v>
      </c>
      <c r="Q703" s="54">
        <f t="shared" si="30"/>
        <v>2.8720930232558142</v>
      </c>
      <c r="R703" s="53">
        <f>IFERROR(VLOOKUP(B703,'Pre-Summary'!$BG$6:$BM$44,7,FALSE),R704)</f>
        <v>7.5915763918363535E-2</v>
      </c>
      <c r="S703" s="53">
        <f>IFERROR(VLOOKUP(B703,'Pre-Summary'!$BG$6:$BM$44,6,FALSE),S704)</f>
        <v>5.2897473997019086E-2</v>
      </c>
      <c r="T703" s="45" t="str">
        <f>IFERROR(VLOOKUP(B703,'Pre-Summary'!$Y$6:$AC$83, 3,FALSE),"")</f>
        <v/>
      </c>
      <c r="U703" s="45" t="str">
        <f>IFERROR(VLOOKUP(B703,'Pre-Summary'!$Y$6:$AC$83, 4,FALSE),"")</f>
        <v/>
      </c>
      <c r="V703" t="str">
        <f>IFERROR(VLOOKUP(B703,'Pre-Summary'!$Y$6:$AC$83, 5,FALSE),"")</f>
        <v/>
      </c>
      <c r="W703" s="45" t="str">
        <f>IFERROR(VLOOKUP(B703,'Pre-Summary'!$Y$6:$AD$83,6,FALSE),"")</f>
        <v/>
      </c>
      <c r="X703" t="str">
        <f>IFERROR(VLOOKUP('Pre-Summary'!$DB$6:$DD$63,3,FALSE),"")</f>
        <v/>
      </c>
      <c r="Y703" t="str">
        <f>IFERROR(VLOOKUP(B703,'Pre-Summary'!$CR$6:$CT$36,3,FALSE),"")</f>
        <v/>
      </c>
      <c r="Z703" s="45" t="str">
        <f>IFERROR(VLOOKUP(B703,'Pre-Summary'!$BZ$6:$CB$63,2,FALSE),"")</f>
        <v/>
      </c>
      <c r="AA703" s="45" t="str">
        <f>IFERROR(VLOOKUP(B703,'Pre-Summary'!$CG$6:$CI$70,2,FALSE),"")</f>
        <v/>
      </c>
      <c r="AB703" s="99">
        <f>IFERROR(VLOOKUP(B703,'Pre-Summary'!$A$6:$P$178,9,FALSE),AB704)</f>
        <v>0.84881825135540423</v>
      </c>
      <c r="AC703" s="10">
        <f>IFERROR(VLOOKUP(Summary!B703,'Pre-Summary'!$A$6:$P$184,5, FALSE)/100,AC704)</f>
        <v>0.77505331832279212</v>
      </c>
      <c r="AD703" s="10">
        <f>IFERROR(VLOOKUP(Summary!B703,'Pre-Summary'!$A$6:$P$184,3, FALSE)/100,AD704)</f>
        <v>3.6833887159730253E-3</v>
      </c>
      <c r="AE703" s="10">
        <f>IFERROR(VLOOKUP(Summary!B703,'Pre-Summary'!$A$6:$P$184,7, FALSE)/100,AE704)</f>
        <v>0.221264232960907</v>
      </c>
      <c r="AF703" s="99">
        <f t="shared" si="31"/>
        <v>3.1265275689544509E-3</v>
      </c>
      <c r="AG703" s="99">
        <f t="shared" si="32"/>
        <v>0.18781311930937186</v>
      </c>
      <c r="AH703" s="10" t="str">
        <f>IFERROR(VLOOKUP(B703,'Pre-Summary'!$AZ$6:$BE$65,3,FALSE),"")</f>
        <v/>
      </c>
      <c r="AI703" s="10" t="str">
        <f>IFERROR(VLOOKUP(B703,'Pre-Summary'!$AZ$6:$BE$65,5,FALSE),"")</f>
        <v/>
      </c>
      <c r="AJ703" s="10" t="str">
        <f>IFERROR(VLOOKUP(B703,'Pre-Summary'!$AZ$6:$BE$65,4,FALSE),"")</f>
        <v/>
      </c>
      <c r="AK703" s="10" t="str">
        <f>IFERROR(VLOOKUP(B703,'Pre-Summary'!$AZ$6:$BE$65,6,FALSE),"")</f>
        <v/>
      </c>
      <c r="AL703" s="10" t="str">
        <f>IFERROR(VLOOKUP(B703,'Pre-Summary'!$BG$6:$BL$44,3,FALSE),"")</f>
        <v/>
      </c>
      <c r="AM703" s="10" t="str">
        <f>IFERROR(VLOOKUP(B703,'Pre-Summary'!$BG$6:$BL$44,4,FALSE),"")</f>
        <v/>
      </c>
    </row>
    <row r="704" spans="2:39" ht="15" customHeight="1" x14ac:dyDescent="0.3">
      <c r="B704">
        <v>70.099999999999994</v>
      </c>
      <c r="C704" t="str">
        <f>IFERROR(VLOOKUP(B704,'Pre-Summary'!$DI$6:$DM$23,4,FALSE),"")</f>
        <v/>
      </c>
      <c r="D704" s="10" t="str">
        <f>IFERROR(VLOOKUP(B704,'Pre-Summary'!$AT$6:$AX$14,5,FALSE),D703)</f>
        <v>DSMZ v2: Dropped Na-Ac out of DSMZ 120 media</v>
      </c>
      <c r="E704" s="10" t="str">
        <f>IFERROR(VLOOKUP(B704,'Pre-Summary'!$AT$6:$AX$15,4,FALSE),"")</f>
        <v/>
      </c>
      <c r="F704">
        <f>IFERROR(VLOOKUP(B704,'Pre-Summary'!$AL$6:$AQ$13,6,FALSE),F703)</f>
        <v>5.9405263157894746E-2</v>
      </c>
      <c r="G704" t="str">
        <f>IFERROR(VLOOKUP(B704,'Pre-Summary'!$AE$6:$AJ$85,3,FALSE),"")</f>
        <v/>
      </c>
      <c r="H704" t="str">
        <f>IFERROR(VLOOKUP(B704,'Pre-Summary'!$AE$6:$AJ$85,4,FALSE),"")</f>
        <v/>
      </c>
      <c r="I704" t="str">
        <f>IFERROR(VLOOKUP(B704,'Pre-Summary'!$AE$6:$AJ$85,5,FALSE),"")</f>
        <v/>
      </c>
      <c r="J704" s="45" t="str">
        <f>IFERROR(VLOOKUP(B704,'Pre-Summary'!$AE$6:$AJ$85,6, FALSE),"")</f>
        <v/>
      </c>
      <c r="K704" s="45" t="str">
        <f>IFERROR(VLOOKUP(B704,'Pre-Summary'!$DE$6:$DG$61,3,FALSE),"")</f>
        <v/>
      </c>
      <c r="L704" s="45" t="str">
        <f>IFERROR(VLOOKUP(B704,'Pre-Summary'!$CU$6:$CW$36,3,FALSE),"")</f>
        <v/>
      </c>
      <c r="M704" s="45" t="str">
        <f>IFERROR(VLOOKUP(B704,'Pre-Summary'!$BW$6:$BY$58,2,FALSE),"")</f>
        <v/>
      </c>
      <c r="N704" s="45" t="str">
        <f>IFERROR(VLOOKUP(B704,'Pre-Summary'!$CD$6:$CF$64,2,FALSE),"")</f>
        <v/>
      </c>
      <c r="O704" s="99">
        <f>IFERROR(VLOOKUP(B704,'Pre-Summary'!$BO$6:$BQ$48,3, FALSE),O703)</f>
        <v>0.98799999999999999</v>
      </c>
      <c r="P704" s="99">
        <f>IFERROR(VLOOKUP(B704,'Pre-Summary'!$BS$6:$BU$35,3,FALSE),P703)</f>
        <v>0.34399999999999997</v>
      </c>
      <c r="Q704" s="54">
        <f t="shared" si="30"/>
        <v>2.8720930232558142</v>
      </c>
      <c r="R704" s="53">
        <f>IFERROR(VLOOKUP(B704,'Pre-Summary'!$BG$6:$BM$44,7,FALSE),R705)</f>
        <v>7.5915763918363535E-2</v>
      </c>
      <c r="S704" s="53">
        <f>IFERROR(VLOOKUP(B704,'Pre-Summary'!$BG$6:$BM$44,6,FALSE),S705)</f>
        <v>5.2897473997019086E-2</v>
      </c>
      <c r="T704" s="45" t="str">
        <f>IFERROR(VLOOKUP(B704,'Pre-Summary'!$Y$6:$AC$83, 3,FALSE),"")</f>
        <v/>
      </c>
      <c r="U704" s="45" t="str">
        <f>IFERROR(VLOOKUP(B704,'Pre-Summary'!$Y$6:$AC$83, 4,FALSE),"")</f>
        <v/>
      </c>
      <c r="V704" t="str">
        <f>IFERROR(VLOOKUP(B704,'Pre-Summary'!$Y$6:$AC$83, 5,FALSE),"")</f>
        <v/>
      </c>
      <c r="W704" s="45" t="str">
        <f>IFERROR(VLOOKUP(B704,'Pre-Summary'!$Y$6:$AD$83,6,FALSE),"")</f>
        <v/>
      </c>
      <c r="X704" t="str">
        <f>IFERROR(VLOOKUP('Pre-Summary'!$DB$6:$DD$63,3,FALSE),"")</f>
        <v/>
      </c>
      <c r="Y704" t="str">
        <f>IFERROR(VLOOKUP(B704,'Pre-Summary'!$CR$6:$CT$36,3,FALSE),"")</f>
        <v/>
      </c>
      <c r="Z704" s="45" t="str">
        <f>IFERROR(VLOOKUP(B704,'Pre-Summary'!$BZ$6:$CB$63,2,FALSE),"")</f>
        <v/>
      </c>
      <c r="AA704" s="45" t="str">
        <f>IFERROR(VLOOKUP(B704,'Pre-Summary'!$CG$6:$CI$70,2,FALSE),"")</f>
        <v/>
      </c>
      <c r="AB704" s="99">
        <f>IFERROR(VLOOKUP(B704,'Pre-Summary'!$A$6:$P$178,9,FALSE),AB705)</f>
        <v>0.84881825135540423</v>
      </c>
      <c r="AC704" s="10">
        <f>IFERROR(VLOOKUP(Summary!B704,'Pre-Summary'!$A$6:$P$184,5, FALSE)/100,AC705)</f>
        <v>0.77505331832279212</v>
      </c>
      <c r="AD704" s="10">
        <f>IFERROR(VLOOKUP(Summary!B704,'Pre-Summary'!$A$6:$P$184,3, FALSE)/100,AD705)</f>
        <v>3.6833887159730253E-3</v>
      </c>
      <c r="AE704" s="10">
        <f>IFERROR(VLOOKUP(Summary!B704,'Pre-Summary'!$A$6:$P$184,7, FALSE)/100,AE705)</f>
        <v>0.221264232960907</v>
      </c>
      <c r="AF704" s="99">
        <f t="shared" si="31"/>
        <v>3.1265275689544509E-3</v>
      </c>
      <c r="AG704" s="99">
        <f t="shared" si="32"/>
        <v>0.18781311930937186</v>
      </c>
      <c r="AH704" s="10" t="str">
        <f>IFERROR(VLOOKUP(B704,'Pre-Summary'!$AZ$6:$BE$65,3,FALSE),"")</f>
        <v/>
      </c>
      <c r="AI704" s="10" t="str">
        <f>IFERROR(VLOOKUP(B704,'Pre-Summary'!$AZ$6:$BE$65,5,FALSE),"")</f>
        <v/>
      </c>
      <c r="AJ704" s="10" t="str">
        <f>IFERROR(VLOOKUP(B704,'Pre-Summary'!$AZ$6:$BE$65,4,FALSE),"")</f>
        <v/>
      </c>
      <c r="AK704" s="10" t="str">
        <f>IFERROR(VLOOKUP(B704,'Pre-Summary'!$AZ$6:$BE$65,6,FALSE),"")</f>
        <v/>
      </c>
      <c r="AL704" s="10" t="str">
        <f>IFERROR(VLOOKUP(B704,'Pre-Summary'!$BG$6:$BL$44,3,FALSE),"")</f>
        <v/>
      </c>
      <c r="AM704" s="10" t="str">
        <f>IFERROR(VLOOKUP(B704,'Pre-Summary'!$BG$6:$BL$44,4,FALSE),"")</f>
        <v/>
      </c>
    </row>
    <row r="705" spans="2:39" ht="15" customHeight="1" x14ac:dyDescent="0.3">
      <c r="B705">
        <v>70.2</v>
      </c>
      <c r="C705" t="str">
        <f>IFERROR(VLOOKUP(B705,'Pre-Summary'!$DI$6:$DM$23,4,FALSE),"")</f>
        <v/>
      </c>
      <c r="D705" s="10" t="str">
        <f>IFERROR(VLOOKUP(B705,'Pre-Summary'!$AT$6:$AX$14,5,FALSE),D704)</f>
        <v>DSMZ v2: Dropped Na-Ac out of DSMZ 120 media</v>
      </c>
      <c r="E705" s="10" t="str">
        <f>IFERROR(VLOOKUP(B705,'Pre-Summary'!$AT$6:$AX$15,4,FALSE),"")</f>
        <v/>
      </c>
      <c r="F705">
        <f>IFERROR(VLOOKUP(B705,'Pre-Summary'!$AL$6:$AQ$13,6,FALSE),F704)</f>
        <v>5.9405263157894746E-2</v>
      </c>
      <c r="G705" t="str">
        <f>IFERROR(VLOOKUP(B705,'Pre-Summary'!$AE$6:$AJ$85,3,FALSE),"")</f>
        <v/>
      </c>
      <c r="H705" t="str">
        <f>IFERROR(VLOOKUP(B705,'Pre-Summary'!$AE$6:$AJ$85,4,FALSE),"")</f>
        <v/>
      </c>
      <c r="I705" t="str">
        <f>IFERROR(VLOOKUP(B705,'Pre-Summary'!$AE$6:$AJ$85,5,FALSE),"")</f>
        <v/>
      </c>
      <c r="J705" s="45" t="str">
        <f>IFERROR(VLOOKUP(B705,'Pre-Summary'!$AE$6:$AJ$85,6, FALSE),"")</f>
        <v/>
      </c>
      <c r="K705" s="45" t="str">
        <f>IFERROR(VLOOKUP(B705,'Pre-Summary'!$DE$6:$DG$61,3,FALSE),"")</f>
        <v/>
      </c>
      <c r="L705" s="45" t="str">
        <f>IFERROR(VLOOKUP(B705,'Pre-Summary'!$CU$6:$CW$36,3,FALSE),"")</f>
        <v/>
      </c>
      <c r="M705" s="45" t="str">
        <f>IFERROR(VLOOKUP(B705,'Pre-Summary'!$BW$6:$BY$58,2,FALSE),"")</f>
        <v/>
      </c>
      <c r="N705" s="45" t="str">
        <f>IFERROR(VLOOKUP(B705,'Pre-Summary'!$CD$6:$CF$64,2,FALSE),"")</f>
        <v/>
      </c>
      <c r="O705" s="99">
        <f>IFERROR(VLOOKUP(B705,'Pre-Summary'!$BO$6:$BQ$48,3, FALSE),O704)</f>
        <v>0.98799999999999999</v>
      </c>
      <c r="P705" s="99">
        <f>IFERROR(VLOOKUP(B705,'Pre-Summary'!$BS$6:$BU$35,3,FALSE),P704)</f>
        <v>0.34399999999999997</v>
      </c>
      <c r="Q705" s="54">
        <f t="shared" si="30"/>
        <v>2.8720930232558142</v>
      </c>
      <c r="R705" s="53">
        <f>IFERROR(VLOOKUP(B705,'Pre-Summary'!$BG$6:$BM$44,7,FALSE),R706)</f>
        <v>7.5915763918363535E-2</v>
      </c>
      <c r="S705" s="53">
        <f>IFERROR(VLOOKUP(B705,'Pre-Summary'!$BG$6:$BM$44,6,FALSE),S706)</f>
        <v>5.2897473997019086E-2</v>
      </c>
      <c r="T705" s="45" t="str">
        <f>IFERROR(VLOOKUP(B705,'Pre-Summary'!$Y$6:$AC$83, 3,FALSE),"")</f>
        <v/>
      </c>
      <c r="U705" s="45" t="str">
        <f>IFERROR(VLOOKUP(B705,'Pre-Summary'!$Y$6:$AC$83, 4,FALSE),"")</f>
        <v/>
      </c>
      <c r="V705" t="str">
        <f>IFERROR(VLOOKUP(B705,'Pre-Summary'!$Y$6:$AC$83, 5,FALSE),"")</f>
        <v/>
      </c>
      <c r="W705" s="45" t="str">
        <f>IFERROR(VLOOKUP(B705,'Pre-Summary'!$Y$6:$AD$83,6,FALSE),"")</f>
        <v/>
      </c>
      <c r="X705" t="str">
        <f>IFERROR(VLOOKUP('Pre-Summary'!$DB$6:$DD$63,3,FALSE),"")</f>
        <v/>
      </c>
      <c r="Y705" t="str">
        <f>IFERROR(VLOOKUP(B705,'Pre-Summary'!$CR$6:$CT$36,3,FALSE),"")</f>
        <v/>
      </c>
      <c r="Z705" s="45" t="str">
        <f>IFERROR(VLOOKUP(B705,'Pre-Summary'!$BZ$6:$CB$63,2,FALSE),"")</f>
        <v/>
      </c>
      <c r="AA705" s="45" t="str">
        <f>IFERROR(VLOOKUP(B705,'Pre-Summary'!$CG$6:$CI$70,2,FALSE),"")</f>
        <v/>
      </c>
      <c r="AB705" s="99">
        <f>IFERROR(VLOOKUP(B705,'Pre-Summary'!$A$6:$P$178,9,FALSE),AB706)</f>
        <v>0.84881825135540423</v>
      </c>
      <c r="AC705" s="10">
        <f>IFERROR(VLOOKUP(Summary!B705,'Pre-Summary'!$A$6:$P$184,5, FALSE)/100,AC706)</f>
        <v>0.77505331832279212</v>
      </c>
      <c r="AD705" s="10">
        <f>IFERROR(VLOOKUP(Summary!B705,'Pre-Summary'!$A$6:$P$184,3, FALSE)/100,AD706)</f>
        <v>3.6833887159730253E-3</v>
      </c>
      <c r="AE705" s="10">
        <f>IFERROR(VLOOKUP(Summary!B705,'Pre-Summary'!$A$6:$P$184,7, FALSE)/100,AE706)</f>
        <v>0.221264232960907</v>
      </c>
      <c r="AF705" s="99">
        <f t="shared" si="31"/>
        <v>3.1265275689544509E-3</v>
      </c>
      <c r="AG705" s="99">
        <f t="shared" si="32"/>
        <v>0.18781311930937186</v>
      </c>
      <c r="AH705" s="10" t="str">
        <f>IFERROR(VLOOKUP(B705,'Pre-Summary'!$AZ$6:$BE$65,3,FALSE),"")</f>
        <v/>
      </c>
      <c r="AI705" s="10" t="str">
        <f>IFERROR(VLOOKUP(B705,'Pre-Summary'!$AZ$6:$BE$65,5,FALSE),"")</f>
        <v/>
      </c>
      <c r="AJ705" s="10" t="str">
        <f>IFERROR(VLOOKUP(B705,'Pre-Summary'!$AZ$6:$BE$65,4,FALSE),"")</f>
        <v/>
      </c>
      <c r="AK705" s="10" t="str">
        <f>IFERROR(VLOOKUP(B705,'Pre-Summary'!$AZ$6:$BE$65,6,FALSE),"")</f>
        <v/>
      </c>
      <c r="AL705" s="10" t="str">
        <f>IFERROR(VLOOKUP(B705,'Pre-Summary'!$BG$6:$BL$44,3,FALSE),"")</f>
        <v/>
      </c>
      <c r="AM705" s="10" t="str">
        <f>IFERROR(VLOOKUP(B705,'Pre-Summary'!$BG$6:$BL$44,4,FALSE),"")</f>
        <v/>
      </c>
    </row>
    <row r="706" spans="2:39" ht="15" customHeight="1" x14ac:dyDescent="0.3">
      <c r="B706">
        <v>70.3</v>
      </c>
      <c r="C706" t="str">
        <f>IFERROR(VLOOKUP(B706,'Pre-Summary'!$DI$6:$DM$23,4,FALSE),"")</f>
        <v/>
      </c>
      <c r="D706" s="10" t="str">
        <f>IFERROR(VLOOKUP(B706,'Pre-Summary'!$AT$6:$AX$14,5,FALSE),D705)</f>
        <v>DSMZ v2: Dropped Na-Ac out of DSMZ 120 media</v>
      </c>
      <c r="E706" s="10" t="str">
        <f>IFERROR(VLOOKUP(B706,'Pre-Summary'!$AT$6:$AX$15,4,FALSE),"")</f>
        <v/>
      </c>
      <c r="F706">
        <f>IFERROR(VLOOKUP(B706,'Pre-Summary'!$AL$6:$AQ$13,6,FALSE),F705)</f>
        <v>5.9405263157894746E-2</v>
      </c>
      <c r="G706" t="str">
        <f>IFERROR(VLOOKUP(B706,'Pre-Summary'!$AE$6:$AJ$85,3,FALSE),"")</f>
        <v/>
      </c>
      <c r="H706" t="str">
        <f>IFERROR(VLOOKUP(B706,'Pre-Summary'!$AE$6:$AJ$85,4,FALSE),"")</f>
        <v/>
      </c>
      <c r="I706" t="str">
        <f>IFERROR(VLOOKUP(B706,'Pre-Summary'!$AE$6:$AJ$85,5,FALSE),"")</f>
        <v/>
      </c>
      <c r="J706" s="45" t="str">
        <f>IFERROR(VLOOKUP(B706,'Pre-Summary'!$AE$6:$AJ$85,6, FALSE),"")</f>
        <v/>
      </c>
      <c r="K706" s="45" t="str">
        <f>IFERROR(VLOOKUP(B706,'Pre-Summary'!$DE$6:$DG$61,3,FALSE),"")</f>
        <v/>
      </c>
      <c r="L706" s="45" t="str">
        <f>IFERROR(VLOOKUP(B706,'Pre-Summary'!$CU$6:$CW$36,3,FALSE),"")</f>
        <v/>
      </c>
      <c r="M706" s="45" t="str">
        <f>IFERROR(VLOOKUP(B706,'Pre-Summary'!$BW$6:$BY$58,2,FALSE),"")</f>
        <v/>
      </c>
      <c r="N706" s="45" t="str">
        <f>IFERROR(VLOOKUP(B706,'Pre-Summary'!$CD$6:$CF$64,2,FALSE),"")</f>
        <v/>
      </c>
      <c r="O706" s="99">
        <f>IFERROR(VLOOKUP(B706,'Pre-Summary'!$BO$6:$BQ$48,3, FALSE),O705)</f>
        <v>0.98799999999999999</v>
      </c>
      <c r="P706" s="99">
        <f>IFERROR(VLOOKUP(B706,'Pre-Summary'!$BS$6:$BU$35,3,FALSE),P705)</f>
        <v>0.34399999999999997</v>
      </c>
      <c r="Q706" s="54">
        <f t="shared" si="30"/>
        <v>2.8720930232558142</v>
      </c>
      <c r="R706" s="53">
        <f>IFERROR(VLOOKUP(B706,'Pre-Summary'!$BG$6:$BM$44,7,FALSE),R707)</f>
        <v>7.5915763918363535E-2</v>
      </c>
      <c r="S706" s="53">
        <f>IFERROR(VLOOKUP(B706,'Pre-Summary'!$BG$6:$BM$44,6,FALSE),S707)</f>
        <v>5.2897473997019086E-2</v>
      </c>
      <c r="T706" s="45" t="str">
        <f>IFERROR(VLOOKUP(B706,'Pre-Summary'!$Y$6:$AC$83, 3,FALSE),"")</f>
        <v/>
      </c>
      <c r="U706" s="45" t="str">
        <f>IFERROR(VLOOKUP(B706,'Pre-Summary'!$Y$6:$AC$83, 4,FALSE),"")</f>
        <v/>
      </c>
      <c r="V706" t="str">
        <f>IFERROR(VLOOKUP(B706,'Pre-Summary'!$Y$6:$AC$83, 5,FALSE),"")</f>
        <v/>
      </c>
      <c r="W706" s="45" t="str">
        <f>IFERROR(VLOOKUP(B706,'Pre-Summary'!$Y$6:$AD$83,6,FALSE),"")</f>
        <v/>
      </c>
      <c r="X706" t="str">
        <f>IFERROR(VLOOKUP('Pre-Summary'!$DB$6:$DD$63,3,FALSE),"")</f>
        <v/>
      </c>
      <c r="Y706" t="str">
        <f>IFERROR(VLOOKUP(B706,'Pre-Summary'!$CR$6:$CT$36,3,FALSE),"")</f>
        <v/>
      </c>
      <c r="Z706" s="45" t="str">
        <f>IFERROR(VLOOKUP(B706,'Pre-Summary'!$BZ$6:$CB$63,2,FALSE),"")</f>
        <v/>
      </c>
      <c r="AA706" s="45" t="str">
        <f>IFERROR(VLOOKUP(B706,'Pre-Summary'!$CG$6:$CI$70,2,FALSE),"")</f>
        <v/>
      </c>
      <c r="AB706" s="99">
        <f>IFERROR(VLOOKUP(B706,'Pre-Summary'!$A$6:$P$178,9,FALSE),AB707)</f>
        <v>0.84881825135540423</v>
      </c>
      <c r="AC706" s="10">
        <f>IFERROR(VLOOKUP(Summary!B706,'Pre-Summary'!$A$6:$P$184,5, FALSE)/100,AC707)</f>
        <v>0.77505331832279212</v>
      </c>
      <c r="AD706" s="10">
        <f>IFERROR(VLOOKUP(Summary!B706,'Pre-Summary'!$A$6:$P$184,3, FALSE)/100,AD707)</f>
        <v>3.6833887159730253E-3</v>
      </c>
      <c r="AE706" s="10">
        <f>IFERROR(VLOOKUP(Summary!B706,'Pre-Summary'!$A$6:$P$184,7, FALSE)/100,AE707)</f>
        <v>0.221264232960907</v>
      </c>
      <c r="AF706" s="99">
        <f t="shared" si="31"/>
        <v>3.1265275689544509E-3</v>
      </c>
      <c r="AG706" s="99">
        <f t="shared" si="32"/>
        <v>0.18781311930937186</v>
      </c>
      <c r="AH706" s="10" t="str">
        <f>IFERROR(VLOOKUP(B706,'Pre-Summary'!$AZ$6:$BE$65,3,FALSE),"")</f>
        <v/>
      </c>
      <c r="AI706" s="10" t="str">
        <f>IFERROR(VLOOKUP(B706,'Pre-Summary'!$AZ$6:$BE$65,5,FALSE),"")</f>
        <v/>
      </c>
      <c r="AJ706" s="10" t="str">
        <f>IFERROR(VLOOKUP(B706,'Pre-Summary'!$AZ$6:$BE$65,4,FALSE),"")</f>
        <v/>
      </c>
      <c r="AK706" s="10" t="str">
        <f>IFERROR(VLOOKUP(B706,'Pre-Summary'!$AZ$6:$BE$65,6,FALSE),"")</f>
        <v/>
      </c>
      <c r="AL706" s="10" t="str">
        <f>IFERROR(VLOOKUP(B706,'Pre-Summary'!$BG$6:$BL$44,3,FALSE),"")</f>
        <v/>
      </c>
      <c r="AM706" s="10" t="str">
        <f>IFERROR(VLOOKUP(B706,'Pre-Summary'!$BG$6:$BL$44,4,FALSE),"")</f>
        <v/>
      </c>
    </row>
    <row r="707" spans="2:39" ht="15" customHeight="1" x14ac:dyDescent="0.3">
      <c r="B707">
        <v>70.400000000000006</v>
      </c>
      <c r="C707" t="str">
        <f>IFERROR(VLOOKUP(B707,'Pre-Summary'!$DI$6:$DM$23,4,FALSE),"")</f>
        <v/>
      </c>
      <c r="D707" s="10" t="str">
        <f>IFERROR(VLOOKUP(B707,'Pre-Summary'!$AT$6:$AX$14,5,FALSE),D706)</f>
        <v>DSMZ v2: Dropped Na-Ac out of DSMZ 120 media</v>
      </c>
      <c r="E707" s="10" t="str">
        <f>IFERROR(VLOOKUP(B707,'Pre-Summary'!$AT$6:$AX$15,4,FALSE),"")</f>
        <v/>
      </c>
      <c r="F707">
        <f>IFERROR(VLOOKUP(B707,'Pre-Summary'!$AL$6:$AQ$13,6,FALSE),F706)</f>
        <v>5.9405263157894746E-2</v>
      </c>
      <c r="G707" t="str">
        <f>IFERROR(VLOOKUP(B707,'Pre-Summary'!$AE$6:$AJ$85,3,FALSE),"")</f>
        <v/>
      </c>
      <c r="H707" t="str">
        <f>IFERROR(VLOOKUP(B707,'Pre-Summary'!$AE$6:$AJ$85,4,FALSE),"")</f>
        <v/>
      </c>
      <c r="I707" t="str">
        <f>IFERROR(VLOOKUP(B707,'Pre-Summary'!$AE$6:$AJ$85,5,FALSE),"")</f>
        <v/>
      </c>
      <c r="J707" s="45" t="str">
        <f>IFERROR(VLOOKUP(B707,'Pre-Summary'!$AE$6:$AJ$85,6, FALSE),"")</f>
        <v/>
      </c>
      <c r="K707" s="45" t="str">
        <f>IFERROR(VLOOKUP(B707,'Pre-Summary'!$DE$6:$DG$61,3,FALSE),"")</f>
        <v/>
      </c>
      <c r="L707" s="45" t="str">
        <f>IFERROR(VLOOKUP(B707,'Pre-Summary'!$CU$6:$CW$36,3,FALSE),"")</f>
        <v/>
      </c>
      <c r="M707" s="45" t="str">
        <f>IFERROR(VLOOKUP(B707,'Pre-Summary'!$BW$6:$BY$58,2,FALSE),"")</f>
        <v/>
      </c>
      <c r="N707" s="45" t="str">
        <f>IFERROR(VLOOKUP(B707,'Pre-Summary'!$CD$6:$CF$64,2,FALSE),"")</f>
        <v/>
      </c>
      <c r="O707" s="99">
        <f>IFERROR(VLOOKUP(B707,'Pre-Summary'!$BO$6:$BQ$48,3, FALSE),O706)</f>
        <v>0.98799999999999999</v>
      </c>
      <c r="P707" s="99">
        <f>IFERROR(VLOOKUP(B707,'Pre-Summary'!$BS$6:$BU$35,3,FALSE),P706)</f>
        <v>0.34399999999999997</v>
      </c>
      <c r="Q707" s="54">
        <f t="shared" ref="Q707:Q770" si="33">O707/P707</f>
        <v>2.8720930232558142</v>
      </c>
      <c r="R707" s="53">
        <f>IFERROR(VLOOKUP(B707,'Pre-Summary'!$BG$6:$BM$44,7,FALSE),R708)</f>
        <v>7.5915763918363535E-2</v>
      </c>
      <c r="S707" s="53">
        <f>IFERROR(VLOOKUP(B707,'Pre-Summary'!$BG$6:$BM$44,6,FALSE),S708)</f>
        <v>5.2897473997019086E-2</v>
      </c>
      <c r="T707" s="45" t="str">
        <f>IFERROR(VLOOKUP(B707,'Pre-Summary'!$Y$6:$AC$83, 3,FALSE),"")</f>
        <v/>
      </c>
      <c r="U707" s="45" t="str">
        <f>IFERROR(VLOOKUP(B707,'Pre-Summary'!$Y$6:$AC$83, 4,FALSE),"")</f>
        <v/>
      </c>
      <c r="V707" t="str">
        <f>IFERROR(VLOOKUP(B707,'Pre-Summary'!$Y$6:$AC$83, 5,FALSE),"")</f>
        <v/>
      </c>
      <c r="W707" s="45" t="str">
        <f>IFERROR(VLOOKUP(B707,'Pre-Summary'!$Y$6:$AD$83,6,FALSE),"")</f>
        <v/>
      </c>
      <c r="X707" t="str">
        <f>IFERROR(VLOOKUP('Pre-Summary'!$DB$6:$DD$63,3,FALSE),"")</f>
        <v/>
      </c>
      <c r="Y707" t="str">
        <f>IFERROR(VLOOKUP(B707,'Pre-Summary'!$CR$6:$CT$36,3,FALSE),"")</f>
        <v/>
      </c>
      <c r="Z707" s="45" t="str">
        <f>IFERROR(VLOOKUP(B707,'Pre-Summary'!$BZ$6:$CB$63,2,FALSE),"")</f>
        <v/>
      </c>
      <c r="AA707" s="45" t="str">
        <f>IFERROR(VLOOKUP(B707,'Pre-Summary'!$CG$6:$CI$70,2,FALSE),"")</f>
        <v/>
      </c>
      <c r="AB707" s="99">
        <f>IFERROR(VLOOKUP(B707,'Pre-Summary'!$A$6:$P$178,9,FALSE),AB708)</f>
        <v>0.84881825135540423</v>
      </c>
      <c r="AC707" s="10">
        <f>IFERROR(VLOOKUP(Summary!B707,'Pre-Summary'!$A$6:$P$184,5, FALSE)/100,AC708)</f>
        <v>0.77505331832279212</v>
      </c>
      <c r="AD707" s="10">
        <f>IFERROR(VLOOKUP(Summary!B707,'Pre-Summary'!$A$6:$P$184,3, FALSE)/100,AD708)</f>
        <v>3.6833887159730253E-3</v>
      </c>
      <c r="AE707" s="10">
        <f>IFERROR(VLOOKUP(Summary!B707,'Pre-Summary'!$A$6:$P$184,7, FALSE)/100,AE708)</f>
        <v>0.221264232960907</v>
      </c>
      <c r="AF707" s="99">
        <f t="shared" ref="AF707:AF770" si="34">AD707*AB707</f>
        <v>3.1265275689544509E-3</v>
      </c>
      <c r="AG707" s="99">
        <f t="shared" ref="AG707:AG770" si="35">AB707*AE707</f>
        <v>0.18781311930937186</v>
      </c>
      <c r="AH707" s="10" t="str">
        <f>IFERROR(VLOOKUP(B707,'Pre-Summary'!$AZ$6:$BE$65,3,FALSE),"")</f>
        <v/>
      </c>
      <c r="AI707" s="10" t="str">
        <f>IFERROR(VLOOKUP(B707,'Pre-Summary'!$AZ$6:$BE$65,5,FALSE),"")</f>
        <v/>
      </c>
      <c r="AJ707" s="10" t="str">
        <f>IFERROR(VLOOKUP(B707,'Pre-Summary'!$AZ$6:$BE$65,4,FALSE),"")</f>
        <v/>
      </c>
      <c r="AK707" s="10" t="str">
        <f>IFERROR(VLOOKUP(B707,'Pre-Summary'!$AZ$6:$BE$65,6,FALSE),"")</f>
        <v/>
      </c>
      <c r="AL707" s="10" t="str">
        <f>IFERROR(VLOOKUP(B707,'Pre-Summary'!$BG$6:$BL$44,3,FALSE),"")</f>
        <v/>
      </c>
      <c r="AM707" s="10" t="str">
        <f>IFERROR(VLOOKUP(B707,'Pre-Summary'!$BG$6:$BL$44,4,FALSE),"")</f>
        <v/>
      </c>
    </row>
    <row r="708" spans="2:39" ht="15" customHeight="1" x14ac:dyDescent="0.3">
      <c r="B708">
        <v>70.5</v>
      </c>
      <c r="C708" t="str">
        <f>IFERROR(VLOOKUP(B708,'Pre-Summary'!$DI$6:$DM$23,4,FALSE),"")</f>
        <v/>
      </c>
      <c r="D708" s="10" t="str">
        <f>IFERROR(VLOOKUP(B708,'Pre-Summary'!$AT$6:$AX$14,5,FALSE),D707)</f>
        <v>DSMZ v2: Dropped Na-Ac out of DSMZ 120 media</v>
      </c>
      <c r="E708" s="10" t="str">
        <f>IFERROR(VLOOKUP(B708,'Pre-Summary'!$AT$6:$AX$15,4,FALSE),"")</f>
        <v/>
      </c>
      <c r="F708">
        <f>IFERROR(VLOOKUP(B708,'Pre-Summary'!$AL$6:$AQ$13,6,FALSE),F707)</f>
        <v>5.9405263157894746E-2</v>
      </c>
      <c r="G708">
        <f>IFERROR(VLOOKUP(B708,'Pre-Summary'!$AE$6:$AJ$85,3,FALSE),"")</f>
        <v>60.12</v>
      </c>
      <c r="H708">
        <f>IFERROR(VLOOKUP(B708,'Pre-Summary'!$AE$6:$AJ$85,4,FALSE),"")</f>
        <v>45.85</v>
      </c>
      <c r="I708">
        <f>IFERROR(VLOOKUP(B708,'Pre-Summary'!$AE$6:$AJ$85,5,FALSE),"")</f>
        <v>0</v>
      </c>
      <c r="J708" s="45">
        <f>IFERROR(VLOOKUP(B708,'Pre-Summary'!$AE$6:$AJ$85,6, FALSE),"")</f>
        <v>133.56493999999998</v>
      </c>
      <c r="K708" s="45" t="str">
        <f>IFERROR(VLOOKUP(B708,'Pre-Summary'!$DE$6:$DG$61,3,FALSE),"")</f>
        <v/>
      </c>
      <c r="L708" s="45" t="str">
        <f>IFERROR(VLOOKUP(B708,'Pre-Summary'!$CU$6:$CW$36,3,FALSE),"")</f>
        <v/>
      </c>
      <c r="M708" s="45" t="str">
        <f>IFERROR(VLOOKUP(B708,'Pre-Summary'!$BW$6:$BY$58,2,FALSE),"")</f>
        <v/>
      </c>
      <c r="N708" s="45" t="str">
        <f>IFERROR(VLOOKUP(B708,'Pre-Summary'!$CD$6:$CF$64,2,FALSE),"")</f>
        <v/>
      </c>
      <c r="O708" s="99">
        <f>IFERROR(VLOOKUP(B708,'Pre-Summary'!$BO$6:$BQ$48,3, FALSE),O707)</f>
        <v>0.98799999999999999</v>
      </c>
      <c r="P708" s="99">
        <f>IFERROR(VLOOKUP(B708,'Pre-Summary'!$BS$6:$BU$35,3,FALSE),P707)</f>
        <v>0.34399999999999997</v>
      </c>
      <c r="Q708" s="54">
        <f t="shared" si="33"/>
        <v>2.8720930232558142</v>
      </c>
      <c r="R708" s="53">
        <f>IFERROR(VLOOKUP(B708,'Pre-Summary'!$BG$6:$BM$44,7,FALSE),R709)</f>
        <v>7.5915763918363535E-2</v>
      </c>
      <c r="S708" s="53">
        <f>IFERROR(VLOOKUP(B708,'Pre-Summary'!$BG$6:$BM$44,6,FALSE),S709)</f>
        <v>5.2897473997019086E-2</v>
      </c>
      <c r="T708" s="45" t="str">
        <f>IFERROR(VLOOKUP(B708,'Pre-Summary'!$Y$6:$AC$83, 3,FALSE),"")</f>
        <v/>
      </c>
      <c r="U708" s="45" t="str">
        <f>IFERROR(VLOOKUP(B708,'Pre-Summary'!$Y$6:$AC$83, 4,FALSE),"")</f>
        <v/>
      </c>
      <c r="V708" t="str">
        <f>IFERROR(VLOOKUP(B708,'Pre-Summary'!$Y$6:$AC$83, 5,FALSE),"")</f>
        <v/>
      </c>
      <c r="W708" s="45" t="str">
        <f>IFERROR(VLOOKUP(B708,'Pre-Summary'!$Y$6:$AD$83,6,FALSE),"")</f>
        <v/>
      </c>
      <c r="X708" t="str">
        <f>IFERROR(VLOOKUP('Pre-Summary'!$DB$6:$DD$63,3,FALSE),"")</f>
        <v/>
      </c>
      <c r="Y708" t="str">
        <f>IFERROR(VLOOKUP(B708,'Pre-Summary'!$CR$6:$CT$36,3,FALSE),"")</f>
        <v/>
      </c>
      <c r="Z708" s="45" t="str">
        <f>IFERROR(VLOOKUP(B708,'Pre-Summary'!$BZ$6:$CB$63,2,FALSE),"")</f>
        <v/>
      </c>
      <c r="AA708" s="45" t="str">
        <f>IFERROR(VLOOKUP(B708,'Pre-Summary'!$CG$6:$CI$70,2,FALSE),"")</f>
        <v/>
      </c>
      <c r="AB708" s="99">
        <f>IFERROR(VLOOKUP(B708,'Pre-Summary'!$A$6:$P$178,9,FALSE),AB709)</f>
        <v>0.84881825135540423</v>
      </c>
      <c r="AC708" s="10">
        <f>IFERROR(VLOOKUP(Summary!B708,'Pre-Summary'!$A$6:$P$184,5, FALSE)/100,AC709)</f>
        <v>0.77505331832279212</v>
      </c>
      <c r="AD708" s="10">
        <f>IFERROR(VLOOKUP(Summary!B708,'Pre-Summary'!$A$6:$P$184,3, FALSE)/100,AD709)</f>
        <v>3.6833887159730253E-3</v>
      </c>
      <c r="AE708" s="10">
        <f>IFERROR(VLOOKUP(Summary!B708,'Pre-Summary'!$A$6:$P$184,7, FALSE)/100,AE709)</f>
        <v>0.221264232960907</v>
      </c>
      <c r="AF708" s="99">
        <f t="shared" si="34"/>
        <v>3.1265275689544509E-3</v>
      </c>
      <c r="AG708" s="99">
        <f t="shared" si="35"/>
        <v>0.18781311930937186</v>
      </c>
      <c r="AH708" s="10" t="str">
        <f>IFERROR(VLOOKUP(B708,'Pre-Summary'!$AZ$6:$BE$65,3,FALSE),"")</f>
        <v/>
      </c>
      <c r="AI708" s="10" t="str">
        <f>IFERROR(VLOOKUP(B708,'Pre-Summary'!$AZ$6:$BE$65,5,FALSE),"")</f>
        <v/>
      </c>
      <c r="AJ708" s="10" t="str">
        <f>IFERROR(VLOOKUP(B708,'Pre-Summary'!$AZ$6:$BE$65,4,FALSE),"")</f>
        <v/>
      </c>
      <c r="AK708" s="10" t="str">
        <f>IFERROR(VLOOKUP(B708,'Pre-Summary'!$AZ$6:$BE$65,6,FALSE),"")</f>
        <v/>
      </c>
      <c r="AL708" s="10" t="str">
        <f>IFERROR(VLOOKUP(B708,'Pre-Summary'!$BG$6:$BL$44,3,FALSE),"")</f>
        <v/>
      </c>
      <c r="AM708" s="10" t="str">
        <f>IFERROR(VLOOKUP(B708,'Pre-Summary'!$BG$6:$BL$44,4,FALSE),"")</f>
        <v/>
      </c>
    </row>
    <row r="709" spans="2:39" ht="15" customHeight="1" x14ac:dyDescent="0.3">
      <c r="B709">
        <v>70.599999999999994</v>
      </c>
      <c r="C709" t="str">
        <f>IFERROR(VLOOKUP(B709,'Pre-Summary'!$DI$6:$DM$23,4,FALSE),"")</f>
        <v/>
      </c>
      <c r="D709" s="10" t="str">
        <f>IFERROR(VLOOKUP(B709,'Pre-Summary'!$AT$6:$AX$14,5,FALSE),D708)</f>
        <v>DSMZ v2: Dropped Na-Ac out of DSMZ 120 media</v>
      </c>
      <c r="E709" s="10" t="str">
        <f>IFERROR(VLOOKUP(B709,'Pre-Summary'!$AT$6:$AX$15,4,FALSE),"")</f>
        <v/>
      </c>
      <c r="F709">
        <f>IFERROR(VLOOKUP(B709,'Pre-Summary'!$AL$6:$AQ$13,6,FALSE),F708)</f>
        <v>5.9405263157894746E-2</v>
      </c>
      <c r="G709" t="str">
        <f>IFERROR(VLOOKUP(B709,'Pre-Summary'!$AE$6:$AJ$85,3,FALSE),"")</f>
        <v/>
      </c>
      <c r="H709" t="str">
        <f>IFERROR(VLOOKUP(B709,'Pre-Summary'!$AE$6:$AJ$85,4,FALSE),"")</f>
        <v/>
      </c>
      <c r="I709" t="str">
        <f>IFERROR(VLOOKUP(B709,'Pre-Summary'!$AE$6:$AJ$85,5,FALSE),"")</f>
        <v/>
      </c>
      <c r="J709" s="45" t="str">
        <f>IFERROR(VLOOKUP(B709,'Pre-Summary'!$AE$6:$AJ$85,6, FALSE),"")</f>
        <v/>
      </c>
      <c r="K709" s="45" t="str">
        <f>IFERROR(VLOOKUP(B709,'Pre-Summary'!$DE$6:$DG$61,3,FALSE),"")</f>
        <v/>
      </c>
      <c r="L709" s="45" t="str">
        <f>IFERROR(VLOOKUP(B709,'Pre-Summary'!$CU$6:$CW$36,3,FALSE),"")</f>
        <v/>
      </c>
      <c r="M709" s="45" t="str">
        <f>IFERROR(VLOOKUP(B709,'Pre-Summary'!$BW$6:$BY$58,2,FALSE),"")</f>
        <v/>
      </c>
      <c r="N709" s="45" t="str">
        <f>IFERROR(VLOOKUP(B709,'Pre-Summary'!$CD$6:$CF$64,2,FALSE),"")</f>
        <v/>
      </c>
      <c r="O709" s="99">
        <f>IFERROR(VLOOKUP(B709,'Pre-Summary'!$BO$6:$BQ$48,3, FALSE),O708)</f>
        <v>0.98799999999999999</v>
      </c>
      <c r="P709" s="99">
        <f>IFERROR(VLOOKUP(B709,'Pre-Summary'!$BS$6:$BU$35,3,FALSE),P708)</f>
        <v>0.34399999999999997</v>
      </c>
      <c r="Q709" s="54">
        <f t="shared" si="33"/>
        <v>2.8720930232558142</v>
      </c>
      <c r="R709" s="53">
        <f>IFERROR(VLOOKUP(B709,'Pre-Summary'!$BG$6:$BM$44,7,FALSE),R710)</f>
        <v>7.5915763918363535E-2</v>
      </c>
      <c r="S709" s="53">
        <f>IFERROR(VLOOKUP(B709,'Pre-Summary'!$BG$6:$BM$44,6,FALSE),S710)</f>
        <v>5.2897473997019086E-2</v>
      </c>
      <c r="T709" s="45" t="str">
        <f>IFERROR(VLOOKUP(B709,'Pre-Summary'!$Y$6:$AC$83, 3,FALSE),"")</f>
        <v/>
      </c>
      <c r="U709" s="45" t="str">
        <f>IFERROR(VLOOKUP(B709,'Pre-Summary'!$Y$6:$AC$83, 4,FALSE),"")</f>
        <v/>
      </c>
      <c r="V709" t="str">
        <f>IFERROR(VLOOKUP(B709,'Pre-Summary'!$Y$6:$AC$83, 5,FALSE),"")</f>
        <v/>
      </c>
      <c r="W709" s="45" t="str">
        <f>IFERROR(VLOOKUP(B709,'Pre-Summary'!$Y$6:$AD$83,6,FALSE),"")</f>
        <v/>
      </c>
      <c r="X709" t="str">
        <f>IFERROR(VLOOKUP('Pre-Summary'!$DB$6:$DD$63,3,FALSE),"")</f>
        <v/>
      </c>
      <c r="Y709" t="str">
        <f>IFERROR(VLOOKUP(B709,'Pre-Summary'!$CR$6:$CT$36,3,FALSE),"")</f>
        <v/>
      </c>
      <c r="Z709" s="45" t="str">
        <f>IFERROR(VLOOKUP(B709,'Pre-Summary'!$BZ$6:$CB$63,2,FALSE),"")</f>
        <v/>
      </c>
      <c r="AA709" s="45" t="str">
        <f>IFERROR(VLOOKUP(B709,'Pre-Summary'!$CG$6:$CI$70,2,FALSE),"")</f>
        <v/>
      </c>
      <c r="AB709" s="99">
        <f>IFERROR(VLOOKUP(B709,'Pre-Summary'!$A$6:$P$178,9,FALSE),AB710)</f>
        <v>0.84881825135540423</v>
      </c>
      <c r="AC709" s="10">
        <f>IFERROR(VLOOKUP(Summary!B709,'Pre-Summary'!$A$6:$P$184,5, FALSE)/100,AC710)</f>
        <v>0.77505331832279212</v>
      </c>
      <c r="AD709" s="10">
        <f>IFERROR(VLOOKUP(Summary!B709,'Pre-Summary'!$A$6:$P$184,3, FALSE)/100,AD710)</f>
        <v>3.6833887159730253E-3</v>
      </c>
      <c r="AE709" s="10">
        <f>IFERROR(VLOOKUP(Summary!B709,'Pre-Summary'!$A$6:$P$184,7, FALSE)/100,AE710)</f>
        <v>0.221264232960907</v>
      </c>
      <c r="AF709" s="99">
        <f t="shared" si="34"/>
        <v>3.1265275689544509E-3</v>
      </c>
      <c r="AG709" s="99">
        <f t="shared" si="35"/>
        <v>0.18781311930937186</v>
      </c>
      <c r="AH709" s="10" t="str">
        <f>IFERROR(VLOOKUP(B709,'Pre-Summary'!$AZ$6:$BE$65,3,FALSE),"")</f>
        <v/>
      </c>
      <c r="AI709" s="10" t="str">
        <f>IFERROR(VLOOKUP(B709,'Pre-Summary'!$AZ$6:$BE$65,5,FALSE),"")</f>
        <v/>
      </c>
      <c r="AJ709" s="10" t="str">
        <f>IFERROR(VLOOKUP(B709,'Pre-Summary'!$AZ$6:$BE$65,4,FALSE),"")</f>
        <v/>
      </c>
      <c r="AK709" s="10" t="str">
        <f>IFERROR(VLOOKUP(B709,'Pre-Summary'!$AZ$6:$BE$65,6,FALSE),"")</f>
        <v/>
      </c>
      <c r="AL709" s="10" t="str">
        <f>IFERROR(VLOOKUP(B709,'Pre-Summary'!$BG$6:$BL$44,3,FALSE),"")</f>
        <v/>
      </c>
      <c r="AM709" s="10" t="str">
        <f>IFERROR(VLOOKUP(B709,'Pre-Summary'!$BG$6:$BL$44,4,FALSE),"")</f>
        <v/>
      </c>
    </row>
    <row r="710" spans="2:39" ht="15" customHeight="1" x14ac:dyDescent="0.3">
      <c r="B710">
        <v>70.7</v>
      </c>
      <c r="C710" t="str">
        <f>IFERROR(VLOOKUP(B710,'Pre-Summary'!$DI$6:$DM$23,4,FALSE),"")</f>
        <v/>
      </c>
      <c r="D710" s="10" t="str">
        <f>IFERROR(VLOOKUP(B710,'Pre-Summary'!$AT$6:$AX$14,5,FALSE),D709)</f>
        <v>DSMZ v2: Dropped Na-Ac out of DSMZ 120 media</v>
      </c>
      <c r="E710" s="10" t="str">
        <f>IFERROR(VLOOKUP(B710,'Pre-Summary'!$AT$6:$AX$15,4,FALSE),"")</f>
        <v/>
      </c>
      <c r="F710">
        <f>IFERROR(VLOOKUP(B710,'Pre-Summary'!$AL$6:$AQ$13,6,FALSE),F709)</f>
        <v>5.9405263157894746E-2</v>
      </c>
      <c r="G710" t="str">
        <f>IFERROR(VLOOKUP(B710,'Pre-Summary'!$AE$6:$AJ$85,3,FALSE),"")</f>
        <v/>
      </c>
      <c r="H710" t="str">
        <f>IFERROR(VLOOKUP(B710,'Pre-Summary'!$AE$6:$AJ$85,4,FALSE),"")</f>
        <v/>
      </c>
      <c r="I710" t="str">
        <f>IFERROR(VLOOKUP(B710,'Pre-Summary'!$AE$6:$AJ$85,5,FALSE),"")</f>
        <v/>
      </c>
      <c r="J710" s="45" t="str">
        <f>IFERROR(VLOOKUP(B710,'Pre-Summary'!$AE$6:$AJ$85,6, FALSE),"")</f>
        <v/>
      </c>
      <c r="K710" s="45" t="str">
        <f>IFERROR(VLOOKUP(B710,'Pre-Summary'!$DE$6:$DG$61,3,FALSE),"")</f>
        <v/>
      </c>
      <c r="L710" s="45" t="str">
        <f>IFERROR(VLOOKUP(B710,'Pre-Summary'!$CU$6:$CW$36,3,FALSE),"")</f>
        <v/>
      </c>
      <c r="M710" s="45" t="str">
        <f>IFERROR(VLOOKUP(B710,'Pre-Summary'!$BW$6:$BY$58,2,FALSE),"")</f>
        <v/>
      </c>
      <c r="N710" s="45" t="str">
        <f>IFERROR(VLOOKUP(B710,'Pre-Summary'!$CD$6:$CF$64,2,FALSE),"")</f>
        <v/>
      </c>
      <c r="O710" s="99">
        <f>IFERROR(VLOOKUP(B710,'Pre-Summary'!$BO$6:$BQ$48,3, FALSE),O709)</f>
        <v>0.98799999999999999</v>
      </c>
      <c r="P710" s="99">
        <f>IFERROR(VLOOKUP(B710,'Pre-Summary'!$BS$6:$BU$35,3,FALSE),P709)</f>
        <v>0.34399999999999997</v>
      </c>
      <c r="Q710" s="54">
        <f t="shared" si="33"/>
        <v>2.8720930232558142</v>
      </c>
      <c r="R710" s="53">
        <f>IFERROR(VLOOKUP(B710,'Pre-Summary'!$BG$6:$BM$44,7,FALSE),R711)</f>
        <v>7.5915763918363535E-2</v>
      </c>
      <c r="S710" s="53">
        <f>IFERROR(VLOOKUP(B710,'Pre-Summary'!$BG$6:$BM$44,6,FALSE),S711)</f>
        <v>5.2897473997019086E-2</v>
      </c>
      <c r="T710" s="45" t="str">
        <f>IFERROR(VLOOKUP(B710,'Pre-Summary'!$Y$6:$AC$83, 3,FALSE),"")</f>
        <v/>
      </c>
      <c r="U710" s="45" t="str">
        <f>IFERROR(VLOOKUP(B710,'Pre-Summary'!$Y$6:$AC$83, 4,FALSE),"")</f>
        <v/>
      </c>
      <c r="V710" t="str">
        <f>IFERROR(VLOOKUP(B710,'Pre-Summary'!$Y$6:$AC$83, 5,FALSE),"")</f>
        <v/>
      </c>
      <c r="W710" s="45" t="str">
        <f>IFERROR(VLOOKUP(B710,'Pre-Summary'!$Y$6:$AD$83,6,FALSE),"")</f>
        <v/>
      </c>
      <c r="X710" t="str">
        <f>IFERROR(VLOOKUP('Pre-Summary'!$DB$6:$DD$63,3,FALSE),"")</f>
        <v/>
      </c>
      <c r="Y710" t="str">
        <f>IFERROR(VLOOKUP(B710,'Pre-Summary'!$CR$6:$CT$36,3,FALSE),"")</f>
        <v/>
      </c>
      <c r="Z710" s="45" t="str">
        <f>IFERROR(VLOOKUP(B710,'Pre-Summary'!$BZ$6:$CB$63,2,FALSE),"")</f>
        <v/>
      </c>
      <c r="AA710" s="45" t="str">
        <f>IFERROR(VLOOKUP(B710,'Pre-Summary'!$CG$6:$CI$70,2,FALSE),"")</f>
        <v/>
      </c>
      <c r="AB710" s="99">
        <f>IFERROR(VLOOKUP(B710,'Pre-Summary'!$A$6:$P$178,9,FALSE),AB711)</f>
        <v>0.84881825135540423</v>
      </c>
      <c r="AC710" s="10">
        <f>IFERROR(VLOOKUP(Summary!B710,'Pre-Summary'!$A$6:$P$184,5, FALSE)/100,AC711)</f>
        <v>0.77505331832279212</v>
      </c>
      <c r="AD710" s="10">
        <f>IFERROR(VLOOKUP(Summary!B710,'Pre-Summary'!$A$6:$P$184,3, FALSE)/100,AD711)</f>
        <v>3.6833887159730253E-3</v>
      </c>
      <c r="AE710" s="10">
        <f>IFERROR(VLOOKUP(Summary!B710,'Pre-Summary'!$A$6:$P$184,7, FALSE)/100,AE711)</f>
        <v>0.221264232960907</v>
      </c>
      <c r="AF710" s="99">
        <f t="shared" si="34"/>
        <v>3.1265275689544509E-3</v>
      </c>
      <c r="AG710" s="99">
        <f t="shared" si="35"/>
        <v>0.18781311930937186</v>
      </c>
      <c r="AH710" s="10" t="str">
        <f>IFERROR(VLOOKUP(B710,'Pre-Summary'!$AZ$6:$BE$65,3,FALSE),"")</f>
        <v/>
      </c>
      <c r="AI710" s="10" t="str">
        <f>IFERROR(VLOOKUP(B710,'Pre-Summary'!$AZ$6:$BE$65,5,FALSE),"")</f>
        <v/>
      </c>
      <c r="AJ710" s="10" t="str">
        <f>IFERROR(VLOOKUP(B710,'Pre-Summary'!$AZ$6:$BE$65,4,FALSE),"")</f>
        <v/>
      </c>
      <c r="AK710" s="10" t="str">
        <f>IFERROR(VLOOKUP(B710,'Pre-Summary'!$AZ$6:$BE$65,6,FALSE),"")</f>
        <v/>
      </c>
      <c r="AL710" s="10" t="str">
        <f>IFERROR(VLOOKUP(B710,'Pre-Summary'!$BG$6:$BL$44,3,FALSE),"")</f>
        <v/>
      </c>
      <c r="AM710" s="10" t="str">
        <f>IFERROR(VLOOKUP(B710,'Pre-Summary'!$BG$6:$BL$44,4,FALSE),"")</f>
        <v/>
      </c>
    </row>
    <row r="711" spans="2:39" ht="15" customHeight="1" x14ac:dyDescent="0.3">
      <c r="B711">
        <v>70.8</v>
      </c>
      <c r="C711" t="str">
        <f>IFERROR(VLOOKUP(B711,'Pre-Summary'!$DI$6:$DM$23,4,FALSE),"")</f>
        <v/>
      </c>
      <c r="D711" s="10" t="str">
        <f>IFERROR(VLOOKUP(B711,'Pre-Summary'!$AT$6:$AX$14,5,FALSE),D710)</f>
        <v>DSMZ v2: Dropped Na-Ac out of DSMZ 120 media</v>
      </c>
      <c r="E711" s="10" t="str">
        <f>IFERROR(VLOOKUP(B711,'Pre-Summary'!$AT$6:$AX$15,4,FALSE),"")</f>
        <v/>
      </c>
      <c r="F711">
        <f>IFERROR(VLOOKUP(B711,'Pre-Summary'!$AL$6:$AQ$13,6,FALSE),F710)</f>
        <v>5.9405263157894746E-2</v>
      </c>
      <c r="G711" t="str">
        <f>IFERROR(VLOOKUP(B711,'Pre-Summary'!$AE$6:$AJ$85,3,FALSE),"")</f>
        <v/>
      </c>
      <c r="H711" t="str">
        <f>IFERROR(VLOOKUP(B711,'Pre-Summary'!$AE$6:$AJ$85,4,FALSE),"")</f>
        <v/>
      </c>
      <c r="I711" t="str">
        <f>IFERROR(VLOOKUP(B711,'Pre-Summary'!$AE$6:$AJ$85,5,FALSE),"")</f>
        <v/>
      </c>
      <c r="J711" s="45" t="str">
        <f>IFERROR(VLOOKUP(B711,'Pre-Summary'!$AE$6:$AJ$85,6, FALSE),"")</f>
        <v/>
      </c>
      <c r="K711" s="45" t="str">
        <f>IFERROR(VLOOKUP(B711,'Pre-Summary'!$DE$6:$DG$61,3,FALSE),"")</f>
        <v/>
      </c>
      <c r="L711" s="45" t="str">
        <f>IFERROR(VLOOKUP(B711,'Pre-Summary'!$CU$6:$CW$36,3,FALSE),"")</f>
        <v/>
      </c>
      <c r="M711" s="45" t="str">
        <f>IFERROR(VLOOKUP(B711,'Pre-Summary'!$BW$6:$BY$58,2,FALSE),"")</f>
        <v/>
      </c>
      <c r="N711" s="45" t="str">
        <f>IFERROR(VLOOKUP(B711,'Pre-Summary'!$CD$6:$CF$64,2,FALSE),"")</f>
        <v/>
      </c>
      <c r="O711" s="99">
        <f>IFERROR(VLOOKUP(B711,'Pre-Summary'!$BO$6:$BQ$48,3, FALSE),O710)</f>
        <v>1.2</v>
      </c>
      <c r="P711" s="99">
        <f>IFERROR(VLOOKUP(B711,'Pre-Summary'!$BS$6:$BU$35,3,FALSE),P710)</f>
        <v>0.34399999999999997</v>
      </c>
      <c r="Q711" s="54">
        <f t="shared" si="33"/>
        <v>3.4883720930232558</v>
      </c>
      <c r="R711" s="53">
        <f>IFERROR(VLOOKUP(B711,'Pre-Summary'!$BG$6:$BM$44,7,FALSE),R712)</f>
        <v>7.5915763918363535E-2</v>
      </c>
      <c r="S711" s="53">
        <f>IFERROR(VLOOKUP(B711,'Pre-Summary'!$BG$6:$BM$44,6,FALSE),S712)</f>
        <v>5.2897473997019086E-2</v>
      </c>
      <c r="T711" s="45" t="str">
        <f>IFERROR(VLOOKUP(B711,'Pre-Summary'!$Y$6:$AC$83, 3,FALSE),"")</f>
        <v/>
      </c>
      <c r="U711" s="45" t="str">
        <f>IFERROR(VLOOKUP(B711,'Pre-Summary'!$Y$6:$AC$83, 4,FALSE),"")</f>
        <v/>
      </c>
      <c r="V711" t="str">
        <f>IFERROR(VLOOKUP(B711,'Pre-Summary'!$Y$6:$AC$83, 5,FALSE),"")</f>
        <v/>
      </c>
      <c r="W711" s="45" t="str">
        <f>IFERROR(VLOOKUP(B711,'Pre-Summary'!$Y$6:$AD$83,6,FALSE),"")</f>
        <v/>
      </c>
      <c r="X711" t="str">
        <f>IFERROR(VLOOKUP('Pre-Summary'!$DB$6:$DD$63,3,FALSE),"")</f>
        <v/>
      </c>
      <c r="Y711" t="str">
        <f>IFERROR(VLOOKUP(B711,'Pre-Summary'!$CR$6:$CT$36,3,FALSE),"")</f>
        <v/>
      </c>
      <c r="Z711" s="45" t="str">
        <f>IFERROR(VLOOKUP(B711,'Pre-Summary'!$BZ$6:$CB$63,2,FALSE),"")</f>
        <v/>
      </c>
      <c r="AA711" s="45" t="str">
        <f>IFERROR(VLOOKUP(B711,'Pre-Summary'!$CG$6:$CI$70,2,FALSE),"")</f>
        <v/>
      </c>
      <c r="AB711" s="99">
        <f>IFERROR(VLOOKUP(B711,'Pre-Summary'!$A$6:$P$178,9,FALSE),AB712)</f>
        <v>0.84881825135540423</v>
      </c>
      <c r="AC711" s="10">
        <f>IFERROR(VLOOKUP(Summary!B711,'Pre-Summary'!$A$6:$P$184,5, FALSE)/100,AC712)</f>
        <v>0.77505331832279212</v>
      </c>
      <c r="AD711" s="10">
        <f>IFERROR(VLOOKUP(Summary!B711,'Pre-Summary'!$A$6:$P$184,3, FALSE)/100,AD712)</f>
        <v>3.6833887159730253E-3</v>
      </c>
      <c r="AE711" s="10">
        <f>IFERROR(VLOOKUP(Summary!B711,'Pre-Summary'!$A$6:$P$184,7, FALSE)/100,AE712)</f>
        <v>0.221264232960907</v>
      </c>
      <c r="AF711" s="99">
        <f t="shared" si="34"/>
        <v>3.1265275689544509E-3</v>
      </c>
      <c r="AG711" s="99">
        <f t="shared" si="35"/>
        <v>0.18781311930937186</v>
      </c>
      <c r="AH711" s="10" t="str">
        <f>IFERROR(VLOOKUP(B711,'Pre-Summary'!$AZ$6:$BE$65,3,FALSE),"")</f>
        <v/>
      </c>
      <c r="AI711" s="10" t="str">
        <f>IFERROR(VLOOKUP(B711,'Pre-Summary'!$AZ$6:$BE$65,5,FALSE),"")</f>
        <v/>
      </c>
      <c r="AJ711" s="10" t="str">
        <f>IFERROR(VLOOKUP(B711,'Pre-Summary'!$AZ$6:$BE$65,4,FALSE),"")</f>
        <v/>
      </c>
      <c r="AK711" s="10" t="str">
        <f>IFERROR(VLOOKUP(B711,'Pre-Summary'!$AZ$6:$BE$65,6,FALSE),"")</f>
        <v/>
      </c>
      <c r="AL711" s="10" t="str">
        <f>IFERROR(VLOOKUP(B711,'Pre-Summary'!$BG$6:$BL$44,3,FALSE),"")</f>
        <v/>
      </c>
      <c r="AM711" s="10" t="str">
        <f>IFERROR(VLOOKUP(B711,'Pre-Summary'!$BG$6:$BL$44,4,FALSE),"")</f>
        <v/>
      </c>
    </row>
    <row r="712" spans="2:39" ht="15" customHeight="1" x14ac:dyDescent="0.3">
      <c r="B712">
        <v>70.900000000000006</v>
      </c>
      <c r="C712" t="str">
        <f>IFERROR(VLOOKUP(B712,'Pre-Summary'!$DI$6:$DM$23,4,FALSE),"")</f>
        <v/>
      </c>
      <c r="D712" s="10" t="str">
        <f>IFERROR(VLOOKUP(B712,'Pre-Summary'!$AT$6:$AX$14,5,FALSE),D711)</f>
        <v>DSMZ v2: Dropped Na-Ac out of DSMZ 120 media</v>
      </c>
      <c r="E712" s="10" t="str">
        <f>IFERROR(VLOOKUP(B712,'Pre-Summary'!$AT$6:$AX$15,4,FALSE),"")</f>
        <v/>
      </c>
      <c r="F712">
        <f>IFERROR(VLOOKUP(B712,'Pre-Summary'!$AL$6:$AQ$13,6,FALSE),F711)</f>
        <v>5.9405263157894746E-2</v>
      </c>
      <c r="G712" t="str">
        <f>IFERROR(VLOOKUP(B712,'Pre-Summary'!$AE$6:$AJ$85,3,FALSE),"")</f>
        <v/>
      </c>
      <c r="H712" t="str">
        <f>IFERROR(VLOOKUP(B712,'Pre-Summary'!$AE$6:$AJ$85,4,FALSE),"")</f>
        <v/>
      </c>
      <c r="I712" t="str">
        <f>IFERROR(VLOOKUP(B712,'Pre-Summary'!$AE$6:$AJ$85,5,FALSE),"")</f>
        <v/>
      </c>
      <c r="J712" s="45" t="str">
        <f>IFERROR(VLOOKUP(B712,'Pre-Summary'!$AE$6:$AJ$85,6, FALSE),"")</f>
        <v/>
      </c>
      <c r="K712" s="45" t="str">
        <f>IFERROR(VLOOKUP(B712,'Pre-Summary'!$DE$6:$DG$61,3,FALSE),"")</f>
        <v/>
      </c>
      <c r="L712" s="45" t="str">
        <f>IFERROR(VLOOKUP(B712,'Pre-Summary'!$CU$6:$CW$36,3,FALSE),"")</f>
        <v/>
      </c>
      <c r="M712" s="45" t="str">
        <f>IFERROR(VLOOKUP(B712,'Pre-Summary'!$BW$6:$BY$58,2,FALSE),"")</f>
        <v/>
      </c>
      <c r="N712" s="45" t="str">
        <f>IFERROR(VLOOKUP(B712,'Pre-Summary'!$CD$6:$CF$64,2,FALSE),"")</f>
        <v/>
      </c>
      <c r="O712" s="99">
        <f>IFERROR(VLOOKUP(B712,'Pre-Summary'!$BO$6:$BQ$48,3, FALSE),O711)</f>
        <v>1.2</v>
      </c>
      <c r="P712" s="99">
        <f>IFERROR(VLOOKUP(B712,'Pre-Summary'!$BS$6:$BU$35,3,FALSE),P711)</f>
        <v>0.34399999999999997</v>
      </c>
      <c r="Q712" s="54">
        <f t="shared" si="33"/>
        <v>3.4883720930232558</v>
      </c>
      <c r="R712" s="53">
        <f>IFERROR(VLOOKUP(B712,'Pre-Summary'!$BG$6:$BM$44,7,FALSE),R713)</f>
        <v>7.5915763918363535E-2</v>
      </c>
      <c r="S712" s="53">
        <f>IFERROR(VLOOKUP(B712,'Pre-Summary'!$BG$6:$BM$44,6,FALSE),S713)</f>
        <v>5.2897473997019086E-2</v>
      </c>
      <c r="T712" s="45" t="str">
        <f>IFERROR(VLOOKUP(B712,'Pre-Summary'!$Y$6:$AC$83, 3,FALSE),"")</f>
        <v/>
      </c>
      <c r="U712" s="45" t="str">
        <f>IFERROR(VLOOKUP(B712,'Pre-Summary'!$Y$6:$AC$83, 4,FALSE),"")</f>
        <v/>
      </c>
      <c r="V712" t="str">
        <f>IFERROR(VLOOKUP(B712,'Pre-Summary'!$Y$6:$AC$83, 5,FALSE),"")</f>
        <v/>
      </c>
      <c r="W712" s="45" t="str">
        <f>IFERROR(VLOOKUP(B712,'Pre-Summary'!$Y$6:$AD$83,6,FALSE),"")</f>
        <v/>
      </c>
      <c r="X712" t="str">
        <f>IFERROR(VLOOKUP('Pre-Summary'!$DB$6:$DD$63,3,FALSE),"")</f>
        <v/>
      </c>
      <c r="Y712" t="str">
        <f>IFERROR(VLOOKUP(B712,'Pre-Summary'!$CR$6:$CT$36,3,FALSE),"")</f>
        <v/>
      </c>
      <c r="Z712" s="45" t="str">
        <f>IFERROR(VLOOKUP(B712,'Pre-Summary'!$BZ$6:$CB$63,2,FALSE),"")</f>
        <v/>
      </c>
      <c r="AA712" s="45" t="str">
        <f>IFERROR(VLOOKUP(B712,'Pre-Summary'!$CG$6:$CI$70,2,FALSE),"")</f>
        <v/>
      </c>
      <c r="AB712" s="99">
        <f>IFERROR(VLOOKUP(B712,'Pre-Summary'!$A$6:$P$178,9,FALSE),AB713)</f>
        <v>0.84881825135540423</v>
      </c>
      <c r="AC712" s="10">
        <f>IFERROR(VLOOKUP(Summary!B712,'Pre-Summary'!$A$6:$P$184,5, FALSE)/100,AC713)</f>
        <v>0.77505331832279212</v>
      </c>
      <c r="AD712" s="10">
        <f>IFERROR(VLOOKUP(Summary!B712,'Pre-Summary'!$A$6:$P$184,3, FALSE)/100,AD713)</f>
        <v>3.6833887159730253E-3</v>
      </c>
      <c r="AE712" s="10">
        <f>IFERROR(VLOOKUP(Summary!B712,'Pre-Summary'!$A$6:$P$184,7, FALSE)/100,AE713)</f>
        <v>0.221264232960907</v>
      </c>
      <c r="AF712" s="99">
        <f t="shared" si="34"/>
        <v>3.1265275689544509E-3</v>
      </c>
      <c r="AG712" s="99">
        <f t="shared" si="35"/>
        <v>0.18781311930937186</v>
      </c>
      <c r="AH712" s="10" t="str">
        <f>IFERROR(VLOOKUP(B712,'Pre-Summary'!$AZ$6:$BE$65,3,FALSE),"")</f>
        <v/>
      </c>
      <c r="AI712" s="10" t="str">
        <f>IFERROR(VLOOKUP(B712,'Pre-Summary'!$AZ$6:$BE$65,5,FALSE),"")</f>
        <v/>
      </c>
      <c r="AJ712" s="10" t="str">
        <f>IFERROR(VLOOKUP(B712,'Pre-Summary'!$AZ$6:$BE$65,4,FALSE),"")</f>
        <v/>
      </c>
      <c r="AK712" s="10" t="str">
        <f>IFERROR(VLOOKUP(B712,'Pre-Summary'!$AZ$6:$BE$65,6,FALSE),"")</f>
        <v/>
      </c>
      <c r="AL712" s="10" t="str">
        <f>IFERROR(VLOOKUP(B712,'Pre-Summary'!$BG$6:$BL$44,3,FALSE),"")</f>
        <v/>
      </c>
      <c r="AM712" s="10" t="str">
        <f>IFERROR(VLOOKUP(B712,'Pre-Summary'!$BG$6:$BL$44,4,FALSE),"")</f>
        <v/>
      </c>
    </row>
    <row r="713" spans="2:39" ht="15" customHeight="1" x14ac:dyDescent="0.3">
      <c r="B713">
        <v>71</v>
      </c>
      <c r="C713" t="str">
        <f>IFERROR(VLOOKUP(B713,'Pre-Summary'!$DI$6:$DM$23,4,FALSE),"")</f>
        <v/>
      </c>
      <c r="D713" s="10" t="str">
        <f>IFERROR(VLOOKUP(B713,'Pre-Summary'!$AT$6:$AX$14,5,FALSE),D712)</f>
        <v>DSMZ v2: Dropped Na-Ac out of DSMZ 120 media</v>
      </c>
      <c r="E713" s="10" t="str">
        <f>IFERROR(VLOOKUP(B713,'Pre-Summary'!$AT$6:$AX$15,4,FALSE),"")</f>
        <v/>
      </c>
      <c r="F713">
        <f>IFERROR(VLOOKUP(B713,'Pre-Summary'!$AL$6:$AQ$13,6,FALSE),F712)</f>
        <v>5.9405263157894746E-2</v>
      </c>
      <c r="G713" t="str">
        <f>IFERROR(VLOOKUP(B713,'Pre-Summary'!$AE$6:$AJ$85,3,FALSE),"")</f>
        <v/>
      </c>
      <c r="H713" t="str">
        <f>IFERROR(VLOOKUP(B713,'Pre-Summary'!$AE$6:$AJ$85,4,FALSE),"")</f>
        <v/>
      </c>
      <c r="I713" t="str">
        <f>IFERROR(VLOOKUP(B713,'Pre-Summary'!$AE$6:$AJ$85,5,FALSE),"")</f>
        <v/>
      </c>
      <c r="J713" s="45" t="str">
        <f>IFERROR(VLOOKUP(B713,'Pre-Summary'!$AE$6:$AJ$85,6, FALSE),"")</f>
        <v/>
      </c>
      <c r="K713" s="45" t="str">
        <f>IFERROR(VLOOKUP(B713,'Pre-Summary'!$DE$6:$DG$61,3,FALSE),"")</f>
        <v/>
      </c>
      <c r="L713" s="45" t="str">
        <f>IFERROR(VLOOKUP(B713,'Pre-Summary'!$CU$6:$CW$36,3,FALSE),"")</f>
        <v/>
      </c>
      <c r="M713" s="45" t="str">
        <f>IFERROR(VLOOKUP(B713,'Pre-Summary'!$BW$6:$BY$58,2,FALSE),"")</f>
        <v/>
      </c>
      <c r="N713" s="45" t="str">
        <f>IFERROR(VLOOKUP(B713,'Pre-Summary'!$CD$6:$CF$64,2,FALSE),"")</f>
        <v/>
      </c>
      <c r="O713" s="99">
        <f>IFERROR(VLOOKUP(B713,'Pre-Summary'!$BO$6:$BQ$48,3, FALSE),O712)</f>
        <v>1.2</v>
      </c>
      <c r="P713" s="99">
        <f>IFERROR(VLOOKUP(B713,'Pre-Summary'!$BS$6:$BU$35,3,FALSE),P712)</f>
        <v>0.34399999999999997</v>
      </c>
      <c r="Q713" s="54">
        <f t="shared" si="33"/>
        <v>3.4883720930232558</v>
      </c>
      <c r="R713" s="53">
        <f>IFERROR(VLOOKUP(B713,'Pre-Summary'!$BG$6:$BM$44,7,FALSE),R714)</f>
        <v>7.5915763918363535E-2</v>
      </c>
      <c r="S713" s="53">
        <f>IFERROR(VLOOKUP(B713,'Pre-Summary'!$BG$6:$BM$44,6,FALSE),S714)</f>
        <v>5.2897473997019086E-2</v>
      </c>
      <c r="T713" s="45" t="str">
        <f>IFERROR(VLOOKUP(B713,'Pre-Summary'!$Y$6:$AC$83, 3,FALSE),"")</f>
        <v/>
      </c>
      <c r="U713" s="45" t="str">
        <f>IFERROR(VLOOKUP(B713,'Pre-Summary'!$Y$6:$AC$83, 4,FALSE),"")</f>
        <v/>
      </c>
      <c r="V713" t="str">
        <f>IFERROR(VLOOKUP(B713,'Pre-Summary'!$Y$6:$AC$83, 5,FALSE),"")</f>
        <v/>
      </c>
      <c r="W713" s="45" t="str">
        <f>IFERROR(VLOOKUP(B713,'Pre-Summary'!$Y$6:$AD$83,6,FALSE),"")</f>
        <v/>
      </c>
      <c r="X713" t="str">
        <f>IFERROR(VLOOKUP('Pre-Summary'!$DB$6:$DD$63,3,FALSE),"")</f>
        <v/>
      </c>
      <c r="Y713" t="str">
        <f>IFERROR(VLOOKUP(B713,'Pre-Summary'!$CR$6:$CT$36,3,FALSE),"")</f>
        <v/>
      </c>
      <c r="Z713" s="45" t="str">
        <f>IFERROR(VLOOKUP(B713,'Pre-Summary'!$BZ$6:$CB$63,2,FALSE),"")</f>
        <v/>
      </c>
      <c r="AA713" s="45" t="str">
        <f>IFERROR(VLOOKUP(B713,'Pre-Summary'!$CG$6:$CI$70,2,FALSE),"")</f>
        <v/>
      </c>
      <c r="AB713" s="99">
        <f>IFERROR(VLOOKUP(B713,'Pre-Summary'!$A$6:$P$178,9,FALSE),AB714)</f>
        <v>0.84881825135540423</v>
      </c>
      <c r="AC713" s="10">
        <f>IFERROR(VLOOKUP(Summary!B713,'Pre-Summary'!$A$6:$P$184,5, FALSE)/100,AC714)</f>
        <v>0.77505331832279212</v>
      </c>
      <c r="AD713" s="10">
        <f>IFERROR(VLOOKUP(Summary!B713,'Pre-Summary'!$A$6:$P$184,3, FALSE)/100,AD714)</f>
        <v>3.6833887159730253E-3</v>
      </c>
      <c r="AE713" s="10">
        <f>IFERROR(VLOOKUP(Summary!B713,'Pre-Summary'!$A$6:$P$184,7, FALSE)/100,AE714)</f>
        <v>0.221264232960907</v>
      </c>
      <c r="AF713" s="99">
        <f t="shared" si="34"/>
        <v>3.1265275689544509E-3</v>
      </c>
      <c r="AG713" s="99">
        <f t="shared" si="35"/>
        <v>0.18781311930937186</v>
      </c>
      <c r="AH713" s="10" t="str">
        <f>IFERROR(VLOOKUP(B713,'Pre-Summary'!$AZ$6:$BE$65,3,FALSE),"")</f>
        <v/>
      </c>
      <c r="AI713" s="10" t="str">
        <f>IFERROR(VLOOKUP(B713,'Pre-Summary'!$AZ$6:$BE$65,5,FALSE),"")</f>
        <v/>
      </c>
      <c r="AJ713" s="10" t="str">
        <f>IFERROR(VLOOKUP(B713,'Pre-Summary'!$AZ$6:$BE$65,4,FALSE),"")</f>
        <v/>
      </c>
      <c r="AK713" s="10" t="str">
        <f>IFERROR(VLOOKUP(B713,'Pre-Summary'!$AZ$6:$BE$65,6,FALSE),"")</f>
        <v/>
      </c>
      <c r="AL713" s="10" t="str">
        <f>IFERROR(VLOOKUP(B713,'Pre-Summary'!$BG$6:$BL$44,3,FALSE),"")</f>
        <v/>
      </c>
      <c r="AM713" s="10" t="str">
        <f>IFERROR(VLOOKUP(B713,'Pre-Summary'!$BG$6:$BL$44,4,FALSE),"")</f>
        <v/>
      </c>
    </row>
    <row r="714" spans="2:39" ht="15" customHeight="1" x14ac:dyDescent="0.3">
      <c r="B714">
        <v>71.099999999999994</v>
      </c>
      <c r="C714" t="str">
        <f>IFERROR(VLOOKUP(B714,'Pre-Summary'!$DI$6:$DM$23,4,FALSE),"")</f>
        <v/>
      </c>
      <c r="D714" s="10" t="str">
        <f>IFERROR(VLOOKUP(B714,'Pre-Summary'!$AT$6:$AX$14,5,FALSE),D713)</f>
        <v>DSMZ v2: Dropped Na-Ac out of DSMZ 120 media</v>
      </c>
      <c r="E714" s="10" t="str">
        <f>IFERROR(VLOOKUP(B714,'Pre-Summary'!$AT$6:$AX$15,4,FALSE),"")</f>
        <v/>
      </c>
      <c r="F714">
        <f>IFERROR(VLOOKUP(B714,'Pre-Summary'!$AL$6:$AQ$13,6,FALSE),F713)</f>
        <v>5.9405263157894746E-2</v>
      </c>
      <c r="G714" t="str">
        <f>IFERROR(VLOOKUP(B714,'Pre-Summary'!$AE$6:$AJ$85,3,FALSE),"")</f>
        <v/>
      </c>
      <c r="H714" t="str">
        <f>IFERROR(VLOOKUP(B714,'Pre-Summary'!$AE$6:$AJ$85,4,FALSE),"")</f>
        <v/>
      </c>
      <c r="I714" t="str">
        <f>IFERROR(VLOOKUP(B714,'Pre-Summary'!$AE$6:$AJ$85,5,FALSE),"")</f>
        <v/>
      </c>
      <c r="J714" s="45" t="str">
        <f>IFERROR(VLOOKUP(B714,'Pre-Summary'!$AE$6:$AJ$85,6, FALSE),"")</f>
        <v/>
      </c>
      <c r="K714" s="45" t="str">
        <f>IFERROR(VLOOKUP(B714,'Pre-Summary'!$DE$6:$DG$61,3,FALSE),"")</f>
        <v/>
      </c>
      <c r="L714" s="45" t="str">
        <f>IFERROR(VLOOKUP(B714,'Pre-Summary'!$CU$6:$CW$36,3,FALSE),"")</f>
        <v/>
      </c>
      <c r="M714" s="45" t="str">
        <f>IFERROR(VLOOKUP(B714,'Pre-Summary'!$BW$6:$BY$58,2,FALSE),"")</f>
        <v/>
      </c>
      <c r="N714" s="45" t="str">
        <f>IFERROR(VLOOKUP(B714,'Pre-Summary'!$CD$6:$CF$64,2,FALSE),"")</f>
        <v/>
      </c>
      <c r="O714" s="99">
        <f>IFERROR(VLOOKUP(B714,'Pre-Summary'!$BO$6:$BQ$48,3, FALSE),O713)</f>
        <v>1.2</v>
      </c>
      <c r="P714" s="99">
        <f>IFERROR(VLOOKUP(B714,'Pre-Summary'!$BS$6:$BU$35,3,FALSE),P713)</f>
        <v>0.34399999999999997</v>
      </c>
      <c r="Q714" s="54">
        <f t="shared" si="33"/>
        <v>3.4883720930232558</v>
      </c>
      <c r="R714" s="53">
        <f>IFERROR(VLOOKUP(B714,'Pre-Summary'!$BG$6:$BM$44,7,FALSE),R715)</f>
        <v>7.5915763918363535E-2</v>
      </c>
      <c r="S714" s="53">
        <f>IFERROR(VLOOKUP(B714,'Pre-Summary'!$BG$6:$BM$44,6,FALSE),S715)</f>
        <v>5.2897473997019086E-2</v>
      </c>
      <c r="T714" s="45" t="str">
        <f>IFERROR(VLOOKUP(B714,'Pre-Summary'!$Y$6:$AC$83, 3,FALSE),"")</f>
        <v/>
      </c>
      <c r="U714" s="45" t="str">
        <f>IFERROR(VLOOKUP(B714,'Pre-Summary'!$Y$6:$AC$83, 4,FALSE),"")</f>
        <v/>
      </c>
      <c r="V714" t="str">
        <f>IFERROR(VLOOKUP(B714,'Pre-Summary'!$Y$6:$AC$83, 5,FALSE),"")</f>
        <v/>
      </c>
      <c r="W714" s="45" t="str">
        <f>IFERROR(VLOOKUP(B714,'Pre-Summary'!$Y$6:$AD$83,6,FALSE),"")</f>
        <v/>
      </c>
      <c r="X714" t="str">
        <f>IFERROR(VLOOKUP('Pre-Summary'!$DB$6:$DD$63,3,FALSE),"")</f>
        <v/>
      </c>
      <c r="Y714" t="str">
        <f>IFERROR(VLOOKUP(B714,'Pre-Summary'!$CR$6:$CT$36,3,FALSE),"")</f>
        <v/>
      </c>
      <c r="Z714" s="45" t="str">
        <f>IFERROR(VLOOKUP(B714,'Pre-Summary'!$BZ$6:$CB$63,2,FALSE),"")</f>
        <v/>
      </c>
      <c r="AA714" s="45" t="str">
        <f>IFERROR(VLOOKUP(B714,'Pre-Summary'!$CG$6:$CI$70,2,FALSE),"")</f>
        <v/>
      </c>
      <c r="AB714" s="99">
        <f>IFERROR(VLOOKUP(B714,'Pre-Summary'!$A$6:$P$178,9,FALSE),AB715)</f>
        <v>0.84881825135540423</v>
      </c>
      <c r="AC714" s="10">
        <f>IFERROR(VLOOKUP(Summary!B714,'Pre-Summary'!$A$6:$P$184,5, FALSE)/100,AC715)</f>
        <v>0.77505331832279212</v>
      </c>
      <c r="AD714" s="10">
        <f>IFERROR(VLOOKUP(Summary!B714,'Pre-Summary'!$A$6:$P$184,3, FALSE)/100,AD715)</f>
        <v>3.6833887159730253E-3</v>
      </c>
      <c r="AE714" s="10">
        <f>IFERROR(VLOOKUP(Summary!B714,'Pre-Summary'!$A$6:$P$184,7, FALSE)/100,AE715)</f>
        <v>0.221264232960907</v>
      </c>
      <c r="AF714" s="99">
        <f t="shared" si="34"/>
        <v>3.1265275689544509E-3</v>
      </c>
      <c r="AG714" s="99">
        <f t="shared" si="35"/>
        <v>0.18781311930937186</v>
      </c>
      <c r="AH714" s="10" t="str">
        <f>IFERROR(VLOOKUP(B714,'Pre-Summary'!$AZ$6:$BE$65,3,FALSE),"")</f>
        <v/>
      </c>
      <c r="AI714" s="10" t="str">
        <f>IFERROR(VLOOKUP(B714,'Pre-Summary'!$AZ$6:$BE$65,5,FALSE),"")</f>
        <v/>
      </c>
      <c r="AJ714" s="10" t="str">
        <f>IFERROR(VLOOKUP(B714,'Pre-Summary'!$AZ$6:$BE$65,4,FALSE),"")</f>
        <v/>
      </c>
      <c r="AK714" s="10" t="str">
        <f>IFERROR(VLOOKUP(B714,'Pre-Summary'!$AZ$6:$BE$65,6,FALSE),"")</f>
        <v/>
      </c>
      <c r="AL714" s="10" t="str">
        <f>IFERROR(VLOOKUP(B714,'Pre-Summary'!$BG$6:$BL$44,3,FALSE),"")</f>
        <v/>
      </c>
      <c r="AM714" s="10" t="str">
        <f>IFERROR(VLOOKUP(B714,'Pre-Summary'!$BG$6:$BL$44,4,FALSE),"")</f>
        <v/>
      </c>
    </row>
    <row r="715" spans="2:39" ht="15" customHeight="1" x14ac:dyDescent="0.3">
      <c r="B715">
        <v>71.2</v>
      </c>
      <c r="C715" t="str">
        <f>IFERROR(VLOOKUP(B715,'Pre-Summary'!$DI$6:$DM$23,4,FALSE),"")</f>
        <v/>
      </c>
      <c r="D715" s="10" t="str">
        <f>IFERROR(VLOOKUP(B715,'Pre-Summary'!$AT$6:$AX$14,5,FALSE),D714)</f>
        <v>DSMZ v2: Dropped Na-Ac out of DSMZ 120 media</v>
      </c>
      <c r="E715" s="10" t="str">
        <f>IFERROR(VLOOKUP(B715,'Pre-Summary'!$AT$6:$AX$15,4,FALSE),"")</f>
        <v/>
      </c>
      <c r="F715">
        <f>IFERROR(VLOOKUP(B715,'Pre-Summary'!$AL$6:$AQ$13,6,FALSE),F714)</f>
        <v>5.9405263157894746E-2</v>
      </c>
      <c r="G715" t="str">
        <f>IFERROR(VLOOKUP(B715,'Pre-Summary'!$AE$6:$AJ$85,3,FALSE),"")</f>
        <v/>
      </c>
      <c r="H715" t="str">
        <f>IFERROR(VLOOKUP(B715,'Pre-Summary'!$AE$6:$AJ$85,4,FALSE),"")</f>
        <v/>
      </c>
      <c r="I715" t="str">
        <f>IFERROR(VLOOKUP(B715,'Pre-Summary'!$AE$6:$AJ$85,5,FALSE),"")</f>
        <v/>
      </c>
      <c r="J715" s="45" t="str">
        <f>IFERROR(VLOOKUP(B715,'Pre-Summary'!$AE$6:$AJ$85,6, FALSE),"")</f>
        <v/>
      </c>
      <c r="K715" s="45" t="str">
        <f>IFERROR(VLOOKUP(B715,'Pre-Summary'!$DE$6:$DG$61,3,FALSE),"")</f>
        <v/>
      </c>
      <c r="L715" s="45" t="str">
        <f>IFERROR(VLOOKUP(B715,'Pre-Summary'!$CU$6:$CW$36,3,FALSE),"")</f>
        <v/>
      </c>
      <c r="M715" s="45" t="str">
        <f>IFERROR(VLOOKUP(B715,'Pre-Summary'!$BW$6:$BY$58,2,FALSE),"")</f>
        <v/>
      </c>
      <c r="N715" s="45" t="str">
        <f>IFERROR(VLOOKUP(B715,'Pre-Summary'!$CD$6:$CF$64,2,FALSE),"")</f>
        <v/>
      </c>
      <c r="O715" s="99">
        <f>IFERROR(VLOOKUP(B715,'Pre-Summary'!$BO$6:$BQ$48,3, FALSE),O714)</f>
        <v>1.2</v>
      </c>
      <c r="P715" s="99">
        <f>IFERROR(VLOOKUP(B715,'Pre-Summary'!$BS$6:$BU$35,3,FALSE),P714)</f>
        <v>0.34399999999999997</v>
      </c>
      <c r="Q715" s="54">
        <f t="shared" si="33"/>
        <v>3.4883720930232558</v>
      </c>
      <c r="R715" s="53">
        <f>IFERROR(VLOOKUP(B715,'Pre-Summary'!$BG$6:$BM$44,7,FALSE),R716)</f>
        <v>7.5915763918363535E-2</v>
      </c>
      <c r="S715" s="53">
        <f>IFERROR(VLOOKUP(B715,'Pre-Summary'!$BG$6:$BM$44,6,FALSE),S716)</f>
        <v>5.2897473997019086E-2</v>
      </c>
      <c r="T715" s="45" t="str">
        <f>IFERROR(VLOOKUP(B715,'Pre-Summary'!$Y$6:$AC$83, 3,FALSE),"")</f>
        <v/>
      </c>
      <c r="U715" s="45" t="str">
        <f>IFERROR(VLOOKUP(B715,'Pre-Summary'!$Y$6:$AC$83, 4,FALSE),"")</f>
        <v/>
      </c>
      <c r="V715" t="str">
        <f>IFERROR(VLOOKUP(B715,'Pre-Summary'!$Y$6:$AC$83, 5,FALSE),"")</f>
        <v/>
      </c>
      <c r="W715" s="45" t="str">
        <f>IFERROR(VLOOKUP(B715,'Pre-Summary'!$Y$6:$AD$83,6,FALSE),"")</f>
        <v/>
      </c>
      <c r="X715" t="str">
        <f>IFERROR(VLOOKUP('Pre-Summary'!$DB$6:$DD$63,3,FALSE),"")</f>
        <v/>
      </c>
      <c r="Y715" t="str">
        <f>IFERROR(VLOOKUP(B715,'Pre-Summary'!$CR$6:$CT$36,3,FALSE),"")</f>
        <v/>
      </c>
      <c r="Z715" s="45" t="str">
        <f>IFERROR(VLOOKUP(B715,'Pre-Summary'!$BZ$6:$CB$63,2,FALSE),"")</f>
        <v/>
      </c>
      <c r="AA715" s="45" t="str">
        <f>IFERROR(VLOOKUP(B715,'Pre-Summary'!$CG$6:$CI$70,2,FALSE),"")</f>
        <v/>
      </c>
      <c r="AB715" s="99">
        <f>IFERROR(VLOOKUP(B715,'Pre-Summary'!$A$6:$P$178,9,FALSE),AB716)</f>
        <v>0.84881825135540423</v>
      </c>
      <c r="AC715" s="10">
        <f>IFERROR(VLOOKUP(Summary!B715,'Pre-Summary'!$A$6:$P$184,5, FALSE)/100,AC716)</f>
        <v>0.77505331832279212</v>
      </c>
      <c r="AD715" s="10">
        <f>IFERROR(VLOOKUP(Summary!B715,'Pre-Summary'!$A$6:$P$184,3, FALSE)/100,AD716)</f>
        <v>3.6833887159730253E-3</v>
      </c>
      <c r="AE715" s="10">
        <f>IFERROR(VLOOKUP(Summary!B715,'Pre-Summary'!$A$6:$P$184,7, FALSE)/100,AE716)</f>
        <v>0.221264232960907</v>
      </c>
      <c r="AF715" s="99">
        <f t="shared" si="34"/>
        <v>3.1265275689544509E-3</v>
      </c>
      <c r="AG715" s="99">
        <f t="shared" si="35"/>
        <v>0.18781311930937186</v>
      </c>
      <c r="AH715" s="10" t="str">
        <f>IFERROR(VLOOKUP(B715,'Pre-Summary'!$AZ$6:$BE$65,3,FALSE),"")</f>
        <v/>
      </c>
      <c r="AI715" s="10" t="str">
        <f>IFERROR(VLOOKUP(B715,'Pre-Summary'!$AZ$6:$BE$65,5,FALSE),"")</f>
        <v/>
      </c>
      <c r="AJ715" s="10" t="str">
        <f>IFERROR(VLOOKUP(B715,'Pre-Summary'!$AZ$6:$BE$65,4,FALSE),"")</f>
        <v/>
      </c>
      <c r="AK715" s="10" t="str">
        <f>IFERROR(VLOOKUP(B715,'Pre-Summary'!$AZ$6:$BE$65,6,FALSE),"")</f>
        <v/>
      </c>
      <c r="AL715" s="10" t="str">
        <f>IFERROR(VLOOKUP(B715,'Pre-Summary'!$BG$6:$BL$44,3,FALSE),"")</f>
        <v/>
      </c>
      <c r="AM715" s="10" t="str">
        <f>IFERROR(VLOOKUP(B715,'Pre-Summary'!$BG$6:$BL$44,4,FALSE),"")</f>
        <v/>
      </c>
    </row>
    <row r="716" spans="2:39" ht="15" customHeight="1" x14ac:dyDescent="0.3">
      <c r="B716">
        <v>71.3</v>
      </c>
      <c r="C716" t="str">
        <f>IFERROR(VLOOKUP(B716,'Pre-Summary'!$DI$6:$DM$23,4,FALSE),"")</f>
        <v/>
      </c>
      <c r="D716" s="10" t="str">
        <f>IFERROR(VLOOKUP(B716,'Pre-Summary'!$AT$6:$AX$14,5,FALSE),D715)</f>
        <v>DSMZ v2: Dropped Na-Ac out of DSMZ 120 media</v>
      </c>
      <c r="E716" s="10" t="str">
        <f>IFERROR(VLOOKUP(B716,'Pre-Summary'!$AT$6:$AX$15,4,FALSE),"")</f>
        <v/>
      </c>
      <c r="F716">
        <f>IFERROR(VLOOKUP(B716,'Pre-Summary'!$AL$6:$AQ$13,6,FALSE),F715)</f>
        <v>5.9405263157894746E-2</v>
      </c>
      <c r="G716" t="str">
        <f>IFERROR(VLOOKUP(B716,'Pre-Summary'!$AE$6:$AJ$85,3,FALSE),"")</f>
        <v/>
      </c>
      <c r="H716" t="str">
        <f>IFERROR(VLOOKUP(B716,'Pre-Summary'!$AE$6:$AJ$85,4,FALSE),"")</f>
        <v/>
      </c>
      <c r="I716" t="str">
        <f>IFERROR(VLOOKUP(B716,'Pre-Summary'!$AE$6:$AJ$85,5,FALSE),"")</f>
        <v/>
      </c>
      <c r="J716" s="45" t="str">
        <f>IFERROR(VLOOKUP(B716,'Pre-Summary'!$AE$6:$AJ$85,6, FALSE),"")</f>
        <v/>
      </c>
      <c r="K716" s="45" t="str">
        <f>IFERROR(VLOOKUP(B716,'Pre-Summary'!$DE$6:$DG$61,3,FALSE),"")</f>
        <v/>
      </c>
      <c r="L716" s="45" t="str">
        <f>IFERROR(VLOOKUP(B716,'Pre-Summary'!$CU$6:$CW$36,3,FALSE),"")</f>
        <v/>
      </c>
      <c r="M716" s="45" t="str">
        <f>IFERROR(VLOOKUP(B716,'Pre-Summary'!$BW$6:$BY$58,2,FALSE),"")</f>
        <v/>
      </c>
      <c r="N716" s="45" t="str">
        <f>IFERROR(VLOOKUP(B716,'Pre-Summary'!$CD$6:$CF$64,2,FALSE),"")</f>
        <v/>
      </c>
      <c r="O716" s="99">
        <f>IFERROR(VLOOKUP(B716,'Pre-Summary'!$BO$6:$BQ$48,3, FALSE),O715)</f>
        <v>1.2</v>
      </c>
      <c r="P716" s="99">
        <f>IFERROR(VLOOKUP(B716,'Pre-Summary'!$BS$6:$BU$35,3,FALSE),P715)</f>
        <v>0.34399999999999997</v>
      </c>
      <c r="Q716" s="54">
        <f t="shared" si="33"/>
        <v>3.4883720930232558</v>
      </c>
      <c r="R716" s="53">
        <f>IFERROR(VLOOKUP(B716,'Pre-Summary'!$BG$6:$BM$44,7,FALSE),R717)</f>
        <v>7.5915763918363535E-2</v>
      </c>
      <c r="S716" s="53">
        <f>IFERROR(VLOOKUP(B716,'Pre-Summary'!$BG$6:$BM$44,6,FALSE),S717)</f>
        <v>5.2897473997019086E-2</v>
      </c>
      <c r="T716" s="45" t="str">
        <f>IFERROR(VLOOKUP(B716,'Pre-Summary'!$Y$6:$AC$83, 3,FALSE),"")</f>
        <v/>
      </c>
      <c r="U716" s="45" t="str">
        <f>IFERROR(VLOOKUP(B716,'Pre-Summary'!$Y$6:$AC$83, 4,FALSE),"")</f>
        <v/>
      </c>
      <c r="V716" t="str">
        <f>IFERROR(VLOOKUP(B716,'Pre-Summary'!$Y$6:$AC$83, 5,FALSE),"")</f>
        <v/>
      </c>
      <c r="W716" s="45" t="str">
        <f>IFERROR(VLOOKUP(B716,'Pre-Summary'!$Y$6:$AD$83,6,FALSE),"")</f>
        <v/>
      </c>
      <c r="X716" t="str">
        <f>IFERROR(VLOOKUP('Pre-Summary'!$DB$6:$DD$63,3,FALSE),"")</f>
        <v/>
      </c>
      <c r="Y716" t="str">
        <f>IFERROR(VLOOKUP(B716,'Pre-Summary'!$CR$6:$CT$36,3,FALSE),"")</f>
        <v/>
      </c>
      <c r="Z716" s="45" t="str">
        <f>IFERROR(VLOOKUP(B716,'Pre-Summary'!$BZ$6:$CB$63,2,FALSE),"")</f>
        <v/>
      </c>
      <c r="AA716" s="45" t="str">
        <f>IFERROR(VLOOKUP(B716,'Pre-Summary'!$CG$6:$CI$70,2,FALSE),"")</f>
        <v/>
      </c>
      <c r="AB716" s="99">
        <f>IFERROR(VLOOKUP(B716,'Pre-Summary'!$A$6:$P$178,9,FALSE),AB717)</f>
        <v>0.84881825135540423</v>
      </c>
      <c r="AC716" s="10">
        <f>IFERROR(VLOOKUP(Summary!B716,'Pre-Summary'!$A$6:$P$184,5, FALSE)/100,AC717)</f>
        <v>0.77505331832279212</v>
      </c>
      <c r="AD716" s="10">
        <f>IFERROR(VLOOKUP(Summary!B716,'Pre-Summary'!$A$6:$P$184,3, FALSE)/100,AD717)</f>
        <v>3.6833887159730253E-3</v>
      </c>
      <c r="AE716" s="10">
        <f>IFERROR(VLOOKUP(Summary!B716,'Pre-Summary'!$A$6:$P$184,7, FALSE)/100,AE717)</f>
        <v>0.221264232960907</v>
      </c>
      <c r="AF716" s="99">
        <f t="shared" si="34"/>
        <v>3.1265275689544509E-3</v>
      </c>
      <c r="AG716" s="99">
        <f t="shared" si="35"/>
        <v>0.18781311930937186</v>
      </c>
      <c r="AH716" s="10" t="str">
        <f>IFERROR(VLOOKUP(B716,'Pre-Summary'!$AZ$6:$BE$65,3,FALSE),"")</f>
        <v/>
      </c>
      <c r="AI716" s="10" t="str">
        <f>IFERROR(VLOOKUP(B716,'Pre-Summary'!$AZ$6:$BE$65,5,FALSE),"")</f>
        <v/>
      </c>
      <c r="AJ716" s="10" t="str">
        <f>IFERROR(VLOOKUP(B716,'Pre-Summary'!$AZ$6:$BE$65,4,FALSE),"")</f>
        <v/>
      </c>
      <c r="AK716" s="10" t="str">
        <f>IFERROR(VLOOKUP(B716,'Pre-Summary'!$AZ$6:$BE$65,6,FALSE),"")</f>
        <v/>
      </c>
      <c r="AL716" s="10" t="str">
        <f>IFERROR(VLOOKUP(B716,'Pre-Summary'!$BG$6:$BL$44,3,FALSE),"")</f>
        <v/>
      </c>
      <c r="AM716" s="10" t="str">
        <f>IFERROR(VLOOKUP(B716,'Pre-Summary'!$BG$6:$BL$44,4,FALSE),"")</f>
        <v/>
      </c>
    </row>
    <row r="717" spans="2:39" ht="15" customHeight="1" x14ac:dyDescent="0.3">
      <c r="B717">
        <v>71.400000000000006</v>
      </c>
      <c r="C717" t="str">
        <f>IFERROR(VLOOKUP(B717,'Pre-Summary'!$DI$6:$DM$23,4,FALSE),"")</f>
        <v/>
      </c>
      <c r="D717" s="10" t="str">
        <f>IFERROR(VLOOKUP(B717,'Pre-Summary'!$AT$6:$AX$14,5,FALSE),D716)</f>
        <v>DSMZ v2: Dropped Na-Ac out of DSMZ 120 media</v>
      </c>
      <c r="E717" s="10" t="str">
        <f>IFERROR(VLOOKUP(B717,'Pre-Summary'!$AT$6:$AX$15,4,FALSE),"")</f>
        <v/>
      </c>
      <c r="F717">
        <f>IFERROR(VLOOKUP(B717,'Pre-Summary'!$AL$6:$AQ$13,6,FALSE),F716)</f>
        <v>5.9405263157894746E-2</v>
      </c>
      <c r="G717" t="str">
        <f>IFERROR(VLOOKUP(B717,'Pre-Summary'!$AE$6:$AJ$85,3,FALSE),"")</f>
        <v/>
      </c>
      <c r="H717" t="str">
        <f>IFERROR(VLOOKUP(B717,'Pre-Summary'!$AE$6:$AJ$85,4,FALSE),"")</f>
        <v/>
      </c>
      <c r="I717" t="str">
        <f>IFERROR(VLOOKUP(B717,'Pre-Summary'!$AE$6:$AJ$85,5,FALSE),"")</f>
        <v/>
      </c>
      <c r="J717" s="45" t="str">
        <f>IFERROR(VLOOKUP(B717,'Pre-Summary'!$AE$6:$AJ$85,6, FALSE),"")</f>
        <v/>
      </c>
      <c r="K717" s="45" t="str">
        <f>IFERROR(VLOOKUP(B717,'Pre-Summary'!$DE$6:$DG$61,3,FALSE),"")</f>
        <v/>
      </c>
      <c r="L717" s="45" t="str">
        <f>IFERROR(VLOOKUP(B717,'Pre-Summary'!$CU$6:$CW$36,3,FALSE),"")</f>
        <v/>
      </c>
      <c r="M717" s="45" t="str">
        <f>IFERROR(VLOOKUP(B717,'Pre-Summary'!$BW$6:$BY$58,2,FALSE),"")</f>
        <v/>
      </c>
      <c r="N717" s="45" t="str">
        <f>IFERROR(VLOOKUP(B717,'Pre-Summary'!$CD$6:$CF$64,2,FALSE),"")</f>
        <v/>
      </c>
      <c r="O717" s="99">
        <f>IFERROR(VLOOKUP(B717,'Pre-Summary'!$BO$6:$BQ$48,3, FALSE),O716)</f>
        <v>1.2</v>
      </c>
      <c r="P717" s="99">
        <f>IFERROR(VLOOKUP(B717,'Pre-Summary'!$BS$6:$BU$35,3,FALSE),P716)</f>
        <v>0.34399999999999997</v>
      </c>
      <c r="Q717" s="54">
        <f t="shared" si="33"/>
        <v>3.4883720930232558</v>
      </c>
      <c r="R717" s="53">
        <f>IFERROR(VLOOKUP(B717,'Pre-Summary'!$BG$6:$BM$44,7,FALSE),R718)</f>
        <v>7.5915763918363535E-2</v>
      </c>
      <c r="S717" s="53">
        <f>IFERROR(VLOOKUP(B717,'Pre-Summary'!$BG$6:$BM$44,6,FALSE),S718)</f>
        <v>5.2897473997019086E-2</v>
      </c>
      <c r="T717" s="45" t="str">
        <f>IFERROR(VLOOKUP(B717,'Pre-Summary'!$Y$6:$AC$83, 3,FALSE),"")</f>
        <v/>
      </c>
      <c r="U717" s="45" t="str">
        <f>IFERROR(VLOOKUP(B717,'Pre-Summary'!$Y$6:$AC$83, 4,FALSE),"")</f>
        <v/>
      </c>
      <c r="V717" t="str">
        <f>IFERROR(VLOOKUP(B717,'Pre-Summary'!$Y$6:$AC$83, 5,FALSE),"")</f>
        <v/>
      </c>
      <c r="W717" s="45" t="str">
        <f>IFERROR(VLOOKUP(B717,'Pre-Summary'!$Y$6:$AD$83,6,FALSE),"")</f>
        <v/>
      </c>
      <c r="X717" t="str">
        <f>IFERROR(VLOOKUP('Pre-Summary'!$DB$6:$DD$63,3,FALSE),"")</f>
        <v/>
      </c>
      <c r="Y717" t="str">
        <f>IFERROR(VLOOKUP(B717,'Pre-Summary'!$CR$6:$CT$36,3,FALSE),"")</f>
        <v/>
      </c>
      <c r="Z717" s="45" t="str">
        <f>IFERROR(VLOOKUP(B717,'Pre-Summary'!$BZ$6:$CB$63,2,FALSE),"")</f>
        <v/>
      </c>
      <c r="AA717" s="45" t="str">
        <f>IFERROR(VLOOKUP(B717,'Pre-Summary'!$CG$6:$CI$70,2,FALSE),"")</f>
        <v/>
      </c>
      <c r="AB717" s="99">
        <f>IFERROR(VLOOKUP(B717,'Pre-Summary'!$A$6:$P$178,9,FALSE),AB718)</f>
        <v>0.84881825135540423</v>
      </c>
      <c r="AC717" s="10">
        <f>IFERROR(VLOOKUP(Summary!B717,'Pre-Summary'!$A$6:$P$184,5, FALSE)/100,AC718)</f>
        <v>0.77505331832279212</v>
      </c>
      <c r="AD717" s="10">
        <f>IFERROR(VLOOKUP(Summary!B717,'Pre-Summary'!$A$6:$P$184,3, FALSE)/100,AD718)</f>
        <v>3.6833887159730253E-3</v>
      </c>
      <c r="AE717" s="10">
        <f>IFERROR(VLOOKUP(Summary!B717,'Pre-Summary'!$A$6:$P$184,7, FALSE)/100,AE718)</f>
        <v>0.221264232960907</v>
      </c>
      <c r="AF717" s="99">
        <f t="shared" si="34"/>
        <v>3.1265275689544509E-3</v>
      </c>
      <c r="AG717" s="99">
        <f t="shared" si="35"/>
        <v>0.18781311930937186</v>
      </c>
      <c r="AH717" s="10" t="str">
        <f>IFERROR(VLOOKUP(B717,'Pre-Summary'!$AZ$6:$BE$65,3,FALSE),"")</f>
        <v/>
      </c>
      <c r="AI717" s="10" t="str">
        <f>IFERROR(VLOOKUP(B717,'Pre-Summary'!$AZ$6:$BE$65,5,FALSE),"")</f>
        <v/>
      </c>
      <c r="AJ717" s="10" t="str">
        <f>IFERROR(VLOOKUP(B717,'Pre-Summary'!$AZ$6:$BE$65,4,FALSE),"")</f>
        <v/>
      </c>
      <c r="AK717" s="10" t="str">
        <f>IFERROR(VLOOKUP(B717,'Pre-Summary'!$AZ$6:$BE$65,6,FALSE),"")</f>
        <v/>
      </c>
      <c r="AL717" s="10" t="str">
        <f>IFERROR(VLOOKUP(B717,'Pre-Summary'!$BG$6:$BL$44,3,FALSE),"")</f>
        <v/>
      </c>
      <c r="AM717" s="10" t="str">
        <f>IFERROR(VLOOKUP(B717,'Pre-Summary'!$BG$6:$BL$44,4,FALSE),"")</f>
        <v/>
      </c>
    </row>
    <row r="718" spans="2:39" ht="15" customHeight="1" x14ac:dyDescent="0.3">
      <c r="B718">
        <v>71.5</v>
      </c>
      <c r="C718" t="str">
        <f>IFERROR(VLOOKUP(B718,'Pre-Summary'!$DI$6:$DM$23,4,FALSE),"")</f>
        <v/>
      </c>
      <c r="D718" s="10" t="str">
        <f>IFERROR(VLOOKUP(B718,'Pre-Summary'!$AT$6:$AX$14,5,FALSE),D717)</f>
        <v>DSMZ v2: Dropped Na-Ac out of DSMZ 120 media</v>
      </c>
      <c r="E718" s="10" t="str">
        <f>IFERROR(VLOOKUP(B718,'Pre-Summary'!$AT$6:$AX$15,4,FALSE),"")</f>
        <v/>
      </c>
      <c r="F718">
        <f>IFERROR(VLOOKUP(B718,'Pre-Summary'!$AL$6:$AQ$13,6,FALSE),F717)</f>
        <v>5.9405263157894746E-2</v>
      </c>
      <c r="G718" t="str">
        <f>IFERROR(VLOOKUP(B718,'Pre-Summary'!$AE$6:$AJ$85,3,FALSE),"")</f>
        <v/>
      </c>
      <c r="H718" t="str">
        <f>IFERROR(VLOOKUP(B718,'Pre-Summary'!$AE$6:$AJ$85,4,FALSE),"")</f>
        <v/>
      </c>
      <c r="I718" t="str">
        <f>IFERROR(VLOOKUP(B718,'Pre-Summary'!$AE$6:$AJ$85,5,FALSE),"")</f>
        <v/>
      </c>
      <c r="J718" s="45" t="str">
        <f>IFERROR(VLOOKUP(B718,'Pre-Summary'!$AE$6:$AJ$85,6, FALSE),"")</f>
        <v/>
      </c>
      <c r="K718" s="45" t="str">
        <f>IFERROR(VLOOKUP(B718,'Pre-Summary'!$DE$6:$DG$61,3,FALSE),"")</f>
        <v/>
      </c>
      <c r="L718" s="45" t="str">
        <f>IFERROR(VLOOKUP(B718,'Pre-Summary'!$CU$6:$CW$36,3,FALSE),"")</f>
        <v/>
      </c>
      <c r="M718" s="45" t="str">
        <f>IFERROR(VLOOKUP(B718,'Pre-Summary'!$BW$6:$BY$58,2,FALSE),"")</f>
        <v/>
      </c>
      <c r="N718" s="45" t="str">
        <f>IFERROR(VLOOKUP(B718,'Pre-Summary'!$CD$6:$CF$64,2,FALSE),"")</f>
        <v/>
      </c>
      <c r="O718" s="99">
        <f>IFERROR(VLOOKUP(B718,'Pre-Summary'!$BO$6:$BQ$48,3, FALSE),O717)</f>
        <v>1.2</v>
      </c>
      <c r="P718" s="99">
        <f>IFERROR(VLOOKUP(B718,'Pre-Summary'!$BS$6:$BU$35,3,FALSE),P717)</f>
        <v>0.34399999999999997</v>
      </c>
      <c r="Q718" s="54">
        <f t="shared" si="33"/>
        <v>3.4883720930232558</v>
      </c>
      <c r="R718" s="53">
        <f>IFERROR(VLOOKUP(B718,'Pre-Summary'!$BG$6:$BM$44,7,FALSE),R719)</f>
        <v>7.5915763918363535E-2</v>
      </c>
      <c r="S718" s="53">
        <f>IFERROR(VLOOKUP(B718,'Pre-Summary'!$BG$6:$BM$44,6,FALSE),S719)</f>
        <v>5.2897473997019086E-2</v>
      </c>
      <c r="T718" s="45" t="str">
        <f>IFERROR(VLOOKUP(B718,'Pre-Summary'!$Y$6:$AC$83, 3,FALSE),"")</f>
        <v/>
      </c>
      <c r="U718" s="45" t="str">
        <f>IFERROR(VLOOKUP(B718,'Pre-Summary'!$Y$6:$AC$83, 4,FALSE),"")</f>
        <v/>
      </c>
      <c r="V718" t="str">
        <f>IFERROR(VLOOKUP(B718,'Pre-Summary'!$Y$6:$AC$83, 5,FALSE),"")</f>
        <v/>
      </c>
      <c r="W718" s="45" t="str">
        <f>IFERROR(VLOOKUP(B718,'Pre-Summary'!$Y$6:$AD$83,6,FALSE),"")</f>
        <v/>
      </c>
      <c r="X718" t="str">
        <f>IFERROR(VLOOKUP('Pre-Summary'!$DB$6:$DD$63,3,FALSE),"")</f>
        <v/>
      </c>
      <c r="Y718" t="str">
        <f>IFERROR(VLOOKUP(B718,'Pre-Summary'!$CR$6:$CT$36,3,FALSE),"")</f>
        <v/>
      </c>
      <c r="Z718" s="45" t="str">
        <f>IFERROR(VLOOKUP(B718,'Pre-Summary'!$BZ$6:$CB$63,2,FALSE),"")</f>
        <v/>
      </c>
      <c r="AA718" s="45" t="str">
        <f>IFERROR(VLOOKUP(B718,'Pre-Summary'!$CG$6:$CI$70,2,FALSE),"")</f>
        <v/>
      </c>
      <c r="AB718" s="99">
        <f>IFERROR(VLOOKUP(B718,'Pre-Summary'!$A$6:$P$178,9,FALSE),AB719)</f>
        <v>0.84881825135540423</v>
      </c>
      <c r="AC718" s="10">
        <f>IFERROR(VLOOKUP(Summary!B718,'Pre-Summary'!$A$6:$P$184,5, FALSE)/100,AC719)</f>
        <v>0.77505331832279212</v>
      </c>
      <c r="AD718" s="10">
        <f>IFERROR(VLOOKUP(Summary!B718,'Pre-Summary'!$A$6:$P$184,3, FALSE)/100,AD719)</f>
        <v>3.6833887159730253E-3</v>
      </c>
      <c r="AE718" s="10">
        <f>IFERROR(VLOOKUP(Summary!B718,'Pre-Summary'!$A$6:$P$184,7, FALSE)/100,AE719)</f>
        <v>0.221264232960907</v>
      </c>
      <c r="AF718" s="99">
        <f t="shared" si="34"/>
        <v>3.1265275689544509E-3</v>
      </c>
      <c r="AG718" s="99">
        <f t="shared" si="35"/>
        <v>0.18781311930937186</v>
      </c>
      <c r="AH718" s="10" t="str">
        <f>IFERROR(VLOOKUP(B718,'Pre-Summary'!$AZ$6:$BE$65,3,FALSE),"")</f>
        <v/>
      </c>
      <c r="AI718" s="10" t="str">
        <f>IFERROR(VLOOKUP(B718,'Pre-Summary'!$AZ$6:$BE$65,5,FALSE),"")</f>
        <v/>
      </c>
      <c r="AJ718" s="10" t="str">
        <f>IFERROR(VLOOKUP(B718,'Pre-Summary'!$AZ$6:$BE$65,4,FALSE),"")</f>
        <v/>
      </c>
      <c r="AK718" s="10" t="str">
        <f>IFERROR(VLOOKUP(B718,'Pre-Summary'!$AZ$6:$BE$65,6,FALSE),"")</f>
        <v/>
      </c>
      <c r="AL718" s="10" t="str">
        <f>IFERROR(VLOOKUP(B718,'Pre-Summary'!$BG$6:$BL$44,3,FALSE),"")</f>
        <v/>
      </c>
      <c r="AM718" s="10" t="str">
        <f>IFERROR(VLOOKUP(B718,'Pre-Summary'!$BG$6:$BL$44,4,FALSE),"")</f>
        <v/>
      </c>
    </row>
    <row r="719" spans="2:39" ht="15" customHeight="1" x14ac:dyDescent="0.3">
      <c r="B719">
        <v>71.599999999999994</v>
      </c>
      <c r="C719" t="str">
        <f>IFERROR(VLOOKUP(B719,'Pre-Summary'!$DI$6:$DM$23,4,FALSE),"")</f>
        <v/>
      </c>
      <c r="D719" s="10" t="str">
        <f>IFERROR(VLOOKUP(B719,'Pre-Summary'!$AT$6:$AX$14,5,FALSE),D718)</f>
        <v>DSMZ v2: Dropped Na-Ac out of DSMZ 120 media</v>
      </c>
      <c r="E719" s="10" t="str">
        <f>IFERROR(VLOOKUP(B719,'Pre-Summary'!$AT$6:$AX$15,4,FALSE),"")</f>
        <v/>
      </c>
      <c r="F719">
        <f>IFERROR(VLOOKUP(B719,'Pre-Summary'!$AL$6:$AQ$13,6,FALSE),F718)</f>
        <v>5.9405263157894746E-2</v>
      </c>
      <c r="G719" t="str">
        <f>IFERROR(VLOOKUP(B719,'Pre-Summary'!$AE$6:$AJ$85,3,FALSE),"")</f>
        <v/>
      </c>
      <c r="H719" t="str">
        <f>IFERROR(VLOOKUP(B719,'Pre-Summary'!$AE$6:$AJ$85,4,FALSE),"")</f>
        <v/>
      </c>
      <c r="I719" t="str">
        <f>IFERROR(VLOOKUP(B719,'Pre-Summary'!$AE$6:$AJ$85,5,FALSE),"")</f>
        <v/>
      </c>
      <c r="J719" s="45" t="str">
        <f>IFERROR(VLOOKUP(B719,'Pre-Summary'!$AE$6:$AJ$85,6, FALSE),"")</f>
        <v/>
      </c>
      <c r="K719" s="45" t="str">
        <f>IFERROR(VLOOKUP(B719,'Pre-Summary'!$DE$6:$DG$61,3,FALSE),"")</f>
        <v/>
      </c>
      <c r="L719" s="45" t="str">
        <f>IFERROR(VLOOKUP(B719,'Pre-Summary'!$CU$6:$CW$36,3,FALSE),"")</f>
        <v/>
      </c>
      <c r="M719" s="45" t="str">
        <f>IFERROR(VLOOKUP(B719,'Pre-Summary'!$BW$6:$BY$58,2,FALSE),"")</f>
        <v/>
      </c>
      <c r="N719" s="45" t="str">
        <f>IFERROR(VLOOKUP(B719,'Pre-Summary'!$CD$6:$CF$64,2,FALSE),"")</f>
        <v/>
      </c>
      <c r="O719" s="99">
        <f>IFERROR(VLOOKUP(B719,'Pre-Summary'!$BO$6:$BQ$48,3, FALSE),O718)</f>
        <v>1.2</v>
      </c>
      <c r="P719" s="99">
        <f>IFERROR(VLOOKUP(B719,'Pre-Summary'!$BS$6:$BU$35,3,FALSE),P718)</f>
        <v>0.34399999999999997</v>
      </c>
      <c r="Q719" s="54">
        <f t="shared" si="33"/>
        <v>3.4883720930232558</v>
      </c>
      <c r="R719" s="53">
        <f>IFERROR(VLOOKUP(B719,'Pre-Summary'!$BG$6:$BM$44,7,FALSE),R720)</f>
        <v>7.5915763918363535E-2</v>
      </c>
      <c r="S719" s="53">
        <f>IFERROR(VLOOKUP(B719,'Pre-Summary'!$BG$6:$BM$44,6,FALSE),S720)</f>
        <v>5.2897473997019086E-2</v>
      </c>
      <c r="T719" s="45" t="str">
        <f>IFERROR(VLOOKUP(B719,'Pre-Summary'!$Y$6:$AC$83, 3,FALSE),"")</f>
        <v/>
      </c>
      <c r="U719" s="45" t="str">
        <f>IFERROR(VLOOKUP(B719,'Pre-Summary'!$Y$6:$AC$83, 4,FALSE),"")</f>
        <v/>
      </c>
      <c r="V719" t="str">
        <f>IFERROR(VLOOKUP(B719,'Pre-Summary'!$Y$6:$AC$83, 5,FALSE),"")</f>
        <v/>
      </c>
      <c r="W719" s="45" t="str">
        <f>IFERROR(VLOOKUP(B719,'Pre-Summary'!$Y$6:$AD$83,6,FALSE),"")</f>
        <v/>
      </c>
      <c r="X719" t="str">
        <f>IFERROR(VLOOKUP('Pre-Summary'!$DB$6:$DD$63,3,FALSE),"")</f>
        <v/>
      </c>
      <c r="Y719" t="str">
        <f>IFERROR(VLOOKUP(B719,'Pre-Summary'!$CR$6:$CT$36,3,FALSE),"")</f>
        <v/>
      </c>
      <c r="Z719" s="45" t="str">
        <f>IFERROR(VLOOKUP(B719,'Pre-Summary'!$BZ$6:$CB$63,2,FALSE),"")</f>
        <v/>
      </c>
      <c r="AA719" s="45" t="str">
        <f>IFERROR(VLOOKUP(B719,'Pre-Summary'!$CG$6:$CI$70,2,FALSE),"")</f>
        <v/>
      </c>
      <c r="AB719" s="99">
        <f>IFERROR(VLOOKUP(B719,'Pre-Summary'!$A$6:$P$178,9,FALSE),AB720)</f>
        <v>0.84881825135540423</v>
      </c>
      <c r="AC719" s="10">
        <f>IFERROR(VLOOKUP(Summary!B719,'Pre-Summary'!$A$6:$P$184,5, FALSE)/100,AC720)</f>
        <v>0.77505331832279212</v>
      </c>
      <c r="AD719" s="10">
        <f>IFERROR(VLOOKUP(Summary!B719,'Pre-Summary'!$A$6:$P$184,3, FALSE)/100,AD720)</f>
        <v>3.6833887159730253E-3</v>
      </c>
      <c r="AE719" s="10">
        <f>IFERROR(VLOOKUP(Summary!B719,'Pre-Summary'!$A$6:$P$184,7, FALSE)/100,AE720)</f>
        <v>0.221264232960907</v>
      </c>
      <c r="AF719" s="99">
        <f t="shared" si="34"/>
        <v>3.1265275689544509E-3</v>
      </c>
      <c r="AG719" s="99">
        <f t="shared" si="35"/>
        <v>0.18781311930937186</v>
      </c>
      <c r="AH719" s="10" t="str">
        <f>IFERROR(VLOOKUP(B719,'Pre-Summary'!$AZ$6:$BE$65,3,FALSE),"")</f>
        <v/>
      </c>
      <c r="AI719" s="10" t="str">
        <f>IFERROR(VLOOKUP(B719,'Pre-Summary'!$AZ$6:$BE$65,5,FALSE),"")</f>
        <v/>
      </c>
      <c r="AJ719" s="10" t="str">
        <f>IFERROR(VLOOKUP(B719,'Pre-Summary'!$AZ$6:$BE$65,4,FALSE),"")</f>
        <v/>
      </c>
      <c r="AK719" s="10" t="str">
        <f>IFERROR(VLOOKUP(B719,'Pre-Summary'!$AZ$6:$BE$65,6,FALSE),"")</f>
        <v/>
      </c>
      <c r="AL719" s="10" t="str">
        <f>IFERROR(VLOOKUP(B719,'Pre-Summary'!$BG$6:$BL$44,3,FALSE),"")</f>
        <v/>
      </c>
      <c r="AM719" s="10" t="str">
        <f>IFERROR(VLOOKUP(B719,'Pre-Summary'!$BG$6:$BL$44,4,FALSE),"")</f>
        <v/>
      </c>
    </row>
    <row r="720" spans="2:39" ht="15" customHeight="1" x14ac:dyDescent="0.3">
      <c r="B720">
        <v>71.7</v>
      </c>
      <c r="C720" t="str">
        <f>IFERROR(VLOOKUP(B720,'Pre-Summary'!$DI$6:$DM$23,4,FALSE),"")</f>
        <v/>
      </c>
      <c r="D720" s="10" t="str">
        <f>IFERROR(VLOOKUP(B720,'Pre-Summary'!$AT$6:$AX$14,5,FALSE),D719)</f>
        <v>DSMZ v2: Dropped Na-Ac out of DSMZ 120 media</v>
      </c>
      <c r="E720" s="10" t="str">
        <f>IFERROR(VLOOKUP(B720,'Pre-Summary'!$AT$6:$AX$15,4,FALSE),"")</f>
        <v/>
      </c>
      <c r="F720">
        <f>IFERROR(VLOOKUP(B720,'Pre-Summary'!$AL$6:$AQ$13,6,FALSE),F719)</f>
        <v>5.9405263157894746E-2</v>
      </c>
      <c r="G720" t="str">
        <f>IFERROR(VLOOKUP(B720,'Pre-Summary'!$AE$6:$AJ$85,3,FALSE),"")</f>
        <v/>
      </c>
      <c r="H720" t="str">
        <f>IFERROR(VLOOKUP(B720,'Pre-Summary'!$AE$6:$AJ$85,4,FALSE),"")</f>
        <v/>
      </c>
      <c r="I720" t="str">
        <f>IFERROR(VLOOKUP(B720,'Pre-Summary'!$AE$6:$AJ$85,5,FALSE),"")</f>
        <v/>
      </c>
      <c r="J720" s="45" t="str">
        <f>IFERROR(VLOOKUP(B720,'Pre-Summary'!$AE$6:$AJ$85,6, FALSE),"")</f>
        <v/>
      </c>
      <c r="K720" s="45" t="str">
        <f>IFERROR(VLOOKUP(B720,'Pre-Summary'!$DE$6:$DG$61,3,FALSE),"")</f>
        <v/>
      </c>
      <c r="L720" s="45" t="str">
        <f>IFERROR(VLOOKUP(B720,'Pre-Summary'!$CU$6:$CW$36,3,FALSE),"")</f>
        <v/>
      </c>
      <c r="M720" s="45" t="str">
        <f>IFERROR(VLOOKUP(B720,'Pre-Summary'!$BW$6:$BY$58,2,FALSE),"")</f>
        <v/>
      </c>
      <c r="N720" s="45" t="str">
        <f>IFERROR(VLOOKUP(B720,'Pre-Summary'!$CD$6:$CF$64,2,FALSE),"")</f>
        <v/>
      </c>
      <c r="O720" s="99">
        <f>IFERROR(VLOOKUP(B720,'Pre-Summary'!$BO$6:$BQ$48,3, FALSE),O719)</f>
        <v>1.2</v>
      </c>
      <c r="P720" s="99">
        <f>IFERROR(VLOOKUP(B720,'Pre-Summary'!$BS$6:$BU$35,3,FALSE),P719)</f>
        <v>0.34399999999999997</v>
      </c>
      <c r="Q720" s="54">
        <f t="shared" si="33"/>
        <v>3.4883720930232558</v>
      </c>
      <c r="R720" s="53">
        <f>IFERROR(VLOOKUP(B720,'Pre-Summary'!$BG$6:$BM$44,7,FALSE),R721)</f>
        <v>7.5915763918363535E-2</v>
      </c>
      <c r="S720" s="53">
        <f>IFERROR(VLOOKUP(B720,'Pre-Summary'!$BG$6:$BM$44,6,FALSE),S721)</f>
        <v>5.2897473997019086E-2</v>
      </c>
      <c r="T720" s="45" t="str">
        <f>IFERROR(VLOOKUP(B720,'Pre-Summary'!$Y$6:$AC$83, 3,FALSE),"")</f>
        <v/>
      </c>
      <c r="U720" s="45" t="str">
        <f>IFERROR(VLOOKUP(B720,'Pre-Summary'!$Y$6:$AC$83, 4,FALSE),"")</f>
        <v/>
      </c>
      <c r="V720" t="str">
        <f>IFERROR(VLOOKUP(B720,'Pre-Summary'!$Y$6:$AC$83, 5,FALSE),"")</f>
        <v/>
      </c>
      <c r="W720" s="45" t="str">
        <f>IFERROR(VLOOKUP(B720,'Pre-Summary'!$Y$6:$AD$83,6,FALSE),"")</f>
        <v/>
      </c>
      <c r="X720" t="str">
        <f>IFERROR(VLOOKUP('Pre-Summary'!$DB$6:$DD$63,3,FALSE),"")</f>
        <v/>
      </c>
      <c r="Y720" t="str">
        <f>IFERROR(VLOOKUP(B720,'Pre-Summary'!$CR$6:$CT$36,3,FALSE),"")</f>
        <v/>
      </c>
      <c r="Z720" s="45" t="str">
        <f>IFERROR(VLOOKUP(B720,'Pre-Summary'!$BZ$6:$CB$63,2,FALSE),"")</f>
        <v/>
      </c>
      <c r="AA720" s="45" t="str">
        <f>IFERROR(VLOOKUP(B720,'Pre-Summary'!$CG$6:$CI$70,2,FALSE),"")</f>
        <v/>
      </c>
      <c r="AB720" s="99">
        <f>IFERROR(VLOOKUP(B720,'Pre-Summary'!$A$6:$P$178,9,FALSE),AB721)</f>
        <v>0.84881825135540423</v>
      </c>
      <c r="AC720" s="10">
        <f>IFERROR(VLOOKUP(Summary!B720,'Pre-Summary'!$A$6:$P$184,5, FALSE)/100,AC721)</f>
        <v>0.77505331832279212</v>
      </c>
      <c r="AD720" s="10">
        <f>IFERROR(VLOOKUP(Summary!B720,'Pre-Summary'!$A$6:$P$184,3, FALSE)/100,AD721)</f>
        <v>3.6833887159730253E-3</v>
      </c>
      <c r="AE720" s="10">
        <f>IFERROR(VLOOKUP(Summary!B720,'Pre-Summary'!$A$6:$P$184,7, FALSE)/100,AE721)</f>
        <v>0.221264232960907</v>
      </c>
      <c r="AF720" s="99">
        <f t="shared" si="34"/>
        <v>3.1265275689544509E-3</v>
      </c>
      <c r="AG720" s="99">
        <f t="shared" si="35"/>
        <v>0.18781311930937186</v>
      </c>
      <c r="AH720" s="10" t="str">
        <f>IFERROR(VLOOKUP(B720,'Pre-Summary'!$AZ$6:$BE$65,3,FALSE),"")</f>
        <v/>
      </c>
      <c r="AI720" s="10" t="str">
        <f>IFERROR(VLOOKUP(B720,'Pre-Summary'!$AZ$6:$BE$65,5,FALSE),"")</f>
        <v/>
      </c>
      <c r="AJ720" s="10" t="str">
        <f>IFERROR(VLOOKUP(B720,'Pre-Summary'!$AZ$6:$BE$65,4,FALSE),"")</f>
        <v/>
      </c>
      <c r="AK720" s="10" t="str">
        <f>IFERROR(VLOOKUP(B720,'Pre-Summary'!$AZ$6:$BE$65,6,FALSE),"")</f>
        <v/>
      </c>
      <c r="AL720" s="10" t="str">
        <f>IFERROR(VLOOKUP(B720,'Pre-Summary'!$BG$6:$BL$44,3,FALSE),"")</f>
        <v/>
      </c>
      <c r="AM720" s="10" t="str">
        <f>IFERROR(VLOOKUP(B720,'Pre-Summary'!$BG$6:$BL$44,4,FALSE),"")</f>
        <v/>
      </c>
    </row>
    <row r="721" spans="2:39" ht="15" customHeight="1" x14ac:dyDescent="0.3">
      <c r="B721">
        <v>71.8</v>
      </c>
      <c r="C721" t="str">
        <f>IFERROR(VLOOKUP(B721,'Pre-Summary'!$DI$6:$DM$23,4,FALSE),"")</f>
        <v/>
      </c>
      <c r="D721" s="10" t="str">
        <f>IFERROR(VLOOKUP(B721,'Pre-Summary'!$AT$6:$AX$14,5,FALSE),D720)</f>
        <v>DSMZ v2: Dropped Na-Ac out of DSMZ 120 media</v>
      </c>
      <c r="E721" s="10" t="str">
        <f>IFERROR(VLOOKUP(B721,'Pre-Summary'!$AT$6:$AX$15,4,FALSE),"")</f>
        <v/>
      </c>
      <c r="F721">
        <f>IFERROR(VLOOKUP(B721,'Pre-Summary'!$AL$6:$AQ$13,6,FALSE),F720)</f>
        <v>5.9405263157894746E-2</v>
      </c>
      <c r="G721" t="str">
        <f>IFERROR(VLOOKUP(B721,'Pre-Summary'!$AE$6:$AJ$85,3,FALSE),"")</f>
        <v/>
      </c>
      <c r="H721" t="str">
        <f>IFERROR(VLOOKUP(B721,'Pre-Summary'!$AE$6:$AJ$85,4,FALSE),"")</f>
        <v/>
      </c>
      <c r="I721" t="str">
        <f>IFERROR(VLOOKUP(B721,'Pre-Summary'!$AE$6:$AJ$85,5,FALSE),"")</f>
        <v/>
      </c>
      <c r="J721" s="45" t="str">
        <f>IFERROR(VLOOKUP(B721,'Pre-Summary'!$AE$6:$AJ$85,6, FALSE),"")</f>
        <v/>
      </c>
      <c r="K721" s="45" t="str">
        <f>IFERROR(VLOOKUP(B721,'Pre-Summary'!$DE$6:$DG$61,3,FALSE),"")</f>
        <v/>
      </c>
      <c r="L721" s="45" t="str">
        <f>IFERROR(VLOOKUP(B721,'Pre-Summary'!$CU$6:$CW$36,3,FALSE),"")</f>
        <v/>
      </c>
      <c r="M721" s="45" t="str">
        <f>IFERROR(VLOOKUP(B721,'Pre-Summary'!$BW$6:$BY$58,2,FALSE),"")</f>
        <v/>
      </c>
      <c r="N721" s="45" t="str">
        <f>IFERROR(VLOOKUP(B721,'Pre-Summary'!$CD$6:$CF$64,2,FALSE),"")</f>
        <v/>
      </c>
      <c r="O721" s="99">
        <f>IFERROR(VLOOKUP(B721,'Pre-Summary'!$BO$6:$BQ$48,3, FALSE),O720)</f>
        <v>1.2</v>
      </c>
      <c r="P721" s="99">
        <f>IFERROR(VLOOKUP(B721,'Pre-Summary'!$BS$6:$BU$35,3,FALSE),P720)</f>
        <v>0.34399999999999997</v>
      </c>
      <c r="Q721" s="54">
        <f t="shared" si="33"/>
        <v>3.4883720930232558</v>
      </c>
      <c r="R721" s="53">
        <f>IFERROR(VLOOKUP(B721,'Pre-Summary'!$BG$6:$BM$44,7,FALSE),R722)</f>
        <v>7.5915763918363535E-2</v>
      </c>
      <c r="S721" s="53">
        <f>IFERROR(VLOOKUP(B721,'Pre-Summary'!$BG$6:$BM$44,6,FALSE),S722)</f>
        <v>5.2897473997019086E-2</v>
      </c>
      <c r="T721" s="45" t="str">
        <f>IFERROR(VLOOKUP(B721,'Pre-Summary'!$Y$6:$AC$83, 3,FALSE),"")</f>
        <v/>
      </c>
      <c r="U721" s="45" t="str">
        <f>IFERROR(VLOOKUP(B721,'Pre-Summary'!$Y$6:$AC$83, 4,FALSE),"")</f>
        <v/>
      </c>
      <c r="V721" t="str">
        <f>IFERROR(VLOOKUP(B721,'Pre-Summary'!$Y$6:$AC$83, 5,FALSE),"")</f>
        <v/>
      </c>
      <c r="W721" s="45" t="str">
        <f>IFERROR(VLOOKUP(B721,'Pre-Summary'!$Y$6:$AD$83,6,FALSE),"")</f>
        <v/>
      </c>
      <c r="X721" t="str">
        <f>IFERROR(VLOOKUP('Pre-Summary'!$DB$6:$DD$63,3,FALSE),"")</f>
        <v/>
      </c>
      <c r="Y721" t="str">
        <f>IFERROR(VLOOKUP(B721,'Pre-Summary'!$CR$6:$CT$36,3,FALSE),"")</f>
        <v/>
      </c>
      <c r="Z721" s="45" t="str">
        <f>IFERROR(VLOOKUP(B721,'Pre-Summary'!$BZ$6:$CB$63,2,FALSE),"")</f>
        <v/>
      </c>
      <c r="AA721" s="45" t="str">
        <f>IFERROR(VLOOKUP(B721,'Pre-Summary'!$CG$6:$CI$70,2,FALSE),"")</f>
        <v/>
      </c>
      <c r="AB721" s="99">
        <f>IFERROR(VLOOKUP(B721,'Pre-Summary'!$A$6:$P$178,9,FALSE),AB722)</f>
        <v>0.84881825135540423</v>
      </c>
      <c r="AC721" s="10">
        <f>IFERROR(VLOOKUP(Summary!B721,'Pre-Summary'!$A$6:$P$184,5, FALSE)/100,AC722)</f>
        <v>0.77505331832279212</v>
      </c>
      <c r="AD721" s="10">
        <f>IFERROR(VLOOKUP(Summary!B721,'Pre-Summary'!$A$6:$P$184,3, FALSE)/100,AD722)</f>
        <v>3.6833887159730253E-3</v>
      </c>
      <c r="AE721" s="10">
        <f>IFERROR(VLOOKUP(Summary!B721,'Pre-Summary'!$A$6:$P$184,7, FALSE)/100,AE722)</f>
        <v>0.221264232960907</v>
      </c>
      <c r="AF721" s="99">
        <f t="shared" si="34"/>
        <v>3.1265275689544509E-3</v>
      </c>
      <c r="AG721" s="99">
        <f t="shared" si="35"/>
        <v>0.18781311930937186</v>
      </c>
      <c r="AH721" s="10" t="str">
        <f>IFERROR(VLOOKUP(B721,'Pre-Summary'!$AZ$6:$BE$65,3,FALSE),"")</f>
        <v/>
      </c>
      <c r="AI721" s="10" t="str">
        <f>IFERROR(VLOOKUP(B721,'Pre-Summary'!$AZ$6:$BE$65,5,FALSE),"")</f>
        <v/>
      </c>
      <c r="AJ721" s="10" t="str">
        <f>IFERROR(VLOOKUP(B721,'Pre-Summary'!$AZ$6:$BE$65,4,FALSE),"")</f>
        <v/>
      </c>
      <c r="AK721" s="10" t="str">
        <f>IFERROR(VLOOKUP(B721,'Pre-Summary'!$AZ$6:$BE$65,6,FALSE),"")</f>
        <v/>
      </c>
      <c r="AL721" s="10" t="str">
        <f>IFERROR(VLOOKUP(B721,'Pre-Summary'!$BG$6:$BL$44,3,FALSE),"")</f>
        <v/>
      </c>
      <c r="AM721" s="10" t="str">
        <f>IFERROR(VLOOKUP(B721,'Pre-Summary'!$BG$6:$BL$44,4,FALSE),"")</f>
        <v/>
      </c>
    </row>
    <row r="722" spans="2:39" ht="15" customHeight="1" x14ac:dyDescent="0.3">
      <c r="B722">
        <v>71.900000000000006</v>
      </c>
      <c r="C722" t="str">
        <f>IFERROR(VLOOKUP(B722,'Pre-Summary'!$DI$6:$DM$23,4,FALSE),"")</f>
        <v/>
      </c>
      <c r="D722" s="10" t="str">
        <f>IFERROR(VLOOKUP(B722,'Pre-Summary'!$AT$6:$AX$14,5,FALSE),D721)</f>
        <v>DSMZ v2: Dropped Na-Ac out of DSMZ 120 media</v>
      </c>
      <c r="E722" s="10" t="str">
        <f>IFERROR(VLOOKUP(B722,'Pre-Summary'!$AT$6:$AX$15,4,FALSE),"")</f>
        <v/>
      </c>
      <c r="F722">
        <f>IFERROR(VLOOKUP(B722,'Pre-Summary'!$AL$6:$AQ$13,6,FALSE),F721)</f>
        <v>5.9405263157894746E-2</v>
      </c>
      <c r="G722">
        <f>IFERROR(VLOOKUP(B722,'Pre-Summary'!$AE$6:$AJ$85,3,FALSE),"")</f>
        <v>44.84</v>
      </c>
      <c r="H722">
        <f>IFERROR(VLOOKUP(B722,'Pre-Summary'!$AE$6:$AJ$85,4,FALSE),"")</f>
        <v>20.150000000000002</v>
      </c>
      <c r="I722">
        <f>IFERROR(VLOOKUP(B722,'Pre-Summary'!$AE$6:$AJ$85,5,FALSE),"")</f>
        <v>0</v>
      </c>
      <c r="J722" s="45">
        <f>IFERROR(VLOOKUP(B722,'Pre-Summary'!$AE$6:$AJ$85,6, FALSE),"")</f>
        <v>78.351380000000006</v>
      </c>
      <c r="K722" s="45" t="str">
        <f>IFERROR(VLOOKUP(B722,'Pre-Summary'!$DE$6:$DG$61,3,FALSE),"")</f>
        <v/>
      </c>
      <c r="L722" s="45" t="str">
        <f>IFERROR(VLOOKUP(B722,'Pre-Summary'!$CU$6:$CW$36,3,FALSE),"")</f>
        <v/>
      </c>
      <c r="M722" s="45" t="str">
        <f>IFERROR(VLOOKUP(B722,'Pre-Summary'!$BW$6:$BY$58,2,FALSE),"")</f>
        <v/>
      </c>
      <c r="N722" s="45" t="str">
        <f>IFERROR(VLOOKUP(B722,'Pre-Summary'!$CD$6:$CF$64,2,FALSE),"")</f>
        <v/>
      </c>
      <c r="O722" s="99">
        <f>IFERROR(VLOOKUP(B722,'Pre-Summary'!$BO$6:$BQ$48,3, FALSE),O721)</f>
        <v>1.2</v>
      </c>
      <c r="P722" s="99">
        <f>IFERROR(VLOOKUP(B722,'Pre-Summary'!$BS$6:$BU$35,3,FALSE),P721)</f>
        <v>0.34399999999999997</v>
      </c>
      <c r="Q722" s="54">
        <f t="shared" si="33"/>
        <v>3.4883720930232558</v>
      </c>
      <c r="R722" s="53">
        <f>IFERROR(VLOOKUP(B722,'Pre-Summary'!$BG$6:$BM$44,7,FALSE),R723)</f>
        <v>7.5915763918363535E-2</v>
      </c>
      <c r="S722" s="53">
        <f>IFERROR(VLOOKUP(B722,'Pre-Summary'!$BG$6:$BM$44,6,FALSE),S723)</f>
        <v>5.2897473997019086E-2</v>
      </c>
      <c r="T722" s="45">
        <f>IFERROR(VLOOKUP(B722,'Pre-Summary'!$Y$6:$AC$83, 3,FALSE),"")</f>
        <v>23.97</v>
      </c>
      <c r="U722" s="45">
        <f>IFERROR(VLOOKUP(B722,'Pre-Summary'!$Y$6:$AC$83, 4,FALSE),"")</f>
        <v>436</v>
      </c>
      <c r="V722">
        <f>IFERROR(VLOOKUP(B722,'Pre-Summary'!$Y$6:$AC$83, 5,FALSE),"")</f>
        <v>0</v>
      </c>
      <c r="W722" s="45">
        <f>IFERROR(VLOOKUP(B722,'Pre-Summary'!$Y$6:$AD$83,6,FALSE),"")</f>
        <v>685.67999000000009</v>
      </c>
      <c r="X722" t="str">
        <f>IFERROR(VLOOKUP('Pre-Summary'!$DB$6:$DD$63,3,FALSE),"")</f>
        <v/>
      </c>
      <c r="Y722" t="str">
        <f>IFERROR(VLOOKUP(B722,'Pre-Summary'!$CR$6:$CT$36,3,FALSE),"")</f>
        <v/>
      </c>
      <c r="Z722" s="45" t="str">
        <f>IFERROR(VLOOKUP(B722,'Pre-Summary'!$BZ$6:$CB$63,2,FALSE),"")</f>
        <v/>
      </c>
      <c r="AA722" s="45" t="str">
        <f>IFERROR(VLOOKUP(B722,'Pre-Summary'!$CG$6:$CI$70,2,FALSE),"")</f>
        <v/>
      </c>
      <c r="AB722" s="99">
        <f>IFERROR(VLOOKUP(B722,'Pre-Summary'!$A$6:$P$178,9,FALSE),AB723)</f>
        <v>0.84881825135540423</v>
      </c>
      <c r="AC722" s="10">
        <f>IFERROR(VLOOKUP(Summary!B722,'Pre-Summary'!$A$6:$P$184,5, FALSE)/100,AC723)</f>
        <v>0.77505331832279212</v>
      </c>
      <c r="AD722" s="10">
        <f>IFERROR(VLOOKUP(Summary!B722,'Pre-Summary'!$A$6:$P$184,3, FALSE)/100,AD723)</f>
        <v>3.6833887159730253E-3</v>
      </c>
      <c r="AE722" s="10">
        <f>IFERROR(VLOOKUP(Summary!B722,'Pre-Summary'!$A$6:$P$184,7, FALSE)/100,AE723)</f>
        <v>0.221264232960907</v>
      </c>
      <c r="AF722" s="99">
        <f t="shared" si="34"/>
        <v>3.1265275689544509E-3</v>
      </c>
      <c r="AG722" s="99">
        <f t="shared" si="35"/>
        <v>0.18781311930937186</v>
      </c>
      <c r="AH722" s="10" t="str">
        <f>IFERROR(VLOOKUP(B722,'Pre-Summary'!$AZ$6:$BE$65,3,FALSE),"")</f>
        <v/>
      </c>
      <c r="AI722" s="10" t="str">
        <f>IFERROR(VLOOKUP(B722,'Pre-Summary'!$AZ$6:$BE$65,5,FALSE),"")</f>
        <v/>
      </c>
      <c r="AJ722" s="10" t="str">
        <f>IFERROR(VLOOKUP(B722,'Pre-Summary'!$AZ$6:$BE$65,4,FALSE),"")</f>
        <v/>
      </c>
      <c r="AK722" s="10" t="str">
        <f>IFERROR(VLOOKUP(B722,'Pre-Summary'!$AZ$6:$BE$65,6,FALSE),"")</f>
        <v/>
      </c>
      <c r="AL722" s="10" t="str">
        <f>IFERROR(VLOOKUP(B722,'Pre-Summary'!$BG$6:$BL$44,3,FALSE),"")</f>
        <v/>
      </c>
      <c r="AM722" s="10" t="str">
        <f>IFERROR(VLOOKUP(B722,'Pre-Summary'!$BG$6:$BL$44,4,FALSE),"")</f>
        <v/>
      </c>
    </row>
    <row r="723" spans="2:39" ht="15" customHeight="1" x14ac:dyDescent="0.3">
      <c r="B723">
        <v>72</v>
      </c>
      <c r="C723" t="str">
        <f>IFERROR(VLOOKUP(B723,'Pre-Summary'!$DI$6:$DM$23,4,FALSE),"")</f>
        <v/>
      </c>
      <c r="D723" s="10" t="str">
        <f>IFERROR(VLOOKUP(B723,'Pre-Summary'!$AT$6:$AX$14,5,FALSE),D722)</f>
        <v>DSMZ v2: Dropped Na-Ac out of DSMZ 120 media</v>
      </c>
      <c r="E723" s="10" t="str">
        <f>IFERROR(VLOOKUP(B723,'Pre-Summary'!$AT$6:$AX$15,4,FALSE),"")</f>
        <v/>
      </c>
      <c r="F723">
        <f>IFERROR(VLOOKUP(B723,'Pre-Summary'!$AL$6:$AQ$13,6,FALSE),F722)</f>
        <v>5.9405263157894746E-2</v>
      </c>
      <c r="G723" t="str">
        <f>IFERROR(VLOOKUP(B723,'Pre-Summary'!$AE$6:$AJ$85,3,FALSE),"")</f>
        <v/>
      </c>
      <c r="H723" t="str">
        <f>IFERROR(VLOOKUP(B723,'Pre-Summary'!$AE$6:$AJ$85,4,FALSE),"")</f>
        <v/>
      </c>
      <c r="I723" t="str">
        <f>IFERROR(VLOOKUP(B723,'Pre-Summary'!$AE$6:$AJ$85,5,FALSE),"")</f>
        <v/>
      </c>
      <c r="J723" s="45" t="str">
        <f>IFERROR(VLOOKUP(B723,'Pre-Summary'!$AE$6:$AJ$85,6, FALSE),"")</f>
        <v/>
      </c>
      <c r="K723" s="45" t="str">
        <f>IFERROR(VLOOKUP(B723,'Pre-Summary'!$DE$6:$DG$61,3,FALSE),"")</f>
        <v/>
      </c>
      <c r="L723" s="45" t="str">
        <f>IFERROR(VLOOKUP(B723,'Pre-Summary'!$CU$6:$CW$36,3,FALSE),"")</f>
        <v/>
      </c>
      <c r="M723" s="45" t="str">
        <f>IFERROR(VLOOKUP(B723,'Pre-Summary'!$BW$6:$BY$58,2,FALSE),"")</f>
        <v/>
      </c>
      <c r="N723" s="45" t="str">
        <f>IFERROR(VLOOKUP(B723,'Pre-Summary'!$CD$6:$CF$64,2,FALSE),"")</f>
        <v/>
      </c>
      <c r="O723" s="99">
        <f>IFERROR(VLOOKUP(B723,'Pre-Summary'!$BO$6:$BQ$48,3, FALSE),O722)</f>
        <v>1.2</v>
      </c>
      <c r="P723" s="99">
        <f>IFERROR(VLOOKUP(B723,'Pre-Summary'!$BS$6:$BU$35,3,FALSE),P722)</f>
        <v>0.34399999999999997</v>
      </c>
      <c r="Q723" s="54">
        <f t="shared" si="33"/>
        <v>3.4883720930232558</v>
      </c>
      <c r="R723" s="53">
        <f>IFERROR(VLOOKUP(B723,'Pre-Summary'!$BG$6:$BM$44,7,FALSE),R724)</f>
        <v>7.5915763918363535E-2</v>
      </c>
      <c r="S723" s="53">
        <f>IFERROR(VLOOKUP(B723,'Pre-Summary'!$BG$6:$BM$44,6,FALSE),S724)</f>
        <v>5.2897473997019086E-2</v>
      </c>
      <c r="T723" s="45" t="str">
        <f>IFERROR(VLOOKUP(B723,'Pre-Summary'!$Y$6:$AC$83, 3,FALSE),"")</f>
        <v/>
      </c>
      <c r="U723" s="45" t="str">
        <f>IFERROR(VLOOKUP(B723,'Pre-Summary'!$Y$6:$AC$83, 4,FALSE),"")</f>
        <v/>
      </c>
      <c r="V723" t="str">
        <f>IFERROR(VLOOKUP(B723,'Pre-Summary'!$Y$6:$AC$83, 5,FALSE),"")</f>
        <v/>
      </c>
      <c r="W723" s="45" t="str">
        <f>IFERROR(VLOOKUP(B723,'Pre-Summary'!$Y$6:$AD$83,6,FALSE),"")</f>
        <v/>
      </c>
      <c r="X723" t="str">
        <f>IFERROR(VLOOKUP('Pre-Summary'!$DB$6:$DD$63,3,FALSE),"")</f>
        <v/>
      </c>
      <c r="Y723" t="str">
        <f>IFERROR(VLOOKUP(B723,'Pre-Summary'!$CR$6:$CT$36,3,FALSE),"")</f>
        <v/>
      </c>
      <c r="Z723" s="45" t="str">
        <f>IFERROR(VLOOKUP(B723,'Pre-Summary'!$BZ$6:$CB$63,2,FALSE),"")</f>
        <v/>
      </c>
      <c r="AA723" s="45" t="str">
        <f>IFERROR(VLOOKUP(B723,'Pre-Summary'!$CG$6:$CI$70,2,FALSE),"")</f>
        <v/>
      </c>
      <c r="AB723" s="99">
        <f>IFERROR(VLOOKUP(B723,'Pre-Summary'!$A$6:$P$178,9,FALSE),AB724)</f>
        <v>0.84881825135540423</v>
      </c>
      <c r="AC723" s="10">
        <f>IFERROR(VLOOKUP(Summary!B723,'Pre-Summary'!$A$6:$P$184,5, FALSE)/100,AC724)</f>
        <v>0.77505331832279212</v>
      </c>
      <c r="AD723" s="10">
        <f>IFERROR(VLOOKUP(Summary!B723,'Pre-Summary'!$A$6:$P$184,3, FALSE)/100,AD724)</f>
        <v>3.6833887159730253E-3</v>
      </c>
      <c r="AE723" s="10">
        <f>IFERROR(VLOOKUP(Summary!B723,'Pre-Summary'!$A$6:$P$184,7, FALSE)/100,AE724)</f>
        <v>0.221264232960907</v>
      </c>
      <c r="AF723" s="99">
        <f t="shared" si="34"/>
        <v>3.1265275689544509E-3</v>
      </c>
      <c r="AG723" s="99">
        <f t="shared" si="35"/>
        <v>0.18781311930937186</v>
      </c>
      <c r="AH723" s="10" t="str">
        <f>IFERROR(VLOOKUP(B723,'Pre-Summary'!$AZ$6:$BE$65,3,FALSE),"")</f>
        <v/>
      </c>
      <c r="AI723" s="10" t="str">
        <f>IFERROR(VLOOKUP(B723,'Pre-Summary'!$AZ$6:$BE$65,5,FALSE),"")</f>
        <v/>
      </c>
      <c r="AJ723" s="10" t="str">
        <f>IFERROR(VLOOKUP(B723,'Pre-Summary'!$AZ$6:$BE$65,4,FALSE),"")</f>
        <v/>
      </c>
      <c r="AK723" s="10" t="str">
        <f>IFERROR(VLOOKUP(B723,'Pre-Summary'!$AZ$6:$BE$65,6,FALSE),"")</f>
        <v/>
      </c>
      <c r="AL723" s="10" t="str">
        <f>IFERROR(VLOOKUP(B723,'Pre-Summary'!$BG$6:$BL$44,3,FALSE),"")</f>
        <v/>
      </c>
      <c r="AM723" s="10" t="str">
        <f>IFERROR(VLOOKUP(B723,'Pre-Summary'!$BG$6:$BL$44,4,FALSE),"")</f>
        <v/>
      </c>
    </row>
    <row r="724" spans="2:39" ht="15" customHeight="1" x14ac:dyDescent="0.3">
      <c r="B724">
        <v>72.099999999999994</v>
      </c>
      <c r="C724" t="str">
        <f>IFERROR(VLOOKUP(B724,'Pre-Summary'!$DI$6:$DM$23,4,FALSE),"")</f>
        <v/>
      </c>
      <c r="D724" s="10" t="str">
        <f>IFERROR(VLOOKUP(B724,'Pre-Summary'!$AT$6:$AX$14,5,FALSE),D723)</f>
        <v>DSMZ v2: Dropped Na-Ac out of DSMZ 120 media</v>
      </c>
      <c r="E724" s="10" t="str">
        <f>IFERROR(VLOOKUP(B724,'Pre-Summary'!$AT$6:$AX$15,4,FALSE),"")</f>
        <v/>
      </c>
      <c r="F724">
        <f>IFERROR(VLOOKUP(B724,'Pre-Summary'!$AL$6:$AQ$13,6,FALSE),F723)</f>
        <v>5.9405263157894746E-2</v>
      </c>
      <c r="G724" t="str">
        <f>IFERROR(VLOOKUP(B724,'Pre-Summary'!$AE$6:$AJ$85,3,FALSE),"")</f>
        <v/>
      </c>
      <c r="H724" t="str">
        <f>IFERROR(VLOOKUP(B724,'Pre-Summary'!$AE$6:$AJ$85,4,FALSE),"")</f>
        <v/>
      </c>
      <c r="I724" t="str">
        <f>IFERROR(VLOOKUP(B724,'Pre-Summary'!$AE$6:$AJ$85,5,FALSE),"")</f>
        <v/>
      </c>
      <c r="J724" s="45" t="str">
        <f>IFERROR(VLOOKUP(B724,'Pre-Summary'!$AE$6:$AJ$85,6, FALSE),"")</f>
        <v/>
      </c>
      <c r="K724" s="45" t="str">
        <f>IFERROR(VLOOKUP(B724,'Pre-Summary'!$DE$6:$DG$61,3,FALSE),"")</f>
        <v/>
      </c>
      <c r="L724" s="45" t="str">
        <f>IFERROR(VLOOKUP(B724,'Pre-Summary'!$CU$6:$CW$36,3,FALSE),"")</f>
        <v/>
      </c>
      <c r="M724" s="45" t="str">
        <f>IFERROR(VLOOKUP(B724,'Pre-Summary'!$BW$6:$BY$58,2,FALSE),"")</f>
        <v/>
      </c>
      <c r="N724" s="45" t="str">
        <f>IFERROR(VLOOKUP(B724,'Pre-Summary'!$CD$6:$CF$64,2,FALSE),"")</f>
        <v/>
      </c>
      <c r="O724" s="99">
        <f>IFERROR(VLOOKUP(B724,'Pre-Summary'!$BO$6:$BQ$48,3, FALSE),O723)</f>
        <v>1.2</v>
      </c>
      <c r="P724" s="99">
        <f>IFERROR(VLOOKUP(B724,'Pre-Summary'!$BS$6:$BU$35,3,FALSE),P723)</f>
        <v>0.34399999999999997</v>
      </c>
      <c r="Q724" s="54">
        <f t="shared" si="33"/>
        <v>3.4883720930232558</v>
      </c>
      <c r="R724" s="53">
        <f>IFERROR(VLOOKUP(B724,'Pre-Summary'!$BG$6:$BM$44,7,FALSE),R725)</f>
        <v>7.5915763918363535E-2</v>
      </c>
      <c r="S724" s="53">
        <f>IFERROR(VLOOKUP(B724,'Pre-Summary'!$BG$6:$BM$44,6,FALSE),S725)</f>
        <v>5.2897473997019086E-2</v>
      </c>
      <c r="T724" s="45" t="str">
        <f>IFERROR(VLOOKUP(B724,'Pre-Summary'!$Y$6:$AC$83, 3,FALSE),"")</f>
        <v/>
      </c>
      <c r="U724" s="45" t="str">
        <f>IFERROR(VLOOKUP(B724,'Pre-Summary'!$Y$6:$AC$83, 4,FALSE),"")</f>
        <v/>
      </c>
      <c r="V724" t="str">
        <f>IFERROR(VLOOKUP(B724,'Pre-Summary'!$Y$6:$AC$83, 5,FALSE),"")</f>
        <v/>
      </c>
      <c r="W724" s="45" t="str">
        <f>IFERROR(VLOOKUP(B724,'Pre-Summary'!$Y$6:$AD$83,6,FALSE),"")</f>
        <v/>
      </c>
      <c r="X724" t="str">
        <f>IFERROR(VLOOKUP('Pre-Summary'!$DB$6:$DD$63,3,FALSE),"")</f>
        <v/>
      </c>
      <c r="Y724" t="str">
        <f>IFERROR(VLOOKUP(B724,'Pre-Summary'!$CR$6:$CT$36,3,FALSE),"")</f>
        <v/>
      </c>
      <c r="Z724" s="45" t="str">
        <f>IFERROR(VLOOKUP(B724,'Pre-Summary'!$BZ$6:$CB$63,2,FALSE),"")</f>
        <v/>
      </c>
      <c r="AA724" s="45" t="str">
        <f>IFERROR(VLOOKUP(B724,'Pre-Summary'!$CG$6:$CI$70,2,FALSE),"")</f>
        <v/>
      </c>
      <c r="AB724" s="99">
        <f>IFERROR(VLOOKUP(B724,'Pre-Summary'!$A$6:$P$178,9,FALSE),AB725)</f>
        <v>0.84881825135540423</v>
      </c>
      <c r="AC724" s="10">
        <f>IFERROR(VLOOKUP(Summary!B724,'Pre-Summary'!$A$6:$P$184,5, FALSE)/100,AC725)</f>
        <v>0.77505331832279212</v>
      </c>
      <c r="AD724" s="10">
        <f>IFERROR(VLOOKUP(Summary!B724,'Pre-Summary'!$A$6:$P$184,3, FALSE)/100,AD725)</f>
        <v>3.6833887159730253E-3</v>
      </c>
      <c r="AE724" s="10">
        <f>IFERROR(VLOOKUP(Summary!B724,'Pre-Summary'!$A$6:$P$184,7, FALSE)/100,AE725)</f>
        <v>0.221264232960907</v>
      </c>
      <c r="AF724" s="99">
        <f t="shared" si="34"/>
        <v>3.1265275689544509E-3</v>
      </c>
      <c r="AG724" s="99">
        <f t="shared" si="35"/>
        <v>0.18781311930937186</v>
      </c>
      <c r="AH724" s="10" t="str">
        <f>IFERROR(VLOOKUP(B724,'Pre-Summary'!$AZ$6:$BE$65,3,FALSE),"")</f>
        <v/>
      </c>
      <c r="AI724" s="10" t="str">
        <f>IFERROR(VLOOKUP(B724,'Pre-Summary'!$AZ$6:$BE$65,5,FALSE),"")</f>
        <v/>
      </c>
      <c r="AJ724" s="10" t="str">
        <f>IFERROR(VLOOKUP(B724,'Pre-Summary'!$AZ$6:$BE$65,4,FALSE),"")</f>
        <v/>
      </c>
      <c r="AK724" s="10" t="str">
        <f>IFERROR(VLOOKUP(B724,'Pre-Summary'!$AZ$6:$BE$65,6,FALSE),"")</f>
        <v/>
      </c>
      <c r="AL724" s="10" t="str">
        <f>IFERROR(VLOOKUP(B724,'Pre-Summary'!$BG$6:$BL$44,3,FALSE),"")</f>
        <v/>
      </c>
      <c r="AM724" s="10" t="str">
        <f>IFERROR(VLOOKUP(B724,'Pre-Summary'!$BG$6:$BL$44,4,FALSE),"")</f>
        <v/>
      </c>
    </row>
    <row r="725" spans="2:39" ht="15" customHeight="1" x14ac:dyDescent="0.3">
      <c r="B725">
        <v>72.2</v>
      </c>
      <c r="C725" t="str">
        <f>IFERROR(VLOOKUP(B725,'Pre-Summary'!$DI$6:$DM$23,4,FALSE),"")</f>
        <v/>
      </c>
      <c r="D725" s="10" t="str">
        <f>IFERROR(VLOOKUP(B725,'Pre-Summary'!$AT$6:$AX$14,5,FALSE),D724)</f>
        <v>DSMZ v2: Dropped Na-Ac out of DSMZ 120 media</v>
      </c>
      <c r="E725" s="10" t="str">
        <f>IFERROR(VLOOKUP(B725,'Pre-Summary'!$AT$6:$AX$15,4,FALSE),"")</f>
        <v/>
      </c>
      <c r="F725">
        <f>IFERROR(VLOOKUP(B725,'Pre-Summary'!$AL$6:$AQ$13,6,FALSE),F724)</f>
        <v>5.9405263157894746E-2</v>
      </c>
      <c r="G725" t="str">
        <f>IFERROR(VLOOKUP(B725,'Pre-Summary'!$AE$6:$AJ$85,3,FALSE),"")</f>
        <v/>
      </c>
      <c r="H725" t="str">
        <f>IFERROR(VLOOKUP(B725,'Pre-Summary'!$AE$6:$AJ$85,4,FALSE),"")</f>
        <v/>
      </c>
      <c r="I725" t="str">
        <f>IFERROR(VLOOKUP(B725,'Pre-Summary'!$AE$6:$AJ$85,5,FALSE),"")</f>
        <v/>
      </c>
      <c r="J725" s="45" t="str">
        <f>IFERROR(VLOOKUP(B725,'Pre-Summary'!$AE$6:$AJ$85,6, FALSE),"")</f>
        <v/>
      </c>
      <c r="K725" s="45" t="str">
        <f>IFERROR(VLOOKUP(B725,'Pre-Summary'!$DE$6:$DG$61,3,FALSE),"")</f>
        <v/>
      </c>
      <c r="L725" s="45" t="str">
        <f>IFERROR(VLOOKUP(B725,'Pre-Summary'!$CU$6:$CW$36,3,FALSE),"")</f>
        <v/>
      </c>
      <c r="M725" s="45" t="str">
        <f>IFERROR(VLOOKUP(B725,'Pre-Summary'!$BW$6:$BY$58,2,FALSE),"")</f>
        <v/>
      </c>
      <c r="N725" s="45" t="str">
        <f>IFERROR(VLOOKUP(B725,'Pre-Summary'!$CD$6:$CF$64,2,FALSE),"")</f>
        <v/>
      </c>
      <c r="O725" s="99">
        <f>IFERROR(VLOOKUP(B725,'Pre-Summary'!$BO$6:$BQ$48,3, FALSE),O724)</f>
        <v>1.3</v>
      </c>
      <c r="P725" s="99">
        <f>IFERROR(VLOOKUP(B725,'Pre-Summary'!$BS$6:$BU$35,3,FALSE),P724)</f>
        <v>0.34399999999999997</v>
      </c>
      <c r="Q725" s="54">
        <f t="shared" si="33"/>
        <v>3.779069767441861</v>
      </c>
      <c r="R725" s="53">
        <f>IFERROR(VLOOKUP(B725,'Pre-Summary'!$BG$6:$BM$44,7,FALSE),R726)</f>
        <v>7.5915763918363535E-2</v>
      </c>
      <c r="S725" s="53">
        <f>IFERROR(VLOOKUP(B725,'Pre-Summary'!$BG$6:$BM$44,6,FALSE),S726)</f>
        <v>5.2897473997019086E-2</v>
      </c>
      <c r="T725" s="45" t="str">
        <f>IFERROR(VLOOKUP(B725,'Pre-Summary'!$Y$6:$AC$83, 3,FALSE),"")</f>
        <v/>
      </c>
      <c r="U725" s="45" t="str">
        <f>IFERROR(VLOOKUP(B725,'Pre-Summary'!$Y$6:$AC$83, 4,FALSE),"")</f>
        <v/>
      </c>
      <c r="V725" t="str">
        <f>IFERROR(VLOOKUP(B725,'Pre-Summary'!$Y$6:$AC$83, 5,FALSE),"")</f>
        <v/>
      </c>
      <c r="W725" s="45" t="str">
        <f>IFERROR(VLOOKUP(B725,'Pre-Summary'!$Y$6:$AD$83,6,FALSE),"")</f>
        <v/>
      </c>
      <c r="X725" t="str">
        <f>IFERROR(VLOOKUP('Pre-Summary'!$DB$6:$DD$63,3,FALSE),"")</f>
        <v/>
      </c>
      <c r="Y725" t="str">
        <f>IFERROR(VLOOKUP(B725,'Pre-Summary'!$CR$6:$CT$36,3,FALSE),"")</f>
        <v/>
      </c>
      <c r="Z725" s="45" t="str">
        <f>IFERROR(VLOOKUP(B725,'Pre-Summary'!$BZ$6:$CB$63,2,FALSE),"")</f>
        <v/>
      </c>
      <c r="AA725" s="45" t="str">
        <f>IFERROR(VLOOKUP(B725,'Pre-Summary'!$CG$6:$CI$70,2,FALSE),"")</f>
        <v/>
      </c>
      <c r="AB725" s="99">
        <f>IFERROR(VLOOKUP(B725,'Pre-Summary'!$A$6:$P$178,9,FALSE),AB726)</f>
        <v>0.84881825135540423</v>
      </c>
      <c r="AC725" s="10">
        <f>IFERROR(VLOOKUP(Summary!B725,'Pre-Summary'!$A$6:$P$184,5, FALSE)/100,AC726)</f>
        <v>0.77505331832279212</v>
      </c>
      <c r="AD725" s="10">
        <f>IFERROR(VLOOKUP(Summary!B725,'Pre-Summary'!$A$6:$P$184,3, FALSE)/100,AD726)</f>
        <v>3.6833887159730253E-3</v>
      </c>
      <c r="AE725" s="10">
        <f>IFERROR(VLOOKUP(Summary!B725,'Pre-Summary'!$A$6:$P$184,7, FALSE)/100,AE726)</f>
        <v>0.221264232960907</v>
      </c>
      <c r="AF725" s="99">
        <f t="shared" si="34"/>
        <v>3.1265275689544509E-3</v>
      </c>
      <c r="AG725" s="99">
        <f t="shared" si="35"/>
        <v>0.18781311930937186</v>
      </c>
      <c r="AH725" s="10" t="str">
        <f>IFERROR(VLOOKUP(B725,'Pre-Summary'!$AZ$6:$BE$65,3,FALSE),"")</f>
        <v/>
      </c>
      <c r="AI725" s="10" t="str">
        <f>IFERROR(VLOOKUP(B725,'Pre-Summary'!$AZ$6:$BE$65,5,FALSE),"")</f>
        <v/>
      </c>
      <c r="AJ725" s="10" t="str">
        <f>IFERROR(VLOOKUP(B725,'Pre-Summary'!$AZ$6:$BE$65,4,FALSE),"")</f>
        <v/>
      </c>
      <c r="AK725" s="10" t="str">
        <f>IFERROR(VLOOKUP(B725,'Pre-Summary'!$AZ$6:$BE$65,6,FALSE),"")</f>
        <v/>
      </c>
      <c r="AL725" s="10" t="str">
        <f>IFERROR(VLOOKUP(B725,'Pre-Summary'!$BG$6:$BL$44,3,FALSE),"")</f>
        <v/>
      </c>
      <c r="AM725" s="10" t="str">
        <f>IFERROR(VLOOKUP(B725,'Pre-Summary'!$BG$6:$BL$44,4,FALSE),"")</f>
        <v/>
      </c>
    </row>
    <row r="726" spans="2:39" ht="15" customHeight="1" x14ac:dyDescent="0.3">
      <c r="B726">
        <v>72.3</v>
      </c>
      <c r="C726" t="str">
        <f>IFERROR(VLOOKUP(B726,'Pre-Summary'!$DI$6:$DM$23,4,FALSE),"")</f>
        <v/>
      </c>
      <c r="D726" s="10" t="str">
        <f>IFERROR(VLOOKUP(B726,'Pre-Summary'!$AT$6:$AX$14,5,FALSE),D725)</f>
        <v>DSMZ v2: Dropped Na-Ac out of DSMZ 120 media</v>
      </c>
      <c r="E726" s="10" t="str">
        <f>IFERROR(VLOOKUP(B726,'Pre-Summary'!$AT$6:$AX$15,4,FALSE),"")</f>
        <v/>
      </c>
      <c r="F726">
        <f>IFERROR(VLOOKUP(B726,'Pre-Summary'!$AL$6:$AQ$13,6,FALSE),F725)</f>
        <v>5.9405263157894746E-2</v>
      </c>
      <c r="G726" t="str">
        <f>IFERROR(VLOOKUP(B726,'Pre-Summary'!$AE$6:$AJ$85,3,FALSE),"")</f>
        <v/>
      </c>
      <c r="H726" t="str">
        <f>IFERROR(VLOOKUP(B726,'Pre-Summary'!$AE$6:$AJ$85,4,FALSE),"")</f>
        <v/>
      </c>
      <c r="I726" t="str">
        <f>IFERROR(VLOOKUP(B726,'Pre-Summary'!$AE$6:$AJ$85,5,FALSE),"")</f>
        <v/>
      </c>
      <c r="J726" s="45" t="str">
        <f>IFERROR(VLOOKUP(B726,'Pre-Summary'!$AE$6:$AJ$85,6, FALSE),"")</f>
        <v/>
      </c>
      <c r="K726" s="45" t="str">
        <f>IFERROR(VLOOKUP(B726,'Pre-Summary'!$DE$6:$DG$61,3,FALSE),"")</f>
        <v/>
      </c>
      <c r="L726" s="45" t="str">
        <f>IFERROR(VLOOKUP(B726,'Pre-Summary'!$CU$6:$CW$36,3,FALSE),"")</f>
        <v/>
      </c>
      <c r="M726" s="45" t="str">
        <f>IFERROR(VLOOKUP(B726,'Pre-Summary'!$BW$6:$BY$58,2,FALSE),"")</f>
        <v/>
      </c>
      <c r="N726" s="45" t="str">
        <f>IFERROR(VLOOKUP(B726,'Pre-Summary'!$CD$6:$CF$64,2,FALSE),"")</f>
        <v/>
      </c>
      <c r="O726" s="99">
        <f>IFERROR(VLOOKUP(B726,'Pre-Summary'!$BO$6:$BQ$48,3, FALSE),O725)</f>
        <v>1.3</v>
      </c>
      <c r="P726" s="99">
        <f>IFERROR(VLOOKUP(B726,'Pre-Summary'!$BS$6:$BU$35,3,FALSE),P725)</f>
        <v>0.34399999999999997</v>
      </c>
      <c r="Q726" s="54">
        <f t="shared" si="33"/>
        <v>3.779069767441861</v>
      </c>
      <c r="R726" s="53">
        <f>IFERROR(VLOOKUP(B726,'Pre-Summary'!$BG$6:$BM$44,7,FALSE),R727)</f>
        <v>7.5915763918363535E-2</v>
      </c>
      <c r="S726" s="53">
        <f>IFERROR(VLOOKUP(B726,'Pre-Summary'!$BG$6:$BM$44,6,FALSE),S727)</f>
        <v>5.2897473997019086E-2</v>
      </c>
      <c r="T726" s="45" t="str">
        <f>IFERROR(VLOOKUP(B726,'Pre-Summary'!$Y$6:$AC$83, 3,FALSE),"")</f>
        <v/>
      </c>
      <c r="U726" s="45" t="str">
        <f>IFERROR(VLOOKUP(B726,'Pre-Summary'!$Y$6:$AC$83, 4,FALSE),"")</f>
        <v/>
      </c>
      <c r="V726" t="str">
        <f>IFERROR(VLOOKUP(B726,'Pre-Summary'!$Y$6:$AC$83, 5,FALSE),"")</f>
        <v/>
      </c>
      <c r="W726" s="45" t="str">
        <f>IFERROR(VLOOKUP(B726,'Pre-Summary'!$Y$6:$AD$83,6,FALSE),"")</f>
        <v/>
      </c>
      <c r="X726" t="str">
        <f>IFERROR(VLOOKUP('Pre-Summary'!$DB$6:$DD$63,3,FALSE),"")</f>
        <v/>
      </c>
      <c r="Y726" t="str">
        <f>IFERROR(VLOOKUP(B726,'Pre-Summary'!$CR$6:$CT$36,3,FALSE),"")</f>
        <v/>
      </c>
      <c r="Z726" s="45" t="str">
        <f>IFERROR(VLOOKUP(B726,'Pre-Summary'!$BZ$6:$CB$63,2,FALSE),"")</f>
        <v/>
      </c>
      <c r="AA726" s="45" t="str">
        <f>IFERROR(VLOOKUP(B726,'Pre-Summary'!$CG$6:$CI$70,2,FALSE),"")</f>
        <v/>
      </c>
      <c r="AB726" s="99">
        <f>IFERROR(VLOOKUP(B726,'Pre-Summary'!$A$6:$P$178,9,FALSE),AB727)</f>
        <v>0.55977731958672339</v>
      </c>
      <c r="AC726" s="10">
        <f>IFERROR(VLOOKUP(Summary!B726,'Pre-Summary'!$A$6:$P$184,5, FALSE)/100,AC727)</f>
        <v>0.73175400000000013</v>
      </c>
      <c r="AD726" s="10">
        <f>IFERROR(VLOOKUP(Summary!B726,'Pre-Summary'!$A$6:$P$184,3, FALSE)/100,AD727)</f>
        <v>8.5874333333333316E-2</v>
      </c>
      <c r="AE726" s="10">
        <f>IFERROR(VLOOKUP(Summary!B726,'Pre-Summary'!$A$6:$P$184,7, FALSE)/100,AE727)</f>
        <v>0.18237166666666668</v>
      </c>
      <c r="AF726" s="99">
        <f t="shared" si="34"/>
        <v>4.807050413463014E-2</v>
      </c>
      <c r="AG726" s="99">
        <f t="shared" si="35"/>
        <v>0.10208752273523006</v>
      </c>
      <c r="AH726" s="10" t="str">
        <f>IFERROR(VLOOKUP(B726,'Pre-Summary'!$AZ$6:$BE$65,3,FALSE),"")</f>
        <v/>
      </c>
      <c r="AI726" s="10" t="str">
        <f>IFERROR(VLOOKUP(B726,'Pre-Summary'!$AZ$6:$BE$65,5,FALSE),"")</f>
        <v/>
      </c>
      <c r="AJ726" s="10" t="str">
        <f>IFERROR(VLOOKUP(B726,'Pre-Summary'!$AZ$6:$BE$65,4,FALSE),"")</f>
        <v/>
      </c>
      <c r="AK726" s="10" t="str">
        <f>IFERROR(VLOOKUP(B726,'Pre-Summary'!$AZ$6:$BE$65,6,FALSE),"")</f>
        <v/>
      </c>
      <c r="AL726" s="10" t="str">
        <f>IFERROR(VLOOKUP(B726,'Pre-Summary'!$BG$6:$BL$44,3,FALSE),"")</f>
        <v/>
      </c>
      <c r="AM726" s="10" t="str">
        <f>IFERROR(VLOOKUP(B726,'Pre-Summary'!$BG$6:$BL$44,4,FALSE),"")</f>
        <v/>
      </c>
    </row>
    <row r="727" spans="2:39" ht="15" customHeight="1" x14ac:dyDescent="0.3">
      <c r="B727">
        <v>72.400000000000006</v>
      </c>
      <c r="C727" t="str">
        <f>IFERROR(VLOOKUP(B727,'Pre-Summary'!$DI$6:$DM$23,4,FALSE),"")</f>
        <v/>
      </c>
      <c r="D727" s="10" t="str">
        <f>IFERROR(VLOOKUP(B727,'Pre-Summary'!$AT$6:$AX$14,5,FALSE),D726)</f>
        <v>DSMZ v2: Dropped Na-Ac out of DSMZ 120 media</v>
      </c>
      <c r="E727" s="10" t="str">
        <f>IFERROR(VLOOKUP(B727,'Pre-Summary'!$AT$6:$AX$15,4,FALSE),"")</f>
        <v/>
      </c>
      <c r="F727">
        <f>IFERROR(VLOOKUP(B727,'Pre-Summary'!$AL$6:$AQ$13,6,FALSE),F726)</f>
        <v>5.9405263157894746E-2</v>
      </c>
      <c r="G727" t="str">
        <f>IFERROR(VLOOKUP(B727,'Pre-Summary'!$AE$6:$AJ$85,3,FALSE),"")</f>
        <v/>
      </c>
      <c r="H727" t="str">
        <f>IFERROR(VLOOKUP(B727,'Pre-Summary'!$AE$6:$AJ$85,4,FALSE),"")</f>
        <v/>
      </c>
      <c r="I727" t="str">
        <f>IFERROR(VLOOKUP(B727,'Pre-Summary'!$AE$6:$AJ$85,5,FALSE),"")</f>
        <v/>
      </c>
      <c r="J727" s="45" t="str">
        <f>IFERROR(VLOOKUP(B727,'Pre-Summary'!$AE$6:$AJ$85,6, FALSE),"")</f>
        <v/>
      </c>
      <c r="K727" s="45" t="str">
        <f>IFERROR(VLOOKUP(B727,'Pre-Summary'!$DE$6:$DG$61,3,FALSE),"")</f>
        <v/>
      </c>
      <c r="L727" s="45" t="str">
        <f>IFERROR(VLOOKUP(B727,'Pre-Summary'!$CU$6:$CW$36,3,FALSE),"")</f>
        <v/>
      </c>
      <c r="M727" s="45" t="str">
        <f>IFERROR(VLOOKUP(B727,'Pre-Summary'!$BW$6:$BY$58,2,FALSE),"")</f>
        <v/>
      </c>
      <c r="N727" s="45" t="str">
        <f>IFERROR(VLOOKUP(B727,'Pre-Summary'!$CD$6:$CF$64,2,FALSE),"")</f>
        <v/>
      </c>
      <c r="O727" s="99">
        <f>IFERROR(VLOOKUP(B727,'Pre-Summary'!$BO$6:$BQ$48,3, FALSE),O726)</f>
        <v>1.3</v>
      </c>
      <c r="P727" s="99">
        <f>IFERROR(VLOOKUP(B727,'Pre-Summary'!$BS$6:$BU$35,3,FALSE),P726)</f>
        <v>0.34399999999999997</v>
      </c>
      <c r="Q727" s="54">
        <f t="shared" si="33"/>
        <v>3.779069767441861</v>
      </c>
      <c r="R727" s="53">
        <f>IFERROR(VLOOKUP(B727,'Pre-Summary'!$BG$6:$BM$44,7,FALSE),R728)</f>
        <v>7.5915763918363535E-2</v>
      </c>
      <c r="S727" s="53">
        <f>IFERROR(VLOOKUP(B727,'Pre-Summary'!$BG$6:$BM$44,6,FALSE),S728)</f>
        <v>5.2897473997019086E-2</v>
      </c>
      <c r="T727" s="45" t="str">
        <f>IFERROR(VLOOKUP(B727,'Pre-Summary'!$Y$6:$AC$83, 3,FALSE),"")</f>
        <v/>
      </c>
      <c r="U727" s="45" t="str">
        <f>IFERROR(VLOOKUP(B727,'Pre-Summary'!$Y$6:$AC$83, 4,FALSE),"")</f>
        <v/>
      </c>
      <c r="V727" t="str">
        <f>IFERROR(VLOOKUP(B727,'Pre-Summary'!$Y$6:$AC$83, 5,FALSE),"")</f>
        <v/>
      </c>
      <c r="W727" s="45" t="str">
        <f>IFERROR(VLOOKUP(B727,'Pre-Summary'!$Y$6:$AD$83,6,FALSE),"")</f>
        <v/>
      </c>
      <c r="X727" t="str">
        <f>IFERROR(VLOOKUP('Pre-Summary'!$DB$6:$DD$63,3,FALSE),"")</f>
        <v/>
      </c>
      <c r="Y727" t="str">
        <f>IFERROR(VLOOKUP(B727,'Pre-Summary'!$CR$6:$CT$36,3,FALSE),"")</f>
        <v/>
      </c>
      <c r="Z727" s="45" t="str">
        <f>IFERROR(VLOOKUP(B727,'Pre-Summary'!$BZ$6:$CB$63,2,FALSE),"")</f>
        <v/>
      </c>
      <c r="AA727" s="45" t="str">
        <f>IFERROR(VLOOKUP(B727,'Pre-Summary'!$CG$6:$CI$70,2,FALSE),"")</f>
        <v/>
      </c>
      <c r="AB727" s="99">
        <f>IFERROR(VLOOKUP(B727,'Pre-Summary'!$A$6:$P$178,9,FALSE),AB728)</f>
        <v>0.55977731958672339</v>
      </c>
      <c r="AC727" s="10">
        <f>IFERROR(VLOOKUP(Summary!B727,'Pre-Summary'!$A$6:$P$184,5, FALSE)/100,AC728)</f>
        <v>0.73175400000000013</v>
      </c>
      <c r="AD727" s="10">
        <f>IFERROR(VLOOKUP(Summary!B727,'Pre-Summary'!$A$6:$P$184,3, FALSE)/100,AD728)</f>
        <v>8.5874333333333316E-2</v>
      </c>
      <c r="AE727" s="10">
        <f>IFERROR(VLOOKUP(Summary!B727,'Pre-Summary'!$A$6:$P$184,7, FALSE)/100,AE728)</f>
        <v>0.18237166666666668</v>
      </c>
      <c r="AF727" s="99">
        <f t="shared" si="34"/>
        <v>4.807050413463014E-2</v>
      </c>
      <c r="AG727" s="99">
        <f t="shared" si="35"/>
        <v>0.10208752273523006</v>
      </c>
      <c r="AH727" s="10" t="str">
        <f>IFERROR(VLOOKUP(B727,'Pre-Summary'!$AZ$6:$BE$65,3,FALSE),"")</f>
        <v/>
      </c>
      <c r="AI727" s="10" t="str">
        <f>IFERROR(VLOOKUP(B727,'Pre-Summary'!$AZ$6:$BE$65,5,FALSE),"")</f>
        <v/>
      </c>
      <c r="AJ727" s="10" t="str">
        <f>IFERROR(VLOOKUP(B727,'Pre-Summary'!$AZ$6:$BE$65,4,FALSE),"")</f>
        <v/>
      </c>
      <c r="AK727" s="10" t="str">
        <f>IFERROR(VLOOKUP(B727,'Pre-Summary'!$AZ$6:$BE$65,6,FALSE),"")</f>
        <v/>
      </c>
      <c r="AL727" s="10" t="str">
        <f>IFERROR(VLOOKUP(B727,'Pre-Summary'!$BG$6:$BL$44,3,FALSE),"")</f>
        <v/>
      </c>
      <c r="AM727" s="10" t="str">
        <f>IFERROR(VLOOKUP(B727,'Pre-Summary'!$BG$6:$BL$44,4,FALSE),"")</f>
        <v/>
      </c>
    </row>
    <row r="728" spans="2:39" ht="15" customHeight="1" x14ac:dyDescent="0.3">
      <c r="B728">
        <v>72.5</v>
      </c>
      <c r="C728" t="str">
        <f>IFERROR(VLOOKUP(B728,'Pre-Summary'!$DI$6:$DM$23,4,FALSE),"")</f>
        <v/>
      </c>
      <c r="D728" s="10" t="str">
        <f>IFERROR(VLOOKUP(B728,'Pre-Summary'!$AT$6:$AX$14,5,FALSE),D727)</f>
        <v>DSMZ v2: Dropped Na-Ac out of DSMZ 120 media</v>
      </c>
      <c r="E728" s="10" t="str">
        <f>IFERROR(VLOOKUP(B728,'Pre-Summary'!$AT$6:$AX$15,4,FALSE),"")</f>
        <v/>
      </c>
      <c r="F728">
        <f>IFERROR(VLOOKUP(B728,'Pre-Summary'!$AL$6:$AQ$13,6,FALSE),F727)</f>
        <v>5.9405263157894746E-2</v>
      </c>
      <c r="G728" t="str">
        <f>IFERROR(VLOOKUP(B728,'Pre-Summary'!$AE$6:$AJ$85,3,FALSE),"")</f>
        <v/>
      </c>
      <c r="H728" t="str">
        <f>IFERROR(VLOOKUP(B728,'Pre-Summary'!$AE$6:$AJ$85,4,FALSE),"")</f>
        <v/>
      </c>
      <c r="I728" t="str">
        <f>IFERROR(VLOOKUP(B728,'Pre-Summary'!$AE$6:$AJ$85,5,FALSE),"")</f>
        <v/>
      </c>
      <c r="J728" s="45" t="str">
        <f>IFERROR(VLOOKUP(B728,'Pre-Summary'!$AE$6:$AJ$85,6, FALSE),"")</f>
        <v/>
      </c>
      <c r="K728" s="45" t="str">
        <f>IFERROR(VLOOKUP(B728,'Pre-Summary'!$DE$6:$DG$61,3,FALSE),"")</f>
        <v/>
      </c>
      <c r="L728" s="45" t="str">
        <f>IFERROR(VLOOKUP(B728,'Pre-Summary'!$CU$6:$CW$36,3,FALSE),"")</f>
        <v/>
      </c>
      <c r="M728" s="45" t="str">
        <f>IFERROR(VLOOKUP(B728,'Pre-Summary'!$BW$6:$BY$58,2,FALSE),"")</f>
        <v/>
      </c>
      <c r="N728" s="45" t="str">
        <f>IFERROR(VLOOKUP(B728,'Pre-Summary'!$CD$6:$CF$64,2,FALSE),"")</f>
        <v/>
      </c>
      <c r="O728" s="99">
        <f>IFERROR(VLOOKUP(B728,'Pre-Summary'!$BO$6:$BQ$48,3, FALSE),O727)</f>
        <v>1.3</v>
      </c>
      <c r="P728" s="99">
        <f>IFERROR(VLOOKUP(B728,'Pre-Summary'!$BS$6:$BU$35,3,FALSE),P727)</f>
        <v>0.34399999999999997</v>
      </c>
      <c r="Q728" s="54">
        <f t="shared" si="33"/>
        <v>3.779069767441861</v>
      </c>
      <c r="R728" s="53">
        <f>IFERROR(VLOOKUP(B728,'Pre-Summary'!$BG$6:$BM$44,7,FALSE),R729)</f>
        <v>7.5915763918363535E-2</v>
      </c>
      <c r="S728" s="53">
        <f>IFERROR(VLOOKUP(B728,'Pre-Summary'!$BG$6:$BM$44,6,FALSE),S729)</f>
        <v>5.2897473997019086E-2</v>
      </c>
      <c r="T728" s="45" t="str">
        <f>IFERROR(VLOOKUP(B728,'Pre-Summary'!$Y$6:$AC$83, 3,FALSE),"")</f>
        <v/>
      </c>
      <c r="U728" s="45" t="str">
        <f>IFERROR(VLOOKUP(B728,'Pre-Summary'!$Y$6:$AC$83, 4,FALSE),"")</f>
        <v/>
      </c>
      <c r="V728" t="str">
        <f>IFERROR(VLOOKUP(B728,'Pre-Summary'!$Y$6:$AC$83, 5,FALSE),"")</f>
        <v/>
      </c>
      <c r="W728" s="45" t="str">
        <f>IFERROR(VLOOKUP(B728,'Pre-Summary'!$Y$6:$AD$83,6,FALSE),"")</f>
        <v/>
      </c>
      <c r="X728" t="str">
        <f>IFERROR(VLOOKUP('Pre-Summary'!$DB$6:$DD$63,3,FALSE),"")</f>
        <v/>
      </c>
      <c r="Y728" t="str">
        <f>IFERROR(VLOOKUP(B728,'Pre-Summary'!$CR$6:$CT$36,3,FALSE),"")</f>
        <v/>
      </c>
      <c r="Z728" s="45" t="str">
        <f>IFERROR(VLOOKUP(B728,'Pre-Summary'!$BZ$6:$CB$63,2,FALSE),"")</f>
        <v/>
      </c>
      <c r="AA728" s="45" t="str">
        <f>IFERROR(VLOOKUP(B728,'Pre-Summary'!$CG$6:$CI$70,2,FALSE),"")</f>
        <v/>
      </c>
      <c r="AB728" s="99">
        <f>IFERROR(VLOOKUP(B728,'Pre-Summary'!$A$6:$P$178,9,FALSE),AB729)</f>
        <v>0.55977731958672339</v>
      </c>
      <c r="AC728" s="10">
        <f>IFERROR(VLOOKUP(Summary!B728,'Pre-Summary'!$A$6:$P$184,5, FALSE)/100,AC729)</f>
        <v>0.73175400000000013</v>
      </c>
      <c r="AD728" s="10">
        <f>IFERROR(VLOOKUP(Summary!B728,'Pre-Summary'!$A$6:$P$184,3, FALSE)/100,AD729)</f>
        <v>8.5874333333333316E-2</v>
      </c>
      <c r="AE728" s="10">
        <f>IFERROR(VLOOKUP(Summary!B728,'Pre-Summary'!$A$6:$P$184,7, FALSE)/100,AE729)</f>
        <v>0.18237166666666668</v>
      </c>
      <c r="AF728" s="99">
        <f t="shared" si="34"/>
        <v>4.807050413463014E-2</v>
      </c>
      <c r="AG728" s="99">
        <f t="shared" si="35"/>
        <v>0.10208752273523006</v>
      </c>
      <c r="AH728" s="10" t="str">
        <f>IFERROR(VLOOKUP(B728,'Pre-Summary'!$AZ$6:$BE$65,3,FALSE),"")</f>
        <v/>
      </c>
      <c r="AI728" s="10" t="str">
        <f>IFERROR(VLOOKUP(B728,'Pre-Summary'!$AZ$6:$BE$65,5,FALSE),"")</f>
        <v/>
      </c>
      <c r="AJ728" s="10" t="str">
        <f>IFERROR(VLOOKUP(B728,'Pre-Summary'!$AZ$6:$BE$65,4,FALSE),"")</f>
        <v/>
      </c>
      <c r="AK728" s="10" t="str">
        <f>IFERROR(VLOOKUP(B728,'Pre-Summary'!$AZ$6:$BE$65,6,FALSE),"")</f>
        <v/>
      </c>
      <c r="AL728" s="10" t="str">
        <f>IFERROR(VLOOKUP(B728,'Pre-Summary'!$BG$6:$BL$44,3,FALSE),"")</f>
        <v/>
      </c>
      <c r="AM728" s="10" t="str">
        <f>IFERROR(VLOOKUP(B728,'Pre-Summary'!$BG$6:$BL$44,4,FALSE),"")</f>
        <v/>
      </c>
    </row>
    <row r="729" spans="2:39" ht="15" customHeight="1" x14ac:dyDescent="0.3">
      <c r="B729">
        <v>72.599999999999994</v>
      </c>
      <c r="C729" t="str">
        <f>IFERROR(VLOOKUP(B729,'Pre-Summary'!$DI$6:$DM$23,4,FALSE),"")</f>
        <v/>
      </c>
      <c r="D729" s="10" t="str">
        <f>IFERROR(VLOOKUP(B729,'Pre-Summary'!$AT$6:$AX$14,5,FALSE),D728)</f>
        <v>DSMZ v2: Dropped Na-Ac out of DSMZ 120 media</v>
      </c>
      <c r="E729" s="10" t="str">
        <f>IFERROR(VLOOKUP(B729,'Pre-Summary'!$AT$6:$AX$15,4,FALSE),"")</f>
        <v/>
      </c>
      <c r="F729">
        <f>IFERROR(VLOOKUP(B729,'Pre-Summary'!$AL$6:$AQ$13,6,FALSE),F728)</f>
        <v>5.9405263157894746E-2</v>
      </c>
      <c r="G729" t="str">
        <f>IFERROR(VLOOKUP(B729,'Pre-Summary'!$AE$6:$AJ$85,3,FALSE),"")</f>
        <v/>
      </c>
      <c r="H729" t="str">
        <f>IFERROR(VLOOKUP(B729,'Pre-Summary'!$AE$6:$AJ$85,4,FALSE),"")</f>
        <v/>
      </c>
      <c r="I729" t="str">
        <f>IFERROR(VLOOKUP(B729,'Pre-Summary'!$AE$6:$AJ$85,5,FALSE),"")</f>
        <v/>
      </c>
      <c r="J729" s="45" t="str">
        <f>IFERROR(VLOOKUP(B729,'Pre-Summary'!$AE$6:$AJ$85,6, FALSE),"")</f>
        <v/>
      </c>
      <c r="K729" s="45" t="str">
        <f>IFERROR(VLOOKUP(B729,'Pre-Summary'!$DE$6:$DG$61,3,FALSE),"")</f>
        <v/>
      </c>
      <c r="L729" s="45" t="str">
        <f>IFERROR(VLOOKUP(B729,'Pre-Summary'!$CU$6:$CW$36,3,FALSE),"")</f>
        <v/>
      </c>
      <c r="M729" s="45" t="str">
        <f>IFERROR(VLOOKUP(B729,'Pre-Summary'!$BW$6:$BY$58,2,FALSE),"")</f>
        <v/>
      </c>
      <c r="N729" s="45" t="str">
        <f>IFERROR(VLOOKUP(B729,'Pre-Summary'!$CD$6:$CF$64,2,FALSE),"")</f>
        <v/>
      </c>
      <c r="O729" s="99">
        <f>IFERROR(VLOOKUP(B729,'Pre-Summary'!$BO$6:$BQ$48,3, FALSE),O728)</f>
        <v>1.3</v>
      </c>
      <c r="P729" s="99">
        <f>IFERROR(VLOOKUP(B729,'Pre-Summary'!$BS$6:$BU$35,3,FALSE),P728)</f>
        <v>0.34399999999999997</v>
      </c>
      <c r="Q729" s="54">
        <f t="shared" si="33"/>
        <v>3.779069767441861</v>
      </c>
      <c r="R729" s="53">
        <f>IFERROR(VLOOKUP(B729,'Pre-Summary'!$BG$6:$BM$44,7,FALSE),R730)</f>
        <v>7.5915763918363535E-2</v>
      </c>
      <c r="S729" s="53">
        <f>IFERROR(VLOOKUP(B729,'Pre-Summary'!$BG$6:$BM$44,6,FALSE),S730)</f>
        <v>5.2897473997019086E-2</v>
      </c>
      <c r="T729" s="45" t="str">
        <f>IFERROR(VLOOKUP(B729,'Pre-Summary'!$Y$6:$AC$83, 3,FALSE),"")</f>
        <v/>
      </c>
      <c r="U729" s="45" t="str">
        <f>IFERROR(VLOOKUP(B729,'Pre-Summary'!$Y$6:$AC$83, 4,FALSE),"")</f>
        <v/>
      </c>
      <c r="V729" t="str">
        <f>IFERROR(VLOOKUP(B729,'Pre-Summary'!$Y$6:$AC$83, 5,FALSE),"")</f>
        <v/>
      </c>
      <c r="W729" s="45" t="str">
        <f>IFERROR(VLOOKUP(B729,'Pre-Summary'!$Y$6:$AD$83,6,FALSE),"")</f>
        <v/>
      </c>
      <c r="X729" t="str">
        <f>IFERROR(VLOOKUP('Pre-Summary'!$DB$6:$DD$63,3,FALSE),"")</f>
        <v/>
      </c>
      <c r="Y729" t="str">
        <f>IFERROR(VLOOKUP(B729,'Pre-Summary'!$CR$6:$CT$36,3,FALSE),"")</f>
        <v/>
      </c>
      <c r="Z729" s="45" t="str">
        <f>IFERROR(VLOOKUP(B729,'Pre-Summary'!$BZ$6:$CB$63,2,FALSE),"")</f>
        <v/>
      </c>
      <c r="AA729" s="45" t="str">
        <f>IFERROR(VLOOKUP(B729,'Pre-Summary'!$CG$6:$CI$70,2,FALSE),"")</f>
        <v/>
      </c>
      <c r="AB729" s="99">
        <f>IFERROR(VLOOKUP(B729,'Pre-Summary'!$A$6:$P$178,9,FALSE),AB730)</f>
        <v>0.55977731958672339</v>
      </c>
      <c r="AC729" s="10">
        <f>IFERROR(VLOOKUP(Summary!B729,'Pre-Summary'!$A$6:$P$184,5, FALSE)/100,AC730)</f>
        <v>0.73175400000000013</v>
      </c>
      <c r="AD729" s="10">
        <f>IFERROR(VLOOKUP(Summary!B729,'Pre-Summary'!$A$6:$P$184,3, FALSE)/100,AD730)</f>
        <v>8.5874333333333316E-2</v>
      </c>
      <c r="AE729" s="10">
        <f>IFERROR(VLOOKUP(Summary!B729,'Pre-Summary'!$A$6:$P$184,7, FALSE)/100,AE730)</f>
        <v>0.18237166666666668</v>
      </c>
      <c r="AF729" s="99">
        <f t="shared" si="34"/>
        <v>4.807050413463014E-2</v>
      </c>
      <c r="AG729" s="99">
        <f t="shared" si="35"/>
        <v>0.10208752273523006</v>
      </c>
      <c r="AH729" s="10" t="str">
        <f>IFERROR(VLOOKUP(B729,'Pre-Summary'!$AZ$6:$BE$65,3,FALSE),"")</f>
        <v/>
      </c>
      <c r="AI729" s="10" t="str">
        <f>IFERROR(VLOOKUP(B729,'Pre-Summary'!$AZ$6:$BE$65,5,FALSE),"")</f>
        <v/>
      </c>
      <c r="AJ729" s="10" t="str">
        <f>IFERROR(VLOOKUP(B729,'Pre-Summary'!$AZ$6:$BE$65,4,FALSE),"")</f>
        <v/>
      </c>
      <c r="AK729" s="10" t="str">
        <f>IFERROR(VLOOKUP(B729,'Pre-Summary'!$AZ$6:$BE$65,6,FALSE),"")</f>
        <v/>
      </c>
      <c r="AL729" s="10" t="str">
        <f>IFERROR(VLOOKUP(B729,'Pre-Summary'!$BG$6:$BL$44,3,FALSE),"")</f>
        <v/>
      </c>
      <c r="AM729" s="10" t="str">
        <f>IFERROR(VLOOKUP(B729,'Pre-Summary'!$BG$6:$BL$44,4,FALSE),"")</f>
        <v/>
      </c>
    </row>
    <row r="730" spans="2:39" ht="15" customHeight="1" x14ac:dyDescent="0.3">
      <c r="B730">
        <v>72.7</v>
      </c>
      <c r="C730" t="str">
        <f>IFERROR(VLOOKUP(B730,'Pre-Summary'!$DI$6:$DM$23,4,FALSE),"")</f>
        <v/>
      </c>
      <c r="D730" s="10" t="str">
        <f>IFERROR(VLOOKUP(B730,'Pre-Summary'!$AT$6:$AX$14,5,FALSE),D729)</f>
        <v>DSMZ v2: Dropped Na-Ac out of DSMZ 120 media</v>
      </c>
      <c r="E730" s="10" t="str">
        <f>IFERROR(VLOOKUP(B730,'Pre-Summary'!$AT$6:$AX$15,4,FALSE),"")</f>
        <v/>
      </c>
      <c r="F730">
        <f>IFERROR(VLOOKUP(B730,'Pre-Summary'!$AL$6:$AQ$13,6,FALSE),F729)</f>
        <v>5.9405263157894746E-2</v>
      </c>
      <c r="G730" t="str">
        <f>IFERROR(VLOOKUP(B730,'Pre-Summary'!$AE$6:$AJ$85,3,FALSE),"")</f>
        <v/>
      </c>
      <c r="H730" t="str">
        <f>IFERROR(VLOOKUP(B730,'Pre-Summary'!$AE$6:$AJ$85,4,FALSE),"")</f>
        <v/>
      </c>
      <c r="I730" t="str">
        <f>IFERROR(VLOOKUP(B730,'Pre-Summary'!$AE$6:$AJ$85,5,FALSE),"")</f>
        <v/>
      </c>
      <c r="J730" s="45" t="str">
        <f>IFERROR(VLOOKUP(B730,'Pre-Summary'!$AE$6:$AJ$85,6, FALSE),"")</f>
        <v/>
      </c>
      <c r="K730" s="45" t="str">
        <f>IFERROR(VLOOKUP(B730,'Pre-Summary'!$DE$6:$DG$61,3,FALSE),"")</f>
        <v/>
      </c>
      <c r="L730" s="45" t="str">
        <f>IFERROR(VLOOKUP(B730,'Pre-Summary'!$CU$6:$CW$36,3,FALSE),"")</f>
        <v/>
      </c>
      <c r="M730" s="45" t="str">
        <f>IFERROR(VLOOKUP(B730,'Pre-Summary'!$BW$6:$BY$58,2,FALSE),"")</f>
        <v/>
      </c>
      <c r="N730" s="45" t="str">
        <f>IFERROR(VLOOKUP(B730,'Pre-Summary'!$CD$6:$CF$64,2,FALSE),"")</f>
        <v/>
      </c>
      <c r="O730" s="99">
        <f>IFERROR(VLOOKUP(B730,'Pre-Summary'!$BO$6:$BQ$48,3, FALSE),O729)</f>
        <v>1.3</v>
      </c>
      <c r="P730" s="99">
        <f>IFERROR(VLOOKUP(B730,'Pre-Summary'!$BS$6:$BU$35,3,FALSE),P729)</f>
        <v>0.34399999999999997</v>
      </c>
      <c r="Q730" s="54">
        <f t="shared" si="33"/>
        <v>3.779069767441861</v>
      </c>
      <c r="R730" s="53">
        <f>IFERROR(VLOOKUP(B730,'Pre-Summary'!$BG$6:$BM$44,7,FALSE),R731)</f>
        <v>7.5915763918363535E-2</v>
      </c>
      <c r="S730" s="53">
        <f>IFERROR(VLOOKUP(B730,'Pre-Summary'!$BG$6:$BM$44,6,FALSE),S731)</f>
        <v>5.2897473997019086E-2</v>
      </c>
      <c r="T730" s="45" t="str">
        <f>IFERROR(VLOOKUP(B730,'Pre-Summary'!$Y$6:$AC$83, 3,FALSE),"")</f>
        <v/>
      </c>
      <c r="U730" s="45" t="str">
        <f>IFERROR(VLOOKUP(B730,'Pre-Summary'!$Y$6:$AC$83, 4,FALSE),"")</f>
        <v/>
      </c>
      <c r="V730" t="str">
        <f>IFERROR(VLOOKUP(B730,'Pre-Summary'!$Y$6:$AC$83, 5,FALSE),"")</f>
        <v/>
      </c>
      <c r="W730" s="45" t="str">
        <f>IFERROR(VLOOKUP(B730,'Pre-Summary'!$Y$6:$AD$83,6,FALSE),"")</f>
        <v/>
      </c>
      <c r="X730" t="str">
        <f>IFERROR(VLOOKUP('Pre-Summary'!$DB$6:$DD$63,3,FALSE),"")</f>
        <v/>
      </c>
      <c r="Y730" t="str">
        <f>IFERROR(VLOOKUP(B730,'Pre-Summary'!$CR$6:$CT$36,3,FALSE),"")</f>
        <v/>
      </c>
      <c r="Z730" s="45" t="str">
        <f>IFERROR(VLOOKUP(B730,'Pre-Summary'!$BZ$6:$CB$63,2,FALSE),"")</f>
        <v/>
      </c>
      <c r="AA730" s="45" t="str">
        <f>IFERROR(VLOOKUP(B730,'Pre-Summary'!$CG$6:$CI$70,2,FALSE),"")</f>
        <v/>
      </c>
      <c r="AB730" s="99">
        <f>IFERROR(VLOOKUP(B730,'Pre-Summary'!$A$6:$P$178,9,FALSE),AB731)</f>
        <v>0.55977731958672339</v>
      </c>
      <c r="AC730" s="10">
        <f>IFERROR(VLOOKUP(Summary!B730,'Pre-Summary'!$A$6:$P$184,5, FALSE)/100,AC731)</f>
        <v>0.73175400000000013</v>
      </c>
      <c r="AD730" s="10">
        <f>IFERROR(VLOOKUP(Summary!B730,'Pre-Summary'!$A$6:$P$184,3, FALSE)/100,AD731)</f>
        <v>8.5874333333333316E-2</v>
      </c>
      <c r="AE730" s="10">
        <f>IFERROR(VLOOKUP(Summary!B730,'Pre-Summary'!$A$6:$P$184,7, FALSE)/100,AE731)</f>
        <v>0.18237166666666668</v>
      </c>
      <c r="AF730" s="99">
        <f t="shared" si="34"/>
        <v>4.807050413463014E-2</v>
      </c>
      <c r="AG730" s="99">
        <f t="shared" si="35"/>
        <v>0.10208752273523006</v>
      </c>
      <c r="AH730" s="10" t="str">
        <f>IFERROR(VLOOKUP(B730,'Pre-Summary'!$AZ$6:$BE$65,3,FALSE),"")</f>
        <v/>
      </c>
      <c r="AI730" s="10" t="str">
        <f>IFERROR(VLOOKUP(B730,'Pre-Summary'!$AZ$6:$BE$65,5,FALSE),"")</f>
        <v/>
      </c>
      <c r="AJ730" s="10" t="str">
        <f>IFERROR(VLOOKUP(B730,'Pre-Summary'!$AZ$6:$BE$65,4,FALSE),"")</f>
        <v/>
      </c>
      <c r="AK730" s="10" t="str">
        <f>IFERROR(VLOOKUP(B730,'Pre-Summary'!$AZ$6:$BE$65,6,FALSE),"")</f>
        <v/>
      </c>
      <c r="AL730" s="10" t="str">
        <f>IFERROR(VLOOKUP(B730,'Pre-Summary'!$BG$6:$BL$44,3,FALSE),"")</f>
        <v/>
      </c>
      <c r="AM730" s="10" t="str">
        <f>IFERROR(VLOOKUP(B730,'Pre-Summary'!$BG$6:$BL$44,4,FALSE),"")</f>
        <v/>
      </c>
    </row>
    <row r="731" spans="2:39" ht="15" customHeight="1" x14ac:dyDescent="0.3">
      <c r="B731">
        <v>72.8</v>
      </c>
      <c r="C731" t="str">
        <f>IFERROR(VLOOKUP(B731,'Pre-Summary'!$DI$6:$DM$23,4,FALSE),"")</f>
        <v/>
      </c>
      <c r="D731" s="10" t="str">
        <f>IFERROR(VLOOKUP(B731,'Pre-Summary'!$AT$6:$AX$14,5,FALSE),D730)</f>
        <v>DSMZ v2: Dropped Na-Ac out of DSMZ 120 media</v>
      </c>
      <c r="E731" s="10" t="str">
        <f>IFERROR(VLOOKUP(B731,'Pre-Summary'!$AT$6:$AX$15,4,FALSE),"")</f>
        <v/>
      </c>
      <c r="F731">
        <f>IFERROR(VLOOKUP(B731,'Pre-Summary'!$AL$6:$AQ$13,6,FALSE),F730)</f>
        <v>5.9405263157894746E-2</v>
      </c>
      <c r="G731" t="str">
        <f>IFERROR(VLOOKUP(B731,'Pre-Summary'!$AE$6:$AJ$85,3,FALSE),"")</f>
        <v/>
      </c>
      <c r="H731" t="str">
        <f>IFERROR(VLOOKUP(B731,'Pre-Summary'!$AE$6:$AJ$85,4,FALSE),"")</f>
        <v/>
      </c>
      <c r="I731" t="str">
        <f>IFERROR(VLOOKUP(B731,'Pre-Summary'!$AE$6:$AJ$85,5,FALSE),"")</f>
        <v/>
      </c>
      <c r="J731" s="45" t="str">
        <f>IFERROR(VLOOKUP(B731,'Pre-Summary'!$AE$6:$AJ$85,6, FALSE),"")</f>
        <v/>
      </c>
      <c r="K731" s="45" t="str">
        <f>IFERROR(VLOOKUP(B731,'Pre-Summary'!$DE$6:$DG$61,3,FALSE),"")</f>
        <v/>
      </c>
      <c r="L731" s="45" t="str">
        <f>IFERROR(VLOOKUP(B731,'Pre-Summary'!$CU$6:$CW$36,3,FALSE),"")</f>
        <v/>
      </c>
      <c r="M731" s="45" t="str">
        <f>IFERROR(VLOOKUP(B731,'Pre-Summary'!$BW$6:$BY$58,2,FALSE),"")</f>
        <v/>
      </c>
      <c r="N731" s="45" t="str">
        <f>IFERROR(VLOOKUP(B731,'Pre-Summary'!$CD$6:$CF$64,2,FALSE),"")</f>
        <v/>
      </c>
      <c r="O731" s="99">
        <f>IFERROR(VLOOKUP(B731,'Pre-Summary'!$BO$6:$BQ$48,3, FALSE),O730)</f>
        <v>1.3</v>
      </c>
      <c r="P731" s="99">
        <f>IFERROR(VLOOKUP(B731,'Pre-Summary'!$BS$6:$BU$35,3,FALSE),P730)</f>
        <v>0.34399999999999997</v>
      </c>
      <c r="Q731" s="54">
        <f t="shared" si="33"/>
        <v>3.779069767441861</v>
      </c>
      <c r="R731" s="53">
        <f>IFERROR(VLOOKUP(B731,'Pre-Summary'!$BG$6:$BM$44,7,FALSE),R732)</f>
        <v>7.5915763918363535E-2</v>
      </c>
      <c r="S731" s="53">
        <f>IFERROR(VLOOKUP(B731,'Pre-Summary'!$BG$6:$BM$44,6,FALSE),S732)</f>
        <v>5.2897473997019086E-2</v>
      </c>
      <c r="T731" s="45" t="str">
        <f>IFERROR(VLOOKUP(B731,'Pre-Summary'!$Y$6:$AC$83, 3,FALSE),"")</f>
        <v/>
      </c>
      <c r="U731" s="45" t="str">
        <f>IFERROR(VLOOKUP(B731,'Pre-Summary'!$Y$6:$AC$83, 4,FALSE),"")</f>
        <v/>
      </c>
      <c r="V731" t="str">
        <f>IFERROR(VLOOKUP(B731,'Pre-Summary'!$Y$6:$AC$83, 5,FALSE),"")</f>
        <v/>
      </c>
      <c r="W731" s="45" t="str">
        <f>IFERROR(VLOOKUP(B731,'Pre-Summary'!$Y$6:$AD$83,6,FALSE),"")</f>
        <v/>
      </c>
      <c r="X731" t="str">
        <f>IFERROR(VLOOKUP('Pre-Summary'!$DB$6:$DD$63,3,FALSE),"")</f>
        <v/>
      </c>
      <c r="Y731" t="str">
        <f>IFERROR(VLOOKUP(B731,'Pre-Summary'!$CR$6:$CT$36,3,FALSE),"")</f>
        <v/>
      </c>
      <c r="Z731" s="45" t="str">
        <f>IFERROR(VLOOKUP(B731,'Pre-Summary'!$BZ$6:$CB$63,2,FALSE),"")</f>
        <v/>
      </c>
      <c r="AA731" s="45" t="str">
        <f>IFERROR(VLOOKUP(B731,'Pre-Summary'!$CG$6:$CI$70,2,FALSE),"")</f>
        <v/>
      </c>
      <c r="AB731" s="99">
        <f>IFERROR(VLOOKUP(B731,'Pre-Summary'!$A$6:$P$178,9,FALSE),AB732)</f>
        <v>0.55977731958672339</v>
      </c>
      <c r="AC731" s="10">
        <f>IFERROR(VLOOKUP(Summary!B731,'Pre-Summary'!$A$6:$P$184,5, FALSE)/100,AC732)</f>
        <v>0.73175400000000013</v>
      </c>
      <c r="AD731" s="10">
        <f>IFERROR(VLOOKUP(Summary!B731,'Pre-Summary'!$A$6:$P$184,3, FALSE)/100,AD732)</f>
        <v>8.5874333333333316E-2</v>
      </c>
      <c r="AE731" s="10">
        <f>IFERROR(VLOOKUP(Summary!B731,'Pre-Summary'!$A$6:$P$184,7, FALSE)/100,AE732)</f>
        <v>0.18237166666666668</v>
      </c>
      <c r="AF731" s="99">
        <f t="shared" si="34"/>
        <v>4.807050413463014E-2</v>
      </c>
      <c r="AG731" s="99">
        <f t="shared" si="35"/>
        <v>0.10208752273523006</v>
      </c>
      <c r="AH731" s="10" t="str">
        <f>IFERROR(VLOOKUP(B731,'Pre-Summary'!$AZ$6:$BE$65,3,FALSE),"")</f>
        <v/>
      </c>
      <c r="AI731" s="10" t="str">
        <f>IFERROR(VLOOKUP(B731,'Pre-Summary'!$AZ$6:$BE$65,5,FALSE),"")</f>
        <v/>
      </c>
      <c r="AJ731" s="10" t="str">
        <f>IFERROR(VLOOKUP(B731,'Pre-Summary'!$AZ$6:$BE$65,4,FALSE),"")</f>
        <v/>
      </c>
      <c r="AK731" s="10" t="str">
        <f>IFERROR(VLOOKUP(B731,'Pre-Summary'!$AZ$6:$BE$65,6,FALSE),"")</f>
        <v/>
      </c>
      <c r="AL731" s="10" t="str">
        <f>IFERROR(VLOOKUP(B731,'Pre-Summary'!$BG$6:$BL$44,3,FALSE),"")</f>
        <v/>
      </c>
      <c r="AM731" s="10" t="str">
        <f>IFERROR(VLOOKUP(B731,'Pre-Summary'!$BG$6:$BL$44,4,FALSE),"")</f>
        <v/>
      </c>
    </row>
    <row r="732" spans="2:39" ht="15" customHeight="1" x14ac:dyDescent="0.3">
      <c r="B732">
        <v>72.900000000000006</v>
      </c>
      <c r="C732" t="str">
        <f>IFERROR(VLOOKUP(B732,'Pre-Summary'!$DI$6:$DM$23,4,FALSE),"")</f>
        <v/>
      </c>
      <c r="D732" s="10" t="str">
        <f>IFERROR(VLOOKUP(B732,'Pre-Summary'!$AT$6:$AX$14,5,FALSE),D731)</f>
        <v>DSMZ v2: Dropped Na-Ac out of DSMZ 120 media</v>
      </c>
      <c r="E732" s="10" t="str">
        <f>IFERROR(VLOOKUP(B732,'Pre-Summary'!$AT$6:$AX$15,4,FALSE),"")</f>
        <v/>
      </c>
      <c r="F732">
        <f>IFERROR(VLOOKUP(B732,'Pre-Summary'!$AL$6:$AQ$13,6,FALSE),F731)</f>
        <v>5.9405263157894746E-2</v>
      </c>
      <c r="G732">
        <f>IFERROR(VLOOKUP(B732,'Pre-Summary'!$AE$6:$AJ$85,3,FALSE),"")</f>
        <v>330.27</v>
      </c>
      <c r="H732">
        <f>IFERROR(VLOOKUP(B732,'Pre-Summary'!$AE$6:$AJ$85,4,FALSE),"")</f>
        <v>48.7</v>
      </c>
      <c r="I732">
        <f>IFERROR(VLOOKUP(B732,'Pre-Summary'!$AE$6:$AJ$85,5,FALSE),"")</f>
        <v>0</v>
      </c>
      <c r="J732" s="45">
        <f>IFERROR(VLOOKUP(B732,'Pre-Summary'!$AE$6:$AJ$85,6, FALSE),"")</f>
        <v>426.12988999999999</v>
      </c>
      <c r="K732" s="45" t="str">
        <f>IFERROR(VLOOKUP(B732,'Pre-Summary'!$DE$6:$DG$61,3,FALSE),"")</f>
        <v/>
      </c>
      <c r="L732" s="45" t="str">
        <f>IFERROR(VLOOKUP(B732,'Pre-Summary'!$CU$6:$CW$36,3,FALSE),"")</f>
        <v/>
      </c>
      <c r="M732" s="45" t="str">
        <f>IFERROR(VLOOKUP(B732,'Pre-Summary'!$BW$6:$BY$58,2,FALSE),"")</f>
        <v/>
      </c>
      <c r="N732" s="45" t="str">
        <f>IFERROR(VLOOKUP(B732,'Pre-Summary'!$CD$6:$CF$64,2,FALSE),"")</f>
        <v/>
      </c>
      <c r="O732" s="99">
        <f>IFERROR(VLOOKUP(B732,'Pre-Summary'!$BO$6:$BQ$48,3, FALSE),O731)</f>
        <v>1.3</v>
      </c>
      <c r="P732" s="99">
        <f>IFERROR(VLOOKUP(B732,'Pre-Summary'!$BS$6:$BU$35,3,FALSE),P731)</f>
        <v>0.34399999999999997</v>
      </c>
      <c r="Q732" s="54">
        <f t="shared" si="33"/>
        <v>3.779069767441861</v>
      </c>
      <c r="R732" s="53">
        <f>IFERROR(VLOOKUP(B732,'Pre-Summary'!$BG$6:$BM$44,7,FALSE),R733)</f>
        <v>7.5915763918363535E-2</v>
      </c>
      <c r="S732" s="53">
        <f>IFERROR(VLOOKUP(B732,'Pre-Summary'!$BG$6:$BM$44,6,FALSE),S733)</f>
        <v>5.2897473997019086E-2</v>
      </c>
      <c r="T732" s="45" t="str">
        <f>IFERROR(VLOOKUP(B732,'Pre-Summary'!$Y$6:$AC$83, 3,FALSE),"")</f>
        <v/>
      </c>
      <c r="U732" s="45" t="str">
        <f>IFERROR(VLOOKUP(B732,'Pre-Summary'!$Y$6:$AC$83, 4,FALSE),"")</f>
        <v/>
      </c>
      <c r="V732" t="str">
        <f>IFERROR(VLOOKUP(B732,'Pre-Summary'!$Y$6:$AC$83, 5,FALSE),"")</f>
        <v/>
      </c>
      <c r="W732" s="45" t="str">
        <f>IFERROR(VLOOKUP(B732,'Pre-Summary'!$Y$6:$AD$83,6,FALSE),"")</f>
        <v/>
      </c>
      <c r="X732" t="str">
        <f>IFERROR(VLOOKUP('Pre-Summary'!$DB$6:$DD$63,3,FALSE),"")</f>
        <v/>
      </c>
      <c r="Y732" t="str">
        <f>IFERROR(VLOOKUP(B732,'Pre-Summary'!$CR$6:$CT$36,3,FALSE),"")</f>
        <v/>
      </c>
      <c r="Z732" s="45" t="str">
        <f>IFERROR(VLOOKUP(B732,'Pre-Summary'!$BZ$6:$CB$63,2,FALSE),"")</f>
        <v/>
      </c>
      <c r="AA732" s="45" t="str">
        <f>IFERROR(VLOOKUP(B732,'Pre-Summary'!$CG$6:$CI$70,2,FALSE),"")</f>
        <v/>
      </c>
      <c r="AB732" s="99">
        <f>IFERROR(VLOOKUP(B732,'Pre-Summary'!$A$6:$P$178,9,FALSE),AB733)</f>
        <v>0.55977731958672339</v>
      </c>
      <c r="AC732" s="10">
        <f>IFERROR(VLOOKUP(Summary!B732,'Pre-Summary'!$A$6:$P$184,5, FALSE)/100,AC733)</f>
        <v>0.73175400000000013</v>
      </c>
      <c r="AD732" s="10">
        <f>IFERROR(VLOOKUP(Summary!B732,'Pre-Summary'!$A$6:$P$184,3, FALSE)/100,AD733)</f>
        <v>8.5874333333333316E-2</v>
      </c>
      <c r="AE732" s="10">
        <f>IFERROR(VLOOKUP(Summary!B732,'Pre-Summary'!$A$6:$P$184,7, FALSE)/100,AE733)</f>
        <v>0.18237166666666668</v>
      </c>
      <c r="AF732" s="99">
        <f t="shared" si="34"/>
        <v>4.807050413463014E-2</v>
      </c>
      <c r="AG732" s="99">
        <f t="shared" si="35"/>
        <v>0.10208752273523006</v>
      </c>
      <c r="AH732" s="10" t="str">
        <f>IFERROR(VLOOKUP(B732,'Pre-Summary'!$AZ$6:$BE$65,3,FALSE),"")</f>
        <v/>
      </c>
      <c r="AI732" s="10" t="str">
        <f>IFERROR(VLOOKUP(B732,'Pre-Summary'!$AZ$6:$BE$65,5,FALSE),"")</f>
        <v/>
      </c>
      <c r="AJ732" s="10" t="str">
        <f>IFERROR(VLOOKUP(B732,'Pre-Summary'!$AZ$6:$BE$65,4,FALSE),"")</f>
        <v/>
      </c>
      <c r="AK732" s="10" t="str">
        <f>IFERROR(VLOOKUP(B732,'Pre-Summary'!$AZ$6:$BE$65,6,FALSE),"")</f>
        <v/>
      </c>
      <c r="AL732" s="10" t="str">
        <f>IFERROR(VLOOKUP(B732,'Pre-Summary'!$BG$6:$BL$44,3,FALSE),"")</f>
        <v/>
      </c>
      <c r="AM732" s="10" t="str">
        <f>IFERROR(VLOOKUP(B732,'Pre-Summary'!$BG$6:$BL$44,4,FALSE),"")</f>
        <v/>
      </c>
    </row>
    <row r="733" spans="2:39" ht="15" customHeight="1" x14ac:dyDescent="0.3">
      <c r="B733">
        <v>73</v>
      </c>
      <c r="C733" t="str">
        <f>IFERROR(VLOOKUP(B733,'Pre-Summary'!$DI$6:$DM$23,4,FALSE),"")</f>
        <v/>
      </c>
      <c r="D733" s="10" t="str">
        <f>IFERROR(VLOOKUP(B733,'Pre-Summary'!$AT$6:$AX$14,5,FALSE),D732)</f>
        <v>DSMZ v2: Dropped Na-Ac out of DSMZ 120 media</v>
      </c>
      <c r="E733" s="10" t="str">
        <f>IFERROR(VLOOKUP(B733,'Pre-Summary'!$AT$6:$AX$15,4,FALSE),"")</f>
        <v/>
      </c>
      <c r="F733">
        <f>IFERROR(VLOOKUP(B733,'Pre-Summary'!$AL$6:$AQ$13,6,FALSE),F732)</f>
        <v>5.9405263157894746E-2</v>
      </c>
      <c r="G733" t="str">
        <f>IFERROR(VLOOKUP(B733,'Pre-Summary'!$AE$6:$AJ$85,3,FALSE),"")</f>
        <v/>
      </c>
      <c r="H733" t="str">
        <f>IFERROR(VLOOKUP(B733,'Pre-Summary'!$AE$6:$AJ$85,4,FALSE),"")</f>
        <v/>
      </c>
      <c r="I733" t="str">
        <f>IFERROR(VLOOKUP(B733,'Pre-Summary'!$AE$6:$AJ$85,5,FALSE),"")</f>
        <v/>
      </c>
      <c r="J733" s="45" t="str">
        <f>IFERROR(VLOOKUP(B733,'Pre-Summary'!$AE$6:$AJ$85,6, FALSE),"")</f>
        <v/>
      </c>
      <c r="K733" s="45" t="str">
        <f>IFERROR(VLOOKUP(B733,'Pre-Summary'!$DE$6:$DG$61,3,FALSE),"")</f>
        <v/>
      </c>
      <c r="L733" s="45" t="str">
        <f>IFERROR(VLOOKUP(B733,'Pre-Summary'!$CU$6:$CW$36,3,FALSE),"")</f>
        <v/>
      </c>
      <c r="M733" s="45" t="str">
        <f>IFERROR(VLOOKUP(B733,'Pre-Summary'!$BW$6:$BY$58,2,FALSE),"")</f>
        <v/>
      </c>
      <c r="N733" s="45" t="str">
        <f>IFERROR(VLOOKUP(B733,'Pre-Summary'!$CD$6:$CF$64,2,FALSE),"")</f>
        <v/>
      </c>
      <c r="O733" s="99">
        <f>IFERROR(VLOOKUP(B733,'Pre-Summary'!$BO$6:$BQ$48,3, FALSE),O732)</f>
        <v>1.3</v>
      </c>
      <c r="P733" s="99">
        <f>IFERROR(VLOOKUP(B733,'Pre-Summary'!$BS$6:$BU$35,3,FALSE),P732)</f>
        <v>0.34399999999999997</v>
      </c>
      <c r="Q733" s="54">
        <f t="shared" si="33"/>
        <v>3.779069767441861</v>
      </c>
      <c r="R733" s="53">
        <f>IFERROR(VLOOKUP(B733,'Pre-Summary'!$BG$6:$BM$44,7,FALSE),R734)</f>
        <v>7.5915763918363535E-2</v>
      </c>
      <c r="S733" s="53">
        <f>IFERROR(VLOOKUP(B733,'Pre-Summary'!$BG$6:$BM$44,6,FALSE),S734)</f>
        <v>5.2897473997019086E-2</v>
      </c>
      <c r="T733" s="45" t="str">
        <f>IFERROR(VLOOKUP(B733,'Pre-Summary'!$Y$6:$AC$83, 3,FALSE),"")</f>
        <v/>
      </c>
      <c r="U733" s="45" t="str">
        <f>IFERROR(VLOOKUP(B733,'Pre-Summary'!$Y$6:$AC$83, 4,FALSE),"")</f>
        <v/>
      </c>
      <c r="V733" t="str">
        <f>IFERROR(VLOOKUP(B733,'Pre-Summary'!$Y$6:$AC$83, 5,FALSE),"")</f>
        <v/>
      </c>
      <c r="W733" s="45" t="str">
        <f>IFERROR(VLOOKUP(B733,'Pre-Summary'!$Y$6:$AD$83,6,FALSE),"")</f>
        <v/>
      </c>
      <c r="X733" t="str">
        <f>IFERROR(VLOOKUP('Pre-Summary'!$DB$6:$DD$63,3,FALSE),"")</f>
        <v/>
      </c>
      <c r="Y733" t="str">
        <f>IFERROR(VLOOKUP(B733,'Pre-Summary'!$CR$6:$CT$36,3,FALSE),"")</f>
        <v/>
      </c>
      <c r="Z733" s="45" t="str">
        <f>IFERROR(VLOOKUP(B733,'Pre-Summary'!$BZ$6:$CB$63,2,FALSE),"")</f>
        <v/>
      </c>
      <c r="AA733" s="45" t="str">
        <f>IFERROR(VLOOKUP(B733,'Pre-Summary'!$CG$6:$CI$70,2,FALSE),"")</f>
        <v/>
      </c>
      <c r="AB733" s="99">
        <f>IFERROR(VLOOKUP(B733,'Pre-Summary'!$A$6:$P$178,9,FALSE),AB734)</f>
        <v>0.55977731958672339</v>
      </c>
      <c r="AC733" s="10">
        <f>IFERROR(VLOOKUP(Summary!B733,'Pre-Summary'!$A$6:$P$184,5, FALSE)/100,AC734)</f>
        <v>0.73175400000000013</v>
      </c>
      <c r="AD733" s="10">
        <f>IFERROR(VLOOKUP(Summary!B733,'Pre-Summary'!$A$6:$P$184,3, FALSE)/100,AD734)</f>
        <v>8.5874333333333316E-2</v>
      </c>
      <c r="AE733" s="10">
        <f>IFERROR(VLOOKUP(Summary!B733,'Pre-Summary'!$A$6:$P$184,7, FALSE)/100,AE734)</f>
        <v>0.18237166666666668</v>
      </c>
      <c r="AF733" s="99">
        <f t="shared" si="34"/>
        <v>4.807050413463014E-2</v>
      </c>
      <c r="AG733" s="99">
        <f t="shared" si="35"/>
        <v>0.10208752273523006</v>
      </c>
      <c r="AH733" s="10" t="str">
        <f>IFERROR(VLOOKUP(B733,'Pre-Summary'!$AZ$6:$BE$65,3,FALSE),"")</f>
        <v/>
      </c>
      <c r="AI733" s="10" t="str">
        <f>IFERROR(VLOOKUP(B733,'Pre-Summary'!$AZ$6:$BE$65,5,FALSE),"")</f>
        <v/>
      </c>
      <c r="AJ733" s="10" t="str">
        <f>IFERROR(VLOOKUP(B733,'Pre-Summary'!$AZ$6:$BE$65,4,FALSE),"")</f>
        <v/>
      </c>
      <c r="AK733" s="10" t="str">
        <f>IFERROR(VLOOKUP(B733,'Pre-Summary'!$AZ$6:$BE$65,6,FALSE),"")</f>
        <v/>
      </c>
      <c r="AL733" s="10" t="str">
        <f>IFERROR(VLOOKUP(B733,'Pre-Summary'!$BG$6:$BL$44,3,FALSE),"")</f>
        <v/>
      </c>
      <c r="AM733" s="10" t="str">
        <f>IFERROR(VLOOKUP(B733,'Pre-Summary'!$BG$6:$BL$44,4,FALSE),"")</f>
        <v/>
      </c>
    </row>
    <row r="734" spans="2:39" ht="15" customHeight="1" x14ac:dyDescent="0.3">
      <c r="B734">
        <v>73.099999999999994</v>
      </c>
      <c r="C734" t="str">
        <f>IFERROR(VLOOKUP(B734,'Pre-Summary'!$DI$6:$DM$23,4,FALSE),"")</f>
        <v/>
      </c>
      <c r="D734" s="10" t="str">
        <f>IFERROR(VLOOKUP(B734,'Pre-Summary'!$AT$6:$AX$14,5,FALSE),D733)</f>
        <v>DSMZ v2: Dropped Na-Ac out of DSMZ 120 media</v>
      </c>
      <c r="E734" s="10" t="str">
        <f>IFERROR(VLOOKUP(B734,'Pre-Summary'!$AT$6:$AX$15,4,FALSE),"")</f>
        <v/>
      </c>
      <c r="F734">
        <f>IFERROR(VLOOKUP(B734,'Pre-Summary'!$AL$6:$AQ$13,6,FALSE),F733)</f>
        <v>5.9405263157894746E-2</v>
      </c>
      <c r="G734" t="str">
        <f>IFERROR(VLOOKUP(B734,'Pre-Summary'!$AE$6:$AJ$85,3,FALSE),"")</f>
        <v/>
      </c>
      <c r="H734" t="str">
        <f>IFERROR(VLOOKUP(B734,'Pre-Summary'!$AE$6:$AJ$85,4,FALSE),"")</f>
        <v/>
      </c>
      <c r="I734" t="str">
        <f>IFERROR(VLOOKUP(B734,'Pre-Summary'!$AE$6:$AJ$85,5,FALSE),"")</f>
        <v/>
      </c>
      <c r="J734" s="45" t="str">
        <f>IFERROR(VLOOKUP(B734,'Pre-Summary'!$AE$6:$AJ$85,6, FALSE),"")</f>
        <v/>
      </c>
      <c r="K734" s="45" t="str">
        <f>IFERROR(VLOOKUP(B734,'Pre-Summary'!$DE$6:$DG$61,3,FALSE),"")</f>
        <v/>
      </c>
      <c r="L734" s="45" t="str">
        <f>IFERROR(VLOOKUP(B734,'Pre-Summary'!$CU$6:$CW$36,3,FALSE),"")</f>
        <v/>
      </c>
      <c r="M734" s="45" t="str">
        <f>IFERROR(VLOOKUP(B734,'Pre-Summary'!$BW$6:$BY$58,2,FALSE),"")</f>
        <v/>
      </c>
      <c r="N734" s="45" t="str">
        <f>IFERROR(VLOOKUP(B734,'Pre-Summary'!$CD$6:$CF$64,2,FALSE),"")</f>
        <v/>
      </c>
      <c r="O734" s="99">
        <f>IFERROR(VLOOKUP(B734,'Pre-Summary'!$BO$6:$BQ$48,3, FALSE),O733)</f>
        <v>1.3</v>
      </c>
      <c r="P734" s="99">
        <f>IFERROR(VLOOKUP(B734,'Pre-Summary'!$BS$6:$BU$35,3,FALSE),P733)</f>
        <v>0.34399999999999997</v>
      </c>
      <c r="Q734" s="54">
        <f t="shared" si="33"/>
        <v>3.779069767441861</v>
      </c>
      <c r="R734" s="53">
        <f>IFERROR(VLOOKUP(B734,'Pre-Summary'!$BG$6:$BM$44,7,FALSE),R735)</f>
        <v>7.5915763918363535E-2</v>
      </c>
      <c r="S734" s="53">
        <f>IFERROR(VLOOKUP(B734,'Pre-Summary'!$BG$6:$BM$44,6,FALSE),S735)</f>
        <v>5.2897473997019086E-2</v>
      </c>
      <c r="T734" s="45" t="str">
        <f>IFERROR(VLOOKUP(B734,'Pre-Summary'!$Y$6:$AC$83, 3,FALSE),"")</f>
        <v/>
      </c>
      <c r="U734" s="45" t="str">
        <f>IFERROR(VLOOKUP(B734,'Pre-Summary'!$Y$6:$AC$83, 4,FALSE),"")</f>
        <v/>
      </c>
      <c r="V734" t="str">
        <f>IFERROR(VLOOKUP(B734,'Pre-Summary'!$Y$6:$AC$83, 5,FALSE),"")</f>
        <v/>
      </c>
      <c r="W734" s="45" t="str">
        <f>IFERROR(VLOOKUP(B734,'Pre-Summary'!$Y$6:$AD$83,6,FALSE),"")</f>
        <v/>
      </c>
      <c r="X734" t="str">
        <f>IFERROR(VLOOKUP('Pre-Summary'!$DB$6:$DD$63,3,FALSE),"")</f>
        <v/>
      </c>
      <c r="Y734" t="str">
        <f>IFERROR(VLOOKUP(B734,'Pre-Summary'!$CR$6:$CT$36,3,FALSE),"")</f>
        <v/>
      </c>
      <c r="Z734" s="45" t="str">
        <f>IFERROR(VLOOKUP(B734,'Pre-Summary'!$BZ$6:$CB$63,2,FALSE),"")</f>
        <v/>
      </c>
      <c r="AA734" s="45" t="str">
        <f>IFERROR(VLOOKUP(B734,'Pre-Summary'!$CG$6:$CI$70,2,FALSE),"")</f>
        <v/>
      </c>
      <c r="AB734" s="99">
        <f>IFERROR(VLOOKUP(B734,'Pre-Summary'!$A$6:$P$178,9,FALSE),AB735)</f>
        <v>0.55977731958672339</v>
      </c>
      <c r="AC734" s="10">
        <f>IFERROR(VLOOKUP(Summary!B734,'Pre-Summary'!$A$6:$P$184,5, FALSE)/100,AC735)</f>
        <v>0.73175400000000013</v>
      </c>
      <c r="AD734" s="10">
        <f>IFERROR(VLOOKUP(Summary!B734,'Pre-Summary'!$A$6:$P$184,3, FALSE)/100,AD735)</f>
        <v>8.5874333333333316E-2</v>
      </c>
      <c r="AE734" s="10">
        <f>IFERROR(VLOOKUP(Summary!B734,'Pre-Summary'!$A$6:$P$184,7, FALSE)/100,AE735)</f>
        <v>0.18237166666666668</v>
      </c>
      <c r="AF734" s="99">
        <f t="shared" si="34"/>
        <v>4.807050413463014E-2</v>
      </c>
      <c r="AG734" s="99">
        <f t="shared" si="35"/>
        <v>0.10208752273523006</v>
      </c>
      <c r="AH734" s="10" t="str">
        <f>IFERROR(VLOOKUP(B734,'Pre-Summary'!$AZ$6:$BE$65,3,FALSE),"")</f>
        <v/>
      </c>
      <c r="AI734" s="10" t="str">
        <f>IFERROR(VLOOKUP(B734,'Pre-Summary'!$AZ$6:$BE$65,5,FALSE),"")</f>
        <v/>
      </c>
      <c r="AJ734" s="10" t="str">
        <f>IFERROR(VLOOKUP(B734,'Pre-Summary'!$AZ$6:$BE$65,4,FALSE),"")</f>
        <v/>
      </c>
      <c r="AK734" s="10" t="str">
        <f>IFERROR(VLOOKUP(B734,'Pre-Summary'!$AZ$6:$BE$65,6,FALSE),"")</f>
        <v/>
      </c>
      <c r="AL734" s="10" t="str">
        <f>IFERROR(VLOOKUP(B734,'Pre-Summary'!$BG$6:$BL$44,3,FALSE),"")</f>
        <v/>
      </c>
      <c r="AM734" s="10" t="str">
        <f>IFERROR(VLOOKUP(B734,'Pre-Summary'!$BG$6:$BL$44,4,FALSE),"")</f>
        <v/>
      </c>
    </row>
    <row r="735" spans="2:39" ht="15" customHeight="1" x14ac:dyDescent="0.3">
      <c r="B735">
        <v>73.2</v>
      </c>
      <c r="C735" t="str">
        <f>IFERROR(VLOOKUP(B735,'Pre-Summary'!$DI$6:$DM$23,4,FALSE),"")</f>
        <v/>
      </c>
      <c r="D735" s="10" t="str">
        <f>IFERROR(VLOOKUP(B735,'Pre-Summary'!$AT$6:$AX$14,5,FALSE),D734)</f>
        <v>DSMZ v2: Dropped Na-Ac out of DSMZ 120 media</v>
      </c>
      <c r="E735" s="10" t="str">
        <f>IFERROR(VLOOKUP(B735,'Pre-Summary'!$AT$6:$AX$15,4,FALSE),"")</f>
        <v/>
      </c>
      <c r="F735">
        <f>IFERROR(VLOOKUP(B735,'Pre-Summary'!$AL$6:$AQ$13,6,FALSE),F734)</f>
        <v>5.9405263157894746E-2</v>
      </c>
      <c r="G735" t="str">
        <f>IFERROR(VLOOKUP(B735,'Pre-Summary'!$AE$6:$AJ$85,3,FALSE),"")</f>
        <v/>
      </c>
      <c r="H735" t="str">
        <f>IFERROR(VLOOKUP(B735,'Pre-Summary'!$AE$6:$AJ$85,4,FALSE),"")</f>
        <v/>
      </c>
      <c r="I735" t="str">
        <f>IFERROR(VLOOKUP(B735,'Pre-Summary'!$AE$6:$AJ$85,5,FALSE),"")</f>
        <v/>
      </c>
      <c r="J735" s="45" t="str">
        <f>IFERROR(VLOOKUP(B735,'Pre-Summary'!$AE$6:$AJ$85,6, FALSE),"")</f>
        <v/>
      </c>
      <c r="K735" s="45" t="str">
        <f>IFERROR(VLOOKUP(B735,'Pre-Summary'!$DE$6:$DG$61,3,FALSE),"")</f>
        <v/>
      </c>
      <c r="L735" s="45" t="str">
        <f>IFERROR(VLOOKUP(B735,'Pre-Summary'!$CU$6:$CW$36,3,FALSE),"")</f>
        <v/>
      </c>
      <c r="M735" s="45" t="str">
        <f>IFERROR(VLOOKUP(B735,'Pre-Summary'!$BW$6:$BY$58,2,FALSE),"")</f>
        <v/>
      </c>
      <c r="N735" s="45" t="str">
        <f>IFERROR(VLOOKUP(B735,'Pre-Summary'!$CD$6:$CF$64,2,FALSE),"")</f>
        <v/>
      </c>
      <c r="O735" s="99">
        <f>IFERROR(VLOOKUP(B735,'Pre-Summary'!$BO$6:$BQ$48,3, FALSE),O734)</f>
        <v>1.3</v>
      </c>
      <c r="P735" s="99">
        <f>IFERROR(VLOOKUP(B735,'Pre-Summary'!$BS$6:$BU$35,3,FALSE),P734)</f>
        <v>0.34399999999999997</v>
      </c>
      <c r="Q735" s="54">
        <f t="shared" si="33"/>
        <v>3.779069767441861</v>
      </c>
      <c r="R735" s="53">
        <f>IFERROR(VLOOKUP(B735,'Pre-Summary'!$BG$6:$BM$44,7,FALSE),R736)</f>
        <v>7.5915763918363535E-2</v>
      </c>
      <c r="S735" s="53">
        <f>IFERROR(VLOOKUP(B735,'Pre-Summary'!$BG$6:$BM$44,6,FALSE),S736)</f>
        <v>5.2897473997019086E-2</v>
      </c>
      <c r="T735" s="45" t="str">
        <f>IFERROR(VLOOKUP(B735,'Pre-Summary'!$Y$6:$AC$83, 3,FALSE),"")</f>
        <v/>
      </c>
      <c r="U735" s="45" t="str">
        <f>IFERROR(VLOOKUP(B735,'Pre-Summary'!$Y$6:$AC$83, 4,FALSE),"")</f>
        <v/>
      </c>
      <c r="V735" t="str">
        <f>IFERROR(VLOOKUP(B735,'Pre-Summary'!$Y$6:$AC$83, 5,FALSE),"")</f>
        <v/>
      </c>
      <c r="W735" s="45" t="str">
        <f>IFERROR(VLOOKUP(B735,'Pre-Summary'!$Y$6:$AD$83,6,FALSE),"")</f>
        <v/>
      </c>
      <c r="X735" t="str">
        <f>IFERROR(VLOOKUP('Pre-Summary'!$DB$6:$DD$63,3,FALSE),"")</f>
        <v/>
      </c>
      <c r="Y735" t="str">
        <f>IFERROR(VLOOKUP(B735,'Pre-Summary'!$CR$6:$CT$36,3,FALSE),"")</f>
        <v/>
      </c>
      <c r="Z735" s="45" t="str">
        <f>IFERROR(VLOOKUP(B735,'Pre-Summary'!$BZ$6:$CB$63,2,FALSE),"")</f>
        <v/>
      </c>
      <c r="AA735" s="45" t="str">
        <f>IFERROR(VLOOKUP(B735,'Pre-Summary'!$CG$6:$CI$70,2,FALSE),"")</f>
        <v/>
      </c>
      <c r="AB735" s="99">
        <f>IFERROR(VLOOKUP(B735,'Pre-Summary'!$A$6:$P$178,9,FALSE),AB736)</f>
        <v>0.55977731958672339</v>
      </c>
      <c r="AC735" s="10">
        <f>IFERROR(VLOOKUP(Summary!B735,'Pre-Summary'!$A$6:$P$184,5, FALSE)/100,AC736)</f>
        <v>0.73175400000000013</v>
      </c>
      <c r="AD735" s="10">
        <f>IFERROR(VLOOKUP(Summary!B735,'Pre-Summary'!$A$6:$P$184,3, FALSE)/100,AD736)</f>
        <v>8.5874333333333316E-2</v>
      </c>
      <c r="AE735" s="10">
        <f>IFERROR(VLOOKUP(Summary!B735,'Pre-Summary'!$A$6:$P$184,7, FALSE)/100,AE736)</f>
        <v>0.18237166666666668</v>
      </c>
      <c r="AF735" s="99">
        <f t="shared" si="34"/>
        <v>4.807050413463014E-2</v>
      </c>
      <c r="AG735" s="99">
        <f t="shared" si="35"/>
        <v>0.10208752273523006</v>
      </c>
      <c r="AH735" s="10" t="str">
        <f>IFERROR(VLOOKUP(B735,'Pre-Summary'!$AZ$6:$BE$65,3,FALSE),"")</f>
        <v/>
      </c>
      <c r="AI735" s="10" t="str">
        <f>IFERROR(VLOOKUP(B735,'Pre-Summary'!$AZ$6:$BE$65,5,FALSE),"")</f>
        <v/>
      </c>
      <c r="AJ735" s="10" t="str">
        <f>IFERROR(VLOOKUP(B735,'Pre-Summary'!$AZ$6:$BE$65,4,FALSE),"")</f>
        <v/>
      </c>
      <c r="AK735" s="10" t="str">
        <f>IFERROR(VLOOKUP(B735,'Pre-Summary'!$AZ$6:$BE$65,6,FALSE),"")</f>
        <v/>
      </c>
      <c r="AL735" s="10" t="str">
        <f>IFERROR(VLOOKUP(B735,'Pre-Summary'!$BG$6:$BL$44,3,FALSE),"")</f>
        <v/>
      </c>
      <c r="AM735" s="10" t="str">
        <f>IFERROR(VLOOKUP(B735,'Pre-Summary'!$BG$6:$BL$44,4,FALSE),"")</f>
        <v/>
      </c>
    </row>
    <row r="736" spans="2:39" ht="15" customHeight="1" x14ac:dyDescent="0.3">
      <c r="B736">
        <v>73.3</v>
      </c>
      <c r="C736" t="str">
        <f>IFERROR(VLOOKUP(B736,'Pre-Summary'!$DI$6:$DM$23,4,FALSE),"")</f>
        <v/>
      </c>
      <c r="D736" s="10" t="str">
        <f>IFERROR(VLOOKUP(B736,'Pre-Summary'!$AT$6:$AX$14,5,FALSE),D735)</f>
        <v>DSMZ v2: Dropped Na-Ac out of DSMZ 120 media</v>
      </c>
      <c r="E736" s="10" t="str">
        <f>IFERROR(VLOOKUP(B736,'Pre-Summary'!$AT$6:$AX$15,4,FALSE),"")</f>
        <v/>
      </c>
      <c r="F736">
        <f>IFERROR(VLOOKUP(B736,'Pre-Summary'!$AL$6:$AQ$13,6,FALSE),F735)</f>
        <v>5.9405263157894746E-2</v>
      </c>
      <c r="G736" t="str">
        <f>IFERROR(VLOOKUP(B736,'Pre-Summary'!$AE$6:$AJ$85,3,FALSE),"")</f>
        <v/>
      </c>
      <c r="H736" t="str">
        <f>IFERROR(VLOOKUP(B736,'Pre-Summary'!$AE$6:$AJ$85,4,FALSE),"")</f>
        <v/>
      </c>
      <c r="I736" t="str">
        <f>IFERROR(VLOOKUP(B736,'Pre-Summary'!$AE$6:$AJ$85,5,FALSE),"")</f>
        <v/>
      </c>
      <c r="J736" s="45" t="str">
        <f>IFERROR(VLOOKUP(B736,'Pre-Summary'!$AE$6:$AJ$85,6, FALSE),"")</f>
        <v/>
      </c>
      <c r="K736" s="45" t="str">
        <f>IFERROR(VLOOKUP(B736,'Pre-Summary'!$DE$6:$DG$61,3,FALSE),"")</f>
        <v/>
      </c>
      <c r="L736" s="45" t="str">
        <f>IFERROR(VLOOKUP(B736,'Pre-Summary'!$CU$6:$CW$36,3,FALSE),"")</f>
        <v/>
      </c>
      <c r="M736" s="45" t="str">
        <f>IFERROR(VLOOKUP(B736,'Pre-Summary'!$BW$6:$BY$58,2,FALSE),"")</f>
        <v/>
      </c>
      <c r="N736" s="45" t="str">
        <f>IFERROR(VLOOKUP(B736,'Pre-Summary'!$CD$6:$CF$64,2,FALSE),"")</f>
        <v/>
      </c>
      <c r="O736" s="99">
        <f>IFERROR(VLOOKUP(B736,'Pre-Summary'!$BO$6:$BQ$48,3, FALSE),O735)</f>
        <v>1.3</v>
      </c>
      <c r="P736" s="99">
        <f>IFERROR(VLOOKUP(B736,'Pre-Summary'!$BS$6:$BU$35,3,FALSE),P735)</f>
        <v>0.34399999999999997</v>
      </c>
      <c r="Q736" s="54">
        <f t="shared" si="33"/>
        <v>3.779069767441861</v>
      </c>
      <c r="R736" s="53">
        <f>IFERROR(VLOOKUP(B736,'Pre-Summary'!$BG$6:$BM$44,7,FALSE),R737)</f>
        <v>7.5915763918363535E-2</v>
      </c>
      <c r="S736" s="53">
        <f>IFERROR(VLOOKUP(B736,'Pre-Summary'!$BG$6:$BM$44,6,FALSE),S737)</f>
        <v>5.2897473997019086E-2</v>
      </c>
      <c r="T736" s="45" t="str">
        <f>IFERROR(VLOOKUP(B736,'Pre-Summary'!$Y$6:$AC$83, 3,FALSE),"")</f>
        <v/>
      </c>
      <c r="U736" s="45" t="str">
        <f>IFERROR(VLOOKUP(B736,'Pre-Summary'!$Y$6:$AC$83, 4,FALSE),"")</f>
        <v/>
      </c>
      <c r="V736" t="str">
        <f>IFERROR(VLOOKUP(B736,'Pre-Summary'!$Y$6:$AC$83, 5,FALSE),"")</f>
        <v/>
      </c>
      <c r="W736" s="45" t="str">
        <f>IFERROR(VLOOKUP(B736,'Pre-Summary'!$Y$6:$AD$83,6,FALSE),"")</f>
        <v/>
      </c>
      <c r="X736" t="str">
        <f>IFERROR(VLOOKUP('Pre-Summary'!$DB$6:$DD$63,3,FALSE),"")</f>
        <v/>
      </c>
      <c r="Y736" t="str">
        <f>IFERROR(VLOOKUP(B736,'Pre-Summary'!$CR$6:$CT$36,3,FALSE),"")</f>
        <v/>
      </c>
      <c r="Z736" s="45" t="str">
        <f>IFERROR(VLOOKUP(B736,'Pre-Summary'!$BZ$6:$CB$63,2,FALSE),"")</f>
        <v/>
      </c>
      <c r="AA736" s="45" t="str">
        <f>IFERROR(VLOOKUP(B736,'Pre-Summary'!$CG$6:$CI$70,2,FALSE),"")</f>
        <v/>
      </c>
      <c r="AB736" s="99">
        <f>IFERROR(VLOOKUP(B736,'Pre-Summary'!$A$6:$P$178,9,FALSE),AB737)</f>
        <v>0.55977731958672339</v>
      </c>
      <c r="AC736" s="10">
        <f>IFERROR(VLOOKUP(Summary!B736,'Pre-Summary'!$A$6:$P$184,5, FALSE)/100,AC737)</f>
        <v>0.73175400000000013</v>
      </c>
      <c r="AD736" s="10">
        <f>IFERROR(VLOOKUP(Summary!B736,'Pre-Summary'!$A$6:$P$184,3, FALSE)/100,AD737)</f>
        <v>8.5874333333333316E-2</v>
      </c>
      <c r="AE736" s="10">
        <f>IFERROR(VLOOKUP(Summary!B736,'Pre-Summary'!$A$6:$P$184,7, FALSE)/100,AE737)</f>
        <v>0.18237166666666668</v>
      </c>
      <c r="AF736" s="99">
        <f t="shared" si="34"/>
        <v>4.807050413463014E-2</v>
      </c>
      <c r="AG736" s="99">
        <f t="shared" si="35"/>
        <v>0.10208752273523006</v>
      </c>
      <c r="AH736" s="10" t="str">
        <f>IFERROR(VLOOKUP(B736,'Pre-Summary'!$AZ$6:$BE$65,3,FALSE),"")</f>
        <v/>
      </c>
      <c r="AI736" s="10" t="str">
        <f>IFERROR(VLOOKUP(B736,'Pre-Summary'!$AZ$6:$BE$65,5,FALSE),"")</f>
        <v/>
      </c>
      <c r="AJ736" s="10" t="str">
        <f>IFERROR(VLOOKUP(B736,'Pre-Summary'!$AZ$6:$BE$65,4,FALSE),"")</f>
        <v/>
      </c>
      <c r="AK736" s="10" t="str">
        <f>IFERROR(VLOOKUP(B736,'Pre-Summary'!$AZ$6:$BE$65,6,FALSE),"")</f>
        <v/>
      </c>
      <c r="AL736" s="10" t="str">
        <f>IFERROR(VLOOKUP(B736,'Pre-Summary'!$BG$6:$BL$44,3,FALSE),"")</f>
        <v/>
      </c>
      <c r="AM736" s="10" t="str">
        <f>IFERROR(VLOOKUP(B736,'Pre-Summary'!$BG$6:$BL$44,4,FALSE),"")</f>
        <v/>
      </c>
    </row>
    <row r="737" spans="2:39" ht="15" customHeight="1" x14ac:dyDescent="0.3">
      <c r="B737">
        <v>73.400000000000006</v>
      </c>
      <c r="C737" t="str">
        <f>IFERROR(VLOOKUP(B737,'Pre-Summary'!$DI$6:$DM$23,4,FALSE),"")</f>
        <v/>
      </c>
      <c r="D737" s="10" t="str">
        <f>IFERROR(VLOOKUP(B737,'Pre-Summary'!$AT$6:$AX$14,5,FALSE),D736)</f>
        <v>DSMZ v2: Dropped Na-Ac out of DSMZ 120 media</v>
      </c>
      <c r="E737" s="10" t="str">
        <f>IFERROR(VLOOKUP(B737,'Pre-Summary'!$AT$6:$AX$15,4,FALSE),"")</f>
        <v/>
      </c>
      <c r="F737">
        <f>IFERROR(VLOOKUP(B737,'Pre-Summary'!$AL$6:$AQ$13,6,FALSE),F736)</f>
        <v>5.9405263157894746E-2</v>
      </c>
      <c r="G737" t="str">
        <f>IFERROR(VLOOKUP(B737,'Pre-Summary'!$AE$6:$AJ$85,3,FALSE),"")</f>
        <v/>
      </c>
      <c r="H737" t="str">
        <f>IFERROR(VLOOKUP(B737,'Pre-Summary'!$AE$6:$AJ$85,4,FALSE),"")</f>
        <v/>
      </c>
      <c r="I737" t="str">
        <f>IFERROR(VLOOKUP(B737,'Pre-Summary'!$AE$6:$AJ$85,5,FALSE),"")</f>
        <v/>
      </c>
      <c r="J737" s="45" t="str">
        <f>IFERROR(VLOOKUP(B737,'Pre-Summary'!$AE$6:$AJ$85,6, FALSE),"")</f>
        <v/>
      </c>
      <c r="K737" s="45" t="str">
        <f>IFERROR(VLOOKUP(B737,'Pre-Summary'!$DE$6:$DG$61,3,FALSE),"")</f>
        <v/>
      </c>
      <c r="L737" s="45" t="str">
        <f>IFERROR(VLOOKUP(B737,'Pre-Summary'!$CU$6:$CW$36,3,FALSE),"")</f>
        <v/>
      </c>
      <c r="M737" s="45" t="str">
        <f>IFERROR(VLOOKUP(B737,'Pre-Summary'!$BW$6:$BY$58,2,FALSE),"")</f>
        <v/>
      </c>
      <c r="N737" s="45" t="str">
        <f>IFERROR(VLOOKUP(B737,'Pre-Summary'!$CD$6:$CF$64,2,FALSE),"")</f>
        <v/>
      </c>
      <c r="O737" s="99">
        <f>IFERROR(VLOOKUP(B737,'Pre-Summary'!$BO$6:$BQ$48,3, FALSE),O736)</f>
        <v>1.3</v>
      </c>
      <c r="P737" s="99">
        <f>IFERROR(VLOOKUP(B737,'Pre-Summary'!$BS$6:$BU$35,3,FALSE),P736)</f>
        <v>0.34399999999999997</v>
      </c>
      <c r="Q737" s="54">
        <f t="shared" si="33"/>
        <v>3.779069767441861</v>
      </c>
      <c r="R737" s="53">
        <f>IFERROR(VLOOKUP(B737,'Pre-Summary'!$BG$6:$BM$44,7,FALSE),R738)</f>
        <v>7.5915763918363535E-2</v>
      </c>
      <c r="S737" s="53">
        <f>IFERROR(VLOOKUP(B737,'Pre-Summary'!$BG$6:$BM$44,6,FALSE),S738)</f>
        <v>5.2897473997019086E-2</v>
      </c>
      <c r="T737" s="45" t="str">
        <f>IFERROR(VLOOKUP(B737,'Pre-Summary'!$Y$6:$AC$83, 3,FALSE),"")</f>
        <v/>
      </c>
      <c r="U737" s="45" t="str">
        <f>IFERROR(VLOOKUP(B737,'Pre-Summary'!$Y$6:$AC$83, 4,FALSE),"")</f>
        <v/>
      </c>
      <c r="V737" t="str">
        <f>IFERROR(VLOOKUP(B737,'Pre-Summary'!$Y$6:$AC$83, 5,FALSE),"")</f>
        <v/>
      </c>
      <c r="W737" s="45" t="str">
        <f>IFERROR(VLOOKUP(B737,'Pre-Summary'!$Y$6:$AD$83,6,FALSE),"")</f>
        <v/>
      </c>
      <c r="X737" t="str">
        <f>IFERROR(VLOOKUP('Pre-Summary'!$DB$6:$DD$63,3,FALSE),"")</f>
        <v/>
      </c>
      <c r="Y737" t="str">
        <f>IFERROR(VLOOKUP(B737,'Pre-Summary'!$CR$6:$CT$36,3,FALSE),"")</f>
        <v/>
      </c>
      <c r="Z737" s="45" t="str">
        <f>IFERROR(VLOOKUP(B737,'Pre-Summary'!$BZ$6:$CB$63,2,FALSE),"")</f>
        <v/>
      </c>
      <c r="AA737" s="45" t="str">
        <f>IFERROR(VLOOKUP(B737,'Pre-Summary'!$CG$6:$CI$70,2,FALSE),"")</f>
        <v/>
      </c>
      <c r="AB737" s="99">
        <f>IFERROR(VLOOKUP(B737,'Pre-Summary'!$A$6:$P$178,9,FALSE),AB738)</f>
        <v>0.55977731958672339</v>
      </c>
      <c r="AC737" s="10">
        <f>IFERROR(VLOOKUP(Summary!B737,'Pre-Summary'!$A$6:$P$184,5, FALSE)/100,AC738)</f>
        <v>0.73175400000000013</v>
      </c>
      <c r="AD737" s="10">
        <f>IFERROR(VLOOKUP(Summary!B737,'Pre-Summary'!$A$6:$P$184,3, FALSE)/100,AD738)</f>
        <v>8.5874333333333316E-2</v>
      </c>
      <c r="AE737" s="10">
        <f>IFERROR(VLOOKUP(Summary!B737,'Pre-Summary'!$A$6:$P$184,7, FALSE)/100,AE738)</f>
        <v>0.18237166666666668</v>
      </c>
      <c r="AF737" s="99">
        <f t="shared" si="34"/>
        <v>4.807050413463014E-2</v>
      </c>
      <c r="AG737" s="99">
        <f t="shared" si="35"/>
        <v>0.10208752273523006</v>
      </c>
      <c r="AH737" s="10" t="str">
        <f>IFERROR(VLOOKUP(B737,'Pre-Summary'!$AZ$6:$BE$65,3,FALSE),"")</f>
        <v/>
      </c>
      <c r="AI737" s="10" t="str">
        <f>IFERROR(VLOOKUP(B737,'Pre-Summary'!$AZ$6:$BE$65,5,FALSE),"")</f>
        <v/>
      </c>
      <c r="AJ737" s="10" t="str">
        <f>IFERROR(VLOOKUP(B737,'Pre-Summary'!$AZ$6:$BE$65,4,FALSE),"")</f>
        <v/>
      </c>
      <c r="AK737" s="10" t="str">
        <f>IFERROR(VLOOKUP(B737,'Pre-Summary'!$AZ$6:$BE$65,6,FALSE),"")</f>
        <v/>
      </c>
      <c r="AL737" s="10" t="str">
        <f>IFERROR(VLOOKUP(B737,'Pre-Summary'!$BG$6:$BL$44,3,FALSE),"")</f>
        <v/>
      </c>
      <c r="AM737" s="10" t="str">
        <f>IFERROR(VLOOKUP(B737,'Pre-Summary'!$BG$6:$BL$44,4,FALSE),"")</f>
        <v/>
      </c>
    </row>
    <row r="738" spans="2:39" ht="15" customHeight="1" x14ac:dyDescent="0.3">
      <c r="B738">
        <v>73.5</v>
      </c>
      <c r="C738" t="str">
        <f>IFERROR(VLOOKUP(B738,'Pre-Summary'!$DI$6:$DM$23,4,FALSE),"")</f>
        <v/>
      </c>
      <c r="D738" s="10" t="str">
        <f>IFERROR(VLOOKUP(B738,'Pre-Summary'!$AT$6:$AX$14,5,FALSE),D737)</f>
        <v>DSMZ v2: Dropped Na-Ac out of DSMZ 120 media</v>
      </c>
      <c r="E738" s="10" t="str">
        <f>IFERROR(VLOOKUP(B738,'Pre-Summary'!$AT$6:$AX$15,4,FALSE),"")</f>
        <v/>
      </c>
      <c r="F738">
        <f>IFERROR(VLOOKUP(B738,'Pre-Summary'!$AL$6:$AQ$13,6,FALSE),F737)</f>
        <v>5.9405263157894746E-2</v>
      </c>
      <c r="G738" t="str">
        <f>IFERROR(VLOOKUP(B738,'Pre-Summary'!$AE$6:$AJ$85,3,FALSE),"")</f>
        <v/>
      </c>
      <c r="H738" t="str">
        <f>IFERROR(VLOOKUP(B738,'Pre-Summary'!$AE$6:$AJ$85,4,FALSE),"")</f>
        <v/>
      </c>
      <c r="I738" t="str">
        <f>IFERROR(VLOOKUP(B738,'Pre-Summary'!$AE$6:$AJ$85,5,FALSE),"")</f>
        <v/>
      </c>
      <c r="J738" s="45" t="str">
        <f>IFERROR(VLOOKUP(B738,'Pre-Summary'!$AE$6:$AJ$85,6, FALSE),"")</f>
        <v/>
      </c>
      <c r="K738" s="45" t="str">
        <f>IFERROR(VLOOKUP(B738,'Pre-Summary'!$DE$6:$DG$61,3,FALSE),"")</f>
        <v/>
      </c>
      <c r="L738" s="45" t="str">
        <f>IFERROR(VLOOKUP(B738,'Pre-Summary'!$CU$6:$CW$36,3,FALSE),"")</f>
        <v/>
      </c>
      <c r="M738" s="45" t="str">
        <f>IFERROR(VLOOKUP(B738,'Pre-Summary'!$BW$6:$BY$58,2,FALSE),"")</f>
        <v/>
      </c>
      <c r="N738" s="45" t="str">
        <f>IFERROR(VLOOKUP(B738,'Pre-Summary'!$CD$6:$CF$64,2,FALSE),"")</f>
        <v/>
      </c>
      <c r="O738" s="99">
        <f>IFERROR(VLOOKUP(B738,'Pre-Summary'!$BO$6:$BQ$48,3, FALSE),O737)</f>
        <v>1.3</v>
      </c>
      <c r="P738" s="99">
        <f>IFERROR(VLOOKUP(B738,'Pre-Summary'!$BS$6:$BU$35,3,FALSE),P737)</f>
        <v>0.34399999999999997</v>
      </c>
      <c r="Q738" s="54">
        <f t="shared" si="33"/>
        <v>3.779069767441861</v>
      </c>
      <c r="R738" s="53">
        <f>IFERROR(VLOOKUP(B738,'Pre-Summary'!$BG$6:$BM$44,7,FALSE),R739)</f>
        <v>7.5915763918363535E-2</v>
      </c>
      <c r="S738" s="53">
        <f>IFERROR(VLOOKUP(B738,'Pre-Summary'!$BG$6:$BM$44,6,FALSE),S739)</f>
        <v>5.2897473997019086E-2</v>
      </c>
      <c r="T738" s="45" t="str">
        <f>IFERROR(VLOOKUP(B738,'Pre-Summary'!$Y$6:$AC$83, 3,FALSE),"")</f>
        <v/>
      </c>
      <c r="U738" s="45" t="str">
        <f>IFERROR(VLOOKUP(B738,'Pre-Summary'!$Y$6:$AC$83, 4,FALSE),"")</f>
        <v/>
      </c>
      <c r="V738" t="str">
        <f>IFERROR(VLOOKUP(B738,'Pre-Summary'!$Y$6:$AC$83, 5,FALSE),"")</f>
        <v/>
      </c>
      <c r="W738" s="45" t="str">
        <f>IFERROR(VLOOKUP(B738,'Pre-Summary'!$Y$6:$AD$83,6,FALSE),"")</f>
        <v/>
      </c>
      <c r="X738" t="str">
        <f>IFERROR(VLOOKUP('Pre-Summary'!$DB$6:$DD$63,3,FALSE),"")</f>
        <v/>
      </c>
      <c r="Y738" t="str">
        <f>IFERROR(VLOOKUP(B738,'Pre-Summary'!$CR$6:$CT$36,3,FALSE),"")</f>
        <v/>
      </c>
      <c r="Z738" s="45" t="str">
        <f>IFERROR(VLOOKUP(B738,'Pre-Summary'!$BZ$6:$CB$63,2,FALSE),"")</f>
        <v/>
      </c>
      <c r="AA738" s="45" t="str">
        <f>IFERROR(VLOOKUP(B738,'Pre-Summary'!$CG$6:$CI$70,2,FALSE),"")</f>
        <v/>
      </c>
      <c r="AB738" s="99">
        <f>IFERROR(VLOOKUP(B738,'Pre-Summary'!$A$6:$P$178,9,FALSE),AB739)</f>
        <v>0.55977731958672339</v>
      </c>
      <c r="AC738" s="10">
        <f>IFERROR(VLOOKUP(Summary!B738,'Pre-Summary'!$A$6:$P$184,5, FALSE)/100,AC739)</f>
        <v>0.73175400000000013</v>
      </c>
      <c r="AD738" s="10">
        <f>IFERROR(VLOOKUP(Summary!B738,'Pre-Summary'!$A$6:$P$184,3, FALSE)/100,AD739)</f>
        <v>8.5874333333333316E-2</v>
      </c>
      <c r="AE738" s="10">
        <f>IFERROR(VLOOKUP(Summary!B738,'Pre-Summary'!$A$6:$P$184,7, FALSE)/100,AE739)</f>
        <v>0.18237166666666668</v>
      </c>
      <c r="AF738" s="99">
        <f t="shared" si="34"/>
        <v>4.807050413463014E-2</v>
      </c>
      <c r="AG738" s="99">
        <f t="shared" si="35"/>
        <v>0.10208752273523006</v>
      </c>
      <c r="AH738" s="10" t="str">
        <f>IFERROR(VLOOKUP(B738,'Pre-Summary'!$AZ$6:$BE$65,3,FALSE),"")</f>
        <v/>
      </c>
      <c r="AI738" s="10" t="str">
        <f>IFERROR(VLOOKUP(B738,'Pre-Summary'!$AZ$6:$BE$65,5,FALSE),"")</f>
        <v/>
      </c>
      <c r="AJ738" s="10" t="str">
        <f>IFERROR(VLOOKUP(B738,'Pre-Summary'!$AZ$6:$BE$65,4,FALSE),"")</f>
        <v/>
      </c>
      <c r="AK738" s="10" t="str">
        <f>IFERROR(VLOOKUP(B738,'Pre-Summary'!$AZ$6:$BE$65,6,FALSE),"")</f>
        <v/>
      </c>
      <c r="AL738" s="10" t="str">
        <f>IFERROR(VLOOKUP(B738,'Pre-Summary'!$BG$6:$BL$44,3,FALSE),"")</f>
        <v/>
      </c>
      <c r="AM738" s="10" t="str">
        <f>IFERROR(VLOOKUP(B738,'Pre-Summary'!$BG$6:$BL$44,4,FALSE),"")</f>
        <v/>
      </c>
    </row>
    <row r="739" spans="2:39" ht="15" customHeight="1" x14ac:dyDescent="0.3">
      <c r="B739">
        <v>73.599999999999994</v>
      </c>
      <c r="C739" t="str">
        <f>IFERROR(VLOOKUP(B739,'Pre-Summary'!$DI$6:$DM$23,4,FALSE),"")</f>
        <v/>
      </c>
      <c r="D739" s="10" t="str">
        <f>IFERROR(VLOOKUP(B739,'Pre-Summary'!$AT$6:$AX$14,5,FALSE),D738)</f>
        <v>DSMZ v2: Dropped Na-Ac out of DSMZ 120 media</v>
      </c>
      <c r="E739" s="10" t="str">
        <f>IFERROR(VLOOKUP(B739,'Pre-Summary'!$AT$6:$AX$15,4,FALSE),"")</f>
        <v/>
      </c>
      <c r="F739">
        <f>IFERROR(VLOOKUP(B739,'Pre-Summary'!$AL$6:$AQ$13,6,FALSE),F738)</f>
        <v>5.9405263157894746E-2</v>
      </c>
      <c r="G739" t="str">
        <f>IFERROR(VLOOKUP(B739,'Pre-Summary'!$AE$6:$AJ$85,3,FALSE),"")</f>
        <v/>
      </c>
      <c r="H739" t="str">
        <f>IFERROR(VLOOKUP(B739,'Pre-Summary'!$AE$6:$AJ$85,4,FALSE),"")</f>
        <v/>
      </c>
      <c r="I739" t="str">
        <f>IFERROR(VLOOKUP(B739,'Pre-Summary'!$AE$6:$AJ$85,5,FALSE),"")</f>
        <v/>
      </c>
      <c r="J739" s="45" t="str">
        <f>IFERROR(VLOOKUP(B739,'Pre-Summary'!$AE$6:$AJ$85,6, FALSE),"")</f>
        <v/>
      </c>
      <c r="K739" s="45" t="str">
        <f>IFERROR(VLOOKUP(B739,'Pre-Summary'!$DE$6:$DG$61,3,FALSE),"")</f>
        <v/>
      </c>
      <c r="L739" s="45" t="str">
        <f>IFERROR(VLOOKUP(B739,'Pre-Summary'!$CU$6:$CW$36,3,FALSE),"")</f>
        <v/>
      </c>
      <c r="M739" s="45" t="str">
        <f>IFERROR(VLOOKUP(B739,'Pre-Summary'!$BW$6:$BY$58,2,FALSE),"")</f>
        <v/>
      </c>
      <c r="N739" s="45" t="str">
        <f>IFERROR(VLOOKUP(B739,'Pre-Summary'!$CD$6:$CF$64,2,FALSE),"")</f>
        <v/>
      </c>
      <c r="O739" s="99">
        <f>IFERROR(VLOOKUP(B739,'Pre-Summary'!$BO$6:$BQ$48,3, FALSE),O738)</f>
        <v>1.3</v>
      </c>
      <c r="P739" s="99">
        <f>IFERROR(VLOOKUP(B739,'Pre-Summary'!$BS$6:$BU$35,3,FALSE),P738)</f>
        <v>0.34399999999999997</v>
      </c>
      <c r="Q739" s="54">
        <f t="shared" si="33"/>
        <v>3.779069767441861</v>
      </c>
      <c r="R739" s="53">
        <f>IFERROR(VLOOKUP(B739,'Pre-Summary'!$BG$6:$BM$44,7,FALSE),R740)</f>
        <v>7.5915763918363535E-2</v>
      </c>
      <c r="S739" s="53">
        <f>IFERROR(VLOOKUP(B739,'Pre-Summary'!$BG$6:$BM$44,6,FALSE),S740)</f>
        <v>5.2897473997019086E-2</v>
      </c>
      <c r="T739" s="45" t="str">
        <f>IFERROR(VLOOKUP(B739,'Pre-Summary'!$Y$6:$AC$83, 3,FALSE),"")</f>
        <v/>
      </c>
      <c r="U739" s="45" t="str">
        <f>IFERROR(VLOOKUP(B739,'Pre-Summary'!$Y$6:$AC$83, 4,FALSE),"")</f>
        <v/>
      </c>
      <c r="V739" t="str">
        <f>IFERROR(VLOOKUP(B739,'Pre-Summary'!$Y$6:$AC$83, 5,FALSE),"")</f>
        <v/>
      </c>
      <c r="W739" s="45" t="str">
        <f>IFERROR(VLOOKUP(B739,'Pre-Summary'!$Y$6:$AD$83,6,FALSE),"")</f>
        <v/>
      </c>
      <c r="X739" t="str">
        <f>IFERROR(VLOOKUP('Pre-Summary'!$DB$6:$DD$63,3,FALSE),"")</f>
        <v/>
      </c>
      <c r="Y739" t="str">
        <f>IFERROR(VLOOKUP(B739,'Pre-Summary'!$CR$6:$CT$36,3,FALSE),"")</f>
        <v/>
      </c>
      <c r="Z739" s="45" t="str">
        <f>IFERROR(VLOOKUP(B739,'Pre-Summary'!$BZ$6:$CB$63,2,FALSE),"")</f>
        <v/>
      </c>
      <c r="AA739" s="45" t="str">
        <f>IFERROR(VLOOKUP(B739,'Pre-Summary'!$CG$6:$CI$70,2,FALSE),"")</f>
        <v/>
      </c>
      <c r="AB739" s="99">
        <f>IFERROR(VLOOKUP(B739,'Pre-Summary'!$A$6:$P$178,9,FALSE),AB740)</f>
        <v>0.55977731958672339</v>
      </c>
      <c r="AC739" s="10">
        <f>IFERROR(VLOOKUP(Summary!B739,'Pre-Summary'!$A$6:$P$184,5, FALSE)/100,AC740)</f>
        <v>0.73175400000000013</v>
      </c>
      <c r="AD739" s="10">
        <f>IFERROR(VLOOKUP(Summary!B739,'Pre-Summary'!$A$6:$P$184,3, FALSE)/100,AD740)</f>
        <v>8.5874333333333316E-2</v>
      </c>
      <c r="AE739" s="10">
        <f>IFERROR(VLOOKUP(Summary!B739,'Pre-Summary'!$A$6:$P$184,7, FALSE)/100,AE740)</f>
        <v>0.18237166666666668</v>
      </c>
      <c r="AF739" s="99">
        <f t="shared" si="34"/>
        <v>4.807050413463014E-2</v>
      </c>
      <c r="AG739" s="99">
        <f t="shared" si="35"/>
        <v>0.10208752273523006</v>
      </c>
      <c r="AH739" s="10" t="str">
        <f>IFERROR(VLOOKUP(B739,'Pre-Summary'!$AZ$6:$BE$65,3,FALSE),"")</f>
        <v/>
      </c>
      <c r="AI739" s="10" t="str">
        <f>IFERROR(VLOOKUP(B739,'Pre-Summary'!$AZ$6:$BE$65,5,FALSE),"")</f>
        <v/>
      </c>
      <c r="AJ739" s="10" t="str">
        <f>IFERROR(VLOOKUP(B739,'Pre-Summary'!$AZ$6:$BE$65,4,FALSE),"")</f>
        <v/>
      </c>
      <c r="AK739" s="10" t="str">
        <f>IFERROR(VLOOKUP(B739,'Pre-Summary'!$AZ$6:$BE$65,6,FALSE),"")</f>
        <v/>
      </c>
      <c r="AL739" s="10" t="str">
        <f>IFERROR(VLOOKUP(B739,'Pre-Summary'!$BG$6:$BL$44,3,FALSE),"")</f>
        <v/>
      </c>
      <c r="AM739" s="10" t="str">
        <f>IFERROR(VLOOKUP(B739,'Pre-Summary'!$BG$6:$BL$44,4,FALSE),"")</f>
        <v/>
      </c>
    </row>
    <row r="740" spans="2:39" ht="15" customHeight="1" x14ac:dyDescent="0.3">
      <c r="B740">
        <v>73.7</v>
      </c>
      <c r="C740" t="str">
        <f>IFERROR(VLOOKUP(B740,'Pre-Summary'!$DI$6:$DM$23,4,FALSE),"")</f>
        <v/>
      </c>
      <c r="D740" s="10" t="str">
        <f>IFERROR(VLOOKUP(B740,'Pre-Summary'!$AT$6:$AX$14,5,FALSE),D739)</f>
        <v>DSMZ v2: Dropped Na-Ac out of DSMZ 120 media</v>
      </c>
      <c r="E740" s="10" t="str">
        <f>IFERROR(VLOOKUP(B740,'Pre-Summary'!$AT$6:$AX$15,4,FALSE),"")</f>
        <v/>
      </c>
      <c r="F740">
        <f>IFERROR(VLOOKUP(B740,'Pre-Summary'!$AL$6:$AQ$13,6,FALSE),F739)</f>
        <v>5.9405263157894746E-2</v>
      </c>
      <c r="G740" t="str">
        <f>IFERROR(VLOOKUP(B740,'Pre-Summary'!$AE$6:$AJ$85,3,FALSE),"")</f>
        <v/>
      </c>
      <c r="H740" t="str">
        <f>IFERROR(VLOOKUP(B740,'Pre-Summary'!$AE$6:$AJ$85,4,FALSE),"")</f>
        <v/>
      </c>
      <c r="I740" t="str">
        <f>IFERROR(VLOOKUP(B740,'Pre-Summary'!$AE$6:$AJ$85,5,FALSE),"")</f>
        <v/>
      </c>
      <c r="J740" s="45" t="str">
        <f>IFERROR(VLOOKUP(B740,'Pre-Summary'!$AE$6:$AJ$85,6, FALSE),"")</f>
        <v/>
      </c>
      <c r="K740" s="45" t="str">
        <f>IFERROR(VLOOKUP(B740,'Pre-Summary'!$DE$6:$DG$61,3,FALSE),"")</f>
        <v/>
      </c>
      <c r="L740" s="45" t="str">
        <f>IFERROR(VLOOKUP(B740,'Pre-Summary'!$CU$6:$CW$36,3,FALSE),"")</f>
        <v/>
      </c>
      <c r="M740" s="45" t="str">
        <f>IFERROR(VLOOKUP(B740,'Pre-Summary'!$BW$6:$BY$58,2,FALSE),"")</f>
        <v/>
      </c>
      <c r="N740" s="45" t="str">
        <f>IFERROR(VLOOKUP(B740,'Pre-Summary'!$CD$6:$CF$64,2,FALSE),"")</f>
        <v/>
      </c>
      <c r="O740" s="99">
        <f>IFERROR(VLOOKUP(B740,'Pre-Summary'!$BO$6:$BQ$48,3, FALSE),O739)</f>
        <v>1.3</v>
      </c>
      <c r="P740" s="99">
        <f>IFERROR(VLOOKUP(B740,'Pre-Summary'!$BS$6:$BU$35,3,FALSE),P739)</f>
        <v>0.34399999999999997</v>
      </c>
      <c r="Q740" s="54">
        <f t="shared" si="33"/>
        <v>3.779069767441861</v>
      </c>
      <c r="R740" s="53">
        <f>IFERROR(VLOOKUP(B740,'Pre-Summary'!$BG$6:$BM$44,7,FALSE),R741)</f>
        <v>7.5915763918363535E-2</v>
      </c>
      <c r="S740" s="53">
        <f>IFERROR(VLOOKUP(B740,'Pre-Summary'!$BG$6:$BM$44,6,FALSE),S741)</f>
        <v>5.2897473997019086E-2</v>
      </c>
      <c r="T740" s="45" t="str">
        <f>IFERROR(VLOOKUP(B740,'Pre-Summary'!$Y$6:$AC$83, 3,FALSE),"")</f>
        <v/>
      </c>
      <c r="U740" s="45" t="str">
        <f>IFERROR(VLOOKUP(B740,'Pre-Summary'!$Y$6:$AC$83, 4,FALSE),"")</f>
        <v/>
      </c>
      <c r="V740" t="str">
        <f>IFERROR(VLOOKUP(B740,'Pre-Summary'!$Y$6:$AC$83, 5,FALSE),"")</f>
        <v/>
      </c>
      <c r="W740" s="45" t="str">
        <f>IFERROR(VLOOKUP(B740,'Pre-Summary'!$Y$6:$AD$83,6,FALSE),"")</f>
        <v/>
      </c>
      <c r="X740" t="str">
        <f>IFERROR(VLOOKUP('Pre-Summary'!$DB$6:$DD$63,3,FALSE),"")</f>
        <v/>
      </c>
      <c r="Y740" t="str">
        <f>IFERROR(VLOOKUP(B740,'Pre-Summary'!$CR$6:$CT$36,3,FALSE),"")</f>
        <v/>
      </c>
      <c r="Z740" s="45" t="str">
        <f>IFERROR(VLOOKUP(B740,'Pre-Summary'!$BZ$6:$CB$63,2,FALSE),"")</f>
        <v/>
      </c>
      <c r="AA740" s="45" t="str">
        <f>IFERROR(VLOOKUP(B740,'Pre-Summary'!$CG$6:$CI$70,2,FALSE),"")</f>
        <v/>
      </c>
      <c r="AB740" s="99">
        <f>IFERROR(VLOOKUP(B740,'Pre-Summary'!$A$6:$P$178,9,FALSE),AB741)</f>
        <v>0.55977731958672339</v>
      </c>
      <c r="AC740" s="10">
        <f>IFERROR(VLOOKUP(Summary!B740,'Pre-Summary'!$A$6:$P$184,5, FALSE)/100,AC741)</f>
        <v>0.73175400000000013</v>
      </c>
      <c r="AD740" s="10">
        <f>IFERROR(VLOOKUP(Summary!B740,'Pre-Summary'!$A$6:$P$184,3, FALSE)/100,AD741)</f>
        <v>8.5874333333333316E-2</v>
      </c>
      <c r="AE740" s="10">
        <f>IFERROR(VLOOKUP(Summary!B740,'Pre-Summary'!$A$6:$P$184,7, FALSE)/100,AE741)</f>
        <v>0.18237166666666668</v>
      </c>
      <c r="AF740" s="99">
        <f t="shared" si="34"/>
        <v>4.807050413463014E-2</v>
      </c>
      <c r="AG740" s="99">
        <f t="shared" si="35"/>
        <v>0.10208752273523006</v>
      </c>
      <c r="AH740" s="10" t="str">
        <f>IFERROR(VLOOKUP(B740,'Pre-Summary'!$AZ$6:$BE$65,3,FALSE),"")</f>
        <v/>
      </c>
      <c r="AI740" s="10" t="str">
        <f>IFERROR(VLOOKUP(B740,'Pre-Summary'!$AZ$6:$BE$65,5,FALSE),"")</f>
        <v/>
      </c>
      <c r="AJ740" s="10" t="str">
        <f>IFERROR(VLOOKUP(B740,'Pre-Summary'!$AZ$6:$BE$65,4,FALSE),"")</f>
        <v/>
      </c>
      <c r="AK740" s="10" t="str">
        <f>IFERROR(VLOOKUP(B740,'Pre-Summary'!$AZ$6:$BE$65,6,FALSE),"")</f>
        <v/>
      </c>
      <c r="AL740" s="10" t="str">
        <f>IFERROR(VLOOKUP(B740,'Pre-Summary'!$BG$6:$BL$44,3,FALSE),"")</f>
        <v/>
      </c>
      <c r="AM740" s="10" t="str">
        <f>IFERROR(VLOOKUP(B740,'Pre-Summary'!$BG$6:$BL$44,4,FALSE),"")</f>
        <v/>
      </c>
    </row>
    <row r="741" spans="2:39" ht="15" customHeight="1" x14ac:dyDescent="0.3">
      <c r="B741">
        <v>73.8</v>
      </c>
      <c r="C741" t="str">
        <f>IFERROR(VLOOKUP(B741,'Pre-Summary'!$DI$6:$DM$23,4,FALSE),"")</f>
        <v/>
      </c>
      <c r="D741" s="10" t="str">
        <f>IFERROR(VLOOKUP(B741,'Pre-Summary'!$AT$6:$AX$14,5,FALSE),D740)</f>
        <v>DSMZ v2: Dropped Na-Ac out of DSMZ 120 media</v>
      </c>
      <c r="E741" s="10" t="str">
        <f>IFERROR(VLOOKUP(B741,'Pre-Summary'!$AT$6:$AX$15,4,FALSE),"")</f>
        <v/>
      </c>
      <c r="F741">
        <f>IFERROR(VLOOKUP(B741,'Pre-Summary'!$AL$6:$AQ$13,6,FALSE),F740)</f>
        <v>5.9405263157894746E-2</v>
      </c>
      <c r="G741">
        <f>IFERROR(VLOOKUP(B741,'Pre-Summary'!$AE$6:$AJ$85,3,FALSE),"")</f>
        <v>41.155000000000001</v>
      </c>
      <c r="H741">
        <f>IFERROR(VLOOKUP(B741,'Pre-Summary'!$AE$6:$AJ$85,4,FALSE),"")</f>
        <v>24.81</v>
      </c>
      <c r="I741">
        <f>IFERROR(VLOOKUP(B741,'Pre-Summary'!$AE$6:$AJ$85,5,FALSE),"")</f>
        <v>0</v>
      </c>
      <c r="J741" s="45">
        <f>IFERROR(VLOOKUP(B741,'Pre-Summary'!$AE$6:$AJ$85,6, FALSE),"")</f>
        <v>81.474725000000007</v>
      </c>
      <c r="K741" s="45" t="str">
        <f>IFERROR(VLOOKUP(B741,'Pre-Summary'!$DE$6:$DG$61,3,FALSE),"")</f>
        <v/>
      </c>
      <c r="L741" s="45" t="str">
        <f>IFERROR(VLOOKUP(B741,'Pre-Summary'!$CU$6:$CW$36,3,FALSE),"")</f>
        <v/>
      </c>
      <c r="M741" s="45" t="str">
        <f>IFERROR(VLOOKUP(B741,'Pre-Summary'!$BW$6:$BY$58,2,FALSE),"")</f>
        <v/>
      </c>
      <c r="N741" s="45" t="str">
        <f>IFERROR(VLOOKUP(B741,'Pre-Summary'!$CD$6:$CF$64,2,FALSE),"")</f>
        <v/>
      </c>
      <c r="O741" s="99">
        <f>IFERROR(VLOOKUP(B741,'Pre-Summary'!$BO$6:$BQ$48,3, FALSE),O740)</f>
        <v>1.3</v>
      </c>
      <c r="P741" s="99">
        <f>IFERROR(VLOOKUP(B741,'Pre-Summary'!$BS$6:$BU$35,3,FALSE),P740)</f>
        <v>0.34399999999999997</v>
      </c>
      <c r="Q741" s="54">
        <f t="shared" si="33"/>
        <v>3.779069767441861</v>
      </c>
      <c r="R741" s="53">
        <f>IFERROR(VLOOKUP(B741,'Pre-Summary'!$BG$6:$BM$44,7,FALSE),R742)</f>
        <v>7.5915763918363535E-2</v>
      </c>
      <c r="S741" s="53">
        <f>IFERROR(VLOOKUP(B741,'Pre-Summary'!$BG$6:$BM$44,6,FALSE),S742)</f>
        <v>5.2897473997019086E-2</v>
      </c>
      <c r="T741" s="45" t="str">
        <f>IFERROR(VLOOKUP(B741,'Pre-Summary'!$Y$6:$AC$83, 3,FALSE),"")</f>
        <v/>
      </c>
      <c r="U741" s="45" t="str">
        <f>IFERROR(VLOOKUP(B741,'Pre-Summary'!$Y$6:$AC$83, 4,FALSE),"")</f>
        <v/>
      </c>
      <c r="V741" t="str">
        <f>IFERROR(VLOOKUP(B741,'Pre-Summary'!$Y$6:$AC$83, 5,FALSE),"")</f>
        <v/>
      </c>
      <c r="W741" s="45" t="str">
        <f>IFERROR(VLOOKUP(B741,'Pre-Summary'!$Y$6:$AD$83,6,FALSE),"")</f>
        <v/>
      </c>
      <c r="X741" t="str">
        <f>IFERROR(VLOOKUP('Pre-Summary'!$DB$6:$DD$63,3,FALSE),"")</f>
        <v/>
      </c>
      <c r="Y741" t="str">
        <f>IFERROR(VLOOKUP(B741,'Pre-Summary'!$CR$6:$CT$36,3,FALSE),"")</f>
        <v/>
      </c>
      <c r="Z741" s="45" t="str">
        <f>IFERROR(VLOOKUP(B741,'Pre-Summary'!$BZ$6:$CB$63,2,FALSE),"")</f>
        <v/>
      </c>
      <c r="AA741" s="45" t="str">
        <f>IFERROR(VLOOKUP(B741,'Pre-Summary'!$CG$6:$CI$70,2,FALSE),"")</f>
        <v/>
      </c>
      <c r="AB741" s="99">
        <f>IFERROR(VLOOKUP(B741,'Pre-Summary'!$A$6:$P$178,9,FALSE),AB742)</f>
        <v>0.55977731958672339</v>
      </c>
      <c r="AC741" s="10">
        <f>IFERROR(VLOOKUP(Summary!B741,'Pre-Summary'!$A$6:$P$184,5, FALSE)/100,AC742)</f>
        <v>0.73175400000000013</v>
      </c>
      <c r="AD741" s="10">
        <f>IFERROR(VLOOKUP(Summary!B741,'Pre-Summary'!$A$6:$P$184,3, FALSE)/100,AD742)</f>
        <v>8.5874333333333316E-2</v>
      </c>
      <c r="AE741" s="10">
        <f>IFERROR(VLOOKUP(Summary!B741,'Pre-Summary'!$A$6:$P$184,7, FALSE)/100,AE742)</f>
        <v>0.18237166666666668</v>
      </c>
      <c r="AF741" s="99">
        <f t="shared" si="34"/>
        <v>4.807050413463014E-2</v>
      </c>
      <c r="AG741" s="99">
        <f t="shared" si="35"/>
        <v>0.10208752273523006</v>
      </c>
      <c r="AH741" s="10" t="str">
        <f>IFERROR(VLOOKUP(B741,'Pre-Summary'!$AZ$6:$BE$65,3,FALSE),"")</f>
        <v/>
      </c>
      <c r="AI741" s="10" t="str">
        <f>IFERROR(VLOOKUP(B741,'Pre-Summary'!$AZ$6:$BE$65,5,FALSE),"")</f>
        <v/>
      </c>
      <c r="AJ741" s="10" t="str">
        <f>IFERROR(VLOOKUP(B741,'Pre-Summary'!$AZ$6:$BE$65,4,FALSE),"")</f>
        <v/>
      </c>
      <c r="AK741" s="10" t="str">
        <f>IFERROR(VLOOKUP(B741,'Pre-Summary'!$AZ$6:$BE$65,6,FALSE),"")</f>
        <v/>
      </c>
      <c r="AL741" s="10" t="str">
        <f>IFERROR(VLOOKUP(B741,'Pre-Summary'!$BG$6:$BL$44,3,FALSE),"")</f>
        <v/>
      </c>
      <c r="AM741" s="10" t="str">
        <f>IFERROR(VLOOKUP(B741,'Pre-Summary'!$BG$6:$BL$44,4,FALSE),"")</f>
        <v/>
      </c>
    </row>
    <row r="742" spans="2:39" ht="15" customHeight="1" x14ac:dyDescent="0.3">
      <c r="B742">
        <v>73.900000000000006</v>
      </c>
      <c r="C742" t="str">
        <f>IFERROR(VLOOKUP(B742,'Pre-Summary'!$DI$6:$DM$23,4,FALSE),"")</f>
        <v/>
      </c>
      <c r="D742" s="10" t="str">
        <f>IFERROR(VLOOKUP(B742,'Pre-Summary'!$AT$6:$AX$14,5,FALSE),D741)</f>
        <v>DSMZ v2: Dropped Na-Ac out of DSMZ 120 media</v>
      </c>
      <c r="E742" s="10" t="str">
        <f>IFERROR(VLOOKUP(B742,'Pre-Summary'!$AT$6:$AX$15,4,FALSE),"")</f>
        <v/>
      </c>
      <c r="F742">
        <f>IFERROR(VLOOKUP(B742,'Pre-Summary'!$AL$6:$AQ$13,6,FALSE),F741)</f>
        <v>5.9405263157894746E-2</v>
      </c>
      <c r="G742" t="str">
        <f>IFERROR(VLOOKUP(B742,'Pre-Summary'!$AE$6:$AJ$85,3,FALSE),"")</f>
        <v/>
      </c>
      <c r="H742" t="str">
        <f>IFERROR(VLOOKUP(B742,'Pre-Summary'!$AE$6:$AJ$85,4,FALSE),"")</f>
        <v/>
      </c>
      <c r="I742" t="str">
        <f>IFERROR(VLOOKUP(B742,'Pre-Summary'!$AE$6:$AJ$85,5,FALSE),"")</f>
        <v/>
      </c>
      <c r="J742" s="45" t="str">
        <f>IFERROR(VLOOKUP(B742,'Pre-Summary'!$AE$6:$AJ$85,6, FALSE),"")</f>
        <v/>
      </c>
      <c r="K742" s="45" t="str">
        <f>IFERROR(VLOOKUP(B742,'Pre-Summary'!$DE$6:$DG$61,3,FALSE),"")</f>
        <v/>
      </c>
      <c r="L742" s="45" t="str">
        <f>IFERROR(VLOOKUP(B742,'Pre-Summary'!$CU$6:$CW$36,3,FALSE),"")</f>
        <v/>
      </c>
      <c r="M742" s="45" t="str">
        <f>IFERROR(VLOOKUP(B742,'Pre-Summary'!$BW$6:$BY$58,2,FALSE),"")</f>
        <v/>
      </c>
      <c r="N742" s="45" t="str">
        <f>IFERROR(VLOOKUP(B742,'Pre-Summary'!$CD$6:$CF$64,2,FALSE),"")</f>
        <v/>
      </c>
      <c r="O742" s="99">
        <f>IFERROR(VLOOKUP(B742,'Pre-Summary'!$BO$6:$BQ$48,3, FALSE),O741)</f>
        <v>1.3</v>
      </c>
      <c r="P742" s="99">
        <f>IFERROR(VLOOKUP(B742,'Pre-Summary'!$BS$6:$BU$35,3,FALSE),P741)</f>
        <v>0.34399999999999997</v>
      </c>
      <c r="Q742" s="54">
        <f t="shared" si="33"/>
        <v>3.779069767441861</v>
      </c>
      <c r="R742" s="53">
        <f>IFERROR(VLOOKUP(B742,'Pre-Summary'!$BG$6:$BM$44,7,FALSE),R743)</f>
        <v>7.5915763918363535E-2</v>
      </c>
      <c r="S742" s="53">
        <f>IFERROR(VLOOKUP(B742,'Pre-Summary'!$BG$6:$BM$44,6,FALSE),S743)</f>
        <v>5.2897473997019086E-2</v>
      </c>
      <c r="T742" s="45" t="str">
        <f>IFERROR(VLOOKUP(B742,'Pre-Summary'!$Y$6:$AC$83, 3,FALSE),"")</f>
        <v/>
      </c>
      <c r="U742" s="45" t="str">
        <f>IFERROR(VLOOKUP(B742,'Pre-Summary'!$Y$6:$AC$83, 4,FALSE),"")</f>
        <v/>
      </c>
      <c r="V742" t="str">
        <f>IFERROR(VLOOKUP(B742,'Pre-Summary'!$Y$6:$AC$83, 5,FALSE),"")</f>
        <v/>
      </c>
      <c r="W742" s="45" t="str">
        <f>IFERROR(VLOOKUP(B742,'Pre-Summary'!$Y$6:$AD$83,6,FALSE),"")</f>
        <v/>
      </c>
      <c r="X742" t="str">
        <f>IFERROR(VLOOKUP('Pre-Summary'!$DB$6:$DD$63,3,FALSE),"")</f>
        <v/>
      </c>
      <c r="Y742" t="str">
        <f>IFERROR(VLOOKUP(B742,'Pre-Summary'!$CR$6:$CT$36,3,FALSE),"")</f>
        <v/>
      </c>
      <c r="Z742" s="45" t="str">
        <f>IFERROR(VLOOKUP(B742,'Pre-Summary'!$BZ$6:$CB$63,2,FALSE),"")</f>
        <v/>
      </c>
      <c r="AA742" s="45" t="str">
        <f>IFERROR(VLOOKUP(B742,'Pre-Summary'!$CG$6:$CI$70,2,FALSE),"")</f>
        <v/>
      </c>
      <c r="AB742" s="99">
        <f>IFERROR(VLOOKUP(B742,'Pre-Summary'!$A$6:$P$178,9,FALSE),AB743)</f>
        <v>0.55977731958672339</v>
      </c>
      <c r="AC742" s="10">
        <f>IFERROR(VLOOKUP(Summary!B742,'Pre-Summary'!$A$6:$P$184,5, FALSE)/100,AC743)</f>
        <v>0.73175400000000013</v>
      </c>
      <c r="AD742" s="10">
        <f>IFERROR(VLOOKUP(Summary!B742,'Pre-Summary'!$A$6:$P$184,3, FALSE)/100,AD743)</f>
        <v>8.5874333333333316E-2</v>
      </c>
      <c r="AE742" s="10">
        <f>IFERROR(VLOOKUP(Summary!B742,'Pre-Summary'!$A$6:$P$184,7, FALSE)/100,AE743)</f>
        <v>0.18237166666666668</v>
      </c>
      <c r="AF742" s="99">
        <f t="shared" si="34"/>
        <v>4.807050413463014E-2</v>
      </c>
      <c r="AG742" s="99">
        <f t="shared" si="35"/>
        <v>0.10208752273523006</v>
      </c>
      <c r="AH742" s="10" t="str">
        <f>IFERROR(VLOOKUP(B742,'Pre-Summary'!$AZ$6:$BE$65,3,FALSE),"")</f>
        <v/>
      </c>
      <c r="AI742" s="10" t="str">
        <f>IFERROR(VLOOKUP(B742,'Pre-Summary'!$AZ$6:$BE$65,5,FALSE),"")</f>
        <v/>
      </c>
      <c r="AJ742" s="10" t="str">
        <f>IFERROR(VLOOKUP(B742,'Pre-Summary'!$AZ$6:$BE$65,4,FALSE),"")</f>
        <v/>
      </c>
      <c r="AK742" s="10" t="str">
        <f>IFERROR(VLOOKUP(B742,'Pre-Summary'!$AZ$6:$BE$65,6,FALSE),"")</f>
        <v/>
      </c>
      <c r="AL742" s="10" t="str">
        <f>IFERROR(VLOOKUP(B742,'Pre-Summary'!$BG$6:$BL$44,3,FALSE),"")</f>
        <v/>
      </c>
      <c r="AM742" s="10" t="str">
        <f>IFERROR(VLOOKUP(B742,'Pre-Summary'!$BG$6:$BL$44,4,FALSE),"")</f>
        <v/>
      </c>
    </row>
    <row r="743" spans="2:39" ht="15" customHeight="1" x14ac:dyDescent="0.3">
      <c r="B743">
        <v>74</v>
      </c>
      <c r="C743" t="str">
        <f>IFERROR(VLOOKUP(B743,'Pre-Summary'!$DI$6:$DM$23,4,FALSE),"")</f>
        <v/>
      </c>
      <c r="D743" s="10" t="str">
        <f>IFERROR(VLOOKUP(B743,'Pre-Summary'!$AT$6:$AX$14,5,FALSE),D742)</f>
        <v>DSMZ v2: Dropped Na-Ac out of DSMZ 120 media</v>
      </c>
      <c r="E743" s="10" t="str">
        <f>IFERROR(VLOOKUP(B743,'Pre-Summary'!$AT$6:$AX$15,4,FALSE),"")</f>
        <v/>
      </c>
      <c r="F743">
        <f>IFERROR(VLOOKUP(B743,'Pre-Summary'!$AL$6:$AQ$13,6,FALSE),F742)</f>
        <v>5.9405263157894746E-2</v>
      </c>
      <c r="G743" t="str">
        <f>IFERROR(VLOOKUP(B743,'Pre-Summary'!$AE$6:$AJ$85,3,FALSE),"")</f>
        <v/>
      </c>
      <c r="H743" t="str">
        <f>IFERROR(VLOOKUP(B743,'Pre-Summary'!$AE$6:$AJ$85,4,FALSE),"")</f>
        <v/>
      </c>
      <c r="I743" t="str">
        <f>IFERROR(VLOOKUP(B743,'Pre-Summary'!$AE$6:$AJ$85,5,FALSE),"")</f>
        <v/>
      </c>
      <c r="J743" s="45" t="str">
        <f>IFERROR(VLOOKUP(B743,'Pre-Summary'!$AE$6:$AJ$85,6, FALSE),"")</f>
        <v/>
      </c>
      <c r="K743" s="45" t="str">
        <f>IFERROR(VLOOKUP(B743,'Pre-Summary'!$DE$6:$DG$61,3,FALSE),"")</f>
        <v/>
      </c>
      <c r="L743" s="45" t="str">
        <f>IFERROR(VLOOKUP(B743,'Pre-Summary'!$CU$6:$CW$36,3,FALSE),"")</f>
        <v/>
      </c>
      <c r="M743" s="45" t="str">
        <f>IFERROR(VLOOKUP(B743,'Pre-Summary'!$BW$6:$BY$58,2,FALSE),"")</f>
        <v/>
      </c>
      <c r="N743" s="45" t="str">
        <f>IFERROR(VLOOKUP(B743,'Pre-Summary'!$CD$6:$CF$64,2,FALSE),"")</f>
        <v/>
      </c>
      <c r="O743" s="99">
        <f>IFERROR(VLOOKUP(B743,'Pre-Summary'!$BO$6:$BQ$48,3, FALSE),O742)</f>
        <v>1.3</v>
      </c>
      <c r="P743" s="99">
        <f>IFERROR(VLOOKUP(B743,'Pre-Summary'!$BS$6:$BU$35,3,FALSE),P742)</f>
        <v>0.34399999999999997</v>
      </c>
      <c r="Q743" s="54">
        <f t="shared" si="33"/>
        <v>3.779069767441861</v>
      </c>
      <c r="R743" s="53">
        <f>IFERROR(VLOOKUP(B743,'Pre-Summary'!$BG$6:$BM$44,7,FALSE),R744)</f>
        <v>7.5915763918363535E-2</v>
      </c>
      <c r="S743" s="53">
        <f>IFERROR(VLOOKUP(B743,'Pre-Summary'!$BG$6:$BM$44,6,FALSE),S744)</f>
        <v>5.2897473997019086E-2</v>
      </c>
      <c r="T743" s="45" t="str">
        <f>IFERROR(VLOOKUP(B743,'Pre-Summary'!$Y$6:$AC$83, 3,FALSE),"")</f>
        <v/>
      </c>
      <c r="U743" s="45" t="str">
        <f>IFERROR(VLOOKUP(B743,'Pre-Summary'!$Y$6:$AC$83, 4,FALSE),"")</f>
        <v/>
      </c>
      <c r="V743" t="str">
        <f>IFERROR(VLOOKUP(B743,'Pre-Summary'!$Y$6:$AC$83, 5,FALSE),"")</f>
        <v/>
      </c>
      <c r="W743" s="45" t="str">
        <f>IFERROR(VLOOKUP(B743,'Pre-Summary'!$Y$6:$AD$83,6,FALSE),"")</f>
        <v/>
      </c>
      <c r="X743" t="str">
        <f>IFERROR(VLOOKUP('Pre-Summary'!$DB$6:$DD$63,3,FALSE),"")</f>
        <v/>
      </c>
      <c r="Y743" t="str">
        <f>IFERROR(VLOOKUP(B743,'Pre-Summary'!$CR$6:$CT$36,3,FALSE),"")</f>
        <v/>
      </c>
      <c r="Z743" s="45" t="str">
        <f>IFERROR(VLOOKUP(B743,'Pre-Summary'!$BZ$6:$CB$63,2,FALSE),"")</f>
        <v/>
      </c>
      <c r="AA743" s="45" t="str">
        <f>IFERROR(VLOOKUP(B743,'Pre-Summary'!$CG$6:$CI$70,2,FALSE),"")</f>
        <v/>
      </c>
      <c r="AB743" s="99">
        <f>IFERROR(VLOOKUP(B743,'Pre-Summary'!$A$6:$P$178,9,FALSE),AB744)</f>
        <v>0.55977731958672339</v>
      </c>
      <c r="AC743" s="10">
        <f>IFERROR(VLOOKUP(Summary!B743,'Pre-Summary'!$A$6:$P$184,5, FALSE)/100,AC744)</f>
        <v>0.73175400000000013</v>
      </c>
      <c r="AD743" s="10">
        <f>IFERROR(VLOOKUP(Summary!B743,'Pre-Summary'!$A$6:$P$184,3, FALSE)/100,AD744)</f>
        <v>8.5874333333333316E-2</v>
      </c>
      <c r="AE743" s="10">
        <f>IFERROR(VLOOKUP(Summary!B743,'Pre-Summary'!$A$6:$P$184,7, FALSE)/100,AE744)</f>
        <v>0.18237166666666668</v>
      </c>
      <c r="AF743" s="99">
        <f t="shared" si="34"/>
        <v>4.807050413463014E-2</v>
      </c>
      <c r="AG743" s="99">
        <f t="shared" si="35"/>
        <v>0.10208752273523006</v>
      </c>
      <c r="AH743" s="10" t="str">
        <f>IFERROR(VLOOKUP(B743,'Pre-Summary'!$AZ$6:$BE$65,3,FALSE),"")</f>
        <v/>
      </c>
      <c r="AI743" s="10" t="str">
        <f>IFERROR(VLOOKUP(B743,'Pre-Summary'!$AZ$6:$BE$65,5,FALSE),"")</f>
        <v/>
      </c>
      <c r="AJ743" s="10" t="str">
        <f>IFERROR(VLOOKUP(B743,'Pre-Summary'!$AZ$6:$BE$65,4,FALSE),"")</f>
        <v/>
      </c>
      <c r="AK743" s="10" t="str">
        <f>IFERROR(VLOOKUP(B743,'Pre-Summary'!$AZ$6:$BE$65,6,FALSE),"")</f>
        <v/>
      </c>
      <c r="AL743" s="10" t="str">
        <f>IFERROR(VLOOKUP(B743,'Pre-Summary'!$BG$6:$BL$44,3,FALSE),"")</f>
        <v/>
      </c>
      <c r="AM743" s="10" t="str">
        <f>IFERROR(VLOOKUP(B743,'Pre-Summary'!$BG$6:$BL$44,4,FALSE),"")</f>
        <v/>
      </c>
    </row>
    <row r="744" spans="2:39" ht="15" customHeight="1" x14ac:dyDescent="0.3">
      <c r="B744">
        <v>74.099999999999994</v>
      </c>
      <c r="C744" t="str">
        <f>IFERROR(VLOOKUP(B744,'Pre-Summary'!$DI$6:$DM$23,4,FALSE),"")</f>
        <v/>
      </c>
      <c r="D744" s="10" t="str">
        <f>IFERROR(VLOOKUP(B744,'Pre-Summary'!$AT$6:$AX$14,5,FALSE),D743)</f>
        <v>DSMZ v2: Dropped Na-Ac out of DSMZ 120 media</v>
      </c>
      <c r="E744" s="10" t="str">
        <f>IFERROR(VLOOKUP(B744,'Pre-Summary'!$AT$6:$AX$15,4,FALSE),"")</f>
        <v/>
      </c>
      <c r="F744">
        <f>IFERROR(VLOOKUP(B744,'Pre-Summary'!$AL$6:$AQ$13,6,FALSE),F743)</f>
        <v>5.9405263157894746E-2</v>
      </c>
      <c r="G744" t="str">
        <f>IFERROR(VLOOKUP(B744,'Pre-Summary'!$AE$6:$AJ$85,3,FALSE),"")</f>
        <v/>
      </c>
      <c r="H744" t="str">
        <f>IFERROR(VLOOKUP(B744,'Pre-Summary'!$AE$6:$AJ$85,4,FALSE),"")</f>
        <v/>
      </c>
      <c r="I744" t="str">
        <f>IFERROR(VLOOKUP(B744,'Pre-Summary'!$AE$6:$AJ$85,5,FALSE),"")</f>
        <v/>
      </c>
      <c r="J744" s="45" t="str">
        <f>IFERROR(VLOOKUP(B744,'Pre-Summary'!$AE$6:$AJ$85,6, FALSE),"")</f>
        <v/>
      </c>
      <c r="K744" s="45" t="str">
        <f>IFERROR(VLOOKUP(B744,'Pre-Summary'!$DE$6:$DG$61,3,FALSE),"")</f>
        <v/>
      </c>
      <c r="L744" s="45" t="str">
        <f>IFERROR(VLOOKUP(B744,'Pre-Summary'!$CU$6:$CW$36,3,FALSE),"")</f>
        <v/>
      </c>
      <c r="M744" s="45" t="str">
        <f>IFERROR(VLOOKUP(B744,'Pre-Summary'!$BW$6:$BY$58,2,FALSE),"")</f>
        <v/>
      </c>
      <c r="N744" s="45" t="str">
        <f>IFERROR(VLOOKUP(B744,'Pre-Summary'!$CD$6:$CF$64,2,FALSE),"")</f>
        <v/>
      </c>
      <c r="O744" s="99">
        <f>IFERROR(VLOOKUP(B744,'Pre-Summary'!$BO$6:$BQ$48,3, FALSE),O743)</f>
        <v>1.3</v>
      </c>
      <c r="P744" s="99">
        <f>IFERROR(VLOOKUP(B744,'Pre-Summary'!$BS$6:$BU$35,3,FALSE),P743)</f>
        <v>0.34399999999999997</v>
      </c>
      <c r="Q744" s="54">
        <f t="shared" si="33"/>
        <v>3.779069767441861</v>
      </c>
      <c r="R744" s="53">
        <f>IFERROR(VLOOKUP(B744,'Pre-Summary'!$BG$6:$BM$44,7,FALSE),R745)</f>
        <v>7.5915763918363535E-2</v>
      </c>
      <c r="S744" s="53">
        <f>IFERROR(VLOOKUP(B744,'Pre-Summary'!$BG$6:$BM$44,6,FALSE),S745)</f>
        <v>5.2897473997019086E-2</v>
      </c>
      <c r="T744" s="45" t="str">
        <f>IFERROR(VLOOKUP(B744,'Pre-Summary'!$Y$6:$AC$83, 3,FALSE),"")</f>
        <v/>
      </c>
      <c r="U744" s="45" t="str">
        <f>IFERROR(VLOOKUP(B744,'Pre-Summary'!$Y$6:$AC$83, 4,FALSE),"")</f>
        <v/>
      </c>
      <c r="V744" t="str">
        <f>IFERROR(VLOOKUP(B744,'Pre-Summary'!$Y$6:$AC$83, 5,FALSE),"")</f>
        <v/>
      </c>
      <c r="W744" s="45" t="str">
        <f>IFERROR(VLOOKUP(B744,'Pre-Summary'!$Y$6:$AD$83,6,FALSE),"")</f>
        <v/>
      </c>
      <c r="X744" t="str">
        <f>IFERROR(VLOOKUP('Pre-Summary'!$DB$6:$DD$63,3,FALSE),"")</f>
        <v/>
      </c>
      <c r="Y744" t="str">
        <f>IFERROR(VLOOKUP(B744,'Pre-Summary'!$CR$6:$CT$36,3,FALSE),"")</f>
        <v/>
      </c>
      <c r="Z744" s="45" t="str">
        <f>IFERROR(VLOOKUP(B744,'Pre-Summary'!$BZ$6:$CB$63,2,FALSE),"")</f>
        <v/>
      </c>
      <c r="AA744" s="45" t="str">
        <f>IFERROR(VLOOKUP(B744,'Pre-Summary'!$CG$6:$CI$70,2,FALSE),"")</f>
        <v/>
      </c>
      <c r="AB744" s="99">
        <f>IFERROR(VLOOKUP(B744,'Pre-Summary'!$A$6:$P$178,9,FALSE),AB745)</f>
        <v>0.55977731958672339</v>
      </c>
      <c r="AC744" s="10">
        <f>IFERROR(VLOOKUP(Summary!B744,'Pre-Summary'!$A$6:$P$184,5, FALSE)/100,AC745)</f>
        <v>0.73175400000000013</v>
      </c>
      <c r="AD744" s="10">
        <f>IFERROR(VLOOKUP(Summary!B744,'Pre-Summary'!$A$6:$P$184,3, FALSE)/100,AD745)</f>
        <v>8.5874333333333316E-2</v>
      </c>
      <c r="AE744" s="10">
        <f>IFERROR(VLOOKUP(Summary!B744,'Pre-Summary'!$A$6:$P$184,7, FALSE)/100,AE745)</f>
        <v>0.18237166666666668</v>
      </c>
      <c r="AF744" s="99">
        <f t="shared" si="34"/>
        <v>4.807050413463014E-2</v>
      </c>
      <c r="AG744" s="99">
        <f t="shared" si="35"/>
        <v>0.10208752273523006</v>
      </c>
      <c r="AH744" s="10" t="str">
        <f>IFERROR(VLOOKUP(B744,'Pre-Summary'!$AZ$6:$BE$65,3,FALSE),"")</f>
        <v/>
      </c>
      <c r="AI744" s="10" t="str">
        <f>IFERROR(VLOOKUP(B744,'Pre-Summary'!$AZ$6:$BE$65,5,FALSE),"")</f>
        <v/>
      </c>
      <c r="AJ744" s="10" t="str">
        <f>IFERROR(VLOOKUP(B744,'Pre-Summary'!$AZ$6:$BE$65,4,FALSE),"")</f>
        <v/>
      </c>
      <c r="AK744" s="10" t="str">
        <f>IFERROR(VLOOKUP(B744,'Pre-Summary'!$AZ$6:$BE$65,6,FALSE),"")</f>
        <v/>
      </c>
      <c r="AL744" s="10" t="str">
        <f>IFERROR(VLOOKUP(B744,'Pre-Summary'!$BG$6:$BL$44,3,FALSE),"")</f>
        <v/>
      </c>
      <c r="AM744" s="10" t="str">
        <f>IFERROR(VLOOKUP(B744,'Pre-Summary'!$BG$6:$BL$44,4,FALSE),"")</f>
        <v/>
      </c>
    </row>
    <row r="745" spans="2:39" ht="15" customHeight="1" x14ac:dyDescent="0.3">
      <c r="B745">
        <v>74.2</v>
      </c>
      <c r="C745" t="str">
        <f>IFERROR(VLOOKUP(B745,'Pre-Summary'!$DI$6:$DM$23,4,FALSE),"")</f>
        <v/>
      </c>
      <c r="D745" s="10" t="str">
        <f>IFERROR(VLOOKUP(B745,'Pre-Summary'!$AT$6:$AX$14,5,FALSE),D744)</f>
        <v>DSMZ v2: Dropped Na-Ac out of DSMZ 120 media</v>
      </c>
      <c r="E745" s="10" t="str">
        <f>IFERROR(VLOOKUP(B745,'Pre-Summary'!$AT$6:$AX$15,4,FALSE),"")</f>
        <v/>
      </c>
      <c r="F745">
        <f>IFERROR(VLOOKUP(B745,'Pre-Summary'!$AL$6:$AQ$13,6,FALSE),F744)</f>
        <v>5.9405263157894746E-2</v>
      </c>
      <c r="G745" t="str">
        <f>IFERROR(VLOOKUP(B745,'Pre-Summary'!$AE$6:$AJ$85,3,FALSE),"")</f>
        <v/>
      </c>
      <c r="H745" t="str">
        <f>IFERROR(VLOOKUP(B745,'Pre-Summary'!$AE$6:$AJ$85,4,FALSE),"")</f>
        <v/>
      </c>
      <c r="I745" t="str">
        <f>IFERROR(VLOOKUP(B745,'Pre-Summary'!$AE$6:$AJ$85,5,FALSE),"")</f>
        <v/>
      </c>
      <c r="J745" s="45" t="str">
        <f>IFERROR(VLOOKUP(B745,'Pre-Summary'!$AE$6:$AJ$85,6, FALSE),"")</f>
        <v/>
      </c>
      <c r="K745" s="45" t="str">
        <f>IFERROR(VLOOKUP(B745,'Pre-Summary'!$DE$6:$DG$61,3,FALSE),"")</f>
        <v/>
      </c>
      <c r="L745" s="45" t="str">
        <f>IFERROR(VLOOKUP(B745,'Pre-Summary'!$CU$6:$CW$36,3,FALSE),"")</f>
        <v/>
      </c>
      <c r="M745" s="45" t="str">
        <f>IFERROR(VLOOKUP(B745,'Pre-Summary'!$BW$6:$BY$58,2,FALSE),"")</f>
        <v/>
      </c>
      <c r="N745" s="45" t="str">
        <f>IFERROR(VLOOKUP(B745,'Pre-Summary'!$CD$6:$CF$64,2,FALSE),"")</f>
        <v/>
      </c>
      <c r="O745" s="99">
        <f>IFERROR(VLOOKUP(B745,'Pre-Summary'!$BO$6:$BQ$48,3, FALSE),O744)</f>
        <v>1.3</v>
      </c>
      <c r="P745" s="99">
        <f>IFERROR(VLOOKUP(B745,'Pre-Summary'!$BS$6:$BU$35,3,FALSE),P744)</f>
        <v>0.34399999999999997</v>
      </c>
      <c r="Q745" s="54">
        <f t="shared" si="33"/>
        <v>3.779069767441861</v>
      </c>
      <c r="R745" s="53">
        <f>IFERROR(VLOOKUP(B745,'Pre-Summary'!$BG$6:$BM$44,7,FALSE),R746)</f>
        <v>7.5915763918363535E-2</v>
      </c>
      <c r="S745" s="53">
        <f>IFERROR(VLOOKUP(B745,'Pre-Summary'!$BG$6:$BM$44,6,FALSE),S746)</f>
        <v>5.2897473997019086E-2</v>
      </c>
      <c r="T745" s="45" t="str">
        <f>IFERROR(VLOOKUP(B745,'Pre-Summary'!$Y$6:$AC$83, 3,FALSE),"")</f>
        <v/>
      </c>
      <c r="U745" s="45" t="str">
        <f>IFERROR(VLOOKUP(B745,'Pre-Summary'!$Y$6:$AC$83, 4,FALSE),"")</f>
        <v/>
      </c>
      <c r="V745" t="str">
        <f>IFERROR(VLOOKUP(B745,'Pre-Summary'!$Y$6:$AC$83, 5,FALSE),"")</f>
        <v/>
      </c>
      <c r="W745" s="45" t="str">
        <f>IFERROR(VLOOKUP(B745,'Pre-Summary'!$Y$6:$AD$83,6,FALSE),"")</f>
        <v/>
      </c>
      <c r="X745" t="str">
        <f>IFERROR(VLOOKUP('Pre-Summary'!$DB$6:$DD$63,3,FALSE),"")</f>
        <v/>
      </c>
      <c r="Y745" t="str">
        <f>IFERROR(VLOOKUP(B745,'Pre-Summary'!$CR$6:$CT$36,3,FALSE),"")</f>
        <v/>
      </c>
      <c r="Z745" s="45" t="str">
        <f>IFERROR(VLOOKUP(B745,'Pre-Summary'!$BZ$6:$CB$63,2,FALSE),"")</f>
        <v/>
      </c>
      <c r="AA745" s="45" t="str">
        <f>IFERROR(VLOOKUP(B745,'Pre-Summary'!$CG$6:$CI$70,2,FALSE),"")</f>
        <v/>
      </c>
      <c r="AB745" s="99">
        <f>IFERROR(VLOOKUP(B745,'Pre-Summary'!$A$6:$P$178,9,FALSE),AB746)</f>
        <v>0.55977731958672339</v>
      </c>
      <c r="AC745" s="10">
        <f>IFERROR(VLOOKUP(Summary!B745,'Pre-Summary'!$A$6:$P$184,5, FALSE)/100,AC746)</f>
        <v>0.73175400000000013</v>
      </c>
      <c r="AD745" s="10">
        <f>IFERROR(VLOOKUP(Summary!B745,'Pre-Summary'!$A$6:$P$184,3, FALSE)/100,AD746)</f>
        <v>8.5874333333333316E-2</v>
      </c>
      <c r="AE745" s="10">
        <f>IFERROR(VLOOKUP(Summary!B745,'Pre-Summary'!$A$6:$P$184,7, FALSE)/100,AE746)</f>
        <v>0.18237166666666668</v>
      </c>
      <c r="AF745" s="99">
        <f t="shared" si="34"/>
        <v>4.807050413463014E-2</v>
      </c>
      <c r="AG745" s="99">
        <f t="shared" si="35"/>
        <v>0.10208752273523006</v>
      </c>
      <c r="AH745" s="10" t="str">
        <f>IFERROR(VLOOKUP(B745,'Pre-Summary'!$AZ$6:$BE$65,3,FALSE),"")</f>
        <v/>
      </c>
      <c r="AI745" s="10" t="str">
        <f>IFERROR(VLOOKUP(B745,'Pre-Summary'!$AZ$6:$BE$65,5,FALSE),"")</f>
        <v/>
      </c>
      <c r="AJ745" s="10" t="str">
        <f>IFERROR(VLOOKUP(B745,'Pre-Summary'!$AZ$6:$BE$65,4,FALSE),"")</f>
        <v/>
      </c>
      <c r="AK745" s="10" t="str">
        <f>IFERROR(VLOOKUP(B745,'Pre-Summary'!$AZ$6:$BE$65,6,FALSE),"")</f>
        <v/>
      </c>
      <c r="AL745" s="10" t="str">
        <f>IFERROR(VLOOKUP(B745,'Pre-Summary'!$BG$6:$BL$44,3,FALSE),"")</f>
        <v/>
      </c>
      <c r="AM745" s="10" t="str">
        <f>IFERROR(VLOOKUP(B745,'Pre-Summary'!$BG$6:$BL$44,4,FALSE),"")</f>
        <v/>
      </c>
    </row>
    <row r="746" spans="2:39" ht="15" customHeight="1" x14ac:dyDescent="0.3">
      <c r="B746">
        <v>74.3</v>
      </c>
      <c r="C746" t="str">
        <f>IFERROR(VLOOKUP(B746,'Pre-Summary'!$DI$6:$DM$23,4,FALSE),"")</f>
        <v/>
      </c>
      <c r="D746" s="10" t="str">
        <f>IFERROR(VLOOKUP(B746,'Pre-Summary'!$AT$6:$AX$14,5,FALSE),D745)</f>
        <v>DSMZ v2: Dropped Na-Ac out of DSMZ 120 media</v>
      </c>
      <c r="E746" s="10" t="str">
        <f>IFERROR(VLOOKUP(B746,'Pre-Summary'!$AT$6:$AX$15,4,FALSE),"")</f>
        <v/>
      </c>
      <c r="F746">
        <f>IFERROR(VLOOKUP(B746,'Pre-Summary'!$AL$6:$AQ$13,6,FALSE),F745)</f>
        <v>5.9405263157894746E-2</v>
      </c>
      <c r="G746" t="str">
        <f>IFERROR(VLOOKUP(B746,'Pre-Summary'!$AE$6:$AJ$85,3,FALSE),"")</f>
        <v/>
      </c>
      <c r="H746" t="str">
        <f>IFERROR(VLOOKUP(B746,'Pre-Summary'!$AE$6:$AJ$85,4,FALSE),"")</f>
        <v/>
      </c>
      <c r="I746" t="str">
        <f>IFERROR(VLOOKUP(B746,'Pre-Summary'!$AE$6:$AJ$85,5,FALSE),"")</f>
        <v/>
      </c>
      <c r="J746" s="45" t="str">
        <f>IFERROR(VLOOKUP(B746,'Pre-Summary'!$AE$6:$AJ$85,6, FALSE),"")</f>
        <v/>
      </c>
      <c r="K746" s="45" t="str">
        <f>IFERROR(VLOOKUP(B746,'Pre-Summary'!$DE$6:$DG$61,3,FALSE),"")</f>
        <v/>
      </c>
      <c r="L746" s="45" t="str">
        <f>IFERROR(VLOOKUP(B746,'Pre-Summary'!$CU$6:$CW$36,3,FALSE),"")</f>
        <v/>
      </c>
      <c r="M746" s="45" t="str">
        <f>IFERROR(VLOOKUP(B746,'Pre-Summary'!$BW$6:$BY$58,2,FALSE),"")</f>
        <v/>
      </c>
      <c r="N746" s="45" t="str">
        <f>IFERROR(VLOOKUP(B746,'Pre-Summary'!$CD$6:$CF$64,2,FALSE),"")</f>
        <v/>
      </c>
      <c r="O746" s="99">
        <f>IFERROR(VLOOKUP(B746,'Pre-Summary'!$BO$6:$BQ$48,3, FALSE),O745)</f>
        <v>1.3</v>
      </c>
      <c r="P746" s="99">
        <f>IFERROR(VLOOKUP(B746,'Pre-Summary'!$BS$6:$BU$35,3,FALSE),P745)</f>
        <v>0.34399999999999997</v>
      </c>
      <c r="Q746" s="54">
        <f t="shared" si="33"/>
        <v>3.779069767441861</v>
      </c>
      <c r="R746" s="53">
        <f>IFERROR(VLOOKUP(B746,'Pre-Summary'!$BG$6:$BM$44,7,FALSE),R747)</f>
        <v>7.5915763918363535E-2</v>
      </c>
      <c r="S746" s="53">
        <f>IFERROR(VLOOKUP(B746,'Pre-Summary'!$BG$6:$BM$44,6,FALSE),S747)</f>
        <v>5.2897473997019086E-2</v>
      </c>
      <c r="T746" s="45" t="str">
        <f>IFERROR(VLOOKUP(B746,'Pre-Summary'!$Y$6:$AC$83, 3,FALSE),"")</f>
        <v/>
      </c>
      <c r="U746" s="45" t="str">
        <f>IFERROR(VLOOKUP(B746,'Pre-Summary'!$Y$6:$AC$83, 4,FALSE),"")</f>
        <v/>
      </c>
      <c r="V746" t="str">
        <f>IFERROR(VLOOKUP(B746,'Pre-Summary'!$Y$6:$AC$83, 5,FALSE),"")</f>
        <v/>
      </c>
      <c r="W746" s="45" t="str">
        <f>IFERROR(VLOOKUP(B746,'Pre-Summary'!$Y$6:$AD$83,6,FALSE),"")</f>
        <v/>
      </c>
      <c r="X746" t="str">
        <f>IFERROR(VLOOKUP('Pre-Summary'!$DB$6:$DD$63,3,FALSE),"")</f>
        <v/>
      </c>
      <c r="Y746" t="str">
        <f>IFERROR(VLOOKUP(B746,'Pre-Summary'!$CR$6:$CT$36,3,FALSE),"")</f>
        <v/>
      </c>
      <c r="Z746" s="45" t="str">
        <f>IFERROR(VLOOKUP(B746,'Pre-Summary'!$BZ$6:$CB$63,2,FALSE),"")</f>
        <v/>
      </c>
      <c r="AA746" s="45" t="str">
        <f>IFERROR(VLOOKUP(B746,'Pre-Summary'!$CG$6:$CI$70,2,FALSE),"")</f>
        <v/>
      </c>
      <c r="AB746" s="99">
        <f>IFERROR(VLOOKUP(B746,'Pre-Summary'!$A$6:$P$178,9,FALSE),AB747)</f>
        <v>0.55977731958672339</v>
      </c>
      <c r="AC746" s="10">
        <f>IFERROR(VLOOKUP(Summary!B746,'Pre-Summary'!$A$6:$P$184,5, FALSE)/100,AC747)</f>
        <v>0.73175400000000013</v>
      </c>
      <c r="AD746" s="10">
        <f>IFERROR(VLOOKUP(Summary!B746,'Pre-Summary'!$A$6:$P$184,3, FALSE)/100,AD747)</f>
        <v>8.5874333333333316E-2</v>
      </c>
      <c r="AE746" s="10">
        <f>IFERROR(VLOOKUP(Summary!B746,'Pre-Summary'!$A$6:$P$184,7, FALSE)/100,AE747)</f>
        <v>0.18237166666666668</v>
      </c>
      <c r="AF746" s="99">
        <f t="shared" si="34"/>
        <v>4.807050413463014E-2</v>
      </c>
      <c r="AG746" s="99">
        <f t="shared" si="35"/>
        <v>0.10208752273523006</v>
      </c>
      <c r="AH746" s="10" t="str">
        <f>IFERROR(VLOOKUP(B746,'Pre-Summary'!$AZ$6:$BE$65,3,FALSE),"")</f>
        <v/>
      </c>
      <c r="AI746" s="10" t="str">
        <f>IFERROR(VLOOKUP(B746,'Pre-Summary'!$AZ$6:$BE$65,5,FALSE),"")</f>
        <v/>
      </c>
      <c r="AJ746" s="10" t="str">
        <f>IFERROR(VLOOKUP(B746,'Pre-Summary'!$AZ$6:$BE$65,4,FALSE),"")</f>
        <v/>
      </c>
      <c r="AK746" s="10" t="str">
        <f>IFERROR(VLOOKUP(B746,'Pre-Summary'!$AZ$6:$BE$65,6,FALSE),"")</f>
        <v/>
      </c>
      <c r="AL746" s="10" t="str">
        <f>IFERROR(VLOOKUP(B746,'Pre-Summary'!$BG$6:$BL$44,3,FALSE),"")</f>
        <v/>
      </c>
      <c r="AM746" s="10" t="str">
        <f>IFERROR(VLOOKUP(B746,'Pre-Summary'!$BG$6:$BL$44,4,FALSE),"")</f>
        <v/>
      </c>
    </row>
    <row r="747" spans="2:39" ht="15" customHeight="1" x14ac:dyDescent="0.3">
      <c r="B747">
        <v>74.400000000000006</v>
      </c>
      <c r="C747" t="str">
        <f>IFERROR(VLOOKUP(B747,'Pre-Summary'!$DI$6:$DM$23,4,FALSE),"")</f>
        <v/>
      </c>
      <c r="D747" s="10" t="str">
        <f>IFERROR(VLOOKUP(B747,'Pre-Summary'!$AT$6:$AX$14,5,FALSE),D746)</f>
        <v>DSMZ v2: Dropped Na-Ac out of DSMZ 120 media</v>
      </c>
      <c r="E747" s="10" t="str">
        <f>IFERROR(VLOOKUP(B747,'Pre-Summary'!$AT$6:$AX$15,4,FALSE),"")</f>
        <v/>
      </c>
      <c r="F747">
        <f>IFERROR(VLOOKUP(B747,'Pre-Summary'!$AL$6:$AQ$13,6,FALSE),F746)</f>
        <v>5.9405263157894746E-2</v>
      </c>
      <c r="G747" t="str">
        <f>IFERROR(VLOOKUP(B747,'Pre-Summary'!$AE$6:$AJ$85,3,FALSE),"")</f>
        <v/>
      </c>
      <c r="H747" t="str">
        <f>IFERROR(VLOOKUP(B747,'Pre-Summary'!$AE$6:$AJ$85,4,FALSE),"")</f>
        <v/>
      </c>
      <c r="I747" t="str">
        <f>IFERROR(VLOOKUP(B747,'Pre-Summary'!$AE$6:$AJ$85,5,FALSE),"")</f>
        <v/>
      </c>
      <c r="J747" s="45" t="str">
        <f>IFERROR(VLOOKUP(B747,'Pre-Summary'!$AE$6:$AJ$85,6, FALSE),"")</f>
        <v/>
      </c>
      <c r="K747" s="45" t="str">
        <f>IFERROR(VLOOKUP(B747,'Pre-Summary'!$DE$6:$DG$61,3,FALSE),"")</f>
        <v/>
      </c>
      <c r="L747" s="45" t="str">
        <f>IFERROR(VLOOKUP(B747,'Pre-Summary'!$CU$6:$CW$36,3,FALSE),"")</f>
        <v/>
      </c>
      <c r="M747" s="45" t="str">
        <f>IFERROR(VLOOKUP(B747,'Pre-Summary'!$BW$6:$BY$58,2,FALSE),"")</f>
        <v/>
      </c>
      <c r="N747" s="45" t="str">
        <f>IFERROR(VLOOKUP(B747,'Pre-Summary'!$CD$6:$CF$64,2,FALSE),"")</f>
        <v/>
      </c>
      <c r="O747" s="99">
        <f>IFERROR(VLOOKUP(B747,'Pre-Summary'!$BO$6:$BQ$48,3, FALSE),O746)</f>
        <v>1.3</v>
      </c>
      <c r="P747" s="99">
        <f>IFERROR(VLOOKUP(B747,'Pre-Summary'!$BS$6:$BU$35,3,FALSE),P746)</f>
        <v>0.34399999999999997</v>
      </c>
      <c r="Q747" s="54">
        <f t="shared" si="33"/>
        <v>3.779069767441861</v>
      </c>
      <c r="R747" s="53">
        <f>IFERROR(VLOOKUP(B747,'Pre-Summary'!$BG$6:$BM$44,7,FALSE),R748)</f>
        <v>7.5915763918363535E-2</v>
      </c>
      <c r="S747" s="53">
        <f>IFERROR(VLOOKUP(B747,'Pre-Summary'!$BG$6:$BM$44,6,FALSE),S748)</f>
        <v>5.2897473997019086E-2</v>
      </c>
      <c r="T747" s="45" t="str">
        <f>IFERROR(VLOOKUP(B747,'Pre-Summary'!$Y$6:$AC$83, 3,FALSE),"")</f>
        <v/>
      </c>
      <c r="U747" s="45" t="str">
        <f>IFERROR(VLOOKUP(B747,'Pre-Summary'!$Y$6:$AC$83, 4,FALSE),"")</f>
        <v/>
      </c>
      <c r="V747" t="str">
        <f>IFERROR(VLOOKUP(B747,'Pre-Summary'!$Y$6:$AC$83, 5,FALSE),"")</f>
        <v/>
      </c>
      <c r="W747" s="45" t="str">
        <f>IFERROR(VLOOKUP(B747,'Pre-Summary'!$Y$6:$AD$83,6,FALSE),"")</f>
        <v/>
      </c>
      <c r="X747" t="str">
        <f>IFERROR(VLOOKUP('Pre-Summary'!$DB$6:$DD$63,3,FALSE),"")</f>
        <v/>
      </c>
      <c r="Y747" t="str">
        <f>IFERROR(VLOOKUP(B747,'Pre-Summary'!$CR$6:$CT$36,3,FALSE),"")</f>
        <v/>
      </c>
      <c r="Z747" s="45" t="str">
        <f>IFERROR(VLOOKUP(B747,'Pre-Summary'!$BZ$6:$CB$63,2,FALSE),"")</f>
        <v/>
      </c>
      <c r="AA747" s="45" t="str">
        <f>IFERROR(VLOOKUP(B747,'Pre-Summary'!$CG$6:$CI$70,2,FALSE),"")</f>
        <v/>
      </c>
      <c r="AB747" s="99">
        <f>IFERROR(VLOOKUP(B747,'Pre-Summary'!$A$6:$P$178,9,FALSE),AB748)</f>
        <v>0.55977731958672339</v>
      </c>
      <c r="AC747" s="10">
        <f>IFERROR(VLOOKUP(Summary!B747,'Pre-Summary'!$A$6:$P$184,5, FALSE)/100,AC748)</f>
        <v>0.73175400000000013</v>
      </c>
      <c r="AD747" s="10">
        <f>IFERROR(VLOOKUP(Summary!B747,'Pre-Summary'!$A$6:$P$184,3, FALSE)/100,AD748)</f>
        <v>8.5874333333333316E-2</v>
      </c>
      <c r="AE747" s="10">
        <f>IFERROR(VLOOKUP(Summary!B747,'Pre-Summary'!$A$6:$P$184,7, FALSE)/100,AE748)</f>
        <v>0.18237166666666668</v>
      </c>
      <c r="AF747" s="99">
        <f t="shared" si="34"/>
        <v>4.807050413463014E-2</v>
      </c>
      <c r="AG747" s="99">
        <f t="shared" si="35"/>
        <v>0.10208752273523006</v>
      </c>
      <c r="AH747" s="10" t="str">
        <f>IFERROR(VLOOKUP(B747,'Pre-Summary'!$AZ$6:$BE$65,3,FALSE),"")</f>
        <v/>
      </c>
      <c r="AI747" s="10" t="str">
        <f>IFERROR(VLOOKUP(B747,'Pre-Summary'!$AZ$6:$BE$65,5,FALSE),"")</f>
        <v/>
      </c>
      <c r="AJ747" s="10" t="str">
        <f>IFERROR(VLOOKUP(B747,'Pre-Summary'!$AZ$6:$BE$65,4,FALSE),"")</f>
        <v/>
      </c>
      <c r="AK747" s="10" t="str">
        <f>IFERROR(VLOOKUP(B747,'Pre-Summary'!$AZ$6:$BE$65,6,FALSE),"")</f>
        <v/>
      </c>
      <c r="AL747" s="10" t="str">
        <f>IFERROR(VLOOKUP(B747,'Pre-Summary'!$BG$6:$BL$44,3,FALSE),"")</f>
        <v/>
      </c>
      <c r="AM747" s="10" t="str">
        <f>IFERROR(VLOOKUP(B747,'Pre-Summary'!$BG$6:$BL$44,4,FALSE),"")</f>
        <v/>
      </c>
    </row>
    <row r="748" spans="2:39" ht="15" customHeight="1" x14ac:dyDescent="0.3">
      <c r="B748">
        <v>74.5</v>
      </c>
      <c r="C748" t="str">
        <f>IFERROR(VLOOKUP(B748,'Pre-Summary'!$DI$6:$DM$23,4,FALSE),"")</f>
        <v/>
      </c>
      <c r="D748" s="10" t="str">
        <f>IFERROR(VLOOKUP(B748,'Pre-Summary'!$AT$6:$AX$14,5,FALSE),D747)</f>
        <v>DSMZ v2: Dropped Na-Ac out of DSMZ 120 media</v>
      </c>
      <c r="E748" s="10" t="str">
        <f>IFERROR(VLOOKUP(B748,'Pre-Summary'!$AT$6:$AX$15,4,FALSE),"")</f>
        <v/>
      </c>
      <c r="F748">
        <f>IFERROR(VLOOKUP(B748,'Pre-Summary'!$AL$6:$AQ$13,6,FALSE),F747)</f>
        <v>5.9405263157894746E-2</v>
      </c>
      <c r="G748" t="str">
        <f>IFERROR(VLOOKUP(B748,'Pre-Summary'!$AE$6:$AJ$85,3,FALSE),"")</f>
        <v/>
      </c>
      <c r="H748" t="str">
        <f>IFERROR(VLOOKUP(B748,'Pre-Summary'!$AE$6:$AJ$85,4,FALSE),"")</f>
        <v/>
      </c>
      <c r="I748" t="str">
        <f>IFERROR(VLOOKUP(B748,'Pre-Summary'!$AE$6:$AJ$85,5,FALSE),"")</f>
        <v/>
      </c>
      <c r="J748" s="45" t="str">
        <f>IFERROR(VLOOKUP(B748,'Pre-Summary'!$AE$6:$AJ$85,6, FALSE),"")</f>
        <v/>
      </c>
      <c r="K748" s="45" t="str">
        <f>IFERROR(VLOOKUP(B748,'Pre-Summary'!$DE$6:$DG$61,3,FALSE),"")</f>
        <v/>
      </c>
      <c r="L748" s="45" t="str">
        <f>IFERROR(VLOOKUP(B748,'Pre-Summary'!$CU$6:$CW$36,3,FALSE),"")</f>
        <v/>
      </c>
      <c r="M748" s="45" t="str">
        <f>IFERROR(VLOOKUP(B748,'Pre-Summary'!$BW$6:$BY$58,2,FALSE),"")</f>
        <v/>
      </c>
      <c r="N748" s="45" t="str">
        <f>IFERROR(VLOOKUP(B748,'Pre-Summary'!$CD$6:$CF$64,2,FALSE),"")</f>
        <v/>
      </c>
      <c r="O748" s="99">
        <f>IFERROR(VLOOKUP(B748,'Pre-Summary'!$BO$6:$BQ$48,3, FALSE),O747)</f>
        <v>1.3</v>
      </c>
      <c r="P748" s="99">
        <f>IFERROR(VLOOKUP(B748,'Pre-Summary'!$BS$6:$BU$35,3,FALSE),P747)</f>
        <v>0.34399999999999997</v>
      </c>
      <c r="Q748" s="54">
        <f t="shared" si="33"/>
        <v>3.779069767441861</v>
      </c>
      <c r="R748" s="53">
        <f>IFERROR(VLOOKUP(B748,'Pre-Summary'!$BG$6:$BM$44,7,FALSE),R749)</f>
        <v>7.5915763918363535E-2</v>
      </c>
      <c r="S748" s="53">
        <f>IFERROR(VLOOKUP(B748,'Pre-Summary'!$BG$6:$BM$44,6,FALSE),S749)</f>
        <v>5.2897473997019086E-2</v>
      </c>
      <c r="T748" s="45" t="str">
        <f>IFERROR(VLOOKUP(B748,'Pre-Summary'!$Y$6:$AC$83, 3,FALSE),"")</f>
        <v/>
      </c>
      <c r="U748" s="45" t="str">
        <f>IFERROR(VLOOKUP(B748,'Pre-Summary'!$Y$6:$AC$83, 4,FALSE),"")</f>
        <v/>
      </c>
      <c r="V748" t="str">
        <f>IFERROR(VLOOKUP(B748,'Pre-Summary'!$Y$6:$AC$83, 5,FALSE),"")</f>
        <v/>
      </c>
      <c r="W748" s="45" t="str">
        <f>IFERROR(VLOOKUP(B748,'Pre-Summary'!$Y$6:$AD$83,6,FALSE),"")</f>
        <v/>
      </c>
      <c r="X748" t="str">
        <f>IFERROR(VLOOKUP('Pre-Summary'!$DB$6:$DD$63,3,FALSE),"")</f>
        <v/>
      </c>
      <c r="Y748" t="str">
        <f>IFERROR(VLOOKUP(B748,'Pre-Summary'!$CR$6:$CT$36,3,FALSE),"")</f>
        <v/>
      </c>
      <c r="Z748" s="45" t="str">
        <f>IFERROR(VLOOKUP(B748,'Pre-Summary'!$BZ$6:$CB$63,2,FALSE),"")</f>
        <v/>
      </c>
      <c r="AA748" s="45" t="str">
        <f>IFERROR(VLOOKUP(B748,'Pre-Summary'!$CG$6:$CI$70,2,FALSE),"")</f>
        <v/>
      </c>
      <c r="AB748" s="99">
        <f>IFERROR(VLOOKUP(B748,'Pre-Summary'!$A$6:$P$178,9,FALSE),AB749)</f>
        <v>0.55977731958672339</v>
      </c>
      <c r="AC748" s="10">
        <f>IFERROR(VLOOKUP(Summary!B748,'Pre-Summary'!$A$6:$P$184,5, FALSE)/100,AC749)</f>
        <v>0.73175400000000013</v>
      </c>
      <c r="AD748" s="10">
        <f>IFERROR(VLOOKUP(Summary!B748,'Pre-Summary'!$A$6:$P$184,3, FALSE)/100,AD749)</f>
        <v>8.5874333333333316E-2</v>
      </c>
      <c r="AE748" s="10">
        <f>IFERROR(VLOOKUP(Summary!B748,'Pre-Summary'!$A$6:$P$184,7, FALSE)/100,AE749)</f>
        <v>0.18237166666666668</v>
      </c>
      <c r="AF748" s="99">
        <f t="shared" si="34"/>
        <v>4.807050413463014E-2</v>
      </c>
      <c r="AG748" s="99">
        <f t="shared" si="35"/>
        <v>0.10208752273523006</v>
      </c>
      <c r="AH748" s="10" t="str">
        <f>IFERROR(VLOOKUP(B748,'Pre-Summary'!$AZ$6:$BE$65,3,FALSE),"")</f>
        <v/>
      </c>
      <c r="AI748" s="10" t="str">
        <f>IFERROR(VLOOKUP(B748,'Pre-Summary'!$AZ$6:$BE$65,5,FALSE),"")</f>
        <v/>
      </c>
      <c r="AJ748" s="10" t="str">
        <f>IFERROR(VLOOKUP(B748,'Pre-Summary'!$AZ$6:$BE$65,4,FALSE),"")</f>
        <v/>
      </c>
      <c r="AK748" s="10" t="str">
        <f>IFERROR(VLOOKUP(B748,'Pre-Summary'!$AZ$6:$BE$65,6,FALSE),"")</f>
        <v/>
      </c>
      <c r="AL748" s="10" t="str">
        <f>IFERROR(VLOOKUP(B748,'Pre-Summary'!$BG$6:$BL$44,3,FALSE),"")</f>
        <v/>
      </c>
      <c r="AM748" s="10" t="str">
        <f>IFERROR(VLOOKUP(B748,'Pre-Summary'!$BG$6:$BL$44,4,FALSE),"")</f>
        <v/>
      </c>
    </row>
    <row r="749" spans="2:39" ht="15" customHeight="1" x14ac:dyDescent="0.3">
      <c r="B749">
        <v>74.599999999999994</v>
      </c>
      <c r="C749" t="str">
        <f>IFERROR(VLOOKUP(B749,'Pre-Summary'!$DI$6:$DM$23,4,FALSE),"")</f>
        <v/>
      </c>
      <c r="D749" s="10" t="str">
        <f>IFERROR(VLOOKUP(B749,'Pre-Summary'!$AT$6:$AX$14,5,FALSE),D748)</f>
        <v>DSMZ v2: Dropped Na-Ac out of DSMZ 120 media</v>
      </c>
      <c r="E749" s="10" t="str">
        <f>IFERROR(VLOOKUP(B749,'Pre-Summary'!$AT$6:$AX$15,4,FALSE),"")</f>
        <v/>
      </c>
      <c r="F749">
        <f>IFERROR(VLOOKUP(B749,'Pre-Summary'!$AL$6:$AQ$13,6,FALSE),F748)</f>
        <v>5.9405263157894746E-2</v>
      </c>
      <c r="G749" t="str">
        <f>IFERROR(VLOOKUP(B749,'Pre-Summary'!$AE$6:$AJ$85,3,FALSE),"")</f>
        <v/>
      </c>
      <c r="H749" t="str">
        <f>IFERROR(VLOOKUP(B749,'Pre-Summary'!$AE$6:$AJ$85,4,FALSE),"")</f>
        <v/>
      </c>
      <c r="I749" t="str">
        <f>IFERROR(VLOOKUP(B749,'Pre-Summary'!$AE$6:$AJ$85,5,FALSE),"")</f>
        <v/>
      </c>
      <c r="J749" s="45" t="str">
        <f>IFERROR(VLOOKUP(B749,'Pre-Summary'!$AE$6:$AJ$85,6, FALSE),"")</f>
        <v/>
      </c>
      <c r="K749" s="45" t="str">
        <f>IFERROR(VLOOKUP(B749,'Pre-Summary'!$DE$6:$DG$61,3,FALSE),"")</f>
        <v/>
      </c>
      <c r="L749" s="45" t="str">
        <f>IFERROR(VLOOKUP(B749,'Pre-Summary'!$CU$6:$CW$36,3,FALSE),"")</f>
        <v/>
      </c>
      <c r="M749" s="45" t="str">
        <f>IFERROR(VLOOKUP(B749,'Pre-Summary'!$BW$6:$BY$58,2,FALSE),"")</f>
        <v/>
      </c>
      <c r="N749" s="45" t="str">
        <f>IFERROR(VLOOKUP(B749,'Pre-Summary'!$CD$6:$CF$64,2,FALSE),"")</f>
        <v/>
      </c>
      <c r="O749" s="99">
        <f>IFERROR(VLOOKUP(B749,'Pre-Summary'!$BO$6:$BQ$48,3, FALSE),O748)</f>
        <v>1.3</v>
      </c>
      <c r="P749" s="99">
        <f>IFERROR(VLOOKUP(B749,'Pre-Summary'!$BS$6:$BU$35,3,FALSE),P748)</f>
        <v>0.34399999999999997</v>
      </c>
      <c r="Q749" s="54">
        <f t="shared" si="33"/>
        <v>3.779069767441861</v>
      </c>
      <c r="R749" s="53">
        <f>IFERROR(VLOOKUP(B749,'Pre-Summary'!$BG$6:$BM$44,7,FALSE),R750)</f>
        <v>7.5915763918363535E-2</v>
      </c>
      <c r="S749" s="53">
        <f>IFERROR(VLOOKUP(B749,'Pre-Summary'!$BG$6:$BM$44,6,FALSE),S750)</f>
        <v>5.2897473997019086E-2</v>
      </c>
      <c r="T749" s="45" t="str">
        <f>IFERROR(VLOOKUP(B749,'Pre-Summary'!$Y$6:$AC$83, 3,FALSE),"")</f>
        <v/>
      </c>
      <c r="U749" s="45" t="str">
        <f>IFERROR(VLOOKUP(B749,'Pre-Summary'!$Y$6:$AC$83, 4,FALSE),"")</f>
        <v/>
      </c>
      <c r="V749" t="str">
        <f>IFERROR(VLOOKUP(B749,'Pre-Summary'!$Y$6:$AC$83, 5,FALSE),"")</f>
        <v/>
      </c>
      <c r="W749" s="45" t="str">
        <f>IFERROR(VLOOKUP(B749,'Pre-Summary'!$Y$6:$AD$83,6,FALSE),"")</f>
        <v/>
      </c>
      <c r="X749" t="str">
        <f>IFERROR(VLOOKUP('Pre-Summary'!$DB$6:$DD$63,3,FALSE),"")</f>
        <v/>
      </c>
      <c r="Y749" t="str">
        <f>IFERROR(VLOOKUP(B749,'Pre-Summary'!$CR$6:$CT$36,3,FALSE),"")</f>
        <v/>
      </c>
      <c r="Z749" s="45" t="str">
        <f>IFERROR(VLOOKUP(B749,'Pre-Summary'!$BZ$6:$CB$63,2,FALSE),"")</f>
        <v/>
      </c>
      <c r="AA749" s="45" t="str">
        <f>IFERROR(VLOOKUP(B749,'Pre-Summary'!$CG$6:$CI$70,2,FALSE),"")</f>
        <v/>
      </c>
      <c r="AB749" s="99">
        <f>IFERROR(VLOOKUP(B749,'Pre-Summary'!$A$6:$P$178,9,FALSE),AB750)</f>
        <v>0.55977731958672339</v>
      </c>
      <c r="AC749" s="10">
        <f>IFERROR(VLOOKUP(Summary!B749,'Pre-Summary'!$A$6:$P$184,5, FALSE)/100,AC750)</f>
        <v>0.73175400000000013</v>
      </c>
      <c r="AD749" s="10">
        <f>IFERROR(VLOOKUP(Summary!B749,'Pre-Summary'!$A$6:$P$184,3, FALSE)/100,AD750)</f>
        <v>8.5874333333333316E-2</v>
      </c>
      <c r="AE749" s="10">
        <f>IFERROR(VLOOKUP(Summary!B749,'Pre-Summary'!$A$6:$P$184,7, FALSE)/100,AE750)</f>
        <v>0.18237166666666668</v>
      </c>
      <c r="AF749" s="99">
        <f t="shared" si="34"/>
        <v>4.807050413463014E-2</v>
      </c>
      <c r="AG749" s="99">
        <f t="shared" si="35"/>
        <v>0.10208752273523006</v>
      </c>
      <c r="AH749" s="10" t="str">
        <f>IFERROR(VLOOKUP(B749,'Pre-Summary'!$AZ$6:$BE$65,3,FALSE),"")</f>
        <v/>
      </c>
      <c r="AI749" s="10" t="str">
        <f>IFERROR(VLOOKUP(B749,'Pre-Summary'!$AZ$6:$BE$65,5,FALSE),"")</f>
        <v/>
      </c>
      <c r="AJ749" s="10" t="str">
        <f>IFERROR(VLOOKUP(B749,'Pre-Summary'!$AZ$6:$BE$65,4,FALSE),"")</f>
        <v/>
      </c>
      <c r="AK749" s="10" t="str">
        <f>IFERROR(VLOOKUP(B749,'Pre-Summary'!$AZ$6:$BE$65,6,FALSE),"")</f>
        <v/>
      </c>
      <c r="AL749" s="10" t="str">
        <f>IFERROR(VLOOKUP(B749,'Pre-Summary'!$BG$6:$BL$44,3,FALSE),"")</f>
        <v/>
      </c>
      <c r="AM749" s="10" t="str">
        <f>IFERROR(VLOOKUP(B749,'Pre-Summary'!$BG$6:$BL$44,4,FALSE),"")</f>
        <v/>
      </c>
    </row>
    <row r="750" spans="2:39" ht="15" customHeight="1" x14ac:dyDescent="0.3">
      <c r="B750">
        <v>74.7</v>
      </c>
      <c r="C750" t="str">
        <f>IFERROR(VLOOKUP(B750,'Pre-Summary'!$DI$6:$DM$23,4,FALSE),"")</f>
        <v/>
      </c>
      <c r="D750" s="10" t="str">
        <f>IFERROR(VLOOKUP(B750,'Pre-Summary'!$AT$6:$AX$14,5,FALSE),D749)</f>
        <v>DSMZ v2: Dropped Na-Ac out of DSMZ 120 media</v>
      </c>
      <c r="E750" s="10" t="str">
        <f>IFERROR(VLOOKUP(B750,'Pre-Summary'!$AT$6:$AX$15,4,FALSE),"")</f>
        <v/>
      </c>
      <c r="F750">
        <f>IFERROR(VLOOKUP(B750,'Pre-Summary'!$AL$6:$AQ$13,6,FALSE),F749)</f>
        <v>5.9405263157894746E-2</v>
      </c>
      <c r="G750" t="str">
        <f>IFERROR(VLOOKUP(B750,'Pre-Summary'!$AE$6:$AJ$85,3,FALSE),"")</f>
        <v/>
      </c>
      <c r="H750" t="str">
        <f>IFERROR(VLOOKUP(B750,'Pre-Summary'!$AE$6:$AJ$85,4,FALSE),"")</f>
        <v/>
      </c>
      <c r="I750" t="str">
        <f>IFERROR(VLOOKUP(B750,'Pre-Summary'!$AE$6:$AJ$85,5,FALSE),"")</f>
        <v/>
      </c>
      <c r="J750" s="45" t="str">
        <f>IFERROR(VLOOKUP(B750,'Pre-Summary'!$AE$6:$AJ$85,6, FALSE),"")</f>
        <v/>
      </c>
      <c r="K750" s="45" t="str">
        <f>IFERROR(VLOOKUP(B750,'Pre-Summary'!$DE$6:$DG$61,3,FALSE),"")</f>
        <v/>
      </c>
      <c r="L750" s="45" t="str">
        <f>IFERROR(VLOOKUP(B750,'Pre-Summary'!$CU$6:$CW$36,3,FALSE),"")</f>
        <v/>
      </c>
      <c r="M750" s="45" t="str">
        <f>IFERROR(VLOOKUP(B750,'Pre-Summary'!$BW$6:$BY$58,2,FALSE),"")</f>
        <v/>
      </c>
      <c r="N750" s="45" t="str">
        <f>IFERROR(VLOOKUP(B750,'Pre-Summary'!$CD$6:$CF$64,2,FALSE),"")</f>
        <v/>
      </c>
      <c r="O750" s="99">
        <f>IFERROR(VLOOKUP(B750,'Pre-Summary'!$BO$6:$BQ$48,3, FALSE),O749)</f>
        <v>1.3</v>
      </c>
      <c r="P750" s="99">
        <f>IFERROR(VLOOKUP(B750,'Pre-Summary'!$BS$6:$BU$35,3,FALSE),P749)</f>
        <v>0.34399999999999997</v>
      </c>
      <c r="Q750" s="54">
        <f t="shared" si="33"/>
        <v>3.779069767441861</v>
      </c>
      <c r="R750" s="53">
        <f>IFERROR(VLOOKUP(B750,'Pre-Summary'!$BG$6:$BM$44,7,FALSE),R751)</f>
        <v>7.5915763918363535E-2</v>
      </c>
      <c r="S750" s="53">
        <f>IFERROR(VLOOKUP(B750,'Pre-Summary'!$BG$6:$BM$44,6,FALSE),S751)</f>
        <v>5.2897473997019086E-2</v>
      </c>
      <c r="T750" s="45" t="str">
        <f>IFERROR(VLOOKUP(B750,'Pre-Summary'!$Y$6:$AC$83, 3,FALSE),"")</f>
        <v/>
      </c>
      <c r="U750" s="45" t="str">
        <f>IFERROR(VLOOKUP(B750,'Pre-Summary'!$Y$6:$AC$83, 4,FALSE),"")</f>
        <v/>
      </c>
      <c r="V750" t="str">
        <f>IFERROR(VLOOKUP(B750,'Pre-Summary'!$Y$6:$AC$83, 5,FALSE),"")</f>
        <v/>
      </c>
      <c r="W750" s="45" t="str">
        <f>IFERROR(VLOOKUP(B750,'Pre-Summary'!$Y$6:$AD$83,6,FALSE),"")</f>
        <v/>
      </c>
      <c r="X750" t="str">
        <f>IFERROR(VLOOKUP('Pre-Summary'!$DB$6:$DD$63,3,FALSE),"")</f>
        <v/>
      </c>
      <c r="Y750" t="str">
        <f>IFERROR(VLOOKUP(B750,'Pre-Summary'!$CR$6:$CT$36,3,FALSE),"")</f>
        <v/>
      </c>
      <c r="Z750" s="45" t="str">
        <f>IFERROR(VLOOKUP(B750,'Pre-Summary'!$BZ$6:$CB$63,2,FALSE),"")</f>
        <v/>
      </c>
      <c r="AA750" s="45" t="str">
        <f>IFERROR(VLOOKUP(B750,'Pre-Summary'!$CG$6:$CI$70,2,FALSE),"")</f>
        <v/>
      </c>
      <c r="AB750" s="99">
        <f>IFERROR(VLOOKUP(B750,'Pre-Summary'!$A$6:$P$178,9,FALSE),AB751)</f>
        <v>0.55977731958672339</v>
      </c>
      <c r="AC750" s="10">
        <f>IFERROR(VLOOKUP(Summary!B750,'Pre-Summary'!$A$6:$P$184,5, FALSE)/100,AC751)</f>
        <v>0.73175400000000013</v>
      </c>
      <c r="AD750" s="10">
        <f>IFERROR(VLOOKUP(Summary!B750,'Pre-Summary'!$A$6:$P$184,3, FALSE)/100,AD751)</f>
        <v>8.5874333333333316E-2</v>
      </c>
      <c r="AE750" s="10">
        <f>IFERROR(VLOOKUP(Summary!B750,'Pre-Summary'!$A$6:$P$184,7, FALSE)/100,AE751)</f>
        <v>0.18237166666666668</v>
      </c>
      <c r="AF750" s="99">
        <f t="shared" si="34"/>
        <v>4.807050413463014E-2</v>
      </c>
      <c r="AG750" s="99">
        <f t="shared" si="35"/>
        <v>0.10208752273523006</v>
      </c>
      <c r="AH750" s="10" t="str">
        <f>IFERROR(VLOOKUP(B750,'Pre-Summary'!$AZ$6:$BE$65,3,FALSE),"")</f>
        <v/>
      </c>
      <c r="AI750" s="10" t="str">
        <f>IFERROR(VLOOKUP(B750,'Pre-Summary'!$AZ$6:$BE$65,5,FALSE),"")</f>
        <v/>
      </c>
      <c r="AJ750" s="10" t="str">
        <f>IFERROR(VLOOKUP(B750,'Pre-Summary'!$AZ$6:$BE$65,4,FALSE),"")</f>
        <v/>
      </c>
      <c r="AK750" s="10" t="str">
        <f>IFERROR(VLOOKUP(B750,'Pre-Summary'!$AZ$6:$BE$65,6,FALSE),"")</f>
        <v/>
      </c>
      <c r="AL750" s="10" t="str">
        <f>IFERROR(VLOOKUP(B750,'Pre-Summary'!$BG$6:$BL$44,3,FALSE),"")</f>
        <v/>
      </c>
      <c r="AM750" s="10" t="str">
        <f>IFERROR(VLOOKUP(B750,'Pre-Summary'!$BG$6:$BL$44,4,FALSE),"")</f>
        <v/>
      </c>
    </row>
    <row r="751" spans="2:39" ht="15" customHeight="1" x14ac:dyDescent="0.3">
      <c r="B751">
        <v>74.8</v>
      </c>
      <c r="C751" t="str">
        <f>IFERROR(VLOOKUP(B751,'Pre-Summary'!$DI$6:$DM$23,4,FALSE),"")</f>
        <v/>
      </c>
      <c r="D751" s="10" t="str">
        <f>IFERROR(VLOOKUP(B751,'Pre-Summary'!$AT$6:$AX$14,5,FALSE),D750)</f>
        <v>DSMZ v2: Dropped Na-Ac out of DSMZ 120 media</v>
      </c>
      <c r="E751" s="10" t="str">
        <f>IFERROR(VLOOKUP(B751,'Pre-Summary'!$AT$6:$AX$15,4,FALSE),"")</f>
        <v/>
      </c>
      <c r="F751">
        <f>IFERROR(VLOOKUP(B751,'Pre-Summary'!$AL$6:$AQ$13,6,FALSE),F750)</f>
        <v>5.9405263157894746E-2</v>
      </c>
      <c r="G751" t="str">
        <f>IFERROR(VLOOKUP(B751,'Pre-Summary'!$AE$6:$AJ$85,3,FALSE),"")</f>
        <v/>
      </c>
      <c r="H751" t="str">
        <f>IFERROR(VLOOKUP(B751,'Pre-Summary'!$AE$6:$AJ$85,4,FALSE),"")</f>
        <v/>
      </c>
      <c r="I751" t="str">
        <f>IFERROR(VLOOKUP(B751,'Pre-Summary'!$AE$6:$AJ$85,5,FALSE),"")</f>
        <v/>
      </c>
      <c r="J751" s="45" t="str">
        <f>IFERROR(VLOOKUP(B751,'Pre-Summary'!$AE$6:$AJ$85,6, FALSE),"")</f>
        <v/>
      </c>
      <c r="K751" s="45" t="str">
        <f>IFERROR(VLOOKUP(B751,'Pre-Summary'!$DE$6:$DG$61,3,FALSE),"")</f>
        <v/>
      </c>
      <c r="L751" s="45" t="str">
        <f>IFERROR(VLOOKUP(B751,'Pre-Summary'!$CU$6:$CW$36,3,FALSE),"")</f>
        <v/>
      </c>
      <c r="M751" s="45" t="str">
        <f>IFERROR(VLOOKUP(B751,'Pre-Summary'!$BW$6:$BY$58,2,FALSE),"")</f>
        <v/>
      </c>
      <c r="N751" s="45" t="str">
        <f>IFERROR(VLOOKUP(B751,'Pre-Summary'!$CD$6:$CF$64,2,FALSE),"")</f>
        <v/>
      </c>
      <c r="O751" s="99">
        <f>IFERROR(VLOOKUP(B751,'Pre-Summary'!$BO$6:$BQ$48,3, FALSE),O750)</f>
        <v>1.3</v>
      </c>
      <c r="P751" s="99">
        <f>IFERROR(VLOOKUP(B751,'Pre-Summary'!$BS$6:$BU$35,3,FALSE),P750)</f>
        <v>0.34399999999999997</v>
      </c>
      <c r="Q751" s="54">
        <f t="shared" si="33"/>
        <v>3.779069767441861</v>
      </c>
      <c r="R751" s="53">
        <f>IFERROR(VLOOKUP(B751,'Pre-Summary'!$BG$6:$BM$44,7,FALSE),R752)</f>
        <v>7.5915763918363535E-2</v>
      </c>
      <c r="S751" s="53">
        <f>IFERROR(VLOOKUP(B751,'Pre-Summary'!$BG$6:$BM$44,6,FALSE),S752)</f>
        <v>5.2897473997019086E-2</v>
      </c>
      <c r="T751" s="45" t="str">
        <f>IFERROR(VLOOKUP(B751,'Pre-Summary'!$Y$6:$AC$83, 3,FALSE),"")</f>
        <v/>
      </c>
      <c r="U751" s="45" t="str">
        <f>IFERROR(VLOOKUP(B751,'Pre-Summary'!$Y$6:$AC$83, 4,FALSE),"")</f>
        <v/>
      </c>
      <c r="V751" t="str">
        <f>IFERROR(VLOOKUP(B751,'Pre-Summary'!$Y$6:$AC$83, 5,FALSE),"")</f>
        <v/>
      </c>
      <c r="W751" s="45" t="str">
        <f>IFERROR(VLOOKUP(B751,'Pre-Summary'!$Y$6:$AD$83,6,FALSE),"")</f>
        <v/>
      </c>
      <c r="X751" t="str">
        <f>IFERROR(VLOOKUP('Pre-Summary'!$DB$6:$DD$63,3,FALSE),"")</f>
        <v/>
      </c>
      <c r="Y751" t="str">
        <f>IFERROR(VLOOKUP(B751,'Pre-Summary'!$CR$6:$CT$36,3,FALSE),"")</f>
        <v/>
      </c>
      <c r="Z751" s="45" t="str">
        <f>IFERROR(VLOOKUP(B751,'Pre-Summary'!$BZ$6:$CB$63,2,FALSE),"")</f>
        <v/>
      </c>
      <c r="AA751" s="45" t="str">
        <f>IFERROR(VLOOKUP(B751,'Pre-Summary'!$CG$6:$CI$70,2,FALSE),"")</f>
        <v/>
      </c>
      <c r="AB751" s="99">
        <f>IFERROR(VLOOKUP(B751,'Pre-Summary'!$A$6:$P$178,9,FALSE),AB752)</f>
        <v>0.55977731958672339</v>
      </c>
      <c r="AC751" s="10">
        <f>IFERROR(VLOOKUP(Summary!B751,'Pre-Summary'!$A$6:$P$184,5, FALSE)/100,AC752)</f>
        <v>0.73175400000000013</v>
      </c>
      <c r="AD751" s="10">
        <f>IFERROR(VLOOKUP(Summary!B751,'Pre-Summary'!$A$6:$P$184,3, FALSE)/100,AD752)</f>
        <v>8.5874333333333316E-2</v>
      </c>
      <c r="AE751" s="10">
        <f>IFERROR(VLOOKUP(Summary!B751,'Pre-Summary'!$A$6:$P$184,7, FALSE)/100,AE752)</f>
        <v>0.18237166666666668</v>
      </c>
      <c r="AF751" s="99">
        <f t="shared" si="34"/>
        <v>4.807050413463014E-2</v>
      </c>
      <c r="AG751" s="99">
        <f t="shared" si="35"/>
        <v>0.10208752273523006</v>
      </c>
      <c r="AH751" s="10" t="str">
        <f>IFERROR(VLOOKUP(B751,'Pre-Summary'!$AZ$6:$BE$65,3,FALSE),"")</f>
        <v/>
      </c>
      <c r="AI751" s="10" t="str">
        <f>IFERROR(VLOOKUP(B751,'Pre-Summary'!$AZ$6:$BE$65,5,FALSE),"")</f>
        <v/>
      </c>
      <c r="AJ751" s="10" t="str">
        <f>IFERROR(VLOOKUP(B751,'Pre-Summary'!$AZ$6:$BE$65,4,FALSE),"")</f>
        <v/>
      </c>
      <c r="AK751" s="10" t="str">
        <f>IFERROR(VLOOKUP(B751,'Pre-Summary'!$AZ$6:$BE$65,6,FALSE),"")</f>
        <v/>
      </c>
      <c r="AL751" s="10" t="str">
        <f>IFERROR(VLOOKUP(B751,'Pre-Summary'!$BG$6:$BL$44,3,FALSE),"")</f>
        <v/>
      </c>
      <c r="AM751" s="10" t="str">
        <f>IFERROR(VLOOKUP(B751,'Pre-Summary'!$BG$6:$BL$44,4,FALSE),"")</f>
        <v/>
      </c>
    </row>
    <row r="752" spans="2:39" ht="15" customHeight="1" x14ac:dyDescent="0.3">
      <c r="B752">
        <v>74.900000000000006</v>
      </c>
      <c r="C752" t="str">
        <f>IFERROR(VLOOKUP(B752,'Pre-Summary'!$DI$6:$DM$23,4,FALSE),"")</f>
        <v/>
      </c>
      <c r="D752" s="10" t="str">
        <f>IFERROR(VLOOKUP(B752,'Pre-Summary'!$AT$6:$AX$14,5,FALSE),D751)</f>
        <v>DSMZ v2: Dropped Na-Ac out of DSMZ 120 media</v>
      </c>
      <c r="E752" s="10" t="str">
        <f>IFERROR(VLOOKUP(B752,'Pre-Summary'!$AT$6:$AX$15,4,FALSE),"")</f>
        <v/>
      </c>
      <c r="F752">
        <f>IFERROR(VLOOKUP(B752,'Pre-Summary'!$AL$6:$AQ$13,6,FALSE),F751)</f>
        <v>5.9405263157894746E-2</v>
      </c>
      <c r="G752" t="str">
        <f>IFERROR(VLOOKUP(B752,'Pre-Summary'!$AE$6:$AJ$85,3,FALSE),"")</f>
        <v/>
      </c>
      <c r="H752" t="str">
        <f>IFERROR(VLOOKUP(B752,'Pre-Summary'!$AE$6:$AJ$85,4,FALSE),"")</f>
        <v/>
      </c>
      <c r="I752" t="str">
        <f>IFERROR(VLOOKUP(B752,'Pre-Summary'!$AE$6:$AJ$85,5,FALSE),"")</f>
        <v/>
      </c>
      <c r="J752" s="45" t="str">
        <f>IFERROR(VLOOKUP(B752,'Pre-Summary'!$AE$6:$AJ$85,6, FALSE),"")</f>
        <v/>
      </c>
      <c r="K752" s="45" t="str">
        <f>IFERROR(VLOOKUP(B752,'Pre-Summary'!$DE$6:$DG$61,3,FALSE),"")</f>
        <v/>
      </c>
      <c r="L752" s="45" t="str">
        <f>IFERROR(VLOOKUP(B752,'Pre-Summary'!$CU$6:$CW$36,3,FALSE),"")</f>
        <v/>
      </c>
      <c r="M752" s="45" t="str">
        <f>IFERROR(VLOOKUP(B752,'Pre-Summary'!$BW$6:$BY$58,2,FALSE),"")</f>
        <v/>
      </c>
      <c r="N752" s="45" t="str">
        <f>IFERROR(VLOOKUP(B752,'Pre-Summary'!$CD$6:$CF$64,2,FALSE),"")</f>
        <v/>
      </c>
      <c r="O752" s="99">
        <f>IFERROR(VLOOKUP(B752,'Pre-Summary'!$BO$6:$BQ$48,3, FALSE),O751)</f>
        <v>1.3</v>
      </c>
      <c r="P752" s="99">
        <f>IFERROR(VLOOKUP(B752,'Pre-Summary'!$BS$6:$BU$35,3,FALSE),P751)</f>
        <v>0.34399999999999997</v>
      </c>
      <c r="Q752" s="54">
        <f t="shared" si="33"/>
        <v>3.779069767441861</v>
      </c>
      <c r="R752" s="53">
        <f>IFERROR(VLOOKUP(B752,'Pre-Summary'!$BG$6:$BM$44,7,FALSE),R753)</f>
        <v>7.5915763918363535E-2</v>
      </c>
      <c r="S752" s="53">
        <f>IFERROR(VLOOKUP(B752,'Pre-Summary'!$BG$6:$BM$44,6,FALSE),S753)</f>
        <v>5.2897473997019086E-2</v>
      </c>
      <c r="T752" s="45" t="str">
        <f>IFERROR(VLOOKUP(B752,'Pre-Summary'!$Y$6:$AC$83, 3,FALSE),"")</f>
        <v/>
      </c>
      <c r="U752" s="45" t="str">
        <f>IFERROR(VLOOKUP(B752,'Pre-Summary'!$Y$6:$AC$83, 4,FALSE),"")</f>
        <v/>
      </c>
      <c r="V752" t="str">
        <f>IFERROR(VLOOKUP(B752,'Pre-Summary'!$Y$6:$AC$83, 5,FALSE),"")</f>
        <v/>
      </c>
      <c r="W752" s="45" t="str">
        <f>IFERROR(VLOOKUP(B752,'Pre-Summary'!$Y$6:$AD$83,6,FALSE),"")</f>
        <v/>
      </c>
      <c r="X752" t="str">
        <f>IFERROR(VLOOKUP('Pre-Summary'!$DB$6:$DD$63,3,FALSE),"")</f>
        <v/>
      </c>
      <c r="Y752" t="str">
        <f>IFERROR(VLOOKUP(B752,'Pre-Summary'!$CR$6:$CT$36,3,FALSE),"")</f>
        <v/>
      </c>
      <c r="Z752" s="45" t="str">
        <f>IFERROR(VLOOKUP(B752,'Pre-Summary'!$BZ$6:$CB$63,2,FALSE),"")</f>
        <v/>
      </c>
      <c r="AA752" s="45" t="str">
        <f>IFERROR(VLOOKUP(B752,'Pre-Summary'!$CG$6:$CI$70,2,FALSE),"")</f>
        <v/>
      </c>
      <c r="AB752" s="99">
        <f>IFERROR(VLOOKUP(B752,'Pre-Summary'!$A$6:$P$178,9,FALSE),AB753)</f>
        <v>0.55977731958672339</v>
      </c>
      <c r="AC752" s="10">
        <f>IFERROR(VLOOKUP(Summary!B752,'Pre-Summary'!$A$6:$P$184,5, FALSE)/100,AC753)</f>
        <v>0.73175400000000013</v>
      </c>
      <c r="AD752" s="10">
        <f>IFERROR(VLOOKUP(Summary!B752,'Pre-Summary'!$A$6:$P$184,3, FALSE)/100,AD753)</f>
        <v>8.5874333333333316E-2</v>
      </c>
      <c r="AE752" s="10">
        <f>IFERROR(VLOOKUP(Summary!B752,'Pre-Summary'!$A$6:$P$184,7, FALSE)/100,AE753)</f>
        <v>0.18237166666666668</v>
      </c>
      <c r="AF752" s="99">
        <f t="shared" si="34"/>
        <v>4.807050413463014E-2</v>
      </c>
      <c r="AG752" s="99">
        <f t="shared" si="35"/>
        <v>0.10208752273523006</v>
      </c>
      <c r="AH752" s="10" t="str">
        <f>IFERROR(VLOOKUP(B752,'Pre-Summary'!$AZ$6:$BE$65,3,FALSE),"")</f>
        <v/>
      </c>
      <c r="AI752" s="10" t="str">
        <f>IFERROR(VLOOKUP(B752,'Pre-Summary'!$AZ$6:$BE$65,5,FALSE),"")</f>
        <v/>
      </c>
      <c r="AJ752" s="10" t="str">
        <f>IFERROR(VLOOKUP(B752,'Pre-Summary'!$AZ$6:$BE$65,4,FALSE),"")</f>
        <v/>
      </c>
      <c r="AK752" s="10" t="str">
        <f>IFERROR(VLOOKUP(B752,'Pre-Summary'!$AZ$6:$BE$65,6,FALSE),"")</f>
        <v/>
      </c>
      <c r="AL752" s="10" t="str">
        <f>IFERROR(VLOOKUP(B752,'Pre-Summary'!$BG$6:$BL$44,3,FALSE),"")</f>
        <v/>
      </c>
      <c r="AM752" s="10" t="str">
        <f>IFERROR(VLOOKUP(B752,'Pre-Summary'!$BG$6:$BL$44,4,FALSE),"")</f>
        <v/>
      </c>
    </row>
    <row r="753" spans="2:39" ht="15" customHeight="1" x14ac:dyDescent="0.3">
      <c r="B753">
        <v>75</v>
      </c>
      <c r="C753" t="str">
        <f>IFERROR(VLOOKUP(B753,'Pre-Summary'!$DI$6:$DM$23,4,FALSE),"")</f>
        <v/>
      </c>
      <c r="D753" s="10" t="str">
        <f>IFERROR(VLOOKUP(B753,'Pre-Summary'!$AT$6:$AX$14,5,FALSE),D752)</f>
        <v>DSMZ v2: Dropped Na-Ac out of DSMZ 120 media</v>
      </c>
      <c r="E753" s="10" t="str">
        <f>IFERROR(VLOOKUP(B753,'Pre-Summary'!$AT$6:$AX$15,4,FALSE),"")</f>
        <v/>
      </c>
      <c r="F753">
        <f>IFERROR(VLOOKUP(B753,'Pre-Summary'!$AL$6:$AQ$13,6,FALSE),F752)</f>
        <v>5.9405263157894746E-2</v>
      </c>
      <c r="G753" t="str">
        <f>IFERROR(VLOOKUP(B753,'Pre-Summary'!$AE$6:$AJ$85,3,FALSE),"")</f>
        <v/>
      </c>
      <c r="H753" t="str">
        <f>IFERROR(VLOOKUP(B753,'Pre-Summary'!$AE$6:$AJ$85,4,FALSE),"")</f>
        <v/>
      </c>
      <c r="I753" t="str">
        <f>IFERROR(VLOOKUP(B753,'Pre-Summary'!$AE$6:$AJ$85,5,FALSE),"")</f>
        <v/>
      </c>
      <c r="J753" s="45" t="str">
        <f>IFERROR(VLOOKUP(B753,'Pre-Summary'!$AE$6:$AJ$85,6, FALSE),"")</f>
        <v/>
      </c>
      <c r="K753" s="45" t="str">
        <f>IFERROR(VLOOKUP(B753,'Pre-Summary'!$DE$6:$DG$61,3,FALSE),"")</f>
        <v/>
      </c>
      <c r="L753" s="45" t="str">
        <f>IFERROR(VLOOKUP(B753,'Pre-Summary'!$CU$6:$CW$36,3,FALSE),"")</f>
        <v/>
      </c>
      <c r="M753" s="45" t="str">
        <f>IFERROR(VLOOKUP(B753,'Pre-Summary'!$BW$6:$BY$58,2,FALSE),"")</f>
        <v/>
      </c>
      <c r="N753" s="45" t="str">
        <f>IFERROR(VLOOKUP(B753,'Pre-Summary'!$CD$6:$CF$64,2,FALSE),"")</f>
        <v/>
      </c>
      <c r="O753" s="99">
        <f>IFERROR(VLOOKUP(B753,'Pre-Summary'!$BO$6:$BQ$48,3, FALSE),O752)</f>
        <v>1.3</v>
      </c>
      <c r="P753" s="99">
        <f>IFERROR(VLOOKUP(B753,'Pre-Summary'!$BS$6:$BU$35,3,FALSE),P752)</f>
        <v>0.34399999999999997</v>
      </c>
      <c r="Q753" s="54">
        <f t="shared" si="33"/>
        <v>3.779069767441861</v>
      </c>
      <c r="R753" s="53">
        <f>IFERROR(VLOOKUP(B753,'Pre-Summary'!$BG$6:$BM$44,7,FALSE),R754)</f>
        <v>7.5915763918363535E-2</v>
      </c>
      <c r="S753" s="53">
        <f>IFERROR(VLOOKUP(B753,'Pre-Summary'!$BG$6:$BM$44,6,FALSE),S754)</f>
        <v>5.2897473997019086E-2</v>
      </c>
      <c r="T753" s="45" t="str">
        <f>IFERROR(VLOOKUP(B753,'Pre-Summary'!$Y$6:$AC$83, 3,FALSE),"")</f>
        <v/>
      </c>
      <c r="U753" s="45" t="str">
        <f>IFERROR(VLOOKUP(B753,'Pre-Summary'!$Y$6:$AC$83, 4,FALSE),"")</f>
        <v/>
      </c>
      <c r="V753" t="str">
        <f>IFERROR(VLOOKUP(B753,'Pre-Summary'!$Y$6:$AC$83, 5,FALSE),"")</f>
        <v/>
      </c>
      <c r="W753" s="45" t="str">
        <f>IFERROR(VLOOKUP(B753,'Pre-Summary'!$Y$6:$AD$83,6,FALSE),"")</f>
        <v/>
      </c>
      <c r="X753" t="str">
        <f>IFERROR(VLOOKUP('Pre-Summary'!$DB$6:$DD$63,3,FALSE),"")</f>
        <v/>
      </c>
      <c r="Y753" t="str">
        <f>IFERROR(VLOOKUP(B753,'Pre-Summary'!$CR$6:$CT$36,3,FALSE),"")</f>
        <v/>
      </c>
      <c r="Z753" s="45" t="str">
        <f>IFERROR(VLOOKUP(B753,'Pre-Summary'!$BZ$6:$CB$63,2,FALSE),"")</f>
        <v/>
      </c>
      <c r="AA753" s="45" t="str">
        <f>IFERROR(VLOOKUP(B753,'Pre-Summary'!$CG$6:$CI$70,2,FALSE),"")</f>
        <v/>
      </c>
      <c r="AB753" s="99">
        <f>IFERROR(VLOOKUP(B753,'Pre-Summary'!$A$6:$P$178,9,FALSE),AB754)</f>
        <v>0.55977731958672339</v>
      </c>
      <c r="AC753" s="10">
        <f>IFERROR(VLOOKUP(Summary!B753,'Pre-Summary'!$A$6:$P$184,5, FALSE)/100,AC754)</f>
        <v>0.73175400000000013</v>
      </c>
      <c r="AD753" s="10">
        <f>IFERROR(VLOOKUP(Summary!B753,'Pre-Summary'!$A$6:$P$184,3, FALSE)/100,AD754)</f>
        <v>8.5874333333333316E-2</v>
      </c>
      <c r="AE753" s="10">
        <f>IFERROR(VLOOKUP(Summary!B753,'Pre-Summary'!$A$6:$P$184,7, FALSE)/100,AE754)</f>
        <v>0.18237166666666668</v>
      </c>
      <c r="AF753" s="99">
        <f t="shared" si="34"/>
        <v>4.807050413463014E-2</v>
      </c>
      <c r="AG753" s="99">
        <f t="shared" si="35"/>
        <v>0.10208752273523006</v>
      </c>
      <c r="AH753" s="10" t="str">
        <f>IFERROR(VLOOKUP(B753,'Pre-Summary'!$AZ$6:$BE$65,3,FALSE),"")</f>
        <v/>
      </c>
      <c r="AI753" s="10" t="str">
        <f>IFERROR(VLOOKUP(B753,'Pre-Summary'!$AZ$6:$BE$65,5,FALSE),"")</f>
        <v/>
      </c>
      <c r="AJ753" s="10" t="str">
        <f>IFERROR(VLOOKUP(B753,'Pre-Summary'!$AZ$6:$BE$65,4,FALSE),"")</f>
        <v/>
      </c>
      <c r="AK753" s="10" t="str">
        <f>IFERROR(VLOOKUP(B753,'Pre-Summary'!$AZ$6:$BE$65,6,FALSE),"")</f>
        <v/>
      </c>
      <c r="AL753" s="10" t="str">
        <f>IFERROR(VLOOKUP(B753,'Pre-Summary'!$BG$6:$BL$44,3,FALSE),"")</f>
        <v/>
      </c>
      <c r="AM753" s="10" t="str">
        <f>IFERROR(VLOOKUP(B753,'Pre-Summary'!$BG$6:$BL$44,4,FALSE),"")</f>
        <v/>
      </c>
    </row>
    <row r="754" spans="2:39" ht="15" customHeight="1" x14ac:dyDescent="0.3">
      <c r="B754">
        <v>75.099999999999994</v>
      </c>
      <c r="C754" t="str">
        <f>IFERROR(VLOOKUP(B754,'Pre-Summary'!$DI$6:$DM$23,4,FALSE),"")</f>
        <v/>
      </c>
      <c r="D754" s="10" t="str">
        <f>IFERROR(VLOOKUP(B754,'Pre-Summary'!$AT$6:$AX$14,5,FALSE),D753)</f>
        <v>DSMZ v2: Dropped Na-Ac out of DSMZ 120 media</v>
      </c>
      <c r="E754" s="10" t="str">
        <f>IFERROR(VLOOKUP(B754,'Pre-Summary'!$AT$6:$AX$15,4,FALSE),"")</f>
        <v/>
      </c>
      <c r="F754">
        <f>IFERROR(VLOOKUP(B754,'Pre-Summary'!$AL$6:$AQ$13,6,FALSE),F753)</f>
        <v>5.9405263157894746E-2</v>
      </c>
      <c r="G754" t="str">
        <f>IFERROR(VLOOKUP(B754,'Pre-Summary'!$AE$6:$AJ$85,3,FALSE),"")</f>
        <v/>
      </c>
      <c r="H754" t="str">
        <f>IFERROR(VLOOKUP(B754,'Pre-Summary'!$AE$6:$AJ$85,4,FALSE),"")</f>
        <v/>
      </c>
      <c r="I754" t="str">
        <f>IFERROR(VLOOKUP(B754,'Pre-Summary'!$AE$6:$AJ$85,5,FALSE),"")</f>
        <v/>
      </c>
      <c r="J754" s="45" t="str">
        <f>IFERROR(VLOOKUP(B754,'Pre-Summary'!$AE$6:$AJ$85,6, FALSE),"")</f>
        <v/>
      </c>
      <c r="K754" s="45" t="str">
        <f>IFERROR(VLOOKUP(B754,'Pre-Summary'!$DE$6:$DG$61,3,FALSE),"")</f>
        <v/>
      </c>
      <c r="L754" s="45" t="str">
        <f>IFERROR(VLOOKUP(B754,'Pre-Summary'!$CU$6:$CW$36,3,FALSE),"")</f>
        <v/>
      </c>
      <c r="M754" s="45" t="str">
        <f>IFERROR(VLOOKUP(B754,'Pre-Summary'!$BW$6:$BY$58,2,FALSE),"")</f>
        <v/>
      </c>
      <c r="N754" s="45" t="str">
        <f>IFERROR(VLOOKUP(B754,'Pre-Summary'!$CD$6:$CF$64,2,FALSE),"")</f>
        <v/>
      </c>
      <c r="O754" s="99">
        <f>IFERROR(VLOOKUP(B754,'Pre-Summary'!$BO$6:$BQ$48,3, FALSE),O753)</f>
        <v>1.3</v>
      </c>
      <c r="P754" s="99">
        <f>IFERROR(VLOOKUP(B754,'Pre-Summary'!$BS$6:$BU$35,3,FALSE),P753)</f>
        <v>0.34399999999999997</v>
      </c>
      <c r="Q754" s="54">
        <f t="shared" si="33"/>
        <v>3.779069767441861</v>
      </c>
      <c r="R754" s="53">
        <f>IFERROR(VLOOKUP(B754,'Pre-Summary'!$BG$6:$BM$44,7,FALSE),R755)</f>
        <v>7.5915763918363535E-2</v>
      </c>
      <c r="S754" s="53">
        <f>IFERROR(VLOOKUP(B754,'Pre-Summary'!$BG$6:$BM$44,6,FALSE),S755)</f>
        <v>5.2897473997019086E-2</v>
      </c>
      <c r="T754" s="45" t="str">
        <f>IFERROR(VLOOKUP(B754,'Pre-Summary'!$Y$6:$AC$83, 3,FALSE),"")</f>
        <v/>
      </c>
      <c r="U754" s="45" t="str">
        <f>IFERROR(VLOOKUP(B754,'Pre-Summary'!$Y$6:$AC$83, 4,FALSE),"")</f>
        <v/>
      </c>
      <c r="V754" t="str">
        <f>IFERROR(VLOOKUP(B754,'Pre-Summary'!$Y$6:$AC$83, 5,FALSE),"")</f>
        <v/>
      </c>
      <c r="W754" s="45" t="str">
        <f>IFERROR(VLOOKUP(B754,'Pre-Summary'!$Y$6:$AD$83,6,FALSE),"")</f>
        <v/>
      </c>
      <c r="X754" t="str">
        <f>IFERROR(VLOOKUP('Pre-Summary'!$DB$6:$DD$63,3,FALSE),"")</f>
        <v/>
      </c>
      <c r="Y754" t="str">
        <f>IFERROR(VLOOKUP(B754,'Pre-Summary'!$CR$6:$CT$36,3,FALSE),"")</f>
        <v/>
      </c>
      <c r="Z754" s="45" t="str">
        <f>IFERROR(VLOOKUP(B754,'Pre-Summary'!$BZ$6:$CB$63,2,FALSE),"")</f>
        <v/>
      </c>
      <c r="AA754" s="45" t="str">
        <f>IFERROR(VLOOKUP(B754,'Pre-Summary'!$CG$6:$CI$70,2,FALSE),"")</f>
        <v/>
      </c>
      <c r="AB754" s="99">
        <f>IFERROR(VLOOKUP(B754,'Pre-Summary'!$A$6:$P$178,9,FALSE),AB755)</f>
        <v>0.55977731958672339</v>
      </c>
      <c r="AC754" s="10">
        <f>IFERROR(VLOOKUP(Summary!B754,'Pre-Summary'!$A$6:$P$184,5, FALSE)/100,AC755)</f>
        <v>0.73175400000000013</v>
      </c>
      <c r="AD754" s="10">
        <f>IFERROR(VLOOKUP(Summary!B754,'Pre-Summary'!$A$6:$P$184,3, FALSE)/100,AD755)</f>
        <v>8.5874333333333316E-2</v>
      </c>
      <c r="AE754" s="10">
        <f>IFERROR(VLOOKUP(Summary!B754,'Pre-Summary'!$A$6:$P$184,7, FALSE)/100,AE755)</f>
        <v>0.18237166666666668</v>
      </c>
      <c r="AF754" s="99">
        <f t="shared" si="34"/>
        <v>4.807050413463014E-2</v>
      </c>
      <c r="AG754" s="99">
        <f t="shared" si="35"/>
        <v>0.10208752273523006</v>
      </c>
      <c r="AH754" s="10" t="str">
        <f>IFERROR(VLOOKUP(B754,'Pre-Summary'!$AZ$6:$BE$65,3,FALSE),"")</f>
        <v/>
      </c>
      <c r="AI754" s="10" t="str">
        <f>IFERROR(VLOOKUP(B754,'Pre-Summary'!$AZ$6:$BE$65,5,FALSE),"")</f>
        <v/>
      </c>
      <c r="AJ754" s="10" t="str">
        <f>IFERROR(VLOOKUP(B754,'Pre-Summary'!$AZ$6:$BE$65,4,FALSE),"")</f>
        <v/>
      </c>
      <c r="AK754" s="10" t="str">
        <f>IFERROR(VLOOKUP(B754,'Pre-Summary'!$AZ$6:$BE$65,6,FALSE),"")</f>
        <v/>
      </c>
      <c r="AL754" s="10" t="str">
        <f>IFERROR(VLOOKUP(B754,'Pre-Summary'!$BG$6:$BL$44,3,FALSE),"")</f>
        <v/>
      </c>
      <c r="AM754" s="10" t="str">
        <f>IFERROR(VLOOKUP(B754,'Pre-Summary'!$BG$6:$BL$44,4,FALSE),"")</f>
        <v/>
      </c>
    </row>
    <row r="755" spans="2:39" ht="15" customHeight="1" x14ac:dyDescent="0.3">
      <c r="B755">
        <v>75.2</v>
      </c>
      <c r="C755" t="str">
        <f>IFERROR(VLOOKUP(B755,'Pre-Summary'!$DI$6:$DM$23,4,FALSE),"")</f>
        <v/>
      </c>
      <c r="D755" s="10" t="str">
        <f>IFERROR(VLOOKUP(B755,'Pre-Summary'!$AT$6:$AX$14,5,FALSE),D754)</f>
        <v>DSMZ v2: Dropped Na-Ac out of DSMZ 120 media</v>
      </c>
      <c r="E755" s="10" t="str">
        <f>IFERROR(VLOOKUP(B755,'Pre-Summary'!$AT$6:$AX$15,4,FALSE),"")</f>
        <v/>
      </c>
      <c r="F755">
        <f>IFERROR(VLOOKUP(B755,'Pre-Summary'!$AL$6:$AQ$13,6,FALSE),F754)</f>
        <v>5.9405263157894746E-2</v>
      </c>
      <c r="G755" t="str">
        <f>IFERROR(VLOOKUP(B755,'Pre-Summary'!$AE$6:$AJ$85,3,FALSE),"")</f>
        <v/>
      </c>
      <c r="H755" t="str">
        <f>IFERROR(VLOOKUP(B755,'Pre-Summary'!$AE$6:$AJ$85,4,FALSE),"")</f>
        <v/>
      </c>
      <c r="I755" t="str">
        <f>IFERROR(VLOOKUP(B755,'Pre-Summary'!$AE$6:$AJ$85,5,FALSE),"")</f>
        <v/>
      </c>
      <c r="J755" s="45" t="str">
        <f>IFERROR(VLOOKUP(B755,'Pre-Summary'!$AE$6:$AJ$85,6, FALSE),"")</f>
        <v/>
      </c>
      <c r="K755" s="45" t="str">
        <f>IFERROR(VLOOKUP(B755,'Pre-Summary'!$DE$6:$DG$61,3,FALSE),"")</f>
        <v/>
      </c>
      <c r="L755" s="45" t="str">
        <f>IFERROR(VLOOKUP(B755,'Pre-Summary'!$CU$6:$CW$36,3,FALSE),"")</f>
        <v/>
      </c>
      <c r="M755" s="45" t="str">
        <f>IFERROR(VLOOKUP(B755,'Pre-Summary'!$BW$6:$BY$58,2,FALSE),"")</f>
        <v/>
      </c>
      <c r="N755" s="45" t="str">
        <f>IFERROR(VLOOKUP(B755,'Pre-Summary'!$CD$6:$CF$64,2,FALSE),"")</f>
        <v/>
      </c>
      <c r="O755" s="99">
        <f>IFERROR(VLOOKUP(B755,'Pre-Summary'!$BO$6:$BQ$48,3, FALSE),O754)</f>
        <v>1.3</v>
      </c>
      <c r="P755" s="99">
        <f>IFERROR(VLOOKUP(B755,'Pre-Summary'!$BS$6:$BU$35,3,FALSE),P754)</f>
        <v>0.34399999999999997</v>
      </c>
      <c r="Q755" s="54">
        <f t="shared" si="33"/>
        <v>3.779069767441861</v>
      </c>
      <c r="R755" s="53">
        <f>IFERROR(VLOOKUP(B755,'Pre-Summary'!$BG$6:$BM$44,7,FALSE),R756)</f>
        <v>7.5915763918363535E-2</v>
      </c>
      <c r="S755" s="53">
        <f>IFERROR(VLOOKUP(B755,'Pre-Summary'!$BG$6:$BM$44,6,FALSE),S756)</f>
        <v>5.2897473997019086E-2</v>
      </c>
      <c r="T755" s="45" t="str">
        <f>IFERROR(VLOOKUP(B755,'Pre-Summary'!$Y$6:$AC$83, 3,FALSE),"")</f>
        <v/>
      </c>
      <c r="U755" s="45" t="str">
        <f>IFERROR(VLOOKUP(B755,'Pre-Summary'!$Y$6:$AC$83, 4,FALSE),"")</f>
        <v/>
      </c>
      <c r="V755" t="str">
        <f>IFERROR(VLOOKUP(B755,'Pre-Summary'!$Y$6:$AC$83, 5,FALSE),"")</f>
        <v/>
      </c>
      <c r="W755" s="45" t="str">
        <f>IFERROR(VLOOKUP(B755,'Pre-Summary'!$Y$6:$AD$83,6,FALSE),"")</f>
        <v/>
      </c>
      <c r="X755" t="str">
        <f>IFERROR(VLOOKUP('Pre-Summary'!$DB$6:$DD$63,3,FALSE),"")</f>
        <v/>
      </c>
      <c r="Y755" t="str">
        <f>IFERROR(VLOOKUP(B755,'Pre-Summary'!$CR$6:$CT$36,3,FALSE),"")</f>
        <v/>
      </c>
      <c r="Z755" s="45" t="str">
        <f>IFERROR(VLOOKUP(B755,'Pre-Summary'!$BZ$6:$CB$63,2,FALSE),"")</f>
        <v/>
      </c>
      <c r="AA755" s="45" t="str">
        <f>IFERROR(VLOOKUP(B755,'Pre-Summary'!$CG$6:$CI$70,2,FALSE),"")</f>
        <v/>
      </c>
      <c r="AB755" s="99">
        <f>IFERROR(VLOOKUP(B755,'Pre-Summary'!$A$6:$P$178,9,FALSE),AB756)</f>
        <v>0.55977731958672339</v>
      </c>
      <c r="AC755" s="10">
        <f>IFERROR(VLOOKUP(Summary!B755,'Pre-Summary'!$A$6:$P$184,5, FALSE)/100,AC756)</f>
        <v>0.73175400000000013</v>
      </c>
      <c r="AD755" s="10">
        <f>IFERROR(VLOOKUP(Summary!B755,'Pre-Summary'!$A$6:$P$184,3, FALSE)/100,AD756)</f>
        <v>8.5874333333333316E-2</v>
      </c>
      <c r="AE755" s="10">
        <f>IFERROR(VLOOKUP(Summary!B755,'Pre-Summary'!$A$6:$P$184,7, FALSE)/100,AE756)</f>
        <v>0.18237166666666668</v>
      </c>
      <c r="AF755" s="99">
        <f t="shared" si="34"/>
        <v>4.807050413463014E-2</v>
      </c>
      <c r="AG755" s="99">
        <f t="shared" si="35"/>
        <v>0.10208752273523006</v>
      </c>
      <c r="AH755" s="10" t="str">
        <f>IFERROR(VLOOKUP(B755,'Pre-Summary'!$AZ$6:$BE$65,3,FALSE),"")</f>
        <v/>
      </c>
      <c r="AI755" s="10" t="str">
        <f>IFERROR(VLOOKUP(B755,'Pre-Summary'!$AZ$6:$BE$65,5,FALSE),"")</f>
        <v/>
      </c>
      <c r="AJ755" s="10" t="str">
        <f>IFERROR(VLOOKUP(B755,'Pre-Summary'!$AZ$6:$BE$65,4,FALSE),"")</f>
        <v/>
      </c>
      <c r="AK755" s="10" t="str">
        <f>IFERROR(VLOOKUP(B755,'Pre-Summary'!$AZ$6:$BE$65,6,FALSE),"")</f>
        <v/>
      </c>
      <c r="AL755" s="10" t="str">
        <f>IFERROR(VLOOKUP(B755,'Pre-Summary'!$BG$6:$BL$44,3,FALSE),"")</f>
        <v/>
      </c>
      <c r="AM755" s="10" t="str">
        <f>IFERROR(VLOOKUP(B755,'Pre-Summary'!$BG$6:$BL$44,4,FALSE),"")</f>
        <v/>
      </c>
    </row>
    <row r="756" spans="2:39" ht="15" customHeight="1" x14ac:dyDescent="0.3">
      <c r="B756">
        <v>75.3</v>
      </c>
      <c r="C756" t="str">
        <f>IFERROR(VLOOKUP(B756,'Pre-Summary'!$DI$6:$DM$23,4,FALSE),"")</f>
        <v/>
      </c>
      <c r="D756" s="10" t="str">
        <f>IFERROR(VLOOKUP(B756,'Pre-Summary'!$AT$6:$AX$14,5,FALSE),D755)</f>
        <v>DSMZ v2: Dropped Na-Ac out of DSMZ 120 media</v>
      </c>
      <c r="E756" s="10" t="str">
        <f>IFERROR(VLOOKUP(B756,'Pre-Summary'!$AT$6:$AX$15,4,FALSE),"")</f>
        <v/>
      </c>
      <c r="F756">
        <f>IFERROR(VLOOKUP(B756,'Pre-Summary'!$AL$6:$AQ$13,6,FALSE),F755)</f>
        <v>5.9405263157894746E-2</v>
      </c>
      <c r="G756" t="str">
        <f>IFERROR(VLOOKUP(B756,'Pre-Summary'!$AE$6:$AJ$85,3,FALSE),"")</f>
        <v/>
      </c>
      <c r="H756" t="str">
        <f>IFERROR(VLOOKUP(B756,'Pre-Summary'!$AE$6:$AJ$85,4,FALSE),"")</f>
        <v/>
      </c>
      <c r="I756" t="str">
        <f>IFERROR(VLOOKUP(B756,'Pre-Summary'!$AE$6:$AJ$85,5,FALSE),"")</f>
        <v/>
      </c>
      <c r="J756" s="45" t="str">
        <f>IFERROR(VLOOKUP(B756,'Pre-Summary'!$AE$6:$AJ$85,6, FALSE),"")</f>
        <v/>
      </c>
      <c r="K756" s="45" t="str">
        <f>IFERROR(VLOOKUP(B756,'Pre-Summary'!$DE$6:$DG$61,3,FALSE),"")</f>
        <v/>
      </c>
      <c r="L756" s="45" t="str">
        <f>IFERROR(VLOOKUP(B756,'Pre-Summary'!$CU$6:$CW$36,3,FALSE),"")</f>
        <v/>
      </c>
      <c r="M756" s="45" t="str">
        <f>IFERROR(VLOOKUP(B756,'Pre-Summary'!$BW$6:$BY$58,2,FALSE),"")</f>
        <v/>
      </c>
      <c r="N756" s="45" t="str">
        <f>IFERROR(VLOOKUP(B756,'Pre-Summary'!$CD$6:$CF$64,2,FALSE),"")</f>
        <v/>
      </c>
      <c r="O756" s="99">
        <f>IFERROR(VLOOKUP(B756,'Pre-Summary'!$BO$6:$BQ$48,3, FALSE),O755)</f>
        <v>1.3</v>
      </c>
      <c r="P756" s="99">
        <f>IFERROR(VLOOKUP(B756,'Pre-Summary'!$BS$6:$BU$35,3,FALSE),P755)</f>
        <v>0.34399999999999997</v>
      </c>
      <c r="Q756" s="54">
        <f t="shared" si="33"/>
        <v>3.779069767441861</v>
      </c>
      <c r="R756" s="53">
        <f>IFERROR(VLOOKUP(B756,'Pre-Summary'!$BG$6:$BM$44,7,FALSE),R757)</f>
        <v>7.5915763918363535E-2</v>
      </c>
      <c r="S756" s="53">
        <f>IFERROR(VLOOKUP(B756,'Pre-Summary'!$BG$6:$BM$44,6,FALSE),S757)</f>
        <v>5.2897473997019086E-2</v>
      </c>
      <c r="T756" s="45" t="str">
        <f>IFERROR(VLOOKUP(B756,'Pre-Summary'!$Y$6:$AC$83, 3,FALSE),"")</f>
        <v/>
      </c>
      <c r="U756" s="45" t="str">
        <f>IFERROR(VLOOKUP(B756,'Pre-Summary'!$Y$6:$AC$83, 4,FALSE),"")</f>
        <v/>
      </c>
      <c r="V756" t="str">
        <f>IFERROR(VLOOKUP(B756,'Pre-Summary'!$Y$6:$AC$83, 5,FALSE),"")</f>
        <v/>
      </c>
      <c r="W756" s="45" t="str">
        <f>IFERROR(VLOOKUP(B756,'Pre-Summary'!$Y$6:$AD$83,6,FALSE),"")</f>
        <v/>
      </c>
      <c r="X756" t="str">
        <f>IFERROR(VLOOKUP('Pre-Summary'!$DB$6:$DD$63,3,FALSE),"")</f>
        <v/>
      </c>
      <c r="Y756" t="str">
        <f>IFERROR(VLOOKUP(B756,'Pre-Summary'!$CR$6:$CT$36,3,FALSE),"")</f>
        <v/>
      </c>
      <c r="Z756" s="45" t="str">
        <f>IFERROR(VLOOKUP(B756,'Pre-Summary'!$BZ$6:$CB$63,2,FALSE),"")</f>
        <v/>
      </c>
      <c r="AA756" s="45" t="str">
        <f>IFERROR(VLOOKUP(B756,'Pre-Summary'!$CG$6:$CI$70,2,FALSE),"")</f>
        <v/>
      </c>
      <c r="AB756" s="99">
        <f>IFERROR(VLOOKUP(B756,'Pre-Summary'!$A$6:$P$178,9,FALSE),AB757)</f>
        <v>0.55977731958672339</v>
      </c>
      <c r="AC756" s="10">
        <f>IFERROR(VLOOKUP(Summary!B756,'Pre-Summary'!$A$6:$P$184,5, FALSE)/100,AC757)</f>
        <v>0.73175400000000013</v>
      </c>
      <c r="AD756" s="10">
        <f>IFERROR(VLOOKUP(Summary!B756,'Pre-Summary'!$A$6:$P$184,3, FALSE)/100,AD757)</f>
        <v>8.5874333333333316E-2</v>
      </c>
      <c r="AE756" s="10">
        <f>IFERROR(VLOOKUP(Summary!B756,'Pre-Summary'!$A$6:$P$184,7, FALSE)/100,AE757)</f>
        <v>0.18237166666666668</v>
      </c>
      <c r="AF756" s="99">
        <f t="shared" si="34"/>
        <v>4.807050413463014E-2</v>
      </c>
      <c r="AG756" s="99">
        <f t="shared" si="35"/>
        <v>0.10208752273523006</v>
      </c>
      <c r="AH756" s="10" t="str">
        <f>IFERROR(VLOOKUP(B756,'Pre-Summary'!$AZ$6:$BE$65,3,FALSE),"")</f>
        <v/>
      </c>
      <c r="AI756" s="10" t="str">
        <f>IFERROR(VLOOKUP(B756,'Pre-Summary'!$AZ$6:$BE$65,5,FALSE),"")</f>
        <v/>
      </c>
      <c r="AJ756" s="10" t="str">
        <f>IFERROR(VLOOKUP(B756,'Pre-Summary'!$AZ$6:$BE$65,4,FALSE),"")</f>
        <v/>
      </c>
      <c r="AK756" s="10" t="str">
        <f>IFERROR(VLOOKUP(B756,'Pre-Summary'!$AZ$6:$BE$65,6,FALSE),"")</f>
        <v/>
      </c>
      <c r="AL756" s="10" t="str">
        <f>IFERROR(VLOOKUP(B756,'Pre-Summary'!$BG$6:$BL$44,3,FALSE),"")</f>
        <v/>
      </c>
      <c r="AM756" s="10" t="str">
        <f>IFERROR(VLOOKUP(B756,'Pre-Summary'!$BG$6:$BL$44,4,FALSE),"")</f>
        <v/>
      </c>
    </row>
    <row r="757" spans="2:39" ht="15" customHeight="1" x14ac:dyDescent="0.3">
      <c r="B757">
        <v>75.400000000000006</v>
      </c>
      <c r="C757" t="str">
        <f>IFERROR(VLOOKUP(B757,'Pre-Summary'!$DI$6:$DM$23,4,FALSE),"")</f>
        <v/>
      </c>
      <c r="D757" s="10" t="str">
        <f>IFERROR(VLOOKUP(B757,'Pre-Summary'!$AT$6:$AX$14,5,FALSE),D756)</f>
        <v>DSMZ v2: Dropped Na-Ac out of DSMZ 120 media</v>
      </c>
      <c r="E757" s="10" t="str">
        <f>IFERROR(VLOOKUP(B757,'Pre-Summary'!$AT$6:$AX$15,4,FALSE),"")</f>
        <v/>
      </c>
      <c r="F757">
        <f>IFERROR(VLOOKUP(B757,'Pre-Summary'!$AL$6:$AQ$13,6,FALSE),F756)</f>
        <v>5.9405263157894746E-2</v>
      </c>
      <c r="G757" t="str">
        <f>IFERROR(VLOOKUP(B757,'Pre-Summary'!$AE$6:$AJ$85,3,FALSE),"")</f>
        <v/>
      </c>
      <c r="H757" t="str">
        <f>IFERROR(VLOOKUP(B757,'Pre-Summary'!$AE$6:$AJ$85,4,FALSE),"")</f>
        <v/>
      </c>
      <c r="I757" t="str">
        <f>IFERROR(VLOOKUP(B757,'Pre-Summary'!$AE$6:$AJ$85,5,FALSE),"")</f>
        <v/>
      </c>
      <c r="J757" s="45" t="str">
        <f>IFERROR(VLOOKUP(B757,'Pre-Summary'!$AE$6:$AJ$85,6, FALSE),"")</f>
        <v/>
      </c>
      <c r="K757" s="45" t="str">
        <f>IFERROR(VLOOKUP(B757,'Pre-Summary'!$DE$6:$DG$61,3,FALSE),"")</f>
        <v/>
      </c>
      <c r="L757" s="45" t="str">
        <f>IFERROR(VLOOKUP(B757,'Pre-Summary'!$CU$6:$CW$36,3,FALSE),"")</f>
        <v/>
      </c>
      <c r="M757" s="45" t="str">
        <f>IFERROR(VLOOKUP(B757,'Pre-Summary'!$BW$6:$BY$58,2,FALSE),"")</f>
        <v/>
      </c>
      <c r="N757" s="45" t="str">
        <f>IFERROR(VLOOKUP(B757,'Pre-Summary'!$CD$6:$CF$64,2,FALSE),"")</f>
        <v/>
      </c>
      <c r="O757" s="99">
        <f>IFERROR(VLOOKUP(B757,'Pre-Summary'!$BO$6:$BQ$48,3, FALSE),O756)</f>
        <v>1.3</v>
      </c>
      <c r="P757" s="99">
        <f>IFERROR(VLOOKUP(B757,'Pre-Summary'!$BS$6:$BU$35,3,FALSE),P756)</f>
        <v>0.34399999999999997</v>
      </c>
      <c r="Q757" s="54">
        <f t="shared" si="33"/>
        <v>3.779069767441861</v>
      </c>
      <c r="R757" s="53">
        <f>IFERROR(VLOOKUP(B757,'Pre-Summary'!$BG$6:$BM$44,7,FALSE),R758)</f>
        <v>7.5915763918363535E-2</v>
      </c>
      <c r="S757" s="53">
        <f>IFERROR(VLOOKUP(B757,'Pre-Summary'!$BG$6:$BM$44,6,FALSE),S758)</f>
        <v>5.2897473997019086E-2</v>
      </c>
      <c r="T757" s="45" t="str">
        <f>IFERROR(VLOOKUP(B757,'Pre-Summary'!$Y$6:$AC$83, 3,FALSE),"")</f>
        <v/>
      </c>
      <c r="U757" s="45" t="str">
        <f>IFERROR(VLOOKUP(B757,'Pre-Summary'!$Y$6:$AC$83, 4,FALSE),"")</f>
        <v/>
      </c>
      <c r="V757" t="str">
        <f>IFERROR(VLOOKUP(B757,'Pre-Summary'!$Y$6:$AC$83, 5,FALSE),"")</f>
        <v/>
      </c>
      <c r="W757" s="45" t="str">
        <f>IFERROR(VLOOKUP(B757,'Pre-Summary'!$Y$6:$AD$83,6,FALSE),"")</f>
        <v/>
      </c>
      <c r="X757" t="str">
        <f>IFERROR(VLOOKUP('Pre-Summary'!$DB$6:$DD$63,3,FALSE),"")</f>
        <v/>
      </c>
      <c r="Y757" t="str">
        <f>IFERROR(VLOOKUP(B757,'Pre-Summary'!$CR$6:$CT$36,3,FALSE),"")</f>
        <v/>
      </c>
      <c r="Z757" s="45" t="str">
        <f>IFERROR(VLOOKUP(B757,'Pre-Summary'!$BZ$6:$CB$63,2,FALSE),"")</f>
        <v/>
      </c>
      <c r="AA757" s="45" t="str">
        <f>IFERROR(VLOOKUP(B757,'Pre-Summary'!$CG$6:$CI$70,2,FALSE),"")</f>
        <v/>
      </c>
      <c r="AB757" s="99">
        <f>IFERROR(VLOOKUP(B757,'Pre-Summary'!$A$6:$P$178,9,FALSE),AB758)</f>
        <v>0.55977731958672339</v>
      </c>
      <c r="AC757" s="10">
        <f>IFERROR(VLOOKUP(Summary!B757,'Pre-Summary'!$A$6:$P$184,5, FALSE)/100,AC758)</f>
        <v>0.73175400000000013</v>
      </c>
      <c r="AD757" s="10">
        <f>IFERROR(VLOOKUP(Summary!B757,'Pre-Summary'!$A$6:$P$184,3, FALSE)/100,AD758)</f>
        <v>8.5874333333333316E-2</v>
      </c>
      <c r="AE757" s="10">
        <f>IFERROR(VLOOKUP(Summary!B757,'Pre-Summary'!$A$6:$P$184,7, FALSE)/100,AE758)</f>
        <v>0.18237166666666668</v>
      </c>
      <c r="AF757" s="99">
        <f t="shared" si="34"/>
        <v>4.807050413463014E-2</v>
      </c>
      <c r="AG757" s="99">
        <f t="shared" si="35"/>
        <v>0.10208752273523006</v>
      </c>
      <c r="AH757" s="10" t="str">
        <f>IFERROR(VLOOKUP(B757,'Pre-Summary'!$AZ$6:$BE$65,3,FALSE),"")</f>
        <v/>
      </c>
      <c r="AI757" s="10" t="str">
        <f>IFERROR(VLOOKUP(B757,'Pre-Summary'!$AZ$6:$BE$65,5,FALSE),"")</f>
        <v/>
      </c>
      <c r="AJ757" s="10" t="str">
        <f>IFERROR(VLOOKUP(B757,'Pre-Summary'!$AZ$6:$BE$65,4,FALSE),"")</f>
        <v/>
      </c>
      <c r="AK757" s="10" t="str">
        <f>IFERROR(VLOOKUP(B757,'Pre-Summary'!$AZ$6:$BE$65,6,FALSE),"")</f>
        <v/>
      </c>
      <c r="AL757" s="10" t="str">
        <f>IFERROR(VLOOKUP(B757,'Pre-Summary'!$BG$6:$BL$44,3,FALSE),"")</f>
        <v/>
      </c>
      <c r="AM757" s="10" t="str">
        <f>IFERROR(VLOOKUP(B757,'Pre-Summary'!$BG$6:$BL$44,4,FALSE),"")</f>
        <v/>
      </c>
    </row>
    <row r="758" spans="2:39" ht="15" customHeight="1" x14ac:dyDescent="0.3">
      <c r="B758">
        <v>75.5</v>
      </c>
      <c r="C758" t="str">
        <f>IFERROR(VLOOKUP(B758,'Pre-Summary'!$DI$6:$DM$23,4,FALSE),"")</f>
        <v/>
      </c>
      <c r="D758" s="10" t="str">
        <f>IFERROR(VLOOKUP(B758,'Pre-Summary'!$AT$6:$AX$14,5,FALSE),D757)</f>
        <v>DSMZ v2: Dropped Na-Ac out of DSMZ 120 media</v>
      </c>
      <c r="E758" s="10" t="str">
        <f>IFERROR(VLOOKUP(B758,'Pre-Summary'!$AT$6:$AX$15,4,FALSE),"")</f>
        <v/>
      </c>
      <c r="F758">
        <f>IFERROR(VLOOKUP(B758,'Pre-Summary'!$AL$6:$AQ$13,6,FALSE),F757)</f>
        <v>5.9405263157894746E-2</v>
      </c>
      <c r="G758" t="str">
        <f>IFERROR(VLOOKUP(B758,'Pre-Summary'!$AE$6:$AJ$85,3,FALSE),"")</f>
        <v/>
      </c>
      <c r="H758" t="str">
        <f>IFERROR(VLOOKUP(B758,'Pre-Summary'!$AE$6:$AJ$85,4,FALSE),"")</f>
        <v/>
      </c>
      <c r="I758" t="str">
        <f>IFERROR(VLOOKUP(B758,'Pre-Summary'!$AE$6:$AJ$85,5,FALSE),"")</f>
        <v/>
      </c>
      <c r="J758" s="45" t="str">
        <f>IFERROR(VLOOKUP(B758,'Pre-Summary'!$AE$6:$AJ$85,6, FALSE),"")</f>
        <v/>
      </c>
      <c r="K758" s="45" t="str">
        <f>IFERROR(VLOOKUP(B758,'Pre-Summary'!$DE$6:$DG$61,3,FALSE),"")</f>
        <v/>
      </c>
      <c r="L758" s="45" t="str">
        <f>IFERROR(VLOOKUP(B758,'Pre-Summary'!$CU$6:$CW$36,3,FALSE),"")</f>
        <v/>
      </c>
      <c r="M758" s="45" t="str">
        <f>IFERROR(VLOOKUP(B758,'Pre-Summary'!$BW$6:$BY$58,2,FALSE),"")</f>
        <v/>
      </c>
      <c r="N758" s="45">
        <f>IFERROR(VLOOKUP(B758,'Pre-Summary'!$CD$6:$CF$64,2,FALSE),"")</f>
        <v>5020.8616034831657</v>
      </c>
      <c r="O758" s="99">
        <f>IFERROR(VLOOKUP(B758,'Pre-Summary'!$BO$6:$BQ$48,3, FALSE),O757)</f>
        <v>1.3</v>
      </c>
      <c r="P758" s="99">
        <f>IFERROR(VLOOKUP(B758,'Pre-Summary'!$BS$6:$BU$35,3,FALSE),P757)</f>
        <v>0.34399999999999997</v>
      </c>
      <c r="Q758" s="54">
        <f t="shared" si="33"/>
        <v>3.779069767441861</v>
      </c>
      <c r="R758" s="53">
        <f>IFERROR(VLOOKUP(B758,'Pre-Summary'!$BG$6:$BM$44,7,FALSE),R759)</f>
        <v>7.5915763918363535E-2</v>
      </c>
      <c r="S758" s="53">
        <f>IFERROR(VLOOKUP(B758,'Pre-Summary'!$BG$6:$BM$44,6,FALSE),S759)</f>
        <v>5.2897473997019086E-2</v>
      </c>
      <c r="T758" s="45" t="str">
        <f>IFERROR(VLOOKUP(B758,'Pre-Summary'!$Y$6:$AC$83, 3,FALSE),"")</f>
        <v/>
      </c>
      <c r="U758" s="45" t="str">
        <f>IFERROR(VLOOKUP(B758,'Pre-Summary'!$Y$6:$AC$83, 4,FALSE),"")</f>
        <v/>
      </c>
      <c r="V758" t="str">
        <f>IFERROR(VLOOKUP(B758,'Pre-Summary'!$Y$6:$AC$83, 5,FALSE),"")</f>
        <v/>
      </c>
      <c r="W758" s="45" t="str">
        <f>IFERROR(VLOOKUP(B758,'Pre-Summary'!$Y$6:$AD$83,6,FALSE),"")</f>
        <v/>
      </c>
      <c r="X758" t="str">
        <f>IFERROR(VLOOKUP('Pre-Summary'!$DB$6:$DD$63,3,FALSE),"")</f>
        <v/>
      </c>
      <c r="Y758" t="str">
        <f>IFERROR(VLOOKUP(B758,'Pre-Summary'!$CR$6:$CT$36,3,FALSE),"")</f>
        <v/>
      </c>
      <c r="Z758" s="45" t="str">
        <f>IFERROR(VLOOKUP(B758,'Pre-Summary'!$BZ$6:$CB$63,2,FALSE),"")</f>
        <v/>
      </c>
      <c r="AA758" s="45" t="str">
        <f>IFERROR(VLOOKUP(B758,'Pre-Summary'!$CG$6:$CI$70,2,FALSE),"")</f>
        <v/>
      </c>
      <c r="AB758" s="99">
        <f>IFERROR(VLOOKUP(B758,'Pre-Summary'!$A$6:$P$178,9,FALSE),AB759)</f>
        <v>0.55977731958672339</v>
      </c>
      <c r="AC758" s="10">
        <f>IFERROR(VLOOKUP(Summary!B758,'Pre-Summary'!$A$6:$P$184,5, FALSE)/100,AC759)</f>
        <v>0.73175400000000013</v>
      </c>
      <c r="AD758" s="10">
        <f>IFERROR(VLOOKUP(Summary!B758,'Pre-Summary'!$A$6:$P$184,3, FALSE)/100,AD759)</f>
        <v>8.5874333333333316E-2</v>
      </c>
      <c r="AE758" s="10">
        <f>IFERROR(VLOOKUP(Summary!B758,'Pre-Summary'!$A$6:$P$184,7, FALSE)/100,AE759)</f>
        <v>0.18237166666666668</v>
      </c>
      <c r="AF758" s="99">
        <f t="shared" si="34"/>
        <v>4.807050413463014E-2</v>
      </c>
      <c r="AG758" s="99">
        <f t="shared" si="35"/>
        <v>0.10208752273523006</v>
      </c>
      <c r="AH758" s="10" t="str">
        <f>IFERROR(VLOOKUP(B758,'Pre-Summary'!$AZ$6:$BE$65,3,FALSE),"")</f>
        <v/>
      </c>
      <c r="AI758" s="10" t="str">
        <f>IFERROR(VLOOKUP(B758,'Pre-Summary'!$AZ$6:$BE$65,5,FALSE),"")</f>
        <v/>
      </c>
      <c r="AJ758" s="10" t="str">
        <f>IFERROR(VLOOKUP(B758,'Pre-Summary'!$AZ$6:$BE$65,4,FALSE),"")</f>
        <v/>
      </c>
      <c r="AK758" s="10" t="str">
        <f>IFERROR(VLOOKUP(B758,'Pre-Summary'!$AZ$6:$BE$65,6,FALSE),"")</f>
        <v/>
      </c>
      <c r="AL758" s="10" t="str">
        <f>IFERROR(VLOOKUP(B758,'Pre-Summary'!$BG$6:$BL$44,3,FALSE),"")</f>
        <v/>
      </c>
      <c r="AM758" s="10" t="str">
        <f>IFERROR(VLOOKUP(B758,'Pre-Summary'!$BG$6:$BL$44,4,FALSE),"")</f>
        <v/>
      </c>
    </row>
    <row r="759" spans="2:39" ht="15" customHeight="1" x14ac:dyDescent="0.3">
      <c r="B759">
        <v>75.599999999999994</v>
      </c>
      <c r="C759" t="str">
        <f>IFERROR(VLOOKUP(B759,'Pre-Summary'!$DI$6:$DM$23,4,FALSE),"")</f>
        <v/>
      </c>
      <c r="D759" s="10" t="str">
        <f>IFERROR(VLOOKUP(B759,'Pre-Summary'!$AT$6:$AX$14,5,FALSE),D758)</f>
        <v>DSMZ v2: Dropped Na-Ac out of DSMZ 120 media</v>
      </c>
      <c r="E759" s="10" t="str">
        <f>IFERROR(VLOOKUP(B759,'Pre-Summary'!$AT$6:$AX$15,4,FALSE),"")</f>
        <v/>
      </c>
      <c r="F759">
        <f>IFERROR(VLOOKUP(B759,'Pre-Summary'!$AL$6:$AQ$13,6,FALSE),F758)</f>
        <v>5.9405263157894746E-2</v>
      </c>
      <c r="G759" t="str">
        <f>IFERROR(VLOOKUP(B759,'Pre-Summary'!$AE$6:$AJ$85,3,FALSE),"")</f>
        <v/>
      </c>
      <c r="H759" t="str">
        <f>IFERROR(VLOOKUP(B759,'Pre-Summary'!$AE$6:$AJ$85,4,FALSE),"")</f>
        <v/>
      </c>
      <c r="I759" t="str">
        <f>IFERROR(VLOOKUP(B759,'Pre-Summary'!$AE$6:$AJ$85,5,FALSE),"")</f>
        <v/>
      </c>
      <c r="J759" s="45" t="str">
        <f>IFERROR(VLOOKUP(B759,'Pre-Summary'!$AE$6:$AJ$85,6, FALSE),"")</f>
        <v/>
      </c>
      <c r="K759" s="45" t="str">
        <f>IFERROR(VLOOKUP(B759,'Pre-Summary'!$DE$6:$DG$61,3,FALSE),"")</f>
        <v/>
      </c>
      <c r="L759" s="45" t="str">
        <f>IFERROR(VLOOKUP(B759,'Pre-Summary'!$CU$6:$CW$36,3,FALSE),"")</f>
        <v/>
      </c>
      <c r="M759" s="45" t="str">
        <f>IFERROR(VLOOKUP(B759,'Pre-Summary'!$BW$6:$BY$58,2,FALSE),"")</f>
        <v/>
      </c>
      <c r="N759" s="45" t="str">
        <f>IFERROR(VLOOKUP(B759,'Pre-Summary'!$CD$6:$CF$64,2,FALSE),"")</f>
        <v/>
      </c>
      <c r="O759" s="99">
        <f>IFERROR(VLOOKUP(B759,'Pre-Summary'!$BO$6:$BQ$48,3, FALSE),O758)</f>
        <v>1.3</v>
      </c>
      <c r="P759" s="99">
        <f>IFERROR(VLOOKUP(B759,'Pre-Summary'!$BS$6:$BU$35,3,FALSE),P758)</f>
        <v>0.34399999999999997</v>
      </c>
      <c r="Q759" s="54">
        <f t="shared" si="33"/>
        <v>3.779069767441861</v>
      </c>
      <c r="R759" s="53">
        <f>IFERROR(VLOOKUP(B759,'Pre-Summary'!$BG$6:$BM$44,7,FALSE),R760)</f>
        <v>7.5915763918363535E-2</v>
      </c>
      <c r="S759" s="53">
        <f>IFERROR(VLOOKUP(B759,'Pre-Summary'!$BG$6:$BM$44,6,FALSE),S760)</f>
        <v>5.2897473997019086E-2</v>
      </c>
      <c r="T759" s="45" t="str">
        <f>IFERROR(VLOOKUP(B759,'Pre-Summary'!$Y$6:$AC$83, 3,FALSE),"")</f>
        <v/>
      </c>
      <c r="U759" s="45" t="str">
        <f>IFERROR(VLOOKUP(B759,'Pre-Summary'!$Y$6:$AC$83, 4,FALSE),"")</f>
        <v/>
      </c>
      <c r="V759" t="str">
        <f>IFERROR(VLOOKUP(B759,'Pre-Summary'!$Y$6:$AC$83, 5,FALSE),"")</f>
        <v/>
      </c>
      <c r="W759" s="45" t="str">
        <f>IFERROR(VLOOKUP(B759,'Pre-Summary'!$Y$6:$AD$83,6,FALSE),"")</f>
        <v/>
      </c>
      <c r="X759" t="str">
        <f>IFERROR(VLOOKUP('Pre-Summary'!$DB$6:$DD$63,3,FALSE),"")</f>
        <v/>
      </c>
      <c r="Y759" t="str">
        <f>IFERROR(VLOOKUP(B759,'Pre-Summary'!$CR$6:$CT$36,3,FALSE),"")</f>
        <v/>
      </c>
      <c r="Z759" s="45" t="str">
        <f>IFERROR(VLOOKUP(B759,'Pre-Summary'!$BZ$6:$CB$63,2,FALSE),"")</f>
        <v/>
      </c>
      <c r="AA759" s="45" t="str">
        <f>IFERROR(VLOOKUP(B759,'Pre-Summary'!$CG$6:$CI$70,2,FALSE),"")</f>
        <v/>
      </c>
      <c r="AB759" s="99">
        <f>IFERROR(VLOOKUP(B759,'Pre-Summary'!$A$6:$P$178,9,FALSE),AB760)</f>
        <v>0.55977731958672339</v>
      </c>
      <c r="AC759" s="10">
        <f>IFERROR(VLOOKUP(Summary!B759,'Pre-Summary'!$A$6:$P$184,5, FALSE)/100,AC760)</f>
        <v>0.73175400000000013</v>
      </c>
      <c r="AD759" s="10">
        <f>IFERROR(VLOOKUP(Summary!B759,'Pre-Summary'!$A$6:$P$184,3, FALSE)/100,AD760)</f>
        <v>8.5874333333333316E-2</v>
      </c>
      <c r="AE759" s="10">
        <f>IFERROR(VLOOKUP(Summary!B759,'Pre-Summary'!$A$6:$P$184,7, FALSE)/100,AE760)</f>
        <v>0.18237166666666668</v>
      </c>
      <c r="AF759" s="99">
        <f t="shared" si="34"/>
        <v>4.807050413463014E-2</v>
      </c>
      <c r="AG759" s="99">
        <f t="shared" si="35"/>
        <v>0.10208752273523006</v>
      </c>
      <c r="AH759" s="10" t="str">
        <f>IFERROR(VLOOKUP(B759,'Pre-Summary'!$AZ$6:$BE$65,3,FALSE),"")</f>
        <v/>
      </c>
      <c r="AI759" s="10" t="str">
        <f>IFERROR(VLOOKUP(B759,'Pre-Summary'!$AZ$6:$BE$65,5,FALSE),"")</f>
        <v/>
      </c>
      <c r="AJ759" s="10" t="str">
        <f>IFERROR(VLOOKUP(B759,'Pre-Summary'!$AZ$6:$BE$65,4,FALSE),"")</f>
        <v/>
      </c>
      <c r="AK759" s="10" t="str">
        <f>IFERROR(VLOOKUP(B759,'Pre-Summary'!$AZ$6:$BE$65,6,FALSE),"")</f>
        <v/>
      </c>
      <c r="AL759" s="10" t="str">
        <f>IFERROR(VLOOKUP(B759,'Pre-Summary'!$BG$6:$BL$44,3,FALSE),"")</f>
        <v/>
      </c>
      <c r="AM759" s="10" t="str">
        <f>IFERROR(VLOOKUP(B759,'Pre-Summary'!$BG$6:$BL$44,4,FALSE),"")</f>
        <v/>
      </c>
    </row>
    <row r="760" spans="2:39" ht="15" customHeight="1" x14ac:dyDescent="0.3">
      <c r="B760">
        <v>75.7</v>
      </c>
      <c r="C760" t="str">
        <f>IFERROR(VLOOKUP(B760,'Pre-Summary'!$DI$6:$DM$23,4,FALSE),"")</f>
        <v/>
      </c>
      <c r="D760" s="10" t="str">
        <f>IFERROR(VLOOKUP(B760,'Pre-Summary'!$AT$6:$AX$14,5,FALSE),D759)</f>
        <v>DSMZ v2: Dropped Na-Ac out of DSMZ 120 media</v>
      </c>
      <c r="E760" s="10" t="str">
        <f>IFERROR(VLOOKUP(B760,'Pre-Summary'!$AT$6:$AX$15,4,FALSE),"")</f>
        <v/>
      </c>
      <c r="F760">
        <f>IFERROR(VLOOKUP(B760,'Pre-Summary'!$AL$6:$AQ$13,6,FALSE),F759)</f>
        <v>5.9405263157894746E-2</v>
      </c>
      <c r="G760" t="str">
        <f>IFERROR(VLOOKUP(B760,'Pre-Summary'!$AE$6:$AJ$85,3,FALSE),"")</f>
        <v/>
      </c>
      <c r="H760" t="str">
        <f>IFERROR(VLOOKUP(B760,'Pre-Summary'!$AE$6:$AJ$85,4,FALSE),"")</f>
        <v/>
      </c>
      <c r="I760" t="str">
        <f>IFERROR(VLOOKUP(B760,'Pre-Summary'!$AE$6:$AJ$85,5,FALSE),"")</f>
        <v/>
      </c>
      <c r="J760" s="45" t="str">
        <f>IFERROR(VLOOKUP(B760,'Pre-Summary'!$AE$6:$AJ$85,6, FALSE),"")</f>
        <v/>
      </c>
      <c r="K760" s="45" t="str">
        <f>IFERROR(VLOOKUP(B760,'Pre-Summary'!$DE$6:$DG$61,3,FALSE),"")</f>
        <v/>
      </c>
      <c r="L760" s="45" t="str">
        <f>IFERROR(VLOOKUP(B760,'Pre-Summary'!$CU$6:$CW$36,3,FALSE),"")</f>
        <v/>
      </c>
      <c r="M760" s="45" t="str">
        <f>IFERROR(VLOOKUP(B760,'Pre-Summary'!$BW$6:$BY$58,2,FALSE),"")</f>
        <v/>
      </c>
      <c r="N760" s="45" t="str">
        <f>IFERROR(VLOOKUP(B760,'Pre-Summary'!$CD$6:$CF$64,2,FALSE),"")</f>
        <v/>
      </c>
      <c r="O760" s="99">
        <f>IFERROR(VLOOKUP(B760,'Pre-Summary'!$BO$6:$BQ$48,3, FALSE),O759)</f>
        <v>1.3</v>
      </c>
      <c r="P760" s="99">
        <f>IFERROR(VLOOKUP(B760,'Pre-Summary'!$BS$6:$BU$35,3,FALSE),P759)</f>
        <v>0.34399999999999997</v>
      </c>
      <c r="Q760" s="54">
        <f t="shared" si="33"/>
        <v>3.779069767441861</v>
      </c>
      <c r="R760" s="53">
        <f>IFERROR(VLOOKUP(B760,'Pre-Summary'!$BG$6:$BM$44,7,FALSE),R761)</f>
        <v>7.5915763918363535E-2</v>
      </c>
      <c r="S760" s="53">
        <f>IFERROR(VLOOKUP(B760,'Pre-Summary'!$BG$6:$BM$44,6,FALSE),S761)</f>
        <v>5.2897473997019086E-2</v>
      </c>
      <c r="T760" s="45" t="str">
        <f>IFERROR(VLOOKUP(B760,'Pre-Summary'!$Y$6:$AC$83, 3,FALSE),"")</f>
        <v/>
      </c>
      <c r="U760" s="45" t="str">
        <f>IFERROR(VLOOKUP(B760,'Pre-Summary'!$Y$6:$AC$83, 4,FALSE),"")</f>
        <v/>
      </c>
      <c r="V760" t="str">
        <f>IFERROR(VLOOKUP(B760,'Pre-Summary'!$Y$6:$AC$83, 5,FALSE),"")</f>
        <v/>
      </c>
      <c r="W760" s="45" t="str">
        <f>IFERROR(VLOOKUP(B760,'Pre-Summary'!$Y$6:$AD$83,6,FALSE),"")</f>
        <v/>
      </c>
      <c r="X760" t="str">
        <f>IFERROR(VLOOKUP('Pre-Summary'!$DB$6:$DD$63,3,FALSE),"")</f>
        <v/>
      </c>
      <c r="Y760" t="str">
        <f>IFERROR(VLOOKUP(B760,'Pre-Summary'!$CR$6:$CT$36,3,FALSE),"")</f>
        <v/>
      </c>
      <c r="Z760" s="45" t="str">
        <f>IFERROR(VLOOKUP(B760,'Pre-Summary'!$BZ$6:$CB$63,2,FALSE),"")</f>
        <v/>
      </c>
      <c r="AA760" s="45" t="str">
        <f>IFERROR(VLOOKUP(B760,'Pre-Summary'!$CG$6:$CI$70,2,FALSE),"")</f>
        <v/>
      </c>
      <c r="AB760" s="99">
        <f>IFERROR(VLOOKUP(B760,'Pre-Summary'!$A$6:$P$178,9,FALSE),AB761)</f>
        <v>0.55977731958672339</v>
      </c>
      <c r="AC760" s="10">
        <f>IFERROR(VLOOKUP(Summary!B760,'Pre-Summary'!$A$6:$P$184,5, FALSE)/100,AC761)</f>
        <v>0.73175400000000013</v>
      </c>
      <c r="AD760" s="10">
        <f>IFERROR(VLOOKUP(Summary!B760,'Pre-Summary'!$A$6:$P$184,3, FALSE)/100,AD761)</f>
        <v>8.5874333333333316E-2</v>
      </c>
      <c r="AE760" s="10">
        <f>IFERROR(VLOOKUP(Summary!B760,'Pre-Summary'!$A$6:$P$184,7, FALSE)/100,AE761)</f>
        <v>0.18237166666666668</v>
      </c>
      <c r="AF760" s="99">
        <f t="shared" si="34"/>
        <v>4.807050413463014E-2</v>
      </c>
      <c r="AG760" s="99">
        <f t="shared" si="35"/>
        <v>0.10208752273523006</v>
      </c>
      <c r="AH760" s="10" t="str">
        <f>IFERROR(VLOOKUP(B760,'Pre-Summary'!$AZ$6:$BE$65,3,FALSE),"")</f>
        <v/>
      </c>
      <c r="AI760" s="10" t="str">
        <f>IFERROR(VLOOKUP(B760,'Pre-Summary'!$AZ$6:$BE$65,5,FALSE),"")</f>
        <v/>
      </c>
      <c r="AJ760" s="10" t="str">
        <f>IFERROR(VLOOKUP(B760,'Pre-Summary'!$AZ$6:$BE$65,4,FALSE),"")</f>
        <v/>
      </c>
      <c r="AK760" s="10" t="str">
        <f>IFERROR(VLOOKUP(B760,'Pre-Summary'!$AZ$6:$BE$65,6,FALSE),"")</f>
        <v/>
      </c>
      <c r="AL760" s="10" t="str">
        <f>IFERROR(VLOOKUP(B760,'Pre-Summary'!$BG$6:$BL$44,3,FALSE),"")</f>
        <v/>
      </c>
      <c r="AM760" s="10" t="str">
        <f>IFERROR(VLOOKUP(B760,'Pre-Summary'!$BG$6:$BL$44,4,FALSE),"")</f>
        <v/>
      </c>
    </row>
    <row r="761" spans="2:39" ht="15" customHeight="1" x14ac:dyDescent="0.3">
      <c r="B761">
        <v>75.8</v>
      </c>
      <c r="C761" t="str">
        <f>IFERROR(VLOOKUP(B761,'Pre-Summary'!$DI$6:$DM$23,4,FALSE),"")</f>
        <v/>
      </c>
      <c r="D761" s="10" t="str">
        <f>IFERROR(VLOOKUP(B761,'Pre-Summary'!$AT$6:$AX$14,5,FALSE),D760)</f>
        <v>DSMZ v2: Dropped Na-Ac out of DSMZ 120 media</v>
      </c>
      <c r="E761" s="10" t="str">
        <f>IFERROR(VLOOKUP(B761,'Pre-Summary'!$AT$6:$AX$15,4,FALSE),"")</f>
        <v/>
      </c>
      <c r="F761">
        <f>IFERROR(VLOOKUP(B761,'Pre-Summary'!$AL$6:$AQ$13,6,FALSE),F760)</f>
        <v>5.9405263157894746E-2</v>
      </c>
      <c r="G761" t="str">
        <f>IFERROR(VLOOKUP(B761,'Pre-Summary'!$AE$6:$AJ$85,3,FALSE),"")</f>
        <v/>
      </c>
      <c r="H761" t="str">
        <f>IFERROR(VLOOKUP(B761,'Pre-Summary'!$AE$6:$AJ$85,4,FALSE),"")</f>
        <v/>
      </c>
      <c r="I761" t="str">
        <f>IFERROR(VLOOKUP(B761,'Pre-Summary'!$AE$6:$AJ$85,5,FALSE),"")</f>
        <v/>
      </c>
      <c r="J761" s="45" t="str">
        <f>IFERROR(VLOOKUP(B761,'Pre-Summary'!$AE$6:$AJ$85,6, FALSE),"")</f>
        <v/>
      </c>
      <c r="K761" s="45" t="str">
        <f>IFERROR(VLOOKUP(B761,'Pre-Summary'!$DE$6:$DG$61,3,FALSE),"")</f>
        <v/>
      </c>
      <c r="L761" s="45" t="str">
        <f>IFERROR(VLOOKUP(B761,'Pre-Summary'!$CU$6:$CW$36,3,FALSE),"")</f>
        <v/>
      </c>
      <c r="M761" s="45" t="str">
        <f>IFERROR(VLOOKUP(B761,'Pre-Summary'!$BW$6:$BY$58,2,FALSE),"")</f>
        <v/>
      </c>
      <c r="N761" s="45" t="str">
        <f>IFERROR(VLOOKUP(B761,'Pre-Summary'!$CD$6:$CF$64,2,FALSE),"")</f>
        <v/>
      </c>
      <c r="O761" s="99">
        <f>IFERROR(VLOOKUP(B761,'Pre-Summary'!$BO$6:$BQ$48,3, FALSE),O760)</f>
        <v>1.3</v>
      </c>
      <c r="P761" s="99">
        <f>IFERROR(VLOOKUP(B761,'Pre-Summary'!$BS$6:$BU$35,3,FALSE),P760)</f>
        <v>0.34399999999999997</v>
      </c>
      <c r="Q761" s="54">
        <f t="shared" si="33"/>
        <v>3.779069767441861</v>
      </c>
      <c r="R761" s="53">
        <f>IFERROR(VLOOKUP(B761,'Pre-Summary'!$BG$6:$BM$44,7,FALSE),R762)</f>
        <v>7.5915763918363535E-2</v>
      </c>
      <c r="S761" s="53">
        <f>IFERROR(VLOOKUP(B761,'Pre-Summary'!$BG$6:$BM$44,6,FALSE),S762)</f>
        <v>5.2897473997019086E-2</v>
      </c>
      <c r="T761" s="45" t="str">
        <f>IFERROR(VLOOKUP(B761,'Pre-Summary'!$Y$6:$AC$83, 3,FALSE),"")</f>
        <v/>
      </c>
      <c r="U761" s="45" t="str">
        <f>IFERROR(VLOOKUP(B761,'Pre-Summary'!$Y$6:$AC$83, 4,FALSE),"")</f>
        <v/>
      </c>
      <c r="V761" t="str">
        <f>IFERROR(VLOOKUP(B761,'Pre-Summary'!$Y$6:$AC$83, 5,FALSE),"")</f>
        <v/>
      </c>
      <c r="W761" s="45" t="str">
        <f>IFERROR(VLOOKUP(B761,'Pre-Summary'!$Y$6:$AD$83,6,FALSE),"")</f>
        <v/>
      </c>
      <c r="X761" t="str">
        <f>IFERROR(VLOOKUP('Pre-Summary'!$DB$6:$DD$63,3,FALSE),"")</f>
        <v/>
      </c>
      <c r="Y761" t="str">
        <f>IFERROR(VLOOKUP(B761,'Pre-Summary'!$CR$6:$CT$36,3,FALSE),"")</f>
        <v/>
      </c>
      <c r="Z761" s="45" t="str">
        <f>IFERROR(VLOOKUP(B761,'Pre-Summary'!$BZ$6:$CB$63,2,FALSE),"")</f>
        <v/>
      </c>
      <c r="AA761" s="45" t="str">
        <f>IFERROR(VLOOKUP(B761,'Pre-Summary'!$CG$6:$CI$70,2,FALSE),"")</f>
        <v/>
      </c>
      <c r="AB761" s="99">
        <f>IFERROR(VLOOKUP(B761,'Pre-Summary'!$A$6:$P$178,9,FALSE),AB762)</f>
        <v>0.55977731958672339</v>
      </c>
      <c r="AC761" s="10">
        <f>IFERROR(VLOOKUP(Summary!B761,'Pre-Summary'!$A$6:$P$184,5, FALSE)/100,AC762)</f>
        <v>0.73175400000000013</v>
      </c>
      <c r="AD761" s="10">
        <f>IFERROR(VLOOKUP(Summary!B761,'Pre-Summary'!$A$6:$P$184,3, FALSE)/100,AD762)</f>
        <v>8.5874333333333316E-2</v>
      </c>
      <c r="AE761" s="10">
        <f>IFERROR(VLOOKUP(Summary!B761,'Pre-Summary'!$A$6:$P$184,7, FALSE)/100,AE762)</f>
        <v>0.18237166666666668</v>
      </c>
      <c r="AF761" s="99">
        <f t="shared" si="34"/>
        <v>4.807050413463014E-2</v>
      </c>
      <c r="AG761" s="99">
        <f t="shared" si="35"/>
        <v>0.10208752273523006</v>
      </c>
      <c r="AH761" s="10" t="str">
        <f>IFERROR(VLOOKUP(B761,'Pre-Summary'!$AZ$6:$BE$65,3,FALSE),"")</f>
        <v/>
      </c>
      <c r="AI761" s="10" t="str">
        <f>IFERROR(VLOOKUP(B761,'Pre-Summary'!$AZ$6:$BE$65,5,FALSE),"")</f>
        <v/>
      </c>
      <c r="AJ761" s="10" t="str">
        <f>IFERROR(VLOOKUP(B761,'Pre-Summary'!$AZ$6:$BE$65,4,FALSE),"")</f>
        <v/>
      </c>
      <c r="AK761" s="10" t="str">
        <f>IFERROR(VLOOKUP(B761,'Pre-Summary'!$AZ$6:$BE$65,6,FALSE),"")</f>
        <v/>
      </c>
      <c r="AL761" s="10" t="str">
        <f>IFERROR(VLOOKUP(B761,'Pre-Summary'!$BG$6:$BL$44,3,FALSE),"")</f>
        <v/>
      </c>
      <c r="AM761" s="10" t="str">
        <f>IFERROR(VLOOKUP(B761,'Pre-Summary'!$BG$6:$BL$44,4,FALSE),"")</f>
        <v/>
      </c>
    </row>
    <row r="762" spans="2:39" ht="15" customHeight="1" x14ac:dyDescent="0.3">
      <c r="B762">
        <v>75.900000000000006</v>
      </c>
      <c r="C762" t="str">
        <f>IFERROR(VLOOKUP(B762,'Pre-Summary'!$DI$6:$DM$23,4,FALSE),"")</f>
        <v/>
      </c>
      <c r="D762" s="10" t="str">
        <f>IFERROR(VLOOKUP(B762,'Pre-Summary'!$AT$6:$AX$14,5,FALSE),D761)</f>
        <v>DSMZ v2: Dropped Na-Ac out of DSMZ 120 media</v>
      </c>
      <c r="E762" s="10" t="str">
        <f>IFERROR(VLOOKUP(B762,'Pre-Summary'!$AT$6:$AX$15,4,FALSE),"")</f>
        <v/>
      </c>
      <c r="F762">
        <f>IFERROR(VLOOKUP(B762,'Pre-Summary'!$AL$6:$AQ$13,6,FALSE),F761)</f>
        <v>5.9405263157894746E-2</v>
      </c>
      <c r="G762">
        <f>IFERROR(VLOOKUP(B762,'Pre-Summary'!$AE$6:$AJ$85,3,FALSE),"")</f>
        <v>758.58</v>
      </c>
      <c r="H762">
        <f>IFERROR(VLOOKUP(B762,'Pre-Summary'!$AE$6:$AJ$85,4,FALSE),"")</f>
        <v>186.1</v>
      </c>
      <c r="I762">
        <f>IFERROR(VLOOKUP(B762,'Pre-Summary'!$AE$6:$AJ$85,5,FALSE),"")</f>
        <v>0</v>
      </c>
      <c r="J762" s="45">
        <f>IFERROR(VLOOKUP(B762,'Pre-Summary'!$AE$6:$AJ$85,6, FALSE),"")</f>
        <v>1091.1602600000001</v>
      </c>
      <c r="K762" s="45" t="str">
        <f>IFERROR(VLOOKUP(B762,'Pre-Summary'!$DE$6:$DG$61,3,FALSE),"")</f>
        <v/>
      </c>
      <c r="L762" s="45" t="str">
        <f>IFERROR(VLOOKUP(B762,'Pre-Summary'!$CU$6:$CW$36,3,FALSE),"")</f>
        <v/>
      </c>
      <c r="M762" s="45" t="str">
        <f>IFERROR(VLOOKUP(B762,'Pre-Summary'!$BW$6:$BY$58,2,FALSE),"")</f>
        <v/>
      </c>
      <c r="N762" s="45" t="str">
        <f>IFERROR(VLOOKUP(B762,'Pre-Summary'!$CD$6:$CF$64,2,FALSE),"")</f>
        <v/>
      </c>
      <c r="O762" s="99">
        <f>IFERROR(VLOOKUP(B762,'Pre-Summary'!$BO$6:$BQ$48,3, FALSE),O761)</f>
        <v>1.3</v>
      </c>
      <c r="P762" s="99">
        <f>IFERROR(VLOOKUP(B762,'Pre-Summary'!$BS$6:$BU$35,3,FALSE),P761)</f>
        <v>0.34399999999999997</v>
      </c>
      <c r="Q762" s="54">
        <f t="shared" si="33"/>
        <v>3.779069767441861</v>
      </c>
      <c r="R762" s="53">
        <f>IFERROR(VLOOKUP(B762,'Pre-Summary'!$BG$6:$BM$44,7,FALSE),R763)</f>
        <v>7.5915763918363535E-2</v>
      </c>
      <c r="S762" s="53">
        <f>IFERROR(VLOOKUP(B762,'Pre-Summary'!$BG$6:$BM$44,6,FALSE),S763)</f>
        <v>5.2897473997019086E-2</v>
      </c>
      <c r="T762" s="45">
        <f>IFERROR(VLOOKUP(B762,'Pre-Summary'!$Y$6:$AC$83, 3,FALSE),"")</f>
        <v>34.76</v>
      </c>
      <c r="U762" s="45">
        <f>IFERROR(VLOOKUP(B762,'Pre-Summary'!$Y$6:$AC$83, 4,FALSE),"")</f>
        <v>434.38499999999999</v>
      </c>
      <c r="V762">
        <f>IFERROR(VLOOKUP(B762,'Pre-Summary'!$Y$6:$AC$83, 5,FALSE),"")</f>
        <v>0</v>
      </c>
      <c r="W762" s="45">
        <f>IFERROR(VLOOKUP(B762,'Pre-Summary'!$Y$6:$AD$83,6,FALSE),"")</f>
        <v>694.74781000000007</v>
      </c>
      <c r="X762" t="str">
        <f>IFERROR(VLOOKUP('Pre-Summary'!$DB$6:$DD$63,3,FALSE),"")</f>
        <v/>
      </c>
      <c r="Y762" t="str">
        <f>IFERROR(VLOOKUP(B762,'Pre-Summary'!$CR$6:$CT$36,3,FALSE),"")</f>
        <v/>
      </c>
      <c r="Z762" s="45" t="str">
        <f>IFERROR(VLOOKUP(B762,'Pre-Summary'!$BZ$6:$CB$63,2,FALSE),"")</f>
        <v/>
      </c>
      <c r="AA762" s="45">
        <f>IFERROR(VLOOKUP(B762,'Pre-Summary'!$CG$6:$CI$70,2,FALSE),"")</f>
        <v>40.035720422210517</v>
      </c>
      <c r="AB762" s="99">
        <f>IFERROR(VLOOKUP(B762,'Pre-Summary'!$A$6:$P$178,9,FALSE),AB763)</f>
        <v>0.55977731958672339</v>
      </c>
      <c r="AC762" s="10">
        <f>IFERROR(VLOOKUP(Summary!B762,'Pre-Summary'!$A$6:$P$184,5, FALSE)/100,AC763)</f>
        <v>0.73175400000000013</v>
      </c>
      <c r="AD762" s="10">
        <f>IFERROR(VLOOKUP(Summary!B762,'Pre-Summary'!$A$6:$P$184,3, FALSE)/100,AD763)</f>
        <v>8.5874333333333316E-2</v>
      </c>
      <c r="AE762" s="10">
        <f>IFERROR(VLOOKUP(Summary!B762,'Pre-Summary'!$A$6:$P$184,7, FALSE)/100,AE763)</f>
        <v>0.18237166666666668</v>
      </c>
      <c r="AF762" s="99">
        <f t="shared" si="34"/>
        <v>4.807050413463014E-2</v>
      </c>
      <c r="AG762" s="99">
        <f t="shared" si="35"/>
        <v>0.10208752273523006</v>
      </c>
      <c r="AH762" s="10">
        <f>IFERROR(VLOOKUP(B762,'Pre-Summary'!$AZ$6:$BE$65,3,FALSE),"")</f>
        <v>252</v>
      </c>
      <c r="AI762" s="10">
        <f>IFERROR(VLOOKUP(B762,'Pre-Summary'!$AZ$6:$BE$65,5,FALSE),"")</f>
        <v>233</v>
      </c>
      <c r="AJ762" s="10">
        <f>IFERROR(VLOOKUP(B762,'Pre-Summary'!$AZ$6:$BE$65,4,FALSE),"")</f>
        <v>233</v>
      </c>
      <c r="AK762" s="10">
        <f>IFERROR(VLOOKUP(B762,'Pre-Summary'!$AZ$6:$BE$65,6,FALSE),"")</f>
        <v>173</v>
      </c>
      <c r="AL762" s="10">
        <f>IFERROR(VLOOKUP(B762,'Pre-Summary'!$BG$6:$BL$44,3,FALSE),"")</f>
        <v>6.3108525408737561</v>
      </c>
      <c r="AM762" s="10">
        <f>IFERROR(VLOOKUP(B762,'Pre-Summary'!$BG$6:$BL$44,4,FALSE),"")</f>
        <v>5.9076544943830438</v>
      </c>
    </row>
    <row r="763" spans="2:39" ht="15" customHeight="1" x14ac:dyDescent="0.3">
      <c r="B763">
        <v>76</v>
      </c>
      <c r="C763" t="str">
        <f>IFERROR(VLOOKUP(B763,'Pre-Summary'!$DI$6:$DM$23,4,FALSE),"")</f>
        <v/>
      </c>
      <c r="D763" s="10" t="str">
        <f>IFERROR(VLOOKUP(B763,'Pre-Summary'!$AT$6:$AX$14,5,FALSE),D762)</f>
        <v>DSMZ v2: Dropped Na-Ac out of DSMZ 120 media</v>
      </c>
      <c r="E763" s="10" t="str">
        <f>IFERROR(VLOOKUP(B763,'Pre-Summary'!$AT$6:$AX$15,4,FALSE),"")</f>
        <v/>
      </c>
      <c r="F763">
        <f>IFERROR(VLOOKUP(B763,'Pre-Summary'!$AL$6:$AQ$13,6,FALSE),F762)</f>
        <v>5.9405263157894746E-2</v>
      </c>
      <c r="G763" t="str">
        <f>IFERROR(VLOOKUP(B763,'Pre-Summary'!$AE$6:$AJ$85,3,FALSE),"")</f>
        <v/>
      </c>
      <c r="H763" t="str">
        <f>IFERROR(VLOOKUP(B763,'Pre-Summary'!$AE$6:$AJ$85,4,FALSE),"")</f>
        <v/>
      </c>
      <c r="I763" t="str">
        <f>IFERROR(VLOOKUP(B763,'Pre-Summary'!$AE$6:$AJ$85,5,FALSE),"")</f>
        <v/>
      </c>
      <c r="J763" s="45" t="str">
        <f>IFERROR(VLOOKUP(B763,'Pre-Summary'!$AE$6:$AJ$85,6, FALSE),"")</f>
        <v/>
      </c>
      <c r="K763" s="45" t="str">
        <f>IFERROR(VLOOKUP(B763,'Pre-Summary'!$DE$6:$DG$61,3,FALSE),"")</f>
        <v/>
      </c>
      <c r="L763" s="45" t="str">
        <f>IFERROR(VLOOKUP(B763,'Pre-Summary'!$CU$6:$CW$36,3,FALSE),"")</f>
        <v/>
      </c>
      <c r="M763" s="45" t="str">
        <f>IFERROR(VLOOKUP(B763,'Pre-Summary'!$BW$6:$BY$58,2,FALSE),"")</f>
        <v/>
      </c>
      <c r="N763" s="45" t="str">
        <f>IFERROR(VLOOKUP(B763,'Pre-Summary'!$CD$6:$CF$64,2,FALSE),"")</f>
        <v/>
      </c>
      <c r="O763" s="99">
        <f>IFERROR(VLOOKUP(B763,'Pre-Summary'!$BO$6:$BQ$48,3, FALSE),O762)</f>
        <v>1.3</v>
      </c>
      <c r="P763" s="99">
        <f>IFERROR(VLOOKUP(B763,'Pre-Summary'!$BS$6:$BU$35,3,FALSE),P762)</f>
        <v>0.34399999999999997</v>
      </c>
      <c r="Q763" s="54">
        <f t="shared" si="33"/>
        <v>3.779069767441861</v>
      </c>
      <c r="R763" s="53">
        <f>IFERROR(VLOOKUP(B763,'Pre-Summary'!$BG$6:$BM$44,7,FALSE),R764)</f>
        <v>0.10617362811310796</v>
      </c>
      <c r="S763" s="53">
        <f>IFERROR(VLOOKUP(B763,'Pre-Summary'!$BG$6:$BM$44,6,FALSE),S764)</f>
        <v>9.9527233330079901E-2</v>
      </c>
      <c r="T763" s="45" t="str">
        <f>IFERROR(VLOOKUP(B763,'Pre-Summary'!$Y$6:$AC$83, 3,FALSE),"")</f>
        <v/>
      </c>
      <c r="U763" s="45" t="str">
        <f>IFERROR(VLOOKUP(B763,'Pre-Summary'!$Y$6:$AC$83, 4,FALSE),"")</f>
        <v/>
      </c>
      <c r="V763" t="str">
        <f>IFERROR(VLOOKUP(B763,'Pre-Summary'!$Y$6:$AC$83, 5,FALSE),"")</f>
        <v/>
      </c>
      <c r="W763" s="45" t="str">
        <f>IFERROR(VLOOKUP(B763,'Pre-Summary'!$Y$6:$AD$83,6,FALSE),"")</f>
        <v/>
      </c>
      <c r="X763" t="str">
        <f>IFERROR(VLOOKUP('Pre-Summary'!$DB$6:$DD$63,3,FALSE),"")</f>
        <v/>
      </c>
      <c r="Y763" t="str">
        <f>IFERROR(VLOOKUP(B763,'Pre-Summary'!$CR$6:$CT$36,3,FALSE),"")</f>
        <v/>
      </c>
      <c r="Z763" s="45" t="str">
        <f>IFERROR(VLOOKUP(B763,'Pre-Summary'!$BZ$6:$CB$63,2,FALSE),"")</f>
        <v/>
      </c>
      <c r="AA763" s="45" t="str">
        <f>IFERROR(VLOOKUP(B763,'Pre-Summary'!$CG$6:$CI$70,2,FALSE),"")</f>
        <v/>
      </c>
      <c r="AB763" s="99">
        <f>IFERROR(VLOOKUP(B763,'Pre-Summary'!$A$6:$P$178,9,FALSE),AB764)</f>
        <v>0.55977731958672339</v>
      </c>
      <c r="AC763" s="10">
        <f>IFERROR(VLOOKUP(Summary!B763,'Pre-Summary'!$A$6:$P$184,5, FALSE)/100,AC764)</f>
        <v>0.73175400000000013</v>
      </c>
      <c r="AD763" s="10">
        <f>IFERROR(VLOOKUP(Summary!B763,'Pre-Summary'!$A$6:$P$184,3, FALSE)/100,AD764)</f>
        <v>8.5874333333333316E-2</v>
      </c>
      <c r="AE763" s="10">
        <f>IFERROR(VLOOKUP(Summary!B763,'Pre-Summary'!$A$6:$P$184,7, FALSE)/100,AE764)</f>
        <v>0.18237166666666668</v>
      </c>
      <c r="AF763" s="99">
        <f t="shared" si="34"/>
        <v>4.807050413463014E-2</v>
      </c>
      <c r="AG763" s="99">
        <f t="shared" si="35"/>
        <v>0.10208752273523006</v>
      </c>
      <c r="AH763" s="10" t="str">
        <f>IFERROR(VLOOKUP(B763,'Pre-Summary'!$AZ$6:$BE$65,3,FALSE),"")</f>
        <v/>
      </c>
      <c r="AI763" s="10" t="str">
        <f>IFERROR(VLOOKUP(B763,'Pre-Summary'!$AZ$6:$BE$65,5,FALSE),"")</f>
        <v/>
      </c>
      <c r="AJ763" s="10" t="str">
        <f>IFERROR(VLOOKUP(B763,'Pre-Summary'!$AZ$6:$BE$65,4,FALSE),"")</f>
        <v/>
      </c>
      <c r="AK763" s="10" t="str">
        <f>IFERROR(VLOOKUP(B763,'Pre-Summary'!$AZ$6:$BE$65,6,FALSE),"")</f>
        <v/>
      </c>
      <c r="AL763" s="10" t="str">
        <f>IFERROR(VLOOKUP(B763,'Pre-Summary'!$BG$6:$BL$44,3,FALSE),"")</f>
        <v/>
      </c>
      <c r="AM763" s="10" t="str">
        <f>IFERROR(VLOOKUP(B763,'Pre-Summary'!$BG$6:$BL$44,4,FALSE),"")</f>
        <v/>
      </c>
    </row>
    <row r="764" spans="2:39" ht="15" customHeight="1" x14ac:dyDescent="0.3">
      <c r="B764">
        <v>76.099999999999994</v>
      </c>
      <c r="C764" t="str">
        <f>IFERROR(VLOOKUP(B764,'Pre-Summary'!$DI$6:$DM$23,4,FALSE),"")</f>
        <v/>
      </c>
      <c r="D764" s="10" t="str">
        <f>IFERROR(VLOOKUP(B764,'Pre-Summary'!$AT$6:$AX$14,5,FALSE),D763)</f>
        <v>DSMZ v2: Dropped Na-Ac out of DSMZ 120 media</v>
      </c>
      <c r="E764" s="10" t="str">
        <f>IFERROR(VLOOKUP(B764,'Pre-Summary'!$AT$6:$AX$15,4,FALSE),"")</f>
        <v/>
      </c>
      <c r="F764">
        <f>IFERROR(VLOOKUP(B764,'Pre-Summary'!$AL$6:$AQ$13,6,FALSE),F763)</f>
        <v>5.9405263157894746E-2</v>
      </c>
      <c r="G764" t="str">
        <f>IFERROR(VLOOKUP(B764,'Pre-Summary'!$AE$6:$AJ$85,3,FALSE),"")</f>
        <v/>
      </c>
      <c r="H764" t="str">
        <f>IFERROR(VLOOKUP(B764,'Pre-Summary'!$AE$6:$AJ$85,4,FALSE),"")</f>
        <v/>
      </c>
      <c r="I764" t="str">
        <f>IFERROR(VLOOKUP(B764,'Pre-Summary'!$AE$6:$AJ$85,5,FALSE),"")</f>
        <v/>
      </c>
      <c r="J764" s="45" t="str">
        <f>IFERROR(VLOOKUP(B764,'Pre-Summary'!$AE$6:$AJ$85,6, FALSE),"")</f>
        <v/>
      </c>
      <c r="K764" s="45" t="str">
        <f>IFERROR(VLOOKUP(B764,'Pre-Summary'!$DE$6:$DG$61,3,FALSE),"")</f>
        <v/>
      </c>
      <c r="L764" s="45" t="str">
        <f>IFERROR(VLOOKUP(B764,'Pre-Summary'!$CU$6:$CW$36,3,FALSE),"")</f>
        <v/>
      </c>
      <c r="M764" s="45" t="str">
        <f>IFERROR(VLOOKUP(B764,'Pre-Summary'!$BW$6:$BY$58,2,FALSE),"")</f>
        <v/>
      </c>
      <c r="N764" s="45" t="str">
        <f>IFERROR(VLOOKUP(B764,'Pre-Summary'!$CD$6:$CF$64,2,FALSE),"")</f>
        <v/>
      </c>
      <c r="O764" s="99">
        <f>IFERROR(VLOOKUP(B764,'Pre-Summary'!$BO$6:$BQ$48,3, FALSE),O763)</f>
        <v>1.3</v>
      </c>
      <c r="P764" s="99">
        <f>IFERROR(VLOOKUP(B764,'Pre-Summary'!$BS$6:$BU$35,3,FALSE),P763)</f>
        <v>0.34399999999999997</v>
      </c>
      <c r="Q764" s="54">
        <f t="shared" si="33"/>
        <v>3.779069767441861</v>
      </c>
      <c r="R764" s="53">
        <f>IFERROR(VLOOKUP(B764,'Pre-Summary'!$BG$6:$BM$44,7,FALSE),R765)</f>
        <v>0.10617362811310796</v>
      </c>
      <c r="S764" s="53">
        <f>IFERROR(VLOOKUP(B764,'Pre-Summary'!$BG$6:$BM$44,6,FALSE),S765)</f>
        <v>9.9527233330079901E-2</v>
      </c>
      <c r="T764" s="45" t="str">
        <f>IFERROR(VLOOKUP(B764,'Pre-Summary'!$Y$6:$AC$83, 3,FALSE),"")</f>
        <v/>
      </c>
      <c r="U764" s="45" t="str">
        <f>IFERROR(VLOOKUP(B764,'Pre-Summary'!$Y$6:$AC$83, 4,FALSE),"")</f>
        <v/>
      </c>
      <c r="V764" t="str">
        <f>IFERROR(VLOOKUP(B764,'Pre-Summary'!$Y$6:$AC$83, 5,FALSE),"")</f>
        <v/>
      </c>
      <c r="W764" s="45" t="str">
        <f>IFERROR(VLOOKUP(B764,'Pre-Summary'!$Y$6:$AD$83,6,FALSE),"")</f>
        <v/>
      </c>
      <c r="X764" t="str">
        <f>IFERROR(VLOOKUP('Pre-Summary'!$DB$6:$DD$63,3,FALSE),"")</f>
        <v/>
      </c>
      <c r="Y764" t="str">
        <f>IFERROR(VLOOKUP(B764,'Pre-Summary'!$CR$6:$CT$36,3,FALSE),"")</f>
        <v/>
      </c>
      <c r="Z764" s="45" t="str">
        <f>IFERROR(VLOOKUP(B764,'Pre-Summary'!$BZ$6:$CB$63,2,FALSE),"")</f>
        <v/>
      </c>
      <c r="AA764" s="45" t="str">
        <f>IFERROR(VLOOKUP(B764,'Pre-Summary'!$CG$6:$CI$70,2,FALSE),"")</f>
        <v/>
      </c>
      <c r="AB764" s="99">
        <f>IFERROR(VLOOKUP(B764,'Pre-Summary'!$A$6:$P$178,9,FALSE),AB765)</f>
        <v>1.9032721665456815</v>
      </c>
      <c r="AC764" s="10">
        <f>IFERROR(VLOOKUP(Summary!B764,'Pre-Summary'!$A$6:$P$184,5, FALSE)/100,AC765)</f>
        <v>0.6032913333333334</v>
      </c>
      <c r="AD764" s="10">
        <f>IFERROR(VLOOKUP(Summary!B764,'Pre-Summary'!$A$6:$P$184,3, FALSE)/100,AD765)</f>
        <v>0.19306700000000002</v>
      </c>
      <c r="AE764" s="10">
        <f>IFERROR(VLOOKUP(Summary!B764,'Pre-Summary'!$A$6:$P$184,7, FALSE)/100,AE765)</f>
        <v>0.20364166666666667</v>
      </c>
      <c r="AF764" s="99">
        <f t="shared" si="34"/>
        <v>0.36745904737847512</v>
      </c>
      <c r="AG764" s="99">
        <f t="shared" si="35"/>
        <v>0.38758551611564018</v>
      </c>
      <c r="AH764" s="10" t="str">
        <f>IFERROR(VLOOKUP(B764,'Pre-Summary'!$AZ$6:$BE$65,3,FALSE),"")</f>
        <v/>
      </c>
      <c r="AI764" s="10" t="str">
        <f>IFERROR(VLOOKUP(B764,'Pre-Summary'!$AZ$6:$BE$65,5,FALSE),"")</f>
        <v/>
      </c>
      <c r="AJ764" s="10" t="str">
        <f>IFERROR(VLOOKUP(B764,'Pre-Summary'!$AZ$6:$BE$65,4,FALSE),"")</f>
        <v/>
      </c>
      <c r="AK764" s="10" t="str">
        <f>IFERROR(VLOOKUP(B764,'Pre-Summary'!$AZ$6:$BE$65,6,FALSE),"")</f>
        <v/>
      </c>
      <c r="AL764" s="10" t="str">
        <f>IFERROR(VLOOKUP(B764,'Pre-Summary'!$BG$6:$BL$44,3,FALSE),"")</f>
        <v/>
      </c>
      <c r="AM764" s="10" t="str">
        <f>IFERROR(VLOOKUP(B764,'Pre-Summary'!$BG$6:$BL$44,4,FALSE),"")</f>
        <v/>
      </c>
    </row>
    <row r="765" spans="2:39" ht="15" customHeight="1" x14ac:dyDescent="0.3">
      <c r="B765">
        <v>76.2</v>
      </c>
      <c r="C765" t="str">
        <f>IFERROR(VLOOKUP(B765,'Pre-Summary'!$DI$6:$DM$23,4,FALSE),"")</f>
        <v/>
      </c>
      <c r="D765" s="10" t="str">
        <f>IFERROR(VLOOKUP(B765,'Pre-Summary'!$AT$6:$AX$14,5,FALSE),D764)</f>
        <v>DSMZ v2: Dropped Na-Ac out of DSMZ 120 media</v>
      </c>
      <c r="E765" s="10" t="str">
        <f>IFERROR(VLOOKUP(B765,'Pre-Summary'!$AT$6:$AX$15,4,FALSE),"")</f>
        <v/>
      </c>
      <c r="F765">
        <f>IFERROR(VLOOKUP(B765,'Pre-Summary'!$AL$6:$AQ$13,6,FALSE),F764)</f>
        <v>5.9405263157894746E-2</v>
      </c>
      <c r="G765" t="str">
        <f>IFERROR(VLOOKUP(B765,'Pre-Summary'!$AE$6:$AJ$85,3,FALSE),"")</f>
        <v/>
      </c>
      <c r="H765" t="str">
        <f>IFERROR(VLOOKUP(B765,'Pre-Summary'!$AE$6:$AJ$85,4,FALSE),"")</f>
        <v/>
      </c>
      <c r="I765" t="str">
        <f>IFERROR(VLOOKUP(B765,'Pre-Summary'!$AE$6:$AJ$85,5,FALSE),"")</f>
        <v/>
      </c>
      <c r="J765" s="45" t="str">
        <f>IFERROR(VLOOKUP(B765,'Pre-Summary'!$AE$6:$AJ$85,6, FALSE),"")</f>
        <v/>
      </c>
      <c r="K765" s="45" t="str">
        <f>IFERROR(VLOOKUP(B765,'Pre-Summary'!$DE$6:$DG$61,3,FALSE),"")</f>
        <v/>
      </c>
      <c r="L765" s="45" t="str">
        <f>IFERROR(VLOOKUP(B765,'Pre-Summary'!$CU$6:$CW$36,3,FALSE),"")</f>
        <v/>
      </c>
      <c r="M765" s="45" t="str">
        <f>IFERROR(VLOOKUP(B765,'Pre-Summary'!$BW$6:$BY$58,2,FALSE),"")</f>
        <v/>
      </c>
      <c r="N765" s="45" t="str">
        <f>IFERROR(VLOOKUP(B765,'Pre-Summary'!$CD$6:$CF$64,2,FALSE),"")</f>
        <v/>
      </c>
      <c r="O765" s="99">
        <f>IFERROR(VLOOKUP(B765,'Pre-Summary'!$BO$6:$BQ$48,3, FALSE),O764)</f>
        <v>1.3</v>
      </c>
      <c r="P765" s="99">
        <f>IFERROR(VLOOKUP(B765,'Pre-Summary'!$BS$6:$BU$35,3,FALSE),P764)</f>
        <v>0.34399999999999997</v>
      </c>
      <c r="Q765" s="54">
        <f t="shared" si="33"/>
        <v>3.779069767441861</v>
      </c>
      <c r="R765" s="53">
        <f>IFERROR(VLOOKUP(B765,'Pre-Summary'!$BG$6:$BM$44,7,FALSE),R766)</f>
        <v>0.10617362811310796</v>
      </c>
      <c r="S765" s="53">
        <f>IFERROR(VLOOKUP(B765,'Pre-Summary'!$BG$6:$BM$44,6,FALSE),S766)</f>
        <v>9.9527233330079901E-2</v>
      </c>
      <c r="T765" s="45" t="str">
        <f>IFERROR(VLOOKUP(B765,'Pre-Summary'!$Y$6:$AC$83, 3,FALSE),"")</f>
        <v/>
      </c>
      <c r="U765" s="45" t="str">
        <f>IFERROR(VLOOKUP(B765,'Pre-Summary'!$Y$6:$AC$83, 4,FALSE),"")</f>
        <v/>
      </c>
      <c r="V765" t="str">
        <f>IFERROR(VLOOKUP(B765,'Pre-Summary'!$Y$6:$AC$83, 5,FALSE),"")</f>
        <v/>
      </c>
      <c r="W765" s="45" t="str">
        <f>IFERROR(VLOOKUP(B765,'Pre-Summary'!$Y$6:$AD$83,6,FALSE),"")</f>
        <v/>
      </c>
      <c r="X765" t="str">
        <f>IFERROR(VLOOKUP('Pre-Summary'!$DB$6:$DD$63,3,FALSE),"")</f>
        <v/>
      </c>
      <c r="Y765" t="str">
        <f>IFERROR(VLOOKUP(B765,'Pre-Summary'!$CR$6:$CT$36,3,FALSE),"")</f>
        <v/>
      </c>
      <c r="Z765" s="45" t="str">
        <f>IFERROR(VLOOKUP(B765,'Pre-Summary'!$BZ$6:$CB$63,2,FALSE),"")</f>
        <v/>
      </c>
      <c r="AA765" s="45" t="str">
        <f>IFERROR(VLOOKUP(B765,'Pre-Summary'!$CG$6:$CI$70,2,FALSE),"")</f>
        <v/>
      </c>
      <c r="AB765" s="99">
        <f>IFERROR(VLOOKUP(B765,'Pre-Summary'!$A$6:$P$178,9,FALSE),AB766)</f>
        <v>1.9032721665456815</v>
      </c>
      <c r="AC765" s="10">
        <f>IFERROR(VLOOKUP(Summary!B765,'Pre-Summary'!$A$6:$P$184,5, FALSE)/100,AC766)</f>
        <v>0.6032913333333334</v>
      </c>
      <c r="AD765" s="10">
        <f>IFERROR(VLOOKUP(Summary!B765,'Pre-Summary'!$A$6:$P$184,3, FALSE)/100,AD766)</f>
        <v>0.19306700000000002</v>
      </c>
      <c r="AE765" s="10">
        <f>IFERROR(VLOOKUP(Summary!B765,'Pre-Summary'!$A$6:$P$184,7, FALSE)/100,AE766)</f>
        <v>0.20364166666666667</v>
      </c>
      <c r="AF765" s="99">
        <f t="shared" si="34"/>
        <v>0.36745904737847512</v>
      </c>
      <c r="AG765" s="99">
        <f t="shared" si="35"/>
        <v>0.38758551611564018</v>
      </c>
      <c r="AH765" s="10" t="str">
        <f>IFERROR(VLOOKUP(B765,'Pre-Summary'!$AZ$6:$BE$65,3,FALSE),"")</f>
        <v/>
      </c>
      <c r="AI765" s="10" t="str">
        <f>IFERROR(VLOOKUP(B765,'Pre-Summary'!$AZ$6:$BE$65,5,FALSE),"")</f>
        <v/>
      </c>
      <c r="AJ765" s="10" t="str">
        <f>IFERROR(VLOOKUP(B765,'Pre-Summary'!$AZ$6:$BE$65,4,FALSE),"")</f>
        <v/>
      </c>
      <c r="AK765" s="10" t="str">
        <f>IFERROR(VLOOKUP(B765,'Pre-Summary'!$AZ$6:$BE$65,6,FALSE),"")</f>
        <v/>
      </c>
      <c r="AL765" s="10" t="str">
        <f>IFERROR(VLOOKUP(B765,'Pre-Summary'!$BG$6:$BL$44,3,FALSE),"")</f>
        <v/>
      </c>
      <c r="AM765" s="10" t="str">
        <f>IFERROR(VLOOKUP(B765,'Pre-Summary'!$BG$6:$BL$44,4,FALSE),"")</f>
        <v/>
      </c>
    </row>
    <row r="766" spans="2:39" ht="15" customHeight="1" x14ac:dyDescent="0.3">
      <c r="B766">
        <v>76.3</v>
      </c>
      <c r="C766" t="str">
        <f>IFERROR(VLOOKUP(B766,'Pre-Summary'!$DI$6:$DM$23,4,FALSE),"")</f>
        <v/>
      </c>
      <c r="D766" s="10" t="str">
        <f>IFERROR(VLOOKUP(B766,'Pre-Summary'!$AT$6:$AX$14,5,FALSE),D765)</f>
        <v>DSMZ v2: Dropped Na-Ac out of DSMZ 120 media</v>
      </c>
      <c r="E766" s="10" t="str">
        <f>IFERROR(VLOOKUP(B766,'Pre-Summary'!$AT$6:$AX$15,4,FALSE),"")</f>
        <v/>
      </c>
      <c r="F766">
        <f>IFERROR(VLOOKUP(B766,'Pre-Summary'!$AL$6:$AQ$13,6,FALSE),F765)</f>
        <v>5.9405263157894746E-2</v>
      </c>
      <c r="G766" t="str">
        <f>IFERROR(VLOOKUP(B766,'Pre-Summary'!$AE$6:$AJ$85,3,FALSE),"")</f>
        <v/>
      </c>
      <c r="H766" t="str">
        <f>IFERROR(VLOOKUP(B766,'Pre-Summary'!$AE$6:$AJ$85,4,FALSE),"")</f>
        <v/>
      </c>
      <c r="I766" t="str">
        <f>IFERROR(VLOOKUP(B766,'Pre-Summary'!$AE$6:$AJ$85,5,FALSE),"")</f>
        <v/>
      </c>
      <c r="J766" s="45" t="str">
        <f>IFERROR(VLOOKUP(B766,'Pre-Summary'!$AE$6:$AJ$85,6, FALSE),"")</f>
        <v/>
      </c>
      <c r="K766" s="45" t="str">
        <f>IFERROR(VLOOKUP(B766,'Pre-Summary'!$DE$6:$DG$61,3,FALSE),"")</f>
        <v/>
      </c>
      <c r="L766" s="45" t="str">
        <f>IFERROR(VLOOKUP(B766,'Pre-Summary'!$CU$6:$CW$36,3,FALSE),"")</f>
        <v/>
      </c>
      <c r="M766" s="45" t="str">
        <f>IFERROR(VLOOKUP(B766,'Pre-Summary'!$BW$6:$BY$58,2,FALSE),"")</f>
        <v/>
      </c>
      <c r="N766" s="45" t="str">
        <f>IFERROR(VLOOKUP(B766,'Pre-Summary'!$CD$6:$CF$64,2,FALSE),"")</f>
        <v/>
      </c>
      <c r="O766" s="99">
        <f>IFERROR(VLOOKUP(B766,'Pre-Summary'!$BO$6:$BQ$48,3, FALSE),O765)</f>
        <v>1.3</v>
      </c>
      <c r="P766" s="99">
        <f>IFERROR(VLOOKUP(B766,'Pre-Summary'!$BS$6:$BU$35,3,FALSE),P765)</f>
        <v>0.34399999999999997</v>
      </c>
      <c r="Q766" s="54">
        <f t="shared" si="33"/>
        <v>3.779069767441861</v>
      </c>
      <c r="R766" s="53">
        <f>IFERROR(VLOOKUP(B766,'Pre-Summary'!$BG$6:$BM$44,7,FALSE),R767)</f>
        <v>0.10617362811310796</v>
      </c>
      <c r="S766" s="53">
        <f>IFERROR(VLOOKUP(B766,'Pre-Summary'!$BG$6:$BM$44,6,FALSE),S767)</f>
        <v>9.9527233330079901E-2</v>
      </c>
      <c r="T766" s="45" t="str">
        <f>IFERROR(VLOOKUP(B766,'Pre-Summary'!$Y$6:$AC$83, 3,FALSE),"")</f>
        <v/>
      </c>
      <c r="U766" s="45" t="str">
        <f>IFERROR(VLOOKUP(B766,'Pre-Summary'!$Y$6:$AC$83, 4,FALSE),"")</f>
        <v/>
      </c>
      <c r="V766" t="str">
        <f>IFERROR(VLOOKUP(B766,'Pre-Summary'!$Y$6:$AC$83, 5,FALSE),"")</f>
        <v/>
      </c>
      <c r="W766" s="45" t="str">
        <f>IFERROR(VLOOKUP(B766,'Pre-Summary'!$Y$6:$AD$83,6,FALSE),"")</f>
        <v/>
      </c>
      <c r="X766" t="str">
        <f>IFERROR(VLOOKUP('Pre-Summary'!$DB$6:$DD$63,3,FALSE),"")</f>
        <v/>
      </c>
      <c r="Y766" t="str">
        <f>IFERROR(VLOOKUP(B766,'Pre-Summary'!$CR$6:$CT$36,3,FALSE),"")</f>
        <v/>
      </c>
      <c r="Z766" s="45" t="str">
        <f>IFERROR(VLOOKUP(B766,'Pre-Summary'!$BZ$6:$CB$63,2,FALSE),"")</f>
        <v/>
      </c>
      <c r="AA766" s="45" t="str">
        <f>IFERROR(VLOOKUP(B766,'Pre-Summary'!$CG$6:$CI$70,2,FALSE),"")</f>
        <v/>
      </c>
      <c r="AB766" s="99">
        <f>IFERROR(VLOOKUP(B766,'Pre-Summary'!$A$6:$P$178,9,FALSE),AB767)</f>
        <v>1.9032721665456815</v>
      </c>
      <c r="AC766" s="10">
        <f>IFERROR(VLOOKUP(Summary!B766,'Pre-Summary'!$A$6:$P$184,5, FALSE)/100,AC767)</f>
        <v>0.6032913333333334</v>
      </c>
      <c r="AD766" s="10">
        <f>IFERROR(VLOOKUP(Summary!B766,'Pre-Summary'!$A$6:$P$184,3, FALSE)/100,AD767)</f>
        <v>0.19306700000000002</v>
      </c>
      <c r="AE766" s="10">
        <f>IFERROR(VLOOKUP(Summary!B766,'Pre-Summary'!$A$6:$P$184,7, FALSE)/100,AE767)</f>
        <v>0.20364166666666667</v>
      </c>
      <c r="AF766" s="99">
        <f t="shared" si="34"/>
        <v>0.36745904737847512</v>
      </c>
      <c r="AG766" s="99">
        <f t="shared" si="35"/>
        <v>0.38758551611564018</v>
      </c>
      <c r="AH766" s="10" t="str">
        <f>IFERROR(VLOOKUP(B766,'Pre-Summary'!$AZ$6:$BE$65,3,FALSE),"")</f>
        <v/>
      </c>
      <c r="AI766" s="10" t="str">
        <f>IFERROR(VLOOKUP(B766,'Pre-Summary'!$AZ$6:$BE$65,5,FALSE),"")</f>
        <v/>
      </c>
      <c r="AJ766" s="10" t="str">
        <f>IFERROR(VLOOKUP(B766,'Pre-Summary'!$AZ$6:$BE$65,4,FALSE),"")</f>
        <v/>
      </c>
      <c r="AK766" s="10" t="str">
        <f>IFERROR(VLOOKUP(B766,'Pre-Summary'!$AZ$6:$BE$65,6,FALSE),"")</f>
        <v/>
      </c>
      <c r="AL766" s="10" t="str">
        <f>IFERROR(VLOOKUP(B766,'Pre-Summary'!$BG$6:$BL$44,3,FALSE),"")</f>
        <v/>
      </c>
      <c r="AM766" s="10" t="str">
        <f>IFERROR(VLOOKUP(B766,'Pre-Summary'!$BG$6:$BL$44,4,FALSE),"")</f>
        <v/>
      </c>
    </row>
    <row r="767" spans="2:39" ht="15" customHeight="1" x14ac:dyDescent="0.3">
      <c r="B767">
        <v>76.400000000000006</v>
      </c>
      <c r="C767" t="str">
        <f>IFERROR(VLOOKUP(B767,'Pre-Summary'!$DI$6:$DM$23,4,FALSE),"")</f>
        <v/>
      </c>
      <c r="D767" s="10" t="str">
        <f>IFERROR(VLOOKUP(B767,'Pre-Summary'!$AT$6:$AX$14,5,FALSE),D766)</f>
        <v>DSMZ v2: Dropped Na-Ac out of DSMZ 120 media</v>
      </c>
      <c r="E767" s="10" t="str">
        <f>IFERROR(VLOOKUP(B767,'Pre-Summary'!$AT$6:$AX$15,4,FALSE),"")</f>
        <v/>
      </c>
      <c r="F767">
        <f>IFERROR(VLOOKUP(B767,'Pre-Summary'!$AL$6:$AQ$13,6,FALSE),F766)</f>
        <v>5.9405263157894746E-2</v>
      </c>
      <c r="G767" t="str">
        <f>IFERROR(VLOOKUP(B767,'Pre-Summary'!$AE$6:$AJ$85,3,FALSE),"")</f>
        <v/>
      </c>
      <c r="H767" t="str">
        <f>IFERROR(VLOOKUP(B767,'Pre-Summary'!$AE$6:$AJ$85,4,FALSE),"")</f>
        <v/>
      </c>
      <c r="I767" t="str">
        <f>IFERROR(VLOOKUP(B767,'Pre-Summary'!$AE$6:$AJ$85,5,FALSE),"")</f>
        <v/>
      </c>
      <c r="J767" s="45" t="str">
        <f>IFERROR(VLOOKUP(B767,'Pre-Summary'!$AE$6:$AJ$85,6, FALSE),"")</f>
        <v/>
      </c>
      <c r="K767" s="45" t="str">
        <f>IFERROR(VLOOKUP(B767,'Pre-Summary'!$DE$6:$DG$61,3,FALSE),"")</f>
        <v/>
      </c>
      <c r="L767" s="45" t="str">
        <f>IFERROR(VLOOKUP(B767,'Pre-Summary'!$CU$6:$CW$36,3,FALSE),"")</f>
        <v/>
      </c>
      <c r="M767" s="45" t="str">
        <f>IFERROR(VLOOKUP(B767,'Pre-Summary'!$BW$6:$BY$58,2,FALSE),"")</f>
        <v/>
      </c>
      <c r="N767" s="45" t="str">
        <f>IFERROR(VLOOKUP(B767,'Pre-Summary'!$CD$6:$CF$64,2,FALSE),"")</f>
        <v/>
      </c>
      <c r="O767" s="99">
        <f>IFERROR(VLOOKUP(B767,'Pre-Summary'!$BO$6:$BQ$48,3, FALSE),O766)</f>
        <v>1.3</v>
      </c>
      <c r="P767" s="99">
        <f>IFERROR(VLOOKUP(B767,'Pre-Summary'!$BS$6:$BU$35,3,FALSE),P766)</f>
        <v>0.34399999999999997</v>
      </c>
      <c r="Q767" s="54">
        <f t="shared" si="33"/>
        <v>3.779069767441861</v>
      </c>
      <c r="R767" s="53">
        <f>IFERROR(VLOOKUP(B767,'Pre-Summary'!$BG$6:$BM$44,7,FALSE),R768)</f>
        <v>0.10617362811310796</v>
      </c>
      <c r="S767" s="53">
        <f>IFERROR(VLOOKUP(B767,'Pre-Summary'!$BG$6:$BM$44,6,FALSE),S768)</f>
        <v>9.9527233330079901E-2</v>
      </c>
      <c r="T767" s="45" t="str">
        <f>IFERROR(VLOOKUP(B767,'Pre-Summary'!$Y$6:$AC$83, 3,FALSE),"")</f>
        <v/>
      </c>
      <c r="U767" s="45" t="str">
        <f>IFERROR(VLOOKUP(B767,'Pre-Summary'!$Y$6:$AC$83, 4,FALSE),"")</f>
        <v/>
      </c>
      <c r="V767" t="str">
        <f>IFERROR(VLOOKUP(B767,'Pre-Summary'!$Y$6:$AC$83, 5,FALSE),"")</f>
        <v/>
      </c>
      <c r="W767" s="45" t="str">
        <f>IFERROR(VLOOKUP(B767,'Pre-Summary'!$Y$6:$AD$83,6,FALSE),"")</f>
        <v/>
      </c>
      <c r="X767" t="str">
        <f>IFERROR(VLOOKUP('Pre-Summary'!$DB$6:$DD$63,3,FALSE),"")</f>
        <v/>
      </c>
      <c r="Y767" t="str">
        <f>IFERROR(VLOOKUP(B767,'Pre-Summary'!$CR$6:$CT$36,3,FALSE),"")</f>
        <v/>
      </c>
      <c r="Z767" s="45" t="str">
        <f>IFERROR(VLOOKUP(B767,'Pre-Summary'!$BZ$6:$CB$63,2,FALSE),"")</f>
        <v/>
      </c>
      <c r="AA767" s="45" t="str">
        <f>IFERROR(VLOOKUP(B767,'Pre-Summary'!$CG$6:$CI$70,2,FALSE),"")</f>
        <v/>
      </c>
      <c r="AB767" s="99">
        <f>IFERROR(VLOOKUP(B767,'Pre-Summary'!$A$6:$P$178,9,FALSE),AB768)</f>
        <v>1.9032721665456815</v>
      </c>
      <c r="AC767" s="10">
        <f>IFERROR(VLOOKUP(Summary!B767,'Pre-Summary'!$A$6:$P$184,5, FALSE)/100,AC768)</f>
        <v>0.6032913333333334</v>
      </c>
      <c r="AD767" s="10">
        <f>IFERROR(VLOOKUP(Summary!B767,'Pre-Summary'!$A$6:$P$184,3, FALSE)/100,AD768)</f>
        <v>0.19306700000000002</v>
      </c>
      <c r="AE767" s="10">
        <f>IFERROR(VLOOKUP(Summary!B767,'Pre-Summary'!$A$6:$P$184,7, FALSE)/100,AE768)</f>
        <v>0.20364166666666667</v>
      </c>
      <c r="AF767" s="99">
        <f t="shared" si="34"/>
        <v>0.36745904737847512</v>
      </c>
      <c r="AG767" s="99">
        <f t="shared" si="35"/>
        <v>0.38758551611564018</v>
      </c>
      <c r="AH767" s="10" t="str">
        <f>IFERROR(VLOOKUP(B767,'Pre-Summary'!$AZ$6:$BE$65,3,FALSE),"")</f>
        <v/>
      </c>
      <c r="AI767" s="10" t="str">
        <f>IFERROR(VLOOKUP(B767,'Pre-Summary'!$AZ$6:$BE$65,5,FALSE),"")</f>
        <v/>
      </c>
      <c r="AJ767" s="10" t="str">
        <f>IFERROR(VLOOKUP(B767,'Pre-Summary'!$AZ$6:$BE$65,4,FALSE),"")</f>
        <v/>
      </c>
      <c r="AK767" s="10" t="str">
        <f>IFERROR(VLOOKUP(B767,'Pre-Summary'!$AZ$6:$BE$65,6,FALSE),"")</f>
        <v/>
      </c>
      <c r="AL767" s="10" t="str">
        <f>IFERROR(VLOOKUP(B767,'Pre-Summary'!$BG$6:$BL$44,3,FALSE),"")</f>
        <v/>
      </c>
      <c r="AM767" s="10" t="str">
        <f>IFERROR(VLOOKUP(B767,'Pre-Summary'!$BG$6:$BL$44,4,FALSE),"")</f>
        <v/>
      </c>
    </row>
    <row r="768" spans="2:39" ht="15" customHeight="1" x14ac:dyDescent="0.3">
      <c r="B768">
        <v>76.5</v>
      </c>
      <c r="C768" t="str">
        <f>IFERROR(VLOOKUP(B768,'Pre-Summary'!$DI$6:$DM$23,4,FALSE),"")</f>
        <v/>
      </c>
      <c r="D768" s="10" t="str">
        <f>IFERROR(VLOOKUP(B768,'Pre-Summary'!$AT$6:$AX$14,5,FALSE),D767)</f>
        <v>DSMZ v2: Dropped Na-Ac out of DSMZ 120 media</v>
      </c>
      <c r="E768" s="10" t="str">
        <f>IFERROR(VLOOKUP(B768,'Pre-Summary'!$AT$6:$AX$15,4,FALSE),"")</f>
        <v/>
      </c>
      <c r="F768">
        <f>IFERROR(VLOOKUP(B768,'Pre-Summary'!$AL$6:$AQ$13,6,FALSE),F767)</f>
        <v>5.9405263157894746E-2</v>
      </c>
      <c r="G768" t="str">
        <f>IFERROR(VLOOKUP(B768,'Pre-Summary'!$AE$6:$AJ$85,3,FALSE),"")</f>
        <v/>
      </c>
      <c r="H768" t="str">
        <f>IFERROR(VLOOKUP(B768,'Pre-Summary'!$AE$6:$AJ$85,4,FALSE),"")</f>
        <v/>
      </c>
      <c r="I768" t="str">
        <f>IFERROR(VLOOKUP(B768,'Pre-Summary'!$AE$6:$AJ$85,5,FALSE),"")</f>
        <v/>
      </c>
      <c r="J768" s="45" t="str">
        <f>IFERROR(VLOOKUP(B768,'Pre-Summary'!$AE$6:$AJ$85,6, FALSE),"")</f>
        <v/>
      </c>
      <c r="K768" s="45" t="str">
        <f>IFERROR(VLOOKUP(B768,'Pre-Summary'!$DE$6:$DG$61,3,FALSE),"")</f>
        <v/>
      </c>
      <c r="L768" s="45" t="str">
        <f>IFERROR(VLOOKUP(B768,'Pre-Summary'!$CU$6:$CW$36,3,FALSE),"")</f>
        <v/>
      </c>
      <c r="M768" s="45" t="str">
        <f>IFERROR(VLOOKUP(B768,'Pre-Summary'!$BW$6:$BY$58,2,FALSE),"")</f>
        <v/>
      </c>
      <c r="N768" s="45" t="str">
        <f>IFERROR(VLOOKUP(B768,'Pre-Summary'!$CD$6:$CF$64,2,FALSE),"")</f>
        <v/>
      </c>
      <c r="O768" s="99">
        <f>IFERROR(VLOOKUP(B768,'Pre-Summary'!$BO$6:$BQ$48,3, FALSE),O767)</f>
        <v>1.3</v>
      </c>
      <c r="P768" s="99">
        <f>IFERROR(VLOOKUP(B768,'Pre-Summary'!$BS$6:$BU$35,3,FALSE),P767)</f>
        <v>0.34399999999999997</v>
      </c>
      <c r="Q768" s="54">
        <f t="shared" si="33"/>
        <v>3.779069767441861</v>
      </c>
      <c r="R768" s="53">
        <f>IFERROR(VLOOKUP(B768,'Pre-Summary'!$BG$6:$BM$44,7,FALSE),R769)</f>
        <v>0.10617362811310796</v>
      </c>
      <c r="S768" s="53">
        <f>IFERROR(VLOOKUP(B768,'Pre-Summary'!$BG$6:$BM$44,6,FALSE),S769)</f>
        <v>9.9527233330079901E-2</v>
      </c>
      <c r="T768" s="45" t="str">
        <f>IFERROR(VLOOKUP(B768,'Pre-Summary'!$Y$6:$AC$83, 3,FALSE),"")</f>
        <v/>
      </c>
      <c r="U768" s="45" t="str">
        <f>IFERROR(VLOOKUP(B768,'Pre-Summary'!$Y$6:$AC$83, 4,FALSE),"")</f>
        <v/>
      </c>
      <c r="V768" t="str">
        <f>IFERROR(VLOOKUP(B768,'Pre-Summary'!$Y$6:$AC$83, 5,FALSE),"")</f>
        <v/>
      </c>
      <c r="W768" s="45" t="str">
        <f>IFERROR(VLOOKUP(B768,'Pre-Summary'!$Y$6:$AD$83,6,FALSE),"")</f>
        <v/>
      </c>
      <c r="X768" t="str">
        <f>IFERROR(VLOOKUP('Pre-Summary'!$DB$6:$DD$63,3,FALSE),"")</f>
        <v/>
      </c>
      <c r="Y768" t="str">
        <f>IFERROR(VLOOKUP(B768,'Pre-Summary'!$CR$6:$CT$36,3,FALSE),"")</f>
        <v/>
      </c>
      <c r="Z768" s="45" t="str">
        <f>IFERROR(VLOOKUP(B768,'Pre-Summary'!$BZ$6:$CB$63,2,FALSE),"")</f>
        <v/>
      </c>
      <c r="AA768" s="45" t="str">
        <f>IFERROR(VLOOKUP(B768,'Pre-Summary'!$CG$6:$CI$70,2,FALSE),"")</f>
        <v/>
      </c>
      <c r="AB768" s="99">
        <f>IFERROR(VLOOKUP(B768,'Pre-Summary'!$A$6:$P$178,9,FALSE),AB769)</f>
        <v>1.9032721665456815</v>
      </c>
      <c r="AC768" s="10">
        <f>IFERROR(VLOOKUP(Summary!B768,'Pre-Summary'!$A$6:$P$184,5, FALSE)/100,AC769)</f>
        <v>0.6032913333333334</v>
      </c>
      <c r="AD768" s="10">
        <f>IFERROR(VLOOKUP(Summary!B768,'Pre-Summary'!$A$6:$P$184,3, FALSE)/100,AD769)</f>
        <v>0.19306700000000002</v>
      </c>
      <c r="AE768" s="10">
        <f>IFERROR(VLOOKUP(Summary!B768,'Pre-Summary'!$A$6:$P$184,7, FALSE)/100,AE769)</f>
        <v>0.20364166666666667</v>
      </c>
      <c r="AF768" s="99">
        <f t="shared" si="34"/>
        <v>0.36745904737847512</v>
      </c>
      <c r="AG768" s="99">
        <f t="shared" si="35"/>
        <v>0.38758551611564018</v>
      </c>
      <c r="AH768" s="10" t="str">
        <f>IFERROR(VLOOKUP(B768,'Pre-Summary'!$AZ$6:$BE$65,3,FALSE),"")</f>
        <v/>
      </c>
      <c r="AI768" s="10" t="str">
        <f>IFERROR(VLOOKUP(B768,'Pre-Summary'!$AZ$6:$BE$65,5,FALSE),"")</f>
        <v/>
      </c>
      <c r="AJ768" s="10" t="str">
        <f>IFERROR(VLOOKUP(B768,'Pre-Summary'!$AZ$6:$BE$65,4,FALSE),"")</f>
        <v/>
      </c>
      <c r="AK768" s="10" t="str">
        <f>IFERROR(VLOOKUP(B768,'Pre-Summary'!$AZ$6:$BE$65,6,FALSE),"")</f>
        <v/>
      </c>
      <c r="AL768" s="10" t="str">
        <f>IFERROR(VLOOKUP(B768,'Pre-Summary'!$BG$6:$BL$44,3,FALSE),"")</f>
        <v/>
      </c>
      <c r="AM768" s="10" t="str">
        <f>IFERROR(VLOOKUP(B768,'Pre-Summary'!$BG$6:$BL$44,4,FALSE),"")</f>
        <v/>
      </c>
    </row>
    <row r="769" spans="2:39" ht="15" customHeight="1" x14ac:dyDescent="0.3">
      <c r="B769">
        <v>76.599999999999994</v>
      </c>
      <c r="C769" t="str">
        <f>IFERROR(VLOOKUP(B769,'Pre-Summary'!$DI$6:$DM$23,4,FALSE),"")</f>
        <v/>
      </c>
      <c r="D769" s="10" t="str">
        <f>IFERROR(VLOOKUP(B769,'Pre-Summary'!$AT$6:$AX$14,5,FALSE),D768)</f>
        <v>DSMZ v2: Dropped Na-Ac out of DSMZ 120 media</v>
      </c>
      <c r="E769" s="10" t="str">
        <f>IFERROR(VLOOKUP(B769,'Pre-Summary'!$AT$6:$AX$15,4,FALSE),"")</f>
        <v/>
      </c>
      <c r="F769">
        <f>IFERROR(VLOOKUP(B769,'Pre-Summary'!$AL$6:$AQ$13,6,FALSE),F768)</f>
        <v>5.9405263157894746E-2</v>
      </c>
      <c r="G769" t="str">
        <f>IFERROR(VLOOKUP(B769,'Pre-Summary'!$AE$6:$AJ$85,3,FALSE),"")</f>
        <v/>
      </c>
      <c r="H769" t="str">
        <f>IFERROR(VLOOKUP(B769,'Pre-Summary'!$AE$6:$AJ$85,4,FALSE),"")</f>
        <v/>
      </c>
      <c r="I769" t="str">
        <f>IFERROR(VLOOKUP(B769,'Pre-Summary'!$AE$6:$AJ$85,5,FALSE),"")</f>
        <v/>
      </c>
      <c r="J769" s="45" t="str">
        <f>IFERROR(VLOOKUP(B769,'Pre-Summary'!$AE$6:$AJ$85,6, FALSE),"")</f>
        <v/>
      </c>
      <c r="K769" s="45" t="str">
        <f>IFERROR(VLOOKUP(B769,'Pre-Summary'!$DE$6:$DG$61,3,FALSE),"")</f>
        <v/>
      </c>
      <c r="L769" s="45" t="str">
        <f>IFERROR(VLOOKUP(B769,'Pre-Summary'!$CU$6:$CW$36,3,FALSE),"")</f>
        <v/>
      </c>
      <c r="M769" s="45" t="str">
        <f>IFERROR(VLOOKUP(B769,'Pre-Summary'!$BW$6:$BY$58,2,FALSE),"")</f>
        <v/>
      </c>
      <c r="N769" s="45" t="str">
        <f>IFERROR(VLOOKUP(B769,'Pre-Summary'!$CD$6:$CF$64,2,FALSE),"")</f>
        <v/>
      </c>
      <c r="O769" s="99">
        <f>IFERROR(VLOOKUP(B769,'Pre-Summary'!$BO$6:$BQ$48,3, FALSE),O768)</f>
        <v>1.3</v>
      </c>
      <c r="P769" s="99">
        <f>IFERROR(VLOOKUP(B769,'Pre-Summary'!$BS$6:$BU$35,3,FALSE),P768)</f>
        <v>0.34399999999999997</v>
      </c>
      <c r="Q769" s="54">
        <f t="shared" si="33"/>
        <v>3.779069767441861</v>
      </c>
      <c r="R769" s="53">
        <f>IFERROR(VLOOKUP(B769,'Pre-Summary'!$BG$6:$BM$44,7,FALSE),R770)</f>
        <v>0.10617362811310796</v>
      </c>
      <c r="S769" s="53">
        <f>IFERROR(VLOOKUP(B769,'Pre-Summary'!$BG$6:$BM$44,6,FALSE),S770)</f>
        <v>9.9527233330079901E-2</v>
      </c>
      <c r="T769" s="45" t="str">
        <f>IFERROR(VLOOKUP(B769,'Pre-Summary'!$Y$6:$AC$83, 3,FALSE),"")</f>
        <v/>
      </c>
      <c r="U769" s="45" t="str">
        <f>IFERROR(VLOOKUP(B769,'Pre-Summary'!$Y$6:$AC$83, 4,FALSE),"")</f>
        <v/>
      </c>
      <c r="V769" t="str">
        <f>IFERROR(VLOOKUP(B769,'Pre-Summary'!$Y$6:$AC$83, 5,FALSE),"")</f>
        <v/>
      </c>
      <c r="W769" s="45" t="str">
        <f>IFERROR(VLOOKUP(B769,'Pre-Summary'!$Y$6:$AD$83,6,FALSE),"")</f>
        <v/>
      </c>
      <c r="X769" t="str">
        <f>IFERROR(VLOOKUP('Pre-Summary'!$DB$6:$DD$63,3,FALSE),"")</f>
        <v/>
      </c>
      <c r="Y769" t="str">
        <f>IFERROR(VLOOKUP(B769,'Pre-Summary'!$CR$6:$CT$36,3,FALSE),"")</f>
        <v/>
      </c>
      <c r="Z769" s="45" t="str">
        <f>IFERROR(VLOOKUP(B769,'Pre-Summary'!$BZ$6:$CB$63,2,FALSE),"")</f>
        <v/>
      </c>
      <c r="AA769" s="45" t="str">
        <f>IFERROR(VLOOKUP(B769,'Pre-Summary'!$CG$6:$CI$70,2,FALSE),"")</f>
        <v/>
      </c>
      <c r="AB769" s="99">
        <f>IFERROR(VLOOKUP(B769,'Pre-Summary'!$A$6:$P$178,9,FALSE),AB770)</f>
        <v>1.9032721665456815</v>
      </c>
      <c r="AC769" s="10">
        <f>IFERROR(VLOOKUP(Summary!B769,'Pre-Summary'!$A$6:$P$184,5, FALSE)/100,AC770)</f>
        <v>0.6032913333333334</v>
      </c>
      <c r="AD769" s="10">
        <f>IFERROR(VLOOKUP(Summary!B769,'Pre-Summary'!$A$6:$P$184,3, FALSE)/100,AD770)</f>
        <v>0.19306700000000002</v>
      </c>
      <c r="AE769" s="10">
        <f>IFERROR(VLOOKUP(Summary!B769,'Pre-Summary'!$A$6:$P$184,7, FALSE)/100,AE770)</f>
        <v>0.20364166666666667</v>
      </c>
      <c r="AF769" s="99">
        <f t="shared" si="34"/>
        <v>0.36745904737847512</v>
      </c>
      <c r="AG769" s="99">
        <f t="shared" si="35"/>
        <v>0.38758551611564018</v>
      </c>
      <c r="AH769" s="10" t="str">
        <f>IFERROR(VLOOKUP(B769,'Pre-Summary'!$AZ$6:$BE$65,3,FALSE),"")</f>
        <v/>
      </c>
      <c r="AI769" s="10" t="str">
        <f>IFERROR(VLOOKUP(B769,'Pre-Summary'!$AZ$6:$BE$65,5,FALSE),"")</f>
        <v/>
      </c>
      <c r="AJ769" s="10" t="str">
        <f>IFERROR(VLOOKUP(B769,'Pre-Summary'!$AZ$6:$BE$65,4,FALSE),"")</f>
        <v/>
      </c>
      <c r="AK769" s="10" t="str">
        <f>IFERROR(VLOOKUP(B769,'Pre-Summary'!$AZ$6:$BE$65,6,FALSE),"")</f>
        <v/>
      </c>
      <c r="AL769" s="10" t="str">
        <f>IFERROR(VLOOKUP(B769,'Pre-Summary'!$BG$6:$BL$44,3,FALSE),"")</f>
        <v/>
      </c>
      <c r="AM769" s="10" t="str">
        <f>IFERROR(VLOOKUP(B769,'Pre-Summary'!$BG$6:$BL$44,4,FALSE),"")</f>
        <v/>
      </c>
    </row>
    <row r="770" spans="2:39" ht="15" customHeight="1" x14ac:dyDescent="0.3">
      <c r="B770">
        <v>76.7</v>
      </c>
      <c r="C770" t="str">
        <f>IFERROR(VLOOKUP(B770,'Pre-Summary'!$DI$6:$DM$23,4,FALSE),"")</f>
        <v/>
      </c>
      <c r="D770" s="10" t="str">
        <f>IFERROR(VLOOKUP(B770,'Pre-Summary'!$AT$6:$AX$14,5,FALSE),D769)</f>
        <v>DSMZ v2: Dropped Na-Ac out of DSMZ 120 media</v>
      </c>
      <c r="E770" s="10" t="str">
        <f>IFERROR(VLOOKUP(B770,'Pre-Summary'!$AT$6:$AX$15,4,FALSE),"")</f>
        <v/>
      </c>
      <c r="F770">
        <f>IFERROR(VLOOKUP(B770,'Pre-Summary'!$AL$6:$AQ$13,6,FALSE),F769)</f>
        <v>5.9405263157894746E-2</v>
      </c>
      <c r="G770" t="str">
        <f>IFERROR(VLOOKUP(B770,'Pre-Summary'!$AE$6:$AJ$85,3,FALSE),"")</f>
        <v/>
      </c>
      <c r="H770" t="str">
        <f>IFERROR(VLOOKUP(B770,'Pre-Summary'!$AE$6:$AJ$85,4,FALSE),"")</f>
        <v/>
      </c>
      <c r="I770" t="str">
        <f>IFERROR(VLOOKUP(B770,'Pre-Summary'!$AE$6:$AJ$85,5,FALSE),"")</f>
        <v/>
      </c>
      <c r="J770" s="45" t="str">
        <f>IFERROR(VLOOKUP(B770,'Pre-Summary'!$AE$6:$AJ$85,6, FALSE),"")</f>
        <v/>
      </c>
      <c r="K770" s="45" t="str">
        <f>IFERROR(VLOOKUP(B770,'Pre-Summary'!$DE$6:$DG$61,3,FALSE),"")</f>
        <v/>
      </c>
      <c r="L770" s="45" t="str">
        <f>IFERROR(VLOOKUP(B770,'Pre-Summary'!$CU$6:$CW$36,3,FALSE),"")</f>
        <v/>
      </c>
      <c r="M770" s="45" t="str">
        <f>IFERROR(VLOOKUP(B770,'Pre-Summary'!$BW$6:$BY$58,2,FALSE),"")</f>
        <v/>
      </c>
      <c r="N770" s="45" t="str">
        <f>IFERROR(VLOOKUP(B770,'Pre-Summary'!$CD$6:$CF$64,2,FALSE),"")</f>
        <v/>
      </c>
      <c r="O770" s="99">
        <f>IFERROR(VLOOKUP(B770,'Pre-Summary'!$BO$6:$BQ$48,3, FALSE),O769)</f>
        <v>1.3</v>
      </c>
      <c r="P770" s="99">
        <f>IFERROR(VLOOKUP(B770,'Pre-Summary'!$BS$6:$BU$35,3,FALSE),P769)</f>
        <v>0.34399999999999997</v>
      </c>
      <c r="Q770" s="54">
        <f t="shared" si="33"/>
        <v>3.779069767441861</v>
      </c>
      <c r="R770" s="53">
        <f>IFERROR(VLOOKUP(B770,'Pre-Summary'!$BG$6:$BM$44,7,FALSE),R771)</f>
        <v>0.10617362811310796</v>
      </c>
      <c r="S770" s="53">
        <f>IFERROR(VLOOKUP(B770,'Pre-Summary'!$BG$6:$BM$44,6,FALSE),S771)</f>
        <v>9.9527233330079901E-2</v>
      </c>
      <c r="T770" s="45" t="str">
        <f>IFERROR(VLOOKUP(B770,'Pre-Summary'!$Y$6:$AC$83, 3,FALSE),"")</f>
        <v/>
      </c>
      <c r="U770" s="45" t="str">
        <f>IFERROR(VLOOKUP(B770,'Pre-Summary'!$Y$6:$AC$83, 4,FALSE),"")</f>
        <v/>
      </c>
      <c r="V770" t="str">
        <f>IFERROR(VLOOKUP(B770,'Pre-Summary'!$Y$6:$AC$83, 5,FALSE),"")</f>
        <v/>
      </c>
      <c r="W770" s="45" t="str">
        <f>IFERROR(VLOOKUP(B770,'Pre-Summary'!$Y$6:$AD$83,6,FALSE),"")</f>
        <v/>
      </c>
      <c r="X770" t="str">
        <f>IFERROR(VLOOKUP('Pre-Summary'!$DB$6:$DD$63,3,FALSE),"")</f>
        <v/>
      </c>
      <c r="Y770" t="str">
        <f>IFERROR(VLOOKUP(B770,'Pre-Summary'!$CR$6:$CT$36,3,FALSE),"")</f>
        <v/>
      </c>
      <c r="Z770" s="45" t="str">
        <f>IFERROR(VLOOKUP(B770,'Pre-Summary'!$BZ$6:$CB$63,2,FALSE),"")</f>
        <v/>
      </c>
      <c r="AA770" s="45" t="str">
        <f>IFERROR(VLOOKUP(B770,'Pre-Summary'!$CG$6:$CI$70,2,FALSE),"")</f>
        <v/>
      </c>
      <c r="AB770" s="99">
        <f>IFERROR(VLOOKUP(B770,'Pre-Summary'!$A$6:$P$178,9,FALSE),AB771)</f>
        <v>1.9032721665456815</v>
      </c>
      <c r="AC770" s="10">
        <f>IFERROR(VLOOKUP(Summary!B770,'Pre-Summary'!$A$6:$P$184,5, FALSE)/100,AC771)</f>
        <v>0.6032913333333334</v>
      </c>
      <c r="AD770" s="10">
        <f>IFERROR(VLOOKUP(Summary!B770,'Pre-Summary'!$A$6:$P$184,3, FALSE)/100,AD771)</f>
        <v>0.19306700000000002</v>
      </c>
      <c r="AE770" s="10">
        <f>IFERROR(VLOOKUP(Summary!B770,'Pre-Summary'!$A$6:$P$184,7, FALSE)/100,AE771)</f>
        <v>0.20364166666666667</v>
      </c>
      <c r="AF770" s="99">
        <f t="shared" si="34"/>
        <v>0.36745904737847512</v>
      </c>
      <c r="AG770" s="99">
        <f t="shared" si="35"/>
        <v>0.38758551611564018</v>
      </c>
      <c r="AH770" s="10" t="str">
        <f>IFERROR(VLOOKUP(B770,'Pre-Summary'!$AZ$6:$BE$65,3,FALSE),"")</f>
        <v/>
      </c>
      <c r="AI770" s="10" t="str">
        <f>IFERROR(VLOOKUP(B770,'Pre-Summary'!$AZ$6:$BE$65,5,FALSE),"")</f>
        <v/>
      </c>
      <c r="AJ770" s="10" t="str">
        <f>IFERROR(VLOOKUP(B770,'Pre-Summary'!$AZ$6:$BE$65,4,FALSE),"")</f>
        <v/>
      </c>
      <c r="AK770" s="10" t="str">
        <f>IFERROR(VLOOKUP(B770,'Pre-Summary'!$AZ$6:$BE$65,6,FALSE),"")</f>
        <v/>
      </c>
      <c r="AL770" s="10" t="str">
        <f>IFERROR(VLOOKUP(B770,'Pre-Summary'!$BG$6:$BL$44,3,FALSE),"")</f>
        <v/>
      </c>
      <c r="AM770" s="10" t="str">
        <f>IFERROR(VLOOKUP(B770,'Pre-Summary'!$BG$6:$BL$44,4,FALSE),"")</f>
        <v/>
      </c>
    </row>
    <row r="771" spans="2:39" ht="15" customHeight="1" x14ac:dyDescent="0.3">
      <c r="B771">
        <v>76.8</v>
      </c>
      <c r="C771" t="str">
        <f>IFERROR(VLOOKUP(B771,'Pre-Summary'!$DI$6:$DM$23,4,FALSE),"")</f>
        <v/>
      </c>
      <c r="D771" s="10" t="str">
        <f>IFERROR(VLOOKUP(B771,'Pre-Summary'!$AT$6:$AX$14,5,FALSE),D770)</f>
        <v>DSMZ v2: Dropped Na-Ac out of DSMZ 120 media</v>
      </c>
      <c r="E771" s="10" t="str">
        <f>IFERROR(VLOOKUP(B771,'Pre-Summary'!$AT$6:$AX$15,4,FALSE),"")</f>
        <v/>
      </c>
      <c r="F771">
        <f>IFERROR(VLOOKUP(B771,'Pre-Summary'!$AL$6:$AQ$13,6,FALSE),F770)</f>
        <v>5.9405263157894746E-2</v>
      </c>
      <c r="G771" t="str">
        <f>IFERROR(VLOOKUP(B771,'Pre-Summary'!$AE$6:$AJ$85,3,FALSE),"")</f>
        <v/>
      </c>
      <c r="H771" t="str">
        <f>IFERROR(VLOOKUP(B771,'Pre-Summary'!$AE$6:$AJ$85,4,FALSE),"")</f>
        <v/>
      </c>
      <c r="I771" t="str">
        <f>IFERROR(VLOOKUP(B771,'Pre-Summary'!$AE$6:$AJ$85,5,FALSE),"")</f>
        <v/>
      </c>
      <c r="J771" s="45" t="str">
        <f>IFERROR(VLOOKUP(B771,'Pre-Summary'!$AE$6:$AJ$85,6, FALSE),"")</f>
        <v/>
      </c>
      <c r="K771" s="45" t="str">
        <f>IFERROR(VLOOKUP(B771,'Pre-Summary'!$DE$6:$DG$61,3,FALSE),"")</f>
        <v/>
      </c>
      <c r="L771" s="45" t="str">
        <f>IFERROR(VLOOKUP(B771,'Pre-Summary'!$CU$6:$CW$36,3,FALSE),"")</f>
        <v/>
      </c>
      <c r="M771" s="45" t="str">
        <f>IFERROR(VLOOKUP(B771,'Pre-Summary'!$BW$6:$BY$58,2,FALSE),"")</f>
        <v/>
      </c>
      <c r="N771" s="45" t="str">
        <f>IFERROR(VLOOKUP(B771,'Pre-Summary'!$CD$6:$CF$64,2,FALSE),"")</f>
        <v/>
      </c>
      <c r="O771" s="99">
        <f>IFERROR(VLOOKUP(B771,'Pre-Summary'!$BO$6:$BQ$48,3, FALSE),O770)</f>
        <v>1.3</v>
      </c>
      <c r="P771" s="99">
        <f>IFERROR(VLOOKUP(B771,'Pre-Summary'!$BS$6:$BU$35,3,FALSE),P770)</f>
        <v>0.34399999999999997</v>
      </c>
      <c r="Q771" s="54">
        <f t="shared" ref="Q771:Q834" si="36">O771/P771</f>
        <v>3.779069767441861</v>
      </c>
      <c r="R771" s="53">
        <f>IFERROR(VLOOKUP(B771,'Pre-Summary'!$BG$6:$BM$44,7,FALSE),R772)</f>
        <v>0.10617362811310796</v>
      </c>
      <c r="S771" s="53">
        <f>IFERROR(VLOOKUP(B771,'Pre-Summary'!$BG$6:$BM$44,6,FALSE),S772)</f>
        <v>9.9527233330079901E-2</v>
      </c>
      <c r="T771" s="45" t="str">
        <f>IFERROR(VLOOKUP(B771,'Pre-Summary'!$Y$6:$AC$83, 3,FALSE),"")</f>
        <v/>
      </c>
      <c r="U771" s="45" t="str">
        <f>IFERROR(VLOOKUP(B771,'Pre-Summary'!$Y$6:$AC$83, 4,FALSE),"")</f>
        <v/>
      </c>
      <c r="V771" t="str">
        <f>IFERROR(VLOOKUP(B771,'Pre-Summary'!$Y$6:$AC$83, 5,FALSE),"")</f>
        <v/>
      </c>
      <c r="W771" s="45" t="str">
        <f>IFERROR(VLOOKUP(B771,'Pre-Summary'!$Y$6:$AD$83,6,FALSE),"")</f>
        <v/>
      </c>
      <c r="X771" t="str">
        <f>IFERROR(VLOOKUP('Pre-Summary'!$DB$6:$DD$63,3,FALSE),"")</f>
        <v/>
      </c>
      <c r="Y771" t="str">
        <f>IFERROR(VLOOKUP(B771,'Pre-Summary'!$CR$6:$CT$36,3,FALSE),"")</f>
        <v/>
      </c>
      <c r="Z771" s="45" t="str">
        <f>IFERROR(VLOOKUP(B771,'Pre-Summary'!$BZ$6:$CB$63,2,FALSE),"")</f>
        <v/>
      </c>
      <c r="AA771" s="45" t="str">
        <f>IFERROR(VLOOKUP(B771,'Pre-Summary'!$CG$6:$CI$70,2,FALSE),"")</f>
        <v/>
      </c>
      <c r="AB771" s="99">
        <f>IFERROR(VLOOKUP(B771,'Pre-Summary'!$A$6:$P$178,9,FALSE),AB772)</f>
        <v>1.9032721665456815</v>
      </c>
      <c r="AC771" s="10">
        <f>IFERROR(VLOOKUP(Summary!B771,'Pre-Summary'!$A$6:$P$184,5, FALSE)/100,AC772)</f>
        <v>0.6032913333333334</v>
      </c>
      <c r="AD771" s="10">
        <f>IFERROR(VLOOKUP(Summary!B771,'Pre-Summary'!$A$6:$P$184,3, FALSE)/100,AD772)</f>
        <v>0.19306700000000002</v>
      </c>
      <c r="AE771" s="10">
        <f>IFERROR(VLOOKUP(Summary!B771,'Pre-Summary'!$A$6:$P$184,7, FALSE)/100,AE772)</f>
        <v>0.20364166666666667</v>
      </c>
      <c r="AF771" s="99">
        <f t="shared" ref="AF771:AF834" si="37">AD771*AB771</f>
        <v>0.36745904737847512</v>
      </c>
      <c r="AG771" s="99">
        <f t="shared" ref="AG771:AG834" si="38">AB771*AE771</f>
        <v>0.38758551611564018</v>
      </c>
      <c r="AH771" s="10" t="str">
        <f>IFERROR(VLOOKUP(B771,'Pre-Summary'!$AZ$6:$BE$65,3,FALSE),"")</f>
        <v/>
      </c>
      <c r="AI771" s="10" t="str">
        <f>IFERROR(VLOOKUP(B771,'Pre-Summary'!$AZ$6:$BE$65,5,FALSE),"")</f>
        <v/>
      </c>
      <c r="AJ771" s="10" t="str">
        <f>IFERROR(VLOOKUP(B771,'Pre-Summary'!$AZ$6:$BE$65,4,FALSE),"")</f>
        <v/>
      </c>
      <c r="AK771" s="10" t="str">
        <f>IFERROR(VLOOKUP(B771,'Pre-Summary'!$AZ$6:$BE$65,6,FALSE),"")</f>
        <v/>
      </c>
      <c r="AL771" s="10" t="str">
        <f>IFERROR(VLOOKUP(B771,'Pre-Summary'!$BG$6:$BL$44,3,FALSE),"")</f>
        <v/>
      </c>
      <c r="AM771" s="10" t="str">
        <f>IFERROR(VLOOKUP(B771,'Pre-Summary'!$BG$6:$BL$44,4,FALSE),"")</f>
        <v/>
      </c>
    </row>
    <row r="772" spans="2:39" ht="15" customHeight="1" x14ac:dyDescent="0.3">
      <c r="B772">
        <v>76.900000000000006</v>
      </c>
      <c r="C772" t="str">
        <f>IFERROR(VLOOKUP(B772,'Pre-Summary'!$DI$6:$DM$23,4,FALSE),"")</f>
        <v/>
      </c>
      <c r="D772" s="10" t="str">
        <f>IFERROR(VLOOKUP(B772,'Pre-Summary'!$AT$6:$AX$14,5,FALSE),D771)</f>
        <v>DSMZ v2: Dropped Na-Ac out of DSMZ 120 media</v>
      </c>
      <c r="E772" s="10" t="str">
        <f>IFERROR(VLOOKUP(B772,'Pre-Summary'!$AT$6:$AX$15,4,FALSE),"")</f>
        <v/>
      </c>
      <c r="F772">
        <f>IFERROR(VLOOKUP(B772,'Pre-Summary'!$AL$6:$AQ$13,6,FALSE),F771)</f>
        <v>5.9405263157894746E-2</v>
      </c>
      <c r="G772">
        <f>IFERROR(VLOOKUP(B772,'Pre-Summary'!$AE$6:$AJ$85,3,FALSE),"")</f>
        <v>796.61</v>
      </c>
      <c r="H772">
        <f>IFERROR(VLOOKUP(B772,'Pre-Summary'!$AE$6:$AJ$85,4,FALSE),"")</f>
        <v>204.17500000000001</v>
      </c>
      <c r="I772">
        <f>IFERROR(VLOOKUP(B772,'Pre-Summary'!$AE$6:$AJ$85,5,FALSE),"")</f>
        <v>0</v>
      </c>
      <c r="J772" s="45">
        <f>IFERROR(VLOOKUP(B772,'Pre-Summary'!$AE$6:$AJ$85,6, FALSE),"")</f>
        <v>1159.1038199999998</v>
      </c>
      <c r="K772" s="45" t="str">
        <f>IFERROR(VLOOKUP(B772,'Pre-Summary'!$DE$6:$DG$61,3,FALSE),"")</f>
        <v/>
      </c>
      <c r="L772" s="45" t="str">
        <f>IFERROR(VLOOKUP(B772,'Pre-Summary'!$CU$6:$CW$36,3,FALSE),"")</f>
        <v/>
      </c>
      <c r="M772" s="45" t="str">
        <f>IFERROR(VLOOKUP(B772,'Pre-Summary'!$BW$6:$BY$58,2,FALSE),"")</f>
        <v/>
      </c>
      <c r="N772" s="45" t="str">
        <f>IFERROR(VLOOKUP(B772,'Pre-Summary'!$CD$6:$CF$64,2,FALSE),"")</f>
        <v/>
      </c>
      <c r="O772" s="99">
        <f>IFERROR(VLOOKUP(B772,'Pre-Summary'!$BO$6:$BQ$48,3, FALSE),O771)</f>
        <v>1.3</v>
      </c>
      <c r="P772" s="99">
        <f>IFERROR(VLOOKUP(B772,'Pre-Summary'!$BS$6:$BU$35,3,FALSE),P771)</f>
        <v>0.34399999999999997</v>
      </c>
      <c r="Q772" s="54">
        <f t="shared" si="36"/>
        <v>3.779069767441861</v>
      </c>
      <c r="R772" s="53">
        <f>IFERROR(VLOOKUP(B772,'Pre-Summary'!$BG$6:$BM$44,7,FALSE),R773)</f>
        <v>0.10617362811310796</v>
      </c>
      <c r="S772" s="53">
        <f>IFERROR(VLOOKUP(B772,'Pre-Summary'!$BG$6:$BM$44,6,FALSE),S773)</f>
        <v>9.9527233330079901E-2</v>
      </c>
      <c r="T772" s="45" t="str">
        <f>IFERROR(VLOOKUP(B772,'Pre-Summary'!$Y$6:$AC$83, 3,FALSE),"")</f>
        <v/>
      </c>
      <c r="U772" s="45" t="str">
        <f>IFERROR(VLOOKUP(B772,'Pre-Summary'!$Y$6:$AC$83, 4,FALSE),"")</f>
        <v/>
      </c>
      <c r="V772" t="str">
        <f>IFERROR(VLOOKUP(B772,'Pre-Summary'!$Y$6:$AC$83, 5,FALSE),"")</f>
        <v/>
      </c>
      <c r="W772" s="45" t="str">
        <f>IFERROR(VLOOKUP(B772,'Pre-Summary'!$Y$6:$AD$83,6,FALSE),"")</f>
        <v/>
      </c>
      <c r="X772" t="str">
        <f>IFERROR(VLOOKUP('Pre-Summary'!$DB$6:$DD$63,3,FALSE),"")</f>
        <v/>
      </c>
      <c r="Y772" t="str">
        <f>IFERROR(VLOOKUP(B772,'Pre-Summary'!$CR$6:$CT$36,3,FALSE),"")</f>
        <v/>
      </c>
      <c r="Z772" s="45" t="str">
        <f>IFERROR(VLOOKUP(B772,'Pre-Summary'!$BZ$6:$CB$63,2,FALSE),"")</f>
        <v/>
      </c>
      <c r="AA772" s="45" t="str">
        <f>IFERROR(VLOOKUP(B772,'Pre-Summary'!$CG$6:$CI$70,2,FALSE),"")</f>
        <v/>
      </c>
      <c r="AB772" s="99">
        <f>IFERROR(VLOOKUP(B772,'Pre-Summary'!$A$6:$P$178,9,FALSE),AB773)</f>
        <v>1.9032721665456815</v>
      </c>
      <c r="AC772" s="10">
        <f>IFERROR(VLOOKUP(Summary!B772,'Pre-Summary'!$A$6:$P$184,5, FALSE)/100,AC773)</f>
        <v>0.6032913333333334</v>
      </c>
      <c r="AD772" s="10">
        <f>IFERROR(VLOOKUP(Summary!B772,'Pre-Summary'!$A$6:$P$184,3, FALSE)/100,AD773)</f>
        <v>0.19306700000000002</v>
      </c>
      <c r="AE772" s="10">
        <f>IFERROR(VLOOKUP(Summary!B772,'Pre-Summary'!$A$6:$P$184,7, FALSE)/100,AE773)</f>
        <v>0.20364166666666667</v>
      </c>
      <c r="AF772" s="99">
        <f t="shared" si="37"/>
        <v>0.36745904737847512</v>
      </c>
      <c r="AG772" s="99">
        <f t="shared" si="38"/>
        <v>0.38758551611564018</v>
      </c>
      <c r="AH772" s="10" t="str">
        <f>IFERROR(VLOOKUP(B772,'Pre-Summary'!$AZ$6:$BE$65,3,FALSE),"")</f>
        <v/>
      </c>
      <c r="AI772" s="10" t="str">
        <f>IFERROR(VLOOKUP(B772,'Pre-Summary'!$AZ$6:$BE$65,5,FALSE),"")</f>
        <v/>
      </c>
      <c r="AJ772" s="10" t="str">
        <f>IFERROR(VLOOKUP(B772,'Pre-Summary'!$AZ$6:$BE$65,4,FALSE),"")</f>
        <v/>
      </c>
      <c r="AK772" s="10" t="str">
        <f>IFERROR(VLOOKUP(B772,'Pre-Summary'!$AZ$6:$BE$65,6,FALSE),"")</f>
        <v/>
      </c>
      <c r="AL772" s="10" t="str">
        <f>IFERROR(VLOOKUP(B772,'Pre-Summary'!$BG$6:$BL$44,3,FALSE),"")</f>
        <v/>
      </c>
      <c r="AM772" s="10" t="str">
        <f>IFERROR(VLOOKUP(B772,'Pre-Summary'!$BG$6:$BL$44,4,FALSE),"")</f>
        <v/>
      </c>
    </row>
    <row r="773" spans="2:39" ht="15" customHeight="1" x14ac:dyDescent="0.3">
      <c r="B773">
        <v>77</v>
      </c>
      <c r="C773" t="str">
        <f>IFERROR(VLOOKUP(B773,'Pre-Summary'!$DI$6:$DM$23,4,FALSE),"")</f>
        <v/>
      </c>
      <c r="D773" s="10" t="str">
        <f>IFERROR(VLOOKUP(B773,'Pre-Summary'!$AT$6:$AX$14,5,FALSE),D772)</f>
        <v>DSMZ v2: Dropped Na-Ac out of DSMZ 120 media</v>
      </c>
      <c r="E773" s="10" t="str">
        <f>IFERROR(VLOOKUP(B773,'Pre-Summary'!$AT$6:$AX$15,4,FALSE),"")</f>
        <v/>
      </c>
      <c r="F773">
        <f>IFERROR(VLOOKUP(B773,'Pre-Summary'!$AL$6:$AQ$13,6,FALSE),F772)</f>
        <v>5.9405263157894746E-2</v>
      </c>
      <c r="G773" t="str">
        <f>IFERROR(VLOOKUP(B773,'Pre-Summary'!$AE$6:$AJ$85,3,FALSE),"")</f>
        <v/>
      </c>
      <c r="H773" t="str">
        <f>IFERROR(VLOOKUP(B773,'Pre-Summary'!$AE$6:$AJ$85,4,FALSE),"")</f>
        <v/>
      </c>
      <c r="I773" t="str">
        <f>IFERROR(VLOOKUP(B773,'Pre-Summary'!$AE$6:$AJ$85,5,FALSE),"")</f>
        <v/>
      </c>
      <c r="J773" s="45" t="str">
        <f>IFERROR(VLOOKUP(B773,'Pre-Summary'!$AE$6:$AJ$85,6, FALSE),"")</f>
        <v/>
      </c>
      <c r="K773" s="45" t="str">
        <f>IFERROR(VLOOKUP(B773,'Pre-Summary'!$DE$6:$DG$61,3,FALSE),"")</f>
        <v/>
      </c>
      <c r="L773" s="45" t="str">
        <f>IFERROR(VLOOKUP(B773,'Pre-Summary'!$CU$6:$CW$36,3,FALSE),"")</f>
        <v/>
      </c>
      <c r="M773" s="45" t="str">
        <f>IFERROR(VLOOKUP(B773,'Pre-Summary'!$BW$6:$BY$58,2,FALSE),"")</f>
        <v/>
      </c>
      <c r="N773" s="45" t="str">
        <f>IFERROR(VLOOKUP(B773,'Pre-Summary'!$CD$6:$CF$64,2,FALSE),"")</f>
        <v/>
      </c>
      <c r="O773" s="99">
        <f>IFERROR(VLOOKUP(B773,'Pre-Summary'!$BO$6:$BQ$48,3, FALSE),O772)</f>
        <v>1.3</v>
      </c>
      <c r="P773" s="99">
        <f>IFERROR(VLOOKUP(B773,'Pre-Summary'!$BS$6:$BU$35,3,FALSE),P772)</f>
        <v>0.34399999999999997</v>
      </c>
      <c r="Q773" s="54">
        <f t="shared" si="36"/>
        <v>3.779069767441861</v>
      </c>
      <c r="R773" s="53">
        <f>IFERROR(VLOOKUP(B773,'Pre-Summary'!$BG$6:$BM$44,7,FALSE),R774)</f>
        <v>0.10617362811310796</v>
      </c>
      <c r="S773" s="53">
        <f>IFERROR(VLOOKUP(B773,'Pre-Summary'!$BG$6:$BM$44,6,FALSE),S774)</f>
        <v>9.9527233330079901E-2</v>
      </c>
      <c r="T773" s="45" t="str">
        <f>IFERROR(VLOOKUP(B773,'Pre-Summary'!$Y$6:$AC$83, 3,FALSE),"")</f>
        <v/>
      </c>
      <c r="U773" s="45" t="str">
        <f>IFERROR(VLOOKUP(B773,'Pre-Summary'!$Y$6:$AC$83, 4,FALSE),"")</f>
        <v/>
      </c>
      <c r="V773" t="str">
        <f>IFERROR(VLOOKUP(B773,'Pre-Summary'!$Y$6:$AC$83, 5,FALSE),"")</f>
        <v/>
      </c>
      <c r="W773" s="45" t="str">
        <f>IFERROR(VLOOKUP(B773,'Pre-Summary'!$Y$6:$AD$83,6,FALSE),"")</f>
        <v/>
      </c>
      <c r="X773" t="str">
        <f>IFERROR(VLOOKUP('Pre-Summary'!$DB$6:$DD$63,3,FALSE),"")</f>
        <v/>
      </c>
      <c r="Y773" t="str">
        <f>IFERROR(VLOOKUP(B773,'Pre-Summary'!$CR$6:$CT$36,3,FALSE),"")</f>
        <v/>
      </c>
      <c r="Z773" s="45" t="str">
        <f>IFERROR(VLOOKUP(B773,'Pre-Summary'!$BZ$6:$CB$63,2,FALSE),"")</f>
        <v/>
      </c>
      <c r="AA773" s="45" t="str">
        <f>IFERROR(VLOOKUP(B773,'Pre-Summary'!$CG$6:$CI$70,2,FALSE),"")</f>
        <v/>
      </c>
      <c r="AB773" s="99">
        <f>IFERROR(VLOOKUP(B773,'Pre-Summary'!$A$6:$P$178,9,FALSE),AB774)</f>
        <v>0.86523914835158122</v>
      </c>
      <c r="AC773" s="10">
        <f>IFERROR(VLOOKUP(Summary!B773,'Pre-Summary'!$A$6:$P$184,5, FALSE)/100,AC774)</f>
        <v>0.62433033333333332</v>
      </c>
      <c r="AD773" s="10">
        <f>IFERROR(VLOOKUP(Summary!B773,'Pre-Summary'!$A$6:$P$184,3, FALSE)/100,AD774)</f>
        <v>0.16252</v>
      </c>
      <c r="AE773" s="10">
        <f>IFERROR(VLOOKUP(Summary!B773,'Pre-Summary'!$A$6:$P$184,7, FALSE)/100,AE774)</f>
        <v>0.21314966666666668</v>
      </c>
      <c r="AF773" s="99">
        <f t="shared" si="37"/>
        <v>0.14061866639009898</v>
      </c>
      <c r="AG773" s="99">
        <f t="shared" si="38"/>
        <v>0.18442543605809009</v>
      </c>
      <c r="AH773" s="10" t="str">
        <f>IFERROR(VLOOKUP(B773,'Pre-Summary'!$AZ$6:$BE$65,3,FALSE),"")</f>
        <v/>
      </c>
      <c r="AI773" s="10" t="str">
        <f>IFERROR(VLOOKUP(B773,'Pre-Summary'!$AZ$6:$BE$65,5,FALSE),"")</f>
        <v/>
      </c>
      <c r="AJ773" s="10" t="str">
        <f>IFERROR(VLOOKUP(B773,'Pre-Summary'!$AZ$6:$BE$65,4,FALSE),"")</f>
        <v/>
      </c>
      <c r="AK773" s="10" t="str">
        <f>IFERROR(VLOOKUP(B773,'Pre-Summary'!$AZ$6:$BE$65,6,FALSE),"")</f>
        <v/>
      </c>
      <c r="AL773" s="10" t="str">
        <f>IFERROR(VLOOKUP(B773,'Pre-Summary'!$BG$6:$BL$44,3,FALSE),"")</f>
        <v/>
      </c>
      <c r="AM773" s="10" t="str">
        <f>IFERROR(VLOOKUP(B773,'Pre-Summary'!$BG$6:$BL$44,4,FALSE),"")</f>
        <v/>
      </c>
    </row>
    <row r="774" spans="2:39" ht="15" customHeight="1" x14ac:dyDescent="0.3">
      <c r="B774">
        <v>77.099999999999994</v>
      </c>
      <c r="C774" t="str">
        <f>IFERROR(VLOOKUP(B774,'Pre-Summary'!$DI$6:$DM$23,4,FALSE),"")</f>
        <v/>
      </c>
      <c r="D774" s="10" t="str">
        <f>IFERROR(VLOOKUP(B774,'Pre-Summary'!$AT$6:$AX$14,5,FALSE),D773)</f>
        <v>DSMZ v2: Dropped Na-Ac out of DSMZ 120 media</v>
      </c>
      <c r="E774" s="10" t="str">
        <f>IFERROR(VLOOKUP(B774,'Pre-Summary'!$AT$6:$AX$15,4,FALSE),"")</f>
        <v/>
      </c>
      <c r="F774">
        <f>IFERROR(VLOOKUP(B774,'Pre-Summary'!$AL$6:$AQ$13,6,FALSE),F773)</f>
        <v>5.9405263157894746E-2</v>
      </c>
      <c r="G774" t="str">
        <f>IFERROR(VLOOKUP(B774,'Pre-Summary'!$AE$6:$AJ$85,3,FALSE),"")</f>
        <v/>
      </c>
      <c r="H774" t="str">
        <f>IFERROR(VLOOKUP(B774,'Pre-Summary'!$AE$6:$AJ$85,4,FALSE),"")</f>
        <v/>
      </c>
      <c r="I774" t="str">
        <f>IFERROR(VLOOKUP(B774,'Pre-Summary'!$AE$6:$AJ$85,5,FALSE),"")</f>
        <v/>
      </c>
      <c r="J774" s="45" t="str">
        <f>IFERROR(VLOOKUP(B774,'Pre-Summary'!$AE$6:$AJ$85,6, FALSE),"")</f>
        <v/>
      </c>
      <c r="K774" s="45" t="str">
        <f>IFERROR(VLOOKUP(B774,'Pre-Summary'!$DE$6:$DG$61,3,FALSE),"")</f>
        <v/>
      </c>
      <c r="L774" s="45" t="str">
        <f>IFERROR(VLOOKUP(B774,'Pre-Summary'!$CU$6:$CW$36,3,FALSE),"")</f>
        <v/>
      </c>
      <c r="M774" s="45" t="str">
        <f>IFERROR(VLOOKUP(B774,'Pre-Summary'!$BW$6:$BY$58,2,FALSE),"")</f>
        <v/>
      </c>
      <c r="N774" s="45" t="str">
        <f>IFERROR(VLOOKUP(B774,'Pre-Summary'!$CD$6:$CF$64,2,FALSE),"")</f>
        <v/>
      </c>
      <c r="O774" s="99">
        <f>IFERROR(VLOOKUP(B774,'Pre-Summary'!$BO$6:$BQ$48,3, FALSE),O773)</f>
        <v>1.3</v>
      </c>
      <c r="P774" s="99">
        <f>IFERROR(VLOOKUP(B774,'Pre-Summary'!$BS$6:$BU$35,3,FALSE),P773)</f>
        <v>0.34399999999999997</v>
      </c>
      <c r="Q774" s="54">
        <f t="shared" si="36"/>
        <v>3.779069767441861</v>
      </c>
      <c r="R774" s="53">
        <f>IFERROR(VLOOKUP(B774,'Pre-Summary'!$BG$6:$BM$44,7,FALSE),R775)</f>
        <v>0.10617362811310796</v>
      </c>
      <c r="S774" s="53">
        <f>IFERROR(VLOOKUP(B774,'Pre-Summary'!$BG$6:$BM$44,6,FALSE),S775)</f>
        <v>9.9527233330079901E-2</v>
      </c>
      <c r="T774" s="45" t="str">
        <f>IFERROR(VLOOKUP(B774,'Pre-Summary'!$Y$6:$AC$83, 3,FALSE),"")</f>
        <v/>
      </c>
      <c r="U774" s="45" t="str">
        <f>IFERROR(VLOOKUP(B774,'Pre-Summary'!$Y$6:$AC$83, 4,FALSE),"")</f>
        <v/>
      </c>
      <c r="V774" t="str">
        <f>IFERROR(VLOOKUP(B774,'Pre-Summary'!$Y$6:$AC$83, 5,FALSE),"")</f>
        <v/>
      </c>
      <c r="W774" s="45" t="str">
        <f>IFERROR(VLOOKUP(B774,'Pre-Summary'!$Y$6:$AD$83,6,FALSE),"")</f>
        <v/>
      </c>
      <c r="X774" t="str">
        <f>IFERROR(VLOOKUP('Pre-Summary'!$DB$6:$DD$63,3,FALSE),"")</f>
        <v/>
      </c>
      <c r="Y774" t="str">
        <f>IFERROR(VLOOKUP(B774,'Pre-Summary'!$CR$6:$CT$36,3,FALSE),"")</f>
        <v/>
      </c>
      <c r="Z774" s="45" t="str">
        <f>IFERROR(VLOOKUP(B774,'Pre-Summary'!$BZ$6:$CB$63,2,FALSE),"")</f>
        <v/>
      </c>
      <c r="AA774" s="45" t="str">
        <f>IFERROR(VLOOKUP(B774,'Pre-Summary'!$CG$6:$CI$70,2,FALSE),"")</f>
        <v/>
      </c>
      <c r="AB774" s="99">
        <f>IFERROR(VLOOKUP(B774,'Pre-Summary'!$A$6:$P$178,9,FALSE),AB775)</f>
        <v>0.86523914835158122</v>
      </c>
      <c r="AC774" s="10">
        <f>IFERROR(VLOOKUP(Summary!B774,'Pre-Summary'!$A$6:$P$184,5, FALSE)/100,AC775)</f>
        <v>0.62433033333333332</v>
      </c>
      <c r="AD774" s="10">
        <f>IFERROR(VLOOKUP(Summary!B774,'Pre-Summary'!$A$6:$P$184,3, FALSE)/100,AD775)</f>
        <v>0.16252</v>
      </c>
      <c r="AE774" s="10">
        <f>IFERROR(VLOOKUP(Summary!B774,'Pre-Summary'!$A$6:$P$184,7, FALSE)/100,AE775)</f>
        <v>0.21314966666666668</v>
      </c>
      <c r="AF774" s="99">
        <f t="shared" si="37"/>
        <v>0.14061866639009898</v>
      </c>
      <c r="AG774" s="99">
        <f t="shared" si="38"/>
        <v>0.18442543605809009</v>
      </c>
      <c r="AH774" s="10" t="str">
        <f>IFERROR(VLOOKUP(B774,'Pre-Summary'!$AZ$6:$BE$65,3,FALSE),"")</f>
        <v/>
      </c>
      <c r="AI774" s="10" t="str">
        <f>IFERROR(VLOOKUP(B774,'Pre-Summary'!$AZ$6:$BE$65,5,FALSE),"")</f>
        <v/>
      </c>
      <c r="AJ774" s="10" t="str">
        <f>IFERROR(VLOOKUP(B774,'Pre-Summary'!$AZ$6:$BE$65,4,FALSE),"")</f>
        <v/>
      </c>
      <c r="AK774" s="10" t="str">
        <f>IFERROR(VLOOKUP(B774,'Pre-Summary'!$AZ$6:$BE$65,6,FALSE),"")</f>
        <v/>
      </c>
      <c r="AL774" s="10" t="str">
        <f>IFERROR(VLOOKUP(B774,'Pre-Summary'!$BG$6:$BL$44,3,FALSE),"")</f>
        <v/>
      </c>
      <c r="AM774" s="10" t="str">
        <f>IFERROR(VLOOKUP(B774,'Pre-Summary'!$BG$6:$BL$44,4,FALSE),"")</f>
        <v/>
      </c>
    </row>
    <row r="775" spans="2:39" ht="15" customHeight="1" x14ac:dyDescent="0.3">
      <c r="B775">
        <v>77.2</v>
      </c>
      <c r="C775" t="str">
        <f>IFERROR(VLOOKUP(B775,'Pre-Summary'!$DI$6:$DM$23,4,FALSE),"")</f>
        <v/>
      </c>
      <c r="D775" s="10" t="str">
        <f>IFERROR(VLOOKUP(B775,'Pre-Summary'!$AT$6:$AX$14,5,FALSE),D774)</f>
        <v>DSMZ v2: Dropped Na-Ac out of DSMZ 120 media</v>
      </c>
      <c r="E775" s="10" t="str">
        <f>IFERROR(VLOOKUP(B775,'Pre-Summary'!$AT$6:$AX$15,4,FALSE),"")</f>
        <v/>
      </c>
      <c r="F775">
        <f>IFERROR(VLOOKUP(B775,'Pre-Summary'!$AL$6:$AQ$13,6,FALSE),F774)</f>
        <v>5.9405263157894746E-2</v>
      </c>
      <c r="G775" t="str">
        <f>IFERROR(VLOOKUP(B775,'Pre-Summary'!$AE$6:$AJ$85,3,FALSE),"")</f>
        <v/>
      </c>
      <c r="H775" t="str">
        <f>IFERROR(VLOOKUP(B775,'Pre-Summary'!$AE$6:$AJ$85,4,FALSE),"")</f>
        <v/>
      </c>
      <c r="I775" t="str">
        <f>IFERROR(VLOOKUP(B775,'Pre-Summary'!$AE$6:$AJ$85,5,FALSE),"")</f>
        <v/>
      </c>
      <c r="J775" s="45" t="str">
        <f>IFERROR(VLOOKUP(B775,'Pre-Summary'!$AE$6:$AJ$85,6, FALSE),"")</f>
        <v/>
      </c>
      <c r="K775" s="45" t="str">
        <f>IFERROR(VLOOKUP(B775,'Pre-Summary'!$DE$6:$DG$61,3,FALSE),"")</f>
        <v/>
      </c>
      <c r="L775" s="45" t="str">
        <f>IFERROR(VLOOKUP(B775,'Pre-Summary'!$CU$6:$CW$36,3,FALSE),"")</f>
        <v/>
      </c>
      <c r="M775" s="45" t="str">
        <f>IFERROR(VLOOKUP(B775,'Pre-Summary'!$BW$6:$BY$58,2,FALSE),"")</f>
        <v/>
      </c>
      <c r="N775" s="45" t="str">
        <f>IFERROR(VLOOKUP(B775,'Pre-Summary'!$CD$6:$CF$64,2,FALSE),"")</f>
        <v/>
      </c>
      <c r="O775" s="99">
        <f>IFERROR(VLOOKUP(B775,'Pre-Summary'!$BO$6:$BQ$48,3, FALSE),O774)</f>
        <v>1</v>
      </c>
      <c r="P775" s="99">
        <f>IFERROR(VLOOKUP(B775,'Pre-Summary'!$BS$6:$BU$35,3,FALSE),P774)</f>
        <v>0.25</v>
      </c>
      <c r="Q775" s="54">
        <f t="shared" si="36"/>
        <v>4</v>
      </c>
      <c r="R775" s="53">
        <f>IFERROR(VLOOKUP(B775,'Pre-Summary'!$BG$6:$BM$44,7,FALSE),R776)</f>
        <v>0.10617362811310796</v>
      </c>
      <c r="S775" s="53">
        <f>IFERROR(VLOOKUP(B775,'Pre-Summary'!$BG$6:$BM$44,6,FALSE),S776)</f>
        <v>9.9527233330079901E-2</v>
      </c>
      <c r="T775" s="45" t="str">
        <f>IFERROR(VLOOKUP(B775,'Pre-Summary'!$Y$6:$AC$83, 3,FALSE),"")</f>
        <v/>
      </c>
      <c r="U775" s="45" t="str">
        <f>IFERROR(VLOOKUP(B775,'Pre-Summary'!$Y$6:$AC$83, 4,FALSE),"")</f>
        <v/>
      </c>
      <c r="V775" t="str">
        <f>IFERROR(VLOOKUP(B775,'Pre-Summary'!$Y$6:$AC$83, 5,FALSE),"")</f>
        <v/>
      </c>
      <c r="W775" s="45" t="str">
        <f>IFERROR(VLOOKUP(B775,'Pre-Summary'!$Y$6:$AD$83,6,FALSE),"")</f>
        <v/>
      </c>
      <c r="X775" t="str">
        <f>IFERROR(VLOOKUP('Pre-Summary'!$DB$6:$DD$63,3,FALSE),"")</f>
        <v/>
      </c>
      <c r="Y775" t="str">
        <f>IFERROR(VLOOKUP(B775,'Pre-Summary'!$CR$6:$CT$36,3,FALSE),"")</f>
        <v/>
      </c>
      <c r="Z775" s="45" t="str">
        <f>IFERROR(VLOOKUP(B775,'Pre-Summary'!$BZ$6:$CB$63,2,FALSE),"")</f>
        <v/>
      </c>
      <c r="AA775" s="45" t="str">
        <f>IFERROR(VLOOKUP(B775,'Pre-Summary'!$CG$6:$CI$70,2,FALSE),"")</f>
        <v/>
      </c>
      <c r="AB775" s="99">
        <f>IFERROR(VLOOKUP(B775,'Pre-Summary'!$A$6:$P$178,9,FALSE),AB776)</f>
        <v>0.86523914835158122</v>
      </c>
      <c r="AC775" s="10">
        <f>IFERROR(VLOOKUP(Summary!B775,'Pre-Summary'!$A$6:$P$184,5, FALSE)/100,AC776)</f>
        <v>0.62433033333333332</v>
      </c>
      <c r="AD775" s="10">
        <f>IFERROR(VLOOKUP(Summary!B775,'Pre-Summary'!$A$6:$P$184,3, FALSE)/100,AD776)</f>
        <v>0.16252</v>
      </c>
      <c r="AE775" s="10">
        <f>IFERROR(VLOOKUP(Summary!B775,'Pre-Summary'!$A$6:$P$184,7, FALSE)/100,AE776)</f>
        <v>0.21314966666666668</v>
      </c>
      <c r="AF775" s="99">
        <f t="shared" si="37"/>
        <v>0.14061866639009898</v>
      </c>
      <c r="AG775" s="99">
        <f t="shared" si="38"/>
        <v>0.18442543605809009</v>
      </c>
      <c r="AH775" s="10" t="str">
        <f>IFERROR(VLOOKUP(B775,'Pre-Summary'!$AZ$6:$BE$65,3,FALSE),"")</f>
        <v/>
      </c>
      <c r="AI775" s="10" t="str">
        <f>IFERROR(VLOOKUP(B775,'Pre-Summary'!$AZ$6:$BE$65,5,FALSE),"")</f>
        <v/>
      </c>
      <c r="AJ775" s="10" t="str">
        <f>IFERROR(VLOOKUP(B775,'Pre-Summary'!$AZ$6:$BE$65,4,FALSE),"")</f>
        <v/>
      </c>
      <c r="AK775" s="10" t="str">
        <f>IFERROR(VLOOKUP(B775,'Pre-Summary'!$AZ$6:$BE$65,6,FALSE),"")</f>
        <v/>
      </c>
      <c r="AL775" s="10" t="str">
        <f>IFERROR(VLOOKUP(B775,'Pre-Summary'!$BG$6:$BL$44,3,FALSE),"")</f>
        <v/>
      </c>
      <c r="AM775" s="10" t="str">
        <f>IFERROR(VLOOKUP(B775,'Pre-Summary'!$BG$6:$BL$44,4,FALSE),"")</f>
        <v/>
      </c>
    </row>
    <row r="776" spans="2:39" ht="15" customHeight="1" x14ac:dyDescent="0.3">
      <c r="B776">
        <v>77.3</v>
      </c>
      <c r="C776" t="str">
        <f>IFERROR(VLOOKUP(B776,'Pre-Summary'!$DI$6:$DM$23,4,FALSE),"")</f>
        <v/>
      </c>
      <c r="D776" s="10" t="str">
        <f>IFERROR(VLOOKUP(B776,'Pre-Summary'!$AT$6:$AX$14,5,FALSE),D775)</f>
        <v>DSMZ v2: Dropped Na-Ac out of DSMZ 120 media</v>
      </c>
      <c r="E776" s="10" t="str">
        <f>IFERROR(VLOOKUP(B776,'Pre-Summary'!$AT$6:$AX$15,4,FALSE),"")</f>
        <v/>
      </c>
      <c r="F776">
        <f>IFERROR(VLOOKUP(B776,'Pre-Summary'!$AL$6:$AQ$13,6,FALSE),F775)</f>
        <v>5.9405263157894746E-2</v>
      </c>
      <c r="G776" t="str">
        <f>IFERROR(VLOOKUP(B776,'Pre-Summary'!$AE$6:$AJ$85,3,FALSE),"")</f>
        <v/>
      </c>
      <c r="H776" t="str">
        <f>IFERROR(VLOOKUP(B776,'Pre-Summary'!$AE$6:$AJ$85,4,FALSE),"")</f>
        <v/>
      </c>
      <c r="I776" t="str">
        <f>IFERROR(VLOOKUP(B776,'Pre-Summary'!$AE$6:$AJ$85,5,FALSE),"")</f>
        <v/>
      </c>
      <c r="J776" s="45" t="str">
        <f>IFERROR(VLOOKUP(B776,'Pre-Summary'!$AE$6:$AJ$85,6, FALSE),"")</f>
        <v/>
      </c>
      <c r="K776" s="45" t="str">
        <f>IFERROR(VLOOKUP(B776,'Pre-Summary'!$DE$6:$DG$61,3,FALSE),"")</f>
        <v/>
      </c>
      <c r="L776" s="45" t="str">
        <f>IFERROR(VLOOKUP(B776,'Pre-Summary'!$CU$6:$CW$36,3,FALSE),"")</f>
        <v/>
      </c>
      <c r="M776" s="45" t="str">
        <f>IFERROR(VLOOKUP(B776,'Pre-Summary'!$BW$6:$BY$58,2,FALSE),"")</f>
        <v/>
      </c>
      <c r="N776" s="45" t="str">
        <f>IFERROR(VLOOKUP(B776,'Pre-Summary'!$CD$6:$CF$64,2,FALSE),"")</f>
        <v/>
      </c>
      <c r="O776" s="99">
        <f>IFERROR(VLOOKUP(B776,'Pre-Summary'!$BO$6:$BQ$48,3, FALSE),O775)</f>
        <v>1</v>
      </c>
      <c r="P776" s="99">
        <f>IFERROR(VLOOKUP(B776,'Pre-Summary'!$BS$6:$BU$35,3,FALSE),P775)</f>
        <v>0.25</v>
      </c>
      <c r="Q776" s="54">
        <f t="shared" si="36"/>
        <v>4</v>
      </c>
      <c r="R776" s="53">
        <f>IFERROR(VLOOKUP(B776,'Pre-Summary'!$BG$6:$BM$44,7,FALSE),R777)</f>
        <v>0.10617362811310796</v>
      </c>
      <c r="S776" s="53">
        <f>IFERROR(VLOOKUP(B776,'Pre-Summary'!$BG$6:$BM$44,6,FALSE),S777)</f>
        <v>9.9527233330079901E-2</v>
      </c>
      <c r="T776" s="45" t="str">
        <f>IFERROR(VLOOKUP(B776,'Pre-Summary'!$Y$6:$AC$83, 3,FALSE),"")</f>
        <v/>
      </c>
      <c r="U776" s="45" t="str">
        <f>IFERROR(VLOOKUP(B776,'Pre-Summary'!$Y$6:$AC$83, 4,FALSE),"")</f>
        <v/>
      </c>
      <c r="V776" t="str">
        <f>IFERROR(VLOOKUP(B776,'Pre-Summary'!$Y$6:$AC$83, 5,FALSE),"")</f>
        <v/>
      </c>
      <c r="W776" s="45" t="str">
        <f>IFERROR(VLOOKUP(B776,'Pre-Summary'!$Y$6:$AD$83,6,FALSE),"")</f>
        <v/>
      </c>
      <c r="X776" t="str">
        <f>IFERROR(VLOOKUP('Pre-Summary'!$DB$6:$DD$63,3,FALSE),"")</f>
        <v/>
      </c>
      <c r="Y776" t="str">
        <f>IFERROR(VLOOKUP(B776,'Pre-Summary'!$CR$6:$CT$36,3,FALSE),"")</f>
        <v/>
      </c>
      <c r="Z776" s="45" t="str">
        <f>IFERROR(VLOOKUP(B776,'Pre-Summary'!$BZ$6:$CB$63,2,FALSE),"")</f>
        <v/>
      </c>
      <c r="AA776" s="45" t="str">
        <f>IFERROR(VLOOKUP(B776,'Pre-Summary'!$CG$6:$CI$70,2,FALSE),"")</f>
        <v/>
      </c>
      <c r="AB776" s="99">
        <f>IFERROR(VLOOKUP(B776,'Pre-Summary'!$A$6:$P$178,9,FALSE),AB777)</f>
        <v>0.86523914835158122</v>
      </c>
      <c r="AC776" s="10">
        <f>IFERROR(VLOOKUP(Summary!B776,'Pre-Summary'!$A$6:$P$184,5, FALSE)/100,AC777)</f>
        <v>0.62433033333333332</v>
      </c>
      <c r="AD776" s="10">
        <f>IFERROR(VLOOKUP(Summary!B776,'Pre-Summary'!$A$6:$P$184,3, FALSE)/100,AD777)</f>
        <v>0.16252</v>
      </c>
      <c r="AE776" s="10">
        <f>IFERROR(VLOOKUP(Summary!B776,'Pre-Summary'!$A$6:$P$184,7, FALSE)/100,AE777)</f>
        <v>0.21314966666666668</v>
      </c>
      <c r="AF776" s="99">
        <f t="shared" si="37"/>
        <v>0.14061866639009898</v>
      </c>
      <c r="AG776" s="99">
        <f t="shared" si="38"/>
        <v>0.18442543605809009</v>
      </c>
      <c r="AH776" s="10" t="str">
        <f>IFERROR(VLOOKUP(B776,'Pre-Summary'!$AZ$6:$BE$65,3,FALSE),"")</f>
        <v/>
      </c>
      <c r="AI776" s="10" t="str">
        <f>IFERROR(VLOOKUP(B776,'Pre-Summary'!$AZ$6:$BE$65,5,FALSE),"")</f>
        <v/>
      </c>
      <c r="AJ776" s="10" t="str">
        <f>IFERROR(VLOOKUP(B776,'Pre-Summary'!$AZ$6:$BE$65,4,FALSE),"")</f>
        <v/>
      </c>
      <c r="AK776" s="10" t="str">
        <f>IFERROR(VLOOKUP(B776,'Pre-Summary'!$AZ$6:$BE$65,6,FALSE),"")</f>
        <v/>
      </c>
      <c r="AL776" s="10" t="str">
        <f>IFERROR(VLOOKUP(B776,'Pre-Summary'!$BG$6:$BL$44,3,FALSE),"")</f>
        <v/>
      </c>
      <c r="AM776" s="10" t="str">
        <f>IFERROR(VLOOKUP(B776,'Pre-Summary'!$BG$6:$BL$44,4,FALSE),"")</f>
        <v/>
      </c>
    </row>
    <row r="777" spans="2:39" ht="15" customHeight="1" x14ac:dyDescent="0.3">
      <c r="B777">
        <v>77.400000000000006</v>
      </c>
      <c r="C777" t="str">
        <f>IFERROR(VLOOKUP(B777,'Pre-Summary'!$DI$6:$DM$23,4,FALSE),"")</f>
        <v/>
      </c>
      <c r="D777" s="10" t="str">
        <f>IFERROR(VLOOKUP(B777,'Pre-Summary'!$AT$6:$AX$14,5,FALSE),D776)</f>
        <v>DSMZ v2: Dropped Na-Ac out of DSMZ 120 media</v>
      </c>
      <c r="E777" s="10" t="str">
        <f>IFERROR(VLOOKUP(B777,'Pre-Summary'!$AT$6:$AX$15,4,FALSE),"")</f>
        <v/>
      </c>
      <c r="F777">
        <f>IFERROR(VLOOKUP(B777,'Pre-Summary'!$AL$6:$AQ$13,6,FALSE),F776)</f>
        <v>5.9405263157894746E-2</v>
      </c>
      <c r="G777" t="str">
        <f>IFERROR(VLOOKUP(B777,'Pre-Summary'!$AE$6:$AJ$85,3,FALSE),"")</f>
        <v/>
      </c>
      <c r="H777" t="str">
        <f>IFERROR(VLOOKUP(B777,'Pre-Summary'!$AE$6:$AJ$85,4,FALSE),"")</f>
        <v/>
      </c>
      <c r="I777" t="str">
        <f>IFERROR(VLOOKUP(B777,'Pre-Summary'!$AE$6:$AJ$85,5,FALSE),"")</f>
        <v/>
      </c>
      <c r="J777" s="45" t="str">
        <f>IFERROR(VLOOKUP(B777,'Pre-Summary'!$AE$6:$AJ$85,6, FALSE),"")</f>
        <v/>
      </c>
      <c r="K777" s="45" t="str">
        <f>IFERROR(VLOOKUP(B777,'Pre-Summary'!$DE$6:$DG$61,3,FALSE),"")</f>
        <v/>
      </c>
      <c r="L777" s="45" t="str">
        <f>IFERROR(VLOOKUP(B777,'Pre-Summary'!$CU$6:$CW$36,3,FALSE),"")</f>
        <v/>
      </c>
      <c r="M777" s="45" t="str">
        <f>IFERROR(VLOOKUP(B777,'Pre-Summary'!$BW$6:$BY$58,2,FALSE),"")</f>
        <v/>
      </c>
      <c r="N777" s="45" t="str">
        <f>IFERROR(VLOOKUP(B777,'Pre-Summary'!$CD$6:$CF$64,2,FALSE),"")</f>
        <v/>
      </c>
      <c r="O777" s="99">
        <f>IFERROR(VLOOKUP(B777,'Pre-Summary'!$BO$6:$BQ$48,3, FALSE),O776)</f>
        <v>1</v>
      </c>
      <c r="P777" s="99">
        <f>IFERROR(VLOOKUP(B777,'Pre-Summary'!$BS$6:$BU$35,3,FALSE),P776)</f>
        <v>0.25</v>
      </c>
      <c r="Q777" s="54">
        <f t="shared" si="36"/>
        <v>4</v>
      </c>
      <c r="R777" s="53">
        <f>IFERROR(VLOOKUP(B777,'Pre-Summary'!$BG$6:$BM$44,7,FALSE),R778)</f>
        <v>0.10617362811310796</v>
      </c>
      <c r="S777" s="53">
        <f>IFERROR(VLOOKUP(B777,'Pre-Summary'!$BG$6:$BM$44,6,FALSE),S778)</f>
        <v>9.9527233330079901E-2</v>
      </c>
      <c r="T777" s="45" t="str">
        <f>IFERROR(VLOOKUP(B777,'Pre-Summary'!$Y$6:$AC$83, 3,FALSE),"")</f>
        <v/>
      </c>
      <c r="U777" s="45" t="str">
        <f>IFERROR(VLOOKUP(B777,'Pre-Summary'!$Y$6:$AC$83, 4,FALSE),"")</f>
        <v/>
      </c>
      <c r="V777" t="str">
        <f>IFERROR(VLOOKUP(B777,'Pre-Summary'!$Y$6:$AC$83, 5,FALSE),"")</f>
        <v/>
      </c>
      <c r="W777" s="45" t="str">
        <f>IFERROR(VLOOKUP(B777,'Pre-Summary'!$Y$6:$AD$83,6,FALSE),"")</f>
        <v/>
      </c>
      <c r="X777" t="str">
        <f>IFERROR(VLOOKUP('Pre-Summary'!$DB$6:$DD$63,3,FALSE),"")</f>
        <v/>
      </c>
      <c r="Y777" t="str">
        <f>IFERROR(VLOOKUP(B777,'Pre-Summary'!$CR$6:$CT$36,3,FALSE),"")</f>
        <v/>
      </c>
      <c r="Z777" s="45" t="str">
        <f>IFERROR(VLOOKUP(B777,'Pre-Summary'!$BZ$6:$CB$63,2,FALSE),"")</f>
        <v/>
      </c>
      <c r="AA777" s="45" t="str">
        <f>IFERROR(VLOOKUP(B777,'Pre-Summary'!$CG$6:$CI$70,2,FALSE),"")</f>
        <v/>
      </c>
      <c r="AB777" s="99">
        <f>IFERROR(VLOOKUP(B777,'Pre-Summary'!$A$6:$P$178,9,FALSE),AB778)</f>
        <v>0.86523914835158122</v>
      </c>
      <c r="AC777" s="10">
        <f>IFERROR(VLOOKUP(Summary!B777,'Pre-Summary'!$A$6:$P$184,5, FALSE)/100,AC778)</f>
        <v>0.62433033333333332</v>
      </c>
      <c r="AD777" s="10">
        <f>IFERROR(VLOOKUP(Summary!B777,'Pre-Summary'!$A$6:$P$184,3, FALSE)/100,AD778)</f>
        <v>0.16252</v>
      </c>
      <c r="AE777" s="10">
        <f>IFERROR(VLOOKUP(Summary!B777,'Pre-Summary'!$A$6:$P$184,7, FALSE)/100,AE778)</f>
        <v>0.21314966666666668</v>
      </c>
      <c r="AF777" s="99">
        <f t="shared" si="37"/>
        <v>0.14061866639009898</v>
      </c>
      <c r="AG777" s="99">
        <f t="shared" si="38"/>
        <v>0.18442543605809009</v>
      </c>
      <c r="AH777" s="10" t="str">
        <f>IFERROR(VLOOKUP(B777,'Pre-Summary'!$AZ$6:$BE$65,3,FALSE),"")</f>
        <v/>
      </c>
      <c r="AI777" s="10" t="str">
        <f>IFERROR(VLOOKUP(B777,'Pre-Summary'!$AZ$6:$BE$65,5,FALSE),"")</f>
        <v/>
      </c>
      <c r="AJ777" s="10" t="str">
        <f>IFERROR(VLOOKUP(B777,'Pre-Summary'!$AZ$6:$BE$65,4,FALSE),"")</f>
        <v/>
      </c>
      <c r="AK777" s="10" t="str">
        <f>IFERROR(VLOOKUP(B777,'Pre-Summary'!$AZ$6:$BE$65,6,FALSE),"")</f>
        <v/>
      </c>
      <c r="AL777" s="10" t="str">
        <f>IFERROR(VLOOKUP(B777,'Pre-Summary'!$BG$6:$BL$44,3,FALSE),"")</f>
        <v/>
      </c>
      <c r="AM777" s="10" t="str">
        <f>IFERROR(VLOOKUP(B777,'Pre-Summary'!$BG$6:$BL$44,4,FALSE),"")</f>
        <v/>
      </c>
    </row>
    <row r="778" spans="2:39" ht="15" customHeight="1" x14ac:dyDescent="0.3">
      <c r="B778">
        <v>77.5</v>
      </c>
      <c r="C778" t="str">
        <f>IFERROR(VLOOKUP(B778,'Pre-Summary'!$DI$6:$DM$23,4,FALSE),"")</f>
        <v/>
      </c>
      <c r="D778" s="10" t="str">
        <f>IFERROR(VLOOKUP(B778,'Pre-Summary'!$AT$6:$AX$14,5,FALSE),D777)</f>
        <v>DSMZ v2: Dropped Na-Ac out of DSMZ 120 media</v>
      </c>
      <c r="E778" s="10" t="str">
        <f>IFERROR(VLOOKUP(B778,'Pre-Summary'!$AT$6:$AX$15,4,FALSE),"")</f>
        <v/>
      </c>
      <c r="F778">
        <f>IFERROR(VLOOKUP(B778,'Pre-Summary'!$AL$6:$AQ$13,6,FALSE),F777)</f>
        <v>5.9405263157894746E-2</v>
      </c>
      <c r="G778" t="str">
        <f>IFERROR(VLOOKUP(B778,'Pre-Summary'!$AE$6:$AJ$85,3,FALSE),"")</f>
        <v/>
      </c>
      <c r="H778" t="str">
        <f>IFERROR(VLOOKUP(B778,'Pre-Summary'!$AE$6:$AJ$85,4,FALSE),"")</f>
        <v/>
      </c>
      <c r="I778" t="str">
        <f>IFERROR(VLOOKUP(B778,'Pre-Summary'!$AE$6:$AJ$85,5,FALSE),"")</f>
        <v/>
      </c>
      <c r="J778" s="45" t="str">
        <f>IFERROR(VLOOKUP(B778,'Pre-Summary'!$AE$6:$AJ$85,6, FALSE),"")</f>
        <v/>
      </c>
      <c r="K778" s="45" t="str">
        <f>IFERROR(VLOOKUP(B778,'Pre-Summary'!$DE$6:$DG$61,3,FALSE),"")</f>
        <v/>
      </c>
      <c r="L778" s="45" t="str">
        <f>IFERROR(VLOOKUP(B778,'Pre-Summary'!$CU$6:$CW$36,3,FALSE),"")</f>
        <v/>
      </c>
      <c r="M778" s="45" t="str">
        <f>IFERROR(VLOOKUP(B778,'Pre-Summary'!$BW$6:$BY$58,2,FALSE),"")</f>
        <v/>
      </c>
      <c r="N778" s="45" t="str">
        <f>IFERROR(VLOOKUP(B778,'Pre-Summary'!$CD$6:$CF$64,2,FALSE),"")</f>
        <v/>
      </c>
      <c r="O778" s="99">
        <f>IFERROR(VLOOKUP(B778,'Pre-Summary'!$BO$6:$BQ$48,3, FALSE),O777)</f>
        <v>1</v>
      </c>
      <c r="P778" s="99">
        <f>IFERROR(VLOOKUP(B778,'Pre-Summary'!$BS$6:$BU$35,3,FALSE),P777)</f>
        <v>0.25</v>
      </c>
      <c r="Q778" s="54">
        <f t="shared" si="36"/>
        <v>4</v>
      </c>
      <c r="R778" s="53">
        <f>IFERROR(VLOOKUP(B778,'Pre-Summary'!$BG$6:$BM$44,7,FALSE),R779)</f>
        <v>0.10617362811310796</v>
      </c>
      <c r="S778" s="53">
        <f>IFERROR(VLOOKUP(B778,'Pre-Summary'!$BG$6:$BM$44,6,FALSE),S779)</f>
        <v>9.9527233330079901E-2</v>
      </c>
      <c r="T778" s="45" t="str">
        <f>IFERROR(VLOOKUP(B778,'Pre-Summary'!$Y$6:$AC$83, 3,FALSE),"")</f>
        <v/>
      </c>
      <c r="U778" s="45" t="str">
        <f>IFERROR(VLOOKUP(B778,'Pre-Summary'!$Y$6:$AC$83, 4,FALSE),"")</f>
        <v/>
      </c>
      <c r="V778" t="str">
        <f>IFERROR(VLOOKUP(B778,'Pre-Summary'!$Y$6:$AC$83, 5,FALSE),"")</f>
        <v/>
      </c>
      <c r="W778" s="45" t="str">
        <f>IFERROR(VLOOKUP(B778,'Pre-Summary'!$Y$6:$AD$83,6,FALSE),"")</f>
        <v/>
      </c>
      <c r="X778" t="str">
        <f>IFERROR(VLOOKUP('Pre-Summary'!$DB$6:$DD$63,3,FALSE),"")</f>
        <v/>
      </c>
      <c r="Y778" t="str">
        <f>IFERROR(VLOOKUP(B778,'Pre-Summary'!$CR$6:$CT$36,3,FALSE),"")</f>
        <v/>
      </c>
      <c r="Z778" s="45" t="str">
        <f>IFERROR(VLOOKUP(B778,'Pre-Summary'!$BZ$6:$CB$63,2,FALSE),"")</f>
        <v/>
      </c>
      <c r="AA778" s="45" t="str">
        <f>IFERROR(VLOOKUP(B778,'Pre-Summary'!$CG$6:$CI$70,2,FALSE),"")</f>
        <v/>
      </c>
      <c r="AB778" s="99">
        <f>IFERROR(VLOOKUP(B778,'Pre-Summary'!$A$6:$P$178,9,FALSE),AB779)</f>
        <v>0.86523914835158122</v>
      </c>
      <c r="AC778" s="10">
        <f>IFERROR(VLOOKUP(Summary!B778,'Pre-Summary'!$A$6:$P$184,5, FALSE)/100,AC779)</f>
        <v>0.62433033333333332</v>
      </c>
      <c r="AD778" s="10">
        <f>IFERROR(VLOOKUP(Summary!B778,'Pre-Summary'!$A$6:$P$184,3, FALSE)/100,AD779)</f>
        <v>0.16252</v>
      </c>
      <c r="AE778" s="10">
        <f>IFERROR(VLOOKUP(Summary!B778,'Pre-Summary'!$A$6:$P$184,7, FALSE)/100,AE779)</f>
        <v>0.21314966666666668</v>
      </c>
      <c r="AF778" s="99">
        <f t="shared" si="37"/>
        <v>0.14061866639009898</v>
      </c>
      <c r="AG778" s="99">
        <f t="shared" si="38"/>
        <v>0.18442543605809009</v>
      </c>
      <c r="AH778" s="10" t="str">
        <f>IFERROR(VLOOKUP(B778,'Pre-Summary'!$AZ$6:$BE$65,3,FALSE),"")</f>
        <v/>
      </c>
      <c r="AI778" s="10" t="str">
        <f>IFERROR(VLOOKUP(B778,'Pre-Summary'!$AZ$6:$BE$65,5,FALSE),"")</f>
        <v/>
      </c>
      <c r="AJ778" s="10" t="str">
        <f>IFERROR(VLOOKUP(B778,'Pre-Summary'!$AZ$6:$BE$65,4,FALSE),"")</f>
        <v/>
      </c>
      <c r="AK778" s="10" t="str">
        <f>IFERROR(VLOOKUP(B778,'Pre-Summary'!$AZ$6:$BE$65,6,FALSE),"")</f>
        <v/>
      </c>
      <c r="AL778" s="10" t="str">
        <f>IFERROR(VLOOKUP(B778,'Pre-Summary'!$BG$6:$BL$44,3,FALSE),"")</f>
        <v/>
      </c>
      <c r="AM778" s="10" t="str">
        <f>IFERROR(VLOOKUP(B778,'Pre-Summary'!$BG$6:$BL$44,4,FALSE),"")</f>
        <v/>
      </c>
    </row>
    <row r="779" spans="2:39" ht="15" customHeight="1" x14ac:dyDescent="0.3">
      <c r="B779">
        <v>77.599999999999994</v>
      </c>
      <c r="C779" t="str">
        <f>IFERROR(VLOOKUP(B779,'Pre-Summary'!$DI$6:$DM$23,4,FALSE),"")</f>
        <v/>
      </c>
      <c r="D779" s="10" t="str">
        <f>IFERROR(VLOOKUP(B779,'Pre-Summary'!$AT$6:$AX$14,5,FALSE),D778)</f>
        <v>DSMZ v2: Dropped Na-Ac out of DSMZ 120 media</v>
      </c>
      <c r="E779" s="10" t="str">
        <f>IFERROR(VLOOKUP(B779,'Pre-Summary'!$AT$6:$AX$15,4,FALSE),"")</f>
        <v/>
      </c>
      <c r="F779">
        <f>IFERROR(VLOOKUP(B779,'Pre-Summary'!$AL$6:$AQ$13,6,FALSE),F778)</f>
        <v>5.9405263157894746E-2</v>
      </c>
      <c r="G779" t="str">
        <f>IFERROR(VLOOKUP(B779,'Pre-Summary'!$AE$6:$AJ$85,3,FALSE),"")</f>
        <v/>
      </c>
      <c r="H779" t="str">
        <f>IFERROR(VLOOKUP(B779,'Pre-Summary'!$AE$6:$AJ$85,4,FALSE),"")</f>
        <v/>
      </c>
      <c r="I779" t="str">
        <f>IFERROR(VLOOKUP(B779,'Pre-Summary'!$AE$6:$AJ$85,5,FALSE),"")</f>
        <v/>
      </c>
      <c r="J779" s="45" t="str">
        <f>IFERROR(VLOOKUP(B779,'Pre-Summary'!$AE$6:$AJ$85,6, FALSE),"")</f>
        <v/>
      </c>
      <c r="K779" s="45" t="str">
        <f>IFERROR(VLOOKUP(B779,'Pre-Summary'!$DE$6:$DG$61,3,FALSE),"")</f>
        <v/>
      </c>
      <c r="L779" s="45" t="str">
        <f>IFERROR(VLOOKUP(B779,'Pre-Summary'!$CU$6:$CW$36,3,FALSE),"")</f>
        <v/>
      </c>
      <c r="M779" s="45" t="str">
        <f>IFERROR(VLOOKUP(B779,'Pre-Summary'!$BW$6:$BY$58,2,FALSE),"")</f>
        <v/>
      </c>
      <c r="N779" s="45" t="str">
        <f>IFERROR(VLOOKUP(B779,'Pre-Summary'!$CD$6:$CF$64,2,FALSE),"")</f>
        <v/>
      </c>
      <c r="O779" s="99">
        <f>IFERROR(VLOOKUP(B779,'Pre-Summary'!$BO$6:$BQ$48,3, FALSE),O778)</f>
        <v>1</v>
      </c>
      <c r="P779" s="99">
        <f>IFERROR(VLOOKUP(B779,'Pre-Summary'!$BS$6:$BU$35,3,FALSE),P778)</f>
        <v>0.25</v>
      </c>
      <c r="Q779" s="54">
        <f t="shared" si="36"/>
        <v>4</v>
      </c>
      <c r="R779" s="53">
        <f>IFERROR(VLOOKUP(B779,'Pre-Summary'!$BG$6:$BM$44,7,FALSE),R780)</f>
        <v>0.10617362811310796</v>
      </c>
      <c r="S779" s="53">
        <f>IFERROR(VLOOKUP(B779,'Pre-Summary'!$BG$6:$BM$44,6,FALSE),S780)</f>
        <v>9.9527233330079901E-2</v>
      </c>
      <c r="T779" s="45" t="str">
        <f>IFERROR(VLOOKUP(B779,'Pre-Summary'!$Y$6:$AC$83, 3,FALSE),"")</f>
        <v/>
      </c>
      <c r="U779" s="45" t="str">
        <f>IFERROR(VLOOKUP(B779,'Pre-Summary'!$Y$6:$AC$83, 4,FALSE),"")</f>
        <v/>
      </c>
      <c r="V779" t="str">
        <f>IFERROR(VLOOKUP(B779,'Pre-Summary'!$Y$6:$AC$83, 5,FALSE),"")</f>
        <v/>
      </c>
      <c r="W779" s="45" t="str">
        <f>IFERROR(VLOOKUP(B779,'Pre-Summary'!$Y$6:$AD$83,6,FALSE),"")</f>
        <v/>
      </c>
      <c r="X779" t="str">
        <f>IFERROR(VLOOKUP('Pre-Summary'!$DB$6:$DD$63,3,FALSE),"")</f>
        <v/>
      </c>
      <c r="Y779" t="str">
        <f>IFERROR(VLOOKUP(B779,'Pre-Summary'!$CR$6:$CT$36,3,FALSE),"")</f>
        <v/>
      </c>
      <c r="Z779" s="45" t="str">
        <f>IFERROR(VLOOKUP(B779,'Pre-Summary'!$BZ$6:$CB$63,2,FALSE),"")</f>
        <v/>
      </c>
      <c r="AA779" s="45" t="str">
        <f>IFERROR(VLOOKUP(B779,'Pre-Summary'!$CG$6:$CI$70,2,FALSE),"")</f>
        <v/>
      </c>
      <c r="AB779" s="99">
        <f>IFERROR(VLOOKUP(B779,'Pre-Summary'!$A$6:$P$178,9,FALSE),AB780)</f>
        <v>0.86523914835158122</v>
      </c>
      <c r="AC779" s="10">
        <f>IFERROR(VLOOKUP(Summary!B779,'Pre-Summary'!$A$6:$P$184,5, FALSE)/100,AC780)</f>
        <v>0.62433033333333332</v>
      </c>
      <c r="AD779" s="10">
        <f>IFERROR(VLOOKUP(Summary!B779,'Pre-Summary'!$A$6:$P$184,3, FALSE)/100,AD780)</f>
        <v>0.16252</v>
      </c>
      <c r="AE779" s="10">
        <f>IFERROR(VLOOKUP(Summary!B779,'Pre-Summary'!$A$6:$P$184,7, FALSE)/100,AE780)</f>
        <v>0.21314966666666668</v>
      </c>
      <c r="AF779" s="99">
        <f t="shared" si="37"/>
        <v>0.14061866639009898</v>
      </c>
      <c r="AG779" s="99">
        <f t="shared" si="38"/>
        <v>0.18442543605809009</v>
      </c>
      <c r="AH779" s="10" t="str">
        <f>IFERROR(VLOOKUP(B779,'Pre-Summary'!$AZ$6:$BE$65,3,FALSE),"")</f>
        <v/>
      </c>
      <c r="AI779" s="10" t="str">
        <f>IFERROR(VLOOKUP(B779,'Pre-Summary'!$AZ$6:$BE$65,5,FALSE),"")</f>
        <v/>
      </c>
      <c r="AJ779" s="10" t="str">
        <f>IFERROR(VLOOKUP(B779,'Pre-Summary'!$AZ$6:$BE$65,4,FALSE),"")</f>
        <v/>
      </c>
      <c r="AK779" s="10" t="str">
        <f>IFERROR(VLOOKUP(B779,'Pre-Summary'!$AZ$6:$BE$65,6,FALSE),"")</f>
        <v/>
      </c>
      <c r="AL779" s="10" t="str">
        <f>IFERROR(VLOOKUP(B779,'Pre-Summary'!$BG$6:$BL$44,3,FALSE),"")</f>
        <v/>
      </c>
      <c r="AM779" s="10" t="str">
        <f>IFERROR(VLOOKUP(B779,'Pre-Summary'!$BG$6:$BL$44,4,FALSE),"")</f>
        <v/>
      </c>
    </row>
    <row r="780" spans="2:39" ht="15" customHeight="1" x14ac:dyDescent="0.3">
      <c r="B780">
        <v>77.7</v>
      </c>
      <c r="C780" t="str">
        <f>IFERROR(VLOOKUP(B780,'Pre-Summary'!$DI$6:$DM$23,4,FALSE),"")</f>
        <v/>
      </c>
      <c r="D780" s="10" t="str">
        <f>IFERROR(VLOOKUP(B780,'Pre-Summary'!$AT$6:$AX$14,5,FALSE),D779)</f>
        <v>DSMZ v2: Dropped Na-Ac out of DSMZ 120 media</v>
      </c>
      <c r="E780" s="10" t="str">
        <f>IFERROR(VLOOKUP(B780,'Pre-Summary'!$AT$6:$AX$15,4,FALSE),"")</f>
        <v/>
      </c>
      <c r="F780">
        <f>IFERROR(VLOOKUP(B780,'Pre-Summary'!$AL$6:$AQ$13,6,FALSE),F779)</f>
        <v>5.9405263157894746E-2</v>
      </c>
      <c r="G780" t="str">
        <f>IFERROR(VLOOKUP(B780,'Pre-Summary'!$AE$6:$AJ$85,3,FALSE),"")</f>
        <v/>
      </c>
      <c r="H780" t="str">
        <f>IFERROR(VLOOKUP(B780,'Pre-Summary'!$AE$6:$AJ$85,4,FALSE),"")</f>
        <v/>
      </c>
      <c r="I780" t="str">
        <f>IFERROR(VLOOKUP(B780,'Pre-Summary'!$AE$6:$AJ$85,5,FALSE),"")</f>
        <v/>
      </c>
      <c r="J780" s="45" t="str">
        <f>IFERROR(VLOOKUP(B780,'Pre-Summary'!$AE$6:$AJ$85,6, FALSE),"")</f>
        <v/>
      </c>
      <c r="K780" s="45" t="str">
        <f>IFERROR(VLOOKUP(B780,'Pre-Summary'!$DE$6:$DG$61,3,FALSE),"")</f>
        <v/>
      </c>
      <c r="L780" s="45" t="str">
        <f>IFERROR(VLOOKUP(B780,'Pre-Summary'!$CU$6:$CW$36,3,FALSE),"")</f>
        <v/>
      </c>
      <c r="M780" s="45" t="str">
        <f>IFERROR(VLOOKUP(B780,'Pre-Summary'!$BW$6:$BY$58,2,FALSE),"")</f>
        <v/>
      </c>
      <c r="N780" s="45" t="str">
        <f>IFERROR(VLOOKUP(B780,'Pre-Summary'!$CD$6:$CF$64,2,FALSE),"")</f>
        <v/>
      </c>
      <c r="O780" s="99">
        <f>IFERROR(VLOOKUP(B780,'Pre-Summary'!$BO$6:$BQ$48,3, FALSE),O779)</f>
        <v>1</v>
      </c>
      <c r="P780" s="99">
        <f>IFERROR(VLOOKUP(B780,'Pre-Summary'!$BS$6:$BU$35,3,FALSE),P779)</f>
        <v>0.25</v>
      </c>
      <c r="Q780" s="54">
        <f t="shared" si="36"/>
        <v>4</v>
      </c>
      <c r="R780" s="53">
        <f>IFERROR(VLOOKUP(B780,'Pre-Summary'!$BG$6:$BM$44,7,FALSE),R781)</f>
        <v>0.10617362811310796</v>
      </c>
      <c r="S780" s="53">
        <f>IFERROR(VLOOKUP(B780,'Pre-Summary'!$BG$6:$BM$44,6,FALSE),S781)</f>
        <v>9.9527233330079901E-2</v>
      </c>
      <c r="T780" s="45" t="str">
        <f>IFERROR(VLOOKUP(B780,'Pre-Summary'!$Y$6:$AC$83, 3,FALSE),"")</f>
        <v/>
      </c>
      <c r="U780" s="45" t="str">
        <f>IFERROR(VLOOKUP(B780,'Pre-Summary'!$Y$6:$AC$83, 4,FALSE),"")</f>
        <v/>
      </c>
      <c r="V780" t="str">
        <f>IFERROR(VLOOKUP(B780,'Pre-Summary'!$Y$6:$AC$83, 5,FALSE),"")</f>
        <v/>
      </c>
      <c r="W780" s="45" t="str">
        <f>IFERROR(VLOOKUP(B780,'Pre-Summary'!$Y$6:$AD$83,6,FALSE),"")</f>
        <v/>
      </c>
      <c r="X780" t="str">
        <f>IFERROR(VLOOKUP('Pre-Summary'!$DB$6:$DD$63,3,FALSE),"")</f>
        <v/>
      </c>
      <c r="Y780" t="str">
        <f>IFERROR(VLOOKUP(B780,'Pre-Summary'!$CR$6:$CT$36,3,FALSE),"")</f>
        <v/>
      </c>
      <c r="Z780" s="45" t="str">
        <f>IFERROR(VLOOKUP(B780,'Pre-Summary'!$BZ$6:$CB$63,2,FALSE),"")</f>
        <v/>
      </c>
      <c r="AA780" s="45" t="str">
        <f>IFERROR(VLOOKUP(B780,'Pre-Summary'!$CG$6:$CI$70,2,FALSE),"")</f>
        <v/>
      </c>
      <c r="AB780" s="99">
        <f>IFERROR(VLOOKUP(B780,'Pre-Summary'!$A$6:$P$178,9,FALSE),AB781)</f>
        <v>0.86523914835158122</v>
      </c>
      <c r="AC780" s="10">
        <f>IFERROR(VLOOKUP(Summary!B780,'Pre-Summary'!$A$6:$P$184,5, FALSE)/100,AC781)</f>
        <v>0.62433033333333332</v>
      </c>
      <c r="AD780" s="10">
        <f>IFERROR(VLOOKUP(Summary!B780,'Pre-Summary'!$A$6:$P$184,3, FALSE)/100,AD781)</f>
        <v>0.16252</v>
      </c>
      <c r="AE780" s="10">
        <f>IFERROR(VLOOKUP(Summary!B780,'Pre-Summary'!$A$6:$P$184,7, FALSE)/100,AE781)</f>
        <v>0.21314966666666668</v>
      </c>
      <c r="AF780" s="99">
        <f t="shared" si="37"/>
        <v>0.14061866639009898</v>
      </c>
      <c r="AG780" s="99">
        <f t="shared" si="38"/>
        <v>0.18442543605809009</v>
      </c>
      <c r="AH780" s="10" t="str">
        <f>IFERROR(VLOOKUP(B780,'Pre-Summary'!$AZ$6:$BE$65,3,FALSE),"")</f>
        <v/>
      </c>
      <c r="AI780" s="10" t="str">
        <f>IFERROR(VLOOKUP(B780,'Pre-Summary'!$AZ$6:$BE$65,5,FALSE),"")</f>
        <v/>
      </c>
      <c r="AJ780" s="10" t="str">
        <f>IFERROR(VLOOKUP(B780,'Pre-Summary'!$AZ$6:$BE$65,4,FALSE),"")</f>
        <v/>
      </c>
      <c r="AK780" s="10" t="str">
        <f>IFERROR(VLOOKUP(B780,'Pre-Summary'!$AZ$6:$BE$65,6,FALSE),"")</f>
        <v/>
      </c>
      <c r="AL780" s="10" t="str">
        <f>IFERROR(VLOOKUP(B780,'Pre-Summary'!$BG$6:$BL$44,3,FALSE),"")</f>
        <v/>
      </c>
      <c r="AM780" s="10" t="str">
        <f>IFERROR(VLOOKUP(B780,'Pre-Summary'!$BG$6:$BL$44,4,FALSE),"")</f>
        <v/>
      </c>
    </row>
    <row r="781" spans="2:39" ht="15" customHeight="1" x14ac:dyDescent="0.3">
      <c r="B781">
        <v>77.8</v>
      </c>
      <c r="C781" t="str">
        <f>IFERROR(VLOOKUP(B781,'Pre-Summary'!$DI$6:$DM$23,4,FALSE),"")</f>
        <v/>
      </c>
      <c r="D781" s="10" t="str">
        <f>IFERROR(VLOOKUP(B781,'Pre-Summary'!$AT$6:$AX$14,5,FALSE),D780)</f>
        <v>DSMZ v2: Dropped Na-Ac out of DSMZ 120 media</v>
      </c>
      <c r="E781" s="10" t="str">
        <f>IFERROR(VLOOKUP(B781,'Pre-Summary'!$AT$6:$AX$15,4,FALSE),"")</f>
        <v/>
      </c>
      <c r="F781">
        <f>IFERROR(VLOOKUP(B781,'Pre-Summary'!$AL$6:$AQ$13,6,FALSE),F780)</f>
        <v>5.9405263157894746E-2</v>
      </c>
      <c r="G781" t="str">
        <f>IFERROR(VLOOKUP(B781,'Pre-Summary'!$AE$6:$AJ$85,3,FALSE),"")</f>
        <v/>
      </c>
      <c r="H781" t="str">
        <f>IFERROR(VLOOKUP(B781,'Pre-Summary'!$AE$6:$AJ$85,4,FALSE),"")</f>
        <v/>
      </c>
      <c r="I781" t="str">
        <f>IFERROR(VLOOKUP(B781,'Pre-Summary'!$AE$6:$AJ$85,5,FALSE),"")</f>
        <v/>
      </c>
      <c r="J781" s="45" t="str">
        <f>IFERROR(VLOOKUP(B781,'Pre-Summary'!$AE$6:$AJ$85,6, FALSE),"")</f>
        <v/>
      </c>
      <c r="K781" s="45" t="str">
        <f>IFERROR(VLOOKUP(B781,'Pre-Summary'!$DE$6:$DG$61,3,FALSE),"")</f>
        <v/>
      </c>
      <c r="L781" s="45" t="str">
        <f>IFERROR(VLOOKUP(B781,'Pre-Summary'!$CU$6:$CW$36,3,FALSE),"")</f>
        <v/>
      </c>
      <c r="M781" s="45" t="str">
        <f>IFERROR(VLOOKUP(B781,'Pre-Summary'!$BW$6:$BY$58,2,FALSE),"")</f>
        <v/>
      </c>
      <c r="N781" s="45" t="str">
        <f>IFERROR(VLOOKUP(B781,'Pre-Summary'!$CD$6:$CF$64,2,FALSE),"")</f>
        <v/>
      </c>
      <c r="O781" s="99">
        <f>IFERROR(VLOOKUP(B781,'Pre-Summary'!$BO$6:$BQ$48,3, FALSE),O780)</f>
        <v>1</v>
      </c>
      <c r="P781" s="99">
        <f>IFERROR(VLOOKUP(B781,'Pre-Summary'!$BS$6:$BU$35,3,FALSE),P780)</f>
        <v>0.25</v>
      </c>
      <c r="Q781" s="54">
        <f t="shared" si="36"/>
        <v>4</v>
      </c>
      <c r="R781" s="53">
        <f>IFERROR(VLOOKUP(B781,'Pre-Summary'!$BG$6:$BM$44,7,FALSE),R782)</f>
        <v>0.10617362811310796</v>
      </c>
      <c r="S781" s="53">
        <f>IFERROR(VLOOKUP(B781,'Pre-Summary'!$BG$6:$BM$44,6,FALSE),S782)</f>
        <v>9.9527233330079901E-2</v>
      </c>
      <c r="T781" s="45" t="str">
        <f>IFERROR(VLOOKUP(B781,'Pre-Summary'!$Y$6:$AC$83, 3,FALSE),"")</f>
        <v/>
      </c>
      <c r="U781" s="45" t="str">
        <f>IFERROR(VLOOKUP(B781,'Pre-Summary'!$Y$6:$AC$83, 4,FALSE),"")</f>
        <v/>
      </c>
      <c r="V781" t="str">
        <f>IFERROR(VLOOKUP(B781,'Pre-Summary'!$Y$6:$AC$83, 5,FALSE),"")</f>
        <v/>
      </c>
      <c r="W781" s="45" t="str">
        <f>IFERROR(VLOOKUP(B781,'Pre-Summary'!$Y$6:$AD$83,6,FALSE),"")</f>
        <v/>
      </c>
      <c r="X781" t="str">
        <f>IFERROR(VLOOKUP('Pre-Summary'!$DB$6:$DD$63,3,FALSE),"")</f>
        <v/>
      </c>
      <c r="Y781" t="str">
        <f>IFERROR(VLOOKUP(B781,'Pre-Summary'!$CR$6:$CT$36,3,FALSE),"")</f>
        <v/>
      </c>
      <c r="Z781" s="45" t="str">
        <f>IFERROR(VLOOKUP(B781,'Pre-Summary'!$BZ$6:$CB$63,2,FALSE),"")</f>
        <v/>
      </c>
      <c r="AA781" s="45" t="str">
        <f>IFERROR(VLOOKUP(B781,'Pre-Summary'!$CG$6:$CI$70,2,FALSE),"")</f>
        <v/>
      </c>
      <c r="AB781" s="99">
        <f>IFERROR(VLOOKUP(B781,'Pre-Summary'!$A$6:$P$178,9,FALSE),AB782)</f>
        <v>0.86523914835158122</v>
      </c>
      <c r="AC781" s="10">
        <f>IFERROR(VLOOKUP(Summary!B781,'Pre-Summary'!$A$6:$P$184,5, FALSE)/100,AC782)</f>
        <v>0.62433033333333332</v>
      </c>
      <c r="AD781" s="10">
        <f>IFERROR(VLOOKUP(Summary!B781,'Pre-Summary'!$A$6:$P$184,3, FALSE)/100,AD782)</f>
        <v>0.16252</v>
      </c>
      <c r="AE781" s="10">
        <f>IFERROR(VLOOKUP(Summary!B781,'Pre-Summary'!$A$6:$P$184,7, FALSE)/100,AE782)</f>
        <v>0.21314966666666668</v>
      </c>
      <c r="AF781" s="99">
        <f t="shared" si="37"/>
        <v>0.14061866639009898</v>
      </c>
      <c r="AG781" s="99">
        <f t="shared" si="38"/>
        <v>0.18442543605809009</v>
      </c>
      <c r="AH781" s="10" t="str">
        <f>IFERROR(VLOOKUP(B781,'Pre-Summary'!$AZ$6:$BE$65,3,FALSE),"")</f>
        <v/>
      </c>
      <c r="AI781" s="10" t="str">
        <f>IFERROR(VLOOKUP(B781,'Pre-Summary'!$AZ$6:$BE$65,5,FALSE),"")</f>
        <v/>
      </c>
      <c r="AJ781" s="10" t="str">
        <f>IFERROR(VLOOKUP(B781,'Pre-Summary'!$AZ$6:$BE$65,4,FALSE),"")</f>
        <v/>
      </c>
      <c r="AK781" s="10" t="str">
        <f>IFERROR(VLOOKUP(B781,'Pre-Summary'!$AZ$6:$BE$65,6,FALSE),"")</f>
        <v/>
      </c>
      <c r="AL781" s="10" t="str">
        <f>IFERROR(VLOOKUP(B781,'Pre-Summary'!$BG$6:$BL$44,3,FALSE),"")</f>
        <v/>
      </c>
      <c r="AM781" s="10" t="str">
        <f>IFERROR(VLOOKUP(B781,'Pre-Summary'!$BG$6:$BL$44,4,FALSE),"")</f>
        <v/>
      </c>
    </row>
    <row r="782" spans="2:39" ht="15" customHeight="1" x14ac:dyDescent="0.3">
      <c r="B782">
        <v>77.900000000000006</v>
      </c>
      <c r="C782" t="str">
        <f>IFERROR(VLOOKUP(B782,'Pre-Summary'!$DI$6:$DM$23,4,FALSE),"")</f>
        <v/>
      </c>
      <c r="D782" s="10" t="str">
        <f>IFERROR(VLOOKUP(B782,'Pre-Summary'!$AT$6:$AX$14,5,FALSE),D781)</f>
        <v>DSMZ v2: Dropped Na-Ac out of DSMZ 120 media</v>
      </c>
      <c r="E782" s="10" t="str">
        <f>IFERROR(VLOOKUP(B782,'Pre-Summary'!$AT$6:$AX$15,4,FALSE),"")</f>
        <v/>
      </c>
      <c r="F782">
        <f>IFERROR(VLOOKUP(B782,'Pre-Summary'!$AL$6:$AQ$13,6,FALSE),F781)</f>
        <v>5.9405263157894746E-2</v>
      </c>
      <c r="G782">
        <f>IFERROR(VLOOKUP(B782,'Pre-Summary'!$AE$6:$AJ$85,3,FALSE),"")</f>
        <v>887.19499999999994</v>
      </c>
      <c r="H782">
        <f>IFERROR(VLOOKUP(B782,'Pre-Summary'!$AE$6:$AJ$85,4,FALSE),"")</f>
        <v>228.58</v>
      </c>
      <c r="I782">
        <f>IFERROR(VLOOKUP(B782,'Pre-Summary'!$AE$6:$AJ$85,5,FALSE),"")</f>
        <v>0</v>
      </c>
      <c r="J782" s="45">
        <f>IFERROR(VLOOKUP(B782,'Pre-Summary'!$AE$6:$AJ$85,6, FALSE),"")</f>
        <v>1292.707185</v>
      </c>
      <c r="K782" s="45" t="str">
        <f>IFERROR(VLOOKUP(B782,'Pre-Summary'!$DE$6:$DG$61,3,FALSE),"")</f>
        <v/>
      </c>
      <c r="L782" s="45" t="str">
        <f>IFERROR(VLOOKUP(B782,'Pre-Summary'!$CU$6:$CW$36,3,FALSE),"")</f>
        <v/>
      </c>
      <c r="M782" s="45" t="str">
        <f>IFERROR(VLOOKUP(B782,'Pre-Summary'!$BW$6:$BY$58,2,FALSE),"")</f>
        <v/>
      </c>
      <c r="N782" s="45" t="str">
        <f>IFERROR(VLOOKUP(B782,'Pre-Summary'!$CD$6:$CF$64,2,FALSE),"")</f>
        <v/>
      </c>
      <c r="O782" s="99">
        <f>IFERROR(VLOOKUP(B782,'Pre-Summary'!$BO$6:$BQ$48,3, FALSE),O781)</f>
        <v>1</v>
      </c>
      <c r="P782" s="99">
        <f>IFERROR(VLOOKUP(B782,'Pre-Summary'!$BS$6:$BU$35,3,FALSE),P781)</f>
        <v>0.25</v>
      </c>
      <c r="Q782" s="54">
        <f t="shared" si="36"/>
        <v>4</v>
      </c>
      <c r="R782" s="53">
        <f>IFERROR(VLOOKUP(B782,'Pre-Summary'!$BG$6:$BM$44,7,FALSE),R783)</f>
        <v>0.10617362811310796</v>
      </c>
      <c r="S782" s="53">
        <f>IFERROR(VLOOKUP(B782,'Pre-Summary'!$BG$6:$BM$44,6,FALSE),S783)</f>
        <v>9.9527233330079901E-2</v>
      </c>
      <c r="T782" s="45" t="str">
        <f>IFERROR(VLOOKUP(B782,'Pre-Summary'!$Y$6:$AC$83, 3,FALSE),"")</f>
        <v/>
      </c>
      <c r="U782" s="45" t="str">
        <f>IFERROR(VLOOKUP(B782,'Pre-Summary'!$Y$6:$AC$83, 4,FALSE),"")</f>
        <v/>
      </c>
      <c r="V782" t="str">
        <f>IFERROR(VLOOKUP(B782,'Pre-Summary'!$Y$6:$AC$83, 5,FALSE),"")</f>
        <v/>
      </c>
      <c r="W782" s="45" t="str">
        <f>IFERROR(VLOOKUP(B782,'Pre-Summary'!$Y$6:$AD$83,6,FALSE),"")</f>
        <v/>
      </c>
      <c r="X782" t="str">
        <f>IFERROR(VLOOKUP('Pre-Summary'!$DB$6:$DD$63,3,FALSE),"")</f>
        <v/>
      </c>
      <c r="Y782" t="str">
        <f>IFERROR(VLOOKUP(B782,'Pre-Summary'!$CR$6:$CT$36,3,FALSE),"")</f>
        <v/>
      </c>
      <c r="Z782" s="45" t="str">
        <f>IFERROR(VLOOKUP(B782,'Pre-Summary'!$BZ$6:$CB$63,2,FALSE),"")</f>
        <v/>
      </c>
      <c r="AA782" s="45" t="str">
        <f>IFERROR(VLOOKUP(B782,'Pre-Summary'!$CG$6:$CI$70,2,FALSE),"")</f>
        <v/>
      </c>
      <c r="AB782" s="99">
        <f>IFERROR(VLOOKUP(B782,'Pre-Summary'!$A$6:$P$178,9,FALSE),AB783)</f>
        <v>0.86523914835158122</v>
      </c>
      <c r="AC782" s="10">
        <f>IFERROR(VLOOKUP(Summary!B782,'Pre-Summary'!$A$6:$P$184,5, FALSE)/100,AC783)</f>
        <v>0.62433033333333332</v>
      </c>
      <c r="AD782" s="10">
        <f>IFERROR(VLOOKUP(Summary!B782,'Pre-Summary'!$A$6:$P$184,3, FALSE)/100,AD783)</f>
        <v>0.16252</v>
      </c>
      <c r="AE782" s="10">
        <f>IFERROR(VLOOKUP(Summary!B782,'Pre-Summary'!$A$6:$P$184,7, FALSE)/100,AE783)</f>
        <v>0.21314966666666668</v>
      </c>
      <c r="AF782" s="99">
        <f t="shared" si="37"/>
        <v>0.14061866639009898</v>
      </c>
      <c r="AG782" s="99">
        <f t="shared" si="38"/>
        <v>0.18442543605809009</v>
      </c>
      <c r="AH782" s="10" t="str">
        <f>IFERROR(VLOOKUP(B782,'Pre-Summary'!$AZ$6:$BE$65,3,FALSE),"")</f>
        <v/>
      </c>
      <c r="AI782" s="10" t="str">
        <f>IFERROR(VLOOKUP(B782,'Pre-Summary'!$AZ$6:$BE$65,5,FALSE),"")</f>
        <v/>
      </c>
      <c r="AJ782" s="10" t="str">
        <f>IFERROR(VLOOKUP(B782,'Pre-Summary'!$AZ$6:$BE$65,4,FALSE),"")</f>
        <v/>
      </c>
      <c r="AK782" s="10" t="str">
        <f>IFERROR(VLOOKUP(B782,'Pre-Summary'!$AZ$6:$BE$65,6,FALSE),"")</f>
        <v/>
      </c>
      <c r="AL782" s="10" t="str">
        <f>IFERROR(VLOOKUP(B782,'Pre-Summary'!$BG$6:$BL$44,3,FALSE),"")</f>
        <v/>
      </c>
      <c r="AM782" s="10" t="str">
        <f>IFERROR(VLOOKUP(B782,'Pre-Summary'!$BG$6:$BL$44,4,FALSE),"")</f>
        <v/>
      </c>
    </row>
    <row r="783" spans="2:39" ht="15" customHeight="1" x14ac:dyDescent="0.3">
      <c r="B783">
        <v>78</v>
      </c>
      <c r="C783" t="str">
        <f>IFERROR(VLOOKUP(B783,'Pre-Summary'!$DI$6:$DM$23,4,FALSE),"")</f>
        <v/>
      </c>
      <c r="D783" s="10" t="str">
        <f>IFERROR(VLOOKUP(B783,'Pre-Summary'!$AT$6:$AX$14,5,FALSE),D782)</f>
        <v>DSMZ v2: Dropped Na-Ac out of DSMZ 120 media</v>
      </c>
      <c r="E783" s="10" t="str">
        <f>IFERROR(VLOOKUP(B783,'Pre-Summary'!$AT$6:$AX$15,4,FALSE),"")</f>
        <v/>
      </c>
      <c r="F783">
        <f>IFERROR(VLOOKUP(B783,'Pre-Summary'!$AL$6:$AQ$13,6,FALSE),F782)</f>
        <v>5.9405263157894746E-2</v>
      </c>
      <c r="G783" t="str">
        <f>IFERROR(VLOOKUP(B783,'Pre-Summary'!$AE$6:$AJ$85,3,FALSE),"")</f>
        <v/>
      </c>
      <c r="H783" t="str">
        <f>IFERROR(VLOOKUP(B783,'Pre-Summary'!$AE$6:$AJ$85,4,FALSE),"")</f>
        <v/>
      </c>
      <c r="I783" t="str">
        <f>IFERROR(VLOOKUP(B783,'Pre-Summary'!$AE$6:$AJ$85,5,FALSE),"")</f>
        <v/>
      </c>
      <c r="J783" s="45" t="str">
        <f>IFERROR(VLOOKUP(B783,'Pre-Summary'!$AE$6:$AJ$85,6, FALSE),"")</f>
        <v/>
      </c>
      <c r="K783" s="45" t="str">
        <f>IFERROR(VLOOKUP(B783,'Pre-Summary'!$DE$6:$DG$61,3,FALSE),"")</f>
        <v/>
      </c>
      <c r="L783" s="45" t="str">
        <f>IFERROR(VLOOKUP(B783,'Pre-Summary'!$CU$6:$CW$36,3,FALSE),"")</f>
        <v/>
      </c>
      <c r="M783" s="45" t="str">
        <f>IFERROR(VLOOKUP(B783,'Pre-Summary'!$BW$6:$BY$58,2,FALSE),"")</f>
        <v/>
      </c>
      <c r="N783" s="45" t="str">
        <f>IFERROR(VLOOKUP(B783,'Pre-Summary'!$CD$6:$CF$64,2,FALSE),"")</f>
        <v/>
      </c>
      <c r="O783" s="99">
        <f>IFERROR(VLOOKUP(B783,'Pre-Summary'!$BO$6:$BQ$48,3, FALSE),O782)</f>
        <v>1</v>
      </c>
      <c r="P783" s="99">
        <f>IFERROR(VLOOKUP(B783,'Pre-Summary'!$BS$6:$BU$35,3,FALSE),P782)</f>
        <v>0.25</v>
      </c>
      <c r="Q783" s="54">
        <f t="shared" si="36"/>
        <v>4</v>
      </c>
      <c r="R783" s="53">
        <f>IFERROR(VLOOKUP(B783,'Pre-Summary'!$BG$6:$BM$44,7,FALSE),R784)</f>
        <v>0.10617362811310796</v>
      </c>
      <c r="S783" s="53">
        <f>IFERROR(VLOOKUP(B783,'Pre-Summary'!$BG$6:$BM$44,6,FALSE),S784)</f>
        <v>9.9527233330079901E-2</v>
      </c>
      <c r="T783" s="45" t="str">
        <f>IFERROR(VLOOKUP(B783,'Pre-Summary'!$Y$6:$AC$83, 3,FALSE),"")</f>
        <v/>
      </c>
      <c r="U783" s="45" t="str">
        <f>IFERROR(VLOOKUP(B783,'Pre-Summary'!$Y$6:$AC$83, 4,FALSE),"")</f>
        <v/>
      </c>
      <c r="V783" t="str">
        <f>IFERROR(VLOOKUP(B783,'Pre-Summary'!$Y$6:$AC$83, 5,FALSE),"")</f>
        <v/>
      </c>
      <c r="W783" s="45" t="str">
        <f>IFERROR(VLOOKUP(B783,'Pre-Summary'!$Y$6:$AD$83,6,FALSE),"")</f>
        <v/>
      </c>
      <c r="X783" t="str">
        <f>IFERROR(VLOOKUP('Pre-Summary'!$DB$6:$DD$63,3,FALSE),"")</f>
        <v/>
      </c>
      <c r="Y783" t="str">
        <f>IFERROR(VLOOKUP(B783,'Pre-Summary'!$CR$6:$CT$36,3,FALSE),"")</f>
        <v/>
      </c>
      <c r="Z783" s="45" t="str">
        <f>IFERROR(VLOOKUP(B783,'Pre-Summary'!$BZ$6:$CB$63,2,FALSE),"")</f>
        <v/>
      </c>
      <c r="AA783" s="45" t="str">
        <f>IFERROR(VLOOKUP(B783,'Pre-Summary'!$CG$6:$CI$70,2,FALSE),"")</f>
        <v/>
      </c>
      <c r="AB783" s="99">
        <f>IFERROR(VLOOKUP(B783,'Pre-Summary'!$A$6:$P$178,9,FALSE),AB784)</f>
        <v>0.86523914835158122</v>
      </c>
      <c r="AC783" s="10">
        <f>IFERROR(VLOOKUP(Summary!B783,'Pre-Summary'!$A$6:$P$184,5, FALSE)/100,AC784)</f>
        <v>0.62433033333333332</v>
      </c>
      <c r="AD783" s="10">
        <f>IFERROR(VLOOKUP(Summary!B783,'Pre-Summary'!$A$6:$P$184,3, FALSE)/100,AD784)</f>
        <v>0.16252</v>
      </c>
      <c r="AE783" s="10">
        <f>IFERROR(VLOOKUP(Summary!B783,'Pre-Summary'!$A$6:$P$184,7, FALSE)/100,AE784)</f>
        <v>0.21314966666666668</v>
      </c>
      <c r="AF783" s="99">
        <f t="shared" si="37"/>
        <v>0.14061866639009898</v>
      </c>
      <c r="AG783" s="99">
        <f t="shared" si="38"/>
        <v>0.18442543605809009</v>
      </c>
      <c r="AH783" s="10" t="str">
        <f>IFERROR(VLOOKUP(B783,'Pre-Summary'!$AZ$6:$BE$65,3,FALSE),"")</f>
        <v/>
      </c>
      <c r="AI783" s="10" t="str">
        <f>IFERROR(VLOOKUP(B783,'Pre-Summary'!$AZ$6:$BE$65,5,FALSE),"")</f>
        <v/>
      </c>
      <c r="AJ783" s="10" t="str">
        <f>IFERROR(VLOOKUP(B783,'Pre-Summary'!$AZ$6:$BE$65,4,FALSE),"")</f>
        <v/>
      </c>
      <c r="AK783" s="10" t="str">
        <f>IFERROR(VLOOKUP(B783,'Pre-Summary'!$AZ$6:$BE$65,6,FALSE),"")</f>
        <v/>
      </c>
      <c r="AL783" s="10" t="str">
        <f>IFERROR(VLOOKUP(B783,'Pre-Summary'!$BG$6:$BL$44,3,FALSE),"")</f>
        <v/>
      </c>
      <c r="AM783" s="10" t="str">
        <f>IFERROR(VLOOKUP(B783,'Pre-Summary'!$BG$6:$BL$44,4,FALSE),"")</f>
        <v/>
      </c>
    </row>
    <row r="784" spans="2:39" ht="15" customHeight="1" x14ac:dyDescent="0.3">
      <c r="B784">
        <v>78.099999999999994</v>
      </c>
      <c r="C784" t="str">
        <f>IFERROR(VLOOKUP(B784,'Pre-Summary'!$DI$6:$DM$23,4,FALSE),"")</f>
        <v/>
      </c>
      <c r="D784" s="10" t="str">
        <f>IFERROR(VLOOKUP(B784,'Pre-Summary'!$AT$6:$AX$14,5,FALSE),D783)</f>
        <v>DSMZ v2: Dropped Na-Ac out of DSMZ 120 media</v>
      </c>
      <c r="E784" s="10" t="str">
        <f>IFERROR(VLOOKUP(B784,'Pre-Summary'!$AT$6:$AX$15,4,FALSE),"")</f>
        <v/>
      </c>
      <c r="F784">
        <f>IFERROR(VLOOKUP(B784,'Pre-Summary'!$AL$6:$AQ$13,6,FALSE),F783)</f>
        <v>5.9405263157894746E-2</v>
      </c>
      <c r="G784" t="str">
        <f>IFERROR(VLOOKUP(B784,'Pre-Summary'!$AE$6:$AJ$85,3,FALSE),"")</f>
        <v/>
      </c>
      <c r="H784" t="str">
        <f>IFERROR(VLOOKUP(B784,'Pre-Summary'!$AE$6:$AJ$85,4,FALSE),"")</f>
        <v/>
      </c>
      <c r="I784" t="str">
        <f>IFERROR(VLOOKUP(B784,'Pre-Summary'!$AE$6:$AJ$85,5,FALSE),"")</f>
        <v/>
      </c>
      <c r="J784" s="45" t="str">
        <f>IFERROR(VLOOKUP(B784,'Pre-Summary'!$AE$6:$AJ$85,6, FALSE),"")</f>
        <v/>
      </c>
      <c r="K784" s="45" t="str">
        <f>IFERROR(VLOOKUP(B784,'Pre-Summary'!$DE$6:$DG$61,3,FALSE),"")</f>
        <v/>
      </c>
      <c r="L784" s="45" t="str">
        <f>IFERROR(VLOOKUP(B784,'Pre-Summary'!$CU$6:$CW$36,3,FALSE),"")</f>
        <v/>
      </c>
      <c r="M784" s="45" t="str">
        <f>IFERROR(VLOOKUP(B784,'Pre-Summary'!$BW$6:$BY$58,2,FALSE),"")</f>
        <v/>
      </c>
      <c r="N784" s="45" t="str">
        <f>IFERROR(VLOOKUP(B784,'Pre-Summary'!$CD$6:$CF$64,2,FALSE),"")</f>
        <v/>
      </c>
      <c r="O784" s="99">
        <f>IFERROR(VLOOKUP(B784,'Pre-Summary'!$BO$6:$BQ$48,3, FALSE),O783)</f>
        <v>1</v>
      </c>
      <c r="P784" s="99">
        <f>IFERROR(VLOOKUP(B784,'Pre-Summary'!$BS$6:$BU$35,3,FALSE),P783)</f>
        <v>0.25</v>
      </c>
      <c r="Q784" s="54">
        <f t="shared" si="36"/>
        <v>4</v>
      </c>
      <c r="R784" s="53">
        <f>IFERROR(VLOOKUP(B784,'Pre-Summary'!$BG$6:$BM$44,7,FALSE),R785)</f>
        <v>0.10617362811310796</v>
      </c>
      <c r="S784" s="53">
        <f>IFERROR(VLOOKUP(B784,'Pre-Summary'!$BG$6:$BM$44,6,FALSE),S785)</f>
        <v>9.9527233330079901E-2</v>
      </c>
      <c r="T784" s="45" t="str">
        <f>IFERROR(VLOOKUP(B784,'Pre-Summary'!$Y$6:$AC$83, 3,FALSE),"")</f>
        <v/>
      </c>
      <c r="U784" s="45" t="str">
        <f>IFERROR(VLOOKUP(B784,'Pre-Summary'!$Y$6:$AC$83, 4,FALSE),"")</f>
        <v/>
      </c>
      <c r="V784" t="str">
        <f>IFERROR(VLOOKUP(B784,'Pre-Summary'!$Y$6:$AC$83, 5,FALSE),"")</f>
        <v/>
      </c>
      <c r="W784" s="45" t="str">
        <f>IFERROR(VLOOKUP(B784,'Pre-Summary'!$Y$6:$AD$83,6,FALSE),"")</f>
        <v/>
      </c>
      <c r="X784" t="str">
        <f>IFERROR(VLOOKUP('Pre-Summary'!$DB$6:$DD$63,3,FALSE),"")</f>
        <v/>
      </c>
      <c r="Y784" t="str">
        <f>IFERROR(VLOOKUP(B784,'Pre-Summary'!$CR$6:$CT$36,3,FALSE),"")</f>
        <v/>
      </c>
      <c r="Z784" s="45" t="str">
        <f>IFERROR(VLOOKUP(B784,'Pre-Summary'!$BZ$6:$CB$63,2,FALSE),"")</f>
        <v/>
      </c>
      <c r="AA784" s="45" t="str">
        <f>IFERROR(VLOOKUP(B784,'Pre-Summary'!$CG$6:$CI$70,2,FALSE),"")</f>
        <v/>
      </c>
      <c r="AB784" s="99">
        <f>IFERROR(VLOOKUP(B784,'Pre-Summary'!$A$6:$P$178,9,FALSE),AB785)</f>
        <v>0.86523914835158122</v>
      </c>
      <c r="AC784" s="10">
        <f>IFERROR(VLOOKUP(Summary!B784,'Pre-Summary'!$A$6:$P$184,5, FALSE)/100,AC785)</f>
        <v>0.62433033333333332</v>
      </c>
      <c r="AD784" s="10">
        <f>IFERROR(VLOOKUP(Summary!B784,'Pre-Summary'!$A$6:$P$184,3, FALSE)/100,AD785)</f>
        <v>0.16252</v>
      </c>
      <c r="AE784" s="10">
        <f>IFERROR(VLOOKUP(Summary!B784,'Pre-Summary'!$A$6:$P$184,7, FALSE)/100,AE785)</f>
        <v>0.21314966666666668</v>
      </c>
      <c r="AF784" s="99">
        <f t="shared" si="37"/>
        <v>0.14061866639009898</v>
      </c>
      <c r="AG784" s="99">
        <f t="shared" si="38"/>
        <v>0.18442543605809009</v>
      </c>
      <c r="AH784" s="10" t="str">
        <f>IFERROR(VLOOKUP(B784,'Pre-Summary'!$AZ$6:$BE$65,3,FALSE),"")</f>
        <v/>
      </c>
      <c r="AI784" s="10" t="str">
        <f>IFERROR(VLOOKUP(B784,'Pre-Summary'!$AZ$6:$BE$65,5,FALSE),"")</f>
        <v/>
      </c>
      <c r="AJ784" s="10" t="str">
        <f>IFERROR(VLOOKUP(B784,'Pre-Summary'!$AZ$6:$BE$65,4,FALSE),"")</f>
        <v/>
      </c>
      <c r="AK784" s="10" t="str">
        <f>IFERROR(VLOOKUP(B784,'Pre-Summary'!$AZ$6:$BE$65,6,FALSE),"")</f>
        <v/>
      </c>
      <c r="AL784" s="10" t="str">
        <f>IFERROR(VLOOKUP(B784,'Pre-Summary'!$BG$6:$BL$44,3,FALSE),"")</f>
        <v/>
      </c>
      <c r="AM784" s="10" t="str">
        <f>IFERROR(VLOOKUP(B784,'Pre-Summary'!$BG$6:$BL$44,4,FALSE),"")</f>
        <v/>
      </c>
    </row>
    <row r="785" spans="2:39" ht="15" customHeight="1" x14ac:dyDescent="0.3">
      <c r="B785">
        <v>78.2</v>
      </c>
      <c r="C785" t="str">
        <f>IFERROR(VLOOKUP(B785,'Pre-Summary'!$DI$6:$DM$23,4,FALSE),"")</f>
        <v/>
      </c>
      <c r="D785" s="10" t="str">
        <f>IFERROR(VLOOKUP(B785,'Pre-Summary'!$AT$6:$AX$14,5,FALSE),D784)</f>
        <v>DSMZ v2: Dropped Na-Ac out of DSMZ 120 media</v>
      </c>
      <c r="E785" s="10" t="str">
        <f>IFERROR(VLOOKUP(B785,'Pre-Summary'!$AT$6:$AX$15,4,FALSE),"")</f>
        <v/>
      </c>
      <c r="F785">
        <f>IFERROR(VLOOKUP(B785,'Pre-Summary'!$AL$6:$AQ$13,6,FALSE),F784)</f>
        <v>5.9405263157894746E-2</v>
      </c>
      <c r="G785" t="str">
        <f>IFERROR(VLOOKUP(B785,'Pre-Summary'!$AE$6:$AJ$85,3,FALSE),"")</f>
        <v/>
      </c>
      <c r="H785" t="str">
        <f>IFERROR(VLOOKUP(B785,'Pre-Summary'!$AE$6:$AJ$85,4,FALSE),"")</f>
        <v/>
      </c>
      <c r="I785" t="str">
        <f>IFERROR(VLOOKUP(B785,'Pre-Summary'!$AE$6:$AJ$85,5,FALSE),"")</f>
        <v/>
      </c>
      <c r="J785" s="45" t="str">
        <f>IFERROR(VLOOKUP(B785,'Pre-Summary'!$AE$6:$AJ$85,6, FALSE),"")</f>
        <v/>
      </c>
      <c r="K785" s="45" t="str">
        <f>IFERROR(VLOOKUP(B785,'Pre-Summary'!$DE$6:$DG$61,3,FALSE),"")</f>
        <v/>
      </c>
      <c r="L785" s="45" t="str">
        <f>IFERROR(VLOOKUP(B785,'Pre-Summary'!$CU$6:$CW$36,3,FALSE),"")</f>
        <v/>
      </c>
      <c r="M785" s="45" t="str">
        <f>IFERROR(VLOOKUP(B785,'Pre-Summary'!$BW$6:$BY$58,2,FALSE),"")</f>
        <v/>
      </c>
      <c r="N785" s="45" t="str">
        <f>IFERROR(VLOOKUP(B785,'Pre-Summary'!$CD$6:$CF$64,2,FALSE),"")</f>
        <v/>
      </c>
      <c r="O785" s="99">
        <f>IFERROR(VLOOKUP(B785,'Pre-Summary'!$BO$6:$BQ$48,3, FALSE),O784)</f>
        <v>1</v>
      </c>
      <c r="P785" s="99">
        <f>IFERROR(VLOOKUP(B785,'Pre-Summary'!$BS$6:$BU$35,3,FALSE),P784)</f>
        <v>0.25</v>
      </c>
      <c r="Q785" s="54">
        <f t="shared" si="36"/>
        <v>4</v>
      </c>
      <c r="R785" s="53">
        <f>IFERROR(VLOOKUP(B785,'Pre-Summary'!$BG$6:$BM$44,7,FALSE),R786)</f>
        <v>0.10617362811310796</v>
      </c>
      <c r="S785" s="53">
        <f>IFERROR(VLOOKUP(B785,'Pre-Summary'!$BG$6:$BM$44,6,FALSE),S786)</f>
        <v>9.9527233330079901E-2</v>
      </c>
      <c r="T785" s="45" t="str">
        <f>IFERROR(VLOOKUP(B785,'Pre-Summary'!$Y$6:$AC$83, 3,FALSE),"")</f>
        <v/>
      </c>
      <c r="U785" s="45" t="str">
        <f>IFERROR(VLOOKUP(B785,'Pre-Summary'!$Y$6:$AC$83, 4,FALSE),"")</f>
        <v/>
      </c>
      <c r="V785" t="str">
        <f>IFERROR(VLOOKUP(B785,'Pre-Summary'!$Y$6:$AC$83, 5,FALSE),"")</f>
        <v/>
      </c>
      <c r="W785" s="45" t="str">
        <f>IFERROR(VLOOKUP(B785,'Pre-Summary'!$Y$6:$AD$83,6,FALSE),"")</f>
        <v/>
      </c>
      <c r="X785" t="str">
        <f>IFERROR(VLOOKUP('Pre-Summary'!$DB$6:$DD$63,3,FALSE),"")</f>
        <v/>
      </c>
      <c r="Y785" t="str">
        <f>IFERROR(VLOOKUP(B785,'Pre-Summary'!$CR$6:$CT$36,3,FALSE),"")</f>
        <v/>
      </c>
      <c r="Z785" s="45" t="str">
        <f>IFERROR(VLOOKUP(B785,'Pre-Summary'!$BZ$6:$CB$63,2,FALSE),"")</f>
        <v/>
      </c>
      <c r="AA785" s="45" t="str">
        <f>IFERROR(VLOOKUP(B785,'Pre-Summary'!$CG$6:$CI$70,2,FALSE),"")</f>
        <v/>
      </c>
      <c r="AB785" s="99">
        <f>IFERROR(VLOOKUP(B785,'Pre-Summary'!$A$6:$P$178,9,FALSE),AB786)</f>
        <v>0.86523914835158122</v>
      </c>
      <c r="AC785" s="10">
        <f>IFERROR(VLOOKUP(Summary!B785,'Pre-Summary'!$A$6:$P$184,5, FALSE)/100,AC786)</f>
        <v>0.62433033333333332</v>
      </c>
      <c r="AD785" s="10">
        <f>IFERROR(VLOOKUP(Summary!B785,'Pre-Summary'!$A$6:$P$184,3, FALSE)/100,AD786)</f>
        <v>0.16252</v>
      </c>
      <c r="AE785" s="10">
        <f>IFERROR(VLOOKUP(Summary!B785,'Pre-Summary'!$A$6:$P$184,7, FALSE)/100,AE786)</f>
        <v>0.21314966666666668</v>
      </c>
      <c r="AF785" s="99">
        <f t="shared" si="37"/>
        <v>0.14061866639009898</v>
      </c>
      <c r="AG785" s="99">
        <f t="shared" si="38"/>
        <v>0.18442543605809009</v>
      </c>
      <c r="AH785" s="10" t="str">
        <f>IFERROR(VLOOKUP(B785,'Pre-Summary'!$AZ$6:$BE$65,3,FALSE),"")</f>
        <v/>
      </c>
      <c r="AI785" s="10" t="str">
        <f>IFERROR(VLOOKUP(B785,'Pre-Summary'!$AZ$6:$BE$65,5,FALSE),"")</f>
        <v/>
      </c>
      <c r="AJ785" s="10" t="str">
        <f>IFERROR(VLOOKUP(B785,'Pre-Summary'!$AZ$6:$BE$65,4,FALSE),"")</f>
        <v/>
      </c>
      <c r="AK785" s="10" t="str">
        <f>IFERROR(VLOOKUP(B785,'Pre-Summary'!$AZ$6:$BE$65,6,FALSE),"")</f>
        <v/>
      </c>
      <c r="AL785" s="10" t="str">
        <f>IFERROR(VLOOKUP(B785,'Pre-Summary'!$BG$6:$BL$44,3,FALSE),"")</f>
        <v/>
      </c>
      <c r="AM785" s="10" t="str">
        <f>IFERROR(VLOOKUP(B785,'Pre-Summary'!$BG$6:$BL$44,4,FALSE),"")</f>
        <v/>
      </c>
    </row>
    <row r="786" spans="2:39" ht="15" customHeight="1" x14ac:dyDescent="0.3">
      <c r="B786">
        <v>78.3</v>
      </c>
      <c r="C786" t="str">
        <f>IFERROR(VLOOKUP(B786,'Pre-Summary'!$DI$6:$DM$23,4,FALSE),"")</f>
        <v/>
      </c>
      <c r="D786" s="10" t="str">
        <f>IFERROR(VLOOKUP(B786,'Pre-Summary'!$AT$6:$AX$14,5,FALSE),D785)</f>
        <v>DSMZ v2: Dropped Na-Ac out of DSMZ 120 media</v>
      </c>
      <c r="E786" s="10" t="str">
        <f>IFERROR(VLOOKUP(B786,'Pre-Summary'!$AT$6:$AX$15,4,FALSE),"")</f>
        <v/>
      </c>
      <c r="F786">
        <f>IFERROR(VLOOKUP(B786,'Pre-Summary'!$AL$6:$AQ$13,6,FALSE),F785)</f>
        <v>5.9405263157894746E-2</v>
      </c>
      <c r="G786" t="str">
        <f>IFERROR(VLOOKUP(B786,'Pre-Summary'!$AE$6:$AJ$85,3,FALSE),"")</f>
        <v/>
      </c>
      <c r="H786" t="str">
        <f>IFERROR(VLOOKUP(B786,'Pre-Summary'!$AE$6:$AJ$85,4,FALSE),"")</f>
        <v/>
      </c>
      <c r="I786" t="str">
        <f>IFERROR(VLOOKUP(B786,'Pre-Summary'!$AE$6:$AJ$85,5,FALSE),"")</f>
        <v/>
      </c>
      <c r="J786" s="45" t="str">
        <f>IFERROR(VLOOKUP(B786,'Pre-Summary'!$AE$6:$AJ$85,6, FALSE),"")</f>
        <v/>
      </c>
      <c r="K786" s="45" t="str">
        <f>IFERROR(VLOOKUP(B786,'Pre-Summary'!$DE$6:$DG$61,3,FALSE),"")</f>
        <v/>
      </c>
      <c r="L786" s="45" t="str">
        <f>IFERROR(VLOOKUP(B786,'Pre-Summary'!$CU$6:$CW$36,3,FALSE),"")</f>
        <v/>
      </c>
      <c r="M786" s="45" t="str">
        <f>IFERROR(VLOOKUP(B786,'Pre-Summary'!$BW$6:$BY$58,2,FALSE),"")</f>
        <v/>
      </c>
      <c r="N786" s="45" t="str">
        <f>IFERROR(VLOOKUP(B786,'Pre-Summary'!$CD$6:$CF$64,2,FALSE),"")</f>
        <v/>
      </c>
      <c r="O786" s="99">
        <f>IFERROR(VLOOKUP(B786,'Pre-Summary'!$BO$6:$BQ$48,3, FALSE),O785)</f>
        <v>1</v>
      </c>
      <c r="P786" s="99">
        <f>IFERROR(VLOOKUP(B786,'Pre-Summary'!$BS$6:$BU$35,3,FALSE),P785)</f>
        <v>0.25</v>
      </c>
      <c r="Q786" s="54">
        <f t="shared" si="36"/>
        <v>4</v>
      </c>
      <c r="R786" s="53">
        <f>IFERROR(VLOOKUP(B786,'Pre-Summary'!$BG$6:$BM$44,7,FALSE),R787)</f>
        <v>0.10617362811310796</v>
      </c>
      <c r="S786" s="53">
        <f>IFERROR(VLOOKUP(B786,'Pre-Summary'!$BG$6:$BM$44,6,FALSE),S787)</f>
        <v>9.9527233330079901E-2</v>
      </c>
      <c r="T786" s="45" t="str">
        <f>IFERROR(VLOOKUP(B786,'Pre-Summary'!$Y$6:$AC$83, 3,FALSE),"")</f>
        <v/>
      </c>
      <c r="U786" s="45" t="str">
        <f>IFERROR(VLOOKUP(B786,'Pre-Summary'!$Y$6:$AC$83, 4,FALSE),"")</f>
        <v/>
      </c>
      <c r="V786" t="str">
        <f>IFERROR(VLOOKUP(B786,'Pre-Summary'!$Y$6:$AC$83, 5,FALSE),"")</f>
        <v/>
      </c>
      <c r="W786" s="45" t="str">
        <f>IFERROR(VLOOKUP(B786,'Pre-Summary'!$Y$6:$AD$83,6,FALSE),"")</f>
        <v/>
      </c>
      <c r="X786" t="str">
        <f>IFERROR(VLOOKUP('Pre-Summary'!$DB$6:$DD$63,3,FALSE),"")</f>
        <v/>
      </c>
      <c r="Y786" t="str">
        <f>IFERROR(VLOOKUP(B786,'Pre-Summary'!$CR$6:$CT$36,3,FALSE),"")</f>
        <v/>
      </c>
      <c r="Z786" s="45" t="str">
        <f>IFERROR(VLOOKUP(B786,'Pre-Summary'!$BZ$6:$CB$63,2,FALSE),"")</f>
        <v/>
      </c>
      <c r="AA786" s="45" t="str">
        <f>IFERROR(VLOOKUP(B786,'Pre-Summary'!$CG$6:$CI$70,2,FALSE),"")</f>
        <v/>
      </c>
      <c r="AB786" s="99">
        <f>IFERROR(VLOOKUP(B786,'Pre-Summary'!$A$6:$P$178,9,FALSE),AB787)</f>
        <v>0.86523914835158122</v>
      </c>
      <c r="AC786" s="10">
        <f>IFERROR(VLOOKUP(Summary!B786,'Pre-Summary'!$A$6:$P$184,5, FALSE)/100,AC787)</f>
        <v>0.62433033333333332</v>
      </c>
      <c r="AD786" s="10">
        <f>IFERROR(VLOOKUP(Summary!B786,'Pre-Summary'!$A$6:$P$184,3, FALSE)/100,AD787)</f>
        <v>0.16252</v>
      </c>
      <c r="AE786" s="10">
        <f>IFERROR(VLOOKUP(Summary!B786,'Pre-Summary'!$A$6:$P$184,7, FALSE)/100,AE787)</f>
        <v>0.21314966666666668</v>
      </c>
      <c r="AF786" s="99">
        <f t="shared" si="37"/>
        <v>0.14061866639009898</v>
      </c>
      <c r="AG786" s="99">
        <f t="shared" si="38"/>
        <v>0.18442543605809009</v>
      </c>
      <c r="AH786" s="10" t="str">
        <f>IFERROR(VLOOKUP(B786,'Pre-Summary'!$AZ$6:$BE$65,3,FALSE),"")</f>
        <v/>
      </c>
      <c r="AI786" s="10" t="str">
        <f>IFERROR(VLOOKUP(B786,'Pre-Summary'!$AZ$6:$BE$65,5,FALSE),"")</f>
        <v/>
      </c>
      <c r="AJ786" s="10" t="str">
        <f>IFERROR(VLOOKUP(B786,'Pre-Summary'!$AZ$6:$BE$65,4,FALSE),"")</f>
        <v/>
      </c>
      <c r="AK786" s="10" t="str">
        <f>IFERROR(VLOOKUP(B786,'Pre-Summary'!$AZ$6:$BE$65,6,FALSE),"")</f>
        <v/>
      </c>
      <c r="AL786" s="10" t="str">
        <f>IFERROR(VLOOKUP(B786,'Pre-Summary'!$BG$6:$BL$44,3,FALSE),"")</f>
        <v/>
      </c>
      <c r="AM786" s="10" t="str">
        <f>IFERROR(VLOOKUP(B786,'Pre-Summary'!$BG$6:$BL$44,4,FALSE),"")</f>
        <v/>
      </c>
    </row>
    <row r="787" spans="2:39" ht="15" customHeight="1" x14ac:dyDescent="0.3">
      <c r="B787">
        <v>78.400000000000006</v>
      </c>
      <c r="C787" t="str">
        <f>IFERROR(VLOOKUP(B787,'Pre-Summary'!$DI$6:$DM$23,4,FALSE),"")</f>
        <v/>
      </c>
      <c r="D787" s="10" t="str">
        <f>IFERROR(VLOOKUP(B787,'Pre-Summary'!$AT$6:$AX$14,5,FALSE),D786)</f>
        <v>DSMZ v2: Dropped Na-Ac out of DSMZ 120 media</v>
      </c>
      <c r="E787" s="10" t="str">
        <f>IFERROR(VLOOKUP(B787,'Pre-Summary'!$AT$6:$AX$15,4,FALSE),"")</f>
        <v/>
      </c>
      <c r="F787">
        <f>IFERROR(VLOOKUP(B787,'Pre-Summary'!$AL$6:$AQ$13,6,FALSE),F786)</f>
        <v>5.9405263157894746E-2</v>
      </c>
      <c r="G787" t="str">
        <f>IFERROR(VLOOKUP(B787,'Pre-Summary'!$AE$6:$AJ$85,3,FALSE),"")</f>
        <v/>
      </c>
      <c r="H787" t="str">
        <f>IFERROR(VLOOKUP(B787,'Pre-Summary'!$AE$6:$AJ$85,4,FALSE),"")</f>
        <v/>
      </c>
      <c r="I787" t="str">
        <f>IFERROR(VLOOKUP(B787,'Pre-Summary'!$AE$6:$AJ$85,5,FALSE),"")</f>
        <v/>
      </c>
      <c r="J787" s="45" t="str">
        <f>IFERROR(VLOOKUP(B787,'Pre-Summary'!$AE$6:$AJ$85,6, FALSE),"")</f>
        <v/>
      </c>
      <c r="K787" s="45" t="str">
        <f>IFERROR(VLOOKUP(B787,'Pre-Summary'!$DE$6:$DG$61,3,FALSE),"")</f>
        <v/>
      </c>
      <c r="L787" s="45" t="str">
        <f>IFERROR(VLOOKUP(B787,'Pre-Summary'!$CU$6:$CW$36,3,FALSE),"")</f>
        <v/>
      </c>
      <c r="M787" s="45" t="str">
        <f>IFERROR(VLOOKUP(B787,'Pre-Summary'!$BW$6:$BY$58,2,FALSE),"")</f>
        <v/>
      </c>
      <c r="N787" s="45" t="str">
        <f>IFERROR(VLOOKUP(B787,'Pre-Summary'!$CD$6:$CF$64,2,FALSE),"")</f>
        <v/>
      </c>
      <c r="O787" s="99">
        <f>IFERROR(VLOOKUP(B787,'Pre-Summary'!$BO$6:$BQ$48,3, FALSE),O786)</f>
        <v>1</v>
      </c>
      <c r="P787" s="99">
        <f>IFERROR(VLOOKUP(B787,'Pre-Summary'!$BS$6:$BU$35,3,FALSE),P786)</f>
        <v>0.25</v>
      </c>
      <c r="Q787" s="54">
        <f t="shared" si="36"/>
        <v>4</v>
      </c>
      <c r="R787" s="53">
        <f>IFERROR(VLOOKUP(B787,'Pre-Summary'!$BG$6:$BM$44,7,FALSE),R788)</f>
        <v>0.10617362811310796</v>
      </c>
      <c r="S787" s="53">
        <f>IFERROR(VLOOKUP(B787,'Pre-Summary'!$BG$6:$BM$44,6,FALSE),S788)</f>
        <v>9.9527233330079901E-2</v>
      </c>
      <c r="T787" s="45" t="str">
        <f>IFERROR(VLOOKUP(B787,'Pre-Summary'!$Y$6:$AC$83, 3,FALSE),"")</f>
        <v/>
      </c>
      <c r="U787" s="45" t="str">
        <f>IFERROR(VLOOKUP(B787,'Pre-Summary'!$Y$6:$AC$83, 4,FALSE),"")</f>
        <v/>
      </c>
      <c r="V787" t="str">
        <f>IFERROR(VLOOKUP(B787,'Pre-Summary'!$Y$6:$AC$83, 5,FALSE),"")</f>
        <v/>
      </c>
      <c r="W787" s="45" t="str">
        <f>IFERROR(VLOOKUP(B787,'Pre-Summary'!$Y$6:$AD$83,6,FALSE),"")</f>
        <v/>
      </c>
      <c r="X787" t="str">
        <f>IFERROR(VLOOKUP('Pre-Summary'!$DB$6:$DD$63,3,FALSE),"")</f>
        <v/>
      </c>
      <c r="Y787" t="str">
        <f>IFERROR(VLOOKUP(B787,'Pre-Summary'!$CR$6:$CT$36,3,FALSE),"")</f>
        <v/>
      </c>
      <c r="Z787" s="45" t="str">
        <f>IFERROR(VLOOKUP(B787,'Pre-Summary'!$BZ$6:$CB$63,2,FALSE),"")</f>
        <v/>
      </c>
      <c r="AA787" s="45" t="str">
        <f>IFERROR(VLOOKUP(B787,'Pre-Summary'!$CG$6:$CI$70,2,FALSE),"")</f>
        <v/>
      </c>
      <c r="AB787" s="99">
        <f>IFERROR(VLOOKUP(B787,'Pre-Summary'!$A$6:$P$178,9,FALSE),AB788)</f>
        <v>0.86523914835158122</v>
      </c>
      <c r="AC787" s="10">
        <f>IFERROR(VLOOKUP(Summary!B787,'Pre-Summary'!$A$6:$P$184,5, FALSE)/100,AC788)</f>
        <v>0.62433033333333332</v>
      </c>
      <c r="AD787" s="10">
        <f>IFERROR(VLOOKUP(Summary!B787,'Pre-Summary'!$A$6:$P$184,3, FALSE)/100,AD788)</f>
        <v>0.16252</v>
      </c>
      <c r="AE787" s="10">
        <f>IFERROR(VLOOKUP(Summary!B787,'Pre-Summary'!$A$6:$P$184,7, FALSE)/100,AE788)</f>
        <v>0.21314966666666668</v>
      </c>
      <c r="AF787" s="99">
        <f t="shared" si="37"/>
        <v>0.14061866639009898</v>
      </c>
      <c r="AG787" s="99">
        <f t="shared" si="38"/>
        <v>0.18442543605809009</v>
      </c>
      <c r="AH787" s="10" t="str">
        <f>IFERROR(VLOOKUP(B787,'Pre-Summary'!$AZ$6:$BE$65,3,FALSE),"")</f>
        <v/>
      </c>
      <c r="AI787" s="10" t="str">
        <f>IFERROR(VLOOKUP(B787,'Pre-Summary'!$AZ$6:$BE$65,5,FALSE),"")</f>
        <v/>
      </c>
      <c r="AJ787" s="10" t="str">
        <f>IFERROR(VLOOKUP(B787,'Pre-Summary'!$AZ$6:$BE$65,4,FALSE),"")</f>
        <v/>
      </c>
      <c r="AK787" s="10" t="str">
        <f>IFERROR(VLOOKUP(B787,'Pre-Summary'!$AZ$6:$BE$65,6,FALSE),"")</f>
        <v/>
      </c>
      <c r="AL787" s="10" t="str">
        <f>IFERROR(VLOOKUP(B787,'Pre-Summary'!$BG$6:$BL$44,3,FALSE),"")</f>
        <v/>
      </c>
      <c r="AM787" s="10" t="str">
        <f>IFERROR(VLOOKUP(B787,'Pre-Summary'!$BG$6:$BL$44,4,FALSE),"")</f>
        <v/>
      </c>
    </row>
    <row r="788" spans="2:39" ht="15" customHeight="1" x14ac:dyDescent="0.3">
      <c r="B788">
        <v>78.5</v>
      </c>
      <c r="C788" t="str">
        <f>IFERROR(VLOOKUP(B788,'Pre-Summary'!$DI$6:$DM$23,4,FALSE),"")</f>
        <v/>
      </c>
      <c r="D788" s="10" t="str">
        <f>IFERROR(VLOOKUP(B788,'Pre-Summary'!$AT$6:$AX$14,5,FALSE),D787)</f>
        <v>DSMZ v2: Dropped Na-Ac out of DSMZ 120 media</v>
      </c>
      <c r="E788" s="10" t="str">
        <f>IFERROR(VLOOKUP(B788,'Pre-Summary'!$AT$6:$AX$15,4,FALSE),"")</f>
        <v/>
      </c>
      <c r="F788">
        <f>IFERROR(VLOOKUP(B788,'Pre-Summary'!$AL$6:$AQ$13,6,FALSE),F787)</f>
        <v>5.9405263157894746E-2</v>
      </c>
      <c r="G788" t="str">
        <f>IFERROR(VLOOKUP(B788,'Pre-Summary'!$AE$6:$AJ$85,3,FALSE),"")</f>
        <v/>
      </c>
      <c r="H788" t="str">
        <f>IFERROR(VLOOKUP(B788,'Pre-Summary'!$AE$6:$AJ$85,4,FALSE),"")</f>
        <v/>
      </c>
      <c r="I788" t="str">
        <f>IFERROR(VLOOKUP(B788,'Pre-Summary'!$AE$6:$AJ$85,5,FALSE),"")</f>
        <v/>
      </c>
      <c r="J788" s="45" t="str">
        <f>IFERROR(VLOOKUP(B788,'Pre-Summary'!$AE$6:$AJ$85,6, FALSE),"")</f>
        <v/>
      </c>
      <c r="K788" s="45" t="str">
        <f>IFERROR(VLOOKUP(B788,'Pre-Summary'!$DE$6:$DG$61,3,FALSE),"")</f>
        <v/>
      </c>
      <c r="L788" s="45" t="str">
        <f>IFERROR(VLOOKUP(B788,'Pre-Summary'!$CU$6:$CW$36,3,FALSE),"")</f>
        <v/>
      </c>
      <c r="M788" s="45" t="str">
        <f>IFERROR(VLOOKUP(B788,'Pre-Summary'!$BW$6:$BY$58,2,FALSE),"")</f>
        <v/>
      </c>
      <c r="N788" s="45">
        <f>IFERROR(VLOOKUP(B788,'Pre-Summary'!$CD$6:$CF$64,2,FALSE),"")</f>
        <v>4950.4095575733445</v>
      </c>
      <c r="O788" s="99">
        <f>IFERROR(VLOOKUP(B788,'Pre-Summary'!$BO$6:$BQ$48,3, FALSE),O787)</f>
        <v>1</v>
      </c>
      <c r="P788" s="99">
        <f>IFERROR(VLOOKUP(B788,'Pre-Summary'!$BS$6:$BU$35,3,FALSE),P787)</f>
        <v>0.25</v>
      </c>
      <c r="Q788" s="54">
        <f t="shared" si="36"/>
        <v>4</v>
      </c>
      <c r="R788" s="53">
        <f>IFERROR(VLOOKUP(B788,'Pre-Summary'!$BG$6:$BM$44,7,FALSE),R789)</f>
        <v>0.10617362811310796</v>
      </c>
      <c r="S788" s="53">
        <f>IFERROR(VLOOKUP(B788,'Pre-Summary'!$BG$6:$BM$44,6,FALSE),S789)</f>
        <v>9.9527233330079901E-2</v>
      </c>
      <c r="T788" s="45" t="str">
        <f>IFERROR(VLOOKUP(B788,'Pre-Summary'!$Y$6:$AC$83, 3,FALSE),"")</f>
        <v/>
      </c>
      <c r="U788" s="45" t="str">
        <f>IFERROR(VLOOKUP(B788,'Pre-Summary'!$Y$6:$AC$83, 4,FALSE),"")</f>
        <v/>
      </c>
      <c r="V788" t="str">
        <f>IFERROR(VLOOKUP(B788,'Pre-Summary'!$Y$6:$AC$83, 5,FALSE),"")</f>
        <v/>
      </c>
      <c r="W788" s="45" t="str">
        <f>IFERROR(VLOOKUP(B788,'Pre-Summary'!$Y$6:$AD$83,6,FALSE),"")</f>
        <v/>
      </c>
      <c r="X788" t="str">
        <f>IFERROR(VLOOKUP('Pre-Summary'!$DB$6:$DD$63,3,FALSE),"")</f>
        <v/>
      </c>
      <c r="Y788" t="str">
        <f>IFERROR(VLOOKUP(B788,'Pre-Summary'!$CR$6:$CT$36,3,FALSE),"")</f>
        <v/>
      </c>
      <c r="Z788" s="45" t="str">
        <f>IFERROR(VLOOKUP(B788,'Pre-Summary'!$BZ$6:$CB$63,2,FALSE),"")</f>
        <v/>
      </c>
      <c r="AA788" s="45" t="str">
        <f>IFERROR(VLOOKUP(B788,'Pre-Summary'!$CG$6:$CI$70,2,FALSE),"")</f>
        <v/>
      </c>
      <c r="AB788" s="99">
        <f>IFERROR(VLOOKUP(B788,'Pre-Summary'!$A$6:$P$178,9,FALSE),AB789)</f>
        <v>0.86523914835158122</v>
      </c>
      <c r="AC788" s="10">
        <f>IFERROR(VLOOKUP(Summary!B788,'Pre-Summary'!$A$6:$P$184,5, FALSE)/100,AC789)</f>
        <v>0.62433033333333332</v>
      </c>
      <c r="AD788" s="10">
        <f>IFERROR(VLOOKUP(Summary!B788,'Pre-Summary'!$A$6:$P$184,3, FALSE)/100,AD789)</f>
        <v>0.16252</v>
      </c>
      <c r="AE788" s="10">
        <f>IFERROR(VLOOKUP(Summary!B788,'Pre-Summary'!$A$6:$P$184,7, FALSE)/100,AE789)</f>
        <v>0.21314966666666668</v>
      </c>
      <c r="AF788" s="99">
        <f t="shared" si="37"/>
        <v>0.14061866639009898</v>
      </c>
      <c r="AG788" s="99">
        <f t="shared" si="38"/>
        <v>0.18442543605809009</v>
      </c>
      <c r="AH788" s="10" t="str">
        <f>IFERROR(VLOOKUP(B788,'Pre-Summary'!$AZ$6:$BE$65,3,FALSE),"")</f>
        <v/>
      </c>
      <c r="AI788" s="10" t="str">
        <f>IFERROR(VLOOKUP(B788,'Pre-Summary'!$AZ$6:$BE$65,5,FALSE),"")</f>
        <v/>
      </c>
      <c r="AJ788" s="10" t="str">
        <f>IFERROR(VLOOKUP(B788,'Pre-Summary'!$AZ$6:$BE$65,4,FALSE),"")</f>
        <v/>
      </c>
      <c r="AK788" s="10" t="str">
        <f>IFERROR(VLOOKUP(B788,'Pre-Summary'!$AZ$6:$BE$65,6,FALSE),"")</f>
        <v/>
      </c>
      <c r="AL788" s="10" t="str">
        <f>IFERROR(VLOOKUP(B788,'Pre-Summary'!$BG$6:$BL$44,3,FALSE),"")</f>
        <v/>
      </c>
      <c r="AM788" s="10" t="str">
        <f>IFERROR(VLOOKUP(B788,'Pre-Summary'!$BG$6:$BL$44,4,FALSE),"")</f>
        <v/>
      </c>
    </row>
    <row r="789" spans="2:39" ht="15" customHeight="1" x14ac:dyDescent="0.3">
      <c r="B789">
        <v>78.599999999999994</v>
      </c>
      <c r="C789" t="str">
        <f>IFERROR(VLOOKUP(B789,'Pre-Summary'!$DI$6:$DM$23,4,FALSE),"")</f>
        <v/>
      </c>
      <c r="D789" s="10" t="str">
        <f>IFERROR(VLOOKUP(B789,'Pre-Summary'!$AT$6:$AX$14,5,FALSE),D788)</f>
        <v>DSMZ v2: Dropped Na-Ac out of DSMZ 120 media</v>
      </c>
      <c r="E789" s="10" t="str">
        <f>IFERROR(VLOOKUP(B789,'Pre-Summary'!$AT$6:$AX$15,4,FALSE),"")</f>
        <v/>
      </c>
      <c r="F789">
        <f>IFERROR(VLOOKUP(B789,'Pre-Summary'!$AL$6:$AQ$13,6,FALSE),F788)</f>
        <v>5.9405263157894746E-2</v>
      </c>
      <c r="G789" t="str">
        <f>IFERROR(VLOOKUP(B789,'Pre-Summary'!$AE$6:$AJ$85,3,FALSE),"")</f>
        <v/>
      </c>
      <c r="H789" t="str">
        <f>IFERROR(VLOOKUP(B789,'Pre-Summary'!$AE$6:$AJ$85,4,FALSE),"")</f>
        <v/>
      </c>
      <c r="I789" t="str">
        <f>IFERROR(VLOOKUP(B789,'Pre-Summary'!$AE$6:$AJ$85,5,FALSE),"")</f>
        <v/>
      </c>
      <c r="J789" s="45" t="str">
        <f>IFERROR(VLOOKUP(B789,'Pre-Summary'!$AE$6:$AJ$85,6, FALSE),"")</f>
        <v/>
      </c>
      <c r="K789" s="45" t="str">
        <f>IFERROR(VLOOKUP(B789,'Pre-Summary'!$DE$6:$DG$61,3,FALSE),"")</f>
        <v/>
      </c>
      <c r="L789" s="45" t="str">
        <f>IFERROR(VLOOKUP(B789,'Pre-Summary'!$CU$6:$CW$36,3,FALSE),"")</f>
        <v/>
      </c>
      <c r="M789" s="45" t="str">
        <f>IFERROR(VLOOKUP(B789,'Pre-Summary'!$BW$6:$BY$58,2,FALSE),"")</f>
        <v/>
      </c>
      <c r="N789" s="45" t="str">
        <f>IFERROR(VLOOKUP(B789,'Pre-Summary'!$CD$6:$CF$64,2,FALSE),"")</f>
        <v/>
      </c>
      <c r="O789" s="99">
        <f>IFERROR(VLOOKUP(B789,'Pre-Summary'!$BO$6:$BQ$48,3, FALSE),O788)</f>
        <v>1</v>
      </c>
      <c r="P789" s="99">
        <f>IFERROR(VLOOKUP(B789,'Pre-Summary'!$BS$6:$BU$35,3,FALSE),P788)</f>
        <v>0.25</v>
      </c>
      <c r="Q789" s="54">
        <f t="shared" si="36"/>
        <v>4</v>
      </c>
      <c r="R789" s="53">
        <f>IFERROR(VLOOKUP(B789,'Pre-Summary'!$BG$6:$BM$44,7,FALSE),R790)</f>
        <v>0.10617362811310796</v>
      </c>
      <c r="S789" s="53">
        <f>IFERROR(VLOOKUP(B789,'Pre-Summary'!$BG$6:$BM$44,6,FALSE),S790)</f>
        <v>9.9527233330079901E-2</v>
      </c>
      <c r="T789" s="45" t="str">
        <f>IFERROR(VLOOKUP(B789,'Pre-Summary'!$Y$6:$AC$83, 3,FALSE),"")</f>
        <v/>
      </c>
      <c r="U789" s="45" t="str">
        <f>IFERROR(VLOOKUP(B789,'Pre-Summary'!$Y$6:$AC$83, 4,FALSE),"")</f>
        <v/>
      </c>
      <c r="V789" t="str">
        <f>IFERROR(VLOOKUP(B789,'Pre-Summary'!$Y$6:$AC$83, 5,FALSE),"")</f>
        <v/>
      </c>
      <c r="W789" s="45" t="str">
        <f>IFERROR(VLOOKUP(B789,'Pre-Summary'!$Y$6:$AD$83,6,FALSE),"")</f>
        <v/>
      </c>
      <c r="X789" t="str">
        <f>IFERROR(VLOOKUP('Pre-Summary'!$DB$6:$DD$63,3,FALSE),"")</f>
        <v/>
      </c>
      <c r="Y789" t="str">
        <f>IFERROR(VLOOKUP(B789,'Pre-Summary'!$CR$6:$CT$36,3,FALSE),"")</f>
        <v/>
      </c>
      <c r="Z789" s="45" t="str">
        <f>IFERROR(VLOOKUP(B789,'Pre-Summary'!$BZ$6:$CB$63,2,FALSE),"")</f>
        <v/>
      </c>
      <c r="AA789" s="45" t="str">
        <f>IFERROR(VLOOKUP(B789,'Pre-Summary'!$CG$6:$CI$70,2,FALSE),"")</f>
        <v/>
      </c>
      <c r="AB789" s="99">
        <f>IFERROR(VLOOKUP(B789,'Pre-Summary'!$A$6:$P$178,9,FALSE),AB790)</f>
        <v>0.86523914835158122</v>
      </c>
      <c r="AC789" s="10">
        <f>IFERROR(VLOOKUP(Summary!B789,'Pre-Summary'!$A$6:$P$184,5, FALSE)/100,AC790)</f>
        <v>0.62433033333333332</v>
      </c>
      <c r="AD789" s="10">
        <f>IFERROR(VLOOKUP(Summary!B789,'Pre-Summary'!$A$6:$P$184,3, FALSE)/100,AD790)</f>
        <v>0.16252</v>
      </c>
      <c r="AE789" s="10">
        <f>IFERROR(VLOOKUP(Summary!B789,'Pre-Summary'!$A$6:$P$184,7, FALSE)/100,AE790)</f>
        <v>0.21314966666666668</v>
      </c>
      <c r="AF789" s="99">
        <f t="shared" si="37"/>
        <v>0.14061866639009898</v>
      </c>
      <c r="AG789" s="99">
        <f t="shared" si="38"/>
        <v>0.18442543605809009</v>
      </c>
      <c r="AH789" s="10" t="str">
        <f>IFERROR(VLOOKUP(B789,'Pre-Summary'!$AZ$6:$BE$65,3,FALSE),"")</f>
        <v/>
      </c>
      <c r="AI789" s="10" t="str">
        <f>IFERROR(VLOOKUP(B789,'Pre-Summary'!$AZ$6:$BE$65,5,FALSE),"")</f>
        <v/>
      </c>
      <c r="AJ789" s="10" t="str">
        <f>IFERROR(VLOOKUP(B789,'Pre-Summary'!$AZ$6:$BE$65,4,FALSE),"")</f>
        <v/>
      </c>
      <c r="AK789" s="10" t="str">
        <f>IFERROR(VLOOKUP(B789,'Pre-Summary'!$AZ$6:$BE$65,6,FALSE),"")</f>
        <v/>
      </c>
      <c r="AL789" s="10" t="str">
        <f>IFERROR(VLOOKUP(B789,'Pre-Summary'!$BG$6:$BL$44,3,FALSE),"")</f>
        <v/>
      </c>
      <c r="AM789" s="10" t="str">
        <f>IFERROR(VLOOKUP(B789,'Pre-Summary'!$BG$6:$BL$44,4,FALSE),"")</f>
        <v/>
      </c>
    </row>
    <row r="790" spans="2:39" ht="15" customHeight="1" x14ac:dyDescent="0.3">
      <c r="B790">
        <v>78.7</v>
      </c>
      <c r="C790" t="str">
        <f>IFERROR(VLOOKUP(B790,'Pre-Summary'!$DI$6:$DM$23,4,FALSE),"")</f>
        <v/>
      </c>
      <c r="D790" s="10" t="str">
        <f>IFERROR(VLOOKUP(B790,'Pre-Summary'!$AT$6:$AX$14,5,FALSE),D789)</f>
        <v>DSMZ v2: Dropped Na-Ac out of DSMZ 120 media</v>
      </c>
      <c r="E790" s="10" t="str">
        <f>IFERROR(VLOOKUP(B790,'Pre-Summary'!$AT$6:$AX$15,4,FALSE),"")</f>
        <v/>
      </c>
      <c r="F790">
        <f>IFERROR(VLOOKUP(B790,'Pre-Summary'!$AL$6:$AQ$13,6,FALSE),F789)</f>
        <v>5.9405263157894746E-2</v>
      </c>
      <c r="G790" t="str">
        <f>IFERROR(VLOOKUP(B790,'Pre-Summary'!$AE$6:$AJ$85,3,FALSE),"")</f>
        <v/>
      </c>
      <c r="H790" t="str">
        <f>IFERROR(VLOOKUP(B790,'Pre-Summary'!$AE$6:$AJ$85,4,FALSE),"")</f>
        <v/>
      </c>
      <c r="I790" t="str">
        <f>IFERROR(VLOOKUP(B790,'Pre-Summary'!$AE$6:$AJ$85,5,FALSE),"")</f>
        <v/>
      </c>
      <c r="J790" s="45" t="str">
        <f>IFERROR(VLOOKUP(B790,'Pre-Summary'!$AE$6:$AJ$85,6, FALSE),"")</f>
        <v/>
      </c>
      <c r="K790" s="45" t="str">
        <f>IFERROR(VLOOKUP(B790,'Pre-Summary'!$DE$6:$DG$61,3,FALSE),"")</f>
        <v/>
      </c>
      <c r="L790" s="45" t="str">
        <f>IFERROR(VLOOKUP(B790,'Pre-Summary'!$CU$6:$CW$36,3,FALSE),"")</f>
        <v/>
      </c>
      <c r="M790" s="45" t="str">
        <f>IFERROR(VLOOKUP(B790,'Pre-Summary'!$BW$6:$BY$58,2,FALSE),"")</f>
        <v/>
      </c>
      <c r="N790" s="45" t="str">
        <f>IFERROR(VLOOKUP(B790,'Pre-Summary'!$CD$6:$CF$64,2,FALSE),"")</f>
        <v/>
      </c>
      <c r="O790" s="99">
        <f>IFERROR(VLOOKUP(B790,'Pre-Summary'!$BO$6:$BQ$48,3, FALSE),O789)</f>
        <v>1</v>
      </c>
      <c r="P790" s="99">
        <f>IFERROR(VLOOKUP(B790,'Pre-Summary'!$BS$6:$BU$35,3,FALSE),P789)</f>
        <v>0.25</v>
      </c>
      <c r="Q790" s="54">
        <f t="shared" si="36"/>
        <v>4</v>
      </c>
      <c r="R790" s="53">
        <f>IFERROR(VLOOKUP(B790,'Pre-Summary'!$BG$6:$BM$44,7,FALSE),R791)</f>
        <v>0.10617362811310796</v>
      </c>
      <c r="S790" s="53">
        <f>IFERROR(VLOOKUP(B790,'Pre-Summary'!$BG$6:$BM$44,6,FALSE),S791)</f>
        <v>9.9527233330079901E-2</v>
      </c>
      <c r="T790" s="45" t="str">
        <f>IFERROR(VLOOKUP(B790,'Pre-Summary'!$Y$6:$AC$83, 3,FALSE),"")</f>
        <v/>
      </c>
      <c r="U790" s="45" t="str">
        <f>IFERROR(VLOOKUP(B790,'Pre-Summary'!$Y$6:$AC$83, 4,FALSE),"")</f>
        <v/>
      </c>
      <c r="V790" t="str">
        <f>IFERROR(VLOOKUP(B790,'Pre-Summary'!$Y$6:$AC$83, 5,FALSE),"")</f>
        <v/>
      </c>
      <c r="W790" s="45" t="str">
        <f>IFERROR(VLOOKUP(B790,'Pre-Summary'!$Y$6:$AD$83,6,FALSE),"")</f>
        <v/>
      </c>
      <c r="X790" t="str">
        <f>IFERROR(VLOOKUP('Pre-Summary'!$DB$6:$DD$63,3,FALSE),"")</f>
        <v/>
      </c>
      <c r="Y790" t="str">
        <f>IFERROR(VLOOKUP(B790,'Pre-Summary'!$CR$6:$CT$36,3,FALSE),"")</f>
        <v/>
      </c>
      <c r="Z790" s="45" t="str">
        <f>IFERROR(VLOOKUP(B790,'Pre-Summary'!$BZ$6:$CB$63,2,FALSE),"")</f>
        <v/>
      </c>
      <c r="AA790" s="45" t="str">
        <f>IFERROR(VLOOKUP(B790,'Pre-Summary'!$CG$6:$CI$70,2,FALSE),"")</f>
        <v/>
      </c>
      <c r="AB790" s="99">
        <f>IFERROR(VLOOKUP(B790,'Pre-Summary'!$A$6:$P$178,9,FALSE),AB791)</f>
        <v>0.86523914835158122</v>
      </c>
      <c r="AC790" s="10">
        <f>IFERROR(VLOOKUP(Summary!B790,'Pre-Summary'!$A$6:$P$184,5, FALSE)/100,AC791)</f>
        <v>0.62433033333333332</v>
      </c>
      <c r="AD790" s="10">
        <f>IFERROR(VLOOKUP(Summary!B790,'Pre-Summary'!$A$6:$P$184,3, FALSE)/100,AD791)</f>
        <v>0.16252</v>
      </c>
      <c r="AE790" s="10">
        <f>IFERROR(VLOOKUP(Summary!B790,'Pre-Summary'!$A$6:$P$184,7, FALSE)/100,AE791)</f>
        <v>0.21314966666666668</v>
      </c>
      <c r="AF790" s="99">
        <f t="shared" si="37"/>
        <v>0.14061866639009898</v>
      </c>
      <c r="AG790" s="99">
        <f t="shared" si="38"/>
        <v>0.18442543605809009</v>
      </c>
      <c r="AH790" s="10" t="str">
        <f>IFERROR(VLOOKUP(B790,'Pre-Summary'!$AZ$6:$BE$65,3,FALSE),"")</f>
        <v/>
      </c>
      <c r="AI790" s="10" t="str">
        <f>IFERROR(VLOOKUP(B790,'Pre-Summary'!$AZ$6:$BE$65,5,FALSE),"")</f>
        <v/>
      </c>
      <c r="AJ790" s="10" t="str">
        <f>IFERROR(VLOOKUP(B790,'Pre-Summary'!$AZ$6:$BE$65,4,FALSE),"")</f>
        <v/>
      </c>
      <c r="AK790" s="10" t="str">
        <f>IFERROR(VLOOKUP(B790,'Pre-Summary'!$AZ$6:$BE$65,6,FALSE),"")</f>
        <v/>
      </c>
      <c r="AL790" s="10" t="str">
        <f>IFERROR(VLOOKUP(B790,'Pre-Summary'!$BG$6:$BL$44,3,FALSE),"")</f>
        <v/>
      </c>
      <c r="AM790" s="10" t="str">
        <f>IFERROR(VLOOKUP(B790,'Pre-Summary'!$BG$6:$BL$44,4,FALSE),"")</f>
        <v/>
      </c>
    </row>
    <row r="791" spans="2:39" ht="15" customHeight="1" x14ac:dyDescent="0.3">
      <c r="B791">
        <v>78.8</v>
      </c>
      <c r="C791" t="str">
        <f>IFERROR(VLOOKUP(B791,'Pre-Summary'!$DI$6:$DM$23,4,FALSE),"")</f>
        <v/>
      </c>
      <c r="D791" s="10" t="str">
        <f>IFERROR(VLOOKUP(B791,'Pre-Summary'!$AT$6:$AX$14,5,FALSE),D790)</f>
        <v>DSMZ v2: Dropped Na-Ac out of DSMZ 120 media</v>
      </c>
      <c r="E791" s="10" t="str">
        <f>IFERROR(VLOOKUP(B791,'Pre-Summary'!$AT$6:$AX$15,4,FALSE),"")</f>
        <v/>
      </c>
      <c r="F791">
        <f>IFERROR(VLOOKUP(B791,'Pre-Summary'!$AL$6:$AQ$13,6,FALSE),F790)</f>
        <v>5.9405263157894746E-2</v>
      </c>
      <c r="G791" t="str">
        <f>IFERROR(VLOOKUP(B791,'Pre-Summary'!$AE$6:$AJ$85,3,FALSE),"")</f>
        <v/>
      </c>
      <c r="H791" t="str">
        <f>IFERROR(VLOOKUP(B791,'Pre-Summary'!$AE$6:$AJ$85,4,FALSE),"")</f>
        <v/>
      </c>
      <c r="I791" t="str">
        <f>IFERROR(VLOOKUP(B791,'Pre-Summary'!$AE$6:$AJ$85,5,FALSE),"")</f>
        <v/>
      </c>
      <c r="J791" s="45" t="str">
        <f>IFERROR(VLOOKUP(B791,'Pre-Summary'!$AE$6:$AJ$85,6, FALSE),"")</f>
        <v/>
      </c>
      <c r="K791" s="45" t="str">
        <f>IFERROR(VLOOKUP(B791,'Pre-Summary'!$DE$6:$DG$61,3,FALSE),"")</f>
        <v/>
      </c>
      <c r="L791" s="45" t="str">
        <f>IFERROR(VLOOKUP(B791,'Pre-Summary'!$CU$6:$CW$36,3,FALSE),"")</f>
        <v/>
      </c>
      <c r="M791" s="45" t="str">
        <f>IFERROR(VLOOKUP(B791,'Pre-Summary'!$BW$6:$BY$58,2,FALSE),"")</f>
        <v/>
      </c>
      <c r="N791" s="45" t="str">
        <f>IFERROR(VLOOKUP(B791,'Pre-Summary'!$CD$6:$CF$64,2,FALSE),"")</f>
        <v/>
      </c>
      <c r="O791" s="99">
        <f>IFERROR(VLOOKUP(B791,'Pre-Summary'!$BO$6:$BQ$48,3, FALSE),O790)</f>
        <v>1</v>
      </c>
      <c r="P791" s="99">
        <f>IFERROR(VLOOKUP(B791,'Pre-Summary'!$BS$6:$BU$35,3,FALSE),P790)</f>
        <v>0.25</v>
      </c>
      <c r="Q791" s="54">
        <f t="shared" si="36"/>
        <v>4</v>
      </c>
      <c r="R791" s="53">
        <f>IFERROR(VLOOKUP(B791,'Pre-Summary'!$BG$6:$BM$44,7,FALSE),R792)</f>
        <v>0.10617362811310796</v>
      </c>
      <c r="S791" s="53">
        <f>IFERROR(VLOOKUP(B791,'Pre-Summary'!$BG$6:$BM$44,6,FALSE),S792)</f>
        <v>9.9527233330079901E-2</v>
      </c>
      <c r="T791" s="45" t="str">
        <f>IFERROR(VLOOKUP(B791,'Pre-Summary'!$Y$6:$AC$83, 3,FALSE),"")</f>
        <v/>
      </c>
      <c r="U791" s="45" t="str">
        <f>IFERROR(VLOOKUP(B791,'Pre-Summary'!$Y$6:$AC$83, 4,FALSE),"")</f>
        <v/>
      </c>
      <c r="V791" t="str">
        <f>IFERROR(VLOOKUP(B791,'Pre-Summary'!$Y$6:$AC$83, 5,FALSE),"")</f>
        <v/>
      </c>
      <c r="W791" s="45" t="str">
        <f>IFERROR(VLOOKUP(B791,'Pre-Summary'!$Y$6:$AD$83,6,FALSE),"")</f>
        <v/>
      </c>
      <c r="X791" t="str">
        <f>IFERROR(VLOOKUP('Pre-Summary'!$DB$6:$DD$63,3,FALSE),"")</f>
        <v/>
      </c>
      <c r="Y791" t="str">
        <f>IFERROR(VLOOKUP(B791,'Pre-Summary'!$CR$6:$CT$36,3,FALSE),"")</f>
        <v/>
      </c>
      <c r="Z791" s="45" t="str">
        <f>IFERROR(VLOOKUP(B791,'Pre-Summary'!$BZ$6:$CB$63,2,FALSE),"")</f>
        <v/>
      </c>
      <c r="AA791" s="45" t="str">
        <f>IFERROR(VLOOKUP(B791,'Pre-Summary'!$CG$6:$CI$70,2,FALSE),"")</f>
        <v/>
      </c>
      <c r="AB791" s="99">
        <f>IFERROR(VLOOKUP(B791,'Pre-Summary'!$A$6:$P$178,9,FALSE),AB792)</f>
        <v>0.86523914835158122</v>
      </c>
      <c r="AC791" s="10">
        <f>IFERROR(VLOOKUP(Summary!B791,'Pre-Summary'!$A$6:$P$184,5, FALSE)/100,AC792)</f>
        <v>0.62433033333333332</v>
      </c>
      <c r="AD791" s="10">
        <f>IFERROR(VLOOKUP(Summary!B791,'Pre-Summary'!$A$6:$P$184,3, FALSE)/100,AD792)</f>
        <v>0.16252</v>
      </c>
      <c r="AE791" s="10">
        <f>IFERROR(VLOOKUP(Summary!B791,'Pre-Summary'!$A$6:$P$184,7, FALSE)/100,AE792)</f>
        <v>0.21314966666666668</v>
      </c>
      <c r="AF791" s="99">
        <f t="shared" si="37"/>
        <v>0.14061866639009898</v>
      </c>
      <c r="AG791" s="99">
        <f t="shared" si="38"/>
        <v>0.18442543605809009</v>
      </c>
      <c r="AH791" s="10" t="str">
        <f>IFERROR(VLOOKUP(B791,'Pre-Summary'!$AZ$6:$BE$65,3,FALSE),"")</f>
        <v/>
      </c>
      <c r="AI791" s="10" t="str">
        <f>IFERROR(VLOOKUP(B791,'Pre-Summary'!$AZ$6:$BE$65,5,FALSE),"")</f>
        <v/>
      </c>
      <c r="AJ791" s="10" t="str">
        <f>IFERROR(VLOOKUP(B791,'Pre-Summary'!$AZ$6:$BE$65,4,FALSE),"")</f>
        <v/>
      </c>
      <c r="AK791" s="10" t="str">
        <f>IFERROR(VLOOKUP(B791,'Pre-Summary'!$AZ$6:$BE$65,6,FALSE),"")</f>
        <v/>
      </c>
      <c r="AL791" s="10" t="str">
        <f>IFERROR(VLOOKUP(B791,'Pre-Summary'!$BG$6:$BL$44,3,FALSE),"")</f>
        <v/>
      </c>
      <c r="AM791" s="10" t="str">
        <f>IFERROR(VLOOKUP(B791,'Pre-Summary'!$BG$6:$BL$44,4,FALSE),"")</f>
        <v/>
      </c>
    </row>
    <row r="792" spans="2:39" ht="15" customHeight="1" x14ac:dyDescent="0.3">
      <c r="B792">
        <v>78.900000000000006</v>
      </c>
      <c r="C792" t="str">
        <f>IFERROR(VLOOKUP(B792,'Pre-Summary'!$DI$6:$DM$23,4,FALSE),"")</f>
        <v/>
      </c>
      <c r="D792" s="10" t="str">
        <f>IFERROR(VLOOKUP(B792,'Pre-Summary'!$AT$6:$AX$14,5,FALSE),D791)</f>
        <v>DSMZ v2: Dropped Na-Ac out of DSMZ 120 media</v>
      </c>
      <c r="E792" s="10" t="str">
        <f>IFERROR(VLOOKUP(B792,'Pre-Summary'!$AT$6:$AX$15,4,FALSE),"")</f>
        <v/>
      </c>
      <c r="F792">
        <f>IFERROR(VLOOKUP(B792,'Pre-Summary'!$AL$6:$AQ$13,6,FALSE),F791)</f>
        <v>5.9405263157894746E-2</v>
      </c>
      <c r="G792">
        <f>IFERROR(VLOOKUP(B792,'Pre-Summary'!$AE$6:$AJ$85,3,FALSE),"")</f>
        <v>995.84</v>
      </c>
      <c r="H792">
        <f>IFERROR(VLOOKUP(B792,'Pre-Summary'!$AE$6:$AJ$85,4,FALSE),"")</f>
        <v>257.935</v>
      </c>
      <c r="I792">
        <f>IFERROR(VLOOKUP(B792,'Pre-Summary'!$AE$6:$AJ$85,5,FALSE),"")</f>
        <v>0</v>
      </c>
      <c r="J792" s="45">
        <f>IFERROR(VLOOKUP(B792,'Pre-Summary'!$AE$6:$AJ$85,6, FALSE),"")</f>
        <v>1453.0748699999999</v>
      </c>
      <c r="K792" s="45" t="str">
        <f>IFERROR(VLOOKUP(B792,'Pre-Summary'!$DE$6:$DG$61,3,FALSE),"")</f>
        <v/>
      </c>
      <c r="L792" s="45" t="str">
        <f>IFERROR(VLOOKUP(B792,'Pre-Summary'!$CU$6:$CW$36,3,FALSE),"")</f>
        <v/>
      </c>
      <c r="M792" s="45">
        <f>IFERROR(VLOOKUP(B792,'Pre-Summary'!$BW$6:$BY$58,2,FALSE),"")</f>
        <v>191.95975900249292</v>
      </c>
      <c r="N792" s="45" t="str">
        <f>IFERROR(VLOOKUP(B792,'Pre-Summary'!$CD$6:$CF$64,2,FALSE),"")</f>
        <v/>
      </c>
      <c r="O792" s="99">
        <f>IFERROR(VLOOKUP(B792,'Pre-Summary'!$BO$6:$BQ$48,3, FALSE),O791)</f>
        <v>1</v>
      </c>
      <c r="P792" s="99">
        <f>IFERROR(VLOOKUP(B792,'Pre-Summary'!$BS$6:$BU$35,3,FALSE),P791)</f>
        <v>0.25</v>
      </c>
      <c r="Q792" s="54">
        <f t="shared" si="36"/>
        <v>4</v>
      </c>
      <c r="R792" s="53">
        <f>IFERROR(VLOOKUP(B792,'Pre-Summary'!$BG$6:$BM$44,7,FALSE),R793)</f>
        <v>0.10617362811310796</v>
      </c>
      <c r="S792" s="53">
        <f>IFERROR(VLOOKUP(B792,'Pre-Summary'!$BG$6:$BM$44,6,FALSE),S793)</f>
        <v>9.9527233330079901E-2</v>
      </c>
      <c r="T792" s="45">
        <f>IFERROR(VLOOKUP(B792,'Pre-Summary'!$Y$6:$AC$83, 3,FALSE),"")</f>
        <v>166.285</v>
      </c>
      <c r="U792" s="45">
        <f>IFERROR(VLOOKUP(B792,'Pre-Summary'!$Y$6:$AC$83, 4,FALSE),"")</f>
        <v>466.685</v>
      </c>
      <c r="V792">
        <f>IFERROR(VLOOKUP(B792,'Pre-Summary'!$Y$6:$AC$83, 5,FALSE),"")</f>
        <v>0</v>
      </c>
      <c r="W792" s="45">
        <f>IFERROR(VLOOKUP(B792,'Pre-Summary'!$Y$6:$AD$83,6,FALSE),"")</f>
        <v>883.98718499999995</v>
      </c>
      <c r="X792" t="str">
        <f>IFERROR(VLOOKUP('Pre-Summary'!$DB$6:$DD$63,3,FALSE),"")</f>
        <v/>
      </c>
      <c r="Y792" t="str">
        <f>IFERROR(VLOOKUP(B792,'Pre-Summary'!$CR$6:$CT$36,3,FALSE),"")</f>
        <v/>
      </c>
      <c r="Z792" s="45">
        <f>IFERROR(VLOOKUP(B792,'Pre-Summary'!$BZ$6:$CB$63,2,FALSE),"")</f>
        <v>349.80645975551181</v>
      </c>
      <c r="AA792" s="45">
        <f>IFERROR(VLOOKUP(B792,'Pre-Summary'!$CG$6:$CI$70,2,FALSE),"")</f>
        <v>1072.6458843230089</v>
      </c>
      <c r="AB792" s="99">
        <f>IFERROR(VLOOKUP(B792,'Pre-Summary'!$A$6:$P$178,9,FALSE),AB793)</f>
        <v>0.86523914835158122</v>
      </c>
      <c r="AC792" s="10">
        <f>IFERROR(VLOOKUP(Summary!B792,'Pre-Summary'!$A$6:$P$184,5, FALSE)/100,AC793)</f>
        <v>0.62433033333333332</v>
      </c>
      <c r="AD792" s="10">
        <f>IFERROR(VLOOKUP(Summary!B792,'Pre-Summary'!$A$6:$P$184,3, FALSE)/100,AD793)</f>
        <v>0.16252</v>
      </c>
      <c r="AE792" s="10">
        <f>IFERROR(VLOOKUP(Summary!B792,'Pre-Summary'!$A$6:$P$184,7, FALSE)/100,AE793)</f>
        <v>0.21314966666666668</v>
      </c>
      <c r="AF792" s="99">
        <f t="shared" si="37"/>
        <v>0.14061866639009898</v>
      </c>
      <c r="AG792" s="99">
        <f t="shared" si="38"/>
        <v>0.18442543605809009</v>
      </c>
      <c r="AH792" s="10" t="str">
        <f>IFERROR(VLOOKUP(B792,'Pre-Summary'!$AZ$6:$BE$65,3,FALSE),"")</f>
        <v/>
      </c>
      <c r="AI792" s="10" t="str">
        <f>IFERROR(VLOOKUP(B792,'Pre-Summary'!$AZ$6:$BE$65,5,FALSE),"")</f>
        <v/>
      </c>
      <c r="AJ792" s="10" t="str">
        <f>IFERROR(VLOOKUP(B792,'Pre-Summary'!$AZ$6:$BE$65,4,FALSE),"")</f>
        <v/>
      </c>
      <c r="AK792" s="10" t="str">
        <f>IFERROR(VLOOKUP(B792,'Pre-Summary'!$AZ$6:$BE$65,6,FALSE),"")</f>
        <v/>
      </c>
      <c r="AL792" s="10" t="str">
        <f>IFERROR(VLOOKUP(B792,'Pre-Summary'!$BG$6:$BL$44,3,FALSE),"")</f>
        <v/>
      </c>
      <c r="AM792" s="10" t="str">
        <f>IFERROR(VLOOKUP(B792,'Pre-Summary'!$BG$6:$BL$44,4,FALSE),"")</f>
        <v/>
      </c>
    </row>
    <row r="793" spans="2:39" ht="15" customHeight="1" x14ac:dyDescent="0.3">
      <c r="B793">
        <v>79</v>
      </c>
      <c r="C793" t="str">
        <f>IFERROR(VLOOKUP(B793,'Pre-Summary'!$DI$6:$DM$23,4,FALSE),"")</f>
        <v/>
      </c>
      <c r="D793" s="10" t="str">
        <f>IFERROR(VLOOKUP(B793,'Pre-Summary'!$AT$6:$AX$14,5,FALSE),D792)</f>
        <v>DSMZ v2: Dropped Na-Ac out of DSMZ 120 media</v>
      </c>
      <c r="E793" s="10" t="str">
        <f>IFERROR(VLOOKUP(B793,'Pre-Summary'!$AT$6:$AX$15,4,FALSE),"")</f>
        <v/>
      </c>
      <c r="F793">
        <f>IFERROR(VLOOKUP(B793,'Pre-Summary'!$AL$6:$AQ$13,6,FALSE),F792)</f>
        <v>5.9405263157894746E-2</v>
      </c>
      <c r="G793" t="str">
        <f>IFERROR(VLOOKUP(B793,'Pre-Summary'!$AE$6:$AJ$85,3,FALSE),"")</f>
        <v/>
      </c>
      <c r="H793" t="str">
        <f>IFERROR(VLOOKUP(B793,'Pre-Summary'!$AE$6:$AJ$85,4,FALSE),"")</f>
        <v/>
      </c>
      <c r="I793" t="str">
        <f>IFERROR(VLOOKUP(B793,'Pre-Summary'!$AE$6:$AJ$85,5,FALSE),"")</f>
        <v/>
      </c>
      <c r="J793" s="45" t="str">
        <f>IFERROR(VLOOKUP(B793,'Pre-Summary'!$AE$6:$AJ$85,6, FALSE),"")</f>
        <v/>
      </c>
      <c r="K793" s="45" t="str">
        <f>IFERROR(VLOOKUP(B793,'Pre-Summary'!$DE$6:$DG$61,3,FALSE),"")</f>
        <v/>
      </c>
      <c r="L793" s="45" t="str">
        <f>IFERROR(VLOOKUP(B793,'Pre-Summary'!$CU$6:$CW$36,3,FALSE),"")</f>
        <v/>
      </c>
      <c r="M793" s="45" t="str">
        <f>IFERROR(VLOOKUP(B793,'Pre-Summary'!$BW$6:$BY$58,2,FALSE),"")</f>
        <v/>
      </c>
      <c r="N793" s="45" t="str">
        <f>IFERROR(VLOOKUP(B793,'Pre-Summary'!$CD$6:$CF$64,2,FALSE),"")</f>
        <v/>
      </c>
      <c r="O793" s="99">
        <f>IFERROR(VLOOKUP(B793,'Pre-Summary'!$BO$6:$BQ$48,3, FALSE),O792)</f>
        <v>1.2</v>
      </c>
      <c r="P793" s="99">
        <f>IFERROR(VLOOKUP(B793,'Pre-Summary'!$BS$6:$BU$35,3,FALSE),P792)</f>
        <v>0.3</v>
      </c>
      <c r="Q793" s="54">
        <f t="shared" si="36"/>
        <v>4</v>
      </c>
      <c r="R793" s="53">
        <f>IFERROR(VLOOKUP(B793,'Pre-Summary'!$BG$6:$BM$44,7,FALSE),R794)</f>
        <v>0.10617362811310796</v>
      </c>
      <c r="S793" s="53">
        <f>IFERROR(VLOOKUP(B793,'Pre-Summary'!$BG$6:$BM$44,6,FALSE),S794)</f>
        <v>9.9527233330079901E-2</v>
      </c>
      <c r="T793" s="45" t="str">
        <f>IFERROR(VLOOKUP(B793,'Pre-Summary'!$Y$6:$AC$83, 3,FALSE),"")</f>
        <v/>
      </c>
      <c r="U793" s="45" t="str">
        <f>IFERROR(VLOOKUP(B793,'Pre-Summary'!$Y$6:$AC$83, 4,FALSE),"")</f>
        <v/>
      </c>
      <c r="V793" t="str">
        <f>IFERROR(VLOOKUP(B793,'Pre-Summary'!$Y$6:$AC$83, 5,FALSE),"")</f>
        <v/>
      </c>
      <c r="W793" s="45" t="str">
        <f>IFERROR(VLOOKUP(B793,'Pre-Summary'!$Y$6:$AD$83,6,FALSE),"")</f>
        <v/>
      </c>
      <c r="X793" t="str">
        <f>IFERROR(VLOOKUP('Pre-Summary'!$DB$6:$DD$63,3,FALSE),"")</f>
        <v/>
      </c>
      <c r="Y793" t="str">
        <f>IFERROR(VLOOKUP(B793,'Pre-Summary'!$CR$6:$CT$36,3,FALSE),"")</f>
        <v/>
      </c>
      <c r="Z793" s="45" t="str">
        <f>IFERROR(VLOOKUP(B793,'Pre-Summary'!$BZ$6:$CB$63,2,FALSE),"")</f>
        <v/>
      </c>
      <c r="AA793" s="45" t="str">
        <f>IFERROR(VLOOKUP(B793,'Pre-Summary'!$CG$6:$CI$70,2,FALSE),"")</f>
        <v/>
      </c>
      <c r="AB793" s="99">
        <f>IFERROR(VLOOKUP(B793,'Pre-Summary'!$A$6:$P$178,9,FALSE),AB794)</f>
        <v>0.86523914835158122</v>
      </c>
      <c r="AC793" s="10">
        <f>IFERROR(VLOOKUP(Summary!B793,'Pre-Summary'!$A$6:$P$184,5, FALSE)/100,AC794)</f>
        <v>0.62433033333333332</v>
      </c>
      <c r="AD793" s="10">
        <f>IFERROR(VLOOKUP(Summary!B793,'Pre-Summary'!$A$6:$P$184,3, FALSE)/100,AD794)</f>
        <v>0.16252</v>
      </c>
      <c r="AE793" s="10">
        <f>IFERROR(VLOOKUP(Summary!B793,'Pre-Summary'!$A$6:$P$184,7, FALSE)/100,AE794)</f>
        <v>0.21314966666666668</v>
      </c>
      <c r="AF793" s="99">
        <f t="shared" si="37"/>
        <v>0.14061866639009898</v>
      </c>
      <c r="AG793" s="99">
        <f t="shared" si="38"/>
        <v>0.18442543605809009</v>
      </c>
      <c r="AH793" s="10" t="str">
        <f>IFERROR(VLOOKUP(B793,'Pre-Summary'!$AZ$6:$BE$65,3,FALSE),"")</f>
        <v/>
      </c>
      <c r="AI793" s="10" t="str">
        <f>IFERROR(VLOOKUP(B793,'Pre-Summary'!$AZ$6:$BE$65,5,FALSE),"")</f>
        <v/>
      </c>
      <c r="AJ793" s="10" t="str">
        <f>IFERROR(VLOOKUP(B793,'Pre-Summary'!$AZ$6:$BE$65,4,FALSE),"")</f>
        <v/>
      </c>
      <c r="AK793" s="10" t="str">
        <f>IFERROR(VLOOKUP(B793,'Pre-Summary'!$AZ$6:$BE$65,6,FALSE),"")</f>
        <v/>
      </c>
      <c r="AL793" s="10" t="str">
        <f>IFERROR(VLOOKUP(B793,'Pre-Summary'!$BG$6:$BL$44,3,FALSE),"")</f>
        <v/>
      </c>
      <c r="AM793" s="10" t="str">
        <f>IFERROR(VLOOKUP(B793,'Pre-Summary'!$BG$6:$BL$44,4,FALSE),"")</f>
        <v/>
      </c>
    </row>
    <row r="794" spans="2:39" ht="15" customHeight="1" x14ac:dyDescent="0.3">
      <c r="B794">
        <v>79.099999999999994</v>
      </c>
      <c r="C794" t="str">
        <f>IFERROR(VLOOKUP(B794,'Pre-Summary'!$DI$6:$DM$23,4,FALSE),"")</f>
        <v/>
      </c>
      <c r="D794" s="10" t="str">
        <f>IFERROR(VLOOKUP(B794,'Pre-Summary'!$AT$6:$AX$14,5,FALSE),D793)</f>
        <v>DSMZ v2: Dropped Na-Ac out of DSMZ 120 media</v>
      </c>
      <c r="E794" s="10" t="str">
        <f>IFERROR(VLOOKUP(B794,'Pre-Summary'!$AT$6:$AX$15,4,FALSE),"")</f>
        <v/>
      </c>
      <c r="F794">
        <f>IFERROR(VLOOKUP(B794,'Pre-Summary'!$AL$6:$AQ$13,6,FALSE),F793)</f>
        <v>5.9405263157894746E-2</v>
      </c>
      <c r="G794" t="str">
        <f>IFERROR(VLOOKUP(B794,'Pre-Summary'!$AE$6:$AJ$85,3,FALSE),"")</f>
        <v/>
      </c>
      <c r="H794" t="str">
        <f>IFERROR(VLOOKUP(B794,'Pre-Summary'!$AE$6:$AJ$85,4,FALSE),"")</f>
        <v/>
      </c>
      <c r="I794" t="str">
        <f>IFERROR(VLOOKUP(B794,'Pre-Summary'!$AE$6:$AJ$85,5,FALSE),"")</f>
        <v/>
      </c>
      <c r="J794" s="45" t="str">
        <f>IFERROR(VLOOKUP(B794,'Pre-Summary'!$AE$6:$AJ$85,6, FALSE),"")</f>
        <v/>
      </c>
      <c r="K794" s="45" t="str">
        <f>IFERROR(VLOOKUP(B794,'Pre-Summary'!$DE$6:$DG$61,3,FALSE),"")</f>
        <v/>
      </c>
      <c r="L794" s="45" t="str">
        <f>IFERROR(VLOOKUP(B794,'Pre-Summary'!$CU$6:$CW$36,3,FALSE),"")</f>
        <v/>
      </c>
      <c r="M794" s="45" t="str">
        <f>IFERROR(VLOOKUP(B794,'Pre-Summary'!$BW$6:$BY$58,2,FALSE),"")</f>
        <v/>
      </c>
      <c r="N794" s="45" t="str">
        <f>IFERROR(VLOOKUP(B794,'Pre-Summary'!$CD$6:$CF$64,2,FALSE),"")</f>
        <v/>
      </c>
      <c r="O794" s="99">
        <f>IFERROR(VLOOKUP(B794,'Pre-Summary'!$BO$6:$BQ$48,3, FALSE),O793)</f>
        <v>1.2</v>
      </c>
      <c r="P794" s="99">
        <f>IFERROR(VLOOKUP(B794,'Pre-Summary'!$BS$6:$BU$35,3,FALSE),P793)</f>
        <v>0.3</v>
      </c>
      <c r="Q794" s="54">
        <f t="shared" si="36"/>
        <v>4</v>
      </c>
      <c r="R794" s="53">
        <f>IFERROR(VLOOKUP(B794,'Pre-Summary'!$BG$6:$BM$44,7,FALSE),R795)</f>
        <v>0.10617362811310796</v>
      </c>
      <c r="S794" s="53">
        <f>IFERROR(VLOOKUP(B794,'Pre-Summary'!$BG$6:$BM$44,6,FALSE),S795)</f>
        <v>9.9527233330079901E-2</v>
      </c>
      <c r="T794" s="45" t="str">
        <f>IFERROR(VLOOKUP(B794,'Pre-Summary'!$Y$6:$AC$83, 3,FALSE),"")</f>
        <v/>
      </c>
      <c r="U794" s="45" t="str">
        <f>IFERROR(VLOOKUP(B794,'Pre-Summary'!$Y$6:$AC$83, 4,FALSE),"")</f>
        <v/>
      </c>
      <c r="V794" t="str">
        <f>IFERROR(VLOOKUP(B794,'Pre-Summary'!$Y$6:$AC$83, 5,FALSE),"")</f>
        <v/>
      </c>
      <c r="W794" s="45" t="str">
        <f>IFERROR(VLOOKUP(B794,'Pre-Summary'!$Y$6:$AD$83,6,FALSE),"")</f>
        <v/>
      </c>
      <c r="X794" t="str">
        <f>IFERROR(VLOOKUP('Pre-Summary'!$DB$6:$DD$63,3,FALSE),"")</f>
        <v/>
      </c>
      <c r="Y794" t="str">
        <f>IFERROR(VLOOKUP(B794,'Pre-Summary'!$CR$6:$CT$36,3,FALSE),"")</f>
        <v/>
      </c>
      <c r="Z794" s="45" t="str">
        <f>IFERROR(VLOOKUP(B794,'Pre-Summary'!$BZ$6:$CB$63,2,FALSE),"")</f>
        <v/>
      </c>
      <c r="AA794" s="45" t="str">
        <f>IFERROR(VLOOKUP(B794,'Pre-Summary'!$CG$6:$CI$70,2,FALSE),"")</f>
        <v/>
      </c>
      <c r="AB794" s="99">
        <f>IFERROR(VLOOKUP(B794,'Pre-Summary'!$A$6:$P$178,9,FALSE),AB795)</f>
        <v>0.81724034866906348</v>
      </c>
      <c r="AC794" s="10">
        <f>IFERROR(VLOOKUP(Summary!B794,'Pre-Summary'!$A$6:$P$184,5, FALSE)/100,AC795)</f>
        <v>0.75598666666666658</v>
      </c>
      <c r="AD794" s="10">
        <f>IFERROR(VLOOKUP(Summary!B794,'Pre-Summary'!$A$6:$P$184,3, FALSE)/100,AD795)</f>
        <v>3.6938666666666668E-2</v>
      </c>
      <c r="AE794" s="10">
        <f>IFERROR(VLOOKUP(Summary!B794,'Pre-Summary'!$A$6:$P$184,7, FALSE)/100,AE795)</f>
        <v>0.20707500000000001</v>
      </c>
      <c r="AF794" s="99">
        <f t="shared" si="37"/>
        <v>3.0187768826036982E-2</v>
      </c>
      <c r="AG794" s="99">
        <f t="shared" si="38"/>
        <v>0.16923004520064633</v>
      </c>
      <c r="AH794" s="10" t="str">
        <f>IFERROR(VLOOKUP(B794,'Pre-Summary'!$AZ$6:$BE$65,3,FALSE),"")</f>
        <v/>
      </c>
      <c r="AI794" s="10" t="str">
        <f>IFERROR(VLOOKUP(B794,'Pre-Summary'!$AZ$6:$BE$65,5,FALSE),"")</f>
        <v/>
      </c>
      <c r="AJ794" s="10" t="str">
        <f>IFERROR(VLOOKUP(B794,'Pre-Summary'!$AZ$6:$BE$65,4,FALSE),"")</f>
        <v/>
      </c>
      <c r="AK794" s="10" t="str">
        <f>IFERROR(VLOOKUP(B794,'Pre-Summary'!$AZ$6:$BE$65,6,FALSE),"")</f>
        <v/>
      </c>
      <c r="AL794" s="10" t="str">
        <f>IFERROR(VLOOKUP(B794,'Pre-Summary'!$BG$6:$BL$44,3,FALSE),"")</f>
        <v/>
      </c>
      <c r="AM794" s="10" t="str">
        <f>IFERROR(VLOOKUP(B794,'Pre-Summary'!$BG$6:$BL$44,4,FALSE),"")</f>
        <v/>
      </c>
    </row>
    <row r="795" spans="2:39" ht="15" customHeight="1" x14ac:dyDescent="0.3">
      <c r="B795">
        <v>79.2</v>
      </c>
      <c r="C795" t="str">
        <f>IFERROR(VLOOKUP(B795,'Pre-Summary'!$DI$6:$DM$23,4,FALSE),"")</f>
        <v/>
      </c>
      <c r="D795" s="10" t="str">
        <f>IFERROR(VLOOKUP(B795,'Pre-Summary'!$AT$6:$AX$14,5,FALSE),D794)</f>
        <v>DSMZ v2: Dropped Na-Ac out of DSMZ 120 media</v>
      </c>
      <c r="E795" s="10" t="str">
        <f>IFERROR(VLOOKUP(B795,'Pre-Summary'!$AT$6:$AX$15,4,FALSE),"")</f>
        <v/>
      </c>
      <c r="F795">
        <f>IFERROR(VLOOKUP(B795,'Pre-Summary'!$AL$6:$AQ$13,6,FALSE),F794)</f>
        <v>5.9405263157894746E-2</v>
      </c>
      <c r="G795" t="str">
        <f>IFERROR(VLOOKUP(B795,'Pre-Summary'!$AE$6:$AJ$85,3,FALSE),"")</f>
        <v/>
      </c>
      <c r="H795" t="str">
        <f>IFERROR(VLOOKUP(B795,'Pre-Summary'!$AE$6:$AJ$85,4,FALSE),"")</f>
        <v/>
      </c>
      <c r="I795" t="str">
        <f>IFERROR(VLOOKUP(B795,'Pre-Summary'!$AE$6:$AJ$85,5,FALSE),"")</f>
        <v/>
      </c>
      <c r="J795" s="45" t="str">
        <f>IFERROR(VLOOKUP(B795,'Pre-Summary'!$AE$6:$AJ$85,6, FALSE),"")</f>
        <v/>
      </c>
      <c r="K795" s="45" t="str">
        <f>IFERROR(VLOOKUP(B795,'Pre-Summary'!$DE$6:$DG$61,3,FALSE),"")</f>
        <v/>
      </c>
      <c r="L795" s="45" t="str">
        <f>IFERROR(VLOOKUP(B795,'Pre-Summary'!$CU$6:$CW$36,3,FALSE),"")</f>
        <v/>
      </c>
      <c r="M795" s="45" t="str">
        <f>IFERROR(VLOOKUP(B795,'Pre-Summary'!$BW$6:$BY$58,2,FALSE),"")</f>
        <v/>
      </c>
      <c r="N795" s="45" t="str">
        <f>IFERROR(VLOOKUP(B795,'Pre-Summary'!$CD$6:$CF$64,2,FALSE),"")</f>
        <v/>
      </c>
      <c r="O795" s="99">
        <f>IFERROR(VLOOKUP(B795,'Pre-Summary'!$BO$6:$BQ$48,3, FALSE),O794)</f>
        <v>1.2</v>
      </c>
      <c r="P795" s="99">
        <f>IFERROR(VLOOKUP(B795,'Pre-Summary'!$BS$6:$BU$35,3,FALSE),P794)</f>
        <v>0.3</v>
      </c>
      <c r="Q795" s="54">
        <f t="shared" si="36"/>
        <v>4</v>
      </c>
      <c r="R795" s="53">
        <f>IFERROR(VLOOKUP(B795,'Pre-Summary'!$BG$6:$BM$44,7,FALSE),R796)</f>
        <v>0.10617362811310796</v>
      </c>
      <c r="S795" s="53">
        <f>IFERROR(VLOOKUP(B795,'Pre-Summary'!$BG$6:$BM$44,6,FALSE),S796)</f>
        <v>9.9527233330079901E-2</v>
      </c>
      <c r="T795" s="45" t="str">
        <f>IFERROR(VLOOKUP(B795,'Pre-Summary'!$Y$6:$AC$83, 3,FALSE),"")</f>
        <v/>
      </c>
      <c r="U795" s="45" t="str">
        <f>IFERROR(VLOOKUP(B795,'Pre-Summary'!$Y$6:$AC$83, 4,FALSE),"")</f>
        <v/>
      </c>
      <c r="V795" t="str">
        <f>IFERROR(VLOOKUP(B795,'Pre-Summary'!$Y$6:$AC$83, 5,FALSE),"")</f>
        <v/>
      </c>
      <c r="W795" s="45" t="str">
        <f>IFERROR(VLOOKUP(B795,'Pre-Summary'!$Y$6:$AD$83,6,FALSE),"")</f>
        <v/>
      </c>
      <c r="X795" t="str">
        <f>IFERROR(VLOOKUP('Pre-Summary'!$DB$6:$DD$63,3,FALSE),"")</f>
        <v/>
      </c>
      <c r="Y795" t="str">
        <f>IFERROR(VLOOKUP(B795,'Pre-Summary'!$CR$6:$CT$36,3,FALSE),"")</f>
        <v/>
      </c>
      <c r="Z795" s="45" t="str">
        <f>IFERROR(VLOOKUP(B795,'Pre-Summary'!$BZ$6:$CB$63,2,FALSE),"")</f>
        <v/>
      </c>
      <c r="AA795" s="45" t="str">
        <f>IFERROR(VLOOKUP(B795,'Pre-Summary'!$CG$6:$CI$70,2,FALSE),"")</f>
        <v/>
      </c>
      <c r="AB795" s="99">
        <f>IFERROR(VLOOKUP(B795,'Pre-Summary'!$A$6:$P$178,9,FALSE),AB796)</f>
        <v>0.81724034866906348</v>
      </c>
      <c r="AC795" s="10">
        <f>IFERROR(VLOOKUP(Summary!B795,'Pre-Summary'!$A$6:$P$184,5, FALSE)/100,AC796)</f>
        <v>0.75598666666666658</v>
      </c>
      <c r="AD795" s="10">
        <f>IFERROR(VLOOKUP(Summary!B795,'Pre-Summary'!$A$6:$P$184,3, FALSE)/100,AD796)</f>
        <v>3.6938666666666668E-2</v>
      </c>
      <c r="AE795" s="10">
        <f>IFERROR(VLOOKUP(Summary!B795,'Pre-Summary'!$A$6:$P$184,7, FALSE)/100,AE796)</f>
        <v>0.20707500000000001</v>
      </c>
      <c r="AF795" s="99">
        <f t="shared" si="37"/>
        <v>3.0187768826036982E-2</v>
      </c>
      <c r="AG795" s="99">
        <f t="shared" si="38"/>
        <v>0.16923004520064633</v>
      </c>
      <c r="AH795" s="10" t="str">
        <f>IFERROR(VLOOKUP(B795,'Pre-Summary'!$AZ$6:$BE$65,3,FALSE),"")</f>
        <v/>
      </c>
      <c r="AI795" s="10" t="str">
        <f>IFERROR(VLOOKUP(B795,'Pre-Summary'!$AZ$6:$BE$65,5,FALSE),"")</f>
        <v/>
      </c>
      <c r="AJ795" s="10" t="str">
        <f>IFERROR(VLOOKUP(B795,'Pre-Summary'!$AZ$6:$BE$65,4,FALSE),"")</f>
        <v/>
      </c>
      <c r="AK795" s="10" t="str">
        <f>IFERROR(VLOOKUP(B795,'Pre-Summary'!$AZ$6:$BE$65,6,FALSE),"")</f>
        <v/>
      </c>
      <c r="AL795" s="10" t="str">
        <f>IFERROR(VLOOKUP(B795,'Pre-Summary'!$BG$6:$BL$44,3,FALSE),"")</f>
        <v/>
      </c>
      <c r="AM795" s="10" t="str">
        <f>IFERROR(VLOOKUP(B795,'Pre-Summary'!$BG$6:$BL$44,4,FALSE),"")</f>
        <v/>
      </c>
    </row>
    <row r="796" spans="2:39" ht="15" customHeight="1" x14ac:dyDescent="0.3">
      <c r="B796">
        <v>79.3</v>
      </c>
      <c r="C796" t="str">
        <f>IFERROR(VLOOKUP(B796,'Pre-Summary'!$DI$6:$DM$23,4,FALSE),"")</f>
        <v/>
      </c>
      <c r="D796" s="10" t="str">
        <f>IFERROR(VLOOKUP(B796,'Pre-Summary'!$AT$6:$AX$14,5,FALSE),D795)</f>
        <v>DSMZ v2: Dropped Na-Ac out of DSMZ 120 media</v>
      </c>
      <c r="E796" s="10" t="str">
        <f>IFERROR(VLOOKUP(B796,'Pre-Summary'!$AT$6:$AX$15,4,FALSE),"")</f>
        <v/>
      </c>
      <c r="F796">
        <f>IFERROR(VLOOKUP(B796,'Pre-Summary'!$AL$6:$AQ$13,6,FALSE),F795)</f>
        <v>5.9405263157894746E-2</v>
      </c>
      <c r="G796" t="str">
        <f>IFERROR(VLOOKUP(B796,'Pre-Summary'!$AE$6:$AJ$85,3,FALSE),"")</f>
        <v/>
      </c>
      <c r="H796" t="str">
        <f>IFERROR(VLOOKUP(B796,'Pre-Summary'!$AE$6:$AJ$85,4,FALSE),"")</f>
        <v/>
      </c>
      <c r="I796" t="str">
        <f>IFERROR(VLOOKUP(B796,'Pre-Summary'!$AE$6:$AJ$85,5,FALSE),"")</f>
        <v/>
      </c>
      <c r="J796" s="45" t="str">
        <f>IFERROR(VLOOKUP(B796,'Pre-Summary'!$AE$6:$AJ$85,6, FALSE),"")</f>
        <v/>
      </c>
      <c r="K796" s="45" t="str">
        <f>IFERROR(VLOOKUP(B796,'Pre-Summary'!$DE$6:$DG$61,3,FALSE),"")</f>
        <v/>
      </c>
      <c r="L796" s="45" t="str">
        <f>IFERROR(VLOOKUP(B796,'Pre-Summary'!$CU$6:$CW$36,3,FALSE),"")</f>
        <v/>
      </c>
      <c r="M796" s="45" t="str">
        <f>IFERROR(VLOOKUP(B796,'Pre-Summary'!$BW$6:$BY$58,2,FALSE),"")</f>
        <v/>
      </c>
      <c r="N796" s="45" t="str">
        <f>IFERROR(VLOOKUP(B796,'Pre-Summary'!$CD$6:$CF$64,2,FALSE),"")</f>
        <v/>
      </c>
      <c r="O796" s="99">
        <f>IFERROR(VLOOKUP(B796,'Pre-Summary'!$BO$6:$BQ$48,3, FALSE),O795)</f>
        <v>1.2</v>
      </c>
      <c r="P796" s="99">
        <f>IFERROR(VLOOKUP(B796,'Pre-Summary'!$BS$6:$BU$35,3,FALSE),P795)</f>
        <v>0.3</v>
      </c>
      <c r="Q796" s="54">
        <f t="shared" si="36"/>
        <v>4</v>
      </c>
      <c r="R796" s="53">
        <f>IFERROR(VLOOKUP(B796,'Pre-Summary'!$BG$6:$BM$44,7,FALSE),R797)</f>
        <v>0.10617362811310796</v>
      </c>
      <c r="S796" s="53">
        <f>IFERROR(VLOOKUP(B796,'Pre-Summary'!$BG$6:$BM$44,6,FALSE),S797)</f>
        <v>9.9527233330079901E-2</v>
      </c>
      <c r="T796" s="45" t="str">
        <f>IFERROR(VLOOKUP(B796,'Pre-Summary'!$Y$6:$AC$83, 3,FALSE),"")</f>
        <v/>
      </c>
      <c r="U796" s="45" t="str">
        <f>IFERROR(VLOOKUP(B796,'Pre-Summary'!$Y$6:$AC$83, 4,FALSE),"")</f>
        <v/>
      </c>
      <c r="V796" t="str">
        <f>IFERROR(VLOOKUP(B796,'Pre-Summary'!$Y$6:$AC$83, 5,FALSE),"")</f>
        <v/>
      </c>
      <c r="W796" s="45" t="str">
        <f>IFERROR(VLOOKUP(B796,'Pre-Summary'!$Y$6:$AD$83,6,FALSE),"")</f>
        <v/>
      </c>
      <c r="X796" t="str">
        <f>IFERROR(VLOOKUP('Pre-Summary'!$DB$6:$DD$63,3,FALSE),"")</f>
        <v/>
      </c>
      <c r="Y796" t="str">
        <f>IFERROR(VLOOKUP(B796,'Pre-Summary'!$CR$6:$CT$36,3,FALSE),"")</f>
        <v/>
      </c>
      <c r="Z796" s="45" t="str">
        <f>IFERROR(VLOOKUP(B796,'Pre-Summary'!$BZ$6:$CB$63,2,FALSE),"")</f>
        <v/>
      </c>
      <c r="AA796" s="45" t="str">
        <f>IFERROR(VLOOKUP(B796,'Pre-Summary'!$CG$6:$CI$70,2,FALSE),"")</f>
        <v/>
      </c>
      <c r="AB796" s="99">
        <f>IFERROR(VLOOKUP(B796,'Pre-Summary'!$A$6:$P$178,9,FALSE),AB797)</f>
        <v>0.81724034866906348</v>
      </c>
      <c r="AC796" s="10">
        <f>IFERROR(VLOOKUP(Summary!B796,'Pre-Summary'!$A$6:$P$184,5, FALSE)/100,AC797)</f>
        <v>0.75598666666666658</v>
      </c>
      <c r="AD796" s="10">
        <f>IFERROR(VLOOKUP(Summary!B796,'Pre-Summary'!$A$6:$P$184,3, FALSE)/100,AD797)</f>
        <v>3.6938666666666668E-2</v>
      </c>
      <c r="AE796" s="10">
        <f>IFERROR(VLOOKUP(Summary!B796,'Pre-Summary'!$A$6:$P$184,7, FALSE)/100,AE797)</f>
        <v>0.20707500000000001</v>
      </c>
      <c r="AF796" s="99">
        <f t="shared" si="37"/>
        <v>3.0187768826036982E-2</v>
      </c>
      <c r="AG796" s="99">
        <f t="shared" si="38"/>
        <v>0.16923004520064633</v>
      </c>
      <c r="AH796" s="10" t="str">
        <f>IFERROR(VLOOKUP(B796,'Pre-Summary'!$AZ$6:$BE$65,3,FALSE),"")</f>
        <v/>
      </c>
      <c r="AI796" s="10" t="str">
        <f>IFERROR(VLOOKUP(B796,'Pre-Summary'!$AZ$6:$BE$65,5,FALSE),"")</f>
        <v/>
      </c>
      <c r="AJ796" s="10" t="str">
        <f>IFERROR(VLOOKUP(B796,'Pre-Summary'!$AZ$6:$BE$65,4,FALSE),"")</f>
        <v/>
      </c>
      <c r="AK796" s="10" t="str">
        <f>IFERROR(VLOOKUP(B796,'Pre-Summary'!$AZ$6:$BE$65,6,FALSE),"")</f>
        <v/>
      </c>
      <c r="AL796" s="10" t="str">
        <f>IFERROR(VLOOKUP(B796,'Pre-Summary'!$BG$6:$BL$44,3,FALSE),"")</f>
        <v/>
      </c>
      <c r="AM796" s="10" t="str">
        <f>IFERROR(VLOOKUP(B796,'Pre-Summary'!$BG$6:$BL$44,4,FALSE),"")</f>
        <v/>
      </c>
    </row>
    <row r="797" spans="2:39" ht="15" customHeight="1" x14ac:dyDescent="0.3">
      <c r="B797">
        <v>79.400000000000006</v>
      </c>
      <c r="C797" t="str">
        <f>IFERROR(VLOOKUP(B797,'Pre-Summary'!$DI$6:$DM$23,4,FALSE),"")</f>
        <v/>
      </c>
      <c r="D797" s="10" t="str">
        <f>IFERROR(VLOOKUP(B797,'Pre-Summary'!$AT$6:$AX$14,5,FALSE),D796)</f>
        <v>DSMZ v2: Dropped Na-Ac out of DSMZ 120 media</v>
      </c>
      <c r="E797" s="10" t="str">
        <f>IFERROR(VLOOKUP(B797,'Pre-Summary'!$AT$6:$AX$15,4,FALSE),"")</f>
        <v/>
      </c>
      <c r="F797">
        <f>IFERROR(VLOOKUP(B797,'Pre-Summary'!$AL$6:$AQ$13,6,FALSE),F796)</f>
        <v>5.9405263157894746E-2</v>
      </c>
      <c r="G797" t="str">
        <f>IFERROR(VLOOKUP(B797,'Pre-Summary'!$AE$6:$AJ$85,3,FALSE),"")</f>
        <v/>
      </c>
      <c r="H797" t="str">
        <f>IFERROR(VLOOKUP(B797,'Pre-Summary'!$AE$6:$AJ$85,4,FALSE),"")</f>
        <v/>
      </c>
      <c r="I797" t="str">
        <f>IFERROR(VLOOKUP(B797,'Pre-Summary'!$AE$6:$AJ$85,5,FALSE),"")</f>
        <v/>
      </c>
      <c r="J797" s="45" t="str">
        <f>IFERROR(VLOOKUP(B797,'Pre-Summary'!$AE$6:$AJ$85,6, FALSE),"")</f>
        <v/>
      </c>
      <c r="K797" s="45" t="str">
        <f>IFERROR(VLOOKUP(B797,'Pre-Summary'!$DE$6:$DG$61,3,FALSE),"")</f>
        <v/>
      </c>
      <c r="L797" s="45" t="str">
        <f>IFERROR(VLOOKUP(B797,'Pre-Summary'!$CU$6:$CW$36,3,FALSE),"")</f>
        <v/>
      </c>
      <c r="M797" s="45" t="str">
        <f>IFERROR(VLOOKUP(B797,'Pre-Summary'!$BW$6:$BY$58,2,FALSE),"")</f>
        <v/>
      </c>
      <c r="N797" s="45" t="str">
        <f>IFERROR(VLOOKUP(B797,'Pre-Summary'!$CD$6:$CF$64,2,FALSE),"")</f>
        <v/>
      </c>
      <c r="O797" s="99">
        <f>IFERROR(VLOOKUP(B797,'Pre-Summary'!$BO$6:$BQ$48,3, FALSE),O796)</f>
        <v>1.2</v>
      </c>
      <c r="P797" s="99">
        <f>IFERROR(VLOOKUP(B797,'Pre-Summary'!$BS$6:$BU$35,3,FALSE),P796)</f>
        <v>0.3</v>
      </c>
      <c r="Q797" s="54">
        <f t="shared" si="36"/>
        <v>4</v>
      </c>
      <c r="R797" s="53">
        <f>IFERROR(VLOOKUP(B797,'Pre-Summary'!$BG$6:$BM$44,7,FALSE),R798)</f>
        <v>0.10617362811310796</v>
      </c>
      <c r="S797" s="53">
        <f>IFERROR(VLOOKUP(B797,'Pre-Summary'!$BG$6:$BM$44,6,FALSE),S798)</f>
        <v>9.9527233330079901E-2</v>
      </c>
      <c r="T797" s="45" t="str">
        <f>IFERROR(VLOOKUP(B797,'Pre-Summary'!$Y$6:$AC$83, 3,FALSE),"")</f>
        <v/>
      </c>
      <c r="U797" s="45" t="str">
        <f>IFERROR(VLOOKUP(B797,'Pre-Summary'!$Y$6:$AC$83, 4,FALSE),"")</f>
        <v/>
      </c>
      <c r="V797" t="str">
        <f>IFERROR(VLOOKUP(B797,'Pre-Summary'!$Y$6:$AC$83, 5,FALSE),"")</f>
        <v/>
      </c>
      <c r="W797" s="45" t="str">
        <f>IFERROR(VLOOKUP(B797,'Pre-Summary'!$Y$6:$AD$83,6,FALSE),"")</f>
        <v/>
      </c>
      <c r="X797" t="str">
        <f>IFERROR(VLOOKUP('Pre-Summary'!$DB$6:$DD$63,3,FALSE),"")</f>
        <v/>
      </c>
      <c r="Y797" t="str">
        <f>IFERROR(VLOOKUP(B797,'Pre-Summary'!$CR$6:$CT$36,3,FALSE),"")</f>
        <v/>
      </c>
      <c r="Z797" s="45" t="str">
        <f>IFERROR(VLOOKUP(B797,'Pre-Summary'!$BZ$6:$CB$63,2,FALSE),"")</f>
        <v/>
      </c>
      <c r="AA797" s="45" t="str">
        <f>IFERROR(VLOOKUP(B797,'Pre-Summary'!$CG$6:$CI$70,2,FALSE),"")</f>
        <v/>
      </c>
      <c r="AB797" s="99">
        <f>IFERROR(VLOOKUP(B797,'Pre-Summary'!$A$6:$P$178,9,FALSE),AB798)</f>
        <v>0.81724034866906348</v>
      </c>
      <c r="AC797" s="10">
        <f>IFERROR(VLOOKUP(Summary!B797,'Pre-Summary'!$A$6:$P$184,5, FALSE)/100,AC798)</f>
        <v>0.75598666666666658</v>
      </c>
      <c r="AD797" s="10">
        <f>IFERROR(VLOOKUP(Summary!B797,'Pre-Summary'!$A$6:$P$184,3, FALSE)/100,AD798)</f>
        <v>3.6938666666666668E-2</v>
      </c>
      <c r="AE797" s="10">
        <f>IFERROR(VLOOKUP(Summary!B797,'Pre-Summary'!$A$6:$P$184,7, FALSE)/100,AE798)</f>
        <v>0.20707500000000001</v>
      </c>
      <c r="AF797" s="99">
        <f t="shared" si="37"/>
        <v>3.0187768826036982E-2</v>
      </c>
      <c r="AG797" s="99">
        <f t="shared" si="38"/>
        <v>0.16923004520064633</v>
      </c>
      <c r="AH797" s="10" t="str">
        <f>IFERROR(VLOOKUP(B797,'Pre-Summary'!$AZ$6:$BE$65,3,FALSE),"")</f>
        <v/>
      </c>
      <c r="AI797" s="10" t="str">
        <f>IFERROR(VLOOKUP(B797,'Pre-Summary'!$AZ$6:$BE$65,5,FALSE),"")</f>
        <v/>
      </c>
      <c r="AJ797" s="10" t="str">
        <f>IFERROR(VLOOKUP(B797,'Pre-Summary'!$AZ$6:$BE$65,4,FALSE),"")</f>
        <v/>
      </c>
      <c r="AK797" s="10" t="str">
        <f>IFERROR(VLOOKUP(B797,'Pre-Summary'!$AZ$6:$BE$65,6,FALSE),"")</f>
        <v/>
      </c>
      <c r="AL797" s="10" t="str">
        <f>IFERROR(VLOOKUP(B797,'Pre-Summary'!$BG$6:$BL$44,3,FALSE),"")</f>
        <v/>
      </c>
      <c r="AM797" s="10" t="str">
        <f>IFERROR(VLOOKUP(B797,'Pre-Summary'!$BG$6:$BL$44,4,FALSE),"")</f>
        <v/>
      </c>
    </row>
    <row r="798" spans="2:39" ht="15" customHeight="1" x14ac:dyDescent="0.3">
      <c r="B798">
        <v>79.5</v>
      </c>
      <c r="C798" t="str">
        <f>IFERROR(VLOOKUP(B798,'Pre-Summary'!$DI$6:$DM$23,4,FALSE),"")</f>
        <v/>
      </c>
      <c r="D798" s="10" t="str">
        <f>IFERROR(VLOOKUP(B798,'Pre-Summary'!$AT$6:$AX$14,5,FALSE),D797)</f>
        <v>DSMZ v2: Dropped Na-Ac out of DSMZ 120 media</v>
      </c>
      <c r="E798" s="10" t="str">
        <f>IFERROR(VLOOKUP(B798,'Pre-Summary'!$AT$6:$AX$15,4,FALSE),"")</f>
        <v/>
      </c>
      <c r="F798">
        <f>IFERROR(VLOOKUP(B798,'Pre-Summary'!$AL$6:$AQ$13,6,FALSE),F797)</f>
        <v>5.9405263157894746E-2</v>
      </c>
      <c r="G798" t="str">
        <f>IFERROR(VLOOKUP(B798,'Pre-Summary'!$AE$6:$AJ$85,3,FALSE),"")</f>
        <v/>
      </c>
      <c r="H798" t="str">
        <f>IFERROR(VLOOKUP(B798,'Pre-Summary'!$AE$6:$AJ$85,4,FALSE),"")</f>
        <v/>
      </c>
      <c r="I798" t="str">
        <f>IFERROR(VLOOKUP(B798,'Pre-Summary'!$AE$6:$AJ$85,5,FALSE),"")</f>
        <v/>
      </c>
      <c r="J798" s="45" t="str">
        <f>IFERROR(VLOOKUP(B798,'Pre-Summary'!$AE$6:$AJ$85,6, FALSE),"")</f>
        <v/>
      </c>
      <c r="K798" s="45" t="str">
        <f>IFERROR(VLOOKUP(B798,'Pre-Summary'!$DE$6:$DG$61,3,FALSE),"")</f>
        <v/>
      </c>
      <c r="L798" s="45" t="str">
        <f>IFERROR(VLOOKUP(B798,'Pre-Summary'!$CU$6:$CW$36,3,FALSE),"")</f>
        <v/>
      </c>
      <c r="M798" s="45" t="str">
        <f>IFERROR(VLOOKUP(B798,'Pre-Summary'!$BW$6:$BY$58,2,FALSE),"")</f>
        <v/>
      </c>
      <c r="N798" s="45" t="str">
        <f>IFERROR(VLOOKUP(B798,'Pre-Summary'!$CD$6:$CF$64,2,FALSE),"")</f>
        <v/>
      </c>
      <c r="O798" s="99">
        <f>IFERROR(VLOOKUP(B798,'Pre-Summary'!$BO$6:$BQ$48,3, FALSE),O797)</f>
        <v>1.2</v>
      </c>
      <c r="P798" s="99">
        <f>IFERROR(VLOOKUP(B798,'Pre-Summary'!$BS$6:$BU$35,3,FALSE),P797)</f>
        <v>0.3</v>
      </c>
      <c r="Q798" s="54">
        <f t="shared" si="36"/>
        <v>4</v>
      </c>
      <c r="R798" s="53">
        <f>IFERROR(VLOOKUP(B798,'Pre-Summary'!$BG$6:$BM$44,7,FALSE),R799)</f>
        <v>0.10617362811310796</v>
      </c>
      <c r="S798" s="53">
        <f>IFERROR(VLOOKUP(B798,'Pre-Summary'!$BG$6:$BM$44,6,FALSE),S799)</f>
        <v>9.9527233330079901E-2</v>
      </c>
      <c r="T798" s="45" t="str">
        <f>IFERROR(VLOOKUP(B798,'Pre-Summary'!$Y$6:$AC$83, 3,FALSE),"")</f>
        <v/>
      </c>
      <c r="U798" s="45" t="str">
        <f>IFERROR(VLOOKUP(B798,'Pre-Summary'!$Y$6:$AC$83, 4,FALSE),"")</f>
        <v/>
      </c>
      <c r="V798" t="str">
        <f>IFERROR(VLOOKUP(B798,'Pre-Summary'!$Y$6:$AC$83, 5,FALSE),"")</f>
        <v/>
      </c>
      <c r="W798" s="45" t="str">
        <f>IFERROR(VLOOKUP(B798,'Pre-Summary'!$Y$6:$AD$83,6,FALSE),"")</f>
        <v/>
      </c>
      <c r="X798" t="str">
        <f>IFERROR(VLOOKUP('Pre-Summary'!$DB$6:$DD$63,3,FALSE),"")</f>
        <v/>
      </c>
      <c r="Y798" t="str">
        <f>IFERROR(VLOOKUP(B798,'Pre-Summary'!$CR$6:$CT$36,3,FALSE),"")</f>
        <v/>
      </c>
      <c r="Z798" s="45" t="str">
        <f>IFERROR(VLOOKUP(B798,'Pre-Summary'!$BZ$6:$CB$63,2,FALSE),"")</f>
        <v/>
      </c>
      <c r="AA798" s="45" t="str">
        <f>IFERROR(VLOOKUP(B798,'Pre-Summary'!$CG$6:$CI$70,2,FALSE),"")</f>
        <v/>
      </c>
      <c r="AB798" s="99">
        <f>IFERROR(VLOOKUP(B798,'Pre-Summary'!$A$6:$P$178,9,FALSE),AB799)</f>
        <v>0.81724034866906348</v>
      </c>
      <c r="AC798" s="10">
        <f>IFERROR(VLOOKUP(Summary!B798,'Pre-Summary'!$A$6:$P$184,5, FALSE)/100,AC799)</f>
        <v>0.75598666666666658</v>
      </c>
      <c r="AD798" s="10">
        <f>IFERROR(VLOOKUP(Summary!B798,'Pre-Summary'!$A$6:$P$184,3, FALSE)/100,AD799)</f>
        <v>3.6938666666666668E-2</v>
      </c>
      <c r="AE798" s="10">
        <f>IFERROR(VLOOKUP(Summary!B798,'Pre-Summary'!$A$6:$P$184,7, FALSE)/100,AE799)</f>
        <v>0.20707500000000001</v>
      </c>
      <c r="AF798" s="99">
        <f t="shared" si="37"/>
        <v>3.0187768826036982E-2</v>
      </c>
      <c r="AG798" s="99">
        <f t="shared" si="38"/>
        <v>0.16923004520064633</v>
      </c>
      <c r="AH798" s="10" t="str">
        <f>IFERROR(VLOOKUP(B798,'Pre-Summary'!$AZ$6:$BE$65,3,FALSE),"")</f>
        <v/>
      </c>
      <c r="AI798" s="10" t="str">
        <f>IFERROR(VLOOKUP(B798,'Pre-Summary'!$AZ$6:$BE$65,5,FALSE),"")</f>
        <v/>
      </c>
      <c r="AJ798" s="10" t="str">
        <f>IFERROR(VLOOKUP(B798,'Pre-Summary'!$AZ$6:$BE$65,4,FALSE),"")</f>
        <v/>
      </c>
      <c r="AK798" s="10" t="str">
        <f>IFERROR(VLOOKUP(B798,'Pre-Summary'!$AZ$6:$BE$65,6,FALSE),"")</f>
        <v/>
      </c>
      <c r="AL798" s="10" t="str">
        <f>IFERROR(VLOOKUP(B798,'Pre-Summary'!$BG$6:$BL$44,3,FALSE),"")</f>
        <v/>
      </c>
      <c r="AM798" s="10" t="str">
        <f>IFERROR(VLOOKUP(B798,'Pre-Summary'!$BG$6:$BL$44,4,FALSE),"")</f>
        <v/>
      </c>
    </row>
    <row r="799" spans="2:39" ht="15" customHeight="1" x14ac:dyDescent="0.3">
      <c r="B799">
        <v>79.599999999999994</v>
      </c>
      <c r="C799" t="str">
        <f>IFERROR(VLOOKUP(B799,'Pre-Summary'!$DI$6:$DM$23,4,FALSE),"")</f>
        <v/>
      </c>
      <c r="D799" s="10" t="str">
        <f>IFERROR(VLOOKUP(B799,'Pre-Summary'!$AT$6:$AX$14,5,FALSE),D798)</f>
        <v>DSMZ v2: Dropped Na-Ac out of DSMZ 120 media</v>
      </c>
      <c r="E799" s="10" t="str">
        <f>IFERROR(VLOOKUP(B799,'Pre-Summary'!$AT$6:$AX$15,4,FALSE),"")</f>
        <v/>
      </c>
      <c r="F799">
        <f>IFERROR(VLOOKUP(B799,'Pre-Summary'!$AL$6:$AQ$13,6,FALSE),F798)</f>
        <v>5.9405263157894746E-2</v>
      </c>
      <c r="G799" t="str">
        <f>IFERROR(VLOOKUP(B799,'Pre-Summary'!$AE$6:$AJ$85,3,FALSE),"")</f>
        <v/>
      </c>
      <c r="H799" t="str">
        <f>IFERROR(VLOOKUP(B799,'Pre-Summary'!$AE$6:$AJ$85,4,FALSE),"")</f>
        <v/>
      </c>
      <c r="I799" t="str">
        <f>IFERROR(VLOOKUP(B799,'Pre-Summary'!$AE$6:$AJ$85,5,FALSE),"")</f>
        <v/>
      </c>
      <c r="J799" s="45" t="str">
        <f>IFERROR(VLOOKUP(B799,'Pre-Summary'!$AE$6:$AJ$85,6, FALSE),"")</f>
        <v/>
      </c>
      <c r="K799" s="45" t="str">
        <f>IFERROR(VLOOKUP(B799,'Pre-Summary'!$DE$6:$DG$61,3,FALSE),"")</f>
        <v/>
      </c>
      <c r="L799" s="45" t="str">
        <f>IFERROR(VLOOKUP(B799,'Pre-Summary'!$CU$6:$CW$36,3,FALSE),"")</f>
        <v/>
      </c>
      <c r="M799" s="45" t="str">
        <f>IFERROR(VLOOKUP(B799,'Pre-Summary'!$BW$6:$BY$58,2,FALSE),"")</f>
        <v/>
      </c>
      <c r="N799" s="45" t="str">
        <f>IFERROR(VLOOKUP(B799,'Pre-Summary'!$CD$6:$CF$64,2,FALSE),"")</f>
        <v/>
      </c>
      <c r="O799" s="99">
        <f>IFERROR(VLOOKUP(B799,'Pre-Summary'!$BO$6:$BQ$48,3, FALSE),O798)</f>
        <v>1.2</v>
      </c>
      <c r="P799" s="99">
        <f>IFERROR(VLOOKUP(B799,'Pre-Summary'!$BS$6:$BU$35,3,FALSE),P798)</f>
        <v>0.3</v>
      </c>
      <c r="Q799" s="54">
        <f t="shared" si="36"/>
        <v>4</v>
      </c>
      <c r="R799" s="53">
        <f>IFERROR(VLOOKUP(B799,'Pre-Summary'!$BG$6:$BM$44,7,FALSE),R800)</f>
        <v>0.10617362811310796</v>
      </c>
      <c r="S799" s="53">
        <f>IFERROR(VLOOKUP(B799,'Pre-Summary'!$BG$6:$BM$44,6,FALSE),S800)</f>
        <v>9.9527233330079901E-2</v>
      </c>
      <c r="T799" s="45" t="str">
        <f>IFERROR(VLOOKUP(B799,'Pre-Summary'!$Y$6:$AC$83, 3,FALSE),"")</f>
        <v/>
      </c>
      <c r="U799" s="45" t="str">
        <f>IFERROR(VLOOKUP(B799,'Pre-Summary'!$Y$6:$AC$83, 4,FALSE),"")</f>
        <v/>
      </c>
      <c r="V799" t="str">
        <f>IFERROR(VLOOKUP(B799,'Pre-Summary'!$Y$6:$AC$83, 5,FALSE),"")</f>
        <v/>
      </c>
      <c r="W799" s="45" t="str">
        <f>IFERROR(VLOOKUP(B799,'Pre-Summary'!$Y$6:$AD$83,6,FALSE),"")</f>
        <v/>
      </c>
      <c r="X799" t="str">
        <f>IFERROR(VLOOKUP('Pre-Summary'!$DB$6:$DD$63,3,FALSE),"")</f>
        <v/>
      </c>
      <c r="Y799" t="str">
        <f>IFERROR(VLOOKUP(B799,'Pre-Summary'!$CR$6:$CT$36,3,FALSE),"")</f>
        <v/>
      </c>
      <c r="Z799" s="45" t="str">
        <f>IFERROR(VLOOKUP(B799,'Pre-Summary'!$BZ$6:$CB$63,2,FALSE),"")</f>
        <v/>
      </c>
      <c r="AA799" s="45" t="str">
        <f>IFERROR(VLOOKUP(B799,'Pre-Summary'!$CG$6:$CI$70,2,FALSE),"")</f>
        <v/>
      </c>
      <c r="AB799" s="99">
        <f>IFERROR(VLOOKUP(B799,'Pre-Summary'!$A$6:$P$178,9,FALSE),AB800)</f>
        <v>0.81724034866906348</v>
      </c>
      <c r="AC799" s="10">
        <f>IFERROR(VLOOKUP(Summary!B799,'Pre-Summary'!$A$6:$P$184,5, FALSE)/100,AC800)</f>
        <v>0.75598666666666658</v>
      </c>
      <c r="AD799" s="10">
        <f>IFERROR(VLOOKUP(Summary!B799,'Pre-Summary'!$A$6:$P$184,3, FALSE)/100,AD800)</f>
        <v>3.6938666666666668E-2</v>
      </c>
      <c r="AE799" s="10">
        <f>IFERROR(VLOOKUP(Summary!B799,'Pre-Summary'!$A$6:$P$184,7, FALSE)/100,AE800)</f>
        <v>0.20707500000000001</v>
      </c>
      <c r="AF799" s="99">
        <f t="shared" si="37"/>
        <v>3.0187768826036982E-2</v>
      </c>
      <c r="AG799" s="99">
        <f t="shared" si="38"/>
        <v>0.16923004520064633</v>
      </c>
      <c r="AH799" s="10" t="str">
        <f>IFERROR(VLOOKUP(B799,'Pre-Summary'!$AZ$6:$BE$65,3,FALSE),"")</f>
        <v/>
      </c>
      <c r="AI799" s="10" t="str">
        <f>IFERROR(VLOOKUP(B799,'Pre-Summary'!$AZ$6:$BE$65,5,FALSE),"")</f>
        <v/>
      </c>
      <c r="AJ799" s="10" t="str">
        <f>IFERROR(VLOOKUP(B799,'Pre-Summary'!$AZ$6:$BE$65,4,FALSE),"")</f>
        <v/>
      </c>
      <c r="AK799" s="10" t="str">
        <f>IFERROR(VLOOKUP(B799,'Pre-Summary'!$AZ$6:$BE$65,6,FALSE),"")</f>
        <v/>
      </c>
      <c r="AL799" s="10" t="str">
        <f>IFERROR(VLOOKUP(B799,'Pre-Summary'!$BG$6:$BL$44,3,FALSE),"")</f>
        <v/>
      </c>
      <c r="AM799" s="10" t="str">
        <f>IFERROR(VLOOKUP(B799,'Pre-Summary'!$BG$6:$BL$44,4,FALSE),"")</f>
        <v/>
      </c>
    </row>
    <row r="800" spans="2:39" ht="15" customHeight="1" x14ac:dyDescent="0.3">
      <c r="B800">
        <v>79.7</v>
      </c>
      <c r="C800" t="str">
        <f>IFERROR(VLOOKUP(B800,'Pre-Summary'!$DI$6:$DM$23,4,FALSE),"")</f>
        <v/>
      </c>
      <c r="D800" s="10" t="str">
        <f>IFERROR(VLOOKUP(B800,'Pre-Summary'!$AT$6:$AX$14,5,FALSE),D799)</f>
        <v>DSMZ v2: Dropped Na-Ac out of DSMZ 120 media</v>
      </c>
      <c r="E800" s="10" t="str">
        <f>IFERROR(VLOOKUP(B800,'Pre-Summary'!$AT$6:$AX$15,4,FALSE),"")</f>
        <v/>
      </c>
      <c r="F800">
        <f>IFERROR(VLOOKUP(B800,'Pre-Summary'!$AL$6:$AQ$13,6,FALSE),F799)</f>
        <v>5.9405263157894746E-2</v>
      </c>
      <c r="G800" t="str">
        <f>IFERROR(VLOOKUP(B800,'Pre-Summary'!$AE$6:$AJ$85,3,FALSE),"")</f>
        <v/>
      </c>
      <c r="H800" t="str">
        <f>IFERROR(VLOOKUP(B800,'Pre-Summary'!$AE$6:$AJ$85,4,FALSE),"")</f>
        <v/>
      </c>
      <c r="I800" t="str">
        <f>IFERROR(VLOOKUP(B800,'Pre-Summary'!$AE$6:$AJ$85,5,FALSE),"")</f>
        <v/>
      </c>
      <c r="J800" s="45" t="str">
        <f>IFERROR(VLOOKUP(B800,'Pre-Summary'!$AE$6:$AJ$85,6, FALSE),"")</f>
        <v/>
      </c>
      <c r="K800" s="45" t="str">
        <f>IFERROR(VLOOKUP(B800,'Pre-Summary'!$DE$6:$DG$61,3,FALSE),"")</f>
        <v/>
      </c>
      <c r="L800" s="45" t="str">
        <f>IFERROR(VLOOKUP(B800,'Pre-Summary'!$CU$6:$CW$36,3,FALSE),"")</f>
        <v/>
      </c>
      <c r="M800" s="45" t="str">
        <f>IFERROR(VLOOKUP(B800,'Pre-Summary'!$BW$6:$BY$58,2,FALSE),"")</f>
        <v/>
      </c>
      <c r="N800" s="45" t="str">
        <f>IFERROR(VLOOKUP(B800,'Pre-Summary'!$CD$6:$CF$64,2,FALSE),"")</f>
        <v/>
      </c>
      <c r="O800" s="99">
        <f>IFERROR(VLOOKUP(B800,'Pre-Summary'!$BO$6:$BQ$48,3, FALSE),O799)</f>
        <v>1.2</v>
      </c>
      <c r="P800" s="99">
        <f>IFERROR(VLOOKUP(B800,'Pre-Summary'!$BS$6:$BU$35,3,FALSE),P799)</f>
        <v>0.3</v>
      </c>
      <c r="Q800" s="54">
        <f t="shared" si="36"/>
        <v>4</v>
      </c>
      <c r="R800" s="53">
        <f>IFERROR(VLOOKUP(B800,'Pre-Summary'!$BG$6:$BM$44,7,FALSE),R801)</f>
        <v>0.10617362811310796</v>
      </c>
      <c r="S800" s="53">
        <f>IFERROR(VLOOKUP(B800,'Pre-Summary'!$BG$6:$BM$44,6,FALSE),S801)</f>
        <v>9.9527233330079901E-2</v>
      </c>
      <c r="T800" s="45" t="str">
        <f>IFERROR(VLOOKUP(B800,'Pre-Summary'!$Y$6:$AC$83, 3,FALSE),"")</f>
        <v/>
      </c>
      <c r="U800" s="45" t="str">
        <f>IFERROR(VLOOKUP(B800,'Pre-Summary'!$Y$6:$AC$83, 4,FALSE),"")</f>
        <v/>
      </c>
      <c r="V800" t="str">
        <f>IFERROR(VLOOKUP(B800,'Pre-Summary'!$Y$6:$AC$83, 5,FALSE),"")</f>
        <v/>
      </c>
      <c r="W800" s="45" t="str">
        <f>IFERROR(VLOOKUP(B800,'Pre-Summary'!$Y$6:$AD$83,6,FALSE),"")</f>
        <v/>
      </c>
      <c r="X800" t="str">
        <f>IFERROR(VLOOKUP('Pre-Summary'!$DB$6:$DD$63,3,FALSE),"")</f>
        <v/>
      </c>
      <c r="Y800" t="str">
        <f>IFERROR(VLOOKUP(B800,'Pre-Summary'!$CR$6:$CT$36,3,FALSE),"")</f>
        <v/>
      </c>
      <c r="Z800" s="45" t="str">
        <f>IFERROR(VLOOKUP(B800,'Pre-Summary'!$BZ$6:$CB$63,2,FALSE),"")</f>
        <v/>
      </c>
      <c r="AA800" s="45" t="str">
        <f>IFERROR(VLOOKUP(B800,'Pre-Summary'!$CG$6:$CI$70,2,FALSE),"")</f>
        <v/>
      </c>
      <c r="AB800" s="99">
        <f>IFERROR(VLOOKUP(B800,'Pre-Summary'!$A$6:$P$178,9,FALSE),AB801)</f>
        <v>0.81724034866906348</v>
      </c>
      <c r="AC800" s="10">
        <f>IFERROR(VLOOKUP(Summary!B800,'Pre-Summary'!$A$6:$P$184,5, FALSE)/100,AC801)</f>
        <v>0.75598666666666658</v>
      </c>
      <c r="AD800" s="10">
        <f>IFERROR(VLOOKUP(Summary!B800,'Pre-Summary'!$A$6:$P$184,3, FALSE)/100,AD801)</f>
        <v>3.6938666666666668E-2</v>
      </c>
      <c r="AE800" s="10">
        <f>IFERROR(VLOOKUP(Summary!B800,'Pre-Summary'!$A$6:$P$184,7, FALSE)/100,AE801)</f>
        <v>0.20707500000000001</v>
      </c>
      <c r="AF800" s="99">
        <f t="shared" si="37"/>
        <v>3.0187768826036982E-2</v>
      </c>
      <c r="AG800" s="99">
        <f t="shared" si="38"/>
        <v>0.16923004520064633</v>
      </c>
      <c r="AH800" s="10" t="str">
        <f>IFERROR(VLOOKUP(B800,'Pre-Summary'!$AZ$6:$BE$65,3,FALSE),"")</f>
        <v/>
      </c>
      <c r="AI800" s="10" t="str">
        <f>IFERROR(VLOOKUP(B800,'Pre-Summary'!$AZ$6:$BE$65,5,FALSE),"")</f>
        <v/>
      </c>
      <c r="AJ800" s="10" t="str">
        <f>IFERROR(VLOOKUP(B800,'Pre-Summary'!$AZ$6:$BE$65,4,FALSE),"")</f>
        <v/>
      </c>
      <c r="AK800" s="10" t="str">
        <f>IFERROR(VLOOKUP(B800,'Pre-Summary'!$AZ$6:$BE$65,6,FALSE),"")</f>
        <v/>
      </c>
      <c r="AL800" s="10" t="str">
        <f>IFERROR(VLOOKUP(B800,'Pre-Summary'!$BG$6:$BL$44,3,FALSE),"")</f>
        <v/>
      </c>
      <c r="AM800" s="10" t="str">
        <f>IFERROR(VLOOKUP(B800,'Pre-Summary'!$BG$6:$BL$44,4,FALSE),"")</f>
        <v/>
      </c>
    </row>
    <row r="801" spans="2:39" ht="15" customHeight="1" x14ac:dyDescent="0.3">
      <c r="B801">
        <v>79.8</v>
      </c>
      <c r="C801" t="str">
        <f>IFERROR(VLOOKUP(B801,'Pre-Summary'!$DI$6:$DM$23,4,FALSE),"")</f>
        <v/>
      </c>
      <c r="D801" s="10" t="str">
        <f>IFERROR(VLOOKUP(B801,'Pre-Summary'!$AT$6:$AX$14,5,FALSE),D800)</f>
        <v>DSMZ v2: Dropped Na-Ac out of DSMZ 120 media</v>
      </c>
      <c r="E801" s="10" t="str">
        <f>IFERROR(VLOOKUP(B801,'Pre-Summary'!$AT$6:$AX$15,4,FALSE),"")</f>
        <v/>
      </c>
      <c r="F801">
        <f>IFERROR(VLOOKUP(B801,'Pre-Summary'!$AL$6:$AQ$13,6,FALSE),F800)</f>
        <v>5.9405263157894746E-2</v>
      </c>
      <c r="G801" t="str">
        <f>IFERROR(VLOOKUP(B801,'Pre-Summary'!$AE$6:$AJ$85,3,FALSE),"")</f>
        <v/>
      </c>
      <c r="H801" t="str">
        <f>IFERROR(VLOOKUP(B801,'Pre-Summary'!$AE$6:$AJ$85,4,FALSE),"")</f>
        <v/>
      </c>
      <c r="I801" t="str">
        <f>IFERROR(VLOOKUP(B801,'Pre-Summary'!$AE$6:$AJ$85,5,FALSE),"")</f>
        <v/>
      </c>
      <c r="J801" s="45" t="str">
        <f>IFERROR(VLOOKUP(B801,'Pre-Summary'!$AE$6:$AJ$85,6, FALSE),"")</f>
        <v/>
      </c>
      <c r="K801" s="45" t="str">
        <f>IFERROR(VLOOKUP(B801,'Pre-Summary'!$DE$6:$DG$61,3,FALSE),"")</f>
        <v/>
      </c>
      <c r="L801" s="45" t="str">
        <f>IFERROR(VLOOKUP(B801,'Pre-Summary'!$CU$6:$CW$36,3,FALSE),"")</f>
        <v/>
      </c>
      <c r="M801" s="45" t="str">
        <f>IFERROR(VLOOKUP(B801,'Pre-Summary'!$BW$6:$BY$58,2,FALSE),"")</f>
        <v/>
      </c>
      <c r="N801" s="45" t="str">
        <f>IFERROR(VLOOKUP(B801,'Pre-Summary'!$CD$6:$CF$64,2,FALSE),"")</f>
        <v/>
      </c>
      <c r="O801" s="99">
        <f>IFERROR(VLOOKUP(B801,'Pre-Summary'!$BO$6:$BQ$48,3, FALSE),O800)</f>
        <v>1.2</v>
      </c>
      <c r="P801" s="99">
        <f>IFERROR(VLOOKUP(B801,'Pre-Summary'!$BS$6:$BU$35,3,FALSE),P800)</f>
        <v>0.3</v>
      </c>
      <c r="Q801" s="54">
        <f t="shared" si="36"/>
        <v>4</v>
      </c>
      <c r="R801" s="53">
        <f>IFERROR(VLOOKUP(B801,'Pre-Summary'!$BG$6:$BM$44,7,FALSE),R802)</f>
        <v>0.10617362811310796</v>
      </c>
      <c r="S801" s="53">
        <f>IFERROR(VLOOKUP(B801,'Pre-Summary'!$BG$6:$BM$44,6,FALSE),S802)</f>
        <v>9.9527233330079901E-2</v>
      </c>
      <c r="T801" s="45" t="str">
        <f>IFERROR(VLOOKUP(B801,'Pre-Summary'!$Y$6:$AC$83, 3,FALSE),"")</f>
        <v/>
      </c>
      <c r="U801" s="45" t="str">
        <f>IFERROR(VLOOKUP(B801,'Pre-Summary'!$Y$6:$AC$83, 4,FALSE),"")</f>
        <v/>
      </c>
      <c r="V801" t="str">
        <f>IFERROR(VLOOKUP(B801,'Pre-Summary'!$Y$6:$AC$83, 5,FALSE),"")</f>
        <v/>
      </c>
      <c r="W801" s="45" t="str">
        <f>IFERROR(VLOOKUP(B801,'Pre-Summary'!$Y$6:$AD$83,6,FALSE),"")</f>
        <v/>
      </c>
      <c r="X801" t="str">
        <f>IFERROR(VLOOKUP('Pre-Summary'!$DB$6:$DD$63,3,FALSE),"")</f>
        <v/>
      </c>
      <c r="Y801" t="str">
        <f>IFERROR(VLOOKUP(B801,'Pre-Summary'!$CR$6:$CT$36,3,FALSE),"")</f>
        <v/>
      </c>
      <c r="Z801" s="45" t="str">
        <f>IFERROR(VLOOKUP(B801,'Pre-Summary'!$BZ$6:$CB$63,2,FALSE),"")</f>
        <v/>
      </c>
      <c r="AA801" s="45" t="str">
        <f>IFERROR(VLOOKUP(B801,'Pre-Summary'!$CG$6:$CI$70,2,FALSE),"")</f>
        <v/>
      </c>
      <c r="AB801" s="99">
        <f>IFERROR(VLOOKUP(B801,'Pre-Summary'!$A$6:$P$178,9,FALSE),AB802)</f>
        <v>0.81724034866906348</v>
      </c>
      <c r="AC801" s="10">
        <f>IFERROR(VLOOKUP(Summary!B801,'Pre-Summary'!$A$6:$P$184,5, FALSE)/100,AC802)</f>
        <v>0.75598666666666658</v>
      </c>
      <c r="AD801" s="10">
        <f>IFERROR(VLOOKUP(Summary!B801,'Pre-Summary'!$A$6:$P$184,3, FALSE)/100,AD802)</f>
        <v>3.6938666666666668E-2</v>
      </c>
      <c r="AE801" s="10">
        <f>IFERROR(VLOOKUP(Summary!B801,'Pre-Summary'!$A$6:$P$184,7, FALSE)/100,AE802)</f>
        <v>0.20707500000000001</v>
      </c>
      <c r="AF801" s="99">
        <f t="shared" si="37"/>
        <v>3.0187768826036982E-2</v>
      </c>
      <c r="AG801" s="99">
        <f t="shared" si="38"/>
        <v>0.16923004520064633</v>
      </c>
      <c r="AH801" s="10" t="str">
        <f>IFERROR(VLOOKUP(B801,'Pre-Summary'!$AZ$6:$BE$65,3,FALSE),"")</f>
        <v/>
      </c>
      <c r="AI801" s="10" t="str">
        <f>IFERROR(VLOOKUP(B801,'Pre-Summary'!$AZ$6:$BE$65,5,FALSE),"")</f>
        <v/>
      </c>
      <c r="AJ801" s="10" t="str">
        <f>IFERROR(VLOOKUP(B801,'Pre-Summary'!$AZ$6:$BE$65,4,FALSE),"")</f>
        <v/>
      </c>
      <c r="AK801" s="10" t="str">
        <f>IFERROR(VLOOKUP(B801,'Pre-Summary'!$AZ$6:$BE$65,6,FALSE),"")</f>
        <v/>
      </c>
      <c r="AL801" s="10" t="str">
        <f>IFERROR(VLOOKUP(B801,'Pre-Summary'!$BG$6:$BL$44,3,FALSE),"")</f>
        <v/>
      </c>
      <c r="AM801" s="10" t="str">
        <f>IFERROR(VLOOKUP(B801,'Pre-Summary'!$BG$6:$BL$44,4,FALSE),"")</f>
        <v/>
      </c>
    </row>
    <row r="802" spans="2:39" ht="15" customHeight="1" x14ac:dyDescent="0.3">
      <c r="B802">
        <v>79.900000000000006</v>
      </c>
      <c r="C802" t="str">
        <f>IFERROR(VLOOKUP(B802,'Pre-Summary'!$DI$6:$DM$23,4,FALSE),"")</f>
        <v/>
      </c>
      <c r="D802" s="10" t="str">
        <f>IFERROR(VLOOKUP(B802,'Pre-Summary'!$AT$6:$AX$14,5,FALSE),D801)</f>
        <v>DSMZ v2: Dropped Na-Ac out of DSMZ 120 media</v>
      </c>
      <c r="E802" s="10" t="str">
        <f>IFERROR(VLOOKUP(B802,'Pre-Summary'!$AT$6:$AX$15,4,FALSE),"")</f>
        <v/>
      </c>
      <c r="F802">
        <f>IFERROR(VLOOKUP(B802,'Pre-Summary'!$AL$6:$AQ$13,6,FALSE),F801)</f>
        <v>5.9405263157894746E-2</v>
      </c>
      <c r="G802" t="str">
        <f>IFERROR(VLOOKUP(B802,'Pre-Summary'!$AE$6:$AJ$85,3,FALSE),"")</f>
        <v/>
      </c>
      <c r="H802" t="str">
        <f>IFERROR(VLOOKUP(B802,'Pre-Summary'!$AE$6:$AJ$85,4,FALSE),"")</f>
        <v/>
      </c>
      <c r="I802" t="str">
        <f>IFERROR(VLOOKUP(B802,'Pre-Summary'!$AE$6:$AJ$85,5,FALSE),"")</f>
        <v/>
      </c>
      <c r="J802" s="45" t="str">
        <f>IFERROR(VLOOKUP(B802,'Pre-Summary'!$AE$6:$AJ$85,6, FALSE),"")</f>
        <v/>
      </c>
      <c r="K802" s="45" t="str">
        <f>IFERROR(VLOOKUP(B802,'Pre-Summary'!$DE$6:$DG$61,3,FALSE),"")</f>
        <v/>
      </c>
      <c r="L802" s="45" t="str">
        <f>IFERROR(VLOOKUP(B802,'Pre-Summary'!$CU$6:$CW$36,3,FALSE),"")</f>
        <v/>
      </c>
      <c r="M802" s="45" t="str">
        <f>IFERROR(VLOOKUP(B802,'Pre-Summary'!$BW$6:$BY$58,2,FALSE),"")</f>
        <v/>
      </c>
      <c r="N802" s="45" t="str">
        <f>IFERROR(VLOOKUP(B802,'Pre-Summary'!$CD$6:$CF$64,2,FALSE),"")</f>
        <v/>
      </c>
      <c r="O802" s="99">
        <f>IFERROR(VLOOKUP(B802,'Pre-Summary'!$BO$6:$BQ$48,3, FALSE),O801)</f>
        <v>1.2</v>
      </c>
      <c r="P802" s="99">
        <f>IFERROR(VLOOKUP(B802,'Pre-Summary'!$BS$6:$BU$35,3,FALSE),P801)</f>
        <v>0.3</v>
      </c>
      <c r="Q802" s="54">
        <f t="shared" si="36"/>
        <v>4</v>
      </c>
      <c r="R802" s="53">
        <f>IFERROR(VLOOKUP(B802,'Pre-Summary'!$BG$6:$BM$44,7,FALSE),R803)</f>
        <v>0.10617362811310796</v>
      </c>
      <c r="S802" s="53">
        <f>IFERROR(VLOOKUP(B802,'Pre-Summary'!$BG$6:$BM$44,6,FALSE),S803)</f>
        <v>9.9527233330079901E-2</v>
      </c>
      <c r="T802" s="45" t="str">
        <f>IFERROR(VLOOKUP(B802,'Pre-Summary'!$Y$6:$AC$83, 3,FALSE),"")</f>
        <v/>
      </c>
      <c r="U802" s="45" t="str">
        <f>IFERROR(VLOOKUP(B802,'Pre-Summary'!$Y$6:$AC$83, 4,FALSE),"")</f>
        <v/>
      </c>
      <c r="V802" t="str">
        <f>IFERROR(VLOOKUP(B802,'Pre-Summary'!$Y$6:$AC$83, 5,FALSE),"")</f>
        <v/>
      </c>
      <c r="W802" s="45" t="str">
        <f>IFERROR(VLOOKUP(B802,'Pre-Summary'!$Y$6:$AD$83,6,FALSE),"")</f>
        <v/>
      </c>
      <c r="X802" t="str">
        <f>IFERROR(VLOOKUP('Pre-Summary'!$DB$6:$DD$63,3,FALSE),"")</f>
        <v/>
      </c>
      <c r="Y802" t="str">
        <f>IFERROR(VLOOKUP(B802,'Pre-Summary'!$CR$6:$CT$36,3,FALSE),"")</f>
        <v/>
      </c>
      <c r="Z802" s="45" t="str">
        <f>IFERROR(VLOOKUP(B802,'Pre-Summary'!$BZ$6:$CB$63,2,FALSE),"")</f>
        <v/>
      </c>
      <c r="AA802" s="45" t="str">
        <f>IFERROR(VLOOKUP(B802,'Pre-Summary'!$CG$6:$CI$70,2,FALSE),"")</f>
        <v/>
      </c>
      <c r="AB802" s="99">
        <f>IFERROR(VLOOKUP(B802,'Pre-Summary'!$A$6:$P$178,9,FALSE),AB803)</f>
        <v>0.81724034866906348</v>
      </c>
      <c r="AC802" s="10">
        <f>IFERROR(VLOOKUP(Summary!B802,'Pre-Summary'!$A$6:$P$184,5, FALSE)/100,AC803)</f>
        <v>0.75598666666666658</v>
      </c>
      <c r="AD802" s="10">
        <f>IFERROR(VLOOKUP(Summary!B802,'Pre-Summary'!$A$6:$P$184,3, FALSE)/100,AD803)</f>
        <v>3.6938666666666668E-2</v>
      </c>
      <c r="AE802" s="10">
        <f>IFERROR(VLOOKUP(Summary!B802,'Pre-Summary'!$A$6:$P$184,7, FALSE)/100,AE803)</f>
        <v>0.20707500000000001</v>
      </c>
      <c r="AF802" s="99">
        <f t="shared" si="37"/>
        <v>3.0187768826036982E-2</v>
      </c>
      <c r="AG802" s="99">
        <f t="shared" si="38"/>
        <v>0.16923004520064633</v>
      </c>
      <c r="AH802" s="10" t="str">
        <f>IFERROR(VLOOKUP(B802,'Pre-Summary'!$AZ$6:$BE$65,3,FALSE),"")</f>
        <v/>
      </c>
      <c r="AI802" s="10" t="str">
        <f>IFERROR(VLOOKUP(B802,'Pre-Summary'!$AZ$6:$BE$65,5,FALSE),"")</f>
        <v/>
      </c>
      <c r="AJ802" s="10" t="str">
        <f>IFERROR(VLOOKUP(B802,'Pre-Summary'!$AZ$6:$BE$65,4,FALSE),"")</f>
        <v/>
      </c>
      <c r="AK802" s="10" t="str">
        <f>IFERROR(VLOOKUP(B802,'Pre-Summary'!$AZ$6:$BE$65,6,FALSE),"")</f>
        <v/>
      </c>
      <c r="AL802" s="10" t="str">
        <f>IFERROR(VLOOKUP(B802,'Pre-Summary'!$BG$6:$BL$44,3,FALSE),"")</f>
        <v/>
      </c>
      <c r="AM802" s="10" t="str">
        <f>IFERROR(VLOOKUP(B802,'Pre-Summary'!$BG$6:$BL$44,4,FALSE),"")</f>
        <v/>
      </c>
    </row>
    <row r="803" spans="2:39" ht="15" customHeight="1" x14ac:dyDescent="0.3">
      <c r="B803">
        <v>80</v>
      </c>
      <c r="C803" t="str">
        <f>IFERROR(VLOOKUP(B803,'Pre-Summary'!$DI$6:$DM$23,4,FALSE),"")</f>
        <v/>
      </c>
      <c r="D803" s="10" t="str">
        <f>IFERROR(VLOOKUP(B803,'Pre-Summary'!$AT$6:$AX$14,5,FALSE),D802)</f>
        <v>DSMZ v2: Dropped Na-Ac out of DSMZ 120 media</v>
      </c>
      <c r="E803" s="10" t="str">
        <f>IFERROR(VLOOKUP(B803,'Pre-Summary'!$AT$6:$AX$15,4,FALSE),"")</f>
        <v/>
      </c>
      <c r="F803">
        <f>IFERROR(VLOOKUP(B803,'Pre-Summary'!$AL$6:$AQ$13,6,FALSE),F802)</f>
        <v>5.9405263157894746E-2</v>
      </c>
      <c r="G803" t="str">
        <f>IFERROR(VLOOKUP(B803,'Pre-Summary'!$AE$6:$AJ$85,3,FALSE),"")</f>
        <v/>
      </c>
      <c r="H803" t="str">
        <f>IFERROR(VLOOKUP(B803,'Pre-Summary'!$AE$6:$AJ$85,4,FALSE),"")</f>
        <v/>
      </c>
      <c r="I803" t="str">
        <f>IFERROR(VLOOKUP(B803,'Pre-Summary'!$AE$6:$AJ$85,5,FALSE),"")</f>
        <v/>
      </c>
      <c r="J803" s="45" t="str">
        <f>IFERROR(VLOOKUP(B803,'Pre-Summary'!$AE$6:$AJ$85,6, FALSE),"")</f>
        <v/>
      </c>
      <c r="K803" s="45" t="str">
        <f>IFERROR(VLOOKUP(B803,'Pre-Summary'!$DE$6:$DG$61,3,FALSE),"")</f>
        <v/>
      </c>
      <c r="L803" s="45" t="str">
        <f>IFERROR(VLOOKUP(B803,'Pre-Summary'!$CU$6:$CW$36,3,FALSE),"")</f>
        <v/>
      </c>
      <c r="M803" s="45" t="str">
        <f>IFERROR(VLOOKUP(B803,'Pre-Summary'!$BW$6:$BY$58,2,FALSE),"")</f>
        <v/>
      </c>
      <c r="N803" s="45" t="str">
        <f>IFERROR(VLOOKUP(B803,'Pre-Summary'!$CD$6:$CF$64,2,FALSE),"")</f>
        <v/>
      </c>
      <c r="O803" s="99">
        <f>IFERROR(VLOOKUP(B803,'Pre-Summary'!$BO$6:$BQ$48,3, FALSE),O802)</f>
        <v>1.2</v>
      </c>
      <c r="P803" s="99">
        <f>IFERROR(VLOOKUP(B803,'Pre-Summary'!$BS$6:$BU$35,3,FALSE),P802)</f>
        <v>0.3</v>
      </c>
      <c r="Q803" s="54">
        <f t="shared" si="36"/>
        <v>4</v>
      </c>
      <c r="R803" s="53">
        <f>IFERROR(VLOOKUP(B803,'Pre-Summary'!$BG$6:$BM$44,7,FALSE),R804)</f>
        <v>0.10617362811310796</v>
      </c>
      <c r="S803" s="53">
        <f>IFERROR(VLOOKUP(B803,'Pre-Summary'!$BG$6:$BM$44,6,FALSE),S804)</f>
        <v>9.9527233330079901E-2</v>
      </c>
      <c r="T803" s="45" t="str">
        <f>IFERROR(VLOOKUP(B803,'Pre-Summary'!$Y$6:$AC$83, 3,FALSE),"")</f>
        <v/>
      </c>
      <c r="U803" s="45" t="str">
        <f>IFERROR(VLOOKUP(B803,'Pre-Summary'!$Y$6:$AC$83, 4,FALSE),"")</f>
        <v/>
      </c>
      <c r="V803" t="str">
        <f>IFERROR(VLOOKUP(B803,'Pre-Summary'!$Y$6:$AC$83, 5,FALSE),"")</f>
        <v/>
      </c>
      <c r="W803" s="45" t="str">
        <f>IFERROR(VLOOKUP(B803,'Pre-Summary'!$Y$6:$AD$83,6,FALSE),"")</f>
        <v/>
      </c>
      <c r="X803" t="str">
        <f>IFERROR(VLOOKUP('Pre-Summary'!$DB$6:$DD$63,3,FALSE),"")</f>
        <v/>
      </c>
      <c r="Y803" t="str">
        <f>IFERROR(VLOOKUP(B803,'Pre-Summary'!$CR$6:$CT$36,3,FALSE),"")</f>
        <v/>
      </c>
      <c r="Z803" s="45" t="str">
        <f>IFERROR(VLOOKUP(B803,'Pre-Summary'!$BZ$6:$CB$63,2,FALSE),"")</f>
        <v/>
      </c>
      <c r="AA803" s="45" t="str">
        <f>IFERROR(VLOOKUP(B803,'Pre-Summary'!$CG$6:$CI$70,2,FALSE),"")</f>
        <v/>
      </c>
      <c r="AB803" s="99">
        <f>IFERROR(VLOOKUP(B803,'Pre-Summary'!$A$6:$P$178,9,FALSE),AB804)</f>
        <v>0.81724034866906348</v>
      </c>
      <c r="AC803" s="10">
        <f>IFERROR(VLOOKUP(Summary!B803,'Pre-Summary'!$A$6:$P$184,5, FALSE)/100,AC804)</f>
        <v>0.75598666666666658</v>
      </c>
      <c r="AD803" s="10">
        <f>IFERROR(VLOOKUP(Summary!B803,'Pre-Summary'!$A$6:$P$184,3, FALSE)/100,AD804)</f>
        <v>3.6938666666666668E-2</v>
      </c>
      <c r="AE803" s="10">
        <f>IFERROR(VLOOKUP(Summary!B803,'Pre-Summary'!$A$6:$P$184,7, FALSE)/100,AE804)</f>
        <v>0.20707500000000001</v>
      </c>
      <c r="AF803" s="99">
        <f t="shared" si="37"/>
        <v>3.0187768826036982E-2</v>
      </c>
      <c r="AG803" s="99">
        <f t="shared" si="38"/>
        <v>0.16923004520064633</v>
      </c>
      <c r="AH803" s="10" t="str">
        <f>IFERROR(VLOOKUP(B803,'Pre-Summary'!$AZ$6:$BE$65,3,FALSE),"")</f>
        <v/>
      </c>
      <c r="AI803" s="10" t="str">
        <f>IFERROR(VLOOKUP(B803,'Pre-Summary'!$AZ$6:$BE$65,5,FALSE),"")</f>
        <v/>
      </c>
      <c r="AJ803" s="10" t="str">
        <f>IFERROR(VLOOKUP(B803,'Pre-Summary'!$AZ$6:$BE$65,4,FALSE),"")</f>
        <v/>
      </c>
      <c r="AK803" s="10" t="str">
        <f>IFERROR(VLOOKUP(B803,'Pre-Summary'!$AZ$6:$BE$65,6,FALSE),"")</f>
        <v/>
      </c>
      <c r="AL803" s="10" t="str">
        <f>IFERROR(VLOOKUP(B803,'Pre-Summary'!$BG$6:$BL$44,3,FALSE),"")</f>
        <v/>
      </c>
      <c r="AM803" s="10" t="str">
        <f>IFERROR(VLOOKUP(B803,'Pre-Summary'!$BG$6:$BL$44,4,FALSE),"")</f>
        <v/>
      </c>
    </row>
    <row r="804" spans="2:39" ht="15" customHeight="1" x14ac:dyDescent="0.3">
      <c r="B804">
        <v>80.099999999999994</v>
      </c>
      <c r="C804" t="str">
        <f>IFERROR(VLOOKUP(B804,'Pre-Summary'!$DI$6:$DM$23,4,FALSE),"")</f>
        <v/>
      </c>
      <c r="D804" s="10" t="str">
        <f>IFERROR(VLOOKUP(B804,'Pre-Summary'!$AT$6:$AX$14,5,FALSE),D803)</f>
        <v>DSMZ v2: Dropped Na-Ac out of DSMZ 120 media</v>
      </c>
      <c r="E804" s="10" t="str">
        <f>IFERROR(VLOOKUP(B804,'Pre-Summary'!$AT$6:$AX$15,4,FALSE),"")</f>
        <v/>
      </c>
      <c r="F804">
        <f>IFERROR(VLOOKUP(B804,'Pre-Summary'!$AL$6:$AQ$13,6,FALSE),F803)</f>
        <v>5.9405263157894746E-2</v>
      </c>
      <c r="G804" t="str">
        <f>IFERROR(VLOOKUP(B804,'Pre-Summary'!$AE$6:$AJ$85,3,FALSE),"")</f>
        <v/>
      </c>
      <c r="H804" t="str">
        <f>IFERROR(VLOOKUP(B804,'Pre-Summary'!$AE$6:$AJ$85,4,FALSE),"")</f>
        <v/>
      </c>
      <c r="I804" t="str">
        <f>IFERROR(VLOOKUP(B804,'Pre-Summary'!$AE$6:$AJ$85,5,FALSE),"")</f>
        <v/>
      </c>
      <c r="J804" s="45" t="str">
        <f>IFERROR(VLOOKUP(B804,'Pre-Summary'!$AE$6:$AJ$85,6, FALSE),"")</f>
        <v/>
      </c>
      <c r="K804" s="45" t="str">
        <f>IFERROR(VLOOKUP(B804,'Pre-Summary'!$DE$6:$DG$61,3,FALSE),"")</f>
        <v/>
      </c>
      <c r="L804" s="45" t="str">
        <f>IFERROR(VLOOKUP(B804,'Pre-Summary'!$CU$6:$CW$36,3,FALSE),"")</f>
        <v/>
      </c>
      <c r="M804" s="45" t="str">
        <f>IFERROR(VLOOKUP(B804,'Pre-Summary'!$BW$6:$BY$58,2,FALSE),"")</f>
        <v/>
      </c>
      <c r="N804" s="45" t="str">
        <f>IFERROR(VLOOKUP(B804,'Pre-Summary'!$CD$6:$CF$64,2,FALSE),"")</f>
        <v/>
      </c>
      <c r="O804" s="99">
        <f>IFERROR(VLOOKUP(B804,'Pre-Summary'!$BO$6:$BQ$48,3, FALSE),O803)</f>
        <v>1.2</v>
      </c>
      <c r="P804" s="99">
        <f>IFERROR(VLOOKUP(B804,'Pre-Summary'!$BS$6:$BU$35,3,FALSE),P803)</f>
        <v>0.3</v>
      </c>
      <c r="Q804" s="54">
        <f t="shared" si="36"/>
        <v>4</v>
      </c>
      <c r="R804" s="53">
        <f>IFERROR(VLOOKUP(B804,'Pre-Summary'!$BG$6:$BM$44,7,FALSE),R805)</f>
        <v>0.10617362811310796</v>
      </c>
      <c r="S804" s="53">
        <f>IFERROR(VLOOKUP(B804,'Pre-Summary'!$BG$6:$BM$44,6,FALSE),S805)</f>
        <v>9.9527233330079901E-2</v>
      </c>
      <c r="T804" s="45" t="str">
        <f>IFERROR(VLOOKUP(B804,'Pre-Summary'!$Y$6:$AC$83, 3,FALSE),"")</f>
        <v/>
      </c>
      <c r="U804" s="45" t="str">
        <f>IFERROR(VLOOKUP(B804,'Pre-Summary'!$Y$6:$AC$83, 4,FALSE),"")</f>
        <v/>
      </c>
      <c r="V804" t="str">
        <f>IFERROR(VLOOKUP(B804,'Pre-Summary'!$Y$6:$AC$83, 5,FALSE),"")</f>
        <v/>
      </c>
      <c r="W804" s="45" t="str">
        <f>IFERROR(VLOOKUP(B804,'Pre-Summary'!$Y$6:$AD$83,6,FALSE),"")</f>
        <v/>
      </c>
      <c r="X804" t="str">
        <f>IFERROR(VLOOKUP('Pre-Summary'!$DB$6:$DD$63,3,FALSE),"")</f>
        <v/>
      </c>
      <c r="Y804" t="str">
        <f>IFERROR(VLOOKUP(B804,'Pre-Summary'!$CR$6:$CT$36,3,FALSE),"")</f>
        <v/>
      </c>
      <c r="Z804" s="45" t="str">
        <f>IFERROR(VLOOKUP(B804,'Pre-Summary'!$BZ$6:$CB$63,2,FALSE),"")</f>
        <v/>
      </c>
      <c r="AA804" s="45" t="str">
        <f>IFERROR(VLOOKUP(B804,'Pre-Summary'!$CG$6:$CI$70,2,FALSE),"")</f>
        <v/>
      </c>
      <c r="AB804" s="99">
        <f>IFERROR(VLOOKUP(B804,'Pre-Summary'!$A$6:$P$178,9,FALSE),AB805)</f>
        <v>0.81724034866906348</v>
      </c>
      <c r="AC804" s="10">
        <f>IFERROR(VLOOKUP(Summary!B804,'Pre-Summary'!$A$6:$P$184,5, FALSE)/100,AC805)</f>
        <v>0.75598666666666658</v>
      </c>
      <c r="AD804" s="10">
        <f>IFERROR(VLOOKUP(Summary!B804,'Pre-Summary'!$A$6:$P$184,3, FALSE)/100,AD805)</f>
        <v>3.6938666666666668E-2</v>
      </c>
      <c r="AE804" s="10">
        <f>IFERROR(VLOOKUP(Summary!B804,'Pre-Summary'!$A$6:$P$184,7, FALSE)/100,AE805)</f>
        <v>0.20707500000000001</v>
      </c>
      <c r="AF804" s="99">
        <f t="shared" si="37"/>
        <v>3.0187768826036982E-2</v>
      </c>
      <c r="AG804" s="99">
        <f t="shared" si="38"/>
        <v>0.16923004520064633</v>
      </c>
      <c r="AH804" s="10" t="str">
        <f>IFERROR(VLOOKUP(B804,'Pre-Summary'!$AZ$6:$BE$65,3,FALSE),"")</f>
        <v/>
      </c>
      <c r="AI804" s="10" t="str">
        <f>IFERROR(VLOOKUP(B804,'Pre-Summary'!$AZ$6:$BE$65,5,FALSE),"")</f>
        <v/>
      </c>
      <c r="AJ804" s="10" t="str">
        <f>IFERROR(VLOOKUP(B804,'Pre-Summary'!$AZ$6:$BE$65,4,FALSE),"")</f>
        <v/>
      </c>
      <c r="AK804" s="10" t="str">
        <f>IFERROR(VLOOKUP(B804,'Pre-Summary'!$AZ$6:$BE$65,6,FALSE),"")</f>
        <v/>
      </c>
      <c r="AL804" s="10" t="str">
        <f>IFERROR(VLOOKUP(B804,'Pre-Summary'!$BG$6:$BL$44,3,FALSE),"")</f>
        <v/>
      </c>
      <c r="AM804" s="10" t="str">
        <f>IFERROR(VLOOKUP(B804,'Pre-Summary'!$BG$6:$BL$44,4,FALSE),"")</f>
        <v/>
      </c>
    </row>
    <row r="805" spans="2:39" ht="15" customHeight="1" x14ac:dyDescent="0.3">
      <c r="B805">
        <v>80.2</v>
      </c>
      <c r="C805" t="str">
        <f>IFERROR(VLOOKUP(B805,'Pre-Summary'!$DI$6:$DM$23,4,FALSE),"")</f>
        <v/>
      </c>
      <c r="D805" s="10" t="str">
        <f>IFERROR(VLOOKUP(B805,'Pre-Summary'!$AT$6:$AX$14,5,FALSE),D804)</f>
        <v>DSMZ v2: Dropped Na-Ac out of DSMZ 120 media</v>
      </c>
      <c r="E805" s="10" t="str">
        <f>IFERROR(VLOOKUP(B805,'Pre-Summary'!$AT$6:$AX$15,4,FALSE),"")</f>
        <v/>
      </c>
      <c r="F805">
        <f>IFERROR(VLOOKUP(B805,'Pre-Summary'!$AL$6:$AQ$13,6,FALSE),F804)</f>
        <v>5.9405263157894746E-2</v>
      </c>
      <c r="G805" t="str">
        <f>IFERROR(VLOOKUP(B805,'Pre-Summary'!$AE$6:$AJ$85,3,FALSE),"")</f>
        <v/>
      </c>
      <c r="H805" t="str">
        <f>IFERROR(VLOOKUP(B805,'Pre-Summary'!$AE$6:$AJ$85,4,FALSE),"")</f>
        <v/>
      </c>
      <c r="I805" t="str">
        <f>IFERROR(VLOOKUP(B805,'Pre-Summary'!$AE$6:$AJ$85,5,FALSE),"")</f>
        <v/>
      </c>
      <c r="J805" s="45" t="str">
        <f>IFERROR(VLOOKUP(B805,'Pre-Summary'!$AE$6:$AJ$85,6, FALSE),"")</f>
        <v/>
      </c>
      <c r="K805" s="45" t="str">
        <f>IFERROR(VLOOKUP(B805,'Pre-Summary'!$DE$6:$DG$61,3,FALSE),"")</f>
        <v/>
      </c>
      <c r="L805" s="45" t="str">
        <f>IFERROR(VLOOKUP(B805,'Pre-Summary'!$CU$6:$CW$36,3,FALSE),"")</f>
        <v/>
      </c>
      <c r="M805" s="45" t="str">
        <f>IFERROR(VLOOKUP(B805,'Pre-Summary'!$BW$6:$BY$58,2,FALSE),"")</f>
        <v/>
      </c>
      <c r="N805" s="45" t="str">
        <f>IFERROR(VLOOKUP(B805,'Pre-Summary'!$CD$6:$CF$64,2,FALSE),"")</f>
        <v/>
      </c>
      <c r="O805" s="99">
        <f>IFERROR(VLOOKUP(B805,'Pre-Summary'!$BO$6:$BQ$48,3, FALSE),O804)</f>
        <v>1.2</v>
      </c>
      <c r="P805" s="99">
        <f>IFERROR(VLOOKUP(B805,'Pre-Summary'!$BS$6:$BU$35,3,FALSE),P804)</f>
        <v>0.3</v>
      </c>
      <c r="Q805" s="54">
        <f t="shared" si="36"/>
        <v>4</v>
      </c>
      <c r="R805" s="53">
        <f>IFERROR(VLOOKUP(B805,'Pre-Summary'!$BG$6:$BM$44,7,FALSE),R806)</f>
        <v>0.10617362811310796</v>
      </c>
      <c r="S805" s="53">
        <f>IFERROR(VLOOKUP(B805,'Pre-Summary'!$BG$6:$BM$44,6,FALSE),S806)</f>
        <v>9.9527233330079901E-2</v>
      </c>
      <c r="T805" s="45" t="str">
        <f>IFERROR(VLOOKUP(B805,'Pre-Summary'!$Y$6:$AC$83, 3,FALSE),"")</f>
        <v/>
      </c>
      <c r="U805" s="45" t="str">
        <f>IFERROR(VLOOKUP(B805,'Pre-Summary'!$Y$6:$AC$83, 4,FALSE),"")</f>
        <v/>
      </c>
      <c r="V805" t="str">
        <f>IFERROR(VLOOKUP(B805,'Pre-Summary'!$Y$6:$AC$83, 5,FALSE),"")</f>
        <v/>
      </c>
      <c r="W805" s="45" t="str">
        <f>IFERROR(VLOOKUP(B805,'Pre-Summary'!$Y$6:$AD$83,6,FALSE),"")</f>
        <v/>
      </c>
      <c r="X805" t="str">
        <f>IFERROR(VLOOKUP('Pre-Summary'!$DB$6:$DD$63,3,FALSE),"")</f>
        <v/>
      </c>
      <c r="Y805" t="str">
        <f>IFERROR(VLOOKUP(B805,'Pre-Summary'!$CR$6:$CT$36,3,FALSE),"")</f>
        <v/>
      </c>
      <c r="Z805" s="45" t="str">
        <f>IFERROR(VLOOKUP(B805,'Pre-Summary'!$BZ$6:$CB$63,2,FALSE),"")</f>
        <v/>
      </c>
      <c r="AA805" s="45" t="str">
        <f>IFERROR(VLOOKUP(B805,'Pre-Summary'!$CG$6:$CI$70,2,FALSE),"")</f>
        <v/>
      </c>
      <c r="AB805" s="99">
        <f>IFERROR(VLOOKUP(B805,'Pre-Summary'!$A$6:$P$178,9,FALSE),AB806)</f>
        <v>0.81724034866906348</v>
      </c>
      <c r="AC805" s="10">
        <f>IFERROR(VLOOKUP(Summary!B805,'Pre-Summary'!$A$6:$P$184,5, FALSE)/100,AC806)</f>
        <v>0.75598666666666658</v>
      </c>
      <c r="AD805" s="10">
        <f>IFERROR(VLOOKUP(Summary!B805,'Pre-Summary'!$A$6:$P$184,3, FALSE)/100,AD806)</f>
        <v>3.6938666666666668E-2</v>
      </c>
      <c r="AE805" s="10">
        <f>IFERROR(VLOOKUP(Summary!B805,'Pre-Summary'!$A$6:$P$184,7, FALSE)/100,AE806)</f>
        <v>0.20707500000000001</v>
      </c>
      <c r="AF805" s="99">
        <f t="shared" si="37"/>
        <v>3.0187768826036982E-2</v>
      </c>
      <c r="AG805" s="99">
        <f t="shared" si="38"/>
        <v>0.16923004520064633</v>
      </c>
      <c r="AH805" s="10" t="str">
        <f>IFERROR(VLOOKUP(B805,'Pre-Summary'!$AZ$6:$BE$65,3,FALSE),"")</f>
        <v/>
      </c>
      <c r="AI805" s="10" t="str">
        <f>IFERROR(VLOOKUP(B805,'Pre-Summary'!$AZ$6:$BE$65,5,FALSE),"")</f>
        <v/>
      </c>
      <c r="AJ805" s="10" t="str">
        <f>IFERROR(VLOOKUP(B805,'Pre-Summary'!$AZ$6:$BE$65,4,FALSE),"")</f>
        <v/>
      </c>
      <c r="AK805" s="10" t="str">
        <f>IFERROR(VLOOKUP(B805,'Pre-Summary'!$AZ$6:$BE$65,6,FALSE),"")</f>
        <v/>
      </c>
      <c r="AL805" s="10" t="str">
        <f>IFERROR(VLOOKUP(B805,'Pre-Summary'!$BG$6:$BL$44,3,FALSE),"")</f>
        <v/>
      </c>
      <c r="AM805" s="10" t="str">
        <f>IFERROR(VLOOKUP(B805,'Pre-Summary'!$BG$6:$BL$44,4,FALSE),"")</f>
        <v/>
      </c>
    </row>
    <row r="806" spans="2:39" ht="15" customHeight="1" x14ac:dyDescent="0.3">
      <c r="B806">
        <v>80.3</v>
      </c>
      <c r="C806" t="str">
        <f>IFERROR(VLOOKUP(B806,'Pre-Summary'!$DI$6:$DM$23,4,FALSE),"")</f>
        <v/>
      </c>
      <c r="D806" s="10" t="str">
        <f>IFERROR(VLOOKUP(B806,'Pre-Summary'!$AT$6:$AX$14,5,FALSE),D805)</f>
        <v>DSMZ v2: Dropped Na-Ac out of DSMZ 120 media</v>
      </c>
      <c r="E806" s="10" t="str">
        <f>IFERROR(VLOOKUP(B806,'Pre-Summary'!$AT$6:$AX$15,4,FALSE),"")</f>
        <v/>
      </c>
      <c r="F806">
        <f>IFERROR(VLOOKUP(B806,'Pre-Summary'!$AL$6:$AQ$13,6,FALSE),F805)</f>
        <v>5.9405263157894746E-2</v>
      </c>
      <c r="G806" t="str">
        <f>IFERROR(VLOOKUP(B806,'Pre-Summary'!$AE$6:$AJ$85,3,FALSE),"")</f>
        <v/>
      </c>
      <c r="H806" t="str">
        <f>IFERROR(VLOOKUP(B806,'Pre-Summary'!$AE$6:$AJ$85,4,FALSE),"")</f>
        <v/>
      </c>
      <c r="I806" t="str">
        <f>IFERROR(VLOOKUP(B806,'Pre-Summary'!$AE$6:$AJ$85,5,FALSE),"")</f>
        <v/>
      </c>
      <c r="J806" s="45" t="str">
        <f>IFERROR(VLOOKUP(B806,'Pre-Summary'!$AE$6:$AJ$85,6, FALSE),"")</f>
        <v/>
      </c>
      <c r="K806" s="45" t="str">
        <f>IFERROR(VLOOKUP(B806,'Pre-Summary'!$DE$6:$DG$61,3,FALSE),"")</f>
        <v/>
      </c>
      <c r="L806" s="45" t="str">
        <f>IFERROR(VLOOKUP(B806,'Pre-Summary'!$CU$6:$CW$36,3,FALSE),"")</f>
        <v/>
      </c>
      <c r="M806" s="45" t="str">
        <f>IFERROR(VLOOKUP(B806,'Pre-Summary'!$BW$6:$BY$58,2,FALSE),"")</f>
        <v/>
      </c>
      <c r="N806" s="45" t="str">
        <f>IFERROR(VLOOKUP(B806,'Pre-Summary'!$CD$6:$CF$64,2,FALSE),"")</f>
        <v/>
      </c>
      <c r="O806" s="99">
        <f>IFERROR(VLOOKUP(B806,'Pre-Summary'!$BO$6:$BQ$48,3, FALSE),O805)</f>
        <v>1.2</v>
      </c>
      <c r="P806" s="99">
        <f>IFERROR(VLOOKUP(B806,'Pre-Summary'!$BS$6:$BU$35,3,FALSE),P805)</f>
        <v>0.3</v>
      </c>
      <c r="Q806" s="54">
        <f t="shared" si="36"/>
        <v>4</v>
      </c>
      <c r="R806" s="53">
        <f>IFERROR(VLOOKUP(B806,'Pre-Summary'!$BG$6:$BM$44,7,FALSE),R807)</f>
        <v>0.10617362811310796</v>
      </c>
      <c r="S806" s="53">
        <f>IFERROR(VLOOKUP(B806,'Pre-Summary'!$BG$6:$BM$44,6,FALSE),S807)</f>
        <v>9.9527233330079901E-2</v>
      </c>
      <c r="T806" s="45" t="str">
        <f>IFERROR(VLOOKUP(B806,'Pre-Summary'!$Y$6:$AC$83, 3,FALSE),"")</f>
        <v/>
      </c>
      <c r="U806" s="45" t="str">
        <f>IFERROR(VLOOKUP(B806,'Pre-Summary'!$Y$6:$AC$83, 4,FALSE),"")</f>
        <v/>
      </c>
      <c r="V806" t="str">
        <f>IFERROR(VLOOKUP(B806,'Pre-Summary'!$Y$6:$AC$83, 5,FALSE),"")</f>
        <v/>
      </c>
      <c r="W806" s="45" t="str">
        <f>IFERROR(VLOOKUP(B806,'Pre-Summary'!$Y$6:$AD$83,6,FALSE),"")</f>
        <v/>
      </c>
      <c r="X806" t="str">
        <f>IFERROR(VLOOKUP('Pre-Summary'!$DB$6:$DD$63,3,FALSE),"")</f>
        <v/>
      </c>
      <c r="Y806" t="str">
        <f>IFERROR(VLOOKUP(B806,'Pre-Summary'!$CR$6:$CT$36,3,FALSE),"")</f>
        <v/>
      </c>
      <c r="Z806" s="45" t="str">
        <f>IFERROR(VLOOKUP(B806,'Pre-Summary'!$BZ$6:$CB$63,2,FALSE),"")</f>
        <v/>
      </c>
      <c r="AA806" s="45" t="str">
        <f>IFERROR(VLOOKUP(B806,'Pre-Summary'!$CG$6:$CI$70,2,FALSE),"")</f>
        <v/>
      </c>
      <c r="AB806" s="99">
        <f>IFERROR(VLOOKUP(B806,'Pre-Summary'!$A$6:$P$178,9,FALSE),AB807)</f>
        <v>0.81724034866906348</v>
      </c>
      <c r="AC806" s="10">
        <f>IFERROR(VLOOKUP(Summary!B806,'Pre-Summary'!$A$6:$P$184,5, FALSE)/100,AC807)</f>
        <v>0.75598666666666658</v>
      </c>
      <c r="AD806" s="10">
        <f>IFERROR(VLOOKUP(Summary!B806,'Pre-Summary'!$A$6:$P$184,3, FALSE)/100,AD807)</f>
        <v>3.6938666666666668E-2</v>
      </c>
      <c r="AE806" s="10">
        <f>IFERROR(VLOOKUP(Summary!B806,'Pre-Summary'!$A$6:$P$184,7, FALSE)/100,AE807)</f>
        <v>0.20707500000000001</v>
      </c>
      <c r="AF806" s="99">
        <f t="shared" si="37"/>
        <v>3.0187768826036982E-2</v>
      </c>
      <c r="AG806" s="99">
        <f t="shared" si="38"/>
        <v>0.16923004520064633</v>
      </c>
      <c r="AH806" s="10" t="str">
        <f>IFERROR(VLOOKUP(B806,'Pre-Summary'!$AZ$6:$BE$65,3,FALSE),"")</f>
        <v/>
      </c>
      <c r="AI806" s="10" t="str">
        <f>IFERROR(VLOOKUP(B806,'Pre-Summary'!$AZ$6:$BE$65,5,FALSE),"")</f>
        <v/>
      </c>
      <c r="AJ806" s="10" t="str">
        <f>IFERROR(VLOOKUP(B806,'Pre-Summary'!$AZ$6:$BE$65,4,FALSE),"")</f>
        <v/>
      </c>
      <c r="AK806" s="10" t="str">
        <f>IFERROR(VLOOKUP(B806,'Pre-Summary'!$AZ$6:$BE$65,6,FALSE),"")</f>
        <v/>
      </c>
      <c r="AL806" s="10" t="str">
        <f>IFERROR(VLOOKUP(B806,'Pre-Summary'!$BG$6:$BL$44,3,FALSE),"")</f>
        <v/>
      </c>
      <c r="AM806" s="10" t="str">
        <f>IFERROR(VLOOKUP(B806,'Pre-Summary'!$BG$6:$BL$44,4,FALSE),"")</f>
        <v/>
      </c>
    </row>
    <row r="807" spans="2:39" ht="15" customHeight="1" x14ac:dyDescent="0.3">
      <c r="B807">
        <v>80.400000000000006</v>
      </c>
      <c r="C807" t="str">
        <f>IFERROR(VLOOKUP(B807,'Pre-Summary'!$DI$6:$DM$23,4,FALSE),"")</f>
        <v/>
      </c>
      <c r="D807" s="10" t="str">
        <f>IFERROR(VLOOKUP(B807,'Pre-Summary'!$AT$6:$AX$14,5,FALSE),D806)</f>
        <v>DSMZ v2: Dropped Na-Ac out of DSMZ 120 media</v>
      </c>
      <c r="E807" s="10" t="str">
        <f>IFERROR(VLOOKUP(B807,'Pre-Summary'!$AT$6:$AX$15,4,FALSE),"")</f>
        <v/>
      </c>
      <c r="F807">
        <f>IFERROR(VLOOKUP(B807,'Pre-Summary'!$AL$6:$AQ$13,6,FALSE),F806)</f>
        <v>5.9405263157894746E-2</v>
      </c>
      <c r="G807" t="str">
        <f>IFERROR(VLOOKUP(B807,'Pre-Summary'!$AE$6:$AJ$85,3,FALSE),"")</f>
        <v/>
      </c>
      <c r="H807" t="str">
        <f>IFERROR(VLOOKUP(B807,'Pre-Summary'!$AE$6:$AJ$85,4,FALSE),"")</f>
        <v/>
      </c>
      <c r="I807" t="str">
        <f>IFERROR(VLOOKUP(B807,'Pre-Summary'!$AE$6:$AJ$85,5,FALSE),"")</f>
        <v/>
      </c>
      <c r="J807" s="45" t="str">
        <f>IFERROR(VLOOKUP(B807,'Pre-Summary'!$AE$6:$AJ$85,6, FALSE),"")</f>
        <v/>
      </c>
      <c r="K807" s="45" t="str">
        <f>IFERROR(VLOOKUP(B807,'Pre-Summary'!$DE$6:$DG$61,3,FALSE),"")</f>
        <v/>
      </c>
      <c r="L807" s="45" t="str">
        <f>IFERROR(VLOOKUP(B807,'Pre-Summary'!$CU$6:$CW$36,3,FALSE),"")</f>
        <v/>
      </c>
      <c r="M807" s="45" t="str">
        <f>IFERROR(VLOOKUP(B807,'Pre-Summary'!$BW$6:$BY$58,2,FALSE),"")</f>
        <v/>
      </c>
      <c r="N807" s="45" t="str">
        <f>IFERROR(VLOOKUP(B807,'Pre-Summary'!$CD$6:$CF$64,2,FALSE),"")</f>
        <v/>
      </c>
      <c r="O807" s="99">
        <f>IFERROR(VLOOKUP(B807,'Pre-Summary'!$BO$6:$BQ$48,3, FALSE),O806)</f>
        <v>1.2</v>
      </c>
      <c r="P807" s="99">
        <f>IFERROR(VLOOKUP(B807,'Pre-Summary'!$BS$6:$BU$35,3,FALSE),P806)</f>
        <v>0.3</v>
      </c>
      <c r="Q807" s="54">
        <f t="shared" si="36"/>
        <v>4</v>
      </c>
      <c r="R807" s="53">
        <f>IFERROR(VLOOKUP(B807,'Pre-Summary'!$BG$6:$BM$44,7,FALSE),R808)</f>
        <v>0.10617362811310796</v>
      </c>
      <c r="S807" s="53">
        <f>IFERROR(VLOOKUP(B807,'Pre-Summary'!$BG$6:$BM$44,6,FALSE),S808)</f>
        <v>9.9527233330079901E-2</v>
      </c>
      <c r="T807" s="45" t="str">
        <f>IFERROR(VLOOKUP(B807,'Pre-Summary'!$Y$6:$AC$83, 3,FALSE),"")</f>
        <v/>
      </c>
      <c r="U807" s="45" t="str">
        <f>IFERROR(VLOOKUP(B807,'Pre-Summary'!$Y$6:$AC$83, 4,FALSE),"")</f>
        <v/>
      </c>
      <c r="V807" t="str">
        <f>IFERROR(VLOOKUP(B807,'Pre-Summary'!$Y$6:$AC$83, 5,FALSE),"")</f>
        <v/>
      </c>
      <c r="W807" s="45" t="str">
        <f>IFERROR(VLOOKUP(B807,'Pre-Summary'!$Y$6:$AD$83,6,FALSE),"")</f>
        <v/>
      </c>
      <c r="X807" t="str">
        <f>IFERROR(VLOOKUP('Pre-Summary'!$DB$6:$DD$63,3,FALSE),"")</f>
        <v/>
      </c>
      <c r="Y807" t="str">
        <f>IFERROR(VLOOKUP(B807,'Pre-Summary'!$CR$6:$CT$36,3,FALSE),"")</f>
        <v/>
      </c>
      <c r="Z807" s="45" t="str">
        <f>IFERROR(VLOOKUP(B807,'Pre-Summary'!$BZ$6:$CB$63,2,FALSE),"")</f>
        <v/>
      </c>
      <c r="AA807" s="45" t="str">
        <f>IFERROR(VLOOKUP(B807,'Pre-Summary'!$CG$6:$CI$70,2,FALSE),"")</f>
        <v/>
      </c>
      <c r="AB807" s="99">
        <f>IFERROR(VLOOKUP(B807,'Pre-Summary'!$A$6:$P$178,9,FALSE),AB808)</f>
        <v>0.81724034866906348</v>
      </c>
      <c r="AC807" s="10">
        <f>IFERROR(VLOOKUP(Summary!B807,'Pre-Summary'!$A$6:$P$184,5, FALSE)/100,AC808)</f>
        <v>0.75598666666666658</v>
      </c>
      <c r="AD807" s="10">
        <f>IFERROR(VLOOKUP(Summary!B807,'Pre-Summary'!$A$6:$P$184,3, FALSE)/100,AD808)</f>
        <v>3.6938666666666668E-2</v>
      </c>
      <c r="AE807" s="10">
        <f>IFERROR(VLOOKUP(Summary!B807,'Pre-Summary'!$A$6:$P$184,7, FALSE)/100,AE808)</f>
        <v>0.20707500000000001</v>
      </c>
      <c r="AF807" s="99">
        <f t="shared" si="37"/>
        <v>3.0187768826036982E-2</v>
      </c>
      <c r="AG807" s="99">
        <f t="shared" si="38"/>
        <v>0.16923004520064633</v>
      </c>
      <c r="AH807" s="10" t="str">
        <f>IFERROR(VLOOKUP(B807,'Pre-Summary'!$AZ$6:$BE$65,3,FALSE),"")</f>
        <v/>
      </c>
      <c r="AI807" s="10" t="str">
        <f>IFERROR(VLOOKUP(B807,'Pre-Summary'!$AZ$6:$BE$65,5,FALSE),"")</f>
        <v/>
      </c>
      <c r="AJ807" s="10" t="str">
        <f>IFERROR(VLOOKUP(B807,'Pre-Summary'!$AZ$6:$BE$65,4,FALSE),"")</f>
        <v/>
      </c>
      <c r="AK807" s="10" t="str">
        <f>IFERROR(VLOOKUP(B807,'Pre-Summary'!$AZ$6:$BE$65,6,FALSE),"")</f>
        <v/>
      </c>
      <c r="AL807" s="10" t="str">
        <f>IFERROR(VLOOKUP(B807,'Pre-Summary'!$BG$6:$BL$44,3,FALSE),"")</f>
        <v/>
      </c>
      <c r="AM807" s="10" t="str">
        <f>IFERROR(VLOOKUP(B807,'Pre-Summary'!$BG$6:$BL$44,4,FALSE),"")</f>
        <v/>
      </c>
    </row>
    <row r="808" spans="2:39" ht="15" customHeight="1" x14ac:dyDescent="0.3">
      <c r="B808">
        <v>80.5</v>
      </c>
      <c r="C808" t="str">
        <f>IFERROR(VLOOKUP(B808,'Pre-Summary'!$DI$6:$DM$23,4,FALSE),"")</f>
        <v/>
      </c>
      <c r="D808" s="10" t="str">
        <f>IFERROR(VLOOKUP(B808,'Pre-Summary'!$AT$6:$AX$14,5,FALSE),D807)</f>
        <v>DSMZ v2: Dropped Na-Ac out of DSMZ 120 media</v>
      </c>
      <c r="E808" s="10" t="str">
        <f>IFERROR(VLOOKUP(B808,'Pre-Summary'!$AT$6:$AX$15,4,FALSE),"")</f>
        <v/>
      </c>
      <c r="F808">
        <f>IFERROR(VLOOKUP(B808,'Pre-Summary'!$AL$6:$AQ$13,6,FALSE),F807)</f>
        <v>5.9405263157894746E-2</v>
      </c>
      <c r="G808" t="str">
        <f>IFERROR(VLOOKUP(B808,'Pre-Summary'!$AE$6:$AJ$85,3,FALSE),"")</f>
        <v/>
      </c>
      <c r="H808" t="str">
        <f>IFERROR(VLOOKUP(B808,'Pre-Summary'!$AE$6:$AJ$85,4,FALSE),"")</f>
        <v/>
      </c>
      <c r="I808" t="str">
        <f>IFERROR(VLOOKUP(B808,'Pre-Summary'!$AE$6:$AJ$85,5,FALSE),"")</f>
        <v/>
      </c>
      <c r="J808" s="45" t="str">
        <f>IFERROR(VLOOKUP(B808,'Pre-Summary'!$AE$6:$AJ$85,6, FALSE),"")</f>
        <v/>
      </c>
      <c r="K808" s="45" t="str">
        <f>IFERROR(VLOOKUP(B808,'Pre-Summary'!$DE$6:$DG$61,3,FALSE),"")</f>
        <v/>
      </c>
      <c r="L808" s="45" t="str">
        <f>IFERROR(VLOOKUP(B808,'Pre-Summary'!$CU$6:$CW$36,3,FALSE),"")</f>
        <v/>
      </c>
      <c r="M808" s="45" t="str">
        <f>IFERROR(VLOOKUP(B808,'Pre-Summary'!$BW$6:$BY$58,2,FALSE),"")</f>
        <v/>
      </c>
      <c r="N808" s="45" t="str">
        <f>IFERROR(VLOOKUP(B808,'Pre-Summary'!$CD$6:$CF$64,2,FALSE),"")</f>
        <v/>
      </c>
      <c r="O808" s="99">
        <f>IFERROR(VLOOKUP(B808,'Pre-Summary'!$BO$6:$BQ$48,3, FALSE),O807)</f>
        <v>1.2</v>
      </c>
      <c r="P808" s="99">
        <f>IFERROR(VLOOKUP(B808,'Pre-Summary'!$BS$6:$BU$35,3,FALSE),P807)</f>
        <v>0.3</v>
      </c>
      <c r="Q808" s="54">
        <f t="shared" si="36"/>
        <v>4</v>
      </c>
      <c r="R808" s="53">
        <f>IFERROR(VLOOKUP(B808,'Pre-Summary'!$BG$6:$BM$44,7,FALSE),R809)</f>
        <v>0.10617362811310796</v>
      </c>
      <c r="S808" s="53">
        <f>IFERROR(VLOOKUP(B808,'Pre-Summary'!$BG$6:$BM$44,6,FALSE),S809)</f>
        <v>9.9527233330079901E-2</v>
      </c>
      <c r="T808" s="45" t="str">
        <f>IFERROR(VLOOKUP(B808,'Pre-Summary'!$Y$6:$AC$83, 3,FALSE),"")</f>
        <v/>
      </c>
      <c r="U808" s="45" t="str">
        <f>IFERROR(VLOOKUP(B808,'Pre-Summary'!$Y$6:$AC$83, 4,FALSE),"")</f>
        <v/>
      </c>
      <c r="V808" t="str">
        <f>IFERROR(VLOOKUP(B808,'Pre-Summary'!$Y$6:$AC$83, 5,FALSE),"")</f>
        <v/>
      </c>
      <c r="W808" s="45" t="str">
        <f>IFERROR(VLOOKUP(B808,'Pre-Summary'!$Y$6:$AD$83,6,FALSE),"")</f>
        <v/>
      </c>
      <c r="X808" t="str">
        <f>IFERROR(VLOOKUP('Pre-Summary'!$DB$6:$DD$63,3,FALSE),"")</f>
        <v/>
      </c>
      <c r="Y808" t="str">
        <f>IFERROR(VLOOKUP(B808,'Pre-Summary'!$CR$6:$CT$36,3,FALSE),"")</f>
        <v/>
      </c>
      <c r="Z808" s="45" t="str">
        <f>IFERROR(VLOOKUP(B808,'Pre-Summary'!$BZ$6:$CB$63,2,FALSE),"")</f>
        <v/>
      </c>
      <c r="AA808" s="45" t="str">
        <f>IFERROR(VLOOKUP(B808,'Pre-Summary'!$CG$6:$CI$70,2,FALSE),"")</f>
        <v/>
      </c>
      <c r="AB808" s="99">
        <f>IFERROR(VLOOKUP(B808,'Pre-Summary'!$A$6:$P$178,9,FALSE),AB809)</f>
        <v>0.81724034866906348</v>
      </c>
      <c r="AC808" s="10">
        <f>IFERROR(VLOOKUP(Summary!B808,'Pre-Summary'!$A$6:$P$184,5, FALSE)/100,AC809)</f>
        <v>0.75598666666666658</v>
      </c>
      <c r="AD808" s="10">
        <f>IFERROR(VLOOKUP(Summary!B808,'Pre-Summary'!$A$6:$P$184,3, FALSE)/100,AD809)</f>
        <v>3.6938666666666668E-2</v>
      </c>
      <c r="AE808" s="10">
        <f>IFERROR(VLOOKUP(Summary!B808,'Pre-Summary'!$A$6:$P$184,7, FALSE)/100,AE809)</f>
        <v>0.20707500000000001</v>
      </c>
      <c r="AF808" s="99">
        <f t="shared" si="37"/>
        <v>3.0187768826036982E-2</v>
      </c>
      <c r="AG808" s="99">
        <f t="shared" si="38"/>
        <v>0.16923004520064633</v>
      </c>
      <c r="AH808" s="10" t="str">
        <f>IFERROR(VLOOKUP(B808,'Pre-Summary'!$AZ$6:$BE$65,3,FALSE),"")</f>
        <v/>
      </c>
      <c r="AI808" s="10" t="str">
        <f>IFERROR(VLOOKUP(B808,'Pre-Summary'!$AZ$6:$BE$65,5,FALSE),"")</f>
        <v/>
      </c>
      <c r="AJ808" s="10" t="str">
        <f>IFERROR(VLOOKUP(B808,'Pre-Summary'!$AZ$6:$BE$65,4,FALSE),"")</f>
        <v/>
      </c>
      <c r="AK808" s="10" t="str">
        <f>IFERROR(VLOOKUP(B808,'Pre-Summary'!$AZ$6:$BE$65,6,FALSE),"")</f>
        <v/>
      </c>
      <c r="AL808" s="10" t="str">
        <f>IFERROR(VLOOKUP(B808,'Pre-Summary'!$BG$6:$BL$44,3,FALSE),"")</f>
        <v/>
      </c>
      <c r="AM808" s="10" t="str">
        <f>IFERROR(VLOOKUP(B808,'Pre-Summary'!$BG$6:$BL$44,4,FALSE),"")</f>
        <v/>
      </c>
    </row>
    <row r="809" spans="2:39" ht="15" customHeight="1" x14ac:dyDescent="0.3">
      <c r="B809">
        <v>80.599999999999994</v>
      </c>
      <c r="C809" t="str">
        <f>IFERROR(VLOOKUP(B809,'Pre-Summary'!$DI$6:$DM$23,4,FALSE),"")</f>
        <v/>
      </c>
      <c r="D809" s="10" t="str">
        <f>IFERROR(VLOOKUP(B809,'Pre-Summary'!$AT$6:$AX$14,5,FALSE),D808)</f>
        <v>DSMZ v2: Dropped Na-Ac out of DSMZ 120 media</v>
      </c>
      <c r="E809" s="10" t="str">
        <f>IFERROR(VLOOKUP(B809,'Pre-Summary'!$AT$6:$AX$15,4,FALSE),"")</f>
        <v/>
      </c>
      <c r="F809">
        <f>IFERROR(VLOOKUP(B809,'Pre-Summary'!$AL$6:$AQ$13,6,FALSE),F808)</f>
        <v>5.9405263157894746E-2</v>
      </c>
      <c r="G809" t="str">
        <f>IFERROR(VLOOKUP(B809,'Pre-Summary'!$AE$6:$AJ$85,3,FALSE),"")</f>
        <v/>
      </c>
      <c r="H809" t="str">
        <f>IFERROR(VLOOKUP(B809,'Pre-Summary'!$AE$6:$AJ$85,4,FALSE),"")</f>
        <v/>
      </c>
      <c r="I809" t="str">
        <f>IFERROR(VLOOKUP(B809,'Pre-Summary'!$AE$6:$AJ$85,5,FALSE),"")</f>
        <v/>
      </c>
      <c r="J809" s="45" t="str">
        <f>IFERROR(VLOOKUP(B809,'Pre-Summary'!$AE$6:$AJ$85,6, FALSE),"")</f>
        <v/>
      </c>
      <c r="K809" s="45" t="str">
        <f>IFERROR(VLOOKUP(B809,'Pre-Summary'!$DE$6:$DG$61,3,FALSE),"")</f>
        <v/>
      </c>
      <c r="L809" s="45" t="str">
        <f>IFERROR(VLOOKUP(B809,'Pre-Summary'!$CU$6:$CW$36,3,FALSE),"")</f>
        <v/>
      </c>
      <c r="M809" s="45" t="str">
        <f>IFERROR(VLOOKUP(B809,'Pre-Summary'!$BW$6:$BY$58,2,FALSE),"")</f>
        <v/>
      </c>
      <c r="N809" s="45" t="str">
        <f>IFERROR(VLOOKUP(B809,'Pre-Summary'!$CD$6:$CF$64,2,FALSE),"")</f>
        <v/>
      </c>
      <c r="O809" s="99">
        <f>IFERROR(VLOOKUP(B809,'Pre-Summary'!$BO$6:$BQ$48,3, FALSE),O808)</f>
        <v>1.2</v>
      </c>
      <c r="P809" s="99">
        <f>IFERROR(VLOOKUP(B809,'Pre-Summary'!$BS$6:$BU$35,3,FALSE),P808)</f>
        <v>0.3</v>
      </c>
      <c r="Q809" s="54">
        <f t="shared" si="36"/>
        <v>4</v>
      </c>
      <c r="R809" s="53">
        <f>IFERROR(VLOOKUP(B809,'Pre-Summary'!$BG$6:$BM$44,7,FALSE),R810)</f>
        <v>0.10617362811310796</v>
      </c>
      <c r="S809" s="53">
        <f>IFERROR(VLOOKUP(B809,'Pre-Summary'!$BG$6:$BM$44,6,FALSE),S810)</f>
        <v>9.9527233330079901E-2</v>
      </c>
      <c r="T809" s="45" t="str">
        <f>IFERROR(VLOOKUP(B809,'Pre-Summary'!$Y$6:$AC$83, 3,FALSE),"")</f>
        <v/>
      </c>
      <c r="U809" s="45" t="str">
        <f>IFERROR(VLOOKUP(B809,'Pre-Summary'!$Y$6:$AC$83, 4,FALSE),"")</f>
        <v/>
      </c>
      <c r="V809" t="str">
        <f>IFERROR(VLOOKUP(B809,'Pre-Summary'!$Y$6:$AC$83, 5,FALSE),"")</f>
        <v/>
      </c>
      <c r="W809" s="45" t="str">
        <f>IFERROR(VLOOKUP(B809,'Pre-Summary'!$Y$6:$AD$83,6,FALSE),"")</f>
        <v/>
      </c>
      <c r="X809" t="str">
        <f>IFERROR(VLOOKUP('Pre-Summary'!$DB$6:$DD$63,3,FALSE),"")</f>
        <v/>
      </c>
      <c r="Y809" t="str">
        <f>IFERROR(VLOOKUP(B809,'Pre-Summary'!$CR$6:$CT$36,3,FALSE),"")</f>
        <v/>
      </c>
      <c r="Z809" s="45" t="str">
        <f>IFERROR(VLOOKUP(B809,'Pre-Summary'!$BZ$6:$CB$63,2,FALSE),"")</f>
        <v/>
      </c>
      <c r="AA809" s="45" t="str">
        <f>IFERROR(VLOOKUP(B809,'Pre-Summary'!$CG$6:$CI$70,2,FALSE),"")</f>
        <v/>
      </c>
      <c r="AB809" s="99">
        <f>IFERROR(VLOOKUP(B809,'Pre-Summary'!$A$6:$P$178,9,FALSE),AB810)</f>
        <v>0.81724034866906348</v>
      </c>
      <c r="AC809" s="10">
        <f>IFERROR(VLOOKUP(Summary!B809,'Pre-Summary'!$A$6:$P$184,5, FALSE)/100,AC810)</f>
        <v>0.75598666666666658</v>
      </c>
      <c r="AD809" s="10">
        <f>IFERROR(VLOOKUP(Summary!B809,'Pre-Summary'!$A$6:$P$184,3, FALSE)/100,AD810)</f>
        <v>3.6938666666666668E-2</v>
      </c>
      <c r="AE809" s="10">
        <f>IFERROR(VLOOKUP(Summary!B809,'Pre-Summary'!$A$6:$P$184,7, FALSE)/100,AE810)</f>
        <v>0.20707500000000001</v>
      </c>
      <c r="AF809" s="99">
        <f t="shared" si="37"/>
        <v>3.0187768826036982E-2</v>
      </c>
      <c r="AG809" s="99">
        <f t="shared" si="38"/>
        <v>0.16923004520064633</v>
      </c>
      <c r="AH809" s="10" t="str">
        <f>IFERROR(VLOOKUP(B809,'Pre-Summary'!$AZ$6:$BE$65,3,FALSE),"")</f>
        <v/>
      </c>
      <c r="AI809" s="10" t="str">
        <f>IFERROR(VLOOKUP(B809,'Pre-Summary'!$AZ$6:$BE$65,5,FALSE),"")</f>
        <v/>
      </c>
      <c r="AJ809" s="10" t="str">
        <f>IFERROR(VLOOKUP(B809,'Pre-Summary'!$AZ$6:$BE$65,4,FALSE),"")</f>
        <v/>
      </c>
      <c r="AK809" s="10" t="str">
        <f>IFERROR(VLOOKUP(B809,'Pre-Summary'!$AZ$6:$BE$65,6,FALSE),"")</f>
        <v/>
      </c>
      <c r="AL809" s="10" t="str">
        <f>IFERROR(VLOOKUP(B809,'Pre-Summary'!$BG$6:$BL$44,3,FALSE),"")</f>
        <v/>
      </c>
      <c r="AM809" s="10" t="str">
        <f>IFERROR(VLOOKUP(B809,'Pre-Summary'!$BG$6:$BL$44,4,FALSE),"")</f>
        <v/>
      </c>
    </row>
    <row r="810" spans="2:39" ht="15" customHeight="1" x14ac:dyDescent="0.3">
      <c r="B810">
        <v>80.7</v>
      </c>
      <c r="C810" t="str">
        <f>IFERROR(VLOOKUP(B810,'Pre-Summary'!$DI$6:$DM$23,4,FALSE),"")</f>
        <v/>
      </c>
      <c r="D810" s="10" t="str">
        <f>IFERROR(VLOOKUP(B810,'Pre-Summary'!$AT$6:$AX$14,5,FALSE),D809)</f>
        <v>DSMZ v2: Dropped Na-Ac out of DSMZ 120 media</v>
      </c>
      <c r="E810" s="10" t="str">
        <f>IFERROR(VLOOKUP(B810,'Pre-Summary'!$AT$6:$AX$15,4,FALSE),"")</f>
        <v/>
      </c>
      <c r="F810">
        <f>IFERROR(VLOOKUP(B810,'Pre-Summary'!$AL$6:$AQ$13,6,FALSE),F809)</f>
        <v>5.9405263157894746E-2</v>
      </c>
      <c r="G810" t="str">
        <f>IFERROR(VLOOKUP(B810,'Pre-Summary'!$AE$6:$AJ$85,3,FALSE),"")</f>
        <v/>
      </c>
      <c r="H810" t="str">
        <f>IFERROR(VLOOKUP(B810,'Pre-Summary'!$AE$6:$AJ$85,4,FALSE),"")</f>
        <v/>
      </c>
      <c r="I810" t="str">
        <f>IFERROR(VLOOKUP(B810,'Pre-Summary'!$AE$6:$AJ$85,5,FALSE),"")</f>
        <v/>
      </c>
      <c r="J810" s="45" t="str">
        <f>IFERROR(VLOOKUP(B810,'Pre-Summary'!$AE$6:$AJ$85,6, FALSE),"")</f>
        <v/>
      </c>
      <c r="K810" s="45" t="str">
        <f>IFERROR(VLOOKUP(B810,'Pre-Summary'!$DE$6:$DG$61,3,FALSE),"")</f>
        <v/>
      </c>
      <c r="L810" s="45" t="str">
        <f>IFERROR(VLOOKUP(B810,'Pre-Summary'!$CU$6:$CW$36,3,FALSE),"")</f>
        <v/>
      </c>
      <c r="M810" s="45" t="str">
        <f>IFERROR(VLOOKUP(B810,'Pre-Summary'!$BW$6:$BY$58,2,FALSE),"")</f>
        <v/>
      </c>
      <c r="N810" s="45" t="str">
        <f>IFERROR(VLOOKUP(B810,'Pre-Summary'!$CD$6:$CF$64,2,FALSE),"")</f>
        <v/>
      </c>
      <c r="O810" s="99">
        <f>IFERROR(VLOOKUP(B810,'Pre-Summary'!$BO$6:$BQ$48,3, FALSE),O809)</f>
        <v>1.2</v>
      </c>
      <c r="P810" s="99">
        <f>IFERROR(VLOOKUP(B810,'Pre-Summary'!$BS$6:$BU$35,3,FALSE),P809)</f>
        <v>0.3</v>
      </c>
      <c r="Q810" s="54">
        <f t="shared" si="36"/>
        <v>4</v>
      </c>
      <c r="R810" s="53">
        <f>IFERROR(VLOOKUP(B810,'Pre-Summary'!$BG$6:$BM$44,7,FALSE),R811)</f>
        <v>0.10617362811310796</v>
      </c>
      <c r="S810" s="53">
        <f>IFERROR(VLOOKUP(B810,'Pre-Summary'!$BG$6:$BM$44,6,FALSE),S811)</f>
        <v>9.9527233330079901E-2</v>
      </c>
      <c r="T810" s="45" t="str">
        <f>IFERROR(VLOOKUP(B810,'Pre-Summary'!$Y$6:$AC$83, 3,FALSE),"")</f>
        <v/>
      </c>
      <c r="U810" s="45" t="str">
        <f>IFERROR(VLOOKUP(B810,'Pre-Summary'!$Y$6:$AC$83, 4,FALSE),"")</f>
        <v/>
      </c>
      <c r="V810" t="str">
        <f>IFERROR(VLOOKUP(B810,'Pre-Summary'!$Y$6:$AC$83, 5,FALSE),"")</f>
        <v/>
      </c>
      <c r="W810" s="45" t="str">
        <f>IFERROR(VLOOKUP(B810,'Pre-Summary'!$Y$6:$AD$83,6,FALSE),"")</f>
        <v/>
      </c>
      <c r="X810" t="str">
        <f>IFERROR(VLOOKUP('Pre-Summary'!$DB$6:$DD$63,3,FALSE),"")</f>
        <v/>
      </c>
      <c r="Y810" t="str">
        <f>IFERROR(VLOOKUP(B810,'Pre-Summary'!$CR$6:$CT$36,3,FALSE),"")</f>
        <v/>
      </c>
      <c r="Z810" s="45" t="str">
        <f>IFERROR(VLOOKUP(B810,'Pre-Summary'!$BZ$6:$CB$63,2,FALSE),"")</f>
        <v/>
      </c>
      <c r="AA810" s="45" t="str">
        <f>IFERROR(VLOOKUP(B810,'Pre-Summary'!$CG$6:$CI$70,2,FALSE),"")</f>
        <v/>
      </c>
      <c r="AB810" s="99">
        <f>IFERROR(VLOOKUP(B810,'Pre-Summary'!$A$6:$P$178,9,FALSE),AB811)</f>
        <v>0.81724034866906348</v>
      </c>
      <c r="AC810" s="10">
        <f>IFERROR(VLOOKUP(Summary!B810,'Pre-Summary'!$A$6:$P$184,5, FALSE)/100,AC811)</f>
        <v>0.75598666666666658</v>
      </c>
      <c r="AD810" s="10">
        <f>IFERROR(VLOOKUP(Summary!B810,'Pre-Summary'!$A$6:$P$184,3, FALSE)/100,AD811)</f>
        <v>3.6938666666666668E-2</v>
      </c>
      <c r="AE810" s="10">
        <f>IFERROR(VLOOKUP(Summary!B810,'Pre-Summary'!$A$6:$P$184,7, FALSE)/100,AE811)</f>
        <v>0.20707500000000001</v>
      </c>
      <c r="AF810" s="99">
        <f t="shared" si="37"/>
        <v>3.0187768826036982E-2</v>
      </c>
      <c r="AG810" s="99">
        <f t="shared" si="38"/>
        <v>0.16923004520064633</v>
      </c>
      <c r="AH810" s="10" t="str">
        <f>IFERROR(VLOOKUP(B810,'Pre-Summary'!$AZ$6:$BE$65,3,FALSE),"")</f>
        <v/>
      </c>
      <c r="AI810" s="10" t="str">
        <f>IFERROR(VLOOKUP(B810,'Pre-Summary'!$AZ$6:$BE$65,5,FALSE),"")</f>
        <v/>
      </c>
      <c r="AJ810" s="10" t="str">
        <f>IFERROR(VLOOKUP(B810,'Pre-Summary'!$AZ$6:$BE$65,4,FALSE),"")</f>
        <v/>
      </c>
      <c r="AK810" s="10" t="str">
        <f>IFERROR(VLOOKUP(B810,'Pre-Summary'!$AZ$6:$BE$65,6,FALSE),"")</f>
        <v/>
      </c>
      <c r="AL810" s="10" t="str">
        <f>IFERROR(VLOOKUP(B810,'Pre-Summary'!$BG$6:$BL$44,3,FALSE),"")</f>
        <v/>
      </c>
      <c r="AM810" s="10" t="str">
        <f>IFERROR(VLOOKUP(B810,'Pre-Summary'!$BG$6:$BL$44,4,FALSE),"")</f>
        <v/>
      </c>
    </row>
    <row r="811" spans="2:39" ht="15" customHeight="1" x14ac:dyDescent="0.3">
      <c r="B811">
        <v>80.8</v>
      </c>
      <c r="C811" t="str">
        <f>IFERROR(VLOOKUP(B811,'Pre-Summary'!$DI$6:$DM$23,4,FALSE),"")</f>
        <v/>
      </c>
      <c r="D811" s="10" t="str">
        <f>IFERROR(VLOOKUP(B811,'Pre-Summary'!$AT$6:$AX$14,5,FALSE),D810)</f>
        <v>DSMZ v2: Dropped Na-Ac out of DSMZ 120 media</v>
      </c>
      <c r="E811" s="10" t="str">
        <f>IFERROR(VLOOKUP(B811,'Pre-Summary'!$AT$6:$AX$15,4,FALSE),"")</f>
        <v/>
      </c>
      <c r="F811">
        <f>IFERROR(VLOOKUP(B811,'Pre-Summary'!$AL$6:$AQ$13,6,FALSE),F810)</f>
        <v>5.9405263157894746E-2</v>
      </c>
      <c r="G811" t="str">
        <f>IFERROR(VLOOKUP(B811,'Pre-Summary'!$AE$6:$AJ$85,3,FALSE),"")</f>
        <v/>
      </c>
      <c r="H811" t="str">
        <f>IFERROR(VLOOKUP(B811,'Pre-Summary'!$AE$6:$AJ$85,4,FALSE),"")</f>
        <v/>
      </c>
      <c r="I811" t="str">
        <f>IFERROR(VLOOKUP(B811,'Pre-Summary'!$AE$6:$AJ$85,5,FALSE),"")</f>
        <v/>
      </c>
      <c r="J811" s="45" t="str">
        <f>IFERROR(VLOOKUP(B811,'Pre-Summary'!$AE$6:$AJ$85,6, FALSE),"")</f>
        <v/>
      </c>
      <c r="K811" s="45" t="str">
        <f>IFERROR(VLOOKUP(B811,'Pre-Summary'!$DE$6:$DG$61,3,FALSE),"")</f>
        <v/>
      </c>
      <c r="L811" s="45" t="str">
        <f>IFERROR(VLOOKUP(B811,'Pre-Summary'!$CU$6:$CW$36,3,FALSE),"")</f>
        <v/>
      </c>
      <c r="M811" s="45" t="str">
        <f>IFERROR(VLOOKUP(B811,'Pre-Summary'!$BW$6:$BY$58,2,FALSE),"")</f>
        <v/>
      </c>
      <c r="N811" s="45" t="str">
        <f>IFERROR(VLOOKUP(B811,'Pre-Summary'!$CD$6:$CF$64,2,FALSE),"")</f>
        <v/>
      </c>
      <c r="O811" s="99">
        <f>IFERROR(VLOOKUP(B811,'Pre-Summary'!$BO$6:$BQ$48,3, FALSE),O810)</f>
        <v>1.2</v>
      </c>
      <c r="P811" s="99">
        <f>IFERROR(VLOOKUP(B811,'Pre-Summary'!$BS$6:$BU$35,3,FALSE),P810)</f>
        <v>0.3</v>
      </c>
      <c r="Q811" s="54">
        <f t="shared" si="36"/>
        <v>4</v>
      </c>
      <c r="R811" s="53">
        <f>IFERROR(VLOOKUP(B811,'Pre-Summary'!$BG$6:$BM$44,7,FALSE),R812)</f>
        <v>0.10617362811310796</v>
      </c>
      <c r="S811" s="53">
        <f>IFERROR(VLOOKUP(B811,'Pre-Summary'!$BG$6:$BM$44,6,FALSE),S812)</f>
        <v>9.9527233330079901E-2</v>
      </c>
      <c r="T811" s="45" t="str">
        <f>IFERROR(VLOOKUP(B811,'Pre-Summary'!$Y$6:$AC$83, 3,FALSE),"")</f>
        <v/>
      </c>
      <c r="U811" s="45" t="str">
        <f>IFERROR(VLOOKUP(B811,'Pre-Summary'!$Y$6:$AC$83, 4,FALSE),"")</f>
        <v/>
      </c>
      <c r="V811" t="str">
        <f>IFERROR(VLOOKUP(B811,'Pre-Summary'!$Y$6:$AC$83, 5,FALSE),"")</f>
        <v/>
      </c>
      <c r="W811" s="45" t="str">
        <f>IFERROR(VLOOKUP(B811,'Pre-Summary'!$Y$6:$AD$83,6,FALSE),"")</f>
        <v/>
      </c>
      <c r="X811" t="str">
        <f>IFERROR(VLOOKUP('Pre-Summary'!$DB$6:$DD$63,3,FALSE),"")</f>
        <v/>
      </c>
      <c r="Y811" t="str">
        <f>IFERROR(VLOOKUP(B811,'Pre-Summary'!$CR$6:$CT$36,3,FALSE),"")</f>
        <v/>
      </c>
      <c r="Z811" s="45" t="str">
        <f>IFERROR(VLOOKUP(B811,'Pre-Summary'!$BZ$6:$CB$63,2,FALSE),"")</f>
        <v/>
      </c>
      <c r="AA811" s="45" t="str">
        <f>IFERROR(VLOOKUP(B811,'Pre-Summary'!$CG$6:$CI$70,2,FALSE),"")</f>
        <v/>
      </c>
      <c r="AB811" s="99">
        <f>IFERROR(VLOOKUP(B811,'Pre-Summary'!$A$6:$P$178,9,FALSE),AB812)</f>
        <v>0.81724034866906348</v>
      </c>
      <c r="AC811" s="10">
        <f>IFERROR(VLOOKUP(Summary!B811,'Pre-Summary'!$A$6:$P$184,5, FALSE)/100,AC812)</f>
        <v>0.75598666666666658</v>
      </c>
      <c r="AD811" s="10">
        <f>IFERROR(VLOOKUP(Summary!B811,'Pre-Summary'!$A$6:$P$184,3, FALSE)/100,AD812)</f>
        <v>3.6938666666666668E-2</v>
      </c>
      <c r="AE811" s="10">
        <f>IFERROR(VLOOKUP(Summary!B811,'Pre-Summary'!$A$6:$P$184,7, FALSE)/100,AE812)</f>
        <v>0.20707500000000001</v>
      </c>
      <c r="AF811" s="99">
        <f t="shared" si="37"/>
        <v>3.0187768826036982E-2</v>
      </c>
      <c r="AG811" s="99">
        <f t="shared" si="38"/>
        <v>0.16923004520064633</v>
      </c>
      <c r="AH811" s="10" t="str">
        <f>IFERROR(VLOOKUP(B811,'Pre-Summary'!$AZ$6:$BE$65,3,FALSE),"")</f>
        <v/>
      </c>
      <c r="AI811" s="10" t="str">
        <f>IFERROR(VLOOKUP(B811,'Pre-Summary'!$AZ$6:$BE$65,5,FALSE),"")</f>
        <v/>
      </c>
      <c r="AJ811" s="10" t="str">
        <f>IFERROR(VLOOKUP(B811,'Pre-Summary'!$AZ$6:$BE$65,4,FALSE),"")</f>
        <v/>
      </c>
      <c r="AK811" s="10" t="str">
        <f>IFERROR(VLOOKUP(B811,'Pre-Summary'!$AZ$6:$BE$65,6,FALSE),"")</f>
        <v/>
      </c>
      <c r="AL811" s="10" t="str">
        <f>IFERROR(VLOOKUP(B811,'Pre-Summary'!$BG$6:$BL$44,3,FALSE),"")</f>
        <v/>
      </c>
      <c r="AM811" s="10" t="str">
        <f>IFERROR(VLOOKUP(B811,'Pre-Summary'!$BG$6:$BL$44,4,FALSE),"")</f>
        <v/>
      </c>
    </row>
    <row r="812" spans="2:39" ht="15" customHeight="1" x14ac:dyDescent="0.3">
      <c r="B812">
        <v>80.900000000000006</v>
      </c>
      <c r="C812" t="str">
        <f>IFERROR(VLOOKUP(B812,'Pre-Summary'!$DI$6:$DM$23,4,FALSE),"")</f>
        <v/>
      </c>
      <c r="D812" s="10" t="str">
        <f>IFERROR(VLOOKUP(B812,'Pre-Summary'!$AT$6:$AX$14,5,FALSE),D811)</f>
        <v>DSMZ v2: Dropped Na-Ac out of DSMZ 120 media</v>
      </c>
      <c r="E812" s="10" t="str">
        <f>IFERROR(VLOOKUP(B812,'Pre-Summary'!$AT$6:$AX$15,4,FALSE),"")</f>
        <v/>
      </c>
      <c r="F812">
        <f>IFERROR(VLOOKUP(B812,'Pre-Summary'!$AL$6:$AQ$13,6,FALSE),F811)</f>
        <v>5.9405263157894746E-2</v>
      </c>
      <c r="G812" t="str">
        <f>IFERROR(VLOOKUP(B812,'Pre-Summary'!$AE$6:$AJ$85,3,FALSE),"")</f>
        <v/>
      </c>
      <c r="H812" t="str">
        <f>IFERROR(VLOOKUP(B812,'Pre-Summary'!$AE$6:$AJ$85,4,FALSE),"")</f>
        <v/>
      </c>
      <c r="I812" t="str">
        <f>IFERROR(VLOOKUP(B812,'Pre-Summary'!$AE$6:$AJ$85,5,FALSE),"")</f>
        <v/>
      </c>
      <c r="J812" s="45" t="str">
        <f>IFERROR(VLOOKUP(B812,'Pre-Summary'!$AE$6:$AJ$85,6, FALSE),"")</f>
        <v/>
      </c>
      <c r="K812" s="45" t="str">
        <f>IFERROR(VLOOKUP(B812,'Pre-Summary'!$DE$6:$DG$61,3,FALSE),"")</f>
        <v/>
      </c>
      <c r="L812" s="45" t="str">
        <f>IFERROR(VLOOKUP(B812,'Pre-Summary'!$CU$6:$CW$36,3,FALSE),"")</f>
        <v/>
      </c>
      <c r="M812" s="45" t="str">
        <f>IFERROR(VLOOKUP(B812,'Pre-Summary'!$BW$6:$BY$58,2,FALSE),"")</f>
        <v/>
      </c>
      <c r="N812" s="45" t="str">
        <f>IFERROR(VLOOKUP(B812,'Pre-Summary'!$CD$6:$CF$64,2,FALSE),"")</f>
        <v/>
      </c>
      <c r="O812" s="99">
        <f>IFERROR(VLOOKUP(B812,'Pre-Summary'!$BO$6:$BQ$48,3, FALSE),O811)</f>
        <v>1.2</v>
      </c>
      <c r="P812" s="99">
        <f>IFERROR(VLOOKUP(B812,'Pre-Summary'!$BS$6:$BU$35,3,FALSE),P811)</f>
        <v>0.3</v>
      </c>
      <c r="Q812" s="54">
        <f t="shared" si="36"/>
        <v>4</v>
      </c>
      <c r="R812" s="53">
        <f>IFERROR(VLOOKUP(B812,'Pre-Summary'!$BG$6:$BM$44,7,FALSE),R813)</f>
        <v>0.10617362811310796</v>
      </c>
      <c r="S812" s="53">
        <f>IFERROR(VLOOKUP(B812,'Pre-Summary'!$BG$6:$BM$44,6,FALSE),S813)</f>
        <v>9.9527233330079901E-2</v>
      </c>
      <c r="T812" s="45" t="str">
        <f>IFERROR(VLOOKUP(B812,'Pre-Summary'!$Y$6:$AC$83, 3,FALSE),"")</f>
        <v/>
      </c>
      <c r="U812" s="45" t="str">
        <f>IFERROR(VLOOKUP(B812,'Pre-Summary'!$Y$6:$AC$83, 4,FALSE),"")</f>
        <v/>
      </c>
      <c r="V812" t="str">
        <f>IFERROR(VLOOKUP(B812,'Pre-Summary'!$Y$6:$AC$83, 5,FALSE),"")</f>
        <v/>
      </c>
      <c r="W812" s="45" t="str">
        <f>IFERROR(VLOOKUP(B812,'Pre-Summary'!$Y$6:$AD$83,6,FALSE),"")</f>
        <v/>
      </c>
      <c r="X812" t="str">
        <f>IFERROR(VLOOKUP('Pre-Summary'!$DB$6:$DD$63,3,FALSE),"")</f>
        <v/>
      </c>
      <c r="Y812" t="str">
        <f>IFERROR(VLOOKUP(B812,'Pre-Summary'!$CR$6:$CT$36,3,FALSE),"")</f>
        <v/>
      </c>
      <c r="Z812" s="45" t="str">
        <f>IFERROR(VLOOKUP(B812,'Pre-Summary'!$BZ$6:$CB$63,2,FALSE),"")</f>
        <v/>
      </c>
      <c r="AA812" s="45" t="str">
        <f>IFERROR(VLOOKUP(B812,'Pre-Summary'!$CG$6:$CI$70,2,FALSE),"")</f>
        <v/>
      </c>
      <c r="AB812" s="99">
        <f>IFERROR(VLOOKUP(B812,'Pre-Summary'!$A$6:$P$178,9,FALSE),AB813)</f>
        <v>0.81724034866906348</v>
      </c>
      <c r="AC812" s="10">
        <f>IFERROR(VLOOKUP(Summary!B812,'Pre-Summary'!$A$6:$P$184,5, FALSE)/100,AC813)</f>
        <v>0.75598666666666658</v>
      </c>
      <c r="AD812" s="10">
        <f>IFERROR(VLOOKUP(Summary!B812,'Pre-Summary'!$A$6:$P$184,3, FALSE)/100,AD813)</f>
        <v>3.6938666666666668E-2</v>
      </c>
      <c r="AE812" s="10">
        <f>IFERROR(VLOOKUP(Summary!B812,'Pre-Summary'!$A$6:$P$184,7, FALSE)/100,AE813)</f>
        <v>0.20707500000000001</v>
      </c>
      <c r="AF812" s="99">
        <f t="shared" si="37"/>
        <v>3.0187768826036982E-2</v>
      </c>
      <c r="AG812" s="99">
        <f t="shared" si="38"/>
        <v>0.16923004520064633</v>
      </c>
      <c r="AH812" s="10" t="str">
        <f>IFERROR(VLOOKUP(B812,'Pre-Summary'!$AZ$6:$BE$65,3,FALSE),"")</f>
        <v/>
      </c>
      <c r="AI812" s="10" t="str">
        <f>IFERROR(VLOOKUP(B812,'Pre-Summary'!$AZ$6:$BE$65,5,FALSE),"")</f>
        <v/>
      </c>
      <c r="AJ812" s="10" t="str">
        <f>IFERROR(VLOOKUP(B812,'Pre-Summary'!$AZ$6:$BE$65,4,FALSE),"")</f>
        <v/>
      </c>
      <c r="AK812" s="10" t="str">
        <f>IFERROR(VLOOKUP(B812,'Pre-Summary'!$AZ$6:$BE$65,6,FALSE),"")</f>
        <v/>
      </c>
      <c r="AL812" s="10" t="str">
        <f>IFERROR(VLOOKUP(B812,'Pre-Summary'!$BG$6:$BL$44,3,FALSE),"")</f>
        <v/>
      </c>
      <c r="AM812" s="10" t="str">
        <f>IFERROR(VLOOKUP(B812,'Pre-Summary'!$BG$6:$BL$44,4,FALSE),"")</f>
        <v/>
      </c>
    </row>
    <row r="813" spans="2:39" ht="15" customHeight="1" x14ac:dyDescent="0.3">
      <c r="B813">
        <v>81</v>
      </c>
      <c r="C813" t="str">
        <f>IFERROR(VLOOKUP(B813,'Pre-Summary'!$DI$6:$DM$23,4,FALSE),"")</f>
        <v/>
      </c>
      <c r="D813" s="10" t="str">
        <f>IFERROR(VLOOKUP(B813,'Pre-Summary'!$AT$6:$AX$14,5,FALSE),D812)</f>
        <v>DSMZ v2: Dropped Na-Ac out of DSMZ 120 media</v>
      </c>
      <c r="E813" s="10" t="str">
        <f>IFERROR(VLOOKUP(B813,'Pre-Summary'!$AT$6:$AX$15,4,FALSE),"")</f>
        <v/>
      </c>
      <c r="F813">
        <f>IFERROR(VLOOKUP(B813,'Pre-Summary'!$AL$6:$AQ$13,6,FALSE),F812)</f>
        <v>5.9405263157894746E-2</v>
      </c>
      <c r="G813" t="str">
        <f>IFERROR(VLOOKUP(B813,'Pre-Summary'!$AE$6:$AJ$85,3,FALSE),"")</f>
        <v/>
      </c>
      <c r="H813" t="str">
        <f>IFERROR(VLOOKUP(B813,'Pre-Summary'!$AE$6:$AJ$85,4,FALSE),"")</f>
        <v/>
      </c>
      <c r="I813" t="str">
        <f>IFERROR(VLOOKUP(B813,'Pre-Summary'!$AE$6:$AJ$85,5,FALSE),"")</f>
        <v/>
      </c>
      <c r="J813" s="45" t="str">
        <f>IFERROR(VLOOKUP(B813,'Pre-Summary'!$AE$6:$AJ$85,6, FALSE),"")</f>
        <v/>
      </c>
      <c r="K813" s="45" t="str">
        <f>IFERROR(VLOOKUP(B813,'Pre-Summary'!$DE$6:$DG$61,3,FALSE),"")</f>
        <v/>
      </c>
      <c r="L813" s="45" t="str">
        <f>IFERROR(VLOOKUP(B813,'Pre-Summary'!$CU$6:$CW$36,3,FALSE),"")</f>
        <v/>
      </c>
      <c r="M813" s="45" t="str">
        <f>IFERROR(VLOOKUP(B813,'Pre-Summary'!$BW$6:$BY$58,2,FALSE),"")</f>
        <v/>
      </c>
      <c r="N813" s="45" t="str">
        <f>IFERROR(VLOOKUP(B813,'Pre-Summary'!$CD$6:$CF$64,2,FALSE),"")</f>
        <v/>
      </c>
      <c r="O813" s="99">
        <f>IFERROR(VLOOKUP(B813,'Pre-Summary'!$BO$6:$BQ$48,3, FALSE),O812)</f>
        <v>1.2</v>
      </c>
      <c r="P813" s="99">
        <f>IFERROR(VLOOKUP(B813,'Pre-Summary'!$BS$6:$BU$35,3,FALSE),P812)</f>
        <v>0.3</v>
      </c>
      <c r="Q813" s="54">
        <f t="shared" si="36"/>
        <v>4</v>
      </c>
      <c r="R813" s="53">
        <f>IFERROR(VLOOKUP(B813,'Pre-Summary'!$BG$6:$BM$44,7,FALSE),R814)</f>
        <v>0.10617362811310796</v>
      </c>
      <c r="S813" s="53">
        <f>IFERROR(VLOOKUP(B813,'Pre-Summary'!$BG$6:$BM$44,6,FALSE),S814)</f>
        <v>9.9527233330079901E-2</v>
      </c>
      <c r="T813" s="45" t="str">
        <f>IFERROR(VLOOKUP(B813,'Pre-Summary'!$Y$6:$AC$83, 3,FALSE),"")</f>
        <v/>
      </c>
      <c r="U813" s="45" t="str">
        <f>IFERROR(VLOOKUP(B813,'Pre-Summary'!$Y$6:$AC$83, 4,FALSE),"")</f>
        <v/>
      </c>
      <c r="V813" t="str">
        <f>IFERROR(VLOOKUP(B813,'Pre-Summary'!$Y$6:$AC$83, 5,FALSE),"")</f>
        <v/>
      </c>
      <c r="W813" s="45" t="str">
        <f>IFERROR(VLOOKUP(B813,'Pre-Summary'!$Y$6:$AD$83,6,FALSE),"")</f>
        <v/>
      </c>
      <c r="X813" t="str">
        <f>IFERROR(VLOOKUP('Pre-Summary'!$DB$6:$DD$63,3,FALSE),"")</f>
        <v/>
      </c>
      <c r="Y813" t="str">
        <f>IFERROR(VLOOKUP(B813,'Pre-Summary'!$CR$6:$CT$36,3,FALSE),"")</f>
        <v/>
      </c>
      <c r="Z813" s="45" t="str">
        <f>IFERROR(VLOOKUP(B813,'Pre-Summary'!$BZ$6:$CB$63,2,FALSE),"")</f>
        <v/>
      </c>
      <c r="AA813" s="45" t="str">
        <f>IFERROR(VLOOKUP(B813,'Pre-Summary'!$CG$6:$CI$70,2,FALSE),"")</f>
        <v/>
      </c>
      <c r="AB813" s="99">
        <f>IFERROR(VLOOKUP(B813,'Pre-Summary'!$A$6:$P$178,9,FALSE),AB814)</f>
        <v>0.81724034866906348</v>
      </c>
      <c r="AC813" s="10">
        <f>IFERROR(VLOOKUP(Summary!B813,'Pre-Summary'!$A$6:$P$184,5, FALSE)/100,AC814)</f>
        <v>0.75598666666666658</v>
      </c>
      <c r="AD813" s="10">
        <f>IFERROR(VLOOKUP(Summary!B813,'Pre-Summary'!$A$6:$P$184,3, FALSE)/100,AD814)</f>
        <v>3.6938666666666668E-2</v>
      </c>
      <c r="AE813" s="10">
        <f>IFERROR(VLOOKUP(Summary!B813,'Pre-Summary'!$A$6:$P$184,7, FALSE)/100,AE814)</f>
        <v>0.20707500000000001</v>
      </c>
      <c r="AF813" s="99">
        <f t="shared" si="37"/>
        <v>3.0187768826036982E-2</v>
      </c>
      <c r="AG813" s="99">
        <f t="shared" si="38"/>
        <v>0.16923004520064633</v>
      </c>
      <c r="AH813" s="10" t="str">
        <f>IFERROR(VLOOKUP(B813,'Pre-Summary'!$AZ$6:$BE$65,3,FALSE),"")</f>
        <v/>
      </c>
      <c r="AI813" s="10" t="str">
        <f>IFERROR(VLOOKUP(B813,'Pre-Summary'!$AZ$6:$BE$65,5,FALSE),"")</f>
        <v/>
      </c>
      <c r="AJ813" s="10" t="str">
        <f>IFERROR(VLOOKUP(B813,'Pre-Summary'!$AZ$6:$BE$65,4,FALSE),"")</f>
        <v/>
      </c>
      <c r="AK813" s="10" t="str">
        <f>IFERROR(VLOOKUP(B813,'Pre-Summary'!$AZ$6:$BE$65,6,FALSE),"")</f>
        <v/>
      </c>
      <c r="AL813" s="10" t="str">
        <f>IFERROR(VLOOKUP(B813,'Pre-Summary'!$BG$6:$BL$44,3,FALSE),"")</f>
        <v/>
      </c>
      <c r="AM813" s="10" t="str">
        <f>IFERROR(VLOOKUP(B813,'Pre-Summary'!$BG$6:$BL$44,4,FALSE),"")</f>
        <v/>
      </c>
    </row>
    <row r="814" spans="2:39" ht="15" customHeight="1" x14ac:dyDescent="0.3">
      <c r="B814">
        <v>81.099999999999994</v>
      </c>
      <c r="C814" t="str">
        <f>IFERROR(VLOOKUP(B814,'Pre-Summary'!$DI$6:$DM$23,4,FALSE),"")</f>
        <v/>
      </c>
      <c r="D814" s="10" t="str">
        <f>IFERROR(VLOOKUP(B814,'Pre-Summary'!$AT$6:$AX$14,5,FALSE),D813)</f>
        <v>DSMZ v2: Dropped Na-Ac out of DSMZ 120 media</v>
      </c>
      <c r="E814" s="10" t="str">
        <f>IFERROR(VLOOKUP(B814,'Pre-Summary'!$AT$6:$AX$15,4,FALSE),"")</f>
        <v/>
      </c>
      <c r="F814">
        <f>IFERROR(VLOOKUP(B814,'Pre-Summary'!$AL$6:$AQ$13,6,FALSE),F813)</f>
        <v>5.9405263157894746E-2</v>
      </c>
      <c r="G814" t="str">
        <f>IFERROR(VLOOKUP(B814,'Pre-Summary'!$AE$6:$AJ$85,3,FALSE),"")</f>
        <v/>
      </c>
      <c r="H814" t="str">
        <f>IFERROR(VLOOKUP(B814,'Pre-Summary'!$AE$6:$AJ$85,4,FALSE),"")</f>
        <v/>
      </c>
      <c r="I814" t="str">
        <f>IFERROR(VLOOKUP(B814,'Pre-Summary'!$AE$6:$AJ$85,5,FALSE),"")</f>
        <v/>
      </c>
      <c r="J814" s="45" t="str">
        <f>IFERROR(VLOOKUP(B814,'Pre-Summary'!$AE$6:$AJ$85,6, FALSE),"")</f>
        <v/>
      </c>
      <c r="K814" s="45" t="str">
        <f>IFERROR(VLOOKUP(B814,'Pre-Summary'!$DE$6:$DG$61,3,FALSE),"")</f>
        <v/>
      </c>
      <c r="L814" s="45" t="str">
        <f>IFERROR(VLOOKUP(B814,'Pre-Summary'!$CU$6:$CW$36,3,FALSE),"")</f>
        <v/>
      </c>
      <c r="M814" s="45" t="str">
        <f>IFERROR(VLOOKUP(B814,'Pre-Summary'!$BW$6:$BY$58,2,FALSE),"")</f>
        <v/>
      </c>
      <c r="N814" s="45" t="str">
        <f>IFERROR(VLOOKUP(B814,'Pre-Summary'!$CD$6:$CF$64,2,FALSE),"")</f>
        <v/>
      </c>
      <c r="O814" s="99">
        <f>IFERROR(VLOOKUP(B814,'Pre-Summary'!$BO$6:$BQ$48,3, FALSE),O813)</f>
        <v>1.2</v>
      </c>
      <c r="P814" s="99">
        <f>IFERROR(VLOOKUP(B814,'Pre-Summary'!$BS$6:$BU$35,3,FALSE),P813)</f>
        <v>0.3</v>
      </c>
      <c r="Q814" s="54">
        <f t="shared" si="36"/>
        <v>4</v>
      </c>
      <c r="R814" s="53">
        <f>IFERROR(VLOOKUP(B814,'Pre-Summary'!$BG$6:$BM$44,7,FALSE),R815)</f>
        <v>0.10617362811310796</v>
      </c>
      <c r="S814" s="53">
        <f>IFERROR(VLOOKUP(B814,'Pre-Summary'!$BG$6:$BM$44,6,FALSE),S815)</f>
        <v>9.9527233330079901E-2</v>
      </c>
      <c r="T814" s="45" t="str">
        <f>IFERROR(VLOOKUP(B814,'Pre-Summary'!$Y$6:$AC$83, 3,FALSE),"")</f>
        <v/>
      </c>
      <c r="U814" s="45" t="str">
        <f>IFERROR(VLOOKUP(B814,'Pre-Summary'!$Y$6:$AC$83, 4,FALSE),"")</f>
        <v/>
      </c>
      <c r="V814" t="str">
        <f>IFERROR(VLOOKUP(B814,'Pre-Summary'!$Y$6:$AC$83, 5,FALSE),"")</f>
        <v/>
      </c>
      <c r="W814" s="45" t="str">
        <f>IFERROR(VLOOKUP(B814,'Pre-Summary'!$Y$6:$AD$83,6,FALSE),"")</f>
        <v/>
      </c>
      <c r="X814" t="str">
        <f>IFERROR(VLOOKUP('Pre-Summary'!$DB$6:$DD$63,3,FALSE),"")</f>
        <v/>
      </c>
      <c r="Y814" t="str">
        <f>IFERROR(VLOOKUP(B814,'Pre-Summary'!$CR$6:$CT$36,3,FALSE),"")</f>
        <v/>
      </c>
      <c r="Z814" s="45" t="str">
        <f>IFERROR(VLOOKUP(B814,'Pre-Summary'!$BZ$6:$CB$63,2,FALSE),"")</f>
        <v/>
      </c>
      <c r="AA814" s="45" t="str">
        <f>IFERROR(VLOOKUP(B814,'Pre-Summary'!$CG$6:$CI$70,2,FALSE),"")</f>
        <v/>
      </c>
      <c r="AB814" s="99">
        <f>IFERROR(VLOOKUP(B814,'Pre-Summary'!$A$6:$P$178,9,FALSE),AB815)</f>
        <v>0.81724034866906348</v>
      </c>
      <c r="AC814" s="10">
        <f>IFERROR(VLOOKUP(Summary!B814,'Pre-Summary'!$A$6:$P$184,5, FALSE)/100,AC815)</f>
        <v>0.75598666666666658</v>
      </c>
      <c r="AD814" s="10">
        <f>IFERROR(VLOOKUP(Summary!B814,'Pre-Summary'!$A$6:$P$184,3, FALSE)/100,AD815)</f>
        <v>3.6938666666666668E-2</v>
      </c>
      <c r="AE814" s="10">
        <f>IFERROR(VLOOKUP(Summary!B814,'Pre-Summary'!$A$6:$P$184,7, FALSE)/100,AE815)</f>
        <v>0.20707500000000001</v>
      </c>
      <c r="AF814" s="99">
        <f t="shared" si="37"/>
        <v>3.0187768826036982E-2</v>
      </c>
      <c r="AG814" s="99">
        <f t="shared" si="38"/>
        <v>0.16923004520064633</v>
      </c>
      <c r="AH814" s="10" t="str">
        <f>IFERROR(VLOOKUP(B814,'Pre-Summary'!$AZ$6:$BE$65,3,FALSE),"")</f>
        <v/>
      </c>
      <c r="AI814" s="10" t="str">
        <f>IFERROR(VLOOKUP(B814,'Pre-Summary'!$AZ$6:$BE$65,5,FALSE),"")</f>
        <v/>
      </c>
      <c r="AJ814" s="10" t="str">
        <f>IFERROR(VLOOKUP(B814,'Pre-Summary'!$AZ$6:$BE$65,4,FALSE),"")</f>
        <v/>
      </c>
      <c r="AK814" s="10" t="str">
        <f>IFERROR(VLOOKUP(B814,'Pre-Summary'!$AZ$6:$BE$65,6,FALSE),"")</f>
        <v/>
      </c>
      <c r="AL814" s="10" t="str">
        <f>IFERROR(VLOOKUP(B814,'Pre-Summary'!$BG$6:$BL$44,3,FALSE),"")</f>
        <v/>
      </c>
      <c r="AM814" s="10" t="str">
        <f>IFERROR(VLOOKUP(B814,'Pre-Summary'!$BG$6:$BL$44,4,FALSE),"")</f>
        <v/>
      </c>
    </row>
    <row r="815" spans="2:39" ht="15" customHeight="1" x14ac:dyDescent="0.3">
      <c r="B815">
        <v>81.2</v>
      </c>
      <c r="C815" t="str">
        <f>IFERROR(VLOOKUP(B815,'Pre-Summary'!$DI$6:$DM$23,4,FALSE),"")</f>
        <v/>
      </c>
      <c r="D815" s="10" t="str">
        <f>IFERROR(VLOOKUP(B815,'Pre-Summary'!$AT$6:$AX$14,5,FALSE),D814)</f>
        <v>DSMZ v2: Dropped Na-Ac out of DSMZ 120 media</v>
      </c>
      <c r="E815" s="10" t="str">
        <f>IFERROR(VLOOKUP(B815,'Pre-Summary'!$AT$6:$AX$15,4,FALSE),"")</f>
        <v/>
      </c>
      <c r="F815">
        <f>IFERROR(VLOOKUP(B815,'Pre-Summary'!$AL$6:$AQ$13,6,FALSE),F814)</f>
        <v>5.9405263157894746E-2</v>
      </c>
      <c r="G815" t="str">
        <f>IFERROR(VLOOKUP(B815,'Pre-Summary'!$AE$6:$AJ$85,3,FALSE),"")</f>
        <v/>
      </c>
      <c r="H815" t="str">
        <f>IFERROR(VLOOKUP(B815,'Pre-Summary'!$AE$6:$AJ$85,4,FALSE),"")</f>
        <v/>
      </c>
      <c r="I815" t="str">
        <f>IFERROR(VLOOKUP(B815,'Pre-Summary'!$AE$6:$AJ$85,5,FALSE),"")</f>
        <v/>
      </c>
      <c r="J815" s="45" t="str">
        <f>IFERROR(VLOOKUP(B815,'Pre-Summary'!$AE$6:$AJ$85,6, FALSE),"")</f>
        <v/>
      </c>
      <c r="K815" s="45" t="str">
        <f>IFERROR(VLOOKUP(B815,'Pre-Summary'!$DE$6:$DG$61,3,FALSE),"")</f>
        <v/>
      </c>
      <c r="L815" s="45" t="str">
        <f>IFERROR(VLOOKUP(B815,'Pre-Summary'!$CU$6:$CW$36,3,FALSE),"")</f>
        <v/>
      </c>
      <c r="M815" s="45" t="str">
        <f>IFERROR(VLOOKUP(B815,'Pre-Summary'!$BW$6:$BY$58,2,FALSE),"")</f>
        <v/>
      </c>
      <c r="N815" s="45" t="str">
        <f>IFERROR(VLOOKUP(B815,'Pre-Summary'!$CD$6:$CF$64,2,FALSE),"")</f>
        <v/>
      </c>
      <c r="O815" s="99">
        <f>IFERROR(VLOOKUP(B815,'Pre-Summary'!$BO$6:$BQ$48,3, FALSE),O814)</f>
        <v>1.2</v>
      </c>
      <c r="P815" s="99">
        <f>IFERROR(VLOOKUP(B815,'Pre-Summary'!$BS$6:$BU$35,3,FALSE),P814)</f>
        <v>0.3</v>
      </c>
      <c r="Q815" s="54">
        <f t="shared" si="36"/>
        <v>4</v>
      </c>
      <c r="R815" s="53">
        <f>IFERROR(VLOOKUP(B815,'Pre-Summary'!$BG$6:$BM$44,7,FALSE),R816)</f>
        <v>0.10617362811310796</v>
      </c>
      <c r="S815" s="53">
        <f>IFERROR(VLOOKUP(B815,'Pre-Summary'!$BG$6:$BM$44,6,FALSE),S816)</f>
        <v>9.9527233330079901E-2</v>
      </c>
      <c r="T815" s="45" t="str">
        <f>IFERROR(VLOOKUP(B815,'Pre-Summary'!$Y$6:$AC$83, 3,FALSE),"")</f>
        <v/>
      </c>
      <c r="U815" s="45" t="str">
        <f>IFERROR(VLOOKUP(B815,'Pre-Summary'!$Y$6:$AC$83, 4,FALSE),"")</f>
        <v/>
      </c>
      <c r="V815" t="str">
        <f>IFERROR(VLOOKUP(B815,'Pre-Summary'!$Y$6:$AC$83, 5,FALSE),"")</f>
        <v/>
      </c>
      <c r="W815" s="45" t="str">
        <f>IFERROR(VLOOKUP(B815,'Pre-Summary'!$Y$6:$AD$83,6,FALSE),"")</f>
        <v/>
      </c>
      <c r="X815" t="str">
        <f>IFERROR(VLOOKUP('Pre-Summary'!$DB$6:$DD$63,3,FALSE),"")</f>
        <v/>
      </c>
      <c r="Y815" t="str">
        <f>IFERROR(VLOOKUP(B815,'Pre-Summary'!$CR$6:$CT$36,3,FALSE),"")</f>
        <v/>
      </c>
      <c r="Z815" s="45" t="str">
        <f>IFERROR(VLOOKUP(B815,'Pre-Summary'!$BZ$6:$CB$63,2,FALSE),"")</f>
        <v/>
      </c>
      <c r="AA815" s="45" t="str">
        <f>IFERROR(VLOOKUP(B815,'Pre-Summary'!$CG$6:$CI$70,2,FALSE),"")</f>
        <v/>
      </c>
      <c r="AB815" s="99">
        <f>IFERROR(VLOOKUP(B815,'Pre-Summary'!$A$6:$P$178,9,FALSE),AB816)</f>
        <v>0.81724034866906348</v>
      </c>
      <c r="AC815" s="10">
        <f>IFERROR(VLOOKUP(Summary!B815,'Pre-Summary'!$A$6:$P$184,5, FALSE)/100,AC816)</f>
        <v>0.75598666666666658</v>
      </c>
      <c r="AD815" s="10">
        <f>IFERROR(VLOOKUP(Summary!B815,'Pre-Summary'!$A$6:$P$184,3, FALSE)/100,AD816)</f>
        <v>3.6938666666666668E-2</v>
      </c>
      <c r="AE815" s="10">
        <f>IFERROR(VLOOKUP(Summary!B815,'Pre-Summary'!$A$6:$P$184,7, FALSE)/100,AE816)</f>
        <v>0.20707500000000001</v>
      </c>
      <c r="AF815" s="99">
        <f t="shared" si="37"/>
        <v>3.0187768826036982E-2</v>
      </c>
      <c r="AG815" s="99">
        <f t="shared" si="38"/>
        <v>0.16923004520064633</v>
      </c>
      <c r="AH815" s="10" t="str">
        <f>IFERROR(VLOOKUP(B815,'Pre-Summary'!$AZ$6:$BE$65,3,FALSE),"")</f>
        <v/>
      </c>
      <c r="AI815" s="10" t="str">
        <f>IFERROR(VLOOKUP(B815,'Pre-Summary'!$AZ$6:$BE$65,5,FALSE),"")</f>
        <v/>
      </c>
      <c r="AJ815" s="10" t="str">
        <f>IFERROR(VLOOKUP(B815,'Pre-Summary'!$AZ$6:$BE$65,4,FALSE),"")</f>
        <v/>
      </c>
      <c r="AK815" s="10" t="str">
        <f>IFERROR(VLOOKUP(B815,'Pre-Summary'!$AZ$6:$BE$65,6,FALSE),"")</f>
        <v/>
      </c>
      <c r="AL815" s="10" t="str">
        <f>IFERROR(VLOOKUP(B815,'Pre-Summary'!$BG$6:$BL$44,3,FALSE),"")</f>
        <v/>
      </c>
      <c r="AM815" s="10" t="str">
        <f>IFERROR(VLOOKUP(B815,'Pre-Summary'!$BG$6:$BL$44,4,FALSE),"")</f>
        <v/>
      </c>
    </row>
    <row r="816" spans="2:39" ht="15" customHeight="1" x14ac:dyDescent="0.3">
      <c r="B816">
        <v>81.3</v>
      </c>
      <c r="C816" t="str">
        <f>IFERROR(VLOOKUP(B816,'Pre-Summary'!$DI$6:$DM$23,4,FALSE),"")</f>
        <v/>
      </c>
      <c r="D816" s="10" t="str">
        <f>IFERROR(VLOOKUP(B816,'Pre-Summary'!$AT$6:$AX$14,5,FALSE),D815)</f>
        <v>DSMZ v2: Dropped Na-Ac out of DSMZ 120 media</v>
      </c>
      <c r="E816" s="10" t="str">
        <f>IFERROR(VLOOKUP(B816,'Pre-Summary'!$AT$6:$AX$15,4,FALSE),"")</f>
        <v/>
      </c>
      <c r="F816">
        <f>IFERROR(VLOOKUP(B816,'Pre-Summary'!$AL$6:$AQ$13,6,FALSE),F815)</f>
        <v>5.9405263157894746E-2</v>
      </c>
      <c r="G816" t="str">
        <f>IFERROR(VLOOKUP(B816,'Pre-Summary'!$AE$6:$AJ$85,3,FALSE),"")</f>
        <v/>
      </c>
      <c r="H816" t="str">
        <f>IFERROR(VLOOKUP(B816,'Pre-Summary'!$AE$6:$AJ$85,4,FALSE),"")</f>
        <v/>
      </c>
      <c r="I816" t="str">
        <f>IFERROR(VLOOKUP(B816,'Pre-Summary'!$AE$6:$AJ$85,5,FALSE),"")</f>
        <v/>
      </c>
      <c r="J816" s="45" t="str">
        <f>IFERROR(VLOOKUP(B816,'Pre-Summary'!$AE$6:$AJ$85,6, FALSE),"")</f>
        <v/>
      </c>
      <c r="K816" s="45" t="str">
        <f>IFERROR(VLOOKUP(B816,'Pre-Summary'!$DE$6:$DG$61,3,FALSE),"")</f>
        <v/>
      </c>
      <c r="L816" s="45" t="str">
        <f>IFERROR(VLOOKUP(B816,'Pre-Summary'!$CU$6:$CW$36,3,FALSE),"")</f>
        <v/>
      </c>
      <c r="M816" s="45" t="str">
        <f>IFERROR(VLOOKUP(B816,'Pre-Summary'!$BW$6:$BY$58,2,FALSE),"")</f>
        <v/>
      </c>
      <c r="N816" s="45" t="str">
        <f>IFERROR(VLOOKUP(B816,'Pre-Summary'!$CD$6:$CF$64,2,FALSE),"")</f>
        <v/>
      </c>
      <c r="O816" s="99">
        <f>IFERROR(VLOOKUP(B816,'Pre-Summary'!$BO$6:$BQ$48,3, FALSE),O815)</f>
        <v>1.2</v>
      </c>
      <c r="P816" s="99">
        <f>IFERROR(VLOOKUP(B816,'Pre-Summary'!$BS$6:$BU$35,3,FALSE),P815)</f>
        <v>0.3</v>
      </c>
      <c r="Q816" s="54">
        <f t="shared" si="36"/>
        <v>4</v>
      </c>
      <c r="R816" s="53">
        <f>IFERROR(VLOOKUP(B816,'Pre-Summary'!$BG$6:$BM$44,7,FALSE),R817)</f>
        <v>0.10617362811310796</v>
      </c>
      <c r="S816" s="53">
        <f>IFERROR(VLOOKUP(B816,'Pre-Summary'!$BG$6:$BM$44,6,FALSE),S817)</f>
        <v>9.9527233330079901E-2</v>
      </c>
      <c r="T816" s="45" t="str">
        <f>IFERROR(VLOOKUP(B816,'Pre-Summary'!$Y$6:$AC$83, 3,FALSE),"")</f>
        <v/>
      </c>
      <c r="U816" s="45" t="str">
        <f>IFERROR(VLOOKUP(B816,'Pre-Summary'!$Y$6:$AC$83, 4,FALSE),"")</f>
        <v/>
      </c>
      <c r="V816" t="str">
        <f>IFERROR(VLOOKUP(B816,'Pre-Summary'!$Y$6:$AC$83, 5,FALSE),"")</f>
        <v/>
      </c>
      <c r="W816" s="45" t="str">
        <f>IFERROR(VLOOKUP(B816,'Pre-Summary'!$Y$6:$AD$83,6,FALSE),"")</f>
        <v/>
      </c>
      <c r="X816" t="str">
        <f>IFERROR(VLOOKUP('Pre-Summary'!$DB$6:$DD$63,3,FALSE),"")</f>
        <v/>
      </c>
      <c r="Y816" t="str">
        <f>IFERROR(VLOOKUP(B816,'Pre-Summary'!$CR$6:$CT$36,3,FALSE),"")</f>
        <v/>
      </c>
      <c r="Z816" s="45" t="str">
        <f>IFERROR(VLOOKUP(B816,'Pre-Summary'!$BZ$6:$CB$63,2,FALSE),"")</f>
        <v/>
      </c>
      <c r="AA816" s="45" t="str">
        <f>IFERROR(VLOOKUP(B816,'Pre-Summary'!$CG$6:$CI$70,2,FALSE),"")</f>
        <v/>
      </c>
      <c r="AB816" s="99">
        <f>IFERROR(VLOOKUP(B816,'Pre-Summary'!$A$6:$P$178,9,FALSE),AB817)</f>
        <v>0.81724034866906348</v>
      </c>
      <c r="AC816" s="10">
        <f>IFERROR(VLOOKUP(Summary!B816,'Pre-Summary'!$A$6:$P$184,5, FALSE)/100,AC817)</f>
        <v>0.75598666666666658</v>
      </c>
      <c r="AD816" s="10">
        <f>IFERROR(VLOOKUP(Summary!B816,'Pre-Summary'!$A$6:$P$184,3, FALSE)/100,AD817)</f>
        <v>3.6938666666666668E-2</v>
      </c>
      <c r="AE816" s="10">
        <f>IFERROR(VLOOKUP(Summary!B816,'Pre-Summary'!$A$6:$P$184,7, FALSE)/100,AE817)</f>
        <v>0.20707500000000001</v>
      </c>
      <c r="AF816" s="99">
        <f t="shared" si="37"/>
        <v>3.0187768826036982E-2</v>
      </c>
      <c r="AG816" s="99">
        <f t="shared" si="38"/>
        <v>0.16923004520064633</v>
      </c>
      <c r="AH816" s="10" t="str">
        <f>IFERROR(VLOOKUP(B816,'Pre-Summary'!$AZ$6:$BE$65,3,FALSE),"")</f>
        <v/>
      </c>
      <c r="AI816" s="10" t="str">
        <f>IFERROR(VLOOKUP(B816,'Pre-Summary'!$AZ$6:$BE$65,5,FALSE),"")</f>
        <v/>
      </c>
      <c r="AJ816" s="10" t="str">
        <f>IFERROR(VLOOKUP(B816,'Pre-Summary'!$AZ$6:$BE$65,4,FALSE),"")</f>
        <v/>
      </c>
      <c r="AK816" s="10" t="str">
        <f>IFERROR(VLOOKUP(B816,'Pre-Summary'!$AZ$6:$BE$65,6,FALSE),"")</f>
        <v/>
      </c>
      <c r="AL816" s="10" t="str">
        <f>IFERROR(VLOOKUP(B816,'Pre-Summary'!$BG$6:$BL$44,3,FALSE),"")</f>
        <v/>
      </c>
      <c r="AM816" s="10" t="str">
        <f>IFERROR(VLOOKUP(B816,'Pre-Summary'!$BG$6:$BL$44,4,FALSE),"")</f>
        <v/>
      </c>
    </row>
    <row r="817" spans="2:39" ht="15" customHeight="1" x14ac:dyDescent="0.3">
      <c r="B817">
        <v>81.400000000000006</v>
      </c>
      <c r="C817" t="str">
        <f>IFERROR(VLOOKUP(B817,'Pre-Summary'!$DI$6:$DM$23,4,FALSE),"")</f>
        <v/>
      </c>
      <c r="D817" s="10" t="str">
        <f>IFERROR(VLOOKUP(B817,'Pre-Summary'!$AT$6:$AX$14,5,FALSE),D816)</f>
        <v>DSMZ v2: Dropped Na-Ac out of DSMZ 120 media</v>
      </c>
      <c r="E817" s="10" t="str">
        <f>IFERROR(VLOOKUP(B817,'Pre-Summary'!$AT$6:$AX$15,4,FALSE),"")</f>
        <v/>
      </c>
      <c r="F817">
        <f>IFERROR(VLOOKUP(B817,'Pre-Summary'!$AL$6:$AQ$13,6,FALSE),F816)</f>
        <v>5.9405263157894746E-2</v>
      </c>
      <c r="G817" t="str">
        <f>IFERROR(VLOOKUP(B817,'Pre-Summary'!$AE$6:$AJ$85,3,FALSE),"")</f>
        <v/>
      </c>
      <c r="H817" t="str">
        <f>IFERROR(VLOOKUP(B817,'Pre-Summary'!$AE$6:$AJ$85,4,FALSE),"")</f>
        <v/>
      </c>
      <c r="I817" t="str">
        <f>IFERROR(VLOOKUP(B817,'Pre-Summary'!$AE$6:$AJ$85,5,FALSE),"")</f>
        <v/>
      </c>
      <c r="J817" s="45" t="str">
        <f>IFERROR(VLOOKUP(B817,'Pre-Summary'!$AE$6:$AJ$85,6, FALSE),"")</f>
        <v/>
      </c>
      <c r="K817" s="45" t="str">
        <f>IFERROR(VLOOKUP(B817,'Pre-Summary'!$DE$6:$DG$61,3,FALSE),"")</f>
        <v/>
      </c>
      <c r="L817" s="45" t="str">
        <f>IFERROR(VLOOKUP(B817,'Pre-Summary'!$CU$6:$CW$36,3,FALSE),"")</f>
        <v/>
      </c>
      <c r="M817" s="45" t="str">
        <f>IFERROR(VLOOKUP(B817,'Pre-Summary'!$BW$6:$BY$58,2,FALSE),"")</f>
        <v/>
      </c>
      <c r="N817" s="45" t="str">
        <f>IFERROR(VLOOKUP(B817,'Pre-Summary'!$CD$6:$CF$64,2,FALSE),"")</f>
        <v/>
      </c>
      <c r="O817" s="99">
        <f>IFERROR(VLOOKUP(B817,'Pre-Summary'!$BO$6:$BQ$48,3, FALSE),O816)</f>
        <v>1.2</v>
      </c>
      <c r="P817" s="99">
        <f>IFERROR(VLOOKUP(B817,'Pre-Summary'!$BS$6:$BU$35,3,FALSE),P816)</f>
        <v>0.3</v>
      </c>
      <c r="Q817" s="54">
        <f t="shared" si="36"/>
        <v>4</v>
      </c>
      <c r="R817" s="53">
        <f>IFERROR(VLOOKUP(B817,'Pre-Summary'!$BG$6:$BM$44,7,FALSE),R818)</f>
        <v>0.10617362811310796</v>
      </c>
      <c r="S817" s="53">
        <f>IFERROR(VLOOKUP(B817,'Pre-Summary'!$BG$6:$BM$44,6,FALSE),S818)</f>
        <v>9.9527233330079901E-2</v>
      </c>
      <c r="T817" s="45" t="str">
        <f>IFERROR(VLOOKUP(B817,'Pre-Summary'!$Y$6:$AC$83, 3,FALSE),"")</f>
        <v/>
      </c>
      <c r="U817" s="45" t="str">
        <f>IFERROR(VLOOKUP(B817,'Pre-Summary'!$Y$6:$AC$83, 4,FALSE),"")</f>
        <v/>
      </c>
      <c r="V817" t="str">
        <f>IFERROR(VLOOKUP(B817,'Pre-Summary'!$Y$6:$AC$83, 5,FALSE),"")</f>
        <v/>
      </c>
      <c r="W817" s="45" t="str">
        <f>IFERROR(VLOOKUP(B817,'Pre-Summary'!$Y$6:$AD$83,6,FALSE),"")</f>
        <v/>
      </c>
      <c r="X817" t="str">
        <f>IFERROR(VLOOKUP('Pre-Summary'!$DB$6:$DD$63,3,FALSE),"")</f>
        <v/>
      </c>
      <c r="Y817" t="str">
        <f>IFERROR(VLOOKUP(B817,'Pre-Summary'!$CR$6:$CT$36,3,FALSE),"")</f>
        <v/>
      </c>
      <c r="Z817" s="45" t="str">
        <f>IFERROR(VLOOKUP(B817,'Pre-Summary'!$BZ$6:$CB$63,2,FALSE),"")</f>
        <v/>
      </c>
      <c r="AA817" s="45" t="str">
        <f>IFERROR(VLOOKUP(B817,'Pre-Summary'!$CG$6:$CI$70,2,FALSE),"")</f>
        <v/>
      </c>
      <c r="AB817" s="99">
        <f>IFERROR(VLOOKUP(B817,'Pre-Summary'!$A$6:$P$178,9,FALSE),AB818)</f>
        <v>0.81724034866906348</v>
      </c>
      <c r="AC817" s="10">
        <f>IFERROR(VLOOKUP(Summary!B817,'Pre-Summary'!$A$6:$P$184,5, FALSE)/100,AC818)</f>
        <v>0.75598666666666658</v>
      </c>
      <c r="AD817" s="10">
        <f>IFERROR(VLOOKUP(Summary!B817,'Pre-Summary'!$A$6:$P$184,3, FALSE)/100,AD818)</f>
        <v>3.6938666666666668E-2</v>
      </c>
      <c r="AE817" s="10">
        <f>IFERROR(VLOOKUP(Summary!B817,'Pre-Summary'!$A$6:$P$184,7, FALSE)/100,AE818)</f>
        <v>0.20707500000000001</v>
      </c>
      <c r="AF817" s="99">
        <f t="shared" si="37"/>
        <v>3.0187768826036982E-2</v>
      </c>
      <c r="AG817" s="99">
        <f t="shared" si="38"/>
        <v>0.16923004520064633</v>
      </c>
      <c r="AH817" s="10" t="str">
        <f>IFERROR(VLOOKUP(B817,'Pre-Summary'!$AZ$6:$BE$65,3,FALSE),"")</f>
        <v/>
      </c>
      <c r="AI817" s="10" t="str">
        <f>IFERROR(VLOOKUP(B817,'Pre-Summary'!$AZ$6:$BE$65,5,FALSE),"")</f>
        <v/>
      </c>
      <c r="AJ817" s="10" t="str">
        <f>IFERROR(VLOOKUP(B817,'Pre-Summary'!$AZ$6:$BE$65,4,FALSE),"")</f>
        <v/>
      </c>
      <c r="AK817" s="10" t="str">
        <f>IFERROR(VLOOKUP(B817,'Pre-Summary'!$AZ$6:$BE$65,6,FALSE),"")</f>
        <v/>
      </c>
      <c r="AL817" s="10" t="str">
        <f>IFERROR(VLOOKUP(B817,'Pre-Summary'!$BG$6:$BL$44,3,FALSE),"")</f>
        <v/>
      </c>
      <c r="AM817" s="10" t="str">
        <f>IFERROR(VLOOKUP(B817,'Pre-Summary'!$BG$6:$BL$44,4,FALSE),"")</f>
        <v/>
      </c>
    </row>
    <row r="818" spans="2:39" ht="15" customHeight="1" x14ac:dyDescent="0.3">
      <c r="B818">
        <v>81.5</v>
      </c>
      <c r="C818" t="str">
        <f>IFERROR(VLOOKUP(B818,'Pre-Summary'!$DI$6:$DM$23,4,FALSE),"")</f>
        <v/>
      </c>
      <c r="D818" s="10" t="str">
        <f>IFERROR(VLOOKUP(B818,'Pre-Summary'!$AT$6:$AX$14,5,FALSE),D817)</f>
        <v>DSMZ v2: Dropped Na-Ac out of DSMZ 120 media</v>
      </c>
      <c r="E818" s="10" t="str">
        <f>IFERROR(VLOOKUP(B818,'Pre-Summary'!$AT$6:$AX$15,4,FALSE),"")</f>
        <v/>
      </c>
      <c r="F818">
        <f>IFERROR(VLOOKUP(B818,'Pre-Summary'!$AL$6:$AQ$13,6,FALSE),F817)</f>
        <v>5.9405263157894746E-2</v>
      </c>
      <c r="G818" t="str">
        <f>IFERROR(VLOOKUP(B818,'Pre-Summary'!$AE$6:$AJ$85,3,FALSE),"")</f>
        <v/>
      </c>
      <c r="H818" t="str">
        <f>IFERROR(VLOOKUP(B818,'Pre-Summary'!$AE$6:$AJ$85,4,FALSE),"")</f>
        <v/>
      </c>
      <c r="I818" t="str">
        <f>IFERROR(VLOOKUP(B818,'Pre-Summary'!$AE$6:$AJ$85,5,FALSE),"")</f>
        <v/>
      </c>
      <c r="J818" s="45" t="str">
        <f>IFERROR(VLOOKUP(B818,'Pre-Summary'!$AE$6:$AJ$85,6, FALSE),"")</f>
        <v/>
      </c>
      <c r="K818" s="45" t="str">
        <f>IFERROR(VLOOKUP(B818,'Pre-Summary'!$DE$6:$DG$61,3,FALSE),"")</f>
        <v/>
      </c>
      <c r="L818" s="45" t="str">
        <f>IFERROR(VLOOKUP(B818,'Pre-Summary'!$CU$6:$CW$36,3,FALSE),"")</f>
        <v/>
      </c>
      <c r="M818" s="45" t="str">
        <f>IFERROR(VLOOKUP(B818,'Pre-Summary'!$BW$6:$BY$58,2,FALSE),"")</f>
        <v/>
      </c>
      <c r="N818" s="45" t="str">
        <f>IFERROR(VLOOKUP(B818,'Pre-Summary'!$CD$6:$CF$64,2,FALSE),"")</f>
        <v/>
      </c>
      <c r="O818" s="99">
        <f>IFERROR(VLOOKUP(B818,'Pre-Summary'!$BO$6:$BQ$48,3, FALSE),O817)</f>
        <v>1.2</v>
      </c>
      <c r="P818" s="99">
        <f>IFERROR(VLOOKUP(B818,'Pre-Summary'!$BS$6:$BU$35,3,FALSE),P817)</f>
        <v>0.3</v>
      </c>
      <c r="Q818" s="54">
        <f t="shared" si="36"/>
        <v>4</v>
      </c>
      <c r="R818" s="53">
        <f>IFERROR(VLOOKUP(B818,'Pre-Summary'!$BG$6:$BM$44,7,FALSE),R819)</f>
        <v>0.10617362811310796</v>
      </c>
      <c r="S818" s="53">
        <f>IFERROR(VLOOKUP(B818,'Pre-Summary'!$BG$6:$BM$44,6,FALSE),S819)</f>
        <v>9.9527233330079901E-2</v>
      </c>
      <c r="T818" s="45" t="str">
        <f>IFERROR(VLOOKUP(B818,'Pre-Summary'!$Y$6:$AC$83, 3,FALSE),"")</f>
        <v/>
      </c>
      <c r="U818" s="45" t="str">
        <f>IFERROR(VLOOKUP(B818,'Pre-Summary'!$Y$6:$AC$83, 4,FALSE),"")</f>
        <v/>
      </c>
      <c r="V818" t="str">
        <f>IFERROR(VLOOKUP(B818,'Pre-Summary'!$Y$6:$AC$83, 5,FALSE),"")</f>
        <v/>
      </c>
      <c r="W818" s="45" t="str">
        <f>IFERROR(VLOOKUP(B818,'Pre-Summary'!$Y$6:$AD$83,6,FALSE),"")</f>
        <v/>
      </c>
      <c r="X818" t="str">
        <f>IFERROR(VLOOKUP('Pre-Summary'!$DB$6:$DD$63,3,FALSE),"")</f>
        <v/>
      </c>
      <c r="Y818" t="str">
        <f>IFERROR(VLOOKUP(B818,'Pre-Summary'!$CR$6:$CT$36,3,FALSE),"")</f>
        <v/>
      </c>
      <c r="Z818" s="45" t="str">
        <f>IFERROR(VLOOKUP(B818,'Pre-Summary'!$BZ$6:$CB$63,2,FALSE),"")</f>
        <v/>
      </c>
      <c r="AA818" s="45" t="str">
        <f>IFERROR(VLOOKUP(B818,'Pre-Summary'!$CG$6:$CI$70,2,FALSE),"")</f>
        <v/>
      </c>
      <c r="AB818" s="99">
        <f>IFERROR(VLOOKUP(B818,'Pre-Summary'!$A$6:$P$178,9,FALSE),AB819)</f>
        <v>0.81724034866906348</v>
      </c>
      <c r="AC818" s="10">
        <f>IFERROR(VLOOKUP(Summary!B818,'Pre-Summary'!$A$6:$P$184,5, FALSE)/100,AC819)</f>
        <v>0.75598666666666658</v>
      </c>
      <c r="AD818" s="10">
        <f>IFERROR(VLOOKUP(Summary!B818,'Pre-Summary'!$A$6:$P$184,3, FALSE)/100,AD819)</f>
        <v>3.6938666666666668E-2</v>
      </c>
      <c r="AE818" s="10">
        <f>IFERROR(VLOOKUP(Summary!B818,'Pre-Summary'!$A$6:$P$184,7, FALSE)/100,AE819)</f>
        <v>0.20707500000000001</v>
      </c>
      <c r="AF818" s="99">
        <f t="shared" si="37"/>
        <v>3.0187768826036982E-2</v>
      </c>
      <c r="AG818" s="99">
        <f t="shared" si="38"/>
        <v>0.16923004520064633</v>
      </c>
      <c r="AH818" s="10" t="str">
        <f>IFERROR(VLOOKUP(B818,'Pre-Summary'!$AZ$6:$BE$65,3,FALSE),"")</f>
        <v/>
      </c>
      <c r="AI818" s="10" t="str">
        <f>IFERROR(VLOOKUP(B818,'Pre-Summary'!$AZ$6:$BE$65,5,FALSE),"")</f>
        <v/>
      </c>
      <c r="AJ818" s="10" t="str">
        <f>IFERROR(VLOOKUP(B818,'Pre-Summary'!$AZ$6:$BE$65,4,FALSE),"")</f>
        <v/>
      </c>
      <c r="AK818" s="10" t="str">
        <f>IFERROR(VLOOKUP(B818,'Pre-Summary'!$AZ$6:$BE$65,6,FALSE),"")</f>
        <v/>
      </c>
      <c r="AL818" s="10" t="str">
        <f>IFERROR(VLOOKUP(B818,'Pre-Summary'!$BG$6:$BL$44,3,FALSE),"")</f>
        <v/>
      </c>
      <c r="AM818" s="10" t="str">
        <f>IFERROR(VLOOKUP(B818,'Pre-Summary'!$BG$6:$BL$44,4,FALSE),"")</f>
        <v/>
      </c>
    </row>
    <row r="819" spans="2:39" ht="15" customHeight="1" x14ac:dyDescent="0.3">
      <c r="B819">
        <v>81.599999999999994</v>
      </c>
      <c r="C819" t="str">
        <f>IFERROR(VLOOKUP(B819,'Pre-Summary'!$DI$6:$DM$23,4,FALSE),"")</f>
        <v/>
      </c>
      <c r="D819" s="10" t="str">
        <f>IFERROR(VLOOKUP(B819,'Pre-Summary'!$AT$6:$AX$14,5,FALSE),D818)</f>
        <v>DSMZ v2: Dropped Na-Ac out of DSMZ 120 media</v>
      </c>
      <c r="E819" s="10" t="str">
        <f>IFERROR(VLOOKUP(B819,'Pre-Summary'!$AT$6:$AX$15,4,FALSE),"")</f>
        <v/>
      </c>
      <c r="F819">
        <f>IFERROR(VLOOKUP(B819,'Pre-Summary'!$AL$6:$AQ$13,6,FALSE),F818)</f>
        <v>5.9405263157894746E-2</v>
      </c>
      <c r="G819" t="str">
        <f>IFERROR(VLOOKUP(B819,'Pre-Summary'!$AE$6:$AJ$85,3,FALSE),"")</f>
        <v/>
      </c>
      <c r="H819" t="str">
        <f>IFERROR(VLOOKUP(B819,'Pre-Summary'!$AE$6:$AJ$85,4,FALSE),"")</f>
        <v/>
      </c>
      <c r="I819" t="str">
        <f>IFERROR(VLOOKUP(B819,'Pre-Summary'!$AE$6:$AJ$85,5,FALSE),"")</f>
        <v/>
      </c>
      <c r="J819" s="45" t="str">
        <f>IFERROR(VLOOKUP(B819,'Pre-Summary'!$AE$6:$AJ$85,6, FALSE),"")</f>
        <v/>
      </c>
      <c r="K819" s="45" t="str">
        <f>IFERROR(VLOOKUP(B819,'Pre-Summary'!$DE$6:$DG$61,3,FALSE),"")</f>
        <v/>
      </c>
      <c r="L819" s="45" t="str">
        <f>IFERROR(VLOOKUP(B819,'Pre-Summary'!$CU$6:$CW$36,3,FALSE),"")</f>
        <v/>
      </c>
      <c r="M819" s="45" t="str">
        <f>IFERROR(VLOOKUP(B819,'Pre-Summary'!$BW$6:$BY$58,2,FALSE),"")</f>
        <v/>
      </c>
      <c r="N819" s="45" t="str">
        <f>IFERROR(VLOOKUP(B819,'Pre-Summary'!$CD$6:$CF$64,2,FALSE),"")</f>
        <v/>
      </c>
      <c r="O819" s="99">
        <f>IFERROR(VLOOKUP(B819,'Pre-Summary'!$BO$6:$BQ$48,3, FALSE),O818)</f>
        <v>1.2</v>
      </c>
      <c r="P819" s="99">
        <f>IFERROR(VLOOKUP(B819,'Pre-Summary'!$BS$6:$BU$35,3,FALSE),P818)</f>
        <v>0.3</v>
      </c>
      <c r="Q819" s="54">
        <f t="shared" si="36"/>
        <v>4</v>
      </c>
      <c r="R819" s="53">
        <f>IFERROR(VLOOKUP(B819,'Pre-Summary'!$BG$6:$BM$44,7,FALSE),R820)</f>
        <v>0.10617362811310796</v>
      </c>
      <c r="S819" s="53">
        <f>IFERROR(VLOOKUP(B819,'Pre-Summary'!$BG$6:$BM$44,6,FALSE),S820)</f>
        <v>9.9527233330079901E-2</v>
      </c>
      <c r="T819" s="45" t="str">
        <f>IFERROR(VLOOKUP(B819,'Pre-Summary'!$Y$6:$AC$83, 3,FALSE),"")</f>
        <v/>
      </c>
      <c r="U819" s="45" t="str">
        <f>IFERROR(VLOOKUP(B819,'Pre-Summary'!$Y$6:$AC$83, 4,FALSE),"")</f>
        <v/>
      </c>
      <c r="V819" t="str">
        <f>IFERROR(VLOOKUP(B819,'Pre-Summary'!$Y$6:$AC$83, 5,FALSE),"")</f>
        <v/>
      </c>
      <c r="W819" s="45" t="str">
        <f>IFERROR(VLOOKUP(B819,'Pre-Summary'!$Y$6:$AD$83,6,FALSE),"")</f>
        <v/>
      </c>
      <c r="X819" t="str">
        <f>IFERROR(VLOOKUP('Pre-Summary'!$DB$6:$DD$63,3,FALSE),"")</f>
        <v/>
      </c>
      <c r="Y819" t="str">
        <f>IFERROR(VLOOKUP(B819,'Pre-Summary'!$CR$6:$CT$36,3,FALSE),"")</f>
        <v/>
      </c>
      <c r="Z819" s="45" t="str">
        <f>IFERROR(VLOOKUP(B819,'Pre-Summary'!$BZ$6:$CB$63,2,FALSE),"")</f>
        <v/>
      </c>
      <c r="AA819" s="45" t="str">
        <f>IFERROR(VLOOKUP(B819,'Pre-Summary'!$CG$6:$CI$70,2,FALSE),"")</f>
        <v/>
      </c>
      <c r="AB819" s="99">
        <f>IFERROR(VLOOKUP(B819,'Pre-Summary'!$A$6:$P$178,9,FALSE),AB820)</f>
        <v>0.81724034866906348</v>
      </c>
      <c r="AC819" s="10">
        <f>IFERROR(VLOOKUP(Summary!B819,'Pre-Summary'!$A$6:$P$184,5, FALSE)/100,AC820)</f>
        <v>0.75598666666666658</v>
      </c>
      <c r="AD819" s="10">
        <f>IFERROR(VLOOKUP(Summary!B819,'Pre-Summary'!$A$6:$P$184,3, FALSE)/100,AD820)</f>
        <v>3.6938666666666668E-2</v>
      </c>
      <c r="AE819" s="10">
        <f>IFERROR(VLOOKUP(Summary!B819,'Pre-Summary'!$A$6:$P$184,7, FALSE)/100,AE820)</f>
        <v>0.20707500000000001</v>
      </c>
      <c r="AF819" s="99">
        <f t="shared" si="37"/>
        <v>3.0187768826036982E-2</v>
      </c>
      <c r="AG819" s="99">
        <f t="shared" si="38"/>
        <v>0.16923004520064633</v>
      </c>
      <c r="AH819" s="10" t="str">
        <f>IFERROR(VLOOKUP(B819,'Pre-Summary'!$AZ$6:$BE$65,3,FALSE),"")</f>
        <v/>
      </c>
      <c r="AI819" s="10" t="str">
        <f>IFERROR(VLOOKUP(B819,'Pre-Summary'!$AZ$6:$BE$65,5,FALSE),"")</f>
        <v/>
      </c>
      <c r="AJ819" s="10" t="str">
        <f>IFERROR(VLOOKUP(B819,'Pre-Summary'!$AZ$6:$BE$65,4,FALSE),"")</f>
        <v/>
      </c>
      <c r="AK819" s="10" t="str">
        <f>IFERROR(VLOOKUP(B819,'Pre-Summary'!$AZ$6:$BE$65,6,FALSE),"")</f>
        <v/>
      </c>
      <c r="AL819" s="10" t="str">
        <f>IFERROR(VLOOKUP(B819,'Pre-Summary'!$BG$6:$BL$44,3,FALSE),"")</f>
        <v/>
      </c>
      <c r="AM819" s="10" t="str">
        <f>IFERROR(VLOOKUP(B819,'Pre-Summary'!$BG$6:$BL$44,4,FALSE),"")</f>
        <v/>
      </c>
    </row>
    <row r="820" spans="2:39" ht="15" customHeight="1" x14ac:dyDescent="0.3">
      <c r="B820">
        <v>81.7</v>
      </c>
      <c r="C820" t="str">
        <f>IFERROR(VLOOKUP(B820,'Pre-Summary'!$DI$6:$DM$23,4,FALSE),"")</f>
        <v/>
      </c>
      <c r="D820" s="10" t="str">
        <f>IFERROR(VLOOKUP(B820,'Pre-Summary'!$AT$6:$AX$14,5,FALSE),D819)</f>
        <v>DSMZ v2: Dropped Na-Ac out of DSMZ 120 media</v>
      </c>
      <c r="E820" s="10" t="str">
        <f>IFERROR(VLOOKUP(B820,'Pre-Summary'!$AT$6:$AX$15,4,FALSE),"")</f>
        <v/>
      </c>
      <c r="F820">
        <f>IFERROR(VLOOKUP(B820,'Pre-Summary'!$AL$6:$AQ$13,6,FALSE),F819)</f>
        <v>5.9405263157894746E-2</v>
      </c>
      <c r="G820" t="str">
        <f>IFERROR(VLOOKUP(B820,'Pre-Summary'!$AE$6:$AJ$85,3,FALSE),"")</f>
        <v/>
      </c>
      <c r="H820" t="str">
        <f>IFERROR(VLOOKUP(B820,'Pre-Summary'!$AE$6:$AJ$85,4,FALSE),"")</f>
        <v/>
      </c>
      <c r="I820" t="str">
        <f>IFERROR(VLOOKUP(B820,'Pre-Summary'!$AE$6:$AJ$85,5,FALSE),"")</f>
        <v/>
      </c>
      <c r="J820" s="45" t="str">
        <f>IFERROR(VLOOKUP(B820,'Pre-Summary'!$AE$6:$AJ$85,6, FALSE),"")</f>
        <v/>
      </c>
      <c r="K820" s="45" t="str">
        <f>IFERROR(VLOOKUP(B820,'Pre-Summary'!$DE$6:$DG$61,3,FALSE),"")</f>
        <v/>
      </c>
      <c r="L820" s="45" t="str">
        <f>IFERROR(VLOOKUP(B820,'Pre-Summary'!$CU$6:$CW$36,3,FALSE),"")</f>
        <v/>
      </c>
      <c r="M820" s="45" t="str">
        <f>IFERROR(VLOOKUP(B820,'Pre-Summary'!$BW$6:$BY$58,2,FALSE),"")</f>
        <v/>
      </c>
      <c r="N820" s="45" t="str">
        <f>IFERROR(VLOOKUP(B820,'Pre-Summary'!$CD$6:$CF$64,2,FALSE),"")</f>
        <v/>
      </c>
      <c r="O820" s="99">
        <f>IFERROR(VLOOKUP(B820,'Pre-Summary'!$BO$6:$BQ$48,3, FALSE),O819)</f>
        <v>1.2</v>
      </c>
      <c r="P820" s="99">
        <f>IFERROR(VLOOKUP(B820,'Pre-Summary'!$BS$6:$BU$35,3,FALSE),P819)</f>
        <v>0.3</v>
      </c>
      <c r="Q820" s="54">
        <f t="shared" si="36"/>
        <v>4</v>
      </c>
      <c r="R820" s="53">
        <f>IFERROR(VLOOKUP(B820,'Pre-Summary'!$BG$6:$BM$44,7,FALSE),R821)</f>
        <v>0.10617362811310796</v>
      </c>
      <c r="S820" s="53">
        <f>IFERROR(VLOOKUP(B820,'Pre-Summary'!$BG$6:$BM$44,6,FALSE),S821)</f>
        <v>9.9527233330079901E-2</v>
      </c>
      <c r="T820" s="45" t="str">
        <f>IFERROR(VLOOKUP(B820,'Pre-Summary'!$Y$6:$AC$83, 3,FALSE),"")</f>
        <v/>
      </c>
      <c r="U820" s="45" t="str">
        <f>IFERROR(VLOOKUP(B820,'Pre-Summary'!$Y$6:$AC$83, 4,FALSE),"")</f>
        <v/>
      </c>
      <c r="V820" t="str">
        <f>IFERROR(VLOOKUP(B820,'Pre-Summary'!$Y$6:$AC$83, 5,FALSE),"")</f>
        <v/>
      </c>
      <c r="W820" s="45" t="str">
        <f>IFERROR(VLOOKUP(B820,'Pre-Summary'!$Y$6:$AD$83,6,FALSE),"")</f>
        <v/>
      </c>
      <c r="X820" t="str">
        <f>IFERROR(VLOOKUP('Pre-Summary'!$DB$6:$DD$63,3,FALSE),"")</f>
        <v/>
      </c>
      <c r="Y820" t="str">
        <f>IFERROR(VLOOKUP(B820,'Pre-Summary'!$CR$6:$CT$36,3,FALSE),"")</f>
        <v/>
      </c>
      <c r="Z820" s="45" t="str">
        <f>IFERROR(VLOOKUP(B820,'Pre-Summary'!$BZ$6:$CB$63,2,FALSE),"")</f>
        <v/>
      </c>
      <c r="AA820" s="45" t="str">
        <f>IFERROR(VLOOKUP(B820,'Pre-Summary'!$CG$6:$CI$70,2,FALSE),"")</f>
        <v/>
      </c>
      <c r="AB820" s="99">
        <f>IFERROR(VLOOKUP(B820,'Pre-Summary'!$A$6:$P$178,9,FALSE),AB821)</f>
        <v>0.81724034866906348</v>
      </c>
      <c r="AC820" s="10">
        <f>IFERROR(VLOOKUP(Summary!B820,'Pre-Summary'!$A$6:$P$184,5, FALSE)/100,AC821)</f>
        <v>0.75598666666666658</v>
      </c>
      <c r="AD820" s="10">
        <f>IFERROR(VLOOKUP(Summary!B820,'Pre-Summary'!$A$6:$P$184,3, FALSE)/100,AD821)</f>
        <v>3.6938666666666668E-2</v>
      </c>
      <c r="AE820" s="10">
        <f>IFERROR(VLOOKUP(Summary!B820,'Pre-Summary'!$A$6:$P$184,7, FALSE)/100,AE821)</f>
        <v>0.20707500000000001</v>
      </c>
      <c r="AF820" s="99">
        <f t="shared" si="37"/>
        <v>3.0187768826036982E-2</v>
      </c>
      <c r="AG820" s="99">
        <f t="shared" si="38"/>
        <v>0.16923004520064633</v>
      </c>
      <c r="AH820" s="10" t="str">
        <f>IFERROR(VLOOKUP(B820,'Pre-Summary'!$AZ$6:$BE$65,3,FALSE),"")</f>
        <v/>
      </c>
      <c r="AI820" s="10" t="str">
        <f>IFERROR(VLOOKUP(B820,'Pre-Summary'!$AZ$6:$BE$65,5,FALSE),"")</f>
        <v/>
      </c>
      <c r="AJ820" s="10" t="str">
        <f>IFERROR(VLOOKUP(B820,'Pre-Summary'!$AZ$6:$BE$65,4,FALSE),"")</f>
        <v/>
      </c>
      <c r="AK820" s="10" t="str">
        <f>IFERROR(VLOOKUP(B820,'Pre-Summary'!$AZ$6:$BE$65,6,FALSE),"")</f>
        <v/>
      </c>
      <c r="AL820" s="10" t="str">
        <f>IFERROR(VLOOKUP(B820,'Pre-Summary'!$BG$6:$BL$44,3,FALSE),"")</f>
        <v/>
      </c>
      <c r="AM820" s="10" t="str">
        <f>IFERROR(VLOOKUP(B820,'Pre-Summary'!$BG$6:$BL$44,4,FALSE),"")</f>
        <v/>
      </c>
    </row>
    <row r="821" spans="2:39" ht="15" customHeight="1" x14ac:dyDescent="0.3">
      <c r="B821">
        <v>81.8</v>
      </c>
      <c r="C821" t="str">
        <f>IFERROR(VLOOKUP(B821,'Pre-Summary'!$DI$6:$DM$23,4,FALSE),"")</f>
        <v/>
      </c>
      <c r="D821" s="10" t="str">
        <f>IFERROR(VLOOKUP(B821,'Pre-Summary'!$AT$6:$AX$14,5,FALSE),D820)</f>
        <v>DSMZ v2: Dropped Na-Ac out of DSMZ 120 media</v>
      </c>
      <c r="E821" s="10" t="str">
        <f>IFERROR(VLOOKUP(B821,'Pre-Summary'!$AT$6:$AX$15,4,FALSE),"")</f>
        <v/>
      </c>
      <c r="F821">
        <f>IFERROR(VLOOKUP(B821,'Pre-Summary'!$AL$6:$AQ$13,6,FALSE),F820)</f>
        <v>5.9405263157894746E-2</v>
      </c>
      <c r="G821" t="str">
        <f>IFERROR(VLOOKUP(B821,'Pre-Summary'!$AE$6:$AJ$85,3,FALSE),"")</f>
        <v/>
      </c>
      <c r="H821" t="str">
        <f>IFERROR(VLOOKUP(B821,'Pre-Summary'!$AE$6:$AJ$85,4,FALSE),"")</f>
        <v/>
      </c>
      <c r="I821" t="str">
        <f>IFERROR(VLOOKUP(B821,'Pre-Summary'!$AE$6:$AJ$85,5,FALSE),"")</f>
        <v/>
      </c>
      <c r="J821" s="45" t="str">
        <f>IFERROR(VLOOKUP(B821,'Pre-Summary'!$AE$6:$AJ$85,6, FALSE),"")</f>
        <v/>
      </c>
      <c r="K821" s="45" t="str">
        <f>IFERROR(VLOOKUP(B821,'Pre-Summary'!$DE$6:$DG$61,3,FALSE),"")</f>
        <v/>
      </c>
      <c r="L821" s="45" t="str">
        <f>IFERROR(VLOOKUP(B821,'Pre-Summary'!$CU$6:$CW$36,3,FALSE),"")</f>
        <v/>
      </c>
      <c r="M821" s="45" t="str">
        <f>IFERROR(VLOOKUP(B821,'Pre-Summary'!$BW$6:$BY$58,2,FALSE),"")</f>
        <v/>
      </c>
      <c r="N821" s="45" t="str">
        <f>IFERROR(VLOOKUP(B821,'Pre-Summary'!$CD$6:$CF$64,2,FALSE),"")</f>
        <v/>
      </c>
      <c r="O821" s="99">
        <f>IFERROR(VLOOKUP(B821,'Pre-Summary'!$BO$6:$BQ$48,3, FALSE),O820)</f>
        <v>1.2</v>
      </c>
      <c r="P821" s="99">
        <f>IFERROR(VLOOKUP(B821,'Pre-Summary'!$BS$6:$BU$35,3,FALSE),P820)</f>
        <v>0.3</v>
      </c>
      <c r="Q821" s="54">
        <f t="shared" si="36"/>
        <v>4</v>
      </c>
      <c r="R821" s="53">
        <f>IFERROR(VLOOKUP(B821,'Pre-Summary'!$BG$6:$BM$44,7,FALSE),R822)</f>
        <v>0.10617362811310796</v>
      </c>
      <c r="S821" s="53">
        <f>IFERROR(VLOOKUP(B821,'Pre-Summary'!$BG$6:$BM$44,6,FALSE),S822)</f>
        <v>9.9527233330079901E-2</v>
      </c>
      <c r="T821" s="45" t="str">
        <f>IFERROR(VLOOKUP(B821,'Pre-Summary'!$Y$6:$AC$83, 3,FALSE),"")</f>
        <v/>
      </c>
      <c r="U821" s="45" t="str">
        <f>IFERROR(VLOOKUP(B821,'Pre-Summary'!$Y$6:$AC$83, 4,FALSE),"")</f>
        <v/>
      </c>
      <c r="V821" t="str">
        <f>IFERROR(VLOOKUP(B821,'Pre-Summary'!$Y$6:$AC$83, 5,FALSE),"")</f>
        <v/>
      </c>
      <c r="W821" s="45" t="str">
        <f>IFERROR(VLOOKUP(B821,'Pre-Summary'!$Y$6:$AD$83,6,FALSE),"")</f>
        <v/>
      </c>
      <c r="X821" t="str">
        <f>IFERROR(VLOOKUP('Pre-Summary'!$DB$6:$DD$63,3,FALSE),"")</f>
        <v/>
      </c>
      <c r="Y821" t="str">
        <f>IFERROR(VLOOKUP(B821,'Pre-Summary'!$CR$6:$CT$36,3,FALSE),"")</f>
        <v/>
      </c>
      <c r="Z821" s="45" t="str">
        <f>IFERROR(VLOOKUP(B821,'Pre-Summary'!$BZ$6:$CB$63,2,FALSE),"")</f>
        <v/>
      </c>
      <c r="AA821" s="45" t="str">
        <f>IFERROR(VLOOKUP(B821,'Pre-Summary'!$CG$6:$CI$70,2,FALSE),"")</f>
        <v/>
      </c>
      <c r="AB821" s="99">
        <f>IFERROR(VLOOKUP(B821,'Pre-Summary'!$A$6:$P$178,9,FALSE),AB822)</f>
        <v>0.81724034866906348</v>
      </c>
      <c r="AC821" s="10">
        <f>IFERROR(VLOOKUP(Summary!B821,'Pre-Summary'!$A$6:$P$184,5, FALSE)/100,AC822)</f>
        <v>0.75598666666666658</v>
      </c>
      <c r="AD821" s="10">
        <f>IFERROR(VLOOKUP(Summary!B821,'Pre-Summary'!$A$6:$P$184,3, FALSE)/100,AD822)</f>
        <v>3.6938666666666668E-2</v>
      </c>
      <c r="AE821" s="10">
        <f>IFERROR(VLOOKUP(Summary!B821,'Pre-Summary'!$A$6:$P$184,7, FALSE)/100,AE822)</f>
        <v>0.20707500000000001</v>
      </c>
      <c r="AF821" s="99">
        <f t="shared" si="37"/>
        <v>3.0187768826036982E-2</v>
      </c>
      <c r="AG821" s="99">
        <f t="shared" si="38"/>
        <v>0.16923004520064633</v>
      </c>
      <c r="AH821" s="10" t="str">
        <f>IFERROR(VLOOKUP(B821,'Pre-Summary'!$AZ$6:$BE$65,3,FALSE),"")</f>
        <v/>
      </c>
      <c r="AI821" s="10" t="str">
        <f>IFERROR(VLOOKUP(B821,'Pre-Summary'!$AZ$6:$BE$65,5,FALSE),"")</f>
        <v/>
      </c>
      <c r="AJ821" s="10" t="str">
        <f>IFERROR(VLOOKUP(B821,'Pre-Summary'!$AZ$6:$BE$65,4,FALSE),"")</f>
        <v/>
      </c>
      <c r="AK821" s="10" t="str">
        <f>IFERROR(VLOOKUP(B821,'Pre-Summary'!$AZ$6:$BE$65,6,FALSE),"")</f>
        <v/>
      </c>
      <c r="AL821" s="10" t="str">
        <f>IFERROR(VLOOKUP(B821,'Pre-Summary'!$BG$6:$BL$44,3,FALSE),"")</f>
        <v/>
      </c>
      <c r="AM821" s="10" t="str">
        <f>IFERROR(VLOOKUP(B821,'Pre-Summary'!$BG$6:$BL$44,4,FALSE),"")</f>
        <v/>
      </c>
    </row>
    <row r="822" spans="2:39" ht="15" customHeight="1" x14ac:dyDescent="0.3">
      <c r="B822">
        <v>81.900000000000006</v>
      </c>
      <c r="C822" t="str">
        <f>IFERROR(VLOOKUP(B822,'Pre-Summary'!$DI$6:$DM$23,4,FALSE),"")</f>
        <v/>
      </c>
      <c r="D822" s="10" t="str">
        <f>IFERROR(VLOOKUP(B822,'Pre-Summary'!$AT$6:$AX$14,5,FALSE),D821)</f>
        <v>DSMZ v2: Dropped Na-Ac out of DSMZ 120 media</v>
      </c>
      <c r="E822" s="10" t="str">
        <f>IFERROR(VLOOKUP(B822,'Pre-Summary'!$AT$6:$AX$15,4,FALSE),"")</f>
        <v/>
      </c>
      <c r="F822">
        <f>IFERROR(VLOOKUP(B822,'Pre-Summary'!$AL$6:$AQ$13,6,FALSE),F821)</f>
        <v>5.9405263157894746E-2</v>
      </c>
      <c r="G822" t="str">
        <f>IFERROR(VLOOKUP(B822,'Pre-Summary'!$AE$6:$AJ$85,3,FALSE),"")</f>
        <v/>
      </c>
      <c r="H822" t="str">
        <f>IFERROR(VLOOKUP(B822,'Pre-Summary'!$AE$6:$AJ$85,4,FALSE),"")</f>
        <v/>
      </c>
      <c r="I822" t="str">
        <f>IFERROR(VLOOKUP(B822,'Pre-Summary'!$AE$6:$AJ$85,5,FALSE),"")</f>
        <v/>
      </c>
      <c r="J822" s="45" t="str">
        <f>IFERROR(VLOOKUP(B822,'Pre-Summary'!$AE$6:$AJ$85,6, FALSE),"")</f>
        <v/>
      </c>
      <c r="K822" s="45" t="str">
        <f>IFERROR(VLOOKUP(B822,'Pre-Summary'!$DE$6:$DG$61,3,FALSE),"")</f>
        <v/>
      </c>
      <c r="L822" s="45" t="str">
        <f>IFERROR(VLOOKUP(B822,'Pre-Summary'!$CU$6:$CW$36,3,FALSE),"")</f>
        <v/>
      </c>
      <c r="M822" s="45" t="str">
        <f>IFERROR(VLOOKUP(B822,'Pre-Summary'!$BW$6:$BY$58,2,FALSE),"")</f>
        <v/>
      </c>
      <c r="N822" s="45" t="str">
        <f>IFERROR(VLOOKUP(B822,'Pre-Summary'!$CD$6:$CF$64,2,FALSE),"")</f>
        <v/>
      </c>
      <c r="O822" s="99">
        <f>IFERROR(VLOOKUP(B822,'Pre-Summary'!$BO$6:$BQ$48,3, FALSE),O821)</f>
        <v>1.2</v>
      </c>
      <c r="P822" s="99">
        <f>IFERROR(VLOOKUP(B822,'Pre-Summary'!$BS$6:$BU$35,3,FALSE),P821)</f>
        <v>0.3</v>
      </c>
      <c r="Q822" s="54">
        <f t="shared" si="36"/>
        <v>4</v>
      </c>
      <c r="R822" s="53">
        <f>IFERROR(VLOOKUP(B822,'Pre-Summary'!$BG$6:$BM$44,7,FALSE),R823)</f>
        <v>0.10617362811310796</v>
      </c>
      <c r="S822" s="53">
        <f>IFERROR(VLOOKUP(B822,'Pre-Summary'!$BG$6:$BM$44,6,FALSE),S823)</f>
        <v>9.9527233330079901E-2</v>
      </c>
      <c r="T822" s="45" t="str">
        <f>IFERROR(VLOOKUP(B822,'Pre-Summary'!$Y$6:$AC$83, 3,FALSE),"")</f>
        <v/>
      </c>
      <c r="U822" s="45" t="str">
        <f>IFERROR(VLOOKUP(B822,'Pre-Summary'!$Y$6:$AC$83, 4,FALSE),"")</f>
        <v/>
      </c>
      <c r="V822" t="str">
        <f>IFERROR(VLOOKUP(B822,'Pre-Summary'!$Y$6:$AC$83, 5,FALSE),"")</f>
        <v/>
      </c>
      <c r="W822" s="45" t="str">
        <f>IFERROR(VLOOKUP(B822,'Pre-Summary'!$Y$6:$AD$83,6,FALSE),"")</f>
        <v/>
      </c>
      <c r="X822" t="str">
        <f>IFERROR(VLOOKUP('Pre-Summary'!$DB$6:$DD$63,3,FALSE),"")</f>
        <v/>
      </c>
      <c r="Y822" t="str">
        <f>IFERROR(VLOOKUP(B822,'Pre-Summary'!$CR$6:$CT$36,3,FALSE),"")</f>
        <v/>
      </c>
      <c r="Z822" s="45" t="str">
        <f>IFERROR(VLOOKUP(B822,'Pre-Summary'!$BZ$6:$CB$63,2,FALSE),"")</f>
        <v/>
      </c>
      <c r="AA822" s="45" t="str">
        <f>IFERROR(VLOOKUP(B822,'Pre-Summary'!$CG$6:$CI$70,2,FALSE),"")</f>
        <v/>
      </c>
      <c r="AB822" s="99">
        <f>IFERROR(VLOOKUP(B822,'Pre-Summary'!$A$6:$P$178,9,FALSE),AB823)</f>
        <v>0.81724034866906348</v>
      </c>
      <c r="AC822" s="10">
        <f>IFERROR(VLOOKUP(Summary!B822,'Pre-Summary'!$A$6:$P$184,5, FALSE)/100,AC823)</f>
        <v>0.75598666666666658</v>
      </c>
      <c r="AD822" s="10">
        <f>IFERROR(VLOOKUP(Summary!B822,'Pre-Summary'!$A$6:$P$184,3, FALSE)/100,AD823)</f>
        <v>3.6938666666666668E-2</v>
      </c>
      <c r="AE822" s="10">
        <f>IFERROR(VLOOKUP(Summary!B822,'Pre-Summary'!$A$6:$P$184,7, FALSE)/100,AE823)</f>
        <v>0.20707500000000001</v>
      </c>
      <c r="AF822" s="99">
        <f t="shared" si="37"/>
        <v>3.0187768826036982E-2</v>
      </c>
      <c r="AG822" s="99">
        <f t="shared" si="38"/>
        <v>0.16923004520064633</v>
      </c>
      <c r="AH822" s="10" t="str">
        <f>IFERROR(VLOOKUP(B822,'Pre-Summary'!$AZ$6:$BE$65,3,FALSE),"")</f>
        <v/>
      </c>
      <c r="AI822" s="10" t="str">
        <f>IFERROR(VLOOKUP(B822,'Pre-Summary'!$AZ$6:$BE$65,5,FALSE),"")</f>
        <v/>
      </c>
      <c r="AJ822" s="10" t="str">
        <f>IFERROR(VLOOKUP(B822,'Pre-Summary'!$AZ$6:$BE$65,4,FALSE),"")</f>
        <v/>
      </c>
      <c r="AK822" s="10" t="str">
        <f>IFERROR(VLOOKUP(B822,'Pre-Summary'!$AZ$6:$BE$65,6,FALSE),"")</f>
        <v/>
      </c>
      <c r="AL822" s="10" t="str">
        <f>IFERROR(VLOOKUP(B822,'Pre-Summary'!$BG$6:$BL$44,3,FALSE),"")</f>
        <v/>
      </c>
      <c r="AM822" s="10" t="str">
        <f>IFERROR(VLOOKUP(B822,'Pre-Summary'!$BG$6:$BL$44,4,FALSE),"")</f>
        <v/>
      </c>
    </row>
    <row r="823" spans="2:39" ht="15" customHeight="1" x14ac:dyDescent="0.3">
      <c r="B823">
        <v>82</v>
      </c>
      <c r="C823" t="str">
        <f>IFERROR(VLOOKUP(B823,'Pre-Summary'!$DI$6:$DM$23,4,FALSE),"")</f>
        <v/>
      </c>
      <c r="D823" s="10" t="str">
        <f>IFERROR(VLOOKUP(B823,'Pre-Summary'!$AT$6:$AX$14,5,FALSE),D822)</f>
        <v>DSMZ v2: Dropped Na-Ac out of DSMZ 120 media</v>
      </c>
      <c r="E823" s="10" t="str">
        <f>IFERROR(VLOOKUP(B823,'Pre-Summary'!$AT$6:$AX$15,4,FALSE),"")</f>
        <v/>
      </c>
      <c r="F823">
        <f>IFERROR(VLOOKUP(B823,'Pre-Summary'!$AL$6:$AQ$13,6,FALSE),F822)</f>
        <v>5.9405263157894746E-2</v>
      </c>
      <c r="G823" t="str">
        <f>IFERROR(VLOOKUP(B823,'Pre-Summary'!$AE$6:$AJ$85,3,FALSE),"")</f>
        <v/>
      </c>
      <c r="H823" t="str">
        <f>IFERROR(VLOOKUP(B823,'Pre-Summary'!$AE$6:$AJ$85,4,FALSE),"")</f>
        <v/>
      </c>
      <c r="I823" t="str">
        <f>IFERROR(VLOOKUP(B823,'Pre-Summary'!$AE$6:$AJ$85,5,FALSE),"")</f>
        <v/>
      </c>
      <c r="J823" s="45" t="str">
        <f>IFERROR(VLOOKUP(B823,'Pre-Summary'!$AE$6:$AJ$85,6, FALSE),"")</f>
        <v/>
      </c>
      <c r="K823" s="45" t="str">
        <f>IFERROR(VLOOKUP(B823,'Pre-Summary'!$DE$6:$DG$61,3,FALSE),"")</f>
        <v/>
      </c>
      <c r="L823" s="45" t="str">
        <f>IFERROR(VLOOKUP(B823,'Pre-Summary'!$CU$6:$CW$36,3,FALSE),"")</f>
        <v/>
      </c>
      <c r="M823" s="45" t="str">
        <f>IFERROR(VLOOKUP(B823,'Pre-Summary'!$BW$6:$BY$58,2,FALSE),"")</f>
        <v/>
      </c>
      <c r="N823" s="45" t="str">
        <f>IFERROR(VLOOKUP(B823,'Pre-Summary'!$CD$6:$CF$64,2,FALSE),"")</f>
        <v/>
      </c>
      <c r="O823" s="99">
        <f>IFERROR(VLOOKUP(B823,'Pre-Summary'!$BO$6:$BQ$48,3, FALSE),O822)</f>
        <v>1.2</v>
      </c>
      <c r="P823" s="99">
        <f>IFERROR(VLOOKUP(B823,'Pre-Summary'!$BS$6:$BU$35,3,FALSE),P822)</f>
        <v>0.3</v>
      </c>
      <c r="Q823" s="54">
        <f t="shared" si="36"/>
        <v>4</v>
      </c>
      <c r="R823" s="53">
        <f>IFERROR(VLOOKUP(B823,'Pre-Summary'!$BG$6:$BM$44,7,FALSE),R824)</f>
        <v>0.10617362811310796</v>
      </c>
      <c r="S823" s="53">
        <f>IFERROR(VLOOKUP(B823,'Pre-Summary'!$BG$6:$BM$44,6,FALSE),S824)</f>
        <v>9.9527233330079901E-2</v>
      </c>
      <c r="T823" s="45" t="str">
        <f>IFERROR(VLOOKUP(B823,'Pre-Summary'!$Y$6:$AC$83, 3,FALSE),"")</f>
        <v/>
      </c>
      <c r="U823" s="45" t="str">
        <f>IFERROR(VLOOKUP(B823,'Pre-Summary'!$Y$6:$AC$83, 4,FALSE),"")</f>
        <v/>
      </c>
      <c r="V823" t="str">
        <f>IFERROR(VLOOKUP(B823,'Pre-Summary'!$Y$6:$AC$83, 5,FALSE),"")</f>
        <v/>
      </c>
      <c r="W823" s="45" t="str">
        <f>IFERROR(VLOOKUP(B823,'Pre-Summary'!$Y$6:$AD$83,6,FALSE),"")</f>
        <v/>
      </c>
      <c r="X823" t="str">
        <f>IFERROR(VLOOKUP('Pre-Summary'!$DB$6:$DD$63,3,FALSE),"")</f>
        <v/>
      </c>
      <c r="Y823" t="str">
        <f>IFERROR(VLOOKUP(B823,'Pre-Summary'!$CR$6:$CT$36,3,FALSE),"")</f>
        <v/>
      </c>
      <c r="Z823" s="45" t="str">
        <f>IFERROR(VLOOKUP(B823,'Pre-Summary'!$BZ$6:$CB$63,2,FALSE),"")</f>
        <v/>
      </c>
      <c r="AA823" s="45" t="str">
        <f>IFERROR(VLOOKUP(B823,'Pre-Summary'!$CG$6:$CI$70,2,FALSE),"")</f>
        <v/>
      </c>
      <c r="AB823" s="99">
        <f>IFERROR(VLOOKUP(B823,'Pre-Summary'!$A$6:$P$178,9,FALSE),AB824)</f>
        <v>0.81724034866906348</v>
      </c>
      <c r="AC823" s="10">
        <f>IFERROR(VLOOKUP(Summary!B823,'Pre-Summary'!$A$6:$P$184,5, FALSE)/100,AC824)</f>
        <v>0.75598666666666658</v>
      </c>
      <c r="AD823" s="10">
        <f>IFERROR(VLOOKUP(Summary!B823,'Pre-Summary'!$A$6:$P$184,3, FALSE)/100,AD824)</f>
        <v>3.6938666666666668E-2</v>
      </c>
      <c r="AE823" s="10">
        <f>IFERROR(VLOOKUP(Summary!B823,'Pre-Summary'!$A$6:$P$184,7, FALSE)/100,AE824)</f>
        <v>0.20707500000000001</v>
      </c>
      <c r="AF823" s="99">
        <f t="shared" si="37"/>
        <v>3.0187768826036982E-2</v>
      </c>
      <c r="AG823" s="99">
        <f t="shared" si="38"/>
        <v>0.16923004520064633</v>
      </c>
      <c r="AH823" s="10" t="str">
        <f>IFERROR(VLOOKUP(B823,'Pre-Summary'!$AZ$6:$BE$65,3,FALSE),"")</f>
        <v/>
      </c>
      <c r="AI823" s="10" t="str">
        <f>IFERROR(VLOOKUP(B823,'Pre-Summary'!$AZ$6:$BE$65,5,FALSE),"")</f>
        <v/>
      </c>
      <c r="AJ823" s="10" t="str">
        <f>IFERROR(VLOOKUP(B823,'Pre-Summary'!$AZ$6:$BE$65,4,FALSE),"")</f>
        <v/>
      </c>
      <c r="AK823" s="10" t="str">
        <f>IFERROR(VLOOKUP(B823,'Pre-Summary'!$AZ$6:$BE$65,6,FALSE),"")</f>
        <v/>
      </c>
      <c r="AL823" s="10" t="str">
        <f>IFERROR(VLOOKUP(B823,'Pre-Summary'!$BG$6:$BL$44,3,FALSE),"")</f>
        <v/>
      </c>
      <c r="AM823" s="10" t="str">
        <f>IFERROR(VLOOKUP(B823,'Pre-Summary'!$BG$6:$BL$44,4,FALSE),"")</f>
        <v/>
      </c>
    </row>
    <row r="824" spans="2:39" ht="15" customHeight="1" x14ac:dyDescent="0.3">
      <c r="B824">
        <v>82.1</v>
      </c>
      <c r="C824" t="str">
        <f>IFERROR(VLOOKUP(B824,'Pre-Summary'!$DI$6:$DM$23,4,FALSE),"")</f>
        <v/>
      </c>
      <c r="D824" s="10" t="str">
        <f>IFERROR(VLOOKUP(B824,'Pre-Summary'!$AT$6:$AX$14,5,FALSE),D823)</f>
        <v>DSMZ v2: Dropped Na-Ac out of DSMZ 120 media</v>
      </c>
      <c r="E824" s="10" t="str">
        <f>IFERROR(VLOOKUP(B824,'Pre-Summary'!$AT$6:$AX$15,4,FALSE),"")</f>
        <v/>
      </c>
      <c r="F824">
        <f>IFERROR(VLOOKUP(B824,'Pre-Summary'!$AL$6:$AQ$13,6,FALSE),F823)</f>
        <v>5.9405263157894746E-2</v>
      </c>
      <c r="G824" t="str">
        <f>IFERROR(VLOOKUP(B824,'Pre-Summary'!$AE$6:$AJ$85,3,FALSE),"")</f>
        <v/>
      </c>
      <c r="H824" t="str">
        <f>IFERROR(VLOOKUP(B824,'Pre-Summary'!$AE$6:$AJ$85,4,FALSE),"")</f>
        <v/>
      </c>
      <c r="I824" t="str">
        <f>IFERROR(VLOOKUP(B824,'Pre-Summary'!$AE$6:$AJ$85,5,FALSE),"")</f>
        <v/>
      </c>
      <c r="J824" s="45" t="str">
        <f>IFERROR(VLOOKUP(B824,'Pre-Summary'!$AE$6:$AJ$85,6, FALSE),"")</f>
        <v/>
      </c>
      <c r="K824" s="45" t="str">
        <f>IFERROR(VLOOKUP(B824,'Pre-Summary'!$DE$6:$DG$61,3,FALSE),"")</f>
        <v/>
      </c>
      <c r="L824" s="45" t="str">
        <f>IFERROR(VLOOKUP(B824,'Pre-Summary'!$CU$6:$CW$36,3,FALSE),"")</f>
        <v/>
      </c>
      <c r="M824" s="45" t="str">
        <f>IFERROR(VLOOKUP(B824,'Pre-Summary'!$BW$6:$BY$58,2,FALSE),"")</f>
        <v/>
      </c>
      <c r="N824" s="45" t="str">
        <f>IFERROR(VLOOKUP(B824,'Pre-Summary'!$CD$6:$CF$64,2,FALSE),"")</f>
        <v/>
      </c>
      <c r="O824" s="99">
        <f>IFERROR(VLOOKUP(B824,'Pre-Summary'!$BO$6:$BQ$48,3, FALSE),O823)</f>
        <v>1.2</v>
      </c>
      <c r="P824" s="99">
        <f>IFERROR(VLOOKUP(B824,'Pre-Summary'!$BS$6:$BU$35,3,FALSE),P823)</f>
        <v>0.3</v>
      </c>
      <c r="Q824" s="54">
        <f t="shared" si="36"/>
        <v>4</v>
      </c>
      <c r="R824" s="53">
        <f>IFERROR(VLOOKUP(B824,'Pre-Summary'!$BG$6:$BM$44,7,FALSE),R825)</f>
        <v>0.10617362811310796</v>
      </c>
      <c r="S824" s="53">
        <f>IFERROR(VLOOKUP(B824,'Pre-Summary'!$BG$6:$BM$44,6,FALSE),S825)</f>
        <v>9.9527233330079901E-2</v>
      </c>
      <c r="T824" s="45" t="str">
        <f>IFERROR(VLOOKUP(B824,'Pre-Summary'!$Y$6:$AC$83, 3,FALSE),"")</f>
        <v/>
      </c>
      <c r="U824" s="45" t="str">
        <f>IFERROR(VLOOKUP(B824,'Pre-Summary'!$Y$6:$AC$83, 4,FALSE),"")</f>
        <v/>
      </c>
      <c r="V824" t="str">
        <f>IFERROR(VLOOKUP(B824,'Pre-Summary'!$Y$6:$AC$83, 5,FALSE),"")</f>
        <v/>
      </c>
      <c r="W824" s="45" t="str">
        <f>IFERROR(VLOOKUP(B824,'Pre-Summary'!$Y$6:$AD$83,6,FALSE),"")</f>
        <v/>
      </c>
      <c r="X824" t="str">
        <f>IFERROR(VLOOKUP('Pre-Summary'!$DB$6:$DD$63,3,FALSE),"")</f>
        <v/>
      </c>
      <c r="Y824" t="str">
        <f>IFERROR(VLOOKUP(B824,'Pre-Summary'!$CR$6:$CT$36,3,FALSE),"")</f>
        <v/>
      </c>
      <c r="Z824" s="45" t="str">
        <f>IFERROR(VLOOKUP(B824,'Pre-Summary'!$BZ$6:$CB$63,2,FALSE),"")</f>
        <v/>
      </c>
      <c r="AA824" s="45" t="str">
        <f>IFERROR(VLOOKUP(B824,'Pre-Summary'!$CG$6:$CI$70,2,FALSE),"")</f>
        <v/>
      </c>
      <c r="AB824" s="99">
        <f>IFERROR(VLOOKUP(B824,'Pre-Summary'!$A$6:$P$178,9,FALSE),AB825)</f>
        <v>0.81724034866906348</v>
      </c>
      <c r="AC824" s="10">
        <f>IFERROR(VLOOKUP(Summary!B824,'Pre-Summary'!$A$6:$P$184,5, FALSE)/100,AC825)</f>
        <v>0.75598666666666658</v>
      </c>
      <c r="AD824" s="10">
        <f>IFERROR(VLOOKUP(Summary!B824,'Pre-Summary'!$A$6:$P$184,3, FALSE)/100,AD825)</f>
        <v>3.6938666666666668E-2</v>
      </c>
      <c r="AE824" s="10">
        <f>IFERROR(VLOOKUP(Summary!B824,'Pre-Summary'!$A$6:$P$184,7, FALSE)/100,AE825)</f>
        <v>0.20707500000000001</v>
      </c>
      <c r="AF824" s="99">
        <f t="shared" si="37"/>
        <v>3.0187768826036982E-2</v>
      </c>
      <c r="AG824" s="99">
        <f t="shared" si="38"/>
        <v>0.16923004520064633</v>
      </c>
      <c r="AH824" s="10" t="str">
        <f>IFERROR(VLOOKUP(B824,'Pre-Summary'!$AZ$6:$BE$65,3,FALSE),"")</f>
        <v/>
      </c>
      <c r="AI824" s="10" t="str">
        <f>IFERROR(VLOOKUP(B824,'Pre-Summary'!$AZ$6:$BE$65,5,FALSE),"")</f>
        <v/>
      </c>
      <c r="AJ824" s="10" t="str">
        <f>IFERROR(VLOOKUP(B824,'Pre-Summary'!$AZ$6:$BE$65,4,FALSE),"")</f>
        <v/>
      </c>
      <c r="AK824" s="10" t="str">
        <f>IFERROR(VLOOKUP(B824,'Pre-Summary'!$AZ$6:$BE$65,6,FALSE),"")</f>
        <v/>
      </c>
      <c r="AL824" s="10" t="str">
        <f>IFERROR(VLOOKUP(B824,'Pre-Summary'!$BG$6:$BL$44,3,FALSE),"")</f>
        <v/>
      </c>
      <c r="AM824" s="10" t="str">
        <f>IFERROR(VLOOKUP(B824,'Pre-Summary'!$BG$6:$BL$44,4,FALSE),"")</f>
        <v/>
      </c>
    </row>
    <row r="825" spans="2:39" ht="15" customHeight="1" x14ac:dyDescent="0.3">
      <c r="B825">
        <v>82.2</v>
      </c>
      <c r="C825" t="str">
        <f>IFERROR(VLOOKUP(B825,'Pre-Summary'!$DI$6:$DM$23,4,FALSE),"")</f>
        <v/>
      </c>
      <c r="D825" s="10" t="str">
        <f>IFERROR(VLOOKUP(B825,'Pre-Summary'!$AT$6:$AX$14,5,FALSE),D824)</f>
        <v>DSMZ v2: Dropped Na-Ac out of DSMZ 120 media</v>
      </c>
      <c r="E825" s="10" t="str">
        <f>IFERROR(VLOOKUP(B825,'Pre-Summary'!$AT$6:$AX$15,4,FALSE),"")</f>
        <v/>
      </c>
      <c r="F825">
        <f>IFERROR(VLOOKUP(B825,'Pre-Summary'!$AL$6:$AQ$13,6,FALSE),F824)</f>
        <v>5.9405263157894746E-2</v>
      </c>
      <c r="G825" t="str">
        <f>IFERROR(VLOOKUP(B825,'Pre-Summary'!$AE$6:$AJ$85,3,FALSE),"")</f>
        <v/>
      </c>
      <c r="H825" t="str">
        <f>IFERROR(VLOOKUP(B825,'Pre-Summary'!$AE$6:$AJ$85,4,FALSE),"")</f>
        <v/>
      </c>
      <c r="I825" t="str">
        <f>IFERROR(VLOOKUP(B825,'Pre-Summary'!$AE$6:$AJ$85,5,FALSE),"")</f>
        <v/>
      </c>
      <c r="J825" s="45" t="str">
        <f>IFERROR(VLOOKUP(B825,'Pre-Summary'!$AE$6:$AJ$85,6, FALSE),"")</f>
        <v/>
      </c>
      <c r="K825" s="45" t="str">
        <f>IFERROR(VLOOKUP(B825,'Pre-Summary'!$DE$6:$DG$61,3,FALSE),"")</f>
        <v/>
      </c>
      <c r="L825" s="45" t="str">
        <f>IFERROR(VLOOKUP(B825,'Pre-Summary'!$CU$6:$CW$36,3,FALSE),"")</f>
        <v/>
      </c>
      <c r="M825" s="45" t="str">
        <f>IFERROR(VLOOKUP(B825,'Pre-Summary'!$BW$6:$BY$58,2,FALSE),"")</f>
        <v/>
      </c>
      <c r="N825" s="45" t="str">
        <f>IFERROR(VLOOKUP(B825,'Pre-Summary'!$CD$6:$CF$64,2,FALSE),"")</f>
        <v/>
      </c>
      <c r="O825" s="99">
        <f>IFERROR(VLOOKUP(B825,'Pre-Summary'!$BO$6:$BQ$48,3, FALSE),O824)</f>
        <v>1.2</v>
      </c>
      <c r="P825" s="99">
        <f>IFERROR(VLOOKUP(B825,'Pre-Summary'!$BS$6:$BU$35,3,FALSE),P824)</f>
        <v>0.3</v>
      </c>
      <c r="Q825" s="54">
        <f t="shared" si="36"/>
        <v>4</v>
      </c>
      <c r="R825" s="53">
        <f>IFERROR(VLOOKUP(B825,'Pre-Summary'!$BG$6:$BM$44,7,FALSE),R826)</f>
        <v>0.10617362811310796</v>
      </c>
      <c r="S825" s="53">
        <f>IFERROR(VLOOKUP(B825,'Pre-Summary'!$BG$6:$BM$44,6,FALSE),S826)</f>
        <v>9.9527233330079901E-2</v>
      </c>
      <c r="T825" s="45" t="str">
        <f>IFERROR(VLOOKUP(B825,'Pre-Summary'!$Y$6:$AC$83, 3,FALSE),"")</f>
        <v/>
      </c>
      <c r="U825" s="45" t="str">
        <f>IFERROR(VLOOKUP(B825,'Pre-Summary'!$Y$6:$AC$83, 4,FALSE),"")</f>
        <v/>
      </c>
      <c r="V825" t="str">
        <f>IFERROR(VLOOKUP(B825,'Pre-Summary'!$Y$6:$AC$83, 5,FALSE),"")</f>
        <v/>
      </c>
      <c r="W825" s="45" t="str">
        <f>IFERROR(VLOOKUP(B825,'Pre-Summary'!$Y$6:$AD$83,6,FALSE),"")</f>
        <v/>
      </c>
      <c r="X825" t="str">
        <f>IFERROR(VLOOKUP('Pre-Summary'!$DB$6:$DD$63,3,FALSE),"")</f>
        <v/>
      </c>
      <c r="Y825" t="str">
        <f>IFERROR(VLOOKUP(B825,'Pre-Summary'!$CR$6:$CT$36,3,FALSE),"")</f>
        <v/>
      </c>
      <c r="Z825" s="45" t="str">
        <f>IFERROR(VLOOKUP(B825,'Pre-Summary'!$BZ$6:$CB$63,2,FALSE),"")</f>
        <v/>
      </c>
      <c r="AA825" s="45" t="str">
        <f>IFERROR(VLOOKUP(B825,'Pre-Summary'!$CG$6:$CI$70,2,FALSE),"")</f>
        <v/>
      </c>
      <c r="AB825" s="99">
        <f>IFERROR(VLOOKUP(B825,'Pre-Summary'!$A$6:$P$178,9,FALSE),AB826)</f>
        <v>0.81724034866906348</v>
      </c>
      <c r="AC825" s="10">
        <f>IFERROR(VLOOKUP(Summary!B825,'Pre-Summary'!$A$6:$P$184,5, FALSE)/100,AC826)</f>
        <v>0.75598666666666658</v>
      </c>
      <c r="AD825" s="10">
        <f>IFERROR(VLOOKUP(Summary!B825,'Pre-Summary'!$A$6:$P$184,3, FALSE)/100,AD826)</f>
        <v>3.6938666666666668E-2</v>
      </c>
      <c r="AE825" s="10">
        <f>IFERROR(VLOOKUP(Summary!B825,'Pre-Summary'!$A$6:$P$184,7, FALSE)/100,AE826)</f>
        <v>0.20707500000000001</v>
      </c>
      <c r="AF825" s="99">
        <f t="shared" si="37"/>
        <v>3.0187768826036982E-2</v>
      </c>
      <c r="AG825" s="99">
        <f t="shared" si="38"/>
        <v>0.16923004520064633</v>
      </c>
      <c r="AH825" s="10" t="str">
        <f>IFERROR(VLOOKUP(B825,'Pre-Summary'!$AZ$6:$BE$65,3,FALSE),"")</f>
        <v/>
      </c>
      <c r="AI825" s="10" t="str">
        <f>IFERROR(VLOOKUP(B825,'Pre-Summary'!$AZ$6:$BE$65,5,FALSE),"")</f>
        <v/>
      </c>
      <c r="AJ825" s="10" t="str">
        <f>IFERROR(VLOOKUP(B825,'Pre-Summary'!$AZ$6:$BE$65,4,FALSE),"")</f>
        <v/>
      </c>
      <c r="AK825" s="10" t="str">
        <f>IFERROR(VLOOKUP(B825,'Pre-Summary'!$AZ$6:$BE$65,6,FALSE),"")</f>
        <v/>
      </c>
      <c r="AL825" s="10" t="str">
        <f>IFERROR(VLOOKUP(B825,'Pre-Summary'!$BG$6:$BL$44,3,FALSE),"")</f>
        <v/>
      </c>
      <c r="AM825" s="10" t="str">
        <f>IFERROR(VLOOKUP(B825,'Pre-Summary'!$BG$6:$BL$44,4,FALSE),"")</f>
        <v/>
      </c>
    </row>
    <row r="826" spans="2:39" ht="15" customHeight="1" x14ac:dyDescent="0.3">
      <c r="B826">
        <v>82.3</v>
      </c>
      <c r="C826" t="str">
        <f>IFERROR(VLOOKUP(B826,'Pre-Summary'!$DI$6:$DM$23,4,FALSE),"")</f>
        <v/>
      </c>
      <c r="D826" s="10" t="str">
        <f>IFERROR(VLOOKUP(B826,'Pre-Summary'!$AT$6:$AX$14,5,FALSE),D825)</f>
        <v>DSMZ v2: Dropped Na-Ac out of DSMZ 120 media</v>
      </c>
      <c r="E826" s="10" t="str">
        <f>IFERROR(VLOOKUP(B826,'Pre-Summary'!$AT$6:$AX$15,4,FALSE),"")</f>
        <v/>
      </c>
      <c r="F826">
        <f>IFERROR(VLOOKUP(B826,'Pre-Summary'!$AL$6:$AQ$13,6,FALSE),F825)</f>
        <v>5.9405263157894746E-2</v>
      </c>
      <c r="G826" t="str">
        <f>IFERROR(VLOOKUP(B826,'Pre-Summary'!$AE$6:$AJ$85,3,FALSE),"")</f>
        <v/>
      </c>
      <c r="H826" t="str">
        <f>IFERROR(VLOOKUP(B826,'Pre-Summary'!$AE$6:$AJ$85,4,FALSE),"")</f>
        <v/>
      </c>
      <c r="I826" t="str">
        <f>IFERROR(VLOOKUP(B826,'Pre-Summary'!$AE$6:$AJ$85,5,FALSE),"")</f>
        <v/>
      </c>
      <c r="J826" s="45" t="str">
        <f>IFERROR(VLOOKUP(B826,'Pre-Summary'!$AE$6:$AJ$85,6, FALSE),"")</f>
        <v/>
      </c>
      <c r="K826" s="45" t="str">
        <f>IFERROR(VLOOKUP(B826,'Pre-Summary'!$DE$6:$DG$61,3,FALSE),"")</f>
        <v/>
      </c>
      <c r="L826" s="45" t="str">
        <f>IFERROR(VLOOKUP(B826,'Pre-Summary'!$CU$6:$CW$36,3,FALSE),"")</f>
        <v/>
      </c>
      <c r="M826" s="45" t="str">
        <f>IFERROR(VLOOKUP(B826,'Pre-Summary'!$BW$6:$BY$58,2,FALSE),"")</f>
        <v/>
      </c>
      <c r="N826" s="45" t="str">
        <f>IFERROR(VLOOKUP(B826,'Pre-Summary'!$CD$6:$CF$64,2,FALSE),"")</f>
        <v/>
      </c>
      <c r="O826" s="99">
        <f>IFERROR(VLOOKUP(B826,'Pre-Summary'!$BO$6:$BQ$48,3, FALSE),O825)</f>
        <v>1.2</v>
      </c>
      <c r="P826" s="99">
        <f>IFERROR(VLOOKUP(B826,'Pre-Summary'!$BS$6:$BU$35,3,FALSE),P825)</f>
        <v>0.3</v>
      </c>
      <c r="Q826" s="54">
        <f t="shared" si="36"/>
        <v>4</v>
      </c>
      <c r="R826" s="53">
        <f>IFERROR(VLOOKUP(B826,'Pre-Summary'!$BG$6:$BM$44,7,FALSE),R827)</f>
        <v>0.10617362811310796</v>
      </c>
      <c r="S826" s="53">
        <f>IFERROR(VLOOKUP(B826,'Pre-Summary'!$BG$6:$BM$44,6,FALSE),S827)</f>
        <v>9.9527233330079901E-2</v>
      </c>
      <c r="T826" s="45" t="str">
        <f>IFERROR(VLOOKUP(B826,'Pre-Summary'!$Y$6:$AC$83, 3,FALSE),"")</f>
        <v/>
      </c>
      <c r="U826" s="45" t="str">
        <f>IFERROR(VLOOKUP(B826,'Pre-Summary'!$Y$6:$AC$83, 4,FALSE),"")</f>
        <v/>
      </c>
      <c r="V826" t="str">
        <f>IFERROR(VLOOKUP(B826,'Pre-Summary'!$Y$6:$AC$83, 5,FALSE),"")</f>
        <v/>
      </c>
      <c r="W826" s="45" t="str">
        <f>IFERROR(VLOOKUP(B826,'Pre-Summary'!$Y$6:$AD$83,6,FALSE),"")</f>
        <v/>
      </c>
      <c r="X826" t="str">
        <f>IFERROR(VLOOKUP('Pre-Summary'!$DB$6:$DD$63,3,FALSE),"")</f>
        <v/>
      </c>
      <c r="Y826" t="str">
        <f>IFERROR(VLOOKUP(B826,'Pre-Summary'!$CR$6:$CT$36,3,FALSE),"")</f>
        <v/>
      </c>
      <c r="Z826" s="45" t="str">
        <f>IFERROR(VLOOKUP(B826,'Pre-Summary'!$BZ$6:$CB$63,2,FALSE),"")</f>
        <v/>
      </c>
      <c r="AA826" s="45" t="str">
        <f>IFERROR(VLOOKUP(B826,'Pre-Summary'!$CG$6:$CI$70,2,FALSE),"")</f>
        <v/>
      </c>
      <c r="AB826" s="99">
        <f>IFERROR(VLOOKUP(B826,'Pre-Summary'!$A$6:$P$178,9,FALSE),AB827)</f>
        <v>0.81724034866906348</v>
      </c>
      <c r="AC826" s="10">
        <f>IFERROR(VLOOKUP(Summary!B826,'Pre-Summary'!$A$6:$P$184,5, FALSE)/100,AC827)</f>
        <v>0.75598666666666658</v>
      </c>
      <c r="AD826" s="10">
        <f>IFERROR(VLOOKUP(Summary!B826,'Pre-Summary'!$A$6:$P$184,3, FALSE)/100,AD827)</f>
        <v>3.6938666666666668E-2</v>
      </c>
      <c r="AE826" s="10">
        <f>IFERROR(VLOOKUP(Summary!B826,'Pre-Summary'!$A$6:$P$184,7, FALSE)/100,AE827)</f>
        <v>0.20707500000000001</v>
      </c>
      <c r="AF826" s="99">
        <f t="shared" si="37"/>
        <v>3.0187768826036982E-2</v>
      </c>
      <c r="AG826" s="99">
        <f t="shared" si="38"/>
        <v>0.16923004520064633</v>
      </c>
      <c r="AH826" s="10" t="str">
        <f>IFERROR(VLOOKUP(B826,'Pre-Summary'!$AZ$6:$BE$65,3,FALSE),"")</f>
        <v/>
      </c>
      <c r="AI826" s="10" t="str">
        <f>IFERROR(VLOOKUP(B826,'Pre-Summary'!$AZ$6:$BE$65,5,FALSE),"")</f>
        <v/>
      </c>
      <c r="AJ826" s="10" t="str">
        <f>IFERROR(VLOOKUP(B826,'Pre-Summary'!$AZ$6:$BE$65,4,FALSE),"")</f>
        <v/>
      </c>
      <c r="AK826" s="10" t="str">
        <f>IFERROR(VLOOKUP(B826,'Pre-Summary'!$AZ$6:$BE$65,6,FALSE),"")</f>
        <v/>
      </c>
      <c r="AL826" s="10" t="str">
        <f>IFERROR(VLOOKUP(B826,'Pre-Summary'!$BG$6:$BL$44,3,FALSE),"")</f>
        <v/>
      </c>
      <c r="AM826" s="10" t="str">
        <f>IFERROR(VLOOKUP(B826,'Pre-Summary'!$BG$6:$BL$44,4,FALSE),"")</f>
        <v/>
      </c>
    </row>
    <row r="827" spans="2:39" ht="15" customHeight="1" x14ac:dyDescent="0.3">
      <c r="B827">
        <v>82.4</v>
      </c>
      <c r="C827" t="str">
        <f>IFERROR(VLOOKUP(B827,'Pre-Summary'!$DI$6:$DM$23,4,FALSE),"")</f>
        <v/>
      </c>
      <c r="D827" s="10" t="str">
        <f>IFERROR(VLOOKUP(B827,'Pre-Summary'!$AT$6:$AX$14,5,FALSE),D826)</f>
        <v>DSMZ v2: Dropped Na-Ac out of DSMZ 120 media</v>
      </c>
      <c r="E827" s="10" t="str">
        <f>IFERROR(VLOOKUP(B827,'Pre-Summary'!$AT$6:$AX$15,4,FALSE),"")</f>
        <v/>
      </c>
      <c r="F827">
        <f>IFERROR(VLOOKUP(B827,'Pre-Summary'!$AL$6:$AQ$13,6,FALSE),F826)</f>
        <v>5.9405263157894746E-2</v>
      </c>
      <c r="G827" t="str">
        <f>IFERROR(VLOOKUP(B827,'Pre-Summary'!$AE$6:$AJ$85,3,FALSE),"")</f>
        <v/>
      </c>
      <c r="H827" t="str">
        <f>IFERROR(VLOOKUP(B827,'Pre-Summary'!$AE$6:$AJ$85,4,FALSE),"")</f>
        <v/>
      </c>
      <c r="I827" t="str">
        <f>IFERROR(VLOOKUP(B827,'Pre-Summary'!$AE$6:$AJ$85,5,FALSE),"")</f>
        <v/>
      </c>
      <c r="J827" s="45" t="str">
        <f>IFERROR(VLOOKUP(B827,'Pre-Summary'!$AE$6:$AJ$85,6, FALSE),"")</f>
        <v/>
      </c>
      <c r="K827" s="45" t="str">
        <f>IFERROR(VLOOKUP(B827,'Pre-Summary'!$DE$6:$DG$61,3,FALSE),"")</f>
        <v/>
      </c>
      <c r="L827" s="45" t="str">
        <f>IFERROR(VLOOKUP(B827,'Pre-Summary'!$CU$6:$CW$36,3,FALSE),"")</f>
        <v/>
      </c>
      <c r="M827" s="45" t="str">
        <f>IFERROR(VLOOKUP(B827,'Pre-Summary'!$BW$6:$BY$58,2,FALSE),"")</f>
        <v/>
      </c>
      <c r="N827" s="45" t="str">
        <f>IFERROR(VLOOKUP(B827,'Pre-Summary'!$CD$6:$CF$64,2,FALSE),"")</f>
        <v/>
      </c>
      <c r="O827" s="99">
        <f>IFERROR(VLOOKUP(B827,'Pre-Summary'!$BO$6:$BQ$48,3, FALSE),O826)</f>
        <v>1.2</v>
      </c>
      <c r="P827" s="99">
        <f>IFERROR(VLOOKUP(B827,'Pre-Summary'!$BS$6:$BU$35,3,FALSE),P826)</f>
        <v>0.3</v>
      </c>
      <c r="Q827" s="54">
        <f t="shared" si="36"/>
        <v>4</v>
      </c>
      <c r="R827" s="53">
        <f>IFERROR(VLOOKUP(B827,'Pre-Summary'!$BG$6:$BM$44,7,FALSE),R828)</f>
        <v>0.10617362811310796</v>
      </c>
      <c r="S827" s="53">
        <f>IFERROR(VLOOKUP(B827,'Pre-Summary'!$BG$6:$BM$44,6,FALSE),S828)</f>
        <v>9.9527233330079901E-2</v>
      </c>
      <c r="T827" s="45" t="str">
        <f>IFERROR(VLOOKUP(B827,'Pre-Summary'!$Y$6:$AC$83, 3,FALSE),"")</f>
        <v/>
      </c>
      <c r="U827" s="45" t="str">
        <f>IFERROR(VLOOKUP(B827,'Pre-Summary'!$Y$6:$AC$83, 4,FALSE),"")</f>
        <v/>
      </c>
      <c r="V827" t="str">
        <f>IFERROR(VLOOKUP(B827,'Pre-Summary'!$Y$6:$AC$83, 5,FALSE),"")</f>
        <v/>
      </c>
      <c r="W827" s="45" t="str">
        <f>IFERROR(VLOOKUP(B827,'Pre-Summary'!$Y$6:$AD$83,6,FALSE),"")</f>
        <v/>
      </c>
      <c r="X827" t="str">
        <f>IFERROR(VLOOKUP('Pre-Summary'!$DB$6:$DD$63,3,FALSE),"")</f>
        <v/>
      </c>
      <c r="Y827" t="str">
        <f>IFERROR(VLOOKUP(B827,'Pre-Summary'!$CR$6:$CT$36,3,FALSE),"")</f>
        <v/>
      </c>
      <c r="Z827" s="45" t="str">
        <f>IFERROR(VLOOKUP(B827,'Pre-Summary'!$BZ$6:$CB$63,2,FALSE),"")</f>
        <v/>
      </c>
      <c r="AA827" s="45" t="str">
        <f>IFERROR(VLOOKUP(B827,'Pre-Summary'!$CG$6:$CI$70,2,FALSE),"")</f>
        <v/>
      </c>
      <c r="AB827" s="99">
        <f>IFERROR(VLOOKUP(B827,'Pre-Summary'!$A$6:$P$178,9,FALSE),AB828)</f>
        <v>0.81724034866906348</v>
      </c>
      <c r="AC827" s="10">
        <f>IFERROR(VLOOKUP(Summary!B827,'Pre-Summary'!$A$6:$P$184,5, FALSE)/100,AC828)</f>
        <v>0.75598666666666658</v>
      </c>
      <c r="AD827" s="10">
        <f>IFERROR(VLOOKUP(Summary!B827,'Pre-Summary'!$A$6:$P$184,3, FALSE)/100,AD828)</f>
        <v>3.6938666666666668E-2</v>
      </c>
      <c r="AE827" s="10">
        <f>IFERROR(VLOOKUP(Summary!B827,'Pre-Summary'!$A$6:$P$184,7, FALSE)/100,AE828)</f>
        <v>0.20707500000000001</v>
      </c>
      <c r="AF827" s="99">
        <f t="shared" si="37"/>
        <v>3.0187768826036982E-2</v>
      </c>
      <c r="AG827" s="99">
        <f t="shared" si="38"/>
        <v>0.16923004520064633</v>
      </c>
      <c r="AH827" s="10" t="str">
        <f>IFERROR(VLOOKUP(B827,'Pre-Summary'!$AZ$6:$BE$65,3,FALSE),"")</f>
        <v/>
      </c>
      <c r="AI827" s="10" t="str">
        <f>IFERROR(VLOOKUP(B827,'Pre-Summary'!$AZ$6:$BE$65,5,FALSE),"")</f>
        <v/>
      </c>
      <c r="AJ827" s="10" t="str">
        <f>IFERROR(VLOOKUP(B827,'Pre-Summary'!$AZ$6:$BE$65,4,FALSE),"")</f>
        <v/>
      </c>
      <c r="AK827" s="10" t="str">
        <f>IFERROR(VLOOKUP(B827,'Pre-Summary'!$AZ$6:$BE$65,6,FALSE),"")</f>
        <v/>
      </c>
      <c r="AL827" s="10" t="str">
        <f>IFERROR(VLOOKUP(B827,'Pre-Summary'!$BG$6:$BL$44,3,FALSE),"")</f>
        <v/>
      </c>
      <c r="AM827" s="10" t="str">
        <f>IFERROR(VLOOKUP(B827,'Pre-Summary'!$BG$6:$BL$44,4,FALSE),"")</f>
        <v/>
      </c>
    </row>
    <row r="828" spans="2:39" ht="15" customHeight="1" x14ac:dyDescent="0.3">
      <c r="B828">
        <v>82.5</v>
      </c>
      <c r="C828" t="str">
        <f>IFERROR(VLOOKUP(B828,'Pre-Summary'!$DI$6:$DM$23,4,FALSE),"")</f>
        <v>D34</v>
      </c>
      <c r="D828" s="10" t="str">
        <f>IFERROR(VLOOKUP(B828,'Pre-Summary'!$AT$6:$AX$14,5,FALSE),D827)</f>
        <v>DSMZ v2: Dropped Na-Ac out of DSMZ 120 media</v>
      </c>
      <c r="E828" s="10" t="str">
        <f>IFERROR(VLOOKUP(B828,'Pre-Summary'!$AT$6:$AX$15,4,FALSE),"")</f>
        <v/>
      </c>
      <c r="F828">
        <f>IFERROR(VLOOKUP(B828,'Pre-Summary'!$AL$6:$AQ$13,6,FALSE),F827)</f>
        <v>5.9405263157894746E-2</v>
      </c>
      <c r="G828" t="str">
        <f>IFERROR(VLOOKUP(B828,'Pre-Summary'!$AE$6:$AJ$85,3,FALSE),"")</f>
        <v/>
      </c>
      <c r="H828" t="str">
        <f>IFERROR(VLOOKUP(B828,'Pre-Summary'!$AE$6:$AJ$85,4,FALSE),"")</f>
        <v/>
      </c>
      <c r="I828" t="str">
        <f>IFERROR(VLOOKUP(B828,'Pre-Summary'!$AE$6:$AJ$85,5,FALSE),"")</f>
        <v/>
      </c>
      <c r="J828" s="45" t="str">
        <f>IFERROR(VLOOKUP(B828,'Pre-Summary'!$AE$6:$AJ$85,6, FALSE),"")</f>
        <v/>
      </c>
      <c r="K828" s="45" t="str">
        <f>IFERROR(VLOOKUP(B828,'Pre-Summary'!$DE$6:$DG$61,3,FALSE),"")</f>
        <v/>
      </c>
      <c r="L828" s="45" t="str">
        <f>IFERROR(VLOOKUP(B828,'Pre-Summary'!$CU$6:$CW$36,3,FALSE),"")</f>
        <v/>
      </c>
      <c r="M828" s="45" t="str">
        <f>IFERROR(VLOOKUP(B828,'Pre-Summary'!$BW$6:$BY$58,2,FALSE),"")</f>
        <v/>
      </c>
      <c r="N828" s="45">
        <f>IFERROR(VLOOKUP(B828,'Pre-Summary'!$CD$6:$CF$64,2,FALSE),"")</f>
        <v>5729.7390966687017</v>
      </c>
      <c r="O828" s="99">
        <f>IFERROR(VLOOKUP(B828,'Pre-Summary'!$BO$6:$BQ$48,3, FALSE),O827)</f>
        <v>1.2</v>
      </c>
      <c r="P828" s="99">
        <f>IFERROR(VLOOKUP(B828,'Pre-Summary'!$BS$6:$BU$35,3,FALSE),P827)</f>
        <v>0.3</v>
      </c>
      <c r="Q828" s="54">
        <f t="shared" si="36"/>
        <v>4</v>
      </c>
      <c r="R828" s="53">
        <f>IFERROR(VLOOKUP(B828,'Pre-Summary'!$BG$6:$BM$44,7,FALSE),R829)</f>
        <v>0.10617362811310796</v>
      </c>
      <c r="S828" s="53">
        <f>IFERROR(VLOOKUP(B828,'Pre-Summary'!$BG$6:$BM$44,6,FALSE),S829)</f>
        <v>9.9527233330079901E-2</v>
      </c>
      <c r="T828" s="45" t="str">
        <f>IFERROR(VLOOKUP(B828,'Pre-Summary'!$Y$6:$AC$83, 3,FALSE),"")</f>
        <v/>
      </c>
      <c r="U828" s="45" t="str">
        <f>IFERROR(VLOOKUP(B828,'Pre-Summary'!$Y$6:$AC$83, 4,FALSE),"")</f>
        <v/>
      </c>
      <c r="V828" t="str">
        <f>IFERROR(VLOOKUP(B828,'Pre-Summary'!$Y$6:$AC$83, 5,FALSE),"")</f>
        <v/>
      </c>
      <c r="W828" s="45" t="str">
        <f>IFERROR(VLOOKUP(B828,'Pre-Summary'!$Y$6:$AD$83,6,FALSE),"")</f>
        <v/>
      </c>
      <c r="X828" t="str">
        <f>IFERROR(VLOOKUP('Pre-Summary'!$DB$6:$DD$63,3,FALSE),"")</f>
        <v/>
      </c>
      <c r="Y828" t="str">
        <f>IFERROR(VLOOKUP(B828,'Pre-Summary'!$CR$6:$CT$36,3,FALSE),"")</f>
        <v/>
      </c>
      <c r="Z828" s="45" t="str">
        <f>IFERROR(VLOOKUP(B828,'Pre-Summary'!$BZ$6:$CB$63,2,FALSE),"")</f>
        <v/>
      </c>
      <c r="AA828" s="45" t="str">
        <f>IFERROR(VLOOKUP(B828,'Pre-Summary'!$CG$6:$CI$70,2,FALSE),"")</f>
        <v/>
      </c>
      <c r="AB828" s="99">
        <f>IFERROR(VLOOKUP(B828,'Pre-Summary'!$A$6:$P$178,9,FALSE),AB829)</f>
        <v>0.81724034866906348</v>
      </c>
      <c r="AC828" s="10">
        <f>IFERROR(VLOOKUP(Summary!B828,'Pre-Summary'!$A$6:$P$184,5, FALSE)/100,AC829)</f>
        <v>0.75598666666666658</v>
      </c>
      <c r="AD828" s="10">
        <f>IFERROR(VLOOKUP(Summary!B828,'Pre-Summary'!$A$6:$P$184,3, FALSE)/100,AD829)</f>
        <v>3.6938666666666668E-2</v>
      </c>
      <c r="AE828" s="10">
        <f>IFERROR(VLOOKUP(Summary!B828,'Pre-Summary'!$A$6:$P$184,7, FALSE)/100,AE829)</f>
        <v>0.20707500000000001</v>
      </c>
      <c r="AF828" s="99">
        <f t="shared" si="37"/>
        <v>3.0187768826036982E-2</v>
      </c>
      <c r="AG828" s="99">
        <f t="shared" si="38"/>
        <v>0.16923004520064633</v>
      </c>
      <c r="AH828" s="10" t="str">
        <f>IFERROR(VLOOKUP(B828,'Pre-Summary'!$AZ$6:$BE$65,3,FALSE),"")</f>
        <v/>
      </c>
      <c r="AI828" s="10" t="str">
        <f>IFERROR(VLOOKUP(B828,'Pre-Summary'!$AZ$6:$BE$65,5,FALSE),"")</f>
        <v/>
      </c>
      <c r="AJ828" s="10" t="str">
        <f>IFERROR(VLOOKUP(B828,'Pre-Summary'!$AZ$6:$BE$65,4,FALSE),"")</f>
        <v/>
      </c>
      <c r="AK828" s="10" t="str">
        <f>IFERROR(VLOOKUP(B828,'Pre-Summary'!$AZ$6:$BE$65,6,FALSE),"")</f>
        <v/>
      </c>
      <c r="AL828" s="10" t="str">
        <f>IFERROR(VLOOKUP(B828,'Pre-Summary'!$BG$6:$BL$44,3,FALSE),"")</f>
        <v/>
      </c>
      <c r="AM828" s="10" t="str">
        <f>IFERROR(VLOOKUP(B828,'Pre-Summary'!$BG$6:$BL$44,4,FALSE),"")</f>
        <v/>
      </c>
    </row>
    <row r="829" spans="2:39" ht="15" customHeight="1" x14ac:dyDescent="0.3">
      <c r="B829">
        <v>82.6</v>
      </c>
      <c r="C829" t="str">
        <f>IFERROR(VLOOKUP(B829,'Pre-Summary'!$DI$6:$DM$23,4,FALSE),"")</f>
        <v/>
      </c>
      <c r="D829" s="10" t="str">
        <f>IFERROR(VLOOKUP(B829,'Pre-Summary'!$AT$6:$AX$14,5,FALSE),D828)</f>
        <v>DSMZ v2: Dropped Na-Ac out of DSMZ 120 media</v>
      </c>
      <c r="E829" s="10" t="str">
        <f>IFERROR(VLOOKUP(B829,'Pre-Summary'!$AT$6:$AX$15,4,FALSE),"")</f>
        <v/>
      </c>
      <c r="F829">
        <f>IFERROR(VLOOKUP(B829,'Pre-Summary'!$AL$6:$AQ$13,6,FALSE),F828)</f>
        <v>5.9405263157894746E-2</v>
      </c>
      <c r="G829" t="str">
        <f>IFERROR(VLOOKUP(B829,'Pre-Summary'!$AE$6:$AJ$85,3,FALSE),"")</f>
        <v/>
      </c>
      <c r="H829" t="str">
        <f>IFERROR(VLOOKUP(B829,'Pre-Summary'!$AE$6:$AJ$85,4,FALSE),"")</f>
        <v/>
      </c>
      <c r="I829" t="str">
        <f>IFERROR(VLOOKUP(B829,'Pre-Summary'!$AE$6:$AJ$85,5,FALSE),"")</f>
        <v/>
      </c>
      <c r="J829" s="45" t="str">
        <f>IFERROR(VLOOKUP(B829,'Pre-Summary'!$AE$6:$AJ$85,6, FALSE),"")</f>
        <v/>
      </c>
      <c r="K829" s="45" t="str">
        <f>IFERROR(VLOOKUP(B829,'Pre-Summary'!$DE$6:$DG$61,3,FALSE),"")</f>
        <v/>
      </c>
      <c r="L829" s="45" t="str">
        <f>IFERROR(VLOOKUP(B829,'Pre-Summary'!$CU$6:$CW$36,3,FALSE),"")</f>
        <v/>
      </c>
      <c r="M829" s="45" t="str">
        <f>IFERROR(VLOOKUP(B829,'Pre-Summary'!$BW$6:$BY$58,2,FALSE),"")</f>
        <v/>
      </c>
      <c r="N829" s="45" t="str">
        <f>IFERROR(VLOOKUP(B829,'Pre-Summary'!$CD$6:$CF$64,2,FALSE),"")</f>
        <v/>
      </c>
      <c r="O829" s="99">
        <f>IFERROR(VLOOKUP(B829,'Pre-Summary'!$BO$6:$BQ$48,3, FALSE),O828)</f>
        <v>1.2</v>
      </c>
      <c r="P829" s="99">
        <f>IFERROR(VLOOKUP(B829,'Pre-Summary'!$BS$6:$BU$35,3,FALSE),P828)</f>
        <v>0.3</v>
      </c>
      <c r="Q829" s="54">
        <f t="shared" si="36"/>
        <v>4</v>
      </c>
      <c r="R829" s="53">
        <f>IFERROR(VLOOKUP(B829,'Pre-Summary'!$BG$6:$BM$44,7,FALSE),R830)</f>
        <v>0.10617362811310796</v>
      </c>
      <c r="S829" s="53">
        <f>IFERROR(VLOOKUP(B829,'Pre-Summary'!$BG$6:$BM$44,6,FALSE),S830)</f>
        <v>9.9527233330079901E-2</v>
      </c>
      <c r="T829" s="45" t="str">
        <f>IFERROR(VLOOKUP(B829,'Pre-Summary'!$Y$6:$AC$83, 3,FALSE),"")</f>
        <v/>
      </c>
      <c r="U829" s="45" t="str">
        <f>IFERROR(VLOOKUP(B829,'Pre-Summary'!$Y$6:$AC$83, 4,FALSE),"")</f>
        <v/>
      </c>
      <c r="V829" t="str">
        <f>IFERROR(VLOOKUP(B829,'Pre-Summary'!$Y$6:$AC$83, 5,FALSE),"")</f>
        <v/>
      </c>
      <c r="W829" s="45" t="str">
        <f>IFERROR(VLOOKUP(B829,'Pre-Summary'!$Y$6:$AD$83,6,FALSE),"")</f>
        <v/>
      </c>
      <c r="X829" t="str">
        <f>IFERROR(VLOOKUP('Pre-Summary'!$DB$6:$DD$63,3,FALSE),"")</f>
        <v/>
      </c>
      <c r="Y829" t="str">
        <f>IFERROR(VLOOKUP(B829,'Pre-Summary'!$CR$6:$CT$36,3,FALSE),"")</f>
        <v/>
      </c>
      <c r="Z829" s="45" t="str">
        <f>IFERROR(VLOOKUP(B829,'Pre-Summary'!$BZ$6:$CB$63,2,FALSE),"")</f>
        <v/>
      </c>
      <c r="AA829" s="45" t="str">
        <f>IFERROR(VLOOKUP(B829,'Pre-Summary'!$CG$6:$CI$70,2,FALSE),"")</f>
        <v/>
      </c>
      <c r="AB829" s="99">
        <f>IFERROR(VLOOKUP(B829,'Pre-Summary'!$A$6:$P$178,9,FALSE),AB830)</f>
        <v>0.81724034866906348</v>
      </c>
      <c r="AC829" s="10">
        <f>IFERROR(VLOOKUP(Summary!B829,'Pre-Summary'!$A$6:$P$184,5, FALSE)/100,AC830)</f>
        <v>0.75598666666666658</v>
      </c>
      <c r="AD829" s="10">
        <f>IFERROR(VLOOKUP(Summary!B829,'Pre-Summary'!$A$6:$P$184,3, FALSE)/100,AD830)</f>
        <v>3.6938666666666668E-2</v>
      </c>
      <c r="AE829" s="10">
        <f>IFERROR(VLOOKUP(Summary!B829,'Pre-Summary'!$A$6:$P$184,7, FALSE)/100,AE830)</f>
        <v>0.20707500000000001</v>
      </c>
      <c r="AF829" s="99">
        <f t="shared" si="37"/>
        <v>3.0187768826036982E-2</v>
      </c>
      <c r="AG829" s="99">
        <f t="shared" si="38"/>
        <v>0.16923004520064633</v>
      </c>
      <c r="AH829" s="10" t="str">
        <f>IFERROR(VLOOKUP(B829,'Pre-Summary'!$AZ$6:$BE$65,3,FALSE),"")</f>
        <v/>
      </c>
      <c r="AI829" s="10" t="str">
        <f>IFERROR(VLOOKUP(B829,'Pre-Summary'!$AZ$6:$BE$65,5,FALSE),"")</f>
        <v/>
      </c>
      <c r="AJ829" s="10" t="str">
        <f>IFERROR(VLOOKUP(B829,'Pre-Summary'!$AZ$6:$BE$65,4,FALSE),"")</f>
        <v/>
      </c>
      <c r="AK829" s="10" t="str">
        <f>IFERROR(VLOOKUP(B829,'Pre-Summary'!$AZ$6:$BE$65,6,FALSE),"")</f>
        <v/>
      </c>
      <c r="AL829" s="10" t="str">
        <f>IFERROR(VLOOKUP(B829,'Pre-Summary'!$BG$6:$BL$44,3,FALSE),"")</f>
        <v/>
      </c>
      <c r="AM829" s="10" t="str">
        <f>IFERROR(VLOOKUP(B829,'Pre-Summary'!$BG$6:$BL$44,4,FALSE),"")</f>
        <v/>
      </c>
    </row>
    <row r="830" spans="2:39" ht="15" customHeight="1" x14ac:dyDescent="0.3">
      <c r="B830">
        <v>82.7</v>
      </c>
      <c r="C830" t="str">
        <f>IFERROR(VLOOKUP(B830,'Pre-Summary'!$DI$6:$DM$23,4,FALSE),"")</f>
        <v/>
      </c>
      <c r="D830" s="10" t="str">
        <f>IFERROR(VLOOKUP(B830,'Pre-Summary'!$AT$6:$AX$14,5,FALSE),D829)</f>
        <v>DSMZ v2: Dropped Na-Ac out of DSMZ 120 media</v>
      </c>
      <c r="E830" s="10" t="str">
        <f>IFERROR(VLOOKUP(B830,'Pre-Summary'!$AT$6:$AX$15,4,FALSE),"")</f>
        <v/>
      </c>
      <c r="F830">
        <f>IFERROR(VLOOKUP(B830,'Pre-Summary'!$AL$6:$AQ$13,6,FALSE),F829)</f>
        <v>5.9405263157894746E-2</v>
      </c>
      <c r="G830" t="str">
        <f>IFERROR(VLOOKUP(B830,'Pre-Summary'!$AE$6:$AJ$85,3,FALSE),"")</f>
        <v/>
      </c>
      <c r="H830" t="str">
        <f>IFERROR(VLOOKUP(B830,'Pre-Summary'!$AE$6:$AJ$85,4,FALSE),"")</f>
        <v/>
      </c>
      <c r="I830" t="str">
        <f>IFERROR(VLOOKUP(B830,'Pre-Summary'!$AE$6:$AJ$85,5,FALSE),"")</f>
        <v/>
      </c>
      <c r="J830" s="45" t="str">
        <f>IFERROR(VLOOKUP(B830,'Pre-Summary'!$AE$6:$AJ$85,6, FALSE),"")</f>
        <v/>
      </c>
      <c r="K830" s="45" t="str">
        <f>IFERROR(VLOOKUP(B830,'Pre-Summary'!$DE$6:$DG$61,3,FALSE),"")</f>
        <v/>
      </c>
      <c r="L830" s="45" t="str">
        <f>IFERROR(VLOOKUP(B830,'Pre-Summary'!$CU$6:$CW$36,3,FALSE),"")</f>
        <v/>
      </c>
      <c r="M830" s="45" t="str">
        <f>IFERROR(VLOOKUP(B830,'Pre-Summary'!$BW$6:$BY$58,2,FALSE),"")</f>
        <v/>
      </c>
      <c r="N830" s="45" t="str">
        <f>IFERROR(VLOOKUP(B830,'Pre-Summary'!$CD$6:$CF$64,2,FALSE),"")</f>
        <v/>
      </c>
      <c r="O830" s="99">
        <f>IFERROR(VLOOKUP(B830,'Pre-Summary'!$BO$6:$BQ$48,3, FALSE),O829)</f>
        <v>1.2</v>
      </c>
      <c r="P830" s="99">
        <f>IFERROR(VLOOKUP(B830,'Pre-Summary'!$BS$6:$BU$35,3,FALSE),P829)</f>
        <v>0.3</v>
      </c>
      <c r="Q830" s="54">
        <f t="shared" si="36"/>
        <v>4</v>
      </c>
      <c r="R830" s="53">
        <f>IFERROR(VLOOKUP(B830,'Pre-Summary'!$BG$6:$BM$44,7,FALSE),R831)</f>
        <v>0.10617362811310796</v>
      </c>
      <c r="S830" s="53">
        <f>IFERROR(VLOOKUP(B830,'Pre-Summary'!$BG$6:$BM$44,6,FALSE),S831)</f>
        <v>9.9527233330079901E-2</v>
      </c>
      <c r="T830" s="45" t="str">
        <f>IFERROR(VLOOKUP(B830,'Pre-Summary'!$Y$6:$AC$83, 3,FALSE),"")</f>
        <v/>
      </c>
      <c r="U830" s="45" t="str">
        <f>IFERROR(VLOOKUP(B830,'Pre-Summary'!$Y$6:$AC$83, 4,FALSE),"")</f>
        <v/>
      </c>
      <c r="V830" t="str">
        <f>IFERROR(VLOOKUP(B830,'Pre-Summary'!$Y$6:$AC$83, 5,FALSE),"")</f>
        <v/>
      </c>
      <c r="W830" s="45" t="str">
        <f>IFERROR(VLOOKUP(B830,'Pre-Summary'!$Y$6:$AD$83,6,FALSE),"")</f>
        <v/>
      </c>
      <c r="X830" t="str">
        <f>IFERROR(VLOOKUP('Pre-Summary'!$DB$6:$DD$63,3,FALSE),"")</f>
        <v/>
      </c>
      <c r="Y830" t="str">
        <f>IFERROR(VLOOKUP(B830,'Pre-Summary'!$CR$6:$CT$36,3,FALSE),"")</f>
        <v/>
      </c>
      <c r="Z830" s="45" t="str">
        <f>IFERROR(VLOOKUP(B830,'Pre-Summary'!$BZ$6:$CB$63,2,FALSE),"")</f>
        <v/>
      </c>
      <c r="AA830" s="45" t="str">
        <f>IFERROR(VLOOKUP(B830,'Pre-Summary'!$CG$6:$CI$70,2,FALSE),"")</f>
        <v/>
      </c>
      <c r="AB830" s="99">
        <f>IFERROR(VLOOKUP(B830,'Pre-Summary'!$A$6:$P$178,9,FALSE),AB831)</f>
        <v>0.81724034866906348</v>
      </c>
      <c r="AC830" s="10">
        <f>IFERROR(VLOOKUP(Summary!B830,'Pre-Summary'!$A$6:$P$184,5, FALSE)/100,AC831)</f>
        <v>0.75598666666666658</v>
      </c>
      <c r="AD830" s="10">
        <f>IFERROR(VLOOKUP(Summary!B830,'Pre-Summary'!$A$6:$P$184,3, FALSE)/100,AD831)</f>
        <v>3.6938666666666668E-2</v>
      </c>
      <c r="AE830" s="10">
        <f>IFERROR(VLOOKUP(Summary!B830,'Pre-Summary'!$A$6:$P$184,7, FALSE)/100,AE831)</f>
        <v>0.20707500000000001</v>
      </c>
      <c r="AF830" s="99">
        <f t="shared" si="37"/>
        <v>3.0187768826036982E-2</v>
      </c>
      <c r="AG830" s="99">
        <f t="shared" si="38"/>
        <v>0.16923004520064633</v>
      </c>
      <c r="AH830" s="10" t="str">
        <f>IFERROR(VLOOKUP(B830,'Pre-Summary'!$AZ$6:$BE$65,3,FALSE),"")</f>
        <v/>
      </c>
      <c r="AI830" s="10" t="str">
        <f>IFERROR(VLOOKUP(B830,'Pre-Summary'!$AZ$6:$BE$65,5,FALSE),"")</f>
        <v/>
      </c>
      <c r="AJ830" s="10" t="str">
        <f>IFERROR(VLOOKUP(B830,'Pre-Summary'!$AZ$6:$BE$65,4,FALSE),"")</f>
        <v/>
      </c>
      <c r="AK830" s="10" t="str">
        <f>IFERROR(VLOOKUP(B830,'Pre-Summary'!$AZ$6:$BE$65,6,FALSE),"")</f>
        <v/>
      </c>
      <c r="AL830" s="10" t="str">
        <f>IFERROR(VLOOKUP(B830,'Pre-Summary'!$BG$6:$BL$44,3,FALSE),"")</f>
        <v/>
      </c>
      <c r="AM830" s="10" t="str">
        <f>IFERROR(VLOOKUP(B830,'Pre-Summary'!$BG$6:$BL$44,4,FALSE),"")</f>
        <v/>
      </c>
    </row>
    <row r="831" spans="2:39" ht="15" customHeight="1" x14ac:dyDescent="0.3">
      <c r="B831">
        <v>82.8</v>
      </c>
      <c r="C831" t="str">
        <f>IFERROR(VLOOKUP(B831,'Pre-Summary'!$DI$6:$DM$23,4,FALSE),"")</f>
        <v/>
      </c>
      <c r="D831" s="10" t="str">
        <f>IFERROR(VLOOKUP(B831,'Pre-Summary'!$AT$6:$AX$14,5,FALSE),D830)</f>
        <v>DSMZ v2: Dropped Na-Ac out of DSMZ 120 media</v>
      </c>
      <c r="E831" s="10" t="str">
        <f>IFERROR(VLOOKUP(B831,'Pre-Summary'!$AT$6:$AX$15,4,FALSE),"")</f>
        <v/>
      </c>
      <c r="F831">
        <f>IFERROR(VLOOKUP(B831,'Pre-Summary'!$AL$6:$AQ$13,6,FALSE),F830)</f>
        <v>5.9405263157894746E-2</v>
      </c>
      <c r="G831" t="str">
        <f>IFERROR(VLOOKUP(B831,'Pre-Summary'!$AE$6:$AJ$85,3,FALSE),"")</f>
        <v/>
      </c>
      <c r="H831" t="str">
        <f>IFERROR(VLOOKUP(B831,'Pre-Summary'!$AE$6:$AJ$85,4,FALSE),"")</f>
        <v/>
      </c>
      <c r="I831" t="str">
        <f>IFERROR(VLOOKUP(B831,'Pre-Summary'!$AE$6:$AJ$85,5,FALSE),"")</f>
        <v/>
      </c>
      <c r="J831" s="45" t="str">
        <f>IFERROR(VLOOKUP(B831,'Pre-Summary'!$AE$6:$AJ$85,6, FALSE),"")</f>
        <v/>
      </c>
      <c r="K831" s="45" t="str">
        <f>IFERROR(VLOOKUP(B831,'Pre-Summary'!$DE$6:$DG$61,3,FALSE),"")</f>
        <v/>
      </c>
      <c r="L831" s="45" t="str">
        <f>IFERROR(VLOOKUP(B831,'Pre-Summary'!$CU$6:$CW$36,3,FALSE),"")</f>
        <v/>
      </c>
      <c r="M831" s="45" t="str">
        <f>IFERROR(VLOOKUP(B831,'Pre-Summary'!$BW$6:$BY$58,2,FALSE),"")</f>
        <v/>
      </c>
      <c r="N831" s="45" t="str">
        <f>IFERROR(VLOOKUP(B831,'Pre-Summary'!$CD$6:$CF$64,2,FALSE),"")</f>
        <v/>
      </c>
      <c r="O831" s="99">
        <f>IFERROR(VLOOKUP(B831,'Pre-Summary'!$BO$6:$BQ$48,3, FALSE),O830)</f>
        <v>1.2</v>
      </c>
      <c r="P831" s="99">
        <f>IFERROR(VLOOKUP(B831,'Pre-Summary'!$BS$6:$BU$35,3,FALSE),P830)</f>
        <v>0.3</v>
      </c>
      <c r="Q831" s="54">
        <f t="shared" si="36"/>
        <v>4</v>
      </c>
      <c r="R831" s="53">
        <f>IFERROR(VLOOKUP(B831,'Pre-Summary'!$BG$6:$BM$44,7,FALSE),R832)</f>
        <v>0.10617362811310796</v>
      </c>
      <c r="S831" s="53">
        <f>IFERROR(VLOOKUP(B831,'Pre-Summary'!$BG$6:$BM$44,6,FALSE),S832)</f>
        <v>9.9527233330079901E-2</v>
      </c>
      <c r="T831" s="45" t="str">
        <f>IFERROR(VLOOKUP(B831,'Pre-Summary'!$Y$6:$AC$83, 3,FALSE),"")</f>
        <v/>
      </c>
      <c r="U831" s="45" t="str">
        <f>IFERROR(VLOOKUP(B831,'Pre-Summary'!$Y$6:$AC$83, 4,FALSE),"")</f>
        <v/>
      </c>
      <c r="V831" t="str">
        <f>IFERROR(VLOOKUP(B831,'Pre-Summary'!$Y$6:$AC$83, 5,FALSE),"")</f>
        <v/>
      </c>
      <c r="W831" s="45" t="str">
        <f>IFERROR(VLOOKUP(B831,'Pre-Summary'!$Y$6:$AD$83,6,FALSE),"")</f>
        <v/>
      </c>
      <c r="X831" t="str">
        <f>IFERROR(VLOOKUP('Pre-Summary'!$DB$6:$DD$63,3,FALSE),"")</f>
        <v/>
      </c>
      <c r="Y831" t="str">
        <f>IFERROR(VLOOKUP(B831,'Pre-Summary'!$CR$6:$CT$36,3,FALSE),"")</f>
        <v/>
      </c>
      <c r="Z831" s="45" t="str">
        <f>IFERROR(VLOOKUP(B831,'Pre-Summary'!$BZ$6:$CB$63,2,FALSE),"")</f>
        <v/>
      </c>
      <c r="AA831" s="45" t="str">
        <f>IFERROR(VLOOKUP(B831,'Pre-Summary'!$CG$6:$CI$70,2,FALSE),"")</f>
        <v/>
      </c>
      <c r="AB831" s="99">
        <f>IFERROR(VLOOKUP(B831,'Pre-Summary'!$A$6:$P$178,9,FALSE),AB832)</f>
        <v>0.81724034866906348</v>
      </c>
      <c r="AC831" s="10">
        <f>IFERROR(VLOOKUP(Summary!B831,'Pre-Summary'!$A$6:$P$184,5, FALSE)/100,AC832)</f>
        <v>0.75598666666666658</v>
      </c>
      <c r="AD831" s="10">
        <f>IFERROR(VLOOKUP(Summary!B831,'Pre-Summary'!$A$6:$P$184,3, FALSE)/100,AD832)</f>
        <v>3.6938666666666668E-2</v>
      </c>
      <c r="AE831" s="10">
        <f>IFERROR(VLOOKUP(Summary!B831,'Pre-Summary'!$A$6:$P$184,7, FALSE)/100,AE832)</f>
        <v>0.20707500000000001</v>
      </c>
      <c r="AF831" s="99">
        <f t="shared" si="37"/>
        <v>3.0187768826036982E-2</v>
      </c>
      <c r="AG831" s="99">
        <f t="shared" si="38"/>
        <v>0.16923004520064633</v>
      </c>
      <c r="AH831" s="10" t="str">
        <f>IFERROR(VLOOKUP(B831,'Pre-Summary'!$AZ$6:$BE$65,3,FALSE),"")</f>
        <v/>
      </c>
      <c r="AI831" s="10" t="str">
        <f>IFERROR(VLOOKUP(B831,'Pre-Summary'!$AZ$6:$BE$65,5,FALSE),"")</f>
        <v/>
      </c>
      <c r="AJ831" s="10" t="str">
        <f>IFERROR(VLOOKUP(B831,'Pre-Summary'!$AZ$6:$BE$65,4,FALSE),"")</f>
        <v/>
      </c>
      <c r="AK831" s="10" t="str">
        <f>IFERROR(VLOOKUP(B831,'Pre-Summary'!$AZ$6:$BE$65,6,FALSE),"")</f>
        <v/>
      </c>
      <c r="AL831" s="10" t="str">
        <f>IFERROR(VLOOKUP(B831,'Pre-Summary'!$BG$6:$BL$44,3,FALSE),"")</f>
        <v/>
      </c>
      <c r="AM831" s="10" t="str">
        <f>IFERROR(VLOOKUP(B831,'Pre-Summary'!$BG$6:$BL$44,4,FALSE),"")</f>
        <v/>
      </c>
    </row>
    <row r="832" spans="2:39" ht="15" customHeight="1" x14ac:dyDescent="0.3">
      <c r="B832">
        <v>82.9</v>
      </c>
      <c r="C832" t="str">
        <f>IFERROR(VLOOKUP(B832,'Pre-Summary'!$DI$6:$DM$23,4,FALSE),"")</f>
        <v/>
      </c>
      <c r="D832" s="10" t="str">
        <f>IFERROR(VLOOKUP(B832,'Pre-Summary'!$AT$6:$AX$14,5,FALSE),D831)</f>
        <v>DSMZ v2: Dropped Na-Ac out of DSMZ 120 media</v>
      </c>
      <c r="E832" s="10" t="str">
        <f>IFERROR(VLOOKUP(B832,'Pre-Summary'!$AT$6:$AX$15,4,FALSE),"")</f>
        <v/>
      </c>
      <c r="F832">
        <f>IFERROR(VLOOKUP(B832,'Pre-Summary'!$AL$6:$AQ$13,6,FALSE),F831)</f>
        <v>5.9405263157894746E-2</v>
      </c>
      <c r="G832" t="str">
        <f>IFERROR(VLOOKUP(B832,'Pre-Summary'!$AE$6:$AJ$85,3,FALSE),"")</f>
        <v/>
      </c>
      <c r="H832" t="str">
        <f>IFERROR(VLOOKUP(B832,'Pre-Summary'!$AE$6:$AJ$85,4,FALSE),"")</f>
        <v/>
      </c>
      <c r="I832" t="str">
        <f>IFERROR(VLOOKUP(B832,'Pre-Summary'!$AE$6:$AJ$85,5,FALSE),"")</f>
        <v/>
      </c>
      <c r="J832" s="45" t="str">
        <f>IFERROR(VLOOKUP(B832,'Pre-Summary'!$AE$6:$AJ$85,6, FALSE),"")</f>
        <v/>
      </c>
      <c r="K832" s="45" t="str">
        <f>IFERROR(VLOOKUP(B832,'Pre-Summary'!$DE$6:$DG$61,3,FALSE),"")</f>
        <v/>
      </c>
      <c r="L832" s="45">
        <f>IFERROR(VLOOKUP(B832,'Pre-Summary'!$CU$6:$CW$36,3,FALSE),"")</f>
        <v>441.2</v>
      </c>
      <c r="M832" s="45">
        <f>IFERROR(VLOOKUP(B832,'Pre-Summary'!$BW$6:$BY$58,2,FALSE),"")</f>
        <v>57.583272621721406</v>
      </c>
      <c r="N832" s="45" t="str">
        <f>IFERROR(VLOOKUP(B832,'Pre-Summary'!$CD$6:$CF$64,2,FALSE),"")</f>
        <v/>
      </c>
      <c r="O832" s="99">
        <f>IFERROR(VLOOKUP(B832,'Pre-Summary'!$BO$6:$BQ$48,3, FALSE),O831)</f>
        <v>1.2</v>
      </c>
      <c r="P832" s="99">
        <f>IFERROR(VLOOKUP(B832,'Pre-Summary'!$BS$6:$BU$35,3,FALSE),P831)</f>
        <v>0.3</v>
      </c>
      <c r="Q832" s="54">
        <f t="shared" si="36"/>
        <v>4</v>
      </c>
      <c r="R832" s="53">
        <f>IFERROR(VLOOKUP(B832,'Pre-Summary'!$BG$6:$BM$44,7,FALSE),R833)</f>
        <v>0.10617362811310796</v>
      </c>
      <c r="S832" s="53">
        <f>IFERROR(VLOOKUP(B832,'Pre-Summary'!$BG$6:$BM$44,6,FALSE),S833)</f>
        <v>9.9527233330079901E-2</v>
      </c>
      <c r="T832" s="45" t="str">
        <f>IFERROR(VLOOKUP(B832,'Pre-Summary'!$Y$6:$AC$83, 3,FALSE),"")</f>
        <v/>
      </c>
      <c r="U832" s="45" t="str">
        <f>IFERROR(VLOOKUP(B832,'Pre-Summary'!$Y$6:$AC$83, 4,FALSE),"")</f>
        <v/>
      </c>
      <c r="V832" t="str">
        <f>IFERROR(VLOOKUP(B832,'Pre-Summary'!$Y$6:$AC$83, 5,FALSE),"")</f>
        <v/>
      </c>
      <c r="W832" s="45" t="str">
        <f>IFERROR(VLOOKUP(B832,'Pre-Summary'!$Y$6:$AD$83,6,FALSE),"")</f>
        <v/>
      </c>
      <c r="X832" t="str">
        <f>IFERROR(VLOOKUP('Pre-Summary'!$DB$6:$DD$63,3,FALSE),"")</f>
        <v/>
      </c>
      <c r="Y832">
        <f>IFERROR(VLOOKUP(B832,'Pre-Summary'!$CR$6:$CT$36,3,FALSE),"")</f>
        <v>476.4</v>
      </c>
      <c r="Z832" s="45">
        <f>IFERROR(VLOOKUP(B832,'Pre-Summary'!$BZ$6:$CB$63,2,FALSE),"")</f>
        <v>326.29935771268538</v>
      </c>
      <c r="AA832" s="45">
        <f>IFERROR(VLOOKUP(B832,'Pre-Summary'!$CG$6:$CI$70,2,FALSE),"")</f>
        <v>1000.9824083680322</v>
      </c>
      <c r="AB832" s="99">
        <f>IFERROR(VLOOKUP(B832,'Pre-Summary'!$A$6:$P$178,9,FALSE),AB833)</f>
        <v>0.81724034866906348</v>
      </c>
      <c r="AC832" s="10">
        <f>IFERROR(VLOOKUP(Summary!B832,'Pre-Summary'!$A$6:$P$184,5, FALSE)/100,AC833)</f>
        <v>0.75598666666666658</v>
      </c>
      <c r="AD832" s="10">
        <f>IFERROR(VLOOKUP(Summary!B832,'Pre-Summary'!$A$6:$P$184,3, FALSE)/100,AD833)</f>
        <v>3.6938666666666668E-2</v>
      </c>
      <c r="AE832" s="10">
        <f>IFERROR(VLOOKUP(Summary!B832,'Pre-Summary'!$A$6:$P$184,7, FALSE)/100,AE833)</f>
        <v>0.20707500000000001</v>
      </c>
      <c r="AF832" s="99">
        <f t="shared" si="37"/>
        <v>3.0187768826036982E-2</v>
      </c>
      <c r="AG832" s="99">
        <f t="shared" si="38"/>
        <v>0.16923004520064633</v>
      </c>
      <c r="AH832" s="10" t="str">
        <f>IFERROR(VLOOKUP(B832,'Pre-Summary'!$AZ$6:$BE$65,3,FALSE),"")</f>
        <v/>
      </c>
      <c r="AI832" s="10" t="str">
        <f>IFERROR(VLOOKUP(B832,'Pre-Summary'!$AZ$6:$BE$65,5,FALSE),"")</f>
        <v/>
      </c>
      <c r="AJ832" s="10" t="str">
        <f>IFERROR(VLOOKUP(B832,'Pre-Summary'!$AZ$6:$BE$65,4,FALSE),"")</f>
        <v/>
      </c>
      <c r="AK832" s="10" t="str">
        <f>IFERROR(VLOOKUP(B832,'Pre-Summary'!$AZ$6:$BE$65,6,FALSE),"")</f>
        <v/>
      </c>
      <c r="AL832" s="10" t="str">
        <f>IFERROR(VLOOKUP(B832,'Pre-Summary'!$BG$6:$BL$44,3,FALSE),"")</f>
        <v/>
      </c>
      <c r="AM832" s="10" t="str">
        <f>IFERROR(VLOOKUP(B832,'Pre-Summary'!$BG$6:$BL$44,4,FALSE),"")</f>
        <v/>
      </c>
    </row>
    <row r="833" spans="2:39" ht="15" customHeight="1" x14ac:dyDescent="0.3">
      <c r="B833">
        <v>83</v>
      </c>
      <c r="C833" t="str">
        <f>IFERROR(VLOOKUP(B833,'Pre-Summary'!$DI$6:$DM$23,4,FALSE),"")</f>
        <v/>
      </c>
      <c r="D833" s="10" t="str">
        <f>IFERROR(VLOOKUP(B833,'Pre-Summary'!$AT$6:$AX$14,5,FALSE),D832)</f>
        <v>DSMZ v2: Dropped Na-Ac out of DSMZ 120 media</v>
      </c>
      <c r="E833" s="10" t="str">
        <f>IFERROR(VLOOKUP(B833,'Pre-Summary'!$AT$6:$AX$15,4,FALSE),"")</f>
        <v/>
      </c>
      <c r="F833">
        <f>IFERROR(VLOOKUP(B833,'Pre-Summary'!$AL$6:$AQ$13,6,FALSE),F832)</f>
        <v>5.9405263157894746E-2</v>
      </c>
      <c r="G833">
        <f>IFERROR(VLOOKUP(B833,'Pre-Summary'!$AE$6:$AJ$85,3,FALSE),"")</f>
        <v>784.15000000000009</v>
      </c>
      <c r="H833">
        <f>IFERROR(VLOOKUP(B833,'Pre-Summary'!$AE$6:$AJ$85,4,FALSE),"")</f>
        <v>254.67</v>
      </c>
      <c r="I833">
        <f>IFERROR(VLOOKUP(B833,'Pre-Summary'!$AE$6:$AJ$85,5,FALSE),"")</f>
        <v>0</v>
      </c>
      <c r="J833" s="45">
        <f>IFERROR(VLOOKUP(B833,'Pre-Summary'!$AE$6:$AJ$85,6, FALSE),"")</f>
        <v>1222.2584300000001</v>
      </c>
      <c r="K833" s="45" t="str">
        <f>IFERROR(VLOOKUP(B833,'Pre-Summary'!$DE$6:$DG$61,3,FALSE),"")</f>
        <v/>
      </c>
      <c r="L833" s="45" t="str">
        <f>IFERROR(VLOOKUP(B833,'Pre-Summary'!$CU$6:$CW$36,3,FALSE),"")</f>
        <v/>
      </c>
      <c r="M833" s="45" t="str">
        <f>IFERROR(VLOOKUP(B833,'Pre-Summary'!$BW$6:$BY$58,2,FALSE),"")</f>
        <v/>
      </c>
      <c r="N833" s="45" t="str">
        <f>IFERROR(VLOOKUP(B833,'Pre-Summary'!$CD$6:$CF$64,2,FALSE),"")</f>
        <v/>
      </c>
      <c r="O833" s="99">
        <f>IFERROR(VLOOKUP(B833,'Pre-Summary'!$BO$6:$BQ$48,3, FALSE),O832)</f>
        <v>1.2</v>
      </c>
      <c r="P833" s="99">
        <f>IFERROR(VLOOKUP(B833,'Pre-Summary'!$BS$6:$BU$35,3,FALSE),P832)</f>
        <v>0.3</v>
      </c>
      <c r="Q833" s="54">
        <f t="shared" si="36"/>
        <v>4</v>
      </c>
      <c r="R833" s="53">
        <f>IFERROR(VLOOKUP(B833,'Pre-Summary'!$BG$6:$BM$44,7,FALSE),R834)</f>
        <v>0.10617362811310796</v>
      </c>
      <c r="S833" s="53">
        <f>IFERROR(VLOOKUP(B833,'Pre-Summary'!$BG$6:$BM$44,6,FALSE),S834)</f>
        <v>9.9527233330079901E-2</v>
      </c>
      <c r="T833" s="45">
        <f>IFERROR(VLOOKUP(B833,'Pre-Summary'!$Y$6:$AC$83, 3,FALSE),"")</f>
        <v>30.594999999999999</v>
      </c>
      <c r="U833" s="45">
        <f>IFERROR(VLOOKUP(B833,'Pre-Summary'!$Y$6:$AC$83, 4,FALSE),"")</f>
        <v>442.10500000000002</v>
      </c>
      <c r="V833">
        <f>IFERROR(VLOOKUP(B833,'Pre-Summary'!$Y$6:$AC$83, 5,FALSE),"")</f>
        <v>0</v>
      </c>
      <c r="W833" s="45">
        <f>IFERROR(VLOOKUP(B833,'Pre-Summary'!$Y$6:$AD$83,6,FALSE),"")</f>
        <v>701.99183500000004</v>
      </c>
      <c r="X833" t="str">
        <f>IFERROR(VLOOKUP('Pre-Summary'!$DB$6:$DD$63,3,FALSE),"")</f>
        <v/>
      </c>
      <c r="Y833" t="str">
        <f>IFERROR(VLOOKUP(B833,'Pre-Summary'!$CR$6:$CT$36,3,FALSE),"")</f>
        <v/>
      </c>
      <c r="Z833" s="45" t="str">
        <f>IFERROR(VLOOKUP(B833,'Pre-Summary'!$BZ$6:$CB$63,2,FALSE),"")</f>
        <v/>
      </c>
      <c r="AA833" s="45" t="str">
        <f>IFERROR(VLOOKUP(B833,'Pre-Summary'!$CG$6:$CI$70,2,FALSE),"")</f>
        <v/>
      </c>
      <c r="AB833" s="99">
        <f>IFERROR(VLOOKUP(B833,'Pre-Summary'!$A$6:$P$178,9,FALSE),AB834)</f>
        <v>0.74933844856675635</v>
      </c>
      <c r="AC833" s="10">
        <f>IFERROR(VLOOKUP(Summary!B833,'Pre-Summary'!$A$6:$P$184,5, FALSE)/100,AC834)</f>
        <v>0.79696000000000011</v>
      </c>
      <c r="AD833" s="10">
        <f>IFERROR(VLOOKUP(Summary!B833,'Pre-Summary'!$A$6:$P$184,3, FALSE)/100,AD834)</f>
        <v>1.5776333333333337E-2</v>
      </c>
      <c r="AE833" s="10">
        <f>IFERROR(VLOOKUP(Summary!B833,'Pre-Summary'!$A$6:$P$184,7, FALSE)/100,AE834)</f>
        <v>0.18726333333333334</v>
      </c>
      <c r="AF833" s="99">
        <f t="shared" si="37"/>
        <v>1.1821813144072007E-2</v>
      </c>
      <c r="AG833" s="99">
        <f t="shared" si="38"/>
        <v>0.14032361567343934</v>
      </c>
      <c r="AH833" s="10">
        <f>IFERROR(VLOOKUP(B833,'Pre-Summary'!$AZ$6:$BE$65,3,FALSE),"")</f>
        <v>2670</v>
      </c>
      <c r="AI833" s="10">
        <f>IFERROR(VLOOKUP(B833,'Pre-Summary'!$AZ$6:$BE$65,5,FALSE),"")</f>
        <v>171</v>
      </c>
      <c r="AJ833" s="10">
        <f>IFERROR(VLOOKUP(B833,'Pre-Summary'!$AZ$6:$BE$65,4,FALSE),"")</f>
        <v>2504</v>
      </c>
      <c r="AK833" s="10">
        <f>IFERROR(VLOOKUP(B833,'Pre-Summary'!$AZ$6:$BE$65,6,FALSE),"")</f>
        <v>81</v>
      </c>
      <c r="AL833" s="10">
        <f>IFERROR(VLOOKUP(B833,'Pre-Summary'!$BG$6:$BL$44,3,FALSE),"")</f>
        <v>23.932360307134932</v>
      </c>
      <c r="AM833" s="10">
        <f>IFERROR(VLOOKUP(B833,'Pre-Summary'!$BG$6:$BL$44,4,FALSE),"")</f>
        <v>3.1398441365651202</v>
      </c>
    </row>
    <row r="834" spans="2:39" ht="15" customHeight="1" x14ac:dyDescent="0.3">
      <c r="B834">
        <v>83.1</v>
      </c>
      <c r="C834" t="str">
        <f>IFERROR(VLOOKUP(B834,'Pre-Summary'!$DI$6:$DM$23,4,FALSE),"")</f>
        <v/>
      </c>
      <c r="D834" s="10" t="str">
        <f>IFERROR(VLOOKUP(B834,'Pre-Summary'!$AT$6:$AX$14,5,FALSE),D833)</f>
        <v>DSMZ v2: Dropped Na-Ac out of DSMZ 120 media</v>
      </c>
      <c r="E834" s="10" t="str">
        <f>IFERROR(VLOOKUP(B834,'Pre-Summary'!$AT$6:$AX$15,4,FALSE),"")</f>
        <v/>
      </c>
      <c r="F834">
        <f>IFERROR(VLOOKUP(B834,'Pre-Summary'!$AL$6:$AQ$13,6,FALSE),F833)</f>
        <v>5.9405263157894746E-2</v>
      </c>
      <c r="G834" t="str">
        <f>IFERROR(VLOOKUP(B834,'Pre-Summary'!$AE$6:$AJ$85,3,FALSE),"")</f>
        <v/>
      </c>
      <c r="H834" t="str">
        <f>IFERROR(VLOOKUP(B834,'Pre-Summary'!$AE$6:$AJ$85,4,FALSE),"")</f>
        <v/>
      </c>
      <c r="I834" t="str">
        <f>IFERROR(VLOOKUP(B834,'Pre-Summary'!$AE$6:$AJ$85,5,FALSE),"")</f>
        <v/>
      </c>
      <c r="J834" s="45" t="str">
        <f>IFERROR(VLOOKUP(B834,'Pre-Summary'!$AE$6:$AJ$85,6, FALSE),"")</f>
        <v/>
      </c>
      <c r="K834" s="45" t="str">
        <f>IFERROR(VLOOKUP(B834,'Pre-Summary'!$DE$6:$DG$61,3,FALSE),"")</f>
        <v/>
      </c>
      <c r="L834" s="45" t="str">
        <f>IFERROR(VLOOKUP(B834,'Pre-Summary'!$CU$6:$CW$36,3,FALSE),"")</f>
        <v/>
      </c>
      <c r="M834" s="45" t="str">
        <f>IFERROR(VLOOKUP(B834,'Pre-Summary'!$BW$6:$BY$58,2,FALSE),"")</f>
        <v/>
      </c>
      <c r="N834" s="45" t="str">
        <f>IFERROR(VLOOKUP(B834,'Pre-Summary'!$CD$6:$CF$64,2,FALSE),"")</f>
        <v/>
      </c>
      <c r="O834" s="99">
        <f>IFERROR(VLOOKUP(B834,'Pre-Summary'!$BO$6:$BQ$48,3, FALSE),O833)</f>
        <v>1.2</v>
      </c>
      <c r="P834" s="99">
        <f>IFERROR(VLOOKUP(B834,'Pre-Summary'!$BS$6:$BU$35,3,FALSE),P833)</f>
        <v>0.3</v>
      </c>
      <c r="Q834" s="54">
        <f t="shared" si="36"/>
        <v>4</v>
      </c>
      <c r="R834" s="53">
        <f>IFERROR(VLOOKUP(B834,'Pre-Summary'!$BG$6:$BM$44,7,FALSE),R835)</f>
        <v>6.4813973442575987E-2</v>
      </c>
      <c r="S834" s="53">
        <f>IFERROR(VLOOKUP(B834,'Pre-Summary'!$BG$6:$BM$44,6,FALSE),S835)</f>
        <v>9.4647776465945271E-2</v>
      </c>
      <c r="T834" s="45" t="str">
        <f>IFERROR(VLOOKUP(B834,'Pre-Summary'!$Y$6:$AC$83, 3,FALSE),"")</f>
        <v/>
      </c>
      <c r="U834" s="45" t="str">
        <f>IFERROR(VLOOKUP(B834,'Pre-Summary'!$Y$6:$AC$83, 4,FALSE),"")</f>
        <v/>
      </c>
      <c r="V834" t="str">
        <f>IFERROR(VLOOKUP(B834,'Pre-Summary'!$Y$6:$AC$83, 5,FALSE),"")</f>
        <v/>
      </c>
      <c r="W834" s="45" t="str">
        <f>IFERROR(VLOOKUP(B834,'Pre-Summary'!$Y$6:$AD$83,6,FALSE),"")</f>
        <v/>
      </c>
      <c r="X834" t="str">
        <f>IFERROR(VLOOKUP('Pre-Summary'!$DB$6:$DD$63,3,FALSE),"")</f>
        <v/>
      </c>
      <c r="Y834" t="str">
        <f>IFERROR(VLOOKUP(B834,'Pre-Summary'!$CR$6:$CT$36,3,FALSE),"")</f>
        <v/>
      </c>
      <c r="Z834" s="45" t="str">
        <f>IFERROR(VLOOKUP(B834,'Pre-Summary'!$BZ$6:$CB$63,2,FALSE),"")</f>
        <v/>
      </c>
      <c r="AA834" s="45" t="str">
        <f>IFERROR(VLOOKUP(B834,'Pre-Summary'!$CG$6:$CI$70,2,FALSE),"")</f>
        <v/>
      </c>
      <c r="AB834" s="99">
        <f>IFERROR(VLOOKUP(B834,'Pre-Summary'!$A$6:$P$178,9,FALSE),AB835)</f>
        <v>0.74933844856675635</v>
      </c>
      <c r="AC834" s="10">
        <f>IFERROR(VLOOKUP(Summary!B834,'Pre-Summary'!$A$6:$P$184,5, FALSE)/100,AC835)</f>
        <v>0.79696000000000011</v>
      </c>
      <c r="AD834" s="10">
        <f>IFERROR(VLOOKUP(Summary!B834,'Pre-Summary'!$A$6:$P$184,3, FALSE)/100,AD835)</f>
        <v>1.5776333333333337E-2</v>
      </c>
      <c r="AE834" s="10">
        <f>IFERROR(VLOOKUP(Summary!B834,'Pre-Summary'!$A$6:$P$184,7, FALSE)/100,AE835)</f>
        <v>0.18726333333333334</v>
      </c>
      <c r="AF834" s="99">
        <f t="shared" si="37"/>
        <v>1.1821813144072007E-2</v>
      </c>
      <c r="AG834" s="99">
        <f t="shared" si="38"/>
        <v>0.14032361567343934</v>
      </c>
      <c r="AH834" s="10" t="str">
        <f>IFERROR(VLOOKUP(B834,'Pre-Summary'!$AZ$6:$BE$65,3,FALSE),"")</f>
        <v/>
      </c>
      <c r="AI834" s="10" t="str">
        <f>IFERROR(VLOOKUP(B834,'Pre-Summary'!$AZ$6:$BE$65,5,FALSE),"")</f>
        <v/>
      </c>
      <c r="AJ834" s="10" t="str">
        <f>IFERROR(VLOOKUP(B834,'Pre-Summary'!$AZ$6:$BE$65,4,FALSE),"")</f>
        <v/>
      </c>
      <c r="AK834" s="10" t="str">
        <f>IFERROR(VLOOKUP(B834,'Pre-Summary'!$AZ$6:$BE$65,6,FALSE),"")</f>
        <v/>
      </c>
      <c r="AL834" s="10" t="str">
        <f>IFERROR(VLOOKUP(B834,'Pre-Summary'!$BG$6:$BL$44,3,FALSE),"")</f>
        <v/>
      </c>
      <c r="AM834" s="10" t="str">
        <f>IFERROR(VLOOKUP(B834,'Pre-Summary'!$BG$6:$BL$44,4,FALSE),"")</f>
        <v/>
      </c>
    </row>
    <row r="835" spans="2:39" ht="15" customHeight="1" x14ac:dyDescent="0.3">
      <c r="B835">
        <v>83.2</v>
      </c>
      <c r="C835" t="str">
        <f>IFERROR(VLOOKUP(B835,'Pre-Summary'!$DI$6:$DM$23,4,FALSE),"")</f>
        <v/>
      </c>
      <c r="D835" s="10" t="str">
        <f>IFERROR(VLOOKUP(B835,'Pre-Summary'!$AT$6:$AX$14,5,FALSE),D834)</f>
        <v>DSMZ v2: Dropped Na-Ac out of DSMZ 120 media</v>
      </c>
      <c r="E835" s="10" t="str">
        <f>IFERROR(VLOOKUP(B835,'Pre-Summary'!$AT$6:$AX$15,4,FALSE),"")</f>
        <v/>
      </c>
      <c r="F835">
        <f>IFERROR(VLOOKUP(B835,'Pre-Summary'!$AL$6:$AQ$13,6,FALSE),F834)</f>
        <v>5.9405263157894746E-2</v>
      </c>
      <c r="G835" t="str">
        <f>IFERROR(VLOOKUP(B835,'Pre-Summary'!$AE$6:$AJ$85,3,FALSE),"")</f>
        <v/>
      </c>
      <c r="H835" t="str">
        <f>IFERROR(VLOOKUP(B835,'Pre-Summary'!$AE$6:$AJ$85,4,FALSE),"")</f>
        <v/>
      </c>
      <c r="I835" t="str">
        <f>IFERROR(VLOOKUP(B835,'Pre-Summary'!$AE$6:$AJ$85,5,FALSE),"")</f>
        <v/>
      </c>
      <c r="J835" s="45" t="str">
        <f>IFERROR(VLOOKUP(B835,'Pre-Summary'!$AE$6:$AJ$85,6, FALSE),"")</f>
        <v/>
      </c>
      <c r="K835" s="45" t="str">
        <f>IFERROR(VLOOKUP(B835,'Pre-Summary'!$DE$6:$DG$61,3,FALSE),"")</f>
        <v/>
      </c>
      <c r="L835" s="45" t="str">
        <f>IFERROR(VLOOKUP(B835,'Pre-Summary'!$CU$6:$CW$36,3,FALSE),"")</f>
        <v/>
      </c>
      <c r="M835" s="45" t="str">
        <f>IFERROR(VLOOKUP(B835,'Pre-Summary'!$BW$6:$BY$58,2,FALSE),"")</f>
        <v/>
      </c>
      <c r="N835" s="45" t="str">
        <f>IFERROR(VLOOKUP(B835,'Pre-Summary'!$CD$6:$CF$64,2,FALSE),"")</f>
        <v/>
      </c>
      <c r="O835" s="99">
        <f>IFERROR(VLOOKUP(B835,'Pre-Summary'!$BO$6:$BQ$48,3, FALSE),O834)</f>
        <v>1.2</v>
      </c>
      <c r="P835" s="99">
        <f>IFERROR(VLOOKUP(B835,'Pre-Summary'!$BS$6:$BU$35,3,FALSE),P834)</f>
        <v>0.3</v>
      </c>
      <c r="Q835" s="54">
        <f t="shared" ref="Q835:Q898" si="39">O835/P835</f>
        <v>4</v>
      </c>
      <c r="R835" s="53">
        <f>IFERROR(VLOOKUP(B835,'Pre-Summary'!$BG$6:$BM$44,7,FALSE),R836)</f>
        <v>6.4813973442575987E-2</v>
      </c>
      <c r="S835" s="53">
        <f>IFERROR(VLOOKUP(B835,'Pre-Summary'!$BG$6:$BM$44,6,FALSE),S836)</f>
        <v>9.4647776465945271E-2</v>
      </c>
      <c r="T835" s="45" t="str">
        <f>IFERROR(VLOOKUP(B835,'Pre-Summary'!$Y$6:$AC$83, 3,FALSE),"")</f>
        <v/>
      </c>
      <c r="U835" s="45" t="str">
        <f>IFERROR(VLOOKUP(B835,'Pre-Summary'!$Y$6:$AC$83, 4,FALSE),"")</f>
        <v/>
      </c>
      <c r="V835" t="str">
        <f>IFERROR(VLOOKUP(B835,'Pre-Summary'!$Y$6:$AC$83, 5,FALSE),"")</f>
        <v/>
      </c>
      <c r="W835" s="45" t="str">
        <f>IFERROR(VLOOKUP(B835,'Pre-Summary'!$Y$6:$AD$83,6,FALSE),"")</f>
        <v/>
      </c>
      <c r="X835" t="str">
        <f>IFERROR(VLOOKUP('Pre-Summary'!$DB$6:$DD$63,3,FALSE),"")</f>
        <v/>
      </c>
      <c r="Y835" t="str">
        <f>IFERROR(VLOOKUP(B835,'Pre-Summary'!$CR$6:$CT$36,3,FALSE),"")</f>
        <v/>
      </c>
      <c r="Z835" s="45" t="str">
        <f>IFERROR(VLOOKUP(B835,'Pre-Summary'!$BZ$6:$CB$63,2,FALSE),"")</f>
        <v/>
      </c>
      <c r="AA835" s="45" t="str">
        <f>IFERROR(VLOOKUP(B835,'Pre-Summary'!$CG$6:$CI$70,2,FALSE),"")</f>
        <v/>
      </c>
      <c r="AB835" s="99">
        <f>IFERROR(VLOOKUP(B835,'Pre-Summary'!$A$6:$P$178,9,FALSE),AB836)</f>
        <v>0.74933844856675635</v>
      </c>
      <c r="AC835" s="10">
        <f>IFERROR(VLOOKUP(Summary!B835,'Pre-Summary'!$A$6:$P$184,5, FALSE)/100,AC836)</f>
        <v>0.79696000000000011</v>
      </c>
      <c r="AD835" s="10">
        <f>IFERROR(VLOOKUP(Summary!B835,'Pre-Summary'!$A$6:$P$184,3, FALSE)/100,AD836)</f>
        <v>1.5776333333333337E-2</v>
      </c>
      <c r="AE835" s="10">
        <f>IFERROR(VLOOKUP(Summary!B835,'Pre-Summary'!$A$6:$P$184,7, FALSE)/100,AE836)</f>
        <v>0.18726333333333334</v>
      </c>
      <c r="AF835" s="99">
        <f t="shared" ref="AF835:AF898" si="40">AD835*AB835</f>
        <v>1.1821813144072007E-2</v>
      </c>
      <c r="AG835" s="99">
        <f t="shared" ref="AG835:AG898" si="41">AB835*AE835</f>
        <v>0.14032361567343934</v>
      </c>
      <c r="AH835" s="10" t="str">
        <f>IFERROR(VLOOKUP(B835,'Pre-Summary'!$AZ$6:$BE$65,3,FALSE),"")</f>
        <v/>
      </c>
      <c r="AI835" s="10" t="str">
        <f>IFERROR(VLOOKUP(B835,'Pre-Summary'!$AZ$6:$BE$65,5,FALSE),"")</f>
        <v/>
      </c>
      <c r="AJ835" s="10" t="str">
        <f>IFERROR(VLOOKUP(B835,'Pre-Summary'!$AZ$6:$BE$65,4,FALSE),"")</f>
        <v/>
      </c>
      <c r="AK835" s="10" t="str">
        <f>IFERROR(VLOOKUP(B835,'Pre-Summary'!$AZ$6:$BE$65,6,FALSE),"")</f>
        <v/>
      </c>
      <c r="AL835" s="10" t="str">
        <f>IFERROR(VLOOKUP(B835,'Pre-Summary'!$BG$6:$BL$44,3,FALSE),"")</f>
        <v/>
      </c>
      <c r="AM835" s="10" t="str">
        <f>IFERROR(VLOOKUP(B835,'Pre-Summary'!$BG$6:$BL$44,4,FALSE),"")</f>
        <v/>
      </c>
    </row>
    <row r="836" spans="2:39" ht="15" customHeight="1" x14ac:dyDescent="0.3">
      <c r="B836">
        <v>83.3</v>
      </c>
      <c r="C836" t="str">
        <f>IFERROR(VLOOKUP(B836,'Pre-Summary'!$DI$6:$DM$23,4,FALSE),"")</f>
        <v/>
      </c>
      <c r="D836" s="10" t="str">
        <f>IFERROR(VLOOKUP(B836,'Pre-Summary'!$AT$6:$AX$14,5,FALSE),D835)</f>
        <v>DSMZ v2: Dropped Na-Ac out of DSMZ 120 media</v>
      </c>
      <c r="E836" s="10" t="str">
        <f>IFERROR(VLOOKUP(B836,'Pre-Summary'!$AT$6:$AX$15,4,FALSE),"")</f>
        <v/>
      </c>
      <c r="F836">
        <f>IFERROR(VLOOKUP(B836,'Pre-Summary'!$AL$6:$AQ$13,6,FALSE),F835)</f>
        <v>5.9405263157894746E-2</v>
      </c>
      <c r="G836" t="str">
        <f>IFERROR(VLOOKUP(B836,'Pre-Summary'!$AE$6:$AJ$85,3,FALSE),"")</f>
        <v/>
      </c>
      <c r="H836" t="str">
        <f>IFERROR(VLOOKUP(B836,'Pre-Summary'!$AE$6:$AJ$85,4,FALSE),"")</f>
        <v/>
      </c>
      <c r="I836" t="str">
        <f>IFERROR(VLOOKUP(B836,'Pre-Summary'!$AE$6:$AJ$85,5,FALSE),"")</f>
        <v/>
      </c>
      <c r="J836" s="45" t="str">
        <f>IFERROR(VLOOKUP(B836,'Pre-Summary'!$AE$6:$AJ$85,6, FALSE),"")</f>
        <v/>
      </c>
      <c r="K836" s="45" t="str">
        <f>IFERROR(VLOOKUP(B836,'Pre-Summary'!$DE$6:$DG$61,3,FALSE),"")</f>
        <v/>
      </c>
      <c r="L836" s="45" t="str">
        <f>IFERROR(VLOOKUP(B836,'Pre-Summary'!$CU$6:$CW$36,3,FALSE),"")</f>
        <v/>
      </c>
      <c r="M836" s="45" t="str">
        <f>IFERROR(VLOOKUP(B836,'Pre-Summary'!$BW$6:$BY$58,2,FALSE),"")</f>
        <v/>
      </c>
      <c r="N836" s="45" t="str">
        <f>IFERROR(VLOOKUP(B836,'Pre-Summary'!$CD$6:$CF$64,2,FALSE),"")</f>
        <v/>
      </c>
      <c r="O836" s="99">
        <f>IFERROR(VLOOKUP(B836,'Pre-Summary'!$BO$6:$BQ$48,3, FALSE),O835)</f>
        <v>1.2</v>
      </c>
      <c r="P836" s="99">
        <f>IFERROR(VLOOKUP(B836,'Pre-Summary'!$BS$6:$BU$35,3,FALSE),P835)</f>
        <v>0.3</v>
      </c>
      <c r="Q836" s="54">
        <f t="shared" si="39"/>
        <v>4</v>
      </c>
      <c r="R836" s="53">
        <f>IFERROR(VLOOKUP(B836,'Pre-Summary'!$BG$6:$BM$44,7,FALSE),R837)</f>
        <v>6.4813973442575987E-2</v>
      </c>
      <c r="S836" s="53">
        <f>IFERROR(VLOOKUP(B836,'Pre-Summary'!$BG$6:$BM$44,6,FALSE),S837)</f>
        <v>9.4647776465945271E-2</v>
      </c>
      <c r="T836" s="45" t="str">
        <f>IFERROR(VLOOKUP(B836,'Pre-Summary'!$Y$6:$AC$83, 3,FALSE),"")</f>
        <v/>
      </c>
      <c r="U836" s="45" t="str">
        <f>IFERROR(VLOOKUP(B836,'Pre-Summary'!$Y$6:$AC$83, 4,FALSE),"")</f>
        <v/>
      </c>
      <c r="V836" t="str">
        <f>IFERROR(VLOOKUP(B836,'Pre-Summary'!$Y$6:$AC$83, 5,FALSE),"")</f>
        <v/>
      </c>
      <c r="W836" s="45" t="str">
        <f>IFERROR(VLOOKUP(B836,'Pre-Summary'!$Y$6:$AD$83,6,FALSE),"")</f>
        <v/>
      </c>
      <c r="X836" t="str">
        <f>IFERROR(VLOOKUP('Pre-Summary'!$DB$6:$DD$63,3,FALSE),"")</f>
        <v/>
      </c>
      <c r="Y836" t="str">
        <f>IFERROR(VLOOKUP(B836,'Pre-Summary'!$CR$6:$CT$36,3,FALSE),"")</f>
        <v/>
      </c>
      <c r="Z836" s="45" t="str">
        <f>IFERROR(VLOOKUP(B836,'Pre-Summary'!$BZ$6:$CB$63,2,FALSE),"")</f>
        <v/>
      </c>
      <c r="AA836" s="45" t="str">
        <f>IFERROR(VLOOKUP(B836,'Pre-Summary'!$CG$6:$CI$70,2,FALSE),"")</f>
        <v/>
      </c>
      <c r="AB836" s="99">
        <f>IFERROR(VLOOKUP(B836,'Pre-Summary'!$A$6:$P$178,9,FALSE),AB837)</f>
        <v>0.74933844856675635</v>
      </c>
      <c r="AC836" s="10">
        <f>IFERROR(VLOOKUP(Summary!B836,'Pre-Summary'!$A$6:$P$184,5, FALSE)/100,AC837)</f>
        <v>0.79696000000000011</v>
      </c>
      <c r="AD836" s="10">
        <f>IFERROR(VLOOKUP(Summary!B836,'Pre-Summary'!$A$6:$P$184,3, FALSE)/100,AD837)</f>
        <v>1.5776333333333337E-2</v>
      </c>
      <c r="AE836" s="10">
        <f>IFERROR(VLOOKUP(Summary!B836,'Pre-Summary'!$A$6:$P$184,7, FALSE)/100,AE837)</f>
        <v>0.18726333333333334</v>
      </c>
      <c r="AF836" s="99">
        <f t="shared" si="40"/>
        <v>1.1821813144072007E-2</v>
      </c>
      <c r="AG836" s="99">
        <f t="shared" si="41"/>
        <v>0.14032361567343934</v>
      </c>
      <c r="AH836" s="10" t="str">
        <f>IFERROR(VLOOKUP(B836,'Pre-Summary'!$AZ$6:$BE$65,3,FALSE),"")</f>
        <v/>
      </c>
      <c r="AI836" s="10" t="str">
        <f>IFERROR(VLOOKUP(B836,'Pre-Summary'!$AZ$6:$BE$65,5,FALSE),"")</f>
        <v/>
      </c>
      <c r="AJ836" s="10" t="str">
        <f>IFERROR(VLOOKUP(B836,'Pre-Summary'!$AZ$6:$BE$65,4,FALSE),"")</f>
        <v/>
      </c>
      <c r="AK836" s="10" t="str">
        <f>IFERROR(VLOOKUP(B836,'Pre-Summary'!$AZ$6:$BE$65,6,FALSE),"")</f>
        <v/>
      </c>
      <c r="AL836" s="10" t="str">
        <f>IFERROR(VLOOKUP(B836,'Pre-Summary'!$BG$6:$BL$44,3,FALSE),"")</f>
        <v/>
      </c>
      <c r="AM836" s="10" t="str">
        <f>IFERROR(VLOOKUP(B836,'Pre-Summary'!$BG$6:$BL$44,4,FALSE),"")</f>
        <v/>
      </c>
    </row>
    <row r="837" spans="2:39" ht="15" customHeight="1" x14ac:dyDescent="0.3">
      <c r="B837">
        <v>83.4</v>
      </c>
      <c r="C837" t="str">
        <f>IFERROR(VLOOKUP(B837,'Pre-Summary'!$DI$6:$DM$23,4,FALSE),"")</f>
        <v/>
      </c>
      <c r="D837" s="10" t="str">
        <f>IFERROR(VLOOKUP(B837,'Pre-Summary'!$AT$6:$AX$14,5,FALSE),D836)</f>
        <v>DSMZ v2: Dropped Na-Ac out of DSMZ 120 media</v>
      </c>
      <c r="E837" s="10" t="str">
        <f>IFERROR(VLOOKUP(B837,'Pre-Summary'!$AT$6:$AX$15,4,FALSE),"")</f>
        <v/>
      </c>
      <c r="F837">
        <f>IFERROR(VLOOKUP(B837,'Pre-Summary'!$AL$6:$AQ$13,6,FALSE),F836)</f>
        <v>5.9405263157894746E-2</v>
      </c>
      <c r="G837" t="str">
        <f>IFERROR(VLOOKUP(B837,'Pre-Summary'!$AE$6:$AJ$85,3,FALSE),"")</f>
        <v/>
      </c>
      <c r="H837" t="str">
        <f>IFERROR(VLOOKUP(B837,'Pre-Summary'!$AE$6:$AJ$85,4,FALSE),"")</f>
        <v/>
      </c>
      <c r="I837" t="str">
        <f>IFERROR(VLOOKUP(B837,'Pre-Summary'!$AE$6:$AJ$85,5,FALSE),"")</f>
        <v/>
      </c>
      <c r="J837" s="45" t="str">
        <f>IFERROR(VLOOKUP(B837,'Pre-Summary'!$AE$6:$AJ$85,6, FALSE),"")</f>
        <v/>
      </c>
      <c r="K837" s="45" t="str">
        <f>IFERROR(VLOOKUP(B837,'Pre-Summary'!$DE$6:$DG$61,3,FALSE),"")</f>
        <v/>
      </c>
      <c r="L837" s="45" t="str">
        <f>IFERROR(VLOOKUP(B837,'Pre-Summary'!$CU$6:$CW$36,3,FALSE),"")</f>
        <v/>
      </c>
      <c r="M837" s="45" t="str">
        <f>IFERROR(VLOOKUP(B837,'Pre-Summary'!$BW$6:$BY$58,2,FALSE),"")</f>
        <v/>
      </c>
      <c r="N837" s="45" t="str">
        <f>IFERROR(VLOOKUP(B837,'Pre-Summary'!$CD$6:$CF$64,2,FALSE),"")</f>
        <v/>
      </c>
      <c r="O837" s="99">
        <f>IFERROR(VLOOKUP(B837,'Pre-Summary'!$BO$6:$BQ$48,3, FALSE),O836)</f>
        <v>1.2</v>
      </c>
      <c r="P837" s="99">
        <f>IFERROR(VLOOKUP(B837,'Pre-Summary'!$BS$6:$BU$35,3,FALSE),P836)</f>
        <v>0.3</v>
      </c>
      <c r="Q837" s="54">
        <f t="shared" si="39"/>
        <v>4</v>
      </c>
      <c r="R837" s="53">
        <f>IFERROR(VLOOKUP(B837,'Pre-Summary'!$BG$6:$BM$44,7,FALSE),R838)</f>
        <v>6.4813973442575987E-2</v>
      </c>
      <c r="S837" s="53">
        <f>IFERROR(VLOOKUP(B837,'Pre-Summary'!$BG$6:$BM$44,6,FALSE),S838)</f>
        <v>9.4647776465945271E-2</v>
      </c>
      <c r="T837" s="45" t="str">
        <f>IFERROR(VLOOKUP(B837,'Pre-Summary'!$Y$6:$AC$83, 3,FALSE),"")</f>
        <v/>
      </c>
      <c r="U837" s="45" t="str">
        <f>IFERROR(VLOOKUP(B837,'Pre-Summary'!$Y$6:$AC$83, 4,FALSE),"")</f>
        <v/>
      </c>
      <c r="V837" t="str">
        <f>IFERROR(VLOOKUP(B837,'Pre-Summary'!$Y$6:$AC$83, 5,FALSE),"")</f>
        <v/>
      </c>
      <c r="W837" s="45" t="str">
        <f>IFERROR(VLOOKUP(B837,'Pre-Summary'!$Y$6:$AD$83,6,FALSE),"")</f>
        <v/>
      </c>
      <c r="X837" t="str">
        <f>IFERROR(VLOOKUP('Pre-Summary'!$DB$6:$DD$63,3,FALSE),"")</f>
        <v/>
      </c>
      <c r="Y837" t="str">
        <f>IFERROR(VLOOKUP(B837,'Pre-Summary'!$CR$6:$CT$36,3,FALSE),"")</f>
        <v/>
      </c>
      <c r="Z837" s="45" t="str">
        <f>IFERROR(VLOOKUP(B837,'Pre-Summary'!$BZ$6:$CB$63,2,FALSE),"")</f>
        <v/>
      </c>
      <c r="AA837" s="45" t="str">
        <f>IFERROR(VLOOKUP(B837,'Pre-Summary'!$CG$6:$CI$70,2,FALSE),"")</f>
        <v/>
      </c>
      <c r="AB837" s="99">
        <f>IFERROR(VLOOKUP(B837,'Pre-Summary'!$A$6:$P$178,9,FALSE),AB838)</f>
        <v>0.74933844856675635</v>
      </c>
      <c r="AC837" s="10">
        <f>IFERROR(VLOOKUP(Summary!B837,'Pre-Summary'!$A$6:$P$184,5, FALSE)/100,AC838)</f>
        <v>0.79696000000000011</v>
      </c>
      <c r="AD837" s="10">
        <f>IFERROR(VLOOKUP(Summary!B837,'Pre-Summary'!$A$6:$P$184,3, FALSE)/100,AD838)</f>
        <v>1.5776333333333337E-2</v>
      </c>
      <c r="AE837" s="10">
        <f>IFERROR(VLOOKUP(Summary!B837,'Pre-Summary'!$A$6:$P$184,7, FALSE)/100,AE838)</f>
        <v>0.18726333333333334</v>
      </c>
      <c r="AF837" s="99">
        <f t="shared" si="40"/>
        <v>1.1821813144072007E-2</v>
      </c>
      <c r="AG837" s="99">
        <f t="shared" si="41"/>
        <v>0.14032361567343934</v>
      </c>
      <c r="AH837" s="10" t="str">
        <f>IFERROR(VLOOKUP(B837,'Pre-Summary'!$AZ$6:$BE$65,3,FALSE),"")</f>
        <v/>
      </c>
      <c r="AI837" s="10" t="str">
        <f>IFERROR(VLOOKUP(B837,'Pre-Summary'!$AZ$6:$BE$65,5,FALSE),"")</f>
        <v/>
      </c>
      <c r="AJ837" s="10" t="str">
        <f>IFERROR(VLOOKUP(B837,'Pre-Summary'!$AZ$6:$BE$65,4,FALSE),"")</f>
        <v/>
      </c>
      <c r="AK837" s="10" t="str">
        <f>IFERROR(VLOOKUP(B837,'Pre-Summary'!$AZ$6:$BE$65,6,FALSE),"")</f>
        <v/>
      </c>
      <c r="AL837" s="10" t="str">
        <f>IFERROR(VLOOKUP(B837,'Pre-Summary'!$BG$6:$BL$44,3,FALSE),"")</f>
        <v/>
      </c>
      <c r="AM837" s="10" t="str">
        <f>IFERROR(VLOOKUP(B837,'Pre-Summary'!$BG$6:$BL$44,4,FALSE),"")</f>
        <v/>
      </c>
    </row>
    <row r="838" spans="2:39" ht="15" customHeight="1" x14ac:dyDescent="0.3">
      <c r="B838">
        <v>83.5</v>
      </c>
      <c r="C838" t="str">
        <f>IFERROR(VLOOKUP(B838,'Pre-Summary'!$DI$6:$DM$23,4,FALSE),"")</f>
        <v/>
      </c>
      <c r="D838" s="10" t="str">
        <f>IFERROR(VLOOKUP(B838,'Pre-Summary'!$AT$6:$AX$14,5,FALSE),D837)</f>
        <v>DSMZ v2: Dropped Na-Ac out of DSMZ 120 media</v>
      </c>
      <c r="E838" s="10" t="str">
        <f>IFERROR(VLOOKUP(B838,'Pre-Summary'!$AT$6:$AX$15,4,FALSE),"")</f>
        <v/>
      </c>
      <c r="F838">
        <f>IFERROR(VLOOKUP(B838,'Pre-Summary'!$AL$6:$AQ$13,6,FALSE),F837)</f>
        <v>5.9405263157894746E-2</v>
      </c>
      <c r="G838" t="str">
        <f>IFERROR(VLOOKUP(B838,'Pre-Summary'!$AE$6:$AJ$85,3,FALSE),"")</f>
        <v/>
      </c>
      <c r="H838" t="str">
        <f>IFERROR(VLOOKUP(B838,'Pre-Summary'!$AE$6:$AJ$85,4,FALSE),"")</f>
        <v/>
      </c>
      <c r="I838" t="str">
        <f>IFERROR(VLOOKUP(B838,'Pre-Summary'!$AE$6:$AJ$85,5,FALSE),"")</f>
        <v/>
      </c>
      <c r="J838" s="45" t="str">
        <f>IFERROR(VLOOKUP(B838,'Pre-Summary'!$AE$6:$AJ$85,6, FALSE),"")</f>
        <v/>
      </c>
      <c r="K838" s="45" t="str">
        <f>IFERROR(VLOOKUP(B838,'Pre-Summary'!$DE$6:$DG$61,3,FALSE),"")</f>
        <v/>
      </c>
      <c r="L838" s="45" t="str">
        <f>IFERROR(VLOOKUP(B838,'Pre-Summary'!$CU$6:$CW$36,3,FALSE),"")</f>
        <v/>
      </c>
      <c r="M838" s="45" t="str">
        <f>IFERROR(VLOOKUP(B838,'Pre-Summary'!$BW$6:$BY$58,2,FALSE),"")</f>
        <v/>
      </c>
      <c r="N838" s="45" t="str">
        <f>IFERROR(VLOOKUP(B838,'Pre-Summary'!$CD$6:$CF$64,2,FALSE),"")</f>
        <v/>
      </c>
      <c r="O838" s="99">
        <f>IFERROR(VLOOKUP(B838,'Pre-Summary'!$BO$6:$BQ$48,3, FALSE),O837)</f>
        <v>1.2</v>
      </c>
      <c r="P838" s="99">
        <f>IFERROR(VLOOKUP(B838,'Pre-Summary'!$BS$6:$BU$35,3,FALSE),P837)</f>
        <v>0.3</v>
      </c>
      <c r="Q838" s="54">
        <f t="shared" si="39"/>
        <v>4</v>
      </c>
      <c r="R838" s="53">
        <f>IFERROR(VLOOKUP(B838,'Pre-Summary'!$BG$6:$BM$44,7,FALSE),R839)</f>
        <v>6.4813973442575987E-2</v>
      </c>
      <c r="S838" s="53">
        <f>IFERROR(VLOOKUP(B838,'Pre-Summary'!$BG$6:$BM$44,6,FALSE),S839)</f>
        <v>9.4647776465945271E-2</v>
      </c>
      <c r="T838" s="45" t="str">
        <f>IFERROR(VLOOKUP(B838,'Pre-Summary'!$Y$6:$AC$83, 3,FALSE),"")</f>
        <v/>
      </c>
      <c r="U838" s="45" t="str">
        <f>IFERROR(VLOOKUP(B838,'Pre-Summary'!$Y$6:$AC$83, 4,FALSE),"")</f>
        <v/>
      </c>
      <c r="V838" t="str">
        <f>IFERROR(VLOOKUP(B838,'Pre-Summary'!$Y$6:$AC$83, 5,FALSE),"")</f>
        <v/>
      </c>
      <c r="W838" s="45" t="str">
        <f>IFERROR(VLOOKUP(B838,'Pre-Summary'!$Y$6:$AD$83,6,FALSE),"")</f>
        <v/>
      </c>
      <c r="X838" t="str">
        <f>IFERROR(VLOOKUP('Pre-Summary'!$DB$6:$DD$63,3,FALSE),"")</f>
        <v/>
      </c>
      <c r="Y838" t="str">
        <f>IFERROR(VLOOKUP(B838,'Pre-Summary'!$CR$6:$CT$36,3,FALSE),"")</f>
        <v/>
      </c>
      <c r="Z838" s="45" t="str">
        <f>IFERROR(VLOOKUP(B838,'Pre-Summary'!$BZ$6:$CB$63,2,FALSE),"")</f>
        <v/>
      </c>
      <c r="AA838" s="45" t="str">
        <f>IFERROR(VLOOKUP(B838,'Pre-Summary'!$CG$6:$CI$70,2,FALSE),"")</f>
        <v/>
      </c>
      <c r="AB838" s="99">
        <f>IFERROR(VLOOKUP(B838,'Pre-Summary'!$A$6:$P$178,9,FALSE),AB839)</f>
        <v>0.74933844856675635</v>
      </c>
      <c r="AC838" s="10">
        <f>IFERROR(VLOOKUP(Summary!B838,'Pre-Summary'!$A$6:$P$184,5, FALSE)/100,AC839)</f>
        <v>0.79696000000000011</v>
      </c>
      <c r="AD838" s="10">
        <f>IFERROR(VLOOKUP(Summary!B838,'Pre-Summary'!$A$6:$P$184,3, FALSE)/100,AD839)</f>
        <v>1.5776333333333337E-2</v>
      </c>
      <c r="AE838" s="10">
        <f>IFERROR(VLOOKUP(Summary!B838,'Pre-Summary'!$A$6:$P$184,7, FALSE)/100,AE839)</f>
        <v>0.18726333333333334</v>
      </c>
      <c r="AF838" s="99">
        <f t="shared" si="40"/>
        <v>1.1821813144072007E-2</v>
      </c>
      <c r="AG838" s="99">
        <f t="shared" si="41"/>
        <v>0.14032361567343934</v>
      </c>
      <c r="AH838" s="10" t="str">
        <f>IFERROR(VLOOKUP(B838,'Pre-Summary'!$AZ$6:$BE$65,3,FALSE),"")</f>
        <v/>
      </c>
      <c r="AI838" s="10" t="str">
        <f>IFERROR(VLOOKUP(B838,'Pre-Summary'!$AZ$6:$BE$65,5,FALSE),"")</f>
        <v/>
      </c>
      <c r="AJ838" s="10" t="str">
        <f>IFERROR(VLOOKUP(B838,'Pre-Summary'!$AZ$6:$BE$65,4,FALSE),"")</f>
        <v/>
      </c>
      <c r="AK838" s="10" t="str">
        <f>IFERROR(VLOOKUP(B838,'Pre-Summary'!$AZ$6:$BE$65,6,FALSE),"")</f>
        <v/>
      </c>
      <c r="AL838" s="10" t="str">
        <f>IFERROR(VLOOKUP(B838,'Pre-Summary'!$BG$6:$BL$44,3,FALSE),"")</f>
        <v/>
      </c>
      <c r="AM838" s="10" t="str">
        <f>IFERROR(VLOOKUP(B838,'Pre-Summary'!$BG$6:$BL$44,4,FALSE),"")</f>
        <v/>
      </c>
    </row>
    <row r="839" spans="2:39" ht="15" customHeight="1" x14ac:dyDescent="0.3">
      <c r="B839">
        <v>83.6</v>
      </c>
      <c r="C839" t="str">
        <f>IFERROR(VLOOKUP(B839,'Pre-Summary'!$DI$6:$DM$23,4,FALSE),"")</f>
        <v/>
      </c>
      <c r="D839" s="10" t="str">
        <f>IFERROR(VLOOKUP(B839,'Pre-Summary'!$AT$6:$AX$14,5,FALSE),D838)</f>
        <v>DSMZ v2: Dropped Na-Ac out of DSMZ 120 media</v>
      </c>
      <c r="E839" s="10" t="str">
        <f>IFERROR(VLOOKUP(B839,'Pre-Summary'!$AT$6:$AX$15,4,FALSE),"")</f>
        <v/>
      </c>
      <c r="F839">
        <f>IFERROR(VLOOKUP(B839,'Pre-Summary'!$AL$6:$AQ$13,6,FALSE),F838)</f>
        <v>5.9405263157894746E-2</v>
      </c>
      <c r="G839" t="str">
        <f>IFERROR(VLOOKUP(B839,'Pre-Summary'!$AE$6:$AJ$85,3,FALSE),"")</f>
        <v/>
      </c>
      <c r="H839" t="str">
        <f>IFERROR(VLOOKUP(B839,'Pre-Summary'!$AE$6:$AJ$85,4,FALSE),"")</f>
        <v/>
      </c>
      <c r="I839" t="str">
        <f>IFERROR(VLOOKUP(B839,'Pre-Summary'!$AE$6:$AJ$85,5,FALSE),"")</f>
        <v/>
      </c>
      <c r="J839" s="45" t="str">
        <f>IFERROR(VLOOKUP(B839,'Pre-Summary'!$AE$6:$AJ$85,6, FALSE),"")</f>
        <v/>
      </c>
      <c r="K839" s="45" t="str">
        <f>IFERROR(VLOOKUP(B839,'Pre-Summary'!$DE$6:$DG$61,3,FALSE),"")</f>
        <v/>
      </c>
      <c r="L839" s="45" t="str">
        <f>IFERROR(VLOOKUP(B839,'Pre-Summary'!$CU$6:$CW$36,3,FALSE),"")</f>
        <v/>
      </c>
      <c r="M839" s="45" t="str">
        <f>IFERROR(VLOOKUP(B839,'Pre-Summary'!$BW$6:$BY$58,2,FALSE),"")</f>
        <v/>
      </c>
      <c r="N839" s="45" t="str">
        <f>IFERROR(VLOOKUP(B839,'Pre-Summary'!$CD$6:$CF$64,2,FALSE),"")</f>
        <v/>
      </c>
      <c r="O839" s="99">
        <f>IFERROR(VLOOKUP(B839,'Pre-Summary'!$BO$6:$BQ$48,3, FALSE),O838)</f>
        <v>1.2</v>
      </c>
      <c r="P839" s="99">
        <f>IFERROR(VLOOKUP(B839,'Pre-Summary'!$BS$6:$BU$35,3,FALSE),P838)</f>
        <v>0.3</v>
      </c>
      <c r="Q839" s="54">
        <f t="shared" si="39"/>
        <v>4</v>
      </c>
      <c r="R839" s="53">
        <f>IFERROR(VLOOKUP(B839,'Pre-Summary'!$BG$6:$BM$44,7,FALSE),R840)</f>
        <v>6.4813973442575987E-2</v>
      </c>
      <c r="S839" s="53">
        <f>IFERROR(VLOOKUP(B839,'Pre-Summary'!$BG$6:$BM$44,6,FALSE),S840)</f>
        <v>9.4647776465945271E-2</v>
      </c>
      <c r="T839" s="45" t="str">
        <f>IFERROR(VLOOKUP(B839,'Pre-Summary'!$Y$6:$AC$83, 3,FALSE),"")</f>
        <v/>
      </c>
      <c r="U839" s="45" t="str">
        <f>IFERROR(VLOOKUP(B839,'Pre-Summary'!$Y$6:$AC$83, 4,FALSE),"")</f>
        <v/>
      </c>
      <c r="V839" t="str">
        <f>IFERROR(VLOOKUP(B839,'Pre-Summary'!$Y$6:$AC$83, 5,FALSE),"")</f>
        <v/>
      </c>
      <c r="W839" s="45" t="str">
        <f>IFERROR(VLOOKUP(B839,'Pre-Summary'!$Y$6:$AD$83,6,FALSE),"")</f>
        <v/>
      </c>
      <c r="X839" t="str">
        <f>IFERROR(VLOOKUP('Pre-Summary'!$DB$6:$DD$63,3,FALSE),"")</f>
        <v/>
      </c>
      <c r="Y839" t="str">
        <f>IFERROR(VLOOKUP(B839,'Pre-Summary'!$CR$6:$CT$36,3,FALSE),"")</f>
        <v/>
      </c>
      <c r="Z839" s="45" t="str">
        <f>IFERROR(VLOOKUP(B839,'Pre-Summary'!$BZ$6:$CB$63,2,FALSE),"")</f>
        <v/>
      </c>
      <c r="AA839" s="45" t="str">
        <f>IFERROR(VLOOKUP(B839,'Pre-Summary'!$CG$6:$CI$70,2,FALSE),"")</f>
        <v/>
      </c>
      <c r="AB839" s="99">
        <f>IFERROR(VLOOKUP(B839,'Pre-Summary'!$A$6:$P$178,9,FALSE),AB840)</f>
        <v>0.74933844856675635</v>
      </c>
      <c r="AC839" s="10">
        <f>IFERROR(VLOOKUP(Summary!B839,'Pre-Summary'!$A$6:$P$184,5, FALSE)/100,AC840)</f>
        <v>0.79696000000000011</v>
      </c>
      <c r="AD839" s="10">
        <f>IFERROR(VLOOKUP(Summary!B839,'Pre-Summary'!$A$6:$P$184,3, FALSE)/100,AD840)</f>
        <v>1.5776333333333337E-2</v>
      </c>
      <c r="AE839" s="10">
        <f>IFERROR(VLOOKUP(Summary!B839,'Pre-Summary'!$A$6:$P$184,7, FALSE)/100,AE840)</f>
        <v>0.18726333333333334</v>
      </c>
      <c r="AF839" s="99">
        <f t="shared" si="40"/>
        <v>1.1821813144072007E-2</v>
      </c>
      <c r="AG839" s="99">
        <f t="shared" si="41"/>
        <v>0.14032361567343934</v>
      </c>
      <c r="AH839" s="10" t="str">
        <f>IFERROR(VLOOKUP(B839,'Pre-Summary'!$AZ$6:$BE$65,3,FALSE),"")</f>
        <v/>
      </c>
      <c r="AI839" s="10" t="str">
        <f>IFERROR(VLOOKUP(B839,'Pre-Summary'!$AZ$6:$BE$65,5,FALSE),"")</f>
        <v/>
      </c>
      <c r="AJ839" s="10" t="str">
        <f>IFERROR(VLOOKUP(B839,'Pre-Summary'!$AZ$6:$BE$65,4,FALSE),"")</f>
        <v/>
      </c>
      <c r="AK839" s="10" t="str">
        <f>IFERROR(VLOOKUP(B839,'Pre-Summary'!$AZ$6:$BE$65,6,FALSE),"")</f>
        <v/>
      </c>
      <c r="AL839" s="10" t="str">
        <f>IFERROR(VLOOKUP(B839,'Pre-Summary'!$BG$6:$BL$44,3,FALSE),"")</f>
        <v/>
      </c>
      <c r="AM839" s="10" t="str">
        <f>IFERROR(VLOOKUP(B839,'Pre-Summary'!$BG$6:$BL$44,4,FALSE),"")</f>
        <v/>
      </c>
    </row>
    <row r="840" spans="2:39" ht="15" customHeight="1" x14ac:dyDescent="0.3">
      <c r="B840">
        <v>83.7</v>
      </c>
      <c r="C840" t="str">
        <f>IFERROR(VLOOKUP(B840,'Pre-Summary'!$DI$6:$DM$23,4,FALSE),"")</f>
        <v/>
      </c>
      <c r="D840" s="10" t="str">
        <f>IFERROR(VLOOKUP(B840,'Pre-Summary'!$AT$6:$AX$14,5,FALSE),D839)</f>
        <v>DSMZ v2: Dropped Na-Ac out of DSMZ 120 media</v>
      </c>
      <c r="E840" s="10" t="str">
        <f>IFERROR(VLOOKUP(B840,'Pre-Summary'!$AT$6:$AX$15,4,FALSE),"")</f>
        <v/>
      </c>
      <c r="F840">
        <f>IFERROR(VLOOKUP(B840,'Pre-Summary'!$AL$6:$AQ$13,6,FALSE),F839)</f>
        <v>5.9405263157894746E-2</v>
      </c>
      <c r="G840" t="str">
        <f>IFERROR(VLOOKUP(B840,'Pre-Summary'!$AE$6:$AJ$85,3,FALSE),"")</f>
        <v/>
      </c>
      <c r="H840" t="str">
        <f>IFERROR(VLOOKUP(B840,'Pre-Summary'!$AE$6:$AJ$85,4,FALSE),"")</f>
        <v/>
      </c>
      <c r="I840" t="str">
        <f>IFERROR(VLOOKUP(B840,'Pre-Summary'!$AE$6:$AJ$85,5,FALSE),"")</f>
        <v/>
      </c>
      <c r="J840" s="45" t="str">
        <f>IFERROR(VLOOKUP(B840,'Pre-Summary'!$AE$6:$AJ$85,6, FALSE),"")</f>
        <v/>
      </c>
      <c r="K840" s="45" t="str">
        <f>IFERROR(VLOOKUP(B840,'Pre-Summary'!$DE$6:$DG$61,3,FALSE),"")</f>
        <v/>
      </c>
      <c r="L840" s="45" t="str">
        <f>IFERROR(VLOOKUP(B840,'Pre-Summary'!$CU$6:$CW$36,3,FALSE),"")</f>
        <v/>
      </c>
      <c r="M840" s="45" t="str">
        <f>IFERROR(VLOOKUP(B840,'Pre-Summary'!$BW$6:$BY$58,2,FALSE),"")</f>
        <v/>
      </c>
      <c r="N840" s="45" t="str">
        <f>IFERROR(VLOOKUP(B840,'Pre-Summary'!$CD$6:$CF$64,2,FALSE),"")</f>
        <v/>
      </c>
      <c r="O840" s="99">
        <f>IFERROR(VLOOKUP(B840,'Pre-Summary'!$BO$6:$BQ$48,3, FALSE),O839)</f>
        <v>1.2</v>
      </c>
      <c r="P840" s="99">
        <f>IFERROR(VLOOKUP(B840,'Pre-Summary'!$BS$6:$BU$35,3,FALSE),P839)</f>
        <v>0.3</v>
      </c>
      <c r="Q840" s="54">
        <f t="shared" si="39"/>
        <v>4</v>
      </c>
      <c r="R840" s="53">
        <f>IFERROR(VLOOKUP(B840,'Pre-Summary'!$BG$6:$BM$44,7,FALSE),R841)</f>
        <v>6.4813973442575987E-2</v>
      </c>
      <c r="S840" s="53">
        <f>IFERROR(VLOOKUP(B840,'Pre-Summary'!$BG$6:$BM$44,6,FALSE),S841)</f>
        <v>9.4647776465945271E-2</v>
      </c>
      <c r="T840" s="45" t="str">
        <f>IFERROR(VLOOKUP(B840,'Pre-Summary'!$Y$6:$AC$83, 3,FALSE),"")</f>
        <v/>
      </c>
      <c r="U840" s="45" t="str">
        <f>IFERROR(VLOOKUP(B840,'Pre-Summary'!$Y$6:$AC$83, 4,FALSE),"")</f>
        <v/>
      </c>
      <c r="V840" t="str">
        <f>IFERROR(VLOOKUP(B840,'Pre-Summary'!$Y$6:$AC$83, 5,FALSE),"")</f>
        <v/>
      </c>
      <c r="W840" s="45" t="str">
        <f>IFERROR(VLOOKUP(B840,'Pre-Summary'!$Y$6:$AD$83,6,FALSE),"")</f>
        <v/>
      </c>
      <c r="X840" t="str">
        <f>IFERROR(VLOOKUP('Pre-Summary'!$DB$6:$DD$63,3,FALSE),"")</f>
        <v/>
      </c>
      <c r="Y840" t="str">
        <f>IFERROR(VLOOKUP(B840,'Pre-Summary'!$CR$6:$CT$36,3,FALSE),"")</f>
        <v/>
      </c>
      <c r="Z840" s="45" t="str">
        <f>IFERROR(VLOOKUP(B840,'Pre-Summary'!$BZ$6:$CB$63,2,FALSE),"")</f>
        <v/>
      </c>
      <c r="AA840" s="45" t="str">
        <f>IFERROR(VLOOKUP(B840,'Pre-Summary'!$CG$6:$CI$70,2,FALSE),"")</f>
        <v/>
      </c>
      <c r="AB840" s="99">
        <f>IFERROR(VLOOKUP(B840,'Pre-Summary'!$A$6:$P$178,9,FALSE),AB841)</f>
        <v>0.74933844856675635</v>
      </c>
      <c r="AC840" s="10">
        <f>IFERROR(VLOOKUP(Summary!B840,'Pre-Summary'!$A$6:$P$184,5, FALSE)/100,AC841)</f>
        <v>0.79696000000000011</v>
      </c>
      <c r="AD840" s="10">
        <f>IFERROR(VLOOKUP(Summary!B840,'Pre-Summary'!$A$6:$P$184,3, FALSE)/100,AD841)</f>
        <v>1.5776333333333337E-2</v>
      </c>
      <c r="AE840" s="10">
        <f>IFERROR(VLOOKUP(Summary!B840,'Pre-Summary'!$A$6:$P$184,7, FALSE)/100,AE841)</f>
        <v>0.18726333333333334</v>
      </c>
      <c r="AF840" s="99">
        <f t="shared" si="40"/>
        <v>1.1821813144072007E-2</v>
      </c>
      <c r="AG840" s="99">
        <f t="shared" si="41"/>
        <v>0.14032361567343934</v>
      </c>
      <c r="AH840" s="10" t="str">
        <f>IFERROR(VLOOKUP(B840,'Pre-Summary'!$AZ$6:$BE$65,3,FALSE),"")</f>
        <v/>
      </c>
      <c r="AI840" s="10" t="str">
        <f>IFERROR(VLOOKUP(B840,'Pre-Summary'!$AZ$6:$BE$65,5,FALSE),"")</f>
        <v/>
      </c>
      <c r="AJ840" s="10" t="str">
        <f>IFERROR(VLOOKUP(B840,'Pre-Summary'!$AZ$6:$BE$65,4,FALSE),"")</f>
        <v/>
      </c>
      <c r="AK840" s="10" t="str">
        <f>IFERROR(VLOOKUP(B840,'Pre-Summary'!$AZ$6:$BE$65,6,FALSE),"")</f>
        <v/>
      </c>
      <c r="AL840" s="10" t="str">
        <f>IFERROR(VLOOKUP(B840,'Pre-Summary'!$BG$6:$BL$44,3,FALSE),"")</f>
        <v/>
      </c>
      <c r="AM840" s="10" t="str">
        <f>IFERROR(VLOOKUP(B840,'Pre-Summary'!$BG$6:$BL$44,4,FALSE),"")</f>
        <v/>
      </c>
    </row>
    <row r="841" spans="2:39" ht="15" customHeight="1" x14ac:dyDescent="0.3">
      <c r="B841">
        <v>83.8</v>
      </c>
      <c r="C841" t="str">
        <f>IFERROR(VLOOKUP(B841,'Pre-Summary'!$DI$6:$DM$23,4,FALSE),"")</f>
        <v/>
      </c>
      <c r="D841" s="10" t="str">
        <f>IFERROR(VLOOKUP(B841,'Pre-Summary'!$AT$6:$AX$14,5,FALSE),D840)</f>
        <v>DSMZ v2: Dropped Na-Ac out of DSMZ 120 media</v>
      </c>
      <c r="E841" s="10" t="str">
        <f>IFERROR(VLOOKUP(B841,'Pre-Summary'!$AT$6:$AX$15,4,FALSE),"")</f>
        <v/>
      </c>
      <c r="F841">
        <f>IFERROR(VLOOKUP(B841,'Pre-Summary'!$AL$6:$AQ$13,6,FALSE),F840)</f>
        <v>5.9405263157894746E-2</v>
      </c>
      <c r="G841" t="str">
        <f>IFERROR(VLOOKUP(B841,'Pre-Summary'!$AE$6:$AJ$85,3,FALSE),"")</f>
        <v/>
      </c>
      <c r="H841" t="str">
        <f>IFERROR(VLOOKUP(B841,'Pre-Summary'!$AE$6:$AJ$85,4,FALSE),"")</f>
        <v/>
      </c>
      <c r="I841" t="str">
        <f>IFERROR(VLOOKUP(B841,'Pre-Summary'!$AE$6:$AJ$85,5,FALSE),"")</f>
        <v/>
      </c>
      <c r="J841" s="45" t="str">
        <f>IFERROR(VLOOKUP(B841,'Pre-Summary'!$AE$6:$AJ$85,6, FALSE),"")</f>
        <v/>
      </c>
      <c r="K841" s="45" t="str">
        <f>IFERROR(VLOOKUP(B841,'Pre-Summary'!$DE$6:$DG$61,3,FALSE),"")</f>
        <v/>
      </c>
      <c r="L841" s="45" t="str">
        <f>IFERROR(VLOOKUP(B841,'Pre-Summary'!$CU$6:$CW$36,3,FALSE),"")</f>
        <v/>
      </c>
      <c r="M841" s="45" t="str">
        <f>IFERROR(VLOOKUP(B841,'Pre-Summary'!$BW$6:$BY$58,2,FALSE),"")</f>
        <v/>
      </c>
      <c r="N841" s="45" t="str">
        <f>IFERROR(VLOOKUP(B841,'Pre-Summary'!$CD$6:$CF$64,2,FALSE),"")</f>
        <v/>
      </c>
      <c r="O841" s="99">
        <f>IFERROR(VLOOKUP(B841,'Pre-Summary'!$BO$6:$BQ$48,3, FALSE),O840)</f>
        <v>1.2</v>
      </c>
      <c r="P841" s="99">
        <f>IFERROR(VLOOKUP(B841,'Pre-Summary'!$BS$6:$BU$35,3,FALSE),P840)</f>
        <v>0.3</v>
      </c>
      <c r="Q841" s="54">
        <f t="shared" si="39"/>
        <v>4</v>
      </c>
      <c r="R841" s="53">
        <f>IFERROR(VLOOKUP(B841,'Pre-Summary'!$BG$6:$BM$44,7,FALSE),R842)</f>
        <v>6.4813973442575987E-2</v>
      </c>
      <c r="S841" s="53">
        <f>IFERROR(VLOOKUP(B841,'Pre-Summary'!$BG$6:$BM$44,6,FALSE),S842)</f>
        <v>9.4647776465945271E-2</v>
      </c>
      <c r="T841" s="45" t="str">
        <f>IFERROR(VLOOKUP(B841,'Pre-Summary'!$Y$6:$AC$83, 3,FALSE),"")</f>
        <v/>
      </c>
      <c r="U841" s="45" t="str">
        <f>IFERROR(VLOOKUP(B841,'Pre-Summary'!$Y$6:$AC$83, 4,FALSE),"")</f>
        <v/>
      </c>
      <c r="V841" t="str">
        <f>IFERROR(VLOOKUP(B841,'Pre-Summary'!$Y$6:$AC$83, 5,FALSE),"")</f>
        <v/>
      </c>
      <c r="W841" s="45" t="str">
        <f>IFERROR(VLOOKUP(B841,'Pre-Summary'!$Y$6:$AD$83,6,FALSE),"")</f>
        <v/>
      </c>
      <c r="X841" t="str">
        <f>IFERROR(VLOOKUP('Pre-Summary'!$DB$6:$DD$63,3,FALSE),"")</f>
        <v/>
      </c>
      <c r="Y841" t="str">
        <f>IFERROR(VLOOKUP(B841,'Pre-Summary'!$CR$6:$CT$36,3,FALSE),"")</f>
        <v/>
      </c>
      <c r="Z841" s="45" t="str">
        <f>IFERROR(VLOOKUP(B841,'Pre-Summary'!$BZ$6:$CB$63,2,FALSE),"")</f>
        <v/>
      </c>
      <c r="AA841" s="45" t="str">
        <f>IFERROR(VLOOKUP(B841,'Pre-Summary'!$CG$6:$CI$70,2,FALSE),"")</f>
        <v/>
      </c>
      <c r="AB841" s="99">
        <f>IFERROR(VLOOKUP(B841,'Pre-Summary'!$A$6:$P$178,9,FALSE),AB842)</f>
        <v>0.74933844856675635</v>
      </c>
      <c r="AC841" s="10">
        <f>IFERROR(VLOOKUP(Summary!B841,'Pre-Summary'!$A$6:$P$184,5, FALSE)/100,AC842)</f>
        <v>0.79696000000000011</v>
      </c>
      <c r="AD841" s="10">
        <f>IFERROR(VLOOKUP(Summary!B841,'Pre-Summary'!$A$6:$P$184,3, FALSE)/100,AD842)</f>
        <v>1.5776333333333337E-2</v>
      </c>
      <c r="AE841" s="10">
        <f>IFERROR(VLOOKUP(Summary!B841,'Pre-Summary'!$A$6:$P$184,7, FALSE)/100,AE842)</f>
        <v>0.18726333333333334</v>
      </c>
      <c r="AF841" s="99">
        <f t="shared" si="40"/>
        <v>1.1821813144072007E-2</v>
      </c>
      <c r="AG841" s="99">
        <f t="shared" si="41"/>
        <v>0.14032361567343934</v>
      </c>
      <c r="AH841" s="10" t="str">
        <f>IFERROR(VLOOKUP(B841,'Pre-Summary'!$AZ$6:$BE$65,3,FALSE),"")</f>
        <v/>
      </c>
      <c r="AI841" s="10" t="str">
        <f>IFERROR(VLOOKUP(B841,'Pre-Summary'!$AZ$6:$BE$65,5,FALSE),"")</f>
        <v/>
      </c>
      <c r="AJ841" s="10" t="str">
        <f>IFERROR(VLOOKUP(B841,'Pre-Summary'!$AZ$6:$BE$65,4,FALSE),"")</f>
        <v/>
      </c>
      <c r="AK841" s="10" t="str">
        <f>IFERROR(VLOOKUP(B841,'Pre-Summary'!$AZ$6:$BE$65,6,FALSE),"")</f>
        <v/>
      </c>
      <c r="AL841" s="10" t="str">
        <f>IFERROR(VLOOKUP(B841,'Pre-Summary'!$BG$6:$BL$44,3,FALSE),"")</f>
        <v/>
      </c>
      <c r="AM841" s="10" t="str">
        <f>IFERROR(VLOOKUP(B841,'Pre-Summary'!$BG$6:$BL$44,4,FALSE),"")</f>
        <v/>
      </c>
    </row>
    <row r="842" spans="2:39" ht="15" customHeight="1" x14ac:dyDescent="0.3">
      <c r="B842">
        <v>83.9</v>
      </c>
      <c r="C842" t="str">
        <f>IFERROR(VLOOKUP(B842,'Pre-Summary'!$DI$6:$DM$23,4,FALSE),"")</f>
        <v/>
      </c>
      <c r="D842" s="10" t="str">
        <f>IFERROR(VLOOKUP(B842,'Pre-Summary'!$AT$6:$AX$14,5,FALSE),D841)</f>
        <v>DSMZ v2: Dropped Na-Ac out of DSMZ 120 media</v>
      </c>
      <c r="E842" s="10" t="str">
        <f>IFERROR(VLOOKUP(B842,'Pre-Summary'!$AT$6:$AX$15,4,FALSE),"")</f>
        <v/>
      </c>
      <c r="F842">
        <f>IFERROR(VLOOKUP(B842,'Pre-Summary'!$AL$6:$AQ$13,6,FALSE),F841)</f>
        <v>5.9405263157894746E-2</v>
      </c>
      <c r="G842" t="str">
        <f>IFERROR(VLOOKUP(B842,'Pre-Summary'!$AE$6:$AJ$85,3,FALSE),"")</f>
        <v/>
      </c>
      <c r="H842" t="str">
        <f>IFERROR(VLOOKUP(B842,'Pre-Summary'!$AE$6:$AJ$85,4,FALSE),"")</f>
        <v/>
      </c>
      <c r="I842" t="str">
        <f>IFERROR(VLOOKUP(B842,'Pre-Summary'!$AE$6:$AJ$85,5,FALSE),"")</f>
        <v/>
      </c>
      <c r="J842" s="45" t="str">
        <f>IFERROR(VLOOKUP(B842,'Pre-Summary'!$AE$6:$AJ$85,6, FALSE),"")</f>
        <v/>
      </c>
      <c r="K842" s="45" t="str">
        <f>IFERROR(VLOOKUP(B842,'Pre-Summary'!$DE$6:$DG$61,3,FALSE),"")</f>
        <v/>
      </c>
      <c r="L842" s="45" t="str">
        <f>IFERROR(VLOOKUP(B842,'Pre-Summary'!$CU$6:$CW$36,3,FALSE),"")</f>
        <v/>
      </c>
      <c r="M842" s="45" t="str">
        <f>IFERROR(VLOOKUP(B842,'Pre-Summary'!$BW$6:$BY$58,2,FALSE),"")</f>
        <v/>
      </c>
      <c r="N842" s="45" t="str">
        <f>IFERROR(VLOOKUP(B842,'Pre-Summary'!$CD$6:$CF$64,2,FALSE),"")</f>
        <v/>
      </c>
      <c r="O842" s="99">
        <f>IFERROR(VLOOKUP(B842,'Pre-Summary'!$BO$6:$BQ$48,3, FALSE),O841)</f>
        <v>1.2</v>
      </c>
      <c r="P842" s="99">
        <f>IFERROR(VLOOKUP(B842,'Pre-Summary'!$BS$6:$BU$35,3,FALSE),P841)</f>
        <v>0.3</v>
      </c>
      <c r="Q842" s="54">
        <f t="shared" si="39"/>
        <v>4</v>
      </c>
      <c r="R842" s="53">
        <f>IFERROR(VLOOKUP(B842,'Pre-Summary'!$BG$6:$BM$44,7,FALSE),R843)</f>
        <v>6.4813973442575987E-2</v>
      </c>
      <c r="S842" s="53">
        <f>IFERROR(VLOOKUP(B842,'Pre-Summary'!$BG$6:$BM$44,6,FALSE),S843)</f>
        <v>9.4647776465945271E-2</v>
      </c>
      <c r="T842" s="45" t="str">
        <f>IFERROR(VLOOKUP(B842,'Pre-Summary'!$Y$6:$AC$83, 3,FALSE),"")</f>
        <v/>
      </c>
      <c r="U842" s="45" t="str">
        <f>IFERROR(VLOOKUP(B842,'Pre-Summary'!$Y$6:$AC$83, 4,FALSE),"")</f>
        <v/>
      </c>
      <c r="V842" t="str">
        <f>IFERROR(VLOOKUP(B842,'Pre-Summary'!$Y$6:$AC$83, 5,FALSE),"")</f>
        <v/>
      </c>
      <c r="W842" s="45" t="str">
        <f>IFERROR(VLOOKUP(B842,'Pre-Summary'!$Y$6:$AD$83,6,FALSE),"")</f>
        <v/>
      </c>
      <c r="X842" t="str">
        <f>IFERROR(VLOOKUP('Pre-Summary'!$DB$6:$DD$63,3,FALSE),"")</f>
        <v/>
      </c>
      <c r="Y842" t="str">
        <f>IFERROR(VLOOKUP(B842,'Pre-Summary'!$CR$6:$CT$36,3,FALSE),"")</f>
        <v/>
      </c>
      <c r="Z842" s="45" t="str">
        <f>IFERROR(VLOOKUP(B842,'Pre-Summary'!$BZ$6:$CB$63,2,FALSE),"")</f>
        <v/>
      </c>
      <c r="AA842" s="45" t="str">
        <f>IFERROR(VLOOKUP(B842,'Pre-Summary'!$CG$6:$CI$70,2,FALSE),"")</f>
        <v/>
      </c>
      <c r="AB842" s="99">
        <f>IFERROR(VLOOKUP(B842,'Pre-Summary'!$A$6:$P$178,9,FALSE),AB843)</f>
        <v>0.74933844856675635</v>
      </c>
      <c r="AC842" s="10">
        <f>IFERROR(VLOOKUP(Summary!B842,'Pre-Summary'!$A$6:$P$184,5, FALSE)/100,AC843)</f>
        <v>0.79696000000000011</v>
      </c>
      <c r="AD842" s="10">
        <f>IFERROR(VLOOKUP(Summary!B842,'Pre-Summary'!$A$6:$P$184,3, FALSE)/100,AD843)</f>
        <v>1.5776333333333337E-2</v>
      </c>
      <c r="AE842" s="10">
        <f>IFERROR(VLOOKUP(Summary!B842,'Pre-Summary'!$A$6:$P$184,7, FALSE)/100,AE843)</f>
        <v>0.18726333333333334</v>
      </c>
      <c r="AF842" s="99">
        <f t="shared" si="40"/>
        <v>1.1821813144072007E-2</v>
      </c>
      <c r="AG842" s="99">
        <f t="shared" si="41"/>
        <v>0.14032361567343934</v>
      </c>
      <c r="AH842" s="10" t="str">
        <f>IFERROR(VLOOKUP(B842,'Pre-Summary'!$AZ$6:$BE$65,3,FALSE),"")</f>
        <v/>
      </c>
      <c r="AI842" s="10" t="str">
        <f>IFERROR(VLOOKUP(B842,'Pre-Summary'!$AZ$6:$BE$65,5,FALSE),"")</f>
        <v/>
      </c>
      <c r="AJ842" s="10" t="str">
        <f>IFERROR(VLOOKUP(B842,'Pre-Summary'!$AZ$6:$BE$65,4,FALSE),"")</f>
        <v/>
      </c>
      <c r="AK842" s="10" t="str">
        <f>IFERROR(VLOOKUP(B842,'Pre-Summary'!$AZ$6:$BE$65,6,FALSE),"")</f>
        <v/>
      </c>
      <c r="AL842" s="10" t="str">
        <f>IFERROR(VLOOKUP(B842,'Pre-Summary'!$BG$6:$BL$44,3,FALSE),"")</f>
        <v/>
      </c>
      <c r="AM842" s="10" t="str">
        <f>IFERROR(VLOOKUP(B842,'Pre-Summary'!$BG$6:$BL$44,4,FALSE),"")</f>
        <v/>
      </c>
    </row>
    <row r="843" spans="2:39" ht="15" customHeight="1" x14ac:dyDescent="0.3">
      <c r="B843">
        <v>84</v>
      </c>
      <c r="C843" t="str">
        <f>IFERROR(VLOOKUP(B843,'Pre-Summary'!$DI$6:$DM$23,4,FALSE),"")</f>
        <v/>
      </c>
      <c r="D843" s="10" t="str">
        <f>IFERROR(VLOOKUP(B843,'Pre-Summary'!$AT$6:$AX$14,5,FALSE),D842)</f>
        <v>DSMZ v2: Dropped Na-Ac out of DSMZ 120 media</v>
      </c>
      <c r="E843" s="10" t="str">
        <f>IFERROR(VLOOKUP(B843,'Pre-Summary'!$AT$6:$AX$15,4,FALSE),"")</f>
        <v/>
      </c>
      <c r="F843">
        <f>IFERROR(VLOOKUP(B843,'Pre-Summary'!$AL$6:$AQ$13,6,FALSE),F842)</f>
        <v>5.9405263157894746E-2</v>
      </c>
      <c r="G843" t="str">
        <f>IFERROR(VLOOKUP(B843,'Pre-Summary'!$AE$6:$AJ$85,3,FALSE),"")</f>
        <v/>
      </c>
      <c r="H843" t="str">
        <f>IFERROR(VLOOKUP(B843,'Pre-Summary'!$AE$6:$AJ$85,4,FALSE),"")</f>
        <v/>
      </c>
      <c r="I843" t="str">
        <f>IFERROR(VLOOKUP(B843,'Pre-Summary'!$AE$6:$AJ$85,5,FALSE),"")</f>
        <v/>
      </c>
      <c r="J843" s="45" t="str">
        <f>IFERROR(VLOOKUP(B843,'Pre-Summary'!$AE$6:$AJ$85,6, FALSE),"")</f>
        <v/>
      </c>
      <c r="K843" s="45" t="str">
        <f>IFERROR(VLOOKUP(B843,'Pre-Summary'!$DE$6:$DG$61,3,FALSE),"")</f>
        <v/>
      </c>
      <c r="L843" s="45" t="str">
        <f>IFERROR(VLOOKUP(B843,'Pre-Summary'!$CU$6:$CW$36,3,FALSE),"")</f>
        <v/>
      </c>
      <c r="M843" s="45" t="str">
        <f>IFERROR(VLOOKUP(B843,'Pre-Summary'!$BW$6:$BY$58,2,FALSE),"")</f>
        <v/>
      </c>
      <c r="N843" s="45" t="str">
        <f>IFERROR(VLOOKUP(B843,'Pre-Summary'!$CD$6:$CF$64,2,FALSE),"")</f>
        <v/>
      </c>
      <c r="O843" s="99">
        <f>IFERROR(VLOOKUP(B843,'Pre-Summary'!$BO$6:$BQ$48,3, FALSE),O842)</f>
        <v>1.2</v>
      </c>
      <c r="P843" s="99">
        <f>IFERROR(VLOOKUP(B843,'Pre-Summary'!$BS$6:$BU$35,3,FALSE),P842)</f>
        <v>0.3</v>
      </c>
      <c r="Q843" s="54">
        <f t="shared" si="39"/>
        <v>4</v>
      </c>
      <c r="R843" s="53">
        <f>IFERROR(VLOOKUP(B843,'Pre-Summary'!$BG$6:$BM$44,7,FALSE),R844)</f>
        <v>6.4813973442575987E-2</v>
      </c>
      <c r="S843" s="53">
        <f>IFERROR(VLOOKUP(B843,'Pre-Summary'!$BG$6:$BM$44,6,FALSE),S844)</f>
        <v>9.4647776465945271E-2</v>
      </c>
      <c r="T843" s="45" t="str">
        <f>IFERROR(VLOOKUP(B843,'Pre-Summary'!$Y$6:$AC$83, 3,FALSE),"")</f>
        <v/>
      </c>
      <c r="U843" s="45" t="str">
        <f>IFERROR(VLOOKUP(B843,'Pre-Summary'!$Y$6:$AC$83, 4,FALSE),"")</f>
        <v/>
      </c>
      <c r="V843" t="str">
        <f>IFERROR(VLOOKUP(B843,'Pre-Summary'!$Y$6:$AC$83, 5,FALSE),"")</f>
        <v/>
      </c>
      <c r="W843" s="45" t="str">
        <f>IFERROR(VLOOKUP(B843,'Pre-Summary'!$Y$6:$AD$83,6,FALSE),"")</f>
        <v/>
      </c>
      <c r="X843" t="str">
        <f>IFERROR(VLOOKUP('Pre-Summary'!$DB$6:$DD$63,3,FALSE),"")</f>
        <v/>
      </c>
      <c r="Y843" t="str">
        <f>IFERROR(VLOOKUP(B843,'Pre-Summary'!$CR$6:$CT$36,3,FALSE),"")</f>
        <v/>
      </c>
      <c r="Z843" s="45" t="str">
        <f>IFERROR(VLOOKUP(B843,'Pre-Summary'!$BZ$6:$CB$63,2,FALSE),"")</f>
        <v/>
      </c>
      <c r="AA843" s="45" t="str">
        <f>IFERROR(VLOOKUP(B843,'Pre-Summary'!$CG$6:$CI$70,2,FALSE),"")</f>
        <v/>
      </c>
      <c r="AB843" s="99">
        <f>IFERROR(VLOOKUP(B843,'Pre-Summary'!$A$6:$P$178,9,FALSE),AB844)</f>
        <v>0.74933844856675635</v>
      </c>
      <c r="AC843" s="10">
        <f>IFERROR(VLOOKUP(Summary!B843,'Pre-Summary'!$A$6:$P$184,5, FALSE)/100,AC844)</f>
        <v>0.79696000000000011</v>
      </c>
      <c r="AD843" s="10">
        <f>IFERROR(VLOOKUP(Summary!B843,'Pre-Summary'!$A$6:$P$184,3, FALSE)/100,AD844)</f>
        <v>1.5776333333333337E-2</v>
      </c>
      <c r="AE843" s="10">
        <f>IFERROR(VLOOKUP(Summary!B843,'Pre-Summary'!$A$6:$P$184,7, FALSE)/100,AE844)</f>
        <v>0.18726333333333334</v>
      </c>
      <c r="AF843" s="99">
        <f t="shared" si="40"/>
        <v>1.1821813144072007E-2</v>
      </c>
      <c r="AG843" s="99">
        <f t="shared" si="41"/>
        <v>0.14032361567343934</v>
      </c>
      <c r="AH843" s="10" t="str">
        <f>IFERROR(VLOOKUP(B843,'Pre-Summary'!$AZ$6:$BE$65,3,FALSE),"")</f>
        <v/>
      </c>
      <c r="AI843" s="10" t="str">
        <f>IFERROR(VLOOKUP(B843,'Pre-Summary'!$AZ$6:$BE$65,5,FALSE),"")</f>
        <v/>
      </c>
      <c r="AJ843" s="10" t="str">
        <f>IFERROR(VLOOKUP(B843,'Pre-Summary'!$AZ$6:$BE$65,4,FALSE),"")</f>
        <v/>
      </c>
      <c r="AK843" s="10" t="str">
        <f>IFERROR(VLOOKUP(B843,'Pre-Summary'!$AZ$6:$BE$65,6,FALSE),"")</f>
        <v/>
      </c>
      <c r="AL843" s="10" t="str">
        <f>IFERROR(VLOOKUP(B843,'Pre-Summary'!$BG$6:$BL$44,3,FALSE),"")</f>
        <v/>
      </c>
      <c r="AM843" s="10" t="str">
        <f>IFERROR(VLOOKUP(B843,'Pre-Summary'!$BG$6:$BL$44,4,FALSE),"")</f>
        <v/>
      </c>
    </row>
    <row r="844" spans="2:39" ht="15" customHeight="1" x14ac:dyDescent="0.3">
      <c r="B844">
        <v>84.1</v>
      </c>
      <c r="C844" t="str">
        <f>IFERROR(VLOOKUP(B844,'Pre-Summary'!$DI$6:$DM$23,4,FALSE),"")</f>
        <v/>
      </c>
      <c r="D844" s="10" t="str">
        <f>IFERROR(VLOOKUP(B844,'Pre-Summary'!$AT$6:$AX$14,5,FALSE),D843)</f>
        <v>DSMZ v2: Dropped Na-Ac out of DSMZ 120 media</v>
      </c>
      <c r="E844" s="10" t="str">
        <f>IFERROR(VLOOKUP(B844,'Pre-Summary'!$AT$6:$AX$15,4,FALSE),"")</f>
        <v/>
      </c>
      <c r="F844">
        <f>IFERROR(VLOOKUP(B844,'Pre-Summary'!$AL$6:$AQ$13,6,FALSE),F843)</f>
        <v>5.9405263157894746E-2</v>
      </c>
      <c r="G844" t="str">
        <f>IFERROR(VLOOKUP(B844,'Pre-Summary'!$AE$6:$AJ$85,3,FALSE),"")</f>
        <v/>
      </c>
      <c r="H844" t="str">
        <f>IFERROR(VLOOKUP(B844,'Pre-Summary'!$AE$6:$AJ$85,4,FALSE),"")</f>
        <v/>
      </c>
      <c r="I844" t="str">
        <f>IFERROR(VLOOKUP(B844,'Pre-Summary'!$AE$6:$AJ$85,5,FALSE),"")</f>
        <v/>
      </c>
      <c r="J844" s="45" t="str">
        <f>IFERROR(VLOOKUP(B844,'Pre-Summary'!$AE$6:$AJ$85,6, FALSE),"")</f>
        <v/>
      </c>
      <c r="K844" s="45" t="str">
        <f>IFERROR(VLOOKUP(B844,'Pre-Summary'!$DE$6:$DG$61,3,FALSE),"")</f>
        <v/>
      </c>
      <c r="L844" s="45" t="str">
        <f>IFERROR(VLOOKUP(B844,'Pre-Summary'!$CU$6:$CW$36,3,FALSE),"")</f>
        <v/>
      </c>
      <c r="M844" s="45" t="str">
        <f>IFERROR(VLOOKUP(B844,'Pre-Summary'!$BW$6:$BY$58,2,FALSE),"")</f>
        <v/>
      </c>
      <c r="N844" s="45" t="str">
        <f>IFERROR(VLOOKUP(B844,'Pre-Summary'!$CD$6:$CF$64,2,FALSE),"")</f>
        <v/>
      </c>
      <c r="O844" s="99">
        <f>IFERROR(VLOOKUP(B844,'Pre-Summary'!$BO$6:$BQ$48,3, FALSE),O843)</f>
        <v>1.2</v>
      </c>
      <c r="P844" s="99">
        <f>IFERROR(VLOOKUP(B844,'Pre-Summary'!$BS$6:$BU$35,3,FALSE),P843)</f>
        <v>0.3</v>
      </c>
      <c r="Q844" s="54">
        <f t="shared" si="39"/>
        <v>4</v>
      </c>
      <c r="R844" s="53">
        <f>IFERROR(VLOOKUP(B844,'Pre-Summary'!$BG$6:$BM$44,7,FALSE),R845)</f>
        <v>6.4813973442575987E-2</v>
      </c>
      <c r="S844" s="53">
        <f>IFERROR(VLOOKUP(B844,'Pre-Summary'!$BG$6:$BM$44,6,FALSE),S845)</f>
        <v>9.4647776465945271E-2</v>
      </c>
      <c r="T844" s="45" t="str">
        <f>IFERROR(VLOOKUP(B844,'Pre-Summary'!$Y$6:$AC$83, 3,FALSE),"")</f>
        <v/>
      </c>
      <c r="U844" s="45" t="str">
        <f>IFERROR(VLOOKUP(B844,'Pre-Summary'!$Y$6:$AC$83, 4,FALSE),"")</f>
        <v/>
      </c>
      <c r="V844" t="str">
        <f>IFERROR(VLOOKUP(B844,'Pre-Summary'!$Y$6:$AC$83, 5,FALSE),"")</f>
        <v/>
      </c>
      <c r="W844" s="45" t="str">
        <f>IFERROR(VLOOKUP(B844,'Pre-Summary'!$Y$6:$AD$83,6,FALSE),"")</f>
        <v/>
      </c>
      <c r="X844" t="str">
        <f>IFERROR(VLOOKUP('Pre-Summary'!$DB$6:$DD$63,3,FALSE),"")</f>
        <v/>
      </c>
      <c r="Y844" t="str">
        <f>IFERROR(VLOOKUP(B844,'Pre-Summary'!$CR$6:$CT$36,3,FALSE),"")</f>
        <v/>
      </c>
      <c r="Z844" s="45" t="str">
        <f>IFERROR(VLOOKUP(B844,'Pre-Summary'!$BZ$6:$CB$63,2,FALSE),"")</f>
        <v/>
      </c>
      <c r="AA844" s="45" t="str">
        <f>IFERROR(VLOOKUP(B844,'Pre-Summary'!$CG$6:$CI$70,2,FALSE),"")</f>
        <v/>
      </c>
      <c r="AB844" s="99">
        <f>IFERROR(VLOOKUP(B844,'Pre-Summary'!$A$6:$P$178,9,FALSE),AB845)</f>
        <v>0.74933844856675635</v>
      </c>
      <c r="AC844" s="10">
        <f>IFERROR(VLOOKUP(Summary!B844,'Pre-Summary'!$A$6:$P$184,5, FALSE)/100,AC845)</f>
        <v>0.79696000000000011</v>
      </c>
      <c r="AD844" s="10">
        <f>IFERROR(VLOOKUP(Summary!B844,'Pre-Summary'!$A$6:$P$184,3, FALSE)/100,AD845)</f>
        <v>1.5776333333333337E-2</v>
      </c>
      <c r="AE844" s="10">
        <f>IFERROR(VLOOKUP(Summary!B844,'Pre-Summary'!$A$6:$P$184,7, FALSE)/100,AE845)</f>
        <v>0.18726333333333334</v>
      </c>
      <c r="AF844" s="99">
        <f t="shared" si="40"/>
        <v>1.1821813144072007E-2</v>
      </c>
      <c r="AG844" s="99">
        <f t="shared" si="41"/>
        <v>0.14032361567343934</v>
      </c>
      <c r="AH844" s="10" t="str">
        <f>IFERROR(VLOOKUP(B844,'Pre-Summary'!$AZ$6:$BE$65,3,FALSE),"")</f>
        <v/>
      </c>
      <c r="AI844" s="10" t="str">
        <f>IFERROR(VLOOKUP(B844,'Pre-Summary'!$AZ$6:$BE$65,5,FALSE),"")</f>
        <v/>
      </c>
      <c r="AJ844" s="10" t="str">
        <f>IFERROR(VLOOKUP(B844,'Pre-Summary'!$AZ$6:$BE$65,4,FALSE),"")</f>
        <v/>
      </c>
      <c r="AK844" s="10" t="str">
        <f>IFERROR(VLOOKUP(B844,'Pre-Summary'!$AZ$6:$BE$65,6,FALSE),"")</f>
        <v/>
      </c>
      <c r="AL844" s="10" t="str">
        <f>IFERROR(VLOOKUP(B844,'Pre-Summary'!$BG$6:$BL$44,3,FALSE),"")</f>
        <v/>
      </c>
      <c r="AM844" s="10" t="str">
        <f>IFERROR(VLOOKUP(B844,'Pre-Summary'!$BG$6:$BL$44,4,FALSE),"")</f>
        <v/>
      </c>
    </row>
    <row r="845" spans="2:39" ht="15" customHeight="1" x14ac:dyDescent="0.3">
      <c r="B845">
        <v>84.2</v>
      </c>
      <c r="C845" t="str">
        <f>IFERROR(VLOOKUP(B845,'Pre-Summary'!$DI$6:$DM$23,4,FALSE),"")</f>
        <v/>
      </c>
      <c r="D845" s="10" t="str">
        <f>IFERROR(VLOOKUP(B845,'Pre-Summary'!$AT$6:$AX$14,5,FALSE),D844)</f>
        <v>DSMZ v2: Dropped Na-Ac out of DSMZ 120 media</v>
      </c>
      <c r="E845" s="10" t="str">
        <f>IFERROR(VLOOKUP(B845,'Pre-Summary'!$AT$6:$AX$15,4,FALSE),"")</f>
        <v/>
      </c>
      <c r="F845">
        <f>IFERROR(VLOOKUP(B845,'Pre-Summary'!$AL$6:$AQ$13,6,FALSE),F844)</f>
        <v>5.9405263157894746E-2</v>
      </c>
      <c r="G845" t="str">
        <f>IFERROR(VLOOKUP(B845,'Pre-Summary'!$AE$6:$AJ$85,3,FALSE),"")</f>
        <v/>
      </c>
      <c r="H845" t="str">
        <f>IFERROR(VLOOKUP(B845,'Pre-Summary'!$AE$6:$AJ$85,4,FALSE),"")</f>
        <v/>
      </c>
      <c r="I845" t="str">
        <f>IFERROR(VLOOKUP(B845,'Pre-Summary'!$AE$6:$AJ$85,5,FALSE),"")</f>
        <v/>
      </c>
      <c r="J845" s="45" t="str">
        <f>IFERROR(VLOOKUP(B845,'Pre-Summary'!$AE$6:$AJ$85,6, FALSE),"")</f>
        <v/>
      </c>
      <c r="K845" s="45" t="str">
        <f>IFERROR(VLOOKUP(B845,'Pre-Summary'!$DE$6:$DG$61,3,FALSE),"")</f>
        <v/>
      </c>
      <c r="L845" s="45" t="str">
        <f>IFERROR(VLOOKUP(B845,'Pre-Summary'!$CU$6:$CW$36,3,FALSE),"")</f>
        <v/>
      </c>
      <c r="M845" s="45" t="str">
        <f>IFERROR(VLOOKUP(B845,'Pre-Summary'!$BW$6:$BY$58,2,FALSE),"")</f>
        <v/>
      </c>
      <c r="N845" s="45" t="str">
        <f>IFERROR(VLOOKUP(B845,'Pre-Summary'!$CD$6:$CF$64,2,FALSE),"")</f>
        <v/>
      </c>
      <c r="O845" s="99">
        <f>IFERROR(VLOOKUP(B845,'Pre-Summary'!$BO$6:$BQ$48,3, FALSE),O844)</f>
        <v>1.2</v>
      </c>
      <c r="P845" s="99">
        <f>IFERROR(VLOOKUP(B845,'Pre-Summary'!$BS$6:$BU$35,3,FALSE),P844)</f>
        <v>0.3</v>
      </c>
      <c r="Q845" s="54">
        <f t="shared" si="39"/>
        <v>4</v>
      </c>
      <c r="R845" s="53">
        <f>IFERROR(VLOOKUP(B845,'Pre-Summary'!$BG$6:$BM$44,7,FALSE),R846)</f>
        <v>6.4813973442575987E-2</v>
      </c>
      <c r="S845" s="53">
        <f>IFERROR(VLOOKUP(B845,'Pre-Summary'!$BG$6:$BM$44,6,FALSE),S846)</f>
        <v>9.4647776465945271E-2</v>
      </c>
      <c r="T845" s="45" t="str">
        <f>IFERROR(VLOOKUP(B845,'Pre-Summary'!$Y$6:$AC$83, 3,FALSE),"")</f>
        <v/>
      </c>
      <c r="U845" s="45" t="str">
        <f>IFERROR(VLOOKUP(B845,'Pre-Summary'!$Y$6:$AC$83, 4,FALSE),"")</f>
        <v/>
      </c>
      <c r="V845" t="str">
        <f>IFERROR(VLOOKUP(B845,'Pre-Summary'!$Y$6:$AC$83, 5,FALSE),"")</f>
        <v/>
      </c>
      <c r="W845" s="45" t="str">
        <f>IFERROR(VLOOKUP(B845,'Pre-Summary'!$Y$6:$AD$83,6,FALSE),"")</f>
        <v/>
      </c>
      <c r="X845" t="str">
        <f>IFERROR(VLOOKUP('Pre-Summary'!$DB$6:$DD$63,3,FALSE),"")</f>
        <v/>
      </c>
      <c r="Y845" t="str">
        <f>IFERROR(VLOOKUP(B845,'Pre-Summary'!$CR$6:$CT$36,3,FALSE),"")</f>
        <v/>
      </c>
      <c r="Z845" s="45" t="str">
        <f>IFERROR(VLOOKUP(B845,'Pre-Summary'!$BZ$6:$CB$63,2,FALSE),"")</f>
        <v/>
      </c>
      <c r="AA845" s="45" t="str">
        <f>IFERROR(VLOOKUP(B845,'Pre-Summary'!$CG$6:$CI$70,2,FALSE),"")</f>
        <v/>
      </c>
      <c r="AB845" s="99">
        <f>IFERROR(VLOOKUP(B845,'Pre-Summary'!$A$6:$P$178,9,FALSE),AB846)</f>
        <v>0.74933844856675635</v>
      </c>
      <c r="AC845" s="10">
        <f>IFERROR(VLOOKUP(Summary!B845,'Pre-Summary'!$A$6:$P$184,5, FALSE)/100,AC846)</f>
        <v>0.79696000000000011</v>
      </c>
      <c r="AD845" s="10">
        <f>IFERROR(VLOOKUP(Summary!B845,'Pre-Summary'!$A$6:$P$184,3, FALSE)/100,AD846)</f>
        <v>1.5776333333333337E-2</v>
      </c>
      <c r="AE845" s="10">
        <f>IFERROR(VLOOKUP(Summary!B845,'Pre-Summary'!$A$6:$P$184,7, FALSE)/100,AE846)</f>
        <v>0.18726333333333334</v>
      </c>
      <c r="AF845" s="99">
        <f t="shared" si="40"/>
        <v>1.1821813144072007E-2</v>
      </c>
      <c r="AG845" s="99">
        <f t="shared" si="41"/>
        <v>0.14032361567343934</v>
      </c>
      <c r="AH845" s="10" t="str">
        <f>IFERROR(VLOOKUP(B845,'Pre-Summary'!$AZ$6:$BE$65,3,FALSE),"")</f>
        <v/>
      </c>
      <c r="AI845" s="10" t="str">
        <f>IFERROR(VLOOKUP(B845,'Pre-Summary'!$AZ$6:$BE$65,5,FALSE),"")</f>
        <v/>
      </c>
      <c r="AJ845" s="10" t="str">
        <f>IFERROR(VLOOKUP(B845,'Pre-Summary'!$AZ$6:$BE$65,4,FALSE),"")</f>
        <v/>
      </c>
      <c r="AK845" s="10" t="str">
        <f>IFERROR(VLOOKUP(B845,'Pre-Summary'!$AZ$6:$BE$65,6,FALSE),"")</f>
        <v/>
      </c>
      <c r="AL845" s="10" t="str">
        <f>IFERROR(VLOOKUP(B845,'Pre-Summary'!$BG$6:$BL$44,3,FALSE),"")</f>
        <v/>
      </c>
      <c r="AM845" s="10" t="str">
        <f>IFERROR(VLOOKUP(B845,'Pre-Summary'!$BG$6:$BL$44,4,FALSE),"")</f>
        <v/>
      </c>
    </row>
    <row r="846" spans="2:39" ht="15" customHeight="1" x14ac:dyDescent="0.3">
      <c r="B846">
        <v>84.3</v>
      </c>
      <c r="C846" t="str">
        <f>IFERROR(VLOOKUP(B846,'Pre-Summary'!$DI$6:$DM$23,4,FALSE),"")</f>
        <v/>
      </c>
      <c r="D846" s="10" t="str">
        <f>IFERROR(VLOOKUP(B846,'Pre-Summary'!$AT$6:$AX$14,5,FALSE),D845)</f>
        <v>DSMZ v2: Dropped Na-Ac out of DSMZ 120 media</v>
      </c>
      <c r="E846" s="10" t="str">
        <f>IFERROR(VLOOKUP(B846,'Pre-Summary'!$AT$6:$AX$15,4,FALSE),"")</f>
        <v/>
      </c>
      <c r="F846">
        <f>IFERROR(VLOOKUP(B846,'Pre-Summary'!$AL$6:$AQ$13,6,FALSE),F845)</f>
        <v>5.9405263157894746E-2</v>
      </c>
      <c r="G846" t="str">
        <f>IFERROR(VLOOKUP(B846,'Pre-Summary'!$AE$6:$AJ$85,3,FALSE),"")</f>
        <v/>
      </c>
      <c r="H846" t="str">
        <f>IFERROR(VLOOKUP(B846,'Pre-Summary'!$AE$6:$AJ$85,4,FALSE),"")</f>
        <v/>
      </c>
      <c r="I846" t="str">
        <f>IFERROR(VLOOKUP(B846,'Pre-Summary'!$AE$6:$AJ$85,5,FALSE),"")</f>
        <v/>
      </c>
      <c r="J846" s="45" t="str">
        <f>IFERROR(VLOOKUP(B846,'Pre-Summary'!$AE$6:$AJ$85,6, FALSE),"")</f>
        <v/>
      </c>
      <c r="K846" s="45" t="str">
        <f>IFERROR(VLOOKUP(B846,'Pre-Summary'!$DE$6:$DG$61,3,FALSE),"")</f>
        <v/>
      </c>
      <c r="L846" s="45" t="str">
        <f>IFERROR(VLOOKUP(B846,'Pre-Summary'!$CU$6:$CW$36,3,FALSE),"")</f>
        <v/>
      </c>
      <c r="M846" s="45" t="str">
        <f>IFERROR(VLOOKUP(B846,'Pre-Summary'!$BW$6:$BY$58,2,FALSE),"")</f>
        <v/>
      </c>
      <c r="N846" s="45" t="str">
        <f>IFERROR(VLOOKUP(B846,'Pre-Summary'!$CD$6:$CF$64,2,FALSE),"")</f>
        <v/>
      </c>
      <c r="O846" s="99">
        <f>IFERROR(VLOOKUP(B846,'Pre-Summary'!$BO$6:$BQ$48,3, FALSE),O845)</f>
        <v>1.2</v>
      </c>
      <c r="P846" s="99">
        <f>IFERROR(VLOOKUP(B846,'Pre-Summary'!$BS$6:$BU$35,3,FALSE),P845)</f>
        <v>0.3</v>
      </c>
      <c r="Q846" s="54">
        <f t="shared" si="39"/>
        <v>4</v>
      </c>
      <c r="R846" s="53">
        <f>IFERROR(VLOOKUP(B846,'Pre-Summary'!$BG$6:$BM$44,7,FALSE),R847)</f>
        <v>6.4813973442575987E-2</v>
      </c>
      <c r="S846" s="53">
        <f>IFERROR(VLOOKUP(B846,'Pre-Summary'!$BG$6:$BM$44,6,FALSE),S847)</f>
        <v>9.4647776465945271E-2</v>
      </c>
      <c r="T846" s="45" t="str">
        <f>IFERROR(VLOOKUP(B846,'Pre-Summary'!$Y$6:$AC$83, 3,FALSE),"")</f>
        <v/>
      </c>
      <c r="U846" s="45" t="str">
        <f>IFERROR(VLOOKUP(B846,'Pre-Summary'!$Y$6:$AC$83, 4,FALSE),"")</f>
        <v/>
      </c>
      <c r="V846" t="str">
        <f>IFERROR(VLOOKUP(B846,'Pre-Summary'!$Y$6:$AC$83, 5,FALSE),"")</f>
        <v/>
      </c>
      <c r="W846" s="45" t="str">
        <f>IFERROR(VLOOKUP(B846,'Pre-Summary'!$Y$6:$AD$83,6,FALSE),"")</f>
        <v/>
      </c>
      <c r="X846" t="str">
        <f>IFERROR(VLOOKUP('Pre-Summary'!$DB$6:$DD$63,3,FALSE),"")</f>
        <v/>
      </c>
      <c r="Y846" t="str">
        <f>IFERROR(VLOOKUP(B846,'Pre-Summary'!$CR$6:$CT$36,3,FALSE),"")</f>
        <v/>
      </c>
      <c r="Z846" s="45" t="str">
        <f>IFERROR(VLOOKUP(B846,'Pre-Summary'!$BZ$6:$CB$63,2,FALSE),"")</f>
        <v/>
      </c>
      <c r="AA846" s="45" t="str">
        <f>IFERROR(VLOOKUP(B846,'Pre-Summary'!$CG$6:$CI$70,2,FALSE),"")</f>
        <v/>
      </c>
      <c r="AB846" s="99">
        <f>IFERROR(VLOOKUP(B846,'Pre-Summary'!$A$6:$P$178,9,FALSE),AB847)</f>
        <v>0.74933844856675635</v>
      </c>
      <c r="AC846" s="10">
        <f>IFERROR(VLOOKUP(Summary!B846,'Pre-Summary'!$A$6:$P$184,5, FALSE)/100,AC847)</f>
        <v>0.79696000000000011</v>
      </c>
      <c r="AD846" s="10">
        <f>IFERROR(VLOOKUP(Summary!B846,'Pre-Summary'!$A$6:$P$184,3, FALSE)/100,AD847)</f>
        <v>1.5776333333333337E-2</v>
      </c>
      <c r="AE846" s="10">
        <f>IFERROR(VLOOKUP(Summary!B846,'Pre-Summary'!$A$6:$P$184,7, FALSE)/100,AE847)</f>
        <v>0.18726333333333334</v>
      </c>
      <c r="AF846" s="99">
        <f t="shared" si="40"/>
        <v>1.1821813144072007E-2</v>
      </c>
      <c r="AG846" s="99">
        <f t="shared" si="41"/>
        <v>0.14032361567343934</v>
      </c>
      <c r="AH846" s="10" t="str">
        <f>IFERROR(VLOOKUP(B846,'Pre-Summary'!$AZ$6:$BE$65,3,FALSE),"")</f>
        <v/>
      </c>
      <c r="AI846" s="10" t="str">
        <f>IFERROR(VLOOKUP(B846,'Pre-Summary'!$AZ$6:$BE$65,5,FALSE),"")</f>
        <v/>
      </c>
      <c r="AJ846" s="10" t="str">
        <f>IFERROR(VLOOKUP(B846,'Pre-Summary'!$AZ$6:$BE$65,4,FALSE),"")</f>
        <v/>
      </c>
      <c r="AK846" s="10" t="str">
        <f>IFERROR(VLOOKUP(B846,'Pre-Summary'!$AZ$6:$BE$65,6,FALSE),"")</f>
        <v/>
      </c>
      <c r="AL846" s="10" t="str">
        <f>IFERROR(VLOOKUP(B846,'Pre-Summary'!$BG$6:$BL$44,3,FALSE),"")</f>
        <v/>
      </c>
      <c r="AM846" s="10" t="str">
        <f>IFERROR(VLOOKUP(B846,'Pre-Summary'!$BG$6:$BL$44,4,FALSE),"")</f>
        <v/>
      </c>
    </row>
    <row r="847" spans="2:39" ht="15" customHeight="1" x14ac:dyDescent="0.3">
      <c r="B847">
        <v>84.4</v>
      </c>
      <c r="C847" t="str">
        <f>IFERROR(VLOOKUP(B847,'Pre-Summary'!$DI$6:$DM$23,4,FALSE),"")</f>
        <v/>
      </c>
      <c r="D847" s="10" t="str">
        <f>IFERROR(VLOOKUP(B847,'Pre-Summary'!$AT$6:$AX$14,5,FALSE),D846)</f>
        <v>DSMZ v2: Dropped Na-Ac out of DSMZ 120 media</v>
      </c>
      <c r="E847" s="10" t="str">
        <f>IFERROR(VLOOKUP(B847,'Pre-Summary'!$AT$6:$AX$15,4,FALSE),"")</f>
        <v/>
      </c>
      <c r="F847">
        <f>IFERROR(VLOOKUP(B847,'Pre-Summary'!$AL$6:$AQ$13,6,FALSE),F846)</f>
        <v>5.9405263157894746E-2</v>
      </c>
      <c r="G847" t="str">
        <f>IFERROR(VLOOKUP(B847,'Pre-Summary'!$AE$6:$AJ$85,3,FALSE),"")</f>
        <v/>
      </c>
      <c r="H847" t="str">
        <f>IFERROR(VLOOKUP(B847,'Pre-Summary'!$AE$6:$AJ$85,4,FALSE),"")</f>
        <v/>
      </c>
      <c r="I847" t="str">
        <f>IFERROR(VLOOKUP(B847,'Pre-Summary'!$AE$6:$AJ$85,5,FALSE),"")</f>
        <v/>
      </c>
      <c r="J847" s="45" t="str">
        <f>IFERROR(VLOOKUP(B847,'Pre-Summary'!$AE$6:$AJ$85,6, FALSE),"")</f>
        <v/>
      </c>
      <c r="K847" s="45" t="str">
        <f>IFERROR(VLOOKUP(B847,'Pre-Summary'!$DE$6:$DG$61,3,FALSE),"")</f>
        <v/>
      </c>
      <c r="L847" s="45" t="str">
        <f>IFERROR(VLOOKUP(B847,'Pre-Summary'!$CU$6:$CW$36,3,FALSE),"")</f>
        <v/>
      </c>
      <c r="M847" s="45" t="str">
        <f>IFERROR(VLOOKUP(B847,'Pre-Summary'!$BW$6:$BY$58,2,FALSE),"")</f>
        <v/>
      </c>
      <c r="N847" s="45" t="str">
        <f>IFERROR(VLOOKUP(B847,'Pre-Summary'!$CD$6:$CF$64,2,FALSE),"")</f>
        <v/>
      </c>
      <c r="O847" s="99">
        <f>IFERROR(VLOOKUP(B847,'Pre-Summary'!$BO$6:$BQ$48,3, FALSE),O846)</f>
        <v>1.2</v>
      </c>
      <c r="P847" s="99">
        <f>IFERROR(VLOOKUP(B847,'Pre-Summary'!$BS$6:$BU$35,3,FALSE),P846)</f>
        <v>0.3</v>
      </c>
      <c r="Q847" s="54">
        <f t="shared" si="39"/>
        <v>4</v>
      </c>
      <c r="R847" s="53">
        <f>IFERROR(VLOOKUP(B847,'Pre-Summary'!$BG$6:$BM$44,7,FALSE),R848)</f>
        <v>6.4813973442575987E-2</v>
      </c>
      <c r="S847" s="53">
        <f>IFERROR(VLOOKUP(B847,'Pre-Summary'!$BG$6:$BM$44,6,FALSE),S848)</f>
        <v>9.4647776465945271E-2</v>
      </c>
      <c r="T847" s="45" t="str">
        <f>IFERROR(VLOOKUP(B847,'Pre-Summary'!$Y$6:$AC$83, 3,FALSE),"")</f>
        <v/>
      </c>
      <c r="U847" s="45" t="str">
        <f>IFERROR(VLOOKUP(B847,'Pre-Summary'!$Y$6:$AC$83, 4,FALSE),"")</f>
        <v/>
      </c>
      <c r="V847" t="str">
        <f>IFERROR(VLOOKUP(B847,'Pre-Summary'!$Y$6:$AC$83, 5,FALSE),"")</f>
        <v/>
      </c>
      <c r="W847" s="45" t="str">
        <f>IFERROR(VLOOKUP(B847,'Pre-Summary'!$Y$6:$AD$83,6,FALSE),"")</f>
        <v/>
      </c>
      <c r="X847" t="str">
        <f>IFERROR(VLOOKUP('Pre-Summary'!$DB$6:$DD$63,3,FALSE),"")</f>
        <v/>
      </c>
      <c r="Y847" t="str">
        <f>IFERROR(VLOOKUP(B847,'Pre-Summary'!$CR$6:$CT$36,3,FALSE),"")</f>
        <v/>
      </c>
      <c r="Z847" s="45" t="str">
        <f>IFERROR(VLOOKUP(B847,'Pre-Summary'!$BZ$6:$CB$63,2,FALSE),"")</f>
        <v/>
      </c>
      <c r="AA847" s="45" t="str">
        <f>IFERROR(VLOOKUP(B847,'Pre-Summary'!$CG$6:$CI$70,2,FALSE),"")</f>
        <v/>
      </c>
      <c r="AB847" s="99">
        <f>IFERROR(VLOOKUP(B847,'Pre-Summary'!$A$6:$P$178,9,FALSE),AB848)</f>
        <v>0.74933844856675635</v>
      </c>
      <c r="AC847" s="10">
        <f>IFERROR(VLOOKUP(Summary!B847,'Pre-Summary'!$A$6:$P$184,5, FALSE)/100,AC848)</f>
        <v>0.79696000000000011</v>
      </c>
      <c r="AD847" s="10">
        <f>IFERROR(VLOOKUP(Summary!B847,'Pre-Summary'!$A$6:$P$184,3, FALSE)/100,AD848)</f>
        <v>1.5776333333333337E-2</v>
      </c>
      <c r="AE847" s="10">
        <f>IFERROR(VLOOKUP(Summary!B847,'Pre-Summary'!$A$6:$P$184,7, FALSE)/100,AE848)</f>
        <v>0.18726333333333334</v>
      </c>
      <c r="AF847" s="99">
        <f t="shared" si="40"/>
        <v>1.1821813144072007E-2</v>
      </c>
      <c r="AG847" s="99">
        <f t="shared" si="41"/>
        <v>0.14032361567343934</v>
      </c>
      <c r="AH847" s="10" t="str">
        <f>IFERROR(VLOOKUP(B847,'Pre-Summary'!$AZ$6:$BE$65,3,FALSE),"")</f>
        <v/>
      </c>
      <c r="AI847" s="10" t="str">
        <f>IFERROR(VLOOKUP(B847,'Pre-Summary'!$AZ$6:$BE$65,5,FALSE),"")</f>
        <v/>
      </c>
      <c r="AJ847" s="10" t="str">
        <f>IFERROR(VLOOKUP(B847,'Pre-Summary'!$AZ$6:$BE$65,4,FALSE),"")</f>
        <v/>
      </c>
      <c r="AK847" s="10" t="str">
        <f>IFERROR(VLOOKUP(B847,'Pre-Summary'!$AZ$6:$BE$65,6,FALSE),"")</f>
        <v/>
      </c>
      <c r="AL847" s="10" t="str">
        <f>IFERROR(VLOOKUP(B847,'Pre-Summary'!$BG$6:$BL$44,3,FALSE),"")</f>
        <v/>
      </c>
      <c r="AM847" s="10" t="str">
        <f>IFERROR(VLOOKUP(B847,'Pre-Summary'!$BG$6:$BL$44,4,FALSE),"")</f>
        <v/>
      </c>
    </row>
    <row r="848" spans="2:39" ht="15" customHeight="1" x14ac:dyDescent="0.3">
      <c r="B848">
        <v>84.5</v>
      </c>
      <c r="C848" t="str">
        <f>IFERROR(VLOOKUP(B848,'Pre-Summary'!$DI$6:$DM$23,4,FALSE),"")</f>
        <v/>
      </c>
      <c r="D848" s="10" t="str">
        <f>IFERROR(VLOOKUP(B848,'Pre-Summary'!$AT$6:$AX$14,5,FALSE),D847)</f>
        <v>DSMZ v2: Dropped Na-Ac out of DSMZ 120 media</v>
      </c>
      <c r="E848" s="10" t="str">
        <f>IFERROR(VLOOKUP(B848,'Pre-Summary'!$AT$6:$AX$15,4,FALSE),"")</f>
        <v/>
      </c>
      <c r="F848">
        <f>IFERROR(VLOOKUP(B848,'Pre-Summary'!$AL$6:$AQ$13,6,FALSE),F847)</f>
        <v>5.9405263157894746E-2</v>
      </c>
      <c r="G848" t="str">
        <f>IFERROR(VLOOKUP(B848,'Pre-Summary'!$AE$6:$AJ$85,3,FALSE),"")</f>
        <v/>
      </c>
      <c r="H848" t="str">
        <f>IFERROR(VLOOKUP(B848,'Pre-Summary'!$AE$6:$AJ$85,4,FALSE),"")</f>
        <v/>
      </c>
      <c r="I848" t="str">
        <f>IFERROR(VLOOKUP(B848,'Pre-Summary'!$AE$6:$AJ$85,5,FALSE),"")</f>
        <v/>
      </c>
      <c r="J848" s="45" t="str">
        <f>IFERROR(VLOOKUP(B848,'Pre-Summary'!$AE$6:$AJ$85,6, FALSE),"")</f>
        <v/>
      </c>
      <c r="K848" s="45" t="str">
        <f>IFERROR(VLOOKUP(B848,'Pre-Summary'!$DE$6:$DG$61,3,FALSE),"")</f>
        <v/>
      </c>
      <c r="L848" s="45" t="str">
        <f>IFERROR(VLOOKUP(B848,'Pre-Summary'!$CU$6:$CW$36,3,FALSE),"")</f>
        <v/>
      </c>
      <c r="M848" s="45" t="str">
        <f>IFERROR(VLOOKUP(B848,'Pre-Summary'!$BW$6:$BY$58,2,FALSE),"")</f>
        <v/>
      </c>
      <c r="N848" s="45" t="str">
        <f>IFERROR(VLOOKUP(B848,'Pre-Summary'!$CD$6:$CF$64,2,FALSE),"")</f>
        <v/>
      </c>
      <c r="O848" s="99">
        <f>IFERROR(VLOOKUP(B848,'Pre-Summary'!$BO$6:$BQ$48,3, FALSE),O847)</f>
        <v>1.2</v>
      </c>
      <c r="P848" s="99">
        <f>IFERROR(VLOOKUP(B848,'Pre-Summary'!$BS$6:$BU$35,3,FALSE),P847)</f>
        <v>0.3</v>
      </c>
      <c r="Q848" s="54">
        <f t="shared" si="39"/>
        <v>4</v>
      </c>
      <c r="R848" s="53">
        <f>IFERROR(VLOOKUP(B848,'Pre-Summary'!$BG$6:$BM$44,7,FALSE),R849)</f>
        <v>6.4813973442575987E-2</v>
      </c>
      <c r="S848" s="53">
        <f>IFERROR(VLOOKUP(B848,'Pre-Summary'!$BG$6:$BM$44,6,FALSE),S849)</f>
        <v>9.4647776465945271E-2</v>
      </c>
      <c r="T848" s="45" t="str">
        <f>IFERROR(VLOOKUP(B848,'Pre-Summary'!$Y$6:$AC$83, 3,FALSE),"")</f>
        <v/>
      </c>
      <c r="U848" s="45" t="str">
        <f>IFERROR(VLOOKUP(B848,'Pre-Summary'!$Y$6:$AC$83, 4,FALSE),"")</f>
        <v/>
      </c>
      <c r="V848" t="str">
        <f>IFERROR(VLOOKUP(B848,'Pre-Summary'!$Y$6:$AC$83, 5,FALSE),"")</f>
        <v/>
      </c>
      <c r="W848" s="45" t="str">
        <f>IFERROR(VLOOKUP(B848,'Pre-Summary'!$Y$6:$AD$83,6,FALSE),"")</f>
        <v/>
      </c>
      <c r="X848" t="str">
        <f>IFERROR(VLOOKUP('Pre-Summary'!$DB$6:$DD$63,3,FALSE),"")</f>
        <v/>
      </c>
      <c r="Y848" t="str">
        <f>IFERROR(VLOOKUP(B848,'Pre-Summary'!$CR$6:$CT$36,3,FALSE),"")</f>
        <v/>
      </c>
      <c r="Z848" s="45" t="str">
        <f>IFERROR(VLOOKUP(B848,'Pre-Summary'!$BZ$6:$CB$63,2,FALSE),"")</f>
        <v/>
      </c>
      <c r="AA848" s="45" t="str">
        <f>IFERROR(VLOOKUP(B848,'Pre-Summary'!$CG$6:$CI$70,2,FALSE),"")</f>
        <v/>
      </c>
      <c r="AB848" s="99">
        <f>IFERROR(VLOOKUP(B848,'Pre-Summary'!$A$6:$P$178,9,FALSE),AB849)</f>
        <v>0.74933844856675635</v>
      </c>
      <c r="AC848" s="10">
        <f>IFERROR(VLOOKUP(Summary!B848,'Pre-Summary'!$A$6:$P$184,5, FALSE)/100,AC849)</f>
        <v>0.79696000000000011</v>
      </c>
      <c r="AD848" s="10">
        <f>IFERROR(VLOOKUP(Summary!B848,'Pre-Summary'!$A$6:$P$184,3, FALSE)/100,AD849)</f>
        <v>1.5776333333333337E-2</v>
      </c>
      <c r="AE848" s="10">
        <f>IFERROR(VLOOKUP(Summary!B848,'Pre-Summary'!$A$6:$P$184,7, FALSE)/100,AE849)</f>
        <v>0.18726333333333334</v>
      </c>
      <c r="AF848" s="99">
        <f t="shared" si="40"/>
        <v>1.1821813144072007E-2</v>
      </c>
      <c r="AG848" s="99">
        <f t="shared" si="41"/>
        <v>0.14032361567343934</v>
      </c>
      <c r="AH848" s="10" t="str">
        <f>IFERROR(VLOOKUP(B848,'Pre-Summary'!$AZ$6:$BE$65,3,FALSE),"")</f>
        <v/>
      </c>
      <c r="AI848" s="10" t="str">
        <f>IFERROR(VLOOKUP(B848,'Pre-Summary'!$AZ$6:$BE$65,5,FALSE),"")</f>
        <v/>
      </c>
      <c r="AJ848" s="10" t="str">
        <f>IFERROR(VLOOKUP(B848,'Pre-Summary'!$AZ$6:$BE$65,4,FALSE),"")</f>
        <v/>
      </c>
      <c r="AK848" s="10" t="str">
        <f>IFERROR(VLOOKUP(B848,'Pre-Summary'!$AZ$6:$BE$65,6,FALSE),"")</f>
        <v/>
      </c>
      <c r="AL848" s="10" t="str">
        <f>IFERROR(VLOOKUP(B848,'Pre-Summary'!$BG$6:$BL$44,3,FALSE),"")</f>
        <v/>
      </c>
      <c r="AM848" s="10" t="str">
        <f>IFERROR(VLOOKUP(B848,'Pre-Summary'!$BG$6:$BL$44,4,FALSE),"")</f>
        <v/>
      </c>
    </row>
    <row r="849" spans="2:39" ht="15" customHeight="1" x14ac:dyDescent="0.3">
      <c r="B849">
        <v>84.6</v>
      </c>
      <c r="C849" t="str">
        <f>IFERROR(VLOOKUP(B849,'Pre-Summary'!$DI$6:$DM$23,4,FALSE),"")</f>
        <v/>
      </c>
      <c r="D849" s="10" t="str">
        <f>IFERROR(VLOOKUP(B849,'Pre-Summary'!$AT$6:$AX$14,5,FALSE),D848)</f>
        <v>DSMZ v2: Dropped Na-Ac out of DSMZ 120 media</v>
      </c>
      <c r="E849" s="10" t="str">
        <f>IFERROR(VLOOKUP(B849,'Pre-Summary'!$AT$6:$AX$15,4,FALSE),"")</f>
        <v/>
      </c>
      <c r="F849">
        <f>IFERROR(VLOOKUP(B849,'Pre-Summary'!$AL$6:$AQ$13,6,FALSE),F848)</f>
        <v>5.9405263157894746E-2</v>
      </c>
      <c r="G849" t="str">
        <f>IFERROR(VLOOKUP(B849,'Pre-Summary'!$AE$6:$AJ$85,3,FALSE),"")</f>
        <v/>
      </c>
      <c r="H849" t="str">
        <f>IFERROR(VLOOKUP(B849,'Pre-Summary'!$AE$6:$AJ$85,4,FALSE),"")</f>
        <v/>
      </c>
      <c r="I849" t="str">
        <f>IFERROR(VLOOKUP(B849,'Pre-Summary'!$AE$6:$AJ$85,5,FALSE),"")</f>
        <v/>
      </c>
      <c r="J849" s="45" t="str">
        <f>IFERROR(VLOOKUP(B849,'Pre-Summary'!$AE$6:$AJ$85,6, FALSE),"")</f>
        <v/>
      </c>
      <c r="K849" s="45" t="str">
        <f>IFERROR(VLOOKUP(B849,'Pre-Summary'!$DE$6:$DG$61,3,FALSE),"")</f>
        <v/>
      </c>
      <c r="L849" s="45" t="str">
        <f>IFERROR(VLOOKUP(B849,'Pre-Summary'!$CU$6:$CW$36,3,FALSE),"")</f>
        <v/>
      </c>
      <c r="M849" s="45" t="str">
        <f>IFERROR(VLOOKUP(B849,'Pre-Summary'!$BW$6:$BY$58,2,FALSE),"")</f>
        <v/>
      </c>
      <c r="N849" s="45" t="str">
        <f>IFERROR(VLOOKUP(B849,'Pre-Summary'!$CD$6:$CF$64,2,FALSE),"")</f>
        <v/>
      </c>
      <c r="O849" s="99">
        <f>IFERROR(VLOOKUP(B849,'Pre-Summary'!$BO$6:$BQ$48,3, FALSE),O848)</f>
        <v>1.2</v>
      </c>
      <c r="P849" s="99">
        <f>IFERROR(VLOOKUP(B849,'Pre-Summary'!$BS$6:$BU$35,3,FALSE),P848)</f>
        <v>0.3</v>
      </c>
      <c r="Q849" s="54">
        <f t="shared" si="39"/>
        <v>4</v>
      </c>
      <c r="R849" s="53">
        <f>IFERROR(VLOOKUP(B849,'Pre-Summary'!$BG$6:$BM$44,7,FALSE),R850)</f>
        <v>6.4813973442575987E-2</v>
      </c>
      <c r="S849" s="53">
        <f>IFERROR(VLOOKUP(B849,'Pre-Summary'!$BG$6:$BM$44,6,FALSE),S850)</f>
        <v>9.4647776465945271E-2</v>
      </c>
      <c r="T849" s="45" t="str">
        <f>IFERROR(VLOOKUP(B849,'Pre-Summary'!$Y$6:$AC$83, 3,FALSE),"")</f>
        <v/>
      </c>
      <c r="U849" s="45" t="str">
        <f>IFERROR(VLOOKUP(B849,'Pre-Summary'!$Y$6:$AC$83, 4,FALSE),"")</f>
        <v/>
      </c>
      <c r="V849" t="str">
        <f>IFERROR(VLOOKUP(B849,'Pre-Summary'!$Y$6:$AC$83, 5,FALSE),"")</f>
        <v/>
      </c>
      <c r="W849" s="45" t="str">
        <f>IFERROR(VLOOKUP(B849,'Pre-Summary'!$Y$6:$AD$83,6,FALSE),"")</f>
        <v/>
      </c>
      <c r="X849" t="str">
        <f>IFERROR(VLOOKUP('Pre-Summary'!$DB$6:$DD$63,3,FALSE),"")</f>
        <v/>
      </c>
      <c r="Y849" t="str">
        <f>IFERROR(VLOOKUP(B849,'Pre-Summary'!$CR$6:$CT$36,3,FALSE),"")</f>
        <v/>
      </c>
      <c r="Z849" s="45" t="str">
        <f>IFERROR(VLOOKUP(B849,'Pre-Summary'!$BZ$6:$CB$63,2,FALSE),"")</f>
        <v/>
      </c>
      <c r="AA849" s="45" t="str">
        <f>IFERROR(VLOOKUP(B849,'Pre-Summary'!$CG$6:$CI$70,2,FALSE),"")</f>
        <v/>
      </c>
      <c r="AB849" s="99">
        <f>IFERROR(VLOOKUP(B849,'Pre-Summary'!$A$6:$P$178,9,FALSE),AB850)</f>
        <v>0.74933844856675635</v>
      </c>
      <c r="AC849" s="10">
        <f>IFERROR(VLOOKUP(Summary!B849,'Pre-Summary'!$A$6:$P$184,5, FALSE)/100,AC850)</f>
        <v>0.79696000000000011</v>
      </c>
      <c r="AD849" s="10">
        <f>IFERROR(VLOOKUP(Summary!B849,'Pre-Summary'!$A$6:$P$184,3, FALSE)/100,AD850)</f>
        <v>1.5776333333333337E-2</v>
      </c>
      <c r="AE849" s="10">
        <f>IFERROR(VLOOKUP(Summary!B849,'Pre-Summary'!$A$6:$P$184,7, FALSE)/100,AE850)</f>
        <v>0.18726333333333334</v>
      </c>
      <c r="AF849" s="99">
        <f t="shared" si="40"/>
        <v>1.1821813144072007E-2</v>
      </c>
      <c r="AG849" s="99">
        <f t="shared" si="41"/>
        <v>0.14032361567343934</v>
      </c>
      <c r="AH849" s="10" t="str">
        <f>IFERROR(VLOOKUP(B849,'Pre-Summary'!$AZ$6:$BE$65,3,FALSE),"")</f>
        <v/>
      </c>
      <c r="AI849" s="10" t="str">
        <f>IFERROR(VLOOKUP(B849,'Pre-Summary'!$AZ$6:$BE$65,5,FALSE),"")</f>
        <v/>
      </c>
      <c r="AJ849" s="10" t="str">
        <f>IFERROR(VLOOKUP(B849,'Pre-Summary'!$AZ$6:$BE$65,4,FALSE),"")</f>
        <v/>
      </c>
      <c r="AK849" s="10" t="str">
        <f>IFERROR(VLOOKUP(B849,'Pre-Summary'!$AZ$6:$BE$65,6,FALSE),"")</f>
        <v/>
      </c>
      <c r="AL849" s="10" t="str">
        <f>IFERROR(VLOOKUP(B849,'Pre-Summary'!$BG$6:$BL$44,3,FALSE),"")</f>
        <v/>
      </c>
      <c r="AM849" s="10" t="str">
        <f>IFERROR(VLOOKUP(B849,'Pre-Summary'!$BG$6:$BL$44,4,FALSE),"")</f>
        <v/>
      </c>
    </row>
    <row r="850" spans="2:39" ht="15" customHeight="1" x14ac:dyDescent="0.3">
      <c r="B850">
        <v>84.7</v>
      </c>
      <c r="C850" t="str">
        <f>IFERROR(VLOOKUP(B850,'Pre-Summary'!$DI$6:$DM$23,4,FALSE),"")</f>
        <v/>
      </c>
      <c r="D850" s="10" t="str">
        <f>IFERROR(VLOOKUP(B850,'Pre-Summary'!$AT$6:$AX$14,5,FALSE),D849)</f>
        <v>DSMZ v2: Dropped Na-Ac out of DSMZ 120 media</v>
      </c>
      <c r="E850" s="10" t="str">
        <f>IFERROR(VLOOKUP(B850,'Pre-Summary'!$AT$6:$AX$15,4,FALSE),"")</f>
        <v/>
      </c>
      <c r="F850">
        <f>IFERROR(VLOOKUP(B850,'Pre-Summary'!$AL$6:$AQ$13,6,FALSE),F849)</f>
        <v>5.9405263157894746E-2</v>
      </c>
      <c r="G850" t="str">
        <f>IFERROR(VLOOKUP(B850,'Pre-Summary'!$AE$6:$AJ$85,3,FALSE),"")</f>
        <v/>
      </c>
      <c r="H850" t="str">
        <f>IFERROR(VLOOKUP(B850,'Pre-Summary'!$AE$6:$AJ$85,4,FALSE),"")</f>
        <v/>
      </c>
      <c r="I850" t="str">
        <f>IFERROR(VLOOKUP(B850,'Pre-Summary'!$AE$6:$AJ$85,5,FALSE),"")</f>
        <v/>
      </c>
      <c r="J850" s="45" t="str">
        <f>IFERROR(VLOOKUP(B850,'Pre-Summary'!$AE$6:$AJ$85,6, FALSE),"")</f>
        <v/>
      </c>
      <c r="K850" s="45" t="str">
        <f>IFERROR(VLOOKUP(B850,'Pre-Summary'!$DE$6:$DG$61,3,FALSE),"")</f>
        <v/>
      </c>
      <c r="L850" s="45" t="str">
        <f>IFERROR(VLOOKUP(B850,'Pre-Summary'!$CU$6:$CW$36,3,FALSE),"")</f>
        <v/>
      </c>
      <c r="M850" s="45" t="str">
        <f>IFERROR(VLOOKUP(B850,'Pre-Summary'!$BW$6:$BY$58,2,FALSE),"")</f>
        <v/>
      </c>
      <c r="N850" s="45" t="str">
        <f>IFERROR(VLOOKUP(B850,'Pre-Summary'!$CD$6:$CF$64,2,FALSE),"")</f>
        <v/>
      </c>
      <c r="O850" s="99">
        <f>IFERROR(VLOOKUP(B850,'Pre-Summary'!$BO$6:$BQ$48,3, FALSE),O849)</f>
        <v>1.2</v>
      </c>
      <c r="P850" s="99">
        <f>IFERROR(VLOOKUP(B850,'Pre-Summary'!$BS$6:$BU$35,3,FALSE),P849)</f>
        <v>0.3</v>
      </c>
      <c r="Q850" s="54">
        <f t="shared" si="39"/>
        <v>4</v>
      </c>
      <c r="R850" s="53">
        <f>IFERROR(VLOOKUP(B850,'Pre-Summary'!$BG$6:$BM$44,7,FALSE),R851)</f>
        <v>6.4813973442575987E-2</v>
      </c>
      <c r="S850" s="53">
        <f>IFERROR(VLOOKUP(B850,'Pre-Summary'!$BG$6:$BM$44,6,FALSE),S851)</f>
        <v>9.4647776465945271E-2</v>
      </c>
      <c r="T850" s="45" t="str">
        <f>IFERROR(VLOOKUP(B850,'Pre-Summary'!$Y$6:$AC$83, 3,FALSE),"")</f>
        <v/>
      </c>
      <c r="U850" s="45" t="str">
        <f>IFERROR(VLOOKUP(B850,'Pre-Summary'!$Y$6:$AC$83, 4,FALSE),"")</f>
        <v/>
      </c>
      <c r="V850" t="str">
        <f>IFERROR(VLOOKUP(B850,'Pre-Summary'!$Y$6:$AC$83, 5,FALSE),"")</f>
        <v/>
      </c>
      <c r="W850" s="45" t="str">
        <f>IFERROR(VLOOKUP(B850,'Pre-Summary'!$Y$6:$AD$83,6,FALSE),"")</f>
        <v/>
      </c>
      <c r="X850" t="str">
        <f>IFERROR(VLOOKUP('Pre-Summary'!$DB$6:$DD$63,3,FALSE),"")</f>
        <v/>
      </c>
      <c r="Y850" t="str">
        <f>IFERROR(VLOOKUP(B850,'Pre-Summary'!$CR$6:$CT$36,3,FALSE),"")</f>
        <v/>
      </c>
      <c r="Z850" s="45" t="str">
        <f>IFERROR(VLOOKUP(B850,'Pre-Summary'!$BZ$6:$CB$63,2,FALSE),"")</f>
        <v/>
      </c>
      <c r="AA850" s="45" t="str">
        <f>IFERROR(VLOOKUP(B850,'Pre-Summary'!$CG$6:$CI$70,2,FALSE),"")</f>
        <v/>
      </c>
      <c r="AB850" s="99">
        <f>IFERROR(VLOOKUP(B850,'Pre-Summary'!$A$6:$P$178,9,FALSE),AB851)</f>
        <v>0.74933844856675635</v>
      </c>
      <c r="AC850" s="10">
        <f>IFERROR(VLOOKUP(Summary!B850,'Pre-Summary'!$A$6:$P$184,5, FALSE)/100,AC851)</f>
        <v>0.79696000000000011</v>
      </c>
      <c r="AD850" s="10">
        <f>IFERROR(VLOOKUP(Summary!B850,'Pre-Summary'!$A$6:$P$184,3, FALSE)/100,AD851)</f>
        <v>1.5776333333333337E-2</v>
      </c>
      <c r="AE850" s="10">
        <f>IFERROR(VLOOKUP(Summary!B850,'Pre-Summary'!$A$6:$P$184,7, FALSE)/100,AE851)</f>
        <v>0.18726333333333334</v>
      </c>
      <c r="AF850" s="99">
        <f t="shared" si="40"/>
        <v>1.1821813144072007E-2</v>
      </c>
      <c r="AG850" s="99">
        <f t="shared" si="41"/>
        <v>0.14032361567343934</v>
      </c>
      <c r="AH850" s="10" t="str">
        <f>IFERROR(VLOOKUP(B850,'Pre-Summary'!$AZ$6:$BE$65,3,FALSE),"")</f>
        <v/>
      </c>
      <c r="AI850" s="10" t="str">
        <f>IFERROR(VLOOKUP(B850,'Pre-Summary'!$AZ$6:$BE$65,5,FALSE),"")</f>
        <v/>
      </c>
      <c r="AJ850" s="10" t="str">
        <f>IFERROR(VLOOKUP(B850,'Pre-Summary'!$AZ$6:$BE$65,4,FALSE),"")</f>
        <v/>
      </c>
      <c r="AK850" s="10" t="str">
        <f>IFERROR(VLOOKUP(B850,'Pre-Summary'!$AZ$6:$BE$65,6,FALSE),"")</f>
        <v/>
      </c>
      <c r="AL850" s="10" t="str">
        <f>IFERROR(VLOOKUP(B850,'Pre-Summary'!$BG$6:$BL$44,3,FALSE),"")</f>
        <v/>
      </c>
      <c r="AM850" s="10" t="str">
        <f>IFERROR(VLOOKUP(B850,'Pre-Summary'!$BG$6:$BL$44,4,FALSE),"")</f>
        <v/>
      </c>
    </row>
    <row r="851" spans="2:39" ht="15" customHeight="1" x14ac:dyDescent="0.3">
      <c r="B851">
        <v>84.8</v>
      </c>
      <c r="C851" t="str">
        <f>IFERROR(VLOOKUP(B851,'Pre-Summary'!$DI$6:$DM$23,4,FALSE),"")</f>
        <v/>
      </c>
      <c r="D851" s="10" t="str">
        <f>IFERROR(VLOOKUP(B851,'Pre-Summary'!$AT$6:$AX$14,5,FALSE),D850)</f>
        <v>DSMZ v2: Dropped Na-Ac out of DSMZ 120 media</v>
      </c>
      <c r="E851" s="10" t="str">
        <f>IFERROR(VLOOKUP(B851,'Pre-Summary'!$AT$6:$AX$15,4,FALSE),"")</f>
        <v/>
      </c>
      <c r="F851">
        <f>IFERROR(VLOOKUP(B851,'Pre-Summary'!$AL$6:$AQ$13,6,FALSE),F850)</f>
        <v>5.9405263157894746E-2</v>
      </c>
      <c r="G851" t="str">
        <f>IFERROR(VLOOKUP(B851,'Pre-Summary'!$AE$6:$AJ$85,3,FALSE),"")</f>
        <v/>
      </c>
      <c r="H851" t="str">
        <f>IFERROR(VLOOKUP(B851,'Pre-Summary'!$AE$6:$AJ$85,4,FALSE),"")</f>
        <v/>
      </c>
      <c r="I851" t="str">
        <f>IFERROR(VLOOKUP(B851,'Pre-Summary'!$AE$6:$AJ$85,5,FALSE),"")</f>
        <v/>
      </c>
      <c r="J851" s="45" t="str">
        <f>IFERROR(VLOOKUP(B851,'Pre-Summary'!$AE$6:$AJ$85,6, FALSE),"")</f>
        <v/>
      </c>
      <c r="K851" s="45" t="str">
        <f>IFERROR(VLOOKUP(B851,'Pre-Summary'!$DE$6:$DG$61,3,FALSE),"")</f>
        <v/>
      </c>
      <c r="L851" s="45" t="str">
        <f>IFERROR(VLOOKUP(B851,'Pre-Summary'!$CU$6:$CW$36,3,FALSE),"")</f>
        <v/>
      </c>
      <c r="M851" s="45" t="str">
        <f>IFERROR(VLOOKUP(B851,'Pre-Summary'!$BW$6:$BY$58,2,FALSE),"")</f>
        <v/>
      </c>
      <c r="N851" s="45" t="str">
        <f>IFERROR(VLOOKUP(B851,'Pre-Summary'!$CD$6:$CF$64,2,FALSE),"")</f>
        <v/>
      </c>
      <c r="O851" s="99">
        <f>IFERROR(VLOOKUP(B851,'Pre-Summary'!$BO$6:$BQ$48,3, FALSE),O850)</f>
        <v>1.2</v>
      </c>
      <c r="P851" s="99">
        <f>IFERROR(VLOOKUP(B851,'Pre-Summary'!$BS$6:$BU$35,3,FALSE),P850)</f>
        <v>0.3</v>
      </c>
      <c r="Q851" s="54">
        <f t="shared" si="39"/>
        <v>4</v>
      </c>
      <c r="R851" s="53">
        <f>IFERROR(VLOOKUP(B851,'Pre-Summary'!$BG$6:$BM$44,7,FALSE),R852)</f>
        <v>6.4813973442575987E-2</v>
      </c>
      <c r="S851" s="53">
        <f>IFERROR(VLOOKUP(B851,'Pre-Summary'!$BG$6:$BM$44,6,FALSE),S852)</f>
        <v>9.4647776465945271E-2</v>
      </c>
      <c r="T851" s="45" t="str">
        <f>IFERROR(VLOOKUP(B851,'Pre-Summary'!$Y$6:$AC$83, 3,FALSE),"")</f>
        <v/>
      </c>
      <c r="U851" s="45" t="str">
        <f>IFERROR(VLOOKUP(B851,'Pre-Summary'!$Y$6:$AC$83, 4,FALSE),"")</f>
        <v/>
      </c>
      <c r="V851" t="str">
        <f>IFERROR(VLOOKUP(B851,'Pre-Summary'!$Y$6:$AC$83, 5,FALSE),"")</f>
        <v/>
      </c>
      <c r="W851" s="45" t="str">
        <f>IFERROR(VLOOKUP(B851,'Pre-Summary'!$Y$6:$AD$83,6,FALSE),"")</f>
        <v/>
      </c>
      <c r="X851" t="str">
        <f>IFERROR(VLOOKUP('Pre-Summary'!$DB$6:$DD$63,3,FALSE),"")</f>
        <v/>
      </c>
      <c r="Y851" t="str">
        <f>IFERROR(VLOOKUP(B851,'Pre-Summary'!$CR$6:$CT$36,3,FALSE),"")</f>
        <v/>
      </c>
      <c r="Z851" s="45" t="str">
        <f>IFERROR(VLOOKUP(B851,'Pre-Summary'!$BZ$6:$CB$63,2,FALSE),"")</f>
        <v/>
      </c>
      <c r="AA851" s="45" t="str">
        <f>IFERROR(VLOOKUP(B851,'Pre-Summary'!$CG$6:$CI$70,2,FALSE),"")</f>
        <v/>
      </c>
      <c r="AB851" s="99">
        <f>IFERROR(VLOOKUP(B851,'Pre-Summary'!$A$6:$P$178,9,FALSE),AB852)</f>
        <v>0.74933844856675635</v>
      </c>
      <c r="AC851" s="10">
        <f>IFERROR(VLOOKUP(Summary!B851,'Pre-Summary'!$A$6:$P$184,5, FALSE)/100,AC852)</f>
        <v>0.79696000000000011</v>
      </c>
      <c r="AD851" s="10">
        <f>IFERROR(VLOOKUP(Summary!B851,'Pre-Summary'!$A$6:$P$184,3, FALSE)/100,AD852)</f>
        <v>1.5776333333333337E-2</v>
      </c>
      <c r="AE851" s="10">
        <f>IFERROR(VLOOKUP(Summary!B851,'Pre-Summary'!$A$6:$P$184,7, FALSE)/100,AE852)</f>
        <v>0.18726333333333334</v>
      </c>
      <c r="AF851" s="99">
        <f t="shared" si="40"/>
        <v>1.1821813144072007E-2</v>
      </c>
      <c r="AG851" s="99">
        <f t="shared" si="41"/>
        <v>0.14032361567343934</v>
      </c>
      <c r="AH851" s="10" t="str">
        <f>IFERROR(VLOOKUP(B851,'Pre-Summary'!$AZ$6:$BE$65,3,FALSE),"")</f>
        <v/>
      </c>
      <c r="AI851" s="10" t="str">
        <f>IFERROR(VLOOKUP(B851,'Pre-Summary'!$AZ$6:$BE$65,5,FALSE),"")</f>
        <v/>
      </c>
      <c r="AJ851" s="10" t="str">
        <f>IFERROR(VLOOKUP(B851,'Pre-Summary'!$AZ$6:$BE$65,4,FALSE),"")</f>
        <v/>
      </c>
      <c r="AK851" s="10" t="str">
        <f>IFERROR(VLOOKUP(B851,'Pre-Summary'!$AZ$6:$BE$65,6,FALSE),"")</f>
        <v/>
      </c>
      <c r="AL851" s="10" t="str">
        <f>IFERROR(VLOOKUP(B851,'Pre-Summary'!$BG$6:$BL$44,3,FALSE),"")</f>
        <v/>
      </c>
      <c r="AM851" s="10" t="str">
        <f>IFERROR(VLOOKUP(B851,'Pre-Summary'!$BG$6:$BL$44,4,FALSE),"")</f>
        <v/>
      </c>
    </row>
    <row r="852" spans="2:39" ht="15" customHeight="1" x14ac:dyDescent="0.3">
      <c r="B852">
        <v>84.9</v>
      </c>
      <c r="C852" t="str">
        <f>IFERROR(VLOOKUP(B852,'Pre-Summary'!$DI$6:$DM$23,4,FALSE),"")</f>
        <v/>
      </c>
      <c r="D852" s="10" t="str">
        <f>IFERROR(VLOOKUP(B852,'Pre-Summary'!$AT$6:$AX$14,5,FALSE),D851)</f>
        <v>DSMZ v2: Dropped Na-Ac out of DSMZ 120 media</v>
      </c>
      <c r="E852" s="10" t="str">
        <f>IFERROR(VLOOKUP(B852,'Pre-Summary'!$AT$6:$AX$15,4,FALSE),"")</f>
        <v/>
      </c>
      <c r="F852">
        <f>IFERROR(VLOOKUP(B852,'Pre-Summary'!$AL$6:$AQ$13,6,FALSE),F851)</f>
        <v>5.9405263157894746E-2</v>
      </c>
      <c r="G852" t="str">
        <f>IFERROR(VLOOKUP(B852,'Pre-Summary'!$AE$6:$AJ$85,3,FALSE),"")</f>
        <v/>
      </c>
      <c r="H852" t="str">
        <f>IFERROR(VLOOKUP(B852,'Pre-Summary'!$AE$6:$AJ$85,4,FALSE),"")</f>
        <v/>
      </c>
      <c r="I852" t="str">
        <f>IFERROR(VLOOKUP(B852,'Pre-Summary'!$AE$6:$AJ$85,5,FALSE),"")</f>
        <v/>
      </c>
      <c r="J852" s="45" t="str">
        <f>IFERROR(VLOOKUP(B852,'Pre-Summary'!$AE$6:$AJ$85,6, FALSE),"")</f>
        <v/>
      </c>
      <c r="K852" s="45" t="str">
        <f>IFERROR(VLOOKUP(B852,'Pre-Summary'!$DE$6:$DG$61,3,FALSE),"")</f>
        <v/>
      </c>
      <c r="L852" s="45" t="str">
        <f>IFERROR(VLOOKUP(B852,'Pre-Summary'!$CU$6:$CW$36,3,FALSE),"")</f>
        <v/>
      </c>
      <c r="M852" s="45" t="str">
        <f>IFERROR(VLOOKUP(B852,'Pre-Summary'!$BW$6:$BY$58,2,FALSE),"")</f>
        <v/>
      </c>
      <c r="N852" s="45" t="str">
        <f>IFERROR(VLOOKUP(B852,'Pre-Summary'!$CD$6:$CF$64,2,FALSE),"")</f>
        <v/>
      </c>
      <c r="O852" s="99">
        <f>IFERROR(VLOOKUP(B852,'Pre-Summary'!$BO$6:$BQ$48,3, FALSE),O851)</f>
        <v>1.2</v>
      </c>
      <c r="P852" s="99">
        <f>IFERROR(VLOOKUP(B852,'Pre-Summary'!$BS$6:$BU$35,3,FALSE),P851)</f>
        <v>0.3</v>
      </c>
      <c r="Q852" s="54">
        <f t="shared" si="39"/>
        <v>4</v>
      </c>
      <c r="R852" s="53">
        <f>IFERROR(VLOOKUP(B852,'Pre-Summary'!$BG$6:$BM$44,7,FALSE),R853)</f>
        <v>6.4813973442575987E-2</v>
      </c>
      <c r="S852" s="53">
        <f>IFERROR(VLOOKUP(B852,'Pre-Summary'!$BG$6:$BM$44,6,FALSE),S853)</f>
        <v>9.4647776465945271E-2</v>
      </c>
      <c r="T852" s="45" t="str">
        <f>IFERROR(VLOOKUP(B852,'Pre-Summary'!$Y$6:$AC$83, 3,FALSE),"")</f>
        <v/>
      </c>
      <c r="U852" s="45" t="str">
        <f>IFERROR(VLOOKUP(B852,'Pre-Summary'!$Y$6:$AC$83, 4,FALSE),"")</f>
        <v/>
      </c>
      <c r="V852" t="str">
        <f>IFERROR(VLOOKUP(B852,'Pre-Summary'!$Y$6:$AC$83, 5,FALSE),"")</f>
        <v/>
      </c>
      <c r="W852" s="45" t="str">
        <f>IFERROR(VLOOKUP(B852,'Pre-Summary'!$Y$6:$AD$83,6,FALSE),"")</f>
        <v/>
      </c>
      <c r="X852" t="str">
        <f>IFERROR(VLOOKUP('Pre-Summary'!$DB$6:$DD$63,3,FALSE),"")</f>
        <v/>
      </c>
      <c r="Y852" t="str">
        <f>IFERROR(VLOOKUP(B852,'Pre-Summary'!$CR$6:$CT$36,3,FALSE),"")</f>
        <v/>
      </c>
      <c r="Z852" s="45" t="str">
        <f>IFERROR(VLOOKUP(B852,'Pre-Summary'!$BZ$6:$CB$63,2,FALSE),"")</f>
        <v/>
      </c>
      <c r="AA852" s="45" t="str">
        <f>IFERROR(VLOOKUP(B852,'Pre-Summary'!$CG$6:$CI$70,2,FALSE),"")</f>
        <v/>
      </c>
      <c r="AB852" s="99">
        <f>IFERROR(VLOOKUP(B852,'Pre-Summary'!$A$6:$P$178,9,FALSE),AB853)</f>
        <v>0.74933844856675635</v>
      </c>
      <c r="AC852" s="10">
        <f>IFERROR(VLOOKUP(Summary!B852,'Pre-Summary'!$A$6:$P$184,5, FALSE)/100,AC853)</f>
        <v>0.79696000000000011</v>
      </c>
      <c r="AD852" s="10">
        <f>IFERROR(VLOOKUP(Summary!B852,'Pre-Summary'!$A$6:$P$184,3, FALSE)/100,AD853)</f>
        <v>1.5776333333333337E-2</v>
      </c>
      <c r="AE852" s="10">
        <f>IFERROR(VLOOKUP(Summary!B852,'Pre-Summary'!$A$6:$P$184,7, FALSE)/100,AE853)</f>
        <v>0.18726333333333334</v>
      </c>
      <c r="AF852" s="99">
        <f t="shared" si="40"/>
        <v>1.1821813144072007E-2</v>
      </c>
      <c r="AG852" s="99">
        <f t="shared" si="41"/>
        <v>0.14032361567343934</v>
      </c>
      <c r="AH852" s="10" t="str">
        <f>IFERROR(VLOOKUP(B852,'Pre-Summary'!$AZ$6:$BE$65,3,FALSE),"")</f>
        <v/>
      </c>
      <c r="AI852" s="10" t="str">
        <f>IFERROR(VLOOKUP(B852,'Pre-Summary'!$AZ$6:$BE$65,5,FALSE),"")</f>
        <v/>
      </c>
      <c r="AJ852" s="10" t="str">
        <f>IFERROR(VLOOKUP(B852,'Pre-Summary'!$AZ$6:$BE$65,4,FALSE),"")</f>
        <v/>
      </c>
      <c r="AK852" s="10" t="str">
        <f>IFERROR(VLOOKUP(B852,'Pre-Summary'!$AZ$6:$BE$65,6,FALSE),"")</f>
        <v/>
      </c>
      <c r="AL852" s="10" t="str">
        <f>IFERROR(VLOOKUP(B852,'Pre-Summary'!$BG$6:$BL$44,3,FALSE),"")</f>
        <v/>
      </c>
      <c r="AM852" s="10" t="str">
        <f>IFERROR(VLOOKUP(B852,'Pre-Summary'!$BG$6:$BL$44,4,FALSE),"")</f>
        <v/>
      </c>
    </row>
    <row r="853" spans="2:39" ht="15" customHeight="1" x14ac:dyDescent="0.3">
      <c r="B853">
        <v>85</v>
      </c>
      <c r="C853" t="str">
        <f>IFERROR(VLOOKUP(B853,'Pre-Summary'!$DI$6:$DM$23,4,FALSE),"")</f>
        <v/>
      </c>
      <c r="D853" s="10" t="str">
        <f>IFERROR(VLOOKUP(B853,'Pre-Summary'!$AT$6:$AX$14,5,FALSE),D852)</f>
        <v>DSMZ v2: Dropped Na-Ac out of DSMZ 120 media</v>
      </c>
      <c r="E853" s="10" t="str">
        <f>IFERROR(VLOOKUP(B853,'Pre-Summary'!$AT$6:$AX$15,4,FALSE),"")</f>
        <v/>
      </c>
      <c r="F853">
        <f>IFERROR(VLOOKUP(B853,'Pre-Summary'!$AL$6:$AQ$13,6,FALSE),F852)</f>
        <v>5.9405263157894746E-2</v>
      </c>
      <c r="G853" t="str">
        <f>IFERROR(VLOOKUP(B853,'Pre-Summary'!$AE$6:$AJ$85,3,FALSE),"")</f>
        <v/>
      </c>
      <c r="H853" t="str">
        <f>IFERROR(VLOOKUP(B853,'Pre-Summary'!$AE$6:$AJ$85,4,FALSE),"")</f>
        <v/>
      </c>
      <c r="I853" t="str">
        <f>IFERROR(VLOOKUP(B853,'Pre-Summary'!$AE$6:$AJ$85,5,FALSE),"")</f>
        <v/>
      </c>
      <c r="J853" s="45" t="str">
        <f>IFERROR(VLOOKUP(B853,'Pre-Summary'!$AE$6:$AJ$85,6, FALSE),"")</f>
        <v/>
      </c>
      <c r="K853" s="45" t="str">
        <f>IFERROR(VLOOKUP(B853,'Pre-Summary'!$DE$6:$DG$61,3,FALSE),"")</f>
        <v/>
      </c>
      <c r="L853" s="45" t="str">
        <f>IFERROR(VLOOKUP(B853,'Pre-Summary'!$CU$6:$CW$36,3,FALSE),"")</f>
        <v/>
      </c>
      <c r="M853" s="45" t="str">
        <f>IFERROR(VLOOKUP(B853,'Pre-Summary'!$BW$6:$BY$58,2,FALSE),"")</f>
        <v/>
      </c>
      <c r="N853" s="45" t="str">
        <f>IFERROR(VLOOKUP(B853,'Pre-Summary'!$CD$6:$CF$64,2,FALSE),"")</f>
        <v/>
      </c>
      <c r="O853" s="99">
        <f>IFERROR(VLOOKUP(B853,'Pre-Summary'!$BO$6:$BQ$48,3, FALSE),O852)</f>
        <v>1.2</v>
      </c>
      <c r="P853" s="99">
        <f>IFERROR(VLOOKUP(B853,'Pre-Summary'!$BS$6:$BU$35,3,FALSE),P852)</f>
        <v>0.3</v>
      </c>
      <c r="Q853" s="54">
        <f t="shared" si="39"/>
        <v>4</v>
      </c>
      <c r="R853" s="53">
        <f>IFERROR(VLOOKUP(B853,'Pre-Summary'!$BG$6:$BM$44,7,FALSE),R854)</f>
        <v>6.4813973442575987E-2</v>
      </c>
      <c r="S853" s="53">
        <f>IFERROR(VLOOKUP(B853,'Pre-Summary'!$BG$6:$BM$44,6,FALSE),S854)</f>
        <v>9.4647776465945271E-2</v>
      </c>
      <c r="T853" s="45" t="str">
        <f>IFERROR(VLOOKUP(B853,'Pre-Summary'!$Y$6:$AC$83, 3,FALSE),"")</f>
        <v/>
      </c>
      <c r="U853" s="45" t="str">
        <f>IFERROR(VLOOKUP(B853,'Pre-Summary'!$Y$6:$AC$83, 4,FALSE),"")</f>
        <v/>
      </c>
      <c r="V853" t="str">
        <f>IFERROR(VLOOKUP(B853,'Pre-Summary'!$Y$6:$AC$83, 5,FALSE),"")</f>
        <v/>
      </c>
      <c r="W853" s="45" t="str">
        <f>IFERROR(VLOOKUP(B853,'Pre-Summary'!$Y$6:$AD$83,6,FALSE),"")</f>
        <v/>
      </c>
      <c r="X853" t="str">
        <f>IFERROR(VLOOKUP('Pre-Summary'!$DB$6:$DD$63,3,FALSE),"")</f>
        <v/>
      </c>
      <c r="Y853" t="str">
        <f>IFERROR(VLOOKUP(B853,'Pre-Summary'!$CR$6:$CT$36,3,FALSE),"")</f>
        <v/>
      </c>
      <c r="Z853" s="45" t="str">
        <f>IFERROR(VLOOKUP(B853,'Pre-Summary'!$BZ$6:$CB$63,2,FALSE),"")</f>
        <v/>
      </c>
      <c r="AA853" s="45" t="str">
        <f>IFERROR(VLOOKUP(B853,'Pre-Summary'!$CG$6:$CI$70,2,FALSE),"")</f>
        <v/>
      </c>
      <c r="AB853" s="99">
        <f>IFERROR(VLOOKUP(B853,'Pre-Summary'!$A$6:$P$178,9,FALSE),AB854)</f>
        <v>0.74933844856675635</v>
      </c>
      <c r="AC853" s="10">
        <f>IFERROR(VLOOKUP(Summary!B853,'Pre-Summary'!$A$6:$P$184,5, FALSE)/100,AC854)</f>
        <v>0.79696000000000011</v>
      </c>
      <c r="AD853" s="10">
        <f>IFERROR(VLOOKUP(Summary!B853,'Pre-Summary'!$A$6:$P$184,3, FALSE)/100,AD854)</f>
        <v>1.5776333333333337E-2</v>
      </c>
      <c r="AE853" s="10">
        <f>IFERROR(VLOOKUP(Summary!B853,'Pre-Summary'!$A$6:$P$184,7, FALSE)/100,AE854)</f>
        <v>0.18726333333333334</v>
      </c>
      <c r="AF853" s="99">
        <f t="shared" si="40"/>
        <v>1.1821813144072007E-2</v>
      </c>
      <c r="AG853" s="99">
        <f t="shared" si="41"/>
        <v>0.14032361567343934</v>
      </c>
      <c r="AH853" s="10" t="str">
        <f>IFERROR(VLOOKUP(B853,'Pre-Summary'!$AZ$6:$BE$65,3,FALSE),"")</f>
        <v/>
      </c>
      <c r="AI853" s="10" t="str">
        <f>IFERROR(VLOOKUP(B853,'Pre-Summary'!$AZ$6:$BE$65,5,FALSE),"")</f>
        <v/>
      </c>
      <c r="AJ853" s="10" t="str">
        <f>IFERROR(VLOOKUP(B853,'Pre-Summary'!$AZ$6:$BE$65,4,FALSE),"")</f>
        <v/>
      </c>
      <c r="AK853" s="10" t="str">
        <f>IFERROR(VLOOKUP(B853,'Pre-Summary'!$AZ$6:$BE$65,6,FALSE),"")</f>
        <v/>
      </c>
      <c r="AL853" s="10" t="str">
        <f>IFERROR(VLOOKUP(B853,'Pre-Summary'!$BG$6:$BL$44,3,FALSE),"")</f>
        <v/>
      </c>
      <c r="AM853" s="10" t="str">
        <f>IFERROR(VLOOKUP(B853,'Pre-Summary'!$BG$6:$BL$44,4,FALSE),"")</f>
        <v/>
      </c>
    </row>
    <row r="854" spans="2:39" ht="15" customHeight="1" x14ac:dyDescent="0.3">
      <c r="B854">
        <v>85.1</v>
      </c>
      <c r="C854" t="str">
        <f>IFERROR(VLOOKUP(B854,'Pre-Summary'!$DI$6:$DM$23,4,FALSE),"")</f>
        <v/>
      </c>
      <c r="D854" s="10" t="str">
        <f>IFERROR(VLOOKUP(B854,'Pre-Summary'!$AT$6:$AX$14,5,FALSE),D853)</f>
        <v>DSMZ v2: Dropped Na-Ac out of DSMZ 120 media</v>
      </c>
      <c r="E854" s="10" t="str">
        <f>IFERROR(VLOOKUP(B854,'Pre-Summary'!$AT$6:$AX$15,4,FALSE),"")</f>
        <v/>
      </c>
      <c r="F854">
        <f>IFERROR(VLOOKUP(B854,'Pre-Summary'!$AL$6:$AQ$13,6,FALSE),F853)</f>
        <v>5.9405263157894746E-2</v>
      </c>
      <c r="G854" t="str">
        <f>IFERROR(VLOOKUP(B854,'Pre-Summary'!$AE$6:$AJ$85,3,FALSE),"")</f>
        <v/>
      </c>
      <c r="H854" t="str">
        <f>IFERROR(VLOOKUP(B854,'Pre-Summary'!$AE$6:$AJ$85,4,FALSE),"")</f>
        <v/>
      </c>
      <c r="I854" t="str">
        <f>IFERROR(VLOOKUP(B854,'Pre-Summary'!$AE$6:$AJ$85,5,FALSE),"")</f>
        <v/>
      </c>
      <c r="J854" s="45" t="str">
        <f>IFERROR(VLOOKUP(B854,'Pre-Summary'!$AE$6:$AJ$85,6, FALSE),"")</f>
        <v/>
      </c>
      <c r="K854" s="45" t="str">
        <f>IFERROR(VLOOKUP(B854,'Pre-Summary'!$DE$6:$DG$61,3,FALSE),"")</f>
        <v/>
      </c>
      <c r="L854" s="45" t="str">
        <f>IFERROR(VLOOKUP(B854,'Pre-Summary'!$CU$6:$CW$36,3,FALSE),"")</f>
        <v/>
      </c>
      <c r="M854" s="45" t="str">
        <f>IFERROR(VLOOKUP(B854,'Pre-Summary'!$BW$6:$BY$58,2,FALSE),"")</f>
        <v/>
      </c>
      <c r="N854" s="45" t="str">
        <f>IFERROR(VLOOKUP(B854,'Pre-Summary'!$CD$6:$CF$64,2,FALSE),"")</f>
        <v/>
      </c>
      <c r="O854" s="99">
        <f>IFERROR(VLOOKUP(B854,'Pre-Summary'!$BO$6:$BQ$48,3, FALSE),O853)</f>
        <v>1.2</v>
      </c>
      <c r="P854" s="99">
        <f>IFERROR(VLOOKUP(B854,'Pre-Summary'!$BS$6:$BU$35,3,FALSE),P853)</f>
        <v>0.3</v>
      </c>
      <c r="Q854" s="54">
        <f t="shared" si="39"/>
        <v>4</v>
      </c>
      <c r="R854" s="53">
        <f>IFERROR(VLOOKUP(B854,'Pre-Summary'!$BG$6:$BM$44,7,FALSE),R855)</f>
        <v>6.4813973442575987E-2</v>
      </c>
      <c r="S854" s="53">
        <f>IFERROR(VLOOKUP(B854,'Pre-Summary'!$BG$6:$BM$44,6,FALSE),S855)</f>
        <v>9.4647776465945271E-2</v>
      </c>
      <c r="T854" s="45" t="str">
        <f>IFERROR(VLOOKUP(B854,'Pre-Summary'!$Y$6:$AC$83, 3,FALSE),"")</f>
        <v/>
      </c>
      <c r="U854" s="45" t="str">
        <f>IFERROR(VLOOKUP(B854,'Pre-Summary'!$Y$6:$AC$83, 4,FALSE),"")</f>
        <v/>
      </c>
      <c r="V854" t="str">
        <f>IFERROR(VLOOKUP(B854,'Pre-Summary'!$Y$6:$AC$83, 5,FALSE),"")</f>
        <v/>
      </c>
      <c r="W854" s="45" t="str">
        <f>IFERROR(VLOOKUP(B854,'Pre-Summary'!$Y$6:$AD$83,6,FALSE),"")</f>
        <v/>
      </c>
      <c r="X854" t="str">
        <f>IFERROR(VLOOKUP('Pre-Summary'!$DB$6:$DD$63,3,FALSE),"")</f>
        <v/>
      </c>
      <c r="Y854" t="str">
        <f>IFERROR(VLOOKUP(B854,'Pre-Summary'!$CR$6:$CT$36,3,FALSE),"")</f>
        <v/>
      </c>
      <c r="Z854" s="45" t="str">
        <f>IFERROR(VLOOKUP(B854,'Pre-Summary'!$BZ$6:$CB$63,2,FALSE),"")</f>
        <v/>
      </c>
      <c r="AA854" s="45" t="str">
        <f>IFERROR(VLOOKUP(B854,'Pre-Summary'!$CG$6:$CI$70,2,FALSE),"")</f>
        <v/>
      </c>
      <c r="AB854" s="99">
        <f>IFERROR(VLOOKUP(B854,'Pre-Summary'!$A$6:$P$178,9,FALSE),AB855)</f>
        <v>0.74933844856675635</v>
      </c>
      <c r="AC854" s="10">
        <f>IFERROR(VLOOKUP(Summary!B854,'Pre-Summary'!$A$6:$P$184,5, FALSE)/100,AC855)</f>
        <v>0.79696000000000011</v>
      </c>
      <c r="AD854" s="10">
        <f>IFERROR(VLOOKUP(Summary!B854,'Pre-Summary'!$A$6:$P$184,3, FALSE)/100,AD855)</f>
        <v>1.5776333333333337E-2</v>
      </c>
      <c r="AE854" s="10">
        <f>IFERROR(VLOOKUP(Summary!B854,'Pre-Summary'!$A$6:$P$184,7, FALSE)/100,AE855)</f>
        <v>0.18726333333333334</v>
      </c>
      <c r="AF854" s="99">
        <f t="shared" si="40"/>
        <v>1.1821813144072007E-2</v>
      </c>
      <c r="AG854" s="99">
        <f t="shared" si="41"/>
        <v>0.14032361567343934</v>
      </c>
      <c r="AH854" s="10" t="str">
        <f>IFERROR(VLOOKUP(B854,'Pre-Summary'!$AZ$6:$BE$65,3,FALSE),"")</f>
        <v/>
      </c>
      <c r="AI854" s="10" t="str">
        <f>IFERROR(VLOOKUP(B854,'Pre-Summary'!$AZ$6:$BE$65,5,FALSE),"")</f>
        <v/>
      </c>
      <c r="AJ854" s="10" t="str">
        <f>IFERROR(VLOOKUP(B854,'Pre-Summary'!$AZ$6:$BE$65,4,FALSE),"")</f>
        <v/>
      </c>
      <c r="AK854" s="10" t="str">
        <f>IFERROR(VLOOKUP(B854,'Pre-Summary'!$AZ$6:$BE$65,6,FALSE),"")</f>
        <v/>
      </c>
      <c r="AL854" s="10" t="str">
        <f>IFERROR(VLOOKUP(B854,'Pre-Summary'!$BG$6:$BL$44,3,FALSE),"")</f>
        <v/>
      </c>
      <c r="AM854" s="10" t="str">
        <f>IFERROR(VLOOKUP(B854,'Pre-Summary'!$BG$6:$BL$44,4,FALSE),"")</f>
        <v/>
      </c>
    </row>
    <row r="855" spans="2:39" ht="15" customHeight="1" x14ac:dyDescent="0.3">
      <c r="B855">
        <v>85.2</v>
      </c>
      <c r="C855" t="str">
        <f>IFERROR(VLOOKUP(B855,'Pre-Summary'!$DI$6:$DM$23,4,FALSE),"")</f>
        <v/>
      </c>
      <c r="D855" s="10" t="str">
        <f>IFERROR(VLOOKUP(B855,'Pre-Summary'!$AT$6:$AX$14,5,FALSE),D854)</f>
        <v>DSMZ v2: Dropped Na-Ac out of DSMZ 120 media</v>
      </c>
      <c r="E855" s="10" t="str">
        <f>IFERROR(VLOOKUP(B855,'Pre-Summary'!$AT$6:$AX$15,4,FALSE),"")</f>
        <v/>
      </c>
      <c r="F855">
        <f>IFERROR(VLOOKUP(B855,'Pre-Summary'!$AL$6:$AQ$13,6,FALSE),F854)</f>
        <v>5.9405263157894746E-2</v>
      </c>
      <c r="G855" t="str">
        <f>IFERROR(VLOOKUP(B855,'Pre-Summary'!$AE$6:$AJ$85,3,FALSE),"")</f>
        <v/>
      </c>
      <c r="H855" t="str">
        <f>IFERROR(VLOOKUP(B855,'Pre-Summary'!$AE$6:$AJ$85,4,FALSE),"")</f>
        <v/>
      </c>
      <c r="I855" t="str">
        <f>IFERROR(VLOOKUP(B855,'Pre-Summary'!$AE$6:$AJ$85,5,FALSE),"")</f>
        <v/>
      </c>
      <c r="J855" s="45" t="str">
        <f>IFERROR(VLOOKUP(B855,'Pre-Summary'!$AE$6:$AJ$85,6, FALSE),"")</f>
        <v/>
      </c>
      <c r="K855" s="45" t="str">
        <f>IFERROR(VLOOKUP(B855,'Pre-Summary'!$DE$6:$DG$61,3,FALSE),"")</f>
        <v/>
      </c>
      <c r="L855" s="45" t="str">
        <f>IFERROR(VLOOKUP(B855,'Pre-Summary'!$CU$6:$CW$36,3,FALSE),"")</f>
        <v/>
      </c>
      <c r="M855" s="45" t="str">
        <f>IFERROR(VLOOKUP(B855,'Pre-Summary'!$BW$6:$BY$58,2,FALSE),"")</f>
        <v/>
      </c>
      <c r="N855" s="45" t="str">
        <f>IFERROR(VLOOKUP(B855,'Pre-Summary'!$CD$6:$CF$64,2,FALSE),"")</f>
        <v/>
      </c>
      <c r="O855" s="99">
        <f>IFERROR(VLOOKUP(B855,'Pre-Summary'!$BO$6:$BQ$48,3, FALSE),O854)</f>
        <v>1.2</v>
      </c>
      <c r="P855" s="99">
        <f>IFERROR(VLOOKUP(B855,'Pre-Summary'!$BS$6:$BU$35,3,FALSE),P854)</f>
        <v>0.3</v>
      </c>
      <c r="Q855" s="54">
        <f t="shared" si="39"/>
        <v>4</v>
      </c>
      <c r="R855" s="53">
        <f>IFERROR(VLOOKUP(B855,'Pre-Summary'!$BG$6:$BM$44,7,FALSE),R856)</f>
        <v>6.4813973442575987E-2</v>
      </c>
      <c r="S855" s="53">
        <f>IFERROR(VLOOKUP(B855,'Pre-Summary'!$BG$6:$BM$44,6,FALSE),S856)</f>
        <v>9.4647776465945271E-2</v>
      </c>
      <c r="T855" s="45" t="str">
        <f>IFERROR(VLOOKUP(B855,'Pre-Summary'!$Y$6:$AC$83, 3,FALSE),"")</f>
        <v/>
      </c>
      <c r="U855" s="45" t="str">
        <f>IFERROR(VLOOKUP(B855,'Pre-Summary'!$Y$6:$AC$83, 4,FALSE),"")</f>
        <v/>
      </c>
      <c r="V855" t="str">
        <f>IFERROR(VLOOKUP(B855,'Pre-Summary'!$Y$6:$AC$83, 5,FALSE),"")</f>
        <v/>
      </c>
      <c r="W855" s="45" t="str">
        <f>IFERROR(VLOOKUP(B855,'Pre-Summary'!$Y$6:$AD$83,6,FALSE),"")</f>
        <v/>
      </c>
      <c r="X855" t="str">
        <f>IFERROR(VLOOKUP('Pre-Summary'!$DB$6:$DD$63,3,FALSE),"")</f>
        <v/>
      </c>
      <c r="Y855" t="str">
        <f>IFERROR(VLOOKUP(B855,'Pre-Summary'!$CR$6:$CT$36,3,FALSE),"")</f>
        <v/>
      </c>
      <c r="Z855" s="45" t="str">
        <f>IFERROR(VLOOKUP(B855,'Pre-Summary'!$BZ$6:$CB$63,2,FALSE),"")</f>
        <v/>
      </c>
      <c r="AA855" s="45" t="str">
        <f>IFERROR(VLOOKUP(B855,'Pre-Summary'!$CG$6:$CI$70,2,FALSE),"")</f>
        <v/>
      </c>
      <c r="AB855" s="99">
        <f>IFERROR(VLOOKUP(B855,'Pre-Summary'!$A$6:$P$178,9,FALSE),AB856)</f>
        <v>0.74933844856675635</v>
      </c>
      <c r="AC855" s="10">
        <f>IFERROR(VLOOKUP(Summary!B855,'Pre-Summary'!$A$6:$P$184,5, FALSE)/100,AC856)</f>
        <v>0.79696000000000011</v>
      </c>
      <c r="AD855" s="10">
        <f>IFERROR(VLOOKUP(Summary!B855,'Pre-Summary'!$A$6:$P$184,3, FALSE)/100,AD856)</f>
        <v>1.5776333333333337E-2</v>
      </c>
      <c r="AE855" s="10">
        <f>IFERROR(VLOOKUP(Summary!B855,'Pre-Summary'!$A$6:$P$184,7, FALSE)/100,AE856)</f>
        <v>0.18726333333333334</v>
      </c>
      <c r="AF855" s="99">
        <f t="shared" si="40"/>
        <v>1.1821813144072007E-2</v>
      </c>
      <c r="AG855" s="99">
        <f t="shared" si="41"/>
        <v>0.14032361567343934</v>
      </c>
      <c r="AH855" s="10" t="str">
        <f>IFERROR(VLOOKUP(B855,'Pre-Summary'!$AZ$6:$BE$65,3,FALSE),"")</f>
        <v/>
      </c>
      <c r="AI855" s="10" t="str">
        <f>IFERROR(VLOOKUP(B855,'Pre-Summary'!$AZ$6:$BE$65,5,FALSE),"")</f>
        <v/>
      </c>
      <c r="AJ855" s="10" t="str">
        <f>IFERROR(VLOOKUP(B855,'Pre-Summary'!$AZ$6:$BE$65,4,FALSE),"")</f>
        <v/>
      </c>
      <c r="AK855" s="10" t="str">
        <f>IFERROR(VLOOKUP(B855,'Pre-Summary'!$AZ$6:$BE$65,6,FALSE),"")</f>
        <v/>
      </c>
      <c r="AL855" s="10" t="str">
        <f>IFERROR(VLOOKUP(B855,'Pre-Summary'!$BG$6:$BL$44,3,FALSE),"")</f>
        <v/>
      </c>
      <c r="AM855" s="10" t="str">
        <f>IFERROR(VLOOKUP(B855,'Pre-Summary'!$BG$6:$BL$44,4,FALSE),"")</f>
        <v/>
      </c>
    </row>
    <row r="856" spans="2:39" ht="15" customHeight="1" x14ac:dyDescent="0.3">
      <c r="B856">
        <v>85.3</v>
      </c>
      <c r="C856" t="str">
        <f>IFERROR(VLOOKUP(B856,'Pre-Summary'!$DI$6:$DM$23,4,FALSE),"")</f>
        <v/>
      </c>
      <c r="D856" s="10" t="str">
        <f>IFERROR(VLOOKUP(B856,'Pre-Summary'!$AT$6:$AX$14,5,FALSE),D855)</f>
        <v>DSMZ v2: Dropped Na-Ac out of DSMZ 120 media</v>
      </c>
      <c r="E856" s="10" t="str">
        <f>IFERROR(VLOOKUP(B856,'Pre-Summary'!$AT$6:$AX$15,4,FALSE),"")</f>
        <v/>
      </c>
      <c r="F856">
        <f>IFERROR(VLOOKUP(B856,'Pre-Summary'!$AL$6:$AQ$13,6,FALSE),F855)</f>
        <v>5.9405263157894746E-2</v>
      </c>
      <c r="G856" t="str">
        <f>IFERROR(VLOOKUP(B856,'Pre-Summary'!$AE$6:$AJ$85,3,FALSE),"")</f>
        <v/>
      </c>
      <c r="H856" t="str">
        <f>IFERROR(VLOOKUP(B856,'Pre-Summary'!$AE$6:$AJ$85,4,FALSE),"")</f>
        <v/>
      </c>
      <c r="I856" t="str">
        <f>IFERROR(VLOOKUP(B856,'Pre-Summary'!$AE$6:$AJ$85,5,FALSE),"")</f>
        <v/>
      </c>
      <c r="J856" s="45" t="str">
        <f>IFERROR(VLOOKUP(B856,'Pre-Summary'!$AE$6:$AJ$85,6, FALSE),"")</f>
        <v/>
      </c>
      <c r="K856" s="45" t="str">
        <f>IFERROR(VLOOKUP(B856,'Pre-Summary'!$DE$6:$DG$61,3,FALSE),"")</f>
        <v/>
      </c>
      <c r="L856" s="45" t="str">
        <f>IFERROR(VLOOKUP(B856,'Pre-Summary'!$CU$6:$CW$36,3,FALSE),"")</f>
        <v/>
      </c>
      <c r="M856" s="45" t="str">
        <f>IFERROR(VLOOKUP(B856,'Pre-Summary'!$BW$6:$BY$58,2,FALSE),"")</f>
        <v/>
      </c>
      <c r="N856" s="45" t="str">
        <f>IFERROR(VLOOKUP(B856,'Pre-Summary'!$CD$6:$CF$64,2,FALSE),"")</f>
        <v/>
      </c>
      <c r="O856" s="99">
        <f>IFERROR(VLOOKUP(B856,'Pre-Summary'!$BO$6:$BQ$48,3, FALSE),O855)</f>
        <v>1.2</v>
      </c>
      <c r="P856" s="99">
        <f>IFERROR(VLOOKUP(B856,'Pre-Summary'!$BS$6:$BU$35,3,FALSE),P855)</f>
        <v>0.3</v>
      </c>
      <c r="Q856" s="54">
        <f t="shared" si="39"/>
        <v>4</v>
      </c>
      <c r="R856" s="53">
        <f>IFERROR(VLOOKUP(B856,'Pre-Summary'!$BG$6:$BM$44,7,FALSE),R857)</f>
        <v>6.4813973442575987E-2</v>
      </c>
      <c r="S856" s="53">
        <f>IFERROR(VLOOKUP(B856,'Pre-Summary'!$BG$6:$BM$44,6,FALSE),S857)</f>
        <v>9.4647776465945271E-2</v>
      </c>
      <c r="T856" s="45" t="str">
        <f>IFERROR(VLOOKUP(B856,'Pre-Summary'!$Y$6:$AC$83, 3,FALSE),"")</f>
        <v/>
      </c>
      <c r="U856" s="45" t="str">
        <f>IFERROR(VLOOKUP(B856,'Pre-Summary'!$Y$6:$AC$83, 4,FALSE),"")</f>
        <v/>
      </c>
      <c r="V856" t="str">
        <f>IFERROR(VLOOKUP(B856,'Pre-Summary'!$Y$6:$AC$83, 5,FALSE),"")</f>
        <v/>
      </c>
      <c r="W856" s="45" t="str">
        <f>IFERROR(VLOOKUP(B856,'Pre-Summary'!$Y$6:$AD$83,6,FALSE),"")</f>
        <v/>
      </c>
      <c r="X856" t="str">
        <f>IFERROR(VLOOKUP('Pre-Summary'!$DB$6:$DD$63,3,FALSE),"")</f>
        <v/>
      </c>
      <c r="Y856" t="str">
        <f>IFERROR(VLOOKUP(B856,'Pre-Summary'!$CR$6:$CT$36,3,FALSE),"")</f>
        <v/>
      </c>
      <c r="Z856" s="45" t="str">
        <f>IFERROR(VLOOKUP(B856,'Pre-Summary'!$BZ$6:$CB$63,2,FALSE),"")</f>
        <v/>
      </c>
      <c r="AA856" s="45" t="str">
        <f>IFERROR(VLOOKUP(B856,'Pre-Summary'!$CG$6:$CI$70,2,FALSE),"")</f>
        <v/>
      </c>
      <c r="AB856" s="99">
        <f>IFERROR(VLOOKUP(B856,'Pre-Summary'!$A$6:$P$178,9,FALSE),AB857)</f>
        <v>0.74933844856675635</v>
      </c>
      <c r="AC856" s="10">
        <f>IFERROR(VLOOKUP(Summary!B856,'Pre-Summary'!$A$6:$P$184,5, FALSE)/100,AC857)</f>
        <v>0.79696000000000011</v>
      </c>
      <c r="AD856" s="10">
        <f>IFERROR(VLOOKUP(Summary!B856,'Pre-Summary'!$A$6:$P$184,3, FALSE)/100,AD857)</f>
        <v>1.5776333333333337E-2</v>
      </c>
      <c r="AE856" s="10">
        <f>IFERROR(VLOOKUP(Summary!B856,'Pre-Summary'!$A$6:$P$184,7, FALSE)/100,AE857)</f>
        <v>0.18726333333333334</v>
      </c>
      <c r="AF856" s="99">
        <f t="shared" si="40"/>
        <v>1.1821813144072007E-2</v>
      </c>
      <c r="AG856" s="99">
        <f t="shared" si="41"/>
        <v>0.14032361567343934</v>
      </c>
      <c r="AH856" s="10" t="str">
        <f>IFERROR(VLOOKUP(B856,'Pre-Summary'!$AZ$6:$BE$65,3,FALSE),"")</f>
        <v/>
      </c>
      <c r="AI856" s="10" t="str">
        <f>IFERROR(VLOOKUP(B856,'Pre-Summary'!$AZ$6:$BE$65,5,FALSE),"")</f>
        <v/>
      </c>
      <c r="AJ856" s="10" t="str">
        <f>IFERROR(VLOOKUP(B856,'Pre-Summary'!$AZ$6:$BE$65,4,FALSE),"")</f>
        <v/>
      </c>
      <c r="AK856" s="10" t="str">
        <f>IFERROR(VLOOKUP(B856,'Pre-Summary'!$AZ$6:$BE$65,6,FALSE),"")</f>
        <v/>
      </c>
      <c r="AL856" s="10" t="str">
        <f>IFERROR(VLOOKUP(B856,'Pre-Summary'!$BG$6:$BL$44,3,FALSE),"")</f>
        <v/>
      </c>
      <c r="AM856" s="10" t="str">
        <f>IFERROR(VLOOKUP(B856,'Pre-Summary'!$BG$6:$BL$44,4,FALSE),"")</f>
        <v/>
      </c>
    </row>
    <row r="857" spans="2:39" ht="15" customHeight="1" x14ac:dyDescent="0.3">
      <c r="B857">
        <v>85.4</v>
      </c>
      <c r="C857" t="str">
        <f>IFERROR(VLOOKUP(B857,'Pre-Summary'!$DI$6:$DM$23,4,FALSE),"")</f>
        <v/>
      </c>
      <c r="D857" s="10" t="str">
        <f>IFERROR(VLOOKUP(B857,'Pre-Summary'!$AT$6:$AX$14,5,FALSE),D856)</f>
        <v>DSMZ v2: Dropped Na-Ac out of DSMZ 120 media</v>
      </c>
      <c r="E857" s="10" t="str">
        <f>IFERROR(VLOOKUP(B857,'Pre-Summary'!$AT$6:$AX$15,4,FALSE),"")</f>
        <v/>
      </c>
      <c r="F857">
        <f>IFERROR(VLOOKUP(B857,'Pre-Summary'!$AL$6:$AQ$13,6,FALSE),F856)</f>
        <v>5.9405263157894746E-2</v>
      </c>
      <c r="G857" t="str">
        <f>IFERROR(VLOOKUP(B857,'Pre-Summary'!$AE$6:$AJ$85,3,FALSE),"")</f>
        <v/>
      </c>
      <c r="H857" t="str">
        <f>IFERROR(VLOOKUP(B857,'Pre-Summary'!$AE$6:$AJ$85,4,FALSE),"")</f>
        <v/>
      </c>
      <c r="I857" t="str">
        <f>IFERROR(VLOOKUP(B857,'Pre-Summary'!$AE$6:$AJ$85,5,FALSE),"")</f>
        <v/>
      </c>
      <c r="J857" s="45" t="str">
        <f>IFERROR(VLOOKUP(B857,'Pre-Summary'!$AE$6:$AJ$85,6, FALSE),"")</f>
        <v/>
      </c>
      <c r="K857" s="45" t="str">
        <f>IFERROR(VLOOKUP(B857,'Pre-Summary'!$DE$6:$DG$61,3,FALSE),"")</f>
        <v/>
      </c>
      <c r="L857" s="45" t="str">
        <f>IFERROR(VLOOKUP(B857,'Pre-Summary'!$CU$6:$CW$36,3,FALSE),"")</f>
        <v/>
      </c>
      <c r="M857" s="45" t="str">
        <f>IFERROR(VLOOKUP(B857,'Pre-Summary'!$BW$6:$BY$58,2,FALSE),"")</f>
        <v/>
      </c>
      <c r="N857" s="45" t="str">
        <f>IFERROR(VLOOKUP(B857,'Pre-Summary'!$CD$6:$CF$64,2,FALSE),"")</f>
        <v/>
      </c>
      <c r="O857" s="99">
        <f>IFERROR(VLOOKUP(B857,'Pre-Summary'!$BO$6:$BQ$48,3, FALSE),O856)</f>
        <v>1.2</v>
      </c>
      <c r="P857" s="99">
        <f>IFERROR(VLOOKUP(B857,'Pre-Summary'!$BS$6:$BU$35,3,FALSE),P856)</f>
        <v>0.3</v>
      </c>
      <c r="Q857" s="54">
        <f t="shared" si="39"/>
        <v>4</v>
      </c>
      <c r="R857" s="53">
        <f>IFERROR(VLOOKUP(B857,'Pre-Summary'!$BG$6:$BM$44,7,FALSE),R858)</f>
        <v>6.4813973442575987E-2</v>
      </c>
      <c r="S857" s="53">
        <f>IFERROR(VLOOKUP(B857,'Pre-Summary'!$BG$6:$BM$44,6,FALSE),S858)</f>
        <v>9.4647776465945271E-2</v>
      </c>
      <c r="T857" s="45" t="str">
        <f>IFERROR(VLOOKUP(B857,'Pre-Summary'!$Y$6:$AC$83, 3,FALSE),"")</f>
        <v/>
      </c>
      <c r="U857" s="45" t="str">
        <f>IFERROR(VLOOKUP(B857,'Pre-Summary'!$Y$6:$AC$83, 4,FALSE),"")</f>
        <v/>
      </c>
      <c r="V857" t="str">
        <f>IFERROR(VLOOKUP(B857,'Pre-Summary'!$Y$6:$AC$83, 5,FALSE),"")</f>
        <v/>
      </c>
      <c r="W857" s="45" t="str">
        <f>IFERROR(VLOOKUP(B857,'Pre-Summary'!$Y$6:$AD$83,6,FALSE),"")</f>
        <v/>
      </c>
      <c r="X857" t="str">
        <f>IFERROR(VLOOKUP('Pre-Summary'!$DB$6:$DD$63,3,FALSE),"")</f>
        <v/>
      </c>
      <c r="Y857" t="str">
        <f>IFERROR(VLOOKUP(B857,'Pre-Summary'!$CR$6:$CT$36,3,FALSE),"")</f>
        <v/>
      </c>
      <c r="Z857" s="45" t="str">
        <f>IFERROR(VLOOKUP(B857,'Pre-Summary'!$BZ$6:$CB$63,2,FALSE),"")</f>
        <v/>
      </c>
      <c r="AA857" s="45" t="str">
        <f>IFERROR(VLOOKUP(B857,'Pre-Summary'!$CG$6:$CI$70,2,FALSE),"")</f>
        <v/>
      </c>
      <c r="AB857" s="99">
        <f>IFERROR(VLOOKUP(B857,'Pre-Summary'!$A$6:$P$178,9,FALSE),AB858)</f>
        <v>0.74933844856675635</v>
      </c>
      <c r="AC857" s="10">
        <f>IFERROR(VLOOKUP(Summary!B857,'Pre-Summary'!$A$6:$P$184,5, FALSE)/100,AC858)</f>
        <v>0.79696000000000011</v>
      </c>
      <c r="AD857" s="10">
        <f>IFERROR(VLOOKUP(Summary!B857,'Pre-Summary'!$A$6:$P$184,3, FALSE)/100,AD858)</f>
        <v>1.5776333333333337E-2</v>
      </c>
      <c r="AE857" s="10">
        <f>IFERROR(VLOOKUP(Summary!B857,'Pre-Summary'!$A$6:$P$184,7, FALSE)/100,AE858)</f>
        <v>0.18726333333333334</v>
      </c>
      <c r="AF857" s="99">
        <f t="shared" si="40"/>
        <v>1.1821813144072007E-2</v>
      </c>
      <c r="AG857" s="99">
        <f t="shared" si="41"/>
        <v>0.14032361567343934</v>
      </c>
      <c r="AH857" s="10" t="str">
        <f>IFERROR(VLOOKUP(B857,'Pre-Summary'!$AZ$6:$BE$65,3,FALSE),"")</f>
        <v/>
      </c>
      <c r="AI857" s="10" t="str">
        <f>IFERROR(VLOOKUP(B857,'Pre-Summary'!$AZ$6:$BE$65,5,FALSE),"")</f>
        <v/>
      </c>
      <c r="AJ857" s="10" t="str">
        <f>IFERROR(VLOOKUP(B857,'Pre-Summary'!$AZ$6:$BE$65,4,FALSE),"")</f>
        <v/>
      </c>
      <c r="AK857" s="10" t="str">
        <f>IFERROR(VLOOKUP(B857,'Pre-Summary'!$AZ$6:$BE$65,6,FALSE),"")</f>
        <v/>
      </c>
      <c r="AL857" s="10" t="str">
        <f>IFERROR(VLOOKUP(B857,'Pre-Summary'!$BG$6:$BL$44,3,FALSE),"")</f>
        <v/>
      </c>
      <c r="AM857" s="10" t="str">
        <f>IFERROR(VLOOKUP(B857,'Pre-Summary'!$BG$6:$BL$44,4,FALSE),"")</f>
        <v/>
      </c>
    </row>
    <row r="858" spans="2:39" ht="15" customHeight="1" x14ac:dyDescent="0.3">
      <c r="B858">
        <v>85.5</v>
      </c>
      <c r="C858" t="str">
        <f>IFERROR(VLOOKUP(B858,'Pre-Summary'!$DI$6:$DM$23,4,FALSE),"")</f>
        <v/>
      </c>
      <c r="D858" s="10" t="str">
        <f>IFERROR(VLOOKUP(B858,'Pre-Summary'!$AT$6:$AX$14,5,FALSE),D857)</f>
        <v>DSMZ v2: Dropped Na-Ac out of DSMZ 120 media</v>
      </c>
      <c r="E858" s="10" t="str">
        <f>IFERROR(VLOOKUP(B858,'Pre-Summary'!$AT$6:$AX$15,4,FALSE),"")</f>
        <v/>
      </c>
      <c r="F858">
        <f>IFERROR(VLOOKUP(B858,'Pre-Summary'!$AL$6:$AQ$13,6,FALSE),F857)</f>
        <v>5.9405263157894746E-2</v>
      </c>
      <c r="G858" t="str">
        <f>IFERROR(VLOOKUP(B858,'Pre-Summary'!$AE$6:$AJ$85,3,FALSE),"")</f>
        <v/>
      </c>
      <c r="H858" t="str">
        <f>IFERROR(VLOOKUP(B858,'Pre-Summary'!$AE$6:$AJ$85,4,FALSE),"")</f>
        <v/>
      </c>
      <c r="I858" t="str">
        <f>IFERROR(VLOOKUP(B858,'Pre-Summary'!$AE$6:$AJ$85,5,FALSE),"")</f>
        <v/>
      </c>
      <c r="J858" s="45" t="str">
        <f>IFERROR(VLOOKUP(B858,'Pre-Summary'!$AE$6:$AJ$85,6, FALSE),"")</f>
        <v/>
      </c>
      <c r="K858" s="45" t="str">
        <f>IFERROR(VLOOKUP(B858,'Pre-Summary'!$DE$6:$DG$61,3,FALSE),"")</f>
        <v/>
      </c>
      <c r="L858" s="45" t="str">
        <f>IFERROR(VLOOKUP(B858,'Pre-Summary'!$CU$6:$CW$36,3,FALSE),"")</f>
        <v/>
      </c>
      <c r="M858" s="45" t="str">
        <f>IFERROR(VLOOKUP(B858,'Pre-Summary'!$BW$6:$BY$58,2,FALSE),"")</f>
        <v/>
      </c>
      <c r="N858" s="45">
        <f>IFERROR(VLOOKUP(B858,'Pre-Summary'!$CD$6:$CF$64,2,FALSE),"")</f>
        <v>4879.6585985089896</v>
      </c>
      <c r="O858" s="99">
        <f>IFERROR(VLOOKUP(B858,'Pre-Summary'!$BO$6:$BQ$48,3, FALSE),O857)</f>
        <v>1.2</v>
      </c>
      <c r="P858" s="99">
        <f>IFERROR(VLOOKUP(B858,'Pre-Summary'!$BS$6:$BU$35,3,FALSE),P857)</f>
        <v>0.3</v>
      </c>
      <c r="Q858" s="54">
        <f t="shared" si="39"/>
        <v>4</v>
      </c>
      <c r="R858" s="53">
        <f>IFERROR(VLOOKUP(B858,'Pre-Summary'!$BG$6:$BM$44,7,FALSE),R859)</f>
        <v>6.4813973442575987E-2</v>
      </c>
      <c r="S858" s="53">
        <f>IFERROR(VLOOKUP(B858,'Pre-Summary'!$BG$6:$BM$44,6,FALSE),S859)</f>
        <v>9.4647776465945271E-2</v>
      </c>
      <c r="T858" s="45" t="str">
        <f>IFERROR(VLOOKUP(B858,'Pre-Summary'!$Y$6:$AC$83, 3,FALSE),"")</f>
        <v/>
      </c>
      <c r="U858" s="45" t="str">
        <f>IFERROR(VLOOKUP(B858,'Pre-Summary'!$Y$6:$AC$83, 4,FALSE),"")</f>
        <v/>
      </c>
      <c r="V858" t="str">
        <f>IFERROR(VLOOKUP(B858,'Pre-Summary'!$Y$6:$AC$83, 5,FALSE),"")</f>
        <v/>
      </c>
      <c r="W858" s="45" t="str">
        <f>IFERROR(VLOOKUP(B858,'Pre-Summary'!$Y$6:$AD$83,6,FALSE),"")</f>
        <v/>
      </c>
      <c r="X858" t="str">
        <f>IFERROR(VLOOKUP('Pre-Summary'!$DB$6:$DD$63,3,FALSE),"")</f>
        <v/>
      </c>
      <c r="Y858" t="str">
        <f>IFERROR(VLOOKUP(B858,'Pre-Summary'!$CR$6:$CT$36,3,FALSE),"")</f>
        <v/>
      </c>
      <c r="Z858" s="45" t="str">
        <f>IFERROR(VLOOKUP(B858,'Pre-Summary'!$BZ$6:$CB$63,2,FALSE),"")</f>
        <v/>
      </c>
      <c r="AA858" s="45" t="str">
        <f>IFERROR(VLOOKUP(B858,'Pre-Summary'!$CG$6:$CI$70,2,FALSE),"")</f>
        <v/>
      </c>
      <c r="AB858" s="99">
        <f>IFERROR(VLOOKUP(B858,'Pre-Summary'!$A$6:$P$178,9,FALSE),AB859)</f>
        <v>0.74933844856675635</v>
      </c>
      <c r="AC858" s="10">
        <f>IFERROR(VLOOKUP(Summary!B858,'Pre-Summary'!$A$6:$P$184,5, FALSE)/100,AC859)</f>
        <v>0.79696000000000011</v>
      </c>
      <c r="AD858" s="10">
        <f>IFERROR(VLOOKUP(Summary!B858,'Pre-Summary'!$A$6:$P$184,3, FALSE)/100,AD859)</f>
        <v>1.5776333333333337E-2</v>
      </c>
      <c r="AE858" s="10">
        <f>IFERROR(VLOOKUP(Summary!B858,'Pre-Summary'!$A$6:$P$184,7, FALSE)/100,AE859)</f>
        <v>0.18726333333333334</v>
      </c>
      <c r="AF858" s="99">
        <f t="shared" si="40"/>
        <v>1.1821813144072007E-2</v>
      </c>
      <c r="AG858" s="99">
        <f t="shared" si="41"/>
        <v>0.14032361567343934</v>
      </c>
      <c r="AH858" s="10" t="str">
        <f>IFERROR(VLOOKUP(B858,'Pre-Summary'!$AZ$6:$BE$65,3,FALSE),"")</f>
        <v/>
      </c>
      <c r="AI858" s="10" t="str">
        <f>IFERROR(VLOOKUP(B858,'Pre-Summary'!$AZ$6:$BE$65,5,FALSE),"")</f>
        <v/>
      </c>
      <c r="AJ858" s="10" t="str">
        <f>IFERROR(VLOOKUP(B858,'Pre-Summary'!$AZ$6:$BE$65,4,FALSE),"")</f>
        <v/>
      </c>
      <c r="AK858" s="10" t="str">
        <f>IFERROR(VLOOKUP(B858,'Pre-Summary'!$AZ$6:$BE$65,6,FALSE),"")</f>
        <v/>
      </c>
      <c r="AL858" s="10" t="str">
        <f>IFERROR(VLOOKUP(B858,'Pre-Summary'!$BG$6:$BL$44,3,FALSE),"")</f>
        <v/>
      </c>
      <c r="AM858" s="10" t="str">
        <f>IFERROR(VLOOKUP(B858,'Pre-Summary'!$BG$6:$BL$44,4,FALSE),"")</f>
        <v/>
      </c>
    </row>
    <row r="859" spans="2:39" ht="15" customHeight="1" x14ac:dyDescent="0.3">
      <c r="B859">
        <v>85.6</v>
      </c>
      <c r="C859" t="str">
        <f>IFERROR(VLOOKUP(B859,'Pre-Summary'!$DI$6:$DM$23,4,FALSE),"")</f>
        <v/>
      </c>
      <c r="D859" s="10" t="str">
        <f>IFERROR(VLOOKUP(B859,'Pre-Summary'!$AT$6:$AX$14,5,FALSE),D858)</f>
        <v>DSMZ v2: Dropped Na-Ac out of DSMZ 120 media</v>
      </c>
      <c r="E859" s="10" t="str">
        <f>IFERROR(VLOOKUP(B859,'Pre-Summary'!$AT$6:$AX$15,4,FALSE),"")</f>
        <v/>
      </c>
      <c r="F859">
        <f>IFERROR(VLOOKUP(B859,'Pre-Summary'!$AL$6:$AQ$13,6,FALSE),F858)</f>
        <v>5.9405263157894746E-2</v>
      </c>
      <c r="G859" t="str">
        <f>IFERROR(VLOOKUP(B859,'Pre-Summary'!$AE$6:$AJ$85,3,FALSE),"")</f>
        <v/>
      </c>
      <c r="H859" t="str">
        <f>IFERROR(VLOOKUP(B859,'Pre-Summary'!$AE$6:$AJ$85,4,FALSE),"")</f>
        <v/>
      </c>
      <c r="I859" t="str">
        <f>IFERROR(VLOOKUP(B859,'Pre-Summary'!$AE$6:$AJ$85,5,FALSE),"")</f>
        <v/>
      </c>
      <c r="J859" s="45" t="str">
        <f>IFERROR(VLOOKUP(B859,'Pre-Summary'!$AE$6:$AJ$85,6, FALSE),"")</f>
        <v/>
      </c>
      <c r="K859" s="45" t="str">
        <f>IFERROR(VLOOKUP(B859,'Pre-Summary'!$DE$6:$DG$61,3,FALSE),"")</f>
        <v/>
      </c>
      <c r="L859" s="45" t="str">
        <f>IFERROR(VLOOKUP(B859,'Pre-Summary'!$CU$6:$CW$36,3,FALSE),"")</f>
        <v/>
      </c>
      <c r="M859" s="45" t="str">
        <f>IFERROR(VLOOKUP(B859,'Pre-Summary'!$BW$6:$BY$58,2,FALSE),"")</f>
        <v/>
      </c>
      <c r="N859" s="45" t="str">
        <f>IFERROR(VLOOKUP(B859,'Pre-Summary'!$CD$6:$CF$64,2,FALSE),"")</f>
        <v/>
      </c>
      <c r="O859" s="99">
        <f>IFERROR(VLOOKUP(B859,'Pre-Summary'!$BO$6:$BQ$48,3, FALSE),O858)</f>
        <v>1.2</v>
      </c>
      <c r="P859" s="99">
        <f>IFERROR(VLOOKUP(B859,'Pre-Summary'!$BS$6:$BU$35,3,FALSE),P858)</f>
        <v>0.3</v>
      </c>
      <c r="Q859" s="54">
        <f t="shared" si="39"/>
        <v>4</v>
      </c>
      <c r="R859" s="53">
        <f>IFERROR(VLOOKUP(B859,'Pre-Summary'!$BG$6:$BM$44,7,FALSE),R860)</f>
        <v>6.4813973442575987E-2</v>
      </c>
      <c r="S859" s="53">
        <f>IFERROR(VLOOKUP(B859,'Pre-Summary'!$BG$6:$BM$44,6,FALSE),S860)</f>
        <v>9.4647776465945271E-2</v>
      </c>
      <c r="T859" s="45" t="str">
        <f>IFERROR(VLOOKUP(B859,'Pre-Summary'!$Y$6:$AC$83, 3,FALSE),"")</f>
        <v/>
      </c>
      <c r="U859" s="45" t="str">
        <f>IFERROR(VLOOKUP(B859,'Pre-Summary'!$Y$6:$AC$83, 4,FALSE),"")</f>
        <v/>
      </c>
      <c r="V859" t="str">
        <f>IFERROR(VLOOKUP(B859,'Pre-Summary'!$Y$6:$AC$83, 5,FALSE),"")</f>
        <v/>
      </c>
      <c r="W859" s="45" t="str">
        <f>IFERROR(VLOOKUP(B859,'Pre-Summary'!$Y$6:$AD$83,6,FALSE),"")</f>
        <v/>
      </c>
      <c r="X859" t="str">
        <f>IFERROR(VLOOKUP('Pre-Summary'!$DB$6:$DD$63,3,FALSE),"")</f>
        <v/>
      </c>
      <c r="Y859" t="str">
        <f>IFERROR(VLOOKUP(B859,'Pre-Summary'!$CR$6:$CT$36,3,FALSE),"")</f>
        <v/>
      </c>
      <c r="Z859" s="45" t="str">
        <f>IFERROR(VLOOKUP(B859,'Pre-Summary'!$BZ$6:$CB$63,2,FALSE),"")</f>
        <v/>
      </c>
      <c r="AA859" s="45" t="str">
        <f>IFERROR(VLOOKUP(B859,'Pre-Summary'!$CG$6:$CI$70,2,FALSE),"")</f>
        <v/>
      </c>
      <c r="AB859" s="99">
        <f>IFERROR(VLOOKUP(B859,'Pre-Summary'!$A$6:$P$178,9,FALSE),AB860)</f>
        <v>0.74933844856675635</v>
      </c>
      <c r="AC859" s="10">
        <f>IFERROR(VLOOKUP(Summary!B859,'Pre-Summary'!$A$6:$P$184,5, FALSE)/100,AC860)</f>
        <v>0.79696000000000011</v>
      </c>
      <c r="AD859" s="10">
        <f>IFERROR(VLOOKUP(Summary!B859,'Pre-Summary'!$A$6:$P$184,3, FALSE)/100,AD860)</f>
        <v>1.5776333333333337E-2</v>
      </c>
      <c r="AE859" s="10">
        <f>IFERROR(VLOOKUP(Summary!B859,'Pre-Summary'!$A$6:$P$184,7, FALSE)/100,AE860)</f>
        <v>0.18726333333333334</v>
      </c>
      <c r="AF859" s="99">
        <f t="shared" si="40"/>
        <v>1.1821813144072007E-2</v>
      </c>
      <c r="AG859" s="99">
        <f t="shared" si="41"/>
        <v>0.14032361567343934</v>
      </c>
      <c r="AH859" s="10" t="str">
        <f>IFERROR(VLOOKUP(B859,'Pre-Summary'!$AZ$6:$BE$65,3,FALSE),"")</f>
        <v/>
      </c>
      <c r="AI859" s="10" t="str">
        <f>IFERROR(VLOOKUP(B859,'Pre-Summary'!$AZ$6:$BE$65,5,FALSE),"")</f>
        <v/>
      </c>
      <c r="AJ859" s="10" t="str">
        <f>IFERROR(VLOOKUP(B859,'Pre-Summary'!$AZ$6:$BE$65,4,FALSE),"")</f>
        <v/>
      </c>
      <c r="AK859" s="10" t="str">
        <f>IFERROR(VLOOKUP(B859,'Pre-Summary'!$AZ$6:$BE$65,6,FALSE),"")</f>
        <v/>
      </c>
      <c r="AL859" s="10" t="str">
        <f>IFERROR(VLOOKUP(B859,'Pre-Summary'!$BG$6:$BL$44,3,FALSE),"")</f>
        <v/>
      </c>
      <c r="AM859" s="10" t="str">
        <f>IFERROR(VLOOKUP(B859,'Pre-Summary'!$BG$6:$BL$44,4,FALSE),"")</f>
        <v/>
      </c>
    </row>
    <row r="860" spans="2:39" ht="15" customHeight="1" x14ac:dyDescent="0.3">
      <c r="B860">
        <v>85.7</v>
      </c>
      <c r="C860" t="str">
        <f>IFERROR(VLOOKUP(B860,'Pre-Summary'!$DI$6:$DM$23,4,FALSE),"")</f>
        <v/>
      </c>
      <c r="D860" s="10" t="str">
        <f>IFERROR(VLOOKUP(B860,'Pre-Summary'!$AT$6:$AX$14,5,FALSE),D859)</f>
        <v>DSMZ v2: Dropped Na-Ac out of DSMZ 120 media</v>
      </c>
      <c r="E860" s="10" t="str">
        <f>IFERROR(VLOOKUP(B860,'Pre-Summary'!$AT$6:$AX$15,4,FALSE),"")</f>
        <v/>
      </c>
      <c r="F860">
        <f>IFERROR(VLOOKUP(B860,'Pre-Summary'!$AL$6:$AQ$13,6,FALSE),F859)</f>
        <v>5.9405263157894746E-2</v>
      </c>
      <c r="G860" t="str">
        <f>IFERROR(VLOOKUP(B860,'Pre-Summary'!$AE$6:$AJ$85,3,FALSE),"")</f>
        <v/>
      </c>
      <c r="H860" t="str">
        <f>IFERROR(VLOOKUP(B860,'Pre-Summary'!$AE$6:$AJ$85,4,FALSE),"")</f>
        <v/>
      </c>
      <c r="I860" t="str">
        <f>IFERROR(VLOOKUP(B860,'Pre-Summary'!$AE$6:$AJ$85,5,FALSE),"")</f>
        <v/>
      </c>
      <c r="J860" s="45" t="str">
        <f>IFERROR(VLOOKUP(B860,'Pre-Summary'!$AE$6:$AJ$85,6, FALSE),"")</f>
        <v/>
      </c>
      <c r="K860" s="45" t="str">
        <f>IFERROR(VLOOKUP(B860,'Pre-Summary'!$DE$6:$DG$61,3,FALSE),"")</f>
        <v/>
      </c>
      <c r="L860" s="45" t="str">
        <f>IFERROR(VLOOKUP(B860,'Pre-Summary'!$CU$6:$CW$36,3,FALSE),"")</f>
        <v/>
      </c>
      <c r="M860" s="45" t="str">
        <f>IFERROR(VLOOKUP(B860,'Pre-Summary'!$BW$6:$BY$58,2,FALSE),"")</f>
        <v/>
      </c>
      <c r="N860" s="45" t="str">
        <f>IFERROR(VLOOKUP(B860,'Pre-Summary'!$CD$6:$CF$64,2,FALSE),"")</f>
        <v/>
      </c>
      <c r="O860" s="99">
        <f>IFERROR(VLOOKUP(B860,'Pre-Summary'!$BO$6:$BQ$48,3, FALSE),O859)</f>
        <v>1.2</v>
      </c>
      <c r="P860" s="99">
        <f>IFERROR(VLOOKUP(B860,'Pre-Summary'!$BS$6:$BU$35,3,FALSE),P859)</f>
        <v>0.3</v>
      </c>
      <c r="Q860" s="54">
        <f t="shared" si="39"/>
        <v>4</v>
      </c>
      <c r="R860" s="53">
        <f>IFERROR(VLOOKUP(B860,'Pre-Summary'!$BG$6:$BM$44,7,FALSE),R861)</f>
        <v>6.4813973442575987E-2</v>
      </c>
      <c r="S860" s="53">
        <f>IFERROR(VLOOKUP(B860,'Pre-Summary'!$BG$6:$BM$44,6,FALSE),S861)</f>
        <v>9.4647776465945271E-2</v>
      </c>
      <c r="T860" s="45" t="str">
        <f>IFERROR(VLOOKUP(B860,'Pre-Summary'!$Y$6:$AC$83, 3,FALSE),"")</f>
        <v/>
      </c>
      <c r="U860" s="45" t="str">
        <f>IFERROR(VLOOKUP(B860,'Pre-Summary'!$Y$6:$AC$83, 4,FALSE),"")</f>
        <v/>
      </c>
      <c r="V860" t="str">
        <f>IFERROR(VLOOKUP(B860,'Pre-Summary'!$Y$6:$AC$83, 5,FALSE),"")</f>
        <v/>
      </c>
      <c r="W860" s="45" t="str">
        <f>IFERROR(VLOOKUP(B860,'Pre-Summary'!$Y$6:$AD$83,6,FALSE),"")</f>
        <v/>
      </c>
      <c r="X860" t="str">
        <f>IFERROR(VLOOKUP('Pre-Summary'!$DB$6:$DD$63,3,FALSE),"")</f>
        <v/>
      </c>
      <c r="Y860" t="str">
        <f>IFERROR(VLOOKUP(B860,'Pre-Summary'!$CR$6:$CT$36,3,FALSE),"")</f>
        <v/>
      </c>
      <c r="Z860" s="45" t="str">
        <f>IFERROR(VLOOKUP(B860,'Pre-Summary'!$BZ$6:$CB$63,2,FALSE),"")</f>
        <v/>
      </c>
      <c r="AA860" s="45" t="str">
        <f>IFERROR(VLOOKUP(B860,'Pre-Summary'!$CG$6:$CI$70,2,FALSE),"")</f>
        <v/>
      </c>
      <c r="AB860" s="99">
        <f>IFERROR(VLOOKUP(B860,'Pre-Summary'!$A$6:$P$178,9,FALSE),AB861)</f>
        <v>0.74933844856675635</v>
      </c>
      <c r="AC860" s="10">
        <f>IFERROR(VLOOKUP(Summary!B860,'Pre-Summary'!$A$6:$P$184,5, FALSE)/100,AC861)</f>
        <v>0.79696000000000011</v>
      </c>
      <c r="AD860" s="10">
        <f>IFERROR(VLOOKUP(Summary!B860,'Pre-Summary'!$A$6:$P$184,3, FALSE)/100,AD861)</f>
        <v>1.5776333333333337E-2</v>
      </c>
      <c r="AE860" s="10">
        <f>IFERROR(VLOOKUP(Summary!B860,'Pre-Summary'!$A$6:$P$184,7, FALSE)/100,AE861)</f>
        <v>0.18726333333333334</v>
      </c>
      <c r="AF860" s="99">
        <f t="shared" si="40"/>
        <v>1.1821813144072007E-2</v>
      </c>
      <c r="AG860" s="99">
        <f t="shared" si="41"/>
        <v>0.14032361567343934</v>
      </c>
      <c r="AH860" s="10" t="str">
        <f>IFERROR(VLOOKUP(B860,'Pre-Summary'!$AZ$6:$BE$65,3,FALSE),"")</f>
        <v/>
      </c>
      <c r="AI860" s="10" t="str">
        <f>IFERROR(VLOOKUP(B860,'Pre-Summary'!$AZ$6:$BE$65,5,FALSE),"")</f>
        <v/>
      </c>
      <c r="AJ860" s="10" t="str">
        <f>IFERROR(VLOOKUP(B860,'Pre-Summary'!$AZ$6:$BE$65,4,FALSE),"")</f>
        <v/>
      </c>
      <c r="AK860" s="10" t="str">
        <f>IFERROR(VLOOKUP(B860,'Pre-Summary'!$AZ$6:$BE$65,6,FALSE),"")</f>
        <v/>
      </c>
      <c r="AL860" s="10" t="str">
        <f>IFERROR(VLOOKUP(B860,'Pre-Summary'!$BG$6:$BL$44,3,FALSE),"")</f>
        <v/>
      </c>
      <c r="AM860" s="10" t="str">
        <f>IFERROR(VLOOKUP(B860,'Pre-Summary'!$BG$6:$BL$44,4,FALSE),"")</f>
        <v/>
      </c>
    </row>
    <row r="861" spans="2:39" ht="15" customHeight="1" x14ac:dyDescent="0.3">
      <c r="B861">
        <v>85.8</v>
      </c>
      <c r="C861" t="str">
        <f>IFERROR(VLOOKUP(B861,'Pre-Summary'!$DI$6:$DM$23,4,FALSE),"")</f>
        <v/>
      </c>
      <c r="D861" s="10" t="str">
        <f>IFERROR(VLOOKUP(B861,'Pre-Summary'!$AT$6:$AX$14,5,FALSE),D860)</f>
        <v>DSMZ v2: Dropped Na-Ac out of DSMZ 120 media</v>
      </c>
      <c r="E861" s="10" t="str">
        <f>IFERROR(VLOOKUP(B861,'Pre-Summary'!$AT$6:$AX$15,4,FALSE),"")</f>
        <v/>
      </c>
      <c r="F861">
        <f>IFERROR(VLOOKUP(B861,'Pre-Summary'!$AL$6:$AQ$13,6,FALSE),F860)</f>
        <v>5.9405263157894746E-2</v>
      </c>
      <c r="G861" t="str">
        <f>IFERROR(VLOOKUP(B861,'Pre-Summary'!$AE$6:$AJ$85,3,FALSE),"")</f>
        <v/>
      </c>
      <c r="H861" t="str">
        <f>IFERROR(VLOOKUP(B861,'Pre-Summary'!$AE$6:$AJ$85,4,FALSE),"")</f>
        <v/>
      </c>
      <c r="I861" t="str">
        <f>IFERROR(VLOOKUP(B861,'Pre-Summary'!$AE$6:$AJ$85,5,FALSE),"")</f>
        <v/>
      </c>
      <c r="J861" s="45" t="str">
        <f>IFERROR(VLOOKUP(B861,'Pre-Summary'!$AE$6:$AJ$85,6, FALSE),"")</f>
        <v/>
      </c>
      <c r="K861" s="45" t="str">
        <f>IFERROR(VLOOKUP(B861,'Pre-Summary'!$DE$6:$DG$61,3,FALSE),"")</f>
        <v/>
      </c>
      <c r="L861" s="45" t="str">
        <f>IFERROR(VLOOKUP(B861,'Pre-Summary'!$CU$6:$CW$36,3,FALSE),"")</f>
        <v/>
      </c>
      <c r="M861" s="45" t="str">
        <f>IFERROR(VLOOKUP(B861,'Pre-Summary'!$BW$6:$BY$58,2,FALSE),"")</f>
        <v/>
      </c>
      <c r="N861" s="45" t="str">
        <f>IFERROR(VLOOKUP(B861,'Pre-Summary'!$CD$6:$CF$64,2,FALSE),"")</f>
        <v/>
      </c>
      <c r="O861" s="99">
        <f>IFERROR(VLOOKUP(B861,'Pre-Summary'!$BO$6:$BQ$48,3, FALSE),O860)</f>
        <v>1.2</v>
      </c>
      <c r="P861" s="99">
        <f>IFERROR(VLOOKUP(B861,'Pre-Summary'!$BS$6:$BU$35,3,FALSE),P860)</f>
        <v>0.3</v>
      </c>
      <c r="Q861" s="54">
        <f t="shared" si="39"/>
        <v>4</v>
      </c>
      <c r="R861" s="53">
        <f>IFERROR(VLOOKUP(B861,'Pre-Summary'!$BG$6:$BM$44,7,FALSE),R862)</f>
        <v>6.4813973442575987E-2</v>
      </c>
      <c r="S861" s="53">
        <f>IFERROR(VLOOKUP(B861,'Pre-Summary'!$BG$6:$BM$44,6,FALSE),S862)</f>
        <v>9.4647776465945271E-2</v>
      </c>
      <c r="T861" s="45" t="str">
        <f>IFERROR(VLOOKUP(B861,'Pre-Summary'!$Y$6:$AC$83, 3,FALSE),"")</f>
        <v/>
      </c>
      <c r="U861" s="45" t="str">
        <f>IFERROR(VLOOKUP(B861,'Pre-Summary'!$Y$6:$AC$83, 4,FALSE),"")</f>
        <v/>
      </c>
      <c r="V861" t="str">
        <f>IFERROR(VLOOKUP(B861,'Pre-Summary'!$Y$6:$AC$83, 5,FALSE),"")</f>
        <v/>
      </c>
      <c r="W861" s="45" t="str">
        <f>IFERROR(VLOOKUP(B861,'Pre-Summary'!$Y$6:$AD$83,6,FALSE),"")</f>
        <v/>
      </c>
      <c r="X861" t="str">
        <f>IFERROR(VLOOKUP('Pre-Summary'!$DB$6:$DD$63,3,FALSE),"")</f>
        <v/>
      </c>
      <c r="Y861" t="str">
        <f>IFERROR(VLOOKUP(B861,'Pre-Summary'!$CR$6:$CT$36,3,FALSE),"")</f>
        <v/>
      </c>
      <c r="Z861" s="45" t="str">
        <f>IFERROR(VLOOKUP(B861,'Pre-Summary'!$BZ$6:$CB$63,2,FALSE),"")</f>
        <v/>
      </c>
      <c r="AA861" s="45" t="str">
        <f>IFERROR(VLOOKUP(B861,'Pre-Summary'!$CG$6:$CI$70,2,FALSE),"")</f>
        <v/>
      </c>
      <c r="AB861" s="99">
        <f>IFERROR(VLOOKUP(B861,'Pre-Summary'!$A$6:$P$178,9,FALSE),AB862)</f>
        <v>0.74933844856675635</v>
      </c>
      <c r="AC861" s="10">
        <f>IFERROR(VLOOKUP(Summary!B861,'Pre-Summary'!$A$6:$P$184,5, FALSE)/100,AC862)</f>
        <v>0.79696000000000011</v>
      </c>
      <c r="AD861" s="10">
        <f>IFERROR(VLOOKUP(Summary!B861,'Pre-Summary'!$A$6:$P$184,3, FALSE)/100,AD862)</f>
        <v>1.5776333333333337E-2</v>
      </c>
      <c r="AE861" s="10">
        <f>IFERROR(VLOOKUP(Summary!B861,'Pre-Summary'!$A$6:$P$184,7, FALSE)/100,AE862)</f>
        <v>0.18726333333333334</v>
      </c>
      <c r="AF861" s="99">
        <f t="shared" si="40"/>
        <v>1.1821813144072007E-2</v>
      </c>
      <c r="AG861" s="99">
        <f t="shared" si="41"/>
        <v>0.14032361567343934</v>
      </c>
      <c r="AH861" s="10" t="str">
        <f>IFERROR(VLOOKUP(B861,'Pre-Summary'!$AZ$6:$BE$65,3,FALSE),"")</f>
        <v/>
      </c>
      <c r="AI861" s="10" t="str">
        <f>IFERROR(VLOOKUP(B861,'Pre-Summary'!$AZ$6:$BE$65,5,FALSE),"")</f>
        <v/>
      </c>
      <c r="AJ861" s="10" t="str">
        <f>IFERROR(VLOOKUP(B861,'Pre-Summary'!$AZ$6:$BE$65,4,FALSE),"")</f>
        <v/>
      </c>
      <c r="AK861" s="10" t="str">
        <f>IFERROR(VLOOKUP(B861,'Pre-Summary'!$AZ$6:$BE$65,6,FALSE),"")</f>
        <v/>
      </c>
      <c r="AL861" s="10" t="str">
        <f>IFERROR(VLOOKUP(B861,'Pre-Summary'!$BG$6:$BL$44,3,FALSE),"")</f>
        <v/>
      </c>
      <c r="AM861" s="10" t="str">
        <f>IFERROR(VLOOKUP(B861,'Pre-Summary'!$BG$6:$BL$44,4,FALSE),"")</f>
        <v/>
      </c>
    </row>
    <row r="862" spans="2:39" ht="15" customHeight="1" x14ac:dyDescent="0.3">
      <c r="B862">
        <v>85.9</v>
      </c>
      <c r="C862" t="str">
        <f>IFERROR(VLOOKUP(B862,'Pre-Summary'!$DI$6:$DM$23,4,FALSE),"")</f>
        <v/>
      </c>
      <c r="D862" s="10" t="str">
        <f>IFERROR(VLOOKUP(B862,'Pre-Summary'!$AT$6:$AX$14,5,FALSE),D861)</f>
        <v>DSMZ v2: Dropped Na-Ac out of DSMZ 120 media</v>
      </c>
      <c r="E862" s="10" t="str">
        <f>IFERROR(VLOOKUP(B862,'Pre-Summary'!$AT$6:$AX$15,4,FALSE),"")</f>
        <v/>
      </c>
      <c r="F862">
        <f>IFERROR(VLOOKUP(B862,'Pre-Summary'!$AL$6:$AQ$13,6,FALSE),F861)</f>
        <v>5.9405263157894746E-2</v>
      </c>
      <c r="G862">
        <f>IFERROR(VLOOKUP(B862,'Pre-Summary'!$AE$6:$AJ$85,3,FALSE),"")</f>
        <v>992.92000000000007</v>
      </c>
      <c r="H862">
        <f>IFERROR(VLOOKUP(B862,'Pre-Summary'!$AE$6:$AJ$85,4,FALSE),"")</f>
        <v>323.36500000000001</v>
      </c>
      <c r="I862">
        <f>IFERROR(VLOOKUP(B862,'Pre-Summary'!$AE$6:$AJ$85,5,FALSE),"")</f>
        <v>0</v>
      </c>
      <c r="J862" s="45">
        <f>IFERROR(VLOOKUP(B862,'Pre-Summary'!$AE$6:$AJ$85,6, FALSE),"")</f>
        <v>1549.02025</v>
      </c>
      <c r="K862" s="45" t="str">
        <f>IFERROR(VLOOKUP(B862,'Pre-Summary'!$DE$6:$DG$61,3,FALSE),"")</f>
        <v/>
      </c>
      <c r="L862" s="45" t="str">
        <f>IFERROR(VLOOKUP(B862,'Pre-Summary'!$CU$6:$CW$36,3,FALSE),"")</f>
        <v/>
      </c>
      <c r="M862" s="45">
        <f>IFERROR(VLOOKUP(B862,'Pre-Summary'!$BW$6:$BY$58,2,FALSE),"")</f>
        <v>233.97107259046496</v>
      </c>
      <c r="N862" s="45" t="str">
        <f>IFERROR(VLOOKUP(B862,'Pre-Summary'!$CD$6:$CF$64,2,FALSE),"")</f>
        <v/>
      </c>
      <c r="O862" s="99">
        <f>IFERROR(VLOOKUP(B862,'Pre-Summary'!$BO$6:$BQ$48,3, FALSE),O861)</f>
        <v>1.2</v>
      </c>
      <c r="P862" s="99">
        <f>IFERROR(VLOOKUP(B862,'Pre-Summary'!$BS$6:$BU$35,3,FALSE),P861)</f>
        <v>0.3</v>
      </c>
      <c r="Q862" s="54">
        <f t="shared" si="39"/>
        <v>4</v>
      </c>
      <c r="R862" s="53">
        <f>IFERROR(VLOOKUP(B862,'Pre-Summary'!$BG$6:$BM$44,7,FALSE),R863)</f>
        <v>6.4813973442575987E-2</v>
      </c>
      <c r="S862" s="53">
        <f>IFERROR(VLOOKUP(B862,'Pre-Summary'!$BG$6:$BM$44,6,FALSE),S863)</f>
        <v>9.4647776465945271E-2</v>
      </c>
      <c r="T862" s="45">
        <f>IFERROR(VLOOKUP(B862,'Pre-Summary'!$Y$6:$AC$83, 3,FALSE),"")</f>
        <v>11.594999999999999</v>
      </c>
      <c r="U862" s="45">
        <f>IFERROR(VLOOKUP(B862,'Pre-Summary'!$Y$6:$AC$83, 4,FALSE),"")</f>
        <v>435.71</v>
      </c>
      <c r="V862">
        <f>IFERROR(VLOOKUP(B862,'Pre-Summary'!$Y$6:$AC$83, 5,FALSE),"")</f>
        <v>0</v>
      </c>
      <c r="W862" s="45">
        <f>IFERROR(VLOOKUP(B862,'Pre-Summary'!$Y$6:$AD$83,6,FALSE),"")</f>
        <v>672.03680499999996</v>
      </c>
      <c r="X862" t="str">
        <f>IFERROR(VLOOKUP('Pre-Summary'!$DB$6:$DD$63,3,FALSE),"")</f>
        <v/>
      </c>
      <c r="Y862" t="str">
        <f>IFERROR(VLOOKUP(B862,'Pre-Summary'!$CR$6:$CT$36,3,FALSE),"")</f>
        <v/>
      </c>
      <c r="Z862" s="45">
        <f>IFERROR(VLOOKUP(B862,'Pre-Summary'!$BZ$6:$CB$63,2,FALSE),"")</f>
        <v>305.46227652836205</v>
      </c>
      <c r="AA862" s="45">
        <f>IFERROR(VLOOKUP(B862,'Pre-Summary'!$CG$6:$CI$70,2,FALSE),"")</f>
        <v>936.66925896310704</v>
      </c>
      <c r="AB862" s="99">
        <f>IFERROR(VLOOKUP(B862,'Pre-Summary'!$A$6:$P$178,9,FALSE),AB863)</f>
        <v>0.74933844856675635</v>
      </c>
      <c r="AC862" s="10">
        <f>IFERROR(VLOOKUP(Summary!B862,'Pre-Summary'!$A$6:$P$184,5, FALSE)/100,AC863)</f>
        <v>0.79696000000000011</v>
      </c>
      <c r="AD862" s="10">
        <f>IFERROR(VLOOKUP(Summary!B862,'Pre-Summary'!$A$6:$P$184,3, FALSE)/100,AD863)</f>
        <v>1.5776333333333337E-2</v>
      </c>
      <c r="AE862" s="10">
        <f>IFERROR(VLOOKUP(Summary!B862,'Pre-Summary'!$A$6:$P$184,7, FALSE)/100,AE863)</f>
        <v>0.18726333333333334</v>
      </c>
      <c r="AF862" s="99">
        <f t="shared" si="40"/>
        <v>1.1821813144072007E-2</v>
      </c>
      <c r="AG862" s="99">
        <f t="shared" si="41"/>
        <v>0.14032361567343934</v>
      </c>
      <c r="AH862" s="10" t="str">
        <f>IFERROR(VLOOKUP(B862,'Pre-Summary'!$AZ$6:$BE$65,3,FALSE),"")</f>
        <v/>
      </c>
      <c r="AI862" s="10" t="str">
        <f>IFERROR(VLOOKUP(B862,'Pre-Summary'!$AZ$6:$BE$65,5,FALSE),"")</f>
        <v/>
      </c>
      <c r="AJ862" s="10" t="str">
        <f>IFERROR(VLOOKUP(B862,'Pre-Summary'!$AZ$6:$BE$65,4,FALSE),"")</f>
        <v/>
      </c>
      <c r="AK862" s="10" t="str">
        <f>IFERROR(VLOOKUP(B862,'Pre-Summary'!$AZ$6:$BE$65,6,FALSE),"")</f>
        <v/>
      </c>
      <c r="AL862" s="10" t="str">
        <f>IFERROR(VLOOKUP(B862,'Pre-Summary'!$BG$6:$BL$44,3,FALSE),"")</f>
        <v/>
      </c>
      <c r="AM862" s="10" t="str">
        <f>IFERROR(VLOOKUP(B862,'Pre-Summary'!$BG$6:$BL$44,4,FALSE),"")</f>
        <v/>
      </c>
    </row>
    <row r="863" spans="2:39" ht="15" customHeight="1" x14ac:dyDescent="0.3">
      <c r="B863">
        <v>86</v>
      </c>
      <c r="C863" t="str">
        <f>IFERROR(VLOOKUP(B863,'Pre-Summary'!$DI$6:$DM$23,4,FALSE),"")</f>
        <v/>
      </c>
      <c r="D863" s="10" t="str">
        <f>IFERROR(VLOOKUP(B863,'Pre-Summary'!$AT$6:$AX$14,5,FALSE),D862)</f>
        <v>DSMZ v2: Dropped Na-Ac out of DSMZ 120 media</v>
      </c>
      <c r="E863" s="10" t="str">
        <f>IFERROR(VLOOKUP(B863,'Pre-Summary'!$AT$6:$AX$15,4,FALSE),"")</f>
        <v/>
      </c>
      <c r="F863">
        <f>IFERROR(VLOOKUP(B863,'Pre-Summary'!$AL$6:$AQ$13,6,FALSE),F862)</f>
        <v>5.9405263157894746E-2</v>
      </c>
      <c r="G863" t="str">
        <f>IFERROR(VLOOKUP(B863,'Pre-Summary'!$AE$6:$AJ$85,3,FALSE),"")</f>
        <v/>
      </c>
      <c r="H863" t="str">
        <f>IFERROR(VLOOKUP(B863,'Pre-Summary'!$AE$6:$AJ$85,4,FALSE),"")</f>
        <v/>
      </c>
      <c r="I863" t="str">
        <f>IFERROR(VLOOKUP(B863,'Pre-Summary'!$AE$6:$AJ$85,5,FALSE),"")</f>
        <v/>
      </c>
      <c r="J863" s="45" t="str">
        <f>IFERROR(VLOOKUP(B863,'Pre-Summary'!$AE$6:$AJ$85,6, FALSE),"")</f>
        <v/>
      </c>
      <c r="K863" s="45" t="str">
        <f>IFERROR(VLOOKUP(B863,'Pre-Summary'!$DE$6:$DG$61,3,FALSE),"")</f>
        <v/>
      </c>
      <c r="L863" s="45" t="str">
        <f>IFERROR(VLOOKUP(B863,'Pre-Summary'!$CU$6:$CW$36,3,FALSE),"")</f>
        <v/>
      </c>
      <c r="M863" s="45" t="str">
        <f>IFERROR(VLOOKUP(B863,'Pre-Summary'!$BW$6:$BY$58,2,FALSE),"")</f>
        <v/>
      </c>
      <c r="N863" s="45" t="str">
        <f>IFERROR(VLOOKUP(B863,'Pre-Summary'!$CD$6:$CF$64,2,FALSE),"")</f>
        <v/>
      </c>
      <c r="O863" s="99">
        <f>IFERROR(VLOOKUP(B863,'Pre-Summary'!$BO$6:$BQ$48,3, FALSE),O862)</f>
        <v>1.2</v>
      </c>
      <c r="P863" s="99">
        <f>IFERROR(VLOOKUP(B863,'Pre-Summary'!$BS$6:$BU$35,3,FALSE),P862)</f>
        <v>0.3</v>
      </c>
      <c r="Q863" s="54">
        <f t="shared" si="39"/>
        <v>4</v>
      </c>
      <c r="R863" s="53">
        <f>IFERROR(VLOOKUP(B863,'Pre-Summary'!$BG$6:$BM$44,7,FALSE),R864)</f>
        <v>6.4813973442575987E-2</v>
      </c>
      <c r="S863" s="53">
        <f>IFERROR(VLOOKUP(B863,'Pre-Summary'!$BG$6:$BM$44,6,FALSE),S864)</f>
        <v>9.4647776465945271E-2</v>
      </c>
      <c r="T863" s="45" t="str">
        <f>IFERROR(VLOOKUP(B863,'Pre-Summary'!$Y$6:$AC$83, 3,FALSE),"")</f>
        <v/>
      </c>
      <c r="U863" s="45" t="str">
        <f>IFERROR(VLOOKUP(B863,'Pre-Summary'!$Y$6:$AC$83, 4,FALSE),"")</f>
        <v/>
      </c>
      <c r="V863" t="str">
        <f>IFERROR(VLOOKUP(B863,'Pre-Summary'!$Y$6:$AC$83, 5,FALSE),"")</f>
        <v/>
      </c>
      <c r="W863" s="45" t="str">
        <f>IFERROR(VLOOKUP(B863,'Pre-Summary'!$Y$6:$AD$83,6,FALSE),"")</f>
        <v/>
      </c>
      <c r="X863" t="str">
        <f>IFERROR(VLOOKUP('Pre-Summary'!$DB$6:$DD$63,3,FALSE),"")</f>
        <v/>
      </c>
      <c r="Y863" t="str">
        <f>IFERROR(VLOOKUP(B863,'Pre-Summary'!$CR$6:$CT$36,3,FALSE),"")</f>
        <v/>
      </c>
      <c r="Z863" s="45" t="str">
        <f>IFERROR(VLOOKUP(B863,'Pre-Summary'!$BZ$6:$CB$63,2,FALSE),"")</f>
        <v/>
      </c>
      <c r="AA863" s="45" t="str">
        <f>IFERROR(VLOOKUP(B863,'Pre-Summary'!$CG$6:$CI$70,2,FALSE),"")</f>
        <v/>
      </c>
      <c r="AB863" s="99">
        <f>IFERROR(VLOOKUP(B863,'Pre-Summary'!$A$6:$P$178,9,FALSE),AB864)</f>
        <v>0.74933844856675635</v>
      </c>
      <c r="AC863" s="10">
        <f>IFERROR(VLOOKUP(Summary!B863,'Pre-Summary'!$A$6:$P$184,5, FALSE)/100,AC864)</f>
        <v>0.79696000000000011</v>
      </c>
      <c r="AD863" s="10">
        <f>IFERROR(VLOOKUP(Summary!B863,'Pre-Summary'!$A$6:$P$184,3, FALSE)/100,AD864)</f>
        <v>1.5776333333333337E-2</v>
      </c>
      <c r="AE863" s="10">
        <f>IFERROR(VLOOKUP(Summary!B863,'Pre-Summary'!$A$6:$P$184,7, FALSE)/100,AE864)</f>
        <v>0.18726333333333334</v>
      </c>
      <c r="AF863" s="99">
        <f t="shared" si="40"/>
        <v>1.1821813144072007E-2</v>
      </c>
      <c r="AG863" s="99">
        <f t="shared" si="41"/>
        <v>0.14032361567343934</v>
      </c>
      <c r="AH863" s="10" t="str">
        <f>IFERROR(VLOOKUP(B863,'Pre-Summary'!$AZ$6:$BE$65,3,FALSE),"")</f>
        <v/>
      </c>
      <c r="AI863" s="10" t="str">
        <f>IFERROR(VLOOKUP(B863,'Pre-Summary'!$AZ$6:$BE$65,5,FALSE),"")</f>
        <v/>
      </c>
      <c r="AJ863" s="10" t="str">
        <f>IFERROR(VLOOKUP(B863,'Pre-Summary'!$AZ$6:$BE$65,4,FALSE),"")</f>
        <v/>
      </c>
      <c r="AK863" s="10" t="str">
        <f>IFERROR(VLOOKUP(B863,'Pre-Summary'!$AZ$6:$BE$65,6,FALSE),"")</f>
        <v/>
      </c>
      <c r="AL863" s="10" t="str">
        <f>IFERROR(VLOOKUP(B863,'Pre-Summary'!$BG$6:$BL$44,3,FALSE),"")</f>
        <v/>
      </c>
      <c r="AM863" s="10" t="str">
        <f>IFERROR(VLOOKUP(B863,'Pre-Summary'!$BG$6:$BL$44,4,FALSE),"")</f>
        <v/>
      </c>
    </row>
    <row r="864" spans="2:39" ht="15" customHeight="1" x14ac:dyDescent="0.3">
      <c r="B864">
        <v>86.1</v>
      </c>
      <c r="C864" t="str">
        <f>IFERROR(VLOOKUP(B864,'Pre-Summary'!$DI$6:$DM$23,4,FALSE),"")</f>
        <v/>
      </c>
      <c r="D864" s="10" t="str">
        <f>IFERROR(VLOOKUP(B864,'Pre-Summary'!$AT$6:$AX$14,5,FALSE),D863)</f>
        <v>DSMZ v2: Dropped Na-Ac out of DSMZ 120 media</v>
      </c>
      <c r="E864" s="10" t="str">
        <f>IFERROR(VLOOKUP(B864,'Pre-Summary'!$AT$6:$AX$15,4,FALSE),"")</f>
        <v/>
      </c>
      <c r="F864">
        <f>IFERROR(VLOOKUP(B864,'Pre-Summary'!$AL$6:$AQ$13,6,FALSE),F863)</f>
        <v>5.9405263157894746E-2</v>
      </c>
      <c r="G864" t="str">
        <f>IFERROR(VLOOKUP(B864,'Pre-Summary'!$AE$6:$AJ$85,3,FALSE),"")</f>
        <v/>
      </c>
      <c r="H864" t="str">
        <f>IFERROR(VLOOKUP(B864,'Pre-Summary'!$AE$6:$AJ$85,4,FALSE),"")</f>
        <v/>
      </c>
      <c r="I864" t="str">
        <f>IFERROR(VLOOKUP(B864,'Pre-Summary'!$AE$6:$AJ$85,5,FALSE),"")</f>
        <v/>
      </c>
      <c r="J864" s="45" t="str">
        <f>IFERROR(VLOOKUP(B864,'Pre-Summary'!$AE$6:$AJ$85,6, FALSE),"")</f>
        <v/>
      </c>
      <c r="K864" s="45" t="str">
        <f>IFERROR(VLOOKUP(B864,'Pre-Summary'!$DE$6:$DG$61,3,FALSE),"")</f>
        <v/>
      </c>
      <c r="L864" s="45" t="str">
        <f>IFERROR(VLOOKUP(B864,'Pre-Summary'!$CU$6:$CW$36,3,FALSE),"")</f>
        <v/>
      </c>
      <c r="M864" s="45" t="str">
        <f>IFERROR(VLOOKUP(B864,'Pre-Summary'!$BW$6:$BY$58,2,FALSE),"")</f>
        <v/>
      </c>
      <c r="N864" s="45" t="str">
        <f>IFERROR(VLOOKUP(B864,'Pre-Summary'!$CD$6:$CF$64,2,FALSE),"")</f>
        <v/>
      </c>
      <c r="O864" s="99">
        <f>IFERROR(VLOOKUP(B864,'Pre-Summary'!$BO$6:$BQ$48,3, FALSE),O863)</f>
        <v>1.2</v>
      </c>
      <c r="P864" s="99">
        <f>IFERROR(VLOOKUP(B864,'Pre-Summary'!$BS$6:$BU$35,3,FALSE),P863)</f>
        <v>0.3</v>
      </c>
      <c r="Q864" s="54">
        <f t="shared" si="39"/>
        <v>4</v>
      </c>
      <c r="R864" s="53">
        <f>IFERROR(VLOOKUP(B864,'Pre-Summary'!$BG$6:$BM$44,7,FALSE),R865)</f>
        <v>6.4813973442575987E-2</v>
      </c>
      <c r="S864" s="53">
        <f>IFERROR(VLOOKUP(B864,'Pre-Summary'!$BG$6:$BM$44,6,FALSE),S865)</f>
        <v>9.4647776465945271E-2</v>
      </c>
      <c r="T864" s="45" t="str">
        <f>IFERROR(VLOOKUP(B864,'Pre-Summary'!$Y$6:$AC$83, 3,FALSE),"")</f>
        <v/>
      </c>
      <c r="U864" s="45" t="str">
        <f>IFERROR(VLOOKUP(B864,'Pre-Summary'!$Y$6:$AC$83, 4,FALSE),"")</f>
        <v/>
      </c>
      <c r="V864" t="str">
        <f>IFERROR(VLOOKUP(B864,'Pre-Summary'!$Y$6:$AC$83, 5,FALSE),"")</f>
        <v/>
      </c>
      <c r="W864" s="45" t="str">
        <f>IFERROR(VLOOKUP(B864,'Pre-Summary'!$Y$6:$AD$83,6,FALSE),"")</f>
        <v/>
      </c>
      <c r="X864" t="str">
        <f>IFERROR(VLOOKUP('Pre-Summary'!$DB$6:$DD$63,3,FALSE),"")</f>
        <v/>
      </c>
      <c r="Y864" t="str">
        <f>IFERROR(VLOOKUP(B864,'Pre-Summary'!$CR$6:$CT$36,3,FALSE),"")</f>
        <v/>
      </c>
      <c r="Z864" s="45" t="str">
        <f>IFERROR(VLOOKUP(B864,'Pre-Summary'!$BZ$6:$CB$63,2,FALSE),"")</f>
        <v/>
      </c>
      <c r="AA864" s="45" t="str">
        <f>IFERROR(VLOOKUP(B864,'Pre-Summary'!$CG$6:$CI$70,2,FALSE),"")</f>
        <v/>
      </c>
      <c r="AB864" s="99">
        <f>IFERROR(VLOOKUP(B864,'Pre-Summary'!$A$6:$P$178,9,FALSE),AB865)</f>
        <v>0.74933844856675635</v>
      </c>
      <c r="AC864" s="10">
        <f>IFERROR(VLOOKUP(Summary!B864,'Pre-Summary'!$A$6:$P$184,5, FALSE)/100,AC865)</f>
        <v>0.79696000000000011</v>
      </c>
      <c r="AD864" s="10">
        <f>IFERROR(VLOOKUP(Summary!B864,'Pre-Summary'!$A$6:$P$184,3, FALSE)/100,AD865)</f>
        <v>1.5776333333333337E-2</v>
      </c>
      <c r="AE864" s="10">
        <f>IFERROR(VLOOKUP(Summary!B864,'Pre-Summary'!$A$6:$P$184,7, FALSE)/100,AE865)</f>
        <v>0.18726333333333334</v>
      </c>
      <c r="AF864" s="99">
        <f t="shared" si="40"/>
        <v>1.1821813144072007E-2</v>
      </c>
      <c r="AG864" s="99">
        <f t="shared" si="41"/>
        <v>0.14032361567343934</v>
      </c>
      <c r="AH864" s="10" t="str">
        <f>IFERROR(VLOOKUP(B864,'Pre-Summary'!$AZ$6:$BE$65,3,FALSE),"")</f>
        <v/>
      </c>
      <c r="AI864" s="10" t="str">
        <f>IFERROR(VLOOKUP(B864,'Pre-Summary'!$AZ$6:$BE$65,5,FALSE),"")</f>
        <v/>
      </c>
      <c r="AJ864" s="10" t="str">
        <f>IFERROR(VLOOKUP(B864,'Pre-Summary'!$AZ$6:$BE$65,4,FALSE),"")</f>
        <v/>
      </c>
      <c r="AK864" s="10" t="str">
        <f>IFERROR(VLOOKUP(B864,'Pre-Summary'!$AZ$6:$BE$65,6,FALSE),"")</f>
        <v/>
      </c>
      <c r="AL864" s="10" t="str">
        <f>IFERROR(VLOOKUP(B864,'Pre-Summary'!$BG$6:$BL$44,3,FALSE),"")</f>
        <v/>
      </c>
      <c r="AM864" s="10" t="str">
        <f>IFERROR(VLOOKUP(B864,'Pre-Summary'!$BG$6:$BL$44,4,FALSE),"")</f>
        <v/>
      </c>
    </row>
    <row r="865" spans="2:39" ht="15" customHeight="1" x14ac:dyDescent="0.3">
      <c r="B865">
        <v>86.2</v>
      </c>
      <c r="C865" t="str">
        <f>IFERROR(VLOOKUP(B865,'Pre-Summary'!$DI$6:$DM$23,4,FALSE),"")</f>
        <v/>
      </c>
      <c r="D865" s="10" t="str">
        <f>IFERROR(VLOOKUP(B865,'Pre-Summary'!$AT$6:$AX$14,5,FALSE),D864)</f>
        <v>DSMZ v2: Dropped Na-Ac out of DSMZ 120 media</v>
      </c>
      <c r="E865" s="10" t="str">
        <f>IFERROR(VLOOKUP(B865,'Pre-Summary'!$AT$6:$AX$15,4,FALSE),"")</f>
        <v/>
      </c>
      <c r="F865">
        <f>IFERROR(VLOOKUP(B865,'Pre-Summary'!$AL$6:$AQ$13,6,FALSE),F864)</f>
        <v>5.9405263157894746E-2</v>
      </c>
      <c r="G865" t="str">
        <f>IFERROR(VLOOKUP(B865,'Pre-Summary'!$AE$6:$AJ$85,3,FALSE),"")</f>
        <v/>
      </c>
      <c r="H865" t="str">
        <f>IFERROR(VLOOKUP(B865,'Pre-Summary'!$AE$6:$AJ$85,4,FALSE),"")</f>
        <v/>
      </c>
      <c r="I865" t="str">
        <f>IFERROR(VLOOKUP(B865,'Pre-Summary'!$AE$6:$AJ$85,5,FALSE),"")</f>
        <v/>
      </c>
      <c r="J865" s="45" t="str">
        <f>IFERROR(VLOOKUP(B865,'Pre-Summary'!$AE$6:$AJ$85,6, FALSE),"")</f>
        <v/>
      </c>
      <c r="K865" s="45" t="str">
        <f>IFERROR(VLOOKUP(B865,'Pre-Summary'!$DE$6:$DG$61,3,FALSE),"")</f>
        <v/>
      </c>
      <c r="L865" s="45" t="str">
        <f>IFERROR(VLOOKUP(B865,'Pre-Summary'!$CU$6:$CW$36,3,FALSE),"")</f>
        <v/>
      </c>
      <c r="M865" s="45" t="str">
        <f>IFERROR(VLOOKUP(B865,'Pre-Summary'!$BW$6:$BY$58,2,FALSE),"")</f>
        <v/>
      </c>
      <c r="N865" s="45" t="str">
        <f>IFERROR(VLOOKUP(B865,'Pre-Summary'!$CD$6:$CF$64,2,FALSE),"")</f>
        <v/>
      </c>
      <c r="O865" s="99">
        <f>IFERROR(VLOOKUP(B865,'Pre-Summary'!$BO$6:$BQ$48,3, FALSE),O864)</f>
        <v>1.2</v>
      </c>
      <c r="P865" s="99">
        <f>IFERROR(VLOOKUP(B865,'Pre-Summary'!$BS$6:$BU$35,3,FALSE),P864)</f>
        <v>0.3</v>
      </c>
      <c r="Q865" s="54">
        <f t="shared" si="39"/>
        <v>4</v>
      </c>
      <c r="R865" s="53">
        <f>IFERROR(VLOOKUP(B865,'Pre-Summary'!$BG$6:$BM$44,7,FALSE),R866)</f>
        <v>6.4813973442575987E-2</v>
      </c>
      <c r="S865" s="53">
        <f>IFERROR(VLOOKUP(B865,'Pre-Summary'!$BG$6:$BM$44,6,FALSE),S866)</f>
        <v>9.4647776465945271E-2</v>
      </c>
      <c r="T865" s="45" t="str">
        <f>IFERROR(VLOOKUP(B865,'Pre-Summary'!$Y$6:$AC$83, 3,FALSE),"")</f>
        <v/>
      </c>
      <c r="U865" s="45" t="str">
        <f>IFERROR(VLOOKUP(B865,'Pre-Summary'!$Y$6:$AC$83, 4,FALSE),"")</f>
        <v/>
      </c>
      <c r="V865" t="str">
        <f>IFERROR(VLOOKUP(B865,'Pre-Summary'!$Y$6:$AC$83, 5,FALSE),"")</f>
        <v/>
      </c>
      <c r="W865" s="45" t="str">
        <f>IFERROR(VLOOKUP(B865,'Pre-Summary'!$Y$6:$AD$83,6,FALSE),"")</f>
        <v/>
      </c>
      <c r="X865" t="str">
        <f>IFERROR(VLOOKUP('Pre-Summary'!$DB$6:$DD$63,3,FALSE),"")</f>
        <v/>
      </c>
      <c r="Y865" t="str">
        <f>IFERROR(VLOOKUP(B865,'Pre-Summary'!$CR$6:$CT$36,3,FALSE),"")</f>
        <v/>
      </c>
      <c r="Z865" s="45" t="str">
        <f>IFERROR(VLOOKUP(B865,'Pre-Summary'!$BZ$6:$CB$63,2,FALSE),"")</f>
        <v/>
      </c>
      <c r="AA865" s="45" t="str">
        <f>IFERROR(VLOOKUP(B865,'Pre-Summary'!$CG$6:$CI$70,2,FALSE),"")</f>
        <v/>
      </c>
      <c r="AB865" s="99">
        <f>IFERROR(VLOOKUP(B865,'Pre-Summary'!$A$6:$P$178,9,FALSE),AB866)</f>
        <v>0.74933844856675635</v>
      </c>
      <c r="AC865" s="10">
        <f>IFERROR(VLOOKUP(Summary!B865,'Pre-Summary'!$A$6:$P$184,5, FALSE)/100,AC866)</f>
        <v>0.79696000000000011</v>
      </c>
      <c r="AD865" s="10">
        <f>IFERROR(VLOOKUP(Summary!B865,'Pre-Summary'!$A$6:$P$184,3, FALSE)/100,AD866)</f>
        <v>1.5776333333333337E-2</v>
      </c>
      <c r="AE865" s="10">
        <f>IFERROR(VLOOKUP(Summary!B865,'Pre-Summary'!$A$6:$P$184,7, FALSE)/100,AE866)</f>
        <v>0.18726333333333334</v>
      </c>
      <c r="AF865" s="99">
        <f t="shared" si="40"/>
        <v>1.1821813144072007E-2</v>
      </c>
      <c r="AG865" s="99">
        <f t="shared" si="41"/>
        <v>0.14032361567343934</v>
      </c>
      <c r="AH865" s="10" t="str">
        <f>IFERROR(VLOOKUP(B865,'Pre-Summary'!$AZ$6:$BE$65,3,FALSE),"")</f>
        <v/>
      </c>
      <c r="AI865" s="10" t="str">
        <f>IFERROR(VLOOKUP(B865,'Pre-Summary'!$AZ$6:$BE$65,5,FALSE),"")</f>
        <v/>
      </c>
      <c r="AJ865" s="10" t="str">
        <f>IFERROR(VLOOKUP(B865,'Pre-Summary'!$AZ$6:$BE$65,4,FALSE),"")</f>
        <v/>
      </c>
      <c r="AK865" s="10" t="str">
        <f>IFERROR(VLOOKUP(B865,'Pre-Summary'!$AZ$6:$BE$65,6,FALSE),"")</f>
        <v/>
      </c>
      <c r="AL865" s="10" t="str">
        <f>IFERROR(VLOOKUP(B865,'Pre-Summary'!$BG$6:$BL$44,3,FALSE),"")</f>
        <v/>
      </c>
      <c r="AM865" s="10" t="str">
        <f>IFERROR(VLOOKUP(B865,'Pre-Summary'!$BG$6:$BL$44,4,FALSE),"")</f>
        <v/>
      </c>
    </row>
    <row r="866" spans="2:39" ht="15" customHeight="1" x14ac:dyDescent="0.3">
      <c r="B866">
        <v>86.3</v>
      </c>
      <c r="C866" t="str">
        <f>IFERROR(VLOOKUP(B866,'Pre-Summary'!$DI$6:$DM$23,4,FALSE),"")</f>
        <v/>
      </c>
      <c r="D866" s="10" t="str">
        <f>IFERROR(VLOOKUP(B866,'Pre-Summary'!$AT$6:$AX$14,5,FALSE),D865)</f>
        <v>DSMZ v2: Dropped Na-Ac out of DSMZ 120 media</v>
      </c>
      <c r="E866" s="10" t="str">
        <f>IFERROR(VLOOKUP(B866,'Pre-Summary'!$AT$6:$AX$15,4,FALSE),"")</f>
        <v/>
      </c>
      <c r="F866">
        <f>IFERROR(VLOOKUP(B866,'Pre-Summary'!$AL$6:$AQ$13,6,FALSE),F865)</f>
        <v>5.9405263157894746E-2</v>
      </c>
      <c r="G866" t="str">
        <f>IFERROR(VLOOKUP(B866,'Pre-Summary'!$AE$6:$AJ$85,3,FALSE),"")</f>
        <v/>
      </c>
      <c r="H866" t="str">
        <f>IFERROR(VLOOKUP(B866,'Pre-Summary'!$AE$6:$AJ$85,4,FALSE),"")</f>
        <v/>
      </c>
      <c r="I866" t="str">
        <f>IFERROR(VLOOKUP(B866,'Pre-Summary'!$AE$6:$AJ$85,5,FALSE),"")</f>
        <v/>
      </c>
      <c r="J866" s="45" t="str">
        <f>IFERROR(VLOOKUP(B866,'Pre-Summary'!$AE$6:$AJ$85,6, FALSE),"")</f>
        <v/>
      </c>
      <c r="K866" s="45" t="str">
        <f>IFERROR(VLOOKUP(B866,'Pre-Summary'!$DE$6:$DG$61,3,FALSE),"")</f>
        <v/>
      </c>
      <c r="L866" s="45" t="str">
        <f>IFERROR(VLOOKUP(B866,'Pre-Summary'!$CU$6:$CW$36,3,FALSE),"")</f>
        <v/>
      </c>
      <c r="M866" s="45" t="str">
        <f>IFERROR(VLOOKUP(B866,'Pre-Summary'!$BW$6:$BY$58,2,FALSE),"")</f>
        <v/>
      </c>
      <c r="N866" s="45" t="str">
        <f>IFERROR(VLOOKUP(B866,'Pre-Summary'!$CD$6:$CF$64,2,FALSE),"")</f>
        <v/>
      </c>
      <c r="O866" s="99">
        <f>IFERROR(VLOOKUP(B866,'Pre-Summary'!$BO$6:$BQ$48,3, FALSE),O865)</f>
        <v>1.2</v>
      </c>
      <c r="P866" s="99">
        <f>IFERROR(VLOOKUP(B866,'Pre-Summary'!$BS$6:$BU$35,3,FALSE),P865)</f>
        <v>0.3</v>
      </c>
      <c r="Q866" s="54">
        <f t="shared" si="39"/>
        <v>4</v>
      </c>
      <c r="R866" s="53">
        <f>IFERROR(VLOOKUP(B866,'Pre-Summary'!$BG$6:$BM$44,7,FALSE),R867)</f>
        <v>6.4813973442575987E-2</v>
      </c>
      <c r="S866" s="53">
        <f>IFERROR(VLOOKUP(B866,'Pre-Summary'!$BG$6:$BM$44,6,FALSE),S867)</f>
        <v>9.4647776465945271E-2</v>
      </c>
      <c r="T866" s="45" t="str">
        <f>IFERROR(VLOOKUP(B866,'Pre-Summary'!$Y$6:$AC$83, 3,FALSE),"")</f>
        <v/>
      </c>
      <c r="U866" s="45" t="str">
        <f>IFERROR(VLOOKUP(B866,'Pre-Summary'!$Y$6:$AC$83, 4,FALSE),"")</f>
        <v/>
      </c>
      <c r="V866" t="str">
        <f>IFERROR(VLOOKUP(B866,'Pre-Summary'!$Y$6:$AC$83, 5,FALSE),"")</f>
        <v/>
      </c>
      <c r="W866" s="45" t="str">
        <f>IFERROR(VLOOKUP(B866,'Pre-Summary'!$Y$6:$AD$83,6,FALSE),"")</f>
        <v/>
      </c>
      <c r="X866" t="str">
        <f>IFERROR(VLOOKUP('Pre-Summary'!$DB$6:$DD$63,3,FALSE),"")</f>
        <v/>
      </c>
      <c r="Y866" t="str">
        <f>IFERROR(VLOOKUP(B866,'Pre-Summary'!$CR$6:$CT$36,3,FALSE),"")</f>
        <v/>
      </c>
      <c r="Z866" s="45" t="str">
        <f>IFERROR(VLOOKUP(B866,'Pre-Summary'!$BZ$6:$CB$63,2,FALSE),"")</f>
        <v/>
      </c>
      <c r="AA866" s="45" t="str">
        <f>IFERROR(VLOOKUP(B866,'Pre-Summary'!$CG$6:$CI$70,2,FALSE),"")</f>
        <v/>
      </c>
      <c r="AB866" s="99">
        <f>IFERROR(VLOOKUP(B866,'Pre-Summary'!$A$6:$P$178,9,FALSE),AB867)</f>
        <v>0.51107900307227605</v>
      </c>
      <c r="AC866" s="10">
        <f>IFERROR(VLOOKUP(Summary!B866,'Pre-Summary'!$A$6:$P$184,5, FALSE)/100,AC867)</f>
        <v>0.83335766666666655</v>
      </c>
      <c r="AD866" s="10">
        <f>IFERROR(VLOOKUP(Summary!B866,'Pre-Summary'!$A$6:$P$184,3, FALSE)/100,AD867)</f>
        <v>6.2578333333333333E-2</v>
      </c>
      <c r="AE866" s="10">
        <f>IFERROR(VLOOKUP(Summary!B866,'Pre-Summary'!$A$6:$P$184,7, FALSE)/100,AE867)</f>
        <v>0.10406399999999999</v>
      </c>
      <c r="AF866" s="99">
        <f t="shared" si="40"/>
        <v>3.1982472213924584E-2</v>
      </c>
      <c r="AG866" s="99">
        <f t="shared" si="41"/>
        <v>5.3184925375713329E-2</v>
      </c>
      <c r="AH866" s="10" t="str">
        <f>IFERROR(VLOOKUP(B866,'Pre-Summary'!$AZ$6:$BE$65,3,FALSE),"")</f>
        <v/>
      </c>
      <c r="AI866" s="10" t="str">
        <f>IFERROR(VLOOKUP(B866,'Pre-Summary'!$AZ$6:$BE$65,5,FALSE),"")</f>
        <v/>
      </c>
      <c r="AJ866" s="10" t="str">
        <f>IFERROR(VLOOKUP(B866,'Pre-Summary'!$AZ$6:$BE$65,4,FALSE),"")</f>
        <v/>
      </c>
      <c r="AK866" s="10" t="str">
        <f>IFERROR(VLOOKUP(B866,'Pre-Summary'!$AZ$6:$BE$65,6,FALSE),"")</f>
        <v/>
      </c>
      <c r="AL866" s="10" t="str">
        <f>IFERROR(VLOOKUP(B866,'Pre-Summary'!$BG$6:$BL$44,3,FALSE),"")</f>
        <v/>
      </c>
      <c r="AM866" s="10" t="str">
        <f>IFERROR(VLOOKUP(B866,'Pre-Summary'!$BG$6:$BL$44,4,FALSE),"")</f>
        <v/>
      </c>
    </row>
    <row r="867" spans="2:39" ht="15" customHeight="1" x14ac:dyDescent="0.3">
      <c r="B867">
        <v>86.4</v>
      </c>
      <c r="C867" t="str">
        <f>IFERROR(VLOOKUP(B867,'Pre-Summary'!$DI$6:$DM$23,4,FALSE),"")</f>
        <v/>
      </c>
      <c r="D867" s="10" t="str">
        <f>IFERROR(VLOOKUP(B867,'Pre-Summary'!$AT$6:$AX$14,5,FALSE),D866)</f>
        <v>DSMZ v2: Dropped Na-Ac out of DSMZ 120 media</v>
      </c>
      <c r="E867" s="10" t="str">
        <f>IFERROR(VLOOKUP(B867,'Pre-Summary'!$AT$6:$AX$15,4,FALSE),"")</f>
        <v/>
      </c>
      <c r="F867">
        <f>IFERROR(VLOOKUP(B867,'Pre-Summary'!$AL$6:$AQ$13,6,FALSE),F866)</f>
        <v>5.9405263157894746E-2</v>
      </c>
      <c r="G867" t="str">
        <f>IFERROR(VLOOKUP(B867,'Pre-Summary'!$AE$6:$AJ$85,3,FALSE),"")</f>
        <v/>
      </c>
      <c r="H867" t="str">
        <f>IFERROR(VLOOKUP(B867,'Pre-Summary'!$AE$6:$AJ$85,4,FALSE),"")</f>
        <v/>
      </c>
      <c r="I867" t="str">
        <f>IFERROR(VLOOKUP(B867,'Pre-Summary'!$AE$6:$AJ$85,5,FALSE),"")</f>
        <v/>
      </c>
      <c r="J867" s="45" t="str">
        <f>IFERROR(VLOOKUP(B867,'Pre-Summary'!$AE$6:$AJ$85,6, FALSE),"")</f>
        <v/>
      </c>
      <c r="K867" s="45" t="str">
        <f>IFERROR(VLOOKUP(B867,'Pre-Summary'!$DE$6:$DG$61,3,FALSE),"")</f>
        <v/>
      </c>
      <c r="L867" s="45" t="str">
        <f>IFERROR(VLOOKUP(B867,'Pre-Summary'!$CU$6:$CW$36,3,FALSE),"")</f>
        <v/>
      </c>
      <c r="M867" s="45" t="str">
        <f>IFERROR(VLOOKUP(B867,'Pre-Summary'!$BW$6:$BY$58,2,FALSE),"")</f>
        <v/>
      </c>
      <c r="N867" s="45" t="str">
        <f>IFERROR(VLOOKUP(B867,'Pre-Summary'!$CD$6:$CF$64,2,FALSE),"")</f>
        <v/>
      </c>
      <c r="O867" s="99">
        <f>IFERROR(VLOOKUP(B867,'Pre-Summary'!$BO$6:$BQ$48,3, FALSE),O866)</f>
        <v>1.2</v>
      </c>
      <c r="P867" s="99">
        <f>IFERROR(VLOOKUP(B867,'Pre-Summary'!$BS$6:$BU$35,3,FALSE),P866)</f>
        <v>0.3</v>
      </c>
      <c r="Q867" s="54">
        <f t="shared" si="39"/>
        <v>4</v>
      </c>
      <c r="R867" s="53">
        <f>IFERROR(VLOOKUP(B867,'Pre-Summary'!$BG$6:$BM$44,7,FALSE),R868)</f>
        <v>6.4813973442575987E-2</v>
      </c>
      <c r="S867" s="53">
        <f>IFERROR(VLOOKUP(B867,'Pre-Summary'!$BG$6:$BM$44,6,FALSE),S868)</f>
        <v>9.4647776465945271E-2</v>
      </c>
      <c r="T867" s="45" t="str">
        <f>IFERROR(VLOOKUP(B867,'Pre-Summary'!$Y$6:$AC$83, 3,FALSE),"")</f>
        <v/>
      </c>
      <c r="U867" s="45" t="str">
        <f>IFERROR(VLOOKUP(B867,'Pre-Summary'!$Y$6:$AC$83, 4,FALSE),"")</f>
        <v/>
      </c>
      <c r="V867" t="str">
        <f>IFERROR(VLOOKUP(B867,'Pre-Summary'!$Y$6:$AC$83, 5,FALSE),"")</f>
        <v/>
      </c>
      <c r="W867" s="45" t="str">
        <f>IFERROR(VLOOKUP(B867,'Pre-Summary'!$Y$6:$AD$83,6,FALSE),"")</f>
        <v/>
      </c>
      <c r="X867" t="str">
        <f>IFERROR(VLOOKUP('Pre-Summary'!$DB$6:$DD$63,3,FALSE),"")</f>
        <v/>
      </c>
      <c r="Y867" t="str">
        <f>IFERROR(VLOOKUP(B867,'Pre-Summary'!$CR$6:$CT$36,3,FALSE),"")</f>
        <v/>
      </c>
      <c r="Z867" s="45" t="str">
        <f>IFERROR(VLOOKUP(B867,'Pre-Summary'!$BZ$6:$CB$63,2,FALSE),"")</f>
        <v/>
      </c>
      <c r="AA867" s="45" t="str">
        <f>IFERROR(VLOOKUP(B867,'Pre-Summary'!$CG$6:$CI$70,2,FALSE),"")</f>
        <v/>
      </c>
      <c r="AB867" s="99">
        <f>IFERROR(VLOOKUP(B867,'Pre-Summary'!$A$6:$P$178,9,FALSE),AB868)</f>
        <v>0.51107900307227605</v>
      </c>
      <c r="AC867" s="10">
        <f>IFERROR(VLOOKUP(Summary!B867,'Pre-Summary'!$A$6:$P$184,5, FALSE)/100,AC868)</f>
        <v>0.83335766666666655</v>
      </c>
      <c r="AD867" s="10">
        <f>IFERROR(VLOOKUP(Summary!B867,'Pre-Summary'!$A$6:$P$184,3, FALSE)/100,AD868)</f>
        <v>6.2578333333333333E-2</v>
      </c>
      <c r="AE867" s="10">
        <f>IFERROR(VLOOKUP(Summary!B867,'Pre-Summary'!$A$6:$P$184,7, FALSE)/100,AE868)</f>
        <v>0.10406399999999999</v>
      </c>
      <c r="AF867" s="99">
        <f t="shared" si="40"/>
        <v>3.1982472213924584E-2</v>
      </c>
      <c r="AG867" s="99">
        <f t="shared" si="41"/>
        <v>5.3184925375713329E-2</v>
      </c>
      <c r="AH867" s="10" t="str">
        <f>IFERROR(VLOOKUP(B867,'Pre-Summary'!$AZ$6:$BE$65,3,FALSE),"")</f>
        <v/>
      </c>
      <c r="AI867" s="10" t="str">
        <f>IFERROR(VLOOKUP(B867,'Pre-Summary'!$AZ$6:$BE$65,5,FALSE),"")</f>
        <v/>
      </c>
      <c r="AJ867" s="10" t="str">
        <f>IFERROR(VLOOKUP(B867,'Pre-Summary'!$AZ$6:$BE$65,4,FALSE),"")</f>
        <v/>
      </c>
      <c r="AK867" s="10" t="str">
        <f>IFERROR(VLOOKUP(B867,'Pre-Summary'!$AZ$6:$BE$65,6,FALSE),"")</f>
        <v/>
      </c>
      <c r="AL867" s="10" t="str">
        <f>IFERROR(VLOOKUP(B867,'Pre-Summary'!$BG$6:$BL$44,3,FALSE),"")</f>
        <v/>
      </c>
      <c r="AM867" s="10" t="str">
        <f>IFERROR(VLOOKUP(B867,'Pre-Summary'!$BG$6:$BL$44,4,FALSE),"")</f>
        <v/>
      </c>
    </row>
    <row r="868" spans="2:39" ht="15" customHeight="1" x14ac:dyDescent="0.3">
      <c r="B868">
        <v>86.5</v>
      </c>
      <c r="C868" t="str">
        <f>IFERROR(VLOOKUP(B868,'Pre-Summary'!$DI$6:$DM$23,4,FALSE),"")</f>
        <v/>
      </c>
      <c r="D868" s="10" t="str">
        <f>IFERROR(VLOOKUP(B868,'Pre-Summary'!$AT$6:$AX$14,5,FALSE),D867)</f>
        <v>DSMZ v2: Dropped Na-Ac out of DSMZ 120 media</v>
      </c>
      <c r="E868" s="10" t="str">
        <f>IFERROR(VLOOKUP(B868,'Pre-Summary'!$AT$6:$AX$15,4,FALSE),"")</f>
        <v/>
      </c>
      <c r="F868">
        <f>IFERROR(VLOOKUP(B868,'Pre-Summary'!$AL$6:$AQ$13,6,FALSE),F867)</f>
        <v>5.9405263157894746E-2</v>
      </c>
      <c r="G868" t="str">
        <f>IFERROR(VLOOKUP(B868,'Pre-Summary'!$AE$6:$AJ$85,3,FALSE),"")</f>
        <v/>
      </c>
      <c r="H868" t="str">
        <f>IFERROR(VLOOKUP(B868,'Pre-Summary'!$AE$6:$AJ$85,4,FALSE),"")</f>
        <v/>
      </c>
      <c r="I868" t="str">
        <f>IFERROR(VLOOKUP(B868,'Pre-Summary'!$AE$6:$AJ$85,5,FALSE),"")</f>
        <v/>
      </c>
      <c r="J868" s="45" t="str">
        <f>IFERROR(VLOOKUP(B868,'Pre-Summary'!$AE$6:$AJ$85,6, FALSE),"")</f>
        <v/>
      </c>
      <c r="K868" s="45" t="str">
        <f>IFERROR(VLOOKUP(B868,'Pre-Summary'!$DE$6:$DG$61,3,FALSE),"")</f>
        <v/>
      </c>
      <c r="L868" s="45" t="str">
        <f>IFERROR(VLOOKUP(B868,'Pre-Summary'!$CU$6:$CW$36,3,FALSE),"")</f>
        <v/>
      </c>
      <c r="M868" s="45" t="str">
        <f>IFERROR(VLOOKUP(B868,'Pre-Summary'!$BW$6:$BY$58,2,FALSE),"")</f>
        <v/>
      </c>
      <c r="N868" s="45" t="str">
        <f>IFERROR(VLOOKUP(B868,'Pre-Summary'!$CD$6:$CF$64,2,FALSE),"")</f>
        <v/>
      </c>
      <c r="O868" s="99">
        <f>IFERROR(VLOOKUP(B868,'Pre-Summary'!$BO$6:$BQ$48,3, FALSE),O867)</f>
        <v>1.2</v>
      </c>
      <c r="P868" s="99">
        <f>IFERROR(VLOOKUP(B868,'Pre-Summary'!$BS$6:$BU$35,3,FALSE),P867)</f>
        <v>0.3</v>
      </c>
      <c r="Q868" s="54">
        <f t="shared" si="39"/>
        <v>4</v>
      </c>
      <c r="R868" s="53">
        <f>IFERROR(VLOOKUP(B868,'Pre-Summary'!$BG$6:$BM$44,7,FALSE),R869)</f>
        <v>6.4813973442575987E-2</v>
      </c>
      <c r="S868" s="53">
        <f>IFERROR(VLOOKUP(B868,'Pre-Summary'!$BG$6:$BM$44,6,FALSE),S869)</f>
        <v>9.4647776465945271E-2</v>
      </c>
      <c r="T868" s="45" t="str">
        <f>IFERROR(VLOOKUP(B868,'Pre-Summary'!$Y$6:$AC$83, 3,FALSE),"")</f>
        <v/>
      </c>
      <c r="U868" s="45" t="str">
        <f>IFERROR(VLOOKUP(B868,'Pre-Summary'!$Y$6:$AC$83, 4,FALSE),"")</f>
        <v/>
      </c>
      <c r="V868" t="str">
        <f>IFERROR(VLOOKUP(B868,'Pre-Summary'!$Y$6:$AC$83, 5,FALSE),"")</f>
        <v/>
      </c>
      <c r="W868" s="45" t="str">
        <f>IFERROR(VLOOKUP(B868,'Pre-Summary'!$Y$6:$AD$83,6,FALSE),"")</f>
        <v/>
      </c>
      <c r="X868" t="str">
        <f>IFERROR(VLOOKUP('Pre-Summary'!$DB$6:$DD$63,3,FALSE),"")</f>
        <v/>
      </c>
      <c r="Y868" t="str">
        <f>IFERROR(VLOOKUP(B868,'Pre-Summary'!$CR$6:$CT$36,3,FALSE),"")</f>
        <v/>
      </c>
      <c r="Z868" s="45" t="str">
        <f>IFERROR(VLOOKUP(B868,'Pre-Summary'!$BZ$6:$CB$63,2,FALSE),"")</f>
        <v/>
      </c>
      <c r="AA868" s="45" t="str">
        <f>IFERROR(VLOOKUP(B868,'Pre-Summary'!$CG$6:$CI$70,2,FALSE),"")</f>
        <v/>
      </c>
      <c r="AB868" s="99">
        <f>IFERROR(VLOOKUP(B868,'Pre-Summary'!$A$6:$P$178,9,FALSE),AB869)</f>
        <v>0.51107900307227605</v>
      </c>
      <c r="AC868" s="10">
        <f>IFERROR(VLOOKUP(Summary!B868,'Pre-Summary'!$A$6:$P$184,5, FALSE)/100,AC869)</f>
        <v>0.83335766666666655</v>
      </c>
      <c r="AD868" s="10">
        <f>IFERROR(VLOOKUP(Summary!B868,'Pre-Summary'!$A$6:$P$184,3, FALSE)/100,AD869)</f>
        <v>6.2578333333333333E-2</v>
      </c>
      <c r="AE868" s="10">
        <f>IFERROR(VLOOKUP(Summary!B868,'Pre-Summary'!$A$6:$P$184,7, FALSE)/100,AE869)</f>
        <v>0.10406399999999999</v>
      </c>
      <c r="AF868" s="99">
        <f t="shared" si="40"/>
        <v>3.1982472213924584E-2</v>
      </c>
      <c r="AG868" s="99">
        <f t="shared" si="41"/>
        <v>5.3184925375713329E-2</v>
      </c>
      <c r="AH868" s="10" t="str">
        <f>IFERROR(VLOOKUP(B868,'Pre-Summary'!$AZ$6:$BE$65,3,FALSE),"")</f>
        <v/>
      </c>
      <c r="AI868" s="10" t="str">
        <f>IFERROR(VLOOKUP(B868,'Pre-Summary'!$AZ$6:$BE$65,5,FALSE),"")</f>
        <v/>
      </c>
      <c r="AJ868" s="10" t="str">
        <f>IFERROR(VLOOKUP(B868,'Pre-Summary'!$AZ$6:$BE$65,4,FALSE),"")</f>
        <v/>
      </c>
      <c r="AK868" s="10" t="str">
        <f>IFERROR(VLOOKUP(B868,'Pre-Summary'!$AZ$6:$BE$65,6,FALSE),"")</f>
        <v/>
      </c>
      <c r="AL868" s="10" t="str">
        <f>IFERROR(VLOOKUP(B868,'Pre-Summary'!$BG$6:$BL$44,3,FALSE),"")</f>
        <v/>
      </c>
      <c r="AM868" s="10" t="str">
        <f>IFERROR(VLOOKUP(B868,'Pre-Summary'!$BG$6:$BL$44,4,FALSE),"")</f>
        <v/>
      </c>
    </row>
    <row r="869" spans="2:39" ht="15" customHeight="1" x14ac:dyDescent="0.3">
      <c r="B869">
        <v>86.6</v>
      </c>
      <c r="C869" t="str">
        <f>IFERROR(VLOOKUP(B869,'Pre-Summary'!$DI$6:$DM$23,4,FALSE),"")</f>
        <v/>
      </c>
      <c r="D869" s="10" t="str">
        <f>IFERROR(VLOOKUP(B869,'Pre-Summary'!$AT$6:$AX$14,5,FALSE),D868)</f>
        <v>DSMZ v2: Dropped Na-Ac out of DSMZ 120 media</v>
      </c>
      <c r="E869" s="10" t="str">
        <f>IFERROR(VLOOKUP(B869,'Pre-Summary'!$AT$6:$AX$15,4,FALSE),"")</f>
        <v/>
      </c>
      <c r="F869">
        <f>IFERROR(VLOOKUP(B869,'Pre-Summary'!$AL$6:$AQ$13,6,FALSE),F868)</f>
        <v>5.9405263157894746E-2</v>
      </c>
      <c r="G869" t="str">
        <f>IFERROR(VLOOKUP(B869,'Pre-Summary'!$AE$6:$AJ$85,3,FALSE),"")</f>
        <v/>
      </c>
      <c r="H869" t="str">
        <f>IFERROR(VLOOKUP(B869,'Pre-Summary'!$AE$6:$AJ$85,4,FALSE),"")</f>
        <v/>
      </c>
      <c r="I869" t="str">
        <f>IFERROR(VLOOKUP(B869,'Pre-Summary'!$AE$6:$AJ$85,5,FALSE),"")</f>
        <v/>
      </c>
      <c r="J869" s="45" t="str">
        <f>IFERROR(VLOOKUP(B869,'Pre-Summary'!$AE$6:$AJ$85,6, FALSE),"")</f>
        <v/>
      </c>
      <c r="K869" s="45" t="str">
        <f>IFERROR(VLOOKUP(B869,'Pre-Summary'!$DE$6:$DG$61,3,FALSE),"")</f>
        <v/>
      </c>
      <c r="L869" s="45" t="str">
        <f>IFERROR(VLOOKUP(B869,'Pre-Summary'!$CU$6:$CW$36,3,FALSE),"")</f>
        <v/>
      </c>
      <c r="M869" s="45" t="str">
        <f>IFERROR(VLOOKUP(B869,'Pre-Summary'!$BW$6:$BY$58,2,FALSE),"")</f>
        <v/>
      </c>
      <c r="N869" s="45" t="str">
        <f>IFERROR(VLOOKUP(B869,'Pre-Summary'!$CD$6:$CF$64,2,FALSE),"")</f>
        <v/>
      </c>
      <c r="O869" s="99">
        <f>IFERROR(VLOOKUP(B869,'Pre-Summary'!$BO$6:$BQ$48,3, FALSE),O868)</f>
        <v>1.2</v>
      </c>
      <c r="P869" s="99">
        <f>IFERROR(VLOOKUP(B869,'Pre-Summary'!$BS$6:$BU$35,3,FALSE),P868)</f>
        <v>0.3</v>
      </c>
      <c r="Q869" s="54">
        <f t="shared" si="39"/>
        <v>4</v>
      </c>
      <c r="R869" s="53">
        <f>IFERROR(VLOOKUP(B869,'Pre-Summary'!$BG$6:$BM$44,7,FALSE),R870)</f>
        <v>6.4813973442575987E-2</v>
      </c>
      <c r="S869" s="53">
        <f>IFERROR(VLOOKUP(B869,'Pre-Summary'!$BG$6:$BM$44,6,FALSE),S870)</f>
        <v>9.4647776465945271E-2</v>
      </c>
      <c r="T869" s="45" t="str">
        <f>IFERROR(VLOOKUP(B869,'Pre-Summary'!$Y$6:$AC$83, 3,FALSE),"")</f>
        <v/>
      </c>
      <c r="U869" s="45" t="str">
        <f>IFERROR(VLOOKUP(B869,'Pre-Summary'!$Y$6:$AC$83, 4,FALSE),"")</f>
        <v/>
      </c>
      <c r="V869" t="str">
        <f>IFERROR(VLOOKUP(B869,'Pre-Summary'!$Y$6:$AC$83, 5,FALSE),"")</f>
        <v/>
      </c>
      <c r="W869" s="45" t="str">
        <f>IFERROR(VLOOKUP(B869,'Pre-Summary'!$Y$6:$AD$83,6,FALSE),"")</f>
        <v/>
      </c>
      <c r="X869" t="str">
        <f>IFERROR(VLOOKUP('Pre-Summary'!$DB$6:$DD$63,3,FALSE),"")</f>
        <v/>
      </c>
      <c r="Y869" t="str">
        <f>IFERROR(VLOOKUP(B869,'Pre-Summary'!$CR$6:$CT$36,3,FALSE),"")</f>
        <v/>
      </c>
      <c r="Z869" s="45" t="str">
        <f>IFERROR(VLOOKUP(B869,'Pre-Summary'!$BZ$6:$CB$63,2,FALSE),"")</f>
        <v/>
      </c>
      <c r="AA869" s="45" t="str">
        <f>IFERROR(VLOOKUP(B869,'Pre-Summary'!$CG$6:$CI$70,2,FALSE),"")</f>
        <v/>
      </c>
      <c r="AB869" s="99">
        <f>IFERROR(VLOOKUP(B869,'Pre-Summary'!$A$6:$P$178,9,FALSE),AB870)</f>
        <v>0.51107900307227605</v>
      </c>
      <c r="AC869" s="10">
        <f>IFERROR(VLOOKUP(Summary!B869,'Pre-Summary'!$A$6:$P$184,5, FALSE)/100,AC870)</f>
        <v>0.83335766666666655</v>
      </c>
      <c r="AD869" s="10">
        <f>IFERROR(VLOOKUP(Summary!B869,'Pre-Summary'!$A$6:$P$184,3, FALSE)/100,AD870)</f>
        <v>6.2578333333333333E-2</v>
      </c>
      <c r="AE869" s="10">
        <f>IFERROR(VLOOKUP(Summary!B869,'Pre-Summary'!$A$6:$P$184,7, FALSE)/100,AE870)</f>
        <v>0.10406399999999999</v>
      </c>
      <c r="AF869" s="99">
        <f t="shared" si="40"/>
        <v>3.1982472213924584E-2</v>
      </c>
      <c r="AG869" s="99">
        <f t="shared" si="41"/>
        <v>5.3184925375713329E-2</v>
      </c>
      <c r="AH869" s="10" t="str">
        <f>IFERROR(VLOOKUP(B869,'Pre-Summary'!$AZ$6:$BE$65,3,FALSE),"")</f>
        <v/>
      </c>
      <c r="AI869" s="10" t="str">
        <f>IFERROR(VLOOKUP(B869,'Pre-Summary'!$AZ$6:$BE$65,5,FALSE),"")</f>
        <v/>
      </c>
      <c r="AJ869" s="10" t="str">
        <f>IFERROR(VLOOKUP(B869,'Pre-Summary'!$AZ$6:$BE$65,4,FALSE),"")</f>
        <v/>
      </c>
      <c r="AK869" s="10" t="str">
        <f>IFERROR(VLOOKUP(B869,'Pre-Summary'!$AZ$6:$BE$65,6,FALSE),"")</f>
        <v/>
      </c>
      <c r="AL869" s="10" t="str">
        <f>IFERROR(VLOOKUP(B869,'Pre-Summary'!$BG$6:$BL$44,3,FALSE),"")</f>
        <v/>
      </c>
      <c r="AM869" s="10" t="str">
        <f>IFERROR(VLOOKUP(B869,'Pre-Summary'!$BG$6:$BL$44,4,FALSE),"")</f>
        <v/>
      </c>
    </row>
    <row r="870" spans="2:39" ht="15" customHeight="1" x14ac:dyDescent="0.3">
      <c r="B870">
        <v>86.7</v>
      </c>
      <c r="C870" t="str">
        <f>IFERROR(VLOOKUP(B870,'Pre-Summary'!$DI$6:$DM$23,4,FALSE),"")</f>
        <v/>
      </c>
      <c r="D870" s="10" t="str">
        <f>IFERROR(VLOOKUP(B870,'Pre-Summary'!$AT$6:$AX$14,5,FALSE),D869)</f>
        <v>DSMZ v2: Dropped Na-Ac out of DSMZ 120 media</v>
      </c>
      <c r="E870" s="10" t="str">
        <f>IFERROR(VLOOKUP(B870,'Pre-Summary'!$AT$6:$AX$15,4,FALSE),"")</f>
        <v/>
      </c>
      <c r="F870">
        <f>IFERROR(VLOOKUP(B870,'Pre-Summary'!$AL$6:$AQ$13,6,FALSE),F869)</f>
        <v>5.9405263157894746E-2</v>
      </c>
      <c r="G870" t="str">
        <f>IFERROR(VLOOKUP(B870,'Pre-Summary'!$AE$6:$AJ$85,3,FALSE),"")</f>
        <v/>
      </c>
      <c r="H870" t="str">
        <f>IFERROR(VLOOKUP(B870,'Pre-Summary'!$AE$6:$AJ$85,4,FALSE),"")</f>
        <v/>
      </c>
      <c r="I870" t="str">
        <f>IFERROR(VLOOKUP(B870,'Pre-Summary'!$AE$6:$AJ$85,5,FALSE),"")</f>
        <v/>
      </c>
      <c r="J870" s="45" t="str">
        <f>IFERROR(VLOOKUP(B870,'Pre-Summary'!$AE$6:$AJ$85,6, FALSE),"")</f>
        <v/>
      </c>
      <c r="K870" s="45" t="str">
        <f>IFERROR(VLOOKUP(B870,'Pre-Summary'!$DE$6:$DG$61,3,FALSE),"")</f>
        <v/>
      </c>
      <c r="L870" s="45" t="str">
        <f>IFERROR(VLOOKUP(B870,'Pre-Summary'!$CU$6:$CW$36,3,FALSE),"")</f>
        <v/>
      </c>
      <c r="M870" s="45" t="str">
        <f>IFERROR(VLOOKUP(B870,'Pre-Summary'!$BW$6:$BY$58,2,FALSE),"")</f>
        <v/>
      </c>
      <c r="N870" s="45" t="str">
        <f>IFERROR(VLOOKUP(B870,'Pre-Summary'!$CD$6:$CF$64,2,FALSE),"")</f>
        <v/>
      </c>
      <c r="O870" s="99">
        <f>IFERROR(VLOOKUP(B870,'Pre-Summary'!$BO$6:$BQ$48,3, FALSE),O869)</f>
        <v>1.2</v>
      </c>
      <c r="P870" s="99">
        <f>IFERROR(VLOOKUP(B870,'Pre-Summary'!$BS$6:$BU$35,3,FALSE),P869)</f>
        <v>0.3</v>
      </c>
      <c r="Q870" s="54">
        <f t="shared" si="39"/>
        <v>4</v>
      </c>
      <c r="R870" s="53">
        <f>IFERROR(VLOOKUP(B870,'Pre-Summary'!$BG$6:$BM$44,7,FALSE),R871)</f>
        <v>6.4813973442575987E-2</v>
      </c>
      <c r="S870" s="53">
        <f>IFERROR(VLOOKUP(B870,'Pre-Summary'!$BG$6:$BM$44,6,FALSE),S871)</f>
        <v>9.4647776465945271E-2</v>
      </c>
      <c r="T870" s="45" t="str">
        <f>IFERROR(VLOOKUP(B870,'Pre-Summary'!$Y$6:$AC$83, 3,FALSE),"")</f>
        <v/>
      </c>
      <c r="U870" s="45" t="str">
        <f>IFERROR(VLOOKUP(B870,'Pre-Summary'!$Y$6:$AC$83, 4,FALSE),"")</f>
        <v/>
      </c>
      <c r="V870" t="str">
        <f>IFERROR(VLOOKUP(B870,'Pre-Summary'!$Y$6:$AC$83, 5,FALSE),"")</f>
        <v/>
      </c>
      <c r="W870" s="45" t="str">
        <f>IFERROR(VLOOKUP(B870,'Pre-Summary'!$Y$6:$AD$83,6,FALSE),"")</f>
        <v/>
      </c>
      <c r="X870" t="str">
        <f>IFERROR(VLOOKUP('Pre-Summary'!$DB$6:$DD$63,3,FALSE),"")</f>
        <v/>
      </c>
      <c r="Y870" t="str">
        <f>IFERROR(VLOOKUP(B870,'Pre-Summary'!$CR$6:$CT$36,3,FALSE),"")</f>
        <v/>
      </c>
      <c r="Z870" s="45" t="str">
        <f>IFERROR(VLOOKUP(B870,'Pre-Summary'!$BZ$6:$CB$63,2,FALSE),"")</f>
        <v/>
      </c>
      <c r="AA870" s="45" t="str">
        <f>IFERROR(VLOOKUP(B870,'Pre-Summary'!$CG$6:$CI$70,2,FALSE),"")</f>
        <v/>
      </c>
      <c r="AB870" s="99">
        <f>IFERROR(VLOOKUP(B870,'Pre-Summary'!$A$6:$P$178,9,FALSE),AB871)</f>
        <v>0.51107900307227605</v>
      </c>
      <c r="AC870" s="10">
        <f>IFERROR(VLOOKUP(Summary!B870,'Pre-Summary'!$A$6:$P$184,5, FALSE)/100,AC871)</f>
        <v>0.83335766666666655</v>
      </c>
      <c r="AD870" s="10">
        <f>IFERROR(VLOOKUP(Summary!B870,'Pre-Summary'!$A$6:$P$184,3, FALSE)/100,AD871)</f>
        <v>6.2578333333333333E-2</v>
      </c>
      <c r="AE870" s="10">
        <f>IFERROR(VLOOKUP(Summary!B870,'Pre-Summary'!$A$6:$P$184,7, FALSE)/100,AE871)</f>
        <v>0.10406399999999999</v>
      </c>
      <c r="AF870" s="99">
        <f t="shared" si="40"/>
        <v>3.1982472213924584E-2</v>
      </c>
      <c r="AG870" s="99">
        <f t="shared" si="41"/>
        <v>5.3184925375713329E-2</v>
      </c>
      <c r="AH870" s="10" t="str">
        <f>IFERROR(VLOOKUP(B870,'Pre-Summary'!$AZ$6:$BE$65,3,FALSE),"")</f>
        <v/>
      </c>
      <c r="AI870" s="10" t="str">
        <f>IFERROR(VLOOKUP(B870,'Pre-Summary'!$AZ$6:$BE$65,5,FALSE),"")</f>
        <v/>
      </c>
      <c r="AJ870" s="10" t="str">
        <f>IFERROR(VLOOKUP(B870,'Pre-Summary'!$AZ$6:$BE$65,4,FALSE),"")</f>
        <v/>
      </c>
      <c r="AK870" s="10" t="str">
        <f>IFERROR(VLOOKUP(B870,'Pre-Summary'!$AZ$6:$BE$65,6,FALSE),"")</f>
        <v/>
      </c>
      <c r="AL870" s="10" t="str">
        <f>IFERROR(VLOOKUP(B870,'Pre-Summary'!$BG$6:$BL$44,3,FALSE),"")</f>
        <v/>
      </c>
      <c r="AM870" s="10" t="str">
        <f>IFERROR(VLOOKUP(B870,'Pre-Summary'!$BG$6:$BL$44,4,FALSE),"")</f>
        <v/>
      </c>
    </row>
    <row r="871" spans="2:39" ht="15" customHeight="1" x14ac:dyDescent="0.3">
      <c r="B871">
        <v>86.8</v>
      </c>
      <c r="C871" t="str">
        <f>IFERROR(VLOOKUP(B871,'Pre-Summary'!$DI$6:$DM$23,4,FALSE),"")</f>
        <v/>
      </c>
      <c r="D871" s="10" t="str">
        <f>IFERROR(VLOOKUP(B871,'Pre-Summary'!$AT$6:$AX$14,5,FALSE),D870)</f>
        <v>DSMZ v2: Dropped Na-Ac out of DSMZ 120 media</v>
      </c>
      <c r="E871" s="10" t="str">
        <f>IFERROR(VLOOKUP(B871,'Pre-Summary'!$AT$6:$AX$15,4,FALSE),"")</f>
        <v/>
      </c>
      <c r="F871">
        <f>IFERROR(VLOOKUP(B871,'Pre-Summary'!$AL$6:$AQ$13,6,FALSE),F870)</f>
        <v>5.9405263157894746E-2</v>
      </c>
      <c r="G871" t="str">
        <f>IFERROR(VLOOKUP(B871,'Pre-Summary'!$AE$6:$AJ$85,3,FALSE),"")</f>
        <v/>
      </c>
      <c r="H871" t="str">
        <f>IFERROR(VLOOKUP(B871,'Pre-Summary'!$AE$6:$AJ$85,4,FALSE),"")</f>
        <v/>
      </c>
      <c r="I871" t="str">
        <f>IFERROR(VLOOKUP(B871,'Pre-Summary'!$AE$6:$AJ$85,5,FALSE),"")</f>
        <v/>
      </c>
      <c r="J871" s="45" t="str">
        <f>IFERROR(VLOOKUP(B871,'Pre-Summary'!$AE$6:$AJ$85,6, FALSE),"")</f>
        <v/>
      </c>
      <c r="K871" s="45" t="str">
        <f>IFERROR(VLOOKUP(B871,'Pre-Summary'!$DE$6:$DG$61,3,FALSE),"")</f>
        <v/>
      </c>
      <c r="L871" s="45" t="str">
        <f>IFERROR(VLOOKUP(B871,'Pre-Summary'!$CU$6:$CW$36,3,FALSE),"")</f>
        <v/>
      </c>
      <c r="M871" s="45" t="str">
        <f>IFERROR(VLOOKUP(B871,'Pre-Summary'!$BW$6:$BY$58,2,FALSE),"")</f>
        <v/>
      </c>
      <c r="N871" s="45" t="str">
        <f>IFERROR(VLOOKUP(B871,'Pre-Summary'!$CD$6:$CF$64,2,FALSE),"")</f>
        <v/>
      </c>
      <c r="O871" s="99">
        <f>IFERROR(VLOOKUP(B871,'Pre-Summary'!$BO$6:$BQ$48,3, FALSE),O870)</f>
        <v>1.2</v>
      </c>
      <c r="P871" s="99">
        <f>IFERROR(VLOOKUP(B871,'Pre-Summary'!$BS$6:$BU$35,3,FALSE),P870)</f>
        <v>0.3</v>
      </c>
      <c r="Q871" s="54">
        <f t="shared" si="39"/>
        <v>4</v>
      </c>
      <c r="R871" s="53">
        <f>IFERROR(VLOOKUP(B871,'Pre-Summary'!$BG$6:$BM$44,7,FALSE),R872)</f>
        <v>6.4813973442575987E-2</v>
      </c>
      <c r="S871" s="53">
        <f>IFERROR(VLOOKUP(B871,'Pre-Summary'!$BG$6:$BM$44,6,FALSE),S872)</f>
        <v>9.4647776465945271E-2</v>
      </c>
      <c r="T871" s="45" t="str">
        <f>IFERROR(VLOOKUP(B871,'Pre-Summary'!$Y$6:$AC$83, 3,FALSE),"")</f>
        <v/>
      </c>
      <c r="U871" s="45" t="str">
        <f>IFERROR(VLOOKUP(B871,'Pre-Summary'!$Y$6:$AC$83, 4,FALSE),"")</f>
        <v/>
      </c>
      <c r="V871" t="str">
        <f>IFERROR(VLOOKUP(B871,'Pre-Summary'!$Y$6:$AC$83, 5,FALSE),"")</f>
        <v/>
      </c>
      <c r="W871" s="45" t="str">
        <f>IFERROR(VLOOKUP(B871,'Pre-Summary'!$Y$6:$AD$83,6,FALSE),"")</f>
        <v/>
      </c>
      <c r="X871" t="str">
        <f>IFERROR(VLOOKUP('Pre-Summary'!$DB$6:$DD$63,3,FALSE),"")</f>
        <v/>
      </c>
      <c r="Y871" t="str">
        <f>IFERROR(VLOOKUP(B871,'Pre-Summary'!$CR$6:$CT$36,3,FALSE),"")</f>
        <v/>
      </c>
      <c r="Z871" s="45" t="str">
        <f>IFERROR(VLOOKUP(B871,'Pre-Summary'!$BZ$6:$CB$63,2,FALSE),"")</f>
        <v/>
      </c>
      <c r="AA871" s="45" t="str">
        <f>IFERROR(VLOOKUP(B871,'Pre-Summary'!$CG$6:$CI$70,2,FALSE),"")</f>
        <v/>
      </c>
      <c r="AB871" s="99">
        <f>IFERROR(VLOOKUP(B871,'Pre-Summary'!$A$6:$P$178,9,FALSE),AB872)</f>
        <v>0.51107900307227605</v>
      </c>
      <c r="AC871" s="10">
        <f>IFERROR(VLOOKUP(Summary!B871,'Pre-Summary'!$A$6:$P$184,5, FALSE)/100,AC872)</f>
        <v>0.83335766666666655</v>
      </c>
      <c r="AD871" s="10">
        <f>IFERROR(VLOOKUP(Summary!B871,'Pre-Summary'!$A$6:$P$184,3, FALSE)/100,AD872)</f>
        <v>6.2578333333333333E-2</v>
      </c>
      <c r="AE871" s="10">
        <f>IFERROR(VLOOKUP(Summary!B871,'Pre-Summary'!$A$6:$P$184,7, FALSE)/100,AE872)</f>
        <v>0.10406399999999999</v>
      </c>
      <c r="AF871" s="99">
        <f t="shared" si="40"/>
        <v>3.1982472213924584E-2</v>
      </c>
      <c r="AG871" s="99">
        <f t="shared" si="41"/>
        <v>5.3184925375713329E-2</v>
      </c>
      <c r="AH871" s="10" t="str">
        <f>IFERROR(VLOOKUP(B871,'Pre-Summary'!$AZ$6:$BE$65,3,FALSE),"")</f>
        <v/>
      </c>
      <c r="AI871" s="10" t="str">
        <f>IFERROR(VLOOKUP(B871,'Pre-Summary'!$AZ$6:$BE$65,5,FALSE),"")</f>
        <v/>
      </c>
      <c r="AJ871" s="10" t="str">
        <f>IFERROR(VLOOKUP(B871,'Pre-Summary'!$AZ$6:$BE$65,4,FALSE),"")</f>
        <v/>
      </c>
      <c r="AK871" s="10" t="str">
        <f>IFERROR(VLOOKUP(B871,'Pre-Summary'!$AZ$6:$BE$65,6,FALSE),"")</f>
        <v/>
      </c>
      <c r="AL871" s="10" t="str">
        <f>IFERROR(VLOOKUP(B871,'Pre-Summary'!$BG$6:$BL$44,3,FALSE),"")</f>
        <v/>
      </c>
      <c r="AM871" s="10" t="str">
        <f>IFERROR(VLOOKUP(B871,'Pre-Summary'!$BG$6:$BL$44,4,FALSE),"")</f>
        <v/>
      </c>
    </row>
    <row r="872" spans="2:39" ht="15" customHeight="1" x14ac:dyDescent="0.3">
      <c r="B872">
        <v>86.9</v>
      </c>
      <c r="C872" t="str">
        <f>IFERROR(VLOOKUP(B872,'Pre-Summary'!$DI$6:$DM$23,4,FALSE),"")</f>
        <v/>
      </c>
      <c r="D872" s="10" t="str">
        <f>IFERROR(VLOOKUP(B872,'Pre-Summary'!$AT$6:$AX$14,5,FALSE),D871)</f>
        <v>DSMZ v2: Dropped Na-Ac out of DSMZ 120 media</v>
      </c>
      <c r="E872" s="10" t="str">
        <f>IFERROR(VLOOKUP(B872,'Pre-Summary'!$AT$6:$AX$15,4,FALSE),"")</f>
        <v/>
      </c>
      <c r="F872">
        <f>IFERROR(VLOOKUP(B872,'Pre-Summary'!$AL$6:$AQ$13,6,FALSE),F871)</f>
        <v>5.9405263157894746E-2</v>
      </c>
      <c r="G872" t="str">
        <f>IFERROR(VLOOKUP(B872,'Pre-Summary'!$AE$6:$AJ$85,3,FALSE),"")</f>
        <v/>
      </c>
      <c r="H872" t="str">
        <f>IFERROR(VLOOKUP(B872,'Pre-Summary'!$AE$6:$AJ$85,4,FALSE),"")</f>
        <v/>
      </c>
      <c r="I872" t="str">
        <f>IFERROR(VLOOKUP(B872,'Pre-Summary'!$AE$6:$AJ$85,5,FALSE),"")</f>
        <v/>
      </c>
      <c r="J872" s="45" t="str">
        <f>IFERROR(VLOOKUP(B872,'Pre-Summary'!$AE$6:$AJ$85,6, FALSE),"")</f>
        <v/>
      </c>
      <c r="K872" s="45" t="str">
        <f>IFERROR(VLOOKUP(B872,'Pre-Summary'!$DE$6:$DG$61,3,FALSE),"")</f>
        <v/>
      </c>
      <c r="L872" s="45" t="str">
        <f>IFERROR(VLOOKUP(B872,'Pre-Summary'!$CU$6:$CW$36,3,FALSE),"")</f>
        <v/>
      </c>
      <c r="M872" s="45" t="str">
        <f>IFERROR(VLOOKUP(B872,'Pre-Summary'!$BW$6:$BY$58,2,FALSE),"")</f>
        <v/>
      </c>
      <c r="N872" s="45" t="str">
        <f>IFERROR(VLOOKUP(B872,'Pre-Summary'!$CD$6:$CF$64,2,FALSE),"")</f>
        <v/>
      </c>
      <c r="O872" s="99">
        <f>IFERROR(VLOOKUP(B872,'Pre-Summary'!$BO$6:$BQ$48,3, FALSE),O871)</f>
        <v>1.2</v>
      </c>
      <c r="P872" s="99">
        <f>IFERROR(VLOOKUP(B872,'Pre-Summary'!$BS$6:$BU$35,3,FALSE),P871)</f>
        <v>0.3</v>
      </c>
      <c r="Q872" s="54">
        <f t="shared" si="39"/>
        <v>4</v>
      </c>
      <c r="R872" s="53">
        <f>IFERROR(VLOOKUP(B872,'Pre-Summary'!$BG$6:$BM$44,7,FALSE),R873)</f>
        <v>6.4813973442575987E-2</v>
      </c>
      <c r="S872" s="53">
        <f>IFERROR(VLOOKUP(B872,'Pre-Summary'!$BG$6:$BM$44,6,FALSE),S873)</f>
        <v>9.4647776465945271E-2</v>
      </c>
      <c r="T872" s="45" t="str">
        <f>IFERROR(VLOOKUP(B872,'Pre-Summary'!$Y$6:$AC$83, 3,FALSE),"")</f>
        <v/>
      </c>
      <c r="U872" s="45" t="str">
        <f>IFERROR(VLOOKUP(B872,'Pre-Summary'!$Y$6:$AC$83, 4,FALSE),"")</f>
        <v/>
      </c>
      <c r="V872" t="str">
        <f>IFERROR(VLOOKUP(B872,'Pre-Summary'!$Y$6:$AC$83, 5,FALSE),"")</f>
        <v/>
      </c>
      <c r="W872" s="45" t="str">
        <f>IFERROR(VLOOKUP(B872,'Pre-Summary'!$Y$6:$AD$83,6,FALSE),"")</f>
        <v/>
      </c>
      <c r="X872" t="str">
        <f>IFERROR(VLOOKUP('Pre-Summary'!$DB$6:$DD$63,3,FALSE),"")</f>
        <v/>
      </c>
      <c r="Y872" t="str">
        <f>IFERROR(VLOOKUP(B872,'Pre-Summary'!$CR$6:$CT$36,3,FALSE),"")</f>
        <v/>
      </c>
      <c r="Z872" s="45" t="str">
        <f>IFERROR(VLOOKUP(B872,'Pre-Summary'!$BZ$6:$CB$63,2,FALSE),"")</f>
        <v/>
      </c>
      <c r="AA872" s="45" t="str">
        <f>IFERROR(VLOOKUP(B872,'Pre-Summary'!$CG$6:$CI$70,2,FALSE),"")</f>
        <v/>
      </c>
      <c r="AB872" s="99">
        <f>IFERROR(VLOOKUP(B872,'Pre-Summary'!$A$6:$P$178,9,FALSE),AB873)</f>
        <v>0.51107900307227605</v>
      </c>
      <c r="AC872" s="10">
        <f>IFERROR(VLOOKUP(Summary!B872,'Pre-Summary'!$A$6:$P$184,5, FALSE)/100,AC873)</f>
        <v>0.83335766666666655</v>
      </c>
      <c r="AD872" s="10">
        <f>IFERROR(VLOOKUP(Summary!B872,'Pre-Summary'!$A$6:$P$184,3, FALSE)/100,AD873)</f>
        <v>6.2578333333333333E-2</v>
      </c>
      <c r="AE872" s="10">
        <f>IFERROR(VLOOKUP(Summary!B872,'Pre-Summary'!$A$6:$P$184,7, FALSE)/100,AE873)</f>
        <v>0.10406399999999999</v>
      </c>
      <c r="AF872" s="99">
        <f t="shared" si="40"/>
        <v>3.1982472213924584E-2</v>
      </c>
      <c r="AG872" s="99">
        <f t="shared" si="41"/>
        <v>5.3184925375713329E-2</v>
      </c>
      <c r="AH872" s="10" t="str">
        <f>IFERROR(VLOOKUP(B872,'Pre-Summary'!$AZ$6:$BE$65,3,FALSE),"")</f>
        <v/>
      </c>
      <c r="AI872" s="10" t="str">
        <f>IFERROR(VLOOKUP(B872,'Pre-Summary'!$AZ$6:$BE$65,5,FALSE),"")</f>
        <v/>
      </c>
      <c r="AJ872" s="10" t="str">
        <f>IFERROR(VLOOKUP(B872,'Pre-Summary'!$AZ$6:$BE$65,4,FALSE),"")</f>
        <v/>
      </c>
      <c r="AK872" s="10" t="str">
        <f>IFERROR(VLOOKUP(B872,'Pre-Summary'!$AZ$6:$BE$65,6,FALSE),"")</f>
        <v/>
      </c>
      <c r="AL872" s="10" t="str">
        <f>IFERROR(VLOOKUP(B872,'Pre-Summary'!$BG$6:$BL$44,3,FALSE),"")</f>
        <v/>
      </c>
      <c r="AM872" s="10" t="str">
        <f>IFERROR(VLOOKUP(B872,'Pre-Summary'!$BG$6:$BL$44,4,FALSE),"")</f>
        <v/>
      </c>
    </row>
    <row r="873" spans="2:39" ht="15" customHeight="1" x14ac:dyDescent="0.3">
      <c r="B873">
        <v>87</v>
      </c>
      <c r="C873" t="str">
        <f>IFERROR(VLOOKUP(B873,'Pre-Summary'!$DI$6:$DM$23,4,FALSE),"")</f>
        <v/>
      </c>
      <c r="D873" s="10" t="str">
        <f>IFERROR(VLOOKUP(B873,'Pre-Summary'!$AT$6:$AX$14,5,FALSE),D872)</f>
        <v>DSMZ v2: Dropped Na-Ac out of DSMZ 120 media</v>
      </c>
      <c r="E873" s="10" t="str">
        <f>IFERROR(VLOOKUP(B873,'Pre-Summary'!$AT$6:$AX$15,4,FALSE),"")</f>
        <v/>
      </c>
      <c r="F873">
        <f>IFERROR(VLOOKUP(B873,'Pre-Summary'!$AL$6:$AQ$13,6,FALSE),F872)</f>
        <v>5.9405263157894746E-2</v>
      </c>
      <c r="G873" t="str">
        <f>IFERROR(VLOOKUP(B873,'Pre-Summary'!$AE$6:$AJ$85,3,FALSE),"")</f>
        <v/>
      </c>
      <c r="H873" t="str">
        <f>IFERROR(VLOOKUP(B873,'Pre-Summary'!$AE$6:$AJ$85,4,FALSE),"")</f>
        <v/>
      </c>
      <c r="I873" t="str">
        <f>IFERROR(VLOOKUP(B873,'Pre-Summary'!$AE$6:$AJ$85,5,FALSE),"")</f>
        <v/>
      </c>
      <c r="J873" s="45" t="str">
        <f>IFERROR(VLOOKUP(B873,'Pre-Summary'!$AE$6:$AJ$85,6, FALSE),"")</f>
        <v/>
      </c>
      <c r="K873" s="45" t="str">
        <f>IFERROR(VLOOKUP(B873,'Pre-Summary'!$DE$6:$DG$61,3,FALSE),"")</f>
        <v/>
      </c>
      <c r="L873" s="45" t="str">
        <f>IFERROR(VLOOKUP(B873,'Pre-Summary'!$CU$6:$CW$36,3,FALSE),"")</f>
        <v/>
      </c>
      <c r="M873" s="45" t="str">
        <f>IFERROR(VLOOKUP(B873,'Pre-Summary'!$BW$6:$BY$58,2,FALSE),"")</f>
        <v/>
      </c>
      <c r="N873" s="45" t="str">
        <f>IFERROR(VLOOKUP(B873,'Pre-Summary'!$CD$6:$CF$64,2,FALSE),"")</f>
        <v/>
      </c>
      <c r="O873" s="99">
        <f>IFERROR(VLOOKUP(B873,'Pre-Summary'!$BO$6:$BQ$48,3, FALSE),O872)</f>
        <v>1.2</v>
      </c>
      <c r="P873" s="99">
        <f>IFERROR(VLOOKUP(B873,'Pre-Summary'!$BS$6:$BU$35,3,FALSE),P872)</f>
        <v>0.3</v>
      </c>
      <c r="Q873" s="54">
        <f t="shared" si="39"/>
        <v>4</v>
      </c>
      <c r="R873" s="53">
        <f>IFERROR(VLOOKUP(B873,'Pre-Summary'!$BG$6:$BM$44,7,FALSE),R874)</f>
        <v>6.4813973442575987E-2</v>
      </c>
      <c r="S873" s="53">
        <f>IFERROR(VLOOKUP(B873,'Pre-Summary'!$BG$6:$BM$44,6,FALSE),S874)</f>
        <v>9.4647776465945271E-2</v>
      </c>
      <c r="T873" s="45" t="str">
        <f>IFERROR(VLOOKUP(B873,'Pre-Summary'!$Y$6:$AC$83, 3,FALSE),"")</f>
        <v/>
      </c>
      <c r="U873" s="45" t="str">
        <f>IFERROR(VLOOKUP(B873,'Pre-Summary'!$Y$6:$AC$83, 4,FALSE),"")</f>
        <v/>
      </c>
      <c r="V873" t="str">
        <f>IFERROR(VLOOKUP(B873,'Pre-Summary'!$Y$6:$AC$83, 5,FALSE),"")</f>
        <v/>
      </c>
      <c r="W873" s="45" t="str">
        <f>IFERROR(VLOOKUP(B873,'Pre-Summary'!$Y$6:$AD$83,6,FALSE),"")</f>
        <v/>
      </c>
      <c r="X873" t="str">
        <f>IFERROR(VLOOKUP('Pre-Summary'!$DB$6:$DD$63,3,FALSE),"")</f>
        <v/>
      </c>
      <c r="Y873" t="str">
        <f>IFERROR(VLOOKUP(B873,'Pre-Summary'!$CR$6:$CT$36,3,FALSE),"")</f>
        <v/>
      </c>
      <c r="Z873" s="45" t="str">
        <f>IFERROR(VLOOKUP(B873,'Pre-Summary'!$BZ$6:$CB$63,2,FALSE),"")</f>
        <v/>
      </c>
      <c r="AA873" s="45" t="str">
        <f>IFERROR(VLOOKUP(B873,'Pre-Summary'!$CG$6:$CI$70,2,FALSE),"")</f>
        <v/>
      </c>
      <c r="AB873" s="99">
        <f>IFERROR(VLOOKUP(B873,'Pre-Summary'!$A$6:$P$178,9,FALSE),AB874)</f>
        <v>0.51107900307227605</v>
      </c>
      <c r="AC873" s="10">
        <f>IFERROR(VLOOKUP(Summary!B873,'Pre-Summary'!$A$6:$P$184,5, FALSE)/100,AC874)</f>
        <v>0.83335766666666655</v>
      </c>
      <c r="AD873" s="10">
        <f>IFERROR(VLOOKUP(Summary!B873,'Pre-Summary'!$A$6:$P$184,3, FALSE)/100,AD874)</f>
        <v>6.2578333333333333E-2</v>
      </c>
      <c r="AE873" s="10">
        <f>IFERROR(VLOOKUP(Summary!B873,'Pre-Summary'!$A$6:$P$184,7, FALSE)/100,AE874)</f>
        <v>0.10406399999999999</v>
      </c>
      <c r="AF873" s="99">
        <f t="shared" si="40"/>
        <v>3.1982472213924584E-2</v>
      </c>
      <c r="AG873" s="99">
        <f t="shared" si="41"/>
        <v>5.3184925375713329E-2</v>
      </c>
      <c r="AH873" s="10" t="str">
        <f>IFERROR(VLOOKUP(B873,'Pre-Summary'!$AZ$6:$BE$65,3,FALSE),"")</f>
        <v/>
      </c>
      <c r="AI873" s="10" t="str">
        <f>IFERROR(VLOOKUP(B873,'Pre-Summary'!$AZ$6:$BE$65,5,FALSE),"")</f>
        <v/>
      </c>
      <c r="AJ873" s="10" t="str">
        <f>IFERROR(VLOOKUP(B873,'Pre-Summary'!$AZ$6:$BE$65,4,FALSE),"")</f>
        <v/>
      </c>
      <c r="AK873" s="10" t="str">
        <f>IFERROR(VLOOKUP(B873,'Pre-Summary'!$AZ$6:$BE$65,6,FALSE),"")</f>
        <v/>
      </c>
      <c r="AL873" s="10" t="str">
        <f>IFERROR(VLOOKUP(B873,'Pre-Summary'!$BG$6:$BL$44,3,FALSE),"")</f>
        <v/>
      </c>
      <c r="AM873" s="10" t="str">
        <f>IFERROR(VLOOKUP(B873,'Pre-Summary'!$BG$6:$BL$44,4,FALSE),"")</f>
        <v/>
      </c>
    </row>
    <row r="874" spans="2:39" ht="15" customHeight="1" x14ac:dyDescent="0.3">
      <c r="B874">
        <v>87.1</v>
      </c>
      <c r="C874" t="str">
        <f>IFERROR(VLOOKUP(B874,'Pre-Summary'!$DI$6:$DM$23,4,FALSE),"")</f>
        <v/>
      </c>
      <c r="D874" s="10" t="str">
        <f>IFERROR(VLOOKUP(B874,'Pre-Summary'!$AT$6:$AX$14,5,FALSE),D873)</f>
        <v>DSMZ v2: Dropped Na-Ac out of DSMZ 120 media</v>
      </c>
      <c r="E874" s="10" t="str">
        <f>IFERROR(VLOOKUP(B874,'Pre-Summary'!$AT$6:$AX$15,4,FALSE),"")</f>
        <v/>
      </c>
      <c r="F874">
        <f>IFERROR(VLOOKUP(B874,'Pre-Summary'!$AL$6:$AQ$13,6,FALSE),F873)</f>
        <v>5.9405263157894746E-2</v>
      </c>
      <c r="G874" t="str">
        <f>IFERROR(VLOOKUP(B874,'Pre-Summary'!$AE$6:$AJ$85,3,FALSE),"")</f>
        <v/>
      </c>
      <c r="H874" t="str">
        <f>IFERROR(VLOOKUP(B874,'Pre-Summary'!$AE$6:$AJ$85,4,FALSE),"")</f>
        <v/>
      </c>
      <c r="I874" t="str">
        <f>IFERROR(VLOOKUP(B874,'Pre-Summary'!$AE$6:$AJ$85,5,FALSE),"")</f>
        <v/>
      </c>
      <c r="J874" s="45" t="str">
        <f>IFERROR(VLOOKUP(B874,'Pre-Summary'!$AE$6:$AJ$85,6, FALSE),"")</f>
        <v/>
      </c>
      <c r="K874" s="45" t="str">
        <f>IFERROR(VLOOKUP(B874,'Pre-Summary'!$DE$6:$DG$61,3,FALSE),"")</f>
        <v/>
      </c>
      <c r="L874" s="45" t="str">
        <f>IFERROR(VLOOKUP(B874,'Pre-Summary'!$CU$6:$CW$36,3,FALSE),"")</f>
        <v/>
      </c>
      <c r="M874" s="45" t="str">
        <f>IFERROR(VLOOKUP(B874,'Pre-Summary'!$BW$6:$BY$58,2,FALSE),"")</f>
        <v/>
      </c>
      <c r="N874" s="45" t="str">
        <f>IFERROR(VLOOKUP(B874,'Pre-Summary'!$CD$6:$CF$64,2,FALSE),"")</f>
        <v/>
      </c>
      <c r="O874" s="99">
        <f>IFERROR(VLOOKUP(B874,'Pre-Summary'!$BO$6:$BQ$48,3, FALSE),O873)</f>
        <v>1.2</v>
      </c>
      <c r="P874" s="99">
        <f>IFERROR(VLOOKUP(B874,'Pre-Summary'!$BS$6:$BU$35,3,FALSE),P873)</f>
        <v>0.3</v>
      </c>
      <c r="Q874" s="54">
        <f t="shared" si="39"/>
        <v>4</v>
      </c>
      <c r="R874" s="53">
        <f>IFERROR(VLOOKUP(B874,'Pre-Summary'!$BG$6:$BM$44,7,FALSE),R875)</f>
        <v>6.4813973442575987E-2</v>
      </c>
      <c r="S874" s="53">
        <f>IFERROR(VLOOKUP(B874,'Pre-Summary'!$BG$6:$BM$44,6,FALSE),S875)</f>
        <v>9.4647776465945271E-2</v>
      </c>
      <c r="T874" s="45" t="str">
        <f>IFERROR(VLOOKUP(B874,'Pre-Summary'!$Y$6:$AC$83, 3,FALSE),"")</f>
        <v/>
      </c>
      <c r="U874" s="45" t="str">
        <f>IFERROR(VLOOKUP(B874,'Pre-Summary'!$Y$6:$AC$83, 4,FALSE),"")</f>
        <v/>
      </c>
      <c r="V874" t="str">
        <f>IFERROR(VLOOKUP(B874,'Pre-Summary'!$Y$6:$AC$83, 5,FALSE),"")</f>
        <v/>
      </c>
      <c r="W874" s="45" t="str">
        <f>IFERROR(VLOOKUP(B874,'Pre-Summary'!$Y$6:$AD$83,6,FALSE),"")</f>
        <v/>
      </c>
      <c r="X874" t="str">
        <f>IFERROR(VLOOKUP('Pre-Summary'!$DB$6:$DD$63,3,FALSE),"")</f>
        <v/>
      </c>
      <c r="Y874" t="str">
        <f>IFERROR(VLOOKUP(B874,'Pre-Summary'!$CR$6:$CT$36,3,FALSE),"")</f>
        <v/>
      </c>
      <c r="Z874" s="45" t="str">
        <f>IFERROR(VLOOKUP(B874,'Pre-Summary'!$BZ$6:$CB$63,2,FALSE),"")</f>
        <v/>
      </c>
      <c r="AA874" s="45" t="str">
        <f>IFERROR(VLOOKUP(B874,'Pre-Summary'!$CG$6:$CI$70,2,FALSE),"")</f>
        <v/>
      </c>
      <c r="AB874" s="99">
        <f>IFERROR(VLOOKUP(B874,'Pre-Summary'!$A$6:$P$178,9,FALSE),AB875)</f>
        <v>0.51107900307227605</v>
      </c>
      <c r="AC874" s="10">
        <f>IFERROR(VLOOKUP(Summary!B874,'Pre-Summary'!$A$6:$P$184,5, FALSE)/100,AC875)</f>
        <v>0.83335766666666655</v>
      </c>
      <c r="AD874" s="10">
        <f>IFERROR(VLOOKUP(Summary!B874,'Pre-Summary'!$A$6:$P$184,3, FALSE)/100,AD875)</f>
        <v>6.2578333333333333E-2</v>
      </c>
      <c r="AE874" s="10">
        <f>IFERROR(VLOOKUP(Summary!B874,'Pre-Summary'!$A$6:$P$184,7, FALSE)/100,AE875)</f>
        <v>0.10406399999999999</v>
      </c>
      <c r="AF874" s="99">
        <f t="shared" si="40"/>
        <v>3.1982472213924584E-2</v>
      </c>
      <c r="AG874" s="99">
        <f t="shared" si="41"/>
        <v>5.3184925375713329E-2</v>
      </c>
      <c r="AH874" s="10" t="str">
        <f>IFERROR(VLOOKUP(B874,'Pre-Summary'!$AZ$6:$BE$65,3,FALSE),"")</f>
        <v/>
      </c>
      <c r="AI874" s="10" t="str">
        <f>IFERROR(VLOOKUP(B874,'Pre-Summary'!$AZ$6:$BE$65,5,FALSE),"")</f>
        <v/>
      </c>
      <c r="AJ874" s="10" t="str">
        <f>IFERROR(VLOOKUP(B874,'Pre-Summary'!$AZ$6:$BE$65,4,FALSE),"")</f>
        <v/>
      </c>
      <c r="AK874" s="10" t="str">
        <f>IFERROR(VLOOKUP(B874,'Pre-Summary'!$AZ$6:$BE$65,6,FALSE),"")</f>
        <v/>
      </c>
      <c r="AL874" s="10" t="str">
        <f>IFERROR(VLOOKUP(B874,'Pre-Summary'!$BG$6:$BL$44,3,FALSE),"")</f>
        <v/>
      </c>
      <c r="AM874" s="10" t="str">
        <f>IFERROR(VLOOKUP(B874,'Pre-Summary'!$BG$6:$BL$44,4,FALSE),"")</f>
        <v/>
      </c>
    </row>
    <row r="875" spans="2:39" ht="15" customHeight="1" x14ac:dyDescent="0.3">
      <c r="B875">
        <v>87.2</v>
      </c>
      <c r="C875" t="str">
        <f>IFERROR(VLOOKUP(B875,'Pre-Summary'!$DI$6:$DM$23,4,FALSE),"")</f>
        <v/>
      </c>
      <c r="D875" s="10" t="str">
        <f>IFERROR(VLOOKUP(B875,'Pre-Summary'!$AT$6:$AX$14,5,FALSE),D874)</f>
        <v>DSMZ v2: Dropped Na-Ac out of DSMZ 120 media</v>
      </c>
      <c r="E875" s="10" t="str">
        <f>IFERROR(VLOOKUP(B875,'Pre-Summary'!$AT$6:$AX$15,4,FALSE),"")</f>
        <v/>
      </c>
      <c r="F875">
        <f>IFERROR(VLOOKUP(B875,'Pre-Summary'!$AL$6:$AQ$13,6,FALSE),F874)</f>
        <v>5.9405263157894746E-2</v>
      </c>
      <c r="G875" t="str">
        <f>IFERROR(VLOOKUP(B875,'Pre-Summary'!$AE$6:$AJ$85,3,FALSE),"")</f>
        <v/>
      </c>
      <c r="H875" t="str">
        <f>IFERROR(VLOOKUP(B875,'Pre-Summary'!$AE$6:$AJ$85,4,FALSE),"")</f>
        <v/>
      </c>
      <c r="I875" t="str">
        <f>IFERROR(VLOOKUP(B875,'Pre-Summary'!$AE$6:$AJ$85,5,FALSE),"")</f>
        <v/>
      </c>
      <c r="J875" s="45" t="str">
        <f>IFERROR(VLOOKUP(B875,'Pre-Summary'!$AE$6:$AJ$85,6, FALSE),"")</f>
        <v/>
      </c>
      <c r="K875" s="45" t="str">
        <f>IFERROR(VLOOKUP(B875,'Pre-Summary'!$DE$6:$DG$61,3,FALSE),"")</f>
        <v/>
      </c>
      <c r="L875" s="45" t="str">
        <f>IFERROR(VLOOKUP(B875,'Pre-Summary'!$CU$6:$CW$36,3,FALSE),"")</f>
        <v/>
      </c>
      <c r="M875" s="45" t="str">
        <f>IFERROR(VLOOKUP(B875,'Pre-Summary'!$BW$6:$BY$58,2,FALSE),"")</f>
        <v/>
      </c>
      <c r="N875" s="45" t="str">
        <f>IFERROR(VLOOKUP(B875,'Pre-Summary'!$CD$6:$CF$64,2,FALSE),"")</f>
        <v/>
      </c>
      <c r="O875" s="99">
        <f>IFERROR(VLOOKUP(B875,'Pre-Summary'!$BO$6:$BQ$48,3, FALSE),O874)</f>
        <v>1.2</v>
      </c>
      <c r="P875" s="99">
        <f>IFERROR(VLOOKUP(B875,'Pre-Summary'!$BS$6:$BU$35,3,FALSE),P874)</f>
        <v>0.3</v>
      </c>
      <c r="Q875" s="54">
        <f t="shared" si="39"/>
        <v>4</v>
      </c>
      <c r="R875" s="53">
        <f>IFERROR(VLOOKUP(B875,'Pre-Summary'!$BG$6:$BM$44,7,FALSE),R876)</f>
        <v>6.4813973442575987E-2</v>
      </c>
      <c r="S875" s="53">
        <f>IFERROR(VLOOKUP(B875,'Pre-Summary'!$BG$6:$BM$44,6,FALSE),S876)</f>
        <v>9.4647776465945271E-2</v>
      </c>
      <c r="T875" s="45" t="str">
        <f>IFERROR(VLOOKUP(B875,'Pre-Summary'!$Y$6:$AC$83, 3,FALSE),"")</f>
        <v/>
      </c>
      <c r="U875" s="45" t="str">
        <f>IFERROR(VLOOKUP(B875,'Pre-Summary'!$Y$6:$AC$83, 4,FALSE),"")</f>
        <v/>
      </c>
      <c r="V875" t="str">
        <f>IFERROR(VLOOKUP(B875,'Pre-Summary'!$Y$6:$AC$83, 5,FALSE),"")</f>
        <v/>
      </c>
      <c r="W875" s="45" t="str">
        <f>IFERROR(VLOOKUP(B875,'Pre-Summary'!$Y$6:$AD$83,6,FALSE),"")</f>
        <v/>
      </c>
      <c r="X875" t="str">
        <f>IFERROR(VLOOKUP('Pre-Summary'!$DB$6:$DD$63,3,FALSE),"")</f>
        <v/>
      </c>
      <c r="Y875" t="str">
        <f>IFERROR(VLOOKUP(B875,'Pre-Summary'!$CR$6:$CT$36,3,FALSE),"")</f>
        <v/>
      </c>
      <c r="Z875" s="45" t="str">
        <f>IFERROR(VLOOKUP(B875,'Pre-Summary'!$BZ$6:$CB$63,2,FALSE),"")</f>
        <v/>
      </c>
      <c r="AA875" s="45" t="str">
        <f>IFERROR(VLOOKUP(B875,'Pre-Summary'!$CG$6:$CI$70,2,FALSE),"")</f>
        <v/>
      </c>
      <c r="AB875" s="99">
        <f>IFERROR(VLOOKUP(B875,'Pre-Summary'!$A$6:$P$178,9,FALSE),AB876)</f>
        <v>0.51107900307227605</v>
      </c>
      <c r="AC875" s="10">
        <f>IFERROR(VLOOKUP(Summary!B875,'Pre-Summary'!$A$6:$P$184,5, FALSE)/100,AC876)</f>
        <v>0.83335766666666655</v>
      </c>
      <c r="AD875" s="10">
        <f>IFERROR(VLOOKUP(Summary!B875,'Pre-Summary'!$A$6:$P$184,3, FALSE)/100,AD876)</f>
        <v>6.2578333333333333E-2</v>
      </c>
      <c r="AE875" s="10">
        <f>IFERROR(VLOOKUP(Summary!B875,'Pre-Summary'!$A$6:$P$184,7, FALSE)/100,AE876)</f>
        <v>0.10406399999999999</v>
      </c>
      <c r="AF875" s="99">
        <f t="shared" si="40"/>
        <v>3.1982472213924584E-2</v>
      </c>
      <c r="AG875" s="99">
        <f t="shared" si="41"/>
        <v>5.3184925375713329E-2</v>
      </c>
      <c r="AH875" s="10" t="str">
        <f>IFERROR(VLOOKUP(B875,'Pre-Summary'!$AZ$6:$BE$65,3,FALSE),"")</f>
        <v/>
      </c>
      <c r="AI875" s="10" t="str">
        <f>IFERROR(VLOOKUP(B875,'Pre-Summary'!$AZ$6:$BE$65,5,FALSE),"")</f>
        <v/>
      </c>
      <c r="AJ875" s="10" t="str">
        <f>IFERROR(VLOOKUP(B875,'Pre-Summary'!$AZ$6:$BE$65,4,FALSE),"")</f>
        <v/>
      </c>
      <c r="AK875" s="10" t="str">
        <f>IFERROR(VLOOKUP(B875,'Pre-Summary'!$AZ$6:$BE$65,6,FALSE),"")</f>
        <v/>
      </c>
      <c r="AL875" s="10" t="str">
        <f>IFERROR(VLOOKUP(B875,'Pre-Summary'!$BG$6:$BL$44,3,FALSE),"")</f>
        <v/>
      </c>
      <c r="AM875" s="10" t="str">
        <f>IFERROR(VLOOKUP(B875,'Pre-Summary'!$BG$6:$BL$44,4,FALSE),"")</f>
        <v/>
      </c>
    </row>
    <row r="876" spans="2:39" ht="15" customHeight="1" x14ac:dyDescent="0.3">
      <c r="B876">
        <v>87.3</v>
      </c>
      <c r="C876" t="str">
        <f>IFERROR(VLOOKUP(B876,'Pre-Summary'!$DI$6:$DM$23,4,FALSE),"")</f>
        <v/>
      </c>
      <c r="D876" s="10" t="str">
        <f>IFERROR(VLOOKUP(B876,'Pre-Summary'!$AT$6:$AX$14,5,FALSE),D875)</f>
        <v>DSMZ v2: Dropped Na-Ac out of DSMZ 120 media</v>
      </c>
      <c r="E876" s="10" t="str">
        <f>IFERROR(VLOOKUP(B876,'Pre-Summary'!$AT$6:$AX$15,4,FALSE),"")</f>
        <v/>
      </c>
      <c r="F876">
        <f>IFERROR(VLOOKUP(B876,'Pre-Summary'!$AL$6:$AQ$13,6,FALSE),F875)</f>
        <v>5.9405263157894746E-2</v>
      </c>
      <c r="G876" t="str">
        <f>IFERROR(VLOOKUP(B876,'Pre-Summary'!$AE$6:$AJ$85,3,FALSE),"")</f>
        <v/>
      </c>
      <c r="H876" t="str">
        <f>IFERROR(VLOOKUP(B876,'Pre-Summary'!$AE$6:$AJ$85,4,FALSE),"")</f>
        <v/>
      </c>
      <c r="I876" t="str">
        <f>IFERROR(VLOOKUP(B876,'Pre-Summary'!$AE$6:$AJ$85,5,FALSE),"")</f>
        <v/>
      </c>
      <c r="J876" s="45" t="str">
        <f>IFERROR(VLOOKUP(B876,'Pre-Summary'!$AE$6:$AJ$85,6, FALSE),"")</f>
        <v/>
      </c>
      <c r="K876" s="45" t="str">
        <f>IFERROR(VLOOKUP(B876,'Pre-Summary'!$DE$6:$DG$61,3,FALSE),"")</f>
        <v/>
      </c>
      <c r="L876" s="45" t="str">
        <f>IFERROR(VLOOKUP(B876,'Pre-Summary'!$CU$6:$CW$36,3,FALSE),"")</f>
        <v/>
      </c>
      <c r="M876" s="45" t="str">
        <f>IFERROR(VLOOKUP(B876,'Pre-Summary'!$BW$6:$BY$58,2,FALSE),"")</f>
        <v/>
      </c>
      <c r="N876" s="45" t="str">
        <f>IFERROR(VLOOKUP(B876,'Pre-Summary'!$CD$6:$CF$64,2,FALSE),"")</f>
        <v/>
      </c>
      <c r="O876" s="99">
        <f>IFERROR(VLOOKUP(B876,'Pre-Summary'!$BO$6:$BQ$48,3, FALSE),O875)</f>
        <v>1.2</v>
      </c>
      <c r="P876" s="99">
        <f>IFERROR(VLOOKUP(B876,'Pre-Summary'!$BS$6:$BU$35,3,FALSE),P875)</f>
        <v>0.3</v>
      </c>
      <c r="Q876" s="54">
        <f t="shared" si="39"/>
        <v>4</v>
      </c>
      <c r="R876" s="53">
        <f>IFERROR(VLOOKUP(B876,'Pre-Summary'!$BG$6:$BM$44,7,FALSE),R877)</f>
        <v>6.4813973442575987E-2</v>
      </c>
      <c r="S876" s="53">
        <f>IFERROR(VLOOKUP(B876,'Pre-Summary'!$BG$6:$BM$44,6,FALSE),S877)</f>
        <v>9.4647776465945271E-2</v>
      </c>
      <c r="T876" s="45" t="str">
        <f>IFERROR(VLOOKUP(B876,'Pre-Summary'!$Y$6:$AC$83, 3,FALSE),"")</f>
        <v/>
      </c>
      <c r="U876" s="45" t="str">
        <f>IFERROR(VLOOKUP(B876,'Pre-Summary'!$Y$6:$AC$83, 4,FALSE),"")</f>
        <v/>
      </c>
      <c r="V876" t="str">
        <f>IFERROR(VLOOKUP(B876,'Pre-Summary'!$Y$6:$AC$83, 5,FALSE),"")</f>
        <v/>
      </c>
      <c r="W876" s="45" t="str">
        <f>IFERROR(VLOOKUP(B876,'Pre-Summary'!$Y$6:$AD$83,6,FALSE),"")</f>
        <v/>
      </c>
      <c r="X876" t="str">
        <f>IFERROR(VLOOKUP('Pre-Summary'!$DB$6:$DD$63,3,FALSE),"")</f>
        <v/>
      </c>
      <c r="Y876" t="str">
        <f>IFERROR(VLOOKUP(B876,'Pre-Summary'!$CR$6:$CT$36,3,FALSE),"")</f>
        <v/>
      </c>
      <c r="Z876" s="45" t="str">
        <f>IFERROR(VLOOKUP(B876,'Pre-Summary'!$BZ$6:$CB$63,2,FALSE),"")</f>
        <v/>
      </c>
      <c r="AA876" s="45" t="str">
        <f>IFERROR(VLOOKUP(B876,'Pre-Summary'!$CG$6:$CI$70,2,FALSE),"")</f>
        <v/>
      </c>
      <c r="AB876" s="99">
        <f>IFERROR(VLOOKUP(B876,'Pre-Summary'!$A$6:$P$178,9,FALSE),AB877)</f>
        <v>0.51107900307227605</v>
      </c>
      <c r="AC876" s="10">
        <f>IFERROR(VLOOKUP(Summary!B876,'Pre-Summary'!$A$6:$P$184,5, FALSE)/100,AC877)</f>
        <v>0.83335766666666655</v>
      </c>
      <c r="AD876" s="10">
        <f>IFERROR(VLOOKUP(Summary!B876,'Pre-Summary'!$A$6:$P$184,3, FALSE)/100,AD877)</f>
        <v>6.2578333333333333E-2</v>
      </c>
      <c r="AE876" s="10">
        <f>IFERROR(VLOOKUP(Summary!B876,'Pre-Summary'!$A$6:$P$184,7, FALSE)/100,AE877)</f>
        <v>0.10406399999999999</v>
      </c>
      <c r="AF876" s="99">
        <f t="shared" si="40"/>
        <v>3.1982472213924584E-2</v>
      </c>
      <c r="AG876" s="99">
        <f t="shared" si="41"/>
        <v>5.3184925375713329E-2</v>
      </c>
      <c r="AH876" s="10" t="str">
        <f>IFERROR(VLOOKUP(B876,'Pre-Summary'!$AZ$6:$BE$65,3,FALSE),"")</f>
        <v/>
      </c>
      <c r="AI876" s="10" t="str">
        <f>IFERROR(VLOOKUP(B876,'Pre-Summary'!$AZ$6:$BE$65,5,FALSE),"")</f>
        <v/>
      </c>
      <c r="AJ876" s="10" t="str">
        <f>IFERROR(VLOOKUP(B876,'Pre-Summary'!$AZ$6:$BE$65,4,FALSE),"")</f>
        <v/>
      </c>
      <c r="AK876" s="10" t="str">
        <f>IFERROR(VLOOKUP(B876,'Pre-Summary'!$AZ$6:$BE$65,6,FALSE),"")</f>
        <v/>
      </c>
      <c r="AL876" s="10" t="str">
        <f>IFERROR(VLOOKUP(B876,'Pre-Summary'!$BG$6:$BL$44,3,FALSE),"")</f>
        <v/>
      </c>
      <c r="AM876" s="10" t="str">
        <f>IFERROR(VLOOKUP(B876,'Pre-Summary'!$BG$6:$BL$44,4,FALSE),"")</f>
        <v/>
      </c>
    </row>
    <row r="877" spans="2:39" ht="15" customHeight="1" x14ac:dyDescent="0.3">
      <c r="B877">
        <v>87.4</v>
      </c>
      <c r="C877" t="str">
        <f>IFERROR(VLOOKUP(B877,'Pre-Summary'!$DI$6:$DM$23,4,FALSE),"")</f>
        <v/>
      </c>
      <c r="D877" s="10" t="str">
        <f>IFERROR(VLOOKUP(B877,'Pre-Summary'!$AT$6:$AX$14,5,FALSE),D876)</f>
        <v>DSMZ v2: Dropped Na-Ac out of DSMZ 120 media</v>
      </c>
      <c r="E877" s="10" t="str">
        <f>IFERROR(VLOOKUP(B877,'Pre-Summary'!$AT$6:$AX$15,4,FALSE),"")</f>
        <v/>
      </c>
      <c r="F877">
        <f>IFERROR(VLOOKUP(B877,'Pre-Summary'!$AL$6:$AQ$13,6,FALSE),F876)</f>
        <v>5.9405263157894746E-2</v>
      </c>
      <c r="G877" t="str">
        <f>IFERROR(VLOOKUP(B877,'Pre-Summary'!$AE$6:$AJ$85,3,FALSE),"")</f>
        <v/>
      </c>
      <c r="H877" t="str">
        <f>IFERROR(VLOOKUP(B877,'Pre-Summary'!$AE$6:$AJ$85,4,FALSE),"")</f>
        <v/>
      </c>
      <c r="I877" t="str">
        <f>IFERROR(VLOOKUP(B877,'Pre-Summary'!$AE$6:$AJ$85,5,FALSE),"")</f>
        <v/>
      </c>
      <c r="J877" s="45" t="str">
        <f>IFERROR(VLOOKUP(B877,'Pre-Summary'!$AE$6:$AJ$85,6, FALSE),"")</f>
        <v/>
      </c>
      <c r="K877" s="45" t="str">
        <f>IFERROR(VLOOKUP(B877,'Pre-Summary'!$DE$6:$DG$61,3,FALSE),"")</f>
        <v/>
      </c>
      <c r="L877" s="45" t="str">
        <f>IFERROR(VLOOKUP(B877,'Pre-Summary'!$CU$6:$CW$36,3,FALSE),"")</f>
        <v/>
      </c>
      <c r="M877" s="45" t="str">
        <f>IFERROR(VLOOKUP(B877,'Pre-Summary'!$BW$6:$BY$58,2,FALSE),"")</f>
        <v/>
      </c>
      <c r="N877" s="45" t="str">
        <f>IFERROR(VLOOKUP(B877,'Pre-Summary'!$CD$6:$CF$64,2,FALSE),"")</f>
        <v/>
      </c>
      <c r="O877" s="99">
        <f>IFERROR(VLOOKUP(B877,'Pre-Summary'!$BO$6:$BQ$48,3, FALSE),O876)</f>
        <v>1.2</v>
      </c>
      <c r="P877" s="99">
        <f>IFERROR(VLOOKUP(B877,'Pre-Summary'!$BS$6:$BU$35,3,FALSE),P876)</f>
        <v>0.3</v>
      </c>
      <c r="Q877" s="54">
        <f t="shared" si="39"/>
        <v>4</v>
      </c>
      <c r="R877" s="53">
        <f>IFERROR(VLOOKUP(B877,'Pre-Summary'!$BG$6:$BM$44,7,FALSE),R878)</f>
        <v>6.4813973442575987E-2</v>
      </c>
      <c r="S877" s="53">
        <f>IFERROR(VLOOKUP(B877,'Pre-Summary'!$BG$6:$BM$44,6,FALSE),S878)</f>
        <v>9.4647776465945271E-2</v>
      </c>
      <c r="T877" s="45" t="str">
        <f>IFERROR(VLOOKUP(B877,'Pre-Summary'!$Y$6:$AC$83, 3,FALSE),"")</f>
        <v/>
      </c>
      <c r="U877" s="45" t="str">
        <f>IFERROR(VLOOKUP(B877,'Pre-Summary'!$Y$6:$AC$83, 4,FALSE),"")</f>
        <v/>
      </c>
      <c r="V877" t="str">
        <f>IFERROR(VLOOKUP(B877,'Pre-Summary'!$Y$6:$AC$83, 5,FALSE),"")</f>
        <v/>
      </c>
      <c r="W877" s="45" t="str">
        <f>IFERROR(VLOOKUP(B877,'Pre-Summary'!$Y$6:$AD$83,6,FALSE),"")</f>
        <v/>
      </c>
      <c r="X877" t="str">
        <f>IFERROR(VLOOKUP('Pre-Summary'!$DB$6:$DD$63,3,FALSE),"")</f>
        <v/>
      </c>
      <c r="Y877" t="str">
        <f>IFERROR(VLOOKUP(B877,'Pre-Summary'!$CR$6:$CT$36,3,FALSE),"")</f>
        <v/>
      </c>
      <c r="Z877" s="45" t="str">
        <f>IFERROR(VLOOKUP(B877,'Pre-Summary'!$BZ$6:$CB$63,2,FALSE),"")</f>
        <v/>
      </c>
      <c r="AA877" s="45" t="str">
        <f>IFERROR(VLOOKUP(B877,'Pre-Summary'!$CG$6:$CI$70,2,FALSE),"")</f>
        <v/>
      </c>
      <c r="AB877" s="99">
        <f>IFERROR(VLOOKUP(B877,'Pre-Summary'!$A$6:$P$178,9,FALSE),AB878)</f>
        <v>0.51107900307227605</v>
      </c>
      <c r="AC877" s="10">
        <f>IFERROR(VLOOKUP(Summary!B877,'Pre-Summary'!$A$6:$P$184,5, FALSE)/100,AC878)</f>
        <v>0.83335766666666655</v>
      </c>
      <c r="AD877" s="10">
        <f>IFERROR(VLOOKUP(Summary!B877,'Pre-Summary'!$A$6:$P$184,3, FALSE)/100,AD878)</f>
        <v>6.2578333333333333E-2</v>
      </c>
      <c r="AE877" s="10">
        <f>IFERROR(VLOOKUP(Summary!B877,'Pre-Summary'!$A$6:$P$184,7, FALSE)/100,AE878)</f>
        <v>0.10406399999999999</v>
      </c>
      <c r="AF877" s="99">
        <f t="shared" si="40"/>
        <v>3.1982472213924584E-2</v>
      </c>
      <c r="AG877" s="99">
        <f t="shared" si="41"/>
        <v>5.3184925375713329E-2</v>
      </c>
      <c r="AH877" s="10" t="str">
        <f>IFERROR(VLOOKUP(B877,'Pre-Summary'!$AZ$6:$BE$65,3,FALSE),"")</f>
        <v/>
      </c>
      <c r="AI877" s="10" t="str">
        <f>IFERROR(VLOOKUP(B877,'Pre-Summary'!$AZ$6:$BE$65,5,FALSE),"")</f>
        <v/>
      </c>
      <c r="AJ877" s="10" t="str">
        <f>IFERROR(VLOOKUP(B877,'Pre-Summary'!$AZ$6:$BE$65,4,FALSE),"")</f>
        <v/>
      </c>
      <c r="AK877" s="10" t="str">
        <f>IFERROR(VLOOKUP(B877,'Pre-Summary'!$AZ$6:$BE$65,6,FALSE),"")</f>
        <v/>
      </c>
      <c r="AL877" s="10" t="str">
        <f>IFERROR(VLOOKUP(B877,'Pre-Summary'!$BG$6:$BL$44,3,FALSE),"")</f>
        <v/>
      </c>
      <c r="AM877" s="10" t="str">
        <f>IFERROR(VLOOKUP(B877,'Pre-Summary'!$BG$6:$BL$44,4,FALSE),"")</f>
        <v/>
      </c>
    </row>
    <row r="878" spans="2:39" ht="15" customHeight="1" x14ac:dyDescent="0.3">
      <c r="B878">
        <v>87.5</v>
      </c>
      <c r="C878" t="str">
        <f>IFERROR(VLOOKUP(B878,'Pre-Summary'!$DI$6:$DM$23,4,FALSE),"")</f>
        <v/>
      </c>
      <c r="D878" s="10" t="str">
        <f>IFERROR(VLOOKUP(B878,'Pre-Summary'!$AT$6:$AX$14,5,FALSE),D877)</f>
        <v>DSMZ v2: Dropped Na-Ac out of DSMZ 120 media</v>
      </c>
      <c r="E878" s="10" t="str">
        <f>IFERROR(VLOOKUP(B878,'Pre-Summary'!$AT$6:$AX$15,4,FALSE),"")</f>
        <v/>
      </c>
      <c r="F878">
        <f>IFERROR(VLOOKUP(B878,'Pre-Summary'!$AL$6:$AQ$13,6,FALSE),F877)</f>
        <v>5.9405263157894746E-2</v>
      </c>
      <c r="G878" t="str">
        <f>IFERROR(VLOOKUP(B878,'Pre-Summary'!$AE$6:$AJ$85,3,FALSE),"")</f>
        <v/>
      </c>
      <c r="H878" t="str">
        <f>IFERROR(VLOOKUP(B878,'Pre-Summary'!$AE$6:$AJ$85,4,FALSE),"")</f>
        <v/>
      </c>
      <c r="I878" t="str">
        <f>IFERROR(VLOOKUP(B878,'Pre-Summary'!$AE$6:$AJ$85,5,FALSE),"")</f>
        <v/>
      </c>
      <c r="J878" s="45" t="str">
        <f>IFERROR(VLOOKUP(B878,'Pre-Summary'!$AE$6:$AJ$85,6, FALSE),"")</f>
        <v/>
      </c>
      <c r="K878" s="45" t="str">
        <f>IFERROR(VLOOKUP(B878,'Pre-Summary'!$DE$6:$DG$61,3,FALSE),"")</f>
        <v/>
      </c>
      <c r="L878" s="45" t="str">
        <f>IFERROR(VLOOKUP(B878,'Pre-Summary'!$CU$6:$CW$36,3,FALSE),"")</f>
        <v/>
      </c>
      <c r="M878" s="45" t="str">
        <f>IFERROR(VLOOKUP(B878,'Pre-Summary'!$BW$6:$BY$58,2,FALSE),"")</f>
        <v/>
      </c>
      <c r="N878" s="45" t="str">
        <f>IFERROR(VLOOKUP(B878,'Pre-Summary'!$CD$6:$CF$64,2,FALSE),"")</f>
        <v/>
      </c>
      <c r="O878" s="99">
        <f>IFERROR(VLOOKUP(B878,'Pre-Summary'!$BO$6:$BQ$48,3, FALSE),O877)</f>
        <v>1.2</v>
      </c>
      <c r="P878" s="99">
        <f>IFERROR(VLOOKUP(B878,'Pre-Summary'!$BS$6:$BU$35,3,FALSE),P877)</f>
        <v>0.3</v>
      </c>
      <c r="Q878" s="54">
        <f t="shared" si="39"/>
        <v>4</v>
      </c>
      <c r="R878" s="53">
        <f>IFERROR(VLOOKUP(B878,'Pre-Summary'!$BG$6:$BM$44,7,FALSE),R879)</f>
        <v>6.4813973442575987E-2</v>
      </c>
      <c r="S878" s="53">
        <f>IFERROR(VLOOKUP(B878,'Pre-Summary'!$BG$6:$BM$44,6,FALSE),S879)</f>
        <v>9.4647776465945271E-2</v>
      </c>
      <c r="T878" s="45" t="str">
        <f>IFERROR(VLOOKUP(B878,'Pre-Summary'!$Y$6:$AC$83, 3,FALSE),"")</f>
        <v/>
      </c>
      <c r="U878" s="45" t="str">
        <f>IFERROR(VLOOKUP(B878,'Pre-Summary'!$Y$6:$AC$83, 4,FALSE),"")</f>
        <v/>
      </c>
      <c r="V878" t="str">
        <f>IFERROR(VLOOKUP(B878,'Pre-Summary'!$Y$6:$AC$83, 5,FALSE),"")</f>
        <v/>
      </c>
      <c r="W878" s="45" t="str">
        <f>IFERROR(VLOOKUP(B878,'Pre-Summary'!$Y$6:$AD$83,6,FALSE),"")</f>
        <v/>
      </c>
      <c r="X878" t="str">
        <f>IFERROR(VLOOKUP('Pre-Summary'!$DB$6:$DD$63,3,FALSE),"")</f>
        <v/>
      </c>
      <c r="Y878" t="str">
        <f>IFERROR(VLOOKUP(B878,'Pre-Summary'!$CR$6:$CT$36,3,FALSE),"")</f>
        <v/>
      </c>
      <c r="Z878" s="45" t="str">
        <f>IFERROR(VLOOKUP(B878,'Pre-Summary'!$BZ$6:$CB$63,2,FALSE),"")</f>
        <v/>
      </c>
      <c r="AA878" s="45" t="str">
        <f>IFERROR(VLOOKUP(B878,'Pre-Summary'!$CG$6:$CI$70,2,FALSE),"")</f>
        <v/>
      </c>
      <c r="AB878" s="99">
        <f>IFERROR(VLOOKUP(B878,'Pre-Summary'!$A$6:$P$178,9,FALSE),AB879)</f>
        <v>0.51107900307227605</v>
      </c>
      <c r="AC878" s="10">
        <f>IFERROR(VLOOKUP(Summary!B878,'Pre-Summary'!$A$6:$P$184,5, FALSE)/100,AC879)</f>
        <v>0.83335766666666655</v>
      </c>
      <c r="AD878" s="10">
        <f>IFERROR(VLOOKUP(Summary!B878,'Pre-Summary'!$A$6:$P$184,3, FALSE)/100,AD879)</f>
        <v>6.2578333333333333E-2</v>
      </c>
      <c r="AE878" s="10">
        <f>IFERROR(VLOOKUP(Summary!B878,'Pre-Summary'!$A$6:$P$184,7, FALSE)/100,AE879)</f>
        <v>0.10406399999999999</v>
      </c>
      <c r="AF878" s="99">
        <f t="shared" si="40"/>
        <v>3.1982472213924584E-2</v>
      </c>
      <c r="AG878" s="99">
        <f t="shared" si="41"/>
        <v>5.3184925375713329E-2</v>
      </c>
      <c r="AH878" s="10" t="str">
        <f>IFERROR(VLOOKUP(B878,'Pre-Summary'!$AZ$6:$BE$65,3,FALSE),"")</f>
        <v/>
      </c>
      <c r="AI878" s="10" t="str">
        <f>IFERROR(VLOOKUP(B878,'Pre-Summary'!$AZ$6:$BE$65,5,FALSE),"")</f>
        <v/>
      </c>
      <c r="AJ878" s="10" t="str">
        <f>IFERROR(VLOOKUP(B878,'Pre-Summary'!$AZ$6:$BE$65,4,FALSE),"")</f>
        <v/>
      </c>
      <c r="AK878" s="10" t="str">
        <f>IFERROR(VLOOKUP(B878,'Pre-Summary'!$AZ$6:$BE$65,6,FALSE),"")</f>
        <v/>
      </c>
      <c r="AL878" s="10" t="str">
        <f>IFERROR(VLOOKUP(B878,'Pre-Summary'!$BG$6:$BL$44,3,FALSE),"")</f>
        <v/>
      </c>
      <c r="AM878" s="10" t="str">
        <f>IFERROR(VLOOKUP(B878,'Pre-Summary'!$BG$6:$BL$44,4,FALSE),"")</f>
        <v/>
      </c>
    </row>
    <row r="879" spans="2:39" ht="15" customHeight="1" x14ac:dyDescent="0.3">
      <c r="B879">
        <v>87.6</v>
      </c>
      <c r="C879" t="str">
        <f>IFERROR(VLOOKUP(B879,'Pre-Summary'!$DI$6:$DM$23,4,FALSE),"")</f>
        <v/>
      </c>
      <c r="D879" s="10" t="str">
        <f>IFERROR(VLOOKUP(B879,'Pre-Summary'!$AT$6:$AX$14,5,FALSE),D878)</f>
        <v>DSMZ v2: Dropped Na-Ac out of DSMZ 120 media</v>
      </c>
      <c r="E879" s="10" t="str">
        <f>IFERROR(VLOOKUP(B879,'Pre-Summary'!$AT$6:$AX$15,4,FALSE),"")</f>
        <v/>
      </c>
      <c r="F879">
        <f>IFERROR(VLOOKUP(B879,'Pre-Summary'!$AL$6:$AQ$13,6,FALSE),F878)</f>
        <v>5.9405263157894746E-2</v>
      </c>
      <c r="G879" t="str">
        <f>IFERROR(VLOOKUP(B879,'Pre-Summary'!$AE$6:$AJ$85,3,FALSE),"")</f>
        <v/>
      </c>
      <c r="H879" t="str">
        <f>IFERROR(VLOOKUP(B879,'Pre-Summary'!$AE$6:$AJ$85,4,FALSE),"")</f>
        <v/>
      </c>
      <c r="I879" t="str">
        <f>IFERROR(VLOOKUP(B879,'Pre-Summary'!$AE$6:$AJ$85,5,FALSE),"")</f>
        <v/>
      </c>
      <c r="J879" s="45" t="str">
        <f>IFERROR(VLOOKUP(B879,'Pre-Summary'!$AE$6:$AJ$85,6, FALSE),"")</f>
        <v/>
      </c>
      <c r="K879" s="45" t="str">
        <f>IFERROR(VLOOKUP(B879,'Pre-Summary'!$DE$6:$DG$61,3,FALSE),"")</f>
        <v/>
      </c>
      <c r="L879" s="45" t="str">
        <f>IFERROR(VLOOKUP(B879,'Pre-Summary'!$CU$6:$CW$36,3,FALSE),"")</f>
        <v/>
      </c>
      <c r="M879" s="45" t="str">
        <f>IFERROR(VLOOKUP(B879,'Pre-Summary'!$BW$6:$BY$58,2,FALSE),"")</f>
        <v/>
      </c>
      <c r="N879" s="45" t="str">
        <f>IFERROR(VLOOKUP(B879,'Pre-Summary'!$CD$6:$CF$64,2,FALSE),"")</f>
        <v/>
      </c>
      <c r="O879" s="99">
        <f>IFERROR(VLOOKUP(B879,'Pre-Summary'!$BO$6:$BQ$48,3, FALSE),O878)</f>
        <v>1.2</v>
      </c>
      <c r="P879" s="99">
        <f>IFERROR(VLOOKUP(B879,'Pre-Summary'!$BS$6:$BU$35,3,FALSE),P878)</f>
        <v>0.3</v>
      </c>
      <c r="Q879" s="54">
        <f t="shared" si="39"/>
        <v>4</v>
      </c>
      <c r="R879" s="53">
        <f>IFERROR(VLOOKUP(B879,'Pre-Summary'!$BG$6:$BM$44,7,FALSE),R880)</f>
        <v>6.4813973442575987E-2</v>
      </c>
      <c r="S879" s="53">
        <f>IFERROR(VLOOKUP(B879,'Pre-Summary'!$BG$6:$BM$44,6,FALSE),S880)</f>
        <v>9.4647776465945271E-2</v>
      </c>
      <c r="T879" s="45" t="str">
        <f>IFERROR(VLOOKUP(B879,'Pre-Summary'!$Y$6:$AC$83, 3,FALSE),"")</f>
        <v/>
      </c>
      <c r="U879" s="45" t="str">
        <f>IFERROR(VLOOKUP(B879,'Pre-Summary'!$Y$6:$AC$83, 4,FALSE),"")</f>
        <v/>
      </c>
      <c r="V879" t="str">
        <f>IFERROR(VLOOKUP(B879,'Pre-Summary'!$Y$6:$AC$83, 5,FALSE),"")</f>
        <v/>
      </c>
      <c r="W879" s="45" t="str">
        <f>IFERROR(VLOOKUP(B879,'Pre-Summary'!$Y$6:$AD$83,6,FALSE),"")</f>
        <v/>
      </c>
      <c r="X879" t="str">
        <f>IFERROR(VLOOKUP('Pre-Summary'!$DB$6:$DD$63,3,FALSE),"")</f>
        <v/>
      </c>
      <c r="Y879" t="str">
        <f>IFERROR(VLOOKUP(B879,'Pre-Summary'!$CR$6:$CT$36,3,FALSE),"")</f>
        <v/>
      </c>
      <c r="Z879" s="45" t="str">
        <f>IFERROR(VLOOKUP(B879,'Pre-Summary'!$BZ$6:$CB$63,2,FALSE),"")</f>
        <v/>
      </c>
      <c r="AA879" s="45" t="str">
        <f>IFERROR(VLOOKUP(B879,'Pre-Summary'!$CG$6:$CI$70,2,FALSE),"")</f>
        <v/>
      </c>
      <c r="AB879" s="99">
        <f>IFERROR(VLOOKUP(B879,'Pre-Summary'!$A$6:$P$178,9,FALSE),AB880)</f>
        <v>0.51107900307227605</v>
      </c>
      <c r="AC879" s="10">
        <f>IFERROR(VLOOKUP(Summary!B879,'Pre-Summary'!$A$6:$P$184,5, FALSE)/100,AC880)</f>
        <v>0.83335766666666655</v>
      </c>
      <c r="AD879" s="10">
        <f>IFERROR(VLOOKUP(Summary!B879,'Pre-Summary'!$A$6:$P$184,3, FALSE)/100,AD880)</f>
        <v>6.2578333333333333E-2</v>
      </c>
      <c r="AE879" s="10">
        <f>IFERROR(VLOOKUP(Summary!B879,'Pre-Summary'!$A$6:$P$184,7, FALSE)/100,AE880)</f>
        <v>0.10406399999999999</v>
      </c>
      <c r="AF879" s="99">
        <f t="shared" si="40"/>
        <v>3.1982472213924584E-2</v>
      </c>
      <c r="AG879" s="99">
        <f t="shared" si="41"/>
        <v>5.3184925375713329E-2</v>
      </c>
      <c r="AH879" s="10" t="str">
        <f>IFERROR(VLOOKUP(B879,'Pre-Summary'!$AZ$6:$BE$65,3,FALSE),"")</f>
        <v/>
      </c>
      <c r="AI879" s="10" t="str">
        <f>IFERROR(VLOOKUP(B879,'Pre-Summary'!$AZ$6:$BE$65,5,FALSE),"")</f>
        <v/>
      </c>
      <c r="AJ879" s="10" t="str">
        <f>IFERROR(VLOOKUP(B879,'Pre-Summary'!$AZ$6:$BE$65,4,FALSE),"")</f>
        <v/>
      </c>
      <c r="AK879" s="10" t="str">
        <f>IFERROR(VLOOKUP(B879,'Pre-Summary'!$AZ$6:$BE$65,6,FALSE),"")</f>
        <v/>
      </c>
      <c r="AL879" s="10" t="str">
        <f>IFERROR(VLOOKUP(B879,'Pre-Summary'!$BG$6:$BL$44,3,FALSE),"")</f>
        <v/>
      </c>
      <c r="AM879" s="10" t="str">
        <f>IFERROR(VLOOKUP(B879,'Pre-Summary'!$BG$6:$BL$44,4,FALSE),"")</f>
        <v/>
      </c>
    </row>
    <row r="880" spans="2:39" ht="15" customHeight="1" x14ac:dyDescent="0.3">
      <c r="B880">
        <v>87.7</v>
      </c>
      <c r="C880" t="str">
        <f>IFERROR(VLOOKUP(B880,'Pre-Summary'!$DI$6:$DM$23,4,FALSE),"")</f>
        <v/>
      </c>
      <c r="D880" s="10" t="str">
        <f>IFERROR(VLOOKUP(B880,'Pre-Summary'!$AT$6:$AX$14,5,FALSE),D879)</f>
        <v>DSMZ v2: Dropped Na-Ac out of DSMZ 120 media</v>
      </c>
      <c r="E880" s="10" t="str">
        <f>IFERROR(VLOOKUP(B880,'Pre-Summary'!$AT$6:$AX$15,4,FALSE),"")</f>
        <v/>
      </c>
      <c r="F880">
        <f>IFERROR(VLOOKUP(B880,'Pre-Summary'!$AL$6:$AQ$13,6,FALSE),F879)</f>
        <v>5.9405263157894746E-2</v>
      </c>
      <c r="G880" t="str">
        <f>IFERROR(VLOOKUP(B880,'Pre-Summary'!$AE$6:$AJ$85,3,FALSE),"")</f>
        <v/>
      </c>
      <c r="H880" t="str">
        <f>IFERROR(VLOOKUP(B880,'Pre-Summary'!$AE$6:$AJ$85,4,FALSE),"")</f>
        <v/>
      </c>
      <c r="I880" t="str">
        <f>IFERROR(VLOOKUP(B880,'Pre-Summary'!$AE$6:$AJ$85,5,FALSE),"")</f>
        <v/>
      </c>
      <c r="J880" s="45" t="str">
        <f>IFERROR(VLOOKUP(B880,'Pre-Summary'!$AE$6:$AJ$85,6, FALSE),"")</f>
        <v/>
      </c>
      <c r="K880" s="45" t="str">
        <f>IFERROR(VLOOKUP(B880,'Pre-Summary'!$DE$6:$DG$61,3,FALSE),"")</f>
        <v/>
      </c>
      <c r="L880" s="45" t="str">
        <f>IFERROR(VLOOKUP(B880,'Pre-Summary'!$CU$6:$CW$36,3,FALSE),"")</f>
        <v/>
      </c>
      <c r="M880" s="45" t="str">
        <f>IFERROR(VLOOKUP(B880,'Pre-Summary'!$BW$6:$BY$58,2,FALSE),"")</f>
        <v/>
      </c>
      <c r="N880" s="45" t="str">
        <f>IFERROR(VLOOKUP(B880,'Pre-Summary'!$CD$6:$CF$64,2,FALSE),"")</f>
        <v/>
      </c>
      <c r="O880" s="99">
        <f>IFERROR(VLOOKUP(B880,'Pre-Summary'!$BO$6:$BQ$48,3, FALSE),O879)</f>
        <v>1.2</v>
      </c>
      <c r="P880" s="99">
        <f>IFERROR(VLOOKUP(B880,'Pre-Summary'!$BS$6:$BU$35,3,FALSE),P879)</f>
        <v>0.3</v>
      </c>
      <c r="Q880" s="54">
        <f t="shared" si="39"/>
        <v>4</v>
      </c>
      <c r="R880" s="53">
        <f>IFERROR(VLOOKUP(B880,'Pre-Summary'!$BG$6:$BM$44,7,FALSE),R881)</f>
        <v>6.4813973442575987E-2</v>
      </c>
      <c r="S880" s="53">
        <f>IFERROR(VLOOKUP(B880,'Pre-Summary'!$BG$6:$BM$44,6,FALSE),S881)</f>
        <v>9.4647776465945271E-2</v>
      </c>
      <c r="T880" s="45" t="str">
        <f>IFERROR(VLOOKUP(B880,'Pre-Summary'!$Y$6:$AC$83, 3,FALSE),"")</f>
        <v/>
      </c>
      <c r="U880" s="45" t="str">
        <f>IFERROR(VLOOKUP(B880,'Pre-Summary'!$Y$6:$AC$83, 4,FALSE),"")</f>
        <v/>
      </c>
      <c r="V880" t="str">
        <f>IFERROR(VLOOKUP(B880,'Pre-Summary'!$Y$6:$AC$83, 5,FALSE),"")</f>
        <v/>
      </c>
      <c r="W880" s="45" t="str">
        <f>IFERROR(VLOOKUP(B880,'Pre-Summary'!$Y$6:$AD$83,6,FALSE),"")</f>
        <v/>
      </c>
      <c r="X880" t="str">
        <f>IFERROR(VLOOKUP('Pre-Summary'!$DB$6:$DD$63,3,FALSE),"")</f>
        <v/>
      </c>
      <c r="Y880" t="str">
        <f>IFERROR(VLOOKUP(B880,'Pre-Summary'!$CR$6:$CT$36,3,FALSE),"")</f>
        <v/>
      </c>
      <c r="Z880" s="45" t="str">
        <f>IFERROR(VLOOKUP(B880,'Pre-Summary'!$BZ$6:$CB$63,2,FALSE),"")</f>
        <v/>
      </c>
      <c r="AA880" s="45" t="str">
        <f>IFERROR(VLOOKUP(B880,'Pre-Summary'!$CG$6:$CI$70,2,FALSE),"")</f>
        <v/>
      </c>
      <c r="AB880" s="99">
        <f>IFERROR(VLOOKUP(B880,'Pre-Summary'!$A$6:$P$178,9,FALSE),AB881)</f>
        <v>0.51107900307227605</v>
      </c>
      <c r="AC880" s="10">
        <f>IFERROR(VLOOKUP(Summary!B880,'Pre-Summary'!$A$6:$P$184,5, FALSE)/100,AC881)</f>
        <v>0.83335766666666655</v>
      </c>
      <c r="AD880" s="10">
        <f>IFERROR(VLOOKUP(Summary!B880,'Pre-Summary'!$A$6:$P$184,3, FALSE)/100,AD881)</f>
        <v>6.2578333333333333E-2</v>
      </c>
      <c r="AE880" s="10">
        <f>IFERROR(VLOOKUP(Summary!B880,'Pre-Summary'!$A$6:$P$184,7, FALSE)/100,AE881)</f>
        <v>0.10406399999999999</v>
      </c>
      <c r="AF880" s="99">
        <f t="shared" si="40"/>
        <v>3.1982472213924584E-2</v>
      </c>
      <c r="AG880" s="99">
        <f t="shared" si="41"/>
        <v>5.3184925375713329E-2</v>
      </c>
      <c r="AH880" s="10" t="str">
        <f>IFERROR(VLOOKUP(B880,'Pre-Summary'!$AZ$6:$BE$65,3,FALSE),"")</f>
        <v/>
      </c>
      <c r="AI880" s="10" t="str">
        <f>IFERROR(VLOOKUP(B880,'Pre-Summary'!$AZ$6:$BE$65,5,FALSE),"")</f>
        <v/>
      </c>
      <c r="AJ880" s="10" t="str">
        <f>IFERROR(VLOOKUP(B880,'Pre-Summary'!$AZ$6:$BE$65,4,FALSE),"")</f>
        <v/>
      </c>
      <c r="AK880" s="10" t="str">
        <f>IFERROR(VLOOKUP(B880,'Pre-Summary'!$AZ$6:$BE$65,6,FALSE),"")</f>
        <v/>
      </c>
      <c r="AL880" s="10" t="str">
        <f>IFERROR(VLOOKUP(B880,'Pre-Summary'!$BG$6:$BL$44,3,FALSE),"")</f>
        <v/>
      </c>
      <c r="AM880" s="10" t="str">
        <f>IFERROR(VLOOKUP(B880,'Pre-Summary'!$BG$6:$BL$44,4,FALSE),"")</f>
        <v/>
      </c>
    </row>
    <row r="881" spans="2:39" ht="15" customHeight="1" x14ac:dyDescent="0.3">
      <c r="B881">
        <v>87.8</v>
      </c>
      <c r="C881" t="str">
        <f>IFERROR(VLOOKUP(B881,'Pre-Summary'!$DI$6:$DM$23,4,FALSE),"")</f>
        <v/>
      </c>
      <c r="D881" s="10" t="str">
        <f>IFERROR(VLOOKUP(B881,'Pre-Summary'!$AT$6:$AX$14,5,FALSE),D880)</f>
        <v>DSMZ v2: Dropped Na-Ac out of DSMZ 120 media</v>
      </c>
      <c r="E881" s="10" t="str">
        <f>IFERROR(VLOOKUP(B881,'Pre-Summary'!$AT$6:$AX$15,4,FALSE),"")</f>
        <v/>
      </c>
      <c r="F881">
        <f>IFERROR(VLOOKUP(B881,'Pre-Summary'!$AL$6:$AQ$13,6,FALSE),F880)</f>
        <v>5.9405263157894746E-2</v>
      </c>
      <c r="G881" t="str">
        <f>IFERROR(VLOOKUP(B881,'Pre-Summary'!$AE$6:$AJ$85,3,FALSE),"")</f>
        <v/>
      </c>
      <c r="H881" t="str">
        <f>IFERROR(VLOOKUP(B881,'Pre-Summary'!$AE$6:$AJ$85,4,FALSE),"")</f>
        <v/>
      </c>
      <c r="I881" t="str">
        <f>IFERROR(VLOOKUP(B881,'Pre-Summary'!$AE$6:$AJ$85,5,FALSE),"")</f>
        <v/>
      </c>
      <c r="J881" s="45" t="str">
        <f>IFERROR(VLOOKUP(B881,'Pre-Summary'!$AE$6:$AJ$85,6, FALSE),"")</f>
        <v/>
      </c>
      <c r="K881" s="45" t="str">
        <f>IFERROR(VLOOKUP(B881,'Pre-Summary'!$DE$6:$DG$61,3,FALSE),"")</f>
        <v/>
      </c>
      <c r="L881" s="45" t="str">
        <f>IFERROR(VLOOKUP(B881,'Pre-Summary'!$CU$6:$CW$36,3,FALSE),"")</f>
        <v/>
      </c>
      <c r="M881" s="45" t="str">
        <f>IFERROR(VLOOKUP(B881,'Pre-Summary'!$BW$6:$BY$58,2,FALSE),"")</f>
        <v/>
      </c>
      <c r="N881" s="45" t="str">
        <f>IFERROR(VLOOKUP(B881,'Pre-Summary'!$CD$6:$CF$64,2,FALSE),"")</f>
        <v/>
      </c>
      <c r="O881" s="99">
        <f>IFERROR(VLOOKUP(B881,'Pre-Summary'!$BO$6:$BQ$48,3, FALSE),O880)</f>
        <v>1.2</v>
      </c>
      <c r="P881" s="99">
        <f>IFERROR(VLOOKUP(B881,'Pre-Summary'!$BS$6:$BU$35,3,FALSE),P880)</f>
        <v>0.3</v>
      </c>
      <c r="Q881" s="54">
        <f t="shared" si="39"/>
        <v>4</v>
      </c>
      <c r="R881" s="53">
        <f>IFERROR(VLOOKUP(B881,'Pre-Summary'!$BG$6:$BM$44,7,FALSE),R882)</f>
        <v>6.4813973442575987E-2</v>
      </c>
      <c r="S881" s="53">
        <f>IFERROR(VLOOKUP(B881,'Pre-Summary'!$BG$6:$BM$44,6,FALSE),S882)</f>
        <v>9.4647776465945271E-2</v>
      </c>
      <c r="T881" s="45" t="str">
        <f>IFERROR(VLOOKUP(B881,'Pre-Summary'!$Y$6:$AC$83, 3,FALSE),"")</f>
        <v/>
      </c>
      <c r="U881" s="45" t="str">
        <f>IFERROR(VLOOKUP(B881,'Pre-Summary'!$Y$6:$AC$83, 4,FALSE),"")</f>
        <v/>
      </c>
      <c r="V881" t="str">
        <f>IFERROR(VLOOKUP(B881,'Pre-Summary'!$Y$6:$AC$83, 5,FALSE),"")</f>
        <v/>
      </c>
      <c r="W881" s="45" t="str">
        <f>IFERROR(VLOOKUP(B881,'Pre-Summary'!$Y$6:$AD$83,6,FALSE),"")</f>
        <v/>
      </c>
      <c r="X881" t="str">
        <f>IFERROR(VLOOKUP('Pre-Summary'!$DB$6:$DD$63,3,FALSE),"")</f>
        <v/>
      </c>
      <c r="Y881" t="str">
        <f>IFERROR(VLOOKUP(B881,'Pre-Summary'!$CR$6:$CT$36,3,FALSE),"")</f>
        <v/>
      </c>
      <c r="Z881" s="45" t="str">
        <f>IFERROR(VLOOKUP(B881,'Pre-Summary'!$BZ$6:$CB$63,2,FALSE),"")</f>
        <v/>
      </c>
      <c r="AA881" s="45" t="str">
        <f>IFERROR(VLOOKUP(B881,'Pre-Summary'!$CG$6:$CI$70,2,FALSE),"")</f>
        <v/>
      </c>
      <c r="AB881" s="99">
        <f>IFERROR(VLOOKUP(B881,'Pre-Summary'!$A$6:$P$178,9,FALSE),AB882)</f>
        <v>0.51107900307227605</v>
      </c>
      <c r="AC881" s="10">
        <f>IFERROR(VLOOKUP(Summary!B881,'Pre-Summary'!$A$6:$P$184,5, FALSE)/100,AC882)</f>
        <v>0.83335766666666655</v>
      </c>
      <c r="AD881" s="10">
        <f>IFERROR(VLOOKUP(Summary!B881,'Pre-Summary'!$A$6:$P$184,3, FALSE)/100,AD882)</f>
        <v>6.2578333333333333E-2</v>
      </c>
      <c r="AE881" s="10">
        <f>IFERROR(VLOOKUP(Summary!B881,'Pre-Summary'!$A$6:$P$184,7, FALSE)/100,AE882)</f>
        <v>0.10406399999999999</v>
      </c>
      <c r="AF881" s="99">
        <f t="shared" si="40"/>
        <v>3.1982472213924584E-2</v>
      </c>
      <c r="AG881" s="99">
        <f t="shared" si="41"/>
        <v>5.3184925375713329E-2</v>
      </c>
      <c r="AH881" s="10" t="str">
        <f>IFERROR(VLOOKUP(B881,'Pre-Summary'!$AZ$6:$BE$65,3,FALSE),"")</f>
        <v/>
      </c>
      <c r="AI881" s="10" t="str">
        <f>IFERROR(VLOOKUP(B881,'Pre-Summary'!$AZ$6:$BE$65,5,FALSE),"")</f>
        <v/>
      </c>
      <c r="AJ881" s="10" t="str">
        <f>IFERROR(VLOOKUP(B881,'Pre-Summary'!$AZ$6:$BE$65,4,FALSE),"")</f>
        <v/>
      </c>
      <c r="AK881" s="10" t="str">
        <f>IFERROR(VLOOKUP(B881,'Pre-Summary'!$AZ$6:$BE$65,6,FALSE),"")</f>
        <v/>
      </c>
      <c r="AL881" s="10" t="str">
        <f>IFERROR(VLOOKUP(B881,'Pre-Summary'!$BG$6:$BL$44,3,FALSE),"")</f>
        <v/>
      </c>
      <c r="AM881" s="10" t="str">
        <f>IFERROR(VLOOKUP(B881,'Pre-Summary'!$BG$6:$BL$44,4,FALSE),"")</f>
        <v/>
      </c>
    </row>
    <row r="882" spans="2:39" ht="15" customHeight="1" x14ac:dyDescent="0.3">
      <c r="B882">
        <v>87.9</v>
      </c>
      <c r="C882" t="str">
        <f>IFERROR(VLOOKUP(B882,'Pre-Summary'!$DI$6:$DM$23,4,FALSE),"")</f>
        <v/>
      </c>
      <c r="D882" s="10" t="str">
        <f>IFERROR(VLOOKUP(B882,'Pre-Summary'!$AT$6:$AX$14,5,FALSE),D881)</f>
        <v>DSMZ v2: Dropped Na-Ac out of DSMZ 120 media</v>
      </c>
      <c r="E882" s="10" t="str">
        <f>IFERROR(VLOOKUP(B882,'Pre-Summary'!$AT$6:$AX$15,4,FALSE),"")</f>
        <v/>
      </c>
      <c r="F882">
        <f>IFERROR(VLOOKUP(B882,'Pre-Summary'!$AL$6:$AQ$13,6,FALSE),F881)</f>
        <v>5.9405263157894746E-2</v>
      </c>
      <c r="G882" t="str">
        <f>IFERROR(VLOOKUP(B882,'Pre-Summary'!$AE$6:$AJ$85,3,FALSE),"")</f>
        <v/>
      </c>
      <c r="H882" t="str">
        <f>IFERROR(VLOOKUP(B882,'Pre-Summary'!$AE$6:$AJ$85,4,FALSE),"")</f>
        <v/>
      </c>
      <c r="I882" t="str">
        <f>IFERROR(VLOOKUP(B882,'Pre-Summary'!$AE$6:$AJ$85,5,FALSE),"")</f>
        <v/>
      </c>
      <c r="J882" s="45" t="str">
        <f>IFERROR(VLOOKUP(B882,'Pre-Summary'!$AE$6:$AJ$85,6, FALSE),"")</f>
        <v/>
      </c>
      <c r="K882" s="45" t="str">
        <f>IFERROR(VLOOKUP(B882,'Pre-Summary'!$DE$6:$DG$61,3,FALSE),"")</f>
        <v/>
      </c>
      <c r="L882" s="45" t="str">
        <f>IFERROR(VLOOKUP(B882,'Pre-Summary'!$CU$6:$CW$36,3,FALSE),"")</f>
        <v/>
      </c>
      <c r="M882" s="45" t="str">
        <f>IFERROR(VLOOKUP(B882,'Pre-Summary'!$BW$6:$BY$58,2,FALSE),"")</f>
        <v/>
      </c>
      <c r="N882" s="45" t="str">
        <f>IFERROR(VLOOKUP(B882,'Pre-Summary'!$CD$6:$CF$64,2,FALSE),"")</f>
        <v/>
      </c>
      <c r="O882" s="99">
        <f>IFERROR(VLOOKUP(B882,'Pre-Summary'!$BO$6:$BQ$48,3, FALSE),O881)</f>
        <v>1.2</v>
      </c>
      <c r="P882" s="99">
        <f>IFERROR(VLOOKUP(B882,'Pre-Summary'!$BS$6:$BU$35,3,FALSE),P881)</f>
        <v>0.3</v>
      </c>
      <c r="Q882" s="54">
        <f t="shared" si="39"/>
        <v>4</v>
      </c>
      <c r="R882" s="53">
        <f>IFERROR(VLOOKUP(B882,'Pre-Summary'!$BG$6:$BM$44,7,FALSE),R883)</f>
        <v>6.4813973442575987E-2</v>
      </c>
      <c r="S882" s="53">
        <f>IFERROR(VLOOKUP(B882,'Pre-Summary'!$BG$6:$BM$44,6,FALSE),S883)</f>
        <v>9.4647776465945271E-2</v>
      </c>
      <c r="T882" s="45" t="str">
        <f>IFERROR(VLOOKUP(B882,'Pre-Summary'!$Y$6:$AC$83, 3,FALSE),"")</f>
        <v/>
      </c>
      <c r="U882" s="45" t="str">
        <f>IFERROR(VLOOKUP(B882,'Pre-Summary'!$Y$6:$AC$83, 4,FALSE),"")</f>
        <v/>
      </c>
      <c r="V882" t="str">
        <f>IFERROR(VLOOKUP(B882,'Pre-Summary'!$Y$6:$AC$83, 5,FALSE),"")</f>
        <v/>
      </c>
      <c r="W882" s="45" t="str">
        <f>IFERROR(VLOOKUP(B882,'Pre-Summary'!$Y$6:$AD$83,6,FALSE),"")</f>
        <v/>
      </c>
      <c r="X882" t="str">
        <f>IFERROR(VLOOKUP('Pre-Summary'!$DB$6:$DD$63,3,FALSE),"")</f>
        <v/>
      </c>
      <c r="Y882" t="str">
        <f>IFERROR(VLOOKUP(B882,'Pre-Summary'!$CR$6:$CT$36,3,FALSE),"")</f>
        <v/>
      </c>
      <c r="Z882" s="45" t="str">
        <f>IFERROR(VLOOKUP(B882,'Pre-Summary'!$BZ$6:$CB$63,2,FALSE),"")</f>
        <v/>
      </c>
      <c r="AA882" s="45" t="str">
        <f>IFERROR(VLOOKUP(B882,'Pre-Summary'!$CG$6:$CI$70,2,FALSE),"")</f>
        <v/>
      </c>
      <c r="AB882" s="99">
        <f>IFERROR(VLOOKUP(B882,'Pre-Summary'!$A$6:$P$178,9,FALSE),AB883)</f>
        <v>0.51107900307227605</v>
      </c>
      <c r="AC882" s="10">
        <f>IFERROR(VLOOKUP(Summary!B882,'Pre-Summary'!$A$6:$P$184,5, FALSE)/100,AC883)</f>
        <v>0.83335766666666655</v>
      </c>
      <c r="AD882" s="10">
        <f>IFERROR(VLOOKUP(Summary!B882,'Pre-Summary'!$A$6:$P$184,3, FALSE)/100,AD883)</f>
        <v>6.2578333333333333E-2</v>
      </c>
      <c r="AE882" s="10">
        <f>IFERROR(VLOOKUP(Summary!B882,'Pre-Summary'!$A$6:$P$184,7, FALSE)/100,AE883)</f>
        <v>0.10406399999999999</v>
      </c>
      <c r="AF882" s="99">
        <f t="shared" si="40"/>
        <v>3.1982472213924584E-2</v>
      </c>
      <c r="AG882" s="99">
        <f t="shared" si="41"/>
        <v>5.3184925375713329E-2</v>
      </c>
      <c r="AH882" s="10" t="str">
        <f>IFERROR(VLOOKUP(B882,'Pre-Summary'!$AZ$6:$BE$65,3,FALSE),"")</f>
        <v/>
      </c>
      <c r="AI882" s="10" t="str">
        <f>IFERROR(VLOOKUP(B882,'Pre-Summary'!$AZ$6:$BE$65,5,FALSE),"")</f>
        <v/>
      </c>
      <c r="AJ882" s="10" t="str">
        <f>IFERROR(VLOOKUP(B882,'Pre-Summary'!$AZ$6:$BE$65,4,FALSE),"")</f>
        <v/>
      </c>
      <c r="AK882" s="10" t="str">
        <f>IFERROR(VLOOKUP(B882,'Pre-Summary'!$AZ$6:$BE$65,6,FALSE),"")</f>
        <v/>
      </c>
      <c r="AL882" s="10" t="str">
        <f>IFERROR(VLOOKUP(B882,'Pre-Summary'!$BG$6:$BL$44,3,FALSE),"")</f>
        <v/>
      </c>
      <c r="AM882" s="10" t="str">
        <f>IFERROR(VLOOKUP(B882,'Pre-Summary'!$BG$6:$BL$44,4,FALSE),"")</f>
        <v/>
      </c>
    </row>
    <row r="883" spans="2:39" ht="15" customHeight="1" x14ac:dyDescent="0.3">
      <c r="B883">
        <v>88</v>
      </c>
      <c r="C883" t="str">
        <f>IFERROR(VLOOKUP(B883,'Pre-Summary'!$DI$6:$DM$23,4,FALSE),"")</f>
        <v/>
      </c>
      <c r="D883" s="10" t="str">
        <f>IFERROR(VLOOKUP(B883,'Pre-Summary'!$AT$6:$AX$14,5,FALSE),D882)</f>
        <v>DSMZ v2: Dropped Na-Ac out of DSMZ 120 media</v>
      </c>
      <c r="E883" s="10" t="str">
        <f>IFERROR(VLOOKUP(B883,'Pre-Summary'!$AT$6:$AX$15,4,FALSE),"")</f>
        <v/>
      </c>
      <c r="F883">
        <f>IFERROR(VLOOKUP(B883,'Pre-Summary'!$AL$6:$AQ$13,6,FALSE),F882)</f>
        <v>5.9405263157894746E-2</v>
      </c>
      <c r="G883" t="str">
        <f>IFERROR(VLOOKUP(B883,'Pre-Summary'!$AE$6:$AJ$85,3,FALSE),"")</f>
        <v/>
      </c>
      <c r="H883" t="str">
        <f>IFERROR(VLOOKUP(B883,'Pre-Summary'!$AE$6:$AJ$85,4,FALSE),"")</f>
        <v/>
      </c>
      <c r="I883" t="str">
        <f>IFERROR(VLOOKUP(B883,'Pre-Summary'!$AE$6:$AJ$85,5,FALSE),"")</f>
        <v/>
      </c>
      <c r="J883" s="45" t="str">
        <f>IFERROR(VLOOKUP(B883,'Pre-Summary'!$AE$6:$AJ$85,6, FALSE),"")</f>
        <v/>
      </c>
      <c r="K883" s="45" t="str">
        <f>IFERROR(VLOOKUP(B883,'Pre-Summary'!$DE$6:$DG$61,3,FALSE),"")</f>
        <v/>
      </c>
      <c r="L883" s="45" t="str">
        <f>IFERROR(VLOOKUP(B883,'Pre-Summary'!$CU$6:$CW$36,3,FALSE),"")</f>
        <v/>
      </c>
      <c r="M883" s="45" t="str">
        <f>IFERROR(VLOOKUP(B883,'Pre-Summary'!$BW$6:$BY$58,2,FALSE),"")</f>
        <v/>
      </c>
      <c r="N883" s="45" t="str">
        <f>IFERROR(VLOOKUP(B883,'Pre-Summary'!$CD$6:$CF$64,2,FALSE),"")</f>
        <v/>
      </c>
      <c r="O883" s="99">
        <f>IFERROR(VLOOKUP(B883,'Pre-Summary'!$BO$6:$BQ$48,3, FALSE),O882)</f>
        <v>1.2</v>
      </c>
      <c r="P883" s="99">
        <f>IFERROR(VLOOKUP(B883,'Pre-Summary'!$BS$6:$BU$35,3,FALSE),P882)</f>
        <v>0.3</v>
      </c>
      <c r="Q883" s="54">
        <f t="shared" si="39"/>
        <v>4</v>
      </c>
      <c r="R883" s="53">
        <f>IFERROR(VLOOKUP(B883,'Pre-Summary'!$BG$6:$BM$44,7,FALSE),R884)</f>
        <v>6.4813973442575987E-2</v>
      </c>
      <c r="S883" s="53">
        <f>IFERROR(VLOOKUP(B883,'Pre-Summary'!$BG$6:$BM$44,6,FALSE),S884)</f>
        <v>9.4647776465945271E-2</v>
      </c>
      <c r="T883" s="45" t="str">
        <f>IFERROR(VLOOKUP(B883,'Pre-Summary'!$Y$6:$AC$83, 3,FALSE),"")</f>
        <v/>
      </c>
      <c r="U883" s="45" t="str">
        <f>IFERROR(VLOOKUP(B883,'Pre-Summary'!$Y$6:$AC$83, 4,FALSE),"")</f>
        <v/>
      </c>
      <c r="V883" t="str">
        <f>IFERROR(VLOOKUP(B883,'Pre-Summary'!$Y$6:$AC$83, 5,FALSE),"")</f>
        <v/>
      </c>
      <c r="W883" s="45" t="str">
        <f>IFERROR(VLOOKUP(B883,'Pre-Summary'!$Y$6:$AD$83,6,FALSE),"")</f>
        <v/>
      </c>
      <c r="X883" t="str">
        <f>IFERROR(VLOOKUP('Pre-Summary'!$DB$6:$DD$63,3,FALSE),"")</f>
        <v/>
      </c>
      <c r="Y883" t="str">
        <f>IFERROR(VLOOKUP(B883,'Pre-Summary'!$CR$6:$CT$36,3,FALSE),"")</f>
        <v/>
      </c>
      <c r="Z883" s="45" t="str">
        <f>IFERROR(VLOOKUP(B883,'Pre-Summary'!$BZ$6:$CB$63,2,FALSE),"")</f>
        <v/>
      </c>
      <c r="AA883" s="45" t="str">
        <f>IFERROR(VLOOKUP(B883,'Pre-Summary'!$CG$6:$CI$70,2,FALSE),"")</f>
        <v/>
      </c>
      <c r="AB883" s="99">
        <f>IFERROR(VLOOKUP(B883,'Pre-Summary'!$A$6:$P$178,9,FALSE),AB884)</f>
        <v>0.51107900307227605</v>
      </c>
      <c r="AC883" s="10">
        <f>IFERROR(VLOOKUP(Summary!B883,'Pre-Summary'!$A$6:$P$184,5, FALSE)/100,AC884)</f>
        <v>0.83335766666666655</v>
      </c>
      <c r="AD883" s="10">
        <f>IFERROR(VLOOKUP(Summary!B883,'Pre-Summary'!$A$6:$P$184,3, FALSE)/100,AD884)</f>
        <v>6.2578333333333333E-2</v>
      </c>
      <c r="AE883" s="10">
        <f>IFERROR(VLOOKUP(Summary!B883,'Pre-Summary'!$A$6:$P$184,7, FALSE)/100,AE884)</f>
        <v>0.10406399999999999</v>
      </c>
      <c r="AF883" s="99">
        <f t="shared" si="40"/>
        <v>3.1982472213924584E-2</v>
      </c>
      <c r="AG883" s="99">
        <f t="shared" si="41"/>
        <v>5.3184925375713329E-2</v>
      </c>
      <c r="AH883" s="10" t="str">
        <f>IFERROR(VLOOKUP(B883,'Pre-Summary'!$AZ$6:$BE$65,3,FALSE),"")</f>
        <v/>
      </c>
      <c r="AI883" s="10" t="str">
        <f>IFERROR(VLOOKUP(B883,'Pre-Summary'!$AZ$6:$BE$65,5,FALSE),"")</f>
        <v/>
      </c>
      <c r="AJ883" s="10" t="str">
        <f>IFERROR(VLOOKUP(B883,'Pre-Summary'!$AZ$6:$BE$65,4,FALSE),"")</f>
        <v/>
      </c>
      <c r="AK883" s="10" t="str">
        <f>IFERROR(VLOOKUP(B883,'Pre-Summary'!$AZ$6:$BE$65,6,FALSE),"")</f>
        <v/>
      </c>
      <c r="AL883" s="10" t="str">
        <f>IFERROR(VLOOKUP(B883,'Pre-Summary'!$BG$6:$BL$44,3,FALSE),"")</f>
        <v/>
      </c>
      <c r="AM883" s="10" t="str">
        <f>IFERROR(VLOOKUP(B883,'Pre-Summary'!$BG$6:$BL$44,4,FALSE),"")</f>
        <v/>
      </c>
    </row>
    <row r="884" spans="2:39" ht="15" customHeight="1" x14ac:dyDescent="0.3">
      <c r="B884">
        <v>88.1</v>
      </c>
      <c r="C884" t="str">
        <f>IFERROR(VLOOKUP(B884,'Pre-Summary'!$DI$6:$DM$23,4,FALSE),"")</f>
        <v/>
      </c>
      <c r="D884" s="10" t="str">
        <f>IFERROR(VLOOKUP(B884,'Pre-Summary'!$AT$6:$AX$14,5,FALSE),D883)</f>
        <v>DSMZ v2: Dropped Na-Ac out of DSMZ 120 media</v>
      </c>
      <c r="E884" s="10" t="str">
        <f>IFERROR(VLOOKUP(B884,'Pre-Summary'!$AT$6:$AX$15,4,FALSE),"")</f>
        <v/>
      </c>
      <c r="F884">
        <f>IFERROR(VLOOKUP(B884,'Pre-Summary'!$AL$6:$AQ$13,6,FALSE),F883)</f>
        <v>5.9405263157894746E-2</v>
      </c>
      <c r="G884" t="str">
        <f>IFERROR(VLOOKUP(B884,'Pre-Summary'!$AE$6:$AJ$85,3,FALSE),"")</f>
        <v/>
      </c>
      <c r="H884" t="str">
        <f>IFERROR(VLOOKUP(B884,'Pre-Summary'!$AE$6:$AJ$85,4,FALSE),"")</f>
        <v/>
      </c>
      <c r="I884" t="str">
        <f>IFERROR(VLOOKUP(B884,'Pre-Summary'!$AE$6:$AJ$85,5,FALSE),"")</f>
        <v/>
      </c>
      <c r="J884" s="45" t="str">
        <f>IFERROR(VLOOKUP(B884,'Pre-Summary'!$AE$6:$AJ$85,6, FALSE),"")</f>
        <v/>
      </c>
      <c r="K884" s="45" t="str">
        <f>IFERROR(VLOOKUP(B884,'Pre-Summary'!$DE$6:$DG$61,3,FALSE),"")</f>
        <v/>
      </c>
      <c r="L884" s="45" t="str">
        <f>IFERROR(VLOOKUP(B884,'Pre-Summary'!$CU$6:$CW$36,3,FALSE),"")</f>
        <v/>
      </c>
      <c r="M884" s="45" t="str">
        <f>IFERROR(VLOOKUP(B884,'Pre-Summary'!$BW$6:$BY$58,2,FALSE),"")</f>
        <v/>
      </c>
      <c r="N884" s="45" t="str">
        <f>IFERROR(VLOOKUP(B884,'Pre-Summary'!$CD$6:$CF$64,2,FALSE),"")</f>
        <v/>
      </c>
      <c r="O884" s="99">
        <f>IFERROR(VLOOKUP(B884,'Pre-Summary'!$BO$6:$BQ$48,3, FALSE),O883)</f>
        <v>1.2</v>
      </c>
      <c r="P884" s="99">
        <f>IFERROR(VLOOKUP(B884,'Pre-Summary'!$BS$6:$BU$35,3,FALSE),P883)</f>
        <v>0.3</v>
      </c>
      <c r="Q884" s="54">
        <f t="shared" si="39"/>
        <v>4</v>
      </c>
      <c r="R884" s="53">
        <f>IFERROR(VLOOKUP(B884,'Pre-Summary'!$BG$6:$BM$44,7,FALSE),R885)</f>
        <v>6.4813973442575987E-2</v>
      </c>
      <c r="S884" s="53">
        <f>IFERROR(VLOOKUP(B884,'Pre-Summary'!$BG$6:$BM$44,6,FALSE),S885)</f>
        <v>9.4647776465945271E-2</v>
      </c>
      <c r="T884" s="45" t="str">
        <f>IFERROR(VLOOKUP(B884,'Pre-Summary'!$Y$6:$AC$83, 3,FALSE),"")</f>
        <v/>
      </c>
      <c r="U884" s="45" t="str">
        <f>IFERROR(VLOOKUP(B884,'Pre-Summary'!$Y$6:$AC$83, 4,FALSE),"")</f>
        <v/>
      </c>
      <c r="V884" t="str">
        <f>IFERROR(VLOOKUP(B884,'Pre-Summary'!$Y$6:$AC$83, 5,FALSE),"")</f>
        <v/>
      </c>
      <c r="W884" s="45" t="str">
        <f>IFERROR(VLOOKUP(B884,'Pre-Summary'!$Y$6:$AD$83,6,FALSE),"")</f>
        <v/>
      </c>
      <c r="X884" t="str">
        <f>IFERROR(VLOOKUP('Pre-Summary'!$DB$6:$DD$63,3,FALSE),"")</f>
        <v/>
      </c>
      <c r="Y884" t="str">
        <f>IFERROR(VLOOKUP(B884,'Pre-Summary'!$CR$6:$CT$36,3,FALSE),"")</f>
        <v/>
      </c>
      <c r="Z884" s="45" t="str">
        <f>IFERROR(VLOOKUP(B884,'Pre-Summary'!$BZ$6:$CB$63,2,FALSE),"")</f>
        <v/>
      </c>
      <c r="AA884" s="45" t="str">
        <f>IFERROR(VLOOKUP(B884,'Pre-Summary'!$CG$6:$CI$70,2,FALSE),"")</f>
        <v/>
      </c>
      <c r="AB884" s="99">
        <f>IFERROR(VLOOKUP(B884,'Pre-Summary'!$A$6:$P$178,9,FALSE),AB885)</f>
        <v>0.51107900307227605</v>
      </c>
      <c r="AC884" s="10">
        <f>IFERROR(VLOOKUP(Summary!B884,'Pre-Summary'!$A$6:$P$184,5, FALSE)/100,AC885)</f>
        <v>0.83335766666666655</v>
      </c>
      <c r="AD884" s="10">
        <f>IFERROR(VLOOKUP(Summary!B884,'Pre-Summary'!$A$6:$P$184,3, FALSE)/100,AD885)</f>
        <v>6.2578333333333333E-2</v>
      </c>
      <c r="AE884" s="10">
        <f>IFERROR(VLOOKUP(Summary!B884,'Pre-Summary'!$A$6:$P$184,7, FALSE)/100,AE885)</f>
        <v>0.10406399999999999</v>
      </c>
      <c r="AF884" s="99">
        <f t="shared" si="40"/>
        <v>3.1982472213924584E-2</v>
      </c>
      <c r="AG884" s="99">
        <f t="shared" si="41"/>
        <v>5.3184925375713329E-2</v>
      </c>
      <c r="AH884" s="10" t="str">
        <f>IFERROR(VLOOKUP(B884,'Pre-Summary'!$AZ$6:$BE$65,3,FALSE),"")</f>
        <v/>
      </c>
      <c r="AI884" s="10" t="str">
        <f>IFERROR(VLOOKUP(B884,'Pre-Summary'!$AZ$6:$BE$65,5,FALSE),"")</f>
        <v/>
      </c>
      <c r="AJ884" s="10" t="str">
        <f>IFERROR(VLOOKUP(B884,'Pre-Summary'!$AZ$6:$BE$65,4,FALSE),"")</f>
        <v/>
      </c>
      <c r="AK884" s="10" t="str">
        <f>IFERROR(VLOOKUP(B884,'Pre-Summary'!$AZ$6:$BE$65,6,FALSE),"")</f>
        <v/>
      </c>
      <c r="AL884" s="10" t="str">
        <f>IFERROR(VLOOKUP(B884,'Pre-Summary'!$BG$6:$BL$44,3,FALSE),"")</f>
        <v/>
      </c>
      <c r="AM884" s="10" t="str">
        <f>IFERROR(VLOOKUP(B884,'Pre-Summary'!$BG$6:$BL$44,4,FALSE),"")</f>
        <v/>
      </c>
    </row>
    <row r="885" spans="2:39" ht="15" customHeight="1" x14ac:dyDescent="0.3">
      <c r="B885">
        <v>88.2</v>
      </c>
      <c r="C885" t="str">
        <f>IFERROR(VLOOKUP(B885,'Pre-Summary'!$DI$6:$DM$23,4,FALSE),"")</f>
        <v/>
      </c>
      <c r="D885" s="10" t="str">
        <f>IFERROR(VLOOKUP(B885,'Pre-Summary'!$AT$6:$AX$14,5,FALSE),D884)</f>
        <v>DSMZ v2: Dropped Na-Ac out of DSMZ 120 media</v>
      </c>
      <c r="E885" s="10" t="str">
        <f>IFERROR(VLOOKUP(B885,'Pre-Summary'!$AT$6:$AX$15,4,FALSE),"")</f>
        <v/>
      </c>
      <c r="F885">
        <f>IFERROR(VLOOKUP(B885,'Pre-Summary'!$AL$6:$AQ$13,6,FALSE),F884)</f>
        <v>5.9405263157894746E-2</v>
      </c>
      <c r="G885" t="str">
        <f>IFERROR(VLOOKUP(B885,'Pre-Summary'!$AE$6:$AJ$85,3,FALSE),"")</f>
        <v/>
      </c>
      <c r="H885" t="str">
        <f>IFERROR(VLOOKUP(B885,'Pre-Summary'!$AE$6:$AJ$85,4,FALSE),"")</f>
        <v/>
      </c>
      <c r="I885" t="str">
        <f>IFERROR(VLOOKUP(B885,'Pre-Summary'!$AE$6:$AJ$85,5,FALSE),"")</f>
        <v/>
      </c>
      <c r="J885" s="45" t="str">
        <f>IFERROR(VLOOKUP(B885,'Pre-Summary'!$AE$6:$AJ$85,6, FALSE),"")</f>
        <v/>
      </c>
      <c r="K885" s="45" t="str">
        <f>IFERROR(VLOOKUP(B885,'Pre-Summary'!$DE$6:$DG$61,3,FALSE),"")</f>
        <v/>
      </c>
      <c r="L885" s="45" t="str">
        <f>IFERROR(VLOOKUP(B885,'Pre-Summary'!$CU$6:$CW$36,3,FALSE),"")</f>
        <v/>
      </c>
      <c r="M885" s="45" t="str">
        <f>IFERROR(VLOOKUP(B885,'Pre-Summary'!$BW$6:$BY$58,2,FALSE),"")</f>
        <v/>
      </c>
      <c r="N885" s="45" t="str">
        <f>IFERROR(VLOOKUP(B885,'Pre-Summary'!$CD$6:$CF$64,2,FALSE),"")</f>
        <v/>
      </c>
      <c r="O885" s="99">
        <f>IFERROR(VLOOKUP(B885,'Pre-Summary'!$BO$6:$BQ$48,3, FALSE),O884)</f>
        <v>1.2</v>
      </c>
      <c r="P885" s="99">
        <f>IFERROR(VLOOKUP(B885,'Pre-Summary'!$BS$6:$BU$35,3,FALSE),P884)</f>
        <v>0.3</v>
      </c>
      <c r="Q885" s="54">
        <f t="shared" si="39"/>
        <v>4</v>
      </c>
      <c r="R885" s="53">
        <f>IFERROR(VLOOKUP(B885,'Pre-Summary'!$BG$6:$BM$44,7,FALSE),R886)</f>
        <v>6.4813973442575987E-2</v>
      </c>
      <c r="S885" s="53">
        <f>IFERROR(VLOOKUP(B885,'Pre-Summary'!$BG$6:$BM$44,6,FALSE),S886)</f>
        <v>9.4647776465945271E-2</v>
      </c>
      <c r="T885" s="45" t="str">
        <f>IFERROR(VLOOKUP(B885,'Pre-Summary'!$Y$6:$AC$83, 3,FALSE),"")</f>
        <v/>
      </c>
      <c r="U885" s="45" t="str">
        <f>IFERROR(VLOOKUP(B885,'Pre-Summary'!$Y$6:$AC$83, 4,FALSE),"")</f>
        <v/>
      </c>
      <c r="V885" t="str">
        <f>IFERROR(VLOOKUP(B885,'Pre-Summary'!$Y$6:$AC$83, 5,FALSE),"")</f>
        <v/>
      </c>
      <c r="W885" s="45" t="str">
        <f>IFERROR(VLOOKUP(B885,'Pre-Summary'!$Y$6:$AD$83,6,FALSE),"")</f>
        <v/>
      </c>
      <c r="X885" t="str">
        <f>IFERROR(VLOOKUP('Pre-Summary'!$DB$6:$DD$63,3,FALSE),"")</f>
        <v/>
      </c>
      <c r="Y885" t="str">
        <f>IFERROR(VLOOKUP(B885,'Pre-Summary'!$CR$6:$CT$36,3,FALSE),"")</f>
        <v/>
      </c>
      <c r="Z885" s="45" t="str">
        <f>IFERROR(VLOOKUP(B885,'Pre-Summary'!$BZ$6:$CB$63,2,FALSE),"")</f>
        <v/>
      </c>
      <c r="AA885" s="45" t="str">
        <f>IFERROR(VLOOKUP(B885,'Pre-Summary'!$CG$6:$CI$70,2,FALSE),"")</f>
        <v/>
      </c>
      <c r="AB885" s="99">
        <f>IFERROR(VLOOKUP(B885,'Pre-Summary'!$A$6:$P$178,9,FALSE),AB886)</f>
        <v>0.51107900307227605</v>
      </c>
      <c r="AC885" s="10">
        <f>IFERROR(VLOOKUP(Summary!B885,'Pre-Summary'!$A$6:$P$184,5, FALSE)/100,AC886)</f>
        <v>0.83335766666666655</v>
      </c>
      <c r="AD885" s="10">
        <f>IFERROR(VLOOKUP(Summary!B885,'Pre-Summary'!$A$6:$P$184,3, FALSE)/100,AD886)</f>
        <v>6.2578333333333333E-2</v>
      </c>
      <c r="AE885" s="10">
        <f>IFERROR(VLOOKUP(Summary!B885,'Pre-Summary'!$A$6:$P$184,7, FALSE)/100,AE886)</f>
        <v>0.10406399999999999</v>
      </c>
      <c r="AF885" s="99">
        <f t="shared" si="40"/>
        <v>3.1982472213924584E-2</v>
      </c>
      <c r="AG885" s="99">
        <f t="shared" si="41"/>
        <v>5.3184925375713329E-2</v>
      </c>
      <c r="AH885" s="10" t="str">
        <f>IFERROR(VLOOKUP(B885,'Pre-Summary'!$AZ$6:$BE$65,3,FALSE),"")</f>
        <v/>
      </c>
      <c r="AI885" s="10" t="str">
        <f>IFERROR(VLOOKUP(B885,'Pre-Summary'!$AZ$6:$BE$65,5,FALSE),"")</f>
        <v/>
      </c>
      <c r="AJ885" s="10" t="str">
        <f>IFERROR(VLOOKUP(B885,'Pre-Summary'!$AZ$6:$BE$65,4,FALSE),"")</f>
        <v/>
      </c>
      <c r="AK885" s="10" t="str">
        <f>IFERROR(VLOOKUP(B885,'Pre-Summary'!$AZ$6:$BE$65,6,FALSE),"")</f>
        <v/>
      </c>
      <c r="AL885" s="10" t="str">
        <f>IFERROR(VLOOKUP(B885,'Pre-Summary'!$BG$6:$BL$44,3,FALSE),"")</f>
        <v/>
      </c>
      <c r="AM885" s="10" t="str">
        <f>IFERROR(VLOOKUP(B885,'Pre-Summary'!$BG$6:$BL$44,4,FALSE),"")</f>
        <v/>
      </c>
    </row>
    <row r="886" spans="2:39" ht="15" customHeight="1" x14ac:dyDescent="0.3">
      <c r="B886">
        <v>88.3</v>
      </c>
      <c r="C886" t="str">
        <f>IFERROR(VLOOKUP(B886,'Pre-Summary'!$DI$6:$DM$23,4,FALSE),"")</f>
        <v/>
      </c>
      <c r="D886" s="10" t="str">
        <f>IFERROR(VLOOKUP(B886,'Pre-Summary'!$AT$6:$AX$14,5,FALSE),D885)</f>
        <v>DSMZ v2: Dropped Na-Ac out of DSMZ 120 media</v>
      </c>
      <c r="E886" s="10" t="str">
        <f>IFERROR(VLOOKUP(B886,'Pre-Summary'!$AT$6:$AX$15,4,FALSE),"")</f>
        <v/>
      </c>
      <c r="F886">
        <f>IFERROR(VLOOKUP(B886,'Pre-Summary'!$AL$6:$AQ$13,6,FALSE),F885)</f>
        <v>5.9405263157894746E-2</v>
      </c>
      <c r="G886" t="str">
        <f>IFERROR(VLOOKUP(B886,'Pre-Summary'!$AE$6:$AJ$85,3,FALSE),"")</f>
        <v/>
      </c>
      <c r="H886" t="str">
        <f>IFERROR(VLOOKUP(B886,'Pre-Summary'!$AE$6:$AJ$85,4,FALSE),"")</f>
        <v/>
      </c>
      <c r="I886" t="str">
        <f>IFERROR(VLOOKUP(B886,'Pre-Summary'!$AE$6:$AJ$85,5,FALSE),"")</f>
        <v/>
      </c>
      <c r="J886" s="45" t="str">
        <f>IFERROR(VLOOKUP(B886,'Pre-Summary'!$AE$6:$AJ$85,6, FALSE),"")</f>
        <v/>
      </c>
      <c r="K886" s="45" t="str">
        <f>IFERROR(VLOOKUP(B886,'Pre-Summary'!$DE$6:$DG$61,3,FALSE),"")</f>
        <v/>
      </c>
      <c r="L886" s="45" t="str">
        <f>IFERROR(VLOOKUP(B886,'Pre-Summary'!$CU$6:$CW$36,3,FALSE),"")</f>
        <v/>
      </c>
      <c r="M886" s="45" t="str">
        <f>IFERROR(VLOOKUP(B886,'Pre-Summary'!$BW$6:$BY$58,2,FALSE),"")</f>
        <v/>
      </c>
      <c r="N886" s="45" t="str">
        <f>IFERROR(VLOOKUP(B886,'Pre-Summary'!$CD$6:$CF$64,2,FALSE),"")</f>
        <v/>
      </c>
      <c r="O886" s="99">
        <f>IFERROR(VLOOKUP(B886,'Pre-Summary'!$BO$6:$BQ$48,3, FALSE),O885)</f>
        <v>1.2</v>
      </c>
      <c r="P886" s="99">
        <f>IFERROR(VLOOKUP(B886,'Pre-Summary'!$BS$6:$BU$35,3,FALSE),P885)</f>
        <v>0.3</v>
      </c>
      <c r="Q886" s="54">
        <f t="shared" si="39"/>
        <v>4</v>
      </c>
      <c r="R886" s="53">
        <f>IFERROR(VLOOKUP(B886,'Pre-Summary'!$BG$6:$BM$44,7,FALSE),R887)</f>
        <v>6.4813973442575987E-2</v>
      </c>
      <c r="S886" s="53">
        <f>IFERROR(VLOOKUP(B886,'Pre-Summary'!$BG$6:$BM$44,6,FALSE),S887)</f>
        <v>9.4647776465945271E-2</v>
      </c>
      <c r="T886" s="45" t="str">
        <f>IFERROR(VLOOKUP(B886,'Pre-Summary'!$Y$6:$AC$83, 3,FALSE),"")</f>
        <v/>
      </c>
      <c r="U886" s="45" t="str">
        <f>IFERROR(VLOOKUP(B886,'Pre-Summary'!$Y$6:$AC$83, 4,FALSE),"")</f>
        <v/>
      </c>
      <c r="V886" t="str">
        <f>IFERROR(VLOOKUP(B886,'Pre-Summary'!$Y$6:$AC$83, 5,FALSE),"")</f>
        <v/>
      </c>
      <c r="W886" s="45" t="str">
        <f>IFERROR(VLOOKUP(B886,'Pre-Summary'!$Y$6:$AD$83,6,FALSE),"")</f>
        <v/>
      </c>
      <c r="X886" t="str">
        <f>IFERROR(VLOOKUP('Pre-Summary'!$DB$6:$DD$63,3,FALSE),"")</f>
        <v/>
      </c>
      <c r="Y886" t="str">
        <f>IFERROR(VLOOKUP(B886,'Pre-Summary'!$CR$6:$CT$36,3,FALSE),"")</f>
        <v/>
      </c>
      <c r="Z886" s="45" t="str">
        <f>IFERROR(VLOOKUP(B886,'Pre-Summary'!$BZ$6:$CB$63,2,FALSE),"")</f>
        <v/>
      </c>
      <c r="AA886" s="45" t="str">
        <f>IFERROR(VLOOKUP(B886,'Pre-Summary'!$CG$6:$CI$70,2,FALSE),"")</f>
        <v/>
      </c>
      <c r="AB886" s="99">
        <f>IFERROR(VLOOKUP(B886,'Pre-Summary'!$A$6:$P$178,9,FALSE),AB887)</f>
        <v>0.51107900307227605</v>
      </c>
      <c r="AC886" s="10">
        <f>IFERROR(VLOOKUP(Summary!B886,'Pre-Summary'!$A$6:$P$184,5, FALSE)/100,AC887)</f>
        <v>0.83335766666666655</v>
      </c>
      <c r="AD886" s="10">
        <f>IFERROR(VLOOKUP(Summary!B886,'Pre-Summary'!$A$6:$P$184,3, FALSE)/100,AD887)</f>
        <v>6.2578333333333333E-2</v>
      </c>
      <c r="AE886" s="10">
        <f>IFERROR(VLOOKUP(Summary!B886,'Pre-Summary'!$A$6:$P$184,7, FALSE)/100,AE887)</f>
        <v>0.10406399999999999</v>
      </c>
      <c r="AF886" s="99">
        <f t="shared" si="40"/>
        <v>3.1982472213924584E-2</v>
      </c>
      <c r="AG886" s="99">
        <f t="shared" si="41"/>
        <v>5.3184925375713329E-2</v>
      </c>
      <c r="AH886" s="10" t="str">
        <f>IFERROR(VLOOKUP(B886,'Pre-Summary'!$AZ$6:$BE$65,3,FALSE),"")</f>
        <v/>
      </c>
      <c r="AI886" s="10" t="str">
        <f>IFERROR(VLOOKUP(B886,'Pre-Summary'!$AZ$6:$BE$65,5,FALSE),"")</f>
        <v/>
      </c>
      <c r="AJ886" s="10" t="str">
        <f>IFERROR(VLOOKUP(B886,'Pre-Summary'!$AZ$6:$BE$65,4,FALSE),"")</f>
        <v/>
      </c>
      <c r="AK886" s="10" t="str">
        <f>IFERROR(VLOOKUP(B886,'Pre-Summary'!$AZ$6:$BE$65,6,FALSE),"")</f>
        <v/>
      </c>
      <c r="AL886" s="10" t="str">
        <f>IFERROR(VLOOKUP(B886,'Pre-Summary'!$BG$6:$BL$44,3,FALSE),"")</f>
        <v/>
      </c>
      <c r="AM886" s="10" t="str">
        <f>IFERROR(VLOOKUP(B886,'Pre-Summary'!$BG$6:$BL$44,4,FALSE),"")</f>
        <v/>
      </c>
    </row>
    <row r="887" spans="2:39" ht="15" customHeight="1" x14ac:dyDescent="0.3">
      <c r="B887">
        <v>88.4</v>
      </c>
      <c r="C887" t="str">
        <f>IFERROR(VLOOKUP(B887,'Pre-Summary'!$DI$6:$DM$23,4,FALSE),"")</f>
        <v/>
      </c>
      <c r="D887" s="10" t="str">
        <f>IFERROR(VLOOKUP(B887,'Pre-Summary'!$AT$6:$AX$14,5,FALSE),D886)</f>
        <v>DSMZ v2: Dropped Na-Ac out of DSMZ 120 media</v>
      </c>
      <c r="E887" s="10" t="str">
        <f>IFERROR(VLOOKUP(B887,'Pre-Summary'!$AT$6:$AX$15,4,FALSE),"")</f>
        <v/>
      </c>
      <c r="F887">
        <f>IFERROR(VLOOKUP(B887,'Pre-Summary'!$AL$6:$AQ$13,6,FALSE),F886)</f>
        <v>5.9405263157894746E-2</v>
      </c>
      <c r="G887" t="str">
        <f>IFERROR(VLOOKUP(B887,'Pre-Summary'!$AE$6:$AJ$85,3,FALSE),"")</f>
        <v/>
      </c>
      <c r="H887" t="str">
        <f>IFERROR(VLOOKUP(B887,'Pre-Summary'!$AE$6:$AJ$85,4,FALSE),"")</f>
        <v/>
      </c>
      <c r="I887" t="str">
        <f>IFERROR(VLOOKUP(B887,'Pre-Summary'!$AE$6:$AJ$85,5,FALSE),"")</f>
        <v/>
      </c>
      <c r="J887" s="45" t="str">
        <f>IFERROR(VLOOKUP(B887,'Pre-Summary'!$AE$6:$AJ$85,6, FALSE),"")</f>
        <v/>
      </c>
      <c r="K887" s="45" t="str">
        <f>IFERROR(VLOOKUP(B887,'Pre-Summary'!$DE$6:$DG$61,3,FALSE),"")</f>
        <v/>
      </c>
      <c r="L887" s="45" t="str">
        <f>IFERROR(VLOOKUP(B887,'Pre-Summary'!$CU$6:$CW$36,3,FALSE),"")</f>
        <v/>
      </c>
      <c r="M887" s="45" t="str">
        <f>IFERROR(VLOOKUP(B887,'Pre-Summary'!$BW$6:$BY$58,2,FALSE),"")</f>
        <v/>
      </c>
      <c r="N887" s="45" t="str">
        <f>IFERROR(VLOOKUP(B887,'Pre-Summary'!$CD$6:$CF$64,2,FALSE),"")</f>
        <v/>
      </c>
      <c r="O887" s="99">
        <f>IFERROR(VLOOKUP(B887,'Pre-Summary'!$BO$6:$BQ$48,3, FALSE),O886)</f>
        <v>1.2</v>
      </c>
      <c r="P887" s="99">
        <f>IFERROR(VLOOKUP(B887,'Pre-Summary'!$BS$6:$BU$35,3,FALSE),P886)</f>
        <v>0.3</v>
      </c>
      <c r="Q887" s="54">
        <f t="shared" si="39"/>
        <v>4</v>
      </c>
      <c r="R887" s="53">
        <f>IFERROR(VLOOKUP(B887,'Pre-Summary'!$BG$6:$BM$44,7,FALSE),R888)</f>
        <v>6.4813973442575987E-2</v>
      </c>
      <c r="S887" s="53">
        <f>IFERROR(VLOOKUP(B887,'Pre-Summary'!$BG$6:$BM$44,6,FALSE),S888)</f>
        <v>9.4647776465945271E-2</v>
      </c>
      <c r="T887" s="45" t="str">
        <f>IFERROR(VLOOKUP(B887,'Pre-Summary'!$Y$6:$AC$83, 3,FALSE),"")</f>
        <v/>
      </c>
      <c r="U887" s="45" t="str">
        <f>IFERROR(VLOOKUP(B887,'Pre-Summary'!$Y$6:$AC$83, 4,FALSE),"")</f>
        <v/>
      </c>
      <c r="V887" t="str">
        <f>IFERROR(VLOOKUP(B887,'Pre-Summary'!$Y$6:$AC$83, 5,FALSE),"")</f>
        <v/>
      </c>
      <c r="W887" s="45" t="str">
        <f>IFERROR(VLOOKUP(B887,'Pre-Summary'!$Y$6:$AD$83,6,FALSE),"")</f>
        <v/>
      </c>
      <c r="X887" t="str">
        <f>IFERROR(VLOOKUP('Pre-Summary'!$DB$6:$DD$63,3,FALSE),"")</f>
        <v/>
      </c>
      <c r="Y887" t="str">
        <f>IFERROR(VLOOKUP(B887,'Pre-Summary'!$CR$6:$CT$36,3,FALSE),"")</f>
        <v/>
      </c>
      <c r="Z887" s="45" t="str">
        <f>IFERROR(VLOOKUP(B887,'Pre-Summary'!$BZ$6:$CB$63,2,FALSE),"")</f>
        <v/>
      </c>
      <c r="AA887" s="45" t="str">
        <f>IFERROR(VLOOKUP(B887,'Pre-Summary'!$CG$6:$CI$70,2,FALSE),"")</f>
        <v/>
      </c>
      <c r="AB887" s="99">
        <f>IFERROR(VLOOKUP(B887,'Pre-Summary'!$A$6:$P$178,9,FALSE),AB888)</f>
        <v>0.51107900307227605</v>
      </c>
      <c r="AC887" s="10">
        <f>IFERROR(VLOOKUP(Summary!B887,'Pre-Summary'!$A$6:$P$184,5, FALSE)/100,AC888)</f>
        <v>0.83335766666666655</v>
      </c>
      <c r="AD887" s="10">
        <f>IFERROR(VLOOKUP(Summary!B887,'Pre-Summary'!$A$6:$P$184,3, FALSE)/100,AD888)</f>
        <v>6.2578333333333333E-2</v>
      </c>
      <c r="AE887" s="10">
        <f>IFERROR(VLOOKUP(Summary!B887,'Pre-Summary'!$A$6:$P$184,7, FALSE)/100,AE888)</f>
        <v>0.10406399999999999</v>
      </c>
      <c r="AF887" s="99">
        <f t="shared" si="40"/>
        <v>3.1982472213924584E-2</v>
      </c>
      <c r="AG887" s="99">
        <f t="shared" si="41"/>
        <v>5.3184925375713329E-2</v>
      </c>
      <c r="AH887" s="10" t="str">
        <f>IFERROR(VLOOKUP(B887,'Pre-Summary'!$AZ$6:$BE$65,3,FALSE),"")</f>
        <v/>
      </c>
      <c r="AI887" s="10" t="str">
        <f>IFERROR(VLOOKUP(B887,'Pre-Summary'!$AZ$6:$BE$65,5,FALSE),"")</f>
        <v/>
      </c>
      <c r="AJ887" s="10" t="str">
        <f>IFERROR(VLOOKUP(B887,'Pre-Summary'!$AZ$6:$BE$65,4,FALSE),"")</f>
        <v/>
      </c>
      <c r="AK887" s="10" t="str">
        <f>IFERROR(VLOOKUP(B887,'Pre-Summary'!$AZ$6:$BE$65,6,FALSE),"")</f>
        <v/>
      </c>
      <c r="AL887" s="10" t="str">
        <f>IFERROR(VLOOKUP(B887,'Pre-Summary'!$BG$6:$BL$44,3,FALSE),"")</f>
        <v/>
      </c>
      <c r="AM887" s="10" t="str">
        <f>IFERROR(VLOOKUP(B887,'Pre-Summary'!$BG$6:$BL$44,4,FALSE),"")</f>
        <v/>
      </c>
    </row>
    <row r="888" spans="2:39" ht="15" customHeight="1" x14ac:dyDescent="0.3">
      <c r="B888">
        <v>88.5</v>
      </c>
      <c r="C888" t="str">
        <f>IFERROR(VLOOKUP(B888,'Pre-Summary'!$DI$6:$DM$23,4,FALSE),"")</f>
        <v/>
      </c>
      <c r="D888" s="10" t="str">
        <f>IFERROR(VLOOKUP(B888,'Pre-Summary'!$AT$6:$AX$14,5,FALSE),D887)</f>
        <v>DSMZ v2: Dropped Na-Ac out of DSMZ 120 media</v>
      </c>
      <c r="E888" s="10" t="str">
        <f>IFERROR(VLOOKUP(B888,'Pre-Summary'!$AT$6:$AX$15,4,FALSE),"")</f>
        <v/>
      </c>
      <c r="F888">
        <f>IFERROR(VLOOKUP(B888,'Pre-Summary'!$AL$6:$AQ$13,6,FALSE),F887)</f>
        <v>5.9405263157894746E-2</v>
      </c>
      <c r="G888" t="str">
        <f>IFERROR(VLOOKUP(B888,'Pre-Summary'!$AE$6:$AJ$85,3,FALSE),"")</f>
        <v/>
      </c>
      <c r="H888" t="str">
        <f>IFERROR(VLOOKUP(B888,'Pre-Summary'!$AE$6:$AJ$85,4,FALSE),"")</f>
        <v/>
      </c>
      <c r="I888" t="str">
        <f>IFERROR(VLOOKUP(B888,'Pre-Summary'!$AE$6:$AJ$85,5,FALSE),"")</f>
        <v/>
      </c>
      <c r="J888" s="45" t="str">
        <f>IFERROR(VLOOKUP(B888,'Pre-Summary'!$AE$6:$AJ$85,6, FALSE),"")</f>
        <v/>
      </c>
      <c r="K888" s="45" t="str">
        <f>IFERROR(VLOOKUP(B888,'Pre-Summary'!$DE$6:$DG$61,3,FALSE),"")</f>
        <v/>
      </c>
      <c r="L888" s="45" t="str">
        <f>IFERROR(VLOOKUP(B888,'Pre-Summary'!$CU$6:$CW$36,3,FALSE),"")</f>
        <v/>
      </c>
      <c r="M888" s="45" t="str">
        <f>IFERROR(VLOOKUP(B888,'Pre-Summary'!$BW$6:$BY$58,2,FALSE),"")</f>
        <v/>
      </c>
      <c r="N888" s="45" t="str">
        <f>IFERROR(VLOOKUP(B888,'Pre-Summary'!$CD$6:$CF$64,2,FALSE),"")</f>
        <v/>
      </c>
      <c r="O888" s="99">
        <f>IFERROR(VLOOKUP(B888,'Pre-Summary'!$BO$6:$BQ$48,3, FALSE),O887)</f>
        <v>1.2</v>
      </c>
      <c r="P888" s="99">
        <f>IFERROR(VLOOKUP(B888,'Pre-Summary'!$BS$6:$BU$35,3,FALSE),P887)</f>
        <v>0.3</v>
      </c>
      <c r="Q888" s="54">
        <f t="shared" si="39"/>
        <v>4</v>
      </c>
      <c r="R888" s="53">
        <f>IFERROR(VLOOKUP(B888,'Pre-Summary'!$BG$6:$BM$44,7,FALSE),R889)</f>
        <v>6.4813973442575987E-2</v>
      </c>
      <c r="S888" s="53">
        <f>IFERROR(VLOOKUP(B888,'Pre-Summary'!$BG$6:$BM$44,6,FALSE),S889)</f>
        <v>9.4647776465945271E-2</v>
      </c>
      <c r="T888" s="45" t="str">
        <f>IFERROR(VLOOKUP(B888,'Pre-Summary'!$Y$6:$AC$83, 3,FALSE),"")</f>
        <v/>
      </c>
      <c r="U888" s="45" t="str">
        <f>IFERROR(VLOOKUP(B888,'Pre-Summary'!$Y$6:$AC$83, 4,FALSE),"")</f>
        <v/>
      </c>
      <c r="V888" t="str">
        <f>IFERROR(VLOOKUP(B888,'Pre-Summary'!$Y$6:$AC$83, 5,FALSE),"")</f>
        <v/>
      </c>
      <c r="W888" s="45" t="str">
        <f>IFERROR(VLOOKUP(B888,'Pre-Summary'!$Y$6:$AD$83,6,FALSE),"")</f>
        <v/>
      </c>
      <c r="X888" t="str">
        <f>IFERROR(VLOOKUP('Pre-Summary'!$DB$6:$DD$63,3,FALSE),"")</f>
        <v/>
      </c>
      <c r="Y888" t="str">
        <f>IFERROR(VLOOKUP(B888,'Pre-Summary'!$CR$6:$CT$36,3,FALSE),"")</f>
        <v/>
      </c>
      <c r="Z888" s="45" t="str">
        <f>IFERROR(VLOOKUP(B888,'Pre-Summary'!$BZ$6:$CB$63,2,FALSE),"")</f>
        <v/>
      </c>
      <c r="AA888" s="45" t="str">
        <f>IFERROR(VLOOKUP(B888,'Pre-Summary'!$CG$6:$CI$70,2,FALSE),"")</f>
        <v/>
      </c>
      <c r="AB888" s="99">
        <f>IFERROR(VLOOKUP(B888,'Pre-Summary'!$A$6:$P$178,9,FALSE),AB889)</f>
        <v>0.51107900307227605</v>
      </c>
      <c r="AC888" s="10">
        <f>IFERROR(VLOOKUP(Summary!B888,'Pre-Summary'!$A$6:$P$184,5, FALSE)/100,AC889)</f>
        <v>0.83335766666666655</v>
      </c>
      <c r="AD888" s="10">
        <f>IFERROR(VLOOKUP(Summary!B888,'Pre-Summary'!$A$6:$P$184,3, FALSE)/100,AD889)</f>
        <v>6.2578333333333333E-2</v>
      </c>
      <c r="AE888" s="10">
        <f>IFERROR(VLOOKUP(Summary!B888,'Pre-Summary'!$A$6:$P$184,7, FALSE)/100,AE889)</f>
        <v>0.10406399999999999</v>
      </c>
      <c r="AF888" s="99">
        <f t="shared" si="40"/>
        <v>3.1982472213924584E-2</v>
      </c>
      <c r="AG888" s="99">
        <f t="shared" si="41"/>
        <v>5.3184925375713329E-2</v>
      </c>
      <c r="AH888" s="10" t="str">
        <f>IFERROR(VLOOKUP(B888,'Pre-Summary'!$AZ$6:$BE$65,3,FALSE),"")</f>
        <v/>
      </c>
      <c r="AI888" s="10" t="str">
        <f>IFERROR(VLOOKUP(B888,'Pre-Summary'!$AZ$6:$BE$65,5,FALSE),"")</f>
        <v/>
      </c>
      <c r="AJ888" s="10" t="str">
        <f>IFERROR(VLOOKUP(B888,'Pre-Summary'!$AZ$6:$BE$65,4,FALSE),"")</f>
        <v/>
      </c>
      <c r="AK888" s="10" t="str">
        <f>IFERROR(VLOOKUP(B888,'Pre-Summary'!$AZ$6:$BE$65,6,FALSE),"")</f>
        <v/>
      </c>
      <c r="AL888" s="10" t="str">
        <f>IFERROR(VLOOKUP(B888,'Pre-Summary'!$BG$6:$BL$44,3,FALSE),"")</f>
        <v/>
      </c>
      <c r="AM888" s="10" t="str">
        <f>IFERROR(VLOOKUP(B888,'Pre-Summary'!$BG$6:$BL$44,4,FALSE),"")</f>
        <v/>
      </c>
    </row>
    <row r="889" spans="2:39" ht="15" customHeight="1" x14ac:dyDescent="0.3">
      <c r="B889">
        <v>88.6</v>
      </c>
      <c r="C889" t="str">
        <f>IFERROR(VLOOKUP(B889,'Pre-Summary'!$DI$6:$DM$23,4,FALSE),"")</f>
        <v/>
      </c>
      <c r="D889" s="10" t="str">
        <f>IFERROR(VLOOKUP(B889,'Pre-Summary'!$AT$6:$AX$14,5,FALSE),D888)</f>
        <v>DSMZ v2: Dropped Na-Ac out of DSMZ 120 media</v>
      </c>
      <c r="E889" s="10" t="str">
        <f>IFERROR(VLOOKUP(B889,'Pre-Summary'!$AT$6:$AX$15,4,FALSE),"")</f>
        <v/>
      </c>
      <c r="F889">
        <f>IFERROR(VLOOKUP(B889,'Pre-Summary'!$AL$6:$AQ$13,6,FALSE),F888)</f>
        <v>5.9405263157894746E-2</v>
      </c>
      <c r="G889" t="str">
        <f>IFERROR(VLOOKUP(B889,'Pre-Summary'!$AE$6:$AJ$85,3,FALSE),"")</f>
        <v/>
      </c>
      <c r="H889" t="str">
        <f>IFERROR(VLOOKUP(B889,'Pre-Summary'!$AE$6:$AJ$85,4,FALSE),"")</f>
        <v/>
      </c>
      <c r="I889" t="str">
        <f>IFERROR(VLOOKUP(B889,'Pre-Summary'!$AE$6:$AJ$85,5,FALSE),"")</f>
        <v/>
      </c>
      <c r="J889" s="45" t="str">
        <f>IFERROR(VLOOKUP(B889,'Pre-Summary'!$AE$6:$AJ$85,6, FALSE),"")</f>
        <v/>
      </c>
      <c r="K889" s="45" t="str">
        <f>IFERROR(VLOOKUP(B889,'Pre-Summary'!$DE$6:$DG$61,3,FALSE),"")</f>
        <v/>
      </c>
      <c r="L889" s="45" t="str">
        <f>IFERROR(VLOOKUP(B889,'Pre-Summary'!$CU$6:$CW$36,3,FALSE),"")</f>
        <v/>
      </c>
      <c r="M889" s="45" t="str">
        <f>IFERROR(VLOOKUP(B889,'Pre-Summary'!$BW$6:$BY$58,2,FALSE),"")</f>
        <v/>
      </c>
      <c r="N889" s="45" t="str">
        <f>IFERROR(VLOOKUP(B889,'Pre-Summary'!$CD$6:$CF$64,2,FALSE),"")</f>
        <v/>
      </c>
      <c r="O889" s="99">
        <f>IFERROR(VLOOKUP(B889,'Pre-Summary'!$BO$6:$BQ$48,3, FALSE),O888)</f>
        <v>1.2</v>
      </c>
      <c r="P889" s="99">
        <f>IFERROR(VLOOKUP(B889,'Pre-Summary'!$BS$6:$BU$35,3,FALSE),P888)</f>
        <v>0.3</v>
      </c>
      <c r="Q889" s="54">
        <f t="shared" si="39"/>
        <v>4</v>
      </c>
      <c r="R889" s="53">
        <f>IFERROR(VLOOKUP(B889,'Pre-Summary'!$BG$6:$BM$44,7,FALSE),R890)</f>
        <v>6.4813973442575987E-2</v>
      </c>
      <c r="S889" s="53">
        <f>IFERROR(VLOOKUP(B889,'Pre-Summary'!$BG$6:$BM$44,6,FALSE),S890)</f>
        <v>9.4647776465945271E-2</v>
      </c>
      <c r="T889" s="45" t="str">
        <f>IFERROR(VLOOKUP(B889,'Pre-Summary'!$Y$6:$AC$83, 3,FALSE),"")</f>
        <v/>
      </c>
      <c r="U889" s="45" t="str">
        <f>IFERROR(VLOOKUP(B889,'Pre-Summary'!$Y$6:$AC$83, 4,FALSE),"")</f>
        <v/>
      </c>
      <c r="V889" t="str">
        <f>IFERROR(VLOOKUP(B889,'Pre-Summary'!$Y$6:$AC$83, 5,FALSE),"")</f>
        <v/>
      </c>
      <c r="W889" s="45" t="str">
        <f>IFERROR(VLOOKUP(B889,'Pre-Summary'!$Y$6:$AD$83,6,FALSE),"")</f>
        <v/>
      </c>
      <c r="X889" t="str">
        <f>IFERROR(VLOOKUP('Pre-Summary'!$DB$6:$DD$63,3,FALSE),"")</f>
        <v/>
      </c>
      <c r="Y889" t="str">
        <f>IFERROR(VLOOKUP(B889,'Pre-Summary'!$CR$6:$CT$36,3,FALSE),"")</f>
        <v/>
      </c>
      <c r="Z889" s="45" t="str">
        <f>IFERROR(VLOOKUP(B889,'Pre-Summary'!$BZ$6:$CB$63,2,FALSE),"")</f>
        <v/>
      </c>
      <c r="AA889" s="45" t="str">
        <f>IFERROR(VLOOKUP(B889,'Pre-Summary'!$CG$6:$CI$70,2,FALSE),"")</f>
        <v/>
      </c>
      <c r="AB889" s="99">
        <f>IFERROR(VLOOKUP(B889,'Pre-Summary'!$A$6:$P$178,9,FALSE),AB890)</f>
        <v>0.51107900307227605</v>
      </c>
      <c r="AC889" s="10">
        <f>IFERROR(VLOOKUP(Summary!B889,'Pre-Summary'!$A$6:$P$184,5, FALSE)/100,AC890)</f>
        <v>0.83335766666666655</v>
      </c>
      <c r="AD889" s="10">
        <f>IFERROR(VLOOKUP(Summary!B889,'Pre-Summary'!$A$6:$P$184,3, FALSE)/100,AD890)</f>
        <v>6.2578333333333333E-2</v>
      </c>
      <c r="AE889" s="10">
        <f>IFERROR(VLOOKUP(Summary!B889,'Pre-Summary'!$A$6:$P$184,7, FALSE)/100,AE890)</f>
        <v>0.10406399999999999</v>
      </c>
      <c r="AF889" s="99">
        <f t="shared" si="40"/>
        <v>3.1982472213924584E-2</v>
      </c>
      <c r="AG889" s="99">
        <f t="shared" si="41"/>
        <v>5.3184925375713329E-2</v>
      </c>
      <c r="AH889" s="10" t="str">
        <f>IFERROR(VLOOKUP(B889,'Pre-Summary'!$AZ$6:$BE$65,3,FALSE),"")</f>
        <v/>
      </c>
      <c r="AI889" s="10" t="str">
        <f>IFERROR(VLOOKUP(B889,'Pre-Summary'!$AZ$6:$BE$65,5,FALSE),"")</f>
        <v/>
      </c>
      <c r="AJ889" s="10" t="str">
        <f>IFERROR(VLOOKUP(B889,'Pre-Summary'!$AZ$6:$BE$65,4,FALSE),"")</f>
        <v/>
      </c>
      <c r="AK889" s="10" t="str">
        <f>IFERROR(VLOOKUP(B889,'Pre-Summary'!$AZ$6:$BE$65,6,FALSE),"")</f>
        <v/>
      </c>
      <c r="AL889" s="10" t="str">
        <f>IFERROR(VLOOKUP(B889,'Pre-Summary'!$BG$6:$BL$44,3,FALSE),"")</f>
        <v/>
      </c>
      <c r="AM889" s="10" t="str">
        <f>IFERROR(VLOOKUP(B889,'Pre-Summary'!$BG$6:$BL$44,4,FALSE),"")</f>
        <v/>
      </c>
    </row>
    <row r="890" spans="2:39" ht="15" customHeight="1" x14ac:dyDescent="0.3">
      <c r="B890">
        <v>88.7</v>
      </c>
      <c r="C890" t="str">
        <f>IFERROR(VLOOKUP(B890,'Pre-Summary'!$DI$6:$DM$23,4,FALSE),"")</f>
        <v/>
      </c>
      <c r="D890" s="10" t="str">
        <f>IFERROR(VLOOKUP(B890,'Pre-Summary'!$AT$6:$AX$14,5,FALSE),D889)</f>
        <v>DSMZ v2: Dropped Na-Ac out of DSMZ 120 media</v>
      </c>
      <c r="E890" s="10" t="str">
        <f>IFERROR(VLOOKUP(B890,'Pre-Summary'!$AT$6:$AX$15,4,FALSE),"")</f>
        <v/>
      </c>
      <c r="F890">
        <f>IFERROR(VLOOKUP(B890,'Pre-Summary'!$AL$6:$AQ$13,6,FALSE),F889)</f>
        <v>5.9405263157894746E-2</v>
      </c>
      <c r="G890" t="str">
        <f>IFERROR(VLOOKUP(B890,'Pre-Summary'!$AE$6:$AJ$85,3,FALSE),"")</f>
        <v/>
      </c>
      <c r="H890" t="str">
        <f>IFERROR(VLOOKUP(B890,'Pre-Summary'!$AE$6:$AJ$85,4,FALSE),"")</f>
        <v/>
      </c>
      <c r="I890" t="str">
        <f>IFERROR(VLOOKUP(B890,'Pre-Summary'!$AE$6:$AJ$85,5,FALSE),"")</f>
        <v/>
      </c>
      <c r="J890" s="45" t="str">
        <f>IFERROR(VLOOKUP(B890,'Pre-Summary'!$AE$6:$AJ$85,6, FALSE),"")</f>
        <v/>
      </c>
      <c r="K890" s="45" t="str">
        <f>IFERROR(VLOOKUP(B890,'Pre-Summary'!$DE$6:$DG$61,3,FALSE),"")</f>
        <v/>
      </c>
      <c r="L890" s="45" t="str">
        <f>IFERROR(VLOOKUP(B890,'Pre-Summary'!$CU$6:$CW$36,3,FALSE),"")</f>
        <v/>
      </c>
      <c r="M890" s="45" t="str">
        <f>IFERROR(VLOOKUP(B890,'Pre-Summary'!$BW$6:$BY$58,2,FALSE),"")</f>
        <v/>
      </c>
      <c r="N890" s="45" t="str">
        <f>IFERROR(VLOOKUP(B890,'Pre-Summary'!$CD$6:$CF$64,2,FALSE),"")</f>
        <v/>
      </c>
      <c r="O890" s="99">
        <f>IFERROR(VLOOKUP(B890,'Pre-Summary'!$BO$6:$BQ$48,3, FALSE),O889)</f>
        <v>1.2</v>
      </c>
      <c r="P890" s="99">
        <f>IFERROR(VLOOKUP(B890,'Pre-Summary'!$BS$6:$BU$35,3,FALSE),P889)</f>
        <v>0.3</v>
      </c>
      <c r="Q890" s="54">
        <f t="shared" si="39"/>
        <v>4</v>
      </c>
      <c r="R890" s="53">
        <f>IFERROR(VLOOKUP(B890,'Pre-Summary'!$BG$6:$BM$44,7,FALSE),R891)</f>
        <v>6.4813973442575987E-2</v>
      </c>
      <c r="S890" s="53">
        <f>IFERROR(VLOOKUP(B890,'Pre-Summary'!$BG$6:$BM$44,6,FALSE),S891)</f>
        <v>9.4647776465945271E-2</v>
      </c>
      <c r="T890" s="45" t="str">
        <f>IFERROR(VLOOKUP(B890,'Pre-Summary'!$Y$6:$AC$83, 3,FALSE),"")</f>
        <v/>
      </c>
      <c r="U890" s="45" t="str">
        <f>IFERROR(VLOOKUP(B890,'Pre-Summary'!$Y$6:$AC$83, 4,FALSE),"")</f>
        <v/>
      </c>
      <c r="V890" t="str">
        <f>IFERROR(VLOOKUP(B890,'Pre-Summary'!$Y$6:$AC$83, 5,FALSE),"")</f>
        <v/>
      </c>
      <c r="W890" s="45" t="str">
        <f>IFERROR(VLOOKUP(B890,'Pre-Summary'!$Y$6:$AD$83,6,FALSE),"")</f>
        <v/>
      </c>
      <c r="X890" t="str">
        <f>IFERROR(VLOOKUP('Pre-Summary'!$DB$6:$DD$63,3,FALSE),"")</f>
        <v/>
      </c>
      <c r="Y890" t="str">
        <f>IFERROR(VLOOKUP(B890,'Pre-Summary'!$CR$6:$CT$36,3,FALSE),"")</f>
        <v/>
      </c>
      <c r="Z890" s="45" t="str">
        <f>IFERROR(VLOOKUP(B890,'Pre-Summary'!$BZ$6:$CB$63,2,FALSE),"")</f>
        <v/>
      </c>
      <c r="AA890" s="45" t="str">
        <f>IFERROR(VLOOKUP(B890,'Pre-Summary'!$CG$6:$CI$70,2,FALSE),"")</f>
        <v/>
      </c>
      <c r="AB890" s="99">
        <f>IFERROR(VLOOKUP(B890,'Pre-Summary'!$A$6:$P$178,9,FALSE),AB891)</f>
        <v>0.51107900307227605</v>
      </c>
      <c r="AC890" s="10">
        <f>IFERROR(VLOOKUP(Summary!B890,'Pre-Summary'!$A$6:$P$184,5, FALSE)/100,AC891)</f>
        <v>0.83335766666666655</v>
      </c>
      <c r="AD890" s="10">
        <f>IFERROR(VLOOKUP(Summary!B890,'Pre-Summary'!$A$6:$P$184,3, FALSE)/100,AD891)</f>
        <v>6.2578333333333333E-2</v>
      </c>
      <c r="AE890" s="10">
        <f>IFERROR(VLOOKUP(Summary!B890,'Pre-Summary'!$A$6:$P$184,7, FALSE)/100,AE891)</f>
        <v>0.10406399999999999</v>
      </c>
      <c r="AF890" s="99">
        <f t="shared" si="40"/>
        <v>3.1982472213924584E-2</v>
      </c>
      <c r="AG890" s="99">
        <f t="shared" si="41"/>
        <v>5.3184925375713329E-2</v>
      </c>
      <c r="AH890" s="10" t="str">
        <f>IFERROR(VLOOKUP(B890,'Pre-Summary'!$AZ$6:$BE$65,3,FALSE),"")</f>
        <v/>
      </c>
      <c r="AI890" s="10" t="str">
        <f>IFERROR(VLOOKUP(B890,'Pre-Summary'!$AZ$6:$BE$65,5,FALSE),"")</f>
        <v/>
      </c>
      <c r="AJ890" s="10" t="str">
        <f>IFERROR(VLOOKUP(B890,'Pre-Summary'!$AZ$6:$BE$65,4,FALSE),"")</f>
        <v/>
      </c>
      <c r="AK890" s="10" t="str">
        <f>IFERROR(VLOOKUP(B890,'Pre-Summary'!$AZ$6:$BE$65,6,FALSE),"")</f>
        <v/>
      </c>
      <c r="AL890" s="10" t="str">
        <f>IFERROR(VLOOKUP(B890,'Pre-Summary'!$BG$6:$BL$44,3,FALSE),"")</f>
        <v/>
      </c>
      <c r="AM890" s="10" t="str">
        <f>IFERROR(VLOOKUP(B890,'Pre-Summary'!$BG$6:$BL$44,4,FALSE),"")</f>
        <v/>
      </c>
    </row>
    <row r="891" spans="2:39" ht="15" customHeight="1" x14ac:dyDescent="0.3">
      <c r="B891">
        <v>88.8</v>
      </c>
      <c r="C891" t="str">
        <f>IFERROR(VLOOKUP(B891,'Pre-Summary'!$DI$6:$DM$23,4,FALSE),"")</f>
        <v/>
      </c>
      <c r="D891" s="10" t="str">
        <f>IFERROR(VLOOKUP(B891,'Pre-Summary'!$AT$6:$AX$14,5,FALSE),D890)</f>
        <v>DSMZ v2: Dropped Na-Ac out of DSMZ 120 media</v>
      </c>
      <c r="E891" s="10" t="str">
        <f>IFERROR(VLOOKUP(B891,'Pre-Summary'!$AT$6:$AX$15,4,FALSE),"")</f>
        <v/>
      </c>
      <c r="F891">
        <f>IFERROR(VLOOKUP(B891,'Pre-Summary'!$AL$6:$AQ$13,6,FALSE),F890)</f>
        <v>5.9405263157894746E-2</v>
      </c>
      <c r="G891" t="str">
        <f>IFERROR(VLOOKUP(B891,'Pre-Summary'!$AE$6:$AJ$85,3,FALSE),"")</f>
        <v/>
      </c>
      <c r="H891" t="str">
        <f>IFERROR(VLOOKUP(B891,'Pre-Summary'!$AE$6:$AJ$85,4,FALSE),"")</f>
        <v/>
      </c>
      <c r="I891" t="str">
        <f>IFERROR(VLOOKUP(B891,'Pre-Summary'!$AE$6:$AJ$85,5,FALSE),"")</f>
        <v/>
      </c>
      <c r="J891" s="45" t="str">
        <f>IFERROR(VLOOKUP(B891,'Pre-Summary'!$AE$6:$AJ$85,6, FALSE),"")</f>
        <v/>
      </c>
      <c r="K891" s="45" t="str">
        <f>IFERROR(VLOOKUP(B891,'Pre-Summary'!$DE$6:$DG$61,3,FALSE),"")</f>
        <v/>
      </c>
      <c r="L891" s="45" t="str">
        <f>IFERROR(VLOOKUP(B891,'Pre-Summary'!$CU$6:$CW$36,3,FALSE),"")</f>
        <v/>
      </c>
      <c r="M891" s="45" t="str">
        <f>IFERROR(VLOOKUP(B891,'Pre-Summary'!$BW$6:$BY$58,2,FALSE),"")</f>
        <v/>
      </c>
      <c r="N891" s="45" t="str">
        <f>IFERROR(VLOOKUP(B891,'Pre-Summary'!$CD$6:$CF$64,2,FALSE),"")</f>
        <v/>
      </c>
      <c r="O891" s="99">
        <f>IFERROR(VLOOKUP(B891,'Pre-Summary'!$BO$6:$BQ$48,3, FALSE),O890)</f>
        <v>1.2</v>
      </c>
      <c r="P891" s="99">
        <f>IFERROR(VLOOKUP(B891,'Pre-Summary'!$BS$6:$BU$35,3,FALSE),P890)</f>
        <v>0.3</v>
      </c>
      <c r="Q891" s="54">
        <f t="shared" si="39"/>
        <v>4</v>
      </c>
      <c r="R891" s="53">
        <f>IFERROR(VLOOKUP(B891,'Pre-Summary'!$BG$6:$BM$44,7,FALSE),R892)</f>
        <v>6.4813973442575987E-2</v>
      </c>
      <c r="S891" s="53">
        <f>IFERROR(VLOOKUP(B891,'Pre-Summary'!$BG$6:$BM$44,6,FALSE),S892)</f>
        <v>9.4647776465945271E-2</v>
      </c>
      <c r="T891" s="45" t="str">
        <f>IFERROR(VLOOKUP(B891,'Pre-Summary'!$Y$6:$AC$83, 3,FALSE),"")</f>
        <v/>
      </c>
      <c r="U891" s="45" t="str">
        <f>IFERROR(VLOOKUP(B891,'Pre-Summary'!$Y$6:$AC$83, 4,FALSE),"")</f>
        <v/>
      </c>
      <c r="V891" t="str">
        <f>IFERROR(VLOOKUP(B891,'Pre-Summary'!$Y$6:$AC$83, 5,FALSE),"")</f>
        <v/>
      </c>
      <c r="W891" s="45" t="str">
        <f>IFERROR(VLOOKUP(B891,'Pre-Summary'!$Y$6:$AD$83,6,FALSE),"")</f>
        <v/>
      </c>
      <c r="X891" t="str">
        <f>IFERROR(VLOOKUP('Pre-Summary'!$DB$6:$DD$63,3,FALSE),"")</f>
        <v/>
      </c>
      <c r="Y891" t="str">
        <f>IFERROR(VLOOKUP(B891,'Pre-Summary'!$CR$6:$CT$36,3,FALSE),"")</f>
        <v/>
      </c>
      <c r="Z891" s="45" t="str">
        <f>IFERROR(VLOOKUP(B891,'Pre-Summary'!$BZ$6:$CB$63,2,FALSE),"")</f>
        <v/>
      </c>
      <c r="AA891" s="45" t="str">
        <f>IFERROR(VLOOKUP(B891,'Pre-Summary'!$CG$6:$CI$70,2,FALSE),"")</f>
        <v/>
      </c>
      <c r="AB891" s="99">
        <f>IFERROR(VLOOKUP(B891,'Pre-Summary'!$A$6:$P$178,9,FALSE),AB892)</f>
        <v>0.51107900307227605</v>
      </c>
      <c r="AC891" s="10">
        <f>IFERROR(VLOOKUP(Summary!B891,'Pre-Summary'!$A$6:$P$184,5, FALSE)/100,AC892)</f>
        <v>0.83335766666666655</v>
      </c>
      <c r="AD891" s="10">
        <f>IFERROR(VLOOKUP(Summary!B891,'Pre-Summary'!$A$6:$P$184,3, FALSE)/100,AD892)</f>
        <v>6.2578333333333333E-2</v>
      </c>
      <c r="AE891" s="10">
        <f>IFERROR(VLOOKUP(Summary!B891,'Pre-Summary'!$A$6:$P$184,7, FALSE)/100,AE892)</f>
        <v>0.10406399999999999</v>
      </c>
      <c r="AF891" s="99">
        <f t="shared" si="40"/>
        <v>3.1982472213924584E-2</v>
      </c>
      <c r="AG891" s="99">
        <f t="shared" si="41"/>
        <v>5.3184925375713329E-2</v>
      </c>
      <c r="AH891" s="10" t="str">
        <f>IFERROR(VLOOKUP(B891,'Pre-Summary'!$AZ$6:$BE$65,3,FALSE),"")</f>
        <v/>
      </c>
      <c r="AI891" s="10" t="str">
        <f>IFERROR(VLOOKUP(B891,'Pre-Summary'!$AZ$6:$BE$65,5,FALSE),"")</f>
        <v/>
      </c>
      <c r="AJ891" s="10" t="str">
        <f>IFERROR(VLOOKUP(B891,'Pre-Summary'!$AZ$6:$BE$65,4,FALSE),"")</f>
        <v/>
      </c>
      <c r="AK891" s="10" t="str">
        <f>IFERROR(VLOOKUP(B891,'Pre-Summary'!$AZ$6:$BE$65,6,FALSE),"")</f>
        <v/>
      </c>
      <c r="AL891" s="10" t="str">
        <f>IFERROR(VLOOKUP(B891,'Pre-Summary'!$BG$6:$BL$44,3,FALSE),"")</f>
        <v/>
      </c>
      <c r="AM891" s="10" t="str">
        <f>IFERROR(VLOOKUP(B891,'Pre-Summary'!$BG$6:$BL$44,4,FALSE),"")</f>
        <v/>
      </c>
    </row>
    <row r="892" spans="2:39" ht="15" customHeight="1" x14ac:dyDescent="0.3">
      <c r="B892">
        <v>88.9</v>
      </c>
      <c r="C892" t="str">
        <f>IFERROR(VLOOKUP(B892,'Pre-Summary'!$DI$6:$DM$23,4,FALSE),"")</f>
        <v/>
      </c>
      <c r="D892" s="10" t="str">
        <f>IFERROR(VLOOKUP(B892,'Pre-Summary'!$AT$6:$AX$14,5,FALSE),D891)</f>
        <v>DSMZ v2: Dropped Na-Ac out of DSMZ 120 media</v>
      </c>
      <c r="E892" s="10" t="str">
        <f>IFERROR(VLOOKUP(B892,'Pre-Summary'!$AT$6:$AX$15,4,FALSE),"")</f>
        <v/>
      </c>
      <c r="F892">
        <f>IFERROR(VLOOKUP(B892,'Pre-Summary'!$AL$6:$AQ$13,6,FALSE),F891)</f>
        <v>5.9405263157894746E-2</v>
      </c>
      <c r="G892" t="str">
        <f>IFERROR(VLOOKUP(B892,'Pre-Summary'!$AE$6:$AJ$85,3,FALSE),"")</f>
        <v/>
      </c>
      <c r="H892" t="str">
        <f>IFERROR(VLOOKUP(B892,'Pre-Summary'!$AE$6:$AJ$85,4,FALSE),"")</f>
        <v/>
      </c>
      <c r="I892" t="str">
        <f>IFERROR(VLOOKUP(B892,'Pre-Summary'!$AE$6:$AJ$85,5,FALSE),"")</f>
        <v/>
      </c>
      <c r="J892" s="45" t="str">
        <f>IFERROR(VLOOKUP(B892,'Pre-Summary'!$AE$6:$AJ$85,6, FALSE),"")</f>
        <v/>
      </c>
      <c r="K892" s="45" t="str">
        <f>IFERROR(VLOOKUP(B892,'Pre-Summary'!$DE$6:$DG$61,3,FALSE),"")</f>
        <v/>
      </c>
      <c r="L892" s="45" t="str">
        <f>IFERROR(VLOOKUP(B892,'Pre-Summary'!$CU$6:$CW$36,3,FALSE),"")</f>
        <v/>
      </c>
      <c r="M892" s="45" t="str">
        <f>IFERROR(VLOOKUP(B892,'Pre-Summary'!$BW$6:$BY$58,2,FALSE),"")</f>
        <v/>
      </c>
      <c r="N892" s="45" t="str">
        <f>IFERROR(VLOOKUP(B892,'Pre-Summary'!$CD$6:$CF$64,2,FALSE),"")</f>
        <v/>
      </c>
      <c r="O892" s="99">
        <f>IFERROR(VLOOKUP(B892,'Pre-Summary'!$BO$6:$BQ$48,3, FALSE),O891)</f>
        <v>1.2</v>
      </c>
      <c r="P892" s="99">
        <f>IFERROR(VLOOKUP(B892,'Pre-Summary'!$BS$6:$BU$35,3,FALSE),P891)</f>
        <v>0.3</v>
      </c>
      <c r="Q892" s="54">
        <f t="shared" si="39"/>
        <v>4</v>
      </c>
      <c r="R892" s="53">
        <f>IFERROR(VLOOKUP(B892,'Pre-Summary'!$BG$6:$BM$44,7,FALSE),R893)</f>
        <v>6.4813973442575987E-2</v>
      </c>
      <c r="S892" s="53">
        <f>IFERROR(VLOOKUP(B892,'Pre-Summary'!$BG$6:$BM$44,6,FALSE),S893)</f>
        <v>9.4647776465945271E-2</v>
      </c>
      <c r="T892" s="45" t="str">
        <f>IFERROR(VLOOKUP(B892,'Pre-Summary'!$Y$6:$AC$83, 3,FALSE),"")</f>
        <v/>
      </c>
      <c r="U892" s="45" t="str">
        <f>IFERROR(VLOOKUP(B892,'Pre-Summary'!$Y$6:$AC$83, 4,FALSE),"")</f>
        <v/>
      </c>
      <c r="V892" t="str">
        <f>IFERROR(VLOOKUP(B892,'Pre-Summary'!$Y$6:$AC$83, 5,FALSE),"")</f>
        <v/>
      </c>
      <c r="W892" s="45" t="str">
        <f>IFERROR(VLOOKUP(B892,'Pre-Summary'!$Y$6:$AD$83,6,FALSE),"")</f>
        <v/>
      </c>
      <c r="X892" t="str">
        <f>IFERROR(VLOOKUP('Pre-Summary'!$DB$6:$DD$63,3,FALSE),"")</f>
        <v/>
      </c>
      <c r="Y892" t="str">
        <f>IFERROR(VLOOKUP(B892,'Pre-Summary'!$CR$6:$CT$36,3,FALSE),"")</f>
        <v/>
      </c>
      <c r="Z892" s="45" t="str">
        <f>IFERROR(VLOOKUP(B892,'Pre-Summary'!$BZ$6:$CB$63,2,FALSE),"")</f>
        <v/>
      </c>
      <c r="AA892" s="45" t="str">
        <f>IFERROR(VLOOKUP(B892,'Pre-Summary'!$CG$6:$CI$70,2,FALSE),"")</f>
        <v/>
      </c>
      <c r="AB892" s="99">
        <f>IFERROR(VLOOKUP(B892,'Pre-Summary'!$A$6:$P$178,9,FALSE),AB893)</f>
        <v>0.51107900307227605</v>
      </c>
      <c r="AC892" s="10">
        <f>IFERROR(VLOOKUP(Summary!B892,'Pre-Summary'!$A$6:$P$184,5, FALSE)/100,AC893)</f>
        <v>0.83335766666666655</v>
      </c>
      <c r="AD892" s="10">
        <f>IFERROR(VLOOKUP(Summary!B892,'Pre-Summary'!$A$6:$P$184,3, FALSE)/100,AD893)</f>
        <v>6.2578333333333333E-2</v>
      </c>
      <c r="AE892" s="10">
        <f>IFERROR(VLOOKUP(Summary!B892,'Pre-Summary'!$A$6:$P$184,7, FALSE)/100,AE893)</f>
        <v>0.10406399999999999</v>
      </c>
      <c r="AF892" s="99">
        <f t="shared" si="40"/>
        <v>3.1982472213924584E-2</v>
      </c>
      <c r="AG892" s="99">
        <f t="shared" si="41"/>
        <v>5.3184925375713329E-2</v>
      </c>
      <c r="AH892" s="10" t="str">
        <f>IFERROR(VLOOKUP(B892,'Pre-Summary'!$AZ$6:$BE$65,3,FALSE),"")</f>
        <v/>
      </c>
      <c r="AI892" s="10" t="str">
        <f>IFERROR(VLOOKUP(B892,'Pre-Summary'!$AZ$6:$BE$65,5,FALSE),"")</f>
        <v/>
      </c>
      <c r="AJ892" s="10" t="str">
        <f>IFERROR(VLOOKUP(B892,'Pre-Summary'!$AZ$6:$BE$65,4,FALSE),"")</f>
        <v/>
      </c>
      <c r="AK892" s="10" t="str">
        <f>IFERROR(VLOOKUP(B892,'Pre-Summary'!$AZ$6:$BE$65,6,FALSE),"")</f>
        <v/>
      </c>
      <c r="AL892" s="10" t="str">
        <f>IFERROR(VLOOKUP(B892,'Pre-Summary'!$BG$6:$BL$44,3,FALSE),"")</f>
        <v/>
      </c>
      <c r="AM892" s="10" t="str">
        <f>IFERROR(VLOOKUP(B892,'Pre-Summary'!$BG$6:$BL$44,4,FALSE),"")</f>
        <v/>
      </c>
    </row>
    <row r="893" spans="2:39" ht="15" customHeight="1" x14ac:dyDescent="0.3">
      <c r="B893">
        <v>89</v>
      </c>
      <c r="C893" t="str">
        <f>IFERROR(VLOOKUP(B893,'Pre-Summary'!$DI$6:$DM$23,4,FALSE),"")</f>
        <v/>
      </c>
      <c r="D893" s="10" t="str">
        <f>IFERROR(VLOOKUP(B893,'Pre-Summary'!$AT$6:$AX$14,5,FALSE),D892)</f>
        <v>DSMZ v2: Dropped Na-Ac out of DSMZ 120 media</v>
      </c>
      <c r="E893" s="10" t="str">
        <f>IFERROR(VLOOKUP(B893,'Pre-Summary'!$AT$6:$AX$15,4,FALSE),"")</f>
        <v/>
      </c>
      <c r="F893">
        <f>IFERROR(VLOOKUP(B893,'Pre-Summary'!$AL$6:$AQ$13,6,FALSE),F892)</f>
        <v>5.9405263157894746E-2</v>
      </c>
      <c r="G893" t="str">
        <f>IFERROR(VLOOKUP(B893,'Pre-Summary'!$AE$6:$AJ$85,3,FALSE),"")</f>
        <v/>
      </c>
      <c r="H893" t="str">
        <f>IFERROR(VLOOKUP(B893,'Pre-Summary'!$AE$6:$AJ$85,4,FALSE),"")</f>
        <v/>
      </c>
      <c r="I893" t="str">
        <f>IFERROR(VLOOKUP(B893,'Pre-Summary'!$AE$6:$AJ$85,5,FALSE),"")</f>
        <v/>
      </c>
      <c r="J893" s="45" t="str">
        <f>IFERROR(VLOOKUP(B893,'Pre-Summary'!$AE$6:$AJ$85,6, FALSE),"")</f>
        <v/>
      </c>
      <c r="K893" s="45" t="str">
        <f>IFERROR(VLOOKUP(B893,'Pre-Summary'!$DE$6:$DG$61,3,FALSE),"")</f>
        <v/>
      </c>
      <c r="L893" s="45" t="str">
        <f>IFERROR(VLOOKUP(B893,'Pre-Summary'!$CU$6:$CW$36,3,FALSE),"")</f>
        <v/>
      </c>
      <c r="M893" s="45" t="str">
        <f>IFERROR(VLOOKUP(B893,'Pre-Summary'!$BW$6:$BY$58,2,FALSE),"")</f>
        <v/>
      </c>
      <c r="N893" s="45" t="str">
        <f>IFERROR(VLOOKUP(B893,'Pre-Summary'!$CD$6:$CF$64,2,FALSE),"")</f>
        <v/>
      </c>
      <c r="O893" s="99">
        <f>IFERROR(VLOOKUP(B893,'Pre-Summary'!$BO$6:$BQ$48,3, FALSE),O892)</f>
        <v>1.2</v>
      </c>
      <c r="P893" s="99">
        <f>IFERROR(VLOOKUP(B893,'Pre-Summary'!$BS$6:$BU$35,3,FALSE),P892)</f>
        <v>0.3</v>
      </c>
      <c r="Q893" s="54">
        <f t="shared" si="39"/>
        <v>4</v>
      </c>
      <c r="R893" s="53">
        <f>IFERROR(VLOOKUP(B893,'Pre-Summary'!$BG$6:$BM$44,7,FALSE),R894)</f>
        <v>6.4813973442575987E-2</v>
      </c>
      <c r="S893" s="53">
        <f>IFERROR(VLOOKUP(B893,'Pre-Summary'!$BG$6:$BM$44,6,FALSE),S894)</f>
        <v>9.4647776465945271E-2</v>
      </c>
      <c r="T893" s="45" t="str">
        <f>IFERROR(VLOOKUP(B893,'Pre-Summary'!$Y$6:$AC$83, 3,FALSE),"")</f>
        <v/>
      </c>
      <c r="U893" s="45" t="str">
        <f>IFERROR(VLOOKUP(B893,'Pre-Summary'!$Y$6:$AC$83, 4,FALSE),"")</f>
        <v/>
      </c>
      <c r="V893" t="str">
        <f>IFERROR(VLOOKUP(B893,'Pre-Summary'!$Y$6:$AC$83, 5,FALSE),"")</f>
        <v/>
      </c>
      <c r="W893" s="45" t="str">
        <f>IFERROR(VLOOKUP(B893,'Pre-Summary'!$Y$6:$AD$83,6,FALSE),"")</f>
        <v/>
      </c>
      <c r="X893" t="str">
        <f>IFERROR(VLOOKUP('Pre-Summary'!$DB$6:$DD$63,3,FALSE),"")</f>
        <v/>
      </c>
      <c r="Y893" t="str">
        <f>IFERROR(VLOOKUP(B893,'Pre-Summary'!$CR$6:$CT$36,3,FALSE),"")</f>
        <v/>
      </c>
      <c r="Z893" s="45" t="str">
        <f>IFERROR(VLOOKUP(B893,'Pre-Summary'!$BZ$6:$CB$63,2,FALSE),"")</f>
        <v/>
      </c>
      <c r="AA893" s="45" t="str">
        <f>IFERROR(VLOOKUP(B893,'Pre-Summary'!$CG$6:$CI$70,2,FALSE),"")</f>
        <v/>
      </c>
      <c r="AB893" s="99">
        <f>IFERROR(VLOOKUP(B893,'Pre-Summary'!$A$6:$P$178,9,FALSE),AB894)</f>
        <v>0.51107900307227605</v>
      </c>
      <c r="AC893" s="10">
        <f>IFERROR(VLOOKUP(Summary!B893,'Pre-Summary'!$A$6:$P$184,5, FALSE)/100,AC894)</f>
        <v>0.83335766666666655</v>
      </c>
      <c r="AD893" s="10">
        <f>IFERROR(VLOOKUP(Summary!B893,'Pre-Summary'!$A$6:$P$184,3, FALSE)/100,AD894)</f>
        <v>6.2578333333333333E-2</v>
      </c>
      <c r="AE893" s="10">
        <f>IFERROR(VLOOKUP(Summary!B893,'Pre-Summary'!$A$6:$P$184,7, FALSE)/100,AE894)</f>
        <v>0.10406399999999999</v>
      </c>
      <c r="AF893" s="99">
        <f t="shared" si="40"/>
        <v>3.1982472213924584E-2</v>
      </c>
      <c r="AG893" s="99">
        <f t="shared" si="41"/>
        <v>5.3184925375713329E-2</v>
      </c>
      <c r="AH893" s="10" t="str">
        <f>IFERROR(VLOOKUP(B893,'Pre-Summary'!$AZ$6:$BE$65,3,FALSE),"")</f>
        <v/>
      </c>
      <c r="AI893" s="10" t="str">
        <f>IFERROR(VLOOKUP(B893,'Pre-Summary'!$AZ$6:$BE$65,5,FALSE),"")</f>
        <v/>
      </c>
      <c r="AJ893" s="10" t="str">
        <f>IFERROR(VLOOKUP(B893,'Pre-Summary'!$AZ$6:$BE$65,4,FALSE),"")</f>
        <v/>
      </c>
      <c r="AK893" s="10" t="str">
        <f>IFERROR(VLOOKUP(B893,'Pre-Summary'!$AZ$6:$BE$65,6,FALSE),"")</f>
        <v/>
      </c>
      <c r="AL893" s="10" t="str">
        <f>IFERROR(VLOOKUP(B893,'Pre-Summary'!$BG$6:$BL$44,3,FALSE),"")</f>
        <v/>
      </c>
      <c r="AM893" s="10" t="str">
        <f>IFERROR(VLOOKUP(B893,'Pre-Summary'!$BG$6:$BL$44,4,FALSE),"")</f>
        <v/>
      </c>
    </row>
    <row r="894" spans="2:39" ht="15" customHeight="1" x14ac:dyDescent="0.3">
      <c r="B894">
        <v>89.1</v>
      </c>
      <c r="C894" t="str">
        <f>IFERROR(VLOOKUP(B894,'Pre-Summary'!$DI$6:$DM$23,4,FALSE),"")</f>
        <v/>
      </c>
      <c r="D894" s="10" t="str">
        <f>IFERROR(VLOOKUP(B894,'Pre-Summary'!$AT$6:$AX$14,5,FALSE),D893)</f>
        <v>DSMZ v2: Dropped Na-Ac out of DSMZ 120 media</v>
      </c>
      <c r="E894" s="10" t="str">
        <f>IFERROR(VLOOKUP(B894,'Pre-Summary'!$AT$6:$AX$15,4,FALSE),"")</f>
        <v/>
      </c>
      <c r="F894">
        <f>IFERROR(VLOOKUP(B894,'Pre-Summary'!$AL$6:$AQ$13,6,FALSE),F893)</f>
        <v>5.9405263157894746E-2</v>
      </c>
      <c r="G894" t="str">
        <f>IFERROR(VLOOKUP(B894,'Pre-Summary'!$AE$6:$AJ$85,3,FALSE),"")</f>
        <v/>
      </c>
      <c r="H894" t="str">
        <f>IFERROR(VLOOKUP(B894,'Pre-Summary'!$AE$6:$AJ$85,4,FALSE),"")</f>
        <v/>
      </c>
      <c r="I894" t="str">
        <f>IFERROR(VLOOKUP(B894,'Pre-Summary'!$AE$6:$AJ$85,5,FALSE),"")</f>
        <v/>
      </c>
      <c r="J894" s="45" t="str">
        <f>IFERROR(VLOOKUP(B894,'Pre-Summary'!$AE$6:$AJ$85,6, FALSE),"")</f>
        <v/>
      </c>
      <c r="K894" s="45" t="str">
        <f>IFERROR(VLOOKUP(B894,'Pre-Summary'!$DE$6:$DG$61,3,FALSE),"")</f>
        <v/>
      </c>
      <c r="L894" s="45" t="str">
        <f>IFERROR(VLOOKUP(B894,'Pre-Summary'!$CU$6:$CW$36,3,FALSE),"")</f>
        <v/>
      </c>
      <c r="M894" s="45" t="str">
        <f>IFERROR(VLOOKUP(B894,'Pre-Summary'!$BW$6:$BY$58,2,FALSE),"")</f>
        <v/>
      </c>
      <c r="N894" s="45" t="str">
        <f>IFERROR(VLOOKUP(B894,'Pre-Summary'!$CD$6:$CF$64,2,FALSE),"")</f>
        <v/>
      </c>
      <c r="O894" s="99">
        <f>IFERROR(VLOOKUP(B894,'Pre-Summary'!$BO$6:$BQ$48,3, FALSE),O893)</f>
        <v>1.2</v>
      </c>
      <c r="P894" s="99">
        <f>IFERROR(VLOOKUP(B894,'Pre-Summary'!$BS$6:$BU$35,3,FALSE),P893)</f>
        <v>0.3</v>
      </c>
      <c r="Q894" s="54">
        <f t="shared" si="39"/>
        <v>4</v>
      </c>
      <c r="R894" s="53">
        <f>IFERROR(VLOOKUP(B894,'Pre-Summary'!$BG$6:$BM$44,7,FALSE),R895)</f>
        <v>6.4813973442575987E-2</v>
      </c>
      <c r="S894" s="53">
        <f>IFERROR(VLOOKUP(B894,'Pre-Summary'!$BG$6:$BM$44,6,FALSE),S895)</f>
        <v>9.4647776465945271E-2</v>
      </c>
      <c r="T894" s="45" t="str">
        <f>IFERROR(VLOOKUP(B894,'Pre-Summary'!$Y$6:$AC$83, 3,FALSE),"")</f>
        <v/>
      </c>
      <c r="U894" s="45" t="str">
        <f>IFERROR(VLOOKUP(B894,'Pre-Summary'!$Y$6:$AC$83, 4,FALSE),"")</f>
        <v/>
      </c>
      <c r="V894" t="str">
        <f>IFERROR(VLOOKUP(B894,'Pre-Summary'!$Y$6:$AC$83, 5,FALSE),"")</f>
        <v/>
      </c>
      <c r="W894" s="45" t="str">
        <f>IFERROR(VLOOKUP(B894,'Pre-Summary'!$Y$6:$AD$83,6,FALSE),"")</f>
        <v/>
      </c>
      <c r="X894" t="str">
        <f>IFERROR(VLOOKUP('Pre-Summary'!$DB$6:$DD$63,3,FALSE),"")</f>
        <v/>
      </c>
      <c r="Y894" t="str">
        <f>IFERROR(VLOOKUP(B894,'Pre-Summary'!$CR$6:$CT$36,3,FALSE),"")</f>
        <v/>
      </c>
      <c r="Z894" s="45" t="str">
        <f>IFERROR(VLOOKUP(B894,'Pre-Summary'!$BZ$6:$CB$63,2,FALSE),"")</f>
        <v/>
      </c>
      <c r="AA894" s="45" t="str">
        <f>IFERROR(VLOOKUP(B894,'Pre-Summary'!$CG$6:$CI$70,2,FALSE),"")</f>
        <v/>
      </c>
      <c r="AB894" s="99">
        <f>IFERROR(VLOOKUP(B894,'Pre-Summary'!$A$6:$P$178,9,FALSE),AB895)</f>
        <v>0.51107900307227605</v>
      </c>
      <c r="AC894" s="10">
        <f>IFERROR(VLOOKUP(Summary!B894,'Pre-Summary'!$A$6:$P$184,5, FALSE)/100,AC895)</f>
        <v>0.83335766666666655</v>
      </c>
      <c r="AD894" s="10">
        <f>IFERROR(VLOOKUP(Summary!B894,'Pre-Summary'!$A$6:$P$184,3, FALSE)/100,AD895)</f>
        <v>6.2578333333333333E-2</v>
      </c>
      <c r="AE894" s="10">
        <f>IFERROR(VLOOKUP(Summary!B894,'Pre-Summary'!$A$6:$P$184,7, FALSE)/100,AE895)</f>
        <v>0.10406399999999999</v>
      </c>
      <c r="AF894" s="99">
        <f t="shared" si="40"/>
        <v>3.1982472213924584E-2</v>
      </c>
      <c r="AG894" s="99">
        <f t="shared" si="41"/>
        <v>5.3184925375713329E-2</v>
      </c>
      <c r="AH894" s="10" t="str">
        <f>IFERROR(VLOOKUP(B894,'Pre-Summary'!$AZ$6:$BE$65,3,FALSE),"")</f>
        <v/>
      </c>
      <c r="AI894" s="10" t="str">
        <f>IFERROR(VLOOKUP(B894,'Pre-Summary'!$AZ$6:$BE$65,5,FALSE),"")</f>
        <v/>
      </c>
      <c r="AJ894" s="10" t="str">
        <f>IFERROR(VLOOKUP(B894,'Pre-Summary'!$AZ$6:$BE$65,4,FALSE),"")</f>
        <v/>
      </c>
      <c r="AK894" s="10" t="str">
        <f>IFERROR(VLOOKUP(B894,'Pre-Summary'!$AZ$6:$BE$65,6,FALSE),"")</f>
        <v/>
      </c>
      <c r="AL894" s="10" t="str">
        <f>IFERROR(VLOOKUP(B894,'Pre-Summary'!$BG$6:$BL$44,3,FALSE),"")</f>
        <v/>
      </c>
      <c r="AM894" s="10" t="str">
        <f>IFERROR(VLOOKUP(B894,'Pre-Summary'!$BG$6:$BL$44,4,FALSE),"")</f>
        <v/>
      </c>
    </row>
    <row r="895" spans="2:39" ht="15" customHeight="1" x14ac:dyDescent="0.3">
      <c r="B895">
        <v>89.2</v>
      </c>
      <c r="C895" t="str">
        <f>IFERROR(VLOOKUP(B895,'Pre-Summary'!$DI$6:$DM$23,4,FALSE),"")</f>
        <v/>
      </c>
      <c r="D895" s="10" t="str">
        <f>IFERROR(VLOOKUP(B895,'Pre-Summary'!$AT$6:$AX$14,5,FALSE),D894)</f>
        <v>DSMZ v2: Dropped Na-Ac out of DSMZ 120 media</v>
      </c>
      <c r="E895" s="10" t="str">
        <f>IFERROR(VLOOKUP(B895,'Pre-Summary'!$AT$6:$AX$15,4,FALSE),"")</f>
        <v/>
      </c>
      <c r="F895">
        <f>IFERROR(VLOOKUP(B895,'Pre-Summary'!$AL$6:$AQ$13,6,FALSE),F894)</f>
        <v>5.9405263157894746E-2</v>
      </c>
      <c r="G895" t="str">
        <f>IFERROR(VLOOKUP(B895,'Pre-Summary'!$AE$6:$AJ$85,3,FALSE),"")</f>
        <v/>
      </c>
      <c r="H895" t="str">
        <f>IFERROR(VLOOKUP(B895,'Pre-Summary'!$AE$6:$AJ$85,4,FALSE),"")</f>
        <v/>
      </c>
      <c r="I895" t="str">
        <f>IFERROR(VLOOKUP(B895,'Pre-Summary'!$AE$6:$AJ$85,5,FALSE),"")</f>
        <v/>
      </c>
      <c r="J895" s="45" t="str">
        <f>IFERROR(VLOOKUP(B895,'Pre-Summary'!$AE$6:$AJ$85,6, FALSE),"")</f>
        <v/>
      </c>
      <c r="K895" s="45" t="str">
        <f>IFERROR(VLOOKUP(B895,'Pre-Summary'!$DE$6:$DG$61,3,FALSE),"")</f>
        <v/>
      </c>
      <c r="L895" s="45" t="str">
        <f>IFERROR(VLOOKUP(B895,'Pre-Summary'!$CU$6:$CW$36,3,FALSE),"")</f>
        <v/>
      </c>
      <c r="M895" s="45" t="str">
        <f>IFERROR(VLOOKUP(B895,'Pre-Summary'!$BW$6:$BY$58,2,FALSE),"")</f>
        <v/>
      </c>
      <c r="N895" s="45" t="str">
        <f>IFERROR(VLOOKUP(B895,'Pre-Summary'!$CD$6:$CF$64,2,FALSE),"")</f>
        <v/>
      </c>
      <c r="O895" s="99">
        <f>IFERROR(VLOOKUP(B895,'Pre-Summary'!$BO$6:$BQ$48,3, FALSE),O894)</f>
        <v>1.2</v>
      </c>
      <c r="P895" s="99">
        <f>IFERROR(VLOOKUP(B895,'Pre-Summary'!$BS$6:$BU$35,3,FALSE),P894)</f>
        <v>0.3</v>
      </c>
      <c r="Q895" s="54">
        <f t="shared" si="39"/>
        <v>4</v>
      </c>
      <c r="R895" s="53">
        <f>IFERROR(VLOOKUP(B895,'Pre-Summary'!$BG$6:$BM$44,7,FALSE),R896)</f>
        <v>6.4813973442575987E-2</v>
      </c>
      <c r="S895" s="53">
        <f>IFERROR(VLOOKUP(B895,'Pre-Summary'!$BG$6:$BM$44,6,FALSE),S896)</f>
        <v>9.4647776465945271E-2</v>
      </c>
      <c r="T895" s="45" t="str">
        <f>IFERROR(VLOOKUP(B895,'Pre-Summary'!$Y$6:$AC$83, 3,FALSE),"")</f>
        <v/>
      </c>
      <c r="U895" s="45" t="str">
        <f>IFERROR(VLOOKUP(B895,'Pre-Summary'!$Y$6:$AC$83, 4,FALSE),"")</f>
        <v/>
      </c>
      <c r="V895" t="str">
        <f>IFERROR(VLOOKUP(B895,'Pre-Summary'!$Y$6:$AC$83, 5,FALSE),"")</f>
        <v/>
      </c>
      <c r="W895" s="45" t="str">
        <f>IFERROR(VLOOKUP(B895,'Pre-Summary'!$Y$6:$AD$83,6,FALSE),"")</f>
        <v/>
      </c>
      <c r="X895" t="str">
        <f>IFERROR(VLOOKUP('Pre-Summary'!$DB$6:$DD$63,3,FALSE),"")</f>
        <v/>
      </c>
      <c r="Y895" t="str">
        <f>IFERROR(VLOOKUP(B895,'Pre-Summary'!$CR$6:$CT$36,3,FALSE),"")</f>
        <v/>
      </c>
      <c r="Z895" s="45" t="str">
        <f>IFERROR(VLOOKUP(B895,'Pre-Summary'!$BZ$6:$CB$63,2,FALSE),"")</f>
        <v/>
      </c>
      <c r="AA895" s="45" t="str">
        <f>IFERROR(VLOOKUP(B895,'Pre-Summary'!$CG$6:$CI$70,2,FALSE),"")</f>
        <v/>
      </c>
      <c r="AB895" s="99">
        <f>IFERROR(VLOOKUP(B895,'Pre-Summary'!$A$6:$P$178,9,FALSE),AB896)</f>
        <v>0.51107900307227605</v>
      </c>
      <c r="AC895" s="10">
        <f>IFERROR(VLOOKUP(Summary!B895,'Pre-Summary'!$A$6:$P$184,5, FALSE)/100,AC896)</f>
        <v>0.83335766666666655</v>
      </c>
      <c r="AD895" s="10">
        <f>IFERROR(VLOOKUP(Summary!B895,'Pre-Summary'!$A$6:$P$184,3, FALSE)/100,AD896)</f>
        <v>6.2578333333333333E-2</v>
      </c>
      <c r="AE895" s="10">
        <f>IFERROR(VLOOKUP(Summary!B895,'Pre-Summary'!$A$6:$P$184,7, FALSE)/100,AE896)</f>
        <v>0.10406399999999999</v>
      </c>
      <c r="AF895" s="99">
        <f t="shared" si="40"/>
        <v>3.1982472213924584E-2</v>
      </c>
      <c r="AG895" s="99">
        <f t="shared" si="41"/>
        <v>5.3184925375713329E-2</v>
      </c>
      <c r="AH895" s="10" t="str">
        <f>IFERROR(VLOOKUP(B895,'Pre-Summary'!$AZ$6:$BE$65,3,FALSE),"")</f>
        <v/>
      </c>
      <c r="AI895" s="10" t="str">
        <f>IFERROR(VLOOKUP(B895,'Pre-Summary'!$AZ$6:$BE$65,5,FALSE),"")</f>
        <v/>
      </c>
      <c r="AJ895" s="10" t="str">
        <f>IFERROR(VLOOKUP(B895,'Pre-Summary'!$AZ$6:$BE$65,4,FALSE),"")</f>
        <v/>
      </c>
      <c r="AK895" s="10" t="str">
        <f>IFERROR(VLOOKUP(B895,'Pre-Summary'!$AZ$6:$BE$65,6,FALSE),"")</f>
        <v/>
      </c>
      <c r="AL895" s="10" t="str">
        <f>IFERROR(VLOOKUP(B895,'Pre-Summary'!$BG$6:$BL$44,3,FALSE),"")</f>
        <v/>
      </c>
      <c r="AM895" s="10" t="str">
        <f>IFERROR(VLOOKUP(B895,'Pre-Summary'!$BG$6:$BL$44,4,FALSE),"")</f>
        <v/>
      </c>
    </row>
    <row r="896" spans="2:39" ht="15" customHeight="1" x14ac:dyDescent="0.3">
      <c r="B896">
        <v>89.3</v>
      </c>
      <c r="C896" t="str">
        <f>IFERROR(VLOOKUP(B896,'Pre-Summary'!$DI$6:$DM$23,4,FALSE),"")</f>
        <v/>
      </c>
      <c r="D896" s="10" t="str">
        <f>IFERROR(VLOOKUP(B896,'Pre-Summary'!$AT$6:$AX$14,5,FALSE),D895)</f>
        <v>DSMZ v2: Dropped Na-Ac out of DSMZ 120 media</v>
      </c>
      <c r="E896" s="10" t="str">
        <f>IFERROR(VLOOKUP(B896,'Pre-Summary'!$AT$6:$AX$15,4,FALSE),"")</f>
        <v/>
      </c>
      <c r="F896">
        <f>IFERROR(VLOOKUP(B896,'Pre-Summary'!$AL$6:$AQ$13,6,FALSE),F895)</f>
        <v>5.9405263157894746E-2</v>
      </c>
      <c r="G896" t="str">
        <f>IFERROR(VLOOKUP(B896,'Pre-Summary'!$AE$6:$AJ$85,3,FALSE),"")</f>
        <v/>
      </c>
      <c r="H896" t="str">
        <f>IFERROR(VLOOKUP(B896,'Pre-Summary'!$AE$6:$AJ$85,4,FALSE),"")</f>
        <v/>
      </c>
      <c r="I896" t="str">
        <f>IFERROR(VLOOKUP(B896,'Pre-Summary'!$AE$6:$AJ$85,5,FALSE),"")</f>
        <v/>
      </c>
      <c r="J896" s="45" t="str">
        <f>IFERROR(VLOOKUP(B896,'Pre-Summary'!$AE$6:$AJ$85,6, FALSE),"")</f>
        <v/>
      </c>
      <c r="K896" s="45" t="str">
        <f>IFERROR(VLOOKUP(B896,'Pre-Summary'!$DE$6:$DG$61,3,FALSE),"")</f>
        <v/>
      </c>
      <c r="L896" s="45" t="str">
        <f>IFERROR(VLOOKUP(B896,'Pre-Summary'!$CU$6:$CW$36,3,FALSE),"")</f>
        <v/>
      </c>
      <c r="M896" s="45" t="str">
        <f>IFERROR(VLOOKUP(B896,'Pre-Summary'!$BW$6:$BY$58,2,FALSE),"")</f>
        <v/>
      </c>
      <c r="N896" s="45" t="str">
        <f>IFERROR(VLOOKUP(B896,'Pre-Summary'!$CD$6:$CF$64,2,FALSE),"")</f>
        <v/>
      </c>
      <c r="O896" s="99">
        <f>IFERROR(VLOOKUP(B896,'Pre-Summary'!$BO$6:$BQ$48,3, FALSE),O895)</f>
        <v>1.2</v>
      </c>
      <c r="P896" s="99">
        <f>IFERROR(VLOOKUP(B896,'Pre-Summary'!$BS$6:$BU$35,3,FALSE),P895)</f>
        <v>0.3</v>
      </c>
      <c r="Q896" s="54">
        <f t="shared" si="39"/>
        <v>4</v>
      </c>
      <c r="R896" s="53">
        <f>IFERROR(VLOOKUP(B896,'Pre-Summary'!$BG$6:$BM$44,7,FALSE),R897)</f>
        <v>6.4813973442575987E-2</v>
      </c>
      <c r="S896" s="53">
        <f>IFERROR(VLOOKUP(B896,'Pre-Summary'!$BG$6:$BM$44,6,FALSE),S897)</f>
        <v>9.4647776465945271E-2</v>
      </c>
      <c r="T896" s="45" t="str">
        <f>IFERROR(VLOOKUP(B896,'Pre-Summary'!$Y$6:$AC$83, 3,FALSE),"")</f>
        <v/>
      </c>
      <c r="U896" s="45" t="str">
        <f>IFERROR(VLOOKUP(B896,'Pre-Summary'!$Y$6:$AC$83, 4,FALSE),"")</f>
        <v/>
      </c>
      <c r="V896" t="str">
        <f>IFERROR(VLOOKUP(B896,'Pre-Summary'!$Y$6:$AC$83, 5,FALSE),"")</f>
        <v/>
      </c>
      <c r="W896" s="45" t="str">
        <f>IFERROR(VLOOKUP(B896,'Pre-Summary'!$Y$6:$AD$83,6,FALSE),"")</f>
        <v/>
      </c>
      <c r="X896" t="str">
        <f>IFERROR(VLOOKUP('Pre-Summary'!$DB$6:$DD$63,3,FALSE),"")</f>
        <v/>
      </c>
      <c r="Y896" t="str">
        <f>IFERROR(VLOOKUP(B896,'Pre-Summary'!$CR$6:$CT$36,3,FALSE),"")</f>
        <v/>
      </c>
      <c r="Z896" s="45" t="str">
        <f>IFERROR(VLOOKUP(B896,'Pre-Summary'!$BZ$6:$CB$63,2,FALSE),"")</f>
        <v/>
      </c>
      <c r="AA896" s="45" t="str">
        <f>IFERROR(VLOOKUP(B896,'Pre-Summary'!$CG$6:$CI$70,2,FALSE),"")</f>
        <v/>
      </c>
      <c r="AB896" s="99">
        <f>IFERROR(VLOOKUP(B896,'Pre-Summary'!$A$6:$P$178,9,FALSE),AB897)</f>
        <v>0.51107900307227605</v>
      </c>
      <c r="AC896" s="10">
        <f>IFERROR(VLOOKUP(Summary!B896,'Pre-Summary'!$A$6:$P$184,5, FALSE)/100,AC897)</f>
        <v>0.83335766666666655</v>
      </c>
      <c r="AD896" s="10">
        <f>IFERROR(VLOOKUP(Summary!B896,'Pre-Summary'!$A$6:$P$184,3, FALSE)/100,AD897)</f>
        <v>6.2578333333333333E-2</v>
      </c>
      <c r="AE896" s="10">
        <f>IFERROR(VLOOKUP(Summary!B896,'Pre-Summary'!$A$6:$P$184,7, FALSE)/100,AE897)</f>
        <v>0.10406399999999999</v>
      </c>
      <c r="AF896" s="99">
        <f t="shared" si="40"/>
        <v>3.1982472213924584E-2</v>
      </c>
      <c r="AG896" s="99">
        <f t="shared" si="41"/>
        <v>5.3184925375713329E-2</v>
      </c>
      <c r="AH896" s="10" t="str">
        <f>IFERROR(VLOOKUP(B896,'Pre-Summary'!$AZ$6:$BE$65,3,FALSE),"")</f>
        <v/>
      </c>
      <c r="AI896" s="10" t="str">
        <f>IFERROR(VLOOKUP(B896,'Pre-Summary'!$AZ$6:$BE$65,5,FALSE),"")</f>
        <v/>
      </c>
      <c r="AJ896" s="10" t="str">
        <f>IFERROR(VLOOKUP(B896,'Pre-Summary'!$AZ$6:$BE$65,4,FALSE),"")</f>
        <v/>
      </c>
      <c r="AK896" s="10" t="str">
        <f>IFERROR(VLOOKUP(B896,'Pre-Summary'!$AZ$6:$BE$65,6,FALSE),"")</f>
        <v/>
      </c>
      <c r="AL896" s="10" t="str">
        <f>IFERROR(VLOOKUP(B896,'Pre-Summary'!$BG$6:$BL$44,3,FALSE),"")</f>
        <v/>
      </c>
      <c r="AM896" s="10" t="str">
        <f>IFERROR(VLOOKUP(B896,'Pre-Summary'!$BG$6:$BL$44,4,FALSE),"")</f>
        <v/>
      </c>
    </row>
    <row r="897" spans="2:39" ht="15" customHeight="1" x14ac:dyDescent="0.3">
      <c r="B897">
        <v>89.4</v>
      </c>
      <c r="C897" t="str">
        <f>IFERROR(VLOOKUP(B897,'Pre-Summary'!$DI$6:$DM$23,4,FALSE),"")</f>
        <v/>
      </c>
      <c r="D897" s="10" t="str">
        <f>IFERROR(VLOOKUP(B897,'Pre-Summary'!$AT$6:$AX$14,5,FALSE),D896)</f>
        <v>DSMZ v2: Dropped Na-Ac out of DSMZ 120 media</v>
      </c>
      <c r="E897" s="10" t="str">
        <f>IFERROR(VLOOKUP(B897,'Pre-Summary'!$AT$6:$AX$15,4,FALSE),"")</f>
        <v/>
      </c>
      <c r="F897">
        <f>IFERROR(VLOOKUP(B897,'Pre-Summary'!$AL$6:$AQ$13,6,FALSE),F896)</f>
        <v>5.9405263157894746E-2</v>
      </c>
      <c r="G897" t="str">
        <f>IFERROR(VLOOKUP(B897,'Pre-Summary'!$AE$6:$AJ$85,3,FALSE),"")</f>
        <v/>
      </c>
      <c r="H897" t="str">
        <f>IFERROR(VLOOKUP(B897,'Pre-Summary'!$AE$6:$AJ$85,4,FALSE),"")</f>
        <v/>
      </c>
      <c r="I897" t="str">
        <f>IFERROR(VLOOKUP(B897,'Pre-Summary'!$AE$6:$AJ$85,5,FALSE),"")</f>
        <v/>
      </c>
      <c r="J897" s="45" t="str">
        <f>IFERROR(VLOOKUP(B897,'Pre-Summary'!$AE$6:$AJ$85,6, FALSE),"")</f>
        <v/>
      </c>
      <c r="K897" s="45" t="str">
        <f>IFERROR(VLOOKUP(B897,'Pre-Summary'!$DE$6:$DG$61,3,FALSE),"")</f>
        <v/>
      </c>
      <c r="L897" s="45" t="str">
        <f>IFERROR(VLOOKUP(B897,'Pre-Summary'!$CU$6:$CW$36,3,FALSE),"")</f>
        <v/>
      </c>
      <c r="M897" s="45" t="str">
        <f>IFERROR(VLOOKUP(B897,'Pre-Summary'!$BW$6:$BY$58,2,FALSE),"")</f>
        <v/>
      </c>
      <c r="N897" s="45" t="str">
        <f>IFERROR(VLOOKUP(B897,'Pre-Summary'!$CD$6:$CF$64,2,FALSE),"")</f>
        <v/>
      </c>
      <c r="O897" s="99">
        <f>IFERROR(VLOOKUP(B897,'Pre-Summary'!$BO$6:$BQ$48,3, FALSE),O896)</f>
        <v>1.2</v>
      </c>
      <c r="P897" s="99">
        <f>IFERROR(VLOOKUP(B897,'Pre-Summary'!$BS$6:$BU$35,3,FALSE),P896)</f>
        <v>0.3</v>
      </c>
      <c r="Q897" s="54">
        <f t="shared" si="39"/>
        <v>4</v>
      </c>
      <c r="R897" s="53">
        <f>IFERROR(VLOOKUP(B897,'Pre-Summary'!$BG$6:$BM$44,7,FALSE),R898)</f>
        <v>6.4813973442575987E-2</v>
      </c>
      <c r="S897" s="53">
        <f>IFERROR(VLOOKUP(B897,'Pre-Summary'!$BG$6:$BM$44,6,FALSE),S898)</f>
        <v>9.4647776465945271E-2</v>
      </c>
      <c r="T897" s="45" t="str">
        <f>IFERROR(VLOOKUP(B897,'Pre-Summary'!$Y$6:$AC$83, 3,FALSE),"")</f>
        <v/>
      </c>
      <c r="U897" s="45" t="str">
        <f>IFERROR(VLOOKUP(B897,'Pre-Summary'!$Y$6:$AC$83, 4,FALSE),"")</f>
        <v/>
      </c>
      <c r="V897" t="str">
        <f>IFERROR(VLOOKUP(B897,'Pre-Summary'!$Y$6:$AC$83, 5,FALSE),"")</f>
        <v/>
      </c>
      <c r="W897" s="45" t="str">
        <f>IFERROR(VLOOKUP(B897,'Pre-Summary'!$Y$6:$AD$83,6,FALSE),"")</f>
        <v/>
      </c>
      <c r="X897" t="str">
        <f>IFERROR(VLOOKUP('Pre-Summary'!$DB$6:$DD$63,3,FALSE),"")</f>
        <v/>
      </c>
      <c r="Y897" t="str">
        <f>IFERROR(VLOOKUP(B897,'Pre-Summary'!$CR$6:$CT$36,3,FALSE),"")</f>
        <v/>
      </c>
      <c r="Z897" s="45" t="str">
        <f>IFERROR(VLOOKUP(B897,'Pre-Summary'!$BZ$6:$CB$63,2,FALSE),"")</f>
        <v/>
      </c>
      <c r="AA897" s="45" t="str">
        <f>IFERROR(VLOOKUP(B897,'Pre-Summary'!$CG$6:$CI$70,2,FALSE),"")</f>
        <v/>
      </c>
      <c r="AB897" s="99">
        <f>IFERROR(VLOOKUP(B897,'Pre-Summary'!$A$6:$P$178,9,FALSE),AB898)</f>
        <v>0.51107900307227605</v>
      </c>
      <c r="AC897" s="10">
        <f>IFERROR(VLOOKUP(Summary!B897,'Pre-Summary'!$A$6:$P$184,5, FALSE)/100,AC898)</f>
        <v>0.83335766666666655</v>
      </c>
      <c r="AD897" s="10">
        <f>IFERROR(VLOOKUP(Summary!B897,'Pre-Summary'!$A$6:$P$184,3, FALSE)/100,AD898)</f>
        <v>6.2578333333333333E-2</v>
      </c>
      <c r="AE897" s="10">
        <f>IFERROR(VLOOKUP(Summary!B897,'Pre-Summary'!$A$6:$P$184,7, FALSE)/100,AE898)</f>
        <v>0.10406399999999999</v>
      </c>
      <c r="AF897" s="99">
        <f t="shared" si="40"/>
        <v>3.1982472213924584E-2</v>
      </c>
      <c r="AG897" s="99">
        <f t="shared" si="41"/>
        <v>5.3184925375713329E-2</v>
      </c>
      <c r="AH897" s="10" t="str">
        <f>IFERROR(VLOOKUP(B897,'Pre-Summary'!$AZ$6:$BE$65,3,FALSE),"")</f>
        <v/>
      </c>
      <c r="AI897" s="10" t="str">
        <f>IFERROR(VLOOKUP(B897,'Pre-Summary'!$AZ$6:$BE$65,5,FALSE),"")</f>
        <v/>
      </c>
      <c r="AJ897" s="10" t="str">
        <f>IFERROR(VLOOKUP(B897,'Pre-Summary'!$AZ$6:$BE$65,4,FALSE),"")</f>
        <v/>
      </c>
      <c r="AK897" s="10" t="str">
        <f>IFERROR(VLOOKUP(B897,'Pre-Summary'!$AZ$6:$BE$65,6,FALSE),"")</f>
        <v/>
      </c>
      <c r="AL897" s="10" t="str">
        <f>IFERROR(VLOOKUP(B897,'Pre-Summary'!$BG$6:$BL$44,3,FALSE),"")</f>
        <v/>
      </c>
      <c r="AM897" s="10" t="str">
        <f>IFERROR(VLOOKUP(B897,'Pre-Summary'!$BG$6:$BL$44,4,FALSE),"")</f>
        <v/>
      </c>
    </row>
    <row r="898" spans="2:39" ht="15" customHeight="1" x14ac:dyDescent="0.3">
      <c r="B898">
        <v>89.5</v>
      </c>
      <c r="C898" t="str">
        <f>IFERROR(VLOOKUP(B898,'Pre-Summary'!$DI$6:$DM$23,4,FALSE),"")</f>
        <v/>
      </c>
      <c r="D898" s="10" t="str">
        <f>IFERROR(VLOOKUP(B898,'Pre-Summary'!$AT$6:$AX$14,5,FALSE),D897)</f>
        <v>DSMZ v2: Dropped Na-Ac out of DSMZ 120 media</v>
      </c>
      <c r="E898" s="10" t="str">
        <f>IFERROR(VLOOKUP(B898,'Pre-Summary'!$AT$6:$AX$15,4,FALSE),"")</f>
        <v/>
      </c>
      <c r="F898">
        <f>IFERROR(VLOOKUP(B898,'Pre-Summary'!$AL$6:$AQ$13,6,FALSE),F897)</f>
        <v>5.9405263157894746E-2</v>
      </c>
      <c r="G898" t="str">
        <f>IFERROR(VLOOKUP(B898,'Pre-Summary'!$AE$6:$AJ$85,3,FALSE),"")</f>
        <v/>
      </c>
      <c r="H898" t="str">
        <f>IFERROR(VLOOKUP(B898,'Pre-Summary'!$AE$6:$AJ$85,4,FALSE),"")</f>
        <v/>
      </c>
      <c r="I898" t="str">
        <f>IFERROR(VLOOKUP(B898,'Pre-Summary'!$AE$6:$AJ$85,5,FALSE),"")</f>
        <v/>
      </c>
      <c r="J898" s="45" t="str">
        <f>IFERROR(VLOOKUP(B898,'Pre-Summary'!$AE$6:$AJ$85,6, FALSE),"")</f>
        <v/>
      </c>
      <c r="K898" s="45" t="str">
        <f>IFERROR(VLOOKUP(B898,'Pre-Summary'!$DE$6:$DG$61,3,FALSE),"")</f>
        <v/>
      </c>
      <c r="L898" s="45" t="str">
        <f>IFERROR(VLOOKUP(B898,'Pre-Summary'!$CU$6:$CW$36,3,FALSE),"")</f>
        <v/>
      </c>
      <c r="M898" s="45" t="str">
        <f>IFERROR(VLOOKUP(B898,'Pre-Summary'!$BW$6:$BY$58,2,FALSE),"")</f>
        <v/>
      </c>
      <c r="N898" s="45">
        <f>IFERROR(VLOOKUP(B898,'Pre-Summary'!$CD$6:$CF$64,2,FALSE),"")</f>
        <v>5457.4648121019654</v>
      </c>
      <c r="O898" s="99">
        <f>IFERROR(VLOOKUP(B898,'Pre-Summary'!$BO$6:$BQ$48,3, FALSE),O897)</f>
        <v>1.2</v>
      </c>
      <c r="P898" s="99">
        <f>IFERROR(VLOOKUP(B898,'Pre-Summary'!$BS$6:$BU$35,3,FALSE),P897)</f>
        <v>0.3</v>
      </c>
      <c r="Q898" s="54">
        <f t="shared" si="39"/>
        <v>4</v>
      </c>
      <c r="R898" s="53">
        <f>IFERROR(VLOOKUP(B898,'Pre-Summary'!$BG$6:$BM$44,7,FALSE),R899)</f>
        <v>6.4813973442575987E-2</v>
      </c>
      <c r="S898" s="53">
        <f>IFERROR(VLOOKUP(B898,'Pre-Summary'!$BG$6:$BM$44,6,FALSE),S899)</f>
        <v>9.4647776465945271E-2</v>
      </c>
      <c r="T898" s="45" t="str">
        <f>IFERROR(VLOOKUP(B898,'Pre-Summary'!$Y$6:$AC$83, 3,FALSE),"")</f>
        <v/>
      </c>
      <c r="U898" s="45" t="str">
        <f>IFERROR(VLOOKUP(B898,'Pre-Summary'!$Y$6:$AC$83, 4,FALSE),"")</f>
        <v/>
      </c>
      <c r="V898" t="str">
        <f>IFERROR(VLOOKUP(B898,'Pre-Summary'!$Y$6:$AC$83, 5,FALSE),"")</f>
        <v/>
      </c>
      <c r="W898" s="45" t="str">
        <f>IFERROR(VLOOKUP(B898,'Pre-Summary'!$Y$6:$AD$83,6,FALSE),"")</f>
        <v/>
      </c>
      <c r="X898" t="str">
        <f>IFERROR(VLOOKUP('Pre-Summary'!$DB$6:$DD$63,3,FALSE),"")</f>
        <v/>
      </c>
      <c r="Y898" t="str">
        <f>IFERROR(VLOOKUP(B898,'Pre-Summary'!$CR$6:$CT$36,3,FALSE),"")</f>
        <v/>
      </c>
      <c r="Z898" s="45" t="str">
        <f>IFERROR(VLOOKUP(B898,'Pre-Summary'!$BZ$6:$CB$63,2,FALSE),"")</f>
        <v/>
      </c>
      <c r="AA898" s="45" t="str">
        <f>IFERROR(VLOOKUP(B898,'Pre-Summary'!$CG$6:$CI$70,2,FALSE),"")</f>
        <v/>
      </c>
      <c r="AB898" s="99">
        <f>IFERROR(VLOOKUP(B898,'Pre-Summary'!$A$6:$P$178,9,FALSE),AB899)</f>
        <v>0.51107900307227605</v>
      </c>
      <c r="AC898" s="10">
        <f>IFERROR(VLOOKUP(Summary!B898,'Pre-Summary'!$A$6:$P$184,5, FALSE)/100,AC899)</f>
        <v>0.83335766666666655</v>
      </c>
      <c r="AD898" s="10">
        <f>IFERROR(VLOOKUP(Summary!B898,'Pre-Summary'!$A$6:$P$184,3, FALSE)/100,AD899)</f>
        <v>6.2578333333333333E-2</v>
      </c>
      <c r="AE898" s="10">
        <f>IFERROR(VLOOKUP(Summary!B898,'Pre-Summary'!$A$6:$P$184,7, FALSE)/100,AE899)</f>
        <v>0.10406399999999999</v>
      </c>
      <c r="AF898" s="99">
        <f t="shared" si="40"/>
        <v>3.1982472213924584E-2</v>
      </c>
      <c r="AG898" s="99">
        <f t="shared" si="41"/>
        <v>5.3184925375713329E-2</v>
      </c>
      <c r="AH898" s="10" t="str">
        <f>IFERROR(VLOOKUP(B898,'Pre-Summary'!$AZ$6:$BE$65,3,FALSE),"")</f>
        <v/>
      </c>
      <c r="AI898" s="10" t="str">
        <f>IFERROR(VLOOKUP(B898,'Pre-Summary'!$AZ$6:$BE$65,5,FALSE),"")</f>
        <v/>
      </c>
      <c r="AJ898" s="10" t="str">
        <f>IFERROR(VLOOKUP(B898,'Pre-Summary'!$AZ$6:$BE$65,4,FALSE),"")</f>
        <v/>
      </c>
      <c r="AK898" s="10" t="str">
        <f>IFERROR(VLOOKUP(B898,'Pre-Summary'!$AZ$6:$BE$65,6,FALSE),"")</f>
        <v/>
      </c>
      <c r="AL898" s="10" t="str">
        <f>IFERROR(VLOOKUP(B898,'Pre-Summary'!$BG$6:$BL$44,3,FALSE),"")</f>
        <v/>
      </c>
      <c r="AM898" s="10" t="str">
        <f>IFERROR(VLOOKUP(B898,'Pre-Summary'!$BG$6:$BL$44,4,FALSE),"")</f>
        <v/>
      </c>
    </row>
    <row r="899" spans="2:39" ht="15" customHeight="1" x14ac:dyDescent="0.3">
      <c r="B899">
        <v>89.6</v>
      </c>
      <c r="C899" t="str">
        <f>IFERROR(VLOOKUP(B899,'Pre-Summary'!$DI$6:$DM$23,4,FALSE),"")</f>
        <v/>
      </c>
      <c r="D899" s="10" t="str">
        <f>IFERROR(VLOOKUP(B899,'Pre-Summary'!$AT$6:$AX$14,5,FALSE),D898)</f>
        <v>DSMZ v2: Dropped Na-Ac out of DSMZ 120 media</v>
      </c>
      <c r="E899" s="10" t="str">
        <f>IFERROR(VLOOKUP(B899,'Pre-Summary'!$AT$6:$AX$15,4,FALSE),"")</f>
        <v/>
      </c>
      <c r="F899">
        <f>IFERROR(VLOOKUP(B899,'Pre-Summary'!$AL$6:$AQ$13,6,FALSE),F898)</f>
        <v>5.9405263157894746E-2</v>
      </c>
      <c r="G899" t="str">
        <f>IFERROR(VLOOKUP(B899,'Pre-Summary'!$AE$6:$AJ$85,3,FALSE),"")</f>
        <v/>
      </c>
      <c r="H899" t="str">
        <f>IFERROR(VLOOKUP(B899,'Pre-Summary'!$AE$6:$AJ$85,4,FALSE),"")</f>
        <v/>
      </c>
      <c r="I899" t="str">
        <f>IFERROR(VLOOKUP(B899,'Pre-Summary'!$AE$6:$AJ$85,5,FALSE),"")</f>
        <v/>
      </c>
      <c r="J899" s="45" t="str">
        <f>IFERROR(VLOOKUP(B899,'Pre-Summary'!$AE$6:$AJ$85,6, FALSE),"")</f>
        <v/>
      </c>
      <c r="K899" s="45" t="str">
        <f>IFERROR(VLOOKUP(B899,'Pre-Summary'!$DE$6:$DG$61,3,FALSE),"")</f>
        <v/>
      </c>
      <c r="L899" s="45" t="str">
        <f>IFERROR(VLOOKUP(B899,'Pre-Summary'!$CU$6:$CW$36,3,FALSE),"")</f>
        <v/>
      </c>
      <c r="M899" s="45" t="str">
        <f>IFERROR(VLOOKUP(B899,'Pre-Summary'!$BW$6:$BY$58,2,FALSE),"")</f>
        <v/>
      </c>
      <c r="N899" s="45" t="str">
        <f>IFERROR(VLOOKUP(B899,'Pre-Summary'!$CD$6:$CF$64,2,FALSE),"")</f>
        <v/>
      </c>
      <c r="O899" s="99">
        <f>IFERROR(VLOOKUP(B899,'Pre-Summary'!$BO$6:$BQ$48,3, FALSE),O898)</f>
        <v>1.2</v>
      </c>
      <c r="P899" s="99">
        <f>IFERROR(VLOOKUP(B899,'Pre-Summary'!$BS$6:$BU$35,3,FALSE),P898)</f>
        <v>0.3</v>
      </c>
      <c r="Q899" s="54">
        <f t="shared" ref="Q899:Q962" si="42">O899/P899</f>
        <v>4</v>
      </c>
      <c r="R899" s="53">
        <f>IFERROR(VLOOKUP(B899,'Pre-Summary'!$BG$6:$BM$44,7,FALSE),R900)</f>
        <v>6.4813973442575987E-2</v>
      </c>
      <c r="S899" s="53">
        <f>IFERROR(VLOOKUP(B899,'Pre-Summary'!$BG$6:$BM$44,6,FALSE),S900)</f>
        <v>9.4647776465945271E-2</v>
      </c>
      <c r="T899" s="45" t="str">
        <f>IFERROR(VLOOKUP(B899,'Pre-Summary'!$Y$6:$AC$83, 3,FALSE),"")</f>
        <v/>
      </c>
      <c r="U899" s="45" t="str">
        <f>IFERROR(VLOOKUP(B899,'Pre-Summary'!$Y$6:$AC$83, 4,FALSE),"")</f>
        <v/>
      </c>
      <c r="V899" t="str">
        <f>IFERROR(VLOOKUP(B899,'Pre-Summary'!$Y$6:$AC$83, 5,FALSE),"")</f>
        <v/>
      </c>
      <c r="W899" s="45" t="str">
        <f>IFERROR(VLOOKUP(B899,'Pre-Summary'!$Y$6:$AD$83,6,FALSE),"")</f>
        <v/>
      </c>
      <c r="X899" t="str">
        <f>IFERROR(VLOOKUP('Pre-Summary'!$DB$6:$DD$63,3,FALSE),"")</f>
        <v/>
      </c>
      <c r="Y899" t="str">
        <f>IFERROR(VLOOKUP(B899,'Pre-Summary'!$CR$6:$CT$36,3,FALSE),"")</f>
        <v/>
      </c>
      <c r="Z899" s="45" t="str">
        <f>IFERROR(VLOOKUP(B899,'Pre-Summary'!$BZ$6:$CB$63,2,FALSE),"")</f>
        <v/>
      </c>
      <c r="AA899" s="45" t="str">
        <f>IFERROR(VLOOKUP(B899,'Pre-Summary'!$CG$6:$CI$70,2,FALSE),"")</f>
        <v/>
      </c>
      <c r="AB899" s="99">
        <f>IFERROR(VLOOKUP(B899,'Pre-Summary'!$A$6:$P$178,9,FALSE),AB900)</f>
        <v>0.51107900307227605</v>
      </c>
      <c r="AC899" s="10">
        <f>IFERROR(VLOOKUP(Summary!B899,'Pre-Summary'!$A$6:$P$184,5, FALSE)/100,AC900)</f>
        <v>0.83335766666666655</v>
      </c>
      <c r="AD899" s="10">
        <f>IFERROR(VLOOKUP(Summary!B899,'Pre-Summary'!$A$6:$P$184,3, FALSE)/100,AD900)</f>
        <v>6.2578333333333333E-2</v>
      </c>
      <c r="AE899" s="10">
        <f>IFERROR(VLOOKUP(Summary!B899,'Pre-Summary'!$A$6:$P$184,7, FALSE)/100,AE900)</f>
        <v>0.10406399999999999</v>
      </c>
      <c r="AF899" s="99">
        <f t="shared" ref="AF899:AF962" si="43">AD899*AB899</f>
        <v>3.1982472213924584E-2</v>
      </c>
      <c r="AG899" s="99">
        <f t="shared" ref="AG899:AG962" si="44">AB899*AE899</f>
        <v>5.3184925375713329E-2</v>
      </c>
      <c r="AH899" s="10" t="str">
        <f>IFERROR(VLOOKUP(B899,'Pre-Summary'!$AZ$6:$BE$65,3,FALSE),"")</f>
        <v/>
      </c>
      <c r="AI899" s="10" t="str">
        <f>IFERROR(VLOOKUP(B899,'Pre-Summary'!$AZ$6:$BE$65,5,FALSE),"")</f>
        <v/>
      </c>
      <c r="AJ899" s="10" t="str">
        <f>IFERROR(VLOOKUP(B899,'Pre-Summary'!$AZ$6:$BE$65,4,FALSE),"")</f>
        <v/>
      </c>
      <c r="AK899" s="10" t="str">
        <f>IFERROR(VLOOKUP(B899,'Pre-Summary'!$AZ$6:$BE$65,6,FALSE),"")</f>
        <v/>
      </c>
      <c r="AL899" s="10" t="str">
        <f>IFERROR(VLOOKUP(B899,'Pre-Summary'!$BG$6:$BL$44,3,FALSE),"")</f>
        <v/>
      </c>
      <c r="AM899" s="10" t="str">
        <f>IFERROR(VLOOKUP(B899,'Pre-Summary'!$BG$6:$BL$44,4,FALSE),"")</f>
        <v/>
      </c>
    </row>
    <row r="900" spans="2:39" ht="15" customHeight="1" x14ac:dyDescent="0.3">
      <c r="B900">
        <v>89.7</v>
      </c>
      <c r="C900" t="str">
        <f>IFERROR(VLOOKUP(B900,'Pre-Summary'!$DI$6:$DM$23,4,FALSE),"")</f>
        <v/>
      </c>
      <c r="D900" s="10" t="str">
        <f>IFERROR(VLOOKUP(B900,'Pre-Summary'!$AT$6:$AX$14,5,FALSE),D899)</f>
        <v>DSMZ v2: Dropped Na-Ac out of DSMZ 120 media</v>
      </c>
      <c r="E900" s="10" t="str">
        <f>IFERROR(VLOOKUP(B900,'Pre-Summary'!$AT$6:$AX$15,4,FALSE),"")</f>
        <v/>
      </c>
      <c r="F900">
        <f>IFERROR(VLOOKUP(B900,'Pre-Summary'!$AL$6:$AQ$13,6,FALSE),F899)</f>
        <v>5.9405263157894746E-2</v>
      </c>
      <c r="G900" t="str">
        <f>IFERROR(VLOOKUP(B900,'Pre-Summary'!$AE$6:$AJ$85,3,FALSE),"")</f>
        <v/>
      </c>
      <c r="H900" t="str">
        <f>IFERROR(VLOOKUP(B900,'Pre-Summary'!$AE$6:$AJ$85,4,FALSE),"")</f>
        <v/>
      </c>
      <c r="I900" t="str">
        <f>IFERROR(VLOOKUP(B900,'Pre-Summary'!$AE$6:$AJ$85,5,FALSE),"")</f>
        <v/>
      </c>
      <c r="J900" s="45" t="str">
        <f>IFERROR(VLOOKUP(B900,'Pre-Summary'!$AE$6:$AJ$85,6, FALSE),"")</f>
        <v/>
      </c>
      <c r="K900" s="45" t="str">
        <f>IFERROR(VLOOKUP(B900,'Pre-Summary'!$DE$6:$DG$61,3,FALSE),"")</f>
        <v/>
      </c>
      <c r="L900" s="45" t="str">
        <f>IFERROR(VLOOKUP(B900,'Pre-Summary'!$CU$6:$CW$36,3,FALSE),"")</f>
        <v/>
      </c>
      <c r="M900" s="45" t="str">
        <f>IFERROR(VLOOKUP(B900,'Pre-Summary'!$BW$6:$BY$58,2,FALSE),"")</f>
        <v/>
      </c>
      <c r="N900" s="45" t="str">
        <f>IFERROR(VLOOKUP(B900,'Pre-Summary'!$CD$6:$CF$64,2,FALSE),"")</f>
        <v/>
      </c>
      <c r="O900" s="99">
        <f>IFERROR(VLOOKUP(B900,'Pre-Summary'!$BO$6:$BQ$48,3, FALSE),O899)</f>
        <v>1.2</v>
      </c>
      <c r="P900" s="99">
        <f>IFERROR(VLOOKUP(B900,'Pre-Summary'!$BS$6:$BU$35,3,FALSE),P899)</f>
        <v>0.3</v>
      </c>
      <c r="Q900" s="54">
        <f t="shared" si="42"/>
        <v>4</v>
      </c>
      <c r="R900" s="53">
        <f>IFERROR(VLOOKUP(B900,'Pre-Summary'!$BG$6:$BM$44,7,FALSE),R901)</f>
        <v>6.4813973442575987E-2</v>
      </c>
      <c r="S900" s="53">
        <f>IFERROR(VLOOKUP(B900,'Pre-Summary'!$BG$6:$BM$44,6,FALSE),S901)</f>
        <v>9.4647776465945271E-2</v>
      </c>
      <c r="T900" s="45" t="str">
        <f>IFERROR(VLOOKUP(B900,'Pre-Summary'!$Y$6:$AC$83, 3,FALSE),"")</f>
        <v/>
      </c>
      <c r="U900" s="45" t="str">
        <f>IFERROR(VLOOKUP(B900,'Pre-Summary'!$Y$6:$AC$83, 4,FALSE),"")</f>
        <v/>
      </c>
      <c r="V900" t="str">
        <f>IFERROR(VLOOKUP(B900,'Pre-Summary'!$Y$6:$AC$83, 5,FALSE),"")</f>
        <v/>
      </c>
      <c r="W900" s="45" t="str">
        <f>IFERROR(VLOOKUP(B900,'Pre-Summary'!$Y$6:$AD$83,6,FALSE),"")</f>
        <v/>
      </c>
      <c r="X900" t="str">
        <f>IFERROR(VLOOKUP('Pre-Summary'!$DB$6:$DD$63,3,FALSE),"")</f>
        <v/>
      </c>
      <c r="Y900" t="str">
        <f>IFERROR(VLOOKUP(B900,'Pre-Summary'!$CR$6:$CT$36,3,FALSE),"")</f>
        <v/>
      </c>
      <c r="Z900" s="45" t="str">
        <f>IFERROR(VLOOKUP(B900,'Pre-Summary'!$BZ$6:$CB$63,2,FALSE),"")</f>
        <v/>
      </c>
      <c r="AA900" s="45" t="str">
        <f>IFERROR(VLOOKUP(B900,'Pre-Summary'!$CG$6:$CI$70,2,FALSE),"")</f>
        <v/>
      </c>
      <c r="AB900" s="99">
        <f>IFERROR(VLOOKUP(B900,'Pre-Summary'!$A$6:$P$178,9,FALSE),AB901)</f>
        <v>0.51107900307227605</v>
      </c>
      <c r="AC900" s="10">
        <f>IFERROR(VLOOKUP(Summary!B900,'Pre-Summary'!$A$6:$P$184,5, FALSE)/100,AC901)</f>
        <v>0.83335766666666655</v>
      </c>
      <c r="AD900" s="10">
        <f>IFERROR(VLOOKUP(Summary!B900,'Pre-Summary'!$A$6:$P$184,3, FALSE)/100,AD901)</f>
        <v>6.2578333333333333E-2</v>
      </c>
      <c r="AE900" s="10">
        <f>IFERROR(VLOOKUP(Summary!B900,'Pre-Summary'!$A$6:$P$184,7, FALSE)/100,AE901)</f>
        <v>0.10406399999999999</v>
      </c>
      <c r="AF900" s="99">
        <f t="shared" si="43"/>
        <v>3.1982472213924584E-2</v>
      </c>
      <c r="AG900" s="99">
        <f t="shared" si="44"/>
        <v>5.3184925375713329E-2</v>
      </c>
      <c r="AH900" s="10" t="str">
        <f>IFERROR(VLOOKUP(B900,'Pre-Summary'!$AZ$6:$BE$65,3,FALSE),"")</f>
        <v/>
      </c>
      <c r="AI900" s="10" t="str">
        <f>IFERROR(VLOOKUP(B900,'Pre-Summary'!$AZ$6:$BE$65,5,FALSE),"")</f>
        <v/>
      </c>
      <c r="AJ900" s="10" t="str">
        <f>IFERROR(VLOOKUP(B900,'Pre-Summary'!$AZ$6:$BE$65,4,FALSE),"")</f>
        <v/>
      </c>
      <c r="AK900" s="10" t="str">
        <f>IFERROR(VLOOKUP(B900,'Pre-Summary'!$AZ$6:$BE$65,6,FALSE),"")</f>
        <v/>
      </c>
      <c r="AL900" s="10" t="str">
        <f>IFERROR(VLOOKUP(B900,'Pre-Summary'!$BG$6:$BL$44,3,FALSE),"")</f>
        <v/>
      </c>
      <c r="AM900" s="10" t="str">
        <f>IFERROR(VLOOKUP(B900,'Pre-Summary'!$BG$6:$BL$44,4,FALSE),"")</f>
        <v/>
      </c>
    </row>
    <row r="901" spans="2:39" ht="15" customHeight="1" x14ac:dyDescent="0.3">
      <c r="B901">
        <v>89.8</v>
      </c>
      <c r="C901" t="str">
        <f>IFERROR(VLOOKUP(B901,'Pre-Summary'!$DI$6:$DM$23,4,FALSE),"")</f>
        <v/>
      </c>
      <c r="D901" s="10" t="str">
        <f>IFERROR(VLOOKUP(B901,'Pre-Summary'!$AT$6:$AX$14,5,FALSE),D900)</f>
        <v>DSMZ v2: Dropped Na-Ac out of DSMZ 120 media</v>
      </c>
      <c r="E901" s="10" t="str">
        <f>IFERROR(VLOOKUP(B901,'Pre-Summary'!$AT$6:$AX$15,4,FALSE),"")</f>
        <v/>
      </c>
      <c r="F901">
        <f>IFERROR(VLOOKUP(B901,'Pre-Summary'!$AL$6:$AQ$13,6,FALSE),F900)</f>
        <v>5.9405263157894746E-2</v>
      </c>
      <c r="G901" t="str">
        <f>IFERROR(VLOOKUP(B901,'Pre-Summary'!$AE$6:$AJ$85,3,FALSE),"")</f>
        <v/>
      </c>
      <c r="H901" t="str">
        <f>IFERROR(VLOOKUP(B901,'Pre-Summary'!$AE$6:$AJ$85,4,FALSE),"")</f>
        <v/>
      </c>
      <c r="I901" t="str">
        <f>IFERROR(VLOOKUP(B901,'Pre-Summary'!$AE$6:$AJ$85,5,FALSE),"")</f>
        <v/>
      </c>
      <c r="J901" s="45" t="str">
        <f>IFERROR(VLOOKUP(B901,'Pre-Summary'!$AE$6:$AJ$85,6, FALSE),"")</f>
        <v/>
      </c>
      <c r="K901" s="45" t="str">
        <f>IFERROR(VLOOKUP(B901,'Pre-Summary'!$DE$6:$DG$61,3,FALSE),"")</f>
        <v/>
      </c>
      <c r="L901" s="45" t="str">
        <f>IFERROR(VLOOKUP(B901,'Pre-Summary'!$CU$6:$CW$36,3,FALSE),"")</f>
        <v/>
      </c>
      <c r="M901" s="45" t="str">
        <f>IFERROR(VLOOKUP(B901,'Pre-Summary'!$BW$6:$BY$58,2,FALSE),"")</f>
        <v/>
      </c>
      <c r="N901" s="45" t="str">
        <f>IFERROR(VLOOKUP(B901,'Pre-Summary'!$CD$6:$CF$64,2,FALSE),"")</f>
        <v/>
      </c>
      <c r="O901" s="99">
        <f>IFERROR(VLOOKUP(B901,'Pre-Summary'!$BO$6:$BQ$48,3, FALSE),O900)</f>
        <v>1.2</v>
      </c>
      <c r="P901" s="99">
        <f>IFERROR(VLOOKUP(B901,'Pre-Summary'!$BS$6:$BU$35,3,FALSE),P900)</f>
        <v>0.3</v>
      </c>
      <c r="Q901" s="54">
        <f t="shared" si="42"/>
        <v>4</v>
      </c>
      <c r="R901" s="53">
        <f>IFERROR(VLOOKUP(B901,'Pre-Summary'!$BG$6:$BM$44,7,FALSE),R902)</f>
        <v>6.4813973442575987E-2</v>
      </c>
      <c r="S901" s="53">
        <f>IFERROR(VLOOKUP(B901,'Pre-Summary'!$BG$6:$BM$44,6,FALSE),S902)</f>
        <v>9.4647776465945271E-2</v>
      </c>
      <c r="T901" s="45" t="str">
        <f>IFERROR(VLOOKUP(B901,'Pre-Summary'!$Y$6:$AC$83, 3,FALSE),"")</f>
        <v/>
      </c>
      <c r="U901" s="45" t="str">
        <f>IFERROR(VLOOKUP(B901,'Pre-Summary'!$Y$6:$AC$83, 4,FALSE),"")</f>
        <v/>
      </c>
      <c r="V901" t="str">
        <f>IFERROR(VLOOKUP(B901,'Pre-Summary'!$Y$6:$AC$83, 5,FALSE),"")</f>
        <v/>
      </c>
      <c r="W901" s="45" t="str">
        <f>IFERROR(VLOOKUP(B901,'Pre-Summary'!$Y$6:$AD$83,6,FALSE),"")</f>
        <v/>
      </c>
      <c r="X901" t="str">
        <f>IFERROR(VLOOKUP('Pre-Summary'!$DB$6:$DD$63,3,FALSE),"")</f>
        <v/>
      </c>
      <c r="Y901" t="str">
        <f>IFERROR(VLOOKUP(B901,'Pre-Summary'!$CR$6:$CT$36,3,FALSE),"")</f>
        <v/>
      </c>
      <c r="Z901" s="45" t="str">
        <f>IFERROR(VLOOKUP(B901,'Pre-Summary'!$BZ$6:$CB$63,2,FALSE),"")</f>
        <v/>
      </c>
      <c r="AA901" s="45" t="str">
        <f>IFERROR(VLOOKUP(B901,'Pre-Summary'!$CG$6:$CI$70,2,FALSE),"")</f>
        <v/>
      </c>
      <c r="AB901" s="99">
        <f>IFERROR(VLOOKUP(B901,'Pre-Summary'!$A$6:$P$178,9,FALSE),AB902)</f>
        <v>0.51107900307227605</v>
      </c>
      <c r="AC901" s="10">
        <f>IFERROR(VLOOKUP(Summary!B901,'Pre-Summary'!$A$6:$P$184,5, FALSE)/100,AC902)</f>
        <v>0.83335766666666655</v>
      </c>
      <c r="AD901" s="10">
        <f>IFERROR(VLOOKUP(Summary!B901,'Pre-Summary'!$A$6:$P$184,3, FALSE)/100,AD902)</f>
        <v>6.2578333333333333E-2</v>
      </c>
      <c r="AE901" s="10">
        <f>IFERROR(VLOOKUP(Summary!B901,'Pre-Summary'!$A$6:$P$184,7, FALSE)/100,AE902)</f>
        <v>0.10406399999999999</v>
      </c>
      <c r="AF901" s="99">
        <f t="shared" si="43"/>
        <v>3.1982472213924584E-2</v>
      </c>
      <c r="AG901" s="99">
        <f t="shared" si="44"/>
        <v>5.3184925375713329E-2</v>
      </c>
      <c r="AH901" s="10" t="str">
        <f>IFERROR(VLOOKUP(B901,'Pre-Summary'!$AZ$6:$BE$65,3,FALSE),"")</f>
        <v/>
      </c>
      <c r="AI901" s="10" t="str">
        <f>IFERROR(VLOOKUP(B901,'Pre-Summary'!$AZ$6:$BE$65,5,FALSE),"")</f>
        <v/>
      </c>
      <c r="AJ901" s="10" t="str">
        <f>IFERROR(VLOOKUP(B901,'Pre-Summary'!$AZ$6:$BE$65,4,FALSE),"")</f>
        <v/>
      </c>
      <c r="AK901" s="10" t="str">
        <f>IFERROR(VLOOKUP(B901,'Pre-Summary'!$AZ$6:$BE$65,6,FALSE),"")</f>
        <v/>
      </c>
      <c r="AL901" s="10" t="str">
        <f>IFERROR(VLOOKUP(B901,'Pre-Summary'!$BG$6:$BL$44,3,FALSE),"")</f>
        <v/>
      </c>
      <c r="AM901" s="10" t="str">
        <f>IFERROR(VLOOKUP(B901,'Pre-Summary'!$BG$6:$BL$44,4,FALSE),"")</f>
        <v/>
      </c>
    </row>
    <row r="902" spans="2:39" ht="15" customHeight="1" x14ac:dyDescent="0.3">
      <c r="B902">
        <v>89.9</v>
      </c>
      <c r="C902" t="str">
        <f>IFERROR(VLOOKUP(B902,'Pre-Summary'!$DI$6:$DM$23,4,FALSE),"")</f>
        <v/>
      </c>
      <c r="D902" s="10" t="str">
        <f>IFERROR(VLOOKUP(B902,'Pre-Summary'!$AT$6:$AX$14,5,FALSE),D901)</f>
        <v>DSMZ v2: Dropped Na-Ac out of DSMZ 120 media</v>
      </c>
      <c r="E902" s="10" t="str">
        <f>IFERROR(VLOOKUP(B902,'Pre-Summary'!$AT$6:$AX$15,4,FALSE),"")</f>
        <v/>
      </c>
      <c r="F902">
        <f>IFERROR(VLOOKUP(B902,'Pre-Summary'!$AL$6:$AQ$13,6,FALSE),F901)</f>
        <v>5.9405263157894746E-2</v>
      </c>
      <c r="G902">
        <f>IFERROR(VLOOKUP(B902,'Pre-Summary'!$AE$6:$AJ$85,3,FALSE),"")</f>
        <v>995.87999999999988</v>
      </c>
      <c r="H902">
        <f>IFERROR(VLOOKUP(B902,'Pre-Summary'!$AE$6:$AJ$85,4,FALSE),"")</f>
        <v>151.13</v>
      </c>
      <c r="I902">
        <f>IFERROR(VLOOKUP(B902,'Pre-Summary'!$AE$6:$AJ$85,5,FALSE),"")</f>
        <v>0</v>
      </c>
      <c r="J902" s="45">
        <f>IFERROR(VLOOKUP(B902,'Pre-Summary'!$AE$6:$AJ$85,6, FALSE),"")</f>
        <v>1291.4147799999998</v>
      </c>
      <c r="K902" s="45" t="str">
        <f>IFERROR(VLOOKUP(B902,'Pre-Summary'!$DE$6:$DG$61,3,FALSE),"")</f>
        <v/>
      </c>
      <c r="L902" s="45">
        <f>IFERROR(VLOOKUP(B902,'Pre-Summary'!$CU$6:$CW$36,3,FALSE),"")</f>
        <v>489</v>
      </c>
      <c r="M902" s="45">
        <f>IFERROR(VLOOKUP(B902,'Pre-Summary'!$BW$6:$BY$58,2,FALSE),"")</f>
        <v>178.10575474128026</v>
      </c>
      <c r="N902" s="45" t="str">
        <f>IFERROR(VLOOKUP(B902,'Pre-Summary'!$CD$6:$CF$64,2,FALSE),"")</f>
        <v/>
      </c>
      <c r="O902" s="99">
        <f>IFERROR(VLOOKUP(B902,'Pre-Summary'!$BO$6:$BQ$48,3, FALSE),O901)</f>
        <v>1.2</v>
      </c>
      <c r="P902" s="99">
        <f>IFERROR(VLOOKUP(B902,'Pre-Summary'!$BS$6:$BU$35,3,FALSE),P901)</f>
        <v>0.3</v>
      </c>
      <c r="Q902" s="54">
        <f t="shared" si="42"/>
        <v>4</v>
      </c>
      <c r="R902" s="53">
        <f>IFERROR(VLOOKUP(B902,'Pre-Summary'!$BG$6:$BM$44,7,FALSE),R903)</f>
        <v>6.4813973442575987E-2</v>
      </c>
      <c r="S902" s="53">
        <f>IFERROR(VLOOKUP(B902,'Pre-Summary'!$BG$6:$BM$44,6,FALSE),S903)</f>
        <v>9.4647776465945271E-2</v>
      </c>
      <c r="T902" s="45">
        <f>IFERROR(VLOOKUP(B902,'Pre-Summary'!$Y$6:$AC$83, 3,FALSE),"")</f>
        <v>16.670000000000002</v>
      </c>
      <c r="U902" s="45">
        <f>IFERROR(VLOOKUP(B902,'Pre-Summary'!$Y$6:$AC$83, 4,FALSE),"")</f>
        <v>237.345</v>
      </c>
      <c r="V902">
        <f>IFERROR(VLOOKUP(B902,'Pre-Summary'!$Y$6:$AC$83, 5,FALSE),"")</f>
        <v>0</v>
      </c>
      <c r="W902" s="45">
        <f>IFERROR(VLOOKUP(B902,'Pre-Summary'!$Y$6:$AD$83,6,FALSE),"")</f>
        <v>377.12721999999997</v>
      </c>
      <c r="X902" t="str">
        <f>IFERROR(VLOOKUP('Pre-Summary'!$DB$6:$DD$63,3,FALSE),"")</f>
        <v/>
      </c>
      <c r="Y902" t="str">
        <f>IFERROR(VLOOKUP(B902,'Pre-Summary'!$CR$6:$CT$36,3,FALSE),"")</f>
        <v/>
      </c>
      <c r="Z902" s="45">
        <f>IFERROR(VLOOKUP(B902,'Pre-Summary'!$BZ$6:$CB$63,2,FALSE),"")</f>
        <v>275.10547841806118</v>
      </c>
      <c r="AA902" s="45">
        <f>IFERROR(VLOOKUP(B902,'Pre-Summary'!$CG$6:$CI$70,2,FALSE),"")</f>
        <v>805.95923039432489</v>
      </c>
      <c r="AB902" s="99">
        <f>IFERROR(VLOOKUP(B902,'Pre-Summary'!$A$6:$P$178,9,FALSE),AB903)</f>
        <v>0.51107900307227605</v>
      </c>
      <c r="AC902" s="10">
        <f>IFERROR(VLOOKUP(Summary!B902,'Pre-Summary'!$A$6:$P$184,5, FALSE)/100,AC903)</f>
        <v>0.83335766666666655</v>
      </c>
      <c r="AD902" s="10">
        <f>IFERROR(VLOOKUP(Summary!B902,'Pre-Summary'!$A$6:$P$184,3, FALSE)/100,AD903)</f>
        <v>6.2578333333333333E-2</v>
      </c>
      <c r="AE902" s="10">
        <f>IFERROR(VLOOKUP(Summary!B902,'Pre-Summary'!$A$6:$P$184,7, FALSE)/100,AE903)</f>
        <v>0.10406399999999999</v>
      </c>
      <c r="AF902" s="99">
        <f t="shared" si="43"/>
        <v>3.1982472213924584E-2</v>
      </c>
      <c r="AG902" s="99">
        <f t="shared" si="44"/>
        <v>5.3184925375713329E-2</v>
      </c>
      <c r="AH902" s="10" t="str">
        <f>IFERROR(VLOOKUP(B902,'Pre-Summary'!$AZ$6:$BE$65,3,FALSE),"")</f>
        <v/>
      </c>
      <c r="AI902" s="10" t="str">
        <f>IFERROR(VLOOKUP(B902,'Pre-Summary'!$AZ$6:$BE$65,5,FALSE),"")</f>
        <v/>
      </c>
      <c r="AJ902" s="10" t="str">
        <f>IFERROR(VLOOKUP(B902,'Pre-Summary'!$AZ$6:$BE$65,4,FALSE),"")</f>
        <v/>
      </c>
      <c r="AK902" s="10" t="str">
        <f>IFERROR(VLOOKUP(B902,'Pre-Summary'!$AZ$6:$BE$65,6,FALSE),"")</f>
        <v/>
      </c>
      <c r="AL902" s="10" t="str">
        <f>IFERROR(VLOOKUP(B902,'Pre-Summary'!$BG$6:$BL$44,3,FALSE),"")</f>
        <v/>
      </c>
      <c r="AM902" s="10" t="str">
        <f>IFERROR(VLOOKUP(B902,'Pre-Summary'!$BG$6:$BL$44,4,FALSE),"")</f>
        <v/>
      </c>
    </row>
    <row r="903" spans="2:39" ht="15" customHeight="1" x14ac:dyDescent="0.3">
      <c r="B903">
        <v>90</v>
      </c>
      <c r="C903" t="str">
        <f>IFERROR(VLOOKUP(B903,'Pre-Summary'!$DI$6:$DM$23,4,FALSE),"")</f>
        <v/>
      </c>
      <c r="D903" s="10" t="str">
        <f>IFERROR(VLOOKUP(B903,'Pre-Summary'!$AT$6:$AX$14,5,FALSE),D902)</f>
        <v>DSMZ v2: Dropped Na-Ac out of DSMZ 120 media</v>
      </c>
      <c r="E903" s="10" t="str">
        <f>IFERROR(VLOOKUP(B903,'Pre-Summary'!$AT$6:$AX$15,4,FALSE),"")</f>
        <v/>
      </c>
      <c r="F903">
        <f>IFERROR(VLOOKUP(B903,'Pre-Summary'!$AL$6:$AQ$13,6,FALSE),F902)</f>
        <v>5.9405263157894746E-2</v>
      </c>
      <c r="G903" t="str">
        <f>IFERROR(VLOOKUP(B903,'Pre-Summary'!$AE$6:$AJ$85,3,FALSE),"")</f>
        <v/>
      </c>
      <c r="H903" t="str">
        <f>IFERROR(VLOOKUP(B903,'Pre-Summary'!$AE$6:$AJ$85,4,FALSE),"")</f>
        <v/>
      </c>
      <c r="I903" t="str">
        <f>IFERROR(VLOOKUP(B903,'Pre-Summary'!$AE$6:$AJ$85,5,FALSE),"")</f>
        <v/>
      </c>
      <c r="J903" s="45" t="str">
        <f>IFERROR(VLOOKUP(B903,'Pre-Summary'!$AE$6:$AJ$85,6, FALSE),"")</f>
        <v/>
      </c>
      <c r="K903" s="45" t="str">
        <f>IFERROR(VLOOKUP(B903,'Pre-Summary'!$DE$6:$DG$61,3,FALSE),"")</f>
        <v/>
      </c>
      <c r="L903" s="45" t="str">
        <f>IFERROR(VLOOKUP(B903,'Pre-Summary'!$CU$6:$CW$36,3,FALSE),"")</f>
        <v/>
      </c>
      <c r="M903" s="45" t="str">
        <f>IFERROR(VLOOKUP(B903,'Pre-Summary'!$BW$6:$BY$58,2,FALSE),"")</f>
        <v/>
      </c>
      <c r="N903" s="45" t="str">
        <f>IFERROR(VLOOKUP(B903,'Pre-Summary'!$CD$6:$CF$64,2,FALSE),"")</f>
        <v/>
      </c>
      <c r="O903" s="99">
        <f>IFERROR(VLOOKUP(B903,'Pre-Summary'!$BO$6:$BQ$48,3, FALSE),O902)</f>
        <v>1.2</v>
      </c>
      <c r="P903" s="99">
        <f>IFERROR(VLOOKUP(B903,'Pre-Summary'!$BS$6:$BU$35,3,FALSE),P902)</f>
        <v>0.3</v>
      </c>
      <c r="Q903" s="54">
        <f t="shared" si="42"/>
        <v>4</v>
      </c>
      <c r="R903" s="53">
        <f>IFERROR(VLOOKUP(B903,'Pre-Summary'!$BG$6:$BM$44,7,FALSE),R904)</f>
        <v>6.4813973442575987E-2</v>
      </c>
      <c r="S903" s="53">
        <f>IFERROR(VLOOKUP(B903,'Pre-Summary'!$BG$6:$BM$44,6,FALSE),S904)</f>
        <v>9.4647776465945271E-2</v>
      </c>
      <c r="T903" s="45" t="str">
        <f>IFERROR(VLOOKUP(B903,'Pre-Summary'!$Y$6:$AC$83, 3,FALSE),"")</f>
        <v/>
      </c>
      <c r="U903" s="45" t="str">
        <f>IFERROR(VLOOKUP(B903,'Pre-Summary'!$Y$6:$AC$83, 4,FALSE),"")</f>
        <v/>
      </c>
      <c r="V903" t="str">
        <f>IFERROR(VLOOKUP(B903,'Pre-Summary'!$Y$6:$AC$83, 5,FALSE),"")</f>
        <v/>
      </c>
      <c r="W903" s="45" t="str">
        <f>IFERROR(VLOOKUP(B903,'Pre-Summary'!$Y$6:$AD$83,6,FALSE),"")</f>
        <v/>
      </c>
      <c r="X903" t="str">
        <f>IFERROR(VLOOKUP('Pre-Summary'!$DB$6:$DD$63,3,FALSE),"")</f>
        <v/>
      </c>
      <c r="Y903" t="str">
        <f>IFERROR(VLOOKUP(B903,'Pre-Summary'!$CR$6:$CT$36,3,FALSE),"")</f>
        <v/>
      </c>
      <c r="Z903" s="45" t="str">
        <f>IFERROR(VLOOKUP(B903,'Pre-Summary'!$BZ$6:$CB$63,2,FALSE),"")</f>
        <v/>
      </c>
      <c r="AA903" s="45" t="str">
        <f>IFERROR(VLOOKUP(B903,'Pre-Summary'!$CG$6:$CI$70,2,FALSE),"")</f>
        <v/>
      </c>
      <c r="AB903" s="99">
        <f>IFERROR(VLOOKUP(B903,'Pre-Summary'!$A$6:$P$178,9,FALSE),AB904)</f>
        <v>0.51107900307227605</v>
      </c>
      <c r="AC903" s="10">
        <f>IFERROR(VLOOKUP(Summary!B903,'Pre-Summary'!$A$6:$P$184,5, FALSE)/100,AC904)</f>
        <v>0.83335766666666655</v>
      </c>
      <c r="AD903" s="10">
        <f>IFERROR(VLOOKUP(Summary!B903,'Pre-Summary'!$A$6:$P$184,3, FALSE)/100,AD904)</f>
        <v>6.2578333333333333E-2</v>
      </c>
      <c r="AE903" s="10">
        <f>IFERROR(VLOOKUP(Summary!B903,'Pre-Summary'!$A$6:$P$184,7, FALSE)/100,AE904)</f>
        <v>0.10406399999999999</v>
      </c>
      <c r="AF903" s="99">
        <f t="shared" si="43"/>
        <v>3.1982472213924584E-2</v>
      </c>
      <c r="AG903" s="99">
        <f t="shared" si="44"/>
        <v>5.3184925375713329E-2</v>
      </c>
      <c r="AH903" s="10">
        <f>IFERROR(VLOOKUP(B903,'Pre-Summary'!$AZ$6:$BE$65,3,FALSE),"")</f>
        <v>1406</v>
      </c>
      <c r="AI903" s="10">
        <f>IFERROR(VLOOKUP(B903,'Pre-Summary'!$AZ$6:$BE$65,5,FALSE),"")</f>
        <v>89</v>
      </c>
      <c r="AJ903" s="10">
        <f>IFERROR(VLOOKUP(B903,'Pre-Summary'!$AZ$6:$BE$65,4,FALSE),"")</f>
        <v>1186</v>
      </c>
      <c r="AK903" s="10">
        <f>IFERROR(VLOOKUP(B903,'Pre-Summary'!$AZ$6:$BE$65,6,FALSE),"")</f>
        <v>0</v>
      </c>
      <c r="AL903" s="10">
        <f>IFERROR(VLOOKUP(B903,'Pre-Summary'!$BG$6:$BL$44,3,FALSE),"")</f>
        <v>19.599425509320064</v>
      </c>
      <c r="AM903" s="10">
        <f>IFERROR(VLOOKUP(B903,'Pre-Summary'!$BG$6:$BL$44,4,FALSE),"")</f>
        <v>3.3017151767156303</v>
      </c>
    </row>
    <row r="904" spans="2:39" ht="15" customHeight="1" x14ac:dyDescent="0.3">
      <c r="B904">
        <v>90.1</v>
      </c>
      <c r="C904" t="str">
        <f>IFERROR(VLOOKUP(B904,'Pre-Summary'!$DI$6:$DM$23,4,FALSE),"")</f>
        <v/>
      </c>
      <c r="D904" s="10" t="str">
        <f>IFERROR(VLOOKUP(B904,'Pre-Summary'!$AT$6:$AX$14,5,FALSE),D903)</f>
        <v>DSMZ v2: Dropped Na-Ac out of DSMZ 120 media</v>
      </c>
      <c r="E904" s="10" t="str">
        <f>IFERROR(VLOOKUP(B904,'Pre-Summary'!$AT$6:$AX$15,4,FALSE),"")</f>
        <v/>
      </c>
      <c r="F904">
        <f>IFERROR(VLOOKUP(B904,'Pre-Summary'!$AL$6:$AQ$13,6,FALSE),F903)</f>
        <v>5.9405263157894746E-2</v>
      </c>
      <c r="G904" t="str">
        <f>IFERROR(VLOOKUP(B904,'Pre-Summary'!$AE$6:$AJ$85,3,FALSE),"")</f>
        <v/>
      </c>
      <c r="H904" t="str">
        <f>IFERROR(VLOOKUP(B904,'Pre-Summary'!$AE$6:$AJ$85,4,FALSE),"")</f>
        <v/>
      </c>
      <c r="I904" t="str">
        <f>IFERROR(VLOOKUP(B904,'Pre-Summary'!$AE$6:$AJ$85,5,FALSE),"")</f>
        <v/>
      </c>
      <c r="J904" s="45" t="str">
        <f>IFERROR(VLOOKUP(B904,'Pre-Summary'!$AE$6:$AJ$85,6, FALSE),"")</f>
        <v/>
      </c>
      <c r="K904" s="45" t="str">
        <f>IFERROR(VLOOKUP(B904,'Pre-Summary'!$DE$6:$DG$61,3,FALSE),"")</f>
        <v/>
      </c>
      <c r="L904" s="45" t="str">
        <f>IFERROR(VLOOKUP(B904,'Pre-Summary'!$CU$6:$CW$36,3,FALSE),"")</f>
        <v/>
      </c>
      <c r="M904" s="45" t="str">
        <f>IFERROR(VLOOKUP(B904,'Pre-Summary'!$BW$6:$BY$58,2,FALSE),"")</f>
        <v/>
      </c>
      <c r="N904" s="45" t="str">
        <f>IFERROR(VLOOKUP(B904,'Pre-Summary'!$CD$6:$CF$64,2,FALSE),"")</f>
        <v/>
      </c>
      <c r="O904" s="99">
        <f>IFERROR(VLOOKUP(B904,'Pre-Summary'!$BO$6:$BQ$48,3, FALSE),O903)</f>
        <v>1.2</v>
      </c>
      <c r="P904" s="99">
        <f>IFERROR(VLOOKUP(B904,'Pre-Summary'!$BS$6:$BU$35,3,FALSE),P903)</f>
        <v>0.3</v>
      </c>
      <c r="Q904" s="54">
        <f t="shared" si="42"/>
        <v>4</v>
      </c>
      <c r="R904" s="53">
        <f>IFERROR(VLOOKUP(B904,'Pre-Summary'!$BG$6:$BM$44,7,FALSE),R905)</f>
        <v>4.0839377512219534E-2</v>
      </c>
      <c r="S904" s="53">
        <f>IFERROR(VLOOKUP(B904,'Pre-Summary'!$BG$6:$BM$44,6,FALSE),S905)</f>
        <v>3.561480302426305E-2</v>
      </c>
      <c r="T904" s="45" t="str">
        <f>IFERROR(VLOOKUP(B904,'Pre-Summary'!$Y$6:$AC$83, 3,FALSE),"")</f>
        <v/>
      </c>
      <c r="U904" s="45" t="str">
        <f>IFERROR(VLOOKUP(B904,'Pre-Summary'!$Y$6:$AC$83, 4,FALSE),"")</f>
        <v/>
      </c>
      <c r="V904" t="str">
        <f>IFERROR(VLOOKUP(B904,'Pre-Summary'!$Y$6:$AC$83, 5,FALSE),"")</f>
        <v/>
      </c>
      <c r="W904" s="45" t="str">
        <f>IFERROR(VLOOKUP(B904,'Pre-Summary'!$Y$6:$AD$83,6,FALSE),"")</f>
        <v/>
      </c>
      <c r="X904" t="str">
        <f>IFERROR(VLOOKUP('Pre-Summary'!$DB$6:$DD$63,3,FALSE),"")</f>
        <v/>
      </c>
      <c r="Y904" t="str">
        <f>IFERROR(VLOOKUP(B904,'Pre-Summary'!$CR$6:$CT$36,3,FALSE),"")</f>
        <v/>
      </c>
      <c r="Z904" s="45" t="str">
        <f>IFERROR(VLOOKUP(B904,'Pre-Summary'!$BZ$6:$CB$63,2,FALSE),"")</f>
        <v/>
      </c>
      <c r="AA904" s="45" t="str">
        <f>IFERROR(VLOOKUP(B904,'Pre-Summary'!$CG$6:$CI$70,2,FALSE),"")</f>
        <v/>
      </c>
      <c r="AB904" s="99">
        <f>IFERROR(VLOOKUP(B904,'Pre-Summary'!$A$6:$P$178,9,FALSE),AB905)</f>
        <v>0.51107900307227605</v>
      </c>
      <c r="AC904" s="10">
        <f>IFERROR(VLOOKUP(Summary!B904,'Pre-Summary'!$A$6:$P$184,5, FALSE)/100,AC905)</f>
        <v>0.83335766666666655</v>
      </c>
      <c r="AD904" s="10">
        <f>IFERROR(VLOOKUP(Summary!B904,'Pre-Summary'!$A$6:$P$184,3, FALSE)/100,AD905)</f>
        <v>6.2578333333333333E-2</v>
      </c>
      <c r="AE904" s="10">
        <f>IFERROR(VLOOKUP(Summary!B904,'Pre-Summary'!$A$6:$P$184,7, FALSE)/100,AE905)</f>
        <v>0.10406399999999999</v>
      </c>
      <c r="AF904" s="99">
        <f t="shared" si="43"/>
        <v>3.1982472213924584E-2</v>
      </c>
      <c r="AG904" s="99">
        <f t="shared" si="44"/>
        <v>5.3184925375713329E-2</v>
      </c>
      <c r="AH904" s="10" t="str">
        <f>IFERROR(VLOOKUP(B904,'Pre-Summary'!$AZ$6:$BE$65,3,FALSE),"")</f>
        <v/>
      </c>
      <c r="AI904" s="10" t="str">
        <f>IFERROR(VLOOKUP(B904,'Pre-Summary'!$AZ$6:$BE$65,5,FALSE),"")</f>
        <v/>
      </c>
      <c r="AJ904" s="10" t="str">
        <f>IFERROR(VLOOKUP(B904,'Pre-Summary'!$AZ$6:$BE$65,4,FALSE),"")</f>
        <v/>
      </c>
      <c r="AK904" s="10" t="str">
        <f>IFERROR(VLOOKUP(B904,'Pre-Summary'!$AZ$6:$BE$65,6,FALSE),"")</f>
        <v/>
      </c>
      <c r="AL904" s="10" t="str">
        <f>IFERROR(VLOOKUP(B904,'Pre-Summary'!$BG$6:$BL$44,3,FALSE),"")</f>
        <v/>
      </c>
      <c r="AM904" s="10" t="str">
        <f>IFERROR(VLOOKUP(B904,'Pre-Summary'!$BG$6:$BL$44,4,FALSE),"")</f>
        <v/>
      </c>
    </row>
    <row r="905" spans="2:39" ht="15" customHeight="1" x14ac:dyDescent="0.3">
      <c r="B905">
        <v>90.2</v>
      </c>
      <c r="C905" t="str">
        <f>IFERROR(VLOOKUP(B905,'Pre-Summary'!$DI$6:$DM$23,4,FALSE),"")</f>
        <v/>
      </c>
      <c r="D905" s="10" t="str">
        <f>IFERROR(VLOOKUP(B905,'Pre-Summary'!$AT$6:$AX$14,5,FALSE),D904)</f>
        <v>DSMZ v2: Dropped Na-Ac out of DSMZ 120 media</v>
      </c>
      <c r="E905" s="10" t="str">
        <f>IFERROR(VLOOKUP(B905,'Pre-Summary'!$AT$6:$AX$15,4,FALSE),"")</f>
        <v/>
      </c>
      <c r="F905">
        <f>IFERROR(VLOOKUP(B905,'Pre-Summary'!$AL$6:$AQ$13,6,FALSE),F904)</f>
        <v>5.9405263157894746E-2</v>
      </c>
      <c r="G905" t="str">
        <f>IFERROR(VLOOKUP(B905,'Pre-Summary'!$AE$6:$AJ$85,3,FALSE),"")</f>
        <v/>
      </c>
      <c r="H905" t="str">
        <f>IFERROR(VLOOKUP(B905,'Pre-Summary'!$AE$6:$AJ$85,4,FALSE),"")</f>
        <v/>
      </c>
      <c r="I905" t="str">
        <f>IFERROR(VLOOKUP(B905,'Pre-Summary'!$AE$6:$AJ$85,5,FALSE),"")</f>
        <v/>
      </c>
      <c r="J905" s="45" t="str">
        <f>IFERROR(VLOOKUP(B905,'Pre-Summary'!$AE$6:$AJ$85,6, FALSE),"")</f>
        <v/>
      </c>
      <c r="K905" s="45" t="str">
        <f>IFERROR(VLOOKUP(B905,'Pre-Summary'!$DE$6:$DG$61,3,FALSE),"")</f>
        <v/>
      </c>
      <c r="L905" s="45" t="str">
        <f>IFERROR(VLOOKUP(B905,'Pre-Summary'!$CU$6:$CW$36,3,FALSE),"")</f>
        <v/>
      </c>
      <c r="M905" s="45" t="str">
        <f>IFERROR(VLOOKUP(B905,'Pre-Summary'!$BW$6:$BY$58,2,FALSE),"")</f>
        <v/>
      </c>
      <c r="N905" s="45" t="str">
        <f>IFERROR(VLOOKUP(B905,'Pre-Summary'!$CD$6:$CF$64,2,FALSE),"")</f>
        <v/>
      </c>
      <c r="O905" s="99">
        <f>IFERROR(VLOOKUP(B905,'Pre-Summary'!$BO$6:$BQ$48,3, FALSE),O904)</f>
        <v>1.2</v>
      </c>
      <c r="P905" s="99">
        <f>IFERROR(VLOOKUP(B905,'Pre-Summary'!$BS$6:$BU$35,3,FALSE),P904)</f>
        <v>0.3</v>
      </c>
      <c r="Q905" s="54">
        <f t="shared" si="42"/>
        <v>4</v>
      </c>
      <c r="R905" s="53">
        <f>IFERROR(VLOOKUP(B905,'Pre-Summary'!$BG$6:$BM$44,7,FALSE),R906)</f>
        <v>4.0839377512219534E-2</v>
      </c>
      <c r="S905" s="53">
        <f>IFERROR(VLOOKUP(B905,'Pre-Summary'!$BG$6:$BM$44,6,FALSE),S906)</f>
        <v>3.561480302426305E-2</v>
      </c>
      <c r="T905" s="45" t="str">
        <f>IFERROR(VLOOKUP(B905,'Pre-Summary'!$Y$6:$AC$83, 3,FALSE),"")</f>
        <v/>
      </c>
      <c r="U905" s="45" t="str">
        <f>IFERROR(VLOOKUP(B905,'Pre-Summary'!$Y$6:$AC$83, 4,FALSE),"")</f>
        <v/>
      </c>
      <c r="V905" t="str">
        <f>IFERROR(VLOOKUP(B905,'Pre-Summary'!$Y$6:$AC$83, 5,FALSE),"")</f>
        <v/>
      </c>
      <c r="W905" s="45" t="str">
        <f>IFERROR(VLOOKUP(B905,'Pre-Summary'!$Y$6:$AD$83,6,FALSE),"")</f>
        <v/>
      </c>
      <c r="X905" t="str">
        <f>IFERROR(VLOOKUP('Pre-Summary'!$DB$6:$DD$63,3,FALSE),"")</f>
        <v/>
      </c>
      <c r="Y905" t="str">
        <f>IFERROR(VLOOKUP(B905,'Pre-Summary'!$CR$6:$CT$36,3,FALSE),"")</f>
        <v/>
      </c>
      <c r="Z905" s="45" t="str">
        <f>IFERROR(VLOOKUP(B905,'Pre-Summary'!$BZ$6:$CB$63,2,FALSE),"")</f>
        <v/>
      </c>
      <c r="AA905" s="45" t="str">
        <f>IFERROR(VLOOKUP(B905,'Pre-Summary'!$CG$6:$CI$70,2,FALSE),"")</f>
        <v/>
      </c>
      <c r="AB905" s="99">
        <f>IFERROR(VLOOKUP(B905,'Pre-Summary'!$A$6:$P$178,9,FALSE),AB906)</f>
        <v>0.51107900307227605</v>
      </c>
      <c r="AC905" s="10">
        <f>IFERROR(VLOOKUP(Summary!B905,'Pre-Summary'!$A$6:$P$184,5, FALSE)/100,AC906)</f>
        <v>0.83335766666666655</v>
      </c>
      <c r="AD905" s="10">
        <f>IFERROR(VLOOKUP(Summary!B905,'Pre-Summary'!$A$6:$P$184,3, FALSE)/100,AD906)</f>
        <v>6.2578333333333333E-2</v>
      </c>
      <c r="AE905" s="10">
        <f>IFERROR(VLOOKUP(Summary!B905,'Pre-Summary'!$A$6:$P$184,7, FALSE)/100,AE906)</f>
        <v>0.10406399999999999</v>
      </c>
      <c r="AF905" s="99">
        <f t="shared" si="43"/>
        <v>3.1982472213924584E-2</v>
      </c>
      <c r="AG905" s="99">
        <f t="shared" si="44"/>
        <v>5.3184925375713329E-2</v>
      </c>
      <c r="AH905" s="10" t="str">
        <f>IFERROR(VLOOKUP(B905,'Pre-Summary'!$AZ$6:$BE$65,3,FALSE),"")</f>
        <v/>
      </c>
      <c r="AI905" s="10" t="str">
        <f>IFERROR(VLOOKUP(B905,'Pre-Summary'!$AZ$6:$BE$65,5,FALSE),"")</f>
        <v/>
      </c>
      <c r="AJ905" s="10" t="str">
        <f>IFERROR(VLOOKUP(B905,'Pre-Summary'!$AZ$6:$BE$65,4,FALSE),"")</f>
        <v/>
      </c>
      <c r="AK905" s="10" t="str">
        <f>IFERROR(VLOOKUP(B905,'Pre-Summary'!$AZ$6:$BE$65,6,FALSE),"")</f>
        <v/>
      </c>
      <c r="AL905" s="10" t="str">
        <f>IFERROR(VLOOKUP(B905,'Pre-Summary'!$BG$6:$BL$44,3,FALSE),"")</f>
        <v/>
      </c>
      <c r="AM905" s="10" t="str">
        <f>IFERROR(VLOOKUP(B905,'Pre-Summary'!$BG$6:$BL$44,4,FALSE),"")</f>
        <v/>
      </c>
    </row>
    <row r="906" spans="2:39" ht="15" customHeight="1" x14ac:dyDescent="0.3">
      <c r="B906">
        <v>90.3</v>
      </c>
      <c r="C906" t="str">
        <f>IFERROR(VLOOKUP(B906,'Pre-Summary'!$DI$6:$DM$23,4,FALSE),"")</f>
        <v/>
      </c>
      <c r="D906" s="10" t="str">
        <f>IFERROR(VLOOKUP(B906,'Pre-Summary'!$AT$6:$AX$14,5,FALSE),D905)</f>
        <v>DSMZ v2: Dropped Na-Ac out of DSMZ 120 media</v>
      </c>
      <c r="E906" s="10" t="str">
        <f>IFERROR(VLOOKUP(B906,'Pre-Summary'!$AT$6:$AX$15,4,FALSE),"")</f>
        <v/>
      </c>
      <c r="F906">
        <f>IFERROR(VLOOKUP(B906,'Pre-Summary'!$AL$6:$AQ$13,6,FALSE),F905)</f>
        <v>5.9405263157894746E-2</v>
      </c>
      <c r="G906" t="str">
        <f>IFERROR(VLOOKUP(B906,'Pre-Summary'!$AE$6:$AJ$85,3,FALSE),"")</f>
        <v/>
      </c>
      <c r="H906" t="str">
        <f>IFERROR(VLOOKUP(B906,'Pre-Summary'!$AE$6:$AJ$85,4,FALSE),"")</f>
        <v/>
      </c>
      <c r="I906" t="str">
        <f>IFERROR(VLOOKUP(B906,'Pre-Summary'!$AE$6:$AJ$85,5,FALSE),"")</f>
        <v/>
      </c>
      <c r="J906" s="45" t="str">
        <f>IFERROR(VLOOKUP(B906,'Pre-Summary'!$AE$6:$AJ$85,6, FALSE),"")</f>
        <v/>
      </c>
      <c r="K906" s="45" t="str">
        <f>IFERROR(VLOOKUP(B906,'Pre-Summary'!$DE$6:$DG$61,3,FALSE),"")</f>
        <v/>
      </c>
      <c r="L906" s="45" t="str">
        <f>IFERROR(VLOOKUP(B906,'Pre-Summary'!$CU$6:$CW$36,3,FALSE),"")</f>
        <v/>
      </c>
      <c r="M906" s="45" t="str">
        <f>IFERROR(VLOOKUP(B906,'Pre-Summary'!$BW$6:$BY$58,2,FALSE),"")</f>
        <v/>
      </c>
      <c r="N906" s="45" t="str">
        <f>IFERROR(VLOOKUP(B906,'Pre-Summary'!$CD$6:$CF$64,2,FALSE),"")</f>
        <v/>
      </c>
      <c r="O906" s="99">
        <f>IFERROR(VLOOKUP(B906,'Pre-Summary'!$BO$6:$BQ$48,3, FALSE),O905)</f>
        <v>1.2</v>
      </c>
      <c r="P906" s="99">
        <f>IFERROR(VLOOKUP(B906,'Pre-Summary'!$BS$6:$BU$35,3,FALSE),P905)</f>
        <v>0.3</v>
      </c>
      <c r="Q906" s="54">
        <f t="shared" si="42"/>
        <v>4</v>
      </c>
      <c r="R906" s="53">
        <f>IFERROR(VLOOKUP(B906,'Pre-Summary'!$BG$6:$BM$44,7,FALSE),R907)</f>
        <v>4.0839377512219534E-2</v>
      </c>
      <c r="S906" s="53">
        <f>IFERROR(VLOOKUP(B906,'Pre-Summary'!$BG$6:$BM$44,6,FALSE),S907)</f>
        <v>3.561480302426305E-2</v>
      </c>
      <c r="T906" s="45" t="str">
        <f>IFERROR(VLOOKUP(B906,'Pre-Summary'!$Y$6:$AC$83, 3,FALSE),"")</f>
        <v/>
      </c>
      <c r="U906" s="45" t="str">
        <f>IFERROR(VLOOKUP(B906,'Pre-Summary'!$Y$6:$AC$83, 4,FALSE),"")</f>
        <v/>
      </c>
      <c r="V906" t="str">
        <f>IFERROR(VLOOKUP(B906,'Pre-Summary'!$Y$6:$AC$83, 5,FALSE),"")</f>
        <v/>
      </c>
      <c r="W906" s="45" t="str">
        <f>IFERROR(VLOOKUP(B906,'Pre-Summary'!$Y$6:$AD$83,6,FALSE),"")</f>
        <v/>
      </c>
      <c r="X906" t="str">
        <f>IFERROR(VLOOKUP('Pre-Summary'!$DB$6:$DD$63,3,FALSE),"")</f>
        <v/>
      </c>
      <c r="Y906" t="str">
        <f>IFERROR(VLOOKUP(B906,'Pre-Summary'!$CR$6:$CT$36,3,FALSE),"")</f>
        <v/>
      </c>
      <c r="Z906" s="45" t="str">
        <f>IFERROR(VLOOKUP(B906,'Pre-Summary'!$BZ$6:$CB$63,2,FALSE),"")</f>
        <v/>
      </c>
      <c r="AA906" s="45" t="str">
        <f>IFERROR(VLOOKUP(B906,'Pre-Summary'!$CG$6:$CI$70,2,FALSE),"")</f>
        <v/>
      </c>
      <c r="AB906" s="99">
        <f>IFERROR(VLOOKUP(B906,'Pre-Summary'!$A$6:$P$178,9,FALSE),AB907)</f>
        <v>0.51107900307227605</v>
      </c>
      <c r="AC906" s="10">
        <f>IFERROR(VLOOKUP(Summary!B906,'Pre-Summary'!$A$6:$P$184,5, FALSE)/100,AC907)</f>
        <v>0.83335766666666655</v>
      </c>
      <c r="AD906" s="10">
        <f>IFERROR(VLOOKUP(Summary!B906,'Pre-Summary'!$A$6:$P$184,3, FALSE)/100,AD907)</f>
        <v>6.2578333333333333E-2</v>
      </c>
      <c r="AE906" s="10">
        <f>IFERROR(VLOOKUP(Summary!B906,'Pre-Summary'!$A$6:$P$184,7, FALSE)/100,AE907)</f>
        <v>0.10406399999999999</v>
      </c>
      <c r="AF906" s="99">
        <f t="shared" si="43"/>
        <v>3.1982472213924584E-2</v>
      </c>
      <c r="AG906" s="99">
        <f t="shared" si="44"/>
        <v>5.3184925375713329E-2</v>
      </c>
      <c r="AH906" s="10" t="str">
        <f>IFERROR(VLOOKUP(B906,'Pre-Summary'!$AZ$6:$BE$65,3,FALSE),"")</f>
        <v/>
      </c>
      <c r="AI906" s="10" t="str">
        <f>IFERROR(VLOOKUP(B906,'Pre-Summary'!$AZ$6:$BE$65,5,FALSE),"")</f>
        <v/>
      </c>
      <c r="AJ906" s="10" t="str">
        <f>IFERROR(VLOOKUP(B906,'Pre-Summary'!$AZ$6:$BE$65,4,FALSE),"")</f>
        <v/>
      </c>
      <c r="AK906" s="10" t="str">
        <f>IFERROR(VLOOKUP(B906,'Pre-Summary'!$AZ$6:$BE$65,6,FALSE),"")</f>
        <v/>
      </c>
      <c r="AL906" s="10" t="str">
        <f>IFERROR(VLOOKUP(B906,'Pre-Summary'!$BG$6:$BL$44,3,FALSE),"")</f>
        <v/>
      </c>
      <c r="AM906" s="10" t="str">
        <f>IFERROR(VLOOKUP(B906,'Pre-Summary'!$BG$6:$BL$44,4,FALSE),"")</f>
        <v/>
      </c>
    </row>
    <row r="907" spans="2:39" ht="15" customHeight="1" x14ac:dyDescent="0.3">
      <c r="B907">
        <v>90.4</v>
      </c>
      <c r="C907" t="str">
        <f>IFERROR(VLOOKUP(B907,'Pre-Summary'!$DI$6:$DM$23,4,FALSE),"")</f>
        <v/>
      </c>
      <c r="D907" s="10" t="str">
        <f>IFERROR(VLOOKUP(B907,'Pre-Summary'!$AT$6:$AX$14,5,FALSE),D906)</f>
        <v>DSMZ v2: Dropped Na-Ac out of DSMZ 120 media</v>
      </c>
      <c r="E907" s="10" t="str">
        <f>IFERROR(VLOOKUP(B907,'Pre-Summary'!$AT$6:$AX$15,4,FALSE),"")</f>
        <v/>
      </c>
      <c r="F907">
        <f>IFERROR(VLOOKUP(B907,'Pre-Summary'!$AL$6:$AQ$13,6,FALSE),F906)</f>
        <v>5.9405263157894746E-2</v>
      </c>
      <c r="G907" t="str">
        <f>IFERROR(VLOOKUP(B907,'Pre-Summary'!$AE$6:$AJ$85,3,FALSE),"")</f>
        <v/>
      </c>
      <c r="H907" t="str">
        <f>IFERROR(VLOOKUP(B907,'Pre-Summary'!$AE$6:$AJ$85,4,FALSE),"")</f>
        <v/>
      </c>
      <c r="I907" t="str">
        <f>IFERROR(VLOOKUP(B907,'Pre-Summary'!$AE$6:$AJ$85,5,FALSE),"")</f>
        <v/>
      </c>
      <c r="J907" s="45" t="str">
        <f>IFERROR(VLOOKUP(B907,'Pre-Summary'!$AE$6:$AJ$85,6, FALSE),"")</f>
        <v/>
      </c>
      <c r="K907" s="45" t="str">
        <f>IFERROR(VLOOKUP(B907,'Pre-Summary'!$DE$6:$DG$61,3,FALSE),"")</f>
        <v/>
      </c>
      <c r="L907" s="45" t="str">
        <f>IFERROR(VLOOKUP(B907,'Pre-Summary'!$CU$6:$CW$36,3,FALSE),"")</f>
        <v/>
      </c>
      <c r="M907" s="45" t="str">
        <f>IFERROR(VLOOKUP(B907,'Pre-Summary'!$BW$6:$BY$58,2,FALSE),"")</f>
        <v/>
      </c>
      <c r="N907" s="45" t="str">
        <f>IFERROR(VLOOKUP(B907,'Pre-Summary'!$CD$6:$CF$64,2,FALSE),"")</f>
        <v/>
      </c>
      <c r="O907" s="99">
        <f>IFERROR(VLOOKUP(B907,'Pre-Summary'!$BO$6:$BQ$48,3, FALSE),O906)</f>
        <v>1.2</v>
      </c>
      <c r="P907" s="99">
        <f>IFERROR(VLOOKUP(B907,'Pre-Summary'!$BS$6:$BU$35,3,FALSE),P906)</f>
        <v>0.3</v>
      </c>
      <c r="Q907" s="54">
        <f t="shared" si="42"/>
        <v>4</v>
      </c>
      <c r="R907" s="53">
        <f>IFERROR(VLOOKUP(B907,'Pre-Summary'!$BG$6:$BM$44,7,FALSE),R908)</f>
        <v>4.0839377512219534E-2</v>
      </c>
      <c r="S907" s="53">
        <f>IFERROR(VLOOKUP(B907,'Pre-Summary'!$BG$6:$BM$44,6,FALSE),S908)</f>
        <v>3.561480302426305E-2</v>
      </c>
      <c r="T907" s="45" t="str">
        <f>IFERROR(VLOOKUP(B907,'Pre-Summary'!$Y$6:$AC$83, 3,FALSE),"")</f>
        <v/>
      </c>
      <c r="U907" s="45" t="str">
        <f>IFERROR(VLOOKUP(B907,'Pre-Summary'!$Y$6:$AC$83, 4,FALSE),"")</f>
        <v/>
      </c>
      <c r="V907" t="str">
        <f>IFERROR(VLOOKUP(B907,'Pre-Summary'!$Y$6:$AC$83, 5,FALSE),"")</f>
        <v/>
      </c>
      <c r="W907" s="45" t="str">
        <f>IFERROR(VLOOKUP(B907,'Pre-Summary'!$Y$6:$AD$83,6,FALSE),"")</f>
        <v/>
      </c>
      <c r="X907" t="str">
        <f>IFERROR(VLOOKUP('Pre-Summary'!$DB$6:$DD$63,3,FALSE),"")</f>
        <v/>
      </c>
      <c r="Y907" t="str">
        <f>IFERROR(VLOOKUP(B907,'Pre-Summary'!$CR$6:$CT$36,3,FALSE),"")</f>
        <v/>
      </c>
      <c r="Z907" s="45" t="str">
        <f>IFERROR(VLOOKUP(B907,'Pre-Summary'!$BZ$6:$CB$63,2,FALSE),"")</f>
        <v/>
      </c>
      <c r="AA907" s="45" t="str">
        <f>IFERROR(VLOOKUP(B907,'Pre-Summary'!$CG$6:$CI$70,2,FALSE),"")</f>
        <v/>
      </c>
      <c r="AB907" s="99">
        <f>IFERROR(VLOOKUP(B907,'Pre-Summary'!$A$6:$P$178,9,FALSE),AB908)</f>
        <v>0.51107900307227605</v>
      </c>
      <c r="AC907" s="10">
        <f>IFERROR(VLOOKUP(Summary!B907,'Pre-Summary'!$A$6:$P$184,5, FALSE)/100,AC908)</f>
        <v>0.83335766666666655</v>
      </c>
      <c r="AD907" s="10">
        <f>IFERROR(VLOOKUP(Summary!B907,'Pre-Summary'!$A$6:$P$184,3, FALSE)/100,AD908)</f>
        <v>6.2578333333333333E-2</v>
      </c>
      <c r="AE907" s="10">
        <f>IFERROR(VLOOKUP(Summary!B907,'Pre-Summary'!$A$6:$P$184,7, FALSE)/100,AE908)</f>
        <v>0.10406399999999999</v>
      </c>
      <c r="AF907" s="99">
        <f t="shared" si="43"/>
        <v>3.1982472213924584E-2</v>
      </c>
      <c r="AG907" s="99">
        <f t="shared" si="44"/>
        <v>5.3184925375713329E-2</v>
      </c>
      <c r="AH907" s="10" t="str">
        <f>IFERROR(VLOOKUP(B907,'Pre-Summary'!$AZ$6:$BE$65,3,FALSE),"")</f>
        <v/>
      </c>
      <c r="AI907" s="10" t="str">
        <f>IFERROR(VLOOKUP(B907,'Pre-Summary'!$AZ$6:$BE$65,5,FALSE),"")</f>
        <v/>
      </c>
      <c r="AJ907" s="10" t="str">
        <f>IFERROR(VLOOKUP(B907,'Pre-Summary'!$AZ$6:$BE$65,4,FALSE),"")</f>
        <v/>
      </c>
      <c r="AK907" s="10" t="str">
        <f>IFERROR(VLOOKUP(B907,'Pre-Summary'!$AZ$6:$BE$65,6,FALSE),"")</f>
        <v/>
      </c>
      <c r="AL907" s="10" t="str">
        <f>IFERROR(VLOOKUP(B907,'Pre-Summary'!$BG$6:$BL$44,3,FALSE),"")</f>
        <v/>
      </c>
      <c r="AM907" s="10" t="str">
        <f>IFERROR(VLOOKUP(B907,'Pre-Summary'!$BG$6:$BL$44,4,FALSE),"")</f>
        <v/>
      </c>
    </row>
    <row r="908" spans="2:39" ht="15" customHeight="1" x14ac:dyDescent="0.3">
      <c r="B908">
        <v>90.5</v>
      </c>
      <c r="C908" t="str">
        <f>IFERROR(VLOOKUP(B908,'Pre-Summary'!$DI$6:$DM$23,4,FALSE),"")</f>
        <v/>
      </c>
      <c r="D908" s="10" t="str">
        <f>IFERROR(VLOOKUP(B908,'Pre-Summary'!$AT$6:$AX$14,5,FALSE),D907)</f>
        <v>DSMZ v2: Dropped Na-Ac out of DSMZ 120 media</v>
      </c>
      <c r="E908" s="10" t="str">
        <f>IFERROR(VLOOKUP(B908,'Pre-Summary'!$AT$6:$AX$15,4,FALSE),"")</f>
        <v/>
      </c>
      <c r="F908">
        <f>IFERROR(VLOOKUP(B908,'Pre-Summary'!$AL$6:$AQ$13,6,FALSE),F907)</f>
        <v>5.9405263157894746E-2</v>
      </c>
      <c r="G908" t="str">
        <f>IFERROR(VLOOKUP(B908,'Pre-Summary'!$AE$6:$AJ$85,3,FALSE),"")</f>
        <v/>
      </c>
      <c r="H908" t="str">
        <f>IFERROR(VLOOKUP(B908,'Pre-Summary'!$AE$6:$AJ$85,4,FALSE),"")</f>
        <v/>
      </c>
      <c r="I908" t="str">
        <f>IFERROR(VLOOKUP(B908,'Pre-Summary'!$AE$6:$AJ$85,5,FALSE),"")</f>
        <v/>
      </c>
      <c r="J908" s="45" t="str">
        <f>IFERROR(VLOOKUP(B908,'Pre-Summary'!$AE$6:$AJ$85,6, FALSE),"")</f>
        <v/>
      </c>
      <c r="K908" s="45" t="str">
        <f>IFERROR(VLOOKUP(B908,'Pre-Summary'!$DE$6:$DG$61,3,FALSE),"")</f>
        <v/>
      </c>
      <c r="L908" s="45" t="str">
        <f>IFERROR(VLOOKUP(B908,'Pre-Summary'!$CU$6:$CW$36,3,FALSE),"")</f>
        <v/>
      </c>
      <c r="M908" s="45" t="str">
        <f>IFERROR(VLOOKUP(B908,'Pre-Summary'!$BW$6:$BY$58,2,FALSE),"")</f>
        <v/>
      </c>
      <c r="N908" s="45" t="str">
        <f>IFERROR(VLOOKUP(B908,'Pre-Summary'!$CD$6:$CF$64,2,FALSE),"")</f>
        <v/>
      </c>
      <c r="O908" s="99">
        <f>IFERROR(VLOOKUP(B908,'Pre-Summary'!$BO$6:$BQ$48,3, FALSE),O907)</f>
        <v>1.2</v>
      </c>
      <c r="P908" s="99">
        <f>IFERROR(VLOOKUP(B908,'Pre-Summary'!$BS$6:$BU$35,3,FALSE),P907)</f>
        <v>0.3</v>
      </c>
      <c r="Q908" s="54">
        <f t="shared" si="42"/>
        <v>4</v>
      </c>
      <c r="R908" s="53">
        <f>IFERROR(VLOOKUP(B908,'Pre-Summary'!$BG$6:$BM$44,7,FALSE),R909)</f>
        <v>4.0839377512219534E-2</v>
      </c>
      <c r="S908" s="53">
        <f>IFERROR(VLOOKUP(B908,'Pre-Summary'!$BG$6:$BM$44,6,FALSE),S909)</f>
        <v>3.561480302426305E-2</v>
      </c>
      <c r="T908" s="45" t="str">
        <f>IFERROR(VLOOKUP(B908,'Pre-Summary'!$Y$6:$AC$83, 3,FALSE),"")</f>
        <v/>
      </c>
      <c r="U908" s="45" t="str">
        <f>IFERROR(VLOOKUP(B908,'Pre-Summary'!$Y$6:$AC$83, 4,FALSE),"")</f>
        <v/>
      </c>
      <c r="V908" t="str">
        <f>IFERROR(VLOOKUP(B908,'Pre-Summary'!$Y$6:$AC$83, 5,FALSE),"")</f>
        <v/>
      </c>
      <c r="W908" s="45" t="str">
        <f>IFERROR(VLOOKUP(B908,'Pre-Summary'!$Y$6:$AD$83,6,FALSE),"")</f>
        <v/>
      </c>
      <c r="X908" t="str">
        <f>IFERROR(VLOOKUP('Pre-Summary'!$DB$6:$DD$63,3,FALSE),"")</f>
        <v/>
      </c>
      <c r="Y908" t="str">
        <f>IFERROR(VLOOKUP(B908,'Pre-Summary'!$CR$6:$CT$36,3,FALSE),"")</f>
        <v/>
      </c>
      <c r="Z908" s="45" t="str">
        <f>IFERROR(VLOOKUP(B908,'Pre-Summary'!$BZ$6:$CB$63,2,FALSE),"")</f>
        <v/>
      </c>
      <c r="AA908" s="45" t="str">
        <f>IFERROR(VLOOKUP(B908,'Pre-Summary'!$CG$6:$CI$70,2,FALSE),"")</f>
        <v/>
      </c>
      <c r="AB908" s="99">
        <f>IFERROR(VLOOKUP(B908,'Pre-Summary'!$A$6:$P$178,9,FALSE),AB909)</f>
        <v>0.51107900307227605</v>
      </c>
      <c r="AC908" s="10">
        <f>IFERROR(VLOOKUP(Summary!B908,'Pre-Summary'!$A$6:$P$184,5, FALSE)/100,AC909)</f>
        <v>0.83335766666666655</v>
      </c>
      <c r="AD908" s="10">
        <f>IFERROR(VLOOKUP(Summary!B908,'Pre-Summary'!$A$6:$P$184,3, FALSE)/100,AD909)</f>
        <v>6.2578333333333333E-2</v>
      </c>
      <c r="AE908" s="10">
        <f>IFERROR(VLOOKUP(Summary!B908,'Pre-Summary'!$A$6:$P$184,7, FALSE)/100,AE909)</f>
        <v>0.10406399999999999</v>
      </c>
      <c r="AF908" s="99">
        <f t="shared" si="43"/>
        <v>3.1982472213924584E-2</v>
      </c>
      <c r="AG908" s="99">
        <f t="shared" si="44"/>
        <v>5.3184925375713329E-2</v>
      </c>
      <c r="AH908" s="10" t="str">
        <f>IFERROR(VLOOKUP(B908,'Pre-Summary'!$AZ$6:$BE$65,3,FALSE),"")</f>
        <v/>
      </c>
      <c r="AI908" s="10" t="str">
        <f>IFERROR(VLOOKUP(B908,'Pre-Summary'!$AZ$6:$BE$65,5,FALSE),"")</f>
        <v/>
      </c>
      <c r="AJ908" s="10" t="str">
        <f>IFERROR(VLOOKUP(B908,'Pre-Summary'!$AZ$6:$BE$65,4,FALSE),"")</f>
        <v/>
      </c>
      <c r="AK908" s="10" t="str">
        <f>IFERROR(VLOOKUP(B908,'Pre-Summary'!$AZ$6:$BE$65,6,FALSE),"")</f>
        <v/>
      </c>
      <c r="AL908" s="10" t="str">
        <f>IFERROR(VLOOKUP(B908,'Pre-Summary'!$BG$6:$BL$44,3,FALSE),"")</f>
        <v/>
      </c>
      <c r="AM908" s="10" t="str">
        <f>IFERROR(VLOOKUP(B908,'Pre-Summary'!$BG$6:$BL$44,4,FALSE),"")</f>
        <v/>
      </c>
    </row>
    <row r="909" spans="2:39" ht="15" customHeight="1" x14ac:dyDescent="0.3">
      <c r="B909">
        <v>90.6</v>
      </c>
      <c r="C909" t="str">
        <f>IFERROR(VLOOKUP(B909,'Pre-Summary'!$DI$6:$DM$23,4,FALSE),"")</f>
        <v/>
      </c>
      <c r="D909" s="10" t="str">
        <f>IFERROR(VLOOKUP(B909,'Pre-Summary'!$AT$6:$AX$14,5,FALSE),D908)</f>
        <v>DSMZ v2: Dropped Na-Ac out of DSMZ 120 media</v>
      </c>
      <c r="E909" s="10" t="str">
        <f>IFERROR(VLOOKUP(B909,'Pre-Summary'!$AT$6:$AX$15,4,FALSE),"")</f>
        <v/>
      </c>
      <c r="F909">
        <f>IFERROR(VLOOKUP(B909,'Pre-Summary'!$AL$6:$AQ$13,6,FALSE),F908)</f>
        <v>5.9405263157894746E-2</v>
      </c>
      <c r="G909" t="str">
        <f>IFERROR(VLOOKUP(B909,'Pre-Summary'!$AE$6:$AJ$85,3,FALSE),"")</f>
        <v/>
      </c>
      <c r="H909" t="str">
        <f>IFERROR(VLOOKUP(B909,'Pre-Summary'!$AE$6:$AJ$85,4,FALSE),"")</f>
        <v/>
      </c>
      <c r="I909" t="str">
        <f>IFERROR(VLOOKUP(B909,'Pre-Summary'!$AE$6:$AJ$85,5,FALSE),"")</f>
        <v/>
      </c>
      <c r="J909" s="45" t="str">
        <f>IFERROR(VLOOKUP(B909,'Pre-Summary'!$AE$6:$AJ$85,6, FALSE),"")</f>
        <v/>
      </c>
      <c r="K909" s="45" t="str">
        <f>IFERROR(VLOOKUP(B909,'Pre-Summary'!$DE$6:$DG$61,3,FALSE),"")</f>
        <v/>
      </c>
      <c r="L909" s="45" t="str">
        <f>IFERROR(VLOOKUP(B909,'Pre-Summary'!$CU$6:$CW$36,3,FALSE),"")</f>
        <v/>
      </c>
      <c r="M909" s="45" t="str">
        <f>IFERROR(VLOOKUP(B909,'Pre-Summary'!$BW$6:$BY$58,2,FALSE),"")</f>
        <v/>
      </c>
      <c r="N909" s="45" t="str">
        <f>IFERROR(VLOOKUP(B909,'Pre-Summary'!$CD$6:$CF$64,2,FALSE),"")</f>
        <v/>
      </c>
      <c r="O909" s="99">
        <f>IFERROR(VLOOKUP(B909,'Pre-Summary'!$BO$6:$BQ$48,3, FALSE),O908)</f>
        <v>1.2</v>
      </c>
      <c r="P909" s="99">
        <f>IFERROR(VLOOKUP(B909,'Pre-Summary'!$BS$6:$BU$35,3,FALSE),P908)</f>
        <v>0.3</v>
      </c>
      <c r="Q909" s="54">
        <f t="shared" si="42"/>
        <v>4</v>
      </c>
      <c r="R909" s="53">
        <f>IFERROR(VLOOKUP(B909,'Pre-Summary'!$BG$6:$BM$44,7,FALSE),R910)</f>
        <v>4.0839377512219534E-2</v>
      </c>
      <c r="S909" s="53">
        <f>IFERROR(VLOOKUP(B909,'Pre-Summary'!$BG$6:$BM$44,6,FALSE),S910)</f>
        <v>3.561480302426305E-2</v>
      </c>
      <c r="T909" s="45" t="str">
        <f>IFERROR(VLOOKUP(B909,'Pre-Summary'!$Y$6:$AC$83, 3,FALSE),"")</f>
        <v/>
      </c>
      <c r="U909" s="45" t="str">
        <f>IFERROR(VLOOKUP(B909,'Pre-Summary'!$Y$6:$AC$83, 4,FALSE),"")</f>
        <v/>
      </c>
      <c r="V909" t="str">
        <f>IFERROR(VLOOKUP(B909,'Pre-Summary'!$Y$6:$AC$83, 5,FALSE),"")</f>
        <v/>
      </c>
      <c r="W909" s="45" t="str">
        <f>IFERROR(VLOOKUP(B909,'Pre-Summary'!$Y$6:$AD$83,6,FALSE),"")</f>
        <v/>
      </c>
      <c r="X909" t="str">
        <f>IFERROR(VLOOKUP('Pre-Summary'!$DB$6:$DD$63,3,FALSE),"")</f>
        <v/>
      </c>
      <c r="Y909" t="str">
        <f>IFERROR(VLOOKUP(B909,'Pre-Summary'!$CR$6:$CT$36,3,FALSE),"")</f>
        <v/>
      </c>
      <c r="Z909" s="45" t="str">
        <f>IFERROR(VLOOKUP(B909,'Pre-Summary'!$BZ$6:$CB$63,2,FALSE),"")</f>
        <v/>
      </c>
      <c r="AA909" s="45" t="str">
        <f>IFERROR(VLOOKUP(B909,'Pre-Summary'!$CG$6:$CI$70,2,FALSE),"")</f>
        <v/>
      </c>
      <c r="AB909" s="99">
        <f>IFERROR(VLOOKUP(B909,'Pre-Summary'!$A$6:$P$178,9,FALSE),AB910)</f>
        <v>0.51107900307227605</v>
      </c>
      <c r="AC909" s="10">
        <f>IFERROR(VLOOKUP(Summary!B909,'Pre-Summary'!$A$6:$P$184,5, FALSE)/100,AC910)</f>
        <v>0.83335766666666655</v>
      </c>
      <c r="AD909" s="10">
        <f>IFERROR(VLOOKUP(Summary!B909,'Pre-Summary'!$A$6:$P$184,3, FALSE)/100,AD910)</f>
        <v>6.2578333333333333E-2</v>
      </c>
      <c r="AE909" s="10">
        <f>IFERROR(VLOOKUP(Summary!B909,'Pre-Summary'!$A$6:$P$184,7, FALSE)/100,AE910)</f>
        <v>0.10406399999999999</v>
      </c>
      <c r="AF909" s="99">
        <f t="shared" si="43"/>
        <v>3.1982472213924584E-2</v>
      </c>
      <c r="AG909" s="99">
        <f t="shared" si="44"/>
        <v>5.3184925375713329E-2</v>
      </c>
      <c r="AH909" s="10" t="str">
        <f>IFERROR(VLOOKUP(B909,'Pre-Summary'!$AZ$6:$BE$65,3,FALSE),"")</f>
        <v/>
      </c>
      <c r="AI909" s="10" t="str">
        <f>IFERROR(VLOOKUP(B909,'Pre-Summary'!$AZ$6:$BE$65,5,FALSE),"")</f>
        <v/>
      </c>
      <c r="AJ909" s="10" t="str">
        <f>IFERROR(VLOOKUP(B909,'Pre-Summary'!$AZ$6:$BE$65,4,FALSE),"")</f>
        <v/>
      </c>
      <c r="AK909" s="10" t="str">
        <f>IFERROR(VLOOKUP(B909,'Pre-Summary'!$AZ$6:$BE$65,6,FALSE),"")</f>
        <v/>
      </c>
      <c r="AL909" s="10" t="str">
        <f>IFERROR(VLOOKUP(B909,'Pre-Summary'!$BG$6:$BL$44,3,FALSE),"")</f>
        <v/>
      </c>
      <c r="AM909" s="10" t="str">
        <f>IFERROR(VLOOKUP(B909,'Pre-Summary'!$BG$6:$BL$44,4,FALSE),"")</f>
        <v/>
      </c>
    </row>
    <row r="910" spans="2:39" ht="15" customHeight="1" x14ac:dyDescent="0.3">
      <c r="B910">
        <v>90.7</v>
      </c>
      <c r="C910" t="str">
        <f>IFERROR(VLOOKUP(B910,'Pre-Summary'!$DI$6:$DM$23,4,FALSE),"")</f>
        <v/>
      </c>
      <c r="D910" s="10" t="str">
        <f>IFERROR(VLOOKUP(B910,'Pre-Summary'!$AT$6:$AX$14,5,FALSE),D909)</f>
        <v>DSMZ v2: Dropped Na-Ac out of DSMZ 120 media</v>
      </c>
      <c r="E910" s="10" t="str">
        <f>IFERROR(VLOOKUP(B910,'Pre-Summary'!$AT$6:$AX$15,4,FALSE),"")</f>
        <v/>
      </c>
      <c r="F910">
        <f>IFERROR(VLOOKUP(B910,'Pre-Summary'!$AL$6:$AQ$13,6,FALSE),F909)</f>
        <v>5.9405263157894746E-2</v>
      </c>
      <c r="G910" t="str">
        <f>IFERROR(VLOOKUP(B910,'Pre-Summary'!$AE$6:$AJ$85,3,FALSE),"")</f>
        <v/>
      </c>
      <c r="H910" t="str">
        <f>IFERROR(VLOOKUP(B910,'Pre-Summary'!$AE$6:$AJ$85,4,FALSE),"")</f>
        <v/>
      </c>
      <c r="I910" t="str">
        <f>IFERROR(VLOOKUP(B910,'Pre-Summary'!$AE$6:$AJ$85,5,FALSE),"")</f>
        <v/>
      </c>
      <c r="J910" s="45" t="str">
        <f>IFERROR(VLOOKUP(B910,'Pre-Summary'!$AE$6:$AJ$85,6, FALSE),"")</f>
        <v/>
      </c>
      <c r="K910" s="45" t="str">
        <f>IFERROR(VLOOKUP(B910,'Pre-Summary'!$DE$6:$DG$61,3,FALSE),"")</f>
        <v/>
      </c>
      <c r="L910" s="45" t="str">
        <f>IFERROR(VLOOKUP(B910,'Pre-Summary'!$CU$6:$CW$36,3,FALSE),"")</f>
        <v/>
      </c>
      <c r="M910" s="45" t="str">
        <f>IFERROR(VLOOKUP(B910,'Pre-Summary'!$BW$6:$BY$58,2,FALSE),"")</f>
        <v/>
      </c>
      <c r="N910" s="45" t="str">
        <f>IFERROR(VLOOKUP(B910,'Pre-Summary'!$CD$6:$CF$64,2,FALSE),"")</f>
        <v/>
      </c>
      <c r="O910" s="99">
        <f>IFERROR(VLOOKUP(B910,'Pre-Summary'!$BO$6:$BQ$48,3, FALSE),O909)</f>
        <v>1.2</v>
      </c>
      <c r="P910" s="99">
        <f>IFERROR(VLOOKUP(B910,'Pre-Summary'!$BS$6:$BU$35,3,FALSE),P909)</f>
        <v>0.3</v>
      </c>
      <c r="Q910" s="54">
        <f t="shared" si="42"/>
        <v>4</v>
      </c>
      <c r="R910" s="53">
        <f>IFERROR(VLOOKUP(B910,'Pre-Summary'!$BG$6:$BM$44,7,FALSE),R911)</f>
        <v>4.0839377512219534E-2</v>
      </c>
      <c r="S910" s="53">
        <f>IFERROR(VLOOKUP(B910,'Pre-Summary'!$BG$6:$BM$44,6,FALSE),S911)</f>
        <v>3.561480302426305E-2</v>
      </c>
      <c r="T910" s="45" t="str">
        <f>IFERROR(VLOOKUP(B910,'Pre-Summary'!$Y$6:$AC$83, 3,FALSE),"")</f>
        <v/>
      </c>
      <c r="U910" s="45" t="str">
        <f>IFERROR(VLOOKUP(B910,'Pre-Summary'!$Y$6:$AC$83, 4,FALSE),"")</f>
        <v/>
      </c>
      <c r="V910" t="str">
        <f>IFERROR(VLOOKUP(B910,'Pre-Summary'!$Y$6:$AC$83, 5,FALSE),"")</f>
        <v/>
      </c>
      <c r="W910" s="45" t="str">
        <f>IFERROR(VLOOKUP(B910,'Pre-Summary'!$Y$6:$AD$83,6,FALSE),"")</f>
        <v/>
      </c>
      <c r="X910" t="str">
        <f>IFERROR(VLOOKUP('Pre-Summary'!$DB$6:$DD$63,3,FALSE),"")</f>
        <v/>
      </c>
      <c r="Y910" t="str">
        <f>IFERROR(VLOOKUP(B910,'Pre-Summary'!$CR$6:$CT$36,3,FALSE),"")</f>
        <v/>
      </c>
      <c r="Z910" s="45" t="str">
        <f>IFERROR(VLOOKUP(B910,'Pre-Summary'!$BZ$6:$CB$63,2,FALSE),"")</f>
        <v/>
      </c>
      <c r="AA910" s="45" t="str">
        <f>IFERROR(VLOOKUP(B910,'Pre-Summary'!$CG$6:$CI$70,2,FALSE),"")</f>
        <v/>
      </c>
      <c r="AB910" s="99">
        <f>IFERROR(VLOOKUP(B910,'Pre-Summary'!$A$6:$P$178,9,FALSE),AB911)</f>
        <v>0.51107900307227605</v>
      </c>
      <c r="AC910" s="10">
        <f>IFERROR(VLOOKUP(Summary!B910,'Pre-Summary'!$A$6:$P$184,5, FALSE)/100,AC911)</f>
        <v>0.83335766666666655</v>
      </c>
      <c r="AD910" s="10">
        <f>IFERROR(VLOOKUP(Summary!B910,'Pre-Summary'!$A$6:$P$184,3, FALSE)/100,AD911)</f>
        <v>6.2578333333333333E-2</v>
      </c>
      <c r="AE910" s="10">
        <f>IFERROR(VLOOKUP(Summary!B910,'Pre-Summary'!$A$6:$P$184,7, FALSE)/100,AE911)</f>
        <v>0.10406399999999999</v>
      </c>
      <c r="AF910" s="99">
        <f t="shared" si="43"/>
        <v>3.1982472213924584E-2</v>
      </c>
      <c r="AG910" s="99">
        <f t="shared" si="44"/>
        <v>5.3184925375713329E-2</v>
      </c>
      <c r="AH910" s="10" t="str">
        <f>IFERROR(VLOOKUP(B910,'Pre-Summary'!$AZ$6:$BE$65,3,FALSE),"")</f>
        <v/>
      </c>
      <c r="AI910" s="10" t="str">
        <f>IFERROR(VLOOKUP(B910,'Pre-Summary'!$AZ$6:$BE$65,5,FALSE),"")</f>
        <v/>
      </c>
      <c r="AJ910" s="10" t="str">
        <f>IFERROR(VLOOKUP(B910,'Pre-Summary'!$AZ$6:$BE$65,4,FALSE),"")</f>
        <v/>
      </c>
      <c r="AK910" s="10" t="str">
        <f>IFERROR(VLOOKUP(B910,'Pre-Summary'!$AZ$6:$BE$65,6,FALSE),"")</f>
        <v/>
      </c>
      <c r="AL910" s="10" t="str">
        <f>IFERROR(VLOOKUP(B910,'Pre-Summary'!$BG$6:$BL$44,3,FALSE),"")</f>
        <v/>
      </c>
      <c r="AM910" s="10" t="str">
        <f>IFERROR(VLOOKUP(B910,'Pre-Summary'!$BG$6:$BL$44,4,FALSE),"")</f>
        <v/>
      </c>
    </row>
    <row r="911" spans="2:39" ht="15" customHeight="1" x14ac:dyDescent="0.3">
      <c r="B911">
        <v>90.8</v>
      </c>
      <c r="C911" t="str">
        <f>IFERROR(VLOOKUP(B911,'Pre-Summary'!$DI$6:$DM$23,4,FALSE),"")</f>
        <v/>
      </c>
      <c r="D911" s="10" t="str">
        <f>IFERROR(VLOOKUP(B911,'Pre-Summary'!$AT$6:$AX$14,5,FALSE),D910)</f>
        <v>DSMZ v2: Dropped Na-Ac out of DSMZ 120 media</v>
      </c>
      <c r="E911" s="10" t="str">
        <f>IFERROR(VLOOKUP(B911,'Pre-Summary'!$AT$6:$AX$15,4,FALSE),"")</f>
        <v/>
      </c>
      <c r="F911">
        <f>IFERROR(VLOOKUP(B911,'Pre-Summary'!$AL$6:$AQ$13,6,FALSE),F910)</f>
        <v>5.9405263157894746E-2</v>
      </c>
      <c r="G911" t="str">
        <f>IFERROR(VLOOKUP(B911,'Pre-Summary'!$AE$6:$AJ$85,3,FALSE),"")</f>
        <v/>
      </c>
      <c r="H911" t="str">
        <f>IFERROR(VLOOKUP(B911,'Pre-Summary'!$AE$6:$AJ$85,4,FALSE),"")</f>
        <v/>
      </c>
      <c r="I911" t="str">
        <f>IFERROR(VLOOKUP(B911,'Pre-Summary'!$AE$6:$AJ$85,5,FALSE),"")</f>
        <v/>
      </c>
      <c r="J911" s="45" t="str">
        <f>IFERROR(VLOOKUP(B911,'Pre-Summary'!$AE$6:$AJ$85,6, FALSE),"")</f>
        <v/>
      </c>
      <c r="K911" s="45" t="str">
        <f>IFERROR(VLOOKUP(B911,'Pre-Summary'!$DE$6:$DG$61,3,FALSE),"")</f>
        <v/>
      </c>
      <c r="L911" s="45" t="str">
        <f>IFERROR(VLOOKUP(B911,'Pre-Summary'!$CU$6:$CW$36,3,FALSE),"")</f>
        <v/>
      </c>
      <c r="M911" s="45" t="str">
        <f>IFERROR(VLOOKUP(B911,'Pre-Summary'!$BW$6:$BY$58,2,FALSE),"")</f>
        <v/>
      </c>
      <c r="N911" s="45" t="str">
        <f>IFERROR(VLOOKUP(B911,'Pre-Summary'!$CD$6:$CF$64,2,FALSE),"")</f>
        <v/>
      </c>
      <c r="O911" s="99">
        <f>IFERROR(VLOOKUP(B911,'Pre-Summary'!$BO$6:$BQ$48,3, FALSE),O910)</f>
        <v>1.2</v>
      </c>
      <c r="P911" s="99">
        <f>IFERROR(VLOOKUP(B911,'Pre-Summary'!$BS$6:$BU$35,3,FALSE),P910)</f>
        <v>0.3</v>
      </c>
      <c r="Q911" s="54">
        <f t="shared" si="42"/>
        <v>4</v>
      </c>
      <c r="R911" s="53">
        <f>IFERROR(VLOOKUP(B911,'Pre-Summary'!$BG$6:$BM$44,7,FALSE),R912)</f>
        <v>4.0839377512219534E-2</v>
      </c>
      <c r="S911" s="53">
        <f>IFERROR(VLOOKUP(B911,'Pre-Summary'!$BG$6:$BM$44,6,FALSE),S912)</f>
        <v>3.561480302426305E-2</v>
      </c>
      <c r="T911" s="45" t="str">
        <f>IFERROR(VLOOKUP(B911,'Pre-Summary'!$Y$6:$AC$83, 3,FALSE),"")</f>
        <v/>
      </c>
      <c r="U911" s="45" t="str">
        <f>IFERROR(VLOOKUP(B911,'Pre-Summary'!$Y$6:$AC$83, 4,FALSE),"")</f>
        <v/>
      </c>
      <c r="V911" t="str">
        <f>IFERROR(VLOOKUP(B911,'Pre-Summary'!$Y$6:$AC$83, 5,FALSE),"")</f>
        <v/>
      </c>
      <c r="W911" s="45" t="str">
        <f>IFERROR(VLOOKUP(B911,'Pre-Summary'!$Y$6:$AD$83,6,FALSE),"")</f>
        <v/>
      </c>
      <c r="X911" t="str">
        <f>IFERROR(VLOOKUP('Pre-Summary'!$DB$6:$DD$63,3,FALSE),"")</f>
        <v/>
      </c>
      <c r="Y911" t="str">
        <f>IFERROR(VLOOKUP(B911,'Pre-Summary'!$CR$6:$CT$36,3,FALSE),"")</f>
        <v/>
      </c>
      <c r="Z911" s="45" t="str">
        <f>IFERROR(VLOOKUP(B911,'Pre-Summary'!$BZ$6:$CB$63,2,FALSE),"")</f>
        <v/>
      </c>
      <c r="AA911" s="45" t="str">
        <f>IFERROR(VLOOKUP(B911,'Pre-Summary'!$CG$6:$CI$70,2,FALSE),"")</f>
        <v/>
      </c>
      <c r="AB911" s="99">
        <f>IFERROR(VLOOKUP(B911,'Pre-Summary'!$A$6:$P$178,9,FALSE),AB912)</f>
        <v>0.51107900307227605</v>
      </c>
      <c r="AC911" s="10">
        <f>IFERROR(VLOOKUP(Summary!B911,'Pre-Summary'!$A$6:$P$184,5, FALSE)/100,AC912)</f>
        <v>0.83335766666666655</v>
      </c>
      <c r="AD911" s="10">
        <f>IFERROR(VLOOKUP(Summary!B911,'Pre-Summary'!$A$6:$P$184,3, FALSE)/100,AD912)</f>
        <v>6.2578333333333333E-2</v>
      </c>
      <c r="AE911" s="10">
        <f>IFERROR(VLOOKUP(Summary!B911,'Pre-Summary'!$A$6:$P$184,7, FALSE)/100,AE912)</f>
        <v>0.10406399999999999</v>
      </c>
      <c r="AF911" s="99">
        <f t="shared" si="43"/>
        <v>3.1982472213924584E-2</v>
      </c>
      <c r="AG911" s="99">
        <f t="shared" si="44"/>
        <v>5.3184925375713329E-2</v>
      </c>
      <c r="AH911" s="10" t="str">
        <f>IFERROR(VLOOKUP(B911,'Pre-Summary'!$AZ$6:$BE$65,3,FALSE),"")</f>
        <v/>
      </c>
      <c r="AI911" s="10" t="str">
        <f>IFERROR(VLOOKUP(B911,'Pre-Summary'!$AZ$6:$BE$65,5,FALSE),"")</f>
        <v/>
      </c>
      <c r="AJ911" s="10" t="str">
        <f>IFERROR(VLOOKUP(B911,'Pre-Summary'!$AZ$6:$BE$65,4,FALSE),"")</f>
        <v/>
      </c>
      <c r="AK911" s="10" t="str">
        <f>IFERROR(VLOOKUP(B911,'Pre-Summary'!$AZ$6:$BE$65,6,FALSE),"")</f>
        <v/>
      </c>
      <c r="AL911" s="10" t="str">
        <f>IFERROR(VLOOKUP(B911,'Pre-Summary'!$BG$6:$BL$44,3,FALSE),"")</f>
        <v/>
      </c>
      <c r="AM911" s="10" t="str">
        <f>IFERROR(VLOOKUP(B911,'Pre-Summary'!$BG$6:$BL$44,4,FALSE),"")</f>
        <v/>
      </c>
    </row>
    <row r="912" spans="2:39" ht="15" customHeight="1" x14ac:dyDescent="0.3">
      <c r="B912">
        <v>90.9</v>
      </c>
      <c r="C912" t="str">
        <f>IFERROR(VLOOKUP(B912,'Pre-Summary'!$DI$6:$DM$23,4,FALSE),"")</f>
        <v>E34</v>
      </c>
      <c r="D912" s="10" t="str">
        <f>IFERROR(VLOOKUP(B912,'Pre-Summary'!$AT$6:$AX$14,5,FALSE),D911)</f>
        <v>DSMZ v2: Dropped Na-Ac out of DSMZ 120 media</v>
      </c>
      <c r="E912" s="10" t="str">
        <f>IFERROR(VLOOKUP(B912,'Pre-Summary'!$AT$6:$AX$15,4,FALSE),"")</f>
        <v/>
      </c>
      <c r="F912">
        <f>IFERROR(VLOOKUP(B912,'Pre-Summary'!$AL$6:$AQ$13,6,FALSE),F911)</f>
        <v>5.9405263157894746E-2</v>
      </c>
      <c r="G912" t="str">
        <f>IFERROR(VLOOKUP(B912,'Pre-Summary'!$AE$6:$AJ$85,3,FALSE),"")</f>
        <v/>
      </c>
      <c r="H912" t="str">
        <f>IFERROR(VLOOKUP(B912,'Pre-Summary'!$AE$6:$AJ$85,4,FALSE),"")</f>
        <v/>
      </c>
      <c r="I912" t="str">
        <f>IFERROR(VLOOKUP(B912,'Pre-Summary'!$AE$6:$AJ$85,5,FALSE),"")</f>
        <v/>
      </c>
      <c r="J912" s="45" t="str">
        <f>IFERROR(VLOOKUP(B912,'Pre-Summary'!$AE$6:$AJ$85,6, FALSE),"")</f>
        <v/>
      </c>
      <c r="K912" s="45" t="str">
        <f>IFERROR(VLOOKUP(B912,'Pre-Summary'!$DE$6:$DG$61,3,FALSE),"")</f>
        <v/>
      </c>
      <c r="L912" s="45" t="str">
        <f>IFERROR(VLOOKUP(B912,'Pre-Summary'!$CU$6:$CW$36,3,FALSE),"")</f>
        <v/>
      </c>
      <c r="M912" s="45" t="str">
        <f>IFERROR(VLOOKUP(B912,'Pre-Summary'!$BW$6:$BY$58,2,FALSE),"")</f>
        <v/>
      </c>
      <c r="N912" s="45" t="str">
        <f>IFERROR(VLOOKUP(B912,'Pre-Summary'!$CD$6:$CF$64,2,FALSE),"")</f>
        <v/>
      </c>
      <c r="O912" s="99">
        <f>IFERROR(VLOOKUP(B912,'Pre-Summary'!$BO$6:$BQ$48,3, FALSE),O911)</f>
        <v>1.2</v>
      </c>
      <c r="P912" s="99">
        <f>IFERROR(VLOOKUP(B912,'Pre-Summary'!$BS$6:$BU$35,3,FALSE),P911)</f>
        <v>0.3</v>
      </c>
      <c r="Q912" s="54">
        <f t="shared" si="42"/>
        <v>4</v>
      </c>
      <c r="R912" s="53">
        <f>IFERROR(VLOOKUP(B912,'Pre-Summary'!$BG$6:$BM$44,7,FALSE),R913)</f>
        <v>4.0839377512219534E-2</v>
      </c>
      <c r="S912" s="53">
        <f>IFERROR(VLOOKUP(B912,'Pre-Summary'!$BG$6:$BM$44,6,FALSE),S913)</f>
        <v>3.561480302426305E-2</v>
      </c>
      <c r="T912" s="45" t="str">
        <f>IFERROR(VLOOKUP(B912,'Pre-Summary'!$Y$6:$AC$83, 3,FALSE),"")</f>
        <v/>
      </c>
      <c r="U912" s="45" t="str">
        <f>IFERROR(VLOOKUP(B912,'Pre-Summary'!$Y$6:$AC$83, 4,FALSE),"")</f>
        <v/>
      </c>
      <c r="V912" t="str">
        <f>IFERROR(VLOOKUP(B912,'Pre-Summary'!$Y$6:$AC$83, 5,FALSE),"")</f>
        <v/>
      </c>
      <c r="W912" s="45" t="str">
        <f>IFERROR(VLOOKUP(B912,'Pre-Summary'!$Y$6:$AD$83,6,FALSE),"")</f>
        <v/>
      </c>
      <c r="X912" t="str">
        <f>IFERROR(VLOOKUP('Pre-Summary'!$DB$6:$DD$63,3,FALSE),"")</f>
        <v/>
      </c>
      <c r="Y912" t="str">
        <f>IFERROR(VLOOKUP(B912,'Pre-Summary'!$CR$6:$CT$36,3,FALSE),"")</f>
        <v/>
      </c>
      <c r="Z912" s="45" t="str">
        <f>IFERROR(VLOOKUP(B912,'Pre-Summary'!$BZ$6:$CB$63,2,FALSE),"")</f>
        <v/>
      </c>
      <c r="AA912" s="45" t="str">
        <f>IFERROR(VLOOKUP(B912,'Pre-Summary'!$CG$6:$CI$70,2,FALSE),"")</f>
        <v/>
      </c>
      <c r="AB912" s="99">
        <f>IFERROR(VLOOKUP(B912,'Pre-Summary'!$A$6:$P$178,9,FALSE),AB913)</f>
        <v>0.51107900307227605</v>
      </c>
      <c r="AC912" s="10">
        <f>IFERROR(VLOOKUP(Summary!B912,'Pre-Summary'!$A$6:$P$184,5, FALSE)/100,AC913)</f>
        <v>0.83335766666666655</v>
      </c>
      <c r="AD912" s="10">
        <f>IFERROR(VLOOKUP(Summary!B912,'Pre-Summary'!$A$6:$P$184,3, FALSE)/100,AD913)</f>
        <v>6.2578333333333333E-2</v>
      </c>
      <c r="AE912" s="10">
        <f>IFERROR(VLOOKUP(Summary!B912,'Pre-Summary'!$A$6:$P$184,7, FALSE)/100,AE913)</f>
        <v>0.10406399999999999</v>
      </c>
      <c r="AF912" s="99">
        <f t="shared" si="43"/>
        <v>3.1982472213924584E-2</v>
      </c>
      <c r="AG912" s="99">
        <f t="shared" si="44"/>
        <v>5.3184925375713329E-2</v>
      </c>
      <c r="AH912" s="10" t="str">
        <f>IFERROR(VLOOKUP(B912,'Pre-Summary'!$AZ$6:$BE$65,3,FALSE),"")</f>
        <v/>
      </c>
      <c r="AI912" s="10" t="str">
        <f>IFERROR(VLOOKUP(B912,'Pre-Summary'!$AZ$6:$BE$65,5,FALSE),"")</f>
        <v/>
      </c>
      <c r="AJ912" s="10" t="str">
        <f>IFERROR(VLOOKUP(B912,'Pre-Summary'!$AZ$6:$BE$65,4,FALSE),"")</f>
        <v/>
      </c>
      <c r="AK912" s="10" t="str">
        <f>IFERROR(VLOOKUP(B912,'Pre-Summary'!$AZ$6:$BE$65,6,FALSE),"")</f>
        <v/>
      </c>
      <c r="AL912" s="10" t="str">
        <f>IFERROR(VLOOKUP(B912,'Pre-Summary'!$BG$6:$BL$44,3,FALSE),"")</f>
        <v/>
      </c>
      <c r="AM912" s="10" t="str">
        <f>IFERROR(VLOOKUP(B912,'Pre-Summary'!$BG$6:$BL$44,4,FALSE),"")</f>
        <v/>
      </c>
    </row>
    <row r="913" spans="2:39" ht="15" customHeight="1" x14ac:dyDescent="0.3">
      <c r="B913">
        <v>91</v>
      </c>
      <c r="C913" t="str">
        <f>IFERROR(VLOOKUP(B913,'Pre-Summary'!$DI$6:$DM$23,4,FALSE),"")</f>
        <v/>
      </c>
      <c r="D913" s="10" t="str">
        <f>IFERROR(VLOOKUP(B913,'Pre-Summary'!$AT$6:$AX$14,5,FALSE),D912)</f>
        <v>DSMZ v2: Dropped Na-Ac out of DSMZ 120 media</v>
      </c>
      <c r="E913" s="10" t="str">
        <f>IFERROR(VLOOKUP(B913,'Pre-Summary'!$AT$6:$AX$15,4,FALSE),"")</f>
        <v/>
      </c>
      <c r="F913">
        <f>IFERROR(VLOOKUP(B913,'Pre-Summary'!$AL$6:$AQ$13,6,FALSE),F912)</f>
        <v>5.9405263157894746E-2</v>
      </c>
      <c r="G913" t="str">
        <f>IFERROR(VLOOKUP(B913,'Pre-Summary'!$AE$6:$AJ$85,3,FALSE),"")</f>
        <v/>
      </c>
      <c r="H913" t="str">
        <f>IFERROR(VLOOKUP(B913,'Pre-Summary'!$AE$6:$AJ$85,4,FALSE),"")</f>
        <v/>
      </c>
      <c r="I913" t="str">
        <f>IFERROR(VLOOKUP(B913,'Pre-Summary'!$AE$6:$AJ$85,5,FALSE),"")</f>
        <v/>
      </c>
      <c r="J913" s="45" t="str">
        <f>IFERROR(VLOOKUP(B913,'Pre-Summary'!$AE$6:$AJ$85,6, FALSE),"")</f>
        <v/>
      </c>
      <c r="K913" s="45" t="str">
        <f>IFERROR(VLOOKUP(B913,'Pre-Summary'!$DE$6:$DG$61,3,FALSE),"")</f>
        <v/>
      </c>
      <c r="L913" s="45" t="str">
        <f>IFERROR(VLOOKUP(B913,'Pre-Summary'!$CU$6:$CW$36,3,FALSE),"")</f>
        <v/>
      </c>
      <c r="M913" s="45" t="str">
        <f>IFERROR(VLOOKUP(B913,'Pre-Summary'!$BW$6:$BY$58,2,FALSE),"")</f>
        <v/>
      </c>
      <c r="N913" s="45" t="str">
        <f>IFERROR(VLOOKUP(B913,'Pre-Summary'!$CD$6:$CF$64,2,FALSE),"")</f>
        <v/>
      </c>
      <c r="O913" s="99">
        <f>IFERROR(VLOOKUP(B913,'Pre-Summary'!$BO$6:$BQ$48,3, FALSE),O912)</f>
        <v>1.2</v>
      </c>
      <c r="P913" s="99">
        <f>IFERROR(VLOOKUP(B913,'Pre-Summary'!$BS$6:$BU$35,3,FALSE),P912)</f>
        <v>0.3</v>
      </c>
      <c r="Q913" s="54">
        <f t="shared" si="42"/>
        <v>4</v>
      </c>
      <c r="R913" s="53">
        <f>IFERROR(VLOOKUP(B913,'Pre-Summary'!$BG$6:$BM$44,7,FALSE),R914)</f>
        <v>4.0839377512219534E-2</v>
      </c>
      <c r="S913" s="53">
        <f>IFERROR(VLOOKUP(B913,'Pre-Summary'!$BG$6:$BM$44,6,FALSE),S914)</f>
        <v>3.561480302426305E-2</v>
      </c>
      <c r="T913" s="45" t="str">
        <f>IFERROR(VLOOKUP(B913,'Pre-Summary'!$Y$6:$AC$83, 3,FALSE),"")</f>
        <v/>
      </c>
      <c r="U913" s="45" t="str">
        <f>IFERROR(VLOOKUP(B913,'Pre-Summary'!$Y$6:$AC$83, 4,FALSE),"")</f>
        <v/>
      </c>
      <c r="V913" t="str">
        <f>IFERROR(VLOOKUP(B913,'Pre-Summary'!$Y$6:$AC$83, 5,FALSE),"")</f>
        <v/>
      </c>
      <c r="W913" s="45" t="str">
        <f>IFERROR(VLOOKUP(B913,'Pre-Summary'!$Y$6:$AD$83,6,FALSE),"")</f>
        <v/>
      </c>
      <c r="X913" t="str">
        <f>IFERROR(VLOOKUP('Pre-Summary'!$DB$6:$DD$63,3,FALSE),"")</f>
        <v/>
      </c>
      <c r="Y913" t="str">
        <f>IFERROR(VLOOKUP(B913,'Pre-Summary'!$CR$6:$CT$36,3,FALSE),"")</f>
        <v/>
      </c>
      <c r="Z913" s="45" t="str">
        <f>IFERROR(VLOOKUP(B913,'Pre-Summary'!$BZ$6:$CB$63,2,FALSE),"")</f>
        <v/>
      </c>
      <c r="AA913" s="45" t="str">
        <f>IFERROR(VLOOKUP(B913,'Pre-Summary'!$CG$6:$CI$70,2,FALSE),"")</f>
        <v/>
      </c>
      <c r="AB913" s="99">
        <f>IFERROR(VLOOKUP(B913,'Pre-Summary'!$A$6:$P$178,9,FALSE),AB914)</f>
        <v>0.51107900307227605</v>
      </c>
      <c r="AC913" s="10">
        <f>IFERROR(VLOOKUP(Summary!B913,'Pre-Summary'!$A$6:$P$184,5, FALSE)/100,AC914)</f>
        <v>0.83335766666666655</v>
      </c>
      <c r="AD913" s="10">
        <f>IFERROR(VLOOKUP(Summary!B913,'Pre-Summary'!$A$6:$P$184,3, FALSE)/100,AD914)</f>
        <v>6.2578333333333333E-2</v>
      </c>
      <c r="AE913" s="10">
        <f>IFERROR(VLOOKUP(Summary!B913,'Pre-Summary'!$A$6:$P$184,7, FALSE)/100,AE914)</f>
        <v>0.10406399999999999</v>
      </c>
      <c r="AF913" s="99">
        <f t="shared" si="43"/>
        <v>3.1982472213924584E-2</v>
      </c>
      <c r="AG913" s="99">
        <f t="shared" si="44"/>
        <v>5.3184925375713329E-2</v>
      </c>
      <c r="AH913" s="10" t="str">
        <f>IFERROR(VLOOKUP(B913,'Pre-Summary'!$AZ$6:$BE$65,3,FALSE),"")</f>
        <v/>
      </c>
      <c r="AI913" s="10" t="str">
        <f>IFERROR(VLOOKUP(B913,'Pre-Summary'!$AZ$6:$BE$65,5,FALSE),"")</f>
        <v/>
      </c>
      <c r="AJ913" s="10" t="str">
        <f>IFERROR(VLOOKUP(B913,'Pre-Summary'!$AZ$6:$BE$65,4,FALSE),"")</f>
        <v/>
      </c>
      <c r="AK913" s="10" t="str">
        <f>IFERROR(VLOOKUP(B913,'Pre-Summary'!$AZ$6:$BE$65,6,FALSE),"")</f>
        <v/>
      </c>
      <c r="AL913" s="10" t="str">
        <f>IFERROR(VLOOKUP(B913,'Pre-Summary'!$BG$6:$BL$44,3,FALSE),"")</f>
        <v/>
      </c>
      <c r="AM913" s="10" t="str">
        <f>IFERROR(VLOOKUP(B913,'Pre-Summary'!$BG$6:$BL$44,4,FALSE),"")</f>
        <v/>
      </c>
    </row>
    <row r="914" spans="2:39" ht="15" customHeight="1" x14ac:dyDescent="0.3">
      <c r="B914">
        <v>91.1</v>
      </c>
      <c r="C914" t="str">
        <f>IFERROR(VLOOKUP(B914,'Pre-Summary'!$DI$6:$DM$23,4,FALSE),"")</f>
        <v/>
      </c>
      <c r="D914" s="10" t="str">
        <f>IFERROR(VLOOKUP(B914,'Pre-Summary'!$AT$6:$AX$14,5,FALSE),D913)</f>
        <v>DSMZ v2: Dropped Na-Ac out of DSMZ 120 media</v>
      </c>
      <c r="E914" s="10" t="str">
        <f>IFERROR(VLOOKUP(B914,'Pre-Summary'!$AT$6:$AX$15,4,FALSE),"")</f>
        <v/>
      </c>
      <c r="F914">
        <f>IFERROR(VLOOKUP(B914,'Pre-Summary'!$AL$6:$AQ$13,6,FALSE),F913)</f>
        <v>5.9405263157894746E-2</v>
      </c>
      <c r="G914" t="str">
        <f>IFERROR(VLOOKUP(B914,'Pre-Summary'!$AE$6:$AJ$85,3,FALSE),"")</f>
        <v/>
      </c>
      <c r="H914" t="str">
        <f>IFERROR(VLOOKUP(B914,'Pre-Summary'!$AE$6:$AJ$85,4,FALSE),"")</f>
        <v/>
      </c>
      <c r="I914" t="str">
        <f>IFERROR(VLOOKUP(B914,'Pre-Summary'!$AE$6:$AJ$85,5,FALSE),"")</f>
        <v/>
      </c>
      <c r="J914" s="45" t="str">
        <f>IFERROR(VLOOKUP(B914,'Pre-Summary'!$AE$6:$AJ$85,6, FALSE),"")</f>
        <v/>
      </c>
      <c r="K914" s="45" t="str">
        <f>IFERROR(VLOOKUP(B914,'Pre-Summary'!$DE$6:$DG$61,3,FALSE),"")</f>
        <v/>
      </c>
      <c r="L914" s="45" t="str">
        <f>IFERROR(VLOOKUP(B914,'Pre-Summary'!$CU$6:$CW$36,3,FALSE),"")</f>
        <v/>
      </c>
      <c r="M914" s="45" t="str">
        <f>IFERROR(VLOOKUP(B914,'Pre-Summary'!$BW$6:$BY$58,2,FALSE),"")</f>
        <v/>
      </c>
      <c r="N914" s="45" t="str">
        <f>IFERROR(VLOOKUP(B914,'Pre-Summary'!$CD$6:$CF$64,2,FALSE),"")</f>
        <v/>
      </c>
      <c r="O914" s="99">
        <f>IFERROR(VLOOKUP(B914,'Pre-Summary'!$BO$6:$BQ$48,3, FALSE),O913)</f>
        <v>1.2</v>
      </c>
      <c r="P914" s="99">
        <f>IFERROR(VLOOKUP(B914,'Pre-Summary'!$BS$6:$BU$35,3,FALSE),P913)</f>
        <v>0.3</v>
      </c>
      <c r="Q914" s="54">
        <f t="shared" si="42"/>
        <v>4</v>
      </c>
      <c r="R914" s="53">
        <f>IFERROR(VLOOKUP(B914,'Pre-Summary'!$BG$6:$BM$44,7,FALSE),R915)</f>
        <v>4.0839377512219534E-2</v>
      </c>
      <c r="S914" s="53">
        <f>IFERROR(VLOOKUP(B914,'Pre-Summary'!$BG$6:$BM$44,6,FALSE),S915)</f>
        <v>3.561480302426305E-2</v>
      </c>
      <c r="T914" s="45" t="str">
        <f>IFERROR(VLOOKUP(B914,'Pre-Summary'!$Y$6:$AC$83, 3,FALSE),"")</f>
        <v/>
      </c>
      <c r="U914" s="45" t="str">
        <f>IFERROR(VLOOKUP(B914,'Pre-Summary'!$Y$6:$AC$83, 4,FALSE),"")</f>
        <v/>
      </c>
      <c r="V914" t="str">
        <f>IFERROR(VLOOKUP(B914,'Pre-Summary'!$Y$6:$AC$83, 5,FALSE),"")</f>
        <v/>
      </c>
      <c r="W914" s="45" t="str">
        <f>IFERROR(VLOOKUP(B914,'Pre-Summary'!$Y$6:$AD$83,6,FALSE),"")</f>
        <v/>
      </c>
      <c r="X914" t="str">
        <f>IFERROR(VLOOKUP('Pre-Summary'!$DB$6:$DD$63,3,FALSE),"")</f>
        <v/>
      </c>
      <c r="Y914" t="str">
        <f>IFERROR(VLOOKUP(B914,'Pre-Summary'!$CR$6:$CT$36,3,FALSE),"")</f>
        <v/>
      </c>
      <c r="Z914" s="45" t="str">
        <f>IFERROR(VLOOKUP(B914,'Pre-Summary'!$BZ$6:$CB$63,2,FALSE),"")</f>
        <v/>
      </c>
      <c r="AA914" s="45" t="str">
        <f>IFERROR(VLOOKUP(B914,'Pre-Summary'!$CG$6:$CI$70,2,FALSE),"")</f>
        <v/>
      </c>
      <c r="AB914" s="99">
        <f>IFERROR(VLOOKUP(B914,'Pre-Summary'!$A$6:$P$178,9,FALSE),AB915)</f>
        <v>0.51107900307227605</v>
      </c>
      <c r="AC914" s="10">
        <f>IFERROR(VLOOKUP(Summary!B914,'Pre-Summary'!$A$6:$P$184,5, FALSE)/100,AC915)</f>
        <v>0.83335766666666655</v>
      </c>
      <c r="AD914" s="10">
        <f>IFERROR(VLOOKUP(Summary!B914,'Pre-Summary'!$A$6:$P$184,3, FALSE)/100,AD915)</f>
        <v>6.2578333333333333E-2</v>
      </c>
      <c r="AE914" s="10">
        <f>IFERROR(VLOOKUP(Summary!B914,'Pre-Summary'!$A$6:$P$184,7, FALSE)/100,AE915)</f>
        <v>0.10406399999999999</v>
      </c>
      <c r="AF914" s="99">
        <f t="shared" si="43"/>
        <v>3.1982472213924584E-2</v>
      </c>
      <c r="AG914" s="99">
        <f t="shared" si="44"/>
        <v>5.3184925375713329E-2</v>
      </c>
      <c r="AH914" s="10" t="str">
        <f>IFERROR(VLOOKUP(B914,'Pre-Summary'!$AZ$6:$BE$65,3,FALSE),"")</f>
        <v/>
      </c>
      <c r="AI914" s="10" t="str">
        <f>IFERROR(VLOOKUP(B914,'Pre-Summary'!$AZ$6:$BE$65,5,FALSE),"")</f>
        <v/>
      </c>
      <c r="AJ914" s="10" t="str">
        <f>IFERROR(VLOOKUP(B914,'Pre-Summary'!$AZ$6:$BE$65,4,FALSE),"")</f>
        <v/>
      </c>
      <c r="AK914" s="10" t="str">
        <f>IFERROR(VLOOKUP(B914,'Pre-Summary'!$AZ$6:$BE$65,6,FALSE),"")</f>
        <v/>
      </c>
      <c r="AL914" s="10" t="str">
        <f>IFERROR(VLOOKUP(B914,'Pre-Summary'!$BG$6:$BL$44,3,FALSE),"")</f>
        <v/>
      </c>
      <c r="AM914" s="10" t="str">
        <f>IFERROR(VLOOKUP(B914,'Pre-Summary'!$BG$6:$BL$44,4,FALSE),"")</f>
        <v/>
      </c>
    </row>
    <row r="915" spans="2:39" ht="15" customHeight="1" x14ac:dyDescent="0.3">
      <c r="B915">
        <v>91.2</v>
      </c>
      <c r="C915" t="str">
        <f>IFERROR(VLOOKUP(B915,'Pre-Summary'!$DI$6:$DM$23,4,FALSE),"")</f>
        <v/>
      </c>
      <c r="D915" s="10" t="str">
        <f>IFERROR(VLOOKUP(B915,'Pre-Summary'!$AT$6:$AX$14,5,FALSE),D914)</f>
        <v>DSMZ v2: Dropped Na-Ac out of DSMZ 120 media</v>
      </c>
      <c r="E915" s="10" t="str">
        <f>IFERROR(VLOOKUP(B915,'Pre-Summary'!$AT$6:$AX$15,4,FALSE),"")</f>
        <v/>
      </c>
      <c r="F915">
        <f>IFERROR(VLOOKUP(B915,'Pre-Summary'!$AL$6:$AQ$13,6,FALSE),F914)</f>
        <v>5.9405263157894746E-2</v>
      </c>
      <c r="G915" t="str">
        <f>IFERROR(VLOOKUP(B915,'Pre-Summary'!$AE$6:$AJ$85,3,FALSE),"")</f>
        <v/>
      </c>
      <c r="H915" t="str">
        <f>IFERROR(VLOOKUP(B915,'Pre-Summary'!$AE$6:$AJ$85,4,FALSE),"")</f>
        <v/>
      </c>
      <c r="I915" t="str">
        <f>IFERROR(VLOOKUP(B915,'Pre-Summary'!$AE$6:$AJ$85,5,FALSE),"")</f>
        <v/>
      </c>
      <c r="J915" s="45" t="str">
        <f>IFERROR(VLOOKUP(B915,'Pre-Summary'!$AE$6:$AJ$85,6, FALSE),"")</f>
        <v/>
      </c>
      <c r="K915" s="45" t="str">
        <f>IFERROR(VLOOKUP(B915,'Pre-Summary'!$DE$6:$DG$61,3,FALSE),"")</f>
        <v/>
      </c>
      <c r="L915" s="45" t="str">
        <f>IFERROR(VLOOKUP(B915,'Pre-Summary'!$CU$6:$CW$36,3,FALSE),"")</f>
        <v/>
      </c>
      <c r="M915" s="45" t="str">
        <f>IFERROR(VLOOKUP(B915,'Pre-Summary'!$BW$6:$BY$58,2,FALSE),"")</f>
        <v/>
      </c>
      <c r="N915" s="45" t="str">
        <f>IFERROR(VLOOKUP(B915,'Pre-Summary'!$CD$6:$CF$64,2,FALSE),"")</f>
        <v/>
      </c>
      <c r="O915" s="99">
        <f>IFERROR(VLOOKUP(B915,'Pre-Summary'!$BO$6:$BQ$48,3, FALSE),O914)</f>
        <v>1.2</v>
      </c>
      <c r="P915" s="99">
        <f>IFERROR(VLOOKUP(B915,'Pre-Summary'!$BS$6:$BU$35,3,FALSE),P914)</f>
        <v>0.3</v>
      </c>
      <c r="Q915" s="54">
        <f t="shared" si="42"/>
        <v>4</v>
      </c>
      <c r="R915" s="53">
        <f>IFERROR(VLOOKUP(B915,'Pre-Summary'!$BG$6:$BM$44,7,FALSE),R916)</f>
        <v>4.0839377512219534E-2</v>
      </c>
      <c r="S915" s="53">
        <f>IFERROR(VLOOKUP(B915,'Pre-Summary'!$BG$6:$BM$44,6,FALSE),S916)</f>
        <v>3.561480302426305E-2</v>
      </c>
      <c r="T915" s="45" t="str">
        <f>IFERROR(VLOOKUP(B915,'Pre-Summary'!$Y$6:$AC$83, 3,FALSE),"")</f>
        <v/>
      </c>
      <c r="U915" s="45" t="str">
        <f>IFERROR(VLOOKUP(B915,'Pre-Summary'!$Y$6:$AC$83, 4,FALSE),"")</f>
        <v/>
      </c>
      <c r="V915" t="str">
        <f>IFERROR(VLOOKUP(B915,'Pre-Summary'!$Y$6:$AC$83, 5,FALSE),"")</f>
        <v/>
      </c>
      <c r="W915" s="45" t="str">
        <f>IFERROR(VLOOKUP(B915,'Pre-Summary'!$Y$6:$AD$83,6,FALSE),"")</f>
        <v/>
      </c>
      <c r="X915" t="str">
        <f>IFERROR(VLOOKUP('Pre-Summary'!$DB$6:$DD$63,3,FALSE),"")</f>
        <v/>
      </c>
      <c r="Y915" t="str">
        <f>IFERROR(VLOOKUP(B915,'Pre-Summary'!$CR$6:$CT$36,3,FALSE),"")</f>
        <v/>
      </c>
      <c r="Z915" s="45" t="str">
        <f>IFERROR(VLOOKUP(B915,'Pre-Summary'!$BZ$6:$CB$63,2,FALSE),"")</f>
        <v/>
      </c>
      <c r="AA915" s="45" t="str">
        <f>IFERROR(VLOOKUP(B915,'Pre-Summary'!$CG$6:$CI$70,2,FALSE),"")</f>
        <v/>
      </c>
      <c r="AB915" s="99">
        <f>IFERROR(VLOOKUP(B915,'Pre-Summary'!$A$6:$P$178,9,FALSE),AB916)</f>
        <v>0.51107900307227605</v>
      </c>
      <c r="AC915" s="10">
        <f>IFERROR(VLOOKUP(Summary!B915,'Pre-Summary'!$A$6:$P$184,5, FALSE)/100,AC916)</f>
        <v>0.83335766666666655</v>
      </c>
      <c r="AD915" s="10">
        <f>IFERROR(VLOOKUP(Summary!B915,'Pre-Summary'!$A$6:$P$184,3, FALSE)/100,AD916)</f>
        <v>6.2578333333333333E-2</v>
      </c>
      <c r="AE915" s="10">
        <f>IFERROR(VLOOKUP(Summary!B915,'Pre-Summary'!$A$6:$P$184,7, FALSE)/100,AE916)</f>
        <v>0.10406399999999999</v>
      </c>
      <c r="AF915" s="99">
        <f t="shared" si="43"/>
        <v>3.1982472213924584E-2</v>
      </c>
      <c r="AG915" s="99">
        <f t="shared" si="44"/>
        <v>5.3184925375713329E-2</v>
      </c>
      <c r="AH915" s="10" t="str">
        <f>IFERROR(VLOOKUP(B915,'Pre-Summary'!$AZ$6:$BE$65,3,FALSE),"")</f>
        <v/>
      </c>
      <c r="AI915" s="10" t="str">
        <f>IFERROR(VLOOKUP(B915,'Pre-Summary'!$AZ$6:$BE$65,5,FALSE),"")</f>
        <v/>
      </c>
      <c r="AJ915" s="10" t="str">
        <f>IFERROR(VLOOKUP(B915,'Pre-Summary'!$AZ$6:$BE$65,4,FALSE),"")</f>
        <v/>
      </c>
      <c r="AK915" s="10" t="str">
        <f>IFERROR(VLOOKUP(B915,'Pre-Summary'!$AZ$6:$BE$65,6,FALSE),"")</f>
        <v/>
      </c>
      <c r="AL915" s="10" t="str">
        <f>IFERROR(VLOOKUP(B915,'Pre-Summary'!$BG$6:$BL$44,3,FALSE),"")</f>
        <v/>
      </c>
      <c r="AM915" s="10" t="str">
        <f>IFERROR(VLOOKUP(B915,'Pre-Summary'!$BG$6:$BL$44,4,FALSE),"")</f>
        <v/>
      </c>
    </row>
    <row r="916" spans="2:39" ht="15" customHeight="1" x14ac:dyDescent="0.3">
      <c r="B916">
        <v>91.3</v>
      </c>
      <c r="C916" t="str">
        <f>IFERROR(VLOOKUP(B916,'Pre-Summary'!$DI$6:$DM$23,4,FALSE),"")</f>
        <v/>
      </c>
      <c r="D916" s="10" t="str">
        <f>IFERROR(VLOOKUP(B916,'Pre-Summary'!$AT$6:$AX$14,5,FALSE),D915)</f>
        <v>DSMZ v2: Dropped Na-Ac out of DSMZ 120 media</v>
      </c>
      <c r="E916" s="10" t="str">
        <f>IFERROR(VLOOKUP(B916,'Pre-Summary'!$AT$6:$AX$15,4,FALSE),"")</f>
        <v/>
      </c>
      <c r="F916">
        <f>IFERROR(VLOOKUP(B916,'Pre-Summary'!$AL$6:$AQ$13,6,FALSE),F915)</f>
        <v>5.9405263157894746E-2</v>
      </c>
      <c r="G916" t="str">
        <f>IFERROR(VLOOKUP(B916,'Pre-Summary'!$AE$6:$AJ$85,3,FALSE),"")</f>
        <v/>
      </c>
      <c r="H916" t="str">
        <f>IFERROR(VLOOKUP(B916,'Pre-Summary'!$AE$6:$AJ$85,4,FALSE),"")</f>
        <v/>
      </c>
      <c r="I916" t="str">
        <f>IFERROR(VLOOKUP(B916,'Pre-Summary'!$AE$6:$AJ$85,5,FALSE),"")</f>
        <v/>
      </c>
      <c r="J916" s="45" t="str">
        <f>IFERROR(VLOOKUP(B916,'Pre-Summary'!$AE$6:$AJ$85,6, FALSE),"")</f>
        <v/>
      </c>
      <c r="K916" s="45" t="str">
        <f>IFERROR(VLOOKUP(B916,'Pre-Summary'!$DE$6:$DG$61,3,FALSE),"")</f>
        <v/>
      </c>
      <c r="L916" s="45" t="str">
        <f>IFERROR(VLOOKUP(B916,'Pre-Summary'!$CU$6:$CW$36,3,FALSE),"")</f>
        <v/>
      </c>
      <c r="M916" s="45" t="str">
        <f>IFERROR(VLOOKUP(B916,'Pre-Summary'!$BW$6:$BY$58,2,FALSE),"")</f>
        <v/>
      </c>
      <c r="N916" s="45" t="str">
        <f>IFERROR(VLOOKUP(B916,'Pre-Summary'!$CD$6:$CF$64,2,FALSE),"")</f>
        <v/>
      </c>
      <c r="O916" s="99">
        <f>IFERROR(VLOOKUP(B916,'Pre-Summary'!$BO$6:$BQ$48,3, FALSE),O915)</f>
        <v>1.2</v>
      </c>
      <c r="P916" s="99">
        <f>IFERROR(VLOOKUP(B916,'Pre-Summary'!$BS$6:$BU$35,3,FALSE),P915)</f>
        <v>0.3</v>
      </c>
      <c r="Q916" s="54">
        <f t="shared" si="42"/>
        <v>4</v>
      </c>
      <c r="R916" s="53">
        <f>IFERROR(VLOOKUP(B916,'Pre-Summary'!$BG$6:$BM$44,7,FALSE),R917)</f>
        <v>4.0839377512219534E-2</v>
      </c>
      <c r="S916" s="53">
        <f>IFERROR(VLOOKUP(B916,'Pre-Summary'!$BG$6:$BM$44,6,FALSE),S917)</f>
        <v>3.561480302426305E-2</v>
      </c>
      <c r="T916" s="45" t="str">
        <f>IFERROR(VLOOKUP(B916,'Pre-Summary'!$Y$6:$AC$83, 3,FALSE),"")</f>
        <v/>
      </c>
      <c r="U916" s="45" t="str">
        <f>IFERROR(VLOOKUP(B916,'Pre-Summary'!$Y$6:$AC$83, 4,FALSE),"")</f>
        <v/>
      </c>
      <c r="V916" t="str">
        <f>IFERROR(VLOOKUP(B916,'Pre-Summary'!$Y$6:$AC$83, 5,FALSE),"")</f>
        <v/>
      </c>
      <c r="W916" s="45" t="str">
        <f>IFERROR(VLOOKUP(B916,'Pre-Summary'!$Y$6:$AD$83,6,FALSE),"")</f>
        <v/>
      </c>
      <c r="X916" t="str">
        <f>IFERROR(VLOOKUP('Pre-Summary'!$DB$6:$DD$63,3,FALSE),"")</f>
        <v/>
      </c>
      <c r="Y916" t="str">
        <f>IFERROR(VLOOKUP(B916,'Pre-Summary'!$CR$6:$CT$36,3,FALSE),"")</f>
        <v/>
      </c>
      <c r="Z916" s="45" t="str">
        <f>IFERROR(VLOOKUP(B916,'Pre-Summary'!$BZ$6:$CB$63,2,FALSE),"")</f>
        <v/>
      </c>
      <c r="AA916" s="45" t="str">
        <f>IFERROR(VLOOKUP(B916,'Pre-Summary'!$CG$6:$CI$70,2,FALSE),"")</f>
        <v/>
      </c>
      <c r="AB916" s="99">
        <f>IFERROR(VLOOKUP(B916,'Pre-Summary'!$A$6:$P$178,9,FALSE),AB917)</f>
        <v>0.51107900307227605</v>
      </c>
      <c r="AC916" s="10">
        <f>IFERROR(VLOOKUP(Summary!B916,'Pre-Summary'!$A$6:$P$184,5, FALSE)/100,AC917)</f>
        <v>0.83335766666666655</v>
      </c>
      <c r="AD916" s="10">
        <f>IFERROR(VLOOKUP(Summary!B916,'Pre-Summary'!$A$6:$P$184,3, FALSE)/100,AD917)</f>
        <v>6.2578333333333333E-2</v>
      </c>
      <c r="AE916" s="10">
        <f>IFERROR(VLOOKUP(Summary!B916,'Pre-Summary'!$A$6:$P$184,7, FALSE)/100,AE917)</f>
        <v>0.10406399999999999</v>
      </c>
      <c r="AF916" s="99">
        <f t="shared" si="43"/>
        <v>3.1982472213924584E-2</v>
      </c>
      <c r="AG916" s="99">
        <f t="shared" si="44"/>
        <v>5.3184925375713329E-2</v>
      </c>
      <c r="AH916" s="10" t="str">
        <f>IFERROR(VLOOKUP(B916,'Pre-Summary'!$AZ$6:$BE$65,3,FALSE),"")</f>
        <v/>
      </c>
      <c r="AI916" s="10" t="str">
        <f>IFERROR(VLOOKUP(B916,'Pre-Summary'!$AZ$6:$BE$65,5,FALSE),"")</f>
        <v/>
      </c>
      <c r="AJ916" s="10" t="str">
        <f>IFERROR(VLOOKUP(B916,'Pre-Summary'!$AZ$6:$BE$65,4,FALSE),"")</f>
        <v/>
      </c>
      <c r="AK916" s="10" t="str">
        <f>IFERROR(VLOOKUP(B916,'Pre-Summary'!$AZ$6:$BE$65,6,FALSE),"")</f>
        <v/>
      </c>
      <c r="AL916" s="10" t="str">
        <f>IFERROR(VLOOKUP(B916,'Pre-Summary'!$BG$6:$BL$44,3,FALSE),"")</f>
        <v/>
      </c>
      <c r="AM916" s="10" t="str">
        <f>IFERROR(VLOOKUP(B916,'Pre-Summary'!$BG$6:$BL$44,4,FALSE),"")</f>
        <v/>
      </c>
    </row>
    <row r="917" spans="2:39" ht="15" customHeight="1" x14ac:dyDescent="0.3">
      <c r="B917">
        <v>91.4</v>
      </c>
      <c r="C917" t="str">
        <f>IFERROR(VLOOKUP(B917,'Pre-Summary'!$DI$6:$DM$23,4,FALSE),"")</f>
        <v/>
      </c>
      <c r="D917" s="10" t="str">
        <f>IFERROR(VLOOKUP(B917,'Pre-Summary'!$AT$6:$AX$14,5,FALSE),D916)</f>
        <v>DSMZ v2: Dropped Na-Ac out of DSMZ 120 media</v>
      </c>
      <c r="E917" s="10" t="str">
        <f>IFERROR(VLOOKUP(B917,'Pre-Summary'!$AT$6:$AX$15,4,FALSE),"")</f>
        <v/>
      </c>
      <c r="F917">
        <f>IFERROR(VLOOKUP(B917,'Pre-Summary'!$AL$6:$AQ$13,6,FALSE),F916)</f>
        <v>5.9405263157894746E-2</v>
      </c>
      <c r="G917" t="str">
        <f>IFERROR(VLOOKUP(B917,'Pre-Summary'!$AE$6:$AJ$85,3,FALSE),"")</f>
        <v/>
      </c>
      <c r="H917" t="str">
        <f>IFERROR(VLOOKUP(B917,'Pre-Summary'!$AE$6:$AJ$85,4,FALSE),"")</f>
        <v/>
      </c>
      <c r="I917" t="str">
        <f>IFERROR(VLOOKUP(B917,'Pre-Summary'!$AE$6:$AJ$85,5,FALSE),"")</f>
        <v/>
      </c>
      <c r="J917" s="45" t="str">
        <f>IFERROR(VLOOKUP(B917,'Pre-Summary'!$AE$6:$AJ$85,6, FALSE),"")</f>
        <v/>
      </c>
      <c r="K917" s="45" t="str">
        <f>IFERROR(VLOOKUP(B917,'Pre-Summary'!$DE$6:$DG$61,3,FALSE),"")</f>
        <v/>
      </c>
      <c r="L917" s="45" t="str">
        <f>IFERROR(VLOOKUP(B917,'Pre-Summary'!$CU$6:$CW$36,3,FALSE),"")</f>
        <v/>
      </c>
      <c r="M917" s="45" t="str">
        <f>IFERROR(VLOOKUP(B917,'Pre-Summary'!$BW$6:$BY$58,2,FALSE),"")</f>
        <v/>
      </c>
      <c r="N917" s="45" t="str">
        <f>IFERROR(VLOOKUP(B917,'Pre-Summary'!$CD$6:$CF$64,2,FALSE),"")</f>
        <v/>
      </c>
      <c r="O917" s="99">
        <f>IFERROR(VLOOKUP(B917,'Pre-Summary'!$BO$6:$BQ$48,3, FALSE),O916)</f>
        <v>1.2</v>
      </c>
      <c r="P917" s="99">
        <f>IFERROR(VLOOKUP(B917,'Pre-Summary'!$BS$6:$BU$35,3,FALSE),P916)</f>
        <v>0.3</v>
      </c>
      <c r="Q917" s="54">
        <f t="shared" si="42"/>
        <v>4</v>
      </c>
      <c r="R917" s="53">
        <f>IFERROR(VLOOKUP(B917,'Pre-Summary'!$BG$6:$BM$44,7,FALSE),R918)</f>
        <v>4.0839377512219534E-2</v>
      </c>
      <c r="S917" s="53">
        <f>IFERROR(VLOOKUP(B917,'Pre-Summary'!$BG$6:$BM$44,6,FALSE),S918)</f>
        <v>3.561480302426305E-2</v>
      </c>
      <c r="T917" s="45" t="str">
        <f>IFERROR(VLOOKUP(B917,'Pre-Summary'!$Y$6:$AC$83, 3,FALSE),"")</f>
        <v/>
      </c>
      <c r="U917" s="45" t="str">
        <f>IFERROR(VLOOKUP(B917,'Pre-Summary'!$Y$6:$AC$83, 4,FALSE),"")</f>
        <v/>
      </c>
      <c r="V917" t="str">
        <f>IFERROR(VLOOKUP(B917,'Pre-Summary'!$Y$6:$AC$83, 5,FALSE),"")</f>
        <v/>
      </c>
      <c r="W917" s="45" t="str">
        <f>IFERROR(VLOOKUP(B917,'Pre-Summary'!$Y$6:$AD$83,6,FALSE),"")</f>
        <v/>
      </c>
      <c r="X917" t="str">
        <f>IFERROR(VLOOKUP('Pre-Summary'!$DB$6:$DD$63,3,FALSE),"")</f>
        <v/>
      </c>
      <c r="Y917" t="str">
        <f>IFERROR(VLOOKUP(B917,'Pre-Summary'!$CR$6:$CT$36,3,FALSE),"")</f>
        <v/>
      </c>
      <c r="Z917" s="45" t="str">
        <f>IFERROR(VLOOKUP(B917,'Pre-Summary'!$BZ$6:$CB$63,2,FALSE),"")</f>
        <v/>
      </c>
      <c r="AA917" s="45" t="str">
        <f>IFERROR(VLOOKUP(B917,'Pre-Summary'!$CG$6:$CI$70,2,FALSE),"")</f>
        <v/>
      </c>
      <c r="AB917" s="99">
        <f>IFERROR(VLOOKUP(B917,'Pre-Summary'!$A$6:$P$178,9,FALSE),AB918)</f>
        <v>0.51107900307227605</v>
      </c>
      <c r="AC917" s="10">
        <f>IFERROR(VLOOKUP(Summary!B917,'Pre-Summary'!$A$6:$P$184,5, FALSE)/100,AC918)</f>
        <v>0.83335766666666655</v>
      </c>
      <c r="AD917" s="10">
        <f>IFERROR(VLOOKUP(Summary!B917,'Pre-Summary'!$A$6:$P$184,3, FALSE)/100,AD918)</f>
        <v>6.2578333333333333E-2</v>
      </c>
      <c r="AE917" s="10">
        <f>IFERROR(VLOOKUP(Summary!B917,'Pre-Summary'!$A$6:$P$184,7, FALSE)/100,AE918)</f>
        <v>0.10406399999999999</v>
      </c>
      <c r="AF917" s="99">
        <f t="shared" si="43"/>
        <v>3.1982472213924584E-2</v>
      </c>
      <c r="AG917" s="99">
        <f t="shared" si="44"/>
        <v>5.3184925375713329E-2</v>
      </c>
      <c r="AH917" s="10" t="str">
        <f>IFERROR(VLOOKUP(B917,'Pre-Summary'!$AZ$6:$BE$65,3,FALSE),"")</f>
        <v/>
      </c>
      <c r="AI917" s="10" t="str">
        <f>IFERROR(VLOOKUP(B917,'Pre-Summary'!$AZ$6:$BE$65,5,FALSE),"")</f>
        <v/>
      </c>
      <c r="AJ917" s="10" t="str">
        <f>IFERROR(VLOOKUP(B917,'Pre-Summary'!$AZ$6:$BE$65,4,FALSE),"")</f>
        <v/>
      </c>
      <c r="AK917" s="10" t="str">
        <f>IFERROR(VLOOKUP(B917,'Pre-Summary'!$AZ$6:$BE$65,6,FALSE),"")</f>
        <v/>
      </c>
      <c r="AL917" s="10" t="str">
        <f>IFERROR(VLOOKUP(B917,'Pre-Summary'!$BG$6:$BL$44,3,FALSE),"")</f>
        <v/>
      </c>
      <c r="AM917" s="10" t="str">
        <f>IFERROR(VLOOKUP(B917,'Pre-Summary'!$BG$6:$BL$44,4,FALSE),"")</f>
        <v/>
      </c>
    </row>
    <row r="918" spans="2:39" ht="15" customHeight="1" x14ac:dyDescent="0.3">
      <c r="B918">
        <v>91.5</v>
      </c>
      <c r="C918" t="str">
        <f>IFERROR(VLOOKUP(B918,'Pre-Summary'!$DI$6:$DM$23,4,FALSE),"")</f>
        <v/>
      </c>
      <c r="D918" s="10" t="str">
        <f>IFERROR(VLOOKUP(B918,'Pre-Summary'!$AT$6:$AX$14,5,FALSE),D917)</f>
        <v>DSMZ v2: Dropped Na-Ac out of DSMZ 120 media</v>
      </c>
      <c r="E918" s="10" t="str">
        <f>IFERROR(VLOOKUP(B918,'Pre-Summary'!$AT$6:$AX$15,4,FALSE),"")</f>
        <v/>
      </c>
      <c r="F918">
        <f>IFERROR(VLOOKUP(B918,'Pre-Summary'!$AL$6:$AQ$13,6,FALSE),F917)</f>
        <v>5.9405263157894746E-2</v>
      </c>
      <c r="G918" t="str">
        <f>IFERROR(VLOOKUP(B918,'Pre-Summary'!$AE$6:$AJ$85,3,FALSE),"")</f>
        <v/>
      </c>
      <c r="H918" t="str">
        <f>IFERROR(VLOOKUP(B918,'Pre-Summary'!$AE$6:$AJ$85,4,FALSE),"")</f>
        <v/>
      </c>
      <c r="I918" t="str">
        <f>IFERROR(VLOOKUP(B918,'Pre-Summary'!$AE$6:$AJ$85,5,FALSE),"")</f>
        <v/>
      </c>
      <c r="J918" s="45" t="str">
        <f>IFERROR(VLOOKUP(B918,'Pre-Summary'!$AE$6:$AJ$85,6, FALSE),"")</f>
        <v/>
      </c>
      <c r="K918" s="45" t="str">
        <f>IFERROR(VLOOKUP(B918,'Pre-Summary'!$DE$6:$DG$61,3,FALSE),"")</f>
        <v/>
      </c>
      <c r="L918" s="45" t="str">
        <f>IFERROR(VLOOKUP(B918,'Pre-Summary'!$CU$6:$CW$36,3,FALSE),"")</f>
        <v/>
      </c>
      <c r="M918" s="45" t="str">
        <f>IFERROR(VLOOKUP(B918,'Pre-Summary'!$BW$6:$BY$58,2,FALSE),"")</f>
        <v/>
      </c>
      <c r="N918" s="45" t="str">
        <f>IFERROR(VLOOKUP(B918,'Pre-Summary'!$CD$6:$CF$64,2,FALSE),"")</f>
        <v/>
      </c>
      <c r="O918" s="99">
        <f>IFERROR(VLOOKUP(B918,'Pre-Summary'!$BO$6:$BQ$48,3, FALSE),O917)</f>
        <v>1.2</v>
      </c>
      <c r="P918" s="99">
        <f>IFERROR(VLOOKUP(B918,'Pre-Summary'!$BS$6:$BU$35,3,FALSE),P917)</f>
        <v>0.3</v>
      </c>
      <c r="Q918" s="54">
        <f t="shared" si="42"/>
        <v>4</v>
      </c>
      <c r="R918" s="53">
        <f>IFERROR(VLOOKUP(B918,'Pre-Summary'!$BG$6:$BM$44,7,FALSE),R919)</f>
        <v>4.0839377512219534E-2</v>
      </c>
      <c r="S918" s="53">
        <f>IFERROR(VLOOKUP(B918,'Pre-Summary'!$BG$6:$BM$44,6,FALSE),S919)</f>
        <v>3.561480302426305E-2</v>
      </c>
      <c r="T918" s="45" t="str">
        <f>IFERROR(VLOOKUP(B918,'Pre-Summary'!$Y$6:$AC$83, 3,FALSE),"")</f>
        <v/>
      </c>
      <c r="U918" s="45" t="str">
        <f>IFERROR(VLOOKUP(B918,'Pre-Summary'!$Y$6:$AC$83, 4,FALSE),"")</f>
        <v/>
      </c>
      <c r="V918" t="str">
        <f>IFERROR(VLOOKUP(B918,'Pre-Summary'!$Y$6:$AC$83, 5,FALSE),"")</f>
        <v/>
      </c>
      <c r="W918" s="45" t="str">
        <f>IFERROR(VLOOKUP(B918,'Pre-Summary'!$Y$6:$AD$83,6,FALSE),"")</f>
        <v/>
      </c>
      <c r="X918" t="str">
        <f>IFERROR(VLOOKUP('Pre-Summary'!$DB$6:$DD$63,3,FALSE),"")</f>
        <v/>
      </c>
      <c r="Y918" t="str">
        <f>IFERROR(VLOOKUP(B918,'Pre-Summary'!$CR$6:$CT$36,3,FALSE),"")</f>
        <v/>
      </c>
      <c r="Z918" s="45" t="str">
        <f>IFERROR(VLOOKUP(B918,'Pre-Summary'!$BZ$6:$CB$63,2,FALSE),"")</f>
        <v/>
      </c>
      <c r="AA918" s="45" t="str">
        <f>IFERROR(VLOOKUP(B918,'Pre-Summary'!$CG$6:$CI$70,2,FALSE),"")</f>
        <v/>
      </c>
      <c r="AB918" s="99">
        <f>IFERROR(VLOOKUP(B918,'Pre-Summary'!$A$6:$P$178,9,FALSE),AB919)</f>
        <v>0.51107900307227605</v>
      </c>
      <c r="AC918" s="10">
        <f>IFERROR(VLOOKUP(Summary!B918,'Pre-Summary'!$A$6:$P$184,5, FALSE)/100,AC919)</f>
        <v>0.83335766666666655</v>
      </c>
      <c r="AD918" s="10">
        <f>IFERROR(VLOOKUP(Summary!B918,'Pre-Summary'!$A$6:$P$184,3, FALSE)/100,AD919)</f>
        <v>6.2578333333333333E-2</v>
      </c>
      <c r="AE918" s="10">
        <f>IFERROR(VLOOKUP(Summary!B918,'Pre-Summary'!$A$6:$P$184,7, FALSE)/100,AE919)</f>
        <v>0.10406399999999999</v>
      </c>
      <c r="AF918" s="99">
        <f t="shared" si="43"/>
        <v>3.1982472213924584E-2</v>
      </c>
      <c r="AG918" s="99">
        <f t="shared" si="44"/>
        <v>5.3184925375713329E-2</v>
      </c>
      <c r="AH918" s="10" t="str">
        <f>IFERROR(VLOOKUP(B918,'Pre-Summary'!$AZ$6:$BE$65,3,FALSE),"")</f>
        <v/>
      </c>
      <c r="AI918" s="10" t="str">
        <f>IFERROR(VLOOKUP(B918,'Pre-Summary'!$AZ$6:$BE$65,5,FALSE),"")</f>
        <v/>
      </c>
      <c r="AJ918" s="10" t="str">
        <f>IFERROR(VLOOKUP(B918,'Pre-Summary'!$AZ$6:$BE$65,4,FALSE),"")</f>
        <v/>
      </c>
      <c r="AK918" s="10" t="str">
        <f>IFERROR(VLOOKUP(B918,'Pre-Summary'!$AZ$6:$BE$65,6,FALSE),"")</f>
        <v/>
      </c>
      <c r="AL918" s="10" t="str">
        <f>IFERROR(VLOOKUP(B918,'Pre-Summary'!$BG$6:$BL$44,3,FALSE),"")</f>
        <v/>
      </c>
      <c r="AM918" s="10" t="str">
        <f>IFERROR(VLOOKUP(B918,'Pre-Summary'!$BG$6:$BL$44,4,FALSE),"")</f>
        <v/>
      </c>
    </row>
    <row r="919" spans="2:39" ht="15" customHeight="1" x14ac:dyDescent="0.3">
      <c r="B919">
        <v>91.6</v>
      </c>
      <c r="C919" t="str">
        <f>IFERROR(VLOOKUP(B919,'Pre-Summary'!$DI$6:$DM$23,4,FALSE),"")</f>
        <v/>
      </c>
      <c r="D919" s="10" t="str">
        <f>IFERROR(VLOOKUP(B919,'Pre-Summary'!$AT$6:$AX$14,5,FALSE),D918)</f>
        <v>DSMZ v2: Dropped Na-Ac out of DSMZ 120 media</v>
      </c>
      <c r="E919" s="10" t="str">
        <f>IFERROR(VLOOKUP(B919,'Pre-Summary'!$AT$6:$AX$15,4,FALSE),"")</f>
        <v/>
      </c>
      <c r="F919">
        <f>IFERROR(VLOOKUP(B919,'Pre-Summary'!$AL$6:$AQ$13,6,FALSE),F918)</f>
        <v>5.9405263157894746E-2</v>
      </c>
      <c r="G919" t="str">
        <f>IFERROR(VLOOKUP(B919,'Pre-Summary'!$AE$6:$AJ$85,3,FALSE),"")</f>
        <v/>
      </c>
      <c r="H919" t="str">
        <f>IFERROR(VLOOKUP(B919,'Pre-Summary'!$AE$6:$AJ$85,4,FALSE),"")</f>
        <v/>
      </c>
      <c r="I919" t="str">
        <f>IFERROR(VLOOKUP(B919,'Pre-Summary'!$AE$6:$AJ$85,5,FALSE),"")</f>
        <v/>
      </c>
      <c r="J919" s="45" t="str">
        <f>IFERROR(VLOOKUP(B919,'Pre-Summary'!$AE$6:$AJ$85,6, FALSE),"")</f>
        <v/>
      </c>
      <c r="K919" s="45" t="str">
        <f>IFERROR(VLOOKUP(B919,'Pre-Summary'!$DE$6:$DG$61,3,FALSE),"")</f>
        <v/>
      </c>
      <c r="L919" s="45" t="str">
        <f>IFERROR(VLOOKUP(B919,'Pre-Summary'!$CU$6:$CW$36,3,FALSE),"")</f>
        <v/>
      </c>
      <c r="M919" s="45" t="str">
        <f>IFERROR(VLOOKUP(B919,'Pre-Summary'!$BW$6:$BY$58,2,FALSE),"")</f>
        <v/>
      </c>
      <c r="N919" s="45" t="str">
        <f>IFERROR(VLOOKUP(B919,'Pre-Summary'!$CD$6:$CF$64,2,FALSE),"")</f>
        <v/>
      </c>
      <c r="O919" s="99">
        <f>IFERROR(VLOOKUP(B919,'Pre-Summary'!$BO$6:$BQ$48,3, FALSE),O918)</f>
        <v>1.2</v>
      </c>
      <c r="P919" s="99">
        <f>IFERROR(VLOOKUP(B919,'Pre-Summary'!$BS$6:$BU$35,3,FALSE),P918)</f>
        <v>0.3</v>
      </c>
      <c r="Q919" s="54">
        <f t="shared" si="42"/>
        <v>4</v>
      </c>
      <c r="R919" s="53">
        <f>IFERROR(VLOOKUP(B919,'Pre-Summary'!$BG$6:$BM$44,7,FALSE),R920)</f>
        <v>4.0839377512219534E-2</v>
      </c>
      <c r="S919" s="53">
        <f>IFERROR(VLOOKUP(B919,'Pre-Summary'!$BG$6:$BM$44,6,FALSE),S920)</f>
        <v>3.561480302426305E-2</v>
      </c>
      <c r="T919" s="45" t="str">
        <f>IFERROR(VLOOKUP(B919,'Pre-Summary'!$Y$6:$AC$83, 3,FALSE),"")</f>
        <v/>
      </c>
      <c r="U919" s="45" t="str">
        <f>IFERROR(VLOOKUP(B919,'Pre-Summary'!$Y$6:$AC$83, 4,FALSE),"")</f>
        <v/>
      </c>
      <c r="V919" t="str">
        <f>IFERROR(VLOOKUP(B919,'Pre-Summary'!$Y$6:$AC$83, 5,FALSE),"")</f>
        <v/>
      </c>
      <c r="W919" s="45" t="str">
        <f>IFERROR(VLOOKUP(B919,'Pre-Summary'!$Y$6:$AD$83,6,FALSE),"")</f>
        <v/>
      </c>
      <c r="X919" t="str">
        <f>IFERROR(VLOOKUP('Pre-Summary'!$DB$6:$DD$63,3,FALSE),"")</f>
        <v/>
      </c>
      <c r="Y919" t="str">
        <f>IFERROR(VLOOKUP(B919,'Pre-Summary'!$CR$6:$CT$36,3,FALSE),"")</f>
        <v/>
      </c>
      <c r="Z919" s="45" t="str">
        <f>IFERROR(VLOOKUP(B919,'Pre-Summary'!$BZ$6:$CB$63,2,FALSE),"")</f>
        <v/>
      </c>
      <c r="AA919" s="45" t="str">
        <f>IFERROR(VLOOKUP(B919,'Pre-Summary'!$CG$6:$CI$70,2,FALSE),"")</f>
        <v/>
      </c>
      <c r="AB919" s="99">
        <f>IFERROR(VLOOKUP(B919,'Pre-Summary'!$A$6:$P$178,9,FALSE),AB920)</f>
        <v>0.51107900307227605</v>
      </c>
      <c r="AC919" s="10">
        <f>IFERROR(VLOOKUP(Summary!B919,'Pre-Summary'!$A$6:$P$184,5, FALSE)/100,AC920)</f>
        <v>0.83335766666666655</v>
      </c>
      <c r="AD919" s="10">
        <f>IFERROR(VLOOKUP(Summary!B919,'Pre-Summary'!$A$6:$P$184,3, FALSE)/100,AD920)</f>
        <v>6.2578333333333333E-2</v>
      </c>
      <c r="AE919" s="10">
        <f>IFERROR(VLOOKUP(Summary!B919,'Pre-Summary'!$A$6:$P$184,7, FALSE)/100,AE920)</f>
        <v>0.10406399999999999</v>
      </c>
      <c r="AF919" s="99">
        <f t="shared" si="43"/>
        <v>3.1982472213924584E-2</v>
      </c>
      <c r="AG919" s="99">
        <f t="shared" si="44"/>
        <v>5.3184925375713329E-2</v>
      </c>
      <c r="AH919" s="10" t="str">
        <f>IFERROR(VLOOKUP(B919,'Pre-Summary'!$AZ$6:$BE$65,3,FALSE),"")</f>
        <v/>
      </c>
      <c r="AI919" s="10" t="str">
        <f>IFERROR(VLOOKUP(B919,'Pre-Summary'!$AZ$6:$BE$65,5,FALSE),"")</f>
        <v/>
      </c>
      <c r="AJ919" s="10" t="str">
        <f>IFERROR(VLOOKUP(B919,'Pre-Summary'!$AZ$6:$BE$65,4,FALSE),"")</f>
        <v/>
      </c>
      <c r="AK919" s="10" t="str">
        <f>IFERROR(VLOOKUP(B919,'Pre-Summary'!$AZ$6:$BE$65,6,FALSE),"")</f>
        <v/>
      </c>
      <c r="AL919" s="10" t="str">
        <f>IFERROR(VLOOKUP(B919,'Pre-Summary'!$BG$6:$BL$44,3,FALSE),"")</f>
        <v/>
      </c>
      <c r="AM919" s="10" t="str">
        <f>IFERROR(VLOOKUP(B919,'Pre-Summary'!$BG$6:$BL$44,4,FALSE),"")</f>
        <v/>
      </c>
    </row>
    <row r="920" spans="2:39" ht="15" customHeight="1" x14ac:dyDescent="0.3">
      <c r="B920">
        <v>91.7</v>
      </c>
      <c r="C920" t="str">
        <f>IFERROR(VLOOKUP(B920,'Pre-Summary'!$DI$6:$DM$23,4,FALSE),"")</f>
        <v/>
      </c>
      <c r="D920" s="10" t="str">
        <f>IFERROR(VLOOKUP(B920,'Pre-Summary'!$AT$6:$AX$14,5,FALSE),D919)</f>
        <v>DSMZ v2: Dropped Na-Ac out of DSMZ 120 media</v>
      </c>
      <c r="E920" s="10" t="str">
        <f>IFERROR(VLOOKUP(B920,'Pre-Summary'!$AT$6:$AX$15,4,FALSE),"")</f>
        <v/>
      </c>
      <c r="F920">
        <f>IFERROR(VLOOKUP(B920,'Pre-Summary'!$AL$6:$AQ$13,6,FALSE),F919)</f>
        <v>5.9405263157894746E-2</v>
      </c>
      <c r="G920" t="str">
        <f>IFERROR(VLOOKUP(B920,'Pre-Summary'!$AE$6:$AJ$85,3,FALSE),"")</f>
        <v/>
      </c>
      <c r="H920" t="str">
        <f>IFERROR(VLOOKUP(B920,'Pre-Summary'!$AE$6:$AJ$85,4,FALSE),"")</f>
        <v/>
      </c>
      <c r="I920" t="str">
        <f>IFERROR(VLOOKUP(B920,'Pre-Summary'!$AE$6:$AJ$85,5,FALSE),"")</f>
        <v/>
      </c>
      <c r="J920" s="45" t="str">
        <f>IFERROR(VLOOKUP(B920,'Pre-Summary'!$AE$6:$AJ$85,6, FALSE),"")</f>
        <v/>
      </c>
      <c r="K920" s="45" t="str">
        <f>IFERROR(VLOOKUP(B920,'Pre-Summary'!$DE$6:$DG$61,3,FALSE),"")</f>
        <v/>
      </c>
      <c r="L920" s="45" t="str">
        <f>IFERROR(VLOOKUP(B920,'Pre-Summary'!$CU$6:$CW$36,3,FALSE),"")</f>
        <v/>
      </c>
      <c r="M920" s="45" t="str">
        <f>IFERROR(VLOOKUP(B920,'Pre-Summary'!$BW$6:$BY$58,2,FALSE),"")</f>
        <v/>
      </c>
      <c r="N920" s="45" t="str">
        <f>IFERROR(VLOOKUP(B920,'Pre-Summary'!$CD$6:$CF$64,2,FALSE),"")</f>
        <v/>
      </c>
      <c r="O920" s="99">
        <f>IFERROR(VLOOKUP(B920,'Pre-Summary'!$BO$6:$BQ$48,3, FALSE),O919)</f>
        <v>1.2</v>
      </c>
      <c r="P920" s="99">
        <f>IFERROR(VLOOKUP(B920,'Pre-Summary'!$BS$6:$BU$35,3,FALSE),P919)</f>
        <v>0.3</v>
      </c>
      <c r="Q920" s="54">
        <f t="shared" si="42"/>
        <v>4</v>
      </c>
      <c r="R920" s="53">
        <f>IFERROR(VLOOKUP(B920,'Pre-Summary'!$BG$6:$BM$44,7,FALSE),R921)</f>
        <v>4.0839377512219534E-2</v>
      </c>
      <c r="S920" s="53">
        <f>IFERROR(VLOOKUP(B920,'Pre-Summary'!$BG$6:$BM$44,6,FALSE),S921)</f>
        <v>3.561480302426305E-2</v>
      </c>
      <c r="T920" s="45" t="str">
        <f>IFERROR(VLOOKUP(B920,'Pre-Summary'!$Y$6:$AC$83, 3,FALSE),"")</f>
        <v/>
      </c>
      <c r="U920" s="45" t="str">
        <f>IFERROR(VLOOKUP(B920,'Pre-Summary'!$Y$6:$AC$83, 4,FALSE),"")</f>
        <v/>
      </c>
      <c r="V920" t="str">
        <f>IFERROR(VLOOKUP(B920,'Pre-Summary'!$Y$6:$AC$83, 5,FALSE),"")</f>
        <v/>
      </c>
      <c r="W920" s="45" t="str">
        <f>IFERROR(VLOOKUP(B920,'Pre-Summary'!$Y$6:$AD$83,6,FALSE),"")</f>
        <v/>
      </c>
      <c r="X920" t="str">
        <f>IFERROR(VLOOKUP('Pre-Summary'!$DB$6:$DD$63,3,FALSE),"")</f>
        <v/>
      </c>
      <c r="Y920" t="str">
        <f>IFERROR(VLOOKUP(B920,'Pre-Summary'!$CR$6:$CT$36,3,FALSE),"")</f>
        <v/>
      </c>
      <c r="Z920" s="45" t="str">
        <f>IFERROR(VLOOKUP(B920,'Pre-Summary'!$BZ$6:$CB$63,2,FALSE),"")</f>
        <v/>
      </c>
      <c r="AA920" s="45" t="str">
        <f>IFERROR(VLOOKUP(B920,'Pre-Summary'!$CG$6:$CI$70,2,FALSE),"")</f>
        <v/>
      </c>
      <c r="AB920" s="99">
        <f>IFERROR(VLOOKUP(B920,'Pre-Summary'!$A$6:$P$178,9,FALSE),AB921)</f>
        <v>0.51107900307227605</v>
      </c>
      <c r="AC920" s="10">
        <f>IFERROR(VLOOKUP(Summary!B920,'Pre-Summary'!$A$6:$P$184,5, FALSE)/100,AC921)</f>
        <v>0.83335766666666655</v>
      </c>
      <c r="AD920" s="10">
        <f>IFERROR(VLOOKUP(Summary!B920,'Pre-Summary'!$A$6:$P$184,3, FALSE)/100,AD921)</f>
        <v>6.2578333333333333E-2</v>
      </c>
      <c r="AE920" s="10">
        <f>IFERROR(VLOOKUP(Summary!B920,'Pre-Summary'!$A$6:$P$184,7, FALSE)/100,AE921)</f>
        <v>0.10406399999999999</v>
      </c>
      <c r="AF920" s="99">
        <f t="shared" si="43"/>
        <v>3.1982472213924584E-2</v>
      </c>
      <c r="AG920" s="99">
        <f t="shared" si="44"/>
        <v>5.3184925375713329E-2</v>
      </c>
      <c r="AH920" s="10" t="str">
        <f>IFERROR(VLOOKUP(B920,'Pre-Summary'!$AZ$6:$BE$65,3,FALSE),"")</f>
        <v/>
      </c>
      <c r="AI920" s="10" t="str">
        <f>IFERROR(VLOOKUP(B920,'Pre-Summary'!$AZ$6:$BE$65,5,FALSE),"")</f>
        <v/>
      </c>
      <c r="AJ920" s="10" t="str">
        <f>IFERROR(VLOOKUP(B920,'Pre-Summary'!$AZ$6:$BE$65,4,FALSE),"")</f>
        <v/>
      </c>
      <c r="AK920" s="10" t="str">
        <f>IFERROR(VLOOKUP(B920,'Pre-Summary'!$AZ$6:$BE$65,6,FALSE),"")</f>
        <v/>
      </c>
      <c r="AL920" s="10" t="str">
        <f>IFERROR(VLOOKUP(B920,'Pre-Summary'!$BG$6:$BL$44,3,FALSE),"")</f>
        <v/>
      </c>
      <c r="AM920" s="10" t="str">
        <f>IFERROR(VLOOKUP(B920,'Pre-Summary'!$BG$6:$BL$44,4,FALSE),"")</f>
        <v/>
      </c>
    </row>
    <row r="921" spans="2:39" ht="15" customHeight="1" x14ac:dyDescent="0.3">
      <c r="B921">
        <v>91.8</v>
      </c>
      <c r="C921" t="str">
        <f>IFERROR(VLOOKUP(B921,'Pre-Summary'!$DI$6:$DM$23,4,FALSE),"")</f>
        <v/>
      </c>
      <c r="D921" s="10" t="str">
        <f>IFERROR(VLOOKUP(B921,'Pre-Summary'!$AT$6:$AX$14,5,FALSE),D920)</f>
        <v>DSMZ v2: Dropped Na-Ac out of DSMZ 120 media</v>
      </c>
      <c r="E921" s="10" t="str">
        <f>IFERROR(VLOOKUP(B921,'Pre-Summary'!$AT$6:$AX$15,4,FALSE),"")</f>
        <v/>
      </c>
      <c r="F921">
        <f>IFERROR(VLOOKUP(B921,'Pre-Summary'!$AL$6:$AQ$13,6,FALSE),F920)</f>
        <v>5.9405263157894746E-2</v>
      </c>
      <c r="G921" t="str">
        <f>IFERROR(VLOOKUP(B921,'Pre-Summary'!$AE$6:$AJ$85,3,FALSE),"")</f>
        <v/>
      </c>
      <c r="H921" t="str">
        <f>IFERROR(VLOOKUP(B921,'Pre-Summary'!$AE$6:$AJ$85,4,FALSE),"")</f>
        <v/>
      </c>
      <c r="I921" t="str">
        <f>IFERROR(VLOOKUP(B921,'Pre-Summary'!$AE$6:$AJ$85,5,FALSE),"")</f>
        <v/>
      </c>
      <c r="J921" s="45" t="str">
        <f>IFERROR(VLOOKUP(B921,'Pre-Summary'!$AE$6:$AJ$85,6, FALSE),"")</f>
        <v/>
      </c>
      <c r="K921" s="45" t="str">
        <f>IFERROR(VLOOKUP(B921,'Pre-Summary'!$DE$6:$DG$61,3,FALSE),"")</f>
        <v/>
      </c>
      <c r="L921" s="45" t="str">
        <f>IFERROR(VLOOKUP(B921,'Pre-Summary'!$CU$6:$CW$36,3,FALSE),"")</f>
        <v/>
      </c>
      <c r="M921" s="45" t="str">
        <f>IFERROR(VLOOKUP(B921,'Pre-Summary'!$BW$6:$BY$58,2,FALSE),"")</f>
        <v/>
      </c>
      <c r="N921" s="45" t="str">
        <f>IFERROR(VLOOKUP(B921,'Pre-Summary'!$CD$6:$CF$64,2,FALSE),"")</f>
        <v/>
      </c>
      <c r="O921" s="99">
        <f>IFERROR(VLOOKUP(B921,'Pre-Summary'!$BO$6:$BQ$48,3, FALSE),O920)</f>
        <v>1.2</v>
      </c>
      <c r="P921" s="99">
        <f>IFERROR(VLOOKUP(B921,'Pre-Summary'!$BS$6:$BU$35,3,FALSE),P920)</f>
        <v>0.3</v>
      </c>
      <c r="Q921" s="54">
        <f t="shared" si="42"/>
        <v>4</v>
      </c>
      <c r="R921" s="53">
        <f>IFERROR(VLOOKUP(B921,'Pre-Summary'!$BG$6:$BM$44,7,FALSE),R922)</f>
        <v>4.0839377512219534E-2</v>
      </c>
      <c r="S921" s="53">
        <f>IFERROR(VLOOKUP(B921,'Pre-Summary'!$BG$6:$BM$44,6,FALSE),S922)</f>
        <v>3.561480302426305E-2</v>
      </c>
      <c r="T921" s="45" t="str">
        <f>IFERROR(VLOOKUP(B921,'Pre-Summary'!$Y$6:$AC$83, 3,FALSE),"")</f>
        <v/>
      </c>
      <c r="U921" s="45" t="str">
        <f>IFERROR(VLOOKUP(B921,'Pre-Summary'!$Y$6:$AC$83, 4,FALSE),"")</f>
        <v/>
      </c>
      <c r="V921" t="str">
        <f>IFERROR(VLOOKUP(B921,'Pre-Summary'!$Y$6:$AC$83, 5,FALSE),"")</f>
        <v/>
      </c>
      <c r="W921" s="45" t="str">
        <f>IFERROR(VLOOKUP(B921,'Pre-Summary'!$Y$6:$AD$83,6,FALSE),"")</f>
        <v/>
      </c>
      <c r="X921" t="str">
        <f>IFERROR(VLOOKUP('Pre-Summary'!$DB$6:$DD$63,3,FALSE),"")</f>
        <v/>
      </c>
      <c r="Y921" t="str">
        <f>IFERROR(VLOOKUP(B921,'Pre-Summary'!$CR$6:$CT$36,3,FALSE),"")</f>
        <v/>
      </c>
      <c r="Z921" s="45" t="str">
        <f>IFERROR(VLOOKUP(B921,'Pre-Summary'!$BZ$6:$CB$63,2,FALSE),"")</f>
        <v/>
      </c>
      <c r="AA921" s="45" t="str">
        <f>IFERROR(VLOOKUP(B921,'Pre-Summary'!$CG$6:$CI$70,2,FALSE),"")</f>
        <v/>
      </c>
      <c r="AB921" s="99">
        <f>IFERROR(VLOOKUP(B921,'Pre-Summary'!$A$6:$P$178,9,FALSE),AB922)</f>
        <v>0.51107900307227605</v>
      </c>
      <c r="AC921" s="10">
        <f>IFERROR(VLOOKUP(Summary!B921,'Pre-Summary'!$A$6:$P$184,5, FALSE)/100,AC922)</f>
        <v>0.83335766666666655</v>
      </c>
      <c r="AD921" s="10">
        <f>IFERROR(VLOOKUP(Summary!B921,'Pre-Summary'!$A$6:$P$184,3, FALSE)/100,AD922)</f>
        <v>6.2578333333333333E-2</v>
      </c>
      <c r="AE921" s="10">
        <f>IFERROR(VLOOKUP(Summary!B921,'Pre-Summary'!$A$6:$P$184,7, FALSE)/100,AE922)</f>
        <v>0.10406399999999999</v>
      </c>
      <c r="AF921" s="99">
        <f t="shared" si="43"/>
        <v>3.1982472213924584E-2</v>
      </c>
      <c r="AG921" s="99">
        <f t="shared" si="44"/>
        <v>5.3184925375713329E-2</v>
      </c>
      <c r="AH921" s="10" t="str">
        <f>IFERROR(VLOOKUP(B921,'Pre-Summary'!$AZ$6:$BE$65,3,FALSE),"")</f>
        <v/>
      </c>
      <c r="AI921" s="10" t="str">
        <f>IFERROR(VLOOKUP(B921,'Pre-Summary'!$AZ$6:$BE$65,5,FALSE),"")</f>
        <v/>
      </c>
      <c r="AJ921" s="10" t="str">
        <f>IFERROR(VLOOKUP(B921,'Pre-Summary'!$AZ$6:$BE$65,4,FALSE),"")</f>
        <v/>
      </c>
      <c r="AK921" s="10" t="str">
        <f>IFERROR(VLOOKUP(B921,'Pre-Summary'!$AZ$6:$BE$65,6,FALSE),"")</f>
        <v/>
      </c>
      <c r="AL921" s="10" t="str">
        <f>IFERROR(VLOOKUP(B921,'Pre-Summary'!$BG$6:$BL$44,3,FALSE),"")</f>
        <v/>
      </c>
      <c r="AM921" s="10" t="str">
        <f>IFERROR(VLOOKUP(B921,'Pre-Summary'!$BG$6:$BL$44,4,FALSE),"")</f>
        <v/>
      </c>
    </row>
    <row r="922" spans="2:39" ht="15" customHeight="1" x14ac:dyDescent="0.3">
      <c r="B922">
        <v>91.9</v>
      </c>
      <c r="C922" t="str">
        <f>IFERROR(VLOOKUP(B922,'Pre-Summary'!$DI$6:$DM$23,4,FALSE),"")</f>
        <v/>
      </c>
      <c r="D922" s="10" t="str">
        <f>IFERROR(VLOOKUP(B922,'Pre-Summary'!$AT$6:$AX$14,5,FALSE),D921)</f>
        <v>DSMZ v2: Dropped Na-Ac out of DSMZ 120 media</v>
      </c>
      <c r="E922" s="10" t="str">
        <f>IFERROR(VLOOKUP(B922,'Pre-Summary'!$AT$6:$AX$15,4,FALSE),"")</f>
        <v/>
      </c>
      <c r="F922">
        <f>IFERROR(VLOOKUP(B922,'Pre-Summary'!$AL$6:$AQ$13,6,FALSE),F921)</f>
        <v>5.9405263157894746E-2</v>
      </c>
      <c r="G922" t="str">
        <f>IFERROR(VLOOKUP(B922,'Pre-Summary'!$AE$6:$AJ$85,3,FALSE),"")</f>
        <v/>
      </c>
      <c r="H922" t="str">
        <f>IFERROR(VLOOKUP(B922,'Pre-Summary'!$AE$6:$AJ$85,4,FALSE),"")</f>
        <v/>
      </c>
      <c r="I922" t="str">
        <f>IFERROR(VLOOKUP(B922,'Pre-Summary'!$AE$6:$AJ$85,5,FALSE),"")</f>
        <v/>
      </c>
      <c r="J922" s="45" t="str">
        <f>IFERROR(VLOOKUP(B922,'Pre-Summary'!$AE$6:$AJ$85,6, FALSE),"")</f>
        <v/>
      </c>
      <c r="K922" s="45" t="str">
        <f>IFERROR(VLOOKUP(B922,'Pre-Summary'!$DE$6:$DG$61,3,FALSE),"")</f>
        <v/>
      </c>
      <c r="L922" s="45" t="str">
        <f>IFERROR(VLOOKUP(B922,'Pre-Summary'!$CU$6:$CW$36,3,FALSE),"")</f>
        <v/>
      </c>
      <c r="M922" s="45" t="str">
        <f>IFERROR(VLOOKUP(B922,'Pre-Summary'!$BW$6:$BY$58,2,FALSE),"")</f>
        <v/>
      </c>
      <c r="N922" s="45" t="str">
        <f>IFERROR(VLOOKUP(B922,'Pre-Summary'!$CD$6:$CF$64,2,FALSE),"")</f>
        <v/>
      </c>
      <c r="O922" s="99">
        <f>IFERROR(VLOOKUP(B922,'Pre-Summary'!$BO$6:$BQ$48,3, FALSE),O921)</f>
        <v>1.2</v>
      </c>
      <c r="P922" s="99">
        <f>IFERROR(VLOOKUP(B922,'Pre-Summary'!$BS$6:$BU$35,3,FALSE),P921)</f>
        <v>0.3</v>
      </c>
      <c r="Q922" s="54">
        <f t="shared" si="42"/>
        <v>4</v>
      </c>
      <c r="R922" s="53">
        <f>IFERROR(VLOOKUP(B922,'Pre-Summary'!$BG$6:$BM$44,7,FALSE),R923)</f>
        <v>4.0839377512219534E-2</v>
      </c>
      <c r="S922" s="53">
        <f>IFERROR(VLOOKUP(B922,'Pre-Summary'!$BG$6:$BM$44,6,FALSE),S923)</f>
        <v>3.561480302426305E-2</v>
      </c>
      <c r="T922" s="45" t="str">
        <f>IFERROR(VLOOKUP(B922,'Pre-Summary'!$Y$6:$AC$83, 3,FALSE),"")</f>
        <v/>
      </c>
      <c r="U922" s="45" t="str">
        <f>IFERROR(VLOOKUP(B922,'Pre-Summary'!$Y$6:$AC$83, 4,FALSE),"")</f>
        <v/>
      </c>
      <c r="V922" t="str">
        <f>IFERROR(VLOOKUP(B922,'Pre-Summary'!$Y$6:$AC$83, 5,FALSE),"")</f>
        <v/>
      </c>
      <c r="W922" s="45" t="str">
        <f>IFERROR(VLOOKUP(B922,'Pre-Summary'!$Y$6:$AD$83,6,FALSE),"")</f>
        <v/>
      </c>
      <c r="X922" t="str">
        <f>IFERROR(VLOOKUP('Pre-Summary'!$DB$6:$DD$63,3,FALSE),"")</f>
        <v/>
      </c>
      <c r="Y922" t="str">
        <f>IFERROR(VLOOKUP(B922,'Pre-Summary'!$CR$6:$CT$36,3,FALSE),"")</f>
        <v/>
      </c>
      <c r="Z922" s="45" t="str">
        <f>IFERROR(VLOOKUP(B922,'Pre-Summary'!$BZ$6:$CB$63,2,FALSE),"")</f>
        <v/>
      </c>
      <c r="AA922" s="45" t="str">
        <f>IFERROR(VLOOKUP(B922,'Pre-Summary'!$CG$6:$CI$70,2,FALSE),"")</f>
        <v/>
      </c>
      <c r="AB922" s="99">
        <f>IFERROR(VLOOKUP(B922,'Pre-Summary'!$A$6:$P$178,9,FALSE),AB923)</f>
        <v>0.51107900307227605</v>
      </c>
      <c r="AC922" s="10">
        <f>IFERROR(VLOOKUP(Summary!B922,'Pre-Summary'!$A$6:$P$184,5, FALSE)/100,AC923)</f>
        <v>0.83335766666666655</v>
      </c>
      <c r="AD922" s="10">
        <f>IFERROR(VLOOKUP(Summary!B922,'Pre-Summary'!$A$6:$P$184,3, FALSE)/100,AD923)</f>
        <v>6.2578333333333333E-2</v>
      </c>
      <c r="AE922" s="10">
        <f>IFERROR(VLOOKUP(Summary!B922,'Pre-Summary'!$A$6:$P$184,7, FALSE)/100,AE923)</f>
        <v>0.10406399999999999</v>
      </c>
      <c r="AF922" s="99">
        <f t="shared" si="43"/>
        <v>3.1982472213924584E-2</v>
      </c>
      <c r="AG922" s="99">
        <f t="shared" si="44"/>
        <v>5.3184925375713329E-2</v>
      </c>
      <c r="AH922" s="10" t="str">
        <f>IFERROR(VLOOKUP(B922,'Pre-Summary'!$AZ$6:$BE$65,3,FALSE),"")</f>
        <v/>
      </c>
      <c r="AI922" s="10" t="str">
        <f>IFERROR(VLOOKUP(B922,'Pre-Summary'!$AZ$6:$BE$65,5,FALSE),"")</f>
        <v/>
      </c>
      <c r="AJ922" s="10" t="str">
        <f>IFERROR(VLOOKUP(B922,'Pre-Summary'!$AZ$6:$BE$65,4,FALSE),"")</f>
        <v/>
      </c>
      <c r="AK922" s="10" t="str">
        <f>IFERROR(VLOOKUP(B922,'Pre-Summary'!$AZ$6:$BE$65,6,FALSE),"")</f>
        <v/>
      </c>
      <c r="AL922" s="10" t="str">
        <f>IFERROR(VLOOKUP(B922,'Pre-Summary'!$BG$6:$BL$44,3,FALSE),"")</f>
        <v/>
      </c>
      <c r="AM922" s="10" t="str">
        <f>IFERROR(VLOOKUP(B922,'Pre-Summary'!$BG$6:$BL$44,4,FALSE),"")</f>
        <v/>
      </c>
    </row>
    <row r="923" spans="2:39" ht="15" customHeight="1" x14ac:dyDescent="0.3">
      <c r="B923">
        <v>92</v>
      </c>
      <c r="C923" t="str">
        <f>IFERROR(VLOOKUP(B923,'Pre-Summary'!$DI$6:$DM$23,4,FALSE),"")</f>
        <v/>
      </c>
      <c r="D923" s="10" t="str">
        <f>IFERROR(VLOOKUP(B923,'Pre-Summary'!$AT$6:$AX$14,5,FALSE),D922)</f>
        <v>DSMZ v2: Dropped Na-Ac out of DSMZ 120 media</v>
      </c>
      <c r="E923" s="10" t="str">
        <f>IFERROR(VLOOKUP(B923,'Pre-Summary'!$AT$6:$AX$15,4,FALSE),"")</f>
        <v/>
      </c>
      <c r="F923">
        <f>IFERROR(VLOOKUP(B923,'Pre-Summary'!$AL$6:$AQ$13,6,FALSE),F922)</f>
        <v>5.9405263157894746E-2</v>
      </c>
      <c r="G923" t="str">
        <f>IFERROR(VLOOKUP(B923,'Pre-Summary'!$AE$6:$AJ$85,3,FALSE),"")</f>
        <v/>
      </c>
      <c r="H923" t="str">
        <f>IFERROR(VLOOKUP(B923,'Pre-Summary'!$AE$6:$AJ$85,4,FALSE),"")</f>
        <v/>
      </c>
      <c r="I923" t="str">
        <f>IFERROR(VLOOKUP(B923,'Pre-Summary'!$AE$6:$AJ$85,5,FALSE),"")</f>
        <v/>
      </c>
      <c r="J923" s="45" t="str">
        <f>IFERROR(VLOOKUP(B923,'Pre-Summary'!$AE$6:$AJ$85,6, FALSE),"")</f>
        <v/>
      </c>
      <c r="K923" s="45" t="str">
        <f>IFERROR(VLOOKUP(B923,'Pre-Summary'!$DE$6:$DG$61,3,FALSE),"")</f>
        <v/>
      </c>
      <c r="L923" s="45" t="str">
        <f>IFERROR(VLOOKUP(B923,'Pre-Summary'!$CU$6:$CW$36,3,FALSE),"")</f>
        <v/>
      </c>
      <c r="M923" s="45" t="str">
        <f>IFERROR(VLOOKUP(B923,'Pre-Summary'!$BW$6:$BY$58,2,FALSE),"")</f>
        <v/>
      </c>
      <c r="N923" s="45" t="str">
        <f>IFERROR(VLOOKUP(B923,'Pre-Summary'!$CD$6:$CF$64,2,FALSE),"")</f>
        <v/>
      </c>
      <c r="O923" s="99">
        <f>IFERROR(VLOOKUP(B923,'Pre-Summary'!$BO$6:$BQ$48,3, FALSE),O922)</f>
        <v>1.2</v>
      </c>
      <c r="P923" s="99">
        <f>IFERROR(VLOOKUP(B923,'Pre-Summary'!$BS$6:$BU$35,3,FALSE),P922)</f>
        <v>0.3</v>
      </c>
      <c r="Q923" s="54">
        <f t="shared" si="42"/>
        <v>4</v>
      </c>
      <c r="R923" s="53">
        <f>IFERROR(VLOOKUP(B923,'Pre-Summary'!$BG$6:$BM$44,7,FALSE),R924)</f>
        <v>4.0839377512219534E-2</v>
      </c>
      <c r="S923" s="53">
        <f>IFERROR(VLOOKUP(B923,'Pre-Summary'!$BG$6:$BM$44,6,FALSE),S924)</f>
        <v>3.561480302426305E-2</v>
      </c>
      <c r="T923" s="45" t="str">
        <f>IFERROR(VLOOKUP(B923,'Pre-Summary'!$Y$6:$AC$83, 3,FALSE),"")</f>
        <v/>
      </c>
      <c r="U923" s="45" t="str">
        <f>IFERROR(VLOOKUP(B923,'Pre-Summary'!$Y$6:$AC$83, 4,FALSE),"")</f>
        <v/>
      </c>
      <c r="V923" t="str">
        <f>IFERROR(VLOOKUP(B923,'Pre-Summary'!$Y$6:$AC$83, 5,FALSE),"")</f>
        <v/>
      </c>
      <c r="W923" s="45" t="str">
        <f>IFERROR(VLOOKUP(B923,'Pre-Summary'!$Y$6:$AD$83,6,FALSE),"")</f>
        <v/>
      </c>
      <c r="X923" t="str">
        <f>IFERROR(VLOOKUP('Pre-Summary'!$DB$6:$DD$63,3,FALSE),"")</f>
        <v/>
      </c>
      <c r="Y923" t="str">
        <f>IFERROR(VLOOKUP(B923,'Pre-Summary'!$CR$6:$CT$36,3,FALSE),"")</f>
        <v/>
      </c>
      <c r="Z923" s="45" t="str">
        <f>IFERROR(VLOOKUP(B923,'Pre-Summary'!$BZ$6:$CB$63,2,FALSE),"")</f>
        <v/>
      </c>
      <c r="AA923" s="45" t="str">
        <f>IFERROR(VLOOKUP(B923,'Pre-Summary'!$CG$6:$CI$70,2,FALSE),"")</f>
        <v/>
      </c>
      <c r="AB923" s="99">
        <f>IFERROR(VLOOKUP(B923,'Pre-Summary'!$A$6:$P$178,9,FALSE),AB924)</f>
        <v>0.51107900307227605</v>
      </c>
      <c r="AC923" s="10">
        <f>IFERROR(VLOOKUP(Summary!B923,'Pre-Summary'!$A$6:$P$184,5, FALSE)/100,AC924)</f>
        <v>0.83335766666666655</v>
      </c>
      <c r="AD923" s="10">
        <f>IFERROR(VLOOKUP(Summary!B923,'Pre-Summary'!$A$6:$P$184,3, FALSE)/100,AD924)</f>
        <v>6.2578333333333333E-2</v>
      </c>
      <c r="AE923" s="10">
        <f>IFERROR(VLOOKUP(Summary!B923,'Pre-Summary'!$A$6:$P$184,7, FALSE)/100,AE924)</f>
        <v>0.10406399999999999</v>
      </c>
      <c r="AF923" s="99">
        <f t="shared" si="43"/>
        <v>3.1982472213924584E-2</v>
      </c>
      <c r="AG923" s="99">
        <f t="shared" si="44"/>
        <v>5.3184925375713329E-2</v>
      </c>
      <c r="AH923" s="10" t="str">
        <f>IFERROR(VLOOKUP(B923,'Pre-Summary'!$AZ$6:$BE$65,3,FALSE),"")</f>
        <v/>
      </c>
      <c r="AI923" s="10" t="str">
        <f>IFERROR(VLOOKUP(B923,'Pre-Summary'!$AZ$6:$BE$65,5,FALSE),"")</f>
        <v/>
      </c>
      <c r="AJ923" s="10" t="str">
        <f>IFERROR(VLOOKUP(B923,'Pre-Summary'!$AZ$6:$BE$65,4,FALSE),"")</f>
        <v/>
      </c>
      <c r="AK923" s="10" t="str">
        <f>IFERROR(VLOOKUP(B923,'Pre-Summary'!$AZ$6:$BE$65,6,FALSE),"")</f>
        <v/>
      </c>
      <c r="AL923" s="10" t="str">
        <f>IFERROR(VLOOKUP(B923,'Pre-Summary'!$BG$6:$BL$44,3,FALSE),"")</f>
        <v/>
      </c>
      <c r="AM923" s="10" t="str">
        <f>IFERROR(VLOOKUP(B923,'Pre-Summary'!$BG$6:$BL$44,4,FALSE),"")</f>
        <v/>
      </c>
    </row>
    <row r="924" spans="2:39" ht="15" customHeight="1" x14ac:dyDescent="0.3">
      <c r="B924">
        <v>92.1</v>
      </c>
      <c r="C924" t="str">
        <f>IFERROR(VLOOKUP(B924,'Pre-Summary'!$DI$6:$DM$23,4,FALSE),"")</f>
        <v/>
      </c>
      <c r="D924" s="10" t="str">
        <f>IFERROR(VLOOKUP(B924,'Pre-Summary'!$AT$6:$AX$14,5,FALSE),D923)</f>
        <v>DSMZ v2: Dropped Na-Ac out of DSMZ 120 media</v>
      </c>
      <c r="E924" s="10" t="str">
        <f>IFERROR(VLOOKUP(B924,'Pre-Summary'!$AT$6:$AX$15,4,FALSE),"")</f>
        <v/>
      </c>
      <c r="F924">
        <f>IFERROR(VLOOKUP(B924,'Pre-Summary'!$AL$6:$AQ$13,6,FALSE),F923)</f>
        <v>5.9405263157894746E-2</v>
      </c>
      <c r="G924" t="str">
        <f>IFERROR(VLOOKUP(B924,'Pre-Summary'!$AE$6:$AJ$85,3,FALSE),"")</f>
        <v/>
      </c>
      <c r="H924" t="str">
        <f>IFERROR(VLOOKUP(B924,'Pre-Summary'!$AE$6:$AJ$85,4,FALSE),"")</f>
        <v/>
      </c>
      <c r="I924" t="str">
        <f>IFERROR(VLOOKUP(B924,'Pre-Summary'!$AE$6:$AJ$85,5,FALSE),"")</f>
        <v/>
      </c>
      <c r="J924" s="45" t="str">
        <f>IFERROR(VLOOKUP(B924,'Pre-Summary'!$AE$6:$AJ$85,6, FALSE),"")</f>
        <v/>
      </c>
      <c r="K924" s="45" t="str">
        <f>IFERROR(VLOOKUP(B924,'Pre-Summary'!$DE$6:$DG$61,3,FALSE),"")</f>
        <v/>
      </c>
      <c r="L924" s="45" t="str">
        <f>IFERROR(VLOOKUP(B924,'Pre-Summary'!$CU$6:$CW$36,3,FALSE),"")</f>
        <v/>
      </c>
      <c r="M924" s="45" t="str">
        <f>IFERROR(VLOOKUP(B924,'Pre-Summary'!$BW$6:$BY$58,2,FALSE),"")</f>
        <v/>
      </c>
      <c r="N924" s="45" t="str">
        <f>IFERROR(VLOOKUP(B924,'Pre-Summary'!$CD$6:$CF$64,2,FALSE),"")</f>
        <v/>
      </c>
      <c r="O924" s="99">
        <f>IFERROR(VLOOKUP(B924,'Pre-Summary'!$BO$6:$BQ$48,3, FALSE),O923)</f>
        <v>1.2</v>
      </c>
      <c r="P924" s="99">
        <f>IFERROR(VLOOKUP(B924,'Pre-Summary'!$BS$6:$BU$35,3,FALSE),P923)</f>
        <v>0.3</v>
      </c>
      <c r="Q924" s="54">
        <f t="shared" si="42"/>
        <v>4</v>
      </c>
      <c r="R924" s="53">
        <f>IFERROR(VLOOKUP(B924,'Pre-Summary'!$BG$6:$BM$44,7,FALSE),R925)</f>
        <v>4.0839377512219534E-2</v>
      </c>
      <c r="S924" s="53">
        <f>IFERROR(VLOOKUP(B924,'Pre-Summary'!$BG$6:$BM$44,6,FALSE),S925)</f>
        <v>3.561480302426305E-2</v>
      </c>
      <c r="T924" s="45" t="str">
        <f>IFERROR(VLOOKUP(B924,'Pre-Summary'!$Y$6:$AC$83, 3,FALSE),"")</f>
        <v/>
      </c>
      <c r="U924" s="45" t="str">
        <f>IFERROR(VLOOKUP(B924,'Pre-Summary'!$Y$6:$AC$83, 4,FALSE),"")</f>
        <v/>
      </c>
      <c r="V924" t="str">
        <f>IFERROR(VLOOKUP(B924,'Pre-Summary'!$Y$6:$AC$83, 5,FALSE),"")</f>
        <v/>
      </c>
      <c r="W924" s="45" t="str">
        <f>IFERROR(VLOOKUP(B924,'Pre-Summary'!$Y$6:$AD$83,6,FALSE),"")</f>
        <v/>
      </c>
      <c r="X924" t="str">
        <f>IFERROR(VLOOKUP('Pre-Summary'!$DB$6:$DD$63,3,FALSE),"")</f>
        <v/>
      </c>
      <c r="Y924" t="str">
        <f>IFERROR(VLOOKUP(B924,'Pre-Summary'!$CR$6:$CT$36,3,FALSE),"")</f>
        <v/>
      </c>
      <c r="Z924" s="45" t="str">
        <f>IFERROR(VLOOKUP(B924,'Pre-Summary'!$BZ$6:$CB$63,2,FALSE),"")</f>
        <v/>
      </c>
      <c r="AA924" s="45" t="str">
        <f>IFERROR(VLOOKUP(B924,'Pre-Summary'!$CG$6:$CI$70,2,FALSE),"")</f>
        <v/>
      </c>
      <c r="AB924" s="99">
        <f>IFERROR(VLOOKUP(B924,'Pre-Summary'!$A$6:$P$178,9,FALSE),AB925)</f>
        <v>0.51107900307227605</v>
      </c>
      <c r="AC924" s="10">
        <f>IFERROR(VLOOKUP(Summary!B924,'Pre-Summary'!$A$6:$P$184,5, FALSE)/100,AC925)</f>
        <v>0.83335766666666655</v>
      </c>
      <c r="AD924" s="10">
        <f>IFERROR(VLOOKUP(Summary!B924,'Pre-Summary'!$A$6:$P$184,3, FALSE)/100,AD925)</f>
        <v>6.2578333333333333E-2</v>
      </c>
      <c r="AE924" s="10">
        <f>IFERROR(VLOOKUP(Summary!B924,'Pre-Summary'!$A$6:$P$184,7, FALSE)/100,AE925)</f>
        <v>0.10406399999999999</v>
      </c>
      <c r="AF924" s="99">
        <f t="shared" si="43"/>
        <v>3.1982472213924584E-2</v>
      </c>
      <c r="AG924" s="99">
        <f t="shared" si="44"/>
        <v>5.3184925375713329E-2</v>
      </c>
      <c r="AH924" s="10" t="str">
        <f>IFERROR(VLOOKUP(B924,'Pre-Summary'!$AZ$6:$BE$65,3,FALSE),"")</f>
        <v/>
      </c>
      <c r="AI924" s="10" t="str">
        <f>IFERROR(VLOOKUP(B924,'Pre-Summary'!$AZ$6:$BE$65,5,FALSE),"")</f>
        <v/>
      </c>
      <c r="AJ924" s="10" t="str">
        <f>IFERROR(VLOOKUP(B924,'Pre-Summary'!$AZ$6:$BE$65,4,FALSE),"")</f>
        <v/>
      </c>
      <c r="AK924" s="10" t="str">
        <f>IFERROR(VLOOKUP(B924,'Pre-Summary'!$AZ$6:$BE$65,6,FALSE),"")</f>
        <v/>
      </c>
      <c r="AL924" s="10" t="str">
        <f>IFERROR(VLOOKUP(B924,'Pre-Summary'!$BG$6:$BL$44,3,FALSE),"")</f>
        <v/>
      </c>
      <c r="AM924" s="10" t="str">
        <f>IFERROR(VLOOKUP(B924,'Pre-Summary'!$BG$6:$BL$44,4,FALSE),"")</f>
        <v/>
      </c>
    </row>
    <row r="925" spans="2:39" ht="15" customHeight="1" x14ac:dyDescent="0.3">
      <c r="B925">
        <v>92.2</v>
      </c>
      <c r="C925" t="str">
        <f>IFERROR(VLOOKUP(B925,'Pre-Summary'!$DI$6:$DM$23,4,FALSE),"")</f>
        <v/>
      </c>
      <c r="D925" s="10" t="str">
        <f>IFERROR(VLOOKUP(B925,'Pre-Summary'!$AT$6:$AX$14,5,FALSE),D924)</f>
        <v>DSMZ v2: Dropped Na-Ac out of DSMZ 120 media</v>
      </c>
      <c r="E925" s="10" t="str">
        <f>IFERROR(VLOOKUP(B925,'Pre-Summary'!$AT$6:$AX$15,4,FALSE),"")</f>
        <v/>
      </c>
      <c r="F925">
        <f>IFERROR(VLOOKUP(B925,'Pre-Summary'!$AL$6:$AQ$13,6,FALSE),F924)</f>
        <v>5.9405263157894746E-2</v>
      </c>
      <c r="G925" t="str">
        <f>IFERROR(VLOOKUP(B925,'Pre-Summary'!$AE$6:$AJ$85,3,FALSE),"")</f>
        <v/>
      </c>
      <c r="H925" t="str">
        <f>IFERROR(VLOOKUP(B925,'Pre-Summary'!$AE$6:$AJ$85,4,FALSE),"")</f>
        <v/>
      </c>
      <c r="I925" t="str">
        <f>IFERROR(VLOOKUP(B925,'Pre-Summary'!$AE$6:$AJ$85,5,FALSE),"")</f>
        <v/>
      </c>
      <c r="J925" s="45" t="str">
        <f>IFERROR(VLOOKUP(B925,'Pre-Summary'!$AE$6:$AJ$85,6, FALSE),"")</f>
        <v/>
      </c>
      <c r="K925" s="45" t="str">
        <f>IFERROR(VLOOKUP(B925,'Pre-Summary'!$DE$6:$DG$61,3,FALSE),"")</f>
        <v/>
      </c>
      <c r="L925" s="45" t="str">
        <f>IFERROR(VLOOKUP(B925,'Pre-Summary'!$CU$6:$CW$36,3,FALSE),"")</f>
        <v/>
      </c>
      <c r="M925" s="45" t="str">
        <f>IFERROR(VLOOKUP(B925,'Pre-Summary'!$BW$6:$BY$58,2,FALSE),"")</f>
        <v/>
      </c>
      <c r="N925" s="45" t="str">
        <f>IFERROR(VLOOKUP(B925,'Pre-Summary'!$CD$6:$CF$64,2,FALSE),"")</f>
        <v/>
      </c>
      <c r="O925" s="99">
        <f>IFERROR(VLOOKUP(B925,'Pre-Summary'!$BO$6:$BQ$48,3, FALSE),O924)</f>
        <v>1.2</v>
      </c>
      <c r="P925" s="99">
        <f>IFERROR(VLOOKUP(B925,'Pre-Summary'!$BS$6:$BU$35,3,FALSE),P924)</f>
        <v>0.3</v>
      </c>
      <c r="Q925" s="54">
        <f t="shared" si="42"/>
        <v>4</v>
      </c>
      <c r="R925" s="53">
        <f>IFERROR(VLOOKUP(B925,'Pre-Summary'!$BG$6:$BM$44,7,FALSE),R926)</f>
        <v>4.0839377512219534E-2</v>
      </c>
      <c r="S925" s="53">
        <f>IFERROR(VLOOKUP(B925,'Pre-Summary'!$BG$6:$BM$44,6,FALSE),S926)</f>
        <v>3.561480302426305E-2</v>
      </c>
      <c r="T925" s="45" t="str">
        <f>IFERROR(VLOOKUP(B925,'Pre-Summary'!$Y$6:$AC$83, 3,FALSE),"")</f>
        <v/>
      </c>
      <c r="U925" s="45" t="str">
        <f>IFERROR(VLOOKUP(B925,'Pre-Summary'!$Y$6:$AC$83, 4,FALSE),"")</f>
        <v/>
      </c>
      <c r="V925" t="str">
        <f>IFERROR(VLOOKUP(B925,'Pre-Summary'!$Y$6:$AC$83, 5,FALSE),"")</f>
        <v/>
      </c>
      <c r="W925" s="45" t="str">
        <f>IFERROR(VLOOKUP(B925,'Pre-Summary'!$Y$6:$AD$83,6,FALSE),"")</f>
        <v/>
      </c>
      <c r="X925" t="str">
        <f>IFERROR(VLOOKUP('Pre-Summary'!$DB$6:$DD$63,3,FALSE),"")</f>
        <v/>
      </c>
      <c r="Y925" t="str">
        <f>IFERROR(VLOOKUP(B925,'Pre-Summary'!$CR$6:$CT$36,3,FALSE),"")</f>
        <v/>
      </c>
      <c r="Z925" s="45" t="str">
        <f>IFERROR(VLOOKUP(B925,'Pre-Summary'!$BZ$6:$CB$63,2,FALSE),"")</f>
        <v/>
      </c>
      <c r="AA925" s="45" t="str">
        <f>IFERROR(VLOOKUP(B925,'Pre-Summary'!$CG$6:$CI$70,2,FALSE),"")</f>
        <v/>
      </c>
      <c r="AB925" s="99">
        <f>IFERROR(VLOOKUP(B925,'Pre-Summary'!$A$6:$P$178,9,FALSE),AB926)</f>
        <v>0.51107900307227605</v>
      </c>
      <c r="AC925" s="10">
        <f>IFERROR(VLOOKUP(Summary!B925,'Pre-Summary'!$A$6:$P$184,5, FALSE)/100,AC926)</f>
        <v>0.83335766666666655</v>
      </c>
      <c r="AD925" s="10">
        <f>IFERROR(VLOOKUP(Summary!B925,'Pre-Summary'!$A$6:$P$184,3, FALSE)/100,AD926)</f>
        <v>6.2578333333333333E-2</v>
      </c>
      <c r="AE925" s="10">
        <f>IFERROR(VLOOKUP(Summary!B925,'Pre-Summary'!$A$6:$P$184,7, FALSE)/100,AE926)</f>
        <v>0.10406399999999999</v>
      </c>
      <c r="AF925" s="99">
        <f t="shared" si="43"/>
        <v>3.1982472213924584E-2</v>
      </c>
      <c r="AG925" s="99">
        <f t="shared" si="44"/>
        <v>5.3184925375713329E-2</v>
      </c>
      <c r="AH925" s="10" t="str">
        <f>IFERROR(VLOOKUP(B925,'Pre-Summary'!$AZ$6:$BE$65,3,FALSE),"")</f>
        <v/>
      </c>
      <c r="AI925" s="10" t="str">
        <f>IFERROR(VLOOKUP(B925,'Pre-Summary'!$AZ$6:$BE$65,5,FALSE),"")</f>
        <v/>
      </c>
      <c r="AJ925" s="10" t="str">
        <f>IFERROR(VLOOKUP(B925,'Pre-Summary'!$AZ$6:$BE$65,4,FALSE),"")</f>
        <v/>
      </c>
      <c r="AK925" s="10" t="str">
        <f>IFERROR(VLOOKUP(B925,'Pre-Summary'!$AZ$6:$BE$65,6,FALSE),"")</f>
        <v/>
      </c>
      <c r="AL925" s="10" t="str">
        <f>IFERROR(VLOOKUP(B925,'Pre-Summary'!$BG$6:$BL$44,3,FALSE),"")</f>
        <v/>
      </c>
      <c r="AM925" s="10" t="str">
        <f>IFERROR(VLOOKUP(B925,'Pre-Summary'!$BG$6:$BL$44,4,FALSE),"")</f>
        <v/>
      </c>
    </row>
    <row r="926" spans="2:39" ht="15" customHeight="1" x14ac:dyDescent="0.3">
      <c r="B926">
        <v>92.3</v>
      </c>
      <c r="C926" t="str">
        <f>IFERROR(VLOOKUP(B926,'Pre-Summary'!$DI$6:$DM$23,4,FALSE),"")</f>
        <v/>
      </c>
      <c r="D926" s="10" t="str">
        <f>IFERROR(VLOOKUP(B926,'Pre-Summary'!$AT$6:$AX$14,5,FALSE),D925)</f>
        <v>DSMZ v2: Dropped Na-Ac out of DSMZ 120 media</v>
      </c>
      <c r="E926" s="10" t="str">
        <f>IFERROR(VLOOKUP(B926,'Pre-Summary'!$AT$6:$AX$15,4,FALSE),"")</f>
        <v/>
      </c>
      <c r="F926">
        <f>IFERROR(VLOOKUP(B926,'Pre-Summary'!$AL$6:$AQ$13,6,FALSE),F925)</f>
        <v>5.9405263157894746E-2</v>
      </c>
      <c r="G926" t="str">
        <f>IFERROR(VLOOKUP(B926,'Pre-Summary'!$AE$6:$AJ$85,3,FALSE),"")</f>
        <v/>
      </c>
      <c r="H926" t="str">
        <f>IFERROR(VLOOKUP(B926,'Pre-Summary'!$AE$6:$AJ$85,4,FALSE),"")</f>
        <v/>
      </c>
      <c r="I926" t="str">
        <f>IFERROR(VLOOKUP(B926,'Pre-Summary'!$AE$6:$AJ$85,5,FALSE),"")</f>
        <v/>
      </c>
      <c r="J926" s="45" t="str">
        <f>IFERROR(VLOOKUP(B926,'Pre-Summary'!$AE$6:$AJ$85,6, FALSE),"")</f>
        <v/>
      </c>
      <c r="K926" s="45" t="str">
        <f>IFERROR(VLOOKUP(B926,'Pre-Summary'!$DE$6:$DG$61,3,FALSE),"")</f>
        <v/>
      </c>
      <c r="L926" s="45" t="str">
        <f>IFERROR(VLOOKUP(B926,'Pre-Summary'!$CU$6:$CW$36,3,FALSE),"")</f>
        <v/>
      </c>
      <c r="M926" s="45" t="str">
        <f>IFERROR(VLOOKUP(B926,'Pre-Summary'!$BW$6:$BY$58,2,FALSE),"")</f>
        <v/>
      </c>
      <c r="N926" s="45" t="str">
        <f>IFERROR(VLOOKUP(B926,'Pre-Summary'!$CD$6:$CF$64,2,FALSE),"")</f>
        <v/>
      </c>
      <c r="O926" s="99">
        <f>IFERROR(VLOOKUP(B926,'Pre-Summary'!$BO$6:$BQ$48,3, FALSE),O925)</f>
        <v>1.2</v>
      </c>
      <c r="P926" s="99">
        <f>IFERROR(VLOOKUP(B926,'Pre-Summary'!$BS$6:$BU$35,3,FALSE),P925)</f>
        <v>0.3</v>
      </c>
      <c r="Q926" s="54">
        <f t="shared" si="42"/>
        <v>4</v>
      </c>
      <c r="R926" s="53">
        <f>IFERROR(VLOOKUP(B926,'Pre-Summary'!$BG$6:$BM$44,7,FALSE),R927)</f>
        <v>4.0839377512219534E-2</v>
      </c>
      <c r="S926" s="53">
        <f>IFERROR(VLOOKUP(B926,'Pre-Summary'!$BG$6:$BM$44,6,FALSE),S927)</f>
        <v>3.561480302426305E-2</v>
      </c>
      <c r="T926" s="45" t="str">
        <f>IFERROR(VLOOKUP(B926,'Pre-Summary'!$Y$6:$AC$83, 3,FALSE),"")</f>
        <v/>
      </c>
      <c r="U926" s="45" t="str">
        <f>IFERROR(VLOOKUP(B926,'Pre-Summary'!$Y$6:$AC$83, 4,FALSE),"")</f>
        <v/>
      </c>
      <c r="V926" t="str">
        <f>IFERROR(VLOOKUP(B926,'Pre-Summary'!$Y$6:$AC$83, 5,FALSE),"")</f>
        <v/>
      </c>
      <c r="W926" s="45" t="str">
        <f>IFERROR(VLOOKUP(B926,'Pre-Summary'!$Y$6:$AD$83,6,FALSE),"")</f>
        <v/>
      </c>
      <c r="X926" t="str">
        <f>IFERROR(VLOOKUP('Pre-Summary'!$DB$6:$DD$63,3,FALSE),"")</f>
        <v/>
      </c>
      <c r="Y926" t="str">
        <f>IFERROR(VLOOKUP(B926,'Pre-Summary'!$CR$6:$CT$36,3,FALSE),"")</f>
        <v/>
      </c>
      <c r="Z926" s="45" t="str">
        <f>IFERROR(VLOOKUP(B926,'Pre-Summary'!$BZ$6:$CB$63,2,FALSE),"")</f>
        <v/>
      </c>
      <c r="AA926" s="45" t="str">
        <f>IFERROR(VLOOKUP(B926,'Pre-Summary'!$CG$6:$CI$70,2,FALSE),"")</f>
        <v/>
      </c>
      <c r="AB926" s="99">
        <f>IFERROR(VLOOKUP(B926,'Pre-Summary'!$A$6:$P$178,9,FALSE),AB927)</f>
        <v>0.51107900307227605</v>
      </c>
      <c r="AC926" s="10">
        <f>IFERROR(VLOOKUP(Summary!B926,'Pre-Summary'!$A$6:$P$184,5, FALSE)/100,AC927)</f>
        <v>0.83335766666666655</v>
      </c>
      <c r="AD926" s="10">
        <f>IFERROR(VLOOKUP(Summary!B926,'Pre-Summary'!$A$6:$P$184,3, FALSE)/100,AD927)</f>
        <v>6.2578333333333333E-2</v>
      </c>
      <c r="AE926" s="10">
        <f>IFERROR(VLOOKUP(Summary!B926,'Pre-Summary'!$A$6:$P$184,7, FALSE)/100,AE927)</f>
        <v>0.10406399999999999</v>
      </c>
      <c r="AF926" s="99">
        <f t="shared" si="43"/>
        <v>3.1982472213924584E-2</v>
      </c>
      <c r="AG926" s="99">
        <f t="shared" si="44"/>
        <v>5.3184925375713329E-2</v>
      </c>
      <c r="AH926" s="10" t="str">
        <f>IFERROR(VLOOKUP(B926,'Pre-Summary'!$AZ$6:$BE$65,3,FALSE),"")</f>
        <v/>
      </c>
      <c r="AI926" s="10" t="str">
        <f>IFERROR(VLOOKUP(B926,'Pre-Summary'!$AZ$6:$BE$65,5,FALSE),"")</f>
        <v/>
      </c>
      <c r="AJ926" s="10" t="str">
        <f>IFERROR(VLOOKUP(B926,'Pre-Summary'!$AZ$6:$BE$65,4,FALSE),"")</f>
        <v/>
      </c>
      <c r="AK926" s="10" t="str">
        <f>IFERROR(VLOOKUP(B926,'Pre-Summary'!$AZ$6:$BE$65,6,FALSE),"")</f>
        <v/>
      </c>
      <c r="AL926" s="10" t="str">
        <f>IFERROR(VLOOKUP(B926,'Pre-Summary'!$BG$6:$BL$44,3,FALSE),"")</f>
        <v/>
      </c>
      <c r="AM926" s="10" t="str">
        <f>IFERROR(VLOOKUP(B926,'Pre-Summary'!$BG$6:$BL$44,4,FALSE),"")</f>
        <v/>
      </c>
    </row>
    <row r="927" spans="2:39" ht="15" customHeight="1" x14ac:dyDescent="0.3">
      <c r="B927">
        <v>92.4</v>
      </c>
      <c r="C927" t="str">
        <f>IFERROR(VLOOKUP(B927,'Pre-Summary'!$DI$6:$DM$23,4,FALSE),"")</f>
        <v/>
      </c>
      <c r="D927" s="10" t="str">
        <f>IFERROR(VLOOKUP(B927,'Pre-Summary'!$AT$6:$AX$14,5,FALSE),D926)</f>
        <v>DSMZ v2: Dropped Na-Ac out of DSMZ 120 media</v>
      </c>
      <c r="E927" s="10" t="str">
        <f>IFERROR(VLOOKUP(B927,'Pre-Summary'!$AT$6:$AX$15,4,FALSE),"")</f>
        <v/>
      </c>
      <c r="F927">
        <f>IFERROR(VLOOKUP(B927,'Pre-Summary'!$AL$6:$AQ$13,6,FALSE),F926)</f>
        <v>5.9405263157894746E-2</v>
      </c>
      <c r="G927" t="str">
        <f>IFERROR(VLOOKUP(B927,'Pre-Summary'!$AE$6:$AJ$85,3,FALSE),"")</f>
        <v/>
      </c>
      <c r="H927" t="str">
        <f>IFERROR(VLOOKUP(B927,'Pre-Summary'!$AE$6:$AJ$85,4,FALSE),"")</f>
        <v/>
      </c>
      <c r="I927" t="str">
        <f>IFERROR(VLOOKUP(B927,'Pre-Summary'!$AE$6:$AJ$85,5,FALSE),"")</f>
        <v/>
      </c>
      <c r="J927" s="45" t="str">
        <f>IFERROR(VLOOKUP(B927,'Pre-Summary'!$AE$6:$AJ$85,6, FALSE),"")</f>
        <v/>
      </c>
      <c r="K927" s="45" t="str">
        <f>IFERROR(VLOOKUP(B927,'Pre-Summary'!$DE$6:$DG$61,3,FALSE),"")</f>
        <v/>
      </c>
      <c r="L927" s="45" t="str">
        <f>IFERROR(VLOOKUP(B927,'Pre-Summary'!$CU$6:$CW$36,3,FALSE),"")</f>
        <v/>
      </c>
      <c r="M927" s="45" t="str">
        <f>IFERROR(VLOOKUP(B927,'Pre-Summary'!$BW$6:$BY$58,2,FALSE),"")</f>
        <v/>
      </c>
      <c r="N927" s="45" t="str">
        <f>IFERROR(VLOOKUP(B927,'Pre-Summary'!$CD$6:$CF$64,2,FALSE),"")</f>
        <v/>
      </c>
      <c r="O927" s="99">
        <f>IFERROR(VLOOKUP(B927,'Pre-Summary'!$BO$6:$BQ$48,3, FALSE),O926)</f>
        <v>1.2</v>
      </c>
      <c r="P927" s="99">
        <f>IFERROR(VLOOKUP(B927,'Pre-Summary'!$BS$6:$BU$35,3,FALSE),P926)</f>
        <v>0.3</v>
      </c>
      <c r="Q927" s="54">
        <f t="shared" si="42"/>
        <v>4</v>
      </c>
      <c r="R927" s="53">
        <f>IFERROR(VLOOKUP(B927,'Pre-Summary'!$BG$6:$BM$44,7,FALSE),R928)</f>
        <v>4.0839377512219534E-2</v>
      </c>
      <c r="S927" s="53">
        <f>IFERROR(VLOOKUP(B927,'Pre-Summary'!$BG$6:$BM$44,6,FALSE),S928)</f>
        <v>3.561480302426305E-2</v>
      </c>
      <c r="T927" s="45" t="str">
        <f>IFERROR(VLOOKUP(B927,'Pre-Summary'!$Y$6:$AC$83, 3,FALSE),"")</f>
        <v/>
      </c>
      <c r="U927" s="45" t="str">
        <f>IFERROR(VLOOKUP(B927,'Pre-Summary'!$Y$6:$AC$83, 4,FALSE),"")</f>
        <v/>
      </c>
      <c r="V927" t="str">
        <f>IFERROR(VLOOKUP(B927,'Pre-Summary'!$Y$6:$AC$83, 5,FALSE),"")</f>
        <v/>
      </c>
      <c r="W927" s="45" t="str">
        <f>IFERROR(VLOOKUP(B927,'Pre-Summary'!$Y$6:$AD$83,6,FALSE),"")</f>
        <v/>
      </c>
      <c r="X927" t="str">
        <f>IFERROR(VLOOKUP('Pre-Summary'!$DB$6:$DD$63,3,FALSE),"")</f>
        <v/>
      </c>
      <c r="Y927" t="str">
        <f>IFERROR(VLOOKUP(B927,'Pre-Summary'!$CR$6:$CT$36,3,FALSE),"")</f>
        <v/>
      </c>
      <c r="Z927" s="45" t="str">
        <f>IFERROR(VLOOKUP(B927,'Pre-Summary'!$BZ$6:$CB$63,2,FALSE),"")</f>
        <v/>
      </c>
      <c r="AA927" s="45" t="str">
        <f>IFERROR(VLOOKUP(B927,'Pre-Summary'!$CG$6:$CI$70,2,FALSE),"")</f>
        <v/>
      </c>
      <c r="AB927" s="99">
        <f>IFERROR(VLOOKUP(B927,'Pre-Summary'!$A$6:$P$178,9,FALSE),AB928)</f>
        <v>0.51107900307227605</v>
      </c>
      <c r="AC927" s="10">
        <f>IFERROR(VLOOKUP(Summary!B927,'Pre-Summary'!$A$6:$P$184,5, FALSE)/100,AC928)</f>
        <v>0.83335766666666655</v>
      </c>
      <c r="AD927" s="10">
        <f>IFERROR(VLOOKUP(Summary!B927,'Pre-Summary'!$A$6:$P$184,3, FALSE)/100,AD928)</f>
        <v>6.2578333333333333E-2</v>
      </c>
      <c r="AE927" s="10">
        <f>IFERROR(VLOOKUP(Summary!B927,'Pre-Summary'!$A$6:$P$184,7, FALSE)/100,AE928)</f>
        <v>0.10406399999999999</v>
      </c>
      <c r="AF927" s="99">
        <f t="shared" si="43"/>
        <v>3.1982472213924584E-2</v>
      </c>
      <c r="AG927" s="99">
        <f t="shared" si="44"/>
        <v>5.3184925375713329E-2</v>
      </c>
      <c r="AH927" s="10" t="str">
        <f>IFERROR(VLOOKUP(B927,'Pre-Summary'!$AZ$6:$BE$65,3,FALSE),"")</f>
        <v/>
      </c>
      <c r="AI927" s="10" t="str">
        <f>IFERROR(VLOOKUP(B927,'Pre-Summary'!$AZ$6:$BE$65,5,FALSE),"")</f>
        <v/>
      </c>
      <c r="AJ927" s="10" t="str">
        <f>IFERROR(VLOOKUP(B927,'Pre-Summary'!$AZ$6:$BE$65,4,FALSE),"")</f>
        <v/>
      </c>
      <c r="AK927" s="10" t="str">
        <f>IFERROR(VLOOKUP(B927,'Pre-Summary'!$AZ$6:$BE$65,6,FALSE),"")</f>
        <v/>
      </c>
      <c r="AL927" s="10" t="str">
        <f>IFERROR(VLOOKUP(B927,'Pre-Summary'!$BG$6:$BL$44,3,FALSE),"")</f>
        <v/>
      </c>
      <c r="AM927" s="10" t="str">
        <f>IFERROR(VLOOKUP(B927,'Pre-Summary'!$BG$6:$BL$44,4,FALSE),"")</f>
        <v/>
      </c>
    </row>
    <row r="928" spans="2:39" ht="15" customHeight="1" x14ac:dyDescent="0.3">
      <c r="B928">
        <v>92.5</v>
      </c>
      <c r="C928" t="str">
        <f>IFERROR(VLOOKUP(B928,'Pre-Summary'!$DI$6:$DM$23,4,FALSE),"")</f>
        <v/>
      </c>
      <c r="D928" s="10" t="str">
        <f>IFERROR(VLOOKUP(B928,'Pre-Summary'!$AT$6:$AX$14,5,FALSE),D927)</f>
        <v>DSMZ v2: Dropped Na-Ac out of DSMZ 120 media</v>
      </c>
      <c r="E928" s="10" t="str">
        <f>IFERROR(VLOOKUP(B928,'Pre-Summary'!$AT$6:$AX$15,4,FALSE),"")</f>
        <v/>
      </c>
      <c r="F928">
        <f>IFERROR(VLOOKUP(B928,'Pre-Summary'!$AL$6:$AQ$13,6,FALSE),F927)</f>
        <v>5.9405263157894746E-2</v>
      </c>
      <c r="G928" t="str">
        <f>IFERROR(VLOOKUP(B928,'Pre-Summary'!$AE$6:$AJ$85,3,FALSE),"")</f>
        <v/>
      </c>
      <c r="H928" t="str">
        <f>IFERROR(VLOOKUP(B928,'Pre-Summary'!$AE$6:$AJ$85,4,FALSE),"")</f>
        <v/>
      </c>
      <c r="I928" t="str">
        <f>IFERROR(VLOOKUP(B928,'Pre-Summary'!$AE$6:$AJ$85,5,FALSE),"")</f>
        <v/>
      </c>
      <c r="J928" s="45" t="str">
        <f>IFERROR(VLOOKUP(B928,'Pre-Summary'!$AE$6:$AJ$85,6, FALSE),"")</f>
        <v/>
      </c>
      <c r="K928" s="45" t="str">
        <f>IFERROR(VLOOKUP(B928,'Pre-Summary'!$DE$6:$DG$61,3,FALSE),"")</f>
        <v/>
      </c>
      <c r="L928" s="45" t="str">
        <f>IFERROR(VLOOKUP(B928,'Pre-Summary'!$CU$6:$CW$36,3,FALSE),"")</f>
        <v/>
      </c>
      <c r="M928" s="45" t="str">
        <f>IFERROR(VLOOKUP(B928,'Pre-Summary'!$BW$6:$BY$58,2,FALSE),"")</f>
        <v/>
      </c>
      <c r="N928" s="45">
        <f>IFERROR(VLOOKUP(B928,'Pre-Summary'!$CD$6:$CF$64,2,FALSE),"")</f>
        <v>6007.1687616539884</v>
      </c>
      <c r="O928" s="99">
        <f>IFERROR(VLOOKUP(B928,'Pre-Summary'!$BO$6:$BQ$48,3, FALSE),O927)</f>
        <v>1.2</v>
      </c>
      <c r="P928" s="99">
        <f>IFERROR(VLOOKUP(B928,'Pre-Summary'!$BS$6:$BU$35,3,FALSE),P927)</f>
        <v>0.3</v>
      </c>
      <c r="Q928" s="54">
        <f t="shared" si="42"/>
        <v>4</v>
      </c>
      <c r="R928" s="53">
        <f>IFERROR(VLOOKUP(B928,'Pre-Summary'!$BG$6:$BM$44,7,FALSE),R929)</f>
        <v>4.0839377512219534E-2</v>
      </c>
      <c r="S928" s="53">
        <f>IFERROR(VLOOKUP(B928,'Pre-Summary'!$BG$6:$BM$44,6,FALSE),S929)</f>
        <v>3.561480302426305E-2</v>
      </c>
      <c r="T928" s="45" t="str">
        <f>IFERROR(VLOOKUP(B928,'Pre-Summary'!$Y$6:$AC$83, 3,FALSE),"")</f>
        <v/>
      </c>
      <c r="U928" s="45" t="str">
        <f>IFERROR(VLOOKUP(B928,'Pre-Summary'!$Y$6:$AC$83, 4,FALSE),"")</f>
        <v/>
      </c>
      <c r="V928" t="str">
        <f>IFERROR(VLOOKUP(B928,'Pre-Summary'!$Y$6:$AC$83, 5,FALSE),"")</f>
        <v/>
      </c>
      <c r="W928" s="45" t="str">
        <f>IFERROR(VLOOKUP(B928,'Pre-Summary'!$Y$6:$AD$83,6,FALSE),"")</f>
        <v/>
      </c>
      <c r="X928" t="str">
        <f>IFERROR(VLOOKUP('Pre-Summary'!$DB$6:$DD$63,3,FALSE),"")</f>
        <v/>
      </c>
      <c r="Y928" t="str">
        <f>IFERROR(VLOOKUP(B928,'Pre-Summary'!$CR$6:$CT$36,3,FALSE),"")</f>
        <v/>
      </c>
      <c r="Z928" s="45" t="str">
        <f>IFERROR(VLOOKUP(B928,'Pre-Summary'!$BZ$6:$CB$63,2,FALSE),"")</f>
        <v/>
      </c>
      <c r="AA928" s="45" t="str">
        <f>IFERROR(VLOOKUP(B928,'Pre-Summary'!$CG$6:$CI$70,2,FALSE),"")</f>
        <v/>
      </c>
      <c r="AB928" s="99">
        <f>IFERROR(VLOOKUP(B928,'Pre-Summary'!$A$6:$P$178,9,FALSE),AB929)</f>
        <v>0.51107900307227605</v>
      </c>
      <c r="AC928" s="10">
        <f>IFERROR(VLOOKUP(Summary!B928,'Pre-Summary'!$A$6:$P$184,5, FALSE)/100,AC929)</f>
        <v>0.83335766666666655</v>
      </c>
      <c r="AD928" s="10">
        <f>IFERROR(VLOOKUP(Summary!B928,'Pre-Summary'!$A$6:$P$184,3, FALSE)/100,AD929)</f>
        <v>6.2578333333333333E-2</v>
      </c>
      <c r="AE928" s="10">
        <f>IFERROR(VLOOKUP(Summary!B928,'Pre-Summary'!$A$6:$P$184,7, FALSE)/100,AE929)</f>
        <v>0.10406399999999999</v>
      </c>
      <c r="AF928" s="99">
        <f t="shared" si="43"/>
        <v>3.1982472213924584E-2</v>
      </c>
      <c r="AG928" s="99">
        <f t="shared" si="44"/>
        <v>5.3184925375713329E-2</v>
      </c>
      <c r="AH928" s="10" t="str">
        <f>IFERROR(VLOOKUP(B928,'Pre-Summary'!$AZ$6:$BE$65,3,FALSE),"")</f>
        <v/>
      </c>
      <c r="AI928" s="10" t="str">
        <f>IFERROR(VLOOKUP(B928,'Pre-Summary'!$AZ$6:$BE$65,5,FALSE),"")</f>
        <v/>
      </c>
      <c r="AJ928" s="10" t="str">
        <f>IFERROR(VLOOKUP(B928,'Pre-Summary'!$AZ$6:$BE$65,4,FALSE),"")</f>
        <v/>
      </c>
      <c r="AK928" s="10" t="str">
        <f>IFERROR(VLOOKUP(B928,'Pre-Summary'!$AZ$6:$BE$65,6,FALSE),"")</f>
        <v/>
      </c>
      <c r="AL928" s="10" t="str">
        <f>IFERROR(VLOOKUP(B928,'Pre-Summary'!$BG$6:$BL$44,3,FALSE),"")</f>
        <v/>
      </c>
      <c r="AM928" s="10" t="str">
        <f>IFERROR(VLOOKUP(B928,'Pre-Summary'!$BG$6:$BL$44,4,FALSE),"")</f>
        <v/>
      </c>
    </row>
    <row r="929" spans="2:39" ht="15" customHeight="1" x14ac:dyDescent="0.3">
      <c r="B929">
        <v>92.6</v>
      </c>
      <c r="C929" t="str">
        <f>IFERROR(VLOOKUP(B929,'Pre-Summary'!$DI$6:$DM$23,4,FALSE),"")</f>
        <v/>
      </c>
      <c r="D929" s="10" t="str">
        <f>IFERROR(VLOOKUP(B929,'Pre-Summary'!$AT$6:$AX$14,5,FALSE),D928)</f>
        <v>DSMZ v2: Dropped Na-Ac out of DSMZ 120 media</v>
      </c>
      <c r="E929" s="10" t="str">
        <f>IFERROR(VLOOKUP(B929,'Pre-Summary'!$AT$6:$AX$15,4,FALSE),"")</f>
        <v/>
      </c>
      <c r="F929">
        <f>IFERROR(VLOOKUP(B929,'Pre-Summary'!$AL$6:$AQ$13,6,FALSE),F928)</f>
        <v>5.9405263157894746E-2</v>
      </c>
      <c r="G929" t="str">
        <f>IFERROR(VLOOKUP(B929,'Pre-Summary'!$AE$6:$AJ$85,3,FALSE),"")</f>
        <v/>
      </c>
      <c r="H929" t="str">
        <f>IFERROR(VLOOKUP(B929,'Pre-Summary'!$AE$6:$AJ$85,4,FALSE),"")</f>
        <v/>
      </c>
      <c r="I929" t="str">
        <f>IFERROR(VLOOKUP(B929,'Pre-Summary'!$AE$6:$AJ$85,5,FALSE),"")</f>
        <v/>
      </c>
      <c r="J929" s="45" t="str">
        <f>IFERROR(VLOOKUP(B929,'Pre-Summary'!$AE$6:$AJ$85,6, FALSE),"")</f>
        <v/>
      </c>
      <c r="K929" s="45" t="str">
        <f>IFERROR(VLOOKUP(B929,'Pre-Summary'!$DE$6:$DG$61,3,FALSE),"")</f>
        <v/>
      </c>
      <c r="L929" s="45" t="str">
        <f>IFERROR(VLOOKUP(B929,'Pre-Summary'!$CU$6:$CW$36,3,FALSE),"")</f>
        <v/>
      </c>
      <c r="M929" s="45" t="str">
        <f>IFERROR(VLOOKUP(B929,'Pre-Summary'!$BW$6:$BY$58,2,FALSE),"")</f>
        <v/>
      </c>
      <c r="N929" s="45" t="str">
        <f>IFERROR(VLOOKUP(B929,'Pre-Summary'!$CD$6:$CF$64,2,FALSE),"")</f>
        <v/>
      </c>
      <c r="O929" s="99">
        <f>IFERROR(VLOOKUP(B929,'Pre-Summary'!$BO$6:$BQ$48,3, FALSE),O928)</f>
        <v>1.2</v>
      </c>
      <c r="P929" s="99">
        <f>IFERROR(VLOOKUP(B929,'Pre-Summary'!$BS$6:$BU$35,3,FALSE),P928)</f>
        <v>0.3</v>
      </c>
      <c r="Q929" s="54">
        <f t="shared" si="42"/>
        <v>4</v>
      </c>
      <c r="R929" s="53">
        <f>IFERROR(VLOOKUP(B929,'Pre-Summary'!$BG$6:$BM$44,7,FALSE),R930)</f>
        <v>4.0839377512219534E-2</v>
      </c>
      <c r="S929" s="53">
        <f>IFERROR(VLOOKUP(B929,'Pre-Summary'!$BG$6:$BM$44,6,FALSE),S930)</f>
        <v>3.561480302426305E-2</v>
      </c>
      <c r="T929" s="45" t="str">
        <f>IFERROR(VLOOKUP(B929,'Pre-Summary'!$Y$6:$AC$83, 3,FALSE),"")</f>
        <v/>
      </c>
      <c r="U929" s="45" t="str">
        <f>IFERROR(VLOOKUP(B929,'Pre-Summary'!$Y$6:$AC$83, 4,FALSE),"")</f>
        <v/>
      </c>
      <c r="V929" t="str">
        <f>IFERROR(VLOOKUP(B929,'Pre-Summary'!$Y$6:$AC$83, 5,FALSE),"")</f>
        <v/>
      </c>
      <c r="W929" s="45" t="str">
        <f>IFERROR(VLOOKUP(B929,'Pre-Summary'!$Y$6:$AD$83,6,FALSE),"")</f>
        <v/>
      </c>
      <c r="X929" t="str">
        <f>IFERROR(VLOOKUP('Pre-Summary'!$DB$6:$DD$63,3,FALSE),"")</f>
        <v/>
      </c>
      <c r="Y929" t="str">
        <f>IFERROR(VLOOKUP(B929,'Pre-Summary'!$CR$6:$CT$36,3,FALSE),"")</f>
        <v/>
      </c>
      <c r="Z929" s="45" t="str">
        <f>IFERROR(VLOOKUP(B929,'Pre-Summary'!$BZ$6:$CB$63,2,FALSE),"")</f>
        <v/>
      </c>
      <c r="AA929" s="45" t="str">
        <f>IFERROR(VLOOKUP(B929,'Pre-Summary'!$CG$6:$CI$70,2,FALSE),"")</f>
        <v/>
      </c>
      <c r="AB929" s="99">
        <f>IFERROR(VLOOKUP(B929,'Pre-Summary'!$A$6:$P$178,9,FALSE),AB930)</f>
        <v>0.51107900307227605</v>
      </c>
      <c r="AC929" s="10">
        <f>IFERROR(VLOOKUP(Summary!B929,'Pre-Summary'!$A$6:$P$184,5, FALSE)/100,AC930)</f>
        <v>0.83335766666666655</v>
      </c>
      <c r="AD929" s="10">
        <f>IFERROR(VLOOKUP(Summary!B929,'Pre-Summary'!$A$6:$P$184,3, FALSE)/100,AD930)</f>
        <v>6.2578333333333333E-2</v>
      </c>
      <c r="AE929" s="10">
        <f>IFERROR(VLOOKUP(Summary!B929,'Pre-Summary'!$A$6:$P$184,7, FALSE)/100,AE930)</f>
        <v>0.10406399999999999</v>
      </c>
      <c r="AF929" s="99">
        <f t="shared" si="43"/>
        <v>3.1982472213924584E-2</v>
      </c>
      <c r="AG929" s="99">
        <f t="shared" si="44"/>
        <v>5.3184925375713329E-2</v>
      </c>
      <c r="AH929" s="10" t="str">
        <f>IFERROR(VLOOKUP(B929,'Pre-Summary'!$AZ$6:$BE$65,3,FALSE),"")</f>
        <v/>
      </c>
      <c r="AI929" s="10" t="str">
        <f>IFERROR(VLOOKUP(B929,'Pre-Summary'!$AZ$6:$BE$65,5,FALSE),"")</f>
        <v/>
      </c>
      <c r="AJ929" s="10" t="str">
        <f>IFERROR(VLOOKUP(B929,'Pre-Summary'!$AZ$6:$BE$65,4,FALSE),"")</f>
        <v/>
      </c>
      <c r="AK929" s="10" t="str">
        <f>IFERROR(VLOOKUP(B929,'Pre-Summary'!$AZ$6:$BE$65,6,FALSE),"")</f>
        <v/>
      </c>
      <c r="AL929" s="10" t="str">
        <f>IFERROR(VLOOKUP(B929,'Pre-Summary'!$BG$6:$BL$44,3,FALSE),"")</f>
        <v/>
      </c>
      <c r="AM929" s="10" t="str">
        <f>IFERROR(VLOOKUP(B929,'Pre-Summary'!$BG$6:$BL$44,4,FALSE),"")</f>
        <v/>
      </c>
    </row>
    <row r="930" spans="2:39" ht="15" customHeight="1" x14ac:dyDescent="0.3">
      <c r="B930">
        <v>92.7</v>
      </c>
      <c r="C930" t="str">
        <f>IFERROR(VLOOKUP(B930,'Pre-Summary'!$DI$6:$DM$23,4,FALSE),"")</f>
        <v/>
      </c>
      <c r="D930" s="10" t="str">
        <f>IFERROR(VLOOKUP(B930,'Pre-Summary'!$AT$6:$AX$14,5,FALSE),D929)</f>
        <v>DSMZ v2: Dropped Na-Ac out of DSMZ 120 media</v>
      </c>
      <c r="E930" s="10" t="str">
        <f>IFERROR(VLOOKUP(B930,'Pre-Summary'!$AT$6:$AX$15,4,FALSE),"")</f>
        <v/>
      </c>
      <c r="F930">
        <f>IFERROR(VLOOKUP(B930,'Pre-Summary'!$AL$6:$AQ$13,6,FALSE),F929)</f>
        <v>5.9405263157894746E-2</v>
      </c>
      <c r="G930" t="str">
        <f>IFERROR(VLOOKUP(B930,'Pre-Summary'!$AE$6:$AJ$85,3,FALSE),"")</f>
        <v/>
      </c>
      <c r="H930" t="str">
        <f>IFERROR(VLOOKUP(B930,'Pre-Summary'!$AE$6:$AJ$85,4,FALSE),"")</f>
        <v/>
      </c>
      <c r="I930" t="str">
        <f>IFERROR(VLOOKUP(B930,'Pre-Summary'!$AE$6:$AJ$85,5,FALSE),"")</f>
        <v/>
      </c>
      <c r="J930" s="45" t="str">
        <f>IFERROR(VLOOKUP(B930,'Pre-Summary'!$AE$6:$AJ$85,6, FALSE),"")</f>
        <v/>
      </c>
      <c r="K930" s="45" t="str">
        <f>IFERROR(VLOOKUP(B930,'Pre-Summary'!$DE$6:$DG$61,3,FALSE),"")</f>
        <v/>
      </c>
      <c r="L930" s="45" t="str">
        <f>IFERROR(VLOOKUP(B930,'Pre-Summary'!$CU$6:$CW$36,3,FALSE),"")</f>
        <v/>
      </c>
      <c r="M930" s="45" t="str">
        <f>IFERROR(VLOOKUP(B930,'Pre-Summary'!$BW$6:$BY$58,2,FALSE),"")</f>
        <v/>
      </c>
      <c r="N930" s="45" t="str">
        <f>IFERROR(VLOOKUP(B930,'Pre-Summary'!$CD$6:$CF$64,2,FALSE),"")</f>
        <v/>
      </c>
      <c r="O930" s="99">
        <f>IFERROR(VLOOKUP(B930,'Pre-Summary'!$BO$6:$BQ$48,3, FALSE),O929)</f>
        <v>1.2</v>
      </c>
      <c r="P930" s="99">
        <f>IFERROR(VLOOKUP(B930,'Pre-Summary'!$BS$6:$BU$35,3,FALSE),P929)</f>
        <v>0.3</v>
      </c>
      <c r="Q930" s="54">
        <f t="shared" si="42"/>
        <v>4</v>
      </c>
      <c r="R930" s="53">
        <f>IFERROR(VLOOKUP(B930,'Pre-Summary'!$BG$6:$BM$44,7,FALSE),R931)</f>
        <v>4.0839377512219534E-2</v>
      </c>
      <c r="S930" s="53">
        <f>IFERROR(VLOOKUP(B930,'Pre-Summary'!$BG$6:$BM$44,6,FALSE),S931)</f>
        <v>3.561480302426305E-2</v>
      </c>
      <c r="T930" s="45" t="str">
        <f>IFERROR(VLOOKUP(B930,'Pre-Summary'!$Y$6:$AC$83, 3,FALSE),"")</f>
        <v/>
      </c>
      <c r="U930" s="45" t="str">
        <f>IFERROR(VLOOKUP(B930,'Pre-Summary'!$Y$6:$AC$83, 4,FALSE),"")</f>
        <v/>
      </c>
      <c r="V930" t="str">
        <f>IFERROR(VLOOKUP(B930,'Pre-Summary'!$Y$6:$AC$83, 5,FALSE),"")</f>
        <v/>
      </c>
      <c r="W930" s="45" t="str">
        <f>IFERROR(VLOOKUP(B930,'Pre-Summary'!$Y$6:$AD$83,6,FALSE),"")</f>
        <v/>
      </c>
      <c r="X930" t="str">
        <f>IFERROR(VLOOKUP('Pre-Summary'!$DB$6:$DD$63,3,FALSE),"")</f>
        <v/>
      </c>
      <c r="Y930" t="str">
        <f>IFERROR(VLOOKUP(B930,'Pre-Summary'!$CR$6:$CT$36,3,FALSE),"")</f>
        <v/>
      </c>
      <c r="Z930" s="45" t="str">
        <f>IFERROR(VLOOKUP(B930,'Pre-Summary'!$BZ$6:$CB$63,2,FALSE),"")</f>
        <v/>
      </c>
      <c r="AA930" s="45" t="str">
        <f>IFERROR(VLOOKUP(B930,'Pre-Summary'!$CG$6:$CI$70,2,FALSE),"")</f>
        <v/>
      </c>
      <c r="AB930" s="99">
        <f>IFERROR(VLOOKUP(B930,'Pre-Summary'!$A$6:$P$178,9,FALSE),AB931)</f>
        <v>0.51107900307227605</v>
      </c>
      <c r="AC930" s="10">
        <f>IFERROR(VLOOKUP(Summary!B930,'Pre-Summary'!$A$6:$P$184,5, FALSE)/100,AC931)</f>
        <v>0.83335766666666655</v>
      </c>
      <c r="AD930" s="10">
        <f>IFERROR(VLOOKUP(Summary!B930,'Pre-Summary'!$A$6:$P$184,3, FALSE)/100,AD931)</f>
        <v>6.2578333333333333E-2</v>
      </c>
      <c r="AE930" s="10">
        <f>IFERROR(VLOOKUP(Summary!B930,'Pre-Summary'!$A$6:$P$184,7, FALSE)/100,AE931)</f>
        <v>0.10406399999999999</v>
      </c>
      <c r="AF930" s="99">
        <f t="shared" si="43"/>
        <v>3.1982472213924584E-2</v>
      </c>
      <c r="AG930" s="99">
        <f t="shared" si="44"/>
        <v>5.3184925375713329E-2</v>
      </c>
      <c r="AH930" s="10" t="str">
        <f>IFERROR(VLOOKUP(B930,'Pre-Summary'!$AZ$6:$BE$65,3,FALSE),"")</f>
        <v/>
      </c>
      <c r="AI930" s="10" t="str">
        <f>IFERROR(VLOOKUP(B930,'Pre-Summary'!$AZ$6:$BE$65,5,FALSE),"")</f>
        <v/>
      </c>
      <c r="AJ930" s="10" t="str">
        <f>IFERROR(VLOOKUP(B930,'Pre-Summary'!$AZ$6:$BE$65,4,FALSE),"")</f>
        <v/>
      </c>
      <c r="AK930" s="10" t="str">
        <f>IFERROR(VLOOKUP(B930,'Pre-Summary'!$AZ$6:$BE$65,6,FALSE),"")</f>
        <v/>
      </c>
      <c r="AL930" s="10" t="str">
        <f>IFERROR(VLOOKUP(B930,'Pre-Summary'!$BG$6:$BL$44,3,FALSE),"")</f>
        <v/>
      </c>
      <c r="AM930" s="10" t="str">
        <f>IFERROR(VLOOKUP(B930,'Pre-Summary'!$BG$6:$BL$44,4,FALSE),"")</f>
        <v/>
      </c>
    </row>
    <row r="931" spans="2:39" ht="15" customHeight="1" x14ac:dyDescent="0.3">
      <c r="B931">
        <v>92.8</v>
      </c>
      <c r="C931" t="str">
        <f>IFERROR(VLOOKUP(B931,'Pre-Summary'!$DI$6:$DM$23,4,FALSE),"")</f>
        <v/>
      </c>
      <c r="D931" s="10" t="str">
        <f>IFERROR(VLOOKUP(B931,'Pre-Summary'!$AT$6:$AX$14,5,FALSE),D930)</f>
        <v>DSMZ v2: Dropped Na-Ac out of DSMZ 120 media</v>
      </c>
      <c r="E931" s="10" t="str">
        <f>IFERROR(VLOOKUP(B931,'Pre-Summary'!$AT$6:$AX$15,4,FALSE),"")</f>
        <v/>
      </c>
      <c r="F931">
        <f>IFERROR(VLOOKUP(B931,'Pre-Summary'!$AL$6:$AQ$13,6,FALSE),F930)</f>
        <v>5.9405263157894746E-2</v>
      </c>
      <c r="G931" t="str">
        <f>IFERROR(VLOOKUP(B931,'Pre-Summary'!$AE$6:$AJ$85,3,FALSE),"")</f>
        <v/>
      </c>
      <c r="H931" t="str">
        <f>IFERROR(VLOOKUP(B931,'Pre-Summary'!$AE$6:$AJ$85,4,FALSE),"")</f>
        <v/>
      </c>
      <c r="I931" t="str">
        <f>IFERROR(VLOOKUP(B931,'Pre-Summary'!$AE$6:$AJ$85,5,FALSE),"")</f>
        <v/>
      </c>
      <c r="J931" s="45" t="str">
        <f>IFERROR(VLOOKUP(B931,'Pre-Summary'!$AE$6:$AJ$85,6, FALSE),"")</f>
        <v/>
      </c>
      <c r="K931" s="45" t="str">
        <f>IFERROR(VLOOKUP(B931,'Pre-Summary'!$DE$6:$DG$61,3,FALSE),"")</f>
        <v/>
      </c>
      <c r="L931" s="45" t="str">
        <f>IFERROR(VLOOKUP(B931,'Pre-Summary'!$CU$6:$CW$36,3,FALSE),"")</f>
        <v/>
      </c>
      <c r="M931" s="45" t="str">
        <f>IFERROR(VLOOKUP(B931,'Pre-Summary'!$BW$6:$BY$58,2,FALSE),"")</f>
        <v/>
      </c>
      <c r="N931" s="45" t="str">
        <f>IFERROR(VLOOKUP(B931,'Pre-Summary'!$CD$6:$CF$64,2,FALSE),"")</f>
        <v/>
      </c>
      <c r="O931" s="99">
        <f>IFERROR(VLOOKUP(B931,'Pre-Summary'!$BO$6:$BQ$48,3, FALSE),O930)</f>
        <v>1.2</v>
      </c>
      <c r="P931" s="99">
        <f>IFERROR(VLOOKUP(B931,'Pre-Summary'!$BS$6:$BU$35,3,FALSE),P930)</f>
        <v>0.3</v>
      </c>
      <c r="Q931" s="54">
        <f t="shared" si="42"/>
        <v>4</v>
      </c>
      <c r="R931" s="53">
        <f>IFERROR(VLOOKUP(B931,'Pre-Summary'!$BG$6:$BM$44,7,FALSE),R932)</f>
        <v>4.0839377512219534E-2</v>
      </c>
      <c r="S931" s="53">
        <f>IFERROR(VLOOKUP(B931,'Pre-Summary'!$BG$6:$BM$44,6,FALSE),S932)</f>
        <v>3.561480302426305E-2</v>
      </c>
      <c r="T931" s="45" t="str">
        <f>IFERROR(VLOOKUP(B931,'Pre-Summary'!$Y$6:$AC$83, 3,FALSE),"")</f>
        <v/>
      </c>
      <c r="U931" s="45" t="str">
        <f>IFERROR(VLOOKUP(B931,'Pre-Summary'!$Y$6:$AC$83, 4,FALSE),"")</f>
        <v/>
      </c>
      <c r="V931" t="str">
        <f>IFERROR(VLOOKUP(B931,'Pre-Summary'!$Y$6:$AC$83, 5,FALSE),"")</f>
        <v/>
      </c>
      <c r="W931" s="45" t="str">
        <f>IFERROR(VLOOKUP(B931,'Pre-Summary'!$Y$6:$AD$83,6,FALSE),"")</f>
        <v/>
      </c>
      <c r="X931" t="str">
        <f>IFERROR(VLOOKUP('Pre-Summary'!$DB$6:$DD$63,3,FALSE),"")</f>
        <v/>
      </c>
      <c r="Y931" t="str">
        <f>IFERROR(VLOOKUP(B931,'Pre-Summary'!$CR$6:$CT$36,3,FALSE),"")</f>
        <v/>
      </c>
      <c r="Z931" s="45" t="str">
        <f>IFERROR(VLOOKUP(B931,'Pre-Summary'!$BZ$6:$CB$63,2,FALSE),"")</f>
        <v/>
      </c>
      <c r="AA931" s="45" t="str">
        <f>IFERROR(VLOOKUP(B931,'Pre-Summary'!$CG$6:$CI$70,2,FALSE),"")</f>
        <v/>
      </c>
      <c r="AB931" s="99">
        <f>IFERROR(VLOOKUP(B931,'Pre-Summary'!$A$6:$P$178,9,FALSE),AB932)</f>
        <v>0.51107900307227605</v>
      </c>
      <c r="AC931" s="10">
        <f>IFERROR(VLOOKUP(Summary!B931,'Pre-Summary'!$A$6:$P$184,5, FALSE)/100,AC932)</f>
        <v>0.83335766666666655</v>
      </c>
      <c r="AD931" s="10">
        <f>IFERROR(VLOOKUP(Summary!B931,'Pre-Summary'!$A$6:$P$184,3, FALSE)/100,AD932)</f>
        <v>6.2578333333333333E-2</v>
      </c>
      <c r="AE931" s="10">
        <f>IFERROR(VLOOKUP(Summary!B931,'Pre-Summary'!$A$6:$P$184,7, FALSE)/100,AE932)</f>
        <v>0.10406399999999999</v>
      </c>
      <c r="AF931" s="99">
        <f t="shared" si="43"/>
        <v>3.1982472213924584E-2</v>
      </c>
      <c r="AG931" s="99">
        <f t="shared" si="44"/>
        <v>5.3184925375713329E-2</v>
      </c>
      <c r="AH931" s="10" t="str">
        <f>IFERROR(VLOOKUP(B931,'Pre-Summary'!$AZ$6:$BE$65,3,FALSE),"")</f>
        <v/>
      </c>
      <c r="AI931" s="10" t="str">
        <f>IFERROR(VLOOKUP(B931,'Pre-Summary'!$AZ$6:$BE$65,5,FALSE),"")</f>
        <v/>
      </c>
      <c r="AJ931" s="10" t="str">
        <f>IFERROR(VLOOKUP(B931,'Pre-Summary'!$AZ$6:$BE$65,4,FALSE),"")</f>
        <v/>
      </c>
      <c r="AK931" s="10" t="str">
        <f>IFERROR(VLOOKUP(B931,'Pre-Summary'!$AZ$6:$BE$65,6,FALSE),"")</f>
        <v/>
      </c>
      <c r="AL931" s="10" t="str">
        <f>IFERROR(VLOOKUP(B931,'Pre-Summary'!$BG$6:$BL$44,3,FALSE),"")</f>
        <v/>
      </c>
      <c r="AM931" s="10" t="str">
        <f>IFERROR(VLOOKUP(B931,'Pre-Summary'!$BG$6:$BL$44,4,FALSE),"")</f>
        <v/>
      </c>
    </row>
    <row r="932" spans="2:39" ht="15" customHeight="1" x14ac:dyDescent="0.3">
      <c r="B932">
        <v>92.9</v>
      </c>
      <c r="C932" t="str">
        <f>IFERROR(VLOOKUP(B932,'Pre-Summary'!$DI$6:$DM$23,4,FALSE),"")</f>
        <v/>
      </c>
      <c r="D932" s="10" t="str">
        <f>IFERROR(VLOOKUP(B932,'Pre-Summary'!$AT$6:$AX$14,5,FALSE),D931)</f>
        <v>DSMZ v2: Dropped Na-Ac out of DSMZ 120 media</v>
      </c>
      <c r="E932" s="10" t="str">
        <f>IFERROR(VLOOKUP(B932,'Pre-Summary'!$AT$6:$AX$15,4,FALSE),"")</f>
        <v/>
      </c>
      <c r="F932">
        <f>IFERROR(VLOOKUP(B932,'Pre-Summary'!$AL$6:$AQ$13,6,FALSE),F931)</f>
        <v>5.9405263157894746E-2</v>
      </c>
      <c r="G932">
        <f>IFERROR(VLOOKUP(B932,'Pre-Summary'!$AE$6:$AJ$85,3,FALSE),"")</f>
        <v>1214.3800000000001</v>
      </c>
      <c r="H932">
        <f>IFERROR(VLOOKUP(B932,'Pre-Summary'!$AE$6:$AJ$85,4,FALSE),"")</f>
        <v>191.20999999999998</v>
      </c>
      <c r="I932">
        <f>IFERROR(VLOOKUP(B932,'Pre-Summary'!$AE$6:$AJ$85,5,FALSE),"")</f>
        <v>0</v>
      </c>
      <c r="J932" s="45">
        <f>IFERROR(VLOOKUP(B932,'Pre-Summary'!$AE$6:$AJ$85,6, FALSE),"")</f>
        <v>1585.2354</v>
      </c>
      <c r="K932" s="45" t="str">
        <f>IFERROR(VLOOKUP(B932,'Pre-Summary'!$DE$6:$DG$61,3,FALSE),"")</f>
        <v/>
      </c>
      <c r="L932" s="45" t="str">
        <f>IFERROR(VLOOKUP(B932,'Pre-Summary'!$CU$6:$CW$36,3,FALSE),"")</f>
        <v/>
      </c>
      <c r="M932" s="45" t="str">
        <f>IFERROR(VLOOKUP(B932,'Pre-Summary'!$BW$6:$BY$58,2,FALSE),"")</f>
        <v/>
      </c>
      <c r="N932" s="45" t="str">
        <f>IFERROR(VLOOKUP(B932,'Pre-Summary'!$CD$6:$CF$64,2,FALSE),"")</f>
        <v/>
      </c>
      <c r="O932" s="99">
        <f>IFERROR(VLOOKUP(B932,'Pre-Summary'!$BO$6:$BQ$48,3, FALSE),O931)</f>
        <v>1.2</v>
      </c>
      <c r="P932" s="99">
        <f>IFERROR(VLOOKUP(B932,'Pre-Summary'!$BS$6:$BU$35,3,FALSE),P931)</f>
        <v>0.3</v>
      </c>
      <c r="Q932" s="54">
        <f t="shared" si="42"/>
        <v>4</v>
      </c>
      <c r="R932" s="53">
        <f>IFERROR(VLOOKUP(B932,'Pre-Summary'!$BG$6:$BM$44,7,FALSE),R933)</f>
        <v>4.0839377512219534E-2</v>
      </c>
      <c r="S932" s="53">
        <f>IFERROR(VLOOKUP(B932,'Pre-Summary'!$BG$6:$BM$44,6,FALSE),S933)</f>
        <v>3.561480302426305E-2</v>
      </c>
      <c r="T932" s="45">
        <f>IFERROR(VLOOKUP(B932,'Pre-Summary'!$Y$6:$AC$83, 3,FALSE),"")</f>
        <v>21.074999999999999</v>
      </c>
      <c r="U932" s="45">
        <f>IFERROR(VLOOKUP(B932,'Pre-Summary'!$Y$6:$AC$83, 4,FALSE),"")</f>
        <v>167.32500000000002</v>
      </c>
      <c r="V932">
        <f>IFERROR(VLOOKUP(B932,'Pre-Summary'!$Y$6:$AC$83, 5,FALSE),"")</f>
        <v>0</v>
      </c>
      <c r="W932" s="45">
        <f>IFERROR(VLOOKUP(B932,'Pre-Summary'!$Y$6:$AD$83,6,FALSE),"")</f>
        <v>275.81707500000005</v>
      </c>
      <c r="X932" t="str">
        <f>IFERROR(VLOOKUP('Pre-Summary'!$DB$6:$DD$63,3,FALSE),"")</f>
        <v/>
      </c>
      <c r="Y932" t="str">
        <f>IFERROR(VLOOKUP(B932,'Pre-Summary'!$CR$6:$CT$36,3,FALSE),"")</f>
        <v/>
      </c>
      <c r="Z932" s="45" t="str">
        <f>IFERROR(VLOOKUP(B932,'Pre-Summary'!$BZ$6:$CB$63,2,FALSE),"")</f>
        <v/>
      </c>
      <c r="AA932" s="45">
        <f>IFERROR(VLOOKUP(B932,'Pre-Summary'!$CG$6:$CI$70,2,FALSE),"")</f>
        <v>764.92878062894124</v>
      </c>
      <c r="AB932" s="99">
        <f>IFERROR(VLOOKUP(B932,'Pre-Summary'!$A$6:$P$178,9,FALSE),AB933)</f>
        <v>0.51107900307227605</v>
      </c>
      <c r="AC932" s="10">
        <f>IFERROR(VLOOKUP(Summary!B932,'Pre-Summary'!$A$6:$P$184,5, FALSE)/100,AC933)</f>
        <v>0.83335766666666655</v>
      </c>
      <c r="AD932" s="10">
        <f>IFERROR(VLOOKUP(Summary!B932,'Pre-Summary'!$A$6:$P$184,3, FALSE)/100,AD933)</f>
        <v>6.2578333333333333E-2</v>
      </c>
      <c r="AE932" s="10">
        <f>IFERROR(VLOOKUP(Summary!B932,'Pre-Summary'!$A$6:$P$184,7, FALSE)/100,AE933)</f>
        <v>0.10406399999999999</v>
      </c>
      <c r="AF932" s="99">
        <f t="shared" si="43"/>
        <v>3.1982472213924584E-2</v>
      </c>
      <c r="AG932" s="99">
        <f t="shared" si="44"/>
        <v>5.3184925375713329E-2</v>
      </c>
      <c r="AH932" s="10" t="str">
        <f>IFERROR(VLOOKUP(B932,'Pre-Summary'!$AZ$6:$BE$65,3,FALSE),"")</f>
        <v/>
      </c>
      <c r="AI932" s="10" t="str">
        <f>IFERROR(VLOOKUP(B932,'Pre-Summary'!$AZ$6:$BE$65,5,FALSE),"")</f>
        <v/>
      </c>
      <c r="AJ932" s="10" t="str">
        <f>IFERROR(VLOOKUP(B932,'Pre-Summary'!$AZ$6:$BE$65,4,FALSE),"")</f>
        <v/>
      </c>
      <c r="AK932" s="10" t="str">
        <f>IFERROR(VLOOKUP(B932,'Pre-Summary'!$AZ$6:$BE$65,6,FALSE),"")</f>
        <v/>
      </c>
      <c r="AL932" s="10" t="str">
        <f>IFERROR(VLOOKUP(B932,'Pre-Summary'!$BG$6:$BL$44,3,FALSE),"")</f>
        <v/>
      </c>
      <c r="AM932" s="10" t="str">
        <f>IFERROR(VLOOKUP(B932,'Pre-Summary'!$BG$6:$BL$44,4,FALSE),"")</f>
        <v/>
      </c>
    </row>
    <row r="933" spans="2:39" ht="15" customHeight="1" x14ac:dyDescent="0.3">
      <c r="B933">
        <v>93</v>
      </c>
      <c r="C933" t="str">
        <f>IFERROR(VLOOKUP(B933,'Pre-Summary'!$DI$6:$DM$23,4,FALSE),"")</f>
        <v/>
      </c>
      <c r="D933" s="10" t="str">
        <f>IFERROR(VLOOKUP(B933,'Pre-Summary'!$AT$6:$AX$14,5,FALSE),D932)</f>
        <v>DSMZ v2: Dropped Na-Ac out of DSMZ 120 media</v>
      </c>
      <c r="E933" s="10" t="str">
        <f>IFERROR(VLOOKUP(B933,'Pre-Summary'!$AT$6:$AX$15,4,FALSE),"")</f>
        <v/>
      </c>
      <c r="F933">
        <f>IFERROR(VLOOKUP(B933,'Pre-Summary'!$AL$6:$AQ$13,6,FALSE),F932)</f>
        <v>5.9405263157894746E-2</v>
      </c>
      <c r="G933" t="str">
        <f>IFERROR(VLOOKUP(B933,'Pre-Summary'!$AE$6:$AJ$85,3,FALSE),"")</f>
        <v/>
      </c>
      <c r="H933" t="str">
        <f>IFERROR(VLOOKUP(B933,'Pre-Summary'!$AE$6:$AJ$85,4,FALSE),"")</f>
        <v/>
      </c>
      <c r="I933" t="str">
        <f>IFERROR(VLOOKUP(B933,'Pre-Summary'!$AE$6:$AJ$85,5,FALSE),"")</f>
        <v/>
      </c>
      <c r="J933" s="45" t="str">
        <f>IFERROR(VLOOKUP(B933,'Pre-Summary'!$AE$6:$AJ$85,6, FALSE),"")</f>
        <v/>
      </c>
      <c r="K933" s="45" t="str">
        <f>IFERROR(VLOOKUP(B933,'Pre-Summary'!$DE$6:$DG$61,3,FALSE),"")</f>
        <v/>
      </c>
      <c r="L933" s="45" t="str">
        <f>IFERROR(VLOOKUP(B933,'Pre-Summary'!$CU$6:$CW$36,3,FALSE),"")</f>
        <v/>
      </c>
      <c r="M933" s="45" t="str">
        <f>IFERROR(VLOOKUP(B933,'Pre-Summary'!$BW$6:$BY$58,2,FALSE),"")</f>
        <v/>
      </c>
      <c r="N933" s="45" t="str">
        <f>IFERROR(VLOOKUP(B933,'Pre-Summary'!$CD$6:$CF$64,2,FALSE),"")</f>
        <v/>
      </c>
      <c r="O933" s="99">
        <f>IFERROR(VLOOKUP(B933,'Pre-Summary'!$BO$6:$BQ$48,3, FALSE),O932)</f>
        <v>1.2</v>
      </c>
      <c r="P933" s="99">
        <f>IFERROR(VLOOKUP(B933,'Pre-Summary'!$BS$6:$BU$35,3,FALSE),P932)</f>
        <v>0.3</v>
      </c>
      <c r="Q933" s="54">
        <f t="shared" si="42"/>
        <v>4</v>
      </c>
      <c r="R933" s="53">
        <f>IFERROR(VLOOKUP(B933,'Pre-Summary'!$BG$6:$BM$44,7,FALSE),R934)</f>
        <v>4.0839377512219534E-2</v>
      </c>
      <c r="S933" s="53">
        <f>IFERROR(VLOOKUP(B933,'Pre-Summary'!$BG$6:$BM$44,6,FALSE),S934)</f>
        <v>3.561480302426305E-2</v>
      </c>
      <c r="T933" s="45" t="str">
        <f>IFERROR(VLOOKUP(B933,'Pre-Summary'!$Y$6:$AC$83, 3,FALSE),"")</f>
        <v/>
      </c>
      <c r="U933" s="45" t="str">
        <f>IFERROR(VLOOKUP(B933,'Pre-Summary'!$Y$6:$AC$83, 4,FALSE),"")</f>
        <v/>
      </c>
      <c r="V933" t="str">
        <f>IFERROR(VLOOKUP(B933,'Pre-Summary'!$Y$6:$AC$83, 5,FALSE),"")</f>
        <v/>
      </c>
      <c r="W933" s="45" t="str">
        <f>IFERROR(VLOOKUP(B933,'Pre-Summary'!$Y$6:$AD$83,6,FALSE),"")</f>
        <v/>
      </c>
      <c r="X933" t="str">
        <f>IFERROR(VLOOKUP('Pre-Summary'!$DB$6:$DD$63,3,FALSE),"")</f>
        <v/>
      </c>
      <c r="Y933" t="str">
        <f>IFERROR(VLOOKUP(B933,'Pre-Summary'!$CR$6:$CT$36,3,FALSE),"")</f>
        <v/>
      </c>
      <c r="Z933" s="45" t="str">
        <f>IFERROR(VLOOKUP(B933,'Pre-Summary'!$BZ$6:$CB$63,2,FALSE),"")</f>
        <v/>
      </c>
      <c r="AA933" s="45" t="str">
        <f>IFERROR(VLOOKUP(B933,'Pre-Summary'!$CG$6:$CI$70,2,FALSE),"")</f>
        <v/>
      </c>
      <c r="AB933" s="99">
        <f>IFERROR(VLOOKUP(B933,'Pre-Summary'!$A$6:$P$178,9,FALSE),AB934)</f>
        <v>0.51107900307227605</v>
      </c>
      <c r="AC933" s="10">
        <f>IFERROR(VLOOKUP(Summary!B933,'Pre-Summary'!$A$6:$P$184,5, FALSE)/100,AC934)</f>
        <v>0.83335766666666655</v>
      </c>
      <c r="AD933" s="10">
        <f>IFERROR(VLOOKUP(Summary!B933,'Pre-Summary'!$A$6:$P$184,3, FALSE)/100,AD934)</f>
        <v>6.2578333333333333E-2</v>
      </c>
      <c r="AE933" s="10">
        <f>IFERROR(VLOOKUP(Summary!B933,'Pre-Summary'!$A$6:$P$184,7, FALSE)/100,AE934)</f>
        <v>0.10406399999999999</v>
      </c>
      <c r="AF933" s="99">
        <f t="shared" si="43"/>
        <v>3.1982472213924584E-2</v>
      </c>
      <c r="AG933" s="99">
        <f t="shared" si="44"/>
        <v>5.3184925375713329E-2</v>
      </c>
      <c r="AH933" s="10" t="str">
        <f>IFERROR(VLOOKUP(B933,'Pre-Summary'!$AZ$6:$BE$65,3,FALSE),"")</f>
        <v/>
      </c>
      <c r="AI933" s="10" t="str">
        <f>IFERROR(VLOOKUP(B933,'Pre-Summary'!$AZ$6:$BE$65,5,FALSE),"")</f>
        <v/>
      </c>
      <c r="AJ933" s="10" t="str">
        <f>IFERROR(VLOOKUP(B933,'Pre-Summary'!$AZ$6:$BE$65,4,FALSE),"")</f>
        <v/>
      </c>
      <c r="AK933" s="10" t="str">
        <f>IFERROR(VLOOKUP(B933,'Pre-Summary'!$AZ$6:$BE$65,6,FALSE),"")</f>
        <v/>
      </c>
      <c r="AL933" s="10" t="str">
        <f>IFERROR(VLOOKUP(B933,'Pre-Summary'!$BG$6:$BL$44,3,FALSE),"")</f>
        <v/>
      </c>
      <c r="AM933" s="10" t="str">
        <f>IFERROR(VLOOKUP(B933,'Pre-Summary'!$BG$6:$BL$44,4,FALSE),"")</f>
        <v/>
      </c>
    </row>
    <row r="934" spans="2:39" ht="15" customHeight="1" x14ac:dyDescent="0.3">
      <c r="B934">
        <v>93.1</v>
      </c>
      <c r="C934" t="str">
        <f>IFERROR(VLOOKUP(B934,'Pre-Summary'!$DI$6:$DM$23,4,FALSE),"")</f>
        <v/>
      </c>
      <c r="D934" s="10" t="str">
        <f>IFERROR(VLOOKUP(B934,'Pre-Summary'!$AT$6:$AX$14,5,FALSE),D933)</f>
        <v>DSMZ v2: Dropped Na-Ac out of DSMZ 120 media</v>
      </c>
      <c r="E934" s="10" t="str">
        <f>IFERROR(VLOOKUP(B934,'Pre-Summary'!$AT$6:$AX$15,4,FALSE),"")</f>
        <v/>
      </c>
      <c r="F934">
        <f>IFERROR(VLOOKUP(B934,'Pre-Summary'!$AL$6:$AQ$13,6,FALSE),F933)</f>
        <v>5.9405263157894746E-2</v>
      </c>
      <c r="G934" t="str">
        <f>IFERROR(VLOOKUP(B934,'Pre-Summary'!$AE$6:$AJ$85,3,FALSE),"")</f>
        <v/>
      </c>
      <c r="H934" t="str">
        <f>IFERROR(VLOOKUP(B934,'Pre-Summary'!$AE$6:$AJ$85,4,FALSE),"")</f>
        <v/>
      </c>
      <c r="I934" t="str">
        <f>IFERROR(VLOOKUP(B934,'Pre-Summary'!$AE$6:$AJ$85,5,FALSE),"")</f>
        <v/>
      </c>
      <c r="J934" s="45" t="str">
        <f>IFERROR(VLOOKUP(B934,'Pre-Summary'!$AE$6:$AJ$85,6, FALSE),"")</f>
        <v/>
      </c>
      <c r="K934" s="45" t="str">
        <f>IFERROR(VLOOKUP(B934,'Pre-Summary'!$DE$6:$DG$61,3,FALSE),"")</f>
        <v/>
      </c>
      <c r="L934" s="45" t="str">
        <f>IFERROR(VLOOKUP(B934,'Pre-Summary'!$CU$6:$CW$36,3,FALSE),"")</f>
        <v/>
      </c>
      <c r="M934" s="45" t="str">
        <f>IFERROR(VLOOKUP(B934,'Pre-Summary'!$BW$6:$BY$58,2,FALSE),"")</f>
        <v/>
      </c>
      <c r="N934" s="45" t="str">
        <f>IFERROR(VLOOKUP(B934,'Pre-Summary'!$CD$6:$CF$64,2,FALSE),"")</f>
        <v/>
      </c>
      <c r="O934" s="99">
        <f>IFERROR(VLOOKUP(B934,'Pre-Summary'!$BO$6:$BQ$48,3, FALSE),O933)</f>
        <v>1.2</v>
      </c>
      <c r="P934" s="99">
        <f>IFERROR(VLOOKUP(B934,'Pre-Summary'!$BS$6:$BU$35,3,FALSE),P933)</f>
        <v>0.3</v>
      </c>
      <c r="Q934" s="54">
        <f t="shared" si="42"/>
        <v>4</v>
      </c>
      <c r="R934" s="53">
        <f>IFERROR(VLOOKUP(B934,'Pre-Summary'!$BG$6:$BM$44,7,FALSE),R935)</f>
        <v>4.0839377512219534E-2</v>
      </c>
      <c r="S934" s="53">
        <f>IFERROR(VLOOKUP(B934,'Pre-Summary'!$BG$6:$BM$44,6,FALSE),S935)</f>
        <v>3.561480302426305E-2</v>
      </c>
      <c r="T934" s="45" t="str">
        <f>IFERROR(VLOOKUP(B934,'Pre-Summary'!$Y$6:$AC$83, 3,FALSE),"")</f>
        <v/>
      </c>
      <c r="U934" s="45" t="str">
        <f>IFERROR(VLOOKUP(B934,'Pre-Summary'!$Y$6:$AC$83, 4,FALSE),"")</f>
        <v/>
      </c>
      <c r="V934" t="str">
        <f>IFERROR(VLOOKUP(B934,'Pre-Summary'!$Y$6:$AC$83, 5,FALSE),"")</f>
        <v/>
      </c>
      <c r="W934" s="45" t="str">
        <f>IFERROR(VLOOKUP(B934,'Pre-Summary'!$Y$6:$AD$83,6,FALSE),"")</f>
        <v/>
      </c>
      <c r="X934" t="str">
        <f>IFERROR(VLOOKUP('Pre-Summary'!$DB$6:$DD$63,3,FALSE),"")</f>
        <v/>
      </c>
      <c r="Y934" t="str">
        <f>IFERROR(VLOOKUP(B934,'Pre-Summary'!$CR$6:$CT$36,3,FALSE),"")</f>
        <v/>
      </c>
      <c r="Z934" s="45" t="str">
        <f>IFERROR(VLOOKUP(B934,'Pre-Summary'!$BZ$6:$CB$63,2,FALSE),"")</f>
        <v/>
      </c>
      <c r="AA934" s="45" t="str">
        <f>IFERROR(VLOOKUP(B934,'Pre-Summary'!$CG$6:$CI$70,2,FALSE),"")</f>
        <v/>
      </c>
      <c r="AB934" s="99">
        <f>IFERROR(VLOOKUP(B934,'Pre-Summary'!$A$6:$P$178,9,FALSE),AB935)</f>
        <v>0.51107900307227605</v>
      </c>
      <c r="AC934" s="10">
        <f>IFERROR(VLOOKUP(Summary!B934,'Pre-Summary'!$A$6:$P$184,5, FALSE)/100,AC935)</f>
        <v>0.83335766666666655</v>
      </c>
      <c r="AD934" s="10">
        <f>IFERROR(VLOOKUP(Summary!B934,'Pre-Summary'!$A$6:$P$184,3, FALSE)/100,AD935)</f>
        <v>6.2578333333333333E-2</v>
      </c>
      <c r="AE934" s="10">
        <f>IFERROR(VLOOKUP(Summary!B934,'Pre-Summary'!$A$6:$P$184,7, FALSE)/100,AE935)</f>
        <v>0.10406399999999999</v>
      </c>
      <c r="AF934" s="99">
        <f t="shared" si="43"/>
        <v>3.1982472213924584E-2</v>
      </c>
      <c r="AG934" s="99">
        <f t="shared" si="44"/>
        <v>5.3184925375713329E-2</v>
      </c>
      <c r="AH934" s="10" t="str">
        <f>IFERROR(VLOOKUP(B934,'Pre-Summary'!$AZ$6:$BE$65,3,FALSE),"")</f>
        <v/>
      </c>
      <c r="AI934" s="10" t="str">
        <f>IFERROR(VLOOKUP(B934,'Pre-Summary'!$AZ$6:$BE$65,5,FALSE),"")</f>
        <v/>
      </c>
      <c r="AJ934" s="10" t="str">
        <f>IFERROR(VLOOKUP(B934,'Pre-Summary'!$AZ$6:$BE$65,4,FALSE),"")</f>
        <v/>
      </c>
      <c r="AK934" s="10" t="str">
        <f>IFERROR(VLOOKUP(B934,'Pre-Summary'!$AZ$6:$BE$65,6,FALSE),"")</f>
        <v/>
      </c>
      <c r="AL934" s="10" t="str">
        <f>IFERROR(VLOOKUP(B934,'Pre-Summary'!$BG$6:$BL$44,3,FALSE),"")</f>
        <v/>
      </c>
      <c r="AM934" s="10" t="str">
        <f>IFERROR(VLOOKUP(B934,'Pre-Summary'!$BG$6:$BL$44,4,FALSE),"")</f>
        <v/>
      </c>
    </row>
    <row r="935" spans="2:39" ht="15" customHeight="1" x14ac:dyDescent="0.3">
      <c r="B935">
        <v>93.2</v>
      </c>
      <c r="C935" t="str">
        <f>IFERROR(VLOOKUP(B935,'Pre-Summary'!$DI$6:$DM$23,4,FALSE),"")</f>
        <v/>
      </c>
      <c r="D935" s="10" t="str">
        <f>IFERROR(VLOOKUP(B935,'Pre-Summary'!$AT$6:$AX$14,5,FALSE),D934)</f>
        <v>DSMZ v2: Dropped Na-Ac out of DSMZ 120 media</v>
      </c>
      <c r="E935" s="10" t="str">
        <f>IFERROR(VLOOKUP(B935,'Pre-Summary'!$AT$6:$AX$15,4,FALSE),"")</f>
        <v/>
      </c>
      <c r="F935">
        <f>IFERROR(VLOOKUP(B935,'Pre-Summary'!$AL$6:$AQ$13,6,FALSE),F934)</f>
        <v>5.9405263157894746E-2</v>
      </c>
      <c r="G935" t="str">
        <f>IFERROR(VLOOKUP(B935,'Pre-Summary'!$AE$6:$AJ$85,3,FALSE),"")</f>
        <v/>
      </c>
      <c r="H935" t="str">
        <f>IFERROR(VLOOKUP(B935,'Pre-Summary'!$AE$6:$AJ$85,4,FALSE),"")</f>
        <v/>
      </c>
      <c r="I935" t="str">
        <f>IFERROR(VLOOKUP(B935,'Pre-Summary'!$AE$6:$AJ$85,5,FALSE),"")</f>
        <v/>
      </c>
      <c r="J935" s="45" t="str">
        <f>IFERROR(VLOOKUP(B935,'Pre-Summary'!$AE$6:$AJ$85,6, FALSE),"")</f>
        <v/>
      </c>
      <c r="K935" s="45" t="str">
        <f>IFERROR(VLOOKUP(B935,'Pre-Summary'!$DE$6:$DG$61,3,FALSE),"")</f>
        <v/>
      </c>
      <c r="L935" s="45" t="str">
        <f>IFERROR(VLOOKUP(B935,'Pre-Summary'!$CU$6:$CW$36,3,FALSE),"")</f>
        <v/>
      </c>
      <c r="M935" s="45" t="str">
        <f>IFERROR(VLOOKUP(B935,'Pre-Summary'!$BW$6:$BY$58,2,FALSE),"")</f>
        <v/>
      </c>
      <c r="N935" s="45" t="str">
        <f>IFERROR(VLOOKUP(B935,'Pre-Summary'!$CD$6:$CF$64,2,FALSE),"")</f>
        <v/>
      </c>
      <c r="O935" s="99">
        <f>IFERROR(VLOOKUP(B935,'Pre-Summary'!$BO$6:$BQ$48,3, FALSE),O934)</f>
        <v>1.2</v>
      </c>
      <c r="P935" s="99">
        <f>IFERROR(VLOOKUP(B935,'Pre-Summary'!$BS$6:$BU$35,3,FALSE),P934)</f>
        <v>0.3</v>
      </c>
      <c r="Q935" s="54">
        <f t="shared" si="42"/>
        <v>4</v>
      </c>
      <c r="R935" s="53">
        <f>IFERROR(VLOOKUP(B935,'Pre-Summary'!$BG$6:$BM$44,7,FALSE),R936)</f>
        <v>4.0839377512219534E-2</v>
      </c>
      <c r="S935" s="53">
        <f>IFERROR(VLOOKUP(B935,'Pre-Summary'!$BG$6:$BM$44,6,FALSE),S936)</f>
        <v>3.561480302426305E-2</v>
      </c>
      <c r="T935" s="45" t="str">
        <f>IFERROR(VLOOKUP(B935,'Pre-Summary'!$Y$6:$AC$83, 3,FALSE),"")</f>
        <v/>
      </c>
      <c r="U935" s="45" t="str">
        <f>IFERROR(VLOOKUP(B935,'Pre-Summary'!$Y$6:$AC$83, 4,FALSE),"")</f>
        <v/>
      </c>
      <c r="V935" t="str">
        <f>IFERROR(VLOOKUP(B935,'Pre-Summary'!$Y$6:$AC$83, 5,FALSE),"")</f>
        <v/>
      </c>
      <c r="W935" s="45" t="str">
        <f>IFERROR(VLOOKUP(B935,'Pre-Summary'!$Y$6:$AD$83,6,FALSE),"")</f>
        <v/>
      </c>
      <c r="X935" t="str">
        <f>IFERROR(VLOOKUP('Pre-Summary'!$DB$6:$DD$63,3,FALSE),"")</f>
        <v/>
      </c>
      <c r="Y935" t="str">
        <f>IFERROR(VLOOKUP(B935,'Pre-Summary'!$CR$6:$CT$36,3,FALSE),"")</f>
        <v/>
      </c>
      <c r="Z935" s="45" t="str">
        <f>IFERROR(VLOOKUP(B935,'Pre-Summary'!$BZ$6:$CB$63,2,FALSE),"")</f>
        <v/>
      </c>
      <c r="AA935" s="45" t="str">
        <f>IFERROR(VLOOKUP(B935,'Pre-Summary'!$CG$6:$CI$70,2,FALSE),"")</f>
        <v/>
      </c>
      <c r="AB935" s="99">
        <f>IFERROR(VLOOKUP(B935,'Pre-Summary'!$A$6:$P$178,9,FALSE),AB936)</f>
        <v>0.51107900307227605</v>
      </c>
      <c r="AC935" s="10">
        <f>IFERROR(VLOOKUP(Summary!B935,'Pre-Summary'!$A$6:$P$184,5, FALSE)/100,AC936)</f>
        <v>0.83335766666666655</v>
      </c>
      <c r="AD935" s="10">
        <f>IFERROR(VLOOKUP(Summary!B935,'Pre-Summary'!$A$6:$P$184,3, FALSE)/100,AD936)</f>
        <v>6.2578333333333333E-2</v>
      </c>
      <c r="AE935" s="10">
        <f>IFERROR(VLOOKUP(Summary!B935,'Pre-Summary'!$A$6:$P$184,7, FALSE)/100,AE936)</f>
        <v>0.10406399999999999</v>
      </c>
      <c r="AF935" s="99">
        <f t="shared" si="43"/>
        <v>3.1982472213924584E-2</v>
      </c>
      <c r="AG935" s="99">
        <f t="shared" si="44"/>
        <v>5.3184925375713329E-2</v>
      </c>
      <c r="AH935" s="10" t="str">
        <f>IFERROR(VLOOKUP(B935,'Pre-Summary'!$AZ$6:$BE$65,3,FALSE),"")</f>
        <v/>
      </c>
      <c r="AI935" s="10" t="str">
        <f>IFERROR(VLOOKUP(B935,'Pre-Summary'!$AZ$6:$BE$65,5,FALSE),"")</f>
        <v/>
      </c>
      <c r="AJ935" s="10" t="str">
        <f>IFERROR(VLOOKUP(B935,'Pre-Summary'!$AZ$6:$BE$65,4,FALSE),"")</f>
        <v/>
      </c>
      <c r="AK935" s="10" t="str">
        <f>IFERROR(VLOOKUP(B935,'Pre-Summary'!$AZ$6:$BE$65,6,FALSE),"")</f>
        <v/>
      </c>
      <c r="AL935" s="10" t="str">
        <f>IFERROR(VLOOKUP(B935,'Pre-Summary'!$BG$6:$BL$44,3,FALSE),"")</f>
        <v/>
      </c>
      <c r="AM935" s="10" t="str">
        <f>IFERROR(VLOOKUP(B935,'Pre-Summary'!$BG$6:$BL$44,4,FALSE),"")</f>
        <v/>
      </c>
    </row>
    <row r="936" spans="2:39" ht="15" customHeight="1" x14ac:dyDescent="0.3">
      <c r="B936">
        <v>93.3</v>
      </c>
      <c r="C936" t="str">
        <f>IFERROR(VLOOKUP(B936,'Pre-Summary'!$DI$6:$DM$23,4,FALSE),"")</f>
        <v/>
      </c>
      <c r="D936" s="10" t="str">
        <f>IFERROR(VLOOKUP(B936,'Pre-Summary'!$AT$6:$AX$14,5,FALSE),D935)</f>
        <v>DSMZ v2: Dropped Na-Ac out of DSMZ 120 media</v>
      </c>
      <c r="E936" s="10" t="str">
        <f>IFERROR(VLOOKUP(B936,'Pre-Summary'!$AT$6:$AX$15,4,FALSE),"")</f>
        <v/>
      </c>
      <c r="F936">
        <f>IFERROR(VLOOKUP(B936,'Pre-Summary'!$AL$6:$AQ$13,6,FALSE),F935)</f>
        <v>5.9405263157894746E-2</v>
      </c>
      <c r="G936" t="str">
        <f>IFERROR(VLOOKUP(B936,'Pre-Summary'!$AE$6:$AJ$85,3,FALSE),"")</f>
        <v/>
      </c>
      <c r="H936" t="str">
        <f>IFERROR(VLOOKUP(B936,'Pre-Summary'!$AE$6:$AJ$85,4,FALSE),"")</f>
        <v/>
      </c>
      <c r="I936" t="str">
        <f>IFERROR(VLOOKUP(B936,'Pre-Summary'!$AE$6:$AJ$85,5,FALSE),"")</f>
        <v/>
      </c>
      <c r="J936" s="45" t="str">
        <f>IFERROR(VLOOKUP(B936,'Pre-Summary'!$AE$6:$AJ$85,6, FALSE),"")</f>
        <v/>
      </c>
      <c r="K936" s="45" t="str">
        <f>IFERROR(VLOOKUP(B936,'Pre-Summary'!$DE$6:$DG$61,3,FALSE),"")</f>
        <v/>
      </c>
      <c r="L936" s="45" t="str">
        <f>IFERROR(VLOOKUP(B936,'Pre-Summary'!$CU$6:$CW$36,3,FALSE),"")</f>
        <v/>
      </c>
      <c r="M936" s="45" t="str">
        <f>IFERROR(VLOOKUP(B936,'Pre-Summary'!$BW$6:$BY$58,2,FALSE),"")</f>
        <v/>
      </c>
      <c r="N936" s="45" t="str">
        <f>IFERROR(VLOOKUP(B936,'Pre-Summary'!$CD$6:$CF$64,2,FALSE),"")</f>
        <v/>
      </c>
      <c r="O936" s="99">
        <f>IFERROR(VLOOKUP(B936,'Pre-Summary'!$BO$6:$BQ$48,3, FALSE),O935)</f>
        <v>1.2</v>
      </c>
      <c r="P936" s="99">
        <f>IFERROR(VLOOKUP(B936,'Pre-Summary'!$BS$6:$BU$35,3,FALSE),P935)</f>
        <v>0.3</v>
      </c>
      <c r="Q936" s="54">
        <f t="shared" si="42"/>
        <v>4</v>
      </c>
      <c r="R936" s="53">
        <f>IFERROR(VLOOKUP(B936,'Pre-Summary'!$BG$6:$BM$44,7,FALSE),R937)</f>
        <v>4.0839377512219534E-2</v>
      </c>
      <c r="S936" s="53">
        <f>IFERROR(VLOOKUP(B936,'Pre-Summary'!$BG$6:$BM$44,6,FALSE),S937)</f>
        <v>3.561480302426305E-2</v>
      </c>
      <c r="T936" s="45" t="str">
        <f>IFERROR(VLOOKUP(B936,'Pre-Summary'!$Y$6:$AC$83, 3,FALSE),"")</f>
        <v/>
      </c>
      <c r="U936" s="45" t="str">
        <f>IFERROR(VLOOKUP(B936,'Pre-Summary'!$Y$6:$AC$83, 4,FALSE),"")</f>
        <v/>
      </c>
      <c r="V936" t="str">
        <f>IFERROR(VLOOKUP(B936,'Pre-Summary'!$Y$6:$AC$83, 5,FALSE),"")</f>
        <v/>
      </c>
      <c r="W936" s="45" t="str">
        <f>IFERROR(VLOOKUP(B936,'Pre-Summary'!$Y$6:$AD$83,6,FALSE),"")</f>
        <v/>
      </c>
      <c r="X936" t="str">
        <f>IFERROR(VLOOKUP('Pre-Summary'!$DB$6:$DD$63,3,FALSE),"")</f>
        <v/>
      </c>
      <c r="Y936" t="str">
        <f>IFERROR(VLOOKUP(B936,'Pre-Summary'!$CR$6:$CT$36,3,FALSE),"")</f>
        <v/>
      </c>
      <c r="Z936" s="45" t="str">
        <f>IFERROR(VLOOKUP(B936,'Pre-Summary'!$BZ$6:$CB$63,2,FALSE),"")</f>
        <v/>
      </c>
      <c r="AA936" s="45" t="str">
        <f>IFERROR(VLOOKUP(B936,'Pre-Summary'!$CG$6:$CI$70,2,FALSE),"")</f>
        <v/>
      </c>
      <c r="AB936" s="99">
        <f>IFERROR(VLOOKUP(B936,'Pre-Summary'!$A$6:$P$178,9,FALSE),AB937)</f>
        <v>0.51107900307227605</v>
      </c>
      <c r="AC936" s="10">
        <f>IFERROR(VLOOKUP(Summary!B936,'Pre-Summary'!$A$6:$P$184,5, FALSE)/100,AC937)</f>
        <v>0.83335766666666655</v>
      </c>
      <c r="AD936" s="10">
        <f>IFERROR(VLOOKUP(Summary!B936,'Pre-Summary'!$A$6:$P$184,3, FALSE)/100,AD937)</f>
        <v>6.2578333333333333E-2</v>
      </c>
      <c r="AE936" s="10">
        <f>IFERROR(VLOOKUP(Summary!B936,'Pre-Summary'!$A$6:$P$184,7, FALSE)/100,AE937)</f>
        <v>0.10406399999999999</v>
      </c>
      <c r="AF936" s="99">
        <f t="shared" si="43"/>
        <v>3.1982472213924584E-2</v>
      </c>
      <c r="AG936" s="99">
        <f t="shared" si="44"/>
        <v>5.3184925375713329E-2</v>
      </c>
      <c r="AH936" s="10" t="str">
        <f>IFERROR(VLOOKUP(B936,'Pre-Summary'!$AZ$6:$BE$65,3,FALSE),"")</f>
        <v/>
      </c>
      <c r="AI936" s="10" t="str">
        <f>IFERROR(VLOOKUP(B936,'Pre-Summary'!$AZ$6:$BE$65,5,FALSE),"")</f>
        <v/>
      </c>
      <c r="AJ936" s="10" t="str">
        <f>IFERROR(VLOOKUP(B936,'Pre-Summary'!$AZ$6:$BE$65,4,FALSE),"")</f>
        <v/>
      </c>
      <c r="AK936" s="10" t="str">
        <f>IFERROR(VLOOKUP(B936,'Pre-Summary'!$AZ$6:$BE$65,6,FALSE),"")</f>
        <v/>
      </c>
      <c r="AL936" s="10" t="str">
        <f>IFERROR(VLOOKUP(B936,'Pre-Summary'!$BG$6:$BL$44,3,FALSE),"")</f>
        <v/>
      </c>
      <c r="AM936" s="10" t="str">
        <f>IFERROR(VLOOKUP(B936,'Pre-Summary'!$BG$6:$BL$44,4,FALSE),"")</f>
        <v/>
      </c>
    </row>
    <row r="937" spans="2:39" ht="15" customHeight="1" x14ac:dyDescent="0.3">
      <c r="B937">
        <v>93.4</v>
      </c>
      <c r="C937" t="str">
        <f>IFERROR(VLOOKUP(B937,'Pre-Summary'!$DI$6:$DM$23,4,FALSE),"")</f>
        <v/>
      </c>
      <c r="D937" s="10" t="str">
        <f>IFERROR(VLOOKUP(B937,'Pre-Summary'!$AT$6:$AX$14,5,FALSE),D936)</f>
        <v>DSMZ v2: Dropped Na-Ac out of DSMZ 120 media</v>
      </c>
      <c r="E937" s="10" t="str">
        <f>IFERROR(VLOOKUP(B937,'Pre-Summary'!$AT$6:$AX$15,4,FALSE),"")</f>
        <v/>
      </c>
      <c r="F937">
        <f>IFERROR(VLOOKUP(B937,'Pre-Summary'!$AL$6:$AQ$13,6,FALSE),F936)</f>
        <v>5.9405263157894746E-2</v>
      </c>
      <c r="G937" t="str">
        <f>IFERROR(VLOOKUP(B937,'Pre-Summary'!$AE$6:$AJ$85,3,FALSE),"")</f>
        <v/>
      </c>
      <c r="H937" t="str">
        <f>IFERROR(VLOOKUP(B937,'Pre-Summary'!$AE$6:$AJ$85,4,FALSE),"")</f>
        <v/>
      </c>
      <c r="I937" t="str">
        <f>IFERROR(VLOOKUP(B937,'Pre-Summary'!$AE$6:$AJ$85,5,FALSE),"")</f>
        <v/>
      </c>
      <c r="J937" s="45" t="str">
        <f>IFERROR(VLOOKUP(B937,'Pre-Summary'!$AE$6:$AJ$85,6, FALSE),"")</f>
        <v/>
      </c>
      <c r="K937" s="45" t="str">
        <f>IFERROR(VLOOKUP(B937,'Pre-Summary'!$DE$6:$DG$61,3,FALSE),"")</f>
        <v/>
      </c>
      <c r="L937" s="45" t="str">
        <f>IFERROR(VLOOKUP(B937,'Pre-Summary'!$CU$6:$CW$36,3,FALSE),"")</f>
        <v/>
      </c>
      <c r="M937" s="45" t="str">
        <f>IFERROR(VLOOKUP(B937,'Pre-Summary'!$BW$6:$BY$58,2,FALSE),"")</f>
        <v/>
      </c>
      <c r="N937" s="45" t="str">
        <f>IFERROR(VLOOKUP(B937,'Pre-Summary'!$CD$6:$CF$64,2,FALSE),"")</f>
        <v/>
      </c>
      <c r="O937" s="99">
        <f>IFERROR(VLOOKUP(B937,'Pre-Summary'!$BO$6:$BQ$48,3, FALSE),O936)</f>
        <v>1.2</v>
      </c>
      <c r="P937" s="99">
        <f>IFERROR(VLOOKUP(B937,'Pre-Summary'!$BS$6:$BU$35,3,FALSE),P936)</f>
        <v>0.3</v>
      </c>
      <c r="Q937" s="54">
        <f t="shared" si="42"/>
        <v>4</v>
      </c>
      <c r="R937" s="53">
        <f>IFERROR(VLOOKUP(B937,'Pre-Summary'!$BG$6:$BM$44,7,FALSE),R938)</f>
        <v>4.0839377512219534E-2</v>
      </c>
      <c r="S937" s="53">
        <f>IFERROR(VLOOKUP(B937,'Pre-Summary'!$BG$6:$BM$44,6,FALSE),S938)</f>
        <v>3.561480302426305E-2</v>
      </c>
      <c r="T937" s="45" t="str">
        <f>IFERROR(VLOOKUP(B937,'Pre-Summary'!$Y$6:$AC$83, 3,FALSE),"")</f>
        <v/>
      </c>
      <c r="U937" s="45" t="str">
        <f>IFERROR(VLOOKUP(B937,'Pre-Summary'!$Y$6:$AC$83, 4,FALSE),"")</f>
        <v/>
      </c>
      <c r="V937" t="str">
        <f>IFERROR(VLOOKUP(B937,'Pre-Summary'!$Y$6:$AC$83, 5,FALSE),"")</f>
        <v/>
      </c>
      <c r="W937" s="45" t="str">
        <f>IFERROR(VLOOKUP(B937,'Pre-Summary'!$Y$6:$AD$83,6,FALSE),"")</f>
        <v/>
      </c>
      <c r="X937" t="str">
        <f>IFERROR(VLOOKUP('Pre-Summary'!$DB$6:$DD$63,3,FALSE),"")</f>
        <v/>
      </c>
      <c r="Y937" t="str">
        <f>IFERROR(VLOOKUP(B937,'Pre-Summary'!$CR$6:$CT$36,3,FALSE),"")</f>
        <v/>
      </c>
      <c r="Z937" s="45" t="str">
        <f>IFERROR(VLOOKUP(B937,'Pre-Summary'!$BZ$6:$CB$63,2,FALSE),"")</f>
        <v/>
      </c>
      <c r="AA937" s="45" t="str">
        <f>IFERROR(VLOOKUP(B937,'Pre-Summary'!$CG$6:$CI$70,2,FALSE),"")</f>
        <v/>
      </c>
      <c r="AB937" s="99">
        <f>IFERROR(VLOOKUP(B937,'Pre-Summary'!$A$6:$P$178,9,FALSE),AB938)</f>
        <v>0.51107900307227605</v>
      </c>
      <c r="AC937" s="10">
        <f>IFERROR(VLOOKUP(Summary!B937,'Pre-Summary'!$A$6:$P$184,5, FALSE)/100,AC938)</f>
        <v>0.83335766666666655</v>
      </c>
      <c r="AD937" s="10">
        <f>IFERROR(VLOOKUP(Summary!B937,'Pre-Summary'!$A$6:$P$184,3, FALSE)/100,AD938)</f>
        <v>6.2578333333333333E-2</v>
      </c>
      <c r="AE937" s="10">
        <f>IFERROR(VLOOKUP(Summary!B937,'Pre-Summary'!$A$6:$P$184,7, FALSE)/100,AE938)</f>
        <v>0.10406399999999999</v>
      </c>
      <c r="AF937" s="99">
        <f t="shared" si="43"/>
        <v>3.1982472213924584E-2</v>
      </c>
      <c r="AG937" s="99">
        <f t="shared" si="44"/>
        <v>5.3184925375713329E-2</v>
      </c>
      <c r="AH937" s="10" t="str">
        <f>IFERROR(VLOOKUP(B937,'Pre-Summary'!$AZ$6:$BE$65,3,FALSE),"")</f>
        <v/>
      </c>
      <c r="AI937" s="10" t="str">
        <f>IFERROR(VLOOKUP(B937,'Pre-Summary'!$AZ$6:$BE$65,5,FALSE),"")</f>
        <v/>
      </c>
      <c r="AJ937" s="10" t="str">
        <f>IFERROR(VLOOKUP(B937,'Pre-Summary'!$AZ$6:$BE$65,4,FALSE),"")</f>
        <v/>
      </c>
      <c r="AK937" s="10" t="str">
        <f>IFERROR(VLOOKUP(B937,'Pre-Summary'!$AZ$6:$BE$65,6,FALSE),"")</f>
        <v/>
      </c>
      <c r="AL937" s="10" t="str">
        <f>IFERROR(VLOOKUP(B937,'Pre-Summary'!$BG$6:$BL$44,3,FALSE),"")</f>
        <v/>
      </c>
      <c r="AM937" s="10" t="str">
        <f>IFERROR(VLOOKUP(B937,'Pre-Summary'!$BG$6:$BL$44,4,FALSE),"")</f>
        <v/>
      </c>
    </row>
    <row r="938" spans="2:39" ht="15" customHeight="1" x14ac:dyDescent="0.3">
      <c r="B938">
        <v>93.5</v>
      </c>
      <c r="C938" t="str">
        <f>IFERROR(VLOOKUP(B938,'Pre-Summary'!$DI$6:$DM$23,4,FALSE),"")</f>
        <v/>
      </c>
      <c r="D938" s="10" t="str">
        <f>IFERROR(VLOOKUP(B938,'Pre-Summary'!$AT$6:$AX$14,5,FALSE),D937)</f>
        <v>DSMZ v2: Dropped Na-Ac out of DSMZ 120 media</v>
      </c>
      <c r="E938" s="10" t="str">
        <f>IFERROR(VLOOKUP(B938,'Pre-Summary'!$AT$6:$AX$15,4,FALSE),"")</f>
        <v/>
      </c>
      <c r="F938">
        <f>IFERROR(VLOOKUP(B938,'Pre-Summary'!$AL$6:$AQ$13,6,FALSE),F937)</f>
        <v>5.9405263157894746E-2</v>
      </c>
      <c r="G938" t="str">
        <f>IFERROR(VLOOKUP(B938,'Pre-Summary'!$AE$6:$AJ$85,3,FALSE),"")</f>
        <v/>
      </c>
      <c r="H938" t="str">
        <f>IFERROR(VLOOKUP(B938,'Pre-Summary'!$AE$6:$AJ$85,4,FALSE),"")</f>
        <v/>
      </c>
      <c r="I938" t="str">
        <f>IFERROR(VLOOKUP(B938,'Pre-Summary'!$AE$6:$AJ$85,5,FALSE),"")</f>
        <v/>
      </c>
      <c r="J938" s="45" t="str">
        <f>IFERROR(VLOOKUP(B938,'Pre-Summary'!$AE$6:$AJ$85,6, FALSE),"")</f>
        <v/>
      </c>
      <c r="K938" s="45" t="str">
        <f>IFERROR(VLOOKUP(B938,'Pre-Summary'!$DE$6:$DG$61,3,FALSE),"")</f>
        <v/>
      </c>
      <c r="L938" s="45" t="str">
        <f>IFERROR(VLOOKUP(B938,'Pre-Summary'!$CU$6:$CW$36,3,FALSE),"")</f>
        <v/>
      </c>
      <c r="M938" s="45" t="str">
        <f>IFERROR(VLOOKUP(B938,'Pre-Summary'!$BW$6:$BY$58,2,FALSE),"")</f>
        <v/>
      </c>
      <c r="N938" s="45" t="str">
        <f>IFERROR(VLOOKUP(B938,'Pre-Summary'!$CD$6:$CF$64,2,FALSE),"")</f>
        <v/>
      </c>
      <c r="O938" s="99">
        <f>IFERROR(VLOOKUP(B938,'Pre-Summary'!$BO$6:$BQ$48,3, FALSE),O937)</f>
        <v>1.2</v>
      </c>
      <c r="P938" s="99">
        <f>IFERROR(VLOOKUP(B938,'Pre-Summary'!$BS$6:$BU$35,3,FALSE),P937)</f>
        <v>0.3</v>
      </c>
      <c r="Q938" s="54">
        <f t="shared" si="42"/>
        <v>4</v>
      </c>
      <c r="R938" s="53">
        <f>IFERROR(VLOOKUP(B938,'Pre-Summary'!$BG$6:$BM$44,7,FALSE),R939)</f>
        <v>4.0839377512219534E-2</v>
      </c>
      <c r="S938" s="53">
        <f>IFERROR(VLOOKUP(B938,'Pre-Summary'!$BG$6:$BM$44,6,FALSE),S939)</f>
        <v>3.561480302426305E-2</v>
      </c>
      <c r="T938" s="45" t="str">
        <f>IFERROR(VLOOKUP(B938,'Pre-Summary'!$Y$6:$AC$83, 3,FALSE),"")</f>
        <v/>
      </c>
      <c r="U938" s="45" t="str">
        <f>IFERROR(VLOOKUP(B938,'Pre-Summary'!$Y$6:$AC$83, 4,FALSE),"")</f>
        <v/>
      </c>
      <c r="V938" t="str">
        <f>IFERROR(VLOOKUP(B938,'Pre-Summary'!$Y$6:$AC$83, 5,FALSE),"")</f>
        <v/>
      </c>
      <c r="W938" s="45" t="str">
        <f>IFERROR(VLOOKUP(B938,'Pre-Summary'!$Y$6:$AD$83,6,FALSE),"")</f>
        <v/>
      </c>
      <c r="X938" t="str">
        <f>IFERROR(VLOOKUP('Pre-Summary'!$DB$6:$DD$63,3,FALSE),"")</f>
        <v/>
      </c>
      <c r="Y938" t="str">
        <f>IFERROR(VLOOKUP(B938,'Pre-Summary'!$CR$6:$CT$36,3,FALSE),"")</f>
        <v/>
      </c>
      <c r="Z938" s="45" t="str">
        <f>IFERROR(VLOOKUP(B938,'Pre-Summary'!$BZ$6:$CB$63,2,FALSE),"")</f>
        <v/>
      </c>
      <c r="AA938" s="45" t="str">
        <f>IFERROR(VLOOKUP(B938,'Pre-Summary'!$CG$6:$CI$70,2,FALSE),"")</f>
        <v/>
      </c>
      <c r="AB938" s="99">
        <f>IFERROR(VLOOKUP(B938,'Pre-Summary'!$A$6:$P$178,9,FALSE),AB939)</f>
        <v>0.51107900307227605</v>
      </c>
      <c r="AC938" s="10">
        <f>IFERROR(VLOOKUP(Summary!B938,'Pre-Summary'!$A$6:$P$184,5, FALSE)/100,AC939)</f>
        <v>0.83335766666666655</v>
      </c>
      <c r="AD938" s="10">
        <f>IFERROR(VLOOKUP(Summary!B938,'Pre-Summary'!$A$6:$P$184,3, FALSE)/100,AD939)</f>
        <v>6.2578333333333333E-2</v>
      </c>
      <c r="AE938" s="10">
        <f>IFERROR(VLOOKUP(Summary!B938,'Pre-Summary'!$A$6:$P$184,7, FALSE)/100,AE939)</f>
        <v>0.10406399999999999</v>
      </c>
      <c r="AF938" s="99">
        <f t="shared" si="43"/>
        <v>3.1982472213924584E-2</v>
      </c>
      <c r="AG938" s="99">
        <f t="shared" si="44"/>
        <v>5.3184925375713329E-2</v>
      </c>
      <c r="AH938" s="10" t="str">
        <f>IFERROR(VLOOKUP(B938,'Pre-Summary'!$AZ$6:$BE$65,3,FALSE),"")</f>
        <v/>
      </c>
      <c r="AI938" s="10" t="str">
        <f>IFERROR(VLOOKUP(B938,'Pre-Summary'!$AZ$6:$BE$65,5,FALSE),"")</f>
        <v/>
      </c>
      <c r="AJ938" s="10" t="str">
        <f>IFERROR(VLOOKUP(B938,'Pre-Summary'!$AZ$6:$BE$65,4,FALSE),"")</f>
        <v/>
      </c>
      <c r="AK938" s="10" t="str">
        <f>IFERROR(VLOOKUP(B938,'Pre-Summary'!$AZ$6:$BE$65,6,FALSE),"")</f>
        <v/>
      </c>
      <c r="AL938" s="10" t="str">
        <f>IFERROR(VLOOKUP(B938,'Pre-Summary'!$BG$6:$BL$44,3,FALSE),"")</f>
        <v/>
      </c>
      <c r="AM938" s="10" t="str">
        <f>IFERROR(VLOOKUP(B938,'Pre-Summary'!$BG$6:$BL$44,4,FALSE),"")</f>
        <v/>
      </c>
    </row>
    <row r="939" spans="2:39" ht="15" customHeight="1" x14ac:dyDescent="0.3">
      <c r="B939">
        <v>93.6</v>
      </c>
      <c r="C939" t="str">
        <f>IFERROR(VLOOKUP(B939,'Pre-Summary'!$DI$6:$DM$23,4,FALSE),"")</f>
        <v/>
      </c>
      <c r="D939" s="10" t="str">
        <f>IFERROR(VLOOKUP(B939,'Pre-Summary'!$AT$6:$AX$14,5,FALSE),D938)</f>
        <v>DSMZ v2: Dropped Na-Ac out of DSMZ 120 media</v>
      </c>
      <c r="E939" s="10" t="str">
        <f>IFERROR(VLOOKUP(B939,'Pre-Summary'!$AT$6:$AX$15,4,FALSE),"")</f>
        <v/>
      </c>
      <c r="F939">
        <f>IFERROR(VLOOKUP(B939,'Pre-Summary'!$AL$6:$AQ$13,6,FALSE),F938)</f>
        <v>5.9405263157894746E-2</v>
      </c>
      <c r="G939" t="str">
        <f>IFERROR(VLOOKUP(B939,'Pre-Summary'!$AE$6:$AJ$85,3,FALSE),"")</f>
        <v/>
      </c>
      <c r="H939" t="str">
        <f>IFERROR(VLOOKUP(B939,'Pre-Summary'!$AE$6:$AJ$85,4,FALSE),"")</f>
        <v/>
      </c>
      <c r="I939" t="str">
        <f>IFERROR(VLOOKUP(B939,'Pre-Summary'!$AE$6:$AJ$85,5,FALSE),"")</f>
        <v/>
      </c>
      <c r="J939" s="45" t="str">
        <f>IFERROR(VLOOKUP(B939,'Pre-Summary'!$AE$6:$AJ$85,6, FALSE),"")</f>
        <v/>
      </c>
      <c r="K939" s="45" t="str">
        <f>IFERROR(VLOOKUP(B939,'Pre-Summary'!$DE$6:$DG$61,3,FALSE),"")</f>
        <v/>
      </c>
      <c r="L939" s="45" t="str">
        <f>IFERROR(VLOOKUP(B939,'Pre-Summary'!$CU$6:$CW$36,3,FALSE),"")</f>
        <v/>
      </c>
      <c r="M939" s="45" t="str">
        <f>IFERROR(VLOOKUP(B939,'Pre-Summary'!$BW$6:$BY$58,2,FALSE),"")</f>
        <v/>
      </c>
      <c r="N939" s="45" t="str">
        <f>IFERROR(VLOOKUP(B939,'Pre-Summary'!$CD$6:$CF$64,2,FALSE),"")</f>
        <v/>
      </c>
      <c r="O939" s="99">
        <f>IFERROR(VLOOKUP(B939,'Pre-Summary'!$BO$6:$BQ$48,3, FALSE),O938)</f>
        <v>1.2</v>
      </c>
      <c r="P939" s="99">
        <f>IFERROR(VLOOKUP(B939,'Pre-Summary'!$BS$6:$BU$35,3,FALSE),P938)</f>
        <v>0.3</v>
      </c>
      <c r="Q939" s="54">
        <f t="shared" si="42"/>
        <v>4</v>
      </c>
      <c r="R939" s="53">
        <f>IFERROR(VLOOKUP(B939,'Pre-Summary'!$BG$6:$BM$44,7,FALSE),R940)</f>
        <v>4.0839377512219534E-2</v>
      </c>
      <c r="S939" s="53">
        <f>IFERROR(VLOOKUP(B939,'Pre-Summary'!$BG$6:$BM$44,6,FALSE),S940)</f>
        <v>3.561480302426305E-2</v>
      </c>
      <c r="T939" s="45" t="str">
        <f>IFERROR(VLOOKUP(B939,'Pre-Summary'!$Y$6:$AC$83, 3,FALSE),"")</f>
        <v/>
      </c>
      <c r="U939" s="45" t="str">
        <f>IFERROR(VLOOKUP(B939,'Pre-Summary'!$Y$6:$AC$83, 4,FALSE),"")</f>
        <v/>
      </c>
      <c r="V939" t="str">
        <f>IFERROR(VLOOKUP(B939,'Pre-Summary'!$Y$6:$AC$83, 5,FALSE),"")</f>
        <v/>
      </c>
      <c r="W939" s="45" t="str">
        <f>IFERROR(VLOOKUP(B939,'Pre-Summary'!$Y$6:$AD$83,6,FALSE),"")</f>
        <v/>
      </c>
      <c r="X939" t="str">
        <f>IFERROR(VLOOKUP('Pre-Summary'!$DB$6:$DD$63,3,FALSE),"")</f>
        <v/>
      </c>
      <c r="Y939" t="str">
        <f>IFERROR(VLOOKUP(B939,'Pre-Summary'!$CR$6:$CT$36,3,FALSE),"")</f>
        <v/>
      </c>
      <c r="Z939" s="45" t="str">
        <f>IFERROR(VLOOKUP(B939,'Pre-Summary'!$BZ$6:$CB$63,2,FALSE),"")</f>
        <v/>
      </c>
      <c r="AA939" s="45" t="str">
        <f>IFERROR(VLOOKUP(B939,'Pre-Summary'!$CG$6:$CI$70,2,FALSE),"")</f>
        <v/>
      </c>
      <c r="AB939" s="99">
        <f>IFERROR(VLOOKUP(B939,'Pre-Summary'!$A$6:$P$178,9,FALSE),AB940)</f>
        <v>0.51107900307227605</v>
      </c>
      <c r="AC939" s="10">
        <f>IFERROR(VLOOKUP(Summary!B939,'Pre-Summary'!$A$6:$P$184,5, FALSE)/100,AC940)</f>
        <v>0.83335766666666655</v>
      </c>
      <c r="AD939" s="10">
        <f>IFERROR(VLOOKUP(Summary!B939,'Pre-Summary'!$A$6:$P$184,3, FALSE)/100,AD940)</f>
        <v>6.2578333333333333E-2</v>
      </c>
      <c r="AE939" s="10">
        <f>IFERROR(VLOOKUP(Summary!B939,'Pre-Summary'!$A$6:$P$184,7, FALSE)/100,AE940)</f>
        <v>0.10406399999999999</v>
      </c>
      <c r="AF939" s="99">
        <f t="shared" si="43"/>
        <v>3.1982472213924584E-2</v>
      </c>
      <c r="AG939" s="99">
        <f t="shared" si="44"/>
        <v>5.3184925375713329E-2</v>
      </c>
      <c r="AH939" s="10" t="str">
        <f>IFERROR(VLOOKUP(B939,'Pre-Summary'!$AZ$6:$BE$65,3,FALSE),"")</f>
        <v/>
      </c>
      <c r="AI939" s="10" t="str">
        <f>IFERROR(VLOOKUP(B939,'Pre-Summary'!$AZ$6:$BE$65,5,FALSE),"")</f>
        <v/>
      </c>
      <c r="AJ939" s="10" t="str">
        <f>IFERROR(VLOOKUP(B939,'Pre-Summary'!$AZ$6:$BE$65,4,FALSE),"")</f>
        <v/>
      </c>
      <c r="AK939" s="10" t="str">
        <f>IFERROR(VLOOKUP(B939,'Pre-Summary'!$AZ$6:$BE$65,6,FALSE),"")</f>
        <v/>
      </c>
      <c r="AL939" s="10" t="str">
        <f>IFERROR(VLOOKUP(B939,'Pre-Summary'!$BG$6:$BL$44,3,FALSE),"")</f>
        <v/>
      </c>
      <c r="AM939" s="10" t="str">
        <f>IFERROR(VLOOKUP(B939,'Pre-Summary'!$BG$6:$BL$44,4,FALSE),"")</f>
        <v/>
      </c>
    </row>
    <row r="940" spans="2:39" ht="15" customHeight="1" x14ac:dyDescent="0.3">
      <c r="B940">
        <v>93.7</v>
      </c>
      <c r="C940" t="str">
        <f>IFERROR(VLOOKUP(B940,'Pre-Summary'!$DI$6:$DM$23,4,FALSE),"")</f>
        <v/>
      </c>
      <c r="D940" s="10" t="str">
        <f>IFERROR(VLOOKUP(B940,'Pre-Summary'!$AT$6:$AX$14,5,FALSE),D939)</f>
        <v>DSMZ v2: Dropped Na-Ac out of DSMZ 120 media</v>
      </c>
      <c r="E940" s="10" t="str">
        <f>IFERROR(VLOOKUP(B940,'Pre-Summary'!$AT$6:$AX$15,4,FALSE),"")</f>
        <v/>
      </c>
      <c r="F940">
        <f>IFERROR(VLOOKUP(B940,'Pre-Summary'!$AL$6:$AQ$13,6,FALSE),F939)</f>
        <v>5.9405263157894746E-2</v>
      </c>
      <c r="G940" t="str">
        <f>IFERROR(VLOOKUP(B940,'Pre-Summary'!$AE$6:$AJ$85,3,FALSE),"")</f>
        <v/>
      </c>
      <c r="H940" t="str">
        <f>IFERROR(VLOOKUP(B940,'Pre-Summary'!$AE$6:$AJ$85,4,FALSE),"")</f>
        <v/>
      </c>
      <c r="I940" t="str">
        <f>IFERROR(VLOOKUP(B940,'Pre-Summary'!$AE$6:$AJ$85,5,FALSE),"")</f>
        <v/>
      </c>
      <c r="J940" s="45" t="str">
        <f>IFERROR(VLOOKUP(B940,'Pre-Summary'!$AE$6:$AJ$85,6, FALSE),"")</f>
        <v/>
      </c>
      <c r="K940" s="45" t="str">
        <f>IFERROR(VLOOKUP(B940,'Pre-Summary'!$DE$6:$DG$61,3,FALSE),"")</f>
        <v/>
      </c>
      <c r="L940" s="45" t="str">
        <f>IFERROR(VLOOKUP(B940,'Pre-Summary'!$CU$6:$CW$36,3,FALSE),"")</f>
        <v/>
      </c>
      <c r="M940" s="45" t="str">
        <f>IFERROR(VLOOKUP(B940,'Pre-Summary'!$BW$6:$BY$58,2,FALSE),"")</f>
        <v/>
      </c>
      <c r="N940" s="45" t="str">
        <f>IFERROR(VLOOKUP(B940,'Pre-Summary'!$CD$6:$CF$64,2,FALSE),"")</f>
        <v/>
      </c>
      <c r="O940" s="99">
        <f>IFERROR(VLOOKUP(B940,'Pre-Summary'!$BO$6:$BQ$48,3, FALSE),O939)</f>
        <v>1.2</v>
      </c>
      <c r="P940" s="99">
        <f>IFERROR(VLOOKUP(B940,'Pre-Summary'!$BS$6:$BU$35,3,FALSE),P939)</f>
        <v>0.3</v>
      </c>
      <c r="Q940" s="54">
        <f t="shared" si="42"/>
        <v>4</v>
      </c>
      <c r="R940" s="53">
        <f>IFERROR(VLOOKUP(B940,'Pre-Summary'!$BG$6:$BM$44,7,FALSE),R941)</f>
        <v>4.0839377512219534E-2</v>
      </c>
      <c r="S940" s="53">
        <f>IFERROR(VLOOKUP(B940,'Pre-Summary'!$BG$6:$BM$44,6,FALSE),S941)</f>
        <v>3.561480302426305E-2</v>
      </c>
      <c r="T940" s="45" t="str">
        <f>IFERROR(VLOOKUP(B940,'Pre-Summary'!$Y$6:$AC$83, 3,FALSE),"")</f>
        <v/>
      </c>
      <c r="U940" s="45" t="str">
        <f>IFERROR(VLOOKUP(B940,'Pre-Summary'!$Y$6:$AC$83, 4,FALSE),"")</f>
        <v/>
      </c>
      <c r="V940" t="str">
        <f>IFERROR(VLOOKUP(B940,'Pre-Summary'!$Y$6:$AC$83, 5,FALSE),"")</f>
        <v/>
      </c>
      <c r="W940" s="45" t="str">
        <f>IFERROR(VLOOKUP(B940,'Pre-Summary'!$Y$6:$AD$83,6,FALSE),"")</f>
        <v/>
      </c>
      <c r="X940" t="str">
        <f>IFERROR(VLOOKUP('Pre-Summary'!$DB$6:$DD$63,3,FALSE),"")</f>
        <v/>
      </c>
      <c r="Y940" t="str">
        <f>IFERROR(VLOOKUP(B940,'Pre-Summary'!$CR$6:$CT$36,3,FALSE),"")</f>
        <v/>
      </c>
      <c r="Z940" s="45" t="str">
        <f>IFERROR(VLOOKUP(B940,'Pre-Summary'!$BZ$6:$CB$63,2,FALSE),"")</f>
        <v/>
      </c>
      <c r="AA940" s="45" t="str">
        <f>IFERROR(VLOOKUP(B940,'Pre-Summary'!$CG$6:$CI$70,2,FALSE),"")</f>
        <v/>
      </c>
      <c r="AB940" s="99">
        <f>IFERROR(VLOOKUP(B940,'Pre-Summary'!$A$6:$P$178,9,FALSE),AB941)</f>
        <v>0.51107900307227605</v>
      </c>
      <c r="AC940" s="10">
        <f>IFERROR(VLOOKUP(Summary!B940,'Pre-Summary'!$A$6:$P$184,5, FALSE)/100,AC941)</f>
        <v>0.83335766666666655</v>
      </c>
      <c r="AD940" s="10">
        <f>IFERROR(VLOOKUP(Summary!B940,'Pre-Summary'!$A$6:$P$184,3, FALSE)/100,AD941)</f>
        <v>6.2578333333333333E-2</v>
      </c>
      <c r="AE940" s="10">
        <f>IFERROR(VLOOKUP(Summary!B940,'Pre-Summary'!$A$6:$P$184,7, FALSE)/100,AE941)</f>
        <v>0.10406399999999999</v>
      </c>
      <c r="AF940" s="99">
        <f t="shared" si="43"/>
        <v>3.1982472213924584E-2</v>
      </c>
      <c r="AG940" s="99">
        <f t="shared" si="44"/>
        <v>5.3184925375713329E-2</v>
      </c>
      <c r="AH940" s="10" t="str">
        <f>IFERROR(VLOOKUP(B940,'Pre-Summary'!$AZ$6:$BE$65,3,FALSE),"")</f>
        <v/>
      </c>
      <c r="AI940" s="10" t="str">
        <f>IFERROR(VLOOKUP(B940,'Pre-Summary'!$AZ$6:$BE$65,5,FALSE),"")</f>
        <v/>
      </c>
      <c r="AJ940" s="10" t="str">
        <f>IFERROR(VLOOKUP(B940,'Pre-Summary'!$AZ$6:$BE$65,4,FALSE),"")</f>
        <v/>
      </c>
      <c r="AK940" s="10" t="str">
        <f>IFERROR(VLOOKUP(B940,'Pre-Summary'!$AZ$6:$BE$65,6,FALSE),"")</f>
        <v/>
      </c>
      <c r="AL940" s="10" t="str">
        <f>IFERROR(VLOOKUP(B940,'Pre-Summary'!$BG$6:$BL$44,3,FALSE),"")</f>
        <v/>
      </c>
      <c r="AM940" s="10" t="str">
        <f>IFERROR(VLOOKUP(B940,'Pre-Summary'!$BG$6:$BL$44,4,FALSE),"")</f>
        <v/>
      </c>
    </row>
    <row r="941" spans="2:39" ht="15" customHeight="1" x14ac:dyDescent="0.3">
      <c r="B941">
        <v>93.8</v>
      </c>
      <c r="C941" t="str">
        <f>IFERROR(VLOOKUP(B941,'Pre-Summary'!$DI$6:$DM$23,4,FALSE),"")</f>
        <v/>
      </c>
      <c r="D941" s="10" t="str">
        <f>IFERROR(VLOOKUP(B941,'Pre-Summary'!$AT$6:$AX$14,5,FALSE),D940)</f>
        <v>DSMZ v2: Dropped Na-Ac out of DSMZ 120 media</v>
      </c>
      <c r="E941" s="10" t="str">
        <f>IFERROR(VLOOKUP(B941,'Pre-Summary'!$AT$6:$AX$15,4,FALSE),"")</f>
        <v/>
      </c>
      <c r="F941">
        <f>IFERROR(VLOOKUP(B941,'Pre-Summary'!$AL$6:$AQ$13,6,FALSE),F940)</f>
        <v>5.9405263157894746E-2</v>
      </c>
      <c r="G941" t="str">
        <f>IFERROR(VLOOKUP(B941,'Pre-Summary'!$AE$6:$AJ$85,3,FALSE),"")</f>
        <v/>
      </c>
      <c r="H941" t="str">
        <f>IFERROR(VLOOKUP(B941,'Pre-Summary'!$AE$6:$AJ$85,4,FALSE),"")</f>
        <v/>
      </c>
      <c r="I941" t="str">
        <f>IFERROR(VLOOKUP(B941,'Pre-Summary'!$AE$6:$AJ$85,5,FALSE),"")</f>
        <v/>
      </c>
      <c r="J941" s="45" t="str">
        <f>IFERROR(VLOOKUP(B941,'Pre-Summary'!$AE$6:$AJ$85,6, FALSE),"")</f>
        <v/>
      </c>
      <c r="K941" s="45" t="str">
        <f>IFERROR(VLOOKUP(B941,'Pre-Summary'!$DE$6:$DG$61,3,FALSE),"")</f>
        <v/>
      </c>
      <c r="L941" s="45" t="str">
        <f>IFERROR(VLOOKUP(B941,'Pre-Summary'!$CU$6:$CW$36,3,FALSE),"")</f>
        <v/>
      </c>
      <c r="M941" s="45" t="str">
        <f>IFERROR(VLOOKUP(B941,'Pre-Summary'!$BW$6:$BY$58,2,FALSE),"")</f>
        <v/>
      </c>
      <c r="N941" s="45" t="str">
        <f>IFERROR(VLOOKUP(B941,'Pre-Summary'!$CD$6:$CF$64,2,FALSE),"")</f>
        <v/>
      </c>
      <c r="O941" s="99">
        <f>IFERROR(VLOOKUP(B941,'Pre-Summary'!$BO$6:$BQ$48,3, FALSE),O940)</f>
        <v>1.2</v>
      </c>
      <c r="P941" s="99">
        <f>IFERROR(VLOOKUP(B941,'Pre-Summary'!$BS$6:$BU$35,3,FALSE),P940)</f>
        <v>0.3</v>
      </c>
      <c r="Q941" s="54">
        <f t="shared" si="42"/>
        <v>4</v>
      </c>
      <c r="R941" s="53">
        <f>IFERROR(VLOOKUP(B941,'Pre-Summary'!$BG$6:$BM$44,7,FALSE),R942)</f>
        <v>4.0839377512219534E-2</v>
      </c>
      <c r="S941" s="53">
        <f>IFERROR(VLOOKUP(B941,'Pre-Summary'!$BG$6:$BM$44,6,FALSE),S942)</f>
        <v>3.561480302426305E-2</v>
      </c>
      <c r="T941" s="45" t="str">
        <f>IFERROR(VLOOKUP(B941,'Pre-Summary'!$Y$6:$AC$83, 3,FALSE),"")</f>
        <v/>
      </c>
      <c r="U941" s="45" t="str">
        <f>IFERROR(VLOOKUP(B941,'Pre-Summary'!$Y$6:$AC$83, 4,FALSE),"")</f>
        <v/>
      </c>
      <c r="V941" t="str">
        <f>IFERROR(VLOOKUP(B941,'Pre-Summary'!$Y$6:$AC$83, 5,FALSE),"")</f>
        <v/>
      </c>
      <c r="W941" s="45" t="str">
        <f>IFERROR(VLOOKUP(B941,'Pre-Summary'!$Y$6:$AD$83,6,FALSE),"")</f>
        <v/>
      </c>
      <c r="X941" t="str">
        <f>IFERROR(VLOOKUP('Pre-Summary'!$DB$6:$DD$63,3,FALSE),"")</f>
        <v/>
      </c>
      <c r="Y941" t="str">
        <f>IFERROR(VLOOKUP(B941,'Pre-Summary'!$CR$6:$CT$36,3,FALSE),"")</f>
        <v/>
      </c>
      <c r="Z941" s="45" t="str">
        <f>IFERROR(VLOOKUP(B941,'Pre-Summary'!$BZ$6:$CB$63,2,FALSE),"")</f>
        <v/>
      </c>
      <c r="AA941" s="45" t="str">
        <f>IFERROR(VLOOKUP(B941,'Pre-Summary'!$CG$6:$CI$70,2,FALSE),"")</f>
        <v/>
      </c>
      <c r="AB941" s="99">
        <f>IFERROR(VLOOKUP(B941,'Pre-Summary'!$A$6:$P$178,9,FALSE),AB942)</f>
        <v>0.51107900307227605</v>
      </c>
      <c r="AC941" s="10">
        <f>IFERROR(VLOOKUP(Summary!B941,'Pre-Summary'!$A$6:$P$184,5, FALSE)/100,AC942)</f>
        <v>0.83335766666666655</v>
      </c>
      <c r="AD941" s="10">
        <f>IFERROR(VLOOKUP(Summary!B941,'Pre-Summary'!$A$6:$P$184,3, FALSE)/100,AD942)</f>
        <v>6.2578333333333333E-2</v>
      </c>
      <c r="AE941" s="10">
        <f>IFERROR(VLOOKUP(Summary!B941,'Pre-Summary'!$A$6:$P$184,7, FALSE)/100,AE942)</f>
        <v>0.10406399999999999</v>
      </c>
      <c r="AF941" s="99">
        <f t="shared" si="43"/>
        <v>3.1982472213924584E-2</v>
      </c>
      <c r="AG941" s="99">
        <f t="shared" si="44"/>
        <v>5.3184925375713329E-2</v>
      </c>
      <c r="AH941" s="10" t="str">
        <f>IFERROR(VLOOKUP(B941,'Pre-Summary'!$AZ$6:$BE$65,3,FALSE),"")</f>
        <v/>
      </c>
      <c r="AI941" s="10" t="str">
        <f>IFERROR(VLOOKUP(B941,'Pre-Summary'!$AZ$6:$BE$65,5,FALSE),"")</f>
        <v/>
      </c>
      <c r="AJ941" s="10" t="str">
        <f>IFERROR(VLOOKUP(B941,'Pre-Summary'!$AZ$6:$BE$65,4,FALSE),"")</f>
        <v/>
      </c>
      <c r="AK941" s="10" t="str">
        <f>IFERROR(VLOOKUP(B941,'Pre-Summary'!$AZ$6:$BE$65,6,FALSE),"")</f>
        <v/>
      </c>
      <c r="AL941" s="10" t="str">
        <f>IFERROR(VLOOKUP(B941,'Pre-Summary'!$BG$6:$BL$44,3,FALSE),"")</f>
        <v/>
      </c>
      <c r="AM941" s="10" t="str">
        <f>IFERROR(VLOOKUP(B941,'Pre-Summary'!$BG$6:$BL$44,4,FALSE),"")</f>
        <v/>
      </c>
    </row>
    <row r="942" spans="2:39" ht="15" customHeight="1" x14ac:dyDescent="0.3">
      <c r="B942">
        <v>93.9</v>
      </c>
      <c r="C942" t="str">
        <f>IFERROR(VLOOKUP(B942,'Pre-Summary'!$DI$6:$DM$23,4,FALSE),"")</f>
        <v/>
      </c>
      <c r="D942" s="10" t="str">
        <f>IFERROR(VLOOKUP(B942,'Pre-Summary'!$AT$6:$AX$14,5,FALSE),D941)</f>
        <v>DSMZ v3: dropped yeast, casitone, and bicarb out of DSMZ 120</v>
      </c>
      <c r="E942" s="10">
        <f>IFERROR(VLOOKUP(B942,'Pre-Summary'!$AT$6:$AX$15,4,FALSE),"")</f>
        <v>1</v>
      </c>
      <c r="F942">
        <f>IFERROR(VLOOKUP(B942,'Pre-Summary'!$AL$6:$AQ$13,6,FALSE),F941)</f>
        <v>5.9405263157894746E-2</v>
      </c>
      <c r="G942" t="str">
        <f>IFERROR(VLOOKUP(B942,'Pre-Summary'!$AE$6:$AJ$85,3,FALSE),"")</f>
        <v/>
      </c>
      <c r="H942" t="str">
        <f>IFERROR(VLOOKUP(B942,'Pre-Summary'!$AE$6:$AJ$85,4,FALSE),"")</f>
        <v/>
      </c>
      <c r="I942" t="str">
        <f>IFERROR(VLOOKUP(B942,'Pre-Summary'!$AE$6:$AJ$85,5,FALSE),"")</f>
        <v/>
      </c>
      <c r="J942" s="45" t="str">
        <f>IFERROR(VLOOKUP(B942,'Pre-Summary'!$AE$6:$AJ$85,6, FALSE),"")</f>
        <v/>
      </c>
      <c r="K942" s="45" t="str">
        <f>IFERROR(VLOOKUP(B942,'Pre-Summary'!$DE$6:$DG$61,3,FALSE),"")</f>
        <v/>
      </c>
      <c r="L942" s="45" t="str">
        <f>IFERROR(VLOOKUP(B942,'Pre-Summary'!$CU$6:$CW$36,3,FALSE),"")</f>
        <v/>
      </c>
      <c r="M942" s="45" t="str">
        <f>IFERROR(VLOOKUP(B942,'Pre-Summary'!$BW$6:$BY$58,2,FALSE),"")</f>
        <v/>
      </c>
      <c r="N942" s="45" t="str">
        <f>IFERROR(VLOOKUP(B942,'Pre-Summary'!$CD$6:$CF$64,2,FALSE),"")</f>
        <v/>
      </c>
      <c r="O942" s="99">
        <f>IFERROR(VLOOKUP(B942,'Pre-Summary'!$BO$6:$BQ$48,3, FALSE),O941)</f>
        <v>1.2</v>
      </c>
      <c r="P942" s="99">
        <f>IFERROR(VLOOKUP(B942,'Pre-Summary'!$BS$6:$BU$35,3,FALSE),P941)</f>
        <v>0.3</v>
      </c>
      <c r="Q942" s="54">
        <f t="shared" si="42"/>
        <v>4</v>
      </c>
      <c r="R942" s="53">
        <f>IFERROR(VLOOKUP(B942,'Pre-Summary'!$BG$6:$BM$44,7,FALSE),R943)</f>
        <v>4.0839377512219534E-2</v>
      </c>
      <c r="S942" s="53">
        <f>IFERROR(VLOOKUP(B942,'Pre-Summary'!$BG$6:$BM$44,6,FALSE),S943)</f>
        <v>3.561480302426305E-2</v>
      </c>
      <c r="T942" s="45" t="str">
        <f>IFERROR(VLOOKUP(B942,'Pre-Summary'!$Y$6:$AC$83, 3,FALSE),"")</f>
        <v/>
      </c>
      <c r="U942" s="45" t="str">
        <f>IFERROR(VLOOKUP(B942,'Pre-Summary'!$Y$6:$AC$83, 4,FALSE),"")</f>
        <v/>
      </c>
      <c r="V942" t="str">
        <f>IFERROR(VLOOKUP(B942,'Pre-Summary'!$Y$6:$AC$83, 5,FALSE),"")</f>
        <v/>
      </c>
      <c r="W942" s="45" t="str">
        <f>IFERROR(VLOOKUP(B942,'Pre-Summary'!$Y$6:$AD$83,6,FALSE),"")</f>
        <v/>
      </c>
      <c r="X942" t="str">
        <f>IFERROR(VLOOKUP('Pre-Summary'!$DB$6:$DD$63,3,FALSE),"")</f>
        <v/>
      </c>
      <c r="Y942" t="str">
        <f>IFERROR(VLOOKUP(B942,'Pre-Summary'!$CR$6:$CT$36,3,FALSE),"")</f>
        <v/>
      </c>
      <c r="Z942" s="45" t="str">
        <f>IFERROR(VLOOKUP(B942,'Pre-Summary'!$BZ$6:$CB$63,2,FALSE),"")</f>
        <v/>
      </c>
      <c r="AA942" s="45" t="str">
        <f>IFERROR(VLOOKUP(B942,'Pre-Summary'!$CG$6:$CI$70,2,FALSE),"")</f>
        <v/>
      </c>
      <c r="AB942" s="99">
        <f>IFERROR(VLOOKUP(B942,'Pre-Summary'!$A$6:$P$178,9,FALSE),AB943)</f>
        <v>0.51107900307227605</v>
      </c>
      <c r="AC942" s="10">
        <f>IFERROR(VLOOKUP(Summary!B942,'Pre-Summary'!$A$6:$P$184,5, FALSE)/100,AC943)</f>
        <v>0.83335766666666655</v>
      </c>
      <c r="AD942" s="10">
        <f>IFERROR(VLOOKUP(Summary!B942,'Pre-Summary'!$A$6:$P$184,3, FALSE)/100,AD943)</f>
        <v>6.2578333333333333E-2</v>
      </c>
      <c r="AE942" s="10">
        <f>IFERROR(VLOOKUP(Summary!B942,'Pre-Summary'!$A$6:$P$184,7, FALSE)/100,AE943)</f>
        <v>0.10406399999999999</v>
      </c>
      <c r="AF942" s="99">
        <f t="shared" si="43"/>
        <v>3.1982472213924584E-2</v>
      </c>
      <c r="AG942" s="99">
        <f t="shared" si="44"/>
        <v>5.3184925375713329E-2</v>
      </c>
      <c r="AH942" s="10" t="str">
        <f>IFERROR(VLOOKUP(B942,'Pre-Summary'!$AZ$6:$BE$65,3,FALSE),"")</f>
        <v/>
      </c>
      <c r="AI942" s="10" t="str">
        <f>IFERROR(VLOOKUP(B942,'Pre-Summary'!$AZ$6:$BE$65,5,FALSE),"")</f>
        <v/>
      </c>
      <c r="AJ942" s="10" t="str">
        <f>IFERROR(VLOOKUP(B942,'Pre-Summary'!$AZ$6:$BE$65,4,FALSE),"")</f>
        <v/>
      </c>
      <c r="AK942" s="10" t="str">
        <f>IFERROR(VLOOKUP(B942,'Pre-Summary'!$AZ$6:$BE$65,6,FALSE),"")</f>
        <v/>
      </c>
      <c r="AL942" s="10" t="str">
        <f>IFERROR(VLOOKUP(B942,'Pre-Summary'!$BG$6:$BL$44,3,FALSE),"")</f>
        <v/>
      </c>
      <c r="AM942" s="10" t="str">
        <f>IFERROR(VLOOKUP(B942,'Pre-Summary'!$BG$6:$BL$44,4,FALSE),"")</f>
        <v/>
      </c>
    </row>
    <row r="943" spans="2:39" ht="15" customHeight="1" x14ac:dyDescent="0.3">
      <c r="B943">
        <v>94</v>
      </c>
      <c r="C943" t="str">
        <f>IFERROR(VLOOKUP(B943,'Pre-Summary'!$DI$6:$DM$23,4,FALSE),"")</f>
        <v/>
      </c>
      <c r="D943" s="10" t="str">
        <f>IFERROR(VLOOKUP(B943,'Pre-Summary'!$AT$6:$AX$14,5,FALSE),D942)</f>
        <v>DSMZ v3: dropped yeast, casitone, and bicarb out of DSMZ 120</v>
      </c>
      <c r="E943" s="10" t="str">
        <f>IFERROR(VLOOKUP(B943,'Pre-Summary'!$AT$6:$AX$15,4,FALSE),"")</f>
        <v/>
      </c>
      <c r="F943">
        <f>IFERROR(VLOOKUP(B943,'Pre-Summary'!$AL$6:$AQ$13,6,FALSE),F942)</f>
        <v>5.9405263157894746E-2</v>
      </c>
      <c r="G943" t="str">
        <f>IFERROR(VLOOKUP(B943,'Pre-Summary'!$AE$6:$AJ$85,3,FALSE),"")</f>
        <v/>
      </c>
      <c r="H943" t="str">
        <f>IFERROR(VLOOKUP(B943,'Pre-Summary'!$AE$6:$AJ$85,4,FALSE),"")</f>
        <v/>
      </c>
      <c r="I943" t="str">
        <f>IFERROR(VLOOKUP(B943,'Pre-Summary'!$AE$6:$AJ$85,5,FALSE),"")</f>
        <v/>
      </c>
      <c r="J943" s="45" t="str">
        <f>IFERROR(VLOOKUP(B943,'Pre-Summary'!$AE$6:$AJ$85,6, FALSE),"")</f>
        <v/>
      </c>
      <c r="K943" s="45">
        <f>IFERROR(VLOOKUP(B943,'Pre-Summary'!$DE$6:$DG$61,3,FALSE),"")</f>
        <v>15620</v>
      </c>
      <c r="L943" s="45" t="str">
        <f>IFERROR(VLOOKUP(B943,'Pre-Summary'!$CU$6:$CW$36,3,FALSE),"")</f>
        <v/>
      </c>
      <c r="M943" s="45" t="str">
        <f>IFERROR(VLOOKUP(B943,'Pre-Summary'!$BW$6:$BY$58,2,FALSE),"")</f>
        <v/>
      </c>
      <c r="N943" s="45" t="str">
        <f>IFERROR(VLOOKUP(B943,'Pre-Summary'!$CD$6:$CF$64,2,FALSE),"")</f>
        <v/>
      </c>
      <c r="O943" s="99">
        <f>IFERROR(VLOOKUP(B943,'Pre-Summary'!$BO$6:$BQ$48,3, FALSE),O942)</f>
        <v>1.2</v>
      </c>
      <c r="P943" s="99">
        <f>IFERROR(VLOOKUP(B943,'Pre-Summary'!$BS$6:$BU$35,3,FALSE),P942)</f>
        <v>0.3</v>
      </c>
      <c r="Q943" s="54">
        <f t="shared" si="42"/>
        <v>4</v>
      </c>
      <c r="R943" s="53">
        <f>IFERROR(VLOOKUP(B943,'Pre-Summary'!$BG$6:$BM$44,7,FALSE),R944)</f>
        <v>4.0839377512219534E-2</v>
      </c>
      <c r="S943" s="53">
        <f>IFERROR(VLOOKUP(B943,'Pre-Summary'!$BG$6:$BM$44,6,FALSE),S944)</f>
        <v>3.561480302426305E-2</v>
      </c>
      <c r="T943" s="45" t="str">
        <f>IFERROR(VLOOKUP(B943,'Pre-Summary'!$Y$6:$AC$83, 3,FALSE),"")</f>
        <v/>
      </c>
      <c r="U943" s="45" t="str">
        <f>IFERROR(VLOOKUP(B943,'Pre-Summary'!$Y$6:$AC$83, 4,FALSE),"")</f>
        <v/>
      </c>
      <c r="V943" t="str">
        <f>IFERROR(VLOOKUP(B943,'Pre-Summary'!$Y$6:$AC$83, 5,FALSE),"")</f>
        <v/>
      </c>
      <c r="W943" s="45" t="str">
        <f>IFERROR(VLOOKUP(B943,'Pre-Summary'!$Y$6:$AD$83,6,FALSE),"")</f>
        <v/>
      </c>
      <c r="X943" t="str">
        <f>IFERROR(VLOOKUP('Pre-Summary'!$DB$6:$DD$63,3,FALSE),"")</f>
        <v/>
      </c>
      <c r="Y943" t="str">
        <f>IFERROR(VLOOKUP(B943,'Pre-Summary'!$CR$6:$CT$36,3,FALSE),"")</f>
        <v/>
      </c>
      <c r="Z943" s="45" t="str">
        <f>IFERROR(VLOOKUP(B943,'Pre-Summary'!$BZ$6:$CB$63,2,FALSE),"")</f>
        <v/>
      </c>
      <c r="AA943" s="45" t="str">
        <f>IFERROR(VLOOKUP(B943,'Pre-Summary'!$CG$6:$CI$70,2,FALSE),"")</f>
        <v/>
      </c>
      <c r="AB943" s="99">
        <f>IFERROR(VLOOKUP(B943,'Pre-Summary'!$A$6:$P$178,9,FALSE),AB944)</f>
        <v>0.51107900307227605</v>
      </c>
      <c r="AC943" s="10">
        <f>IFERROR(VLOOKUP(Summary!B943,'Pre-Summary'!$A$6:$P$184,5, FALSE)/100,AC944)</f>
        <v>0.83335766666666655</v>
      </c>
      <c r="AD943" s="10">
        <f>IFERROR(VLOOKUP(Summary!B943,'Pre-Summary'!$A$6:$P$184,3, FALSE)/100,AD944)</f>
        <v>6.2578333333333333E-2</v>
      </c>
      <c r="AE943" s="10">
        <f>IFERROR(VLOOKUP(Summary!B943,'Pre-Summary'!$A$6:$P$184,7, FALSE)/100,AE944)</f>
        <v>0.10406399999999999</v>
      </c>
      <c r="AF943" s="99">
        <f t="shared" si="43"/>
        <v>3.1982472213924584E-2</v>
      </c>
      <c r="AG943" s="99">
        <f t="shared" si="44"/>
        <v>5.3184925375713329E-2</v>
      </c>
      <c r="AH943" s="10" t="str">
        <f>IFERROR(VLOOKUP(B943,'Pre-Summary'!$AZ$6:$BE$65,3,FALSE),"")</f>
        <v/>
      </c>
      <c r="AI943" s="10" t="str">
        <f>IFERROR(VLOOKUP(B943,'Pre-Summary'!$AZ$6:$BE$65,5,FALSE),"")</f>
        <v/>
      </c>
      <c r="AJ943" s="10" t="str">
        <f>IFERROR(VLOOKUP(B943,'Pre-Summary'!$AZ$6:$BE$65,4,FALSE),"")</f>
        <v/>
      </c>
      <c r="AK943" s="10" t="str">
        <f>IFERROR(VLOOKUP(B943,'Pre-Summary'!$AZ$6:$BE$65,6,FALSE),"")</f>
        <v/>
      </c>
      <c r="AL943" s="10" t="str">
        <f>IFERROR(VLOOKUP(B943,'Pre-Summary'!$BG$6:$BL$44,3,FALSE),"")</f>
        <v/>
      </c>
      <c r="AM943" s="10" t="str">
        <f>IFERROR(VLOOKUP(B943,'Pre-Summary'!$BG$6:$BL$44,4,FALSE),"")</f>
        <v/>
      </c>
    </row>
    <row r="944" spans="2:39" ht="15" customHeight="1" x14ac:dyDescent="0.3">
      <c r="B944">
        <v>94.1</v>
      </c>
      <c r="C944" t="str">
        <f>IFERROR(VLOOKUP(B944,'Pre-Summary'!$DI$6:$DM$23,4,FALSE),"")</f>
        <v/>
      </c>
      <c r="D944" s="10" t="str">
        <f>IFERROR(VLOOKUP(B944,'Pre-Summary'!$AT$6:$AX$14,5,FALSE),D943)</f>
        <v>DSMZ v3: dropped yeast, casitone, and bicarb out of DSMZ 120</v>
      </c>
      <c r="E944" s="10" t="str">
        <f>IFERROR(VLOOKUP(B944,'Pre-Summary'!$AT$6:$AX$15,4,FALSE),"")</f>
        <v/>
      </c>
      <c r="F944">
        <f>IFERROR(VLOOKUP(B944,'Pre-Summary'!$AL$6:$AQ$13,6,FALSE),F943)</f>
        <v>5.9405263157894746E-2</v>
      </c>
      <c r="G944" t="str">
        <f>IFERROR(VLOOKUP(B944,'Pre-Summary'!$AE$6:$AJ$85,3,FALSE),"")</f>
        <v/>
      </c>
      <c r="H944" t="str">
        <f>IFERROR(VLOOKUP(B944,'Pre-Summary'!$AE$6:$AJ$85,4,FALSE),"")</f>
        <v/>
      </c>
      <c r="I944" t="str">
        <f>IFERROR(VLOOKUP(B944,'Pre-Summary'!$AE$6:$AJ$85,5,FALSE),"")</f>
        <v/>
      </c>
      <c r="J944" s="45" t="str">
        <f>IFERROR(VLOOKUP(B944,'Pre-Summary'!$AE$6:$AJ$85,6, FALSE),"")</f>
        <v/>
      </c>
      <c r="K944" s="45" t="str">
        <f>IFERROR(VLOOKUP(B944,'Pre-Summary'!$DE$6:$DG$61,3,FALSE),"")</f>
        <v/>
      </c>
      <c r="L944" s="45" t="str">
        <f>IFERROR(VLOOKUP(B944,'Pre-Summary'!$CU$6:$CW$36,3,FALSE),"")</f>
        <v/>
      </c>
      <c r="M944" s="45" t="str">
        <f>IFERROR(VLOOKUP(B944,'Pre-Summary'!$BW$6:$BY$58,2,FALSE),"")</f>
        <v/>
      </c>
      <c r="N944" s="45" t="str">
        <f>IFERROR(VLOOKUP(B944,'Pre-Summary'!$CD$6:$CF$64,2,FALSE),"")</f>
        <v/>
      </c>
      <c r="O944" s="99">
        <f>IFERROR(VLOOKUP(B944,'Pre-Summary'!$BO$6:$BQ$48,3, FALSE),O943)</f>
        <v>1.2</v>
      </c>
      <c r="P944" s="99">
        <f>IFERROR(VLOOKUP(B944,'Pre-Summary'!$BS$6:$BU$35,3,FALSE),P943)</f>
        <v>0.3</v>
      </c>
      <c r="Q944" s="54">
        <f t="shared" si="42"/>
        <v>4</v>
      </c>
      <c r="R944" s="53">
        <f>IFERROR(VLOOKUP(B944,'Pre-Summary'!$BG$6:$BM$44,7,FALSE),R945)</f>
        <v>4.0839377512219534E-2</v>
      </c>
      <c r="S944" s="53">
        <f>IFERROR(VLOOKUP(B944,'Pre-Summary'!$BG$6:$BM$44,6,FALSE),S945)</f>
        <v>3.561480302426305E-2</v>
      </c>
      <c r="T944" s="45" t="str">
        <f>IFERROR(VLOOKUP(B944,'Pre-Summary'!$Y$6:$AC$83, 3,FALSE),"")</f>
        <v/>
      </c>
      <c r="U944" s="45" t="str">
        <f>IFERROR(VLOOKUP(B944,'Pre-Summary'!$Y$6:$AC$83, 4,FALSE),"")</f>
        <v/>
      </c>
      <c r="V944" t="str">
        <f>IFERROR(VLOOKUP(B944,'Pre-Summary'!$Y$6:$AC$83, 5,FALSE),"")</f>
        <v/>
      </c>
      <c r="W944" s="45" t="str">
        <f>IFERROR(VLOOKUP(B944,'Pre-Summary'!$Y$6:$AD$83,6,FALSE),"")</f>
        <v/>
      </c>
      <c r="X944" t="str">
        <f>IFERROR(VLOOKUP('Pre-Summary'!$DB$6:$DD$63,3,FALSE),"")</f>
        <v/>
      </c>
      <c r="Y944" t="str">
        <f>IFERROR(VLOOKUP(B944,'Pre-Summary'!$CR$6:$CT$36,3,FALSE),"")</f>
        <v/>
      </c>
      <c r="Z944" s="45" t="str">
        <f>IFERROR(VLOOKUP(B944,'Pre-Summary'!$BZ$6:$CB$63,2,FALSE),"")</f>
        <v/>
      </c>
      <c r="AA944" s="45" t="str">
        <f>IFERROR(VLOOKUP(B944,'Pre-Summary'!$CG$6:$CI$70,2,FALSE),"")</f>
        <v/>
      </c>
      <c r="AB944" s="99">
        <f>IFERROR(VLOOKUP(B944,'Pre-Summary'!$A$6:$P$178,9,FALSE),AB945)</f>
        <v>0.51107900307227605</v>
      </c>
      <c r="AC944" s="10">
        <f>IFERROR(VLOOKUP(Summary!B944,'Pre-Summary'!$A$6:$P$184,5, FALSE)/100,AC945)</f>
        <v>0.83335766666666655</v>
      </c>
      <c r="AD944" s="10">
        <f>IFERROR(VLOOKUP(Summary!B944,'Pre-Summary'!$A$6:$P$184,3, FALSE)/100,AD945)</f>
        <v>6.2578333333333333E-2</v>
      </c>
      <c r="AE944" s="10">
        <f>IFERROR(VLOOKUP(Summary!B944,'Pre-Summary'!$A$6:$P$184,7, FALSE)/100,AE945)</f>
        <v>0.10406399999999999</v>
      </c>
      <c r="AF944" s="99">
        <f t="shared" si="43"/>
        <v>3.1982472213924584E-2</v>
      </c>
      <c r="AG944" s="99">
        <f t="shared" si="44"/>
        <v>5.3184925375713329E-2</v>
      </c>
      <c r="AH944" s="10" t="str">
        <f>IFERROR(VLOOKUP(B944,'Pre-Summary'!$AZ$6:$BE$65,3,FALSE),"")</f>
        <v/>
      </c>
      <c r="AI944" s="10" t="str">
        <f>IFERROR(VLOOKUP(B944,'Pre-Summary'!$AZ$6:$BE$65,5,FALSE),"")</f>
        <v/>
      </c>
      <c r="AJ944" s="10" t="str">
        <f>IFERROR(VLOOKUP(B944,'Pre-Summary'!$AZ$6:$BE$65,4,FALSE),"")</f>
        <v/>
      </c>
      <c r="AK944" s="10" t="str">
        <f>IFERROR(VLOOKUP(B944,'Pre-Summary'!$AZ$6:$BE$65,6,FALSE),"")</f>
        <v/>
      </c>
      <c r="AL944" s="10" t="str">
        <f>IFERROR(VLOOKUP(B944,'Pre-Summary'!$BG$6:$BL$44,3,FALSE),"")</f>
        <v/>
      </c>
      <c r="AM944" s="10" t="str">
        <f>IFERROR(VLOOKUP(B944,'Pre-Summary'!$BG$6:$BL$44,4,FALSE),"")</f>
        <v/>
      </c>
    </row>
    <row r="945" spans="2:39" ht="15" customHeight="1" x14ac:dyDescent="0.3">
      <c r="B945">
        <v>94.2</v>
      </c>
      <c r="C945" t="str">
        <f>IFERROR(VLOOKUP(B945,'Pre-Summary'!$DI$6:$DM$23,4,FALSE),"")</f>
        <v/>
      </c>
      <c r="D945" s="10" t="str">
        <f>IFERROR(VLOOKUP(B945,'Pre-Summary'!$AT$6:$AX$14,5,FALSE),D944)</f>
        <v>DSMZ v3: dropped yeast, casitone, and bicarb out of DSMZ 120</v>
      </c>
      <c r="E945" s="10" t="str">
        <f>IFERROR(VLOOKUP(B945,'Pre-Summary'!$AT$6:$AX$15,4,FALSE),"")</f>
        <v/>
      </c>
      <c r="F945">
        <f>IFERROR(VLOOKUP(B945,'Pre-Summary'!$AL$6:$AQ$13,6,FALSE),F944)</f>
        <v>5.9405263157894746E-2</v>
      </c>
      <c r="G945" t="str">
        <f>IFERROR(VLOOKUP(B945,'Pre-Summary'!$AE$6:$AJ$85,3,FALSE),"")</f>
        <v/>
      </c>
      <c r="H945" t="str">
        <f>IFERROR(VLOOKUP(B945,'Pre-Summary'!$AE$6:$AJ$85,4,FALSE),"")</f>
        <v/>
      </c>
      <c r="I945" t="str">
        <f>IFERROR(VLOOKUP(B945,'Pre-Summary'!$AE$6:$AJ$85,5,FALSE),"")</f>
        <v/>
      </c>
      <c r="J945" s="45" t="str">
        <f>IFERROR(VLOOKUP(B945,'Pre-Summary'!$AE$6:$AJ$85,6, FALSE),"")</f>
        <v/>
      </c>
      <c r="K945" s="45" t="str">
        <f>IFERROR(VLOOKUP(B945,'Pre-Summary'!$DE$6:$DG$61,3,FALSE),"")</f>
        <v/>
      </c>
      <c r="L945" s="45" t="str">
        <f>IFERROR(VLOOKUP(B945,'Pre-Summary'!$CU$6:$CW$36,3,FALSE),"")</f>
        <v/>
      </c>
      <c r="M945" s="45" t="str">
        <f>IFERROR(VLOOKUP(B945,'Pre-Summary'!$BW$6:$BY$58,2,FALSE),"")</f>
        <v/>
      </c>
      <c r="N945" s="45" t="str">
        <f>IFERROR(VLOOKUP(B945,'Pre-Summary'!$CD$6:$CF$64,2,FALSE),"")</f>
        <v/>
      </c>
      <c r="O945" s="99">
        <f>IFERROR(VLOOKUP(B945,'Pre-Summary'!$BO$6:$BQ$48,3, FALSE),O944)</f>
        <v>1.2</v>
      </c>
      <c r="P945" s="99">
        <f>IFERROR(VLOOKUP(B945,'Pre-Summary'!$BS$6:$BU$35,3,FALSE),P944)</f>
        <v>0.3</v>
      </c>
      <c r="Q945" s="54">
        <f t="shared" si="42"/>
        <v>4</v>
      </c>
      <c r="R945" s="53">
        <f>IFERROR(VLOOKUP(B945,'Pre-Summary'!$BG$6:$BM$44,7,FALSE),R946)</f>
        <v>4.0839377512219534E-2</v>
      </c>
      <c r="S945" s="53">
        <f>IFERROR(VLOOKUP(B945,'Pre-Summary'!$BG$6:$BM$44,6,FALSE),S946)</f>
        <v>3.561480302426305E-2</v>
      </c>
      <c r="T945" s="45" t="str">
        <f>IFERROR(VLOOKUP(B945,'Pre-Summary'!$Y$6:$AC$83, 3,FALSE),"")</f>
        <v/>
      </c>
      <c r="U945" s="45" t="str">
        <f>IFERROR(VLOOKUP(B945,'Pre-Summary'!$Y$6:$AC$83, 4,FALSE),"")</f>
        <v/>
      </c>
      <c r="V945" t="str">
        <f>IFERROR(VLOOKUP(B945,'Pre-Summary'!$Y$6:$AC$83, 5,FALSE),"")</f>
        <v/>
      </c>
      <c r="W945" s="45" t="str">
        <f>IFERROR(VLOOKUP(B945,'Pre-Summary'!$Y$6:$AD$83,6,FALSE),"")</f>
        <v/>
      </c>
      <c r="X945" t="str">
        <f>IFERROR(VLOOKUP('Pre-Summary'!$DB$6:$DD$63,3,FALSE),"")</f>
        <v/>
      </c>
      <c r="Y945" t="str">
        <f>IFERROR(VLOOKUP(B945,'Pre-Summary'!$CR$6:$CT$36,3,FALSE),"")</f>
        <v/>
      </c>
      <c r="Z945" s="45" t="str">
        <f>IFERROR(VLOOKUP(B945,'Pre-Summary'!$BZ$6:$CB$63,2,FALSE),"")</f>
        <v/>
      </c>
      <c r="AA945" s="45" t="str">
        <f>IFERROR(VLOOKUP(B945,'Pre-Summary'!$CG$6:$CI$70,2,FALSE),"")</f>
        <v/>
      </c>
      <c r="AB945" s="99">
        <f>IFERROR(VLOOKUP(B945,'Pre-Summary'!$A$6:$P$178,9,FALSE),AB946)</f>
        <v>0.51107900307227605</v>
      </c>
      <c r="AC945" s="10">
        <f>IFERROR(VLOOKUP(Summary!B945,'Pre-Summary'!$A$6:$P$184,5, FALSE)/100,AC946)</f>
        <v>0.83335766666666655</v>
      </c>
      <c r="AD945" s="10">
        <f>IFERROR(VLOOKUP(Summary!B945,'Pre-Summary'!$A$6:$P$184,3, FALSE)/100,AD946)</f>
        <v>6.2578333333333333E-2</v>
      </c>
      <c r="AE945" s="10">
        <f>IFERROR(VLOOKUP(Summary!B945,'Pre-Summary'!$A$6:$P$184,7, FALSE)/100,AE946)</f>
        <v>0.10406399999999999</v>
      </c>
      <c r="AF945" s="99">
        <f t="shared" si="43"/>
        <v>3.1982472213924584E-2</v>
      </c>
      <c r="AG945" s="99">
        <f t="shared" si="44"/>
        <v>5.3184925375713329E-2</v>
      </c>
      <c r="AH945" s="10" t="str">
        <f>IFERROR(VLOOKUP(B945,'Pre-Summary'!$AZ$6:$BE$65,3,FALSE),"")</f>
        <v/>
      </c>
      <c r="AI945" s="10" t="str">
        <f>IFERROR(VLOOKUP(B945,'Pre-Summary'!$AZ$6:$BE$65,5,FALSE),"")</f>
        <v/>
      </c>
      <c r="AJ945" s="10" t="str">
        <f>IFERROR(VLOOKUP(B945,'Pre-Summary'!$AZ$6:$BE$65,4,FALSE),"")</f>
        <v/>
      </c>
      <c r="AK945" s="10" t="str">
        <f>IFERROR(VLOOKUP(B945,'Pre-Summary'!$AZ$6:$BE$65,6,FALSE),"")</f>
        <v/>
      </c>
      <c r="AL945" s="10" t="str">
        <f>IFERROR(VLOOKUP(B945,'Pre-Summary'!$BG$6:$BL$44,3,FALSE),"")</f>
        <v/>
      </c>
      <c r="AM945" s="10" t="str">
        <f>IFERROR(VLOOKUP(B945,'Pre-Summary'!$BG$6:$BL$44,4,FALSE),"")</f>
        <v/>
      </c>
    </row>
    <row r="946" spans="2:39" ht="15" customHeight="1" x14ac:dyDescent="0.3">
      <c r="B946">
        <v>94.3</v>
      </c>
      <c r="C946" t="str">
        <f>IFERROR(VLOOKUP(B946,'Pre-Summary'!$DI$6:$DM$23,4,FALSE),"")</f>
        <v/>
      </c>
      <c r="D946" s="10" t="str">
        <f>IFERROR(VLOOKUP(B946,'Pre-Summary'!$AT$6:$AX$14,5,FALSE),D945)</f>
        <v>DSMZ v3: dropped yeast, casitone, and bicarb out of DSMZ 120</v>
      </c>
      <c r="E946" s="10" t="str">
        <f>IFERROR(VLOOKUP(B946,'Pre-Summary'!$AT$6:$AX$15,4,FALSE),"")</f>
        <v/>
      </c>
      <c r="F946">
        <f>IFERROR(VLOOKUP(B946,'Pre-Summary'!$AL$6:$AQ$13,6,FALSE),F945)</f>
        <v>5.9405263157894746E-2</v>
      </c>
      <c r="G946" t="str">
        <f>IFERROR(VLOOKUP(B946,'Pre-Summary'!$AE$6:$AJ$85,3,FALSE),"")</f>
        <v/>
      </c>
      <c r="H946" t="str">
        <f>IFERROR(VLOOKUP(B946,'Pre-Summary'!$AE$6:$AJ$85,4,FALSE),"")</f>
        <v/>
      </c>
      <c r="I946" t="str">
        <f>IFERROR(VLOOKUP(B946,'Pre-Summary'!$AE$6:$AJ$85,5,FALSE),"")</f>
        <v/>
      </c>
      <c r="J946" s="45" t="str">
        <f>IFERROR(VLOOKUP(B946,'Pre-Summary'!$AE$6:$AJ$85,6, FALSE),"")</f>
        <v/>
      </c>
      <c r="K946" s="45" t="str">
        <f>IFERROR(VLOOKUP(B946,'Pre-Summary'!$DE$6:$DG$61,3,FALSE),"")</f>
        <v/>
      </c>
      <c r="L946" s="45" t="str">
        <f>IFERROR(VLOOKUP(B946,'Pre-Summary'!$CU$6:$CW$36,3,FALSE),"")</f>
        <v/>
      </c>
      <c r="M946" s="45" t="str">
        <f>IFERROR(VLOOKUP(B946,'Pre-Summary'!$BW$6:$BY$58,2,FALSE),"")</f>
        <v/>
      </c>
      <c r="N946" s="45" t="str">
        <f>IFERROR(VLOOKUP(B946,'Pre-Summary'!$CD$6:$CF$64,2,FALSE),"")</f>
        <v/>
      </c>
      <c r="O946" s="99">
        <f>IFERROR(VLOOKUP(B946,'Pre-Summary'!$BO$6:$BQ$48,3, FALSE),O945)</f>
        <v>1.2</v>
      </c>
      <c r="P946" s="99">
        <f>IFERROR(VLOOKUP(B946,'Pre-Summary'!$BS$6:$BU$35,3,FALSE),P945)</f>
        <v>0.3</v>
      </c>
      <c r="Q946" s="54">
        <f t="shared" si="42"/>
        <v>4</v>
      </c>
      <c r="R946" s="53">
        <f>IFERROR(VLOOKUP(B946,'Pre-Summary'!$BG$6:$BM$44,7,FALSE),R947)</f>
        <v>4.0839377512219534E-2</v>
      </c>
      <c r="S946" s="53">
        <f>IFERROR(VLOOKUP(B946,'Pre-Summary'!$BG$6:$BM$44,6,FALSE),S947)</f>
        <v>3.561480302426305E-2</v>
      </c>
      <c r="T946" s="45" t="str">
        <f>IFERROR(VLOOKUP(B946,'Pre-Summary'!$Y$6:$AC$83, 3,FALSE),"")</f>
        <v/>
      </c>
      <c r="U946" s="45" t="str">
        <f>IFERROR(VLOOKUP(B946,'Pre-Summary'!$Y$6:$AC$83, 4,FALSE),"")</f>
        <v/>
      </c>
      <c r="V946" t="str">
        <f>IFERROR(VLOOKUP(B946,'Pre-Summary'!$Y$6:$AC$83, 5,FALSE),"")</f>
        <v/>
      </c>
      <c r="W946" s="45" t="str">
        <f>IFERROR(VLOOKUP(B946,'Pre-Summary'!$Y$6:$AD$83,6,FALSE),"")</f>
        <v/>
      </c>
      <c r="X946" t="str">
        <f>IFERROR(VLOOKUP('Pre-Summary'!$DB$6:$DD$63,3,FALSE),"")</f>
        <v/>
      </c>
      <c r="Y946" t="str">
        <f>IFERROR(VLOOKUP(B946,'Pre-Summary'!$CR$6:$CT$36,3,FALSE),"")</f>
        <v/>
      </c>
      <c r="Z946" s="45" t="str">
        <f>IFERROR(VLOOKUP(B946,'Pre-Summary'!$BZ$6:$CB$63,2,FALSE),"")</f>
        <v/>
      </c>
      <c r="AA946" s="45" t="str">
        <f>IFERROR(VLOOKUP(B946,'Pre-Summary'!$CG$6:$CI$70,2,FALSE),"")</f>
        <v/>
      </c>
      <c r="AB946" s="99">
        <f>IFERROR(VLOOKUP(B946,'Pre-Summary'!$A$6:$P$178,9,FALSE),AB947)</f>
        <v>0.51107900307227605</v>
      </c>
      <c r="AC946" s="10">
        <f>IFERROR(VLOOKUP(Summary!B946,'Pre-Summary'!$A$6:$P$184,5, FALSE)/100,AC947)</f>
        <v>0.83335766666666655</v>
      </c>
      <c r="AD946" s="10">
        <f>IFERROR(VLOOKUP(Summary!B946,'Pre-Summary'!$A$6:$P$184,3, FALSE)/100,AD947)</f>
        <v>6.2578333333333333E-2</v>
      </c>
      <c r="AE946" s="10">
        <f>IFERROR(VLOOKUP(Summary!B946,'Pre-Summary'!$A$6:$P$184,7, FALSE)/100,AE947)</f>
        <v>0.10406399999999999</v>
      </c>
      <c r="AF946" s="99">
        <f t="shared" si="43"/>
        <v>3.1982472213924584E-2</v>
      </c>
      <c r="AG946" s="99">
        <f t="shared" si="44"/>
        <v>5.3184925375713329E-2</v>
      </c>
      <c r="AH946" s="10" t="str">
        <f>IFERROR(VLOOKUP(B946,'Pre-Summary'!$AZ$6:$BE$65,3,FALSE),"")</f>
        <v/>
      </c>
      <c r="AI946" s="10" t="str">
        <f>IFERROR(VLOOKUP(B946,'Pre-Summary'!$AZ$6:$BE$65,5,FALSE),"")</f>
        <v/>
      </c>
      <c r="AJ946" s="10" t="str">
        <f>IFERROR(VLOOKUP(B946,'Pre-Summary'!$AZ$6:$BE$65,4,FALSE),"")</f>
        <v/>
      </c>
      <c r="AK946" s="10" t="str">
        <f>IFERROR(VLOOKUP(B946,'Pre-Summary'!$AZ$6:$BE$65,6,FALSE),"")</f>
        <v/>
      </c>
      <c r="AL946" s="10" t="str">
        <f>IFERROR(VLOOKUP(B946,'Pre-Summary'!$BG$6:$BL$44,3,FALSE),"")</f>
        <v/>
      </c>
      <c r="AM946" s="10" t="str">
        <f>IFERROR(VLOOKUP(B946,'Pre-Summary'!$BG$6:$BL$44,4,FALSE),"")</f>
        <v/>
      </c>
    </row>
    <row r="947" spans="2:39" ht="15" customHeight="1" x14ac:dyDescent="0.3">
      <c r="B947">
        <v>94.4</v>
      </c>
      <c r="C947" t="str">
        <f>IFERROR(VLOOKUP(B947,'Pre-Summary'!$DI$6:$DM$23,4,FALSE),"")</f>
        <v/>
      </c>
      <c r="D947" s="10" t="str">
        <f>IFERROR(VLOOKUP(B947,'Pre-Summary'!$AT$6:$AX$14,5,FALSE),D946)</f>
        <v>DSMZ v3: dropped yeast, casitone, and bicarb out of DSMZ 120</v>
      </c>
      <c r="E947" s="10" t="str">
        <f>IFERROR(VLOOKUP(B947,'Pre-Summary'!$AT$6:$AX$15,4,FALSE),"")</f>
        <v/>
      </c>
      <c r="F947">
        <f>IFERROR(VLOOKUP(B947,'Pre-Summary'!$AL$6:$AQ$13,6,FALSE),F946)</f>
        <v>5.9405263157894746E-2</v>
      </c>
      <c r="G947" t="str">
        <f>IFERROR(VLOOKUP(B947,'Pre-Summary'!$AE$6:$AJ$85,3,FALSE),"")</f>
        <v/>
      </c>
      <c r="H947" t="str">
        <f>IFERROR(VLOOKUP(B947,'Pre-Summary'!$AE$6:$AJ$85,4,FALSE),"")</f>
        <v/>
      </c>
      <c r="I947" t="str">
        <f>IFERROR(VLOOKUP(B947,'Pre-Summary'!$AE$6:$AJ$85,5,FALSE),"")</f>
        <v/>
      </c>
      <c r="J947" s="45" t="str">
        <f>IFERROR(VLOOKUP(B947,'Pre-Summary'!$AE$6:$AJ$85,6, FALSE),"")</f>
        <v/>
      </c>
      <c r="K947" s="45" t="str">
        <f>IFERROR(VLOOKUP(B947,'Pre-Summary'!$DE$6:$DG$61,3,FALSE),"")</f>
        <v/>
      </c>
      <c r="L947" s="45" t="str">
        <f>IFERROR(VLOOKUP(B947,'Pre-Summary'!$CU$6:$CW$36,3,FALSE),"")</f>
        <v/>
      </c>
      <c r="M947" s="45" t="str">
        <f>IFERROR(VLOOKUP(B947,'Pre-Summary'!$BW$6:$BY$58,2,FALSE),"")</f>
        <v/>
      </c>
      <c r="N947" s="45" t="str">
        <f>IFERROR(VLOOKUP(B947,'Pre-Summary'!$CD$6:$CF$64,2,FALSE),"")</f>
        <v/>
      </c>
      <c r="O947" s="99">
        <f>IFERROR(VLOOKUP(B947,'Pre-Summary'!$BO$6:$BQ$48,3, FALSE),O946)</f>
        <v>1.2</v>
      </c>
      <c r="P947" s="99">
        <f>IFERROR(VLOOKUP(B947,'Pre-Summary'!$BS$6:$BU$35,3,FALSE),P946)</f>
        <v>0.3</v>
      </c>
      <c r="Q947" s="54">
        <f t="shared" si="42"/>
        <v>4</v>
      </c>
      <c r="R947" s="53">
        <f>IFERROR(VLOOKUP(B947,'Pre-Summary'!$BG$6:$BM$44,7,FALSE),R948)</f>
        <v>4.0839377512219534E-2</v>
      </c>
      <c r="S947" s="53">
        <f>IFERROR(VLOOKUP(B947,'Pre-Summary'!$BG$6:$BM$44,6,FALSE),S948)</f>
        <v>3.561480302426305E-2</v>
      </c>
      <c r="T947" s="45" t="str">
        <f>IFERROR(VLOOKUP(B947,'Pre-Summary'!$Y$6:$AC$83, 3,FALSE),"")</f>
        <v/>
      </c>
      <c r="U947" s="45" t="str">
        <f>IFERROR(VLOOKUP(B947,'Pre-Summary'!$Y$6:$AC$83, 4,FALSE),"")</f>
        <v/>
      </c>
      <c r="V947" t="str">
        <f>IFERROR(VLOOKUP(B947,'Pre-Summary'!$Y$6:$AC$83, 5,FALSE),"")</f>
        <v/>
      </c>
      <c r="W947" s="45" t="str">
        <f>IFERROR(VLOOKUP(B947,'Pre-Summary'!$Y$6:$AD$83,6,FALSE),"")</f>
        <v/>
      </c>
      <c r="X947" t="str">
        <f>IFERROR(VLOOKUP('Pre-Summary'!$DB$6:$DD$63,3,FALSE),"")</f>
        <v/>
      </c>
      <c r="Y947" t="str">
        <f>IFERROR(VLOOKUP(B947,'Pre-Summary'!$CR$6:$CT$36,3,FALSE),"")</f>
        <v/>
      </c>
      <c r="Z947" s="45" t="str">
        <f>IFERROR(VLOOKUP(B947,'Pre-Summary'!$BZ$6:$CB$63,2,FALSE),"")</f>
        <v/>
      </c>
      <c r="AA947" s="45" t="str">
        <f>IFERROR(VLOOKUP(B947,'Pre-Summary'!$CG$6:$CI$70,2,FALSE),"")</f>
        <v/>
      </c>
      <c r="AB947" s="99">
        <f>IFERROR(VLOOKUP(B947,'Pre-Summary'!$A$6:$P$178,9,FALSE),AB948)</f>
        <v>0.51107900307227605</v>
      </c>
      <c r="AC947" s="10">
        <f>IFERROR(VLOOKUP(Summary!B947,'Pre-Summary'!$A$6:$P$184,5, FALSE)/100,AC948)</f>
        <v>0.83335766666666655</v>
      </c>
      <c r="AD947" s="10">
        <f>IFERROR(VLOOKUP(Summary!B947,'Pre-Summary'!$A$6:$P$184,3, FALSE)/100,AD948)</f>
        <v>6.2578333333333333E-2</v>
      </c>
      <c r="AE947" s="10">
        <f>IFERROR(VLOOKUP(Summary!B947,'Pre-Summary'!$A$6:$P$184,7, FALSE)/100,AE948)</f>
        <v>0.10406399999999999</v>
      </c>
      <c r="AF947" s="99">
        <f t="shared" si="43"/>
        <v>3.1982472213924584E-2</v>
      </c>
      <c r="AG947" s="99">
        <f t="shared" si="44"/>
        <v>5.3184925375713329E-2</v>
      </c>
      <c r="AH947" s="10" t="str">
        <f>IFERROR(VLOOKUP(B947,'Pre-Summary'!$AZ$6:$BE$65,3,FALSE),"")</f>
        <v/>
      </c>
      <c r="AI947" s="10" t="str">
        <f>IFERROR(VLOOKUP(B947,'Pre-Summary'!$AZ$6:$BE$65,5,FALSE),"")</f>
        <v/>
      </c>
      <c r="AJ947" s="10" t="str">
        <f>IFERROR(VLOOKUP(B947,'Pre-Summary'!$AZ$6:$BE$65,4,FALSE),"")</f>
        <v/>
      </c>
      <c r="AK947" s="10" t="str">
        <f>IFERROR(VLOOKUP(B947,'Pre-Summary'!$AZ$6:$BE$65,6,FALSE),"")</f>
        <v/>
      </c>
      <c r="AL947" s="10" t="str">
        <f>IFERROR(VLOOKUP(B947,'Pre-Summary'!$BG$6:$BL$44,3,FALSE),"")</f>
        <v/>
      </c>
      <c r="AM947" s="10" t="str">
        <f>IFERROR(VLOOKUP(B947,'Pre-Summary'!$BG$6:$BL$44,4,FALSE),"")</f>
        <v/>
      </c>
    </row>
    <row r="948" spans="2:39" ht="15" customHeight="1" x14ac:dyDescent="0.3">
      <c r="B948">
        <v>94.5</v>
      </c>
      <c r="C948" t="str">
        <f>IFERROR(VLOOKUP(B948,'Pre-Summary'!$DI$6:$DM$23,4,FALSE),"")</f>
        <v/>
      </c>
      <c r="D948" s="10" t="str">
        <f>IFERROR(VLOOKUP(B948,'Pre-Summary'!$AT$6:$AX$14,5,FALSE),D947)</f>
        <v>DSMZ v3: dropped yeast, casitone, and bicarb out of DSMZ 120</v>
      </c>
      <c r="E948" s="10" t="str">
        <f>IFERROR(VLOOKUP(B948,'Pre-Summary'!$AT$6:$AX$15,4,FALSE),"")</f>
        <v/>
      </c>
      <c r="F948">
        <f>IFERROR(VLOOKUP(B948,'Pre-Summary'!$AL$6:$AQ$13,6,FALSE),F947)</f>
        <v>5.9405263157894746E-2</v>
      </c>
      <c r="G948" t="str">
        <f>IFERROR(VLOOKUP(B948,'Pre-Summary'!$AE$6:$AJ$85,3,FALSE),"")</f>
        <v/>
      </c>
      <c r="H948" t="str">
        <f>IFERROR(VLOOKUP(B948,'Pre-Summary'!$AE$6:$AJ$85,4,FALSE),"")</f>
        <v/>
      </c>
      <c r="I948" t="str">
        <f>IFERROR(VLOOKUP(B948,'Pre-Summary'!$AE$6:$AJ$85,5,FALSE),"")</f>
        <v/>
      </c>
      <c r="J948" s="45" t="str">
        <f>IFERROR(VLOOKUP(B948,'Pre-Summary'!$AE$6:$AJ$85,6, FALSE),"")</f>
        <v/>
      </c>
      <c r="K948" s="45" t="str">
        <f>IFERROR(VLOOKUP(B948,'Pre-Summary'!$DE$6:$DG$61,3,FALSE),"")</f>
        <v/>
      </c>
      <c r="L948" s="45" t="str">
        <f>IFERROR(VLOOKUP(B948,'Pre-Summary'!$CU$6:$CW$36,3,FALSE),"")</f>
        <v/>
      </c>
      <c r="M948" s="45" t="str">
        <f>IFERROR(VLOOKUP(B948,'Pre-Summary'!$BW$6:$BY$58,2,FALSE),"")</f>
        <v/>
      </c>
      <c r="N948" s="45" t="str">
        <f>IFERROR(VLOOKUP(B948,'Pre-Summary'!$CD$6:$CF$64,2,FALSE),"")</f>
        <v/>
      </c>
      <c r="O948" s="99">
        <f>IFERROR(VLOOKUP(B948,'Pre-Summary'!$BO$6:$BQ$48,3, FALSE),O947)</f>
        <v>1.2</v>
      </c>
      <c r="P948" s="99">
        <f>IFERROR(VLOOKUP(B948,'Pre-Summary'!$BS$6:$BU$35,3,FALSE),P947)</f>
        <v>0.3</v>
      </c>
      <c r="Q948" s="54">
        <f t="shared" si="42"/>
        <v>4</v>
      </c>
      <c r="R948" s="53">
        <f>IFERROR(VLOOKUP(B948,'Pre-Summary'!$BG$6:$BM$44,7,FALSE),R949)</f>
        <v>4.0839377512219534E-2</v>
      </c>
      <c r="S948" s="53">
        <f>IFERROR(VLOOKUP(B948,'Pre-Summary'!$BG$6:$BM$44,6,FALSE),S949)</f>
        <v>3.561480302426305E-2</v>
      </c>
      <c r="T948" s="45" t="str">
        <f>IFERROR(VLOOKUP(B948,'Pre-Summary'!$Y$6:$AC$83, 3,FALSE),"")</f>
        <v/>
      </c>
      <c r="U948" s="45" t="str">
        <f>IFERROR(VLOOKUP(B948,'Pre-Summary'!$Y$6:$AC$83, 4,FALSE),"")</f>
        <v/>
      </c>
      <c r="V948" t="str">
        <f>IFERROR(VLOOKUP(B948,'Pre-Summary'!$Y$6:$AC$83, 5,FALSE),"")</f>
        <v/>
      </c>
      <c r="W948" s="45" t="str">
        <f>IFERROR(VLOOKUP(B948,'Pre-Summary'!$Y$6:$AD$83,6,FALSE),"")</f>
        <v/>
      </c>
      <c r="X948" t="str">
        <f>IFERROR(VLOOKUP('Pre-Summary'!$DB$6:$DD$63,3,FALSE),"")</f>
        <v/>
      </c>
      <c r="Y948" t="str">
        <f>IFERROR(VLOOKUP(B948,'Pre-Summary'!$CR$6:$CT$36,3,FALSE),"")</f>
        <v/>
      </c>
      <c r="Z948" s="45" t="str">
        <f>IFERROR(VLOOKUP(B948,'Pre-Summary'!$BZ$6:$CB$63,2,FALSE),"")</f>
        <v/>
      </c>
      <c r="AA948" s="45" t="str">
        <f>IFERROR(VLOOKUP(B948,'Pre-Summary'!$CG$6:$CI$70,2,FALSE),"")</f>
        <v/>
      </c>
      <c r="AB948" s="99">
        <f>IFERROR(VLOOKUP(B948,'Pre-Summary'!$A$6:$P$178,9,FALSE),AB949)</f>
        <v>0.51107900307227605</v>
      </c>
      <c r="AC948" s="10">
        <f>IFERROR(VLOOKUP(Summary!B948,'Pre-Summary'!$A$6:$P$184,5, FALSE)/100,AC949)</f>
        <v>0.83335766666666655</v>
      </c>
      <c r="AD948" s="10">
        <f>IFERROR(VLOOKUP(Summary!B948,'Pre-Summary'!$A$6:$P$184,3, FALSE)/100,AD949)</f>
        <v>6.2578333333333333E-2</v>
      </c>
      <c r="AE948" s="10">
        <f>IFERROR(VLOOKUP(Summary!B948,'Pre-Summary'!$A$6:$P$184,7, FALSE)/100,AE949)</f>
        <v>0.10406399999999999</v>
      </c>
      <c r="AF948" s="99">
        <f t="shared" si="43"/>
        <v>3.1982472213924584E-2</v>
      </c>
      <c r="AG948" s="99">
        <f t="shared" si="44"/>
        <v>5.3184925375713329E-2</v>
      </c>
      <c r="AH948" s="10" t="str">
        <f>IFERROR(VLOOKUP(B948,'Pre-Summary'!$AZ$6:$BE$65,3,FALSE),"")</f>
        <v/>
      </c>
      <c r="AI948" s="10" t="str">
        <f>IFERROR(VLOOKUP(B948,'Pre-Summary'!$AZ$6:$BE$65,5,FALSE),"")</f>
        <v/>
      </c>
      <c r="AJ948" s="10" t="str">
        <f>IFERROR(VLOOKUP(B948,'Pre-Summary'!$AZ$6:$BE$65,4,FALSE),"")</f>
        <v/>
      </c>
      <c r="AK948" s="10" t="str">
        <f>IFERROR(VLOOKUP(B948,'Pre-Summary'!$AZ$6:$BE$65,6,FALSE),"")</f>
        <v/>
      </c>
      <c r="AL948" s="10" t="str">
        <f>IFERROR(VLOOKUP(B948,'Pre-Summary'!$BG$6:$BL$44,3,FALSE),"")</f>
        <v/>
      </c>
      <c r="AM948" s="10" t="str">
        <f>IFERROR(VLOOKUP(B948,'Pre-Summary'!$BG$6:$BL$44,4,FALSE),"")</f>
        <v/>
      </c>
    </row>
    <row r="949" spans="2:39" ht="15" customHeight="1" x14ac:dyDescent="0.3">
      <c r="B949">
        <v>94.6</v>
      </c>
      <c r="C949" t="str">
        <f>IFERROR(VLOOKUP(B949,'Pre-Summary'!$DI$6:$DM$23,4,FALSE),"")</f>
        <v/>
      </c>
      <c r="D949" s="10" t="str">
        <f>IFERROR(VLOOKUP(B949,'Pre-Summary'!$AT$6:$AX$14,5,FALSE),D948)</f>
        <v>DSMZ v3: dropped yeast, casitone, and bicarb out of DSMZ 120</v>
      </c>
      <c r="E949" s="10" t="str">
        <f>IFERROR(VLOOKUP(B949,'Pre-Summary'!$AT$6:$AX$15,4,FALSE),"")</f>
        <v/>
      </c>
      <c r="F949">
        <f>IFERROR(VLOOKUP(B949,'Pre-Summary'!$AL$6:$AQ$13,6,FALSE),F948)</f>
        <v>5.9405263157894746E-2</v>
      </c>
      <c r="G949" t="str">
        <f>IFERROR(VLOOKUP(B949,'Pre-Summary'!$AE$6:$AJ$85,3,FALSE),"")</f>
        <v/>
      </c>
      <c r="H949" t="str">
        <f>IFERROR(VLOOKUP(B949,'Pre-Summary'!$AE$6:$AJ$85,4,FALSE),"")</f>
        <v/>
      </c>
      <c r="I949" t="str">
        <f>IFERROR(VLOOKUP(B949,'Pre-Summary'!$AE$6:$AJ$85,5,FALSE),"")</f>
        <v/>
      </c>
      <c r="J949" s="45" t="str">
        <f>IFERROR(VLOOKUP(B949,'Pre-Summary'!$AE$6:$AJ$85,6, FALSE),"")</f>
        <v/>
      </c>
      <c r="K949" s="45" t="str">
        <f>IFERROR(VLOOKUP(B949,'Pre-Summary'!$DE$6:$DG$61,3,FALSE),"")</f>
        <v/>
      </c>
      <c r="L949" s="45" t="str">
        <f>IFERROR(VLOOKUP(B949,'Pre-Summary'!$CU$6:$CW$36,3,FALSE),"")</f>
        <v/>
      </c>
      <c r="M949" s="45" t="str">
        <f>IFERROR(VLOOKUP(B949,'Pre-Summary'!$BW$6:$BY$58,2,FALSE),"")</f>
        <v/>
      </c>
      <c r="N949" s="45" t="str">
        <f>IFERROR(VLOOKUP(B949,'Pre-Summary'!$CD$6:$CF$64,2,FALSE),"")</f>
        <v/>
      </c>
      <c r="O949" s="99">
        <f>IFERROR(VLOOKUP(B949,'Pre-Summary'!$BO$6:$BQ$48,3, FALSE),O948)</f>
        <v>1.2</v>
      </c>
      <c r="P949" s="99">
        <f>IFERROR(VLOOKUP(B949,'Pre-Summary'!$BS$6:$BU$35,3,FALSE),P948)</f>
        <v>0.3</v>
      </c>
      <c r="Q949" s="54">
        <f t="shared" si="42"/>
        <v>4</v>
      </c>
      <c r="R949" s="53">
        <f>IFERROR(VLOOKUP(B949,'Pre-Summary'!$BG$6:$BM$44,7,FALSE),R950)</f>
        <v>4.0839377512219534E-2</v>
      </c>
      <c r="S949" s="53">
        <f>IFERROR(VLOOKUP(B949,'Pre-Summary'!$BG$6:$BM$44,6,FALSE),S950)</f>
        <v>3.561480302426305E-2</v>
      </c>
      <c r="T949" s="45" t="str">
        <f>IFERROR(VLOOKUP(B949,'Pre-Summary'!$Y$6:$AC$83, 3,FALSE),"")</f>
        <v/>
      </c>
      <c r="U949" s="45" t="str">
        <f>IFERROR(VLOOKUP(B949,'Pre-Summary'!$Y$6:$AC$83, 4,FALSE),"")</f>
        <v/>
      </c>
      <c r="V949" t="str">
        <f>IFERROR(VLOOKUP(B949,'Pre-Summary'!$Y$6:$AC$83, 5,FALSE),"")</f>
        <v/>
      </c>
      <c r="W949" s="45" t="str">
        <f>IFERROR(VLOOKUP(B949,'Pre-Summary'!$Y$6:$AD$83,6,FALSE),"")</f>
        <v/>
      </c>
      <c r="X949" t="str">
        <f>IFERROR(VLOOKUP('Pre-Summary'!$DB$6:$DD$63,3,FALSE),"")</f>
        <v/>
      </c>
      <c r="Y949" t="str">
        <f>IFERROR(VLOOKUP(B949,'Pre-Summary'!$CR$6:$CT$36,3,FALSE),"")</f>
        <v/>
      </c>
      <c r="Z949" s="45" t="str">
        <f>IFERROR(VLOOKUP(B949,'Pre-Summary'!$BZ$6:$CB$63,2,FALSE),"")</f>
        <v/>
      </c>
      <c r="AA949" s="45" t="str">
        <f>IFERROR(VLOOKUP(B949,'Pre-Summary'!$CG$6:$CI$70,2,FALSE),"")</f>
        <v/>
      </c>
      <c r="AB949" s="99">
        <f>IFERROR(VLOOKUP(B949,'Pre-Summary'!$A$6:$P$178,9,FALSE),AB950)</f>
        <v>0.51107900307227605</v>
      </c>
      <c r="AC949" s="10">
        <f>IFERROR(VLOOKUP(Summary!B949,'Pre-Summary'!$A$6:$P$184,5, FALSE)/100,AC950)</f>
        <v>0.83335766666666655</v>
      </c>
      <c r="AD949" s="10">
        <f>IFERROR(VLOOKUP(Summary!B949,'Pre-Summary'!$A$6:$P$184,3, FALSE)/100,AD950)</f>
        <v>6.2578333333333333E-2</v>
      </c>
      <c r="AE949" s="10">
        <f>IFERROR(VLOOKUP(Summary!B949,'Pre-Summary'!$A$6:$P$184,7, FALSE)/100,AE950)</f>
        <v>0.10406399999999999</v>
      </c>
      <c r="AF949" s="99">
        <f t="shared" si="43"/>
        <v>3.1982472213924584E-2</v>
      </c>
      <c r="AG949" s="99">
        <f t="shared" si="44"/>
        <v>5.3184925375713329E-2</v>
      </c>
      <c r="AH949" s="10" t="str">
        <f>IFERROR(VLOOKUP(B949,'Pre-Summary'!$AZ$6:$BE$65,3,FALSE),"")</f>
        <v/>
      </c>
      <c r="AI949" s="10" t="str">
        <f>IFERROR(VLOOKUP(B949,'Pre-Summary'!$AZ$6:$BE$65,5,FALSE),"")</f>
        <v/>
      </c>
      <c r="AJ949" s="10" t="str">
        <f>IFERROR(VLOOKUP(B949,'Pre-Summary'!$AZ$6:$BE$65,4,FALSE),"")</f>
        <v/>
      </c>
      <c r="AK949" s="10" t="str">
        <f>IFERROR(VLOOKUP(B949,'Pre-Summary'!$AZ$6:$BE$65,6,FALSE),"")</f>
        <v/>
      </c>
      <c r="AL949" s="10" t="str">
        <f>IFERROR(VLOOKUP(B949,'Pre-Summary'!$BG$6:$BL$44,3,FALSE),"")</f>
        <v/>
      </c>
      <c r="AM949" s="10" t="str">
        <f>IFERROR(VLOOKUP(B949,'Pre-Summary'!$BG$6:$BL$44,4,FALSE),"")</f>
        <v/>
      </c>
    </row>
    <row r="950" spans="2:39" ht="15" customHeight="1" x14ac:dyDescent="0.3">
      <c r="B950">
        <v>94.7</v>
      </c>
      <c r="C950" t="str">
        <f>IFERROR(VLOOKUP(B950,'Pre-Summary'!$DI$6:$DM$23,4,FALSE),"")</f>
        <v/>
      </c>
      <c r="D950" s="10" t="str">
        <f>IFERROR(VLOOKUP(B950,'Pre-Summary'!$AT$6:$AX$14,5,FALSE),D949)</f>
        <v>DSMZ v3: dropped yeast, casitone, and bicarb out of DSMZ 120</v>
      </c>
      <c r="E950" s="10" t="str">
        <f>IFERROR(VLOOKUP(B950,'Pre-Summary'!$AT$6:$AX$15,4,FALSE),"")</f>
        <v/>
      </c>
      <c r="F950">
        <f>IFERROR(VLOOKUP(B950,'Pre-Summary'!$AL$6:$AQ$13,6,FALSE),F949)</f>
        <v>5.9405263157894746E-2</v>
      </c>
      <c r="G950" t="str">
        <f>IFERROR(VLOOKUP(B950,'Pre-Summary'!$AE$6:$AJ$85,3,FALSE),"")</f>
        <v/>
      </c>
      <c r="H950" t="str">
        <f>IFERROR(VLOOKUP(B950,'Pre-Summary'!$AE$6:$AJ$85,4,FALSE),"")</f>
        <v/>
      </c>
      <c r="I950" t="str">
        <f>IFERROR(VLOOKUP(B950,'Pre-Summary'!$AE$6:$AJ$85,5,FALSE),"")</f>
        <v/>
      </c>
      <c r="J950" s="45" t="str">
        <f>IFERROR(VLOOKUP(B950,'Pre-Summary'!$AE$6:$AJ$85,6, FALSE),"")</f>
        <v/>
      </c>
      <c r="K950" s="45" t="str">
        <f>IFERROR(VLOOKUP(B950,'Pre-Summary'!$DE$6:$DG$61,3,FALSE),"")</f>
        <v/>
      </c>
      <c r="L950" s="45" t="str">
        <f>IFERROR(VLOOKUP(B950,'Pre-Summary'!$CU$6:$CW$36,3,FALSE),"")</f>
        <v/>
      </c>
      <c r="M950" s="45" t="str">
        <f>IFERROR(VLOOKUP(B950,'Pre-Summary'!$BW$6:$BY$58,2,FALSE),"")</f>
        <v/>
      </c>
      <c r="N950" s="45" t="str">
        <f>IFERROR(VLOOKUP(B950,'Pre-Summary'!$CD$6:$CF$64,2,FALSE),"")</f>
        <v/>
      </c>
      <c r="O950" s="99">
        <f>IFERROR(VLOOKUP(B950,'Pre-Summary'!$BO$6:$BQ$48,3, FALSE),O949)</f>
        <v>1.2</v>
      </c>
      <c r="P950" s="99">
        <f>IFERROR(VLOOKUP(B950,'Pre-Summary'!$BS$6:$BU$35,3,FALSE),P949)</f>
        <v>0.3</v>
      </c>
      <c r="Q950" s="54">
        <f t="shared" si="42"/>
        <v>4</v>
      </c>
      <c r="R950" s="53">
        <f>IFERROR(VLOOKUP(B950,'Pre-Summary'!$BG$6:$BM$44,7,FALSE),R951)</f>
        <v>4.0839377512219534E-2</v>
      </c>
      <c r="S950" s="53">
        <f>IFERROR(VLOOKUP(B950,'Pre-Summary'!$BG$6:$BM$44,6,FALSE),S951)</f>
        <v>3.561480302426305E-2</v>
      </c>
      <c r="T950" s="45" t="str">
        <f>IFERROR(VLOOKUP(B950,'Pre-Summary'!$Y$6:$AC$83, 3,FALSE),"")</f>
        <v/>
      </c>
      <c r="U950" s="45" t="str">
        <f>IFERROR(VLOOKUP(B950,'Pre-Summary'!$Y$6:$AC$83, 4,FALSE),"")</f>
        <v/>
      </c>
      <c r="V950" t="str">
        <f>IFERROR(VLOOKUP(B950,'Pre-Summary'!$Y$6:$AC$83, 5,FALSE),"")</f>
        <v/>
      </c>
      <c r="W950" s="45" t="str">
        <f>IFERROR(VLOOKUP(B950,'Pre-Summary'!$Y$6:$AD$83,6,FALSE),"")</f>
        <v/>
      </c>
      <c r="X950" t="str">
        <f>IFERROR(VLOOKUP('Pre-Summary'!$DB$6:$DD$63,3,FALSE),"")</f>
        <v/>
      </c>
      <c r="Y950" t="str">
        <f>IFERROR(VLOOKUP(B950,'Pre-Summary'!$CR$6:$CT$36,3,FALSE),"")</f>
        <v/>
      </c>
      <c r="Z950" s="45" t="str">
        <f>IFERROR(VLOOKUP(B950,'Pre-Summary'!$BZ$6:$CB$63,2,FALSE),"")</f>
        <v/>
      </c>
      <c r="AA950" s="45" t="str">
        <f>IFERROR(VLOOKUP(B950,'Pre-Summary'!$CG$6:$CI$70,2,FALSE),"")</f>
        <v/>
      </c>
      <c r="AB950" s="99">
        <f>IFERROR(VLOOKUP(B950,'Pre-Summary'!$A$6:$P$178,9,FALSE),AB951)</f>
        <v>0.51107900307227605</v>
      </c>
      <c r="AC950" s="10">
        <f>IFERROR(VLOOKUP(Summary!B950,'Pre-Summary'!$A$6:$P$184,5, FALSE)/100,AC951)</f>
        <v>0.83335766666666655</v>
      </c>
      <c r="AD950" s="10">
        <f>IFERROR(VLOOKUP(Summary!B950,'Pre-Summary'!$A$6:$P$184,3, FALSE)/100,AD951)</f>
        <v>6.2578333333333333E-2</v>
      </c>
      <c r="AE950" s="10">
        <f>IFERROR(VLOOKUP(Summary!B950,'Pre-Summary'!$A$6:$P$184,7, FALSE)/100,AE951)</f>
        <v>0.10406399999999999</v>
      </c>
      <c r="AF950" s="99">
        <f t="shared" si="43"/>
        <v>3.1982472213924584E-2</v>
      </c>
      <c r="AG950" s="99">
        <f t="shared" si="44"/>
        <v>5.3184925375713329E-2</v>
      </c>
      <c r="AH950" s="10" t="str">
        <f>IFERROR(VLOOKUP(B950,'Pre-Summary'!$AZ$6:$BE$65,3,FALSE),"")</f>
        <v/>
      </c>
      <c r="AI950" s="10" t="str">
        <f>IFERROR(VLOOKUP(B950,'Pre-Summary'!$AZ$6:$BE$65,5,FALSE),"")</f>
        <v/>
      </c>
      <c r="AJ950" s="10" t="str">
        <f>IFERROR(VLOOKUP(B950,'Pre-Summary'!$AZ$6:$BE$65,4,FALSE),"")</f>
        <v/>
      </c>
      <c r="AK950" s="10" t="str">
        <f>IFERROR(VLOOKUP(B950,'Pre-Summary'!$AZ$6:$BE$65,6,FALSE),"")</f>
        <v/>
      </c>
      <c r="AL950" s="10" t="str">
        <f>IFERROR(VLOOKUP(B950,'Pre-Summary'!$BG$6:$BL$44,3,FALSE),"")</f>
        <v/>
      </c>
      <c r="AM950" s="10" t="str">
        <f>IFERROR(VLOOKUP(B950,'Pre-Summary'!$BG$6:$BL$44,4,FALSE),"")</f>
        <v/>
      </c>
    </row>
    <row r="951" spans="2:39" ht="15" customHeight="1" x14ac:dyDescent="0.3">
      <c r="B951">
        <v>94.8</v>
      </c>
      <c r="C951" t="str">
        <f>IFERROR(VLOOKUP(B951,'Pre-Summary'!$DI$6:$DM$23,4,FALSE),"")</f>
        <v/>
      </c>
      <c r="D951" s="10" t="str">
        <f>IFERROR(VLOOKUP(B951,'Pre-Summary'!$AT$6:$AX$14,5,FALSE),D950)</f>
        <v>DSMZ v3: dropped yeast, casitone, and bicarb out of DSMZ 120</v>
      </c>
      <c r="E951" s="10" t="str">
        <f>IFERROR(VLOOKUP(B951,'Pre-Summary'!$AT$6:$AX$15,4,FALSE),"")</f>
        <v/>
      </c>
      <c r="F951">
        <f>IFERROR(VLOOKUP(B951,'Pre-Summary'!$AL$6:$AQ$13,6,FALSE),F950)</f>
        <v>5.9405263157894746E-2</v>
      </c>
      <c r="G951" t="str">
        <f>IFERROR(VLOOKUP(B951,'Pre-Summary'!$AE$6:$AJ$85,3,FALSE),"")</f>
        <v/>
      </c>
      <c r="H951" t="str">
        <f>IFERROR(VLOOKUP(B951,'Pre-Summary'!$AE$6:$AJ$85,4,FALSE),"")</f>
        <v/>
      </c>
      <c r="I951" t="str">
        <f>IFERROR(VLOOKUP(B951,'Pre-Summary'!$AE$6:$AJ$85,5,FALSE),"")</f>
        <v/>
      </c>
      <c r="J951" s="45" t="str">
        <f>IFERROR(VLOOKUP(B951,'Pre-Summary'!$AE$6:$AJ$85,6, FALSE),"")</f>
        <v/>
      </c>
      <c r="K951" s="45" t="str">
        <f>IFERROR(VLOOKUP(B951,'Pre-Summary'!$DE$6:$DG$61,3,FALSE),"")</f>
        <v/>
      </c>
      <c r="L951" s="45" t="str">
        <f>IFERROR(VLOOKUP(B951,'Pre-Summary'!$CU$6:$CW$36,3,FALSE),"")</f>
        <v/>
      </c>
      <c r="M951" s="45" t="str">
        <f>IFERROR(VLOOKUP(B951,'Pre-Summary'!$BW$6:$BY$58,2,FALSE),"")</f>
        <v/>
      </c>
      <c r="N951" s="45" t="str">
        <f>IFERROR(VLOOKUP(B951,'Pre-Summary'!$CD$6:$CF$64,2,FALSE),"")</f>
        <v/>
      </c>
      <c r="O951" s="99">
        <f>IFERROR(VLOOKUP(B951,'Pre-Summary'!$BO$6:$BQ$48,3, FALSE),O950)</f>
        <v>1.2</v>
      </c>
      <c r="P951" s="99">
        <f>IFERROR(VLOOKUP(B951,'Pre-Summary'!$BS$6:$BU$35,3,FALSE),P950)</f>
        <v>0.3</v>
      </c>
      <c r="Q951" s="54">
        <f t="shared" si="42"/>
        <v>4</v>
      </c>
      <c r="R951" s="53">
        <f>IFERROR(VLOOKUP(B951,'Pre-Summary'!$BG$6:$BM$44,7,FALSE),R952)</f>
        <v>4.0839377512219534E-2</v>
      </c>
      <c r="S951" s="53">
        <f>IFERROR(VLOOKUP(B951,'Pre-Summary'!$BG$6:$BM$44,6,FALSE),S952)</f>
        <v>3.561480302426305E-2</v>
      </c>
      <c r="T951" s="45" t="str">
        <f>IFERROR(VLOOKUP(B951,'Pre-Summary'!$Y$6:$AC$83, 3,FALSE),"")</f>
        <v/>
      </c>
      <c r="U951" s="45" t="str">
        <f>IFERROR(VLOOKUP(B951,'Pre-Summary'!$Y$6:$AC$83, 4,FALSE),"")</f>
        <v/>
      </c>
      <c r="V951" t="str">
        <f>IFERROR(VLOOKUP(B951,'Pre-Summary'!$Y$6:$AC$83, 5,FALSE),"")</f>
        <v/>
      </c>
      <c r="W951" s="45" t="str">
        <f>IFERROR(VLOOKUP(B951,'Pre-Summary'!$Y$6:$AD$83,6,FALSE),"")</f>
        <v/>
      </c>
      <c r="X951" t="str">
        <f>IFERROR(VLOOKUP('Pre-Summary'!$DB$6:$DD$63,3,FALSE),"")</f>
        <v/>
      </c>
      <c r="Y951" t="str">
        <f>IFERROR(VLOOKUP(B951,'Pre-Summary'!$CR$6:$CT$36,3,FALSE),"")</f>
        <v/>
      </c>
      <c r="Z951" s="45" t="str">
        <f>IFERROR(VLOOKUP(B951,'Pre-Summary'!$BZ$6:$CB$63,2,FALSE),"")</f>
        <v/>
      </c>
      <c r="AA951" s="45" t="str">
        <f>IFERROR(VLOOKUP(B951,'Pre-Summary'!$CG$6:$CI$70,2,FALSE),"")</f>
        <v/>
      </c>
      <c r="AB951" s="99">
        <f>IFERROR(VLOOKUP(B951,'Pre-Summary'!$A$6:$P$178,9,FALSE),AB952)</f>
        <v>0.51107900307227605</v>
      </c>
      <c r="AC951" s="10">
        <f>IFERROR(VLOOKUP(Summary!B951,'Pre-Summary'!$A$6:$P$184,5, FALSE)/100,AC952)</f>
        <v>0.83335766666666655</v>
      </c>
      <c r="AD951" s="10">
        <f>IFERROR(VLOOKUP(Summary!B951,'Pre-Summary'!$A$6:$P$184,3, FALSE)/100,AD952)</f>
        <v>6.2578333333333333E-2</v>
      </c>
      <c r="AE951" s="10">
        <f>IFERROR(VLOOKUP(Summary!B951,'Pre-Summary'!$A$6:$P$184,7, FALSE)/100,AE952)</f>
        <v>0.10406399999999999</v>
      </c>
      <c r="AF951" s="99">
        <f t="shared" si="43"/>
        <v>3.1982472213924584E-2</v>
      </c>
      <c r="AG951" s="99">
        <f t="shared" si="44"/>
        <v>5.3184925375713329E-2</v>
      </c>
      <c r="AH951" s="10" t="str">
        <f>IFERROR(VLOOKUP(B951,'Pre-Summary'!$AZ$6:$BE$65,3,FALSE),"")</f>
        <v/>
      </c>
      <c r="AI951" s="10" t="str">
        <f>IFERROR(VLOOKUP(B951,'Pre-Summary'!$AZ$6:$BE$65,5,FALSE),"")</f>
        <v/>
      </c>
      <c r="AJ951" s="10" t="str">
        <f>IFERROR(VLOOKUP(B951,'Pre-Summary'!$AZ$6:$BE$65,4,FALSE),"")</f>
        <v/>
      </c>
      <c r="AK951" s="10" t="str">
        <f>IFERROR(VLOOKUP(B951,'Pre-Summary'!$AZ$6:$BE$65,6,FALSE),"")</f>
        <v/>
      </c>
      <c r="AL951" s="10" t="str">
        <f>IFERROR(VLOOKUP(B951,'Pre-Summary'!$BG$6:$BL$44,3,FALSE),"")</f>
        <v/>
      </c>
      <c r="AM951" s="10" t="str">
        <f>IFERROR(VLOOKUP(B951,'Pre-Summary'!$BG$6:$BL$44,4,FALSE),"")</f>
        <v/>
      </c>
    </row>
    <row r="952" spans="2:39" ht="15" customHeight="1" x14ac:dyDescent="0.3">
      <c r="B952">
        <v>94.9</v>
      </c>
      <c r="C952" t="str">
        <f>IFERROR(VLOOKUP(B952,'Pre-Summary'!$DI$6:$DM$23,4,FALSE),"")</f>
        <v/>
      </c>
      <c r="D952" s="10" t="str">
        <f>IFERROR(VLOOKUP(B952,'Pre-Summary'!$AT$6:$AX$14,5,FALSE),D951)</f>
        <v>DSMZ v3: dropped yeast, casitone, and bicarb out of DSMZ 120</v>
      </c>
      <c r="E952" s="10" t="str">
        <f>IFERROR(VLOOKUP(B952,'Pre-Summary'!$AT$6:$AX$15,4,FALSE),"")</f>
        <v/>
      </c>
      <c r="F952">
        <f>IFERROR(VLOOKUP(B952,'Pre-Summary'!$AL$6:$AQ$13,6,FALSE),F951)</f>
        <v>5.9405263157894746E-2</v>
      </c>
      <c r="G952" t="str">
        <f>IFERROR(VLOOKUP(B952,'Pre-Summary'!$AE$6:$AJ$85,3,FALSE),"")</f>
        <v/>
      </c>
      <c r="H952" t="str">
        <f>IFERROR(VLOOKUP(B952,'Pre-Summary'!$AE$6:$AJ$85,4,FALSE),"")</f>
        <v/>
      </c>
      <c r="I952" t="str">
        <f>IFERROR(VLOOKUP(B952,'Pre-Summary'!$AE$6:$AJ$85,5,FALSE),"")</f>
        <v/>
      </c>
      <c r="J952" s="45" t="str">
        <f>IFERROR(VLOOKUP(B952,'Pre-Summary'!$AE$6:$AJ$85,6, FALSE),"")</f>
        <v/>
      </c>
      <c r="K952" s="45" t="str">
        <f>IFERROR(VLOOKUP(B952,'Pre-Summary'!$DE$6:$DG$61,3,FALSE),"")</f>
        <v/>
      </c>
      <c r="L952" s="45" t="str">
        <f>IFERROR(VLOOKUP(B952,'Pre-Summary'!$CU$6:$CW$36,3,FALSE),"")</f>
        <v/>
      </c>
      <c r="M952" s="45" t="str">
        <f>IFERROR(VLOOKUP(B952,'Pre-Summary'!$BW$6:$BY$58,2,FALSE),"")</f>
        <v/>
      </c>
      <c r="N952" s="45" t="str">
        <f>IFERROR(VLOOKUP(B952,'Pre-Summary'!$CD$6:$CF$64,2,FALSE),"")</f>
        <v/>
      </c>
      <c r="O952" s="99">
        <f>IFERROR(VLOOKUP(B952,'Pre-Summary'!$BO$6:$BQ$48,3, FALSE),O951)</f>
        <v>1.2</v>
      </c>
      <c r="P952" s="99">
        <f>IFERROR(VLOOKUP(B952,'Pre-Summary'!$BS$6:$BU$35,3,FALSE),P951)</f>
        <v>0.3</v>
      </c>
      <c r="Q952" s="54">
        <f t="shared" si="42"/>
        <v>4</v>
      </c>
      <c r="R952" s="53">
        <f>IFERROR(VLOOKUP(B952,'Pre-Summary'!$BG$6:$BM$44,7,FALSE),R953)</f>
        <v>4.0839377512219534E-2</v>
      </c>
      <c r="S952" s="53">
        <f>IFERROR(VLOOKUP(B952,'Pre-Summary'!$BG$6:$BM$44,6,FALSE),S953)</f>
        <v>3.561480302426305E-2</v>
      </c>
      <c r="T952" s="45" t="str">
        <f>IFERROR(VLOOKUP(B952,'Pre-Summary'!$Y$6:$AC$83, 3,FALSE),"")</f>
        <v/>
      </c>
      <c r="U952" s="45" t="str">
        <f>IFERROR(VLOOKUP(B952,'Pre-Summary'!$Y$6:$AC$83, 4,FALSE),"")</f>
        <v/>
      </c>
      <c r="V952" t="str">
        <f>IFERROR(VLOOKUP(B952,'Pre-Summary'!$Y$6:$AC$83, 5,FALSE),"")</f>
        <v/>
      </c>
      <c r="W952" s="45" t="str">
        <f>IFERROR(VLOOKUP(B952,'Pre-Summary'!$Y$6:$AD$83,6,FALSE),"")</f>
        <v/>
      </c>
      <c r="X952" t="str">
        <f>IFERROR(VLOOKUP('Pre-Summary'!$DB$6:$DD$63,3,FALSE),"")</f>
        <v/>
      </c>
      <c r="Y952" t="str">
        <f>IFERROR(VLOOKUP(B952,'Pre-Summary'!$CR$6:$CT$36,3,FALSE),"")</f>
        <v/>
      </c>
      <c r="Z952" s="45" t="str">
        <f>IFERROR(VLOOKUP(B952,'Pre-Summary'!$BZ$6:$CB$63,2,FALSE),"")</f>
        <v/>
      </c>
      <c r="AA952" s="45" t="str">
        <f>IFERROR(VLOOKUP(B952,'Pre-Summary'!$CG$6:$CI$70,2,FALSE),"")</f>
        <v/>
      </c>
      <c r="AB952" s="99">
        <f>IFERROR(VLOOKUP(B952,'Pre-Summary'!$A$6:$P$178,9,FALSE),AB953)</f>
        <v>0.51107900307227605</v>
      </c>
      <c r="AC952" s="10">
        <f>IFERROR(VLOOKUP(Summary!B952,'Pre-Summary'!$A$6:$P$184,5, FALSE)/100,AC953)</f>
        <v>0.83335766666666655</v>
      </c>
      <c r="AD952" s="10">
        <f>IFERROR(VLOOKUP(Summary!B952,'Pre-Summary'!$A$6:$P$184,3, FALSE)/100,AD953)</f>
        <v>6.2578333333333333E-2</v>
      </c>
      <c r="AE952" s="10">
        <f>IFERROR(VLOOKUP(Summary!B952,'Pre-Summary'!$A$6:$P$184,7, FALSE)/100,AE953)</f>
        <v>0.10406399999999999</v>
      </c>
      <c r="AF952" s="99">
        <f t="shared" si="43"/>
        <v>3.1982472213924584E-2</v>
      </c>
      <c r="AG952" s="99">
        <f t="shared" si="44"/>
        <v>5.3184925375713329E-2</v>
      </c>
      <c r="AH952" s="10" t="str">
        <f>IFERROR(VLOOKUP(B952,'Pre-Summary'!$AZ$6:$BE$65,3,FALSE),"")</f>
        <v/>
      </c>
      <c r="AI952" s="10" t="str">
        <f>IFERROR(VLOOKUP(B952,'Pre-Summary'!$AZ$6:$BE$65,5,FALSE),"")</f>
        <v/>
      </c>
      <c r="AJ952" s="10" t="str">
        <f>IFERROR(VLOOKUP(B952,'Pre-Summary'!$AZ$6:$BE$65,4,FALSE),"")</f>
        <v/>
      </c>
      <c r="AK952" s="10" t="str">
        <f>IFERROR(VLOOKUP(B952,'Pre-Summary'!$AZ$6:$BE$65,6,FALSE),"")</f>
        <v/>
      </c>
      <c r="AL952" s="10" t="str">
        <f>IFERROR(VLOOKUP(B952,'Pre-Summary'!$BG$6:$BL$44,3,FALSE),"")</f>
        <v/>
      </c>
      <c r="AM952" s="10" t="str">
        <f>IFERROR(VLOOKUP(B952,'Pre-Summary'!$BG$6:$BL$44,4,FALSE),"")</f>
        <v/>
      </c>
    </row>
    <row r="953" spans="2:39" ht="15" customHeight="1" x14ac:dyDescent="0.3">
      <c r="B953">
        <v>95</v>
      </c>
      <c r="C953" t="str">
        <f>IFERROR(VLOOKUP(B953,'Pre-Summary'!$DI$6:$DM$23,4,FALSE),"")</f>
        <v/>
      </c>
      <c r="D953" s="10" t="str">
        <f>IFERROR(VLOOKUP(B953,'Pre-Summary'!$AT$6:$AX$14,5,FALSE),D952)</f>
        <v>DSMZ v3: dropped yeast, casitone, and bicarb out of DSMZ 120</v>
      </c>
      <c r="E953" s="10" t="str">
        <f>IFERROR(VLOOKUP(B953,'Pre-Summary'!$AT$6:$AX$15,4,FALSE),"")</f>
        <v/>
      </c>
      <c r="F953">
        <f>IFERROR(VLOOKUP(B953,'Pre-Summary'!$AL$6:$AQ$13,6,FALSE),F952)</f>
        <v>5.9405263157894746E-2</v>
      </c>
      <c r="G953" t="str">
        <f>IFERROR(VLOOKUP(B953,'Pre-Summary'!$AE$6:$AJ$85,3,FALSE),"")</f>
        <v/>
      </c>
      <c r="H953" t="str">
        <f>IFERROR(VLOOKUP(B953,'Pre-Summary'!$AE$6:$AJ$85,4,FALSE),"")</f>
        <v/>
      </c>
      <c r="I953" t="str">
        <f>IFERROR(VLOOKUP(B953,'Pre-Summary'!$AE$6:$AJ$85,5,FALSE),"")</f>
        <v/>
      </c>
      <c r="J953" s="45" t="str">
        <f>IFERROR(VLOOKUP(B953,'Pre-Summary'!$AE$6:$AJ$85,6, FALSE),"")</f>
        <v/>
      </c>
      <c r="K953" s="45">
        <f>IFERROR(VLOOKUP(B953,'Pre-Summary'!$DE$6:$DG$61,3,FALSE),"")</f>
        <v>11850</v>
      </c>
      <c r="L953" s="45" t="str">
        <f>IFERROR(VLOOKUP(B953,'Pre-Summary'!$CU$6:$CW$36,3,FALSE),"")</f>
        <v/>
      </c>
      <c r="M953" s="45" t="str">
        <f>IFERROR(VLOOKUP(B953,'Pre-Summary'!$BW$6:$BY$58,2,FALSE),"")</f>
        <v/>
      </c>
      <c r="N953" s="45" t="str">
        <f>IFERROR(VLOOKUP(B953,'Pre-Summary'!$CD$6:$CF$64,2,FALSE),"")</f>
        <v/>
      </c>
      <c r="O953" s="99">
        <f>IFERROR(VLOOKUP(B953,'Pre-Summary'!$BO$6:$BQ$48,3, FALSE),O952)</f>
        <v>1.2</v>
      </c>
      <c r="P953" s="99">
        <f>IFERROR(VLOOKUP(B953,'Pre-Summary'!$BS$6:$BU$35,3,FALSE),P952)</f>
        <v>0.3</v>
      </c>
      <c r="Q953" s="54">
        <f t="shared" si="42"/>
        <v>4</v>
      </c>
      <c r="R953" s="53">
        <f>IFERROR(VLOOKUP(B953,'Pre-Summary'!$BG$6:$BM$44,7,FALSE),R954)</f>
        <v>4.0839377512219534E-2</v>
      </c>
      <c r="S953" s="53">
        <f>IFERROR(VLOOKUP(B953,'Pre-Summary'!$BG$6:$BM$44,6,FALSE),S954)</f>
        <v>3.561480302426305E-2</v>
      </c>
      <c r="T953" s="45" t="str">
        <f>IFERROR(VLOOKUP(B953,'Pre-Summary'!$Y$6:$AC$83, 3,FALSE),"")</f>
        <v/>
      </c>
      <c r="U953" s="45" t="str">
        <f>IFERROR(VLOOKUP(B953,'Pre-Summary'!$Y$6:$AC$83, 4,FALSE),"")</f>
        <v/>
      </c>
      <c r="V953" t="str">
        <f>IFERROR(VLOOKUP(B953,'Pre-Summary'!$Y$6:$AC$83, 5,FALSE),"")</f>
        <v/>
      </c>
      <c r="W953" s="45" t="str">
        <f>IFERROR(VLOOKUP(B953,'Pre-Summary'!$Y$6:$AD$83,6,FALSE),"")</f>
        <v/>
      </c>
      <c r="X953" t="str">
        <f>IFERROR(VLOOKUP('Pre-Summary'!$DB$6:$DD$63,3,FALSE),"")</f>
        <v/>
      </c>
      <c r="Y953" t="str">
        <f>IFERROR(VLOOKUP(B953,'Pre-Summary'!$CR$6:$CT$36,3,FALSE),"")</f>
        <v/>
      </c>
      <c r="Z953" s="45" t="str">
        <f>IFERROR(VLOOKUP(B953,'Pre-Summary'!$BZ$6:$CB$63,2,FALSE),"")</f>
        <v/>
      </c>
      <c r="AA953" s="45" t="str">
        <f>IFERROR(VLOOKUP(B953,'Pre-Summary'!$CG$6:$CI$70,2,FALSE),"")</f>
        <v/>
      </c>
      <c r="AB953" s="99">
        <f>IFERROR(VLOOKUP(B953,'Pre-Summary'!$A$6:$P$178,9,FALSE),AB954)</f>
        <v>0.51107900307227605</v>
      </c>
      <c r="AC953" s="10">
        <f>IFERROR(VLOOKUP(Summary!B953,'Pre-Summary'!$A$6:$P$184,5, FALSE)/100,AC954)</f>
        <v>0.83335766666666655</v>
      </c>
      <c r="AD953" s="10">
        <f>IFERROR(VLOOKUP(Summary!B953,'Pre-Summary'!$A$6:$P$184,3, FALSE)/100,AD954)</f>
        <v>6.2578333333333333E-2</v>
      </c>
      <c r="AE953" s="10">
        <f>IFERROR(VLOOKUP(Summary!B953,'Pre-Summary'!$A$6:$P$184,7, FALSE)/100,AE954)</f>
        <v>0.10406399999999999</v>
      </c>
      <c r="AF953" s="99">
        <f t="shared" si="43"/>
        <v>3.1982472213924584E-2</v>
      </c>
      <c r="AG953" s="99">
        <f t="shared" si="44"/>
        <v>5.3184925375713329E-2</v>
      </c>
      <c r="AH953" s="10" t="str">
        <f>IFERROR(VLOOKUP(B953,'Pre-Summary'!$AZ$6:$BE$65,3,FALSE),"")</f>
        <v/>
      </c>
      <c r="AI953" s="10" t="str">
        <f>IFERROR(VLOOKUP(B953,'Pre-Summary'!$AZ$6:$BE$65,5,FALSE),"")</f>
        <v/>
      </c>
      <c r="AJ953" s="10" t="str">
        <f>IFERROR(VLOOKUP(B953,'Pre-Summary'!$AZ$6:$BE$65,4,FALSE),"")</f>
        <v/>
      </c>
      <c r="AK953" s="10" t="str">
        <f>IFERROR(VLOOKUP(B953,'Pre-Summary'!$AZ$6:$BE$65,6,FALSE),"")</f>
        <v/>
      </c>
      <c r="AL953" s="10" t="str">
        <f>IFERROR(VLOOKUP(B953,'Pre-Summary'!$BG$6:$BL$44,3,FALSE),"")</f>
        <v/>
      </c>
      <c r="AM953" s="10" t="str">
        <f>IFERROR(VLOOKUP(B953,'Pre-Summary'!$BG$6:$BL$44,4,FALSE),"")</f>
        <v/>
      </c>
    </row>
    <row r="954" spans="2:39" ht="15" customHeight="1" x14ac:dyDescent="0.3">
      <c r="B954">
        <v>95.1</v>
      </c>
      <c r="C954" t="str">
        <f>IFERROR(VLOOKUP(B954,'Pre-Summary'!$DI$6:$DM$23,4,FALSE),"")</f>
        <v/>
      </c>
      <c r="D954" s="10" t="str">
        <f>IFERROR(VLOOKUP(B954,'Pre-Summary'!$AT$6:$AX$14,5,FALSE),D953)</f>
        <v>DSMZ v3: dropped yeast, casitone, and bicarb out of DSMZ 120</v>
      </c>
      <c r="E954" s="10" t="str">
        <f>IFERROR(VLOOKUP(B954,'Pre-Summary'!$AT$6:$AX$15,4,FALSE),"")</f>
        <v/>
      </c>
      <c r="F954">
        <f>IFERROR(VLOOKUP(B954,'Pre-Summary'!$AL$6:$AQ$13,6,FALSE),F953)</f>
        <v>5.9405263157894746E-2</v>
      </c>
      <c r="G954" t="str">
        <f>IFERROR(VLOOKUP(B954,'Pre-Summary'!$AE$6:$AJ$85,3,FALSE),"")</f>
        <v/>
      </c>
      <c r="H954" t="str">
        <f>IFERROR(VLOOKUP(B954,'Pre-Summary'!$AE$6:$AJ$85,4,FALSE),"")</f>
        <v/>
      </c>
      <c r="I954" t="str">
        <f>IFERROR(VLOOKUP(B954,'Pre-Summary'!$AE$6:$AJ$85,5,FALSE),"")</f>
        <v/>
      </c>
      <c r="J954" s="45" t="str">
        <f>IFERROR(VLOOKUP(B954,'Pre-Summary'!$AE$6:$AJ$85,6, FALSE),"")</f>
        <v/>
      </c>
      <c r="K954" s="45" t="str">
        <f>IFERROR(VLOOKUP(B954,'Pre-Summary'!$DE$6:$DG$61,3,FALSE),"")</f>
        <v/>
      </c>
      <c r="L954" s="45" t="str">
        <f>IFERROR(VLOOKUP(B954,'Pre-Summary'!$CU$6:$CW$36,3,FALSE),"")</f>
        <v/>
      </c>
      <c r="M954" s="45" t="str">
        <f>IFERROR(VLOOKUP(B954,'Pre-Summary'!$BW$6:$BY$58,2,FALSE),"")</f>
        <v/>
      </c>
      <c r="N954" s="45" t="str">
        <f>IFERROR(VLOOKUP(B954,'Pre-Summary'!$CD$6:$CF$64,2,FALSE),"")</f>
        <v/>
      </c>
      <c r="O954" s="99">
        <f>IFERROR(VLOOKUP(B954,'Pre-Summary'!$BO$6:$BQ$48,3, FALSE),O953)</f>
        <v>1.2</v>
      </c>
      <c r="P954" s="99">
        <f>IFERROR(VLOOKUP(B954,'Pre-Summary'!$BS$6:$BU$35,3,FALSE),P953)</f>
        <v>0.3</v>
      </c>
      <c r="Q954" s="54">
        <f t="shared" si="42"/>
        <v>4</v>
      </c>
      <c r="R954" s="53">
        <f>IFERROR(VLOOKUP(B954,'Pre-Summary'!$BG$6:$BM$44,7,FALSE),R955)</f>
        <v>4.0839377512219534E-2</v>
      </c>
      <c r="S954" s="53">
        <f>IFERROR(VLOOKUP(B954,'Pre-Summary'!$BG$6:$BM$44,6,FALSE),S955)</f>
        <v>3.561480302426305E-2</v>
      </c>
      <c r="T954" s="45" t="str">
        <f>IFERROR(VLOOKUP(B954,'Pre-Summary'!$Y$6:$AC$83, 3,FALSE),"")</f>
        <v/>
      </c>
      <c r="U954" s="45" t="str">
        <f>IFERROR(VLOOKUP(B954,'Pre-Summary'!$Y$6:$AC$83, 4,FALSE),"")</f>
        <v/>
      </c>
      <c r="V954" t="str">
        <f>IFERROR(VLOOKUP(B954,'Pre-Summary'!$Y$6:$AC$83, 5,FALSE),"")</f>
        <v/>
      </c>
      <c r="W954" s="45" t="str">
        <f>IFERROR(VLOOKUP(B954,'Pre-Summary'!$Y$6:$AD$83,6,FALSE),"")</f>
        <v/>
      </c>
      <c r="X954" t="str">
        <f>IFERROR(VLOOKUP('Pre-Summary'!$DB$6:$DD$63,3,FALSE),"")</f>
        <v/>
      </c>
      <c r="Y954" t="str">
        <f>IFERROR(VLOOKUP(B954,'Pre-Summary'!$CR$6:$CT$36,3,FALSE),"")</f>
        <v/>
      </c>
      <c r="Z954" s="45" t="str">
        <f>IFERROR(VLOOKUP(B954,'Pre-Summary'!$BZ$6:$CB$63,2,FALSE),"")</f>
        <v/>
      </c>
      <c r="AA954" s="45" t="str">
        <f>IFERROR(VLOOKUP(B954,'Pre-Summary'!$CG$6:$CI$70,2,FALSE),"")</f>
        <v/>
      </c>
      <c r="AB954" s="99">
        <f>IFERROR(VLOOKUP(B954,'Pre-Summary'!$A$6:$P$178,9,FALSE),AB955)</f>
        <v>0.51107900307227605</v>
      </c>
      <c r="AC954" s="10">
        <f>IFERROR(VLOOKUP(Summary!B954,'Pre-Summary'!$A$6:$P$184,5, FALSE)/100,AC955)</f>
        <v>0.83335766666666655</v>
      </c>
      <c r="AD954" s="10">
        <f>IFERROR(VLOOKUP(Summary!B954,'Pre-Summary'!$A$6:$P$184,3, FALSE)/100,AD955)</f>
        <v>6.2578333333333333E-2</v>
      </c>
      <c r="AE954" s="10">
        <f>IFERROR(VLOOKUP(Summary!B954,'Pre-Summary'!$A$6:$P$184,7, FALSE)/100,AE955)</f>
        <v>0.10406399999999999</v>
      </c>
      <c r="AF954" s="99">
        <f t="shared" si="43"/>
        <v>3.1982472213924584E-2</v>
      </c>
      <c r="AG954" s="99">
        <f t="shared" si="44"/>
        <v>5.3184925375713329E-2</v>
      </c>
      <c r="AH954" s="10" t="str">
        <f>IFERROR(VLOOKUP(B954,'Pre-Summary'!$AZ$6:$BE$65,3,FALSE),"")</f>
        <v/>
      </c>
      <c r="AI954" s="10" t="str">
        <f>IFERROR(VLOOKUP(B954,'Pre-Summary'!$AZ$6:$BE$65,5,FALSE),"")</f>
        <v/>
      </c>
      <c r="AJ954" s="10" t="str">
        <f>IFERROR(VLOOKUP(B954,'Pre-Summary'!$AZ$6:$BE$65,4,FALSE),"")</f>
        <v/>
      </c>
      <c r="AK954" s="10" t="str">
        <f>IFERROR(VLOOKUP(B954,'Pre-Summary'!$AZ$6:$BE$65,6,FALSE),"")</f>
        <v/>
      </c>
      <c r="AL954" s="10" t="str">
        <f>IFERROR(VLOOKUP(B954,'Pre-Summary'!$BG$6:$BL$44,3,FALSE),"")</f>
        <v/>
      </c>
      <c r="AM954" s="10" t="str">
        <f>IFERROR(VLOOKUP(B954,'Pre-Summary'!$BG$6:$BL$44,4,FALSE),"")</f>
        <v/>
      </c>
    </row>
    <row r="955" spans="2:39" ht="15" customHeight="1" x14ac:dyDescent="0.3">
      <c r="B955">
        <v>95.2</v>
      </c>
      <c r="C955" t="str">
        <f>IFERROR(VLOOKUP(B955,'Pre-Summary'!$DI$6:$DM$23,4,FALSE),"")</f>
        <v/>
      </c>
      <c r="D955" s="10" t="str">
        <f>IFERROR(VLOOKUP(B955,'Pre-Summary'!$AT$6:$AX$14,5,FALSE),D954)</f>
        <v>DSMZ v3: dropped yeast, casitone, and bicarb out of DSMZ 120</v>
      </c>
      <c r="E955" s="10" t="str">
        <f>IFERROR(VLOOKUP(B955,'Pre-Summary'!$AT$6:$AX$15,4,FALSE),"")</f>
        <v/>
      </c>
      <c r="F955">
        <f>IFERROR(VLOOKUP(B955,'Pre-Summary'!$AL$6:$AQ$13,6,FALSE),F954)</f>
        <v>5.9405263157894746E-2</v>
      </c>
      <c r="G955" t="str">
        <f>IFERROR(VLOOKUP(B955,'Pre-Summary'!$AE$6:$AJ$85,3,FALSE),"")</f>
        <v/>
      </c>
      <c r="H955" t="str">
        <f>IFERROR(VLOOKUP(B955,'Pre-Summary'!$AE$6:$AJ$85,4,FALSE),"")</f>
        <v/>
      </c>
      <c r="I955" t="str">
        <f>IFERROR(VLOOKUP(B955,'Pre-Summary'!$AE$6:$AJ$85,5,FALSE),"")</f>
        <v/>
      </c>
      <c r="J955" s="45" t="str">
        <f>IFERROR(VLOOKUP(B955,'Pre-Summary'!$AE$6:$AJ$85,6, FALSE),"")</f>
        <v/>
      </c>
      <c r="K955" s="45" t="str">
        <f>IFERROR(VLOOKUP(B955,'Pre-Summary'!$DE$6:$DG$61,3,FALSE),"")</f>
        <v/>
      </c>
      <c r="L955" s="45" t="str">
        <f>IFERROR(VLOOKUP(B955,'Pre-Summary'!$CU$6:$CW$36,3,FALSE),"")</f>
        <v/>
      </c>
      <c r="M955" s="45" t="str">
        <f>IFERROR(VLOOKUP(B955,'Pre-Summary'!$BW$6:$BY$58,2,FALSE),"")</f>
        <v/>
      </c>
      <c r="N955" s="45" t="str">
        <f>IFERROR(VLOOKUP(B955,'Pre-Summary'!$CD$6:$CF$64,2,FALSE),"")</f>
        <v/>
      </c>
      <c r="O955" s="99">
        <f>IFERROR(VLOOKUP(B955,'Pre-Summary'!$BO$6:$BQ$48,3, FALSE),O954)</f>
        <v>1.2</v>
      </c>
      <c r="P955" s="99">
        <f>IFERROR(VLOOKUP(B955,'Pre-Summary'!$BS$6:$BU$35,3,FALSE),P954)</f>
        <v>0.3</v>
      </c>
      <c r="Q955" s="54">
        <f t="shared" si="42"/>
        <v>4</v>
      </c>
      <c r="R955" s="53">
        <f>IFERROR(VLOOKUP(B955,'Pre-Summary'!$BG$6:$BM$44,7,FALSE),R956)</f>
        <v>4.0839377512219534E-2</v>
      </c>
      <c r="S955" s="53">
        <f>IFERROR(VLOOKUP(B955,'Pre-Summary'!$BG$6:$BM$44,6,FALSE),S956)</f>
        <v>3.561480302426305E-2</v>
      </c>
      <c r="T955" s="45" t="str">
        <f>IFERROR(VLOOKUP(B955,'Pre-Summary'!$Y$6:$AC$83, 3,FALSE),"")</f>
        <v/>
      </c>
      <c r="U955" s="45" t="str">
        <f>IFERROR(VLOOKUP(B955,'Pre-Summary'!$Y$6:$AC$83, 4,FALSE),"")</f>
        <v/>
      </c>
      <c r="V955" t="str">
        <f>IFERROR(VLOOKUP(B955,'Pre-Summary'!$Y$6:$AC$83, 5,FALSE),"")</f>
        <v/>
      </c>
      <c r="W955" s="45" t="str">
        <f>IFERROR(VLOOKUP(B955,'Pre-Summary'!$Y$6:$AD$83,6,FALSE),"")</f>
        <v/>
      </c>
      <c r="X955" t="str">
        <f>IFERROR(VLOOKUP('Pre-Summary'!$DB$6:$DD$63,3,FALSE),"")</f>
        <v/>
      </c>
      <c r="Y955" t="str">
        <f>IFERROR(VLOOKUP(B955,'Pre-Summary'!$CR$6:$CT$36,3,FALSE),"")</f>
        <v/>
      </c>
      <c r="Z955" s="45" t="str">
        <f>IFERROR(VLOOKUP(B955,'Pre-Summary'!$BZ$6:$CB$63,2,FALSE),"")</f>
        <v/>
      </c>
      <c r="AA955" s="45" t="str">
        <f>IFERROR(VLOOKUP(B955,'Pre-Summary'!$CG$6:$CI$70,2,FALSE),"")</f>
        <v/>
      </c>
      <c r="AB955" s="99">
        <f>IFERROR(VLOOKUP(B955,'Pre-Summary'!$A$6:$P$178,9,FALSE),AB956)</f>
        <v>0.51107900307227605</v>
      </c>
      <c r="AC955" s="10">
        <f>IFERROR(VLOOKUP(Summary!B955,'Pre-Summary'!$A$6:$P$184,5, FALSE)/100,AC956)</f>
        <v>0.83335766666666655</v>
      </c>
      <c r="AD955" s="10">
        <f>IFERROR(VLOOKUP(Summary!B955,'Pre-Summary'!$A$6:$P$184,3, FALSE)/100,AD956)</f>
        <v>6.2578333333333333E-2</v>
      </c>
      <c r="AE955" s="10">
        <f>IFERROR(VLOOKUP(Summary!B955,'Pre-Summary'!$A$6:$P$184,7, FALSE)/100,AE956)</f>
        <v>0.10406399999999999</v>
      </c>
      <c r="AF955" s="99">
        <f t="shared" si="43"/>
        <v>3.1982472213924584E-2</v>
      </c>
      <c r="AG955" s="99">
        <f t="shared" si="44"/>
        <v>5.3184925375713329E-2</v>
      </c>
      <c r="AH955" s="10" t="str">
        <f>IFERROR(VLOOKUP(B955,'Pre-Summary'!$AZ$6:$BE$65,3,FALSE),"")</f>
        <v/>
      </c>
      <c r="AI955" s="10" t="str">
        <f>IFERROR(VLOOKUP(B955,'Pre-Summary'!$AZ$6:$BE$65,5,FALSE),"")</f>
        <v/>
      </c>
      <c r="AJ955" s="10" t="str">
        <f>IFERROR(VLOOKUP(B955,'Pre-Summary'!$AZ$6:$BE$65,4,FALSE),"")</f>
        <v/>
      </c>
      <c r="AK955" s="10" t="str">
        <f>IFERROR(VLOOKUP(B955,'Pre-Summary'!$AZ$6:$BE$65,6,FALSE),"")</f>
        <v/>
      </c>
      <c r="AL955" s="10" t="str">
        <f>IFERROR(VLOOKUP(B955,'Pre-Summary'!$BG$6:$BL$44,3,FALSE),"")</f>
        <v/>
      </c>
      <c r="AM955" s="10" t="str">
        <f>IFERROR(VLOOKUP(B955,'Pre-Summary'!$BG$6:$BL$44,4,FALSE),"")</f>
        <v/>
      </c>
    </row>
    <row r="956" spans="2:39" ht="15" customHeight="1" x14ac:dyDescent="0.3">
      <c r="B956">
        <v>95.3</v>
      </c>
      <c r="C956" t="str">
        <f>IFERROR(VLOOKUP(B956,'Pre-Summary'!$DI$6:$DM$23,4,FALSE),"")</f>
        <v/>
      </c>
      <c r="D956" s="10" t="str">
        <f>IFERROR(VLOOKUP(B956,'Pre-Summary'!$AT$6:$AX$14,5,FALSE),D955)</f>
        <v>DSMZ v3: dropped yeast, casitone, and bicarb out of DSMZ 120</v>
      </c>
      <c r="E956" s="10" t="str">
        <f>IFERROR(VLOOKUP(B956,'Pre-Summary'!$AT$6:$AX$15,4,FALSE),"")</f>
        <v/>
      </c>
      <c r="F956">
        <f>IFERROR(VLOOKUP(B956,'Pre-Summary'!$AL$6:$AQ$13,6,FALSE),F955)</f>
        <v>5.9405263157894746E-2</v>
      </c>
      <c r="G956" t="str">
        <f>IFERROR(VLOOKUP(B956,'Pre-Summary'!$AE$6:$AJ$85,3,FALSE),"")</f>
        <v/>
      </c>
      <c r="H956" t="str">
        <f>IFERROR(VLOOKUP(B956,'Pre-Summary'!$AE$6:$AJ$85,4,FALSE),"")</f>
        <v/>
      </c>
      <c r="I956" t="str">
        <f>IFERROR(VLOOKUP(B956,'Pre-Summary'!$AE$6:$AJ$85,5,FALSE),"")</f>
        <v/>
      </c>
      <c r="J956" s="45" t="str">
        <f>IFERROR(VLOOKUP(B956,'Pre-Summary'!$AE$6:$AJ$85,6, FALSE),"")</f>
        <v/>
      </c>
      <c r="K956" s="45" t="str">
        <f>IFERROR(VLOOKUP(B956,'Pre-Summary'!$DE$6:$DG$61,3,FALSE),"")</f>
        <v/>
      </c>
      <c r="L956" s="45" t="str">
        <f>IFERROR(VLOOKUP(B956,'Pre-Summary'!$CU$6:$CW$36,3,FALSE),"")</f>
        <v/>
      </c>
      <c r="M956" s="45" t="str">
        <f>IFERROR(VLOOKUP(B956,'Pre-Summary'!$BW$6:$BY$58,2,FALSE),"")</f>
        <v/>
      </c>
      <c r="N956" s="45" t="str">
        <f>IFERROR(VLOOKUP(B956,'Pre-Summary'!$CD$6:$CF$64,2,FALSE),"")</f>
        <v/>
      </c>
      <c r="O956" s="99">
        <f>IFERROR(VLOOKUP(B956,'Pre-Summary'!$BO$6:$BQ$48,3, FALSE),O955)</f>
        <v>1.2</v>
      </c>
      <c r="P956" s="99">
        <f>IFERROR(VLOOKUP(B956,'Pre-Summary'!$BS$6:$BU$35,3,FALSE),P955)</f>
        <v>0.3</v>
      </c>
      <c r="Q956" s="54">
        <f t="shared" si="42"/>
        <v>4</v>
      </c>
      <c r="R956" s="53">
        <f>IFERROR(VLOOKUP(B956,'Pre-Summary'!$BG$6:$BM$44,7,FALSE),R957)</f>
        <v>4.0839377512219534E-2</v>
      </c>
      <c r="S956" s="53">
        <f>IFERROR(VLOOKUP(B956,'Pre-Summary'!$BG$6:$BM$44,6,FALSE),S957)</f>
        <v>3.561480302426305E-2</v>
      </c>
      <c r="T956" s="45" t="str">
        <f>IFERROR(VLOOKUP(B956,'Pre-Summary'!$Y$6:$AC$83, 3,FALSE),"")</f>
        <v/>
      </c>
      <c r="U956" s="45" t="str">
        <f>IFERROR(VLOOKUP(B956,'Pre-Summary'!$Y$6:$AC$83, 4,FALSE),"")</f>
        <v/>
      </c>
      <c r="V956" t="str">
        <f>IFERROR(VLOOKUP(B956,'Pre-Summary'!$Y$6:$AC$83, 5,FALSE),"")</f>
        <v/>
      </c>
      <c r="W956" s="45" t="str">
        <f>IFERROR(VLOOKUP(B956,'Pre-Summary'!$Y$6:$AD$83,6,FALSE),"")</f>
        <v/>
      </c>
      <c r="X956" t="str">
        <f>IFERROR(VLOOKUP('Pre-Summary'!$DB$6:$DD$63,3,FALSE),"")</f>
        <v/>
      </c>
      <c r="Y956" t="str">
        <f>IFERROR(VLOOKUP(B956,'Pre-Summary'!$CR$6:$CT$36,3,FALSE),"")</f>
        <v/>
      </c>
      <c r="Z956" s="45" t="str">
        <f>IFERROR(VLOOKUP(B956,'Pre-Summary'!$BZ$6:$CB$63,2,FALSE),"")</f>
        <v/>
      </c>
      <c r="AA956" s="45" t="str">
        <f>IFERROR(VLOOKUP(B956,'Pre-Summary'!$CG$6:$CI$70,2,FALSE),"")</f>
        <v/>
      </c>
      <c r="AB956" s="99">
        <f>IFERROR(VLOOKUP(B956,'Pre-Summary'!$A$6:$P$178,9,FALSE),AB957)</f>
        <v>0.51107900307227605</v>
      </c>
      <c r="AC956" s="10">
        <f>IFERROR(VLOOKUP(Summary!B956,'Pre-Summary'!$A$6:$P$184,5, FALSE)/100,AC957)</f>
        <v>0.83335766666666655</v>
      </c>
      <c r="AD956" s="10">
        <f>IFERROR(VLOOKUP(Summary!B956,'Pre-Summary'!$A$6:$P$184,3, FALSE)/100,AD957)</f>
        <v>6.2578333333333333E-2</v>
      </c>
      <c r="AE956" s="10">
        <f>IFERROR(VLOOKUP(Summary!B956,'Pre-Summary'!$A$6:$P$184,7, FALSE)/100,AE957)</f>
        <v>0.10406399999999999</v>
      </c>
      <c r="AF956" s="99">
        <f t="shared" si="43"/>
        <v>3.1982472213924584E-2</v>
      </c>
      <c r="AG956" s="99">
        <f t="shared" si="44"/>
        <v>5.3184925375713329E-2</v>
      </c>
      <c r="AH956" s="10" t="str">
        <f>IFERROR(VLOOKUP(B956,'Pre-Summary'!$AZ$6:$BE$65,3,FALSE),"")</f>
        <v/>
      </c>
      <c r="AI956" s="10" t="str">
        <f>IFERROR(VLOOKUP(B956,'Pre-Summary'!$AZ$6:$BE$65,5,FALSE),"")</f>
        <v/>
      </c>
      <c r="AJ956" s="10" t="str">
        <f>IFERROR(VLOOKUP(B956,'Pre-Summary'!$AZ$6:$BE$65,4,FALSE),"")</f>
        <v/>
      </c>
      <c r="AK956" s="10" t="str">
        <f>IFERROR(VLOOKUP(B956,'Pre-Summary'!$AZ$6:$BE$65,6,FALSE),"")</f>
        <v/>
      </c>
      <c r="AL956" s="10" t="str">
        <f>IFERROR(VLOOKUP(B956,'Pre-Summary'!$BG$6:$BL$44,3,FALSE),"")</f>
        <v/>
      </c>
      <c r="AM956" s="10" t="str">
        <f>IFERROR(VLOOKUP(B956,'Pre-Summary'!$BG$6:$BL$44,4,FALSE),"")</f>
        <v/>
      </c>
    </row>
    <row r="957" spans="2:39" ht="15" customHeight="1" x14ac:dyDescent="0.3">
      <c r="B957">
        <v>95.4</v>
      </c>
      <c r="C957" t="str">
        <f>IFERROR(VLOOKUP(B957,'Pre-Summary'!$DI$6:$DM$23,4,FALSE),"")</f>
        <v/>
      </c>
      <c r="D957" s="10" t="str">
        <f>IFERROR(VLOOKUP(B957,'Pre-Summary'!$AT$6:$AX$14,5,FALSE),D956)</f>
        <v>DSMZ v3: dropped yeast, casitone, and bicarb out of DSMZ 120</v>
      </c>
      <c r="E957" s="10" t="str">
        <f>IFERROR(VLOOKUP(B957,'Pre-Summary'!$AT$6:$AX$15,4,FALSE),"")</f>
        <v/>
      </c>
      <c r="F957">
        <f>IFERROR(VLOOKUP(B957,'Pre-Summary'!$AL$6:$AQ$13,6,FALSE),F956)</f>
        <v>5.9405263157894746E-2</v>
      </c>
      <c r="G957" t="str">
        <f>IFERROR(VLOOKUP(B957,'Pre-Summary'!$AE$6:$AJ$85,3,FALSE),"")</f>
        <v/>
      </c>
      <c r="H957" t="str">
        <f>IFERROR(VLOOKUP(B957,'Pre-Summary'!$AE$6:$AJ$85,4,FALSE),"")</f>
        <v/>
      </c>
      <c r="I957" t="str">
        <f>IFERROR(VLOOKUP(B957,'Pre-Summary'!$AE$6:$AJ$85,5,FALSE),"")</f>
        <v/>
      </c>
      <c r="J957" s="45" t="str">
        <f>IFERROR(VLOOKUP(B957,'Pre-Summary'!$AE$6:$AJ$85,6, FALSE),"")</f>
        <v/>
      </c>
      <c r="K957" s="45" t="str">
        <f>IFERROR(VLOOKUP(B957,'Pre-Summary'!$DE$6:$DG$61,3,FALSE),"")</f>
        <v/>
      </c>
      <c r="L957" s="45" t="str">
        <f>IFERROR(VLOOKUP(B957,'Pre-Summary'!$CU$6:$CW$36,3,FALSE),"")</f>
        <v/>
      </c>
      <c r="M957" s="45" t="str">
        <f>IFERROR(VLOOKUP(B957,'Pre-Summary'!$BW$6:$BY$58,2,FALSE),"")</f>
        <v/>
      </c>
      <c r="N957" s="45" t="str">
        <f>IFERROR(VLOOKUP(B957,'Pre-Summary'!$CD$6:$CF$64,2,FALSE),"")</f>
        <v/>
      </c>
      <c r="O957" s="99">
        <f>IFERROR(VLOOKUP(B957,'Pre-Summary'!$BO$6:$BQ$48,3, FALSE),O956)</f>
        <v>1.2</v>
      </c>
      <c r="P957" s="99">
        <f>IFERROR(VLOOKUP(B957,'Pre-Summary'!$BS$6:$BU$35,3,FALSE),P956)</f>
        <v>0.3</v>
      </c>
      <c r="Q957" s="54">
        <f t="shared" si="42"/>
        <v>4</v>
      </c>
      <c r="R957" s="53">
        <f>IFERROR(VLOOKUP(B957,'Pre-Summary'!$BG$6:$BM$44,7,FALSE),R958)</f>
        <v>4.0839377512219534E-2</v>
      </c>
      <c r="S957" s="53">
        <f>IFERROR(VLOOKUP(B957,'Pre-Summary'!$BG$6:$BM$44,6,FALSE),S958)</f>
        <v>3.561480302426305E-2</v>
      </c>
      <c r="T957" s="45" t="str">
        <f>IFERROR(VLOOKUP(B957,'Pre-Summary'!$Y$6:$AC$83, 3,FALSE),"")</f>
        <v/>
      </c>
      <c r="U957" s="45" t="str">
        <f>IFERROR(VLOOKUP(B957,'Pre-Summary'!$Y$6:$AC$83, 4,FALSE),"")</f>
        <v/>
      </c>
      <c r="V957" t="str">
        <f>IFERROR(VLOOKUP(B957,'Pre-Summary'!$Y$6:$AC$83, 5,FALSE),"")</f>
        <v/>
      </c>
      <c r="W957" s="45" t="str">
        <f>IFERROR(VLOOKUP(B957,'Pre-Summary'!$Y$6:$AD$83,6,FALSE),"")</f>
        <v/>
      </c>
      <c r="X957" t="str">
        <f>IFERROR(VLOOKUP('Pre-Summary'!$DB$6:$DD$63,3,FALSE),"")</f>
        <v/>
      </c>
      <c r="Y957" t="str">
        <f>IFERROR(VLOOKUP(B957,'Pre-Summary'!$CR$6:$CT$36,3,FALSE),"")</f>
        <v/>
      </c>
      <c r="Z957" s="45" t="str">
        <f>IFERROR(VLOOKUP(B957,'Pre-Summary'!$BZ$6:$CB$63,2,FALSE),"")</f>
        <v/>
      </c>
      <c r="AA957" s="45" t="str">
        <f>IFERROR(VLOOKUP(B957,'Pre-Summary'!$CG$6:$CI$70,2,FALSE),"")</f>
        <v/>
      </c>
      <c r="AB957" s="99">
        <f>IFERROR(VLOOKUP(B957,'Pre-Summary'!$A$6:$P$178,9,FALSE),AB958)</f>
        <v>0.51107900307227605</v>
      </c>
      <c r="AC957" s="10">
        <f>IFERROR(VLOOKUP(Summary!B957,'Pre-Summary'!$A$6:$P$184,5, FALSE)/100,AC958)</f>
        <v>0.83335766666666655</v>
      </c>
      <c r="AD957" s="10">
        <f>IFERROR(VLOOKUP(Summary!B957,'Pre-Summary'!$A$6:$P$184,3, FALSE)/100,AD958)</f>
        <v>6.2578333333333333E-2</v>
      </c>
      <c r="AE957" s="10">
        <f>IFERROR(VLOOKUP(Summary!B957,'Pre-Summary'!$A$6:$P$184,7, FALSE)/100,AE958)</f>
        <v>0.10406399999999999</v>
      </c>
      <c r="AF957" s="99">
        <f t="shared" si="43"/>
        <v>3.1982472213924584E-2</v>
      </c>
      <c r="AG957" s="99">
        <f t="shared" si="44"/>
        <v>5.3184925375713329E-2</v>
      </c>
      <c r="AH957" s="10" t="str">
        <f>IFERROR(VLOOKUP(B957,'Pre-Summary'!$AZ$6:$BE$65,3,FALSE),"")</f>
        <v/>
      </c>
      <c r="AI957" s="10" t="str">
        <f>IFERROR(VLOOKUP(B957,'Pre-Summary'!$AZ$6:$BE$65,5,FALSE),"")</f>
        <v/>
      </c>
      <c r="AJ957" s="10" t="str">
        <f>IFERROR(VLOOKUP(B957,'Pre-Summary'!$AZ$6:$BE$65,4,FALSE),"")</f>
        <v/>
      </c>
      <c r="AK957" s="10" t="str">
        <f>IFERROR(VLOOKUP(B957,'Pre-Summary'!$AZ$6:$BE$65,6,FALSE),"")</f>
        <v/>
      </c>
      <c r="AL957" s="10" t="str">
        <f>IFERROR(VLOOKUP(B957,'Pre-Summary'!$BG$6:$BL$44,3,FALSE),"")</f>
        <v/>
      </c>
      <c r="AM957" s="10" t="str">
        <f>IFERROR(VLOOKUP(B957,'Pre-Summary'!$BG$6:$BL$44,4,FALSE),"")</f>
        <v/>
      </c>
    </row>
    <row r="958" spans="2:39" ht="15" customHeight="1" x14ac:dyDescent="0.3">
      <c r="B958">
        <v>95.5</v>
      </c>
      <c r="C958" t="str">
        <f>IFERROR(VLOOKUP(B958,'Pre-Summary'!$DI$6:$DM$23,4,FALSE),"")</f>
        <v/>
      </c>
      <c r="D958" s="10" t="str">
        <f>IFERROR(VLOOKUP(B958,'Pre-Summary'!$AT$6:$AX$14,5,FALSE),D957)</f>
        <v>DSMZ v3: dropped yeast, casitone, and bicarb out of DSMZ 120</v>
      </c>
      <c r="E958" s="10" t="str">
        <f>IFERROR(VLOOKUP(B958,'Pre-Summary'!$AT$6:$AX$15,4,FALSE),"")</f>
        <v/>
      </c>
      <c r="F958">
        <f>IFERROR(VLOOKUP(B958,'Pre-Summary'!$AL$6:$AQ$13,6,FALSE),F957)</f>
        <v>5.9405263157894746E-2</v>
      </c>
      <c r="G958" t="str">
        <f>IFERROR(VLOOKUP(B958,'Pre-Summary'!$AE$6:$AJ$85,3,FALSE),"")</f>
        <v/>
      </c>
      <c r="H958" t="str">
        <f>IFERROR(VLOOKUP(B958,'Pre-Summary'!$AE$6:$AJ$85,4,FALSE),"")</f>
        <v/>
      </c>
      <c r="I958" t="str">
        <f>IFERROR(VLOOKUP(B958,'Pre-Summary'!$AE$6:$AJ$85,5,FALSE),"")</f>
        <v/>
      </c>
      <c r="J958" s="45" t="str">
        <f>IFERROR(VLOOKUP(B958,'Pre-Summary'!$AE$6:$AJ$85,6, FALSE),"")</f>
        <v/>
      </c>
      <c r="K958" s="45" t="str">
        <f>IFERROR(VLOOKUP(B958,'Pre-Summary'!$DE$6:$DG$61,3,FALSE),"")</f>
        <v/>
      </c>
      <c r="L958" s="45" t="str">
        <f>IFERROR(VLOOKUP(B958,'Pre-Summary'!$CU$6:$CW$36,3,FALSE),"")</f>
        <v/>
      </c>
      <c r="M958" s="45" t="str">
        <f>IFERROR(VLOOKUP(B958,'Pre-Summary'!$BW$6:$BY$58,2,FALSE),"")</f>
        <v/>
      </c>
      <c r="N958" s="45" t="str">
        <f>IFERROR(VLOOKUP(B958,'Pre-Summary'!$CD$6:$CF$64,2,FALSE),"")</f>
        <v/>
      </c>
      <c r="O958" s="99">
        <f>IFERROR(VLOOKUP(B958,'Pre-Summary'!$BO$6:$BQ$48,3, FALSE),O957)</f>
        <v>1.2</v>
      </c>
      <c r="P958" s="99">
        <f>IFERROR(VLOOKUP(B958,'Pre-Summary'!$BS$6:$BU$35,3,FALSE),P957)</f>
        <v>0.3</v>
      </c>
      <c r="Q958" s="54">
        <f t="shared" si="42"/>
        <v>4</v>
      </c>
      <c r="R958" s="53">
        <f>IFERROR(VLOOKUP(B958,'Pre-Summary'!$BG$6:$BM$44,7,FALSE),R959)</f>
        <v>4.0839377512219534E-2</v>
      </c>
      <c r="S958" s="53">
        <f>IFERROR(VLOOKUP(B958,'Pre-Summary'!$BG$6:$BM$44,6,FALSE),S959)</f>
        <v>3.561480302426305E-2</v>
      </c>
      <c r="T958" s="45" t="str">
        <f>IFERROR(VLOOKUP(B958,'Pre-Summary'!$Y$6:$AC$83, 3,FALSE),"")</f>
        <v/>
      </c>
      <c r="U958" s="45" t="str">
        <f>IFERROR(VLOOKUP(B958,'Pre-Summary'!$Y$6:$AC$83, 4,FALSE),"")</f>
        <v/>
      </c>
      <c r="V958" t="str">
        <f>IFERROR(VLOOKUP(B958,'Pre-Summary'!$Y$6:$AC$83, 5,FALSE),"")</f>
        <v/>
      </c>
      <c r="W958" s="45" t="str">
        <f>IFERROR(VLOOKUP(B958,'Pre-Summary'!$Y$6:$AD$83,6,FALSE),"")</f>
        <v/>
      </c>
      <c r="X958" t="str">
        <f>IFERROR(VLOOKUP('Pre-Summary'!$DB$6:$DD$63,3,FALSE),"")</f>
        <v/>
      </c>
      <c r="Y958" t="str">
        <f>IFERROR(VLOOKUP(B958,'Pre-Summary'!$CR$6:$CT$36,3,FALSE),"")</f>
        <v/>
      </c>
      <c r="Z958" s="45" t="str">
        <f>IFERROR(VLOOKUP(B958,'Pre-Summary'!$BZ$6:$CB$63,2,FALSE),"")</f>
        <v/>
      </c>
      <c r="AA958" s="45" t="str">
        <f>IFERROR(VLOOKUP(B958,'Pre-Summary'!$CG$6:$CI$70,2,FALSE),"")</f>
        <v/>
      </c>
      <c r="AB958" s="99">
        <f>IFERROR(VLOOKUP(B958,'Pre-Summary'!$A$6:$P$178,9,FALSE),AB959)</f>
        <v>0.51107900307227605</v>
      </c>
      <c r="AC958" s="10">
        <f>IFERROR(VLOOKUP(Summary!B958,'Pre-Summary'!$A$6:$P$184,5, FALSE)/100,AC959)</f>
        <v>0.83335766666666655</v>
      </c>
      <c r="AD958" s="10">
        <f>IFERROR(VLOOKUP(Summary!B958,'Pre-Summary'!$A$6:$P$184,3, FALSE)/100,AD959)</f>
        <v>6.2578333333333333E-2</v>
      </c>
      <c r="AE958" s="10">
        <f>IFERROR(VLOOKUP(Summary!B958,'Pre-Summary'!$A$6:$P$184,7, FALSE)/100,AE959)</f>
        <v>0.10406399999999999</v>
      </c>
      <c r="AF958" s="99">
        <f t="shared" si="43"/>
        <v>3.1982472213924584E-2</v>
      </c>
      <c r="AG958" s="99">
        <f t="shared" si="44"/>
        <v>5.3184925375713329E-2</v>
      </c>
      <c r="AH958" s="10" t="str">
        <f>IFERROR(VLOOKUP(B958,'Pre-Summary'!$AZ$6:$BE$65,3,FALSE),"")</f>
        <v/>
      </c>
      <c r="AI958" s="10" t="str">
        <f>IFERROR(VLOOKUP(B958,'Pre-Summary'!$AZ$6:$BE$65,5,FALSE),"")</f>
        <v/>
      </c>
      <c r="AJ958" s="10" t="str">
        <f>IFERROR(VLOOKUP(B958,'Pre-Summary'!$AZ$6:$BE$65,4,FALSE),"")</f>
        <v/>
      </c>
      <c r="AK958" s="10" t="str">
        <f>IFERROR(VLOOKUP(B958,'Pre-Summary'!$AZ$6:$BE$65,6,FALSE),"")</f>
        <v/>
      </c>
      <c r="AL958" s="10" t="str">
        <f>IFERROR(VLOOKUP(B958,'Pre-Summary'!$BG$6:$BL$44,3,FALSE),"")</f>
        <v/>
      </c>
      <c r="AM958" s="10" t="str">
        <f>IFERROR(VLOOKUP(B958,'Pre-Summary'!$BG$6:$BL$44,4,FALSE),"")</f>
        <v/>
      </c>
    </row>
    <row r="959" spans="2:39" ht="15" customHeight="1" x14ac:dyDescent="0.3">
      <c r="B959">
        <v>95.6</v>
      </c>
      <c r="C959" t="str">
        <f>IFERROR(VLOOKUP(B959,'Pre-Summary'!$DI$6:$DM$23,4,FALSE),"")</f>
        <v/>
      </c>
      <c r="D959" s="10" t="str">
        <f>IFERROR(VLOOKUP(B959,'Pre-Summary'!$AT$6:$AX$14,5,FALSE),D958)</f>
        <v>DSMZ v3: dropped yeast, casitone, and bicarb out of DSMZ 120</v>
      </c>
      <c r="E959" s="10" t="str">
        <f>IFERROR(VLOOKUP(B959,'Pre-Summary'!$AT$6:$AX$15,4,FALSE),"")</f>
        <v/>
      </c>
      <c r="F959">
        <f>IFERROR(VLOOKUP(B959,'Pre-Summary'!$AL$6:$AQ$13,6,FALSE),F958)</f>
        <v>5.9405263157894746E-2</v>
      </c>
      <c r="G959" t="str">
        <f>IFERROR(VLOOKUP(B959,'Pre-Summary'!$AE$6:$AJ$85,3,FALSE),"")</f>
        <v/>
      </c>
      <c r="H959" t="str">
        <f>IFERROR(VLOOKUP(B959,'Pre-Summary'!$AE$6:$AJ$85,4,FALSE),"")</f>
        <v/>
      </c>
      <c r="I959" t="str">
        <f>IFERROR(VLOOKUP(B959,'Pre-Summary'!$AE$6:$AJ$85,5,FALSE),"")</f>
        <v/>
      </c>
      <c r="J959" s="45" t="str">
        <f>IFERROR(VLOOKUP(B959,'Pre-Summary'!$AE$6:$AJ$85,6, FALSE),"")</f>
        <v/>
      </c>
      <c r="K959" s="45" t="str">
        <f>IFERROR(VLOOKUP(B959,'Pre-Summary'!$DE$6:$DG$61,3,FALSE),"")</f>
        <v/>
      </c>
      <c r="L959" s="45" t="str">
        <f>IFERROR(VLOOKUP(B959,'Pre-Summary'!$CU$6:$CW$36,3,FALSE),"")</f>
        <v/>
      </c>
      <c r="M959" s="45" t="str">
        <f>IFERROR(VLOOKUP(B959,'Pre-Summary'!$BW$6:$BY$58,2,FALSE),"")</f>
        <v/>
      </c>
      <c r="N959" s="45" t="str">
        <f>IFERROR(VLOOKUP(B959,'Pre-Summary'!$CD$6:$CF$64,2,FALSE),"")</f>
        <v/>
      </c>
      <c r="O959" s="99">
        <f>IFERROR(VLOOKUP(B959,'Pre-Summary'!$BO$6:$BQ$48,3, FALSE),O958)</f>
        <v>1.2</v>
      </c>
      <c r="P959" s="99">
        <f>IFERROR(VLOOKUP(B959,'Pre-Summary'!$BS$6:$BU$35,3,FALSE),P958)</f>
        <v>0.3</v>
      </c>
      <c r="Q959" s="54">
        <f t="shared" si="42"/>
        <v>4</v>
      </c>
      <c r="R959" s="53">
        <f>IFERROR(VLOOKUP(B959,'Pre-Summary'!$BG$6:$BM$44,7,FALSE),R960)</f>
        <v>4.0839377512219534E-2</v>
      </c>
      <c r="S959" s="53">
        <f>IFERROR(VLOOKUP(B959,'Pre-Summary'!$BG$6:$BM$44,6,FALSE),S960)</f>
        <v>3.561480302426305E-2</v>
      </c>
      <c r="T959" s="45" t="str">
        <f>IFERROR(VLOOKUP(B959,'Pre-Summary'!$Y$6:$AC$83, 3,FALSE),"")</f>
        <v/>
      </c>
      <c r="U959" s="45" t="str">
        <f>IFERROR(VLOOKUP(B959,'Pre-Summary'!$Y$6:$AC$83, 4,FALSE),"")</f>
        <v/>
      </c>
      <c r="V959" t="str">
        <f>IFERROR(VLOOKUP(B959,'Pre-Summary'!$Y$6:$AC$83, 5,FALSE),"")</f>
        <v/>
      </c>
      <c r="W959" s="45" t="str">
        <f>IFERROR(VLOOKUP(B959,'Pre-Summary'!$Y$6:$AD$83,6,FALSE),"")</f>
        <v/>
      </c>
      <c r="X959" t="str">
        <f>IFERROR(VLOOKUP('Pre-Summary'!$DB$6:$DD$63,3,FALSE),"")</f>
        <v/>
      </c>
      <c r="Y959" t="str">
        <f>IFERROR(VLOOKUP(B959,'Pre-Summary'!$CR$6:$CT$36,3,FALSE),"")</f>
        <v/>
      </c>
      <c r="Z959" s="45" t="str">
        <f>IFERROR(VLOOKUP(B959,'Pre-Summary'!$BZ$6:$CB$63,2,FALSE),"")</f>
        <v/>
      </c>
      <c r="AA959" s="45" t="str">
        <f>IFERROR(VLOOKUP(B959,'Pre-Summary'!$CG$6:$CI$70,2,FALSE),"")</f>
        <v/>
      </c>
      <c r="AB959" s="99">
        <f>IFERROR(VLOOKUP(B959,'Pre-Summary'!$A$6:$P$178,9,FALSE),AB960)</f>
        <v>0.51107900307227605</v>
      </c>
      <c r="AC959" s="10">
        <f>IFERROR(VLOOKUP(Summary!B959,'Pre-Summary'!$A$6:$P$184,5, FALSE)/100,AC960)</f>
        <v>0.83335766666666655</v>
      </c>
      <c r="AD959" s="10">
        <f>IFERROR(VLOOKUP(Summary!B959,'Pre-Summary'!$A$6:$P$184,3, FALSE)/100,AD960)</f>
        <v>6.2578333333333333E-2</v>
      </c>
      <c r="AE959" s="10">
        <f>IFERROR(VLOOKUP(Summary!B959,'Pre-Summary'!$A$6:$P$184,7, FALSE)/100,AE960)</f>
        <v>0.10406399999999999</v>
      </c>
      <c r="AF959" s="99">
        <f t="shared" si="43"/>
        <v>3.1982472213924584E-2</v>
      </c>
      <c r="AG959" s="99">
        <f t="shared" si="44"/>
        <v>5.3184925375713329E-2</v>
      </c>
      <c r="AH959" s="10" t="str">
        <f>IFERROR(VLOOKUP(B959,'Pre-Summary'!$AZ$6:$BE$65,3,FALSE),"")</f>
        <v/>
      </c>
      <c r="AI959" s="10" t="str">
        <f>IFERROR(VLOOKUP(B959,'Pre-Summary'!$AZ$6:$BE$65,5,FALSE),"")</f>
        <v/>
      </c>
      <c r="AJ959" s="10" t="str">
        <f>IFERROR(VLOOKUP(B959,'Pre-Summary'!$AZ$6:$BE$65,4,FALSE),"")</f>
        <v/>
      </c>
      <c r="AK959" s="10" t="str">
        <f>IFERROR(VLOOKUP(B959,'Pre-Summary'!$AZ$6:$BE$65,6,FALSE),"")</f>
        <v/>
      </c>
      <c r="AL959" s="10" t="str">
        <f>IFERROR(VLOOKUP(B959,'Pre-Summary'!$BG$6:$BL$44,3,FALSE),"")</f>
        <v/>
      </c>
      <c r="AM959" s="10" t="str">
        <f>IFERROR(VLOOKUP(B959,'Pre-Summary'!$BG$6:$BL$44,4,FALSE),"")</f>
        <v/>
      </c>
    </row>
    <row r="960" spans="2:39" ht="15" customHeight="1" x14ac:dyDescent="0.3">
      <c r="B960">
        <v>95.7</v>
      </c>
      <c r="C960" t="str">
        <f>IFERROR(VLOOKUP(B960,'Pre-Summary'!$DI$6:$DM$23,4,FALSE),"")</f>
        <v/>
      </c>
      <c r="D960" s="10" t="str">
        <f>IFERROR(VLOOKUP(B960,'Pre-Summary'!$AT$6:$AX$14,5,FALSE),D959)</f>
        <v>DSMZ v3: dropped yeast, casitone, and bicarb out of DSMZ 120</v>
      </c>
      <c r="E960" s="10" t="str">
        <f>IFERROR(VLOOKUP(B960,'Pre-Summary'!$AT$6:$AX$15,4,FALSE),"")</f>
        <v/>
      </c>
      <c r="F960">
        <f>IFERROR(VLOOKUP(B960,'Pre-Summary'!$AL$6:$AQ$13,6,FALSE),F959)</f>
        <v>5.9405263157894746E-2</v>
      </c>
      <c r="G960" t="str">
        <f>IFERROR(VLOOKUP(B960,'Pre-Summary'!$AE$6:$AJ$85,3,FALSE),"")</f>
        <v/>
      </c>
      <c r="H960" t="str">
        <f>IFERROR(VLOOKUP(B960,'Pre-Summary'!$AE$6:$AJ$85,4,FALSE),"")</f>
        <v/>
      </c>
      <c r="I960" t="str">
        <f>IFERROR(VLOOKUP(B960,'Pre-Summary'!$AE$6:$AJ$85,5,FALSE),"")</f>
        <v/>
      </c>
      <c r="J960" s="45" t="str">
        <f>IFERROR(VLOOKUP(B960,'Pre-Summary'!$AE$6:$AJ$85,6, FALSE),"")</f>
        <v/>
      </c>
      <c r="K960" s="45" t="str">
        <f>IFERROR(VLOOKUP(B960,'Pre-Summary'!$DE$6:$DG$61,3,FALSE),"")</f>
        <v/>
      </c>
      <c r="L960" s="45" t="str">
        <f>IFERROR(VLOOKUP(B960,'Pre-Summary'!$CU$6:$CW$36,3,FALSE),"")</f>
        <v/>
      </c>
      <c r="M960" s="45" t="str">
        <f>IFERROR(VLOOKUP(B960,'Pre-Summary'!$BW$6:$BY$58,2,FALSE),"")</f>
        <v/>
      </c>
      <c r="N960" s="45" t="str">
        <f>IFERROR(VLOOKUP(B960,'Pre-Summary'!$CD$6:$CF$64,2,FALSE),"")</f>
        <v/>
      </c>
      <c r="O960" s="99">
        <f>IFERROR(VLOOKUP(B960,'Pre-Summary'!$BO$6:$BQ$48,3, FALSE),O959)</f>
        <v>1.2</v>
      </c>
      <c r="P960" s="99">
        <f>IFERROR(VLOOKUP(B960,'Pre-Summary'!$BS$6:$BU$35,3,FALSE),P959)</f>
        <v>0.3</v>
      </c>
      <c r="Q960" s="54">
        <f t="shared" si="42"/>
        <v>4</v>
      </c>
      <c r="R960" s="53">
        <f>IFERROR(VLOOKUP(B960,'Pre-Summary'!$BG$6:$BM$44,7,FALSE),R961)</f>
        <v>4.0839377512219534E-2</v>
      </c>
      <c r="S960" s="53">
        <f>IFERROR(VLOOKUP(B960,'Pre-Summary'!$BG$6:$BM$44,6,FALSE),S961)</f>
        <v>3.561480302426305E-2</v>
      </c>
      <c r="T960" s="45" t="str">
        <f>IFERROR(VLOOKUP(B960,'Pre-Summary'!$Y$6:$AC$83, 3,FALSE),"")</f>
        <v/>
      </c>
      <c r="U960" s="45" t="str">
        <f>IFERROR(VLOOKUP(B960,'Pre-Summary'!$Y$6:$AC$83, 4,FALSE),"")</f>
        <v/>
      </c>
      <c r="V960" t="str">
        <f>IFERROR(VLOOKUP(B960,'Pre-Summary'!$Y$6:$AC$83, 5,FALSE),"")</f>
        <v/>
      </c>
      <c r="W960" s="45" t="str">
        <f>IFERROR(VLOOKUP(B960,'Pre-Summary'!$Y$6:$AD$83,6,FALSE),"")</f>
        <v/>
      </c>
      <c r="X960" t="str">
        <f>IFERROR(VLOOKUP('Pre-Summary'!$DB$6:$DD$63,3,FALSE),"")</f>
        <v/>
      </c>
      <c r="Y960" t="str">
        <f>IFERROR(VLOOKUP(B960,'Pre-Summary'!$CR$6:$CT$36,3,FALSE),"")</f>
        <v/>
      </c>
      <c r="Z960" s="45" t="str">
        <f>IFERROR(VLOOKUP(B960,'Pre-Summary'!$BZ$6:$CB$63,2,FALSE),"")</f>
        <v/>
      </c>
      <c r="AA960" s="45" t="str">
        <f>IFERROR(VLOOKUP(B960,'Pre-Summary'!$CG$6:$CI$70,2,FALSE),"")</f>
        <v/>
      </c>
      <c r="AB960" s="99">
        <f>IFERROR(VLOOKUP(B960,'Pre-Summary'!$A$6:$P$178,9,FALSE),AB961)</f>
        <v>0.51107900307227605</v>
      </c>
      <c r="AC960" s="10">
        <f>IFERROR(VLOOKUP(Summary!B960,'Pre-Summary'!$A$6:$P$184,5, FALSE)/100,AC961)</f>
        <v>0.83335766666666655</v>
      </c>
      <c r="AD960" s="10">
        <f>IFERROR(VLOOKUP(Summary!B960,'Pre-Summary'!$A$6:$P$184,3, FALSE)/100,AD961)</f>
        <v>6.2578333333333333E-2</v>
      </c>
      <c r="AE960" s="10">
        <f>IFERROR(VLOOKUP(Summary!B960,'Pre-Summary'!$A$6:$P$184,7, FALSE)/100,AE961)</f>
        <v>0.10406399999999999</v>
      </c>
      <c r="AF960" s="99">
        <f t="shared" si="43"/>
        <v>3.1982472213924584E-2</v>
      </c>
      <c r="AG960" s="99">
        <f t="shared" si="44"/>
        <v>5.3184925375713329E-2</v>
      </c>
      <c r="AH960" s="10" t="str">
        <f>IFERROR(VLOOKUP(B960,'Pre-Summary'!$AZ$6:$BE$65,3,FALSE),"")</f>
        <v/>
      </c>
      <c r="AI960" s="10" t="str">
        <f>IFERROR(VLOOKUP(B960,'Pre-Summary'!$AZ$6:$BE$65,5,FALSE),"")</f>
        <v/>
      </c>
      <c r="AJ960" s="10" t="str">
        <f>IFERROR(VLOOKUP(B960,'Pre-Summary'!$AZ$6:$BE$65,4,FALSE),"")</f>
        <v/>
      </c>
      <c r="AK960" s="10" t="str">
        <f>IFERROR(VLOOKUP(B960,'Pre-Summary'!$AZ$6:$BE$65,6,FALSE),"")</f>
        <v/>
      </c>
      <c r="AL960" s="10" t="str">
        <f>IFERROR(VLOOKUP(B960,'Pre-Summary'!$BG$6:$BL$44,3,FALSE),"")</f>
        <v/>
      </c>
      <c r="AM960" s="10" t="str">
        <f>IFERROR(VLOOKUP(B960,'Pre-Summary'!$BG$6:$BL$44,4,FALSE),"")</f>
        <v/>
      </c>
    </row>
    <row r="961" spans="2:39" ht="15" customHeight="1" x14ac:dyDescent="0.3">
      <c r="B961">
        <v>95.8</v>
      </c>
      <c r="C961" t="str">
        <f>IFERROR(VLOOKUP(B961,'Pre-Summary'!$DI$6:$DM$23,4,FALSE),"")</f>
        <v/>
      </c>
      <c r="D961" s="10" t="str">
        <f>IFERROR(VLOOKUP(B961,'Pre-Summary'!$AT$6:$AX$14,5,FALSE),D960)</f>
        <v>DSMZ v3: dropped yeast, casitone, and bicarb out of DSMZ 120</v>
      </c>
      <c r="E961" s="10" t="str">
        <f>IFERROR(VLOOKUP(B961,'Pre-Summary'!$AT$6:$AX$15,4,FALSE),"")</f>
        <v/>
      </c>
      <c r="F961">
        <f>IFERROR(VLOOKUP(B961,'Pre-Summary'!$AL$6:$AQ$13,6,FALSE),F960)</f>
        <v>5.9405263157894746E-2</v>
      </c>
      <c r="G961" t="str">
        <f>IFERROR(VLOOKUP(B961,'Pre-Summary'!$AE$6:$AJ$85,3,FALSE),"")</f>
        <v/>
      </c>
      <c r="H961" t="str">
        <f>IFERROR(VLOOKUP(B961,'Pre-Summary'!$AE$6:$AJ$85,4,FALSE),"")</f>
        <v/>
      </c>
      <c r="I961" t="str">
        <f>IFERROR(VLOOKUP(B961,'Pre-Summary'!$AE$6:$AJ$85,5,FALSE),"")</f>
        <v/>
      </c>
      <c r="J961" s="45" t="str">
        <f>IFERROR(VLOOKUP(B961,'Pre-Summary'!$AE$6:$AJ$85,6, FALSE),"")</f>
        <v/>
      </c>
      <c r="K961" s="45" t="str">
        <f>IFERROR(VLOOKUP(B961,'Pre-Summary'!$DE$6:$DG$61,3,FALSE),"")</f>
        <v/>
      </c>
      <c r="L961" s="45" t="str">
        <f>IFERROR(VLOOKUP(B961,'Pre-Summary'!$CU$6:$CW$36,3,FALSE),"")</f>
        <v/>
      </c>
      <c r="M961" s="45" t="str">
        <f>IFERROR(VLOOKUP(B961,'Pre-Summary'!$BW$6:$BY$58,2,FALSE),"")</f>
        <v/>
      </c>
      <c r="N961" s="45" t="str">
        <f>IFERROR(VLOOKUP(B961,'Pre-Summary'!$CD$6:$CF$64,2,FALSE),"")</f>
        <v/>
      </c>
      <c r="O961" s="99">
        <f>IFERROR(VLOOKUP(B961,'Pre-Summary'!$BO$6:$BQ$48,3, FALSE),O960)</f>
        <v>1.2</v>
      </c>
      <c r="P961" s="99">
        <f>IFERROR(VLOOKUP(B961,'Pre-Summary'!$BS$6:$BU$35,3,FALSE),P960)</f>
        <v>0.3</v>
      </c>
      <c r="Q961" s="54">
        <f t="shared" si="42"/>
        <v>4</v>
      </c>
      <c r="R961" s="53">
        <f>IFERROR(VLOOKUP(B961,'Pre-Summary'!$BG$6:$BM$44,7,FALSE),R962)</f>
        <v>4.0839377512219534E-2</v>
      </c>
      <c r="S961" s="53">
        <f>IFERROR(VLOOKUP(B961,'Pre-Summary'!$BG$6:$BM$44,6,FALSE),S962)</f>
        <v>3.561480302426305E-2</v>
      </c>
      <c r="T961" s="45" t="str">
        <f>IFERROR(VLOOKUP(B961,'Pre-Summary'!$Y$6:$AC$83, 3,FALSE),"")</f>
        <v/>
      </c>
      <c r="U961" s="45" t="str">
        <f>IFERROR(VLOOKUP(B961,'Pre-Summary'!$Y$6:$AC$83, 4,FALSE),"")</f>
        <v/>
      </c>
      <c r="V961" t="str">
        <f>IFERROR(VLOOKUP(B961,'Pre-Summary'!$Y$6:$AC$83, 5,FALSE),"")</f>
        <v/>
      </c>
      <c r="W961" s="45" t="str">
        <f>IFERROR(VLOOKUP(B961,'Pre-Summary'!$Y$6:$AD$83,6,FALSE),"")</f>
        <v/>
      </c>
      <c r="X961" t="str">
        <f>IFERROR(VLOOKUP('Pre-Summary'!$DB$6:$DD$63,3,FALSE),"")</f>
        <v/>
      </c>
      <c r="Y961" t="str">
        <f>IFERROR(VLOOKUP(B961,'Pre-Summary'!$CR$6:$CT$36,3,FALSE),"")</f>
        <v/>
      </c>
      <c r="Z961" s="45" t="str">
        <f>IFERROR(VLOOKUP(B961,'Pre-Summary'!$BZ$6:$CB$63,2,FALSE),"")</f>
        <v/>
      </c>
      <c r="AA961" s="45" t="str">
        <f>IFERROR(VLOOKUP(B961,'Pre-Summary'!$CG$6:$CI$70,2,FALSE),"")</f>
        <v/>
      </c>
      <c r="AB961" s="99">
        <f>IFERROR(VLOOKUP(B961,'Pre-Summary'!$A$6:$P$178,9,FALSE),AB962)</f>
        <v>0.51107900307227605</v>
      </c>
      <c r="AC961" s="10">
        <f>IFERROR(VLOOKUP(Summary!B961,'Pre-Summary'!$A$6:$P$184,5, FALSE)/100,AC962)</f>
        <v>0.83335766666666655</v>
      </c>
      <c r="AD961" s="10">
        <f>IFERROR(VLOOKUP(Summary!B961,'Pre-Summary'!$A$6:$P$184,3, FALSE)/100,AD962)</f>
        <v>6.2578333333333333E-2</v>
      </c>
      <c r="AE961" s="10">
        <f>IFERROR(VLOOKUP(Summary!B961,'Pre-Summary'!$A$6:$P$184,7, FALSE)/100,AE962)</f>
        <v>0.10406399999999999</v>
      </c>
      <c r="AF961" s="99">
        <f t="shared" si="43"/>
        <v>3.1982472213924584E-2</v>
      </c>
      <c r="AG961" s="99">
        <f t="shared" si="44"/>
        <v>5.3184925375713329E-2</v>
      </c>
      <c r="AH961" s="10" t="str">
        <f>IFERROR(VLOOKUP(B961,'Pre-Summary'!$AZ$6:$BE$65,3,FALSE),"")</f>
        <v/>
      </c>
      <c r="AI961" s="10" t="str">
        <f>IFERROR(VLOOKUP(B961,'Pre-Summary'!$AZ$6:$BE$65,5,FALSE),"")</f>
        <v/>
      </c>
      <c r="AJ961" s="10" t="str">
        <f>IFERROR(VLOOKUP(B961,'Pre-Summary'!$AZ$6:$BE$65,4,FALSE),"")</f>
        <v/>
      </c>
      <c r="AK961" s="10" t="str">
        <f>IFERROR(VLOOKUP(B961,'Pre-Summary'!$AZ$6:$BE$65,6,FALSE),"")</f>
        <v/>
      </c>
      <c r="AL961" s="10" t="str">
        <f>IFERROR(VLOOKUP(B961,'Pre-Summary'!$BG$6:$BL$44,3,FALSE),"")</f>
        <v/>
      </c>
      <c r="AM961" s="10" t="str">
        <f>IFERROR(VLOOKUP(B961,'Pre-Summary'!$BG$6:$BL$44,4,FALSE),"")</f>
        <v/>
      </c>
    </row>
    <row r="962" spans="2:39" ht="15" customHeight="1" x14ac:dyDescent="0.3">
      <c r="B962">
        <v>95.9</v>
      </c>
      <c r="C962" t="str">
        <f>IFERROR(VLOOKUP(B962,'Pre-Summary'!$DI$6:$DM$23,4,FALSE),"")</f>
        <v/>
      </c>
      <c r="D962" s="10" t="str">
        <f>IFERROR(VLOOKUP(B962,'Pre-Summary'!$AT$6:$AX$14,5,FALSE),D961)</f>
        <v>DSMZ v3: dropped yeast, casitone, and bicarb out of DSMZ 120</v>
      </c>
      <c r="E962" s="10" t="str">
        <f>IFERROR(VLOOKUP(B962,'Pre-Summary'!$AT$6:$AX$15,4,FALSE),"")</f>
        <v/>
      </c>
      <c r="F962">
        <f>IFERROR(VLOOKUP(B962,'Pre-Summary'!$AL$6:$AQ$13,6,FALSE),F961)</f>
        <v>5.9405263157894746E-2</v>
      </c>
      <c r="G962" t="str">
        <f>IFERROR(VLOOKUP(B962,'Pre-Summary'!$AE$6:$AJ$85,3,FALSE),"")</f>
        <v/>
      </c>
      <c r="H962" t="str">
        <f>IFERROR(VLOOKUP(B962,'Pre-Summary'!$AE$6:$AJ$85,4,FALSE),"")</f>
        <v/>
      </c>
      <c r="I962" t="str">
        <f>IFERROR(VLOOKUP(B962,'Pre-Summary'!$AE$6:$AJ$85,5,FALSE),"")</f>
        <v/>
      </c>
      <c r="J962" s="45" t="str">
        <f>IFERROR(VLOOKUP(B962,'Pre-Summary'!$AE$6:$AJ$85,6, FALSE),"")</f>
        <v/>
      </c>
      <c r="K962" s="45" t="str">
        <f>IFERROR(VLOOKUP(B962,'Pre-Summary'!$DE$6:$DG$61,3,FALSE),"")</f>
        <v/>
      </c>
      <c r="L962" s="45" t="str">
        <f>IFERROR(VLOOKUP(B962,'Pre-Summary'!$CU$6:$CW$36,3,FALSE),"")</f>
        <v/>
      </c>
      <c r="M962" s="45" t="str">
        <f>IFERROR(VLOOKUP(B962,'Pre-Summary'!$BW$6:$BY$58,2,FALSE),"")</f>
        <v/>
      </c>
      <c r="N962" s="45" t="str">
        <f>IFERROR(VLOOKUP(B962,'Pre-Summary'!$CD$6:$CF$64,2,FALSE),"")</f>
        <v/>
      </c>
      <c r="O962" s="99">
        <f>IFERROR(VLOOKUP(B962,'Pre-Summary'!$BO$6:$BQ$48,3, FALSE),O961)</f>
        <v>1.2</v>
      </c>
      <c r="P962" s="99">
        <f>IFERROR(VLOOKUP(B962,'Pre-Summary'!$BS$6:$BU$35,3,FALSE),P961)</f>
        <v>0.3</v>
      </c>
      <c r="Q962" s="54">
        <f t="shared" si="42"/>
        <v>4</v>
      </c>
      <c r="R962" s="53">
        <f>IFERROR(VLOOKUP(B962,'Pre-Summary'!$BG$6:$BM$44,7,FALSE),R963)</f>
        <v>4.0839377512219534E-2</v>
      </c>
      <c r="S962" s="53">
        <f>IFERROR(VLOOKUP(B962,'Pre-Summary'!$BG$6:$BM$44,6,FALSE),S963)</f>
        <v>3.561480302426305E-2</v>
      </c>
      <c r="T962" s="45" t="str">
        <f>IFERROR(VLOOKUP(B962,'Pre-Summary'!$Y$6:$AC$83, 3,FALSE),"")</f>
        <v/>
      </c>
      <c r="U962" s="45" t="str">
        <f>IFERROR(VLOOKUP(B962,'Pre-Summary'!$Y$6:$AC$83, 4,FALSE),"")</f>
        <v/>
      </c>
      <c r="V962" t="str">
        <f>IFERROR(VLOOKUP(B962,'Pre-Summary'!$Y$6:$AC$83, 5,FALSE),"")</f>
        <v/>
      </c>
      <c r="W962" s="45" t="str">
        <f>IFERROR(VLOOKUP(B962,'Pre-Summary'!$Y$6:$AD$83,6,FALSE),"")</f>
        <v/>
      </c>
      <c r="X962" t="str">
        <f>IFERROR(VLOOKUP('Pre-Summary'!$DB$6:$DD$63,3,FALSE),"")</f>
        <v/>
      </c>
      <c r="Y962" t="str">
        <f>IFERROR(VLOOKUP(B962,'Pre-Summary'!$CR$6:$CT$36,3,FALSE),"")</f>
        <v/>
      </c>
      <c r="Z962" s="45" t="str">
        <f>IFERROR(VLOOKUP(B962,'Pre-Summary'!$BZ$6:$CB$63,2,FALSE),"")</f>
        <v/>
      </c>
      <c r="AA962" s="45" t="str">
        <f>IFERROR(VLOOKUP(B962,'Pre-Summary'!$CG$6:$CI$70,2,FALSE),"")</f>
        <v/>
      </c>
      <c r="AB962" s="99">
        <f>IFERROR(VLOOKUP(B962,'Pre-Summary'!$A$6:$P$178,9,FALSE),AB963)</f>
        <v>0.51107900307227605</v>
      </c>
      <c r="AC962" s="10">
        <f>IFERROR(VLOOKUP(Summary!B962,'Pre-Summary'!$A$6:$P$184,5, FALSE)/100,AC963)</f>
        <v>0.83335766666666655</v>
      </c>
      <c r="AD962" s="10">
        <f>IFERROR(VLOOKUP(Summary!B962,'Pre-Summary'!$A$6:$P$184,3, FALSE)/100,AD963)</f>
        <v>6.2578333333333333E-2</v>
      </c>
      <c r="AE962" s="10">
        <f>IFERROR(VLOOKUP(Summary!B962,'Pre-Summary'!$A$6:$P$184,7, FALSE)/100,AE963)</f>
        <v>0.10406399999999999</v>
      </c>
      <c r="AF962" s="99">
        <f t="shared" si="43"/>
        <v>3.1982472213924584E-2</v>
      </c>
      <c r="AG962" s="99">
        <f t="shared" si="44"/>
        <v>5.3184925375713329E-2</v>
      </c>
      <c r="AH962" s="10" t="str">
        <f>IFERROR(VLOOKUP(B962,'Pre-Summary'!$AZ$6:$BE$65,3,FALSE),"")</f>
        <v/>
      </c>
      <c r="AI962" s="10" t="str">
        <f>IFERROR(VLOOKUP(B962,'Pre-Summary'!$AZ$6:$BE$65,5,FALSE),"")</f>
        <v/>
      </c>
      <c r="AJ962" s="10" t="str">
        <f>IFERROR(VLOOKUP(B962,'Pre-Summary'!$AZ$6:$BE$65,4,FALSE),"")</f>
        <v/>
      </c>
      <c r="AK962" s="10" t="str">
        <f>IFERROR(VLOOKUP(B962,'Pre-Summary'!$AZ$6:$BE$65,6,FALSE),"")</f>
        <v/>
      </c>
      <c r="AL962" s="10" t="str">
        <f>IFERROR(VLOOKUP(B962,'Pre-Summary'!$BG$6:$BL$44,3,FALSE),"")</f>
        <v/>
      </c>
      <c r="AM962" s="10" t="str">
        <f>IFERROR(VLOOKUP(B962,'Pre-Summary'!$BG$6:$BL$44,4,FALSE),"")</f>
        <v/>
      </c>
    </row>
    <row r="963" spans="2:39" ht="15" customHeight="1" x14ac:dyDescent="0.3">
      <c r="B963">
        <v>96</v>
      </c>
      <c r="C963" t="str">
        <f>IFERROR(VLOOKUP(B963,'Pre-Summary'!$DI$6:$DM$23,4,FALSE),"")</f>
        <v/>
      </c>
      <c r="D963" s="10" t="str">
        <f>IFERROR(VLOOKUP(B963,'Pre-Summary'!$AT$6:$AX$14,5,FALSE),D962)</f>
        <v>DSMZ v3: dropped yeast, casitone, and bicarb out of DSMZ 120</v>
      </c>
      <c r="E963" s="10" t="str">
        <f>IFERROR(VLOOKUP(B963,'Pre-Summary'!$AT$6:$AX$15,4,FALSE),"")</f>
        <v/>
      </c>
      <c r="F963">
        <f>IFERROR(VLOOKUP(B963,'Pre-Summary'!$AL$6:$AQ$13,6,FALSE),F962)</f>
        <v>5.9405263157894746E-2</v>
      </c>
      <c r="G963" t="str">
        <f>IFERROR(VLOOKUP(B963,'Pre-Summary'!$AE$6:$AJ$85,3,FALSE),"")</f>
        <v/>
      </c>
      <c r="H963" t="str">
        <f>IFERROR(VLOOKUP(B963,'Pre-Summary'!$AE$6:$AJ$85,4,FALSE),"")</f>
        <v/>
      </c>
      <c r="I963" t="str">
        <f>IFERROR(VLOOKUP(B963,'Pre-Summary'!$AE$6:$AJ$85,5,FALSE),"")</f>
        <v/>
      </c>
      <c r="J963" s="45" t="str">
        <f>IFERROR(VLOOKUP(B963,'Pre-Summary'!$AE$6:$AJ$85,6, FALSE),"")</f>
        <v/>
      </c>
      <c r="K963" s="45" t="str">
        <f>IFERROR(VLOOKUP(B963,'Pre-Summary'!$DE$6:$DG$61,3,FALSE),"")</f>
        <v/>
      </c>
      <c r="L963" s="45" t="str">
        <f>IFERROR(VLOOKUP(B963,'Pre-Summary'!$CU$6:$CW$36,3,FALSE),"")</f>
        <v/>
      </c>
      <c r="M963" s="45" t="str">
        <f>IFERROR(VLOOKUP(B963,'Pre-Summary'!$BW$6:$BY$58,2,FALSE),"")</f>
        <v/>
      </c>
      <c r="N963" s="45" t="str">
        <f>IFERROR(VLOOKUP(B963,'Pre-Summary'!$CD$6:$CF$64,2,FALSE),"")</f>
        <v/>
      </c>
      <c r="O963" s="99">
        <f>IFERROR(VLOOKUP(B963,'Pre-Summary'!$BO$6:$BQ$48,3, FALSE),O962)</f>
        <v>1.2</v>
      </c>
      <c r="P963" s="99">
        <f>IFERROR(VLOOKUP(B963,'Pre-Summary'!$BS$6:$BU$35,3,FALSE),P962)</f>
        <v>0.3</v>
      </c>
      <c r="Q963" s="54">
        <f t="shared" ref="Q963:Q1026" si="45">O963/P963</f>
        <v>4</v>
      </c>
      <c r="R963" s="53">
        <f>IFERROR(VLOOKUP(B963,'Pre-Summary'!$BG$6:$BM$44,7,FALSE),R964)</f>
        <v>4.0839377512219534E-2</v>
      </c>
      <c r="S963" s="53">
        <f>IFERROR(VLOOKUP(B963,'Pre-Summary'!$BG$6:$BM$44,6,FALSE),S964)</f>
        <v>3.561480302426305E-2</v>
      </c>
      <c r="T963" s="45" t="str">
        <f>IFERROR(VLOOKUP(B963,'Pre-Summary'!$Y$6:$AC$83, 3,FALSE),"")</f>
        <v/>
      </c>
      <c r="U963" s="45" t="str">
        <f>IFERROR(VLOOKUP(B963,'Pre-Summary'!$Y$6:$AC$83, 4,FALSE),"")</f>
        <v/>
      </c>
      <c r="V963" t="str">
        <f>IFERROR(VLOOKUP(B963,'Pre-Summary'!$Y$6:$AC$83, 5,FALSE),"")</f>
        <v/>
      </c>
      <c r="W963" s="45" t="str">
        <f>IFERROR(VLOOKUP(B963,'Pre-Summary'!$Y$6:$AD$83,6,FALSE),"")</f>
        <v/>
      </c>
      <c r="X963" t="str">
        <f>IFERROR(VLOOKUP('Pre-Summary'!$DB$6:$DD$63,3,FALSE),"")</f>
        <v/>
      </c>
      <c r="Y963" t="str">
        <f>IFERROR(VLOOKUP(B963,'Pre-Summary'!$CR$6:$CT$36,3,FALSE),"")</f>
        <v/>
      </c>
      <c r="Z963" s="45" t="str">
        <f>IFERROR(VLOOKUP(B963,'Pre-Summary'!$BZ$6:$CB$63,2,FALSE),"")</f>
        <v/>
      </c>
      <c r="AA963" s="45" t="str">
        <f>IFERROR(VLOOKUP(B963,'Pre-Summary'!$CG$6:$CI$70,2,FALSE),"")</f>
        <v/>
      </c>
      <c r="AB963" s="99">
        <f>IFERROR(VLOOKUP(B963,'Pre-Summary'!$A$6:$P$178,9,FALSE),AB964)</f>
        <v>0.51107900307227605</v>
      </c>
      <c r="AC963" s="10">
        <f>IFERROR(VLOOKUP(Summary!B963,'Pre-Summary'!$A$6:$P$184,5, FALSE)/100,AC964)</f>
        <v>0.83335766666666655</v>
      </c>
      <c r="AD963" s="10">
        <f>IFERROR(VLOOKUP(Summary!B963,'Pre-Summary'!$A$6:$P$184,3, FALSE)/100,AD964)</f>
        <v>6.2578333333333333E-2</v>
      </c>
      <c r="AE963" s="10">
        <f>IFERROR(VLOOKUP(Summary!B963,'Pre-Summary'!$A$6:$P$184,7, FALSE)/100,AE964)</f>
        <v>0.10406399999999999</v>
      </c>
      <c r="AF963" s="99">
        <f t="shared" ref="AF963:AF1026" si="46">AD963*AB963</f>
        <v>3.1982472213924584E-2</v>
      </c>
      <c r="AG963" s="99">
        <f t="shared" ref="AG963:AG1026" si="47">AB963*AE963</f>
        <v>5.3184925375713329E-2</v>
      </c>
      <c r="AH963" s="10" t="str">
        <f>IFERROR(VLOOKUP(B963,'Pre-Summary'!$AZ$6:$BE$65,3,FALSE),"")</f>
        <v/>
      </c>
      <c r="AI963" s="10" t="str">
        <f>IFERROR(VLOOKUP(B963,'Pre-Summary'!$AZ$6:$BE$65,5,FALSE),"")</f>
        <v/>
      </c>
      <c r="AJ963" s="10" t="str">
        <f>IFERROR(VLOOKUP(B963,'Pre-Summary'!$AZ$6:$BE$65,4,FALSE),"")</f>
        <v/>
      </c>
      <c r="AK963" s="10" t="str">
        <f>IFERROR(VLOOKUP(B963,'Pre-Summary'!$AZ$6:$BE$65,6,FALSE),"")</f>
        <v/>
      </c>
      <c r="AL963" s="10" t="str">
        <f>IFERROR(VLOOKUP(B963,'Pre-Summary'!$BG$6:$BL$44,3,FALSE),"")</f>
        <v/>
      </c>
      <c r="AM963" s="10" t="str">
        <f>IFERROR(VLOOKUP(B963,'Pre-Summary'!$BG$6:$BL$44,4,FALSE),"")</f>
        <v/>
      </c>
    </row>
    <row r="964" spans="2:39" ht="15" customHeight="1" x14ac:dyDescent="0.3">
      <c r="B964">
        <v>96.1</v>
      </c>
      <c r="C964" t="str">
        <f>IFERROR(VLOOKUP(B964,'Pre-Summary'!$DI$6:$DM$23,4,FALSE),"")</f>
        <v/>
      </c>
      <c r="D964" s="10" t="str">
        <f>IFERROR(VLOOKUP(B964,'Pre-Summary'!$AT$6:$AX$14,5,FALSE),D963)</f>
        <v>DSMZ v3: dropped yeast, casitone, and bicarb out of DSMZ 120</v>
      </c>
      <c r="E964" s="10" t="str">
        <f>IFERROR(VLOOKUP(B964,'Pre-Summary'!$AT$6:$AX$15,4,FALSE),"")</f>
        <v/>
      </c>
      <c r="F964">
        <f>IFERROR(VLOOKUP(B964,'Pre-Summary'!$AL$6:$AQ$13,6,FALSE),F963)</f>
        <v>5.9405263157894746E-2</v>
      </c>
      <c r="G964" t="str">
        <f>IFERROR(VLOOKUP(B964,'Pre-Summary'!$AE$6:$AJ$85,3,FALSE),"")</f>
        <v/>
      </c>
      <c r="H964" t="str">
        <f>IFERROR(VLOOKUP(B964,'Pre-Summary'!$AE$6:$AJ$85,4,FALSE),"")</f>
        <v/>
      </c>
      <c r="I964" t="str">
        <f>IFERROR(VLOOKUP(B964,'Pre-Summary'!$AE$6:$AJ$85,5,FALSE),"")</f>
        <v/>
      </c>
      <c r="J964" s="45" t="str">
        <f>IFERROR(VLOOKUP(B964,'Pre-Summary'!$AE$6:$AJ$85,6, FALSE),"")</f>
        <v/>
      </c>
      <c r="K964" s="45" t="str">
        <f>IFERROR(VLOOKUP(B964,'Pre-Summary'!$DE$6:$DG$61,3,FALSE),"")</f>
        <v/>
      </c>
      <c r="L964" s="45" t="str">
        <f>IFERROR(VLOOKUP(B964,'Pre-Summary'!$CU$6:$CW$36,3,FALSE),"")</f>
        <v/>
      </c>
      <c r="M964" s="45" t="str">
        <f>IFERROR(VLOOKUP(B964,'Pre-Summary'!$BW$6:$BY$58,2,FALSE),"")</f>
        <v/>
      </c>
      <c r="N964" s="45" t="str">
        <f>IFERROR(VLOOKUP(B964,'Pre-Summary'!$CD$6:$CF$64,2,FALSE),"")</f>
        <v/>
      </c>
      <c r="O964" s="99">
        <f>IFERROR(VLOOKUP(B964,'Pre-Summary'!$BO$6:$BQ$48,3, FALSE),O963)</f>
        <v>1.2</v>
      </c>
      <c r="P964" s="99">
        <f>IFERROR(VLOOKUP(B964,'Pre-Summary'!$BS$6:$BU$35,3,FALSE),P963)</f>
        <v>0.3</v>
      </c>
      <c r="Q964" s="54">
        <f t="shared" si="45"/>
        <v>4</v>
      </c>
      <c r="R964" s="53">
        <f>IFERROR(VLOOKUP(B964,'Pre-Summary'!$BG$6:$BM$44,7,FALSE),R965)</f>
        <v>4.0839377512219534E-2</v>
      </c>
      <c r="S964" s="53">
        <f>IFERROR(VLOOKUP(B964,'Pre-Summary'!$BG$6:$BM$44,6,FALSE),S965)</f>
        <v>3.561480302426305E-2</v>
      </c>
      <c r="T964" s="45" t="str">
        <f>IFERROR(VLOOKUP(B964,'Pre-Summary'!$Y$6:$AC$83, 3,FALSE),"")</f>
        <v/>
      </c>
      <c r="U964" s="45" t="str">
        <f>IFERROR(VLOOKUP(B964,'Pre-Summary'!$Y$6:$AC$83, 4,FALSE),"")</f>
        <v/>
      </c>
      <c r="V964" t="str">
        <f>IFERROR(VLOOKUP(B964,'Pre-Summary'!$Y$6:$AC$83, 5,FALSE),"")</f>
        <v/>
      </c>
      <c r="W964" s="45" t="str">
        <f>IFERROR(VLOOKUP(B964,'Pre-Summary'!$Y$6:$AD$83,6,FALSE),"")</f>
        <v/>
      </c>
      <c r="X964" t="str">
        <f>IFERROR(VLOOKUP('Pre-Summary'!$DB$6:$DD$63,3,FALSE),"")</f>
        <v/>
      </c>
      <c r="Y964" t="str">
        <f>IFERROR(VLOOKUP(B964,'Pre-Summary'!$CR$6:$CT$36,3,FALSE),"")</f>
        <v/>
      </c>
      <c r="Z964" s="45" t="str">
        <f>IFERROR(VLOOKUP(B964,'Pre-Summary'!$BZ$6:$CB$63,2,FALSE),"")</f>
        <v/>
      </c>
      <c r="AA964" s="45" t="str">
        <f>IFERROR(VLOOKUP(B964,'Pre-Summary'!$CG$6:$CI$70,2,FALSE),"")</f>
        <v/>
      </c>
      <c r="AB964" s="99">
        <f>IFERROR(VLOOKUP(B964,'Pre-Summary'!$A$6:$P$178,9,FALSE),AB965)</f>
        <v>0.51107900307227605</v>
      </c>
      <c r="AC964" s="10">
        <f>IFERROR(VLOOKUP(Summary!B964,'Pre-Summary'!$A$6:$P$184,5, FALSE)/100,AC965)</f>
        <v>0.83335766666666655</v>
      </c>
      <c r="AD964" s="10">
        <f>IFERROR(VLOOKUP(Summary!B964,'Pre-Summary'!$A$6:$P$184,3, FALSE)/100,AD965)</f>
        <v>6.2578333333333333E-2</v>
      </c>
      <c r="AE964" s="10">
        <f>IFERROR(VLOOKUP(Summary!B964,'Pre-Summary'!$A$6:$P$184,7, FALSE)/100,AE965)</f>
        <v>0.10406399999999999</v>
      </c>
      <c r="AF964" s="99">
        <f t="shared" si="46"/>
        <v>3.1982472213924584E-2</v>
      </c>
      <c r="AG964" s="99">
        <f t="shared" si="47"/>
        <v>5.3184925375713329E-2</v>
      </c>
      <c r="AH964" s="10" t="str">
        <f>IFERROR(VLOOKUP(B964,'Pre-Summary'!$AZ$6:$BE$65,3,FALSE),"")</f>
        <v/>
      </c>
      <c r="AI964" s="10" t="str">
        <f>IFERROR(VLOOKUP(B964,'Pre-Summary'!$AZ$6:$BE$65,5,FALSE),"")</f>
        <v/>
      </c>
      <c r="AJ964" s="10" t="str">
        <f>IFERROR(VLOOKUP(B964,'Pre-Summary'!$AZ$6:$BE$65,4,FALSE),"")</f>
        <v/>
      </c>
      <c r="AK964" s="10" t="str">
        <f>IFERROR(VLOOKUP(B964,'Pre-Summary'!$AZ$6:$BE$65,6,FALSE),"")</f>
        <v/>
      </c>
      <c r="AL964" s="10" t="str">
        <f>IFERROR(VLOOKUP(B964,'Pre-Summary'!$BG$6:$BL$44,3,FALSE),"")</f>
        <v/>
      </c>
      <c r="AM964" s="10" t="str">
        <f>IFERROR(VLOOKUP(B964,'Pre-Summary'!$BG$6:$BL$44,4,FALSE),"")</f>
        <v/>
      </c>
    </row>
    <row r="965" spans="2:39" ht="15" customHeight="1" x14ac:dyDescent="0.3">
      <c r="B965">
        <v>96.2</v>
      </c>
      <c r="C965" t="str">
        <f>IFERROR(VLOOKUP(B965,'Pre-Summary'!$DI$6:$DM$23,4,FALSE),"")</f>
        <v/>
      </c>
      <c r="D965" s="10" t="str">
        <f>IFERROR(VLOOKUP(B965,'Pre-Summary'!$AT$6:$AX$14,5,FALSE),D964)</f>
        <v>DSMZ v3: dropped yeast, casitone, and bicarb out of DSMZ 120</v>
      </c>
      <c r="E965" s="10" t="str">
        <f>IFERROR(VLOOKUP(B965,'Pre-Summary'!$AT$6:$AX$15,4,FALSE),"")</f>
        <v/>
      </c>
      <c r="F965">
        <f>IFERROR(VLOOKUP(B965,'Pre-Summary'!$AL$6:$AQ$13,6,FALSE),F964)</f>
        <v>5.9405263157894746E-2</v>
      </c>
      <c r="G965" t="str">
        <f>IFERROR(VLOOKUP(B965,'Pre-Summary'!$AE$6:$AJ$85,3,FALSE),"")</f>
        <v/>
      </c>
      <c r="H965" t="str">
        <f>IFERROR(VLOOKUP(B965,'Pre-Summary'!$AE$6:$AJ$85,4,FALSE),"")</f>
        <v/>
      </c>
      <c r="I965" t="str">
        <f>IFERROR(VLOOKUP(B965,'Pre-Summary'!$AE$6:$AJ$85,5,FALSE),"")</f>
        <v/>
      </c>
      <c r="J965" s="45" t="str">
        <f>IFERROR(VLOOKUP(B965,'Pre-Summary'!$AE$6:$AJ$85,6, FALSE),"")</f>
        <v/>
      </c>
      <c r="K965" s="45" t="str">
        <f>IFERROR(VLOOKUP(B965,'Pre-Summary'!$DE$6:$DG$61,3,FALSE),"")</f>
        <v/>
      </c>
      <c r="L965" s="45" t="str">
        <f>IFERROR(VLOOKUP(B965,'Pre-Summary'!$CU$6:$CW$36,3,FALSE),"")</f>
        <v/>
      </c>
      <c r="M965" s="45" t="str">
        <f>IFERROR(VLOOKUP(B965,'Pre-Summary'!$BW$6:$BY$58,2,FALSE),"")</f>
        <v/>
      </c>
      <c r="N965" s="45" t="str">
        <f>IFERROR(VLOOKUP(B965,'Pre-Summary'!$CD$6:$CF$64,2,FALSE),"")</f>
        <v/>
      </c>
      <c r="O965" s="99">
        <f>IFERROR(VLOOKUP(B965,'Pre-Summary'!$BO$6:$BQ$48,3, FALSE),O964)</f>
        <v>1.2</v>
      </c>
      <c r="P965" s="99">
        <f>IFERROR(VLOOKUP(B965,'Pre-Summary'!$BS$6:$BU$35,3,FALSE),P964)</f>
        <v>0.3</v>
      </c>
      <c r="Q965" s="54">
        <f t="shared" si="45"/>
        <v>4</v>
      </c>
      <c r="R965" s="53">
        <f>IFERROR(VLOOKUP(B965,'Pre-Summary'!$BG$6:$BM$44,7,FALSE),R966)</f>
        <v>4.0839377512219534E-2</v>
      </c>
      <c r="S965" s="53">
        <f>IFERROR(VLOOKUP(B965,'Pre-Summary'!$BG$6:$BM$44,6,FALSE),S966)</f>
        <v>3.561480302426305E-2</v>
      </c>
      <c r="T965" s="45" t="str">
        <f>IFERROR(VLOOKUP(B965,'Pre-Summary'!$Y$6:$AC$83, 3,FALSE),"")</f>
        <v/>
      </c>
      <c r="U965" s="45" t="str">
        <f>IFERROR(VLOOKUP(B965,'Pre-Summary'!$Y$6:$AC$83, 4,FALSE),"")</f>
        <v/>
      </c>
      <c r="V965" t="str">
        <f>IFERROR(VLOOKUP(B965,'Pre-Summary'!$Y$6:$AC$83, 5,FALSE),"")</f>
        <v/>
      </c>
      <c r="W965" s="45" t="str">
        <f>IFERROR(VLOOKUP(B965,'Pre-Summary'!$Y$6:$AD$83,6,FALSE),"")</f>
        <v/>
      </c>
      <c r="X965" t="str">
        <f>IFERROR(VLOOKUP('Pre-Summary'!$DB$6:$DD$63,3,FALSE),"")</f>
        <v/>
      </c>
      <c r="Y965" t="str">
        <f>IFERROR(VLOOKUP(B965,'Pre-Summary'!$CR$6:$CT$36,3,FALSE),"")</f>
        <v/>
      </c>
      <c r="Z965" s="45" t="str">
        <f>IFERROR(VLOOKUP(B965,'Pre-Summary'!$BZ$6:$CB$63,2,FALSE),"")</f>
        <v/>
      </c>
      <c r="AA965" s="45" t="str">
        <f>IFERROR(VLOOKUP(B965,'Pre-Summary'!$CG$6:$CI$70,2,FALSE),"")</f>
        <v/>
      </c>
      <c r="AB965" s="99">
        <f>IFERROR(VLOOKUP(B965,'Pre-Summary'!$A$6:$P$178,9,FALSE),AB966)</f>
        <v>0.51107900307227605</v>
      </c>
      <c r="AC965" s="10">
        <f>IFERROR(VLOOKUP(Summary!B965,'Pre-Summary'!$A$6:$P$184,5, FALSE)/100,AC966)</f>
        <v>0.83335766666666655</v>
      </c>
      <c r="AD965" s="10">
        <f>IFERROR(VLOOKUP(Summary!B965,'Pre-Summary'!$A$6:$P$184,3, FALSE)/100,AD966)</f>
        <v>6.2578333333333333E-2</v>
      </c>
      <c r="AE965" s="10">
        <f>IFERROR(VLOOKUP(Summary!B965,'Pre-Summary'!$A$6:$P$184,7, FALSE)/100,AE966)</f>
        <v>0.10406399999999999</v>
      </c>
      <c r="AF965" s="99">
        <f t="shared" si="46"/>
        <v>3.1982472213924584E-2</v>
      </c>
      <c r="AG965" s="99">
        <f t="shared" si="47"/>
        <v>5.3184925375713329E-2</v>
      </c>
      <c r="AH965" s="10" t="str">
        <f>IFERROR(VLOOKUP(B965,'Pre-Summary'!$AZ$6:$BE$65,3,FALSE),"")</f>
        <v/>
      </c>
      <c r="AI965" s="10" t="str">
        <f>IFERROR(VLOOKUP(B965,'Pre-Summary'!$AZ$6:$BE$65,5,FALSE),"")</f>
        <v/>
      </c>
      <c r="AJ965" s="10" t="str">
        <f>IFERROR(VLOOKUP(B965,'Pre-Summary'!$AZ$6:$BE$65,4,FALSE),"")</f>
        <v/>
      </c>
      <c r="AK965" s="10" t="str">
        <f>IFERROR(VLOOKUP(B965,'Pre-Summary'!$AZ$6:$BE$65,6,FALSE),"")</f>
        <v/>
      </c>
      <c r="AL965" s="10" t="str">
        <f>IFERROR(VLOOKUP(B965,'Pre-Summary'!$BG$6:$BL$44,3,FALSE),"")</f>
        <v/>
      </c>
      <c r="AM965" s="10" t="str">
        <f>IFERROR(VLOOKUP(B965,'Pre-Summary'!$BG$6:$BL$44,4,FALSE),"")</f>
        <v/>
      </c>
    </row>
    <row r="966" spans="2:39" ht="15" customHeight="1" x14ac:dyDescent="0.3">
      <c r="B966">
        <v>96.3</v>
      </c>
      <c r="C966" t="str">
        <f>IFERROR(VLOOKUP(B966,'Pre-Summary'!$DI$6:$DM$23,4,FALSE),"")</f>
        <v/>
      </c>
      <c r="D966" s="10" t="str">
        <f>IFERROR(VLOOKUP(B966,'Pre-Summary'!$AT$6:$AX$14,5,FALSE),D965)</f>
        <v>DSMZ v3: dropped yeast, casitone, and bicarb out of DSMZ 120</v>
      </c>
      <c r="E966" s="10" t="str">
        <f>IFERROR(VLOOKUP(B966,'Pre-Summary'!$AT$6:$AX$15,4,FALSE),"")</f>
        <v/>
      </c>
      <c r="F966">
        <f>IFERROR(VLOOKUP(B966,'Pre-Summary'!$AL$6:$AQ$13,6,FALSE),F965)</f>
        <v>5.9405263157894746E-2</v>
      </c>
      <c r="G966" t="str">
        <f>IFERROR(VLOOKUP(B966,'Pre-Summary'!$AE$6:$AJ$85,3,FALSE),"")</f>
        <v/>
      </c>
      <c r="H966" t="str">
        <f>IFERROR(VLOOKUP(B966,'Pre-Summary'!$AE$6:$AJ$85,4,FALSE),"")</f>
        <v/>
      </c>
      <c r="I966" t="str">
        <f>IFERROR(VLOOKUP(B966,'Pre-Summary'!$AE$6:$AJ$85,5,FALSE),"")</f>
        <v/>
      </c>
      <c r="J966" s="45" t="str">
        <f>IFERROR(VLOOKUP(B966,'Pre-Summary'!$AE$6:$AJ$85,6, FALSE),"")</f>
        <v/>
      </c>
      <c r="K966" s="45" t="str">
        <f>IFERROR(VLOOKUP(B966,'Pre-Summary'!$DE$6:$DG$61,3,FALSE),"")</f>
        <v/>
      </c>
      <c r="L966" s="45" t="str">
        <f>IFERROR(VLOOKUP(B966,'Pre-Summary'!$CU$6:$CW$36,3,FALSE),"")</f>
        <v/>
      </c>
      <c r="M966" s="45" t="str">
        <f>IFERROR(VLOOKUP(B966,'Pre-Summary'!$BW$6:$BY$58,2,FALSE),"")</f>
        <v/>
      </c>
      <c r="N966" s="45" t="str">
        <f>IFERROR(VLOOKUP(B966,'Pre-Summary'!$CD$6:$CF$64,2,FALSE),"")</f>
        <v/>
      </c>
      <c r="O966" s="99">
        <f>IFERROR(VLOOKUP(B966,'Pre-Summary'!$BO$6:$BQ$48,3, FALSE),O965)</f>
        <v>1.2</v>
      </c>
      <c r="P966" s="99">
        <f>IFERROR(VLOOKUP(B966,'Pre-Summary'!$BS$6:$BU$35,3,FALSE),P965)</f>
        <v>0.3</v>
      </c>
      <c r="Q966" s="54">
        <f t="shared" si="45"/>
        <v>4</v>
      </c>
      <c r="R966" s="53">
        <f>IFERROR(VLOOKUP(B966,'Pre-Summary'!$BG$6:$BM$44,7,FALSE),R967)</f>
        <v>4.0839377512219534E-2</v>
      </c>
      <c r="S966" s="53">
        <f>IFERROR(VLOOKUP(B966,'Pre-Summary'!$BG$6:$BM$44,6,FALSE),S967)</f>
        <v>3.561480302426305E-2</v>
      </c>
      <c r="T966" s="45" t="str">
        <f>IFERROR(VLOOKUP(B966,'Pre-Summary'!$Y$6:$AC$83, 3,FALSE),"")</f>
        <v/>
      </c>
      <c r="U966" s="45" t="str">
        <f>IFERROR(VLOOKUP(B966,'Pre-Summary'!$Y$6:$AC$83, 4,FALSE),"")</f>
        <v/>
      </c>
      <c r="V966" t="str">
        <f>IFERROR(VLOOKUP(B966,'Pre-Summary'!$Y$6:$AC$83, 5,FALSE),"")</f>
        <v/>
      </c>
      <c r="W966" s="45" t="str">
        <f>IFERROR(VLOOKUP(B966,'Pre-Summary'!$Y$6:$AD$83,6,FALSE),"")</f>
        <v/>
      </c>
      <c r="X966" t="str">
        <f>IFERROR(VLOOKUP('Pre-Summary'!$DB$6:$DD$63,3,FALSE),"")</f>
        <v/>
      </c>
      <c r="Y966" t="str">
        <f>IFERROR(VLOOKUP(B966,'Pre-Summary'!$CR$6:$CT$36,3,FALSE),"")</f>
        <v/>
      </c>
      <c r="Z966" s="45" t="str">
        <f>IFERROR(VLOOKUP(B966,'Pre-Summary'!$BZ$6:$CB$63,2,FALSE),"")</f>
        <v/>
      </c>
      <c r="AA966" s="45" t="str">
        <f>IFERROR(VLOOKUP(B966,'Pre-Summary'!$CG$6:$CI$70,2,FALSE),"")</f>
        <v/>
      </c>
      <c r="AB966" s="99">
        <f>IFERROR(VLOOKUP(B966,'Pre-Summary'!$A$6:$P$178,9,FALSE),AB967)</f>
        <v>0.51107900307227605</v>
      </c>
      <c r="AC966" s="10">
        <f>IFERROR(VLOOKUP(Summary!B966,'Pre-Summary'!$A$6:$P$184,5, FALSE)/100,AC967)</f>
        <v>0.83335766666666655</v>
      </c>
      <c r="AD966" s="10">
        <f>IFERROR(VLOOKUP(Summary!B966,'Pre-Summary'!$A$6:$P$184,3, FALSE)/100,AD967)</f>
        <v>6.2578333333333333E-2</v>
      </c>
      <c r="AE966" s="10">
        <f>IFERROR(VLOOKUP(Summary!B966,'Pre-Summary'!$A$6:$P$184,7, FALSE)/100,AE967)</f>
        <v>0.10406399999999999</v>
      </c>
      <c r="AF966" s="99">
        <f t="shared" si="46"/>
        <v>3.1982472213924584E-2</v>
      </c>
      <c r="AG966" s="99">
        <f t="shared" si="47"/>
        <v>5.3184925375713329E-2</v>
      </c>
      <c r="AH966" s="10" t="str">
        <f>IFERROR(VLOOKUP(B966,'Pre-Summary'!$AZ$6:$BE$65,3,FALSE),"")</f>
        <v/>
      </c>
      <c r="AI966" s="10" t="str">
        <f>IFERROR(VLOOKUP(B966,'Pre-Summary'!$AZ$6:$BE$65,5,FALSE),"")</f>
        <v/>
      </c>
      <c r="AJ966" s="10" t="str">
        <f>IFERROR(VLOOKUP(B966,'Pre-Summary'!$AZ$6:$BE$65,4,FALSE),"")</f>
        <v/>
      </c>
      <c r="AK966" s="10" t="str">
        <f>IFERROR(VLOOKUP(B966,'Pre-Summary'!$AZ$6:$BE$65,6,FALSE),"")</f>
        <v/>
      </c>
      <c r="AL966" s="10" t="str">
        <f>IFERROR(VLOOKUP(B966,'Pre-Summary'!$BG$6:$BL$44,3,FALSE),"")</f>
        <v/>
      </c>
      <c r="AM966" s="10" t="str">
        <f>IFERROR(VLOOKUP(B966,'Pre-Summary'!$BG$6:$BL$44,4,FALSE),"")</f>
        <v/>
      </c>
    </row>
    <row r="967" spans="2:39" ht="15" customHeight="1" x14ac:dyDescent="0.3">
      <c r="B967">
        <v>96.4</v>
      </c>
      <c r="C967" t="str">
        <f>IFERROR(VLOOKUP(B967,'Pre-Summary'!$DI$6:$DM$23,4,FALSE),"")</f>
        <v/>
      </c>
      <c r="D967" s="10" t="str">
        <f>IFERROR(VLOOKUP(B967,'Pre-Summary'!$AT$6:$AX$14,5,FALSE),D966)</f>
        <v>DSMZ v3: dropped yeast, casitone, and bicarb out of DSMZ 120</v>
      </c>
      <c r="E967" s="10" t="str">
        <f>IFERROR(VLOOKUP(B967,'Pre-Summary'!$AT$6:$AX$15,4,FALSE),"")</f>
        <v/>
      </c>
      <c r="F967">
        <f>IFERROR(VLOOKUP(B967,'Pre-Summary'!$AL$6:$AQ$13,6,FALSE),F966)</f>
        <v>5.9405263157894746E-2</v>
      </c>
      <c r="G967" t="str">
        <f>IFERROR(VLOOKUP(B967,'Pre-Summary'!$AE$6:$AJ$85,3,FALSE),"")</f>
        <v/>
      </c>
      <c r="H967" t="str">
        <f>IFERROR(VLOOKUP(B967,'Pre-Summary'!$AE$6:$AJ$85,4,FALSE),"")</f>
        <v/>
      </c>
      <c r="I967" t="str">
        <f>IFERROR(VLOOKUP(B967,'Pre-Summary'!$AE$6:$AJ$85,5,FALSE),"")</f>
        <v/>
      </c>
      <c r="J967" s="45" t="str">
        <f>IFERROR(VLOOKUP(B967,'Pre-Summary'!$AE$6:$AJ$85,6, FALSE),"")</f>
        <v/>
      </c>
      <c r="K967" s="45" t="str">
        <f>IFERROR(VLOOKUP(B967,'Pre-Summary'!$DE$6:$DG$61,3,FALSE),"")</f>
        <v/>
      </c>
      <c r="L967" s="45" t="str">
        <f>IFERROR(VLOOKUP(B967,'Pre-Summary'!$CU$6:$CW$36,3,FALSE),"")</f>
        <v/>
      </c>
      <c r="M967" s="45" t="str">
        <f>IFERROR(VLOOKUP(B967,'Pre-Summary'!$BW$6:$BY$58,2,FALSE),"")</f>
        <v/>
      </c>
      <c r="N967" s="45" t="str">
        <f>IFERROR(VLOOKUP(B967,'Pre-Summary'!$CD$6:$CF$64,2,FALSE),"")</f>
        <v/>
      </c>
      <c r="O967" s="99">
        <f>IFERROR(VLOOKUP(B967,'Pre-Summary'!$BO$6:$BQ$48,3, FALSE),O966)</f>
        <v>1.2</v>
      </c>
      <c r="P967" s="99">
        <f>IFERROR(VLOOKUP(B967,'Pre-Summary'!$BS$6:$BU$35,3,FALSE),P966)</f>
        <v>0.3</v>
      </c>
      <c r="Q967" s="54">
        <f t="shared" si="45"/>
        <v>4</v>
      </c>
      <c r="R967" s="53">
        <f>IFERROR(VLOOKUP(B967,'Pre-Summary'!$BG$6:$BM$44,7,FALSE),R968)</f>
        <v>4.0839377512219534E-2</v>
      </c>
      <c r="S967" s="53">
        <f>IFERROR(VLOOKUP(B967,'Pre-Summary'!$BG$6:$BM$44,6,FALSE),S968)</f>
        <v>3.561480302426305E-2</v>
      </c>
      <c r="T967" s="45" t="str">
        <f>IFERROR(VLOOKUP(B967,'Pre-Summary'!$Y$6:$AC$83, 3,FALSE),"")</f>
        <v/>
      </c>
      <c r="U967" s="45" t="str">
        <f>IFERROR(VLOOKUP(B967,'Pre-Summary'!$Y$6:$AC$83, 4,FALSE),"")</f>
        <v/>
      </c>
      <c r="V967" t="str">
        <f>IFERROR(VLOOKUP(B967,'Pre-Summary'!$Y$6:$AC$83, 5,FALSE),"")</f>
        <v/>
      </c>
      <c r="W967" s="45" t="str">
        <f>IFERROR(VLOOKUP(B967,'Pre-Summary'!$Y$6:$AD$83,6,FALSE),"")</f>
        <v/>
      </c>
      <c r="X967" t="str">
        <f>IFERROR(VLOOKUP('Pre-Summary'!$DB$6:$DD$63,3,FALSE),"")</f>
        <v/>
      </c>
      <c r="Y967" t="str">
        <f>IFERROR(VLOOKUP(B967,'Pre-Summary'!$CR$6:$CT$36,3,FALSE),"")</f>
        <v/>
      </c>
      <c r="Z967" s="45" t="str">
        <f>IFERROR(VLOOKUP(B967,'Pre-Summary'!$BZ$6:$CB$63,2,FALSE),"")</f>
        <v/>
      </c>
      <c r="AA967" s="45" t="str">
        <f>IFERROR(VLOOKUP(B967,'Pre-Summary'!$CG$6:$CI$70,2,FALSE),"")</f>
        <v/>
      </c>
      <c r="AB967" s="99">
        <f>IFERROR(VLOOKUP(B967,'Pre-Summary'!$A$6:$P$178,9,FALSE),AB968)</f>
        <v>0.51107900307227605</v>
      </c>
      <c r="AC967" s="10">
        <f>IFERROR(VLOOKUP(Summary!B967,'Pre-Summary'!$A$6:$P$184,5, FALSE)/100,AC968)</f>
        <v>0.83335766666666655</v>
      </c>
      <c r="AD967" s="10">
        <f>IFERROR(VLOOKUP(Summary!B967,'Pre-Summary'!$A$6:$P$184,3, FALSE)/100,AD968)</f>
        <v>6.2578333333333333E-2</v>
      </c>
      <c r="AE967" s="10">
        <f>IFERROR(VLOOKUP(Summary!B967,'Pre-Summary'!$A$6:$P$184,7, FALSE)/100,AE968)</f>
        <v>0.10406399999999999</v>
      </c>
      <c r="AF967" s="99">
        <f t="shared" si="46"/>
        <v>3.1982472213924584E-2</v>
      </c>
      <c r="AG967" s="99">
        <f t="shared" si="47"/>
        <v>5.3184925375713329E-2</v>
      </c>
      <c r="AH967" s="10" t="str">
        <f>IFERROR(VLOOKUP(B967,'Pre-Summary'!$AZ$6:$BE$65,3,FALSE),"")</f>
        <v/>
      </c>
      <c r="AI967" s="10" t="str">
        <f>IFERROR(VLOOKUP(B967,'Pre-Summary'!$AZ$6:$BE$65,5,FALSE),"")</f>
        <v/>
      </c>
      <c r="AJ967" s="10" t="str">
        <f>IFERROR(VLOOKUP(B967,'Pre-Summary'!$AZ$6:$BE$65,4,FALSE),"")</f>
        <v/>
      </c>
      <c r="AK967" s="10" t="str">
        <f>IFERROR(VLOOKUP(B967,'Pre-Summary'!$AZ$6:$BE$65,6,FALSE),"")</f>
        <v/>
      </c>
      <c r="AL967" s="10" t="str">
        <f>IFERROR(VLOOKUP(B967,'Pre-Summary'!$BG$6:$BL$44,3,FALSE),"")</f>
        <v/>
      </c>
      <c r="AM967" s="10" t="str">
        <f>IFERROR(VLOOKUP(B967,'Pre-Summary'!$BG$6:$BL$44,4,FALSE),"")</f>
        <v/>
      </c>
    </row>
    <row r="968" spans="2:39" ht="15" customHeight="1" x14ac:dyDescent="0.3">
      <c r="B968">
        <v>96.5</v>
      </c>
      <c r="C968" t="str">
        <f>IFERROR(VLOOKUP(B968,'Pre-Summary'!$DI$6:$DM$23,4,FALSE),"")</f>
        <v/>
      </c>
      <c r="D968" s="10" t="str">
        <f>IFERROR(VLOOKUP(B968,'Pre-Summary'!$AT$6:$AX$14,5,FALSE),D967)</f>
        <v>DSMZ v3: dropped yeast, casitone, and bicarb out of DSMZ 120</v>
      </c>
      <c r="E968" s="10" t="str">
        <f>IFERROR(VLOOKUP(B968,'Pre-Summary'!$AT$6:$AX$15,4,FALSE),"")</f>
        <v/>
      </c>
      <c r="F968">
        <f>IFERROR(VLOOKUP(B968,'Pre-Summary'!$AL$6:$AQ$13,6,FALSE),F967)</f>
        <v>5.9405263157894746E-2</v>
      </c>
      <c r="G968" t="str">
        <f>IFERROR(VLOOKUP(B968,'Pre-Summary'!$AE$6:$AJ$85,3,FALSE),"")</f>
        <v/>
      </c>
      <c r="H968" t="str">
        <f>IFERROR(VLOOKUP(B968,'Pre-Summary'!$AE$6:$AJ$85,4,FALSE),"")</f>
        <v/>
      </c>
      <c r="I968" t="str">
        <f>IFERROR(VLOOKUP(B968,'Pre-Summary'!$AE$6:$AJ$85,5,FALSE),"")</f>
        <v/>
      </c>
      <c r="J968" s="45" t="str">
        <f>IFERROR(VLOOKUP(B968,'Pre-Summary'!$AE$6:$AJ$85,6, FALSE),"")</f>
        <v/>
      </c>
      <c r="K968" s="45" t="str">
        <f>IFERROR(VLOOKUP(B968,'Pre-Summary'!$DE$6:$DG$61,3,FALSE),"")</f>
        <v/>
      </c>
      <c r="L968" s="45" t="str">
        <f>IFERROR(VLOOKUP(B968,'Pre-Summary'!$CU$6:$CW$36,3,FALSE),"")</f>
        <v/>
      </c>
      <c r="M968" s="45" t="str">
        <f>IFERROR(VLOOKUP(B968,'Pre-Summary'!$BW$6:$BY$58,2,FALSE),"")</f>
        <v/>
      </c>
      <c r="N968" s="45">
        <f>IFERROR(VLOOKUP(B968,'Pre-Summary'!$CD$6:$CF$64,2,FALSE),"")</f>
        <v>3684.8460539768225</v>
      </c>
      <c r="O968" s="99">
        <f>IFERROR(VLOOKUP(B968,'Pre-Summary'!$BO$6:$BQ$48,3, FALSE),O967)</f>
        <v>1.2</v>
      </c>
      <c r="P968" s="99">
        <f>IFERROR(VLOOKUP(B968,'Pre-Summary'!$BS$6:$BU$35,3,FALSE),P967)</f>
        <v>0.3</v>
      </c>
      <c r="Q968" s="54">
        <f t="shared" si="45"/>
        <v>4</v>
      </c>
      <c r="R968" s="53">
        <f>IFERROR(VLOOKUP(B968,'Pre-Summary'!$BG$6:$BM$44,7,FALSE),R969)</f>
        <v>4.0839377512219534E-2</v>
      </c>
      <c r="S968" s="53">
        <f>IFERROR(VLOOKUP(B968,'Pre-Summary'!$BG$6:$BM$44,6,FALSE),S969)</f>
        <v>3.561480302426305E-2</v>
      </c>
      <c r="T968" s="45" t="str">
        <f>IFERROR(VLOOKUP(B968,'Pre-Summary'!$Y$6:$AC$83, 3,FALSE),"")</f>
        <v/>
      </c>
      <c r="U968" s="45" t="str">
        <f>IFERROR(VLOOKUP(B968,'Pre-Summary'!$Y$6:$AC$83, 4,FALSE),"")</f>
        <v/>
      </c>
      <c r="V968" t="str">
        <f>IFERROR(VLOOKUP(B968,'Pre-Summary'!$Y$6:$AC$83, 5,FALSE),"")</f>
        <v/>
      </c>
      <c r="W968" s="45" t="str">
        <f>IFERROR(VLOOKUP(B968,'Pre-Summary'!$Y$6:$AD$83,6,FALSE),"")</f>
        <v/>
      </c>
      <c r="X968" t="str">
        <f>IFERROR(VLOOKUP('Pre-Summary'!$DB$6:$DD$63,3,FALSE),"")</f>
        <v/>
      </c>
      <c r="Y968" t="str">
        <f>IFERROR(VLOOKUP(B968,'Pre-Summary'!$CR$6:$CT$36,3,FALSE),"")</f>
        <v/>
      </c>
      <c r="Z968" s="45" t="str">
        <f>IFERROR(VLOOKUP(B968,'Pre-Summary'!$BZ$6:$CB$63,2,FALSE),"")</f>
        <v/>
      </c>
      <c r="AA968" s="45" t="str">
        <f>IFERROR(VLOOKUP(B968,'Pre-Summary'!$CG$6:$CI$70,2,FALSE),"")</f>
        <v/>
      </c>
      <c r="AB968" s="99">
        <f>IFERROR(VLOOKUP(B968,'Pre-Summary'!$A$6:$P$178,9,FALSE),AB969)</f>
        <v>0.51107900307227605</v>
      </c>
      <c r="AC968" s="10">
        <f>IFERROR(VLOOKUP(Summary!B968,'Pre-Summary'!$A$6:$P$184,5, FALSE)/100,AC969)</f>
        <v>0.83335766666666655</v>
      </c>
      <c r="AD968" s="10">
        <f>IFERROR(VLOOKUP(Summary!B968,'Pre-Summary'!$A$6:$P$184,3, FALSE)/100,AD969)</f>
        <v>6.2578333333333333E-2</v>
      </c>
      <c r="AE968" s="10">
        <f>IFERROR(VLOOKUP(Summary!B968,'Pre-Summary'!$A$6:$P$184,7, FALSE)/100,AE969)</f>
        <v>0.10406399999999999</v>
      </c>
      <c r="AF968" s="99">
        <f t="shared" si="46"/>
        <v>3.1982472213924584E-2</v>
      </c>
      <c r="AG968" s="99">
        <f t="shared" si="47"/>
        <v>5.3184925375713329E-2</v>
      </c>
      <c r="AH968" s="10" t="str">
        <f>IFERROR(VLOOKUP(B968,'Pre-Summary'!$AZ$6:$BE$65,3,FALSE),"")</f>
        <v/>
      </c>
      <c r="AI968" s="10" t="str">
        <f>IFERROR(VLOOKUP(B968,'Pre-Summary'!$AZ$6:$BE$65,5,FALSE),"")</f>
        <v/>
      </c>
      <c r="AJ968" s="10" t="str">
        <f>IFERROR(VLOOKUP(B968,'Pre-Summary'!$AZ$6:$BE$65,4,FALSE),"")</f>
        <v/>
      </c>
      <c r="AK968" s="10" t="str">
        <f>IFERROR(VLOOKUP(B968,'Pre-Summary'!$AZ$6:$BE$65,6,FALSE),"")</f>
        <v/>
      </c>
      <c r="AL968" s="10" t="str">
        <f>IFERROR(VLOOKUP(B968,'Pre-Summary'!$BG$6:$BL$44,3,FALSE),"")</f>
        <v/>
      </c>
      <c r="AM968" s="10" t="str">
        <f>IFERROR(VLOOKUP(B968,'Pre-Summary'!$BG$6:$BL$44,4,FALSE),"")</f>
        <v/>
      </c>
    </row>
    <row r="969" spans="2:39" ht="15" customHeight="1" x14ac:dyDescent="0.3">
      <c r="B969">
        <v>96.6</v>
      </c>
      <c r="C969" t="str">
        <f>IFERROR(VLOOKUP(B969,'Pre-Summary'!$DI$6:$DM$23,4,FALSE),"")</f>
        <v/>
      </c>
      <c r="D969" s="10" t="str">
        <f>IFERROR(VLOOKUP(B969,'Pre-Summary'!$AT$6:$AX$14,5,FALSE),D968)</f>
        <v>DSMZ v3: dropped yeast, casitone, and bicarb out of DSMZ 120</v>
      </c>
      <c r="E969" s="10" t="str">
        <f>IFERROR(VLOOKUP(B969,'Pre-Summary'!$AT$6:$AX$15,4,FALSE),"")</f>
        <v/>
      </c>
      <c r="F969">
        <f>IFERROR(VLOOKUP(B969,'Pre-Summary'!$AL$6:$AQ$13,6,FALSE),F968)</f>
        <v>5.9405263157894746E-2</v>
      </c>
      <c r="G969" t="str">
        <f>IFERROR(VLOOKUP(B969,'Pre-Summary'!$AE$6:$AJ$85,3,FALSE),"")</f>
        <v/>
      </c>
      <c r="H969" t="str">
        <f>IFERROR(VLOOKUP(B969,'Pre-Summary'!$AE$6:$AJ$85,4,FALSE),"")</f>
        <v/>
      </c>
      <c r="I969" t="str">
        <f>IFERROR(VLOOKUP(B969,'Pre-Summary'!$AE$6:$AJ$85,5,FALSE),"")</f>
        <v/>
      </c>
      <c r="J969" s="45" t="str">
        <f>IFERROR(VLOOKUP(B969,'Pre-Summary'!$AE$6:$AJ$85,6, FALSE),"")</f>
        <v/>
      </c>
      <c r="K969" s="45" t="str">
        <f>IFERROR(VLOOKUP(B969,'Pre-Summary'!$DE$6:$DG$61,3,FALSE),"")</f>
        <v/>
      </c>
      <c r="L969" s="45" t="str">
        <f>IFERROR(VLOOKUP(B969,'Pre-Summary'!$CU$6:$CW$36,3,FALSE),"")</f>
        <v/>
      </c>
      <c r="M969" s="45" t="str">
        <f>IFERROR(VLOOKUP(B969,'Pre-Summary'!$BW$6:$BY$58,2,FALSE),"")</f>
        <v/>
      </c>
      <c r="N969" s="45" t="str">
        <f>IFERROR(VLOOKUP(B969,'Pre-Summary'!$CD$6:$CF$64,2,FALSE),"")</f>
        <v/>
      </c>
      <c r="O969" s="99">
        <f>IFERROR(VLOOKUP(B969,'Pre-Summary'!$BO$6:$BQ$48,3, FALSE),O968)</f>
        <v>1.2</v>
      </c>
      <c r="P969" s="99">
        <f>IFERROR(VLOOKUP(B969,'Pre-Summary'!$BS$6:$BU$35,3,FALSE),P968)</f>
        <v>0.3</v>
      </c>
      <c r="Q969" s="54">
        <f t="shared" si="45"/>
        <v>4</v>
      </c>
      <c r="R969" s="53">
        <f>IFERROR(VLOOKUP(B969,'Pre-Summary'!$BG$6:$BM$44,7,FALSE),R970)</f>
        <v>4.0839377512219534E-2</v>
      </c>
      <c r="S969" s="53">
        <f>IFERROR(VLOOKUP(B969,'Pre-Summary'!$BG$6:$BM$44,6,FALSE),S970)</f>
        <v>3.561480302426305E-2</v>
      </c>
      <c r="T969" s="45" t="str">
        <f>IFERROR(VLOOKUP(B969,'Pre-Summary'!$Y$6:$AC$83, 3,FALSE),"")</f>
        <v/>
      </c>
      <c r="U969" s="45" t="str">
        <f>IFERROR(VLOOKUP(B969,'Pre-Summary'!$Y$6:$AC$83, 4,FALSE),"")</f>
        <v/>
      </c>
      <c r="V969" t="str">
        <f>IFERROR(VLOOKUP(B969,'Pre-Summary'!$Y$6:$AC$83, 5,FALSE),"")</f>
        <v/>
      </c>
      <c r="W969" s="45" t="str">
        <f>IFERROR(VLOOKUP(B969,'Pre-Summary'!$Y$6:$AD$83,6,FALSE),"")</f>
        <v/>
      </c>
      <c r="X969" t="str">
        <f>IFERROR(VLOOKUP('Pre-Summary'!$DB$6:$DD$63,3,FALSE),"")</f>
        <v/>
      </c>
      <c r="Y969" t="str">
        <f>IFERROR(VLOOKUP(B969,'Pre-Summary'!$CR$6:$CT$36,3,FALSE),"")</f>
        <v/>
      </c>
      <c r="Z969" s="45" t="str">
        <f>IFERROR(VLOOKUP(B969,'Pre-Summary'!$BZ$6:$CB$63,2,FALSE),"")</f>
        <v/>
      </c>
      <c r="AA969" s="45" t="str">
        <f>IFERROR(VLOOKUP(B969,'Pre-Summary'!$CG$6:$CI$70,2,FALSE),"")</f>
        <v/>
      </c>
      <c r="AB969" s="99">
        <f>IFERROR(VLOOKUP(B969,'Pre-Summary'!$A$6:$P$178,9,FALSE),AB970)</f>
        <v>0.51107900307227605</v>
      </c>
      <c r="AC969" s="10">
        <f>IFERROR(VLOOKUP(Summary!B969,'Pre-Summary'!$A$6:$P$184,5, FALSE)/100,AC970)</f>
        <v>0.83335766666666655</v>
      </c>
      <c r="AD969" s="10">
        <f>IFERROR(VLOOKUP(Summary!B969,'Pre-Summary'!$A$6:$P$184,3, FALSE)/100,AD970)</f>
        <v>6.2578333333333333E-2</v>
      </c>
      <c r="AE969" s="10">
        <f>IFERROR(VLOOKUP(Summary!B969,'Pre-Summary'!$A$6:$P$184,7, FALSE)/100,AE970)</f>
        <v>0.10406399999999999</v>
      </c>
      <c r="AF969" s="99">
        <f t="shared" si="46"/>
        <v>3.1982472213924584E-2</v>
      </c>
      <c r="AG969" s="99">
        <f t="shared" si="47"/>
        <v>5.3184925375713329E-2</v>
      </c>
      <c r="AH969" s="10" t="str">
        <f>IFERROR(VLOOKUP(B969,'Pre-Summary'!$AZ$6:$BE$65,3,FALSE),"")</f>
        <v/>
      </c>
      <c r="AI969" s="10" t="str">
        <f>IFERROR(VLOOKUP(B969,'Pre-Summary'!$AZ$6:$BE$65,5,FALSE),"")</f>
        <v/>
      </c>
      <c r="AJ969" s="10" t="str">
        <f>IFERROR(VLOOKUP(B969,'Pre-Summary'!$AZ$6:$BE$65,4,FALSE),"")</f>
        <v/>
      </c>
      <c r="AK969" s="10" t="str">
        <f>IFERROR(VLOOKUP(B969,'Pre-Summary'!$AZ$6:$BE$65,6,FALSE),"")</f>
        <v/>
      </c>
      <c r="AL969" s="10" t="str">
        <f>IFERROR(VLOOKUP(B969,'Pre-Summary'!$BG$6:$BL$44,3,FALSE),"")</f>
        <v/>
      </c>
      <c r="AM969" s="10" t="str">
        <f>IFERROR(VLOOKUP(B969,'Pre-Summary'!$BG$6:$BL$44,4,FALSE),"")</f>
        <v/>
      </c>
    </row>
    <row r="970" spans="2:39" ht="15" customHeight="1" x14ac:dyDescent="0.3">
      <c r="B970">
        <v>96.7</v>
      </c>
      <c r="C970" t="str">
        <f>IFERROR(VLOOKUP(B970,'Pre-Summary'!$DI$6:$DM$23,4,FALSE),"")</f>
        <v/>
      </c>
      <c r="D970" s="10" t="str">
        <f>IFERROR(VLOOKUP(B970,'Pre-Summary'!$AT$6:$AX$14,5,FALSE),D969)</f>
        <v>DSMZ v3: dropped yeast, casitone, and bicarb out of DSMZ 120</v>
      </c>
      <c r="E970" s="10" t="str">
        <f>IFERROR(VLOOKUP(B970,'Pre-Summary'!$AT$6:$AX$15,4,FALSE),"")</f>
        <v/>
      </c>
      <c r="F970">
        <f>IFERROR(VLOOKUP(B970,'Pre-Summary'!$AL$6:$AQ$13,6,FALSE),F969)</f>
        <v>5.9405263157894746E-2</v>
      </c>
      <c r="G970" t="str">
        <f>IFERROR(VLOOKUP(B970,'Pre-Summary'!$AE$6:$AJ$85,3,FALSE),"")</f>
        <v/>
      </c>
      <c r="H970" t="str">
        <f>IFERROR(VLOOKUP(B970,'Pre-Summary'!$AE$6:$AJ$85,4,FALSE),"")</f>
        <v/>
      </c>
      <c r="I970" t="str">
        <f>IFERROR(VLOOKUP(B970,'Pre-Summary'!$AE$6:$AJ$85,5,FALSE),"")</f>
        <v/>
      </c>
      <c r="J970" s="45" t="str">
        <f>IFERROR(VLOOKUP(B970,'Pre-Summary'!$AE$6:$AJ$85,6, FALSE),"")</f>
        <v/>
      </c>
      <c r="K970" s="45" t="str">
        <f>IFERROR(VLOOKUP(B970,'Pre-Summary'!$DE$6:$DG$61,3,FALSE),"")</f>
        <v/>
      </c>
      <c r="L970" s="45" t="str">
        <f>IFERROR(VLOOKUP(B970,'Pre-Summary'!$CU$6:$CW$36,3,FALSE),"")</f>
        <v/>
      </c>
      <c r="M970" s="45" t="str">
        <f>IFERROR(VLOOKUP(B970,'Pre-Summary'!$BW$6:$BY$58,2,FALSE),"")</f>
        <v/>
      </c>
      <c r="N970" s="45" t="str">
        <f>IFERROR(VLOOKUP(B970,'Pre-Summary'!$CD$6:$CF$64,2,FALSE),"")</f>
        <v/>
      </c>
      <c r="O970" s="99">
        <f>IFERROR(VLOOKUP(B970,'Pre-Summary'!$BO$6:$BQ$48,3, FALSE),O969)</f>
        <v>1.2</v>
      </c>
      <c r="P970" s="99">
        <f>IFERROR(VLOOKUP(B970,'Pre-Summary'!$BS$6:$BU$35,3,FALSE),P969)</f>
        <v>0.3</v>
      </c>
      <c r="Q970" s="54">
        <f t="shared" si="45"/>
        <v>4</v>
      </c>
      <c r="R970" s="53">
        <f>IFERROR(VLOOKUP(B970,'Pre-Summary'!$BG$6:$BM$44,7,FALSE),R971)</f>
        <v>4.0839377512219534E-2</v>
      </c>
      <c r="S970" s="53">
        <f>IFERROR(VLOOKUP(B970,'Pre-Summary'!$BG$6:$BM$44,6,FALSE),S971)</f>
        <v>3.561480302426305E-2</v>
      </c>
      <c r="T970" s="45" t="str">
        <f>IFERROR(VLOOKUP(B970,'Pre-Summary'!$Y$6:$AC$83, 3,FALSE),"")</f>
        <v/>
      </c>
      <c r="U970" s="45" t="str">
        <f>IFERROR(VLOOKUP(B970,'Pre-Summary'!$Y$6:$AC$83, 4,FALSE),"")</f>
        <v/>
      </c>
      <c r="V970" t="str">
        <f>IFERROR(VLOOKUP(B970,'Pre-Summary'!$Y$6:$AC$83, 5,FALSE),"")</f>
        <v/>
      </c>
      <c r="W970" s="45" t="str">
        <f>IFERROR(VLOOKUP(B970,'Pre-Summary'!$Y$6:$AD$83,6,FALSE),"")</f>
        <v/>
      </c>
      <c r="X970" t="str">
        <f>IFERROR(VLOOKUP('Pre-Summary'!$DB$6:$DD$63,3,FALSE),"")</f>
        <v/>
      </c>
      <c r="Y970" t="str">
        <f>IFERROR(VLOOKUP(B970,'Pre-Summary'!$CR$6:$CT$36,3,FALSE),"")</f>
        <v/>
      </c>
      <c r="Z970" s="45" t="str">
        <f>IFERROR(VLOOKUP(B970,'Pre-Summary'!$BZ$6:$CB$63,2,FALSE),"")</f>
        <v/>
      </c>
      <c r="AA970" s="45" t="str">
        <f>IFERROR(VLOOKUP(B970,'Pre-Summary'!$CG$6:$CI$70,2,FALSE),"")</f>
        <v/>
      </c>
      <c r="AB970" s="99">
        <f>IFERROR(VLOOKUP(B970,'Pre-Summary'!$A$6:$P$178,9,FALSE),AB971)</f>
        <v>0.51107900307227605</v>
      </c>
      <c r="AC970" s="10">
        <f>IFERROR(VLOOKUP(Summary!B970,'Pre-Summary'!$A$6:$P$184,5, FALSE)/100,AC971)</f>
        <v>0.83335766666666655</v>
      </c>
      <c r="AD970" s="10">
        <f>IFERROR(VLOOKUP(Summary!B970,'Pre-Summary'!$A$6:$P$184,3, FALSE)/100,AD971)</f>
        <v>6.2578333333333333E-2</v>
      </c>
      <c r="AE970" s="10">
        <f>IFERROR(VLOOKUP(Summary!B970,'Pre-Summary'!$A$6:$P$184,7, FALSE)/100,AE971)</f>
        <v>0.10406399999999999</v>
      </c>
      <c r="AF970" s="99">
        <f t="shared" si="46"/>
        <v>3.1982472213924584E-2</v>
      </c>
      <c r="AG970" s="99">
        <f t="shared" si="47"/>
        <v>5.3184925375713329E-2</v>
      </c>
      <c r="AH970" s="10" t="str">
        <f>IFERROR(VLOOKUP(B970,'Pre-Summary'!$AZ$6:$BE$65,3,FALSE),"")</f>
        <v/>
      </c>
      <c r="AI970" s="10" t="str">
        <f>IFERROR(VLOOKUP(B970,'Pre-Summary'!$AZ$6:$BE$65,5,FALSE),"")</f>
        <v/>
      </c>
      <c r="AJ970" s="10" t="str">
        <f>IFERROR(VLOOKUP(B970,'Pre-Summary'!$AZ$6:$BE$65,4,FALSE),"")</f>
        <v/>
      </c>
      <c r="AK970" s="10" t="str">
        <f>IFERROR(VLOOKUP(B970,'Pre-Summary'!$AZ$6:$BE$65,6,FALSE),"")</f>
        <v/>
      </c>
      <c r="AL970" s="10" t="str">
        <f>IFERROR(VLOOKUP(B970,'Pre-Summary'!$BG$6:$BL$44,3,FALSE),"")</f>
        <v/>
      </c>
      <c r="AM970" s="10" t="str">
        <f>IFERROR(VLOOKUP(B970,'Pre-Summary'!$BG$6:$BL$44,4,FALSE),"")</f>
        <v/>
      </c>
    </row>
    <row r="971" spans="2:39" ht="15" customHeight="1" x14ac:dyDescent="0.3">
      <c r="B971">
        <v>96.8</v>
      </c>
      <c r="C971" t="str">
        <f>IFERROR(VLOOKUP(B971,'Pre-Summary'!$DI$6:$DM$23,4,FALSE),"")</f>
        <v/>
      </c>
      <c r="D971" s="10" t="str">
        <f>IFERROR(VLOOKUP(B971,'Pre-Summary'!$AT$6:$AX$14,5,FALSE),D970)</f>
        <v>DSMZ v3: dropped yeast, casitone, and bicarb out of DSMZ 120</v>
      </c>
      <c r="E971" s="10" t="str">
        <f>IFERROR(VLOOKUP(B971,'Pre-Summary'!$AT$6:$AX$15,4,FALSE),"")</f>
        <v/>
      </c>
      <c r="F971">
        <f>IFERROR(VLOOKUP(B971,'Pre-Summary'!$AL$6:$AQ$13,6,FALSE),F970)</f>
        <v>5.9405263157894746E-2</v>
      </c>
      <c r="G971" t="str">
        <f>IFERROR(VLOOKUP(B971,'Pre-Summary'!$AE$6:$AJ$85,3,FALSE),"")</f>
        <v/>
      </c>
      <c r="H971" t="str">
        <f>IFERROR(VLOOKUP(B971,'Pre-Summary'!$AE$6:$AJ$85,4,FALSE),"")</f>
        <v/>
      </c>
      <c r="I971" t="str">
        <f>IFERROR(VLOOKUP(B971,'Pre-Summary'!$AE$6:$AJ$85,5,FALSE),"")</f>
        <v/>
      </c>
      <c r="J971" s="45" t="str">
        <f>IFERROR(VLOOKUP(B971,'Pre-Summary'!$AE$6:$AJ$85,6, FALSE),"")</f>
        <v/>
      </c>
      <c r="K971" s="45" t="str">
        <f>IFERROR(VLOOKUP(B971,'Pre-Summary'!$DE$6:$DG$61,3,FALSE),"")</f>
        <v/>
      </c>
      <c r="L971" s="45" t="str">
        <f>IFERROR(VLOOKUP(B971,'Pre-Summary'!$CU$6:$CW$36,3,FALSE),"")</f>
        <v/>
      </c>
      <c r="M971" s="45" t="str">
        <f>IFERROR(VLOOKUP(B971,'Pre-Summary'!$BW$6:$BY$58,2,FALSE),"")</f>
        <v/>
      </c>
      <c r="N971" s="45" t="str">
        <f>IFERROR(VLOOKUP(B971,'Pre-Summary'!$CD$6:$CF$64,2,FALSE),"")</f>
        <v/>
      </c>
      <c r="O971" s="99">
        <f>IFERROR(VLOOKUP(B971,'Pre-Summary'!$BO$6:$BQ$48,3, FALSE),O970)</f>
        <v>1.2</v>
      </c>
      <c r="P971" s="99">
        <f>IFERROR(VLOOKUP(B971,'Pre-Summary'!$BS$6:$BU$35,3,FALSE),P970)</f>
        <v>0.3</v>
      </c>
      <c r="Q971" s="54">
        <f t="shared" si="45"/>
        <v>4</v>
      </c>
      <c r="R971" s="53">
        <f>IFERROR(VLOOKUP(B971,'Pre-Summary'!$BG$6:$BM$44,7,FALSE),R972)</f>
        <v>4.0839377512219534E-2</v>
      </c>
      <c r="S971" s="53">
        <f>IFERROR(VLOOKUP(B971,'Pre-Summary'!$BG$6:$BM$44,6,FALSE),S972)</f>
        <v>3.561480302426305E-2</v>
      </c>
      <c r="T971" s="45" t="str">
        <f>IFERROR(VLOOKUP(B971,'Pre-Summary'!$Y$6:$AC$83, 3,FALSE),"")</f>
        <v/>
      </c>
      <c r="U971" s="45" t="str">
        <f>IFERROR(VLOOKUP(B971,'Pre-Summary'!$Y$6:$AC$83, 4,FALSE),"")</f>
        <v/>
      </c>
      <c r="V971" t="str">
        <f>IFERROR(VLOOKUP(B971,'Pre-Summary'!$Y$6:$AC$83, 5,FALSE),"")</f>
        <v/>
      </c>
      <c r="W971" s="45" t="str">
        <f>IFERROR(VLOOKUP(B971,'Pre-Summary'!$Y$6:$AD$83,6,FALSE),"")</f>
        <v/>
      </c>
      <c r="X971" t="str">
        <f>IFERROR(VLOOKUP('Pre-Summary'!$DB$6:$DD$63,3,FALSE),"")</f>
        <v/>
      </c>
      <c r="Y971" t="str">
        <f>IFERROR(VLOOKUP(B971,'Pre-Summary'!$CR$6:$CT$36,3,FALSE),"")</f>
        <v/>
      </c>
      <c r="Z971" s="45" t="str">
        <f>IFERROR(VLOOKUP(B971,'Pre-Summary'!$BZ$6:$CB$63,2,FALSE),"")</f>
        <v/>
      </c>
      <c r="AA971" s="45" t="str">
        <f>IFERROR(VLOOKUP(B971,'Pre-Summary'!$CG$6:$CI$70,2,FALSE),"")</f>
        <v/>
      </c>
      <c r="AB971" s="99">
        <f>IFERROR(VLOOKUP(B971,'Pre-Summary'!$A$6:$P$178,9,FALSE),AB972)</f>
        <v>0.51107900307227605</v>
      </c>
      <c r="AC971" s="10">
        <f>IFERROR(VLOOKUP(Summary!B971,'Pre-Summary'!$A$6:$P$184,5, FALSE)/100,AC972)</f>
        <v>0.83335766666666655</v>
      </c>
      <c r="AD971" s="10">
        <f>IFERROR(VLOOKUP(Summary!B971,'Pre-Summary'!$A$6:$P$184,3, FALSE)/100,AD972)</f>
        <v>6.2578333333333333E-2</v>
      </c>
      <c r="AE971" s="10">
        <f>IFERROR(VLOOKUP(Summary!B971,'Pre-Summary'!$A$6:$P$184,7, FALSE)/100,AE972)</f>
        <v>0.10406399999999999</v>
      </c>
      <c r="AF971" s="99">
        <f t="shared" si="46"/>
        <v>3.1982472213924584E-2</v>
      </c>
      <c r="AG971" s="99">
        <f t="shared" si="47"/>
        <v>5.3184925375713329E-2</v>
      </c>
      <c r="AH971" s="10" t="str">
        <f>IFERROR(VLOOKUP(B971,'Pre-Summary'!$AZ$6:$BE$65,3,FALSE),"")</f>
        <v/>
      </c>
      <c r="AI971" s="10" t="str">
        <f>IFERROR(VLOOKUP(B971,'Pre-Summary'!$AZ$6:$BE$65,5,FALSE),"")</f>
        <v/>
      </c>
      <c r="AJ971" s="10" t="str">
        <f>IFERROR(VLOOKUP(B971,'Pre-Summary'!$AZ$6:$BE$65,4,FALSE),"")</f>
        <v/>
      </c>
      <c r="AK971" s="10" t="str">
        <f>IFERROR(VLOOKUP(B971,'Pre-Summary'!$AZ$6:$BE$65,6,FALSE),"")</f>
        <v/>
      </c>
      <c r="AL971" s="10" t="str">
        <f>IFERROR(VLOOKUP(B971,'Pre-Summary'!$BG$6:$BL$44,3,FALSE),"")</f>
        <v/>
      </c>
      <c r="AM971" s="10" t="str">
        <f>IFERROR(VLOOKUP(B971,'Pre-Summary'!$BG$6:$BL$44,4,FALSE),"")</f>
        <v/>
      </c>
    </row>
    <row r="972" spans="2:39" ht="15" customHeight="1" x14ac:dyDescent="0.3">
      <c r="B972">
        <v>96.9</v>
      </c>
      <c r="C972" t="str">
        <f>IFERROR(VLOOKUP(B972,'Pre-Summary'!$DI$6:$DM$23,4,FALSE),"")</f>
        <v/>
      </c>
      <c r="D972" s="10" t="str">
        <f>IFERROR(VLOOKUP(B972,'Pre-Summary'!$AT$6:$AX$14,5,FALSE),D971)</f>
        <v>DSMZ v3: dropped yeast, casitone, and bicarb out of DSMZ 120</v>
      </c>
      <c r="E972" s="10" t="str">
        <f>IFERROR(VLOOKUP(B972,'Pre-Summary'!$AT$6:$AX$15,4,FALSE),"")</f>
        <v/>
      </c>
      <c r="F972">
        <f>IFERROR(VLOOKUP(B972,'Pre-Summary'!$AL$6:$AQ$13,6,FALSE),F971)</f>
        <v>5.9405263157894746E-2</v>
      </c>
      <c r="G972">
        <f>IFERROR(VLOOKUP(B972,'Pre-Summary'!$AE$6:$AJ$85,3,FALSE),"")</f>
        <v>21.815000000000001</v>
      </c>
      <c r="H972">
        <f>IFERROR(VLOOKUP(B972,'Pre-Summary'!$AE$6:$AJ$85,4,FALSE),"")</f>
        <v>5.5600000000000005</v>
      </c>
      <c r="I972">
        <f>IFERROR(VLOOKUP(B972,'Pre-Summary'!$AE$6:$AJ$85,5,FALSE),"")</f>
        <v>0</v>
      </c>
      <c r="J972" s="45">
        <f>IFERROR(VLOOKUP(B972,'Pre-Summary'!$AE$6:$AJ$85,6, FALSE),"")</f>
        <v>31.694445000000002</v>
      </c>
      <c r="K972" s="45" t="str">
        <f>IFERROR(VLOOKUP(B972,'Pre-Summary'!$DE$6:$DG$61,3,FALSE),"")</f>
        <v/>
      </c>
      <c r="L972" s="45">
        <f>IFERROR(VLOOKUP(B972,'Pre-Summary'!$CU$6:$CW$36,3,FALSE),"")</f>
        <v>144.91999999999999</v>
      </c>
      <c r="M972" s="45" t="str">
        <f>IFERROR(VLOOKUP(B972,'Pre-Summary'!$BW$6:$BY$58,2,FALSE),"")</f>
        <v/>
      </c>
      <c r="N972" s="45" t="str">
        <f>IFERROR(VLOOKUP(B972,'Pre-Summary'!$CD$6:$CF$64,2,FALSE),"")</f>
        <v/>
      </c>
      <c r="O972" s="99">
        <f>IFERROR(VLOOKUP(B972,'Pre-Summary'!$BO$6:$BQ$48,3, FALSE),O971)</f>
        <v>1.2</v>
      </c>
      <c r="P972" s="99">
        <f>IFERROR(VLOOKUP(B972,'Pre-Summary'!$BS$6:$BU$35,3,FALSE),P971)</f>
        <v>0.3</v>
      </c>
      <c r="Q972" s="54">
        <f t="shared" si="45"/>
        <v>4</v>
      </c>
      <c r="R972" s="53">
        <f>IFERROR(VLOOKUP(B972,'Pre-Summary'!$BG$6:$BM$44,7,FALSE),R973)</f>
        <v>4.0839377512219534E-2</v>
      </c>
      <c r="S972" s="53">
        <f>IFERROR(VLOOKUP(B972,'Pre-Summary'!$BG$6:$BM$44,6,FALSE),S973)</f>
        <v>3.561480302426305E-2</v>
      </c>
      <c r="T972" s="45">
        <f>IFERROR(VLOOKUP(B972,'Pre-Summary'!$Y$6:$AC$83, 3,FALSE),"")</f>
        <v>10.515000000000001</v>
      </c>
      <c r="U972" s="45">
        <f>IFERROR(VLOOKUP(B972,'Pre-Summary'!$Y$6:$AC$83, 4,FALSE),"")</f>
        <v>8.0150000000000006</v>
      </c>
      <c r="V972">
        <f>IFERROR(VLOOKUP(B972,'Pre-Summary'!$Y$6:$AC$83, 5,FALSE),"")</f>
        <v>0</v>
      </c>
      <c r="W972" s="45">
        <f>IFERROR(VLOOKUP(B972,'Pre-Summary'!$Y$6:$AD$83,6,FALSE),"")</f>
        <v>23.354215</v>
      </c>
      <c r="X972" t="str">
        <f>IFERROR(VLOOKUP('Pre-Summary'!$DB$6:$DD$63,3,FALSE),"")</f>
        <v/>
      </c>
      <c r="Y972">
        <f>IFERROR(VLOOKUP(B972,'Pre-Summary'!$CR$6:$CT$36,3,FALSE),"")</f>
        <v>520</v>
      </c>
      <c r="Z972" s="45" t="str">
        <f>IFERROR(VLOOKUP(B972,'Pre-Summary'!$BZ$6:$CB$63,2,FALSE),"")</f>
        <v/>
      </c>
      <c r="AA972" s="45">
        <f>IFERROR(VLOOKUP(B972,'Pre-Summary'!$CG$6:$CI$70,2,FALSE),"")</f>
        <v>250.2806477646642</v>
      </c>
      <c r="AB972" s="99">
        <f>IFERROR(VLOOKUP(B972,'Pre-Summary'!$A$6:$P$178,9,FALSE),AB973)</f>
        <v>0.51107900307227605</v>
      </c>
      <c r="AC972" s="10">
        <f>IFERROR(VLOOKUP(Summary!B972,'Pre-Summary'!$A$6:$P$184,5, FALSE)/100,AC973)</f>
        <v>0.83335766666666655</v>
      </c>
      <c r="AD972" s="10">
        <f>IFERROR(VLOOKUP(Summary!B972,'Pre-Summary'!$A$6:$P$184,3, FALSE)/100,AD973)</f>
        <v>6.2578333333333333E-2</v>
      </c>
      <c r="AE972" s="10">
        <f>IFERROR(VLOOKUP(Summary!B972,'Pre-Summary'!$A$6:$P$184,7, FALSE)/100,AE973)</f>
        <v>0.10406399999999999</v>
      </c>
      <c r="AF972" s="99">
        <f t="shared" si="46"/>
        <v>3.1982472213924584E-2</v>
      </c>
      <c r="AG972" s="99">
        <f t="shared" si="47"/>
        <v>5.3184925375713329E-2</v>
      </c>
      <c r="AH972" s="10" t="str">
        <f>IFERROR(VLOOKUP(B972,'Pre-Summary'!$AZ$6:$BE$65,3,FALSE),"")</f>
        <v/>
      </c>
      <c r="AI972" s="10" t="str">
        <f>IFERROR(VLOOKUP(B972,'Pre-Summary'!$AZ$6:$BE$65,5,FALSE),"")</f>
        <v/>
      </c>
      <c r="AJ972" s="10" t="str">
        <f>IFERROR(VLOOKUP(B972,'Pre-Summary'!$AZ$6:$BE$65,4,FALSE),"")</f>
        <v/>
      </c>
      <c r="AK972" s="10" t="str">
        <f>IFERROR(VLOOKUP(B972,'Pre-Summary'!$AZ$6:$BE$65,6,FALSE),"")</f>
        <v/>
      </c>
      <c r="AL972" s="10" t="str">
        <f>IFERROR(VLOOKUP(B972,'Pre-Summary'!$BG$6:$BL$44,3,FALSE),"")</f>
        <v/>
      </c>
      <c r="AM972" s="10" t="str">
        <f>IFERROR(VLOOKUP(B972,'Pre-Summary'!$BG$6:$BL$44,4,FALSE),"")</f>
        <v/>
      </c>
    </row>
    <row r="973" spans="2:39" ht="15" customHeight="1" x14ac:dyDescent="0.3">
      <c r="B973">
        <v>97</v>
      </c>
      <c r="C973" t="str">
        <f>IFERROR(VLOOKUP(B973,'Pre-Summary'!$DI$6:$DM$23,4,FALSE),"")</f>
        <v/>
      </c>
      <c r="D973" s="10" t="str">
        <f>IFERROR(VLOOKUP(B973,'Pre-Summary'!$AT$6:$AX$14,5,FALSE),D972)</f>
        <v>DSMZ v3: dropped yeast, casitone, and bicarb out of DSMZ 120</v>
      </c>
      <c r="E973" s="10" t="str">
        <f>IFERROR(VLOOKUP(B973,'Pre-Summary'!$AT$6:$AX$15,4,FALSE),"")</f>
        <v/>
      </c>
      <c r="F973">
        <f>IFERROR(VLOOKUP(B973,'Pre-Summary'!$AL$6:$AQ$13,6,FALSE),F972)</f>
        <v>5.9405263157894746E-2</v>
      </c>
      <c r="G973" t="str">
        <f>IFERROR(VLOOKUP(B973,'Pre-Summary'!$AE$6:$AJ$85,3,FALSE),"")</f>
        <v/>
      </c>
      <c r="H973" t="str">
        <f>IFERROR(VLOOKUP(B973,'Pre-Summary'!$AE$6:$AJ$85,4,FALSE),"")</f>
        <v/>
      </c>
      <c r="I973" t="str">
        <f>IFERROR(VLOOKUP(B973,'Pre-Summary'!$AE$6:$AJ$85,5,FALSE),"")</f>
        <v/>
      </c>
      <c r="J973" s="45" t="str">
        <f>IFERROR(VLOOKUP(B973,'Pre-Summary'!$AE$6:$AJ$85,6, FALSE),"")</f>
        <v/>
      </c>
      <c r="K973" s="45" t="str">
        <f>IFERROR(VLOOKUP(B973,'Pre-Summary'!$DE$6:$DG$61,3,FALSE),"")</f>
        <v/>
      </c>
      <c r="L973" s="45" t="str">
        <f>IFERROR(VLOOKUP(B973,'Pre-Summary'!$CU$6:$CW$36,3,FALSE),"")</f>
        <v/>
      </c>
      <c r="M973" s="45" t="str">
        <f>IFERROR(VLOOKUP(B973,'Pre-Summary'!$BW$6:$BY$58,2,FALSE),"")</f>
        <v/>
      </c>
      <c r="N973" s="45" t="str">
        <f>IFERROR(VLOOKUP(B973,'Pre-Summary'!$CD$6:$CF$64,2,FALSE),"")</f>
        <v/>
      </c>
      <c r="O973" s="99">
        <f>IFERROR(VLOOKUP(B973,'Pre-Summary'!$BO$6:$BQ$48,3, FALSE),O972)</f>
        <v>1.2</v>
      </c>
      <c r="P973" s="99">
        <f>IFERROR(VLOOKUP(B973,'Pre-Summary'!$BS$6:$BU$35,3,FALSE),P972)</f>
        <v>0.3</v>
      </c>
      <c r="Q973" s="54">
        <f t="shared" si="45"/>
        <v>4</v>
      </c>
      <c r="R973" s="53">
        <f>IFERROR(VLOOKUP(B973,'Pre-Summary'!$BG$6:$BM$44,7,FALSE),R974)</f>
        <v>4.0839377512219534E-2</v>
      </c>
      <c r="S973" s="53">
        <f>IFERROR(VLOOKUP(B973,'Pre-Summary'!$BG$6:$BM$44,6,FALSE),S974)</f>
        <v>3.561480302426305E-2</v>
      </c>
      <c r="T973" s="45" t="str">
        <f>IFERROR(VLOOKUP(B973,'Pre-Summary'!$Y$6:$AC$83, 3,FALSE),"")</f>
        <v/>
      </c>
      <c r="U973" s="45" t="str">
        <f>IFERROR(VLOOKUP(B973,'Pre-Summary'!$Y$6:$AC$83, 4,FALSE),"")</f>
        <v/>
      </c>
      <c r="V973" t="str">
        <f>IFERROR(VLOOKUP(B973,'Pre-Summary'!$Y$6:$AC$83, 5,FALSE),"")</f>
        <v/>
      </c>
      <c r="W973" s="45" t="str">
        <f>IFERROR(VLOOKUP(B973,'Pre-Summary'!$Y$6:$AD$83,6,FALSE),"")</f>
        <v/>
      </c>
      <c r="X973" t="str">
        <f>IFERROR(VLOOKUP('Pre-Summary'!$DB$6:$DD$63,3,FALSE),"")</f>
        <v/>
      </c>
      <c r="Y973" t="str">
        <f>IFERROR(VLOOKUP(B973,'Pre-Summary'!$CR$6:$CT$36,3,FALSE),"")</f>
        <v/>
      </c>
      <c r="Z973" s="45" t="str">
        <f>IFERROR(VLOOKUP(B973,'Pre-Summary'!$BZ$6:$CB$63,2,FALSE),"")</f>
        <v/>
      </c>
      <c r="AA973" s="45" t="str">
        <f>IFERROR(VLOOKUP(B973,'Pre-Summary'!$CG$6:$CI$70,2,FALSE),"")</f>
        <v/>
      </c>
      <c r="AB973" s="99">
        <f>IFERROR(VLOOKUP(B973,'Pre-Summary'!$A$6:$P$178,9,FALSE),AB974)</f>
        <v>0.51107900307227605</v>
      </c>
      <c r="AC973" s="10">
        <f>IFERROR(VLOOKUP(Summary!B973,'Pre-Summary'!$A$6:$P$184,5, FALSE)/100,AC974)</f>
        <v>0.83335766666666655</v>
      </c>
      <c r="AD973" s="10">
        <f>IFERROR(VLOOKUP(Summary!B973,'Pre-Summary'!$A$6:$P$184,3, FALSE)/100,AD974)</f>
        <v>6.2578333333333333E-2</v>
      </c>
      <c r="AE973" s="10">
        <f>IFERROR(VLOOKUP(Summary!B973,'Pre-Summary'!$A$6:$P$184,7, FALSE)/100,AE974)</f>
        <v>0.10406399999999999</v>
      </c>
      <c r="AF973" s="99">
        <f t="shared" si="46"/>
        <v>3.1982472213924584E-2</v>
      </c>
      <c r="AG973" s="99">
        <f t="shared" si="47"/>
        <v>5.3184925375713329E-2</v>
      </c>
      <c r="AH973" s="10" t="str">
        <f>IFERROR(VLOOKUP(B973,'Pre-Summary'!$AZ$6:$BE$65,3,FALSE),"")</f>
        <v/>
      </c>
      <c r="AI973" s="10" t="str">
        <f>IFERROR(VLOOKUP(B973,'Pre-Summary'!$AZ$6:$BE$65,5,FALSE),"")</f>
        <v/>
      </c>
      <c r="AJ973" s="10" t="str">
        <f>IFERROR(VLOOKUP(B973,'Pre-Summary'!$AZ$6:$BE$65,4,FALSE),"")</f>
        <v/>
      </c>
      <c r="AK973" s="10" t="str">
        <f>IFERROR(VLOOKUP(B973,'Pre-Summary'!$AZ$6:$BE$65,6,FALSE),"")</f>
        <v/>
      </c>
      <c r="AL973" s="10" t="str">
        <f>IFERROR(VLOOKUP(B973,'Pre-Summary'!$BG$6:$BL$44,3,FALSE),"")</f>
        <v/>
      </c>
      <c r="AM973" s="10" t="str">
        <f>IFERROR(VLOOKUP(B973,'Pre-Summary'!$BG$6:$BL$44,4,FALSE),"")</f>
        <v/>
      </c>
    </row>
    <row r="974" spans="2:39" ht="15" customHeight="1" x14ac:dyDescent="0.3">
      <c r="B974">
        <v>97.1</v>
      </c>
      <c r="C974" t="str">
        <f>IFERROR(VLOOKUP(B974,'Pre-Summary'!$DI$6:$DM$23,4,FALSE),"")</f>
        <v/>
      </c>
      <c r="D974" s="10" t="str">
        <f>IFERROR(VLOOKUP(B974,'Pre-Summary'!$AT$6:$AX$14,5,FALSE),D973)</f>
        <v>DSMZ v3: dropped yeast, casitone, and bicarb out of DSMZ 120</v>
      </c>
      <c r="E974" s="10" t="str">
        <f>IFERROR(VLOOKUP(B974,'Pre-Summary'!$AT$6:$AX$15,4,FALSE),"")</f>
        <v/>
      </c>
      <c r="F974">
        <f>IFERROR(VLOOKUP(B974,'Pre-Summary'!$AL$6:$AQ$13,6,FALSE),F973)</f>
        <v>5.9405263157894746E-2</v>
      </c>
      <c r="G974" t="str">
        <f>IFERROR(VLOOKUP(B974,'Pre-Summary'!$AE$6:$AJ$85,3,FALSE),"")</f>
        <v/>
      </c>
      <c r="H974" t="str">
        <f>IFERROR(VLOOKUP(B974,'Pre-Summary'!$AE$6:$AJ$85,4,FALSE),"")</f>
        <v/>
      </c>
      <c r="I974" t="str">
        <f>IFERROR(VLOOKUP(B974,'Pre-Summary'!$AE$6:$AJ$85,5,FALSE),"")</f>
        <v/>
      </c>
      <c r="J974" s="45" t="str">
        <f>IFERROR(VLOOKUP(B974,'Pre-Summary'!$AE$6:$AJ$85,6, FALSE),"")</f>
        <v/>
      </c>
      <c r="K974" s="45" t="str">
        <f>IFERROR(VLOOKUP(B974,'Pre-Summary'!$DE$6:$DG$61,3,FALSE),"")</f>
        <v/>
      </c>
      <c r="L974" s="45" t="str">
        <f>IFERROR(VLOOKUP(B974,'Pre-Summary'!$CU$6:$CW$36,3,FALSE),"")</f>
        <v/>
      </c>
      <c r="M974" s="45" t="str">
        <f>IFERROR(VLOOKUP(B974,'Pre-Summary'!$BW$6:$BY$58,2,FALSE),"")</f>
        <v/>
      </c>
      <c r="N974" s="45" t="str">
        <f>IFERROR(VLOOKUP(B974,'Pre-Summary'!$CD$6:$CF$64,2,FALSE),"")</f>
        <v/>
      </c>
      <c r="O974" s="99">
        <f>IFERROR(VLOOKUP(B974,'Pre-Summary'!$BO$6:$BQ$48,3, FALSE),O973)</f>
        <v>1.2</v>
      </c>
      <c r="P974" s="99">
        <f>IFERROR(VLOOKUP(B974,'Pre-Summary'!$BS$6:$BU$35,3,FALSE),P973)</f>
        <v>0.3</v>
      </c>
      <c r="Q974" s="54">
        <f t="shared" si="45"/>
        <v>4</v>
      </c>
      <c r="R974" s="53">
        <f>IFERROR(VLOOKUP(B974,'Pre-Summary'!$BG$6:$BM$44,7,FALSE),R975)</f>
        <v>4.0839377512219534E-2</v>
      </c>
      <c r="S974" s="53">
        <f>IFERROR(VLOOKUP(B974,'Pre-Summary'!$BG$6:$BM$44,6,FALSE),S975)</f>
        <v>3.561480302426305E-2</v>
      </c>
      <c r="T974" s="45" t="str">
        <f>IFERROR(VLOOKUP(B974,'Pre-Summary'!$Y$6:$AC$83, 3,FALSE),"")</f>
        <v/>
      </c>
      <c r="U974" s="45" t="str">
        <f>IFERROR(VLOOKUP(B974,'Pre-Summary'!$Y$6:$AC$83, 4,FALSE),"")</f>
        <v/>
      </c>
      <c r="V974" t="str">
        <f>IFERROR(VLOOKUP(B974,'Pre-Summary'!$Y$6:$AC$83, 5,FALSE),"")</f>
        <v/>
      </c>
      <c r="W974" s="45" t="str">
        <f>IFERROR(VLOOKUP(B974,'Pre-Summary'!$Y$6:$AD$83,6,FALSE),"")</f>
        <v/>
      </c>
      <c r="X974" t="str">
        <f>IFERROR(VLOOKUP('Pre-Summary'!$DB$6:$DD$63,3,FALSE),"")</f>
        <v/>
      </c>
      <c r="Y974" t="str">
        <f>IFERROR(VLOOKUP(B974,'Pre-Summary'!$CR$6:$CT$36,3,FALSE),"")</f>
        <v/>
      </c>
      <c r="Z974" s="45" t="str">
        <f>IFERROR(VLOOKUP(B974,'Pre-Summary'!$BZ$6:$CB$63,2,FALSE),"")</f>
        <v/>
      </c>
      <c r="AA974" s="45" t="str">
        <f>IFERROR(VLOOKUP(B974,'Pre-Summary'!$CG$6:$CI$70,2,FALSE),"")</f>
        <v/>
      </c>
      <c r="AB974" s="99">
        <f>IFERROR(VLOOKUP(B974,'Pre-Summary'!$A$6:$P$178,9,FALSE),AB975)</f>
        <v>0.51107900307227605</v>
      </c>
      <c r="AC974" s="10">
        <f>IFERROR(VLOOKUP(Summary!B974,'Pre-Summary'!$A$6:$P$184,5, FALSE)/100,AC975)</f>
        <v>0.83335766666666655</v>
      </c>
      <c r="AD974" s="10">
        <f>IFERROR(VLOOKUP(Summary!B974,'Pre-Summary'!$A$6:$P$184,3, FALSE)/100,AD975)</f>
        <v>6.2578333333333333E-2</v>
      </c>
      <c r="AE974" s="10">
        <f>IFERROR(VLOOKUP(Summary!B974,'Pre-Summary'!$A$6:$P$184,7, FALSE)/100,AE975)</f>
        <v>0.10406399999999999</v>
      </c>
      <c r="AF974" s="99">
        <f t="shared" si="46"/>
        <v>3.1982472213924584E-2</v>
      </c>
      <c r="AG974" s="99">
        <f t="shared" si="47"/>
        <v>5.3184925375713329E-2</v>
      </c>
      <c r="AH974" s="10" t="str">
        <f>IFERROR(VLOOKUP(B974,'Pre-Summary'!$AZ$6:$BE$65,3,FALSE),"")</f>
        <v/>
      </c>
      <c r="AI974" s="10" t="str">
        <f>IFERROR(VLOOKUP(B974,'Pre-Summary'!$AZ$6:$BE$65,5,FALSE),"")</f>
        <v/>
      </c>
      <c r="AJ974" s="10" t="str">
        <f>IFERROR(VLOOKUP(B974,'Pre-Summary'!$AZ$6:$BE$65,4,FALSE),"")</f>
        <v/>
      </c>
      <c r="AK974" s="10" t="str">
        <f>IFERROR(VLOOKUP(B974,'Pre-Summary'!$AZ$6:$BE$65,6,FALSE),"")</f>
        <v/>
      </c>
      <c r="AL974" s="10" t="str">
        <f>IFERROR(VLOOKUP(B974,'Pre-Summary'!$BG$6:$BL$44,3,FALSE),"")</f>
        <v/>
      </c>
      <c r="AM974" s="10" t="str">
        <f>IFERROR(VLOOKUP(B974,'Pre-Summary'!$BG$6:$BL$44,4,FALSE),"")</f>
        <v/>
      </c>
    </row>
    <row r="975" spans="2:39" ht="15" customHeight="1" x14ac:dyDescent="0.3">
      <c r="B975">
        <v>97.2</v>
      </c>
      <c r="C975" t="str">
        <f>IFERROR(VLOOKUP(B975,'Pre-Summary'!$DI$6:$DM$23,4,FALSE),"")</f>
        <v/>
      </c>
      <c r="D975" s="10" t="str">
        <f>IFERROR(VLOOKUP(B975,'Pre-Summary'!$AT$6:$AX$14,5,FALSE),D974)</f>
        <v>DSMZ v3: dropped yeast, casitone, and bicarb out of DSMZ 120</v>
      </c>
      <c r="E975" s="10" t="str">
        <f>IFERROR(VLOOKUP(B975,'Pre-Summary'!$AT$6:$AX$15,4,FALSE),"")</f>
        <v/>
      </c>
      <c r="F975">
        <f>IFERROR(VLOOKUP(B975,'Pre-Summary'!$AL$6:$AQ$13,6,FALSE),F974)</f>
        <v>5.9405263157894746E-2</v>
      </c>
      <c r="G975" t="str">
        <f>IFERROR(VLOOKUP(B975,'Pre-Summary'!$AE$6:$AJ$85,3,FALSE),"")</f>
        <v/>
      </c>
      <c r="H975" t="str">
        <f>IFERROR(VLOOKUP(B975,'Pre-Summary'!$AE$6:$AJ$85,4,FALSE),"")</f>
        <v/>
      </c>
      <c r="I975" t="str">
        <f>IFERROR(VLOOKUP(B975,'Pre-Summary'!$AE$6:$AJ$85,5,FALSE),"")</f>
        <v/>
      </c>
      <c r="J975" s="45" t="str">
        <f>IFERROR(VLOOKUP(B975,'Pre-Summary'!$AE$6:$AJ$85,6, FALSE),"")</f>
        <v/>
      </c>
      <c r="K975" s="45" t="str">
        <f>IFERROR(VLOOKUP(B975,'Pre-Summary'!$DE$6:$DG$61,3,FALSE),"")</f>
        <v/>
      </c>
      <c r="L975" s="45" t="str">
        <f>IFERROR(VLOOKUP(B975,'Pre-Summary'!$CU$6:$CW$36,3,FALSE),"")</f>
        <v/>
      </c>
      <c r="M975" s="45" t="str">
        <f>IFERROR(VLOOKUP(B975,'Pre-Summary'!$BW$6:$BY$58,2,FALSE),"")</f>
        <v/>
      </c>
      <c r="N975" s="45" t="str">
        <f>IFERROR(VLOOKUP(B975,'Pre-Summary'!$CD$6:$CF$64,2,FALSE),"")</f>
        <v/>
      </c>
      <c r="O975" s="99">
        <f>IFERROR(VLOOKUP(B975,'Pre-Summary'!$BO$6:$BQ$48,3, FALSE),O974)</f>
        <v>1</v>
      </c>
      <c r="P975" s="99">
        <f>IFERROR(VLOOKUP(B975,'Pre-Summary'!$BS$6:$BU$35,3,FALSE),P974)</f>
        <v>0.25</v>
      </c>
      <c r="Q975" s="54">
        <f t="shared" si="45"/>
        <v>4</v>
      </c>
      <c r="R975" s="53">
        <f>IFERROR(VLOOKUP(B975,'Pre-Summary'!$BG$6:$BM$44,7,FALSE),R976)</f>
        <v>4.0839377512219534E-2</v>
      </c>
      <c r="S975" s="53">
        <f>IFERROR(VLOOKUP(B975,'Pre-Summary'!$BG$6:$BM$44,6,FALSE),S976)</f>
        <v>3.561480302426305E-2</v>
      </c>
      <c r="T975" s="45" t="str">
        <f>IFERROR(VLOOKUP(B975,'Pre-Summary'!$Y$6:$AC$83, 3,FALSE),"")</f>
        <v/>
      </c>
      <c r="U975" s="45" t="str">
        <f>IFERROR(VLOOKUP(B975,'Pre-Summary'!$Y$6:$AC$83, 4,FALSE),"")</f>
        <v/>
      </c>
      <c r="V975" t="str">
        <f>IFERROR(VLOOKUP(B975,'Pre-Summary'!$Y$6:$AC$83, 5,FALSE),"")</f>
        <v/>
      </c>
      <c r="W975" s="45" t="str">
        <f>IFERROR(VLOOKUP(B975,'Pre-Summary'!$Y$6:$AD$83,6,FALSE),"")</f>
        <v/>
      </c>
      <c r="X975" t="str">
        <f>IFERROR(VLOOKUP('Pre-Summary'!$DB$6:$DD$63,3,FALSE),"")</f>
        <v/>
      </c>
      <c r="Y975" t="str">
        <f>IFERROR(VLOOKUP(B975,'Pre-Summary'!$CR$6:$CT$36,3,FALSE),"")</f>
        <v/>
      </c>
      <c r="Z975" s="45" t="str">
        <f>IFERROR(VLOOKUP(B975,'Pre-Summary'!$BZ$6:$CB$63,2,FALSE),"")</f>
        <v/>
      </c>
      <c r="AA975" s="45" t="str">
        <f>IFERROR(VLOOKUP(B975,'Pre-Summary'!$CG$6:$CI$70,2,FALSE),"")</f>
        <v/>
      </c>
      <c r="AB975" s="99">
        <f>IFERROR(VLOOKUP(B975,'Pre-Summary'!$A$6:$P$178,9,FALSE),AB976)</f>
        <v>0.51107900307227605</v>
      </c>
      <c r="AC975" s="10">
        <f>IFERROR(VLOOKUP(Summary!B975,'Pre-Summary'!$A$6:$P$184,5, FALSE)/100,AC976)</f>
        <v>0.83335766666666655</v>
      </c>
      <c r="AD975" s="10">
        <f>IFERROR(VLOOKUP(Summary!B975,'Pre-Summary'!$A$6:$P$184,3, FALSE)/100,AD976)</f>
        <v>6.2578333333333333E-2</v>
      </c>
      <c r="AE975" s="10">
        <f>IFERROR(VLOOKUP(Summary!B975,'Pre-Summary'!$A$6:$P$184,7, FALSE)/100,AE976)</f>
        <v>0.10406399999999999</v>
      </c>
      <c r="AF975" s="99">
        <f t="shared" si="46"/>
        <v>3.1982472213924584E-2</v>
      </c>
      <c r="AG975" s="99">
        <f t="shared" si="47"/>
        <v>5.3184925375713329E-2</v>
      </c>
      <c r="AH975" s="10" t="str">
        <f>IFERROR(VLOOKUP(B975,'Pre-Summary'!$AZ$6:$BE$65,3,FALSE),"")</f>
        <v/>
      </c>
      <c r="AI975" s="10" t="str">
        <f>IFERROR(VLOOKUP(B975,'Pre-Summary'!$AZ$6:$BE$65,5,FALSE),"")</f>
        <v/>
      </c>
      <c r="AJ975" s="10" t="str">
        <f>IFERROR(VLOOKUP(B975,'Pre-Summary'!$AZ$6:$BE$65,4,FALSE),"")</f>
        <v/>
      </c>
      <c r="AK975" s="10" t="str">
        <f>IFERROR(VLOOKUP(B975,'Pre-Summary'!$AZ$6:$BE$65,6,FALSE),"")</f>
        <v/>
      </c>
      <c r="AL975" s="10" t="str">
        <f>IFERROR(VLOOKUP(B975,'Pre-Summary'!$BG$6:$BL$44,3,FALSE),"")</f>
        <v/>
      </c>
      <c r="AM975" s="10" t="str">
        <f>IFERROR(VLOOKUP(B975,'Pre-Summary'!$BG$6:$BL$44,4,FALSE),"")</f>
        <v/>
      </c>
    </row>
    <row r="976" spans="2:39" ht="15" customHeight="1" x14ac:dyDescent="0.3">
      <c r="B976">
        <v>97.3</v>
      </c>
      <c r="C976" t="str">
        <f>IFERROR(VLOOKUP(B976,'Pre-Summary'!$DI$6:$DM$23,4,FALSE),"")</f>
        <v/>
      </c>
      <c r="D976" s="10" t="str">
        <f>IFERROR(VLOOKUP(B976,'Pre-Summary'!$AT$6:$AX$14,5,FALSE),D975)</f>
        <v>DSMZ v3: dropped yeast, casitone, and bicarb out of DSMZ 120</v>
      </c>
      <c r="E976" s="10" t="str">
        <f>IFERROR(VLOOKUP(B976,'Pre-Summary'!$AT$6:$AX$15,4,FALSE),"")</f>
        <v/>
      </c>
      <c r="F976">
        <f>IFERROR(VLOOKUP(B976,'Pre-Summary'!$AL$6:$AQ$13,6,FALSE),F975)</f>
        <v>5.9405263157894746E-2</v>
      </c>
      <c r="G976" t="str">
        <f>IFERROR(VLOOKUP(B976,'Pre-Summary'!$AE$6:$AJ$85,3,FALSE),"")</f>
        <v/>
      </c>
      <c r="H976" t="str">
        <f>IFERROR(VLOOKUP(B976,'Pre-Summary'!$AE$6:$AJ$85,4,FALSE),"")</f>
        <v/>
      </c>
      <c r="I976" t="str">
        <f>IFERROR(VLOOKUP(B976,'Pre-Summary'!$AE$6:$AJ$85,5,FALSE),"")</f>
        <v/>
      </c>
      <c r="J976" s="45" t="str">
        <f>IFERROR(VLOOKUP(B976,'Pre-Summary'!$AE$6:$AJ$85,6, FALSE),"")</f>
        <v/>
      </c>
      <c r="K976" s="45" t="str">
        <f>IFERROR(VLOOKUP(B976,'Pre-Summary'!$DE$6:$DG$61,3,FALSE),"")</f>
        <v/>
      </c>
      <c r="L976" s="45" t="str">
        <f>IFERROR(VLOOKUP(B976,'Pre-Summary'!$CU$6:$CW$36,3,FALSE),"")</f>
        <v/>
      </c>
      <c r="M976" s="45" t="str">
        <f>IFERROR(VLOOKUP(B976,'Pre-Summary'!$BW$6:$BY$58,2,FALSE),"")</f>
        <v/>
      </c>
      <c r="N976" s="45" t="str">
        <f>IFERROR(VLOOKUP(B976,'Pre-Summary'!$CD$6:$CF$64,2,FALSE),"")</f>
        <v/>
      </c>
      <c r="O976" s="99">
        <f>IFERROR(VLOOKUP(B976,'Pre-Summary'!$BO$6:$BQ$48,3, FALSE),O975)</f>
        <v>1</v>
      </c>
      <c r="P976" s="99">
        <f>IFERROR(VLOOKUP(B976,'Pre-Summary'!$BS$6:$BU$35,3,FALSE),P975)</f>
        <v>0.25</v>
      </c>
      <c r="Q976" s="54">
        <f t="shared" si="45"/>
        <v>4</v>
      </c>
      <c r="R976" s="53">
        <f>IFERROR(VLOOKUP(B976,'Pre-Summary'!$BG$6:$BM$44,7,FALSE),R977)</f>
        <v>4.0839377512219534E-2</v>
      </c>
      <c r="S976" s="53">
        <f>IFERROR(VLOOKUP(B976,'Pre-Summary'!$BG$6:$BM$44,6,FALSE),S977)</f>
        <v>3.561480302426305E-2</v>
      </c>
      <c r="T976" s="45" t="str">
        <f>IFERROR(VLOOKUP(B976,'Pre-Summary'!$Y$6:$AC$83, 3,FALSE),"")</f>
        <v/>
      </c>
      <c r="U976" s="45" t="str">
        <f>IFERROR(VLOOKUP(B976,'Pre-Summary'!$Y$6:$AC$83, 4,FALSE),"")</f>
        <v/>
      </c>
      <c r="V976" t="str">
        <f>IFERROR(VLOOKUP(B976,'Pre-Summary'!$Y$6:$AC$83, 5,FALSE),"")</f>
        <v/>
      </c>
      <c r="W976" s="45" t="str">
        <f>IFERROR(VLOOKUP(B976,'Pre-Summary'!$Y$6:$AD$83,6,FALSE),"")</f>
        <v/>
      </c>
      <c r="X976" t="str">
        <f>IFERROR(VLOOKUP('Pre-Summary'!$DB$6:$DD$63,3,FALSE),"")</f>
        <v/>
      </c>
      <c r="Y976" t="str">
        <f>IFERROR(VLOOKUP(B976,'Pre-Summary'!$CR$6:$CT$36,3,FALSE),"")</f>
        <v/>
      </c>
      <c r="Z976" s="45" t="str">
        <f>IFERROR(VLOOKUP(B976,'Pre-Summary'!$BZ$6:$CB$63,2,FALSE),"")</f>
        <v/>
      </c>
      <c r="AA976" s="45" t="str">
        <f>IFERROR(VLOOKUP(B976,'Pre-Summary'!$CG$6:$CI$70,2,FALSE),"")</f>
        <v/>
      </c>
      <c r="AB976" s="99">
        <f>IFERROR(VLOOKUP(B976,'Pre-Summary'!$A$6:$P$178,9,FALSE),AB977)</f>
        <v>0.56698835270431935</v>
      </c>
      <c r="AC976" s="10">
        <f>IFERROR(VLOOKUP(Summary!B976,'Pre-Summary'!$A$6:$P$184,5, FALSE)/100,AC977)</f>
        <v>0.90877666666666657</v>
      </c>
      <c r="AD976" s="10">
        <f>IFERROR(VLOOKUP(Summary!B976,'Pre-Summary'!$A$6:$P$184,3, FALSE)/100,AD977)</f>
        <v>2.5033666666666666E-2</v>
      </c>
      <c r="AE976" s="10">
        <f>IFERROR(VLOOKUP(Summary!B976,'Pre-Summary'!$A$6:$P$184,7, FALSE)/100,AE977)</f>
        <v>6.6189666666666674E-2</v>
      </c>
      <c r="AF976" s="99">
        <f t="shared" si="46"/>
        <v>1.4193797425482362E-2</v>
      </c>
      <c r="AG976" s="99">
        <f t="shared" si="47"/>
        <v>3.7528770069381337E-2</v>
      </c>
      <c r="AH976" s="10" t="str">
        <f>IFERROR(VLOOKUP(B976,'Pre-Summary'!$AZ$6:$BE$65,3,FALSE),"")</f>
        <v/>
      </c>
      <c r="AI976" s="10" t="str">
        <f>IFERROR(VLOOKUP(B976,'Pre-Summary'!$AZ$6:$BE$65,5,FALSE),"")</f>
        <v/>
      </c>
      <c r="AJ976" s="10" t="str">
        <f>IFERROR(VLOOKUP(B976,'Pre-Summary'!$AZ$6:$BE$65,4,FALSE),"")</f>
        <v/>
      </c>
      <c r="AK976" s="10" t="str">
        <f>IFERROR(VLOOKUP(B976,'Pre-Summary'!$AZ$6:$BE$65,6,FALSE),"")</f>
        <v/>
      </c>
      <c r="AL976" s="10" t="str">
        <f>IFERROR(VLOOKUP(B976,'Pre-Summary'!$BG$6:$BL$44,3,FALSE),"")</f>
        <v/>
      </c>
      <c r="AM976" s="10" t="str">
        <f>IFERROR(VLOOKUP(B976,'Pre-Summary'!$BG$6:$BL$44,4,FALSE),"")</f>
        <v/>
      </c>
    </row>
    <row r="977" spans="2:39" ht="15" customHeight="1" x14ac:dyDescent="0.3">
      <c r="B977">
        <v>97.4</v>
      </c>
      <c r="C977" t="str">
        <f>IFERROR(VLOOKUP(B977,'Pre-Summary'!$DI$6:$DM$23,4,FALSE),"")</f>
        <v/>
      </c>
      <c r="D977" s="10" t="str">
        <f>IFERROR(VLOOKUP(B977,'Pre-Summary'!$AT$6:$AX$14,5,FALSE),D976)</f>
        <v>DSMZ v3: dropped yeast, casitone, and bicarb out of DSMZ 120</v>
      </c>
      <c r="E977" s="10" t="str">
        <f>IFERROR(VLOOKUP(B977,'Pre-Summary'!$AT$6:$AX$15,4,FALSE),"")</f>
        <v/>
      </c>
      <c r="F977">
        <f>IFERROR(VLOOKUP(B977,'Pre-Summary'!$AL$6:$AQ$13,6,FALSE),F976)</f>
        <v>5.9405263157894746E-2</v>
      </c>
      <c r="G977" t="str">
        <f>IFERROR(VLOOKUP(B977,'Pre-Summary'!$AE$6:$AJ$85,3,FALSE),"")</f>
        <v/>
      </c>
      <c r="H977" t="str">
        <f>IFERROR(VLOOKUP(B977,'Pre-Summary'!$AE$6:$AJ$85,4,FALSE),"")</f>
        <v/>
      </c>
      <c r="I977" t="str">
        <f>IFERROR(VLOOKUP(B977,'Pre-Summary'!$AE$6:$AJ$85,5,FALSE),"")</f>
        <v/>
      </c>
      <c r="J977" s="45" t="str">
        <f>IFERROR(VLOOKUP(B977,'Pre-Summary'!$AE$6:$AJ$85,6, FALSE),"")</f>
        <v/>
      </c>
      <c r="K977" s="45" t="str">
        <f>IFERROR(VLOOKUP(B977,'Pre-Summary'!$DE$6:$DG$61,3,FALSE),"")</f>
        <v/>
      </c>
      <c r="L977" s="45" t="str">
        <f>IFERROR(VLOOKUP(B977,'Pre-Summary'!$CU$6:$CW$36,3,FALSE),"")</f>
        <v/>
      </c>
      <c r="M977" s="45" t="str">
        <f>IFERROR(VLOOKUP(B977,'Pre-Summary'!$BW$6:$BY$58,2,FALSE),"")</f>
        <v/>
      </c>
      <c r="N977" s="45" t="str">
        <f>IFERROR(VLOOKUP(B977,'Pre-Summary'!$CD$6:$CF$64,2,FALSE),"")</f>
        <v/>
      </c>
      <c r="O977" s="99">
        <f>IFERROR(VLOOKUP(B977,'Pre-Summary'!$BO$6:$BQ$48,3, FALSE),O976)</f>
        <v>1</v>
      </c>
      <c r="P977" s="99">
        <f>IFERROR(VLOOKUP(B977,'Pre-Summary'!$BS$6:$BU$35,3,FALSE),P976)</f>
        <v>0.25</v>
      </c>
      <c r="Q977" s="54">
        <f t="shared" si="45"/>
        <v>4</v>
      </c>
      <c r="R977" s="53">
        <f>IFERROR(VLOOKUP(B977,'Pre-Summary'!$BG$6:$BM$44,7,FALSE),R978)</f>
        <v>4.0839377512219534E-2</v>
      </c>
      <c r="S977" s="53">
        <f>IFERROR(VLOOKUP(B977,'Pre-Summary'!$BG$6:$BM$44,6,FALSE),S978)</f>
        <v>3.561480302426305E-2</v>
      </c>
      <c r="T977" s="45" t="str">
        <f>IFERROR(VLOOKUP(B977,'Pre-Summary'!$Y$6:$AC$83, 3,FALSE),"")</f>
        <v/>
      </c>
      <c r="U977" s="45" t="str">
        <f>IFERROR(VLOOKUP(B977,'Pre-Summary'!$Y$6:$AC$83, 4,FALSE),"")</f>
        <v/>
      </c>
      <c r="V977" t="str">
        <f>IFERROR(VLOOKUP(B977,'Pre-Summary'!$Y$6:$AC$83, 5,FALSE),"")</f>
        <v/>
      </c>
      <c r="W977" s="45" t="str">
        <f>IFERROR(VLOOKUP(B977,'Pre-Summary'!$Y$6:$AD$83,6,FALSE),"")</f>
        <v/>
      </c>
      <c r="X977" t="str">
        <f>IFERROR(VLOOKUP('Pre-Summary'!$DB$6:$DD$63,3,FALSE),"")</f>
        <v/>
      </c>
      <c r="Y977" t="str">
        <f>IFERROR(VLOOKUP(B977,'Pre-Summary'!$CR$6:$CT$36,3,FALSE),"")</f>
        <v/>
      </c>
      <c r="Z977" s="45" t="str">
        <f>IFERROR(VLOOKUP(B977,'Pre-Summary'!$BZ$6:$CB$63,2,FALSE),"")</f>
        <v/>
      </c>
      <c r="AA977" s="45" t="str">
        <f>IFERROR(VLOOKUP(B977,'Pre-Summary'!$CG$6:$CI$70,2,FALSE),"")</f>
        <v/>
      </c>
      <c r="AB977" s="99">
        <f>IFERROR(VLOOKUP(B977,'Pre-Summary'!$A$6:$P$178,9,FALSE),AB978)</f>
        <v>0.56698835270431935</v>
      </c>
      <c r="AC977" s="10">
        <f>IFERROR(VLOOKUP(Summary!B977,'Pre-Summary'!$A$6:$P$184,5, FALSE)/100,AC978)</f>
        <v>0.90877666666666657</v>
      </c>
      <c r="AD977" s="10">
        <f>IFERROR(VLOOKUP(Summary!B977,'Pre-Summary'!$A$6:$P$184,3, FALSE)/100,AD978)</f>
        <v>2.5033666666666666E-2</v>
      </c>
      <c r="AE977" s="10">
        <f>IFERROR(VLOOKUP(Summary!B977,'Pre-Summary'!$A$6:$P$184,7, FALSE)/100,AE978)</f>
        <v>6.6189666666666674E-2</v>
      </c>
      <c r="AF977" s="99">
        <f t="shared" si="46"/>
        <v>1.4193797425482362E-2</v>
      </c>
      <c r="AG977" s="99">
        <f t="shared" si="47"/>
        <v>3.7528770069381337E-2</v>
      </c>
      <c r="AH977" s="10" t="str">
        <f>IFERROR(VLOOKUP(B977,'Pre-Summary'!$AZ$6:$BE$65,3,FALSE),"")</f>
        <v/>
      </c>
      <c r="AI977" s="10" t="str">
        <f>IFERROR(VLOOKUP(B977,'Pre-Summary'!$AZ$6:$BE$65,5,FALSE),"")</f>
        <v/>
      </c>
      <c r="AJ977" s="10" t="str">
        <f>IFERROR(VLOOKUP(B977,'Pre-Summary'!$AZ$6:$BE$65,4,FALSE),"")</f>
        <v/>
      </c>
      <c r="AK977" s="10" t="str">
        <f>IFERROR(VLOOKUP(B977,'Pre-Summary'!$AZ$6:$BE$65,6,FALSE),"")</f>
        <v/>
      </c>
      <c r="AL977" s="10" t="str">
        <f>IFERROR(VLOOKUP(B977,'Pre-Summary'!$BG$6:$BL$44,3,FALSE),"")</f>
        <v/>
      </c>
      <c r="AM977" s="10" t="str">
        <f>IFERROR(VLOOKUP(B977,'Pre-Summary'!$BG$6:$BL$44,4,FALSE),"")</f>
        <v/>
      </c>
    </row>
    <row r="978" spans="2:39" ht="15" customHeight="1" x14ac:dyDescent="0.3">
      <c r="B978">
        <v>97.5</v>
      </c>
      <c r="C978" t="str">
        <f>IFERROR(VLOOKUP(B978,'Pre-Summary'!$DI$6:$DM$23,4,FALSE),"")</f>
        <v/>
      </c>
      <c r="D978" s="10" t="str">
        <f>IFERROR(VLOOKUP(B978,'Pre-Summary'!$AT$6:$AX$14,5,FALSE),D977)</f>
        <v>DSMZ v3: dropped yeast, casitone, and bicarb out of DSMZ 120</v>
      </c>
      <c r="E978" s="10" t="str">
        <f>IFERROR(VLOOKUP(B978,'Pre-Summary'!$AT$6:$AX$15,4,FALSE),"")</f>
        <v/>
      </c>
      <c r="F978">
        <f>IFERROR(VLOOKUP(B978,'Pre-Summary'!$AL$6:$AQ$13,6,FALSE),F977)</f>
        <v>5.9405263157894746E-2</v>
      </c>
      <c r="G978" t="str">
        <f>IFERROR(VLOOKUP(B978,'Pre-Summary'!$AE$6:$AJ$85,3,FALSE),"")</f>
        <v/>
      </c>
      <c r="H978" t="str">
        <f>IFERROR(VLOOKUP(B978,'Pre-Summary'!$AE$6:$AJ$85,4,FALSE),"")</f>
        <v/>
      </c>
      <c r="I978" t="str">
        <f>IFERROR(VLOOKUP(B978,'Pre-Summary'!$AE$6:$AJ$85,5,FALSE),"")</f>
        <v/>
      </c>
      <c r="J978" s="45" t="str">
        <f>IFERROR(VLOOKUP(B978,'Pre-Summary'!$AE$6:$AJ$85,6, FALSE),"")</f>
        <v/>
      </c>
      <c r="K978" s="45" t="str">
        <f>IFERROR(VLOOKUP(B978,'Pre-Summary'!$DE$6:$DG$61,3,FALSE),"")</f>
        <v/>
      </c>
      <c r="L978" s="45" t="str">
        <f>IFERROR(VLOOKUP(B978,'Pre-Summary'!$CU$6:$CW$36,3,FALSE),"")</f>
        <v/>
      </c>
      <c r="M978" s="45" t="str">
        <f>IFERROR(VLOOKUP(B978,'Pre-Summary'!$BW$6:$BY$58,2,FALSE),"")</f>
        <v/>
      </c>
      <c r="N978" s="45" t="str">
        <f>IFERROR(VLOOKUP(B978,'Pre-Summary'!$CD$6:$CF$64,2,FALSE),"")</f>
        <v/>
      </c>
      <c r="O978" s="99">
        <f>IFERROR(VLOOKUP(B978,'Pre-Summary'!$BO$6:$BQ$48,3, FALSE),O977)</f>
        <v>1</v>
      </c>
      <c r="P978" s="99">
        <f>IFERROR(VLOOKUP(B978,'Pre-Summary'!$BS$6:$BU$35,3,FALSE),P977)</f>
        <v>0.25</v>
      </c>
      <c r="Q978" s="54">
        <f t="shared" si="45"/>
        <v>4</v>
      </c>
      <c r="R978" s="53">
        <f>IFERROR(VLOOKUP(B978,'Pre-Summary'!$BG$6:$BM$44,7,FALSE),R979)</f>
        <v>4.0839377512219534E-2</v>
      </c>
      <c r="S978" s="53">
        <f>IFERROR(VLOOKUP(B978,'Pre-Summary'!$BG$6:$BM$44,6,FALSE),S979)</f>
        <v>3.561480302426305E-2</v>
      </c>
      <c r="T978" s="45" t="str">
        <f>IFERROR(VLOOKUP(B978,'Pre-Summary'!$Y$6:$AC$83, 3,FALSE),"")</f>
        <v/>
      </c>
      <c r="U978" s="45" t="str">
        <f>IFERROR(VLOOKUP(B978,'Pre-Summary'!$Y$6:$AC$83, 4,FALSE),"")</f>
        <v/>
      </c>
      <c r="V978" t="str">
        <f>IFERROR(VLOOKUP(B978,'Pre-Summary'!$Y$6:$AC$83, 5,FALSE),"")</f>
        <v/>
      </c>
      <c r="W978" s="45" t="str">
        <f>IFERROR(VLOOKUP(B978,'Pre-Summary'!$Y$6:$AD$83,6,FALSE),"")</f>
        <v/>
      </c>
      <c r="X978" t="str">
        <f>IFERROR(VLOOKUP('Pre-Summary'!$DB$6:$DD$63,3,FALSE),"")</f>
        <v/>
      </c>
      <c r="Y978" t="str">
        <f>IFERROR(VLOOKUP(B978,'Pre-Summary'!$CR$6:$CT$36,3,FALSE),"")</f>
        <v/>
      </c>
      <c r="Z978" s="45" t="str">
        <f>IFERROR(VLOOKUP(B978,'Pre-Summary'!$BZ$6:$CB$63,2,FALSE),"")</f>
        <v/>
      </c>
      <c r="AA978" s="45" t="str">
        <f>IFERROR(VLOOKUP(B978,'Pre-Summary'!$CG$6:$CI$70,2,FALSE),"")</f>
        <v/>
      </c>
      <c r="AB978" s="99">
        <f>IFERROR(VLOOKUP(B978,'Pre-Summary'!$A$6:$P$178,9,FALSE),AB979)</f>
        <v>0.56698835270431935</v>
      </c>
      <c r="AC978" s="10">
        <f>IFERROR(VLOOKUP(Summary!B978,'Pre-Summary'!$A$6:$P$184,5, FALSE)/100,AC979)</f>
        <v>0.90877666666666657</v>
      </c>
      <c r="AD978" s="10">
        <f>IFERROR(VLOOKUP(Summary!B978,'Pre-Summary'!$A$6:$P$184,3, FALSE)/100,AD979)</f>
        <v>2.5033666666666666E-2</v>
      </c>
      <c r="AE978" s="10">
        <f>IFERROR(VLOOKUP(Summary!B978,'Pre-Summary'!$A$6:$P$184,7, FALSE)/100,AE979)</f>
        <v>6.6189666666666674E-2</v>
      </c>
      <c r="AF978" s="99">
        <f t="shared" si="46"/>
        <v>1.4193797425482362E-2</v>
      </c>
      <c r="AG978" s="99">
        <f t="shared" si="47"/>
        <v>3.7528770069381337E-2</v>
      </c>
      <c r="AH978" s="10" t="str">
        <f>IFERROR(VLOOKUP(B978,'Pre-Summary'!$AZ$6:$BE$65,3,FALSE),"")</f>
        <v/>
      </c>
      <c r="AI978" s="10" t="str">
        <f>IFERROR(VLOOKUP(B978,'Pre-Summary'!$AZ$6:$BE$65,5,FALSE),"")</f>
        <v/>
      </c>
      <c r="AJ978" s="10" t="str">
        <f>IFERROR(VLOOKUP(B978,'Pre-Summary'!$AZ$6:$BE$65,4,FALSE),"")</f>
        <v/>
      </c>
      <c r="AK978" s="10" t="str">
        <f>IFERROR(VLOOKUP(B978,'Pre-Summary'!$AZ$6:$BE$65,6,FALSE),"")</f>
        <v/>
      </c>
      <c r="AL978" s="10" t="str">
        <f>IFERROR(VLOOKUP(B978,'Pre-Summary'!$BG$6:$BL$44,3,FALSE),"")</f>
        <v/>
      </c>
      <c r="AM978" s="10" t="str">
        <f>IFERROR(VLOOKUP(B978,'Pre-Summary'!$BG$6:$BL$44,4,FALSE),"")</f>
        <v/>
      </c>
    </row>
    <row r="979" spans="2:39" ht="15" customHeight="1" x14ac:dyDescent="0.3">
      <c r="B979">
        <v>97.6</v>
      </c>
      <c r="C979" t="str">
        <f>IFERROR(VLOOKUP(B979,'Pre-Summary'!$DI$6:$DM$23,4,FALSE),"")</f>
        <v/>
      </c>
      <c r="D979" s="10" t="str">
        <f>IFERROR(VLOOKUP(B979,'Pre-Summary'!$AT$6:$AX$14,5,FALSE),D978)</f>
        <v>DSMZ v3: dropped yeast, casitone, and bicarb out of DSMZ 120</v>
      </c>
      <c r="E979" s="10" t="str">
        <f>IFERROR(VLOOKUP(B979,'Pre-Summary'!$AT$6:$AX$15,4,FALSE),"")</f>
        <v/>
      </c>
      <c r="F979">
        <f>IFERROR(VLOOKUP(B979,'Pre-Summary'!$AL$6:$AQ$13,6,FALSE),F978)</f>
        <v>5.9405263157894746E-2</v>
      </c>
      <c r="G979" t="str">
        <f>IFERROR(VLOOKUP(B979,'Pre-Summary'!$AE$6:$AJ$85,3,FALSE),"")</f>
        <v/>
      </c>
      <c r="H979" t="str">
        <f>IFERROR(VLOOKUP(B979,'Pre-Summary'!$AE$6:$AJ$85,4,FALSE),"")</f>
        <v/>
      </c>
      <c r="I979" t="str">
        <f>IFERROR(VLOOKUP(B979,'Pre-Summary'!$AE$6:$AJ$85,5,FALSE),"")</f>
        <v/>
      </c>
      <c r="J979" s="45" t="str">
        <f>IFERROR(VLOOKUP(B979,'Pre-Summary'!$AE$6:$AJ$85,6, FALSE),"")</f>
        <v/>
      </c>
      <c r="K979" s="45" t="str">
        <f>IFERROR(VLOOKUP(B979,'Pre-Summary'!$DE$6:$DG$61,3,FALSE),"")</f>
        <v/>
      </c>
      <c r="L979" s="45" t="str">
        <f>IFERROR(VLOOKUP(B979,'Pre-Summary'!$CU$6:$CW$36,3,FALSE),"")</f>
        <v/>
      </c>
      <c r="M979" s="45" t="str">
        <f>IFERROR(VLOOKUP(B979,'Pre-Summary'!$BW$6:$BY$58,2,FALSE),"")</f>
        <v/>
      </c>
      <c r="N979" s="45" t="str">
        <f>IFERROR(VLOOKUP(B979,'Pre-Summary'!$CD$6:$CF$64,2,FALSE),"")</f>
        <v/>
      </c>
      <c r="O979" s="99">
        <f>IFERROR(VLOOKUP(B979,'Pre-Summary'!$BO$6:$BQ$48,3, FALSE),O978)</f>
        <v>1</v>
      </c>
      <c r="P979" s="99">
        <f>IFERROR(VLOOKUP(B979,'Pre-Summary'!$BS$6:$BU$35,3,FALSE),P978)</f>
        <v>0.25</v>
      </c>
      <c r="Q979" s="54">
        <f t="shared" si="45"/>
        <v>4</v>
      </c>
      <c r="R979" s="53">
        <f>IFERROR(VLOOKUP(B979,'Pre-Summary'!$BG$6:$BM$44,7,FALSE),R980)</f>
        <v>4.0839377512219534E-2</v>
      </c>
      <c r="S979" s="53">
        <f>IFERROR(VLOOKUP(B979,'Pre-Summary'!$BG$6:$BM$44,6,FALSE),S980)</f>
        <v>3.561480302426305E-2</v>
      </c>
      <c r="T979" s="45" t="str">
        <f>IFERROR(VLOOKUP(B979,'Pre-Summary'!$Y$6:$AC$83, 3,FALSE),"")</f>
        <v/>
      </c>
      <c r="U979" s="45" t="str">
        <f>IFERROR(VLOOKUP(B979,'Pre-Summary'!$Y$6:$AC$83, 4,FALSE),"")</f>
        <v/>
      </c>
      <c r="V979" t="str">
        <f>IFERROR(VLOOKUP(B979,'Pre-Summary'!$Y$6:$AC$83, 5,FALSE),"")</f>
        <v/>
      </c>
      <c r="W979" s="45" t="str">
        <f>IFERROR(VLOOKUP(B979,'Pre-Summary'!$Y$6:$AD$83,6,FALSE),"")</f>
        <v/>
      </c>
      <c r="X979" t="str">
        <f>IFERROR(VLOOKUP('Pre-Summary'!$DB$6:$DD$63,3,FALSE),"")</f>
        <v/>
      </c>
      <c r="Y979" t="str">
        <f>IFERROR(VLOOKUP(B979,'Pre-Summary'!$CR$6:$CT$36,3,FALSE),"")</f>
        <v/>
      </c>
      <c r="Z979" s="45" t="str">
        <f>IFERROR(VLOOKUP(B979,'Pre-Summary'!$BZ$6:$CB$63,2,FALSE),"")</f>
        <v/>
      </c>
      <c r="AA979" s="45" t="str">
        <f>IFERROR(VLOOKUP(B979,'Pre-Summary'!$CG$6:$CI$70,2,FALSE),"")</f>
        <v/>
      </c>
      <c r="AB979" s="99">
        <f>IFERROR(VLOOKUP(B979,'Pre-Summary'!$A$6:$P$178,9,FALSE),AB980)</f>
        <v>0.56698835270431935</v>
      </c>
      <c r="AC979" s="10">
        <f>IFERROR(VLOOKUP(Summary!B979,'Pre-Summary'!$A$6:$P$184,5, FALSE)/100,AC980)</f>
        <v>0.90877666666666657</v>
      </c>
      <c r="AD979" s="10">
        <f>IFERROR(VLOOKUP(Summary!B979,'Pre-Summary'!$A$6:$P$184,3, FALSE)/100,AD980)</f>
        <v>2.5033666666666666E-2</v>
      </c>
      <c r="AE979" s="10">
        <f>IFERROR(VLOOKUP(Summary!B979,'Pre-Summary'!$A$6:$P$184,7, FALSE)/100,AE980)</f>
        <v>6.6189666666666674E-2</v>
      </c>
      <c r="AF979" s="99">
        <f t="shared" si="46"/>
        <v>1.4193797425482362E-2</v>
      </c>
      <c r="AG979" s="99">
        <f t="shared" si="47"/>
        <v>3.7528770069381337E-2</v>
      </c>
      <c r="AH979" s="10" t="str">
        <f>IFERROR(VLOOKUP(B979,'Pre-Summary'!$AZ$6:$BE$65,3,FALSE),"")</f>
        <v/>
      </c>
      <c r="AI979" s="10" t="str">
        <f>IFERROR(VLOOKUP(B979,'Pre-Summary'!$AZ$6:$BE$65,5,FALSE),"")</f>
        <v/>
      </c>
      <c r="AJ979" s="10" t="str">
        <f>IFERROR(VLOOKUP(B979,'Pre-Summary'!$AZ$6:$BE$65,4,FALSE),"")</f>
        <v/>
      </c>
      <c r="AK979" s="10" t="str">
        <f>IFERROR(VLOOKUP(B979,'Pre-Summary'!$AZ$6:$BE$65,6,FALSE),"")</f>
        <v/>
      </c>
      <c r="AL979" s="10" t="str">
        <f>IFERROR(VLOOKUP(B979,'Pre-Summary'!$BG$6:$BL$44,3,FALSE),"")</f>
        <v/>
      </c>
      <c r="AM979" s="10" t="str">
        <f>IFERROR(VLOOKUP(B979,'Pre-Summary'!$BG$6:$BL$44,4,FALSE),"")</f>
        <v/>
      </c>
    </row>
    <row r="980" spans="2:39" ht="15" customHeight="1" x14ac:dyDescent="0.3">
      <c r="B980">
        <v>97.7</v>
      </c>
      <c r="C980" t="str">
        <f>IFERROR(VLOOKUP(B980,'Pre-Summary'!$DI$6:$DM$23,4,FALSE),"")</f>
        <v/>
      </c>
      <c r="D980" s="10" t="str">
        <f>IFERROR(VLOOKUP(B980,'Pre-Summary'!$AT$6:$AX$14,5,FALSE),D979)</f>
        <v>DSMZ v3: dropped yeast, casitone, and bicarb out of DSMZ 120</v>
      </c>
      <c r="E980" s="10" t="str">
        <f>IFERROR(VLOOKUP(B980,'Pre-Summary'!$AT$6:$AX$15,4,FALSE),"")</f>
        <v/>
      </c>
      <c r="F980">
        <f>IFERROR(VLOOKUP(B980,'Pre-Summary'!$AL$6:$AQ$13,6,FALSE),F979)</f>
        <v>5.9405263157894746E-2</v>
      </c>
      <c r="G980" t="str">
        <f>IFERROR(VLOOKUP(B980,'Pre-Summary'!$AE$6:$AJ$85,3,FALSE),"")</f>
        <v/>
      </c>
      <c r="H980" t="str">
        <f>IFERROR(VLOOKUP(B980,'Pre-Summary'!$AE$6:$AJ$85,4,FALSE),"")</f>
        <v/>
      </c>
      <c r="I980" t="str">
        <f>IFERROR(VLOOKUP(B980,'Pre-Summary'!$AE$6:$AJ$85,5,FALSE),"")</f>
        <v/>
      </c>
      <c r="J980" s="45" t="str">
        <f>IFERROR(VLOOKUP(B980,'Pre-Summary'!$AE$6:$AJ$85,6, FALSE),"")</f>
        <v/>
      </c>
      <c r="K980" s="45" t="str">
        <f>IFERROR(VLOOKUP(B980,'Pre-Summary'!$DE$6:$DG$61,3,FALSE),"")</f>
        <v/>
      </c>
      <c r="L980" s="45" t="str">
        <f>IFERROR(VLOOKUP(B980,'Pre-Summary'!$CU$6:$CW$36,3,FALSE),"")</f>
        <v/>
      </c>
      <c r="M980" s="45" t="str">
        <f>IFERROR(VLOOKUP(B980,'Pre-Summary'!$BW$6:$BY$58,2,FALSE),"")</f>
        <v/>
      </c>
      <c r="N980" s="45" t="str">
        <f>IFERROR(VLOOKUP(B980,'Pre-Summary'!$CD$6:$CF$64,2,FALSE),"")</f>
        <v/>
      </c>
      <c r="O980" s="99">
        <f>IFERROR(VLOOKUP(B980,'Pre-Summary'!$BO$6:$BQ$48,3, FALSE),O979)</f>
        <v>1</v>
      </c>
      <c r="P980" s="99">
        <f>IFERROR(VLOOKUP(B980,'Pre-Summary'!$BS$6:$BU$35,3,FALSE),P979)</f>
        <v>0.25</v>
      </c>
      <c r="Q980" s="54">
        <f t="shared" si="45"/>
        <v>4</v>
      </c>
      <c r="R980" s="53">
        <f>IFERROR(VLOOKUP(B980,'Pre-Summary'!$BG$6:$BM$44,7,FALSE),R981)</f>
        <v>4.0839377512219534E-2</v>
      </c>
      <c r="S980" s="53">
        <f>IFERROR(VLOOKUP(B980,'Pre-Summary'!$BG$6:$BM$44,6,FALSE),S981)</f>
        <v>3.561480302426305E-2</v>
      </c>
      <c r="T980" s="45" t="str">
        <f>IFERROR(VLOOKUP(B980,'Pre-Summary'!$Y$6:$AC$83, 3,FALSE),"")</f>
        <v/>
      </c>
      <c r="U980" s="45" t="str">
        <f>IFERROR(VLOOKUP(B980,'Pre-Summary'!$Y$6:$AC$83, 4,FALSE),"")</f>
        <v/>
      </c>
      <c r="V980" t="str">
        <f>IFERROR(VLOOKUP(B980,'Pre-Summary'!$Y$6:$AC$83, 5,FALSE),"")</f>
        <v/>
      </c>
      <c r="W980" s="45" t="str">
        <f>IFERROR(VLOOKUP(B980,'Pre-Summary'!$Y$6:$AD$83,6,FALSE),"")</f>
        <v/>
      </c>
      <c r="X980" t="str">
        <f>IFERROR(VLOOKUP('Pre-Summary'!$DB$6:$DD$63,3,FALSE),"")</f>
        <v/>
      </c>
      <c r="Y980" t="str">
        <f>IFERROR(VLOOKUP(B980,'Pre-Summary'!$CR$6:$CT$36,3,FALSE),"")</f>
        <v/>
      </c>
      <c r="Z980" s="45" t="str">
        <f>IFERROR(VLOOKUP(B980,'Pre-Summary'!$BZ$6:$CB$63,2,FALSE),"")</f>
        <v/>
      </c>
      <c r="AA980" s="45" t="str">
        <f>IFERROR(VLOOKUP(B980,'Pre-Summary'!$CG$6:$CI$70,2,FALSE),"")</f>
        <v/>
      </c>
      <c r="AB980" s="99">
        <f>IFERROR(VLOOKUP(B980,'Pre-Summary'!$A$6:$P$178,9,FALSE),AB981)</f>
        <v>0.56698835270431935</v>
      </c>
      <c r="AC980" s="10">
        <f>IFERROR(VLOOKUP(Summary!B980,'Pre-Summary'!$A$6:$P$184,5, FALSE)/100,AC981)</f>
        <v>0.90877666666666657</v>
      </c>
      <c r="AD980" s="10">
        <f>IFERROR(VLOOKUP(Summary!B980,'Pre-Summary'!$A$6:$P$184,3, FALSE)/100,AD981)</f>
        <v>2.5033666666666666E-2</v>
      </c>
      <c r="AE980" s="10">
        <f>IFERROR(VLOOKUP(Summary!B980,'Pre-Summary'!$A$6:$P$184,7, FALSE)/100,AE981)</f>
        <v>6.6189666666666674E-2</v>
      </c>
      <c r="AF980" s="99">
        <f t="shared" si="46"/>
        <v>1.4193797425482362E-2</v>
      </c>
      <c r="AG980" s="99">
        <f t="shared" si="47"/>
        <v>3.7528770069381337E-2</v>
      </c>
      <c r="AH980" s="10" t="str">
        <f>IFERROR(VLOOKUP(B980,'Pre-Summary'!$AZ$6:$BE$65,3,FALSE),"")</f>
        <v/>
      </c>
      <c r="AI980" s="10" t="str">
        <f>IFERROR(VLOOKUP(B980,'Pre-Summary'!$AZ$6:$BE$65,5,FALSE),"")</f>
        <v/>
      </c>
      <c r="AJ980" s="10" t="str">
        <f>IFERROR(VLOOKUP(B980,'Pre-Summary'!$AZ$6:$BE$65,4,FALSE),"")</f>
        <v/>
      </c>
      <c r="AK980" s="10" t="str">
        <f>IFERROR(VLOOKUP(B980,'Pre-Summary'!$AZ$6:$BE$65,6,FALSE),"")</f>
        <v/>
      </c>
      <c r="AL980" s="10" t="str">
        <f>IFERROR(VLOOKUP(B980,'Pre-Summary'!$BG$6:$BL$44,3,FALSE),"")</f>
        <v/>
      </c>
      <c r="AM980" s="10" t="str">
        <f>IFERROR(VLOOKUP(B980,'Pre-Summary'!$BG$6:$BL$44,4,FALSE),"")</f>
        <v/>
      </c>
    </row>
    <row r="981" spans="2:39" ht="15" customHeight="1" x14ac:dyDescent="0.3">
      <c r="B981">
        <v>97.8</v>
      </c>
      <c r="C981" t="str">
        <f>IFERROR(VLOOKUP(B981,'Pre-Summary'!$DI$6:$DM$23,4,FALSE),"")</f>
        <v/>
      </c>
      <c r="D981" s="10" t="str">
        <f>IFERROR(VLOOKUP(B981,'Pre-Summary'!$AT$6:$AX$14,5,FALSE),D980)</f>
        <v>DSMZ v3: dropped yeast, casitone, and bicarb out of DSMZ 120</v>
      </c>
      <c r="E981" s="10" t="str">
        <f>IFERROR(VLOOKUP(B981,'Pre-Summary'!$AT$6:$AX$15,4,FALSE),"")</f>
        <v/>
      </c>
      <c r="F981">
        <f>IFERROR(VLOOKUP(B981,'Pre-Summary'!$AL$6:$AQ$13,6,FALSE),F980)</f>
        <v>5.9405263157894746E-2</v>
      </c>
      <c r="G981" t="str">
        <f>IFERROR(VLOOKUP(B981,'Pre-Summary'!$AE$6:$AJ$85,3,FALSE),"")</f>
        <v/>
      </c>
      <c r="H981" t="str">
        <f>IFERROR(VLOOKUP(B981,'Pre-Summary'!$AE$6:$AJ$85,4,FALSE),"")</f>
        <v/>
      </c>
      <c r="I981" t="str">
        <f>IFERROR(VLOOKUP(B981,'Pre-Summary'!$AE$6:$AJ$85,5,FALSE),"")</f>
        <v/>
      </c>
      <c r="J981" s="45" t="str">
        <f>IFERROR(VLOOKUP(B981,'Pre-Summary'!$AE$6:$AJ$85,6, FALSE),"")</f>
        <v/>
      </c>
      <c r="K981" s="45" t="str">
        <f>IFERROR(VLOOKUP(B981,'Pre-Summary'!$DE$6:$DG$61,3,FALSE),"")</f>
        <v/>
      </c>
      <c r="L981" s="45" t="str">
        <f>IFERROR(VLOOKUP(B981,'Pre-Summary'!$CU$6:$CW$36,3,FALSE),"")</f>
        <v/>
      </c>
      <c r="M981" s="45" t="str">
        <f>IFERROR(VLOOKUP(B981,'Pre-Summary'!$BW$6:$BY$58,2,FALSE),"")</f>
        <v/>
      </c>
      <c r="N981" s="45" t="str">
        <f>IFERROR(VLOOKUP(B981,'Pre-Summary'!$CD$6:$CF$64,2,FALSE),"")</f>
        <v/>
      </c>
      <c r="O981" s="99">
        <f>IFERROR(VLOOKUP(B981,'Pre-Summary'!$BO$6:$BQ$48,3, FALSE),O980)</f>
        <v>1</v>
      </c>
      <c r="P981" s="99">
        <f>IFERROR(VLOOKUP(B981,'Pre-Summary'!$BS$6:$BU$35,3,FALSE),P980)</f>
        <v>0.25</v>
      </c>
      <c r="Q981" s="54">
        <f t="shared" si="45"/>
        <v>4</v>
      </c>
      <c r="R981" s="53">
        <f>IFERROR(VLOOKUP(B981,'Pre-Summary'!$BG$6:$BM$44,7,FALSE),R982)</f>
        <v>4.0839377512219534E-2</v>
      </c>
      <c r="S981" s="53">
        <f>IFERROR(VLOOKUP(B981,'Pre-Summary'!$BG$6:$BM$44,6,FALSE),S982)</f>
        <v>3.561480302426305E-2</v>
      </c>
      <c r="T981" s="45" t="str">
        <f>IFERROR(VLOOKUP(B981,'Pre-Summary'!$Y$6:$AC$83, 3,FALSE),"")</f>
        <v/>
      </c>
      <c r="U981" s="45" t="str">
        <f>IFERROR(VLOOKUP(B981,'Pre-Summary'!$Y$6:$AC$83, 4,FALSE),"")</f>
        <v/>
      </c>
      <c r="V981" t="str">
        <f>IFERROR(VLOOKUP(B981,'Pre-Summary'!$Y$6:$AC$83, 5,FALSE),"")</f>
        <v/>
      </c>
      <c r="W981" s="45" t="str">
        <f>IFERROR(VLOOKUP(B981,'Pre-Summary'!$Y$6:$AD$83,6,FALSE),"")</f>
        <v/>
      </c>
      <c r="X981" t="str">
        <f>IFERROR(VLOOKUP('Pre-Summary'!$DB$6:$DD$63,3,FALSE),"")</f>
        <v/>
      </c>
      <c r="Y981" t="str">
        <f>IFERROR(VLOOKUP(B981,'Pre-Summary'!$CR$6:$CT$36,3,FALSE),"")</f>
        <v/>
      </c>
      <c r="Z981" s="45" t="str">
        <f>IFERROR(VLOOKUP(B981,'Pre-Summary'!$BZ$6:$CB$63,2,FALSE),"")</f>
        <v/>
      </c>
      <c r="AA981" s="45" t="str">
        <f>IFERROR(VLOOKUP(B981,'Pre-Summary'!$CG$6:$CI$70,2,FALSE),"")</f>
        <v/>
      </c>
      <c r="AB981" s="99">
        <f>IFERROR(VLOOKUP(B981,'Pre-Summary'!$A$6:$P$178,9,FALSE),AB982)</f>
        <v>0.56698835270431935</v>
      </c>
      <c r="AC981" s="10">
        <f>IFERROR(VLOOKUP(Summary!B981,'Pre-Summary'!$A$6:$P$184,5, FALSE)/100,AC982)</f>
        <v>0.90877666666666657</v>
      </c>
      <c r="AD981" s="10">
        <f>IFERROR(VLOOKUP(Summary!B981,'Pre-Summary'!$A$6:$P$184,3, FALSE)/100,AD982)</f>
        <v>2.5033666666666666E-2</v>
      </c>
      <c r="AE981" s="10">
        <f>IFERROR(VLOOKUP(Summary!B981,'Pre-Summary'!$A$6:$P$184,7, FALSE)/100,AE982)</f>
        <v>6.6189666666666674E-2</v>
      </c>
      <c r="AF981" s="99">
        <f t="shared" si="46"/>
        <v>1.4193797425482362E-2</v>
      </c>
      <c r="AG981" s="99">
        <f t="shared" si="47"/>
        <v>3.7528770069381337E-2</v>
      </c>
      <c r="AH981" s="10" t="str">
        <f>IFERROR(VLOOKUP(B981,'Pre-Summary'!$AZ$6:$BE$65,3,FALSE),"")</f>
        <v/>
      </c>
      <c r="AI981" s="10" t="str">
        <f>IFERROR(VLOOKUP(B981,'Pre-Summary'!$AZ$6:$BE$65,5,FALSE),"")</f>
        <v/>
      </c>
      <c r="AJ981" s="10" t="str">
        <f>IFERROR(VLOOKUP(B981,'Pre-Summary'!$AZ$6:$BE$65,4,FALSE),"")</f>
        <v/>
      </c>
      <c r="AK981" s="10" t="str">
        <f>IFERROR(VLOOKUP(B981,'Pre-Summary'!$AZ$6:$BE$65,6,FALSE),"")</f>
        <v/>
      </c>
      <c r="AL981" s="10" t="str">
        <f>IFERROR(VLOOKUP(B981,'Pre-Summary'!$BG$6:$BL$44,3,FALSE),"")</f>
        <v/>
      </c>
      <c r="AM981" s="10" t="str">
        <f>IFERROR(VLOOKUP(B981,'Pre-Summary'!$BG$6:$BL$44,4,FALSE),"")</f>
        <v/>
      </c>
    </row>
    <row r="982" spans="2:39" ht="15" customHeight="1" x14ac:dyDescent="0.3">
      <c r="B982">
        <v>97.9</v>
      </c>
      <c r="C982" t="str">
        <f>IFERROR(VLOOKUP(B982,'Pre-Summary'!$DI$6:$DM$23,4,FALSE),"")</f>
        <v/>
      </c>
      <c r="D982" s="10" t="str">
        <f>IFERROR(VLOOKUP(B982,'Pre-Summary'!$AT$6:$AX$14,5,FALSE),D981)</f>
        <v>DSMZ v3: dropped yeast, casitone, and bicarb out of DSMZ 120</v>
      </c>
      <c r="E982" s="10" t="str">
        <f>IFERROR(VLOOKUP(B982,'Pre-Summary'!$AT$6:$AX$15,4,FALSE),"")</f>
        <v/>
      </c>
      <c r="F982">
        <f>IFERROR(VLOOKUP(B982,'Pre-Summary'!$AL$6:$AQ$13,6,FALSE),F981)</f>
        <v>5.9405263157894746E-2</v>
      </c>
      <c r="G982" t="str">
        <f>IFERROR(VLOOKUP(B982,'Pre-Summary'!$AE$6:$AJ$85,3,FALSE),"")</f>
        <v/>
      </c>
      <c r="H982" t="str">
        <f>IFERROR(VLOOKUP(B982,'Pre-Summary'!$AE$6:$AJ$85,4,FALSE),"")</f>
        <v/>
      </c>
      <c r="I982" t="str">
        <f>IFERROR(VLOOKUP(B982,'Pre-Summary'!$AE$6:$AJ$85,5,FALSE),"")</f>
        <v/>
      </c>
      <c r="J982" s="45" t="str">
        <f>IFERROR(VLOOKUP(B982,'Pre-Summary'!$AE$6:$AJ$85,6, FALSE),"")</f>
        <v/>
      </c>
      <c r="K982" s="45" t="str">
        <f>IFERROR(VLOOKUP(B982,'Pre-Summary'!$DE$6:$DG$61,3,FALSE),"")</f>
        <v/>
      </c>
      <c r="L982" s="45" t="str">
        <f>IFERROR(VLOOKUP(B982,'Pre-Summary'!$CU$6:$CW$36,3,FALSE),"")</f>
        <v/>
      </c>
      <c r="M982" s="45" t="str">
        <f>IFERROR(VLOOKUP(B982,'Pre-Summary'!$BW$6:$BY$58,2,FALSE),"")</f>
        <v/>
      </c>
      <c r="N982" s="45" t="str">
        <f>IFERROR(VLOOKUP(B982,'Pre-Summary'!$CD$6:$CF$64,2,FALSE),"")</f>
        <v/>
      </c>
      <c r="O982" s="99">
        <f>IFERROR(VLOOKUP(B982,'Pre-Summary'!$BO$6:$BQ$48,3, FALSE),O981)</f>
        <v>1</v>
      </c>
      <c r="P982" s="99">
        <f>IFERROR(VLOOKUP(B982,'Pre-Summary'!$BS$6:$BU$35,3,FALSE),P981)</f>
        <v>0.25</v>
      </c>
      <c r="Q982" s="54">
        <f t="shared" si="45"/>
        <v>4</v>
      </c>
      <c r="R982" s="53">
        <f>IFERROR(VLOOKUP(B982,'Pre-Summary'!$BG$6:$BM$44,7,FALSE),R983)</f>
        <v>4.0839377512219534E-2</v>
      </c>
      <c r="S982" s="53">
        <f>IFERROR(VLOOKUP(B982,'Pre-Summary'!$BG$6:$BM$44,6,FALSE),S983)</f>
        <v>3.561480302426305E-2</v>
      </c>
      <c r="T982" s="45" t="str">
        <f>IFERROR(VLOOKUP(B982,'Pre-Summary'!$Y$6:$AC$83, 3,FALSE),"")</f>
        <v/>
      </c>
      <c r="U982" s="45" t="str">
        <f>IFERROR(VLOOKUP(B982,'Pre-Summary'!$Y$6:$AC$83, 4,FALSE),"")</f>
        <v/>
      </c>
      <c r="V982" t="str">
        <f>IFERROR(VLOOKUP(B982,'Pre-Summary'!$Y$6:$AC$83, 5,FALSE),"")</f>
        <v/>
      </c>
      <c r="W982" s="45" t="str">
        <f>IFERROR(VLOOKUP(B982,'Pre-Summary'!$Y$6:$AD$83,6,FALSE),"")</f>
        <v/>
      </c>
      <c r="X982" t="str">
        <f>IFERROR(VLOOKUP('Pre-Summary'!$DB$6:$DD$63,3,FALSE),"")</f>
        <v/>
      </c>
      <c r="Y982" t="str">
        <f>IFERROR(VLOOKUP(B982,'Pre-Summary'!$CR$6:$CT$36,3,FALSE),"")</f>
        <v/>
      </c>
      <c r="Z982" s="45" t="str">
        <f>IFERROR(VLOOKUP(B982,'Pre-Summary'!$BZ$6:$CB$63,2,FALSE),"")</f>
        <v/>
      </c>
      <c r="AA982" s="45" t="str">
        <f>IFERROR(VLOOKUP(B982,'Pre-Summary'!$CG$6:$CI$70,2,FALSE),"")</f>
        <v/>
      </c>
      <c r="AB982" s="99">
        <f>IFERROR(VLOOKUP(B982,'Pre-Summary'!$A$6:$P$178,9,FALSE),AB983)</f>
        <v>0.56698835270431935</v>
      </c>
      <c r="AC982" s="10">
        <f>IFERROR(VLOOKUP(Summary!B982,'Pre-Summary'!$A$6:$P$184,5, FALSE)/100,AC983)</f>
        <v>0.90877666666666657</v>
      </c>
      <c r="AD982" s="10">
        <f>IFERROR(VLOOKUP(Summary!B982,'Pre-Summary'!$A$6:$P$184,3, FALSE)/100,AD983)</f>
        <v>2.5033666666666666E-2</v>
      </c>
      <c r="AE982" s="10">
        <f>IFERROR(VLOOKUP(Summary!B982,'Pre-Summary'!$A$6:$P$184,7, FALSE)/100,AE983)</f>
        <v>6.6189666666666674E-2</v>
      </c>
      <c r="AF982" s="99">
        <f t="shared" si="46"/>
        <v>1.4193797425482362E-2</v>
      </c>
      <c r="AG982" s="99">
        <f t="shared" si="47"/>
        <v>3.7528770069381337E-2</v>
      </c>
      <c r="AH982" s="10" t="str">
        <f>IFERROR(VLOOKUP(B982,'Pre-Summary'!$AZ$6:$BE$65,3,FALSE),"")</f>
        <v/>
      </c>
      <c r="AI982" s="10" t="str">
        <f>IFERROR(VLOOKUP(B982,'Pre-Summary'!$AZ$6:$BE$65,5,FALSE),"")</f>
        <v/>
      </c>
      <c r="AJ982" s="10" t="str">
        <f>IFERROR(VLOOKUP(B982,'Pre-Summary'!$AZ$6:$BE$65,4,FALSE),"")</f>
        <v/>
      </c>
      <c r="AK982" s="10" t="str">
        <f>IFERROR(VLOOKUP(B982,'Pre-Summary'!$AZ$6:$BE$65,6,FALSE),"")</f>
        <v/>
      </c>
      <c r="AL982" s="10" t="str">
        <f>IFERROR(VLOOKUP(B982,'Pre-Summary'!$BG$6:$BL$44,3,FALSE),"")</f>
        <v/>
      </c>
      <c r="AM982" s="10" t="str">
        <f>IFERROR(VLOOKUP(B982,'Pre-Summary'!$BG$6:$BL$44,4,FALSE),"")</f>
        <v/>
      </c>
    </row>
    <row r="983" spans="2:39" ht="15" customHeight="1" x14ac:dyDescent="0.3">
      <c r="B983">
        <v>98</v>
      </c>
      <c r="C983" t="str">
        <f>IFERROR(VLOOKUP(B983,'Pre-Summary'!$DI$6:$DM$23,4,FALSE),"")</f>
        <v/>
      </c>
      <c r="D983" s="10" t="str">
        <f>IFERROR(VLOOKUP(B983,'Pre-Summary'!$AT$6:$AX$14,5,FALSE),D982)</f>
        <v>DSMZ v3: dropped yeast, casitone, and bicarb out of DSMZ 120</v>
      </c>
      <c r="E983" s="10" t="str">
        <f>IFERROR(VLOOKUP(B983,'Pre-Summary'!$AT$6:$AX$15,4,FALSE),"")</f>
        <v/>
      </c>
      <c r="F983">
        <f>IFERROR(VLOOKUP(B983,'Pre-Summary'!$AL$6:$AQ$13,6,FALSE),F982)</f>
        <v>5.9405263157894746E-2</v>
      </c>
      <c r="G983" t="str">
        <f>IFERROR(VLOOKUP(B983,'Pre-Summary'!$AE$6:$AJ$85,3,FALSE),"")</f>
        <v/>
      </c>
      <c r="H983" t="str">
        <f>IFERROR(VLOOKUP(B983,'Pre-Summary'!$AE$6:$AJ$85,4,FALSE),"")</f>
        <v/>
      </c>
      <c r="I983" t="str">
        <f>IFERROR(VLOOKUP(B983,'Pre-Summary'!$AE$6:$AJ$85,5,FALSE),"")</f>
        <v/>
      </c>
      <c r="J983" s="45" t="str">
        <f>IFERROR(VLOOKUP(B983,'Pre-Summary'!$AE$6:$AJ$85,6, FALSE),"")</f>
        <v/>
      </c>
      <c r="K983" s="45" t="str">
        <f>IFERROR(VLOOKUP(B983,'Pre-Summary'!$DE$6:$DG$61,3,FALSE),"")</f>
        <v/>
      </c>
      <c r="L983" s="45" t="str">
        <f>IFERROR(VLOOKUP(B983,'Pre-Summary'!$CU$6:$CW$36,3,FALSE),"")</f>
        <v/>
      </c>
      <c r="M983" s="45" t="str">
        <f>IFERROR(VLOOKUP(B983,'Pre-Summary'!$BW$6:$BY$58,2,FALSE),"")</f>
        <v/>
      </c>
      <c r="N983" s="45" t="str">
        <f>IFERROR(VLOOKUP(B983,'Pre-Summary'!$CD$6:$CF$64,2,FALSE),"")</f>
        <v/>
      </c>
      <c r="O983" s="99">
        <f>IFERROR(VLOOKUP(B983,'Pre-Summary'!$BO$6:$BQ$48,3, FALSE),O982)</f>
        <v>1</v>
      </c>
      <c r="P983" s="99">
        <f>IFERROR(VLOOKUP(B983,'Pre-Summary'!$BS$6:$BU$35,3,FALSE),P982)</f>
        <v>0.25</v>
      </c>
      <c r="Q983" s="54">
        <f t="shared" si="45"/>
        <v>4</v>
      </c>
      <c r="R983" s="53">
        <f>IFERROR(VLOOKUP(B983,'Pre-Summary'!$BG$6:$BM$44,7,FALSE),R984)</f>
        <v>4.0839377512219534E-2</v>
      </c>
      <c r="S983" s="53">
        <f>IFERROR(VLOOKUP(B983,'Pre-Summary'!$BG$6:$BM$44,6,FALSE),S984)</f>
        <v>3.561480302426305E-2</v>
      </c>
      <c r="T983" s="45" t="str">
        <f>IFERROR(VLOOKUP(B983,'Pre-Summary'!$Y$6:$AC$83, 3,FALSE),"")</f>
        <v/>
      </c>
      <c r="U983" s="45" t="str">
        <f>IFERROR(VLOOKUP(B983,'Pre-Summary'!$Y$6:$AC$83, 4,FALSE),"")</f>
        <v/>
      </c>
      <c r="V983" t="str">
        <f>IFERROR(VLOOKUP(B983,'Pre-Summary'!$Y$6:$AC$83, 5,FALSE),"")</f>
        <v/>
      </c>
      <c r="W983" s="45" t="str">
        <f>IFERROR(VLOOKUP(B983,'Pre-Summary'!$Y$6:$AD$83,6,FALSE),"")</f>
        <v/>
      </c>
      <c r="X983" t="str">
        <f>IFERROR(VLOOKUP('Pre-Summary'!$DB$6:$DD$63,3,FALSE),"")</f>
        <v/>
      </c>
      <c r="Y983" t="str">
        <f>IFERROR(VLOOKUP(B983,'Pre-Summary'!$CR$6:$CT$36,3,FALSE),"")</f>
        <v/>
      </c>
      <c r="Z983" s="45" t="str">
        <f>IFERROR(VLOOKUP(B983,'Pre-Summary'!$BZ$6:$CB$63,2,FALSE),"")</f>
        <v/>
      </c>
      <c r="AA983" s="45" t="str">
        <f>IFERROR(VLOOKUP(B983,'Pre-Summary'!$CG$6:$CI$70,2,FALSE),"")</f>
        <v/>
      </c>
      <c r="AB983" s="99">
        <f>IFERROR(VLOOKUP(B983,'Pre-Summary'!$A$6:$P$178,9,FALSE),AB984)</f>
        <v>0.56698835270431935</v>
      </c>
      <c r="AC983" s="10">
        <f>IFERROR(VLOOKUP(Summary!B983,'Pre-Summary'!$A$6:$P$184,5, FALSE)/100,AC984)</f>
        <v>0.90877666666666657</v>
      </c>
      <c r="AD983" s="10">
        <f>IFERROR(VLOOKUP(Summary!B983,'Pre-Summary'!$A$6:$P$184,3, FALSE)/100,AD984)</f>
        <v>2.5033666666666666E-2</v>
      </c>
      <c r="AE983" s="10">
        <f>IFERROR(VLOOKUP(Summary!B983,'Pre-Summary'!$A$6:$P$184,7, FALSE)/100,AE984)</f>
        <v>6.6189666666666674E-2</v>
      </c>
      <c r="AF983" s="99">
        <f t="shared" si="46"/>
        <v>1.4193797425482362E-2</v>
      </c>
      <c r="AG983" s="99">
        <f t="shared" si="47"/>
        <v>3.7528770069381337E-2</v>
      </c>
      <c r="AH983" s="10" t="str">
        <f>IFERROR(VLOOKUP(B983,'Pre-Summary'!$AZ$6:$BE$65,3,FALSE),"")</f>
        <v/>
      </c>
      <c r="AI983" s="10" t="str">
        <f>IFERROR(VLOOKUP(B983,'Pre-Summary'!$AZ$6:$BE$65,5,FALSE),"")</f>
        <v/>
      </c>
      <c r="AJ983" s="10" t="str">
        <f>IFERROR(VLOOKUP(B983,'Pre-Summary'!$AZ$6:$BE$65,4,FALSE),"")</f>
        <v/>
      </c>
      <c r="AK983" s="10" t="str">
        <f>IFERROR(VLOOKUP(B983,'Pre-Summary'!$AZ$6:$BE$65,6,FALSE),"")</f>
        <v/>
      </c>
      <c r="AL983" s="10" t="str">
        <f>IFERROR(VLOOKUP(B983,'Pre-Summary'!$BG$6:$BL$44,3,FALSE),"")</f>
        <v/>
      </c>
      <c r="AM983" s="10" t="str">
        <f>IFERROR(VLOOKUP(B983,'Pre-Summary'!$BG$6:$BL$44,4,FALSE),"")</f>
        <v/>
      </c>
    </row>
    <row r="984" spans="2:39" ht="15" customHeight="1" x14ac:dyDescent="0.3">
      <c r="B984">
        <v>98.1</v>
      </c>
      <c r="C984" t="str">
        <f>IFERROR(VLOOKUP(B984,'Pre-Summary'!$DI$6:$DM$23,4,FALSE),"")</f>
        <v/>
      </c>
      <c r="D984" s="10" t="str">
        <f>IFERROR(VLOOKUP(B984,'Pre-Summary'!$AT$6:$AX$14,5,FALSE),D983)</f>
        <v>DSMZ v3: dropped yeast, casitone, and bicarb out of DSMZ 120</v>
      </c>
      <c r="E984" s="10" t="str">
        <f>IFERROR(VLOOKUP(B984,'Pre-Summary'!$AT$6:$AX$15,4,FALSE),"")</f>
        <v/>
      </c>
      <c r="F984">
        <f>IFERROR(VLOOKUP(B984,'Pre-Summary'!$AL$6:$AQ$13,6,FALSE),F983)</f>
        <v>5.9405263157894746E-2</v>
      </c>
      <c r="G984" t="str">
        <f>IFERROR(VLOOKUP(B984,'Pre-Summary'!$AE$6:$AJ$85,3,FALSE),"")</f>
        <v/>
      </c>
      <c r="H984" t="str">
        <f>IFERROR(VLOOKUP(B984,'Pre-Summary'!$AE$6:$AJ$85,4,FALSE),"")</f>
        <v/>
      </c>
      <c r="I984" t="str">
        <f>IFERROR(VLOOKUP(B984,'Pre-Summary'!$AE$6:$AJ$85,5,FALSE),"")</f>
        <v/>
      </c>
      <c r="J984" s="45" t="str">
        <f>IFERROR(VLOOKUP(B984,'Pre-Summary'!$AE$6:$AJ$85,6, FALSE),"")</f>
        <v/>
      </c>
      <c r="K984" s="45" t="str">
        <f>IFERROR(VLOOKUP(B984,'Pre-Summary'!$DE$6:$DG$61,3,FALSE),"")</f>
        <v/>
      </c>
      <c r="L984" s="45" t="str">
        <f>IFERROR(VLOOKUP(B984,'Pre-Summary'!$CU$6:$CW$36,3,FALSE),"")</f>
        <v/>
      </c>
      <c r="M984" s="45" t="str">
        <f>IFERROR(VLOOKUP(B984,'Pre-Summary'!$BW$6:$BY$58,2,FALSE),"")</f>
        <v/>
      </c>
      <c r="N984" s="45" t="str">
        <f>IFERROR(VLOOKUP(B984,'Pre-Summary'!$CD$6:$CF$64,2,FALSE),"")</f>
        <v/>
      </c>
      <c r="O984" s="99">
        <f>IFERROR(VLOOKUP(B984,'Pre-Summary'!$BO$6:$BQ$48,3, FALSE),O983)</f>
        <v>1</v>
      </c>
      <c r="P984" s="99">
        <f>IFERROR(VLOOKUP(B984,'Pre-Summary'!$BS$6:$BU$35,3,FALSE),P983)</f>
        <v>0.25</v>
      </c>
      <c r="Q984" s="54">
        <f t="shared" si="45"/>
        <v>4</v>
      </c>
      <c r="R984" s="53">
        <f>IFERROR(VLOOKUP(B984,'Pre-Summary'!$BG$6:$BM$44,7,FALSE),R985)</f>
        <v>4.0839377512219534E-2</v>
      </c>
      <c r="S984" s="53">
        <f>IFERROR(VLOOKUP(B984,'Pre-Summary'!$BG$6:$BM$44,6,FALSE),S985)</f>
        <v>3.561480302426305E-2</v>
      </c>
      <c r="T984" s="45" t="str">
        <f>IFERROR(VLOOKUP(B984,'Pre-Summary'!$Y$6:$AC$83, 3,FALSE),"")</f>
        <v/>
      </c>
      <c r="U984" s="45" t="str">
        <f>IFERROR(VLOOKUP(B984,'Pre-Summary'!$Y$6:$AC$83, 4,FALSE),"")</f>
        <v/>
      </c>
      <c r="V984" t="str">
        <f>IFERROR(VLOOKUP(B984,'Pre-Summary'!$Y$6:$AC$83, 5,FALSE),"")</f>
        <v/>
      </c>
      <c r="W984" s="45" t="str">
        <f>IFERROR(VLOOKUP(B984,'Pre-Summary'!$Y$6:$AD$83,6,FALSE),"")</f>
        <v/>
      </c>
      <c r="X984" t="str">
        <f>IFERROR(VLOOKUP('Pre-Summary'!$DB$6:$DD$63,3,FALSE),"")</f>
        <v/>
      </c>
      <c r="Y984" t="str">
        <f>IFERROR(VLOOKUP(B984,'Pre-Summary'!$CR$6:$CT$36,3,FALSE),"")</f>
        <v/>
      </c>
      <c r="Z984" s="45" t="str">
        <f>IFERROR(VLOOKUP(B984,'Pre-Summary'!$BZ$6:$CB$63,2,FALSE),"")</f>
        <v/>
      </c>
      <c r="AA984" s="45" t="str">
        <f>IFERROR(VLOOKUP(B984,'Pre-Summary'!$CG$6:$CI$70,2,FALSE),"")</f>
        <v/>
      </c>
      <c r="AB984" s="99">
        <f>IFERROR(VLOOKUP(B984,'Pre-Summary'!$A$6:$P$178,9,FALSE),AB985)</f>
        <v>0.56698835270431935</v>
      </c>
      <c r="AC984" s="10">
        <f>IFERROR(VLOOKUP(Summary!B984,'Pre-Summary'!$A$6:$P$184,5, FALSE)/100,AC985)</f>
        <v>0.90877666666666657</v>
      </c>
      <c r="AD984" s="10">
        <f>IFERROR(VLOOKUP(Summary!B984,'Pre-Summary'!$A$6:$P$184,3, FALSE)/100,AD985)</f>
        <v>2.5033666666666666E-2</v>
      </c>
      <c r="AE984" s="10">
        <f>IFERROR(VLOOKUP(Summary!B984,'Pre-Summary'!$A$6:$P$184,7, FALSE)/100,AE985)</f>
        <v>6.6189666666666674E-2</v>
      </c>
      <c r="AF984" s="99">
        <f t="shared" si="46"/>
        <v>1.4193797425482362E-2</v>
      </c>
      <c r="AG984" s="99">
        <f t="shared" si="47"/>
        <v>3.7528770069381337E-2</v>
      </c>
      <c r="AH984" s="10" t="str">
        <f>IFERROR(VLOOKUP(B984,'Pre-Summary'!$AZ$6:$BE$65,3,FALSE),"")</f>
        <v/>
      </c>
      <c r="AI984" s="10" t="str">
        <f>IFERROR(VLOOKUP(B984,'Pre-Summary'!$AZ$6:$BE$65,5,FALSE),"")</f>
        <v/>
      </c>
      <c r="AJ984" s="10" t="str">
        <f>IFERROR(VLOOKUP(B984,'Pre-Summary'!$AZ$6:$BE$65,4,FALSE),"")</f>
        <v/>
      </c>
      <c r="AK984" s="10" t="str">
        <f>IFERROR(VLOOKUP(B984,'Pre-Summary'!$AZ$6:$BE$65,6,FALSE),"")</f>
        <v/>
      </c>
      <c r="AL984" s="10" t="str">
        <f>IFERROR(VLOOKUP(B984,'Pre-Summary'!$BG$6:$BL$44,3,FALSE),"")</f>
        <v/>
      </c>
      <c r="AM984" s="10" t="str">
        <f>IFERROR(VLOOKUP(B984,'Pre-Summary'!$BG$6:$BL$44,4,FALSE),"")</f>
        <v/>
      </c>
    </row>
    <row r="985" spans="2:39" ht="15" customHeight="1" x14ac:dyDescent="0.3">
      <c r="B985">
        <v>98.2</v>
      </c>
      <c r="C985" t="str">
        <f>IFERROR(VLOOKUP(B985,'Pre-Summary'!$DI$6:$DM$23,4,FALSE),"")</f>
        <v/>
      </c>
      <c r="D985" s="10" t="str">
        <f>IFERROR(VLOOKUP(B985,'Pre-Summary'!$AT$6:$AX$14,5,FALSE),D984)</f>
        <v>DSMZ v3: dropped yeast, casitone, and bicarb out of DSMZ 120</v>
      </c>
      <c r="E985" s="10" t="str">
        <f>IFERROR(VLOOKUP(B985,'Pre-Summary'!$AT$6:$AX$15,4,FALSE),"")</f>
        <v/>
      </c>
      <c r="F985">
        <f>IFERROR(VLOOKUP(B985,'Pre-Summary'!$AL$6:$AQ$13,6,FALSE),F984)</f>
        <v>5.9405263157894746E-2</v>
      </c>
      <c r="G985" t="str">
        <f>IFERROR(VLOOKUP(B985,'Pre-Summary'!$AE$6:$AJ$85,3,FALSE),"")</f>
        <v/>
      </c>
      <c r="H985" t="str">
        <f>IFERROR(VLOOKUP(B985,'Pre-Summary'!$AE$6:$AJ$85,4,FALSE),"")</f>
        <v/>
      </c>
      <c r="I985" t="str">
        <f>IFERROR(VLOOKUP(B985,'Pre-Summary'!$AE$6:$AJ$85,5,FALSE),"")</f>
        <v/>
      </c>
      <c r="J985" s="45" t="str">
        <f>IFERROR(VLOOKUP(B985,'Pre-Summary'!$AE$6:$AJ$85,6, FALSE),"")</f>
        <v/>
      </c>
      <c r="K985" s="45" t="str">
        <f>IFERROR(VLOOKUP(B985,'Pre-Summary'!$DE$6:$DG$61,3,FALSE),"")</f>
        <v/>
      </c>
      <c r="L985" s="45" t="str">
        <f>IFERROR(VLOOKUP(B985,'Pre-Summary'!$CU$6:$CW$36,3,FALSE),"")</f>
        <v/>
      </c>
      <c r="M985" s="45" t="str">
        <f>IFERROR(VLOOKUP(B985,'Pre-Summary'!$BW$6:$BY$58,2,FALSE),"")</f>
        <v/>
      </c>
      <c r="N985" s="45" t="str">
        <f>IFERROR(VLOOKUP(B985,'Pre-Summary'!$CD$6:$CF$64,2,FALSE),"")</f>
        <v/>
      </c>
      <c r="O985" s="99">
        <f>IFERROR(VLOOKUP(B985,'Pre-Summary'!$BO$6:$BQ$48,3, FALSE),O984)</f>
        <v>1</v>
      </c>
      <c r="P985" s="99">
        <f>IFERROR(VLOOKUP(B985,'Pre-Summary'!$BS$6:$BU$35,3,FALSE),P984)</f>
        <v>0.25</v>
      </c>
      <c r="Q985" s="54">
        <f t="shared" si="45"/>
        <v>4</v>
      </c>
      <c r="R985" s="53">
        <f>IFERROR(VLOOKUP(B985,'Pre-Summary'!$BG$6:$BM$44,7,FALSE),R986)</f>
        <v>4.0839377512219534E-2</v>
      </c>
      <c r="S985" s="53">
        <f>IFERROR(VLOOKUP(B985,'Pre-Summary'!$BG$6:$BM$44,6,FALSE),S986)</f>
        <v>3.561480302426305E-2</v>
      </c>
      <c r="T985" s="45" t="str">
        <f>IFERROR(VLOOKUP(B985,'Pre-Summary'!$Y$6:$AC$83, 3,FALSE),"")</f>
        <v/>
      </c>
      <c r="U985" s="45" t="str">
        <f>IFERROR(VLOOKUP(B985,'Pre-Summary'!$Y$6:$AC$83, 4,FALSE),"")</f>
        <v/>
      </c>
      <c r="V985" t="str">
        <f>IFERROR(VLOOKUP(B985,'Pre-Summary'!$Y$6:$AC$83, 5,FALSE),"")</f>
        <v/>
      </c>
      <c r="W985" s="45" t="str">
        <f>IFERROR(VLOOKUP(B985,'Pre-Summary'!$Y$6:$AD$83,6,FALSE),"")</f>
        <v/>
      </c>
      <c r="X985" t="str">
        <f>IFERROR(VLOOKUP('Pre-Summary'!$DB$6:$DD$63,3,FALSE),"")</f>
        <v/>
      </c>
      <c r="Y985" t="str">
        <f>IFERROR(VLOOKUP(B985,'Pre-Summary'!$CR$6:$CT$36,3,FALSE),"")</f>
        <v/>
      </c>
      <c r="Z985" s="45" t="str">
        <f>IFERROR(VLOOKUP(B985,'Pre-Summary'!$BZ$6:$CB$63,2,FALSE),"")</f>
        <v/>
      </c>
      <c r="AA985" s="45" t="str">
        <f>IFERROR(VLOOKUP(B985,'Pre-Summary'!$CG$6:$CI$70,2,FALSE),"")</f>
        <v/>
      </c>
      <c r="AB985" s="99">
        <f>IFERROR(VLOOKUP(B985,'Pre-Summary'!$A$6:$P$178,9,FALSE),AB986)</f>
        <v>0.56698835270431935</v>
      </c>
      <c r="AC985" s="10">
        <f>IFERROR(VLOOKUP(Summary!B985,'Pre-Summary'!$A$6:$P$184,5, FALSE)/100,AC986)</f>
        <v>0.90877666666666657</v>
      </c>
      <c r="AD985" s="10">
        <f>IFERROR(VLOOKUP(Summary!B985,'Pre-Summary'!$A$6:$P$184,3, FALSE)/100,AD986)</f>
        <v>2.5033666666666666E-2</v>
      </c>
      <c r="AE985" s="10">
        <f>IFERROR(VLOOKUP(Summary!B985,'Pre-Summary'!$A$6:$P$184,7, FALSE)/100,AE986)</f>
        <v>6.6189666666666674E-2</v>
      </c>
      <c r="AF985" s="99">
        <f t="shared" si="46"/>
        <v>1.4193797425482362E-2</v>
      </c>
      <c r="AG985" s="99">
        <f t="shared" si="47"/>
        <v>3.7528770069381337E-2</v>
      </c>
      <c r="AH985" s="10" t="str">
        <f>IFERROR(VLOOKUP(B985,'Pre-Summary'!$AZ$6:$BE$65,3,FALSE),"")</f>
        <v/>
      </c>
      <c r="AI985" s="10" t="str">
        <f>IFERROR(VLOOKUP(B985,'Pre-Summary'!$AZ$6:$BE$65,5,FALSE),"")</f>
        <v/>
      </c>
      <c r="AJ985" s="10" t="str">
        <f>IFERROR(VLOOKUP(B985,'Pre-Summary'!$AZ$6:$BE$65,4,FALSE),"")</f>
        <v/>
      </c>
      <c r="AK985" s="10" t="str">
        <f>IFERROR(VLOOKUP(B985,'Pre-Summary'!$AZ$6:$BE$65,6,FALSE),"")</f>
        <v/>
      </c>
      <c r="AL985" s="10" t="str">
        <f>IFERROR(VLOOKUP(B985,'Pre-Summary'!$BG$6:$BL$44,3,FALSE),"")</f>
        <v/>
      </c>
      <c r="AM985" s="10" t="str">
        <f>IFERROR(VLOOKUP(B985,'Pre-Summary'!$BG$6:$BL$44,4,FALSE),"")</f>
        <v/>
      </c>
    </row>
    <row r="986" spans="2:39" ht="15" customHeight="1" x14ac:dyDescent="0.3">
      <c r="B986">
        <v>98.3</v>
      </c>
      <c r="C986" t="str">
        <f>IFERROR(VLOOKUP(B986,'Pre-Summary'!$DI$6:$DM$23,4,FALSE),"")</f>
        <v/>
      </c>
      <c r="D986" s="10" t="str">
        <f>IFERROR(VLOOKUP(B986,'Pre-Summary'!$AT$6:$AX$14,5,FALSE),D985)</f>
        <v>DSMZ v3: dropped yeast, casitone, and bicarb out of DSMZ 120</v>
      </c>
      <c r="E986" s="10" t="str">
        <f>IFERROR(VLOOKUP(B986,'Pre-Summary'!$AT$6:$AX$15,4,FALSE),"")</f>
        <v/>
      </c>
      <c r="F986">
        <f>IFERROR(VLOOKUP(B986,'Pre-Summary'!$AL$6:$AQ$13,6,FALSE),F985)</f>
        <v>5.9405263157894746E-2</v>
      </c>
      <c r="G986" t="str">
        <f>IFERROR(VLOOKUP(B986,'Pre-Summary'!$AE$6:$AJ$85,3,FALSE),"")</f>
        <v/>
      </c>
      <c r="H986" t="str">
        <f>IFERROR(VLOOKUP(B986,'Pre-Summary'!$AE$6:$AJ$85,4,FALSE),"")</f>
        <v/>
      </c>
      <c r="I986" t="str">
        <f>IFERROR(VLOOKUP(B986,'Pre-Summary'!$AE$6:$AJ$85,5,FALSE),"")</f>
        <v/>
      </c>
      <c r="J986" s="45" t="str">
        <f>IFERROR(VLOOKUP(B986,'Pre-Summary'!$AE$6:$AJ$85,6, FALSE),"")</f>
        <v/>
      </c>
      <c r="K986" s="45" t="str">
        <f>IFERROR(VLOOKUP(B986,'Pre-Summary'!$DE$6:$DG$61,3,FALSE),"")</f>
        <v/>
      </c>
      <c r="L986" s="45" t="str">
        <f>IFERROR(VLOOKUP(B986,'Pre-Summary'!$CU$6:$CW$36,3,FALSE),"")</f>
        <v/>
      </c>
      <c r="M986" s="45" t="str">
        <f>IFERROR(VLOOKUP(B986,'Pre-Summary'!$BW$6:$BY$58,2,FALSE),"")</f>
        <v/>
      </c>
      <c r="N986" s="45" t="str">
        <f>IFERROR(VLOOKUP(B986,'Pre-Summary'!$CD$6:$CF$64,2,FALSE),"")</f>
        <v/>
      </c>
      <c r="O986" s="99">
        <f>IFERROR(VLOOKUP(B986,'Pre-Summary'!$BO$6:$BQ$48,3, FALSE),O985)</f>
        <v>1</v>
      </c>
      <c r="P986" s="99">
        <f>IFERROR(VLOOKUP(B986,'Pre-Summary'!$BS$6:$BU$35,3,FALSE),P985)</f>
        <v>0.25</v>
      </c>
      <c r="Q986" s="54">
        <f t="shared" si="45"/>
        <v>4</v>
      </c>
      <c r="R986" s="53">
        <f>IFERROR(VLOOKUP(B986,'Pre-Summary'!$BG$6:$BM$44,7,FALSE),R987)</f>
        <v>4.0839377512219534E-2</v>
      </c>
      <c r="S986" s="53">
        <f>IFERROR(VLOOKUP(B986,'Pre-Summary'!$BG$6:$BM$44,6,FALSE),S987)</f>
        <v>3.561480302426305E-2</v>
      </c>
      <c r="T986" s="45" t="str">
        <f>IFERROR(VLOOKUP(B986,'Pre-Summary'!$Y$6:$AC$83, 3,FALSE),"")</f>
        <v/>
      </c>
      <c r="U986" s="45" t="str">
        <f>IFERROR(VLOOKUP(B986,'Pre-Summary'!$Y$6:$AC$83, 4,FALSE),"")</f>
        <v/>
      </c>
      <c r="V986" t="str">
        <f>IFERROR(VLOOKUP(B986,'Pre-Summary'!$Y$6:$AC$83, 5,FALSE),"")</f>
        <v/>
      </c>
      <c r="W986" s="45" t="str">
        <f>IFERROR(VLOOKUP(B986,'Pre-Summary'!$Y$6:$AD$83,6,FALSE),"")</f>
        <v/>
      </c>
      <c r="X986" t="str">
        <f>IFERROR(VLOOKUP('Pre-Summary'!$DB$6:$DD$63,3,FALSE),"")</f>
        <v/>
      </c>
      <c r="Y986" t="str">
        <f>IFERROR(VLOOKUP(B986,'Pre-Summary'!$CR$6:$CT$36,3,FALSE),"")</f>
        <v/>
      </c>
      <c r="Z986" s="45" t="str">
        <f>IFERROR(VLOOKUP(B986,'Pre-Summary'!$BZ$6:$CB$63,2,FALSE),"")</f>
        <v/>
      </c>
      <c r="AA986" s="45" t="str">
        <f>IFERROR(VLOOKUP(B986,'Pre-Summary'!$CG$6:$CI$70,2,FALSE),"")</f>
        <v/>
      </c>
      <c r="AB986" s="99">
        <f>IFERROR(VLOOKUP(B986,'Pre-Summary'!$A$6:$P$178,9,FALSE),AB987)</f>
        <v>0.56698835270431935</v>
      </c>
      <c r="AC986" s="10">
        <f>IFERROR(VLOOKUP(Summary!B986,'Pre-Summary'!$A$6:$P$184,5, FALSE)/100,AC987)</f>
        <v>0.90877666666666657</v>
      </c>
      <c r="AD986" s="10">
        <f>IFERROR(VLOOKUP(Summary!B986,'Pre-Summary'!$A$6:$P$184,3, FALSE)/100,AD987)</f>
        <v>2.5033666666666666E-2</v>
      </c>
      <c r="AE986" s="10">
        <f>IFERROR(VLOOKUP(Summary!B986,'Pre-Summary'!$A$6:$P$184,7, FALSE)/100,AE987)</f>
        <v>6.6189666666666674E-2</v>
      </c>
      <c r="AF986" s="99">
        <f t="shared" si="46"/>
        <v>1.4193797425482362E-2</v>
      </c>
      <c r="AG986" s="99">
        <f t="shared" si="47"/>
        <v>3.7528770069381337E-2</v>
      </c>
      <c r="AH986" s="10" t="str">
        <f>IFERROR(VLOOKUP(B986,'Pre-Summary'!$AZ$6:$BE$65,3,FALSE),"")</f>
        <v/>
      </c>
      <c r="AI986" s="10" t="str">
        <f>IFERROR(VLOOKUP(B986,'Pre-Summary'!$AZ$6:$BE$65,5,FALSE),"")</f>
        <v/>
      </c>
      <c r="AJ986" s="10" t="str">
        <f>IFERROR(VLOOKUP(B986,'Pre-Summary'!$AZ$6:$BE$65,4,FALSE),"")</f>
        <v/>
      </c>
      <c r="AK986" s="10" t="str">
        <f>IFERROR(VLOOKUP(B986,'Pre-Summary'!$AZ$6:$BE$65,6,FALSE),"")</f>
        <v/>
      </c>
      <c r="AL986" s="10" t="str">
        <f>IFERROR(VLOOKUP(B986,'Pre-Summary'!$BG$6:$BL$44,3,FALSE),"")</f>
        <v/>
      </c>
      <c r="AM986" s="10" t="str">
        <f>IFERROR(VLOOKUP(B986,'Pre-Summary'!$BG$6:$BL$44,4,FALSE),"")</f>
        <v/>
      </c>
    </row>
    <row r="987" spans="2:39" ht="15" customHeight="1" x14ac:dyDescent="0.3">
      <c r="B987">
        <v>98.4</v>
      </c>
      <c r="C987" t="str">
        <f>IFERROR(VLOOKUP(B987,'Pre-Summary'!$DI$6:$DM$23,4,FALSE),"")</f>
        <v/>
      </c>
      <c r="D987" s="10" t="str">
        <f>IFERROR(VLOOKUP(B987,'Pre-Summary'!$AT$6:$AX$14,5,FALSE),D986)</f>
        <v>DSMZ v3: dropped yeast, casitone, and bicarb out of DSMZ 120</v>
      </c>
      <c r="E987" s="10" t="str">
        <f>IFERROR(VLOOKUP(B987,'Pre-Summary'!$AT$6:$AX$15,4,FALSE),"")</f>
        <v/>
      </c>
      <c r="F987">
        <f>IFERROR(VLOOKUP(B987,'Pre-Summary'!$AL$6:$AQ$13,6,FALSE),F986)</f>
        <v>5.9405263157894746E-2</v>
      </c>
      <c r="G987" t="str">
        <f>IFERROR(VLOOKUP(B987,'Pre-Summary'!$AE$6:$AJ$85,3,FALSE),"")</f>
        <v/>
      </c>
      <c r="H987" t="str">
        <f>IFERROR(VLOOKUP(B987,'Pre-Summary'!$AE$6:$AJ$85,4,FALSE),"")</f>
        <v/>
      </c>
      <c r="I987" t="str">
        <f>IFERROR(VLOOKUP(B987,'Pre-Summary'!$AE$6:$AJ$85,5,FALSE),"")</f>
        <v/>
      </c>
      <c r="J987" s="45" t="str">
        <f>IFERROR(VLOOKUP(B987,'Pre-Summary'!$AE$6:$AJ$85,6, FALSE),"")</f>
        <v/>
      </c>
      <c r="K987" s="45" t="str">
        <f>IFERROR(VLOOKUP(B987,'Pre-Summary'!$DE$6:$DG$61,3,FALSE),"")</f>
        <v/>
      </c>
      <c r="L987" s="45" t="str">
        <f>IFERROR(VLOOKUP(B987,'Pre-Summary'!$CU$6:$CW$36,3,FALSE),"")</f>
        <v/>
      </c>
      <c r="M987" s="45" t="str">
        <f>IFERROR(VLOOKUP(B987,'Pre-Summary'!$BW$6:$BY$58,2,FALSE),"")</f>
        <v/>
      </c>
      <c r="N987" s="45" t="str">
        <f>IFERROR(VLOOKUP(B987,'Pre-Summary'!$CD$6:$CF$64,2,FALSE),"")</f>
        <v/>
      </c>
      <c r="O987" s="99">
        <f>IFERROR(VLOOKUP(B987,'Pre-Summary'!$BO$6:$BQ$48,3, FALSE),O986)</f>
        <v>1</v>
      </c>
      <c r="P987" s="99">
        <f>IFERROR(VLOOKUP(B987,'Pre-Summary'!$BS$6:$BU$35,3,FALSE),P986)</f>
        <v>0.25</v>
      </c>
      <c r="Q987" s="54">
        <f t="shared" si="45"/>
        <v>4</v>
      </c>
      <c r="R987" s="53">
        <f>IFERROR(VLOOKUP(B987,'Pre-Summary'!$BG$6:$BM$44,7,FALSE),R988)</f>
        <v>4.0839377512219534E-2</v>
      </c>
      <c r="S987" s="53">
        <f>IFERROR(VLOOKUP(B987,'Pre-Summary'!$BG$6:$BM$44,6,FALSE),S988)</f>
        <v>3.561480302426305E-2</v>
      </c>
      <c r="T987" s="45" t="str">
        <f>IFERROR(VLOOKUP(B987,'Pre-Summary'!$Y$6:$AC$83, 3,FALSE),"")</f>
        <v/>
      </c>
      <c r="U987" s="45" t="str">
        <f>IFERROR(VLOOKUP(B987,'Pre-Summary'!$Y$6:$AC$83, 4,FALSE),"")</f>
        <v/>
      </c>
      <c r="V987" t="str">
        <f>IFERROR(VLOOKUP(B987,'Pre-Summary'!$Y$6:$AC$83, 5,FALSE),"")</f>
        <v/>
      </c>
      <c r="W987" s="45" t="str">
        <f>IFERROR(VLOOKUP(B987,'Pre-Summary'!$Y$6:$AD$83,6,FALSE),"")</f>
        <v/>
      </c>
      <c r="X987" t="str">
        <f>IFERROR(VLOOKUP('Pre-Summary'!$DB$6:$DD$63,3,FALSE),"")</f>
        <v/>
      </c>
      <c r="Y987" t="str">
        <f>IFERROR(VLOOKUP(B987,'Pre-Summary'!$CR$6:$CT$36,3,FALSE),"")</f>
        <v/>
      </c>
      <c r="Z987" s="45" t="str">
        <f>IFERROR(VLOOKUP(B987,'Pre-Summary'!$BZ$6:$CB$63,2,FALSE),"")</f>
        <v/>
      </c>
      <c r="AA987" s="45" t="str">
        <f>IFERROR(VLOOKUP(B987,'Pre-Summary'!$CG$6:$CI$70,2,FALSE),"")</f>
        <v/>
      </c>
      <c r="AB987" s="99">
        <f>IFERROR(VLOOKUP(B987,'Pre-Summary'!$A$6:$P$178,9,FALSE),AB988)</f>
        <v>0.56698835270431935</v>
      </c>
      <c r="AC987" s="10">
        <f>IFERROR(VLOOKUP(Summary!B987,'Pre-Summary'!$A$6:$P$184,5, FALSE)/100,AC988)</f>
        <v>0.90877666666666657</v>
      </c>
      <c r="AD987" s="10">
        <f>IFERROR(VLOOKUP(Summary!B987,'Pre-Summary'!$A$6:$P$184,3, FALSE)/100,AD988)</f>
        <v>2.5033666666666666E-2</v>
      </c>
      <c r="AE987" s="10">
        <f>IFERROR(VLOOKUP(Summary!B987,'Pre-Summary'!$A$6:$P$184,7, FALSE)/100,AE988)</f>
        <v>6.6189666666666674E-2</v>
      </c>
      <c r="AF987" s="99">
        <f t="shared" si="46"/>
        <v>1.4193797425482362E-2</v>
      </c>
      <c r="AG987" s="99">
        <f t="shared" si="47"/>
        <v>3.7528770069381337E-2</v>
      </c>
      <c r="AH987" s="10" t="str">
        <f>IFERROR(VLOOKUP(B987,'Pre-Summary'!$AZ$6:$BE$65,3,FALSE),"")</f>
        <v/>
      </c>
      <c r="AI987" s="10" t="str">
        <f>IFERROR(VLOOKUP(B987,'Pre-Summary'!$AZ$6:$BE$65,5,FALSE),"")</f>
        <v/>
      </c>
      <c r="AJ987" s="10" t="str">
        <f>IFERROR(VLOOKUP(B987,'Pre-Summary'!$AZ$6:$BE$65,4,FALSE),"")</f>
        <v/>
      </c>
      <c r="AK987" s="10" t="str">
        <f>IFERROR(VLOOKUP(B987,'Pre-Summary'!$AZ$6:$BE$65,6,FALSE),"")</f>
        <v/>
      </c>
      <c r="AL987" s="10" t="str">
        <f>IFERROR(VLOOKUP(B987,'Pre-Summary'!$BG$6:$BL$44,3,FALSE),"")</f>
        <v/>
      </c>
      <c r="AM987" s="10" t="str">
        <f>IFERROR(VLOOKUP(B987,'Pre-Summary'!$BG$6:$BL$44,4,FALSE),"")</f>
        <v/>
      </c>
    </row>
    <row r="988" spans="2:39" ht="15" customHeight="1" x14ac:dyDescent="0.3">
      <c r="B988">
        <v>98.5</v>
      </c>
      <c r="C988" t="str">
        <f>IFERROR(VLOOKUP(B988,'Pre-Summary'!$DI$6:$DM$23,4,FALSE),"")</f>
        <v/>
      </c>
      <c r="D988" s="10" t="str">
        <f>IFERROR(VLOOKUP(B988,'Pre-Summary'!$AT$6:$AX$14,5,FALSE),D987)</f>
        <v>DSMZ v3: dropped yeast, casitone, and bicarb out of DSMZ 120</v>
      </c>
      <c r="E988" s="10" t="str">
        <f>IFERROR(VLOOKUP(B988,'Pre-Summary'!$AT$6:$AX$15,4,FALSE),"")</f>
        <v/>
      </c>
      <c r="F988">
        <f>IFERROR(VLOOKUP(B988,'Pre-Summary'!$AL$6:$AQ$13,6,FALSE),F987)</f>
        <v>5.9405263157894746E-2</v>
      </c>
      <c r="G988" t="str">
        <f>IFERROR(VLOOKUP(B988,'Pre-Summary'!$AE$6:$AJ$85,3,FALSE),"")</f>
        <v/>
      </c>
      <c r="H988" t="str">
        <f>IFERROR(VLOOKUP(B988,'Pre-Summary'!$AE$6:$AJ$85,4,FALSE),"")</f>
        <v/>
      </c>
      <c r="I988" t="str">
        <f>IFERROR(VLOOKUP(B988,'Pre-Summary'!$AE$6:$AJ$85,5,FALSE),"")</f>
        <v/>
      </c>
      <c r="J988" s="45" t="str">
        <f>IFERROR(VLOOKUP(B988,'Pre-Summary'!$AE$6:$AJ$85,6, FALSE),"")</f>
        <v/>
      </c>
      <c r="K988" s="45" t="str">
        <f>IFERROR(VLOOKUP(B988,'Pre-Summary'!$DE$6:$DG$61,3,FALSE),"")</f>
        <v/>
      </c>
      <c r="L988" s="45" t="str">
        <f>IFERROR(VLOOKUP(B988,'Pre-Summary'!$CU$6:$CW$36,3,FALSE),"")</f>
        <v/>
      </c>
      <c r="M988" s="45" t="str">
        <f>IFERROR(VLOOKUP(B988,'Pre-Summary'!$BW$6:$BY$58,2,FALSE),"")</f>
        <v/>
      </c>
      <c r="N988" s="45" t="str">
        <f>IFERROR(VLOOKUP(B988,'Pre-Summary'!$CD$6:$CF$64,2,FALSE),"")</f>
        <v/>
      </c>
      <c r="O988" s="99">
        <f>IFERROR(VLOOKUP(B988,'Pre-Summary'!$BO$6:$BQ$48,3, FALSE),O987)</f>
        <v>1</v>
      </c>
      <c r="P988" s="99">
        <f>IFERROR(VLOOKUP(B988,'Pre-Summary'!$BS$6:$BU$35,3,FALSE),P987)</f>
        <v>0.25</v>
      </c>
      <c r="Q988" s="54">
        <f t="shared" si="45"/>
        <v>4</v>
      </c>
      <c r="R988" s="53">
        <f>IFERROR(VLOOKUP(B988,'Pre-Summary'!$BG$6:$BM$44,7,FALSE),R989)</f>
        <v>4.0839377512219534E-2</v>
      </c>
      <c r="S988" s="53">
        <f>IFERROR(VLOOKUP(B988,'Pre-Summary'!$BG$6:$BM$44,6,FALSE),S989)</f>
        <v>3.561480302426305E-2</v>
      </c>
      <c r="T988" s="45" t="str">
        <f>IFERROR(VLOOKUP(B988,'Pre-Summary'!$Y$6:$AC$83, 3,FALSE),"")</f>
        <v/>
      </c>
      <c r="U988" s="45" t="str">
        <f>IFERROR(VLOOKUP(B988,'Pre-Summary'!$Y$6:$AC$83, 4,FALSE),"")</f>
        <v/>
      </c>
      <c r="V988" t="str">
        <f>IFERROR(VLOOKUP(B988,'Pre-Summary'!$Y$6:$AC$83, 5,FALSE),"")</f>
        <v/>
      </c>
      <c r="W988" s="45" t="str">
        <f>IFERROR(VLOOKUP(B988,'Pre-Summary'!$Y$6:$AD$83,6,FALSE),"")</f>
        <v/>
      </c>
      <c r="X988" t="str">
        <f>IFERROR(VLOOKUP('Pre-Summary'!$DB$6:$DD$63,3,FALSE),"")</f>
        <v/>
      </c>
      <c r="Y988" t="str">
        <f>IFERROR(VLOOKUP(B988,'Pre-Summary'!$CR$6:$CT$36,3,FALSE),"")</f>
        <v/>
      </c>
      <c r="Z988" s="45" t="str">
        <f>IFERROR(VLOOKUP(B988,'Pre-Summary'!$BZ$6:$CB$63,2,FALSE),"")</f>
        <v/>
      </c>
      <c r="AA988" s="45" t="str">
        <f>IFERROR(VLOOKUP(B988,'Pre-Summary'!$CG$6:$CI$70,2,FALSE),"")</f>
        <v/>
      </c>
      <c r="AB988" s="99">
        <f>IFERROR(VLOOKUP(B988,'Pre-Summary'!$A$6:$P$178,9,FALSE),AB989)</f>
        <v>0.56698835270431935</v>
      </c>
      <c r="AC988" s="10">
        <f>IFERROR(VLOOKUP(Summary!B988,'Pre-Summary'!$A$6:$P$184,5, FALSE)/100,AC989)</f>
        <v>0.90877666666666657</v>
      </c>
      <c r="AD988" s="10">
        <f>IFERROR(VLOOKUP(Summary!B988,'Pre-Summary'!$A$6:$P$184,3, FALSE)/100,AD989)</f>
        <v>2.5033666666666666E-2</v>
      </c>
      <c r="AE988" s="10">
        <f>IFERROR(VLOOKUP(Summary!B988,'Pre-Summary'!$A$6:$P$184,7, FALSE)/100,AE989)</f>
        <v>6.6189666666666674E-2</v>
      </c>
      <c r="AF988" s="99">
        <f t="shared" si="46"/>
        <v>1.4193797425482362E-2</v>
      </c>
      <c r="AG988" s="99">
        <f t="shared" si="47"/>
        <v>3.7528770069381337E-2</v>
      </c>
      <c r="AH988" s="10" t="str">
        <f>IFERROR(VLOOKUP(B988,'Pre-Summary'!$AZ$6:$BE$65,3,FALSE),"")</f>
        <v/>
      </c>
      <c r="AI988" s="10" t="str">
        <f>IFERROR(VLOOKUP(B988,'Pre-Summary'!$AZ$6:$BE$65,5,FALSE),"")</f>
        <v/>
      </c>
      <c r="AJ988" s="10" t="str">
        <f>IFERROR(VLOOKUP(B988,'Pre-Summary'!$AZ$6:$BE$65,4,FALSE),"")</f>
        <v/>
      </c>
      <c r="AK988" s="10" t="str">
        <f>IFERROR(VLOOKUP(B988,'Pre-Summary'!$AZ$6:$BE$65,6,FALSE),"")</f>
        <v/>
      </c>
      <c r="AL988" s="10" t="str">
        <f>IFERROR(VLOOKUP(B988,'Pre-Summary'!$BG$6:$BL$44,3,FALSE),"")</f>
        <v/>
      </c>
      <c r="AM988" s="10" t="str">
        <f>IFERROR(VLOOKUP(B988,'Pre-Summary'!$BG$6:$BL$44,4,FALSE),"")</f>
        <v/>
      </c>
    </row>
    <row r="989" spans="2:39" ht="15" customHeight="1" x14ac:dyDescent="0.3">
      <c r="B989">
        <v>98.6</v>
      </c>
      <c r="C989" t="str">
        <f>IFERROR(VLOOKUP(B989,'Pre-Summary'!$DI$6:$DM$23,4,FALSE),"")</f>
        <v/>
      </c>
      <c r="D989" s="10" t="str">
        <f>IFERROR(VLOOKUP(B989,'Pre-Summary'!$AT$6:$AX$14,5,FALSE),D988)</f>
        <v>DSMZ v3: dropped yeast, casitone, and bicarb out of DSMZ 120</v>
      </c>
      <c r="E989" s="10" t="str">
        <f>IFERROR(VLOOKUP(B989,'Pre-Summary'!$AT$6:$AX$15,4,FALSE),"")</f>
        <v/>
      </c>
      <c r="F989">
        <f>IFERROR(VLOOKUP(B989,'Pre-Summary'!$AL$6:$AQ$13,6,FALSE),F988)</f>
        <v>5.9405263157894746E-2</v>
      </c>
      <c r="G989" t="str">
        <f>IFERROR(VLOOKUP(B989,'Pre-Summary'!$AE$6:$AJ$85,3,FALSE),"")</f>
        <v/>
      </c>
      <c r="H989" t="str">
        <f>IFERROR(VLOOKUP(B989,'Pre-Summary'!$AE$6:$AJ$85,4,FALSE),"")</f>
        <v/>
      </c>
      <c r="I989" t="str">
        <f>IFERROR(VLOOKUP(B989,'Pre-Summary'!$AE$6:$AJ$85,5,FALSE),"")</f>
        <v/>
      </c>
      <c r="J989" s="45" t="str">
        <f>IFERROR(VLOOKUP(B989,'Pre-Summary'!$AE$6:$AJ$85,6, FALSE),"")</f>
        <v/>
      </c>
      <c r="K989" s="45" t="str">
        <f>IFERROR(VLOOKUP(B989,'Pre-Summary'!$DE$6:$DG$61,3,FALSE),"")</f>
        <v/>
      </c>
      <c r="L989" s="45" t="str">
        <f>IFERROR(VLOOKUP(B989,'Pre-Summary'!$CU$6:$CW$36,3,FALSE),"")</f>
        <v/>
      </c>
      <c r="M989" s="45" t="str">
        <f>IFERROR(VLOOKUP(B989,'Pre-Summary'!$BW$6:$BY$58,2,FALSE),"")</f>
        <v/>
      </c>
      <c r="N989" s="45" t="str">
        <f>IFERROR(VLOOKUP(B989,'Pre-Summary'!$CD$6:$CF$64,2,FALSE),"")</f>
        <v/>
      </c>
      <c r="O989" s="99">
        <f>IFERROR(VLOOKUP(B989,'Pre-Summary'!$BO$6:$BQ$48,3, FALSE),O988)</f>
        <v>1</v>
      </c>
      <c r="P989" s="99">
        <f>IFERROR(VLOOKUP(B989,'Pre-Summary'!$BS$6:$BU$35,3,FALSE),P988)</f>
        <v>0.25</v>
      </c>
      <c r="Q989" s="54">
        <f t="shared" si="45"/>
        <v>4</v>
      </c>
      <c r="R989" s="53">
        <f>IFERROR(VLOOKUP(B989,'Pre-Summary'!$BG$6:$BM$44,7,FALSE),R990)</f>
        <v>4.0839377512219534E-2</v>
      </c>
      <c r="S989" s="53">
        <f>IFERROR(VLOOKUP(B989,'Pre-Summary'!$BG$6:$BM$44,6,FALSE),S990)</f>
        <v>3.561480302426305E-2</v>
      </c>
      <c r="T989" s="45" t="str">
        <f>IFERROR(VLOOKUP(B989,'Pre-Summary'!$Y$6:$AC$83, 3,FALSE),"")</f>
        <v/>
      </c>
      <c r="U989" s="45" t="str">
        <f>IFERROR(VLOOKUP(B989,'Pre-Summary'!$Y$6:$AC$83, 4,FALSE),"")</f>
        <v/>
      </c>
      <c r="V989" t="str">
        <f>IFERROR(VLOOKUP(B989,'Pre-Summary'!$Y$6:$AC$83, 5,FALSE),"")</f>
        <v/>
      </c>
      <c r="W989" s="45" t="str">
        <f>IFERROR(VLOOKUP(B989,'Pre-Summary'!$Y$6:$AD$83,6,FALSE),"")</f>
        <v/>
      </c>
      <c r="X989" t="str">
        <f>IFERROR(VLOOKUP('Pre-Summary'!$DB$6:$DD$63,3,FALSE),"")</f>
        <v/>
      </c>
      <c r="Y989" t="str">
        <f>IFERROR(VLOOKUP(B989,'Pre-Summary'!$CR$6:$CT$36,3,FALSE),"")</f>
        <v/>
      </c>
      <c r="Z989" s="45" t="str">
        <f>IFERROR(VLOOKUP(B989,'Pre-Summary'!$BZ$6:$CB$63,2,FALSE),"")</f>
        <v/>
      </c>
      <c r="AA989" s="45" t="str">
        <f>IFERROR(VLOOKUP(B989,'Pre-Summary'!$CG$6:$CI$70,2,FALSE),"")</f>
        <v/>
      </c>
      <c r="AB989" s="99">
        <f>IFERROR(VLOOKUP(B989,'Pre-Summary'!$A$6:$P$178,9,FALSE),AB990)</f>
        <v>0.56698835270431935</v>
      </c>
      <c r="AC989" s="10">
        <f>IFERROR(VLOOKUP(Summary!B989,'Pre-Summary'!$A$6:$P$184,5, FALSE)/100,AC990)</f>
        <v>0.90877666666666657</v>
      </c>
      <c r="AD989" s="10">
        <f>IFERROR(VLOOKUP(Summary!B989,'Pre-Summary'!$A$6:$P$184,3, FALSE)/100,AD990)</f>
        <v>2.5033666666666666E-2</v>
      </c>
      <c r="AE989" s="10">
        <f>IFERROR(VLOOKUP(Summary!B989,'Pre-Summary'!$A$6:$P$184,7, FALSE)/100,AE990)</f>
        <v>6.6189666666666674E-2</v>
      </c>
      <c r="AF989" s="99">
        <f t="shared" si="46"/>
        <v>1.4193797425482362E-2</v>
      </c>
      <c r="AG989" s="99">
        <f t="shared" si="47"/>
        <v>3.7528770069381337E-2</v>
      </c>
      <c r="AH989" s="10" t="str">
        <f>IFERROR(VLOOKUP(B989,'Pre-Summary'!$AZ$6:$BE$65,3,FALSE),"")</f>
        <v/>
      </c>
      <c r="AI989" s="10" t="str">
        <f>IFERROR(VLOOKUP(B989,'Pre-Summary'!$AZ$6:$BE$65,5,FALSE),"")</f>
        <v/>
      </c>
      <c r="AJ989" s="10" t="str">
        <f>IFERROR(VLOOKUP(B989,'Pre-Summary'!$AZ$6:$BE$65,4,FALSE),"")</f>
        <v/>
      </c>
      <c r="AK989" s="10" t="str">
        <f>IFERROR(VLOOKUP(B989,'Pre-Summary'!$AZ$6:$BE$65,6,FALSE),"")</f>
        <v/>
      </c>
      <c r="AL989" s="10" t="str">
        <f>IFERROR(VLOOKUP(B989,'Pre-Summary'!$BG$6:$BL$44,3,FALSE),"")</f>
        <v/>
      </c>
      <c r="AM989" s="10" t="str">
        <f>IFERROR(VLOOKUP(B989,'Pre-Summary'!$BG$6:$BL$44,4,FALSE),"")</f>
        <v/>
      </c>
    </row>
    <row r="990" spans="2:39" ht="15" customHeight="1" x14ac:dyDescent="0.3">
      <c r="B990">
        <v>98.7</v>
      </c>
      <c r="C990" t="str">
        <f>IFERROR(VLOOKUP(B990,'Pre-Summary'!$DI$6:$DM$23,4,FALSE),"")</f>
        <v/>
      </c>
      <c r="D990" s="10" t="str">
        <f>IFERROR(VLOOKUP(B990,'Pre-Summary'!$AT$6:$AX$14,5,FALSE),D989)</f>
        <v>DSMZ v3: dropped yeast, casitone, and bicarb out of DSMZ 120</v>
      </c>
      <c r="E990" s="10" t="str">
        <f>IFERROR(VLOOKUP(B990,'Pre-Summary'!$AT$6:$AX$15,4,FALSE),"")</f>
        <v/>
      </c>
      <c r="F990">
        <f>IFERROR(VLOOKUP(B990,'Pre-Summary'!$AL$6:$AQ$13,6,FALSE),F989)</f>
        <v>5.9405263157894746E-2</v>
      </c>
      <c r="G990" t="str">
        <f>IFERROR(VLOOKUP(B990,'Pre-Summary'!$AE$6:$AJ$85,3,FALSE),"")</f>
        <v/>
      </c>
      <c r="H990" t="str">
        <f>IFERROR(VLOOKUP(B990,'Pre-Summary'!$AE$6:$AJ$85,4,FALSE),"")</f>
        <v/>
      </c>
      <c r="I990" t="str">
        <f>IFERROR(VLOOKUP(B990,'Pre-Summary'!$AE$6:$AJ$85,5,FALSE),"")</f>
        <v/>
      </c>
      <c r="J990" s="45" t="str">
        <f>IFERROR(VLOOKUP(B990,'Pre-Summary'!$AE$6:$AJ$85,6, FALSE),"")</f>
        <v/>
      </c>
      <c r="K990" s="45" t="str">
        <f>IFERROR(VLOOKUP(B990,'Pre-Summary'!$DE$6:$DG$61,3,FALSE),"")</f>
        <v/>
      </c>
      <c r="L990" s="45" t="str">
        <f>IFERROR(VLOOKUP(B990,'Pre-Summary'!$CU$6:$CW$36,3,FALSE),"")</f>
        <v/>
      </c>
      <c r="M990" s="45" t="str">
        <f>IFERROR(VLOOKUP(B990,'Pre-Summary'!$BW$6:$BY$58,2,FALSE),"")</f>
        <v/>
      </c>
      <c r="N990" s="45" t="str">
        <f>IFERROR(VLOOKUP(B990,'Pre-Summary'!$CD$6:$CF$64,2,FALSE),"")</f>
        <v/>
      </c>
      <c r="O990" s="99">
        <f>IFERROR(VLOOKUP(B990,'Pre-Summary'!$BO$6:$BQ$48,3, FALSE),O989)</f>
        <v>1</v>
      </c>
      <c r="P990" s="99">
        <f>IFERROR(VLOOKUP(B990,'Pre-Summary'!$BS$6:$BU$35,3,FALSE),P989)</f>
        <v>0.25</v>
      </c>
      <c r="Q990" s="54">
        <f t="shared" si="45"/>
        <v>4</v>
      </c>
      <c r="R990" s="53">
        <f>IFERROR(VLOOKUP(B990,'Pre-Summary'!$BG$6:$BM$44,7,FALSE),R991)</f>
        <v>4.0839377512219534E-2</v>
      </c>
      <c r="S990" s="53">
        <f>IFERROR(VLOOKUP(B990,'Pre-Summary'!$BG$6:$BM$44,6,FALSE),S991)</f>
        <v>3.561480302426305E-2</v>
      </c>
      <c r="T990" s="45" t="str">
        <f>IFERROR(VLOOKUP(B990,'Pre-Summary'!$Y$6:$AC$83, 3,FALSE),"")</f>
        <v/>
      </c>
      <c r="U990" s="45" t="str">
        <f>IFERROR(VLOOKUP(B990,'Pre-Summary'!$Y$6:$AC$83, 4,FALSE),"")</f>
        <v/>
      </c>
      <c r="V990" t="str">
        <f>IFERROR(VLOOKUP(B990,'Pre-Summary'!$Y$6:$AC$83, 5,FALSE),"")</f>
        <v/>
      </c>
      <c r="W990" s="45" t="str">
        <f>IFERROR(VLOOKUP(B990,'Pre-Summary'!$Y$6:$AD$83,6,FALSE),"")</f>
        <v/>
      </c>
      <c r="X990" t="str">
        <f>IFERROR(VLOOKUP('Pre-Summary'!$DB$6:$DD$63,3,FALSE),"")</f>
        <v/>
      </c>
      <c r="Y990" t="str">
        <f>IFERROR(VLOOKUP(B990,'Pre-Summary'!$CR$6:$CT$36,3,FALSE),"")</f>
        <v/>
      </c>
      <c r="Z990" s="45" t="str">
        <f>IFERROR(VLOOKUP(B990,'Pre-Summary'!$BZ$6:$CB$63,2,FALSE),"")</f>
        <v/>
      </c>
      <c r="AA990" s="45" t="str">
        <f>IFERROR(VLOOKUP(B990,'Pre-Summary'!$CG$6:$CI$70,2,FALSE),"")</f>
        <v/>
      </c>
      <c r="AB990" s="99">
        <f>IFERROR(VLOOKUP(B990,'Pre-Summary'!$A$6:$P$178,9,FALSE),AB991)</f>
        <v>0.56698835270431935</v>
      </c>
      <c r="AC990" s="10">
        <f>IFERROR(VLOOKUP(Summary!B990,'Pre-Summary'!$A$6:$P$184,5, FALSE)/100,AC991)</f>
        <v>0.90877666666666657</v>
      </c>
      <c r="AD990" s="10">
        <f>IFERROR(VLOOKUP(Summary!B990,'Pre-Summary'!$A$6:$P$184,3, FALSE)/100,AD991)</f>
        <v>2.5033666666666666E-2</v>
      </c>
      <c r="AE990" s="10">
        <f>IFERROR(VLOOKUP(Summary!B990,'Pre-Summary'!$A$6:$P$184,7, FALSE)/100,AE991)</f>
        <v>6.6189666666666674E-2</v>
      </c>
      <c r="AF990" s="99">
        <f t="shared" si="46"/>
        <v>1.4193797425482362E-2</v>
      </c>
      <c r="AG990" s="99">
        <f t="shared" si="47"/>
        <v>3.7528770069381337E-2</v>
      </c>
      <c r="AH990" s="10" t="str">
        <f>IFERROR(VLOOKUP(B990,'Pre-Summary'!$AZ$6:$BE$65,3,FALSE),"")</f>
        <v/>
      </c>
      <c r="AI990" s="10" t="str">
        <f>IFERROR(VLOOKUP(B990,'Pre-Summary'!$AZ$6:$BE$65,5,FALSE),"")</f>
        <v/>
      </c>
      <c r="AJ990" s="10" t="str">
        <f>IFERROR(VLOOKUP(B990,'Pre-Summary'!$AZ$6:$BE$65,4,FALSE),"")</f>
        <v/>
      </c>
      <c r="AK990" s="10" t="str">
        <f>IFERROR(VLOOKUP(B990,'Pre-Summary'!$AZ$6:$BE$65,6,FALSE),"")</f>
        <v/>
      </c>
      <c r="AL990" s="10" t="str">
        <f>IFERROR(VLOOKUP(B990,'Pre-Summary'!$BG$6:$BL$44,3,FALSE),"")</f>
        <v/>
      </c>
      <c r="AM990" s="10" t="str">
        <f>IFERROR(VLOOKUP(B990,'Pre-Summary'!$BG$6:$BL$44,4,FALSE),"")</f>
        <v/>
      </c>
    </row>
    <row r="991" spans="2:39" ht="15" customHeight="1" x14ac:dyDescent="0.3">
      <c r="B991">
        <v>98.8</v>
      </c>
      <c r="C991" t="str">
        <f>IFERROR(VLOOKUP(B991,'Pre-Summary'!$DI$6:$DM$23,4,FALSE),"")</f>
        <v/>
      </c>
      <c r="D991" s="10" t="str">
        <f>IFERROR(VLOOKUP(B991,'Pre-Summary'!$AT$6:$AX$14,5,FALSE),D990)</f>
        <v>DSMZ v3: dropped yeast, casitone, and bicarb out of DSMZ 120</v>
      </c>
      <c r="E991" s="10" t="str">
        <f>IFERROR(VLOOKUP(B991,'Pre-Summary'!$AT$6:$AX$15,4,FALSE),"")</f>
        <v/>
      </c>
      <c r="F991">
        <f>IFERROR(VLOOKUP(B991,'Pre-Summary'!$AL$6:$AQ$13,6,FALSE),F990)</f>
        <v>5.9405263157894746E-2</v>
      </c>
      <c r="G991" t="str">
        <f>IFERROR(VLOOKUP(B991,'Pre-Summary'!$AE$6:$AJ$85,3,FALSE),"")</f>
        <v/>
      </c>
      <c r="H991" t="str">
        <f>IFERROR(VLOOKUP(B991,'Pre-Summary'!$AE$6:$AJ$85,4,FALSE),"")</f>
        <v/>
      </c>
      <c r="I991" t="str">
        <f>IFERROR(VLOOKUP(B991,'Pre-Summary'!$AE$6:$AJ$85,5,FALSE),"")</f>
        <v/>
      </c>
      <c r="J991" s="45" t="str">
        <f>IFERROR(VLOOKUP(B991,'Pre-Summary'!$AE$6:$AJ$85,6, FALSE),"")</f>
        <v/>
      </c>
      <c r="K991" s="45" t="str">
        <f>IFERROR(VLOOKUP(B991,'Pre-Summary'!$DE$6:$DG$61,3,FALSE),"")</f>
        <v/>
      </c>
      <c r="L991" s="45" t="str">
        <f>IFERROR(VLOOKUP(B991,'Pre-Summary'!$CU$6:$CW$36,3,FALSE),"")</f>
        <v/>
      </c>
      <c r="M991" s="45" t="str">
        <f>IFERROR(VLOOKUP(B991,'Pre-Summary'!$BW$6:$BY$58,2,FALSE),"")</f>
        <v/>
      </c>
      <c r="N991" s="45" t="str">
        <f>IFERROR(VLOOKUP(B991,'Pre-Summary'!$CD$6:$CF$64,2,FALSE),"")</f>
        <v/>
      </c>
      <c r="O991" s="99">
        <f>IFERROR(VLOOKUP(B991,'Pre-Summary'!$BO$6:$BQ$48,3, FALSE),O990)</f>
        <v>1</v>
      </c>
      <c r="P991" s="99">
        <f>IFERROR(VLOOKUP(B991,'Pre-Summary'!$BS$6:$BU$35,3,FALSE),P990)</f>
        <v>0.25</v>
      </c>
      <c r="Q991" s="54">
        <f t="shared" si="45"/>
        <v>4</v>
      </c>
      <c r="R991" s="53">
        <f>IFERROR(VLOOKUP(B991,'Pre-Summary'!$BG$6:$BM$44,7,FALSE),R992)</f>
        <v>4.0839377512219534E-2</v>
      </c>
      <c r="S991" s="53">
        <f>IFERROR(VLOOKUP(B991,'Pre-Summary'!$BG$6:$BM$44,6,FALSE),S992)</f>
        <v>3.561480302426305E-2</v>
      </c>
      <c r="T991" s="45" t="str">
        <f>IFERROR(VLOOKUP(B991,'Pre-Summary'!$Y$6:$AC$83, 3,FALSE),"")</f>
        <v/>
      </c>
      <c r="U991" s="45" t="str">
        <f>IFERROR(VLOOKUP(B991,'Pre-Summary'!$Y$6:$AC$83, 4,FALSE),"")</f>
        <v/>
      </c>
      <c r="V991" t="str">
        <f>IFERROR(VLOOKUP(B991,'Pre-Summary'!$Y$6:$AC$83, 5,FALSE),"")</f>
        <v/>
      </c>
      <c r="W991" s="45" t="str">
        <f>IFERROR(VLOOKUP(B991,'Pre-Summary'!$Y$6:$AD$83,6,FALSE),"")</f>
        <v/>
      </c>
      <c r="X991" t="str">
        <f>IFERROR(VLOOKUP('Pre-Summary'!$DB$6:$DD$63,3,FALSE),"")</f>
        <v/>
      </c>
      <c r="Y991" t="str">
        <f>IFERROR(VLOOKUP(B991,'Pre-Summary'!$CR$6:$CT$36,3,FALSE),"")</f>
        <v/>
      </c>
      <c r="Z991" s="45" t="str">
        <f>IFERROR(VLOOKUP(B991,'Pre-Summary'!$BZ$6:$CB$63,2,FALSE),"")</f>
        <v/>
      </c>
      <c r="AA991" s="45" t="str">
        <f>IFERROR(VLOOKUP(B991,'Pre-Summary'!$CG$6:$CI$70,2,FALSE),"")</f>
        <v/>
      </c>
      <c r="AB991" s="99">
        <f>IFERROR(VLOOKUP(B991,'Pre-Summary'!$A$6:$P$178,9,FALSE),AB992)</f>
        <v>0.56698835270431935</v>
      </c>
      <c r="AC991" s="10">
        <f>IFERROR(VLOOKUP(Summary!B991,'Pre-Summary'!$A$6:$P$184,5, FALSE)/100,AC992)</f>
        <v>0.90877666666666657</v>
      </c>
      <c r="AD991" s="10">
        <f>IFERROR(VLOOKUP(Summary!B991,'Pre-Summary'!$A$6:$P$184,3, FALSE)/100,AD992)</f>
        <v>2.5033666666666666E-2</v>
      </c>
      <c r="AE991" s="10">
        <f>IFERROR(VLOOKUP(Summary!B991,'Pre-Summary'!$A$6:$P$184,7, FALSE)/100,AE992)</f>
        <v>6.6189666666666674E-2</v>
      </c>
      <c r="AF991" s="99">
        <f t="shared" si="46"/>
        <v>1.4193797425482362E-2</v>
      </c>
      <c r="AG991" s="99">
        <f t="shared" si="47"/>
        <v>3.7528770069381337E-2</v>
      </c>
      <c r="AH991" s="10" t="str">
        <f>IFERROR(VLOOKUP(B991,'Pre-Summary'!$AZ$6:$BE$65,3,FALSE),"")</f>
        <v/>
      </c>
      <c r="AI991" s="10" t="str">
        <f>IFERROR(VLOOKUP(B991,'Pre-Summary'!$AZ$6:$BE$65,5,FALSE),"")</f>
        <v/>
      </c>
      <c r="AJ991" s="10" t="str">
        <f>IFERROR(VLOOKUP(B991,'Pre-Summary'!$AZ$6:$BE$65,4,FALSE),"")</f>
        <v/>
      </c>
      <c r="AK991" s="10" t="str">
        <f>IFERROR(VLOOKUP(B991,'Pre-Summary'!$AZ$6:$BE$65,6,FALSE),"")</f>
        <v/>
      </c>
      <c r="AL991" s="10" t="str">
        <f>IFERROR(VLOOKUP(B991,'Pre-Summary'!$BG$6:$BL$44,3,FALSE),"")</f>
        <v/>
      </c>
      <c r="AM991" s="10" t="str">
        <f>IFERROR(VLOOKUP(B991,'Pre-Summary'!$BG$6:$BL$44,4,FALSE),"")</f>
        <v/>
      </c>
    </row>
    <row r="992" spans="2:39" ht="15" customHeight="1" x14ac:dyDescent="0.3">
      <c r="B992">
        <v>98.9</v>
      </c>
      <c r="C992" t="str">
        <f>IFERROR(VLOOKUP(B992,'Pre-Summary'!$DI$6:$DM$23,4,FALSE),"")</f>
        <v/>
      </c>
      <c r="D992" s="10" t="str">
        <f>IFERROR(VLOOKUP(B992,'Pre-Summary'!$AT$6:$AX$14,5,FALSE),D991)</f>
        <v>DSMZ v3: dropped yeast, casitone, and bicarb out of DSMZ 120</v>
      </c>
      <c r="E992" s="10" t="str">
        <f>IFERROR(VLOOKUP(B992,'Pre-Summary'!$AT$6:$AX$15,4,FALSE),"")</f>
        <v/>
      </c>
      <c r="F992">
        <f>IFERROR(VLOOKUP(B992,'Pre-Summary'!$AL$6:$AQ$13,6,FALSE),F991)</f>
        <v>5.9405263157894746E-2</v>
      </c>
      <c r="G992" t="str">
        <f>IFERROR(VLOOKUP(B992,'Pre-Summary'!$AE$6:$AJ$85,3,FALSE),"")</f>
        <v/>
      </c>
      <c r="H992" t="str">
        <f>IFERROR(VLOOKUP(B992,'Pre-Summary'!$AE$6:$AJ$85,4,FALSE),"")</f>
        <v/>
      </c>
      <c r="I992" t="str">
        <f>IFERROR(VLOOKUP(B992,'Pre-Summary'!$AE$6:$AJ$85,5,FALSE),"")</f>
        <v/>
      </c>
      <c r="J992" s="45" t="str">
        <f>IFERROR(VLOOKUP(B992,'Pre-Summary'!$AE$6:$AJ$85,6, FALSE),"")</f>
        <v/>
      </c>
      <c r="K992" s="45" t="str">
        <f>IFERROR(VLOOKUP(B992,'Pre-Summary'!$DE$6:$DG$61,3,FALSE),"")</f>
        <v/>
      </c>
      <c r="L992" s="45" t="str">
        <f>IFERROR(VLOOKUP(B992,'Pre-Summary'!$CU$6:$CW$36,3,FALSE),"")</f>
        <v/>
      </c>
      <c r="M992" s="45" t="str">
        <f>IFERROR(VLOOKUP(B992,'Pre-Summary'!$BW$6:$BY$58,2,FALSE),"")</f>
        <v/>
      </c>
      <c r="N992" s="45" t="str">
        <f>IFERROR(VLOOKUP(B992,'Pre-Summary'!$CD$6:$CF$64,2,FALSE),"")</f>
        <v/>
      </c>
      <c r="O992" s="99">
        <f>IFERROR(VLOOKUP(B992,'Pre-Summary'!$BO$6:$BQ$48,3, FALSE),O991)</f>
        <v>1</v>
      </c>
      <c r="P992" s="99">
        <f>IFERROR(VLOOKUP(B992,'Pre-Summary'!$BS$6:$BU$35,3,FALSE),P991)</f>
        <v>0.25</v>
      </c>
      <c r="Q992" s="54">
        <f t="shared" si="45"/>
        <v>4</v>
      </c>
      <c r="R992" s="53">
        <f>IFERROR(VLOOKUP(B992,'Pre-Summary'!$BG$6:$BM$44,7,FALSE),R993)</f>
        <v>4.0839377512219534E-2</v>
      </c>
      <c r="S992" s="53">
        <f>IFERROR(VLOOKUP(B992,'Pre-Summary'!$BG$6:$BM$44,6,FALSE),S993)</f>
        <v>3.561480302426305E-2</v>
      </c>
      <c r="T992" s="45" t="str">
        <f>IFERROR(VLOOKUP(B992,'Pre-Summary'!$Y$6:$AC$83, 3,FALSE),"")</f>
        <v/>
      </c>
      <c r="U992" s="45" t="str">
        <f>IFERROR(VLOOKUP(B992,'Pre-Summary'!$Y$6:$AC$83, 4,FALSE),"")</f>
        <v/>
      </c>
      <c r="V992" t="str">
        <f>IFERROR(VLOOKUP(B992,'Pre-Summary'!$Y$6:$AC$83, 5,FALSE),"")</f>
        <v/>
      </c>
      <c r="W992" s="45" t="str">
        <f>IFERROR(VLOOKUP(B992,'Pre-Summary'!$Y$6:$AD$83,6,FALSE),"")</f>
        <v/>
      </c>
      <c r="X992" t="str">
        <f>IFERROR(VLOOKUP('Pre-Summary'!$DB$6:$DD$63,3,FALSE),"")</f>
        <v/>
      </c>
      <c r="Y992" t="str">
        <f>IFERROR(VLOOKUP(B992,'Pre-Summary'!$CR$6:$CT$36,3,FALSE),"")</f>
        <v/>
      </c>
      <c r="Z992" s="45" t="str">
        <f>IFERROR(VLOOKUP(B992,'Pre-Summary'!$BZ$6:$CB$63,2,FALSE),"")</f>
        <v/>
      </c>
      <c r="AA992" s="45" t="str">
        <f>IFERROR(VLOOKUP(B992,'Pre-Summary'!$CG$6:$CI$70,2,FALSE),"")</f>
        <v/>
      </c>
      <c r="AB992" s="99">
        <f>IFERROR(VLOOKUP(B992,'Pre-Summary'!$A$6:$P$178,9,FALSE),AB993)</f>
        <v>0.56698835270431935</v>
      </c>
      <c r="AC992" s="10">
        <f>IFERROR(VLOOKUP(Summary!B992,'Pre-Summary'!$A$6:$P$184,5, FALSE)/100,AC993)</f>
        <v>0.90877666666666657</v>
      </c>
      <c r="AD992" s="10">
        <f>IFERROR(VLOOKUP(Summary!B992,'Pre-Summary'!$A$6:$P$184,3, FALSE)/100,AD993)</f>
        <v>2.5033666666666666E-2</v>
      </c>
      <c r="AE992" s="10">
        <f>IFERROR(VLOOKUP(Summary!B992,'Pre-Summary'!$A$6:$P$184,7, FALSE)/100,AE993)</f>
        <v>6.6189666666666674E-2</v>
      </c>
      <c r="AF992" s="99">
        <f t="shared" si="46"/>
        <v>1.4193797425482362E-2</v>
      </c>
      <c r="AG992" s="99">
        <f t="shared" si="47"/>
        <v>3.7528770069381337E-2</v>
      </c>
      <c r="AH992" s="10" t="str">
        <f>IFERROR(VLOOKUP(B992,'Pre-Summary'!$AZ$6:$BE$65,3,FALSE),"")</f>
        <v/>
      </c>
      <c r="AI992" s="10" t="str">
        <f>IFERROR(VLOOKUP(B992,'Pre-Summary'!$AZ$6:$BE$65,5,FALSE),"")</f>
        <v/>
      </c>
      <c r="AJ992" s="10" t="str">
        <f>IFERROR(VLOOKUP(B992,'Pre-Summary'!$AZ$6:$BE$65,4,FALSE),"")</f>
        <v/>
      </c>
      <c r="AK992" s="10" t="str">
        <f>IFERROR(VLOOKUP(B992,'Pre-Summary'!$AZ$6:$BE$65,6,FALSE),"")</f>
        <v/>
      </c>
      <c r="AL992" s="10" t="str">
        <f>IFERROR(VLOOKUP(B992,'Pre-Summary'!$BG$6:$BL$44,3,FALSE),"")</f>
        <v/>
      </c>
      <c r="AM992" s="10" t="str">
        <f>IFERROR(VLOOKUP(B992,'Pre-Summary'!$BG$6:$BL$44,4,FALSE),"")</f>
        <v/>
      </c>
    </row>
    <row r="993" spans="2:39" ht="15" customHeight="1" x14ac:dyDescent="0.3">
      <c r="B993">
        <v>99</v>
      </c>
      <c r="C993" t="str">
        <f>IFERROR(VLOOKUP(B993,'Pre-Summary'!$DI$6:$DM$23,4,FALSE),"")</f>
        <v/>
      </c>
      <c r="D993" s="10" t="str">
        <f>IFERROR(VLOOKUP(B993,'Pre-Summary'!$AT$6:$AX$14,5,FALSE),D992)</f>
        <v>DSMZ v3: dropped yeast, casitone, and bicarb out of DSMZ 120</v>
      </c>
      <c r="E993" s="10" t="str">
        <f>IFERROR(VLOOKUP(B993,'Pre-Summary'!$AT$6:$AX$15,4,FALSE),"")</f>
        <v/>
      </c>
      <c r="F993">
        <f>IFERROR(VLOOKUP(B993,'Pre-Summary'!$AL$6:$AQ$13,6,FALSE),F992)</f>
        <v>5.9405263157894746E-2</v>
      </c>
      <c r="G993" t="str">
        <f>IFERROR(VLOOKUP(B993,'Pre-Summary'!$AE$6:$AJ$85,3,FALSE),"")</f>
        <v/>
      </c>
      <c r="H993" t="str">
        <f>IFERROR(VLOOKUP(B993,'Pre-Summary'!$AE$6:$AJ$85,4,FALSE),"")</f>
        <v/>
      </c>
      <c r="I993" t="str">
        <f>IFERROR(VLOOKUP(B993,'Pre-Summary'!$AE$6:$AJ$85,5,FALSE),"")</f>
        <v/>
      </c>
      <c r="J993" s="45" t="str">
        <f>IFERROR(VLOOKUP(B993,'Pre-Summary'!$AE$6:$AJ$85,6, FALSE),"")</f>
        <v/>
      </c>
      <c r="K993" s="45" t="str">
        <f>IFERROR(VLOOKUP(B993,'Pre-Summary'!$DE$6:$DG$61,3,FALSE),"")</f>
        <v/>
      </c>
      <c r="L993" s="45" t="str">
        <f>IFERROR(VLOOKUP(B993,'Pre-Summary'!$CU$6:$CW$36,3,FALSE),"")</f>
        <v/>
      </c>
      <c r="M993" s="45" t="str">
        <f>IFERROR(VLOOKUP(B993,'Pre-Summary'!$BW$6:$BY$58,2,FALSE),"")</f>
        <v/>
      </c>
      <c r="N993" s="45" t="str">
        <f>IFERROR(VLOOKUP(B993,'Pre-Summary'!$CD$6:$CF$64,2,FALSE),"")</f>
        <v/>
      </c>
      <c r="O993" s="99">
        <f>IFERROR(VLOOKUP(B993,'Pre-Summary'!$BO$6:$BQ$48,3, FALSE),O992)</f>
        <v>1</v>
      </c>
      <c r="P993" s="99">
        <f>IFERROR(VLOOKUP(B993,'Pre-Summary'!$BS$6:$BU$35,3,FALSE),P992)</f>
        <v>0.25</v>
      </c>
      <c r="Q993" s="54">
        <f t="shared" si="45"/>
        <v>4</v>
      </c>
      <c r="R993" s="53">
        <f>IFERROR(VLOOKUP(B993,'Pre-Summary'!$BG$6:$BM$44,7,FALSE),R994)</f>
        <v>4.0839377512219534E-2</v>
      </c>
      <c r="S993" s="53">
        <f>IFERROR(VLOOKUP(B993,'Pre-Summary'!$BG$6:$BM$44,6,FALSE),S994)</f>
        <v>3.561480302426305E-2</v>
      </c>
      <c r="T993" s="45" t="str">
        <f>IFERROR(VLOOKUP(B993,'Pre-Summary'!$Y$6:$AC$83, 3,FALSE),"")</f>
        <v/>
      </c>
      <c r="U993" s="45" t="str">
        <f>IFERROR(VLOOKUP(B993,'Pre-Summary'!$Y$6:$AC$83, 4,FALSE),"")</f>
        <v/>
      </c>
      <c r="V993" t="str">
        <f>IFERROR(VLOOKUP(B993,'Pre-Summary'!$Y$6:$AC$83, 5,FALSE),"")</f>
        <v/>
      </c>
      <c r="W993" s="45" t="str">
        <f>IFERROR(VLOOKUP(B993,'Pre-Summary'!$Y$6:$AD$83,6,FALSE),"")</f>
        <v/>
      </c>
      <c r="X993" t="str">
        <f>IFERROR(VLOOKUP('Pre-Summary'!$DB$6:$DD$63,3,FALSE),"")</f>
        <v/>
      </c>
      <c r="Y993" t="str">
        <f>IFERROR(VLOOKUP(B993,'Pre-Summary'!$CR$6:$CT$36,3,FALSE),"")</f>
        <v/>
      </c>
      <c r="Z993" s="45" t="str">
        <f>IFERROR(VLOOKUP(B993,'Pre-Summary'!$BZ$6:$CB$63,2,FALSE),"")</f>
        <v/>
      </c>
      <c r="AA993" s="45" t="str">
        <f>IFERROR(VLOOKUP(B993,'Pre-Summary'!$CG$6:$CI$70,2,FALSE),"")</f>
        <v/>
      </c>
      <c r="AB993" s="99">
        <f>IFERROR(VLOOKUP(B993,'Pre-Summary'!$A$6:$P$178,9,FALSE),AB994)</f>
        <v>0.56698835270431935</v>
      </c>
      <c r="AC993" s="10">
        <f>IFERROR(VLOOKUP(Summary!B993,'Pre-Summary'!$A$6:$P$184,5, FALSE)/100,AC994)</f>
        <v>0.90877666666666657</v>
      </c>
      <c r="AD993" s="10">
        <f>IFERROR(VLOOKUP(Summary!B993,'Pre-Summary'!$A$6:$P$184,3, FALSE)/100,AD994)</f>
        <v>2.5033666666666666E-2</v>
      </c>
      <c r="AE993" s="10">
        <f>IFERROR(VLOOKUP(Summary!B993,'Pre-Summary'!$A$6:$P$184,7, FALSE)/100,AE994)</f>
        <v>6.6189666666666674E-2</v>
      </c>
      <c r="AF993" s="99">
        <f t="shared" si="46"/>
        <v>1.4193797425482362E-2</v>
      </c>
      <c r="AG993" s="99">
        <f t="shared" si="47"/>
        <v>3.7528770069381337E-2</v>
      </c>
      <c r="AH993" s="10" t="str">
        <f>IFERROR(VLOOKUP(B993,'Pre-Summary'!$AZ$6:$BE$65,3,FALSE),"")</f>
        <v/>
      </c>
      <c r="AI993" s="10" t="str">
        <f>IFERROR(VLOOKUP(B993,'Pre-Summary'!$AZ$6:$BE$65,5,FALSE),"")</f>
        <v/>
      </c>
      <c r="AJ993" s="10" t="str">
        <f>IFERROR(VLOOKUP(B993,'Pre-Summary'!$AZ$6:$BE$65,4,FALSE),"")</f>
        <v/>
      </c>
      <c r="AK993" s="10" t="str">
        <f>IFERROR(VLOOKUP(B993,'Pre-Summary'!$AZ$6:$BE$65,6,FALSE),"")</f>
        <v/>
      </c>
      <c r="AL993" s="10" t="str">
        <f>IFERROR(VLOOKUP(B993,'Pre-Summary'!$BG$6:$BL$44,3,FALSE),"")</f>
        <v/>
      </c>
      <c r="AM993" s="10" t="str">
        <f>IFERROR(VLOOKUP(B993,'Pre-Summary'!$BG$6:$BL$44,4,FALSE),"")</f>
        <v/>
      </c>
    </row>
    <row r="994" spans="2:39" ht="15" customHeight="1" x14ac:dyDescent="0.3">
      <c r="B994">
        <v>99.1</v>
      </c>
      <c r="C994" t="str">
        <f>IFERROR(VLOOKUP(B994,'Pre-Summary'!$DI$6:$DM$23,4,FALSE),"")</f>
        <v/>
      </c>
      <c r="D994" s="10" t="str">
        <f>IFERROR(VLOOKUP(B994,'Pre-Summary'!$AT$6:$AX$14,5,FALSE),D993)</f>
        <v>DSMZ v3: dropped yeast, casitone, and bicarb out of DSMZ 120</v>
      </c>
      <c r="E994" s="10" t="str">
        <f>IFERROR(VLOOKUP(B994,'Pre-Summary'!$AT$6:$AX$15,4,FALSE),"")</f>
        <v/>
      </c>
      <c r="F994">
        <f>IFERROR(VLOOKUP(B994,'Pre-Summary'!$AL$6:$AQ$13,6,FALSE),F993)</f>
        <v>5.9405263157894746E-2</v>
      </c>
      <c r="G994" t="str">
        <f>IFERROR(VLOOKUP(B994,'Pre-Summary'!$AE$6:$AJ$85,3,FALSE),"")</f>
        <v/>
      </c>
      <c r="H994" t="str">
        <f>IFERROR(VLOOKUP(B994,'Pre-Summary'!$AE$6:$AJ$85,4,FALSE),"")</f>
        <v/>
      </c>
      <c r="I994" t="str">
        <f>IFERROR(VLOOKUP(B994,'Pre-Summary'!$AE$6:$AJ$85,5,FALSE),"")</f>
        <v/>
      </c>
      <c r="J994" s="45" t="str">
        <f>IFERROR(VLOOKUP(B994,'Pre-Summary'!$AE$6:$AJ$85,6, FALSE),"")</f>
        <v/>
      </c>
      <c r="K994" s="45" t="str">
        <f>IFERROR(VLOOKUP(B994,'Pre-Summary'!$DE$6:$DG$61,3,FALSE),"")</f>
        <v/>
      </c>
      <c r="L994" s="45" t="str">
        <f>IFERROR(VLOOKUP(B994,'Pre-Summary'!$CU$6:$CW$36,3,FALSE),"")</f>
        <v/>
      </c>
      <c r="M994" s="45" t="str">
        <f>IFERROR(VLOOKUP(B994,'Pre-Summary'!$BW$6:$BY$58,2,FALSE),"")</f>
        <v/>
      </c>
      <c r="N994" s="45" t="str">
        <f>IFERROR(VLOOKUP(B994,'Pre-Summary'!$CD$6:$CF$64,2,FALSE),"")</f>
        <v/>
      </c>
      <c r="O994" s="99">
        <f>IFERROR(VLOOKUP(B994,'Pre-Summary'!$BO$6:$BQ$48,3, FALSE),O993)</f>
        <v>1</v>
      </c>
      <c r="P994" s="99">
        <f>IFERROR(VLOOKUP(B994,'Pre-Summary'!$BS$6:$BU$35,3,FALSE),P993)</f>
        <v>0.25</v>
      </c>
      <c r="Q994" s="54">
        <f t="shared" si="45"/>
        <v>4</v>
      </c>
      <c r="R994" s="53">
        <f>IFERROR(VLOOKUP(B994,'Pre-Summary'!$BG$6:$BM$44,7,FALSE),R995)</f>
        <v>4.0839377512219534E-2</v>
      </c>
      <c r="S994" s="53">
        <f>IFERROR(VLOOKUP(B994,'Pre-Summary'!$BG$6:$BM$44,6,FALSE),S995)</f>
        <v>3.561480302426305E-2</v>
      </c>
      <c r="T994" s="45" t="str">
        <f>IFERROR(VLOOKUP(B994,'Pre-Summary'!$Y$6:$AC$83, 3,FALSE),"")</f>
        <v/>
      </c>
      <c r="U994" s="45" t="str">
        <f>IFERROR(VLOOKUP(B994,'Pre-Summary'!$Y$6:$AC$83, 4,FALSE),"")</f>
        <v/>
      </c>
      <c r="V994" t="str">
        <f>IFERROR(VLOOKUP(B994,'Pre-Summary'!$Y$6:$AC$83, 5,FALSE),"")</f>
        <v/>
      </c>
      <c r="W994" s="45" t="str">
        <f>IFERROR(VLOOKUP(B994,'Pre-Summary'!$Y$6:$AD$83,6,FALSE),"")</f>
        <v/>
      </c>
      <c r="X994" t="str">
        <f>IFERROR(VLOOKUP('Pre-Summary'!$DB$6:$DD$63,3,FALSE),"")</f>
        <v/>
      </c>
      <c r="Y994" t="str">
        <f>IFERROR(VLOOKUP(B994,'Pre-Summary'!$CR$6:$CT$36,3,FALSE),"")</f>
        <v/>
      </c>
      <c r="Z994" s="45" t="str">
        <f>IFERROR(VLOOKUP(B994,'Pre-Summary'!$BZ$6:$CB$63,2,FALSE),"")</f>
        <v/>
      </c>
      <c r="AA994" s="45" t="str">
        <f>IFERROR(VLOOKUP(B994,'Pre-Summary'!$CG$6:$CI$70,2,FALSE),"")</f>
        <v/>
      </c>
      <c r="AB994" s="99">
        <f>IFERROR(VLOOKUP(B994,'Pre-Summary'!$A$6:$P$178,9,FALSE),AB995)</f>
        <v>0.56698835270431935</v>
      </c>
      <c r="AC994" s="10">
        <f>IFERROR(VLOOKUP(Summary!B994,'Pre-Summary'!$A$6:$P$184,5, FALSE)/100,AC995)</f>
        <v>0.90877666666666657</v>
      </c>
      <c r="AD994" s="10">
        <f>IFERROR(VLOOKUP(Summary!B994,'Pre-Summary'!$A$6:$P$184,3, FALSE)/100,AD995)</f>
        <v>2.5033666666666666E-2</v>
      </c>
      <c r="AE994" s="10">
        <f>IFERROR(VLOOKUP(Summary!B994,'Pre-Summary'!$A$6:$P$184,7, FALSE)/100,AE995)</f>
        <v>6.6189666666666674E-2</v>
      </c>
      <c r="AF994" s="99">
        <f t="shared" si="46"/>
        <v>1.4193797425482362E-2</v>
      </c>
      <c r="AG994" s="99">
        <f t="shared" si="47"/>
        <v>3.7528770069381337E-2</v>
      </c>
      <c r="AH994" s="10" t="str">
        <f>IFERROR(VLOOKUP(B994,'Pre-Summary'!$AZ$6:$BE$65,3,FALSE),"")</f>
        <v/>
      </c>
      <c r="AI994" s="10" t="str">
        <f>IFERROR(VLOOKUP(B994,'Pre-Summary'!$AZ$6:$BE$65,5,FALSE),"")</f>
        <v/>
      </c>
      <c r="AJ994" s="10" t="str">
        <f>IFERROR(VLOOKUP(B994,'Pre-Summary'!$AZ$6:$BE$65,4,FALSE),"")</f>
        <v/>
      </c>
      <c r="AK994" s="10" t="str">
        <f>IFERROR(VLOOKUP(B994,'Pre-Summary'!$AZ$6:$BE$65,6,FALSE),"")</f>
        <v/>
      </c>
      <c r="AL994" s="10" t="str">
        <f>IFERROR(VLOOKUP(B994,'Pre-Summary'!$BG$6:$BL$44,3,FALSE),"")</f>
        <v/>
      </c>
      <c r="AM994" s="10" t="str">
        <f>IFERROR(VLOOKUP(B994,'Pre-Summary'!$BG$6:$BL$44,4,FALSE),"")</f>
        <v/>
      </c>
    </row>
    <row r="995" spans="2:39" ht="15" customHeight="1" x14ac:dyDescent="0.3">
      <c r="B995">
        <v>99.2</v>
      </c>
      <c r="C995" t="str">
        <f>IFERROR(VLOOKUP(B995,'Pre-Summary'!$DI$6:$DM$23,4,FALSE),"")</f>
        <v/>
      </c>
      <c r="D995" s="10" t="str">
        <f>IFERROR(VLOOKUP(B995,'Pre-Summary'!$AT$6:$AX$14,5,FALSE),D994)</f>
        <v>DSMZ v3: dropped yeast, casitone, and bicarb out of DSMZ 120</v>
      </c>
      <c r="E995" s="10" t="str">
        <f>IFERROR(VLOOKUP(B995,'Pre-Summary'!$AT$6:$AX$15,4,FALSE),"")</f>
        <v/>
      </c>
      <c r="F995">
        <f>IFERROR(VLOOKUP(B995,'Pre-Summary'!$AL$6:$AQ$13,6,FALSE),F994)</f>
        <v>5.9405263157894746E-2</v>
      </c>
      <c r="G995" t="str">
        <f>IFERROR(VLOOKUP(B995,'Pre-Summary'!$AE$6:$AJ$85,3,FALSE),"")</f>
        <v/>
      </c>
      <c r="H995" t="str">
        <f>IFERROR(VLOOKUP(B995,'Pre-Summary'!$AE$6:$AJ$85,4,FALSE),"")</f>
        <v/>
      </c>
      <c r="I995" t="str">
        <f>IFERROR(VLOOKUP(B995,'Pre-Summary'!$AE$6:$AJ$85,5,FALSE),"")</f>
        <v/>
      </c>
      <c r="J995" s="45" t="str">
        <f>IFERROR(VLOOKUP(B995,'Pre-Summary'!$AE$6:$AJ$85,6, FALSE),"")</f>
        <v/>
      </c>
      <c r="K995" s="45" t="str">
        <f>IFERROR(VLOOKUP(B995,'Pre-Summary'!$DE$6:$DG$61,3,FALSE),"")</f>
        <v/>
      </c>
      <c r="L995" s="45" t="str">
        <f>IFERROR(VLOOKUP(B995,'Pre-Summary'!$CU$6:$CW$36,3,FALSE),"")</f>
        <v/>
      </c>
      <c r="M995" s="45" t="str">
        <f>IFERROR(VLOOKUP(B995,'Pre-Summary'!$BW$6:$BY$58,2,FALSE),"")</f>
        <v/>
      </c>
      <c r="N995" s="45" t="str">
        <f>IFERROR(VLOOKUP(B995,'Pre-Summary'!$CD$6:$CF$64,2,FALSE),"")</f>
        <v/>
      </c>
      <c r="O995" s="99">
        <f>IFERROR(VLOOKUP(B995,'Pre-Summary'!$BO$6:$BQ$48,3, FALSE),O994)</f>
        <v>1</v>
      </c>
      <c r="P995" s="99">
        <f>IFERROR(VLOOKUP(B995,'Pre-Summary'!$BS$6:$BU$35,3,FALSE),P994)</f>
        <v>0.25</v>
      </c>
      <c r="Q995" s="54">
        <f t="shared" si="45"/>
        <v>4</v>
      </c>
      <c r="R995" s="53">
        <f>IFERROR(VLOOKUP(B995,'Pre-Summary'!$BG$6:$BM$44,7,FALSE),R996)</f>
        <v>4.0839377512219534E-2</v>
      </c>
      <c r="S995" s="53">
        <f>IFERROR(VLOOKUP(B995,'Pre-Summary'!$BG$6:$BM$44,6,FALSE),S996)</f>
        <v>3.561480302426305E-2</v>
      </c>
      <c r="T995" s="45" t="str">
        <f>IFERROR(VLOOKUP(B995,'Pre-Summary'!$Y$6:$AC$83, 3,FALSE),"")</f>
        <v/>
      </c>
      <c r="U995" s="45" t="str">
        <f>IFERROR(VLOOKUP(B995,'Pre-Summary'!$Y$6:$AC$83, 4,FALSE),"")</f>
        <v/>
      </c>
      <c r="V995" t="str">
        <f>IFERROR(VLOOKUP(B995,'Pre-Summary'!$Y$6:$AC$83, 5,FALSE),"")</f>
        <v/>
      </c>
      <c r="W995" s="45" t="str">
        <f>IFERROR(VLOOKUP(B995,'Pre-Summary'!$Y$6:$AD$83,6,FALSE),"")</f>
        <v/>
      </c>
      <c r="X995" t="str">
        <f>IFERROR(VLOOKUP('Pre-Summary'!$DB$6:$DD$63,3,FALSE),"")</f>
        <v/>
      </c>
      <c r="Y995" t="str">
        <f>IFERROR(VLOOKUP(B995,'Pre-Summary'!$CR$6:$CT$36,3,FALSE),"")</f>
        <v/>
      </c>
      <c r="Z995" s="45" t="str">
        <f>IFERROR(VLOOKUP(B995,'Pre-Summary'!$BZ$6:$CB$63,2,FALSE),"")</f>
        <v/>
      </c>
      <c r="AA995" s="45" t="str">
        <f>IFERROR(VLOOKUP(B995,'Pre-Summary'!$CG$6:$CI$70,2,FALSE),"")</f>
        <v/>
      </c>
      <c r="AB995" s="99">
        <f>IFERROR(VLOOKUP(B995,'Pre-Summary'!$A$6:$P$178,9,FALSE),AB996)</f>
        <v>0.56698835270431935</v>
      </c>
      <c r="AC995" s="10">
        <f>IFERROR(VLOOKUP(Summary!B995,'Pre-Summary'!$A$6:$P$184,5, FALSE)/100,AC996)</f>
        <v>0.90877666666666657</v>
      </c>
      <c r="AD995" s="10">
        <f>IFERROR(VLOOKUP(Summary!B995,'Pre-Summary'!$A$6:$P$184,3, FALSE)/100,AD996)</f>
        <v>2.5033666666666666E-2</v>
      </c>
      <c r="AE995" s="10">
        <f>IFERROR(VLOOKUP(Summary!B995,'Pre-Summary'!$A$6:$P$184,7, FALSE)/100,AE996)</f>
        <v>6.6189666666666674E-2</v>
      </c>
      <c r="AF995" s="99">
        <f t="shared" si="46"/>
        <v>1.4193797425482362E-2</v>
      </c>
      <c r="AG995" s="99">
        <f t="shared" si="47"/>
        <v>3.7528770069381337E-2</v>
      </c>
      <c r="AH995" s="10" t="str">
        <f>IFERROR(VLOOKUP(B995,'Pre-Summary'!$AZ$6:$BE$65,3,FALSE),"")</f>
        <v/>
      </c>
      <c r="AI995" s="10" t="str">
        <f>IFERROR(VLOOKUP(B995,'Pre-Summary'!$AZ$6:$BE$65,5,FALSE),"")</f>
        <v/>
      </c>
      <c r="AJ995" s="10" t="str">
        <f>IFERROR(VLOOKUP(B995,'Pre-Summary'!$AZ$6:$BE$65,4,FALSE),"")</f>
        <v/>
      </c>
      <c r="AK995" s="10" t="str">
        <f>IFERROR(VLOOKUP(B995,'Pre-Summary'!$AZ$6:$BE$65,6,FALSE),"")</f>
        <v/>
      </c>
      <c r="AL995" s="10" t="str">
        <f>IFERROR(VLOOKUP(B995,'Pre-Summary'!$BG$6:$BL$44,3,FALSE),"")</f>
        <v/>
      </c>
      <c r="AM995" s="10" t="str">
        <f>IFERROR(VLOOKUP(B995,'Pre-Summary'!$BG$6:$BL$44,4,FALSE),"")</f>
        <v/>
      </c>
    </row>
    <row r="996" spans="2:39" ht="15" customHeight="1" x14ac:dyDescent="0.3">
      <c r="B996">
        <v>99.3</v>
      </c>
      <c r="C996" t="str">
        <f>IFERROR(VLOOKUP(B996,'Pre-Summary'!$DI$6:$DM$23,4,FALSE),"")</f>
        <v/>
      </c>
      <c r="D996" s="10" t="str">
        <f>IFERROR(VLOOKUP(B996,'Pre-Summary'!$AT$6:$AX$14,5,FALSE),D995)</f>
        <v>DSMZ v3: dropped yeast, casitone, and bicarb out of DSMZ 120</v>
      </c>
      <c r="E996" s="10" t="str">
        <f>IFERROR(VLOOKUP(B996,'Pre-Summary'!$AT$6:$AX$15,4,FALSE),"")</f>
        <v/>
      </c>
      <c r="F996">
        <f>IFERROR(VLOOKUP(B996,'Pre-Summary'!$AL$6:$AQ$13,6,FALSE),F995)</f>
        <v>5.9405263157894746E-2</v>
      </c>
      <c r="G996" t="str">
        <f>IFERROR(VLOOKUP(B996,'Pre-Summary'!$AE$6:$AJ$85,3,FALSE),"")</f>
        <v/>
      </c>
      <c r="H996" t="str">
        <f>IFERROR(VLOOKUP(B996,'Pre-Summary'!$AE$6:$AJ$85,4,FALSE),"")</f>
        <v/>
      </c>
      <c r="I996" t="str">
        <f>IFERROR(VLOOKUP(B996,'Pre-Summary'!$AE$6:$AJ$85,5,FALSE),"")</f>
        <v/>
      </c>
      <c r="J996" s="45" t="str">
        <f>IFERROR(VLOOKUP(B996,'Pre-Summary'!$AE$6:$AJ$85,6, FALSE),"")</f>
        <v/>
      </c>
      <c r="K996" s="45" t="str">
        <f>IFERROR(VLOOKUP(B996,'Pre-Summary'!$DE$6:$DG$61,3,FALSE),"")</f>
        <v/>
      </c>
      <c r="L996" s="45" t="str">
        <f>IFERROR(VLOOKUP(B996,'Pre-Summary'!$CU$6:$CW$36,3,FALSE),"")</f>
        <v/>
      </c>
      <c r="M996" s="45" t="str">
        <f>IFERROR(VLOOKUP(B996,'Pre-Summary'!$BW$6:$BY$58,2,FALSE),"")</f>
        <v/>
      </c>
      <c r="N996" s="45" t="str">
        <f>IFERROR(VLOOKUP(B996,'Pre-Summary'!$CD$6:$CF$64,2,FALSE),"")</f>
        <v/>
      </c>
      <c r="O996" s="99">
        <f>IFERROR(VLOOKUP(B996,'Pre-Summary'!$BO$6:$BQ$48,3, FALSE),O995)</f>
        <v>1</v>
      </c>
      <c r="P996" s="99">
        <f>IFERROR(VLOOKUP(B996,'Pre-Summary'!$BS$6:$BU$35,3,FALSE),P995)</f>
        <v>0.25</v>
      </c>
      <c r="Q996" s="54">
        <f t="shared" si="45"/>
        <v>4</v>
      </c>
      <c r="R996" s="53">
        <f>IFERROR(VLOOKUP(B996,'Pre-Summary'!$BG$6:$BM$44,7,FALSE),R997)</f>
        <v>4.0839377512219534E-2</v>
      </c>
      <c r="S996" s="53">
        <f>IFERROR(VLOOKUP(B996,'Pre-Summary'!$BG$6:$BM$44,6,FALSE),S997)</f>
        <v>3.561480302426305E-2</v>
      </c>
      <c r="T996" s="45" t="str">
        <f>IFERROR(VLOOKUP(B996,'Pre-Summary'!$Y$6:$AC$83, 3,FALSE),"")</f>
        <v/>
      </c>
      <c r="U996" s="45" t="str">
        <f>IFERROR(VLOOKUP(B996,'Pre-Summary'!$Y$6:$AC$83, 4,FALSE),"")</f>
        <v/>
      </c>
      <c r="V996" t="str">
        <f>IFERROR(VLOOKUP(B996,'Pre-Summary'!$Y$6:$AC$83, 5,FALSE),"")</f>
        <v/>
      </c>
      <c r="W996" s="45" t="str">
        <f>IFERROR(VLOOKUP(B996,'Pre-Summary'!$Y$6:$AD$83,6,FALSE),"")</f>
        <v/>
      </c>
      <c r="X996" t="str">
        <f>IFERROR(VLOOKUP('Pre-Summary'!$DB$6:$DD$63,3,FALSE),"")</f>
        <v/>
      </c>
      <c r="Y996" t="str">
        <f>IFERROR(VLOOKUP(B996,'Pre-Summary'!$CR$6:$CT$36,3,FALSE),"")</f>
        <v/>
      </c>
      <c r="Z996" s="45" t="str">
        <f>IFERROR(VLOOKUP(B996,'Pre-Summary'!$BZ$6:$CB$63,2,FALSE),"")</f>
        <v/>
      </c>
      <c r="AA996" s="45" t="str">
        <f>IFERROR(VLOOKUP(B996,'Pre-Summary'!$CG$6:$CI$70,2,FALSE),"")</f>
        <v/>
      </c>
      <c r="AB996" s="99">
        <f>IFERROR(VLOOKUP(B996,'Pre-Summary'!$A$6:$P$178,9,FALSE),AB997)</f>
        <v>0.56698835270431935</v>
      </c>
      <c r="AC996" s="10">
        <f>IFERROR(VLOOKUP(Summary!B996,'Pre-Summary'!$A$6:$P$184,5, FALSE)/100,AC997)</f>
        <v>0.90877666666666657</v>
      </c>
      <c r="AD996" s="10">
        <f>IFERROR(VLOOKUP(Summary!B996,'Pre-Summary'!$A$6:$P$184,3, FALSE)/100,AD997)</f>
        <v>2.5033666666666666E-2</v>
      </c>
      <c r="AE996" s="10">
        <f>IFERROR(VLOOKUP(Summary!B996,'Pre-Summary'!$A$6:$P$184,7, FALSE)/100,AE997)</f>
        <v>6.6189666666666674E-2</v>
      </c>
      <c r="AF996" s="99">
        <f t="shared" si="46"/>
        <v>1.4193797425482362E-2</v>
      </c>
      <c r="AG996" s="99">
        <f t="shared" si="47"/>
        <v>3.7528770069381337E-2</v>
      </c>
      <c r="AH996" s="10" t="str">
        <f>IFERROR(VLOOKUP(B996,'Pre-Summary'!$AZ$6:$BE$65,3,FALSE),"")</f>
        <v/>
      </c>
      <c r="AI996" s="10" t="str">
        <f>IFERROR(VLOOKUP(B996,'Pre-Summary'!$AZ$6:$BE$65,5,FALSE),"")</f>
        <v/>
      </c>
      <c r="AJ996" s="10" t="str">
        <f>IFERROR(VLOOKUP(B996,'Pre-Summary'!$AZ$6:$BE$65,4,FALSE),"")</f>
        <v/>
      </c>
      <c r="AK996" s="10" t="str">
        <f>IFERROR(VLOOKUP(B996,'Pre-Summary'!$AZ$6:$BE$65,6,FALSE),"")</f>
        <v/>
      </c>
      <c r="AL996" s="10" t="str">
        <f>IFERROR(VLOOKUP(B996,'Pre-Summary'!$BG$6:$BL$44,3,FALSE),"")</f>
        <v/>
      </c>
      <c r="AM996" s="10" t="str">
        <f>IFERROR(VLOOKUP(B996,'Pre-Summary'!$BG$6:$BL$44,4,FALSE),"")</f>
        <v/>
      </c>
    </row>
    <row r="997" spans="2:39" ht="15" customHeight="1" x14ac:dyDescent="0.3">
      <c r="B997">
        <v>99.4</v>
      </c>
      <c r="C997" t="str">
        <f>IFERROR(VLOOKUP(B997,'Pre-Summary'!$DI$6:$DM$23,4,FALSE),"")</f>
        <v/>
      </c>
      <c r="D997" s="10" t="str">
        <f>IFERROR(VLOOKUP(B997,'Pre-Summary'!$AT$6:$AX$14,5,FALSE),D996)</f>
        <v>DSMZ v3: dropped yeast, casitone, and bicarb out of DSMZ 120</v>
      </c>
      <c r="E997" s="10" t="str">
        <f>IFERROR(VLOOKUP(B997,'Pre-Summary'!$AT$6:$AX$15,4,FALSE),"")</f>
        <v/>
      </c>
      <c r="F997">
        <f>IFERROR(VLOOKUP(B997,'Pre-Summary'!$AL$6:$AQ$13,6,FALSE),F996)</f>
        <v>5.9405263157894746E-2</v>
      </c>
      <c r="G997" t="str">
        <f>IFERROR(VLOOKUP(B997,'Pre-Summary'!$AE$6:$AJ$85,3,FALSE),"")</f>
        <v/>
      </c>
      <c r="H997" t="str">
        <f>IFERROR(VLOOKUP(B997,'Pre-Summary'!$AE$6:$AJ$85,4,FALSE),"")</f>
        <v/>
      </c>
      <c r="I997" t="str">
        <f>IFERROR(VLOOKUP(B997,'Pre-Summary'!$AE$6:$AJ$85,5,FALSE),"")</f>
        <v/>
      </c>
      <c r="J997" s="45" t="str">
        <f>IFERROR(VLOOKUP(B997,'Pre-Summary'!$AE$6:$AJ$85,6, FALSE),"")</f>
        <v/>
      </c>
      <c r="K997" s="45" t="str">
        <f>IFERROR(VLOOKUP(B997,'Pre-Summary'!$DE$6:$DG$61,3,FALSE),"")</f>
        <v/>
      </c>
      <c r="L997" s="45" t="str">
        <f>IFERROR(VLOOKUP(B997,'Pre-Summary'!$CU$6:$CW$36,3,FALSE),"")</f>
        <v/>
      </c>
      <c r="M997" s="45" t="str">
        <f>IFERROR(VLOOKUP(B997,'Pre-Summary'!$BW$6:$BY$58,2,FALSE),"")</f>
        <v/>
      </c>
      <c r="N997" s="45" t="str">
        <f>IFERROR(VLOOKUP(B997,'Pre-Summary'!$CD$6:$CF$64,2,FALSE),"")</f>
        <v/>
      </c>
      <c r="O997" s="99">
        <f>IFERROR(VLOOKUP(B997,'Pre-Summary'!$BO$6:$BQ$48,3, FALSE),O996)</f>
        <v>1</v>
      </c>
      <c r="P997" s="99">
        <f>IFERROR(VLOOKUP(B997,'Pre-Summary'!$BS$6:$BU$35,3,FALSE),P996)</f>
        <v>0.25</v>
      </c>
      <c r="Q997" s="54">
        <f t="shared" si="45"/>
        <v>4</v>
      </c>
      <c r="R997" s="53">
        <f>IFERROR(VLOOKUP(B997,'Pre-Summary'!$BG$6:$BM$44,7,FALSE),R998)</f>
        <v>4.0839377512219534E-2</v>
      </c>
      <c r="S997" s="53">
        <f>IFERROR(VLOOKUP(B997,'Pre-Summary'!$BG$6:$BM$44,6,FALSE),S998)</f>
        <v>3.561480302426305E-2</v>
      </c>
      <c r="T997" s="45" t="str">
        <f>IFERROR(VLOOKUP(B997,'Pre-Summary'!$Y$6:$AC$83, 3,FALSE),"")</f>
        <v/>
      </c>
      <c r="U997" s="45" t="str">
        <f>IFERROR(VLOOKUP(B997,'Pre-Summary'!$Y$6:$AC$83, 4,FALSE),"")</f>
        <v/>
      </c>
      <c r="V997" t="str">
        <f>IFERROR(VLOOKUP(B997,'Pre-Summary'!$Y$6:$AC$83, 5,FALSE),"")</f>
        <v/>
      </c>
      <c r="W997" s="45" t="str">
        <f>IFERROR(VLOOKUP(B997,'Pre-Summary'!$Y$6:$AD$83,6,FALSE),"")</f>
        <v/>
      </c>
      <c r="X997" t="str">
        <f>IFERROR(VLOOKUP('Pre-Summary'!$DB$6:$DD$63,3,FALSE),"")</f>
        <v/>
      </c>
      <c r="Y997" t="str">
        <f>IFERROR(VLOOKUP(B997,'Pre-Summary'!$CR$6:$CT$36,3,FALSE),"")</f>
        <v/>
      </c>
      <c r="Z997" s="45" t="str">
        <f>IFERROR(VLOOKUP(B997,'Pre-Summary'!$BZ$6:$CB$63,2,FALSE),"")</f>
        <v/>
      </c>
      <c r="AA997" s="45" t="str">
        <f>IFERROR(VLOOKUP(B997,'Pre-Summary'!$CG$6:$CI$70,2,FALSE),"")</f>
        <v/>
      </c>
      <c r="AB997" s="99">
        <f>IFERROR(VLOOKUP(B997,'Pre-Summary'!$A$6:$P$178,9,FALSE),AB998)</f>
        <v>0.56698835270431935</v>
      </c>
      <c r="AC997" s="10">
        <f>IFERROR(VLOOKUP(Summary!B997,'Pre-Summary'!$A$6:$P$184,5, FALSE)/100,AC998)</f>
        <v>0.90877666666666657</v>
      </c>
      <c r="AD997" s="10">
        <f>IFERROR(VLOOKUP(Summary!B997,'Pre-Summary'!$A$6:$P$184,3, FALSE)/100,AD998)</f>
        <v>2.5033666666666666E-2</v>
      </c>
      <c r="AE997" s="10">
        <f>IFERROR(VLOOKUP(Summary!B997,'Pre-Summary'!$A$6:$P$184,7, FALSE)/100,AE998)</f>
        <v>6.6189666666666674E-2</v>
      </c>
      <c r="AF997" s="99">
        <f t="shared" si="46"/>
        <v>1.4193797425482362E-2</v>
      </c>
      <c r="AG997" s="99">
        <f t="shared" si="47"/>
        <v>3.7528770069381337E-2</v>
      </c>
      <c r="AH997" s="10" t="str">
        <f>IFERROR(VLOOKUP(B997,'Pre-Summary'!$AZ$6:$BE$65,3,FALSE),"")</f>
        <v/>
      </c>
      <c r="AI997" s="10" t="str">
        <f>IFERROR(VLOOKUP(B997,'Pre-Summary'!$AZ$6:$BE$65,5,FALSE),"")</f>
        <v/>
      </c>
      <c r="AJ997" s="10" t="str">
        <f>IFERROR(VLOOKUP(B997,'Pre-Summary'!$AZ$6:$BE$65,4,FALSE),"")</f>
        <v/>
      </c>
      <c r="AK997" s="10" t="str">
        <f>IFERROR(VLOOKUP(B997,'Pre-Summary'!$AZ$6:$BE$65,6,FALSE),"")</f>
        <v/>
      </c>
      <c r="AL997" s="10" t="str">
        <f>IFERROR(VLOOKUP(B997,'Pre-Summary'!$BG$6:$BL$44,3,FALSE),"")</f>
        <v/>
      </c>
      <c r="AM997" s="10" t="str">
        <f>IFERROR(VLOOKUP(B997,'Pre-Summary'!$BG$6:$BL$44,4,FALSE),"")</f>
        <v/>
      </c>
    </row>
    <row r="998" spans="2:39" ht="15" customHeight="1" x14ac:dyDescent="0.3">
      <c r="B998">
        <v>99.5</v>
      </c>
      <c r="C998" t="str">
        <f>IFERROR(VLOOKUP(B998,'Pre-Summary'!$DI$6:$DM$23,4,FALSE),"")</f>
        <v/>
      </c>
      <c r="D998" s="10" t="str">
        <f>IFERROR(VLOOKUP(B998,'Pre-Summary'!$AT$6:$AX$14,5,FALSE),D997)</f>
        <v>DSMZ v3: dropped yeast, casitone, and bicarb out of DSMZ 120</v>
      </c>
      <c r="E998" s="10" t="str">
        <f>IFERROR(VLOOKUP(B998,'Pre-Summary'!$AT$6:$AX$15,4,FALSE),"")</f>
        <v/>
      </c>
      <c r="F998">
        <f>IFERROR(VLOOKUP(B998,'Pre-Summary'!$AL$6:$AQ$13,6,FALSE),F997)</f>
        <v>5.9405263157894746E-2</v>
      </c>
      <c r="G998" t="str">
        <f>IFERROR(VLOOKUP(B998,'Pre-Summary'!$AE$6:$AJ$85,3,FALSE),"")</f>
        <v/>
      </c>
      <c r="H998" t="str">
        <f>IFERROR(VLOOKUP(B998,'Pre-Summary'!$AE$6:$AJ$85,4,FALSE),"")</f>
        <v/>
      </c>
      <c r="I998" t="str">
        <f>IFERROR(VLOOKUP(B998,'Pre-Summary'!$AE$6:$AJ$85,5,FALSE),"")</f>
        <v/>
      </c>
      <c r="J998" s="45" t="str">
        <f>IFERROR(VLOOKUP(B998,'Pre-Summary'!$AE$6:$AJ$85,6, FALSE),"")</f>
        <v/>
      </c>
      <c r="K998" s="45" t="str">
        <f>IFERROR(VLOOKUP(B998,'Pre-Summary'!$DE$6:$DG$61,3,FALSE),"")</f>
        <v/>
      </c>
      <c r="L998" s="45" t="str">
        <f>IFERROR(VLOOKUP(B998,'Pre-Summary'!$CU$6:$CW$36,3,FALSE),"")</f>
        <v/>
      </c>
      <c r="M998" s="45" t="str">
        <f>IFERROR(VLOOKUP(B998,'Pre-Summary'!$BW$6:$BY$58,2,FALSE),"")</f>
        <v/>
      </c>
      <c r="N998" s="45" t="str">
        <f>IFERROR(VLOOKUP(B998,'Pre-Summary'!$CD$6:$CF$64,2,FALSE),"")</f>
        <v/>
      </c>
      <c r="O998" s="99">
        <f>IFERROR(VLOOKUP(B998,'Pre-Summary'!$BO$6:$BQ$48,3, FALSE),O997)</f>
        <v>1</v>
      </c>
      <c r="P998" s="99">
        <f>IFERROR(VLOOKUP(B998,'Pre-Summary'!$BS$6:$BU$35,3,FALSE),P997)</f>
        <v>0.25</v>
      </c>
      <c r="Q998" s="54">
        <f t="shared" si="45"/>
        <v>4</v>
      </c>
      <c r="R998" s="53">
        <f>IFERROR(VLOOKUP(B998,'Pre-Summary'!$BG$6:$BM$44,7,FALSE),R999)</f>
        <v>4.0839377512219534E-2</v>
      </c>
      <c r="S998" s="53">
        <f>IFERROR(VLOOKUP(B998,'Pre-Summary'!$BG$6:$BM$44,6,FALSE),S999)</f>
        <v>3.561480302426305E-2</v>
      </c>
      <c r="T998" s="45" t="str">
        <f>IFERROR(VLOOKUP(B998,'Pre-Summary'!$Y$6:$AC$83, 3,FALSE),"")</f>
        <v/>
      </c>
      <c r="U998" s="45" t="str">
        <f>IFERROR(VLOOKUP(B998,'Pre-Summary'!$Y$6:$AC$83, 4,FALSE),"")</f>
        <v/>
      </c>
      <c r="V998" t="str">
        <f>IFERROR(VLOOKUP(B998,'Pre-Summary'!$Y$6:$AC$83, 5,FALSE),"")</f>
        <v/>
      </c>
      <c r="W998" s="45" t="str">
        <f>IFERROR(VLOOKUP(B998,'Pre-Summary'!$Y$6:$AD$83,6,FALSE),"")</f>
        <v/>
      </c>
      <c r="X998" t="str">
        <f>IFERROR(VLOOKUP('Pre-Summary'!$DB$6:$DD$63,3,FALSE),"")</f>
        <v/>
      </c>
      <c r="Y998" t="str">
        <f>IFERROR(VLOOKUP(B998,'Pre-Summary'!$CR$6:$CT$36,3,FALSE),"")</f>
        <v/>
      </c>
      <c r="Z998" s="45" t="str">
        <f>IFERROR(VLOOKUP(B998,'Pre-Summary'!$BZ$6:$CB$63,2,FALSE),"")</f>
        <v/>
      </c>
      <c r="AA998" s="45" t="str">
        <f>IFERROR(VLOOKUP(B998,'Pre-Summary'!$CG$6:$CI$70,2,FALSE),"")</f>
        <v/>
      </c>
      <c r="AB998" s="99">
        <f>IFERROR(VLOOKUP(B998,'Pre-Summary'!$A$6:$P$178,9,FALSE),AB999)</f>
        <v>0.56698835270431935</v>
      </c>
      <c r="AC998" s="10">
        <f>IFERROR(VLOOKUP(Summary!B998,'Pre-Summary'!$A$6:$P$184,5, FALSE)/100,AC999)</f>
        <v>0.90877666666666657</v>
      </c>
      <c r="AD998" s="10">
        <f>IFERROR(VLOOKUP(Summary!B998,'Pre-Summary'!$A$6:$P$184,3, FALSE)/100,AD999)</f>
        <v>2.5033666666666666E-2</v>
      </c>
      <c r="AE998" s="10">
        <f>IFERROR(VLOOKUP(Summary!B998,'Pre-Summary'!$A$6:$P$184,7, FALSE)/100,AE999)</f>
        <v>6.6189666666666674E-2</v>
      </c>
      <c r="AF998" s="99">
        <f t="shared" si="46"/>
        <v>1.4193797425482362E-2</v>
      </c>
      <c r="AG998" s="99">
        <f t="shared" si="47"/>
        <v>3.7528770069381337E-2</v>
      </c>
      <c r="AH998" s="10" t="str">
        <f>IFERROR(VLOOKUP(B998,'Pre-Summary'!$AZ$6:$BE$65,3,FALSE),"")</f>
        <v/>
      </c>
      <c r="AI998" s="10" t="str">
        <f>IFERROR(VLOOKUP(B998,'Pre-Summary'!$AZ$6:$BE$65,5,FALSE),"")</f>
        <v/>
      </c>
      <c r="AJ998" s="10" t="str">
        <f>IFERROR(VLOOKUP(B998,'Pre-Summary'!$AZ$6:$BE$65,4,FALSE),"")</f>
        <v/>
      </c>
      <c r="AK998" s="10" t="str">
        <f>IFERROR(VLOOKUP(B998,'Pre-Summary'!$AZ$6:$BE$65,6,FALSE),"")</f>
        <v/>
      </c>
      <c r="AL998" s="10" t="str">
        <f>IFERROR(VLOOKUP(B998,'Pre-Summary'!$BG$6:$BL$44,3,FALSE),"")</f>
        <v/>
      </c>
      <c r="AM998" s="10" t="str">
        <f>IFERROR(VLOOKUP(B998,'Pre-Summary'!$BG$6:$BL$44,4,FALSE),"")</f>
        <v/>
      </c>
    </row>
    <row r="999" spans="2:39" ht="15" customHeight="1" x14ac:dyDescent="0.3">
      <c r="B999">
        <v>99.6</v>
      </c>
      <c r="C999" t="str">
        <f>IFERROR(VLOOKUP(B999,'Pre-Summary'!$DI$6:$DM$23,4,FALSE),"")</f>
        <v/>
      </c>
      <c r="D999" s="10" t="str">
        <f>IFERROR(VLOOKUP(B999,'Pre-Summary'!$AT$6:$AX$14,5,FALSE),D998)</f>
        <v>DSMZ v3: dropped yeast, casitone, and bicarb out of DSMZ 120</v>
      </c>
      <c r="E999" s="10" t="str">
        <f>IFERROR(VLOOKUP(B999,'Pre-Summary'!$AT$6:$AX$15,4,FALSE),"")</f>
        <v/>
      </c>
      <c r="F999">
        <f>IFERROR(VLOOKUP(B999,'Pre-Summary'!$AL$6:$AQ$13,6,FALSE),F998)</f>
        <v>5.9405263157894746E-2</v>
      </c>
      <c r="G999" t="str">
        <f>IFERROR(VLOOKUP(B999,'Pre-Summary'!$AE$6:$AJ$85,3,FALSE),"")</f>
        <v/>
      </c>
      <c r="H999" t="str">
        <f>IFERROR(VLOOKUP(B999,'Pre-Summary'!$AE$6:$AJ$85,4,FALSE),"")</f>
        <v/>
      </c>
      <c r="I999" t="str">
        <f>IFERROR(VLOOKUP(B999,'Pre-Summary'!$AE$6:$AJ$85,5,FALSE),"")</f>
        <v/>
      </c>
      <c r="J999" s="45" t="str">
        <f>IFERROR(VLOOKUP(B999,'Pre-Summary'!$AE$6:$AJ$85,6, FALSE),"")</f>
        <v/>
      </c>
      <c r="K999" s="45" t="str">
        <f>IFERROR(VLOOKUP(B999,'Pre-Summary'!$DE$6:$DG$61,3,FALSE),"")</f>
        <v/>
      </c>
      <c r="L999" s="45" t="str">
        <f>IFERROR(VLOOKUP(B999,'Pre-Summary'!$CU$6:$CW$36,3,FALSE),"")</f>
        <v/>
      </c>
      <c r="M999" s="45" t="str">
        <f>IFERROR(VLOOKUP(B999,'Pre-Summary'!$BW$6:$BY$58,2,FALSE),"")</f>
        <v/>
      </c>
      <c r="N999" s="45" t="str">
        <f>IFERROR(VLOOKUP(B999,'Pre-Summary'!$CD$6:$CF$64,2,FALSE),"")</f>
        <v/>
      </c>
      <c r="O999" s="99">
        <f>IFERROR(VLOOKUP(B999,'Pre-Summary'!$BO$6:$BQ$48,3, FALSE),O998)</f>
        <v>1</v>
      </c>
      <c r="P999" s="99">
        <f>IFERROR(VLOOKUP(B999,'Pre-Summary'!$BS$6:$BU$35,3,FALSE),P998)</f>
        <v>0.25</v>
      </c>
      <c r="Q999" s="54">
        <f t="shared" si="45"/>
        <v>4</v>
      </c>
      <c r="R999" s="53">
        <f>IFERROR(VLOOKUP(B999,'Pre-Summary'!$BG$6:$BM$44,7,FALSE),R1000)</f>
        <v>4.0839377512219534E-2</v>
      </c>
      <c r="S999" s="53">
        <f>IFERROR(VLOOKUP(B999,'Pre-Summary'!$BG$6:$BM$44,6,FALSE),S1000)</f>
        <v>3.561480302426305E-2</v>
      </c>
      <c r="T999" s="45" t="str">
        <f>IFERROR(VLOOKUP(B999,'Pre-Summary'!$Y$6:$AC$83, 3,FALSE),"")</f>
        <v/>
      </c>
      <c r="U999" s="45" t="str">
        <f>IFERROR(VLOOKUP(B999,'Pre-Summary'!$Y$6:$AC$83, 4,FALSE),"")</f>
        <v/>
      </c>
      <c r="V999" t="str">
        <f>IFERROR(VLOOKUP(B999,'Pre-Summary'!$Y$6:$AC$83, 5,FALSE),"")</f>
        <v/>
      </c>
      <c r="W999" s="45" t="str">
        <f>IFERROR(VLOOKUP(B999,'Pre-Summary'!$Y$6:$AD$83,6,FALSE),"")</f>
        <v/>
      </c>
      <c r="X999" t="str">
        <f>IFERROR(VLOOKUP('Pre-Summary'!$DB$6:$DD$63,3,FALSE),"")</f>
        <v/>
      </c>
      <c r="Y999" t="str">
        <f>IFERROR(VLOOKUP(B999,'Pre-Summary'!$CR$6:$CT$36,3,FALSE),"")</f>
        <v/>
      </c>
      <c r="Z999" s="45" t="str">
        <f>IFERROR(VLOOKUP(B999,'Pre-Summary'!$BZ$6:$CB$63,2,FALSE),"")</f>
        <v/>
      </c>
      <c r="AA999" s="45" t="str">
        <f>IFERROR(VLOOKUP(B999,'Pre-Summary'!$CG$6:$CI$70,2,FALSE),"")</f>
        <v/>
      </c>
      <c r="AB999" s="99">
        <f>IFERROR(VLOOKUP(B999,'Pre-Summary'!$A$6:$P$178,9,FALSE),AB1000)</f>
        <v>0.56698835270431935</v>
      </c>
      <c r="AC999" s="10">
        <f>IFERROR(VLOOKUP(Summary!B999,'Pre-Summary'!$A$6:$P$184,5, FALSE)/100,AC1000)</f>
        <v>0.90877666666666657</v>
      </c>
      <c r="AD999" s="10">
        <f>IFERROR(VLOOKUP(Summary!B999,'Pre-Summary'!$A$6:$P$184,3, FALSE)/100,AD1000)</f>
        <v>2.5033666666666666E-2</v>
      </c>
      <c r="AE999" s="10">
        <f>IFERROR(VLOOKUP(Summary!B999,'Pre-Summary'!$A$6:$P$184,7, FALSE)/100,AE1000)</f>
        <v>6.6189666666666674E-2</v>
      </c>
      <c r="AF999" s="99">
        <f t="shared" si="46"/>
        <v>1.4193797425482362E-2</v>
      </c>
      <c r="AG999" s="99">
        <f t="shared" si="47"/>
        <v>3.7528770069381337E-2</v>
      </c>
      <c r="AH999" s="10" t="str">
        <f>IFERROR(VLOOKUP(B999,'Pre-Summary'!$AZ$6:$BE$65,3,FALSE),"")</f>
        <v/>
      </c>
      <c r="AI999" s="10" t="str">
        <f>IFERROR(VLOOKUP(B999,'Pre-Summary'!$AZ$6:$BE$65,5,FALSE),"")</f>
        <v/>
      </c>
      <c r="AJ999" s="10" t="str">
        <f>IFERROR(VLOOKUP(B999,'Pre-Summary'!$AZ$6:$BE$65,4,FALSE),"")</f>
        <v/>
      </c>
      <c r="AK999" s="10" t="str">
        <f>IFERROR(VLOOKUP(B999,'Pre-Summary'!$AZ$6:$BE$65,6,FALSE),"")</f>
        <v/>
      </c>
      <c r="AL999" s="10" t="str">
        <f>IFERROR(VLOOKUP(B999,'Pre-Summary'!$BG$6:$BL$44,3,FALSE),"")</f>
        <v/>
      </c>
      <c r="AM999" s="10" t="str">
        <f>IFERROR(VLOOKUP(B999,'Pre-Summary'!$BG$6:$BL$44,4,FALSE),"")</f>
        <v/>
      </c>
    </row>
    <row r="1000" spans="2:39" ht="15" customHeight="1" x14ac:dyDescent="0.3">
      <c r="B1000">
        <v>99.7</v>
      </c>
      <c r="C1000" t="str">
        <f>IFERROR(VLOOKUP(B1000,'Pre-Summary'!$DI$6:$DM$23,4,FALSE),"")</f>
        <v/>
      </c>
      <c r="D1000" s="10" t="str">
        <f>IFERROR(VLOOKUP(B1000,'Pre-Summary'!$AT$6:$AX$14,5,FALSE),D999)</f>
        <v>DSMZ v3: dropped yeast, casitone, and bicarb out of DSMZ 120</v>
      </c>
      <c r="E1000" s="10" t="str">
        <f>IFERROR(VLOOKUP(B1000,'Pre-Summary'!$AT$6:$AX$15,4,FALSE),"")</f>
        <v/>
      </c>
      <c r="F1000">
        <f>IFERROR(VLOOKUP(B1000,'Pre-Summary'!$AL$6:$AQ$13,6,FALSE),F999)</f>
        <v>5.9405263157894746E-2</v>
      </c>
      <c r="G1000" t="str">
        <f>IFERROR(VLOOKUP(B1000,'Pre-Summary'!$AE$6:$AJ$85,3,FALSE),"")</f>
        <v/>
      </c>
      <c r="H1000" t="str">
        <f>IFERROR(VLOOKUP(B1000,'Pre-Summary'!$AE$6:$AJ$85,4,FALSE),"")</f>
        <v/>
      </c>
      <c r="I1000" t="str">
        <f>IFERROR(VLOOKUP(B1000,'Pre-Summary'!$AE$6:$AJ$85,5,FALSE),"")</f>
        <v/>
      </c>
      <c r="J1000" s="45" t="str">
        <f>IFERROR(VLOOKUP(B1000,'Pre-Summary'!$AE$6:$AJ$85,6, FALSE),"")</f>
        <v/>
      </c>
      <c r="K1000" s="45" t="str">
        <f>IFERROR(VLOOKUP(B1000,'Pre-Summary'!$DE$6:$DG$61,3,FALSE),"")</f>
        <v/>
      </c>
      <c r="L1000" s="45" t="str">
        <f>IFERROR(VLOOKUP(B1000,'Pre-Summary'!$CU$6:$CW$36,3,FALSE),"")</f>
        <v/>
      </c>
      <c r="M1000" s="45" t="str">
        <f>IFERROR(VLOOKUP(B1000,'Pre-Summary'!$BW$6:$BY$58,2,FALSE),"")</f>
        <v/>
      </c>
      <c r="N1000" s="45" t="str">
        <f>IFERROR(VLOOKUP(B1000,'Pre-Summary'!$CD$6:$CF$64,2,FALSE),"")</f>
        <v/>
      </c>
      <c r="O1000" s="99">
        <f>IFERROR(VLOOKUP(B1000,'Pre-Summary'!$BO$6:$BQ$48,3, FALSE),O999)</f>
        <v>1</v>
      </c>
      <c r="P1000" s="99">
        <f>IFERROR(VLOOKUP(B1000,'Pre-Summary'!$BS$6:$BU$35,3,FALSE),P999)</f>
        <v>0.25</v>
      </c>
      <c r="Q1000" s="54">
        <f t="shared" si="45"/>
        <v>4</v>
      </c>
      <c r="R1000" s="53">
        <f>IFERROR(VLOOKUP(B1000,'Pre-Summary'!$BG$6:$BM$44,7,FALSE),R1001)</f>
        <v>4.0839377512219534E-2</v>
      </c>
      <c r="S1000" s="53">
        <f>IFERROR(VLOOKUP(B1000,'Pre-Summary'!$BG$6:$BM$44,6,FALSE),S1001)</f>
        <v>3.561480302426305E-2</v>
      </c>
      <c r="T1000" s="45" t="str">
        <f>IFERROR(VLOOKUP(B1000,'Pre-Summary'!$Y$6:$AC$83, 3,FALSE),"")</f>
        <v/>
      </c>
      <c r="U1000" s="45" t="str">
        <f>IFERROR(VLOOKUP(B1000,'Pre-Summary'!$Y$6:$AC$83, 4,FALSE),"")</f>
        <v/>
      </c>
      <c r="V1000" t="str">
        <f>IFERROR(VLOOKUP(B1000,'Pre-Summary'!$Y$6:$AC$83, 5,FALSE),"")</f>
        <v/>
      </c>
      <c r="W1000" s="45" t="str">
        <f>IFERROR(VLOOKUP(B1000,'Pre-Summary'!$Y$6:$AD$83,6,FALSE),"")</f>
        <v/>
      </c>
      <c r="X1000" t="str">
        <f>IFERROR(VLOOKUP('Pre-Summary'!$DB$6:$DD$63,3,FALSE),"")</f>
        <v/>
      </c>
      <c r="Y1000" t="str">
        <f>IFERROR(VLOOKUP(B1000,'Pre-Summary'!$CR$6:$CT$36,3,FALSE),"")</f>
        <v/>
      </c>
      <c r="Z1000" s="45" t="str">
        <f>IFERROR(VLOOKUP(B1000,'Pre-Summary'!$BZ$6:$CB$63,2,FALSE),"")</f>
        <v/>
      </c>
      <c r="AA1000" s="45" t="str">
        <f>IFERROR(VLOOKUP(B1000,'Pre-Summary'!$CG$6:$CI$70,2,FALSE),"")</f>
        <v/>
      </c>
      <c r="AB1000" s="99">
        <f>IFERROR(VLOOKUP(B1000,'Pre-Summary'!$A$6:$P$178,9,FALSE),AB1001)</f>
        <v>0.56698835270431935</v>
      </c>
      <c r="AC1000" s="10">
        <f>IFERROR(VLOOKUP(Summary!B1000,'Pre-Summary'!$A$6:$P$184,5, FALSE)/100,AC1001)</f>
        <v>0.90877666666666657</v>
      </c>
      <c r="AD1000" s="10">
        <f>IFERROR(VLOOKUP(Summary!B1000,'Pre-Summary'!$A$6:$P$184,3, FALSE)/100,AD1001)</f>
        <v>2.5033666666666666E-2</v>
      </c>
      <c r="AE1000" s="10">
        <f>IFERROR(VLOOKUP(Summary!B1000,'Pre-Summary'!$A$6:$P$184,7, FALSE)/100,AE1001)</f>
        <v>6.6189666666666674E-2</v>
      </c>
      <c r="AF1000" s="99">
        <f t="shared" si="46"/>
        <v>1.4193797425482362E-2</v>
      </c>
      <c r="AG1000" s="99">
        <f t="shared" si="47"/>
        <v>3.7528770069381337E-2</v>
      </c>
      <c r="AH1000" s="10" t="str">
        <f>IFERROR(VLOOKUP(B1000,'Pre-Summary'!$AZ$6:$BE$65,3,FALSE),"")</f>
        <v/>
      </c>
      <c r="AI1000" s="10" t="str">
        <f>IFERROR(VLOOKUP(B1000,'Pre-Summary'!$AZ$6:$BE$65,5,FALSE),"")</f>
        <v/>
      </c>
      <c r="AJ1000" s="10" t="str">
        <f>IFERROR(VLOOKUP(B1000,'Pre-Summary'!$AZ$6:$BE$65,4,FALSE),"")</f>
        <v/>
      </c>
      <c r="AK1000" s="10" t="str">
        <f>IFERROR(VLOOKUP(B1000,'Pre-Summary'!$AZ$6:$BE$65,6,FALSE),"")</f>
        <v/>
      </c>
      <c r="AL1000" s="10" t="str">
        <f>IFERROR(VLOOKUP(B1000,'Pre-Summary'!$BG$6:$BL$44,3,FALSE),"")</f>
        <v/>
      </c>
      <c r="AM1000" s="10" t="str">
        <f>IFERROR(VLOOKUP(B1000,'Pre-Summary'!$BG$6:$BL$44,4,FALSE),"")</f>
        <v/>
      </c>
    </row>
    <row r="1001" spans="2:39" ht="15" customHeight="1" x14ac:dyDescent="0.3">
      <c r="B1001">
        <v>99.8</v>
      </c>
      <c r="C1001" t="str">
        <f>IFERROR(VLOOKUP(B1001,'Pre-Summary'!$DI$6:$DM$23,4,FALSE),"")</f>
        <v/>
      </c>
      <c r="D1001" s="10" t="str">
        <f>IFERROR(VLOOKUP(B1001,'Pre-Summary'!$AT$6:$AX$14,5,FALSE),D1000)</f>
        <v>DSMZ v3: dropped yeast, casitone, and bicarb out of DSMZ 120</v>
      </c>
      <c r="E1001" s="10" t="str">
        <f>IFERROR(VLOOKUP(B1001,'Pre-Summary'!$AT$6:$AX$15,4,FALSE),"")</f>
        <v/>
      </c>
      <c r="F1001">
        <f>IFERROR(VLOOKUP(B1001,'Pre-Summary'!$AL$6:$AQ$13,6,FALSE),F1000)</f>
        <v>5.9405263157894746E-2</v>
      </c>
      <c r="G1001" t="str">
        <f>IFERROR(VLOOKUP(B1001,'Pre-Summary'!$AE$6:$AJ$85,3,FALSE),"")</f>
        <v/>
      </c>
      <c r="H1001" t="str">
        <f>IFERROR(VLOOKUP(B1001,'Pre-Summary'!$AE$6:$AJ$85,4,FALSE),"")</f>
        <v/>
      </c>
      <c r="I1001" t="str">
        <f>IFERROR(VLOOKUP(B1001,'Pre-Summary'!$AE$6:$AJ$85,5,FALSE),"")</f>
        <v/>
      </c>
      <c r="J1001" s="45" t="str">
        <f>IFERROR(VLOOKUP(B1001,'Pre-Summary'!$AE$6:$AJ$85,6, FALSE),"")</f>
        <v/>
      </c>
      <c r="K1001" s="45" t="str">
        <f>IFERROR(VLOOKUP(B1001,'Pre-Summary'!$DE$6:$DG$61,3,FALSE),"")</f>
        <v/>
      </c>
      <c r="L1001" s="45" t="str">
        <f>IFERROR(VLOOKUP(B1001,'Pre-Summary'!$CU$6:$CW$36,3,FALSE),"")</f>
        <v/>
      </c>
      <c r="M1001" s="45" t="str">
        <f>IFERROR(VLOOKUP(B1001,'Pre-Summary'!$BW$6:$BY$58,2,FALSE),"")</f>
        <v/>
      </c>
      <c r="N1001" s="45" t="str">
        <f>IFERROR(VLOOKUP(B1001,'Pre-Summary'!$CD$6:$CF$64,2,FALSE),"")</f>
        <v/>
      </c>
      <c r="O1001" s="99">
        <f>IFERROR(VLOOKUP(B1001,'Pre-Summary'!$BO$6:$BQ$48,3, FALSE),O1000)</f>
        <v>1</v>
      </c>
      <c r="P1001" s="99">
        <f>IFERROR(VLOOKUP(B1001,'Pre-Summary'!$BS$6:$BU$35,3,FALSE),P1000)</f>
        <v>0.25</v>
      </c>
      <c r="Q1001" s="54">
        <f t="shared" si="45"/>
        <v>4</v>
      </c>
      <c r="R1001" s="53">
        <f>IFERROR(VLOOKUP(B1001,'Pre-Summary'!$BG$6:$BM$44,7,FALSE),R1002)</f>
        <v>4.0839377512219534E-2</v>
      </c>
      <c r="S1001" s="53">
        <f>IFERROR(VLOOKUP(B1001,'Pre-Summary'!$BG$6:$BM$44,6,FALSE),S1002)</f>
        <v>3.561480302426305E-2</v>
      </c>
      <c r="T1001" s="45" t="str">
        <f>IFERROR(VLOOKUP(B1001,'Pre-Summary'!$Y$6:$AC$83, 3,FALSE),"")</f>
        <v/>
      </c>
      <c r="U1001" s="45" t="str">
        <f>IFERROR(VLOOKUP(B1001,'Pre-Summary'!$Y$6:$AC$83, 4,FALSE),"")</f>
        <v/>
      </c>
      <c r="V1001" t="str">
        <f>IFERROR(VLOOKUP(B1001,'Pre-Summary'!$Y$6:$AC$83, 5,FALSE),"")</f>
        <v/>
      </c>
      <c r="W1001" s="45" t="str">
        <f>IFERROR(VLOOKUP(B1001,'Pre-Summary'!$Y$6:$AD$83,6,FALSE),"")</f>
        <v/>
      </c>
      <c r="X1001" t="str">
        <f>IFERROR(VLOOKUP('Pre-Summary'!$DB$6:$DD$63,3,FALSE),"")</f>
        <v/>
      </c>
      <c r="Y1001" t="str">
        <f>IFERROR(VLOOKUP(B1001,'Pre-Summary'!$CR$6:$CT$36,3,FALSE),"")</f>
        <v/>
      </c>
      <c r="Z1001" s="45" t="str">
        <f>IFERROR(VLOOKUP(B1001,'Pre-Summary'!$BZ$6:$CB$63,2,FALSE),"")</f>
        <v/>
      </c>
      <c r="AA1001" s="45" t="str">
        <f>IFERROR(VLOOKUP(B1001,'Pre-Summary'!$CG$6:$CI$70,2,FALSE),"")</f>
        <v/>
      </c>
      <c r="AB1001" s="99">
        <f>IFERROR(VLOOKUP(B1001,'Pre-Summary'!$A$6:$P$178,9,FALSE),AB1002)</f>
        <v>0.56698835270431935</v>
      </c>
      <c r="AC1001" s="10">
        <f>IFERROR(VLOOKUP(Summary!B1001,'Pre-Summary'!$A$6:$P$184,5, FALSE)/100,AC1002)</f>
        <v>0.90877666666666657</v>
      </c>
      <c r="AD1001" s="10">
        <f>IFERROR(VLOOKUP(Summary!B1001,'Pre-Summary'!$A$6:$P$184,3, FALSE)/100,AD1002)</f>
        <v>2.5033666666666666E-2</v>
      </c>
      <c r="AE1001" s="10">
        <f>IFERROR(VLOOKUP(Summary!B1001,'Pre-Summary'!$A$6:$P$184,7, FALSE)/100,AE1002)</f>
        <v>6.6189666666666674E-2</v>
      </c>
      <c r="AF1001" s="99">
        <f t="shared" si="46"/>
        <v>1.4193797425482362E-2</v>
      </c>
      <c r="AG1001" s="99">
        <f t="shared" si="47"/>
        <v>3.7528770069381337E-2</v>
      </c>
      <c r="AH1001" s="10" t="str">
        <f>IFERROR(VLOOKUP(B1001,'Pre-Summary'!$AZ$6:$BE$65,3,FALSE),"")</f>
        <v/>
      </c>
      <c r="AI1001" s="10" t="str">
        <f>IFERROR(VLOOKUP(B1001,'Pre-Summary'!$AZ$6:$BE$65,5,FALSE),"")</f>
        <v/>
      </c>
      <c r="AJ1001" s="10" t="str">
        <f>IFERROR(VLOOKUP(B1001,'Pre-Summary'!$AZ$6:$BE$65,4,FALSE),"")</f>
        <v/>
      </c>
      <c r="AK1001" s="10" t="str">
        <f>IFERROR(VLOOKUP(B1001,'Pre-Summary'!$AZ$6:$BE$65,6,FALSE),"")</f>
        <v/>
      </c>
      <c r="AL1001" s="10" t="str">
        <f>IFERROR(VLOOKUP(B1001,'Pre-Summary'!$BG$6:$BL$44,3,FALSE),"")</f>
        <v/>
      </c>
      <c r="AM1001" s="10" t="str">
        <f>IFERROR(VLOOKUP(B1001,'Pre-Summary'!$BG$6:$BL$44,4,FALSE),"")</f>
        <v/>
      </c>
    </row>
    <row r="1002" spans="2:39" ht="15" customHeight="1" x14ac:dyDescent="0.3">
      <c r="B1002">
        <v>99.9</v>
      </c>
      <c r="C1002" t="str">
        <f>IFERROR(VLOOKUP(B1002,'Pre-Summary'!$DI$6:$DM$23,4,FALSE),"")</f>
        <v/>
      </c>
      <c r="D1002" s="10" t="str">
        <f>IFERROR(VLOOKUP(B1002,'Pre-Summary'!$AT$6:$AX$14,5,FALSE),D1001)</f>
        <v>DSMZ v3: dropped yeast, casitone, and bicarb out of DSMZ 120</v>
      </c>
      <c r="E1002" s="10" t="str">
        <f>IFERROR(VLOOKUP(B1002,'Pre-Summary'!$AT$6:$AX$15,4,FALSE),"")</f>
        <v/>
      </c>
      <c r="F1002">
        <f>IFERROR(VLOOKUP(B1002,'Pre-Summary'!$AL$6:$AQ$13,6,FALSE),F1001)</f>
        <v>5.9405263157894746E-2</v>
      </c>
      <c r="G1002">
        <f>IFERROR(VLOOKUP(B1002,'Pre-Summary'!$AE$6:$AJ$85,3,FALSE),"")</f>
        <v>71.070000000000007</v>
      </c>
      <c r="H1002" t="str">
        <f>IFERROR(VLOOKUP(B1002,'Pre-Summary'!$AE$6:$AJ$85,4,FALSE),"")</f>
        <v/>
      </c>
      <c r="I1002">
        <f>IFERROR(VLOOKUP(B1002,'Pre-Summary'!$AE$6:$AJ$85,5,FALSE),"")</f>
        <v>0</v>
      </c>
      <c r="J1002" s="45">
        <f>IFERROR(VLOOKUP(B1002,'Pre-Summary'!$AE$6:$AJ$85,6, FALSE),"")</f>
        <v>75.831690000000009</v>
      </c>
      <c r="K1002" s="45" t="str">
        <f>IFERROR(VLOOKUP(B1002,'Pre-Summary'!$DE$6:$DG$61,3,FALSE),"")</f>
        <v/>
      </c>
      <c r="L1002" s="45" t="str">
        <f>IFERROR(VLOOKUP(B1002,'Pre-Summary'!$CU$6:$CW$36,3,FALSE),"")</f>
        <v/>
      </c>
      <c r="M1002" s="45" t="str">
        <f>IFERROR(VLOOKUP(B1002,'Pre-Summary'!$BW$6:$BY$58,2,FALSE),"")</f>
        <v/>
      </c>
      <c r="N1002" s="45" t="str">
        <f>IFERROR(VLOOKUP(B1002,'Pre-Summary'!$CD$6:$CF$64,2,FALSE),"")</f>
        <v/>
      </c>
      <c r="O1002" s="99">
        <f>IFERROR(VLOOKUP(B1002,'Pre-Summary'!$BO$6:$BQ$48,3, FALSE),O1001)</f>
        <v>1</v>
      </c>
      <c r="P1002" s="99">
        <f>IFERROR(VLOOKUP(B1002,'Pre-Summary'!$BS$6:$BU$35,3,FALSE),P1001)</f>
        <v>0.25</v>
      </c>
      <c r="Q1002" s="54">
        <f t="shared" si="45"/>
        <v>4</v>
      </c>
      <c r="R1002" s="53">
        <f>IFERROR(VLOOKUP(B1002,'Pre-Summary'!$BG$6:$BM$44,7,FALSE),R1003)</f>
        <v>4.0839377512219534E-2</v>
      </c>
      <c r="S1002" s="53">
        <f>IFERROR(VLOOKUP(B1002,'Pre-Summary'!$BG$6:$BM$44,6,FALSE),S1003)</f>
        <v>3.561480302426305E-2</v>
      </c>
      <c r="T1002" s="45" t="str">
        <f>IFERROR(VLOOKUP(B1002,'Pre-Summary'!$Y$6:$AC$83, 3,FALSE),"")</f>
        <v/>
      </c>
      <c r="U1002" s="45" t="str">
        <f>IFERROR(VLOOKUP(B1002,'Pre-Summary'!$Y$6:$AC$83, 4,FALSE),"")</f>
        <v/>
      </c>
      <c r="V1002">
        <f>IFERROR(VLOOKUP(B1002,'Pre-Summary'!$Y$6:$AC$83, 5,FALSE),"")</f>
        <v>0</v>
      </c>
      <c r="W1002" s="45">
        <f>IFERROR(VLOOKUP(B1002,'Pre-Summary'!$Y$6:$AD$83,6,FALSE),"")</f>
        <v>0</v>
      </c>
      <c r="X1002" t="str">
        <f>IFERROR(VLOOKUP('Pre-Summary'!$DB$6:$DD$63,3,FALSE),"")</f>
        <v/>
      </c>
      <c r="Y1002" t="str">
        <f>IFERROR(VLOOKUP(B1002,'Pre-Summary'!$CR$6:$CT$36,3,FALSE),"")</f>
        <v/>
      </c>
      <c r="Z1002" s="45" t="str">
        <f>IFERROR(VLOOKUP(B1002,'Pre-Summary'!$BZ$6:$CB$63,2,FALSE),"")</f>
        <v/>
      </c>
      <c r="AA1002" s="45" t="str">
        <f>IFERROR(VLOOKUP(B1002,'Pre-Summary'!$CG$6:$CI$70,2,FALSE),"")</f>
        <v/>
      </c>
      <c r="AB1002" s="99">
        <f>IFERROR(VLOOKUP(B1002,'Pre-Summary'!$A$6:$P$178,9,FALSE),AB1003)</f>
        <v>0.56698835270431935</v>
      </c>
      <c r="AC1002" s="10">
        <f>IFERROR(VLOOKUP(Summary!B1002,'Pre-Summary'!$A$6:$P$184,5, FALSE)/100,AC1003)</f>
        <v>0.90877666666666657</v>
      </c>
      <c r="AD1002" s="10">
        <f>IFERROR(VLOOKUP(Summary!B1002,'Pre-Summary'!$A$6:$P$184,3, FALSE)/100,AD1003)</f>
        <v>2.5033666666666666E-2</v>
      </c>
      <c r="AE1002" s="10">
        <f>IFERROR(VLOOKUP(Summary!B1002,'Pre-Summary'!$A$6:$P$184,7, FALSE)/100,AE1003)</f>
        <v>6.6189666666666674E-2</v>
      </c>
      <c r="AF1002" s="99">
        <f t="shared" si="46"/>
        <v>1.4193797425482362E-2</v>
      </c>
      <c r="AG1002" s="99">
        <f t="shared" si="47"/>
        <v>3.7528770069381337E-2</v>
      </c>
      <c r="AH1002" s="10" t="str">
        <f>IFERROR(VLOOKUP(B1002,'Pre-Summary'!$AZ$6:$BE$65,3,FALSE),"")</f>
        <v/>
      </c>
      <c r="AI1002" s="10" t="str">
        <f>IFERROR(VLOOKUP(B1002,'Pre-Summary'!$AZ$6:$BE$65,5,FALSE),"")</f>
        <v/>
      </c>
      <c r="AJ1002" s="10" t="str">
        <f>IFERROR(VLOOKUP(B1002,'Pre-Summary'!$AZ$6:$BE$65,4,FALSE),"")</f>
        <v/>
      </c>
      <c r="AK1002" s="10" t="str">
        <f>IFERROR(VLOOKUP(B1002,'Pre-Summary'!$AZ$6:$BE$65,6,FALSE),"")</f>
        <v/>
      </c>
      <c r="AL1002" s="10" t="str">
        <f>IFERROR(VLOOKUP(B1002,'Pre-Summary'!$BG$6:$BL$44,3,FALSE),"")</f>
        <v/>
      </c>
      <c r="AM1002" s="10" t="str">
        <f>IFERROR(VLOOKUP(B1002,'Pre-Summary'!$BG$6:$BL$44,4,FALSE),"")</f>
        <v/>
      </c>
    </row>
    <row r="1003" spans="2:39" ht="15" customHeight="1" x14ac:dyDescent="0.3">
      <c r="B1003">
        <v>100</v>
      </c>
      <c r="C1003" t="str">
        <f>IFERROR(VLOOKUP(B1003,'Pre-Summary'!$DI$6:$DM$23,4,FALSE),"")</f>
        <v/>
      </c>
      <c r="D1003" s="10" t="str">
        <f>IFERROR(VLOOKUP(B1003,'Pre-Summary'!$AT$6:$AX$14,5,FALSE),D1002)</f>
        <v>DSMZ v3: dropped yeast, casitone, and bicarb out of DSMZ 120</v>
      </c>
      <c r="E1003" s="10" t="str">
        <f>IFERROR(VLOOKUP(B1003,'Pre-Summary'!$AT$6:$AX$15,4,FALSE),"")</f>
        <v/>
      </c>
      <c r="F1003">
        <f>IFERROR(VLOOKUP(B1003,'Pre-Summary'!$AL$6:$AQ$13,6,FALSE),F1002)</f>
        <v>5.9405263157894746E-2</v>
      </c>
      <c r="G1003" t="str">
        <f>IFERROR(VLOOKUP(B1003,'Pre-Summary'!$AE$6:$AJ$85,3,FALSE),"")</f>
        <v/>
      </c>
      <c r="H1003" t="str">
        <f>IFERROR(VLOOKUP(B1003,'Pre-Summary'!$AE$6:$AJ$85,4,FALSE),"")</f>
        <v/>
      </c>
      <c r="I1003" t="str">
        <f>IFERROR(VLOOKUP(B1003,'Pre-Summary'!$AE$6:$AJ$85,5,FALSE),"")</f>
        <v/>
      </c>
      <c r="J1003" s="45" t="str">
        <f>IFERROR(VLOOKUP(B1003,'Pre-Summary'!$AE$6:$AJ$85,6, FALSE),"")</f>
        <v/>
      </c>
      <c r="K1003" s="45" t="str">
        <f>IFERROR(VLOOKUP(B1003,'Pre-Summary'!$DE$6:$DG$61,3,FALSE),"")</f>
        <v/>
      </c>
      <c r="L1003" s="45" t="str">
        <f>IFERROR(VLOOKUP(B1003,'Pre-Summary'!$CU$6:$CW$36,3,FALSE),"")</f>
        <v/>
      </c>
      <c r="M1003" s="45" t="str">
        <f>IFERROR(VLOOKUP(B1003,'Pre-Summary'!$BW$6:$BY$58,2,FALSE),"")</f>
        <v/>
      </c>
      <c r="N1003" s="45" t="str">
        <f>IFERROR(VLOOKUP(B1003,'Pre-Summary'!$CD$6:$CF$64,2,FALSE),"")</f>
        <v/>
      </c>
      <c r="O1003" s="99">
        <f>IFERROR(VLOOKUP(B1003,'Pre-Summary'!$BO$6:$BQ$48,3, FALSE),O1002)</f>
        <v>1</v>
      </c>
      <c r="P1003" s="99">
        <f>IFERROR(VLOOKUP(B1003,'Pre-Summary'!$BS$6:$BU$35,3,FALSE),P1002)</f>
        <v>0.25</v>
      </c>
      <c r="Q1003" s="54">
        <f t="shared" si="45"/>
        <v>4</v>
      </c>
      <c r="R1003" s="53">
        <f>IFERROR(VLOOKUP(B1003,'Pre-Summary'!$BG$6:$BM$44,7,FALSE),R1004)</f>
        <v>4.0839377512219534E-2</v>
      </c>
      <c r="S1003" s="53">
        <f>IFERROR(VLOOKUP(B1003,'Pre-Summary'!$BG$6:$BM$44,6,FALSE),S1004)</f>
        <v>3.561480302426305E-2</v>
      </c>
      <c r="T1003" s="45" t="str">
        <f>IFERROR(VLOOKUP(B1003,'Pre-Summary'!$Y$6:$AC$83, 3,FALSE),"")</f>
        <v/>
      </c>
      <c r="U1003" s="45" t="str">
        <f>IFERROR(VLOOKUP(B1003,'Pre-Summary'!$Y$6:$AC$83, 4,FALSE),"")</f>
        <v/>
      </c>
      <c r="V1003" t="str">
        <f>IFERROR(VLOOKUP(B1003,'Pre-Summary'!$Y$6:$AC$83, 5,FALSE),"")</f>
        <v/>
      </c>
      <c r="W1003" s="45" t="str">
        <f>IFERROR(VLOOKUP(B1003,'Pre-Summary'!$Y$6:$AD$83,6,FALSE),"")</f>
        <v/>
      </c>
      <c r="X1003" t="str">
        <f>IFERROR(VLOOKUP('Pre-Summary'!$DB$6:$DD$63,3,FALSE),"")</f>
        <v/>
      </c>
      <c r="Y1003" t="str">
        <f>IFERROR(VLOOKUP(B1003,'Pre-Summary'!$CR$6:$CT$36,3,FALSE),"")</f>
        <v/>
      </c>
      <c r="Z1003" s="45" t="str">
        <f>IFERROR(VLOOKUP(B1003,'Pre-Summary'!$BZ$6:$CB$63,2,FALSE),"")</f>
        <v/>
      </c>
      <c r="AA1003" s="45" t="str">
        <f>IFERROR(VLOOKUP(B1003,'Pre-Summary'!$CG$6:$CI$70,2,FALSE),"")</f>
        <v/>
      </c>
      <c r="AB1003" s="99">
        <f>IFERROR(VLOOKUP(B1003,'Pre-Summary'!$A$6:$P$178,9,FALSE),AB1004)</f>
        <v>0.41343584148043017</v>
      </c>
      <c r="AC1003" s="10">
        <f>IFERROR(VLOOKUP(Summary!B1003,'Pre-Summary'!$A$6:$P$184,5, FALSE)/100,AC1004)</f>
        <v>0.86886866666666673</v>
      </c>
      <c r="AD1003" s="10">
        <f>IFERROR(VLOOKUP(Summary!B1003,'Pre-Summary'!$A$6:$P$184,3, FALSE)/100,AD1004)</f>
        <v>4.5391000000000001E-2</v>
      </c>
      <c r="AE1003" s="10">
        <f>IFERROR(VLOOKUP(Summary!B1003,'Pre-Summary'!$A$6:$P$184,7, FALSE)/100,AE1004)</f>
        <v>8.5740333333333321E-2</v>
      </c>
      <c r="AF1003" s="99">
        <f t="shared" si="46"/>
        <v>1.8766266280638207E-2</v>
      </c>
      <c r="AG1003" s="99">
        <f t="shared" si="47"/>
        <v>3.544812686047924E-2</v>
      </c>
      <c r="AH1003" s="10" t="str">
        <f>IFERROR(VLOOKUP(B1003,'Pre-Summary'!$AZ$6:$BE$65,3,FALSE),"")</f>
        <v/>
      </c>
      <c r="AI1003" s="10" t="str">
        <f>IFERROR(VLOOKUP(B1003,'Pre-Summary'!$AZ$6:$BE$65,5,FALSE),"")</f>
        <v/>
      </c>
      <c r="AJ1003" s="10" t="str">
        <f>IFERROR(VLOOKUP(B1003,'Pre-Summary'!$AZ$6:$BE$65,4,FALSE),"")</f>
        <v/>
      </c>
      <c r="AK1003" s="10" t="str">
        <f>IFERROR(VLOOKUP(B1003,'Pre-Summary'!$AZ$6:$BE$65,6,FALSE),"")</f>
        <v/>
      </c>
      <c r="AL1003" s="10" t="str">
        <f>IFERROR(VLOOKUP(B1003,'Pre-Summary'!$BG$6:$BL$44,3,FALSE),"")</f>
        <v/>
      </c>
      <c r="AM1003" s="10" t="str">
        <f>IFERROR(VLOOKUP(B1003,'Pre-Summary'!$BG$6:$BL$44,4,FALSE),"")</f>
        <v/>
      </c>
    </row>
    <row r="1004" spans="2:39" ht="15" customHeight="1" x14ac:dyDescent="0.3">
      <c r="B1004">
        <v>100.1</v>
      </c>
      <c r="C1004" t="str">
        <f>IFERROR(VLOOKUP(B1004,'Pre-Summary'!$DI$6:$DM$23,4,FALSE),"")</f>
        <v/>
      </c>
      <c r="D1004" s="10" t="str">
        <f>IFERROR(VLOOKUP(B1004,'Pre-Summary'!$AT$6:$AX$14,5,FALSE),D1003)</f>
        <v>DSMZ v3: dropped yeast, casitone, and bicarb out of DSMZ 120</v>
      </c>
      <c r="E1004" s="10" t="str">
        <f>IFERROR(VLOOKUP(B1004,'Pre-Summary'!$AT$6:$AX$15,4,FALSE),"")</f>
        <v/>
      </c>
      <c r="F1004">
        <f>IFERROR(VLOOKUP(B1004,'Pre-Summary'!$AL$6:$AQ$13,6,FALSE),F1003)</f>
        <v>5.9405263157894746E-2</v>
      </c>
      <c r="G1004" t="str">
        <f>IFERROR(VLOOKUP(B1004,'Pre-Summary'!$AE$6:$AJ$85,3,FALSE),"")</f>
        <v/>
      </c>
      <c r="H1004" t="str">
        <f>IFERROR(VLOOKUP(B1004,'Pre-Summary'!$AE$6:$AJ$85,4,FALSE),"")</f>
        <v/>
      </c>
      <c r="I1004" t="str">
        <f>IFERROR(VLOOKUP(B1004,'Pre-Summary'!$AE$6:$AJ$85,5,FALSE),"")</f>
        <v/>
      </c>
      <c r="J1004" s="45" t="str">
        <f>IFERROR(VLOOKUP(B1004,'Pre-Summary'!$AE$6:$AJ$85,6, FALSE),"")</f>
        <v/>
      </c>
      <c r="K1004" s="45" t="str">
        <f>IFERROR(VLOOKUP(B1004,'Pre-Summary'!$DE$6:$DG$61,3,FALSE),"")</f>
        <v/>
      </c>
      <c r="L1004" s="45" t="str">
        <f>IFERROR(VLOOKUP(B1004,'Pre-Summary'!$CU$6:$CW$36,3,FALSE),"")</f>
        <v/>
      </c>
      <c r="M1004" s="45" t="str">
        <f>IFERROR(VLOOKUP(B1004,'Pre-Summary'!$BW$6:$BY$58,2,FALSE),"")</f>
        <v/>
      </c>
      <c r="N1004" s="45" t="str">
        <f>IFERROR(VLOOKUP(B1004,'Pre-Summary'!$CD$6:$CF$64,2,FALSE),"")</f>
        <v/>
      </c>
      <c r="O1004" s="99">
        <f>IFERROR(VLOOKUP(B1004,'Pre-Summary'!$BO$6:$BQ$48,3, FALSE),O1003)</f>
        <v>1</v>
      </c>
      <c r="P1004" s="99">
        <f>IFERROR(VLOOKUP(B1004,'Pre-Summary'!$BS$6:$BU$35,3,FALSE),P1003)</f>
        <v>0.25</v>
      </c>
      <c r="Q1004" s="54">
        <f t="shared" si="45"/>
        <v>4</v>
      </c>
      <c r="R1004" s="53">
        <f>IFERROR(VLOOKUP(B1004,'Pre-Summary'!$BG$6:$BM$44,7,FALSE),R1005)</f>
        <v>4.0839377512219534E-2</v>
      </c>
      <c r="S1004" s="53">
        <f>IFERROR(VLOOKUP(B1004,'Pre-Summary'!$BG$6:$BM$44,6,FALSE),S1005)</f>
        <v>3.561480302426305E-2</v>
      </c>
      <c r="T1004" s="45" t="str">
        <f>IFERROR(VLOOKUP(B1004,'Pre-Summary'!$Y$6:$AC$83, 3,FALSE),"")</f>
        <v/>
      </c>
      <c r="U1004" s="45" t="str">
        <f>IFERROR(VLOOKUP(B1004,'Pre-Summary'!$Y$6:$AC$83, 4,FALSE),"")</f>
        <v/>
      </c>
      <c r="V1004" t="str">
        <f>IFERROR(VLOOKUP(B1004,'Pre-Summary'!$Y$6:$AC$83, 5,FALSE),"")</f>
        <v/>
      </c>
      <c r="W1004" s="45" t="str">
        <f>IFERROR(VLOOKUP(B1004,'Pre-Summary'!$Y$6:$AD$83,6,FALSE),"")</f>
        <v/>
      </c>
      <c r="X1004" t="str">
        <f>IFERROR(VLOOKUP('Pre-Summary'!$DB$6:$DD$63,3,FALSE),"")</f>
        <v/>
      </c>
      <c r="Y1004" t="str">
        <f>IFERROR(VLOOKUP(B1004,'Pre-Summary'!$CR$6:$CT$36,3,FALSE),"")</f>
        <v/>
      </c>
      <c r="Z1004" s="45" t="str">
        <f>IFERROR(VLOOKUP(B1004,'Pre-Summary'!$BZ$6:$CB$63,2,FALSE),"")</f>
        <v/>
      </c>
      <c r="AA1004" s="45" t="str">
        <f>IFERROR(VLOOKUP(B1004,'Pre-Summary'!$CG$6:$CI$70,2,FALSE),"")</f>
        <v/>
      </c>
      <c r="AB1004" s="99">
        <f>IFERROR(VLOOKUP(B1004,'Pre-Summary'!$A$6:$P$178,9,FALSE),AB1005)</f>
        <v>0.41343584148043017</v>
      </c>
      <c r="AC1004" s="10">
        <f>IFERROR(VLOOKUP(Summary!B1004,'Pre-Summary'!$A$6:$P$184,5, FALSE)/100,AC1005)</f>
        <v>0.86886866666666673</v>
      </c>
      <c r="AD1004" s="10">
        <f>IFERROR(VLOOKUP(Summary!B1004,'Pre-Summary'!$A$6:$P$184,3, FALSE)/100,AD1005)</f>
        <v>4.5391000000000001E-2</v>
      </c>
      <c r="AE1004" s="10">
        <f>IFERROR(VLOOKUP(Summary!B1004,'Pre-Summary'!$A$6:$P$184,7, FALSE)/100,AE1005)</f>
        <v>8.5740333333333321E-2</v>
      </c>
      <c r="AF1004" s="99">
        <f t="shared" si="46"/>
        <v>1.8766266280638207E-2</v>
      </c>
      <c r="AG1004" s="99">
        <f t="shared" si="47"/>
        <v>3.544812686047924E-2</v>
      </c>
      <c r="AH1004" s="10" t="str">
        <f>IFERROR(VLOOKUP(B1004,'Pre-Summary'!$AZ$6:$BE$65,3,FALSE),"")</f>
        <v/>
      </c>
      <c r="AI1004" s="10" t="str">
        <f>IFERROR(VLOOKUP(B1004,'Pre-Summary'!$AZ$6:$BE$65,5,FALSE),"")</f>
        <v/>
      </c>
      <c r="AJ1004" s="10" t="str">
        <f>IFERROR(VLOOKUP(B1004,'Pre-Summary'!$AZ$6:$BE$65,4,FALSE),"")</f>
        <v/>
      </c>
      <c r="AK1004" s="10" t="str">
        <f>IFERROR(VLOOKUP(B1004,'Pre-Summary'!$AZ$6:$BE$65,6,FALSE),"")</f>
        <v/>
      </c>
      <c r="AL1004" s="10" t="str">
        <f>IFERROR(VLOOKUP(B1004,'Pre-Summary'!$BG$6:$BL$44,3,FALSE),"")</f>
        <v/>
      </c>
      <c r="AM1004" s="10" t="str">
        <f>IFERROR(VLOOKUP(B1004,'Pre-Summary'!$BG$6:$BL$44,4,FALSE),"")</f>
        <v/>
      </c>
    </row>
    <row r="1005" spans="2:39" ht="15" customHeight="1" x14ac:dyDescent="0.3">
      <c r="B1005">
        <v>100.2</v>
      </c>
      <c r="C1005" t="str">
        <f>IFERROR(VLOOKUP(B1005,'Pre-Summary'!$DI$6:$DM$23,4,FALSE),"")</f>
        <v/>
      </c>
      <c r="D1005" s="10" t="str">
        <f>IFERROR(VLOOKUP(B1005,'Pre-Summary'!$AT$6:$AX$14,5,FALSE),D1004)</f>
        <v>DSMZ v3: dropped yeast, casitone, and bicarb out of DSMZ 120</v>
      </c>
      <c r="E1005" s="10" t="str">
        <f>IFERROR(VLOOKUP(B1005,'Pre-Summary'!$AT$6:$AX$15,4,FALSE),"")</f>
        <v/>
      </c>
      <c r="F1005">
        <f>IFERROR(VLOOKUP(B1005,'Pre-Summary'!$AL$6:$AQ$13,6,FALSE),F1004)</f>
        <v>5.9405263157894746E-2</v>
      </c>
      <c r="G1005" t="str">
        <f>IFERROR(VLOOKUP(B1005,'Pre-Summary'!$AE$6:$AJ$85,3,FALSE),"")</f>
        <v/>
      </c>
      <c r="H1005" t="str">
        <f>IFERROR(VLOOKUP(B1005,'Pre-Summary'!$AE$6:$AJ$85,4,FALSE),"")</f>
        <v/>
      </c>
      <c r="I1005" t="str">
        <f>IFERROR(VLOOKUP(B1005,'Pre-Summary'!$AE$6:$AJ$85,5,FALSE),"")</f>
        <v/>
      </c>
      <c r="J1005" s="45" t="str">
        <f>IFERROR(VLOOKUP(B1005,'Pre-Summary'!$AE$6:$AJ$85,6, FALSE),"")</f>
        <v/>
      </c>
      <c r="K1005" s="45" t="str">
        <f>IFERROR(VLOOKUP(B1005,'Pre-Summary'!$DE$6:$DG$61,3,FALSE),"")</f>
        <v/>
      </c>
      <c r="L1005" s="45" t="str">
        <f>IFERROR(VLOOKUP(B1005,'Pre-Summary'!$CU$6:$CW$36,3,FALSE),"")</f>
        <v/>
      </c>
      <c r="M1005" s="45" t="str">
        <f>IFERROR(VLOOKUP(B1005,'Pre-Summary'!$BW$6:$BY$58,2,FALSE),"")</f>
        <v/>
      </c>
      <c r="N1005" s="45" t="str">
        <f>IFERROR(VLOOKUP(B1005,'Pre-Summary'!$CD$6:$CF$64,2,FALSE),"")</f>
        <v/>
      </c>
      <c r="O1005" s="99">
        <f>IFERROR(VLOOKUP(B1005,'Pre-Summary'!$BO$6:$BQ$48,3, FALSE),O1004)</f>
        <v>1</v>
      </c>
      <c r="P1005" s="99">
        <f>IFERROR(VLOOKUP(B1005,'Pre-Summary'!$BS$6:$BU$35,3,FALSE),P1004)</f>
        <v>0.25</v>
      </c>
      <c r="Q1005" s="54">
        <f t="shared" si="45"/>
        <v>4</v>
      </c>
      <c r="R1005" s="53">
        <f>IFERROR(VLOOKUP(B1005,'Pre-Summary'!$BG$6:$BM$44,7,FALSE),R1006)</f>
        <v>4.0839377512219534E-2</v>
      </c>
      <c r="S1005" s="53">
        <f>IFERROR(VLOOKUP(B1005,'Pre-Summary'!$BG$6:$BM$44,6,FALSE),S1006)</f>
        <v>3.561480302426305E-2</v>
      </c>
      <c r="T1005" s="45" t="str">
        <f>IFERROR(VLOOKUP(B1005,'Pre-Summary'!$Y$6:$AC$83, 3,FALSE),"")</f>
        <v/>
      </c>
      <c r="U1005" s="45" t="str">
        <f>IFERROR(VLOOKUP(B1005,'Pre-Summary'!$Y$6:$AC$83, 4,FALSE),"")</f>
        <v/>
      </c>
      <c r="V1005" t="str">
        <f>IFERROR(VLOOKUP(B1005,'Pre-Summary'!$Y$6:$AC$83, 5,FALSE),"")</f>
        <v/>
      </c>
      <c r="W1005" s="45" t="str">
        <f>IFERROR(VLOOKUP(B1005,'Pre-Summary'!$Y$6:$AD$83,6,FALSE),"")</f>
        <v/>
      </c>
      <c r="X1005" t="str">
        <f>IFERROR(VLOOKUP('Pre-Summary'!$DB$6:$DD$63,3,FALSE),"")</f>
        <v/>
      </c>
      <c r="Y1005" t="str">
        <f>IFERROR(VLOOKUP(B1005,'Pre-Summary'!$CR$6:$CT$36,3,FALSE),"")</f>
        <v/>
      </c>
      <c r="Z1005" s="45" t="str">
        <f>IFERROR(VLOOKUP(B1005,'Pre-Summary'!$BZ$6:$CB$63,2,FALSE),"")</f>
        <v/>
      </c>
      <c r="AA1005" s="45" t="str">
        <f>IFERROR(VLOOKUP(B1005,'Pre-Summary'!$CG$6:$CI$70,2,FALSE),"")</f>
        <v/>
      </c>
      <c r="AB1005" s="99">
        <f>IFERROR(VLOOKUP(B1005,'Pre-Summary'!$A$6:$P$178,9,FALSE),AB1006)</f>
        <v>0.41343584148043017</v>
      </c>
      <c r="AC1005" s="10">
        <f>IFERROR(VLOOKUP(Summary!B1005,'Pre-Summary'!$A$6:$P$184,5, FALSE)/100,AC1006)</f>
        <v>0.86886866666666673</v>
      </c>
      <c r="AD1005" s="10">
        <f>IFERROR(VLOOKUP(Summary!B1005,'Pre-Summary'!$A$6:$P$184,3, FALSE)/100,AD1006)</f>
        <v>4.5391000000000001E-2</v>
      </c>
      <c r="AE1005" s="10">
        <f>IFERROR(VLOOKUP(Summary!B1005,'Pre-Summary'!$A$6:$P$184,7, FALSE)/100,AE1006)</f>
        <v>8.5740333333333321E-2</v>
      </c>
      <c r="AF1005" s="99">
        <f t="shared" si="46"/>
        <v>1.8766266280638207E-2</v>
      </c>
      <c r="AG1005" s="99">
        <f t="shared" si="47"/>
        <v>3.544812686047924E-2</v>
      </c>
      <c r="AH1005" s="10" t="str">
        <f>IFERROR(VLOOKUP(B1005,'Pre-Summary'!$AZ$6:$BE$65,3,FALSE),"")</f>
        <v/>
      </c>
      <c r="AI1005" s="10" t="str">
        <f>IFERROR(VLOOKUP(B1005,'Pre-Summary'!$AZ$6:$BE$65,5,FALSE),"")</f>
        <v/>
      </c>
      <c r="AJ1005" s="10" t="str">
        <f>IFERROR(VLOOKUP(B1005,'Pre-Summary'!$AZ$6:$BE$65,4,FALSE),"")</f>
        <v/>
      </c>
      <c r="AK1005" s="10" t="str">
        <f>IFERROR(VLOOKUP(B1005,'Pre-Summary'!$AZ$6:$BE$65,6,FALSE),"")</f>
        <v/>
      </c>
      <c r="AL1005" s="10" t="str">
        <f>IFERROR(VLOOKUP(B1005,'Pre-Summary'!$BG$6:$BL$44,3,FALSE),"")</f>
        <v/>
      </c>
      <c r="AM1005" s="10" t="str">
        <f>IFERROR(VLOOKUP(B1005,'Pre-Summary'!$BG$6:$BL$44,4,FALSE),"")</f>
        <v/>
      </c>
    </row>
    <row r="1006" spans="2:39" ht="15" customHeight="1" x14ac:dyDescent="0.3">
      <c r="B1006">
        <v>100.3</v>
      </c>
      <c r="C1006" t="str">
        <f>IFERROR(VLOOKUP(B1006,'Pre-Summary'!$DI$6:$DM$23,4,FALSE),"")</f>
        <v/>
      </c>
      <c r="D1006" s="10" t="str">
        <f>IFERROR(VLOOKUP(B1006,'Pre-Summary'!$AT$6:$AX$14,5,FALSE),D1005)</f>
        <v>DSMZ v3: dropped yeast, casitone, and bicarb out of DSMZ 120</v>
      </c>
      <c r="E1006" s="10" t="str">
        <f>IFERROR(VLOOKUP(B1006,'Pre-Summary'!$AT$6:$AX$15,4,FALSE),"")</f>
        <v/>
      </c>
      <c r="F1006">
        <f>IFERROR(VLOOKUP(B1006,'Pre-Summary'!$AL$6:$AQ$13,6,FALSE),F1005)</f>
        <v>5.9405263157894746E-2</v>
      </c>
      <c r="G1006" t="str">
        <f>IFERROR(VLOOKUP(B1006,'Pre-Summary'!$AE$6:$AJ$85,3,FALSE),"")</f>
        <v/>
      </c>
      <c r="H1006" t="str">
        <f>IFERROR(VLOOKUP(B1006,'Pre-Summary'!$AE$6:$AJ$85,4,FALSE),"")</f>
        <v/>
      </c>
      <c r="I1006" t="str">
        <f>IFERROR(VLOOKUP(B1006,'Pre-Summary'!$AE$6:$AJ$85,5,FALSE),"")</f>
        <v/>
      </c>
      <c r="J1006" s="45" t="str">
        <f>IFERROR(VLOOKUP(B1006,'Pre-Summary'!$AE$6:$AJ$85,6, FALSE),"")</f>
        <v/>
      </c>
      <c r="K1006" s="45" t="str">
        <f>IFERROR(VLOOKUP(B1006,'Pre-Summary'!$DE$6:$DG$61,3,FALSE),"")</f>
        <v/>
      </c>
      <c r="L1006" s="45" t="str">
        <f>IFERROR(VLOOKUP(B1006,'Pre-Summary'!$CU$6:$CW$36,3,FALSE),"")</f>
        <v/>
      </c>
      <c r="M1006" s="45" t="str">
        <f>IFERROR(VLOOKUP(B1006,'Pre-Summary'!$BW$6:$BY$58,2,FALSE),"")</f>
        <v/>
      </c>
      <c r="N1006" s="45" t="str">
        <f>IFERROR(VLOOKUP(B1006,'Pre-Summary'!$CD$6:$CF$64,2,FALSE),"")</f>
        <v/>
      </c>
      <c r="O1006" s="99">
        <f>IFERROR(VLOOKUP(B1006,'Pre-Summary'!$BO$6:$BQ$48,3, FALSE),O1005)</f>
        <v>1</v>
      </c>
      <c r="P1006" s="99">
        <f>IFERROR(VLOOKUP(B1006,'Pre-Summary'!$BS$6:$BU$35,3,FALSE),P1005)</f>
        <v>0.25</v>
      </c>
      <c r="Q1006" s="54">
        <f t="shared" si="45"/>
        <v>4</v>
      </c>
      <c r="R1006" s="53">
        <f>IFERROR(VLOOKUP(B1006,'Pre-Summary'!$BG$6:$BM$44,7,FALSE),R1007)</f>
        <v>4.0839377512219534E-2</v>
      </c>
      <c r="S1006" s="53">
        <f>IFERROR(VLOOKUP(B1006,'Pre-Summary'!$BG$6:$BM$44,6,FALSE),S1007)</f>
        <v>3.561480302426305E-2</v>
      </c>
      <c r="T1006" s="45" t="str">
        <f>IFERROR(VLOOKUP(B1006,'Pre-Summary'!$Y$6:$AC$83, 3,FALSE),"")</f>
        <v/>
      </c>
      <c r="U1006" s="45" t="str">
        <f>IFERROR(VLOOKUP(B1006,'Pre-Summary'!$Y$6:$AC$83, 4,FALSE),"")</f>
        <v/>
      </c>
      <c r="V1006" t="str">
        <f>IFERROR(VLOOKUP(B1006,'Pre-Summary'!$Y$6:$AC$83, 5,FALSE),"")</f>
        <v/>
      </c>
      <c r="W1006" s="45" t="str">
        <f>IFERROR(VLOOKUP(B1006,'Pre-Summary'!$Y$6:$AD$83,6,FALSE),"")</f>
        <v/>
      </c>
      <c r="X1006" t="str">
        <f>IFERROR(VLOOKUP('Pre-Summary'!$DB$6:$DD$63,3,FALSE),"")</f>
        <v/>
      </c>
      <c r="Y1006" t="str">
        <f>IFERROR(VLOOKUP(B1006,'Pre-Summary'!$CR$6:$CT$36,3,FALSE),"")</f>
        <v/>
      </c>
      <c r="Z1006" s="45" t="str">
        <f>IFERROR(VLOOKUP(B1006,'Pre-Summary'!$BZ$6:$CB$63,2,FALSE),"")</f>
        <v/>
      </c>
      <c r="AA1006" s="45" t="str">
        <f>IFERROR(VLOOKUP(B1006,'Pre-Summary'!$CG$6:$CI$70,2,FALSE),"")</f>
        <v/>
      </c>
      <c r="AB1006" s="99">
        <f>IFERROR(VLOOKUP(B1006,'Pre-Summary'!$A$6:$P$178,9,FALSE),AB1007)</f>
        <v>0.41343584148043017</v>
      </c>
      <c r="AC1006" s="10">
        <f>IFERROR(VLOOKUP(Summary!B1006,'Pre-Summary'!$A$6:$P$184,5, FALSE)/100,AC1007)</f>
        <v>0.86886866666666673</v>
      </c>
      <c r="AD1006" s="10">
        <f>IFERROR(VLOOKUP(Summary!B1006,'Pre-Summary'!$A$6:$P$184,3, FALSE)/100,AD1007)</f>
        <v>4.5391000000000001E-2</v>
      </c>
      <c r="AE1006" s="10">
        <f>IFERROR(VLOOKUP(Summary!B1006,'Pre-Summary'!$A$6:$P$184,7, FALSE)/100,AE1007)</f>
        <v>8.5740333333333321E-2</v>
      </c>
      <c r="AF1006" s="99">
        <f t="shared" si="46"/>
        <v>1.8766266280638207E-2</v>
      </c>
      <c r="AG1006" s="99">
        <f t="shared" si="47"/>
        <v>3.544812686047924E-2</v>
      </c>
      <c r="AH1006" s="10" t="str">
        <f>IFERROR(VLOOKUP(B1006,'Pre-Summary'!$AZ$6:$BE$65,3,FALSE),"")</f>
        <v/>
      </c>
      <c r="AI1006" s="10" t="str">
        <f>IFERROR(VLOOKUP(B1006,'Pre-Summary'!$AZ$6:$BE$65,5,FALSE),"")</f>
        <v/>
      </c>
      <c r="AJ1006" s="10" t="str">
        <f>IFERROR(VLOOKUP(B1006,'Pre-Summary'!$AZ$6:$BE$65,4,FALSE),"")</f>
        <v/>
      </c>
      <c r="AK1006" s="10" t="str">
        <f>IFERROR(VLOOKUP(B1006,'Pre-Summary'!$AZ$6:$BE$65,6,FALSE),"")</f>
        <v/>
      </c>
      <c r="AL1006" s="10" t="str">
        <f>IFERROR(VLOOKUP(B1006,'Pre-Summary'!$BG$6:$BL$44,3,FALSE),"")</f>
        <v/>
      </c>
      <c r="AM1006" s="10" t="str">
        <f>IFERROR(VLOOKUP(B1006,'Pre-Summary'!$BG$6:$BL$44,4,FALSE),"")</f>
        <v/>
      </c>
    </row>
    <row r="1007" spans="2:39" ht="15" customHeight="1" x14ac:dyDescent="0.3">
      <c r="B1007">
        <v>100.4</v>
      </c>
      <c r="C1007" t="str">
        <f>IFERROR(VLOOKUP(B1007,'Pre-Summary'!$DI$6:$DM$23,4,FALSE),"")</f>
        <v/>
      </c>
      <c r="D1007" s="10" t="str">
        <f>IFERROR(VLOOKUP(B1007,'Pre-Summary'!$AT$6:$AX$14,5,FALSE),D1006)</f>
        <v>DSMZ v3: dropped yeast, casitone, and bicarb out of DSMZ 120</v>
      </c>
      <c r="E1007" s="10" t="str">
        <f>IFERROR(VLOOKUP(B1007,'Pre-Summary'!$AT$6:$AX$15,4,FALSE),"")</f>
        <v/>
      </c>
      <c r="F1007">
        <f>IFERROR(VLOOKUP(B1007,'Pre-Summary'!$AL$6:$AQ$13,6,FALSE),F1006)</f>
        <v>5.9405263157894746E-2</v>
      </c>
      <c r="G1007" t="str">
        <f>IFERROR(VLOOKUP(B1007,'Pre-Summary'!$AE$6:$AJ$85,3,FALSE),"")</f>
        <v/>
      </c>
      <c r="H1007" t="str">
        <f>IFERROR(VLOOKUP(B1007,'Pre-Summary'!$AE$6:$AJ$85,4,FALSE),"")</f>
        <v/>
      </c>
      <c r="I1007" t="str">
        <f>IFERROR(VLOOKUP(B1007,'Pre-Summary'!$AE$6:$AJ$85,5,FALSE),"")</f>
        <v/>
      </c>
      <c r="J1007" s="45" t="str">
        <f>IFERROR(VLOOKUP(B1007,'Pre-Summary'!$AE$6:$AJ$85,6, FALSE),"")</f>
        <v/>
      </c>
      <c r="K1007" s="45" t="str">
        <f>IFERROR(VLOOKUP(B1007,'Pre-Summary'!$DE$6:$DG$61,3,FALSE),"")</f>
        <v/>
      </c>
      <c r="L1007" s="45" t="str">
        <f>IFERROR(VLOOKUP(B1007,'Pre-Summary'!$CU$6:$CW$36,3,FALSE),"")</f>
        <v/>
      </c>
      <c r="M1007" s="45" t="str">
        <f>IFERROR(VLOOKUP(B1007,'Pre-Summary'!$BW$6:$BY$58,2,FALSE),"")</f>
        <v/>
      </c>
      <c r="N1007" s="45" t="str">
        <f>IFERROR(VLOOKUP(B1007,'Pre-Summary'!$CD$6:$CF$64,2,FALSE),"")</f>
        <v/>
      </c>
      <c r="O1007" s="99">
        <f>IFERROR(VLOOKUP(B1007,'Pre-Summary'!$BO$6:$BQ$48,3, FALSE),O1006)</f>
        <v>1</v>
      </c>
      <c r="P1007" s="99">
        <f>IFERROR(VLOOKUP(B1007,'Pre-Summary'!$BS$6:$BU$35,3,FALSE),P1006)</f>
        <v>0.25</v>
      </c>
      <c r="Q1007" s="54">
        <f t="shared" si="45"/>
        <v>4</v>
      </c>
      <c r="R1007" s="53">
        <f>IFERROR(VLOOKUP(B1007,'Pre-Summary'!$BG$6:$BM$44,7,FALSE),R1008)</f>
        <v>4.0839377512219534E-2</v>
      </c>
      <c r="S1007" s="53">
        <f>IFERROR(VLOOKUP(B1007,'Pre-Summary'!$BG$6:$BM$44,6,FALSE),S1008)</f>
        <v>3.561480302426305E-2</v>
      </c>
      <c r="T1007" s="45" t="str">
        <f>IFERROR(VLOOKUP(B1007,'Pre-Summary'!$Y$6:$AC$83, 3,FALSE),"")</f>
        <v/>
      </c>
      <c r="U1007" s="45" t="str">
        <f>IFERROR(VLOOKUP(B1007,'Pre-Summary'!$Y$6:$AC$83, 4,FALSE),"")</f>
        <v/>
      </c>
      <c r="V1007" t="str">
        <f>IFERROR(VLOOKUP(B1007,'Pre-Summary'!$Y$6:$AC$83, 5,FALSE),"")</f>
        <v/>
      </c>
      <c r="W1007" s="45" t="str">
        <f>IFERROR(VLOOKUP(B1007,'Pre-Summary'!$Y$6:$AD$83,6,FALSE),"")</f>
        <v/>
      </c>
      <c r="X1007" t="str">
        <f>IFERROR(VLOOKUP('Pre-Summary'!$DB$6:$DD$63,3,FALSE),"")</f>
        <v/>
      </c>
      <c r="Y1007" t="str">
        <f>IFERROR(VLOOKUP(B1007,'Pre-Summary'!$CR$6:$CT$36,3,FALSE),"")</f>
        <v/>
      </c>
      <c r="Z1007" s="45" t="str">
        <f>IFERROR(VLOOKUP(B1007,'Pre-Summary'!$BZ$6:$CB$63,2,FALSE),"")</f>
        <v/>
      </c>
      <c r="AA1007" s="45" t="str">
        <f>IFERROR(VLOOKUP(B1007,'Pre-Summary'!$CG$6:$CI$70,2,FALSE),"")</f>
        <v/>
      </c>
      <c r="AB1007" s="99">
        <f>IFERROR(VLOOKUP(B1007,'Pre-Summary'!$A$6:$P$178,9,FALSE),AB1008)</f>
        <v>0.41343584148043017</v>
      </c>
      <c r="AC1007" s="10">
        <f>IFERROR(VLOOKUP(Summary!B1007,'Pre-Summary'!$A$6:$P$184,5, FALSE)/100,AC1008)</f>
        <v>0.86886866666666673</v>
      </c>
      <c r="AD1007" s="10">
        <f>IFERROR(VLOOKUP(Summary!B1007,'Pre-Summary'!$A$6:$P$184,3, FALSE)/100,AD1008)</f>
        <v>4.5391000000000001E-2</v>
      </c>
      <c r="AE1007" s="10">
        <f>IFERROR(VLOOKUP(Summary!B1007,'Pre-Summary'!$A$6:$P$184,7, FALSE)/100,AE1008)</f>
        <v>8.5740333333333321E-2</v>
      </c>
      <c r="AF1007" s="99">
        <f t="shared" si="46"/>
        <v>1.8766266280638207E-2</v>
      </c>
      <c r="AG1007" s="99">
        <f t="shared" si="47"/>
        <v>3.544812686047924E-2</v>
      </c>
      <c r="AH1007" s="10" t="str">
        <f>IFERROR(VLOOKUP(B1007,'Pre-Summary'!$AZ$6:$BE$65,3,FALSE),"")</f>
        <v/>
      </c>
      <c r="AI1007" s="10" t="str">
        <f>IFERROR(VLOOKUP(B1007,'Pre-Summary'!$AZ$6:$BE$65,5,FALSE),"")</f>
        <v/>
      </c>
      <c r="AJ1007" s="10" t="str">
        <f>IFERROR(VLOOKUP(B1007,'Pre-Summary'!$AZ$6:$BE$65,4,FALSE),"")</f>
        <v/>
      </c>
      <c r="AK1007" s="10" t="str">
        <f>IFERROR(VLOOKUP(B1007,'Pre-Summary'!$AZ$6:$BE$65,6,FALSE),"")</f>
        <v/>
      </c>
      <c r="AL1007" s="10" t="str">
        <f>IFERROR(VLOOKUP(B1007,'Pre-Summary'!$BG$6:$BL$44,3,FALSE),"")</f>
        <v/>
      </c>
      <c r="AM1007" s="10" t="str">
        <f>IFERROR(VLOOKUP(B1007,'Pre-Summary'!$BG$6:$BL$44,4,FALSE),"")</f>
        <v/>
      </c>
    </row>
    <row r="1008" spans="2:39" ht="15" customHeight="1" x14ac:dyDescent="0.3">
      <c r="B1008">
        <v>100.5</v>
      </c>
      <c r="C1008" t="str">
        <f>IFERROR(VLOOKUP(B1008,'Pre-Summary'!$DI$6:$DM$23,4,FALSE),"")</f>
        <v/>
      </c>
      <c r="D1008" s="10" t="str">
        <f>IFERROR(VLOOKUP(B1008,'Pre-Summary'!$AT$6:$AX$14,5,FALSE),D1007)</f>
        <v>DSMZ v3: dropped yeast, casitone, and bicarb out of DSMZ 120</v>
      </c>
      <c r="E1008" s="10" t="str">
        <f>IFERROR(VLOOKUP(B1008,'Pre-Summary'!$AT$6:$AX$15,4,FALSE),"")</f>
        <v/>
      </c>
      <c r="F1008">
        <f>IFERROR(VLOOKUP(B1008,'Pre-Summary'!$AL$6:$AQ$13,6,FALSE),F1007)</f>
        <v>5.9405263157894746E-2</v>
      </c>
      <c r="G1008" t="str">
        <f>IFERROR(VLOOKUP(B1008,'Pre-Summary'!$AE$6:$AJ$85,3,FALSE),"")</f>
        <v/>
      </c>
      <c r="H1008" t="str">
        <f>IFERROR(VLOOKUP(B1008,'Pre-Summary'!$AE$6:$AJ$85,4,FALSE),"")</f>
        <v/>
      </c>
      <c r="I1008" t="str">
        <f>IFERROR(VLOOKUP(B1008,'Pre-Summary'!$AE$6:$AJ$85,5,FALSE),"")</f>
        <v/>
      </c>
      <c r="J1008" s="45" t="str">
        <f>IFERROR(VLOOKUP(B1008,'Pre-Summary'!$AE$6:$AJ$85,6, FALSE),"")</f>
        <v/>
      </c>
      <c r="K1008" s="45" t="str">
        <f>IFERROR(VLOOKUP(B1008,'Pre-Summary'!$DE$6:$DG$61,3,FALSE),"")</f>
        <v/>
      </c>
      <c r="L1008" s="45" t="str">
        <f>IFERROR(VLOOKUP(B1008,'Pre-Summary'!$CU$6:$CW$36,3,FALSE),"")</f>
        <v/>
      </c>
      <c r="M1008" s="45" t="str">
        <f>IFERROR(VLOOKUP(B1008,'Pre-Summary'!$BW$6:$BY$58,2,FALSE),"")</f>
        <v/>
      </c>
      <c r="N1008" s="45" t="str">
        <f>IFERROR(VLOOKUP(B1008,'Pre-Summary'!$CD$6:$CF$64,2,FALSE),"")</f>
        <v/>
      </c>
      <c r="O1008" s="99">
        <f>IFERROR(VLOOKUP(B1008,'Pre-Summary'!$BO$6:$BQ$48,3, FALSE),O1007)</f>
        <v>1</v>
      </c>
      <c r="P1008" s="99">
        <f>IFERROR(VLOOKUP(B1008,'Pre-Summary'!$BS$6:$BU$35,3,FALSE),P1007)</f>
        <v>0.25</v>
      </c>
      <c r="Q1008" s="54">
        <f t="shared" si="45"/>
        <v>4</v>
      </c>
      <c r="R1008" s="53">
        <f>IFERROR(VLOOKUP(B1008,'Pre-Summary'!$BG$6:$BM$44,7,FALSE),R1009)</f>
        <v>4.0839377512219534E-2</v>
      </c>
      <c r="S1008" s="53">
        <f>IFERROR(VLOOKUP(B1008,'Pre-Summary'!$BG$6:$BM$44,6,FALSE),S1009)</f>
        <v>3.561480302426305E-2</v>
      </c>
      <c r="T1008" s="45" t="str">
        <f>IFERROR(VLOOKUP(B1008,'Pre-Summary'!$Y$6:$AC$83, 3,FALSE),"")</f>
        <v/>
      </c>
      <c r="U1008" s="45" t="str">
        <f>IFERROR(VLOOKUP(B1008,'Pre-Summary'!$Y$6:$AC$83, 4,FALSE),"")</f>
        <v/>
      </c>
      <c r="V1008" t="str">
        <f>IFERROR(VLOOKUP(B1008,'Pre-Summary'!$Y$6:$AC$83, 5,FALSE),"")</f>
        <v/>
      </c>
      <c r="W1008" s="45" t="str">
        <f>IFERROR(VLOOKUP(B1008,'Pre-Summary'!$Y$6:$AD$83,6,FALSE),"")</f>
        <v/>
      </c>
      <c r="X1008" t="str">
        <f>IFERROR(VLOOKUP('Pre-Summary'!$DB$6:$DD$63,3,FALSE),"")</f>
        <v/>
      </c>
      <c r="Y1008" t="str">
        <f>IFERROR(VLOOKUP(B1008,'Pre-Summary'!$CR$6:$CT$36,3,FALSE),"")</f>
        <v/>
      </c>
      <c r="Z1008" s="45" t="str">
        <f>IFERROR(VLOOKUP(B1008,'Pre-Summary'!$BZ$6:$CB$63,2,FALSE),"")</f>
        <v/>
      </c>
      <c r="AA1008" s="45" t="str">
        <f>IFERROR(VLOOKUP(B1008,'Pre-Summary'!$CG$6:$CI$70,2,FALSE),"")</f>
        <v/>
      </c>
      <c r="AB1008" s="99">
        <f>IFERROR(VLOOKUP(B1008,'Pre-Summary'!$A$6:$P$178,9,FALSE),AB1009)</f>
        <v>0.41343584148043017</v>
      </c>
      <c r="AC1008" s="10">
        <f>IFERROR(VLOOKUP(Summary!B1008,'Pre-Summary'!$A$6:$P$184,5, FALSE)/100,AC1009)</f>
        <v>0.86886866666666673</v>
      </c>
      <c r="AD1008" s="10">
        <f>IFERROR(VLOOKUP(Summary!B1008,'Pre-Summary'!$A$6:$P$184,3, FALSE)/100,AD1009)</f>
        <v>4.5391000000000001E-2</v>
      </c>
      <c r="AE1008" s="10">
        <f>IFERROR(VLOOKUP(Summary!B1008,'Pre-Summary'!$A$6:$P$184,7, FALSE)/100,AE1009)</f>
        <v>8.5740333333333321E-2</v>
      </c>
      <c r="AF1008" s="99">
        <f t="shared" si="46"/>
        <v>1.8766266280638207E-2</v>
      </c>
      <c r="AG1008" s="99">
        <f t="shared" si="47"/>
        <v>3.544812686047924E-2</v>
      </c>
      <c r="AH1008" s="10" t="str">
        <f>IFERROR(VLOOKUP(B1008,'Pre-Summary'!$AZ$6:$BE$65,3,FALSE),"")</f>
        <v/>
      </c>
      <c r="AI1008" s="10" t="str">
        <f>IFERROR(VLOOKUP(B1008,'Pre-Summary'!$AZ$6:$BE$65,5,FALSE),"")</f>
        <v/>
      </c>
      <c r="AJ1008" s="10" t="str">
        <f>IFERROR(VLOOKUP(B1008,'Pre-Summary'!$AZ$6:$BE$65,4,FALSE),"")</f>
        <v/>
      </c>
      <c r="AK1008" s="10" t="str">
        <f>IFERROR(VLOOKUP(B1008,'Pre-Summary'!$AZ$6:$BE$65,6,FALSE),"")</f>
        <v/>
      </c>
      <c r="AL1008" s="10" t="str">
        <f>IFERROR(VLOOKUP(B1008,'Pre-Summary'!$BG$6:$BL$44,3,FALSE),"")</f>
        <v/>
      </c>
      <c r="AM1008" s="10" t="str">
        <f>IFERROR(VLOOKUP(B1008,'Pre-Summary'!$BG$6:$BL$44,4,FALSE),"")</f>
        <v/>
      </c>
    </row>
    <row r="1009" spans="2:39" ht="15" customHeight="1" x14ac:dyDescent="0.3">
      <c r="B1009">
        <v>100.6</v>
      </c>
      <c r="C1009" t="str">
        <f>IFERROR(VLOOKUP(B1009,'Pre-Summary'!$DI$6:$DM$23,4,FALSE),"")</f>
        <v/>
      </c>
      <c r="D1009" s="10" t="str">
        <f>IFERROR(VLOOKUP(B1009,'Pre-Summary'!$AT$6:$AX$14,5,FALSE),D1008)</f>
        <v>DSMZ v3: dropped yeast, casitone, and bicarb out of DSMZ 120</v>
      </c>
      <c r="E1009" s="10" t="str">
        <f>IFERROR(VLOOKUP(B1009,'Pre-Summary'!$AT$6:$AX$15,4,FALSE),"")</f>
        <v/>
      </c>
      <c r="F1009">
        <f>IFERROR(VLOOKUP(B1009,'Pre-Summary'!$AL$6:$AQ$13,6,FALSE),F1008)</f>
        <v>5.9405263157894746E-2</v>
      </c>
      <c r="G1009" t="str">
        <f>IFERROR(VLOOKUP(B1009,'Pre-Summary'!$AE$6:$AJ$85,3,FALSE),"")</f>
        <v/>
      </c>
      <c r="H1009" t="str">
        <f>IFERROR(VLOOKUP(B1009,'Pre-Summary'!$AE$6:$AJ$85,4,FALSE),"")</f>
        <v/>
      </c>
      <c r="I1009" t="str">
        <f>IFERROR(VLOOKUP(B1009,'Pre-Summary'!$AE$6:$AJ$85,5,FALSE),"")</f>
        <v/>
      </c>
      <c r="J1009" s="45" t="str">
        <f>IFERROR(VLOOKUP(B1009,'Pre-Summary'!$AE$6:$AJ$85,6, FALSE),"")</f>
        <v/>
      </c>
      <c r="K1009" s="45" t="str">
        <f>IFERROR(VLOOKUP(B1009,'Pre-Summary'!$DE$6:$DG$61,3,FALSE),"")</f>
        <v/>
      </c>
      <c r="L1009" s="45" t="str">
        <f>IFERROR(VLOOKUP(B1009,'Pre-Summary'!$CU$6:$CW$36,3,FALSE),"")</f>
        <v/>
      </c>
      <c r="M1009" s="45" t="str">
        <f>IFERROR(VLOOKUP(B1009,'Pre-Summary'!$BW$6:$BY$58,2,FALSE),"")</f>
        <v/>
      </c>
      <c r="N1009" s="45" t="str">
        <f>IFERROR(VLOOKUP(B1009,'Pre-Summary'!$CD$6:$CF$64,2,FALSE),"")</f>
        <v/>
      </c>
      <c r="O1009" s="99">
        <f>IFERROR(VLOOKUP(B1009,'Pre-Summary'!$BO$6:$BQ$48,3, FALSE),O1008)</f>
        <v>1</v>
      </c>
      <c r="P1009" s="99">
        <f>IFERROR(VLOOKUP(B1009,'Pre-Summary'!$BS$6:$BU$35,3,FALSE),P1008)</f>
        <v>0.25</v>
      </c>
      <c r="Q1009" s="54">
        <f t="shared" si="45"/>
        <v>4</v>
      </c>
      <c r="R1009" s="53">
        <f>IFERROR(VLOOKUP(B1009,'Pre-Summary'!$BG$6:$BM$44,7,FALSE),R1010)</f>
        <v>4.0839377512219534E-2</v>
      </c>
      <c r="S1009" s="53">
        <f>IFERROR(VLOOKUP(B1009,'Pre-Summary'!$BG$6:$BM$44,6,FALSE),S1010)</f>
        <v>3.561480302426305E-2</v>
      </c>
      <c r="T1009" s="45" t="str">
        <f>IFERROR(VLOOKUP(B1009,'Pre-Summary'!$Y$6:$AC$83, 3,FALSE),"")</f>
        <v/>
      </c>
      <c r="U1009" s="45" t="str">
        <f>IFERROR(VLOOKUP(B1009,'Pre-Summary'!$Y$6:$AC$83, 4,FALSE),"")</f>
        <v/>
      </c>
      <c r="V1009" t="str">
        <f>IFERROR(VLOOKUP(B1009,'Pre-Summary'!$Y$6:$AC$83, 5,FALSE),"")</f>
        <v/>
      </c>
      <c r="W1009" s="45" t="str">
        <f>IFERROR(VLOOKUP(B1009,'Pre-Summary'!$Y$6:$AD$83,6,FALSE),"")</f>
        <v/>
      </c>
      <c r="X1009" t="str">
        <f>IFERROR(VLOOKUP('Pre-Summary'!$DB$6:$DD$63,3,FALSE),"")</f>
        <v/>
      </c>
      <c r="Y1009" t="str">
        <f>IFERROR(VLOOKUP(B1009,'Pre-Summary'!$CR$6:$CT$36,3,FALSE),"")</f>
        <v/>
      </c>
      <c r="Z1009" s="45" t="str">
        <f>IFERROR(VLOOKUP(B1009,'Pre-Summary'!$BZ$6:$CB$63,2,FALSE),"")</f>
        <v/>
      </c>
      <c r="AA1009" s="45" t="str">
        <f>IFERROR(VLOOKUP(B1009,'Pre-Summary'!$CG$6:$CI$70,2,FALSE),"")</f>
        <v/>
      </c>
      <c r="AB1009" s="99">
        <f>IFERROR(VLOOKUP(B1009,'Pre-Summary'!$A$6:$P$178,9,FALSE),AB1010)</f>
        <v>0.41343584148043017</v>
      </c>
      <c r="AC1009" s="10">
        <f>IFERROR(VLOOKUP(Summary!B1009,'Pre-Summary'!$A$6:$P$184,5, FALSE)/100,AC1010)</f>
        <v>0.86886866666666673</v>
      </c>
      <c r="AD1009" s="10">
        <f>IFERROR(VLOOKUP(Summary!B1009,'Pre-Summary'!$A$6:$P$184,3, FALSE)/100,AD1010)</f>
        <v>4.5391000000000001E-2</v>
      </c>
      <c r="AE1009" s="10">
        <f>IFERROR(VLOOKUP(Summary!B1009,'Pre-Summary'!$A$6:$P$184,7, FALSE)/100,AE1010)</f>
        <v>8.5740333333333321E-2</v>
      </c>
      <c r="AF1009" s="99">
        <f t="shared" si="46"/>
        <v>1.8766266280638207E-2</v>
      </c>
      <c r="AG1009" s="99">
        <f t="shared" si="47"/>
        <v>3.544812686047924E-2</v>
      </c>
      <c r="AH1009" s="10" t="str">
        <f>IFERROR(VLOOKUP(B1009,'Pre-Summary'!$AZ$6:$BE$65,3,FALSE),"")</f>
        <v/>
      </c>
      <c r="AI1009" s="10" t="str">
        <f>IFERROR(VLOOKUP(B1009,'Pre-Summary'!$AZ$6:$BE$65,5,FALSE),"")</f>
        <v/>
      </c>
      <c r="AJ1009" s="10" t="str">
        <f>IFERROR(VLOOKUP(B1009,'Pre-Summary'!$AZ$6:$BE$65,4,FALSE),"")</f>
        <v/>
      </c>
      <c r="AK1009" s="10" t="str">
        <f>IFERROR(VLOOKUP(B1009,'Pre-Summary'!$AZ$6:$BE$65,6,FALSE),"")</f>
        <v/>
      </c>
      <c r="AL1009" s="10" t="str">
        <f>IFERROR(VLOOKUP(B1009,'Pre-Summary'!$BG$6:$BL$44,3,FALSE),"")</f>
        <v/>
      </c>
      <c r="AM1009" s="10" t="str">
        <f>IFERROR(VLOOKUP(B1009,'Pre-Summary'!$BG$6:$BL$44,4,FALSE),"")</f>
        <v/>
      </c>
    </row>
    <row r="1010" spans="2:39" ht="15" customHeight="1" x14ac:dyDescent="0.3">
      <c r="B1010">
        <v>100.7</v>
      </c>
      <c r="C1010" t="str">
        <f>IFERROR(VLOOKUP(B1010,'Pre-Summary'!$DI$6:$DM$23,4,FALSE),"")</f>
        <v/>
      </c>
      <c r="D1010" s="10" t="str">
        <f>IFERROR(VLOOKUP(B1010,'Pre-Summary'!$AT$6:$AX$14,5,FALSE),D1009)</f>
        <v>DSMZ v3: dropped yeast, casitone, and bicarb out of DSMZ 120</v>
      </c>
      <c r="E1010" s="10" t="str">
        <f>IFERROR(VLOOKUP(B1010,'Pre-Summary'!$AT$6:$AX$15,4,FALSE),"")</f>
        <v/>
      </c>
      <c r="F1010">
        <f>IFERROR(VLOOKUP(B1010,'Pre-Summary'!$AL$6:$AQ$13,6,FALSE),F1009)</f>
        <v>5.9405263157894746E-2</v>
      </c>
      <c r="G1010" t="str">
        <f>IFERROR(VLOOKUP(B1010,'Pre-Summary'!$AE$6:$AJ$85,3,FALSE),"")</f>
        <v/>
      </c>
      <c r="H1010" t="str">
        <f>IFERROR(VLOOKUP(B1010,'Pre-Summary'!$AE$6:$AJ$85,4,FALSE),"")</f>
        <v/>
      </c>
      <c r="I1010" t="str">
        <f>IFERROR(VLOOKUP(B1010,'Pre-Summary'!$AE$6:$AJ$85,5,FALSE),"")</f>
        <v/>
      </c>
      <c r="J1010" s="45" t="str">
        <f>IFERROR(VLOOKUP(B1010,'Pre-Summary'!$AE$6:$AJ$85,6, FALSE),"")</f>
        <v/>
      </c>
      <c r="K1010" s="45" t="str">
        <f>IFERROR(VLOOKUP(B1010,'Pre-Summary'!$DE$6:$DG$61,3,FALSE),"")</f>
        <v/>
      </c>
      <c r="L1010" s="45" t="str">
        <f>IFERROR(VLOOKUP(B1010,'Pre-Summary'!$CU$6:$CW$36,3,FALSE),"")</f>
        <v/>
      </c>
      <c r="M1010" s="45" t="str">
        <f>IFERROR(VLOOKUP(B1010,'Pre-Summary'!$BW$6:$BY$58,2,FALSE),"")</f>
        <v/>
      </c>
      <c r="N1010" s="45" t="str">
        <f>IFERROR(VLOOKUP(B1010,'Pre-Summary'!$CD$6:$CF$64,2,FALSE),"")</f>
        <v/>
      </c>
      <c r="O1010" s="99">
        <f>IFERROR(VLOOKUP(B1010,'Pre-Summary'!$BO$6:$BQ$48,3, FALSE),O1009)</f>
        <v>1</v>
      </c>
      <c r="P1010" s="99">
        <f>IFERROR(VLOOKUP(B1010,'Pre-Summary'!$BS$6:$BU$35,3,FALSE),P1009)</f>
        <v>0.25</v>
      </c>
      <c r="Q1010" s="54">
        <f t="shared" si="45"/>
        <v>4</v>
      </c>
      <c r="R1010" s="53">
        <f>IFERROR(VLOOKUP(B1010,'Pre-Summary'!$BG$6:$BM$44,7,FALSE),R1011)</f>
        <v>4.0839377512219534E-2</v>
      </c>
      <c r="S1010" s="53">
        <f>IFERROR(VLOOKUP(B1010,'Pre-Summary'!$BG$6:$BM$44,6,FALSE),S1011)</f>
        <v>3.561480302426305E-2</v>
      </c>
      <c r="T1010" s="45" t="str">
        <f>IFERROR(VLOOKUP(B1010,'Pre-Summary'!$Y$6:$AC$83, 3,FALSE),"")</f>
        <v/>
      </c>
      <c r="U1010" s="45" t="str">
        <f>IFERROR(VLOOKUP(B1010,'Pre-Summary'!$Y$6:$AC$83, 4,FALSE),"")</f>
        <v/>
      </c>
      <c r="V1010" t="str">
        <f>IFERROR(VLOOKUP(B1010,'Pre-Summary'!$Y$6:$AC$83, 5,FALSE),"")</f>
        <v/>
      </c>
      <c r="W1010" s="45" t="str">
        <f>IFERROR(VLOOKUP(B1010,'Pre-Summary'!$Y$6:$AD$83,6,FALSE),"")</f>
        <v/>
      </c>
      <c r="X1010" t="str">
        <f>IFERROR(VLOOKUP('Pre-Summary'!$DB$6:$DD$63,3,FALSE),"")</f>
        <v/>
      </c>
      <c r="Y1010" t="str">
        <f>IFERROR(VLOOKUP(B1010,'Pre-Summary'!$CR$6:$CT$36,3,FALSE),"")</f>
        <v/>
      </c>
      <c r="Z1010" s="45" t="str">
        <f>IFERROR(VLOOKUP(B1010,'Pre-Summary'!$BZ$6:$CB$63,2,FALSE),"")</f>
        <v/>
      </c>
      <c r="AA1010" s="45" t="str">
        <f>IFERROR(VLOOKUP(B1010,'Pre-Summary'!$CG$6:$CI$70,2,FALSE),"")</f>
        <v/>
      </c>
      <c r="AB1010" s="99">
        <f>IFERROR(VLOOKUP(B1010,'Pre-Summary'!$A$6:$P$178,9,FALSE),AB1011)</f>
        <v>0.41343584148043017</v>
      </c>
      <c r="AC1010" s="10">
        <f>IFERROR(VLOOKUP(Summary!B1010,'Pre-Summary'!$A$6:$P$184,5, FALSE)/100,AC1011)</f>
        <v>0.86886866666666673</v>
      </c>
      <c r="AD1010" s="10">
        <f>IFERROR(VLOOKUP(Summary!B1010,'Pre-Summary'!$A$6:$P$184,3, FALSE)/100,AD1011)</f>
        <v>4.5391000000000001E-2</v>
      </c>
      <c r="AE1010" s="10">
        <f>IFERROR(VLOOKUP(Summary!B1010,'Pre-Summary'!$A$6:$P$184,7, FALSE)/100,AE1011)</f>
        <v>8.5740333333333321E-2</v>
      </c>
      <c r="AF1010" s="99">
        <f t="shared" si="46"/>
        <v>1.8766266280638207E-2</v>
      </c>
      <c r="AG1010" s="99">
        <f t="shared" si="47"/>
        <v>3.544812686047924E-2</v>
      </c>
      <c r="AH1010" s="10" t="str">
        <f>IFERROR(VLOOKUP(B1010,'Pre-Summary'!$AZ$6:$BE$65,3,FALSE),"")</f>
        <v/>
      </c>
      <c r="AI1010" s="10" t="str">
        <f>IFERROR(VLOOKUP(B1010,'Pre-Summary'!$AZ$6:$BE$65,5,FALSE),"")</f>
        <v/>
      </c>
      <c r="AJ1010" s="10" t="str">
        <f>IFERROR(VLOOKUP(B1010,'Pre-Summary'!$AZ$6:$BE$65,4,FALSE),"")</f>
        <v/>
      </c>
      <c r="AK1010" s="10" t="str">
        <f>IFERROR(VLOOKUP(B1010,'Pre-Summary'!$AZ$6:$BE$65,6,FALSE),"")</f>
        <v/>
      </c>
      <c r="AL1010" s="10" t="str">
        <f>IFERROR(VLOOKUP(B1010,'Pre-Summary'!$BG$6:$BL$44,3,FALSE),"")</f>
        <v/>
      </c>
      <c r="AM1010" s="10" t="str">
        <f>IFERROR(VLOOKUP(B1010,'Pre-Summary'!$BG$6:$BL$44,4,FALSE),"")</f>
        <v/>
      </c>
    </row>
    <row r="1011" spans="2:39" ht="15" customHeight="1" x14ac:dyDescent="0.3">
      <c r="B1011">
        <v>100.8</v>
      </c>
      <c r="C1011" t="str">
        <f>IFERROR(VLOOKUP(B1011,'Pre-Summary'!$DI$6:$DM$23,4,FALSE),"")</f>
        <v/>
      </c>
      <c r="D1011" s="10" t="str">
        <f>IFERROR(VLOOKUP(B1011,'Pre-Summary'!$AT$6:$AX$14,5,FALSE),D1010)</f>
        <v>DSMZ v3: dropped yeast, casitone, and bicarb out of DSMZ 120</v>
      </c>
      <c r="E1011" s="10" t="str">
        <f>IFERROR(VLOOKUP(B1011,'Pre-Summary'!$AT$6:$AX$15,4,FALSE),"")</f>
        <v/>
      </c>
      <c r="F1011">
        <f>IFERROR(VLOOKUP(B1011,'Pre-Summary'!$AL$6:$AQ$13,6,FALSE),F1010)</f>
        <v>5.9405263157894746E-2</v>
      </c>
      <c r="G1011" t="str">
        <f>IFERROR(VLOOKUP(B1011,'Pre-Summary'!$AE$6:$AJ$85,3,FALSE),"")</f>
        <v/>
      </c>
      <c r="H1011" t="str">
        <f>IFERROR(VLOOKUP(B1011,'Pre-Summary'!$AE$6:$AJ$85,4,FALSE),"")</f>
        <v/>
      </c>
      <c r="I1011" t="str">
        <f>IFERROR(VLOOKUP(B1011,'Pre-Summary'!$AE$6:$AJ$85,5,FALSE),"")</f>
        <v/>
      </c>
      <c r="J1011" s="45" t="str">
        <f>IFERROR(VLOOKUP(B1011,'Pre-Summary'!$AE$6:$AJ$85,6, FALSE),"")</f>
        <v/>
      </c>
      <c r="K1011" s="45" t="str">
        <f>IFERROR(VLOOKUP(B1011,'Pre-Summary'!$DE$6:$DG$61,3,FALSE),"")</f>
        <v/>
      </c>
      <c r="L1011" s="45" t="str">
        <f>IFERROR(VLOOKUP(B1011,'Pre-Summary'!$CU$6:$CW$36,3,FALSE),"")</f>
        <v/>
      </c>
      <c r="M1011" s="45" t="str">
        <f>IFERROR(VLOOKUP(B1011,'Pre-Summary'!$BW$6:$BY$58,2,FALSE),"")</f>
        <v/>
      </c>
      <c r="N1011" s="45" t="str">
        <f>IFERROR(VLOOKUP(B1011,'Pre-Summary'!$CD$6:$CF$64,2,FALSE),"")</f>
        <v/>
      </c>
      <c r="O1011" s="99">
        <f>IFERROR(VLOOKUP(B1011,'Pre-Summary'!$BO$6:$BQ$48,3, FALSE),O1010)</f>
        <v>1</v>
      </c>
      <c r="P1011" s="99">
        <f>IFERROR(VLOOKUP(B1011,'Pre-Summary'!$BS$6:$BU$35,3,FALSE),P1010)</f>
        <v>0.25</v>
      </c>
      <c r="Q1011" s="54">
        <f t="shared" si="45"/>
        <v>4</v>
      </c>
      <c r="R1011" s="53">
        <f>IFERROR(VLOOKUP(B1011,'Pre-Summary'!$BG$6:$BM$44,7,FALSE),R1012)</f>
        <v>4.0839377512219534E-2</v>
      </c>
      <c r="S1011" s="53">
        <f>IFERROR(VLOOKUP(B1011,'Pre-Summary'!$BG$6:$BM$44,6,FALSE),S1012)</f>
        <v>3.561480302426305E-2</v>
      </c>
      <c r="T1011" s="45" t="str">
        <f>IFERROR(VLOOKUP(B1011,'Pre-Summary'!$Y$6:$AC$83, 3,FALSE),"")</f>
        <v/>
      </c>
      <c r="U1011" s="45" t="str">
        <f>IFERROR(VLOOKUP(B1011,'Pre-Summary'!$Y$6:$AC$83, 4,FALSE),"")</f>
        <v/>
      </c>
      <c r="V1011" t="str">
        <f>IFERROR(VLOOKUP(B1011,'Pre-Summary'!$Y$6:$AC$83, 5,FALSE),"")</f>
        <v/>
      </c>
      <c r="W1011" s="45" t="str">
        <f>IFERROR(VLOOKUP(B1011,'Pre-Summary'!$Y$6:$AD$83,6,FALSE),"")</f>
        <v/>
      </c>
      <c r="X1011" t="str">
        <f>IFERROR(VLOOKUP('Pre-Summary'!$DB$6:$DD$63,3,FALSE),"")</f>
        <v/>
      </c>
      <c r="Y1011" t="str">
        <f>IFERROR(VLOOKUP(B1011,'Pre-Summary'!$CR$6:$CT$36,3,FALSE),"")</f>
        <v/>
      </c>
      <c r="Z1011" s="45" t="str">
        <f>IFERROR(VLOOKUP(B1011,'Pre-Summary'!$BZ$6:$CB$63,2,FALSE),"")</f>
        <v/>
      </c>
      <c r="AA1011" s="45" t="str">
        <f>IFERROR(VLOOKUP(B1011,'Pre-Summary'!$CG$6:$CI$70,2,FALSE),"")</f>
        <v/>
      </c>
      <c r="AB1011" s="99">
        <f>IFERROR(VLOOKUP(B1011,'Pre-Summary'!$A$6:$P$178,9,FALSE),AB1012)</f>
        <v>0.41343584148043017</v>
      </c>
      <c r="AC1011" s="10">
        <f>IFERROR(VLOOKUP(Summary!B1011,'Pre-Summary'!$A$6:$P$184,5, FALSE)/100,AC1012)</f>
        <v>0.86886866666666673</v>
      </c>
      <c r="AD1011" s="10">
        <f>IFERROR(VLOOKUP(Summary!B1011,'Pre-Summary'!$A$6:$P$184,3, FALSE)/100,AD1012)</f>
        <v>4.5391000000000001E-2</v>
      </c>
      <c r="AE1011" s="10">
        <f>IFERROR(VLOOKUP(Summary!B1011,'Pre-Summary'!$A$6:$P$184,7, FALSE)/100,AE1012)</f>
        <v>8.5740333333333321E-2</v>
      </c>
      <c r="AF1011" s="99">
        <f t="shared" si="46"/>
        <v>1.8766266280638207E-2</v>
      </c>
      <c r="AG1011" s="99">
        <f t="shared" si="47"/>
        <v>3.544812686047924E-2</v>
      </c>
      <c r="AH1011" s="10" t="str">
        <f>IFERROR(VLOOKUP(B1011,'Pre-Summary'!$AZ$6:$BE$65,3,FALSE),"")</f>
        <v/>
      </c>
      <c r="AI1011" s="10" t="str">
        <f>IFERROR(VLOOKUP(B1011,'Pre-Summary'!$AZ$6:$BE$65,5,FALSE),"")</f>
        <v/>
      </c>
      <c r="AJ1011" s="10" t="str">
        <f>IFERROR(VLOOKUP(B1011,'Pre-Summary'!$AZ$6:$BE$65,4,FALSE),"")</f>
        <v/>
      </c>
      <c r="AK1011" s="10" t="str">
        <f>IFERROR(VLOOKUP(B1011,'Pre-Summary'!$AZ$6:$BE$65,6,FALSE),"")</f>
        <v/>
      </c>
      <c r="AL1011" s="10" t="str">
        <f>IFERROR(VLOOKUP(B1011,'Pre-Summary'!$BG$6:$BL$44,3,FALSE),"")</f>
        <v/>
      </c>
      <c r="AM1011" s="10" t="str">
        <f>IFERROR(VLOOKUP(B1011,'Pre-Summary'!$BG$6:$BL$44,4,FALSE),"")</f>
        <v/>
      </c>
    </row>
    <row r="1012" spans="2:39" ht="15" customHeight="1" x14ac:dyDescent="0.3">
      <c r="B1012">
        <v>100.9</v>
      </c>
      <c r="C1012" t="str">
        <f>IFERROR(VLOOKUP(B1012,'Pre-Summary'!$DI$6:$DM$23,4,FALSE),"")</f>
        <v/>
      </c>
      <c r="D1012" s="10" t="str">
        <f>IFERROR(VLOOKUP(B1012,'Pre-Summary'!$AT$6:$AX$14,5,FALSE),D1011)</f>
        <v>DSMZ v3: dropped yeast, casitone, and bicarb out of DSMZ 120</v>
      </c>
      <c r="E1012" s="10" t="str">
        <f>IFERROR(VLOOKUP(B1012,'Pre-Summary'!$AT$6:$AX$15,4,FALSE),"")</f>
        <v/>
      </c>
      <c r="F1012">
        <f>IFERROR(VLOOKUP(B1012,'Pre-Summary'!$AL$6:$AQ$13,6,FALSE),F1011)</f>
        <v>5.9405263157894746E-2</v>
      </c>
      <c r="G1012" t="str">
        <f>IFERROR(VLOOKUP(B1012,'Pre-Summary'!$AE$6:$AJ$85,3,FALSE),"")</f>
        <v/>
      </c>
      <c r="H1012" t="str">
        <f>IFERROR(VLOOKUP(B1012,'Pre-Summary'!$AE$6:$AJ$85,4,FALSE),"")</f>
        <v/>
      </c>
      <c r="I1012" t="str">
        <f>IFERROR(VLOOKUP(B1012,'Pre-Summary'!$AE$6:$AJ$85,5,FALSE),"")</f>
        <v/>
      </c>
      <c r="J1012" s="45" t="str">
        <f>IFERROR(VLOOKUP(B1012,'Pre-Summary'!$AE$6:$AJ$85,6, FALSE),"")</f>
        <v/>
      </c>
      <c r="K1012" s="45" t="str">
        <f>IFERROR(VLOOKUP(B1012,'Pre-Summary'!$DE$6:$DG$61,3,FALSE),"")</f>
        <v/>
      </c>
      <c r="L1012" s="45" t="str">
        <f>IFERROR(VLOOKUP(B1012,'Pre-Summary'!$CU$6:$CW$36,3,FALSE),"")</f>
        <v/>
      </c>
      <c r="M1012" s="45" t="str">
        <f>IFERROR(VLOOKUP(B1012,'Pre-Summary'!$BW$6:$BY$58,2,FALSE),"")</f>
        <v/>
      </c>
      <c r="N1012" s="45" t="str">
        <f>IFERROR(VLOOKUP(B1012,'Pre-Summary'!$CD$6:$CF$64,2,FALSE),"")</f>
        <v/>
      </c>
      <c r="O1012" s="99">
        <f>IFERROR(VLOOKUP(B1012,'Pre-Summary'!$BO$6:$BQ$48,3, FALSE),O1011)</f>
        <v>1</v>
      </c>
      <c r="P1012" s="99">
        <f>IFERROR(VLOOKUP(B1012,'Pre-Summary'!$BS$6:$BU$35,3,FALSE),P1011)</f>
        <v>0.25</v>
      </c>
      <c r="Q1012" s="54">
        <f t="shared" si="45"/>
        <v>4</v>
      </c>
      <c r="R1012" s="53">
        <f>IFERROR(VLOOKUP(B1012,'Pre-Summary'!$BG$6:$BM$44,7,FALSE),R1013)</f>
        <v>4.0839377512219534E-2</v>
      </c>
      <c r="S1012" s="53">
        <f>IFERROR(VLOOKUP(B1012,'Pre-Summary'!$BG$6:$BM$44,6,FALSE),S1013)</f>
        <v>3.561480302426305E-2</v>
      </c>
      <c r="T1012" s="45" t="str">
        <f>IFERROR(VLOOKUP(B1012,'Pre-Summary'!$Y$6:$AC$83, 3,FALSE),"")</f>
        <v/>
      </c>
      <c r="U1012" s="45" t="str">
        <f>IFERROR(VLOOKUP(B1012,'Pre-Summary'!$Y$6:$AC$83, 4,FALSE),"")</f>
        <v/>
      </c>
      <c r="V1012" t="str">
        <f>IFERROR(VLOOKUP(B1012,'Pre-Summary'!$Y$6:$AC$83, 5,FALSE),"")</f>
        <v/>
      </c>
      <c r="W1012" s="45" t="str">
        <f>IFERROR(VLOOKUP(B1012,'Pre-Summary'!$Y$6:$AD$83,6,FALSE),"")</f>
        <v/>
      </c>
      <c r="X1012" t="str">
        <f>IFERROR(VLOOKUP('Pre-Summary'!$DB$6:$DD$63,3,FALSE),"")</f>
        <v/>
      </c>
      <c r="Y1012" t="str">
        <f>IFERROR(VLOOKUP(B1012,'Pre-Summary'!$CR$6:$CT$36,3,FALSE),"")</f>
        <v/>
      </c>
      <c r="Z1012" s="45" t="str">
        <f>IFERROR(VLOOKUP(B1012,'Pre-Summary'!$BZ$6:$CB$63,2,FALSE),"")</f>
        <v/>
      </c>
      <c r="AA1012" s="45" t="str">
        <f>IFERROR(VLOOKUP(B1012,'Pre-Summary'!$CG$6:$CI$70,2,FALSE),"")</f>
        <v/>
      </c>
      <c r="AB1012" s="99">
        <f>IFERROR(VLOOKUP(B1012,'Pre-Summary'!$A$6:$P$178,9,FALSE),AB1013)</f>
        <v>0.41343584148043017</v>
      </c>
      <c r="AC1012" s="10">
        <f>IFERROR(VLOOKUP(Summary!B1012,'Pre-Summary'!$A$6:$P$184,5, FALSE)/100,AC1013)</f>
        <v>0.86886866666666673</v>
      </c>
      <c r="AD1012" s="10">
        <f>IFERROR(VLOOKUP(Summary!B1012,'Pre-Summary'!$A$6:$P$184,3, FALSE)/100,AD1013)</f>
        <v>4.5391000000000001E-2</v>
      </c>
      <c r="AE1012" s="10">
        <f>IFERROR(VLOOKUP(Summary!B1012,'Pre-Summary'!$A$6:$P$184,7, FALSE)/100,AE1013)</f>
        <v>8.5740333333333321E-2</v>
      </c>
      <c r="AF1012" s="99">
        <f t="shared" si="46"/>
        <v>1.8766266280638207E-2</v>
      </c>
      <c r="AG1012" s="99">
        <f t="shared" si="47"/>
        <v>3.544812686047924E-2</v>
      </c>
      <c r="AH1012" s="10" t="str">
        <f>IFERROR(VLOOKUP(B1012,'Pre-Summary'!$AZ$6:$BE$65,3,FALSE),"")</f>
        <v/>
      </c>
      <c r="AI1012" s="10" t="str">
        <f>IFERROR(VLOOKUP(B1012,'Pre-Summary'!$AZ$6:$BE$65,5,FALSE),"")</f>
        <v/>
      </c>
      <c r="AJ1012" s="10" t="str">
        <f>IFERROR(VLOOKUP(B1012,'Pre-Summary'!$AZ$6:$BE$65,4,FALSE),"")</f>
        <v/>
      </c>
      <c r="AK1012" s="10" t="str">
        <f>IFERROR(VLOOKUP(B1012,'Pre-Summary'!$AZ$6:$BE$65,6,FALSE),"")</f>
        <v/>
      </c>
      <c r="AL1012" s="10" t="str">
        <f>IFERROR(VLOOKUP(B1012,'Pre-Summary'!$BG$6:$BL$44,3,FALSE),"")</f>
        <v/>
      </c>
      <c r="AM1012" s="10" t="str">
        <f>IFERROR(VLOOKUP(B1012,'Pre-Summary'!$BG$6:$BL$44,4,FALSE),"")</f>
        <v/>
      </c>
    </row>
    <row r="1013" spans="2:39" ht="15" customHeight="1" x14ac:dyDescent="0.3">
      <c r="B1013">
        <v>101</v>
      </c>
      <c r="C1013" t="str">
        <f>IFERROR(VLOOKUP(B1013,'Pre-Summary'!$DI$6:$DM$23,4,FALSE),"")</f>
        <v/>
      </c>
      <c r="D1013" s="10" t="str">
        <f>IFERROR(VLOOKUP(B1013,'Pre-Summary'!$AT$6:$AX$14,5,FALSE),D1012)</f>
        <v>DSMZ v3: dropped yeast, casitone, and bicarb out of DSMZ 120</v>
      </c>
      <c r="E1013" s="10" t="str">
        <f>IFERROR(VLOOKUP(B1013,'Pre-Summary'!$AT$6:$AX$15,4,FALSE),"")</f>
        <v/>
      </c>
      <c r="F1013">
        <f>IFERROR(VLOOKUP(B1013,'Pre-Summary'!$AL$6:$AQ$13,6,FALSE),F1012)</f>
        <v>5.9405263157894746E-2</v>
      </c>
      <c r="G1013" t="str">
        <f>IFERROR(VLOOKUP(B1013,'Pre-Summary'!$AE$6:$AJ$85,3,FALSE),"")</f>
        <v/>
      </c>
      <c r="H1013" t="str">
        <f>IFERROR(VLOOKUP(B1013,'Pre-Summary'!$AE$6:$AJ$85,4,FALSE),"")</f>
        <v/>
      </c>
      <c r="I1013" t="str">
        <f>IFERROR(VLOOKUP(B1013,'Pre-Summary'!$AE$6:$AJ$85,5,FALSE),"")</f>
        <v/>
      </c>
      <c r="J1013" s="45" t="str">
        <f>IFERROR(VLOOKUP(B1013,'Pre-Summary'!$AE$6:$AJ$85,6, FALSE),"")</f>
        <v/>
      </c>
      <c r="K1013" s="45" t="str">
        <f>IFERROR(VLOOKUP(B1013,'Pre-Summary'!$DE$6:$DG$61,3,FALSE),"")</f>
        <v/>
      </c>
      <c r="L1013" s="45" t="str">
        <f>IFERROR(VLOOKUP(B1013,'Pre-Summary'!$CU$6:$CW$36,3,FALSE),"")</f>
        <v/>
      </c>
      <c r="M1013" s="45" t="str">
        <f>IFERROR(VLOOKUP(B1013,'Pre-Summary'!$BW$6:$BY$58,2,FALSE),"")</f>
        <v/>
      </c>
      <c r="N1013" s="45" t="str">
        <f>IFERROR(VLOOKUP(B1013,'Pre-Summary'!$CD$6:$CF$64,2,FALSE),"")</f>
        <v/>
      </c>
      <c r="O1013" s="99">
        <f>IFERROR(VLOOKUP(B1013,'Pre-Summary'!$BO$6:$BQ$48,3, FALSE),O1012)</f>
        <v>1</v>
      </c>
      <c r="P1013" s="99">
        <f>IFERROR(VLOOKUP(B1013,'Pre-Summary'!$BS$6:$BU$35,3,FALSE),P1012)</f>
        <v>0.25</v>
      </c>
      <c r="Q1013" s="54">
        <f t="shared" si="45"/>
        <v>4</v>
      </c>
      <c r="R1013" s="53">
        <f>IFERROR(VLOOKUP(B1013,'Pre-Summary'!$BG$6:$BM$44,7,FALSE),R1014)</f>
        <v>4.0839377512219534E-2</v>
      </c>
      <c r="S1013" s="53">
        <f>IFERROR(VLOOKUP(B1013,'Pre-Summary'!$BG$6:$BM$44,6,FALSE),S1014)</f>
        <v>3.561480302426305E-2</v>
      </c>
      <c r="T1013" s="45" t="str">
        <f>IFERROR(VLOOKUP(B1013,'Pre-Summary'!$Y$6:$AC$83, 3,FALSE),"")</f>
        <v/>
      </c>
      <c r="U1013" s="45" t="str">
        <f>IFERROR(VLOOKUP(B1013,'Pre-Summary'!$Y$6:$AC$83, 4,FALSE),"")</f>
        <v/>
      </c>
      <c r="V1013" t="str">
        <f>IFERROR(VLOOKUP(B1013,'Pre-Summary'!$Y$6:$AC$83, 5,FALSE),"")</f>
        <v/>
      </c>
      <c r="W1013" s="45" t="str">
        <f>IFERROR(VLOOKUP(B1013,'Pre-Summary'!$Y$6:$AD$83,6,FALSE),"")</f>
        <v/>
      </c>
      <c r="X1013" t="str">
        <f>IFERROR(VLOOKUP('Pre-Summary'!$DB$6:$DD$63,3,FALSE),"")</f>
        <v/>
      </c>
      <c r="Y1013" t="str">
        <f>IFERROR(VLOOKUP(B1013,'Pre-Summary'!$CR$6:$CT$36,3,FALSE),"")</f>
        <v/>
      </c>
      <c r="Z1013" s="45" t="str">
        <f>IFERROR(VLOOKUP(B1013,'Pre-Summary'!$BZ$6:$CB$63,2,FALSE),"")</f>
        <v/>
      </c>
      <c r="AA1013" s="45" t="str">
        <f>IFERROR(VLOOKUP(B1013,'Pre-Summary'!$CG$6:$CI$70,2,FALSE),"")</f>
        <v/>
      </c>
      <c r="AB1013" s="99">
        <f>IFERROR(VLOOKUP(B1013,'Pre-Summary'!$A$6:$P$178,9,FALSE),AB1014)</f>
        <v>0.41343584148043017</v>
      </c>
      <c r="AC1013" s="10">
        <f>IFERROR(VLOOKUP(Summary!B1013,'Pre-Summary'!$A$6:$P$184,5, FALSE)/100,AC1014)</f>
        <v>0.86886866666666673</v>
      </c>
      <c r="AD1013" s="10">
        <f>IFERROR(VLOOKUP(Summary!B1013,'Pre-Summary'!$A$6:$P$184,3, FALSE)/100,AD1014)</f>
        <v>4.5391000000000001E-2</v>
      </c>
      <c r="AE1013" s="10">
        <f>IFERROR(VLOOKUP(Summary!B1013,'Pre-Summary'!$A$6:$P$184,7, FALSE)/100,AE1014)</f>
        <v>8.5740333333333321E-2</v>
      </c>
      <c r="AF1013" s="99">
        <f t="shared" si="46"/>
        <v>1.8766266280638207E-2</v>
      </c>
      <c r="AG1013" s="99">
        <f t="shared" si="47"/>
        <v>3.544812686047924E-2</v>
      </c>
      <c r="AH1013" s="10" t="str">
        <f>IFERROR(VLOOKUP(B1013,'Pre-Summary'!$AZ$6:$BE$65,3,FALSE),"")</f>
        <v/>
      </c>
      <c r="AI1013" s="10" t="str">
        <f>IFERROR(VLOOKUP(B1013,'Pre-Summary'!$AZ$6:$BE$65,5,FALSE),"")</f>
        <v/>
      </c>
      <c r="AJ1013" s="10" t="str">
        <f>IFERROR(VLOOKUP(B1013,'Pre-Summary'!$AZ$6:$BE$65,4,FALSE),"")</f>
        <v/>
      </c>
      <c r="AK1013" s="10" t="str">
        <f>IFERROR(VLOOKUP(B1013,'Pre-Summary'!$AZ$6:$BE$65,6,FALSE),"")</f>
        <v/>
      </c>
      <c r="AL1013" s="10" t="str">
        <f>IFERROR(VLOOKUP(B1013,'Pre-Summary'!$BG$6:$BL$44,3,FALSE),"")</f>
        <v/>
      </c>
      <c r="AM1013" s="10" t="str">
        <f>IFERROR(VLOOKUP(B1013,'Pre-Summary'!$BG$6:$BL$44,4,FALSE),"")</f>
        <v/>
      </c>
    </row>
    <row r="1014" spans="2:39" ht="15" customHeight="1" x14ac:dyDescent="0.3">
      <c r="B1014">
        <v>101.1</v>
      </c>
      <c r="C1014" t="str">
        <f>IFERROR(VLOOKUP(B1014,'Pre-Summary'!$DI$6:$DM$23,4,FALSE),"")</f>
        <v/>
      </c>
      <c r="D1014" s="10" t="str">
        <f>IFERROR(VLOOKUP(B1014,'Pre-Summary'!$AT$6:$AX$14,5,FALSE),D1013)</f>
        <v>DSMZ v3: dropped yeast, casitone, and bicarb out of DSMZ 120</v>
      </c>
      <c r="E1014" s="10" t="str">
        <f>IFERROR(VLOOKUP(B1014,'Pre-Summary'!$AT$6:$AX$15,4,FALSE),"")</f>
        <v/>
      </c>
      <c r="F1014">
        <f>IFERROR(VLOOKUP(B1014,'Pre-Summary'!$AL$6:$AQ$13,6,FALSE),F1013)</f>
        <v>5.9405263157894746E-2</v>
      </c>
      <c r="G1014" t="str">
        <f>IFERROR(VLOOKUP(B1014,'Pre-Summary'!$AE$6:$AJ$85,3,FALSE),"")</f>
        <v/>
      </c>
      <c r="H1014" t="str">
        <f>IFERROR(VLOOKUP(B1014,'Pre-Summary'!$AE$6:$AJ$85,4,FALSE),"")</f>
        <v/>
      </c>
      <c r="I1014" t="str">
        <f>IFERROR(VLOOKUP(B1014,'Pre-Summary'!$AE$6:$AJ$85,5,FALSE),"")</f>
        <v/>
      </c>
      <c r="J1014" s="45" t="str">
        <f>IFERROR(VLOOKUP(B1014,'Pre-Summary'!$AE$6:$AJ$85,6, FALSE),"")</f>
        <v/>
      </c>
      <c r="K1014" s="45" t="str">
        <f>IFERROR(VLOOKUP(B1014,'Pre-Summary'!$DE$6:$DG$61,3,FALSE),"")</f>
        <v/>
      </c>
      <c r="L1014" s="45" t="str">
        <f>IFERROR(VLOOKUP(B1014,'Pre-Summary'!$CU$6:$CW$36,3,FALSE),"")</f>
        <v/>
      </c>
      <c r="M1014" s="45" t="str">
        <f>IFERROR(VLOOKUP(B1014,'Pre-Summary'!$BW$6:$BY$58,2,FALSE),"")</f>
        <v/>
      </c>
      <c r="N1014" s="45" t="str">
        <f>IFERROR(VLOOKUP(B1014,'Pre-Summary'!$CD$6:$CF$64,2,FALSE),"")</f>
        <v/>
      </c>
      <c r="O1014" s="99">
        <f>IFERROR(VLOOKUP(B1014,'Pre-Summary'!$BO$6:$BQ$48,3, FALSE),O1013)</f>
        <v>1</v>
      </c>
      <c r="P1014" s="99">
        <f>IFERROR(VLOOKUP(B1014,'Pre-Summary'!$BS$6:$BU$35,3,FALSE),P1013)</f>
        <v>0.25</v>
      </c>
      <c r="Q1014" s="54">
        <f t="shared" si="45"/>
        <v>4</v>
      </c>
      <c r="R1014" s="53">
        <f>IFERROR(VLOOKUP(B1014,'Pre-Summary'!$BG$6:$BM$44,7,FALSE),R1015)</f>
        <v>4.0839377512219534E-2</v>
      </c>
      <c r="S1014" s="53">
        <f>IFERROR(VLOOKUP(B1014,'Pre-Summary'!$BG$6:$BM$44,6,FALSE),S1015)</f>
        <v>3.561480302426305E-2</v>
      </c>
      <c r="T1014" s="45" t="str">
        <f>IFERROR(VLOOKUP(B1014,'Pre-Summary'!$Y$6:$AC$83, 3,FALSE),"")</f>
        <v/>
      </c>
      <c r="U1014" s="45" t="str">
        <f>IFERROR(VLOOKUP(B1014,'Pre-Summary'!$Y$6:$AC$83, 4,FALSE),"")</f>
        <v/>
      </c>
      <c r="V1014" t="str">
        <f>IFERROR(VLOOKUP(B1014,'Pre-Summary'!$Y$6:$AC$83, 5,FALSE),"")</f>
        <v/>
      </c>
      <c r="W1014" s="45" t="str">
        <f>IFERROR(VLOOKUP(B1014,'Pre-Summary'!$Y$6:$AD$83,6,FALSE),"")</f>
        <v/>
      </c>
      <c r="X1014" t="str">
        <f>IFERROR(VLOOKUP('Pre-Summary'!$DB$6:$DD$63,3,FALSE),"")</f>
        <v/>
      </c>
      <c r="Y1014" t="str">
        <f>IFERROR(VLOOKUP(B1014,'Pre-Summary'!$CR$6:$CT$36,3,FALSE),"")</f>
        <v/>
      </c>
      <c r="Z1014" s="45" t="str">
        <f>IFERROR(VLOOKUP(B1014,'Pre-Summary'!$BZ$6:$CB$63,2,FALSE),"")</f>
        <v/>
      </c>
      <c r="AA1014" s="45" t="str">
        <f>IFERROR(VLOOKUP(B1014,'Pre-Summary'!$CG$6:$CI$70,2,FALSE),"")</f>
        <v/>
      </c>
      <c r="AB1014" s="99">
        <f>IFERROR(VLOOKUP(B1014,'Pre-Summary'!$A$6:$P$178,9,FALSE),AB1015)</f>
        <v>0.41343584148043017</v>
      </c>
      <c r="AC1014" s="10">
        <f>IFERROR(VLOOKUP(Summary!B1014,'Pre-Summary'!$A$6:$P$184,5, FALSE)/100,AC1015)</f>
        <v>0.86886866666666673</v>
      </c>
      <c r="AD1014" s="10">
        <f>IFERROR(VLOOKUP(Summary!B1014,'Pre-Summary'!$A$6:$P$184,3, FALSE)/100,AD1015)</f>
        <v>4.5391000000000001E-2</v>
      </c>
      <c r="AE1014" s="10">
        <f>IFERROR(VLOOKUP(Summary!B1014,'Pre-Summary'!$A$6:$P$184,7, FALSE)/100,AE1015)</f>
        <v>8.5740333333333321E-2</v>
      </c>
      <c r="AF1014" s="99">
        <f t="shared" si="46"/>
        <v>1.8766266280638207E-2</v>
      </c>
      <c r="AG1014" s="99">
        <f t="shared" si="47"/>
        <v>3.544812686047924E-2</v>
      </c>
      <c r="AH1014" s="10" t="str">
        <f>IFERROR(VLOOKUP(B1014,'Pre-Summary'!$AZ$6:$BE$65,3,FALSE),"")</f>
        <v/>
      </c>
      <c r="AI1014" s="10" t="str">
        <f>IFERROR(VLOOKUP(B1014,'Pre-Summary'!$AZ$6:$BE$65,5,FALSE),"")</f>
        <v/>
      </c>
      <c r="AJ1014" s="10" t="str">
        <f>IFERROR(VLOOKUP(B1014,'Pre-Summary'!$AZ$6:$BE$65,4,FALSE),"")</f>
        <v/>
      </c>
      <c r="AK1014" s="10" t="str">
        <f>IFERROR(VLOOKUP(B1014,'Pre-Summary'!$AZ$6:$BE$65,6,FALSE),"")</f>
        <v/>
      </c>
      <c r="AL1014" s="10" t="str">
        <f>IFERROR(VLOOKUP(B1014,'Pre-Summary'!$BG$6:$BL$44,3,FALSE),"")</f>
        <v/>
      </c>
      <c r="AM1014" s="10" t="str">
        <f>IFERROR(VLOOKUP(B1014,'Pre-Summary'!$BG$6:$BL$44,4,FALSE),"")</f>
        <v/>
      </c>
    </row>
    <row r="1015" spans="2:39" ht="15" customHeight="1" x14ac:dyDescent="0.3">
      <c r="B1015">
        <v>101.2</v>
      </c>
      <c r="C1015" t="str">
        <f>IFERROR(VLOOKUP(B1015,'Pre-Summary'!$DI$6:$DM$23,4,FALSE),"")</f>
        <v/>
      </c>
      <c r="D1015" s="10" t="str">
        <f>IFERROR(VLOOKUP(B1015,'Pre-Summary'!$AT$6:$AX$14,5,FALSE),D1014)</f>
        <v>DSMZ v3: dropped yeast, casitone, and bicarb out of DSMZ 120</v>
      </c>
      <c r="E1015" s="10" t="str">
        <f>IFERROR(VLOOKUP(B1015,'Pre-Summary'!$AT$6:$AX$15,4,FALSE),"")</f>
        <v/>
      </c>
      <c r="F1015">
        <f>IFERROR(VLOOKUP(B1015,'Pre-Summary'!$AL$6:$AQ$13,6,FALSE),F1014)</f>
        <v>5.9405263157894746E-2</v>
      </c>
      <c r="G1015" t="str">
        <f>IFERROR(VLOOKUP(B1015,'Pre-Summary'!$AE$6:$AJ$85,3,FALSE),"")</f>
        <v/>
      </c>
      <c r="H1015" t="str">
        <f>IFERROR(VLOOKUP(B1015,'Pre-Summary'!$AE$6:$AJ$85,4,FALSE),"")</f>
        <v/>
      </c>
      <c r="I1015" t="str">
        <f>IFERROR(VLOOKUP(B1015,'Pre-Summary'!$AE$6:$AJ$85,5,FALSE),"")</f>
        <v/>
      </c>
      <c r="J1015" s="45" t="str">
        <f>IFERROR(VLOOKUP(B1015,'Pre-Summary'!$AE$6:$AJ$85,6, FALSE),"")</f>
        <v/>
      </c>
      <c r="K1015" s="45" t="str">
        <f>IFERROR(VLOOKUP(B1015,'Pre-Summary'!$DE$6:$DG$61,3,FALSE),"")</f>
        <v/>
      </c>
      <c r="L1015" s="45" t="str">
        <f>IFERROR(VLOOKUP(B1015,'Pre-Summary'!$CU$6:$CW$36,3,FALSE),"")</f>
        <v/>
      </c>
      <c r="M1015" s="45" t="str">
        <f>IFERROR(VLOOKUP(B1015,'Pre-Summary'!$BW$6:$BY$58,2,FALSE),"")</f>
        <v/>
      </c>
      <c r="N1015" s="45" t="str">
        <f>IFERROR(VLOOKUP(B1015,'Pre-Summary'!$CD$6:$CF$64,2,FALSE),"")</f>
        <v/>
      </c>
      <c r="O1015" s="99">
        <f>IFERROR(VLOOKUP(B1015,'Pre-Summary'!$BO$6:$BQ$48,3, FALSE),O1014)</f>
        <v>1</v>
      </c>
      <c r="P1015" s="99">
        <f>IFERROR(VLOOKUP(B1015,'Pre-Summary'!$BS$6:$BU$35,3,FALSE),P1014)</f>
        <v>0.25</v>
      </c>
      <c r="Q1015" s="54">
        <f t="shared" si="45"/>
        <v>4</v>
      </c>
      <c r="R1015" s="53">
        <f>IFERROR(VLOOKUP(B1015,'Pre-Summary'!$BG$6:$BM$44,7,FALSE),R1016)</f>
        <v>4.0839377512219534E-2</v>
      </c>
      <c r="S1015" s="53">
        <f>IFERROR(VLOOKUP(B1015,'Pre-Summary'!$BG$6:$BM$44,6,FALSE),S1016)</f>
        <v>3.561480302426305E-2</v>
      </c>
      <c r="T1015" s="45" t="str">
        <f>IFERROR(VLOOKUP(B1015,'Pre-Summary'!$Y$6:$AC$83, 3,FALSE),"")</f>
        <v/>
      </c>
      <c r="U1015" s="45" t="str">
        <f>IFERROR(VLOOKUP(B1015,'Pre-Summary'!$Y$6:$AC$83, 4,FALSE),"")</f>
        <v/>
      </c>
      <c r="V1015" t="str">
        <f>IFERROR(VLOOKUP(B1015,'Pre-Summary'!$Y$6:$AC$83, 5,FALSE),"")</f>
        <v/>
      </c>
      <c r="W1015" s="45" t="str">
        <f>IFERROR(VLOOKUP(B1015,'Pre-Summary'!$Y$6:$AD$83,6,FALSE),"")</f>
        <v/>
      </c>
      <c r="X1015" t="str">
        <f>IFERROR(VLOOKUP('Pre-Summary'!$DB$6:$DD$63,3,FALSE),"")</f>
        <v/>
      </c>
      <c r="Y1015" t="str">
        <f>IFERROR(VLOOKUP(B1015,'Pre-Summary'!$CR$6:$CT$36,3,FALSE),"")</f>
        <v/>
      </c>
      <c r="Z1015" s="45" t="str">
        <f>IFERROR(VLOOKUP(B1015,'Pre-Summary'!$BZ$6:$CB$63,2,FALSE),"")</f>
        <v/>
      </c>
      <c r="AA1015" s="45" t="str">
        <f>IFERROR(VLOOKUP(B1015,'Pre-Summary'!$CG$6:$CI$70,2,FALSE),"")</f>
        <v/>
      </c>
      <c r="AB1015" s="99">
        <f>IFERROR(VLOOKUP(B1015,'Pre-Summary'!$A$6:$P$178,9,FALSE),AB1016)</f>
        <v>0.41343584148043017</v>
      </c>
      <c r="AC1015" s="10">
        <f>IFERROR(VLOOKUP(Summary!B1015,'Pre-Summary'!$A$6:$P$184,5, FALSE)/100,AC1016)</f>
        <v>0.86886866666666673</v>
      </c>
      <c r="AD1015" s="10">
        <f>IFERROR(VLOOKUP(Summary!B1015,'Pre-Summary'!$A$6:$P$184,3, FALSE)/100,AD1016)</f>
        <v>4.5391000000000001E-2</v>
      </c>
      <c r="AE1015" s="10">
        <f>IFERROR(VLOOKUP(Summary!B1015,'Pre-Summary'!$A$6:$P$184,7, FALSE)/100,AE1016)</f>
        <v>8.5740333333333321E-2</v>
      </c>
      <c r="AF1015" s="99">
        <f t="shared" si="46"/>
        <v>1.8766266280638207E-2</v>
      </c>
      <c r="AG1015" s="99">
        <f t="shared" si="47"/>
        <v>3.544812686047924E-2</v>
      </c>
      <c r="AH1015" s="10" t="str">
        <f>IFERROR(VLOOKUP(B1015,'Pre-Summary'!$AZ$6:$BE$65,3,FALSE),"")</f>
        <v/>
      </c>
      <c r="AI1015" s="10" t="str">
        <f>IFERROR(VLOOKUP(B1015,'Pre-Summary'!$AZ$6:$BE$65,5,FALSE),"")</f>
        <v/>
      </c>
      <c r="AJ1015" s="10" t="str">
        <f>IFERROR(VLOOKUP(B1015,'Pre-Summary'!$AZ$6:$BE$65,4,FALSE),"")</f>
        <v/>
      </c>
      <c r="AK1015" s="10" t="str">
        <f>IFERROR(VLOOKUP(B1015,'Pre-Summary'!$AZ$6:$BE$65,6,FALSE),"")</f>
        <v/>
      </c>
      <c r="AL1015" s="10" t="str">
        <f>IFERROR(VLOOKUP(B1015,'Pre-Summary'!$BG$6:$BL$44,3,FALSE),"")</f>
        <v/>
      </c>
      <c r="AM1015" s="10" t="str">
        <f>IFERROR(VLOOKUP(B1015,'Pre-Summary'!$BG$6:$BL$44,4,FALSE),"")</f>
        <v/>
      </c>
    </row>
    <row r="1016" spans="2:39" ht="15" customHeight="1" x14ac:dyDescent="0.3">
      <c r="B1016">
        <v>101.3</v>
      </c>
      <c r="C1016" t="str">
        <f>IFERROR(VLOOKUP(B1016,'Pre-Summary'!$DI$6:$DM$23,4,FALSE),"")</f>
        <v/>
      </c>
      <c r="D1016" s="10" t="str">
        <f>IFERROR(VLOOKUP(B1016,'Pre-Summary'!$AT$6:$AX$14,5,FALSE),D1015)</f>
        <v>DSMZ v3: dropped yeast, casitone, and bicarb out of DSMZ 120</v>
      </c>
      <c r="E1016" s="10" t="str">
        <f>IFERROR(VLOOKUP(B1016,'Pre-Summary'!$AT$6:$AX$15,4,FALSE),"")</f>
        <v/>
      </c>
      <c r="F1016">
        <f>IFERROR(VLOOKUP(B1016,'Pre-Summary'!$AL$6:$AQ$13,6,FALSE),F1015)</f>
        <v>5.9405263157894746E-2</v>
      </c>
      <c r="G1016" t="str">
        <f>IFERROR(VLOOKUP(B1016,'Pre-Summary'!$AE$6:$AJ$85,3,FALSE),"")</f>
        <v/>
      </c>
      <c r="H1016" t="str">
        <f>IFERROR(VLOOKUP(B1016,'Pre-Summary'!$AE$6:$AJ$85,4,FALSE),"")</f>
        <v/>
      </c>
      <c r="I1016" t="str">
        <f>IFERROR(VLOOKUP(B1016,'Pre-Summary'!$AE$6:$AJ$85,5,FALSE),"")</f>
        <v/>
      </c>
      <c r="J1016" s="45" t="str">
        <f>IFERROR(VLOOKUP(B1016,'Pre-Summary'!$AE$6:$AJ$85,6, FALSE),"")</f>
        <v/>
      </c>
      <c r="K1016" s="45" t="str">
        <f>IFERROR(VLOOKUP(B1016,'Pre-Summary'!$DE$6:$DG$61,3,FALSE),"")</f>
        <v/>
      </c>
      <c r="L1016" s="45" t="str">
        <f>IFERROR(VLOOKUP(B1016,'Pre-Summary'!$CU$6:$CW$36,3,FALSE),"")</f>
        <v/>
      </c>
      <c r="M1016" s="45" t="str">
        <f>IFERROR(VLOOKUP(B1016,'Pre-Summary'!$BW$6:$BY$58,2,FALSE),"")</f>
        <v/>
      </c>
      <c r="N1016" s="45" t="str">
        <f>IFERROR(VLOOKUP(B1016,'Pre-Summary'!$CD$6:$CF$64,2,FALSE),"")</f>
        <v/>
      </c>
      <c r="O1016" s="99">
        <f>IFERROR(VLOOKUP(B1016,'Pre-Summary'!$BO$6:$BQ$48,3, FALSE),O1015)</f>
        <v>1</v>
      </c>
      <c r="P1016" s="99">
        <f>IFERROR(VLOOKUP(B1016,'Pre-Summary'!$BS$6:$BU$35,3,FALSE),P1015)</f>
        <v>0.25</v>
      </c>
      <c r="Q1016" s="54">
        <f t="shared" si="45"/>
        <v>4</v>
      </c>
      <c r="R1016" s="53">
        <f>IFERROR(VLOOKUP(B1016,'Pre-Summary'!$BG$6:$BM$44,7,FALSE),R1017)</f>
        <v>4.0839377512219534E-2</v>
      </c>
      <c r="S1016" s="53">
        <f>IFERROR(VLOOKUP(B1016,'Pre-Summary'!$BG$6:$BM$44,6,FALSE),S1017)</f>
        <v>3.561480302426305E-2</v>
      </c>
      <c r="T1016" s="45" t="str">
        <f>IFERROR(VLOOKUP(B1016,'Pre-Summary'!$Y$6:$AC$83, 3,FALSE),"")</f>
        <v/>
      </c>
      <c r="U1016" s="45" t="str">
        <f>IFERROR(VLOOKUP(B1016,'Pre-Summary'!$Y$6:$AC$83, 4,FALSE),"")</f>
        <v/>
      </c>
      <c r="V1016" t="str">
        <f>IFERROR(VLOOKUP(B1016,'Pre-Summary'!$Y$6:$AC$83, 5,FALSE),"")</f>
        <v/>
      </c>
      <c r="W1016" s="45" t="str">
        <f>IFERROR(VLOOKUP(B1016,'Pre-Summary'!$Y$6:$AD$83,6,FALSE),"")</f>
        <v/>
      </c>
      <c r="X1016" t="str">
        <f>IFERROR(VLOOKUP('Pre-Summary'!$DB$6:$DD$63,3,FALSE),"")</f>
        <v/>
      </c>
      <c r="Y1016" t="str">
        <f>IFERROR(VLOOKUP(B1016,'Pre-Summary'!$CR$6:$CT$36,3,FALSE),"")</f>
        <v/>
      </c>
      <c r="Z1016" s="45" t="str">
        <f>IFERROR(VLOOKUP(B1016,'Pre-Summary'!$BZ$6:$CB$63,2,FALSE),"")</f>
        <v/>
      </c>
      <c r="AA1016" s="45" t="str">
        <f>IFERROR(VLOOKUP(B1016,'Pre-Summary'!$CG$6:$CI$70,2,FALSE),"")</f>
        <v/>
      </c>
      <c r="AB1016" s="99">
        <f>IFERROR(VLOOKUP(B1016,'Pre-Summary'!$A$6:$P$178,9,FALSE),AB1017)</f>
        <v>0.41343584148043017</v>
      </c>
      <c r="AC1016" s="10">
        <f>IFERROR(VLOOKUP(Summary!B1016,'Pre-Summary'!$A$6:$P$184,5, FALSE)/100,AC1017)</f>
        <v>0.86886866666666673</v>
      </c>
      <c r="AD1016" s="10">
        <f>IFERROR(VLOOKUP(Summary!B1016,'Pre-Summary'!$A$6:$P$184,3, FALSE)/100,AD1017)</f>
        <v>4.5391000000000001E-2</v>
      </c>
      <c r="AE1016" s="10">
        <f>IFERROR(VLOOKUP(Summary!B1016,'Pre-Summary'!$A$6:$P$184,7, FALSE)/100,AE1017)</f>
        <v>8.5740333333333321E-2</v>
      </c>
      <c r="AF1016" s="99">
        <f t="shared" si="46"/>
        <v>1.8766266280638207E-2</v>
      </c>
      <c r="AG1016" s="99">
        <f t="shared" si="47"/>
        <v>3.544812686047924E-2</v>
      </c>
      <c r="AH1016" s="10" t="str">
        <f>IFERROR(VLOOKUP(B1016,'Pre-Summary'!$AZ$6:$BE$65,3,FALSE),"")</f>
        <v/>
      </c>
      <c r="AI1016" s="10" t="str">
        <f>IFERROR(VLOOKUP(B1016,'Pre-Summary'!$AZ$6:$BE$65,5,FALSE),"")</f>
        <v/>
      </c>
      <c r="AJ1016" s="10" t="str">
        <f>IFERROR(VLOOKUP(B1016,'Pre-Summary'!$AZ$6:$BE$65,4,FALSE),"")</f>
        <v/>
      </c>
      <c r="AK1016" s="10" t="str">
        <f>IFERROR(VLOOKUP(B1016,'Pre-Summary'!$AZ$6:$BE$65,6,FALSE),"")</f>
        <v/>
      </c>
      <c r="AL1016" s="10" t="str">
        <f>IFERROR(VLOOKUP(B1016,'Pre-Summary'!$BG$6:$BL$44,3,FALSE),"")</f>
        <v/>
      </c>
      <c r="AM1016" s="10" t="str">
        <f>IFERROR(VLOOKUP(B1016,'Pre-Summary'!$BG$6:$BL$44,4,FALSE),"")</f>
        <v/>
      </c>
    </row>
    <row r="1017" spans="2:39" ht="15" customHeight="1" x14ac:dyDescent="0.3">
      <c r="B1017">
        <v>101.4</v>
      </c>
      <c r="C1017" t="str">
        <f>IFERROR(VLOOKUP(B1017,'Pre-Summary'!$DI$6:$DM$23,4,FALSE),"")</f>
        <v/>
      </c>
      <c r="D1017" s="10" t="str">
        <f>IFERROR(VLOOKUP(B1017,'Pre-Summary'!$AT$6:$AX$14,5,FALSE),D1016)</f>
        <v>DSMZ v3: dropped yeast, casitone, and bicarb out of DSMZ 120</v>
      </c>
      <c r="E1017" s="10" t="str">
        <f>IFERROR(VLOOKUP(B1017,'Pre-Summary'!$AT$6:$AX$15,4,FALSE),"")</f>
        <v/>
      </c>
      <c r="F1017">
        <f>IFERROR(VLOOKUP(B1017,'Pre-Summary'!$AL$6:$AQ$13,6,FALSE),F1016)</f>
        <v>5.9405263157894746E-2</v>
      </c>
      <c r="G1017" t="str">
        <f>IFERROR(VLOOKUP(B1017,'Pre-Summary'!$AE$6:$AJ$85,3,FALSE),"")</f>
        <v/>
      </c>
      <c r="H1017" t="str">
        <f>IFERROR(VLOOKUP(B1017,'Pre-Summary'!$AE$6:$AJ$85,4,FALSE),"")</f>
        <v/>
      </c>
      <c r="I1017" t="str">
        <f>IFERROR(VLOOKUP(B1017,'Pre-Summary'!$AE$6:$AJ$85,5,FALSE),"")</f>
        <v/>
      </c>
      <c r="J1017" s="45" t="str">
        <f>IFERROR(VLOOKUP(B1017,'Pre-Summary'!$AE$6:$AJ$85,6, FALSE),"")</f>
        <v/>
      </c>
      <c r="K1017" s="45" t="str">
        <f>IFERROR(VLOOKUP(B1017,'Pre-Summary'!$DE$6:$DG$61,3,FALSE),"")</f>
        <v/>
      </c>
      <c r="L1017" s="45" t="str">
        <f>IFERROR(VLOOKUP(B1017,'Pre-Summary'!$CU$6:$CW$36,3,FALSE),"")</f>
        <v/>
      </c>
      <c r="M1017" s="45" t="str">
        <f>IFERROR(VLOOKUP(B1017,'Pre-Summary'!$BW$6:$BY$58,2,FALSE),"")</f>
        <v/>
      </c>
      <c r="N1017" s="45" t="str">
        <f>IFERROR(VLOOKUP(B1017,'Pre-Summary'!$CD$6:$CF$64,2,FALSE),"")</f>
        <v/>
      </c>
      <c r="O1017" s="99">
        <f>IFERROR(VLOOKUP(B1017,'Pre-Summary'!$BO$6:$BQ$48,3, FALSE),O1016)</f>
        <v>1</v>
      </c>
      <c r="P1017" s="99">
        <f>IFERROR(VLOOKUP(B1017,'Pre-Summary'!$BS$6:$BU$35,3,FALSE),P1016)</f>
        <v>0.25</v>
      </c>
      <c r="Q1017" s="54">
        <f t="shared" si="45"/>
        <v>4</v>
      </c>
      <c r="R1017" s="53">
        <f>IFERROR(VLOOKUP(B1017,'Pre-Summary'!$BG$6:$BM$44,7,FALSE),R1018)</f>
        <v>4.0839377512219534E-2</v>
      </c>
      <c r="S1017" s="53">
        <f>IFERROR(VLOOKUP(B1017,'Pre-Summary'!$BG$6:$BM$44,6,FALSE),S1018)</f>
        <v>3.561480302426305E-2</v>
      </c>
      <c r="T1017" s="45" t="str">
        <f>IFERROR(VLOOKUP(B1017,'Pre-Summary'!$Y$6:$AC$83, 3,FALSE),"")</f>
        <v/>
      </c>
      <c r="U1017" s="45" t="str">
        <f>IFERROR(VLOOKUP(B1017,'Pre-Summary'!$Y$6:$AC$83, 4,FALSE),"")</f>
        <v/>
      </c>
      <c r="V1017" t="str">
        <f>IFERROR(VLOOKUP(B1017,'Pre-Summary'!$Y$6:$AC$83, 5,FALSE),"")</f>
        <v/>
      </c>
      <c r="W1017" s="45" t="str">
        <f>IFERROR(VLOOKUP(B1017,'Pre-Summary'!$Y$6:$AD$83,6,FALSE),"")</f>
        <v/>
      </c>
      <c r="X1017" t="str">
        <f>IFERROR(VLOOKUP('Pre-Summary'!$DB$6:$DD$63,3,FALSE),"")</f>
        <v/>
      </c>
      <c r="Y1017" t="str">
        <f>IFERROR(VLOOKUP(B1017,'Pre-Summary'!$CR$6:$CT$36,3,FALSE),"")</f>
        <v/>
      </c>
      <c r="Z1017" s="45" t="str">
        <f>IFERROR(VLOOKUP(B1017,'Pre-Summary'!$BZ$6:$CB$63,2,FALSE),"")</f>
        <v/>
      </c>
      <c r="AA1017" s="45" t="str">
        <f>IFERROR(VLOOKUP(B1017,'Pre-Summary'!$CG$6:$CI$70,2,FALSE),"")</f>
        <v/>
      </c>
      <c r="AB1017" s="99">
        <f>IFERROR(VLOOKUP(B1017,'Pre-Summary'!$A$6:$P$178,9,FALSE),AB1018)</f>
        <v>0.41343584148043017</v>
      </c>
      <c r="AC1017" s="10">
        <f>IFERROR(VLOOKUP(Summary!B1017,'Pre-Summary'!$A$6:$P$184,5, FALSE)/100,AC1018)</f>
        <v>0.86886866666666673</v>
      </c>
      <c r="AD1017" s="10">
        <f>IFERROR(VLOOKUP(Summary!B1017,'Pre-Summary'!$A$6:$P$184,3, FALSE)/100,AD1018)</f>
        <v>4.5391000000000001E-2</v>
      </c>
      <c r="AE1017" s="10">
        <f>IFERROR(VLOOKUP(Summary!B1017,'Pre-Summary'!$A$6:$P$184,7, FALSE)/100,AE1018)</f>
        <v>8.5740333333333321E-2</v>
      </c>
      <c r="AF1017" s="99">
        <f t="shared" si="46"/>
        <v>1.8766266280638207E-2</v>
      </c>
      <c r="AG1017" s="99">
        <f t="shared" si="47"/>
        <v>3.544812686047924E-2</v>
      </c>
      <c r="AH1017" s="10" t="str">
        <f>IFERROR(VLOOKUP(B1017,'Pre-Summary'!$AZ$6:$BE$65,3,FALSE),"")</f>
        <v/>
      </c>
      <c r="AI1017" s="10" t="str">
        <f>IFERROR(VLOOKUP(B1017,'Pre-Summary'!$AZ$6:$BE$65,5,FALSE),"")</f>
        <v/>
      </c>
      <c r="AJ1017" s="10" t="str">
        <f>IFERROR(VLOOKUP(B1017,'Pre-Summary'!$AZ$6:$BE$65,4,FALSE),"")</f>
        <v/>
      </c>
      <c r="AK1017" s="10" t="str">
        <f>IFERROR(VLOOKUP(B1017,'Pre-Summary'!$AZ$6:$BE$65,6,FALSE),"")</f>
        <v/>
      </c>
      <c r="AL1017" s="10" t="str">
        <f>IFERROR(VLOOKUP(B1017,'Pre-Summary'!$BG$6:$BL$44,3,FALSE),"")</f>
        <v/>
      </c>
      <c r="AM1017" s="10" t="str">
        <f>IFERROR(VLOOKUP(B1017,'Pre-Summary'!$BG$6:$BL$44,4,FALSE),"")</f>
        <v/>
      </c>
    </row>
    <row r="1018" spans="2:39" ht="15" customHeight="1" x14ac:dyDescent="0.3">
      <c r="B1018">
        <v>101.5</v>
      </c>
      <c r="C1018" t="str">
        <f>IFERROR(VLOOKUP(B1018,'Pre-Summary'!$DI$6:$DM$23,4,FALSE),"")</f>
        <v/>
      </c>
      <c r="D1018" s="10" t="str">
        <f>IFERROR(VLOOKUP(B1018,'Pre-Summary'!$AT$6:$AX$14,5,FALSE),D1017)</f>
        <v>DSMZ v3: dropped yeast, casitone, and bicarb out of DSMZ 120</v>
      </c>
      <c r="E1018" s="10" t="str">
        <f>IFERROR(VLOOKUP(B1018,'Pre-Summary'!$AT$6:$AX$15,4,FALSE),"")</f>
        <v/>
      </c>
      <c r="F1018">
        <f>IFERROR(VLOOKUP(B1018,'Pre-Summary'!$AL$6:$AQ$13,6,FALSE),F1017)</f>
        <v>5.9405263157894746E-2</v>
      </c>
      <c r="G1018" t="str">
        <f>IFERROR(VLOOKUP(B1018,'Pre-Summary'!$AE$6:$AJ$85,3,FALSE),"")</f>
        <v/>
      </c>
      <c r="H1018" t="str">
        <f>IFERROR(VLOOKUP(B1018,'Pre-Summary'!$AE$6:$AJ$85,4,FALSE),"")</f>
        <v/>
      </c>
      <c r="I1018" t="str">
        <f>IFERROR(VLOOKUP(B1018,'Pre-Summary'!$AE$6:$AJ$85,5,FALSE),"")</f>
        <v/>
      </c>
      <c r="J1018" s="45" t="str">
        <f>IFERROR(VLOOKUP(B1018,'Pre-Summary'!$AE$6:$AJ$85,6, FALSE),"")</f>
        <v/>
      </c>
      <c r="K1018" s="45" t="str">
        <f>IFERROR(VLOOKUP(B1018,'Pre-Summary'!$DE$6:$DG$61,3,FALSE),"")</f>
        <v/>
      </c>
      <c r="L1018" s="45" t="str">
        <f>IFERROR(VLOOKUP(B1018,'Pre-Summary'!$CU$6:$CW$36,3,FALSE),"")</f>
        <v/>
      </c>
      <c r="M1018" s="45" t="str">
        <f>IFERROR(VLOOKUP(B1018,'Pre-Summary'!$BW$6:$BY$58,2,FALSE),"")</f>
        <v/>
      </c>
      <c r="N1018" s="45" t="str">
        <f>IFERROR(VLOOKUP(B1018,'Pre-Summary'!$CD$6:$CF$64,2,FALSE),"")</f>
        <v/>
      </c>
      <c r="O1018" s="99">
        <f>IFERROR(VLOOKUP(B1018,'Pre-Summary'!$BO$6:$BQ$48,3, FALSE),O1017)</f>
        <v>1</v>
      </c>
      <c r="P1018" s="99">
        <f>IFERROR(VLOOKUP(B1018,'Pre-Summary'!$BS$6:$BU$35,3,FALSE),P1017)</f>
        <v>0.25</v>
      </c>
      <c r="Q1018" s="54">
        <f t="shared" si="45"/>
        <v>4</v>
      </c>
      <c r="R1018" s="53">
        <f>IFERROR(VLOOKUP(B1018,'Pre-Summary'!$BG$6:$BM$44,7,FALSE),R1019)</f>
        <v>4.0839377512219534E-2</v>
      </c>
      <c r="S1018" s="53">
        <f>IFERROR(VLOOKUP(B1018,'Pre-Summary'!$BG$6:$BM$44,6,FALSE),S1019)</f>
        <v>3.561480302426305E-2</v>
      </c>
      <c r="T1018" s="45" t="str">
        <f>IFERROR(VLOOKUP(B1018,'Pre-Summary'!$Y$6:$AC$83, 3,FALSE),"")</f>
        <v/>
      </c>
      <c r="U1018" s="45" t="str">
        <f>IFERROR(VLOOKUP(B1018,'Pre-Summary'!$Y$6:$AC$83, 4,FALSE),"")</f>
        <v/>
      </c>
      <c r="V1018" t="str">
        <f>IFERROR(VLOOKUP(B1018,'Pre-Summary'!$Y$6:$AC$83, 5,FALSE),"")</f>
        <v/>
      </c>
      <c r="W1018" s="45" t="str">
        <f>IFERROR(VLOOKUP(B1018,'Pre-Summary'!$Y$6:$AD$83,6,FALSE),"")</f>
        <v/>
      </c>
      <c r="X1018" t="str">
        <f>IFERROR(VLOOKUP('Pre-Summary'!$DB$6:$DD$63,3,FALSE),"")</f>
        <v/>
      </c>
      <c r="Y1018" t="str">
        <f>IFERROR(VLOOKUP(B1018,'Pre-Summary'!$CR$6:$CT$36,3,FALSE),"")</f>
        <v/>
      </c>
      <c r="Z1018" s="45" t="str">
        <f>IFERROR(VLOOKUP(B1018,'Pre-Summary'!$BZ$6:$CB$63,2,FALSE),"")</f>
        <v/>
      </c>
      <c r="AA1018" s="45" t="str">
        <f>IFERROR(VLOOKUP(B1018,'Pre-Summary'!$CG$6:$CI$70,2,FALSE),"")</f>
        <v/>
      </c>
      <c r="AB1018" s="99">
        <f>IFERROR(VLOOKUP(B1018,'Pre-Summary'!$A$6:$P$178,9,FALSE),AB1019)</f>
        <v>0.41343584148043017</v>
      </c>
      <c r="AC1018" s="10">
        <f>IFERROR(VLOOKUP(Summary!B1018,'Pre-Summary'!$A$6:$P$184,5, FALSE)/100,AC1019)</f>
        <v>0.86886866666666673</v>
      </c>
      <c r="AD1018" s="10">
        <f>IFERROR(VLOOKUP(Summary!B1018,'Pre-Summary'!$A$6:$P$184,3, FALSE)/100,AD1019)</f>
        <v>4.5391000000000001E-2</v>
      </c>
      <c r="AE1018" s="10">
        <f>IFERROR(VLOOKUP(Summary!B1018,'Pre-Summary'!$A$6:$P$184,7, FALSE)/100,AE1019)</f>
        <v>8.5740333333333321E-2</v>
      </c>
      <c r="AF1018" s="99">
        <f t="shared" si="46"/>
        <v>1.8766266280638207E-2</v>
      </c>
      <c r="AG1018" s="99">
        <f t="shared" si="47"/>
        <v>3.544812686047924E-2</v>
      </c>
      <c r="AH1018" s="10" t="str">
        <f>IFERROR(VLOOKUP(B1018,'Pre-Summary'!$AZ$6:$BE$65,3,FALSE),"")</f>
        <v/>
      </c>
      <c r="AI1018" s="10" t="str">
        <f>IFERROR(VLOOKUP(B1018,'Pre-Summary'!$AZ$6:$BE$65,5,FALSE),"")</f>
        <v/>
      </c>
      <c r="AJ1018" s="10" t="str">
        <f>IFERROR(VLOOKUP(B1018,'Pre-Summary'!$AZ$6:$BE$65,4,FALSE),"")</f>
        <v/>
      </c>
      <c r="AK1018" s="10" t="str">
        <f>IFERROR(VLOOKUP(B1018,'Pre-Summary'!$AZ$6:$BE$65,6,FALSE),"")</f>
        <v/>
      </c>
      <c r="AL1018" s="10" t="str">
        <f>IFERROR(VLOOKUP(B1018,'Pre-Summary'!$BG$6:$BL$44,3,FALSE),"")</f>
        <v/>
      </c>
      <c r="AM1018" s="10" t="str">
        <f>IFERROR(VLOOKUP(B1018,'Pre-Summary'!$BG$6:$BL$44,4,FALSE),"")</f>
        <v/>
      </c>
    </row>
    <row r="1019" spans="2:39" ht="15" customHeight="1" x14ac:dyDescent="0.3">
      <c r="B1019">
        <v>101.6</v>
      </c>
      <c r="C1019" t="str">
        <f>IFERROR(VLOOKUP(B1019,'Pre-Summary'!$DI$6:$DM$23,4,FALSE),"")</f>
        <v/>
      </c>
      <c r="D1019" s="10" t="str">
        <f>IFERROR(VLOOKUP(B1019,'Pre-Summary'!$AT$6:$AX$14,5,FALSE),D1018)</f>
        <v>DSMZ v3: dropped yeast, casitone, and bicarb out of DSMZ 120</v>
      </c>
      <c r="E1019" s="10" t="str">
        <f>IFERROR(VLOOKUP(B1019,'Pre-Summary'!$AT$6:$AX$15,4,FALSE),"")</f>
        <v/>
      </c>
      <c r="F1019">
        <f>IFERROR(VLOOKUP(B1019,'Pre-Summary'!$AL$6:$AQ$13,6,FALSE),F1018)</f>
        <v>5.9405263157894746E-2</v>
      </c>
      <c r="G1019" t="str">
        <f>IFERROR(VLOOKUP(B1019,'Pre-Summary'!$AE$6:$AJ$85,3,FALSE),"")</f>
        <v/>
      </c>
      <c r="H1019" t="str">
        <f>IFERROR(VLOOKUP(B1019,'Pre-Summary'!$AE$6:$AJ$85,4,FALSE),"")</f>
        <v/>
      </c>
      <c r="I1019" t="str">
        <f>IFERROR(VLOOKUP(B1019,'Pre-Summary'!$AE$6:$AJ$85,5,FALSE),"")</f>
        <v/>
      </c>
      <c r="J1019" s="45" t="str">
        <f>IFERROR(VLOOKUP(B1019,'Pre-Summary'!$AE$6:$AJ$85,6, FALSE),"")</f>
        <v/>
      </c>
      <c r="K1019" s="45" t="str">
        <f>IFERROR(VLOOKUP(B1019,'Pre-Summary'!$DE$6:$DG$61,3,FALSE),"")</f>
        <v/>
      </c>
      <c r="L1019" s="45" t="str">
        <f>IFERROR(VLOOKUP(B1019,'Pre-Summary'!$CU$6:$CW$36,3,FALSE),"")</f>
        <v/>
      </c>
      <c r="M1019" s="45" t="str">
        <f>IFERROR(VLOOKUP(B1019,'Pre-Summary'!$BW$6:$BY$58,2,FALSE),"")</f>
        <v/>
      </c>
      <c r="N1019" s="45" t="str">
        <f>IFERROR(VLOOKUP(B1019,'Pre-Summary'!$CD$6:$CF$64,2,FALSE),"")</f>
        <v/>
      </c>
      <c r="O1019" s="99">
        <f>IFERROR(VLOOKUP(B1019,'Pre-Summary'!$BO$6:$BQ$48,3, FALSE),O1018)</f>
        <v>1</v>
      </c>
      <c r="P1019" s="99">
        <f>IFERROR(VLOOKUP(B1019,'Pre-Summary'!$BS$6:$BU$35,3,FALSE),P1018)</f>
        <v>0.25</v>
      </c>
      <c r="Q1019" s="54">
        <f t="shared" si="45"/>
        <v>4</v>
      </c>
      <c r="R1019" s="53">
        <f>IFERROR(VLOOKUP(B1019,'Pre-Summary'!$BG$6:$BM$44,7,FALSE),R1020)</f>
        <v>4.0839377512219534E-2</v>
      </c>
      <c r="S1019" s="53">
        <f>IFERROR(VLOOKUP(B1019,'Pre-Summary'!$BG$6:$BM$44,6,FALSE),S1020)</f>
        <v>3.561480302426305E-2</v>
      </c>
      <c r="T1019" s="45" t="str">
        <f>IFERROR(VLOOKUP(B1019,'Pre-Summary'!$Y$6:$AC$83, 3,FALSE),"")</f>
        <v/>
      </c>
      <c r="U1019" s="45" t="str">
        <f>IFERROR(VLOOKUP(B1019,'Pre-Summary'!$Y$6:$AC$83, 4,FALSE),"")</f>
        <v/>
      </c>
      <c r="V1019" t="str">
        <f>IFERROR(VLOOKUP(B1019,'Pre-Summary'!$Y$6:$AC$83, 5,FALSE),"")</f>
        <v/>
      </c>
      <c r="W1019" s="45" t="str">
        <f>IFERROR(VLOOKUP(B1019,'Pre-Summary'!$Y$6:$AD$83,6,FALSE),"")</f>
        <v/>
      </c>
      <c r="X1019" t="str">
        <f>IFERROR(VLOOKUP('Pre-Summary'!$DB$6:$DD$63,3,FALSE),"")</f>
        <v/>
      </c>
      <c r="Y1019" t="str">
        <f>IFERROR(VLOOKUP(B1019,'Pre-Summary'!$CR$6:$CT$36,3,FALSE),"")</f>
        <v/>
      </c>
      <c r="Z1019" s="45" t="str">
        <f>IFERROR(VLOOKUP(B1019,'Pre-Summary'!$BZ$6:$CB$63,2,FALSE),"")</f>
        <v/>
      </c>
      <c r="AA1019" s="45" t="str">
        <f>IFERROR(VLOOKUP(B1019,'Pre-Summary'!$CG$6:$CI$70,2,FALSE),"")</f>
        <v/>
      </c>
      <c r="AB1019" s="99">
        <f>IFERROR(VLOOKUP(B1019,'Pre-Summary'!$A$6:$P$178,9,FALSE),AB1020)</f>
        <v>0.41343584148043017</v>
      </c>
      <c r="AC1019" s="10">
        <f>IFERROR(VLOOKUP(Summary!B1019,'Pre-Summary'!$A$6:$P$184,5, FALSE)/100,AC1020)</f>
        <v>0.86886866666666673</v>
      </c>
      <c r="AD1019" s="10">
        <f>IFERROR(VLOOKUP(Summary!B1019,'Pre-Summary'!$A$6:$P$184,3, FALSE)/100,AD1020)</f>
        <v>4.5391000000000001E-2</v>
      </c>
      <c r="AE1019" s="10">
        <f>IFERROR(VLOOKUP(Summary!B1019,'Pre-Summary'!$A$6:$P$184,7, FALSE)/100,AE1020)</f>
        <v>8.5740333333333321E-2</v>
      </c>
      <c r="AF1019" s="99">
        <f t="shared" si="46"/>
        <v>1.8766266280638207E-2</v>
      </c>
      <c r="AG1019" s="99">
        <f t="shared" si="47"/>
        <v>3.544812686047924E-2</v>
      </c>
      <c r="AH1019" s="10" t="str">
        <f>IFERROR(VLOOKUP(B1019,'Pre-Summary'!$AZ$6:$BE$65,3,FALSE),"")</f>
        <v/>
      </c>
      <c r="AI1019" s="10" t="str">
        <f>IFERROR(VLOOKUP(B1019,'Pre-Summary'!$AZ$6:$BE$65,5,FALSE),"")</f>
        <v/>
      </c>
      <c r="AJ1019" s="10" t="str">
        <f>IFERROR(VLOOKUP(B1019,'Pre-Summary'!$AZ$6:$BE$65,4,FALSE),"")</f>
        <v/>
      </c>
      <c r="AK1019" s="10" t="str">
        <f>IFERROR(VLOOKUP(B1019,'Pre-Summary'!$AZ$6:$BE$65,6,FALSE),"")</f>
        <v/>
      </c>
      <c r="AL1019" s="10" t="str">
        <f>IFERROR(VLOOKUP(B1019,'Pre-Summary'!$BG$6:$BL$44,3,FALSE),"")</f>
        <v/>
      </c>
      <c r="AM1019" s="10" t="str">
        <f>IFERROR(VLOOKUP(B1019,'Pre-Summary'!$BG$6:$BL$44,4,FALSE),"")</f>
        <v/>
      </c>
    </row>
    <row r="1020" spans="2:39" ht="15" customHeight="1" x14ac:dyDescent="0.3">
      <c r="B1020">
        <v>101.7</v>
      </c>
      <c r="C1020" t="str">
        <f>IFERROR(VLOOKUP(B1020,'Pre-Summary'!$DI$6:$DM$23,4,FALSE),"")</f>
        <v/>
      </c>
      <c r="D1020" s="10" t="str">
        <f>IFERROR(VLOOKUP(B1020,'Pre-Summary'!$AT$6:$AX$14,5,FALSE),D1019)</f>
        <v>DSMZ v3: dropped yeast, casitone, and bicarb out of DSMZ 120</v>
      </c>
      <c r="E1020" s="10" t="str">
        <f>IFERROR(VLOOKUP(B1020,'Pre-Summary'!$AT$6:$AX$15,4,FALSE),"")</f>
        <v/>
      </c>
      <c r="F1020">
        <f>IFERROR(VLOOKUP(B1020,'Pre-Summary'!$AL$6:$AQ$13,6,FALSE),F1019)</f>
        <v>5.9405263157894746E-2</v>
      </c>
      <c r="G1020" t="str">
        <f>IFERROR(VLOOKUP(B1020,'Pre-Summary'!$AE$6:$AJ$85,3,FALSE),"")</f>
        <v/>
      </c>
      <c r="H1020" t="str">
        <f>IFERROR(VLOOKUP(B1020,'Pre-Summary'!$AE$6:$AJ$85,4,FALSE),"")</f>
        <v/>
      </c>
      <c r="I1020" t="str">
        <f>IFERROR(VLOOKUP(B1020,'Pre-Summary'!$AE$6:$AJ$85,5,FALSE),"")</f>
        <v/>
      </c>
      <c r="J1020" s="45" t="str">
        <f>IFERROR(VLOOKUP(B1020,'Pre-Summary'!$AE$6:$AJ$85,6, FALSE),"")</f>
        <v/>
      </c>
      <c r="K1020" s="45" t="str">
        <f>IFERROR(VLOOKUP(B1020,'Pre-Summary'!$DE$6:$DG$61,3,FALSE),"")</f>
        <v/>
      </c>
      <c r="L1020" s="45" t="str">
        <f>IFERROR(VLOOKUP(B1020,'Pre-Summary'!$CU$6:$CW$36,3,FALSE),"")</f>
        <v/>
      </c>
      <c r="M1020" s="45" t="str">
        <f>IFERROR(VLOOKUP(B1020,'Pre-Summary'!$BW$6:$BY$58,2,FALSE),"")</f>
        <v/>
      </c>
      <c r="N1020" s="45" t="str">
        <f>IFERROR(VLOOKUP(B1020,'Pre-Summary'!$CD$6:$CF$64,2,FALSE),"")</f>
        <v/>
      </c>
      <c r="O1020" s="99">
        <f>IFERROR(VLOOKUP(B1020,'Pre-Summary'!$BO$6:$BQ$48,3, FALSE),O1019)</f>
        <v>1</v>
      </c>
      <c r="P1020" s="99">
        <f>IFERROR(VLOOKUP(B1020,'Pre-Summary'!$BS$6:$BU$35,3,FALSE),P1019)</f>
        <v>0.25</v>
      </c>
      <c r="Q1020" s="54">
        <f t="shared" si="45"/>
        <v>4</v>
      </c>
      <c r="R1020" s="53">
        <f>IFERROR(VLOOKUP(B1020,'Pre-Summary'!$BG$6:$BM$44,7,FALSE),R1021)</f>
        <v>4.0839377512219534E-2</v>
      </c>
      <c r="S1020" s="53">
        <f>IFERROR(VLOOKUP(B1020,'Pre-Summary'!$BG$6:$BM$44,6,FALSE),S1021)</f>
        <v>3.561480302426305E-2</v>
      </c>
      <c r="T1020" s="45" t="str">
        <f>IFERROR(VLOOKUP(B1020,'Pre-Summary'!$Y$6:$AC$83, 3,FALSE),"")</f>
        <v/>
      </c>
      <c r="U1020" s="45" t="str">
        <f>IFERROR(VLOOKUP(B1020,'Pre-Summary'!$Y$6:$AC$83, 4,FALSE),"")</f>
        <v/>
      </c>
      <c r="V1020" t="str">
        <f>IFERROR(VLOOKUP(B1020,'Pre-Summary'!$Y$6:$AC$83, 5,FALSE),"")</f>
        <v/>
      </c>
      <c r="W1020" s="45" t="str">
        <f>IFERROR(VLOOKUP(B1020,'Pre-Summary'!$Y$6:$AD$83,6,FALSE),"")</f>
        <v/>
      </c>
      <c r="X1020" t="str">
        <f>IFERROR(VLOOKUP('Pre-Summary'!$DB$6:$DD$63,3,FALSE),"")</f>
        <v/>
      </c>
      <c r="Y1020" t="str">
        <f>IFERROR(VLOOKUP(B1020,'Pre-Summary'!$CR$6:$CT$36,3,FALSE),"")</f>
        <v/>
      </c>
      <c r="Z1020" s="45" t="str">
        <f>IFERROR(VLOOKUP(B1020,'Pre-Summary'!$BZ$6:$CB$63,2,FALSE),"")</f>
        <v/>
      </c>
      <c r="AA1020" s="45" t="str">
        <f>IFERROR(VLOOKUP(B1020,'Pre-Summary'!$CG$6:$CI$70,2,FALSE),"")</f>
        <v/>
      </c>
      <c r="AB1020" s="99">
        <f>IFERROR(VLOOKUP(B1020,'Pre-Summary'!$A$6:$P$178,9,FALSE),AB1021)</f>
        <v>0.41343584148043017</v>
      </c>
      <c r="AC1020" s="10">
        <f>IFERROR(VLOOKUP(Summary!B1020,'Pre-Summary'!$A$6:$P$184,5, FALSE)/100,AC1021)</f>
        <v>0.86886866666666673</v>
      </c>
      <c r="AD1020" s="10">
        <f>IFERROR(VLOOKUP(Summary!B1020,'Pre-Summary'!$A$6:$P$184,3, FALSE)/100,AD1021)</f>
        <v>4.5391000000000001E-2</v>
      </c>
      <c r="AE1020" s="10">
        <f>IFERROR(VLOOKUP(Summary!B1020,'Pre-Summary'!$A$6:$P$184,7, FALSE)/100,AE1021)</f>
        <v>8.5740333333333321E-2</v>
      </c>
      <c r="AF1020" s="99">
        <f t="shared" si="46"/>
        <v>1.8766266280638207E-2</v>
      </c>
      <c r="AG1020" s="99">
        <f t="shared" si="47"/>
        <v>3.544812686047924E-2</v>
      </c>
      <c r="AH1020" s="10" t="str">
        <f>IFERROR(VLOOKUP(B1020,'Pre-Summary'!$AZ$6:$BE$65,3,FALSE),"")</f>
        <v/>
      </c>
      <c r="AI1020" s="10" t="str">
        <f>IFERROR(VLOOKUP(B1020,'Pre-Summary'!$AZ$6:$BE$65,5,FALSE),"")</f>
        <v/>
      </c>
      <c r="AJ1020" s="10" t="str">
        <f>IFERROR(VLOOKUP(B1020,'Pre-Summary'!$AZ$6:$BE$65,4,FALSE),"")</f>
        <v/>
      </c>
      <c r="AK1020" s="10" t="str">
        <f>IFERROR(VLOOKUP(B1020,'Pre-Summary'!$AZ$6:$BE$65,6,FALSE),"")</f>
        <v/>
      </c>
      <c r="AL1020" s="10" t="str">
        <f>IFERROR(VLOOKUP(B1020,'Pre-Summary'!$BG$6:$BL$44,3,FALSE),"")</f>
        <v/>
      </c>
      <c r="AM1020" s="10" t="str">
        <f>IFERROR(VLOOKUP(B1020,'Pre-Summary'!$BG$6:$BL$44,4,FALSE),"")</f>
        <v/>
      </c>
    </row>
    <row r="1021" spans="2:39" ht="15" customHeight="1" x14ac:dyDescent="0.3">
      <c r="B1021">
        <v>101.8</v>
      </c>
      <c r="C1021" t="str">
        <f>IFERROR(VLOOKUP(B1021,'Pre-Summary'!$DI$6:$DM$23,4,FALSE),"")</f>
        <v/>
      </c>
      <c r="D1021" s="10" t="str">
        <f>IFERROR(VLOOKUP(B1021,'Pre-Summary'!$AT$6:$AX$14,5,FALSE),D1020)</f>
        <v>DSMZ v3: dropped yeast, casitone, and bicarb out of DSMZ 120</v>
      </c>
      <c r="E1021" s="10" t="str">
        <f>IFERROR(VLOOKUP(B1021,'Pre-Summary'!$AT$6:$AX$15,4,FALSE),"")</f>
        <v/>
      </c>
      <c r="F1021">
        <f>IFERROR(VLOOKUP(B1021,'Pre-Summary'!$AL$6:$AQ$13,6,FALSE),F1020)</f>
        <v>5.9405263157894746E-2</v>
      </c>
      <c r="G1021" t="str">
        <f>IFERROR(VLOOKUP(B1021,'Pre-Summary'!$AE$6:$AJ$85,3,FALSE),"")</f>
        <v/>
      </c>
      <c r="H1021" t="str">
        <f>IFERROR(VLOOKUP(B1021,'Pre-Summary'!$AE$6:$AJ$85,4,FALSE),"")</f>
        <v/>
      </c>
      <c r="I1021" t="str">
        <f>IFERROR(VLOOKUP(B1021,'Pre-Summary'!$AE$6:$AJ$85,5,FALSE),"")</f>
        <v/>
      </c>
      <c r="J1021" s="45" t="str">
        <f>IFERROR(VLOOKUP(B1021,'Pre-Summary'!$AE$6:$AJ$85,6, FALSE),"")</f>
        <v/>
      </c>
      <c r="K1021" s="45" t="str">
        <f>IFERROR(VLOOKUP(B1021,'Pre-Summary'!$DE$6:$DG$61,3,FALSE),"")</f>
        <v/>
      </c>
      <c r="L1021" s="45" t="str">
        <f>IFERROR(VLOOKUP(B1021,'Pre-Summary'!$CU$6:$CW$36,3,FALSE),"")</f>
        <v/>
      </c>
      <c r="M1021" s="45" t="str">
        <f>IFERROR(VLOOKUP(B1021,'Pre-Summary'!$BW$6:$BY$58,2,FALSE),"")</f>
        <v/>
      </c>
      <c r="N1021" s="45" t="str">
        <f>IFERROR(VLOOKUP(B1021,'Pre-Summary'!$CD$6:$CF$64,2,FALSE),"")</f>
        <v/>
      </c>
      <c r="O1021" s="99">
        <f>IFERROR(VLOOKUP(B1021,'Pre-Summary'!$BO$6:$BQ$48,3, FALSE),O1020)</f>
        <v>1</v>
      </c>
      <c r="P1021" s="99">
        <f>IFERROR(VLOOKUP(B1021,'Pre-Summary'!$BS$6:$BU$35,3,FALSE),P1020)</f>
        <v>0.25</v>
      </c>
      <c r="Q1021" s="54">
        <f t="shared" si="45"/>
        <v>4</v>
      </c>
      <c r="R1021" s="53">
        <f>IFERROR(VLOOKUP(B1021,'Pre-Summary'!$BG$6:$BM$44,7,FALSE),R1022)</f>
        <v>4.0839377512219534E-2</v>
      </c>
      <c r="S1021" s="53">
        <f>IFERROR(VLOOKUP(B1021,'Pre-Summary'!$BG$6:$BM$44,6,FALSE),S1022)</f>
        <v>3.561480302426305E-2</v>
      </c>
      <c r="T1021" s="45" t="str">
        <f>IFERROR(VLOOKUP(B1021,'Pre-Summary'!$Y$6:$AC$83, 3,FALSE),"")</f>
        <v/>
      </c>
      <c r="U1021" s="45" t="str">
        <f>IFERROR(VLOOKUP(B1021,'Pre-Summary'!$Y$6:$AC$83, 4,FALSE),"")</f>
        <v/>
      </c>
      <c r="V1021" t="str">
        <f>IFERROR(VLOOKUP(B1021,'Pre-Summary'!$Y$6:$AC$83, 5,FALSE),"")</f>
        <v/>
      </c>
      <c r="W1021" s="45" t="str">
        <f>IFERROR(VLOOKUP(B1021,'Pre-Summary'!$Y$6:$AD$83,6,FALSE),"")</f>
        <v/>
      </c>
      <c r="X1021" t="str">
        <f>IFERROR(VLOOKUP('Pre-Summary'!$DB$6:$DD$63,3,FALSE),"")</f>
        <v/>
      </c>
      <c r="Y1021" t="str">
        <f>IFERROR(VLOOKUP(B1021,'Pre-Summary'!$CR$6:$CT$36,3,FALSE),"")</f>
        <v/>
      </c>
      <c r="Z1021" s="45" t="str">
        <f>IFERROR(VLOOKUP(B1021,'Pre-Summary'!$BZ$6:$CB$63,2,FALSE),"")</f>
        <v/>
      </c>
      <c r="AA1021" s="45" t="str">
        <f>IFERROR(VLOOKUP(B1021,'Pre-Summary'!$CG$6:$CI$70,2,FALSE),"")</f>
        <v/>
      </c>
      <c r="AB1021" s="99">
        <f>IFERROR(VLOOKUP(B1021,'Pre-Summary'!$A$6:$P$178,9,FALSE),AB1022)</f>
        <v>0.41343584148043017</v>
      </c>
      <c r="AC1021" s="10">
        <f>IFERROR(VLOOKUP(Summary!B1021,'Pre-Summary'!$A$6:$P$184,5, FALSE)/100,AC1022)</f>
        <v>0.86886866666666673</v>
      </c>
      <c r="AD1021" s="10">
        <f>IFERROR(VLOOKUP(Summary!B1021,'Pre-Summary'!$A$6:$P$184,3, FALSE)/100,AD1022)</f>
        <v>4.5391000000000001E-2</v>
      </c>
      <c r="AE1021" s="10">
        <f>IFERROR(VLOOKUP(Summary!B1021,'Pre-Summary'!$A$6:$P$184,7, FALSE)/100,AE1022)</f>
        <v>8.5740333333333321E-2</v>
      </c>
      <c r="AF1021" s="99">
        <f t="shared" si="46"/>
        <v>1.8766266280638207E-2</v>
      </c>
      <c r="AG1021" s="99">
        <f t="shared" si="47"/>
        <v>3.544812686047924E-2</v>
      </c>
      <c r="AH1021" s="10" t="str">
        <f>IFERROR(VLOOKUP(B1021,'Pre-Summary'!$AZ$6:$BE$65,3,FALSE),"")</f>
        <v/>
      </c>
      <c r="AI1021" s="10" t="str">
        <f>IFERROR(VLOOKUP(B1021,'Pre-Summary'!$AZ$6:$BE$65,5,FALSE),"")</f>
        <v/>
      </c>
      <c r="AJ1021" s="10" t="str">
        <f>IFERROR(VLOOKUP(B1021,'Pre-Summary'!$AZ$6:$BE$65,4,FALSE),"")</f>
        <v/>
      </c>
      <c r="AK1021" s="10" t="str">
        <f>IFERROR(VLOOKUP(B1021,'Pre-Summary'!$AZ$6:$BE$65,6,FALSE),"")</f>
        <v/>
      </c>
      <c r="AL1021" s="10" t="str">
        <f>IFERROR(VLOOKUP(B1021,'Pre-Summary'!$BG$6:$BL$44,3,FALSE),"")</f>
        <v/>
      </c>
      <c r="AM1021" s="10" t="str">
        <f>IFERROR(VLOOKUP(B1021,'Pre-Summary'!$BG$6:$BL$44,4,FALSE),"")</f>
        <v/>
      </c>
    </row>
    <row r="1022" spans="2:39" ht="15" customHeight="1" x14ac:dyDescent="0.3">
      <c r="B1022">
        <v>101.9</v>
      </c>
      <c r="C1022" t="str">
        <f>IFERROR(VLOOKUP(B1022,'Pre-Summary'!$DI$6:$DM$23,4,FALSE),"")</f>
        <v/>
      </c>
      <c r="D1022" s="10" t="str">
        <f>IFERROR(VLOOKUP(B1022,'Pre-Summary'!$AT$6:$AX$14,5,FALSE),D1021)</f>
        <v>DSMZ v3: dropped yeast, casitone, and bicarb out of DSMZ 120</v>
      </c>
      <c r="E1022" s="10" t="str">
        <f>IFERROR(VLOOKUP(B1022,'Pre-Summary'!$AT$6:$AX$15,4,FALSE),"")</f>
        <v/>
      </c>
      <c r="F1022">
        <f>IFERROR(VLOOKUP(B1022,'Pre-Summary'!$AL$6:$AQ$13,6,FALSE),F1021)</f>
        <v>5.9405263157894746E-2</v>
      </c>
      <c r="G1022" t="str">
        <f>IFERROR(VLOOKUP(B1022,'Pre-Summary'!$AE$6:$AJ$85,3,FALSE),"")</f>
        <v/>
      </c>
      <c r="H1022" t="str">
        <f>IFERROR(VLOOKUP(B1022,'Pre-Summary'!$AE$6:$AJ$85,4,FALSE),"")</f>
        <v/>
      </c>
      <c r="I1022" t="str">
        <f>IFERROR(VLOOKUP(B1022,'Pre-Summary'!$AE$6:$AJ$85,5,FALSE),"")</f>
        <v/>
      </c>
      <c r="J1022" s="45" t="str">
        <f>IFERROR(VLOOKUP(B1022,'Pre-Summary'!$AE$6:$AJ$85,6, FALSE),"")</f>
        <v/>
      </c>
      <c r="K1022" s="45" t="str">
        <f>IFERROR(VLOOKUP(B1022,'Pre-Summary'!$DE$6:$DG$61,3,FALSE),"")</f>
        <v/>
      </c>
      <c r="L1022" s="45" t="str">
        <f>IFERROR(VLOOKUP(B1022,'Pre-Summary'!$CU$6:$CW$36,3,FALSE),"")</f>
        <v/>
      </c>
      <c r="M1022" s="45" t="str">
        <f>IFERROR(VLOOKUP(B1022,'Pre-Summary'!$BW$6:$BY$58,2,FALSE),"")</f>
        <v/>
      </c>
      <c r="N1022" s="45" t="str">
        <f>IFERROR(VLOOKUP(B1022,'Pre-Summary'!$CD$6:$CF$64,2,FALSE),"")</f>
        <v/>
      </c>
      <c r="O1022" s="99">
        <f>IFERROR(VLOOKUP(B1022,'Pre-Summary'!$BO$6:$BQ$48,3, FALSE),O1021)</f>
        <v>1</v>
      </c>
      <c r="P1022" s="99">
        <f>IFERROR(VLOOKUP(B1022,'Pre-Summary'!$BS$6:$BU$35,3,FALSE),P1021)</f>
        <v>0.25</v>
      </c>
      <c r="Q1022" s="54">
        <f t="shared" si="45"/>
        <v>4</v>
      </c>
      <c r="R1022" s="53">
        <f>IFERROR(VLOOKUP(B1022,'Pre-Summary'!$BG$6:$BM$44,7,FALSE),R1023)</f>
        <v>4.0839377512219534E-2</v>
      </c>
      <c r="S1022" s="53">
        <f>IFERROR(VLOOKUP(B1022,'Pre-Summary'!$BG$6:$BM$44,6,FALSE),S1023)</f>
        <v>3.561480302426305E-2</v>
      </c>
      <c r="T1022" s="45" t="str">
        <f>IFERROR(VLOOKUP(B1022,'Pre-Summary'!$Y$6:$AC$83, 3,FALSE),"")</f>
        <v/>
      </c>
      <c r="U1022" s="45" t="str">
        <f>IFERROR(VLOOKUP(B1022,'Pre-Summary'!$Y$6:$AC$83, 4,FALSE),"")</f>
        <v/>
      </c>
      <c r="V1022" t="str">
        <f>IFERROR(VLOOKUP(B1022,'Pre-Summary'!$Y$6:$AC$83, 5,FALSE),"")</f>
        <v/>
      </c>
      <c r="W1022" s="45" t="str">
        <f>IFERROR(VLOOKUP(B1022,'Pre-Summary'!$Y$6:$AD$83,6,FALSE),"")</f>
        <v/>
      </c>
      <c r="X1022" t="str">
        <f>IFERROR(VLOOKUP('Pre-Summary'!$DB$6:$DD$63,3,FALSE),"")</f>
        <v/>
      </c>
      <c r="Y1022" t="str">
        <f>IFERROR(VLOOKUP(B1022,'Pre-Summary'!$CR$6:$CT$36,3,FALSE),"")</f>
        <v/>
      </c>
      <c r="Z1022" s="45" t="str">
        <f>IFERROR(VLOOKUP(B1022,'Pre-Summary'!$BZ$6:$CB$63,2,FALSE),"")</f>
        <v/>
      </c>
      <c r="AA1022" s="45" t="str">
        <f>IFERROR(VLOOKUP(B1022,'Pre-Summary'!$CG$6:$CI$70,2,FALSE),"")</f>
        <v/>
      </c>
      <c r="AB1022" s="99">
        <f>IFERROR(VLOOKUP(B1022,'Pre-Summary'!$A$6:$P$178,9,FALSE),AB1023)</f>
        <v>0.41343584148043017</v>
      </c>
      <c r="AC1022" s="10">
        <f>IFERROR(VLOOKUP(Summary!B1022,'Pre-Summary'!$A$6:$P$184,5, FALSE)/100,AC1023)</f>
        <v>0.86886866666666673</v>
      </c>
      <c r="AD1022" s="10">
        <f>IFERROR(VLOOKUP(Summary!B1022,'Pre-Summary'!$A$6:$P$184,3, FALSE)/100,AD1023)</f>
        <v>4.5391000000000001E-2</v>
      </c>
      <c r="AE1022" s="10">
        <f>IFERROR(VLOOKUP(Summary!B1022,'Pre-Summary'!$A$6:$P$184,7, FALSE)/100,AE1023)</f>
        <v>8.5740333333333321E-2</v>
      </c>
      <c r="AF1022" s="99">
        <f t="shared" si="46"/>
        <v>1.8766266280638207E-2</v>
      </c>
      <c r="AG1022" s="99">
        <f t="shared" si="47"/>
        <v>3.544812686047924E-2</v>
      </c>
      <c r="AH1022" s="10" t="str">
        <f>IFERROR(VLOOKUP(B1022,'Pre-Summary'!$AZ$6:$BE$65,3,FALSE),"")</f>
        <v/>
      </c>
      <c r="AI1022" s="10" t="str">
        <f>IFERROR(VLOOKUP(B1022,'Pre-Summary'!$AZ$6:$BE$65,5,FALSE),"")</f>
        <v/>
      </c>
      <c r="AJ1022" s="10" t="str">
        <f>IFERROR(VLOOKUP(B1022,'Pre-Summary'!$AZ$6:$BE$65,4,FALSE),"")</f>
        <v/>
      </c>
      <c r="AK1022" s="10" t="str">
        <f>IFERROR(VLOOKUP(B1022,'Pre-Summary'!$AZ$6:$BE$65,6,FALSE),"")</f>
        <v/>
      </c>
      <c r="AL1022" s="10" t="str">
        <f>IFERROR(VLOOKUP(B1022,'Pre-Summary'!$BG$6:$BL$44,3,FALSE),"")</f>
        <v/>
      </c>
      <c r="AM1022" s="10" t="str">
        <f>IFERROR(VLOOKUP(B1022,'Pre-Summary'!$BG$6:$BL$44,4,FALSE),"")</f>
        <v/>
      </c>
    </row>
    <row r="1023" spans="2:39" ht="15" customHeight="1" x14ac:dyDescent="0.3">
      <c r="B1023">
        <v>102</v>
      </c>
      <c r="C1023" t="str">
        <f>IFERROR(VLOOKUP(B1023,'Pre-Summary'!$DI$6:$DM$23,4,FALSE),"")</f>
        <v/>
      </c>
      <c r="D1023" s="10" t="str">
        <f>IFERROR(VLOOKUP(B1023,'Pre-Summary'!$AT$6:$AX$14,5,FALSE),D1022)</f>
        <v>DSMZ v3: dropped yeast, casitone, and bicarb out of DSMZ 120</v>
      </c>
      <c r="E1023" s="10" t="str">
        <f>IFERROR(VLOOKUP(B1023,'Pre-Summary'!$AT$6:$AX$15,4,FALSE),"")</f>
        <v/>
      </c>
      <c r="F1023">
        <f>IFERROR(VLOOKUP(B1023,'Pre-Summary'!$AL$6:$AQ$13,6,FALSE),F1022)</f>
        <v>5.9405263157894746E-2</v>
      </c>
      <c r="G1023" t="str">
        <f>IFERROR(VLOOKUP(B1023,'Pre-Summary'!$AE$6:$AJ$85,3,FALSE),"")</f>
        <v/>
      </c>
      <c r="H1023" t="str">
        <f>IFERROR(VLOOKUP(B1023,'Pre-Summary'!$AE$6:$AJ$85,4,FALSE),"")</f>
        <v/>
      </c>
      <c r="I1023" t="str">
        <f>IFERROR(VLOOKUP(B1023,'Pre-Summary'!$AE$6:$AJ$85,5,FALSE),"")</f>
        <v/>
      </c>
      <c r="J1023" s="45" t="str">
        <f>IFERROR(VLOOKUP(B1023,'Pre-Summary'!$AE$6:$AJ$85,6, FALSE),"")</f>
        <v/>
      </c>
      <c r="K1023" s="45" t="str">
        <f>IFERROR(VLOOKUP(B1023,'Pre-Summary'!$DE$6:$DG$61,3,FALSE),"")</f>
        <v/>
      </c>
      <c r="L1023" s="45" t="str">
        <f>IFERROR(VLOOKUP(B1023,'Pre-Summary'!$CU$6:$CW$36,3,FALSE),"")</f>
        <v/>
      </c>
      <c r="M1023" s="45" t="str">
        <f>IFERROR(VLOOKUP(B1023,'Pre-Summary'!$BW$6:$BY$58,2,FALSE),"")</f>
        <v/>
      </c>
      <c r="N1023" s="45" t="str">
        <f>IFERROR(VLOOKUP(B1023,'Pre-Summary'!$CD$6:$CF$64,2,FALSE),"")</f>
        <v/>
      </c>
      <c r="O1023" s="99">
        <f>IFERROR(VLOOKUP(B1023,'Pre-Summary'!$BO$6:$BQ$48,3, FALSE),O1022)</f>
        <v>1</v>
      </c>
      <c r="P1023" s="99">
        <f>IFERROR(VLOOKUP(B1023,'Pre-Summary'!$BS$6:$BU$35,3,FALSE),P1022)</f>
        <v>0.25</v>
      </c>
      <c r="Q1023" s="54">
        <f t="shared" si="45"/>
        <v>4</v>
      </c>
      <c r="R1023" s="53">
        <f>IFERROR(VLOOKUP(B1023,'Pre-Summary'!$BG$6:$BM$44,7,FALSE),R1024)</f>
        <v>4.0839377512219534E-2</v>
      </c>
      <c r="S1023" s="53">
        <f>IFERROR(VLOOKUP(B1023,'Pre-Summary'!$BG$6:$BM$44,6,FALSE),S1024)</f>
        <v>3.561480302426305E-2</v>
      </c>
      <c r="T1023" s="45" t="str">
        <f>IFERROR(VLOOKUP(B1023,'Pre-Summary'!$Y$6:$AC$83, 3,FALSE),"")</f>
        <v/>
      </c>
      <c r="U1023" s="45" t="str">
        <f>IFERROR(VLOOKUP(B1023,'Pre-Summary'!$Y$6:$AC$83, 4,FALSE),"")</f>
        <v/>
      </c>
      <c r="V1023" t="str">
        <f>IFERROR(VLOOKUP(B1023,'Pre-Summary'!$Y$6:$AC$83, 5,FALSE),"")</f>
        <v/>
      </c>
      <c r="W1023" s="45" t="str">
        <f>IFERROR(VLOOKUP(B1023,'Pre-Summary'!$Y$6:$AD$83,6,FALSE),"")</f>
        <v/>
      </c>
      <c r="X1023" t="str">
        <f>IFERROR(VLOOKUP('Pre-Summary'!$DB$6:$DD$63,3,FALSE),"")</f>
        <v/>
      </c>
      <c r="Y1023" t="str">
        <f>IFERROR(VLOOKUP(B1023,'Pre-Summary'!$CR$6:$CT$36,3,FALSE),"")</f>
        <v/>
      </c>
      <c r="Z1023" s="45" t="str">
        <f>IFERROR(VLOOKUP(B1023,'Pre-Summary'!$BZ$6:$CB$63,2,FALSE),"")</f>
        <v/>
      </c>
      <c r="AA1023" s="45" t="str">
        <f>IFERROR(VLOOKUP(B1023,'Pre-Summary'!$CG$6:$CI$70,2,FALSE),"")</f>
        <v/>
      </c>
      <c r="AB1023" s="99">
        <f>IFERROR(VLOOKUP(B1023,'Pre-Summary'!$A$6:$P$178,9,FALSE),AB1024)</f>
        <v>0.41343584148043017</v>
      </c>
      <c r="AC1023" s="10">
        <f>IFERROR(VLOOKUP(Summary!B1023,'Pre-Summary'!$A$6:$P$184,5, FALSE)/100,AC1024)</f>
        <v>0.86886866666666673</v>
      </c>
      <c r="AD1023" s="10">
        <f>IFERROR(VLOOKUP(Summary!B1023,'Pre-Summary'!$A$6:$P$184,3, FALSE)/100,AD1024)</f>
        <v>4.5391000000000001E-2</v>
      </c>
      <c r="AE1023" s="10">
        <f>IFERROR(VLOOKUP(Summary!B1023,'Pre-Summary'!$A$6:$P$184,7, FALSE)/100,AE1024)</f>
        <v>8.5740333333333321E-2</v>
      </c>
      <c r="AF1023" s="99">
        <f t="shared" si="46"/>
        <v>1.8766266280638207E-2</v>
      </c>
      <c r="AG1023" s="99">
        <f t="shared" si="47"/>
        <v>3.544812686047924E-2</v>
      </c>
      <c r="AH1023" s="10" t="str">
        <f>IFERROR(VLOOKUP(B1023,'Pre-Summary'!$AZ$6:$BE$65,3,FALSE),"")</f>
        <v/>
      </c>
      <c r="AI1023" s="10" t="str">
        <f>IFERROR(VLOOKUP(B1023,'Pre-Summary'!$AZ$6:$BE$65,5,FALSE),"")</f>
        <v/>
      </c>
      <c r="AJ1023" s="10" t="str">
        <f>IFERROR(VLOOKUP(B1023,'Pre-Summary'!$AZ$6:$BE$65,4,FALSE),"")</f>
        <v/>
      </c>
      <c r="AK1023" s="10" t="str">
        <f>IFERROR(VLOOKUP(B1023,'Pre-Summary'!$AZ$6:$BE$65,6,FALSE),"")</f>
        <v/>
      </c>
      <c r="AL1023" s="10" t="str">
        <f>IFERROR(VLOOKUP(B1023,'Pre-Summary'!$BG$6:$BL$44,3,FALSE),"")</f>
        <v/>
      </c>
      <c r="AM1023" s="10" t="str">
        <f>IFERROR(VLOOKUP(B1023,'Pre-Summary'!$BG$6:$BL$44,4,FALSE),"")</f>
        <v/>
      </c>
    </row>
    <row r="1024" spans="2:39" ht="15" customHeight="1" x14ac:dyDescent="0.3">
      <c r="B1024">
        <v>102.1</v>
      </c>
      <c r="C1024" t="str">
        <f>IFERROR(VLOOKUP(B1024,'Pre-Summary'!$DI$6:$DM$23,4,FALSE),"")</f>
        <v/>
      </c>
      <c r="D1024" s="10" t="str">
        <f>IFERROR(VLOOKUP(B1024,'Pre-Summary'!$AT$6:$AX$14,5,FALSE),D1023)</f>
        <v>DSMZ v3: dropped yeast, casitone, and bicarb out of DSMZ 120</v>
      </c>
      <c r="E1024" s="10" t="str">
        <f>IFERROR(VLOOKUP(B1024,'Pre-Summary'!$AT$6:$AX$15,4,FALSE),"")</f>
        <v/>
      </c>
      <c r="F1024">
        <f>IFERROR(VLOOKUP(B1024,'Pre-Summary'!$AL$6:$AQ$13,6,FALSE),F1023)</f>
        <v>5.9405263157894746E-2</v>
      </c>
      <c r="G1024" t="str">
        <f>IFERROR(VLOOKUP(B1024,'Pre-Summary'!$AE$6:$AJ$85,3,FALSE),"")</f>
        <v/>
      </c>
      <c r="H1024" t="str">
        <f>IFERROR(VLOOKUP(B1024,'Pre-Summary'!$AE$6:$AJ$85,4,FALSE),"")</f>
        <v/>
      </c>
      <c r="I1024" t="str">
        <f>IFERROR(VLOOKUP(B1024,'Pre-Summary'!$AE$6:$AJ$85,5,FALSE),"")</f>
        <v/>
      </c>
      <c r="J1024" s="45" t="str">
        <f>IFERROR(VLOOKUP(B1024,'Pre-Summary'!$AE$6:$AJ$85,6, FALSE),"")</f>
        <v/>
      </c>
      <c r="K1024" s="45" t="str">
        <f>IFERROR(VLOOKUP(B1024,'Pre-Summary'!$DE$6:$DG$61,3,FALSE),"")</f>
        <v/>
      </c>
      <c r="L1024" s="45" t="str">
        <f>IFERROR(VLOOKUP(B1024,'Pre-Summary'!$CU$6:$CW$36,3,FALSE),"")</f>
        <v/>
      </c>
      <c r="M1024" s="45" t="str">
        <f>IFERROR(VLOOKUP(B1024,'Pre-Summary'!$BW$6:$BY$58,2,FALSE),"")</f>
        <v/>
      </c>
      <c r="N1024" s="45" t="str">
        <f>IFERROR(VLOOKUP(B1024,'Pre-Summary'!$CD$6:$CF$64,2,FALSE),"")</f>
        <v/>
      </c>
      <c r="O1024" s="99">
        <f>IFERROR(VLOOKUP(B1024,'Pre-Summary'!$BO$6:$BQ$48,3, FALSE),O1023)</f>
        <v>1</v>
      </c>
      <c r="P1024" s="99">
        <f>IFERROR(VLOOKUP(B1024,'Pre-Summary'!$BS$6:$BU$35,3,FALSE),P1023)</f>
        <v>0.25</v>
      </c>
      <c r="Q1024" s="54">
        <f t="shared" si="45"/>
        <v>4</v>
      </c>
      <c r="R1024" s="53">
        <f>IFERROR(VLOOKUP(B1024,'Pre-Summary'!$BG$6:$BM$44,7,FALSE),R1025)</f>
        <v>4.0839377512219534E-2</v>
      </c>
      <c r="S1024" s="53">
        <f>IFERROR(VLOOKUP(B1024,'Pre-Summary'!$BG$6:$BM$44,6,FALSE),S1025)</f>
        <v>3.561480302426305E-2</v>
      </c>
      <c r="T1024" s="45" t="str">
        <f>IFERROR(VLOOKUP(B1024,'Pre-Summary'!$Y$6:$AC$83, 3,FALSE),"")</f>
        <v/>
      </c>
      <c r="U1024" s="45" t="str">
        <f>IFERROR(VLOOKUP(B1024,'Pre-Summary'!$Y$6:$AC$83, 4,FALSE),"")</f>
        <v/>
      </c>
      <c r="V1024" t="str">
        <f>IFERROR(VLOOKUP(B1024,'Pre-Summary'!$Y$6:$AC$83, 5,FALSE),"")</f>
        <v/>
      </c>
      <c r="W1024" s="45" t="str">
        <f>IFERROR(VLOOKUP(B1024,'Pre-Summary'!$Y$6:$AD$83,6,FALSE),"")</f>
        <v/>
      </c>
      <c r="X1024" t="str">
        <f>IFERROR(VLOOKUP('Pre-Summary'!$DB$6:$DD$63,3,FALSE),"")</f>
        <v/>
      </c>
      <c r="Y1024" t="str">
        <f>IFERROR(VLOOKUP(B1024,'Pre-Summary'!$CR$6:$CT$36,3,FALSE),"")</f>
        <v/>
      </c>
      <c r="Z1024" s="45" t="str">
        <f>IFERROR(VLOOKUP(B1024,'Pre-Summary'!$BZ$6:$CB$63,2,FALSE),"")</f>
        <v/>
      </c>
      <c r="AA1024" s="45" t="str">
        <f>IFERROR(VLOOKUP(B1024,'Pre-Summary'!$CG$6:$CI$70,2,FALSE),"")</f>
        <v/>
      </c>
      <c r="AB1024" s="99">
        <f>IFERROR(VLOOKUP(B1024,'Pre-Summary'!$A$6:$P$178,9,FALSE),AB1025)</f>
        <v>0.41343584148043017</v>
      </c>
      <c r="AC1024" s="10">
        <f>IFERROR(VLOOKUP(Summary!B1024,'Pre-Summary'!$A$6:$P$184,5, FALSE)/100,AC1025)</f>
        <v>0.86886866666666673</v>
      </c>
      <c r="AD1024" s="10">
        <f>IFERROR(VLOOKUP(Summary!B1024,'Pre-Summary'!$A$6:$P$184,3, FALSE)/100,AD1025)</f>
        <v>4.5391000000000001E-2</v>
      </c>
      <c r="AE1024" s="10">
        <f>IFERROR(VLOOKUP(Summary!B1024,'Pre-Summary'!$A$6:$P$184,7, FALSE)/100,AE1025)</f>
        <v>8.5740333333333321E-2</v>
      </c>
      <c r="AF1024" s="99">
        <f t="shared" si="46"/>
        <v>1.8766266280638207E-2</v>
      </c>
      <c r="AG1024" s="99">
        <f t="shared" si="47"/>
        <v>3.544812686047924E-2</v>
      </c>
      <c r="AH1024" s="10" t="str">
        <f>IFERROR(VLOOKUP(B1024,'Pre-Summary'!$AZ$6:$BE$65,3,FALSE),"")</f>
        <v/>
      </c>
      <c r="AI1024" s="10" t="str">
        <f>IFERROR(VLOOKUP(B1024,'Pre-Summary'!$AZ$6:$BE$65,5,FALSE),"")</f>
        <v/>
      </c>
      <c r="AJ1024" s="10" t="str">
        <f>IFERROR(VLOOKUP(B1024,'Pre-Summary'!$AZ$6:$BE$65,4,FALSE),"")</f>
        <v/>
      </c>
      <c r="AK1024" s="10" t="str">
        <f>IFERROR(VLOOKUP(B1024,'Pre-Summary'!$AZ$6:$BE$65,6,FALSE),"")</f>
        <v/>
      </c>
      <c r="AL1024" s="10" t="str">
        <f>IFERROR(VLOOKUP(B1024,'Pre-Summary'!$BG$6:$BL$44,3,FALSE),"")</f>
        <v/>
      </c>
      <c r="AM1024" s="10" t="str">
        <f>IFERROR(VLOOKUP(B1024,'Pre-Summary'!$BG$6:$BL$44,4,FALSE),"")</f>
        <v/>
      </c>
    </row>
    <row r="1025" spans="2:39" ht="15" customHeight="1" x14ac:dyDescent="0.3">
      <c r="B1025">
        <v>102.2</v>
      </c>
      <c r="C1025" t="str">
        <f>IFERROR(VLOOKUP(B1025,'Pre-Summary'!$DI$6:$DM$23,4,FALSE),"")</f>
        <v/>
      </c>
      <c r="D1025" s="10" t="str">
        <f>IFERROR(VLOOKUP(B1025,'Pre-Summary'!$AT$6:$AX$14,5,FALSE),D1024)</f>
        <v>DSMZ v3: dropped yeast, casitone, and bicarb out of DSMZ 120</v>
      </c>
      <c r="E1025" s="10" t="str">
        <f>IFERROR(VLOOKUP(B1025,'Pre-Summary'!$AT$6:$AX$15,4,FALSE),"")</f>
        <v/>
      </c>
      <c r="F1025">
        <f>IFERROR(VLOOKUP(B1025,'Pre-Summary'!$AL$6:$AQ$13,6,FALSE),F1024)</f>
        <v>5.9405263157894746E-2</v>
      </c>
      <c r="G1025" t="str">
        <f>IFERROR(VLOOKUP(B1025,'Pre-Summary'!$AE$6:$AJ$85,3,FALSE),"")</f>
        <v/>
      </c>
      <c r="H1025" t="str">
        <f>IFERROR(VLOOKUP(B1025,'Pre-Summary'!$AE$6:$AJ$85,4,FALSE),"")</f>
        <v/>
      </c>
      <c r="I1025" t="str">
        <f>IFERROR(VLOOKUP(B1025,'Pre-Summary'!$AE$6:$AJ$85,5,FALSE),"")</f>
        <v/>
      </c>
      <c r="J1025" s="45" t="str">
        <f>IFERROR(VLOOKUP(B1025,'Pre-Summary'!$AE$6:$AJ$85,6, FALSE),"")</f>
        <v/>
      </c>
      <c r="K1025" s="45" t="str">
        <f>IFERROR(VLOOKUP(B1025,'Pre-Summary'!$DE$6:$DG$61,3,FALSE),"")</f>
        <v/>
      </c>
      <c r="L1025" s="45" t="str">
        <f>IFERROR(VLOOKUP(B1025,'Pre-Summary'!$CU$6:$CW$36,3,FALSE),"")</f>
        <v/>
      </c>
      <c r="M1025" s="45" t="str">
        <f>IFERROR(VLOOKUP(B1025,'Pre-Summary'!$BW$6:$BY$58,2,FALSE),"")</f>
        <v/>
      </c>
      <c r="N1025" s="45" t="str">
        <f>IFERROR(VLOOKUP(B1025,'Pre-Summary'!$CD$6:$CF$64,2,FALSE),"")</f>
        <v/>
      </c>
      <c r="O1025" s="99">
        <f>IFERROR(VLOOKUP(B1025,'Pre-Summary'!$BO$6:$BQ$48,3, FALSE),O1024)</f>
        <v>1</v>
      </c>
      <c r="P1025" s="99">
        <f>IFERROR(VLOOKUP(B1025,'Pre-Summary'!$BS$6:$BU$35,3,FALSE),P1024)</f>
        <v>0.25</v>
      </c>
      <c r="Q1025" s="54">
        <f t="shared" si="45"/>
        <v>4</v>
      </c>
      <c r="R1025" s="53">
        <f>IFERROR(VLOOKUP(B1025,'Pre-Summary'!$BG$6:$BM$44,7,FALSE),R1026)</f>
        <v>4.0839377512219534E-2</v>
      </c>
      <c r="S1025" s="53">
        <f>IFERROR(VLOOKUP(B1025,'Pre-Summary'!$BG$6:$BM$44,6,FALSE),S1026)</f>
        <v>3.561480302426305E-2</v>
      </c>
      <c r="T1025" s="45" t="str">
        <f>IFERROR(VLOOKUP(B1025,'Pre-Summary'!$Y$6:$AC$83, 3,FALSE),"")</f>
        <v/>
      </c>
      <c r="U1025" s="45" t="str">
        <f>IFERROR(VLOOKUP(B1025,'Pre-Summary'!$Y$6:$AC$83, 4,FALSE),"")</f>
        <v/>
      </c>
      <c r="V1025" t="str">
        <f>IFERROR(VLOOKUP(B1025,'Pre-Summary'!$Y$6:$AC$83, 5,FALSE),"")</f>
        <v/>
      </c>
      <c r="W1025" s="45" t="str">
        <f>IFERROR(VLOOKUP(B1025,'Pre-Summary'!$Y$6:$AD$83,6,FALSE),"")</f>
        <v/>
      </c>
      <c r="X1025" t="str">
        <f>IFERROR(VLOOKUP('Pre-Summary'!$DB$6:$DD$63,3,FALSE),"")</f>
        <v/>
      </c>
      <c r="Y1025" t="str">
        <f>IFERROR(VLOOKUP(B1025,'Pre-Summary'!$CR$6:$CT$36,3,FALSE),"")</f>
        <v/>
      </c>
      <c r="Z1025" s="45" t="str">
        <f>IFERROR(VLOOKUP(B1025,'Pre-Summary'!$BZ$6:$CB$63,2,FALSE),"")</f>
        <v/>
      </c>
      <c r="AA1025" s="45" t="str">
        <f>IFERROR(VLOOKUP(B1025,'Pre-Summary'!$CG$6:$CI$70,2,FALSE),"")</f>
        <v/>
      </c>
      <c r="AB1025" s="99">
        <f>IFERROR(VLOOKUP(B1025,'Pre-Summary'!$A$6:$P$178,9,FALSE),AB1026)</f>
        <v>0.41343584148043017</v>
      </c>
      <c r="AC1025" s="10">
        <f>IFERROR(VLOOKUP(Summary!B1025,'Pre-Summary'!$A$6:$P$184,5, FALSE)/100,AC1026)</f>
        <v>0.86886866666666673</v>
      </c>
      <c r="AD1025" s="10">
        <f>IFERROR(VLOOKUP(Summary!B1025,'Pre-Summary'!$A$6:$P$184,3, FALSE)/100,AD1026)</f>
        <v>4.5391000000000001E-2</v>
      </c>
      <c r="AE1025" s="10">
        <f>IFERROR(VLOOKUP(Summary!B1025,'Pre-Summary'!$A$6:$P$184,7, FALSE)/100,AE1026)</f>
        <v>8.5740333333333321E-2</v>
      </c>
      <c r="AF1025" s="99">
        <f t="shared" si="46"/>
        <v>1.8766266280638207E-2</v>
      </c>
      <c r="AG1025" s="99">
        <f t="shared" si="47"/>
        <v>3.544812686047924E-2</v>
      </c>
      <c r="AH1025" s="10" t="str">
        <f>IFERROR(VLOOKUP(B1025,'Pre-Summary'!$AZ$6:$BE$65,3,FALSE),"")</f>
        <v/>
      </c>
      <c r="AI1025" s="10" t="str">
        <f>IFERROR(VLOOKUP(B1025,'Pre-Summary'!$AZ$6:$BE$65,5,FALSE),"")</f>
        <v/>
      </c>
      <c r="AJ1025" s="10" t="str">
        <f>IFERROR(VLOOKUP(B1025,'Pre-Summary'!$AZ$6:$BE$65,4,FALSE),"")</f>
        <v/>
      </c>
      <c r="AK1025" s="10" t="str">
        <f>IFERROR(VLOOKUP(B1025,'Pre-Summary'!$AZ$6:$BE$65,6,FALSE),"")</f>
        <v/>
      </c>
      <c r="AL1025" s="10" t="str">
        <f>IFERROR(VLOOKUP(B1025,'Pre-Summary'!$BG$6:$BL$44,3,FALSE),"")</f>
        <v/>
      </c>
      <c r="AM1025" s="10" t="str">
        <f>IFERROR(VLOOKUP(B1025,'Pre-Summary'!$BG$6:$BL$44,4,FALSE),"")</f>
        <v/>
      </c>
    </row>
    <row r="1026" spans="2:39" ht="15" customHeight="1" x14ac:dyDescent="0.3">
      <c r="B1026">
        <v>102.3</v>
      </c>
      <c r="C1026" t="str">
        <f>IFERROR(VLOOKUP(B1026,'Pre-Summary'!$DI$6:$DM$23,4,FALSE),"")</f>
        <v/>
      </c>
      <c r="D1026" s="10" t="str">
        <f>IFERROR(VLOOKUP(B1026,'Pre-Summary'!$AT$6:$AX$14,5,FALSE),D1025)</f>
        <v>DSMZ v3: dropped yeast, casitone, and bicarb out of DSMZ 120</v>
      </c>
      <c r="E1026" s="10" t="str">
        <f>IFERROR(VLOOKUP(B1026,'Pre-Summary'!$AT$6:$AX$15,4,FALSE),"")</f>
        <v/>
      </c>
      <c r="F1026">
        <f>IFERROR(VLOOKUP(B1026,'Pre-Summary'!$AL$6:$AQ$13,6,FALSE),F1025)</f>
        <v>5.9405263157894746E-2</v>
      </c>
      <c r="G1026" t="str">
        <f>IFERROR(VLOOKUP(B1026,'Pre-Summary'!$AE$6:$AJ$85,3,FALSE),"")</f>
        <v/>
      </c>
      <c r="H1026" t="str">
        <f>IFERROR(VLOOKUP(B1026,'Pre-Summary'!$AE$6:$AJ$85,4,FALSE),"")</f>
        <v/>
      </c>
      <c r="I1026" t="str">
        <f>IFERROR(VLOOKUP(B1026,'Pre-Summary'!$AE$6:$AJ$85,5,FALSE),"")</f>
        <v/>
      </c>
      <c r="J1026" s="45" t="str">
        <f>IFERROR(VLOOKUP(B1026,'Pre-Summary'!$AE$6:$AJ$85,6, FALSE),"")</f>
        <v/>
      </c>
      <c r="K1026" s="45" t="str">
        <f>IFERROR(VLOOKUP(B1026,'Pre-Summary'!$DE$6:$DG$61,3,FALSE),"")</f>
        <v/>
      </c>
      <c r="L1026" s="45" t="str">
        <f>IFERROR(VLOOKUP(B1026,'Pre-Summary'!$CU$6:$CW$36,3,FALSE),"")</f>
        <v/>
      </c>
      <c r="M1026" s="45" t="str">
        <f>IFERROR(VLOOKUP(B1026,'Pre-Summary'!$BW$6:$BY$58,2,FALSE),"")</f>
        <v/>
      </c>
      <c r="N1026" s="45" t="str">
        <f>IFERROR(VLOOKUP(B1026,'Pre-Summary'!$CD$6:$CF$64,2,FALSE),"")</f>
        <v/>
      </c>
      <c r="O1026" s="99">
        <f>IFERROR(VLOOKUP(B1026,'Pre-Summary'!$BO$6:$BQ$48,3, FALSE),O1025)</f>
        <v>1</v>
      </c>
      <c r="P1026" s="99">
        <f>IFERROR(VLOOKUP(B1026,'Pre-Summary'!$BS$6:$BU$35,3,FALSE),P1025)</f>
        <v>0.25</v>
      </c>
      <c r="Q1026" s="54">
        <f t="shared" si="45"/>
        <v>4</v>
      </c>
      <c r="R1026" s="53">
        <f>IFERROR(VLOOKUP(B1026,'Pre-Summary'!$BG$6:$BM$44,7,FALSE),R1027)</f>
        <v>4.0839377512219534E-2</v>
      </c>
      <c r="S1026" s="53">
        <f>IFERROR(VLOOKUP(B1026,'Pre-Summary'!$BG$6:$BM$44,6,FALSE),S1027)</f>
        <v>3.561480302426305E-2</v>
      </c>
      <c r="T1026" s="45" t="str">
        <f>IFERROR(VLOOKUP(B1026,'Pre-Summary'!$Y$6:$AC$83, 3,FALSE),"")</f>
        <v/>
      </c>
      <c r="U1026" s="45" t="str">
        <f>IFERROR(VLOOKUP(B1026,'Pre-Summary'!$Y$6:$AC$83, 4,FALSE),"")</f>
        <v/>
      </c>
      <c r="V1026" t="str">
        <f>IFERROR(VLOOKUP(B1026,'Pre-Summary'!$Y$6:$AC$83, 5,FALSE),"")</f>
        <v/>
      </c>
      <c r="W1026" s="45" t="str">
        <f>IFERROR(VLOOKUP(B1026,'Pre-Summary'!$Y$6:$AD$83,6,FALSE),"")</f>
        <v/>
      </c>
      <c r="X1026" t="str">
        <f>IFERROR(VLOOKUP('Pre-Summary'!$DB$6:$DD$63,3,FALSE),"")</f>
        <v/>
      </c>
      <c r="Y1026" t="str">
        <f>IFERROR(VLOOKUP(B1026,'Pre-Summary'!$CR$6:$CT$36,3,FALSE),"")</f>
        <v/>
      </c>
      <c r="Z1026" s="45" t="str">
        <f>IFERROR(VLOOKUP(B1026,'Pre-Summary'!$BZ$6:$CB$63,2,FALSE),"")</f>
        <v/>
      </c>
      <c r="AA1026" s="45" t="str">
        <f>IFERROR(VLOOKUP(B1026,'Pre-Summary'!$CG$6:$CI$70,2,FALSE),"")</f>
        <v/>
      </c>
      <c r="AB1026" s="99">
        <f>IFERROR(VLOOKUP(B1026,'Pre-Summary'!$A$6:$P$178,9,FALSE),AB1027)</f>
        <v>0.41343584148043017</v>
      </c>
      <c r="AC1026" s="10">
        <f>IFERROR(VLOOKUP(Summary!B1026,'Pre-Summary'!$A$6:$P$184,5, FALSE)/100,AC1027)</f>
        <v>0.86886866666666673</v>
      </c>
      <c r="AD1026" s="10">
        <f>IFERROR(VLOOKUP(Summary!B1026,'Pre-Summary'!$A$6:$P$184,3, FALSE)/100,AD1027)</f>
        <v>4.5391000000000001E-2</v>
      </c>
      <c r="AE1026" s="10">
        <f>IFERROR(VLOOKUP(Summary!B1026,'Pre-Summary'!$A$6:$P$184,7, FALSE)/100,AE1027)</f>
        <v>8.5740333333333321E-2</v>
      </c>
      <c r="AF1026" s="99">
        <f t="shared" si="46"/>
        <v>1.8766266280638207E-2</v>
      </c>
      <c r="AG1026" s="99">
        <f t="shared" si="47"/>
        <v>3.544812686047924E-2</v>
      </c>
      <c r="AH1026" s="10" t="str">
        <f>IFERROR(VLOOKUP(B1026,'Pre-Summary'!$AZ$6:$BE$65,3,FALSE),"")</f>
        <v/>
      </c>
      <c r="AI1026" s="10" t="str">
        <f>IFERROR(VLOOKUP(B1026,'Pre-Summary'!$AZ$6:$BE$65,5,FALSE),"")</f>
        <v/>
      </c>
      <c r="AJ1026" s="10" t="str">
        <f>IFERROR(VLOOKUP(B1026,'Pre-Summary'!$AZ$6:$BE$65,4,FALSE),"")</f>
        <v/>
      </c>
      <c r="AK1026" s="10" t="str">
        <f>IFERROR(VLOOKUP(B1026,'Pre-Summary'!$AZ$6:$BE$65,6,FALSE),"")</f>
        <v/>
      </c>
      <c r="AL1026" s="10" t="str">
        <f>IFERROR(VLOOKUP(B1026,'Pre-Summary'!$BG$6:$BL$44,3,FALSE),"")</f>
        <v/>
      </c>
      <c r="AM1026" s="10" t="str">
        <f>IFERROR(VLOOKUP(B1026,'Pre-Summary'!$BG$6:$BL$44,4,FALSE),"")</f>
        <v/>
      </c>
    </row>
    <row r="1027" spans="2:39" ht="15" customHeight="1" x14ac:dyDescent="0.3">
      <c r="B1027">
        <v>102.4</v>
      </c>
      <c r="C1027" t="str">
        <f>IFERROR(VLOOKUP(B1027,'Pre-Summary'!$DI$6:$DM$23,4,FALSE),"")</f>
        <v/>
      </c>
      <c r="D1027" s="10" t="str">
        <f>IFERROR(VLOOKUP(B1027,'Pre-Summary'!$AT$6:$AX$14,5,FALSE),D1026)</f>
        <v>DSMZ v3: dropped yeast, casitone, and bicarb out of DSMZ 120</v>
      </c>
      <c r="E1027" s="10" t="str">
        <f>IFERROR(VLOOKUP(B1027,'Pre-Summary'!$AT$6:$AX$15,4,FALSE),"")</f>
        <v/>
      </c>
      <c r="F1027">
        <f>IFERROR(VLOOKUP(B1027,'Pre-Summary'!$AL$6:$AQ$13,6,FALSE),F1026)</f>
        <v>5.9405263157894746E-2</v>
      </c>
      <c r="G1027" t="str">
        <f>IFERROR(VLOOKUP(B1027,'Pre-Summary'!$AE$6:$AJ$85,3,FALSE),"")</f>
        <v/>
      </c>
      <c r="H1027" t="str">
        <f>IFERROR(VLOOKUP(B1027,'Pre-Summary'!$AE$6:$AJ$85,4,FALSE),"")</f>
        <v/>
      </c>
      <c r="I1027" t="str">
        <f>IFERROR(VLOOKUP(B1027,'Pre-Summary'!$AE$6:$AJ$85,5,FALSE),"")</f>
        <v/>
      </c>
      <c r="J1027" s="45" t="str">
        <f>IFERROR(VLOOKUP(B1027,'Pre-Summary'!$AE$6:$AJ$85,6, FALSE),"")</f>
        <v/>
      </c>
      <c r="K1027" s="45" t="str">
        <f>IFERROR(VLOOKUP(B1027,'Pre-Summary'!$DE$6:$DG$61,3,FALSE),"")</f>
        <v/>
      </c>
      <c r="L1027" s="45" t="str">
        <f>IFERROR(VLOOKUP(B1027,'Pre-Summary'!$CU$6:$CW$36,3,FALSE),"")</f>
        <v/>
      </c>
      <c r="M1027" s="45" t="str">
        <f>IFERROR(VLOOKUP(B1027,'Pre-Summary'!$BW$6:$BY$58,2,FALSE),"")</f>
        <v/>
      </c>
      <c r="N1027" s="45" t="str">
        <f>IFERROR(VLOOKUP(B1027,'Pre-Summary'!$CD$6:$CF$64,2,FALSE),"")</f>
        <v/>
      </c>
      <c r="O1027" s="99">
        <f>IFERROR(VLOOKUP(B1027,'Pre-Summary'!$BO$6:$BQ$48,3, FALSE),O1026)</f>
        <v>1</v>
      </c>
      <c r="P1027" s="99">
        <f>IFERROR(VLOOKUP(B1027,'Pre-Summary'!$BS$6:$BU$35,3,FALSE),P1026)</f>
        <v>0.25</v>
      </c>
      <c r="Q1027" s="54">
        <f t="shared" ref="Q1027:Q1090" si="48">O1027/P1027</f>
        <v>4</v>
      </c>
      <c r="R1027" s="53">
        <f>IFERROR(VLOOKUP(B1027,'Pre-Summary'!$BG$6:$BM$44,7,FALSE),R1028)</f>
        <v>4.0839377512219534E-2</v>
      </c>
      <c r="S1027" s="53">
        <f>IFERROR(VLOOKUP(B1027,'Pre-Summary'!$BG$6:$BM$44,6,FALSE),S1028)</f>
        <v>3.561480302426305E-2</v>
      </c>
      <c r="T1027" s="45" t="str">
        <f>IFERROR(VLOOKUP(B1027,'Pre-Summary'!$Y$6:$AC$83, 3,FALSE),"")</f>
        <v/>
      </c>
      <c r="U1027" s="45" t="str">
        <f>IFERROR(VLOOKUP(B1027,'Pre-Summary'!$Y$6:$AC$83, 4,FALSE),"")</f>
        <v/>
      </c>
      <c r="V1027" t="str">
        <f>IFERROR(VLOOKUP(B1027,'Pre-Summary'!$Y$6:$AC$83, 5,FALSE),"")</f>
        <v/>
      </c>
      <c r="W1027" s="45" t="str">
        <f>IFERROR(VLOOKUP(B1027,'Pre-Summary'!$Y$6:$AD$83,6,FALSE),"")</f>
        <v/>
      </c>
      <c r="X1027" t="str">
        <f>IFERROR(VLOOKUP('Pre-Summary'!$DB$6:$DD$63,3,FALSE),"")</f>
        <v/>
      </c>
      <c r="Y1027" t="str">
        <f>IFERROR(VLOOKUP(B1027,'Pre-Summary'!$CR$6:$CT$36,3,FALSE),"")</f>
        <v/>
      </c>
      <c r="Z1027" s="45" t="str">
        <f>IFERROR(VLOOKUP(B1027,'Pre-Summary'!$BZ$6:$CB$63,2,FALSE),"")</f>
        <v/>
      </c>
      <c r="AA1027" s="45" t="str">
        <f>IFERROR(VLOOKUP(B1027,'Pre-Summary'!$CG$6:$CI$70,2,FALSE),"")</f>
        <v/>
      </c>
      <c r="AB1027" s="99">
        <f>IFERROR(VLOOKUP(B1027,'Pre-Summary'!$A$6:$P$178,9,FALSE),AB1028)</f>
        <v>0.41343584148043017</v>
      </c>
      <c r="AC1027" s="10">
        <f>IFERROR(VLOOKUP(Summary!B1027,'Pre-Summary'!$A$6:$P$184,5, FALSE)/100,AC1028)</f>
        <v>0.86886866666666673</v>
      </c>
      <c r="AD1027" s="10">
        <f>IFERROR(VLOOKUP(Summary!B1027,'Pre-Summary'!$A$6:$P$184,3, FALSE)/100,AD1028)</f>
        <v>4.5391000000000001E-2</v>
      </c>
      <c r="AE1027" s="10">
        <f>IFERROR(VLOOKUP(Summary!B1027,'Pre-Summary'!$A$6:$P$184,7, FALSE)/100,AE1028)</f>
        <v>8.5740333333333321E-2</v>
      </c>
      <c r="AF1027" s="99">
        <f t="shared" ref="AF1027:AF1090" si="49">AD1027*AB1027</f>
        <v>1.8766266280638207E-2</v>
      </c>
      <c r="AG1027" s="99">
        <f t="shared" ref="AG1027:AG1090" si="50">AB1027*AE1027</f>
        <v>3.544812686047924E-2</v>
      </c>
      <c r="AH1027" s="10" t="str">
        <f>IFERROR(VLOOKUP(B1027,'Pre-Summary'!$AZ$6:$BE$65,3,FALSE),"")</f>
        <v/>
      </c>
      <c r="AI1027" s="10" t="str">
        <f>IFERROR(VLOOKUP(B1027,'Pre-Summary'!$AZ$6:$BE$65,5,FALSE),"")</f>
        <v/>
      </c>
      <c r="AJ1027" s="10" t="str">
        <f>IFERROR(VLOOKUP(B1027,'Pre-Summary'!$AZ$6:$BE$65,4,FALSE),"")</f>
        <v/>
      </c>
      <c r="AK1027" s="10" t="str">
        <f>IFERROR(VLOOKUP(B1027,'Pre-Summary'!$AZ$6:$BE$65,6,FALSE),"")</f>
        <v/>
      </c>
      <c r="AL1027" s="10" t="str">
        <f>IFERROR(VLOOKUP(B1027,'Pre-Summary'!$BG$6:$BL$44,3,FALSE),"")</f>
        <v/>
      </c>
      <c r="AM1027" s="10" t="str">
        <f>IFERROR(VLOOKUP(B1027,'Pre-Summary'!$BG$6:$BL$44,4,FALSE),"")</f>
        <v/>
      </c>
    </row>
    <row r="1028" spans="2:39" ht="15" customHeight="1" x14ac:dyDescent="0.3">
      <c r="B1028">
        <v>102.5</v>
      </c>
      <c r="C1028" t="str">
        <f>IFERROR(VLOOKUP(B1028,'Pre-Summary'!$DI$6:$DM$23,4,FALSE),"")</f>
        <v/>
      </c>
      <c r="D1028" s="10" t="str">
        <f>IFERROR(VLOOKUP(B1028,'Pre-Summary'!$AT$6:$AX$14,5,FALSE),D1027)</f>
        <v>DSMZ v3: dropped yeast, casitone, and bicarb out of DSMZ 120</v>
      </c>
      <c r="E1028" s="10" t="str">
        <f>IFERROR(VLOOKUP(B1028,'Pre-Summary'!$AT$6:$AX$15,4,FALSE),"")</f>
        <v/>
      </c>
      <c r="F1028">
        <f>IFERROR(VLOOKUP(B1028,'Pre-Summary'!$AL$6:$AQ$13,6,FALSE),F1027)</f>
        <v>5.9405263157894746E-2</v>
      </c>
      <c r="G1028" t="str">
        <f>IFERROR(VLOOKUP(B1028,'Pre-Summary'!$AE$6:$AJ$85,3,FALSE),"")</f>
        <v/>
      </c>
      <c r="H1028" t="str">
        <f>IFERROR(VLOOKUP(B1028,'Pre-Summary'!$AE$6:$AJ$85,4,FALSE),"")</f>
        <v/>
      </c>
      <c r="I1028" t="str">
        <f>IFERROR(VLOOKUP(B1028,'Pre-Summary'!$AE$6:$AJ$85,5,FALSE),"")</f>
        <v/>
      </c>
      <c r="J1028" s="45" t="str">
        <f>IFERROR(VLOOKUP(B1028,'Pre-Summary'!$AE$6:$AJ$85,6, FALSE),"")</f>
        <v/>
      </c>
      <c r="K1028" s="45" t="str">
        <f>IFERROR(VLOOKUP(B1028,'Pre-Summary'!$DE$6:$DG$61,3,FALSE),"")</f>
        <v/>
      </c>
      <c r="L1028" s="45" t="str">
        <f>IFERROR(VLOOKUP(B1028,'Pre-Summary'!$CU$6:$CW$36,3,FALSE),"")</f>
        <v/>
      </c>
      <c r="M1028" s="45" t="str">
        <f>IFERROR(VLOOKUP(B1028,'Pre-Summary'!$BW$6:$BY$58,2,FALSE),"")</f>
        <v/>
      </c>
      <c r="N1028" s="45" t="str">
        <f>IFERROR(VLOOKUP(B1028,'Pre-Summary'!$CD$6:$CF$64,2,FALSE),"")</f>
        <v/>
      </c>
      <c r="O1028" s="99">
        <f>IFERROR(VLOOKUP(B1028,'Pre-Summary'!$BO$6:$BQ$48,3, FALSE),O1027)</f>
        <v>1</v>
      </c>
      <c r="P1028" s="99">
        <f>IFERROR(VLOOKUP(B1028,'Pre-Summary'!$BS$6:$BU$35,3,FALSE),P1027)</f>
        <v>0.25</v>
      </c>
      <c r="Q1028" s="54">
        <f t="shared" si="48"/>
        <v>4</v>
      </c>
      <c r="R1028" s="53">
        <f>IFERROR(VLOOKUP(B1028,'Pre-Summary'!$BG$6:$BM$44,7,FALSE),R1029)</f>
        <v>4.0839377512219534E-2</v>
      </c>
      <c r="S1028" s="53">
        <f>IFERROR(VLOOKUP(B1028,'Pre-Summary'!$BG$6:$BM$44,6,FALSE),S1029)</f>
        <v>3.561480302426305E-2</v>
      </c>
      <c r="T1028" s="45" t="str">
        <f>IFERROR(VLOOKUP(B1028,'Pre-Summary'!$Y$6:$AC$83, 3,FALSE),"")</f>
        <v/>
      </c>
      <c r="U1028" s="45" t="str">
        <f>IFERROR(VLOOKUP(B1028,'Pre-Summary'!$Y$6:$AC$83, 4,FALSE),"")</f>
        <v/>
      </c>
      <c r="V1028" t="str">
        <f>IFERROR(VLOOKUP(B1028,'Pre-Summary'!$Y$6:$AC$83, 5,FALSE),"")</f>
        <v/>
      </c>
      <c r="W1028" s="45" t="str">
        <f>IFERROR(VLOOKUP(B1028,'Pre-Summary'!$Y$6:$AD$83,6,FALSE),"")</f>
        <v/>
      </c>
      <c r="X1028" t="str">
        <f>IFERROR(VLOOKUP('Pre-Summary'!$DB$6:$DD$63,3,FALSE),"")</f>
        <v/>
      </c>
      <c r="Y1028" t="str">
        <f>IFERROR(VLOOKUP(B1028,'Pre-Summary'!$CR$6:$CT$36,3,FALSE),"")</f>
        <v/>
      </c>
      <c r="Z1028" s="45" t="str">
        <f>IFERROR(VLOOKUP(B1028,'Pre-Summary'!$BZ$6:$CB$63,2,FALSE),"")</f>
        <v/>
      </c>
      <c r="AA1028" s="45" t="str">
        <f>IFERROR(VLOOKUP(B1028,'Pre-Summary'!$CG$6:$CI$70,2,FALSE),"")</f>
        <v/>
      </c>
      <c r="AB1028" s="99">
        <f>IFERROR(VLOOKUP(B1028,'Pre-Summary'!$A$6:$P$178,9,FALSE),AB1029)</f>
        <v>0.41343584148043017</v>
      </c>
      <c r="AC1028" s="10">
        <f>IFERROR(VLOOKUP(Summary!B1028,'Pre-Summary'!$A$6:$P$184,5, FALSE)/100,AC1029)</f>
        <v>0.86886866666666673</v>
      </c>
      <c r="AD1028" s="10">
        <f>IFERROR(VLOOKUP(Summary!B1028,'Pre-Summary'!$A$6:$P$184,3, FALSE)/100,AD1029)</f>
        <v>4.5391000000000001E-2</v>
      </c>
      <c r="AE1028" s="10">
        <f>IFERROR(VLOOKUP(Summary!B1028,'Pre-Summary'!$A$6:$P$184,7, FALSE)/100,AE1029)</f>
        <v>8.5740333333333321E-2</v>
      </c>
      <c r="AF1028" s="99">
        <f t="shared" si="49"/>
        <v>1.8766266280638207E-2</v>
      </c>
      <c r="AG1028" s="99">
        <f t="shared" si="50"/>
        <v>3.544812686047924E-2</v>
      </c>
      <c r="AH1028" s="10" t="str">
        <f>IFERROR(VLOOKUP(B1028,'Pre-Summary'!$AZ$6:$BE$65,3,FALSE),"")</f>
        <v/>
      </c>
      <c r="AI1028" s="10" t="str">
        <f>IFERROR(VLOOKUP(B1028,'Pre-Summary'!$AZ$6:$BE$65,5,FALSE),"")</f>
        <v/>
      </c>
      <c r="AJ1028" s="10" t="str">
        <f>IFERROR(VLOOKUP(B1028,'Pre-Summary'!$AZ$6:$BE$65,4,FALSE),"")</f>
        <v/>
      </c>
      <c r="AK1028" s="10" t="str">
        <f>IFERROR(VLOOKUP(B1028,'Pre-Summary'!$AZ$6:$BE$65,6,FALSE),"")</f>
        <v/>
      </c>
      <c r="AL1028" s="10" t="str">
        <f>IFERROR(VLOOKUP(B1028,'Pre-Summary'!$BG$6:$BL$44,3,FALSE),"")</f>
        <v/>
      </c>
      <c r="AM1028" s="10" t="str">
        <f>IFERROR(VLOOKUP(B1028,'Pre-Summary'!$BG$6:$BL$44,4,FALSE),"")</f>
        <v/>
      </c>
    </row>
    <row r="1029" spans="2:39" ht="15" customHeight="1" x14ac:dyDescent="0.3">
      <c r="B1029">
        <v>102.6</v>
      </c>
      <c r="C1029" t="str">
        <f>IFERROR(VLOOKUP(B1029,'Pre-Summary'!$DI$6:$DM$23,4,FALSE),"")</f>
        <v/>
      </c>
      <c r="D1029" s="10" t="str">
        <f>IFERROR(VLOOKUP(B1029,'Pre-Summary'!$AT$6:$AX$14,5,FALSE),D1028)</f>
        <v>DSMZ v3: dropped yeast, casitone, and bicarb out of DSMZ 120</v>
      </c>
      <c r="E1029" s="10" t="str">
        <f>IFERROR(VLOOKUP(B1029,'Pre-Summary'!$AT$6:$AX$15,4,FALSE),"")</f>
        <v/>
      </c>
      <c r="F1029">
        <f>IFERROR(VLOOKUP(B1029,'Pre-Summary'!$AL$6:$AQ$13,6,FALSE),F1028)</f>
        <v>5.9405263157894746E-2</v>
      </c>
      <c r="G1029" t="str">
        <f>IFERROR(VLOOKUP(B1029,'Pre-Summary'!$AE$6:$AJ$85,3,FALSE),"")</f>
        <v/>
      </c>
      <c r="H1029" t="str">
        <f>IFERROR(VLOOKUP(B1029,'Pre-Summary'!$AE$6:$AJ$85,4,FALSE),"")</f>
        <v/>
      </c>
      <c r="I1029" t="str">
        <f>IFERROR(VLOOKUP(B1029,'Pre-Summary'!$AE$6:$AJ$85,5,FALSE),"")</f>
        <v/>
      </c>
      <c r="J1029" s="45" t="str">
        <f>IFERROR(VLOOKUP(B1029,'Pre-Summary'!$AE$6:$AJ$85,6, FALSE),"")</f>
        <v/>
      </c>
      <c r="K1029" s="45" t="str">
        <f>IFERROR(VLOOKUP(B1029,'Pre-Summary'!$DE$6:$DG$61,3,FALSE),"")</f>
        <v/>
      </c>
      <c r="L1029" s="45" t="str">
        <f>IFERROR(VLOOKUP(B1029,'Pre-Summary'!$CU$6:$CW$36,3,FALSE),"")</f>
        <v/>
      </c>
      <c r="M1029" s="45" t="str">
        <f>IFERROR(VLOOKUP(B1029,'Pre-Summary'!$BW$6:$BY$58,2,FALSE),"")</f>
        <v/>
      </c>
      <c r="N1029" s="45" t="str">
        <f>IFERROR(VLOOKUP(B1029,'Pre-Summary'!$CD$6:$CF$64,2,FALSE),"")</f>
        <v/>
      </c>
      <c r="O1029" s="99">
        <f>IFERROR(VLOOKUP(B1029,'Pre-Summary'!$BO$6:$BQ$48,3, FALSE),O1028)</f>
        <v>1</v>
      </c>
      <c r="P1029" s="99">
        <f>IFERROR(VLOOKUP(B1029,'Pre-Summary'!$BS$6:$BU$35,3,FALSE),P1028)</f>
        <v>0.25</v>
      </c>
      <c r="Q1029" s="54">
        <f t="shared" si="48"/>
        <v>4</v>
      </c>
      <c r="R1029" s="53">
        <f>IFERROR(VLOOKUP(B1029,'Pre-Summary'!$BG$6:$BM$44,7,FALSE),R1030)</f>
        <v>4.0839377512219534E-2</v>
      </c>
      <c r="S1029" s="53">
        <f>IFERROR(VLOOKUP(B1029,'Pre-Summary'!$BG$6:$BM$44,6,FALSE),S1030)</f>
        <v>3.561480302426305E-2</v>
      </c>
      <c r="T1029" s="45" t="str">
        <f>IFERROR(VLOOKUP(B1029,'Pre-Summary'!$Y$6:$AC$83, 3,FALSE),"")</f>
        <v/>
      </c>
      <c r="U1029" s="45" t="str">
        <f>IFERROR(VLOOKUP(B1029,'Pre-Summary'!$Y$6:$AC$83, 4,FALSE),"")</f>
        <v/>
      </c>
      <c r="V1029" t="str">
        <f>IFERROR(VLOOKUP(B1029,'Pre-Summary'!$Y$6:$AC$83, 5,FALSE),"")</f>
        <v/>
      </c>
      <c r="W1029" s="45" t="str">
        <f>IFERROR(VLOOKUP(B1029,'Pre-Summary'!$Y$6:$AD$83,6,FALSE),"")</f>
        <v/>
      </c>
      <c r="X1029" t="str">
        <f>IFERROR(VLOOKUP('Pre-Summary'!$DB$6:$DD$63,3,FALSE),"")</f>
        <v/>
      </c>
      <c r="Y1029" t="str">
        <f>IFERROR(VLOOKUP(B1029,'Pre-Summary'!$CR$6:$CT$36,3,FALSE),"")</f>
        <v/>
      </c>
      <c r="Z1029" s="45" t="str">
        <f>IFERROR(VLOOKUP(B1029,'Pre-Summary'!$BZ$6:$CB$63,2,FALSE),"")</f>
        <v/>
      </c>
      <c r="AA1029" s="45" t="str">
        <f>IFERROR(VLOOKUP(B1029,'Pre-Summary'!$CG$6:$CI$70,2,FALSE),"")</f>
        <v/>
      </c>
      <c r="AB1029" s="99">
        <f>IFERROR(VLOOKUP(B1029,'Pre-Summary'!$A$6:$P$178,9,FALSE),AB1030)</f>
        <v>0.41343584148043017</v>
      </c>
      <c r="AC1029" s="10">
        <f>IFERROR(VLOOKUP(Summary!B1029,'Pre-Summary'!$A$6:$P$184,5, FALSE)/100,AC1030)</f>
        <v>0.86886866666666673</v>
      </c>
      <c r="AD1029" s="10">
        <f>IFERROR(VLOOKUP(Summary!B1029,'Pre-Summary'!$A$6:$P$184,3, FALSE)/100,AD1030)</f>
        <v>4.5391000000000001E-2</v>
      </c>
      <c r="AE1029" s="10">
        <f>IFERROR(VLOOKUP(Summary!B1029,'Pre-Summary'!$A$6:$P$184,7, FALSE)/100,AE1030)</f>
        <v>8.5740333333333321E-2</v>
      </c>
      <c r="AF1029" s="99">
        <f t="shared" si="49"/>
        <v>1.8766266280638207E-2</v>
      </c>
      <c r="AG1029" s="99">
        <f t="shared" si="50"/>
        <v>3.544812686047924E-2</v>
      </c>
      <c r="AH1029" s="10" t="str">
        <f>IFERROR(VLOOKUP(B1029,'Pre-Summary'!$AZ$6:$BE$65,3,FALSE),"")</f>
        <v/>
      </c>
      <c r="AI1029" s="10" t="str">
        <f>IFERROR(VLOOKUP(B1029,'Pre-Summary'!$AZ$6:$BE$65,5,FALSE),"")</f>
        <v/>
      </c>
      <c r="AJ1029" s="10" t="str">
        <f>IFERROR(VLOOKUP(B1029,'Pre-Summary'!$AZ$6:$BE$65,4,FALSE),"")</f>
        <v/>
      </c>
      <c r="AK1029" s="10" t="str">
        <f>IFERROR(VLOOKUP(B1029,'Pre-Summary'!$AZ$6:$BE$65,6,FALSE),"")</f>
        <v/>
      </c>
      <c r="AL1029" s="10" t="str">
        <f>IFERROR(VLOOKUP(B1029,'Pre-Summary'!$BG$6:$BL$44,3,FALSE),"")</f>
        <v/>
      </c>
      <c r="AM1029" s="10" t="str">
        <f>IFERROR(VLOOKUP(B1029,'Pre-Summary'!$BG$6:$BL$44,4,FALSE),"")</f>
        <v/>
      </c>
    </row>
    <row r="1030" spans="2:39" ht="15" customHeight="1" x14ac:dyDescent="0.3">
      <c r="B1030">
        <v>102.7</v>
      </c>
      <c r="C1030" t="str">
        <f>IFERROR(VLOOKUP(B1030,'Pre-Summary'!$DI$6:$DM$23,4,FALSE),"")</f>
        <v/>
      </c>
      <c r="D1030" s="10" t="str">
        <f>IFERROR(VLOOKUP(B1030,'Pre-Summary'!$AT$6:$AX$14,5,FALSE),D1029)</f>
        <v>DSMZ v3: dropped yeast, casitone, and bicarb out of DSMZ 120</v>
      </c>
      <c r="E1030" s="10" t="str">
        <f>IFERROR(VLOOKUP(B1030,'Pre-Summary'!$AT$6:$AX$15,4,FALSE),"")</f>
        <v/>
      </c>
      <c r="F1030">
        <f>IFERROR(VLOOKUP(B1030,'Pre-Summary'!$AL$6:$AQ$13,6,FALSE),F1029)</f>
        <v>5.9405263157894746E-2</v>
      </c>
      <c r="G1030" t="str">
        <f>IFERROR(VLOOKUP(B1030,'Pre-Summary'!$AE$6:$AJ$85,3,FALSE),"")</f>
        <v/>
      </c>
      <c r="H1030" t="str">
        <f>IFERROR(VLOOKUP(B1030,'Pre-Summary'!$AE$6:$AJ$85,4,FALSE),"")</f>
        <v/>
      </c>
      <c r="I1030" t="str">
        <f>IFERROR(VLOOKUP(B1030,'Pre-Summary'!$AE$6:$AJ$85,5,FALSE),"")</f>
        <v/>
      </c>
      <c r="J1030" s="45" t="str">
        <f>IFERROR(VLOOKUP(B1030,'Pre-Summary'!$AE$6:$AJ$85,6, FALSE),"")</f>
        <v/>
      </c>
      <c r="K1030" s="45" t="str">
        <f>IFERROR(VLOOKUP(B1030,'Pre-Summary'!$DE$6:$DG$61,3,FALSE),"")</f>
        <v/>
      </c>
      <c r="L1030" s="45" t="str">
        <f>IFERROR(VLOOKUP(B1030,'Pre-Summary'!$CU$6:$CW$36,3,FALSE),"")</f>
        <v/>
      </c>
      <c r="M1030" s="45" t="str">
        <f>IFERROR(VLOOKUP(B1030,'Pre-Summary'!$BW$6:$BY$58,2,FALSE),"")</f>
        <v/>
      </c>
      <c r="N1030" s="45" t="str">
        <f>IFERROR(VLOOKUP(B1030,'Pre-Summary'!$CD$6:$CF$64,2,FALSE),"")</f>
        <v/>
      </c>
      <c r="O1030" s="99">
        <f>IFERROR(VLOOKUP(B1030,'Pre-Summary'!$BO$6:$BQ$48,3, FALSE),O1029)</f>
        <v>1</v>
      </c>
      <c r="P1030" s="99">
        <f>IFERROR(VLOOKUP(B1030,'Pre-Summary'!$BS$6:$BU$35,3,FALSE),P1029)</f>
        <v>0.25</v>
      </c>
      <c r="Q1030" s="54">
        <f t="shared" si="48"/>
        <v>4</v>
      </c>
      <c r="R1030" s="53">
        <f>IFERROR(VLOOKUP(B1030,'Pre-Summary'!$BG$6:$BM$44,7,FALSE),R1031)</f>
        <v>4.0839377512219534E-2</v>
      </c>
      <c r="S1030" s="53">
        <f>IFERROR(VLOOKUP(B1030,'Pre-Summary'!$BG$6:$BM$44,6,FALSE),S1031)</f>
        <v>3.561480302426305E-2</v>
      </c>
      <c r="T1030" s="45" t="str">
        <f>IFERROR(VLOOKUP(B1030,'Pre-Summary'!$Y$6:$AC$83, 3,FALSE),"")</f>
        <v/>
      </c>
      <c r="U1030" s="45" t="str">
        <f>IFERROR(VLOOKUP(B1030,'Pre-Summary'!$Y$6:$AC$83, 4,FALSE),"")</f>
        <v/>
      </c>
      <c r="V1030" t="str">
        <f>IFERROR(VLOOKUP(B1030,'Pre-Summary'!$Y$6:$AC$83, 5,FALSE),"")</f>
        <v/>
      </c>
      <c r="W1030" s="45" t="str">
        <f>IFERROR(VLOOKUP(B1030,'Pre-Summary'!$Y$6:$AD$83,6,FALSE),"")</f>
        <v/>
      </c>
      <c r="X1030" t="str">
        <f>IFERROR(VLOOKUP('Pre-Summary'!$DB$6:$DD$63,3,FALSE),"")</f>
        <v/>
      </c>
      <c r="Y1030" t="str">
        <f>IFERROR(VLOOKUP(B1030,'Pre-Summary'!$CR$6:$CT$36,3,FALSE),"")</f>
        <v/>
      </c>
      <c r="Z1030" s="45" t="str">
        <f>IFERROR(VLOOKUP(B1030,'Pre-Summary'!$BZ$6:$CB$63,2,FALSE),"")</f>
        <v/>
      </c>
      <c r="AA1030" s="45" t="str">
        <f>IFERROR(VLOOKUP(B1030,'Pre-Summary'!$CG$6:$CI$70,2,FALSE),"")</f>
        <v/>
      </c>
      <c r="AB1030" s="99">
        <f>IFERROR(VLOOKUP(B1030,'Pre-Summary'!$A$6:$P$178,9,FALSE),AB1031)</f>
        <v>0.41343584148043017</v>
      </c>
      <c r="AC1030" s="10">
        <f>IFERROR(VLOOKUP(Summary!B1030,'Pre-Summary'!$A$6:$P$184,5, FALSE)/100,AC1031)</f>
        <v>0.86886866666666673</v>
      </c>
      <c r="AD1030" s="10">
        <f>IFERROR(VLOOKUP(Summary!B1030,'Pre-Summary'!$A$6:$P$184,3, FALSE)/100,AD1031)</f>
        <v>4.5391000000000001E-2</v>
      </c>
      <c r="AE1030" s="10">
        <f>IFERROR(VLOOKUP(Summary!B1030,'Pre-Summary'!$A$6:$P$184,7, FALSE)/100,AE1031)</f>
        <v>8.5740333333333321E-2</v>
      </c>
      <c r="AF1030" s="99">
        <f t="shared" si="49"/>
        <v>1.8766266280638207E-2</v>
      </c>
      <c r="AG1030" s="99">
        <f t="shared" si="50"/>
        <v>3.544812686047924E-2</v>
      </c>
      <c r="AH1030" s="10" t="str">
        <f>IFERROR(VLOOKUP(B1030,'Pre-Summary'!$AZ$6:$BE$65,3,FALSE),"")</f>
        <v/>
      </c>
      <c r="AI1030" s="10" t="str">
        <f>IFERROR(VLOOKUP(B1030,'Pre-Summary'!$AZ$6:$BE$65,5,FALSE),"")</f>
        <v/>
      </c>
      <c r="AJ1030" s="10" t="str">
        <f>IFERROR(VLOOKUP(B1030,'Pre-Summary'!$AZ$6:$BE$65,4,FALSE),"")</f>
        <v/>
      </c>
      <c r="AK1030" s="10" t="str">
        <f>IFERROR(VLOOKUP(B1030,'Pre-Summary'!$AZ$6:$BE$65,6,FALSE),"")</f>
        <v/>
      </c>
      <c r="AL1030" s="10" t="str">
        <f>IFERROR(VLOOKUP(B1030,'Pre-Summary'!$BG$6:$BL$44,3,FALSE),"")</f>
        <v/>
      </c>
      <c r="AM1030" s="10" t="str">
        <f>IFERROR(VLOOKUP(B1030,'Pre-Summary'!$BG$6:$BL$44,4,FALSE),"")</f>
        <v/>
      </c>
    </row>
    <row r="1031" spans="2:39" ht="15" customHeight="1" x14ac:dyDescent="0.3">
      <c r="B1031">
        <v>102.8</v>
      </c>
      <c r="C1031" t="str">
        <f>IFERROR(VLOOKUP(B1031,'Pre-Summary'!$DI$6:$DM$23,4,FALSE),"")</f>
        <v/>
      </c>
      <c r="D1031" s="10" t="str">
        <f>IFERROR(VLOOKUP(B1031,'Pre-Summary'!$AT$6:$AX$14,5,FALSE),D1030)</f>
        <v>DSMZ v3: dropped yeast, casitone, and bicarb out of DSMZ 120</v>
      </c>
      <c r="E1031" s="10" t="str">
        <f>IFERROR(VLOOKUP(B1031,'Pre-Summary'!$AT$6:$AX$15,4,FALSE),"")</f>
        <v/>
      </c>
      <c r="F1031">
        <f>IFERROR(VLOOKUP(B1031,'Pre-Summary'!$AL$6:$AQ$13,6,FALSE),F1030)</f>
        <v>5.9405263157894746E-2</v>
      </c>
      <c r="G1031" t="str">
        <f>IFERROR(VLOOKUP(B1031,'Pre-Summary'!$AE$6:$AJ$85,3,FALSE),"")</f>
        <v/>
      </c>
      <c r="H1031" t="str">
        <f>IFERROR(VLOOKUP(B1031,'Pre-Summary'!$AE$6:$AJ$85,4,FALSE),"")</f>
        <v/>
      </c>
      <c r="I1031" t="str">
        <f>IFERROR(VLOOKUP(B1031,'Pre-Summary'!$AE$6:$AJ$85,5,FALSE),"")</f>
        <v/>
      </c>
      <c r="J1031" s="45" t="str">
        <f>IFERROR(VLOOKUP(B1031,'Pre-Summary'!$AE$6:$AJ$85,6, FALSE),"")</f>
        <v/>
      </c>
      <c r="K1031" s="45" t="str">
        <f>IFERROR(VLOOKUP(B1031,'Pre-Summary'!$DE$6:$DG$61,3,FALSE),"")</f>
        <v/>
      </c>
      <c r="L1031" s="45" t="str">
        <f>IFERROR(VLOOKUP(B1031,'Pre-Summary'!$CU$6:$CW$36,3,FALSE),"")</f>
        <v/>
      </c>
      <c r="M1031" s="45" t="str">
        <f>IFERROR(VLOOKUP(B1031,'Pre-Summary'!$BW$6:$BY$58,2,FALSE),"")</f>
        <v/>
      </c>
      <c r="N1031" s="45" t="str">
        <f>IFERROR(VLOOKUP(B1031,'Pre-Summary'!$CD$6:$CF$64,2,FALSE),"")</f>
        <v/>
      </c>
      <c r="O1031" s="99">
        <f>IFERROR(VLOOKUP(B1031,'Pre-Summary'!$BO$6:$BQ$48,3, FALSE),O1030)</f>
        <v>1</v>
      </c>
      <c r="P1031" s="99">
        <f>IFERROR(VLOOKUP(B1031,'Pre-Summary'!$BS$6:$BU$35,3,FALSE),P1030)</f>
        <v>0.25</v>
      </c>
      <c r="Q1031" s="54">
        <f t="shared" si="48"/>
        <v>4</v>
      </c>
      <c r="R1031" s="53">
        <f>IFERROR(VLOOKUP(B1031,'Pre-Summary'!$BG$6:$BM$44,7,FALSE),R1032)</f>
        <v>4.0839377512219534E-2</v>
      </c>
      <c r="S1031" s="53">
        <f>IFERROR(VLOOKUP(B1031,'Pre-Summary'!$BG$6:$BM$44,6,FALSE),S1032)</f>
        <v>3.561480302426305E-2</v>
      </c>
      <c r="T1031" s="45" t="str">
        <f>IFERROR(VLOOKUP(B1031,'Pre-Summary'!$Y$6:$AC$83, 3,FALSE),"")</f>
        <v/>
      </c>
      <c r="U1031" s="45" t="str">
        <f>IFERROR(VLOOKUP(B1031,'Pre-Summary'!$Y$6:$AC$83, 4,FALSE),"")</f>
        <v/>
      </c>
      <c r="V1031" t="str">
        <f>IFERROR(VLOOKUP(B1031,'Pre-Summary'!$Y$6:$AC$83, 5,FALSE),"")</f>
        <v/>
      </c>
      <c r="W1031" s="45" t="str">
        <f>IFERROR(VLOOKUP(B1031,'Pre-Summary'!$Y$6:$AD$83,6,FALSE),"")</f>
        <v/>
      </c>
      <c r="X1031" t="str">
        <f>IFERROR(VLOOKUP('Pre-Summary'!$DB$6:$DD$63,3,FALSE),"")</f>
        <v/>
      </c>
      <c r="Y1031" t="str">
        <f>IFERROR(VLOOKUP(B1031,'Pre-Summary'!$CR$6:$CT$36,3,FALSE),"")</f>
        <v/>
      </c>
      <c r="Z1031" s="45" t="str">
        <f>IFERROR(VLOOKUP(B1031,'Pre-Summary'!$BZ$6:$CB$63,2,FALSE),"")</f>
        <v/>
      </c>
      <c r="AA1031" s="45" t="str">
        <f>IFERROR(VLOOKUP(B1031,'Pre-Summary'!$CG$6:$CI$70,2,FALSE),"")</f>
        <v/>
      </c>
      <c r="AB1031" s="99">
        <f>IFERROR(VLOOKUP(B1031,'Pre-Summary'!$A$6:$P$178,9,FALSE),AB1032)</f>
        <v>0.41343584148043017</v>
      </c>
      <c r="AC1031" s="10">
        <f>IFERROR(VLOOKUP(Summary!B1031,'Pre-Summary'!$A$6:$P$184,5, FALSE)/100,AC1032)</f>
        <v>0.86886866666666673</v>
      </c>
      <c r="AD1031" s="10">
        <f>IFERROR(VLOOKUP(Summary!B1031,'Pre-Summary'!$A$6:$P$184,3, FALSE)/100,AD1032)</f>
        <v>4.5391000000000001E-2</v>
      </c>
      <c r="AE1031" s="10">
        <f>IFERROR(VLOOKUP(Summary!B1031,'Pre-Summary'!$A$6:$P$184,7, FALSE)/100,AE1032)</f>
        <v>8.5740333333333321E-2</v>
      </c>
      <c r="AF1031" s="99">
        <f t="shared" si="49"/>
        <v>1.8766266280638207E-2</v>
      </c>
      <c r="AG1031" s="99">
        <f t="shared" si="50"/>
        <v>3.544812686047924E-2</v>
      </c>
      <c r="AH1031" s="10" t="str">
        <f>IFERROR(VLOOKUP(B1031,'Pre-Summary'!$AZ$6:$BE$65,3,FALSE),"")</f>
        <v/>
      </c>
      <c r="AI1031" s="10" t="str">
        <f>IFERROR(VLOOKUP(B1031,'Pre-Summary'!$AZ$6:$BE$65,5,FALSE),"")</f>
        <v/>
      </c>
      <c r="AJ1031" s="10" t="str">
        <f>IFERROR(VLOOKUP(B1031,'Pre-Summary'!$AZ$6:$BE$65,4,FALSE),"")</f>
        <v/>
      </c>
      <c r="AK1031" s="10" t="str">
        <f>IFERROR(VLOOKUP(B1031,'Pre-Summary'!$AZ$6:$BE$65,6,FALSE),"")</f>
        <v/>
      </c>
      <c r="AL1031" s="10" t="str">
        <f>IFERROR(VLOOKUP(B1031,'Pre-Summary'!$BG$6:$BL$44,3,FALSE),"")</f>
        <v/>
      </c>
      <c r="AM1031" s="10" t="str">
        <f>IFERROR(VLOOKUP(B1031,'Pre-Summary'!$BG$6:$BL$44,4,FALSE),"")</f>
        <v/>
      </c>
    </row>
    <row r="1032" spans="2:39" ht="15" customHeight="1" x14ac:dyDescent="0.3">
      <c r="B1032">
        <v>102.9</v>
      </c>
      <c r="C1032" t="str">
        <f>IFERROR(VLOOKUP(B1032,'Pre-Summary'!$DI$6:$DM$23,4,FALSE),"")</f>
        <v/>
      </c>
      <c r="D1032" s="10" t="str">
        <f>IFERROR(VLOOKUP(B1032,'Pre-Summary'!$AT$6:$AX$14,5,FALSE),D1031)</f>
        <v>DSMZ v3: dropped yeast, casitone, and bicarb out of DSMZ 120</v>
      </c>
      <c r="E1032" s="10" t="str">
        <f>IFERROR(VLOOKUP(B1032,'Pre-Summary'!$AT$6:$AX$15,4,FALSE),"")</f>
        <v/>
      </c>
      <c r="F1032">
        <f>IFERROR(VLOOKUP(B1032,'Pre-Summary'!$AL$6:$AQ$13,6,FALSE),F1031)</f>
        <v>5.9405263157894746E-2</v>
      </c>
      <c r="G1032" t="str">
        <f>IFERROR(VLOOKUP(B1032,'Pre-Summary'!$AE$6:$AJ$85,3,FALSE),"")</f>
        <v/>
      </c>
      <c r="H1032" t="str">
        <f>IFERROR(VLOOKUP(B1032,'Pre-Summary'!$AE$6:$AJ$85,4,FALSE),"")</f>
        <v/>
      </c>
      <c r="I1032" t="str">
        <f>IFERROR(VLOOKUP(B1032,'Pre-Summary'!$AE$6:$AJ$85,5,FALSE),"")</f>
        <v/>
      </c>
      <c r="J1032" s="45" t="str">
        <f>IFERROR(VLOOKUP(B1032,'Pre-Summary'!$AE$6:$AJ$85,6, FALSE),"")</f>
        <v/>
      </c>
      <c r="K1032" s="45" t="str">
        <f>IFERROR(VLOOKUP(B1032,'Pre-Summary'!$DE$6:$DG$61,3,FALSE),"")</f>
        <v/>
      </c>
      <c r="L1032" s="45" t="str">
        <f>IFERROR(VLOOKUP(B1032,'Pre-Summary'!$CU$6:$CW$36,3,FALSE),"")</f>
        <v/>
      </c>
      <c r="M1032" s="45" t="str">
        <f>IFERROR(VLOOKUP(B1032,'Pre-Summary'!$BW$6:$BY$58,2,FALSE),"")</f>
        <v/>
      </c>
      <c r="N1032" s="45" t="str">
        <f>IFERROR(VLOOKUP(B1032,'Pre-Summary'!$CD$6:$CF$64,2,FALSE),"")</f>
        <v/>
      </c>
      <c r="O1032" s="99">
        <f>IFERROR(VLOOKUP(B1032,'Pre-Summary'!$BO$6:$BQ$48,3, FALSE),O1031)</f>
        <v>1</v>
      </c>
      <c r="P1032" s="99">
        <f>IFERROR(VLOOKUP(B1032,'Pre-Summary'!$BS$6:$BU$35,3,FALSE),P1031)</f>
        <v>0.25</v>
      </c>
      <c r="Q1032" s="54">
        <f t="shared" si="48"/>
        <v>4</v>
      </c>
      <c r="R1032" s="53">
        <f>IFERROR(VLOOKUP(B1032,'Pre-Summary'!$BG$6:$BM$44,7,FALSE),R1033)</f>
        <v>4.0839377512219534E-2</v>
      </c>
      <c r="S1032" s="53">
        <f>IFERROR(VLOOKUP(B1032,'Pre-Summary'!$BG$6:$BM$44,6,FALSE),S1033)</f>
        <v>3.561480302426305E-2</v>
      </c>
      <c r="T1032" s="45" t="str">
        <f>IFERROR(VLOOKUP(B1032,'Pre-Summary'!$Y$6:$AC$83, 3,FALSE),"")</f>
        <v/>
      </c>
      <c r="U1032" s="45" t="str">
        <f>IFERROR(VLOOKUP(B1032,'Pre-Summary'!$Y$6:$AC$83, 4,FALSE),"")</f>
        <v/>
      </c>
      <c r="V1032" t="str">
        <f>IFERROR(VLOOKUP(B1032,'Pre-Summary'!$Y$6:$AC$83, 5,FALSE),"")</f>
        <v/>
      </c>
      <c r="W1032" s="45" t="str">
        <f>IFERROR(VLOOKUP(B1032,'Pre-Summary'!$Y$6:$AD$83,6,FALSE),"")</f>
        <v/>
      </c>
      <c r="X1032" t="str">
        <f>IFERROR(VLOOKUP('Pre-Summary'!$DB$6:$DD$63,3,FALSE),"")</f>
        <v/>
      </c>
      <c r="Y1032" t="str">
        <f>IFERROR(VLOOKUP(B1032,'Pre-Summary'!$CR$6:$CT$36,3,FALSE),"")</f>
        <v/>
      </c>
      <c r="Z1032" s="45" t="str">
        <f>IFERROR(VLOOKUP(B1032,'Pre-Summary'!$BZ$6:$CB$63,2,FALSE),"")</f>
        <v/>
      </c>
      <c r="AA1032" s="45" t="str">
        <f>IFERROR(VLOOKUP(B1032,'Pre-Summary'!$CG$6:$CI$70,2,FALSE),"")</f>
        <v/>
      </c>
      <c r="AB1032" s="99">
        <f>IFERROR(VLOOKUP(B1032,'Pre-Summary'!$A$6:$P$178,9,FALSE),AB1033)</f>
        <v>0.41343584148043017</v>
      </c>
      <c r="AC1032" s="10">
        <f>IFERROR(VLOOKUP(Summary!B1032,'Pre-Summary'!$A$6:$P$184,5, FALSE)/100,AC1033)</f>
        <v>0.86886866666666673</v>
      </c>
      <c r="AD1032" s="10">
        <f>IFERROR(VLOOKUP(Summary!B1032,'Pre-Summary'!$A$6:$P$184,3, FALSE)/100,AD1033)</f>
        <v>4.5391000000000001E-2</v>
      </c>
      <c r="AE1032" s="10">
        <f>IFERROR(VLOOKUP(Summary!B1032,'Pre-Summary'!$A$6:$P$184,7, FALSE)/100,AE1033)</f>
        <v>8.5740333333333321E-2</v>
      </c>
      <c r="AF1032" s="99">
        <f t="shared" si="49"/>
        <v>1.8766266280638207E-2</v>
      </c>
      <c r="AG1032" s="99">
        <f t="shared" si="50"/>
        <v>3.544812686047924E-2</v>
      </c>
      <c r="AH1032" s="10" t="str">
        <f>IFERROR(VLOOKUP(B1032,'Pre-Summary'!$AZ$6:$BE$65,3,FALSE),"")</f>
        <v/>
      </c>
      <c r="AI1032" s="10" t="str">
        <f>IFERROR(VLOOKUP(B1032,'Pre-Summary'!$AZ$6:$BE$65,5,FALSE),"")</f>
        <v/>
      </c>
      <c r="AJ1032" s="10" t="str">
        <f>IFERROR(VLOOKUP(B1032,'Pre-Summary'!$AZ$6:$BE$65,4,FALSE),"")</f>
        <v/>
      </c>
      <c r="AK1032" s="10" t="str">
        <f>IFERROR(VLOOKUP(B1032,'Pre-Summary'!$AZ$6:$BE$65,6,FALSE),"")</f>
        <v/>
      </c>
      <c r="AL1032" s="10" t="str">
        <f>IFERROR(VLOOKUP(B1032,'Pre-Summary'!$BG$6:$BL$44,3,FALSE),"")</f>
        <v/>
      </c>
      <c r="AM1032" s="10" t="str">
        <f>IFERROR(VLOOKUP(B1032,'Pre-Summary'!$BG$6:$BL$44,4,FALSE),"")</f>
        <v/>
      </c>
    </row>
    <row r="1033" spans="2:39" ht="15" customHeight="1" x14ac:dyDescent="0.3">
      <c r="B1033">
        <v>103</v>
      </c>
      <c r="C1033" t="str">
        <f>IFERROR(VLOOKUP(B1033,'Pre-Summary'!$DI$6:$DM$23,4,FALSE),"")</f>
        <v/>
      </c>
      <c r="D1033" s="10" t="str">
        <f>IFERROR(VLOOKUP(B1033,'Pre-Summary'!$AT$6:$AX$14,5,FALSE),D1032)</f>
        <v>DSMZ v3: dropped yeast, casitone, and bicarb out of DSMZ 120</v>
      </c>
      <c r="E1033" s="10" t="str">
        <f>IFERROR(VLOOKUP(B1033,'Pre-Summary'!$AT$6:$AX$15,4,FALSE),"")</f>
        <v/>
      </c>
      <c r="F1033">
        <f>IFERROR(VLOOKUP(B1033,'Pre-Summary'!$AL$6:$AQ$13,6,FALSE),F1032)</f>
        <v>5.9405263157894746E-2</v>
      </c>
      <c r="G1033" t="str">
        <f>IFERROR(VLOOKUP(B1033,'Pre-Summary'!$AE$6:$AJ$85,3,FALSE),"")</f>
        <v/>
      </c>
      <c r="H1033" t="str">
        <f>IFERROR(VLOOKUP(B1033,'Pre-Summary'!$AE$6:$AJ$85,4,FALSE),"")</f>
        <v/>
      </c>
      <c r="I1033" t="str">
        <f>IFERROR(VLOOKUP(B1033,'Pre-Summary'!$AE$6:$AJ$85,5,FALSE),"")</f>
        <v/>
      </c>
      <c r="J1033" s="45" t="str">
        <f>IFERROR(VLOOKUP(B1033,'Pre-Summary'!$AE$6:$AJ$85,6, FALSE),"")</f>
        <v/>
      </c>
      <c r="K1033" s="45" t="str">
        <f>IFERROR(VLOOKUP(B1033,'Pre-Summary'!$DE$6:$DG$61,3,FALSE),"")</f>
        <v/>
      </c>
      <c r="L1033" s="45" t="str">
        <f>IFERROR(VLOOKUP(B1033,'Pre-Summary'!$CU$6:$CW$36,3,FALSE),"")</f>
        <v/>
      </c>
      <c r="M1033" s="45" t="str">
        <f>IFERROR(VLOOKUP(B1033,'Pre-Summary'!$BW$6:$BY$58,2,FALSE),"")</f>
        <v/>
      </c>
      <c r="N1033" s="45" t="str">
        <f>IFERROR(VLOOKUP(B1033,'Pre-Summary'!$CD$6:$CF$64,2,FALSE),"")</f>
        <v/>
      </c>
      <c r="O1033" s="99">
        <f>IFERROR(VLOOKUP(B1033,'Pre-Summary'!$BO$6:$BQ$48,3, FALSE),O1032)</f>
        <v>1</v>
      </c>
      <c r="P1033" s="99">
        <f>IFERROR(VLOOKUP(B1033,'Pre-Summary'!$BS$6:$BU$35,3,FALSE),P1032)</f>
        <v>0.25</v>
      </c>
      <c r="Q1033" s="54">
        <f t="shared" si="48"/>
        <v>4</v>
      </c>
      <c r="R1033" s="53">
        <f>IFERROR(VLOOKUP(B1033,'Pre-Summary'!$BG$6:$BM$44,7,FALSE),R1034)</f>
        <v>4.0839377512219534E-2</v>
      </c>
      <c r="S1033" s="53">
        <f>IFERROR(VLOOKUP(B1033,'Pre-Summary'!$BG$6:$BM$44,6,FALSE),S1034)</f>
        <v>3.561480302426305E-2</v>
      </c>
      <c r="T1033" s="45" t="str">
        <f>IFERROR(VLOOKUP(B1033,'Pre-Summary'!$Y$6:$AC$83, 3,FALSE),"")</f>
        <v/>
      </c>
      <c r="U1033" s="45" t="str">
        <f>IFERROR(VLOOKUP(B1033,'Pre-Summary'!$Y$6:$AC$83, 4,FALSE),"")</f>
        <v/>
      </c>
      <c r="V1033" t="str">
        <f>IFERROR(VLOOKUP(B1033,'Pre-Summary'!$Y$6:$AC$83, 5,FALSE),"")</f>
        <v/>
      </c>
      <c r="W1033" s="45" t="str">
        <f>IFERROR(VLOOKUP(B1033,'Pre-Summary'!$Y$6:$AD$83,6,FALSE),"")</f>
        <v/>
      </c>
      <c r="X1033" t="str">
        <f>IFERROR(VLOOKUP('Pre-Summary'!$DB$6:$DD$63,3,FALSE),"")</f>
        <v/>
      </c>
      <c r="Y1033" t="str">
        <f>IFERROR(VLOOKUP(B1033,'Pre-Summary'!$CR$6:$CT$36,3,FALSE),"")</f>
        <v/>
      </c>
      <c r="Z1033" s="45" t="str">
        <f>IFERROR(VLOOKUP(B1033,'Pre-Summary'!$BZ$6:$CB$63,2,FALSE),"")</f>
        <v/>
      </c>
      <c r="AA1033" s="45" t="str">
        <f>IFERROR(VLOOKUP(B1033,'Pre-Summary'!$CG$6:$CI$70,2,FALSE),"")</f>
        <v/>
      </c>
      <c r="AB1033" s="99">
        <f>IFERROR(VLOOKUP(B1033,'Pre-Summary'!$A$6:$P$178,9,FALSE),AB1034)</f>
        <v>0.41343584148043017</v>
      </c>
      <c r="AC1033" s="10">
        <f>IFERROR(VLOOKUP(Summary!B1033,'Pre-Summary'!$A$6:$P$184,5, FALSE)/100,AC1034)</f>
        <v>0.86886866666666673</v>
      </c>
      <c r="AD1033" s="10">
        <f>IFERROR(VLOOKUP(Summary!B1033,'Pre-Summary'!$A$6:$P$184,3, FALSE)/100,AD1034)</f>
        <v>4.5391000000000001E-2</v>
      </c>
      <c r="AE1033" s="10">
        <f>IFERROR(VLOOKUP(Summary!B1033,'Pre-Summary'!$A$6:$P$184,7, FALSE)/100,AE1034)</f>
        <v>8.5740333333333321E-2</v>
      </c>
      <c r="AF1033" s="99">
        <f t="shared" si="49"/>
        <v>1.8766266280638207E-2</v>
      </c>
      <c r="AG1033" s="99">
        <f t="shared" si="50"/>
        <v>3.544812686047924E-2</v>
      </c>
      <c r="AH1033" s="10" t="str">
        <f>IFERROR(VLOOKUP(B1033,'Pre-Summary'!$AZ$6:$BE$65,3,FALSE),"")</f>
        <v/>
      </c>
      <c r="AI1033" s="10" t="str">
        <f>IFERROR(VLOOKUP(B1033,'Pre-Summary'!$AZ$6:$BE$65,5,FALSE),"")</f>
        <v/>
      </c>
      <c r="AJ1033" s="10" t="str">
        <f>IFERROR(VLOOKUP(B1033,'Pre-Summary'!$AZ$6:$BE$65,4,FALSE),"")</f>
        <v/>
      </c>
      <c r="AK1033" s="10" t="str">
        <f>IFERROR(VLOOKUP(B1033,'Pre-Summary'!$AZ$6:$BE$65,6,FALSE),"")</f>
        <v/>
      </c>
      <c r="AL1033" s="10" t="str">
        <f>IFERROR(VLOOKUP(B1033,'Pre-Summary'!$BG$6:$BL$44,3,FALSE),"")</f>
        <v/>
      </c>
      <c r="AM1033" s="10" t="str">
        <f>IFERROR(VLOOKUP(B1033,'Pre-Summary'!$BG$6:$BL$44,4,FALSE),"")</f>
        <v/>
      </c>
    </row>
    <row r="1034" spans="2:39" ht="15" customHeight="1" x14ac:dyDescent="0.3">
      <c r="B1034">
        <v>103.1</v>
      </c>
      <c r="C1034" t="str">
        <f>IFERROR(VLOOKUP(B1034,'Pre-Summary'!$DI$6:$DM$23,4,FALSE),"")</f>
        <v/>
      </c>
      <c r="D1034" s="10" t="str">
        <f>IFERROR(VLOOKUP(B1034,'Pre-Summary'!$AT$6:$AX$14,5,FALSE),D1033)</f>
        <v>DSMZ v3: dropped yeast, casitone, and bicarb out of DSMZ 120</v>
      </c>
      <c r="E1034" s="10" t="str">
        <f>IFERROR(VLOOKUP(B1034,'Pre-Summary'!$AT$6:$AX$15,4,FALSE),"")</f>
        <v/>
      </c>
      <c r="F1034">
        <f>IFERROR(VLOOKUP(B1034,'Pre-Summary'!$AL$6:$AQ$13,6,FALSE),F1033)</f>
        <v>5.9405263157894746E-2</v>
      </c>
      <c r="G1034" t="str">
        <f>IFERROR(VLOOKUP(B1034,'Pre-Summary'!$AE$6:$AJ$85,3,FALSE),"")</f>
        <v/>
      </c>
      <c r="H1034" t="str">
        <f>IFERROR(VLOOKUP(B1034,'Pre-Summary'!$AE$6:$AJ$85,4,FALSE),"")</f>
        <v/>
      </c>
      <c r="I1034" t="str">
        <f>IFERROR(VLOOKUP(B1034,'Pre-Summary'!$AE$6:$AJ$85,5,FALSE),"")</f>
        <v/>
      </c>
      <c r="J1034" s="45" t="str">
        <f>IFERROR(VLOOKUP(B1034,'Pre-Summary'!$AE$6:$AJ$85,6, FALSE),"")</f>
        <v/>
      </c>
      <c r="K1034" s="45" t="str">
        <f>IFERROR(VLOOKUP(B1034,'Pre-Summary'!$DE$6:$DG$61,3,FALSE),"")</f>
        <v/>
      </c>
      <c r="L1034" s="45" t="str">
        <f>IFERROR(VLOOKUP(B1034,'Pre-Summary'!$CU$6:$CW$36,3,FALSE),"")</f>
        <v/>
      </c>
      <c r="M1034" s="45" t="str">
        <f>IFERROR(VLOOKUP(B1034,'Pre-Summary'!$BW$6:$BY$58,2,FALSE),"")</f>
        <v/>
      </c>
      <c r="N1034" s="45" t="str">
        <f>IFERROR(VLOOKUP(B1034,'Pre-Summary'!$CD$6:$CF$64,2,FALSE),"")</f>
        <v/>
      </c>
      <c r="O1034" s="99">
        <f>IFERROR(VLOOKUP(B1034,'Pre-Summary'!$BO$6:$BQ$48,3, FALSE),O1033)</f>
        <v>1</v>
      </c>
      <c r="P1034" s="99">
        <f>IFERROR(VLOOKUP(B1034,'Pre-Summary'!$BS$6:$BU$35,3,FALSE),P1033)</f>
        <v>0.25</v>
      </c>
      <c r="Q1034" s="54">
        <f t="shared" si="48"/>
        <v>4</v>
      </c>
      <c r="R1034" s="53">
        <f>IFERROR(VLOOKUP(B1034,'Pre-Summary'!$BG$6:$BM$44,7,FALSE),R1035)</f>
        <v>4.0839377512219534E-2</v>
      </c>
      <c r="S1034" s="53">
        <f>IFERROR(VLOOKUP(B1034,'Pre-Summary'!$BG$6:$BM$44,6,FALSE),S1035)</f>
        <v>3.561480302426305E-2</v>
      </c>
      <c r="T1034" s="45" t="str">
        <f>IFERROR(VLOOKUP(B1034,'Pre-Summary'!$Y$6:$AC$83, 3,FALSE),"")</f>
        <v/>
      </c>
      <c r="U1034" s="45" t="str">
        <f>IFERROR(VLOOKUP(B1034,'Pre-Summary'!$Y$6:$AC$83, 4,FALSE),"")</f>
        <v/>
      </c>
      <c r="V1034" t="str">
        <f>IFERROR(VLOOKUP(B1034,'Pre-Summary'!$Y$6:$AC$83, 5,FALSE),"")</f>
        <v/>
      </c>
      <c r="W1034" s="45" t="str">
        <f>IFERROR(VLOOKUP(B1034,'Pre-Summary'!$Y$6:$AD$83,6,FALSE),"")</f>
        <v/>
      </c>
      <c r="X1034" t="str">
        <f>IFERROR(VLOOKUP('Pre-Summary'!$DB$6:$DD$63,3,FALSE),"")</f>
        <v/>
      </c>
      <c r="Y1034" t="str">
        <f>IFERROR(VLOOKUP(B1034,'Pre-Summary'!$CR$6:$CT$36,3,FALSE),"")</f>
        <v/>
      </c>
      <c r="Z1034" s="45" t="str">
        <f>IFERROR(VLOOKUP(B1034,'Pre-Summary'!$BZ$6:$CB$63,2,FALSE),"")</f>
        <v/>
      </c>
      <c r="AA1034" s="45" t="str">
        <f>IFERROR(VLOOKUP(B1034,'Pre-Summary'!$CG$6:$CI$70,2,FALSE),"")</f>
        <v/>
      </c>
      <c r="AB1034" s="99">
        <f>IFERROR(VLOOKUP(B1034,'Pre-Summary'!$A$6:$P$178,9,FALSE),AB1035)</f>
        <v>0.41343584148043017</v>
      </c>
      <c r="AC1034" s="10">
        <f>IFERROR(VLOOKUP(Summary!B1034,'Pre-Summary'!$A$6:$P$184,5, FALSE)/100,AC1035)</f>
        <v>0.86886866666666673</v>
      </c>
      <c r="AD1034" s="10">
        <f>IFERROR(VLOOKUP(Summary!B1034,'Pre-Summary'!$A$6:$P$184,3, FALSE)/100,AD1035)</f>
        <v>4.5391000000000001E-2</v>
      </c>
      <c r="AE1034" s="10">
        <f>IFERROR(VLOOKUP(Summary!B1034,'Pre-Summary'!$A$6:$P$184,7, FALSE)/100,AE1035)</f>
        <v>8.5740333333333321E-2</v>
      </c>
      <c r="AF1034" s="99">
        <f t="shared" si="49"/>
        <v>1.8766266280638207E-2</v>
      </c>
      <c r="AG1034" s="99">
        <f t="shared" si="50"/>
        <v>3.544812686047924E-2</v>
      </c>
      <c r="AH1034" s="10" t="str">
        <f>IFERROR(VLOOKUP(B1034,'Pre-Summary'!$AZ$6:$BE$65,3,FALSE),"")</f>
        <v/>
      </c>
      <c r="AI1034" s="10" t="str">
        <f>IFERROR(VLOOKUP(B1034,'Pre-Summary'!$AZ$6:$BE$65,5,FALSE),"")</f>
        <v/>
      </c>
      <c r="AJ1034" s="10" t="str">
        <f>IFERROR(VLOOKUP(B1034,'Pre-Summary'!$AZ$6:$BE$65,4,FALSE),"")</f>
        <v/>
      </c>
      <c r="AK1034" s="10" t="str">
        <f>IFERROR(VLOOKUP(B1034,'Pre-Summary'!$AZ$6:$BE$65,6,FALSE),"")</f>
        <v/>
      </c>
      <c r="AL1034" s="10" t="str">
        <f>IFERROR(VLOOKUP(B1034,'Pre-Summary'!$BG$6:$BL$44,3,FALSE),"")</f>
        <v/>
      </c>
      <c r="AM1034" s="10" t="str">
        <f>IFERROR(VLOOKUP(B1034,'Pre-Summary'!$BG$6:$BL$44,4,FALSE),"")</f>
        <v/>
      </c>
    </row>
    <row r="1035" spans="2:39" ht="15" customHeight="1" x14ac:dyDescent="0.3">
      <c r="B1035">
        <v>103.2</v>
      </c>
      <c r="C1035" t="str">
        <f>IFERROR(VLOOKUP(B1035,'Pre-Summary'!$DI$6:$DM$23,4,FALSE),"")</f>
        <v/>
      </c>
      <c r="D1035" s="10" t="str">
        <f>IFERROR(VLOOKUP(B1035,'Pre-Summary'!$AT$6:$AX$14,5,FALSE),D1034)</f>
        <v>DSMZ v3: dropped yeast, casitone, and bicarb out of DSMZ 120</v>
      </c>
      <c r="E1035" s="10" t="str">
        <f>IFERROR(VLOOKUP(B1035,'Pre-Summary'!$AT$6:$AX$15,4,FALSE),"")</f>
        <v/>
      </c>
      <c r="F1035">
        <f>IFERROR(VLOOKUP(B1035,'Pre-Summary'!$AL$6:$AQ$13,6,FALSE),F1034)</f>
        <v>5.9405263157894746E-2</v>
      </c>
      <c r="G1035" t="str">
        <f>IFERROR(VLOOKUP(B1035,'Pre-Summary'!$AE$6:$AJ$85,3,FALSE),"")</f>
        <v/>
      </c>
      <c r="H1035" t="str">
        <f>IFERROR(VLOOKUP(B1035,'Pre-Summary'!$AE$6:$AJ$85,4,FALSE),"")</f>
        <v/>
      </c>
      <c r="I1035" t="str">
        <f>IFERROR(VLOOKUP(B1035,'Pre-Summary'!$AE$6:$AJ$85,5,FALSE),"")</f>
        <v/>
      </c>
      <c r="J1035" s="45" t="str">
        <f>IFERROR(VLOOKUP(B1035,'Pre-Summary'!$AE$6:$AJ$85,6, FALSE),"")</f>
        <v/>
      </c>
      <c r="K1035" s="45" t="str">
        <f>IFERROR(VLOOKUP(B1035,'Pre-Summary'!$DE$6:$DG$61,3,FALSE),"")</f>
        <v/>
      </c>
      <c r="L1035" s="45" t="str">
        <f>IFERROR(VLOOKUP(B1035,'Pre-Summary'!$CU$6:$CW$36,3,FALSE),"")</f>
        <v/>
      </c>
      <c r="M1035" s="45" t="str">
        <f>IFERROR(VLOOKUP(B1035,'Pre-Summary'!$BW$6:$BY$58,2,FALSE),"")</f>
        <v/>
      </c>
      <c r="N1035" s="45" t="str">
        <f>IFERROR(VLOOKUP(B1035,'Pre-Summary'!$CD$6:$CF$64,2,FALSE),"")</f>
        <v/>
      </c>
      <c r="O1035" s="99">
        <f>IFERROR(VLOOKUP(B1035,'Pre-Summary'!$BO$6:$BQ$48,3, FALSE),O1034)</f>
        <v>1</v>
      </c>
      <c r="P1035" s="99">
        <f>IFERROR(VLOOKUP(B1035,'Pre-Summary'!$BS$6:$BU$35,3,FALSE),P1034)</f>
        <v>0.25</v>
      </c>
      <c r="Q1035" s="54">
        <f t="shared" si="48"/>
        <v>4</v>
      </c>
      <c r="R1035" s="53">
        <f>IFERROR(VLOOKUP(B1035,'Pre-Summary'!$BG$6:$BM$44,7,FALSE),R1036)</f>
        <v>4.0839377512219534E-2</v>
      </c>
      <c r="S1035" s="53">
        <f>IFERROR(VLOOKUP(B1035,'Pre-Summary'!$BG$6:$BM$44,6,FALSE),S1036)</f>
        <v>3.561480302426305E-2</v>
      </c>
      <c r="T1035" s="45" t="str">
        <f>IFERROR(VLOOKUP(B1035,'Pre-Summary'!$Y$6:$AC$83, 3,FALSE),"")</f>
        <v/>
      </c>
      <c r="U1035" s="45" t="str">
        <f>IFERROR(VLOOKUP(B1035,'Pre-Summary'!$Y$6:$AC$83, 4,FALSE),"")</f>
        <v/>
      </c>
      <c r="V1035" t="str">
        <f>IFERROR(VLOOKUP(B1035,'Pre-Summary'!$Y$6:$AC$83, 5,FALSE),"")</f>
        <v/>
      </c>
      <c r="W1035" s="45" t="str">
        <f>IFERROR(VLOOKUP(B1035,'Pre-Summary'!$Y$6:$AD$83,6,FALSE),"")</f>
        <v/>
      </c>
      <c r="X1035" t="str">
        <f>IFERROR(VLOOKUP('Pre-Summary'!$DB$6:$DD$63,3,FALSE),"")</f>
        <v/>
      </c>
      <c r="Y1035" t="str">
        <f>IFERROR(VLOOKUP(B1035,'Pre-Summary'!$CR$6:$CT$36,3,FALSE),"")</f>
        <v/>
      </c>
      <c r="Z1035" s="45" t="str">
        <f>IFERROR(VLOOKUP(B1035,'Pre-Summary'!$BZ$6:$CB$63,2,FALSE),"")</f>
        <v/>
      </c>
      <c r="AA1035" s="45" t="str">
        <f>IFERROR(VLOOKUP(B1035,'Pre-Summary'!$CG$6:$CI$70,2,FALSE),"")</f>
        <v/>
      </c>
      <c r="AB1035" s="99">
        <f>IFERROR(VLOOKUP(B1035,'Pre-Summary'!$A$6:$P$178,9,FALSE),AB1036)</f>
        <v>0.41343584148043017</v>
      </c>
      <c r="AC1035" s="10">
        <f>IFERROR(VLOOKUP(Summary!B1035,'Pre-Summary'!$A$6:$P$184,5, FALSE)/100,AC1036)</f>
        <v>0.86886866666666673</v>
      </c>
      <c r="AD1035" s="10">
        <f>IFERROR(VLOOKUP(Summary!B1035,'Pre-Summary'!$A$6:$P$184,3, FALSE)/100,AD1036)</f>
        <v>4.5391000000000001E-2</v>
      </c>
      <c r="AE1035" s="10">
        <f>IFERROR(VLOOKUP(Summary!B1035,'Pre-Summary'!$A$6:$P$184,7, FALSE)/100,AE1036)</f>
        <v>8.5740333333333321E-2</v>
      </c>
      <c r="AF1035" s="99">
        <f t="shared" si="49"/>
        <v>1.8766266280638207E-2</v>
      </c>
      <c r="AG1035" s="99">
        <f t="shared" si="50"/>
        <v>3.544812686047924E-2</v>
      </c>
      <c r="AH1035" s="10" t="str">
        <f>IFERROR(VLOOKUP(B1035,'Pre-Summary'!$AZ$6:$BE$65,3,FALSE),"")</f>
        <v/>
      </c>
      <c r="AI1035" s="10" t="str">
        <f>IFERROR(VLOOKUP(B1035,'Pre-Summary'!$AZ$6:$BE$65,5,FALSE),"")</f>
        <v/>
      </c>
      <c r="AJ1035" s="10" t="str">
        <f>IFERROR(VLOOKUP(B1035,'Pre-Summary'!$AZ$6:$BE$65,4,FALSE),"")</f>
        <v/>
      </c>
      <c r="AK1035" s="10" t="str">
        <f>IFERROR(VLOOKUP(B1035,'Pre-Summary'!$AZ$6:$BE$65,6,FALSE),"")</f>
        <v/>
      </c>
      <c r="AL1035" s="10" t="str">
        <f>IFERROR(VLOOKUP(B1035,'Pre-Summary'!$BG$6:$BL$44,3,FALSE),"")</f>
        <v/>
      </c>
      <c r="AM1035" s="10" t="str">
        <f>IFERROR(VLOOKUP(B1035,'Pre-Summary'!$BG$6:$BL$44,4,FALSE),"")</f>
        <v/>
      </c>
    </row>
    <row r="1036" spans="2:39" ht="15" customHeight="1" x14ac:dyDescent="0.3">
      <c r="B1036">
        <v>103.3</v>
      </c>
      <c r="C1036" t="str">
        <f>IFERROR(VLOOKUP(B1036,'Pre-Summary'!$DI$6:$DM$23,4,FALSE),"")</f>
        <v/>
      </c>
      <c r="D1036" s="10" t="str">
        <f>IFERROR(VLOOKUP(B1036,'Pre-Summary'!$AT$6:$AX$14,5,FALSE),D1035)</f>
        <v>DSMZ v3: dropped yeast, casitone, and bicarb out of DSMZ 120</v>
      </c>
      <c r="E1036" s="10" t="str">
        <f>IFERROR(VLOOKUP(B1036,'Pre-Summary'!$AT$6:$AX$15,4,FALSE),"")</f>
        <v/>
      </c>
      <c r="F1036">
        <f>IFERROR(VLOOKUP(B1036,'Pre-Summary'!$AL$6:$AQ$13,6,FALSE),F1035)</f>
        <v>5.9405263157894746E-2</v>
      </c>
      <c r="G1036" t="str">
        <f>IFERROR(VLOOKUP(B1036,'Pre-Summary'!$AE$6:$AJ$85,3,FALSE),"")</f>
        <v/>
      </c>
      <c r="H1036" t="str">
        <f>IFERROR(VLOOKUP(B1036,'Pre-Summary'!$AE$6:$AJ$85,4,FALSE),"")</f>
        <v/>
      </c>
      <c r="I1036" t="str">
        <f>IFERROR(VLOOKUP(B1036,'Pre-Summary'!$AE$6:$AJ$85,5,FALSE),"")</f>
        <v/>
      </c>
      <c r="J1036" s="45" t="str">
        <f>IFERROR(VLOOKUP(B1036,'Pre-Summary'!$AE$6:$AJ$85,6, FALSE),"")</f>
        <v/>
      </c>
      <c r="K1036" s="45" t="str">
        <f>IFERROR(VLOOKUP(B1036,'Pre-Summary'!$DE$6:$DG$61,3,FALSE),"")</f>
        <v/>
      </c>
      <c r="L1036" s="45" t="str">
        <f>IFERROR(VLOOKUP(B1036,'Pre-Summary'!$CU$6:$CW$36,3,FALSE),"")</f>
        <v/>
      </c>
      <c r="M1036" s="45" t="str">
        <f>IFERROR(VLOOKUP(B1036,'Pre-Summary'!$BW$6:$BY$58,2,FALSE),"")</f>
        <v/>
      </c>
      <c r="N1036" s="45" t="str">
        <f>IFERROR(VLOOKUP(B1036,'Pre-Summary'!$CD$6:$CF$64,2,FALSE),"")</f>
        <v/>
      </c>
      <c r="O1036" s="99">
        <f>IFERROR(VLOOKUP(B1036,'Pre-Summary'!$BO$6:$BQ$48,3, FALSE),O1035)</f>
        <v>1</v>
      </c>
      <c r="P1036" s="99">
        <f>IFERROR(VLOOKUP(B1036,'Pre-Summary'!$BS$6:$BU$35,3,FALSE),P1035)</f>
        <v>0.25</v>
      </c>
      <c r="Q1036" s="54">
        <f t="shared" si="48"/>
        <v>4</v>
      </c>
      <c r="R1036" s="53">
        <f>IFERROR(VLOOKUP(B1036,'Pre-Summary'!$BG$6:$BM$44,7,FALSE),R1037)</f>
        <v>4.0839377512219534E-2</v>
      </c>
      <c r="S1036" s="53">
        <f>IFERROR(VLOOKUP(B1036,'Pre-Summary'!$BG$6:$BM$44,6,FALSE),S1037)</f>
        <v>3.561480302426305E-2</v>
      </c>
      <c r="T1036" s="45" t="str">
        <f>IFERROR(VLOOKUP(B1036,'Pre-Summary'!$Y$6:$AC$83, 3,FALSE),"")</f>
        <v/>
      </c>
      <c r="U1036" s="45" t="str">
        <f>IFERROR(VLOOKUP(B1036,'Pre-Summary'!$Y$6:$AC$83, 4,FALSE),"")</f>
        <v/>
      </c>
      <c r="V1036" t="str">
        <f>IFERROR(VLOOKUP(B1036,'Pre-Summary'!$Y$6:$AC$83, 5,FALSE),"")</f>
        <v/>
      </c>
      <c r="W1036" s="45" t="str">
        <f>IFERROR(VLOOKUP(B1036,'Pre-Summary'!$Y$6:$AD$83,6,FALSE),"")</f>
        <v/>
      </c>
      <c r="X1036" t="str">
        <f>IFERROR(VLOOKUP('Pre-Summary'!$DB$6:$DD$63,3,FALSE),"")</f>
        <v/>
      </c>
      <c r="Y1036" t="str">
        <f>IFERROR(VLOOKUP(B1036,'Pre-Summary'!$CR$6:$CT$36,3,FALSE),"")</f>
        <v/>
      </c>
      <c r="Z1036" s="45" t="str">
        <f>IFERROR(VLOOKUP(B1036,'Pre-Summary'!$BZ$6:$CB$63,2,FALSE),"")</f>
        <v/>
      </c>
      <c r="AA1036" s="45" t="str">
        <f>IFERROR(VLOOKUP(B1036,'Pre-Summary'!$CG$6:$CI$70,2,FALSE),"")</f>
        <v/>
      </c>
      <c r="AB1036" s="99">
        <f>IFERROR(VLOOKUP(B1036,'Pre-Summary'!$A$6:$P$178,9,FALSE),AB1037)</f>
        <v>0.41343584148043017</v>
      </c>
      <c r="AC1036" s="10">
        <f>IFERROR(VLOOKUP(Summary!B1036,'Pre-Summary'!$A$6:$P$184,5, FALSE)/100,AC1037)</f>
        <v>0.86886866666666673</v>
      </c>
      <c r="AD1036" s="10">
        <f>IFERROR(VLOOKUP(Summary!B1036,'Pre-Summary'!$A$6:$P$184,3, FALSE)/100,AD1037)</f>
        <v>4.5391000000000001E-2</v>
      </c>
      <c r="AE1036" s="10">
        <f>IFERROR(VLOOKUP(Summary!B1036,'Pre-Summary'!$A$6:$P$184,7, FALSE)/100,AE1037)</f>
        <v>8.5740333333333321E-2</v>
      </c>
      <c r="AF1036" s="99">
        <f t="shared" si="49"/>
        <v>1.8766266280638207E-2</v>
      </c>
      <c r="AG1036" s="99">
        <f t="shared" si="50"/>
        <v>3.544812686047924E-2</v>
      </c>
      <c r="AH1036" s="10" t="str">
        <f>IFERROR(VLOOKUP(B1036,'Pre-Summary'!$AZ$6:$BE$65,3,FALSE),"")</f>
        <v/>
      </c>
      <c r="AI1036" s="10" t="str">
        <f>IFERROR(VLOOKUP(B1036,'Pre-Summary'!$AZ$6:$BE$65,5,FALSE),"")</f>
        <v/>
      </c>
      <c r="AJ1036" s="10" t="str">
        <f>IFERROR(VLOOKUP(B1036,'Pre-Summary'!$AZ$6:$BE$65,4,FALSE),"")</f>
        <v/>
      </c>
      <c r="AK1036" s="10" t="str">
        <f>IFERROR(VLOOKUP(B1036,'Pre-Summary'!$AZ$6:$BE$65,6,FALSE),"")</f>
        <v/>
      </c>
      <c r="AL1036" s="10" t="str">
        <f>IFERROR(VLOOKUP(B1036,'Pre-Summary'!$BG$6:$BL$44,3,FALSE),"")</f>
        <v/>
      </c>
      <c r="AM1036" s="10" t="str">
        <f>IFERROR(VLOOKUP(B1036,'Pre-Summary'!$BG$6:$BL$44,4,FALSE),"")</f>
        <v/>
      </c>
    </row>
    <row r="1037" spans="2:39" ht="15" customHeight="1" x14ac:dyDescent="0.3">
      <c r="B1037">
        <v>103.4</v>
      </c>
      <c r="C1037" t="str">
        <f>IFERROR(VLOOKUP(B1037,'Pre-Summary'!$DI$6:$DM$23,4,FALSE),"")</f>
        <v/>
      </c>
      <c r="D1037" s="10" t="str">
        <f>IFERROR(VLOOKUP(B1037,'Pre-Summary'!$AT$6:$AX$14,5,FALSE),D1036)</f>
        <v>DSMZ v3: dropped yeast, casitone, and bicarb out of DSMZ 120</v>
      </c>
      <c r="E1037" s="10" t="str">
        <f>IFERROR(VLOOKUP(B1037,'Pre-Summary'!$AT$6:$AX$15,4,FALSE),"")</f>
        <v/>
      </c>
      <c r="F1037">
        <f>IFERROR(VLOOKUP(B1037,'Pre-Summary'!$AL$6:$AQ$13,6,FALSE),F1036)</f>
        <v>5.9405263157894746E-2</v>
      </c>
      <c r="G1037" t="str">
        <f>IFERROR(VLOOKUP(B1037,'Pre-Summary'!$AE$6:$AJ$85,3,FALSE),"")</f>
        <v/>
      </c>
      <c r="H1037" t="str">
        <f>IFERROR(VLOOKUP(B1037,'Pre-Summary'!$AE$6:$AJ$85,4,FALSE),"")</f>
        <v/>
      </c>
      <c r="I1037" t="str">
        <f>IFERROR(VLOOKUP(B1037,'Pre-Summary'!$AE$6:$AJ$85,5,FALSE),"")</f>
        <v/>
      </c>
      <c r="J1037" s="45" t="str">
        <f>IFERROR(VLOOKUP(B1037,'Pre-Summary'!$AE$6:$AJ$85,6, FALSE),"")</f>
        <v/>
      </c>
      <c r="K1037" s="45" t="str">
        <f>IFERROR(VLOOKUP(B1037,'Pre-Summary'!$DE$6:$DG$61,3,FALSE),"")</f>
        <v/>
      </c>
      <c r="L1037" s="45" t="str">
        <f>IFERROR(VLOOKUP(B1037,'Pre-Summary'!$CU$6:$CW$36,3,FALSE),"")</f>
        <v/>
      </c>
      <c r="M1037" s="45" t="str">
        <f>IFERROR(VLOOKUP(B1037,'Pre-Summary'!$BW$6:$BY$58,2,FALSE),"")</f>
        <v/>
      </c>
      <c r="N1037" s="45" t="str">
        <f>IFERROR(VLOOKUP(B1037,'Pre-Summary'!$CD$6:$CF$64,2,FALSE),"")</f>
        <v/>
      </c>
      <c r="O1037" s="99">
        <f>IFERROR(VLOOKUP(B1037,'Pre-Summary'!$BO$6:$BQ$48,3, FALSE),O1036)</f>
        <v>1</v>
      </c>
      <c r="P1037" s="99">
        <f>IFERROR(VLOOKUP(B1037,'Pre-Summary'!$BS$6:$BU$35,3,FALSE),P1036)</f>
        <v>0.25</v>
      </c>
      <c r="Q1037" s="54">
        <f t="shared" si="48"/>
        <v>4</v>
      </c>
      <c r="R1037" s="53">
        <f>IFERROR(VLOOKUP(B1037,'Pre-Summary'!$BG$6:$BM$44,7,FALSE),R1038)</f>
        <v>4.0839377512219534E-2</v>
      </c>
      <c r="S1037" s="53">
        <f>IFERROR(VLOOKUP(B1037,'Pre-Summary'!$BG$6:$BM$44,6,FALSE),S1038)</f>
        <v>3.561480302426305E-2</v>
      </c>
      <c r="T1037" s="45" t="str">
        <f>IFERROR(VLOOKUP(B1037,'Pre-Summary'!$Y$6:$AC$83, 3,FALSE),"")</f>
        <v/>
      </c>
      <c r="U1037" s="45" t="str">
        <f>IFERROR(VLOOKUP(B1037,'Pre-Summary'!$Y$6:$AC$83, 4,FALSE),"")</f>
        <v/>
      </c>
      <c r="V1037" t="str">
        <f>IFERROR(VLOOKUP(B1037,'Pre-Summary'!$Y$6:$AC$83, 5,FALSE),"")</f>
        <v/>
      </c>
      <c r="W1037" s="45" t="str">
        <f>IFERROR(VLOOKUP(B1037,'Pre-Summary'!$Y$6:$AD$83,6,FALSE),"")</f>
        <v/>
      </c>
      <c r="X1037" t="str">
        <f>IFERROR(VLOOKUP('Pre-Summary'!$DB$6:$DD$63,3,FALSE),"")</f>
        <v/>
      </c>
      <c r="Y1037" t="str">
        <f>IFERROR(VLOOKUP(B1037,'Pre-Summary'!$CR$6:$CT$36,3,FALSE),"")</f>
        <v/>
      </c>
      <c r="Z1037" s="45" t="str">
        <f>IFERROR(VLOOKUP(B1037,'Pre-Summary'!$BZ$6:$CB$63,2,FALSE),"")</f>
        <v/>
      </c>
      <c r="AA1037" s="45" t="str">
        <f>IFERROR(VLOOKUP(B1037,'Pre-Summary'!$CG$6:$CI$70,2,FALSE),"")</f>
        <v/>
      </c>
      <c r="AB1037" s="99">
        <f>IFERROR(VLOOKUP(B1037,'Pre-Summary'!$A$6:$P$178,9,FALSE),AB1038)</f>
        <v>0.41343584148043017</v>
      </c>
      <c r="AC1037" s="10">
        <f>IFERROR(VLOOKUP(Summary!B1037,'Pre-Summary'!$A$6:$P$184,5, FALSE)/100,AC1038)</f>
        <v>0.86886866666666673</v>
      </c>
      <c r="AD1037" s="10">
        <f>IFERROR(VLOOKUP(Summary!B1037,'Pre-Summary'!$A$6:$P$184,3, FALSE)/100,AD1038)</f>
        <v>4.5391000000000001E-2</v>
      </c>
      <c r="AE1037" s="10">
        <f>IFERROR(VLOOKUP(Summary!B1037,'Pre-Summary'!$A$6:$P$184,7, FALSE)/100,AE1038)</f>
        <v>8.5740333333333321E-2</v>
      </c>
      <c r="AF1037" s="99">
        <f t="shared" si="49"/>
        <v>1.8766266280638207E-2</v>
      </c>
      <c r="AG1037" s="99">
        <f t="shared" si="50"/>
        <v>3.544812686047924E-2</v>
      </c>
      <c r="AH1037" s="10" t="str">
        <f>IFERROR(VLOOKUP(B1037,'Pre-Summary'!$AZ$6:$BE$65,3,FALSE),"")</f>
        <v/>
      </c>
      <c r="AI1037" s="10" t="str">
        <f>IFERROR(VLOOKUP(B1037,'Pre-Summary'!$AZ$6:$BE$65,5,FALSE),"")</f>
        <v/>
      </c>
      <c r="AJ1037" s="10" t="str">
        <f>IFERROR(VLOOKUP(B1037,'Pre-Summary'!$AZ$6:$BE$65,4,FALSE),"")</f>
        <v/>
      </c>
      <c r="AK1037" s="10" t="str">
        <f>IFERROR(VLOOKUP(B1037,'Pre-Summary'!$AZ$6:$BE$65,6,FALSE),"")</f>
        <v/>
      </c>
      <c r="AL1037" s="10" t="str">
        <f>IFERROR(VLOOKUP(B1037,'Pre-Summary'!$BG$6:$BL$44,3,FALSE),"")</f>
        <v/>
      </c>
      <c r="AM1037" s="10" t="str">
        <f>IFERROR(VLOOKUP(B1037,'Pre-Summary'!$BG$6:$BL$44,4,FALSE),"")</f>
        <v/>
      </c>
    </row>
    <row r="1038" spans="2:39" ht="15" customHeight="1" x14ac:dyDescent="0.3">
      <c r="B1038">
        <v>103.5</v>
      </c>
      <c r="C1038" t="str">
        <f>IFERROR(VLOOKUP(B1038,'Pre-Summary'!$DI$6:$DM$23,4,FALSE),"")</f>
        <v/>
      </c>
      <c r="D1038" s="10" t="str">
        <f>IFERROR(VLOOKUP(B1038,'Pre-Summary'!$AT$6:$AX$14,5,FALSE),D1037)</f>
        <v>DSMZ v3: dropped yeast, casitone, and bicarb out of DSMZ 120</v>
      </c>
      <c r="E1038" s="10" t="str">
        <f>IFERROR(VLOOKUP(B1038,'Pre-Summary'!$AT$6:$AX$15,4,FALSE),"")</f>
        <v/>
      </c>
      <c r="F1038">
        <f>IFERROR(VLOOKUP(B1038,'Pre-Summary'!$AL$6:$AQ$13,6,FALSE),F1037)</f>
        <v>5.9405263157894746E-2</v>
      </c>
      <c r="G1038">
        <f>IFERROR(VLOOKUP(B1038,'Pre-Summary'!$AE$6:$AJ$85,3,FALSE),"")</f>
        <v>14.004</v>
      </c>
      <c r="H1038">
        <f>IFERROR(VLOOKUP(B1038,'Pre-Summary'!$AE$6:$AJ$85,4,FALSE),"")</f>
        <v>1.84</v>
      </c>
      <c r="I1038">
        <f>IFERROR(VLOOKUP(B1038,'Pre-Summary'!$AE$6:$AJ$85,5,FALSE),"")</f>
        <v>0</v>
      </c>
      <c r="J1038" s="45">
        <f>IFERROR(VLOOKUP(B1038,'Pre-Summary'!$AE$6:$AJ$85,6, FALSE),"")</f>
        <v>17.728027999999998</v>
      </c>
      <c r="K1038" s="45" t="str">
        <f>IFERROR(VLOOKUP(B1038,'Pre-Summary'!$DE$6:$DG$61,3,FALSE),"")</f>
        <v/>
      </c>
      <c r="L1038" s="45" t="str">
        <f>IFERROR(VLOOKUP(B1038,'Pre-Summary'!$CU$6:$CW$36,3,FALSE),"")</f>
        <v/>
      </c>
      <c r="M1038" s="45" t="str">
        <f>IFERROR(VLOOKUP(B1038,'Pre-Summary'!$BW$6:$BY$58,2,FALSE),"")</f>
        <v/>
      </c>
      <c r="N1038" s="45">
        <f>IFERROR(VLOOKUP(B1038,'Pre-Summary'!$CD$6:$CF$64,2,FALSE),"")</f>
        <v>3754.5832587005002</v>
      </c>
      <c r="O1038" s="99">
        <f>IFERROR(VLOOKUP(B1038,'Pre-Summary'!$BO$6:$BQ$48,3, FALSE),O1037)</f>
        <v>1</v>
      </c>
      <c r="P1038" s="99">
        <f>IFERROR(VLOOKUP(B1038,'Pre-Summary'!$BS$6:$BU$35,3,FALSE),P1037)</f>
        <v>0.25</v>
      </c>
      <c r="Q1038" s="54">
        <f t="shared" si="48"/>
        <v>4</v>
      </c>
      <c r="R1038" s="53">
        <f>IFERROR(VLOOKUP(B1038,'Pre-Summary'!$BG$6:$BM$44,7,FALSE),R1039)</f>
        <v>4.0839377512219534E-2</v>
      </c>
      <c r="S1038" s="53">
        <f>IFERROR(VLOOKUP(B1038,'Pre-Summary'!$BG$6:$BM$44,6,FALSE),S1039)</f>
        <v>3.561480302426305E-2</v>
      </c>
      <c r="T1038" s="45">
        <f>IFERROR(VLOOKUP(B1038,'Pre-Summary'!$Y$6:$AC$83, 3,FALSE),"")</f>
        <v>143.41499999999999</v>
      </c>
      <c r="U1038" s="45">
        <f>IFERROR(VLOOKUP(B1038,'Pre-Summary'!$Y$6:$AC$83, 4,FALSE),"")</f>
        <v>65.804999999999993</v>
      </c>
      <c r="V1038">
        <f>IFERROR(VLOOKUP(B1038,'Pre-Summary'!$Y$6:$AC$83, 5,FALSE),"")</f>
        <v>0</v>
      </c>
      <c r="W1038" s="45">
        <f>IFERROR(VLOOKUP(B1038,'Pre-Summary'!$Y$6:$AD$83,6,FALSE),"")</f>
        <v>252.65257499999996</v>
      </c>
      <c r="X1038" t="str">
        <f>IFERROR(VLOOKUP('Pre-Summary'!$DB$6:$DD$63,3,FALSE),"")</f>
        <v/>
      </c>
      <c r="Y1038" t="str">
        <f>IFERROR(VLOOKUP(B1038,'Pre-Summary'!$CR$6:$CT$36,3,FALSE),"")</f>
        <v/>
      </c>
      <c r="Z1038" s="45" t="str">
        <f>IFERROR(VLOOKUP(B1038,'Pre-Summary'!$BZ$6:$CB$63,2,FALSE),"")</f>
        <v/>
      </c>
      <c r="AA1038" s="45" t="str">
        <f>IFERROR(VLOOKUP(B1038,'Pre-Summary'!$CG$6:$CI$70,2,FALSE),"")</f>
        <v/>
      </c>
      <c r="AB1038" s="99">
        <f>IFERROR(VLOOKUP(B1038,'Pre-Summary'!$A$6:$P$178,9,FALSE),AB1039)</f>
        <v>0.41343584148043017</v>
      </c>
      <c r="AC1038" s="10">
        <f>IFERROR(VLOOKUP(Summary!B1038,'Pre-Summary'!$A$6:$P$184,5, FALSE)/100,AC1039)</f>
        <v>0.86886866666666673</v>
      </c>
      <c r="AD1038" s="10">
        <f>IFERROR(VLOOKUP(Summary!B1038,'Pre-Summary'!$A$6:$P$184,3, FALSE)/100,AD1039)</f>
        <v>4.5391000000000001E-2</v>
      </c>
      <c r="AE1038" s="10">
        <f>IFERROR(VLOOKUP(Summary!B1038,'Pre-Summary'!$A$6:$P$184,7, FALSE)/100,AE1039)</f>
        <v>8.5740333333333321E-2</v>
      </c>
      <c r="AF1038" s="99">
        <f t="shared" si="49"/>
        <v>1.8766266280638207E-2</v>
      </c>
      <c r="AG1038" s="99">
        <f t="shared" si="50"/>
        <v>3.544812686047924E-2</v>
      </c>
      <c r="AH1038" s="10" t="str">
        <f>IFERROR(VLOOKUP(B1038,'Pre-Summary'!$AZ$6:$BE$65,3,FALSE),"")</f>
        <v/>
      </c>
      <c r="AI1038" s="10" t="str">
        <f>IFERROR(VLOOKUP(B1038,'Pre-Summary'!$AZ$6:$BE$65,5,FALSE),"")</f>
        <v/>
      </c>
      <c r="AJ1038" s="10" t="str">
        <f>IFERROR(VLOOKUP(B1038,'Pre-Summary'!$AZ$6:$BE$65,4,FALSE),"")</f>
        <v/>
      </c>
      <c r="AK1038" s="10" t="str">
        <f>IFERROR(VLOOKUP(B1038,'Pre-Summary'!$AZ$6:$BE$65,6,FALSE),"")</f>
        <v/>
      </c>
      <c r="AL1038" s="10" t="str">
        <f>IFERROR(VLOOKUP(B1038,'Pre-Summary'!$BG$6:$BL$44,3,FALSE),"")</f>
        <v/>
      </c>
      <c r="AM1038" s="10" t="str">
        <f>IFERROR(VLOOKUP(B1038,'Pre-Summary'!$BG$6:$BL$44,4,FALSE),"")</f>
        <v/>
      </c>
    </row>
    <row r="1039" spans="2:39" ht="15" customHeight="1" x14ac:dyDescent="0.3">
      <c r="B1039">
        <v>103.6</v>
      </c>
      <c r="C1039" t="str">
        <f>IFERROR(VLOOKUP(B1039,'Pre-Summary'!$DI$6:$DM$23,4,FALSE),"")</f>
        <v/>
      </c>
      <c r="D1039" s="10" t="str">
        <f>IFERROR(VLOOKUP(B1039,'Pre-Summary'!$AT$6:$AX$14,5,FALSE),D1038)</f>
        <v>DSMZ v3: dropped yeast, casitone, and bicarb out of DSMZ 120</v>
      </c>
      <c r="E1039" s="10" t="str">
        <f>IFERROR(VLOOKUP(B1039,'Pre-Summary'!$AT$6:$AX$15,4,FALSE),"")</f>
        <v/>
      </c>
      <c r="F1039">
        <f>IFERROR(VLOOKUP(B1039,'Pre-Summary'!$AL$6:$AQ$13,6,FALSE),F1038)</f>
        <v>5.9405263157894746E-2</v>
      </c>
      <c r="G1039" t="str">
        <f>IFERROR(VLOOKUP(B1039,'Pre-Summary'!$AE$6:$AJ$85,3,FALSE),"")</f>
        <v/>
      </c>
      <c r="H1039" t="str">
        <f>IFERROR(VLOOKUP(B1039,'Pre-Summary'!$AE$6:$AJ$85,4,FALSE),"")</f>
        <v/>
      </c>
      <c r="I1039" t="str">
        <f>IFERROR(VLOOKUP(B1039,'Pre-Summary'!$AE$6:$AJ$85,5,FALSE),"")</f>
        <v/>
      </c>
      <c r="J1039" s="45" t="str">
        <f>IFERROR(VLOOKUP(B1039,'Pre-Summary'!$AE$6:$AJ$85,6, FALSE),"")</f>
        <v/>
      </c>
      <c r="K1039" s="45" t="str">
        <f>IFERROR(VLOOKUP(B1039,'Pre-Summary'!$DE$6:$DG$61,3,FALSE),"")</f>
        <v/>
      </c>
      <c r="L1039" s="45" t="str">
        <f>IFERROR(VLOOKUP(B1039,'Pre-Summary'!$CU$6:$CW$36,3,FALSE),"")</f>
        <v/>
      </c>
      <c r="M1039" s="45" t="str">
        <f>IFERROR(VLOOKUP(B1039,'Pre-Summary'!$BW$6:$BY$58,2,FALSE),"")</f>
        <v/>
      </c>
      <c r="N1039" s="45" t="str">
        <f>IFERROR(VLOOKUP(B1039,'Pre-Summary'!$CD$6:$CF$64,2,FALSE),"")</f>
        <v/>
      </c>
      <c r="O1039" s="99">
        <f>IFERROR(VLOOKUP(B1039,'Pre-Summary'!$BO$6:$BQ$48,3, FALSE),O1038)</f>
        <v>1</v>
      </c>
      <c r="P1039" s="99">
        <f>IFERROR(VLOOKUP(B1039,'Pre-Summary'!$BS$6:$BU$35,3,FALSE),P1038)</f>
        <v>0.25</v>
      </c>
      <c r="Q1039" s="54">
        <f t="shared" si="48"/>
        <v>4</v>
      </c>
      <c r="R1039" s="53">
        <f>IFERROR(VLOOKUP(B1039,'Pre-Summary'!$BG$6:$BM$44,7,FALSE),R1040)</f>
        <v>4.0839377512219534E-2</v>
      </c>
      <c r="S1039" s="53">
        <f>IFERROR(VLOOKUP(B1039,'Pre-Summary'!$BG$6:$BM$44,6,FALSE),S1040)</f>
        <v>3.561480302426305E-2</v>
      </c>
      <c r="T1039" s="45" t="str">
        <f>IFERROR(VLOOKUP(B1039,'Pre-Summary'!$Y$6:$AC$83, 3,FALSE),"")</f>
        <v/>
      </c>
      <c r="U1039" s="45" t="str">
        <f>IFERROR(VLOOKUP(B1039,'Pre-Summary'!$Y$6:$AC$83, 4,FALSE),"")</f>
        <v/>
      </c>
      <c r="V1039" t="str">
        <f>IFERROR(VLOOKUP(B1039,'Pre-Summary'!$Y$6:$AC$83, 5,FALSE),"")</f>
        <v/>
      </c>
      <c r="W1039" s="45" t="str">
        <f>IFERROR(VLOOKUP(B1039,'Pre-Summary'!$Y$6:$AD$83,6,FALSE),"")</f>
        <v/>
      </c>
      <c r="X1039" t="str">
        <f>IFERROR(VLOOKUP('Pre-Summary'!$DB$6:$DD$63,3,FALSE),"")</f>
        <v/>
      </c>
      <c r="Y1039" t="str">
        <f>IFERROR(VLOOKUP(B1039,'Pre-Summary'!$CR$6:$CT$36,3,FALSE),"")</f>
        <v/>
      </c>
      <c r="Z1039" s="45" t="str">
        <f>IFERROR(VLOOKUP(B1039,'Pre-Summary'!$BZ$6:$CB$63,2,FALSE),"")</f>
        <v/>
      </c>
      <c r="AA1039" s="45" t="str">
        <f>IFERROR(VLOOKUP(B1039,'Pre-Summary'!$CG$6:$CI$70,2,FALSE),"")</f>
        <v/>
      </c>
      <c r="AB1039" s="99">
        <f>IFERROR(VLOOKUP(B1039,'Pre-Summary'!$A$6:$P$178,9,FALSE),AB1040)</f>
        <v>0.41343584148043017</v>
      </c>
      <c r="AC1039" s="10">
        <f>IFERROR(VLOOKUP(Summary!B1039,'Pre-Summary'!$A$6:$P$184,5, FALSE)/100,AC1040)</f>
        <v>0.86886866666666673</v>
      </c>
      <c r="AD1039" s="10">
        <f>IFERROR(VLOOKUP(Summary!B1039,'Pre-Summary'!$A$6:$P$184,3, FALSE)/100,AD1040)</f>
        <v>4.5391000000000001E-2</v>
      </c>
      <c r="AE1039" s="10">
        <f>IFERROR(VLOOKUP(Summary!B1039,'Pre-Summary'!$A$6:$P$184,7, FALSE)/100,AE1040)</f>
        <v>8.5740333333333321E-2</v>
      </c>
      <c r="AF1039" s="99">
        <f t="shared" si="49"/>
        <v>1.8766266280638207E-2</v>
      </c>
      <c r="AG1039" s="99">
        <f t="shared" si="50"/>
        <v>3.544812686047924E-2</v>
      </c>
      <c r="AH1039" s="10" t="str">
        <f>IFERROR(VLOOKUP(B1039,'Pre-Summary'!$AZ$6:$BE$65,3,FALSE),"")</f>
        <v/>
      </c>
      <c r="AI1039" s="10" t="str">
        <f>IFERROR(VLOOKUP(B1039,'Pre-Summary'!$AZ$6:$BE$65,5,FALSE),"")</f>
        <v/>
      </c>
      <c r="AJ1039" s="10" t="str">
        <f>IFERROR(VLOOKUP(B1039,'Pre-Summary'!$AZ$6:$BE$65,4,FALSE),"")</f>
        <v/>
      </c>
      <c r="AK1039" s="10" t="str">
        <f>IFERROR(VLOOKUP(B1039,'Pre-Summary'!$AZ$6:$BE$65,6,FALSE),"")</f>
        <v/>
      </c>
      <c r="AL1039" s="10" t="str">
        <f>IFERROR(VLOOKUP(B1039,'Pre-Summary'!$BG$6:$BL$44,3,FALSE),"")</f>
        <v/>
      </c>
      <c r="AM1039" s="10" t="str">
        <f>IFERROR(VLOOKUP(B1039,'Pre-Summary'!$BG$6:$BL$44,4,FALSE),"")</f>
        <v/>
      </c>
    </row>
    <row r="1040" spans="2:39" ht="15" customHeight="1" x14ac:dyDescent="0.3">
      <c r="B1040">
        <v>103.7</v>
      </c>
      <c r="C1040" t="str">
        <f>IFERROR(VLOOKUP(B1040,'Pre-Summary'!$DI$6:$DM$23,4,FALSE),"")</f>
        <v/>
      </c>
      <c r="D1040" s="10" t="str">
        <f>IFERROR(VLOOKUP(B1040,'Pre-Summary'!$AT$6:$AX$14,5,FALSE),D1039)</f>
        <v>DSMZ v3: dropped yeast, casitone, and bicarb out of DSMZ 120</v>
      </c>
      <c r="E1040" s="10" t="str">
        <f>IFERROR(VLOOKUP(B1040,'Pre-Summary'!$AT$6:$AX$15,4,FALSE),"")</f>
        <v/>
      </c>
      <c r="F1040">
        <f>IFERROR(VLOOKUP(B1040,'Pre-Summary'!$AL$6:$AQ$13,6,FALSE),F1039)</f>
        <v>5.9405263157894746E-2</v>
      </c>
      <c r="G1040" t="str">
        <f>IFERROR(VLOOKUP(B1040,'Pre-Summary'!$AE$6:$AJ$85,3,FALSE),"")</f>
        <v/>
      </c>
      <c r="H1040" t="str">
        <f>IFERROR(VLOOKUP(B1040,'Pre-Summary'!$AE$6:$AJ$85,4,FALSE),"")</f>
        <v/>
      </c>
      <c r="I1040" t="str">
        <f>IFERROR(VLOOKUP(B1040,'Pre-Summary'!$AE$6:$AJ$85,5,FALSE),"")</f>
        <v/>
      </c>
      <c r="J1040" s="45" t="str">
        <f>IFERROR(VLOOKUP(B1040,'Pre-Summary'!$AE$6:$AJ$85,6, FALSE),"")</f>
        <v/>
      </c>
      <c r="K1040" s="45" t="str">
        <f>IFERROR(VLOOKUP(B1040,'Pre-Summary'!$DE$6:$DG$61,3,FALSE),"")</f>
        <v/>
      </c>
      <c r="L1040" s="45" t="str">
        <f>IFERROR(VLOOKUP(B1040,'Pre-Summary'!$CU$6:$CW$36,3,FALSE),"")</f>
        <v/>
      </c>
      <c r="M1040" s="45" t="str">
        <f>IFERROR(VLOOKUP(B1040,'Pre-Summary'!$BW$6:$BY$58,2,FALSE),"")</f>
        <v/>
      </c>
      <c r="N1040" s="45" t="str">
        <f>IFERROR(VLOOKUP(B1040,'Pre-Summary'!$CD$6:$CF$64,2,FALSE),"")</f>
        <v/>
      </c>
      <c r="O1040" s="99">
        <f>IFERROR(VLOOKUP(B1040,'Pre-Summary'!$BO$6:$BQ$48,3, FALSE),O1039)</f>
        <v>1</v>
      </c>
      <c r="P1040" s="99">
        <f>IFERROR(VLOOKUP(B1040,'Pre-Summary'!$BS$6:$BU$35,3,FALSE),P1039)</f>
        <v>0.25</v>
      </c>
      <c r="Q1040" s="54">
        <f t="shared" si="48"/>
        <v>4</v>
      </c>
      <c r="R1040" s="53">
        <f>IFERROR(VLOOKUP(B1040,'Pre-Summary'!$BG$6:$BM$44,7,FALSE),R1041)</f>
        <v>4.0839377512219534E-2</v>
      </c>
      <c r="S1040" s="53">
        <f>IFERROR(VLOOKUP(B1040,'Pre-Summary'!$BG$6:$BM$44,6,FALSE),S1041)</f>
        <v>3.561480302426305E-2</v>
      </c>
      <c r="T1040" s="45" t="str">
        <f>IFERROR(VLOOKUP(B1040,'Pre-Summary'!$Y$6:$AC$83, 3,FALSE),"")</f>
        <v/>
      </c>
      <c r="U1040" s="45" t="str">
        <f>IFERROR(VLOOKUP(B1040,'Pre-Summary'!$Y$6:$AC$83, 4,FALSE),"")</f>
        <v/>
      </c>
      <c r="V1040" t="str">
        <f>IFERROR(VLOOKUP(B1040,'Pre-Summary'!$Y$6:$AC$83, 5,FALSE),"")</f>
        <v/>
      </c>
      <c r="W1040" s="45" t="str">
        <f>IFERROR(VLOOKUP(B1040,'Pre-Summary'!$Y$6:$AD$83,6,FALSE),"")</f>
        <v/>
      </c>
      <c r="X1040" t="str">
        <f>IFERROR(VLOOKUP('Pre-Summary'!$DB$6:$DD$63,3,FALSE),"")</f>
        <v/>
      </c>
      <c r="Y1040" t="str">
        <f>IFERROR(VLOOKUP(B1040,'Pre-Summary'!$CR$6:$CT$36,3,FALSE),"")</f>
        <v/>
      </c>
      <c r="Z1040" s="45" t="str">
        <f>IFERROR(VLOOKUP(B1040,'Pre-Summary'!$BZ$6:$CB$63,2,FALSE),"")</f>
        <v/>
      </c>
      <c r="AA1040" s="45" t="str">
        <f>IFERROR(VLOOKUP(B1040,'Pre-Summary'!$CG$6:$CI$70,2,FALSE),"")</f>
        <v/>
      </c>
      <c r="AB1040" s="99">
        <f>IFERROR(VLOOKUP(B1040,'Pre-Summary'!$A$6:$P$178,9,FALSE),AB1041)</f>
        <v>0.41343584148043017</v>
      </c>
      <c r="AC1040" s="10">
        <f>IFERROR(VLOOKUP(Summary!B1040,'Pre-Summary'!$A$6:$P$184,5, FALSE)/100,AC1041)</f>
        <v>0.86886866666666673</v>
      </c>
      <c r="AD1040" s="10">
        <f>IFERROR(VLOOKUP(Summary!B1040,'Pre-Summary'!$A$6:$P$184,3, FALSE)/100,AD1041)</f>
        <v>4.5391000000000001E-2</v>
      </c>
      <c r="AE1040" s="10">
        <f>IFERROR(VLOOKUP(Summary!B1040,'Pre-Summary'!$A$6:$P$184,7, FALSE)/100,AE1041)</f>
        <v>8.5740333333333321E-2</v>
      </c>
      <c r="AF1040" s="99">
        <f t="shared" si="49"/>
        <v>1.8766266280638207E-2</v>
      </c>
      <c r="AG1040" s="99">
        <f t="shared" si="50"/>
        <v>3.544812686047924E-2</v>
      </c>
      <c r="AH1040" s="10" t="str">
        <f>IFERROR(VLOOKUP(B1040,'Pre-Summary'!$AZ$6:$BE$65,3,FALSE),"")</f>
        <v/>
      </c>
      <c r="AI1040" s="10" t="str">
        <f>IFERROR(VLOOKUP(B1040,'Pre-Summary'!$AZ$6:$BE$65,5,FALSE),"")</f>
        <v/>
      </c>
      <c r="AJ1040" s="10" t="str">
        <f>IFERROR(VLOOKUP(B1040,'Pre-Summary'!$AZ$6:$BE$65,4,FALSE),"")</f>
        <v/>
      </c>
      <c r="AK1040" s="10" t="str">
        <f>IFERROR(VLOOKUP(B1040,'Pre-Summary'!$AZ$6:$BE$65,6,FALSE),"")</f>
        <v/>
      </c>
      <c r="AL1040" s="10" t="str">
        <f>IFERROR(VLOOKUP(B1040,'Pre-Summary'!$BG$6:$BL$44,3,FALSE),"")</f>
        <v/>
      </c>
      <c r="AM1040" s="10" t="str">
        <f>IFERROR(VLOOKUP(B1040,'Pre-Summary'!$BG$6:$BL$44,4,FALSE),"")</f>
        <v/>
      </c>
    </row>
    <row r="1041" spans="2:39" ht="15" customHeight="1" x14ac:dyDescent="0.3">
      <c r="B1041">
        <v>103.8</v>
      </c>
      <c r="C1041" t="str">
        <f>IFERROR(VLOOKUP(B1041,'Pre-Summary'!$DI$6:$DM$23,4,FALSE),"")</f>
        <v/>
      </c>
      <c r="D1041" s="10" t="str">
        <f>IFERROR(VLOOKUP(B1041,'Pre-Summary'!$AT$6:$AX$14,5,FALSE),D1040)</f>
        <v>DSMZ v3: dropped yeast, casitone, and bicarb out of DSMZ 120</v>
      </c>
      <c r="E1041" s="10" t="str">
        <f>IFERROR(VLOOKUP(B1041,'Pre-Summary'!$AT$6:$AX$15,4,FALSE),"")</f>
        <v/>
      </c>
      <c r="F1041">
        <f>IFERROR(VLOOKUP(B1041,'Pre-Summary'!$AL$6:$AQ$13,6,FALSE),F1040)</f>
        <v>5.9405263157894746E-2</v>
      </c>
      <c r="G1041" t="str">
        <f>IFERROR(VLOOKUP(B1041,'Pre-Summary'!$AE$6:$AJ$85,3,FALSE),"")</f>
        <v/>
      </c>
      <c r="H1041" t="str">
        <f>IFERROR(VLOOKUP(B1041,'Pre-Summary'!$AE$6:$AJ$85,4,FALSE),"")</f>
        <v/>
      </c>
      <c r="I1041" t="str">
        <f>IFERROR(VLOOKUP(B1041,'Pre-Summary'!$AE$6:$AJ$85,5,FALSE),"")</f>
        <v/>
      </c>
      <c r="J1041" s="45" t="str">
        <f>IFERROR(VLOOKUP(B1041,'Pre-Summary'!$AE$6:$AJ$85,6, FALSE),"")</f>
        <v/>
      </c>
      <c r="K1041" s="45" t="str">
        <f>IFERROR(VLOOKUP(B1041,'Pre-Summary'!$DE$6:$DG$61,3,FALSE),"")</f>
        <v/>
      </c>
      <c r="L1041" s="45" t="str">
        <f>IFERROR(VLOOKUP(B1041,'Pre-Summary'!$CU$6:$CW$36,3,FALSE),"")</f>
        <v/>
      </c>
      <c r="M1041" s="45" t="str">
        <f>IFERROR(VLOOKUP(B1041,'Pre-Summary'!$BW$6:$BY$58,2,FALSE),"")</f>
        <v/>
      </c>
      <c r="N1041" s="45" t="str">
        <f>IFERROR(VLOOKUP(B1041,'Pre-Summary'!$CD$6:$CF$64,2,FALSE),"")</f>
        <v/>
      </c>
      <c r="O1041" s="99">
        <f>IFERROR(VLOOKUP(B1041,'Pre-Summary'!$BO$6:$BQ$48,3, FALSE),O1040)</f>
        <v>1</v>
      </c>
      <c r="P1041" s="99">
        <f>IFERROR(VLOOKUP(B1041,'Pre-Summary'!$BS$6:$BU$35,3,FALSE),P1040)</f>
        <v>0.25</v>
      </c>
      <c r="Q1041" s="54">
        <f t="shared" si="48"/>
        <v>4</v>
      </c>
      <c r="R1041" s="53">
        <f>IFERROR(VLOOKUP(B1041,'Pre-Summary'!$BG$6:$BM$44,7,FALSE),R1042)</f>
        <v>4.0839377512219534E-2</v>
      </c>
      <c r="S1041" s="53">
        <f>IFERROR(VLOOKUP(B1041,'Pre-Summary'!$BG$6:$BM$44,6,FALSE),S1042)</f>
        <v>3.561480302426305E-2</v>
      </c>
      <c r="T1041" s="45" t="str">
        <f>IFERROR(VLOOKUP(B1041,'Pre-Summary'!$Y$6:$AC$83, 3,FALSE),"")</f>
        <v/>
      </c>
      <c r="U1041" s="45" t="str">
        <f>IFERROR(VLOOKUP(B1041,'Pre-Summary'!$Y$6:$AC$83, 4,FALSE),"")</f>
        <v/>
      </c>
      <c r="V1041" t="str">
        <f>IFERROR(VLOOKUP(B1041,'Pre-Summary'!$Y$6:$AC$83, 5,FALSE),"")</f>
        <v/>
      </c>
      <c r="W1041" s="45" t="str">
        <f>IFERROR(VLOOKUP(B1041,'Pre-Summary'!$Y$6:$AD$83,6,FALSE),"")</f>
        <v/>
      </c>
      <c r="X1041" t="str">
        <f>IFERROR(VLOOKUP('Pre-Summary'!$DB$6:$DD$63,3,FALSE),"")</f>
        <v/>
      </c>
      <c r="Y1041" t="str">
        <f>IFERROR(VLOOKUP(B1041,'Pre-Summary'!$CR$6:$CT$36,3,FALSE),"")</f>
        <v/>
      </c>
      <c r="Z1041" s="45" t="str">
        <f>IFERROR(VLOOKUP(B1041,'Pre-Summary'!$BZ$6:$CB$63,2,FALSE),"")</f>
        <v/>
      </c>
      <c r="AA1041" s="45" t="str">
        <f>IFERROR(VLOOKUP(B1041,'Pre-Summary'!$CG$6:$CI$70,2,FALSE),"")</f>
        <v/>
      </c>
      <c r="AB1041" s="99">
        <f>IFERROR(VLOOKUP(B1041,'Pre-Summary'!$A$6:$P$178,9,FALSE),AB1042)</f>
        <v>0.41343584148043017</v>
      </c>
      <c r="AC1041" s="10">
        <f>IFERROR(VLOOKUP(Summary!B1041,'Pre-Summary'!$A$6:$P$184,5, FALSE)/100,AC1042)</f>
        <v>0.86886866666666673</v>
      </c>
      <c r="AD1041" s="10">
        <f>IFERROR(VLOOKUP(Summary!B1041,'Pre-Summary'!$A$6:$P$184,3, FALSE)/100,AD1042)</f>
        <v>4.5391000000000001E-2</v>
      </c>
      <c r="AE1041" s="10">
        <f>IFERROR(VLOOKUP(Summary!B1041,'Pre-Summary'!$A$6:$P$184,7, FALSE)/100,AE1042)</f>
        <v>8.5740333333333321E-2</v>
      </c>
      <c r="AF1041" s="99">
        <f t="shared" si="49"/>
        <v>1.8766266280638207E-2</v>
      </c>
      <c r="AG1041" s="99">
        <f t="shared" si="50"/>
        <v>3.544812686047924E-2</v>
      </c>
      <c r="AH1041" s="10" t="str">
        <f>IFERROR(VLOOKUP(B1041,'Pre-Summary'!$AZ$6:$BE$65,3,FALSE),"")</f>
        <v/>
      </c>
      <c r="AI1041" s="10" t="str">
        <f>IFERROR(VLOOKUP(B1041,'Pre-Summary'!$AZ$6:$BE$65,5,FALSE),"")</f>
        <v/>
      </c>
      <c r="AJ1041" s="10" t="str">
        <f>IFERROR(VLOOKUP(B1041,'Pre-Summary'!$AZ$6:$BE$65,4,FALSE),"")</f>
        <v/>
      </c>
      <c r="AK1041" s="10" t="str">
        <f>IFERROR(VLOOKUP(B1041,'Pre-Summary'!$AZ$6:$BE$65,6,FALSE),"")</f>
        <v/>
      </c>
      <c r="AL1041" s="10" t="str">
        <f>IFERROR(VLOOKUP(B1041,'Pre-Summary'!$BG$6:$BL$44,3,FALSE),"")</f>
        <v/>
      </c>
      <c r="AM1041" s="10" t="str">
        <f>IFERROR(VLOOKUP(B1041,'Pre-Summary'!$BG$6:$BL$44,4,FALSE),"")</f>
        <v/>
      </c>
    </row>
    <row r="1042" spans="2:39" ht="15" customHeight="1" x14ac:dyDescent="0.3">
      <c r="B1042">
        <v>103.9</v>
      </c>
      <c r="C1042" t="str">
        <f>IFERROR(VLOOKUP(B1042,'Pre-Summary'!$DI$6:$DM$23,4,FALSE),"")</f>
        <v/>
      </c>
      <c r="D1042" s="10" t="str">
        <f>IFERROR(VLOOKUP(B1042,'Pre-Summary'!$AT$6:$AX$14,5,FALSE),D1041)</f>
        <v>DSMZ v3: dropped yeast, casitone, and bicarb out of DSMZ 120</v>
      </c>
      <c r="E1042" s="10" t="str">
        <f>IFERROR(VLOOKUP(B1042,'Pre-Summary'!$AT$6:$AX$15,4,FALSE),"")</f>
        <v/>
      </c>
      <c r="F1042">
        <f>IFERROR(VLOOKUP(B1042,'Pre-Summary'!$AL$6:$AQ$13,6,FALSE),F1041)</f>
        <v>5.9405263157894746E-2</v>
      </c>
      <c r="G1042" t="str">
        <f>IFERROR(VLOOKUP(B1042,'Pre-Summary'!$AE$6:$AJ$85,3,FALSE),"")</f>
        <v/>
      </c>
      <c r="H1042" t="str">
        <f>IFERROR(VLOOKUP(B1042,'Pre-Summary'!$AE$6:$AJ$85,4,FALSE),"")</f>
        <v/>
      </c>
      <c r="I1042" t="str">
        <f>IFERROR(VLOOKUP(B1042,'Pre-Summary'!$AE$6:$AJ$85,5,FALSE),"")</f>
        <v/>
      </c>
      <c r="J1042" s="45" t="str">
        <f>IFERROR(VLOOKUP(B1042,'Pre-Summary'!$AE$6:$AJ$85,6, FALSE),"")</f>
        <v/>
      </c>
      <c r="K1042" s="45" t="str">
        <f>IFERROR(VLOOKUP(B1042,'Pre-Summary'!$DE$6:$DG$61,3,FALSE),"")</f>
        <v/>
      </c>
      <c r="L1042" s="45">
        <f>IFERROR(VLOOKUP(B1042,'Pre-Summary'!$CU$6:$CW$36,3,FALSE),"")</f>
        <v>146.75</v>
      </c>
      <c r="M1042" s="45" t="str">
        <f>IFERROR(VLOOKUP(B1042,'Pre-Summary'!$BW$6:$BY$58,2,FALSE),"")</f>
        <v/>
      </c>
      <c r="N1042" s="45" t="str">
        <f>IFERROR(VLOOKUP(B1042,'Pre-Summary'!$CD$6:$CF$64,2,FALSE),"")</f>
        <v/>
      </c>
      <c r="O1042" s="99">
        <f>IFERROR(VLOOKUP(B1042,'Pre-Summary'!$BO$6:$BQ$48,3, FALSE),O1041)</f>
        <v>1</v>
      </c>
      <c r="P1042" s="99">
        <f>IFERROR(VLOOKUP(B1042,'Pre-Summary'!$BS$6:$BU$35,3,FALSE),P1041)</f>
        <v>0.25</v>
      </c>
      <c r="Q1042" s="54">
        <f t="shared" si="48"/>
        <v>4</v>
      </c>
      <c r="R1042" s="53">
        <f>IFERROR(VLOOKUP(B1042,'Pre-Summary'!$BG$6:$BM$44,7,FALSE),R1043)</f>
        <v>4.0839377512219534E-2</v>
      </c>
      <c r="S1042" s="53">
        <f>IFERROR(VLOOKUP(B1042,'Pre-Summary'!$BG$6:$BM$44,6,FALSE),S1043)</f>
        <v>3.561480302426305E-2</v>
      </c>
      <c r="T1042" s="45" t="str">
        <f>IFERROR(VLOOKUP(B1042,'Pre-Summary'!$Y$6:$AC$83, 3,FALSE),"")</f>
        <v/>
      </c>
      <c r="U1042" s="45" t="str">
        <f>IFERROR(VLOOKUP(B1042,'Pre-Summary'!$Y$6:$AC$83, 4,FALSE),"")</f>
        <v/>
      </c>
      <c r="V1042" t="str">
        <f>IFERROR(VLOOKUP(B1042,'Pre-Summary'!$Y$6:$AC$83, 5,FALSE),"")</f>
        <v/>
      </c>
      <c r="W1042" s="45" t="str">
        <f>IFERROR(VLOOKUP(B1042,'Pre-Summary'!$Y$6:$AD$83,6,FALSE),"")</f>
        <v/>
      </c>
      <c r="X1042" t="str">
        <f>IFERROR(VLOOKUP('Pre-Summary'!$DB$6:$DD$63,3,FALSE),"")</f>
        <v/>
      </c>
      <c r="Y1042">
        <f>IFERROR(VLOOKUP(B1042,'Pre-Summary'!$CR$6:$CT$36,3,FALSE),"")</f>
        <v>279.60000000000002</v>
      </c>
      <c r="Z1042" s="45">
        <f>IFERROR(VLOOKUP(B1042,'Pre-Summary'!$BZ$6:$CB$63,2,FALSE),"")</f>
        <v>219.1129562840743</v>
      </c>
      <c r="AA1042" s="45">
        <f>IFERROR(VLOOKUP(B1042,'Pre-Summary'!$CG$6:$CI$70,2,FALSE),"")</f>
        <v>512.55727416804973</v>
      </c>
      <c r="AB1042" s="99">
        <f>IFERROR(VLOOKUP(B1042,'Pre-Summary'!$A$6:$P$178,9,FALSE),AB1043)</f>
        <v>0.41343584148043017</v>
      </c>
      <c r="AC1042" s="10">
        <f>IFERROR(VLOOKUP(Summary!B1042,'Pre-Summary'!$A$6:$P$184,5, FALSE)/100,AC1043)</f>
        <v>0.86886866666666673</v>
      </c>
      <c r="AD1042" s="10">
        <f>IFERROR(VLOOKUP(Summary!B1042,'Pre-Summary'!$A$6:$P$184,3, FALSE)/100,AD1043)</f>
        <v>4.5391000000000001E-2</v>
      </c>
      <c r="AE1042" s="10">
        <f>IFERROR(VLOOKUP(Summary!B1042,'Pre-Summary'!$A$6:$P$184,7, FALSE)/100,AE1043)</f>
        <v>8.5740333333333321E-2</v>
      </c>
      <c r="AF1042" s="99">
        <f t="shared" si="49"/>
        <v>1.8766266280638207E-2</v>
      </c>
      <c r="AG1042" s="99">
        <f t="shared" si="50"/>
        <v>3.544812686047924E-2</v>
      </c>
      <c r="AH1042" s="10" t="str">
        <f>IFERROR(VLOOKUP(B1042,'Pre-Summary'!$AZ$6:$BE$65,3,FALSE),"")</f>
        <v/>
      </c>
      <c r="AI1042" s="10" t="str">
        <f>IFERROR(VLOOKUP(B1042,'Pre-Summary'!$AZ$6:$BE$65,5,FALSE),"")</f>
        <v/>
      </c>
      <c r="AJ1042" s="10" t="str">
        <f>IFERROR(VLOOKUP(B1042,'Pre-Summary'!$AZ$6:$BE$65,4,FALSE),"")</f>
        <v/>
      </c>
      <c r="AK1042" s="10" t="str">
        <f>IFERROR(VLOOKUP(B1042,'Pre-Summary'!$AZ$6:$BE$65,6,FALSE),"")</f>
        <v/>
      </c>
      <c r="AL1042" s="10" t="str">
        <f>IFERROR(VLOOKUP(B1042,'Pre-Summary'!$BG$6:$BL$44,3,FALSE),"")</f>
        <v/>
      </c>
      <c r="AM1042" s="10" t="str">
        <f>IFERROR(VLOOKUP(B1042,'Pre-Summary'!$BG$6:$BL$44,4,FALSE),"")</f>
        <v/>
      </c>
    </row>
    <row r="1043" spans="2:39" ht="15" customHeight="1" x14ac:dyDescent="0.3">
      <c r="B1043">
        <v>104</v>
      </c>
      <c r="C1043" t="str">
        <f>IFERROR(VLOOKUP(B1043,'Pre-Summary'!$DI$6:$DM$23,4,FALSE),"")</f>
        <v/>
      </c>
      <c r="D1043" s="10" t="str">
        <f>IFERROR(VLOOKUP(B1043,'Pre-Summary'!$AT$6:$AX$14,5,FALSE),D1042)</f>
        <v>DSMZ v3: dropped yeast, casitone, and bicarb out of DSMZ 120</v>
      </c>
      <c r="E1043" s="10" t="str">
        <f>IFERROR(VLOOKUP(B1043,'Pre-Summary'!$AT$6:$AX$15,4,FALSE),"")</f>
        <v/>
      </c>
      <c r="F1043">
        <f>IFERROR(VLOOKUP(B1043,'Pre-Summary'!$AL$6:$AQ$13,6,FALSE),F1042)</f>
        <v>5.9405263157894746E-2</v>
      </c>
      <c r="G1043" t="str">
        <f>IFERROR(VLOOKUP(B1043,'Pre-Summary'!$AE$6:$AJ$85,3,FALSE),"")</f>
        <v/>
      </c>
      <c r="H1043" t="str">
        <f>IFERROR(VLOOKUP(B1043,'Pre-Summary'!$AE$6:$AJ$85,4,FALSE),"")</f>
        <v/>
      </c>
      <c r="I1043" t="str">
        <f>IFERROR(VLOOKUP(B1043,'Pre-Summary'!$AE$6:$AJ$85,5,FALSE),"")</f>
        <v/>
      </c>
      <c r="J1043" s="45" t="str">
        <f>IFERROR(VLOOKUP(B1043,'Pre-Summary'!$AE$6:$AJ$85,6, FALSE),"")</f>
        <v/>
      </c>
      <c r="K1043" s="45" t="str">
        <f>IFERROR(VLOOKUP(B1043,'Pre-Summary'!$DE$6:$DG$61,3,FALSE),"")</f>
        <v/>
      </c>
      <c r="L1043" s="45" t="str">
        <f>IFERROR(VLOOKUP(B1043,'Pre-Summary'!$CU$6:$CW$36,3,FALSE),"")</f>
        <v/>
      </c>
      <c r="M1043" s="45" t="str">
        <f>IFERROR(VLOOKUP(B1043,'Pre-Summary'!$BW$6:$BY$58,2,FALSE),"")</f>
        <v/>
      </c>
      <c r="N1043" s="45" t="str">
        <f>IFERROR(VLOOKUP(B1043,'Pre-Summary'!$CD$6:$CF$64,2,FALSE),"")</f>
        <v/>
      </c>
      <c r="O1043" s="99">
        <f>IFERROR(VLOOKUP(B1043,'Pre-Summary'!$BO$6:$BQ$48,3, FALSE),O1042)</f>
        <v>1</v>
      </c>
      <c r="P1043" s="99">
        <f>IFERROR(VLOOKUP(B1043,'Pre-Summary'!$BS$6:$BU$35,3,FALSE),P1042)</f>
        <v>0.25</v>
      </c>
      <c r="Q1043" s="54">
        <f t="shared" si="48"/>
        <v>4</v>
      </c>
      <c r="R1043" s="53">
        <f>IFERROR(VLOOKUP(B1043,'Pre-Summary'!$BG$6:$BM$44,7,FALSE),R1044)</f>
        <v>4.0839377512219534E-2</v>
      </c>
      <c r="S1043" s="53">
        <f>IFERROR(VLOOKUP(B1043,'Pre-Summary'!$BG$6:$BM$44,6,FALSE),S1044)</f>
        <v>3.561480302426305E-2</v>
      </c>
      <c r="T1043" s="45" t="str">
        <f>IFERROR(VLOOKUP(B1043,'Pre-Summary'!$Y$6:$AC$83, 3,FALSE),"")</f>
        <v/>
      </c>
      <c r="U1043" s="45" t="str">
        <f>IFERROR(VLOOKUP(B1043,'Pre-Summary'!$Y$6:$AC$83, 4,FALSE),"")</f>
        <v/>
      </c>
      <c r="V1043" t="str">
        <f>IFERROR(VLOOKUP(B1043,'Pre-Summary'!$Y$6:$AC$83, 5,FALSE),"")</f>
        <v/>
      </c>
      <c r="W1043" s="45" t="str">
        <f>IFERROR(VLOOKUP(B1043,'Pre-Summary'!$Y$6:$AD$83,6,FALSE),"")</f>
        <v/>
      </c>
      <c r="X1043" t="str">
        <f>IFERROR(VLOOKUP('Pre-Summary'!$DB$6:$DD$63,3,FALSE),"")</f>
        <v/>
      </c>
      <c r="Y1043" t="str">
        <f>IFERROR(VLOOKUP(B1043,'Pre-Summary'!$CR$6:$CT$36,3,FALSE),"")</f>
        <v/>
      </c>
      <c r="Z1043" s="45" t="str">
        <f>IFERROR(VLOOKUP(B1043,'Pre-Summary'!$BZ$6:$CB$63,2,FALSE),"")</f>
        <v/>
      </c>
      <c r="AA1043" s="45" t="str">
        <f>IFERROR(VLOOKUP(B1043,'Pre-Summary'!$CG$6:$CI$70,2,FALSE),"")</f>
        <v/>
      </c>
      <c r="AB1043" s="99">
        <f>IFERROR(VLOOKUP(B1043,'Pre-Summary'!$A$6:$P$178,9,FALSE),AB1044)</f>
        <v>0.50944710327423315</v>
      </c>
      <c r="AC1043" s="10">
        <f>IFERROR(VLOOKUP(Summary!B1043,'Pre-Summary'!$A$6:$P$184,5, FALSE)/100,AC1044)</f>
        <v>0.90854199999999996</v>
      </c>
      <c r="AD1043" s="10">
        <f>IFERROR(VLOOKUP(Summary!B1043,'Pre-Summary'!$A$6:$P$184,3, FALSE)/100,AD1044)</f>
        <v>1.1944999999999999E-2</v>
      </c>
      <c r="AE1043" s="10">
        <f>IFERROR(VLOOKUP(Summary!B1043,'Pre-Summary'!$A$6:$P$184,7, FALSE)/100,AE1044)</f>
        <v>7.9513E-2</v>
      </c>
      <c r="AF1043" s="99">
        <f t="shared" si="49"/>
        <v>6.0853456486107144E-3</v>
      </c>
      <c r="AG1043" s="99">
        <f t="shared" si="50"/>
        <v>4.0507667522644099E-2</v>
      </c>
      <c r="AH1043" s="10">
        <f>IFERROR(VLOOKUP(B1043,'Pre-Summary'!$AZ$6:$BE$65,3,FALSE),"")</f>
        <v>1530</v>
      </c>
      <c r="AI1043" s="10">
        <f>IFERROR(VLOOKUP(B1043,'Pre-Summary'!$AZ$6:$BE$65,5,FALSE),"")</f>
        <v>110</v>
      </c>
      <c r="AJ1043" s="10">
        <f>IFERROR(VLOOKUP(B1043,'Pre-Summary'!$AZ$6:$BE$65,4,FALSE),"")</f>
        <v>1319</v>
      </c>
      <c r="AK1043" s="10">
        <f>IFERROR(VLOOKUP(B1043,'Pre-Summary'!$AZ$6:$BE$65,6,FALSE),"")</f>
        <v>78</v>
      </c>
      <c r="AL1043" s="10">
        <f>IFERROR(VLOOKUP(B1043,'Pre-Summary'!$BG$6:$BL$44,3,FALSE),"")</f>
        <v>25.988820094097477</v>
      </c>
      <c r="AM1043" s="10">
        <f>IFERROR(VLOOKUP(B1043,'Pre-Summary'!$BG$6:$BL$44,4,FALSE),"")</f>
        <v>8.7744413407847652</v>
      </c>
    </row>
    <row r="1044" spans="2:39" ht="15" customHeight="1" x14ac:dyDescent="0.3">
      <c r="B1044">
        <v>104.1</v>
      </c>
      <c r="C1044" t="str">
        <f>IFERROR(VLOOKUP(B1044,'Pre-Summary'!$DI$6:$DM$23,4,FALSE),"")</f>
        <v/>
      </c>
      <c r="D1044" s="10" t="str">
        <f>IFERROR(VLOOKUP(B1044,'Pre-Summary'!$AT$6:$AX$14,5,FALSE),D1043)</f>
        <v>DSMZ v3: dropped yeast, casitone, and bicarb out of DSMZ 120</v>
      </c>
      <c r="E1044" s="10" t="str">
        <f>IFERROR(VLOOKUP(B1044,'Pre-Summary'!$AT$6:$AX$15,4,FALSE),"")</f>
        <v/>
      </c>
      <c r="F1044">
        <f>IFERROR(VLOOKUP(B1044,'Pre-Summary'!$AL$6:$AQ$13,6,FALSE),F1043)</f>
        <v>5.9405263157894746E-2</v>
      </c>
      <c r="G1044" t="str">
        <f>IFERROR(VLOOKUP(B1044,'Pre-Summary'!$AE$6:$AJ$85,3,FALSE),"")</f>
        <v/>
      </c>
      <c r="H1044" t="str">
        <f>IFERROR(VLOOKUP(B1044,'Pre-Summary'!$AE$6:$AJ$85,4,FALSE),"")</f>
        <v/>
      </c>
      <c r="I1044" t="str">
        <f>IFERROR(VLOOKUP(B1044,'Pre-Summary'!$AE$6:$AJ$85,5,FALSE),"")</f>
        <v/>
      </c>
      <c r="J1044" s="45" t="str">
        <f>IFERROR(VLOOKUP(B1044,'Pre-Summary'!$AE$6:$AJ$85,6, FALSE),"")</f>
        <v/>
      </c>
      <c r="K1044" s="45" t="str">
        <f>IFERROR(VLOOKUP(B1044,'Pre-Summary'!$DE$6:$DG$61,3,FALSE),"")</f>
        <v/>
      </c>
      <c r="L1044" s="45" t="str">
        <f>IFERROR(VLOOKUP(B1044,'Pre-Summary'!$CU$6:$CW$36,3,FALSE),"")</f>
        <v/>
      </c>
      <c r="M1044" s="45" t="str">
        <f>IFERROR(VLOOKUP(B1044,'Pre-Summary'!$BW$6:$BY$58,2,FALSE),"")</f>
        <v/>
      </c>
      <c r="N1044" s="45" t="str">
        <f>IFERROR(VLOOKUP(B1044,'Pre-Summary'!$CD$6:$CF$64,2,FALSE),"")</f>
        <v/>
      </c>
      <c r="O1044" s="99">
        <f>IFERROR(VLOOKUP(B1044,'Pre-Summary'!$BO$6:$BQ$48,3, FALSE),O1043)</f>
        <v>1</v>
      </c>
      <c r="P1044" s="99">
        <f>IFERROR(VLOOKUP(B1044,'Pre-Summary'!$BS$6:$BU$35,3,FALSE),P1043)</f>
        <v>0.25</v>
      </c>
      <c r="Q1044" s="54">
        <f t="shared" si="48"/>
        <v>4</v>
      </c>
      <c r="R1044" s="53">
        <f>IFERROR(VLOOKUP(B1044,'Pre-Summary'!$BG$6:$BM$44,7,FALSE),R1045)</f>
        <v>7.6574939085447311E-2</v>
      </c>
      <c r="S1044" s="53">
        <f>IFERROR(VLOOKUP(B1044,'Pre-Summary'!$BG$6:$BM$44,6,FALSE),S1045)</f>
        <v>6.8761751275839902E-2</v>
      </c>
      <c r="T1044" s="45" t="str">
        <f>IFERROR(VLOOKUP(B1044,'Pre-Summary'!$Y$6:$AC$83, 3,FALSE),"")</f>
        <v/>
      </c>
      <c r="U1044" s="45" t="str">
        <f>IFERROR(VLOOKUP(B1044,'Pre-Summary'!$Y$6:$AC$83, 4,FALSE),"")</f>
        <v/>
      </c>
      <c r="V1044" t="str">
        <f>IFERROR(VLOOKUP(B1044,'Pre-Summary'!$Y$6:$AC$83, 5,FALSE),"")</f>
        <v/>
      </c>
      <c r="W1044" s="45" t="str">
        <f>IFERROR(VLOOKUP(B1044,'Pre-Summary'!$Y$6:$AD$83,6,FALSE),"")</f>
        <v/>
      </c>
      <c r="X1044" t="str">
        <f>IFERROR(VLOOKUP('Pre-Summary'!$DB$6:$DD$63,3,FALSE),"")</f>
        <v/>
      </c>
      <c r="Y1044" t="str">
        <f>IFERROR(VLOOKUP(B1044,'Pre-Summary'!$CR$6:$CT$36,3,FALSE),"")</f>
        <v/>
      </c>
      <c r="Z1044" s="45" t="str">
        <f>IFERROR(VLOOKUP(B1044,'Pre-Summary'!$BZ$6:$CB$63,2,FALSE),"")</f>
        <v/>
      </c>
      <c r="AA1044" s="45" t="str">
        <f>IFERROR(VLOOKUP(B1044,'Pre-Summary'!$CG$6:$CI$70,2,FALSE),"")</f>
        <v/>
      </c>
      <c r="AB1044" s="99">
        <f>IFERROR(VLOOKUP(B1044,'Pre-Summary'!$A$6:$P$178,9,FALSE),AB1045)</f>
        <v>0.50944710327423315</v>
      </c>
      <c r="AC1044" s="10">
        <f>IFERROR(VLOOKUP(Summary!B1044,'Pre-Summary'!$A$6:$P$184,5, FALSE)/100,AC1045)</f>
        <v>0.90854199999999996</v>
      </c>
      <c r="AD1044" s="10">
        <f>IFERROR(VLOOKUP(Summary!B1044,'Pre-Summary'!$A$6:$P$184,3, FALSE)/100,AD1045)</f>
        <v>1.1944999999999999E-2</v>
      </c>
      <c r="AE1044" s="10">
        <f>IFERROR(VLOOKUP(Summary!B1044,'Pre-Summary'!$A$6:$P$184,7, FALSE)/100,AE1045)</f>
        <v>7.9513E-2</v>
      </c>
      <c r="AF1044" s="99">
        <f t="shared" si="49"/>
        <v>6.0853456486107144E-3</v>
      </c>
      <c r="AG1044" s="99">
        <f t="shared" si="50"/>
        <v>4.0507667522644099E-2</v>
      </c>
      <c r="AH1044" s="10" t="str">
        <f>IFERROR(VLOOKUP(B1044,'Pre-Summary'!$AZ$6:$BE$65,3,FALSE),"")</f>
        <v/>
      </c>
      <c r="AI1044" s="10" t="str">
        <f>IFERROR(VLOOKUP(B1044,'Pre-Summary'!$AZ$6:$BE$65,5,FALSE),"")</f>
        <v/>
      </c>
      <c r="AJ1044" s="10" t="str">
        <f>IFERROR(VLOOKUP(B1044,'Pre-Summary'!$AZ$6:$BE$65,4,FALSE),"")</f>
        <v/>
      </c>
      <c r="AK1044" s="10" t="str">
        <f>IFERROR(VLOOKUP(B1044,'Pre-Summary'!$AZ$6:$BE$65,6,FALSE),"")</f>
        <v/>
      </c>
      <c r="AL1044" s="10" t="str">
        <f>IFERROR(VLOOKUP(B1044,'Pre-Summary'!$BG$6:$BL$44,3,FALSE),"")</f>
        <v/>
      </c>
      <c r="AM1044" s="10" t="str">
        <f>IFERROR(VLOOKUP(B1044,'Pre-Summary'!$BG$6:$BL$44,4,FALSE),"")</f>
        <v/>
      </c>
    </row>
    <row r="1045" spans="2:39" ht="15" customHeight="1" x14ac:dyDescent="0.3">
      <c r="B1045">
        <v>104.2</v>
      </c>
      <c r="C1045" t="str">
        <f>IFERROR(VLOOKUP(B1045,'Pre-Summary'!$DI$6:$DM$23,4,FALSE),"")</f>
        <v/>
      </c>
      <c r="D1045" s="10" t="str">
        <f>IFERROR(VLOOKUP(B1045,'Pre-Summary'!$AT$6:$AX$14,5,FALSE),D1044)</f>
        <v>DSMZ v3: dropped yeast, casitone, and bicarb out of DSMZ 120</v>
      </c>
      <c r="E1045" s="10" t="str">
        <f>IFERROR(VLOOKUP(B1045,'Pre-Summary'!$AT$6:$AX$15,4,FALSE),"")</f>
        <v/>
      </c>
      <c r="F1045">
        <f>IFERROR(VLOOKUP(B1045,'Pre-Summary'!$AL$6:$AQ$13,6,FALSE),F1044)</f>
        <v>5.9405263157894746E-2</v>
      </c>
      <c r="G1045" t="str">
        <f>IFERROR(VLOOKUP(B1045,'Pre-Summary'!$AE$6:$AJ$85,3,FALSE),"")</f>
        <v/>
      </c>
      <c r="H1045" t="str">
        <f>IFERROR(VLOOKUP(B1045,'Pre-Summary'!$AE$6:$AJ$85,4,FALSE),"")</f>
        <v/>
      </c>
      <c r="I1045" t="str">
        <f>IFERROR(VLOOKUP(B1045,'Pre-Summary'!$AE$6:$AJ$85,5,FALSE),"")</f>
        <v/>
      </c>
      <c r="J1045" s="45" t="str">
        <f>IFERROR(VLOOKUP(B1045,'Pre-Summary'!$AE$6:$AJ$85,6, FALSE),"")</f>
        <v/>
      </c>
      <c r="K1045" s="45" t="str">
        <f>IFERROR(VLOOKUP(B1045,'Pre-Summary'!$DE$6:$DG$61,3,FALSE),"")</f>
        <v/>
      </c>
      <c r="L1045" s="45" t="str">
        <f>IFERROR(VLOOKUP(B1045,'Pre-Summary'!$CU$6:$CW$36,3,FALSE),"")</f>
        <v/>
      </c>
      <c r="M1045" s="45" t="str">
        <f>IFERROR(VLOOKUP(B1045,'Pre-Summary'!$BW$6:$BY$58,2,FALSE),"")</f>
        <v/>
      </c>
      <c r="N1045" s="45" t="str">
        <f>IFERROR(VLOOKUP(B1045,'Pre-Summary'!$CD$6:$CF$64,2,FALSE),"")</f>
        <v/>
      </c>
      <c r="O1045" s="99">
        <f>IFERROR(VLOOKUP(B1045,'Pre-Summary'!$BO$6:$BQ$48,3, FALSE),O1044)</f>
        <v>1</v>
      </c>
      <c r="P1045" s="99">
        <f>IFERROR(VLOOKUP(B1045,'Pre-Summary'!$BS$6:$BU$35,3,FALSE),P1044)</f>
        <v>0.25</v>
      </c>
      <c r="Q1045" s="54">
        <f t="shared" si="48"/>
        <v>4</v>
      </c>
      <c r="R1045" s="53">
        <f>IFERROR(VLOOKUP(B1045,'Pre-Summary'!$BG$6:$BM$44,7,FALSE),R1046)</f>
        <v>7.6574939085447311E-2</v>
      </c>
      <c r="S1045" s="53">
        <f>IFERROR(VLOOKUP(B1045,'Pre-Summary'!$BG$6:$BM$44,6,FALSE),S1046)</f>
        <v>6.8761751275839902E-2</v>
      </c>
      <c r="T1045" s="45" t="str">
        <f>IFERROR(VLOOKUP(B1045,'Pre-Summary'!$Y$6:$AC$83, 3,FALSE),"")</f>
        <v/>
      </c>
      <c r="U1045" s="45" t="str">
        <f>IFERROR(VLOOKUP(B1045,'Pre-Summary'!$Y$6:$AC$83, 4,FALSE),"")</f>
        <v/>
      </c>
      <c r="V1045" t="str">
        <f>IFERROR(VLOOKUP(B1045,'Pre-Summary'!$Y$6:$AC$83, 5,FALSE),"")</f>
        <v/>
      </c>
      <c r="W1045" s="45" t="str">
        <f>IFERROR(VLOOKUP(B1045,'Pre-Summary'!$Y$6:$AD$83,6,FALSE),"")</f>
        <v/>
      </c>
      <c r="X1045" t="str">
        <f>IFERROR(VLOOKUP('Pre-Summary'!$DB$6:$DD$63,3,FALSE),"")</f>
        <v/>
      </c>
      <c r="Y1045" t="str">
        <f>IFERROR(VLOOKUP(B1045,'Pre-Summary'!$CR$6:$CT$36,3,FALSE),"")</f>
        <v/>
      </c>
      <c r="Z1045" s="45" t="str">
        <f>IFERROR(VLOOKUP(B1045,'Pre-Summary'!$BZ$6:$CB$63,2,FALSE),"")</f>
        <v/>
      </c>
      <c r="AA1045" s="45" t="str">
        <f>IFERROR(VLOOKUP(B1045,'Pre-Summary'!$CG$6:$CI$70,2,FALSE),"")</f>
        <v/>
      </c>
      <c r="AB1045" s="99">
        <f>IFERROR(VLOOKUP(B1045,'Pre-Summary'!$A$6:$P$178,9,FALSE),AB1046)</f>
        <v>0.50944710327423315</v>
      </c>
      <c r="AC1045" s="10">
        <f>IFERROR(VLOOKUP(Summary!B1045,'Pre-Summary'!$A$6:$P$184,5, FALSE)/100,AC1046)</f>
        <v>0.90854199999999996</v>
      </c>
      <c r="AD1045" s="10">
        <f>IFERROR(VLOOKUP(Summary!B1045,'Pre-Summary'!$A$6:$P$184,3, FALSE)/100,AD1046)</f>
        <v>1.1944999999999999E-2</v>
      </c>
      <c r="AE1045" s="10">
        <f>IFERROR(VLOOKUP(Summary!B1045,'Pre-Summary'!$A$6:$P$184,7, FALSE)/100,AE1046)</f>
        <v>7.9513E-2</v>
      </c>
      <c r="AF1045" s="99">
        <f t="shared" si="49"/>
        <v>6.0853456486107144E-3</v>
      </c>
      <c r="AG1045" s="99">
        <f t="shared" si="50"/>
        <v>4.0507667522644099E-2</v>
      </c>
      <c r="AH1045" s="10" t="str">
        <f>IFERROR(VLOOKUP(B1045,'Pre-Summary'!$AZ$6:$BE$65,3,FALSE),"")</f>
        <v/>
      </c>
      <c r="AI1045" s="10" t="str">
        <f>IFERROR(VLOOKUP(B1045,'Pre-Summary'!$AZ$6:$BE$65,5,FALSE),"")</f>
        <v/>
      </c>
      <c r="AJ1045" s="10" t="str">
        <f>IFERROR(VLOOKUP(B1045,'Pre-Summary'!$AZ$6:$BE$65,4,FALSE),"")</f>
        <v/>
      </c>
      <c r="AK1045" s="10" t="str">
        <f>IFERROR(VLOOKUP(B1045,'Pre-Summary'!$AZ$6:$BE$65,6,FALSE),"")</f>
        <v/>
      </c>
      <c r="AL1045" s="10" t="str">
        <f>IFERROR(VLOOKUP(B1045,'Pre-Summary'!$BG$6:$BL$44,3,FALSE),"")</f>
        <v/>
      </c>
      <c r="AM1045" s="10" t="str">
        <f>IFERROR(VLOOKUP(B1045,'Pre-Summary'!$BG$6:$BL$44,4,FALSE),"")</f>
        <v/>
      </c>
    </row>
    <row r="1046" spans="2:39" ht="15" customHeight="1" x14ac:dyDescent="0.3">
      <c r="B1046">
        <v>104.3</v>
      </c>
      <c r="C1046" t="str">
        <f>IFERROR(VLOOKUP(B1046,'Pre-Summary'!$DI$6:$DM$23,4,FALSE),"")</f>
        <v/>
      </c>
      <c r="D1046" s="10" t="str">
        <f>IFERROR(VLOOKUP(B1046,'Pre-Summary'!$AT$6:$AX$14,5,FALSE),D1045)</f>
        <v>DSMZ v3: dropped yeast, casitone, and bicarb out of DSMZ 120</v>
      </c>
      <c r="E1046" s="10" t="str">
        <f>IFERROR(VLOOKUP(B1046,'Pre-Summary'!$AT$6:$AX$15,4,FALSE),"")</f>
        <v/>
      </c>
      <c r="F1046">
        <f>IFERROR(VLOOKUP(B1046,'Pre-Summary'!$AL$6:$AQ$13,6,FALSE),F1045)</f>
        <v>5.9405263157894746E-2</v>
      </c>
      <c r="G1046" t="str">
        <f>IFERROR(VLOOKUP(B1046,'Pre-Summary'!$AE$6:$AJ$85,3,FALSE),"")</f>
        <v/>
      </c>
      <c r="H1046" t="str">
        <f>IFERROR(VLOOKUP(B1046,'Pre-Summary'!$AE$6:$AJ$85,4,FALSE),"")</f>
        <v/>
      </c>
      <c r="I1046" t="str">
        <f>IFERROR(VLOOKUP(B1046,'Pre-Summary'!$AE$6:$AJ$85,5,FALSE),"")</f>
        <v/>
      </c>
      <c r="J1046" s="45" t="str">
        <f>IFERROR(VLOOKUP(B1046,'Pre-Summary'!$AE$6:$AJ$85,6, FALSE),"")</f>
        <v/>
      </c>
      <c r="K1046" s="45" t="str">
        <f>IFERROR(VLOOKUP(B1046,'Pre-Summary'!$DE$6:$DG$61,3,FALSE),"")</f>
        <v/>
      </c>
      <c r="L1046" s="45" t="str">
        <f>IFERROR(VLOOKUP(B1046,'Pre-Summary'!$CU$6:$CW$36,3,FALSE),"")</f>
        <v/>
      </c>
      <c r="M1046" s="45" t="str">
        <f>IFERROR(VLOOKUP(B1046,'Pre-Summary'!$BW$6:$BY$58,2,FALSE),"")</f>
        <v/>
      </c>
      <c r="N1046" s="45" t="str">
        <f>IFERROR(VLOOKUP(B1046,'Pre-Summary'!$CD$6:$CF$64,2,FALSE),"")</f>
        <v/>
      </c>
      <c r="O1046" s="99">
        <f>IFERROR(VLOOKUP(B1046,'Pre-Summary'!$BO$6:$BQ$48,3, FALSE),O1045)</f>
        <v>1</v>
      </c>
      <c r="P1046" s="99">
        <f>IFERROR(VLOOKUP(B1046,'Pre-Summary'!$BS$6:$BU$35,3,FALSE),P1045)</f>
        <v>0.25</v>
      </c>
      <c r="Q1046" s="54">
        <f t="shared" si="48"/>
        <v>4</v>
      </c>
      <c r="R1046" s="53">
        <f>IFERROR(VLOOKUP(B1046,'Pre-Summary'!$BG$6:$BM$44,7,FALSE),R1047)</f>
        <v>7.6574939085447311E-2</v>
      </c>
      <c r="S1046" s="53">
        <f>IFERROR(VLOOKUP(B1046,'Pre-Summary'!$BG$6:$BM$44,6,FALSE),S1047)</f>
        <v>6.8761751275839902E-2</v>
      </c>
      <c r="T1046" s="45" t="str">
        <f>IFERROR(VLOOKUP(B1046,'Pre-Summary'!$Y$6:$AC$83, 3,FALSE),"")</f>
        <v/>
      </c>
      <c r="U1046" s="45" t="str">
        <f>IFERROR(VLOOKUP(B1046,'Pre-Summary'!$Y$6:$AC$83, 4,FALSE),"")</f>
        <v/>
      </c>
      <c r="V1046" t="str">
        <f>IFERROR(VLOOKUP(B1046,'Pre-Summary'!$Y$6:$AC$83, 5,FALSE),"")</f>
        <v/>
      </c>
      <c r="W1046" s="45" t="str">
        <f>IFERROR(VLOOKUP(B1046,'Pre-Summary'!$Y$6:$AD$83,6,FALSE),"")</f>
        <v/>
      </c>
      <c r="X1046" t="str">
        <f>IFERROR(VLOOKUP('Pre-Summary'!$DB$6:$DD$63,3,FALSE),"")</f>
        <v/>
      </c>
      <c r="Y1046" t="str">
        <f>IFERROR(VLOOKUP(B1046,'Pre-Summary'!$CR$6:$CT$36,3,FALSE),"")</f>
        <v/>
      </c>
      <c r="Z1046" s="45" t="str">
        <f>IFERROR(VLOOKUP(B1046,'Pre-Summary'!$BZ$6:$CB$63,2,FALSE),"")</f>
        <v/>
      </c>
      <c r="AA1046" s="45" t="str">
        <f>IFERROR(VLOOKUP(B1046,'Pre-Summary'!$CG$6:$CI$70,2,FALSE),"")</f>
        <v/>
      </c>
      <c r="AB1046" s="99">
        <f>IFERROR(VLOOKUP(B1046,'Pre-Summary'!$A$6:$P$178,9,FALSE),AB1047)</f>
        <v>0.50944710327423315</v>
      </c>
      <c r="AC1046" s="10">
        <f>IFERROR(VLOOKUP(Summary!B1046,'Pre-Summary'!$A$6:$P$184,5, FALSE)/100,AC1047)</f>
        <v>0.90854199999999996</v>
      </c>
      <c r="AD1046" s="10">
        <f>IFERROR(VLOOKUP(Summary!B1046,'Pre-Summary'!$A$6:$P$184,3, FALSE)/100,AD1047)</f>
        <v>1.1944999999999999E-2</v>
      </c>
      <c r="AE1046" s="10">
        <f>IFERROR(VLOOKUP(Summary!B1046,'Pre-Summary'!$A$6:$P$184,7, FALSE)/100,AE1047)</f>
        <v>7.9513E-2</v>
      </c>
      <c r="AF1046" s="99">
        <f t="shared" si="49"/>
        <v>6.0853456486107144E-3</v>
      </c>
      <c r="AG1046" s="99">
        <f t="shared" si="50"/>
        <v>4.0507667522644099E-2</v>
      </c>
      <c r="AH1046" s="10" t="str">
        <f>IFERROR(VLOOKUP(B1046,'Pre-Summary'!$AZ$6:$BE$65,3,FALSE),"")</f>
        <v/>
      </c>
      <c r="AI1046" s="10" t="str">
        <f>IFERROR(VLOOKUP(B1046,'Pre-Summary'!$AZ$6:$BE$65,5,FALSE),"")</f>
        <v/>
      </c>
      <c r="AJ1046" s="10" t="str">
        <f>IFERROR(VLOOKUP(B1046,'Pre-Summary'!$AZ$6:$BE$65,4,FALSE),"")</f>
        <v/>
      </c>
      <c r="AK1046" s="10" t="str">
        <f>IFERROR(VLOOKUP(B1046,'Pre-Summary'!$AZ$6:$BE$65,6,FALSE),"")</f>
        <v/>
      </c>
      <c r="AL1046" s="10" t="str">
        <f>IFERROR(VLOOKUP(B1046,'Pre-Summary'!$BG$6:$BL$44,3,FALSE),"")</f>
        <v/>
      </c>
      <c r="AM1046" s="10" t="str">
        <f>IFERROR(VLOOKUP(B1046,'Pre-Summary'!$BG$6:$BL$44,4,FALSE),"")</f>
        <v/>
      </c>
    </row>
    <row r="1047" spans="2:39" ht="15" customHeight="1" x14ac:dyDescent="0.3">
      <c r="B1047">
        <v>104.4</v>
      </c>
      <c r="C1047" t="str">
        <f>IFERROR(VLOOKUP(B1047,'Pre-Summary'!$DI$6:$DM$23,4,FALSE),"")</f>
        <v/>
      </c>
      <c r="D1047" s="10" t="str">
        <f>IFERROR(VLOOKUP(B1047,'Pre-Summary'!$AT$6:$AX$14,5,FALSE),D1046)</f>
        <v>DSMZ v3: dropped yeast, casitone, and bicarb out of DSMZ 120</v>
      </c>
      <c r="E1047" s="10" t="str">
        <f>IFERROR(VLOOKUP(B1047,'Pre-Summary'!$AT$6:$AX$15,4,FALSE),"")</f>
        <v/>
      </c>
      <c r="F1047">
        <f>IFERROR(VLOOKUP(B1047,'Pre-Summary'!$AL$6:$AQ$13,6,FALSE),F1046)</f>
        <v>5.9405263157894746E-2</v>
      </c>
      <c r="G1047" t="str">
        <f>IFERROR(VLOOKUP(B1047,'Pre-Summary'!$AE$6:$AJ$85,3,FALSE),"")</f>
        <v/>
      </c>
      <c r="H1047" t="str">
        <f>IFERROR(VLOOKUP(B1047,'Pre-Summary'!$AE$6:$AJ$85,4,FALSE),"")</f>
        <v/>
      </c>
      <c r="I1047" t="str">
        <f>IFERROR(VLOOKUP(B1047,'Pre-Summary'!$AE$6:$AJ$85,5,FALSE),"")</f>
        <v/>
      </c>
      <c r="J1047" s="45" t="str">
        <f>IFERROR(VLOOKUP(B1047,'Pre-Summary'!$AE$6:$AJ$85,6, FALSE),"")</f>
        <v/>
      </c>
      <c r="K1047" s="45" t="str">
        <f>IFERROR(VLOOKUP(B1047,'Pre-Summary'!$DE$6:$DG$61,3,FALSE),"")</f>
        <v/>
      </c>
      <c r="L1047" s="45" t="str">
        <f>IFERROR(VLOOKUP(B1047,'Pre-Summary'!$CU$6:$CW$36,3,FALSE),"")</f>
        <v/>
      </c>
      <c r="M1047" s="45" t="str">
        <f>IFERROR(VLOOKUP(B1047,'Pre-Summary'!$BW$6:$BY$58,2,FALSE),"")</f>
        <v/>
      </c>
      <c r="N1047" s="45" t="str">
        <f>IFERROR(VLOOKUP(B1047,'Pre-Summary'!$CD$6:$CF$64,2,FALSE),"")</f>
        <v/>
      </c>
      <c r="O1047" s="99">
        <f>IFERROR(VLOOKUP(B1047,'Pre-Summary'!$BO$6:$BQ$48,3, FALSE),O1046)</f>
        <v>1</v>
      </c>
      <c r="P1047" s="99">
        <f>IFERROR(VLOOKUP(B1047,'Pre-Summary'!$BS$6:$BU$35,3,FALSE),P1046)</f>
        <v>0.25</v>
      </c>
      <c r="Q1047" s="54">
        <f t="shared" si="48"/>
        <v>4</v>
      </c>
      <c r="R1047" s="53">
        <f>IFERROR(VLOOKUP(B1047,'Pre-Summary'!$BG$6:$BM$44,7,FALSE),R1048)</f>
        <v>7.6574939085447311E-2</v>
      </c>
      <c r="S1047" s="53">
        <f>IFERROR(VLOOKUP(B1047,'Pre-Summary'!$BG$6:$BM$44,6,FALSE),S1048)</f>
        <v>6.8761751275839902E-2</v>
      </c>
      <c r="T1047" s="45" t="str">
        <f>IFERROR(VLOOKUP(B1047,'Pre-Summary'!$Y$6:$AC$83, 3,FALSE),"")</f>
        <v/>
      </c>
      <c r="U1047" s="45" t="str">
        <f>IFERROR(VLOOKUP(B1047,'Pre-Summary'!$Y$6:$AC$83, 4,FALSE),"")</f>
        <v/>
      </c>
      <c r="V1047" t="str">
        <f>IFERROR(VLOOKUP(B1047,'Pre-Summary'!$Y$6:$AC$83, 5,FALSE),"")</f>
        <v/>
      </c>
      <c r="W1047" s="45" t="str">
        <f>IFERROR(VLOOKUP(B1047,'Pre-Summary'!$Y$6:$AD$83,6,FALSE),"")</f>
        <v/>
      </c>
      <c r="X1047" t="str">
        <f>IFERROR(VLOOKUP('Pre-Summary'!$DB$6:$DD$63,3,FALSE),"")</f>
        <v/>
      </c>
      <c r="Y1047" t="str">
        <f>IFERROR(VLOOKUP(B1047,'Pre-Summary'!$CR$6:$CT$36,3,FALSE),"")</f>
        <v/>
      </c>
      <c r="Z1047" s="45" t="str">
        <f>IFERROR(VLOOKUP(B1047,'Pre-Summary'!$BZ$6:$CB$63,2,FALSE),"")</f>
        <v/>
      </c>
      <c r="AA1047" s="45" t="str">
        <f>IFERROR(VLOOKUP(B1047,'Pre-Summary'!$CG$6:$CI$70,2,FALSE),"")</f>
        <v/>
      </c>
      <c r="AB1047" s="99">
        <f>IFERROR(VLOOKUP(B1047,'Pre-Summary'!$A$6:$P$178,9,FALSE),AB1048)</f>
        <v>0.50944710327423315</v>
      </c>
      <c r="AC1047" s="10">
        <f>IFERROR(VLOOKUP(Summary!B1047,'Pre-Summary'!$A$6:$P$184,5, FALSE)/100,AC1048)</f>
        <v>0.90854199999999996</v>
      </c>
      <c r="AD1047" s="10">
        <f>IFERROR(VLOOKUP(Summary!B1047,'Pre-Summary'!$A$6:$P$184,3, FALSE)/100,AD1048)</f>
        <v>1.1944999999999999E-2</v>
      </c>
      <c r="AE1047" s="10">
        <f>IFERROR(VLOOKUP(Summary!B1047,'Pre-Summary'!$A$6:$P$184,7, FALSE)/100,AE1048)</f>
        <v>7.9513E-2</v>
      </c>
      <c r="AF1047" s="99">
        <f t="shared" si="49"/>
        <v>6.0853456486107144E-3</v>
      </c>
      <c r="AG1047" s="99">
        <f t="shared" si="50"/>
        <v>4.0507667522644099E-2</v>
      </c>
      <c r="AH1047" s="10" t="str">
        <f>IFERROR(VLOOKUP(B1047,'Pre-Summary'!$AZ$6:$BE$65,3,FALSE),"")</f>
        <v/>
      </c>
      <c r="AI1047" s="10" t="str">
        <f>IFERROR(VLOOKUP(B1047,'Pre-Summary'!$AZ$6:$BE$65,5,FALSE),"")</f>
        <v/>
      </c>
      <c r="AJ1047" s="10" t="str">
        <f>IFERROR(VLOOKUP(B1047,'Pre-Summary'!$AZ$6:$BE$65,4,FALSE),"")</f>
        <v/>
      </c>
      <c r="AK1047" s="10" t="str">
        <f>IFERROR(VLOOKUP(B1047,'Pre-Summary'!$AZ$6:$BE$65,6,FALSE),"")</f>
        <v/>
      </c>
      <c r="AL1047" s="10" t="str">
        <f>IFERROR(VLOOKUP(B1047,'Pre-Summary'!$BG$6:$BL$44,3,FALSE),"")</f>
        <v/>
      </c>
      <c r="AM1047" s="10" t="str">
        <f>IFERROR(VLOOKUP(B1047,'Pre-Summary'!$BG$6:$BL$44,4,FALSE),"")</f>
        <v/>
      </c>
    </row>
    <row r="1048" spans="2:39" ht="15" customHeight="1" x14ac:dyDescent="0.3">
      <c r="B1048">
        <v>104.5</v>
      </c>
      <c r="C1048" t="str">
        <f>IFERROR(VLOOKUP(B1048,'Pre-Summary'!$DI$6:$DM$23,4,FALSE),"")</f>
        <v/>
      </c>
      <c r="D1048" s="10" t="str">
        <f>IFERROR(VLOOKUP(B1048,'Pre-Summary'!$AT$6:$AX$14,5,FALSE),D1047)</f>
        <v>DSMZ v3: dropped yeast, casitone, and bicarb out of DSMZ 120</v>
      </c>
      <c r="E1048" s="10" t="str">
        <f>IFERROR(VLOOKUP(B1048,'Pre-Summary'!$AT$6:$AX$15,4,FALSE),"")</f>
        <v/>
      </c>
      <c r="F1048">
        <f>IFERROR(VLOOKUP(B1048,'Pre-Summary'!$AL$6:$AQ$13,6,FALSE),F1047)</f>
        <v>5.9405263157894746E-2</v>
      </c>
      <c r="G1048" t="str">
        <f>IFERROR(VLOOKUP(B1048,'Pre-Summary'!$AE$6:$AJ$85,3,FALSE),"")</f>
        <v/>
      </c>
      <c r="H1048" t="str">
        <f>IFERROR(VLOOKUP(B1048,'Pre-Summary'!$AE$6:$AJ$85,4,FALSE),"")</f>
        <v/>
      </c>
      <c r="I1048" t="str">
        <f>IFERROR(VLOOKUP(B1048,'Pre-Summary'!$AE$6:$AJ$85,5,FALSE),"")</f>
        <v/>
      </c>
      <c r="J1048" s="45" t="str">
        <f>IFERROR(VLOOKUP(B1048,'Pre-Summary'!$AE$6:$AJ$85,6, FALSE),"")</f>
        <v/>
      </c>
      <c r="K1048" s="45" t="str">
        <f>IFERROR(VLOOKUP(B1048,'Pre-Summary'!$DE$6:$DG$61,3,FALSE),"")</f>
        <v/>
      </c>
      <c r="L1048" s="45" t="str">
        <f>IFERROR(VLOOKUP(B1048,'Pre-Summary'!$CU$6:$CW$36,3,FALSE),"")</f>
        <v/>
      </c>
      <c r="M1048" s="45" t="str">
        <f>IFERROR(VLOOKUP(B1048,'Pre-Summary'!$BW$6:$BY$58,2,FALSE),"")</f>
        <v/>
      </c>
      <c r="N1048" s="45" t="str">
        <f>IFERROR(VLOOKUP(B1048,'Pre-Summary'!$CD$6:$CF$64,2,FALSE),"")</f>
        <v/>
      </c>
      <c r="O1048" s="99">
        <f>IFERROR(VLOOKUP(B1048,'Pre-Summary'!$BO$6:$BQ$48,3, FALSE),O1047)</f>
        <v>1</v>
      </c>
      <c r="P1048" s="99">
        <f>IFERROR(VLOOKUP(B1048,'Pre-Summary'!$BS$6:$BU$35,3,FALSE),P1047)</f>
        <v>0.25</v>
      </c>
      <c r="Q1048" s="54">
        <f t="shared" si="48"/>
        <v>4</v>
      </c>
      <c r="R1048" s="53">
        <f>IFERROR(VLOOKUP(B1048,'Pre-Summary'!$BG$6:$BM$44,7,FALSE),R1049)</f>
        <v>7.6574939085447311E-2</v>
      </c>
      <c r="S1048" s="53">
        <f>IFERROR(VLOOKUP(B1048,'Pre-Summary'!$BG$6:$BM$44,6,FALSE),S1049)</f>
        <v>6.8761751275839902E-2</v>
      </c>
      <c r="T1048" s="45" t="str">
        <f>IFERROR(VLOOKUP(B1048,'Pre-Summary'!$Y$6:$AC$83, 3,FALSE),"")</f>
        <v/>
      </c>
      <c r="U1048" s="45" t="str">
        <f>IFERROR(VLOOKUP(B1048,'Pre-Summary'!$Y$6:$AC$83, 4,FALSE),"")</f>
        <v/>
      </c>
      <c r="V1048" t="str">
        <f>IFERROR(VLOOKUP(B1048,'Pre-Summary'!$Y$6:$AC$83, 5,FALSE),"")</f>
        <v/>
      </c>
      <c r="W1048" s="45" t="str">
        <f>IFERROR(VLOOKUP(B1048,'Pre-Summary'!$Y$6:$AD$83,6,FALSE),"")</f>
        <v/>
      </c>
      <c r="X1048" t="str">
        <f>IFERROR(VLOOKUP('Pre-Summary'!$DB$6:$DD$63,3,FALSE),"")</f>
        <v/>
      </c>
      <c r="Y1048" t="str">
        <f>IFERROR(VLOOKUP(B1048,'Pre-Summary'!$CR$6:$CT$36,3,FALSE),"")</f>
        <v/>
      </c>
      <c r="Z1048" s="45" t="str">
        <f>IFERROR(VLOOKUP(B1048,'Pre-Summary'!$BZ$6:$CB$63,2,FALSE),"")</f>
        <v/>
      </c>
      <c r="AA1048" s="45" t="str">
        <f>IFERROR(VLOOKUP(B1048,'Pre-Summary'!$CG$6:$CI$70,2,FALSE),"")</f>
        <v/>
      </c>
      <c r="AB1048" s="99">
        <f>IFERROR(VLOOKUP(B1048,'Pre-Summary'!$A$6:$P$178,9,FALSE),AB1049)</f>
        <v>0.50944710327423315</v>
      </c>
      <c r="AC1048" s="10">
        <f>IFERROR(VLOOKUP(Summary!B1048,'Pre-Summary'!$A$6:$P$184,5, FALSE)/100,AC1049)</f>
        <v>0.90854199999999996</v>
      </c>
      <c r="AD1048" s="10">
        <f>IFERROR(VLOOKUP(Summary!B1048,'Pre-Summary'!$A$6:$P$184,3, FALSE)/100,AD1049)</f>
        <v>1.1944999999999999E-2</v>
      </c>
      <c r="AE1048" s="10">
        <f>IFERROR(VLOOKUP(Summary!B1048,'Pre-Summary'!$A$6:$P$184,7, FALSE)/100,AE1049)</f>
        <v>7.9513E-2</v>
      </c>
      <c r="AF1048" s="99">
        <f t="shared" si="49"/>
        <v>6.0853456486107144E-3</v>
      </c>
      <c r="AG1048" s="99">
        <f t="shared" si="50"/>
        <v>4.0507667522644099E-2</v>
      </c>
      <c r="AH1048" s="10" t="str">
        <f>IFERROR(VLOOKUP(B1048,'Pre-Summary'!$AZ$6:$BE$65,3,FALSE),"")</f>
        <v/>
      </c>
      <c r="AI1048" s="10" t="str">
        <f>IFERROR(VLOOKUP(B1048,'Pre-Summary'!$AZ$6:$BE$65,5,FALSE),"")</f>
        <v/>
      </c>
      <c r="AJ1048" s="10" t="str">
        <f>IFERROR(VLOOKUP(B1048,'Pre-Summary'!$AZ$6:$BE$65,4,FALSE),"")</f>
        <v/>
      </c>
      <c r="AK1048" s="10" t="str">
        <f>IFERROR(VLOOKUP(B1048,'Pre-Summary'!$AZ$6:$BE$65,6,FALSE),"")</f>
        <v/>
      </c>
      <c r="AL1048" s="10" t="str">
        <f>IFERROR(VLOOKUP(B1048,'Pre-Summary'!$BG$6:$BL$44,3,FALSE),"")</f>
        <v/>
      </c>
      <c r="AM1048" s="10" t="str">
        <f>IFERROR(VLOOKUP(B1048,'Pre-Summary'!$BG$6:$BL$44,4,FALSE),"")</f>
        <v/>
      </c>
    </row>
    <row r="1049" spans="2:39" ht="15" customHeight="1" x14ac:dyDescent="0.3">
      <c r="B1049">
        <v>104.6</v>
      </c>
      <c r="C1049" t="str">
        <f>IFERROR(VLOOKUP(B1049,'Pre-Summary'!$DI$6:$DM$23,4,FALSE),"")</f>
        <v/>
      </c>
      <c r="D1049" s="10" t="str">
        <f>IFERROR(VLOOKUP(B1049,'Pre-Summary'!$AT$6:$AX$14,5,FALSE),D1048)</f>
        <v>DSMZ v3: dropped yeast, casitone, and bicarb out of DSMZ 120</v>
      </c>
      <c r="E1049" s="10" t="str">
        <f>IFERROR(VLOOKUP(B1049,'Pre-Summary'!$AT$6:$AX$15,4,FALSE),"")</f>
        <v/>
      </c>
      <c r="F1049">
        <f>IFERROR(VLOOKUP(B1049,'Pre-Summary'!$AL$6:$AQ$13,6,FALSE),F1048)</f>
        <v>5.9405263157894746E-2</v>
      </c>
      <c r="G1049" t="str">
        <f>IFERROR(VLOOKUP(B1049,'Pre-Summary'!$AE$6:$AJ$85,3,FALSE),"")</f>
        <v/>
      </c>
      <c r="H1049" t="str">
        <f>IFERROR(VLOOKUP(B1049,'Pre-Summary'!$AE$6:$AJ$85,4,FALSE),"")</f>
        <v/>
      </c>
      <c r="I1049" t="str">
        <f>IFERROR(VLOOKUP(B1049,'Pre-Summary'!$AE$6:$AJ$85,5,FALSE),"")</f>
        <v/>
      </c>
      <c r="J1049" s="45" t="str">
        <f>IFERROR(VLOOKUP(B1049,'Pre-Summary'!$AE$6:$AJ$85,6, FALSE),"")</f>
        <v/>
      </c>
      <c r="K1049" s="45" t="str">
        <f>IFERROR(VLOOKUP(B1049,'Pre-Summary'!$DE$6:$DG$61,3,FALSE),"")</f>
        <v/>
      </c>
      <c r="L1049" s="45" t="str">
        <f>IFERROR(VLOOKUP(B1049,'Pre-Summary'!$CU$6:$CW$36,3,FALSE),"")</f>
        <v/>
      </c>
      <c r="M1049" s="45" t="str">
        <f>IFERROR(VLOOKUP(B1049,'Pre-Summary'!$BW$6:$BY$58,2,FALSE),"")</f>
        <v/>
      </c>
      <c r="N1049" s="45" t="str">
        <f>IFERROR(VLOOKUP(B1049,'Pre-Summary'!$CD$6:$CF$64,2,FALSE),"")</f>
        <v/>
      </c>
      <c r="O1049" s="99">
        <f>IFERROR(VLOOKUP(B1049,'Pre-Summary'!$BO$6:$BQ$48,3, FALSE),O1048)</f>
        <v>1</v>
      </c>
      <c r="P1049" s="99">
        <f>IFERROR(VLOOKUP(B1049,'Pre-Summary'!$BS$6:$BU$35,3,FALSE),P1048)</f>
        <v>0.25</v>
      </c>
      <c r="Q1049" s="54">
        <f t="shared" si="48"/>
        <v>4</v>
      </c>
      <c r="R1049" s="53">
        <f>IFERROR(VLOOKUP(B1049,'Pre-Summary'!$BG$6:$BM$44,7,FALSE),R1050)</f>
        <v>7.6574939085447311E-2</v>
      </c>
      <c r="S1049" s="53">
        <f>IFERROR(VLOOKUP(B1049,'Pre-Summary'!$BG$6:$BM$44,6,FALSE),S1050)</f>
        <v>6.8761751275839902E-2</v>
      </c>
      <c r="T1049" s="45" t="str">
        <f>IFERROR(VLOOKUP(B1049,'Pre-Summary'!$Y$6:$AC$83, 3,FALSE),"")</f>
        <v/>
      </c>
      <c r="U1049" s="45" t="str">
        <f>IFERROR(VLOOKUP(B1049,'Pre-Summary'!$Y$6:$AC$83, 4,FALSE),"")</f>
        <v/>
      </c>
      <c r="V1049" t="str">
        <f>IFERROR(VLOOKUP(B1049,'Pre-Summary'!$Y$6:$AC$83, 5,FALSE),"")</f>
        <v/>
      </c>
      <c r="W1049" s="45" t="str">
        <f>IFERROR(VLOOKUP(B1049,'Pre-Summary'!$Y$6:$AD$83,6,FALSE),"")</f>
        <v/>
      </c>
      <c r="X1049" t="str">
        <f>IFERROR(VLOOKUP('Pre-Summary'!$DB$6:$DD$63,3,FALSE),"")</f>
        <v/>
      </c>
      <c r="Y1049" t="str">
        <f>IFERROR(VLOOKUP(B1049,'Pre-Summary'!$CR$6:$CT$36,3,FALSE),"")</f>
        <v/>
      </c>
      <c r="Z1049" s="45" t="str">
        <f>IFERROR(VLOOKUP(B1049,'Pre-Summary'!$BZ$6:$CB$63,2,FALSE),"")</f>
        <v/>
      </c>
      <c r="AA1049" s="45" t="str">
        <f>IFERROR(VLOOKUP(B1049,'Pre-Summary'!$CG$6:$CI$70,2,FALSE),"")</f>
        <v/>
      </c>
      <c r="AB1049" s="99">
        <f>IFERROR(VLOOKUP(B1049,'Pre-Summary'!$A$6:$P$178,9,FALSE),AB1050)</f>
        <v>0.50944710327423315</v>
      </c>
      <c r="AC1049" s="10">
        <f>IFERROR(VLOOKUP(Summary!B1049,'Pre-Summary'!$A$6:$P$184,5, FALSE)/100,AC1050)</f>
        <v>0.90854199999999996</v>
      </c>
      <c r="AD1049" s="10">
        <f>IFERROR(VLOOKUP(Summary!B1049,'Pre-Summary'!$A$6:$P$184,3, FALSE)/100,AD1050)</f>
        <v>1.1944999999999999E-2</v>
      </c>
      <c r="AE1049" s="10">
        <f>IFERROR(VLOOKUP(Summary!B1049,'Pre-Summary'!$A$6:$P$184,7, FALSE)/100,AE1050)</f>
        <v>7.9513E-2</v>
      </c>
      <c r="AF1049" s="99">
        <f t="shared" si="49"/>
        <v>6.0853456486107144E-3</v>
      </c>
      <c r="AG1049" s="99">
        <f t="shared" si="50"/>
        <v>4.0507667522644099E-2</v>
      </c>
      <c r="AH1049" s="10" t="str">
        <f>IFERROR(VLOOKUP(B1049,'Pre-Summary'!$AZ$6:$BE$65,3,FALSE),"")</f>
        <v/>
      </c>
      <c r="AI1049" s="10" t="str">
        <f>IFERROR(VLOOKUP(B1049,'Pre-Summary'!$AZ$6:$BE$65,5,FALSE),"")</f>
        <v/>
      </c>
      <c r="AJ1049" s="10" t="str">
        <f>IFERROR(VLOOKUP(B1049,'Pre-Summary'!$AZ$6:$BE$65,4,FALSE),"")</f>
        <v/>
      </c>
      <c r="AK1049" s="10" t="str">
        <f>IFERROR(VLOOKUP(B1049,'Pre-Summary'!$AZ$6:$BE$65,6,FALSE),"")</f>
        <v/>
      </c>
      <c r="AL1049" s="10" t="str">
        <f>IFERROR(VLOOKUP(B1049,'Pre-Summary'!$BG$6:$BL$44,3,FALSE),"")</f>
        <v/>
      </c>
      <c r="AM1049" s="10" t="str">
        <f>IFERROR(VLOOKUP(B1049,'Pre-Summary'!$BG$6:$BL$44,4,FALSE),"")</f>
        <v/>
      </c>
    </row>
    <row r="1050" spans="2:39" ht="15" customHeight="1" x14ac:dyDescent="0.3">
      <c r="B1050">
        <v>104.7</v>
      </c>
      <c r="C1050" t="str">
        <f>IFERROR(VLOOKUP(B1050,'Pre-Summary'!$DI$6:$DM$23,4,FALSE),"")</f>
        <v/>
      </c>
      <c r="D1050" s="10" t="str">
        <f>IFERROR(VLOOKUP(B1050,'Pre-Summary'!$AT$6:$AX$14,5,FALSE),D1049)</f>
        <v>DSMZ v3: dropped yeast, casitone, and bicarb out of DSMZ 120</v>
      </c>
      <c r="E1050" s="10" t="str">
        <f>IFERROR(VLOOKUP(B1050,'Pre-Summary'!$AT$6:$AX$15,4,FALSE),"")</f>
        <v/>
      </c>
      <c r="F1050">
        <f>IFERROR(VLOOKUP(B1050,'Pre-Summary'!$AL$6:$AQ$13,6,FALSE),F1049)</f>
        <v>5.9405263157894746E-2</v>
      </c>
      <c r="G1050" t="str">
        <f>IFERROR(VLOOKUP(B1050,'Pre-Summary'!$AE$6:$AJ$85,3,FALSE),"")</f>
        <v/>
      </c>
      <c r="H1050" t="str">
        <f>IFERROR(VLOOKUP(B1050,'Pre-Summary'!$AE$6:$AJ$85,4,FALSE),"")</f>
        <v/>
      </c>
      <c r="I1050" t="str">
        <f>IFERROR(VLOOKUP(B1050,'Pre-Summary'!$AE$6:$AJ$85,5,FALSE),"")</f>
        <v/>
      </c>
      <c r="J1050" s="45" t="str">
        <f>IFERROR(VLOOKUP(B1050,'Pre-Summary'!$AE$6:$AJ$85,6, FALSE),"")</f>
        <v/>
      </c>
      <c r="K1050" s="45" t="str">
        <f>IFERROR(VLOOKUP(B1050,'Pre-Summary'!$DE$6:$DG$61,3,FALSE),"")</f>
        <v/>
      </c>
      <c r="L1050" s="45" t="str">
        <f>IFERROR(VLOOKUP(B1050,'Pre-Summary'!$CU$6:$CW$36,3,FALSE),"")</f>
        <v/>
      </c>
      <c r="M1050" s="45" t="str">
        <f>IFERROR(VLOOKUP(B1050,'Pre-Summary'!$BW$6:$BY$58,2,FALSE),"")</f>
        <v/>
      </c>
      <c r="N1050" s="45" t="str">
        <f>IFERROR(VLOOKUP(B1050,'Pre-Summary'!$CD$6:$CF$64,2,FALSE),"")</f>
        <v/>
      </c>
      <c r="O1050" s="99">
        <f>IFERROR(VLOOKUP(B1050,'Pre-Summary'!$BO$6:$BQ$48,3, FALSE),O1049)</f>
        <v>1</v>
      </c>
      <c r="P1050" s="99">
        <f>IFERROR(VLOOKUP(B1050,'Pre-Summary'!$BS$6:$BU$35,3,FALSE),P1049)</f>
        <v>0.25</v>
      </c>
      <c r="Q1050" s="54">
        <f t="shared" si="48"/>
        <v>4</v>
      </c>
      <c r="R1050" s="53">
        <f>IFERROR(VLOOKUP(B1050,'Pre-Summary'!$BG$6:$BM$44,7,FALSE),R1051)</f>
        <v>7.6574939085447311E-2</v>
      </c>
      <c r="S1050" s="53">
        <f>IFERROR(VLOOKUP(B1050,'Pre-Summary'!$BG$6:$BM$44,6,FALSE),S1051)</f>
        <v>6.8761751275839902E-2</v>
      </c>
      <c r="T1050" s="45" t="str">
        <f>IFERROR(VLOOKUP(B1050,'Pre-Summary'!$Y$6:$AC$83, 3,FALSE),"")</f>
        <v/>
      </c>
      <c r="U1050" s="45" t="str">
        <f>IFERROR(VLOOKUP(B1050,'Pre-Summary'!$Y$6:$AC$83, 4,FALSE),"")</f>
        <v/>
      </c>
      <c r="V1050" t="str">
        <f>IFERROR(VLOOKUP(B1050,'Pre-Summary'!$Y$6:$AC$83, 5,FALSE),"")</f>
        <v/>
      </c>
      <c r="W1050" s="45" t="str">
        <f>IFERROR(VLOOKUP(B1050,'Pre-Summary'!$Y$6:$AD$83,6,FALSE),"")</f>
        <v/>
      </c>
      <c r="X1050" t="str">
        <f>IFERROR(VLOOKUP('Pre-Summary'!$DB$6:$DD$63,3,FALSE),"")</f>
        <v/>
      </c>
      <c r="Y1050" t="str">
        <f>IFERROR(VLOOKUP(B1050,'Pre-Summary'!$CR$6:$CT$36,3,FALSE),"")</f>
        <v/>
      </c>
      <c r="Z1050" s="45" t="str">
        <f>IFERROR(VLOOKUP(B1050,'Pre-Summary'!$BZ$6:$CB$63,2,FALSE),"")</f>
        <v/>
      </c>
      <c r="AA1050" s="45" t="str">
        <f>IFERROR(VLOOKUP(B1050,'Pre-Summary'!$CG$6:$CI$70,2,FALSE),"")</f>
        <v/>
      </c>
      <c r="AB1050" s="99">
        <f>IFERROR(VLOOKUP(B1050,'Pre-Summary'!$A$6:$P$178,9,FALSE),AB1051)</f>
        <v>0.50944710327423315</v>
      </c>
      <c r="AC1050" s="10">
        <f>IFERROR(VLOOKUP(Summary!B1050,'Pre-Summary'!$A$6:$P$184,5, FALSE)/100,AC1051)</f>
        <v>0.90854199999999996</v>
      </c>
      <c r="AD1050" s="10">
        <f>IFERROR(VLOOKUP(Summary!B1050,'Pre-Summary'!$A$6:$P$184,3, FALSE)/100,AD1051)</f>
        <v>1.1944999999999999E-2</v>
      </c>
      <c r="AE1050" s="10">
        <f>IFERROR(VLOOKUP(Summary!B1050,'Pre-Summary'!$A$6:$P$184,7, FALSE)/100,AE1051)</f>
        <v>7.9513E-2</v>
      </c>
      <c r="AF1050" s="99">
        <f t="shared" si="49"/>
        <v>6.0853456486107144E-3</v>
      </c>
      <c r="AG1050" s="99">
        <f t="shared" si="50"/>
        <v>4.0507667522644099E-2</v>
      </c>
      <c r="AH1050" s="10" t="str">
        <f>IFERROR(VLOOKUP(B1050,'Pre-Summary'!$AZ$6:$BE$65,3,FALSE),"")</f>
        <v/>
      </c>
      <c r="AI1050" s="10" t="str">
        <f>IFERROR(VLOOKUP(B1050,'Pre-Summary'!$AZ$6:$BE$65,5,FALSE),"")</f>
        <v/>
      </c>
      <c r="AJ1050" s="10" t="str">
        <f>IFERROR(VLOOKUP(B1050,'Pre-Summary'!$AZ$6:$BE$65,4,FALSE),"")</f>
        <v/>
      </c>
      <c r="AK1050" s="10" t="str">
        <f>IFERROR(VLOOKUP(B1050,'Pre-Summary'!$AZ$6:$BE$65,6,FALSE),"")</f>
        <v/>
      </c>
      <c r="AL1050" s="10" t="str">
        <f>IFERROR(VLOOKUP(B1050,'Pre-Summary'!$BG$6:$BL$44,3,FALSE),"")</f>
        <v/>
      </c>
      <c r="AM1050" s="10" t="str">
        <f>IFERROR(VLOOKUP(B1050,'Pre-Summary'!$BG$6:$BL$44,4,FALSE),"")</f>
        <v/>
      </c>
    </row>
    <row r="1051" spans="2:39" ht="15" customHeight="1" x14ac:dyDescent="0.3">
      <c r="B1051">
        <v>104.8</v>
      </c>
      <c r="C1051" t="str">
        <f>IFERROR(VLOOKUP(B1051,'Pre-Summary'!$DI$6:$DM$23,4,FALSE),"")</f>
        <v/>
      </c>
      <c r="D1051" s="10" t="str">
        <f>IFERROR(VLOOKUP(B1051,'Pre-Summary'!$AT$6:$AX$14,5,FALSE),D1050)</f>
        <v>DSMZ v3: dropped yeast, casitone, and bicarb out of DSMZ 120</v>
      </c>
      <c r="E1051" s="10" t="str">
        <f>IFERROR(VLOOKUP(B1051,'Pre-Summary'!$AT$6:$AX$15,4,FALSE),"")</f>
        <v/>
      </c>
      <c r="F1051">
        <f>IFERROR(VLOOKUP(B1051,'Pre-Summary'!$AL$6:$AQ$13,6,FALSE),F1050)</f>
        <v>5.9405263157894746E-2</v>
      </c>
      <c r="G1051" t="str">
        <f>IFERROR(VLOOKUP(B1051,'Pre-Summary'!$AE$6:$AJ$85,3,FALSE),"")</f>
        <v/>
      </c>
      <c r="H1051" t="str">
        <f>IFERROR(VLOOKUP(B1051,'Pre-Summary'!$AE$6:$AJ$85,4,FALSE),"")</f>
        <v/>
      </c>
      <c r="I1051" t="str">
        <f>IFERROR(VLOOKUP(B1051,'Pre-Summary'!$AE$6:$AJ$85,5,FALSE),"")</f>
        <v/>
      </c>
      <c r="J1051" s="45" t="str">
        <f>IFERROR(VLOOKUP(B1051,'Pre-Summary'!$AE$6:$AJ$85,6, FALSE),"")</f>
        <v/>
      </c>
      <c r="K1051" s="45" t="str">
        <f>IFERROR(VLOOKUP(B1051,'Pre-Summary'!$DE$6:$DG$61,3,FALSE),"")</f>
        <v/>
      </c>
      <c r="L1051" s="45" t="str">
        <f>IFERROR(VLOOKUP(B1051,'Pre-Summary'!$CU$6:$CW$36,3,FALSE),"")</f>
        <v/>
      </c>
      <c r="M1051" s="45" t="str">
        <f>IFERROR(VLOOKUP(B1051,'Pre-Summary'!$BW$6:$BY$58,2,FALSE),"")</f>
        <v/>
      </c>
      <c r="N1051" s="45" t="str">
        <f>IFERROR(VLOOKUP(B1051,'Pre-Summary'!$CD$6:$CF$64,2,FALSE),"")</f>
        <v/>
      </c>
      <c r="O1051" s="99">
        <f>IFERROR(VLOOKUP(B1051,'Pre-Summary'!$BO$6:$BQ$48,3, FALSE),O1050)</f>
        <v>1</v>
      </c>
      <c r="P1051" s="99">
        <f>IFERROR(VLOOKUP(B1051,'Pre-Summary'!$BS$6:$BU$35,3,FALSE),P1050)</f>
        <v>0.25</v>
      </c>
      <c r="Q1051" s="54">
        <f t="shared" si="48"/>
        <v>4</v>
      </c>
      <c r="R1051" s="53">
        <f>IFERROR(VLOOKUP(B1051,'Pre-Summary'!$BG$6:$BM$44,7,FALSE),R1052)</f>
        <v>7.6574939085447311E-2</v>
      </c>
      <c r="S1051" s="53">
        <f>IFERROR(VLOOKUP(B1051,'Pre-Summary'!$BG$6:$BM$44,6,FALSE),S1052)</f>
        <v>6.8761751275839902E-2</v>
      </c>
      <c r="T1051" s="45" t="str">
        <f>IFERROR(VLOOKUP(B1051,'Pre-Summary'!$Y$6:$AC$83, 3,FALSE),"")</f>
        <v/>
      </c>
      <c r="U1051" s="45" t="str">
        <f>IFERROR(VLOOKUP(B1051,'Pre-Summary'!$Y$6:$AC$83, 4,FALSE),"")</f>
        <v/>
      </c>
      <c r="V1051" t="str">
        <f>IFERROR(VLOOKUP(B1051,'Pre-Summary'!$Y$6:$AC$83, 5,FALSE),"")</f>
        <v/>
      </c>
      <c r="W1051" s="45" t="str">
        <f>IFERROR(VLOOKUP(B1051,'Pre-Summary'!$Y$6:$AD$83,6,FALSE),"")</f>
        <v/>
      </c>
      <c r="X1051" t="str">
        <f>IFERROR(VLOOKUP('Pre-Summary'!$DB$6:$DD$63,3,FALSE),"")</f>
        <v/>
      </c>
      <c r="Y1051" t="str">
        <f>IFERROR(VLOOKUP(B1051,'Pre-Summary'!$CR$6:$CT$36,3,FALSE),"")</f>
        <v/>
      </c>
      <c r="Z1051" s="45" t="str">
        <f>IFERROR(VLOOKUP(B1051,'Pre-Summary'!$BZ$6:$CB$63,2,FALSE),"")</f>
        <v/>
      </c>
      <c r="AA1051" s="45" t="str">
        <f>IFERROR(VLOOKUP(B1051,'Pre-Summary'!$CG$6:$CI$70,2,FALSE),"")</f>
        <v/>
      </c>
      <c r="AB1051" s="99">
        <f>IFERROR(VLOOKUP(B1051,'Pre-Summary'!$A$6:$P$178,9,FALSE),AB1052)</f>
        <v>0.50944710327423315</v>
      </c>
      <c r="AC1051" s="10">
        <f>IFERROR(VLOOKUP(Summary!B1051,'Pre-Summary'!$A$6:$P$184,5, FALSE)/100,AC1052)</f>
        <v>0.90854199999999996</v>
      </c>
      <c r="AD1051" s="10">
        <f>IFERROR(VLOOKUP(Summary!B1051,'Pre-Summary'!$A$6:$P$184,3, FALSE)/100,AD1052)</f>
        <v>1.1944999999999999E-2</v>
      </c>
      <c r="AE1051" s="10">
        <f>IFERROR(VLOOKUP(Summary!B1051,'Pre-Summary'!$A$6:$P$184,7, FALSE)/100,AE1052)</f>
        <v>7.9513E-2</v>
      </c>
      <c r="AF1051" s="99">
        <f t="shared" si="49"/>
        <v>6.0853456486107144E-3</v>
      </c>
      <c r="AG1051" s="99">
        <f t="shared" si="50"/>
        <v>4.0507667522644099E-2</v>
      </c>
      <c r="AH1051" s="10" t="str">
        <f>IFERROR(VLOOKUP(B1051,'Pre-Summary'!$AZ$6:$BE$65,3,FALSE),"")</f>
        <v/>
      </c>
      <c r="AI1051" s="10" t="str">
        <f>IFERROR(VLOOKUP(B1051,'Pre-Summary'!$AZ$6:$BE$65,5,FALSE),"")</f>
        <v/>
      </c>
      <c r="AJ1051" s="10" t="str">
        <f>IFERROR(VLOOKUP(B1051,'Pre-Summary'!$AZ$6:$BE$65,4,FALSE),"")</f>
        <v/>
      </c>
      <c r="AK1051" s="10" t="str">
        <f>IFERROR(VLOOKUP(B1051,'Pre-Summary'!$AZ$6:$BE$65,6,FALSE),"")</f>
        <v/>
      </c>
      <c r="AL1051" s="10" t="str">
        <f>IFERROR(VLOOKUP(B1051,'Pre-Summary'!$BG$6:$BL$44,3,FALSE),"")</f>
        <v/>
      </c>
      <c r="AM1051" s="10" t="str">
        <f>IFERROR(VLOOKUP(B1051,'Pre-Summary'!$BG$6:$BL$44,4,FALSE),"")</f>
        <v/>
      </c>
    </row>
    <row r="1052" spans="2:39" ht="15" customHeight="1" x14ac:dyDescent="0.3">
      <c r="B1052">
        <v>104.9</v>
      </c>
      <c r="C1052" t="str">
        <f>IFERROR(VLOOKUP(B1052,'Pre-Summary'!$DI$6:$DM$23,4,FALSE),"")</f>
        <v>F34</v>
      </c>
      <c r="D1052" s="10" t="str">
        <f>IFERROR(VLOOKUP(B1052,'Pre-Summary'!$AT$6:$AX$14,5,FALSE),D1051)</f>
        <v>DSMZ v3: dropped yeast, casitone, and bicarb out of DSMZ 120</v>
      </c>
      <c r="E1052" s="10" t="str">
        <f>IFERROR(VLOOKUP(B1052,'Pre-Summary'!$AT$6:$AX$15,4,FALSE),"")</f>
        <v/>
      </c>
      <c r="F1052">
        <f>IFERROR(VLOOKUP(B1052,'Pre-Summary'!$AL$6:$AQ$13,6,FALSE),F1051)</f>
        <v>5.9405263157894746E-2</v>
      </c>
      <c r="G1052" t="str">
        <f>IFERROR(VLOOKUP(B1052,'Pre-Summary'!$AE$6:$AJ$85,3,FALSE),"")</f>
        <v/>
      </c>
      <c r="H1052" t="str">
        <f>IFERROR(VLOOKUP(B1052,'Pre-Summary'!$AE$6:$AJ$85,4,FALSE),"")</f>
        <v/>
      </c>
      <c r="I1052" t="str">
        <f>IFERROR(VLOOKUP(B1052,'Pre-Summary'!$AE$6:$AJ$85,5,FALSE),"")</f>
        <v/>
      </c>
      <c r="J1052" s="45" t="str">
        <f>IFERROR(VLOOKUP(B1052,'Pre-Summary'!$AE$6:$AJ$85,6, FALSE),"")</f>
        <v/>
      </c>
      <c r="K1052" s="45" t="str">
        <f>IFERROR(VLOOKUP(B1052,'Pre-Summary'!$DE$6:$DG$61,3,FALSE),"")</f>
        <v/>
      </c>
      <c r="L1052" s="45" t="str">
        <f>IFERROR(VLOOKUP(B1052,'Pre-Summary'!$CU$6:$CW$36,3,FALSE),"")</f>
        <v/>
      </c>
      <c r="M1052" s="45" t="str">
        <f>IFERROR(VLOOKUP(B1052,'Pre-Summary'!$BW$6:$BY$58,2,FALSE),"")</f>
        <v/>
      </c>
      <c r="N1052" s="45" t="str">
        <f>IFERROR(VLOOKUP(B1052,'Pre-Summary'!$CD$6:$CF$64,2,FALSE),"")</f>
        <v/>
      </c>
      <c r="O1052" s="99">
        <f>IFERROR(VLOOKUP(B1052,'Pre-Summary'!$BO$6:$BQ$48,3, FALSE),O1051)</f>
        <v>1</v>
      </c>
      <c r="P1052" s="99">
        <f>IFERROR(VLOOKUP(B1052,'Pre-Summary'!$BS$6:$BU$35,3,FALSE),P1051)</f>
        <v>0.25</v>
      </c>
      <c r="Q1052" s="54">
        <f t="shared" si="48"/>
        <v>4</v>
      </c>
      <c r="R1052" s="53">
        <f>IFERROR(VLOOKUP(B1052,'Pre-Summary'!$BG$6:$BM$44,7,FALSE),R1053)</f>
        <v>7.6574939085447311E-2</v>
      </c>
      <c r="S1052" s="53">
        <f>IFERROR(VLOOKUP(B1052,'Pre-Summary'!$BG$6:$BM$44,6,FALSE),S1053)</f>
        <v>6.8761751275839902E-2</v>
      </c>
      <c r="T1052" s="45" t="str">
        <f>IFERROR(VLOOKUP(B1052,'Pre-Summary'!$Y$6:$AC$83, 3,FALSE),"")</f>
        <v/>
      </c>
      <c r="U1052" s="45" t="str">
        <f>IFERROR(VLOOKUP(B1052,'Pre-Summary'!$Y$6:$AC$83, 4,FALSE),"")</f>
        <v/>
      </c>
      <c r="V1052" t="str">
        <f>IFERROR(VLOOKUP(B1052,'Pre-Summary'!$Y$6:$AC$83, 5,FALSE),"")</f>
        <v/>
      </c>
      <c r="W1052" s="45" t="str">
        <f>IFERROR(VLOOKUP(B1052,'Pre-Summary'!$Y$6:$AD$83,6,FALSE),"")</f>
        <v/>
      </c>
      <c r="X1052" t="str">
        <f>IFERROR(VLOOKUP('Pre-Summary'!$DB$6:$DD$63,3,FALSE),"")</f>
        <v/>
      </c>
      <c r="Y1052" t="str">
        <f>IFERROR(VLOOKUP(B1052,'Pre-Summary'!$CR$6:$CT$36,3,FALSE),"")</f>
        <v/>
      </c>
      <c r="Z1052" s="45" t="str">
        <f>IFERROR(VLOOKUP(B1052,'Pre-Summary'!$BZ$6:$CB$63,2,FALSE),"")</f>
        <v/>
      </c>
      <c r="AA1052" s="45" t="str">
        <f>IFERROR(VLOOKUP(B1052,'Pre-Summary'!$CG$6:$CI$70,2,FALSE),"")</f>
        <v/>
      </c>
      <c r="AB1052" s="99">
        <f>IFERROR(VLOOKUP(B1052,'Pre-Summary'!$A$6:$P$178,9,FALSE),AB1053)</f>
        <v>0.50944710327423315</v>
      </c>
      <c r="AC1052" s="10">
        <f>IFERROR(VLOOKUP(Summary!B1052,'Pre-Summary'!$A$6:$P$184,5, FALSE)/100,AC1053)</f>
        <v>0.90854199999999996</v>
      </c>
      <c r="AD1052" s="10">
        <f>IFERROR(VLOOKUP(Summary!B1052,'Pre-Summary'!$A$6:$P$184,3, FALSE)/100,AD1053)</f>
        <v>1.1944999999999999E-2</v>
      </c>
      <c r="AE1052" s="10">
        <f>IFERROR(VLOOKUP(Summary!B1052,'Pre-Summary'!$A$6:$P$184,7, FALSE)/100,AE1053)</f>
        <v>7.9513E-2</v>
      </c>
      <c r="AF1052" s="99">
        <f t="shared" si="49"/>
        <v>6.0853456486107144E-3</v>
      </c>
      <c r="AG1052" s="99">
        <f t="shared" si="50"/>
        <v>4.0507667522644099E-2</v>
      </c>
      <c r="AH1052" s="10" t="str">
        <f>IFERROR(VLOOKUP(B1052,'Pre-Summary'!$AZ$6:$BE$65,3,FALSE),"")</f>
        <v/>
      </c>
      <c r="AI1052" s="10" t="str">
        <f>IFERROR(VLOOKUP(B1052,'Pre-Summary'!$AZ$6:$BE$65,5,FALSE),"")</f>
        <v/>
      </c>
      <c r="AJ1052" s="10" t="str">
        <f>IFERROR(VLOOKUP(B1052,'Pre-Summary'!$AZ$6:$BE$65,4,FALSE),"")</f>
        <v/>
      </c>
      <c r="AK1052" s="10" t="str">
        <f>IFERROR(VLOOKUP(B1052,'Pre-Summary'!$AZ$6:$BE$65,6,FALSE),"")</f>
        <v/>
      </c>
      <c r="AL1052" s="10" t="str">
        <f>IFERROR(VLOOKUP(B1052,'Pre-Summary'!$BG$6:$BL$44,3,FALSE),"")</f>
        <v/>
      </c>
      <c r="AM1052" s="10" t="str">
        <f>IFERROR(VLOOKUP(B1052,'Pre-Summary'!$BG$6:$BL$44,4,FALSE),"")</f>
        <v/>
      </c>
    </row>
    <row r="1053" spans="2:39" ht="15" customHeight="1" x14ac:dyDescent="0.3">
      <c r="B1053">
        <v>105</v>
      </c>
      <c r="C1053" t="str">
        <f>IFERROR(VLOOKUP(B1053,'Pre-Summary'!$DI$6:$DM$23,4,FALSE),"")</f>
        <v/>
      </c>
      <c r="D1053" s="10" t="str">
        <f>IFERROR(VLOOKUP(B1053,'Pre-Summary'!$AT$6:$AX$14,5,FALSE),D1052)</f>
        <v>DSMZ v3: dropped yeast, casitone, and bicarb out of DSMZ 120</v>
      </c>
      <c r="E1053" s="10" t="str">
        <f>IFERROR(VLOOKUP(B1053,'Pre-Summary'!$AT$6:$AX$15,4,FALSE),"")</f>
        <v/>
      </c>
      <c r="F1053">
        <f>IFERROR(VLOOKUP(B1053,'Pre-Summary'!$AL$6:$AQ$13,6,FALSE),F1052)</f>
        <v>5.9405263157894746E-2</v>
      </c>
      <c r="G1053" t="str">
        <f>IFERROR(VLOOKUP(B1053,'Pre-Summary'!$AE$6:$AJ$85,3,FALSE),"")</f>
        <v/>
      </c>
      <c r="H1053" t="str">
        <f>IFERROR(VLOOKUP(B1053,'Pre-Summary'!$AE$6:$AJ$85,4,FALSE),"")</f>
        <v/>
      </c>
      <c r="I1053" t="str">
        <f>IFERROR(VLOOKUP(B1053,'Pre-Summary'!$AE$6:$AJ$85,5,FALSE),"")</f>
        <v/>
      </c>
      <c r="J1053" s="45" t="str">
        <f>IFERROR(VLOOKUP(B1053,'Pre-Summary'!$AE$6:$AJ$85,6, FALSE),"")</f>
        <v/>
      </c>
      <c r="K1053" s="45" t="str">
        <f>IFERROR(VLOOKUP(B1053,'Pre-Summary'!$DE$6:$DG$61,3,FALSE),"")</f>
        <v/>
      </c>
      <c r="L1053" s="45" t="str">
        <f>IFERROR(VLOOKUP(B1053,'Pre-Summary'!$CU$6:$CW$36,3,FALSE),"")</f>
        <v/>
      </c>
      <c r="M1053" s="45" t="str">
        <f>IFERROR(VLOOKUP(B1053,'Pre-Summary'!$BW$6:$BY$58,2,FALSE),"")</f>
        <v/>
      </c>
      <c r="N1053" s="45" t="str">
        <f>IFERROR(VLOOKUP(B1053,'Pre-Summary'!$CD$6:$CF$64,2,FALSE),"")</f>
        <v/>
      </c>
      <c r="O1053" s="99">
        <f>IFERROR(VLOOKUP(B1053,'Pre-Summary'!$BO$6:$BQ$48,3, FALSE),O1052)</f>
        <v>1</v>
      </c>
      <c r="P1053" s="99">
        <f>IFERROR(VLOOKUP(B1053,'Pre-Summary'!$BS$6:$BU$35,3,FALSE),P1052)</f>
        <v>0.25</v>
      </c>
      <c r="Q1053" s="54">
        <f t="shared" si="48"/>
        <v>4</v>
      </c>
      <c r="R1053" s="53">
        <f>IFERROR(VLOOKUP(B1053,'Pre-Summary'!$BG$6:$BM$44,7,FALSE),R1054)</f>
        <v>7.6574939085447311E-2</v>
      </c>
      <c r="S1053" s="53">
        <f>IFERROR(VLOOKUP(B1053,'Pre-Summary'!$BG$6:$BM$44,6,FALSE),S1054)</f>
        <v>6.8761751275839902E-2</v>
      </c>
      <c r="T1053" s="45" t="str">
        <f>IFERROR(VLOOKUP(B1053,'Pre-Summary'!$Y$6:$AC$83, 3,FALSE),"")</f>
        <v/>
      </c>
      <c r="U1053" s="45" t="str">
        <f>IFERROR(VLOOKUP(B1053,'Pre-Summary'!$Y$6:$AC$83, 4,FALSE),"")</f>
        <v/>
      </c>
      <c r="V1053" t="str">
        <f>IFERROR(VLOOKUP(B1053,'Pre-Summary'!$Y$6:$AC$83, 5,FALSE),"")</f>
        <v/>
      </c>
      <c r="W1053" s="45" t="str">
        <f>IFERROR(VLOOKUP(B1053,'Pre-Summary'!$Y$6:$AD$83,6,FALSE),"")</f>
        <v/>
      </c>
      <c r="X1053" t="str">
        <f>IFERROR(VLOOKUP('Pre-Summary'!$DB$6:$DD$63,3,FALSE),"")</f>
        <v/>
      </c>
      <c r="Y1053" t="str">
        <f>IFERROR(VLOOKUP(B1053,'Pre-Summary'!$CR$6:$CT$36,3,FALSE),"")</f>
        <v/>
      </c>
      <c r="Z1053" s="45" t="str">
        <f>IFERROR(VLOOKUP(B1053,'Pre-Summary'!$BZ$6:$CB$63,2,FALSE),"")</f>
        <v/>
      </c>
      <c r="AA1053" s="45" t="str">
        <f>IFERROR(VLOOKUP(B1053,'Pre-Summary'!$CG$6:$CI$70,2,FALSE),"")</f>
        <v/>
      </c>
      <c r="AB1053" s="99">
        <f>IFERROR(VLOOKUP(B1053,'Pre-Summary'!$A$6:$P$178,9,FALSE),AB1054)</f>
        <v>0.50944710327423315</v>
      </c>
      <c r="AC1053" s="10">
        <f>IFERROR(VLOOKUP(Summary!B1053,'Pre-Summary'!$A$6:$P$184,5, FALSE)/100,AC1054)</f>
        <v>0.90854199999999996</v>
      </c>
      <c r="AD1053" s="10">
        <f>IFERROR(VLOOKUP(Summary!B1053,'Pre-Summary'!$A$6:$P$184,3, FALSE)/100,AD1054)</f>
        <v>1.1944999999999999E-2</v>
      </c>
      <c r="AE1053" s="10">
        <f>IFERROR(VLOOKUP(Summary!B1053,'Pre-Summary'!$A$6:$P$184,7, FALSE)/100,AE1054)</f>
        <v>7.9513E-2</v>
      </c>
      <c r="AF1053" s="99">
        <f t="shared" si="49"/>
        <v>6.0853456486107144E-3</v>
      </c>
      <c r="AG1053" s="99">
        <f t="shared" si="50"/>
        <v>4.0507667522644099E-2</v>
      </c>
      <c r="AH1053" s="10" t="str">
        <f>IFERROR(VLOOKUP(B1053,'Pre-Summary'!$AZ$6:$BE$65,3,FALSE),"")</f>
        <v/>
      </c>
      <c r="AI1053" s="10" t="str">
        <f>IFERROR(VLOOKUP(B1053,'Pre-Summary'!$AZ$6:$BE$65,5,FALSE),"")</f>
        <v/>
      </c>
      <c r="AJ1053" s="10" t="str">
        <f>IFERROR(VLOOKUP(B1053,'Pre-Summary'!$AZ$6:$BE$65,4,FALSE),"")</f>
        <v/>
      </c>
      <c r="AK1053" s="10" t="str">
        <f>IFERROR(VLOOKUP(B1053,'Pre-Summary'!$AZ$6:$BE$65,6,FALSE),"")</f>
        <v/>
      </c>
      <c r="AL1053" s="10" t="str">
        <f>IFERROR(VLOOKUP(B1053,'Pre-Summary'!$BG$6:$BL$44,3,FALSE),"")</f>
        <v/>
      </c>
      <c r="AM1053" s="10" t="str">
        <f>IFERROR(VLOOKUP(B1053,'Pre-Summary'!$BG$6:$BL$44,4,FALSE),"")</f>
        <v/>
      </c>
    </row>
    <row r="1054" spans="2:39" ht="15" customHeight="1" x14ac:dyDescent="0.3">
      <c r="B1054">
        <v>105.1</v>
      </c>
      <c r="C1054" t="str">
        <f>IFERROR(VLOOKUP(B1054,'Pre-Summary'!$DI$6:$DM$23,4,FALSE),"")</f>
        <v/>
      </c>
      <c r="D1054" s="10" t="str">
        <f>IFERROR(VLOOKUP(B1054,'Pre-Summary'!$AT$6:$AX$14,5,FALSE),D1053)</f>
        <v>DSMZ v3: dropped yeast, casitone, and bicarb out of DSMZ 120</v>
      </c>
      <c r="E1054" s="10" t="str">
        <f>IFERROR(VLOOKUP(B1054,'Pre-Summary'!$AT$6:$AX$15,4,FALSE),"")</f>
        <v/>
      </c>
      <c r="F1054">
        <f>IFERROR(VLOOKUP(B1054,'Pre-Summary'!$AL$6:$AQ$13,6,FALSE),F1053)</f>
        <v>5.9405263157894746E-2</v>
      </c>
      <c r="G1054" t="str">
        <f>IFERROR(VLOOKUP(B1054,'Pre-Summary'!$AE$6:$AJ$85,3,FALSE),"")</f>
        <v/>
      </c>
      <c r="H1054" t="str">
        <f>IFERROR(VLOOKUP(B1054,'Pre-Summary'!$AE$6:$AJ$85,4,FALSE),"")</f>
        <v/>
      </c>
      <c r="I1054" t="str">
        <f>IFERROR(VLOOKUP(B1054,'Pre-Summary'!$AE$6:$AJ$85,5,FALSE),"")</f>
        <v/>
      </c>
      <c r="J1054" s="45" t="str">
        <f>IFERROR(VLOOKUP(B1054,'Pre-Summary'!$AE$6:$AJ$85,6, FALSE),"")</f>
        <v/>
      </c>
      <c r="K1054" s="45" t="str">
        <f>IFERROR(VLOOKUP(B1054,'Pre-Summary'!$DE$6:$DG$61,3,FALSE),"")</f>
        <v/>
      </c>
      <c r="L1054" s="45" t="str">
        <f>IFERROR(VLOOKUP(B1054,'Pre-Summary'!$CU$6:$CW$36,3,FALSE),"")</f>
        <v/>
      </c>
      <c r="M1054" s="45" t="str">
        <f>IFERROR(VLOOKUP(B1054,'Pre-Summary'!$BW$6:$BY$58,2,FALSE),"")</f>
        <v/>
      </c>
      <c r="N1054" s="45" t="str">
        <f>IFERROR(VLOOKUP(B1054,'Pre-Summary'!$CD$6:$CF$64,2,FALSE),"")</f>
        <v/>
      </c>
      <c r="O1054" s="99">
        <f>IFERROR(VLOOKUP(B1054,'Pre-Summary'!$BO$6:$BQ$48,3, FALSE),O1053)</f>
        <v>1</v>
      </c>
      <c r="P1054" s="99">
        <f>IFERROR(VLOOKUP(B1054,'Pre-Summary'!$BS$6:$BU$35,3,FALSE),P1053)</f>
        <v>0.25</v>
      </c>
      <c r="Q1054" s="54">
        <f t="shared" si="48"/>
        <v>4</v>
      </c>
      <c r="R1054" s="53">
        <f>IFERROR(VLOOKUP(B1054,'Pre-Summary'!$BG$6:$BM$44,7,FALSE),R1055)</f>
        <v>7.6574939085447311E-2</v>
      </c>
      <c r="S1054" s="53">
        <f>IFERROR(VLOOKUP(B1054,'Pre-Summary'!$BG$6:$BM$44,6,FALSE),S1055)</f>
        <v>6.8761751275839902E-2</v>
      </c>
      <c r="T1054" s="45" t="str">
        <f>IFERROR(VLOOKUP(B1054,'Pre-Summary'!$Y$6:$AC$83, 3,FALSE),"")</f>
        <v/>
      </c>
      <c r="U1054" s="45" t="str">
        <f>IFERROR(VLOOKUP(B1054,'Pre-Summary'!$Y$6:$AC$83, 4,FALSE),"")</f>
        <v/>
      </c>
      <c r="V1054" t="str">
        <f>IFERROR(VLOOKUP(B1054,'Pre-Summary'!$Y$6:$AC$83, 5,FALSE),"")</f>
        <v/>
      </c>
      <c r="W1054" s="45" t="str">
        <f>IFERROR(VLOOKUP(B1054,'Pre-Summary'!$Y$6:$AD$83,6,FALSE),"")</f>
        <v/>
      </c>
      <c r="X1054" t="str">
        <f>IFERROR(VLOOKUP('Pre-Summary'!$DB$6:$DD$63,3,FALSE),"")</f>
        <v/>
      </c>
      <c r="Y1054" t="str">
        <f>IFERROR(VLOOKUP(B1054,'Pre-Summary'!$CR$6:$CT$36,3,FALSE),"")</f>
        <v/>
      </c>
      <c r="Z1054" s="45" t="str">
        <f>IFERROR(VLOOKUP(B1054,'Pre-Summary'!$BZ$6:$CB$63,2,FALSE),"")</f>
        <v/>
      </c>
      <c r="AA1054" s="45" t="str">
        <f>IFERROR(VLOOKUP(B1054,'Pre-Summary'!$CG$6:$CI$70,2,FALSE),"")</f>
        <v/>
      </c>
      <c r="AB1054" s="99">
        <f>IFERROR(VLOOKUP(B1054,'Pre-Summary'!$A$6:$P$178,9,FALSE),AB1055)</f>
        <v>0.50944710327423315</v>
      </c>
      <c r="AC1054" s="10">
        <f>IFERROR(VLOOKUP(Summary!B1054,'Pre-Summary'!$A$6:$P$184,5, FALSE)/100,AC1055)</f>
        <v>0.90854199999999996</v>
      </c>
      <c r="AD1054" s="10">
        <f>IFERROR(VLOOKUP(Summary!B1054,'Pre-Summary'!$A$6:$P$184,3, FALSE)/100,AD1055)</f>
        <v>1.1944999999999999E-2</v>
      </c>
      <c r="AE1054" s="10">
        <f>IFERROR(VLOOKUP(Summary!B1054,'Pre-Summary'!$A$6:$P$184,7, FALSE)/100,AE1055)</f>
        <v>7.9513E-2</v>
      </c>
      <c r="AF1054" s="99">
        <f t="shared" si="49"/>
        <v>6.0853456486107144E-3</v>
      </c>
      <c r="AG1054" s="99">
        <f t="shared" si="50"/>
        <v>4.0507667522644099E-2</v>
      </c>
      <c r="AH1054" s="10" t="str">
        <f>IFERROR(VLOOKUP(B1054,'Pre-Summary'!$AZ$6:$BE$65,3,FALSE),"")</f>
        <v/>
      </c>
      <c r="AI1054" s="10" t="str">
        <f>IFERROR(VLOOKUP(B1054,'Pre-Summary'!$AZ$6:$BE$65,5,FALSE),"")</f>
        <v/>
      </c>
      <c r="AJ1054" s="10" t="str">
        <f>IFERROR(VLOOKUP(B1054,'Pre-Summary'!$AZ$6:$BE$65,4,FALSE),"")</f>
        <v/>
      </c>
      <c r="AK1054" s="10" t="str">
        <f>IFERROR(VLOOKUP(B1054,'Pre-Summary'!$AZ$6:$BE$65,6,FALSE),"")</f>
        <v/>
      </c>
      <c r="AL1054" s="10" t="str">
        <f>IFERROR(VLOOKUP(B1054,'Pre-Summary'!$BG$6:$BL$44,3,FALSE),"")</f>
        <v/>
      </c>
      <c r="AM1054" s="10" t="str">
        <f>IFERROR(VLOOKUP(B1054,'Pre-Summary'!$BG$6:$BL$44,4,FALSE),"")</f>
        <v/>
      </c>
    </row>
    <row r="1055" spans="2:39" ht="15" customHeight="1" x14ac:dyDescent="0.3">
      <c r="B1055">
        <v>105.2</v>
      </c>
      <c r="C1055" t="str">
        <f>IFERROR(VLOOKUP(B1055,'Pre-Summary'!$DI$6:$DM$23,4,FALSE),"")</f>
        <v/>
      </c>
      <c r="D1055" s="10" t="str">
        <f>IFERROR(VLOOKUP(B1055,'Pre-Summary'!$AT$6:$AX$14,5,FALSE),D1054)</f>
        <v>DSMZ v3: dropped yeast, casitone, and bicarb out of DSMZ 120</v>
      </c>
      <c r="E1055" s="10" t="str">
        <f>IFERROR(VLOOKUP(B1055,'Pre-Summary'!$AT$6:$AX$15,4,FALSE),"")</f>
        <v/>
      </c>
      <c r="F1055">
        <f>IFERROR(VLOOKUP(B1055,'Pre-Summary'!$AL$6:$AQ$13,6,FALSE),F1054)</f>
        <v>5.9405263157894746E-2</v>
      </c>
      <c r="G1055" t="str">
        <f>IFERROR(VLOOKUP(B1055,'Pre-Summary'!$AE$6:$AJ$85,3,FALSE),"")</f>
        <v/>
      </c>
      <c r="H1055" t="str">
        <f>IFERROR(VLOOKUP(B1055,'Pre-Summary'!$AE$6:$AJ$85,4,FALSE),"")</f>
        <v/>
      </c>
      <c r="I1055" t="str">
        <f>IFERROR(VLOOKUP(B1055,'Pre-Summary'!$AE$6:$AJ$85,5,FALSE),"")</f>
        <v/>
      </c>
      <c r="J1055" s="45" t="str">
        <f>IFERROR(VLOOKUP(B1055,'Pre-Summary'!$AE$6:$AJ$85,6, FALSE),"")</f>
        <v/>
      </c>
      <c r="K1055" s="45" t="str">
        <f>IFERROR(VLOOKUP(B1055,'Pre-Summary'!$DE$6:$DG$61,3,FALSE),"")</f>
        <v/>
      </c>
      <c r="L1055" s="45" t="str">
        <f>IFERROR(VLOOKUP(B1055,'Pre-Summary'!$CU$6:$CW$36,3,FALSE),"")</f>
        <v/>
      </c>
      <c r="M1055" s="45" t="str">
        <f>IFERROR(VLOOKUP(B1055,'Pre-Summary'!$BW$6:$BY$58,2,FALSE),"")</f>
        <v/>
      </c>
      <c r="N1055" s="45" t="str">
        <f>IFERROR(VLOOKUP(B1055,'Pre-Summary'!$CD$6:$CF$64,2,FALSE),"")</f>
        <v/>
      </c>
      <c r="O1055" s="99">
        <f>IFERROR(VLOOKUP(B1055,'Pre-Summary'!$BO$6:$BQ$48,3, FALSE),O1054)</f>
        <v>1</v>
      </c>
      <c r="P1055" s="99">
        <f>IFERROR(VLOOKUP(B1055,'Pre-Summary'!$BS$6:$BU$35,3,FALSE),P1054)</f>
        <v>0.25</v>
      </c>
      <c r="Q1055" s="54">
        <f t="shared" si="48"/>
        <v>4</v>
      </c>
      <c r="R1055" s="53">
        <f>IFERROR(VLOOKUP(B1055,'Pre-Summary'!$BG$6:$BM$44,7,FALSE),R1056)</f>
        <v>7.6574939085447311E-2</v>
      </c>
      <c r="S1055" s="53">
        <f>IFERROR(VLOOKUP(B1055,'Pre-Summary'!$BG$6:$BM$44,6,FALSE),S1056)</f>
        <v>6.8761751275839902E-2</v>
      </c>
      <c r="T1055" s="45" t="str">
        <f>IFERROR(VLOOKUP(B1055,'Pre-Summary'!$Y$6:$AC$83, 3,FALSE),"")</f>
        <v/>
      </c>
      <c r="U1055" s="45" t="str">
        <f>IFERROR(VLOOKUP(B1055,'Pre-Summary'!$Y$6:$AC$83, 4,FALSE),"")</f>
        <v/>
      </c>
      <c r="V1055" t="str">
        <f>IFERROR(VLOOKUP(B1055,'Pre-Summary'!$Y$6:$AC$83, 5,FALSE),"")</f>
        <v/>
      </c>
      <c r="W1055" s="45" t="str">
        <f>IFERROR(VLOOKUP(B1055,'Pre-Summary'!$Y$6:$AD$83,6,FALSE),"")</f>
        <v/>
      </c>
      <c r="X1055" t="str">
        <f>IFERROR(VLOOKUP('Pre-Summary'!$DB$6:$DD$63,3,FALSE),"")</f>
        <v/>
      </c>
      <c r="Y1055" t="str">
        <f>IFERROR(VLOOKUP(B1055,'Pre-Summary'!$CR$6:$CT$36,3,FALSE),"")</f>
        <v/>
      </c>
      <c r="Z1055" s="45" t="str">
        <f>IFERROR(VLOOKUP(B1055,'Pre-Summary'!$BZ$6:$CB$63,2,FALSE),"")</f>
        <v/>
      </c>
      <c r="AA1055" s="45" t="str">
        <f>IFERROR(VLOOKUP(B1055,'Pre-Summary'!$CG$6:$CI$70,2,FALSE),"")</f>
        <v/>
      </c>
      <c r="AB1055" s="99">
        <f>IFERROR(VLOOKUP(B1055,'Pre-Summary'!$A$6:$P$178,9,FALSE),AB1056)</f>
        <v>0.50944710327423315</v>
      </c>
      <c r="AC1055" s="10">
        <f>IFERROR(VLOOKUP(Summary!B1055,'Pre-Summary'!$A$6:$P$184,5, FALSE)/100,AC1056)</f>
        <v>0.90854199999999996</v>
      </c>
      <c r="AD1055" s="10">
        <f>IFERROR(VLOOKUP(Summary!B1055,'Pre-Summary'!$A$6:$P$184,3, FALSE)/100,AD1056)</f>
        <v>1.1944999999999999E-2</v>
      </c>
      <c r="AE1055" s="10">
        <f>IFERROR(VLOOKUP(Summary!B1055,'Pre-Summary'!$A$6:$P$184,7, FALSE)/100,AE1056)</f>
        <v>7.9513E-2</v>
      </c>
      <c r="AF1055" s="99">
        <f t="shared" si="49"/>
        <v>6.0853456486107144E-3</v>
      </c>
      <c r="AG1055" s="99">
        <f t="shared" si="50"/>
        <v>4.0507667522644099E-2</v>
      </c>
      <c r="AH1055" s="10" t="str">
        <f>IFERROR(VLOOKUP(B1055,'Pre-Summary'!$AZ$6:$BE$65,3,FALSE),"")</f>
        <v/>
      </c>
      <c r="AI1055" s="10" t="str">
        <f>IFERROR(VLOOKUP(B1055,'Pre-Summary'!$AZ$6:$BE$65,5,FALSE),"")</f>
        <v/>
      </c>
      <c r="AJ1055" s="10" t="str">
        <f>IFERROR(VLOOKUP(B1055,'Pre-Summary'!$AZ$6:$BE$65,4,FALSE),"")</f>
        <v/>
      </c>
      <c r="AK1055" s="10" t="str">
        <f>IFERROR(VLOOKUP(B1055,'Pre-Summary'!$AZ$6:$BE$65,6,FALSE),"")</f>
        <v/>
      </c>
      <c r="AL1055" s="10" t="str">
        <f>IFERROR(VLOOKUP(B1055,'Pre-Summary'!$BG$6:$BL$44,3,FALSE),"")</f>
        <v/>
      </c>
      <c r="AM1055" s="10" t="str">
        <f>IFERROR(VLOOKUP(B1055,'Pre-Summary'!$BG$6:$BL$44,4,FALSE),"")</f>
        <v/>
      </c>
    </row>
    <row r="1056" spans="2:39" ht="15" customHeight="1" x14ac:dyDescent="0.3">
      <c r="B1056">
        <v>105.3</v>
      </c>
      <c r="C1056" t="str">
        <f>IFERROR(VLOOKUP(B1056,'Pre-Summary'!$DI$6:$DM$23,4,FALSE),"")</f>
        <v/>
      </c>
      <c r="D1056" s="10" t="str">
        <f>IFERROR(VLOOKUP(B1056,'Pre-Summary'!$AT$6:$AX$14,5,FALSE),D1055)</f>
        <v>DSMZ v3: dropped yeast, casitone, and bicarb out of DSMZ 120</v>
      </c>
      <c r="E1056" s="10" t="str">
        <f>IFERROR(VLOOKUP(B1056,'Pre-Summary'!$AT$6:$AX$15,4,FALSE),"")</f>
        <v/>
      </c>
      <c r="F1056">
        <f>IFERROR(VLOOKUP(B1056,'Pre-Summary'!$AL$6:$AQ$13,6,FALSE),F1055)</f>
        <v>5.9405263157894746E-2</v>
      </c>
      <c r="G1056" t="str">
        <f>IFERROR(VLOOKUP(B1056,'Pre-Summary'!$AE$6:$AJ$85,3,FALSE),"")</f>
        <v/>
      </c>
      <c r="H1056" t="str">
        <f>IFERROR(VLOOKUP(B1056,'Pre-Summary'!$AE$6:$AJ$85,4,FALSE),"")</f>
        <v/>
      </c>
      <c r="I1056" t="str">
        <f>IFERROR(VLOOKUP(B1056,'Pre-Summary'!$AE$6:$AJ$85,5,FALSE),"")</f>
        <v/>
      </c>
      <c r="J1056" s="45" t="str">
        <f>IFERROR(VLOOKUP(B1056,'Pre-Summary'!$AE$6:$AJ$85,6, FALSE),"")</f>
        <v/>
      </c>
      <c r="K1056" s="45" t="str">
        <f>IFERROR(VLOOKUP(B1056,'Pre-Summary'!$DE$6:$DG$61,3,FALSE),"")</f>
        <v/>
      </c>
      <c r="L1056" s="45" t="str">
        <f>IFERROR(VLOOKUP(B1056,'Pre-Summary'!$CU$6:$CW$36,3,FALSE),"")</f>
        <v/>
      </c>
      <c r="M1056" s="45" t="str">
        <f>IFERROR(VLOOKUP(B1056,'Pre-Summary'!$BW$6:$BY$58,2,FALSE),"")</f>
        <v/>
      </c>
      <c r="N1056" s="45" t="str">
        <f>IFERROR(VLOOKUP(B1056,'Pre-Summary'!$CD$6:$CF$64,2,FALSE),"")</f>
        <v/>
      </c>
      <c r="O1056" s="99">
        <f>IFERROR(VLOOKUP(B1056,'Pre-Summary'!$BO$6:$BQ$48,3, FALSE),O1055)</f>
        <v>1</v>
      </c>
      <c r="P1056" s="99">
        <f>IFERROR(VLOOKUP(B1056,'Pre-Summary'!$BS$6:$BU$35,3,FALSE),P1055)</f>
        <v>0.25</v>
      </c>
      <c r="Q1056" s="54">
        <f t="shared" si="48"/>
        <v>4</v>
      </c>
      <c r="R1056" s="53">
        <f>IFERROR(VLOOKUP(B1056,'Pre-Summary'!$BG$6:$BM$44,7,FALSE),R1057)</f>
        <v>7.6574939085447311E-2</v>
      </c>
      <c r="S1056" s="53">
        <f>IFERROR(VLOOKUP(B1056,'Pre-Summary'!$BG$6:$BM$44,6,FALSE),S1057)</f>
        <v>6.8761751275839902E-2</v>
      </c>
      <c r="T1056" s="45" t="str">
        <f>IFERROR(VLOOKUP(B1056,'Pre-Summary'!$Y$6:$AC$83, 3,FALSE),"")</f>
        <v/>
      </c>
      <c r="U1056" s="45" t="str">
        <f>IFERROR(VLOOKUP(B1056,'Pre-Summary'!$Y$6:$AC$83, 4,FALSE),"")</f>
        <v/>
      </c>
      <c r="V1056" t="str">
        <f>IFERROR(VLOOKUP(B1056,'Pre-Summary'!$Y$6:$AC$83, 5,FALSE),"")</f>
        <v/>
      </c>
      <c r="W1056" s="45" t="str">
        <f>IFERROR(VLOOKUP(B1056,'Pre-Summary'!$Y$6:$AD$83,6,FALSE),"")</f>
        <v/>
      </c>
      <c r="X1056" t="str">
        <f>IFERROR(VLOOKUP('Pre-Summary'!$DB$6:$DD$63,3,FALSE),"")</f>
        <v/>
      </c>
      <c r="Y1056" t="str">
        <f>IFERROR(VLOOKUP(B1056,'Pre-Summary'!$CR$6:$CT$36,3,FALSE),"")</f>
        <v/>
      </c>
      <c r="Z1056" s="45" t="str">
        <f>IFERROR(VLOOKUP(B1056,'Pre-Summary'!$BZ$6:$CB$63,2,FALSE),"")</f>
        <v/>
      </c>
      <c r="AA1056" s="45" t="str">
        <f>IFERROR(VLOOKUP(B1056,'Pre-Summary'!$CG$6:$CI$70,2,FALSE),"")</f>
        <v/>
      </c>
      <c r="AB1056" s="99">
        <f>IFERROR(VLOOKUP(B1056,'Pre-Summary'!$A$6:$P$178,9,FALSE),AB1057)</f>
        <v>0.50944710327423315</v>
      </c>
      <c r="AC1056" s="10">
        <f>IFERROR(VLOOKUP(Summary!B1056,'Pre-Summary'!$A$6:$P$184,5, FALSE)/100,AC1057)</f>
        <v>0.90854199999999996</v>
      </c>
      <c r="AD1056" s="10">
        <f>IFERROR(VLOOKUP(Summary!B1056,'Pre-Summary'!$A$6:$P$184,3, FALSE)/100,AD1057)</f>
        <v>1.1944999999999999E-2</v>
      </c>
      <c r="AE1056" s="10">
        <f>IFERROR(VLOOKUP(Summary!B1056,'Pre-Summary'!$A$6:$P$184,7, FALSE)/100,AE1057)</f>
        <v>7.9513E-2</v>
      </c>
      <c r="AF1056" s="99">
        <f t="shared" si="49"/>
        <v>6.0853456486107144E-3</v>
      </c>
      <c r="AG1056" s="99">
        <f t="shared" si="50"/>
        <v>4.0507667522644099E-2</v>
      </c>
      <c r="AH1056" s="10" t="str">
        <f>IFERROR(VLOOKUP(B1056,'Pre-Summary'!$AZ$6:$BE$65,3,FALSE),"")</f>
        <v/>
      </c>
      <c r="AI1056" s="10" t="str">
        <f>IFERROR(VLOOKUP(B1056,'Pre-Summary'!$AZ$6:$BE$65,5,FALSE),"")</f>
        <v/>
      </c>
      <c r="AJ1056" s="10" t="str">
        <f>IFERROR(VLOOKUP(B1056,'Pre-Summary'!$AZ$6:$BE$65,4,FALSE),"")</f>
        <v/>
      </c>
      <c r="AK1056" s="10" t="str">
        <f>IFERROR(VLOOKUP(B1056,'Pre-Summary'!$AZ$6:$BE$65,6,FALSE),"")</f>
        <v/>
      </c>
      <c r="AL1056" s="10" t="str">
        <f>IFERROR(VLOOKUP(B1056,'Pre-Summary'!$BG$6:$BL$44,3,FALSE),"")</f>
        <v/>
      </c>
      <c r="AM1056" s="10" t="str">
        <f>IFERROR(VLOOKUP(B1056,'Pre-Summary'!$BG$6:$BL$44,4,FALSE),"")</f>
        <v/>
      </c>
    </row>
    <row r="1057" spans="2:39" ht="15" customHeight="1" x14ac:dyDescent="0.3">
      <c r="B1057">
        <v>105.4</v>
      </c>
      <c r="C1057" t="str">
        <f>IFERROR(VLOOKUP(B1057,'Pre-Summary'!$DI$6:$DM$23,4,FALSE),"")</f>
        <v/>
      </c>
      <c r="D1057" s="10" t="str">
        <f>IFERROR(VLOOKUP(B1057,'Pre-Summary'!$AT$6:$AX$14,5,FALSE),D1056)</f>
        <v>DSMZ v3: dropped yeast, casitone, and bicarb out of DSMZ 120</v>
      </c>
      <c r="E1057" s="10" t="str">
        <f>IFERROR(VLOOKUP(B1057,'Pre-Summary'!$AT$6:$AX$15,4,FALSE),"")</f>
        <v/>
      </c>
      <c r="F1057">
        <f>IFERROR(VLOOKUP(B1057,'Pre-Summary'!$AL$6:$AQ$13,6,FALSE),F1056)</f>
        <v>5.9405263157894746E-2</v>
      </c>
      <c r="G1057" t="str">
        <f>IFERROR(VLOOKUP(B1057,'Pre-Summary'!$AE$6:$AJ$85,3,FALSE),"")</f>
        <v/>
      </c>
      <c r="H1057" t="str">
        <f>IFERROR(VLOOKUP(B1057,'Pre-Summary'!$AE$6:$AJ$85,4,FALSE),"")</f>
        <v/>
      </c>
      <c r="I1057" t="str">
        <f>IFERROR(VLOOKUP(B1057,'Pre-Summary'!$AE$6:$AJ$85,5,FALSE),"")</f>
        <v/>
      </c>
      <c r="J1057" s="45" t="str">
        <f>IFERROR(VLOOKUP(B1057,'Pre-Summary'!$AE$6:$AJ$85,6, FALSE),"")</f>
        <v/>
      </c>
      <c r="K1057" s="45" t="str">
        <f>IFERROR(VLOOKUP(B1057,'Pre-Summary'!$DE$6:$DG$61,3,FALSE),"")</f>
        <v/>
      </c>
      <c r="L1057" s="45" t="str">
        <f>IFERROR(VLOOKUP(B1057,'Pre-Summary'!$CU$6:$CW$36,3,FALSE),"")</f>
        <v/>
      </c>
      <c r="M1057" s="45" t="str">
        <f>IFERROR(VLOOKUP(B1057,'Pre-Summary'!$BW$6:$BY$58,2,FALSE),"")</f>
        <v/>
      </c>
      <c r="N1057" s="45" t="str">
        <f>IFERROR(VLOOKUP(B1057,'Pre-Summary'!$CD$6:$CF$64,2,FALSE),"")</f>
        <v/>
      </c>
      <c r="O1057" s="99">
        <f>IFERROR(VLOOKUP(B1057,'Pre-Summary'!$BO$6:$BQ$48,3, FALSE),O1056)</f>
        <v>1</v>
      </c>
      <c r="P1057" s="99">
        <f>IFERROR(VLOOKUP(B1057,'Pre-Summary'!$BS$6:$BU$35,3,FALSE),P1056)</f>
        <v>0.25</v>
      </c>
      <c r="Q1057" s="54">
        <f t="shared" si="48"/>
        <v>4</v>
      </c>
      <c r="R1057" s="53">
        <f>IFERROR(VLOOKUP(B1057,'Pre-Summary'!$BG$6:$BM$44,7,FALSE),R1058)</f>
        <v>7.6574939085447311E-2</v>
      </c>
      <c r="S1057" s="53">
        <f>IFERROR(VLOOKUP(B1057,'Pre-Summary'!$BG$6:$BM$44,6,FALSE),S1058)</f>
        <v>6.8761751275839902E-2</v>
      </c>
      <c r="T1057" s="45" t="str">
        <f>IFERROR(VLOOKUP(B1057,'Pre-Summary'!$Y$6:$AC$83, 3,FALSE),"")</f>
        <v/>
      </c>
      <c r="U1057" s="45" t="str">
        <f>IFERROR(VLOOKUP(B1057,'Pre-Summary'!$Y$6:$AC$83, 4,FALSE),"")</f>
        <v/>
      </c>
      <c r="V1057" t="str">
        <f>IFERROR(VLOOKUP(B1057,'Pre-Summary'!$Y$6:$AC$83, 5,FALSE),"")</f>
        <v/>
      </c>
      <c r="W1057" s="45" t="str">
        <f>IFERROR(VLOOKUP(B1057,'Pre-Summary'!$Y$6:$AD$83,6,FALSE),"")</f>
        <v/>
      </c>
      <c r="X1057" t="str">
        <f>IFERROR(VLOOKUP('Pre-Summary'!$DB$6:$DD$63,3,FALSE),"")</f>
        <v/>
      </c>
      <c r="Y1057" t="str">
        <f>IFERROR(VLOOKUP(B1057,'Pre-Summary'!$CR$6:$CT$36,3,FALSE),"")</f>
        <v/>
      </c>
      <c r="Z1057" s="45" t="str">
        <f>IFERROR(VLOOKUP(B1057,'Pre-Summary'!$BZ$6:$CB$63,2,FALSE),"")</f>
        <v/>
      </c>
      <c r="AA1057" s="45" t="str">
        <f>IFERROR(VLOOKUP(B1057,'Pre-Summary'!$CG$6:$CI$70,2,FALSE),"")</f>
        <v/>
      </c>
      <c r="AB1057" s="99">
        <f>IFERROR(VLOOKUP(B1057,'Pre-Summary'!$A$6:$P$178,9,FALSE),AB1058)</f>
        <v>0.50944710327423315</v>
      </c>
      <c r="AC1057" s="10">
        <f>IFERROR(VLOOKUP(Summary!B1057,'Pre-Summary'!$A$6:$P$184,5, FALSE)/100,AC1058)</f>
        <v>0.90854199999999996</v>
      </c>
      <c r="AD1057" s="10">
        <f>IFERROR(VLOOKUP(Summary!B1057,'Pre-Summary'!$A$6:$P$184,3, FALSE)/100,AD1058)</f>
        <v>1.1944999999999999E-2</v>
      </c>
      <c r="AE1057" s="10">
        <f>IFERROR(VLOOKUP(Summary!B1057,'Pre-Summary'!$A$6:$P$184,7, FALSE)/100,AE1058)</f>
        <v>7.9513E-2</v>
      </c>
      <c r="AF1057" s="99">
        <f t="shared" si="49"/>
        <v>6.0853456486107144E-3</v>
      </c>
      <c r="AG1057" s="99">
        <f t="shared" si="50"/>
        <v>4.0507667522644099E-2</v>
      </c>
      <c r="AH1057" s="10" t="str">
        <f>IFERROR(VLOOKUP(B1057,'Pre-Summary'!$AZ$6:$BE$65,3,FALSE),"")</f>
        <v/>
      </c>
      <c r="AI1057" s="10" t="str">
        <f>IFERROR(VLOOKUP(B1057,'Pre-Summary'!$AZ$6:$BE$65,5,FALSE),"")</f>
        <v/>
      </c>
      <c r="AJ1057" s="10" t="str">
        <f>IFERROR(VLOOKUP(B1057,'Pre-Summary'!$AZ$6:$BE$65,4,FALSE),"")</f>
        <v/>
      </c>
      <c r="AK1057" s="10" t="str">
        <f>IFERROR(VLOOKUP(B1057,'Pre-Summary'!$AZ$6:$BE$65,6,FALSE),"")</f>
        <v/>
      </c>
      <c r="AL1057" s="10" t="str">
        <f>IFERROR(VLOOKUP(B1057,'Pre-Summary'!$BG$6:$BL$44,3,FALSE),"")</f>
        <v/>
      </c>
      <c r="AM1057" s="10" t="str">
        <f>IFERROR(VLOOKUP(B1057,'Pre-Summary'!$BG$6:$BL$44,4,FALSE),"")</f>
        <v/>
      </c>
    </row>
    <row r="1058" spans="2:39" ht="15" customHeight="1" x14ac:dyDescent="0.3">
      <c r="B1058">
        <v>105.5</v>
      </c>
      <c r="C1058" t="str">
        <f>IFERROR(VLOOKUP(B1058,'Pre-Summary'!$DI$6:$DM$23,4,FALSE),"")</f>
        <v/>
      </c>
      <c r="D1058" s="10" t="str">
        <f>IFERROR(VLOOKUP(B1058,'Pre-Summary'!$AT$6:$AX$14,5,FALSE),D1057)</f>
        <v>DSMZ v3: dropped yeast, casitone, and bicarb out of DSMZ 120</v>
      </c>
      <c r="E1058" s="10" t="str">
        <f>IFERROR(VLOOKUP(B1058,'Pre-Summary'!$AT$6:$AX$15,4,FALSE),"")</f>
        <v/>
      </c>
      <c r="F1058">
        <f>IFERROR(VLOOKUP(B1058,'Pre-Summary'!$AL$6:$AQ$13,6,FALSE),F1057)</f>
        <v>5.9405263157894746E-2</v>
      </c>
      <c r="G1058" t="str">
        <f>IFERROR(VLOOKUP(B1058,'Pre-Summary'!$AE$6:$AJ$85,3,FALSE),"")</f>
        <v/>
      </c>
      <c r="H1058" t="str">
        <f>IFERROR(VLOOKUP(B1058,'Pre-Summary'!$AE$6:$AJ$85,4,FALSE),"")</f>
        <v/>
      </c>
      <c r="I1058" t="str">
        <f>IFERROR(VLOOKUP(B1058,'Pre-Summary'!$AE$6:$AJ$85,5,FALSE),"")</f>
        <v/>
      </c>
      <c r="J1058" s="45" t="str">
        <f>IFERROR(VLOOKUP(B1058,'Pre-Summary'!$AE$6:$AJ$85,6, FALSE),"")</f>
        <v/>
      </c>
      <c r="K1058" s="45" t="str">
        <f>IFERROR(VLOOKUP(B1058,'Pre-Summary'!$DE$6:$DG$61,3,FALSE),"")</f>
        <v/>
      </c>
      <c r="L1058" s="45" t="str">
        <f>IFERROR(VLOOKUP(B1058,'Pre-Summary'!$CU$6:$CW$36,3,FALSE),"")</f>
        <v/>
      </c>
      <c r="M1058" s="45" t="str">
        <f>IFERROR(VLOOKUP(B1058,'Pre-Summary'!$BW$6:$BY$58,2,FALSE),"")</f>
        <v/>
      </c>
      <c r="N1058" s="45" t="str">
        <f>IFERROR(VLOOKUP(B1058,'Pre-Summary'!$CD$6:$CF$64,2,FALSE),"")</f>
        <v/>
      </c>
      <c r="O1058" s="99">
        <f>IFERROR(VLOOKUP(B1058,'Pre-Summary'!$BO$6:$BQ$48,3, FALSE),O1057)</f>
        <v>1</v>
      </c>
      <c r="P1058" s="99">
        <f>IFERROR(VLOOKUP(B1058,'Pre-Summary'!$BS$6:$BU$35,3,FALSE),P1057)</f>
        <v>0.25</v>
      </c>
      <c r="Q1058" s="54">
        <f t="shared" si="48"/>
        <v>4</v>
      </c>
      <c r="R1058" s="53">
        <f>IFERROR(VLOOKUP(B1058,'Pre-Summary'!$BG$6:$BM$44,7,FALSE),R1059)</f>
        <v>7.6574939085447311E-2</v>
      </c>
      <c r="S1058" s="53">
        <f>IFERROR(VLOOKUP(B1058,'Pre-Summary'!$BG$6:$BM$44,6,FALSE),S1059)</f>
        <v>6.8761751275839902E-2</v>
      </c>
      <c r="T1058" s="45" t="str">
        <f>IFERROR(VLOOKUP(B1058,'Pre-Summary'!$Y$6:$AC$83, 3,FALSE),"")</f>
        <v/>
      </c>
      <c r="U1058" s="45" t="str">
        <f>IFERROR(VLOOKUP(B1058,'Pre-Summary'!$Y$6:$AC$83, 4,FALSE),"")</f>
        <v/>
      </c>
      <c r="V1058" t="str">
        <f>IFERROR(VLOOKUP(B1058,'Pre-Summary'!$Y$6:$AC$83, 5,FALSE),"")</f>
        <v/>
      </c>
      <c r="W1058" s="45" t="str">
        <f>IFERROR(VLOOKUP(B1058,'Pre-Summary'!$Y$6:$AD$83,6,FALSE),"")</f>
        <v/>
      </c>
      <c r="X1058" t="str">
        <f>IFERROR(VLOOKUP('Pre-Summary'!$DB$6:$DD$63,3,FALSE),"")</f>
        <v/>
      </c>
      <c r="Y1058" t="str">
        <f>IFERROR(VLOOKUP(B1058,'Pre-Summary'!$CR$6:$CT$36,3,FALSE),"")</f>
        <v/>
      </c>
      <c r="Z1058" s="45" t="str">
        <f>IFERROR(VLOOKUP(B1058,'Pre-Summary'!$BZ$6:$CB$63,2,FALSE),"")</f>
        <v/>
      </c>
      <c r="AA1058" s="45" t="str">
        <f>IFERROR(VLOOKUP(B1058,'Pre-Summary'!$CG$6:$CI$70,2,FALSE),"")</f>
        <v/>
      </c>
      <c r="AB1058" s="99">
        <f>IFERROR(VLOOKUP(B1058,'Pre-Summary'!$A$6:$P$178,9,FALSE),AB1059)</f>
        <v>0.50944710327423315</v>
      </c>
      <c r="AC1058" s="10">
        <f>IFERROR(VLOOKUP(Summary!B1058,'Pre-Summary'!$A$6:$P$184,5, FALSE)/100,AC1059)</f>
        <v>0.90854199999999996</v>
      </c>
      <c r="AD1058" s="10">
        <f>IFERROR(VLOOKUP(Summary!B1058,'Pre-Summary'!$A$6:$P$184,3, FALSE)/100,AD1059)</f>
        <v>1.1944999999999999E-2</v>
      </c>
      <c r="AE1058" s="10">
        <f>IFERROR(VLOOKUP(Summary!B1058,'Pre-Summary'!$A$6:$P$184,7, FALSE)/100,AE1059)</f>
        <v>7.9513E-2</v>
      </c>
      <c r="AF1058" s="99">
        <f t="shared" si="49"/>
        <v>6.0853456486107144E-3</v>
      </c>
      <c r="AG1058" s="99">
        <f t="shared" si="50"/>
        <v>4.0507667522644099E-2</v>
      </c>
      <c r="AH1058" s="10" t="str">
        <f>IFERROR(VLOOKUP(B1058,'Pre-Summary'!$AZ$6:$BE$65,3,FALSE),"")</f>
        <v/>
      </c>
      <c r="AI1058" s="10" t="str">
        <f>IFERROR(VLOOKUP(B1058,'Pre-Summary'!$AZ$6:$BE$65,5,FALSE),"")</f>
        <v/>
      </c>
      <c r="AJ1058" s="10" t="str">
        <f>IFERROR(VLOOKUP(B1058,'Pre-Summary'!$AZ$6:$BE$65,4,FALSE),"")</f>
        <v/>
      </c>
      <c r="AK1058" s="10" t="str">
        <f>IFERROR(VLOOKUP(B1058,'Pre-Summary'!$AZ$6:$BE$65,6,FALSE),"")</f>
        <v/>
      </c>
      <c r="AL1058" s="10" t="str">
        <f>IFERROR(VLOOKUP(B1058,'Pre-Summary'!$BG$6:$BL$44,3,FALSE),"")</f>
        <v/>
      </c>
      <c r="AM1058" s="10" t="str">
        <f>IFERROR(VLOOKUP(B1058,'Pre-Summary'!$BG$6:$BL$44,4,FALSE),"")</f>
        <v/>
      </c>
    </row>
    <row r="1059" spans="2:39" ht="15" customHeight="1" x14ac:dyDescent="0.3">
      <c r="B1059">
        <v>105.6</v>
      </c>
      <c r="C1059" t="str">
        <f>IFERROR(VLOOKUP(B1059,'Pre-Summary'!$DI$6:$DM$23,4,FALSE),"")</f>
        <v/>
      </c>
      <c r="D1059" s="10" t="str">
        <f>IFERROR(VLOOKUP(B1059,'Pre-Summary'!$AT$6:$AX$14,5,FALSE),D1058)</f>
        <v>DSMZ v3: dropped yeast, casitone, and bicarb out of DSMZ 120</v>
      </c>
      <c r="E1059" s="10" t="str">
        <f>IFERROR(VLOOKUP(B1059,'Pre-Summary'!$AT$6:$AX$15,4,FALSE),"")</f>
        <v/>
      </c>
      <c r="F1059">
        <f>IFERROR(VLOOKUP(B1059,'Pre-Summary'!$AL$6:$AQ$13,6,FALSE),F1058)</f>
        <v>5.9405263157894746E-2</v>
      </c>
      <c r="G1059" t="str">
        <f>IFERROR(VLOOKUP(B1059,'Pre-Summary'!$AE$6:$AJ$85,3,FALSE),"")</f>
        <v/>
      </c>
      <c r="H1059" t="str">
        <f>IFERROR(VLOOKUP(B1059,'Pre-Summary'!$AE$6:$AJ$85,4,FALSE),"")</f>
        <v/>
      </c>
      <c r="I1059" t="str">
        <f>IFERROR(VLOOKUP(B1059,'Pre-Summary'!$AE$6:$AJ$85,5,FALSE),"")</f>
        <v/>
      </c>
      <c r="J1059" s="45" t="str">
        <f>IFERROR(VLOOKUP(B1059,'Pre-Summary'!$AE$6:$AJ$85,6, FALSE),"")</f>
        <v/>
      </c>
      <c r="K1059" s="45" t="str">
        <f>IFERROR(VLOOKUP(B1059,'Pre-Summary'!$DE$6:$DG$61,3,FALSE),"")</f>
        <v/>
      </c>
      <c r="L1059" s="45" t="str">
        <f>IFERROR(VLOOKUP(B1059,'Pre-Summary'!$CU$6:$CW$36,3,FALSE),"")</f>
        <v/>
      </c>
      <c r="M1059" s="45" t="str">
        <f>IFERROR(VLOOKUP(B1059,'Pre-Summary'!$BW$6:$BY$58,2,FALSE),"")</f>
        <v/>
      </c>
      <c r="N1059" s="45" t="str">
        <f>IFERROR(VLOOKUP(B1059,'Pre-Summary'!$CD$6:$CF$64,2,FALSE),"")</f>
        <v/>
      </c>
      <c r="O1059" s="99">
        <f>IFERROR(VLOOKUP(B1059,'Pre-Summary'!$BO$6:$BQ$48,3, FALSE),O1058)</f>
        <v>1</v>
      </c>
      <c r="P1059" s="99">
        <f>IFERROR(VLOOKUP(B1059,'Pre-Summary'!$BS$6:$BU$35,3,FALSE),P1058)</f>
        <v>0.25</v>
      </c>
      <c r="Q1059" s="54">
        <f t="shared" si="48"/>
        <v>4</v>
      </c>
      <c r="R1059" s="53">
        <f>IFERROR(VLOOKUP(B1059,'Pre-Summary'!$BG$6:$BM$44,7,FALSE),R1060)</f>
        <v>7.6574939085447311E-2</v>
      </c>
      <c r="S1059" s="53">
        <f>IFERROR(VLOOKUP(B1059,'Pre-Summary'!$BG$6:$BM$44,6,FALSE),S1060)</f>
        <v>6.8761751275839902E-2</v>
      </c>
      <c r="T1059" s="45" t="str">
        <f>IFERROR(VLOOKUP(B1059,'Pre-Summary'!$Y$6:$AC$83, 3,FALSE),"")</f>
        <v/>
      </c>
      <c r="U1059" s="45" t="str">
        <f>IFERROR(VLOOKUP(B1059,'Pre-Summary'!$Y$6:$AC$83, 4,FALSE),"")</f>
        <v/>
      </c>
      <c r="V1059" t="str">
        <f>IFERROR(VLOOKUP(B1059,'Pre-Summary'!$Y$6:$AC$83, 5,FALSE),"")</f>
        <v/>
      </c>
      <c r="W1059" s="45" t="str">
        <f>IFERROR(VLOOKUP(B1059,'Pre-Summary'!$Y$6:$AD$83,6,FALSE),"")</f>
        <v/>
      </c>
      <c r="X1059" t="str">
        <f>IFERROR(VLOOKUP('Pre-Summary'!$DB$6:$DD$63,3,FALSE),"")</f>
        <v/>
      </c>
      <c r="Y1059" t="str">
        <f>IFERROR(VLOOKUP(B1059,'Pre-Summary'!$CR$6:$CT$36,3,FALSE),"")</f>
        <v/>
      </c>
      <c r="Z1059" s="45" t="str">
        <f>IFERROR(VLOOKUP(B1059,'Pre-Summary'!$BZ$6:$CB$63,2,FALSE),"")</f>
        <v/>
      </c>
      <c r="AA1059" s="45" t="str">
        <f>IFERROR(VLOOKUP(B1059,'Pre-Summary'!$CG$6:$CI$70,2,FALSE),"")</f>
        <v/>
      </c>
      <c r="AB1059" s="99">
        <f>IFERROR(VLOOKUP(B1059,'Pre-Summary'!$A$6:$P$178,9,FALSE),AB1060)</f>
        <v>0.50944710327423315</v>
      </c>
      <c r="AC1059" s="10">
        <f>IFERROR(VLOOKUP(Summary!B1059,'Pre-Summary'!$A$6:$P$184,5, FALSE)/100,AC1060)</f>
        <v>0.90854199999999996</v>
      </c>
      <c r="AD1059" s="10">
        <f>IFERROR(VLOOKUP(Summary!B1059,'Pre-Summary'!$A$6:$P$184,3, FALSE)/100,AD1060)</f>
        <v>1.1944999999999999E-2</v>
      </c>
      <c r="AE1059" s="10">
        <f>IFERROR(VLOOKUP(Summary!B1059,'Pre-Summary'!$A$6:$P$184,7, FALSE)/100,AE1060)</f>
        <v>7.9513E-2</v>
      </c>
      <c r="AF1059" s="99">
        <f t="shared" si="49"/>
        <v>6.0853456486107144E-3</v>
      </c>
      <c r="AG1059" s="99">
        <f t="shared" si="50"/>
        <v>4.0507667522644099E-2</v>
      </c>
      <c r="AH1059" s="10" t="str">
        <f>IFERROR(VLOOKUP(B1059,'Pre-Summary'!$AZ$6:$BE$65,3,FALSE),"")</f>
        <v/>
      </c>
      <c r="AI1059" s="10" t="str">
        <f>IFERROR(VLOOKUP(B1059,'Pre-Summary'!$AZ$6:$BE$65,5,FALSE),"")</f>
        <v/>
      </c>
      <c r="AJ1059" s="10" t="str">
        <f>IFERROR(VLOOKUP(B1059,'Pre-Summary'!$AZ$6:$BE$65,4,FALSE),"")</f>
        <v/>
      </c>
      <c r="AK1059" s="10" t="str">
        <f>IFERROR(VLOOKUP(B1059,'Pre-Summary'!$AZ$6:$BE$65,6,FALSE),"")</f>
        <v/>
      </c>
      <c r="AL1059" s="10" t="str">
        <f>IFERROR(VLOOKUP(B1059,'Pre-Summary'!$BG$6:$BL$44,3,FALSE),"")</f>
        <v/>
      </c>
      <c r="AM1059" s="10" t="str">
        <f>IFERROR(VLOOKUP(B1059,'Pre-Summary'!$BG$6:$BL$44,4,FALSE),"")</f>
        <v/>
      </c>
    </row>
    <row r="1060" spans="2:39" ht="15" customHeight="1" x14ac:dyDescent="0.3">
      <c r="B1060">
        <v>105.7</v>
      </c>
      <c r="C1060" t="str">
        <f>IFERROR(VLOOKUP(B1060,'Pre-Summary'!$DI$6:$DM$23,4,FALSE),"")</f>
        <v/>
      </c>
      <c r="D1060" s="10" t="str">
        <f>IFERROR(VLOOKUP(B1060,'Pre-Summary'!$AT$6:$AX$14,5,FALSE),D1059)</f>
        <v>DSMZ v3: dropped yeast, casitone, and bicarb out of DSMZ 120</v>
      </c>
      <c r="E1060" s="10" t="str">
        <f>IFERROR(VLOOKUP(B1060,'Pre-Summary'!$AT$6:$AX$15,4,FALSE),"")</f>
        <v/>
      </c>
      <c r="F1060">
        <f>IFERROR(VLOOKUP(B1060,'Pre-Summary'!$AL$6:$AQ$13,6,FALSE),F1059)</f>
        <v>5.9405263157894746E-2</v>
      </c>
      <c r="G1060" t="str">
        <f>IFERROR(VLOOKUP(B1060,'Pre-Summary'!$AE$6:$AJ$85,3,FALSE),"")</f>
        <v/>
      </c>
      <c r="H1060" t="str">
        <f>IFERROR(VLOOKUP(B1060,'Pre-Summary'!$AE$6:$AJ$85,4,FALSE),"")</f>
        <v/>
      </c>
      <c r="I1060" t="str">
        <f>IFERROR(VLOOKUP(B1060,'Pre-Summary'!$AE$6:$AJ$85,5,FALSE),"")</f>
        <v/>
      </c>
      <c r="J1060" s="45" t="str">
        <f>IFERROR(VLOOKUP(B1060,'Pre-Summary'!$AE$6:$AJ$85,6, FALSE),"")</f>
        <v/>
      </c>
      <c r="K1060" s="45" t="str">
        <f>IFERROR(VLOOKUP(B1060,'Pre-Summary'!$DE$6:$DG$61,3,FALSE),"")</f>
        <v/>
      </c>
      <c r="L1060" s="45" t="str">
        <f>IFERROR(VLOOKUP(B1060,'Pre-Summary'!$CU$6:$CW$36,3,FALSE),"")</f>
        <v/>
      </c>
      <c r="M1060" s="45" t="str">
        <f>IFERROR(VLOOKUP(B1060,'Pre-Summary'!$BW$6:$BY$58,2,FALSE),"")</f>
        <v/>
      </c>
      <c r="N1060" s="45" t="str">
        <f>IFERROR(VLOOKUP(B1060,'Pre-Summary'!$CD$6:$CF$64,2,FALSE),"")</f>
        <v/>
      </c>
      <c r="O1060" s="99">
        <f>IFERROR(VLOOKUP(B1060,'Pre-Summary'!$BO$6:$BQ$48,3, FALSE),O1059)</f>
        <v>1</v>
      </c>
      <c r="P1060" s="99">
        <f>IFERROR(VLOOKUP(B1060,'Pre-Summary'!$BS$6:$BU$35,3,FALSE),P1059)</f>
        <v>0.25</v>
      </c>
      <c r="Q1060" s="54">
        <f t="shared" si="48"/>
        <v>4</v>
      </c>
      <c r="R1060" s="53">
        <f>IFERROR(VLOOKUP(B1060,'Pre-Summary'!$BG$6:$BM$44,7,FALSE),R1061)</f>
        <v>7.6574939085447311E-2</v>
      </c>
      <c r="S1060" s="53">
        <f>IFERROR(VLOOKUP(B1060,'Pre-Summary'!$BG$6:$BM$44,6,FALSE),S1061)</f>
        <v>6.8761751275839902E-2</v>
      </c>
      <c r="T1060" s="45" t="str">
        <f>IFERROR(VLOOKUP(B1060,'Pre-Summary'!$Y$6:$AC$83, 3,FALSE),"")</f>
        <v/>
      </c>
      <c r="U1060" s="45" t="str">
        <f>IFERROR(VLOOKUP(B1060,'Pre-Summary'!$Y$6:$AC$83, 4,FALSE),"")</f>
        <v/>
      </c>
      <c r="V1060" t="str">
        <f>IFERROR(VLOOKUP(B1060,'Pre-Summary'!$Y$6:$AC$83, 5,FALSE),"")</f>
        <v/>
      </c>
      <c r="W1060" s="45" t="str">
        <f>IFERROR(VLOOKUP(B1060,'Pre-Summary'!$Y$6:$AD$83,6,FALSE),"")</f>
        <v/>
      </c>
      <c r="X1060" t="str">
        <f>IFERROR(VLOOKUP('Pre-Summary'!$DB$6:$DD$63,3,FALSE),"")</f>
        <v/>
      </c>
      <c r="Y1060" t="str">
        <f>IFERROR(VLOOKUP(B1060,'Pre-Summary'!$CR$6:$CT$36,3,FALSE),"")</f>
        <v/>
      </c>
      <c r="Z1060" s="45" t="str">
        <f>IFERROR(VLOOKUP(B1060,'Pre-Summary'!$BZ$6:$CB$63,2,FALSE),"")</f>
        <v/>
      </c>
      <c r="AA1060" s="45" t="str">
        <f>IFERROR(VLOOKUP(B1060,'Pre-Summary'!$CG$6:$CI$70,2,FALSE),"")</f>
        <v/>
      </c>
      <c r="AB1060" s="99">
        <f>IFERROR(VLOOKUP(B1060,'Pre-Summary'!$A$6:$P$178,9,FALSE),AB1061)</f>
        <v>0.50944710327423315</v>
      </c>
      <c r="AC1060" s="10">
        <f>IFERROR(VLOOKUP(Summary!B1060,'Pre-Summary'!$A$6:$P$184,5, FALSE)/100,AC1061)</f>
        <v>0.90854199999999996</v>
      </c>
      <c r="AD1060" s="10">
        <f>IFERROR(VLOOKUP(Summary!B1060,'Pre-Summary'!$A$6:$P$184,3, FALSE)/100,AD1061)</f>
        <v>1.1944999999999999E-2</v>
      </c>
      <c r="AE1060" s="10">
        <f>IFERROR(VLOOKUP(Summary!B1060,'Pre-Summary'!$A$6:$P$184,7, FALSE)/100,AE1061)</f>
        <v>7.9513E-2</v>
      </c>
      <c r="AF1060" s="99">
        <f t="shared" si="49"/>
        <v>6.0853456486107144E-3</v>
      </c>
      <c r="AG1060" s="99">
        <f t="shared" si="50"/>
        <v>4.0507667522644099E-2</v>
      </c>
      <c r="AH1060" s="10" t="str">
        <f>IFERROR(VLOOKUP(B1060,'Pre-Summary'!$AZ$6:$BE$65,3,FALSE),"")</f>
        <v/>
      </c>
      <c r="AI1060" s="10" t="str">
        <f>IFERROR(VLOOKUP(B1060,'Pre-Summary'!$AZ$6:$BE$65,5,FALSE),"")</f>
        <v/>
      </c>
      <c r="AJ1060" s="10" t="str">
        <f>IFERROR(VLOOKUP(B1060,'Pre-Summary'!$AZ$6:$BE$65,4,FALSE),"")</f>
        <v/>
      </c>
      <c r="AK1060" s="10" t="str">
        <f>IFERROR(VLOOKUP(B1060,'Pre-Summary'!$AZ$6:$BE$65,6,FALSE),"")</f>
        <v/>
      </c>
      <c r="AL1060" s="10" t="str">
        <f>IFERROR(VLOOKUP(B1060,'Pre-Summary'!$BG$6:$BL$44,3,FALSE),"")</f>
        <v/>
      </c>
      <c r="AM1060" s="10" t="str">
        <f>IFERROR(VLOOKUP(B1060,'Pre-Summary'!$BG$6:$BL$44,4,FALSE),"")</f>
        <v/>
      </c>
    </row>
    <row r="1061" spans="2:39" ht="15" customHeight="1" x14ac:dyDescent="0.3">
      <c r="B1061">
        <v>105.8</v>
      </c>
      <c r="C1061" t="str">
        <f>IFERROR(VLOOKUP(B1061,'Pre-Summary'!$DI$6:$DM$23,4,FALSE),"")</f>
        <v/>
      </c>
      <c r="D1061" s="10" t="str">
        <f>IFERROR(VLOOKUP(B1061,'Pre-Summary'!$AT$6:$AX$14,5,FALSE),D1060)</f>
        <v>DSMZ v3: dropped yeast, casitone, and bicarb out of DSMZ 120</v>
      </c>
      <c r="E1061" s="10" t="str">
        <f>IFERROR(VLOOKUP(B1061,'Pre-Summary'!$AT$6:$AX$15,4,FALSE),"")</f>
        <v/>
      </c>
      <c r="F1061">
        <f>IFERROR(VLOOKUP(B1061,'Pre-Summary'!$AL$6:$AQ$13,6,FALSE),F1060)</f>
        <v>5.9405263157894746E-2</v>
      </c>
      <c r="G1061" t="str">
        <f>IFERROR(VLOOKUP(B1061,'Pre-Summary'!$AE$6:$AJ$85,3,FALSE),"")</f>
        <v/>
      </c>
      <c r="H1061" t="str">
        <f>IFERROR(VLOOKUP(B1061,'Pre-Summary'!$AE$6:$AJ$85,4,FALSE),"")</f>
        <v/>
      </c>
      <c r="I1061" t="str">
        <f>IFERROR(VLOOKUP(B1061,'Pre-Summary'!$AE$6:$AJ$85,5,FALSE),"")</f>
        <v/>
      </c>
      <c r="J1061" s="45" t="str">
        <f>IFERROR(VLOOKUP(B1061,'Pre-Summary'!$AE$6:$AJ$85,6, FALSE),"")</f>
        <v/>
      </c>
      <c r="K1061" s="45" t="str">
        <f>IFERROR(VLOOKUP(B1061,'Pre-Summary'!$DE$6:$DG$61,3,FALSE),"")</f>
        <v/>
      </c>
      <c r="L1061" s="45" t="str">
        <f>IFERROR(VLOOKUP(B1061,'Pre-Summary'!$CU$6:$CW$36,3,FALSE),"")</f>
        <v/>
      </c>
      <c r="M1061" s="45" t="str">
        <f>IFERROR(VLOOKUP(B1061,'Pre-Summary'!$BW$6:$BY$58,2,FALSE),"")</f>
        <v/>
      </c>
      <c r="N1061" s="45" t="str">
        <f>IFERROR(VLOOKUP(B1061,'Pre-Summary'!$CD$6:$CF$64,2,FALSE),"")</f>
        <v/>
      </c>
      <c r="O1061" s="99">
        <f>IFERROR(VLOOKUP(B1061,'Pre-Summary'!$BO$6:$BQ$48,3, FALSE),O1060)</f>
        <v>1</v>
      </c>
      <c r="P1061" s="99">
        <f>IFERROR(VLOOKUP(B1061,'Pre-Summary'!$BS$6:$BU$35,3,FALSE),P1060)</f>
        <v>0.25</v>
      </c>
      <c r="Q1061" s="54">
        <f t="shared" si="48"/>
        <v>4</v>
      </c>
      <c r="R1061" s="53">
        <f>IFERROR(VLOOKUP(B1061,'Pre-Summary'!$BG$6:$BM$44,7,FALSE),R1062)</f>
        <v>7.6574939085447311E-2</v>
      </c>
      <c r="S1061" s="53">
        <f>IFERROR(VLOOKUP(B1061,'Pre-Summary'!$BG$6:$BM$44,6,FALSE),S1062)</f>
        <v>6.8761751275839902E-2</v>
      </c>
      <c r="T1061" s="45" t="str">
        <f>IFERROR(VLOOKUP(B1061,'Pre-Summary'!$Y$6:$AC$83, 3,FALSE),"")</f>
        <v/>
      </c>
      <c r="U1061" s="45" t="str">
        <f>IFERROR(VLOOKUP(B1061,'Pre-Summary'!$Y$6:$AC$83, 4,FALSE),"")</f>
        <v/>
      </c>
      <c r="V1061" t="str">
        <f>IFERROR(VLOOKUP(B1061,'Pre-Summary'!$Y$6:$AC$83, 5,FALSE),"")</f>
        <v/>
      </c>
      <c r="W1061" s="45" t="str">
        <f>IFERROR(VLOOKUP(B1061,'Pre-Summary'!$Y$6:$AD$83,6,FALSE),"")</f>
        <v/>
      </c>
      <c r="X1061" t="str">
        <f>IFERROR(VLOOKUP('Pre-Summary'!$DB$6:$DD$63,3,FALSE),"")</f>
        <v/>
      </c>
      <c r="Y1061" t="str">
        <f>IFERROR(VLOOKUP(B1061,'Pre-Summary'!$CR$6:$CT$36,3,FALSE),"")</f>
        <v/>
      </c>
      <c r="Z1061" s="45" t="str">
        <f>IFERROR(VLOOKUP(B1061,'Pre-Summary'!$BZ$6:$CB$63,2,FALSE),"")</f>
        <v/>
      </c>
      <c r="AA1061" s="45" t="str">
        <f>IFERROR(VLOOKUP(B1061,'Pre-Summary'!$CG$6:$CI$70,2,FALSE),"")</f>
        <v/>
      </c>
      <c r="AB1061" s="99">
        <f>IFERROR(VLOOKUP(B1061,'Pre-Summary'!$A$6:$P$178,9,FALSE),AB1062)</f>
        <v>0.50944710327423315</v>
      </c>
      <c r="AC1061" s="10">
        <f>IFERROR(VLOOKUP(Summary!B1061,'Pre-Summary'!$A$6:$P$184,5, FALSE)/100,AC1062)</f>
        <v>0.90854199999999996</v>
      </c>
      <c r="AD1061" s="10">
        <f>IFERROR(VLOOKUP(Summary!B1061,'Pre-Summary'!$A$6:$P$184,3, FALSE)/100,AD1062)</f>
        <v>1.1944999999999999E-2</v>
      </c>
      <c r="AE1061" s="10">
        <f>IFERROR(VLOOKUP(Summary!B1061,'Pre-Summary'!$A$6:$P$184,7, FALSE)/100,AE1062)</f>
        <v>7.9513E-2</v>
      </c>
      <c r="AF1061" s="99">
        <f t="shared" si="49"/>
        <v>6.0853456486107144E-3</v>
      </c>
      <c r="AG1061" s="99">
        <f t="shared" si="50"/>
        <v>4.0507667522644099E-2</v>
      </c>
      <c r="AH1061" s="10" t="str">
        <f>IFERROR(VLOOKUP(B1061,'Pre-Summary'!$AZ$6:$BE$65,3,FALSE),"")</f>
        <v/>
      </c>
      <c r="AI1061" s="10" t="str">
        <f>IFERROR(VLOOKUP(B1061,'Pre-Summary'!$AZ$6:$BE$65,5,FALSE),"")</f>
        <v/>
      </c>
      <c r="AJ1061" s="10" t="str">
        <f>IFERROR(VLOOKUP(B1061,'Pre-Summary'!$AZ$6:$BE$65,4,FALSE),"")</f>
        <v/>
      </c>
      <c r="AK1061" s="10" t="str">
        <f>IFERROR(VLOOKUP(B1061,'Pre-Summary'!$AZ$6:$BE$65,6,FALSE),"")</f>
        <v/>
      </c>
      <c r="AL1061" s="10" t="str">
        <f>IFERROR(VLOOKUP(B1061,'Pre-Summary'!$BG$6:$BL$44,3,FALSE),"")</f>
        <v/>
      </c>
      <c r="AM1061" s="10" t="str">
        <f>IFERROR(VLOOKUP(B1061,'Pre-Summary'!$BG$6:$BL$44,4,FALSE),"")</f>
        <v/>
      </c>
    </row>
    <row r="1062" spans="2:39" ht="15" customHeight="1" x14ac:dyDescent="0.3">
      <c r="B1062">
        <v>105.9</v>
      </c>
      <c r="C1062" t="str">
        <f>IFERROR(VLOOKUP(B1062,'Pre-Summary'!$DI$6:$DM$23,4,FALSE),"")</f>
        <v/>
      </c>
      <c r="D1062" s="10" t="str">
        <f>IFERROR(VLOOKUP(B1062,'Pre-Summary'!$AT$6:$AX$14,5,FALSE),D1061)</f>
        <v>DSMZ v3: dropped yeast, casitone, and bicarb out of DSMZ 120</v>
      </c>
      <c r="E1062" s="10" t="str">
        <f>IFERROR(VLOOKUP(B1062,'Pre-Summary'!$AT$6:$AX$15,4,FALSE),"")</f>
        <v/>
      </c>
      <c r="F1062">
        <f>IFERROR(VLOOKUP(B1062,'Pre-Summary'!$AL$6:$AQ$13,6,FALSE),F1061)</f>
        <v>5.9405263157894746E-2</v>
      </c>
      <c r="G1062" t="str">
        <f>IFERROR(VLOOKUP(B1062,'Pre-Summary'!$AE$6:$AJ$85,3,FALSE),"")</f>
        <v/>
      </c>
      <c r="H1062" t="str">
        <f>IFERROR(VLOOKUP(B1062,'Pre-Summary'!$AE$6:$AJ$85,4,FALSE),"")</f>
        <v/>
      </c>
      <c r="I1062" t="str">
        <f>IFERROR(VLOOKUP(B1062,'Pre-Summary'!$AE$6:$AJ$85,5,FALSE),"")</f>
        <v/>
      </c>
      <c r="J1062" s="45" t="str">
        <f>IFERROR(VLOOKUP(B1062,'Pre-Summary'!$AE$6:$AJ$85,6, FALSE),"")</f>
        <v/>
      </c>
      <c r="K1062" s="45" t="str">
        <f>IFERROR(VLOOKUP(B1062,'Pre-Summary'!$DE$6:$DG$61,3,FALSE),"")</f>
        <v/>
      </c>
      <c r="L1062" s="45" t="str">
        <f>IFERROR(VLOOKUP(B1062,'Pre-Summary'!$CU$6:$CW$36,3,FALSE),"")</f>
        <v/>
      </c>
      <c r="M1062" s="45" t="str">
        <f>IFERROR(VLOOKUP(B1062,'Pre-Summary'!$BW$6:$BY$58,2,FALSE),"")</f>
        <v/>
      </c>
      <c r="N1062" s="45" t="str">
        <f>IFERROR(VLOOKUP(B1062,'Pre-Summary'!$CD$6:$CF$64,2,FALSE),"")</f>
        <v/>
      </c>
      <c r="O1062" s="99">
        <f>IFERROR(VLOOKUP(B1062,'Pre-Summary'!$BO$6:$BQ$48,3, FALSE),O1061)</f>
        <v>1</v>
      </c>
      <c r="P1062" s="99">
        <f>IFERROR(VLOOKUP(B1062,'Pre-Summary'!$BS$6:$BU$35,3,FALSE),P1061)</f>
        <v>0.25</v>
      </c>
      <c r="Q1062" s="54">
        <f t="shared" si="48"/>
        <v>4</v>
      </c>
      <c r="R1062" s="53">
        <f>IFERROR(VLOOKUP(B1062,'Pre-Summary'!$BG$6:$BM$44,7,FALSE),R1063)</f>
        <v>7.6574939085447311E-2</v>
      </c>
      <c r="S1062" s="53">
        <f>IFERROR(VLOOKUP(B1062,'Pre-Summary'!$BG$6:$BM$44,6,FALSE),S1063)</f>
        <v>6.8761751275839902E-2</v>
      </c>
      <c r="T1062" s="45" t="str">
        <f>IFERROR(VLOOKUP(B1062,'Pre-Summary'!$Y$6:$AC$83, 3,FALSE),"")</f>
        <v/>
      </c>
      <c r="U1062" s="45" t="str">
        <f>IFERROR(VLOOKUP(B1062,'Pre-Summary'!$Y$6:$AC$83, 4,FALSE),"")</f>
        <v/>
      </c>
      <c r="V1062" t="str">
        <f>IFERROR(VLOOKUP(B1062,'Pre-Summary'!$Y$6:$AC$83, 5,FALSE),"")</f>
        <v/>
      </c>
      <c r="W1062" s="45" t="str">
        <f>IFERROR(VLOOKUP(B1062,'Pre-Summary'!$Y$6:$AD$83,6,FALSE),"")</f>
        <v/>
      </c>
      <c r="X1062" t="str">
        <f>IFERROR(VLOOKUP('Pre-Summary'!$DB$6:$DD$63,3,FALSE),"")</f>
        <v/>
      </c>
      <c r="Y1062" t="str">
        <f>IFERROR(VLOOKUP(B1062,'Pre-Summary'!$CR$6:$CT$36,3,FALSE),"")</f>
        <v/>
      </c>
      <c r="Z1062" s="45" t="str">
        <f>IFERROR(VLOOKUP(B1062,'Pre-Summary'!$BZ$6:$CB$63,2,FALSE),"")</f>
        <v/>
      </c>
      <c r="AA1062" s="45" t="str">
        <f>IFERROR(VLOOKUP(B1062,'Pre-Summary'!$CG$6:$CI$70,2,FALSE),"")</f>
        <v/>
      </c>
      <c r="AB1062" s="99">
        <f>IFERROR(VLOOKUP(B1062,'Pre-Summary'!$A$6:$P$178,9,FALSE),AB1063)</f>
        <v>0.50944710327423315</v>
      </c>
      <c r="AC1062" s="10">
        <f>IFERROR(VLOOKUP(Summary!B1062,'Pre-Summary'!$A$6:$P$184,5, FALSE)/100,AC1063)</f>
        <v>0.90854199999999996</v>
      </c>
      <c r="AD1062" s="10">
        <f>IFERROR(VLOOKUP(Summary!B1062,'Pre-Summary'!$A$6:$P$184,3, FALSE)/100,AD1063)</f>
        <v>1.1944999999999999E-2</v>
      </c>
      <c r="AE1062" s="10">
        <f>IFERROR(VLOOKUP(Summary!B1062,'Pre-Summary'!$A$6:$P$184,7, FALSE)/100,AE1063)</f>
        <v>7.9513E-2</v>
      </c>
      <c r="AF1062" s="99">
        <f t="shared" si="49"/>
        <v>6.0853456486107144E-3</v>
      </c>
      <c r="AG1062" s="99">
        <f t="shared" si="50"/>
        <v>4.0507667522644099E-2</v>
      </c>
      <c r="AH1062" s="10" t="str">
        <f>IFERROR(VLOOKUP(B1062,'Pre-Summary'!$AZ$6:$BE$65,3,FALSE),"")</f>
        <v/>
      </c>
      <c r="AI1062" s="10" t="str">
        <f>IFERROR(VLOOKUP(B1062,'Pre-Summary'!$AZ$6:$BE$65,5,FALSE),"")</f>
        <v/>
      </c>
      <c r="AJ1062" s="10" t="str">
        <f>IFERROR(VLOOKUP(B1062,'Pre-Summary'!$AZ$6:$BE$65,4,FALSE),"")</f>
        <v/>
      </c>
      <c r="AK1062" s="10" t="str">
        <f>IFERROR(VLOOKUP(B1062,'Pre-Summary'!$AZ$6:$BE$65,6,FALSE),"")</f>
        <v/>
      </c>
      <c r="AL1062" s="10" t="str">
        <f>IFERROR(VLOOKUP(B1062,'Pre-Summary'!$BG$6:$BL$44,3,FALSE),"")</f>
        <v/>
      </c>
      <c r="AM1062" s="10" t="str">
        <f>IFERROR(VLOOKUP(B1062,'Pre-Summary'!$BG$6:$BL$44,4,FALSE),"")</f>
        <v/>
      </c>
    </row>
    <row r="1063" spans="2:39" ht="15" customHeight="1" x14ac:dyDescent="0.3">
      <c r="B1063">
        <v>106</v>
      </c>
      <c r="C1063" t="str">
        <f>IFERROR(VLOOKUP(B1063,'Pre-Summary'!$DI$6:$DM$23,4,FALSE),"")</f>
        <v/>
      </c>
      <c r="D1063" s="10" t="str">
        <f>IFERROR(VLOOKUP(B1063,'Pre-Summary'!$AT$6:$AX$14,5,FALSE),D1062)</f>
        <v>DSMZ v3: dropped yeast, casitone, and bicarb out of DSMZ 120</v>
      </c>
      <c r="E1063" s="10" t="str">
        <f>IFERROR(VLOOKUP(B1063,'Pre-Summary'!$AT$6:$AX$15,4,FALSE),"")</f>
        <v/>
      </c>
      <c r="F1063">
        <f>IFERROR(VLOOKUP(B1063,'Pre-Summary'!$AL$6:$AQ$13,6,FALSE),F1062)</f>
        <v>5.9405263157894746E-2</v>
      </c>
      <c r="G1063" t="str">
        <f>IFERROR(VLOOKUP(B1063,'Pre-Summary'!$AE$6:$AJ$85,3,FALSE),"")</f>
        <v/>
      </c>
      <c r="H1063" t="str">
        <f>IFERROR(VLOOKUP(B1063,'Pre-Summary'!$AE$6:$AJ$85,4,FALSE),"")</f>
        <v/>
      </c>
      <c r="I1063" t="str">
        <f>IFERROR(VLOOKUP(B1063,'Pre-Summary'!$AE$6:$AJ$85,5,FALSE),"")</f>
        <v/>
      </c>
      <c r="J1063" s="45" t="str">
        <f>IFERROR(VLOOKUP(B1063,'Pre-Summary'!$AE$6:$AJ$85,6, FALSE),"")</f>
        <v/>
      </c>
      <c r="K1063" s="45" t="str">
        <f>IFERROR(VLOOKUP(B1063,'Pre-Summary'!$DE$6:$DG$61,3,FALSE),"")</f>
        <v/>
      </c>
      <c r="L1063" s="45" t="str">
        <f>IFERROR(VLOOKUP(B1063,'Pre-Summary'!$CU$6:$CW$36,3,FALSE),"")</f>
        <v/>
      </c>
      <c r="M1063" s="45" t="str">
        <f>IFERROR(VLOOKUP(B1063,'Pre-Summary'!$BW$6:$BY$58,2,FALSE),"")</f>
        <v/>
      </c>
      <c r="N1063" s="45" t="str">
        <f>IFERROR(VLOOKUP(B1063,'Pre-Summary'!$CD$6:$CF$64,2,FALSE),"")</f>
        <v/>
      </c>
      <c r="O1063" s="99">
        <f>IFERROR(VLOOKUP(B1063,'Pre-Summary'!$BO$6:$BQ$48,3, FALSE),O1062)</f>
        <v>1</v>
      </c>
      <c r="P1063" s="99">
        <f>IFERROR(VLOOKUP(B1063,'Pre-Summary'!$BS$6:$BU$35,3,FALSE),P1062)</f>
        <v>0.25</v>
      </c>
      <c r="Q1063" s="54">
        <f t="shared" si="48"/>
        <v>4</v>
      </c>
      <c r="R1063" s="53">
        <f>IFERROR(VLOOKUP(B1063,'Pre-Summary'!$BG$6:$BM$44,7,FALSE),R1064)</f>
        <v>7.6574939085447311E-2</v>
      </c>
      <c r="S1063" s="53">
        <f>IFERROR(VLOOKUP(B1063,'Pre-Summary'!$BG$6:$BM$44,6,FALSE),S1064)</f>
        <v>6.8761751275839902E-2</v>
      </c>
      <c r="T1063" s="45" t="str">
        <f>IFERROR(VLOOKUP(B1063,'Pre-Summary'!$Y$6:$AC$83, 3,FALSE),"")</f>
        <v/>
      </c>
      <c r="U1063" s="45" t="str">
        <f>IFERROR(VLOOKUP(B1063,'Pre-Summary'!$Y$6:$AC$83, 4,FALSE),"")</f>
        <v/>
      </c>
      <c r="V1063" t="str">
        <f>IFERROR(VLOOKUP(B1063,'Pre-Summary'!$Y$6:$AC$83, 5,FALSE),"")</f>
        <v/>
      </c>
      <c r="W1063" s="45" t="str">
        <f>IFERROR(VLOOKUP(B1063,'Pre-Summary'!$Y$6:$AD$83,6,FALSE),"")</f>
        <v/>
      </c>
      <c r="X1063" t="str">
        <f>IFERROR(VLOOKUP('Pre-Summary'!$DB$6:$DD$63,3,FALSE),"")</f>
        <v/>
      </c>
      <c r="Y1063" t="str">
        <f>IFERROR(VLOOKUP(B1063,'Pre-Summary'!$CR$6:$CT$36,3,FALSE),"")</f>
        <v/>
      </c>
      <c r="Z1063" s="45" t="str">
        <f>IFERROR(VLOOKUP(B1063,'Pre-Summary'!$BZ$6:$CB$63,2,FALSE),"")</f>
        <v/>
      </c>
      <c r="AA1063" s="45" t="str">
        <f>IFERROR(VLOOKUP(B1063,'Pre-Summary'!$CG$6:$CI$70,2,FALSE),"")</f>
        <v/>
      </c>
      <c r="AB1063" s="99">
        <f>IFERROR(VLOOKUP(B1063,'Pre-Summary'!$A$6:$P$178,9,FALSE),AB1064)</f>
        <v>0.50944710327423315</v>
      </c>
      <c r="AC1063" s="10">
        <f>IFERROR(VLOOKUP(Summary!B1063,'Pre-Summary'!$A$6:$P$184,5, FALSE)/100,AC1064)</f>
        <v>0.90854199999999996</v>
      </c>
      <c r="AD1063" s="10">
        <f>IFERROR(VLOOKUP(Summary!B1063,'Pre-Summary'!$A$6:$P$184,3, FALSE)/100,AD1064)</f>
        <v>1.1944999999999999E-2</v>
      </c>
      <c r="AE1063" s="10">
        <f>IFERROR(VLOOKUP(Summary!B1063,'Pre-Summary'!$A$6:$P$184,7, FALSE)/100,AE1064)</f>
        <v>7.9513E-2</v>
      </c>
      <c r="AF1063" s="99">
        <f t="shared" si="49"/>
        <v>6.0853456486107144E-3</v>
      </c>
      <c r="AG1063" s="99">
        <f t="shared" si="50"/>
        <v>4.0507667522644099E-2</v>
      </c>
      <c r="AH1063" s="10" t="str">
        <f>IFERROR(VLOOKUP(B1063,'Pre-Summary'!$AZ$6:$BE$65,3,FALSE),"")</f>
        <v/>
      </c>
      <c r="AI1063" s="10" t="str">
        <f>IFERROR(VLOOKUP(B1063,'Pre-Summary'!$AZ$6:$BE$65,5,FALSE),"")</f>
        <v/>
      </c>
      <c r="AJ1063" s="10" t="str">
        <f>IFERROR(VLOOKUP(B1063,'Pre-Summary'!$AZ$6:$BE$65,4,FALSE),"")</f>
        <v/>
      </c>
      <c r="AK1063" s="10" t="str">
        <f>IFERROR(VLOOKUP(B1063,'Pre-Summary'!$AZ$6:$BE$65,6,FALSE),"")</f>
        <v/>
      </c>
      <c r="AL1063" s="10" t="str">
        <f>IFERROR(VLOOKUP(B1063,'Pre-Summary'!$BG$6:$BL$44,3,FALSE),"")</f>
        <v/>
      </c>
      <c r="AM1063" s="10" t="str">
        <f>IFERROR(VLOOKUP(B1063,'Pre-Summary'!$BG$6:$BL$44,4,FALSE),"")</f>
        <v/>
      </c>
    </row>
    <row r="1064" spans="2:39" ht="15" customHeight="1" x14ac:dyDescent="0.3">
      <c r="B1064">
        <v>106.1</v>
      </c>
      <c r="C1064" t="str">
        <f>IFERROR(VLOOKUP(B1064,'Pre-Summary'!$DI$6:$DM$23,4,FALSE),"")</f>
        <v/>
      </c>
      <c r="D1064" s="10" t="str">
        <f>IFERROR(VLOOKUP(B1064,'Pre-Summary'!$AT$6:$AX$14,5,FALSE),D1063)</f>
        <v>DSMZ v3: dropped yeast, casitone, and bicarb out of DSMZ 120</v>
      </c>
      <c r="E1064" s="10" t="str">
        <f>IFERROR(VLOOKUP(B1064,'Pre-Summary'!$AT$6:$AX$15,4,FALSE),"")</f>
        <v/>
      </c>
      <c r="F1064">
        <f>IFERROR(VLOOKUP(B1064,'Pre-Summary'!$AL$6:$AQ$13,6,FALSE),F1063)</f>
        <v>5.9405263157894746E-2</v>
      </c>
      <c r="G1064" t="str">
        <f>IFERROR(VLOOKUP(B1064,'Pre-Summary'!$AE$6:$AJ$85,3,FALSE),"")</f>
        <v/>
      </c>
      <c r="H1064" t="str">
        <f>IFERROR(VLOOKUP(B1064,'Pre-Summary'!$AE$6:$AJ$85,4,FALSE),"")</f>
        <v/>
      </c>
      <c r="I1064" t="str">
        <f>IFERROR(VLOOKUP(B1064,'Pre-Summary'!$AE$6:$AJ$85,5,FALSE),"")</f>
        <v/>
      </c>
      <c r="J1064" s="45" t="str">
        <f>IFERROR(VLOOKUP(B1064,'Pre-Summary'!$AE$6:$AJ$85,6, FALSE),"")</f>
        <v/>
      </c>
      <c r="K1064" s="45" t="str">
        <f>IFERROR(VLOOKUP(B1064,'Pre-Summary'!$DE$6:$DG$61,3,FALSE),"")</f>
        <v/>
      </c>
      <c r="L1064" s="45" t="str">
        <f>IFERROR(VLOOKUP(B1064,'Pre-Summary'!$CU$6:$CW$36,3,FALSE),"")</f>
        <v/>
      </c>
      <c r="M1064" s="45" t="str">
        <f>IFERROR(VLOOKUP(B1064,'Pre-Summary'!$BW$6:$BY$58,2,FALSE),"")</f>
        <v/>
      </c>
      <c r="N1064" s="45" t="str">
        <f>IFERROR(VLOOKUP(B1064,'Pre-Summary'!$CD$6:$CF$64,2,FALSE),"")</f>
        <v/>
      </c>
      <c r="O1064" s="99">
        <f>IFERROR(VLOOKUP(B1064,'Pre-Summary'!$BO$6:$BQ$48,3, FALSE),O1063)</f>
        <v>1</v>
      </c>
      <c r="P1064" s="99">
        <f>IFERROR(VLOOKUP(B1064,'Pre-Summary'!$BS$6:$BU$35,3,FALSE),P1063)</f>
        <v>0.25</v>
      </c>
      <c r="Q1064" s="54">
        <f t="shared" si="48"/>
        <v>4</v>
      </c>
      <c r="R1064" s="53">
        <f>IFERROR(VLOOKUP(B1064,'Pre-Summary'!$BG$6:$BM$44,7,FALSE),R1065)</f>
        <v>7.6574939085447311E-2</v>
      </c>
      <c r="S1064" s="53">
        <f>IFERROR(VLOOKUP(B1064,'Pre-Summary'!$BG$6:$BM$44,6,FALSE),S1065)</f>
        <v>6.8761751275839902E-2</v>
      </c>
      <c r="T1064" s="45" t="str">
        <f>IFERROR(VLOOKUP(B1064,'Pre-Summary'!$Y$6:$AC$83, 3,FALSE),"")</f>
        <v/>
      </c>
      <c r="U1064" s="45" t="str">
        <f>IFERROR(VLOOKUP(B1064,'Pre-Summary'!$Y$6:$AC$83, 4,FALSE),"")</f>
        <v/>
      </c>
      <c r="V1064" t="str">
        <f>IFERROR(VLOOKUP(B1064,'Pre-Summary'!$Y$6:$AC$83, 5,FALSE),"")</f>
        <v/>
      </c>
      <c r="W1064" s="45" t="str">
        <f>IFERROR(VLOOKUP(B1064,'Pre-Summary'!$Y$6:$AD$83,6,FALSE),"")</f>
        <v/>
      </c>
      <c r="X1064" t="str">
        <f>IFERROR(VLOOKUP('Pre-Summary'!$DB$6:$DD$63,3,FALSE),"")</f>
        <v/>
      </c>
      <c r="Y1064" t="str">
        <f>IFERROR(VLOOKUP(B1064,'Pre-Summary'!$CR$6:$CT$36,3,FALSE),"")</f>
        <v/>
      </c>
      <c r="Z1064" s="45" t="str">
        <f>IFERROR(VLOOKUP(B1064,'Pre-Summary'!$BZ$6:$CB$63,2,FALSE),"")</f>
        <v/>
      </c>
      <c r="AA1064" s="45" t="str">
        <f>IFERROR(VLOOKUP(B1064,'Pre-Summary'!$CG$6:$CI$70,2,FALSE),"")</f>
        <v/>
      </c>
      <c r="AB1064" s="99">
        <f>IFERROR(VLOOKUP(B1064,'Pre-Summary'!$A$6:$P$178,9,FALSE),AB1065)</f>
        <v>0.50944710327423315</v>
      </c>
      <c r="AC1064" s="10">
        <f>IFERROR(VLOOKUP(Summary!B1064,'Pre-Summary'!$A$6:$P$184,5, FALSE)/100,AC1065)</f>
        <v>0.90854199999999996</v>
      </c>
      <c r="AD1064" s="10">
        <f>IFERROR(VLOOKUP(Summary!B1064,'Pre-Summary'!$A$6:$P$184,3, FALSE)/100,AD1065)</f>
        <v>1.1944999999999999E-2</v>
      </c>
      <c r="AE1064" s="10">
        <f>IFERROR(VLOOKUP(Summary!B1064,'Pre-Summary'!$A$6:$P$184,7, FALSE)/100,AE1065)</f>
        <v>7.9513E-2</v>
      </c>
      <c r="AF1064" s="99">
        <f t="shared" si="49"/>
        <v>6.0853456486107144E-3</v>
      </c>
      <c r="AG1064" s="99">
        <f t="shared" si="50"/>
        <v>4.0507667522644099E-2</v>
      </c>
      <c r="AH1064" s="10" t="str">
        <f>IFERROR(VLOOKUP(B1064,'Pre-Summary'!$AZ$6:$BE$65,3,FALSE),"")</f>
        <v/>
      </c>
      <c r="AI1064" s="10" t="str">
        <f>IFERROR(VLOOKUP(B1064,'Pre-Summary'!$AZ$6:$BE$65,5,FALSE),"")</f>
        <v/>
      </c>
      <c r="AJ1064" s="10" t="str">
        <f>IFERROR(VLOOKUP(B1064,'Pre-Summary'!$AZ$6:$BE$65,4,FALSE),"")</f>
        <v/>
      </c>
      <c r="AK1064" s="10" t="str">
        <f>IFERROR(VLOOKUP(B1064,'Pre-Summary'!$AZ$6:$BE$65,6,FALSE),"")</f>
        <v/>
      </c>
      <c r="AL1064" s="10" t="str">
        <f>IFERROR(VLOOKUP(B1064,'Pre-Summary'!$BG$6:$BL$44,3,FALSE),"")</f>
        <v/>
      </c>
      <c r="AM1064" s="10" t="str">
        <f>IFERROR(VLOOKUP(B1064,'Pre-Summary'!$BG$6:$BL$44,4,FALSE),"")</f>
        <v/>
      </c>
    </row>
    <row r="1065" spans="2:39" ht="15" customHeight="1" x14ac:dyDescent="0.3">
      <c r="B1065">
        <v>106.2</v>
      </c>
      <c r="C1065" t="str">
        <f>IFERROR(VLOOKUP(B1065,'Pre-Summary'!$DI$6:$DM$23,4,FALSE),"")</f>
        <v/>
      </c>
      <c r="D1065" s="10" t="str">
        <f>IFERROR(VLOOKUP(B1065,'Pre-Summary'!$AT$6:$AX$14,5,FALSE),D1064)</f>
        <v>DSMZ v3: dropped yeast, casitone, and bicarb out of DSMZ 120</v>
      </c>
      <c r="E1065" s="10" t="str">
        <f>IFERROR(VLOOKUP(B1065,'Pre-Summary'!$AT$6:$AX$15,4,FALSE),"")</f>
        <v/>
      </c>
      <c r="F1065">
        <f>IFERROR(VLOOKUP(B1065,'Pre-Summary'!$AL$6:$AQ$13,6,FALSE),F1064)</f>
        <v>5.9405263157894746E-2</v>
      </c>
      <c r="G1065" t="str">
        <f>IFERROR(VLOOKUP(B1065,'Pre-Summary'!$AE$6:$AJ$85,3,FALSE),"")</f>
        <v/>
      </c>
      <c r="H1065" t="str">
        <f>IFERROR(VLOOKUP(B1065,'Pre-Summary'!$AE$6:$AJ$85,4,FALSE),"")</f>
        <v/>
      </c>
      <c r="I1065" t="str">
        <f>IFERROR(VLOOKUP(B1065,'Pre-Summary'!$AE$6:$AJ$85,5,FALSE),"")</f>
        <v/>
      </c>
      <c r="J1065" s="45" t="str">
        <f>IFERROR(VLOOKUP(B1065,'Pre-Summary'!$AE$6:$AJ$85,6, FALSE),"")</f>
        <v/>
      </c>
      <c r="K1065" s="45" t="str">
        <f>IFERROR(VLOOKUP(B1065,'Pre-Summary'!$DE$6:$DG$61,3,FALSE),"")</f>
        <v/>
      </c>
      <c r="L1065" s="45" t="str">
        <f>IFERROR(VLOOKUP(B1065,'Pre-Summary'!$CU$6:$CW$36,3,FALSE),"")</f>
        <v/>
      </c>
      <c r="M1065" s="45" t="str">
        <f>IFERROR(VLOOKUP(B1065,'Pre-Summary'!$BW$6:$BY$58,2,FALSE),"")</f>
        <v/>
      </c>
      <c r="N1065" s="45" t="str">
        <f>IFERROR(VLOOKUP(B1065,'Pre-Summary'!$CD$6:$CF$64,2,FALSE),"")</f>
        <v/>
      </c>
      <c r="O1065" s="99">
        <f>IFERROR(VLOOKUP(B1065,'Pre-Summary'!$BO$6:$BQ$48,3, FALSE),O1064)</f>
        <v>1</v>
      </c>
      <c r="P1065" s="99">
        <f>IFERROR(VLOOKUP(B1065,'Pre-Summary'!$BS$6:$BU$35,3,FALSE),P1064)</f>
        <v>0.25</v>
      </c>
      <c r="Q1065" s="54">
        <f t="shared" si="48"/>
        <v>4</v>
      </c>
      <c r="R1065" s="53">
        <f>IFERROR(VLOOKUP(B1065,'Pre-Summary'!$BG$6:$BM$44,7,FALSE),R1066)</f>
        <v>7.6574939085447311E-2</v>
      </c>
      <c r="S1065" s="53">
        <f>IFERROR(VLOOKUP(B1065,'Pre-Summary'!$BG$6:$BM$44,6,FALSE),S1066)</f>
        <v>6.8761751275839902E-2</v>
      </c>
      <c r="T1065" s="45" t="str">
        <f>IFERROR(VLOOKUP(B1065,'Pre-Summary'!$Y$6:$AC$83, 3,FALSE),"")</f>
        <v/>
      </c>
      <c r="U1065" s="45" t="str">
        <f>IFERROR(VLOOKUP(B1065,'Pre-Summary'!$Y$6:$AC$83, 4,FALSE),"")</f>
        <v/>
      </c>
      <c r="V1065" t="str">
        <f>IFERROR(VLOOKUP(B1065,'Pre-Summary'!$Y$6:$AC$83, 5,FALSE),"")</f>
        <v/>
      </c>
      <c r="W1065" s="45" t="str">
        <f>IFERROR(VLOOKUP(B1065,'Pre-Summary'!$Y$6:$AD$83,6,FALSE),"")</f>
        <v/>
      </c>
      <c r="X1065" t="str">
        <f>IFERROR(VLOOKUP('Pre-Summary'!$DB$6:$DD$63,3,FALSE),"")</f>
        <v/>
      </c>
      <c r="Y1065" t="str">
        <f>IFERROR(VLOOKUP(B1065,'Pre-Summary'!$CR$6:$CT$36,3,FALSE),"")</f>
        <v/>
      </c>
      <c r="Z1065" s="45" t="str">
        <f>IFERROR(VLOOKUP(B1065,'Pre-Summary'!$BZ$6:$CB$63,2,FALSE),"")</f>
        <v/>
      </c>
      <c r="AA1065" s="45" t="str">
        <f>IFERROR(VLOOKUP(B1065,'Pre-Summary'!$CG$6:$CI$70,2,FALSE),"")</f>
        <v/>
      </c>
      <c r="AB1065" s="99">
        <f>IFERROR(VLOOKUP(B1065,'Pre-Summary'!$A$6:$P$178,9,FALSE),AB1066)</f>
        <v>0.50944710327423315</v>
      </c>
      <c r="AC1065" s="10">
        <f>IFERROR(VLOOKUP(Summary!B1065,'Pre-Summary'!$A$6:$P$184,5, FALSE)/100,AC1066)</f>
        <v>0.90854199999999996</v>
      </c>
      <c r="AD1065" s="10">
        <f>IFERROR(VLOOKUP(Summary!B1065,'Pre-Summary'!$A$6:$P$184,3, FALSE)/100,AD1066)</f>
        <v>1.1944999999999999E-2</v>
      </c>
      <c r="AE1065" s="10">
        <f>IFERROR(VLOOKUP(Summary!B1065,'Pre-Summary'!$A$6:$P$184,7, FALSE)/100,AE1066)</f>
        <v>7.9513E-2</v>
      </c>
      <c r="AF1065" s="99">
        <f t="shared" si="49"/>
        <v>6.0853456486107144E-3</v>
      </c>
      <c r="AG1065" s="99">
        <f t="shared" si="50"/>
        <v>4.0507667522644099E-2</v>
      </c>
      <c r="AH1065" s="10" t="str">
        <f>IFERROR(VLOOKUP(B1065,'Pre-Summary'!$AZ$6:$BE$65,3,FALSE),"")</f>
        <v/>
      </c>
      <c r="AI1065" s="10" t="str">
        <f>IFERROR(VLOOKUP(B1065,'Pre-Summary'!$AZ$6:$BE$65,5,FALSE),"")</f>
        <v/>
      </c>
      <c r="AJ1065" s="10" t="str">
        <f>IFERROR(VLOOKUP(B1065,'Pre-Summary'!$AZ$6:$BE$65,4,FALSE),"")</f>
        <v/>
      </c>
      <c r="AK1065" s="10" t="str">
        <f>IFERROR(VLOOKUP(B1065,'Pre-Summary'!$AZ$6:$BE$65,6,FALSE),"")</f>
        <v/>
      </c>
      <c r="AL1065" s="10" t="str">
        <f>IFERROR(VLOOKUP(B1065,'Pre-Summary'!$BG$6:$BL$44,3,FALSE),"")</f>
        <v/>
      </c>
      <c r="AM1065" s="10" t="str">
        <f>IFERROR(VLOOKUP(B1065,'Pre-Summary'!$BG$6:$BL$44,4,FALSE),"")</f>
        <v/>
      </c>
    </row>
    <row r="1066" spans="2:39" ht="15" customHeight="1" x14ac:dyDescent="0.3">
      <c r="B1066">
        <v>106.3</v>
      </c>
      <c r="C1066" t="str">
        <f>IFERROR(VLOOKUP(B1066,'Pre-Summary'!$DI$6:$DM$23,4,FALSE),"")</f>
        <v/>
      </c>
      <c r="D1066" s="10" t="str">
        <f>IFERROR(VLOOKUP(B1066,'Pre-Summary'!$AT$6:$AX$14,5,FALSE),D1065)</f>
        <v>DSMZ v3: dropped yeast, casitone, and bicarb out of DSMZ 120</v>
      </c>
      <c r="E1066" s="10" t="str">
        <f>IFERROR(VLOOKUP(B1066,'Pre-Summary'!$AT$6:$AX$15,4,FALSE),"")</f>
        <v/>
      </c>
      <c r="F1066">
        <f>IFERROR(VLOOKUP(B1066,'Pre-Summary'!$AL$6:$AQ$13,6,FALSE),F1065)</f>
        <v>5.9405263157894746E-2</v>
      </c>
      <c r="G1066" t="str">
        <f>IFERROR(VLOOKUP(B1066,'Pre-Summary'!$AE$6:$AJ$85,3,FALSE),"")</f>
        <v/>
      </c>
      <c r="H1066" t="str">
        <f>IFERROR(VLOOKUP(B1066,'Pre-Summary'!$AE$6:$AJ$85,4,FALSE),"")</f>
        <v/>
      </c>
      <c r="I1066" t="str">
        <f>IFERROR(VLOOKUP(B1066,'Pre-Summary'!$AE$6:$AJ$85,5,FALSE),"")</f>
        <v/>
      </c>
      <c r="J1066" s="45" t="str">
        <f>IFERROR(VLOOKUP(B1066,'Pre-Summary'!$AE$6:$AJ$85,6, FALSE),"")</f>
        <v/>
      </c>
      <c r="K1066" s="45" t="str">
        <f>IFERROR(VLOOKUP(B1066,'Pre-Summary'!$DE$6:$DG$61,3,FALSE),"")</f>
        <v/>
      </c>
      <c r="L1066" s="45" t="str">
        <f>IFERROR(VLOOKUP(B1066,'Pre-Summary'!$CU$6:$CW$36,3,FALSE),"")</f>
        <v/>
      </c>
      <c r="M1066" s="45" t="str">
        <f>IFERROR(VLOOKUP(B1066,'Pre-Summary'!$BW$6:$BY$58,2,FALSE),"")</f>
        <v/>
      </c>
      <c r="N1066" s="45" t="str">
        <f>IFERROR(VLOOKUP(B1066,'Pre-Summary'!$CD$6:$CF$64,2,FALSE),"")</f>
        <v/>
      </c>
      <c r="O1066" s="99">
        <f>IFERROR(VLOOKUP(B1066,'Pre-Summary'!$BO$6:$BQ$48,3, FALSE),O1065)</f>
        <v>1</v>
      </c>
      <c r="P1066" s="99">
        <f>IFERROR(VLOOKUP(B1066,'Pre-Summary'!$BS$6:$BU$35,3,FALSE),P1065)</f>
        <v>0.25</v>
      </c>
      <c r="Q1066" s="54">
        <f t="shared" si="48"/>
        <v>4</v>
      </c>
      <c r="R1066" s="53">
        <f>IFERROR(VLOOKUP(B1066,'Pre-Summary'!$BG$6:$BM$44,7,FALSE),R1067)</f>
        <v>7.6574939085447311E-2</v>
      </c>
      <c r="S1066" s="53">
        <f>IFERROR(VLOOKUP(B1066,'Pre-Summary'!$BG$6:$BM$44,6,FALSE),S1067)</f>
        <v>6.8761751275839902E-2</v>
      </c>
      <c r="T1066" s="45" t="str">
        <f>IFERROR(VLOOKUP(B1066,'Pre-Summary'!$Y$6:$AC$83, 3,FALSE),"")</f>
        <v/>
      </c>
      <c r="U1066" s="45" t="str">
        <f>IFERROR(VLOOKUP(B1066,'Pre-Summary'!$Y$6:$AC$83, 4,FALSE),"")</f>
        <v/>
      </c>
      <c r="V1066" t="str">
        <f>IFERROR(VLOOKUP(B1066,'Pre-Summary'!$Y$6:$AC$83, 5,FALSE),"")</f>
        <v/>
      </c>
      <c r="W1066" s="45" t="str">
        <f>IFERROR(VLOOKUP(B1066,'Pre-Summary'!$Y$6:$AD$83,6,FALSE),"")</f>
        <v/>
      </c>
      <c r="X1066" t="str">
        <f>IFERROR(VLOOKUP('Pre-Summary'!$DB$6:$DD$63,3,FALSE),"")</f>
        <v/>
      </c>
      <c r="Y1066" t="str">
        <f>IFERROR(VLOOKUP(B1066,'Pre-Summary'!$CR$6:$CT$36,3,FALSE),"")</f>
        <v/>
      </c>
      <c r="Z1066" s="45" t="str">
        <f>IFERROR(VLOOKUP(B1066,'Pre-Summary'!$BZ$6:$CB$63,2,FALSE),"")</f>
        <v/>
      </c>
      <c r="AA1066" s="45" t="str">
        <f>IFERROR(VLOOKUP(B1066,'Pre-Summary'!$CG$6:$CI$70,2,FALSE),"")</f>
        <v/>
      </c>
      <c r="AB1066" s="99">
        <f>IFERROR(VLOOKUP(B1066,'Pre-Summary'!$A$6:$P$178,9,FALSE),AB1067)</f>
        <v>0.50944710327423315</v>
      </c>
      <c r="AC1066" s="10">
        <f>IFERROR(VLOOKUP(Summary!B1066,'Pre-Summary'!$A$6:$P$184,5, FALSE)/100,AC1067)</f>
        <v>0.90854199999999996</v>
      </c>
      <c r="AD1066" s="10">
        <f>IFERROR(VLOOKUP(Summary!B1066,'Pre-Summary'!$A$6:$P$184,3, FALSE)/100,AD1067)</f>
        <v>1.1944999999999999E-2</v>
      </c>
      <c r="AE1066" s="10">
        <f>IFERROR(VLOOKUP(Summary!B1066,'Pre-Summary'!$A$6:$P$184,7, FALSE)/100,AE1067)</f>
        <v>7.9513E-2</v>
      </c>
      <c r="AF1066" s="99">
        <f t="shared" si="49"/>
        <v>6.0853456486107144E-3</v>
      </c>
      <c r="AG1066" s="99">
        <f t="shared" si="50"/>
        <v>4.0507667522644099E-2</v>
      </c>
      <c r="AH1066" s="10" t="str">
        <f>IFERROR(VLOOKUP(B1066,'Pre-Summary'!$AZ$6:$BE$65,3,FALSE),"")</f>
        <v/>
      </c>
      <c r="AI1066" s="10" t="str">
        <f>IFERROR(VLOOKUP(B1066,'Pre-Summary'!$AZ$6:$BE$65,5,FALSE),"")</f>
        <v/>
      </c>
      <c r="AJ1066" s="10" t="str">
        <f>IFERROR(VLOOKUP(B1066,'Pre-Summary'!$AZ$6:$BE$65,4,FALSE),"")</f>
        <v/>
      </c>
      <c r="AK1066" s="10" t="str">
        <f>IFERROR(VLOOKUP(B1066,'Pre-Summary'!$AZ$6:$BE$65,6,FALSE),"")</f>
        <v/>
      </c>
      <c r="AL1066" s="10" t="str">
        <f>IFERROR(VLOOKUP(B1066,'Pre-Summary'!$BG$6:$BL$44,3,FALSE),"")</f>
        <v/>
      </c>
      <c r="AM1066" s="10" t="str">
        <f>IFERROR(VLOOKUP(B1066,'Pre-Summary'!$BG$6:$BL$44,4,FALSE),"")</f>
        <v/>
      </c>
    </row>
    <row r="1067" spans="2:39" ht="15" customHeight="1" x14ac:dyDescent="0.3">
      <c r="B1067">
        <v>106.4</v>
      </c>
      <c r="C1067" t="str">
        <f>IFERROR(VLOOKUP(B1067,'Pre-Summary'!$DI$6:$DM$23,4,FALSE),"")</f>
        <v/>
      </c>
      <c r="D1067" s="10" t="str">
        <f>IFERROR(VLOOKUP(B1067,'Pre-Summary'!$AT$6:$AX$14,5,FALSE),D1066)</f>
        <v>DSMZ v3: dropped yeast, casitone, and bicarb out of DSMZ 120</v>
      </c>
      <c r="E1067" s="10" t="str">
        <f>IFERROR(VLOOKUP(B1067,'Pre-Summary'!$AT$6:$AX$15,4,FALSE),"")</f>
        <v/>
      </c>
      <c r="F1067">
        <f>IFERROR(VLOOKUP(B1067,'Pre-Summary'!$AL$6:$AQ$13,6,FALSE),F1066)</f>
        <v>5.9405263157894746E-2</v>
      </c>
      <c r="G1067" t="str">
        <f>IFERROR(VLOOKUP(B1067,'Pre-Summary'!$AE$6:$AJ$85,3,FALSE),"")</f>
        <v/>
      </c>
      <c r="H1067" t="str">
        <f>IFERROR(VLOOKUP(B1067,'Pre-Summary'!$AE$6:$AJ$85,4,FALSE),"")</f>
        <v/>
      </c>
      <c r="I1067" t="str">
        <f>IFERROR(VLOOKUP(B1067,'Pre-Summary'!$AE$6:$AJ$85,5,FALSE),"")</f>
        <v/>
      </c>
      <c r="J1067" s="45" t="str">
        <f>IFERROR(VLOOKUP(B1067,'Pre-Summary'!$AE$6:$AJ$85,6, FALSE),"")</f>
        <v/>
      </c>
      <c r="K1067" s="45" t="str">
        <f>IFERROR(VLOOKUP(B1067,'Pre-Summary'!$DE$6:$DG$61,3,FALSE),"")</f>
        <v/>
      </c>
      <c r="L1067" s="45" t="str">
        <f>IFERROR(VLOOKUP(B1067,'Pre-Summary'!$CU$6:$CW$36,3,FALSE),"")</f>
        <v/>
      </c>
      <c r="M1067" s="45" t="str">
        <f>IFERROR(VLOOKUP(B1067,'Pre-Summary'!$BW$6:$BY$58,2,FALSE),"")</f>
        <v/>
      </c>
      <c r="N1067" s="45" t="str">
        <f>IFERROR(VLOOKUP(B1067,'Pre-Summary'!$CD$6:$CF$64,2,FALSE),"")</f>
        <v/>
      </c>
      <c r="O1067" s="99">
        <f>IFERROR(VLOOKUP(B1067,'Pre-Summary'!$BO$6:$BQ$48,3, FALSE),O1066)</f>
        <v>1</v>
      </c>
      <c r="P1067" s="99">
        <f>IFERROR(VLOOKUP(B1067,'Pre-Summary'!$BS$6:$BU$35,3,FALSE),P1066)</f>
        <v>0.25</v>
      </c>
      <c r="Q1067" s="54">
        <f t="shared" si="48"/>
        <v>4</v>
      </c>
      <c r="R1067" s="53">
        <f>IFERROR(VLOOKUP(B1067,'Pre-Summary'!$BG$6:$BM$44,7,FALSE),R1068)</f>
        <v>7.6574939085447311E-2</v>
      </c>
      <c r="S1067" s="53">
        <f>IFERROR(VLOOKUP(B1067,'Pre-Summary'!$BG$6:$BM$44,6,FALSE),S1068)</f>
        <v>6.8761751275839902E-2</v>
      </c>
      <c r="T1067" s="45" t="str">
        <f>IFERROR(VLOOKUP(B1067,'Pre-Summary'!$Y$6:$AC$83, 3,FALSE),"")</f>
        <v/>
      </c>
      <c r="U1067" s="45" t="str">
        <f>IFERROR(VLOOKUP(B1067,'Pre-Summary'!$Y$6:$AC$83, 4,FALSE),"")</f>
        <v/>
      </c>
      <c r="V1067" t="str">
        <f>IFERROR(VLOOKUP(B1067,'Pre-Summary'!$Y$6:$AC$83, 5,FALSE),"")</f>
        <v/>
      </c>
      <c r="W1067" s="45" t="str">
        <f>IFERROR(VLOOKUP(B1067,'Pre-Summary'!$Y$6:$AD$83,6,FALSE),"")</f>
        <v/>
      </c>
      <c r="X1067" t="str">
        <f>IFERROR(VLOOKUP('Pre-Summary'!$DB$6:$DD$63,3,FALSE),"")</f>
        <v/>
      </c>
      <c r="Y1067" t="str">
        <f>IFERROR(VLOOKUP(B1067,'Pre-Summary'!$CR$6:$CT$36,3,FALSE),"")</f>
        <v/>
      </c>
      <c r="Z1067" s="45" t="str">
        <f>IFERROR(VLOOKUP(B1067,'Pre-Summary'!$BZ$6:$CB$63,2,FALSE),"")</f>
        <v/>
      </c>
      <c r="AA1067" s="45" t="str">
        <f>IFERROR(VLOOKUP(B1067,'Pre-Summary'!$CG$6:$CI$70,2,FALSE),"")</f>
        <v/>
      </c>
      <c r="AB1067" s="99">
        <f>IFERROR(VLOOKUP(B1067,'Pre-Summary'!$A$6:$P$178,9,FALSE),AB1068)</f>
        <v>0.50944710327423315</v>
      </c>
      <c r="AC1067" s="10">
        <f>IFERROR(VLOOKUP(Summary!B1067,'Pre-Summary'!$A$6:$P$184,5, FALSE)/100,AC1068)</f>
        <v>0.90854199999999996</v>
      </c>
      <c r="AD1067" s="10">
        <f>IFERROR(VLOOKUP(Summary!B1067,'Pre-Summary'!$A$6:$P$184,3, FALSE)/100,AD1068)</f>
        <v>1.1944999999999999E-2</v>
      </c>
      <c r="AE1067" s="10">
        <f>IFERROR(VLOOKUP(Summary!B1067,'Pre-Summary'!$A$6:$P$184,7, FALSE)/100,AE1068)</f>
        <v>7.9513E-2</v>
      </c>
      <c r="AF1067" s="99">
        <f t="shared" si="49"/>
        <v>6.0853456486107144E-3</v>
      </c>
      <c r="AG1067" s="99">
        <f t="shared" si="50"/>
        <v>4.0507667522644099E-2</v>
      </c>
      <c r="AH1067" s="10" t="str">
        <f>IFERROR(VLOOKUP(B1067,'Pre-Summary'!$AZ$6:$BE$65,3,FALSE),"")</f>
        <v/>
      </c>
      <c r="AI1067" s="10" t="str">
        <f>IFERROR(VLOOKUP(B1067,'Pre-Summary'!$AZ$6:$BE$65,5,FALSE),"")</f>
        <v/>
      </c>
      <c r="AJ1067" s="10" t="str">
        <f>IFERROR(VLOOKUP(B1067,'Pre-Summary'!$AZ$6:$BE$65,4,FALSE),"")</f>
        <v/>
      </c>
      <c r="AK1067" s="10" t="str">
        <f>IFERROR(VLOOKUP(B1067,'Pre-Summary'!$AZ$6:$BE$65,6,FALSE),"")</f>
        <v/>
      </c>
      <c r="AL1067" s="10" t="str">
        <f>IFERROR(VLOOKUP(B1067,'Pre-Summary'!$BG$6:$BL$44,3,FALSE),"")</f>
        <v/>
      </c>
      <c r="AM1067" s="10" t="str">
        <f>IFERROR(VLOOKUP(B1067,'Pre-Summary'!$BG$6:$BL$44,4,FALSE),"")</f>
        <v/>
      </c>
    </row>
    <row r="1068" spans="2:39" ht="15" customHeight="1" x14ac:dyDescent="0.3">
      <c r="B1068">
        <v>106.5</v>
      </c>
      <c r="C1068" t="str">
        <f>IFERROR(VLOOKUP(B1068,'Pre-Summary'!$DI$6:$DM$23,4,FALSE),"")</f>
        <v/>
      </c>
      <c r="D1068" s="10" t="str">
        <f>IFERROR(VLOOKUP(B1068,'Pre-Summary'!$AT$6:$AX$14,5,FALSE),D1067)</f>
        <v>DSMZ v3: dropped yeast, casitone, and bicarb out of DSMZ 120</v>
      </c>
      <c r="E1068" s="10" t="str">
        <f>IFERROR(VLOOKUP(B1068,'Pre-Summary'!$AT$6:$AX$15,4,FALSE),"")</f>
        <v/>
      </c>
      <c r="F1068">
        <f>IFERROR(VLOOKUP(B1068,'Pre-Summary'!$AL$6:$AQ$13,6,FALSE),F1067)</f>
        <v>5.9405263157894746E-2</v>
      </c>
      <c r="G1068" t="str">
        <f>IFERROR(VLOOKUP(B1068,'Pre-Summary'!$AE$6:$AJ$85,3,FALSE),"")</f>
        <v/>
      </c>
      <c r="H1068" t="str">
        <f>IFERROR(VLOOKUP(B1068,'Pre-Summary'!$AE$6:$AJ$85,4,FALSE),"")</f>
        <v/>
      </c>
      <c r="I1068" t="str">
        <f>IFERROR(VLOOKUP(B1068,'Pre-Summary'!$AE$6:$AJ$85,5,FALSE),"")</f>
        <v/>
      </c>
      <c r="J1068" s="45" t="str">
        <f>IFERROR(VLOOKUP(B1068,'Pre-Summary'!$AE$6:$AJ$85,6, FALSE),"")</f>
        <v/>
      </c>
      <c r="K1068" s="45" t="str">
        <f>IFERROR(VLOOKUP(B1068,'Pre-Summary'!$DE$6:$DG$61,3,FALSE),"")</f>
        <v/>
      </c>
      <c r="L1068" s="45" t="str">
        <f>IFERROR(VLOOKUP(B1068,'Pre-Summary'!$CU$6:$CW$36,3,FALSE),"")</f>
        <v/>
      </c>
      <c r="M1068" s="45" t="str">
        <f>IFERROR(VLOOKUP(B1068,'Pre-Summary'!$BW$6:$BY$58,2,FALSE),"")</f>
        <v/>
      </c>
      <c r="N1068" s="45">
        <f>IFERROR(VLOOKUP(B1068,'Pre-Summary'!$CD$6:$CF$64,2,FALSE),"")</f>
        <v>3866.4901589370666</v>
      </c>
      <c r="O1068" s="99">
        <f>IFERROR(VLOOKUP(B1068,'Pre-Summary'!$BO$6:$BQ$48,3, FALSE),O1067)</f>
        <v>1</v>
      </c>
      <c r="P1068" s="99">
        <f>IFERROR(VLOOKUP(B1068,'Pre-Summary'!$BS$6:$BU$35,3,FALSE),P1067)</f>
        <v>0.25</v>
      </c>
      <c r="Q1068" s="54">
        <f t="shared" si="48"/>
        <v>4</v>
      </c>
      <c r="R1068" s="53">
        <f>IFERROR(VLOOKUP(B1068,'Pre-Summary'!$BG$6:$BM$44,7,FALSE),R1069)</f>
        <v>7.6574939085447311E-2</v>
      </c>
      <c r="S1068" s="53">
        <f>IFERROR(VLOOKUP(B1068,'Pre-Summary'!$BG$6:$BM$44,6,FALSE),S1069)</f>
        <v>6.8761751275839902E-2</v>
      </c>
      <c r="T1068" s="45" t="str">
        <f>IFERROR(VLOOKUP(B1068,'Pre-Summary'!$Y$6:$AC$83, 3,FALSE),"")</f>
        <v/>
      </c>
      <c r="U1068" s="45" t="str">
        <f>IFERROR(VLOOKUP(B1068,'Pre-Summary'!$Y$6:$AC$83, 4,FALSE),"")</f>
        <v/>
      </c>
      <c r="V1068" t="str">
        <f>IFERROR(VLOOKUP(B1068,'Pre-Summary'!$Y$6:$AC$83, 5,FALSE),"")</f>
        <v/>
      </c>
      <c r="W1068" s="45" t="str">
        <f>IFERROR(VLOOKUP(B1068,'Pre-Summary'!$Y$6:$AD$83,6,FALSE),"")</f>
        <v/>
      </c>
      <c r="X1068" t="str">
        <f>IFERROR(VLOOKUP('Pre-Summary'!$DB$6:$DD$63,3,FALSE),"")</f>
        <v/>
      </c>
      <c r="Y1068" t="str">
        <f>IFERROR(VLOOKUP(B1068,'Pre-Summary'!$CR$6:$CT$36,3,FALSE),"")</f>
        <v/>
      </c>
      <c r="Z1068" s="45" t="str">
        <f>IFERROR(VLOOKUP(B1068,'Pre-Summary'!$BZ$6:$CB$63,2,FALSE),"")</f>
        <v/>
      </c>
      <c r="AA1068" s="45" t="str">
        <f>IFERROR(VLOOKUP(B1068,'Pre-Summary'!$CG$6:$CI$70,2,FALSE),"")</f>
        <v/>
      </c>
      <c r="AB1068" s="99">
        <f>IFERROR(VLOOKUP(B1068,'Pre-Summary'!$A$6:$P$178,9,FALSE),AB1069)</f>
        <v>0.50944710327423315</v>
      </c>
      <c r="AC1068" s="10">
        <f>IFERROR(VLOOKUP(Summary!B1068,'Pre-Summary'!$A$6:$P$184,5, FALSE)/100,AC1069)</f>
        <v>0.90854199999999996</v>
      </c>
      <c r="AD1068" s="10">
        <f>IFERROR(VLOOKUP(Summary!B1068,'Pre-Summary'!$A$6:$P$184,3, FALSE)/100,AD1069)</f>
        <v>1.1944999999999999E-2</v>
      </c>
      <c r="AE1068" s="10">
        <f>IFERROR(VLOOKUP(Summary!B1068,'Pre-Summary'!$A$6:$P$184,7, FALSE)/100,AE1069)</f>
        <v>7.9513E-2</v>
      </c>
      <c r="AF1068" s="99">
        <f t="shared" si="49"/>
        <v>6.0853456486107144E-3</v>
      </c>
      <c r="AG1068" s="99">
        <f t="shared" si="50"/>
        <v>4.0507667522644099E-2</v>
      </c>
      <c r="AH1068" s="10" t="str">
        <f>IFERROR(VLOOKUP(B1068,'Pre-Summary'!$AZ$6:$BE$65,3,FALSE),"")</f>
        <v/>
      </c>
      <c r="AI1068" s="10" t="str">
        <f>IFERROR(VLOOKUP(B1068,'Pre-Summary'!$AZ$6:$BE$65,5,FALSE),"")</f>
        <v/>
      </c>
      <c r="AJ1068" s="10" t="str">
        <f>IFERROR(VLOOKUP(B1068,'Pre-Summary'!$AZ$6:$BE$65,4,FALSE),"")</f>
        <v/>
      </c>
      <c r="AK1068" s="10" t="str">
        <f>IFERROR(VLOOKUP(B1068,'Pre-Summary'!$AZ$6:$BE$65,6,FALSE),"")</f>
        <v/>
      </c>
      <c r="AL1068" s="10" t="str">
        <f>IFERROR(VLOOKUP(B1068,'Pre-Summary'!$BG$6:$BL$44,3,FALSE),"")</f>
        <v/>
      </c>
      <c r="AM1068" s="10" t="str">
        <f>IFERROR(VLOOKUP(B1068,'Pre-Summary'!$BG$6:$BL$44,4,FALSE),"")</f>
        <v/>
      </c>
    </row>
    <row r="1069" spans="2:39" ht="15" customHeight="1" x14ac:dyDescent="0.3">
      <c r="B1069">
        <v>106.6</v>
      </c>
      <c r="C1069" t="str">
        <f>IFERROR(VLOOKUP(B1069,'Pre-Summary'!$DI$6:$DM$23,4,FALSE),"")</f>
        <v/>
      </c>
      <c r="D1069" s="10" t="str">
        <f>IFERROR(VLOOKUP(B1069,'Pre-Summary'!$AT$6:$AX$14,5,FALSE),D1068)</f>
        <v>DSMZ v3: dropped yeast, casitone, and bicarb out of DSMZ 120</v>
      </c>
      <c r="E1069" s="10" t="str">
        <f>IFERROR(VLOOKUP(B1069,'Pre-Summary'!$AT$6:$AX$15,4,FALSE),"")</f>
        <v/>
      </c>
      <c r="F1069">
        <f>IFERROR(VLOOKUP(B1069,'Pre-Summary'!$AL$6:$AQ$13,6,FALSE),F1068)</f>
        <v>5.9405263157894746E-2</v>
      </c>
      <c r="G1069" t="str">
        <f>IFERROR(VLOOKUP(B1069,'Pre-Summary'!$AE$6:$AJ$85,3,FALSE),"")</f>
        <v/>
      </c>
      <c r="H1069" t="str">
        <f>IFERROR(VLOOKUP(B1069,'Pre-Summary'!$AE$6:$AJ$85,4,FALSE),"")</f>
        <v/>
      </c>
      <c r="I1069" t="str">
        <f>IFERROR(VLOOKUP(B1069,'Pre-Summary'!$AE$6:$AJ$85,5,FALSE),"")</f>
        <v/>
      </c>
      <c r="J1069" s="45" t="str">
        <f>IFERROR(VLOOKUP(B1069,'Pre-Summary'!$AE$6:$AJ$85,6, FALSE),"")</f>
        <v/>
      </c>
      <c r="K1069" s="45" t="str">
        <f>IFERROR(VLOOKUP(B1069,'Pre-Summary'!$DE$6:$DG$61,3,FALSE),"")</f>
        <v/>
      </c>
      <c r="L1069" s="45" t="str">
        <f>IFERROR(VLOOKUP(B1069,'Pre-Summary'!$CU$6:$CW$36,3,FALSE),"")</f>
        <v/>
      </c>
      <c r="M1069" s="45" t="str">
        <f>IFERROR(VLOOKUP(B1069,'Pre-Summary'!$BW$6:$BY$58,2,FALSE),"")</f>
        <v/>
      </c>
      <c r="N1069" s="45" t="str">
        <f>IFERROR(VLOOKUP(B1069,'Pre-Summary'!$CD$6:$CF$64,2,FALSE),"")</f>
        <v/>
      </c>
      <c r="O1069" s="99">
        <f>IFERROR(VLOOKUP(B1069,'Pre-Summary'!$BO$6:$BQ$48,3, FALSE),O1068)</f>
        <v>1</v>
      </c>
      <c r="P1069" s="99">
        <f>IFERROR(VLOOKUP(B1069,'Pre-Summary'!$BS$6:$BU$35,3,FALSE),P1068)</f>
        <v>0.25</v>
      </c>
      <c r="Q1069" s="54">
        <f t="shared" si="48"/>
        <v>4</v>
      </c>
      <c r="R1069" s="53">
        <f>IFERROR(VLOOKUP(B1069,'Pre-Summary'!$BG$6:$BM$44,7,FALSE),R1070)</f>
        <v>7.6574939085447311E-2</v>
      </c>
      <c r="S1069" s="53">
        <f>IFERROR(VLOOKUP(B1069,'Pre-Summary'!$BG$6:$BM$44,6,FALSE),S1070)</f>
        <v>6.8761751275839902E-2</v>
      </c>
      <c r="T1069" s="45" t="str">
        <f>IFERROR(VLOOKUP(B1069,'Pre-Summary'!$Y$6:$AC$83, 3,FALSE),"")</f>
        <v/>
      </c>
      <c r="U1069" s="45" t="str">
        <f>IFERROR(VLOOKUP(B1069,'Pre-Summary'!$Y$6:$AC$83, 4,FALSE),"")</f>
        <v/>
      </c>
      <c r="V1069" t="str">
        <f>IFERROR(VLOOKUP(B1069,'Pre-Summary'!$Y$6:$AC$83, 5,FALSE),"")</f>
        <v/>
      </c>
      <c r="W1069" s="45" t="str">
        <f>IFERROR(VLOOKUP(B1069,'Pre-Summary'!$Y$6:$AD$83,6,FALSE),"")</f>
        <v/>
      </c>
      <c r="X1069" t="str">
        <f>IFERROR(VLOOKUP('Pre-Summary'!$DB$6:$DD$63,3,FALSE),"")</f>
        <v/>
      </c>
      <c r="Y1069" t="str">
        <f>IFERROR(VLOOKUP(B1069,'Pre-Summary'!$CR$6:$CT$36,3,FALSE),"")</f>
        <v/>
      </c>
      <c r="Z1069" s="45" t="str">
        <f>IFERROR(VLOOKUP(B1069,'Pre-Summary'!$BZ$6:$CB$63,2,FALSE),"")</f>
        <v/>
      </c>
      <c r="AA1069" s="45" t="str">
        <f>IFERROR(VLOOKUP(B1069,'Pre-Summary'!$CG$6:$CI$70,2,FALSE),"")</f>
        <v/>
      </c>
      <c r="AB1069" s="99">
        <f>IFERROR(VLOOKUP(B1069,'Pre-Summary'!$A$6:$P$178,9,FALSE),AB1070)</f>
        <v>0.50944710327423315</v>
      </c>
      <c r="AC1069" s="10">
        <f>IFERROR(VLOOKUP(Summary!B1069,'Pre-Summary'!$A$6:$P$184,5, FALSE)/100,AC1070)</f>
        <v>0.90854199999999996</v>
      </c>
      <c r="AD1069" s="10">
        <f>IFERROR(VLOOKUP(Summary!B1069,'Pre-Summary'!$A$6:$P$184,3, FALSE)/100,AD1070)</f>
        <v>1.1944999999999999E-2</v>
      </c>
      <c r="AE1069" s="10">
        <f>IFERROR(VLOOKUP(Summary!B1069,'Pre-Summary'!$A$6:$P$184,7, FALSE)/100,AE1070)</f>
        <v>7.9513E-2</v>
      </c>
      <c r="AF1069" s="99">
        <f t="shared" si="49"/>
        <v>6.0853456486107144E-3</v>
      </c>
      <c r="AG1069" s="99">
        <f t="shared" si="50"/>
        <v>4.0507667522644099E-2</v>
      </c>
      <c r="AH1069" s="10" t="str">
        <f>IFERROR(VLOOKUP(B1069,'Pre-Summary'!$AZ$6:$BE$65,3,FALSE),"")</f>
        <v/>
      </c>
      <c r="AI1069" s="10" t="str">
        <f>IFERROR(VLOOKUP(B1069,'Pre-Summary'!$AZ$6:$BE$65,5,FALSE),"")</f>
        <v/>
      </c>
      <c r="AJ1069" s="10" t="str">
        <f>IFERROR(VLOOKUP(B1069,'Pre-Summary'!$AZ$6:$BE$65,4,FALSE),"")</f>
        <v/>
      </c>
      <c r="AK1069" s="10" t="str">
        <f>IFERROR(VLOOKUP(B1069,'Pre-Summary'!$AZ$6:$BE$65,6,FALSE),"")</f>
        <v/>
      </c>
      <c r="AL1069" s="10" t="str">
        <f>IFERROR(VLOOKUP(B1069,'Pre-Summary'!$BG$6:$BL$44,3,FALSE),"")</f>
        <v/>
      </c>
      <c r="AM1069" s="10" t="str">
        <f>IFERROR(VLOOKUP(B1069,'Pre-Summary'!$BG$6:$BL$44,4,FALSE),"")</f>
        <v/>
      </c>
    </row>
    <row r="1070" spans="2:39" ht="15" customHeight="1" x14ac:dyDescent="0.3">
      <c r="B1070">
        <v>106.7</v>
      </c>
      <c r="C1070" t="str">
        <f>IFERROR(VLOOKUP(B1070,'Pre-Summary'!$DI$6:$DM$23,4,FALSE),"")</f>
        <v/>
      </c>
      <c r="D1070" s="10" t="str">
        <f>IFERROR(VLOOKUP(B1070,'Pre-Summary'!$AT$6:$AX$14,5,FALSE),D1069)</f>
        <v>DSMZ v3: dropped yeast, casitone, and bicarb out of DSMZ 120</v>
      </c>
      <c r="E1070" s="10" t="str">
        <f>IFERROR(VLOOKUP(B1070,'Pre-Summary'!$AT$6:$AX$15,4,FALSE),"")</f>
        <v/>
      </c>
      <c r="F1070">
        <f>IFERROR(VLOOKUP(B1070,'Pre-Summary'!$AL$6:$AQ$13,6,FALSE),F1069)</f>
        <v>5.9405263157894746E-2</v>
      </c>
      <c r="G1070" t="str">
        <f>IFERROR(VLOOKUP(B1070,'Pre-Summary'!$AE$6:$AJ$85,3,FALSE),"")</f>
        <v/>
      </c>
      <c r="H1070" t="str">
        <f>IFERROR(VLOOKUP(B1070,'Pre-Summary'!$AE$6:$AJ$85,4,FALSE),"")</f>
        <v/>
      </c>
      <c r="I1070" t="str">
        <f>IFERROR(VLOOKUP(B1070,'Pre-Summary'!$AE$6:$AJ$85,5,FALSE),"")</f>
        <v/>
      </c>
      <c r="J1070" s="45" t="str">
        <f>IFERROR(VLOOKUP(B1070,'Pre-Summary'!$AE$6:$AJ$85,6, FALSE),"")</f>
        <v/>
      </c>
      <c r="K1070" s="45" t="str">
        <f>IFERROR(VLOOKUP(B1070,'Pre-Summary'!$DE$6:$DG$61,3,FALSE),"")</f>
        <v/>
      </c>
      <c r="L1070" s="45" t="str">
        <f>IFERROR(VLOOKUP(B1070,'Pre-Summary'!$CU$6:$CW$36,3,FALSE),"")</f>
        <v/>
      </c>
      <c r="M1070" s="45" t="str">
        <f>IFERROR(VLOOKUP(B1070,'Pre-Summary'!$BW$6:$BY$58,2,FALSE),"")</f>
        <v/>
      </c>
      <c r="N1070" s="45" t="str">
        <f>IFERROR(VLOOKUP(B1070,'Pre-Summary'!$CD$6:$CF$64,2,FALSE),"")</f>
        <v/>
      </c>
      <c r="O1070" s="99">
        <f>IFERROR(VLOOKUP(B1070,'Pre-Summary'!$BO$6:$BQ$48,3, FALSE),O1069)</f>
        <v>1</v>
      </c>
      <c r="P1070" s="99">
        <f>IFERROR(VLOOKUP(B1070,'Pre-Summary'!$BS$6:$BU$35,3,FALSE),P1069)</f>
        <v>0.25</v>
      </c>
      <c r="Q1070" s="54">
        <f t="shared" si="48"/>
        <v>4</v>
      </c>
      <c r="R1070" s="53">
        <f>IFERROR(VLOOKUP(B1070,'Pre-Summary'!$BG$6:$BM$44,7,FALSE),R1071)</f>
        <v>7.6574939085447311E-2</v>
      </c>
      <c r="S1070" s="53">
        <f>IFERROR(VLOOKUP(B1070,'Pre-Summary'!$BG$6:$BM$44,6,FALSE),S1071)</f>
        <v>6.8761751275839902E-2</v>
      </c>
      <c r="T1070" s="45" t="str">
        <f>IFERROR(VLOOKUP(B1070,'Pre-Summary'!$Y$6:$AC$83, 3,FALSE),"")</f>
        <v/>
      </c>
      <c r="U1070" s="45" t="str">
        <f>IFERROR(VLOOKUP(B1070,'Pre-Summary'!$Y$6:$AC$83, 4,FALSE),"")</f>
        <v/>
      </c>
      <c r="V1070" t="str">
        <f>IFERROR(VLOOKUP(B1070,'Pre-Summary'!$Y$6:$AC$83, 5,FALSE),"")</f>
        <v/>
      </c>
      <c r="W1070" s="45" t="str">
        <f>IFERROR(VLOOKUP(B1070,'Pre-Summary'!$Y$6:$AD$83,6,FALSE),"")</f>
        <v/>
      </c>
      <c r="X1070" t="str">
        <f>IFERROR(VLOOKUP('Pre-Summary'!$DB$6:$DD$63,3,FALSE),"")</f>
        <v/>
      </c>
      <c r="Y1070" t="str">
        <f>IFERROR(VLOOKUP(B1070,'Pre-Summary'!$CR$6:$CT$36,3,FALSE),"")</f>
        <v/>
      </c>
      <c r="Z1070" s="45" t="str">
        <f>IFERROR(VLOOKUP(B1070,'Pre-Summary'!$BZ$6:$CB$63,2,FALSE),"")</f>
        <v/>
      </c>
      <c r="AA1070" s="45" t="str">
        <f>IFERROR(VLOOKUP(B1070,'Pre-Summary'!$CG$6:$CI$70,2,FALSE),"")</f>
        <v/>
      </c>
      <c r="AB1070" s="99">
        <f>IFERROR(VLOOKUP(B1070,'Pre-Summary'!$A$6:$P$178,9,FALSE),AB1071)</f>
        <v>0.50944710327423315</v>
      </c>
      <c r="AC1070" s="10">
        <f>IFERROR(VLOOKUP(Summary!B1070,'Pre-Summary'!$A$6:$P$184,5, FALSE)/100,AC1071)</f>
        <v>0.90854199999999996</v>
      </c>
      <c r="AD1070" s="10">
        <f>IFERROR(VLOOKUP(Summary!B1070,'Pre-Summary'!$A$6:$P$184,3, FALSE)/100,AD1071)</f>
        <v>1.1944999999999999E-2</v>
      </c>
      <c r="AE1070" s="10">
        <f>IFERROR(VLOOKUP(Summary!B1070,'Pre-Summary'!$A$6:$P$184,7, FALSE)/100,AE1071)</f>
        <v>7.9513E-2</v>
      </c>
      <c r="AF1070" s="99">
        <f t="shared" si="49"/>
        <v>6.0853456486107144E-3</v>
      </c>
      <c r="AG1070" s="99">
        <f t="shared" si="50"/>
        <v>4.0507667522644099E-2</v>
      </c>
      <c r="AH1070" s="10" t="str">
        <f>IFERROR(VLOOKUP(B1070,'Pre-Summary'!$AZ$6:$BE$65,3,FALSE),"")</f>
        <v/>
      </c>
      <c r="AI1070" s="10" t="str">
        <f>IFERROR(VLOOKUP(B1070,'Pre-Summary'!$AZ$6:$BE$65,5,FALSE),"")</f>
        <v/>
      </c>
      <c r="AJ1070" s="10" t="str">
        <f>IFERROR(VLOOKUP(B1070,'Pre-Summary'!$AZ$6:$BE$65,4,FALSE),"")</f>
        <v/>
      </c>
      <c r="AK1070" s="10" t="str">
        <f>IFERROR(VLOOKUP(B1070,'Pre-Summary'!$AZ$6:$BE$65,6,FALSE),"")</f>
        <v/>
      </c>
      <c r="AL1070" s="10" t="str">
        <f>IFERROR(VLOOKUP(B1070,'Pre-Summary'!$BG$6:$BL$44,3,FALSE),"")</f>
        <v/>
      </c>
      <c r="AM1070" s="10" t="str">
        <f>IFERROR(VLOOKUP(B1070,'Pre-Summary'!$BG$6:$BL$44,4,FALSE),"")</f>
        <v/>
      </c>
    </row>
    <row r="1071" spans="2:39" ht="15" customHeight="1" x14ac:dyDescent="0.3">
      <c r="B1071">
        <v>106.8</v>
      </c>
      <c r="C1071" t="str">
        <f>IFERROR(VLOOKUP(B1071,'Pre-Summary'!$DI$6:$DM$23,4,FALSE),"")</f>
        <v/>
      </c>
      <c r="D1071" s="10" t="str">
        <f>IFERROR(VLOOKUP(B1071,'Pre-Summary'!$AT$6:$AX$14,5,FALSE),D1070)</f>
        <v>DSMZ v3: dropped yeast, casitone, and bicarb out of DSMZ 120</v>
      </c>
      <c r="E1071" s="10" t="str">
        <f>IFERROR(VLOOKUP(B1071,'Pre-Summary'!$AT$6:$AX$15,4,FALSE),"")</f>
        <v/>
      </c>
      <c r="F1071">
        <f>IFERROR(VLOOKUP(B1071,'Pre-Summary'!$AL$6:$AQ$13,6,FALSE),F1070)</f>
        <v>5.9405263157894746E-2</v>
      </c>
      <c r="G1071" t="str">
        <f>IFERROR(VLOOKUP(B1071,'Pre-Summary'!$AE$6:$AJ$85,3,FALSE),"")</f>
        <v/>
      </c>
      <c r="H1071" t="str">
        <f>IFERROR(VLOOKUP(B1071,'Pre-Summary'!$AE$6:$AJ$85,4,FALSE),"")</f>
        <v/>
      </c>
      <c r="I1071" t="str">
        <f>IFERROR(VLOOKUP(B1071,'Pre-Summary'!$AE$6:$AJ$85,5,FALSE),"")</f>
        <v/>
      </c>
      <c r="J1071" s="45" t="str">
        <f>IFERROR(VLOOKUP(B1071,'Pre-Summary'!$AE$6:$AJ$85,6, FALSE),"")</f>
        <v/>
      </c>
      <c r="K1071" s="45" t="str">
        <f>IFERROR(VLOOKUP(B1071,'Pre-Summary'!$DE$6:$DG$61,3,FALSE),"")</f>
        <v/>
      </c>
      <c r="L1071" s="45" t="str">
        <f>IFERROR(VLOOKUP(B1071,'Pre-Summary'!$CU$6:$CW$36,3,FALSE),"")</f>
        <v/>
      </c>
      <c r="M1071" s="45" t="str">
        <f>IFERROR(VLOOKUP(B1071,'Pre-Summary'!$BW$6:$BY$58,2,FALSE),"")</f>
        <v/>
      </c>
      <c r="N1071" s="45" t="str">
        <f>IFERROR(VLOOKUP(B1071,'Pre-Summary'!$CD$6:$CF$64,2,FALSE),"")</f>
        <v/>
      </c>
      <c r="O1071" s="99">
        <f>IFERROR(VLOOKUP(B1071,'Pre-Summary'!$BO$6:$BQ$48,3, FALSE),O1070)</f>
        <v>1</v>
      </c>
      <c r="P1071" s="99">
        <f>IFERROR(VLOOKUP(B1071,'Pre-Summary'!$BS$6:$BU$35,3,FALSE),P1070)</f>
        <v>0.25</v>
      </c>
      <c r="Q1071" s="54">
        <f t="shared" si="48"/>
        <v>4</v>
      </c>
      <c r="R1071" s="53">
        <f>IFERROR(VLOOKUP(B1071,'Pre-Summary'!$BG$6:$BM$44,7,FALSE),R1072)</f>
        <v>7.6574939085447311E-2</v>
      </c>
      <c r="S1071" s="53">
        <f>IFERROR(VLOOKUP(B1071,'Pre-Summary'!$BG$6:$BM$44,6,FALSE),S1072)</f>
        <v>6.8761751275839902E-2</v>
      </c>
      <c r="T1071" s="45" t="str">
        <f>IFERROR(VLOOKUP(B1071,'Pre-Summary'!$Y$6:$AC$83, 3,FALSE),"")</f>
        <v/>
      </c>
      <c r="U1071" s="45" t="str">
        <f>IFERROR(VLOOKUP(B1071,'Pre-Summary'!$Y$6:$AC$83, 4,FALSE),"")</f>
        <v/>
      </c>
      <c r="V1071" t="str">
        <f>IFERROR(VLOOKUP(B1071,'Pre-Summary'!$Y$6:$AC$83, 5,FALSE),"")</f>
        <v/>
      </c>
      <c r="W1071" s="45" t="str">
        <f>IFERROR(VLOOKUP(B1071,'Pre-Summary'!$Y$6:$AD$83,6,FALSE),"")</f>
        <v/>
      </c>
      <c r="X1071" t="str">
        <f>IFERROR(VLOOKUP('Pre-Summary'!$DB$6:$DD$63,3,FALSE),"")</f>
        <v/>
      </c>
      <c r="Y1071" t="str">
        <f>IFERROR(VLOOKUP(B1071,'Pre-Summary'!$CR$6:$CT$36,3,FALSE),"")</f>
        <v/>
      </c>
      <c r="Z1071" s="45" t="str">
        <f>IFERROR(VLOOKUP(B1071,'Pre-Summary'!$BZ$6:$CB$63,2,FALSE),"")</f>
        <v/>
      </c>
      <c r="AA1071" s="45" t="str">
        <f>IFERROR(VLOOKUP(B1071,'Pre-Summary'!$CG$6:$CI$70,2,FALSE),"")</f>
        <v/>
      </c>
      <c r="AB1071" s="99">
        <f>IFERROR(VLOOKUP(B1071,'Pre-Summary'!$A$6:$P$178,9,FALSE),AB1072)</f>
        <v>0.50944710327423315</v>
      </c>
      <c r="AC1071" s="10">
        <f>IFERROR(VLOOKUP(Summary!B1071,'Pre-Summary'!$A$6:$P$184,5, FALSE)/100,AC1072)</f>
        <v>0.90854199999999996</v>
      </c>
      <c r="AD1071" s="10">
        <f>IFERROR(VLOOKUP(Summary!B1071,'Pre-Summary'!$A$6:$P$184,3, FALSE)/100,AD1072)</f>
        <v>1.1944999999999999E-2</v>
      </c>
      <c r="AE1071" s="10">
        <f>IFERROR(VLOOKUP(Summary!B1071,'Pre-Summary'!$A$6:$P$184,7, FALSE)/100,AE1072)</f>
        <v>7.9513E-2</v>
      </c>
      <c r="AF1071" s="99">
        <f t="shared" si="49"/>
        <v>6.0853456486107144E-3</v>
      </c>
      <c r="AG1071" s="99">
        <f t="shared" si="50"/>
        <v>4.0507667522644099E-2</v>
      </c>
      <c r="AH1071" s="10" t="str">
        <f>IFERROR(VLOOKUP(B1071,'Pre-Summary'!$AZ$6:$BE$65,3,FALSE),"")</f>
        <v/>
      </c>
      <c r="AI1071" s="10" t="str">
        <f>IFERROR(VLOOKUP(B1071,'Pre-Summary'!$AZ$6:$BE$65,5,FALSE),"")</f>
        <v/>
      </c>
      <c r="AJ1071" s="10" t="str">
        <f>IFERROR(VLOOKUP(B1071,'Pre-Summary'!$AZ$6:$BE$65,4,FALSE),"")</f>
        <v/>
      </c>
      <c r="AK1071" s="10" t="str">
        <f>IFERROR(VLOOKUP(B1071,'Pre-Summary'!$AZ$6:$BE$65,6,FALSE),"")</f>
        <v/>
      </c>
      <c r="AL1071" s="10" t="str">
        <f>IFERROR(VLOOKUP(B1071,'Pre-Summary'!$BG$6:$BL$44,3,FALSE),"")</f>
        <v/>
      </c>
      <c r="AM1071" s="10" t="str">
        <f>IFERROR(VLOOKUP(B1071,'Pre-Summary'!$BG$6:$BL$44,4,FALSE),"")</f>
        <v/>
      </c>
    </row>
    <row r="1072" spans="2:39" ht="15" customHeight="1" x14ac:dyDescent="0.3">
      <c r="B1072">
        <v>106.9</v>
      </c>
      <c r="C1072" t="str">
        <f>IFERROR(VLOOKUP(B1072,'Pre-Summary'!$DI$6:$DM$23,4,FALSE),"")</f>
        <v/>
      </c>
      <c r="D1072" s="10" t="str">
        <f>IFERROR(VLOOKUP(B1072,'Pre-Summary'!$AT$6:$AX$14,5,FALSE),D1071)</f>
        <v>DSMZ v3: dropped yeast, casitone, and bicarb out of DSMZ 120</v>
      </c>
      <c r="E1072" s="10" t="str">
        <f>IFERROR(VLOOKUP(B1072,'Pre-Summary'!$AT$6:$AX$15,4,FALSE),"")</f>
        <v/>
      </c>
      <c r="F1072">
        <f>IFERROR(VLOOKUP(B1072,'Pre-Summary'!$AL$6:$AQ$13,6,FALSE),F1071)</f>
        <v>5.9405263157894746E-2</v>
      </c>
      <c r="G1072">
        <f>IFERROR(VLOOKUP(B1072,'Pre-Summary'!$AE$6:$AJ$85,3,FALSE),"")</f>
        <v>9.0280000000000005</v>
      </c>
      <c r="H1072">
        <f>IFERROR(VLOOKUP(B1072,'Pre-Summary'!$AE$6:$AJ$85,4,FALSE),"")</f>
        <v>0.79700000000000004</v>
      </c>
      <c r="I1072">
        <f>IFERROR(VLOOKUP(B1072,'Pre-Summary'!$AE$6:$AJ$85,5,FALSE),"")</f>
        <v>0</v>
      </c>
      <c r="J1072" s="45">
        <f>IFERROR(VLOOKUP(B1072,'Pre-Summary'!$AE$6:$AJ$85,6, FALSE),"")</f>
        <v>10.839534</v>
      </c>
      <c r="K1072" s="45">
        <f>IFERROR(VLOOKUP(B1072,'Pre-Summary'!$DE$6:$DG$61,3,FALSE),"")</f>
        <v>11850</v>
      </c>
      <c r="L1072" s="45" t="str">
        <f>IFERROR(VLOOKUP(B1072,'Pre-Summary'!$CU$6:$CW$36,3,FALSE),"")</f>
        <v/>
      </c>
      <c r="M1072" s="45" t="str">
        <f>IFERROR(VLOOKUP(B1072,'Pre-Summary'!$BW$6:$BY$58,2,FALSE),"")</f>
        <v/>
      </c>
      <c r="N1072" s="45" t="str">
        <f>IFERROR(VLOOKUP(B1072,'Pre-Summary'!$CD$6:$CF$64,2,FALSE),"")</f>
        <v/>
      </c>
      <c r="O1072" s="99">
        <f>IFERROR(VLOOKUP(B1072,'Pre-Summary'!$BO$6:$BQ$48,3, FALSE),O1071)</f>
        <v>1</v>
      </c>
      <c r="P1072" s="99">
        <f>IFERROR(VLOOKUP(B1072,'Pre-Summary'!$BS$6:$BU$35,3,FALSE),P1071)</f>
        <v>0.25</v>
      </c>
      <c r="Q1072" s="54">
        <f t="shared" si="48"/>
        <v>4</v>
      </c>
      <c r="R1072" s="53">
        <f>IFERROR(VLOOKUP(B1072,'Pre-Summary'!$BG$6:$BM$44,7,FALSE),R1073)</f>
        <v>7.6574939085447311E-2</v>
      </c>
      <c r="S1072" s="53">
        <f>IFERROR(VLOOKUP(B1072,'Pre-Summary'!$BG$6:$BM$44,6,FALSE),S1073)</f>
        <v>6.8761751275839902E-2</v>
      </c>
      <c r="T1072" s="45">
        <f>IFERROR(VLOOKUP(B1072,'Pre-Summary'!$Y$6:$AC$83, 3,FALSE),"")</f>
        <v>176.69499999999999</v>
      </c>
      <c r="U1072" s="45">
        <f>IFERROR(VLOOKUP(B1072,'Pre-Summary'!$Y$6:$AC$83, 4,FALSE),"")</f>
        <v>50.185000000000002</v>
      </c>
      <c r="V1072">
        <f>IFERROR(VLOOKUP(B1072,'Pre-Summary'!$Y$6:$AC$83, 5,FALSE),"")</f>
        <v>0</v>
      </c>
      <c r="W1072" s="45">
        <f>IFERROR(VLOOKUP(B1072,'Pre-Summary'!$Y$6:$AD$83,6,FALSE),"")</f>
        <v>264.51365499999997</v>
      </c>
      <c r="X1072" t="str">
        <f>IFERROR(VLOOKUP('Pre-Summary'!$DB$6:$DD$63,3,FALSE),"")</f>
        <v/>
      </c>
      <c r="Y1072" t="str">
        <f>IFERROR(VLOOKUP(B1072,'Pre-Summary'!$CR$6:$CT$36,3,FALSE),"")</f>
        <v/>
      </c>
      <c r="Z1072" s="45" t="str">
        <f>IFERROR(VLOOKUP(B1072,'Pre-Summary'!$BZ$6:$CB$63,2,FALSE),"")</f>
        <v/>
      </c>
      <c r="AA1072" s="45" t="str">
        <f>IFERROR(VLOOKUP(B1072,'Pre-Summary'!$CG$6:$CI$70,2,FALSE),"")</f>
        <v/>
      </c>
      <c r="AB1072" s="99">
        <f>IFERROR(VLOOKUP(B1072,'Pre-Summary'!$A$6:$P$178,9,FALSE),AB1073)</f>
        <v>0.50944710327423315</v>
      </c>
      <c r="AC1072" s="10">
        <f>IFERROR(VLOOKUP(Summary!B1072,'Pre-Summary'!$A$6:$P$184,5, FALSE)/100,AC1073)</f>
        <v>0.90854199999999996</v>
      </c>
      <c r="AD1072" s="10">
        <f>IFERROR(VLOOKUP(Summary!B1072,'Pre-Summary'!$A$6:$P$184,3, FALSE)/100,AD1073)</f>
        <v>1.1944999999999999E-2</v>
      </c>
      <c r="AE1072" s="10">
        <f>IFERROR(VLOOKUP(Summary!B1072,'Pre-Summary'!$A$6:$P$184,7, FALSE)/100,AE1073)</f>
        <v>7.9513E-2</v>
      </c>
      <c r="AF1072" s="99">
        <f t="shared" si="49"/>
        <v>6.0853456486107144E-3</v>
      </c>
      <c r="AG1072" s="99">
        <f t="shared" si="50"/>
        <v>4.0507667522644099E-2</v>
      </c>
      <c r="AH1072" s="10" t="str">
        <f>IFERROR(VLOOKUP(B1072,'Pre-Summary'!$AZ$6:$BE$65,3,FALSE),"")</f>
        <v/>
      </c>
      <c r="AI1072" s="10" t="str">
        <f>IFERROR(VLOOKUP(B1072,'Pre-Summary'!$AZ$6:$BE$65,5,FALSE),"")</f>
        <v/>
      </c>
      <c r="AJ1072" s="10" t="str">
        <f>IFERROR(VLOOKUP(B1072,'Pre-Summary'!$AZ$6:$BE$65,4,FALSE),"")</f>
        <v/>
      </c>
      <c r="AK1072" s="10" t="str">
        <f>IFERROR(VLOOKUP(B1072,'Pre-Summary'!$AZ$6:$BE$65,6,FALSE),"")</f>
        <v/>
      </c>
      <c r="AL1072" s="10" t="str">
        <f>IFERROR(VLOOKUP(B1072,'Pre-Summary'!$BG$6:$BL$44,3,FALSE),"")</f>
        <v/>
      </c>
      <c r="AM1072" s="10" t="str">
        <f>IFERROR(VLOOKUP(B1072,'Pre-Summary'!$BG$6:$BL$44,4,FALSE),"")</f>
        <v/>
      </c>
    </row>
    <row r="1073" spans="2:39" ht="15" customHeight="1" x14ac:dyDescent="0.3">
      <c r="B1073">
        <v>107</v>
      </c>
      <c r="C1073" t="str">
        <f>IFERROR(VLOOKUP(B1073,'Pre-Summary'!$DI$6:$DM$23,4,FALSE),"")</f>
        <v/>
      </c>
      <c r="D1073" s="10" t="str">
        <f>IFERROR(VLOOKUP(B1073,'Pre-Summary'!$AT$6:$AX$14,5,FALSE),D1072)</f>
        <v>DSMZ v3: dropped yeast, casitone, and bicarb out of DSMZ 120</v>
      </c>
      <c r="E1073" s="10" t="str">
        <f>IFERROR(VLOOKUP(B1073,'Pre-Summary'!$AT$6:$AX$15,4,FALSE),"")</f>
        <v/>
      </c>
      <c r="F1073">
        <f>IFERROR(VLOOKUP(B1073,'Pre-Summary'!$AL$6:$AQ$13,6,FALSE),F1072)</f>
        <v>5.9405263157894746E-2</v>
      </c>
      <c r="G1073" t="str">
        <f>IFERROR(VLOOKUP(B1073,'Pre-Summary'!$AE$6:$AJ$85,3,FALSE),"")</f>
        <v/>
      </c>
      <c r="H1073" t="str">
        <f>IFERROR(VLOOKUP(B1073,'Pre-Summary'!$AE$6:$AJ$85,4,FALSE),"")</f>
        <v/>
      </c>
      <c r="I1073" t="str">
        <f>IFERROR(VLOOKUP(B1073,'Pre-Summary'!$AE$6:$AJ$85,5,FALSE),"")</f>
        <v/>
      </c>
      <c r="J1073" s="45" t="str">
        <f>IFERROR(VLOOKUP(B1073,'Pre-Summary'!$AE$6:$AJ$85,6, FALSE),"")</f>
        <v/>
      </c>
      <c r="K1073" s="45" t="str">
        <f>IFERROR(VLOOKUP(B1073,'Pre-Summary'!$DE$6:$DG$61,3,FALSE),"")</f>
        <v/>
      </c>
      <c r="L1073" s="45" t="str">
        <f>IFERROR(VLOOKUP(B1073,'Pre-Summary'!$CU$6:$CW$36,3,FALSE),"")</f>
        <v/>
      </c>
      <c r="M1073" s="45" t="str">
        <f>IFERROR(VLOOKUP(B1073,'Pre-Summary'!$BW$6:$BY$58,2,FALSE),"")</f>
        <v/>
      </c>
      <c r="N1073" s="45" t="str">
        <f>IFERROR(VLOOKUP(B1073,'Pre-Summary'!$CD$6:$CF$64,2,FALSE),"")</f>
        <v/>
      </c>
      <c r="O1073" s="99">
        <f>IFERROR(VLOOKUP(B1073,'Pre-Summary'!$BO$6:$BQ$48,3, FALSE),O1072)</f>
        <v>1</v>
      </c>
      <c r="P1073" s="99">
        <f>IFERROR(VLOOKUP(B1073,'Pre-Summary'!$BS$6:$BU$35,3,FALSE),P1072)</f>
        <v>0.25</v>
      </c>
      <c r="Q1073" s="54">
        <f t="shared" si="48"/>
        <v>4</v>
      </c>
      <c r="R1073" s="53">
        <f>IFERROR(VLOOKUP(B1073,'Pre-Summary'!$BG$6:$BM$44,7,FALSE),R1074)</f>
        <v>7.6574939085447311E-2</v>
      </c>
      <c r="S1073" s="53">
        <f>IFERROR(VLOOKUP(B1073,'Pre-Summary'!$BG$6:$BM$44,6,FALSE),S1074)</f>
        <v>6.8761751275839902E-2</v>
      </c>
      <c r="T1073" s="45" t="str">
        <f>IFERROR(VLOOKUP(B1073,'Pre-Summary'!$Y$6:$AC$83, 3,FALSE),"")</f>
        <v/>
      </c>
      <c r="U1073" s="45" t="str">
        <f>IFERROR(VLOOKUP(B1073,'Pre-Summary'!$Y$6:$AC$83, 4,FALSE),"")</f>
        <v/>
      </c>
      <c r="V1073" t="str">
        <f>IFERROR(VLOOKUP(B1073,'Pre-Summary'!$Y$6:$AC$83, 5,FALSE),"")</f>
        <v/>
      </c>
      <c r="W1073" s="45" t="str">
        <f>IFERROR(VLOOKUP(B1073,'Pre-Summary'!$Y$6:$AD$83,6,FALSE),"")</f>
        <v/>
      </c>
      <c r="X1073" t="str">
        <f>IFERROR(VLOOKUP('Pre-Summary'!$DB$6:$DD$63,3,FALSE),"")</f>
        <v/>
      </c>
      <c r="Y1073" t="str">
        <f>IFERROR(VLOOKUP(B1073,'Pre-Summary'!$CR$6:$CT$36,3,FALSE),"")</f>
        <v/>
      </c>
      <c r="Z1073" s="45" t="str">
        <f>IFERROR(VLOOKUP(B1073,'Pre-Summary'!$BZ$6:$CB$63,2,FALSE),"")</f>
        <v/>
      </c>
      <c r="AA1073" s="45" t="str">
        <f>IFERROR(VLOOKUP(B1073,'Pre-Summary'!$CG$6:$CI$70,2,FALSE),"")</f>
        <v/>
      </c>
      <c r="AB1073" s="99">
        <f>IFERROR(VLOOKUP(B1073,'Pre-Summary'!$A$6:$P$178,9,FALSE),AB1074)</f>
        <v>0.45533763440924657</v>
      </c>
      <c r="AC1073" s="10">
        <f>IFERROR(VLOOKUP(Summary!B1073,'Pre-Summary'!$A$6:$P$184,5, FALSE)/100,AC1074)</f>
        <v>0.89807866666666669</v>
      </c>
      <c r="AD1073" s="10">
        <f>IFERROR(VLOOKUP(Summary!B1073,'Pre-Summary'!$A$6:$P$184,3, FALSE)/100,AD1074)</f>
        <v>1.5917000000000001E-2</v>
      </c>
      <c r="AE1073" s="10">
        <f>IFERROR(VLOOKUP(Summary!B1073,'Pre-Summary'!$A$6:$P$184,7, FALSE)/100,AE1074)</f>
        <v>8.6004666666666674E-2</v>
      </c>
      <c r="AF1073" s="99">
        <f t="shared" si="49"/>
        <v>7.2476091268919782E-3</v>
      </c>
      <c r="AG1073" s="99">
        <f t="shared" si="50"/>
        <v>3.9161161468155785E-2</v>
      </c>
      <c r="AH1073" s="10" t="str">
        <f>IFERROR(VLOOKUP(B1073,'Pre-Summary'!$AZ$6:$BE$65,3,FALSE),"")</f>
        <v/>
      </c>
      <c r="AI1073" s="10" t="str">
        <f>IFERROR(VLOOKUP(B1073,'Pre-Summary'!$AZ$6:$BE$65,5,FALSE),"")</f>
        <v/>
      </c>
      <c r="AJ1073" s="10" t="str">
        <f>IFERROR(VLOOKUP(B1073,'Pre-Summary'!$AZ$6:$BE$65,4,FALSE),"")</f>
        <v/>
      </c>
      <c r="AK1073" s="10" t="str">
        <f>IFERROR(VLOOKUP(B1073,'Pre-Summary'!$AZ$6:$BE$65,6,FALSE),"")</f>
        <v/>
      </c>
      <c r="AL1073" s="10" t="str">
        <f>IFERROR(VLOOKUP(B1073,'Pre-Summary'!$BG$6:$BL$44,3,FALSE),"")</f>
        <v/>
      </c>
      <c r="AM1073" s="10" t="str">
        <f>IFERROR(VLOOKUP(B1073,'Pre-Summary'!$BG$6:$BL$44,4,FALSE),"")</f>
        <v/>
      </c>
    </row>
    <row r="1074" spans="2:39" ht="15" customHeight="1" x14ac:dyDescent="0.3">
      <c r="B1074">
        <v>107.1</v>
      </c>
      <c r="C1074" t="str">
        <f>IFERROR(VLOOKUP(B1074,'Pre-Summary'!$DI$6:$DM$23,4,FALSE),"")</f>
        <v/>
      </c>
      <c r="D1074" s="10" t="str">
        <f>IFERROR(VLOOKUP(B1074,'Pre-Summary'!$AT$6:$AX$14,5,FALSE),D1073)</f>
        <v>DSMZ v3: dropped yeast, casitone, and bicarb out of DSMZ 120</v>
      </c>
      <c r="E1074" s="10" t="str">
        <f>IFERROR(VLOOKUP(B1074,'Pre-Summary'!$AT$6:$AX$15,4,FALSE),"")</f>
        <v/>
      </c>
      <c r="F1074">
        <f>IFERROR(VLOOKUP(B1074,'Pre-Summary'!$AL$6:$AQ$13,6,FALSE),F1073)</f>
        <v>5.9405263157894746E-2</v>
      </c>
      <c r="G1074" t="str">
        <f>IFERROR(VLOOKUP(B1074,'Pre-Summary'!$AE$6:$AJ$85,3,FALSE),"")</f>
        <v/>
      </c>
      <c r="H1074" t="str">
        <f>IFERROR(VLOOKUP(B1074,'Pre-Summary'!$AE$6:$AJ$85,4,FALSE),"")</f>
        <v/>
      </c>
      <c r="I1074" t="str">
        <f>IFERROR(VLOOKUP(B1074,'Pre-Summary'!$AE$6:$AJ$85,5,FALSE),"")</f>
        <v/>
      </c>
      <c r="J1074" s="45" t="str">
        <f>IFERROR(VLOOKUP(B1074,'Pre-Summary'!$AE$6:$AJ$85,6, FALSE),"")</f>
        <v/>
      </c>
      <c r="K1074" s="45" t="str">
        <f>IFERROR(VLOOKUP(B1074,'Pre-Summary'!$DE$6:$DG$61,3,FALSE),"")</f>
        <v/>
      </c>
      <c r="L1074" s="45" t="str">
        <f>IFERROR(VLOOKUP(B1074,'Pre-Summary'!$CU$6:$CW$36,3,FALSE),"")</f>
        <v/>
      </c>
      <c r="M1074" s="45" t="str">
        <f>IFERROR(VLOOKUP(B1074,'Pre-Summary'!$BW$6:$BY$58,2,FALSE),"")</f>
        <v/>
      </c>
      <c r="N1074" s="45" t="str">
        <f>IFERROR(VLOOKUP(B1074,'Pre-Summary'!$CD$6:$CF$64,2,FALSE),"")</f>
        <v/>
      </c>
      <c r="O1074" s="99">
        <f>IFERROR(VLOOKUP(B1074,'Pre-Summary'!$BO$6:$BQ$48,3, FALSE),O1073)</f>
        <v>1</v>
      </c>
      <c r="P1074" s="99">
        <f>IFERROR(VLOOKUP(B1074,'Pre-Summary'!$BS$6:$BU$35,3,FALSE),P1073)</f>
        <v>0.25</v>
      </c>
      <c r="Q1074" s="54">
        <f t="shared" si="48"/>
        <v>4</v>
      </c>
      <c r="R1074" s="53">
        <f>IFERROR(VLOOKUP(B1074,'Pre-Summary'!$BG$6:$BM$44,7,FALSE),R1075)</f>
        <v>7.6574939085447311E-2</v>
      </c>
      <c r="S1074" s="53">
        <f>IFERROR(VLOOKUP(B1074,'Pre-Summary'!$BG$6:$BM$44,6,FALSE),S1075)</f>
        <v>6.8761751275839902E-2</v>
      </c>
      <c r="T1074" s="45" t="str">
        <f>IFERROR(VLOOKUP(B1074,'Pre-Summary'!$Y$6:$AC$83, 3,FALSE),"")</f>
        <v/>
      </c>
      <c r="U1074" s="45" t="str">
        <f>IFERROR(VLOOKUP(B1074,'Pre-Summary'!$Y$6:$AC$83, 4,FALSE),"")</f>
        <v/>
      </c>
      <c r="V1074" t="str">
        <f>IFERROR(VLOOKUP(B1074,'Pre-Summary'!$Y$6:$AC$83, 5,FALSE),"")</f>
        <v/>
      </c>
      <c r="W1074" s="45" t="str">
        <f>IFERROR(VLOOKUP(B1074,'Pre-Summary'!$Y$6:$AD$83,6,FALSE),"")</f>
        <v/>
      </c>
      <c r="X1074" t="str">
        <f>IFERROR(VLOOKUP('Pre-Summary'!$DB$6:$DD$63,3,FALSE),"")</f>
        <v/>
      </c>
      <c r="Y1074" t="str">
        <f>IFERROR(VLOOKUP(B1074,'Pre-Summary'!$CR$6:$CT$36,3,FALSE),"")</f>
        <v/>
      </c>
      <c r="Z1074" s="45" t="str">
        <f>IFERROR(VLOOKUP(B1074,'Pre-Summary'!$BZ$6:$CB$63,2,FALSE),"")</f>
        <v/>
      </c>
      <c r="AA1074" s="45" t="str">
        <f>IFERROR(VLOOKUP(B1074,'Pre-Summary'!$CG$6:$CI$70,2,FALSE),"")</f>
        <v/>
      </c>
      <c r="AB1074" s="99">
        <f>IFERROR(VLOOKUP(B1074,'Pre-Summary'!$A$6:$P$178,9,FALSE),AB1075)</f>
        <v>0.45533763440924657</v>
      </c>
      <c r="AC1074" s="10">
        <f>IFERROR(VLOOKUP(Summary!B1074,'Pre-Summary'!$A$6:$P$184,5, FALSE)/100,AC1075)</f>
        <v>0.89807866666666669</v>
      </c>
      <c r="AD1074" s="10">
        <f>IFERROR(VLOOKUP(Summary!B1074,'Pre-Summary'!$A$6:$P$184,3, FALSE)/100,AD1075)</f>
        <v>1.5917000000000001E-2</v>
      </c>
      <c r="AE1074" s="10">
        <f>IFERROR(VLOOKUP(Summary!B1074,'Pre-Summary'!$A$6:$P$184,7, FALSE)/100,AE1075)</f>
        <v>8.6004666666666674E-2</v>
      </c>
      <c r="AF1074" s="99">
        <f t="shared" si="49"/>
        <v>7.2476091268919782E-3</v>
      </c>
      <c r="AG1074" s="99">
        <f t="shared" si="50"/>
        <v>3.9161161468155785E-2</v>
      </c>
      <c r="AH1074" s="10" t="str">
        <f>IFERROR(VLOOKUP(B1074,'Pre-Summary'!$AZ$6:$BE$65,3,FALSE),"")</f>
        <v/>
      </c>
      <c r="AI1074" s="10" t="str">
        <f>IFERROR(VLOOKUP(B1074,'Pre-Summary'!$AZ$6:$BE$65,5,FALSE),"")</f>
        <v/>
      </c>
      <c r="AJ1074" s="10" t="str">
        <f>IFERROR(VLOOKUP(B1074,'Pre-Summary'!$AZ$6:$BE$65,4,FALSE),"")</f>
        <v/>
      </c>
      <c r="AK1074" s="10" t="str">
        <f>IFERROR(VLOOKUP(B1074,'Pre-Summary'!$AZ$6:$BE$65,6,FALSE),"")</f>
        <v/>
      </c>
      <c r="AL1074" s="10" t="str">
        <f>IFERROR(VLOOKUP(B1074,'Pre-Summary'!$BG$6:$BL$44,3,FALSE),"")</f>
        <v/>
      </c>
      <c r="AM1074" s="10" t="str">
        <f>IFERROR(VLOOKUP(B1074,'Pre-Summary'!$BG$6:$BL$44,4,FALSE),"")</f>
        <v/>
      </c>
    </row>
    <row r="1075" spans="2:39" ht="15" customHeight="1" x14ac:dyDescent="0.3">
      <c r="B1075">
        <v>107.2</v>
      </c>
      <c r="C1075" t="str">
        <f>IFERROR(VLOOKUP(B1075,'Pre-Summary'!$DI$6:$DM$23,4,FALSE),"")</f>
        <v/>
      </c>
      <c r="D1075" s="10" t="str">
        <f>IFERROR(VLOOKUP(B1075,'Pre-Summary'!$AT$6:$AX$14,5,FALSE),D1074)</f>
        <v>DSMZ v3: dropped yeast, casitone, and bicarb out of DSMZ 120</v>
      </c>
      <c r="E1075" s="10" t="str">
        <f>IFERROR(VLOOKUP(B1075,'Pre-Summary'!$AT$6:$AX$15,4,FALSE),"")</f>
        <v/>
      </c>
      <c r="F1075">
        <f>IFERROR(VLOOKUP(B1075,'Pre-Summary'!$AL$6:$AQ$13,6,FALSE),F1074)</f>
        <v>4.8389473684210538E-2</v>
      </c>
      <c r="G1075" t="str">
        <f>IFERROR(VLOOKUP(B1075,'Pre-Summary'!$AE$6:$AJ$85,3,FALSE),"")</f>
        <v/>
      </c>
      <c r="H1075" t="str">
        <f>IFERROR(VLOOKUP(B1075,'Pre-Summary'!$AE$6:$AJ$85,4,FALSE),"")</f>
        <v/>
      </c>
      <c r="I1075" t="str">
        <f>IFERROR(VLOOKUP(B1075,'Pre-Summary'!$AE$6:$AJ$85,5,FALSE),"")</f>
        <v/>
      </c>
      <c r="J1075" s="45" t="str">
        <f>IFERROR(VLOOKUP(B1075,'Pre-Summary'!$AE$6:$AJ$85,6, FALSE),"")</f>
        <v/>
      </c>
      <c r="K1075" s="45" t="str">
        <f>IFERROR(VLOOKUP(B1075,'Pre-Summary'!$DE$6:$DG$61,3,FALSE),"")</f>
        <v/>
      </c>
      <c r="L1075" s="45" t="str">
        <f>IFERROR(VLOOKUP(B1075,'Pre-Summary'!$CU$6:$CW$36,3,FALSE),"")</f>
        <v/>
      </c>
      <c r="M1075" s="45" t="str">
        <f>IFERROR(VLOOKUP(B1075,'Pre-Summary'!$BW$6:$BY$58,2,FALSE),"")</f>
        <v/>
      </c>
      <c r="N1075" s="45" t="str">
        <f>IFERROR(VLOOKUP(B1075,'Pre-Summary'!$CD$6:$CF$64,2,FALSE),"")</f>
        <v/>
      </c>
      <c r="O1075" s="99">
        <f>IFERROR(VLOOKUP(B1075,'Pre-Summary'!$BO$6:$BQ$48,3, FALSE),O1074)</f>
        <v>1.2</v>
      </c>
      <c r="P1075" s="99">
        <f>IFERROR(VLOOKUP(B1075,'Pre-Summary'!$BS$6:$BU$35,3,FALSE),P1074)</f>
        <v>0.3</v>
      </c>
      <c r="Q1075" s="54">
        <f t="shared" si="48"/>
        <v>4</v>
      </c>
      <c r="R1075" s="53">
        <f>IFERROR(VLOOKUP(B1075,'Pre-Summary'!$BG$6:$BM$44,7,FALSE),R1076)</f>
        <v>7.6574939085447311E-2</v>
      </c>
      <c r="S1075" s="53">
        <f>IFERROR(VLOOKUP(B1075,'Pre-Summary'!$BG$6:$BM$44,6,FALSE),S1076)</f>
        <v>6.8761751275839902E-2</v>
      </c>
      <c r="T1075" s="45" t="str">
        <f>IFERROR(VLOOKUP(B1075,'Pre-Summary'!$Y$6:$AC$83, 3,FALSE),"")</f>
        <v/>
      </c>
      <c r="U1075" s="45" t="str">
        <f>IFERROR(VLOOKUP(B1075,'Pre-Summary'!$Y$6:$AC$83, 4,FALSE),"")</f>
        <v/>
      </c>
      <c r="V1075" t="str">
        <f>IFERROR(VLOOKUP(B1075,'Pre-Summary'!$Y$6:$AC$83, 5,FALSE),"")</f>
        <v/>
      </c>
      <c r="W1075" s="45" t="str">
        <f>IFERROR(VLOOKUP(B1075,'Pre-Summary'!$Y$6:$AD$83,6,FALSE),"")</f>
        <v/>
      </c>
      <c r="X1075" t="str">
        <f>IFERROR(VLOOKUP('Pre-Summary'!$DB$6:$DD$63,3,FALSE),"")</f>
        <v/>
      </c>
      <c r="Y1075" t="str">
        <f>IFERROR(VLOOKUP(B1075,'Pre-Summary'!$CR$6:$CT$36,3,FALSE),"")</f>
        <v/>
      </c>
      <c r="Z1075" s="45" t="str">
        <f>IFERROR(VLOOKUP(B1075,'Pre-Summary'!$BZ$6:$CB$63,2,FALSE),"")</f>
        <v/>
      </c>
      <c r="AA1075" s="45" t="str">
        <f>IFERROR(VLOOKUP(B1075,'Pre-Summary'!$CG$6:$CI$70,2,FALSE),"")</f>
        <v/>
      </c>
      <c r="AB1075" s="99">
        <f>IFERROR(VLOOKUP(B1075,'Pre-Summary'!$A$6:$P$178,9,FALSE),AB1076)</f>
        <v>0.45533763440924657</v>
      </c>
      <c r="AC1075" s="10">
        <f>IFERROR(VLOOKUP(Summary!B1075,'Pre-Summary'!$A$6:$P$184,5, FALSE)/100,AC1076)</f>
        <v>0.89807866666666669</v>
      </c>
      <c r="AD1075" s="10">
        <f>IFERROR(VLOOKUP(Summary!B1075,'Pre-Summary'!$A$6:$P$184,3, FALSE)/100,AD1076)</f>
        <v>1.5917000000000001E-2</v>
      </c>
      <c r="AE1075" s="10">
        <f>IFERROR(VLOOKUP(Summary!B1075,'Pre-Summary'!$A$6:$P$184,7, FALSE)/100,AE1076)</f>
        <v>8.6004666666666674E-2</v>
      </c>
      <c r="AF1075" s="99">
        <f t="shared" si="49"/>
        <v>7.2476091268919782E-3</v>
      </c>
      <c r="AG1075" s="99">
        <f t="shared" si="50"/>
        <v>3.9161161468155785E-2</v>
      </c>
      <c r="AH1075" s="10" t="str">
        <f>IFERROR(VLOOKUP(B1075,'Pre-Summary'!$AZ$6:$BE$65,3,FALSE),"")</f>
        <v/>
      </c>
      <c r="AI1075" s="10" t="str">
        <f>IFERROR(VLOOKUP(B1075,'Pre-Summary'!$AZ$6:$BE$65,5,FALSE),"")</f>
        <v/>
      </c>
      <c r="AJ1075" s="10" t="str">
        <f>IFERROR(VLOOKUP(B1075,'Pre-Summary'!$AZ$6:$BE$65,4,FALSE),"")</f>
        <v/>
      </c>
      <c r="AK1075" s="10" t="str">
        <f>IFERROR(VLOOKUP(B1075,'Pre-Summary'!$AZ$6:$BE$65,6,FALSE),"")</f>
        <v/>
      </c>
      <c r="AL1075" s="10" t="str">
        <f>IFERROR(VLOOKUP(B1075,'Pre-Summary'!$BG$6:$BL$44,3,FALSE),"")</f>
        <v/>
      </c>
      <c r="AM1075" s="10" t="str">
        <f>IFERROR(VLOOKUP(B1075,'Pre-Summary'!$BG$6:$BL$44,4,FALSE),"")</f>
        <v/>
      </c>
    </row>
    <row r="1076" spans="2:39" ht="15" customHeight="1" x14ac:dyDescent="0.3">
      <c r="B1076">
        <v>107.3</v>
      </c>
      <c r="C1076" t="str">
        <f>IFERROR(VLOOKUP(B1076,'Pre-Summary'!$DI$6:$DM$23,4,FALSE),"")</f>
        <v/>
      </c>
      <c r="D1076" s="10" t="str">
        <f>IFERROR(VLOOKUP(B1076,'Pre-Summary'!$AT$6:$AX$14,5,FALSE),D1075)</f>
        <v>DSMZ v3: dropped yeast, casitone, and bicarb out of DSMZ 120</v>
      </c>
      <c r="E1076" s="10" t="str">
        <f>IFERROR(VLOOKUP(B1076,'Pre-Summary'!$AT$6:$AX$15,4,FALSE),"")</f>
        <v/>
      </c>
      <c r="F1076">
        <f>IFERROR(VLOOKUP(B1076,'Pre-Summary'!$AL$6:$AQ$13,6,FALSE),F1075)</f>
        <v>4.8389473684210538E-2</v>
      </c>
      <c r="G1076" t="str">
        <f>IFERROR(VLOOKUP(B1076,'Pre-Summary'!$AE$6:$AJ$85,3,FALSE),"")</f>
        <v/>
      </c>
      <c r="H1076" t="str">
        <f>IFERROR(VLOOKUP(B1076,'Pre-Summary'!$AE$6:$AJ$85,4,FALSE),"")</f>
        <v/>
      </c>
      <c r="I1076" t="str">
        <f>IFERROR(VLOOKUP(B1076,'Pre-Summary'!$AE$6:$AJ$85,5,FALSE),"")</f>
        <v/>
      </c>
      <c r="J1076" s="45" t="str">
        <f>IFERROR(VLOOKUP(B1076,'Pre-Summary'!$AE$6:$AJ$85,6, FALSE),"")</f>
        <v/>
      </c>
      <c r="K1076" s="45" t="str">
        <f>IFERROR(VLOOKUP(B1076,'Pre-Summary'!$DE$6:$DG$61,3,FALSE),"")</f>
        <v/>
      </c>
      <c r="L1076" s="45" t="str">
        <f>IFERROR(VLOOKUP(B1076,'Pre-Summary'!$CU$6:$CW$36,3,FALSE),"")</f>
        <v/>
      </c>
      <c r="M1076" s="45" t="str">
        <f>IFERROR(VLOOKUP(B1076,'Pre-Summary'!$BW$6:$BY$58,2,FALSE),"")</f>
        <v/>
      </c>
      <c r="N1076" s="45" t="str">
        <f>IFERROR(VLOOKUP(B1076,'Pre-Summary'!$CD$6:$CF$64,2,FALSE),"")</f>
        <v/>
      </c>
      <c r="O1076" s="99">
        <f>IFERROR(VLOOKUP(B1076,'Pre-Summary'!$BO$6:$BQ$48,3, FALSE),O1075)</f>
        <v>1.2</v>
      </c>
      <c r="P1076" s="99">
        <f>IFERROR(VLOOKUP(B1076,'Pre-Summary'!$BS$6:$BU$35,3,FALSE),P1075)</f>
        <v>0.3</v>
      </c>
      <c r="Q1076" s="54">
        <f t="shared" si="48"/>
        <v>4</v>
      </c>
      <c r="R1076" s="53">
        <f>IFERROR(VLOOKUP(B1076,'Pre-Summary'!$BG$6:$BM$44,7,FALSE),R1077)</f>
        <v>7.6574939085447311E-2</v>
      </c>
      <c r="S1076" s="53">
        <f>IFERROR(VLOOKUP(B1076,'Pre-Summary'!$BG$6:$BM$44,6,FALSE),S1077)</f>
        <v>6.8761751275839902E-2</v>
      </c>
      <c r="T1076" s="45" t="str">
        <f>IFERROR(VLOOKUP(B1076,'Pre-Summary'!$Y$6:$AC$83, 3,FALSE),"")</f>
        <v/>
      </c>
      <c r="U1076" s="45" t="str">
        <f>IFERROR(VLOOKUP(B1076,'Pre-Summary'!$Y$6:$AC$83, 4,FALSE),"")</f>
        <v/>
      </c>
      <c r="V1076" t="str">
        <f>IFERROR(VLOOKUP(B1076,'Pre-Summary'!$Y$6:$AC$83, 5,FALSE),"")</f>
        <v/>
      </c>
      <c r="W1076" s="45" t="str">
        <f>IFERROR(VLOOKUP(B1076,'Pre-Summary'!$Y$6:$AD$83,6,FALSE),"")</f>
        <v/>
      </c>
      <c r="X1076" t="str">
        <f>IFERROR(VLOOKUP('Pre-Summary'!$DB$6:$DD$63,3,FALSE),"")</f>
        <v/>
      </c>
      <c r="Y1076" t="str">
        <f>IFERROR(VLOOKUP(B1076,'Pre-Summary'!$CR$6:$CT$36,3,FALSE),"")</f>
        <v/>
      </c>
      <c r="Z1076" s="45" t="str">
        <f>IFERROR(VLOOKUP(B1076,'Pre-Summary'!$BZ$6:$CB$63,2,FALSE),"")</f>
        <v/>
      </c>
      <c r="AA1076" s="45" t="str">
        <f>IFERROR(VLOOKUP(B1076,'Pre-Summary'!$CG$6:$CI$70,2,FALSE),"")</f>
        <v/>
      </c>
      <c r="AB1076" s="99">
        <f>IFERROR(VLOOKUP(B1076,'Pre-Summary'!$A$6:$P$178,9,FALSE),AB1077)</f>
        <v>0.45533763440924657</v>
      </c>
      <c r="AC1076" s="10">
        <f>IFERROR(VLOOKUP(Summary!B1076,'Pre-Summary'!$A$6:$P$184,5, FALSE)/100,AC1077)</f>
        <v>0.89807866666666669</v>
      </c>
      <c r="AD1076" s="10">
        <f>IFERROR(VLOOKUP(Summary!B1076,'Pre-Summary'!$A$6:$P$184,3, FALSE)/100,AD1077)</f>
        <v>1.5917000000000001E-2</v>
      </c>
      <c r="AE1076" s="10">
        <f>IFERROR(VLOOKUP(Summary!B1076,'Pre-Summary'!$A$6:$P$184,7, FALSE)/100,AE1077)</f>
        <v>8.6004666666666674E-2</v>
      </c>
      <c r="AF1076" s="99">
        <f t="shared" si="49"/>
        <v>7.2476091268919782E-3</v>
      </c>
      <c r="AG1076" s="99">
        <f t="shared" si="50"/>
        <v>3.9161161468155785E-2</v>
      </c>
      <c r="AH1076" s="10" t="str">
        <f>IFERROR(VLOOKUP(B1076,'Pre-Summary'!$AZ$6:$BE$65,3,FALSE),"")</f>
        <v/>
      </c>
      <c r="AI1076" s="10" t="str">
        <f>IFERROR(VLOOKUP(B1076,'Pre-Summary'!$AZ$6:$BE$65,5,FALSE),"")</f>
        <v/>
      </c>
      <c r="AJ1076" s="10" t="str">
        <f>IFERROR(VLOOKUP(B1076,'Pre-Summary'!$AZ$6:$BE$65,4,FALSE),"")</f>
        <v/>
      </c>
      <c r="AK1076" s="10" t="str">
        <f>IFERROR(VLOOKUP(B1076,'Pre-Summary'!$AZ$6:$BE$65,6,FALSE),"")</f>
        <v/>
      </c>
      <c r="AL1076" s="10" t="str">
        <f>IFERROR(VLOOKUP(B1076,'Pre-Summary'!$BG$6:$BL$44,3,FALSE),"")</f>
        <v/>
      </c>
      <c r="AM1076" s="10" t="str">
        <f>IFERROR(VLOOKUP(B1076,'Pre-Summary'!$BG$6:$BL$44,4,FALSE),"")</f>
        <v/>
      </c>
    </row>
    <row r="1077" spans="2:39" ht="15" customHeight="1" x14ac:dyDescent="0.3">
      <c r="B1077">
        <v>107.4</v>
      </c>
      <c r="C1077" t="str">
        <f>IFERROR(VLOOKUP(B1077,'Pre-Summary'!$DI$6:$DM$23,4,FALSE),"")</f>
        <v/>
      </c>
      <c r="D1077" s="10" t="str">
        <f>IFERROR(VLOOKUP(B1077,'Pre-Summary'!$AT$6:$AX$14,5,FALSE),D1076)</f>
        <v>DSMZ v3: dropped yeast, casitone, and bicarb out of DSMZ 120</v>
      </c>
      <c r="E1077" s="10" t="str">
        <f>IFERROR(VLOOKUP(B1077,'Pre-Summary'!$AT$6:$AX$15,4,FALSE),"")</f>
        <v/>
      </c>
      <c r="F1077">
        <f>IFERROR(VLOOKUP(B1077,'Pre-Summary'!$AL$6:$AQ$13,6,FALSE),F1076)</f>
        <v>4.8389473684210538E-2</v>
      </c>
      <c r="G1077" t="str">
        <f>IFERROR(VLOOKUP(B1077,'Pre-Summary'!$AE$6:$AJ$85,3,FALSE),"")</f>
        <v/>
      </c>
      <c r="H1077" t="str">
        <f>IFERROR(VLOOKUP(B1077,'Pre-Summary'!$AE$6:$AJ$85,4,FALSE),"")</f>
        <v/>
      </c>
      <c r="I1077" t="str">
        <f>IFERROR(VLOOKUP(B1077,'Pre-Summary'!$AE$6:$AJ$85,5,FALSE),"")</f>
        <v/>
      </c>
      <c r="J1077" s="45" t="str">
        <f>IFERROR(VLOOKUP(B1077,'Pre-Summary'!$AE$6:$AJ$85,6, FALSE),"")</f>
        <v/>
      </c>
      <c r="K1077" s="45" t="str">
        <f>IFERROR(VLOOKUP(B1077,'Pre-Summary'!$DE$6:$DG$61,3,FALSE),"")</f>
        <v/>
      </c>
      <c r="L1077" s="45" t="str">
        <f>IFERROR(VLOOKUP(B1077,'Pre-Summary'!$CU$6:$CW$36,3,FALSE),"")</f>
        <v/>
      </c>
      <c r="M1077" s="45" t="str">
        <f>IFERROR(VLOOKUP(B1077,'Pre-Summary'!$BW$6:$BY$58,2,FALSE),"")</f>
        <v/>
      </c>
      <c r="N1077" s="45" t="str">
        <f>IFERROR(VLOOKUP(B1077,'Pre-Summary'!$CD$6:$CF$64,2,FALSE),"")</f>
        <v/>
      </c>
      <c r="O1077" s="99">
        <f>IFERROR(VLOOKUP(B1077,'Pre-Summary'!$BO$6:$BQ$48,3, FALSE),O1076)</f>
        <v>1.2</v>
      </c>
      <c r="P1077" s="99">
        <f>IFERROR(VLOOKUP(B1077,'Pre-Summary'!$BS$6:$BU$35,3,FALSE),P1076)</f>
        <v>0.3</v>
      </c>
      <c r="Q1077" s="54">
        <f t="shared" si="48"/>
        <v>4</v>
      </c>
      <c r="R1077" s="53">
        <f>IFERROR(VLOOKUP(B1077,'Pre-Summary'!$BG$6:$BM$44,7,FALSE),R1078)</f>
        <v>7.6574939085447311E-2</v>
      </c>
      <c r="S1077" s="53">
        <f>IFERROR(VLOOKUP(B1077,'Pre-Summary'!$BG$6:$BM$44,6,FALSE),S1078)</f>
        <v>6.8761751275839902E-2</v>
      </c>
      <c r="T1077" s="45" t="str">
        <f>IFERROR(VLOOKUP(B1077,'Pre-Summary'!$Y$6:$AC$83, 3,FALSE),"")</f>
        <v/>
      </c>
      <c r="U1077" s="45" t="str">
        <f>IFERROR(VLOOKUP(B1077,'Pre-Summary'!$Y$6:$AC$83, 4,FALSE),"")</f>
        <v/>
      </c>
      <c r="V1077" t="str">
        <f>IFERROR(VLOOKUP(B1077,'Pre-Summary'!$Y$6:$AC$83, 5,FALSE),"")</f>
        <v/>
      </c>
      <c r="W1077" s="45" t="str">
        <f>IFERROR(VLOOKUP(B1077,'Pre-Summary'!$Y$6:$AD$83,6,FALSE),"")</f>
        <v/>
      </c>
      <c r="X1077" t="str">
        <f>IFERROR(VLOOKUP('Pre-Summary'!$DB$6:$DD$63,3,FALSE),"")</f>
        <v/>
      </c>
      <c r="Y1077" t="str">
        <f>IFERROR(VLOOKUP(B1077,'Pre-Summary'!$CR$6:$CT$36,3,FALSE),"")</f>
        <v/>
      </c>
      <c r="Z1077" s="45" t="str">
        <f>IFERROR(VLOOKUP(B1077,'Pre-Summary'!$BZ$6:$CB$63,2,FALSE),"")</f>
        <v/>
      </c>
      <c r="AA1077" s="45" t="str">
        <f>IFERROR(VLOOKUP(B1077,'Pre-Summary'!$CG$6:$CI$70,2,FALSE),"")</f>
        <v/>
      </c>
      <c r="AB1077" s="99">
        <f>IFERROR(VLOOKUP(B1077,'Pre-Summary'!$A$6:$P$178,9,FALSE),AB1078)</f>
        <v>0.45533763440924657</v>
      </c>
      <c r="AC1077" s="10">
        <f>IFERROR(VLOOKUP(Summary!B1077,'Pre-Summary'!$A$6:$P$184,5, FALSE)/100,AC1078)</f>
        <v>0.89807866666666669</v>
      </c>
      <c r="AD1077" s="10">
        <f>IFERROR(VLOOKUP(Summary!B1077,'Pre-Summary'!$A$6:$P$184,3, FALSE)/100,AD1078)</f>
        <v>1.5917000000000001E-2</v>
      </c>
      <c r="AE1077" s="10">
        <f>IFERROR(VLOOKUP(Summary!B1077,'Pre-Summary'!$A$6:$P$184,7, FALSE)/100,AE1078)</f>
        <v>8.6004666666666674E-2</v>
      </c>
      <c r="AF1077" s="99">
        <f t="shared" si="49"/>
        <v>7.2476091268919782E-3</v>
      </c>
      <c r="AG1077" s="99">
        <f t="shared" si="50"/>
        <v>3.9161161468155785E-2</v>
      </c>
      <c r="AH1077" s="10" t="str">
        <f>IFERROR(VLOOKUP(B1077,'Pre-Summary'!$AZ$6:$BE$65,3,FALSE),"")</f>
        <v/>
      </c>
      <c r="AI1077" s="10" t="str">
        <f>IFERROR(VLOOKUP(B1077,'Pre-Summary'!$AZ$6:$BE$65,5,FALSE),"")</f>
        <v/>
      </c>
      <c r="AJ1077" s="10" t="str">
        <f>IFERROR(VLOOKUP(B1077,'Pre-Summary'!$AZ$6:$BE$65,4,FALSE),"")</f>
        <v/>
      </c>
      <c r="AK1077" s="10" t="str">
        <f>IFERROR(VLOOKUP(B1077,'Pre-Summary'!$AZ$6:$BE$65,6,FALSE),"")</f>
        <v/>
      </c>
      <c r="AL1077" s="10" t="str">
        <f>IFERROR(VLOOKUP(B1077,'Pre-Summary'!$BG$6:$BL$44,3,FALSE),"")</f>
        <v/>
      </c>
      <c r="AM1077" s="10" t="str">
        <f>IFERROR(VLOOKUP(B1077,'Pre-Summary'!$BG$6:$BL$44,4,FALSE),"")</f>
        <v/>
      </c>
    </row>
    <row r="1078" spans="2:39" ht="15" customHeight="1" x14ac:dyDescent="0.3">
      <c r="B1078">
        <v>107.5</v>
      </c>
      <c r="C1078" t="str">
        <f>IFERROR(VLOOKUP(B1078,'Pre-Summary'!$DI$6:$DM$23,4,FALSE),"")</f>
        <v/>
      </c>
      <c r="D1078" s="10" t="str">
        <f>IFERROR(VLOOKUP(B1078,'Pre-Summary'!$AT$6:$AX$14,5,FALSE),D1077)</f>
        <v>DSMZ v3: dropped yeast, casitone, and bicarb out of DSMZ 120</v>
      </c>
      <c r="E1078" s="10" t="str">
        <f>IFERROR(VLOOKUP(B1078,'Pre-Summary'!$AT$6:$AX$15,4,FALSE),"")</f>
        <v/>
      </c>
      <c r="F1078">
        <f>IFERROR(VLOOKUP(B1078,'Pre-Summary'!$AL$6:$AQ$13,6,FALSE),F1077)</f>
        <v>4.8389473684210538E-2</v>
      </c>
      <c r="G1078" t="str">
        <f>IFERROR(VLOOKUP(B1078,'Pre-Summary'!$AE$6:$AJ$85,3,FALSE),"")</f>
        <v/>
      </c>
      <c r="H1078" t="str">
        <f>IFERROR(VLOOKUP(B1078,'Pre-Summary'!$AE$6:$AJ$85,4,FALSE),"")</f>
        <v/>
      </c>
      <c r="I1078" t="str">
        <f>IFERROR(VLOOKUP(B1078,'Pre-Summary'!$AE$6:$AJ$85,5,FALSE),"")</f>
        <v/>
      </c>
      <c r="J1078" s="45" t="str">
        <f>IFERROR(VLOOKUP(B1078,'Pre-Summary'!$AE$6:$AJ$85,6, FALSE),"")</f>
        <v/>
      </c>
      <c r="K1078" s="45" t="str">
        <f>IFERROR(VLOOKUP(B1078,'Pre-Summary'!$DE$6:$DG$61,3,FALSE),"")</f>
        <v/>
      </c>
      <c r="L1078" s="45" t="str">
        <f>IFERROR(VLOOKUP(B1078,'Pre-Summary'!$CU$6:$CW$36,3,FALSE),"")</f>
        <v/>
      </c>
      <c r="M1078" s="45" t="str">
        <f>IFERROR(VLOOKUP(B1078,'Pre-Summary'!$BW$6:$BY$58,2,FALSE),"")</f>
        <v/>
      </c>
      <c r="N1078" s="45" t="str">
        <f>IFERROR(VLOOKUP(B1078,'Pre-Summary'!$CD$6:$CF$64,2,FALSE),"")</f>
        <v/>
      </c>
      <c r="O1078" s="99">
        <f>IFERROR(VLOOKUP(B1078,'Pre-Summary'!$BO$6:$BQ$48,3, FALSE),O1077)</f>
        <v>1.2</v>
      </c>
      <c r="P1078" s="99">
        <f>IFERROR(VLOOKUP(B1078,'Pre-Summary'!$BS$6:$BU$35,3,FALSE),P1077)</f>
        <v>0.3</v>
      </c>
      <c r="Q1078" s="54">
        <f t="shared" si="48"/>
        <v>4</v>
      </c>
      <c r="R1078" s="53">
        <f>IFERROR(VLOOKUP(B1078,'Pre-Summary'!$BG$6:$BM$44,7,FALSE),R1079)</f>
        <v>7.6574939085447311E-2</v>
      </c>
      <c r="S1078" s="53">
        <f>IFERROR(VLOOKUP(B1078,'Pre-Summary'!$BG$6:$BM$44,6,FALSE),S1079)</f>
        <v>6.8761751275839902E-2</v>
      </c>
      <c r="T1078" s="45" t="str">
        <f>IFERROR(VLOOKUP(B1078,'Pre-Summary'!$Y$6:$AC$83, 3,FALSE),"")</f>
        <v/>
      </c>
      <c r="U1078" s="45" t="str">
        <f>IFERROR(VLOOKUP(B1078,'Pre-Summary'!$Y$6:$AC$83, 4,FALSE),"")</f>
        <v/>
      </c>
      <c r="V1078" t="str">
        <f>IFERROR(VLOOKUP(B1078,'Pre-Summary'!$Y$6:$AC$83, 5,FALSE),"")</f>
        <v/>
      </c>
      <c r="W1078" s="45" t="str">
        <f>IFERROR(VLOOKUP(B1078,'Pre-Summary'!$Y$6:$AD$83,6,FALSE),"")</f>
        <v/>
      </c>
      <c r="X1078" t="str">
        <f>IFERROR(VLOOKUP('Pre-Summary'!$DB$6:$DD$63,3,FALSE),"")</f>
        <v/>
      </c>
      <c r="Y1078" t="str">
        <f>IFERROR(VLOOKUP(B1078,'Pre-Summary'!$CR$6:$CT$36,3,FALSE),"")</f>
        <v/>
      </c>
      <c r="Z1078" s="45" t="str">
        <f>IFERROR(VLOOKUP(B1078,'Pre-Summary'!$BZ$6:$CB$63,2,FALSE),"")</f>
        <v/>
      </c>
      <c r="AA1078" s="45" t="str">
        <f>IFERROR(VLOOKUP(B1078,'Pre-Summary'!$CG$6:$CI$70,2,FALSE),"")</f>
        <v/>
      </c>
      <c r="AB1078" s="99">
        <f>IFERROR(VLOOKUP(B1078,'Pre-Summary'!$A$6:$P$178,9,FALSE),AB1079)</f>
        <v>0.45533763440924657</v>
      </c>
      <c r="AC1078" s="10">
        <f>IFERROR(VLOOKUP(Summary!B1078,'Pre-Summary'!$A$6:$P$184,5, FALSE)/100,AC1079)</f>
        <v>0.89807866666666669</v>
      </c>
      <c r="AD1078" s="10">
        <f>IFERROR(VLOOKUP(Summary!B1078,'Pre-Summary'!$A$6:$P$184,3, FALSE)/100,AD1079)</f>
        <v>1.5917000000000001E-2</v>
      </c>
      <c r="AE1078" s="10">
        <f>IFERROR(VLOOKUP(Summary!B1078,'Pre-Summary'!$A$6:$P$184,7, FALSE)/100,AE1079)</f>
        <v>8.6004666666666674E-2</v>
      </c>
      <c r="AF1078" s="99">
        <f t="shared" si="49"/>
        <v>7.2476091268919782E-3</v>
      </c>
      <c r="AG1078" s="99">
        <f t="shared" si="50"/>
        <v>3.9161161468155785E-2</v>
      </c>
      <c r="AH1078" s="10" t="str">
        <f>IFERROR(VLOOKUP(B1078,'Pre-Summary'!$AZ$6:$BE$65,3,FALSE),"")</f>
        <v/>
      </c>
      <c r="AI1078" s="10" t="str">
        <f>IFERROR(VLOOKUP(B1078,'Pre-Summary'!$AZ$6:$BE$65,5,FALSE),"")</f>
        <v/>
      </c>
      <c r="AJ1078" s="10" t="str">
        <f>IFERROR(VLOOKUP(B1078,'Pre-Summary'!$AZ$6:$BE$65,4,FALSE),"")</f>
        <v/>
      </c>
      <c r="AK1078" s="10" t="str">
        <f>IFERROR(VLOOKUP(B1078,'Pre-Summary'!$AZ$6:$BE$65,6,FALSE),"")</f>
        <v/>
      </c>
      <c r="AL1078" s="10" t="str">
        <f>IFERROR(VLOOKUP(B1078,'Pre-Summary'!$BG$6:$BL$44,3,FALSE),"")</f>
        <v/>
      </c>
      <c r="AM1078" s="10" t="str">
        <f>IFERROR(VLOOKUP(B1078,'Pre-Summary'!$BG$6:$BL$44,4,FALSE),"")</f>
        <v/>
      </c>
    </row>
    <row r="1079" spans="2:39" ht="15" customHeight="1" x14ac:dyDescent="0.3">
      <c r="B1079">
        <v>107.6</v>
      </c>
      <c r="C1079" t="str">
        <f>IFERROR(VLOOKUP(B1079,'Pre-Summary'!$DI$6:$DM$23,4,FALSE),"")</f>
        <v/>
      </c>
      <c r="D1079" s="10" t="str">
        <f>IFERROR(VLOOKUP(B1079,'Pre-Summary'!$AT$6:$AX$14,5,FALSE),D1078)</f>
        <v>DSMZ v3: dropped yeast, casitone, and bicarb out of DSMZ 120</v>
      </c>
      <c r="E1079" s="10" t="str">
        <f>IFERROR(VLOOKUP(B1079,'Pre-Summary'!$AT$6:$AX$15,4,FALSE),"")</f>
        <v/>
      </c>
      <c r="F1079">
        <f>IFERROR(VLOOKUP(B1079,'Pre-Summary'!$AL$6:$AQ$13,6,FALSE),F1078)</f>
        <v>4.8389473684210538E-2</v>
      </c>
      <c r="G1079" t="str">
        <f>IFERROR(VLOOKUP(B1079,'Pre-Summary'!$AE$6:$AJ$85,3,FALSE),"")</f>
        <v/>
      </c>
      <c r="H1079" t="str">
        <f>IFERROR(VLOOKUP(B1079,'Pre-Summary'!$AE$6:$AJ$85,4,FALSE),"")</f>
        <v/>
      </c>
      <c r="I1079" t="str">
        <f>IFERROR(VLOOKUP(B1079,'Pre-Summary'!$AE$6:$AJ$85,5,FALSE),"")</f>
        <v/>
      </c>
      <c r="J1079" s="45" t="str">
        <f>IFERROR(VLOOKUP(B1079,'Pre-Summary'!$AE$6:$AJ$85,6, FALSE),"")</f>
        <v/>
      </c>
      <c r="K1079" s="45" t="str">
        <f>IFERROR(VLOOKUP(B1079,'Pre-Summary'!$DE$6:$DG$61,3,FALSE),"")</f>
        <v/>
      </c>
      <c r="L1079" s="45" t="str">
        <f>IFERROR(VLOOKUP(B1079,'Pre-Summary'!$CU$6:$CW$36,3,FALSE),"")</f>
        <v/>
      </c>
      <c r="M1079" s="45" t="str">
        <f>IFERROR(VLOOKUP(B1079,'Pre-Summary'!$BW$6:$BY$58,2,FALSE),"")</f>
        <v/>
      </c>
      <c r="N1079" s="45" t="str">
        <f>IFERROR(VLOOKUP(B1079,'Pre-Summary'!$CD$6:$CF$64,2,FALSE),"")</f>
        <v/>
      </c>
      <c r="O1079" s="99">
        <f>IFERROR(VLOOKUP(B1079,'Pre-Summary'!$BO$6:$BQ$48,3, FALSE),O1078)</f>
        <v>1.2</v>
      </c>
      <c r="P1079" s="99">
        <f>IFERROR(VLOOKUP(B1079,'Pre-Summary'!$BS$6:$BU$35,3,FALSE),P1078)</f>
        <v>0.3</v>
      </c>
      <c r="Q1079" s="54">
        <f t="shared" si="48"/>
        <v>4</v>
      </c>
      <c r="R1079" s="53">
        <f>IFERROR(VLOOKUP(B1079,'Pre-Summary'!$BG$6:$BM$44,7,FALSE),R1080)</f>
        <v>7.6574939085447311E-2</v>
      </c>
      <c r="S1079" s="53">
        <f>IFERROR(VLOOKUP(B1079,'Pre-Summary'!$BG$6:$BM$44,6,FALSE),S1080)</f>
        <v>6.8761751275839902E-2</v>
      </c>
      <c r="T1079" s="45" t="str">
        <f>IFERROR(VLOOKUP(B1079,'Pre-Summary'!$Y$6:$AC$83, 3,FALSE),"")</f>
        <v/>
      </c>
      <c r="U1079" s="45" t="str">
        <f>IFERROR(VLOOKUP(B1079,'Pre-Summary'!$Y$6:$AC$83, 4,FALSE),"")</f>
        <v/>
      </c>
      <c r="V1079" t="str">
        <f>IFERROR(VLOOKUP(B1079,'Pre-Summary'!$Y$6:$AC$83, 5,FALSE),"")</f>
        <v/>
      </c>
      <c r="W1079" s="45" t="str">
        <f>IFERROR(VLOOKUP(B1079,'Pre-Summary'!$Y$6:$AD$83,6,FALSE),"")</f>
        <v/>
      </c>
      <c r="X1079" t="str">
        <f>IFERROR(VLOOKUP('Pre-Summary'!$DB$6:$DD$63,3,FALSE),"")</f>
        <v/>
      </c>
      <c r="Y1079" t="str">
        <f>IFERROR(VLOOKUP(B1079,'Pre-Summary'!$CR$6:$CT$36,3,FALSE),"")</f>
        <v/>
      </c>
      <c r="Z1079" s="45" t="str">
        <f>IFERROR(VLOOKUP(B1079,'Pre-Summary'!$BZ$6:$CB$63,2,FALSE),"")</f>
        <v/>
      </c>
      <c r="AA1079" s="45" t="str">
        <f>IFERROR(VLOOKUP(B1079,'Pre-Summary'!$CG$6:$CI$70,2,FALSE),"")</f>
        <v/>
      </c>
      <c r="AB1079" s="99">
        <f>IFERROR(VLOOKUP(B1079,'Pre-Summary'!$A$6:$P$178,9,FALSE),AB1080)</f>
        <v>0.45533763440924657</v>
      </c>
      <c r="AC1079" s="10">
        <f>IFERROR(VLOOKUP(Summary!B1079,'Pre-Summary'!$A$6:$P$184,5, FALSE)/100,AC1080)</f>
        <v>0.89807866666666669</v>
      </c>
      <c r="AD1079" s="10">
        <f>IFERROR(VLOOKUP(Summary!B1079,'Pre-Summary'!$A$6:$P$184,3, FALSE)/100,AD1080)</f>
        <v>1.5917000000000001E-2</v>
      </c>
      <c r="AE1079" s="10">
        <f>IFERROR(VLOOKUP(Summary!B1079,'Pre-Summary'!$A$6:$P$184,7, FALSE)/100,AE1080)</f>
        <v>8.6004666666666674E-2</v>
      </c>
      <c r="AF1079" s="99">
        <f t="shared" si="49"/>
        <v>7.2476091268919782E-3</v>
      </c>
      <c r="AG1079" s="99">
        <f t="shared" si="50"/>
        <v>3.9161161468155785E-2</v>
      </c>
      <c r="AH1079" s="10" t="str">
        <f>IFERROR(VLOOKUP(B1079,'Pre-Summary'!$AZ$6:$BE$65,3,FALSE),"")</f>
        <v/>
      </c>
      <c r="AI1079" s="10" t="str">
        <f>IFERROR(VLOOKUP(B1079,'Pre-Summary'!$AZ$6:$BE$65,5,FALSE),"")</f>
        <v/>
      </c>
      <c r="AJ1079" s="10" t="str">
        <f>IFERROR(VLOOKUP(B1079,'Pre-Summary'!$AZ$6:$BE$65,4,FALSE),"")</f>
        <v/>
      </c>
      <c r="AK1079" s="10" t="str">
        <f>IFERROR(VLOOKUP(B1079,'Pre-Summary'!$AZ$6:$BE$65,6,FALSE),"")</f>
        <v/>
      </c>
      <c r="AL1079" s="10" t="str">
        <f>IFERROR(VLOOKUP(B1079,'Pre-Summary'!$BG$6:$BL$44,3,FALSE),"")</f>
        <v/>
      </c>
      <c r="AM1079" s="10" t="str">
        <f>IFERROR(VLOOKUP(B1079,'Pre-Summary'!$BG$6:$BL$44,4,FALSE),"")</f>
        <v/>
      </c>
    </row>
    <row r="1080" spans="2:39" ht="15" customHeight="1" x14ac:dyDescent="0.3">
      <c r="B1080">
        <v>107.7</v>
      </c>
      <c r="C1080" t="str">
        <f>IFERROR(VLOOKUP(B1080,'Pre-Summary'!$DI$6:$DM$23,4,FALSE),"")</f>
        <v/>
      </c>
      <c r="D1080" s="10" t="str">
        <f>IFERROR(VLOOKUP(B1080,'Pre-Summary'!$AT$6:$AX$14,5,FALSE),D1079)</f>
        <v>DSMZ v3: dropped yeast, casitone, and bicarb out of DSMZ 120</v>
      </c>
      <c r="E1080" s="10" t="str">
        <f>IFERROR(VLOOKUP(B1080,'Pre-Summary'!$AT$6:$AX$15,4,FALSE),"")</f>
        <v/>
      </c>
      <c r="F1080">
        <f>IFERROR(VLOOKUP(B1080,'Pre-Summary'!$AL$6:$AQ$13,6,FALSE),F1079)</f>
        <v>4.8389473684210538E-2</v>
      </c>
      <c r="G1080" t="str">
        <f>IFERROR(VLOOKUP(B1080,'Pre-Summary'!$AE$6:$AJ$85,3,FALSE),"")</f>
        <v/>
      </c>
      <c r="H1080" t="str">
        <f>IFERROR(VLOOKUP(B1080,'Pre-Summary'!$AE$6:$AJ$85,4,FALSE),"")</f>
        <v/>
      </c>
      <c r="I1080" t="str">
        <f>IFERROR(VLOOKUP(B1080,'Pre-Summary'!$AE$6:$AJ$85,5,FALSE),"")</f>
        <v/>
      </c>
      <c r="J1080" s="45" t="str">
        <f>IFERROR(VLOOKUP(B1080,'Pre-Summary'!$AE$6:$AJ$85,6, FALSE),"")</f>
        <v/>
      </c>
      <c r="K1080" s="45" t="str">
        <f>IFERROR(VLOOKUP(B1080,'Pre-Summary'!$DE$6:$DG$61,3,FALSE),"")</f>
        <v/>
      </c>
      <c r="L1080" s="45" t="str">
        <f>IFERROR(VLOOKUP(B1080,'Pre-Summary'!$CU$6:$CW$36,3,FALSE),"")</f>
        <v/>
      </c>
      <c r="M1080" s="45" t="str">
        <f>IFERROR(VLOOKUP(B1080,'Pre-Summary'!$BW$6:$BY$58,2,FALSE),"")</f>
        <v/>
      </c>
      <c r="N1080" s="45" t="str">
        <f>IFERROR(VLOOKUP(B1080,'Pre-Summary'!$CD$6:$CF$64,2,FALSE),"")</f>
        <v/>
      </c>
      <c r="O1080" s="99">
        <f>IFERROR(VLOOKUP(B1080,'Pre-Summary'!$BO$6:$BQ$48,3, FALSE),O1079)</f>
        <v>1.2</v>
      </c>
      <c r="P1080" s="99">
        <f>IFERROR(VLOOKUP(B1080,'Pre-Summary'!$BS$6:$BU$35,3,FALSE),P1079)</f>
        <v>0.3</v>
      </c>
      <c r="Q1080" s="54">
        <f t="shared" si="48"/>
        <v>4</v>
      </c>
      <c r="R1080" s="53">
        <f>IFERROR(VLOOKUP(B1080,'Pre-Summary'!$BG$6:$BM$44,7,FALSE),R1081)</f>
        <v>7.6574939085447311E-2</v>
      </c>
      <c r="S1080" s="53">
        <f>IFERROR(VLOOKUP(B1080,'Pre-Summary'!$BG$6:$BM$44,6,FALSE),S1081)</f>
        <v>6.8761751275839902E-2</v>
      </c>
      <c r="T1080" s="45" t="str">
        <f>IFERROR(VLOOKUP(B1080,'Pre-Summary'!$Y$6:$AC$83, 3,FALSE),"")</f>
        <v/>
      </c>
      <c r="U1080" s="45" t="str">
        <f>IFERROR(VLOOKUP(B1080,'Pre-Summary'!$Y$6:$AC$83, 4,FALSE),"")</f>
        <v/>
      </c>
      <c r="V1080" t="str">
        <f>IFERROR(VLOOKUP(B1080,'Pre-Summary'!$Y$6:$AC$83, 5,FALSE),"")</f>
        <v/>
      </c>
      <c r="W1080" s="45" t="str">
        <f>IFERROR(VLOOKUP(B1080,'Pre-Summary'!$Y$6:$AD$83,6,FALSE),"")</f>
        <v/>
      </c>
      <c r="X1080" t="str">
        <f>IFERROR(VLOOKUP('Pre-Summary'!$DB$6:$DD$63,3,FALSE),"")</f>
        <v/>
      </c>
      <c r="Y1080" t="str">
        <f>IFERROR(VLOOKUP(B1080,'Pre-Summary'!$CR$6:$CT$36,3,FALSE),"")</f>
        <v/>
      </c>
      <c r="Z1080" s="45" t="str">
        <f>IFERROR(VLOOKUP(B1080,'Pre-Summary'!$BZ$6:$CB$63,2,FALSE),"")</f>
        <v/>
      </c>
      <c r="AA1080" s="45" t="str">
        <f>IFERROR(VLOOKUP(B1080,'Pre-Summary'!$CG$6:$CI$70,2,FALSE),"")</f>
        <v/>
      </c>
      <c r="AB1080" s="99">
        <f>IFERROR(VLOOKUP(B1080,'Pre-Summary'!$A$6:$P$178,9,FALSE),AB1081)</f>
        <v>0.45533763440924657</v>
      </c>
      <c r="AC1080" s="10">
        <f>IFERROR(VLOOKUP(Summary!B1080,'Pre-Summary'!$A$6:$P$184,5, FALSE)/100,AC1081)</f>
        <v>0.89807866666666669</v>
      </c>
      <c r="AD1080" s="10">
        <f>IFERROR(VLOOKUP(Summary!B1080,'Pre-Summary'!$A$6:$P$184,3, FALSE)/100,AD1081)</f>
        <v>1.5917000000000001E-2</v>
      </c>
      <c r="AE1080" s="10">
        <f>IFERROR(VLOOKUP(Summary!B1080,'Pre-Summary'!$A$6:$P$184,7, FALSE)/100,AE1081)</f>
        <v>8.6004666666666674E-2</v>
      </c>
      <c r="AF1080" s="99">
        <f t="shared" si="49"/>
        <v>7.2476091268919782E-3</v>
      </c>
      <c r="AG1080" s="99">
        <f t="shared" si="50"/>
        <v>3.9161161468155785E-2</v>
      </c>
      <c r="AH1080" s="10" t="str">
        <f>IFERROR(VLOOKUP(B1080,'Pre-Summary'!$AZ$6:$BE$65,3,FALSE),"")</f>
        <v/>
      </c>
      <c r="AI1080" s="10" t="str">
        <f>IFERROR(VLOOKUP(B1080,'Pre-Summary'!$AZ$6:$BE$65,5,FALSE),"")</f>
        <v/>
      </c>
      <c r="AJ1080" s="10" t="str">
        <f>IFERROR(VLOOKUP(B1080,'Pre-Summary'!$AZ$6:$BE$65,4,FALSE),"")</f>
        <v/>
      </c>
      <c r="AK1080" s="10" t="str">
        <f>IFERROR(VLOOKUP(B1080,'Pre-Summary'!$AZ$6:$BE$65,6,FALSE),"")</f>
        <v/>
      </c>
      <c r="AL1080" s="10" t="str">
        <f>IFERROR(VLOOKUP(B1080,'Pre-Summary'!$BG$6:$BL$44,3,FALSE),"")</f>
        <v/>
      </c>
      <c r="AM1080" s="10" t="str">
        <f>IFERROR(VLOOKUP(B1080,'Pre-Summary'!$BG$6:$BL$44,4,FALSE),"")</f>
        <v/>
      </c>
    </row>
    <row r="1081" spans="2:39" ht="15" customHeight="1" x14ac:dyDescent="0.3">
      <c r="B1081">
        <v>107.8</v>
      </c>
      <c r="C1081" t="str">
        <f>IFERROR(VLOOKUP(B1081,'Pre-Summary'!$DI$6:$DM$23,4,FALSE),"")</f>
        <v/>
      </c>
      <c r="D1081" s="10" t="str">
        <f>IFERROR(VLOOKUP(B1081,'Pre-Summary'!$AT$6:$AX$14,5,FALSE),D1080)</f>
        <v>DSMZ v3: dropped yeast, casitone, and bicarb out of DSMZ 120</v>
      </c>
      <c r="E1081" s="10" t="str">
        <f>IFERROR(VLOOKUP(B1081,'Pre-Summary'!$AT$6:$AX$15,4,FALSE),"")</f>
        <v/>
      </c>
      <c r="F1081">
        <f>IFERROR(VLOOKUP(B1081,'Pre-Summary'!$AL$6:$AQ$13,6,FALSE),F1080)</f>
        <v>4.8389473684210538E-2</v>
      </c>
      <c r="G1081" t="str">
        <f>IFERROR(VLOOKUP(B1081,'Pre-Summary'!$AE$6:$AJ$85,3,FALSE),"")</f>
        <v/>
      </c>
      <c r="H1081" t="str">
        <f>IFERROR(VLOOKUP(B1081,'Pre-Summary'!$AE$6:$AJ$85,4,FALSE),"")</f>
        <v/>
      </c>
      <c r="I1081" t="str">
        <f>IFERROR(VLOOKUP(B1081,'Pre-Summary'!$AE$6:$AJ$85,5,FALSE),"")</f>
        <v/>
      </c>
      <c r="J1081" s="45" t="str">
        <f>IFERROR(VLOOKUP(B1081,'Pre-Summary'!$AE$6:$AJ$85,6, FALSE),"")</f>
        <v/>
      </c>
      <c r="K1081" s="45" t="str">
        <f>IFERROR(VLOOKUP(B1081,'Pre-Summary'!$DE$6:$DG$61,3,FALSE),"")</f>
        <v/>
      </c>
      <c r="L1081" s="45" t="str">
        <f>IFERROR(VLOOKUP(B1081,'Pre-Summary'!$CU$6:$CW$36,3,FALSE),"")</f>
        <v/>
      </c>
      <c r="M1081" s="45" t="str">
        <f>IFERROR(VLOOKUP(B1081,'Pre-Summary'!$BW$6:$BY$58,2,FALSE),"")</f>
        <v/>
      </c>
      <c r="N1081" s="45" t="str">
        <f>IFERROR(VLOOKUP(B1081,'Pre-Summary'!$CD$6:$CF$64,2,FALSE),"")</f>
        <v/>
      </c>
      <c r="O1081" s="99">
        <f>IFERROR(VLOOKUP(B1081,'Pre-Summary'!$BO$6:$BQ$48,3, FALSE),O1080)</f>
        <v>1.2</v>
      </c>
      <c r="P1081" s="99">
        <f>IFERROR(VLOOKUP(B1081,'Pre-Summary'!$BS$6:$BU$35,3,FALSE),P1080)</f>
        <v>0.3</v>
      </c>
      <c r="Q1081" s="54">
        <f t="shared" si="48"/>
        <v>4</v>
      </c>
      <c r="R1081" s="53">
        <f>IFERROR(VLOOKUP(B1081,'Pre-Summary'!$BG$6:$BM$44,7,FALSE),R1082)</f>
        <v>7.6574939085447311E-2</v>
      </c>
      <c r="S1081" s="53">
        <f>IFERROR(VLOOKUP(B1081,'Pre-Summary'!$BG$6:$BM$44,6,FALSE),S1082)</f>
        <v>6.8761751275839902E-2</v>
      </c>
      <c r="T1081" s="45" t="str">
        <f>IFERROR(VLOOKUP(B1081,'Pre-Summary'!$Y$6:$AC$83, 3,FALSE),"")</f>
        <v/>
      </c>
      <c r="U1081" s="45" t="str">
        <f>IFERROR(VLOOKUP(B1081,'Pre-Summary'!$Y$6:$AC$83, 4,FALSE),"")</f>
        <v/>
      </c>
      <c r="V1081" t="str">
        <f>IFERROR(VLOOKUP(B1081,'Pre-Summary'!$Y$6:$AC$83, 5,FALSE),"")</f>
        <v/>
      </c>
      <c r="W1081" s="45" t="str">
        <f>IFERROR(VLOOKUP(B1081,'Pre-Summary'!$Y$6:$AD$83,6,FALSE),"")</f>
        <v/>
      </c>
      <c r="X1081" t="str">
        <f>IFERROR(VLOOKUP('Pre-Summary'!$DB$6:$DD$63,3,FALSE),"")</f>
        <v/>
      </c>
      <c r="Y1081" t="str">
        <f>IFERROR(VLOOKUP(B1081,'Pre-Summary'!$CR$6:$CT$36,3,FALSE),"")</f>
        <v/>
      </c>
      <c r="Z1081" s="45" t="str">
        <f>IFERROR(VLOOKUP(B1081,'Pre-Summary'!$BZ$6:$CB$63,2,FALSE),"")</f>
        <v/>
      </c>
      <c r="AA1081" s="45" t="str">
        <f>IFERROR(VLOOKUP(B1081,'Pre-Summary'!$CG$6:$CI$70,2,FALSE),"")</f>
        <v/>
      </c>
      <c r="AB1081" s="99">
        <f>IFERROR(VLOOKUP(B1081,'Pre-Summary'!$A$6:$P$178,9,FALSE),AB1082)</f>
        <v>0.45533763440924657</v>
      </c>
      <c r="AC1081" s="10">
        <f>IFERROR(VLOOKUP(Summary!B1081,'Pre-Summary'!$A$6:$P$184,5, FALSE)/100,AC1082)</f>
        <v>0.89807866666666669</v>
      </c>
      <c r="AD1081" s="10">
        <f>IFERROR(VLOOKUP(Summary!B1081,'Pre-Summary'!$A$6:$P$184,3, FALSE)/100,AD1082)</f>
        <v>1.5917000000000001E-2</v>
      </c>
      <c r="AE1081" s="10">
        <f>IFERROR(VLOOKUP(Summary!B1081,'Pre-Summary'!$A$6:$P$184,7, FALSE)/100,AE1082)</f>
        <v>8.6004666666666674E-2</v>
      </c>
      <c r="AF1081" s="99">
        <f t="shared" si="49"/>
        <v>7.2476091268919782E-3</v>
      </c>
      <c r="AG1081" s="99">
        <f t="shared" si="50"/>
        <v>3.9161161468155785E-2</v>
      </c>
      <c r="AH1081" s="10" t="str">
        <f>IFERROR(VLOOKUP(B1081,'Pre-Summary'!$AZ$6:$BE$65,3,FALSE),"")</f>
        <v/>
      </c>
      <c r="AI1081" s="10" t="str">
        <f>IFERROR(VLOOKUP(B1081,'Pre-Summary'!$AZ$6:$BE$65,5,FALSE),"")</f>
        <v/>
      </c>
      <c r="AJ1081" s="10" t="str">
        <f>IFERROR(VLOOKUP(B1081,'Pre-Summary'!$AZ$6:$BE$65,4,FALSE),"")</f>
        <v/>
      </c>
      <c r="AK1081" s="10" t="str">
        <f>IFERROR(VLOOKUP(B1081,'Pre-Summary'!$AZ$6:$BE$65,6,FALSE),"")</f>
        <v/>
      </c>
      <c r="AL1081" s="10" t="str">
        <f>IFERROR(VLOOKUP(B1081,'Pre-Summary'!$BG$6:$BL$44,3,FALSE),"")</f>
        <v/>
      </c>
      <c r="AM1081" s="10" t="str">
        <f>IFERROR(VLOOKUP(B1081,'Pre-Summary'!$BG$6:$BL$44,4,FALSE),"")</f>
        <v/>
      </c>
    </row>
    <row r="1082" spans="2:39" ht="15" customHeight="1" x14ac:dyDescent="0.3">
      <c r="B1082">
        <v>107.9</v>
      </c>
      <c r="C1082" t="str">
        <f>IFERROR(VLOOKUP(B1082,'Pre-Summary'!$DI$6:$DM$23,4,FALSE),"")</f>
        <v/>
      </c>
      <c r="D1082" s="10" t="str">
        <f>IFERROR(VLOOKUP(B1082,'Pre-Summary'!$AT$6:$AX$14,5,FALSE),D1081)</f>
        <v>DSMZ v3: dropped yeast, casitone, and bicarb out of DSMZ 120</v>
      </c>
      <c r="E1082" s="10" t="str">
        <f>IFERROR(VLOOKUP(B1082,'Pre-Summary'!$AT$6:$AX$15,4,FALSE),"")</f>
        <v/>
      </c>
      <c r="F1082">
        <f>IFERROR(VLOOKUP(B1082,'Pre-Summary'!$AL$6:$AQ$13,6,FALSE),F1081)</f>
        <v>4.8389473684210538E-2</v>
      </c>
      <c r="G1082" t="str">
        <f>IFERROR(VLOOKUP(B1082,'Pre-Summary'!$AE$6:$AJ$85,3,FALSE),"")</f>
        <v/>
      </c>
      <c r="H1082" t="str">
        <f>IFERROR(VLOOKUP(B1082,'Pre-Summary'!$AE$6:$AJ$85,4,FALSE),"")</f>
        <v/>
      </c>
      <c r="I1082" t="str">
        <f>IFERROR(VLOOKUP(B1082,'Pre-Summary'!$AE$6:$AJ$85,5,FALSE),"")</f>
        <v/>
      </c>
      <c r="J1082" s="45" t="str">
        <f>IFERROR(VLOOKUP(B1082,'Pre-Summary'!$AE$6:$AJ$85,6, FALSE),"")</f>
        <v/>
      </c>
      <c r="K1082" s="45" t="str">
        <f>IFERROR(VLOOKUP(B1082,'Pre-Summary'!$DE$6:$DG$61,3,FALSE),"")</f>
        <v/>
      </c>
      <c r="L1082" s="45" t="str">
        <f>IFERROR(VLOOKUP(B1082,'Pre-Summary'!$CU$6:$CW$36,3,FALSE),"")</f>
        <v/>
      </c>
      <c r="M1082" s="45" t="str">
        <f>IFERROR(VLOOKUP(B1082,'Pre-Summary'!$BW$6:$BY$58,2,FALSE),"")</f>
        <v/>
      </c>
      <c r="N1082" s="45" t="str">
        <f>IFERROR(VLOOKUP(B1082,'Pre-Summary'!$CD$6:$CF$64,2,FALSE),"")</f>
        <v/>
      </c>
      <c r="O1082" s="99">
        <f>IFERROR(VLOOKUP(B1082,'Pre-Summary'!$BO$6:$BQ$48,3, FALSE),O1081)</f>
        <v>1.2</v>
      </c>
      <c r="P1082" s="99">
        <f>IFERROR(VLOOKUP(B1082,'Pre-Summary'!$BS$6:$BU$35,3,FALSE),P1081)</f>
        <v>0.3</v>
      </c>
      <c r="Q1082" s="54">
        <f t="shared" si="48"/>
        <v>4</v>
      </c>
      <c r="R1082" s="53">
        <f>IFERROR(VLOOKUP(B1082,'Pre-Summary'!$BG$6:$BM$44,7,FALSE),R1083)</f>
        <v>7.6574939085447311E-2</v>
      </c>
      <c r="S1082" s="53">
        <f>IFERROR(VLOOKUP(B1082,'Pre-Summary'!$BG$6:$BM$44,6,FALSE),S1083)</f>
        <v>6.8761751275839902E-2</v>
      </c>
      <c r="T1082" s="45" t="str">
        <f>IFERROR(VLOOKUP(B1082,'Pre-Summary'!$Y$6:$AC$83, 3,FALSE),"")</f>
        <v/>
      </c>
      <c r="U1082" s="45" t="str">
        <f>IFERROR(VLOOKUP(B1082,'Pre-Summary'!$Y$6:$AC$83, 4,FALSE),"")</f>
        <v/>
      </c>
      <c r="V1082" t="str">
        <f>IFERROR(VLOOKUP(B1082,'Pre-Summary'!$Y$6:$AC$83, 5,FALSE),"")</f>
        <v/>
      </c>
      <c r="W1082" s="45" t="str">
        <f>IFERROR(VLOOKUP(B1082,'Pre-Summary'!$Y$6:$AD$83,6,FALSE),"")</f>
        <v/>
      </c>
      <c r="X1082" t="str">
        <f>IFERROR(VLOOKUP('Pre-Summary'!$DB$6:$DD$63,3,FALSE),"")</f>
        <v/>
      </c>
      <c r="Y1082" t="str">
        <f>IFERROR(VLOOKUP(B1082,'Pre-Summary'!$CR$6:$CT$36,3,FALSE),"")</f>
        <v/>
      </c>
      <c r="Z1082" s="45" t="str">
        <f>IFERROR(VLOOKUP(B1082,'Pre-Summary'!$BZ$6:$CB$63,2,FALSE),"")</f>
        <v/>
      </c>
      <c r="AA1082" s="45" t="str">
        <f>IFERROR(VLOOKUP(B1082,'Pre-Summary'!$CG$6:$CI$70,2,FALSE),"")</f>
        <v/>
      </c>
      <c r="AB1082" s="99">
        <f>IFERROR(VLOOKUP(B1082,'Pre-Summary'!$A$6:$P$178,9,FALSE),AB1083)</f>
        <v>0.45533763440924657</v>
      </c>
      <c r="AC1082" s="10">
        <f>IFERROR(VLOOKUP(Summary!B1082,'Pre-Summary'!$A$6:$P$184,5, FALSE)/100,AC1083)</f>
        <v>0.89807866666666669</v>
      </c>
      <c r="AD1082" s="10">
        <f>IFERROR(VLOOKUP(Summary!B1082,'Pre-Summary'!$A$6:$P$184,3, FALSE)/100,AD1083)</f>
        <v>1.5917000000000001E-2</v>
      </c>
      <c r="AE1082" s="10">
        <f>IFERROR(VLOOKUP(Summary!B1082,'Pre-Summary'!$A$6:$P$184,7, FALSE)/100,AE1083)</f>
        <v>8.6004666666666674E-2</v>
      </c>
      <c r="AF1082" s="99">
        <f t="shared" si="49"/>
        <v>7.2476091268919782E-3</v>
      </c>
      <c r="AG1082" s="99">
        <f t="shared" si="50"/>
        <v>3.9161161468155785E-2</v>
      </c>
      <c r="AH1082" s="10" t="str">
        <f>IFERROR(VLOOKUP(B1082,'Pre-Summary'!$AZ$6:$BE$65,3,FALSE),"")</f>
        <v/>
      </c>
      <c r="AI1082" s="10" t="str">
        <f>IFERROR(VLOOKUP(B1082,'Pre-Summary'!$AZ$6:$BE$65,5,FALSE),"")</f>
        <v/>
      </c>
      <c r="AJ1082" s="10" t="str">
        <f>IFERROR(VLOOKUP(B1082,'Pre-Summary'!$AZ$6:$BE$65,4,FALSE),"")</f>
        <v/>
      </c>
      <c r="AK1082" s="10" t="str">
        <f>IFERROR(VLOOKUP(B1082,'Pre-Summary'!$AZ$6:$BE$65,6,FALSE),"")</f>
        <v/>
      </c>
      <c r="AL1082" s="10" t="str">
        <f>IFERROR(VLOOKUP(B1082,'Pre-Summary'!$BG$6:$BL$44,3,FALSE),"")</f>
        <v/>
      </c>
      <c r="AM1082" s="10" t="str">
        <f>IFERROR(VLOOKUP(B1082,'Pre-Summary'!$BG$6:$BL$44,4,FALSE),"")</f>
        <v/>
      </c>
    </row>
    <row r="1083" spans="2:39" ht="15" customHeight="1" x14ac:dyDescent="0.3">
      <c r="B1083">
        <v>108</v>
      </c>
      <c r="C1083" t="str">
        <f>IFERROR(VLOOKUP(B1083,'Pre-Summary'!$DI$6:$DM$23,4,FALSE),"")</f>
        <v/>
      </c>
      <c r="D1083" s="10" t="str">
        <f>IFERROR(VLOOKUP(B1083,'Pre-Summary'!$AT$6:$AX$14,5,FALSE),D1082)</f>
        <v>DSMZ v4: dropped out methanol</v>
      </c>
      <c r="E1083" s="10">
        <f>IFERROR(VLOOKUP(B1083,'Pre-Summary'!$AT$6:$AX$15,4,FALSE),"")</f>
        <v>1</v>
      </c>
      <c r="F1083">
        <f>IFERROR(VLOOKUP(B1083,'Pre-Summary'!$AL$6:$AQ$13,6,FALSE),F1082)</f>
        <v>5.9405263157894746E-2</v>
      </c>
      <c r="G1083">
        <f>IFERROR(VLOOKUP(B1083,'Pre-Summary'!$AE$6:$AJ$85,3,FALSE),"")</f>
        <v>11.53</v>
      </c>
      <c r="H1083" t="str">
        <f>IFERROR(VLOOKUP(B1083,'Pre-Summary'!$AE$6:$AJ$85,4,FALSE),"")</f>
        <v/>
      </c>
      <c r="I1083">
        <f>IFERROR(VLOOKUP(B1083,'Pre-Summary'!$AE$6:$AJ$85,5,FALSE),"")</f>
        <v>0</v>
      </c>
      <c r="J1083" s="45">
        <f>IFERROR(VLOOKUP(B1083,'Pre-Summary'!$AE$6:$AJ$85,6, FALSE),"")</f>
        <v>12.302509999999998</v>
      </c>
      <c r="K1083" s="45" t="str">
        <f>IFERROR(VLOOKUP(B1083,'Pre-Summary'!$DE$6:$DG$61,3,FALSE),"")</f>
        <v/>
      </c>
      <c r="L1083" s="45" t="str">
        <f>IFERROR(VLOOKUP(B1083,'Pre-Summary'!$CU$6:$CW$36,3,FALSE),"")</f>
        <v/>
      </c>
      <c r="M1083" s="45" t="str">
        <f>IFERROR(VLOOKUP(B1083,'Pre-Summary'!$BW$6:$BY$58,2,FALSE),"")</f>
        <v/>
      </c>
      <c r="N1083" s="45" t="str">
        <f>IFERROR(VLOOKUP(B1083,'Pre-Summary'!$CD$6:$CF$64,2,FALSE),"")</f>
        <v/>
      </c>
      <c r="O1083" s="99">
        <f>IFERROR(VLOOKUP(B1083,'Pre-Summary'!$BO$6:$BQ$48,3, FALSE),O1082)</f>
        <v>1.2</v>
      </c>
      <c r="P1083" s="99">
        <f>IFERROR(VLOOKUP(B1083,'Pre-Summary'!$BS$6:$BU$35,3,FALSE),P1082)</f>
        <v>0.3</v>
      </c>
      <c r="Q1083" s="54">
        <f t="shared" si="48"/>
        <v>4</v>
      </c>
      <c r="R1083" s="53">
        <f>IFERROR(VLOOKUP(B1083,'Pre-Summary'!$BG$6:$BM$44,7,FALSE),R1084)</f>
        <v>7.6574939085447311E-2</v>
      </c>
      <c r="S1083" s="53">
        <f>IFERROR(VLOOKUP(B1083,'Pre-Summary'!$BG$6:$BM$44,6,FALSE),S1084)</f>
        <v>6.8761751275839902E-2</v>
      </c>
      <c r="T1083" s="45" t="str">
        <f>IFERROR(VLOOKUP(B1083,'Pre-Summary'!$Y$6:$AC$83, 3,FALSE),"")</f>
        <v/>
      </c>
      <c r="U1083" s="45" t="str">
        <f>IFERROR(VLOOKUP(B1083,'Pre-Summary'!$Y$6:$AC$83, 4,FALSE),"")</f>
        <v/>
      </c>
      <c r="V1083" t="str">
        <f>IFERROR(VLOOKUP(B1083,'Pre-Summary'!$Y$6:$AC$83, 5,FALSE),"")</f>
        <v/>
      </c>
      <c r="W1083" s="45" t="str">
        <f>IFERROR(VLOOKUP(B1083,'Pre-Summary'!$Y$6:$AD$83,6,FALSE),"")</f>
        <v/>
      </c>
      <c r="X1083" t="str">
        <f>IFERROR(VLOOKUP('Pre-Summary'!$DB$6:$DD$63,3,FALSE),"")</f>
        <v/>
      </c>
      <c r="Y1083" t="str">
        <f>IFERROR(VLOOKUP(B1083,'Pre-Summary'!$CR$6:$CT$36,3,FALSE),"")</f>
        <v/>
      </c>
      <c r="Z1083" s="45" t="str">
        <f>IFERROR(VLOOKUP(B1083,'Pre-Summary'!$BZ$6:$CB$63,2,FALSE),"")</f>
        <v/>
      </c>
      <c r="AA1083" s="45" t="str">
        <f>IFERROR(VLOOKUP(B1083,'Pre-Summary'!$CG$6:$CI$70,2,FALSE),"")</f>
        <v/>
      </c>
      <c r="AB1083" s="99">
        <f>IFERROR(VLOOKUP(B1083,'Pre-Summary'!$A$6:$P$178,9,FALSE),AB1084)</f>
        <v>0.45533763440924657</v>
      </c>
      <c r="AC1083" s="10">
        <f>IFERROR(VLOOKUP(Summary!B1083,'Pre-Summary'!$A$6:$P$184,5, FALSE)/100,AC1084)</f>
        <v>0.89807866666666669</v>
      </c>
      <c r="AD1083" s="10">
        <f>IFERROR(VLOOKUP(Summary!B1083,'Pre-Summary'!$A$6:$P$184,3, FALSE)/100,AD1084)</f>
        <v>1.5917000000000001E-2</v>
      </c>
      <c r="AE1083" s="10">
        <f>IFERROR(VLOOKUP(Summary!B1083,'Pre-Summary'!$A$6:$P$184,7, FALSE)/100,AE1084)</f>
        <v>8.6004666666666674E-2</v>
      </c>
      <c r="AF1083" s="99">
        <f t="shared" si="49"/>
        <v>7.2476091268919782E-3</v>
      </c>
      <c r="AG1083" s="99">
        <f t="shared" si="50"/>
        <v>3.9161161468155785E-2</v>
      </c>
      <c r="AH1083" s="10" t="str">
        <f>IFERROR(VLOOKUP(B1083,'Pre-Summary'!$AZ$6:$BE$65,3,FALSE),"")</f>
        <v/>
      </c>
      <c r="AI1083" s="10" t="str">
        <f>IFERROR(VLOOKUP(B1083,'Pre-Summary'!$AZ$6:$BE$65,5,FALSE),"")</f>
        <v/>
      </c>
      <c r="AJ1083" s="10" t="str">
        <f>IFERROR(VLOOKUP(B1083,'Pre-Summary'!$AZ$6:$BE$65,4,FALSE),"")</f>
        <v/>
      </c>
      <c r="AK1083" s="10" t="str">
        <f>IFERROR(VLOOKUP(B1083,'Pre-Summary'!$AZ$6:$BE$65,6,FALSE),"")</f>
        <v/>
      </c>
      <c r="AL1083" s="10" t="str">
        <f>IFERROR(VLOOKUP(B1083,'Pre-Summary'!$BG$6:$BL$44,3,FALSE),"")</f>
        <v/>
      </c>
      <c r="AM1083" s="10" t="str">
        <f>IFERROR(VLOOKUP(B1083,'Pre-Summary'!$BG$6:$BL$44,4,FALSE),"")</f>
        <v/>
      </c>
    </row>
    <row r="1084" spans="2:39" ht="15" customHeight="1" x14ac:dyDescent="0.3">
      <c r="B1084">
        <v>108.1</v>
      </c>
      <c r="C1084" t="str">
        <f>IFERROR(VLOOKUP(B1084,'Pre-Summary'!$DI$6:$DM$23,4,FALSE),"")</f>
        <v/>
      </c>
      <c r="D1084" s="10" t="str">
        <f>IFERROR(VLOOKUP(B1084,'Pre-Summary'!$AT$6:$AX$14,5,FALSE),D1083)</f>
        <v>DSMZ v4: dropped out methanol</v>
      </c>
      <c r="E1084" s="10" t="str">
        <f>IFERROR(VLOOKUP(B1084,'Pre-Summary'!$AT$6:$AX$15,4,FALSE),"")</f>
        <v/>
      </c>
      <c r="F1084">
        <f>IFERROR(VLOOKUP(B1084,'Pre-Summary'!$AL$6:$AQ$13,6,FALSE),F1083)</f>
        <v>5.9405263157894746E-2</v>
      </c>
      <c r="G1084" t="str">
        <f>IFERROR(VLOOKUP(B1084,'Pre-Summary'!$AE$6:$AJ$85,3,FALSE),"")</f>
        <v/>
      </c>
      <c r="H1084" t="str">
        <f>IFERROR(VLOOKUP(B1084,'Pre-Summary'!$AE$6:$AJ$85,4,FALSE),"")</f>
        <v/>
      </c>
      <c r="I1084" t="str">
        <f>IFERROR(VLOOKUP(B1084,'Pre-Summary'!$AE$6:$AJ$85,5,FALSE),"")</f>
        <v/>
      </c>
      <c r="J1084" s="45" t="str">
        <f>IFERROR(VLOOKUP(B1084,'Pre-Summary'!$AE$6:$AJ$85,6, FALSE),"")</f>
        <v/>
      </c>
      <c r="K1084" s="45" t="str">
        <f>IFERROR(VLOOKUP(B1084,'Pre-Summary'!$DE$6:$DG$61,3,FALSE),"")</f>
        <v/>
      </c>
      <c r="L1084" s="45" t="str">
        <f>IFERROR(VLOOKUP(B1084,'Pre-Summary'!$CU$6:$CW$36,3,FALSE),"")</f>
        <v/>
      </c>
      <c r="M1084" s="45" t="str">
        <f>IFERROR(VLOOKUP(B1084,'Pre-Summary'!$BW$6:$BY$58,2,FALSE),"")</f>
        <v/>
      </c>
      <c r="N1084" s="45" t="str">
        <f>IFERROR(VLOOKUP(B1084,'Pre-Summary'!$CD$6:$CF$64,2,FALSE),"")</f>
        <v/>
      </c>
      <c r="O1084" s="99">
        <f>IFERROR(VLOOKUP(B1084,'Pre-Summary'!$BO$6:$BQ$48,3, FALSE),O1083)</f>
        <v>1.2</v>
      </c>
      <c r="P1084" s="99">
        <f>IFERROR(VLOOKUP(B1084,'Pre-Summary'!$BS$6:$BU$35,3,FALSE),P1083)</f>
        <v>0.3</v>
      </c>
      <c r="Q1084" s="54">
        <f t="shared" si="48"/>
        <v>4</v>
      </c>
      <c r="R1084" s="53">
        <f>IFERROR(VLOOKUP(B1084,'Pre-Summary'!$BG$6:$BM$44,7,FALSE),R1085)</f>
        <v>7.6574939085447311E-2</v>
      </c>
      <c r="S1084" s="53">
        <f>IFERROR(VLOOKUP(B1084,'Pre-Summary'!$BG$6:$BM$44,6,FALSE),S1085)</f>
        <v>6.8761751275839902E-2</v>
      </c>
      <c r="T1084" s="45" t="str">
        <f>IFERROR(VLOOKUP(B1084,'Pre-Summary'!$Y$6:$AC$83, 3,FALSE),"")</f>
        <v/>
      </c>
      <c r="U1084" s="45" t="str">
        <f>IFERROR(VLOOKUP(B1084,'Pre-Summary'!$Y$6:$AC$83, 4,FALSE),"")</f>
        <v/>
      </c>
      <c r="V1084" t="str">
        <f>IFERROR(VLOOKUP(B1084,'Pre-Summary'!$Y$6:$AC$83, 5,FALSE),"")</f>
        <v/>
      </c>
      <c r="W1084" s="45" t="str">
        <f>IFERROR(VLOOKUP(B1084,'Pre-Summary'!$Y$6:$AD$83,6,FALSE),"")</f>
        <v/>
      </c>
      <c r="X1084" t="str">
        <f>IFERROR(VLOOKUP('Pre-Summary'!$DB$6:$DD$63,3,FALSE),"")</f>
        <v/>
      </c>
      <c r="Y1084" t="str">
        <f>IFERROR(VLOOKUP(B1084,'Pre-Summary'!$CR$6:$CT$36,3,FALSE),"")</f>
        <v/>
      </c>
      <c r="Z1084" s="45" t="str">
        <f>IFERROR(VLOOKUP(B1084,'Pre-Summary'!$BZ$6:$CB$63,2,FALSE),"")</f>
        <v/>
      </c>
      <c r="AA1084" s="45" t="str">
        <f>IFERROR(VLOOKUP(B1084,'Pre-Summary'!$CG$6:$CI$70,2,FALSE),"")</f>
        <v/>
      </c>
      <c r="AB1084" s="99">
        <f>IFERROR(VLOOKUP(B1084,'Pre-Summary'!$A$6:$P$178,9,FALSE),AB1085)</f>
        <v>0.45533763440924657</v>
      </c>
      <c r="AC1084" s="10">
        <f>IFERROR(VLOOKUP(Summary!B1084,'Pre-Summary'!$A$6:$P$184,5, FALSE)/100,AC1085)</f>
        <v>0.89807866666666669</v>
      </c>
      <c r="AD1084" s="10">
        <f>IFERROR(VLOOKUP(Summary!B1084,'Pre-Summary'!$A$6:$P$184,3, FALSE)/100,AD1085)</f>
        <v>1.5917000000000001E-2</v>
      </c>
      <c r="AE1084" s="10">
        <f>IFERROR(VLOOKUP(Summary!B1084,'Pre-Summary'!$A$6:$P$184,7, FALSE)/100,AE1085)</f>
        <v>8.6004666666666674E-2</v>
      </c>
      <c r="AF1084" s="99">
        <f t="shared" si="49"/>
        <v>7.2476091268919782E-3</v>
      </c>
      <c r="AG1084" s="99">
        <f t="shared" si="50"/>
        <v>3.9161161468155785E-2</v>
      </c>
      <c r="AH1084" s="10" t="str">
        <f>IFERROR(VLOOKUP(B1084,'Pre-Summary'!$AZ$6:$BE$65,3,FALSE),"")</f>
        <v/>
      </c>
      <c r="AI1084" s="10" t="str">
        <f>IFERROR(VLOOKUP(B1084,'Pre-Summary'!$AZ$6:$BE$65,5,FALSE),"")</f>
        <v/>
      </c>
      <c r="AJ1084" s="10" t="str">
        <f>IFERROR(VLOOKUP(B1084,'Pre-Summary'!$AZ$6:$BE$65,4,FALSE),"")</f>
        <v/>
      </c>
      <c r="AK1084" s="10" t="str">
        <f>IFERROR(VLOOKUP(B1084,'Pre-Summary'!$AZ$6:$BE$65,6,FALSE),"")</f>
        <v/>
      </c>
      <c r="AL1084" s="10" t="str">
        <f>IFERROR(VLOOKUP(B1084,'Pre-Summary'!$BG$6:$BL$44,3,FALSE),"")</f>
        <v/>
      </c>
      <c r="AM1084" s="10" t="str">
        <f>IFERROR(VLOOKUP(B1084,'Pre-Summary'!$BG$6:$BL$44,4,FALSE),"")</f>
        <v/>
      </c>
    </row>
    <row r="1085" spans="2:39" ht="15" customHeight="1" x14ac:dyDescent="0.3">
      <c r="B1085">
        <v>108.2</v>
      </c>
      <c r="C1085" t="str">
        <f>IFERROR(VLOOKUP(B1085,'Pre-Summary'!$DI$6:$DM$23,4,FALSE),"")</f>
        <v/>
      </c>
      <c r="D1085" s="10" t="str">
        <f>IFERROR(VLOOKUP(B1085,'Pre-Summary'!$AT$6:$AX$14,5,FALSE),D1084)</f>
        <v>DSMZ v4: dropped out methanol</v>
      </c>
      <c r="E1085" s="10" t="str">
        <f>IFERROR(VLOOKUP(B1085,'Pre-Summary'!$AT$6:$AX$15,4,FALSE),"")</f>
        <v/>
      </c>
      <c r="F1085">
        <f>IFERROR(VLOOKUP(B1085,'Pre-Summary'!$AL$6:$AQ$13,6,FALSE),F1084)</f>
        <v>5.9405263157894746E-2</v>
      </c>
      <c r="G1085" t="str">
        <f>IFERROR(VLOOKUP(B1085,'Pre-Summary'!$AE$6:$AJ$85,3,FALSE),"")</f>
        <v/>
      </c>
      <c r="H1085" t="str">
        <f>IFERROR(VLOOKUP(B1085,'Pre-Summary'!$AE$6:$AJ$85,4,FALSE),"")</f>
        <v/>
      </c>
      <c r="I1085" t="str">
        <f>IFERROR(VLOOKUP(B1085,'Pre-Summary'!$AE$6:$AJ$85,5,FALSE),"")</f>
        <v/>
      </c>
      <c r="J1085" s="45" t="str">
        <f>IFERROR(VLOOKUP(B1085,'Pre-Summary'!$AE$6:$AJ$85,6, FALSE),"")</f>
        <v/>
      </c>
      <c r="K1085" s="45" t="str">
        <f>IFERROR(VLOOKUP(B1085,'Pre-Summary'!$DE$6:$DG$61,3,FALSE),"")</f>
        <v/>
      </c>
      <c r="L1085" s="45" t="str">
        <f>IFERROR(VLOOKUP(B1085,'Pre-Summary'!$CU$6:$CW$36,3,FALSE),"")</f>
        <v/>
      </c>
      <c r="M1085" s="45" t="str">
        <f>IFERROR(VLOOKUP(B1085,'Pre-Summary'!$BW$6:$BY$58,2,FALSE),"")</f>
        <v/>
      </c>
      <c r="N1085" s="45" t="str">
        <f>IFERROR(VLOOKUP(B1085,'Pre-Summary'!$CD$6:$CF$64,2,FALSE),"")</f>
        <v/>
      </c>
      <c r="O1085" s="99">
        <f>IFERROR(VLOOKUP(B1085,'Pre-Summary'!$BO$6:$BQ$48,3, FALSE),O1084)</f>
        <v>1.2</v>
      </c>
      <c r="P1085" s="99">
        <f>IFERROR(VLOOKUP(B1085,'Pre-Summary'!$BS$6:$BU$35,3,FALSE),P1084)</f>
        <v>0.3</v>
      </c>
      <c r="Q1085" s="54">
        <f t="shared" si="48"/>
        <v>4</v>
      </c>
      <c r="R1085" s="53">
        <f>IFERROR(VLOOKUP(B1085,'Pre-Summary'!$BG$6:$BM$44,7,FALSE),R1086)</f>
        <v>7.6574939085447311E-2</v>
      </c>
      <c r="S1085" s="53">
        <f>IFERROR(VLOOKUP(B1085,'Pre-Summary'!$BG$6:$BM$44,6,FALSE),S1086)</f>
        <v>6.8761751275839902E-2</v>
      </c>
      <c r="T1085" s="45" t="str">
        <f>IFERROR(VLOOKUP(B1085,'Pre-Summary'!$Y$6:$AC$83, 3,FALSE),"")</f>
        <v/>
      </c>
      <c r="U1085" s="45" t="str">
        <f>IFERROR(VLOOKUP(B1085,'Pre-Summary'!$Y$6:$AC$83, 4,FALSE),"")</f>
        <v/>
      </c>
      <c r="V1085" t="str">
        <f>IFERROR(VLOOKUP(B1085,'Pre-Summary'!$Y$6:$AC$83, 5,FALSE),"")</f>
        <v/>
      </c>
      <c r="W1085" s="45" t="str">
        <f>IFERROR(VLOOKUP(B1085,'Pre-Summary'!$Y$6:$AD$83,6,FALSE),"")</f>
        <v/>
      </c>
      <c r="X1085" t="str">
        <f>IFERROR(VLOOKUP('Pre-Summary'!$DB$6:$DD$63,3,FALSE),"")</f>
        <v/>
      </c>
      <c r="Y1085" t="str">
        <f>IFERROR(VLOOKUP(B1085,'Pre-Summary'!$CR$6:$CT$36,3,FALSE),"")</f>
        <v/>
      </c>
      <c r="Z1085" s="45" t="str">
        <f>IFERROR(VLOOKUP(B1085,'Pre-Summary'!$BZ$6:$CB$63,2,FALSE),"")</f>
        <v/>
      </c>
      <c r="AA1085" s="45" t="str">
        <f>IFERROR(VLOOKUP(B1085,'Pre-Summary'!$CG$6:$CI$70,2,FALSE),"")</f>
        <v/>
      </c>
      <c r="AB1085" s="99">
        <f>IFERROR(VLOOKUP(B1085,'Pre-Summary'!$A$6:$P$178,9,FALSE),AB1086)</f>
        <v>0.45533763440924657</v>
      </c>
      <c r="AC1085" s="10">
        <f>IFERROR(VLOOKUP(Summary!B1085,'Pre-Summary'!$A$6:$P$184,5, FALSE)/100,AC1086)</f>
        <v>0.89807866666666669</v>
      </c>
      <c r="AD1085" s="10">
        <f>IFERROR(VLOOKUP(Summary!B1085,'Pre-Summary'!$A$6:$P$184,3, FALSE)/100,AD1086)</f>
        <v>1.5917000000000001E-2</v>
      </c>
      <c r="AE1085" s="10">
        <f>IFERROR(VLOOKUP(Summary!B1085,'Pre-Summary'!$A$6:$P$184,7, FALSE)/100,AE1086)</f>
        <v>8.6004666666666674E-2</v>
      </c>
      <c r="AF1085" s="99">
        <f t="shared" si="49"/>
        <v>7.2476091268919782E-3</v>
      </c>
      <c r="AG1085" s="99">
        <f t="shared" si="50"/>
        <v>3.9161161468155785E-2</v>
      </c>
      <c r="AH1085" s="10" t="str">
        <f>IFERROR(VLOOKUP(B1085,'Pre-Summary'!$AZ$6:$BE$65,3,FALSE),"")</f>
        <v/>
      </c>
      <c r="AI1085" s="10" t="str">
        <f>IFERROR(VLOOKUP(B1085,'Pre-Summary'!$AZ$6:$BE$65,5,FALSE),"")</f>
        <v/>
      </c>
      <c r="AJ1085" s="10" t="str">
        <f>IFERROR(VLOOKUP(B1085,'Pre-Summary'!$AZ$6:$BE$65,4,FALSE),"")</f>
        <v/>
      </c>
      <c r="AK1085" s="10" t="str">
        <f>IFERROR(VLOOKUP(B1085,'Pre-Summary'!$AZ$6:$BE$65,6,FALSE),"")</f>
        <v/>
      </c>
      <c r="AL1085" s="10" t="str">
        <f>IFERROR(VLOOKUP(B1085,'Pre-Summary'!$BG$6:$BL$44,3,FALSE),"")</f>
        <v/>
      </c>
      <c r="AM1085" s="10" t="str">
        <f>IFERROR(VLOOKUP(B1085,'Pre-Summary'!$BG$6:$BL$44,4,FALSE),"")</f>
        <v/>
      </c>
    </row>
    <row r="1086" spans="2:39" ht="15" customHeight="1" x14ac:dyDescent="0.3">
      <c r="B1086">
        <v>108.3</v>
      </c>
      <c r="C1086" t="str">
        <f>IFERROR(VLOOKUP(B1086,'Pre-Summary'!$DI$6:$DM$23,4,FALSE),"")</f>
        <v/>
      </c>
      <c r="D1086" s="10" t="str">
        <f>IFERROR(VLOOKUP(B1086,'Pre-Summary'!$AT$6:$AX$14,5,FALSE),D1085)</f>
        <v>DSMZ v4: dropped out methanol</v>
      </c>
      <c r="E1086" s="10" t="str">
        <f>IFERROR(VLOOKUP(B1086,'Pre-Summary'!$AT$6:$AX$15,4,FALSE),"")</f>
        <v/>
      </c>
      <c r="F1086">
        <f>IFERROR(VLOOKUP(B1086,'Pre-Summary'!$AL$6:$AQ$13,6,FALSE),F1085)</f>
        <v>5.9405263157894746E-2</v>
      </c>
      <c r="G1086" t="str">
        <f>IFERROR(VLOOKUP(B1086,'Pre-Summary'!$AE$6:$AJ$85,3,FALSE),"")</f>
        <v/>
      </c>
      <c r="H1086" t="str">
        <f>IFERROR(VLOOKUP(B1086,'Pre-Summary'!$AE$6:$AJ$85,4,FALSE),"")</f>
        <v/>
      </c>
      <c r="I1086" t="str">
        <f>IFERROR(VLOOKUP(B1086,'Pre-Summary'!$AE$6:$AJ$85,5,FALSE),"")</f>
        <v/>
      </c>
      <c r="J1086" s="45" t="str">
        <f>IFERROR(VLOOKUP(B1086,'Pre-Summary'!$AE$6:$AJ$85,6, FALSE),"")</f>
        <v/>
      </c>
      <c r="K1086" s="45" t="str">
        <f>IFERROR(VLOOKUP(B1086,'Pre-Summary'!$DE$6:$DG$61,3,FALSE),"")</f>
        <v/>
      </c>
      <c r="L1086" s="45" t="str">
        <f>IFERROR(VLOOKUP(B1086,'Pre-Summary'!$CU$6:$CW$36,3,FALSE),"")</f>
        <v/>
      </c>
      <c r="M1086" s="45" t="str">
        <f>IFERROR(VLOOKUP(B1086,'Pre-Summary'!$BW$6:$BY$58,2,FALSE),"")</f>
        <v/>
      </c>
      <c r="N1086" s="45" t="str">
        <f>IFERROR(VLOOKUP(B1086,'Pre-Summary'!$CD$6:$CF$64,2,FALSE),"")</f>
        <v/>
      </c>
      <c r="O1086" s="99">
        <f>IFERROR(VLOOKUP(B1086,'Pre-Summary'!$BO$6:$BQ$48,3, FALSE),O1085)</f>
        <v>1.2</v>
      </c>
      <c r="P1086" s="99">
        <f>IFERROR(VLOOKUP(B1086,'Pre-Summary'!$BS$6:$BU$35,3,FALSE),P1085)</f>
        <v>0.3</v>
      </c>
      <c r="Q1086" s="54">
        <f t="shared" si="48"/>
        <v>4</v>
      </c>
      <c r="R1086" s="53">
        <f>IFERROR(VLOOKUP(B1086,'Pre-Summary'!$BG$6:$BM$44,7,FALSE),R1087)</f>
        <v>7.6574939085447311E-2</v>
      </c>
      <c r="S1086" s="53">
        <f>IFERROR(VLOOKUP(B1086,'Pre-Summary'!$BG$6:$BM$44,6,FALSE),S1087)</f>
        <v>6.8761751275839902E-2</v>
      </c>
      <c r="T1086" s="45" t="str">
        <f>IFERROR(VLOOKUP(B1086,'Pre-Summary'!$Y$6:$AC$83, 3,FALSE),"")</f>
        <v/>
      </c>
      <c r="U1086" s="45" t="str">
        <f>IFERROR(VLOOKUP(B1086,'Pre-Summary'!$Y$6:$AC$83, 4,FALSE),"")</f>
        <v/>
      </c>
      <c r="V1086" t="str">
        <f>IFERROR(VLOOKUP(B1086,'Pre-Summary'!$Y$6:$AC$83, 5,FALSE),"")</f>
        <v/>
      </c>
      <c r="W1086" s="45" t="str">
        <f>IFERROR(VLOOKUP(B1086,'Pre-Summary'!$Y$6:$AD$83,6,FALSE),"")</f>
        <v/>
      </c>
      <c r="X1086" t="str">
        <f>IFERROR(VLOOKUP('Pre-Summary'!$DB$6:$DD$63,3,FALSE),"")</f>
        <v/>
      </c>
      <c r="Y1086" t="str">
        <f>IFERROR(VLOOKUP(B1086,'Pre-Summary'!$CR$6:$CT$36,3,FALSE),"")</f>
        <v/>
      </c>
      <c r="Z1086" s="45" t="str">
        <f>IFERROR(VLOOKUP(B1086,'Pre-Summary'!$BZ$6:$CB$63,2,FALSE),"")</f>
        <v/>
      </c>
      <c r="AA1086" s="45" t="str">
        <f>IFERROR(VLOOKUP(B1086,'Pre-Summary'!$CG$6:$CI$70,2,FALSE),"")</f>
        <v/>
      </c>
      <c r="AB1086" s="99">
        <f>IFERROR(VLOOKUP(B1086,'Pre-Summary'!$A$6:$P$178,9,FALSE),AB1087)</f>
        <v>0.45533763440924657</v>
      </c>
      <c r="AC1086" s="10">
        <f>IFERROR(VLOOKUP(Summary!B1086,'Pre-Summary'!$A$6:$P$184,5, FALSE)/100,AC1087)</f>
        <v>0.89807866666666669</v>
      </c>
      <c r="AD1086" s="10">
        <f>IFERROR(VLOOKUP(Summary!B1086,'Pre-Summary'!$A$6:$P$184,3, FALSE)/100,AD1087)</f>
        <v>1.5917000000000001E-2</v>
      </c>
      <c r="AE1086" s="10">
        <f>IFERROR(VLOOKUP(Summary!B1086,'Pre-Summary'!$A$6:$P$184,7, FALSE)/100,AE1087)</f>
        <v>8.6004666666666674E-2</v>
      </c>
      <c r="AF1086" s="99">
        <f t="shared" si="49"/>
        <v>7.2476091268919782E-3</v>
      </c>
      <c r="AG1086" s="99">
        <f t="shared" si="50"/>
        <v>3.9161161468155785E-2</v>
      </c>
      <c r="AH1086" s="10" t="str">
        <f>IFERROR(VLOOKUP(B1086,'Pre-Summary'!$AZ$6:$BE$65,3,FALSE),"")</f>
        <v/>
      </c>
      <c r="AI1086" s="10" t="str">
        <f>IFERROR(VLOOKUP(B1086,'Pre-Summary'!$AZ$6:$BE$65,5,FALSE),"")</f>
        <v/>
      </c>
      <c r="AJ1086" s="10" t="str">
        <f>IFERROR(VLOOKUP(B1086,'Pre-Summary'!$AZ$6:$BE$65,4,FALSE),"")</f>
        <v/>
      </c>
      <c r="AK1086" s="10" t="str">
        <f>IFERROR(VLOOKUP(B1086,'Pre-Summary'!$AZ$6:$BE$65,6,FALSE),"")</f>
        <v/>
      </c>
      <c r="AL1086" s="10" t="str">
        <f>IFERROR(VLOOKUP(B1086,'Pre-Summary'!$BG$6:$BL$44,3,FALSE),"")</f>
        <v/>
      </c>
      <c r="AM1086" s="10" t="str">
        <f>IFERROR(VLOOKUP(B1086,'Pre-Summary'!$BG$6:$BL$44,4,FALSE),"")</f>
        <v/>
      </c>
    </row>
    <row r="1087" spans="2:39" ht="15" customHeight="1" x14ac:dyDescent="0.3">
      <c r="B1087">
        <v>108.4</v>
      </c>
      <c r="C1087" t="str">
        <f>IFERROR(VLOOKUP(B1087,'Pre-Summary'!$DI$6:$DM$23,4,FALSE),"")</f>
        <v/>
      </c>
      <c r="D1087" s="10" t="str">
        <f>IFERROR(VLOOKUP(B1087,'Pre-Summary'!$AT$6:$AX$14,5,FALSE),D1086)</f>
        <v>DSMZ v4: dropped out methanol</v>
      </c>
      <c r="E1087" s="10" t="str">
        <f>IFERROR(VLOOKUP(B1087,'Pre-Summary'!$AT$6:$AX$15,4,FALSE),"")</f>
        <v/>
      </c>
      <c r="F1087">
        <f>IFERROR(VLOOKUP(B1087,'Pre-Summary'!$AL$6:$AQ$13,6,FALSE),F1086)</f>
        <v>5.9405263157894746E-2</v>
      </c>
      <c r="G1087" t="str">
        <f>IFERROR(VLOOKUP(B1087,'Pre-Summary'!$AE$6:$AJ$85,3,FALSE),"")</f>
        <v/>
      </c>
      <c r="H1087" t="str">
        <f>IFERROR(VLOOKUP(B1087,'Pre-Summary'!$AE$6:$AJ$85,4,FALSE),"")</f>
        <v/>
      </c>
      <c r="I1087" t="str">
        <f>IFERROR(VLOOKUP(B1087,'Pre-Summary'!$AE$6:$AJ$85,5,FALSE),"")</f>
        <v/>
      </c>
      <c r="J1087" s="45" t="str">
        <f>IFERROR(VLOOKUP(B1087,'Pre-Summary'!$AE$6:$AJ$85,6, FALSE),"")</f>
        <v/>
      </c>
      <c r="K1087" s="45" t="str">
        <f>IFERROR(VLOOKUP(B1087,'Pre-Summary'!$DE$6:$DG$61,3,FALSE),"")</f>
        <v/>
      </c>
      <c r="L1087" s="45" t="str">
        <f>IFERROR(VLOOKUP(B1087,'Pre-Summary'!$CU$6:$CW$36,3,FALSE),"")</f>
        <v/>
      </c>
      <c r="M1087" s="45" t="str">
        <f>IFERROR(VLOOKUP(B1087,'Pre-Summary'!$BW$6:$BY$58,2,FALSE),"")</f>
        <v/>
      </c>
      <c r="N1087" s="45" t="str">
        <f>IFERROR(VLOOKUP(B1087,'Pre-Summary'!$CD$6:$CF$64,2,FALSE),"")</f>
        <v/>
      </c>
      <c r="O1087" s="99">
        <f>IFERROR(VLOOKUP(B1087,'Pre-Summary'!$BO$6:$BQ$48,3, FALSE),O1086)</f>
        <v>1.2</v>
      </c>
      <c r="P1087" s="99">
        <f>IFERROR(VLOOKUP(B1087,'Pre-Summary'!$BS$6:$BU$35,3,FALSE),P1086)</f>
        <v>0.3</v>
      </c>
      <c r="Q1087" s="54">
        <f t="shared" si="48"/>
        <v>4</v>
      </c>
      <c r="R1087" s="53">
        <f>IFERROR(VLOOKUP(B1087,'Pre-Summary'!$BG$6:$BM$44,7,FALSE),R1088)</f>
        <v>7.6574939085447311E-2</v>
      </c>
      <c r="S1087" s="53">
        <f>IFERROR(VLOOKUP(B1087,'Pre-Summary'!$BG$6:$BM$44,6,FALSE),S1088)</f>
        <v>6.8761751275839902E-2</v>
      </c>
      <c r="T1087" s="45" t="str">
        <f>IFERROR(VLOOKUP(B1087,'Pre-Summary'!$Y$6:$AC$83, 3,FALSE),"")</f>
        <v/>
      </c>
      <c r="U1087" s="45" t="str">
        <f>IFERROR(VLOOKUP(B1087,'Pre-Summary'!$Y$6:$AC$83, 4,FALSE),"")</f>
        <v/>
      </c>
      <c r="V1087" t="str">
        <f>IFERROR(VLOOKUP(B1087,'Pre-Summary'!$Y$6:$AC$83, 5,FALSE),"")</f>
        <v/>
      </c>
      <c r="W1087" s="45" t="str">
        <f>IFERROR(VLOOKUP(B1087,'Pre-Summary'!$Y$6:$AD$83,6,FALSE),"")</f>
        <v/>
      </c>
      <c r="X1087" t="str">
        <f>IFERROR(VLOOKUP('Pre-Summary'!$DB$6:$DD$63,3,FALSE),"")</f>
        <v/>
      </c>
      <c r="Y1087" t="str">
        <f>IFERROR(VLOOKUP(B1087,'Pre-Summary'!$CR$6:$CT$36,3,FALSE),"")</f>
        <v/>
      </c>
      <c r="Z1087" s="45" t="str">
        <f>IFERROR(VLOOKUP(B1087,'Pre-Summary'!$BZ$6:$CB$63,2,FALSE),"")</f>
        <v/>
      </c>
      <c r="AA1087" s="45" t="str">
        <f>IFERROR(VLOOKUP(B1087,'Pre-Summary'!$CG$6:$CI$70,2,FALSE),"")</f>
        <v/>
      </c>
      <c r="AB1087" s="99">
        <f>IFERROR(VLOOKUP(B1087,'Pre-Summary'!$A$6:$P$178,9,FALSE),AB1088)</f>
        <v>0.45533763440924657</v>
      </c>
      <c r="AC1087" s="10">
        <f>IFERROR(VLOOKUP(Summary!B1087,'Pre-Summary'!$A$6:$P$184,5, FALSE)/100,AC1088)</f>
        <v>0.89807866666666669</v>
      </c>
      <c r="AD1087" s="10">
        <f>IFERROR(VLOOKUP(Summary!B1087,'Pre-Summary'!$A$6:$P$184,3, FALSE)/100,AD1088)</f>
        <v>1.5917000000000001E-2</v>
      </c>
      <c r="AE1087" s="10">
        <f>IFERROR(VLOOKUP(Summary!B1087,'Pre-Summary'!$A$6:$P$184,7, FALSE)/100,AE1088)</f>
        <v>8.6004666666666674E-2</v>
      </c>
      <c r="AF1087" s="99">
        <f t="shared" si="49"/>
        <v>7.2476091268919782E-3</v>
      </c>
      <c r="AG1087" s="99">
        <f t="shared" si="50"/>
        <v>3.9161161468155785E-2</v>
      </c>
      <c r="AH1087" s="10" t="str">
        <f>IFERROR(VLOOKUP(B1087,'Pre-Summary'!$AZ$6:$BE$65,3,FALSE),"")</f>
        <v/>
      </c>
      <c r="AI1087" s="10" t="str">
        <f>IFERROR(VLOOKUP(B1087,'Pre-Summary'!$AZ$6:$BE$65,5,FALSE),"")</f>
        <v/>
      </c>
      <c r="AJ1087" s="10" t="str">
        <f>IFERROR(VLOOKUP(B1087,'Pre-Summary'!$AZ$6:$BE$65,4,FALSE),"")</f>
        <v/>
      </c>
      <c r="AK1087" s="10" t="str">
        <f>IFERROR(VLOOKUP(B1087,'Pre-Summary'!$AZ$6:$BE$65,6,FALSE),"")</f>
        <v/>
      </c>
      <c r="AL1087" s="10" t="str">
        <f>IFERROR(VLOOKUP(B1087,'Pre-Summary'!$BG$6:$BL$44,3,FALSE),"")</f>
        <v/>
      </c>
      <c r="AM1087" s="10" t="str">
        <f>IFERROR(VLOOKUP(B1087,'Pre-Summary'!$BG$6:$BL$44,4,FALSE),"")</f>
        <v/>
      </c>
    </row>
    <row r="1088" spans="2:39" ht="15" customHeight="1" x14ac:dyDescent="0.3">
      <c r="B1088">
        <v>108.5</v>
      </c>
      <c r="C1088" t="str">
        <f>IFERROR(VLOOKUP(B1088,'Pre-Summary'!$DI$6:$DM$23,4,FALSE),"")</f>
        <v/>
      </c>
      <c r="D1088" s="10" t="str">
        <f>IFERROR(VLOOKUP(B1088,'Pre-Summary'!$AT$6:$AX$14,5,FALSE),D1087)</f>
        <v>DSMZ v4: dropped out methanol</v>
      </c>
      <c r="E1088" s="10" t="str">
        <f>IFERROR(VLOOKUP(B1088,'Pre-Summary'!$AT$6:$AX$15,4,FALSE),"")</f>
        <v/>
      </c>
      <c r="F1088">
        <f>IFERROR(VLOOKUP(B1088,'Pre-Summary'!$AL$6:$AQ$13,6,FALSE),F1087)</f>
        <v>5.9405263157894746E-2</v>
      </c>
      <c r="G1088" t="str">
        <f>IFERROR(VLOOKUP(B1088,'Pre-Summary'!$AE$6:$AJ$85,3,FALSE),"")</f>
        <v/>
      </c>
      <c r="H1088" t="str">
        <f>IFERROR(VLOOKUP(B1088,'Pre-Summary'!$AE$6:$AJ$85,4,FALSE),"")</f>
        <v/>
      </c>
      <c r="I1088" t="str">
        <f>IFERROR(VLOOKUP(B1088,'Pre-Summary'!$AE$6:$AJ$85,5,FALSE),"")</f>
        <v/>
      </c>
      <c r="J1088" s="45" t="str">
        <f>IFERROR(VLOOKUP(B1088,'Pre-Summary'!$AE$6:$AJ$85,6, FALSE),"")</f>
        <v/>
      </c>
      <c r="K1088" s="45" t="str">
        <f>IFERROR(VLOOKUP(B1088,'Pre-Summary'!$DE$6:$DG$61,3,FALSE),"")</f>
        <v/>
      </c>
      <c r="L1088" s="45" t="str">
        <f>IFERROR(VLOOKUP(B1088,'Pre-Summary'!$CU$6:$CW$36,3,FALSE),"")</f>
        <v/>
      </c>
      <c r="M1088" s="45" t="str">
        <f>IFERROR(VLOOKUP(B1088,'Pre-Summary'!$BW$6:$BY$58,2,FALSE),"")</f>
        <v/>
      </c>
      <c r="N1088" s="45" t="str">
        <f>IFERROR(VLOOKUP(B1088,'Pre-Summary'!$CD$6:$CF$64,2,FALSE),"")</f>
        <v/>
      </c>
      <c r="O1088" s="99">
        <f>IFERROR(VLOOKUP(B1088,'Pre-Summary'!$BO$6:$BQ$48,3, FALSE),O1087)</f>
        <v>1.2</v>
      </c>
      <c r="P1088" s="99">
        <f>IFERROR(VLOOKUP(B1088,'Pre-Summary'!$BS$6:$BU$35,3,FALSE),P1087)</f>
        <v>0.3</v>
      </c>
      <c r="Q1088" s="54">
        <f t="shared" si="48"/>
        <v>4</v>
      </c>
      <c r="R1088" s="53">
        <f>IFERROR(VLOOKUP(B1088,'Pre-Summary'!$BG$6:$BM$44,7,FALSE),R1089)</f>
        <v>7.6574939085447311E-2</v>
      </c>
      <c r="S1088" s="53">
        <f>IFERROR(VLOOKUP(B1088,'Pre-Summary'!$BG$6:$BM$44,6,FALSE),S1089)</f>
        <v>6.8761751275839902E-2</v>
      </c>
      <c r="T1088" s="45" t="str">
        <f>IFERROR(VLOOKUP(B1088,'Pre-Summary'!$Y$6:$AC$83, 3,FALSE),"")</f>
        <v/>
      </c>
      <c r="U1088" s="45" t="str">
        <f>IFERROR(VLOOKUP(B1088,'Pre-Summary'!$Y$6:$AC$83, 4,FALSE),"")</f>
        <v/>
      </c>
      <c r="V1088" t="str">
        <f>IFERROR(VLOOKUP(B1088,'Pre-Summary'!$Y$6:$AC$83, 5,FALSE),"")</f>
        <v/>
      </c>
      <c r="W1088" s="45" t="str">
        <f>IFERROR(VLOOKUP(B1088,'Pre-Summary'!$Y$6:$AD$83,6,FALSE),"")</f>
        <v/>
      </c>
      <c r="X1088" t="str">
        <f>IFERROR(VLOOKUP('Pre-Summary'!$DB$6:$DD$63,3,FALSE),"")</f>
        <v/>
      </c>
      <c r="Y1088" t="str">
        <f>IFERROR(VLOOKUP(B1088,'Pre-Summary'!$CR$6:$CT$36,3,FALSE),"")</f>
        <v/>
      </c>
      <c r="Z1088" s="45" t="str">
        <f>IFERROR(VLOOKUP(B1088,'Pre-Summary'!$BZ$6:$CB$63,2,FALSE),"")</f>
        <v/>
      </c>
      <c r="AA1088" s="45" t="str">
        <f>IFERROR(VLOOKUP(B1088,'Pre-Summary'!$CG$6:$CI$70,2,FALSE),"")</f>
        <v/>
      </c>
      <c r="AB1088" s="99">
        <f>IFERROR(VLOOKUP(B1088,'Pre-Summary'!$A$6:$P$178,9,FALSE),AB1089)</f>
        <v>0.45533763440924657</v>
      </c>
      <c r="AC1088" s="10">
        <f>IFERROR(VLOOKUP(Summary!B1088,'Pre-Summary'!$A$6:$P$184,5, FALSE)/100,AC1089)</f>
        <v>0.89807866666666669</v>
      </c>
      <c r="AD1088" s="10">
        <f>IFERROR(VLOOKUP(Summary!B1088,'Pre-Summary'!$A$6:$P$184,3, FALSE)/100,AD1089)</f>
        <v>1.5917000000000001E-2</v>
      </c>
      <c r="AE1088" s="10">
        <f>IFERROR(VLOOKUP(Summary!B1088,'Pre-Summary'!$A$6:$P$184,7, FALSE)/100,AE1089)</f>
        <v>8.6004666666666674E-2</v>
      </c>
      <c r="AF1088" s="99">
        <f t="shared" si="49"/>
        <v>7.2476091268919782E-3</v>
      </c>
      <c r="AG1088" s="99">
        <f t="shared" si="50"/>
        <v>3.9161161468155785E-2</v>
      </c>
      <c r="AH1088" s="10" t="str">
        <f>IFERROR(VLOOKUP(B1088,'Pre-Summary'!$AZ$6:$BE$65,3,FALSE),"")</f>
        <v/>
      </c>
      <c r="AI1088" s="10" t="str">
        <f>IFERROR(VLOOKUP(B1088,'Pre-Summary'!$AZ$6:$BE$65,5,FALSE),"")</f>
        <v/>
      </c>
      <c r="AJ1088" s="10" t="str">
        <f>IFERROR(VLOOKUP(B1088,'Pre-Summary'!$AZ$6:$BE$65,4,FALSE),"")</f>
        <v/>
      </c>
      <c r="AK1088" s="10" t="str">
        <f>IFERROR(VLOOKUP(B1088,'Pre-Summary'!$AZ$6:$BE$65,6,FALSE),"")</f>
        <v/>
      </c>
      <c r="AL1088" s="10" t="str">
        <f>IFERROR(VLOOKUP(B1088,'Pre-Summary'!$BG$6:$BL$44,3,FALSE),"")</f>
        <v/>
      </c>
      <c r="AM1088" s="10" t="str">
        <f>IFERROR(VLOOKUP(B1088,'Pre-Summary'!$BG$6:$BL$44,4,FALSE),"")</f>
        <v/>
      </c>
    </row>
    <row r="1089" spans="2:39" ht="15" customHeight="1" x14ac:dyDescent="0.3">
      <c r="B1089">
        <v>108.6</v>
      </c>
      <c r="C1089" t="str">
        <f>IFERROR(VLOOKUP(B1089,'Pre-Summary'!$DI$6:$DM$23,4,FALSE),"")</f>
        <v/>
      </c>
      <c r="D1089" s="10" t="str">
        <f>IFERROR(VLOOKUP(B1089,'Pre-Summary'!$AT$6:$AX$14,5,FALSE),D1088)</f>
        <v>DSMZ v4: dropped out methanol</v>
      </c>
      <c r="E1089" s="10" t="str">
        <f>IFERROR(VLOOKUP(B1089,'Pre-Summary'!$AT$6:$AX$15,4,FALSE),"")</f>
        <v/>
      </c>
      <c r="F1089">
        <f>IFERROR(VLOOKUP(B1089,'Pre-Summary'!$AL$6:$AQ$13,6,FALSE),F1088)</f>
        <v>5.9405263157894746E-2</v>
      </c>
      <c r="G1089" t="str">
        <f>IFERROR(VLOOKUP(B1089,'Pre-Summary'!$AE$6:$AJ$85,3,FALSE),"")</f>
        <v/>
      </c>
      <c r="H1089" t="str">
        <f>IFERROR(VLOOKUP(B1089,'Pre-Summary'!$AE$6:$AJ$85,4,FALSE),"")</f>
        <v/>
      </c>
      <c r="I1089" t="str">
        <f>IFERROR(VLOOKUP(B1089,'Pre-Summary'!$AE$6:$AJ$85,5,FALSE),"")</f>
        <v/>
      </c>
      <c r="J1089" s="45" t="str">
        <f>IFERROR(VLOOKUP(B1089,'Pre-Summary'!$AE$6:$AJ$85,6, FALSE),"")</f>
        <v/>
      </c>
      <c r="K1089" s="45" t="str">
        <f>IFERROR(VLOOKUP(B1089,'Pre-Summary'!$DE$6:$DG$61,3,FALSE),"")</f>
        <v/>
      </c>
      <c r="L1089" s="45" t="str">
        <f>IFERROR(VLOOKUP(B1089,'Pre-Summary'!$CU$6:$CW$36,3,FALSE),"")</f>
        <v/>
      </c>
      <c r="M1089" s="45" t="str">
        <f>IFERROR(VLOOKUP(B1089,'Pre-Summary'!$BW$6:$BY$58,2,FALSE),"")</f>
        <v/>
      </c>
      <c r="N1089" s="45" t="str">
        <f>IFERROR(VLOOKUP(B1089,'Pre-Summary'!$CD$6:$CF$64,2,FALSE),"")</f>
        <v/>
      </c>
      <c r="O1089" s="99">
        <f>IFERROR(VLOOKUP(B1089,'Pre-Summary'!$BO$6:$BQ$48,3, FALSE),O1088)</f>
        <v>1.2</v>
      </c>
      <c r="P1089" s="99">
        <f>IFERROR(VLOOKUP(B1089,'Pre-Summary'!$BS$6:$BU$35,3,FALSE),P1088)</f>
        <v>0.3</v>
      </c>
      <c r="Q1089" s="54">
        <f t="shared" si="48"/>
        <v>4</v>
      </c>
      <c r="R1089" s="53">
        <f>IFERROR(VLOOKUP(B1089,'Pre-Summary'!$BG$6:$BM$44,7,FALSE),R1090)</f>
        <v>7.6574939085447311E-2</v>
      </c>
      <c r="S1089" s="53">
        <f>IFERROR(VLOOKUP(B1089,'Pre-Summary'!$BG$6:$BM$44,6,FALSE),S1090)</f>
        <v>6.8761751275839902E-2</v>
      </c>
      <c r="T1089" s="45" t="str">
        <f>IFERROR(VLOOKUP(B1089,'Pre-Summary'!$Y$6:$AC$83, 3,FALSE),"")</f>
        <v/>
      </c>
      <c r="U1089" s="45" t="str">
        <f>IFERROR(VLOOKUP(B1089,'Pre-Summary'!$Y$6:$AC$83, 4,FALSE),"")</f>
        <v/>
      </c>
      <c r="V1089" t="str">
        <f>IFERROR(VLOOKUP(B1089,'Pre-Summary'!$Y$6:$AC$83, 5,FALSE),"")</f>
        <v/>
      </c>
      <c r="W1089" s="45" t="str">
        <f>IFERROR(VLOOKUP(B1089,'Pre-Summary'!$Y$6:$AD$83,6,FALSE),"")</f>
        <v/>
      </c>
      <c r="X1089" t="str">
        <f>IFERROR(VLOOKUP('Pre-Summary'!$DB$6:$DD$63,3,FALSE),"")</f>
        <v/>
      </c>
      <c r="Y1089" t="str">
        <f>IFERROR(VLOOKUP(B1089,'Pre-Summary'!$CR$6:$CT$36,3,FALSE),"")</f>
        <v/>
      </c>
      <c r="Z1089" s="45" t="str">
        <f>IFERROR(VLOOKUP(B1089,'Pre-Summary'!$BZ$6:$CB$63,2,FALSE),"")</f>
        <v/>
      </c>
      <c r="AA1089" s="45" t="str">
        <f>IFERROR(VLOOKUP(B1089,'Pre-Summary'!$CG$6:$CI$70,2,FALSE),"")</f>
        <v/>
      </c>
      <c r="AB1089" s="99">
        <f>IFERROR(VLOOKUP(B1089,'Pre-Summary'!$A$6:$P$178,9,FALSE),AB1090)</f>
        <v>0.45533763440924657</v>
      </c>
      <c r="AC1089" s="10">
        <f>IFERROR(VLOOKUP(Summary!B1089,'Pre-Summary'!$A$6:$P$184,5, FALSE)/100,AC1090)</f>
        <v>0.89807866666666669</v>
      </c>
      <c r="AD1089" s="10">
        <f>IFERROR(VLOOKUP(Summary!B1089,'Pre-Summary'!$A$6:$P$184,3, FALSE)/100,AD1090)</f>
        <v>1.5917000000000001E-2</v>
      </c>
      <c r="AE1089" s="10">
        <f>IFERROR(VLOOKUP(Summary!B1089,'Pre-Summary'!$A$6:$P$184,7, FALSE)/100,AE1090)</f>
        <v>8.6004666666666674E-2</v>
      </c>
      <c r="AF1089" s="99">
        <f t="shared" si="49"/>
        <v>7.2476091268919782E-3</v>
      </c>
      <c r="AG1089" s="99">
        <f t="shared" si="50"/>
        <v>3.9161161468155785E-2</v>
      </c>
      <c r="AH1089" s="10" t="str">
        <f>IFERROR(VLOOKUP(B1089,'Pre-Summary'!$AZ$6:$BE$65,3,FALSE),"")</f>
        <v/>
      </c>
      <c r="AI1089" s="10" t="str">
        <f>IFERROR(VLOOKUP(B1089,'Pre-Summary'!$AZ$6:$BE$65,5,FALSE),"")</f>
        <v/>
      </c>
      <c r="AJ1089" s="10" t="str">
        <f>IFERROR(VLOOKUP(B1089,'Pre-Summary'!$AZ$6:$BE$65,4,FALSE),"")</f>
        <v/>
      </c>
      <c r="AK1089" s="10" t="str">
        <f>IFERROR(VLOOKUP(B1089,'Pre-Summary'!$AZ$6:$BE$65,6,FALSE),"")</f>
        <v/>
      </c>
      <c r="AL1089" s="10" t="str">
        <f>IFERROR(VLOOKUP(B1089,'Pre-Summary'!$BG$6:$BL$44,3,FALSE),"")</f>
        <v/>
      </c>
      <c r="AM1089" s="10" t="str">
        <f>IFERROR(VLOOKUP(B1089,'Pre-Summary'!$BG$6:$BL$44,4,FALSE),"")</f>
        <v/>
      </c>
    </row>
    <row r="1090" spans="2:39" ht="15" customHeight="1" x14ac:dyDescent="0.3">
      <c r="B1090">
        <v>108.7</v>
      </c>
      <c r="C1090" t="str">
        <f>IFERROR(VLOOKUP(B1090,'Pre-Summary'!$DI$6:$DM$23,4,FALSE),"")</f>
        <v/>
      </c>
      <c r="D1090" s="10" t="str">
        <f>IFERROR(VLOOKUP(B1090,'Pre-Summary'!$AT$6:$AX$14,5,FALSE),D1089)</f>
        <v>DSMZ v4: dropped out methanol</v>
      </c>
      <c r="E1090" s="10" t="str">
        <f>IFERROR(VLOOKUP(B1090,'Pre-Summary'!$AT$6:$AX$15,4,FALSE),"")</f>
        <v/>
      </c>
      <c r="F1090">
        <f>IFERROR(VLOOKUP(B1090,'Pre-Summary'!$AL$6:$AQ$13,6,FALSE),F1089)</f>
        <v>5.9405263157894746E-2</v>
      </c>
      <c r="G1090" t="str">
        <f>IFERROR(VLOOKUP(B1090,'Pre-Summary'!$AE$6:$AJ$85,3,FALSE),"")</f>
        <v/>
      </c>
      <c r="H1090" t="str">
        <f>IFERROR(VLOOKUP(B1090,'Pre-Summary'!$AE$6:$AJ$85,4,FALSE),"")</f>
        <v/>
      </c>
      <c r="I1090" t="str">
        <f>IFERROR(VLOOKUP(B1090,'Pre-Summary'!$AE$6:$AJ$85,5,FALSE),"")</f>
        <v/>
      </c>
      <c r="J1090" s="45" t="str">
        <f>IFERROR(VLOOKUP(B1090,'Pre-Summary'!$AE$6:$AJ$85,6, FALSE),"")</f>
        <v/>
      </c>
      <c r="K1090" s="45" t="str">
        <f>IFERROR(VLOOKUP(B1090,'Pre-Summary'!$DE$6:$DG$61,3,FALSE),"")</f>
        <v/>
      </c>
      <c r="L1090" s="45" t="str">
        <f>IFERROR(VLOOKUP(B1090,'Pre-Summary'!$CU$6:$CW$36,3,FALSE),"")</f>
        <v/>
      </c>
      <c r="M1090" s="45" t="str">
        <f>IFERROR(VLOOKUP(B1090,'Pre-Summary'!$BW$6:$BY$58,2,FALSE),"")</f>
        <v/>
      </c>
      <c r="N1090" s="45" t="str">
        <f>IFERROR(VLOOKUP(B1090,'Pre-Summary'!$CD$6:$CF$64,2,FALSE),"")</f>
        <v/>
      </c>
      <c r="O1090" s="99">
        <f>IFERROR(VLOOKUP(B1090,'Pre-Summary'!$BO$6:$BQ$48,3, FALSE),O1089)</f>
        <v>1.2</v>
      </c>
      <c r="P1090" s="99">
        <f>IFERROR(VLOOKUP(B1090,'Pre-Summary'!$BS$6:$BU$35,3,FALSE),P1089)</f>
        <v>0.3</v>
      </c>
      <c r="Q1090" s="54">
        <f t="shared" si="48"/>
        <v>4</v>
      </c>
      <c r="R1090" s="53">
        <f>IFERROR(VLOOKUP(B1090,'Pre-Summary'!$BG$6:$BM$44,7,FALSE),R1091)</f>
        <v>7.6574939085447311E-2</v>
      </c>
      <c r="S1090" s="53">
        <f>IFERROR(VLOOKUP(B1090,'Pre-Summary'!$BG$6:$BM$44,6,FALSE),S1091)</f>
        <v>6.8761751275839902E-2</v>
      </c>
      <c r="T1090" s="45" t="str">
        <f>IFERROR(VLOOKUP(B1090,'Pre-Summary'!$Y$6:$AC$83, 3,FALSE),"")</f>
        <v/>
      </c>
      <c r="U1090" s="45" t="str">
        <f>IFERROR(VLOOKUP(B1090,'Pre-Summary'!$Y$6:$AC$83, 4,FALSE),"")</f>
        <v/>
      </c>
      <c r="V1090" t="str">
        <f>IFERROR(VLOOKUP(B1090,'Pre-Summary'!$Y$6:$AC$83, 5,FALSE),"")</f>
        <v/>
      </c>
      <c r="W1090" s="45" t="str">
        <f>IFERROR(VLOOKUP(B1090,'Pre-Summary'!$Y$6:$AD$83,6,FALSE),"")</f>
        <v/>
      </c>
      <c r="X1090" t="str">
        <f>IFERROR(VLOOKUP('Pre-Summary'!$DB$6:$DD$63,3,FALSE),"")</f>
        <v/>
      </c>
      <c r="Y1090" t="str">
        <f>IFERROR(VLOOKUP(B1090,'Pre-Summary'!$CR$6:$CT$36,3,FALSE),"")</f>
        <v/>
      </c>
      <c r="Z1090" s="45" t="str">
        <f>IFERROR(VLOOKUP(B1090,'Pre-Summary'!$BZ$6:$CB$63,2,FALSE),"")</f>
        <v/>
      </c>
      <c r="AA1090" s="45" t="str">
        <f>IFERROR(VLOOKUP(B1090,'Pre-Summary'!$CG$6:$CI$70,2,FALSE),"")</f>
        <v/>
      </c>
      <c r="AB1090" s="99">
        <f>IFERROR(VLOOKUP(B1090,'Pre-Summary'!$A$6:$P$178,9,FALSE),AB1091)</f>
        <v>0.45533763440924657</v>
      </c>
      <c r="AC1090" s="10">
        <f>IFERROR(VLOOKUP(Summary!B1090,'Pre-Summary'!$A$6:$P$184,5, FALSE)/100,AC1091)</f>
        <v>0.89807866666666669</v>
      </c>
      <c r="AD1090" s="10">
        <f>IFERROR(VLOOKUP(Summary!B1090,'Pre-Summary'!$A$6:$P$184,3, FALSE)/100,AD1091)</f>
        <v>1.5917000000000001E-2</v>
      </c>
      <c r="AE1090" s="10">
        <f>IFERROR(VLOOKUP(Summary!B1090,'Pre-Summary'!$A$6:$P$184,7, FALSE)/100,AE1091)</f>
        <v>8.6004666666666674E-2</v>
      </c>
      <c r="AF1090" s="99">
        <f t="shared" si="49"/>
        <v>7.2476091268919782E-3</v>
      </c>
      <c r="AG1090" s="99">
        <f t="shared" si="50"/>
        <v>3.9161161468155785E-2</v>
      </c>
      <c r="AH1090" s="10" t="str">
        <f>IFERROR(VLOOKUP(B1090,'Pre-Summary'!$AZ$6:$BE$65,3,FALSE),"")</f>
        <v/>
      </c>
      <c r="AI1090" s="10" t="str">
        <f>IFERROR(VLOOKUP(B1090,'Pre-Summary'!$AZ$6:$BE$65,5,FALSE),"")</f>
        <v/>
      </c>
      <c r="AJ1090" s="10" t="str">
        <f>IFERROR(VLOOKUP(B1090,'Pre-Summary'!$AZ$6:$BE$65,4,FALSE),"")</f>
        <v/>
      </c>
      <c r="AK1090" s="10" t="str">
        <f>IFERROR(VLOOKUP(B1090,'Pre-Summary'!$AZ$6:$BE$65,6,FALSE),"")</f>
        <v/>
      </c>
      <c r="AL1090" s="10" t="str">
        <f>IFERROR(VLOOKUP(B1090,'Pre-Summary'!$BG$6:$BL$44,3,FALSE),"")</f>
        <v/>
      </c>
      <c r="AM1090" s="10" t="str">
        <f>IFERROR(VLOOKUP(B1090,'Pre-Summary'!$BG$6:$BL$44,4,FALSE),"")</f>
        <v/>
      </c>
    </row>
    <row r="1091" spans="2:39" ht="15" customHeight="1" x14ac:dyDescent="0.3">
      <c r="B1091">
        <v>108.8</v>
      </c>
      <c r="C1091" t="str">
        <f>IFERROR(VLOOKUP(B1091,'Pre-Summary'!$DI$6:$DM$23,4,FALSE),"")</f>
        <v/>
      </c>
      <c r="D1091" s="10" t="str">
        <f>IFERROR(VLOOKUP(B1091,'Pre-Summary'!$AT$6:$AX$14,5,FALSE),D1090)</f>
        <v>DSMZ v4: dropped out methanol</v>
      </c>
      <c r="E1091" s="10" t="str">
        <f>IFERROR(VLOOKUP(B1091,'Pre-Summary'!$AT$6:$AX$15,4,FALSE),"")</f>
        <v/>
      </c>
      <c r="F1091">
        <f>IFERROR(VLOOKUP(B1091,'Pre-Summary'!$AL$6:$AQ$13,6,FALSE),F1090)</f>
        <v>5.9405263157894746E-2</v>
      </c>
      <c r="G1091" t="str">
        <f>IFERROR(VLOOKUP(B1091,'Pre-Summary'!$AE$6:$AJ$85,3,FALSE),"")</f>
        <v/>
      </c>
      <c r="H1091" t="str">
        <f>IFERROR(VLOOKUP(B1091,'Pre-Summary'!$AE$6:$AJ$85,4,FALSE),"")</f>
        <v/>
      </c>
      <c r="I1091" t="str">
        <f>IFERROR(VLOOKUP(B1091,'Pre-Summary'!$AE$6:$AJ$85,5,FALSE),"")</f>
        <v/>
      </c>
      <c r="J1091" s="45" t="str">
        <f>IFERROR(VLOOKUP(B1091,'Pre-Summary'!$AE$6:$AJ$85,6, FALSE),"")</f>
        <v/>
      </c>
      <c r="K1091" s="45" t="str">
        <f>IFERROR(VLOOKUP(B1091,'Pre-Summary'!$DE$6:$DG$61,3,FALSE),"")</f>
        <v/>
      </c>
      <c r="L1091" s="45" t="str">
        <f>IFERROR(VLOOKUP(B1091,'Pre-Summary'!$CU$6:$CW$36,3,FALSE),"")</f>
        <v/>
      </c>
      <c r="M1091" s="45" t="str">
        <f>IFERROR(VLOOKUP(B1091,'Pre-Summary'!$BW$6:$BY$58,2,FALSE),"")</f>
        <v/>
      </c>
      <c r="N1091" s="45" t="str">
        <f>IFERROR(VLOOKUP(B1091,'Pre-Summary'!$CD$6:$CF$64,2,FALSE),"")</f>
        <v/>
      </c>
      <c r="O1091" s="99">
        <f>IFERROR(VLOOKUP(B1091,'Pre-Summary'!$BO$6:$BQ$48,3, FALSE),O1090)</f>
        <v>1.2</v>
      </c>
      <c r="P1091" s="99">
        <f>IFERROR(VLOOKUP(B1091,'Pre-Summary'!$BS$6:$BU$35,3,FALSE),P1090)</f>
        <v>0.3</v>
      </c>
      <c r="Q1091" s="54">
        <f t="shared" ref="Q1091:Q1154" si="51">O1091/P1091</f>
        <v>4</v>
      </c>
      <c r="R1091" s="53">
        <f>IFERROR(VLOOKUP(B1091,'Pre-Summary'!$BG$6:$BM$44,7,FALSE),R1092)</f>
        <v>7.6574939085447311E-2</v>
      </c>
      <c r="S1091" s="53">
        <f>IFERROR(VLOOKUP(B1091,'Pre-Summary'!$BG$6:$BM$44,6,FALSE),S1092)</f>
        <v>6.8761751275839902E-2</v>
      </c>
      <c r="T1091" s="45" t="str">
        <f>IFERROR(VLOOKUP(B1091,'Pre-Summary'!$Y$6:$AC$83, 3,FALSE),"")</f>
        <v/>
      </c>
      <c r="U1091" s="45" t="str">
        <f>IFERROR(VLOOKUP(B1091,'Pre-Summary'!$Y$6:$AC$83, 4,FALSE),"")</f>
        <v/>
      </c>
      <c r="V1091" t="str">
        <f>IFERROR(VLOOKUP(B1091,'Pre-Summary'!$Y$6:$AC$83, 5,FALSE),"")</f>
        <v/>
      </c>
      <c r="W1091" s="45" t="str">
        <f>IFERROR(VLOOKUP(B1091,'Pre-Summary'!$Y$6:$AD$83,6,FALSE),"")</f>
        <v/>
      </c>
      <c r="X1091" t="str">
        <f>IFERROR(VLOOKUP('Pre-Summary'!$DB$6:$DD$63,3,FALSE),"")</f>
        <v/>
      </c>
      <c r="Y1091" t="str">
        <f>IFERROR(VLOOKUP(B1091,'Pre-Summary'!$CR$6:$CT$36,3,FALSE),"")</f>
        <v/>
      </c>
      <c r="Z1091" s="45" t="str">
        <f>IFERROR(VLOOKUP(B1091,'Pre-Summary'!$BZ$6:$CB$63,2,FALSE),"")</f>
        <v/>
      </c>
      <c r="AA1091" s="45" t="str">
        <f>IFERROR(VLOOKUP(B1091,'Pre-Summary'!$CG$6:$CI$70,2,FALSE),"")</f>
        <v/>
      </c>
      <c r="AB1091" s="99">
        <f>IFERROR(VLOOKUP(B1091,'Pre-Summary'!$A$6:$P$178,9,FALSE),AB1092)</f>
        <v>0.45533763440924657</v>
      </c>
      <c r="AC1091" s="10">
        <f>IFERROR(VLOOKUP(Summary!B1091,'Pre-Summary'!$A$6:$P$184,5, FALSE)/100,AC1092)</f>
        <v>0.89807866666666669</v>
      </c>
      <c r="AD1091" s="10">
        <f>IFERROR(VLOOKUP(Summary!B1091,'Pre-Summary'!$A$6:$P$184,3, FALSE)/100,AD1092)</f>
        <v>1.5917000000000001E-2</v>
      </c>
      <c r="AE1091" s="10">
        <f>IFERROR(VLOOKUP(Summary!B1091,'Pre-Summary'!$A$6:$P$184,7, FALSE)/100,AE1092)</f>
        <v>8.6004666666666674E-2</v>
      </c>
      <c r="AF1091" s="99">
        <f t="shared" ref="AF1091:AF1154" si="52">AD1091*AB1091</f>
        <v>7.2476091268919782E-3</v>
      </c>
      <c r="AG1091" s="99">
        <f t="shared" ref="AG1091:AG1154" si="53">AB1091*AE1091</f>
        <v>3.9161161468155785E-2</v>
      </c>
      <c r="AH1091" s="10" t="str">
        <f>IFERROR(VLOOKUP(B1091,'Pre-Summary'!$AZ$6:$BE$65,3,FALSE),"")</f>
        <v/>
      </c>
      <c r="AI1091" s="10" t="str">
        <f>IFERROR(VLOOKUP(B1091,'Pre-Summary'!$AZ$6:$BE$65,5,FALSE),"")</f>
        <v/>
      </c>
      <c r="AJ1091" s="10" t="str">
        <f>IFERROR(VLOOKUP(B1091,'Pre-Summary'!$AZ$6:$BE$65,4,FALSE),"")</f>
        <v/>
      </c>
      <c r="AK1091" s="10" t="str">
        <f>IFERROR(VLOOKUP(B1091,'Pre-Summary'!$AZ$6:$BE$65,6,FALSE),"")</f>
        <v/>
      </c>
      <c r="AL1091" s="10" t="str">
        <f>IFERROR(VLOOKUP(B1091,'Pre-Summary'!$BG$6:$BL$44,3,FALSE),"")</f>
        <v/>
      </c>
      <c r="AM1091" s="10" t="str">
        <f>IFERROR(VLOOKUP(B1091,'Pre-Summary'!$BG$6:$BL$44,4,FALSE),"")</f>
        <v/>
      </c>
    </row>
    <row r="1092" spans="2:39" ht="15" customHeight="1" x14ac:dyDescent="0.3">
      <c r="B1092">
        <v>108.9</v>
      </c>
      <c r="C1092" t="str">
        <f>IFERROR(VLOOKUP(B1092,'Pre-Summary'!$DI$6:$DM$23,4,FALSE),"")</f>
        <v/>
      </c>
      <c r="D1092" s="10" t="str">
        <f>IFERROR(VLOOKUP(B1092,'Pre-Summary'!$AT$6:$AX$14,5,FALSE),D1091)</f>
        <v>DSMZ v4: dropped out methanol</v>
      </c>
      <c r="E1092" s="10" t="str">
        <f>IFERROR(VLOOKUP(B1092,'Pre-Summary'!$AT$6:$AX$15,4,FALSE),"")</f>
        <v/>
      </c>
      <c r="F1092">
        <f>IFERROR(VLOOKUP(B1092,'Pre-Summary'!$AL$6:$AQ$13,6,FALSE),F1091)</f>
        <v>5.9405263157894746E-2</v>
      </c>
      <c r="G1092" t="str">
        <f>IFERROR(VLOOKUP(B1092,'Pre-Summary'!$AE$6:$AJ$85,3,FALSE),"")</f>
        <v/>
      </c>
      <c r="H1092" t="str">
        <f>IFERROR(VLOOKUP(B1092,'Pre-Summary'!$AE$6:$AJ$85,4,FALSE),"")</f>
        <v/>
      </c>
      <c r="I1092" t="str">
        <f>IFERROR(VLOOKUP(B1092,'Pre-Summary'!$AE$6:$AJ$85,5,FALSE),"")</f>
        <v/>
      </c>
      <c r="J1092" s="45" t="str">
        <f>IFERROR(VLOOKUP(B1092,'Pre-Summary'!$AE$6:$AJ$85,6, FALSE),"")</f>
        <v/>
      </c>
      <c r="K1092" s="45" t="str">
        <f>IFERROR(VLOOKUP(B1092,'Pre-Summary'!$DE$6:$DG$61,3,FALSE),"")</f>
        <v/>
      </c>
      <c r="L1092" s="45" t="str">
        <f>IFERROR(VLOOKUP(B1092,'Pre-Summary'!$CU$6:$CW$36,3,FALSE),"")</f>
        <v/>
      </c>
      <c r="M1092" s="45" t="str">
        <f>IFERROR(VLOOKUP(B1092,'Pre-Summary'!$BW$6:$BY$58,2,FALSE),"")</f>
        <v/>
      </c>
      <c r="N1092" s="45" t="str">
        <f>IFERROR(VLOOKUP(B1092,'Pre-Summary'!$CD$6:$CF$64,2,FALSE),"")</f>
        <v/>
      </c>
      <c r="O1092" s="99">
        <f>IFERROR(VLOOKUP(B1092,'Pre-Summary'!$BO$6:$BQ$48,3, FALSE),O1091)</f>
        <v>1.2</v>
      </c>
      <c r="P1092" s="99">
        <f>IFERROR(VLOOKUP(B1092,'Pre-Summary'!$BS$6:$BU$35,3,FALSE),P1091)</f>
        <v>0.3</v>
      </c>
      <c r="Q1092" s="54">
        <f t="shared" si="51"/>
        <v>4</v>
      </c>
      <c r="R1092" s="53">
        <f>IFERROR(VLOOKUP(B1092,'Pre-Summary'!$BG$6:$BM$44,7,FALSE),R1093)</f>
        <v>7.6574939085447311E-2</v>
      </c>
      <c r="S1092" s="53">
        <f>IFERROR(VLOOKUP(B1092,'Pre-Summary'!$BG$6:$BM$44,6,FALSE),S1093)</f>
        <v>6.8761751275839902E-2</v>
      </c>
      <c r="T1092" s="45" t="str">
        <f>IFERROR(VLOOKUP(B1092,'Pre-Summary'!$Y$6:$AC$83, 3,FALSE),"")</f>
        <v/>
      </c>
      <c r="U1092" s="45" t="str">
        <f>IFERROR(VLOOKUP(B1092,'Pre-Summary'!$Y$6:$AC$83, 4,FALSE),"")</f>
        <v/>
      </c>
      <c r="V1092" t="str">
        <f>IFERROR(VLOOKUP(B1092,'Pre-Summary'!$Y$6:$AC$83, 5,FALSE),"")</f>
        <v/>
      </c>
      <c r="W1092" s="45" t="str">
        <f>IFERROR(VLOOKUP(B1092,'Pre-Summary'!$Y$6:$AD$83,6,FALSE),"")</f>
        <v/>
      </c>
      <c r="X1092" t="str">
        <f>IFERROR(VLOOKUP('Pre-Summary'!$DB$6:$DD$63,3,FALSE),"")</f>
        <v/>
      </c>
      <c r="Y1092" t="str">
        <f>IFERROR(VLOOKUP(B1092,'Pre-Summary'!$CR$6:$CT$36,3,FALSE),"")</f>
        <v/>
      </c>
      <c r="Z1092" s="45" t="str">
        <f>IFERROR(VLOOKUP(B1092,'Pre-Summary'!$BZ$6:$CB$63,2,FALSE),"")</f>
        <v/>
      </c>
      <c r="AA1092" s="45" t="str">
        <f>IFERROR(VLOOKUP(B1092,'Pre-Summary'!$CG$6:$CI$70,2,FALSE),"")</f>
        <v/>
      </c>
      <c r="AB1092" s="99">
        <f>IFERROR(VLOOKUP(B1092,'Pre-Summary'!$A$6:$P$178,9,FALSE),AB1093)</f>
        <v>0.45533763440924657</v>
      </c>
      <c r="AC1092" s="10">
        <f>IFERROR(VLOOKUP(Summary!B1092,'Pre-Summary'!$A$6:$P$184,5, FALSE)/100,AC1093)</f>
        <v>0.89807866666666669</v>
      </c>
      <c r="AD1092" s="10">
        <f>IFERROR(VLOOKUP(Summary!B1092,'Pre-Summary'!$A$6:$P$184,3, FALSE)/100,AD1093)</f>
        <v>1.5917000000000001E-2</v>
      </c>
      <c r="AE1092" s="10">
        <f>IFERROR(VLOOKUP(Summary!B1092,'Pre-Summary'!$A$6:$P$184,7, FALSE)/100,AE1093)</f>
        <v>8.6004666666666674E-2</v>
      </c>
      <c r="AF1092" s="99">
        <f t="shared" si="52"/>
        <v>7.2476091268919782E-3</v>
      </c>
      <c r="AG1092" s="99">
        <f t="shared" si="53"/>
        <v>3.9161161468155785E-2</v>
      </c>
      <c r="AH1092" s="10" t="str">
        <f>IFERROR(VLOOKUP(B1092,'Pre-Summary'!$AZ$6:$BE$65,3,FALSE),"")</f>
        <v/>
      </c>
      <c r="AI1092" s="10" t="str">
        <f>IFERROR(VLOOKUP(B1092,'Pre-Summary'!$AZ$6:$BE$65,5,FALSE),"")</f>
        <v/>
      </c>
      <c r="AJ1092" s="10" t="str">
        <f>IFERROR(VLOOKUP(B1092,'Pre-Summary'!$AZ$6:$BE$65,4,FALSE),"")</f>
        <v/>
      </c>
      <c r="AK1092" s="10" t="str">
        <f>IFERROR(VLOOKUP(B1092,'Pre-Summary'!$AZ$6:$BE$65,6,FALSE),"")</f>
        <v/>
      </c>
      <c r="AL1092" s="10" t="str">
        <f>IFERROR(VLOOKUP(B1092,'Pre-Summary'!$BG$6:$BL$44,3,FALSE),"")</f>
        <v/>
      </c>
      <c r="AM1092" s="10" t="str">
        <f>IFERROR(VLOOKUP(B1092,'Pre-Summary'!$BG$6:$BL$44,4,FALSE),"")</f>
        <v/>
      </c>
    </row>
    <row r="1093" spans="2:39" ht="15" customHeight="1" x14ac:dyDescent="0.3">
      <c r="B1093">
        <v>109</v>
      </c>
      <c r="C1093" t="str">
        <f>IFERROR(VLOOKUP(B1093,'Pre-Summary'!$DI$6:$DM$23,4,FALSE),"")</f>
        <v/>
      </c>
      <c r="D1093" s="10" t="str">
        <f>IFERROR(VLOOKUP(B1093,'Pre-Summary'!$AT$6:$AX$14,5,FALSE),D1092)</f>
        <v>DSMZ v4: dropped out methanol</v>
      </c>
      <c r="E1093" s="10" t="str">
        <f>IFERROR(VLOOKUP(B1093,'Pre-Summary'!$AT$6:$AX$15,4,FALSE),"")</f>
        <v/>
      </c>
      <c r="F1093">
        <f>IFERROR(VLOOKUP(B1093,'Pre-Summary'!$AL$6:$AQ$13,6,FALSE),F1092)</f>
        <v>5.9405263157894746E-2</v>
      </c>
      <c r="G1093" t="str">
        <f>IFERROR(VLOOKUP(B1093,'Pre-Summary'!$AE$6:$AJ$85,3,FALSE),"")</f>
        <v/>
      </c>
      <c r="H1093" t="str">
        <f>IFERROR(VLOOKUP(B1093,'Pre-Summary'!$AE$6:$AJ$85,4,FALSE),"")</f>
        <v/>
      </c>
      <c r="I1093" t="str">
        <f>IFERROR(VLOOKUP(B1093,'Pre-Summary'!$AE$6:$AJ$85,5,FALSE),"")</f>
        <v/>
      </c>
      <c r="J1093" s="45" t="str">
        <f>IFERROR(VLOOKUP(B1093,'Pre-Summary'!$AE$6:$AJ$85,6, FALSE),"")</f>
        <v/>
      </c>
      <c r="K1093" s="45" t="str">
        <f>IFERROR(VLOOKUP(B1093,'Pre-Summary'!$DE$6:$DG$61,3,FALSE),"")</f>
        <v/>
      </c>
      <c r="L1093" s="45" t="str">
        <f>IFERROR(VLOOKUP(B1093,'Pre-Summary'!$CU$6:$CW$36,3,FALSE),"")</f>
        <v/>
      </c>
      <c r="M1093" s="45" t="str">
        <f>IFERROR(VLOOKUP(B1093,'Pre-Summary'!$BW$6:$BY$58,2,FALSE),"")</f>
        <v/>
      </c>
      <c r="N1093" s="45" t="str">
        <f>IFERROR(VLOOKUP(B1093,'Pre-Summary'!$CD$6:$CF$64,2,FALSE),"")</f>
        <v/>
      </c>
      <c r="O1093" s="99">
        <f>IFERROR(VLOOKUP(B1093,'Pre-Summary'!$BO$6:$BQ$48,3, FALSE),O1092)</f>
        <v>1.2</v>
      </c>
      <c r="P1093" s="99">
        <f>IFERROR(VLOOKUP(B1093,'Pre-Summary'!$BS$6:$BU$35,3,FALSE),P1092)</f>
        <v>0.3</v>
      </c>
      <c r="Q1093" s="54">
        <f t="shared" si="51"/>
        <v>4</v>
      </c>
      <c r="R1093" s="53">
        <f>IFERROR(VLOOKUP(B1093,'Pre-Summary'!$BG$6:$BM$44,7,FALSE),R1094)</f>
        <v>7.6574939085447311E-2</v>
      </c>
      <c r="S1093" s="53">
        <f>IFERROR(VLOOKUP(B1093,'Pre-Summary'!$BG$6:$BM$44,6,FALSE),S1094)</f>
        <v>6.8761751275839902E-2</v>
      </c>
      <c r="T1093" s="45" t="str">
        <f>IFERROR(VLOOKUP(B1093,'Pre-Summary'!$Y$6:$AC$83, 3,FALSE),"")</f>
        <v/>
      </c>
      <c r="U1093" s="45" t="str">
        <f>IFERROR(VLOOKUP(B1093,'Pre-Summary'!$Y$6:$AC$83, 4,FALSE),"")</f>
        <v/>
      </c>
      <c r="V1093" t="str">
        <f>IFERROR(VLOOKUP(B1093,'Pre-Summary'!$Y$6:$AC$83, 5,FALSE),"")</f>
        <v/>
      </c>
      <c r="W1093" s="45" t="str">
        <f>IFERROR(VLOOKUP(B1093,'Pre-Summary'!$Y$6:$AD$83,6,FALSE),"")</f>
        <v/>
      </c>
      <c r="X1093" t="str">
        <f>IFERROR(VLOOKUP('Pre-Summary'!$DB$6:$DD$63,3,FALSE),"")</f>
        <v/>
      </c>
      <c r="Y1093" t="str">
        <f>IFERROR(VLOOKUP(B1093,'Pre-Summary'!$CR$6:$CT$36,3,FALSE),"")</f>
        <v/>
      </c>
      <c r="Z1093" s="45" t="str">
        <f>IFERROR(VLOOKUP(B1093,'Pre-Summary'!$BZ$6:$CB$63,2,FALSE),"")</f>
        <v/>
      </c>
      <c r="AA1093" s="45" t="str">
        <f>IFERROR(VLOOKUP(B1093,'Pre-Summary'!$CG$6:$CI$70,2,FALSE),"")</f>
        <v/>
      </c>
      <c r="AB1093" s="99">
        <f>IFERROR(VLOOKUP(B1093,'Pre-Summary'!$A$6:$P$178,9,FALSE),AB1094)</f>
        <v>0.45533763440924657</v>
      </c>
      <c r="AC1093" s="10">
        <f>IFERROR(VLOOKUP(Summary!B1093,'Pre-Summary'!$A$6:$P$184,5, FALSE)/100,AC1094)</f>
        <v>0.89807866666666669</v>
      </c>
      <c r="AD1093" s="10">
        <f>IFERROR(VLOOKUP(Summary!B1093,'Pre-Summary'!$A$6:$P$184,3, FALSE)/100,AD1094)</f>
        <v>1.5917000000000001E-2</v>
      </c>
      <c r="AE1093" s="10">
        <f>IFERROR(VLOOKUP(Summary!B1093,'Pre-Summary'!$A$6:$P$184,7, FALSE)/100,AE1094)</f>
        <v>8.6004666666666674E-2</v>
      </c>
      <c r="AF1093" s="99">
        <f t="shared" si="52"/>
        <v>7.2476091268919782E-3</v>
      </c>
      <c r="AG1093" s="99">
        <f t="shared" si="53"/>
        <v>3.9161161468155785E-2</v>
      </c>
      <c r="AH1093" s="10" t="str">
        <f>IFERROR(VLOOKUP(B1093,'Pre-Summary'!$AZ$6:$BE$65,3,FALSE),"")</f>
        <v/>
      </c>
      <c r="AI1093" s="10" t="str">
        <f>IFERROR(VLOOKUP(B1093,'Pre-Summary'!$AZ$6:$BE$65,5,FALSE),"")</f>
        <v/>
      </c>
      <c r="AJ1093" s="10" t="str">
        <f>IFERROR(VLOOKUP(B1093,'Pre-Summary'!$AZ$6:$BE$65,4,FALSE),"")</f>
        <v/>
      </c>
      <c r="AK1093" s="10" t="str">
        <f>IFERROR(VLOOKUP(B1093,'Pre-Summary'!$AZ$6:$BE$65,6,FALSE),"")</f>
        <v/>
      </c>
      <c r="AL1093" s="10" t="str">
        <f>IFERROR(VLOOKUP(B1093,'Pre-Summary'!$BG$6:$BL$44,3,FALSE),"")</f>
        <v/>
      </c>
      <c r="AM1093" s="10" t="str">
        <f>IFERROR(VLOOKUP(B1093,'Pre-Summary'!$BG$6:$BL$44,4,FALSE),"")</f>
        <v/>
      </c>
    </row>
    <row r="1094" spans="2:39" ht="15" customHeight="1" x14ac:dyDescent="0.3">
      <c r="B1094">
        <v>109.1</v>
      </c>
      <c r="C1094" t="str">
        <f>IFERROR(VLOOKUP(B1094,'Pre-Summary'!$DI$6:$DM$23,4,FALSE),"")</f>
        <v/>
      </c>
      <c r="D1094" s="10" t="str">
        <f>IFERROR(VLOOKUP(B1094,'Pre-Summary'!$AT$6:$AX$14,5,FALSE),D1093)</f>
        <v>DSMZ v4: dropped out methanol</v>
      </c>
      <c r="E1094" s="10" t="str">
        <f>IFERROR(VLOOKUP(B1094,'Pre-Summary'!$AT$6:$AX$15,4,FALSE),"")</f>
        <v/>
      </c>
      <c r="F1094">
        <f>IFERROR(VLOOKUP(B1094,'Pre-Summary'!$AL$6:$AQ$13,6,FALSE),F1093)</f>
        <v>5.9405263157894746E-2</v>
      </c>
      <c r="G1094" t="str">
        <f>IFERROR(VLOOKUP(B1094,'Pre-Summary'!$AE$6:$AJ$85,3,FALSE),"")</f>
        <v/>
      </c>
      <c r="H1094" t="str">
        <f>IFERROR(VLOOKUP(B1094,'Pre-Summary'!$AE$6:$AJ$85,4,FALSE),"")</f>
        <v/>
      </c>
      <c r="I1094" t="str">
        <f>IFERROR(VLOOKUP(B1094,'Pre-Summary'!$AE$6:$AJ$85,5,FALSE),"")</f>
        <v/>
      </c>
      <c r="J1094" s="45" t="str">
        <f>IFERROR(VLOOKUP(B1094,'Pre-Summary'!$AE$6:$AJ$85,6, FALSE),"")</f>
        <v/>
      </c>
      <c r="K1094" s="45" t="str">
        <f>IFERROR(VLOOKUP(B1094,'Pre-Summary'!$DE$6:$DG$61,3,FALSE),"")</f>
        <v/>
      </c>
      <c r="L1094" s="45" t="str">
        <f>IFERROR(VLOOKUP(B1094,'Pre-Summary'!$CU$6:$CW$36,3,FALSE),"")</f>
        <v/>
      </c>
      <c r="M1094" s="45" t="str">
        <f>IFERROR(VLOOKUP(B1094,'Pre-Summary'!$BW$6:$BY$58,2,FALSE),"")</f>
        <v/>
      </c>
      <c r="N1094" s="45" t="str">
        <f>IFERROR(VLOOKUP(B1094,'Pre-Summary'!$CD$6:$CF$64,2,FALSE),"")</f>
        <v/>
      </c>
      <c r="O1094" s="99">
        <f>IFERROR(VLOOKUP(B1094,'Pre-Summary'!$BO$6:$BQ$48,3, FALSE),O1093)</f>
        <v>1.2</v>
      </c>
      <c r="P1094" s="99">
        <f>IFERROR(VLOOKUP(B1094,'Pre-Summary'!$BS$6:$BU$35,3,FALSE),P1093)</f>
        <v>0.3</v>
      </c>
      <c r="Q1094" s="54">
        <f t="shared" si="51"/>
        <v>4</v>
      </c>
      <c r="R1094" s="53">
        <f>IFERROR(VLOOKUP(B1094,'Pre-Summary'!$BG$6:$BM$44,7,FALSE),R1095)</f>
        <v>7.6574939085447311E-2</v>
      </c>
      <c r="S1094" s="53">
        <f>IFERROR(VLOOKUP(B1094,'Pre-Summary'!$BG$6:$BM$44,6,FALSE),S1095)</f>
        <v>6.8761751275839902E-2</v>
      </c>
      <c r="T1094" s="45" t="str">
        <f>IFERROR(VLOOKUP(B1094,'Pre-Summary'!$Y$6:$AC$83, 3,FALSE),"")</f>
        <v/>
      </c>
      <c r="U1094" s="45" t="str">
        <f>IFERROR(VLOOKUP(B1094,'Pre-Summary'!$Y$6:$AC$83, 4,FALSE),"")</f>
        <v/>
      </c>
      <c r="V1094" t="str">
        <f>IFERROR(VLOOKUP(B1094,'Pre-Summary'!$Y$6:$AC$83, 5,FALSE),"")</f>
        <v/>
      </c>
      <c r="W1094" s="45" t="str">
        <f>IFERROR(VLOOKUP(B1094,'Pre-Summary'!$Y$6:$AD$83,6,FALSE),"")</f>
        <v/>
      </c>
      <c r="X1094" t="str">
        <f>IFERROR(VLOOKUP('Pre-Summary'!$DB$6:$DD$63,3,FALSE),"")</f>
        <v/>
      </c>
      <c r="Y1094" t="str">
        <f>IFERROR(VLOOKUP(B1094,'Pre-Summary'!$CR$6:$CT$36,3,FALSE),"")</f>
        <v/>
      </c>
      <c r="Z1094" s="45" t="str">
        <f>IFERROR(VLOOKUP(B1094,'Pre-Summary'!$BZ$6:$CB$63,2,FALSE),"")</f>
        <v/>
      </c>
      <c r="AA1094" s="45" t="str">
        <f>IFERROR(VLOOKUP(B1094,'Pre-Summary'!$CG$6:$CI$70,2,FALSE),"")</f>
        <v/>
      </c>
      <c r="AB1094" s="99">
        <f>IFERROR(VLOOKUP(B1094,'Pre-Summary'!$A$6:$P$178,9,FALSE),AB1095)</f>
        <v>0.45533763440924657</v>
      </c>
      <c r="AC1094" s="10">
        <f>IFERROR(VLOOKUP(Summary!B1094,'Pre-Summary'!$A$6:$P$184,5, FALSE)/100,AC1095)</f>
        <v>0.89807866666666669</v>
      </c>
      <c r="AD1094" s="10">
        <f>IFERROR(VLOOKUP(Summary!B1094,'Pre-Summary'!$A$6:$P$184,3, FALSE)/100,AD1095)</f>
        <v>1.5917000000000001E-2</v>
      </c>
      <c r="AE1094" s="10">
        <f>IFERROR(VLOOKUP(Summary!B1094,'Pre-Summary'!$A$6:$P$184,7, FALSE)/100,AE1095)</f>
        <v>8.6004666666666674E-2</v>
      </c>
      <c r="AF1094" s="99">
        <f t="shared" si="52"/>
        <v>7.2476091268919782E-3</v>
      </c>
      <c r="AG1094" s="99">
        <f t="shared" si="53"/>
        <v>3.9161161468155785E-2</v>
      </c>
      <c r="AH1094" s="10" t="str">
        <f>IFERROR(VLOOKUP(B1094,'Pre-Summary'!$AZ$6:$BE$65,3,FALSE),"")</f>
        <v/>
      </c>
      <c r="AI1094" s="10" t="str">
        <f>IFERROR(VLOOKUP(B1094,'Pre-Summary'!$AZ$6:$BE$65,5,FALSE),"")</f>
        <v/>
      </c>
      <c r="AJ1094" s="10" t="str">
        <f>IFERROR(VLOOKUP(B1094,'Pre-Summary'!$AZ$6:$BE$65,4,FALSE),"")</f>
        <v/>
      </c>
      <c r="AK1094" s="10" t="str">
        <f>IFERROR(VLOOKUP(B1094,'Pre-Summary'!$AZ$6:$BE$65,6,FALSE),"")</f>
        <v/>
      </c>
      <c r="AL1094" s="10" t="str">
        <f>IFERROR(VLOOKUP(B1094,'Pre-Summary'!$BG$6:$BL$44,3,FALSE),"")</f>
        <v/>
      </c>
      <c r="AM1094" s="10" t="str">
        <f>IFERROR(VLOOKUP(B1094,'Pre-Summary'!$BG$6:$BL$44,4,FALSE),"")</f>
        <v/>
      </c>
    </row>
    <row r="1095" spans="2:39" ht="15" customHeight="1" x14ac:dyDescent="0.3">
      <c r="B1095">
        <v>109.2</v>
      </c>
      <c r="C1095" t="str">
        <f>IFERROR(VLOOKUP(B1095,'Pre-Summary'!$DI$6:$DM$23,4,FALSE),"")</f>
        <v/>
      </c>
      <c r="D1095" s="10" t="str">
        <f>IFERROR(VLOOKUP(B1095,'Pre-Summary'!$AT$6:$AX$14,5,FALSE),D1094)</f>
        <v>DSMZ v4: dropped out methanol</v>
      </c>
      <c r="E1095" s="10" t="str">
        <f>IFERROR(VLOOKUP(B1095,'Pre-Summary'!$AT$6:$AX$15,4,FALSE),"")</f>
        <v/>
      </c>
      <c r="F1095">
        <f>IFERROR(VLOOKUP(B1095,'Pre-Summary'!$AL$6:$AQ$13,6,FALSE),F1094)</f>
        <v>5.9405263157894746E-2</v>
      </c>
      <c r="G1095" t="str">
        <f>IFERROR(VLOOKUP(B1095,'Pre-Summary'!$AE$6:$AJ$85,3,FALSE),"")</f>
        <v/>
      </c>
      <c r="H1095" t="str">
        <f>IFERROR(VLOOKUP(B1095,'Pre-Summary'!$AE$6:$AJ$85,4,FALSE),"")</f>
        <v/>
      </c>
      <c r="I1095" t="str">
        <f>IFERROR(VLOOKUP(B1095,'Pre-Summary'!$AE$6:$AJ$85,5,FALSE),"")</f>
        <v/>
      </c>
      <c r="J1095" s="45" t="str">
        <f>IFERROR(VLOOKUP(B1095,'Pre-Summary'!$AE$6:$AJ$85,6, FALSE),"")</f>
        <v/>
      </c>
      <c r="K1095" s="45" t="str">
        <f>IFERROR(VLOOKUP(B1095,'Pre-Summary'!$DE$6:$DG$61,3,FALSE),"")</f>
        <v/>
      </c>
      <c r="L1095" s="45" t="str">
        <f>IFERROR(VLOOKUP(B1095,'Pre-Summary'!$CU$6:$CW$36,3,FALSE),"")</f>
        <v/>
      </c>
      <c r="M1095" s="45" t="str">
        <f>IFERROR(VLOOKUP(B1095,'Pre-Summary'!$BW$6:$BY$58,2,FALSE),"")</f>
        <v/>
      </c>
      <c r="N1095" s="45" t="str">
        <f>IFERROR(VLOOKUP(B1095,'Pre-Summary'!$CD$6:$CF$64,2,FALSE),"")</f>
        <v/>
      </c>
      <c r="O1095" s="99">
        <f>IFERROR(VLOOKUP(B1095,'Pre-Summary'!$BO$6:$BQ$48,3, FALSE),O1094)</f>
        <v>1.2</v>
      </c>
      <c r="P1095" s="99">
        <f>IFERROR(VLOOKUP(B1095,'Pre-Summary'!$BS$6:$BU$35,3,FALSE),P1094)</f>
        <v>0.3</v>
      </c>
      <c r="Q1095" s="54">
        <f t="shared" si="51"/>
        <v>4</v>
      </c>
      <c r="R1095" s="53">
        <f>IFERROR(VLOOKUP(B1095,'Pre-Summary'!$BG$6:$BM$44,7,FALSE),R1096)</f>
        <v>7.6574939085447311E-2</v>
      </c>
      <c r="S1095" s="53">
        <f>IFERROR(VLOOKUP(B1095,'Pre-Summary'!$BG$6:$BM$44,6,FALSE),S1096)</f>
        <v>6.8761751275839902E-2</v>
      </c>
      <c r="T1095" s="45" t="str">
        <f>IFERROR(VLOOKUP(B1095,'Pre-Summary'!$Y$6:$AC$83, 3,FALSE),"")</f>
        <v/>
      </c>
      <c r="U1095" s="45" t="str">
        <f>IFERROR(VLOOKUP(B1095,'Pre-Summary'!$Y$6:$AC$83, 4,FALSE),"")</f>
        <v/>
      </c>
      <c r="V1095" t="str">
        <f>IFERROR(VLOOKUP(B1095,'Pre-Summary'!$Y$6:$AC$83, 5,FALSE),"")</f>
        <v/>
      </c>
      <c r="W1095" s="45" t="str">
        <f>IFERROR(VLOOKUP(B1095,'Pre-Summary'!$Y$6:$AD$83,6,FALSE),"")</f>
        <v/>
      </c>
      <c r="X1095" t="str">
        <f>IFERROR(VLOOKUP('Pre-Summary'!$DB$6:$DD$63,3,FALSE),"")</f>
        <v/>
      </c>
      <c r="Y1095" t="str">
        <f>IFERROR(VLOOKUP(B1095,'Pre-Summary'!$CR$6:$CT$36,3,FALSE),"")</f>
        <v/>
      </c>
      <c r="Z1095" s="45" t="str">
        <f>IFERROR(VLOOKUP(B1095,'Pre-Summary'!$BZ$6:$CB$63,2,FALSE),"")</f>
        <v/>
      </c>
      <c r="AA1095" s="45" t="str">
        <f>IFERROR(VLOOKUP(B1095,'Pre-Summary'!$CG$6:$CI$70,2,FALSE),"")</f>
        <v/>
      </c>
      <c r="AB1095" s="99">
        <f>IFERROR(VLOOKUP(B1095,'Pre-Summary'!$A$6:$P$178,9,FALSE),AB1096)</f>
        <v>0.45533763440924657</v>
      </c>
      <c r="AC1095" s="10">
        <f>IFERROR(VLOOKUP(Summary!B1095,'Pre-Summary'!$A$6:$P$184,5, FALSE)/100,AC1096)</f>
        <v>0.89807866666666669</v>
      </c>
      <c r="AD1095" s="10">
        <f>IFERROR(VLOOKUP(Summary!B1095,'Pre-Summary'!$A$6:$P$184,3, FALSE)/100,AD1096)</f>
        <v>1.5917000000000001E-2</v>
      </c>
      <c r="AE1095" s="10">
        <f>IFERROR(VLOOKUP(Summary!B1095,'Pre-Summary'!$A$6:$P$184,7, FALSE)/100,AE1096)</f>
        <v>8.6004666666666674E-2</v>
      </c>
      <c r="AF1095" s="99">
        <f t="shared" si="52"/>
        <v>7.2476091268919782E-3</v>
      </c>
      <c r="AG1095" s="99">
        <f t="shared" si="53"/>
        <v>3.9161161468155785E-2</v>
      </c>
      <c r="AH1095" s="10" t="str">
        <f>IFERROR(VLOOKUP(B1095,'Pre-Summary'!$AZ$6:$BE$65,3,FALSE),"")</f>
        <v/>
      </c>
      <c r="AI1095" s="10" t="str">
        <f>IFERROR(VLOOKUP(B1095,'Pre-Summary'!$AZ$6:$BE$65,5,FALSE),"")</f>
        <v/>
      </c>
      <c r="AJ1095" s="10" t="str">
        <f>IFERROR(VLOOKUP(B1095,'Pre-Summary'!$AZ$6:$BE$65,4,FALSE),"")</f>
        <v/>
      </c>
      <c r="AK1095" s="10" t="str">
        <f>IFERROR(VLOOKUP(B1095,'Pre-Summary'!$AZ$6:$BE$65,6,FALSE),"")</f>
        <v/>
      </c>
      <c r="AL1095" s="10" t="str">
        <f>IFERROR(VLOOKUP(B1095,'Pre-Summary'!$BG$6:$BL$44,3,FALSE),"")</f>
        <v/>
      </c>
      <c r="AM1095" s="10" t="str">
        <f>IFERROR(VLOOKUP(B1095,'Pre-Summary'!$BG$6:$BL$44,4,FALSE),"")</f>
        <v/>
      </c>
    </row>
    <row r="1096" spans="2:39" ht="15" customHeight="1" x14ac:dyDescent="0.3">
      <c r="B1096">
        <v>109.3</v>
      </c>
      <c r="C1096" t="str">
        <f>IFERROR(VLOOKUP(B1096,'Pre-Summary'!$DI$6:$DM$23,4,FALSE),"")</f>
        <v/>
      </c>
      <c r="D1096" s="10" t="str">
        <f>IFERROR(VLOOKUP(B1096,'Pre-Summary'!$AT$6:$AX$14,5,FALSE),D1095)</f>
        <v>DSMZ v4: dropped out methanol</v>
      </c>
      <c r="E1096" s="10" t="str">
        <f>IFERROR(VLOOKUP(B1096,'Pre-Summary'!$AT$6:$AX$15,4,FALSE),"")</f>
        <v/>
      </c>
      <c r="F1096">
        <f>IFERROR(VLOOKUP(B1096,'Pre-Summary'!$AL$6:$AQ$13,6,FALSE),F1095)</f>
        <v>5.9405263157894746E-2</v>
      </c>
      <c r="G1096" t="str">
        <f>IFERROR(VLOOKUP(B1096,'Pre-Summary'!$AE$6:$AJ$85,3,FALSE),"")</f>
        <v/>
      </c>
      <c r="H1096" t="str">
        <f>IFERROR(VLOOKUP(B1096,'Pre-Summary'!$AE$6:$AJ$85,4,FALSE),"")</f>
        <v/>
      </c>
      <c r="I1096" t="str">
        <f>IFERROR(VLOOKUP(B1096,'Pre-Summary'!$AE$6:$AJ$85,5,FALSE),"")</f>
        <v/>
      </c>
      <c r="J1096" s="45" t="str">
        <f>IFERROR(VLOOKUP(B1096,'Pre-Summary'!$AE$6:$AJ$85,6, FALSE),"")</f>
        <v/>
      </c>
      <c r="K1096" s="45" t="str">
        <f>IFERROR(VLOOKUP(B1096,'Pre-Summary'!$DE$6:$DG$61,3,FALSE),"")</f>
        <v/>
      </c>
      <c r="L1096" s="45" t="str">
        <f>IFERROR(VLOOKUP(B1096,'Pre-Summary'!$CU$6:$CW$36,3,FALSE),"")</f>
        <v/>
      </c>
      <c r="M1096" s="45" t="str">
        <f>IFERROR(VLOOKUP(B1096,'Pre-Summary'!$BW$6:$BY$58,2,FALSE),"")</f>
        <v/>
      </c>
      <c r="N1096" s="45" t="str">
        <f>IFERROR(VLOOKUP(B1096,'Pre-Summary'!$CD$6:$CF$64,2,FALSE),"")</f>
        <v/>
      </c>
      <c r="O1096" s="99">
        <f>IFERROR(VLOOKUP(B1096,'Pre-Summary'!$BO$6:$BQ$48,3, FALSE),O1095)</f>
        <v>1.2</v>
      </c>
      <c r="P1096" s="99">
        <f>IFERROR(VLOOKUP(B1096,'Pre-Summary'!$BS$6:$BU$35,3,FALSE),P1095)</f>
        <v>0.3</v>
      </c>
      <c r="Q1096" s="54">
        <f t="shared" si="51"/>
        <v>4</v>
      </c>
      <c r="R1096" s="53">
        <f>IFERROR(VLOOKUP(B1096,'Pre-Summary'!$BG$6:$BM$44,7,FALSE),R1097)</f>
        <v>7.6574939085447311E-2</v>
      </c>
      <c r="S1096" s="53">
        <f>IFERROR(VLOOKUP(B1096,'Pre-Summary'!$BG$6:$BM$44,6,FALSE),S1097)</f>
        <v>6.8761751275839902E-2</v>
      </c>
      <c r="T1096" s="45" t="str">
        <f>IFERROR(VLOOKUP(B1096,'Pre-Summary'!$Y$6:$AC$83, 3,FALSE),"")</f>
        <v/>
      </c>
      <c r="U1096" s="45" t="str">
        <f>IFERROR(VLOOKUP(B1096,'Pre-Summary'!$Y$6:$AC$83, 4,FALSE),"")</f>
        <v/>
      </c>
      <c r="V1096" t="str">
        <f>IFERROR(VLOOKUP(B1096,'Pre-Summary'!$Y$6:$AC$83, 5,FALSE),"")</f>
        <v/>
      </c>
      <c r="W1096" s="45" t="str">
        <f>IFERROR(VLOOKUP(B1096,'Pre-Summary'!$Y$6:$AD$83,6,FALSE),"")</f>
        <v/>
      </c>
      <c r="X1096" t="str">
        <f>IFERROR(VLOOKUP('Pre-Summary'!$DB$6:$DD$63,3,FALSE),"")</f>
        <v/>
      </c>
      <c r="Y1096" t="str">
        <f>IFERROR(VLOOKUP(B1096,'Pre-Summary'!$CR$6:$CT$36,3,FALSE),"")</f>
        <v/>
      </c>
      <c r="Z1096" s="45" t="str">
        <f>IFERROR(VLOOKUP(B1096,'Pre-Summary'!$BZ$6:$CB$63,2,FALSE),"")</f>
        <v/>
      </c>
      <c r="AA1096" s="45" t="str">
        <f>IFERROR(VLOOKUP(B1096,'Pre-Summary'!$CG$6:$CI$70,2,FALSE),"")</f>
        <v/>
      </c>
      <c r="AB1096" s="99">
        <f>IFERROR(VLOOKUP(B1096,'Pre-Summary'!$A$6:$P$178,9,FALSE),AB1097)</f>
        <v>0.45533763440924657</v>
      </c>
      <c r="AC1096" s="10">
        <f>IFERROR(VLOOKUP(Summary!B1096,'Pre-Summary'!$A$6:$P$184,5, FALSE)/100,AC1097)</f>
        <v>0.89807866666666669</v>
      </c>
      <c r="AD1096" s="10">
        <f>IFERROR(VLOOKUP(Summary!B1096,'Pre-Summary'!$A$6:$P$184,3, FALSE)/100,AD1097)</f>
        <v>1.5917000000000001E-2</v>
      </c>
      <c r="AE1096" s="10">
        <f>IFERROR(VLOOKUP(Summary!B1096,'Pre-Summary'!$A$6:$P$184,7, FALSE)/100,AE1097)</f>
        <v>8.6004666666666674E-2</v>
      </c>
      <c r="AF1096" s="99">
        <f t="shared" si="52"/>
        <v>7.2476091268919782E-3</v>
      </c>
      <c r="AG1096" s="99">
        <f t="shared" si="53"/>
        <v>3.9161161468155785E-2</v>
      </c>
      <c r="AH1096" s="10" t="str">
        <f>IFERROR(VLOOKUP(B1096,'Pre-Summary'!$AZ$6:$BE$65,3,FALSE),"")</f>
        <v/>
      </c>
      <c r="AI1096" s="10" t="str">
        <f>IFERROR(VLOOKUP(B1096,'Pre-Summary'!$AZ$6:$BE$65,5,FALSE),"")</f>
        <v/>
      </c>
      <c r="AJ1096" s="10" t="str">
        <f>IFERROR(VLOOKUP(B1096,'Pre-Summary'!$AZ$6:$BE$65,4,FALSE),"")</f>
        <v/>
      </c>
      <c r="AK1096" s="10" t="str">
        <f>IFERROR(VLOOKUP(B1096,'Pre-Summary'!$AZ$6:$BE$65,6,FALSE),"")</f>
        <v/>
      </c>
      <c r="AL1096" s="10" t="str">
        <f>IFERROR(VLOOKUP(B1096,'Pre-Summary'!$BG$6:$BL$44,3,FALSE),"")</f>
        <v/>
      </c>
      <c r="AM1096" s="10" t="str">
        <f>IFERROR(VLOOKUP(B1096,'Pre-Summary'!$BG$6:$BL$44,4,FALSE),"")</f>
        <v/>
      </c>
    </row>
    <row r="1097" spans="2:39" ht="15" customHeight="1" x14ac:dyDescent="0.3">
      <c r="B1097">
        <v>109.4</v>
      </c>
      <c r="C1097" t="str">
        <f>IFERROR(VLOOKUP(B1097,'Pre-Summary'!$DI$6:$DM$23,4,FALSE),"")</f>
        <v/>
      </c>
      <c r="D1097" s="10" t="str">
        <f>IFERROR(VLOOKUP(B1097,'Pre-Summary'!$AT$6:$AX$14,5,FALSE),D1096)</f>
        <v>DSMZ v4: dropped out methanol</v>
      </c>
      <c r="E1097" s="10" t="str">
        <f>IFERROR(VLOOKUP(B1097,'Pre-Summary'!$AT$6:$AX$15,4,FALSE),"")</f>
        <v/>
      </c>
      <c r="F1097">
        <f>IFERROR(VLOOKUP(B1097,'Pre-Summary'!$AL$6:$AQ$13,6,FALSE),F1096)</f>
        <v>5.9405263157894746E-2</v>
      </c>
      <c r="G1097" t="str">
        <f>IFERROR(VLOOKUP(B1097,'Pre-Summary'!$AE$6:$AJ$85,3,FALSE),"")</f>
        <v/>
      </c>
      <c r="H1097" t="str">
        <f>IFERROR(VLOOKUP(B1097,'Pre-Summary'!$AE$6:$AJ$85,4,FALSE),"")</f>
        <v/>
      </c>
      <c r="I1097" t="str">
        <f>IFERROR(VLOOKUP(B1097,'Pre-Summary'!$AE$6:$AJ$85,5,FALSE),"")</f>
        <v/>
      </c>
      <c r="J1097" s="45" t="str">
        <f>IFERROR(VLOOKUP(B1097,'Pre-Summary'!$AE$6:$AJ$85,6, FALSE),"")</f>
        <v/>
      </c>
      <c r="K1097" s="45" t="str">
        <f>IFERROR(VLOOKUP(B1097,'Pre-Summary'!$DE$6:$DG$61,3,FALSE),"")</f>
        <v/>
      </c>
      <c r="L1097" s="45" t="str">
        <f>IFERROR(VLOOKUP(B1097,'Pre-Summary'!$CU$6:$CW$36,3,FALSE),"")</f>
        <v/>
      </c>
      <c r="M1097" s="45" t="str">
        <f>IFERROR(VLOOKUP(B1097,'Pre-Summary'!$BW$6:$BY$58,2,FALSE),"")</f>
        <v/>
      </c>
      <c r="N1097" s="45" t="str">
        <f>IFERROR(VLOOKUP(B1097,'Pre-Summary'!$CD$6:$CF$64,2,FALSE),"")</f>
        <v/>
      </c>
      <c r="O1097" s="99">
        <f>IFERROR(VLOOKUP(B1097,'Pre-Summary'!$BO$6:$BQ$48,3, FALSE),O1096)</f>
        <v>1.2</v>
      </c>
      <c r="P1097" s="99">
        <f>IFERROR(VLOOKUP(B1097,'Pre-Summary'!$BS$6:$BU$35,3,FALSE),P1096)</f>
        <v>0.3</v>
      </c>
      <c r="Q1097" s="54">
        <f t="shared" si="51"/>
        <v>4</v>
      </c>
      <c r="R1097" s="53">
        <f>IFERROR(VLOOKUP(B1097,'Pre-Summary'!$BG$6:$BM$44,7,FALSE),R1098)</f>
        <v>7.6574939085447311E-2</v>
      </c>
      <c r="S1097" s="53">
        <f>IFERROR(VLOOKUP(B1097,'Pre-Summary'!$BG$6:$BM$44,6,FALSE),S1098)</f>
        <v>6.8761751275839902E-2</v>
      </c>
      <c r="T1097" s="45" t="str">
        <f>IFERROR(VLOOKUP(B1097,'Pre-Summary'!$Y$6:$AC$83, 3,FALSE),"")</f>
        <v/>
      </c>
      <c r="U1097" s="45" t="str">
        <f>IFERROR(VLOOKUP(B1097,'Pre-Summary'!$Y$6:$AC$83, 4,FALSE),"")</f>
        <v/>
      </c>
      <c r="V1097" t="str">
        <f>IFERROR(VLOOKUP(B1097,'Pre-Summary'!$Y$6:$AC$83, 5,FALSE),"")</f>
        <v/>
      </c>
      <c r="W1097" s="45" t="str">
        <f>IFERROR(VLOOKUP(B1097,'Pre-Summary'!$Y$6:$AD$83,6,FALSE),"")</f>
        <v/>
      </c>
      <c r="X1097" t="str">
        <f>IFERROR(VLOOKUP('Pre-Summary'!$DB$6:$DD$63,3,FALSE),"")</f>
        <v/>
      </c>
      <c r="Y1097" t="str">
        <f>IFERROR(VLOOKUP(B1097,'Pre-Summary'!$CR$6:$CT$36,3,FALSE),"")</f>
        <v/>
      </c>
      <c r="Z1097" s="45" t="str">
        <f>IFERROR(VLOOKUP(B1097,'Pre-Summary'!$BZ$6:$CB$63,2,FALSE),"")</f>
        <v/>
      </c>
      <c r="AA1097" s="45" t="str">
        <f>IFERROR(VLOOKUP(B1097,'Pre-Summary'!$CG$6:$CI$70,2,FALSE),"")</f>
        <v/>
      </c>
      <c r="AB1097" s="99">
        <f>IFERROR(VLOOKUP(B1097,'Pre-Summary'!$A$6:$P$178,9,FALSE),AB1098)</f>
        <v>0.45533763440924657</v>
      </c>
      <c r="AC1097" s="10">
        <f>IFERROR(VLOOKUP(Summary!B1097,'Pre-Summary'!$A$6:$P$184,5, FALSE)/100,AC1098)</f>
        <v>0.89807866666666669</v>
      </c>
      <c r="AD1097" s="10">
        <f>IFERROR(VLOOKUP(Summary!B1097,'Pre-Summary'!$A$6:$P$184,3, FALSE)/100,AD1098)</f>
        <v>1.5917000000000001E-2</v>
      </c>
      <c r="AE1097" s="10">
        <f>IFERROR(VLOOKUP(Summary!B1097,'Pre-Summary'!$A$6:$P$184,7, FALSE)/100,AE1098)</f>
        <v>8.6004666666666674E-2</v>
      </c>
      <c r="AF1097" s="99">
        <f t="shared" si="52"/>
        <v>7.2476091268919782E-3</v>
      </c>
      <c r="AG1097" s="99">
        <f t="shared" si="53"/>
        <v>3.9161161468155785E-2</v>
      </c>
      <c r="AH1097" s="10" t="str">
        <f>IFERROR(VLOOKUP(B1097,'Pre-Summary'!$AZ$6:$BE$65,3,FALSE),"")</f>
        <v/>
      </c>
      <c r="AI1097" s="10" t="str">
        <f>IFERROR(VLOOKUP(B1097,'Pre-Summary'!$AZ$6:$BE$65,5,FALSE),"")</f>
        <v/>
      </c>
      <c r="AJ1097" s="10" t="str">
        <f>IFERROR(VLOOKUP(B1097,'Pre-Summary'!$AZ$6:$BE$65,4,FALSE),"")</f>
        <v/>
      </c>
      <c r="AK1097" s="10" t="str">
        <f>IFERROR(VLOOKUP(B1097,'Pre-Summary'!$AZ$6:$BE$65,6,FALSE),"")</f>
        <v/>
      </c>
      <c r="AL1097" s="10" t="str">
        <f>IFERROR(VLOOKUP(B1097,'Pre-Summary'!$BG$6:$BL$44,3,FALSE),"")</f>
        <v/>
      </c>
      <c r="AM1097" s="10" t="str">
        <f>IFERROR(VLOOKUP(B1097,'Pre-Summary'!$BG$6:$BL$44,4,FALSE),"")</f>
        <v/>
      </c>
    </row>
    <row r="1098" spans="2:39" ht="15" customHeight="1" x14ac:dyDescent="0.3">
      <c r="B1098">
        <v>109.5</v>
      </c>
      <c r="C1098" t="str">
        <f>IFERROR(VLOOKUP(B1098,'Pre-Summary'!$DI$6:$DM$23,4,FALSE),"")</f>
        <v/>
      </c>
      <c r="D1098" s="10" t="str">
        <f>IFERROR(VLOOKUP(B1098,'Pre-Summary'!$AT$6:$AX$14,5,FALSE),D1097)</f>
        <v>DSMZ v4: dropped out methanol</v>
      </c>
      <c r="E1098" s="10" t="str">
        <f>IFERROR(VLOOKUP(B1098,'Pre-Summary'!$AT$6:$AX$15,4,FALSE),"")</f>
        <v/>
      </c>
      <c r="F1098">
        <f>IFERROR(VLOOKUP(B1098,'Pre-Summary'!$AL$6:$AQ$13,6,FALSE),F1097)</f>
        <v>5.9405263157894746E-2</v>
      </c>
      <c r="G1098" t="str">
        <f>IFERROR(VLOOKUP(B1098,'Pre-Summary'!$AE$6:$AJ$85,3,FALSE),"")</f>
        <v/>
      </c>
      <c r="H1098" t="str">
        <f>IFERROR(VLOOKUP(B1098,'Pre-Summary'!$AE$6:$AJ$85,4,FALSE),"")</f>
        <v/>
      </c>
      <c r="I1098" t="str">
        <f>IFERROR(VLOOKUP(B1098,'Pre-Summary'!$AE$6:$AJ$85,5,FALSE),"")</f>
        <v/>
      </c>
      <c r="J1098" s="45" t="str">
        <f>IFERROR(VLOOKUP(B1098,'Pre-Summary'!$AE$6:$AJ$85,6, FALSE),"")</f>
        <v/>
      </c>
      <c r="K1098" s="45" t="str">
        <f>IFERROR(VLOOKUP(B1098,'Pre-Summary'!$DE$6:$DG$61,3,FALSE),"")</f>
        <v/>
      </c>
      <c r="L1098" s="45" t="str">
        <f>IFERROR(VLOOKUP(B1098,'Pre-Summary'!$CU$6:$CW$36,3,FALSE),"")</f>
        <v/>
      </c>
      <c r="M1098" s="45" t="str">
        <f>IFERROR(VLOOKUP(B1098,'Pre-Summary'!$BW$6:$BY$58,2,FALSE),"")</f>
        <v/>
      </c>
      <c r="N1098" s="45" t="str">
        <f>IFERROR(VLOOKUP(B1098,'Pre-Summary'!$CD$6:$CF$64,2,FALSE),"")</f>
        <v/>
      </c>
      <c r="O1098" s="99">
        <f>IFERROR(VLOOKUP(B1098,'Pre-Summary'!$BO$6:$BQ$48,3, FALSE),O1097)</f>
        <v>1.2</v>
      </c>
      <c r="P1098" s="99">
        <f>IFERROR(VLOOKUP(B1098,'Pre-Summary'!$BS$6:$BU$35,3,FALSE),P1097)</f>
        <v>0.3</v>
      </c>
      <c r="Q1098" s="54">
        <f t="shared" si="51"/>
        <v>4</v>
      </c>
      <c r="R1098" s="53">
        <f>IFERROR(VLOOKUP(B1098,'Pre-Summary'!$BG$6:$BM$44,7,FALSE),R1099)</f>
        <v>7.6574939085447311E-2</v>
      </c>
      <c r="S1098" s="53">
        <f>IFERROR(VLOOKUP(B1098,'Pre-Summary'!$BG$6:$BM$44,6,FALSE),S1099)</f>
        <v>6.8761751275839902E-2</v>
      </c>
      <c r="T1098" s="45" t="str">
        <f>IFERROR(VLOOKUP(B1098,'Pre-Summary'!$Y$6:$AC$83, 3,FALSE),"")</f>
        <v/>
      </c>
      <c r="U1098" s="45" t="str">
        <f>IFERROR(VLOOKUP(B1098,'Pre-Summary'!$Y$6:$AC$83, 4,FALSE),"")</f>
        <v/>
      </c>
      <c r="V1098" t="str">
        <f>IFERROR(VLOOKUP(B1098,'Pre-Summary'!$Y$6:$AC$83, 5,FALSE),"")</f>
        <v/>
      </c>
      <c r="W1098" s="45" t="str">
        <f>IFERROR(VLOOKUP(B1098,'Pre-Summary'!$Y$6:$AD$83,6,FALSE),"")</f>
        <v/>
      </c>
      <c r="X1098" t="str">
        <f>IFERROR(VLOOKUP('Pre-Summary'!$DB$6:$DD$63,3,FALSE),"")</f>
        <v/>
      </c>
      <c r="Y1098" t="str">
        <f>IFERROR(VLOOKUP(B1098,'Pre-Summary'!$CR$6:$CT$36,3,FALSE),"")</f>
        <v/>
      </c>
      <c r="Z1098" s="45" t="str">
        <f>IFERROR(VLOOKUP(B1098,'Pre-Summary'!$BZ$6:$CB$63,2,FALSE),"")</f>
        <v/>
      </c>
      <c r="AA1098" s="45" t="str">
        <f>IFERROR(VLOOKUP(B1098,'Pre-Summary'!$CG$6:$CI$70,2,FALSE),"")</f>
        <v/>
      </c>
      <c r="AB1098" s="99">
        <f>IFERROR(VLOOKUP(B1098,'Pre-Summary'!$A$6:$P$178,9,FALSE),AB1099)</f>
        <v>0.45533763440924657</v>
      </c>
      <c r="AC1098" s="10">
        <f>IFERROR(VLOOKUP(Summary!B1098,'Pre-Summary'!$A$6:$P$184,5, FALSE)/100,AC1099)</f>
        <v>0.89807866666666669</v>
      </c>
      <c r="AD1098" s="10">
        <f>IFERROR(VLOOKUP(Summary!B1098,'Pre-Summary'!$A$6:$P$184,3, FALSE)/100,AD1099)</f>
        <v>1.5917000000000001E-2</v>
      </c>
      <c r="AE1098" s="10">
        <f>IFERROR(VLOOKUP(Summary!B1098,'Pre-Summary'!$A$6:$P$184,7, FALSE)/100,AE1099)</f>
        <v>8.6004666666666674E-2</v>
      </c>
      <c r="AF1098" s="99">
        <f t="shared" si="52"/>
        <v>7.2476091268919782E-3</v>
      </c>
      <c r="AG1098" s="99">
        <f t="shared" si="53"/>
        <v>3.9161161468155785E-2</v>
      </c>
      <c r="AH1098" s="10" t="str">
        <f>IFERROR(VLOOKUP(B1098,'Pre-Summary'!$AZ$6:$BE$65,3,FALSE),"")</f>
        <v/>
      </c>
      <c r="AI1098" s="10" t="str">
        <f>IFERROR(VLOOKUP(B1098,'Pre-Summary'!$AZ$6:$BE$65,5,FALSE),"")</f>
        <v/>
      </c>
      <c r="AJ1098" s="10" t="str">
        <f>IFERROR(VLOOKUP(B1098,'Pre-Summary'!$AZ$6:$BE$65,4,FALSE),"")</f>
        <v/>
      </c>
      <c r="AK1098" s="10" t="str">
        <f>IFERROR(VLOOKUP(B1098,'Pre-Summary'!$AZ$6:$BE$65,6,FALSE),"")</f>
        <v/>
      </c>
      <c r="AL1098" s="10" t="str">
        <f>IFERROR(VLOOKUP(B1098,'Pre-Summary'!$BG$6:$BL$44,3,FALSE),"")</f>
        <v/>
      </c>
      <c r="AM1098" s="10" t="str">
        <f>IFERROR(VLOOKUP(B1098,'Pre-Summary'!$BG$6:$BL$44,4,FALSE),"")</f>
        <v/>
      </c>
    </row>
    <row r="1099" spans="2:39" ht="15" customHeight="1" x14ac:dyDescent="0.3">
      <c r="B1099">
        <v>109.6</v>
      </c>
      <c r="C1099" t="str">
        <f>IFERROR(VLOOKUP(B1099,'Pre-Summary'!$DI$6:$DM$23,4,FALSE),"")</f>
        <v/>
      </c>
      <c r="D1099" s="10" t="str">
        <f>IFERROR(VLOOKUP(B1099,'Pre-Summary'!$AT$6:$AX$14,5,FALSE),D1098)</f>
        <v>DSMZ v4: dropped out methanol</v>
      </c>
      <c r="E1099" s="10" t="str">
        <f>IFERROR(VLOOKUP(B1099,'Pre-Summary'!$AT$6:$AX$15,4,FALSE),"")</f>
        <v/>
      </c>
      <c r="F1099">
        <f>IFERROR(VLOOKUP(B1099,'Pre-Summary'!$AL$6:$AQ$13,6,FALSE),F1098)</f>
        <v>5.9405263157894746E-2</v>
      </c>
      <c r="G1099" t="str">
        <f>IFERROR(VLOOKUP(B1099,'Pre-Summary'!$AE$6:$AJ$85,3,FALSE),"")</f>
        <v/>
      </c>
      <c r="H1099" t="str">
        <f>IFERROR(VLOOKUP(B1099,'Pre-Summary'!$AE$6:$AJ$85,4,FALSE),"")</f>
        <v/>
      </c>
      <c r="I1099" t="str">
        <f>IFERROR(VLOOKUP(B1099,'Pre-Summary'!$AE$6:$AJ$85,5,FALSE),"")</f>
        <v/>
      </c>
      <c r="J1099" s="45" t="str">
        <f>IFERROR(VLOOKUP(B1099,'Pre-Summary'!$AE$6:$AJ$85,6, FALSE),"")</f>
        <v/>
      </c>
      <c r="K1099" s="45" t="str">
        <f>IFERROR(VLOOKUP(B1099,'Pre-Summary'!$DE$6:$DG$61,3,FALSE),"")</f>
        <v/>
      </c>
      <c r="L1099" s="45" t="str">
        <f>IFERROR(VLOOKUP(B1099,'Pre-Summary'!$CU$6:$CW$36,3,FALSE),"")</f>
        <v/>
      </c>
      <c r="M1099" s="45" t="str">
        <f>IFERROR(VLOOKUP(B1099,'Pre-Summary'!$BW$6:$BY$58,2,FALSE),"")</f>
        <v/>
      </c>
      <c r="N1099" s="45" t="str">
        <f>IFERROR(VLOOKUP(B1099,'Pre-Summary'!$CD$6:$CF$64,2,FALSE),"")</f>
        <v/>
      </c>
      <c r="O1099" s="99">
        <f>IFERROR(VLOOKUP(B1099,'Pre-Summary'!$BO$6:$BQ$48,3, FALSE),O1098)</f>
        <v>1.2</v>
      </c>
      <c r="P1099" s="99">
        <f>IFERROR(VLOOKUP(B1099,'Pre-Summary'!$BS$6:$BU$35,3,FALSE),P1098)</f>
        <v>0.3</v>
      </c>
      <c r="Q1099" s="54">
        <f t="shared" si="51"/>
        <v>4</v>
      </c>
      <c r="R1099" s="53">
        <f>IFERROR(VLOOKUP(B1099,'Pre-Summary'!$BG$6:$BM$44,7,FALSE),R1100)</f>
        <v>7.6574939085447311E-2</v>
      </c>
      <c r="S1099" s="53">
        <f>IFERROR(VLOOKUP(B1099,'Pre-Summary'!$BG$6:$BM$44,6,FALSE),S1100)</f>
        <v>6.8761751275839902E-2</v>
      </c>
      <c r="T1099" s="45" t="str">
        <f>IFERROR(VLOOKUP(B1099,'Pre-Summary'!$Y$6:$AC$83, 3,FALSE),"")</f>
        <v/>
      </c>
      <c r="U1099" s="45" t="str">
        <f>IFERROR(VLOOKUP(B1099,'Pre-Summary'!$Y$6:$AC$83, 4,FALSE),"")</f>
        <v/>
      </c>
      <c r="V1099" t="str">
        <f>IFERROR(VLOOKUP(B1099,'Pre-Summary'!$Y$6:$AC$83, 5,FALSE),"")</f>
        <v/>
      </c>
      <c r="W1099" s="45" t="str">
        <f>IFERROR(VLOOKUP(B1099,'Pre-Summary'!$Y$6:$AD$83,6,FALSE),"")</f>
        <v/>
      </c>
      <c r="X1099" t="str">
        <f>IFERROR(VLOOKUP('Pre-Summary'!$DB$6:$DD$63,3,FALSE),"")</f>
        <v/>
      </c>
      <c r="Y1099" t="str">
        <f>IFERROR(VLOOKUP(B1099,'Pre-Summary'!$CR$6:$CT$36,3,FALSE),"")</f>
        <v/>
      </c>
      <c r="Z1099" s="45" t="str">
        <f>IFERROR(VLOOKUP(B1099,'Pre-Summary'!$BZ$6:$CB$63,2,FALSE),"")</f>
        <v/>
      </c>
      <c r="AA1099" s="45" t="str">
        <f>IFERROR(VLOOKUP(B1099,'Pre-Summary'!$CG$6:$CI$70,2,FALSE),"")</f>
        <v/>
      </c>
      <c r="AB1099" s="99">
        <f>IFERROR(VLOOKUP(B1099,'Pre-Summary'!$A$6:$P$178,9,FALSE),AB1100)</f>
        <v>0.45533763440924657</v>
      </c>
      <c r="AC1099" s="10">
        <f>IFERROR(VLOOKUP(Summary!B1099,'Pre-Summary'!$A$6:$P$184,5, FALSE)/100,AC1100)</f>
        <v>0.89807866666666669</v>
      </c>
      <c r="AD1099" s="10">
        <f>IFERROR(VLOOKUP(Summary!B1099,'Pre-Summary'!$A$6:$P$184,3, FALSE)/100,AD1100)</f>
        <v>1.5917000000000001E-2</v>
      </c>
      <c r="AE1099" s="10">
        <f>IFERROR(VLOOKUP(Summary!B1099,'Pre-Summary'!$A$6:$P$184,7, FALSE)/100,AE1100)</f>
        <v>8.6004666666666674E-2</v>
      </c>
      <c r="AF1099" s="99">
        <f t="shared" si="52"/>
        <v>7.2476091268919782E-3</v>
      </c>
      <c r="AG1099" s="99">
        <f t="shared" si="53"/>
        <v>3.9161161468155785E-2</v>
      </c>
      <c r="AH1099" s="10" t="str">
        <f>IFERROR(VLOOKUP(B1099,'Pre-Summary'!$AZ$6:$BE$65,3,FALSE),"")</f>
        <v/>
      </c>
      <c r="AI1099" s="10" t="str">
        <f>IFERROR(VLOOKUP(B1099,'Pre-Summary'!$AZ$6:$BE$65,5,FALSE),"")</f>
        <v/>
      </c>
      <c r="AJ1099" s="10" t="str">
        <f>IFERROR(VLOOKUP(B1099,'Pre-Summary'!$AZ$6:$BE$65,4,FALSE),"")</f>
        <v/>
      </c>
      <c r="AK1099" s="10" t="str">
        <f>IFERROR(VLOOKUP(B1099,'Pre-Summary'!$AZ$6:$BE$65,6,FALSE),"")</f>
        <v/>
      </c>
      <c r="AL1099" s="10" t="str">
        <f>IFERROR(VLOOKUP(B1099,'Pre-Summary'!$BG$6:$BL$44,3,FALSE),"")</f>
        <v/>
      </c>
      <c r="AM1099" s="10" t="str">
        <f>IFERROR(VLOOKUP(B1099,'Pre-Summary'!$BG$6:$BL$44,4,FALSE),"")</f>
        <v/>
      </c>
    </row>
    <row r="1100" spans="2:39" ht="15" customHeight="1" x14ac:dyDescent="0.3">
      <c r="B1100">
        <v>109.7</v>
      </c>
      <c r="C1100" t="str">
        <f>IFERROR(VLOOKUP(B1100,'Pre-Summary'!$DI$6:$DM$23,4,FALSE),"")</f>
        <v/>
      </c>
      <c r="D1100" s="10" t="str">
        <f>IFERROR(VLOOKUP(B1100,'Pre-Summary'!$AT$6:$AX$14,5,FALSE),D1099)</f>
        <v>DSMZ v4: dropped out methanol</v>
      </c>
      <c r="E1100" s="10" t="str">
        <f>IFERROR(VLOOKUP(B1100,'Pre-Summary'!$AT$6:$AX$15,4,FALSE),"")</f>
        <v/>
      </c>
      <c r="F1100">
        <f>IFERROR(VLOOKUP(B1100,'Pre-Summary'!$AL$6:$AQ$13,6,FALSE),F1099)</f>
        <v>5.9405263157894746E-2</v>
      </c>
      <c r="G1100" t="str">
        <f>IFERROR(VLOOKUP(B1100,'Pre-Summary'!$AE$6:$AJ$85,3,FALSE),"")</f>
        <v/>
      </c>
      <c r="H1100" t="str">
        <f>IFERROR(VLOOKUP(B1100,'Pre-Summary'!$AE$6:$AJ$85,4,FALSE),"")</f>
        <v/>
      </c>
      <c r="I1100" t="str">
        <f>IFERROR(VLOOKUP(B1100,'Pre-Summary'!$AE$6:$AJ$85,5,FALSE),"")</f>
        <v/>
      </c>
      <c r="J1100" s="45" t="str">
        <f>IFERROR(VLOOKUP(B1100,'Pre-Summary'!$AE$6:$AJ$85,6, FALSE),"")</f>
        <v/>
      </c>
      <c r="K1100" s="45" t="str">
        <f>IFERROR(VLOOKUP(B1100,'Pre-Summary'!$DE$6:$DG$61,3,FALSE),"")</f>
        <v/>
      </c>
      <c r="L1100" s="45" t="str">
        <f>IFERROR(VLOOKUP(B1100,'Pre-Summary'!$CU$6:$CW$36,3,FALSE),"")</f>
        <v/>
      </c>
      <c r="M1100" s="45" t="str">
        <f>IFERROR(VLOOKUP(B1100,'Pre-Summary'!$BW$6:$BY$58,2,FALSE),"")</f>
        <v/>
      </c>
      <c r="N1100" s="45" t="str">
        <f>IFERROR(VLOOKUP(B1100,'Pre-Summary'!$CD$6:$CF$64,2,FALSE),"")</f>
        <v/>
      </c>
      <c r="O1100" s="99">
        <f>IFERROR(VLOOKUP(B1100,'Pre-Summary'!$BO$6:$BQ$48,3, FALSE),O1099)</f>
        <v>1.2</v>
      </c>
      <c r="P1100" s="99">
        <f>IFERROR(VLOOKUP(B1100,'Pre-Summary'!$BS$6:$BU$35,3,FALSE),P1099)</f>
        <v>0.3</v>
      </c>
      <c r="Q1100" s="54">
        <f t="shared" si="51"/>
        <v>4</v>
      </c>
      <c r="R1100" s="53">
        <f>IFERROR(VLOOKUP(B1100,'Pre-Summary'!$BG$6:$BM$44,7,FALSE),R1101)</f>
        <v>7.6574939085447311E-2</v>
      </c>
      <c r="S1100" s="53">
        <f>IFERROR(VLOOKUP(B1100,'Pre-Summary'!$BG$6:$BM$44,6,FALSE),S1101)</f>
        <v>6.8761751275839902E-2</v>
      </c>
      <c r="T1100" s="45" t="str">
        <f>IFERROR(VLOOKUP(B1100,'Pre-Summary'!$Y$6:$AC$83, 3,FALSE),"")</f>
        <v/>
      </c>
      <c r="U1100" s="45" t="str">
        <f>IFERROR(VLOOKUP(B1100,'Pre-Summary'!$Y$6:$AC$83, 4,FALSE),"")</f>
        <v/>
      </c>
      <c r="V1100" t="str">
        <f>IFERROR(VLOOKUP(B1100,'Pre-Summary'!$Y$6:$AC$83, 5,FALSE),"")</f>
        <v/>
      </c>
      <c r="W1100" s="45" t="str">
        <f>IFERROR(VLOOKUP(B1100,'Pre-Summary'!$Y$6:$AD$83,6,FALSE),"")</f>
        <v/>
      </c>
      <c r="X1100" t="str">
        <f>IFERROR(VLOOKUP('Pre-Summary'!$DB$6:$DD$63,3,FALSE),"")</f>
        <v/>
      </c>
      <c r="Y1100" t="str">
        <f>IFERROR(VLOOKUP(B1100,'Pre-Summary'!$CR$6:$CT$36,3,FALSE),"")</f>
        <v/>
      </c>
      <c r="Z1100" s="45" t="str">
        <f>IFERROR(VLOOKUP(B1100,'Pre-Summary'!$BZ$6:$CB$63,2,FALSE),"")</f>
        <v/>
      </c>
      <c r="AA1100" s="45" t="str">
        <f>IFERROR(VLOOKUP(B1100,'Pre-Summary'!$CG$6:$CI$70,2,FALSE),"")</f>
        <v/>
      </c>
      <c r="AB1100" s="99">
        <f>IFERROR(VLOOKUP(B1100,'Pre-Summary'!$A$6:$P$178,9,FALSE),AB1101)</f>
        <v>0.45533763440924657</v>
      </c>
      <c r="AC1100" s="10">
        <f>IFERROR(VLOOKUP(Summary!B1100,'Pre-Summary'!$A$6:$P$184,5, FALSE)/100,AC1101)</f>
        <v>0.89807866666666669</v>
      </c>
      <c r="AD1100" s="10">
        <f>IFERROR(VLOOKUP(Summary!B1100,'Pre-Summary'!$A$6:$P$184,3, FALSE)/100,AD1101)</f>
        <v>1.5917000000000001E-2</v>
      </c>
      <c r="AE1100" s="10">
        <f>IFERROR(VLOOKUP(Summary!B1100,'Pre-Summary'!$A$6:$P$184,7, FALSE)/100,AE1101)</f>
        <v>8.6004666666666674E-2</v>
      </c>
      <c r="AF1100" s="99">
        <f t="shared" si="52"/>
        <v>7.2476091268919782E-3</v>
      </c>
      <c r="AG1100" s="99">
        <f t="shared" si="53"/>
        <v>3.9161161468155785E-2</v>
      </c>
      <c r="AH1100" s="10" t="str">
        <f>IFERROR(VLOOKUP(B1100,'Pre-Summary'!$AZ$6:$BE$65,3,FALSE),"")</f>
        <v/>
      </c>
      <c r="AI1100" s="10" t="str">
        <f>IFERROR(VLOOKUP(B1100,'Pre-Summary'!$AZ$6:$BE$65,5,FALSE),"")</f>
        <v/>
      </c>
      <c r="AJ1100" s="10" t="str">
        <f>IFERROR(VLOOKUP(B1100,'Pre-Summary'!$AZ$6:$BE$65,4,FALSE),"")</f>
        <v/>
      </c>
      <c r="AK1100" s="10" t="str">
        <f>IFERROR(VLOOKUP(B1100,'Pre-Summary'!$AZ$6:$BE$65,6,FALSE),"")</f>
        <v/>
      </c>
      <c r="AL1100" s="10" t="str">
        <f>IFERROR(VLOOKUP(B1100,'Pre-Summary'!$BG$6:$BL$44,3,FALSE),"")</f>
        <v/>
      </c>
      <c r="AM1100" s="10" t="str">
        <f>IFERROR(VLOOKUP(B1100,'Pre-Summary'!$BG$6:$BL$44,4,FALSE),"")</f>
        <v/>
      </c>
    </row>
    <row r="1101" spans="2:39" ht="15" customHeight="1" x14ac:dyDescent="0.3">
      <c r="B1101">
        <v>109.8</v>
      </c>
      <c r="C1101" t="str">
        <f>IFERROR(VLOOKUP(B1101,'Pre-Summary'!$DI$6:$DM$23,4,FALSE),"")</f>
        <v/>
      </c>
      <c r="D1101" s="10" t="str">
        <f>IFERROR(VLOOKUP(B1101,'Pre-Summary'!$AT$6:$AX$14,5,FALSE),D1100)</f>
        <v>DSMZ v4: dropped out methanol</v>
      </c>
      <c r="E1101" s="10" t="str">
        <f>IFERROR(VLOOKUP(B1101,'Pre-Summary'!$AT$6:$AX$15,4,FALSE),"")</f>
        <v/>
      </c>
      <c r="F1101">
        <f>IFERROR(VLOOKUP(B1101,'Pre-Summary'!$AL$6:$AQ$13,6,FALSE),F1100)</f>
        <v>5.9405263157894746E-2</v>
      </c>
      <c r="G1101" t="str">
        <f>IFERROR(VLOOKUP(B1101,'Pre-Summary'!$AE$6:$AJ$85,3,FALSE),"")</f>
        <v/>
      </c>
      <c r="H1101" t="str">
        <f>IFERROR(VLOOKUP(B1101,'Pre-Summary'!$AE$6:$AJ$85,4,FALSE),"")</f>
        <v/>
      </c>
      <c r="I1101" t="str">
        <f>IFERROR(VLOOKUP(B1101,'Pre-Summary'!$AE$6:$AJ$85,5,FALSE),"")</f>
        <v/>
      </c>
      <c r="J1101" s="45" t="str">
        <f>IFERROR(VLOOKUP(B1101,'Pre-Summary'!$AE$6:$AJ$85,6, FALSE),"")</f>
        <v/>
      </c>
      <c r="K1101" s="45" t="str">
        <f>IFERROR(VLOOKUP(B1101,'Pre-Summary'!$DE$6:$DG$61,3,FALSE),"")</f>
        <v/>
      </c>
      <c r="L1101" s="45" t="str">
        <f>IFERROR(VLOOKUP(B1101,'Pre-Summary'!$CU$6:$CW$36,3,FALSE),"")</f>
        <v/>
      </c>
      <c r="M1101" s="45" t="str">
        <f>IFERROR(VLOOKUP(B1101,'Pre-Summary'!$BW$6:$BY$58,2,FALSE),"")</f>
        <v/>
      </c>
      <c r="N1101" s="45" t="str">
        <f>IFERROR(VLOOKUP(B1101,'Pre-Summary'!$CD$6:$CF$64,2,FALSE),"")</f>
        <v/>
      </c>
      <c r="O1101" s="99">
        <f>IFERROR(VLOOKUP(B1101,'Pre-Summary'!$BO$6:$BQ$48,3, FALSE),O1100)</f>
        <v>1.2</v>
      </c>
      <c r="P1101" s="99">
        <f>IFERROR(VLOOKUP(B1101,'Pre-Summary'!$BS$6:$BU$35,3,FALSE),P1100)</f>
        <v>0.3</v>
      </c>
      <c r="Q1101" s="54">
        <f t="shared" si="51"/>
        <v>4</v>
      </c>
      <c r="R1101" s="53">
        <f>IFERROR(VLOOKUP(B1101,'Pre-Summary'!$BG$6:$BM$44,7,FALSE),R1102)</f>
        <v>7.6574939085447311E-2</v>
      </c>
      <c r="S1101" s="53">
        <f>IFERROR(VLOOKUP(B1101,'Pre-Summary'!$BG$6:$BM$44,6,FALSE),S1102)</f>
        <v>6.8761751275839902E-2</v>
      </c>
      <c r="T1101" s="45" t="str">
        <f>IFERROR(VLOOKUP(B1101,'Pre-Summary'!$Y$6:$AC$83, 3,FALSE),"")</f>
        <v/>
      </c>
      <c r="U1101" s="45" t="str">
        <f>IFERROR(VLOOKUP(B1101,'Pre-Summary'!$Y$6:$AC$83, 4,FALSE),"")</f>
        <v/>
      </c>
      <c r="V1101" t="str">
        <f>IFERROR(VLOOKUP(B1101,'Pre-Summary'!$Y$6:$AC$83, 5,FALSE),"")</f>
        <v/>
      </c>
      <c r="W1101" s="45" t="str">
        <f>IFERROR(VLOOKUP(B1101,'Pre-Summary'!$Y$6:$AD$83,6,FALSE),"")</f>
        <v/>
      </c>
      <c r="X1101" t="str">
        <f>IFERROR(VLOOKUP('Pre-Summary'!$DB$6:$DD$63,3,FALSE),"")</f>
        <v/>
      </c>
      <c r="Y1101" t="str">
        <f>IFERROR(VLOOKUP(B1101,'Pre-Summary'!$CR$6:$CT$36,3,FALSE),"")</f>
        <v/>
      </c>
      <c r="Z1101" s="45" t="str">
        <f>IFERROR(VLOOKUP(B1101,'Pre-Summary'!$BZ$6:$CB$63,2,FALSE),"")</f>
        <v/>
      </c>
      <c r="AA1101" s="45" t="str">
        <f>IFERROR(VLOOKUP(B1101,'Pre-Summary'!$CG$6:$CI$70,2,FALSE),"")</f>
        <v/>
      </c>
      <c r="AB1101" s="99">
        <f>IFERROR(VLOOKUP(B1101,'Pre-Summary'!$A$6:$P$178,9,FALSE),AB1102)</f>
        <v>0.45533763440924657</v>
      </c>
      <c r="AC1101" s="10">
        <f>IFERROR(VLOOKUP(Summary!B1101,'Pre-Summary'!$A$6:$P$184,5, FALSE)/100,AC1102)</f>
        <v>0.89807866666666669</v>
      </c>
      <c r="AD1101" s="10">
        <f>IFERROR(VLOOKUP(Summary!B1101,'Pre-Summary'!$A$6:$P$184,3, FALSE)/100,AD1102)</f>
        <v>1.5917000000000001E-2</v>
      </c>
      <c r="AE1101" s="10">
        <f>IFERROR(VLOOKUP(Summary!B1101,'Pre-Summary'!$A$6:$P$184,7, FALSE)/100,AE1102)</f>
        <v>8.6004666666666674E-2</v>
      </c>
      <c r="AF1101" s="99">
        <f t="shared" si="52"/>
        <v>7.2476091268919782E-3</v>
      </c>
      <c r="AG1101" s="99">
        <f t="shared" si="53"/>
        <v>3.9161161468155785E-2</v>
      </c>
      <c r="AH1101" s="10" t="str">
        <f>IFERROR(VLOOKUP(B1101,'Pre-Summary'!$AZ$6:$BE$65,3,FALSE),"")</f>
        <v/>
      </c>
      <c r="AI1101" s="10" t="str">
        <f>IFERROR(VLOOKUP(B1101,'Pre-Summary'!$AZ$6:$BE$65,5,FALSE),"")</f>
        <v/>
      </c>
      <c r="AJ1101" s="10" t="str">
        <f>IFERROR(VLOOKUP(B1101,'Pre-Summary'!$AZ$6:$BE$65,4,FALSE),"")</f>
        <v/>
      </c>
      <c r="AK1101" s="10" t="str">
        <f>IFERROR(VLOOKUP(B1101,'Pre-Summary'!$AZ$6:$BE$65,6,FALSE),"")</f>
        <v/>
      </c>
      <c r="AL1101" s="10" t="str">
        <f>IFERROR(VLOOKUP(B1101,'Pre-Summary'!$BG$6:$BL$44,3,FALSE),"")</f>
        <v/>
      </c>
      <c r="AM1101" s="10" t="str">
        <f>IFERROR(VLOOKUP(B1101,'Pre-Summary'!$BG$6:$BL$44,4,FALSE),"")</f>
        <v/>
      </c>
    </row>
    <row r="1102" spans="2:39" ht="15" customHeight="1" x14ac:dyDescent="0.3">
      <c r="B1102">
        <v>109.9</v>
      </c>
      <c r="C1102" t="str">
        <f>IFERROR(VLOOKUP(B1102,'Pre-Summary'!$DI$6:$DM$23,4,FALSE),"")</f>
        <v/>
      </c>
      <c r="D1102" s="10" t="str">
        <f>IFERROR(VLOOKUP(B1102,'Pre-Summary'!$AT$6:$AX$14,5,FALSE),D1101)</f>
        <v>DSMZ v4: dropped out methanol</v>
      </c>
      <c r="E1102" s="10" t="str">
        <f>IFERROR(VLOOKUP(B1102,'Pre-Summary'!$AT$6:$AX$15,4,FALSE),"")</f>
        <v/>
      </c>
      <c r="F1102">
        <f>IFERROR(VLOOKUP(B1102,'Pre-Summary'!$AL$6:$AQ$13,6,FALSE),F1101)</f>
        <v>5.9405263157894746E-2</v>
      </c>
      <c r="G1102" t="str">
        <f>IFERROR(VLOOKUP(B1102,'Pre-Summary'!$AE$6:$AJ$85,3,FALSE),"")</f>
        <v/>
      </c>
      <c r="H1102" t="str">
        <f>IFERROR(VLOOKUP(B1102,'Pre-Summary'!$AE$6:$AJ$85,4,FALSE),"")</f>
        <v/>
      </c>
      <c r="I1102" t="str">
        <f>IFERROR(VLOOKUP(B1102,'Pre-Summary'!$AE$6:$AJ$85,5,FALSE),"")</f>
        <v/>
      </c>
      <c r="J1102" s="45" t="str">
        <f>IFERROR(VLOOKUP(B1102,'Pre-Summary'!$AE$6:$AJ$85,6, FALSE),"")</f>
        <v/>
      </c>
      <c r="K1102" s="45" t="str">
        <f>IFERROR(VLOOKUP(B1102,'Pre-Summary'!$DE$6:$DG$61,3,FALSE),"")</f>
        <v/>
      </c>
      <c r="L1102" s="45" t="str">
        <f>IFERROR(VLOOKUP(B1102,'Pre-Summary'!$CU$6:$CW$36,3,FALSE),"")</f>
        <v/>
      </c>
      <c r="M1102" s="45" t="str">
        <f>IFERROR(VLOOKUP(B1102,'Pre-Summary'!$BW$6:$BY$58,2,FALSE),"")</f>
        <v/>
      </c>
      <c r="N1102" s="45" t="str">
        <f>IFERROR(VLOOKUP(B1102,'Pre-Summary'!$CD$6:$CF$64,2,FALSE),"")</f>
        <v/>
      </c>
      <c r="O1102" s="99">
        <f>IFERROR(VLOOKUP(B1102,'Pre-Summary'!$BO$6:$BQ$48,3, FALSE),O1101)</f>
        <v>1.2</v>
      </c>
      <c r="P1102" s="99">
        <f>IFERROR(VLOOKUP(B1102,'Pre-Summary'!$BS$6:$BU$35,3,FALSE),P1101)</f>
        <v>0.3</v>
      </c>
      <c r="Q1102" s="54">
        <f t="shared" si="51"/>
        <v>4</v>
      </c>
      <c r="R1102" s="53">
        <f>IFERROR(VLOOKUP(B1102,'Pre-Summary'!$BG$6:$BM$44,7,FALSE),R1103)</f>
        <v>7.6574939085447311E-2</v>
      </c>
      <c r="S1102" s="53">
        <f>IFERROR(VLOOKUP(B1102,'Pre-Summary'!$BG$6:$BM$44,6,FALSE),S1103)</f>
        <v>6.8761751275839902E-2</v>
      </c>
      <c r="T1102" s="45" t="str">
        <f>IFERROR(VLOOKUP(B1102,'Pre-Summary'!$Y$6:$AC$83, 3,FALSE),"")</f>
        <v/>
      </c>
      <c r="U1102" s="45" t="str">
        <f>IFERROR(VLOOKUP(B1102,'Pre-Summary'!$Y$6:$AC$83, 4,FALSE),"")</f>
        <v/>
      </c>
      <c r="V1102" t="str">
        <f>IFERROR(VLOOKUP(B1102,'Pre-Summary'!$Y$6:$AC$83, 5,FALSE),"")</f>
        <v/>
      </c>
      <c r="W1102" s="45" t="str">
        <f>IFERROR(VLOOKUP(B1102,'Pre-Summary'!$Y$6:$AD$83,6,FALSE),"")</f>
        <v/>
      </c>
      <c r="X1102" t="str">
        <f>IFERROR(VLOOKUP('Pre-Summary'!$DB$6:$DD$63,3,FALSE),"")</f>
        <v/>
      </c>
      <c r="Y1102" t="str">
        <f>IFERROR(VLOOKUP(B1102,'Pre-Summary'!$CR$6:$CT$36,3,FALSE),"")</f>
        <v/>
      </c>
      <c r="Z1102" s="45" t="str">
        <f>IFERROR(VLOOKUP(B1102,'Pre-Summary'!$BZ$6:$CB$63,2,FALSE),"")</f>
        <v/>
      </c>
      <c r="AA1102" s="45" t="str">
        <f>IFERROR(VLOOKUP(B1102,'Pre-Summary'!$CG$6:$CI$70,2,FALSE),"")</f>
        <v/>
      </c>
      <c r="AB1102" s="99">
        <f>IFERROR(VLOOKUP(B1102,'Pre-Summary'!$A$6:$P$178,9,FALSE),AB1103)</f>
        <v>0.45533763440924657</v>
      </c>
      <c r="AC1102" s="10">
        <f>IFERROR(VLOOKUP(Summary!B1102,'Pre-Summary'!$A$6:$P$184,5, FALSE)/100,AC1103)</f>
        <v>0.89807866666666669</v>
      </c>
      <c r="AD1102" s="10">
        <f>IFERROR(VLOOKUP(Summary!B1102,'Pre-Summary'!$A$6:$P$184,3, FALSE)/100,AD1103)</f>
        <v>1.5917000000000001E-2</v>
      </c>
      <c r="AE1102" s="10">
        <f>IFERROR(VLOOKUP(Summary!B1102,'Pre-Summary'!$A$6:$P$184,7, FALSE)/100,AE1103)</f>
        <v>8.6004666666666674E-2</v>
      </c>
      <c r="AF1102" s="99">
        <f t="shared" si="52"/>
        <v>7.2476091268919782E-3</v>
      </c>
      <c r="AG1102" s="99">
        <f t="shared" si="53"/>
        <v>3.9161161468155785E-2</v>
      </c>
      <c r="AH1102" s="10" t="str">
        <f>IFERROR(VLOOKUP(B1102,'Pre-Summary'!$AZ$6:$BE$65,3,FALSE),"")</f>
        <v/>
      </c>
      <c r="AI1102" s="10" t="str">
        <f>IFERROR(VLOOKUP(B1102,'Pre-Summary'!$AZ$6:$BE$65,5,FALSE),"")</f>
        <v/>
      </c>
      <c r="AJ1102" s="10" t="str">
        <f>IFERROR(VLOOKUP(B1102,'Pre-Summary'!$AZ$6:$BE$65,4,FALSE),"")</f>
        <v/>
      </c>
      <c r="AK1102" s="10" t="str">
        <f>IFERROR(VLOOKUP(B1102,'Pre-Summary'!$AZ$6:$BE$65,6,FALSE),"")</f>
        <v/>
      </c>
      <c r="AL1102" s="10" t="str">
        <f>IFERROR(VLOOKUP(B1102,'Pre-Summary'!$BG$6:$BL$44,3,FALSE),"")</f>
        <v/>
      </c>
      <c r="AM1102" s="10" t="str">
        <f>IFERROR(VLOOKUP(B1102,'Pre-Summary'!$BG$6:$BL$44,4,FALSE),"")</f>
        <v/>
      </c>
    </row>
    <row r="1103" spans="2:39" ht="15" customHeight="1" x14ac:dyDescent="0.3">
      <c r="B1103">
        <v>110</v>
      </c>
      <c r="C1103" t="str">
        <f>IFERROR(VLOOKUP(B1103,'Pre-Summary'!$DI$6:$DM$23,4,FALSE),"")</f>
        <v/>
      </c>
      <c r="D1103" s="10" t="str">
        <f>IFERROR(VLOOKUP(B1103,'Pre-Summary'!$AT$6:$AX$14,5,FALSE),D1102)</f>
        <v>DSMZ v4: dropped out methanol</v>
      </c>
      <c r="E1103" s="10" t="str">
        <f>IFERROR(VLOOKUP(B1103,'Pre-Summary'!$AT$6:$AX$15,4,FALSE),"")</f>
        <v/>
      </c>
      <c r="F1103">
        <f>IFERROR(VLOOKUP(B1103,'Pre-Summary'!$AL$6:$AQ$13,6,FALSE),F1102)</f>
        <v>5.9405263157894746E-2</v>
      </c>
      <c r="G1103" t="str">
        <f>IFERROR(VLOOKUP(B1103,'Pre-Summary'!$AE$6:$AJ$85,3,FALSE),"")</f>
        <v/>
      </c>
      <c r="H1103" t="str">
        <f>IFERROR(VLOOKUP(B1103,'Pre-Summary'!$AE$6:$AJ$85,4,FALSE),"")</f>
        <v/>
      </c>
      <c r="I1103" t="str">
        <f>IFERROR(VLOOKUP(B1103,'Pre-Summary'!$AE$6:$AJ$85,5,FALSE),"")</f>
        <v/>
      </c>
      <c r="J1103" s="45" t="str">
        <f>IFERROR(VLOOKUP(B1103,'Pre-Summary'!$AE$6:$AJ$85,6, FALSE),"")</f>
        <v/>
      </c>
      <c r="K1103" s="45" t="str">
        <f>IFERROR(VLOOKUP(B1103,'Pre-Summary'!$DE$6:$DG$61,3,FALSE),"")</f>
        <v/>
      </c>
      <c r="L1103" s="45" t="str">
        <f>IFERROR(VLOOKUP(B1103,'Pre-Summary'!$CU$6:$CW$36,3,FALSE),"")</f>
        <v/>
      </c>
      <c r="M1103" s="45" t="str">
        <f>IFERROR(VLOOKUP(B1103,'Pre-Summary'!$BW$6:$BY$58,2,FALSE),"")</f>
        <v/>
      </c>
      <c r="N1103" s="45" t="str">
        <f>IFERROR(VLOOKUP(B1103,'Pre-Summary'!$CD$6:$CF$64,2,FALSE),"")</f>
        <v/>
      </c>
      <c r="O1103" s="99">
        <f>IFERROR(VLOOKUP(B1103,'Pre-Summary'!$BO$6:$BQ$48,3, FALSE),O1102)</f>
        <v>1.2</v>
      </c>
      <c r="P1103" s="99">
        <f>IFERROR(VLOOKUP(B1103,'Pre-Summary'!$BS$6:$BU$35,3,FALSE),P1102)</f>
        <v>0.3</v>
      </c>
      <c r="Q1103" s="54">
        <f t="shared" si="51"/>
        <v>4</v>
      </c>
      <c r="R1103" s="53">
        <f>IFERROR(VLOOKUP(B1103,'Pre-Summary'!$BG$6:$BM$44,7,FALSE),R1104)</f>
        <v>7.6574939085447311E-2</v>
      </c>
      <c r="S1103" s="53">
        <f>IFERROR(VLOOKUP(B1103,'Pre-Summary'!$BG$6:$BM$44,6,FALSE),S1104)</f>
        <v>6.8761751275839902E-2</v>
      </c>
      <c r="T1103" s="45" t="str">
        <f>IFERROR(VLOOKUP(B1103,'Pre-Summary'!$Y$6:$AC$83, 3,FALSE),"")</f>
        <v/>
      </c>
      <c r="U1103" s="45" t="str">
        <f>IFERROR(VLOOKUP(B1103,'Pre-Summary'!$Y$6:$AC$83, 4,FALSE),"")</f>
        <v/>
      </c>
      <c r="V1103" t="str">
        <f>IFERROR(VLOOKUP(B1103,'Pre-Summary'!$Y$6:$AC$83, 5,FALSE),"")</f>
        <v/>
      </c>
      <c r="W1103" s="45" t="str">
        <f>IFERROR(VLOOKUP(B1103,'Pre-Summary'!$Y$6:$AD$83,6,FALSE),"")</f>
        <v/>
      </c>
      <c r="X1103" t="str">
        <f>IFERROR(VLOOKUP('Pre-Summary'!$DB$6:$DD$63,3,FALSE),"")</f>
        <v/>
      </c>
      <c r="Y1103" t="str">
        <f>IFERROR(VLOOKUP(B1103,'Pre-Summary'!$CR$6:$CT$36,3,FALSE),"")</f>
        <v/>
      </c>
      <c r="Z1103" s="45" t="str">
        <f>IFERROR(VLOOKUP(B1103,'Pre-Summary'!$BZ$6:$CB$63,2,FALSE),"")</f>
        <v/>
      </c>
      <c r="AA1103" s="45" t="str">
        <f>IFERROR(VLOOKUP(B1103,'Pre-Summary'!$CG$6:$CI$70,2,FALSE),"")</f>
        <v/>
      </c>
      <c r="AB1103" s="99">
        <f>IFERROR(VLOOKUP(B1103,'Pre-Summary'!$A$6:$P$178,9,FALSE),AB1104)</f>
        <v>0.45533763440924657</v>
      </c>
      <c r="AC1103" s="10">
        <f>IFERROR(VLOOKUP(Summary!B1103,'Pre-Summary'!$A$6:$P$184,5, FALSE)/100,AC1104)</f>
        <v>0.89807866666666669</v>
      </c>
      <c r="AD1103" s="10">
        <f>IFERROR(VLOOKUP(Summary!B1103,'Pre-Summary'!$A$6:$P$184,3, FALSE)/100,AD1104)</f>
        <v>1.5917000000000001E-2</v>
      </c>
      <c r="AE1103" s="10">
        <f>IFERROR(VLOOKUP(Summary!B1103,'Pre-Summary'!$A$6:$P$184,7, FALSE)/100,AE1104)</f>
        <v>8.6004666666666674E-2</v>
      </c>
      <c r="AF1103" s="99">
        <f t="shared" si="52"/>
        <v>7.2476091268919782E-3</v>
      </c>
      <c r="AG1103" s="99">
        <f t="shared" si="53"/>
        <v>3.9161161468155785E-2</v>
      </c>
      <c r="AH1103" s="10" t="str">
        <f>IFERROR(VLOOKUP(B1103,'Pre-Summary'!$AZ$6:$BE$65,3,FALSE),"")</f>
        <v/>
      </c>
      <c r="AI1103" s="10" t="str">
        <f>IFERROR(VLOOKUP(B1103,'Pre-Summary'!$AZ$6:$BE$65,5,FALSE),"")</f>
        <v/>
      </c>
      <c r="AJ1103" s="10" t="str">
        <f>IFERROR(VLOOKUP(B1103,'Pre-Summary'!$AZ$6:$BE$65,4,FALSE),"")</f>
        <v/>
      </c>
      <c r="AK1103" s="10" t="str">
        <f>IFERROR(VLOOKUP(B1103,'Pre-Summary'!$AZ$6:$BE$65,6,FALSE),"")</f>
        <v/>
      </c>
      <c r="AL1103" s="10" t="str">
        <f>IFERROR(VLOOKUP(B1103,'Pre-Summary'!$BG$6:$BL$44,3,FALSE),"")</f>
        <v/>
      </c>
      <c r="AM1103" s="10" t="str">
        <f>IFERROR(VLOOKUP(B1103,'Pre-Summary'!$BG$6:$BL$44,4,FALSE),"")</f>
        <v/>
      </c>
    </row>
    <row r="1104" spans="2:39" ht="15" customHeight="1" x14ac:dyDescent="0.3">
      <c r="B1104">
        <v>110.1</v>
      </c>
      <c r="C1104" t="str">
        <f>IFERROR(VLOOKUP(B1104,'Pre-Summary'!$DI$6:$DM$23,4,FALSE),"")</f>
        <v/>
      </c>
      <c r="D1104" s="10" t="str">
        <f>IFERROR(VLOOKUP(B1104,'Pre-Summary'!$AT$6:$AX$14,5,FALSE),D1103)</f>
        <v>DSMZ v4: dropped out methanol</v>
      </c>
      <c r="E1104" s="10" t="str">
        <f>IFERROR(VLOOKUP(B1104,'Pre-Summary'!$AT$6:$AX$15,4,FALSE),"")</f>
        <v/>
      </c>
      <c r="F1104">
        <f>IFERROR(VLOOKUP(B1104,'Pre-Summary'!$AL$6:$AQ$13,6,FALSE),F1103)</f>
        <v>5.9405263157894746E-2</v>
      </c>
      <c r="G1104" t="str">
        <f>IFERROR(VLOOKUP(B1104,'Pre-Summary'!$AE$6:$AJ$85,3,FALSE),"")</f>
        <v/>
      </c>
      <c r="H1104" t="str">
        <f>IFERROR(VLOOKUP(B1104,'Pre-Summary'!$AE$6:$AJ$85,4,FALSE),"")</f>
        <v/>
      </c>
      <c r="I1104" t="str">
        <f>IFERROR(VLOOKUP(B1104,'Pre-Summary'!$AE$6:$AJ$85,5,FALSE),"")</f>
        <v/>
      </c>
      <c r="J1104" s="45" t="str">
        <f>IFERROR(VLOOKUP(B1104,'Pre-Summary'!$AE$6:$AJ$85,6, FALSE),"")</f>
        <v/>
      </c>
      <c r="K1104" s="45" t="str">
        <f>IFERROR(VLOOKUP(B1104,'Pre-Summary'!$DE$6:$DG$61,3,FALSE),"")</f>
        <v/>
      </c>
      <c r="L1104" s="45" t="str">
        <f>IFERROR(VLOOKUP(B1104,'Pre-Summary'!$CU$6:$CW$36,3,FALSE),"")</f>
        <v/>
      </c>
      <c r="M1104" s="45" t="str">
        <f>IFERROR(VLOOKUP(B1104,'Pre-Summary'!$BW$6:$BY$58,2,FALSE),"")</f>
        <v/>
      </c>
      <c r="N1104" s="45" t="str">
        <f>IFERROR(VLOOKUP(B1104,'Pre-Summary'!$CD$6:$CF$64,2,FALSE),"")</f>
        <v/>
      </c>
      <c r="O1104" s="99">
        <f>IFERROR(VLOOKUP(B1104,'Pre-Summary'!$BO$6:$BQ$48,3, FALSE),O1103)</f>
        <v>1.2</v>
      </c>
      <c r="P1104" s="99">
        <f>IFERROR(VLOOKUP(B1104,'Pre-Summary'!$BS$6:$BU$35,3,FALSE),P1103)</f>
        <v>0.3</v>
      </c>
      <c r="Q1104" s="54">
        <f t="shared" si="51"/>
        <v>4</v>
      </c>
      <c r="R1104" s="53">
        <f>IFERROR(VLOOKUP(B1104,'Pre-Summary'!$BG$6:$BM$44,7,FALSE),R1105)</f>
        <v>7.6574939085447311E-2</v>
      </c>
      <c r="S1104" s="53">
        <f>IFERROR(VLOOKUP(B1104,'Pre-Summary'!$BG$6:$BM$44,6,FALSE),S1105)</f>
        <v>6.8761751275839902E-2</v>
      </c>
      <c r="T1104" s="45" t="str">
        <f>IFERROR(VLOOKUP(B1104,'Pre-Summary'!$Y$6:$AC$83, 3,FALSE),"")</f>
        <v/>
      </c>
      <c r="U1104" s="45" t="str">
        <f>IFERROR(VLOOKUP(B1104,'Pre-Summary'!$Y$6:$AC$83, 4,FALSE),"")</f>
        <v/>
      </c>
      <c r="V1104" t="str">
        <f>IFERROR(VLOOKUP(B1104,'Pre-Summary'!$Y$6:$AC$83, 5,FALSE),"")</f>
        <v/>
      </c>
      <c r="W1104" s="45" t="str">
        <f>IFERROR(VLOOKUP(B1104,'Pre-Summary'!$Y$6:$AD$83,6,FALSE),"")</f>
        <v/>
      </c>
      <c r="X1104" t="str">
        <f>IFERROR(VLOOKUP('Pre-Summary'!$DB$6:$DD$63,3,FALSE),"")</f>
        <v/>
      </c>
      <c r="Y1104" t="str">
        <f>IFERROR(VLOOKUP(B1104,'Pre-Summary'!$CR$6:$CT$36,3,FALSE),"")</f>
        <v/>
      </c>
      <c r="Z1104" s="45" t="str">
        <f>IFERROR(VLOOKUP(B1104,'Pre-Summary'!$BZ$6:$CB$63,2,FALSE),"")</f>
        <v/>
      </c>
      <c r="AA1104" s="45" t="str">
        <f>IFERROR(VLOOKUP(B1104,'Pre-Summary'!$CG$6:$CI$70,2,FALSE),"")</f>
        <v/>
      </c>
      <c r="AB1104" s="99">
        <f>IFERROR(VLOOKUP(B1104,'Pre-Summary'!$A$6:$P$178,9,FALSE),AB1105)</f>
        <v>0.45533763440924657</v>
      </c>
      <c r="AC1104" s="10">
        <f>IFERROR(VLOOKUP(Summary!B1104,'Pre-Summary'!$A$6:$P$184,5, FALSE)/100,AC1105)</f>
        <v>0.89807866666666669</v>
      </c>
      <c r="AD1104" s="10">
        <f>IFERROR(VLOOKUP(Summary!B1104,'Pre-Summary'!$A$6:$P$184,3, FALSE)/100,AD1105)</f>
        <v>1.5917000000000001E-2</v>
      </c>
      <c r="AE1104" s="10">
        <f>IFERROR(VLOOKUP(Summary!B1104,'Pre-Summary'!$A$6:$P$184,7, FALSE)/100,AE1105)</f>
        <v>8.6004666666666674E-2</v>
      </c>
      <c r="AF1104" s="99">
        <f t="shared" si="52"/>
        <v>7.2476091268919782E-3</v>
      </c>
      <c r="AG1104" s="99">
        <f t="shared" si="53"/>
        <v>3.9161161468155785E-2</v>
      </c>
      <c r="AH1104" s="10" t="str">
        <f>IFERROR(VLOOKUP(B1104,'Pre-Summary'!$AZ$6:$BE$65,3,FALSE),"")</f>
        <v/>
      </c>
      <c r="AI1104" s="10" t="str">
        <f>IFERROR(VLOOKUP(B1104,'Pre-Summary'!$AZ$6:$BE$65,5,FALSE),"")</f>
        <v/>
      </c>
      <c r="AJ1104" s="10" t="str">
        <f>IFERROR(VLOOKUP(B1104,'Pre-Summary'!$AZ$6:$BE$65,4,FALSE),"")</f>
        <v/>
      </c>
      <c r="AK1104" s="10" t="str">
        <f>IFERROR(VLOOKUP(B1104,'Pre-Summary'!$AZ$6:$BE$65,6,FALSE),"")</f>
        <v/>
      </c>
      <c r="AL1104" s="10" t="str">
        <f>IFERROR(VLOOKUP(B1104,'Pre-Summary'!$BG$6:$BL$44,3,FALSE),"")</f>
        <v/>
      </c>
      <c r="AM1104" s="10" t="str">
        <f>IFERROR(VLOOKUP(B1104,'Pre-Summary'!$BG$6:$BL$44,4,FALSE),"")</f>
        <v/>
      </c>
    </row>
    <row r="1105" spans="2:39" ht="15" customHeight="1" x14ac:dyDescent="0.3">
      <c r="B1105">
        <v>110.2</v>
      </c>
      <c r="C1105" t="str">
        <f>IFERROR(VLOOKUP(B1105,'Pre-Summary'!$DI$6:$DM$23,4,FALSE),"")</f>
        <v/>
      </c>
      <c r="D1105" s="10" t="str">
        <f>IFERROR(VLOOKUP(B1105,'Pre-Summary'!$AT$6:$AX$14,5,FALSE),D1104)</f>
        <v>DSMZ v4: dropped out methanol</v>
      </c>
      <c r="E1105" s="10" t="str">
        <f>IFERROR(VLOOKUP(B1105,'Pre-Summary'!$AT$6:$AX$15,4,FALSE),"")</f>
        <v/>
      </c>
      <c r="F1105">
        <f>IFERROR(VLOOKUP(B1105,'Pre-Summary'!$AL$6:$AQ$13,6,FALSE),F1104)</f>
        <v>5.9405263157894746E-2</v>
      </c>
      <c r="G1105" t="str">
        <f>IFERROR(VLOOKUP(B1105,'Pre-Summary'!$AE$6:$AJ$85,3,FALSE),"")</f>
        <v/>
      </c>
      <c r="H1105" t="str">
        <f>IFERROR(VLOOKUP(B1105,'Pre-Summary'!$AE$6:$AJ$85,4,FALSE),"")</f>
        <v/>
      </c>
      <c r="I1105" t="str">
        <f>IFERROR(VLOOKUP(B1105,'Pre-Summary'!$AE$6:$AJ$85,5,FALSE),"")</f>
        <v/>
      </c>
      <c r="J1105" s="45" t="str">
        <f>IFERROR(VLOOKUP(B1105,'Pre-Summary'!$AE$6:$AJ$85,6, FALSE),"")</f>
        <v/>
      </c>
      <c r="K1105" s="45" t="str">
        <f>IFERROR(VLOOKUP(B1105,'Pre-Summary'!$DE$6:$DG$61,3,FALSE),"")</f>
        <v/>
      </c>
      <c r="L1105" s="45" t="str">
        <f>IFERROR(VLOOKUP(B1105,'Pre-Summary'!$CU$6:$CW$36,3,FALSE),"")</f>
        <v/>
      </c>
      <c r="M1105" s="45" t="str">
        <f>IFERROR(VLOOKUP(B1105,'Pre-Summary'!$BW$6:$BY$58,2,FALSE),"")</f>
        <v/>
      </c>
      <c r="N1105" s="45" t="str">
        <f>IFERROR(VLOOKUP(B1105,'Pre-Summary'!$CD$6:$CF$64,2,FALSE),"")</f>
        <v/>
      </c>
      <c r="O1105" s="99">
        <f>IFERROR(VLOOKUP(B1105,'Pre-Summary'!$BO$6:$BQ$48,3, FALSE),O1104)</f>
        <v>1.2</v>
      </c>
      <c r="P1105" s="99">
        <f>IFERROR(VLOOKUP(B1105,'Pre-Summary'!$BS$6:$BU$35,3,FALSE),P1104)</f>
        <v>0.3</v>
      </c>
      <c r="Q1105" s="54">
        <f t="shared" si="51"/>
        <v>4</v>
      </c>
      <c r="R1105" s="53">
        <f>IFERROR(VLOOKUP(B1105,'Pre-Summary'!$BG$6:$BM$44,7,FALSE),R1106)</f>
        <v>7.6574939085447311E-2</v>
      </c>
      <c r="S1105" s="53">
        <f>IFERROR(VLOOKUP(B1105,'Pre-Summary'!$BG$6:$BM$44,6,FALSE),S1106)</f>
        <v>6.8761751275839902E-2</v>
      </c>
      <c r="T1105" s="45" t="str">
        <f>IFERROR(VLOOKUP(B1105,'Pre-Summary'!$Y$6:$AC$83, 3,FALSE),"")</f>
        <v/>
      </c>
      <c r="U1105" s="45" t="str">
        <f>IFERROR(VLOOKUP(B1105,'Pre-Summary'!$Y$6:$AC$83, 4,FALSE),"")</f>
        <v/>
      </c>
      <c r="V1105" t="str">
        <f>IFERROR(VLOOKUP(B1105,'Pre-Summary'!$Y$6:$AC$83, 5,FALSE),"")</f>
        <v/>
      </c>
      <c r="W1105" s="45" t="str">
        <f>IFERROR(VLOOKUP(B1105,'Pre-Summary'!$Y$6:$AD$83,6,FALSE),"")</f>
        <v/>
      </c>
      <c r="X1105" t="str">
        <f>IFERROR(VLOOKUP('Pre-Summary'!$DB$6:$DD$63,3,FALSE),"")</f>
        <v/>
      </c>
      <c r="Y1105" t="str">
        <f>IFERROR(VLOOKUP(B1105,'Pre-Summary'!$CR$6:$CT$36,3,FALSE),"")</f>
        <v/>
      </c>
      <c r="Z1105" s="45" t="str">
        <f>IFERROR(VLOOKUP(B1105,'Pre-Summary'!$BZ$6:$CB$63,2,FALSE),"")</f>
        <v/>
      </c>
      <c r="AA1105" s="45" t="str">
        <f>IFERROR(VLOOKUP(B1105,'Pre-Summary'!$CG$6:$CI$70,2,FALSE),"")</f>
        <v/>
      </c>
      <c r="AB1105" s="99">
        <f>IFERROR(VLOOKUP(B1105,'Pre-Summary'!$A$6:$P$178,9,FALSE),AB1106)</f>
        <v>0.45533763440924657</v>
      </c>
      <c r="AC1105" s="10">
        <f>IFERROR(VLOOKUP(Summary!B1105,'Pre-Summary'!$A$6:$P$184,5, FALSE)/100,AC1106)</f>
        <v>0.89807866666666669</v>
      </c>
      <c r="AD1105" s="10">
        <f>IFERROR(VLOOKUP(Summary!B1105,'Pre-Summary'!$A$6:$P$184,3, FALSE)/100,AD1106)</f>
        <v>1.5917000000000001E-2</v>
      </c>
      <c r="AE1105" s="10">
        <f>IFERROR(VLOOKUP(Summary!B1105,'Pre-Summary'!$A$6:$P$184,7, FALSE)/100,AE1106)</f>
        <v>8.6004666666666674E-2</v>
      </c>
      <c r="AF1105" s="99">
        <f t="shared" si="52"/>
        <v>7.2476091268919782E-3</v>
      </c>
      <c r="AG1105" s="99">
        <f t="shared" si="53"/>
        <v>3.9161161468155785E-2</v>
      </c>
      <c r="AH1105" s="10" t="str">
        <f>IFERROR(VLOOKUP(B1105,'Pre-Summary'!$AZ$6:$BE$65,3,FALSE),"")</f>
        <v/>
      </c>
      <c r="AI1105" s="10" t="str">
        <f>IFERROR(VLOOKUP(B1105,'Pre-Summary'!$AZ$6:$BE$65,5,FALSE),"")</f>
        <v/>
      </c>
      <c r="AJ1105" s="10" t="str">
        <f>IFERROR(VLOOKUP(B1105,'Pre-Summary'!$AZ$6:$BE$65,4,FALSE),"")</f>
        <v/>
      </c>
      <c r="AK1105" s="10" t="str">
        <f>IFERROR(VLOOKUP(B1105,'Pre-Summary'!$AZ$6:$BE$65,6,FALSE),"")</f>
        <v/>
      </c>
      <c r="AL1105" s="10" t="str">
        <f>IFERROR(VLOOKUP(B1105,'Pre-Summary'!$BG$6:$BL$44,3,FALSE),"")</f>
        <v/>
      </c>
      <c r="AM1105" s="10" t="str">
        <f>IFERROR(VLOOKUP(B1105,'Pre-Summary'!$BG$6:$BL$44,4,FALSE),"")</f>
        <v/>
      </c>
    </row>
    <row r="1106" spans="2:39" ht="15" customHeight="1" x14ac:dyDescent="0.3">
      <c r="B1106">
        <v>110.3</v>
      </c>
      <c r="C1106" t="str">
        <f>IFERROR(VLOOKUP(B1106,'Pre-Summary'!$DI$6:$DM$23,4,FALSE),"")</f>
        <v/>
      </c>
      <c r="D1106" s="10" t="str">
        <f>IFERROR(VLOOKUP(B1106,'Pre-Summary'!$AT$6:$AX$14,5,FALSE),D1105)</f>
        <v>DSMZ v4: dropped out methanol</v>
      </c>
      <c r="E1106" s="10" t="str">
        <f>IFERROR(VLOOKUP(B1106,'Pre-Summary'!$AT$6:$AX$15,4,FALSE),"")</f>
        <v/>
      </c>
      <c r="F1106">
        <f>IFERROR(VLOOKUP(B1106,'Pre-Summary'!$AL$6:$AQ$13,6,FALSE),F1105)</f>
        <v>5.9405263157894746E-2</v>
      </c>
      <c r="G1106" t="str">
        <f>IFERROR(VLOOKUP(B1106,'Pre-Summary'!$AE$6:$AJ$85,3,FALSE),"")</f>
        <v/>
      </c>
      <c r="H1106" t="str">
        <f>IFERROR(VLOOKUP(B1106,'Pre-Summary'!$AE$6:$AJ$85,4,FALSE),"")</f>
        <v/>
      </c>
      <c r="I1106" t="str">
        <f>IFERROR(VLOOKUP(B1106,'Pre-Summary'!$AE$6:$AJ$85,5,FALSE),"")</f>
        <v/>
      </c>
      <c r="J1106" s="45" t="str">
        <f>IFERROR(VLOOKUP(B1106,'Pre-Summary'!$AE$6:$AJ$85,6, FALSE),"")</f>
        <v/>
      </c>
      <c r="K1106" s="45" t="str">
        <f>IFERROR(VLOOKUP(B1106,'Pre-Summary'!$DE$6:$DG$61,3,FALSE),"")</f>
        <v/>
      </c>
      <c r="L1106" s="45" t="str">
        <f>IFERROR(VLOOKUP(B1106,'Pre-Summary'!$CU$6:$CW$36,3,FALSE),"")</f>
        <v/>
      </c>
      <c r="M1106" s="45" t="str">
        <f>IFERROR(VLOOKUP(B1106,'Pre-Summary'!$BW$6:$BY$58,2,FALSE),"")</f>
        <v/>
      </c>
      <c r="N1106" s="45" t="str">
        <f>IFERROR(VLOOKUP(B1106,'Pre-Summary'!$CD$6:$CF$64,2,FALSE),"")</f>
        <v/>
      </c>
      <c r="O1106" s="99">
        <f>IFERROR(VLOOKUP(B1106,'Pre-Summary'!$BO$6:$BQ$48,3, FALSE),O1105)</f>
        <v>1.2</v>
      </c>
      <c r="P1106" s="99">
        <f>IFERROR(VLOOKUP(B1106,'Pre-Summary'!$BS$6:$BU$35,3,FALSE),P1105)</f>
        <v>0.3</v>
      </c>
      <c r="Q1106" s="54">
        <f t="shared" si="51"/>
        <v>4</v>
      </c>
      <c r="R1106" s="53">
        <f>IFERROR(VLOOKUP(B1106,'Pre-Summary'!$BG$6:$BM$44,7,FALSE),R1107)</f>
        <v>7.6574939085447311E-2</v>
      </c>
      <c r="S1106" s="53">
        <f>IFERROR(VLOOKUP(B1106,'Pre-Summary'!$BG$6:$BM$44,6,FALSE),S1107)</f>
        <v>6.8761751275839902E-2</v>
      </c>
      <c r="T1106" s="45" t="str">
        <f>IFERROR(VLOOKUP(B1106,'Pre-Summary'!$Y$6:$AC$83, 3,FALSE),"")</f>
        <v/>
      </c>
      <c r="U1106" s="45" t="str">
        <f>IFERROR(VLOOKUP(B1106,'Pre-Summary'!$Y$6:$AC$83, 4,FALSE),"")</f>
        <v/>
      </c>
      <c r="V1106" t="str">
        <f>IFERROR(VLOOKUP(B1106,'Pre-Summary'!$Y$6:$AC$83, 5,FALSE),"")</f>
        <v/>
      </c>
      <c r="W1106" s="45" t="str">
        <f>IFERROR(VLOOKUP(B1106,'Pre-Summary'!$Y$6:$AD$83,6,FALSE),"")</f>
        <v/>
      </c>
      <c r="X1106" t="str">
        <f>IFERROR(VLOOKUP('Pre-Summary'!$DB$6:$DD$63,3,FALSE),"")</f>
        <v/>
      </c>
      <c r="Y1106" t="str">
        <f>IFERROR(VLOOKUP(B1106,'Pre-Summary'!$CR$6:$CT$36,3,FALSE),"")</f>
        <v/>
      </c>
      <c r="Z1106" s="45" t="str">
        <f>IFERROR(VLOOKUP(B1106,'Pre-Summary'!$BZ$6:$CB$63,2,FALSE),"")</f>
        <v/>
      </c>
      <c r="AA1106" s="45" t="str">
        <f>IFERROR(VLOOKUP(B1106,'Pre-Summary'!$CG$6:$CI$70,2,FALSE),"")</f>
        <v/>
      </c>
      <c r="AB1106" s="99">
        <f>IFERROR(VLOOKUP(B1106,'Pre-Summary'!$A$6:$P$178,9,FALSE),AB1107)</f>
        <v>0.45533763440924657</v>
      </c>
      <c r="AC1106" s="10">
        <f>IFERROR(VLOOKUP(Summary!B1106,'Pre-Summary'!$A$6:$P$184,5, FALSE)/100,AC1107)</f>
        <v>0.89807866666666669</v>
      </c>
      <c r="AD1106" s="10">
        <f>IFERROR(VLOOKUP(Summary!B1106,'Pre-Summary'!$A$6:$P$184,3, FALSE)/100,AD1107)</f>
        <v>1.5917000000000001E-2</v>
      </c>
      <c r="AE1106" s="10">
        <f>IFERROR(VLOOKUP(Summary!B1106,'Pre-Summary'!$A$6:$P$184,7, FALSE)/100,AE1107)</f>
        <v>8.6004666666666674E-2</v>
      </c>
      <c r="AF1106" s="99">
        <f t="shared" si="52"/>
        <v>7.2476091268919782E-3</v>
      </c>
      <c r="AG1106" s="99">
        <f t="shared" si="53"/>
        <v>3.9161161468155785E-2</v>
      </c>
      <c r="AH1106" s="10" t="str">
        <f>IFERROR(VLOOKUP(B1106,'Pre-Summary'!$AZ$6:$BE$65,3,FALSE),"")</f>
        <v/>
      </c>
      <c r="AI1106" s="10" t="str">
        <f>IFERROR(VLOOKUP(B1106,'Pre-Summary'!$AZ$6:$BE$65,5,FALSE),"")</f>
        <v/>
      </c>
      <c r="AJ1106" s="10" t="str">
        <f>IFERROR(VLOOKUP(B1106,'Pre-Summary'!$AZ$6:$BE$65,4,FALSE),"")</f>
        <v/>
      </c>
      <c r="AK1106" s="10" t="str">
        <f>IFERROR(VLOOKUP(B1106,'Pre-Summary'!$AZ$6:$BE$65,6,FALSE),"")</f>
        <v/>
      </c>
      <c r="AL1106" s="10" t="str">
        <f>IFERROR(VLOOKUP(B1106,'Pre-Summary'!$BG$6:$BL$44,3,FALSE),"")</f>
        <v/>
      </c>
      <c r="AM1106" s="10" t="str">
        <f>IFERROR(VLOOKUP(B1106,'Pre-Summary'!$BG$6:$BL$44,4,FALSE),"")</f>
        <v/>
      </c>
    </row>
    <row r="1107" spans="2:39" ht="15" customHeight="1" x14ac:dyDescent="0.3">
      <c r="B1107">
        <v>110.4</v>
      </c>
      <c r="C1107" t="str">
        <f>IFERROR(VLOOKUP(B1107,'Pre-Summary'!$DI$6:$DM$23,4,FALSE),"")</f>
        <v/>
      </c>
      <c r="D1107" s="10" t="str">
        <f>IFERROR(VLOOKUP(B1107,'Pre-Summary'!$AT$6:$AX$14,5,FALSE),D1106)</f>
        <v>DSMZ v4: dropped out methanol</v>
      </c>
      <c r="E1107" s="10" t="str">
        <f>IFERROR(VLOOKUP(B1107,'Pre-Summary'!$AT$6:$AX$15,4,FALSE),"")</f>
        <v/>
      </c>
      <c r="F1107">
        <f>IFERROR(VLOOKUP(B1107,'Pre-Summary'!$AL$6:$AQ$13,6,FALSE),F1106)</f>
        <v>5.9405263157894746E-2</v>
      </c>
      <c r="G1107" t="str">
        <f>IFERROR(VLOOKUP(B1107,'Pre-Summary'!$AE$6:$AJ$85,3,FALSE),"")</f>
        <v/>
      </c>
      <c r="H1107" t="str">
        <f>IFERROR(VLOOKUP(B1107,'Pre-Summary'!$AE$6:$AJ$85,4,FALSE),"")</f>
        <v/>
      </c>
      <c r="I1107" t="str">
        <f>IFERROR(VLOOKUP(B1107,'Pre-Summary'!$AE$6:$AJ$85,5,FALSE),"")</f>
        <v/>
      </c>
      <c r="J1107" s="45" t="str">
        <f>IFERROR(VLOOKUP(B1107,'Pre-Summary'!$AE$6:$AJ$85,6, FALSE),"")</f>
        <v/>
      </c>
      <c r="K1107" s="45" t="str">
        <f>IFERROR(VLOOKUP(B1107,'Pre-Summary'!$DE$6:$DG$61,3,FALSE),"")</f>
        <v/>
      </c>
      <c r="L1107" s="45" t="str">
        <f>IFERROR(VLOOKUP(B1107,'Pre-Summary'!$CU$6:$CW$36,3,FALSE),"")</f>
        <v/>
      </c>
      <c r="M1107" s="45" t="str">
        <f>IFERROR(VLOOKUP(B1107,'Pre-Summary'!$BW$6:$BY$58,2,FALSE),"")</f>
        <v/>
      </c>
      <c r="N1107" s="45" t="str">
        <f>IFERROR(VLOOKUP(B1107,'Pre-Summary'!$CD$6:$CF$64,2,FALSE),"")</f>
        <v/>
      </c>
      <c r="O1107" s="99">
        <f>IFERROR(VLOOKUP(B1107,'Pre-Summary'!$BO$6:$BQ$48,3, FALSE),O1106)</f>
        <v>1.2</v>
      </c>
      <c r="P1107" s="99">
        <f>IFERROR(VLOOKUP(B1107,'Pre-Summary'!$BS$6:$BU$35,3,FALSE),P1106)</f>
        <v>0.3</v>
      </c>
      <c r="Q1107" s="54">
        <f t="shared" si="51"/>
        <v>4</v>
      </c>
      <c r="R1107" s="53">
        <f>IFERROR(VLOOKUP(B1107,'Pre-Summary'!$BG$6:$BM$44,7,FALSE),R1108)</f>
        <v>7.6574939085447311E-2</v>
      </c>
      <c r="S1107" s="53">
        <f>IFERROR(VLOOKUP(B1107,'Pre-Summary'!$BG$6:$BM$44,6,FALSE),S1108)</f>
        <v>6.8761751275839902E-2</v>
      </c>
      <c r="T1107" s="45" t="str">
        <f>IFERROR(VLOOKUP(B1107,'Pre-Summary'!$Y$6:$AC$83, 3,FALSE),"")</f>
        <v/>
      </c>
      <c r="U1107" s="45" t="str">
        <f>IFERROR(VLOOKUP(B1107,'Pre-Summary'!$Y$6:$AC$83, 4,FALSE),"")</f>
        <v/>
      </c>
      <c r="V1107" t="str">
        <f>IFERROR(VLOOKUP(B1107,'Pre-Summary'!$Y$6:$AC$83, 5,FALSE),"")</f>
        <v/>
      </c>
      <c r="W1107" s="45" t="str">
        <f>IFERROR(VLOOKUP(B1107,'Pre-Summary'!$Y$6:$AD$83,6,FALSE),"")</f>
        <v/>
      </c>
      <c r="X1107" t="str">
        <f>IFERROR(VLOOKUP('Pre-Summary'!$DB$6:$DD$63,3,FALSE),"")</f>
        <v/>
      </c>
      <c r="Y1107" t="str">
        <f>IFERROR(VLOOKUP(B1107,'Pre-Summary'!$CR$6:$CT$36,3,FALSE),"")</f>
        <v/>
      </c>
      <c r="Z1107" s="45" t="str">
        <f>IFERROR(VLOOKUP(B1107,'Pre-Summary'!$BZ$6:$CB$63,2,FALSE),"")</f>
        <v/>
      </c>
      <c r="AA1107" s="45" t="str">
        <f>IFERROR(VLOOKUP(B1107,'Pre-Summary'!$CG$6:$CI$70,2,FALSE),"")</f>
        <v/>
      </c>
      <c r="AB1107" s="99">
        <f>IFERROR(VLOOKUP(B1107,'Pre-Summary'!$A$6:$P$178,9,FALSE),AB1108)</f>
        <v>0.45533763440924657</v>
      </c>
      <c r="AC1107" s="10">
        <f>IFERROR(VLOOKUP(Summary!B1107,'Pre-Summary'!$A$6:$P$184,5, FALSE)/100,AC1108)</f>
        <v>0.89807866666666669</v>
      </c>
      <c r="AD1107" s="10">
        <f>IFERROR(VLOOKUP(Summary!B1107,'Pre-Summary'!$A$6:$P$184,3, FALSE)/100,AD1108)</f>
        <v>1.5917000000000001E-2</v>
      </c>
      <c r="AE1107" s="10">
        <f>IFERROR(VLOOKUP(Summary!B1107,'Pre-Summary'!$A$6:$P$184,7, FALSE)/100,AE1108)</f>
        <v>8.6004666666666674E-2</v>
      </c>
      <c r="AF1107" s="99">
        <f t="shared" si="52"/>
        <v>7.2476091268919782E-3</v>
      </c>
      <c r="AG1107" s="99">
        <f t="shared" si="53"/>
        <v>3.9161161468155785E-2</v>
      </c>
      <c r="AH1107" s="10" t="str">
        <f>IFERROR(VLOOKUP(B1107,'Pre-Summary'!$AZ$6:$BE$65,3,FALSE),"")</f>
        <v/>
      </c>
      <c r="AI1107" s="10" t="str">
        <f>IFERROR(VLOOKUP(B1107,'Pre-Summary'!$AZ$6:$BE$65,5,FALSE),"")</f>
        <v/>
      </c>
      <c r="AJ1107" s="10" t="str">
        <f>IFERROR(VLOOKUP(B1107,'Pre-Summary'!$AZ$6:$BE$65,4,FALSE),"")</f>
        <v/>
      </c>
      <c r="AK1107" s="10" t="str">
        <f>IFERROR(VLOOKUP(B1107,'Pre-Summary'!$AZ$6:$BE$65,6,FALSE),"")</f>
        <v/>
      </c>
      <c r="AL1107" s="10" t="str">
        <f>IFERROR(VLOOKUP(B1107,'Pre-Summary'!$BG$6:$BL$44,3,FALSE),"")</f>
        <v/>
      </c>
      <c r="AM1107" s="10" t="str">
        <f>IFERROR(VLOOKUP(B1107,'Pre-Summary'!$BG$6:$BL$44,4,FALSE),"")</f>
        <v/>
      </c>
    </row>
    <row r="1108" spans="2:39" ht="15" customHeight="1" x14ac:dyDescent="0.3">
      <c r="B1108">
        <v>110.5</v>
      </c>
      <c r="C1108" t="str">
        <f>IFERROR(VLOOKUP(B1108,'Pre-Summary'!$DI$6:$DM$23,4,FALSE),"")</f>
        <v/>
      </c>
      <c r="D1108" s="10" t="str">
        <f>IFERROR(VLOOKUP(B1108,'Pre-Summary'!$AT$6:$AX$14,5,FALSE),D1107)</f>
        <v>DSMZ v4: dropped out methanol</v>
      </c>
      <c r="E1108" s="10" t="str">
        <f>IFERROR(VLOOKUP(B1108,'Pre-Summary'!$AT$6:$AX$15,4,FALSE),"")</f>
        <v/>
      </c>
      <c r="F1108">
        <f>IFERROR(VLOOKUP(B1108,'Pre-Summary'!$AL$6:$AQ$13,6,FALSE),F1107)</f>
        <v>5.9405263157894746E-2</v>
      </c>
      <c r="G1108" t="str">
        <f>IFERROR(VLOOKUP(B1108,'Pre-Summary'!$AE$6:$AJ$85,3,FALSE),"")</f>
        <v/>
      </c>
      <c r="H1108" t="str">
        <f>IFERROR(VLOOKUP(B1108,'Pre-Summary'!$AE$6:$AJ$85,4,FALSE),"")</f>
        <v/>
      </c>
      <c r="I1108" t="str">
        <f>IFERROR(VLOOKUP(B1108,'Pre-Summary'!$AE$6:$AJ$85,5,FALSE),"")</f>
        <v/>
      </c>
      <c r="J1108" s="45" t="str">
        <f>IFERROR(VLOOKUP(B1108,'Pre-Summary'!$AE$6:$AJ$85,6, FALSE),"")</f>
        <v/>
      </c>
      <c r="K1108" s="45" t="str">
        <f>IFERROR(VLOOKUP(B1108,'Pre-Summary'!$DE$6:$DG$61,3,FALSE),"")</f>
        <v/>
      </c>
      <c r="L1108" s="45" t="str">
        <f>IFERROR(VLOOKUP(B1108,'Pre-Summary'!$CU$6:$CW$36,3,FALSE),"")</f>
        <v/>
      </c>
      <c r="M1108" s="45" t="str">
        <f>IFERROR(VLOOKUP(B1108,'Pre-Summary'!$BW$6:$BY$58,2,FALSE),"")</f>
        <v/>
      </c>
      <c r="N1108" s="45" t="str">
        <f>IFERROR(VLOOKUP(B1108,'Pre-Summary'!$CD$6:$CF$64,2,FALSE),"")</f>
        <v/>
      </c>
      <c r="O1108" s="99">
        <f>IFERROR(VLOOKUP(B1108,'Pre-Summary'!$BO$6:$BQ$48,3, FALSE),O1107)</f>
        <v>1.2</v>
      </c>
      <c r="P1108" s="99">
        <f>IFERROR(VLOOKUP(B1108,'Pre-Summary'!$BS$6:$BU$35,3,FALSE),P1107)</f>
        <v>0.3</v>
      </c>
      <c r="Q1108" s="54">
        <f t="shared" si="51"/>
        <v>4</v>
      </c>
      <c r="R1108" s="53">
        <f>IFERROR(VLOOKUP(B1108,'Pre-Summary'!$BG$6:$BM$44,7,FALSE),R1109)</f>
        <v>7.6574939085447311E-2</v>
      </c>
      <c r="S1108" s="53">
        <f>IFERROR(VLOOKUP(B1108,'Pre-Summary'!$BG$6:$BM$44,6,FALSE),S1109)</f>
        <v>6.8761751275839902E-2</v>
      </c>
      <c r="T1108" s="45" t="str">
        <f>IFERROR(VLOOKUP(B1108,'Pre-Summary'!$Y$6:$AC$83, 3,FALSE),"")</f>
        <v/>
      </c>
      <c r="U1108" s="45" t="str">
        <f>IFERROR(VLOOKUP(B1108,'Pre-Summary'!$Y$6:$AC$83, 4,FALSE),"")</f>
        <v/>
      </c>
      <c r="V1108" t="str">
        <f>IFERROR(VLOOKUP(B1108,'Pre-Summary'!$Y$6:$AC$83, 5,FALSE),"")</f>
        <v/>
      </c>
      <c r="W1108" s="45" t="str">
        <f>IFERROR(VLOOKUP(B1108,'Pre-Summary'!$Y$6:$AD$83,6,FALSE),"")</f>
        <v/>
      </c>
      <c r="X1108" t="str">
        <f>IFERROR(VLOOKUP('Pre-Summary'!$DB$6:$DD$63,3,FALSE),"")</f>
        <v/>
      </c>
      <c r="Y1108" t="str">
        <f>IFERROR(VLOOKUP(B1108,'Pre-Summary'!$CR$6:$CT$36,3,FALSE),"")</f>
        <v/>
      </c>
      <c r="Z1108" s="45" t="str">
        <f>IFERROR(VLOOKUP(B1108,'Pre-Summary'!$BZ$6:$CB$63,2,FALSE),"")</f>
        <v/>
      </c>
      <c r="AA1108" s="45" t="str">
        <f>IFERROR(VLOOKUP(B1108,'Pre-Summary'!$CG$6:$CI$70,2,FALSE),"")</f>
        <v/>
      </c>
      <c r="AB1108" s="99">
        <f>IFERROR(VLOOKUP(B1108,'Pre-Summary'!$A$6:$P$178,9,FALSE),AB1109)</f>
        <v>0.45533763440924657</v>
      </c>
      <c r="AC1108" s="10">
        <f>IFERROR(VLOOKUP(Summary!B1108,'Pre-Summary'!$A$6:$P$184,5, FALSE)/100,AC1109)</f>
        <v>0.89807866666666669</v>
      </c>
      <c r="AD1108" s="10">
        <f>IFERROR(VLOOKUP(Summary!B1108,'Pre-Summary'!$A$6:$P$184,3, FALSE)/100,AD1109)</f>
        <v>1.5917000000000001E-2</v>
      </c>
      <c r="AE1108" s="10">
        <f>IFERROR(VLOOKUP(Summary!B1108,'Pre-Summary'!$A$6:$P$184,7, FALSE)/100,AE1109)</f>
        <v>8.6004666666666674E-2</v>
      </c>
      <c r="AF1108" s="99">
        <f t="shared" si="52"/>
        <v>7.2476091268919782E-3</v>
      </c>
      <c r="AG1108" s="99">
        <f t="shared" si="53"/>
        <v>3.9161161468155785E-2</v>
      </c>
      <c r="AH1108" s="10" t="str">
        <f>IFERROR(VLOOKUP(B1108,'Pre-Summary'!$AZ$6:$BE$65,3,FALSE),"")</f>
        <v/>
      </c>
      <c r="AI1108" s="10" t="str">
        <f>IFERROR(VLOOKUP(B1108,'Pre-Summary'!$AZ$6:$BE$65,5,FALSE),"")</f>
        <v/>
      </c>
      <c r="AJ1108" s="10" t="str">
        <f>IFERROR(VLOOKUP(B1108,'Pre-Summary'!$AZ$6:$BE$65,4,FALSE),"")</f>
        <v/>
      </c>
      <c r="AK1108" s="10" t="str">
        <f>IFERROR(VLOOKUP(B1108,'Pre-Summary'!$AZ$6:$BE$65,6,FALSE),"")</f>
        <v/>
      </c>
      <c r="AL1108" s="10" t="str">
        <f>IFERROR(VLOOKUP(B1108,'Pre-Summary'!$BG$6:$BL$44,3,FALSE),"")</f>
        <v/>
      </c>
      <c r="AM1108" s="10" t="str">
        <f>IFERROR(VLOOKUP(B1108,'Pre-Summary'!$BG$6:$BL$44,4,FALSE),"")</f>
        <v/>
      </c>
    </row>
    <row r="1109" spans="2:39" ht="15" customHeight="1" x14ac:dyDescent="0.3">
      <c r="B1109">
        <v>110.6</v>
      </c>
      <c r="C1109" t="str">
        <f>IFERROR(VLOOKUP(B1109,'Pre-Summary'!$DI$6:$DM$23,4,FALSE),"")</f>
        <v/>
      </c>
      <c r="D1109" s="10" t="str">
        <f>IFERROR(VLOOKUP(B1109,'Pre-Summary'!$AT$6:$AX$14,5,FALSE),D1108)</f>
        <v>DSMZ v4: dropped out methanol</v>
      </c>
      <c r="E1109" s="10" t="str">
        <f>IFERROR(VLOOKUP(B1109,'Pre-Summary'!$AT$6:$AX$15,4,FALSE),"")</f>
        <v/>
      </c>
      <c r="F1109">
        <f>IFERROR(VLOOKUP(B1109,'Pre-Summary'!$AL$6:$AQ$13,6,FALSE),F1108)</f>
        <v>5.9405263157894746E-2</v>
      </c>
      <c r="G1109" t="str">
        <f>IFERROR(VLOOKUP(B1109,'Pre-Summary'!$AE$6:$AJ$85,3,FALSE),"")</f>
        <v/>
      </c>
      <c r="H1109" t="str">
        <f>IFERROR(VLOOKUP(B1109,'Pre-Summary'!$AE$6:$AJ$85,4,FALSE),"")</f>
        <v/>
      </c>
      <c r="I1109" t="str">
        <f>IFERROR(VLOOKUP(B1109,'Pre-Summary'!$AE$6:$AJ$85,5,FALSE),"")</f>
        <v/>
      </c>
      <c r="J1109" s="45" t="str">
        <f>IFERROR(VLOOKUP(B1109,'Pre-Summary'!$AE$6:$AJ$85,6, FALSE),"")</f>
        <v/>
      </c>
      <c r="K1109" s="45" t="str">
        <f>IFERROR(VLOOKUP(B1109,'Pre-Summary'!$DE$6:$DG$61,3,FALSE),"")</f>
        <v/>
      </c>
      <c r="L1109" s="45" t="str">
        <f>IFERROR(VLOOKUP(B1109,'Pre-Summary'!$CU$6:$CW$36,3,FALSE),"")</f>
        <v/>
      </c>
      <c r="M1109" s="45" t="str">
        <f>IFERROR(VLOOKUP(B1109,'Pre-Summary'!$BW$6:$BY$58,2,FALSE),"")</f>
        <v/>
      </c>
      <c r="N1109" s="45" t="str">
        <f>IFERROR(VLOOKUP(B1109,'Pre-Summary'!$CD$6:$CF$64,2,FALSE),"")</f>
        <v/>
      </c>
      <c r="O1109" s="99">
        <f>IFERROR(VLOOKUP(B1109,'Pre-Summary'!$BO$6:$BQ$48,3, FALSE),O1108)</f>
        <v>1.2</v>
      </c>
      <c r="P1109" s="99">
        <f>IFERROR(VLOOKUP(B1109,'Pre-Summary'!$BS$6:$BU$35,3,FALSE),P1108)</f>
        <v>0.3</v>
      </c>
      <c r="Q1109" s="54">
        <f t="shared" si="51"/>
        <v>4</v>
      </c>
      <c r="R1109" s="53">
        <f>IFERROR(VLOOKUP(B1109,'Pre-Summary'!$BG$6:$BM$44,7,FALSE),R1110)</f>
        <v>7.6574939085447311E-2</v>
      </c>
      <c r="S1109" s="53">
        <f>IFERROR(VLOOKUP(B1109,'Pre-Summary'!$BG$6:$BM$44,6,FALSE),S1110)</f>
        <v>6.8761751275839902E-2</v>
      </c>
      <c r="T1109" s="45" t="str">
        <f>IFERROR(VLOOKUP(B1109,'Pre-Summary'!$Y$6:$AC$83, 3,FALSE),"")</f>
        <v/>
      </c>
      <c r="U1109" s="45" t="str">
        <f>IFERROR(VLOOKUP(B1109,'Pre-Summary'!$Y$6:$AC$83, 4,FALSE),"")</f>
        <v/>
      </c>
      <c r="V1109" t="str">
        <f>IFERROR(VLOOKUP(B1109,'Pre-Summary'!$Y$6:$AC$83, 5,FALSE),"")</f>
        <v/>
      </c>
      <c r="W1109" s="45" t="str">
        <f>IFERROR(VLOOKUP(B1109,'Pre-Summary'!$Y$6:$AD$83,6,FALSE),"")</f>
        <v/>
      </c>
      <c r="X1109" t="str">
        <f>IFERROR(VLOOKUP('Pre-Summary'!$DB$6:$DD$63,3,FALSE),"")</f>
        <v/>
      </c>
      <c r="Y1109" t="str">
        <f>IFERROR(VLOOKUP(B1109,'Pre-Summary'!$CR$6:$CT$36,3,FALSE),"")</f>
        <v/>
      </c>
      <c r="Z1109" s="45" t="str">
        <f>IFERROR(VLOOKUP(B1109,'Pre-Summary'!$BZ$6:$CB$63,2,FALSE),"")</f>
        <v/>
      </c>
      <c r="AA1109" s="45" t="str">
        <f>IFERROR(VLOOKUP(B1109,'Pre-Summary'!$CG$6:$CI$70,2,FALSE),"")</f>
        <v/>
      </c>
      <c r="AB1109" s="99">
        <f>IFERROR(VLOOKUP(B1109,'Pre-Summary'!$A$6:$P$178,9,FALSE),AB1110)</f>
        <v>0.45533763440924657</v>
      </c>
      <c r="AC1109" s="10">
        <f>IFERROR(VLOOKUP(Summary!B1109,'Pre-Summary'!$A$6:$P$184,5, FALSE)/100,AC1110)</f>
        <v>0.89807866666666669</v>
      </c>
      <c r="AD1109" s="10">
        <f>IFERROR(VLOOKUP(Summary!B1109,'Pre-Summary'!$A$6:$P$184,3, FALSE)/100,AD1110)</f>
        <v>1.5917000000000001E-2</v>
      </c>
      <c r="AE1109" s="10">
        <f>IFERROR(VLOOKUP(Summary!B1109,'Pre-Summary'!$A$6:$P$184,7, FALSE)/100,AE1110)</f>
        <v>8.6004666666666674E-2</v>
      </c>
      <c r="AF1109" s="99">
        <f t="shared" si="52"/>
        <v>7.2476091268919782E-3</v>
      </c>
      <c r="AG1109" s="99">
        <f t="shared" si="53"/>
        <v>3.9161161468155785E-2</v>
      </c>
      <c r="AH1109" s="10" t="str">
        <f>IFERROR(VLOOKUP(B1109,'Pre-Summary'!$AZ$6:$BE$65,3,FALSE),"")</f>
        <v/>
      </c>
      <c r="AI1109" s="10" t="str">
        <f>IFERROR(VLOOKUP(B1109,'Pre-Summary'!$AZ$6:$BE$65,5,FALSE),"")</f>
        <v/>
      </c>
      <c r="AJ1109" s="10" t="str">
        <f>IFERROR(VLOOKUP(B1109,'Pre-Summary'!$AZ$6:$BE$65,4,FALSE),"")</f>
        <v/>
      </c>
      <c r="AK1109" s="10" t="str">
        <f>IFERROR(VLOOKUP(B1109,'Pre-Summary'!$AZ$6:$BE$65,6,FALSE),"")</f>
        <v/>
      </c>
      <c r="AL1109" s="10" t="str">
        <f>IFERROR(VLOOKUP(B1109,'Pre-Summary'!$BG$6:$BL$44,3,FALSE),"")</f>
        <v/>
      </c>
      <c r="AM1109" s="10" t="str">
        <f>IFERROR(VLOOKUP(B1109,'Pre-Summary'!$BG$6:$BL$44,4,FALSE),"")</f>
        <v/>
      </c>
    </row>
    <row r="1110" spans="2:39" ht="15" customHeight="1" x14ac:dyDescent="0.3">
      <c r="B1110">
        <v>110.7</v>
      </c>
      <c r="C1110" t="str">
        <f>IFERROR(VLOOKUP(B1110,'Pre-Summary'!$DI$6:$DM$23,4,FALSE),"")</f>
        <v/>
      </c>
      <c r="D1110" s="10" t="str">
        <f>IFERROR(VLOOKUP(B1110,'Pre-Summary'!$AT$6:$AX$14,5,FALSE),D1109)</f>
        <v>DSMZ v4: dropped out methanol</v>
      </c>
      <c r="E1110" s="10" t="str">
        <f>IFERROR(VLOOKUP(B1110,'Pre-Summary'!$AT$6:$AX$15,4,FALSE),"")</f>
        <v/>
      </c>
      <c r="F1110">
        <f>IFERROR(VLOOKUP(B1110,'Pre-Summary'!$AL$6:$AQ$13,6,FALSE),F1109)</f>
        <v>5.9405263157894746E-2</v>
      </c>
      <c r="G1110" t="str">
        <f>IFERROR(VLOOKUP(B1110,'Pre-Summary'!$AE$6:$AJ$85,3,FALSE),"")</f>
        <v/>
      </c>
      <c r="H1110" t="str">
        <f>IFERROR(VLOOKUP(B1110,'Pre-Summary'!$AE$6:$AJ$85,4,FALSE),"")</f>
        <v/>
      </c>
      <c r="I1110" t="str">
        <f>IFERROR(VLOOKUP(B1110,'Pre-Summary'!$AE$6:$AJ$85,5,FALSE),"")</f>
        <v/>
      </c>
      <c r="J1110" s="45" t="str">
        <f>IFERROR(VLOOKUP(B1110,'Pre-Summary'!$AE$6:$AJ$85,6, FALSE),"")</f>
        <v/>
      </c>
      <c r="K1110" s="45" t="str">
        <f>IFERROR(VLOOKUP(B1110,'Pre-Summary'!$DE$6:$DG$61,3,FALSE),"")</f>
        <v/>
      </c>
      <c r="L1110" s="45" t="str">
        <f>IFERROR(VLOOKUP(B1110,'Pre-Summary'!$CU$6:$CW$36,3,FALSE),"")</f>
        <v/>
      </c>
      <c r="M1110" s="45" t="str">
        <f>IFERROR(VLOOKUP(B1110,'Pre-Summary'!$BW$6:$BY$58,2,FALSE),"")</f>
        <v/>
      </c>
      <c r="N1110" s="45" t="str">
        <f>IFERROR(VLOOKUP(B1110,'Pre-Summary'!$CD$6:$CF$64,2,FALSE),"")</f>
        <v/>
      </c>
      <c r="O1110" s="99">
        <f>IFERROR(VLOOKUP(B1110,'Pre-Summary'!$BO$6:$BQ$48,3, FALSE),O1109)</f>
        <v>1.2</v>
      </c>
      <c r="P1110" s="99">
        <f>IFERROR(VLOOKUP(B1110,'Pre-Summary'!$BS$6:$BU$35,3,FALSE),P1109)</f>
        <v>0.3</v>
      </c>
      <c r="Q1110" s="54">
        <f t="shared" si="51"/>
        <v>4</v>
      </c>
      <c r="R1110" s="53">
        <f>IFERROR(VLOOKUP(B1110,'Pre-Summary'!$BG$6:$BM$44,7,FALSE),R1111)</f>
        <v>7.6574939085447311E-2</v>
      </c>
      <c r="S1110" s="53">
        <f>IFERROR(VLOOKUP(B1110,'Pre-Summary'!$BG$6:$BM$44,6,FALSE),S1111)</f>
        <v>6.8761751275839902E-2</v>
      </c>
      <c r="T1110" s="45" t="str">
        <f>IFERROR(VLOOKUP(B1110,'Pre-Summary'!$Y$6:$AC$83, 3,FALSE),"")</f>
        <v/>
      </c>
      <c r="U1110" s="45" t="str">
        <f>IFERROR(VLOOKUP(B1110,'Pre-Summary'!$Y$6:$AC$83, 4,FALSE),"")</f>
        <v/>
      </c>
      <c r="V1110" t="str">
        <f>IFERROR(VLOOKUP(B1110,'Pre-Summary'!$Y$6:$AC$83, 5,FALSE),"")</f>
        <v/>
      </c>
      <c r="W1110" s="45" t="str">
        <f>IFERROR(VLOOKUP(B1110,'Pre-Summary'!$Y$6:$AD$83,6,FALSE),"")</f>
        <v/>
      </c>
      <c r="X1110" t="str">
        <f>IFERROR(VLOOKUP('Pre-Summary'!$DB$6:$DD$63,3,FALSE),"")</f>
        <v/>
      </c>
      <c r="Y1110" t="str">
        <f>IFERROR(VLOOKUP(B1110,'Pre-Summary'!$CR$6:$CT$36,3,FALSE),"")</f>
        <v/>
      </c>
      <c r="Z1110" s="45" t="str">
        <f>IFERROR(VLOOKUP(B1110,'Pre-Summary'!$BZ$6:$CB$63,2,FALSE),"")</f>
        <v/>
      </c>
      <c r="AA1110" s="45" t="str">
        <f>IFERROR(VLOOKUP(B1110,'Pre-Summary'!$CG$6:$CI$70,2,FALSE),"")</f>
        <v/>
      </c>
      <c r="AB1110" s="99">
        <f>IFERROR(VLOOKUP(B1110,'Pre-Summary'!$A$6:$P$178,9,FALSE),AB1111)</f>
        <v>0.45533763440924657</v>
      </c>
      <c r="AC1110" s="10">
        <f>IFERROR(VLOOKUP(Summary!B1110,'Pre-Summary'!$A$6:$P$184,5, FALSE)/100,AC1111)</f>
        <v>0.89807866666666669</v>
      </c>
      <c r="AD1110" s="10">
        <f>IFERROR(VLOOKUP(Summary!B1110,'Pre-Summary'!$A$6:$P$184,3, FALSE)/100,AD1111)</f>
        <v>1.5917000000000001E-2</v>
      </c>
      <c r="AE1110" s="10">
        <f>IFERROR(VLOOKUP(Summary!B1110,'Pre-Summary'!$A$6:$P$184,7, FALSE)/100,AE1111)</f>
        <v>8.6004666666666674E-2</v>
      </c>
      <c r="AF1110" s="99">
        <f t="shared" si="52"/>
        <v>7.2476091268919782E-3</v>
      </c>
      <c r="AG1110" s="99">
        <f t="shared" si="53"/>
        <v>3.9161161468155785E-2</v>
      </c>
      <c r="AH1110" s="10" t="str">
        <f>IFERROR(VLOOKUP(B1110,'Pre-Summary'!$AZ$6:$BE$65,3,FALSE),"")</f>
        <v/>
      </c>
      <c r="AI1110" s="10" t="str">
        <f>IFERROR(VLOOKUP(B1110,'Pre-Summary'!$AZ$6:$BE$65,5,FALSE),"")</f>
        <v/>
      </c>
      <c r="AJ1110" s="10" t="str">
        <f>IFERROR(VLOOKUP(B1110,'Pre-Summary'!$AZ$6:$BE$65,4,FALSE),"")</f>
        <v/>
      </c>
      <c r="AK1110" s="10" t="str">
        <f>IFERROR(VLOOKUP(B1110,'Pre-Summary'!$AZ$6:$BE$65,6,FALSE),"")</f>
        <v/>
      </c>
      <c r="AL1110" s="10" t="str">
        <f>IFERROR(VLOOKUP(B1110,'Pre-Summary'!$BG$6:$BL$44,3,FALSE),"")</f>
        <v/>
      </c>
      <c r="AM1110" s="10" t="str">
        <f>IFERROR(VLOOKUP(B1110,'Pre-Summary'!$BG$6:$BL$44,4,FALSE),"")</f>
        <v/>
      </c>
    </row>
    <row r="1111" spans="2:39" ht="15" customHeight="1" x14ac:dyDescent="0.3">
      <c r="B1111">
        <v>110.8</v>
      </c>
      <c r="C1111" t="str">
        <f>IFERROR(VLOOKUP(B1111,'Pre-Summary'!$DI$6:$DM$23,4,FALSE),"")</f>
        <v/>
      </c>
      <c r="D1111" s="10" t="str">
        <f>IFERROR(VLOOKUP(B1111,'Pre-Summary'!$AT$6:$AX$14,5,FALSE),D1110)</f>
        <v>DSMZ v4: dropped out methanol</v>
      </c>
      <c r="E1111" s="10" t="str">
        <f>IFERROR(VLOOKUP(B1111,'Pre-Summary'!$AT$6:$AX$15,4,FALSE),"")</f>
        <v/>
      </c>
      <c r="F1111">
        <f>IFERROR(VLOOKUP(B1111,'Pre-Summary'!$AL$6:$AQ$13,6,FALSE),F1110)</f>
        <v>5.9405263157894746E-2</v>
      </c>
      <c r="G1111" t="str">
        <f>IFERROR(VLOOKUP(B1111,'Pre-Summary'!$AE$6:$AJ$85,3,FALSE),"")</f>
        <v/>
      </c>
      <c r="H1111" t="str">
        <f>IFERROR(VLOOKUP(B1111,'Pre-Summary'!$AE$6:$AJ$85,4,FALSE),"")</f>
        <v/>
      </c>
      <c r="I1111" t="str">
        <f>IFERROR(VLOOKUP(B1111,'Pre-Summary'!$AE$6:$AJ$85,5,FALSE),"")</f>
        <v/>
      </c>
      <c r="J1111" s="45" t="str">
        <f>IFERROR(VLOOKUP(B1111,'Pre-Summary'!$AE$6:$AJ$85,6, FALSE),"")</f>
        <v/>
      </c>
      <c r="K1111" s="45" t="str">
        <f>IFERROR(VLOOKUP(B1111,'Pre-Summary'!$DE$6:$DG$61,3,FALSE),"")</f>
        <v/>
      </c>
      <c r="L1111" s="45" t="str">
        <f>IFERROR(VLOOKUP(B1111,'Pre-Summary'!$CU$6:$CW$36,3,FALSE),"")</f>
        <v/>
      </c>
      <c r="M1111" s="45" t="str">
        <f>IFERROR(VLOOKUP(B1111,'Pre-Summary'!$BW$6:$BY$58,2,FALSE),"")</f>
        <v/>
      </c>
      <c r="N1111" s="45" t="str">
        <f>IFERROR(VLOOKUP(B1111,'Pre-Summary'!$CD$6:$CF$64,2,FALSE),"")</f>
        <v/>
      </c>
      <c r="O1111" s="99">
        <f>IFERROR(VLOOKUP(B1111,'Pre-Summary'!$BO$6:$BQ$48,3, FALSE),O1110)</f>
        <v>1.2</v>
      </c>
      <c r="P1111" s="99">
        <f>IFERROR(VLOOKUP(B1111,'Pre-Summary'!$BS$6:$BU$35,3,FALSE),P1110)</f>
        <v>0.3</v>
      </c>
      <c r="Q1111" s="54">
        <f t="shared" si="51"/>
        <v>4</v>
      </c>
      <c r="R1111" s="53">
        <f>IFERROR(VLOOKUP(B1111,'Pre-Summary'!$BG$6:$BM$44,7,FALSE),R1112)</f>
        <v>7.6574939085447311E-2</v>
      </c>
      <c r="S1111" s="53">
        <f>IFERROR(VLOOKUP(B1111,'Pre-Summary'!$BG$6:$BM$44,6,FALSE),S1112)</f>
        <v>6.8761751275839902E-2</v>
      </c>
      <c r="T1111" s="45" t="str">
        <f>IFERROR(VLOOKUP(B1111,'Pre-Summary'!$Y$6:$AC$83, 3,FALSE),"")</f>
        <v/>
      </c>
      <c r="U1111" s="45" t="str">
        <f>IFERROR(VLOOKUP(B1111,'Pre-Summary'!$Y$6:$AC$83, 4,FALSE),"")</f>
        <v/>
      </c>
      <c r="V1111" t="str">
        <f>IFERROR(VLOOKUP(B1111,'Pre-Summary'!$Y$6:$AC$83, 5,FALSE),"")</f>
        <v/>
      </c>
      <c r="W1111" s="45" t="str">
        <f>IFERROR(VLOOKUP(B1111,'Pre-Summary'!$Y$6:$AD$83,6,FALSE),"")</f>
        <v/>
      </c>
      <c r="X1111" t="str">
        <f>IFERROR(VLOOKUP('Pre-Summary'!$DB$6:$DD$63,3,FALSE),"")</f>
        <v/>
      </c>
      <c r="Y1111" t="str">
        <f>IFERROR(VLOOKUP(B1111,'Pre-Summary'!$CR$6:$CT$36,3,FALSE),"")</f>
        <v/>
      </c>
      <c r="Z1111" s="45" t="str">
        <f>IFERROR(VLOOKUP(B1111,'Pre-Summary'!$BZ$6:$CB$63,2,FALSE),"")</f>
        <v/>
      </c>
      <c r="AA1111" s="45" t="str">
        <f>IFERROR(VLOOKUP(B1111,'Pre-Summary'!$CG$6:$CI$70,2,FALSE),"")</f>
        <v/>
      </c>
      <c r="AB1111" s="99">
        <f>IFERROR(VLOOKUP(B1111,'Pre-Summary'!$A$6:$P$178,9,FALSE),AB1112)</f>
        <v>0.45533763440924657</v>
      </c>
      <c r="AC1111" s="10">
        <f>IFERROR(VLOOKUP(Summary!B1111,'Pre-Summary'!$A$6:$P$184,5, FALSE)/100,AC1112)</f>
        <v>0.89807866666666669</v>
      </c>
      <c r="AD1111" s="10">
        <f>IFERROR(VLOOKUP(Summary!B1111,'Pre-Summary'!$A$6:$P$184,3, FALSE)/100,AD1112)</f>
        <v>1.5917000000000001E-2</v>
      </c>
      <c r="AE1111" s="10">
        <f>IFERROR(VLOOKUP(Summary!B1111,'Pre-Summary'!$A$6:$P$184,7, FALSE)/100,AE1112)</f>
        <v>8.6004666666666674E-2</v>
      </c>
      <c r="AF1111" s="99">
        <f t="shared" si="52"/>
        <v>7.2476091268919782E-3</v>
      </c>
      <c r="AG1111" s="99">
        <f t="shared" si="53"/>
        <v>3.9161161468155785E-2</v>
      </c>
      <c r="AH1111" s="10" t="str">
        <f>IFERROR(VLOOKUP(B1111,'Pre-Summary'!$AZ$6:$BE$65,3,FALSE),"")</f>
        <v/>
      </c>
      <c r="AI1111" s="10" t="str">
        <f>IFERROR(VLOOKUP(B1111,'Pre-Summary'!$AZ$6:$BE$65,5,FALSE),"")</f>
        <v/>
      </c>
      <c r="AJ1111" s="10" t="str">
        <f>IFERROR(VLOOKUP(B1111,'Pre-Summary'!$AZ$6:$BE$65,4,FALSE),"")</f>
        <v/>
      </c>
      <c r="AK1111" s="10" t="str">
        <f>IFERROR(VLOOKUP(B1111,'Pre-Summary'!$AZ$6:$BE$65,6,FALSE),"")</f>
        <v/>
      </c>
      <c r="AL1111" s="10" t="str">
        <f>IFERROR(VLOOKUP(B1111,'Pre-Summary'!$BG$6:$BL$44,3,FALSE),"")</f>
        <v/>
      </c>
      <c r="AM1111" s="10" t="str">
        <f>IFERROR(VLOOKUP(B1111,'Pre-Summary'!$BG$6:$BL$44,4,FALSE),"")</f>
        <v/>
      </c>
    </row>
    <row r="1112" spans="2:39" ht="15" customHeight="1" x14ac:dyDescent="0.3">
      <c r="B1112">
        <v>110.9</v>
      </c>
      <c r="C1112" t="str">
        <f>IFERROR(VLOOKUP(B1112,'Pre-Summary'!$DI$6:$DM$23,4,FALSE),"")</f>
        <v/>
      </c>
      <c r="D1112" s="10" t="str">
        <f>IFERROR(VLOOKUP(B1112,'Pre-Summary'!$AT$6:$AX$14,5,FALSE),D1111)</f>
        <v>DSMZ v4: dropped out methanol</v>
      </c>
      <c r="E1112" s="10" t="str">
        <f>IFERROR(VLOOKUP(B1112,'Pre-Summary'!$AT$6:$AX$15,4,FALSE),"")</f>
        <v/>
      </c>
      <c r="F1112">
        <f>IFERROR(VLOOKUP(B1112,'Pre-Summary'!$AL$6:$AQ$13,6,FALSE),F1111)</f>
        <v>5.9405263157894746E-2</v>
      </c>
      <c r="G1112" t="str">
        <f>IFERROR(VLOOKUP(B1112,'Pre-Summary'!$AE$6:$AJ$85,3,FALSE),"")</f>
        <v/>
      </c>
      <c r="H1112" t="str">
        <f>IFERROR(VLOOKUP(B1112,'Pre-Summary'!$AE$6:$AJ$85,4,FALSE),"")</f>
        <v/>
      </c>
      <c r="I1112" t="str">
        <f>IFERROR(VLOOKUP(B1112,'Pre-Summary'!$AE$6:$AJ$85,5,FALSE),"")</f>
        <v/>
      </c>
      <c r="J1112" s="45" t="str">
        <f>IFERROR(VLOOKUP(B1112,'Pre-Summary'!$AE$6:$AJ$85,6, FALSE),"")</f>
        <v/>
      </c>
      <c r="K1112" s="45" t="str">
        <f>IFERROR(VLOOKUP(B1112,'Pre-Summary'!$DE$6:$DG$61,3,FALSE),"")</f>
        <v/>
      </c>
      <c r="L1112" s="45" t="str">
        <f>IFERROR(VLOOKUP(B1112,'Pre-Summary'!$CU$6:$CW$36,3,FALSE),"")</f>
        <v/>
      </c>
      <c r="M1112" s="45" t="str">
        <f>IFERROR(VLOOKUP(B1112,'Pre-Summary'!$BW$6:$BY$58,2,FALSE),"")</f>
        <v/>
      </c>
      <c r="N1112" s="45" t="str">
        <f>IFERROR(VLOOKUP(B1112,'Pre-Summary'!$CD$6:$CF$64,2,FALSE),"")</f>
        <v/>
      </c>
      <c r="O1112" s="99">
        <f>IFERROR(VLOOKUP(B1112,'Pre-Summary'!$BO$6:$BQ$48,3, FALSE),O1111)</f>
        <v>1.2</v>
      </c>
      <c r="P1112" s="99">
        <f>IFERROR(VLOOKUP(B1112,'Pre-Summary'!$BS$6:$BU$35,3,FALSE),P1111)</f>
        <v>0.3</v>
      </c>
      <c r="Q1112" s="54">
        <f t="shared" si="51"/>
        <v>4</v>
      </c>
      <c r="R1112" s="53">
        <f>IFERROR(VLOOKUP(B1112,'Pre-Summary'!$BG$6:$BM$44,7,FALSE),R1113)</f>
        <v>7.6574939085447311E-2</v>
      </c>
      <c r="S1112" s="53">
        <f>IFERROR(VLOOKUP(B1112,'Pre-Summary'!$BG$6:$BM$44,6,FALSE),S1113)</f>
        <v>6.8761751275839902E-2</v>
      </c>
      <c r="T1112" s="45" t="str">
        <f>IFERROR(VLOOKUP(B1112,'Pre-Summary'!$Y$6:$AC$83, 3,FALSE),"")</f>
        <v/>
      </c>
      <c r="U1112" s="45" t="str">
        <f>IFERROR(VLOOKUP(B1112,'Pre-Summary'!$Y$6:$AC$83, 4,FALSE),"")</f>
        <v/>
      </c>
      <c r="V1112" t="str">
        <f>IFERROR(VLOOKUP(B1112,'Pre-Summary'!$Y$6:$AC$83, 5,FALSE),"")</f>
        <v/>
      </c>
      <c r="W1112" s="45" t="str">
        <f>IFERROR(VLOOKUP(B1112,'Pre-Summary'!$Y$6:$AD$83,6,FALSE),"")</f>
        <v/>
      </c>
      <c r="X1112" t="str">
        <f>IFERROR(VLOOKUP('Pre-Summary'!$DB$6:$DD$63,3,FALSE),"")</f>
        <v/>
      </c>
      <c r="Y1112" t="str">
        <f>IFERROR(VLOOKUP(B1112,'Pre-Summary'!$CR$6:$CT$36,3,FALSE),"")</f>
        <v/>
      </c>
      <c r="Z1112" s="45" t="str">
        <f>IFERROR(VLOOKUP(B1112,'Pre-Summary'!$BZ$6:$CB$63,2,FALSE),"")</f>
        <v/>
      </c>
      <c r="AA1112" s="45" t="str">
        <f>IFERROR(VLOOKUP(B1112,'Pre-Summary'!$CG$6:$CI$70,2,FALSE),"")</f>
        <v/>
      </c>
      <c r="AB1112" s="99">
        <f>IFERROR(VLOOKUP(B1112,'Pre-Summary'!$A$6:$P$178,9,FALSE),AB1113)</f>
        <v>0.45533763440924657</v>
      </c>
      <c r="AC1112" s="10">
        <f>IFERROR(VLOOKUP(Summary!B1112,'Pre-Summary'!$A$6:$P$184,5, FALSE)/100,AC1113)</f>
        <v>0.89807866666666669</v>
      </c>
      <c r="AD1112" s="10">
        <f>IFERROR(VLOOKUP(Summary!B1112,'Pre-Summary'!$A$6:$P$184,3, FALSE)/100,AD1113)</f>
        <v>1.5917000000000001E-2</v>
      </c>
      <c r="AE1112" s="10">
        <f>IFERROR(VLOOKUP(Summary!B1112,'Pre-Summary'!$A$6:$P$184,7, FALSE)/100,AE1113)</f>
        <v>8.6004666666666674E-2</v>
      </c>
      <c r="AF1112" s="99">
        <f t="shared" si="52"/>
        <v>7.2476091268919782E-3</v>
      </c>
      <c r="AG1112" s="99">
        <f t="shared" si="53"/>
        <v>3.9161161468155785E-2</v>
      </c>
      <c r="AH1112" s="10" t="str">
        <f>IFERROR(VLOOKUP(B1112,'Pre-Summary'!$AZ$6:$BE$65,3,FALSE),"")</f>
        <v/>
      </c>
      <c r="AI1112" s="10" t="str">
        <f>IFERROR(VLOOKUP(B1112,'Pre-Summary'!$AZ$6:$BE$65,5,FALSE),"")</f>
        <v/>
      </c>
      <c r="AJ1112" s="10" t="str">
        <f>IFERROR(VLOOKUP(B1112,'Pre-Summary'!$AZ$6:$BE$65,4,FALSE),"")</f>
        <v/>
      </c>
      <c r="AK1112" s="10" t="str">
        <f>IFERROR(VLOOKUP(B1112,'Pre-Summary'!$AZ$6:$BE$65,6,FALSE),"")</f>
        <v/>
      </c>
      <c r="AL1112" s="10" t="str">
        <f>IFERROR(VLOOKUP(B1112,'Pre-Summary'!$BG$6:$BL$44,3,FALSE),"")</f>
        <v/>
      </c>
      <c r="AM1112" s="10" t="str">
        <f>IFERROR(VLOOKUP(B1112,'Pre-Summary'!$BG$6:$BL$44,4,FALSE),"")</f>
        <v/>
      </c>
    </row>
    <row r="1113" spans="2:39" ht="15" customHeight="1" x14ac:dyDescent="0.3">
      <c r="B1113">
        <v>111</v>
      </c>
      <c r="C1113" t="str">
        <f>IFERROR(VLOOKUP(B1113,'Pre-Summary'!$DI$6:$DM$23,4,FALSE),"")</f>
        <v/>
      </c>
      <c r="D1113" s="10" t="str">
        <f>IFERROR(VLOOKUP(B1113,'Pre-Summary'!$AT$6:$AX$14,5,FALSE),D1112)</f>
        <v>DSMZ v4: dropped out methanol</v>
      </c>
      <c r="E1113" s="10" t="str">
        <f>IFERROR(VLOOKUP(B1113,'Pre-Summary'!$AT$6:$AX$15,4,FALSE),"")</f>
        <v/>
      </c>
      <c r="F1113">
        <f>IFERROR(VLOOKUP(B1113,'Pre-Summary'!$AL$6:$AQ$13,6,FALSE),F1112)</f>
        <v>5.9405263157894746E-2</v>
      </c>
      <c r="G1113" t="str">
        <f>IFERROR(VLOOKUP(B1113,'Pre-Summary'!$AE$6:$AJ$85,3,FALSE),"")</f>
        <v/>
      </c>
      <c r="H1113" t="str">
        <f>IFERROR(VLOOKUP(B1113,'Pre-Summary'!$AE$6:$AJ$85,4,FALSE),"")</f>
        <v/>
      </c>
      <c r="I1113" t="str">
        <f>IFERROR(VLOOKUP(B1113,'Pre-Summary'!$AE$6:$AJ$85,5,FALSE),"")</f>
        <v/>
      </c>
      <c r="J1113" s="45" t="str">
        <f>IFERROR(VLOOKUP(B1113,'Pre-Summary'!$AE$6:$AJ$85,6, FALSE),"")</f>
        <v/>
      </c>
      <c r="K1113" s="45" t="str">
        <f>IFERROR(VLOOKUP(B1113,'Pre-Summary'!$DE$6:$DG$61,3,FALSE),"")</f>
        <v/>
      </c>
      <c r="L1113" s="45" t="str">
        <f>IFERROR(VLOOKUP(B1113,'Pre-Summary'!$CU$6:$CW$36,3,FALSE),"")</f>
        <v/>
      </c>
      <c r="M1113" s="45" t="str">
        <f>IFERROR(VLOOKUP(B1113,'Pre-Summary'!$BW$6:$BY$58,2,FALSE),"")</f>
        <v/>
      </c>
      <c r="N1113" s="45" t="str">
        <f>IFERROR(VLOOKUP(B1113,'Pre-Summary'!$CD$6:$CF$64,2,FALSE),"")</f>
        <v/>
      </c>
      <c r="O1113" s="99">
        <f>IFERROR(VLOOKUP(B1113,'Pre-Summary'!$BO$6:$BQ$48,3, FALSE),O1112)</f>
        <v>1.2</v>
      </c>
      <c r="P1113" s="99">
        <f>IFERROR(VLOOKUP(B1113,'Pre-Summary'!$BS$6:$BU$35,3,FALSE),P1112)</f>
        <v>0.3</v>
      </c>
      <c r="Q1113" s="54">
        <f t="shared" si="51"/>
        <v>4</v>
      </c>
      <c r="R1113" s="53">
        <f>IFERROR(VLOOKUP(B1113,'Pre-Summary'!$BG$6:$BM$44,7,FALSE),R1114)</f>
        <v>7.6574939085447311E-2</v>
      </c>
      <c r="S1113" s="53">
        <f>IFERROR(VLOOKUP(B1113,'Pre-Summary'!$BG$6:$BM$44,6,FALSE),S1114)</f>
        <v>6.8761751275839902E-2</v>
      </c>
      <c r="T1113" s="45" t="str">
        <f>IFERROR(VLOOKUP(B1113,'Pre-Summary'!$Y$6:$AC$83, 3,FALSE),"")</f>
        <v/>
      </c>
      <c r="U1113" s="45" t="str">
        <f>IFERROR(VLOOKUP(B1113,'Pre-Summary'!$Y$6:$AC$83, 4,FALSE),"")</f>
        <v/>
      </c>
      <c r="V1113" t="str">
        <f>IFERROR(VLOOKUP(B1113,'Pre-Summary'!$Y$6:$AC$83, 5,FALSE),"")</f>
        <v/>
      </c>
      <c r="W1113" s="45" t="str">
        <f>IFERROR(VLOOKUP(B1113,'Pre-Summary'!$Y$6:$AD$83,6,FALSE),"")</f>
        <v/>
      </c>
      <c r="X1113" t="str">
        <f>IFERROR(VLOOKUP('Pre-Summary'!$DB$6:$DD$63,3,FALSE),"")</f>
        <v/>
      </c>
      <c r="Y1113" t="str">
        <f>IFERROR(VLOOKUP(B1113,'Pre-Summary'!$CR$6:$CT$36,3,FALSE),"")</f>
        <v/>
      </c>
      <c r="Z1113" s="45" t="str">
        <f>IFERROR(VLOOKUP(B1113,'Pre-Summary'!$BZ$6:$CB$63,2,FALSE),"")</f>
        <v/>
      </c>
      <c r="AA1113" s="45" t="str">
        <f>IFERROR(VLOOKUP(B1113,'Pre-Summary'!$CG$6:$CI$70,2,FALSE),"")</f>
        <v/>
      </c>
      <c r="AB1113" s="99">
        <f>IFERROR(VLOOKUP(B1113,'Pre-Summary'!$A$6:$P$178,9,FALSE),AB1114)</f>
        <v>0.45533763440924657</v>
      </c>
      <c r="AC1113" s="10">
        <f>IFERROR(VLOOKUP(Summary!B1113,'Pre-Summary'!$A$6:$P$184,5, FALSE)/100,AC1114)</f>
        <v>0.89807866666666669</v>
      </c>
      <c r="AD1113" s="10">
        <f>IFERROR(VLOOKUP(Summary!B1113,'Pre-Summary'!$A$6:$P$184,3, FALSE)/100,AD1114)</f>
        <v>1.5917000000000001E-2</v>
      </c>
      <c r="AE1113" s="10">
        <f>IFERROR(VLOOKUP(Summary!B1113,'Pre-Summary'!$A$6:$P$184,7, FALSE)/100,AE1114)</f>
        <v>8.6004666666666674E-2</v>
      </c>
      <c r="AF1113" s="99">
        <f t="shared" si="52"/>
        <v>7.2476091268919782E-3</v>
      </c>
      <c r="AG1113" s="99">
        <f t="shared" si="53"/>
        <v>3.9161161468155785E-2</v>
      </c>
      <c r="AH1113" s="10" t="str">
        <f>IFERROR(VLOOKUP(B1113,'Pre-Summary'!$AZ$6:$BE$65,3,FALSE),"")</f>
        <v/>
      </c>
      <c r="AI1113" s="10" t="str">
        <f>IFERROR(VLOOKUP(B1113,'Pre-Summary'!$AZ$6:$BE$65,5,FALSE),"")</f>
        <v/>
      </c>
      <c r="AJ1113" s="10" t="str">
        <f>IFERROR(VLOOKUP(B1113,'Pre-Summary'!$AZ$6:$BE$65,4,FALSE),"")</f>
        <v/>
      </c>
      <c r="AK1113" s="10" t="str">
        <f>IFERROR(VLOOKUP(B1113,'Pre-Summary'!$AZ$6:$BE$65,6,FALSE),"")</f>
        <v/>
      </c>
      <c r="AL1113" s="10" t="str">
        <f>IFERROR(VLOOKUP(B1113,'Pre-Summary'!$BG$6:$BL$44,3,FALSE),"")</f>
        <v/>
      </c>
      <c r="AM1113" s="10" t="str">
        <f>IFERROR(VLOOKUP(B1113,'Pre-Summary'!$BG$6:$BL$44,4,FALSE),"")</f>
        <v/>
      </c>
    </row>
    <row r="1114" spans="2:39" ht="15" customHeight="1" x14ac:dyDescent="0.3">
      <c r="B1114">
        <v>111.1</v>
      </c>
      <c r="C1114" t="str">
        <f>IFERROR(VLOOKUP(B1114,'Pre-Summary'!$DI$6:$DM$23,4,FALSE),"")</f>
        <v/>
      </c>
      <c r="D1114" s="10" t="str">
        <f>IFERROR(VLOOKUP(B1114,'Pre-Summary'!$AT$6:$AX$14,5,FALSE),D1113)</f>
        <v>DSMZ v4: dropped out methanol</v>
      </c>
      <c r="E1114" s="10" t="str">
        <f>IFERROR(VLOOKUP(B1114,'Pre-Summary'!$AT$6:$AX$15,4,FALSE),"")</f>
        <v/>
      </c>
      <c r="F1114">
        <f>IFERROR(VLOOKUP(B1114,'Pre-Summary'!$AL$6:$AQ$13,6,FALSE),F1113)</f>
        <v>5.9405263157894746E-2</v>
      </c>
      <c r="G1114" t="str">
        <f>IFERROR(VLOOKUP(B1114,'Pre-Summary'!$AE$6:$AJ$85,3,FALSE),"")</f>
        <v/>
      </c>
      <c r="H1114" t="str">
        <f>IFERROR(VLOOKUP(B1114,'Pre-Summary'!$AE$6:$AJ$85,4,FALSE),"")</f>
        <v/>
      </c>
      <c r="I1114" t="str">
        <f>IFERROR(VLOOKUP(B1114,'Pre-Summary'!$AE$6:$AJ$85,5,FALSE),"")</f>
        <v/>
      </c>
      <c r="J1114" s="45" t="str">
        <f>IFERROR(VLOOKUP(B1114,'Pre-Summary'!$AE$6:$AJ$85,6, FALSE),"")</f>
        <v/>
      </c>
      <c r="K1114" s="45" t="str">
        <f>IFERROR(VLOOKUP(B1114,'Pre-Summary'!$DE$6:$DG$61,3,FALSE),"")</f>
        <v/>
      </c>
      <c r="L1114" s="45" t="str">
        <f>IFERROR(VLOOKUP(B1114,'Pre-Summary'!$CU$6:$CW$36,3,FALSE),"")</f>
        <v/>
      </c>
      <c r="M1114" s="45" t="str">
        <f>IFERROR(VLOOKUP(B1114,'Pre-Summary'!$BW$6:$BY$58,2,FALSE),"")</f>
        <v/>
      </c>
      <c r="N1114" s="45" t="str">
        <f>IFERROR(VLOOKUP(B1114,'Pre-Summary'!$CD$6:$CF$64,2,FALSE),"")</f>
        <v/>
      </c>
      <c r="O1114" s="99">
        <f>IFERROR(VLOOKUP(B1114,'Pre-Summary'!$BO$6:$BQ$48,3, FALSE),O1113)</f>
        <v>1.2</v>
      </c>
      <c r="P1114" s="99">
        <f>IFERROR(VLOOKUP(B1114,'Pre-Summary'!$BS$6:$BU$35,3,FALSE),P1113)</f>
        <v>0.3</v>
      </c>
      <c r="Q1114" s="54">
        <f t="shared" si="51"/>
        <v>4</v>
      </c>
      <c r="R1114" s="53">
        <f>IFERROR(VLOOKUP(B1114,'Pre-Summary'!$BG$6:$BM$44,7,FALSE),R1115)</f>
        <v>7.6574939085447311E-2</v>
      </c>
      <c r="S1114" s="53">
        <f>IFERROR(VLOOKUP(B1114,'Pre-Summary'!$BG$6:$BM$44,6,FALSE),S1115)</f>
        <v>6.8761751275839902E-2</v>
      </c>
      <c r="T1114" s="45" t="str">
        <f>IFERROR(VLOOKUP(B1114,'Pre-Summary'!$Y$6:$AC$83, 3,FALSE),"")</f>
        <v/>
      </c>
      <c r="U1114" s="45" t="str">
        <f>IFERROR(VLOOKUP(B1114,'Pre-Summary'!$Y$6:$AC$83, 4,FALSE),"")</f>
        <v/>
      </c>
      <c r="V1114" t="str">
        <f>IFERROR(VLOOKUP(B1114,'Pre-Summary'!$Y$6:$AC$83, 5,FALSE),"")</f>
        <v/>
      </c>
      <c r="W1114" s="45" t="str">
        <f>IFERROR(VLOOKUP(B1114,'Pre-Summary'!$Y$6:$AD$83,6,FALSE),"")</f>
        <v/>
      </c>
      <c r="X1114" t="str">
        <f>IFERROR(VLOOKUP('Pre-Summary'!$DB$6:$DD$63,3,FALSE),"")</f>
        <v/>
      </c>
      <c r="Y1114" t="str">
        <f>IFERROR(VLOOKUP(B1114,'Pre-Summary'!$CR$6:$CT$36,3,FALSE),"")</f>
        <v/>
      </c>
      <c r="Z1114" s="45" t="str">
        <f>IFERROR(VLOOKUP(B1114,'Pre-Summary'!$BZ$6:$CB$63,2,FALSE),"")</f>
        <v/>
      </c>
      <c r="AA1114" s="45" t="str">
        <f>IFERROR(VLOOKUP(B1114,'Pre-Summary'!$CG$6:$CI$70,2,FALSE),"")</f>
        <v/>
      </c>
      <c r="AB1114" s="99">
        <f>IFERROR(VLOOKUP(B1114,'Pre-Summary'!$A$6:$P$178,9,FALSE),AB1115)</f>
        <v>0.45533763440924657</v>
      </c>
      <c r="AC1114" s="10">
        <f>IFERROR(VLOOKUP(Summary!B1114,'Pre-Summary'!$A$6:$P$184,5, FALSE)/100,AC1115)</f>
        <v>0.89807866666666669</v>
      </c>
      <c r="AD1114" s="10">
        <f>IFERROR(VLOOKUP(Summary!B1114,'Pre-Summary'!$A$6:$P$184,3, FALSE)/100,AD1115)</f>
        <v>1.5917000000000001E-2</v>
      </c>
      <c r="AE1114" s="10">
        <f>IFERROR(VLOOKUP(Summary!B1114,'Pre-Summary'!$A$6:$P$184,7, FALSE)/100,AE1115)</f>
        <v>8.6004666666666674E-2</v>
      </c>
      <c r="AF1114" s="99">
        <f t="shared" si="52"/>
        <v>7.2476091268919782E-3</v>
      </c>
      <c r="AG1114" s="99">
        <f t="shared" si="53"/>
        <v>3.9161161468155785E-2</v>
      </c>
      <c r="AH1114" s="10" t="str">
        <f>IFERROR(VLOOKUP(B1114,'Pre-Summary'!$AZ$6:$BE$65,3,FALSE),"")</f>
        <v/>
      </c>
      <c r="AI1114" s="10" t="str">
        <f>IFERROR(VLOOKUP(B1114,'Pre-Summary'!$AZ$6:$BE$65,5,FALSE),"")</f>
        <v/>
      </c>
      <c r="AJ1114" s="10" t="str">
        <f>IFERROR(VLOOKUP(B1114,'Pre-Summary'!$AZ$6:$BE$65,4,FALSE),"")</f>
        <v/>
      </c>
      <c r="AK1114" s="10" t="str">
        <f>IFERROR(VLOOKUP(B1114,'Pre-Summary'!$AZ$6:$BE$65,6,FALSE),"")</f>
        <v/>
      </c>
      <c r="AL1114" s="10" t="str">
        <f>IFERROR(VLOOKUP(B1114,'Pre-Summary'!$BG$6:$BL$44,3,FALSE),"")</f>
        <v/>
      </c>
      <c r="AM1114" s="10" t="str">
        <f>IFERROR(VLOOKUP(B1114,'Pre-Summary'!$BG$6:$BL$44,4,FALSE),"")</f>
        <v/>
      </c>
    </row>
    <row r="1115" spans="2:39" ht="15" customHeight="1" x14ac:dyDescent="0.3">
      <c r="B1115">
        <v>111.2</v>
      </c>
      <c r="C1115" t="str">
        <f>IFERROR(VLOOKUP(B1115,'Pre-Summary'!$DI$6:$DM$23,4,FALSE),"")</f>
        <v/>
      </c>
      <c r="D1115" s="10" t="str">
        <f>IFERROR(VLOOKUP(B1115,'Pre-Summary'!$AT$6:$AX$14,5,FALSE),D1114)</f>
        <v>DSMZ v4: dropped out methanol</v>
      </c>
      <c r="E1115" s="10" t="str">
        <f>IFERROR(VLOOKUP(B1115,'Pre-Summary'!$AT$6:$AX$15,4,FALSE),"")</f>
        <v/>
      </c>
      <c r="F1115">
        <f>IFERROR(VLOOKUP(B1115,'Pre-Summary'!$AL$6:$AQ$13,6,FALSE),F1114)</f>
        <v>5.9405263157894746E-2</v>
      </c>
      <c r="G1115" t="str">
        <f>IFERROR(VLOOKUP(B1115,'Pre-Summary'!$AE$6:$AJ$85,3,FALSE),"")</f>
        <v/>
      </c>
      <c r="H1115" t="str">
        <f>IFERROR(VLOOKUP(B1115,'Pre-Summary'!$AE$6:$AJ$85,4,FALSE),"")</f>
        <v/>
      </c>
      <c r="I1115" t="str">
        <f>IFERROR(VLOOKUP(B1115,'Pre-Summary'!$AE$6:$AJ$85,5,FALSE),"")</f>
        <v/>
      </c>
      <c r="J1115" s="45" t="str">
        <f>IFERROR(VLOOKUP(B1115,'Pre-Summary'!$AE$6:$AJ$85,6, FALSE),"")</f>
        <v/>
      </c>
      <c r="K1115" s="45" t="str">
        <f>IFERROR(VLOOKUP(B1115,'Pre-Summary'!$DE$6:$DG$61,3,FALSE),"")</f>
        <v/>
      </c>
      <c r="L1115" s="45" t="str">
        <f>IFERROR(VLOOKUP(B1115,'Pre-Summary'!$CU$6:$CW$36,3,FALSE),"")</f>
        <v/>
      </c>
      <c r="M1115" s="45" t="str">
        <f>IFERROR(VLOOKUP(B1115,'Pre-Summary'!$BW$6:$BY$58,2,FALSE),"")</f>
        <v/>
      </c>
      <c r="N1115" s="45" t="str">
        <f>IFERROR(VLOOKUP(B1115,'Pre-Summary'!$CD$6:$CF$64,2,FALSE),"")</f>
        <v/>
      </c>
      <c r="O1115" s="99">
        <f>IFERROR(VLOOKUP(B1115,'Pre-Summary'!$BO$6:$BQ$48,3, FALSE),O1114)</f>
        <v>1.2</v>
      </c>
      <c r="P1115" s="99">
        <f>IFERROR(VLOOKUP(B1115,'Pre-Summary'!$BS$6:$BU$35,3,FALSE),P1114)</f>
        <v>0.3</v>
      </c>
      <c r="Q1115" s="54">
        <f t="shared" si="51"/>
        <v>4</v>
      </c>
      <c r="R1115" s="53">
        <f>IFERROR(VLOOKUP(B1115,'Pre-Summary'!$BG$6:$BM$44,7,FALSE),R1116)</f>
        <v>7.6574939085447311E-2</v>
      </c>
      <c r="S1115" s="53">
        <f>IFERROR(VLOOKUP(B1115,'Pre-Summary'!$BG$6:$BM$44,6,FALSE),S1116)</f>
        <v>6.8761751275839902E-2</v>
      </c>
      <c r="T1115" s="45" t="str">
        <f>IFERROR(VLOOKUP(B1115,'Pre-Summary'!$Y$6:$AC$83, 3,FALSE),"")</f>
        <v/>
      </c>
      <c r="U1115" s="45" t="str">
        <f>IFERROR(VLOOKUP(B1115,'Pre-Summary'!$Y$6:$AC$83, 4,FALSE),"")</f>
        <v/>
      </c>
      <c r="V1115" t="str">
        <f>IFERROR(VLOOKUP(B1115,'Pre-Summary'!$Y$6:$AC$83, 5,FALSE),"")</f>
        <v/>
      </c>
      <c r="W1115" s="45" t="str">
        <f>IFERROR(VLOOKUP(B1115,'Pre-Summary'!$Y$6:$AD$83,6,FALSE),"")</f>
        <v/>
      </c>
      <c r="X1115" t="str">
        <f>IFERROR(VLOOKUP('Pre-Summary'!$DB$6:$DD$63,3,FALSE),"")</f>
        <v/>
      </c>
      <c r="Y1115" t="str">
        <f>IFERROR(VLOOKUP(B1115,'Pre-Summary'!$CR$6:$CT$36,3,FALSE),"")</f>
        <v/>
      </c>
      <c r="Z1115" s="45" t="str">
        <f>IFERROR(VLOOKUP(B1115,'Pre-Summary'!$BZ$6:$CB$63,2,FALSE),"")</f>
        <v/>
      </c>
      <c r="AA1115" s="45" t="str">
        <f>IFERROR(VLOOKUP(B1115,'Pre-Summary'!$CG$6:$CI$70,2,FALSE),"")</f>
        <v/>
      </c>
      <c r="AB1115" s="99">
        <f>IFERROR(VLOOKUP(B1115,'Pre-Summary'!$A$6:$P$178,9,FALSE),AB1116)</f>
        <v>0.45533763440924657</v>
      </c>
      <c r="AC1115" s="10">
        <f>IFERROR(VLOOKUP(Summary!B1115,'Pre-Summary'!$A$6:$P$184,5, FALSE)/100,AC1116)</f>
        <v>0.89807866666666669</v>
      </c>
      <c r="AD1115" s="10">
        <f>IFERROR(VLOOKUP(Summary!B1115,'Pre-Summary'!$A$6:$P$184,3, FALSE)/100,AD1116)</f>
        <v>1.5917000000000001E-2</v>
      </c>
      <c r="AE1115" s="10">
        <f>IFERROR(VLOOKUP(Summary!B1115,'Pre-Summary'!$A$6:$P$184,7, FALSE)/100,AE1116)</f>
        <v>8.6004666666666674E-2</v>
      </c>
      <c r="AF1115" s="99">
        <f t="shared" si="52"/>
        <v>7.2476091268919782E-3</v>
      </c>
      <c r="AG1115" s="99">
        <f t="shared" si="53"/>
        <v>3.9161161468155785E-2</v>
      </c>
      <c r="AH1115" s="10" t="str">
        <f>IFERROR(VLOOKUP(B1115,'Pre-Summary'!$AZ$6:$BE$65,3,FALSE),"")</f>
        <v/>
      </c>
      <c r="AI1115" s="10" t="str">
        <f>IFERROR(VLOOKUP(B1115,'Pre-Summary'!$AZ$6:$BE$65,5,FALSE),"")</f>
        <v/>
      </c>
      <c r="AJ1115" s="10" t="str">
        <f>IFERROR(VLOOKUP(B1115,'Pre-Summary'!$AZ$6:$BE$65,4,FALSE),"")</f>
        <v/>
      </c>
      <c r="AK1115" s="10" t="str">
        <f>IFERROR(VLOOKUP(B1115,'Pre-Summary'!$AZ$6:$BE$65,6,FALSE),"")</f>
        <v/>
      </c>
      <c r="AL1115" s="10" t="str">
        <f>IFERROR(VLOOKUP(B1115,'Pre-Summary'!$BG$6:$BL$44,3,FALSE),"")</f>
        <v/>
      </c>
      <c r="AM1115" s="10" t="str">
        <f>IFERROR(VLOOKUP(B1115,'Pre-Summary'!$BG$6:$BL$44,4,FALSE),"")</f>
        <v/>
      </c>
    </row>
    <row r="1116" spans="2:39" ht="15" customHeight="1" x14ac:dyDescent="0.3">
      <c r="B1116">
        <v>111.3</v>
      </c>
      <c r="C1116" t="str">
        <f>IFERROR(VLOOKUP(B1116,'Pre-Summary'!$DI$6:$DM$23,4,FALSE),"")</f>
        <v/>
      </c>
      <c r="D1116" s="10" t="str">
        <f>IFERROR(VLOOKUP(B1116,'Pre-Summary'!$AT$6:$AX$14,5,FALSE),D1115)</f>
        <v>DSMZ v4: dropped out methanol</v>
      </c>
      <c r="E1116" s="10" t="str">
        <f>IFERROR(VLOOKUP(B1116,'Pre-Summary'!$AT$6:$AX$15,4,FALSE),"")</f>
        <v/>
      </c>
      <c r="F1116">
        <f>IFERROR(VLOOKUP(B1116,'Pre-Summary'!$AL$6:$AQ$13,6,FALSE),F1115)</f>
        <v>5.9405263157894746E-2</v>
      </c>
      <c r="G1116" t="str">
        <f>IFERROR(VLOOKUP(B1116,'Pre-Summary'!$AE$6:$AJ$85,3,FALSE),"")</f>
        <v/>
      </c>
      <c r="H1116" t="str">
        <f>IFERROR(VLOOKUP(B1116,'Pre-Summary'!$AE$6:$AJ$85,4,FALSE),"")</f>
        <v/>
      </c>
      <c r="I1116" t="str">
        <f>IFERROR(VLOOKUP(B1116,'Pre-Summary'!$AE$6:$AJ$85,5,FALSE),"")</f>
        <v/>
      </c>
      <c r="J1116" s="45" t="str">
        <f>IFERROR(VLOOKUP(B1116,'Pre-Summary'!$AE$6:$AJ$85,6, FALSE),"")</f>
        <v/>
      </c>
      <c r="K1116" s="45" t="str">
        <f>IFERROR(VLOOKUP(B1116,'Pre-Summary'!$DE$6:$DG$61,3,FALSE),"")</f>
        <v/>
      </c>
      <c r="L1116" s="45" t="str">
        <f>IFERROR(VLOOKUP(B1116,'Pre-Summary'!$CU$6:$CW$36,3,FALSE),"")</f>
        <v/>
      </c>
      <c r="M1116" s="45" t="str">
        <f>IFERROR(VLOOKUP(B1116,'Pre-Summary'!$BW$6:$BY$58,2,FALSE),"")</f>
        <v/>
      </c>
      <c r="N1116" s="45" t="str">
        <f>IFERROR(VLOOKUP(B1116,'Pre-Summary'!$CD$6:$CF$64,2,FALSE),"")</f>
        <v/>
      </c>
      <c r="O1116" s="99">
        <f>IFERROR(VLOOKUP(B1116,'Pre-Summary'!$BO$6:$BQ$48,3, FALSE),O1115)</f>
        <v>1.2</v>
      </c>
      <c r="P1116" s="99">
        <f>IFERROR(VLOOKUP(B1116,'Pre-Summary'!$BS$6:$BU$35,3,FALSE),P1115)</f>
        <v>0.3</v>
      </c>
      <c r="Q1116" s="54">
        <f t="shared" si="51"/>
        <v>4</v>
      </c>
      <c r="R1116" s="53">
        <f>IFERROR(VLOOKUP(B1116,'Pre-Summary'!$BG$6:$BM$44,7,FALSE),R1117)</f>
        <v>7.6574939085447311E-2</v>
      </c>
      <c r="S1116" s="53">
        <f>IFERROR(VLOOKUP(B1116,'Pre-Summary'!$BG$6:$BM$44,6,FALSE),S1117)</f>
        <v>6.8761751275839902E-2</v>
      </c>
      <c r="T1116" s="45" t="str">
        <f>IFERROR(VLOOKUP(B1116,'Pre-Summary'!$Y$6:$AC$83, 3,FALSE),"")</f>
        <v/>
      </c>
      <c r="U1116" s="45" t="str">
        <f>IFERROR(VLOOKUP(B1116,'Pre-Summary'!$Y$6:$AC$83, 4,FALSE),"")</f>
        <v/>
      </c>
      <c r="V1116" t="str">
        <f>IFERROR(VLOOKUP(B1116,'Pre-Summary'!$Y$6:$AC$83, 5,FALSE),"")</f>
        <v/>
      </c>
      <c r="W1116" s="45" t="str">
        <f>IFERROR(VLOOKUP(B1116,'Pre-Summary'!$Y$6:$AD$83,6,FALSE),"")</f>
        <v/>
      </c>
      <c r="X1116" t="str">
        <f>IFERROR(VLOOKUP('Pre-Summary'!$DB$6:$DD$63,3,FALSE),"")</f>
        <v/>
      </c>
      <c r="Y1116" t="str">
        <f>IFERROR(VLOOKUP(B1116,'Pre-Summary'!$CR$6:$CT$36,3,FALSE),"")</f>
        <v/>
      </c>
      <c r="Z1116" s="45" t="str">
        <f>IFERROR(VLOOKUP(B1116,'Pre-Summary'!$BZ$6:$CB$63,2,FALSE),"")</f>
        <v/>
      </c>
      <c r="AA1116" s="45" t="str">
        <f>IFERROR(VLOOKUP(B1116,'Pre-Summary'!$CG$6:$CI$70,2,FALSE),"")</f>
        <v/>
      </c>
      <c r="AB1116" s="99">
        <f>IFERROR(VLOOKUP(B1116,'Pre-Summary'!$A$6:$P$178,9,FALSE),AB1117)</f>
        <v>0.45533763440924657</v>
      </c>
      <c r="AC1116" s="10">
        <f>IFERROR(VLOOKUP(Summary!B1116,'Pre-Summary'!$A$6:$P$184,5, FALSE)/100,AC1117)</f>
        <v>0.89807866666666669</v>
      </c>
      <c r="AD1116" s="10">
        <f>IFERROR(VLOOKUP(Summary!B1116,'Pre-Summary'!$A$6:$P$184,3, FALSE)/100,AD1117)</f>
        <v>1.5917000000000001E-2</v>
      </c>
      <c r="AE1116" s="10">
        <f>IFERROR(VLOOKUP(Summary!B1116,'Pre-Summary'!$A$6:$P$184,7, FALSE)/100,AE1117)</f>
        <v>8.6004666666666674E-2</v>
      </c>
      <c r="AF1116" s="99">
        <f t="shared" si="52"/>
        <v>7.2476091268919782E-3</v>
      </c>
      <c r="AG1116" s="99">
        <f t="shared" si="53"/>
        <v>3.9161161468155785E-2</v>
      </c>
      <c r="AH1116" s="10" t="str">
        <f>IFERROR(VLOOKUP(B1116,'Pre-Summary'!$AZ$6:$BE$65,3,FALSE),"")</f>
        <v/>
      </c>
      <c r="AI1116" s="10" t="str">
        <f>IFERROR(VLOOKUP(B1116,'Pre-Summary'!$AZ$6:$BE$65,5,FALSE),"")</f>
        <v/>
      </c>
      <c r="AJ1116" s="10" t="str">
        <f>IFERROR(VLOOKUP(B1116,'Pre-Summary'!$AZ$6:$BE$65,4,FALSE),"")</f>
        <v/>
      </c>
      <c r="AK1116" s="10" t="str">
        <f>IFERROR(VLOOKUP(B1116,'Pre-Summary'!$AZ$6:$BE$65,6,FALSE),"")</f>
        <v/>
      </c>
      <c r="AL1116" s="10" t="str">
        <f>IFERROR(VLOOKUP(B1116,'Pre-Summary'!$BG$6:$BL$44,3,FALSE),"")</f>
        <v/>
      </c>
      <c r="AM1116" s="10" t="str">
        <f>IFERROR(VLOOKUP(B1116,'Pre-Summary'!$BG$6:$BL$44,4,FALSE),"")</f>
        <v/>
      </c>
    </row>
    <row r="1117" spans="2:39" ht="15" customHeight="1" x14ac:dyDescent="0.3">
      <c r="B1117">
        <v>111.4</v>
      </c>
      <c r="C1117" t="str">
        <f>IFERROR(VLOOKUP(B1117,'Pre-Summary'!$DI$6:$DM$23,4,FALSE),"")</f>
        <v/>
      </c>
      <c r="D1117" s="10" t="str">
        <f>IFERROR(VLOOKUP(B1117,'Pre-Summary'!$AT$6:$AX$14,5,FALSE),D1116)</f>
        <v>DSMZ v4: dropped out methanol</v>
      </c>
      <c r="E1117" s="10" t="str">
        <f>IFERROR(VLOOKUP(B1117,'Pre-Summary'!$AT$6:$AX$15,4,FALSE),"")</f>
        <v/>
      </c>
      <c r="F1117">
        <f>IFERROR(VLOOKUP(B1117,'Pre-Summary'!$AL$6:$AQ$13,6,FALSE),F1116)</f>
        <v>5.9405263157894746E-2</v>
      </c>
      <c r="G1117" t="str">
        <f>IFERROR(VLOOKUP(B1117,'Pre-Summary'!$AE$6:$AJ$85,3,FALSE),"")</f>
        <v/>
      </c>
      <c r="H1117" t="str">
        <f>IFERROR(VLOOKUP(B1117,'Pre-Summary'!$AE$6:$AJ$85,4,FALSE),"")</f>
        <v/>
      </c>
      <c r="I1117" t="str">
        <f>IFERROR(VLOOKUP(B1117,'Pre-Summary'!$AE$6:$AJ$85,5,FALSE),"")</f>
        <v/>
      </c>
      <c r="J1117" s="45" t="str">
        <f>IFERROR(VLOOKUP(B1117,'Pre-Summary'!$AE$6:$AJ$85,6, FALSE),"")</f>
        <v/>
      </c>
      <c r="K1117" s="45" t="str">
        <f>IFERROR(VLOOKUP(B1117,'Pre-Summary'!$DE$6:$DG$61,3,FALSE),"")</f>
        <v/>
      </c>
      <c r="L1117" s="45" t="str">
        <f>IFERROR(VLOOKUP(B1117,'Pre-Summary'!$CU$6:$CW$36,3,FALSE),"")</f>
        <v/>
      </c>
      <c r="M1117" s="45" t="str">
        <f>IFERROR(VLOOKUP(B1117,'Pre-Summary'!$BW$6:$BY$58,2,FALSE),"")</f>
        <v/>
      </c>
      <c r="N1117" s="45" t="str">
        <f>IFERROR(VLOOKUP(B1117,'Pre-Summary'!$CD$6:$CF$64,2,FALSE),"")</f>
        <v/>
      </c>
      <c r="O1117" s="99">
        <f>IFERROR(VLOOKUP(B1117,'Pre-Summary'!$BO$6:$BQ$48,3, FALSE),O1116)</f>
        <v>1.2</v>
      </c>
      <c r="P1117" s="99">
        <f>IFERROR(VLOOKUP(B1117,'Pre-Summary'!$BS$6:$BU$35,3,FALSE),P1116)</f>
        <v>0.3</v>
      </c>
      <c r="Q1117" s="54">
        <f t="shared" si="51"/>
        <v>4</v>
      </c>
      <c r="R1117" s="53">
        <f>IFERROR(VLOOKUP(B1117,'Pre-Summary'!$BG$6:$BM$44,7,FALSE),R1118)</f>
        <v>7.6574939085447311E-2</v>
      </c>
      <c r="S1117" s="53">
        <f>IFERROR(VLOOKUP(B1117,'Pre-Summary'!$BG$6:$BM$44,6,FALSE),S1118)</f>
        <v>6.8761751275839902E-2</v>
      </c>
      <c r="T1117" s="45" t="str">
        <f>IFERROR(VLOOKUP(B1117,'Pre-Summary'!$Y$6:$AC$83, 3,FALSE),"")</f>
        <v/>
      </c>
      <c r="U1117" s="45" t="str">
        <f>IFERROR(VLOOKUP(B1117,'Pre-Summary'!$Y$6:$AC$83, 4,FALSE),"")</f>
        <v/>
      </c>
      <c r="V1117" t="str">
        <f>IFERROR(VLOOKUP(B1117,'Pre-Summary'!$Y$6:$AC$83, 5,FALSE),"")</f>
        <v/>
      </c>
      <c r="W1117" s="45" t="str">
        <f>IFERROR(VLOOKUP(B1117,'Pre-Summary'!$Y$6:$AD$83,6,FALSE),"")</f>
        <v/>
      </c>
      <c r="X1117" t="str">
        <f>IFERROR(VLOOKUP('Pre-Summary'!$DB$6:$DD$63,3,FALSE),"")</f>
        <v/>
      </c>
      <c r="Y1117" t="str">
        <f>IFERROR(VLOOKUP(B1117,'Pre-Summary'!$CR$6:$CT$36,3,FALSE),"")</f>
        <v/>
      </c>
      <c r="Z1117" s="45" t="str">
        <f>IFERROR(VLOOKUP(B1117,'Pre-Summary'!$BZ$6:$CB$63,2,FALSE),"")</f>
        <v/>
      </c>
      <c r="AA1117" s="45" t="str">
        <f>IFERROR(VLOOKUP(B1117,'Pre-Summary'!$CG$6:$CI$70,2,FALSE),"")</f>
        <v/>
      </c>
      <c r="AB1117" s="99">
        <f>IFERROR(VLOOKUP(B1117,'Pre-Summary'!$A$6:$P$178,9,FALSE),AB1118)</f>
        <v>0.45533763440924657</v>
      </c>
      <c r="AC1117" s="10">
        <f>IFERROR(VLOOKUP(Summary!B1117,'Pre-Summary'!$A$6:$P$184,5, FALSE)/100,AC1118)</f>
        <v>0.89807866666666669</v>
      </c>
      <c r="AD1117" s="10">
        <f>IFERROR(VLOOKUP(Summary!B1117,'Pre-Summary'!$A$6:$P$184,3, FALSE)/100,AD1118)</f>
        <v>1.5917000000000001E-2</v>
      </c>
      <c r="AE1117" s="10">
        <f>IFERROR(VLOOKUP(Summary!B1117,'Pre-Summary'!$A$6:$P$184,7, FALSE)/100,AE1118)</f>
        <v>8.6004666666666674E-2</v>
      </c>
      <c r="AF1117" s="99">
        <f t="shared" si="52"/>
        <v>7.2476091268919782E-3</v>
      </c>
      <c r="AG1117" s="99">
        <f t="shared" si="53"/>
        <v>3.9161161468155785E-2</v>
      </c>
      <c r="AH1117" s="10" t="str">
        <f>IFERROR(VLOOKUP(B1117,'Pre-Summary'!$AZ$6:$BE$65,3,FALSE),"")</f>
        <v/>
      </c>
      <c r="AI1117" s="10" t="str">
        <f>IFERROR(VLOOKUP(B1117,'Pre-Summary'!$AZ$6:$BE$65,5,FALSE),"")</f>
        <v/>
      </c>
      <c r="AJ1117" s="10" t="str">
        <f>IFERROR(VLOOKUP(B1117,'Pre-Summary'!$AZ$6:$BE$65,4,FALSE),"")</f>
        <v/>
      </c>
      <c r="AK1117" s="10" t="str">
        <f>IFERROR(VLOOKUP(B1117,'Pre-Summary'!$AZ$6:$BE$65,6,FALSE),"")</f>
        <v/>
      </c>
      <c r="AL1117" s="10" t="str">
        <f>IFERROR(VLOOKUP(B1117,'Pre-Summary'!$BG$6:$BL$44,3,FALSE),"")</f>
        <v/>
      </c>
      <c r="AM1117" s="10" t="str">
        <f>IFERROR(VLOOKUP(B1117,'Pre-Summary'!$BG$6:$BL$44,4,FALSE),"")</f>
        <v/>
      </c>
    </row>
    <row r="1118" spans="2:39" ht="15" customHeight="1" x14ac:dyDescent="0.3">
      <c r="B1118">
        <v>111.5</v>
      </c>
      <c r="C1118" t="str">
        <f>IFERROR(VLOOKUP(B1118,'Pre-Summary'!$DI$6:$DM$23,4,FALSE),"")</f>
        <v/>
      </c>
      <c r="D1118" s="10" t="str">
        <f>IFERROR(VLOOKUP(B1118,'Pre-Summary'!$AT$6:$AX$14,5,FALSE),D1117)</f>
        <v>DSMZ v4: dropped out methanol</v>
      </c>
      <c r="E1118" s="10" t="str">
        <f>IFERROR(VLOOKUP(B1118,'Pre-Summary'!$AT$6:$AX$15,4,FALSE),"")</f>
        <v/>
      </c>
      <c r="F1118">
        <f>IFERROR(VLOOKUP(B1118,'Pre-Summary'!$AL$6:$AQ$13,6,FALSE),F1117)</f>
        <v>5.9405263157894746E-2</v>
      </c>
      <c r="G1118" t="str">
        <f>IFERROR(VLOOKUP(B1118,'Pre-Summary'!$AE$6:$AJ$85,3,FALSE),"")</f>
        <v/>
      </c>
      <c r="H1118" t="str">
        <f>IFERROR(VLOOKUP(B1118,'Pre-Summary'!$AE$6:$AJ$85,4,FALSE),"")</f>
        <v/>
      </c>
      <c r="I1118" t="str">
        <f>IFERROR(VLOOKUP(B1118,'Pre-Summary'!$AE$6:$AJ$85,5,FALSE),"")</f>
        <v/>
      </c>
      <c r="J1118" s="45" t="str">
        <f>IFERROR(VLOOKUP(B1118,'Pre-Summary'!$AE$6:$AJ$85,6, FALSE),"")</f>
        <v/>
      </c>
      <c r="K1118" s="45" t="str">
        <f>IFERROR(VLOOKUP(B1118,'Pre-Summary'!$DE$6:$DG$61,3,FALSE),"")</f>
        <v/>
      </c>
      <c r="L1118" s="45" t="str">
        <f>IFERROR(VLOOKUP(B1118,'Pre-Summary'!$CU$6:$CW$36,3,FALSE),"")</f>
        <v/>
      </c>
      <c r="M1118" s="45" t="str">
        <f>IFERROR(VLOOKUP(B1118,'Pre-Summary'!$BW$6:$BY$58,2,FALSE),"")</f>
        <v/>
      </c>
      <c r="N1118" s="45">
        <f>IFERROR(VLOOKUP(B1118,'Pre-Summary'!$CD$6:$CF$64,2,FALSE),"")</f>
        <v>3722.7064714783933</v>
      </c>
      <c r="O1118" s="99">
        <f>IFERROR(VLOOKUP(B1118,'Pre-Summary'!$BO$6:$BQ$48,3, FALSE),O1117)</f>
        <v>1.2</v>
      </c>
      <c r="P1118" s="99">
        <f>IFERROR(VLOOKUP(B1118,'Pre-Summary'!$BS$6:$BU$35,3,FALSE),P1117)</f>
        <v>0.3</v>
      </c>
      <c r="Q1118" s="54">
        <f t="shared" si="51"/>
        <v>4</v>
      </c>
      <c r="R1118" s="53">
        <f>IFERROR(VLOOKUP(B1118,'Pre-Summary'!$BG$6:$BM$44,7,FALSE),R1119)</f>
        <v>7.6574939085447311E-2</v>
      </c>
      <c r="S1118" s="53">
        <f>IFERROR(VLOOKUP(B1118,'Pre-Summary'!$BG$6:$BM$44,6,FALSE),S1119)</f>
        <v>6.8761751275839902E-2</v>
      </c>
      <c r="T1118" s="45" t="str">
        <f>IFERROR(VLOOKUP(B1118,'Pre-Summary'!$Y$6:$AC$83, 3,FALSE),"")</f>
        <v/>
      </c>
      <c r="U1118" s="45" t="str">
        <f>IFERROR(VLOOKUP(B1118,'Pre-Summary'!$Y$6:$AC$83, 4,FALSE),"")</f>
        <v/>
      </c>
      <c r="V1118" t="str">
        <f>IFERROR(VLOOKUP(B1118,'Pre-Summary'!$Y$6:$AC$83, 5,FALSE),"")</f>
        <v/>
      </c>
      <c r="W1118" s="45" t="str">
        <f>IFERROR(VLOOKUP(B1118,'Pre-Summary'!$Y$6:$AD$83,6,FALSE),"")</f>
        <v/>
      </c>
      <c r="X1118" t="str">
        <f>IFERROR(VLOOKUP('Pre-Summary'!$DB$6:$DD$63,3,FALSE),"")</f>
        <v/>
      </c>
      <c r="Y1118" t="str">
        <f>IFERROR(VLOOKUP(B1118,'Pre-Summary'!$CR$6:$CT$36,3,FALSE),"")</f>
        <v/>
      </c>
      <c r="Z1118" s="45" t="str">
        <f>IFERROR(VLOOKUP(B1118,'Pre-Summary'!$BZ$6:$CB$63,2,FALSE),"")</f>
        <v/>
      </c>
      <c r="AA1118" s="45" t="str">
        <f>IFERROR(VLOOKUP(B1118,'Pre-Summary'!$CG$6:$CI$70,2,FALSE),"")</f>
        <v/>
      </c>
      <c r="AB1118" s="99">
        <f>IFERROR(VLOOKUP(B1118,'Pre-Summary'!$A$6:$P$178,9,FALSE),AB1119)</f>
        <v>0.45533763440924657</v>
      </c>
      <c r="AC1118" s="10">
        <f>IFERROR(VLOOKUP(Summary!B1118,'Pre-Summary'!$A$6:$P$184,5, FALSE)/100,AC1119)</f>
        <v>0.89807866666666669</v>
      </c>
      <c r="AD1118" s="10">
        <f>IFERROR(VLOOKUP(Summary!B1118,'Pre-Summary'!$A$6:$P$184,3, FALSE)/100,AD1119)</f>
        <v>1.5917000000000001E-2</v>
      </c>
      <c r="AE1118" s="10">
        <f>IFERROR(VLOOKUP(Summary!B1118,'Pre-Summary'!$A$6:$P$184,7, FALSE)/100,AE1119)</f>
        <v>8.6004666666666674E-2</v>
      </c>
      <c r="AF1118" s="99">
        <f t="shared" si="52"/>
        <v>7.2476091268919782E-3</v>
      </c>
      <c r="AG1118" s="99">
        <f t="shared" si="53"/>
        <v>3.9161161468155785E-2</v>
      </c>
      <c r="AH1118" s="10" t="str">
        <f>IFERROR(VLOOKUP(B1118,'Pre-Summary'!$AZ$6:$BE$65,3,FALSE),"")</f>
        <v/>
      </c>
      <c r="AI1118" s="10" t="str">
        <f>IFERROR(VLOOKUP(B1118,'Pre-Summary'!$AZ$6:$BE$65,5,FALSE),"")</f>
        <v/>
      </c>
      <c r="AJ1118" s="10" t="str">
        <f>IFERROR(VLOOKUP(B1118,'Pre-Summary'!$AZ$6:$BE$65,4,FALSE),"")</f>
        <v/>
      </c>
      <c r="AK1118" s="10" t="str">
        <f>IFERROR(VLOOKUP(B1118,'Pre-Summary'!$AZ$6:$BE$65,6,FALSE),"")</f>
        <v/>
      </c>
      <c r="AL1118" s="10" t="str">
        <f>IFERROR(VLOOKUP(B1118,'Pre-Summary'!$BG$6:$BL$44,3,FALSE),"")</f>
        <v/>
      </c>
      <c r="AM1118" s="10" t="str">
        <f>IFERROR(VLOOKUP(B1118,'Pre-Summary'!$BG$6:$BL$44,4,FALSE),"")</f>
        <v/>
      </c>
    </row>
    <row r="1119" spans="2:39" ht="15" customHeight="1" x14ac:dyDescent="0.3">
      <c r="B1119">
        <v>111.6</v>
      </c>
      <c r="C1119" t="str">
        <f>IFERROR(VLOOKUP(B1119,'Pre-Summary'!$DI$6:$DM$23,4,FALSE),"")</f>
        <v/>
      </c>
      <c r="D1119" s="10" t="str">
        <f>IFERROR(VLOOKUP(B1119,'Pre-Summary'!$AT$6:$AX$14,5,FALSE),D1118)</f>
        <v>DSMZ v4: dropped out methanol</v>
      </c>
      <c r="E1119" s="10" t="str">
        <f>IFERROR(VLOOKUP(B1119,'Pre-Summary'!$AT$6:$AX$15,4,FALSE),"")</f>
        <v/>
      </c>
      <c r="F1119">
        <f>IFERROR(VLOOKUP(B1119,'Pre-Summary'!$AL$6:$AQ$13,6,FALSE),F1118)</f>
        <v>5.9405263157894746E-2</v>
      </c>
      <c r="G1119" t="str">
        <f>IFERROR(VLOOKUP(B1119,'Pre-Summary'!$AE$6:$AJ$85,3,FALSE),"")</f>
        <v/>
      </c>
      <c r="H1119" t="str">
        <f>IFERROR(VLOOKUP(B1119,'Pre-Summary'!$AE$6:$AJ$85,4,FALSE),"")</f>
        <v/>
      </c>
      <c r="I1119" t="str">
        <f>IFERROR(VLOOKUP(B1119,'Pre-Summary'!$AE$6:$AJ$85,5,FALSE),"")</f>
        <v/>
      </c>
      <c r="J1119" s="45" t="str">
        <f>IFERROR(VLOOKUP(B1119,'Pre-Summary'!$AE$6:$AJ$85,6, FALSE),"")</f>
        <v/>
      </c>
      <c r="K1119" s="45" t="str">
        <f>IFERROR(VLOOKUP(B1119,'Pre-Summary'!$DE$6:$DG$61,3,FALSE),"")</f>
        <v/>
      </c>
      <c r="L1119" s="45" t="str">
        <f>IFERROR(VLOOKUP(B1119,'Pre-Summary'!$CU$6:$CW$36,3,FALSE),"")</f>
        <v/>
      </c>
      <c r="M1119" s="45" t="str">
        <f>IFERROR(VLOOKUP(B1119,'Pre-Summary'!$BW$6:$BY$58,2,FALSE),"")</f>
        <v/>
      </c>
      <c r="N1119" s="45" t="str">
        <f>IFERROR(VLOOKUP(B1119,'Pre-Summary'!$CD$6:$CF$64,2,FALSE),"")</f>
        <v/>
      </c>
      <c r="O1119" s="99">
        <f>IFERROR(VLOOKUP(B1119,'Pre-Summary'!$BO$6:$BQ$48,3, FALSE),O1118)</f>
        <v>1.2</v>
      </c>
      <c r="P1119" s="99">
        <f>IFERROR(VLOOKUP(B1119,'Pre-Summary'!$BS$6:$BU$35,3,FALSE),P1118)</f>
        <v>0.3</v>
      </c>
      <c r="Q1119" s="54">
        <f t="shared" si="51"/>
        <v>4</v>
      </c>
      <c r="R1119" s="53">
        <f>IFERROR(VLOOKUP(B1119,'Pre-Summary'!$BG$6:$BM$44,7,FALSE),R1120)</f>
        <v>7.6574939085447311E-2</v>
      </c>
      <c r="S1119" s="53">
        <f>IFERROR(VLOOKUP(B1119,'Pre-Summary'!$BG$6:$BM$44,6,FALSE),S1120)</f>
        <v>6.8761751275839902E-2</v>
      </c>
      <c r="T1119" s="45" t="str">
        <f>IFERROR(VLOOKUP(B1119,'Pre-Summary'!$Y$6:$AC$83, 3,FALSE),"")</f>
        <v/>
      </c>
      <c r="U1119" s="45" t="str">
        <f>IFERROR(VLOOKUP(B1119,'Pre-Summary'!$Y$6:$AC$83, 4,FALSE),"")</f>
        <v/>
      </c>
      <c r="V1119" t="str">
        <f>IFERROR(VLOOKUP(B1119,'Pre-Summary'!$Y$6:$AC$83, 5,FALSE),"")</f>
        <v/>
      </c>
      <c r="W1119" s="45" t="str">
        <f>IFERROR(VLOOKUP(B1119,'Pre-Summary'!$Y$6:$AD$83,6,FALSE),"")</f>
        <v/>
      </c>
      <c r="X1119" t="str">
        <f>IFERROR(VLOOKUP('Pre-Summary'!$DB$6:$DD$63,3,FALSE),"")</f>
        <v/>
      </c>
      <c r="Y1119" t="str">
        <f>IFERROR(VLOOKUP(B1119,'Pre-Summary'!$CR$6:$CT$36,3,FALSE),"")</f>
        <v/>
      </c>
      <c r="Z1119" s="45" t="str">
        <f>IFERROR(VLOOKUP(B1119,'Pre-Summary'!$BZ$6:$CB$63,2,FALSE),"")</f>
        <v/>
      </c>
      <c r="AA1119" s="45" t="str">
        <f>IFERROR(VLOOKUP(B1119,'Pre-Summary'!$CG$6:$CI$70,2,FALSE),"")</f>
        <v/>
      </c>
      <c r="AB1119" s="99">
        <f>IFERROR(VLOOKUP(B1119,'Pre-Summary'!$A$6:$P$178,9,FALSE),AB1120)</f>
        <v>0.45533763440924657</v>
      </c>
      <c r="AC1119" s="10">
        <f>IFERROR(VLOOKUP(Summary!B1119,'Pre-Summary'!$A$6:$P$184,5, FALSE)/100,AC1120)</f>
        <v>0.89807866666666669</v>
      </c>
      <c r="AD1119" s="10">
        <f>IFERROR(VLOOKUP(Summary!B1119,'Pre-Summary'!$A$6:$P$184,3, FALSE)/100,AD1120)</f>
        <v>1.5917000000000001E-2</v>
      </c>
      <c r="AE1119" s="10">
        <f>IFERROR(VLOOKUP(Summary!B1119,'Pre-Summary'!$A$6:$P$184,7, FALSE)/100,AE1120)</f>
        <v>8.6004666666666674E-2</v>
      </c>
      <c r="AF1119" s="99">
        <f t="shared" si="52"/>
        <v>7.2476091268919782E-3</v>
      </c>
      <c r="AG1119" s="99">
        <f t="shared" si="53"/>
        <v>3.9161161468155785E-2</v>
      </c>
      <c r="AH1119" s="10" t="str">
        <f>IFERROR(VLOOKUP(B1119,'Pre-Summary'!$AZ$6:$BE$65,3,FALSE),"")</f>
        <v/>
      </c>
      <c r="AI1119" s="10" t="str">
        <f>IFERROR(VLOOKUP(B1119,'Pre-Summary'!$AZ$6:$BE$65,5,FALSE),"")</f>
        <v/>
      </c>
      <c r="AJ1119" s="10" t="str">
        <f>IFERROR(VLOOKUP(B1119,'Pre-Summary'!$AZ$6:$BE$65,4,FALSE),"")</f>
        <v/>
      </c>
      <c r="AK1119" s="10" t="str">
        <f>IFERROR(VLOOKUP(B1119,'Pre-Summary'!$AZ$6:$BE$65,6,FALSE),"")</f>
        <v/>
      </c>
      <c r="AL1119" s="10" t="str">
        <f>IFERROR(VLOOKUP(B1119,'Pre-Summary'!$BG$6:$BL$44,3,FALSE),"")</f>
        <v/>
      </c>
      <c r="AM1119" s="10" t="str">
        <f>IFERROR(VLOOKUP(B1119,'Pre-Summary'!$BG$6:$BL$44,4,FALSE),"")</f>
        <v/>
      </c>
    </row>
    <row r="1120" spans="2:39" ht="15" customHeight="1" x14ac:dyDescent="0.3">
      <c r="B1120">
        <v>111.7</v>
      </c>
      <c r="C1120" t="str">
        <f>IFERROR(VLOOKUP(B1120,'Pre-Summary'!$DI$6:$DM$23,4,FALSE),"")</f>
        <v/>
      </c>
      <c r="D1120" s="10" t="str">
        <f>IFERROR(VLOOKUP(B1120,'Pre-Summary'!$AT$6:$AX$14,5,FALSE),D1119)</f>
        <v>DSMZ v4: dropped out methanol</v>
      </c>
      <c r="E1120" s="10" t="str">
        <f>IFERROR(VLOOKUP(B1120,'Pre-Summary'!$AT$6:$AX$15,4,FALSE),"")</f>
        <v/>
      </c>
      <c r="F1120">
        <f>IFERROR(VLOOKUP(B1120,'Pre-Summary'!$AL$6:$AQ$13,6,FALSE),F1119)</f>
        <v>5.9405263157894746E-2</v>
      </c>
      <c r="G1120" t="str">
        <f>IFERROR(VLOOKUP(B1120,'Pre-Summary'!$AE$6:$AJ$85,3,FALSE),"")</f>
        <v/>
      </c>
      <c r="H1120" t="str">
        <f>IFERROR(VLOOKUP(B1120,'Pre-Summary'!$AE$6:$AJ$85,4,FALSE),"")</f>
        <v/>
      </c>
      <c r="I1120" t="str">
        <f>IFERROR(VLOOKUP(B1120,'Pre-Summary'!$AE$6:$AJ$85,5,FALSE),"")</f>
        <v/>
      </c>
      <c r="J1120" s="45" t="str">
        <f>IFERROR(VLOOKUP(B1120,'Pre-Summary'!$AE$6:$AJ$85,6, FALSE),"")</f>
        <v/>
      </c>
      <c r="K1120" s="45" t="str">
        <f>IFERROR(VLOOKUP(B1120,'Pre-Summary'!$DE$6:$DG$61,3,FALSE),"")</f>
        <v/>
      </c>
      <c r="L1120" s="45" t="str">
        <f>IFERROR(VLOOKUP(B1120,'Pre-Summary'!$CU$6:$CW$36,3,FALSE),"")</f>
        <v/>
      </c>
      <c r="M1120" s="45" t="str">
        <f>IFERROR(VLOOKUP(B1120,'Pre-Summary'!$BW$6:$BY$58,2,FALSE),"")</f>
        <v/>
      </c>
      <c r="N1120" s="45" t="str">
        <f>IFERROR(VLOOKUP(B1120,'Pre-Summary'!$CD$6:$CF$64,2,FALSE),"")</f>
        <v/>
      </c>
      <c r="O1120" s="99">
        <f>IFERROR(VLOOKUP(B1120,'Pre-Summary'!$BO$6:$BQ$48,3, FALSE),O1119)</f>
        <v>1.2</v>
      </c>
      <c r="P1120" s="99">
        <f>IFERROR(VLOOKUP(B1120,'Pre-Summary'!$BS$6:$BU$35,3,FALSE),P1119)</f>
        <v>0.3</v>
      </c>
      <c r="Q1120" s="54">
        <f t="shared" si="51"/>
        <v>4</v>
      </c>
      <c r="R1120" s="53">
        <f>IFERROR(VLOOKUP(B1120,'Pre-Summary'!$BG$6:$BM$44,7,FALSE),R1121)</f>
        <v>7.6574939085447311E-2</v>
      </c>
      <c r="S1120" s="53">
        <f>IFERROR(VLOOKUP(B1120,'Pre-Summary'!$BG$6:$BM$44,6,FALSE),S1121)</f>
        <v>6.8761751275839902E-2</v>
      </c>
      <c r="T1120" s="45" t="str">
        <f>IFERROR(VLOOKUP(B1120,'Pre-Summary'!$Y$6:$AC$83, 3,FALSE),"")</f>
        <v/>
      </c>
      <c r="U1120" s="45" t="str">
        <f>IFERROR(VLOOKUP(B1120,'Pre-Summary'!$Y$6:$AC$83, 4,FALSE),"")</f>
        <v/>
      </c>
      <c r="V1120" t="str">
        <f>IFERROR(VLOOKUP(B1120,'Pre-Summary'!$Y$6:$AC$83, 5,FALSE),"")</f>
        <v/>
      </c>
      <c r="W1120" s="45" t="str">
        <f>IFERROR(VLOOKUP(B1120,'Pre-Summary'!$Y$6:$AD$83,6,FALSE),"")</f>
        <v/>
      </c>
      <c r="X1120" t="str">
        <f>IFERROR(VLOOKUP('Pre-Summary'!$DB$6:$DD$63,3,FALSE),"")</f>
        <v/>
      </c>
      <c r="Y1120" t="str">
        <f>IFERROR(VLOOKUP(B1120,'Pre-Summary'!$CR$6:$CT$36,3,FALSE),"")</f>
        <v/>
      </c>
      <c r="Z1120" s="45" t="str">
        <f>IFERROR(VLOOKUP(B1120,'Pre-Summary'!$BZ$6:$CB$63,2,FALSE),"")</f>
        <v/>
      </c>
      <c r="AA1120" s="45" t="str">
        <f>IFERROR(VLOOKUP(B1120,'Pre-Summary'!$CG$6:$CI$70,2,FALSE),"")</f>
        <v/>
      </c>
      <c r="AB1120" s="99">
        <f>IFERROR(VLOOKUP(B1120,'Pre-Summary'!$A$6:$P$178,9,FALSE),AB1121)</f>
        <v>0.45533763440924657</v>
      </c>
      <c r="AC1120" s="10">
        <f>IFERROR(VLOOKUP(Summary!B1120,'Pre-Summary'!$A$6:$P$184,5, FALSE)/100,AC1121)</f>
        <v>0.89807866666666669</v>
      </c>
      <c r="AD1120" s="10">
        <f>IFERROR(VLOOKUP(Summary!B1120,'Pre-Summary'!$A$6:$P$184,3, FALSE)/100,AD1121)</f>
        <v>1.5917000000000001E-2</v>
      </c>
      <c r="AE1120" s="10">
        <f>IFERROR(VLOOKUP(Summary!B1120,'Pre-Summary'!$A$6:$P$184,7, FALSE)/100,AE1121)</f>
        <v>8.6004666666666674E-2</v>
      </c>
      <c r="AF1120" s="99">
        <f t="shared" si="52"/>
        <v>7.2476091268919782E-3</v>
      </c>
      <c r="AG1120" s="99">
        <f t="shared" si="53"/>
        <v>3.9161161468155785E-2</v>
      </c>
      <c r="AH1120" s="10" t="str">
        <f>IFERROR(VLOOKUP(B1120,'Pre-Summary'!$AZ$6:$BE$65,3,FALSE),"")</f>
        <v/>
      </c>
      <c r="AI1120" s="10" t="str">
        <f>IFERROR(VLOOKUP(B1120,'Pre-Summary'!$AZ$6:$BE$65,5,FALSE),"")</f>
        <v/>
      </c>
      <c r="AJ1120" s="10" t="str">
        <f>IFERROR(VLOOKUP(B1120,'Pre-Summary'!$AZ$6:$BE$65,4,FALSE),"")</f>
        <v/>
      </c>
      <c r="AK1120" s="10" t="str">
        <f>IFERROR(VLOOKUP(B1120,'Pre-Summary'!$AZ$6:$BE$65,6,FALSE),"")</f>
        <v/>
      </c>
      <c r="AL1120" s="10" t="str">
        <f>IFERROR(VLOOKUP(B1120,'Pre-Summary'!$BG$6:$BL$44,3,FALSE),"")</f>
        <v/>
      </c>
      <c r="AM1120" s="10" t="str">
        <f>IFERROR(VLOOKUP(B1120,'Pre-Summary'!$BG$6:$BL$44,4,FALSE),"")</f>
        <v/>
      </c>
    </row>
    <row r="1121" spans="2:39" ht="15" customHeight="1" x14ac:dyDescent="0.3">
      <c r="B1121">
        <v>111.8</v>
      </c>
      <c r="C1121" t="str">
        <f>IFERROR(VLOOKUP(B1121,'Pre-Summary'!$DI$6:$DM$23,4,FALSE),"")</f>
        <v/>
      </c>
      <c r="D1121" s="10" t="str">
        <f>IFERROR(VLOOKUP(B1121,'Pre-Summary'!$AT$6:$AX$14,5,FALSE),D1120)</f>
        <v>DSMZ v4: dropped out methanol</v>
      </c>
      <c r="E1121" s="10" t="str">
        <f>IFERROR(VLOOKUP(B1121,'Pre-Summary'!$AT$6:$AX$15,4,FALSE),"")</f>
        <v/>
      </c>
      <c r="F1121">
        <f>IFERROR(VLOOKUP(B1121,'Pre-Summary'!$AL$6:$AQ$13,6,FALSE),F1120)</f>
        <v>5.9405263157894746E-2</v>
      </c>
      <c r="G1121" t="str">
        <f>IFERROR(VLOOKUP(B1121,'Pre-Summary'!$AE$6:$AJ$85,3,FALSE),"")</f>
        <v/>
      </c>
      <c r="H1121" t="str">
        <f>IFERROR(VLOOKUP(B1121,'Pre-Summary'!$AE$6:$AJ$85,4,FALSE),"")</f>
        <v/>
      </c>
      <c r="I1121" t="str">
        <f>IFERROR(VLOOKUP(B1121,'Pre-Summary'!$AE$6:$AJ$85,5,FALSE),"")</f>
        <v/>
      </c>
      <c r="J1121" s="45" t="str">
        <f>IFERROR(VLOOKUP(B1121,'Pre-Summary'!$AE$6:$AJ$85,6, FALSE),"")</f>
        <v/>
      </c>
      <c r="K1121" s="45" t="str">
        <f>IFERROR(VLOOKUP(B1121,'Pre-Summary'!$DE$6:$DG$61,3,FALSE),"")</f>
        <v/>
      </c>
      <c r="L1121" s="45" t="str">
        <f>IFERROR(VLOOKUP(B1121,'Pre-Summary'!$CU$6:$CW$36,3,FALSE),"")</f>
        <v/>
      </c>
      <c r="M1121" s="45" t="str">
        <f>IFERROR(VLOOKUP(B1121,'Pre-Summary'!$BW$6:$BY$58,2,FALSE),"")</f>
        <v/>
      </c>
      <c r="N1121" s="45" t="str">
        <f>IFERROR(VLOOKUP(B1121,'Pre-Summary'!$CD$6:$CF$64,2,FALSE),"")</f>
        <v/>
      </c>
      <c r="O1121" s="99">
        <f>IFERROR(VLOOKUP(B1121,'Pre-Summary'!$BO$6:$BQ$48,3, FALSE),O1120)</f>
        <v>1.2</v>
      </c>
      <c r="P1121" s="99">
        <f>IFERROR(VLOOKUP(B1121,'Pre-Summary'!$BS$6:$BU$35,3,FALSE),P1120)</f>
        <v>0.3</v>
      </c>
      <c r="Q1121" s="54">
        <f t="shared" si="51"/>
        <v>4</v>
      </c>
      <c r="R1121" s="53">
        <f>IFERROR(VLOOKUP(B1121,'Pre-Summary'!$BG$6:$BM$44,7,FALSE),R1122)</f>
        <v>7.6574939085447311E-2</v>
      </c>
      <c r="S1121" s="53">
        <f>IFERROR(VLOOKUP(B1121,'Pre-Summary'!$BG$6:$BM$44,6,FALSE),S1122)</f>
        <v>6.8761751275839902E-2</v>
      </c>
      <c r="T1121" s="45" t="str">
        <f>IFERROR(VLOOKUP(B1121,'Pre-Summary'!$Y$6:$AC$83, 3,FALSE),"")</f>
        <v/>
      </c>
      <c r="U1121" s="45" t="str">
        <f>IFERROR(VLOOKUP(B1121,'Pre-Summary'!$Y$6:$AC$83, 4,FALSE),"")</f>
        <v/>
      </c>
      <c r="V1121" t="str">
        <f>IFERROR(VLOOKUP(B1121,'Pre-Summary'!$Y$6:$AC$83, 5,FALSE),"")</f>
        <v/>
      </c>
      <c r="W1121" s="45" t="str">
        <f>IFERROR(VLOOKUP(B1121,'Pre-Summary'!$Y$6:$AD$83,6,FALSE),"")</f>
        <v/>
      </c>
      <c r="X1121" t="str">
        <f>IFERROR(VLOOKUP('Pre-Summary'!$DB$6:$DD$63,3,FALSE),"")</f>
        <v/>
      </c>
      <c r="Y1121" t="str">
        <f>IFERROR(VLOOKUP(B1121,'Pre-Summary'!$CR$6:$CT$36,3,FALSE),"")</f>
        <v/>
      </c>
      <c r="Z1121" s="45" t="str">
        <f>IFERROR(VLOOKUP(B1121,'Pre-Summary'!$BZ$6:$CB$63,2,FALSE),"")</f>
        <v/>
      </c>
      <c r="AA1121" s="45" t="str">
        <f>IFERROR(VLOOKUP(B1121,'Pre-Summary'!$CG$6:$CI$70,2,FALSE),"")</f>
        <v/>
      </c>
      <c r="AB1121" s="99">
        <f>IFERROR(VLOOKUP(B1121,'Pre-Summary'!$A$6:$P$178,9,FALSE),AB1122)</f>
        <v>0.45533763440924657</v>
      </c>
      <c r="AC1121" s="10">
        <f>IFERROR(VLOOKUP(Summary!B1121,'Pre-Summary'!$A$6:$P$184,5, FALSE)/100,AC1122)</f>
        <v>0.89807866666666669</v>
      </c>
      <c r="AD1121" s="10">
        <f>IFERROR(VLOOKUP(Summary!B1121,'Pre-Summary'!$A$6:$P$184,3, FALSE)/100,AD1122)</f>
        <v>1.5917000000000001E-2</v>
      </c>
      <c r="AE1121" s="10">
        <f>IFERROR(VLOOKUP(Summary!B1121,'Pre-Summary'!$A$6:$P$184,7, FALSE)/100,AE1122)</f>
        <v>8.6004666666666674E-2</v>
      </c>
      <c r="AF1121" s="99">
        <f t="shared" si="52"/>
        <v>7.2476091268919782E-3</v>
      </c>
      <c r="AG1121" s="99">
        <f t="shared" si="53"/>
        <v>3.9161161468155785E-2</v>
      </c>
      <c r="AH1121" s="10" t="str">
        <f>IFERROR(VLOOKUP(B1121,'Pre-Summary'!$AZ$6:$BE$65,3,FALSE),"")</f>
        <v/>
      </c>
      <c r="AI1121" s="10" t="str">
        <f>IFERROR(VLOOKUP(B1121,'Pre-Summary'!$AZ$6:$BE$65,5,FALSE),"")</f>
        <v/>
      </c>
      <c r="AJ1121" s="10" t="str">
        <f>IFERROR(VLOOKUP(B1121,'Pre-Summary'!$AZ$6:$BE$65,4,FALSE),"")</f>
        <v/>
      </c>
      <c r="AK1121" s="10" t="str">
        <f>IFERROR(VLOOKUP(B1121,'Pre-Summary'!$AZ$6:$BE$65,6,FALSE),"")</f>
        <v/>
      </c>
      <c r="AL1121" s="10" t="str">
        <f>IFERROR(VLOOKUP(B1121,'Pre-Summary'!$BG$6:$BL$44,3,FALSE),"")</f>
        <v/>
      </c>
      <c r="AM1121" s="10" t="str">
        <f>IFERROR(VLOOKUP(B1121,'Pre-Summary'!$BG$6:$BL$44,4,FALSE),"")</f>
        <v/>
      </c>
    </row>
    <row r="1122" spans="2:39" ht="15" customHeight="1" x14ac:dyDescent="0.3">
      <c r="B1122">
        <v>111.9</v>
      </c>
      <c r="C1122" t="str">
        <f>IFERROR(VLOOKUP(B1122,'Pre-Summary'!$DI$6:$DM$23,4,FALSE),"")</f>
        <v/>
      </c>
      <c r="D1122" s="10" t="str">
        <f>IFERROR(VLOOKUP(B1122,'Pre-Summary'!$AT$6:$AX$14,5,FALSE),D1121)</f>
        <v>DSMZ v4: dropped out methanol</v>
      </c>
      <c r="E1122" s="10" t="str">
        <f>IFERROR(VLOOKUP(B1122,'Pre-Summary'!$AT$6:$AX$15,4,FALSE),"")</f>
        <v/>
      </c>
      <c r="F1122">
        <f>IFERROR(VLOOKUP(B1122,'Pre-Summary'!$AL$6:$AQ$13,6,FALSE),F1121)</f>
        <v>5.9405263157894746E-2</v>
      </c>
      <c r="G1122">
        <f>IFERROR(VLOOKUP(B1122,'Pre-Summary'!$AE$6:$AJ$85,3,FALSE),"")</f>
        <v>30.675000000000001</v>
      </c>
      <c r="H1122" t="str">
        <f>IFERROR(VLOOKUP(B1122,'Pre-Summary'!$AE$6:$AJ$85,4,FALSE),"")</f>
        <v/>
      </c>
      <c r="I1122">
        <f>IFERROR(VLOOKUP(B1122,'Pre-Summary'!$AE$6:$AJ$85,5,FALSE),"")</f>
        <v>0</v>
      </c>
      <c r="J1122" s="45">
        <f>IFERROR(VLOOKUP(B1122,'Pre-Summary'!$AE$6:$AJ$85,6, FALSE),"")</f>
        <v>32.730224999999997</v>
      </c>
      <c r="K1122" s="45" t="str">
        <f>IFERROR(VLOOKUP(B1122,'Pre-Summary'!$DE$6:$DG$61,3,FALSE),"")</f>
        <v/>
      </c>
      <c r="L1122" s="45">
        <f>IFERROR(VLOOKUP(B1122,'Pre-Summary'!$CU$6:$CW$36,3,FALSE),"")</f>
        <v>138.6</v>
      </c>
      <c r="M1122" s="45" t="str">
        <f>IFERROR(VLOOKUP(B1122,'Pre-Summary'!$BW$6:$BY$58,2,FALSE),"")</f>
        <v/>
      </c>
      <c r="N1122" s="45" t="str">
        <f>IFERROR(VLOOKUP(B1122,'Pre-Summary'!$CD$6:$CF$64,2,FALSE),"")</f>
        <v/>
      </c>
      <c r="O1122" s="99">
        <f>IFERROR(VLOOKUP(B1122,'Pre-Summary'!$BO$6:$BQ$48,3, FALSE),O1121)</f>
        <v>1.2</v>
      </c>
      <c r="P1122" s="99">
        <f>IFERROR(VLOOKUP(B1122,'Pre-Summary'!$BS$6:$BU$35,3,FALSE),P1121)</f>
        <v>0.3</v>
      </c>
      <c r="Q1122" s="54">
        <f t="shared" si="51"/>
        <v>4</v>
      </c>
      <c r="R1122" s="53">
        <f>IFERROR(VLOOKUP(B1122,'Pre-Summary'!$BG$6:$BM$44,7,FALSE),R1123)</f>
        <v>7.6574939085447311E-2</v>
      </c>
      <c r="S1122" s="53">
        <f>IFERROR(VLOOKUP(B1122,'Pre-Summary'!$BG$6:$BM$44,6,FALSE),S1123)</f>
        <v>6.8761751275839902E-2</v>
      </c>
      <c r="T1122" s="45">
        <f>IFERROR(VLOOKUP(B1122,'Pre-Summary'!$Y$6:$AC$83, 3,FALSE),"")</f>
        <v>175.714</v>
      </c>
      <c r="U1122" s="45">
        <f>IFERROR(VLOOKUP(B1122,'Pre-Summary'!$Y$6:$AC$83, 4,FALSE),"")</f>
        <v>74.44</v>
      </c>
      <c r="V1122">
        <f>IFERROR(VLOOKUP(B1122,'Pre-Summary'!$Y$6:$AC$83, 5,FALSE),"")</f>
        <v>0</v>
      </c>
      <c r="W1122" s="45">
        <f>IFERROR(VLOOKUP(B1122,'Pre-Summary'!$Y$6:$AD$83,6,FALSE),"")</f>
        <v>300.18899799999997</v>
      </c>
      <c r="X1122" t="str">
        <f>IFERROR(VLOOKUP('Pre-Summary'!$DB$6:$DD$63,3,FALSE),"")</f>
        <v/>
      </c>
      <c r="Y1122">
        <f>IFERROR(VLOOKUP(B1122,'Pre-Summary'!$CR$6:$CT$36,3,FALSE),"")</f>
        <v>277.25</v>
      </c>
      <c r="Z1122" s="45">
        <f>IFERROR(VLOOKUP(B1122,'Pre-Summary'!$BZ$6:$CB$63,2,FALSE),"")</f>
        <v>168.05214941121727</v>
      </c>
      <c r="AA1122" s="45">
        <f>IFERROR(VLOOKUP(B1122,'Pre-Summary'!$CG$6:$CI$70,2,FALSE),"")</f>
        <v>556.92478403403993</v>
      </c>
      <c r="AB1122" s="99">
        <f>IFERROR(VLOOKUP(B1122,'Pre-Summary'!$A$6:$P$178,9,FALSE),AB1123)</f>
        <v>0.45533763440924657</v>
      </c>
      <c r="AC1122" s="10">
        <f>IFERROR(VLOOKUP(Summary!B1122,'Pre-Summary'!$A$6:$P$184,5, FALSE)/100,AC1123)</f>
        <v>0.89807866666666669</v>
      </c>
      <c r="AD1122" s="10">
        <f>IFERROR(VLOOKUP(Summary!B1122,'Pre-Summary'!$A$6:$P$184,3, FALSE)/100,AD1123)</f>
        <v>1.5917000000000001E-2</v>
      </c>
      <c r="AE1122" s="10">
        <f>IFERROR(VLOOKUP(Summary!B1122,'Pre-Summary'!$A$6:$P$184,7, FALSE)/100,AE1123)</f>
        <v>8.6004666666666674E-2</v>
      </c>
      <c r="AF1122" s="99">
        <f t="shared" si="52"/>
        <v>7.2476091268919782E-3</v>
      </c>
      <c r="AG1122" s="99">
        <f t="shared" si="53"/>
        <v>3.9161161468155785E-2</v>
      </c>
      <c r="AH1122" s="10" t="str">
        <f>IFERROR(VLOOKUP(B1122,'Pre-Summary'!$AZ$6:$BE$65,3,FALSE),"")</f>
        <v/>
      </c>
      <c r="AI1122" s="10" t="str">
        <f>IFERROR(VLOOKUP(B1122,'Pre-Summary'!$AZ$6:$BE$65,5,FALSE),"")</f>
        <v/>
      </c>
      <c r="AJ1122" s="10" t="str">
        <f>IFERROR(VLOOKUP(B1122,'Pre-Summary'!$AZ$6:$BE$65,4,FALSE),"")</f>
        <v/>
      </c>
      <c r="AK1122" s="10" t="str">
        <f>IFERROR(VLOOKUP(B1122,'Pre-Summary'!$AZ$6:$BE$65,6,FALSE),"")</f>
        <v/>
      </c>
      <c r="AL1122" s="10" t="str">
        <f>IFERROR(VLOOKUP(B1122,'Pre-Summary'!$BG$6:$BL$44,3,FALSE),"")</f>
        <v/>
      </c>
      <c r="AM1122" s="10" t="str">
        <f>IFERROR(VLOOKUP(B1122,'Pre-Summary'!$BG$6:$BL$44,4,FALSE),"")</f>
        <v/>
      </c>
    </row>
    <row r="1123" spans="2:39" ht="15" customHeight="1" x14ac:dyDescent="0.3">
      <c r="B1123">
        <v>112</v>
      </c>
      <c r="C1123" t="str">
        <f>IFERROR(VLOOKUP(B1123,'Pre-Summary'!$DI$6:$DM$23,4,FALSE),"")</f>
        <v/>
      </c>
      <c r="D1123" s="10" t="str">
        <f>IFERROR(VLOOKUP(B1123,'Pre-Summary'!$AT$6:$AX$14,5,FALSE),D1122)</f>
        <v>DSMZ v4: dropped out methanol</v>
      </c>
      <c r="E1123" s="10" t="str">
        <f>IFERROR(VLOOKUP(B1123,'Pre-Summary'!$AT$6:$AX$15,4,FALSE),"")</f>
        <v/>
      </c>
      <c r="F1123">
        <f>IFERROR(VLOOKUP(B1123,'Pre-Summary'!$AL$6:$AQ$13,6,FALSE),F1122)</f>
        <v>5.9405263157894746E-2</v>
      </c>
      <c r="G1123" t="str">
        <f>IFERROR(VLOOKUP(B1123,'Pre-Summary'!$AE$6:$AJ$85,3,FALSE),"")</f>
        <v/>
      </c>
      <c r="H1123" t="str">
        <f>IFERROR(VLOOKUP(B1123,'Pre-Summary'!$AE$6:$AJ$85,4,FALSE),"")</f>
        <v/>
      </c>
      <c r="I1123" t="str">
        <f>IFERROR(VLOOKUP(B1123,'Pre-Summary'!$AE$6:$AJ$85,5,FALSE),"")</f>
        <v/>
      </c>
      <c r="J1123" s="45" t="str">
        <f>IFERROR(VLOOKUP(B1123,'Pre-Summary'!$AE$6:$AJ$85,6, FALSE),"")</f>
        <v/>
      </c>
      <c r="K1123" s="45" t="str">
        <f>IFERROR(VLOOKUP(B1123,'Pre-Summary'!$DE$6:$DG$61,3,FALSE),"")</f>
        <v/>
      </c>
      <c r="L1123" s="45" t="str">
        <f>IFERROR(VLOOKUP(B1123,'Pre-Summary'!$CU$6:$CW$36,3,FALSE),"")</f>
        <v/>
      </c>
      <c r="M1123" s="45" t="str">
        <f>IFERROR(VLOOKUP(B1123,'Pre-Summary'!$BW$6:$BY$58,2,FALSE),"")</f>
        <v/>
      </c>
      <c r="N1123" s="45" t="str">
        <f>IFERROR(VLOOKUP(B1123,'Pre-Summary'!$CD$6:$CF$64,2,FALSE),"")</f>
        <v/>
      </c>
      <c r="O1123" s="99">
        <f>IFERROR(VLOOKUP(B1123,'Pre-Summary'!$BO$6:$BQ$48,3, FALSE),O1122)</f>
        <v>1.2</v>
      </c>
      <c r="P1123" s="99">
        <f>IFERROR(VLOOKUP(B1123,'Pre-Summary'!$BS$6:$BU$35,3,FALSE),P1122)</f>
        <v>0.3</v>
      </c>
      <c r="Q1123" s="54">
        <f t="shared" si="51"/>
        <v>4</v>
      </c>
      <c r="R1123" s="53">
        <f>IFERROR(VLOOKUP(B1123,'Pre-Summary'!$BG$6:$BM$44,7,FALSE),R1124)</f>
        <v>7.6574939085447311E-2</v>
      </c>
      <c r="S1123" s="53">
        <f>IFERROR(VLOOKUP(B1123,'Pre-Summary'!$BG$6:$BM$44,6,FALSE),S1124)</f>
        <v>6.8761751275839902E-2</v>
      </c>
      <c r="T1123" s="45" t="str">
        <f>IFERROR(VLOOKUP(B1123,'Pre-Summary'!$Y$6:$AC$83, 3,FALSE),"")</f>
        <v/>
      </c>
      <c r="U1123" s="45" t="str">
        <f>IFERROR(VLOOKUP(B1123,'Pre-Summary'!$Y$6:$AC$83, 4,FALSE),"")</f>
        <v/>
      </c>
      <c r="V1123" t="str">
        <f>IFERROR(VLOOKUP(B1123,'Pre-Summary'!$Y$6:$AC$83, 5,FALSE),"")</f>
        <v/>
      </c>
      <c r="W1123" s="45" t="str">
        <f>IFERROR(VLOOKUP(B1123,'Pre-Summary'!$Y$6:$AD$83,6,FALSE),"")</f>
        <v/>
      </c>
      <c r="X1123" t="str">
        <f>IFERROR(VLOOKUP('Pre-Summary'!$DB$6:$DD$63,3,FALSE),"")</f>
        <v/>
      </c>
      <c r="Y1123" t="str">
        <f>IFERROR(VLOOKUP(B1123,'Pre-Summary'!$CR$6:$CT$36,3,FALSE),"")</f>
        <v/>
      </c>
      <c r="Z1123" s="45" t="str">
        <f>IFERROR(VLOOKUP(B1123,'Pre-Summary'!$BZ$6:$CB$63,2,FALSE),"")</f>
        <v/>
      </c>
      <c r="AA1123" s="45" t="str">
        <f>IFERROR(VLOOKUP(B1123,'Pre-Summary'!$CG$6:$CI$70,2,FALSE),"")</f>
        <v/>
      </c>
      <c r="AB1123" s="99">
        <f>IFERROR(VLOOKUP(B1123,'Pre-Summary'!$A$6:$P$178,9,FALSE),AB1124)</f>
        <v>0.45533763440924657</v>
      </c>
      <c r="AC1123" s="10">
        <f>IFERROR(VLOOKUP(Summary!B1123,'Pre-Summary'!$A$6:$P$184,5, FALSE)/100,AC1124)</f>
        <v>0.89807866666666669</v>
      </c>
      <c r="AD1123" s="10">
        <f>IFERROR(VLOOKUP(Summary!B1123,'Pre-Summary'!$A$6:$P$184,3, FALSE)/100,AD1124)</f>
        <v>1.5917000000000001E-2</v>
      </c>
      <c r="AE1123" s="10">
        <f>IFERROR(VLOOKUP(Summary!B1123,'Pre-Summary'!$A$6:$P$184,7, FALSE)/100,AE1124)</f>
        <v>8.6004666666666674E-2</v>
      </c>
      <c r="AF1123" s="99">
        <f t="shared" si="52"/>
        <v>7.2476091268919782E-3</v>
      </c>
      <c r="AG1123" s="99">
        <f t="shared" si="53"/>
        <v>3.9161161468155785E-2</v>
      </c>
      <c r="AH1123" s="10" t="str">
        <f>IFERROR(VLOOKUP(B1123,'Pre-Summary'!$AZ$6:$BE$65,3,FALSE),"")</f>
        <v/>
      </c>
      <c r="AI1123" s="10" t="str">
        <f>IFERROR(VLOOKUP(B1123,'Pre-Summary'!$AZ$6:$BE$65,5,FALSE),"")</f>
        <v/>
      </c>
      <c r="AJ1123" s="10" t="str">
        <f>IFERROR(VLOOKUP(B1123,'Pre-Summary'!$AZ$6:$BE$65,4,FALSE),"")</f>
        <v/>
      </c>
      <c r="AK1123" s="10" t="str">
        <f>IFERROR(VLOOKUP(B1123,'Pre-Summary'!$AZ$6:$BE$65,6,FALSE),"")</f>
        <v/>
      </c>
      <c r="AL1123" s="10" t="str">
        <f>IFERROR(VLOOKUP(B1123,'Pre-Summary'!$BG$6:$BL$44,3,FALSE),"")</f>
        <v/>
      </c>
      <c r="AM1123" s="10" t="str">
        <f>IFERROR(VLOOKUP(B1123,'Pre-Summary'!$BG$6:$BL$44,4,FALSE),"")</f>
        <v/>
      </c>
    </row>
    <row r="1124" spans="2:39" ht="15" customHeight="1" x14ac:dyDescent="0.3">
      <c r="B1124">
        <v>112.1</v>
      </c>
      <c r="C1124" t="str">
        <f>IFERROR(VLOOKUP(B1124,'Pre-Summary'!$DI$6:$DM$23,4,FALSE),"")</f>
        <v/>
      </c>
      <c r="D1124" s="10" t="str">
        <f>IFERROR(VLOOKUP(B1124,'Pre-Summary'!$AT$6:$AX$14,5,FALSE),D1123)</f>
        <v>DSMZ v4: dropped out methanol</v>
      </c>
      <c r="E1124" s="10" t="str">
        <f>IFERROR(VLOOKUP(B1124,'Pre-Summary'!$AT$6:$AX$15,4,FALSE),"")</f>
        <v/>
      </c>
      <c r="F1124">
        <f>IFERROR(VLOOKUP(B1124,'Pre-Summary'!$AL$6:$AQ$13,6,FALSE),F1123)</f>
        <v>5.9405263157894746E-2</v>
      </c>
      <c r="G1124" t="str">
        <f>IFERROR(VLOOKUP(B1124,'Pre-Summary'!$AE$6:$AJ$85,3,FALSE),"")</f>
        <v/>
      </c>
      <c r="H1124" t="str">
        <f>IFERROR(VLOOKUP(B1124,'Pre-Summary'!$AE$6:$AJ$85,4,FALSE),"")</f>
        <v/>
      </c>
      <c r="I1124" t="str">
        <f>IFERROR(VLOOKUP(B1124,'Pre-Summary'!$AE$6:$AJ$85,5,FALSE),"")</f>
        <v/>
      </c>
      <c r="J1124" s="45" t="str">
        <f>IFERROR(VLOOKUP(B1124,'Pre-Summary'!$AE$6:$AJ$85,6, FALSE),"")</f>
        <v/>
      </c>
      <c r="K1124" s="45" t="str">
        <f>IFERROR(VLOOKUP(B1124,'Pre-Summary'!$DE$6:$DG$61,3,FALSE),"")</f>
        <v/>
      </c>
      <c r="L1124" s="45" t="str">
        <f>IFERROR(VLOOKUP(B1124,'Pre-Summary'!$CU$6:$CW$36,3,FALSE),"")</f>
        <v/>
      </c>
      <c r="M1124" s="45" t="str">
        <f>IFERROR(VLOOKUP(B1124,'Pre-Summary'!$BW$6:$BY$58,2,FALSE),"")</f>
        <v/>
      </c>
      <c r="N1124" s="45" t="str">
        <f>IFERROR(VLOOKUP(B1124,'Pre-Summary'!$CD$6:$CF$64,2,FALSE),"")</f>
        <v/>
      </c>
      <c r="O1124" s="99">
        <f>IFERROR(VLOOKUP(B1124,'Pre-Summary'!$BO$6:$BQ$48,3, FALSE),O1123)</f>
        <v>1.2</v>
      </c>
      <c r="P1124" s="99">
        <f>IFERROR(VLOOKUP(B1124,'Pre-Summary'!$BS$6:$BU$35,3,FALSE),P1123)</f>
        <v>0.3</v>
      </c>
      <c r="Q1124" s="54">
        <f t="shared" si="51"/>
        <v>4</v>
      </c>
      <c r="R1124" s="53">
        <f>IFERROR(VLOOKUP(B1124,'Pre-Summary'!$BG$6:$BM$44,7,FALSE),R1125)</f>
        <v>7.6574939085447311E-2</v>
      </c>
      <c r="S1124" s="53">
        <f>IFERROR(VLOOKUP(B1124,'Pre-Summary'!$BG$6:$BM$44,6,FALSE),S1125)</f>
        <v>6.8761751275839902E-2</v>
      </c>
      <c r="T1124" s="45" t="str">
        <f>IFERROR(VLOOKUP(B1124,'Pre-Summary'!$Y$6:$AC$83, 3,FALSE),"")</f>
        <v/>
      </c>
      <c r="U1124" s="45" t="str">
        <f>IFERROR(VLOOKUP(B1124,'Pre-Summary'!$Y$6:$AC$83, 4,FALSE),"")</f>
        <v/>
      </c>
      <c r="V1124" t="str">
        <f>IFERROR(VLOOKUP(B1124,'Pre-Summary'!$Y$6:$AC$83, 5,FALSE),"")</f>
        <v/>
      </c>
      <c r="W1124" s="45" t="str">
        <f>IFERROR(VLOOKUP(B1124,'Pre-Summary'!$Y$6:$AD$83,6,FALSE),"")</f>
        <v/>
      </c>
      <c r="X1124" t="str">
        <f>IFERROR(VLOOKUP('Pre-Summary'!$DB$6:$DD$63,3,FALSE),"")</f>
        <v/>
      </c>
      <c r="Y1124" t="str">
        <f>IFERROR(VLOOKUP(B1124,'Pre-Summary'!$CR$6:$CT$36,3,FALSE),"")</f>
        <v/>
      </c>
      <c r="Z1124" s="45" t="str">
        <f>IFERROR(VLOOKUP(B1124,'Pre-Summary'!$BZ$6:$CB$63,2,FALSE),"")</f>
        <v/>
      </c>
      <c r="AA1124" s="45" t="str">
        <f>IFERROR(VLOOKUP(B1124,'Pre-Summary'!$CG$6:$CI$70,2,FALSE),"")</f>
        <v/>
      </c>
      <c r="AB1124" s="99">
        <f>IFERROR(VLOOKUP(B1124,'Pre-Summary'!$A$6:$P$178,9,FALSE),AB1125)</f>
        <v>0.45533763440924657</v>
      </c>
      <c r="AC1124" s="10">
        <f>IFERROR(VLOOKUP(Summary!B1124,'Pre-Summary'!$A$6:$P$184,5, FALSE)/100,AC1125)</f>
        <v>0.89807866666666669</v>
      </c>
      <c r="AD1124" s="10">
        <f>IFERROR(VLOOKUP(Summary!B1124,'Pre-Summary'!$A$6:$P$184,3, FALSE)/100,AD1125)</f>
        <v>1.5917000000000001E-2</v>
      </c>
      <c r="AE1124" s="10">
        <f>IFERROR(VLOOKUP(Summary!B1124,'Pre-Summary'!$A$6:$P$184,7, FALSE)/100,AE1125)</f>
        <v>8.6004666666666674E-2</v>
      </c>
      <c r="AF1124" s="99">
        <f t="shared" si="52"/>
        <v>7.2476091268919782E-3</v>
      </c>
      <c r="AG1124" s="99">
        <f t="shared" si="53"/>
        <v>3.9161161468155785E-2</v>
      </c>
      <c r="AH1124" s="10" t="str">
        <f>IFERROR(VLOOKUP(B1124,'Pre-Summary'!$AZ$6:$BE$65,3,FALSE),"")</f>
        <v/>
      </c>
      <c r="AI1124" s="10" t="str">
        <f>IFERROR(VLOOKUP(B1124,'Pre-Summary'!$AZ$6:$BE$65,5,FALSE),"")</f>
        <v/>
      </c>
      <c r="AJ1124" s="10" t="str">
        <f>IFERROR(VLOOKUP(B1124,'Pre-Summary'!$AZ$6:$BE$65,4,FALSE),"")</f>
        <v/>
      </c>
      <c r="AK1124" s="10" t="str">
        <f>IFERROR(VLOOKUP(B1124,'Pre-Summary'!$AZ$6:$BE$65,6,FALSE),"")</f>
        <v/>
      </c>
      <c r="AL1124" s="10" t="str">
        <f>IFERROR(VLOOKUP(B1124,'Pre-Summary'!$BG$6:$BL$44,3,FALSE),"")</f>
        <v/>
      </c>
      <c r="AM1124" s="10" t="str">
        <f>IFERROR(VLOOKUP(B1124,'Pre-Summary'!$BG$6:$BL$44,4,FALSE),"")</f>
        <v/>
      </c>
    </row>
    <row r="1125" spans="2:39" ht="15" customHeight="1" x14ac:dyDescent="0.3">
      <c r="B1125">
        <v>112.2</v>
      </c>
      <c r="C1125" t="str">
        <f>IFERROR(VLOOKUP(B1125,'Pre-Summary'!$DI$6:$DM$23,4,FALSE),"")</f>
        <v/>
      </c>
      <c r="D1125" s="10" t="str">
        <f>IFERROR(VLOOKUP(B1125,'Pre-Summary'!$AT$6:$AX$14,5,FALSE),D1124)</f>
        <v>DSMZ v4: dropped out methanol</v>
      </c>
      <c r="E1125" s="10" t="str">
        <f>IFERROR(VLOOKUP(B1125,'Pre-Summary'!$AT$6:$AX$15,4,FALSE),"")</f>
        <v/>
      </c>
      <c r="F1125">
        <f>IFERROR(VLOOKUP(B1125,'Pre-Summary'!$AL$6:$AQ$13,6,FALSE),F1124)</f>
        <v>5.9405263157894746E-2</v>
      </c>
      <c r="G1125" t="str">
        <f>IFERROR(VLOOKUP(B1125,'Pre-Summary'!$AE$6:$AJ$85,3,FALSE),"")</f>
        <v/>
      </c>
      <c r="H1125" t="str">
        <f>IFERROR(VLOOKUP(B1125,'Pre-Summary'!$AE$6:$AJ$85,4,FALSE),"")</f>
        <v/>
      </c>
      <c r="I1125" t="str">
        <f>IFERROR(VLOOKUP(B1125,'Pre-Summary'!$AE$6:$AJ$85,5,FALSE),"")</f>
        <v/>
      </c>
      <c r="J1125" s="45" t="str">
        <f>IFERROR(VLOOKUP(B1125,'Pre-Summary'!$AE$6:$AJ$85,6, FALSE),"")</f>
        <v/>
      </c>
      <c r="K1125" s="45" t="str">
        <f>IFERROR(VLOOKUP(B1125,'Pre-Summary'!$DE$6:$DG$61,3,FALSE),"")</f>
        <v/>
      </c>
      <c r="L1125" s="45" t="str">
        <f>IFERROR(VLOOKUP(B1125,'Pre-Summary'!$CU$6:$CW$36,3,FALSE),"")</f>
        <v/>
      </c>
      <c r="M1125" s="45" t="str">
        <f>IFERROR(VLOOKUP(B1125,'Pre-Summary'!$BW$6:$BY$58,2,FALSE),"")</f>
        <v/>
      </c>
      <c r="N1125" s="45" t="str">
        <f>IFERROR(VLOOKUP(B1125,'Pre-Summary'!$CD$6:$CF$64,2,FALSE),"")</f>
        <v/>
      </c>
      <c r="O1125" s="99">
        <f>IFERROR(VLOOKUP(B1125,'Pre-Summary'!$BO$6:$BQ$48,3, FALSE),O1124)</f>
        <v>1.2</v>
      </c>
      <c r="P1125" s="99">
        <f>IFERROR(VLOOKUP(B1125,'Pre-Summary'!$BS$6:$BU$35,3,FALSE),P1124)</f>
        <v>0.3</v>
      </c>
      <c r="Q1125" s="54">
        <f t="shared" si="51"/>
        <v>4</v>
      </c>
      <c r="R1125" s="53">
        <f>IFERROR(VLOOKUP(B1125,'Pre-Summary'!$BG$6:$BM$44,7,FALSE),R1126)</f>
        <v>7.6574939085447311E-2</v>
      </c>
      <c r="S1125" s="53">
        <f>IFERROR(VLOOKUP(B1125,'Pre-Summary'!$BG$6:$BM$44,6,FALSE),S1126)</f>
        <v>6.8761751275839902E-2</v>
      </c>
      <c r="T1125" s="45" t="str">
        <f>IFERROR(VLOOKUP(B1125,'Pre-Summary'!$Y$6:$AC$83, 3,FALSE),"")</f>
        <v/>
      </c>
      <c r="U1125" s="45" t="str">
        <f>IFERROR(VLOOKUP(B1125,'Pre-Summary'!$Y$6:$AC$83, 4,FALSE),"")</f>
        <v/>
      </c>
      <c r="V1125" t="str">
        <f>IFERROR(VLOOKUP(B1125,'Pre-Summary'!$Y$6:$AC$83, 5,FALSE),"")</f>
        <v/>
      </c>
      <c r="W1125" s="45" t="str">
        <f>IFERROR(VLOOKUP(B1125,'Pre-Summary'!$Y$6:$AD$83,6,FALSE),"")</f>
        <v/>
      </c>
      <c r="X1125" t="str">
        <f>IFERROR(VLOOKUP('Pre-Summary'!$DB$6:$DD$63,3,FALSE),"")</f>
        <v/>
      </c>
      <c r="Y1125" t="str">
        <f>IFERROR(VLOOKUP(B1125,'Pre-Summary'!$CR$6:$CT$36,3,FALSE),"")</f>
        <v/>
      </c>
      <c r="Z1125" s="45" t="str">
        <f>IFERROR(VLOOKUP(B1125,'Pre-Summary'!$BZ$6:$CB$63,2,FALSE),"")</f>
        <v/>
      </c>
      <c r="AA1125" s="45" t="str">
        <f>IFERROR(VLOOKUP(B1125,'Pre-Summary'!$CG$6:$CI$70,2,FALSE),"")</f>
        <v/>
      </c>
      <c r="AB1125" s="99">
        <f>IFERROR(VLOOKUP(B1125,'Pre-Summary'!$A$6:$P$178,9,FALSE),AB1126)</f>
        <v>0.45533763440924657</v>
      </c>
      <c r="AC1125" s="10">
        <f>IFERROR(VLOOKUP(Summary!B1125,'Pre-Summary'!$A$6:$P$184,5, FALSE)/100,AC1126)</f>
        <v>0.89807866666666669</v>
      </c>
      <c r="AD1125" s="10">
        <f>IFERROR(VLOOKUP(Summary!B1125,'Pre-Summary'!$A$6:$P$184,3, FALSE)/100,AD1126)</f>
        <v>1.5917000000000001E-2</v>
      </c>
      <c r="AE1125" s="10">
        <f>IFERROR(VLOOKUP(Summary!B1125,'Pre-Summary'!$A$6:$P$184,7, FALSE)/100,AE1126)</f>
        <v>8.6004666666666674E-2</v>
      </c>
      <c r="AF1125" s="99">
        <f t="shared" si="52"/>
        <v>7.2476091268919782E-3</v>
      </c>
      <c r="AG1125" s="99">
        <f t="shared" si="53"/>
        <v>3.9161161468155785E-2</v>
      </c>
      <c r="AH1125" s="10" t="str">
        <f>IFERROR(VLOOKUP(B1125,'Pre-Summary'!$AZ$6:$BE$65,3,FALSE),"")</f>
        <v/>
      </c>
      <c r="AI1125" s="10" t="str">
        <f>IFERROR(VLOOKUP(B1125,'Pre-Summary'!$AZ$6:$BE$65,5,FALSE),"")</f>
        <v/>
      </c>
      <c r="AJ1125" s="10" t="str">
        <f>IFERROR(VLOOKUP(B1125,'Pre-Summary'!$AZ$6:$BE$65,4,FALSE),"")</f>
        <v/>
      </c>
      <c r="AK1125" s="10" t="str">
        <f>IFERROR(VLOOKUP(B1125,'Pre-Summary'!$AZ$6:$BE$65,6,FALSE),"")</f>
        <v/>
      </c>
      <c r="AL1125" s="10" t="str">
        <f>IFERROR(VLOOKUP(B1125,'Pre-Summary'!$BG$6:$BL$44,3,FALSE),"")</f>
        <v/>
      </c>
      <c r="AM1125" s="10" t="str">
        <f>IFERROR(VLOOKUP(B1125,'Pre-Summary'!$BG$6:$BL$44,4,FALSE),"")</f>
        <v/>
      </c>
    </row>
    <row r="1126" spans="2:39" ht="15" customHeight="1" x14ac:dyDescent="0.3">
      <c r="B1126">
        <v>112.3</v>
      </c>
      <c r="C1126" t="str">
        <f>IFERROR(VLOOKUP(B1126,'Pre-Summary'!$DI$6:$DM$23,4,FALSE),"")</f>
        <v/>
      </c>
      <c r="D1126" s="10" t="str">
        <f>IFERROR(VLOOKUP(B1126,'Pre-Summary'!$AT$6:$AX$14,5,FALSE),D1125)</f>
        <v>DSMZ v4: dropped out methanol</v>
      </c>
      <c r="E1126" s="10" t="str">
        <f>IFERROR(VLOOKUP(B1126,'Pre-Summary'!$AT$6:$AX$15,4,FALSE),"")</f>
        <v/>
      </c>
      <c r="F1126">
        <f>IFERROR(VLOOKUP(B1126,'Pre-Summary'!$AL$6:$AQ$13,6,FALSE),F1125)</f>
        <v>5.9405263157894746E-2</v>
      </c>
      <c r="G1126" t="str">
        <f>IFERROR(VLOOKUP(B1126,'Pre-Summary'!$AE$6:$AJ$85,3,FALSE),"")</f>
        <v/>
      </c>
      <c r="H1126" t="str">
        <f>IFERROR(VLOOKUP(B1126,'Pre-Summary'!$AE$6:$AJ$85,4,FALSE),"")</f>
        <v/>
      </c>
      <c r="I1126" t="str">
        <f>IFERROR(VLOOKUP(B1126,'Pre-Summary'!$AE$6:$AJ$85,5,FALSE),"")</f>
        <v/>
      </c>
      <c r="J1126" s="45" t="str">
        <f>IFERROR(VLOOKUP(B1126,'Pre-Summary'!$AE$6:$AJ$85,6, FALSE),"")</f>
        <v/>
      </c>
      <c r="K1126" s="45" t="str">
        <f>IFERROR(VLOOKUP(B1126,'Pre-Summary'!$DE$6:$DG$61,3,FALSE),"")</f>
        <v/>
      </c>
      <c r="L1126" s="45" t="str">
        <f>IFERROR(VLOOKUP(B1126,'Pre-Summary'!$CU$6:$CW$36,3,FALSE),"")</f>
        <v/>
      </c>
      <c r="M1126" s="45" t="str">
        <f>IFERROR(VLOOKUP(B1126,'Pre-Summary'!$BW$6:$BY$58,2,FALSE),"")</f>
        <v/>
      </c>
      <c r="N1126" s="45" t="str">
        <f>IFERROR(VLOOKUP(B1126,'Pre-Summary'!$CD$6:$CF$64,2,FALSE),"")</f>
        <v/>
      </c>
      <c r="O1126" s="99">
        <f>IFERROR(VLOOKUP(B1126,'Pre-Summary'!$BO$6:$BQ$48,3, FALSE),O1125)</f>
        <v>1.2</v>
      </c>
      <c r="P1126" s="99">
        <f>IFERROR(VLOOKUP(B1126,'Pre-Summary'!$BS$6:$BU$35,3,FALSE),P1125)</f>
        <v>0.3</v>
      </c>
      <c r="Q1126" s="54">
        <f t="shared" si="51"/>
        <v>4</v>
      </c>
      <c r="R1126" s="53">
        <f>IFERROR(VLOOKUP(B1126,'Pre-Summary'!$BG$6:$BM$44,7,FALSE),R1127)</f>
        <v>7.6574939085447311E-2</v>
      </c>
      <c r="S1126" s="53">
        <f>IFERROR(VLOOKUP(B1126,'Pre-Summary'!$BG$6:$BM$44,6,FALSE),S1127)</f>
        <v>6.8761751275839902E-2</v>
      </c>
      <c r="T1126" s="45" t="str">
        <f>IFERROR(VLOOKUP(B1126,'Pre-Summary'!$Y$6:$AC$83, 3,FALSE),"")</f>
        <v/>
      </c>
      <c r="U1126" s="45" t="str">
        <f>IFERROR(VLOOKUP(B1126,'Pre-Summary'!$Y$6:$AC$83, 4,FALSE),"")</f>
        <v/>
      </c>
      <c r="V1126" t="str">
        <f>IFERROR(VLOOKUP(B1126,'Pre-Summary'!$Y$6:$AC$83, 5,FALSE),"")</f>
        <v/>
      </c>
      <c r="W1126" s="45" t="str">
        <f>IFERROR(VLOOKUP(B1126,'Pre-Summary'!$Y$6:$AD$83,6,FALSE),"")</f>
        <v/>
      </c>
      <c r="X1126" t="str">
        <f>IFERROR(VLOOKUP('Pre-Summary'!$DB$6:$DD$63,3,FALSE),"")</f>
        <v/>
      </c>
      <c r="Y1126" t="str">
        <f>IFERROR(VLOOKUP(B1126,'Pre-Summary'!$CR$6:$CT$36,3,FALSE),"")</f>
        <v/>
      </c>
      <c r="Z1126" s="45" t="str">
        <f>IFERROR(VLOOKUP(B1126,'Pre-Summary'!$BZ$6:$CB$63,2,FALSE),"")</f>
        <v/>
      </c>
      <c r="AA1126" s="45" t="str">
        <f>IFERROR(VLOOKUP(B1126,'Pre-Summary'!$CG$6:$CI$70,2,FALSE),"")</f>
        <v/>
      </c>
      <c r="AB1126" s="99">
        <f>IFERROR(VLOOKUP(B1126,'Pre-Summary'!$A$6:$P$178,9,FALSE),AB1127)</f>
        <v>0.45533763440924657</v>
      </c>
      <c r="AC1126" s="10">
        <f>IFERROR(VLOOKUP(Summary!B1126,'Pre-Summary'!$A$6:$P$184,5, FALSE)/100,AC1127)</f>
        <v>0.89807866666666669</v>
      </c>
      <c r="AD1126" s="10">
        <f>IFERROR(VLOOKUP(Summary!B1126,'Pre-Summary'!$A$6:$P$184,3, FALSE)/100,AD1127)</f>
        <v>1.5917000000000001E-2</v>
      </c>
      <c r="AE1126" s="10">
        <f>IFERROR(VLOOKUP(Summary!B1126,'Pre-Summary'!$A$6:$P$184,7, FALSE)/100,AE1127)</f>
        <v>8.6004666666666674E-2</v>
      </c>
      <c r="AF1126" s="99">
        <f t="shared" si="52"/>
        <v>7.2476091268919782E-3</v>
      </c>
      <c r="AG1126" s="99">
        <f t="shared" si="53"/>
        <v>3.9161161468155785E-2</v>
      </c>
      <c r="AH1126" s="10" t="str">
        <f>IFERROR(VLOOKUP(B1126,'Pre-Summary'!$AZ$6:$BE$65,3,FALSE),"")</f>
        <v/>
      </c>
      <c r="AI1126" s="10" t="str">
        <f>IFERROR(VLOOKUP(B1126,'Pre-Summary'!$AZ$6:$BE$65,5,FALSE),"")</f>
        <v/>
      </c>
      <c r="AJ1126" s="10" t="str">
        <f>IFERROR(VLOOKUP(B1126,'Pre-Summary'!$AZ$6:$BE$65,4,FALSE),"")</f>
        <v/>
      </c>
      <c r="AK1126" s="10" t="str">
        <f>IFERROR(VLOOKUP(B1126,'Pre-Summary'!$AZ$6:$BE$65,6,FALSE),"")</f>
        <v/>
      </c>
      <c r="AL1126" s="10" t="str">
        <f>IFERROR(VLOOKUP(B1126,'Pre-Summary'!$BG$6:$BL$44,3,FALSE),"")</f>
        <v/>
      </c>
      <c r="AM1126" s="10" t="str">
        <f>IFERROR(VLOOKUP(B1126,'Pre-Summary'!$BG$6:$BL$44,4,FALSE),"")</f>
        <v/>
      </c>
    </row>
    <row r="1127" spans="2:39" ht="15" customHeight="1" x14ac:dyDescent="0.3">
      <c r="B1127">
        <v>112.4</v>
      </c>
      <c r="C1127" t="str">
        <f>IFERROR(VLOOKUP(B1127,'Pre-Summary'!$DI$6:$DM$23,4,FALSE),"")</f>
        <v/>
      </c>
      <c r="D1127" s="10" t="str">
        <f>IFERROR(VLOOKUP(B1127,'Pre-Summary'!$AT$6:$AX$14,5,FALSE),D1126)</f>
        <v>DSMZ v4: dropped out methanol</v>
      </c>
      <c r="E1127" s="10" t="str">
        <f>IFERROR(VLOOKUP(B1127,'Pre-Summary'!$AT$6:$AX$15,4,FALSE),"")</f>
        <v/>
      </c>
      <c r="F1127">
        <f>IFERROR(VLOOKUP(B1127,'Pre-Summary'!$AL$6:$AQ$13,6,FALSE),F1126)</f>
        <v>5.9405263157894746E-2</v>
      </c>
      <c r="G1127" t="str">
        <f>IFERROR(VLOOKUP(B1127,'Pre-Summary'!$AE$6:$AJ$85,3,FALSE),"")</f>
        <v/>
      </c>
      <c r="H1127" t="str">
        <f>IFERROR(VLOOKUP(B1127,'Pre-Summary'!$AE$6:$AJ$85,4,FALSE),"")</f>
        <v/>
      </c>
      <c r="I1127" t="str">
        <f>IFERROR(VLOOKUP(B1127,'Pre-Summary'!$AE$6:$AJ$85,5,FALSE),"")</f>
        <v/>
      </c>
      <c r="J1127" s="45" t="str">
        <f>IFERROR(VLOOKUP(B1127,'Pre-Summary'!$AE$6:$AJ$85,6, FALSE),"")</f>
        <v/>
      </c>
      <c r="K1127" s="45" t="str">
        <f>IFERROR(VLOOKUP(B1127,'Pre-Summary'!$DE$6:$DG$61,3,FALSE),"")</f>
        <v/>
      </c>
      <c r="L1127" s="45" t="str">
        <f>IFERROR(VLOOKUP(B1127,'Pre-Summary'!$CU$6:$CW$36,3,FALSE),"")</f>
        <v/>
      </c>
      <c r="M1127" s="45" t="str">
        <f>IFERROR(VLOOKUP(B1127,'Pre-Summary'!$BW$6:$BY$58,2,FALSE),"")</f>
        <v/>
      </c>
      <c r="N1127" s="45" t="str">
        <f>IFERROR(VLOOKUP(B1127,'Pre-Summary'!$CD$6:$CF$64,2,FALSE),"")</f>
        <v/>
      </c>
      <c r="O1127" s="99">
        <f>IFERROR(VLOOKUP(B1127,'Pre-Summary'!$BO$6:$BQ$48,3, FALSE),O1126)</f>
        <v>1.2</v>
      </c>
      <c r="P1127" s="99">
        <f>IFERROR(VLOOKUP(B1127,'Pre-Summary'!$BS$6:$BU$35,3,FALSE),P1126)</f>
        <v>0.3</v>
      </c>
      <c r="Q1127" s="54">
        <f t="shared" si="51"/>
        <v>4</v>
      </c>
      <c r="R1127" s="53">
        <f>IFERROR(VLOOKUP(B1127,'Pre-Summary'!$BG$6:$BM$44,7,FALSE),R1128)</f>
        <v>7.6574939085447311E-2</v>
      </c>
      <c r="S1127" s="53">
        <f>IFERROR(VLOOKUP(B1127,'Pre-Summary'!$BG$6:$BM$44,6,FALSE),S1128)</f>
        <v>6.8761751275839902E-2</v>
      </c>
      <c r="T1127" s="45" t="str">
        <f>IFERROR(VLOOKUP(B1127,'Pre-Summary'!$Y$6:$AC$83, 3,FALSE),"")</f>
        <v/>
      </c>
      <c r="U1127" s="45" t="str">
        <f>IFERROR(VLOOKUP(B1127,'Pre-Summary'!$Y$6:$AC$83, 4,FALSE),"")</f>
        <v/>
      </c>
      <c r="V1127" t="str">
        <f>IFERROR(VLOOKUP(B1127,'Pre-Summary'!$Y$6:$AC$83, 5,FALSE),"")</f>
        <v/>
      </c>
      <c r="W1127" s="45" t="str">
        <f>IFERROR(VLOOKUP(B1127,'Pre-Summary'!$Y$6:$AD$83,6,FALSE),"")</f>
        <v/>
      </c>
      <c r="X1127" t="str">
        <f>IFERROR(VLOOKUP('Pre-Summary'!$DB$6:$DD$63,3,FALSE),"")</f>
        <v/>
      </c>
      <c r="Y1127" t="str">
        <f>IFERROR(VLOOKUP(B1127,'Pre-Summary'!$CR$6:$CT$36,3,FALSE),"")</f>
        <v/>
      </c>
      <c r="Z1127" s="45" t="str">
        <f>IFERROR(VLOOKUP(B1127,'Pre-Summary'!$BZ$6:$CB$63,2,FALSE),"")</f>
        <v/>
      </c>
      <c r="AA1127" s="45" t="str">
        <f>IFERROR(VLOOKUP(B1127,'Pre-Summary'!$CG$6:$CI$70,2,FALSE),"")</f>
        <v/>
      </c>
      <c r="AB1127" s="99">
        <f>IFERROR(VLOOKUP(B1127,'Pre-Summary'!$A$6:$P$178,9,FALSE),AB1128)</f>
        <v>0.45533763440924657</v>
      </c>
      <c r="AC1127" s="10">
        <f>IFERROR(VLOOKUP(Summary!B1127,'Pre-Summary'!$A$6:$P$184,5, FALSE)/100,AC1128)</f>
        <v>0.89807866666666669</v>
      </c>
      <c r="AD1127" s="10">
        <f>IFERROR(VLOOKUP(Summary!B1127,'Pre-Summary'!$A$6:$P$184,3, FALSE)/100,AD1128)</f>
        <v>1.5917000000000001E-2</v>
      </c>
      <c r="AE1127" s="10">
        <f>IFERROR(VLOOKUP(Summary!B1127,'Pre-Summary'!$A$6:$P$184,7, FALSE)/100,AE1128)</f>
        <v>8.6004666666666674E-2</v>
      </c>
      <c r="AF1127" s="99">
        <f t="shared" si="52"/>
        <v>7.2476091268919782E-3</v>
      </c>
      <c r="AG1127" s="99">
        <f t="shared" si="53"/>
        <v>3.9161161468155785E-2</v>
      </c>
      <c r="AH1127" s="10" t="str">
        <f>IFERROR(VLOOKUP(B1127,'Pre-Summary'!$AZ$6:$BE$65,3,FALSE),"")</f>
        <v/>
      </c>
      <c r="AI1127" s="10" t="str">
        <f>IFERROR(VLOOKUP(B1127,'Pre-Summary'!$AZ$6:$BE$65,5,FALSE),"")</f>
        <v/>
      </c>
      <c r="AJ1127" s="10" t="str">
        <f>IFERROR(VLOOKUP(B1127,'Pre-Summary'!$AZ$6:$BE$65,4,FALSE),"")</f>
        <v/>
      </c>
      <c r="AK1127" s="10" t="str">
        <f>IFERROR(VLOOKUP(B1127,'Pre-Summary'!$AZ$6:$BE$65,6,FALSE),"")</f>
        <v/>
      </c>
      <c r="AL1127" s="10" t="str">
        <f>IFERROR(VLOOKUP(B1127,'Pre-Summary'!$BG$6:$BL$44,3,FALSE),"")</f>
        <v/>
      </c>
      <c r="AM1127" s="10" t="str">
        <f>IFERROR(VLOOKUP(B1127,'Pre-Summary'!$BG$6:$BL$44,4,FALSE),"")</f>
        <v/>
      </c>
    </row>
    <row r="1128" spans="2:39" ht="15" customHeight="1" x14ac:dyDescent="0.3">
      <c r="B1128">
        <v>112.5</v>
      </c>
      <c r="C1128" t="str">
        <f>IFERROR(VLOOKUP(B1128,'Pre-Summary'!$DI$6:$DM$23,4,FALSE),"")</f>
        <v/>
      </c>
      <c r="D1128" s="10" t="str">
        <f>IFERROR(VLOOKUP(B1128,'Pre-Summary'!$AT$6:$AX$14,5,FALSE),D1127)</f>
        <v>DSMZ v4: dropped out methanol</v>
      </c>
      <c r="E1128" s="10" t="str">
        <f>IFERROR(VLOOKUP(B1128,'Pre-Summary'!$AT$6:$AX$15,4,FALSE),"")</f>
        <v/>
      </c>
      <c r="F1128">
        <f>IFERROR(VLOOKUP(B1128,'Pre-Summary'!$AL$6:$AQ$13,6,FALSE),F1127)</f>
        <v>5.9405263157894746E-2</v>
      </c>
      <c r="G1128" t="str">
        <f>IFERROR(VLOOKUP(B1128,'Pre-Summary'!$AE$6:$AJ$85,3,FALSE),"")</f>
        <v/>
      </c>
      <c r="H1128" t="str">
        <f>IFERROR(VLOOKUP(B1128,'Pre-Summary'!$AE$6:$AJ$85,4,FALSE),"")</f>
        <v/>
      </c>
      <c r="I1128" t="str">
        <f>IFERROR(VLOOKUP(B1128,'Pre-Summary'!$AE$6:$AJ$85,5,FALSE),"")</f>
        <v/>
      </c>
      <c r="J1128" s="45" t="str">
        <f>IFERROR(VLOOKUP(B1128,'Pre-Summary'!$AE$6:$AJ$85,6, FALSE),"")</f>
        <v/>
      </c>
      <c r="K1128" s="45" t="str">
        <f>IFERROR(VLOOKUP(B1128,'Pre-Summary'!$DE$6:$DG$61,3,FALSE),"")</f>
        <v/>
      </c>
      <c r="L1128" s="45" t="str">
        <f>IFERROR(VLOOKUP(B1128,'Pre-Summary'!$CU$6:$CW$36,3,FALSE),"")</f>
        <v/>
      </c>
      <c r="M1128" s="45" t="str">
        <f>IFERROR(VLOOKUP(B1128,'Pre-Summary'!$BW$6:$BY$58,2,FALSE),"")</f>
        <v/>
      </c>
      <c r="N1128" s="45" t="str">
        <f>IFERROR(VLOOKUP(B1128,'Pre-Summary'!$CD$6:$CF$64,2,FALSE),"")</f>
        <v/>
      </c>
      <c r="O1128" s="99">
        <f>IFERROR(VLOOKUP(B1128,'Pre-Summary'!$BO$6:$BQ$48,3, FALSE),O1127)</f>
        <v>1.2</v>
      </c>
      <c r="P1128" s="99">
        <f>IFERROR(VLOOKUP(B1128,'Pre-Summary'!$BS$6:$BU$35,3,FALSE),P1127)</f>
        <v>0.3</v>
      </c>
      <c r="Q1128" s="54">
        <f t="shared" si="51"/>
        <v>4</v>
      </c>
      <c r="R1128" s="53">
        <f>IFERROR(VLOOKUP(B1128,'Pre-Summary'!$BG$6:$BM$44,7,FALSE),R1129)</f>
        <v>7.6574939085447311E-2</v>
      </c>
      <c r="S1128" s="53">
        <f>IFERROR(VLOOKUP(B1128,'Pre-Summary'!$BG$6:$BM$44,6,FALSE),S1129)</f>
        <v>6.8761751275839902E-2</v>
      </c>
      <c r="T1128" s="45" t="str">
        <f>IFERROR(VLOOKUP(B1128,'Pre-Summary'!$Y$6:$AC$83, 3,FALSE),"")</f>
        <v/>
      </c>
      <c r="U1128" s="45" t="str">
        <f>IFERROR(VLOOKUP(B1128,'Pre-Summary'!$Y$6:$AC$83, 4,FALSE),"")</f>
        <v/>
      </c>
      <c r="V1128" t="str">
        <f>IFERROR(VLOOKUP(B1128,'Pre-Summary'!$Y$6:$AC$83, 5,FALSE),"")</f>
        <v/>
      </c>
      <c r="W1128" s="45" t="str">
        <f>IFERROR(VLOOKUP(B1128,'Pre-Summary'!$Y$6:$AD$83,6,FALSE),"")</f>
        <v/>
      </c>
      <c r="X1128" t="str">
        <f>IFERROR(VLOOKUP('Pre-Summary'!$DB$6:$DD$63,3,FALSE),"")</f>
        <v/>
      </c>
      <c r="Y1128" t="str">
        <f>IFERROR(VLOOKUP(B1128,'Pre-Summary'!$CR$6:$CT$36,3,FALSE),"")</f>
        <v/>
      </c>
      <c r="Z1128" s="45" t="str">
        <f>IFERROR(VLOOKUP(B1128,'Pre-Summary'!$BZ$6:$CB$63,2,FALSE),"")</f>
        <v/>
      </c>
      <c r="AA1128" s="45" t="str">
        <f>IFERROR(VLOOKUP(B1128,'Pre-Summary'!$CG$6:$CI$70,2,FALSE),"")</f>
        <v/>
      </c>
      <c r="AB1128" s="99">
        <f>IFERROR(VLOOKUP(B1128,'Pre-Summary'!$A$6:$P$178,9,FALSE),AB1129)</f>
        <v>0.45533763440924657</v>
      </c>
      <c r="AC1128" s="10">
        <f>IFERROR(VLOOKUP(Summary!B1128,'Pre-Summary'!$A$6:$P$184,5, FALSE)/100,AC1129)</f>
        <v>0.89807866666666669</v>
      </c>
      <c r="AD1128" s="10">
        <f>IFERROR(VLOOKUP(Summary!B1128,'Pre-Summary'!$A$6:$P$184,3, FALSE)/100,AD1129)</f>
        <v>1.5917000000000001E-2</v>
      </c>
      <c r="AE1128" s="10">
        <f>IFERROR(VLOOKUP(Summary!B1128,'Pre-Summary'!$A$6:$P$184,7, FALSE)/100,AE1129)</f>
        <v>8.6004666666666674E-2</v>
      </c>
      <c r="AF1128" s="99">
        <f t="shared" si="52"/>
        <v>7.2476091268919782E-3</v>
      </c>
      <c r="AG1128" s="99">
        <f t="shared" si="53"/>
        <v>3.9161161468155785E-2</v>
      </c>
      <c r="AH1128" s="10" t="str">
        <f>IFERROR(VLOOKUP(B1128,'Pre-Summary'!$AZ$6:$BE$65,3,FALSE),"")</f>
        <v/>
      </c>
      <c r="AI1128" s="10" t="str">
        <f>IFERROR(VLOOKUP(B1128,'Pre-Summary'!$AZ$6:$BE$65,5,FALSE),"")</f>
        <v/>
      </c>
      <c r="AJ1128" s="10" t="str">
        <f>IFERROR(VLOOKUP(B1128,'Pre-Summary'!$AZ$6:$BE$65,4,FALSE),"")</f>
        <v/>
      </c>
      <c r="AK1128" s="10" t="str">
        <f>IFERROR(VLOOKUP(B1128,'Pre-Summary'!$AZ$6:$BE$65,6,FALSE),"")</f>
        <v/>
      </c>
      <c r="AL1128" s="10" t="str">
        <f>IFERROR(VLOOKUP(B1128,'Pre-Summary'!$BG$6:$BL$44,3,FALSE),"")</f>
        <v/>
      </c>
      <c r="AM1128" s="10" t="str">
        <f>IFERROR(VLOOKUP(B1128,'Pre-Summary'!$BG$6:$BL$44,4,FALSE),"")</f>
        <v/>
      </c>
    </row>
    <row r="1129" spans="2:39" ht="15" customHeight="1" x14ac:dyDescent="0.3">
      <c r="B1129">
        <v>112.6</v>
      </c>
      <c r="C1129" t="str">
        <f>IFERROR(VLOOKUP(B1129,'Pre-Summary'!$DI$6:$DM$23,4,FALSE),"")</f>
        <v/>
      </c>
      <c r="D1129" s="10" t="str">
        <f>IFERROR(VLOOKUP(B1129,'Pre-Summary'!$AT$6:$AX$14,5,FALSE),D1128)</f>
        <v>DSMZ v4: dropped out methanol</v>
      </c>
      <c r="E1129" s="10" t="str">
        <f>IFERROR(VLOOKUP(B1129,'Pre-Summary'!$AT$6:$AX$15,4,FALSE),"")</f>
        <v/>
      </c>
      <c r="F1129">
        <f>IFERROR(VLOOKUP(B1129,'Pre-Summary'!$AL$6:$AQ$13,6,FALSE),F1128)</f>
        <v>5.9405263157894746E-2</v>
      </c>
      <c r="G1129" t="str">
        <f>IFERROR(VLOOKUP(B1129,'Pre-Summary'!$AE$6:$AJ$85,3,FALSE),"")</f>
        <v/>
      </c>
      <c r="H1129" t="str">
        <f>IFERROR(VLOOKUP(B1129,'Pre-Summary'!$AE$6:$AJ$85,4,FALSE),"")</f>
        <v/>
      </c>
      <c r="I1129" t="str">
        <f>IFERROR(VLOOKUP(B1129,'Pre-Summary'!$AE$6:$AJ$85,5,FALSE),"")</f>
        <v/>
      </c>
      <c r="J1129" s="45" t="str">
        <f>IFERROR(VLOOKUP(B1129,'Pre-Summary'!$AE$6:$AJ$85,6, FALSE),"")</f>
        <v/>
      </c>
      <c r="K1129" s="45" t="str">
        <f>IFERROR(VLOOKUP(B1129,'Pre-Summary'!$DE$6:$DG$61,3,FALSE),"")</f>
        <v/>
      </c>
      <c r="L1129" s="45" t="str">
        <f>IFERROR(VLOOKUP(B1129,'Pre-Summary'!$CU$6:$CW$36,3,FALSE),"")</f>
        <v/>
      </c>
      <c r="M1129" s="45" t="str">
        <f>IFERROR(VLOOKUP(B1129,'Pre-Summary'!$BW$6:$BY$58,2,FALSE),"")</f>
        <v/>
      </c>
      <c r="N1129" s="45" t="str">
        <f>IFERROR(VLOOKUP(B1129,'Pre-Summary'!$CD$6:$CF$64,2,FALSE),"")</f>
        <v/>
      </c>
      <c r="O1129" s="99">
        <f>IFERROR(VLOOKUP(B1129,'Pre-Summary'!$BO$6:$BQ$48,3, FALSE),O1128)</f>
        <v>1.2</v>
      </c>
      <c r="P1129" s="99">
        <f>IFERROR(VLOOKUP(B1129,'Pre-Summary'!$BS$6:$BU$35,3,FALSE),P1128)</f>
        <v>0.3</v>
      </c>
      <c r="Q1129" s="54">
        <f t="shared" si="51"/>
        <v>4</v>
      </c>
      <c r="R1129" s="53">
        <f>IFERROR(VLOOKUP(B1129,'Pre-Summary'!$BG$6:$BM$44,7,FALSE),R1130)</f>
        <v>7.6574939085447311E-2</v>
      </c>
      <c r="S1129" s="53">
        <f>IFERROR(VLOOKUP(B1129,'Pre-Summary'!$BG$6:$BM$44,6,FALSE),S1130)</f>
        <v>6.8761751275839902E-2</v>
      </c>
      <c r="T1129" s="45" t="str">
        <f>IFERROR(VLOOKUP(B1129,'Pre-Summary'!$Y$6:$AC$83, 3,FALSE),"")</f>
        <v/>
      </c>
      <c r="U1129" s="45" t="str">
        <f>IFERROR(VLOOKUP(B1129,'Pre-Summary'!$Y$6:$AC$83, 4,FALSE),"")</f>
        <v/>
      </c>
      <c r="V1129" t="str">
        <f>IFERROR(VLOOKUP(B1129,'Pre-Summary'!$Y$6:$AC$83, 5,FALSE),"")</f>
        <v/>
      </c>
      <c r="W1129" s="45" t="str">
        <f>IFERROR(VLOOKUP(B1129,'Pre-Summary'!$Y$6:$AD$83,6,FALSE),"")</f>
        <v/>
      </c>
      <c r="X1129" t="str">
        <f>IFERROR(VLOOKUP('Pre-Summary'!$DB$6:$DD$63,3,FALSE),"")</f>
        <v/>
      </c>
      <c r="Y1129" t="str">
        <f>IFERROR(VLOOKUP(B1129,'Pre-Summary'!$CR$6:$CT$36,3,FALSE),"")</f>
        <v/>
      </c>
      <c r="Z1129" s="45" t="str">
        <f>IFERROR(VLOOKUP(B1129,'Pre-Summary'!$BZ$6:$CB$63,2,FALSE),"")</f>
        <v/>
      </c>
      <c r="AA1129" s="45" t="str">
        <f>IFERROR(VLOOKUP(B1129,'Pre-Summary'!$CG$6:$CI$70,2,FALSE),"")</f>
        <v/>
      </c>
      <c r="AB1129" s="99">
        <f>IFERROR(VLOOKUP(B1129,'Pre-Summary'!$A$6:$P$178,9,FALSE),AB1130)</f>
        <v>0.45533763440924657</v>
      </c>
      <c r="AC1129" s="10">
        <f>IFERROR(VLOOKUP(Summary!B1129,'Pre-Summary'!$A$6:$P$184,5, FALSE)/100,AC1130)</f>
        <v>0.89807866666666669</v>
      </c>
      <c r="AD1129" s="10">
        <f>IFERROR(VLOOKUP(Summary!B1129,'Pre-Summary'!$A$6:$P$184,3, FALSE)/100,AD1130)</f>
        <v>1.5917000000000001E-2</v>
      </c>
      <c r="AE1129" s="10">
        <f>IFERROR(VLOOKUP(Summary!B1129,'Pre-Summary'!$A$6:$P$184,7, FALSE)/100,AE1130)</f>
        <v>8.6004666666666674E-2</v>
      </c>
      <c r="AF1129" s="99">
        <f t="shared" si="52"/>
        <v>7.2476091268919782E-3</v>
      </c>
      <c r="AG1129" s="99">
        <f t="shared" si="53"/>
        <v>3.9161161468155785E-2</v>
      </c>
      <c r="AH1129" s="10" t="str">
        <f>IFERROR(VLOOKUP(B1129,'Pre-Summary'!$AZ$6:$BE$65,3,FALSE),"")</f>
        <v/>
      </c>
      <c r="AI1129" s="10" t="str">
        <f>IFERROR(VLOOKUP(B1129,'Pre-Summary'!$AZ$6:$BE$65,5,FALSE),"")</f>
        <v/>
      </c>
      <c r="AJ1129" s="10" t="str">
        <f>IFERROR(VLOOKUP(B1129,'Pre-Summary'!$AZ$6:$BE$65,4,FALSE),"")</f>
        <v/>
      </c>
      <c r="AK1129" s="10" t="str">
        <f>IFERROR(VLOOKUP(B1129,'Pre-Summary'!$AZ$6:$BE$65,6,FALSE),"")</f>
        <v/>
      </c>
      <c r="AL1129" s="10" t="str">
        <f>IFERROR(VLOOKUP(B1129,'Pre-Summary'!$BG$6:$BL$44,3,FALSE),"")</f>
        <v/>
      </c>
      <c r="AM1129" s="10" t="str">
        <f>IFERROR(VLOOKUP(B1129,'Pre-Summary'!$BG$6:$BL$44,4,FALSE),"")</f>
        <v/>
      </c>
    </row>
    <row r="1130" spans="2:39" ht="15" customHeight="1" x14ac:dyDescent="0.3">
      <c r="B1130">
        <v>112.7</v>
      </c>
      <c r="C1130" t="str">
        <f>IFERROR(VLOOKUP(B1130,'Pre-Summary'!$DI$6:$DM$23,4,FALSE),"")</f>
        <v/>
      </c>
      <c r="D1130" s="10" t="str">
        <f>IFERROR(VLOOKUP(B1130,'Pre-Summary'!$AT$6:$AX$14,5,FALSE),D1129)</f>
        <v>DSMZ v4: dropped out methanol</v>
      </c>
      <c r="E1130" s="10" t="str">
        <f>IFERROR(VLOOKUP(B1130,'Pre-Summary'!$AT$6:$AX$15,4,FALSE),"")</f>
        <v/>
      </c>
      <c r="F1130">
        <f>IFERROR(VLOOKUP(B1130,'Pre-Summary'!$AL$6:$AQ$13,6,FALSE),F1129)</f>
        <v>5.9405263157894746E-2</v>
      </c>
      <c r="G1130" t="str">
        <f>IFERROR(VLOOKUP(B1130,'Pre-Summary'!$AE$6:$AJ$85,3,FALSE),"")</f>
        <v/>
      </c>
      <c r="H1130" t="str">
        <f>IFERROR(VLOOKUP(B1130,'Pre-Summary'!$AE$6:$AJ$85,4,FALSE),"")</f>
        <v/>
      </c>
      <c r="I1130" t="str">
        <f>IFERROR(VLOOKUP(B1130,'Pre-Summary'!$AE$6:$AJ$85,5,FALSE),"")</f>
        <v/>
      </c>
      <c r="J1130" s="45" t="str">
        <f>IFERROR(VLOOKUP(B1130,'Pre-Summary'!$AE$6:$AJ$85,6, FALSE),"")</f>
        <v/>
      </c>
      <c r="K1130" s="45" t="str">
        <f>IFERROR(VLOOKUP(B1130,'Pre-Summary'!$DE$6:$DG$61,3,FALSE),"")</f>
        <v/>
      </c>
      <c r="L1130" s="45" t="str">
        <f>IFERROR(VLOOKUP(B1130,'Pre-Summary'!$CU$6:$CW$36,3,FALSE),"")</f>
        <v/>
      </c>
      <c r="M1130" s="45" t="str">
        <f>IFERROR(VLOOKUP(B1130,'Pre-Summary'!$BW$6:$BY$58,2,FALSE),"")</f>
        <v/>
      </c>
      <c r="N1130" s="45" t="str">
        <f>IFERROR(VLOOKUP(B1130,'Pre-Summary'!$CD$6:$CF$64,2,FALSE),"")</f>
        <v/>
      </c>
      <c r="O1130" s="99">
        <f>IFERROR(VLOOKUP(B1130,'Pre-Summary'!$BO$6:$BQ$48,3, FALSE),O1129)</f>
        <v>1.2</v>
      </c>
      <c r="P1130" s="99">
        <f>IFERROR(VLOOKUP(B1130,'Pre-Summary'!$BS$6:$BU$35,3,FALSE),P1129)</f>
        <v>0.3</v>
      </c>
      <c r="Q1130" s="54">
        <f t="shared" si="51"/>
        <v>4</v>
      </c>
      <c r="R1130" s="53">
        <f>IFERROR(VLOOKUP(B1130,'Pre-Summary'!$BG$6:$BM$44,7,FALSE),R1131)</f>
        <v>7.6574939085447311E-2</v>
      </c>
      <c r="S1130" s="53">
        <f>IFERROR(VLOOKUP(B1130,'Pre-Summary'!$BG$6:$BM$44,6,FALSE),S1131)</f>
        <v>6.8761751275839902E-2</v>
      </c>
      <c r="T1130" s="45" t="str">
        <f>IFERROR(VLOOKUP(B1130,'Pre-Summary'!$Y$6:$AC$83, 3,FALSE),"")</f>
        <v/>
      </c>
      <c r="U1130" s="45" t="str">
        <f>IFERROR(VLOOKUP(B1130,'Pre-Summary'!$Y$6:$AC$83, 4,FALSE),"")</f>
        <v/>
      </c>
      <c r="V1130" t="str">
        <f>IFERROR(VLOOKUP(B1130,'Pre-Summary'!$Y$6:$AC$83, 5,FALSE),"")</f>
        <v/>
      </c>
      <c r="W1130" s="45" t="str">
        <f>IFERROR(VLOOKUP(B1130,'Pre-Summary'!$Y$6:$AD$83,6,FALSE),"")</f>
        <v/>
      </c>
      <c r="X1130" t="str">
        <f>IFERROR(VLOOKUP('Pre-Summary'!$DB$6:$DD$63,3,FALSE),"")</f>
        <v/>
      </c>
      <c r="Y1130" t="str">
        <f>IFERROR(VLOOKUP(B1130,'Pre-Summary'!$CR$6:$CT$36,3,FALSE),"")</f>
        <v/>
      </c>
      <c r="Z1130" s="45" t="str">
        <f>IFERROR(VLOOKUP(B1130,'Pre-Summary'!$BZ$6:$CB$63,2,FALSE),"")</f>
        <v/>
      </c>
      <c r="AA1130" s="45" t="str">
        <f>IFERROR(VLOOKUP(B1130,'Pre-Summary'!$CG$6:$CI$70,2,FALSE),"")</f>
        <v/>
      </c>
      <c r="AB1130" s="99">
        <f>IFERROR(VLOOKUP(B1130,'Pre-Summary'!$A$6:$P$178,9,FALSE),AB1131)</f>
        <v>0.45533763440924657</v>
      </c>
      <c r="AC1130" s="10">
        <f>IFERROR(VLOOKUP(Summary!B1130,'Pre-Summary'!$A$6:$P$184,5, FALSE)/100,AC1131)</f>
        <v>0.89807866666666669</v>
      </c>
      <c r="AD1130" s="10">
        <f>IFERROR(VLOOKUP(Summary!B1130,'Pre-Summary'!$A$6:$P$184,3, FALSE)/100,AD1131)</f>
        <v>1.5917000000000001E-2</v>
      </c>
      <c r="AE1130" s="10">
        <f>IFERROR(VLOOKUP(Summary!B1130,'Pre-Summary'!$A$6:$P$184,7, FALSE)/100,AE1131)</f>
        <v>8.6004666666666674E-2</v>
      </c>
      <c r="AF1130" s="99">
        <f t="shared" si="52"/>
        <v>7.2476091268919782E-3</v>
      </c>
      <c r="AG1130" s="99">
        <f t="shared" si="53"/>
        <v>3.9161161468155785E-2</v>
      </c>
      <c r="AH1130" s="10" t="str">
        <f>IFERROR(VLOOKUP(B1130,'Pre-Summary'!$AZ$6:$BE$65,3,FALSE),"")</f>
        <v/>
      </c>
      <c r="AI1130" s="10" t="str">
        <f>IFERROR(VLOOKUP(B1130,'Pre-Summary'!$AZ$6:$BE$65,5,FALSE),"")</f>
        <v/>
      </c>
      <c r="AJ1130" s="10" t="str">
        <f>IFERROR(VLOOKUP(B1130,'Pre-Summary'!$AZ$6:$BE$65,4,FALSE),"")</f>
        <v/>
      </c>
      <c r="AK1130" s="10" t="str">
        <f>IFERROR(VLOOKUP(B1130,'Pre-Summary'!$AZ$6:$BE$65,6,FALSE),"")</f>
        <v/>
      </c>
      <c r="AL1130" s="10" t="str">
        <f>IFERROR(VLOOKUP(B1130,'Pre-Summary'!$BG$6:$BL$44,3,FALSE),"")</f>
        <v/>
      </c>
      <c r="AM1130" s="10" t="str">
        <f>IFERROR(VLOOKUP(B1130,'Pre-Summary'!$BG$6:$BL$44,4,FALSE),"")</f>
        <v/>
      </c>
    </row>
    <row r="1131" spans="2:39" ht="15" customHeight="1" x14ac:dyDescent="0.3">
      <c r="B1131">
        <v>112.8</v>
      </c>
      <c r="C1131" t="str">
        <f>IFERROR(VLOOKUP(B1131,'Pre-Summary'!$DI$6:$DM$23,4,FALSE),"")</f>
        <v/>
      </c>
      <c r="D1131" s="10" t="str">
        <f>IFERROR(VLOOKUP(B1131,'Pre-Summary'!$AT$6:$AX$14,5,FALSE),D1130)</f>
        <v>DSMZ v4: dropped out methanol</v>
      </c>
      <c r="E1131" s="10" t="str">
        <f>IFERROR(VLOOKUP(B1131,'Pre-Summary'!$AT$6:$AX$15,4,FALSE),"")</f>
        <v/>
      </c>
      <c r="F1131">
        <f>IFERROR(VLOOKUP(B1131,'Pre-Summary'!$AL$6:$AQ$13,6,FALSE),F1130)</f>
        <v>5.9405263157894746E-2</v>
      </c>
      <c r="G1131" t="str">
        <f>IFERROR(VLOOKUP(B1131,'Pre-Summary'!$AE$6:$AJ$85,3,FALSE),"")</f>
        <v/>
      </c>
      <c r="H1131" t="str">
        <f>IFERROR(VLOOKUP(B1131,'Pre-Summary'!$AE$6:$AJ$85,4,FALSE),"")</f>
        <v/>
      </c>
      <c r="I1131" t="str">
        <f>IFERROR(VLOOKUP(B1131,'Pre-Summary'!$AE$6:$AJ$85,5,FALSE),"")</f>
        <v/>
      </c>
      <c r="J1131" s="45" t="str">
        <f>IFERROR(VLOOKUP(B1131,'Pre-Summary'!$AE$6:$AJ$85,6, FALSE),"")</f>
        <v/>
      </c>
      <c r="K1131" s="45" t="str">
        <f>IFERROR(VLOOKUP(B1131,'Pre-Summary'!$DE$6:$DG$61,3,FALSE),"")</f>
        <v/>
      </c>
      <c r="L1131" s="45" t="str">
        <f>IFERROR(VLOOKUP(B1131,'Pre-Summary'!$CU$6:$CW$36,3,FALSE),"")</f>
        <v/>
      </c>
      <c r="M1131" s="45" t="str">
        <f>IFERROR(VLOOKUP(B1131,'Pre-Summary'!$BW$6:$BY$58,2,FALSE),"")</f>
        <v/>
      </c>
      <c r="N1131" s="45" t="str">
        <f>IFERROR(VLOOKUP(B1131,'Pre-Summary'!$CD$6:$CF$64,2,FALSE),"")</f>
        <v/>
      </c>
      <c r="O1131" s="99">
        <f>IFERROR(VLOOKUP(B1131,'Pre-Summary'!$BO$6:$BQ$48,3, FALSE),O1130)</f>
        <v>1.2</v>
      </c>
      <c r="P1131" s="99">
        <f>IFERROR(VLOOKUP(B1131,'Pre-Summary'!$BS$6:$BU$35,3,FALSE),P1130)</f>
        <v>0.3</v>
      </c>
      <c r="Q1131" s="54">
        <f t="shared" si="51"/>
        <v>4</v>
      </c>
      <c r="R1131" s="53">
        <f>IFERROR(VLOOKUP(B1131,'Pre-Summary'!$BG$6:$BM$44,7,FALSE),R1132)</f>
        <v>7.6574939085447311E-2</v>
      </c>
      <c r="S1131" s="53">
        <f>IFERROR(VLOOKUP(B1131,'Pre-Summary'!$BG$6:$BM$44,6,FALSE),S1132)</f>
        <v>6.8761751275839902E-2</v>
      </c>
      <c r="T1131" s="45" t="str">
        <f>IFERROR(VLOOKUP(B1131,'Pre-Summary'!$Y$6:$AC$83, 3,FALSE),"")</f>
        <v/>
      </c>
      <c r="U1131" s="45" t="str">
        <f>IFERROR(VLOOKUP(B1131,'Pre-Summary'!$Y$6:$AC$83, 4,FALSE),"")</f>
        <v/>
      </c>
      <c r="V1131" t="str">
        <f>IFERROR(VLOOKUP(B1131,'Pre-Summary'!$Y$6:$AC$83, 5,FALSE),"")</f>
        <v/>
      </c>
      <c r="W1131" s="45" t="str">
        <f>IFERROR(VLOOKUP(B1131,'Pre-Summary'!$Y$6:$AD$83,6,FALSE),"")</f>
        <v/>
      </c>
      <c r="X1131" t="str">
        <f>IFERROR(VLOOKUP('Pre-Summary'!$DB$6:$DD$63,3,FALSE),"")</f>
        <v/>
      </c>
      <c r="Y1131" t="str">
        <f>IFERROR(VLOOKUP(B1131,'Pre-Summary'!$CR$6:$CT$36,3,FALSE),"")</f>
        <v/>
      </c>
      <c r="Z1131" s="45" t="str">
        <f>IFERROR(VLOOKUP(B1131,'Pre-Summary'!$BZ$6:$CB$63,2,FALSE),"")</f>
        <v/>
      </c>
      <c r="AA1131" s="45" t="str">
        <f>IFERROR(VLOOKUP(B1131,'Pre-Summary'!$CG$6:$CI$70,2,FALSE),"")</f>
        <v/>
      </c>
      <c r="AB1131" s="99">
        <f>IFERROR(VLOOKUP(B1131,'Pre-Summary'!$A$6:$P$178,9,FALSE),AB1132)</f>
        <v>0.45533763440924657</v>
      </c>
      <c r="AC1131" s="10">
        <f>IFERROR(VLOOKUP(Summary!B1131,'Pre-Summary'!$A$6:$P$184,5, FALSE)/100,AC1132)</f>
        <v>0.89807866666666669</v>
      </c>
      <c r="AD1131" s="10">
        <f>IFERROR(VLOOKUP(Summary!B1131,'Pre-Summary'!$A$6:$P$184,3, FALSE)/100,AD1132)</f>
        <v>1.5917000000000001E-2</v>
      </c>
      <c r="AE1131" s="10">
        <f>IFERROR(VLOOKUP(Summary!B1131,'Pre-Summary'!$A$6:$P$184,7, FALSE)/100,AE1132)</f>
        <v>8.6004666666666674E-2</v>
      </c>
      <c r="AF1131" s="99">
        <f t="shared" si="52"/>
        <v>7.2476091268919782E-3</v>
      </c>
      <c r="AG1131" s="99">
        <f t="shared" si="53"/>
        <v>3.9161161468155785E-2</v>
      </c>
      <c r="AH1131" s="10" t="str">
        <f>IFERROR(VLOOKUP(B1131,'Pre-Summary'!$AZ$6:$BE$65,3,FALSE),"")</f>
        <v/>
      </c>
      <c r="AI1131" s="10" t="str">
        <f>IFERROR(VLOOKUP(B1131,'Pre-Summary'!$AZ$6:$BE$65,5,FALSE),"")</f>
        <v/>
      </c>
      <c r="AJ1131" s="10" t="str">
        <f>IFERROR(VLOOKUP(B1131,'Pre-Summary'!$AZ$6:$BE$65,4,FALSE),"")</f>
        <v/>
      </c>
      <c r="AK1131" s="10" t="str">
        <f>IFERROR(VLOOKUP(B1131,'Pre-Summary'!$AZ$6:$BE$65,6,FALSE),"")</f>
        <v/>
      </c>
      <c r="AL1131" s="10" t="str">
        <f>IFERROR(VLOOKUP(B1131,'Pre-Summary'!$BG$6:$BL$44,3,FALSE),"")</f>
        <v/>
      </c>
      <c r="AM1131" s="10" t="str">
        <f>IFERROR(VLOOKUP(B1131,'Pre-Summary'!$BG$6:$BL$44,4,FALSE),"")</f>
        <v/>
      </c>
    </row>
    <row r="1132" spans="2:39" ht="15" customHeight="1" x14ac:dyDescent="0.3">
      <c r="B1132">
        <v>112.9</v>
      </c>
      <c r="C1132" t="str">
        <f>IFERROR(VLOOKUP(B1132,'Pre-Summary'!$DI$6:$DM$23,4,FALSE),"")</f>
        <v/>
      </c>
      <c r="D1132" s="10" t="str">
        <f>IFERROR(VLOOKUP(B1132,'Pre-Summary'!$AT$6:$AX$14,5,FALSE),D1131)</f>
        <v>DSMZ v4: dropped out methanol</v>
      </c>
      <c r="E1132" s="10" t="str">
        <f>IFERROR(VLOOKUP(B1132,'Pre-Summary'!$AT$6:$AX$15,4,FALSE),"")</f>
        <v/>
      </c>
      <c r="F1132">
        <f>IFERROR(VLOOKUP(B1132,'Pre-Summary'!$AL$6:$AQ$13,6,FALSE),F1131)</f>
        <v>5.9405263157894746E-2</v>
      </c>
      <c r="G1132" t="str">
        <f>IFERROR(VLOOKUP(B1132,'Pre-Summary'!$AE$6:$AJ$85,3,FALSE),"")</f>
        <v/>
      </c>
      <c r="H1132" t="str">
        <f>IFERROR(VLOOKUP(B1132,'Pre-Summary'!$AE$6:$AJ$85,4,FALSE),"")</f>
        <v/>
      </c>
      <c r="I1132" t="str">
        <f>IFERROR(VLOOKUP(B1132,'Pre-Summary'!$AE$6:$AJ$85,5,FALSE),"")</f>
        <v/>
      </c>
      <c r="J1132" s="45" t="str">
        <f>IFERROR(VLOOKUP(B1132,'Pre-Summary'!$AE$6:$AJ$85,6, FALSE),"")</f>
        <v/>
      </c>
      <c r="K1132" s="45" t="str">
        <f>IFERROR(VLOOKUP(B1132,'Pre-Summary'!$DE$6:$DG$61,3,FALSE),"")</f>
        <v/>
      </c>
      <c r="L1132" s="45" t="str">
        <f>IFERROR(VLOOKUP(B1132,'Pre-Summary'!$CU$6:$CW$36,3,FALSE),"")</f>
        <v/>
      </c>
      <c r="M1132" s="45" t="str">
        <f>IFERROR(VLOOKUP(B1132,'Pre-Summary'!$BW$6:$BY$58,2,FALSE),"")</f>
        <v/>
      </c>
      <c r="N1132" s="45" t="str">
        <f>IFERROR(VLOOKUP(B1132,'Pre-Summary'!$CD$6:$CF$64,2,FALSE),"")</f>
        <v/>
      </c>
      <c r="O1132" s="99">
        <f>IFERROR(VLOOKUP(B1132,'Pre-Summary'!$BO$6:$BQ$48,3, FALSE),O1131)</f>
        <v>1.2</v>
      </c>
      <c r="P1132" s="99">
        <f>IFERROR(VLOOKUP(B1132,'Pre-Summary'!$BS$6:$BU$35,3,FALSE),P1131)</f>
        <v>0.3</v>
      </c>
      <c r="Q1132" s="54">
        <f t="shared" si="51"/>
        <v>4</v>
      </c>
      <c r="R1132" s="53">
        <f>IFERROR(VLOOKUP(B1132,'Pre-Summary'!$BG$6:$BM$44,7,FALSE),R1133)</f>
        <v>7.6574939085447311E-2</v>
      </c>
      <c r="S1132" s="53">
        <f>IFERROR(VLOOKUP(B1132,'Pre-Summary'!$BG$6:$BM$44,6,FALSE),S1133)</f>
        <v>6.8761751275839902E-2</v>
      </c>
      <c r="T1132" s="45" t="str">
        <f>IFERROR(VLOOKUP(B1132,'Pre-Summary'!$Y$6:$AC$83, 3,FALSE),"")</f>
        <v/>
      </c>
      <c r="U1132" s="45" t="str">
        <f>IFERROR(VLOOKUP(B1132,'Pre-Summary'!$Y$6:$AC$83, 4,FALSE),"")</f>
        <v/>
      </c>
      <c r="V1132" t="str">
        <f>IFERROR(VLOOKUP(B1132,'Pre-Summary'!$Y$6:$AC$83, 5,FALSE),"")</f>
        <v/>
      </c>
      <c r="W1132" s="45" t="str">
        <f>IFERROR(VLOOKUP(B1132,'Pre-Summary'!$Y$6:$AD$83,6,FALSE),"")</f>
        <v/>
      </c>
      <c r="X1132" t="str">
        <f>IFERROR(VLOOKUP('Pre-Summary'!$DB$6:$DD$63,3,FALSE),"")</f>
        <v/>
      </c>
      <c r="Y1132" t="str">
        <f>IFERROR(VLOOKUP(B1132,'Pre-Summary'!$CR$6:$CT$36,3,FALSE),"")</f>
        <v/>
      </c>
      <c r="Z1132" s="45" t="str">
        <f>IFERROR(VLOOKUP(B1132,'Pre-Summary'!$BZ$6:$CB$63,2,FALSE),"")</f>
        <v/>
      </c>
      <c r="AA1132" s="45" t="str">
        <f>IFERROR(VLOOKUP(B1132,'Pre-Summary'!$CG$6:$CI$70,2,FALSE),"")</f>
        <v/>
      </c>
      <c r="AB1132" s="99">
        <f>IFERROR(VLOOKUP(B1132,'Pre-Summary'!$A$6:$P$178,9,FALSE),AB1133)</f>
        <v>0.45533763440924657</v>
      </c>
      <c r="AC1132" s="10">
        <f>IFERROR(VLOOKUP(Summary!B1132,'Pre-Summary'!$A$6:$P$184,5, FALSE)/100,AC1133)</f>
        <v>0.89807866666666669</v>
      </c>
      <c r="AD1132" s="10">
        <f>IFERROR(VLOOKUP(Summary!B1132,'Pre-Summary'!$A$6:$P$184,3, FALSE)/100,AD1133)</f>
        <v>1.5917000000000001E-2</v>
      </c>
      <c r="AE1132" s="10">
        <f>IFERROR(VLOOKUP(Summary!B1132,'Pre-Summary'!$A$6:$P$184,7, FALSE)/100,AE1133)</f>
        <v>8.6004666666666674E-2</v>
      </c>
      <c r="AF1132" s="99">
        <f t="shared" si="52"/>
        <v>7.2476091268919782E-3</v>
      </c>
      <c r="AG1132" s="99">
        <f t="shared" si="53"/>
        <v>3.9161161468155785E-2</v>
      </c>
      <c r="AH1132" s="10" t="str">
        <f>IFERROR(VLOOKUP(B1132,'Pre-Summary'!$AZ$6:$BE$65,3,FALSE),"")</f>
        <v/>
      </c>
      <c r="AI1132" s="10" t="str">
        <f>IFERROR(VLOOKUP(B1132,'Pre-Summary'!$AZ$6:$BE$65,5,FALSE),"")</f>
        <v/>
      </c>
      <c r="AJ1132" s="10" t="str">
        <f>IFERROR(VLOOKUP(B1132,'Pre-Summary'!$AZ$6:$BE$65,4,FALSE),"")</f>
        <v/>
      </c>
      <c r="AK1132" s="10" t="str">
        <f>IFERROR(VLOOKUP(B1132,'Pre-Summary'!$AZ$6:$BE$65,6,FALSE),"")</f>
        <v/>
      </c>
      <c r="AL1132" s="10" t="str">
        <f>IFERROR(VLOOKUP(B1132,'Pre-Summary'!$BG$6:$BL$44,3,FALSE),"")</f>
        <v/>
      </c>
      <c r="AM1132" s="10" t="str">
        <f>IFERROR(VLOOKUP(B1132,'Pre-Summary'!$BG$6:$BL$44,4,FALSE),"")</f>
        <v/>
      </c>
    </row>
    <row r="1133" spans="2:39" ht="15" customHeight="1" x14ac:dyDescent="0.3">
      <c r="B1133">
        <v>113</v>
      </c>
      <c r="C1133" t="str">
        <f>IFERROR(VLOOKUP(B1133,'Pre-Summary'!$DI$6:$DM$23,4,FALSE),"")</f>
        <v/>
      </c>
      <c r="D1133" s="10" t="str">
        <f>IFERROR(VLOOKUP(B1133,'Pre-Summary'!$AT$6:$AX$14,5,FALSE),D1132)</f>
        <v>DSMZ v4: dropped out methanol</v>
      </c>
      <c r="E1133" s="10" t="str">
        <f>IFERROR(VLOOKUP(B1133,'Pre-Summary'!$AT$6:$AX$15,4,FALSE),"")</f>
        <v/>
      </c>
      <c r="F1133">
        <f>IFERROR(VLOOKUP(B1133,'Pre-Summary'!$AL$6:$AQ$13,6,FALSE),F1132)</f>
        <v>5.9405263157894746E-2</v>
      </c>
      <c r="G1133" t="str">
        <f>IFERROR(VLOOKUP(B1133,'Pre-Summary'!$AE$6:$AJ$85,3,FALSE),"")</f>
        <v/>
      </c>
      <c r="H1133" t="str">
        <f>IFERROR(VLOOKUP(B1133,'Pre-Summary'!$AE$6:$AJ$85,4,FALSE),"")</f>
        <v/>
      </c>
      <c r="I1133" t="str">
        <f>IFERROR(VLOOKUP(B1133,'Pre-Summary'!$AE$6:$AJ$85,5,FALSE),"")</f>
        <v/>
      </c>
      <c r="J1133" s="45" t="str">
        <f>IFERROR(VLOOKUP(B1133,'Pre-Summary'!$AE$6:$AJ$85,6, FALSE),"")</f>
        <v/>
      </c>
      <c r="K1133" s="45" t="str">
        <f>IFERROR(VLOOKUP(B1133,'Pre-Summary'!$DE$6:$DG$61,3,FALSE),"")</f>
        <v/>
      </c>
      <c r="L1133" s="45" t="str">
        <f>IFERROR(VLOOKUP(B1133,'Pre-Summary'!$CU$6:$CW$36,3,FALSE),"")</f>
        <v/>
      </c>
      <c r="M1133" s="45" t="str">
        <f>IFERROR(VLOOKUP(B1133,'Pre-Summary'!$BW$6:$BY$58,2,FALSE),"")</f>
        <v/>
      </c>
      <c r="N1133" s="45" t="str">
        <f>IFERROR(VLOOKUP(B1133,'Pre-Summary'!$CD$6:$CF$64,2,FALSE),"")</f>
        <v/>
      </c>
      <c r="O1133" s="99">
        <f>IFERROR(VLOOKUP(B1133,'Pre-Summary'!$BO$6:$BQ$48,3, FALSE),O1132)</f>
        <v>1.2</v>
      </c>
      <c r="P1133" s="99">
        <f>IFERROR(VLOOKUP(B1133,'Pre-Summary'!$BS$6:$BU$35,3,FALSE),P1132)</f>
        <v>0.3</v>
      </c>
      <c r="Q1133" s="54">
        <f t="shared" si="51"/>
        <v>4</v>
      </c>
      <c r="R1133" s="53">
        <f>IFERROR(VLOOKUP(B1133,'Pre-Summary'!$BG$6:$BM$44,7,FALSE),R1134)</f>
        <v>7.6574939085447311E-2</v>
      </c>
      <c r="S1133" s="53">
        <f>IFERROR(VLOOKUP(B1133,'Pre-Summary'!$BG$6:$BM$44,6,FALSE),S1134)</f>
        <v>6.8761751275839902E-2</v>
      </c>
      <c r="T1133" s="45" t="str">
        <f>IFERROR(VLOOKUP(B1133,'Pre-Summary'!$Y$6:$AC$83, 3,FALSE),"")</f>
        <v/>
      </c>
      <c r="U1133" s="45" t="str">
        <f>IFERROR(VLOOKUP(B1133,'Pre-Summary'!$Y$6:$AC$83, 4,FALSE),"")</f>
        <v/>
      </c>
      <c r="V1133" t="str">
        <f>IFERROR(VLOOKUP(B1133,'Pre-Summary'!$Y$6:$AC$83, 5,FALSE),"")</f>
        <v/>
      </c>
      <c r="W1133" s="45" t="str">
        <f>IFERROR(VLOOKUP(B1133,'Pre-Summary'!$Y$6:$AD$83,6,FALSE),"")</f>
        <v/>
      </c>
      <c r="X1133" t="str">
        <f>IFERROR(VLOOKUP('Pre-Summary'!$DB$6:$DD$63,3,FALSE),"")</f>
        <v/>
      </c>
      <c r="Y1133" t="str">
        <f>IFERROR(VLOOKUP(B1133,'Pre-Summary'!$CR$6:$CT$36,3,FALSE),"")</f>
        <v/>
      </c>
      <c r="Z1133" s="45" t="str">
        <f>IFERROR(VLOOKUP(B1133,'Pre-Summary'!$BZ$6:$CB$63,2,FALSE),"")</f>
        <v/>
      </c>
      <c r="AA1133" s="45" t="str">
        <f>IFERROR(VLOOKUP(B1133,'Pre-Summary'!$CG$6:$CI$70,2,FALSE),"")</f>
        <v/>
      </c>
      <c r="AB1133" s="99">
        <f>IFERROR(VLOOKUP(B1133,'Pre-Summary'!$A$6:$P$178,9,FALSE),AB1134)</f>
        <v>0.45533763440924657</v>
      </c>
      <c r="AC1133" s="10">
        <f>IFERROR(VLOOKUP(Summary!B1133,'Pre-Summary'!$A$6:$P$184,5, FALSE)/100,AC1134)</f>
        <v>0.89807866666666669</v>
      </c>
      <c r="AD1133" s="10">
        <f>IFERROR(VLOOKUP(Summary!B1133,'Pre-Summary'!$A$6:$P$184,3, FALSE)/100,AD1134)</f>
        <v>1.5917000000000001E-2</v>
      </c>
      <c r="AE1133" s="10">
        <f>IFERROR(VLOOKUP(Summary!B1133,'Pre-Summary'!$A$6:$P$184,7, FALSE)/100,AE1134)</f>
        <v>8.6004666666666674E-2</v>
      </c>
      <c r="AF1133" s="99">
        <f t="shared" si="52"/>
        <v>7.2476091268919782E-3</v>
      </c>
      <c r="AG1133" s="99">
        <f t="shared" si="53"/>
        <v>3.9161161468155785E-2</v>
      </c>
      <c r="AH1133" s="10" t="str">
        <f>IFERROR(VLOOKUP(B1133,'Pre-Summary'!$AZ$6:$BE$65,3,FALSE),"")</f>
        <v/>
      </c>
      <c r="AI1133" s="10" t="str">
        <f>IFERROR(VLOOKUP(B1133,'Pre-Summary'!$AZ$6:$BE$65,5,FALSE),"")</f>
        <v/>
      </c>
      <c r="AJ1133" s="10" t="str">
        <f>IFERROR(VLOOKUP(B1133,'Pre-Summary'!$AZ$6:$BE$65,4,FALSE),"")</f>
        <v/>
      </c>
      <c r="AK1133" s="10" t="str">
        <f>IFERROR(VLOOKUP(B1133,'Pre-Summary'!$AZ$6:$BE$65,6,FALSE),"")</f>
        <v/>
      </c>
      <c r="AL1133" s="10" t="str">
        <f>IFERROR(VLOOKUP(B1133,'Pre-Summary'!$BG$6:$BL$44,3,FALSE),"")</f>
        <v/>
      </c>
      <c r="AM1133" s="10" t="str">
        <f>IFERROR(VLOOKUP(B1133,'Pre-Summary'!$BG$6:$BL$44,4,FALSE),"")</f>
        <v/>
      </c>
    </row>
    <row r="1134" spans="2:39" ht="15" customHeight="1" x14ac:dyDescent="0.3">
      <c r="B1134">
        <v>113.1</v>
      </c>
      <c r="C1134" t="str">
        <f>IFERROR(VLOOKUP(B1134,'Pre-Summary'!$DI$6:$DM$23,4,FALSE),"")</f>
        <v/>
      </c>
      <c r="D1134" s="10" t="str">
        <f>IFERROR(VLOOKUP(B1134,'Pre-Summary'!$AT$6:$AX$14,5,FALSE),D1133)</f>
        <v>DSMZ v4: dropped out methanol</v>
      </c>
      <c r="E1134" s="10" t="str">
        <f>IFERROR(VLOOKUP(B1134,'Pre-Summary'!$AT$6:$AX$15,4,FALSE),"")</f>
        <v/>
      </c>
      <c r="F1134">
        <f>IFERROR(VLOOKUP(B1134,'Pre-Summary'!$AL$6:$AQ$13,6,FALSE),F1133)</f>
        <v>5.9405263157894746E-2</v>
      </c>
      <c r="G1134" t="str">
        <f>IFERROR(VLOOKUP(B1134,'Pre-Summary'!$AE$6:$AJ$85,3,FALSE),"")</f>
        <v/>
      </c>
      <c r="H1134" t="str">
        <f>IFERROR(VLOOKUP(B1134,'Pre-Summary'!$AE$6:$AJ$85,4,FALSE),"")</f>
        <v/>
      </c>
      <c r="I1134" t="str">
        <f>IFERROR(VLOOKUP(B1134,'Pre-Summary'!$AE$6:$AJ$85,5,FALSE),"")</f>
        <v/>
      </c>
      <c r="J1134" s="45" t="str">
        <f>IFERROR(VLOOKUP(B1134,'Pre-Summary'!$AE$6:$AJ$85,6, FALSE),"")</f>
        <v/>
      </c>
      <c r="K1134" s="45" t="str">
        <f>IFERROR(VLOOKUP(B1134,'Pre-Summary'!$DE$6:$DG$61,3,FALSE),"")</f>
        <v/>
      </c>
      <c r="L1134" s="45" t="str">
        <f>IFERROR(VLOOKUP(B1134,'Pre-Summary'!$CU$6:$CW$36,3,FALSE),"")</f>
        <v/>
      </c>
      <c r="M1134" s="45" t="str">
        <f>IFERROR(VLOOKUP(B1134,'Pre-Summary'!$BW$6:$BY$58,2,FALSE),"")</f>
        <v/>
      </c>
      <c r="N1134" s="45" t="str">
        <f>IFERROR(VLOOKUP(B1134,'Pre-Summary'!$CD$6:$CF$64,2,FALSE),"")</f>
        <v/>
      </c>
      <c r="O1134" s="99">
        <f>IFERROR(VLOOKUP(B1134,'Pre-Summary'!$BO$6:$BQ$48,3, FALSE),O1133)</f>
        <v>1.2</v>
      </c>
      <c r="P1134" s="99">
        <f>IFERROR(VLOOKUP(B1134,'Pre-Summary'!$BS$6:$BU$35,3,FALSE),P1133)</f>
        <v>0.3</v>
      </c>
      <c r="Q1134" s="54">
        <f t="shared" si="51"/>
        <v>4</v>
      </c>
      <c r="R1134" s="53">
        <f>IFERROR(VLOOKUP(B1134,'Pre-Summary'!$BG$6:$BM$44,7,FALSE),R1135)</f>
        <v>7.6574939085447311E-2</v>
      </c>
      <c r="S1134" s="53">
        <f>IFERROR(VLOOKUP(B1134,'Pre-Summary'!$BG$6:$BM$44,6,FALSE),S1135)</f>
        <v>6.8761751275839902E-2</v>
      </c>
      <c r="T1134" s="45" t="str">
        <f>IFERROR(VLOOKUP(B1134,'Pre-Summary'!$Y$6:$AC$83, 3,FALSE),"")</f>
        <v/>
      </c>
      <c r="U1134" s="45" t="str">
        <f>IFERROR(VLOOKUP(B1134,'Pre-Summary'!$Y$6:$AC$83, 4,FALSE),"")</f>
        <v/>
      </c>
      <c r="V1134" t="str">
        <f>IFERROR(VLOOKUP(B1134,'Pre-Summary'!$Y$6:$AC$83, 5,FALSE),"")</f>
        <v/>
      </c>
      <c r="W1134" s="45" t="str">
        <f>IFERROR(VLOOKUP(B1134,'Pre-Summary'!$Y$6:$AD$83,6,FALSE),"")</f>
        <v/>
      </c>
      <c r="X1134" t="str">
        <f>IFERROR(VLOOKUP('Pre-Summary'!$DB$6:$DD$63,3,FALSE),"")</f>
        <v/>
      </c>
      <c r="Y1134" t="str">
        <f>IFERROR(VLOOKUP(B1134,'Pre-Summary'!$CR$6:$CT$36,3,FALSE),"")</f>
        <v/>
      </c>
      <c r="Z1134" s="45" t="str">
        <f>IFERROR(VLOOKUP(B1134,'Pre-Summary'!$BZ$6:$CB$63,2,FALSE),"")</f>
        <v/>
      </c>
      <c r="AA1134" s="45" t="str">
        <f>IFERROR(VLOOKUP(B1134,'Pre-Summary'!$CG$6:$CI$70,2,FALSE),"")</f>
        <v/>
      </c>
      <c r="AB1134" s="99">
        <f>IFERROR(VLOOKUP(B1134,'Pre-Summary'!$A$6:$P$178,9,FALSE),AB1135)</f>
        <v>0.45533763440924657</v>
      </c>
      <c r="AC1134" s="10">
        <f>IFERROR(VLOOKUP(Summary!B1134,'Pre-Summary'!$A$6:$P$184,5, FALSE)/100,AC1135)</f>
        <v>0.89807866666666669</v>
      </c>
      <c r="AD1134" s="10">
        <f>IFERROR(VLOOKUP(Summary!B1134,'Pre-Summary'!$A$6:$P$184,3, FALSE)/100,AD1135)</f>
        <v>1.5917000000000001E-2</v>
      </c>
      <c r="AE1134" s="10">
        <f>IFERROR(VLOOKUP(Summary!B1134,'Pre-Summary'!$A$6:$P$184,7, FALSE)/100,AE1135)</f>
        <v>8.6004666666666674E-2</v>
      </c>
      <c r="AF1134" s="99">
        <f t="shared" si="52"/>
        <v>7.2476091268919782E-3</v>
      </c>
      <c r="AG1134" s="99">
        <f t="shared" si="53"/>
        <v>3.9161161468155785E-2</v>
      </c>
      <c r="AH1134" s="10" t="str">
        <f>IFERROR(VLOOKUP(B1134,'Pre-Summary'!$AZ$6:$BE$65,3,FALSE),"")</f>
        <v/>
      </c>
      <c r="AI1134" s="10" t="str">
        <f>IFERROR(VLOOKUP(B1134,'Pre-Summary'!$AZ$6:$BE$65,5,FALSE),"")</f>
        <v/>
      </c>
      <c r="AJ1134" s="10" t="str">
        <f>IFERROR(VLOOKUP(B1134,'Pre-Summary'!$AZ$6:$BE$65,4,FALSE),"")</f>
        <v/>
      </c>
      <c r="AK1134" s="10" t="str">
        <f>IFERROR(VLOOKUP(B1134,'Pre-Summary'!$AZ$6:$BE$65,6,FALSE),"")</f>
        <v/>
      </c>
      <c r="AL1134" s="10" t="str">
        <f>IFERROR(VLOOKUP(B1134,'Pre-Summary'!$BG$6:$BL$44,3,FALSE),"")</f>
        <v/>
      </c>
      <c r="AM1134" s="10" t="str">
        <f>IFERROR(VLOOKUP(B1134,'Pre-Summary'!$BG$6:$BL$44,4,FALSE),"")</f>
        <v/>
      </c>
    </row>
    <row r="1135" spans="2:39" ht="15" customHeight="1" x14ac:dyDescent="0.3">
      <c r="B1135">
        <v>113.2</v>
      </c>
      <c r="C1135" t="str">
        <f>IFERROR(VLOOKUP(B1135,'Pre-Summary'!$DI$6:$DM$23,4,FALSE),"")</f>
        <v/>
      </c>
      <c r="D1135" s="10" t="str">
        <f>IFERROR(VLOOKUP(B1135,'Pre-Summary'!$AT$6:$AX$14,5,FALSE),D1134)</f>
        <v>DSMZ v4: dropped out methanol</v>
      </c>
      <c r="E1135" s="10" t="str">
        <f>IFERROR(VLOOKUP(B1135,'Pre-Summary'!$AT$6:$AX$15,4,FALSE),"")</f>
        <v/>
      </c>
      <c r="F1135">
        <f>IFERROR(VLOOKUP(B1135,'Pre-Summary'!$AL$6:$AQ$13,6,FALSE),F1134)</f>
        <v>5.9405263157894746E-2</v>
      </c>
      <c r="G1135" t="str">
        <f>IFERROR(VLOOKUP(B1135,'Pre-Summary'!$AE$6:$AJ$85,3,FALSE),"")</f>
        <v/>
      </c>
      <c r="H1135" t="str">
        <f>IFERROR(VLOOKUP(B1135,'Pre-Summary'!$AE$6:$AJ$85,4,FALSE),"")</f>
        <v/>
      </c>
      <c r="I1135" t="str">
        <f>IFERROR(VLOOKUP(B1135,'Pre-Summary'!$AE$6:$AJ$85,5,FALSE),"")</f>
        <v/>
      </c>
      <c r="J1135" s="45" t="str">
        <f>IFERROR(VLOOKUP(B1135,'Pre-Summary'!$AE$6:$AJ$85,6, FALSE),"")</f>
        <v/>
      </c>
      <c r="K1135" s="45" t="str">
        <f>IFERROR(VLOOKUP(B1135,'Pre-Summary'!$DE$6:$DG$61,3,FALSE),"")</f>
        <v/>
      </c>
      <c r="L1135" s="45" t="str">
        <f>IFERROR(VLOOKUP(B1135,'Pre-Summary'!$CU$6:$CW$36,3,FALSE),"")</f>
        <v/>
      </c>
      <c r="M1135" s="45" t="str">
        <f>IFERROR(VLOOKUP(B1135,'Pre-Summary'!$BW$6:$BY$58,2,FALSE),"")</f>
        <v/>
      </c>
      <c r="N1135" s="45" t="str">
        <f>IFERROR(VLOOKUP(B1135,'Pre-Summary'!$CD$6:$CF$64,2,FALSE),"")</f>
        <v/>
      </c>
      <c r="O1135" s="99">
        <f>IFERROR(VLOOKUP(B1135,'Pre-Summary'!$BO$6:$BQ$48,3, FALSE),O1134)</f>
        <v>1.2</v>
      </c>
      <c r="P1135" s="99">
        <f>IFERROR(VLOOKUP(B1135,'Pre-Summary'!$BS$6:$BU$35,3,FALSE),P1134)</f>
        <v>0.3</v>
      </c>
      <c r="Q1135" s="54">
        <f t="shared" si="51"/>
        <v>4</v>
      </c>
      <c r="R1135" s="53">
        <f>IFERROR(VLOOKUP(B1135,'Pre-Summary'!$BG$6:$BM$44,7,FALSE),R1136)</f>
        <v>7.6574939085447311E-2</v>
      </c>
      <c r="S1135" s="53">
        <f>IFERROR(VLOOKUP(B1135,'Pre-Summary'!$BG$6:$BM$44,6,FALSE),S1136)</f>
        <v>6.8761751275839902E-2</v>
      </c>
      <c r="T1135" s="45" t="str">
        <f>IFERROR(VLOOKUP(B1135,'Pre-Summary'!$Y$6:$AC$83, 3,FALSE),"")</f>
        <v/>
      </c>
      <c r="U1135" s="45" t="str">
        <f>IFERROR(VLOOKUP(B1135,'Pre-Summary'!$Y$6:$AC$83, 4,FALSE),"")</f>
        <v/>
      </c>
      <c r="V1135" t="str">
        <f>IFERROR(VLOOKUP(B1135,'Pre-Summary'!$Y$6:$AC$83, 5,FALSE),"")</f>
        <v/>
      </c>
      <c r="W1135" s="45" t="str">
        <f>IFERROR(VLOOKUP(B1135,'Pre-Summary'!$Y$6:$AD$83,6,FALSE),"")</f>
        <v/>
      </c>
      <c r="X1135" t="str">
        <f>IFERROR(VLOOKUP('Pre-Summary'!$DB$6:$DD$63,3,FALSE),"")</f>
        <v/>
      </c>
      <c r="Y1135" t="str">
        <f>IFERROR(VLOOKUP(B1135,'Pre-Summary'!$CR$6:$CT$36,3,FALSE),"")</f>
        <v/>
      </c>
      <c r="Z1135" s="45" t="str">
        <f>IFERROR(VLOOKUP(B1135,'Pre-Summary'!$BZ$6:$CB$63,2,FALSE),"")</f>
        <v/>
      </c>
      <c r="AA1135" s="45" t="str">
        <f>IFERROR(VLOOKUP(B1135,'Pre-Summary'!$CG$6:$CI$70,2,FALSE),"")</f>
        <v/>
      </c>
      <c r="AB1135" s="99">
        <f>IFERROR(VLOOKUP(B1135,'Pre-Summary'!$A$6:$P$178,9,FALSE),AB1136)</f>
        <v>0.45533763440924657</v>
      </c>
      <c r="AC1135" s="10">
        <f>IFERROR(VLOOKUP(Summary!B1135,'Pre-Summary'!$A$6:$P$184,5, FALSE)/100,AC1136)</f>
        <v>0.89807866666666669</v>
      </c>
      <c r="AD1135" s="10">
        <f>IFERROR(VLOOKUP(Summary!B1135,'Pre-Summary'!$A$6:$P$184,3, FALSE)/100,AD1136)</f>
        <v>1.5917000000000001E-2</v>
      </c>
      <c r="AE1135" s="10">
        <f>IFERROR(VLOOKUP(Summary!B1135,'Pre-Summary'!$A$6:$P$184,7, FALSE)/100,AE1136)</f>
        <v>8.6004666666666674E-2</v>
      </c>
      <c r="AF1135" s="99">
        <f t="shared" si="52"/>
        <v>7.2476091268919782E-3</v>
      </c>
      <c r="AG1135" s="99">
        <f t="shared" si="53"/>
        <v>3.9161161468155785E-2</v>
      </c>
      <c r="AH1135" s="10" t="str">
        <f>IFERROR(VLOOKUP(B1135,'Pre-Summary'!$AZ$6:$BE$65,3,FALSE),"")</f>
        <v/>
      </c>
      <c r="AI1135" s="10" t="str">
        <f>IFERROR(VLOOKUP(B1135,'Pre-Summary'!$AZ$6:$BE$65,5,FALSE),"")</f>
        <v/>
      </c>
      <c r="AJ1135" s="10" t="str">
        <f>IFERROR(VLOOKUP(B1135,'Pre-Summary'!$AZ$6:$BE$65,4,FALSE),"")</f>
        <v/>
      </c>
      <c r="AK1135" s="10" t="str">
        <f>IFERROR(VLOOKUP(B1135,'Pre-Summary'!$AZ$6:$BE$65,6,FALSE),"")</f>
        <v/>
      </c>
      <c r="AL1135" s="10" t="str">
        <f>IFERROR(VLOOKUP(B1135,'Pre-Summary'!$BG$6:$BL$44,3,FALSE),"")</f>
        <v/>
      </c>
      <c r="AM1135" s="10" t="str">
        <f>IFERROR(VLOOKUP(B1135,'Pre-Summary'!$BG$6:$BL$44,4,FALSE),"")</f>
        <v/>
      </c>
    </row>
    <row r="1136" spans="2:39" ht="15" customHeight="1" x14ac:dyDescent="0.3">
      <c r="B1136">
        <v>113.3</v>
      </c>
      <c r="C1136" t="str">
        <f>IFERROR(VLOOKUP(B1136,'Pre-Summary'!$DI$6:$DM$23,4,FALSE),"")</f>
        <v/>
      </c>
      <c r="D1136" s="10" t="str">
        <f>IFERROR(VLOOKUP(B1136,'Pre-Summary'!$AT$6:$AX$14,5,FALSE),D1135)</f>
        <v>DSMZ v4: dropped out methanol</v>
      </c>
      <c r="E1136" s="10" t="str">
        <f>IFERROR(VLOOKUP(B1136,'Pre-Summary'!$AT$6:$AX$15,4,FALSE),"")</f>
        <v/>
      </c>
      <c r="F1136">
        <f>IFERROR(VLOOKUP(B1136,'Pre-Summary'!$AL$6:$AQ$13,6,FALSE),F1135)</f>
        <v>5.9405263157894746E-2</v>
      </c>
      <c r="G1136" t="str">
        <f>IFERROR(VLOOKUP(B1136,'Pre-Summary'!$AE$6:$AJ$85,3,FALSE),"")</f>
        <v/>
      </c>
      <c r="H1136" t="str">
        <f>IFERROR(VLOOKUP(B1136,'Pre-Summary'!$AE$6:$AJ$85,4,FALSE),"")</f>
        <v/>
      </c>
      <c r="I1136" t="str">
        <f>IFERROR(VLOOKUP(B1136,'Pre-Summary'!$AE$6:$AJ$85,5,FALSE),"")</f>
        <v/>
      </c>
      <c r="J1136" s="45" t="str">
        <f>IFERROR(VLOOKUP(B1136,'Pre-Summary'!$AE$6:$AJ$85,6, FALSE),"")</f>
        <v/>
      </c>
      <c r="K1136" s="45" t="str">
        <f>IFERROR(VLOOKUP(B1136,'Pre-Summary'!$DE$6:$DG$61,3,FALSE),"")</f>
        <v/>
      </c>
      <c r="L1136" s="45" t="str">
        <f>IFERROR(VLOOKUP(B1136,'Pre-Summary'!$CU$6:$CW$36,3,FALSE),"")</f>
        <v/>
      </c>
      <c r="M1136" s="45" t="str">
        <f>IFERROR(VLOOKUP(B1136,'Pre-Summary'!$BW$6:$BY$58,2,FALSE),"")</f>
        <v/>
      </c>
      <c r="N1136" s="45" t="str">
        <f>IFERROR(VLOOKUP(B1136,'Pre-Summary'!$CD$6:$CF$64,2,FALSE),"")</f>
        <v/>
      </c>
      <c r="O1136" s="99">
        <f>IFERROR(VLOOKUP(B1136,'Pre-Summary'!$BO$6:$BQ$48,3, FALSE),O1135)</f>
        <v>1.2</v>
      </c>
      <c r="P1136" s="99">
        <f>IFERROR(VLOOKUP(B1136,'Pre-Summary'!$BS$6:$BU$35,3,FALSE),P1135)</f>
        <v>0.3</v>
      </c>
      <c r="Q1136" s="54">
        <f t="shared" si="51"/>
        <v>4</v>
      </c>
      <c r="R1136" s="53">
        <f>IFERROR(VLOOKUP(B1136,'Pre-Summary'!$BG$6:$BM$44,7,FALSE),R1137)</f>
        <v>7.6574939085447311E-2</v>
      </c>
      <c r="S1136" s="53">
        <f>IFERROR(VLOOKUP(B1136,'Pre-Summary'!$BG$6:$BM$44,6,FALSE),S1137)</f>
        <v>6.8761751275839902E-2</v>
      </c>
      <c r="T1136" s="45" t="str">
        <f>IFERROR(VLOOKUP(B1136,'Pre-Summary'!$Y$6:$AC$83, 3,FALSE),"")</f>
        <v/>
      </c>
      <c r="U1136" s="45" t="str">
        <f>IFERROR(VLOOKUP(B1136,'Pre-Summary'!$Y$6:$AC$83, 4,FALSE),"")</f>
        <v/>
      </c>
      <c r="V1136" t="str">
        <f>IFERROR(VLOOKUP(B1136,'Pre-Summary'!$Y$6:$AC$83, 5,FALSE),"")</f>
        <v/>
      </c>
      <c r="W1136" s="45" t="str">
        <f>IFERROR(VLOOKUP(B1136,'Pre-Summary'!$Y$6:$AD$83,6,FALSE),"")</f>
        <v/>
      </c>
      <c r="X1136" t="str">
        <f>IFERROR(VLOOKUP('Pre-Summary'!$DB$6:$DD$63,3,FALSE),"")</f>
        <v/>
      </c>
      <c r="Y1136" t="str">
        <f>IFERROR(VLOOKUP(B1136,'Pre-Summary'!$CR$6:$CT$36,3,FALSE),"")</f>
        <v/>
      </c>
      <c r="Z1136" s="45" t="str">
        <f>IFERROR(VLOOKUP(B1136,'Pre-Summary'!$BZ$6:$CB$63,2,FALSE),"")</f>
        <v/>
      </c>
      <c r="AA1136" s="45" t="str">
        <f>IFERROR(VLOOKUP(B1136,'Pre-Summary'!$CG$6:$CI$70,2,FALSE),"")</f>
        <v/>
      </c>
      <c r="AB1136" s="99">
        <f>IFERROR(VLOOKUP(B1136,'Pre-Summary'!$A$6:$P$178,9,FALSE),AB1137)</f>
        <v>0.45533763440924657</v>
      </c>
      <c r="AC1136" s="10">
        <f>IFERROR(VLOOKUP(Summary!B1136,'Pre-Summary'!$A$6:$P$184,5, FALSE)/100,AC1137)</f>
        <v>0.89807866666666669</v>
      </c>
      <c r="AD1136" s="10">
        <f>IFERROR(VLOOKUP(Summary!B1136,'Pre-Summary'!$A$6:$P$184,3, FALSE)/100,AD1137)</f>
        <v>1.5917000000000001E-2</v>
      </c>
      <c r="AE1136" s="10">
        <f>IFERROR(VLOOKUP(Summary!B1136,'Pre-Summary'!$A$6:$P$184,7, FALSE)/100,AE1137)</f>
        <v>8.6004666666666674E-2</v>
      </c>
      <c r="AF1136" s="99">
        <f t="shared" si="52"/>
        <v>7.2476091268919782E-3</v>
      </c>
      <c r="AG1136" s="99">
        <f t="shared" si="53"/>
        <v>3.9161161468155785E-2</v>
      </c>
      <c r="AH1136" s="10" t="str">
        <f>IFERROR(VLOOKUP(B1136,'Pre-Summary'!$AZ$6:$BE$65,3,FALSE),"")</f>
        <v/>
      </c>
      <c r="AI1136" s="10" t="str">
        <f>IFERROR(VLOOKUP(B1136,'Pre-Summary'!$AZ$6:$BE$65,5,FALSE),"")</f>
        <v/>
      </c>
      <c r="AJ1136" s="10" t="str">
        <f>IFERROR(VLOOKUP(B1136,'Pre-Summary'!$AZ$6:$BE$65,4,FALSE),"")</f>
        <v/>
      </c>
      <c r="AK1136" s="10" t="str">
        <f>IFERROR(VLOOKUP(B1136,'Pre-Summary'!$AZ$6:$BE$65,6,FALSE),"")</f>
        <v/>
      </c>
      <c r="AL1136" s="10" t="str">
        <f>IFERROR(VLOOKUP(B1136,'Pre-Summary'!$BG$6:$BL$44,3,FALSE),"")</f>
        <v/>
      </c>
      <c r="AM1136" s="10" t="str">
        <f>IFERROR(VLOOKUP(B1136,'Pre-Summary'!$BG$6:$BL$44,4,FALSE),"")</f>
        <v/>
      </c>
    </row>
    <row r="1137" spans="2:39" ht="15" customHeight="1" x14ac:dyDescent="0.3">
      <c r="B1137">
        <v>113.4</v>
      </c>
      <c r="C1137" t="str">
        <f>IFERROR(VLOOKUP(B1137,'Pre-Summary'!$DI$6:$DM$23,4,FALSE),"")</f>
        <v/>
      </c>
      <c r="D1137" s="10" t="str">
        <f>IFERROR(VLOOKUP(B1137,'Pre-Summary'!$AT$6:$AX$14,5,FALSE),D1136)</f>
        <v>DSMZ v4: dropped out methanol</v>
      </c>
      <c r="E1137" s="10" t="str">
        <f>IFERROR(VLOOKUP(B1137,'Pre-Summary'!$AT$6:$AX$15,4,FALSE),"")</f>
        <v/>
      </c>
      <c r="F1137">
        <f>IFERROR(VLOOKUP(B1137,'Pre-Summary'!$AL$6:$AQ$13,6,FALSE),F1136)</f>
        <v>5.9405263157894746E-2</v>
      </c>
      <c r="G1137" t="str">
        <f>IFERROR(VLOOKUP(B1137,'Pre-Summary'!$AE$6:$AJ$85,3,FALSE),"")</f>
        <v/>
      </c>
      <c r="H1137" t="str">
        <f>IFERROR(VLOOKUP(B1137,'Pre-Summary'!$AE$6:$AJ$85,4,FALSE),"")</f>
        <v/>
      </c>
      <c r="I1137" t="str">
        <f>IFERROR(VLOOKUP(B1137,'Pre-Summary'!$AE$6:$AJ$85,5,FALSE),"")</f>
        <v/>
      </c>
      <c r="J1137" s="45" t="str">
        <f>IFERROR(VLOOKUP(B1137,'Pre-Summary'!$AE$6:$AJ$85,6, FALSE),"")</f>
        <v/>
      </c>
      <c r="K1137" s="45" t="str">
        <f>IFERROR(VLOOKUP(B1137,'Pre-Summary'!$DE$6:$DG$61,3,FALSE),"")</f>
        <v/>
      </c>
      <c r="L1137" s="45" t="str">
        <f>IFERROR(VLOOKUP(B1137,'Pre-Summary'!$CU$6:$CW$36,3,FALSE),"")</f>
        <v/>
      </c>
      <c r="M1137" s="45" t="str">
        <f>IFERROR(VLOOKUP(B1137,'Pre-Summary'!$BW$6:$BY$58,2,FALSE),"")</f>
        <v/>
      </c>
      <c r="N1137" s="45" t="str">
        <f>IFERROR(VLOOKUP(B1137,'Pre-Summary'!$CD$6:$CF$64,2,FALSE),"")</f>
        <v/>
      </c>
      <c r="O1137" s="99">
        <f>IFERROR(VLOOKUP(B1137,'Pre-Summary'!$BO$6:$BQ$48,3, FALSE),O1136)</f>
        <v>1.2</v>
      </c>
      <c r="P1137" s="99">
        <f>IFERROR(VLOOKUP(B1137,'Pre-Summary'!$BS$6:$BU$35,3,FALSE),P1136)</f>
        <v>0.3</v>
      </c>
      <c r="Q1137" s="54">
        <f t="shared" si="51"/>
        <v>4</v>
      </c>
      <c r="R1137" s="53">
        <f>IFERROR(VLOOKUP(B1137,'Pre-Summary'!$BG$6:$BM$44,7,FALSE),R1138)</f>
        <v>7.6574939085447311E-2</v>
      </c>
      <c r="S1137" s="53">
        <f>IFERROR(VLOOKUP(B1137,'Pre-Summary'!$BG$6:$BM$44,6,FALSE),S1138)</f>
        <v>6.8761751275839902E-2</v>
      </c>
      <c r="T1137" s="45" t="str">
        <f>IFERROR(VLOOKUP(B1137,'Pre-Summary'!$Y$6:$AC$83, 3,FALSE),"")</f>
        <v/>
      </c>
      <c r="U1137" s="45" t="str">
        <f>IFERROR(VLOOKUP(B1137,'Pre-Summary'!$Y$6:$AC$83, 4,FALSE),"")</f>
        <v/>
      </c>
      <c r="V1137" t="str">
        <f>IFERROR(VLOOKUP(B1137,'Pre-Summary'!$Y$6:$AC$83, 5,FALSE),"")</f>
        <v/>
      </c>
      <c r="W1137" s="45" t="str">
        <f>IFERROR(VLOOKUP(B1137,'Pre-Summary'!$Y$6:$AD$83,6,FALSE),"")</f>
        <v/>
      </c>
      <c r="X1137" t="str">
        <f>IFERROR(VLOOKUP('Pre-Summary'!$DB$6:$DD$63,3,FALSE),"")</f>
        <v/>
      </c>
      <c r="Y1137" t="str">
        <f>IFERROR(VLOOKUP(B1137,'Pre-Summary'!$CR$6:$CT$36,3,FALSE),"")</f>
        <v/>
      </c>
      <c r="Z1137" s="45" t="str">
        <f>IFERROR(VLOOKUP(B1137,'Pre-Summary'!$BZ$6:$CB$63,2,FALSE),"")</f>
        <v/>
      </c>
      <c r="AA1137" s="45" t="str">
        <f>IFERROR(VLOOKUP(B1137,'Pre-Summary'!$CG$6:$CI$70,2,FALSE),"")</f>
        <v/>
      </c>
      <c r="AB1137" s="99">
        <f>IFERROR(VLOOKUP(B1137,'Pre-Summary'!$A$6:$P$178,9,FALSE),AB1138)</f>
        <v>0.45533763440924657</v>
      </c>
      <c r="AC1137" s="10">
        <f>IFERROR(VLOOKUP(Summary!B1137,'Pre-Summary'!$A$6:$P$184,5, FALSE)/100,AC1138)</f>
        <v>0.89807866666666669</v>
      </c>
      <c r="AD1137" s="10">
        <f>IFERROR(VLOOKUP(Summary!B1137,'Pre-Summary'!$A$6:$P$184,3, FALSE)/100,AD1138)</f>
        <v>1.5917000000000001E-2</v>
      </c>
      <c r="AE1137" s="10">
        <f>IFERROR(VLOOKUP(Summary!B1137,'Pre-Summary'!$A$6:$P$184,7, FALSE)/100,AE1138)</f>
        <v>8.6004666666666674E-2</v>
      </c>
      <c r="AF1137" s="99">
        <f t="shared" si="52"/>
        <v>7.2476091268919782E-3</v>
      </c>
      <c r="AG1137" s="99">
        <f t="shared" si="53"/>
        <v>3.9161161468155785E-2</v>
      </c>
      <c r="AH1137" s="10" t="str">
        <f>IFERROR(VLOOKUP(B1137,'Pre-Summary'!$AZ$6:$BE$65,3,FALSE),"")</f>
        <v/>
      </c>
      <c r="AI1137" s="10" t="str">
        <f>IFERROR(VLOOKUP(B1137,'Pre-Summary'!$AZ$6:$BE$65,5,FALSE),"")</f>
        <v/>
      </c>
      <c r="AJ1137" s="10" t="str">
        <f>IFERROR(VLOOKUP(B1137,'Pre-Summary'!$AZ$6:$BE$65,4,FALSE),"")</f>
        <v/>
      </c>
      <c r="AK1137" s="10" t="str">
        <f>IFERROR(VLOOKUP(B1137,'Pre-Summary'!$AZ$6:$BE$65,6,FALSE),"")</f>
        <v/>
      </c>
      <c r="AL1137" s="10" t="str">
        <f>IFERROR(VLOOKUP(B1137,'Pre-Summary'!$BG$6:$BL$44,3,FALSE),"")</f>
        <v/>
      </c>
      <c r="AM1137" s="10" t="str">
        <f>IFERROR(VLOOKUP(B1137,'Pre-Summary'!$BG$6:$BL$44,4,FALSE),"")</f>
        <v/>
      </c>
    </row>
    <row r="1138" spans="2:39" ht="15" customHeight="1" x14ac:dyDescent="0.3">
      <c r="B1138">
        <v>113.5</v>
      </c>
      <c r="C1138" t="str">
        <f>IFERROR(VLOOKUP(B1138,'Pre-Summary'!$DI$6:$DM$23,4,FALSE),"")</f>
        <v/>
      </c>
      <c r="D1138" s="10" t="str">
        <f>IFERROR(VLOOKUP(B1138,'Pre-Summary'!$AT$6:$AX$14,5,FALSE),D1137)</f>
        <v>DSMZ v4: dropped out methanol</v>
      </c>
      <c r="E1138" s="10" t="str">
        <f>IFERROR(VLOOKUP(B1138,'Pre-Summary'!$AT$6:$AX$15,4,FALSE),"")</f>
        <v/>
      </c>
      <c r="F1138">
        <f>IFERROR(VLOOKUP(B1138,'Pre-Summary'!$AL$6:$AQ$13,6,FALSE),F1137)</f>
        <v>5.9405263157894746E-2</v>
      </c>
      <c r="G1138" t="str">
        <f>IFERROR(VLOOKUP(B1138,'Pre-Summary'!$AE$6:$AJ$85,3,FALSE),"")</f>
        <v/>
      </c>
      <c r="H1138" t="str">
        <f>IFERROR(VLOOKUP(B1138,'Pre-Summary'!$AE$6:$AJ$85,4,FALSE),"")</f>
        <v/>
      </c>
      <c r="I1138" t="str">
        <f>IFERROR(VLOOKUP(B1138,'Pre-Summary'!$AE$6:$AJ$85,5,FALSE),"")</f>
        <v/>
      </c>
      <c r="J1138" s="45" t="str">
        <f>IFERROR(VLOOKUP(B1138,'Pre-Summary'!$AE$6:$AJ$85,6, FALSE),"")</f>
        <v/>
      </c>
      <c r="K1138" s="45" t="str">
        <f>IFERROR(VLOOKUP(B1138,'Pre-Summary'!$DE$6:$DG$61,3,FALSE),"")</f>
        <v/>
      </c>
      <c r="L1138" s="45" t="str">
        <f>IFERROR(VLOOKUP(B1138,'Pre-Summary'!$CU$6:$CW$36,3,FALSE),"")</f>
        <v/>
      </c>
      <c r="M1138" s="45" t="str">
        <f>IFERROR(VLOOKUP(B1138,'Pre-Summary'!$BW$6:$BY$58,2,FALSE),"")</f>
        <v/>
      </c>
      <c r="N1138" s="45" t="str">
        <f>IFERROR(VLOOKUP(B1138,'Pre-Summary'!$CD$6:$CF$64,2,FALSE),"")</f>
        <v/>
      </c>
      <c r="O1138" s="99">
        <f>IFERROR(VLOOKUP(B1138,'Pre-Summary'!$BO$6:$BQ$48,3, FALSE),O1137)</f>
        <v>1.2</v>
      </c>
      <c r="P1138" s="99">
        <f>IFERROR(VLOOKUP(B1138,'Pre-Summary'!$BS$6:$BU$35,3,FALSE),P1137)</f>
        <v>0.3</v>
      </c>
      <c r="Q1138" s="54">
        <f t="shared" si="51"/>
        <v>4</v>
      </c>
      <c r="R1138" s="53">
        <f>IFERROR(VLOOKUP(B1138,'Pre-Summary'!$BG$6:$BM$44,7,FALSE),R1139)</f>
        <v>7.6574939085447311E-2</v>
      </c>
      <c r="S1138" s="53">
        <f>IFERROR(VLOOKUP(B1138,'Pre-Summary'!$BG$6:$BM$44,6,FALSE),S1139)</f>
        <v>6.8761751275839902E-2</v>
      </c>
      <c r="T1138" s="45" t="str">
        <f>IFERROR(VLOOKUP(B1138,'Pre-Summary'!$Y$6:$AC$83, 3,FALSE),"")</f>
        <v/>
      </c>
      <c r="U1138" s="45" t="str">
        <f>IFERROR(VLOOKUP(B1138,'Pre-Summary'!$Y$6:$AC$83, 4,FALSE),"")</f>
        <v/>
      </c>
      <c r="V1138" t="str">
        <f>IFERROR(VLOOKUP(B1138,'Pre-Summary'!$Y$6:$AC$83, 5,FALSE),"")</f>
        <v/>
      </c>
      <c r="W1138" s="45" t="str">
        <f>IFERROR(VLOOKUP(B1138,'Pre-Summary'!$Y$6:$AD$83,6,FALSE),"")</f>
        <v/>
      </c>
      <c r="X1138" t="str">
        <f>IFERROR(VLOOKUP('Pre-Summary'!$DB$6:$DD$63,3,FALSE),"")</f>
        <v/>
      </c>
      <c r="Y1138" t="str">
        <f>IFERROR(VLOOKUP(B1138,'Pre-Summary'!$CR$6:$CT$36,3,FALSE),"")</f>
        <v/>
      </c>
      <c r="Z1138" s="45" t="str">
        <f>IFERROR(VLOOKUP(B1138,'Pre-Summary'!$BZ$6:$CB$63,2,FALSE),"")</f>
        <v/>
      </c>
      <c r="AA1138" s="45" t="str">
        <f>IFERROR(VLOOKUP(B1138,'Pre-Summary'!$CG$6:$CI$70,2,FALSE),"")</f>
        <v/>
      </c>
      <c r="AB1138" s="99">
        <f>IFERROR(VLOOKUP(B1138,'Pre-Summary'!$A$6:$P$178,9,FALSE),AB1139)</f>
        <v>0.45533763440924657</v>
      </c>
      <c r="AC1138" s="10">
        <f>IFERROR(VLOOKUP(Summary!B1138,'Pre-Summary'!$A$6:$P$184,5, FALSE)/100,AC1139)</f>
        <v>0.89807866666666669</v>
      </c>
      <c r="AD1138" s="10">
        <f>IFERROR(VLOOKUP(Summary!B1138,'Pre-Summary'!$A$6:$P$184,3, FALSE)/100,AD1139)</f>
        <v>1.5917000000000001E-2</v>
      </c>
      <c r="AE1138" s="10">
        <f>IFERROR(VLOOKUP(Summary!B1138,'Pre-Summary'!$A$6:$P$184,7, FALSE)/100,AE1139)</f>
        <v>8.6004666666666674E-2</v>
      </c>
      <c r="AF1138" s="99">
        <f t="shared" si="52"/>
        <v>7.2476091268919782E-3</v>
      </c>
      <c r="AG1138" s="99">
        <f t="shared" si="53"/>
        <v>3.9161161468155785E-2</v>
      </c>
      <c r="AH1138" s="10" t="str">
        <f>IFERROR(VLOOKUP(B1138,'Pre-Summary'!$AZ$6:$BE$65,3,FALSE),"")</f>
        <v/>
      </c>
      <c r="AI1138" s="10" t="str">
        <f>IFERROR(VLOOKUP(B1138,'Pre-Summary'!$AZ$6:$BE$65,5,FALSE),"")</f>
        <v/>
      </c>
      <c r="AJ1138" s="10" t="str">
        <f>IFERROR(VLOOKUP(B1138,'Pre-Summary'!$AZ$6:$BE$65,4,FALSE),"")</f>
        <v/>
      </c>
      <c r="AK1138" s="10" t="str">
        <f>IFERROR(VLOOKUP(B1138,'Pre-Summary'!$AZ$6:$BE$65,6,FALSE),"")</f>
        <v/>
      </c>
      <c r="AL1138" s="10" t="str">
        <f>IFERROR(VLOOKUP(B1138,'Pre-Summary'!$BG$6:$BL$44,3,FALSE),"")</f>
        <v/>
      </c>
      <c r="AM1138" s="10" t="str">
        <f>IFERROR(VLOOKUP(B1138,'Pre-Summary'!$BG$6:$BL$44,4,FALSE),"")</f>
        <v/>
      </c>
    </row>
    <row r="1139" spans="2:39" ht="15" customHeight="1" x14ac:dyDescent="0.3">
      <c r="B1139">
        <v>113.6</v>
      </c>
      <c r="C1139" t="str">
        <f>IFERROR(VLOOKUP(B1139,'Pre-Summary'!$DI$6:$DM$23,4,FALSE),"")</f>
        <v/>
      </c>
      <c r="D1139" s="10" t="str">
        <f>IFERROR(VLOOKUP(B1139,'Pre-Summary'!$AT$6:$AX$14,5,FALSE),D1138)</f>
        <v>DSMZ v4: dropped out methanol</v>
      </c>
      <c r="E1139" s="10" t="str">
        <f>IFERROR(VLOOKUP(B1139,'Pre-Summary'!$AT$6:$AX$15,4,FALSE),"")</f>
        <v/>
      </c>
      <c r="F1139">
        <f>IFERROR(VLOOKUP(B1139,'Pre-Summary'!$AL$6:$AQ$13,6,FALSE),F1138)</f>
        <v>5.9405263157894746E-2</v>
      </c>
      <c r="G1139" t="str">
        <f>IFERROR(VLOOKUP(B1139,'Pre-Summary'!$AE$6:$AJ$85,3,FALSE),"")</f>
        <v/>
      </c>
      <c r="H1139" t="str">
        <f>IFERROR(VLOOKUP(B1139,'Pre-Summary'!$AE$6:$AJ$85,4,FALSE),"")</f>
        <v/>
      </c>
      <c r="I1139" t="str">
        <f>IFERROR(VLOOKUP(B1139,'Pre-Summary'!$AE$6:$AJ$85,5,FALSE),"")</f>
        <v/>
      </c>
      <c r="J1139" s="45" t="str">
        <f>IFERROR(VLOOKUP(B1139,'Pre-Summary'!$AE$6:$AJ$85,6, FALSE),"")</f>
        <v/>
      </c>
      <c r="K1139" s="45" t="str">
        <f>IFERROR(VLOOKUP(B1139,'Pre-Summary'!$DE$6:$DG$61,3,FALSE),"")</f>
        <v/>
      </c>
      <c r="L1139" s="45" t="str">
        <f>IFERROR(VLOOKUP(B1139,'Pre-Summary'!$CU$6:$CW$36,3,FALSE),"")</f>
        <v/>
      </c>
      <c r="M1139" s="45" t="str">
        <f>IFERROR(VLOOKUP(B1139,'Pre-Summary'!$BW$6:$BY$58,2,FALSE),"")</f>
        <v/>
      </c>
      <c r="N1139" s="45" t="str">
        <f>IFERROR(VLOOKUP(B1139,'Pre-Summary'!$CD$6:$CF$64,2,FALSE),"")</f>
        <v/>
      </c>
      <c r="O1139" s="99">
        <f>IFERROR(VLOOKUP(B1139,'Pre-Summary'!$BO$6:$BQ$48,3, FALSE),O1138)</f>
        <v>1.2</v>
      </c>
      <c r="P1139" s="99">
        <f>IFERROR(VLOOKUP(B1139,'Pre-Summary'!$BS$6:$BU$35,3,FALSE),P1138)</f>
        <v>0.3</v>
      </c>
      <c r="Q1139" s="54">
        <f t="shared" si="51"/>
        <v>4</v>
      </c>
      <c r="R1139" s="53">
        <f>IFERROR(VLOOKUP(B1139,'Pre-Summary'!$BG$6:$BM$44,7,FALSE),R1140)</f>
        <v>7.6574939085447311E-2</v>
      </c>
      <c r="S1139" s="53">
        <f>IFERROR(VLOOKUP(B1139,'Pre-Summary'!$BG$6:$BM$44,6,FALSE),S1140)</f>
        <v>6.8761751275839902E-2</v>
      </c>
      <c r="T1139" s="45" t="str">
        <f>IFERROR(VLOOKUP(B1139,'Pre-Summary'!$Y$6:$AC$83, 3,FALSE),"")</f>
        <v/>
      </c>
      <c r="U1139" s="45" t="str">
        <f>IFERROR(VLOOKUP(B1139,'Pre-Summary'!$Y$6:$AC$83, 4,FALSE),"")</f>
        <v/>
      </c>
      <c r="V1139" t="str">
        <f>IFERROR(VLOOKUP(B1139,'Pre-Summary'!$Y$6:$AC$83, 5,FALSE),"")</f>
        <v/>
      </c>
      <c r="W1139" s="45" t="str">
        <f>IFERROR(VLOOKUP(B1139,'Pre-Summary'!$Y$6:$AD$83,6,FALSE),"")</f>
        <v/>
      </c>
      <c r="X1139" t="str">
        <f>IFERROR(VLOOKUP('Pre-Summary'!$DB$6:$DD$63,3,FALSE),"")</f>
        <v/>
      </c>
      <c r="Y1139" t="str">
        <f>IFERROR(VLOOKUP(B1139,'Pre-Summary'!$CR$6:$CT$36,3,FALSE),"")</f>
        <v/>
      </c>
      <c r="Z1139" s="45" t="str">
        <f>IFERROR(VLOOKUP(B1139,'Pre-Summary'!$BZ$6:$CB$63,2,FALSE),"")</f>
        <v/>
      </c>
      <c r="AA1139" s="45" t="str">
        <f>IFERROR(VLOOKUP(B1139,'Pre-Summary'!$CG$6:$CI$70,2,FALSE),"")</f>
        <v/>
      </c>
      <c r="AB1139" s="99">
        <f>IFERROR(VLOOKUP(B1139,'Pre-Summary'!$A$6:$P$178,9,FALSE),AB1140)</f>
        <v>0.45533763440924657</v>
      </c>
      <c r="AC1139" s="10">
        <f>IFERROR(VLOOKUP(Summary!B1139,'Pre-Summary'!$A$6:$P$184,5, FALSE)/100,AC1140)</f>
        <v>0.89807866666666669</v>
      </c>
      <c r="AD1139" s="10">
        <f>IFERROR(VLOOKUP(Summary!B1139,'Pre-Summary'!$A$6:$P$184,3, FALSE)/100,AD1140)</f>
        <v>1.5917000000000001E-2</v>
      </c>
      <c r="AE1139" s="10">
        <f>IFERROR(VLOOKUP(Summary!B1139,'Pre-Summary'!$A$6:$P$184,7, FALSE)/100,AE1140)</f>
        <v>8.6004666666666674E-2</v>
      </c>
      <c r="AF1139" s="99">
        <f t="shared" si="52"/>
        <v>7.2476091268919782E-3</v>
      </c>
      <c r="AG1139" s="99">
        <f t="shared" si="53"/>
        <v>3.9161161468155785E-2</v>
      </c>
      <c r="AH1139" s="10" t="str">
        <f>IFERROR(VLOOKUP(B1139,'Pre-Summary'!$AZ$6:$BE$65,3,FALSE),"")</f>
        <v/>
      </c>
      <c r="AI1139" s="10" t="str">
        <f>IFERROR(VLOOKUP(B1139,'Pre-Summary'!$AZ$6:$BE$65,5,FALSE),"")</f>
        <v/>
      </c>
      <c r="AJ1139" s="10" t="str">
        <f>IFERROR(VLOOKUP(B1139,'Pre-Summary'!$AZ$6:$BE$65,4,FALSE),"")</f>
        <v/>
      </c>
      <c r="AK1139" s="10" t="str">
        <f>IFERROR(VLOOKUP(B1139,'Pre-Summary'!$AZ$6:$BE$65,6,FALSE),"")</f>
        <v/>
      </c>
      <c r="AL1139" s="10" t="str">
        <f>IFERROR(VLOOKUP(B1139,'Pre-Summary'!$BG$6:$BL$44,3,FALSE),"")</f>
        <v/>
      </c>
      <c r="AM1139" s="10" t="str">
        <f>IFERROR(VLOOKUP(B1139,'Pre-Summary'!$BG$6:$BL$44,4,FALSE),"")</f>
        <v/>
      </c>
    </row>
    <row r="1140" spans="2:39" ht="15" customHeight="1" x14ac:dyDescent="0.3">
      <c r="B1140">
        <v>113.7</v>
      </c>
      <c r="C1140" t="str">
        <f>IFERROR(VLOOKUP(B1140,'Pre-Summary'!$DI$6:$DM$23,4,FALSE),"")</f>
        <v/>
      </c>
      <c r="D1140" s="10" t="str">
        <f>IFERROR(VLOOKUP(B1140,'Pre-Summary'!$AT$6:$AX$14,5,FALSE),D1139)</f>
        <v>DSMZ v4: dropped out methanol</v>
      </c>
      <c r="E1140" s="10" t="str">
        <f>IFERROR(VLOOKUP(B1140,'Pre-Summary'!$AT$6:$AX$15,4,FALSE),"")</f>
        <v/>
      </c>
      <c r="F1140">
        <f>IFERROR(VLOOKUP(B1140,'Pre-Summary'!$AL$6:$AQ$13,6,FALSE),F1139)</f>
        <v>5.9405263157894746E-2</v>
      </c>
      <c r="G1140" t="str">
        <f>IFERROR(VLOOKUP(B1140,'Pre-Summary'!$AE$6:$AJ$85,3,FALSE),"")</f>
        <v/>
      </c>
      <c r="H1140" t="str">
        <f>IFERROR(VLOOKUP(B1140,'Pre-Summary'!$AE$6:$AJ$85,4,FALSE),"")</f>
        <v/>
      </c>
      <c r="I1140" t="str">
        <f>IFERROR(VLOOKUP(B1140,'Pre-Summary'!$AE$6:$AJ$85,5,FALSE),"")</f>
        <v/>
      </c>
      <c r="J1140" s="45" t="str">
        <f>IFERROR(VLOOKUP(B1140,'Pre-Summary'!$AE$6:$AJ$85,6, FALSE),"")</f>
        <v/>
      </c>
      <c r="K1140" s="45" t="str">
        <f>IFERROR(VLOOKUP(B1140,'Pre-Summary'!$DE$6:$DG$61,3,FALSE),"")</f>
        <v/>
      </c>
      <c r="L1140" s="45" t="str">
        <f>IFERROR(VLOOKUP(B1140,'Pre-Summary'!$CU$6:$CW$36,3,FALSE),"")</f>
        <v/>
      </c>
      <c r="M1140" s="45" t="str">
        <f>IFERROR(VLOOKUP(B1140,'Pre-Summary'!$BW$6:$BY$58,2,FALSE),"")</f>
        <v/>
      </c>
      <c r="N1140" s="45" t="str">
        <f>IFERROR(VLOOKUP(B1140,'Pre-Summary'!$CD$6:$CF$64,2,FALSE),"")</f>
        <v/>
      </c>
      <c r="O1140" s="99">
        <f>IFERROR(VLOOKUP(B1140,'Pre-Summary'!$BO$6:$BQ$48,3, FALSE),O1139)</f>
        <v>1.2</v>
      </c>
      <c r="P1140" s="99">
        <f>IFERROR(VLOOKUP(B1140,'Pre-Summary'!$BS$6:$BU$35,3,FALSE),P1139)</f>
        <v>0.3</v>
      </c>
      <c r="Q1140" s="54">
        <f t="shared" si="51"/>
        <v>4</v>
      </c>
      <c r="R1140" s="53">
        <f>IFERROR(VLOOKUP(B1140,'Pre-Summary'!$BG$6:$BM$44,7,FALSE),R1141)</f>
        <v>7.6574939085447311E-2</v>
      </c>
      <c r="S1140" s="53">
        <f>IFERROR(VLOOKUP(B1140,'Pre-Summary'!$BG$6:$BM$44,6,FALSE),S1141)</f>
        <v>6.8761751275839902E-2</v>
      </c>
      <c r="T1140" s="45" t="str">
        <f>IFERROR(VLOOKUP(B1140,'Pre-Summary'!$Y$6:$AC$83, 3,FALSE),"")</f>
        <v/>
      </c>
      <c r="U1140" s="45" t="str">
        <f>IFERROR(VLOOKUP(B1140,'Pre-Summary'!$Y$6:$AC$83, 4,FALSE),"")</f>
        <v/>
      </c>
      <c r="V1140" t="str">
        <f>IFERROR(VLOOKUP(B1140,'Pre-Summary'!$Y$6:$AC$83, 5,FALSE),"")</f>
        <v/>
      </c>
      <c r="W1140" s="45" t="str">
        <f>IFERROR(VLOOKUP(B1140,'Pre-Summary'!$Y$6:$AD$83,6,FALSE),"")</f>
        <v/>
      </c>
      <c r="X1140" t="str">
        <f>IFERROR(VLOOKUP('Pre-Summary'!$DB$6:$DD$63,3,FALSE),"")</f>
        <v/>
      </c>
      <c r="Y1140" t="str">
        <f>IFERROR(VLOOKUP(B1140,'Pre-Summary'!$CR$6:$CT$36,3,FALSE),"")</f>
        <v/>
      </c>
      <c r="Z1140" s="45" t="str">
        <f>IFERROR(VLOOKUP(B1140,'Pre-Summary'!$BZ$6:$CB$63,2,FALSE),"")</f>
        <v/>
      </c>
      <c r="AA1140" s="45" t="str">
        <f>IFERROR(VLOOKUP(B1140,'Pre-Summary'!$CG$6:$CI$70,2,FALSE),"")</f>
        <v/>
      </c>
      <c r="AB1140" s="99">
        <f>IFERROR(VLOOKUP(B1140,'Pre-Summary'!$A$6:$P$178,9,FALSE),AB1141)</f>
        <v>0.45533763440924657</v>
      </c>
      <c r="AC1140" s="10">
        <f>IFERROR(VLOOKUP(Summary!B1140,'Pre-Summary'!$A$6:$P$184,5, FALSE)/100,AC1141)</f>
        <v>0.89807866666666669</v>
      </c>
      <c r="AD1140" s="10">
        <f>IFERROR(VLOOKUP(Summary!B1140,'Pre-Summary'!$A$6:$P$184,3, FALSE)/100,AD1141)</f>
        <v>1.5917000000000001E-2</v>
      </c>
      <c r="AE1140" s="10">
        <f>IFERROR(VLOOKUP(Summary!B1140,'Pre-Summary'!$A$6:$P$184,7, FALSE)/100,AE1141)</f>
        <v>8.6004666666666674E-2</v>
      </c>
      <c r="AF1140" s="99">
        <f t="shared" si="52"/>
        <v>7.2476091268919782E-3</v>
      </c>
      <c r="AG1140" s="99">
        <f t="shared" si="53"/>
        <v>3.9161161468155785E-2</v>
      </c>
      <c r="AH1140" s="10" t="str">
        <f>IFERROR(VLOOKUP(B1140,'Pre-Summary'!$AZ$6:$BE$65,3,FALSE),"")</f>
        <v/>
      </c>
      <c r="AI1140" s="10" t="str">
        <f>IFERROR(VLOOKUP(B1140,'Pre-Summary'!$AZ$6:$BE$65,5,FALSE),"")</f>
        <v/>
      </c>
      <c r="AJ1140" s="10" t="str">
        <f>IFERROR(VLOOKUP(B1140,'Pre-Summary'!$AZ$6:$BE$65,4,FALSE),"")</f>
        <v/>
      </c>
      <c r="AK1140" s="10" t="str">
        <f>IFERROR(VLOOKUP(B1140,'Pre-Summary'!$AZ$6:$BE$65,6,FALSE),"")</f>
        <v/>
      </c>
      <c r="AL1140" s="10" t="str">
        <f>IFERROR(VLOOKUP(B1140,'Pre-Summary'!$BG$6:$BL$44,3,FALSE),"")</f>
        <v/>
      </c>
      <c r="AM1140" s="10" t="str">
        <f>IFERROR(VLOOKUP(B1140,'Pre-Summary'!$BG$6:$BL$44,4,FALSE),"")</f>
        <v/>
      </c>
    </row>
    <row r="1141" spans="2:39" ht="15" customHeight="1" x14ac:dyDescent="0.3">
      <c r="B1141">
        <v>113.8</v>
      </c>
      <c r="C1141" t="str">
        <f>IFERROR(VLOOKUP(B1141,'Pre-Summary'!$DI$6:$DM$23,4,FALSE),"")</f>
        <v/>
      </c>
      <c r="D1141" s="10" t="str">
        <f>IFERROR(VLOOKUP(B1141,'Pre-Summary'!$AT$6:$AX$14,5,FALSE),D1140)</f>
        <v>DSMZ v4: dropped out methanol</v>
      </c>
      <c r="E1141" s="10" t="str">
        <f>IFERROR(VLOOKUP(B1141,'Pre-Summary'!$AT$6:$AX$15,4,FALSE),"")</f>
        <v/>
      </c>
      <c r="F1141">
        <f>IFERROR(VLOOKUP(B1141,'Pre-Summary'!$AL$6:$AQ$13,6,FALSE),F1140)</f>
        <v>5.9405263157894746E-2</v>
      </c>
      <c r="G1141" t="str">
        <f>IFERROR(VLOOKUP(B1141,'Pre-Summary'!$AE$6:$AJ$85,3,FALSE),"")</f>
        <v/>
      </c>
      <c r="H1141" t="str">
        <f>IFERROR(VLOOKUP(B1141,'Pre-Summary'!$AE$6:$AJ$85,4,FALSE),"")</f>
        <v/>
      </c>
      <c r="I1141" t="str">
        <f>IFERROR(VLOOKUP(B1141,'Pre-Summary'!$AE$6:$AJ$85,5,FALSE),"")</f>
        <v/>
      </c>
      <c r="J1141" s="45" t="str">
        <f>IFERROR(VLOOKUP(B1141,'Pre-Summary'!$AE$6:$AJ$85,6, FALSE),"")</f>
        <v/>
      </c>
      <c r="K1141" s="45" t="str">
        <f>IFERROR(VLOOKUP(B1141,'Pre-Summary'!$DE$6:$DG$61,3,FALSE),"")</f>
        <v/>
      </c>
      <c r="L1141" s="45" t="str">
        <f>IFERROR(VLOOKUP(B1141,'Pre-Summary'!$CU$6:$CW$36,3,FALSE),"")</f>
        <v/>
      </c>
      <c r="M1141" s="45" t="str">
        <f>IFERROR(VLOOKUP(B1141,'Pre-Summary'!$BW$6:$BY$58,2,FALSE),"")</f>
        <v/>
      </c>
      <c r="N1141" s="45" t="str">
        <f>IFERROR(VLOOKUP(B1141,'Pre-Summary'!$CD$6:$CF$64,2,FALSE),"")</f>
        <v/>
      </c>
      <c r="O1141" s="99">
        <f>IFERROR(VLOOKUP(B1141,'Pre-Summary'!$BO$6:$BQ$48,3, FALSE),O1140)</f>
        <v>1.2</v>
      </c>
      <c r="P1141" s="99">
        <f>IFERROR(VLOOKUP(B1141,'Pre-Summary'!$BS$6:$BU$35,3,FALSE),P1140)</f>
        <v>0.3</v>
      </c>
      <c r="Q1141" s="54">
        <f t="shared" si="51"/>
        <v>4</v>
      </c>
      <c r="R1141" s="53">
        <f>IFERROR(VLOOKUP(B1141,'Pre-Summary'!$BG$6:$BM$44,7,FALSE),R1142)</f>
        <v>7.6574939085447311E-2</v>
      </c>
      <c r="S1141" s="53">
        <f>IFERROR(VLOOKUP(B1141,'Pre-Summary'!$BG$6:$BM$44,6,FALSE),S1142)</f>
        <v>6.8761751275839902E-2</v>
      </c>
      <c r="T1141" s="45" t="str">
        <f>IFERROR(VLOOKUP(B1141,'Pre-Summary'!$Y$6:$AC$83, 3,FALSE),"")</f>
        <v/>
      </c>
      <c r="U1141" s="45" t="str">
        <f>IFERROR(VLOOKUP(B1141,'Pre-Summary'!$Y$6:$AC$83, 4,FALSE),"")</f>
        <v/>
      </c>
      <c r="V1141" t="str">
        <f>IFERROR(VLOOKUP(B1141,'Pre-Summary'!$Y$6:$AC$83, 5,FALSE),"")</f>
        <v/>
      </c>
      <c r="W1141" s="45" t="str">
        <f>IFERROR(VLOOKUP(B1141,'Pre-Summary'!$Y$6:$AD$83,6,FALSE),"")</f>
        <v/>
      </c>
      <c r="X1141" t="str">
        <f>IFERROR(VLOOKUP('Pre-Summary'!$DB$6:$DD$63,3,FALSE),"")</f>
        <v/>
      </c>
      <c r="Y1141" t="str">
        <f>IFERROR(VLOOKUP(B1141,'Pre-Summary'!$CR$6:$CT$36,3,FALSE),"")</f>
        <v/>
      </c>
      <c r="Z1141" s="45" t="str">
        <f>IFERROR(VLOOKUP(B1141,'Pre-Summary'!$BZ$6:$CB$63,2,FALSE),"")</f>
        <v/>
      </c>
      <c r="AA1141" s="45" t="str">
        <f>IFERROR(VLOOKUP(B1141,'Pre-Summary'!$CG$6:$CI$70,2,FALSE),"")</f>
        <v/>
      </c>
      <c r="AB1141" s="99">
        <f>IFERROR(VLOOKUP(B1141,'Pre-Summary'!$A$6:$P$178,9,FALSE),AB1142)</f>
        <v>0.45533763440924657</v>
      </c>
      <c r="AC1141" s="10">
        <f>IFERROR(VLOOKUP(Summary!B1141,'Pre-Summary'!$A$6:$P$184,5, FALSE)/100,AC1142)</f>
        <v>0.89807866666666669</v>
      </c>
      <c r="AD1141" s="10">
        <f>IFERROR(VLOOKUP(Summary!B1141,'Pre-Summary'!$A$6:$P$184,3, FALSE)/100,AD1142)</f>
        <v>1.5917000000000001E-2</v>
      </c>
      <c r="AE1141" s="10">
        <f>IFERROR(VLOOKUP(Summary!B1141,'Pre-Summary'!$A$6:$P$184,7, FALSE)/100,AE1142)</f>
        <v>8.6004666666666674E-2</v>
      </c>
      <c r="AF1141" s="99">
        <f t="shared" si="52"/>
        <v>7.2476091268919782E-3</v>
      </c>
      <c r="AG1141" s="99">
        <f t="shared" si="53"/>
        <v>3.9161161468155785E-2</v>
      </c>
      <c r="AH1141" s="10" t="str">
        <f>IFERROR(VLOOKUP(B1141,'Pre-Summary'!$AZ$6:$BE$65,3,FALSE),"")</f>
        <v/>
      </c>
      <c r="AI1141" s="10" t="str">
        <f>IFERROR(VLOOKUP(B1141,'Pre-Summary'!$AZ$6:$BE$65,5,FALSE),"")</f>
        <v/>
      </c>
      <c r="AJ1141" s="10" t="str">
        <f>IFERROR(VLOOKUP(B1141,'Pre-Summary'!$AZ$6:$BE$65,4,FALSE),"")</f>
        <v/>
      </c>
      <c r="AK1141" s="10" t="str">
        <f>IFERROR(VLOOKUP(B1141,'Pre-Summary'!$AZ$6:$BE$65,6,FALSE),"")</f>
        <v/>
      </c>
      <c r="AL1141" s="10" t="str">
        <f>IFERROR(VLOOKUP(B1141,'Pre-Summary'!$BG$6:$BL$44,3,FALSE),"")</f>
        <v/>
      </c>
      <c r="AM1141" s="10" t="str">
        <f>IFERROR(VLOOKUP(B1141,'Pre-Summary'!$BG$6:$BL$44,4,FALSE),"")</f>
        <v/>
      </c>
    </row>
    <row r="1142" spans="2:39" ht="15" customHeight="1" x14ac:dyDescent="0.3">
      <c r="B1142">
        <v>113.9</v>
      </c>
      <c r="C1142" t="str">
        <f>IFERROR(VLOOKUP(B1142,'Pre-Summary'!$DI$6:$DM$23,4,FALSE),"")</f>
        <v/>
      </c>
      <c r="D1142" s="10" t="str">
        <f>IFERROR(VLOOKUP(B1142,'Pre-Summary'!$AT$6:$AX$14,5,FALSE),D1141)</f>
        <v>DSMZ v4: dropped out methanol</v>
      </c>
      <c r="E1142" s="10" t="str">
        <f>IFERROR(VLOOKUP(B1142,'Pre-Summary'!$AT$6:$AX$15,4,FALSE),"")</f>
        <v/>
      </c>
      <c r="F1142">
        <f>IFERROR(VLOOKUP(B1142,'Pre-Summary'!$AL$6:$AQ$13,6,FALSE),F1141)</f>
        <v>5.9405263157894746E-2</v>
      </c>
      <c r="G1142" t="str">
        <f>IFERROR(VLOOKUP(B1142,'Pre-Summary'!$AE$6:$AJ$85,3,FALSE),"")</f>
        <v/>
      </c>
      <c r="H1142" t="str">
        <f>IFERROR(VLOOKUP(B1142,'Pre-Summary'!$AE$6:$AJ$85,4,FALSE),"")</f>
        <v/>
      </c>
      <c r="I1142" t="str">
        <f>IFERROR(VLOOKUP(B1142,'Pre-Summary'!$AE$6:$AJ$85,5,FALSE),"")</f>
        <v/>
      </c>
      <c r="J1142" s="45" t="str">
        <f>IFERROR(VLOOKUP(B1142,'Pre-Summary'!$AE$6:$AJ$85,6, FALSE),"")</f>
        <v/>
      </c>
      <c r="K1142" s="45" t="str">
        <f>IFERROR(VLOOKUP(B1142,'Pre-Summary'!$DE$6:$DG$61,3,FALSE),"")</f>
        <v/>
      </c>
      <c r="L1142" s="45" t="str">
        <f>IFERROR(VLOOKUP(B1142,'Pre-Summary'!$CU$6:$CW$36,3,FALSE),"")</f>
        <v/>
      </c>
      <c r="M1142" s="45" t="str">
        <f>IFERROR(VLOOKUP(B1142,'Pre-Summary'!$BW$6:$BY$58,2,FALSE),"")</f>
        <v/>
      </c>
      <c r="N1142" s="45" t="str">
        <f>IFERROR(VLOOKUP(B1142,'Pre-Summary'!$CD$6:$CF$64,2,FALSE),"")</f>
        <v/>
      </c>
      <c r="O1142" s="99">
        <f>IFERROR(VLOOKUP(B1142,'Pre-Summary'!$BO$6:$BQ$48,3, FALSE),O1141)</f>
        <v>1.2</v>
      </c>
      <c r="P1142" s="99">
        <f>IFERROR(VLOOKUP(B1142,'Pre-Summary'!$BS$6:$BU$35,3,FALSE),P1141)</f>
        <v>0.3</v>
      </c>
      <c r="Q1142" s="54">
        <f t="shared" si="51"/>
        <v>4</v>
      </c>
      <c r="R1142" s="53">
        <f>IFERROR(VLOOKUP(B1142,'Pre-Summary'!$BG$6:$BM$44,7,FALSE),R1143)</f>
        <v>7.6574939085447311E-2</v>
      </c>
      <c r="S1142" s="53">
        <f>IFERROR(VLOOKUP(B1142,'Pre-Summary'!$BG$6:$BM$44,6,FALSE),S1143)</f>
        <v>6.8761751275839902E-2</v>
      </c>
      <c r="T1142" s="45" t="str">
        <f>IFERROR(VLOOKUP(B1142,'Pre-Summary'!$Y$6:$AC$83, 3,FALSE),"")</f>
        <v/>
      </c>
      <c r="U1142" s="45" t="str">
        <f>IFERROR(VLOOKUP(B1142,'Pre-Summary'!$Y$6:$AC$83, 4,FALSE),"")</f>
        <v/>
      </c>
      <c r="V1142" t="str">
        <f>IFERROR(VLOOKUP(B1142,'Pre-Summary'!$Y$6:$AC$83, 5,FALSE),"")</f>
        <v/>
      </c>
      <c r="W1142" s="45" t="str">
        <f>IFERROR(VLOOKUP(B1142,'Pre-Summary'!$Y$6:$AD$83,6,FALSE),"")</f>
        <v/>
      </c>
      <c r="X1142" t="str">
        <f>IFERROR(VLOOKUP('Pre-Summary'!$DB$6:$DD$63,3,FALSE),"")</f>
        <v/>
      </c>
      <c r="Y1142" t="str">
        <f>IFERROR(VLOOKUP(B1142,'Pre-Summary'!$CR$6:$CT$36,3,FALSE),"")</f>
        <v/>
      </c>
      <c r="Z1142" s="45" t="str">
        <f>IFERROR(VLOOKUP(B1142,'Pre-Summary'!$BZ$6:$CB$63,2,FALSE),"")</f>
        <v/>
      </c>
      <c r="AA1142" s="45" t="str">
        <f>IFERROR(VLOOKUP(B1142,'Pre-Summary'!$CG$6:$CI$70,2,FALSE),"")</f>
        <v/>
      </c>
      <c r="AB1142" s="99">
        <f>IFERROR(VLOOKUP(B1142,'Pre-Summary'!$A$6:$P$178,9,FALSE),AB1143)</f>
        <v>0.45533763440924657</v>
      </c>
      <c r="AC1142" s="10">
        <f>IFERROR(VLOOKUP(Summary!B1142,'Pre-Summary'!$A$6:$P$184,5, FALSE)/100,AC1143)</f>
        <v>0.89807866666666669</v>
      </c>
      <c r="AD1142" s="10">
        <f>IFERROR(VLOOKUP(Summary!B1142,'Pre-Summary'!$A$6:$P$184,3, FALSE)/100,AD1143)</f>
        <v>1.5917000000000001E-2</v>
      </c>
      <c r="AE1142" s="10">
        <f>IFERROR(VLOOKUP(Summary!B1142,'Pre-Summary'!$A$6:$P$184,7, FALSE)/100,AE1143)</f>
        <v>8.6004666666666674E-2</v>
      </c>
      <c r="AF1142" s="99">
        <f t="shared" si="52"/>
        <v>7.2476091268919782E-3</v>
      </c>
      <c r="AG1142" s="99">
        <f t="shared" si="53"/>
        <v>3.9161161468155785E-2</v>
      </c>
      <c r="AH1142" s="10" t="str">
        <f>IFERROR(VLOOKUP(B1142,'Pre-Summary'!$AZ$6:$BE$65,3,FALSE),"")</f>
        <v/>
      </c>
      <c r="AI1142" s="10" t="str">
        <f>IFERROR(VLOOKUP(B1142,'Pre-Summary'!$AZ$6:$BE$65,5,FALSE),"")</f>
        <v/>
      </c>
      <c r="AJ1142" s="10" t="str">
        <f>IFERROR(VLOOKUP(B1142,'Pre-Summary'!$AZ$6:$BE$65,4,FALSE),"")</f>
        <v/>
      </c>
      <c r="AK1142" s="10" t="str">
        <f>IFERROR(VLOOKUP(B1142,'Pre-Summary'!$AZ$6:$BE$65,6,FALSE),"")</f>
        <v/>
      </c>
      <c r="AL1142" s="10" t="str">
        <f>IFERROR(VLOOKUP(B1142,'Pre-Summary'!$BG$6:$BL$44,3,FALSE),"")</f>
        <v/>
      </c>
      <c r="AM1142" s="10" t="str">
        <f>IFERROR(VLOOKUP(B1142,'Pre-Summary'!$BG$6:$BL$44,4,FALSE),"")</f>
        <v/>
      </c>
    </row>
    <row r="1143" spans="2:39" ht="15" customHeight="1" x14ac:dyDescent="0.3">
      <c r="B1143">
        <v>114</v>
      </c>
      <c r="C1143" t="str">
        <f>IFERROR(VLOOKUP(B1143,'Pre-Summary'!$DI$6:$DM$23,4,FALSE),"")</f>
        <v/>
      </c>
      <c r="D1143" s="10" t="str">
        <f>IFERROR(VLOOKUP(B1143,'Pre-Summary'!$AT$6:$AX$14,5,FALSE),D1142)</f>
        <v>DSMZ v4: dropped out methanol</v>
      </c>
      <c r="E1143" s="10" t="str">
        <f>IFERROR(VLOOKUP(B1143,'Pre-Summary'!$AT$6:$AX$15,4,FALSE),"")</f>
        <v/>
      </c>
      <c r="F1143">
        <f>IFERROR(VLOOKUP(B1143,'Pre-Summary'!$AL$6:$AQ$13,6,FALSE),F1142)</f>
        <v>5.9405263157894746E-2</v>
      </c>
      <c r="G1143" t="str">
        <f>IFERROR(VLOOKUP(B1143,'Pre-Summary'!$AE$6:$AJ$85,3,FALSE),"")</f>
        <v/>
      </c>
      <c r="H1143" t="str">
        <f>IFERROR(VLOOKUP(B1143,'Pre-Summary'!$AE$6:$AJ$85,4,FALSE),"")</f>
        <v/>
      </c>
      <c r="I1143" t="str">
        <f>IFERROR(VLOOKUP(B1143,'Pre-Summary'!$AE$6:$AJ$85,5,FALSE),"")</f>
        <v/>
      </c>
      <c r="J1143" s="45" t="str">
        <f>IFERROR(VLOOKUP(B1143,'Pre-Summary'!$AE$6:$AJ$85,6, FALSE),"")</f>
        <v/>
      </c>
      <c r="K1143" s="45" t="str">
        <f>IFERROR(VLOOKUP(B1143,'Pre-Summary'!$DE$6:$DG$61,3,FALSE),"")</f>
        <v/>
      </c>
      <c r="L1143" s="45" t="str">
        <f>IFERROR(VLOOKUP(B1143,'Pre-Summary'!$CU$6:$CW$36,3,FALSE),"")</f>
        <v/>
      </c>
      <c r="M1143" s="45" t="str">
        <f>IFERROR(VLOOKUP(B1143,'Pre-Summary'!$BW$6:$BY$58,2,FALSE),"")</f>
        <v/>
      </c>
      <c r="N1143" s="45" t="str">
        <f>IFERROR(VLOOKUP(B1143,'Pre-Summary'!$CD$6:$CF$64,2,FALSE),"")</f>
        <v/>
      </c>
      <c r="O1143" s="99">
        <f>IFERROR(VLOOKUP(B1143,'Pre-Summary'!$BO$6:$BQ$48,3, FALSE),O1142)</f>
        <v>1.2</v>
      </c>
      <c r="P1143" s="99">
        <f>IFERROR(VLOOKUP(B1143,'Pre-Summary'!$BS$6:$BU$35,3,FALSE),P1142)</f>
        <v>0.3</v>
      </c>
      <c r="Q1143" s="54">
        <f t="shared" si="51"/>
        <v>4</v>
      </c>
      <c r="R1143" s="53">
        <f>IFERROR(VLOOKUP(B1143,'Pre-Summary'!$BG$6:$BM$44,7,FALSE),R1144)</f>
        <v>7.6574939085447311E-2</v>
      </c>
      <c r="S1143" s="53">
        <f>IFERROR(VLOOKUP(B1143,'Pre-Summary'!$BG$6:$BM$44,6,FALSE),S1144)</f>
        <v>6.8761751275839902E-2</v>
      </c>
      <c r="T1143" s="45" t="str">
        <f>IFERROR(VLOOKUP(B1143,'Pre-Summary'!$Y$6:$AC$83, 3,FALSE),"")</f>
        <v/>
      </c>
      <c r="U1143" s="45" t="str">
        <f>IFERROR(VLOOKUP(B1143,'Pre-Summary'!$Y$6:$AC$83, 4,FALSE),"")</f>
        <v/>
      </c>
      <c r="V1143" t="str">
        <f>IFERROR(VLOOKUP(B1143,'Pre-Summary'!$Y$6:$AC$83, 5,FALSE),"")</f>
        <v/>
      </c>
      <c r="W1143" s="45" t="str">
        <f>IFERROR(VLOOKUP(B1143,'Pre-Summary'!$Y$6:$AD$83,6,FALSE),"")</f>
        <v/>
      </c>
      <c r="X1143" t="str">
        <f>IFERROR(VLOOKUP('Pre-Summary'!$DB$6:$DD$63,3,FALSE),"")</f>
        <v/>
      </c>
      <c r="Y1143" t="str">
        <f>IFERROR(VLOOKUP(B1143,'Pre-Summary'!$CR$6:$CT$36,3,FALSE),"")</f>
        <v/>
      </c>
      <c r="Z1143" s="45" t="str">
        <f>IFERROR(VLOOKUP(B1143,'Pre-Summary'!$BZ$6:$CB$63,2,FALSE),"")</f>
        <v/>
      </c>
      <c r="AA1143" s="45" t="str">
        <f>IFERROR(VLOOKUP(B1143,'Pre-Summary'!$CG$6:$CI$70,2,FALSE),"")</f>
        <v/>
      </c>
      <c r="AB1143" s="99">
        <f>IFERROR(VLOOKUP(B1143,'Pre-Summary'!$A$6:$P$178,9,FALSE),AB1144)</f>
        <v>0.45533763440924657</v>
      </c>
      <c r="AC1143" s="10">
        <f>IFERROR(VLOOKUP(Summary!B1143,'Pre-Summary'!$A$6:$P$184,5, FALSE)/100,AC1144)</f>
        <v>0.89807866666666669</v>
      </c>
      <c r="AD1143" s="10">
        <f>IFERROR(VLOOKUP(Summary!B1143,'Pre-Summary'!$A$6:$P$184,3, FALSE)/100,AD1144)</f>
        <v>1.5917000000000001E-2</v>
      </c>
      <c r="AE1143" s="10">
        <f>IFERROR(VLOOKUP(Summary!B1143,'Pre-Summary'!$A$6:$P$184,7, FALSE)/100,AE1144)</f>
        <v>8.6004666666666674E-2</v>
      </c>
      <c r="AF1143" s="99">
        <f t="shared" si="52"/>
        <v>7.2476091268919782E-3</v>
      </c>
      <c r="AG1143" s="99">
        <f t="shared" si="53"/>
        <v>3.9161161468155785E-2</v>
      </c>
      <c r="AH1143" s="10" t="str">
        <f>IFERROR(VLOOKUP(B1143,'Pre-Summary'!$AZ$6:$BE$65,3,FALSE),"")</f>
        <v/>
      </c>
      <c r="AI1143" s="10" t="str">
        <f>IFERROR(VLOOKUP(B1143,'Pre-Summary'!$AZ$6:$BE$65,5,FALSE),"")</f>
        <v/>
      </c>
      <c r="AJ1143" s="10" t="str">
        <f>IFERROR(VLOOKUP(B1143,'Pre-Summary'!$AZ$6:$BE$65,4,FALSE),"")</f>
        <v/>
      </c>
      <c r="AK1143" s="10" t="str">
        <f>IFERROR(VLOOKUP(B1143,'Pre-Summary'!$AZ$6:$BE$65,6,FALSE),"")</f>
        <v/>
      </c>
      <c r="AL1143" s="10" t="str">
        <f>IFERROR(VLOOKUP(B1143,'Pre-Summary'!$BG$6:$BL$44,3,FALSE),"")</f>
        <v/>
      </c>
      <c r="AM1143" s="10" t="str">
        <f>IFERROR(VLOOKUP(B1143,'Pre-Summary'!$BG$6:$BL$44,4,FALSE),"")</f>
        <v/>
      </c>
    </row>
    <row r="1144" spans="2:39" ht="15" customHeight="1" x14ac:dyDescent="0.3">
      <c r="B1144">
        <v>114.1</v>
      </c>
      <c r="C1144" t="str">
        <f>IFERROR(VLOOKUP(B1144,'Pre-Summary'!$DI$6:$DM$23,4,FALSE),"")</f>
        <v/>
      </c>
      <c r="D1144" s="10" t="str">
        <f>IFERROR(VLOOKUP(B1144,'Pre-Summary'!$AT$6:$AX$14,5,FALSE),D1143)</f>
        <v>DSMZ v4: dropped out methanol</v>
      </c>
      <c r="E1144" s="10" t="str">
        <f>IFERROR(VLOOKUP(B1144,'Pre-Summary'!$AT$6:$AX$15,4,FALSE),"")</f>
        <v/>
      </c>
      <c r="F1144">
        <f>IFERROR(VLOOKUP(B1144,'Pre-Summary'!$AL$6:$AQ$13,6,FALSE),F1143)</f>
        <v>5.9405263157894746E-2</v>
      </c>
      <c r="G1144" t="str">
        <f>IFERROR(VLOOKUP(B1144,'Pre-Summary'!$AE$6:$AJ$85,3,FALSE),"")</f>
        <v/>
      </c>
      <c r="H1144" t="str">
        <f>IFERROR(VLOOKUP(B1144,'Pre-Summary'!$AE$6:$AJ$85,4,FALSE),"")</f>
        <v/>
      </c>
      <c r="I1144" t="str">
        <f>IFERROR(VLOOKUP(B1144,'Pre-Summary'!$AE$6:$AJ$85,5,FALSE),"")</f>
        <v/>
      </c>
      <c r="J1144" s="45" t="str">
        <f>IFERROR(VLOOKUP(B1144,'Pre-Summary'!$AE$6:$AJ$85,6, FALSE),"")</f>
        <v/>
      </c>
      <c r="K1144" s="45" t="str">
        <f>IFERROR(VLOOKUP(B1144,'Pre-Summary'!$DE$6:$DG$61,3,FALSE),"")</f>
        <v/>
      </c>
      <c r="L1144" s="45" t="str">
        <f>IFERROR(VLOOKUP(B1144,'Pre-Summary'!$CU$6:$CW$36,3,FALSE),"")</f>
        <v/>
      </c>
      <c r="M1144" s="45" t="str">
        <f>IFERROR(VLOOKUP(B1144,'Pre-Summary'!$BW$6:$BY$58,2,FALSE),"")</f>
        <v/>
      </c>
      <c r="N1144" s="45" t="str">
        <f>IFERROR(VLOOKUP(B1144,'Pre-Summary'!$CD$6:$CF$64,2,FALSE),"")</f>
        <v/>
      </c>
      <c r="O1144" s="99">
        <f>IFERROR(VLOOKUP(B1144,'Pre-Summary'!$BO$6:$BQ$48,3, FALSE),O1143)</f>
        <v>1.2</v>
      </c>
      <c r="P1144" s="99">
        <f>IFERROR(VLOOKUP(B1144,'Pre-Summary'!$BS$6:$BU$35,3,FALSE),P1143)</f>
        <v>0.3</v>
      </c>
      <c r="Q1144" s="54">
        <f t="shared" si="51"/>
        <v>4</v>
      </c>
      <c r="R1144" s="53">
        <f>IFERROR(VLOOKUP(B1144,'Pre-Summary'!$BG$6:$BM$44,7,FALSE),R1145)</f>
        <v>7.6574939085447311E-2</v>
      </c>
      <c r="S1144" s="53">
        <f>IFERROR(VLOOKUP(B1144,'Pre-Summary'!$BG$6:$BM$44,6,FALSE),S1145)</f>
        <v>6.8761751275839902E-2</v>
      </c>
      <c r="T1144" s="45" t="str">
        <f>IFERROR(VLOOKUP(B1144,'Pre-Summary'!$Y$6:$AC$83, 3,FALSE),"")</f>
        <v/>
      </c>
      <c r="U1144" s="45" t="str">
        <f>IFERROR(VLOOKUP(B1144,'Pre-Summary'!$Y$6:$AC$83, 4,FALSE),"")</f>
        <v/>
      </c>
      <c r="V1144" t="str">
        <f>IFERROR(VLOOKUP(B1144,'Pre-Summary'!$Y$6:$AC$83, 5,FALSE),"")</f>
        <v/>
      </c>
      <c r="W1144" s="45" t="str">
        <f>IFERROR(VLOOKUP(B1144,'Pre-Summary'!$Y$6:$AD$83,6,FALSE),"")</f>
        <v/>
      </c>
      <c r="X1144" t="str">
        <f>IFERROR(VLOOKUP('Pre-Summary'!$DB$6:$DD$63,3,FALSE),"")</f>
        <v/>
      </c>
      <c r="Y1144" t="str">
        <f>IFERROR(VLOOKUP(B1144,'Pre-Summary'!$CR$6:$CT$36,3,FALSE),"")</f>
        <v/>
      </c>
      <c r="Z1144" s="45" t="str">
        <f>IFERROR(VLOOKUP(B1144,'Pre-Summary'!$BZ$6:$CB$63,2,FALSE),"")</f>
        <v/>
      </c>
      <c r="AA1144" s="45" t="str">
        <f>IFERROR(VLOOKUP(B1144,'Pre-Summary'!$CG$6:$CI$70,2,FALSE),"")</f>
        <v/>
      </c>
      <c r="AB1144" s="99">
        <f>IFERROR(VLOOKUP(B1144,'Pre-Summary'!$A$6:$P$178,9,FALSE),AB1145)</f>
        <v>0.45533763440924657</v>
      </c>
      <c r="AC1144" s="10">
        <f>IFERROR(VLOOKUP(Summary!B1144,'Pre-Summary'!$A$6:$P$184,5, FALSE)/100,AC1145)</f>
        <v>0.89807866666666669</v>
      </c>
      <c r="AD1144" s="10">
        <f>IFERROR(VLOOKUP(Summary!B1144,'Pre-Summary'!$A$6:$P$184,3, FALSE)/100,AD1145)</f>
        <v>1.5917000000000001E-2</v>
      </c>
      <c r="AE1144" s="10">
        <f>IFERROR(VLOOKUP(Summary!B1144,'Pre-Summary'!$A$6:$P$184,7, FALSE)/100,AE1145)</f>
        <v>8.6004666666666674E-2</v>
      </c>
      <c r="AF1144" s="99">
        <f t="shared" si="52"/>
        <v>7.2476091268919782E-3</v>
      </c>
      <c r="AG1144" s="99">
        <f t="shared" si="53"/>
        <v>3.9161161468155785E-2</v>
      </c>
      <c r="AH1144" s="10" t="str">
        <f>IFERROR(VLOOKUP(B1144,'Pre-Summary'!$AZ$6:$BE$65,3,FALSE),"")</f>
        <v/>
      </c>
      <c r="AI1144" s="10" t="str">
        <f>IFERROR(VLOOKUP(B1144,'Pre-Summary'!$AZ$6:$BE$65,5,FALSE),"")</f>
        <v/>
      </c>
      <c r="AJ1144" s="10" t="str">
        <f>IFERROR(VLOOKUP(B1144,'Pre-Summary'!$AZ$6:$BE$65,4,FALSE),"")</f>
        <v/>
      </c>
      <c r="AK1144" s="10" t="str">
        <f>IFERROR(VLOOKUP(B1144,'Pre-Summary'!$AZ$6:$BE$65,6,FALSE),"")</f>
        <v/>
      </c>
      <c r="AL1144" s="10" t="str">
        <f>IFERROR(VLOOKUP(B1144,'Pre-Summary'!$BG$6:$BL$44,3,FALSE),"")</f>
        <v/>
      </c>
      <c r="AM1144" s="10" t="str">
        <f>IFERROR(VLOOKUP(B1144,'Pre-Summary'!$BG$6:$BL$44,4,FALSE),"")</f>
        <v/>
      </c>
    </row>
    <row r="1145" spans="2:39" ht="15" customHeight="1" x14ac:dyDescent="0.3">
      <c r="B1145">
        <v>114.2</v>
      </c>
      <c r="C1145" t="str">
        <f>IFERROR(VLOOKUP(B1145,'Pre-Summary'!$DI$6:$DM$23,4,FALSE),"")</f>
        <v/>
      </c>
      <c r="D1145" s="10" t="str">
        <f>IFERROR(VLOOKUP(B1145,'Pre-Summary'!$AT$6:$AX$14,5,FALSE),D1144)</f>
        <v>DSMZ v4: dropped out methanol</v>
      </c>
      <c r="E1145" s="10" t="str">
        <f>IFERROR(VLOOKUP(B1145,'Pre-Summary'!$AT$6:$AX$15,4,FALSE),"")</f>
        <v/>
      </c>
      <c r="F1145">
        <f>IFERROR(VLOOKUP(B1145,'Pre-Summary'!$AL$6:$AQ$13,6,FALSE),F1144)</f>
        <v>5.9405263157894746E-2</v>
      </c>
      <c r="G1145" t="str">
        <f>IFERROR(VLOOKUP(B1145,'Pre-Summary'!$AE$6:$AJ$85,3,FALSE),"")</f>
        <v/>
      </c>
      <c r="H1145" t="str">
        <f>IFERROR(VLOOKUP(B1145,'Pre-Summary'!$AE$6:$AJ$85,4,FALSE),"")</f>
        <v/>
      </c>
      <c r="I1145" t="str">
        <f>IFERROR(VLOOKUP(B1145,'Pre-Summary'!$AE$6:$AJ$85,5,FALSE),"")</f>
        <v/>
      </c>
      <c r="J1145" s="45" t="str">
        <f>IFERROR(VLOOKUP(B1145,'Pre-Summary'!$AE$6:$AJ$85,6, FALSE),"")</f>
        <v/>
      </c>
      <c r="K1145" s="45" t="str">
        <f>IFERROR(VLOOKUP(B1145,'Pre-Summary'!$DE$6:$DG$61,3,FALSE),"")</f>
        <v/>
      </c>
      <c r="L1145" s="45" t="str">
        <f>IFERROR(VLOOKUP(B1145,'Pre-Summary'!$CU$6:$CW$36,3,FALSE),"")</f>
        <v/>
      </c>
      <c r="M1145" s="45" t="str">
        <f>IFERROR(VLOOKUP(B1145,'Pre-Summary'!$BW$6:$BY$58,2,FALSE),"")</f>
        <v/>
      </c>
      <c r="N1145" s="45" t="str">
        <f>IFERROR(VLOOKUP(B1145,'Pre-Summary'!$CD$6:$CF$64,2,FALSE),"")</f>
        <v/>
      </c>
      <c r="O1145" s="99">
        <f>IFERROR(VLOOKUP(B1145,'Pre-Summary'!$BO$6:$BQ$48,3, FALSE),O1144)</f>
        <v>1.2</v>
      </c>
      <c r="P1145" s="99">
        <f>IFERROR(VLOOKUP(B1145,'Pre-Summary'!$BS$6:$BU$35,3,FALSE),P1144)</f>
        <v>0.3</v>
      </c>
      <c r="Q1145" s="54">
        <f t="shared" si="51"/>
        <v>4</v>
      </c>
      <c r="R1145" s="53">
        <f>IFERROR(VLOOKUP(B1145,'Pre-Summary'!$BG$6:$BM$44,7,FALSE),R1146)</f>
        <v>7.6574939085447311E-2</v>
      </c>
      <c r="S1145" s="53">
        <f>IFERROR(VLOOKUP(B1145,'Pre-Summary'!$BG$6:$BM$44,6,FALSE),S1146)</f>
        <v>6.8761751275839902E-2</v>
      </c>
      <c r="T1145" s="45" t="str">
        <f>IFERROR(VLOOKUP(B1145,'Pre-Summary'!$Y$6:$AC$83, 3,FALSE),"")</f>
        <v/>
      </c>
      <c r="U1145" s="45" t="str">
        <f>IFERROR(VLOOKUP(B1145,'Pre-Summary'!$Y$6:$AC$83, 4,FALSE),"")</f>
        <v/>
      </c>
      <c r="V1145" t="str">
        <f>IFERROR(VLOOKUP(B1145,'Pre-Summary'!$Y$6:$AC$83, 5,FALSE),"")</f>
        <v/>
      </c>
      <c r="W1145" s="45" t="str">
        <f>IFERROR(VLOOKUP(B1145,'Pre-Summary'!$Y$6:$AD$83,6,FALSE),"")</f>
        <v/>
      </c>
      <c r="X1145" t="str">
        <f>IFERROR(VLOOKUP('Pre-Summary'!$DB$6:$DD$63,3,FALSE),"")</f>
        <v/>
      </c>
      <c r="Y1145" t="str">
        <f>IFERROR(VLOOKUP(B1145,'Pre-Summary'!$CR$6:$CT$36,3,FALSE),"")</f>
        <v/>
      </c>
      <c r="Z1145" s="45" t="str">
        <f>IFERROR(VLOOKUP(B1145,'Pre-Summary'!$BZ$6:$CB$63,2,FALSE),"")</f>
        <v/>
      </c>
      <c r="AA1145" s="45" t="str">
        <f>IFERROR(VLOOKUP(B1145,'Pre-Summary'!$CG$6:$CI$70,2,FALSE),"")</f>
        <v/>
      </c>
      <c r="AB1145" s="99">
        <f>IFERROR(VLOOKUP(B1145,'Pre-Summary'!$A$6:$P$178,9,FALSE),AB1146)</f>
        <v>0.45533763440924657</v>
      </c>
      <c r="AC1145" s="10">
        <f>IFERROR(VLOOKUP(Summary!B1145,'Pre-Summary'!$A$6:$P$184,5, FALSE)/100,AC1146)</f>
        <v>0.89807866666666669</v>
      </c>
      <c r="AD1145" s="10">
        <f>IFERROR(VLOOKUP(Summary!B1145,'Pre-Summary'!$A$6:$P$184,3, FALSE)/100,AD1146)</f>
        <v>1.5917000000000001E-2</v>
      </c>
      <c r="AE1145" s="10">
        <f>IFERROR(VLOOKUP(Summary!B1145,'Pre-Summary'!$A$6:$P$184,7, FALSE)/100,AE1146)</f>
        <v>8.6004666666666674E-2</v>
      </c>
      <c r="AF1145" s="99">
        <f t="shared" si="52"/>
        <v>7.2476091268919782E-3</v>
      </c>
      <c r="AG1145" s="99">
        <f t="shared" si="53"/>
        <v>3.9161161468155785E-2</v>
      </c>
      <c r="AH1145" s="10" t="str">
        <f>IFERROR(VLOOKUP(B1145,'Pre-Summary'!$AZ$6:$BE$65,3,FALSE),"")</f>
        <v/>
      </c>
      <c r="AI1145" s="10" t="str">
        <f>IFERROR(VLOOKUP(B1145,'Pre-Summary'!$AZ$6:$BE$65,5,FALSE),"")</f>
        <v/>
      </c>
      <c r="AJ1145" s="10" t="str">
        <f>IFERROR(VLOOKUP(B1145,'Pre-Summary'!$AZ$6:$BE$65,4,FALSE),"")</f>
        <v/>
      </c>
      <c r="AK1145" s="10" t="str">
        <f>IFERROR(VLOOKUP(B1145,'Pre-Summary'!$AZ$6:$BE$65,6,FALSE),"")</f>
        <v/>
      </c>
      <c r="AL1145" s="10" t="str">
        <f>IFERROR(VLOOKUP(B1145,'Pre-Summary'!$BG$6:$BL$44,3,FALSE),"")</f>
        <v/>
      </c>
      <c r="AM1145" s="10" t="str">
        <f>IFERROR(VLOOKUP(B1145,'Pre-Summary'!$BG$6:$BL$44,4,FALSE),"")</f>
        <v/>
      </c>
    </row>
    <row r="1146" spans="2:39" ht="15" customHeight="1" x14ac:dyDescent="0.3">
      <c r="B1146">
        <v>114.3</v>
      </c>
      <c r="C1146" t="str">
        <f>IFERROR(VLOOKUP(B1146,'Pre-Summary'!$DI$6:$DM$23,4,FALSE),"")</f>
        <v/>
      </c>
      <c r="D1146" s="10" t="str">
        <f>IFERROR(VLOOKUP(B1146,'Pre-Summary'!$AT$6:$AX$14,5,FALSE),D1145)</f>
        <v>DSMZ v4: dropped out methanol</v>
      </c>
      <c r="E1146" s="10" t="str">
        <f>IFERROR(VLOOKUP(B1146,'Pre-Summary'!$AT$6:$AX$15,4,FALSE),"")</f>
        <v/>
      </c>
      <c r="F1146">
        <f>IFERROR(VLOOKUP(B1146,'Pre-Summary'!$AL$6:$AQ$13,6,FALSE),F1145)</f>
        <v>5.9405263157894746E-2</v>
      </c>
      <c r="G1146" t="str">
        <f>IFERROR(VLOOKUP(B1146,'Pre-Summary'!$AE$6:$AJ$85,3,FALSE),"")</f>
        <v/>
      </c>
      <c r="H1146" t="str">
        <f>IFERROR(VLOOKUP(B1146,'Pre-Summary'!$AE$6:$AJ$85,4,FALSE),"")</f>
        <v/>
      </c>
      <c r="I1146" t="str">
        <f>IFERROR(VLOOKUP(B1146,'Pre-Summary'!$AE$6:$AJ$85,5,FALSE),"")</f>
        <v/>
      </c>
      <c r="J1146" s="45" t="str">
        <f>IFERROR(VLOOKUP(B1146,'Pre-Summary'!$AE$6:$AJ$85,6, FALSE),"")</f>
        <v/>
      </c>
      <c r="K1146" s="45" t="str">
        <f>IFERROR(VLOOKUP(B1146,'Pre-Summary'!$DE$6:$DG$61,3,FALSE),"")</f>
        <v/>
      </c>
      <c r="L1146" s="45" t="str">
        <f>IFERROR(VLOOKUP(B1146,'Pre-Summary'!$CU$6:$CW$36,3,FALSE),"")</f>
        <v/>
      </c>
      <c r="M1146" s="45" t="str">
        <f>IFERROR(VLOOKUP(B1146,'Pre-Summary'!$BW$6:$BY$58,2,FALSE),"")</f>
        <v/>
      </c>
      <c r="N1146" s="45" t="str">
        <f>IFERROR(VLOOKUP(B1146,'Pre-Summary'!$CD$6:$CF$64,2,FALSE),"")</f>
        <v/>
      </c>
      <c r="O1146" s="99">
        <f>IFERROR(VLOOKUP(B1146,'Pre-Summary'!$BO$6:$BQ$48,3, FALSE),O1145)</f>
        <v>1.2</v>
      </c>
      <c r="P1146" s="99">
        <f>IFERROR(VLOOKUP(B1146,'Pre-Summary'!$BS$6:$BU$35,3,FALSE),P1145)</f>
        <v>0.3</v>
      </c>
      <c r="Q1146" s="54">
        <f t="shared" si="51"/>
        <v>4</v>
      </c>
      <c r="R1146" s="53">
        <f>IFERROR(VLOOKUP(B1146,'Pre-Summary'!$BG$6:$BM$44,7,FALSE),R1147)</f>
        <v>7.6574939085447311E-2</v>
      </c>
      <c r="S1146" s="53">
        <f>IFERROR(VLOOKUP(B1146,'Pre-Summary'!$BG$6:$BM$44,6,FALSE),S1147)</f>
        <v>6.8761751275839902E-2</v>
      </c>
      <c r="T1146" s="45" t="str">
        <f>IFERROR(VLOOKUP(B1146,'Pre-Summary'!$Y$6:$AC$83, 3,FALSE),"")</f>
        <v/>
      </c>
      <c r="U1146" s="45" t="str">
        <f>IFERROR(VLOOKUP(B1146,'Pre-Summary'!$Y$6:$AC$83, 4,FALSE),"")</f>
        <v/>
      </c>
      <c r="V1146" t="str">
        <f>IFERROR(VLOOKUP(B1146,'Pre-Summary'!$Y$6:$AC$83, 5,FALSE),"")</f>
        <v/>
      </c>
      <c r="W1146" s="45" t="str">
        <f>IFERROR(VLOOKUP(B1146,'Pre-Summary'!$Y$6:$AD$83,6,FALSE),"")</f>
        <v/>
      </c>
      <c r="X1146" t="str">
        <f>IFERROR(VLOOKUP('Pre-Summary'!$DB$6:$DD$63,3,FALSE),"")</f>
        <v/>
      </c>
      <c r="Y1146" t="str">
        <f>IFERROR(VLOOKUP(B1146,'Pre-Summary'!$CR$6:$CT$36,3,FALSE),"")</f>
        <v/>
      </c>
      <c r="Z1146" s="45" t="str">
        <f>IFERROR(VLOOKUP(B1146,'Pre-Summary'!$BZ$6:$CB$63,2,FALSE),"")</f>
        <v/>
      </c>
      <c r="AA1146" s="45" t="str">
        <f>IFERROR(VLOOKUP(B1146,'Pre-Summary'!$CG$6:$CI$70,2,FALSE),"")</f>
        <v/>
      </c>
      <c r="AB1146" s="99">
        <f>IFERROR(VLOOKUP(B1146,'Pre-Summary'!$A$6:$P$178,9,FALSE),AB1147)</f>
        <v>0.45533763440924657</v>
      </c>
      <c r="AC1146" s="10">
        <f>IFERROR(VLOOKUP(Summary!B1146,'Pre-Summary'!$A$6:$P$184,5, FALSE)/100,AC1147)</f>
        <v>0.89807866666666669</v>
      </c>
      <c r="AD1146" s="10">
        <f>IFERROR(VLOOKUP(Summary!B1146,'Pre-Summary'!$A$6:$P$184,3, FALSE)/100,AD1147)</f>
        <v>1.5917000000000001E-2</v>
      </c>
      <c r="AE1146" s="10">
        <f>IFERROR(VLOOKUP(Summary!B1146,'Pre-Summary'!$A$6:$P$184,7, FALSE)/100,AE1147)</f>
        <v>8.6004666666666674E-2</v>
      </c>
      <c r="AF1146" s="99">
        <f t="shared" si="52"/>
        <v>7.2476091268919782E-3</v>
      </c>
      <c r="AG1146" s="99">
        <f t="shared" si="53"/>
        <v>3.9161161468155785E-2</v>
      </c>
      <c r="AH1146" s="10" t="str">
        <f>IFERROR(VLOOKUP(B1146,'Pre-Summary'!$AZ$6:$BE$65,3,FALSE),"")</f>
        <v/>
      </c>
      <c r="AI1146" s="10" t="str">
        <f>IFERROR(VLOOKUP(B1146,'Pre-Summary'!$AZ$6:$BE$65,5,FALSE),"")</f>
        <v/>
      </c>
      <c r="AJ1146" s="10" t="str">
        <f>IFERROR(VLOOKUP(B1146,'Pre-Summary'!$AZ$6:$BE$65,4,FALSE),"")</f>
        <v/>
      </c>
      <c r="AK1146" s="10" t="str">
        <f>IFERROR(VLOOKUP(B1146,'Pre-Summary'!$AZ$6:$BE$65,6,FALSE),"")</f>
        <v/>
      </c>
      <c r="AL1146" s="10" t="str">
        <f>IFERROR(VLOOKUP(B1146,'Pre-Summary'!$BG$6:$BL$44,3,FALSE),"")</f>
        <v/>
      </c>
      <c r="AM1146" s="10" t="str">
        <f>IFERROR(VLOOKUP(B1146,'Pre-Summary'!$BG$6:$BL$44,4,FALSE),"")</f>
        <v/>
      </c>
    </row>
    <row r="1147" spans="2:39" ht="15" customHeight="1" x14ac:dyDescent="0.3">
      <c r="B1147">
        <v>114.4</v>
      </c>
      <c r="C1147" t="str">
        <f>IFERROR(VLOOKUP(B1147,'Pre-Summary'!$DI$6:$DM$23,4,FALSE),"")</f>
        <v/>
      </c>
      <c r="D1147" s="10" t="str">
        <f>IFERROR(VLOOKUP(B1147,'Pre-Summary'!$AT$6:$AX$14,5,FALSE),D1146)</f>
        <v>DSMZ v4: dropped out methanol</v>
      </c>
      <c r="E1147" s="10" t="str">
        <f>IFERROR(VLOOKUP(B1147,'Pre-Summary'!$AT$6:$AX$15,4,FALSE),"")</f>
        <v/>
      </c>
      <c r="F1147">
        <f>IFERROR(VLOOKUP(B1147,'Pre-Summary'!$AL$6:$AQ$13,6,FALSE),F1146)</f>
        <v>5.9405263157894746E-2</v>
      </c>
      <c r="G1147" t="str">
        <f>IFERROR(VLOOKUP(B1147,'Pre-Summary'!$AE$6:$AJ$85,3,FALSE),"")</f>
        <v/>
      </c>
      <c r="H1147" t="str">
        <f>IFERROR(VLOOKUP(B1147,'Pre-Summary'!$AE$6:$AJ$85,4,FALSE),"")</f>
        <v/>
      </c>
      <c r="I1147" t="str">
        <f>IFERROR(VLOOKUP(B1147,'Pre-Summary'!$AE$6:$AJ$85,5,FALSE),"")</f>
        <v/>
      </c>
      <c r="J1147" s="45" t="str">
        <f>IFERROR(VLOOKUP(B1147,'Pre-Summary'!$AE$6:$AJ$85,6, FALSE),"")</f>
        <v/>
      </c>
      <c r="K1147" s="45" t="str">
        <f>IFERROR(VLOOKUP(B1147,'Pre-Summary'!$DE$6:$DG$61,3,FALSE),"")</f>
        <v/>
      </c>
      <c r="L1147" s="45" t="str">
        <f>IFERROR(VLOOKUP(B1147,'Pre-Summary'!$CU$6:$CW$36,3,FALSE),"")</f>
        <v/>
      </c>
      <c r="M1147" s="45" t="str">
        <f>IFERROR(VLOOKUP(B1147,'Pre-Summary'!$BW$6:$BY$58,2,FALSE),"")</f>
        <v/>
      </c>
      <c r="N1147" s="45" t="str">
        <f>IFERROR(VLOOKUP(B1147,'Pre-Summary'!$CD$6:$CF$64,2,FALSE),"")</f>
        <v/>
      </c>
      <c r="O1147" s="99">
        <f>IFERROR(VLOOKUP(B1147,'Pre-Summary'!$BO$6:$BQ$48,3, FALSE),O1146)</f>
        <v>1.2</v>
      </c>
      <c r="P1147" s="99">
        <f>IFERROR(VLOOKUP(B1147,'Pre-Summary'!$BS$6:$BU$35,3,FALSE),P1146)</f>
        <v>0.3</v>
      </c>
      <c r="Q1147" s="54">
        <f t="shared" si="51"/>
        <v>4</v>
      </c>
      <c r="R1147" s="53">
        <f>IFERROR(VLOOKUP(B1147,'Pre-Summary'!$BG$6:$BM$44,7,FALSE),R1148)</f>
        <v>7.6574939085447311E-2</v>
      </c>
      <c r="S1147" s="53">
        <f>IFERROR(VLOOKUP(B1147,'Pre-Summary'!$BG$6:$BM$44,6,FALSE),S1148)</f>
        <v>6.8761751275839902E-2</v>
      </c>
      <c r="T1147" s="45" t="str">
        <f>IFERROR(VLOOKUP(B1147,'Pre-Summary'!$Y$6:$AC$83, 3,FALSE),"")</f>
        <v/>
      </c>
      <c r="U1147" s="45" t="str">
        <f>IFERROR(VLOOKUP(B1147,'Pre-Summary'!$Y$6:$AC$83, 4,FALSE),"")</f>
        <v/>
      </c>
      <c r="V1147" t="str">
        <f>IFERROR(VLOOKUP(B1147,'Pre-Summary'!$Y$6:$AC$83, 5,FALSE),"")</f>
        <v/>
      </c>
      <c r="W1147" s="45" t="str">
        <f>IFERROR(VLOOKUP(B1147,'Pre-Summary'!$Y$6:$AD$83,6,FALSE),"")</f>
        <v/>
      </c>
      <c r="X1147" t="str">
        <f>IFERROR(VLOOKUP('Pre-Summary'!$DB$6:$DD$63,3,FALSE),"")</f>
        <v/>
      </c>
      <c r="Y1147" t="str">
        <f>IFERROR(VLOOKUP(B1147,'Pre-Summary'!$CR$6:$CT$36,3,FALSE),"")</f>
        <v/>
      </c>
      <c r="Z1147" s="45" t="str">
        <f>IFERROR(VLOOKUP(B1147,'Pre-Summary'!$BZ$6:$CB$63,2,FALSE),"")</f>
        <v/>
      </c>
      <c r="AA1147" s="45" t="str">
        <f>IFERROR(VLOOKUP(B1147,'Pre-Summary'!$CG$6:$CI$70,2,FALSE),"")</f>
        <v/>
      </c>
      <c r="AB1147" s="99">
        <f>IFERROR(VLOOKUP(B1147,'Pre-Summary'!$A$6:$P$178,9,FALSE),AB1148)</f>
        <v>0.45533763440924657</v>
      </c>
      <c r="AC1147" s="10">
        <f>IFERROR(VLOOKUP(Summary!B1147,'Pre-Summary'!$A$6:$P$184,5, FALSE)/100,AC1148)</f>
        <v>0.89807866666666669</v>
      </c>
      <c r="AD1147" s="10">
        <f>IFERROR(VLOOKUP(Summary!B1147,'Pre-Summary'!$A$6:$P$184,3, FALSE)/100,AD1148)</f>
        <v>1.5917000000000001E-2</v>
      </c>
      <c r="AE1147" s="10">
        <f>IFERROR(VLOOKUP(Summary!B1147,'Pre-Summary'!$A$6:$P$184,7, FALSE)/100,AE1148)</f>
        <v>8.6004666666666674E-2</v>
      </c>
      <c r="AF1147" s="99">
        <f t="shared" si="52"/>
        <v>7.2476091268919782E-3</v>
      </c>
      <c r="AG1147" s="99">
        <f t="shared" si="53"/>
        <v>3.9161161468155785E-2</v>
      </c>
      <c r="AH1147" s="10" t="str">
        <f>IFERROR(VLOOKUP(B1147,'Pre-Summary'!$AZ$6:$BE$65,3,FALSE),"")</f>
        <v/>
      </c>
      <c r="AI1147" s="10" t="str">
        <f>IFERROR(VLOOKUP(B1147,'Pre-Summary'!$AZ$6:$BE$65,5,FALSE),"")</f>
        <v/>
      </c>
      <c r="AJ1147" s="10" t="str">
        <f>IFERROR(VLOOKUP(B1147,'Pre-Summary'!$AZ$6:$BE$65,4,FALSE),"")</f>
        <v/>
      </c>
      <c r="AK1147" s="10" t="str">
        <f>IFERROR(VLOOKUP(B1147,'Pre-Summary'!$AZ$6:$BE$65,6,FALSE),"")</f>
        <v/>
      </c>
      <c r="AL1147" s="10" t="str">
        <f>IFERROR(VLOOKUP(B1147,'Pre-Summary'!$BG$6:$BL$44,3,FALSE),"")</f>
        <v/>
      </c>
      <c r="AM1147" s="10" t="str">
        <f>IFERROR(VLOOKUP(B1147,'Pre-Summary'!$BG$6:$BL$44,4,FALSE),"")</f>
        <v/>
      </c>
    </row>
    <row r="1148" spans="2:39" ht="15" customHeight="1" x14ac:dyDescent="0.3">
      <c r="B1148">
        <v>114.5</v>
      </c>
      <c r="C1148" t="str">
        <f>IFERROR(VLOOKUP(B1148,'Pre-Summary'!$DI$6:$DM$23,4,FALSE),"")</f>
        <v/>
      </c>
      <c r="D1148" s="10" t="str">
        <f>IFERROR(VLOOKUP(B1148,'Pre-Summary'!$AT$6:$AX$14,5,FALSE),D1147)</f>
        <v>DSMZ v4: dropped out methanol</v>
      </c>
      <c r="E1148" s="10" t="str">
        <f>IFERROR(VLOOKUP(B1148,'Pre-Summary'!$AT$6:$AX$15,4,FALSE),"")</f>
        <v/>
      </c>
      <c r="F1148">
        <f>IFERROR(VLOOKUP(B1148,'Pre-Summary'!$AL$6:$AQ$13,6,FALSE),F1147)</f>
        <v>5.9405263157894746E-2</v>
      </c>
      <c r="G1148" t="str">
        <f>IFERROR(VLOOKUP(B1148,'Pre-Summary'!$AE$6:$AJ$85,3,FALSE),"")</f>
        <v/>
      </c>
      <c r="H1148" t="str">
        <f>IFERROR(VLOOKUP(B1148,'Pre-Summary'!$AE$6:$AJ$85,4,FALSE),"")</f>
        <v/>
      </c>
      <c r="I1148" t="str">
        <f>IFERROR(VLOOKUP(B1148,'Pre-Summary'!$AE$6:$AJ$85,5,FALSE),"")</f>
        <v/>
      </c>
      <c r="J1148" s="45" t="str">
        <f>IFERROR(VLOOKUP(B1148,'Pre-Summary'!$AE$6:$AJ$85,6, FALSE),"")</f>
        <v/>
      </c>
      <c r="K1148" s="45" t="str">
        <f>IFERROR(VLOOKUP(B1148,'Pre-Summary'!$DE$6:$DG$61,3,FALSE),"")</f>
        <v/>
      </c>
      <c r="L1148" s="45" t="str">
        <f>IFERROR(VLOOKUP(B1148,'Pre-Summary'!$CU$6:$CW$36,3,FALSE),"")</f>
        <v/>
      </c>
      <c r="M1148" s="45" t="str">
        <f>IFERROR(VLOOKUP(B1148,'Pre-Summary'!$BW$6:$BY$58,2,FALSE),"")</f>
        <v/>
      </c>
      <c r="N1148" s="45">
        <f>IFERROR(VLOOKUP(B1148,'Pre-Summary'!$CD$6:$CF$64,2,FALSE),"")</f>
        <v>3849.1059358491443</v>
      </c>
      <c r="O1148" s="99">
        <f>IFERROR(VLOOKUP(B1148,'Pre-Summary'!$BO$6:$BQ$48,3, FALSE),O1147)</f>
        <v>1.2</v>
      </c>
      <c r="P1148" s="99">
        <f>IFERROR(VLOOKUP(B1148,'Pre-Summary'!$BS$6:$BU$35,3,FALSE),P1147)</f>
        <v>0.3</v>
      </c>
      <c r="Q1148" s="54">
        <f t="shared" si="51"/>
        <v>4</v>
      </c>
      <c r="R1148" s="53">
        <f>IFERROR(VLOOKUP(B1148,'Pre-Summary'!$BG$6:$BM$44,7,FALSE),R1149)</f>
        <v>7.6574939085447311E-2</v>
      </c>
      <c r="S1148" s="53">
        <f>IFERROR(VLOOKUP(B1148,'Pre-Summary'!$BG$6:$BM$44,6,FALSE),S1149)</f>
        <v>6.8761751275839902E-2</v>
      </c>
      <c r="T1148" s="45" t="str">
        <f>IFERROR(VLOOKUP(B1148,'Pre-Summary'!$Y$6:$AC$83, 3,FALSE),"")</f>
        <v/>
      </c>
      <c r="U1148" s="45" t="str">
        <f>IFERROR(VLOOKUP(B1148,'Pre-Summary'!$Y$6:$AC$83, 4,FALSE),"")</f>
        <v/>
      </c>
      <c r="V1148" t="str">
        <f>IFERROR(VLOOKUP(B1148,'Pre-Summary'!$Y$6:$AC$83, 5,FALSE),"")</f>
        <v/>
      </c>
      <c r="W1148" s="45" t="str">
        <f>IFERROR(VLOOKUP(B1148,'Pre-Summary'!$Y$6:$AD$83,6,FALSE),"")</f>
        <v/>
      </c>
      <c r="X1148" t="str">
        <f>IFERROR(VLOOKUP('Pre-Summary'!$DB$6:$DD$63,3,FALSE),"")</f>
        <v/>
      </c>
      <c r="Y1148" t="str">
        <f>IFERROR(VLOOKUP(B1148,'Pre-Summary'!$CR$6:$CT$36,3,FALSE),"")</f>
        <v/>
      </c>
      <c r="Z1148" s="45" t="str">
        <f>IFERROR(VLOOKUP(B1148,'Pre-Summary'!$BZ$6:$CB$63,2,FALSE),"")</f>
        <v/>
      </c>
      <c r="AA1148" s="45" t="str">
        <f>IFERROR(VLOOKUP(B1148,'Pre-Summary'!$CG$6:$CI$70,2,FALSE),"")</f>
        <v/>
      </c>
      <c r="AB1148" s="99">
        <f>IFERROR(VLOOKUP(B1148,'Pre-Summary'!$A$6:$P$178,9,FALSE),AB1149)</f>
        <v>0.45533763440924657</v>
      </c>
      <c r="AC1148" s="10">
        <f>IFERROR(VLOOKUP(Summary!B1148,'Pre-Summary'!$A$6:$P$184,5, FALSE)/100,AC1149)</f>
        <v>0.89807866666666669</v>
      </c>
      <c r="AD1148" s="10">
        <f>IFERROR(VLOOKUP(Summary!B1148,'Pre-Summary'!$A$6:$P$184,3, FALSE)/100,AD1149)</f>
        <v>1.5917000000000001E-2</v>
      </c>
      <c r="AE1148" s="10">
        <f>IFERROR(VLOOKUP(Summary!B1148,'Pre-Summary'!$A$6:$P$184,7, FALSE)/100,AE1149)</f>
        <v>8.6004666666666674E-2</v>
      </c>
      <c r="AF1148" s="99">
        <f t="shared" si="52"/>
        <v>7.2476091268919782E-3</v>
      </c>
      <c r="AG1148" s="99">
        <f t="shared" si="53"/>
        <v>3.9161161468155785E-2</v>
      </c>
      <c r="AH1148" s="10" t="str">
        <f>IFERROR(VLOOKUP(B1148,'Pre-Summary'!$AZ$6:$BE$65,3,FALSE),"")</f>
        <v/>
      </c>
      <c r="AI1148" s="10" t="str">
        <f>IFERROR(VLOOKUP(B1148,'Pre-Summary'!$AZ$6:$BE$65,5,FALSE),"")</f>
        <v/>
      </c>
      <c r="AJ1148" s="10" t="str">
        <f>IFERROR(VLOOKUP(B1148,'Pre-Summary'!$AZ$6:$BE$65,4,FALSE),"")</f>
        <v/>
      </c>
      <c r="AK1148" s="10" t="str">
        <f>IFERROR(VLOOKUP(B1148,'Pre-Summary'!$AZ$6:$BE$65,6,FALSE),"")</f>
        <v/>
      </c>
      <c r="AL1148" s="10" t="str">
        <f>IFERROR(VLOOKUP(B1148,'Pre-Summary'!$BG$6:$BL$44,3,FALSE),"")</f>
        <v/>
      </c>
      <c r="AM1148" s="10" t="str">
        <f>IFERROR(VLOOKUP(B1148,'Pre-Summary'!$BG$6:$BL$44,4,FALSE),"")</f>
        <v/>
      </c>
    </row>
    <row r="1149" spans="2:39" ht="15" customHeight="1" x14ac:dyDescent="0.3">
      <c r="B1149">
        <v>114.6</v>
      </c>
      <c r="C1149" t="str">
        <f>IFERROR(VLOOKUP(B1149,'Pre-Summary'!$DI$6:$DM$23,4,FALSE),"")</f>
        <v/>
      </c>
      <c r="D1149" s="10" t="str">
        <f>IFERROR(VLOOKUP(B1149,'Pre-Summary'!$AT$6:$AX$14,5,FALSE),D1148)</f>
        <v>DSMZ v4: dropped out methanol</v>
      </c>
      <c r="E1149" s="10" t="str">
        <f>IFERROR(VLOOKUP(B1149,'Pre-Summary'!$AT$6:$AX$15,4,FALSE),"")</f>
        <v/>
      </c>
      <c r="F1149">
        <f>IFERROR(VLOOKUP(B1149,'Pre-Summary'!$AL$6:$AQ$13,6,FALSE),F1148)</f>
        <v>5.9405263157894746E-2</v>
      </c>
      <c r="G1149" t="str">
        <f>IFERROR(VLOOKUP(B1149,'Pre-Summary'!$AE$6:$AJ$85,3,FALSE),"")</f>
        <v/>
      </c>
      <c r="H1149" t="str">
        <f>IFERROR(VLOOKUP(B1149,'Pre-Summary'!$AE$6:$AJ$85,4,FALSE),"")</f>
        <v/>
      </c>
      <c r="I1149" t="str">
        <f>IFERROR(VLOOKUP(B1149,'Pre-Summary'!$AE$6:$AJ$85,5,FALSE),"")</f>
        <v/>
      </c>
      <c r="J1149" s="45" t="str">
        <f>IFERROR(VLOOKUP(B1149,'Pre-Summary'!$AE$6:$AJ$85,6, FALSE),"")</f>
        <v/>
      </c>
      <c r="K1149" s="45" t="str">
        <f>IFERROR(VLOOKUP(B1149,'Pre-Summary'!$DE$6:$DG$61,3,FALSE),"")</f>
        <v/>
      </c>
      <c r="L1149" s="45" t="str">
        <f>IFERROR(VLOOKUP(B1149,'Pre-Summary'!$CU$6:$CW$36,3,FALSE),"")</f>
        <v/>
      </c>
      <c r="M1149" s="45" t="str">
        <f>IFERROR(VLOOKUP(B1149,'Pre-Summary'!$BW$6:$BY$58,2,FALSE),"")</f>
        <v/>
      </c>
      <c r="N1149" s="45" t="str">
        <f>IFERROR(VLOOKUP(B1149,'Pre-Summary'!$CD$6:$CF$64,2,FALSE),"")</f>
        <v/>
      </c>
      <c r="O1149" s="99">
        <f>IFERROR(VLOOKUP(B1149,'Pre-Summary'!$BO$6:$BQ$48,3, FALSE),O1148)</f>
        <v>1.2</v>
      </c>
      <c r="P1149" s="99">
        <f>IFERROR(VLOOKUP(B1149,'Pre-Summary'!$BS$6:$BU$35,3,FALSE),P1148)</f>
        <v>0.3</v>
      </c>
      <c r="Q1149" s="54">
        <f t="shared" si="51"/>
        <v>4</v>
      </c>
      <c r="R1149" s="53">
        <f>IFERROR(VLOOKUP(B1149,'Pre-Summary'!$BG$6:$BM$44,7,FALSE),R1150)</f>
        <v>7.6574939085447311E-2</v>
      </c>
      <c r="S1149" s="53">
        <f>IFERROR(VLOOKUP(B1149,'Pre-Summary'!$BG$6:$BM$44,6,FALSE),S1150)</f>
        <v>6.8761751275839902E-2</v>
      </c>
      <c r="T1149" s="45" t="str">
        <f>IFERROR(VLOOKUP(B1149,'Pre-Summary'!$Y$6:$AC$83, 3,FALSE),"")</f>
        <v/>
      </c>
      <c r="U1149" s="45" t="str">
        <f>IFERROR(VLOOKUP(B1149,'Pre-Summary'!$Y$6:$AC$83, 4,FALSE),"")</f>
        <v/>
      </c>
      <c r="V1149" t="str">
        <f>IFERROR(VLOOKUP(B1149,'Pre-Summary'!$Y$6:$AC$83, 5,FALSE),"")</f>
        <v/>
      </c>
      <c r="W1149" s="45" t="str">
        <f>IFERROR(VLOOKUP(B1149,'Pre-Summary'!$Y$6:$AD$83,6,FALSE),"")</f>
        <v/>
      </c>
      <c r="X1149" t="str">
        <f>IFERROR(VLOOKUP('Pre-Summary'!$DB$6:$DD$63,3,FALSE),"")</f>
        <v/>
      </c>
      <c r="Y1149" t="str">
        <f>IFERROR(VLOOKUP(B1149,'Pre-Summary'!$CR$6:$CT$36,3,FALSE),"")</f>
        <v/>
      </c>
      <c r="Z1149" s="45" t="str">
        <f>IFERROR(VLOOKUP(B1149,'Pre-Summary'!$BZ$6:$CB$63,2,FALSE),"")</f>
        <v/>
      </c>
      <c r="AA1149" s="45" t="str">
        <f>IFERROR(VLOOKUP(B1149,'Pre-Summary'!$CG$6:$CI$70,2,FALSE),"")</f>
        <v/>
      </c>
      <c r="AB1149" s="99">
        <f>IFERROR(VLOOKUP(B1149,'Pre-Summary'!$A$6:$P$178,9,FALSE),AB1150)</f>
        <v>0.45533763440924657</v>
      </c>
      <c r="AC1149" s="10">
        <f>IFERROR(VLOOKUP(Summary!B1149,'Pre-Summary'!$A$6:$P$184,5, FALSE)/100,AC1150)</f>
        <v>0.89807866666666669</v>
      </c>
      <c r="AD1149" s="10">
        <f>IFERROR(VLOOKUP(Summary!B1149,'Pre-Summary'!$A$6:$P$184,3, FALSE)/100,AD1150)</f>
        <v>1.5917000000000001E-2</v>
      </c>
      <c r="AE1149" s="10">
        <f>IFERROR(VLOOKUP(Summary!B1149,'Pre-Summary'!$A$6:$P$184,7, FALSE)/100,AE1150)</f>
        <v>8.6004666666666674E-2</v>
      </c>
      <c r="AF1149" s="99">
        <f t="shared" si="52"/>
        <v>7.2476091268919782E-3</v>
      </c>
      <c r="AG1149" s="99">
        <f t="shared" si="53"/>
        <v>3.9161161468155785E-2</v>
      </c>
      <c r="AH1149" s="10" t="str">
        <f>IFERROR(VLOOKUP(B1149,'Pre-Summary'!$AZ$6:$BE$65,3,FALSE),"")</f>
        <v/>
      </c>
      <c r="AI1149" s="10" t="str">
        <f>IFERROR(VLOOKUP(B1149,'Pre-Summary'!$AZ$6:$BE$65,5,FALSE),"")</f>
        <v/>
      </c>
      <c r="AJ1149" s="10" t="str">
        <f>IFERROR(VLOOKUP(B1149,'Pre-Summary'!$AZ$6:$BE$65,4,FALSE),"")</f>
        <v/>
      </c>
      <c r="AK1149" s="10" t="str">
        <f>IFERROR(VLOOKUP(B1149,'Pre-Summary'!$AZ$6:$BE$65,6,FALSE),"")</f>
        <v/>
      </c>
      <c r="AL1149" s="10" t="str">
        <f>IFERROR(VLOOKUP(B1149,'Pre-Summary'!$BG$6:$BL$44,3,FALSE),"")</f>
        <v/>
      </c>
      <c r="AM1149" s="10" t="str">
        <f>IFERROR(VLOOKUP(B1149,'Pre-Summary'!$BG$6:$BL$44,4,FALSE),"")</f>
        <v/>
      </c>
    </row>
    <row r="1150" spans="2:39" ht="15" customHeight="1" x14ac:dyDescent="0.3">
      <c r="B1150">
        <v>114.7</v>
      </c>
      <c r="C1150" t="str">
        <f>IFERROR(VLOOKUP(B1150,'Pre-Summary'!$DI$6:$DM$23,4,FALSE),"")</f>
        <v/>
      </c>
      <c r="D1150" s="10" t="str">
        <f>IFERROR(VLOOKUP(B1150,'Pre-Summary'!$AT$6:$AX$14,5,FALSE),D1149)</f>
        <v>DSMZ v4: dropped out methanol</v>
      </c>
      <c r="E1150" s="10" t="str">
        <f>IFERROR(VLOOKUP(B1150,'Pre-Summary'!$AT$6:$AX$15,4,FALSE),"")</f>
        <v/>
      </c>
      <c r="F1150">
        <f>IFERROR(VLOOKUP(B1150,'Pre-Summary'!$AL$6:$AQ$13,6,FALSE),F1149)</f>
        <v>5.9405263157894746E-2</v>
      </c>
      <c r="G1150" t="str">
        <f>IFERROR(VLOOKUP(B1150,'Pre-Summary'!$AE$6:$AJ$85,3,FALSE),"")</f>
        <v/>
      </c>
      <c r="H1150" t="str">
        <f>IFERROR(VLOOKUP(B1150,'Pre-Summary'!$AE$6:$AJ$85,4,FALSE),"")</f>
        <v/>
      </c>
      <c r="I1150" t="str">
        <f>IFERROR(VLOOKUP(B1150,'Pre-Summary'!$AE$6:$AJ$85,5,FALSE),"")</f>
        <v/>
      </c>
      <c r="J1150" s="45" t="str">
        <f>IFERROR(VLOOKUP(B1150,'Pre-Summary'!$AE$6:$AJ$85,6, FALSE),"")</f>
        <v/>
      </c>
      <c r="K1150" s="45" t="str">
        <f>IFERROR(VLOOKUP(B1150,'Pre-Summary'!$DE$6:$DG$61,3,FALSE),"")</f>
        <v/>
      </c>
      <c r="L1150" s="45" t="str">
        <f>IFERROR(VLOOKUP(B1150,'Pre-Summary'!$CU$6:$CW$36,3,FALSE),"")</f>
        <v/>
      </c>
      <c r="M1150" s="45" t="str">
        <f>IFERROR(VLOOKUP(B1150,'Pre-Summary'!$BW$6:$BY$58,2,FALSE),"")</f>
        <v/>
      </c>
      <c r="N1150" s="45" t="str">
        <f>IFERROR(VLOOKUP(B1150,'Pre-Summary'!$CD$6:$CF$64,2,FALSE),"")</f>
        <v/>
      </c>
      <c r="O1150" s="99">
        <f>IFERROR(VLOOKUP(B1150,'Pre-Summary'!$BO$6:$BQ$48,3, FALSE),O1149)</f>
        <v>1.2</v>
      </c>
      <c r="P1150" s="99">
        <f>IFERROR(VLOOKUP(B1150,'Pre-Summary'!$BS$6:$BU$35,3,FALSE),P1149)</f>
        <v>0.3</v>
      </c>
      <c r="Q1150" s="54">
        <f t="shared" si="51"/>
        <v>4</v>
      </c>
      <c r="R1150" s="53">
        <f>IFERROR(VLOOKUP(B1150,'Pre-Summary'!$BG$6:$BM$44,7,FALSE),R1151)</f>
        <v>7.6574939085447311E-2</v>
      </c>
      <c r="S1150" s="53">
        <f>IFERROR(VLOOKUP(B1150,'Pre-Summary'!$BG$6:$BM$44,6,FALSE),S1151)</f>
        <v>6.8761751275839902E-2</v>
      </c>
      <c r="T1150" s="45" t="str">
        <f>IFERROR(VLOOKUP(B1150,'Pre-Summary'!$Y$6:$AC$83, 3,FALSE),"")</f>
        <v/>
      </c>
      <c r="U1150" s="45" t="str">
        <f>IFERROR(VLOOKUP(B1150,'Pre-Summary'!$Y$6:$AC$83, 4,FALSE),"")</f>
        <v/>
      </c>
      <c r="V1150" t="str">
        <f>IFERROR(VLOOKUP(B1150,'Pre-Summary'!$Y$6:$AC$83, 5,FALSE),"")</f>
        <v/>
      </c>
      <c r="W1150" s="45" t="str">
        <f>IFERROR(VLOOKUP(B1150,'Pre-Summary'!$Y$6:$AD$83,6,FALSE),"")</f>
        <v/>
      </c>
      <c r="X1150" t="str">
        <f>IFERROR(VLOOKUP('Pre-Summary'!$DB$6:$DD$63,3,FALSE),"")</f>
        <v/>
      </c>
      <c r="Y1150" t="str">
        <f>IFERROR(VLOOKUP(B1150,'Pre-Summary'!$CR$6:$CT$36,3,FALSE),"")</f>
        <v/>
      </c>
      <c r="Z1150" s="45" t="str">
        <f>IFERROR(VLOOKUP(B1150,'Pre-Summary'!$BZ$6:$CB$63,2,FALSE),"")</f>
        <v/>
      </c>
      <c r="AA1150" s="45" t="str">
        <f>IFERROR(VLOOKUP(B1150,'Pre-Summary'!$CG$6:$CI$70,2,FALSE),"")</f>
        <v/>
      </c>
      <c r="AB1150" s="99">
        <f>IFERROR(VLOOKUP(B1150,'Pre-Summary'!$A$6:$P$178,9,FALSE),AB1151)</f>
        <v>0.45533763440924657</v>
      </c>
      <c r="AC1150" s="10">
        <f>IFERROR(VLOOKUP(Summary!B1150,'Pre-Summary'!$A$6:$P$184,5, FALSE)/100,AC1151)</f>
        <v>0.89807866666666669</v>
      </c>
      <c r="AD1150" s="10">
        <f>IFERROR(VLOOKUP(Summary!B1150,'Pre-Summary'!$A$6:$P$184,3, FALSE)/100,AD1151)</f>
        <v>1.5917000000000001E-2</v>
      </c>
      <c r="AE1150" s="10">
        <f>IFERROR(VLOOKUP(Summary!B1150,'Pre-Summary'!$A$6:$P$184,7, FALSE)/100,AE1151)</f>
        <v>8.6004666666666674E-2</v>
      </c>
      <c r="AF1150" s="99">
        <f t="shared" si="52"/>
        <v>7.2476091268919782E-3</v>
      </c>
      <c r="AG1150" s="99">
        <f t="shared" si="53"/>
        <v>3.9161161468155785E-2</v>
      </c>
      <c r="AH1150" s="10" t="str">
        <f>IFERROR(VLOOKUP(B1150,'Pre-Summary'!$AZ$6:$BE$65,3,FALSE),"")</f>
        <v/>
      </c>
      <c r="AI1150" s="10" t="str">
        <f>IFERROR(VLOOKUP(B1150,'Pre-Summary'!$AZ$6:$BE$65,5,FALSE),"")</f>
        <v/>
      </c>
      <c r="AJ1150" s="10" t="str">
        <f>IFERROR(VLOOKUP(B1150,'Pre-Summary'!$AZ$6:$BE$65,4,FALSE),"")</f>
        <v/>
      </c>
      <c r="AK1150" s="10" t="str">
        <f>IFERROR(VLOOKUP(B1150,'Pre-Summary'!$AZ$6:$BE$65,6,FALSE),"")</f>
        <v/>
      </c>
      <c r="AL1150" s="10" t="str">
        <f>IFERROR(VLOOKUP(B1150,'Pre-Summary'!$BG$6:$BL$44,3,FALSE),"")</f>
        <v/>
      </c>
      <c r="AM1150" s="10" t="str">
        <f>IFERROR(VLOOKUP(B1150,'Pre-Summary'!$BG$6:$BL$44,4,FALSE),"")</f>
        <v/>
      </c>
    </row>
    <row r="1151" spans="2:39" ht="15" customHeight="1" x14ac:dyDescent="0.3">
      <c r="B1151">
        <v>114.8</v>
      </c>
      <c r="C1151" t="str">
        <f>IFERROR(VLOOKUP(B1151,'Pre-Summary'!$DI$6:$DM$23,4,FALSE),"")</f>
        <v/>
      </c>
      <c r="D1151" s="10" t="str">
        <f>IFERROR(VLOOKUP(B1151,'Pre-Summary'!$AT$6:$AX$14,5,FALSE),D1150)</f>
        <v>DSMZ v4: dropped out methanol</v>
      </c>
      <c r="E1151" s="10" t="str">
        <f>IFERROR(VLOOKUP(B1151,'Pre-Summary'!$AT$6:$AX$15,4,FALSE),"")</f>
        <v/>
      </c>
      <c r="F1151">
        <f>IFERROR(VLOOKUP(B1151,'Pre-Summary'!$AL$6:$AQ$13,6,FALSE),F1150)</f>
        <v>5.9405263157894746E-2</v>
      </c>
      <c r="G1151" t="str">
        <f>IFERROR(VLOOKUP(B1151,'Pre-Summary'!$AE$6:$AJ$85,3,FALSE),"")</f>
        <v/>
      </c>
      <c r="H1151" t="str">
        <f>IFERROR(VLOOKUP(B1151,'Pre-Summary'!$AE$6:$AJ$85,4,FALSE),"")</f>
        <v/>
      </c>
      <c r="I1151" t="str">
        <f>IFERROR(VLOOKUP(B1151,'Pre-Summary'!$AE$6:$AJ$85,5,FALSE),"")</f>
        <v/>
      </c>
      <c r="J1151" s="45" t="str">
        <f>IFERROR(VLOOKUP(B1151,'Pre-Summary'!$AE$6:$AJ$85,6, FALSE),"")</f>
        <v/>
      </c>
      <c r="K1151" s="45" t="str">
        <f>IFERROR(VLOOKUP(B1151,'Pre-Summary'!$DE$6:$DG$61,3,FALSE),"")</f>
        <v/>
      </c>
      <c r="L1151" s="45" t="str">
        <f>IFERROR(VLOOKUP(B1151,'Pre-Summary'!$CU$6:$CW$36,3,FALSE),"")</f>
        <v/>
      </c>
      <c r="M1151" s="45" t="str">
        <f>IFERROR(VLOOKUP(B1151,'Pre-Summary'!$BW$6:$BY$58,2,FALSE),"")</f>
        <v/>
      </c>
      <c r="N1151" s="45" t="str">
        <f>IFERROR(VLOOKUP(B1151,'Pre-Summary'!$CD$6:$CF$64,2,FALSE),"")</f>
        <v/>
      </c>
      <c r="O1151" s="99">
        <f>IFERROR(VLOOKUP(B1151,'Pre-Summary'!$BO$6:$BQ$48,3, FALSE),O1150)</f>
        <v>1.2</v>
      </c>
      <c r="P1151" s="99">
        <f>IFERROR(VLOOKUP(B1151,'Pre-Summary'!$BS$6:$BU$35,3,FALSE),P1150)</f>
        <v>0.3</v>
      </c>
      <c r="Q1151" s="54">
        <f t="shared" si="51"/>
        <v>4</v>
      </c>
      <c r="R1151" s="53">
        <f>IFERROR(VLOOKUP(B1151,'Pre-Summary'!$BG$6:$BM$44,7,FALSE),R1152)</f>
        <v>7.6574939085447311E-2</v>
      </c>
      <c r="S1151" s="53">
        <f>IFERROR(VLOOKUP(B1151,'Pre-Summary'!$BG$6:$BM$44,6,FALSE),S1152)</f>
        <v>6.8761751275839902E-2</v>
      </c>
      <c r="T1151" s="45" t="str">
        <f>IFERROR(VLOOKUP(B1151,'Pre-Summary'!$Y$6:$AC$83, 3,FALSE),"")</f>
        <v/>
      </c>
      <c r="U1151" s="45" t="str">
        <f>IFERROR(VLOOKUP(B1151,'Pre-Summary'!$Y$6:$AC$83, 4,FALSE),"")</f>
        <v/>
      </c>
      <c r="V1151" t="str">
        <f>IFERROR(VLOOKUP(B1151,'Pre-Summary'!$Y$6:$AC$83, 5,FALSE),"")</f>
        <v/>
      </c>
      <c r="W1151" s="45" t="str">
        <f>IFERROR(VLOOKUP(B1151,'Pre-Summary'!$Y$6:$AD$83,6,FALSE),"")</f>
        <v/>
      </c>
      <c r="X1151" t="str">
        <f>IFERROR(VLOOKUP('Pre-Summary'!$DB$6:$DD$63,3,FALSE),"")</f>
        <v/>
      </c>
      <c r="Y1151" t="str">
        <f>IFERROR(VLOOKUP(B1151,'Pre-Summary'!$CR$6:$CT$36,3,FALSE),"")</f>
        <v/>
      </c>
      <c r="Z1151" s="45" t="str">
        <f>IFERROR(VLOOKUP(B1151,'Pre-Summary'!$BZ$6:$CB$63,2,FALSE),"")</f>
        <v/>
      </c>
      <c r="AA1151" s="45" t="str">
        <f>IFERROR(VLOOKUP(B1151,'Pre-Summary'!$CG$6:$CI$70,2,FALSE),"")</f>
        <v/>
      </c>
      <c r="AB1151" s="99">
        <f>IFERROR(VLOOKUP(B1151,'Pre-Summary'!$A$6:$P$178,9,FALSE),AB1152)</f>
        <v>0.45533763440924657</v>
      </c>
      <c r="AC1151" s="10">
        <f>IFERROR(VLOOKUP(Summary!B1151,'Pre-Summary'!$A$6:$P$184,5, FALSE)/100,AC1152)</f>
        <v>0.89807866666666669</v>
      </c>
      <c r="AD1151" s="10">
        <f>IFERROR(VLOOKUP(Summary!B1151,'Pre-Summary'!$A$6:$P$184,3, FALSE)/100,AD1152)</f>
        <v>1.5917000000000001E-2</v>
      </c>
      <c r="AE1151" s="10">
        <f>IFERROR(VLOOKUP(Summary!B1151,'Pre-Summary'!$A$6:$P$184,7, FALSE)/100,AE1152)</f>
        <v>8.6004666666666674E-2</v>
      </c>
      <c r="AF1151" s="99">
        <f t="shared" si="52"/>
        <v>7.2476091268919782E-3</v>
      </c>
      <c r="AG1151" s="99">
        <f t="shared" si="53"/>
        <v>3.9161161468155785E-2</v>
      </c>
      <c r="AH1151" s="10" t="str">
        <f>IFERROR(VLOOKUP(B1151,'Pre-Summary'!$AZ$6:$BE$65,3,FALSE),"")</f>
        <v/>
      </c>
      <c r="AI1151" s="10" t="str">
        <f>IFERROR(VLOOKUP(B1151,'Pre-Summary'!$AZ$6:$BE$65,5,FALSE),"")</f>
        <v/>
      </c>
      <c r="AJ1151" s="10" t="str">
        <f>IFERROR(VLOOKUP(B1151,'Pre-Summary'!$AZ$6:$BE$65,4,FALSE),"")</f>
        <v/>
      </c>
      <c r="AK1151" s="10" t="str">
        <f>IFERROR(VLOOKUP(B1151,'Pre-Summary'!$AZ$6:$BE$65,6,FALSE),"")</f>
        <v/>
      </c>
      <c r="AL1151" s="10" t="str">
        <f>IFERROR(VLOOKUP(B1151,'Pre-Summary'!$BG$6:$BL$44,3,FALSE),"")</f>
        <v/>
      </c>
      <c r="AM1151" s="10" t="str">
        <f>IFERROR(VLOOKUP(B1151,'Pre-Summary'!$BG$6:$BL$44,4,FALSE),"")</f>
        <v/>
      </c>
    </row>
    <row r="1152" spans="2:39" ht="15" customHeight="1" x14ac:dyDescent="0.3">
      <c r="B1152">
        <v>114.9</v>
      </c>
      <c r="C1152" t="str">
        <f>IFERROR(VLOOKUP(B1152,'Pre-Summary'!$DI$6:$DM$23,4,FALSE),"")</f>
        <v/>
      </c>
      <c r="D1152" s="10" t="str">
        <f>IFERROR(VLOOKUP(B1152,'Pre-Summary'!$AT$6:$AX$14,5,FALSE),D1151)</f>
        <v>DSMZ v4: dropped out methanol</v>
      </c>
      <c r="E1152" s="10" t="str">
        <f>IFERROR(VLOOKUP(B1152,'Pre-Summary'!$AT$6:$AX$15,4,FALSE),"")</f>
        <v/>
      </c>
      <c r="F1152">
        <f>IFERROR(VLOOKUP(B1152,'Pre-Summary'!$AL$6:$AQ$13,6,FALSE),F1151)</f>
        <v>5.9405263157894746E-2</v>
      </c>
      <c r="G1152">
        <f>IFERROR(VLOOKUP(B1152,'Pre-Summary'!$AE$6:$AJ$85,3,FALSE),"")</f>
        <v>62.597000000000001</v>
      </c>
      <c r="H1152">
        <f>IFERROR(VLOOKUP(B1152,'Pre-Summary'!$AE$6:$AJ$85,4,FALSE),"")</f>
        <v>2.1659999999999999</v>
      </c>
      <c r="I1152">
        <f>IFERROR(VLOOKUP(B1152,'Pre-Summary'!$AE$6:$AJ$85,5,FALSE),"")</f>
        <v>0</v>
      </c>
      <c r="J1152" s="45">
        <f>IFERROR(VLOOKUP(B1152,'Pre-Summary'!$AE$6:$AJ$85,6, FALSE),"")</f>
        <v>70.070323000000002</v>
      </c>
      <c r="K1152" s="45">
        <f>IFERROR(VLOOKUP(B1152,'Pre-Summary'!$DE$6:$DG$61,3,FALSE),"")</f>
        <v>13175</v>
      </c>
      <c r="L1152" s="45" t="str">
        <f>IFERROR(VLOOKUP(B1152,'Pre-Summary'!$CU$6:$CW$36,3,FALSE),"")</f>
        <v/>
      </c>
      <c r="M1152" s="45">
        <f>IFERROR(VLOOKUP(B1152,'Pre-Summary'!$BW$6:$BY$58,2,FALSE),"")</f>
        <v>8.3375857184947595</v>
      </c>
      <c r="N1152" s="45" t="str">
        <f>IFERROR(VLOOKUP(B1152,'Pre-Summary'!$CD$6:$CF$64,2,FALSE),"")</f>
        <v/>
      </c>
      <c r="O1152" s="99">
        <f>IFERROR(VLOOKUP(B1152,'Pre-Summary'!$BO$6:$BQ$48,3, FALSE),O1151)</f>
        <v>1.2</v>
      </c>
      <c r="P1152" s="99">
        <f>IFERROR(VLOOKUP(B1152,'Pre-Summary'!$BS$6:$BU$35,3,FALSE),P1151)</f>
        <v>0.3</v>
      </c>
      <c r="Q1152" s="54">
        <f t="shared" si="51"/>
        <v>4</v>
      </c>
      <c r="R1152" s="53">
        <f>IFERROR(VLOOKUP(B1152,'Pre-Summary'!$BG$6:$BM$44,7,FALSE),R1153)</f>
        <v>7.6574939085447311E-2</v>
      </c>
      <c r="S1152" s="53">
        <f>IFERROR(VLOOKUP(B1152,'Pre-Summary'!$BG$6:$BM$44,6,FALSE),S1153)</f>
        <v>6.8761751275839902E-2</v>
      </c>
      <c r="T1152" s="45">
        <f>IFERROR(VLOOKUP(B1152,'Pre-Summary'!$Y$6:$AC$83, 3,FALSE),"")</f>
        <v>129.13999999999999</v>
      </c>
      <c r="U1152" s="45">
        <f>IFERROR(VLOOKUP(B1152,'Pre-Summary'!$Y$6:$AC$83, 4,FALSE),"")</f>
        <v>39.655999999999999</v>
      </c>
      <c r="V1152">
        <f>IFERROR(VLOOKUP(B1152,'Pre-Summary'!$Y$6:$AC$83, 5,FALSE),"")</f>
        <v>0</v>
      </c>
      <c r="W1152" s="45">
        <f>IFERROR(VLOOKUP(B1152,'Pre-Summary'!$Y$6:$AD$83,6,FALSE),"")</f>
        <v>197.83156399999999</v>
      </c>
      <c r="X1152" t="str">
        <f>IFERROR(VLOOKUP('Pre-Summary'!$DB$6:$DD$63,3,FALSE),"")</f>
        <v/>
      </c>
      <c r="Y1152" t="str">
        <f>IFERROR(VLOOKUP(B1152,'Pre-Summary'!$CR$6:$CT$36,3,FALSE),"")</f>
        <v/>
      </c>
      <c r="Z1152" s="45">
        <f>IFERROR(VLOOKUP(B1152,'Pre-Summary'!$BZ$6:$CB$63,2,FALSE),"")</f>
        <v>217.88431549447353</v>
      </c>
      <c r="AA1152" s="45">
        <f>IFERROR(VLOOKUP(B1152,'Pre-Summary'!$CG$6:$CI$70,2,FALSE),"")</f>
        <v>466.46863424003851</v>
      </c>
      <c r="AB1152" s="99">
        <f>IFERROR(VLOOKUP(B1152,'Pre-Summary'!$A$6:$P$178,9,FALSE),AB1153)</f>
        <v>0.45533763440924657</v>
      </c>
      <c r="AC1152" s="10">
        <f>IFERROR(VLOOKUP(Summary!B1152,'Pre-Summary'!$A$6:$P$184,5, FALSE)/100,AC1153)</f>
        <v>0.89807866666666669</v>
      </c>
      <c r="AD1152" s="10">
        <f>IFERROR(VLOOKUP(Summary!B1152,'Pre-Summary'!$A$6:$P$184,3, FALSE)/100,AD1153)</f>
        <v>1.5917000000000001E-2</v>
      </c>
      <c r="AE1152" s="10">
        <f>IFERROR(VLOOKUP(Summary!B1152,'Pre-Summary'!$A$6:$P$184,7, FALSE)/100,AE1153)</f>
        <v>8.6004666666666674E-2</v>
      </c>
      <c r="AF1152" s="99">
        <f t="shared" si="52"/>
        <v>7.2476091268919782E-3</v>
      </c>
      <c r="AG1152" s="99">
        <f t="shared" si="53"/>
        <v>3.9161161468155785E-2</v>
      </c>
      <c r="AH1152" s="10" t="str">
        <f>IFERROR(VLOOKUP(B1152,'Pre-Summary'!$AZ$6:$BE$65,3,FALSE),"")</f>
        <v/>
      </c>
      <c r="AI1152" s="10" t="str">
        <f>IFERROR(VLOOKUP(B1152,'Pre-Summary'!$AZ$6:$BE$65,5,FALSE),"")</f>
        <v/>
      </c>
      <c r="AJ1152" s="10" t="str">
        <f>IFERROR(VLOOKUP(B1152,'Pre-Summary'!$AZ$6:$BE$65,4,FALSE),"")</f>
        <v/>
      </c>
      <c r="AK1152" s="10" t="str">
        <f>IFERROR(VLOOKUP(B1152,'Pre-Summary'!$AZ$6:$BE$65,6,FALSE),"")</f>
        <v/>
      </c>
      <c r="AL1152" s="10" t="str">
        <f>IFERROR(VLOOKUP(B1152,'Pre-Summary'!$BG$6:$BL$44,3,FALSE),"")</f>
        <v/>
      </c>
      <c r="AM1152" s="10" t="str">
        <f>IFERROR(VLOOKUP(B1152,'Pre-Summary'!$BG$6:$BL$44,4,FALSE),"")</f>
        <v/>
      </c>
    </row>
    <row r="1153" spans="2:39" ht="15" customHeight="1" x14ac:dyDescent="0.3">
      <c r="B1153">
        <v>115</v>
      </c>
      <c r="C1153" t="str">
        <f>IFERROR(VLOOKUP(B1153,'Pre-Summary'!$DI$6:$DM$23,4,FALSE),"")</f>
        <v/>
      </c>
      <c r="D1153" s="10" t="str">
        <f>IFERROR(VLOOKUP(B1153,'Pre-Summary'!$AT$6:$AX$14,5,FALSE),D1152)</f>
        <v>DSMZ v4: dropped out methanol</v>
      </c>
      <c r="E1153" s="10" t="str">
        <f>IFERROR(VLOOKUP(B1153,'Pre-Summary'!$AT$6:$AX$15,4,FALSE),"")</f>
        <v/>
      </c>
      <c r="F1153">
        <f>IFERROR(VLOOKUP(B1153,'Pre-Summary'!$AL$6:$AQ$13,6,FALSE),F1152)</f>
        <v>5.9405263157894746E-2</v>
      </c>
      <c r="G1153" t="str">
        <f>IFERROR(VLOOKUP(B1153,'Pre-Summary'!$AE$6:$AJ$85,3,FALSE),"")</f>
        <v/>
      </c>
      <c r="H1153" t="str">
        <f>IFERROR(VLOOKUP(B1153,'Pre-Summary'!$AE$6:$AJ$85,4,FALSE),"")</f>
        <v/>
      </c>
      <c r="I1153" t="str">
        <f>IFERROR(VLOOKUP(B1153,'Pre-Summary'!$AE$6:$AJ$85,5,FALSE),"")</f>
        <v/>
      </c>
      <c r="J1153" s="45" t="str">
        <f>IFERROR(VLOOKUP(B1153,'Pre-Summary'!$AE$6:$AJ$85,6, FALSE),"")</f>
        <v/>
      </c>
      <c r="K1153" s="45" t="str">
        <f>IFERROR(VLOOKUP(B1153,'Pre-Summary'!$DE$6:$DG$61,3,FALSE),"")</f>
        <v/>
      </c>
      <c r="L1153" s="45" t="str">
        <f>IFERROR(VLOOKUP(B1153,'Pre-Summary'!$CU$6:$CW$36,3,FALSE),"")</f>
        <v/>
      </c>
      <c r="M1153" s="45" t="str">
        <f>IFERROR(VLOOKUP(B1153,'Pre-Summary'!$BW$6:$BY$58,2,FALSE),"")</f>
        <v/>
      </c>
      <c r="N1153" s="45" t="str">
        <f>IFERROR(VLOOKUP(B1153,'Pre-Summary'!$CD$6:$CF$64,2,FALSE),"")</f>
        <v/>
      </c>
      <c r="O1153" s="99">
        <f>IFERROR(VLOOKUP(B1153,'Pre-Summary'!$BO$6:$BQ$48,3, FALSE),O1152)</f>
        <v>1.2</v>
      </c>
      <c r="P1153" s="99">
        <f>IFERROR(VLOOKUP(B1153,'Pre-Summary'!$BS$6:$BU$35,3,FALSE),P1152)</f>
        <v>0.3</v>
      </c>
      <c r="Q1153" s="54">
        <f t="shared" si="51"/>
        <v>4</v>
      </c>
      <c r="R1153" s="53">
        <f>IFERROR(VLOOKUP(B1153,'Pre-Summary'!$BG$6:$BM$44,7,FALSE),R1154)</f>
        <v>7.6574939085447311E-2</v>
      </c>
      <c r="S1153" s="53">
        <f>IFERROR(VLOOKUP(B1153,'Pre-Summary'!$BG$6:$BM$44,6,FALSE),S1154)</f>
        <v>6.8761751275839902E-2</v>
      </c>
      <c r="T1153" s="45" t="str">
        <f>IFERROR(VLOOKUP(B1153,'Pre-Summary'!$Y$6:$AC$83, 3,FALSE),"")</f>
        <v/>
      </c>
      <c r="U1153" s="45" t="str">
        <f>IFERROR(VLOOKUP(B1153,'Pre-Summary'!$Y$6:$AC$83, 4,FALSE),"")</f>
        <v/>
      </c>
      <c r="V1153" t="str">
        <f>IFERROR(VLOOKUP(B1153,'Pre-Summary'!$Y$6:$AC$83, 5,FALSE),"")</f>
        <v/>
      </c>
      <c r="W1153" s="45" t="str">
        <f>IFERROR(VLOOKUP(B1153,'Pre-Summary'!$Y$6:$AD$83,6,FALSE),"")</f>
        <v/>
      </c>
      <c r="X1153" t="str">
        <f>IFERROR(VLOOKUP('Pre-Summary'!$DB$6:$DD$63,3,FALSE),"")</f>
        <v/>
      </c>
      <c r="Y1153" t="str">
        <f>IFERROR(VLOOKUP(B1153,'Pre-Summary'!$CR$6:$CT$36,3,FALSE),"")</f>
        <v/>
      </c>
      <c r="Z1153" s="45" t="str">
        <f>IFERROR(VLOOKUP(B1153,'Pre-Summary'!$BZ$6:$CB$63,2,FALSE),"")</f>
        <v/>
      </c>
      <c r="AA1153" s="45" t="str">
        <f>IFERROR(VLOOKUP(B1153,'Pre-Summary'!$CG$6:$CI$70,2,FALSE),"")</f>
        <v/>
      </c>
      <c r="AB1153" s="99">
        <f>IFERROR(VLOOKUP(B1153,'Pre-Summary'!$A$6:$P$178,9,FALSE),AB1154)</f>
        <v>0.45533763440924657</v>
      </c>
      <c r="AC1153" s="10">
        <f>IFERROR(VLOOKUP(Summary!B1153,'Pre-Summary'!$A$6:$P$184,5, FALSE)/100,AC1154)</f>
        <v>0.89807866666666669</v>
      </c>
      <c r="AD1153" s="10">
        <f>IFERROR(VLOOKUP(Summary!B1153,'Pre-Summary'!$A$6:$P$184,3, FALSE)/100,AD1154)</f>
        <v>1.5917000000000001E-2</v>
      </c>
      <c r="AE1153" s="10">
        <f>IFERROR(VLOOKUP(Summary!B1153,'Pre-Summary'!$A$6:$P$184,7, FALSE)/100,AE1154)</f>
        <v>8.6004666666666674E-2</v>
      </c>
      <c r="AF1153" s="99">
        <f t="shared" si="52"/>
        <v>7.2476091268919782E-3</v>
      </c>
      <c r="AG1153" s="99">
        <f t="shared" si="53"/>
        <v>3.9161161468155785E-2</v>
      </c>
      <c r="AH1153" s="10" t="str">
        <f>IFERROR(VLOOKUP(B1153,'Pre-Summary'!$AZ$6:$BE$65,3,FALSE),"")</f>
        <v/>
      </c>
      <c r="AI1153" s="10" t="str">
        <f>IFERROR(VLOOKUP(B1153,'Pre-Summary'!$AZ$6:$BE$65,5,FALSE),"")</f>
        <v/>
      </c>
      <c r="AJ1153" s="10" t="str">
        <f>IFERROR(VLOOKUP(B1153,'Pre-Summary'!$AZ$6:$BE$65,4,FALSE),"")</f>
        <v/>
      </c>
      <c r="AK1153" s="10" t="str">
        <f>IFERROR(VLOOKUP(B1153,'Pre-Summary'!$AZ$6:$BE$65,6,FALSE),"")</f>
        <v/>
      </c>
      <c r="AL1153" s="10" t="str">
        <f>IFERROR(VLOOKUP(B1153,'Pre-Summary'!$BG$6:$BL$44,3,FALSE),"")</f>
        <v/>
      </c>
      <c r="AM1153" s="10" t="str">
        <f>IFERROR(VLOOKUP(B1153,'Pre-Summary'!$BG$6:$BL$44,4,FALSE),"")</f>
        <v/>
      </c>
    </row>
    <row r="1154" spans="2:39" ht="15" customHeight="1" x14ac:dyDescent="0.3">
      <c r="B1154">
        <v>115.1</v>
      </c>
      <c r="C1154" t="str">
        <f>IFERROR(VLOOKUP(B1154,'Pre-Summary'!$DI$6:$DM$23,4,FALSE),"")</f>
        <v/>
      </c>
      <c r="D1154" s="10" t="str">
        <f>IFERROR(VLOOKUP(B1154,'Pre-Summary'!$AT$6:$AX$14,5,FALSE),D1153)</f>
        <v>DSMZ v4: dropped out methanol</v>
      </c>
      <c r="E1154" s="10" t="str">
        <f>IFERROR(VLOOKUP(B1154,'Pre-Summary'!$AT$6:$AX$15,4,FALSE),"")</f>
        <v/>
      </c>
      <c r="F1154">
        <f>IFERROR(VLOOKUP(B1154,'Pre-Summary'!$AL$6:$AQ$13,6,FALSE),F1153)</f>
        <v>5.9405263157894746E-2</v>
      </c>
      <c r="G1154" t="str">
        <f>IFERROR(VLOOKUP(B1154,'Pre-Summary'!$AE$6:$AJ$85,3,FALSE),"")</f>
        <v/>
      </c>
      <c r="H1154" t="str">
        <f>IFERROR(VLOOKUP(B1154,'Pre-Summary'!$AE$6:$AJ$85,4,FALSE),"")</f>
        <v/>
      </c>
      <c r="I1154" t="str">
        <f>IFERROR(VLOOKUP(B1154,'Pre-Summary'!$AE$6:$AJ$85,5,FALSE),"")</f>
        <v/>
      </c>
      <c r="J1154" s="45" t="str">
        <f>IFERROR(VLOOKUP(B1154,'Pre-Summary'!$AE$6:$AJ$85,6, FALSE),"")</f>
        <v/>
      </c>
      <c r="K1154" s="45" t="str">
        <f>IFERROR(VLOOKUP(B1154,'Pre-Summary'!$DE$6:$DG$61,3,FALSE),"")</f>
        <v/>
      </c>
      <c r="L1154" s="45" t="str">
        <f>IFERROR(VLOOKUP(B1154,'Pre-Summary'!$CU$6:$CW$36,3,FALSE),"")</f>
        <v/>
      </c>
      <c r="M1154" s="45" t="str">
        <f>IFERROR(VLOOKUP(B1154,'Pre-Summary'!$BW$6:$BY$58,2,FALSE),"")</f>
        <v/>
      </c>
      <c r="N1154" s="45" t="str">
        <f>IFERROR(VLOOKUP(B1154,'Pre-Summary'!$CD$6:$CF$64,2,FALSE),"")</f>
        <v/>
      </c>
      <c r="O1154" s="99">
        <f>IFERROR(VLOOKUP(B1154,'Pre-Summary'!$BO$6:$BQ$48,3, FALSE),O1153)</f>
        <v>1.2</v>
      </c>
      <c r="P1154" s="99">
        <f>IFERROR(VLOOKUP(B1154,'Pre-Summary'!$BS$6:$BU$35,3,FALSE),P1153)</f>
        <v>0.3</v>
      </c>
      <c r="Q1154" s="54">
        <f t="shared" si="51"/>
        <v>4</v>
      </c>
      <c r="R1154" s="53">
        <f>IFERROR(VLOOKUP(B1154,'Pre-Summary'!$BG$6:$BM$44,7,FALSE),R1155)</f>
        <v>7.6574939085447311E-2</v>
      </c>
      <c r="S1154" s="53">
        <f>IFERROR(VLOOKUP(B1154,'Pre-Summary'!$BG$6:$BM$44,6,FALSE),S1155)</f>
        <v>6.8761751275839902E-2</v>
      </c>
      <c r="T1154" s="45" t="str">
        <f>IFERROR(VLOOKUP(B1154,'Pre-Summary'!$Y$6:$AC$83, 3,FALSE),"")</f>
        <v/>
      </c>
      <c r="U1154" s="45" t="str">
        <f>IFERROR(VLOOKUP(B1154,'Pre-Summary'!$Y$6:$AC$83, 4,FALSE),"")</f>
        <v/>
      </c>
      <c r="V1154" t="str">
        <f>IFERROR(VLOOKUP(B1154,'Pre-Summary'!$Y$6:$AC$83, 5,FALSE),"")</f>
        <v/>
      </c>
      <c r="W1154" s="45" t="str">
        <f>IFERROR(VLOOKUP(B1154,'Pre-Summary'!$Y$6:$AD$83,6,FALSE),"")</f>
        <v/>
      </c>
      <c r="X1154" t="str">
        <f>IFERROR(VLOOKUP('Pre-Summary'!$DB$6:$DD$63,3,FALSE),"")</f>
        <v/>
      </c>
      <c r="Y1154" t="str">
        <f>IFERROR(VLOOKUP(B1154,'Pre-Summary'!$CR$6:$CT$36,3,FALSE),"")</f>
        <v/>
      </c>
      <c r="Z1154" s="45" t="str">
        <f>IFERROR(VLOOKUP(B1154,'Pre-Summary'!$BZ$6:$CB$63,2,FALSE),"")</f>
        <v/>
      </c>
      <c r="AA1154" s="45" t="str">
        <f>IFERROR(VLOOKUP(B1154,'Pre-Summary'!$CG$6:$CI$70,2,FALSE),"")</f>
        <v/>
      </c>
      <c r="AB1154" s="99">
        <f>IFERROR(VLOOKUP(B1154,'Pre-Summary'!$A$6:$P$178,9,FALSE),AB1155)</f>
        <v>0.45533763440924657</v>
      </c>
      <c r="AC1154" s="10">
        <f>IFERROR(VLOOKUP(Summary!B1154,'Pre-Summary'!$A$6:$P$184,5, FALSE)/100,AC1155)</f>
        <v>0.89807866666666669</v>
      </c>
      <c r="AD1154" s="10">
        <f>IFERROR(VLOOKUP(Summary!B1154,'Pre-Summary'!$A$6:$P$184,3, FALSE)/100,AD1155)</f>
        <v>1.5917000000000001E-2</v>
      </c>
      <c r="AE1154" s="10">
        <f>IFERROR(VLOOKUP(Summary!B1154,'Pre-Summary'!$A$6:$P$184,7, FALSE)/100,AE1155)</f>
        <v>8.6004666666666674E-2</v>
      </c>
      <c r="AF1154" s="99">
        <f t="shared" si="52"/>
        <v>7.2476091268919782E-3</v>
      </c>
      <c r="AG1154" s="99">
        <f t="shared" si="53"/>
        <v>3.9161161468155785E-2</v>
      </c>
      <c r="AH1154" s="10" t="str">
        <f>IFERROR(VLOOKUP(B1154,'Pre-Summary'!$AZ$6:$BE$65,3,FALSE),"")</f>
        <v/>
      </c>
      <c r="AI1154" s="10" t="str">
        <f>IFERROR(VLOOKUP(B1154,'Pre-Summary'!$AZ$6:$BE$65,5,FALSE),"")</f>
        <v/>
      </c>
      <c r="AJ1154" s="10" t="str">
        <f>IFERROR(VLOOKUP(B1154,'Pre-Summary'!$AZ$6:$BE$65,4,FALSE),"")</f>
        <v/>
      </c>
      <c r="AK1154" s="10" t="str">
        <f>IFERROR(VLOOKUP(B1154,'Pre-Summary'!$AZ$6:$BE$65,6,FALSE),"")</f>
        <v/>
      </c>
      <c r="AL1154" s="10" t="str">
        <f>IFERROR(VLOOKUP(B1154,'Pre-Summary'!$BG$6:$BL$44,3,FALSE),"")</f>
        <v/>
      </c>
      <c r="AM1154" s="10" t="str">
        <f>IFERROR(VLOOKUP(B1154,'Pre-Summary'!$BG$6:$BL$44,4,FALSE),"")</f>
        <v/>
      </c>
    </row>
    <row r="1155" spans="2:39" ht="15" customHeight="1" x14ac:dyDescent="0.3">
      <c r="B1155">
        <v>115.2</v>
      </c>
      <c r="C1155" t="str">
        <f>IFERROR(VLOOKUP(B1155,'Pre-Summary'!$DI$6:$DM$23,4,FALSE),"")</f>
        <v/>
      </c>
      <c r="D1155" s="10" t="str">
        <f>IFERROR(VLOOKUP(B1155,'Pre-Summary'!$AT$6:$AX$14,5,FALSE),D1154)</f>
        <v>DSMZ v4: dropped out methanol</v>
      </c>
      <c r="E1155" s="10" t="str">
        <f>IFERROR(VLOOKUP(B1155,'Pre-Summary'!$AT$6:$AX$15,4,FALSE),"")</f>
        <v/>
      </c>
      <c r="F1155">
        <f>IFERROR(VLOOKUP(B1155,'Pre-Summary'!$AL$6:$AQ$13,6,FALSE),F1154)</f>
        <v>5.9405263157894746E-2</v>
      </c>
      <c r="G1155" t="str">
        <f>IFERROR(VLOOKUP(B1155,'Pre-Summary'!$AE$6:$AJ$85,3,FALSE),"")</f>
        <v/>
      </c>
      <c r="H1155" t="str">
        <f>IFERROR(VLOOKUP(B1155,'Pre-Summary'!$AE$6:$AJ$85,4,FALSE),"")</f>
        <v/>
      </c>
      <c r="I1155" t="str">
        <f>IFERROR(VLOOKUP(B1155,'Pre-Summary'!$AE$6:$AJ$85,5,FALSE),"")</f>
        <v/>
      </c>
      <c r="J1155" s="45" t="str">
        <f>IFERROR(VLOOKUP(B1155,'Pre-Summary'!$AE$6:$AJ$85,6, FALSE),"")</f>
        <v/>
      </c>
      <c r="K1155" s="45" t="str">
        <f>IFERROR(VLOOKUP(B1155,'Pre-Summary'!$DE$6:$DG$61,3,FALSE),"")</f>
        <v/>
      </c>
      <c r="L1155" s="45" t="str">
        <f>IFERROR(VLOOKUP(B1155,'Pre-Summary'!$CU$6:$CW$36,3,FALSE),"")</f>
        <v/>
      </c>
      <c r="M1155" s="45" t="str">
        <f>IFERROR(VLOOKUP(B1155,'Pre-Summary'!$BW$6:$BY$58,2,FALSE),"")</f>
        <v/>
      </c>
      <c r="N1155" s="45" t="str">
        <f>IFERROR(VLOOKUP(B1155,'Pre-Summary'!$CD$6:$CF$64,2,FALSE),"")</f>
        <v/>
      </c>
      <c r="O1155" s="99">
        <f>IFERROR(VLOOKUP(B1155,'Pre-Summary'!$BO$6:$BQ$48,3, FALSE),O1154)</f>
        <v>1.2</v>
      </c>
      <c r="P1155" s="99">
        <f>IFERROR(VLOOKUP(B1155,'Pre-Summary'!$BS$6:$BU$35,3,FALSE),P1154)</f>
        <v>0.3</v>
      </c>
      <c r="Q1155" s="54">
        <f t="shared" ref="Q1155:Q1218" si="54">O1155/P1155</f>
        <v>4</v>
      </c>
      <c r="R1155" s="53">
        <f>IFERROR(VLOOKUP(B1155,'Pre-Summary'!$BG$6:$BM$44,7,FALSE),R1156)</f>
        <v>7.6574939085447311E-2</v>
      </c>
      <c r="S1155" s="53">
        <f>IFERROR(VLOOKUP(B1155,'Pre-Summary'!$BG$6:$BM$44,6,FALSE),S1156)</f>
        <v>6.8761751275839902E-2</v>
      </c>
      <c r="T1155" s="45" t="str">
        <f>IFERROR(VLOOKUP(B1155,'Pre-Summary'!$Y$6:$AC$83, 3,FALSE),"")</f>
        <v/>
      </c>
      <c r="U1155" s="45" t="str">
        <f>IFERROR(VLOOKUP(B1155,'Pre-Summary'!$Y$6:$AC$83, 4,FALSE),"")</f>
        <v/>
      </c>
      <c r="V1155" t="str">
        <f>IFERROR(VLOOKUP(B1155,'Pre-Summary'!$Y$6:$AC$83, 5,FALSE),"")</f>
        <v/>
      </c>
      <c r="W1155" s="45" t="str">
        <f>IFERROR(VLOOKUP(B1155,'Pre-Summary'!$Y$6:$AD$83,6,FALSE),"")</f>
        <v/>
      </c>
      <c r="X1155" t="str">
        <f>IFERROR(VLOOKUP('Pre-Summary'!$DB$6:$DD$63,3,FALSE),"")</f>
        <v/>
      </c>
      <c r="Y1155" t="str">
        <f>IFERROR(VLOOKUP(B1155,'Pre-Summary'!$CR$6:$CT$36,3,FALSE),"")</f>
        <v/>
      </c>
      <c r="Z1155" s="45" t="str">
        <f>IFERROR(VLOOKUP(B1155,'Pre-Summary'!$BZ$6:$CB$63,2,FALSE),"")</f>
        <v/>
      </c>
      <c r="AA1155" s="45" t="str">
        <f>IFERROR(VLOOKUP(B1155,'Pre-Summary'!$CG$6:$CI$70,2,FALSE),"")</f>
        <v/>
      </c>
      <c r="AB1155" s="99">
        <f>IFERROR(VLOOKUP(B1155,'Pre-Summary'!$A$6:$P$178,9,FALSE),AB1156)</f>
        <v>0.45533763440924657</v>
      </c>
      <c r="AC1155" s="10">
        <f>IFERROR(VLOOKUP(Summary!B1155,'Pre-Summary'!$A$6:$P$184,5, FALSE)/100,AC1156)</f>
        <v>0.89807866666666669</v>
      </c>
      <c r="AD1155" s="10">
        <f>IFERROR(VLOOKUP(Summary!B1155,'Pre-Summary'!$A$6:$P$184,3, FALSE)/100,AD1156)</f>
        <v>1.5917000000000001E-2</v>
      </c>
      <c r="AE1155" s="10">
        <f>IFERROR(VLOOKUP(Summary!B1155,'Pre-Summary'!$A$6:$P$184,7, FALSE)/100,AE1156)</f>
        <v>8.6004666666666674E-2</v>
      </c>
      <c r="AF1155" s="99">
        <f t="shared" ref="AF1155:AF1218" si="55">AD1155*AB1155</f>
        <v>7.2476091268919782E-3</v>
      </c>
      <c r="AG1155" s="99">
        <f t="shared" ref="AG1155:AG1218" si="56">AB1155*AE1155</f>
        <v>3.9161161468155785E-2</v>
      </c>
      <c r="AH1155" s="10" t="str">
        <f>IFERROR(VLOOKUP(B1155,'Pre-Summary'!$AZ$6:$BE$65,3,FALSE),"")</f>
        <v/>
      </c>
      <c r="AI1155" s="10" t="str">
        <f>IFERROR(VLOOKUP(B1155,'Pre-Summary'!$AZ$6:$BE$65,5,FALSE),"")</f>
        <v/>
      </c>
      <c r="AJ1155" s="10" t="str">
        <f>IFERROR(VLOOKUP(B1155,'Pre-Summary'!$AZ$6:$BE$65,4,FALSE),"")</f>
        <v/>
      </c>
      <c r="AK1155" s="10" t="str">
        <f>IFERROR(VLOOKUP(B1155,'Pre-Summary'!$AZ$6:$BE$65,6,FALSE),"")</f>
        <v/>
      </c>
      <c r="AL1155" s="10" t="str">
        <f>IFERROR(VLOOKUP(B1155,'Pre-Summary'!$BG$6:$BL$44,3,FALSE),"")</f>
        <v/>
      </c>
      <c r="AM1155" s="10" t="str">
        <f>IFERROR(VLOOKUP(B1155,'Pre-Summary'!$BG$6:$BL$44,4,FALSE),"")</f>
        <v/>
      </c>
    </row>
    <row r="1156" spans="2:39" ht="15" customHeight="1" x14ac:dyDescent="0.3">
      <c r="B1156">
        <v>115.3</v>
      </c>
      <c r="C1156" t="str">
        <f>IFERROR(VLOOKUP(B1156,'Pre-Summary'!$DI$6:$DM$23,4,FALSE),"")</f>
        <v/>
      </c>
      <c r="D1156" s="10" t="str">
        <f>IFERROR(VLOOKUP(B1156,'Pre-Summary'!$AT$6:$AX$14,5,FALSE),D1155)</f>
        <v>DSMZ v4: dropped out methanol</v>
      </c>
      <c r="E1156" s="10" t="str">
        <f>IFERROR(VLOOKUP(B1156,'Pre-Summary'!$AT$6:$AX$15,4,FALSE),"")</f>
        <v/>
      </c>
      <c r="F1156">
        <f>IFERROR(VLOOKUP(B1156,'Pre-Summary'!$AL$6:$AQ$13,6,FALSE),F1155)</f>
        <v>5.9405263157894746E-2</v>
      </c>
      <c r="G1156" t="str">
        <f>IFERROR(VLOOKUP(B1156,'Pre-Summary'!$AE$6:$AJ$85,3,FALSE),"")</f>
        <v/>
      </c>
      <c r="H1156" t="str">
        <f>IFERROR(VLOOKUP(B1156,'Pre-Summary'!$AE$6:$AJ$85,4,FALSE),"")</f>
        <v/>
      </c>
      <c r="I1156" t="str">
        <f>IFERROR(VLOOKUP(B1156,'Pre-Summary'!$AE$6:$AJ$85,5,FALSE),"")</f>
        <v/>
      </c>
      <c r="J1156" s="45" t="str">
        <f>IFERROR(VLOOKUP(B1156,'Pre-Summary'!$AE$6:$AJ$85,6, FALSE),"")</f>
        <v/>
      </c>
      <c r="K1156" s="45" t="str">
        <f>IFERROR(VLOOKUP(B1156,'Pre-Summary'!$DE$6:$DG$61,3,FALSE),"")</f>
        <v/>
      </c>
      <c r="L1156" s="45" t="str">
        <f>IFERROR(VLOOKUP(B1156,'Pre-Summary'!$CU$6:$CW$36,3,FALSE),"")</f>
        <v/>
      </c>
      <c r="M1156" s="45" t="str">
        <f>IFERROR(VLOOKUP(B1156,'Pre-Summary'!$BW$6:$BY$58,2,FALSE),"")</f>
        <v/>
      </c>
      <c r="N1156" s="45" t="str">
        <f>IFERROR(VLOOKUP(B1156,'Pre-Summary'!$CD$6:$CF$64,2,FALSE),"")</f>
        <v/>
      </c>
      <c r="O1156" s="99">
        <f>IFERROR(VLOOKUP(B1156,'Pre-Summary'!$BO$6:$BQ$48,3, FALSE),O1155)</f>
        <v>1.2</v>
      </c>
      <c r="P1156" s="99">
        <f>IFERROR(VLOOKUP(B1156,'Pre-Summary'!$BS$6:$BU$35,3,FALSE),P1155)</f>
        <v>0.3</v>
      </c>
      <c r="Q1156" s="54">
        <f t="shared" si="54"/>
        <v>4</v>
      </c>
      <c r="R1156" s="53">
        <f>IFERROR(VLOOKUP(B1156,'Pre-Summary'!$BG$6:$BM$44,7,FALSE),R1157)</f>
        <v>7.6574939085447311E-2</v>
      </c>
      <c r="S1156" s="53">
        <f>IFERROR(VLOOKUP(B1156,'Pre-Summary'!$BG$6:$BM$44,6,FALSE),S1157)</f>
        <v>6.8761751275839902E-2</v>
      </c>
      <c r="T1156" s="45" t="str">
        <f>IFERROR(VLOOKUP(B1156,'Pre-Summary'!$Y$6:$AC$83, 3,FALSE),"")</f>
        <v/>
      </c>
      <c r="U1156" s="45" t="str">
        <f>IFERROR(VLOOKUP(B1156,'Pre-Summary'!$Y$6:$AC$83, 4,FALSE),"")</f>
        <v/>
      </c>
      <c r="V1156" t="str">
        <f>IFERROR(VLOOKUP(B1156,'Pre-Summary'!$Y$6:$AC$83, 5,FALSE),"")</f>
        <v/>
      </c>
      <c r="W1156" s="45" t="str">
        <f>IFERROR(VLOOKUP(B1156,'Pre-Summary'!$Y$6:$AD$83,6,FALSE),"")</f>
        <v/>
      </c>
      <c r="X1156" t="str">
        <f>IFERROR(VLOOKUP('Pre-Summary'!$DB$6:$DD$63,3,FALSE),"")</f>
        <v/>
      </c>
      <c r="Y1156" t="str">
        <f>IFERROR(VLOOKUP(B1156,'Pre-Summary'!$CR$6:$CT$36,3,FALSE),"")</f>
        <v/>
      </c>
      <c r="Z1156" s="45" t="str">
        <f>IFERROR(VLOOKUP(B1156,'Pre-Summary'!$BZ$6:$CB$63,2,FALSE),"")</f>
        <v/>
      </c>
      <c r="AA1156" s="45" t="str">
        <f>IFERROR(VLOOKUP(B1156,'Pre-Summary'!$CG$6:$CI$70,2,FALSE),"")</f>
        <v/>
      </c>
      <c r="AB1156" s="99">
        <f>IFERROR(VLOOKUP(B1156,'Pre-Summary'!$A$6:$P$178,9,FALSE),AB1157)</f>
        <v>0.45533763440924657</v>
      </c>
      <c r="AC1156" s="10">
        <f>IFERROR(VLOOKUP(Summary!B1156,'Pre-Summary'!$A$6:$P$184,5, FALSE)/100,AC1157)</f>
        <v>0.89807866666666669</v>
      </c>
      <c r="AD1156" s="10">
        <f>IFERROR(VLOOKUP(Summary!B1156,'Pre-Summary'!$A$6:$P$184,3, FALSE)/100,AD1157)</f>
        <v>1.5917000000000001E-2</v>
      </c>
      <c r="AE1156" s="10">
        <f>IFERROR(VLOOKUP(Summary!B1156,'Pre-Summary'!$A$6:$P$184,7, FALSE)/100,AE1157)</f>
        <v>8.6004666666666674E-2</v>
      </c>
      <c r="AF1156" s="99">
        <f t="shared" si="55"/>
        <v>7.2476091268919782E-3</v>
      </c>
      <c r="AG1156" s="99">
        <f t="shared" si="56"/>
        <v>3.9161161468155785E-2</v>
      </c>
      <c r="AH1156" s="10" t="str">
        <f>IFERROR(VLOOKUP(B1156,'Pre-Summary'!$AZ$6:$BE$65,3,FALSE),"")</f>
        <v/>
      </c>
      <c r="AI1156" s="10" t="str">
        <f>IFERROR(VLOOKUP(B1156,'Pre-Summary'!$AZ$6:$BE$65,5,FALSE),"")</f>
        <v/>
      </c>
      <c r="AJ1156" s="10" t="str">
        <f>IFERROR(VLOOKUP(B1156,'Pre-Summary'!$AZ$6:$BE$65,4,FALSE),"")</f>
        <v/>
      </c>
      <c r="AK1156" s="10" t="str">
        <f>IFERROR(VLOOKUP(B1156,'Pre-Summary'!$AZ$6:$BE$65,6,FALSE),"")</f>
        <v/>
      </c>
      <c r="AL1156" s="10" t="str">
        <f>IFERROR(VLOOKUP(B1156,'Pre-Summary'!$BG$6:$BL$44,3,FALSE),"")</f>
        <v/>
      </c>
      <c r="AM1156" s="10" t="str">
        <f>IFERROR(VLOOKUP(B1156,'Pre-Summary'!$BG$6:$BL$44,4,FALSE),"")</f>
        <v/>
      </c>
    </row>
    <row r="1157" spans="2:39" ht="15" customHeight="1" x14ac:dyDescent="0.3">
      <c r="B1157">
        <v>115.4</v>
      </c>
      <c r="C1157" t="str">
        <f>IFERROR(VLOOKUP(B1157,'Pre-Summary'!$DI$6:$DM$23,4,FALSE),"")</f>
        <v/>
      </c>
      <c r="D1157" s="10" t="str">
        <f>IFERROR(VLOOKUP(B1157,'Pre-Summary'!$AT$6:$AX$14,5,FALSE),D1156)</f>
        <v>DSMZ v4: dropped out methanol</v>
      </c>
      <c r="E1157" s="10" t="str">
        <f>IFERROR(VLOOKUP(B1157,'Pre-Summary'!$AT$6:$AX$15,4,FALSE),"")</f>
        <v/>
      </c>
      <c r="F1157">
        <f>IFERROR(VLOOKUP(B1157,'Pre-Summary'!$AL$6:$AQ$13,6,FALSE),F1156)</f>
        <v>5.9405263157894746E-2</v>
      </c>
      <c r="G1157" t="str">
        <f>IFERROR(VLOOKUP(B1157,'Pre-Summary'!$AE$6:$AJ$85,3,FALSE),"")</f>
        <v/>
      </c>
      <c r="H1157" t="str">
        <f>IFERROR(VLOOKUP(B1157,'Pre-Summary'!$AE$6:$AJ$85,4,FALSE),"")</f>
        <v/>
      </c>
      <c r="I1157" t="str">
        <f>IFERROR(VLOOKUP(B1157,'Pre-Summary'!$AE$6:$AJ$85,5,FALSE),"")</f>
        <v/>
      </c>
      <c r="J1157" s="45" t="str">
        <f>IFERROR(VLOOKUP(B1157,'Pre-Summary'!$AE$6:$AJ$85,6, FALSE),"")</f>
        <v/>
      </c>
      <c r="K1157" s="45" t="str">
        <f>IFERROR(VLOOKUP(B1157,'Pre-Summary'!$DE$6:$DG$61,3,FALSE),"")</f>
        <v/>
      </c>
      <c r="L1157" s="45" t="str">
        <f>IFERROR(VLOOKUP(B1157,'Pre-Summary'!$CU$6:$CW$36,3,FALSE),"")</f>
        <v/>
      </c>
      <c r="M1157" s="45" t="str">
        <f>IFERROR(VLOOKUP(B1157,'Pre-Summary'!$BW$6:$BY$58,2,FALSE),"")</f>
        <v/>
      </c>
      <c r="N1157" s="45" t="str">
        <f>IFERROR(VLOOKUP(B1157,'Pre-Summary'!$CD$6:$CF$64,2,FALSE),"")</f>
        <v/>
      </c>
      <c r="O1157" s="99">
        <f>IFERROR(VLOOKUP(B1157,'Pre-Summary'!$BO$6:$BQ$48,3, FALSE),O1156)</f>
        <v>1.2</v>
      </c>
      <c r="P1157" s="99">
        <f>IFERROR(VLOOKUP(B1157,'Pre-Summary'!$BS$6:$BU$35,3,FALSE),P1156)</f>
        <v>0.3</v>
      </c>
      <c r="Q1157" s="54">
        <f t="shared" si="54"/>
        <v>4</v>
      </c>
      <c r="R1157" s="53">
        <f>IFERROR(VLOOKUP(B1157,'Pre-Summary'!$BG$6:$BM$44,7,FALSE),R1158)</f>
        <v>7.6574939085447311E-2</v>
      </c>
      <c r="S1157" s="53">
        <f>IFERROR(VLOOKUP(B1157,'Pre-Summary'!$BG$6:$BM$44,6,FALSE),S1158)</f>
        <v>6.8761751275839902E-2</v>
      </c>
      <c r="T1157" s="45" t="str">
        <f>IFERROR(VLOOKUP(B1157,'Pre-Summary'!$Y$6:$AC$83, 3,FALSE),"")</f>
        <v/>
      </c>
      <c r="U1157" s="45" t="str">
        <f>IFERROR(VLOOKUP(B1157,'Pre-Summary'!$Y$6:$AC$83, 4,FALSE),"")</f>
        <v/>
      </c>
      <c r="V1157" t="str">
        <f>IFERROR(VLOOKUP(B1157,'Pre-Summary'!$Y$6:$AC$83, 5,FALSE),"")</f>
        <v/>
      </c>
      <c r="W1157" s="45" t="str">
        <f>IFERROR(VLOOKUP(B1157,'Pre-Summary'!$Y$6:$AD$83,6,FALSE),"")</f>
        <v/>
      </c>
      <c r="X1157" t="str">
        <f>IFERROR(VLOOKUP('Pre-Summary'!$DB$6:$DD$63,3,FALSE),"")</f>
        <v/>
      </c>
      <c r="Y1157" t="str">
        <f>IFERROR(VLOOKUP(B1157,'Pre-Summary'!$CR$6:$CT$36,3,FALSE),"")</f>
        <v/>
      </c>
      <c r="Z1157" s="45" t="str">
        <f>IFERROR(VLOOKUP(B1157,'Pre-Summary'!$BZ$6:$CB$63,2,FALSE),"")</f>
        <v/>
      </c>
      <c r="AA1157" s="45" t="str">
        <f>IFERROR(VLOOKUP(B1157,'Pre-Summary'!$CG$6:$CI$70,2,FALSE),"")</f>
        <v/>
      </c>
      <c r="AB1157" s="99">
        <f>IFERROR(VLOOKUP(B1157,'Pre-Summary'!$A$6:$P$178,9,FALSE),AB1158)</f>
        <v>0.45533763440924657</v>
      </c>
      <c r="AC1157" s="10">
        <f>IFERROR(VLOOKUP(Summary!B1157,'Pre-Summary'!$A$6:$P$184,5, FALSE)/100,AC1158)</f>
        <v>0.89807866666666669</v>
      </c>
      <c r="AD1157" s="10">
        <f>IFERROR(VLOOKUP(Summary!B1157,'Pre-Summary'!$A$6:$P$184,3, FALSE)/100,AD1158)</f>
        <v>1.5917000000000001E-2</v>
      </c>
      <c r="AE1157" s="10">
        <f>IFERROR(VLOOKUP(Summary!B1157,'Pre-Summary'!$A$6:$P$184,7, FALSE)/100,AE1158)</f>
        <v>8.6004666666666674E-2</v>
      </c>
      <c r="AF1157" s="99">
        <f t="shared" si="55"/>
        <v>7.2476091268919782E-3</v>
      </c>
      <c r="AG1157" s="99">
        <f t="shared" si="56"/>
        <v>3.9161161468155785E-2</v>
      </c>
      <c r="AH1157" s="10" t="str">
        <f>IFERROR(VLOOKUP(B1157,'Pre-Summary'!$AZ$6:$BE$65,3,FALSE),"")</f>
        <v/>
      </c>
      <c r="AI1157" s="10" t="str">
        <f>IFERROR(VLOOKUP(B1157,'Pre-Summary'!$AZ$6:$BE$65,5,FALSE),"")</f>
        <v/>
      </c>
      <c r="AJ1157" s="10" t="str">
        <f>IFERROR(VLOOKUP(B1157,'Pre-Summary'!$AZ$6:$BE$65,4,FALSE),"")</f>
        <v/>
      </c>
      <c r="AK1157" s="10" t="str">
        <f>IFERROR(VLOOKUP(B1157,'Pre-Summary'!$AZ$6:$BE$65,6,FALSE),"")</f>
        <v/>
      </c>
      <c r="AL1157" s="10" t="str">
        <f>IFERROR(VLOOKUP(B1157,'Pre-Summary'!$BG$6:$BL$44,3,FALSE),"")</f>
        <v/>
      </c>
      <c r="AM1157" s="10" t="str">
        <f>IFERROR(VLOOKUP(B1157,'Pre-Summary'!$BG$6:$BL$44,4,FALSE),"")</f>
        <v/>
      </c>
    </row>
    <row r="1158" spans="2:39" ht="15" customHeight="1" x14ac:dyDescent="0.3">
      <c r="B1158">
        <v>115.5</v>
      </c>
      <c r="C1158" t="str">
        <f>IFERROR(VLOOKUP(B1158,'Pre-Summary'!$DI$6:$DM$23,4,FALSE),"")</f>
        <v/>
      </c>
      <c r="D1158" s="10" t="str">
        <f>IFERROR(VLOOKUP(B1158,'Pre-Summary'!$AT$6:$AX$14,5,FALSE),D1157)</f>
        <v>DSMZ v4: dropped out methanol</v>
      </c>
      <c r="E1158" s="10" t="str">
        <f>IFERROR(VLOOKUP(B1158,'Pre-Summary'!$AT$6:$AX$15,4,FALSE),"")</f>
        <v/>
      </c>
      <c r="F1158">
        <f>IFERROR(VLOOKUP(B1158,'Pre-Summary'!$AL$6:$AQ$13,6,FALSE),F1157)</f>
        <v>5.9405263157894746E-2</v>
      </c>
      <c r="G1158" t="str">
        <f>IFERROR(VLOOKUP(B1158,'Pre-Summary'!$AE$6:$AJ$85,3,FALSE),"")</f>
        <v/>
      </c>
      <c r="H1158" t="str">
        <f>IFERROR(VLOOKUP(B1158,'Pre-Summary'!$AE$6:$AJ$85,4,FALSE),"")</f>
        <v/>
      </c>
      <c r="I1158" t="str">
        <f>IFERROR(VLOOKUP(B1158,'Pre-Summary'!$AE$6:$AJ$85,5,FALSE),"")</f>
        <v/>
      </c>
      <c r="J1158" s="45" t="str">
        <f>IFERROR(VLOOKUP(B1158,'Pre-Summary'!$AE$6:$AJ$85,6, FALSE),"")</f>
        <v/>
      </c>
      <c r="K1158" s="45" t="str">
        <f>IFERROR(VLOOKUP(B1158,'Pre-Summary'!$DE$6:$DG$61,3,FALSE),"")</f>
        <v/>
      </c>
      <c r="L1158" s="45" t="str">
        <f>IFERROR(VLOOKUP(B1158,'Pre-Summary'!$CU$6:$CW$36,3,FALSE),"")</f>
        <v/>
      </c>
      <c r="M1158" s="45" t="str">
        <f>IFERROR(VLOOKUP(B1158,'Pre-Summary'!$BW$6:$BY$58,2,FALSE),"")</f>
        <v/>
      </c>
      <c r="N1158" s="45" t="str">
        <f>IFERROR(VLOOKUP(B1158,'Pre-Summary'!$CD$6:$CF$64,2,FALSE),"")</f>
        <v/>
      </c>
      <c r="O1158" s="99">
        <f>IFERROR(VLOOKUP(B1158,'Pre-Summary'!$BO$6:$BQ$48,3, FALSE),O1157)</f>
        <v>1.2</v>
      </c>
      <c r="P1158" s="99">
        <f>IFERROR(VLOOKUP(B1158,'Pre-Summary'!$BS$6:$BU$35,3,FALSE),P1157)</f>
        <v>0.3</v>
      </c>
      <c r="Q1158" s="54">
        <f t="shared" si="54"/>
        <v>4</v>
      </c>
      <c r="R1158" s="53">
        <f>IFERROR(VLOOKUP(B1158,'Pre-Summary'!$BG$6:$BM$44,7,FALSE),R1159)</f>
        <v>7.6574939085447311E-2</v>
      </c>
      <c r="S1158" s="53">
        <f>IFERROR(VLOOKUP(B1158,'Pre-Summary'!$BG$6:$BM$44,6,FALSE),S1159)</f>
        <v>6.8761751275839902E-2</v>
      </c>
      <c r="T1158" s="45" t="str">
        <f>IFERROR(VLOOKUP(B1158,'Pre-Summary'!$Y$6:$AC$83, 3,FALSE),"")</f>
        <v/>
      </c>
      <c r="U1158" s="45" t="str">
        <f>IFERROR(VLOOKUP(B1158,'Pre-Summary'!$Y$6:$AC$83, 4,FALSE),"")</f>
        <v/>
      </c>
      <c r="V1158" t="str">
        <f>IFERROR(VLOOKUP(B1158,'Pre-Summary'!$Y$6:$AC$83, 5,FALSE),"")</f>
        <v/>
      </c>
      <c r="W1158" s="45" t="str">
        <f>IFERROR(VLOOKUP(B1158,'Pre-Summary'!$Y$6:$AD$83,6,FALSE),"")</f>
        <v/>
      </c>
      <c r="X1158" t="str">
        <f>IFERROR(VLOOKUP('Pre-Summary'!$DB$6:$DD$63,3,FALSE),"")</f>
        <v/>
      </c>
      <c r="Y1158" t="str">
        <f>IFERROR(VLOOKUP(B1158,'Pre-Summary'!$CR$6:$CT$36,3,FALSE),"")</f>
        <v/>
      </c>
      <c r="Z1158" s="45" t="str">
        <f>IFERROR(VLOOKUP(B1158,'Pre-Summary'!$BZ$6:$CB$63,2,FALSE),"")</f>
        <v/>
      </c>
      <c r="AA1158" s="45" t="str">
        <f>IFERROR(VLOOKUP(B1158,'Pre-Summary'!$CG$6:$CI$70,2,FALSE),"")</f>
        <v/>
      </c>
      <c r="AB1158" s="99">
        <f>IFERROR(VLOOKUP(B1158,'Pre-Summary'!$A$6:$P$178,9,FALSE),AB1159)</f>
        <v>0.45533763440924657</v>
      </c>
      <c r="AC1158" s="10">
        <f>IFERROR(VLOOKUP(Summary!B1158,'Pre-Summary'!$A$6:$P$184,5, FALSE)/100,AC1159)</f>
        <v>0.89807866666666669</v>
      </c>
      <c r="AD1158" s="10">
        <f>IFERROR(VLOOKUP(Summary!B1158,'Pre-Summary'!$A$6:$P$184,3, FALSE)/100,AD1159)</f>
        <v>1.5917000000000001E-2</v>
      </c>
      <c r="AE1158" s="10">
        <f>IFERROR(VLOOKUP(Summary!B1158,'Pre-Summary'!$A$6:$P$184,7, FALSE)/100,AE1159)</f>
        <v>8.6004666666666674E-2</v>
      </c>
      <c r="AF1158" s="99">
        <f t="shared" si="55"/>
        <v>7.2476091268919782E-3</v>
      </c>
      <c r="AG1158" s="99">
        <f t="shared" si="56"/>
        <v>3.9161161468155785E-2</v>
      </c>
      <c r="AH1158" s="10" t="str">
        <f>IFERROR(VLOOKUP(B1158,'Pre-Summary'!$AZ$6:$BE$65,3,FALSE),"")</f>
        <v/>
      </c>
      <c r="AI1158" s="10" t="str">
        <f>IFERROR(VLOOKUP(B1158,'Pre-Summary'!$AZ$6:$BE$65,5,FALSE),"")</f>
        <v/>
      </c>
      <c r="AJ1158" s="10" t="str">
        <f>IFERROR(VLOOKUP(B1158,'Pre-Summary'!$AZ$6:$BE$65,4,FALSE),"")</f>
        <v/>
      </c>
      <c r="AK1158" s="10" t="str">
        <f>IFERROR(VLOOKUP(B1158,'Pre-Summary'!$AZ$6:$BE$65,6,FALSE),"")</f>
        <v/>
      </c>
      <c r="AL1158" s="10" t="str">
        <f>IFERROR(VLOOKUP(B1158,'Pre-Summary'!$BG$6:$BL$44,3,FALSE),"")</f>
        <v/>
      </c>
      <c r="AM1158" s="10" t="str">
        <f>IFERROR(VLOOKUP(B1158,'Pre-Summary'!$BG$6:$BL$44,4,FALSE),"")</f>
        <v/>
      </c>
    </row>
    <row r="1159" spans="2:39" ht="15" customHeight="1" x14ac:dyDescent="0.3">
      <c r="B1159">
        <v>115.6</v>
      </c>
      <c r="C1159" t="str">
        <f>IFERROR(VLOOKUP(B1159,'Pre-Summary'!$DI$6:$DM$23,4,FALSE),"")</f>
        <v/>
      </c>
      <c r="D1159" s="10" t="str">
        <f>IFERROR(VLOOKUP(B1159,'Pre-Summary'!$AT$6:$AX$14,5,FALSE),D1158)</f>
        <v>DSMZ v4: dropped out methanol</v>
      </c>
      <c r="E1159" s="10" t="str">
        <f>IFERROR(VLOOKUP(B1159,'Pre-Summary'!$AT$6:$AX$15,4,FALSE),"")</f>
        <v/>
      </c>
      <c r="F1159">
        <f>IFERROR(VLOOKUP(B1159,'Pre-Summary'!$AL$6:$AQ$13,6,FALSE),F1158)</f>
        <v>5.9405263157894746E-2</v>
      </c>
      <c r="G1159" t="str">
        <f>IFERROR(VLOOKUP(B1159,'Pre-Summary'!$AE$6:$AJ$85,3,FALSE),"")</f>
        <v/>
      </c>
      <c r="H1159" t="str">
        <f>IFERROR(VLOOKUP(B1159,'Pre-Summary'!$AE$6:$AJ$85,4,FALSE),"")</f>
        <v/>
      </c>
      <c r="I1159" t="str">
        <f>IFERROR(VLOOKUP(B1159,'Pre-Summary'!$AE$6:$AJ$85,5,FALSE),"")</f>
        <v/>
      </c>
      <c r="J1159" s="45" t="str">
        <f>IFERROR(VLOOKUP(B1159,'Pre-Summary'!$AE$6:$AJ$85,6, FALSE),"")</f>
        <v/>
      </c>
      <c r="K1159" s="45" t="str">
        <f>IFERROR(VLOOKUP(B1159,'Pre-Summary'!$DE$6:$DG$61,3,FALSE),"")</f>
        <v/>
      </c>
      <c r="L1159" s="45" t="str">
        <f>IFERROR(VLOOKUP(B1159,'Pre-Summary'!$CU$6:$CW$36,3,FALSE),"")</f>
        <v/>
      </c>
      <c r="M1159" s="45" t="str">
        <f>IFERROR(VLOOKUP(B1159,'Pre-Summary'!$BW$6:$BY$58,2,FALSE),"")</f>
        <v/>
      </c>
      <c r="N1159" s="45" t="str">
        <f>IFERROR(VLOOKUP(B1159,'Pre-Summary'!$CD$6:$CF$64,2,FALSE),"")</f>
        <v/>
      </c>
      <c r="O1159" s="99">
        <f>IFERROR(VLOOKUP(B1159,'Pre-Summary'!$BO$6:$BQ$48,3, FALSE),O1158)</f>
        <v>1.2</v>
      </c>
      <c r="P1159" s="99">
        <f>IFERROR(VLOOKUP(B1159,'Pre-Summary'!$BS$6:$BU$35,3,FALSE),P1158)</f>
        <v>0.3</v>
      </c>
      <c r="Q1159" s="54">
        <f t="shared" si="54"/>
        <v>4</v>
      </c>
      <c r="R1159" s="53">
        <f>IFERROR(VLOOKUP(B1159,'Pre-Summary'!$BG$6:$BM$44,7,FALSE),R1160)</f>
        <v>7.6574939085447311E-2</v>
      </c>
      <c r="S1159" s="53">
        <f>IFERROR(VLOOKUP(B1159,'Pre-Summary'!$BG$6:$BM$44,6,FALSE),S1160)</f>
        <v>6.8761751275839902E-2</v>
      </c>
      <c r="T1159" s="45" t="str">
        <f>IFERROR(VLOOKUP(B1159,'Pre-Summary'!$Y$6:$AC$83, 3,FALSE),"")</f>
        <v/>
      </c>
      <c r="U1159" s="45" t="str">
        <f>IFERROR(VLOOKUP(B1159,'Pre-Summary'!$Y$6:$AC$83, 4,FALSE),"")</f>
        <v/>
      </c>
      <c r="V1159" t="str">
        <f>IFERROR(VLOOKUP(B1159,'Pre-Summary'!$Y$6:$AC$83, 5,FALSE),"")</f>
        <v/>
      </c>
      <c r="W1159" s="45" t="str">
        <f>IFERROR(VLOOKUP(B1159,'Pre-Summary'!$Y$6:$AD$83,6,FALSE),"")</f>
        <v/>
      </c>
      <c r="X1159" t="str">
        <f>IFERROR(VLOOKUP('Pre-Summary'!$DB$6:$DD$63,3,FALSE),"")</f>
        <v/>
      </c>
      <c r="Y1159" t="str">
        <f>IFERROR(VLOOKUP(B1159,'Pre-Summary'!$CR$6:$CT$36,3,FALSE),"")</f>
        <v/>
      </c>
      <c r="Z1159" s="45" t="str">
        <f>IFERROR(VLOOKUP(B1159,'Pre-Summary'!$BZ$6:$CB$63,2,FALSE),"")</f>
        <v/>
      </c>
      <c r="AA1159" s="45" t="str">
        <f>IFERROR(VLOOKUP(B1159,'Pre-Summary'!$CG$6:$CI$70,2,FALSE),"")</f>
        <v/>
      </c>
      <c r="AB1159" s="99">
        <f>IFERROR(VLOOKUP(B1159,'Pre-Summary'!$A$6:$P$178,9,FALSE),AB1160)</f>
        <v>0.45533763440924657</v>
      </c>
      <c r="AC1159" s="10">
        <f>IFERROR(VLOOKUP(Summary!B1159,'Pre-Summary'!$A$6:$P$184,5, FALSE)/100,AC1160)</f>
        <v>0.89807866666666669</v>
      </c>
      <c r="AD1159" s="10">
        <f>IFERROR(VLOOKUP(Summary!B1159,'Pre-Summary'!$A$6:$P$184,3, FALSE)/100,AD1160)</f>
        <v>1.5917000000000001E-2</v>
      </c>
      <c r="AE1159" s="10">
        <f>IFERROR(VLOOKUP(Summary!B1159,'Pre-Summary'!$A$6:$P$184,7, FALSE)/100,AE1160)</f>
        <v>8.6004666666666674E-2</v>
      </c>
      <c r="AF1159" s="99">
        <f t="shared" si="55"/>
        <v>7.2476091268919782E-3</v>
      </c>
      <c r="AG1159" s="99">
        <f t="shared" si="56"/>
        <v>3.9161161468155785E-2</v>
      </c>
      <c r="AH1159" s="10" t="str">
        <f>IFERROR(VLOOKUP(B1159,'Pre-Summary'!$AZ$6:$BE$65,3,FALSE),"")</f>
        <v/>
      </c>
      <c r="AI1159" s="10" t="str">
        <f>IFERROR(VLOOKUP(B1159,'Pre-Summary'!$AZ$6:$BE$65,5,FALSE),"")</f>
        <v/>
      </c>
      <c r="AJ1159" s="10" t="str">
        <f>IFERROR(VLOOKUP(B1159,'Pre-Summary'!$AZ$6:$BE$65,4,FALSE),"")</f>
        <v/>
      </c>
      <c r="AK1159" s="10" t="str">
        <f>IFERROR(VLOOKUP(B1159,'Pre-Summary'!$AZ$6:$BE$65,6,FALSE),"")</f>
        <v/>
      </c>
      <c r="AL1159" s="10" t="str">
        <f>IFERROR(VLOOKUP(B1159,'Pre-Summary'!$BG$6:$BL$44,3,FALSE),"")</f>
        <v/>
      </c>
      <c r="AM1159" s="10" t="str">
        <f>IFERROR(VLOOKUP(B1159,'Pre-Summary'!$BG$6:$BL$44,4,FALSE),"")</f>
        <v/>
      </c>
    </row>
    <row r="1160" spans="2:39" ht="15" customHeight="1" x14ac:dyDescent="0.3">
      <c r="B1160">
        <v>115.7</v>
      </c>
      <c r="C1160" t="str">
        <f>IFERROR(VLOOKUP(B1160,'Pre-Summary'!$DI$6:$DM$23,4,FALSE),"")</f>
        <v/>
      </c>
      <c r="D1160" s="10" t="str">
        <f>IFERROR(VLOOKUP(B1160,'Pre-Summary'!$AT$6:$AX$14,5,FALSE),D1159)</f>
        <v>DSMZ v4: dropped out methanol</v>
      </c>
      <c r="E1160" s="10" t="str">
        <f>IFERROR(VLOOKUP(B1160,'Pre-Summary'!$AT$6:$AX$15,4,FALSE),"")</f>
        <v/>
      </c>
      <c r="F1160">
        <f>IFERROR(VLOOKUP(B1160,'Pre-Summary'!$AL$6:$AQ$13,6,FALSE),F1159)</f>
        <v>5.9405263157894746E-2</v>
      </c>
      <c r="G1160" t="str">
        <f>IFERROR(VLOOKUP(B1160,'Pre-Summary'!$AE$6:$AJ$85,3,FALSE),"")</f>
        <v/>
      </c>
      <c r="H1160" t="str">
        <f>IFERROR(VLOOKUP(B1160,'Pre-Summary'!$AE$6:$AJ$85,4,FALSE),"")</f>
        <v/>
      </c>
      <c r="I1160" t="str">
        <f>IFERROR(VLOOKUP(B1160,'Pre-Summary'!$AE$6:$AJ$85,5,FALSE),"")</f>
        <v/>
      </c>
      <c r="J1160" s="45" t="str">
        <f>IFERROR(VLOOKUP(B1160,'Pre-Summary'!$AE$6:$AJ$85,6, FALSE),"")</f>
        <v/>
      </c>
      <c r="K1160" s="45" t="str">
        <f>IFERROR(VLOOKUP(B1160,'Pre-Summary'!$DE$6:$DG$61,3,FALSE),"")</f>
        <v/>
      </c>
      <c r="L1160" s="45" t="str">
        <f>IFERROR(VLOOKUP(B1160,'Pre-Summary'!$CU$6:$CW$36,3,FALSE),"")</f>
        <v/>
      </c>
      <c r="M1160" s="45" t="str">
        <f>IFERROR(VLOOKUP(B1160,'Pre-Summary'!$BW$6:$BY$58,2,FALSE),"")</f>
        <v/>
      </c>
      <c r="N1160" s="45" t="str">
        <f>IFERROR(VLOOKUP(B1160,'Pre-Summary'!$CD$6:$CF$64,2,FALSE),"")</f>
        <v/>
      </c>
      <c r="O1160" s="99">
        <f>IFERROR(VLOOKUP(B1160,'Pre-Summary'!$BO$6:$BQ$48,3, FALSE),O1159)</f>
        <v>1.2</v>
      </c>
      <c r="P1160" s="99">
        <f>IFERROR(VLOOKUP(B1160,'Pre-Summary'!$BS$6:$BU$35,3,FALSE),P1159)</f>
        <v>0.3</v>
      </c>
      <c r="Q1160" s="54">
        <f t="shared" si="54"/>
        <v>4</v>
      </c>
      <c r="R1160" s="53">
        <f>IFERROR(VLOOKUP(B1160,'Pre-Summary'!$BG$6:$BM$44,7,FALSE),R1161)</f>
        <v>7.6574939085447311E-2</v>
      </c>
      <c r="S1160" s="53">
        <f>IFERROR(VLOOKUP(B1160,'Pre-Summary'!$BG$6:$BM$44,6,FALSE),S1161)</f>
        <v>6.8761751275839902E-2</v>
      </c>
      <c r="T1160" s="45" t="str">
        <f>IFERROR(VLOOKUP(B1160,'Pre-Summary'!$Y$6:$AC$83, 3,FALSE),"")</f>
        <v/>
      </c>
      <c r="U1160" s="45" t="str">
        <f>IFERROR(VLOOKUP(B1160,'Pre-Summary'!$Y$6:$AC$83, 4,FALSE),"")</f>
        <v/>
      </c>
      <c r="V1160" t="str">
        <f>IFERROR(VLOOKUP(B1160,'Pre-Summary'!$Y$6:$AC$83, 5,FALSE),"")</f>
        <v/>
      </c>
      <c r="W1160" s="45" t="str">
        <f>IFERROR(VLOOKUP(B1160,'Pre-Summary'!$Y$6:$AD$83,6,FALSE),"")</f>
        <v/>
      </c>
      <c r="X1160" t="str">
        <f>IFERROR(VLOOKUP('Pre-Summary'!$DB$6:$DD$63,3,FALSE),"")</f>
        <v/>
      </c>
      <c r="Y1160" t="str">
        <f>IFERROR(VLOOKUP(B1160,'Pre-Summary'!$CR$6:$CT$36,3,FALSE),"")</f>
        <v/>
      </c>
      <c r="Z1160" s="45" t="str">
        <f>IFERROR(VLOOKUP(B1160,'Pre-Summary'!$BZ$6:$CB$63,2,FALSE),"")</f>
        <v/>
      </c>
      <c r="AA1160" s="45" t="str">
        <f>IFERROR(VLOOKUP(B1160,'Pre-Summary'!$CG$6:$CI$70,2,FALSE),"")</f>
        <v/>
      </c>
      <c r="AB1160" s="99">
        <f>IFERROR(VLOOKUP(B1160,'Pre-Summary'!$A$6:$P$178,9,FALSE),AB1161)</f>
        <v>0.45533763440924657</v>
      </c>
      <c r="AC1160" s="10">
        <f>IFERROR(VLOOKUP(Summary!B1160,'Pre-Summary'!$A$6:$P$184,5, FALSE)/100,AC1161)</f>
        <v>0.89807866666666669</v>
      </c>
      <c r="AD1160" s="10">
        <f>IFERROR(VLOOKUP(Summary!B1160,'Pre-Summary'!$A$6:$P$184,3, FALSE)/100,AD1161)</f>
        <v>1.5917000000000001E-2</v>
      </c>
      <c r="AE1160" s="10">
        <f>IFERROR(VLOOKUP(Summary!B1160,'Pre-Summary'!$A$6:$P$184,7, FALSE)/100,AE1161)</f>
        <v>8.6004666666666674E-2</v>
      </c>
      <c r="AF1160" s="99">
        <f t="shared" si="55"/>
        <v>7.2476091268919782E-3</v>
      </c>
      <c r="AG1160" s="99">
        <f t="shared" si="56"/>
        <v>3.9161161468155785E-2</v>
      </c>
      <c r="AH1160" s="10" t="str">
        <f>IFERROR(VLOOKUP(B1160,'Pre-Summary'!$AZ$6:$BE$65,3,FALSE),"")</f>
        <v/>
      </c>
      <c r="AI1160" s="10" t="str">
        <f>IFERROR(VLOOKUP(B1160,'Pre-Summary'!$AZ$6:$BE$65,5,FALSE),"")</f>
        <v/>
      </c>
      <c r="AJ1160" s="10" t="str">
        <f>IFERROR(VLOOKUP(B1160,'Pre-Summary'!$AZ$6:$BE$65,4,FALSE),"")</f>
        <v/>
      </c>
      <c r="AK1160" s="10" t="str">
        <f>IFERROR(VLOOKUP(B1160,'Pre-Summary'!$AZ$6:$BE$65,6,FALSE),"")</f>
        <v/>
      </c>
      <c r="AL1160" s="10" t="str">
        <f>IFERROR(VLOOKUP(B1160,'Pre-Summary'!$BG$6:$BL$44,3,FALSE),"")</f>
        <v/>
      </c>
      <c r="AM1160" s="10" t="str">
        <f>IFERROR(VLOOKUP(B1160,'Pre-Summary'!$BG$6:$BL$44,4,FALSE),"")</f>
        <v/>
      </c>
    </row>
    <row r="1161" spans="2:39" ht="15" customHeight="1" x14ac:dyDescent="0.3">
      <c r="B1161">
        <v>115.8</v>
      </c>
      <c r="C1161" t="str">
        <f>IFERROR(VLOOKUP(B1161,'Pre-Summary'!$DI$6:$DM$23,4,FALSE),"")</f>
        <v/>
      </c>
      <c r="D1161" s="10" t="str">
        <f>IFERROR(VLOOKUP(B1161,'Pre-Summary'!$AT$6:$AX$14,5,FALSE),D1160)</f>
        <v>DSMZ v4: dropped out methanol</v>
      </c>
      <c r="E1161" s="10" t="str">
        <f>IFERROR(VLOOKUP(B1161,'Pre-Summary'!$AT$6:$AX$15,4,FALSE),"")</f>
        <v/>
      </c>
      <c r="F1161">
        <f>IFERROR(VLOOKUP(B1161,'Pre-Summary'!$AL$6:$AQ$13,6,FALSE),F1160)</f>
        <v>5.9405263157894746E-2</v>
      </c>
      <c r="G1161" t="str">
        <f>IFERROR(VLOOKUP(B1161,'Pre-Summary'!$AE$6:$AJ$85,3,FALSE),"")</f>
        <v/>
      </c>
      <c r="H1161" t="str">
        <f>IFERROR(VLOOKUP(B1161,'Pre-Summary'!$AE$6:$AJ$85,4,FALSE),"")</f>
        <v/>
      </c>
      <c r="I1161" t="str">
        <f>IFERROR(VLOOKUP(B1161,'Pre-Summary'!$AE$6:$AJ$85,5,FALSE),"")</f>
        <v/>
      </c>
      <c r="J1161" s="45" t="str">
        <f>IFERROR(VLOOKUP(B1161,'Pre-Summary'!$AE$6:$AJ$85,6, FALSE),"")</f>
        <v/>
      </c>
      <c r="K1161" s="45" t="str">
        <f>IFERROR(VLOOKUP(B1161,'Pre-Summary'!$DE$6:$DG$61,3,FALSE),"")</f>
        <v/>
      </c>
      <c r="L1161" s="45" t="str">
        <f>IFERROR(VLOOKUP(B1161,'Pre-Summary'!$CU$6:$CW$36,3,FALSE),"")</f>
        <v/>
      </c>
      <c r="M1161" s="45" t="str">
        <f>IFERROR(VLOOKUP(B1161,'Pre-Summary'!$BW$6:$BY$58,2,FALSE),"")</f>
        <v/>
      </c>
      <c r="N1161" s="45" t="str">
        <f>IFERROR(VLOOKUP(B1161,'Pre-Summary'!$CD$6:$CF$64,2,FALSE),"")</f>
        <v/>
      </c>
      <c r="O1161" s="99">
        <f>IFERROR(VLOOKUP(B1161,'Pre-Summary'!$BO$6:$BQ$48,3, FALSE),O1160)</f>
        <v>1.2</v>
      </c>
      <c r="P1161" s="99">
        <f>IFERROR(VLOOKUP(B1161,'Pre-Summary'!$BS$6:$BU$35,3,FALSE),P1160)</f>
        <v>0.3</v>
      </c>
      <c r="Q1161" s="54">
        <f t="shared" si="54"/>
        <v>4</v>
      </c>
      <c r="R1161" s="53">
        <f>IFERROR(VLOOKUP(B1161,'Pre-Summary'!$BG$6:$BM$44,7,FALSE),R1162)</f>
        <v>7.6574939085447311E-2</v>
      </c>
      <c r="S1161" s="53">
        <f>IFERROR(VLOOKUP(B1161,'Pre-Summary'!$BG$6:$BM$44,6,FALSE),S1162)</f>
        <v>6.8761751275839902E-2</v>
      </c>
      <c r="T1161" s="45" t="str">
        <f>IFERROR(VLOOKUP(B1161,'Pre-Summary'!$Y$6:$AC$83, 3,FALSE),"")</f>
        <v/>
      </c>
      <c r="U1161" s="45" t="str">
        <f>IFERROR(VLOOKUP(B1161,'Pre-Summary'!$Y$6:$AC$83, 4,FALSE),"")</f>
        <v/>
      </c>
      <c r="V1161" t="str">
        <f>IFERROR(VLOOKUP(B1161,'Pre-Summary'!$Y$6:$AC$83, 5,FALSE),"")</f>
        <v/>
      </c>
      <c r="W1161" s="45" t="str">
        <f>IFERROR(VLOOKUP(B1161,'Pre-Summary'!$Y$6:$AD$83,6,FALSE),"")</f>
        <v/>
      </c>
      <c r="X1161" t="str">
        <f>IFERROR(VLOOKUP('Pre-Summary'!$DB$6:$DD$63,3,FALSE),"")</f>
        <v/>
      </c>
      <c r="Y1161" t="str">
        <f>IFERROR(VLOOKUP(B1161,'Pre-Summary'!$CR$6:$CT$36,3,FALSE),"")</f>
        <v/>
      </c>
      <c r="Z1161" s="45" t="str">
        <f>IFERROR(VLOOKUP(B1161,'Pre-Summary'!$BZ$6:$CB$63,2,FALSE),"")</f>
        <v/>
      </c>
      <c r="AA1161" s="45" t="str">
        <f>IFERROR(VLOOKUP(B1161,'Pre-Summary'!$CG$6:$CI$70,2,FALSE),"")</f>
        <v/>
      </c>
      <c r="AB1161" s="99">
        <f>IFERROR(VLOOKUP(B1161,'Pre-Summary'!$A$6:$P$178,9,FALSE),AB1162)</f>
        <v>0.45533763440924657</v>
      </c>
      <c r="AC1161" s="10">
        <f>IFERROR(VLOOKUP(Summary!B1161,'Pre-Summary'!$A$6:$P$184,5, FALSE)/100,AC1162)</f>
        <v>0.89807866666666669</v>
      </c>
      <c r="AD1161" s="10">
        <f>IFERROR(VLOOKUP(Summary!B1161,'Pre-Summary'!$A$6:$P$184,3, FALSE)/100,AD1162)</f>
        <v>1.5917000000000001E-2</v>
      </c>
      <c r="AE1161" s="10">
        <f>IFERROR(VLOOKUP(Summary!B1161,'Pre-Summary'!$A$6:$P$184,7, FALSE)/100,AE1162)</f>
        <v>8.6004666666666674E-2</v>
      </c>
      <c r="AF1161" s="99">
        <f t="shared" si="55"/>
        <v>7.2476091268919782E-3</v>
      </c>
      <c r="AG1161" s="99">
        <f t="shared" si="56"/>
        <v>3.9161161468155785E-2</v>
      </c>
      <c r="AH1161" s="10" t="str">
        <f>IFERROR(VLOOKUP(B1161,'Pre-Summary'!$AZ$6:$BE$65,3,FALSE),"")</f>
        <v/>
      </c>
      <c r="AI1161" s="10" t="str">
        <f>IFERROR(VLOOKUP(B1161,'Pre-Summary'!$AZ$6:$BE$65,5,FALSE),"")</f>
        <v/>
      </c>
      <c r="AJ1161" s="10" t="str">
        <f>IFERROR(VLOOKUP(B1161,'Pre-Summary'!$AZ$6:$BE$65,4,FALSE),"")</f>
        <v/>
      </c>
      <c r="AK1161" s="10" t="str">
        <f>IFERROR(VLOOKUP(B1161,'Pre-Summary'!$AZ$6:$BE$65,6,FALSE),"")</f>
        <v/>
      </c>
      <c r="AL1161" s="10" t="str">
        <f>IFERROR(VLOOKUP(B1161,'Pre-Summary'!$BG$6:$BL$44,3,FALSE),"")</f>
        <v/>
      </c>
      <c r="AM1161" s="10" t="str">
        <f>IFERROR(VLOOKUP(B1161,'Pre-Summary'!$BG$6:$BL$44,4,FALSE),"")</f>
        <v/>
      </c>
    </row>
    <row r="1162" spans="2:39" ht="15" customHeight="1" x14ac:dyDescent="0.3">
      <c r="B1162">
        <v>115.9</v>
      </c>
      <c r="C1162" t="str">
        <f>IFERROR(VLOOKUP(B1162,'Pre-Summary'!$DI$6:$DM$23,4,FALSE),"")</f>
        <v/>
      </c>
      <c r="D1162" s="10" t="str">
        <f>IFERROR(VLOOKUP(B1162,'Pre-Summary'!$AT$6:$AX$14,5,FALSE),D1161)</f>
        <v>DSMZ v4: dropped out methanol</v>
      </c>
      <c r="E1162" s="10" t="str">
        <f>IFERROR(VLOOKUP(B1162,'Pre-Summary'!$AT$6:$AX$15,4,FALSE),"")</f>
        <v/>
      </c>
      <c r="F1162">
        <f>IFERROR(VLOOKUP(B1162,'Pre-Summary'!$AL$6:$AQ$13,6,FALSE),F1161)</f>
        <v>5.9405263157894746E-2</v>
      </c>
      <c r="G1162" t="str">
        <f>IFERROR(VLOOKUP(B1162,'Pre-Summary'!$AE$6:$AJ$85,3,FALSE),"")</f>
        <v/>
      </c>
      <c r="H1162" t="str">
        <f>IFERROR(VLOOKUP(B1162,'Pre-Summary'!$AE$6:$AJ$85,4,FALSE),"")</f>
        <v/>
      </c>
      <c r="I1162" t="str">
        <f>IFERROR(VLOOKUP(B1162,'Pre-Summary'!$AE$6:$AJ$85,5,FALSE),"")</f>
        <v/>
      </c>
      <c r="J1162" s="45" t="str">
        <f>IFERROR(VLOOKUP(B1162,'Pre-Summary'!$AE$6:$AJ$85,6, FALSE),"")</f>
        <v/>
      </c>
      <c r="K1162" s="45" t="str">
        <f>IFERROR(VLOOKUP(B1162,'Pre-Summary'!$DE$6:$DG$61,3,FALSE),"")</f>
        <v/>
      </c>
      <c r="L1162" s="45" t="str">
        <f>IFERROR(VLOOKUP(B1162,'Pre-Summary'!$CU$6:$CW$36,3,FALSE),"")</f>
        <v/>
      </c>
      <c r="M1162" s="45" t="str">
        <f>IFERROR(VLOOKUP(B1162,'Pre-Summary'!$BW$6:$BY$58,2,FALSE),"")</f>
        <v/>
      </c>
      <c r="N1162" s="45" t="str">
        <f>IFERROR(VLOOKUP(B1162,'Pre-Summary'!$CD$6:$CF$64,2,FALSE),"")</f>
        <v/>
      </c>
      <c r="O1162" s="99">
        <f>IFERROR(VLOOKUP(B1162,'Pre-Summary'!$BO$6:$BQ$48,3, FALSE),O1161)</f>
        <v>1.2</v>
      </c>
      <c r="P1162" s="99">
        <f>IFERROR(VLOOKUP(B1162,'Pre-Summary'!$BS$6:$BU$35,3,FALSE),P1161)</f>
        <v>0.3</v>
      </c>
      <c r="Q1162" s="54">
        <f t="shared" si="54"/>
        <v>4</v>
      </c>
      <c r="R1162" s="53">
        <f>IFERROR(VLOOKUP(B1162,'Pre-Summary'!$BG$6:$BM$44,7,FALSE),R1163)</f>
        <v>7.6574939085447311E-2</v>
      </c>
      <c r="S1162" s="53">
        <f>IFERROR(VLOOKUP(B1162,'Pre-Summary'!$BG$6:$BM$44,6,FALSE),S1163)</f>
        <v>6.8761751275839902E-2</v>
      </c>
      <c r="T1162" s="45" t="str">
        <f>IFERROR(VLOOKUP(B1162,'Pre-Summary'!$Y$6:$AC$83, 3,FALSE),"")</f>
        <v/>
      </c>
      <c r="U1162" s="45" t="str">
        <f>IFERROR(VLOOKUP(B1162,'Pre-Summary'!$Y$6:$AC$83, 4,FALSE),"")</f>
        <v/>
      </c>
      <c r="V1162" t="str">
        <f>IFERROR(VLOOKUP(B1162,'Pre-Summary'!$Y$6:$AC$83, 5,FALSE),"")</f>
        <v/>
      </c>
      <c r="W1162" s="45" t="str">
        <f>IFERROR(VLOOKUP(B1162,'Pre-Summary'!$Y$6:$AD$83,6,FALSE),"")</f>
        <v/>
      </c>
      <c r="X1162" t="str">
        <f>IFERROR(VLOOKUP('Pre-Summary'!$DB$6:$DD$63,3,FALSE),"")</f>
        <v/>
      </c>
      <c r="Y1162" t="str">
        <f>IFERROR(VLOOKUP(B1162,'Pre-Summary'!$CR$6:$CT$36,3,FALSE),"")</f>
        <v/>
      </c>
      <c r="Z1162" s="45" t="str">
        <f>IFERROR(VLOOKUP(B1162,'Pre-Summary'!$BZ$6:$CB$63,2,FALSE),"")</f>
        <v/>
      </c>
      <c r="AA1162" s="45" t="str">
        <f>IFERROR(VLOOKUP(B1162,'Pre-Summary'!$CG$6:$CI$70,2,FALSE),"")</f>
        <v/>
      </c>
      <c r="AB1162" s="99">
        <f>IFERROR(VLOOKUP(B1162,'Pre-Summary'!$A$6:$P$178,9,FALSE),AB1163)</f>
        <v>0.45533763440924657</v>
      </c>
      <c r="AC1162" s="10">
        <f>IFERROR(VLOOKUP(Summary!B1162,'Pre-Summary'!$A$6:$P$184,5, FALSE)/100,AC1163)</f>
        <v>0.89807866666666669</v>
      </c>
      <c r="AD1162" s="10">
        <f>IFERROR(VLOOKUP(Summary!B1162,'Pre-Summary'!$A$6:$P$184,3, FALSE)/100,AD1163)</f>
        <v>1.5917000000000001E-2</v>
      </c>
      <c r="AE1162" s="10">
        <f>IFERROR(VLOOKUP(Summary!B1162,'Pre-Summary'!$A$6:$P$184,7, FALSE)/100,AE1163)</f>
        <v>8.6004666666666674E-2</v>
      </c>
      <c r="AF1162" s="99">
        <f t="shared" si="55"/>
        <v>7.2476091268919782E-3</v>
      </c>
      <c r="AG1162" s="99">
        <f t="shared" si="56"/>
        <v>3.9161161468155785E-2</v>
      </c>
      <c r="AH1162" s="10" t="str">
        <f>IFERROR(VLOOKUP(B1162,'Pre-Summary'!$AZ$6:$BE$65,3,FALSE),"")</f>
        <v/>
      </c>
      <c r="AI1162" s="10" t="str">
        <f>IFERROR(VLOOKUP(B1162,'Pre-Summary'!$AZ$6:$BE$65,5,FALSE),"")</f>
        <v/>
      </c>
      <c r="AJ1162" s="10" t="str">
        <f>IFERROR(VLOOKUP(B1162,'Pre-Summary'!$AZ$6:$BE$65,4,FALSE),"")</f>
        <v/>
      </c>
      <c r="AK1162" s="10" t="str">
        <f>IFERROR(VLOOKUP(B1162,'Pre-Summary'!$AZ$6:$BE$65,6,FALSE),"")</f>
        <v/>
      </c>
      <c r="AL1162" s="10" t="str">
        <f>IFERROR(VLOOKUP(B1162,'Pre-Summary'!$BG$6:$BL$44,3,FALSE),"")</f>
        <v/>
      </c>
      <c r="AM1162" s="10" t="str">
        <f>IFERROR(VLOOKUP(B1162,'Pre-Summary'!$BG$6:$BL$44,4,FALSE),"")</f>
        <v/>
      </c>
    </row>
    <row r="1163" spans="2:39" ht="15" customHeight="1" x14ac:dyDescent="0.3">
      <c r="B1163">
        <v>116</v>
      </c>
      <c r="C1163" t="str">
        <f>IFERROR(VLOOKUP(B1163,'Pre-Summary'!$DI$6:$DM$23,4,FALSE),"")</f>
        <v/>
      </c>
      <c r="D1163" s="10" t="str">
        <f>IFERROR(VLOOKUP(B1163,'Pre-Summary'!$AT$6:$AX$14,5,FALSE),D1162)</f>
        <v>DSMZ v4: dropped out methanol</v>
      </c>
      <c r="E1163" s="10" t="str">
        <f>IFERROR(VLOOKUP(B1163,'Pre-Summary'!$AT$6:$AX$15,4,FALSE),"")</f>
        <v/>
      </c>
      <c r="F1163">
        <f>IFERROR(VLOOKUP(B1163,'Pre-Summary'!$AL$6:$AQ$13,6,FALSE),F1162)</f>
        <v>5.9405263157894746E-2</v>
      </c>
      <c r="G1163" t="str">
        <f>IFERROR(VLOOKUP(B1163,'Pre-Summary'!$AE$6:$AJ$85,3,FALSE),"")</f>
        <v/>
      </c>
      <c r="H1163" t="str">
        <f>IFERROR(VLOOKUP(B1163,'Pre-Summary'!$AE$6:$AJ$85,4,FALSE),"")</f>
        <v/>
      </c>
      <c r="I1163" t="str">
        <f>IFERROR(VLOOKUP(B1163,'Pre-Summary'!$AE$6:$AJ$85,5,FALSE),"")</f>
        <v/>
      </c>
      <c r="J1163" s="45" t="str">
        <f>IFERROR(VLOOKUP(B1163,'Pre-Summary'!$AE$6:$AJ$85,6, FALSE),"")</f>
        <v/>
      </c>
      <c r="K1163" s="45" t="str">
        <f>IFERROR(VLOOKUP(B1163,'Pre-Summary'!$DE$6:$DG$61,3,FALSE),"")</f>
        <v/>
      </c>
      <c r="L1163" s="45" t="str">
        <f>IFERROR(VLOOKUP(B1163,'Pre-Summary'!$CU$6:$CW$36,3,FALSE),"")</f>
        <v/>
      </c>
      <c r="M1163" s="45" t="str">
        <f>IFERROR(VLOOKUP(B1163,'Pre-Summary'!$BW$6:$BY$58,2,FALSE),"")</f>
        <v/>
      </c>
      <c r="N1163" s="45" t="str">
        <f>IFERROR(VLOOKUP(B1163,'Pre-Summary'!$CD$6:$CF$64,2,FALSE),"")</f>
        <v/>
      </c>
      <c r="O1163" s="99">
        <f>IFERROR(VLOOKUP(B1163,'Pre-Summary'!$BO$6:$BQ$48,3, FALSE),O1162)</f>
        <v>1.2</v>
      </c>
      <c r="P1163" s="99">
        <f>IFERROR(VLOOKUP(B1163,'Pre-Summary'!$BS$6:$BU$35,3,FALSE),P1162)</f>
        <v>0.3</v>
      </c>
      <c r="Q1163" s="54">
        <f t="shared" si="54"/>
        <v>4</v>
      </c>
      <c r="R1163" s="53">
        <f>IFERROR(VLOOKUP(B1163,'Pre-Summary'!$BG$6:$BM$44,7,FALSE),R1164)</f>
        <v>7.6574939085447311E-2</v>
      </c>
      <c r="S1163" s="53">
        <f>IFERROR(VLOOKUP(B1163,'Pre-Summary'!$BG$6:$BM$44,6,FALSE),S1164)</f>
        <v>6.8761751275839902E-2</v>
      </c>
      <c r="T1163" s="45" t="str">
        <f>IFERROR(VLOOKUP(B1163,'Pre-Summary'!$Y$6:$AC$83, 3,FALSE),"")</f>
        <v/>
      </c>
      <c r="U1163" s="45" t="str">
        <f>IFERROR(VLOOKUP(B1163,'Pre-Summary'!$Y$6:$AC$83, 4,FALSE),"")</f>
        <v/>
      </c>
      <c r="V1163" t="str">
        <f>IFERROR(VLOOKUP(B1163,'Pre-Summary'!$Y$6:$AC$83, 5,FALSE),"")</f>
        <v/>
      </c>
      <c r="W1163" s="45" t="str">
        <f>IFERROR(VLOOKUP(B1163,'Pre-Summary'!$Y$6:$AD$83,6,FALSE),"")</f>
        <v/>
      </c>
      <c r="X1163" t="str">
        <f>IFERROR(VLOOKUP('Pre-Summary'!$DB$6:$DD$63,3,FALSE),"")</f>
        <v/>
      </c>
      <c r="Y1163" t="str">
        <f>IFERROR(VLOOKUP(B1163,'Pre-Summary'!$CR$6:$CT$36,3,FALSE),"")</f>
        <v/>
      </c>
      <c r="Z1163" s="45" t="str">
        <f>IFERROR(VLOOKUP(B1163,'Pre-Summary'!$BZ$6:$CB$63,2,FALSE),"")</f>
        <v/>
      </c>
      <c r="AA1163" s="45" t="str">
        <f>IFERROR(VLOOKUP(B1163,'Pre-Summary'!$CG$6:$CI$70,2,FALSE),"")</f>
        <v/>
      </c>
      <c r="AB1163" s="99">
        <f>IFERROR(VLOOKUP(B1163,'Pre-Summary'!$A$6:$P$178,9,FALSE),AB1164)</f>
        <v>0.45533763440924657</v>
      </c>
      <c r="AC1163" s="10">
        <f>IFERROR(VLOOKUP(Summary!B1163,'Pre-Summary'!$A$6:$P$184,5, FALSE)/100,AC1164)</f>
        <v>0.89807866666666669</v>
      </c>
      <c r="AD1163" s="10">
        <f>IFERROR(VLOOKUP(Summary!B1163,'Pre-Summary'!$A$6:$P$184,3, FALSE)/100,AD1164)</f>
        <v>1.5917000000000001E-2</v>
      </c>
      <c r="AE1163" s="10">
        <f>IFERROR(VLOOKUP(Summary!B1163,'Pre-Summary'!$A$6:$P$184,7, FALSE)/100,AE1164)</f>
        <v>8.6004666666666674E-2</v>
      </c>
      <c r="AF1163" s="99">
        <f t="shared" si="55"/>
        <v>7.2476091268919782E-3</v>
      </c>
      <c r="AG1163" s="99">
        <f t="shared" si="56"/>
        <v>3.9161161468155785E-2</v>
      </c>
      <c r="AH1163" s="10" t="str">
        <f>IFERROR(VLOOKUP(B1163,'Pre-Summary'!$AZ$6:$BE$65,3,FALSE),"")</f>
        <v/>
      </c>
      <c r="AI1163" s="10" t="str">
        <f>IFERROR(VLOOKUP(B1163,'Pre-Summary'!$AZ$6:$BE$65,5,FALSE),"")</f>
        <v/>
      </c>
      <c r="AJ1163" s="10" t="str">
        <f>IFERROR(VLOOKUP(B1163,'Pre-Summary'!$AZ$6:$BE$65,4,FALSE),"")</f>
        <v/>
      </c>
      <c r="AK1163" s="10" t="str">
        <f>IFERROR(VLOOKUP(B1163,'Pre-Summary'!$AZ$6:$BE$65,6,FALSE),"")</f>
        <v/>
      </c>
      <c r="AL1163" s="10" t="str">
        <f>IFERROR(VLOOKUP(B1163,'Pre-Summary'!$BG$6:$BL$44,3,FALSE),"")</f>
        <v/>
      </c>
      <c r="AM1163" s="10" t="str">
        <f>IFERROR(VLOOKUP(B1163,'Pre-Summary'!$BG$6:$BL$44,4,FALSE),"")</f>
        <v/>
      </c>
    </row>
    <row r="1164" spans="2:39" ht="15" customHeight="1" x14ac:dyDescent="0.3">
      <c r="B1164">
        <v>116.1</v>
      </c>
      <c r="C1164" t="str">
        <f>IFERROR(VLOOKUP(B1164,'Pre-Summary'!$DI$6:$DM$23,4,FALSE),"")</f>
        <v/>
      </c>
      <c r="D1164" s="10" t="str">
        <f>IFERROR(VLOOKUP(B1164,'Pre-Summary'!$AT$6:$AX$14,5,FALSE),D1163)</f>
        <v>DSMZ v4: dropped out methanol</v>
      </c>
      <c r="E1164" s="10" t="str">
        <f>IFERROR(VLOOKUP(B1164,'Pre-Summary'!$AT$6:$AX$15,4,FALSE),"")</f>
        <v/>
      </c>
      <c r="F1164">
        <f>IFERROR(VLOOKUP(B1164,'Pre-Summary'!$AL$6:$AQ$13,6,FALSE),F1163)</f>
        <v>5.9405263157894746E-2</v>
      </c>
      <c r="G1164" t="str">
        <f>IFERROR(VLOOKUP(B1164,'Pre-Summary'!$AE$6:$AJ$85,3,FALSE),"")</f>
        <v/>
      </c>
      <c r="H1164" t="str">
        <f>IFERROR(VLOOKUP(B1164,'Pre-Summary'!$AE$6:$AJ$85,4,FALSE),"")</f>
        <v/>
      </c>
      <c r="I1164" t="str">
        <f>IFERROR(VLOOKUP(B1164,'Pre-Summary'!$AE$6:$AJ$85,5,FALSE),"")</f>
        <v/>
      </c>
      <c r="J1164" s="45" t="str">
        <f>IFERROR(VLOOKUP(B1164,'Pre-Summary'!$AE$6:$AJ$85,6, FALSE),"")</f>
        <v/>
      </c>
      <c r="K1164" s="45" t="str">
        <f>IFERROR(VLOOKUP(B1164,'Pre-Summary'!$DE$6:$DG$61,3,FALSE),"")</f>
        <v/>
      </c>
      <c r="L1164" s="45" t="str">
        <f>IFERROR(VLOOKUP(B1164,'Pre-Summary'!$CU$6:$CW$36,3,FALSE),"")</f>
        <v/>
      </c>
      <c r="M1164" s="45" t="str">
        <f>IFERROR(VLOOKUP(B1164,'Pre-Summary'!$BW$6:$BY$58,2,FALSE),"")</f>
        <v/>
      </c>
      <c r="N1164" s="45" t="str">
        <f>IFERROR(VLOOKUP(B1164,'Pre-Summary'!$CD$6:$CF$64,2,FALSE),"")</f>
        <v/>
      </c>
      <c r="O1164" s="99">
        <f>IFERROR(VLOOKUP(B1164,'Pre-Summary'!$BO$6:$BQ$48,3, FALSE),O1163)</f>
        <v>1.2</v>
      </c>
      <c r="P1164" s="99">
        <f>IFERROR(VLOOKUP(B1164,'Pre-Summary'!$BS$6:$BU$35,3,FALSE),P1163)</f>
        <v>0.3</v>
      </c>
      <c r="Q1164" s="54">
        <f t="shared" si="54"/>
        <v>4</v>
      </c>
      <c r="R1164" s="53">
        <f>IFERROR(VLOOKUP(B1164,'Pre-Summary'!$BG$6:$BM$44,7,FALSE),R1165)</f>
        <v>7.6574939085447311E-2</v>
      </c>
      <c r="S1164" s="53">
        <f>IFERROR(VLOOKUP(B1164,'Pre-Summary'!$BG$6:$BM$44,6,FALSE),S1165)</f>
        <v>6.8761751275839902E-2</v>
      </c>
      <c r="T1164" s="45" t="str">
        <f>IFERROR(VLOOKUP(B1164,'Pre-Summary'!$Y$6:$AC$83, 3,FALSE),"")</f>
        <v/>
      </c>
      <c r="U1164" s="45" t="str">
        <f>IFERROR(VLOOKUP(B1164,'Pre-Summary'!$Y$6:$AC$83, 4,FALSE),"")</f>
        <v/>
      </c>
      <c r="V1164" t="str">
        <f>IFERROR(VLOOKUP(B1164,'Pre-Summary'!$Y$6:$AC$83, 5,FALSE),"")</f>
        <v/>
      </c>
      <c r="W1164" s="45" t="str">
        <f>IFERROR(VLOOKUP(B1164,'Pre-Summary'!$Y$6:$AD$83,6,FALSE),"")</f>
        <v/>
      </c>
      <c r="X1164" t="str">
        <f>IFERROR(VLOOKUP('Pre-Summary'!$DB$6:$DD$63,3,FALSE),"")</f>
        <v/>
      </c>
      <c r="Y1164" t="str">
        <f>IFERROR(VLOOKUP(B1164,'Pre-Summary'!$CR$6:$CT$36,3,FALSE),"")</f>
        <v/>
      </c>
      <c r="Z1164" s="45" t="str">
        <f>IFERROR(VLOOKUP(B1164,'Pre-Summary'!$BZ$6:$CB$63,2,FALSE),"")</f>
        <v/>
      </c>
      <c r="AA1164" s="45" t="str">
        <f>IFERROR(VLOOKUP(B1164,'Pre-Summary'!$CG$6:$CI$70,2,FALSE),"")</f>
        <v/>
      </c>
      <c r="AB1164" s="99">
        <f>IFERROR(VLOOKUP(B1164,'Pre-Summary'!$A$6:$P$178,9,FALSE),AB1165)</f>
        <v>0.45533763440924657</v>
      </c>
      <c r="AC1164" s="10">
        <f>IFERROR(VLOOKUP(Summary!B1164,'Pre-Summary'!$A$6:$P$184,5, FALSE)/100,AC1165)</f>
        <v>0.89807866666666669</v>
      </c>
      <c r="AD1164" s="10">
        <f>IFERROR(VLOOKUP(Summary!B1164,'Pre-Summary'!$A$6:$P$184,3, FALSE)/100,AD1165)</f>
        <v>1.5917000000000001E-2</v>
      </c>
      <c r="AE1164" s="10">
        <f>IFERROR(VLOOKUP(Summary!B1164,'Pre-Summary'!$A$6:$P$184,7, FALSE)/100,AE1165)</f>
        <v>8.6004666666666674E-2</v>
      </c>
      <c r="AF1164" s="99">
        <f t="shared" si="55"/>
        <v>7.2476091268919782E-3</v>
      </c>
      <c r="AG1164" s="99">
        <f t="shared" si="56"/>
        <v>3.9161161468155785E-2</v>
      </c>
      <c r="AH1164" s="10" t="str">
        <f>IFERROR(VLOOKUP(B1164,'Pre-Summary'!$AZ$6:$BE$65,3,FALSE),"")</f>
        <v/>
      </c>
      <c r="AI1164" s="10" t="str">
        <f>IFERROR(VLOOKUP(B1164,'Pre-Summary'!$AZ$6:$BE$65,5,FALSE),"")</f>
        <v/>
      </c>
      <c r="AJ1164" s="10" t="str">
        <f>IFERROR(VLOOKUP(B1164,'Pre-Summary'!$AZ$6:$BE$65,4,FALSE),"")</f>
        <v/>
      </c>
      <c r="AK1164" s="10" t="str">
        <f>IFERROR(VLOOKUP(B1164,'Pre-Summary'!$AZ$6:$BE$65,6,FALSE),"")</f>
        <v/>
      </c>
      <c r="AL1164" s="10" t="str">
        <f>IFERROR(VLOOKUP(B1164,'Pre-Summary'!$BG$6:$BL$44,3,FALSE),"")</f>
        <v/>
      </c>
      <c r="AM1164" s="10" t="str">
        <f>IFERROR(VLOOKUP(B1164,'Pre-Summary'!$BG$6:$BL$44,4,FALSE),"")</f>
        <v/>
      </c>
    </row>
    <row r="1165" spans="2:39" ht="15" customHeight="1" x14ac:dyDescent="0.3">
      <c r="B1165">
        <v>116.2</v>
      </c>
      <c r="C1165" t="str">
        <f>IFERROR(VLOOKUP(B1165,'Pre-Summary'!$DI$6:$DM$23,4,FALSE),"")</f>
        <v/>
      </c>
      <c r="D1165" s="10" t="str">
        <f>IFERROR(VLOOKUP(B1165,'Pre-Summary'!$AT$6:$AX$14,5,FALSE),D1164)</f>
        <v>DSMZ v4: dropped out methanol</v>
      </c>
      <c r="E1165" s="10" t="str">
        <f>IFERROR(VLOOKUP(B1165,'Pre-Summary'!$AT$6:$AX$15,4,FALSE),"")</f>
        <v/>
      </c>
      <c r="F1165">
        <f>IFERROR(VLOOKUP(B1165,'Pre-Summary'!$AL$6:$AQ$13,6,FALSE),F1164)</f>
        <v>5.9405263157894746E-2</v>
      </c>
      <c r="G1165" t="str">
        <f>IFERROR(VLOOKUP(B1165,'Pre-Summary'!$AE$6:$AJ$85,3,FALSE),"")</f>
        <v/>
      </c>
      <c r="H1165" t="str">
        <f>IFERROR(VLOOKUP(B1165,'Pre-Summary'!$AE$6:$AJ$85,4,FALSE),"")</f>
        <v/>
      </c>
      <c r="I1165" t="str">
        <f>IFERROR(VLOOKUP(B1165,'Pre-Summary'!$AE$6:$AJ$85,5,FALSE),"")</f>
        <v/>
      </c>
      <c r="J1165" s="45" t="str">
        <f>IFERROR(VLOOKUP(B1165,'Pre-Summary'!$AE$6:$AJ$85,6, FALSE),"")</f>
        <v/>
      </c>
      <c r="K1165" s="45" t="str">
        <f>IFERROR(VLOOKUP(B1165,'Pre-Summary'!$DE$6:$DG$61,3,FALSE),"")</f>
        <v/>
      </c>
      <c r="L1165" s="45" t="str">
        <f>IFERROR(VLOOKUP(B1165,'Pre-Summary'!$CU$6:$CW$36,3,FALSE),"")</f>
        <v/>
      </c>
      <c r="M1165" s="45" t="str">
        <f>IFERROR(VLOOKUP(B1165,'Pre-Summary'!$BW$6:$BY$58,2,FALSE),"")</f>
        <v/>
      </c>
      <c r="N1165" s="45" t="str">
        <f>IFERROR(VLOOKUP(B1165,'Pre-Summary'!$CD$6:$CF$64,2,FALSE),"")</f>
        <v/>
      </c>
      <c r="O1165" s="99">
        <f>IFERROR(VLOOKUP(B1165,'Pre-Summary'!$BO$6:$BQ$48,3, FALSE),O1164)</f>
        <v>1.2</v>
      </c>
      <c r="P1165" s="99">
        <f>IFERROR(VLOOKUP(B1165,'Pre-Summary'!$BS$6:$BU$35,3,FALSE),P1164)</f>
        <v>0.3</v>
      </c>
      <c r="Q1165" s="54">
        <f t="shared" si="54"/>
        <v>4</v>
      </c>
      <c r="R1165" s="53">
        <f>IFERROR(VLOOKUP(B1165,'Pre-Summary'!$BG$6:$BM$44,7,FALSE),R1166)</f>
        <v>7.6574939085447311E-2</v>
      </c>
      <c r="S1165" s="53">
        <f>IFERROR(VLOOKUP(B1165,'Pre-Summary'!$BG$6:$BM$44,6,FALSE),S1166)</f>
        <v>6.8761751275839902E-2</v>
      </c>
      <c r="T1165" s="45" t="str">
        <f>IFERROR(VLOOKUP(B1165,'Pre-Summary'!$Y$6:$AC$83, 3,FALSE),"")</f>
        <v/>
      </c>
      <c r="U1165" s="45" t="str">
        <f>IFERROR(VLOOKUP(B1165,'Pre-Summary'!$Y$6:$AC$83, 4,FALSE),"")</f>
        <v/>
      </c>
      <c r="V1165" t="str">
        <f>IFERROR(VLOOKUP(B1165,'Pre-Summary'!$Y$6:$AC$83, 5,FALSE),"")</f>
        <v/>
      </c>
      <c r="W1165" s="45" t="str">
        <f>IFERROR(VLOOKUP(B1165,'Pre-Summary'!$Y$6:$AD$83,6,FALSE),"")</f>
        <v/>
      </c>
      <c r="X1165" t="str">
        <f>IFERROR(VLOOKUP('Pre-Summary'!$DB$6:$DD$63,3,FALSE),"")</f>
        <v/>
      </c>
      <c r="Y1165" t="str">
        <f>IFERROR(VLOOKUP(B1165,'Pre-Summary'!$CR$6:$CT$36,3,FALSE),"")</f>
        <v/>
      </c>
      <c r="Z1165" s="45" t="str">
        <f>IFERROR(VLOOKUP(B1165,'Pre-Summary'!$BZ$6:$CB$63,2,FALSE),"")</f>
        <v/>
      </c>
      <c r="AA1165" s="45" t="str">
        <f>IFERROR(VLOOKUP(B1165,'Pre-Summary'!$CG$6:$CI$70,2,FALSE),"")</f>
        <v/>
      </c>
      <c r="AB1165" s="99">
        <f>IFERROR(VLOOKUP(B1165,'Pre-Summary'!$A$6:$P$178,9,FALSE),AB1166)</f>
        <v>0.45533763440924657</v>
      </c>
      <c r="AC1165" s="10">
        <f>IFERROR(VLOOKUP(Summary!B1165,'Pre-Summary'!$A$6:$P$184,5, FALSE)/100,AC1166)</f>
        <v>0.89807866666666669</v>
      </c>
      <c r="AD1165" s="10">
        <f>IFERROR(VLOOKUP(Summary!B1165,'Pre-Summary'!$A$6:$P$184,3, FALSE)/100,AD1166)</f>
        <v>1.5917000000000001E-2</v>
      </c>
      <c r="AE1165" s="10">
        <f>IFERROR(VLOOKUP(Summary!B1165,'Pre-Summary'!$A$6:$P$184,7, FALSE)/100,AE1166)</f>
        <v>8.6004666666666674E-2</v>
      </c>
      <c r="AF1165" s="99">
        <f t="shared" si="55"/>
        <v>7.2476091268919782E-3</v>
      </c>
      <c r="AG1165" s="99">
        <f t="shared" si="56"/>
        <v>3.9161161468155785E-2</v>
      </c>
      <c r="AH1165" s="10" t="str">
        <f>IFERROR(VLOOKUP(B1165,'Pre-Summary'!$AZ$6:$BE$65,3,FALSE),"")</f>
        <v/>
      </c>
      <c r="AI1165" s="10" t="str">
        <f>IFERROR(VLOOKUP(B1165,'Pre-Summary'!$AZ$6:$BE$65,5,FALSE),"")</f>
        <v/>
      </c>
      <c r="AJ1165" s="10" t="str">
        <f>IFERROR(VLOOKUP(B1165,'Pre-Summary'!$AZ$6:$BE$65,4,FALSE),"")</f>
        <v/>
      </c>
      <c r="AK1165" s="10" t="str">
        <f>IFERROR(VLOOKUP(B1165,'Pre-Summary'!$AZ$6:$BE$65,6,FALSE),"")</f>
        <v/>
      </c>
      <c r="AL1165" s="10" t="str">
        <f>IFERROR(VLOOKUP(B1165,'Pre-Summary'!$BG$6:$BL$44,3,FALSE),"")</f>
        <v/>
      </c>
      <c r="AM1165" s="10" t="str">
        <f>IFERROR(VLOOKUP(B1165,'Pre-Summary'!$BG$6:$BL$44,4,FALSE),"")</f>
        <v/>
      </c>
    </row>
    <row r="1166" spans="2:39" ht="15" customHeight="1" x14ac:dyDescent="0.3">
      <c r="B1166">
        <v>116.3</v>
      </c>
      <c r="C1166" t="str">
        <f>IFERROR(VLOOKUP(B1166,'Pre-Summary'!$DI$6:$DM$23,4,FALSE),"")</f>
        <v/>
      </c>
      <c r="D1166" s="10" t="str">
        <f>IFERROR(VLOOKUP(B1166,'Pre-Summary'!$AT$6:$AX$14,5,FALSE),D1165)</f>
        <v>DSMZ v4: dropped out methanol</v>
      </c>
      <c r="E1166" s="10" t="str">
        <f>IFERROR(VLOOKUP(B1166,'Pre-Summary'!$AT$6:$AX$15,4,FALSE),"")</f>
        <v/>
      </c>
      <c r="F1166">
        <f>IFERROR(VLOOKUP(B1166,'Pre-Summary'!$AL$6:$AQ$13,6,FALSE),F1165)</f>
        <v>5.9405263157894746E-2</v>
      </c>
      <c r="G1166" t="str">
        <f>IFERROR(VLOOKUP(B1166,'Pre-Summary'!$AE$6:$AJ$85,3,FALSE),"")</f>
        <v/>
      </c>
      <c r="H1166" t="str">
        <f>IFERROR(VLOOKUP(B1166,'Pre-Summary'!$AE$6:$AJ$85,4,FALSE),"")</f>
        <v/>
      </c>
      <c r="I1166" t="str">
        <f>IFERROR(VLOOKUP(B1166,'Pre-Summary'!$AE$6:$AJ$85,5,FALSE),"")</f>
        <v/>
      </c>
      <c r="J1166" s="45" t="str">
        <f>IFERROR(VLOOKUP(B1166,'Pre-Summary'!$AE$6:$AJ$85,6, FALSE),"")</f>
        <v/>
      </c>
      <c r="K1166" s="45" t="str">
        <f>IFERROR(VLOOKUP(B1166,'Pre-Summary'!$DE$6:$DG$61,3,FALSE),"")</f>
        <v/>
      </c>
      <c r="L1166" s="45" t="str">
        <f>IFERROR(VLOOKUP(B1166,'Pre-Summary'!$CU$6:$CW$36,3,FALSE),"")</f>
        <v/>
      </c>
      <c r="M1166" s="45" t="str">
        <f>IFERROR(VLOOKUP(B1166,'Pre-Summary'!$BW$6:$BY$58,2,FALSE),"")</f>
        <v/>
      </c>
      <c r="N1166" s="45" t="str">
        <f>IFERROR(VLOOKUP(B1166,'Pre-Summary'!$CD$6:$CF$64,2,FALSE),"")</f>
        <v/>
      </c>
      <c r="O1166" s="99">
        <f>IFERROR(VLOOKUP(B1166,'Pre-Summary'!$BO$6:$BQ$48,3, FALSE),O1165)</f>
        <v>1.2</v>
      </c>
      <c r="P1166" s="99">
        <f>IFERROR(VLOOKUP(B1166,'Pre-Summary'!$BS$6:$BU$35,3,FALSE),P1165)</f>
        <v>0.3</v>
      </c>
      <c r="Q1166" s="54">
        <f t="shared" si="54"/>
        <v>4</v>
      </c>
      <c r="R1166" s="53">
        <f>IFERROR(VLOOKUP(B1166,'Pre-Summary'!$BG$6:$BM$44,7,FALSE),R1167)</f>
        <v>7.6574939085447311E-2</v>
      </c>
      <c r="S1166" s="53">
        <f>IFERROR(VLOOKUP(B1166,'Pre-Summary'!$BG$6:$BM$44,6,FALSE),S1167)</f>
        <v>6.8761751275839902E-2</v>
      </c>
      <c r="T1166" s="45" t="str">
        <f>IFERROR(VLOOKUP(B1166,'Pre-Summary'!$Y$6:$AC$83, 3,FALSE),"")</f>
        <v/>
      </c>
      <c r="U1166" s="45" t="str">
        <f>IFERROR(VLOOKUP(B1166,'Pre-Summary'!$Y$6:$AC$83, 4,FALSE),"")</f>
        <v/>
      </c>
      <c r="V1166" t="str">
        <f>IFERROR(VLOOKUP(B1166,'Pre-Summary'!$Y$6:$AC$83, 5,FALSE),"")</f>
        <v/>
      </c>
      <c r="W1166" s="45" t="str">
        <f>IFERROR(VLOOKUP(B1166,'Pre-Summary'!$Y$6:$AD$83,6,FALSE),"")</f>
        <v/>
      </c>
      <c r="X1166" t="str">
        <f>IFERROR(VLOOKUP('Pre-Summary'!$DB$6:$DD$63,3,FALSE),"")</f>
        <v/>
      </c>
      <c r="Y1166" t="str">
        <f>IFERROR(VLOOKUP(B1166,'Pre-Summary'!$CR$6:$CT$36,3,FALSE),"")</f>
        <v/>
      </c>
      <c r="Z1166" s="45" t="str">
        <f>IFERROR(VLOOKUP(B1166,'Pre-Summary'!$BZ$6:$CB$63,2,FALSE),"")</f>
        <v/>
      </c>
      <c r="AA1166" s="45" t="str">
        <f>IFERROR(VLOOKUP(B1166,'Pre-Summary'!$CG$6:$CI$70,2,FALSE),"")</f>
        <v/>
      </c>
      <c r="AB1166" s="99">
        <f>IFERROR(VLOOKUP(B1166,'Pre-Summary'!$A$6:$P$178,9,FALSE),AB1167)</f>
        <v>0.45533763440924657</v>
      </c>
      <c r="AC1166" s="10">
        <f>IFERROR(VLOOKUP(Summary!B1166,'Pre-Summary'!$A$6:$P$184,5, FALSE)/100,AC1167)</f>
        <v>0.89807866666666669</v>
      </c>
      <c r="AD1166" s="10">
        <f>IFERROR(VLOOKUP(Summary!B1166,'Pre-Summary'!$A$6:$P$184,3, FALSE)/100,AD1167)</f>
        <v>1.5917000000000001E-2</v>
      </c>
      <c r="AE1166" s="10">
        <f>IFERROR(VLOOKUP(Summary!B1166,'Pre-Summary'!$A$6:$P$184,7, FALSE)/100,AE1167)</f>
        <v>8.6004666666666674E-2</v>
      </c>
      <c r="AF1166" s="99">
        <f t="shared" si="55"/>
        <v>7.2476091268919782E-3</v>
      </c>
      <c r="AG1166" s="99">
        <f t="shared" si="56"/>
        <v>3.9161161468155785E-2</v>
      </c>
      <c r="AH1166" s="10" t="str">
        <f>IFERROR(VLOOKUP(B1166,'Pre-Summary'!$AZ$6:$BE$65,3,FALSE),"")</f>
        <v/>
      </c>
      <c r="AI1166" s="10" t="str">
        <f>IFERROR(VLOOKUP(B1166,'Pre-Summary'!$AZ$6:$BE$65,5,FALSE),"")</f>
        <v/>
      </c>
      <c r="AJ1166" s="10" t="str">
        <f>IFERROR(VLOOKUP(B1166,'Pre-Summary'!$AZ$6:$BE$65,4,FALSE),"")</f>
        <v/>
      </c>
      <c r="AK1166" s="10" t="str">
        <f>IFERROR(VLOOKUP(B1166,'Pre-Summary'!$AZ$6:$BE$65,6,FALSE),"")</f>
        <v/>
      </c>
      <c r="AL1166" s="10" t="str">
        <f>IFERROR(VLOOKUP(B1166,'Pre-Summary'!$BG$6:$BL$44,3,FALSE),"")</f>
        <v/>
      </c>
      <c r="AM1166" s="10" t="str">
        <f>IFERROR(VLOOKUP(B1166,'Pre-Summary'!$BG$6:$BL$44,4,FALSE),"")</f>
        <v/>
      </c>
    </row>
    <row r="1167" spans="2:39" ht="15" customHeight="1" x14ac:dyDescent="0.3">
      <c r="B1167">
        <v>116.4</v>
      </c>
      <c r="C1167" t="str">
        <f>IFERROR(VLOOKUP(B1167,'Pre-Summary'!$DI$6:$DM$23,4,FALSE),"")</f>
        <v/>
      </c>
      <c r="D1167" s="10" t="str">
        <f>IFERROR(VLOOKUP(B1167,'Pre-Summary'!$AT$6:$AX$14,5,FALSE),D1166)</f>
        <v>DSMZ v4: dropped out methanol</v>
      </c>
      <c r="E1167" s="10" t="str">
        <f>IFERROR(VLOOKUP(B1167,'Pre-Summary'!$AT$6:$AX$15,4,FALSE),"")</f>
        <v/>
      </c>
      <c r="F1167">
        <f>IFERROR(VLOOKUP(B1167,'Pre-Summary'!$AL$6:$AQ$13,6,FALSE),F1166)</f>
        <v>5.9405263157894746E-2</v>
      </c>
      <c r="G1167" t="str">
        <f>IFERROR(VLOOKUP(B1167,'Pre-Summary'!$AE$6:$AJ$85,3,FALSE),"")</f>
        <v/>
      </c>
      <c r="H1167" t="str">
        <f>IFERROR(VLOOKUP(B1167,'Pre-Summary'!$AE$6:$AJ$85,4,FALSE),"")</f>
        <v/>
      </c>
      <c r="I1167" t="str">
        <f>IFERROR(VLOOKUP(B1167,'Pre-Summary'!$AE$6:$AJ$85,5,FALSE),"")</f>
        <v/>
      </c>
      <c r="J1167" s="45" t="str">
        <f>IFERROR(VLOOKUP(B1167,'Pre-Summary'!$AE$6:$AJ$85,6, FALSE),"")</f>
        <v/>
      </c>
      <c r="K1167" s="45" t="str">
        <f>IFERROR(VLOOKUP(B1167,'Pre-Summary'!$DE$6:$DG$61,3,FALSE),"")</f>
        <v/>
      </c>
      <c r="L1167" s="45" t="str">
        <f>IFERROR(VLOOKUP(B1167,'Pre-Summary'!$CU$6:$CW$36,3,FALSE),"")</f>
        <v/>
      </c>
      <c r="M1167" s="45" t="str">
        <f>IFERROR(VLOOKUP(B1167,'Pre-Summary'!$BW$6:$BY$58,2,FALSE),"")</f>
        <v/>
      </c>
      <c r="N1167" s="45" t="str">
        <f>IFERROR(VLOOKUP(B1167,'Pre-Summary'!$CD$6:$CF$64,2,FALSE),"")</f>
        <v/>
      </c>
      <c r="O1167" s="99">
        <f>IFERROR(VLOOKUP(B1167,'Pre-Summary'!$BO$6:$BQ$48,3, FALSE),O1166)</f>
        <v>1.2</v>
      </c>
      <c r="P1167" s="99">
        <f>IFERROR(VLOOKUP(B1167,'Pre-Summary'!$BS$6:$BU$35,3,FALSE),P1166)</f>
        <v>0.3</v>
      </c>
      <c r="Q1167" s="54">
        <f t="shared" si="54"/>
        <v>4</v>
      </c>
      <c r="R1167" s="53">
        <f>IFERROR(VLOOKUP(B1167,'Pre-Summary'!$BG$6:$BM$44,7,FALSE),R1168)</f>
        <v>7.6574939085447311E-2</v>
      </c>
      <c r="S1167" s="53">
        <f>IFERROR(VLOOKUP(B1167,'Pre-Summary'!$BG$6:$BM$44,6,FALSE),S1168)</f>
        <v>6.8761751275839902E-2</v>
      </c>
      <c r="T1167" s="45" t="str">
        <f>IFERROR(VLOOKUP(B1167,'Pre-Summary'!$Y$6:$AC$83, 3,FALSE),"")</f>
        <v/>
      </c>
      <c r="U1167" s="45" t="str">
        <f>IFERROR(VLOOKUP(B1167,'Pre-Summary'!$Y$6:$AC$83, 4,FALSE),"")</f>
        <v/>
      </c>
      <c r="V1167" t="str">
        <f>IFERROR(VLOOKUP(B1167,'Pre-Summary'!$Y$6:$AC$83, 5,FALSE),"")</f>
        <v/>
      </c>
      <c r="W1167" s="45" t="str">
        <f>IFERROR(VLOOKUP(B1167,'Pre-Summary'!$Y$6:$AD$83,6,FALSE),"")</f>
        <v/>
      </c>
      <c r="X1167" t="str">
        <f>IFERROR(VLOOKUP('Pre-Summary'!$DB$6:$DD$63,3,FALSE),"")</f>
        <v/>
      </c>
      <c r="Y1167" t="str">
        <f>IFERROR(VLOOKUP(B1167,'Pre-Summary'!$CR$6:$CT$36,3,FALSE),"")</f>
        <v/>
      </c>
      <c r="Z1167" s="45" t="str">
        <f>IFERROR(VLOOKUP(B1167,'Pre-Summary'!$BZ$6:$CB$63,2,FALSE),"")</f>
        <v/>
      </c>
      <c r="AA1167" s="45" t="str">
        <f>IFERROR(VLOOKUP(B1167,'Pre-Summary'!$CG$6:$CI$70,2,FALSE),"")</f>
        <v/>
      </c>
      <c r="AB1167" s="99">
        <f>IFERROR(VLOOKUP(B1167,'Pre-Summary'!$A$6:$P$178,9,FALSE),AB1168)</f>
        <v>0.45533763440924657</v>
      </c>
      <c r="AC1167" s="10">
        <f>IFERROR(VLOOKUP(Summary!B1167,'Pre-Summary'!$A$6:$P$184,5, FALSE)/100,AC1168)</f>
        <v>0.89807866666666669</v>
      </c>
      <c r="AD1167" s="10">
        <f>IFERROR(VLOOKUP(Summary!B1167,'Pre-Summary'!$A$6:$P$184,3, FALSE)/100,AD1168)</f>
        <v>1.5917000000000001E-2</v>
      </c>
      <c r="AE1167" s="10">
        <f>IFERROR(VLOOKUP(Summary!B1167,'Pre-Summary'!$A$6:$P$184,7, FALSE)/100,AE1168)</f>
        <v>8.6004666666666674E-2</v>
      </c>
      <c r="AF1167" s="99">
        <f t="shared" si="55"/>
        <v>7.2476091268919782E-3</v>
      </c>
      <c r="AG1167" s="99">
        <f t="shared" si="56"/>
        <v>3.9161161468155785E-2</v>
      </c>
      <c r="AH1167" s="10" t="str">
        <f>IFERROR(VLOOKUP(B1167,'Pre-Summary'!$AZ$6:$BE$65,3,FALSE),"")</f>
        <v/>
      </c>
      <c r="AI1167" s="10" t="str">
        <f>IFERROR(VLOOKUP(B1167,'Pre-Summary'!$AZ$6:$BE$65,5,FALSE),"")</f>
        <v/>
      </c>
      <c r="AJ1167" s="10" t="str">
        <f>IFERROR(VLOOKUP(B1167,'Pre-Summary'!$AZ$6:$BE$65,4,FALSE),"")</f>
        <v/>
      </c>
      <c r="AK1167" s="10" t="str">
        <f>IFERROR(VLOOKUP(B1167,'Pre-Summary'!$AZ$6:$BE$65,6,FALSE),"")</f>
        <v/>
      </c>
      <c r="AL1167" s="10" t="str">
        <f>IFERROR(VLOOKUP(B1167,'Pre-Summary'!$BG$6:$BL$44,3,FALSE),"")</f>
        <v/>
      </c>
      <c r="AM1167" s="10" t="str">
        <f>IFERROR(VLOOKUP(B1167,'Pre-Summary'!$BG$6:$BL$44,4,FALSE),"")</f>
        <v/>
      </c>
    </row>
    <row r="1168" spans="2:39" ht="15" customHeight="1" x14ac:dyDescent="0.3">
      <c r="B1168">
        <v>116.5</v>
      </c>
      <c r="C1168" t="str">
        <f>IFERROR(VLOOKUP(B1168,'Pre-Summary'!$DI$6:$DM$23,4,FALSE),"")</f>
        <v/>
      </c>
      <c r="D1168" s="10" t="str">
        <f>IFERROR(VLOOKUP(B1168,'Pre-Summary'!$AT$6:$AX$14,5,FALSE),D1167)</f>
        <v>DSMZ v4: dropped out methanol</v>
      </c>
      <c r="E1168" s="10" t="str">
        <f>IFERROR(VLOOKUP(B1168,'Pre-Summary'!$AT$6:$AX$15,4,FALSE),"")</f>
        <v/>
      </c>
      <c r="F1168">
        <f>IFERROR(VLOOKUP(B1168,'Pre-Summary'!$AL$6:$AQ$13,6,FALSE),F1167)</f>
        <v>5.9405263157894746E-2</v>
      </c>
      <c r="G1168" t="str">
        <f>IFERROR(VLOOKUP(B1168,'Pre-Summary'!$AE$6:$AJ$85,3,FALSE),"")</f>
        <v/>
      </c>
      <c r="H1168" t="str">
        <f>IFERROR(VLOOKUP(B1168,'Pre-Summary'!$AE$6:$AJ$85,4,FALSE),"")</f>
        <v/>
      </c>
      <c r="I1168" t="str">
        <f>IFERROR(VLOOKUP(B1168,'Pre-Summary'!$AE$6:$AJ$85,5,FALSE),"")</f>
        <v/>
      </c>
      <c r="J1168" s="45" t="str">
        <f>IFERROR(VLOOKUP(B1168,'Pre-Summary'!$AE$6:$AJ$85,6, FALSE),"")</f>
        <v/>
      </c>
      <c r="K1168" s="45" t="str">
        <f>IFERROR(VLOOKUP(B1168,'Pre-Summary'!$DE$6:$DG$61,3,FALSE),"")</f>
        <v/>
      </c>
      <c r="L1168" s="45" t="str">
        <f>IFERROR(VLOOKUP(B1168,'Pre-Summary'!$CU$6:$CW$36,3,FALSE),"")</f>
        <v/>
      </c>
      <c r="M1168" s="45" t="str">
        <f>IFERROR(VLOOKUP(B1168,'Pre-Summary'!$BW$6:$BY$58,2,FALSE),"")</f>
        <v/>
      </c>
      <c r="N1168" s="45" t="str">
        <f>IFERROR(VLOOKUP(B1168,'Pre-Summary'!$CD$6:$CF$64,2,FALSE),"")</f>
        <v/>
      </c>
      <c r="O1168" s="99">
        <f>IFERROR(VLOOKUP(B1168,'Pre-Summary'!$BO$6:$BQ$48,3, FALSE),O1167)</f>
        <v>1.2</v>
      </c>
      <c r="P1168" s="99">
        <f>IFERROR(VLOOKUP(B1168,'Pre-Summary'!$BS$6:$BU$35,3,FALSE),P1167)</f>
        <v>0.3</v>
      </c>
      <c r="Q1168" s="54">
        <f t="shared" si="54"/>
        <v>4</v>
      </c>
      <c r="R1168" s="53">
        <f>IFERROR(VLOOKUP(B1168,'Pre-Summary'!$BG$6:$BM$44,7,FALSE),R1169)</f>
        <v>7.6574939085447311E-2</v>
      </c>
      <c r="S1168" s="53">
        <f>IFERROR(VLOOKUP(B1168,'Pre-Summary'!$BG$6:$BM$44,6,FALSE),S1169)</f>
        <v>6.8761751275839902E-2</v>
      </c>
      <c r="T1168" s="45" t="str">
        <f>IFERROR(VLOOKUP(B1168,'Pre-Summary'!$Y$6:$AC$83, 3,FALSE),"")</f>
        <v/>
      </c>
      <c r="U1168" s="45" t="str">
        <f>IFERROR(VLOOKUP(B1168,'Pre-Summary'!$Y$6:$AC$83, 4,FALSE),"")</f>
        <v/>
      </c>
      <c r="V1168" t="str">
        <f>IFERROR(VLOOKUP(B1168,'Pre-Summary'!$Y$6:$AC$83, 5,FALSE),"")</f>
        <v/>
      </c>
      <c r="W1168" s="45" t="str">
        <f>IFERROR(VLOOKUP(B1168,'Pre-Summary'!$Y$6:$AD$83,6,FALSE),"")</f>
        <v/>
      </c>
      <c r="X1168" t="str">
        <f>IFERROR(VLOOKUP('Pre-Summary'!$DB$6:$DD$63,3,FALSE),"")</f>
        <v/>
      </c>
      <c r="Y1168" t="str">
        <f>IFERROR(VLOOKUP(B1168,'Pre-Summary'!$CR$6:$CT$36,3,FALSE),"")</f>
        <v/>
      </c>
      <c r="Z1168" s="45" t="str">
        <f>IFERROR(VLOOKUP(B1168,'Pre-Summary'!$BZ$6:$CB$63,2,FALSE),"")</f>
        <v/>
      </c>
      <c r="AA1168" s="45" t="str">
        <f>IFERROR(VLOOKUP(B1168,'Pre-Summary'!$CG$6:$CI$70,2,FALSE),"")</f>
        <v/>
      </c>
      <c r="AB1168" s="99">
        <f>IFERROR(VLOOKUP(B1168,'Pre-Summary'!$A$6:$P$178,9,FALSE),AB1169)</f>
        <v>0.45533763440924657</v>
      </c>
      <c r="AC1168" s="10">
        <f>IFERROR(VLOOKUP(Summary!B1168,'Pre-Summary'!$A$6:$P$184,5, FALSE)/100,AC1169)</f>
        <v>0.89807866666666669</v>
      </c>
      <c r="AD1168" s="10">
        <f>IFERROR(VLOOKUP(Summary!B1168,'Pre-Summary'!$A$6:$P$184,3, FALSE)/100,AD1169)</f>
        <v>1.5917000000000001E-2</v>
      </c>
      <c r="AE1168" s="10">
        <f>IFERROR(VLOOKUP(Summary!B1168,'Pre-Summary'!$A$6:$P$184,7, FALSE)/100,AE1169)</f>
        <v>8.6004666666666674E-2</v>
      </c>
      <c r="AF1168" s="99">
        <f t="shared" si="55"/>
        <v>7.2476091268919782E-3</v>
      </c>
      <c r="AG1168" s="99">
        <f t="shared" si="56"/>
        <v>3.9161161468155785E-2</v>
      </c>
      <c r="AH1168" s="10" t="str">
        <f>IFERROR(VLOOKUP(B1168,'Pre-Summary'!$AZ$6:$BE$65,3,FALSE),"")</f>
        <v/>
      </c>
      <c r="AI1168" s="10" t="str">
        <f>IFERROR(VLOOKUP(B1168,'Pre-Summary'!$AZ$6:$BE$65,5,FALSE),"")</f>
        <v/>
      </c>
      <c r="AJ1168" s="10" t="str">
        <f>IFERROR(VLOOKUP(B1168,'Pre-Summary'!$AZ$6:$BE$65,4,FALSE),"")</f>
        <v/>
      </c>
      <c r="AK1168" s="10" t="str">
        <f>IFERROR(VLOOKUP(B1168,'Pre-Summary'!$AZ$6:$BE$65,6,FALSE),"")</f>
        <v/>
      </c>
      <c r="AL1168" s="10" t="str">
        <f>IFERROR(VLOOKUP(B1168,'Pre-Summary'!$BG$6:$BL$44,3,FALSE),"")</f>
        <v/>
      </c>
      <c r="AM1168" s="10" t="str">
        <f>IFERROR(VLOOKUP(B1168,'Pre-Summary'!$BG$6:$BL$44,4,FALSE),"")</f>
        <v/>
      </c>
    </row>
    <row r="1169" spans="2:39" ht="15" customHeight="1" x14ac:dyDescent="0.3">
      <c r="B1169">
        <v>116.6</v>
      </c>
      <c r="C1169" t="str">
        <f>IFERROR(VLOOKUP(B1169,'Pre-Summary'!$DI$6:$DM$23,4,FALSE),"")</f>
        <v/>
      </c>
      <c r="D1169" s="10" t="str">
        <f>IFERROR(VLOOKUP(B1169,'Pre-Summary'!$AT$6:$AX$14,5,FALSE),D1168)</f>
        <v>DSMZ v4: dropped out methanol</v>
      </c>
      <c r="E1169" s="10" t="str">
        <f>IFERROR(VLOOKUP(B1169,'Pre-Summary'!$AT$6:$AX$15,4,FALSE),"")</f>
        <v/>
      </c>
      <c r="F1169">
        <f>IFERROR(VLOOKUP(B1169,'Pre-Summary'!$AL$6:$AQ$13,6,FALSE),F1168)</f>
        <v>5.9405263157894746E-2</v>
      </c>
      <c r="G1169" t="str">
        <f>IFERROR(VLOOKUP(B1169,'Pre-Summary'!$AE$6:$AJ$85,3,FALSE),"")</f>
        <v/>
      </c>
      <c r="H1169" t="str">
        <f>IFERROR(VLOOKUP(B1169,'Pre-Summary'!$AE$6:$AJ$85,4,FALSE),"")</f>
        <v/>
      </c>
      <c r="I1169" t="str">
        <f>IFERROR(VLOOKUP(B1169,'Pre-Summary'!$AE$6:$AJ$85,5,FALSE),"")</f>
        <v/>
      </c>
      <c r="J1169" s="45" t="str">
        <f>IFERROR(VLOOKUP(B1169,'Pre-Summary'!$AE$6:$AJ$85,6, FALSE),"")</f>
        <v/>
      </c>
      <c r="K1169" s="45" t="str">
        <f>IFERROR(VLOOKUP(B1169,'Pre-Summary'!$DE$6:$DG$61,3,FALSE),"")</f>
        <v/>
      </c>
      <c r="L1169" s="45" t="str">
        <f>IFERROR(VLOOKUP(B1169,'Pre-Summary'!$CU$6:$CW$36,3,FALSE),"")</f>
        <v/>
      </c>
      <c r="M1169" s="45" t="str">
        <f>IFERROR(VLOOKUP(B1169,'Pre-Summary'!$BW$6:$BY$58,2,FALSE),"")</f>
        <v/>
      </c>
      <c r="N1169" s="45" t="str">
        <f>IFERROR(VLOOKUP(B1169,'Pre-Summary'!$CD$6:$CF$64,2,FALSE),"")</f>
        <v/>
      </c>
      <c r="O1169" s="99">
        <f>IFERROR(VLOOKUP(B1169,'Pre-Summary'!$BO$6:$BQ$48,3, FALSE),O1168)</f>
        <v>1.2</v>
      </c>
      <c r="P1169" s="99">
        <f>IFERROR(VLOOKUP(B1169,'Pre-Summary'!$BS$6:$BU$35,3,FALSE),P1168)</f>
        <v>0.3</v>
      </c>
      <c r="Q1169" s="54">
        <f t="shared" si="54"/>
        <v>4</v>
      </c>
      <c r="R1169" s="53">
        <f>IFERROR(VLOOKUP(B1169,'Pre-Summary'!$BG$6:$BM$44,7,FALSE),R1170)</f>
        <v>7.6574939085447311E-2</v>
      </c>
      <c r="S1169" s="53">
        <f>IFERROR(VLOOKUP(B1169,'Pre-Summary'!$BG$6:$BM$44,6,FALSE),S1170)</f>
        <v>6.8761751275839902E-2</v>
      </c>
      <c r="T1169" s="45" t="str">
        <f>IFERROR(VLOOKUP(B1169,'Pre-Summary'!$Y$6:$AC$83, 3,FALSE),"")</f>
        <v/>
      </c>
      <c r="U1169" s="45" t="str">
        <f>IFERROR(VLOOKUP(B1169,'Pre-Summary'!$Y$6:$AC$83, 4,FALSE),"")</f>
        <v/>
      </c>
      <c r="V1169" t="str">
        <f>IFERROR(VLOOKUP(B1169,'Pre-Summary'!$Y$6:$AC$83, 5,FALSE),"")</f>
        <v/>
      </c>
      <c r="W1169" s="45" t="str">
        <f>IFERROR(VLOOKUP(B1169,'Pre-Summary'!$Y$6:$AD$83,6,FALSE),"")</f>
        <v/>
      </c>
      <c r="X1169" t="str">
        <f>IFERROR(VLOOKUP('Pre-Summary'!$DB$6:$DD$63,3,FALSE),"")</f>
        <v/>
      </c>
      <c r="Y1169" t="str">
        <f>IFERROR(VLOOKUP(B1169,'Pre-Summary'!$CR$6:$CT$36,3,FALSE),"")</f>
        <v/>
      </c>
      <c r="Z1169" s="45" t="str">
        <f>IFERROR(VLOOKUP(B1169,'Pre-Summary'!$BZ$6:$CB$63,2,FALSE),"")</f>
        <v/>
      </c>
      <c r="AA1169" s="45" t="str">
        <f>IFERROR(VLOOKUP(B1169,'Pre-Summary'!$CG$6:$CI$70,2,FALSE),"")</f>
        <v/>
      </c>
      <c r="AB1169" s="99">
        <f>IFERROR(VLOOKUP(B1169,'Pre-Summary'!$A$6:$P$178,9,FALSE),AB1170)</f>
        <v>0.45533763440924657</v>
      </c>
      <c r="AC1169" s="10">
        <f>IFERROR(VLOOKUP(Summary!B1169,'Pre-Summary'!$A$6:$P$184,5, FALSE)/100,AC1170)</f>
        <v>0.89807866666666669</v>
      </c>
      <c r="AD1169" s="10">
        <f>IFERROR(VLOOKUP(Summary!B1169,'Pre-Summary'!$A$6:$P$184,3, FALSE)/100,AD1170)</f>
        <v>1.5917000000000001E-2</v>
      </c>
      <c r="AE1169" s="10">
        <f>IFERROR(VLOOKUP(Summary!B1169,'Pre-Summary'!$A$6:$P$184,7, FALSE)/100,AE1170)</f>
        <v>8.6004666666666674E-2</v>
      </c>
      <c r="AF1169" s="99">
        <f t="shared" si="55"/>
        <v>7.2476091268919782E-3</v>
      </c>
      <c r="AG1169" s="99">
        <f t="shared" si="56"/>
        <v>3.9161161468155785E-2</v>
      </c>
      <c r="AH1169" s="10" t="str">
        <f>IFERROR(VLOOKUP(B1169,'Pre-Summary'!$AZ$6:$BE$65,3,FALSE),"")</f>
        <v/>
      </c>
      <c r="AI1169" s="10" t="str">
        <f>IFERROR(VLOOKUP(B1169,'Pre-Summary'!$AZ$6:$BE$65,5,FALSE),"")</f>
        <v/>
      </c>
      <c r="AJ1169" s="10" t="str">
        <f>IFERROR(VLOOKUP(B1169,'Pre-Summary'!$AZ$6:$BE$65,4,FALSE),"")</f>
        <v/>
      </c>
      <c r="AK1169" s="10" t="str">
        <f>IFERROR(VLOOKUP(B1169,'Pre-Summary'!$AZ$6:$BE$65,6,FALSE),"")</f>
        <v/>
      </c>
      <c r="AL1169" s="10" t="str">
        <f>IFERROR(VLOOKUP(B1169,'Pre-Summary'!$BG$6:$BL$44,3,FALSE),"")</f>
        <v/>
      </c>
      <c r="AM1169" s="10" t="str">
        <f>IFERROR(VLOOKUP(B1169,'Pre-Summary'!$BG$6:$BL$44,4,FALSE),"")</f>
        <v/>
      </c>
    </row>
    <row r="1170" spans="2:39" ht="15" customHeight="1" x14ac:dyDescent="0.3">
      <c r="B1170">
        <v>116.7</v>
      </c>
      <c r="C1170" t="str">
        <f>IFERROR(VLOOKUP(B1170,'Pre-Summary'!$DI$6:$DM$23,4,FALSE),"")</f>
        <v/>
      </c>
      <c r="D1170" s="10" t="str">
        <f>IFERROR(VLOOKUP(B1170,'Pre-Summary'!$AT$6:$AX$14,5,FALSE),D1169)</f>
        <v>DSMZ v4: dropped out methanol</v>
      </c>
      <c r="E1170" s="10" t="str">
        <f>IFERROR(VLOOKUP(B1170,'Pre-Summary'!$AT$6:$AX$15,4,FALSE),"")</f>
        <v/>
      </c>
      <c r="F1170">
        <f>IFERROR(VLOOKUP(B1170,'Pre-Summary'!$AL$6:$AQ$13,6,FALSE),F1169)</f>
        <v>5.9405263157894746E-2</v>
      </c>
      <c r="G1170" t="str">
        <f>IFERROR(VLOOKUP(B1170,'Pre-Summary'!$AE$6:$AJ$85,3,FALSE),"")</f>
        <v/>
      </c>
      <c r="H1170" t="str">
        <f>IFERROR(VLOOKUP(B1170,'Pre-Summary'!$AE$6:$AJ$85,4,FALSE),"")</f>
        <v/>
      </c>
      <c r="I1170" t="str">
        <f>IFERROR(VLOOKUP(B1170,'Pre-Summary'!$AE$6:$AJ$85,5,FALSE),"")</f>
        <v/>
      </c>
      <c r="J1170" s="45" t="str">
        <f>IFERROR(VLOOKUP(B1170,'Pre-Summary'!$AE$6:$AJ$85,6, FALSE),"")</f>
        <v/>
      </c>
      <c r="K1170" s="45" t="str">
        <f>IFERROR(VLOOKUP(B1170,'Pre-Summary'!$DE$6:$DG$61,3,FALSE),"")</f>
        <v/>
      </c>
      <c r="L1170" s="45" t="str">
        <f>IFERROR(VLOOKUP(B1170,'Pre-Summary'!$CU$6:$CW$36,3,FALSE),"")</f>
        <v/>
      </c>
      <c r="M1170" s="45" t="str">
        <f>IFERROR(VLOOKUP(B1170,'Pre-Summary'!$BW$6:$BY$58,2,FALSE),"")</f>
        <v/>
      </c>
      <c r="N1170" s="45" t="str">
        <f>IFERROR(VLOOKUP(B1170,'Pre-Summary'!$CD$6:$CF$64,2,FALSE),"")</f>
        <v/>
      </c>
      <c r="O1170" s="99">
        <f>IFERROR(VLOOKUP(B1170,'Pre-Summary'!$BO$6:$BQ$48,3, FALSE),O1169)</f>
        <v>1.2</v>
      </c>
      <c r="P1170" s="99">
        <f>IFERROR(VLOOKUP(B1170,'Pre-Summary'!$BS$6:$BU$35,3,FALSE),P1169)</f>
        <v>0.3</v>
      </c>
      <c r="Q1170" s="54">
        <f t="shared" si="54"/>
        <v>4</v>
      </c>
      <c r="R1170" s="53">
        <f>IFERROR(VLOOKUP(B1170,'Pre-Summary'!$BG$6:$BM$44,7,FALSE),R1171)</f>
        <v>7.6574939085447311E-2</v>
      </c>
      <c r="S1170" s="53">
        <f>IFERROR(VLOOKUP(B1170,'Pre-Summary'!$BG$6:$BM$44,6,FALSE),S1171)</f>
        <v>6.8761751275839902E-2</v>
      </c>
      <c r="T1170" s="45" t="str">
        <f>IFERROR(VLOOKUP(B1170,'Pre-Summary'!$Y$6:$AC$83, 3,FALSE),"")</f>
        <v/>
      </c>
      <c r="U1170" s="45" t="str">
        <f>IFERROR(VLOOKUP(B1170,'Pre-Summary'!$Y$6:$AC$83, 4,FALSE),"")</f>
        <v/>
      </c>
      <c r="V1170" t="str">
        <f>IFERROR(VLOOKUP(B1170,'Pre-Summary'!$Y$6:$AC$83, 5,FALSE),"")</f>
        <v/>
      </c>
      <c r="W1170" s="45" t="str">
        <f>IFERROR(VLOOKUP(B1170,'Pre-Summary'!$Y$6:$AD$83,6,FALSE),"")</f>
        <v/>
      </c>
      <c r="X1170" t="str">
        <f>IFERROR(VLOOKUP('Pre-Summary'!$DB$6:$DD$63,3,FALSE),"")</f>
        <v/>
      </c>
      <c r="Y1170" t="str">
        <f>IFERROR(VLOOKUP(B1170,'Pre-Summary'!$CR$6:$CT$36,3,FALSE),"")</f>
        <v/>
      </c>
      <c r="Z1170" s="45" t="str">
        <f>IFERROR(VLOOKUP(B1170,'Pre-Summary'!$BZ$6:$CB$63,2,FALSE),"")</f>
        <v/>
      </c>
      <c r="AA1170" s="45" t="str">
        <f>IFERROR(VLOOKUP(B1170,'Pre-Summary'!$CG$6:$CI$70,2,FALSE),"")</f>
        <v/>
      </c>
      <c r="AB1170" s="99">
        <f>IFERROR(VLOOKUP(B1170,'Pre-Summary'!$A$6:$P$178,9,FALSE),AB1171)</f>
        <v>0.45533763440924657</v>
      </c>
      <c r="AC1170" s="10">
        <f>IFERROR(VLOOKUP(Summary!B1170,'Pre-Summary'!$A$6:$P$184,5, FALSE)/100,AC1171)</f>
        <v>0.89807866666666669</v>
      </c>
      <c r="AD1170" s="10">
        <f>IFERROR(VLOOKUP(Summary!B1170,'Pre-Summary'!$A$6:$P$184,3, FALSE)/100,AD1171)</f>
        <v>1.5917000000000001E-2</v>
      </c>
      <c r="AE1170" s="10">
        <f>IFERROR(VLOOKUP(Summary!B1170,'Pre-Summary'!$A$6:$P$184,7, FALSE)/100,AE1171)</f>
        <v>8.6004666666666674E-2</v>
      </c>
      <c r="AF1170" s="99">
        <f t="shared" si="55"/>
        <v>7.2476091268919782E-3</v>
      </c>
      <c r="AG1170" s="99">
        <f t="shared" si="56"/>
        <v>3.9161161468155785E-2</v>
      </c>
      <c r="AH1170" s="10" t="str">
        <f>IFERROR(VLOOKUP(B1170,'Pre-Summary'!$AZ$6:$BE$65,3,FALSE),"")</f>
        <v/>
      </c>
      <c r="AI1170" s="10" t="str">
        <f>IFERROR(VLOOKUP(B1170,'Pre-Summary'!$AZ$6:$BE$65,5,FALSE),"")</f>
        <v/>
      </c>
      <c r="AJ1170" s="10" t="str">
        <f>IFERROR(VLOOKUP(B1170,'Pre-Summary'!$AZ$6:$BE$65,4,FALSE),"")</f>
        <v/>
      </c>
      <c r="AK1170" s="10" t="str">
        <f>IFERROR(VLOOKUP(B1170,'Pre-Summary'!$AZ$6:$BE$65,6,FALSE),"")</f>
        <v/>
      </c>
      <c r="AL1170" s="10" t="str">
        <f>IFERROR(VLOOKUP(B1170,'Pre-Summary'!$BG$6:$BL$44,3,FALSE),"")</f>
        <v/>
      </c>
      <c r="AM1170" s="10" t="str">
        <f>IFERROR(VLOOKUP(B1170,'Pre-Summary'!$BG$6:$BL$44,4,FALSE),"")</f>
        <v/>
      </c>
    </row>
    <row r="1171" spans="2:39" ht="15" customHeight="1" x14ac:dyDescent="0.3">
      <c r="B1171">
        <v>116.8</v>
      </c>
      <c r="C1171" t="str">
        <f>IFERROR(VLOOKUP(B1171,'Pre-Summary'!$DI$6:$DM$23,4,FALSE),"")</f>
        <v/>
      </c>
      <c r="D1171" s="10" t="str">
        <f>IFERROR(VLOOKUP(B1171,'Pre-Summary'!$AT$6:$AX$14,5,FALSE),D1170)</f>
        <v>DSMZ v4: dropped out methanol</v>
      </c>
      <c r="E1171" s="10" t="str">
        <f>IFERROR(VLOOKUP(B1171,'Pre-Summary'!$AT$6:$AX$15,4,FALSE),"")</f>
        <v/>
      </c>
      <c r="F1171">
        <f>IFERROR(VLOOKUP(B1171,'Pre-Summary'!$AL$6:$AQ$13,6,FALSE),F1170)</f>
        <v>5.9405263157894746E-2</v>
      </c>
      <c r="G1171" t="str">
        <f>IFERROR(VLOOKUP(B1171,'Pre-Summary'!$AE$6:$AJ$85,3,FALSE),"")</f>
        <v/>
      </c>
      <c r="H1171" t="str">
        <f>IFERROR(VLOOKUP(B1171,'Pre-Summary'!$AE$6:$AJ$85,4,FALSE),"")</f>
        <v/>
      </c>
      <c r="I1171" t="str">
        <f>IFERROR(VLOOKUP(B1171,'Pre-Summary'!$AE$6:$AJ$85,5,FALSE),"")</f>
        <v/>
      </c>
      <c r="J1171" s="45" t="str">
        <f>IFERROR(VLOOKUP(B1171,'Pre-Summary'!$AE$6:$AJ$85,6, FALSE),"")</f>
        <v/>
      </c>
      <c r="K1171" s="45" t="str">
        <f>IFERROR(VLOOKUP(B1171,'Pre-Summary'!$DE$6:$DG$61,3,FALSE),"")</f>
        <v/>
      </c>
      <c r="L1171" s="45" t="str">
        <f>IFERROR(VLOOKUP(B1171,'Pre-Summary'!$CU$6:$CW$36,3,FALSE),"")</f>
        <v/>
      </c>
      <c r="M1171" s="45" t="str">
        <f>IFERROR(VLOOKUP(B1171,'Pre-Summary'!$BW$6:$BY$58,2,FALSE),"")</f>
        <v/>
      </c>
      <c r="N1171" s="45" t="str">
        <f>IFERROR(VLOOKUP(B1171,'Pre-Summary'!$CD$6:$CF$64,2,FALSE),"")</f>
        <v/>
      </c>
      <c r="O1171" s="99">
        <f>IFERROR(VLOOKUP(B1171,'Pre-Summary'!$BO$6:$BQ$48,3, FALSE),O1170)</f>
        <v>1.2</v>
      </c>
      <c r="P1171" s="99">
        <f>IFERROR(VLOOKUP(B1171,'Pre-Summary'!$BS$6:$BU$35,3,FALSE),P1170)</f>
        <v>0.3</v>
      </c>
      <c r="Q1171" s="54">
        <f t="shared" si="54"/>
        <v>4</v>
      </c>
      <c r="R1171" s="53">
        <f>IFERROR(VLOOKUP(B1171,'Pre-Summary'!$BG$6:$BM$44,7,FALSE),R1172)</f>
        <v>7.6574939085447311E-2</v>
      </c>
      <c r="S1171" s="53">
        <f>IFERROR(VLOOKUP(B1171,'Pre-Summary'!$BG$6:$BM$44,6,FALSE),S1172)</f>
        <v>6.8761751275839902E-2</v>
      </c>
      <c r="T1171" s="45" t="str">
        <f>IFERROR(VLOOKUP(B1171,'Pre-Summary'!$Y$6:$AC$83, 3,FALSE),"")</f>
        <v/>
      </c>
      <c r="U1171" s="45" t="str">
        <f>IFERROR(VLOOKUP(B1171,'Pre-Summary'!$Y$6:$AC$83, 4,FALSE),"")</f>
        <v/>
      </c>
      <c r="V1171" t="str">
        <f>IFERROR(VLOOKUP(B1171,'Pre-Summary'!$Y$6:$AC$83, 5,FALSE),"")</f>
        <v/>
      </c>
      <c r="W1171" s="45" t="str">
        <f>IFERROR(VLOOKUP(B1171,'Pre-Summary'!$Y$6:$AD$83,6,FALSE),"")</f>
        <v/>
      </c>
      <c r="X1171" t="str">
        <f>IFERROR(VLOOKUP('Pre-Summary'!$DB$6:$DD$63,3,FALSE),"")</f>
        <v/>
      </c>
      <c r="Y1171" t="str">
        <f>IFERROR(VLOOKUP(B1171,'Pre-Summary'!$CR$6:$CT$36,3,FALSE),"")</f>
        <v/>
      </c>
      <c r="Z1171" s="45" t="str">
        <f>IFERROR(VLOOKUP(B1171,'Pre-Summary'!$BZ$6:$CB$63,2,FALSE),"")</f>
        <v/>
      </c>
      <c r="AA1171" s="45" t="str">
        <f>IFERROR(VLOOKUP(B1171,'Pre-Summary'!$CG$6:$CI$70,2,FALSE),"")</f>
        <v/>
      </c>
      <c r="AB1171" s="99">
        <f>IFERROR(VLOOKUP(B1171,'Pre-Summary'!$A$6:$P$178,9,FALSE),AB1172)</f>
        <v>0.45533763440924657</v>
      </c>
      <c r="AC1171" s="10">
        <f>IFERROR(VLOOKUP(Summary!B1171,'Pre-Summary'!$A$6:$P$184,5, FALSE)/100,AC1172)</f>
        <v>0.89807866666666669</v>
      </c>
      <c r="AD1171" s="10">
        <f>IFERROR(VLOOKUP(Summary!B1171,'Pre-Summary'!$A$6:$P$184,3, FALSE)/100,AD1172)</f>
        <v>1.5917000000000001E-2</v>
      </c>
      <c r="AE1171" s="10">
        <f>IFERROR(VLOOKUP(Summary!B1171,'Pre-Summary'!$A$6:$P$184,7, FALSE)/100,AE1172)</f>
        <v>8.6004666666666674E-2</v>
      </c>
      <c r="AF1171" s="99">
        <f t="shared" si="55"/>
        <v>7.2476091268919782E-3</v>
      </c>
      <c r="AG1171" s="99">
        <f t="shared" si="56"/>
        <v>3.9161161468155785E-2</v>
      </c>
      <c r="AH1171" s="10" t="str">
        <f>IFERROR(VLOOKUP(B1171,'Pre-Summary'!$AZ$6:$BE$65,3,FALSE),"")</f>
        <v/>
      </c>
      <c r="AI1171" s="10" t="str">
        <f>IFERROR(VLOOKUP(B1171,'Pre-Summary'!$AZ$6:$BE$65,5,FALSE),"")</f>
        <v/>
      </c>
      <c r="AJ1171" s="10" t="str">
        <f>IFERROR(VLOOKUP(B1171,'Pre-Summary'!$AZ$6:$BE$65,4,FALSE),"")</f>
        <v/>
      </c>
      <c r="AK1171" s="10" t="str">
        <f>IFERROR(VLOOKUP(B1171,'Pre-Summary'!$AZ$6:$BE$65,6,FALSE),"")</f>
        <v/>
      </c>
      <c r="AL1171" s="10" t="str">
        <f>IFERROR(VLOOKUP(B1171,'Pre-Summary'!$BG$6:$BL$44,3,FALSE),"")</f>
        <v/>
      </c>
      <c r="AM1171" s="10" t="str">
        <f>IFERROR(VLOOKUP(B1171,'Pre-Summary'!$BG$6:$BL$44,4,FALSE),"")</f>
        <v/>
      </c>
    </row>
    <row r="1172" spans="2:39" ht="15" customHeight="1" x14ac:dyDescent="0.3">
      <c r="B1172">
        <v>116.9</v>
      </c>
      <c r="C1172" t="str">
        <f>IFERROR(VLOOKUP(B1172,'Pre-Summary'!$DI$6:$DM$23,4,FALSE),"")</f>
        <v/>
      </c>
      <c r="D1172" s="10" t="str">
        <f>IFERROR(VLOOKUP(B1172,'Pre-Summary'!$AT$6:$AX$14,5,FALSE),D1171)</f>
        <v>DSMZ v4: dropped out methanol</v>
      </c>
      <c r="E1172" s="10" t="str">
        <f>IFERROR(VLOOKUP(B1172,'Pre-Summary'!$AT$6:$AX$15,4,FALSE),"")</f>
        <v/>
      </c>
      <c r="F1172">
        <f>IFERROR(VLOOKUP(B1172,'Pre-Summary'!$AL$6:$AQ$13,6,FALSE),F1171)</f>
        <v>5.9405263157894746E-2</v>
      </c>
      <c r="G1172" t="str">
        <f>IFERROR(VLOOKUP(B1172,'Pre-Summary'!$AE$6:$AJ$85,3,FALSE),"")</f>
        <v/>
      </c>
      <c r="H1172" t="str">
        <f>IFERROR(VLOOKUP(B1172,'Pre-Summary'!$AE$6:$AJ$85,4,FALSE),"")</f>
        <v/>
      </c>
      <c r="I1172" t="str">
        <f>IFERROR(VLOOKUP(B1172,'Pre-Summary'!$AE$6:$AJ$85,5,FALSE),"")</f>
        <v/>
      </c>
      <c r="J1172" s="45" t="str">
        <f>IFERROR(VLOOKUP(B1172,'Pre-Summary'!$AE$6:$AJ$85,6, FALSE),"")</f>
        <v/>
      </c>
      <c r="K1172" s="45" t="str">
        <f>IFERROR(VLOOKUP(B1172,'Pre-Summary'!$DE$6:$DG$61,3,FALSE),"")</f>
        <v/>
      </c>
      <c r="L1172" s="45" t="str">
        <f>IFERROR(VLOOKUP(B1172,'Pre-Summary'!$CU$6:$CW$36,3,FALSE),"")</f>
        <v/>
      </c>
      <c r="M1172" s="45" t="str">
        <f>IFERROR(VLOOKUP(B1172,'Pre-Summary'!$BW$6:$BY$58,2,FALSE),"")</f>
        <v/>
      </c>
      <c r="N1172" s="45" t="str">
        <f>IFERROR(VLOOKUP(B1172,'Pre-Summary'!$CD$6:$CF$64,2,FALSE),"")</f>
        <v/>
      </c>
      <c r="O1172" s="99">
        <f>IFERROR(VLOOKUP(B1172,'Pre-Summary'!$BO$6:$BQ$48,3, FALSE),O1171)</f>
        <v>1.2</v>
      </c>
      <c r="P1172" s="99">
        <f>IFERROR(VLOOKUP(B1172,'Pre-Summary'!$BS$6:$BU$35,3,FALSE),P1171)</f>
        <v>0.3</v>
      </c>
      <c r="Q1172" s="54">
        <f t="shared" si="54"/>
        <v>4</v>
      </c>
      <c r="R1172" s="53">
        <f>IFERROR(VLOOKUP(B1172,'Pre-Summary'!$BG$6:$BM$44,7,FALSE),R1173)</f>
        <v>7.6574939085447311E-2</v>
      </c>
      <c r="S1172" s="53">
        <f>IFERROR(VLOOKUP(B1172,'Pre-Summary'!$BG$6:$BM$44,6,FALSE),S1173)</f>
        <v>6.8761751275839902E-2</v>
      </c>
      <c r="T1172" s="45" t="str">
        <f>IFERROR(VLOOKUP(B1172,'Pre-Summary'!$Y$6:$AC$83, 3,FALSE),"")</f>
        <v/>
      </c>
      <c r="U1172" s="45" t="str">
        <f>IFERROR(VLOOKUP(B1172,'Pre-Summary'!$Y$6:$AC$83, 4,FALSE),"")</f>
        <v/>
      </c>
      <c r="V1172" t="str">
        <f>IFERROR(VLOOKUP(B1172,'Pre-Summary'!$Y$6:$AC$83, 5,FALSE),"")</f>
        <v/>
      </c>
      <c r="W1172" s="45" t="str">
        <f>IFERROR(VLOOKUP(B1172,'Pre-Summary'!$Y$6:$AD$83,6,FALSE),"")</f>
        <v/>
      </c>
      <c r="X1172" t="str">
        <f>IFERROR(VLOOKUP('Pre-Summary'!$DB$6:$DD$63,3,FALSE),"")</f>
        <v/>
      </c>
      <c r="Y1172" t="str">
        <f>IFERROR(VLOOKUP(B1172,'Pre-Summary'!$CR$6:$CT$36,3,FALSE),"")</f>
        <v/>
      </c>
      <c r="Z1172" s="45" t="str">
        <f>IFERROR(VLOOKUP(B1172,'Pre-Summary'!$BZ$6:$CB$63,2,FALSE),"")</f>
        <v/>
      </c>
      <c r="AA1172" s="45" t="str">
        <f>IFERROR(VLOOKUP(B1172,'Pre-Summary'!$CG$6:$CI$70,2,FALSE),"")</f>
        <v/>
      </c>
      <c r="AB1172" s="99">
        <f>IFERROR(VLOOKUP(B1172,'Pre-Summary'!$A$6:$P$178,9,FALSE),AB1173)</f>
        <v>0.45533763440924657</v>
      </c>
      <c r="AC1172" s="10">
        <f>IFERROR(VLOOKUP(Summary!B1172,'Pre-Summary'!$A$6:$P$184,5, FALSE)/100,AC1173)</f>
        <v>0.89807866666666669</v>
      </c>
      <c r="AD1172" s="10">
        <f>IFERROR(VLOOKUP(Summary!B1172,'Pre-Summary'!$A$6:$P$184,3, FALSE)/100,AD1173)</f>
        <v>1.5917000000000001E-2</v>
      </c>
      <c r="AE1172" s="10">
        <f>IFERROR(VLOOKUP(Summary!B1172,'Pre-Summary'!$A$6:$P$184,7, FALSE)/100,AE1173)</f>
        <v>8.6004666666666674E-2</v>
      </c>
      <c r="AF1172" s="99">
        <f t="shared" si="55"/>
        <v>7.2476091268919782E-3</v>
      </c>
      <c r="AG1172" s="99">
        <f t="shared" si="56"/>
        <v>3.9161161468155785E-2</v>
      </c>
      <c r="AH1172" s="10" t="str">
        <f>IFERROR(VLOOKUP(B1172,'Pre-Summary'!$AZ$6:$BE$65,3,FALSE),"")</f>
        <v/>
      </c>
      <c r="AI1172" s="10" t="str">
        <f>IFERROR(VLOOKUP(B1172,'Pre-Summary'!$AZ$6:$BE$65,5,FALSE),"")</f>
        <v/>
      </c>
      <c r="AJ1172" s="10" t="str">
        <f>IFERROR(VLOOKUP(B1172,'Pre-Summary'!$AZ$6:$BE$65,4,FALSE),"")</f>
        <v/>
      </c>
      <c r="AK1172" s="10" t="str">
        <f>IFERROR(VLOOKUP(B1172,'Pre-Summary'!$AZ$6:$BE$65,6,FALSE),"")</f>
        <v/>
      </c>
      <c r="AL1172" s="10" t="str">
        <f>IFERROR(VLOOKUP(B1172,'Pre-Summary'!$BG$6:$BL$44,3,FALSE),"")</f>
        <v/>
      </c>
      <c r="AM1172" s="10" t="str">
        <f>IFERROR(VLOOKUP(B1172,'Pre-Summary'!$BG$6:$BL$44,4,FALSE),"")</f>
        <v/>
      </c>
    </row>
    <row r="1173" spans="2:39" ht="15" customHeight="1" x14ac:dyDescent="0.3">
      <c r="B1173">
        <v>117</v>
      </c>
      <c r="C1173" t="str">
        <f>IFERROR(VLOOKUP(B1173,'Pre-Summary'!$DI$6:$DM$23,4,FALSE),"")</f>
        <v/>
      </c>
      <c r="D1173" s="10" t="str">
        <f>IFERROR(VLOOKUP(B1173,'Pre-Summary'!$AT$6:$AX$14,5,FALSE),D1172)</f>
        <v>DSMZ v4: dropped out methanol</v>
      </c>
      <c r="E1173" s="10" t="str">
        <f>IFERROR(VLOOKUP(B1173,'Pre-Summary'!$AT$6:$AX$15,4,FALSE),"")</f>
        <v/>
      </c>
      <c r="F1173">
        <f>IFERROR(VLOOKUP(B1173,'Pre-Summary'!$AL$6:$AQ$13,6,FALSE),F1172)</f>
        <v>5.9405263157894746E-2</v>
      </c>
      <c r="G1173" t="str">
        <f>IFERROR(VLOOKUP(B1173,'Pre-Summary'!$AE$6:$AJ$85,3,FALSE),"")</f>
        <v/>
      </c>
      <c r="H1173" t="str">
        <f>IFERROR(VLOOKUP(B1173,'Pre-Summary'!$AE$6:$AJ$85,4,FALSE),"")</f>
        <v/>
      </c>
      <c r="I1173" t="str">
        <f>IFERROR(VLOOKUP(B1173,'Pre-Summary'!$AE$6:$AJ$85,5,FALSE),"")</f>
        <v/>
      </c>
      <c r="J1173" s="45" t="str">
        <f>IFERROR(VLOOKUP(B1173,'Pre-Summary'!$AE$6:$AJ$85,6, FALSE),"")</f>
        <v/>
      </c>
      <c r="K1173" s="45" t="str">
        <f>IFERROR(VLOOKUP(B1173,'Pre-Summary'!$DE$6:$DG$61,3,FALSE),"")</f>
        <v/>
      </c>
      <c r="L1173" s="45" t="str">
        <f>IFERROR(VLOOKUP(B1173,'Pre-Summary'!$CU$6:$CW$36,3,FALSE),"")</f>
        <v/>
      </c>
      <c r="M1173" s="45" t="str">
        <f>IFERROR(VLOOKUP(B1173,'Pre-Summary'!$BW$6:$BY$58,2,FALSE),"")</f>
        <v/>
      </c>
      <c r="N1173" s="45" t="str">
        <f>IFERROR(VLOOKUP(B1173,'Pre-Summary'!$CD$6:$CF$64,2,FALSE),"")</f>
        <v/>
      </c>
      <c r="O1173" s="99">
        <f>IFERROR(VLOOKUP(B1173,'Pre-Summary'!$BO$6:$BQ$48,3, FALSE),O1172)</f>
        <v>1.2</v>
      </c>
      <c r="P1173" s="99">
        <f>IFERROR(VLOOKUP(B1173,'Pre-Summary'!$BS$6:$BU$35,3,FALSE),P1172)</f>
        <v>0.3</v>
      </c>
      <c r="Q1173" s="54">
        <f t="shared" si="54"/>
        <v>4</v>
      </c>
      <c r="R1173" s="53">
        <f>IFERROR(VLOOKUP(B1173,'Pre-Summary'!$BG$6:$BM$44,7,FALSE),R1174)</f>
        <v>7.6574939085447311E-2</v>
      </c>
      <c r="S1173" s="53">
        <f>IFERROR(VLOOKUP(B1173,'Pre-Summary'!$BG$6:$BM$44,6,FALSE),S1174)</f>
        <v>6.8761751275839902E-2</v>
      </c>
      <c r="T1173" s="45" t="str">
        <f>IFERROR(VLOOKUP(B1173,'Pre-Summary'!$Y$6:$AC$83, 3,FALSE),"")</f>
        <v/>
      </c>
      <c r="U1173" s="45" t="str">
        <f>IFERROR(VLOOKUP(B1173,'Pre-Summary'!$Y$6:$AC$83, 4,FALSE),"")</f>
        <v/>
      </c>
      <c r="V1173" t="str">
        <f>IFERROR(VLOOKUP(B1173,'Pre-Summary'!$Y$6:$AC$83, 5,FALSE),"")</f>
        <v/>
      </c>
      <c r="W1173" s="45" t="str">
        <f>IFERROR(VLOOKUP(B1173,'Pre-Summary'!$Y$6:$AD$83,6,FALSE),"")</f>
        <v/>
      </c>
      <c r="X1173" t="str">
        <f>IFERROR(VLOOKUP('Pre-Summary'!$DB$6:$DD$63,3,FALSE),"")</f>
        <v/>
      </c>
      <c r="Y1173" t="str">
        <f>IFERROR(VLOOKUP(B1173,'Pre-Summary'!$CR$6:$CT$36,3,FALSE),"")</f>
        <v/>
      </c>
      <c r="Z1173" s="45" t="str">
        <f>IFERROR(VLOOKUP(B1173,'Pre-Summary'!$BZ$6:$CB$63,2,FALSE),"")</f>
        <v/>
      </c>
      <c r="AA1173" s="45" t="str">
        <f>IFERROR(VLOOKUP(B1173,'Pre-Summary'!$CG$6:$CI$70,2,FALSE),"")</f>
        <v/>
      </c>
      <c r="AB1173" s="99">
        <f>IFERROR(VLOOKUP(B1173,'Pre-Summary'!$A$6:$P$178,9,FALSE),AB1174)</f>
        <v>0.45533763440924657</v>
      </c>
      <c r="AC1173" s="10">
        <f>IFERROR(VLOOKUP(Summary!B1173,'Pre-Summary'!$A$6:$P$184,5, FALSE)/100,AC1174)</f>
        <v>0.89807866666666669</v>
      </c>
      <c r="AD1173" s="10">
        <f>IFERROR(VLOOKUP(Summary!B1173,'Pre-Summary'!$A$6:$P$184,3, FALSE)/100,AD1174)</f>
        <v>1.5917000000000001E-2</v>
      </c>
      <c r="AE1173" s="10">
        <f>IFERROR(VLOOKUP(Summary!B1173,'Pre-Summary'!$A$6:$P$184,7, FALSE)/100,AE1174)</f>
        <v>8.6004666666666674E-2</v>
      </c>
      <c r="AF1173" s="99">
        <f t="shared" si="55"/>
        <v>7.2476091268919782E-3</v>
      </c>
      <c r="AG1173" s="99">
        <f t="shared" si="56"/>
        <v>3.9161161468155785E-2</v>
      </c>
      <c r="AH1173" s="10" t="str">
        <f>IFERROR(VLOOKUP(B1173,'Pre-Summary'!$AZ$6:$BE$65,3,FALSE),"")</f>
        <v/>
      </c>
      <c r="AI1173" s="10" t="str">
        <f>IFERROR(VLOOKUP(B1173,'Pre-Summary'!$AZ$6:$BE$65,5,FALSE),"")</f>
        <v/>
      </c>
      <c r="AJ1173" s="10" t="str">
        <f>IFERROR(VLOOKUP(B1173,'Pre-Summary'!$AZ$6:$BE$65,4,FALSE),"")</f>
        <v/>
      </c>
      <c r="AK1173" s="10" t="str">
        <f>IFERROR(VLOOKUP(B1173,'Pre-Summary'!$AZ$6:$BE$65,6,FALSE),"")</f>
        <v/>
      </c>
      <c r="AL1173" s="10" t="str">
        <f>IFERROR(VLOOKUP(B1173,'Pre-Summary'!$BG$6:$BL$44,3,FALSE),"")</f>
        <v/>
      </c>
      <c r="AM1173" s="10" t="str">
        <f>IFERROR(VLOOKUP(B1173,'Pre-Summary'!$BG$6:$BL$44,4,FALSE),"")</f>
        <v/>
      </c>
    </row>
    <row r="1174" spans="2:39" ht="15" customHeight="1" x14ac:dyDescent="0.3">
      <c r="B1174">
        <v>117.1</v>
      </c>
      <c r="C1174" t="str">
        <f>IFERROR(VLOOKUP(B1174,'Pre-Summary'!$DI$6:$DM$23,4,FALSE),"")</f>
        <v/>
      </c>
      <c r="D1174" s="10" t="str">
        <f>IFERROR(VLOOKUP(B1174,'Pre-Summary'!$AT$6:$AX$14,5,FALSE),D1173)</f>
        <v>DSMZ v4: dropped out methanol</v>
      </c>
      <c r="E1174" s="10" t="str">
        <f>IFERROR(VLOOKUP(B1174,'Pre-Summary'!$AT$6:$AX$15,4,FALSE),"")</f>
        <v/>
      </c>
      <c r="F1174">
        <f>IFERROR(VLOOKUP(B1174,'Pre-Summary'!$AL$6:$AQ$13,6,FALSE),F1173)</f>
        <v>5.9405263157894746E-2</v>
      </c>
      <c r="G1174" t="str">
        <f>IFERROR(VLOOKUP(B1174,'Pre-Summary'!$AE$6:$AJ$85,3,FALSE),"")</f>
        <v/>
      </c>
      <c r="H1174" t="str">
        <f>IFERROR(VLOOKUP(B1174,'Pre-Summary'!$AE$6:$AJ$85,4,FALSE),"")</f>
        <v/>
      </c>
      <c r="I1174" t="str">
        <f>IFERROR(VLOOKUP(B1174,'Pre-Summary'!$AE$6:$AJ$85,5,FALSE),"")</f>
        <v/>
      </c>
      <c r="J1174" s="45" t="str">
        <f>IFERROR(VLOOKUP(B1174,'Pre-Summary'!$AE$6:$AJ$85,6, FALSE),"")</f>
        <v/>
      </c>
      <c r="K1174" s="45" t="str">
        <f>IFERROR(VLOOKUP(B1174,'Pre-Summary'!$DE$6:$DG$61,3,FALSE),"")</f>
        <v/>
      </c>
      <c r="L1174" s="45" t="str">
        <f>IFERROR(VLOOKUP(B1174,'Pre-Summary'!$CU$6:$CW$36,3,FALSE),"")</f>
        <v/>
      </c>
      <c r="M1174" s="45" t="str">
        <f>IFERROR(VLOOKUP(B1174,'Pre-Summary'!$BW$6:$BY$58,2,FALSE),"")</f>
        <v/>
      </c>
      <c r="N1174" s="45" t="str">
        <f>IFERROR(VLOOKUP(B1174,'Pre-Summary'!$CD$6:$CF$64,2,FALSE),"")</f>
        <v/>
      </c>
      <c r="O1174" s="99">
        <f>IFERROR(VLOOKUP(B1174,'Pre-Summary'!$BO$6:$BQ$48,3, FALSE),O1173)</f>
        <v>1.2</v>
      </c>
      <c r="P1174" s="99">
        <f>IFERROR(VLOOKUP(B1174,'Pre-Summary'!$BS$6:$BU$35,3,FALSE),P1173)</f>
        <v>0.3</v>
      </c>
      <c r="Q1174" s="54">
        <f t="shared" si="54"/>
        <v>4</v>
      </c>
      <c r="R1174" s="53">
        <f>IFERROR(VLOOKUP(B1174,'Pre-Summary'!$BG$6:$BM$44,7,FALSE),R1175)</f>
        <v>7.6574939085447311E-2</v>
      </c>
      <c r="S1174" s="53">
        <f>IFERROR(VLOOKUP(B1174,'Pre-Summary'!$BG$6:$BM$44,6,FALSE),S1175)</f>
        <v>6.8761751275839902E-2</v>
      </c>
      <c r="T1174" s="45" t="str">
        <f>IFERROR(VLOOKUP(B1174,'Pre-Summary'!$Y$6:$AC$83, 3,FALSE),"")</f>
        <v/>
      </c>
      <c r="U1174" s="45" t="str">
        <f>IFERROR(VLOOKUP(B1174,'Pre-Summary'!$Y$6:$AC$83, 4,FALSE),"")</f>
        <v/>
      </c>
      <c r="V1174" t="str">
        <f>IFERROR(VLOOKUP(B1174,'Pre-Summary'!$Y$6:$AC$83, 5,FALSE),"")</f>
        <v/>
      </c>
      <c r="W1174" s="45" t="str">
        <f>IFERROR(VLOOKUP(B1174,'Pre-Summary'!$Y$6:$AD$83,6,FALSE),"")</f>
        <v/>
      </c>
      <c r="X1174" t="str">
        <f>IFERROR(VLOOKUP('Pre-Summary'!$DB$6:$DD$63,3,FALSE),"")</f>
        <v/>
      </c>
      <c r="Y1174" t="str">
        <f>IFERROR(VLOOKUP(B1174,'Pre-Summary'!$CR$6:$CT$36,3,FALSE),"")</f>
        <v/>
      </c>
      <c r="Z1174" s="45" t="str">
        <f>IFERROR(VLOOKUP(B1174,'Pre-Summary'!$BZ$6:$CB$63,2,FALSE),"")</f>
        <v/>
      </c>
      <c r="AA1174" s="45" t="str">
        <f>IFERROR(VLOOKUP(B1174,'Pre-Summary'!$CG$6:$CI$70,2,FALSE),"")</f>
        <v/>
      </c>
      <c r="AB1174" s="99">
        <f>IFERROR(VLOOKUP(B1174,'Pre-Summary'!$A$6:$P$178,9,FALSE),AB1175)</f>
        <v>0.45533763440924657</v>
      </c>
      <c r="AC1174" s="10">
        <f>IFERROR(VLOOKUP(Summary!B1174,'Pre-Summary'!$A$6:$P$184,5, FALSE)/100,AC1175)</f>
        <v>0.89807866666666669</v>
      </c>
      <c r="AD1174" s="10">
        <f>IFERROR(VLOOKUP(Summary!B1174,'Pre-Summary'!$A$6:$P$184,3, FALSE)/100,AD1175)</f>
        <v>1.5917000000000001E-2</v>
      </c>
      <c r="AE1174" s="10">
        <f>IFERROR(VLOOKUP(Summary!B1174,'Pre-Summary'!$A$6:$P$184,7, FALSE)/100,AE1175)</f>
        <v>8.6004666666666674E-2</v>
      </c>
      <c r="AF1174" s="99">
        <f t="shared" si="55"/>
        <v>7.2476091268919782E-3</v>
      </c>
      <c r="AG1174" s="99">
        <f t="shared" si="56"/>
        <v>3.9161161468155785E-2</v>
      </c>
      <c r="AH1174" s="10" t="str">
        <f>IFERROR(VLOOKUP(B1174,'Pre-Summary'!$AZ$6:$BE$65,3,FALSE),"")</f>
        <v/>
      </c>
      <c r="AI1174" s="10" t="str">
        <f>IFERROR(VLOOKUP(B1174,'Pre-Summary'!$AZ$6:$BE$65,5,FALSE),"")</f>
        <v/>
      </c>
      <c r="AJ1174" s="10" t="str">
        <f>IFERROR(VLOOKUP(B1174,'Pre-Summary'!$AZ$6:$BE$65,4,FALSE),"")</f>
        <v/>
      </c>
      <c r="AK1174" s="10" t="str">
        <f>IFERROR(VLOOKUP(B1174,'Pre-Summary'!$AZ$6:$BE$65,6,FALSE),"")</f>
        <v/>
      </c>
      <c r="AL1174" s="10" t="str">
        <f>IFERROR(VLOOKUP(B1174,'Pre-Summary'!$BG$6:$BL$44,3,FALSE),"")</f>
        <v/>
      </c>
      <c r="AM1174" s="10" t="str">
        <f>IFERROR(VLOOKUP(B1174,'Pre-Summary'!$BG$6:$BL$44,4,FALSE),"")</f>
        <v/>
      </c>
    </row>
    <row r="1175" spans="2:39" ht="15" customHeight="1" x14ac:dyDescent="0.3">
      <c r="B1175">
        <v>117.2</v>
      </c>
      <c r="C1175" t="str">
        <f>IFERROR(VLOOKUP(B1175,'Pre-Summary'!$DI$6:$DM$23,4,FALSE),"")</f>
        <v/>
      </c>
      <c r="D1175" s="10" t="str">
        <f>IFERROR(VLOOKUP(B1175,'Pre-Summary'!$AT$6:$AX$14,5,FALSE),D1174)</f>
        <v>DSMZ v4: dropped out methanol</v>
      </c>
      <c r="E1175" s="10" t="str">
        <f>IFERROR(VLOOKUP(B1175,'Pre-Summary'!$AT$6:$AX$15,4,FALSE),"")</f>
        <v/>
      </c>
      <c r="F1175">
        <f>IFERROR(VLOOKUP(B1175,'Pre-Summary'!$AL$6:$AQ$13,6,FALSE),F1174)</f>
        <v>5.9405263157894746E-2</v>
      </c>
      <c r="G1175" t="str">
        <f>IFERROR(VLOOKUP(B1175,'Pre-Summary'!$AE$6:$AJ$85,3,FALSE),"")</f>
        <v/>
      </c>
      <c r="H1175" t="str">
        <f>IFERROR(VLOOKUP(B1175,'Pre-Summary'!$AE$6:$AJ$85,4,FALSE),"")</f>
        <v/>
      </c>
      <c r="I1175" t="str">
        <f>IFERROR(VLOOKUP(B1175,'Pre-Summary'!$AE$6:$AJ$85,5,FALSE),"")</f>
        <v/>
      </c>
      <c r="J1175" s="45" t="str">
        <f>IFERROR(VLOOKUP(B1175,'Pre-Summary'!$AE$6:$AJ$85,6, FALSE),"")</f>
        <v/>
      </c>
      <c r="K1175" s="45" t="str">
        <f>IFERROR(VLOOKUP(B1175,'Pre-Summary'!$DE$6:$DG$61,3,FALSE),"")</f>
        <v/>
      </c>
      <c r="L1175" s="45" t="str">
        <f>IFERROR(VLOOKUP(B1175,'Pre-Summary'!$CU$6:$CW$36,3,FALSE),"")</f>
        <v/>
      </c>
      <c r="M1175" s="45" t="str">
        <f>IFERROR(VLOOKUP(B1175,'Pre-Summary'!$BW$6:$BY$58,2,FALSE),"")</f>
        <v/>
      </c>
      <c r="N1175" s="45" t="str">
        <f>IFERROR(VLOOKUP(B1175,'Pre-Summary'!$CD$6:$CF$64,2,FALSE),"")</f>
        <v/>
      </c>
      <c r="O1175" s="99">
        <f>IFERROR(VLOOKUP(B1175,'Pre-Summary'!$BO$6:$BQ$48,3, FALSE),O1174)</f>
        <v>1.2</v>
      </c>
      <c r="P1175" s="99">
        <f>IFERROR(VLOOKUP(B1175,'Pre-Summary'!$BS$6:$BU$35,3,FALSE),P1174)</f>
        <v>0.3</v>
      </c>
      <c r="Q1175" s="54">
        <f t="shared" si="54"/>
        <v>4</v>
      </c>
      <c r="R1175" s="53">
        <f>IFERROR(VLOOKUP(B1175,'Pre-Summary'!$BG$6:$BM$44,7,FALSE),R1176)</f>
        <v>7.6574939085447311E-2</v>
      </c>
      <c r="S1175" s="53">
        <f>IFERROR(VLOOKUP(B1175,'Pre-Summary'!$BG$6:$BM$44,6,FALSE),S1176)</f>
        <v>6.8761751275839902E-2</v>
      </c>
      <c r="T1175" s="45" t="str">
        <f>IFERROR(VLOOKUP(B1175,'Pre-Summary'!$Y$6:$AC$83, 3,FALSE),"")</f>
        <v/>
      </c>
      <c r="U1175" s="45" t="str">
        <f>IFERROR(VLOOKUP(B1175,'Pre-Summary'!$Y$6:$AC$83, 4,FALSE),"")</f>
        <v/>
      </c>
      <c r="V1175" t="str">
        <f>IFERROR(VLOOKUP(B1175,'Pre-Summary'!$Y$6:$AC$83, 5,FALSE),"")</f>
        <v/>
      </c>
      <c r="W1175" s="45" t="str">
        <f>IFERROR(VLOOKUP(B1175,'Pre-Summary'!$Y$6:$AD$83,6,FALSE),"")</f>
        <v/>
      </c>
      <c r="X1175" t="str">
        <f>IFERROR(VLOOKUP('Pre-Summary'!$DB$6:$DD$63,3,FALSE),"")</f>
        <v/>
      </c>
      <c r="Y1175" t="str">
        <f>IFERROR(VLOOKUP(B1175,'Pre-Summary'!$CR$6:$CT$36,3,FALSE),"")</f>
        <v/>
      </c>
      <c r="Z1175" s="45" t="str">
        <f>IFERROR(VLOOKUP(B1175,'Pre-Summary'!$BZ$6:$CB$63,2,FALSE),"")</f>
        <v/>
      </c>
      <c r="AA1175" s="45" t="str">
        <f>IFERROR(VLOOKUP(B1175,'Pre-Summary'!$CG$6:$CI$70,2,FALSE),"")</f>
        <v/>
      </c>
      <c r="AB1175" s="99">
        <f>IFERROR(VLOOKUP(B1175,'Pre-Summary'!$A$6:$P$178,9,FALSE),AB1176)</f>
        <v>0.45533763440924657</v>
      </c>
      <c r="AC1175" s="10">
        <f>IFERROR(VLOOKUP(Summary!B1175,'Pre-Summary'!$A$6:$P$184,5, FALSE)/100,AC1176)</f>
        <v>0.89807866666666669</v>
      </c>
      <c r="AD1175" s="10">
        <f>IFERROR(VLOOKUP(Summary!B1175,'Pre-Summary'!$A$6:$P$184,3, FALSE)/100,AD1176)</f>
        <v>1.5917000000000001E-2</v>
      </c>
      <c r="AE1175" s="10">
        <f>IFERROR(VLOOKUP(Summary!B1175,'Pre-Summary'!$A$6:$P$184,7, FALSE)/100,AE1176)</f>
        <v>8.6004666666666674E-2</v>
      </c>
      <c r="AF1175" s="99">
        <f t="shared" si="55"/>
        <v>7.2476091268919782E-3</v>
      </c>
      <c r="AG1175" s="99">
        <f t="shared" si="56"/>
        <v>3.9161161468155785E-2</v>
      </c>
      <c r="AH1175" s="10" t="str">
        <f>IFERROR(VLOOKUP(B1175,'Pre-Summary'!$AZ$6:$BE$65,3,FALSE),"")</f>
        <v/>
      </c>
      <c r="AI1175" s="10" t="str">
        <f>IFERROR(VLOOKUP(B1175,'Pre-Summary'!$AZ$6:$BE$65,5,FALSE),"")</f>
        <v/>
      </c>
      <c r="AJ1175" s="10" t="str">
        <f>IFERROR(VLOOKUP(B1175,'Pre-Summary'!$AZ$6:$BE$65,4,FALSE),"")</f>
        <v/>
      </c>
      <c r="AK1175" s="10" t="str">
        <f>IFERROR(VLOOKUP(B1175,'Pre-Summary'!$AZ$6:$BE$65,6,FALSE),"")</f>
        <v/>
      </c>
      <c r="AL1175" s="10" t="str">
        <f>IFERROR(VLOOKUP(B1175,'Pre-Summary'!$BG$6:$BL$44,3,FALSE),"")</f>
        <v/>
      </c>
      <c r="AM1175" s="10" t="str">
        <f>IFERROR(VLOOKUP(B1175,'Pre-Summary'!$BG$6:$BL$44,4,FALSE),"")</f>
        <v/>
      </c>
    </row>
    <row r="1176" spans="2:39" ht="15" customHeight="1" x14ac:dyDescent="0.3">
      <c r="B1176">
        <v>117.3</v>
      </c>
      <c r="C1176" t="str">
        <f>IFERROR(VLOOKUP(B1176,'Pre-Summary'!$DI$6:$DM$23,4,FALSE),"")</f>
        <v/>
      </c>
      <c r="D1176" s="10" t="str">
        <f>IFERROR(VLOOKUP(B1176,'Pre-Summary'!$AT$6:$AX$14,5,FALSE),D1175)</f>
        <v>DSMZ v4: dropped out methanol</v>
      </c>
      <c r="E1176" s="10" t="str">
        <f>IFERROR(VLOOKUP(B1176,'Pre-Summary'!$AT$6:$AX$15,4,FALSE),"")</f>
        <v/>
      </c>
      <c r="F1176">
        <f>IFERROR(VLOOKUP(B1176,'Pre-Summary'!$AL$6:$AQ$13,6,FALSE),F1175)</f>
        <v>5.9405263157894746E-2</v>
      </c>
      <c r="G1176" t="str">
        <f>IFERROR(VLOOKUP(B1176,'Pre-Summary'!$AE$6:$AJ$85,3,FALSE),"")</f>
        <v/>
      </c>
      <c r="H1176" t="str">
        <f>IFERROR(VLOOKUP(B1176,'Pre-Summary'!$AE$6:$AJ$85,4,FALSE),"")</f>
        <v/>
      </c>
      <c r="I1176" t="str">
        <f>IFERROR(VLOOKUP(B1176,'Pre-Summary'!$AE$6:$AJ$85,5,FALSE),"")</f>
        <v/>
      </c>
      <c r="J1176" s="45" t="str">
        <f>IFERROR(VLOOKUP(B1176,'Pre-Summary'!$AE$6:$AJ$85,6, FALSE),"")</f>
        <v/>
      </c>
      <c r="K1176" s="45" t="str">
        <f>IFERROR(VLOOKUP(B1176,'Pre-Summary'!$DE$6:$DG$61,3,FALSE),"")</f>
        <v/>
      </c>
      <c r="L1176" s="45" t="str">
        <f>IFERROR(VLOOKUP(B1176,'Pre-Summary'!$CU$6:$CW$36,3,FALSE),"")</f>
        <v/>
      </c>
      <c r="M1176" s="45" t="str">
        <f>IFERROR(VLOOKUP(B1176,'Pre-Summary'!$BW$6:$BY$58,2,FALSE),"")</f>
        <v/>
      </c>
      <c r="N1176" s="45" t="str">
        <f>IFERROR(VLOOKUP(B1176,'Pre-Summary'!$CD$6:$CF$64,2,FALSE),"")</f>
        <v/>
      </c>
      <c r="O1176" s="99">
        <f>IFERROR(VLOOKUP(B1176,'Pre-Summary'!$BO$6:$BQ$48,3, FALSE),O1175)</f>
        <v>1.2</v>
      </c>
      <c r="P1176" s="99">
        <f>IFERROR(VLOOKUP(B1176,'Pre-Summary'!$BS$6:$BU$35,3,FALSE),P1175)</f>
        <v>0.3</v>
      </c>
      <c r="Q1176" s="54">
        <f t="shared" si="54"/>
        <v>4</v>
      </c>
      <c r="R1176" s="53">
        <f>IFERROR(VLOOKUP(B1176,'Pre-Summary'!$BG$6:$BM$44,7,FALSE),R1177)</f>
        <v>7.6574939085447311E-2</v>
      </c>
      <c r="S1176" s="53">
        <f>IFERROR(VLOOKUP(B1176,'Pre-Summary'!$BG$6:$BM$44,6,FALSE),S1177)</f>
        <v>6.8761751275839902E-2</v>
      </c>
      <c r="T1176" s="45" t="str">
        <f>IFERROR(VLOOKUP(B1176,'Pre-Summary'!$Y$6:$AC$83, 3,FALSE),"")</f>
        <v/>
      </c>
      <c r="U1176" s="45" t="str">
        <f>IFERROR(VLOOKUP(B1176,'Pre-Summary'!$Y$6:$AC$83, 4,FALSE),"")</f>
        <v/>
      </c>
      <c r="V1176" t="str">
        <f>IFERROR(VLOOKUP(B1176,'Pre-Summary'!$Y$6:$AC$83, 5,FALSE),"")</f>
        <v/>
      </c>
      <c r="W1176" s="45" t="str">
        <f>IFERROR(VLOOKUP(B1176,'Pre-Summary'!$Y$6:$AD$83,6,FALSE),"")</f>
        <v/>
      </c>
      <c r="X1176" t="str">
        <f>IFERROR(VLOOKUP('Pre-Summary'!$DB$6:$DD$63,3,FALSE),"")</f>
        <v/>
      </c>
      <c r="Y1176" t="str">
        <f>IFERROR(VLOOKUP(B1176,'Pre-Summary'!$CR$6:$CT$36,3,FALSE),"")</f>
        <v/>
      </c>
      <c r="Z1176" s="45" t="str">
        <f>IFERROR(VLOOKUP(B1176,'Pre-Summary'!$BZ$6:$CB$63,2,FALSE),"")</f>
        <v/>
      </c>
      <c r="AA1176" s="45" t="str">
        <f>IFERROR(VLOOKUP(B1176,'Pre-Summary'!$CG$6:$CI$70,2,FALSE),"")</f>
        <v/>
      </c>
      <c r="AB1176" s="99">
        <f>IFERROR(VLOOKUP(B1176,'Pre-Summary'!$A$6:$P$178,9,FALSE),AB1177)</f>
        <v>0.45533763440924657</v>
      </c>
      <c r="AC1176" s="10">
        <f>IFERROR(VLOOKUP(Summary!B1176,'Pre-Summary'!$A$6:$P$184,5, FALSE)/100,AC1177)</f>
        <v>0.89807866666666669</v>
      </c>
      <c r="AD1176" s="10">
        <f>IFERROR(VLOOKUP(Summary!B1176,'Pre-Summary'!$A$6:$P$184,3, FALSE)/100,AD1177)</f>
        <v>1.5917000000000001E-2</v>
      </c>
      <c r="AE1176" s="10">
        <f>IFERROR(VLOOKUP(Summary!B1176,'Pre-Summary'!$A$6:$P$184,7, FALSE)/100,AE1177)</f>
        <v>8.6004666666666674E-2</v>
      </c>
      <c r="AF1176" s="99">
        <f t="shared" si="55"/>
        <v>7.2476091268919782E-3</v>
      </c>
      <c r="AG1176" s="99">
        <f t="shared" si="56"/>
        <v>3.9161161468155785E-2</v>
      </c>
      <c r="AH1176" s="10" t="str">
        <f>IFERROR(VLOOKUP(B1176,'Pre-Summary'!$AZ$6:$BE$65,3,FALSE),"")</f>
        <v/>
      </c>
      <c r="AI1176" s="10" t="str">
        <f>IFERROR(VLOOKUP(B1176,'Pre-Summary'!$AZ$6:$BE$65,5,FALSE),"")</f>
        <v/>
      </c>
      <c r="AJ1176" s="10" t="str">
        <f>IFERROR(VLOOKUP(B1176,'Pre-Summary'!$AZ$6:$BE$65,4,FALSE),"")</f>
        <v/>
      </c>
      <c r="AK1176" s="10" t="str">
        <f>IFERROR(VLOOKUP(B1176,'Pre-Summary'!$AZ$6:$BE$65,6,FALSE),"")</f>
        <v/>
      </c>
      <c r="AL1176" s="10" t="str">
        <f>IFERROR(VLOOKUP(B1176,'Pre-Summary'!$BG$6:$BL$44,3,FALSE),"")</f>
        <v/>
      </c>
      <c r="AM1176" s="10" t="str">
        <f>IFERROR(VLOOKUP(B1176,'Pre-Summary'!$BG$6:$BL$44,4,FALSE),"")</f>
        <v/>
      </c>
    </row>
    <row r="1177" spans="2:39" ht="15" customHeight="1" x14ac:dyDescent="0.3">
      <c r="B1177">
        <v>117.4</v>
      </c>
      <c r="C1177" t="str">
        <f>IFERROR(VLOOKUP(B1177,'Pre-Summary'!$DI$6:$DM$23,4,FALSE),"")</f>
        <v/>
      </c>
      <c r="D1177" s="10" t="str">
        <f>IFERROR(VLOOKUP(B1177,'Pre-Summary'!$AT$6:$AX$14,5,FALSE),D1176)</f>
        <v>DSMZ v4: dropped out methanol</v>
      </c>
      <c r="E1177" s="10" t="str">
        <f>IFERROR(VLOOKUP(B1177,'Pre-Summary'!$AT$6:$AX$15,4,FALSE),"")</f>
        <v/>
      </c>
      <c r="F1177">
        <f>IFERROR(VLOOKUP(B1177,'Pre-Summary'!$AL$6:$AQ$13,6,FALSE),F1176)</f>
        <v>5.9405263157894746E-2</v>
      </c>
      <c r="G1177" t="str">
        <f>IFERROR(VLOOKUP(B1177,'Pre-Summary'!$AE$6:$AJ$85,3,FALSE),"")</f>
        <v/>
      </c>
      <c r="H1177" t="str">
        <f>IFERROR(VLOOKUP(B1177,'Pre-Summary'!$AE$6:$AJ$85,4,FALSE),"")</f>
        <v/>
      </c>
      <c r="I1177" t="str">
        <f>IFERROR(VLOOKUP(B1177,'Pre-Summary'!$AE$6:$AJ$85,5,FALSE),"")</f>
        <v/>
      </c>
      <c r="J1177" s="45" t="str">
        <f>IFERROR(VLOOKUP(B1177,'Pre-Summary'!$AE$6:$AJ$85,6, FALSE),"")</f>
        <v/>
      </c>
      <c r="K1177" s="45" t="str">
        <f>IFERROR(VLOOKUP(B1177,'Pre-Summary'!$DE$6:$DG$61,3,FALSE),"")</f>
        <v/>
      </c>
      <c r="L1177" s="45" t="str">
        <f>IFERROR(VLOOKUP(B1177,'Pre-Summary'!$CU$6:$CW$36,3,FALSE),"")</f>
        <v/>
      </c>
      <c r="M1177" s="45" t="str">
        <f>IFERROR(VLOOKUP(B1177,'Pre-Summary'!$BW$6:$BY$58,2,FALSE),"")</f>
        <v/>
      </c>
      <c r="N1177" s="45" t="str">
        <f>IFERROR(VLOOKUP(B1177,'Pre-Summary'!$CD$6:$CF$64,2,FALSE),"")</f>
        <v/>
      </c>
      <c r="O1177" s="99">
        <f>IFERROR(VLOOKUP(B1177,'Pre-Summary'!$BO$6:$BQ$48,3, FALSE),O1176)</f>
        <v>1.2</v>
      </c>
      <c r="P1177" s="99">
        <f>IFERROR(VLOOKUP(B1177,'Pre-Summary'!$BS$6:$BU$35,3,FALSE),P1176)</f>
        <v>0.3</v>
      </c>
      <c r="Q1177" s="54">
        <f t="shared" si="54"/>
        <v>4</v>
      </c>
      <c r="R1177" s="53">
        <f>IFERROR(VLOOKUP(B1177,'Pre-Summary'!$BG$6:$BM$44,7,FALSE),R1178)</f>
        <v>7.6574939085447311E-2</v>
      </c>
      <c r="S1177" s="53">
        <f>IFERROR(VLOOKUP(B1177,'Pre-Summary'!$BG$6:$BM$44,6,FALSE),S1178)</f>
        <v>6.8761751275839902E-2</v>
      </c>
      <c r="T1177" s="45" t="str">
        <f>IFERROR(VLOOKUP(B1177,'Pre-Summary'!$Y$6:$AC$83, 3,FALSE),"")</f>
        <v/>
      </c>
      <c r="U1177" s="45" t="str">
        <f>IFERROR(VLOOKUP(B1177,'Pre-Summary'!$Y$6:$AC$83, 4,FALSE),"")</f>
        <v/>
      </c>
      <c r="V1177" t="str">
        <f>IFERROR(VLOOKUP(B1177,'Pre-Summary'!$Y$6:$AC$83, 5,FALSE),"")</f>
        <v/>
      </c>
      <c r="W1177" s="45" t="str">
        <f>IFERROR(VLOOKUP(B1177,'Pre-Summary'!$Y$6:$AD$83,6,FALSE),"")</f>
        <v/>
      </c>
      <c r="X1177" t="str">
        <f>IFERROR(VLOOKUP('Pre-Summary'!$DB$6:$DD$63,3,FALSE),"")</f>
        <v/>
      </c>
      <c r="Y1177" t="str">
        <f>IFERROR(VLOOKUP(B1177,'Pre-Summary'!$CR$6:$CT$36,3,FALSE),"")</f>
        <v/>
      </c>
      <c r="Z1177" s="45" t="str">
        <f>IFERROR(VLOOKUP(B1177,'Pre-Summary'!$BZ$6:$CB$63,2,FALSE),"")</f>
        <v/>
      </c>
      <c r="AA1177" s="45" t="str">
        <f>IFERROR(VLOOKUP(B1177,'Pre-Summary'!$CG$6:$CI$70,2,FALSE),"")</f>
        <v/>
      </c>
      <c r="AB1177" s="99">
        <f>IFERROR(VLOOKUP(B1177,'Pre-Summary'!$A$6:$P$178,9,FALSE),AB1178)</f>
        <v>0.45533763440924657</v>
      </c>
      <c r="AC1177" s="10">
        <f>IFERROR(VLOOKUP(Summary!B1177,'Pre-Summary'!$A$6:$P$184,5, FALSE)/100,AC1178)</f>
        <v>0.89807866666666669</v>
      </c>
      <c r="AD1177" s="10">
        <f>IFERROR(VLOOKUP(Summary!B1177,'Pre-Summary'!$A$6:$P$184,3, FALSE)/100,AD1178)</f>
        <v>1.5917000000000001E-2</v>
      </c>
      <c r="AE1177" s="10">
        <f>IFERROR(VLOOKUP(Summary!B1177,'Pre-Summary'!$A$6:$P$184,7, FALSE)/100,AE1178)</f>
        <v>8.6004666666666674E-2</v>
      </c>
      <c r="AF1177" s="99">
        <f t="shared" si="55"/>
        <v>7.2476091268919782E-3</v>
      </c>
      <c r="AG1177" s="99">
        <f t="shared" si="56"/>
        <v>3.9161161468155785E-2</v>
      </c>
      <c r="AH1177" s="10" t="str">
        <f>IFERROR(VLOOKUP(B1177,'Pre-Summary'!$AZ$6:$BE$65,3,FALSE),"")</f>
        <v/>
      </c>
      <c r="AI1177" s="10" t="str">
        <f>IFERROR(VLOOKUP(B1177,'Pre-Summary'!$AZ$6:$BE$65,5,FALSE),"")</f>
        <v/>
      </c>
      <c r="AJ1177" s="10" t="str">
        <f>IFERROR(VLOOKUP(B1177,'Pre-Summary'!$AZ$6:$BE$65,4,FALSE),"")</f>
        <v/>
      </c>
      <c r="AK1177" s="10" t="str">
        <f>IFERROR(VLOOKUP(B1177,'Pre-Summary'!$AZ$6:$BE$65,6,FALSE),"")</f>
        <v/>
      </c>
      <c r="AL1177" s="10" t="str">
        <f>IFERROR(VLOOKUP(B1177,'Pre-Summary'!$BG$6:$BL$44,3,FALSE),"")</f>
        <v/>
      </c>
      <c r="AM1177" s="10" t="str">
        <f>IFERROR(VLOOKUP(B1177,'Pre-Summary'!$BG$6:$BL$44,4,FALSE),"")</f>
        <v/>
      </c>
    </row>
    <row r="1178" spans="2:39" ht="15" customHeight="1" x14ac:dyDescent="0.3">
      <c r="B1178">
        <v>117.5</v>
      </c>
      <c r="C1178" t="str">
        <f>IFERROR(VLOOKUP(B1178,'Pre-Summary'!$DI$6:$DM$23,4,FALSE),"")</f>
        <v/>
      </c>
      <c r="D1178" s="10" t="str">
        <f>IFERROR(VLOOKUP(B1178,'Pre-Summary'!$AT$6:$AX$14,5,FALSE),D1177)</f>
        <v>DSMZ v4: dropped out methanol</v>
      </c>
      <c r="E1178" s="10" t="str">
        <f>IFERROR(VLOOKUP(B1178,'Pre-Summary'!$AT$6:$AX$15,4,FALSE),"")</f>
        <v/>
      </c>
      <c r="F1178">
        <f>IFERROR(VLOOKUP(B1178,'Pre-Summary'!$AL$6:$AQ$13,6,FALSE),F1177)</f>
        <v>5.9405263157894746E-2</v>
      </c>
      <c r="G1178" t="str">
        <f>IFERROR(VLOOKUP(B1178,'Pre-Summary'!$AE$6:$AJ$85,3,FALSE),"")</f>
        <v/>
      </c>
      <c r="H1178" t="str">
        <f>IFERROR(VLOOKUP(B1178,'Pre-Summary'!$AE$6:$AJ$85,4,FALSE),"")</f>
        <v/>
      </c>
      <c r="I1178" t="str">
        <f>IFERROR(VLOOKUP(B1178,'Pre-Summary'!$AE$6:$AJ$85,5,FALSE),"")</f>
        <v/>
      </c>
      <c r="J1178" s="45" t="str">
        <f>IFERROR(VLOOKUP(B1178,'Pre-Summary'!$AE$6:$AJ$85,6, FALSE),"")</f>
        <v/>
      </c>
      <c r="K1178" s="45" t="str">
        <f>IFERROR(VLOOKUP(B1178,'Pre-Summary'!$DE$6:$DG$61,3,FALSE),"")</f>
        <v/>
      </c>
      <c r="L1178" s="45" t="str">
        <f>IFERROR(VLOOKUP(B1178,'Pre-Summary'!$CU$6:$CW$36,3,FALSE),"")</f>
        <v/>
      </c>
      <c r="M1178" s="45" t="str">
        <f>IFERROR(VLOOKUP(B1178,'Pre-Summary'!$BW$6:$BY$58,2,FALSE),"")</f>
        <v/>
      </c>
      <c r="N1178" s="45">
        <f>IFERROR(VLOOKUP(B1178,'Pre-Summary'!$CD$6:$CF$64,2,FALSE),"")</f>
        <v>88.925511480739317</v>
      </c>
      <c r="O1178" s="99">
        <f>IFERROR(VLOOKUP(B1178,'Pre-Summary'!$BO$6:$BQ$48,3, FALSE),O1177)</f>
        <v>1.2</v>
      </c>
      <c r="P1178" s="99">
        <f>IFERROR(VLOOKUP(B1178,'Pre-Summary'!$BS$6:$BU$35,3,FALSE),P1177)</f>
        <v>0.3</v>
      </c>
      <c r="Q1178" s="54">
        <f t="shared" si="54"/>
        <v>4</v>
      </c>
      <c r="R1178" s="53">
        <f>IFERROR(VLOOKUP(B1178,'Pre-Summary'!$BG$6:$BM$44,7,FALSE),R1179)</f>
        <v>7.6574939085447311E-2</v>
      </c>
      <c r="S1178" s="53">
        <f>IFERROR(VLOOKUP(B1178,'Pre-Summary'!$BG$6:$BM$44,6,FALSE),S1179)</f>
        <v>6.8761751275839902E-2</v>
      </c>
      <c r="T1178" s="45" t="str">
        <f>IFERROR(VLOOKUP(B1178,'Pre-Summary'!$Y$6:$AC$83, 3,FALSE),"")</f>
        <v/>
      </c>
      <c r="U1178" s="45" t="str">
        <f>IFERROR(VLOOKUP(B1178,'Pre-Summary'!$Y$6:$AC$83, 4,FALSE),"")</f>
        <v/>
      </c>
      <c r="V1178" t="str">
        <f>IFERROR(VLOOKUP(B1178,'Pre-Summary'!$Y$6:$AC$83, 5,FALSE),"")</f>
        <v/>
      </c>
      <c r="W1178" s="45" t="str">
        <f>IFERROR(VLOOKUP(B1178,'Pre-Summary'!$Y$6:$AD$83,6,FALSE),"")</f>
        <v/>
      </c>
      <c r="X1178" t="str">
        <f>IFERROR(VLOOKUP('Pre-Summary'!$DB$6:$DD$63,3,FALSE),"")</f>
        <v/>
      </c>
      <c r="Y1178" t="str">
        <f>IFERROR(VLOOKUP(B1178,'Pre-Summary'!$CR$6:$CT$36,3,FALSE),"")</f>
        <v/>
      </c>
      <c r="Z1178" s="45" t="str">
        <f>IFERROR(VLOOKUP(B1178,'Pre-Summary'!$BZ$6:$CB$63,2,FALSE),"")</f>
        <v/>
      </c>
      <c r="AA1178" s="45" t="str">
        <f>IFERROR(VLOOKUP(B1178,'Pre-Summary'!$CG$6:$CI$70,2,FALSE),"")</f>
        <v/>
      </c>
      <c r="AB1178" s="99">
        <f>IFERROR(VLOOKUP(B1178,'Pre-Summary'!$A$6:$P$178,9,FALSE),AB1179)</f>
        <v>0.45533763440924657</v>
      </c>
      <c r="AC1178" s="10">
        <f>IFERROR(VLOOKUP(Summary!B1178,'Pre-Summary'!$A$6:$P$184,5, FALSE)/100,AC1179)</f>
        <v>0.89807866666666669</v>
      </c>
      <c r="AD1178" s="10">
        <f>IFERROR(VLOOKUP(Summary!B1178,'Pre-Summary'!$A$6:$P$184,3, FALSE)/100,AD1179)</f>
        <v>1.5917000000000001E-2</v>
      </c>
      <c r="AE1178" s="10">
        <f>IFERROR(VLOOKUP(Summary!B1178,'Pre-Summary'!$A$6:$P$184,7, FALSE)/100,AE1179)</f>
        <v>8.6004666666666674E-2</v>
      </c>
      <c r="AF1178" s="99">
        <f t="shared" si="55"/>
        <v>7.2476091268919782E-3</v>
      </c>
      <c r="AG1178" s="99">
        <f t="shared" si="56"/>
        <v>3.9161161468155785E-2</v>
      </c>
      <c r="AH1178" s="10" t="str">
        <f>IFERROR(VLOOKUP(B1178,'Pre-Summary'!$AZ$6:$BE$65,3,FALSE),"")</f>
        <v/>
      </c>
      <c r="AI1178" s="10" t="str">
        <f>IFERROR(VLOOKUP(B1178,'Pre-Summary'!$AZ$6:$BE$65,5,FALSE),"")</f>
        <v/>
      </c>
      <c r="AJ1178" s="10" t="str">
        <f>IFERROR(VLOOKUP(B1178,'Pre-Summary'!$AZ$6:$BE$65,4,FALSE),"")</f>
        <v/>
      </c>
      <c r="AK1178" s="10" t="str">
        <f>IFERROR(VLOOKUP(B1178,'Pre-Summary'!$AZ$6:$BE$65,6,FALSE),"")</f>
        <v/>
      </c>
      <c r="AL1178" s="10" t="str">
        <f>IFERROR(VLOOKUP(B1178,'Pre-Summary'!$BG$6:$BL$44,3,FALSE),"")</f>
        <v/>
      </c>
      <c r="AM1178" s="10" t="str">
        <f>IFERROR(VLOOKUP(B1178,'Pre-Summary'!$BG$6:$BL$44,4,FALSE),"")</f>
        <v/>
      </c>
    </row>
    <row r="1179" spans="2:39" ht="15" customHeight="1" x14ac:dyDescent="0.3">
      <c r="B1179">
        <v>117.6</v>
      </c>
      <c r="C1179" t="str">
        <f>IFERROR(VLOOKUP(B1179,'Pre-Summary'!$DI$6:$DM$23,4,FALSE),"")</f>
        <v/>
      </c>
      <c r="D1179" s="10" t="str">
        <f>IFERROR(VLOOKUP(B1179,'Pre-Summary'!$AT$6:$AX$14,5,FALSE),D1178)</f>
        <v>DSMZ v4: dropped out methanol</v>
      </c>
      <c r="E1179" s="10" t="str">
        <f>IFERROR(VLOOKUP(B1179,'Pre-Summary'!$AT$6:$AX$15,4,FALSE),"")</f>
        <v/>
      </c>
      <c r="F1179">
        <f>IFERROR(VLOOKUP(B1179,'Pre-Summary'!$AL$6:$AQ$13,6,FALSE),F1178)</f>
        <v>5.9405263157894746E-2</v>
      </c>
      <c r="G1179" t="str">
        <f>IFERROR(VLOOKUP(B1179,'Pre-Summary'!$AE$6:$AJ$85,3,FALSE),"")</f>
        <v/>
      </c>
      <c r="H1179" t="str">
        <f>IFERROR(VLOOKUP(B1179,'Pre-Summary'!$AE$6:$AJ$85,4,FALSE),"")</f>
        <v/>
      </c>
      <c r="I1179" t="str">
        <f>IFERROR(VLOOKUP(B1179,'Pre-Summary'!$AE$6:$AJ$85,5,FALSE),"")</f>
        <v/>
      </c>
      <c r="J1179" s="45" t="str">
        <f>IFERROR(VLOOKUP(B1179,'Pre-Summary'!$AE$6:$AJ$85,6, FALSE),"")</f>
        <v/>
      </c>
      <c r="K1179" s="45" t="str">
        <f>IFERROR(VLOOKUP(B1179,'Pre-Summary'!$DE$6:$DG$61,3,FALSE),"")</f>
        <v/>
      </c>
      <c r="L1179" s="45" t="str">
        <f>IFERROR(VLOOKUP(B1179,'Pre-Summary'!$CU$6:$CW$36,3,FALSE),"")</f>
        <v/>
      </c>
      <c r="M1179" s="45" t="str">
        <f>IFERROR(VLOOKUP(B1179,'Pre-Summary'!$BW$6:$BY$58,2,FALSE),"")</f>
        <v/>
      </c>
      <c r="N1179" s="45" t="str">
        <f>IFERROR(VLOOKUP(B1179,'Pre-Summary'!$CD$6:$CF$64,2,FALSE),"")</f>
        <v/>
      </c>
      <c r="O1179" s="99">
        <f>IFERROR(VLOOKUP(B1179,'Pre-Summary'!$BO$6:$BQ$48,3, FALSE),O1178)</f>
        <v>1.2</v>
      </c>
      <c r="P1179" s="99">
        <f>IFERROR(VLOOKUP(B1179,'Pre-Summary'!$BS$6:$BU$35,3,FALSE),P1178)</f>
        <v>0.3</v>
      </c>
      <c r="Q1179" s="54">
        <f t="shared" si="54"/>
        <v>4</v>
      </c>
      <c r="R1179" s="53">
        <f>IFERROR(VLOOKUP(B1179,'Pre-Summary'!$BG$6:$BM$44,7,FALSE),R1180)</f>
        <v>7.6574939085447311E-2</v>
      </c>
      <c r="S1179" s="53">
        <f>IFERROR(VLOOKUP(B1179,'Pre-Summary'!$BG$6:$BM$44,6,FALSE),S1180)</f>
        <v>6.8761751275839902E-2</v>
      </c>
      <c r="T1179" s="45" t="str">
        <f>IFERROR(VLOOKUP(B1179,'Pre-Summary'!$Y$6:$AC$83, 3,FALSE),"")</f>
        <v/>
      </c>
      <c r="U1179" s="45" t="str">
        <f>IFERROR(VLOOKUP(B1179,'Pre-Summary'!$Y$6:$AC$83, 4,FALSE),"")</f>
        <v/>
      </c>
      <c r="V1179" t="str">
        <f>IFERROR(VLOOKUP(B1179,'Pre-Summary'!$Y$6:$AC$83, 5,FALSE),"")</f>
        <v/>
      </c>
      <c r="W1179" s="45" t="str">
        <f>IFERROR(VLOOKUP(B1179,'Pre-Summary'!$Y$6:$AD$83,6,FALSE),"")</f>
        <v/>
      </c>
      <c r="X1179" t="str">
        <f>IFERROR(VLOOKUP('Pre-Summary'!$DB$6:$DD$63,3,FALSE),"")</f>
        <v/>
      </c>
      <c r="Y1179" t="str">
        <f>IFERROR(VLOOKUP(B1179,'Pre-Summary'!$CR$6:$CT$36,3,FALSE),"")</f>
        <v/>
      </c>
      <c r="Z1179" s="45" t="str">
        <f>IFERROR(VLOOKUP(B1179,'Pre-Summary'!$BZ$6:$CB$63,2,FALSE),"")</f>
        <v/>
      </c>
      <c r="AA1179" s="45" t="str">
        <f>IFERROR(VLOOKUP(B1179,'Pre-Summary'!$CG$6:$CI$70,2,FALSE),"")</f>
        <v/>
      </c>
      <c r="AB1179" s="99">
        <f>IFERROR(VLOOKUP(B1179,'Pre-Summary'!$A$6:$P$178,9,FALSE),AB1180)</f>
        <v>0.45533763440924657</v>
      </c>
      <c r="AC1179" s="10">
        <f>IFERROR(VLOOKUP(Summary!B1179,'Pre-Summary'!$A$6:$P$184,5, FALSE)/100,AC1180)</f>
        <v>0.89807866666666669</v>
      </c>
      <c r="AD1179" s="10">
        <f>IFERROR(VLOOKUP(Summary!B1179,'Pre-Summary'!$A$6:$P$184,3, FALSE)/100,AD1180)</f>
        <v>1.5917000000000001E-2</v>
      </c>
      <c r="AE1179" s="10">
        <f>IFERROR(VLOOKUP(Summary!B1179,'Pre-Summary'!$A$6:$P$184,7, FALSE)/100,AE1180)</f>
        <v>8.6004666666666674E-2</v>
      </c>
      <c r="AF1179" s="99">
        <f t="shared" si="55"/>
        <v>7.2476091268919782E-3</v>
      </c>
      <c r="AG1179" s="99">
        <f t="shared" si="56"/>
        <v>3.9161161468155785E-2</v>
      </c>
      <c r="AH1179" s="10" t="str">
        <f>IFERROR(VLOOKUP(B1179,'Pre-Summary'!$AZ$6:$BE$65,3,FALSE),"")</f>
        <v/>
      </c>
      <c r="AI1179" s="10" t="str">
        <f>IFERROR(VLOOKUP(B1179,'Pre-Summary'!$AZ$6:$BE$65,5,FALSE),"")</f>
        <v/>
      </c>
      <c r="AJ1179" s="10" t="str">
        <f>IFERROR(VLOOKUP(B1179,'Pre-Summary'!$AZ$6:$BE$65,4,FALSE),"")</f>
        <v/>
      </c>
      <c r="AK1179" s="10" t="str">
        <f>IFERROR(VLOOKUP(B1179,'Pre-Summary'!$AZ$6:$BE$65,6,FALSE),"")</f>
        <v/>
      </c>
      <c r="AL1179" s="10" t="str">
        <f>IFERROR(VLOOKUP(B1179,'Pre-Summary'!$BG$6:$BL$44,3,FALSE),"")</f>
        <v/>
      </c>
      <c r="AM1179" s="10" t="str">
        <f>IFERROR(VLOOKUP(B1179,'Pre-Summary'!$BG$6:$BL$44,4,FALSE),"")</f>
        <v/>
      </c>
    </row>
    <row r="1180" spans="2:39" ht="15" customHeight="1" x14ac:dyDescent="0.3">
      <c r="B1180">
        <v>117.7</v>
      </c>
      <c r="C1180" t="str">
        <f>IFERROR(VLOOKUP(B1180,'Pre-Summary'!$DI$6:$DM$23,4,FALSE),"")</f>
        <v/>
      </c>
      <c r="D1180" s="10" t="str">
        <f>IFERROR(VLOOKUP(B1180,'Pre-Summary'!$AT$6:$AX$14,5,FALSE),D1179)</f>
        <v>DSMZ v4: dropped out methanol</v>
      </c>
      <c r="E1180" s="10" t="str">
        <f>IFERROR(VLOOKUP(B1180,'Pre-Summary'!$AT$6:$AX$15,4,FALSE),"")</f>
        <v/>
      </c>
      <c r="F1180">
        <f>IFERROR(VLOOKUP(B1180,'Pre-Summary'!$AL$6:$AQ$13,6,FALSE),F1179)</f>
        <v>5.9405263157894746E-2</v>
      </c>
      <c r="G1180" t="str">
        <f>IFERROR(VLOOKUP(B1180,'Pre-Summary'!$AE$6:$AJ$85,3,FALSE),"")</f>
        <v/>
      </c>
      <c r="H1180" t="str">
        <f>IFERROR(VLOOKUP(B1180,'Pre-Summary'!$AE$6:$AJ$85,4,FALSE),"")</f>
        <v/>
      </c>
      <c r="I1180" t="str">
        <f>IFERROR(VLOOKUP(B1180,'Pre-Summary'!$AE$6:$AJ$85,5,FALSE),"")</f>
        <v/>
      </c>
      <c r="J1180" s="45" t="str">
        <f>IFERROR(VLOOKUP(B1180,'Pre-Summary'!$AE$6:$AJ$85,6, FALSE),"")</f>
        <v/>
      </c>
      <c r="K1180" s="45" t="str">
        <f>IFERROR(VLOOKUP(B1180,'Pre-Summary'!$DE$6:$DG$61,3,FALSE),"")</f>
        <v/>
      </c>
      <c r="L1180" s="45" t="str">
        <f>IFERROR(VLOOKUP(B1180,'Pre-Summary'!$CU$6:$CW$36,3,FALSE),"")</f>
        <v/>
      </c>
      <c r="M1180" s="45" t="str">
        <f>IFERROR(VLOOKUP(B1180,'Pre-Summary'!$BW$6:$BY$58,2,FALSE),"")</f>
        <v/>
      </c>
      <c r="N1180" s="45" t="str">
        <f>IFERROR(VLOOKUP(B1180,'Pre-Summary'!$CD$6:$CF$64,2,FALSE),"")</f>
        <v/>
      </c>
      <c r="O1180" s="99">
        <f>IFERROR(VLOOKUP(B1180,'Pre-Summary'!$BO$6:$BQ$48,3, FALSE),O1179)</f>
        <v>1.2</v>
      </c>
      <c r="P1180" s="99">
        <f>IFERROR(VLOOKUP(B1180,'Pre-Summary'!$BS$6:$BU$35,3,FALSE),P1179)</f>
        <v>0.3</v>
      </c>
      <c r="Q1180" s="54">
        <f t="shared" si="54"/>
        <v>4</v>
      </c>
      <c r="R1180" s="53">
        <f>IFERROR(VLOOKUP(B1180,'Pre-Summary'!$BG$6:$BM$44,7,FALSE),R1181)</f>
        <v>7.6574939085447311E-2</v>
      </c>
      <c r="S1180" s="53">
        <f>IFERROR(VLOOKUP(B1180,'Pre-Summary'!$BG$6:$BM$44,6,FALSE),S1181)</f>
        <v>6.8761751275839902E-2</v>
      </c>
      <c r="T1180" s="45" t="str">
        <f>IFERROR(VLOOKUP(B1180,'Pre-Summary'!$Y$6:$AC$83, 3,FALSE),"")</f>
        <v/>
      </c>
      <c r="U1180" s="45" t="str">
        <f>IFERROR(VLOOKUP(B1180,'Pre-Summary'!$Y$6:$AC$83, 4,FALSE),"")</f>
        <v/>
      </c>
      <c r="V1180" t="str">
        <f>IFERROR(VLOOKUP(B1180,'Pre-Summary'!$Y$6:$AC$83, 5,FALSE),"")</f>
        <v/>
      </c>
      <c r="W1180" s="45" t="str">
        <f>IFERROR(VLOOKUP(B1180,'Pre-Summary'!$Y$6:$AD$83,6,FALSE),"")</f>
        <v/>
      </c>
      <c r="X1180" t="str">
        <f>IFERROR(VLOOKUP('Pre-Summary'!$DB$6:$DD$63,3,FALSE),"")</f>
        <v/>
      </c>
      <c r="Y1180" t="str">
        <f>IFERROR(VLOOKUP(B1180,'Pre-Summary'!$CR$6:$CT$36,3,FALSE),"")</f>
        <v/>
      </c>
      <c r="Z1180" s="45" t="str">
        <f>IFERROR(VLOOKUP(B1180,'Pre-Summary'!$BZ$6:$CB$63,2,FALSE),"")</f>
        <v/>
      </c>
      <c r="AA1180" s="45" t="str">
        <f>IFERROR(VLOOKUP(B1180,'Pre-Summary'!$CG$6:$CI$70,2,FALSE),"")</f>
        <v/>
      </c>
      <c r="AB1180" s="99">
        <f>IFERROR(VLOOKUP(B1180,'Pre-Summary'!$A$6:$P$178,9,FALSE),AB1181)</f>
        <v>0.45533763440924657</v>
      </c>
      <c r="AC1180" s="10">
        <f>IFERROR(VLOOKUP(Summary!B1180,'Pre-Summary'!$A$6:$P$184,5, FALSE)/100,AC1181)</f>
        <v>0.89807866666666669</v>
      </c>
      <c r="AD1180" s="10">
        <f>IFERROR(VLOOKUP(Summary!B1180,'Pre-Summary'!$A$6:$P$184,3, FALSE)/100,AD1181)</f>
        <v>1.5917000000000001E-2</v>
      </c>
      <c r="AE1180" s="10">
        <f>IFERROR(VLOOKUP(Summary!B1180,'Pre-Summary'!$A$6:$P$184,7, FALSE)/100,AE1181)</f>
        <v>8.6004666666666674E-2</v>
      </c>
      <c r="AF1180" s="99">
        <f t="shared" si="55"/>
        <v>7.2476091268919782E-3</v>
      </c>
      <c r="AG1180" s="99">
        <f t="shared" si="56"/>
        <v>3.9161161468155785E-2</v>
      </c>
      <c r="AH1180" s="10" t="str">
        <f>IFERROR(VLOOKUP(B1180,'Pre-Summary'!$AZ$6:$BE$65,3,FALSE),"")</f>
        <v/>
      </c>
      <c r="AI1180" s="10" t="str">
        <f>IFERROR(VLOOKUP(B1180,'Pre-Summary'!$AZ$6:$BE$65,5,FALSE),"")</f>
        <v/>
      </c>
      <c r="AJ1180" s="10" t="str">
        <f>IFERROR(VLOOKUP(B1180,'Pre-Summary'!$AZ$6:$BE$65,4,FALSE),"")</f>
        <v/>
      </c>
      <c r="AK1180" s="10" t="str">
        <f>IFERROR(VLOOKUP(B1180,'Pre-Summary'!$AZ$6:$BE$65,6,FALSE),"")</f>
        <v/>
      </c>
      <c r="AL1180" s="10" t="str">
        <f>IFERROR(VLOOKUP(B1180,'Pre-Summary'!$BG$6:$BL$44,3,FALSE),"")</f>
        <v/>
      </c>
      <c r="AM1180" s="10" t="str">
        <f>IFERROR(VLOOKUP(B1180,'Pre-Summary'!$BG$6:$BL$44,4,FALSE),"")</f>
        <v/>
      </c>
    </row>
    <row r="1181" spans="2:39" ht="15" customHeight="1" x14ac:dyDescent="0.3">
      <c r="B1181">
        <v>117.8</v>
      </c>
      <c r="C1181" t="str">
        <f>IFERROR(VLOOKUP(B1181,'Pre-Summary'!$DI$6:$DM$23,4,FALSE),"")</f>
        <v/>
      </c>
      <c r="D1181" s="10" t="str">
        <f>IFERROR(VLOOKUP(B1181,'Pre-Summary'!$AT$6:$AX$14,5,FALSE),D1180)</f>
        <v>DSMZ v4: dropped out methanol</v>
      </c>
      <c r="E1181" s="10" t="str">
        <f>IFERROR(VLOOKUP(B1181,'Pre-Summary'!$AT$6:$AX$15,4,FALSE),"")</f>
        <v/>
      </c>
      <c r="F1181">
        <f>IFERROR(VLOOKUP(B1181,'Pre-Summary'!$AL$6:$AQ$13,6,FALSE),F1180)</f>
        <v>5.9405263157894746E-2</v>
      </c>
      <c r="G1181" t="str">
        <f>IFERROR(VLOOKUP(B1181,'Pre-Summary'!$AE$6:$AJ$85,3,FALSE),"")</f>
        <v/>
      </c>
      <c r="H1181" t="str">
        <f>IFERROR(VLOOKUP(B1181,'Pre-Summary'!$AE$6:$AJ$85,4,FALSE),"")</f>
        <v/>
      </c>
      <c r="I1181" t="str">
        <f>IFERROR(VLOOKUP(B1181,'Pre-Summary'!$AE$6:$AJ$85,5,FALSE),"")</f>
        <v/>
      </c>
      <c r="J1181" s="45" t="str">
        <f>IFERROR(VLOOKUP(B1181,'Pre-Summary'!$AE$6:$AJ$85,6, FALSE),"")</f>
        <v/>
      </c>
      <c r="K1181" s="45" t="str">
        <f>IFERROR(VLOOKUP(B1181,'Pre-Summary'!$DE$6:$DG$61,3,FALSE),"")</f>
        <v/>
      </c>
      <c r="L1181" s="45" t="str">
        <f>IFERROR(VLOOKUP(B1181,'Pre-Summary'!$CU$6:$CW$36,3,FALSE),"")</f>
        <v/>
      </c>
      <c r="M1181" s="45" t="str">
        <f>IFERROR(VLOOKUP(B1181,'Pre-Summary'!$BW$6:$BY$58,2,FALSE),"")</f>
        <v/>
      </c>
      <c r="N1181" s="45" t="str">
        <f>IFERROR(VLOOKUP(B1181,'Pre-Summary'!$CD$6:$CF$64,2,FALSE),"")</f>
        <v/>
      </c>
      <c r="O1181" s="99">
        <f>IFERROR(VLOOKUP(B1181,'Pre-Summary'!$BO$6:$BQ$48,3, FALSE),O1180)</f>
        <v>1.2</v>
      </c>
      <c r="P1181" s="99">
        <f>IFERROR(VLOOKUP(B1181,'Pre-Summary'!$BS$6:$BU$35,3,FALSE),P1180)</f>
        <v>0.3</v>
      </c>
      <c r="Q1181" s="54">
        <f t="shared" si="54"/>
        <v>4</v>
      </c>
      <c r="R1181" s="53">
        <f>IFERROR(VLOOKUP(B1181,'Pre-Summary'!$BG$6:$BM$44,7,FALSE),R1182)</f>
        <v>7.6574939085447311E-2</v>
      </c>
      <c r="S1181" s="53">
        <f>IFERROR(VLOOKUP(B1181,'Pre-Summary'!$BG$6:$BM$44,6,FALSE),S1182)</f>
        <v>6.8761751275839902E-2</v>
      </c>
      <c r="T1181" s="45" t="str">
        <f>IFERROR(VLOOKUP(B1181,'Pre-Summary'!$Y$6:$AC$83, 3,FALSE),"")</f>
        <v/>
      </c>
      <c r="U1181" s="45" t="str">
        <f>IFERROR(VLOOKUP(B1181,'Pre-Summary'!$Y$6:$AC$83, 4,FALSE),"")</f>
        <v/>
      </c>
      <c r="V1181" t="str">
        <f>IFERROR(VLOOKUP(B1181,'Pre-Summary'!$Y$6:$AC$83, 5,FALSE),"")</f>
        <v/>
      </c>
      <c r="W1181" s="45" t="str">
        <f>IFERROR(VLOOKUP(B1181,'Pre-Summary'!$Y$6:$AD$83,6,FALSE),"")</f>
        <v/>
      </c>
      <c r="X1181" t="str">
        <f>IFERROR(VLOOKUP('Pre-Summary'!$DB$6:$DD$63,3,FALSE),"")</f>
        <v/>
      </c>
      <c r="Y1181" t="str">
        <f>IFERROR(VLOOKUP(B1181,'Pre-Summary'!$CR$6:$CT$36,3,FALSE),"")</f>
        <v/>
      </c>
      <c r="Z1181" s="45" t="str">
        <f>IFERROR(VLOOKUP(B1181,'Pre-Summary'!$BZ$6:$CB$63,2,FALSE),"")</f>
        <v/>
      </c>
      <c r="AA1181" s="45" t="str">
        <f>IFERROR(VLOOKUP(B1181,'Pre-Summary'!$CG$6:$CI$70,2,FALSE),"")</f>
        <v/>
      </c>
      <c r="AB1181" s="99">
        <f>IFERROR(VLOOKUP(B1181,'Pre-Summary'!$A$6:$P$178,9,FALSE),AB1182)</f>
        <v>0.45533763440924657</v>
      </c>
      <c r="AC1181" s="10">
        <f>IFERROR(VLOOKUP(Summary!B1181,'Pre-Summary'!$A$6:$P$184,5, FALSE)/100,AC1182)</f>
        <v>0.89807866666666669</v>
      </c>
      <c r="AD1181" s="10">
        <f>IFERROR(VLOOKUP(Summary!B1181,'Pre-Summary'!$A$6:$P$184,3, FALSE)/100,AD1182)</f>
        <v>1.5917000000000001E-2</v>
      </c>
      <c r="AE1181" s="10">
        <f>IFERROR(VLOOKUP(Summary!B1181,'Pre-Summary'!$A$6:$P$184,7, FALSE)/100,AE1182)</f>
        <v>8.6004666666666674E-2</v>
      </c>
      <c r="AF1181" s="99">
        <f t="shared" si="55"/>
        <v>7.2476091268919782E-3</v>
      </c>
      <c r="AG1181" s="99">
        <f t="shared" si="56"/>
        <v>3.9161161468155785E-2</v>
      </c>
      <c r="AH1181" s="10" t="str">
        <f>IFERROR(VLOOKUP(B1181,'Pre-Summary'!$AZ$6:$BE$65,3,FALSE),"")</f>
        <v/>
      </c>
      <c r="AI1181" s="10" t="str">
        <f>IFERROR(VLOOKUP(B1181,'Pre-Summary'!$AZ$6:$BE$65,5,FALSE),"")</f>
        <v/>
      </c>
      <c r="AJ1181" s="10" t="str">
        <f>IFERROR(VLOOKUP(B1181,'Pre-Summary'!$AZ$6:$BE$65,4,FALSE),"")</f>
        <v/>
      </c>
      <c r="AK1181" s="10" t="str">
        <f>IFERROR(VLOOKUP(B1181,'Pre-Summary'!$AZ$6:$BE$65,6,FALSE),"")</f>
        <v/>
      </c>
      <c r="AL1181" s="10" t="str">
        <f>IFERROR(VLOOKUP(B1181,'Pre-Summary'!$BG$6:$BL$44,3,FALSE),"")</f>
        <v/>
      </c>
      <c r="AM1181" s="10" t="str">
        <f>IFERROR(VLOOKUP(B1181,'Pre-Summary'!$BG$6:$BL$44,4,FALSE),"")</f>
        <v/>
      </c>
    </row>
    <row r="1182" spans="2:39" ht="15" customHeight="1" x14ac:dyDescent="0.3">
      <c r="B1182">
        <v>117.9</v>
      </c>
      <c r="C1182" t="str">
        <f>IFERROR(VLOOKUP(B1182,'Pre-Summary'!$DI$6:$DM$23,4,FALSE),"")</f>
        <v/>
      </c>
      <c r="D1182" s="10" t="str">
        <f>IFERROR(VLOOKUP(B1182,'Pre-Summary'!$AT$6:$AX$14,5,FALSE),D1181)</f>
        <v>DSMZ v4: dropped out methanol</v>
      </c>
      <c r="E1182" s="10" t="str">
        <f>IFERROR(VLOOKUP(B1182,'Pre-Summary'!$AT$6:$AX$15,4,FALSE),"")</f>
        <v/>
      </c>
      <c r="F1182">
        <f>IFERROR(VLOOKUP(B1182,'Pre-Summary'!$AL$6:$AQ$13,6,FALSE),F1181)</f>
        <v>5.9405263157894746E-2</v>
      </c>
      <c r="G1182">
        <f>IFERROR(VLOOKUP(B1182,'Pre-Summary'!$AE$6:$AJ$85,3,FALSE),"")</f>
        <v>53.835999999999999</v>
      </c>
      <c r="H1182" t="str">
        <f>IFERROR(VLOOKUP(B1182,'Pre-Summary'!$AE$6:$AJ$85,4,FALSE),"")</f>
        <v/>
      </c>
      <c r="I1182">
        <f>IFERROR(VLOOKUP(B1182,'Pre-Summary'!$AE$6:$AJ$85,5,FALSE),"")</f>
        <v>0</v>
      </c>
      <c r="J1182" s="45">
        <f>IFERROR(VLOOKUP(B1182,'Pre-Summary'!$AE$6:$AJ$85,6, FALSE),"")</f>
        <v>57.443011999999996</v>
      </c>
      <c r="K1182" s="45">
        <f>IFERROR(VLOOKUP(B1182,'Pre-Summary'!$DE$6:$DG$61,3,FALSE),"")</f>
        <v>450</v>
      </c>
      <c r="L1182" s="45">
        <f>IFERROR(VLOOKUP(B1182,'Pre-Summary'!$CU$6:$CW$36,3,FALSE),"")</f>
        <v>147.39999999999998</v>
      </c>
      <c r="M1182" s="45">
        <f>IFERROR(VLOOKUP(B1182,'Pre-Summary'!$BW$6:$BY$58,2,FALSE),"")</f>
        <v>1.7384777829744724</v>
      </c>
      <c r="N1182" s="45" t="str">
        <f>IFERROR(VLOOKUP(B1182,'Pre-Summary'!$CD$6:$CF$64,2,FALSE),"")</f>
        <v/>
      </c>
      <c r="O1182" s="99">
        <f>IFERROR(VLOOKUP(B1182,'Pre-Summary'!$BO$6:$BQ$48,3, FALSE),O1181)</f>
        <v>1.2</v>
      </c>
      <c r="P1182" s="99">
        <f>IFERROR(VLOOKUP(B1182,'Pre-Summary'!$BS$6:$BU$35,3,FALSE),P1181)</f>
        <v>0.3</v>
      </c>
      <c r="Q1182" s="54">
        <f t="shared" si="54"/>
        <v>4</v>
      </c>
      <c r="R1182" s="53">
        <f>IFERROR(VLOOKUP(B1182,'Pre-Summary'!$BG$6:$BM$44,7,FALSE),R1183)</f>
        <v>7.6574939085447311E-2</v>
      </c>
      <c r="S1182" s="53">
        <f>IFERROR(VLOOKUP(B1182,'Pre-Summary'!$BG$6:$BM$44,6,FALSE),S1183)</f>
        <v>6.8761751275839902E-2</v>
      </c>
      <c r="T1182" s="45">
        <f>IFERROR(VLOOKUP(B1182,'Pre-Summary'!$Y$6:$AC$83, 3,FALSE),"")</f>
        <v>163.89599999999999</v>
      </c>
      <c r="U1182" s="45">
        <f>IFERROR(VLOOKUP(B1182,'Pre-Summary'!$Y$6:$AC$83, 4,FALSE),"")</f>
        <v>16.036000000000001</v>
      </c>
      <c r="V1182">
        <f>IFERROR(VLOOKUP(B1182,'Pre-Summary'!$Y$6:$AC$83, 5,FALSE),"")</f>
        <v>0</v>
      </c>
      <c r="W1182" s="45">
        <f>IFERROR(VLOOKUP(B1182,'Pre-Summary'!$Y$6:$AD$83,6,FALSE),"")</f>
        <v>199.15553599999998</v>
      </c>
      <c r="X1182" t="str">
        <f>IFERROR(VLOOKUP('Pre-Summary'!$DB$6:$DD$63,3,FALSE),"")</f>
        <v/>
      </c>
      <c r="Y1182">
        <f>IFERROR(VLOOKUP(B1182,'Pre-Summary'!$CR$6:$CT$36,3,FALSE),"")</f>
        <v>152.19999999999999</v>
      </c>
      <c r="Z1182" s="45">
        <f>IFERROR(VLOOKUP(B1182,'Pre-Summary'!$BZ$6:$CB$63,2,FALSE),"")</f>
        <v>85.967785735583263</v>
      </c>
      <c r="AA1182" s="45">
        <f>IFERROR(VLOOKUP(B1182,'Pre-Summary'!$CG$6:$CI$70,2,FALSE),"")</f>
        <v>288.91093717928692</v>
      </c>
      <c r="AB1182" s="99">
        <f>IFERROR(VLOOKUP(B1182,'Pre-Summary'!$A$6:$P$178,9,FALSE),AB1183)</f>
        <v>0.45533763440924657</v>
      </c>
      <c r="AC1182" s="10">
        <f>IFERROR(VLOOKUP(Summary!B1182,'Pre-Summary'!$A$6:$P$184,5, FALSE)/100,AC1183)</f>
        <v>0.89807866666666669</v>
      </c>
      <c r="AD1182" s="10">
        <f>IFERROR(VLOOKUP(Summary!B1182,'Pre-Summary'!$A$6:$P$184,3, FALSE)/100,AD1183)</f>
        <v>1.5917000000000001E-2</v>
      </c>
      <c r="AE1182" s="10">
        <f>IFERROR(VLOOKUP(Summary!B1182,'Pre-Summary'!$A$6:$P$184,7, FALSE)/100,AE1183)</f>
        <v>8.6004666666666674E-2</v>
      </c>
      <c r="AF1182" s="99">
        <f t="shared" si="55"/>
        <v>7.2476091268919782E-3</v>
      </c>
      <c r="AG1182" s="99">
        <f t="shared" si="56"/>
        <v>3.9161161468155785E-2</v>
      </c>
      <c r="AH1182" s="10">
        <f>IFERROR(VLOOKUP(B1182,'Pre-Summary'!$AZ$6:$BE$65,3,FALSE),"")</f>
        <v>450</v>
      </c>
      <c r="AI1182" s="10">
        <f>IFERROR(VLOOKUP(B1182,'Pre-Summary'!$AZ$6:$BE$65,5,FALSE),"")</f>
        <v>347</v>
      </c>
      <c r="AJ1182" s="10">
        <f>IFERROR(VLOOKUP(B1182,'Pre-Summary'!$AZ$6:$BE$65,4,FALSE),"")</f>
        <v>247</v>
      </c>
      <c r="AK1182" s="10">
        <f>IFERROR(VLOOKUP(B1182,'Pre-Summary'!$AZ$6:$BE$65,6,FALSE),"")</f>
        <v>173</v>
      </c>
      <c r="AL1182" s="10" t="str">
        <f>IFERROR(VLOOKUP(B1182,'Pre-Summary'!$BG$6:$BL$44,3,FALSE),"")</f>
        <v/>
      </c>
      <c r="AM1182" s="10" t="str">
        <f>IFERROR(VLOOKUP(B1182,'Pre-Summary'!$BG$6:$BL$44,4,FALSE),"")</f>
        <v/>
      </c>
    </row>
    <row r="1183" spans="2:39" ht="15" customHeight="1" x14ac:dyDescent="0.3">
      <c r="B1183">
        <v>118</v>
      </c>
      <c r="C1183" t="str">
        <f>IFERROR(VLOOKUP(B1183,'Pre-Summary'!$DI$6:$DM$23,4,FALSE),"")</f>
        <v/>
      </c>
      <c r="D1183" s="10" t="str">
        <f>IFERROR(VLOOKUP(B1183,'Pre-Summary'!$AT$6:$AX$14,5,FALSE),D1182)</f>
        <v>DSMZ v4: dropped out methanol</v>
      </c>
      <c r="E1183" s="10" t="str">
        <f>IFERROR(VLOOKUP(B1183,'Pre-Summary'!$AT$6:$AX$15,4,FALSE),"")</f>
        <v/>
      </c>
      <c r="F1183">
        <f>IFERROR(VLOOKUP(B1183,'Pre-Summary'!$AL$6:$AQ$13,6,FALSE),F1182)</f>
        <v>5.9405263157894746E-2</v>
      </c>
      <c r="G1183" t="str">
        <f>IFERROR(VLOOKUP(B1183,'Pre-Summary'!$AE$6:$AJ$85,3,FALSE),"")</f>
        <v/>
      </c>
      <c r="H1183" t="str">
        <f>IFERROR(VLOOKUP(B1183,'Pre-Summary'!$AE$6:$AJ$85,4,FALSE),"")</f>
        <v/>
      </c>
      <c r="I1183" t="str">
        <f>IFERROR(VLOOKUP(B1183,'Pre-Summary'!$AE$6:$AJ$85,5,FALSE),"")</f>
        <v/>
      </c>
      <c r="J1183" s="45" t="str">
        <f>IFERROR(VLOOKUP(B1183,'Pre-Summary'!$AE$6:$AJ$85,6, FALSE),"")</f>
        <v/>
      </c>
      <c r="K1183" s="45" t="str">
        <f>IFERROR(VLOOKUP(B1183,'Pre-Summary'!$DE$6:$DG$61,3,FALSE),"")</f>
        <v/>
      </c>
      <c r="L1183" s="45" t="str">
        <f>IFERROR(VLOOKUP(B1183,'Pre-Summary'!$CU$6:$CW$36,3,FALSE),"")</f>
        <v/>
      </c>
      <c r="M1183" s="45" t="str">
        <f>IFERROR(VLOOKUP(B1183,'Pre-Summary'!$BW$6:$BY$58,2,FALSE),"")</f>
        <v/>
      </c>
      <c r="N1183" s="45" t="str">
        <f>IFERROR(VLOOKUP(B1183,'Pre-Summary'!$CD$6:$CF$64,2,FALSE),"")</f>
        <v/>
      </c>
      <c r="O1183" s="99">
        <f>IFERROR(VLOOKUP(B1183,'Pre-Summary'!$BO$6:$BQ$48,3, FALSE),O1182)</f>
        <v>1.2</v>
      </c>
      <c r="P1183" s="99">
        <f>IFERROR(VLOOKUP(B1183,'Pre-Summary'!$BS$6:$BU$35,3,FALSE),P1182)</f>
        <v>0.3</v>
      </c>
      <c r="Q1183" s="54">
        <f t="shared" si="54"/>
        <v>4</v>
      </c>
      <c r="R1183" s="53">
        <f>IFERROR(VLOOKUP(B1183,'Pre-Summary'!$BG$6:$BM$44,7,FALSE),R1184)</f>
        <v>7.6574939085447311E-2</v>
      </c>
      <c r="S1183" s="53">
        <f>IFERROR(VLOOKUP(B1183,'Pre-Summary'!$BG$6:$BM$44,6,FALSE),S1184)</f>
        <v>6.8761751275839902E-2</v>
      </c>
      <c r="T1183" s="45" t="str">
        <f>IFERROR(VLOOKUP(B1183,'Pre-Summary'!$Y$6:$AC$83, 3,FALSE),"")</f>
        <v/>
      </c>
      <c r="U1183" s="45" t="str">
        <f>IFERROR(VLOOKUP(B1183,'Pre-Summary'!$Y$6:$AC$83, 4,FALSE),"")</f>
        <v/>
      </c>
      <c r="V1183" t="str">
        <f>IFERROR(VLOOKUP(B1183,'Pre-Summary'!$Y$6:$AC$83, 5,FALSE),"")</f>
        <v/>
      </c>
      <c r="W1183" s="45" t="str">
        <f>IFERROR(VLOOKUP(B1183,'Pre-Summary'!$Y$6:$AD$83,6,FALSE),"")</f>
        <v/>
      </c>
      <c r="X1183" t="str">
        <f>IFERROR(VLOOKUP('Pre-Summary'!$DB$6:$DD$63,3,FALSE),"")</f>
        <v/>
      </c>
      <c r="Y1183" t="str">
        <f>IFERROR(VLOOKUP(B1183,'Pre-Summary'!$CR$6:$CT$36,3,FALSE),"")</f>
        <v/>
      </c>
      <c r="Z1183" s="45" t="str">
        <f>IFERROR(VLOOKUP(B1183,'Pre-Summary'!$BZ$6:$CB$63,2,FALSE),"")</f>
        <v/>
      </c>
      <c r="AA1183" s="45" t="str">
        <f>IFERROR(VLOOKUP(B1183,'Pre-Summary'!$CG$6:$CI$70,2,FALSE),"")</f>
        <v/>
      </c>
      <c r="AB1183" s="99">
        <f>IFERROR(VLOOKUP(B1183,'Pre-Summary'!$A$6:$P$178,9,FALSE),AB1184)</f>
        <v>0.30200172071457204</v>
      </c>
      <c r="AC1183" s="10">
        <f>IFERROR(VLOOKUP(Summary!B1183,'Pre-Summary'!$A$6:$P$184,5, FALSE)/100,AC1184)</f>
        <v>0.91911466666666675</v>
      </c>
      <c r="AD1183" s="10">
        <f>IFERROR(VLOOKUP(Summary!B1183,'Pre-Summary'!$A$6:$P$184,3, FALSE)/100,AD1184)</f>
        <v>1.0362666666666666E-2</v>
      </c>
      <c r="AE1183" s="10">
        <f>IFERROR(VLOOKUP(Summary!B1183,'Pre-Summary'!$A$6:$P$184,7, FALSE)/100,AE1184)</f>
        <v>7.0523000000000002E-2</v>
      </c>
      <c r="AF1183" s="99">
        <f t="shared" si="55"/>
        <v>3.1295431645248718E-3</v>
      </c>
      <c r="AG1183" s="99">
        <f t="shared" si="56"/>
        <v>2.1298067349953764E-2</v>
      </c>
      <c r="AH1183" s="10" t="str">
        <f>IFERROR(VLOOKUP(B1183,'Pre-Summary'!$AZ$6:$BE$65,3,FALSE),"")</f>
        <v/>
      </c>
      <c r="AI1183" s="10" t="str">
        <f>IFERROR(VLOOKUP(B1183,'Pre-Summary'!$AZ$6:$BE$65,5,FALSE),"")</f>
        <v/>
      </c>
      <c r="AJ1183" s="10" t="str">
        <f>IFERROR(VLOOKUP(B1183,'Pre-Summary'!$AZ$6:$BE$65,4,FALSE),"")</f>
        <v/>
      </c>
      <c r="AK1183" s="10" t="str">
        <f>IFERROR(VLOOKUP(B1183,'Pre-Summary'!$AZ$6:$BE$65,6,FALSE),"")</f>
        <v/>
      </c>
      <c r="AL1183" s="10" t="str">
        <f>IFERROR(VLOOKUP(B1183,'Pre-Summary'!$BG$6:$BL$44,3,FALSE),"")</f>
        <v/>
      </c>
      <c r="AM1183" s="10" t="str">
        <f>IFERROR(VLOOKUP(B1183,'Pre-Summary'!$BG$6:$BL$44,4,FALSE),"")</f>
        <v/>
      </c>
    </row>
    <row r="1184" spans="2:39" ht="15" customHeight="1" x14ac:dyDescent="0.3">
      <c r="B1184">
        <v>118.1</v>
      </c>
      <c r="C1184" t="str">
        <f>IFERROR(VLOOKUP(B1184,'Pre-Summary'!$DI$6:$DM$23,4,FALSE),"")</f>
        <v/>
      </c>
      <c r="D1184" s="10" t="str">
        <f>IFERROR(VLOOKUP(B1184,'Pre-Summary'!$AT$6:$AX$14,5,FALSE),D1183)</f>
        <v>DSMZ v4: dropped out methanol</v>
      </c>
      <c r="E1184" s="10" t="str">
        <f>IFERROR(VLOOKUP(B1184,'Pre-Summary'!$AT$6:$AX$15,4,FALSE),"")</f>
        <v/>
      </c>
      <c r="F1184">
        <f>IFERROR(VLOOKUP(B1184,'Pre-Summary'!$AL$6:$AQ$13,6,FALSE),F1183)</f>
        <v>5.9405263157894746E-2</v>
      </c>
      <c r="G1184" t="str">
        <f>IFERROR(VLOOKUP(B1184,'Pre-Summary'!$AE$6:$AJ$85,3,FALSE),"")</f>
        <v/>
      </c>
      <c r="H1184" t="str">
        <f>IFERROR(VLOOKUP(B1184,'Pre-Summary'!$AE$6:$AJ$85,4,FALSE),"")</f>
        <v/>
      </c>
      <c r="I1184" t="str">
        <f>IFERROR(VLOOKUP(B1184,'Pre-Summary'!$AE$6:$AJ$85,5,FALSE),"")</f>
        <v/>
      </c>
      <c r="J1184" s="45" t="str">
        <f>IFERROR(VLOOKUP(B1184,'Pre-Summary'!$AE$6:$AJ$85,6, FALSE),"")</f>
        <v/>
      </c>
      <c r="K1184" s="45" t="str">
        <f>IFERROR(VLOOKUP(B1184,'Pre-Summary'!$DE$6:$DG$61,3,FALSE),"")</f>
        <v/>
      </c>
      <c r="L1184" s="45" t="str">
        <f>IFERROR(VLOOKUP(B1184,'Pre-Summary'!$CU$6:$CW$36,3,FALSE),"")</f>
        <v/>
      </c>
      <c r="M1184" s="45" t="str">
        <f>IFERROR(VLOOKUP(B1184,'Pre-Summary'!$BW$6:$BY$58,2,FALSE),"")</f>
        <v/>
      </c>
      <c r="N1184" s="45" t="str">
        <f>IFERROR(VLOOKUP(B1184,'Pre-Summary'!$CD$6:$CF$64,2,FALSE),"")</f>
        <v/>
      </c>
      <c r="O1184" s="99">
        <f>IFERROR(VLOOKUP(B1184,'Pre-Summary'!$BO$6:$BQ$48,3, FALSE),O1183)</f>
        <v>1.2</v>
      </c>
      <c r="P1184" s="99">
        <f>IFERROR(VLOOKUP(B1184,'Pre-Summary'!$BS$6:$BU$35,3,FALSE),P1183)</f>
        <v>0.3</v>
      </c>
      <c r="Q1184" s="54">
        <f t="shared" si="54"/>
        <v>4</v>
      </c>
      <c r="R1184" s="53">
        <f>IFERROR(VLOOKUP(B1184,'Pre-Summary'!$BG$6:$BM$44,7,FALSE),R1185)</f>
        <v>7.6574939085447311E-2</v>
      </c>
      <c r="S1184" s="53">
        <f>IFERROR(VLOOKUP(B1184,'Pre-Summary'!$BG$6:$BM$44,6,FALSE),S1185)</f>
        <v>6.8761751275839902E-2</v>
      </c>
      <c r="T1184" s="45" t="str">
        <f>IFERROR(VLOOKUP(B1184,'Pre-Summary'!$Y$6:$AC$83, 3,FALSE),"")</f>
        <v/>
      </c>
      <c r="U1184" s="45" t="str">
        <f>IFERROR(VLOOKUP(B1184,'Pre-Summary'!$Y$6:$AC$83, 4,FALSE),"")</f>
        <v/>
      </c>
      <c r="V1184" t="str">
        <f>IFERROR(VLOOKUP(B1184,'Pre-Summary'!$Y$6:$AC$83, 5,FALSE),"")</f>
        <v/>
      </c>
      <c r="W1184" s="45" t="str">
        <f>IFERROR(VLOOKUP(B1184,'Pre-Summary'!$Y$6:$AD$83,6,FALSE),"")</f>
        <v/>
      </c>
      <c r="X1184" t="str">
        <f>IFERROR(VLOOKUP('Pre-Summary'!$DB$6:$DD$63,3,FALSE),"")</f>
        <v/>
      </c>
      <c r="Y1184" t="str">
        <f>IFERROR(VLOOKUP(B1184,'Pre-Summary'!$CR$6:$CT$36,3,FALSE),"")</f>
        <v/>
      </c>
      <c r="Z1184" s="45" t="str">
        <f>IFERROR(VLOOKUP(B1184,'Pre-Summary'!$BZ$6:$CB$63,2,FALSE),"")</f>
        <v/>
      </c>
      <c r="AA1184" s="45" t="str">
        <f>IFERROR(VLOOKUP(B1184,'Pre-Summary'!$CG$6:$CI$70,2,FALSE),"")</f>
        <v/>
      </c>
      <c r="AB1184" s="99">
        <f>IFERROR(VLOOKUP(B1184,'Pre-Summary'!$A$6:$P$178,9,FALSE),AB1185)</f>
        <v>0.30200172071457204</v>
      </c>
      <c r="AC1184" s="10">
        <f>IFERROR(VLOOKUP(Summary!B1184,'Pre-Summary'!$A$6:$P$184,5, FALSE)/100,AC1185)</f>
        <v>0.91911466666666675</v>
      </c>
      <c r="AD1184" s="10">
        <f>IFERROR(VLOOKUP(Summary!B1184,'Pre-Summary'!$A$6:$P$184,3, FALSE)/100,AD1185)</f>
        <v>1.0362666666666666E-2</v>
      </c>
      <c r="AE1184" s="10">
        <f>IFERROR(VLOOKUP(Summary!B1184,'Pre-Summary'!$A$6:$P$184,7, FALSE)/100,AE1185)</f>
        <v>7.0523000000000002E-2</v>
      </c>
      <c r="AF1184" s="99">
        <f t="shared" si="55"/>
        <v>3.1295431645248718E-3</v>
      </c>
      <c r="AG1184" s="99">
        <f t="shared" si="56"/>
        <v>2.1298067349953764E-2</v>
      </c>
      <c r="AH1184" s="10" t="str">
        <f>IFERROR(VLOOKUP(B1184,'Pre-Summary'!$AZ$6:$BE$65,3,FALSE),"")</f>
        <v/>
      </c>
      <c r="AI1184" s="10" t="str">
        <f>IFERROR(VLOOKUP(B1184,'Pre-Summary'!$AZ$6:$BE$65,5,FALSE),"")</f>
        <v/>
      </c>
      <c r="AJ1184" s="10" t="str">
        <f>IFERROR(VLOOKUP(B1184,'Pre-Summary'!$AZ$6:$BE$65,4,FALSE),"")</f>
        <v/>
      </c>
      <c r="AK1184" s="10" t="str">
        <f>IFERROR(VLOOKUP(B1184,'Pre-Summary'!$AZ$6:$BE$65,6,FALSE),"")</f>
        <v/>
      </c>
      <c r="AL1184" s="10" t="str">
        <f>IFERROR(VLOOKUP(B1184,'Pre-Summary'!$BG$6:$BL$44,3,FALSE),"")</f>
        <v/>
      </c>
      <c r="AM1184" s="10" t="str">
        <f>IFERROR(VLOOKUP(B1184,'Pre-Summary'!$BG$6:$BL$44,4,FALSE),"")</f>
        <v/>
      </c>
    </row>
    <row r="1185" spans="2:39" ht="15" customHeight="1" x14ac:dyDescent="0.3">
      <c r="B1185">
        <v>118.2</v>
      </c>
      <c r="C1185" t="str">
        <f>IFERROR(VLOOKUP(B1185,'Pre-Summary'!$DI$6:$DM$23,4,FALSE),"")</f>
        <v/>
      </c>
      <c r="D1185" s="10" t="str">
        <f>IFERROR(VLOOKUP(B1185,'Pre-Summary'!$AT$6:$AX$14,5,FALSE),D1184)</f>
        <v>DSMZ v4: dropped out methanol</v>
      </c>
      <c r="E1185" s="10" t="str">
        <f>IFERROR(VLOOKUP(B1185,'Pre-Summary'!$AT$6:$AX$15,4,FALSE),"")</f>
        <v/>
      </c>
      <c r="F1185">
        <f>IFERROR(VLOOKUP(B1185,'Pre-Summary'!$AL$6:$AQ$13,6,FALSE),F1184)</f>
        <v>5.9405263157894746E-2</v>
      </c>
      <c r="G1185" t="str">
        <f>IFERROR(VLOOKUP(B1185,'Pre-Summary'!$AE$6:$AJ$85,3,FALSE),"")</f>
        <v/>
      </c>
      <c r="H1185" t="str">
        <f>IFERROR(VLOOKUP(B1185,'Pre-Summary'!$AE$6:$AJ$85,4,FALSE),"")</f>
        <v/>
      </c>
      <c r="I1185" t="str">
        <f>IFERROR(VLOOKUP(B1185,'Pre-Summary'!$AE$6:$AJ$85,5,FALSE),"")</f>
        <v/>
      </c>
      <c r="J1185" s="45" t="str">
        <f>IFERROR(VLOOKUP(B1185,'Pre-Summary'!$AE$6:$AJ$85,6, FALSE),"")</f>
        <v/>
      </c>
      <c r="K1185" s="45" t="str">
        <f>IFERROR(VLOOKUP(B1185,'Pre-Summary'!$DE$6:$DG$61,3,FALSE),"")</f>
        <v/>
      </c>
      <c r="L1185" s="45" t="str">
        <f>IFERROR(VLOOKUP(B1185,'Pre-Summary'!$CU$6:$CW$36,3,FALSE),"")</f>
        <v/>
      </c>
      <c r="M1185" s="45" t="str">
        <f>IFERROR(VLOOKUP(B1185,'Pre-Summary'!$BW$6:$BY$58,2,FALSE),"")</f>
        <v/>
      </c>
      <c r="N1185" s="45" t="str">
        <f>IFERROR(VLOOKUP(B1185,'Pre-Summary'!$CD$6:$CF$64,2,FALSE),"")</f>
        <v/>
      </c>
      <c r="O1185" s="99">
        <f>IFERROR(VLOOKUP(B1185,'Pre-Summary'!$BO$6:$BQ$48,3, FALSE),O1184)</f>
        <v>1.2</v>
      </c>
      <c r="P1185" s="99">
        <f>IFERROR(VLOOKUP(B1185,'Pre-Summary'!$BS$6:$BU$35,3,FALSE),P1184)</f>
        <v>0.3</v>
      </c>
      <c r="Q1185" s="54">
        <f t="shared" si="54"/>
        <v>4</v>
      </c>
      <c r="R1185" s="53">
        <f>IFERROR(VLOOKUP(B1185,'Pre-Summary'!$BG$6:$BM$44,7,FALSE),R1186)</f>
        <v>7.6574939085447311E-2</v>
      </c>
      <c r="S1185" s="53">
        <f>IFERROR(VLOOKUP(B1185,'Pre-Summary'!$BG$6:$BM$44,6,FALSE),S1186)</f>
        <v>6.8761751275839902E-2</v>
      </c>
      <c r="T1185" s="45" t="str">
        <f>IFERROR(VLOOKUP(B1185,'Pre-Summary'!$Y$6:$AC$83, 3,FALSE),"")</f>
        <v/>
      </c>
      <c r="U1185" s="45" t="str">
        <f>IFERROR(VLOOKUP(B1185,'Pre-Summary'!$Y$6:$AC$83, 4,FALSE),"")</f>
        <v/>
      </c>
      <c r="V1185" t="str">
        <f>IFERROR(VLOOKUP(B1185,'Pre-Summary'!$Y$6:$AC$83, 5,FALSE),"")</f>
        <v/>
      </c>
      <c r="W1185" s="45" t="str">
        <f>IFERROR(VLOOKUP(B1185,'Pre-Summary'!$Y$6:$AD$83,6,FALSE),"")</f>
        <v/>
      </c>
      <c r="X1185" t="str">
        <f>IFERROR(VLOOKUP('Pre-Summary'!$DB$6:$DD$63,3,FALSE),"")</f>
        <v/>
      </c>
      <c r="Y1185" t="str">
        <f>IFERROR(VLOOKUP(B1185,'Pre-Summary'!$CR$6:$CT$36,3,FALSE),"")</f>
        <v/>
      </c>
      <c r="Z1185" s="45" t="str">
        <f>IFERROR(VLOOKUP(B1185,'Pre-Summary'!$BZ$6:$CB$63,2,FALSE),"")</f>
        <v/>
      </c>
      <c r="AA1185" s="45" t="str">
        <f>IFERROR(VLOOKUP(B1185,'Pre-Summary'!$CG$6:$CI$70,2,FALSE),"")</f>
        <v/>
      </c>
      <c r="AB1185" s="99">
        <f>IFERROR(VLOOKUP(B1185,'Pre-Summary'!$A$6:$P$178,9,FALSE),AB1186)</f>
        <v>0.30200172071457204</v>
      </c>
      <c r="AC1185" s="10">
        <f>IFERROR(VLOOKUP(Summary!B1185,'Pre-Summary'!$A$6:$P$184,5, FALSE)/100,AC1186)</f>
        <v>0.91911466666666675</v>
      </c>
      <c r="AD1185" s="10">
        <f>IFERROR(VLOOKUP(Summary!B1185,'Pre-Summary'!$A$6:$P$184,3, FALSE)/100,AD1186)</f>
        <v>1.0362666666666666E-2</v>
      </c>
      <c r="AE1185" s="10">
        <f>IFERROR(VLOOKUP(Summary!B1185,'Pre-Summary'!$A$6:$P$184,7, FALSE)/100,AE1186)</f>
        <v>7.0523000000000002E-2</v>
      </c>
      <c r="AF1185" s="99">
        <f t="shared" si="55"/>
        <v>3.1295431645248718E-3</v>
      </c>
      <c r="AG1185" s="99">
        <f t="shared" si="56"/>
        <v>2.1298067349953764E-2</v>
      </c>
      <c r="AH1185" s="10" t="str">
        <f>IFERROR(VLOOKUP(B1185,'Pre-Summary'!$AZ$6:$BE$65,3,FALSE),"")</f>
        <v/>
      </c>
      <c r="AI1185" s="10" t="str">
        <f>IFERROR(VLOOKUP(B1185,'Pre-Summary'!$AZ$6:$BE$65,5,FALSE),"")</f>
        <v/>
      </c>
      <c r="AJ1185" s="10" t="str">
        <f>IFERROR(VLOOKUP(B1185,'Pre-Summary'!$AZ$6:$BE$65,4,FALSE),"")</f>
        <v/>
      </c>
      <c r="AK1185" s="10" t="str">
        <f>IFERROR(VLOOKUP(B1185,'Pre-Summary'!$AZ$6:$BE$65,6,FALSE),"")</f>
        <v/>
      </c>
      <c r="AL1185" s="10" t="str">
        <f>IFERROR(VLOOKUP(B1185,'Pre-Summary'!$BG$6:$BL$44,3,FALSE),"")</f>
        <v/>
      </c>
      <c r="AM1185" s="10" t="str">
        <f>IFERROR(VLOOKUP(B1185,'Pre-Summary'!$BG$6:$BL$44,4,FALSE),"")</f>
        <v/>
      </c>
    </row>
    <row r="1186" spans="2:39" ht="15" customHeight="1" x14ac:dyDescent="0.3">
      <c r="B1186">
        <v>118.3</v>
      </c>
      <c r="C1186" t="str">
        <f>IFERROR(VLOOKUP(B1186,'Pre-Summary'!$DI$6:$DM$23,4,FALSE),"")</f>
        <v/>
      </c>
      <c r="D1186" s="10" t="str">
        <f>IFERROR(VLOOKUP(B1186,'Pre-Summary'!$AT$6:$AX$14,5,FALSE),D1185)</f>
        <v>DSMZ v4: dropped out methanol</v>
      </c>
      <c r="E1186" s="10" t="str">
        <f>IFERROR(VLOOKUP(B1186,'Pre-Summary'!$AT$6:$AX$15,4,FALSE),"")</f>
        <v/>
      </c>
      <c r="F1186">
        <f>IFERROR(VLOOKUP(B1186,'Pre-Summary'!$AL$6:$AQ$13,6,FALSE),F1185)</f>
        <v>5.9405263157894746E-2</v>
      </c>
      <c r="G1186" t="str">
        <f>IFERROR(VLOOKUP(B1186,'Pre-Summary'!$AE$6:$AJ$85,3,FALSE),"")</f>
        <v/>
      </c>
      <c r="H1186" t="str">
        <f>IFERROR(VLOOKUP(B1186,'Pre-Summary'!$AE$6:$AJ$85,4,FALSE),"")</f>
        <v/>
      </c>
      <c r="I1186" t="str">
        <f>IFERROR(VLOOKUP(B1186,'Pre-Summary'!$AE$6:$AJ$85,5,FALSE),"")</f>
        <v/>
      </c>
      <c r="J1186" s="45" t="str">
        <f>IFERROR(VLOOKUP(B1186,'Pre-Summary'!$AE$6:$AJ$85,6, FALSE),"")</f>
        <v/>
      </c>
      <c r="K1186" s="45" t="str">
        <f>IFERROR(VLOOKUP(B1186,'Pre-Summary'!$DE$6:$DG$61,3,FALSE),"")</f>
        <v/>
      </c>
      <c r="L1186" s="45" t="str">
        <f>IFERROR(VLOOKUP(B1186,'Pre-Summary'!$CU$6:$CW$36,3,FALSE),"")</f>
        <v/>
      </c>
      <c r="M1186" s="45" t="str">
        <f>IFERROR(VLOOKUP(B1186,'Pre-Summary'!$BW$6:$BY$58,2,FALSE),"")</f>
        <v/>
      </c>
      <c r="N1186" s="45" t="str">
        <f>IFERROR(VLOOKUP(B1186,'Pre-Summary'!$CD$6:$CF$64,2,FALSE),"")</f>
        <v/>
      </c>
      <c r="O1186" s="99">
        <f>IFERROR(VLOOKUP(B1186,'Pre-Summary'!$BO$6:$BQ$48,3, FALSE),O1185)</f>
        <v>1.2</v>
      </c>
      <c r="P1186" s="99">
        <f>IFERROR(VLOOKUP(B1186,'Pre-Summary'!$BS$6:$BU$35,3,FALSE),P1185)</f>
        <v>0.3</v>
      </c>
      <c r="Q1186" s="54">
        <f t="shared" si="54"/>
        <v>4</v>
      </c>
      <c r="R1186" s="53">
        <f>IFERROR(VLOOKUP(B1186,'Pre-Summary'!$BG$6:$BM$44,7,FALSE),R1187)</f>
        <v>7.6574939085447311E-2</v>
      </c>
      <c r="S1186" s="53">
        <f>IFERROR(VLOOKUP(B1186,'Pre-Summary'!$BG$6:$BM$44,6,FALSE),S1187)</f>
        <v>6.8761751275839902E-2</v>
      </c>
      <c r="T1186" s="45" t="str">
        <f>IFERROR(VLOOKUP(B1186,'Pre-Summary'!$Y$6:$AC$83, 3,FALSE),"")</f>
        <v/>
      </c>
      <c r="U1186" s="45" t="str">
        <f>IFERROR(VLOOKUP(B1186,'Pre-Summary'!$Y$6:$AC$83, 4,FALSE),"")</f>
        <v/>
      </c>
      <c r="V1186" t="str">
        <f>IFERROR(VLOOKUP(B1186,'Pre-Summary'!$Y$6:$AC$83, 5,FALSE),"")</f>
        <v/>
      </c>
      <c r="W1186" s="45" t="str">
        <f>IFERROR(VLOOKUP(B1186,'Pre-Summary'!$Y$6:$AD$83,6,FALSE),"")</f>
        <v/>
      </c>
      <c r="X1186" t="str">
        <f>IFERROR(VLOOKUP('Pre-Summary'!$DB$6:$DD$63,3,FALSE),"")</f>
        <v/>
      </c>
      <c r="Y1186" t="str">
        <f>IFERROR(VLOOKUP(B1186,'Pre-Summary'!$CR$6:$CT$36,3,FALSE),"")</f>
        <v/>
      </c>
      <c r="Z1186" s="45" t="str">
        <f>IFERROR(VLOOKUP(B1186,'Pre-Summary'!$BZ$6:$CB$63,2,FALSE),"")</f>
        <v/>
      </c>
      <c r="AA1186" s="45" t="str">
        <f>IFERROR(VLOOKUP(B1186,'Pre-Summary'!$CG$6:$CI$70,2,FALSE),"")</f>
        <v/>
      </c>
      <c r="AB1186" s="99">
        <f>IFERROR(VLOOKUP(B1186,'Pre-Summary'!$A$6:$P$178,9,FALSE),AB1187)</f>
        <v>0.30200172071457204</v>
      </c>
      <c r="AC1186" s="10">
        <f>IFERROR(VLOOKUP(Summary!B1186,'Pre-Summary'!$A$6:$P$184,5, FALSE)/100,AC1187)</f>
        <v>0.91911466666666675</v>
      </c>
      <c r="AD1186" s="10">
        <f>IFERROR(VLOOKUP(Summary!B1186,'Pre-Summary'!$A$6:$P$184,3, FALSE)/100,AD1187)</f>
        <v>1.0362666666666666E-2</v>
      </c>
      <c r="AE1186" s="10">
        <f>IFERROR(VLOOKUP(Summary!B1186,'Pre-Summary'!$A$6:$P$184,7, FALSE)/100,AE1187)</f>
        <v>7.0523000000000002E-2</v>
      </c>
      <c r="AF1186" s="99">
        <f t="shared" si="55"/>
        <v>3.1295431645248718E-3</v>
      </c>
      <c r="AG1186" s="99">
        <f t="shared" si="56"/>
        <v>2.1298067349953764E-2</v>
      </c>
      <c r="AH1186" s="10" t="str">
        <f>IFERROR(VLOOKUP(B1186,'Pre-Summary'!$AZ$6:$BE$65,3,FALSE),"")</f>
        <v/>
      </c>
      <c r="AI1186" s="10" t="str">
        <f>IFERROR(VLOOKUP(B1186,'Pre-Summary'!$AZ$6:$BE$65,5,FALSE),"")</f>
        <v/>
      </c>
      <c r="AJ1186" s="10" t="str">
        <f>IFERROR(VLOOKUP(B1186,'Pre-Summary'!$AZ$6:$BE$65,4,FALSE),"")</f>
        <v/>
      </c>
      <c r="AK1186" s="10" t="str">
        <f>IFERROR(VLOOKUP(B1186,'Pre-Summary'!$AZ$6:$BE$65,6,FALSE),"")</f>
        <v/>
      </c>
      <c r="AL1186" s="10" t="str">
        <f>IFERROR(VLOOKUP(B1186,'Pre-Summary'!$BG$6:$BL$44,3,FALSE),"")</f>
        <v/>
      </c>
      <c r="AM1186" s="10" t="str">
        <f>IFERROR(VLOOKUP(B1186,'Pre-Summary'!$BG$6:$BL$44,4,FALSE),"")</f>
        <v/>
      </c>
    </row>
    <row r="1187" spans="2:39" ht="15" customHeight="1" x14ac:dyDescent="0.3">
      <c r="B1187">
        <v>118.4</v>
      </c>
      <c r="C1187" t="str">
        <f>IFERROR(VLOOKUP(B1187,'Pre-Summary'!$DI$6:$DM$23,4,FALSE),"")</f>
        <v/>
      </c>
      <c r="D1187" s="10" t="str">
        <f>IFERROR(VLOOKUP(B1187,'Pre-Summary'!$AT$6:$AX$14,5,FALSE),D1186)</f>
        <v>DSMZ v4: dropped out methanol</v>
      </c>
      <c r="E1187" s="10" t="str">
        <f>IFERROR(VLOOKUP(B1187,'Pre-Summary'!$AT$6:$AX$15,4,FALSE),"")</f>
        <v/>
      </c>
      <c r="F1187">
        <f>IFERROR(VLOOKUP(B1187,'Pre-Summary'!$AL$6:$AQ$13,6,FALSE),F1186)</f>
        <v>5.9405263157894746E-2</v>
      </c>
      <c r="G1187" t="str">
        <f>IFERROR(VLOOKUP(B1187,'Pre-Summary'!$AE$6:$AJ$85,3,FALSE),"")</f>
        <v/>
      </c>
      <c r="H1187" t="str">
        <f>IFERROR(VLOOKUP(B1187,'Pre-Summary'!$AE$6:$AJ$85,4,FALSE),"")</f>
        <v/>
      </c>
      <c r="I1187" t="str">
        <f>IFERROR(VLOOKUP(B1187,'Pre-Summary'!$AE$6:$AJ$85,5,FALSE),"")</f>
        <v/>
      </c>
      <c r="J1187" s="45" t="str">
        <f>IFERROR(VLOOKUP(B1187,'Pre-Summary'!$AE$6:$AJ$85,6, FALSE),"")</f>
        <v/>
      </c>
      <c r="K1187" s="45" t="str">
        <f>IFERROR(VLOOKUP(B1187,'Pre-Summary'!$DE$6:$DG$61,3,FALSE),"")</f>
        <v/>
      </c>
      <c r="L1187" s="45" t="str">
        <f>IFERROR(VLOOKUP(B1187,'Pre-Summary'!$CU$6:$CW$36,3,FALSE),"")</f>
        <v/>
      </c>
      <c r="M1187" s="45" t="str">
        <f>IFERROR(VLOOKUP(B1187,'Pre-Summary'!$BW$6:$BY$58,2,FALSE),"")</f>
        <v/>
      </c>
      <c r="N1187" s="45" t="str">
        <f>IFERROR(VLOOKUP(B1187,'Pre-Summary'!$CD$6:$CF$64,2,FALSE),"")</f>
        <v/>
      </c>
      <c r="O1187" s="99">
        <f>IFERROR(VLOOKUP(B1187,'Pre-Summary'!$BO$6:$BQ$48,3, FALSE),O1186)</f>
        <v>1.2</v>
      </c>
      <c r="P1187" s="99">
        <f>IFERROR(VLOOKUP(B1187,'Pre-Summary'!$BS$6:$BU$35,3,FALSE),P1186)</f>
        <v>0.3</v>
      </c>
      <c r="Q1187" s="54">
        <f t="shared" si="54"/>
        <v>4</v>
      </c>
      <c r="R1187" s="53">
        <f>IFERROR(VLOOKUP(B1187,'Pre-Summary'!$BG$6:$BM$44,7,FALSE),R1188)</f>
        <v>7.6574939085447311E-2</v>
      </c>
      <c r="S1187" s="53">
        <f>IFERROR(VLOOKUP(B1187,'Pre-Summary'!$BG$6:$BM$44,6,FALSE),S1188)</f>
        <v>6.8761751275839902E-2</v>
      </c>
      <c r="T1187" s="45" t="str">
        <f>IFERROR(VLOOKUP(B1187,'Pre-Summary'!$Y$6:$AC$83, 3,FALSE),"")</f>
        <v/>
      </c>
      <c r="U1187" s="45" t="str">
        <f>IFERROR(VLOOKUP(B1187,'Pre-Summary'!$Y$6:$AC$83, 4,FALSE),"")</f>
        <v/>
      </c>
      <c r="V1187" t="str">
        <f>IFERROR(VLOOKUP(B1187,'Pre-Summary'!$Y$6:$AC$83, 5,FALSE),"")</f>
        <v/>
      </c>
      <c r="W1187" s="45" t="str">
        <f>IFERROR(VLOOKUP(B1187,'Pre-Summary'!$Y$6:$AD$83,6,FALSE),"")</f>
        <v/>
      </c>
      <c r="X1187" t="str">
        <f>IFERROR(VLOOKUP('Pre-Summary'!$DB$6:$DD$63,3,FALSE),"")</f>
        <v/>
      </c>
      <c r="Y1187" t="str">
        <f>IFERROR(VLOOKUP(B1187,'Pre-Summary'!$CR$6:$CT$36,3,FALSE),"")</f>
        <v/>
      </c>
      <c r="Z1187" s="45" t="str">
        <f>IFERROR(VLOOKUP(B1187,'Pre-Summary'!$BZ$6:$CB$63,2,FALSE),"")</f>
        <v/>
      </c>
      <c r="AA1187" s="45" t="str">
        <f>IFERROR(VLOOKUP(B1187,'Pre-Summary'!$CG$6:$CI$70,2,FALSE),"")</f>
        <v/>
      </c>
      <c r="AB1187" s="99">
        <f>IFERROR(VLOOKUP(B1187,'Pre-Summary'!$A$6:$P$178,9,FALSE),AB1188)</f>
        <v>0.30200172071457204</v>
      </c>
      <c r="AC1187" s="10">
        <f>IFERROR(VLOOKUP(Summary!B1187,'Pre-Summary'!$A$6:$P$184,5, FALSE)/100,AC1188)</f>
        <v>0.91911466666666675</v>
      </c>
      <c r="AD1187" s="10">
        <f>IFERROR(VLOOKUP(Summary!B1187,'Pre-Summary'!$A$6:$P$184,3, FALSE)/100,AD1188)</f>
        <v>1.0362666666666666E-2</v>
      </c>
      <c r="AE1187" s="10">
        <f>IFERROR(VLOOKUP(Summary!B1187,'Pre-Summary'!$A$6:$P$184,7, FALSE)/100,AE1188)</f>
        <v>7.0523000000000002E-2</v>
      </c>
      <c r="AF1187" s="99">
        <f t="shared" si="55"/>
        <v>3.1295431645248718E-3</v>
      </c>
      <c r="AG1187" s="99">
        <f t="shared" si="56"/>
        <v>2.1298067349953764E-2</v>
      </c>
      <c r="AH1187" s="10" t="str">
        <f>IFERROR(VLOOKUP(B1187,'Pre-Summary'!$AZ$6:$BE$65,3,FALSE),"")</f>
        <v/>
      </c>
      <c r="AI1187" s="10" t="str">
        <f>IFERROR(VLOOKUP(B1187,'Pre-Summary'!$AZ$6:$BE$65,5,FALSE),"")</f>
        <v/>
      </c>
      <c r="AJ1187" s="10" t="str">
        <f>IFERROR(VLOOKUP(B1187,'Pre-Summary'!$AZ$6:$BE$65,4,FALSE),"")</f>
        <v/>
      </c>
      <c r="AK1187" s="10" t="str">
        <f>IFERROR(VLOOKUP(B1187,'Pre-Summary'!$AZ$6:$BE$65,6,FALSE),"")</f>
        <v/>
      </c>
      <c r="AL1187" s="10" t="str">
        <f>IFERROR(VLOOKUP(B1187,'Pre-Summary'!$BG$6:$BL$44,3,FALSE),"")</f>
        <v/>
      </c>
      <c r="AM1187" s="10" t="str">
        <f>IFERROR(VLOOKUP(B1187,'Pre-Summary'!$BG$6:$BL$44,4,FALSE),"")</f>
        <v/>
      </c>
    </row>
    <row r="1188" spans="2:39" ht="15" customHeight="1" x14ac:dyDescent="0.3">
      <c r="B1188">
        <v>118.5</v>
      </c>
      <c r="C1188" t="str">
        <f>IFERROR(VLOOKUP(B1188,'Pre-Summary'!$DI$6:$DM$23,4,FALSE),"")</f>
        <v/>
      </c>
      <c r="D1188" s="10" t="str">
        <f>IFERROR(VLOOKUP(B1188,'Pre-Summary'!$AT$6:$AX$14,5,FALSE),D1187)</f>
        <v>DSMZ v4: dropped out methanol</v>
      </c>
      <c r="E1188" s="10" t="str">
        <f>IFERROR(VLOOKUP(B1188,'Pre-Summary'!$AT$6:$AX$15,4,FALSE),"")</f>
        <v/>
      </c>
      <c r="F1188">
        <f>IFERROR(VLOOKUP(B1188,'Pre-Summary'!$AL$6:$AQ$13,6,FALSE),F1187)</f>
        <v>5.9405263157894746E-2</v>
      </c>
      <c r="G1188" t="str">
        <f>IFERROR(VLOOKUP(B1188,'Pre-Summary'!$AE$6:$AJ$85,3,FALSE),"")</f>
        <v/>
      </c>
      <c r="H1188" t="str">
        <f>IFERROR(VLOOKUP(B1188,'Pre-Summary'!$AE$6:$AJ$85,4,FALSE),"")</f>
        <v/>
      </c>
      <c r="I1188" t="str">
        <f>IFERROR(VLOOKUP(B1188,'Pre-Summary'!$AE$6:$AJ$85,5,FALSE),"")</f>
        <v/>
      </c>
      <c r="J1188" s="45" t="str">
        <f>IFERROR(VLOOKUP(B1188,'Pre-Summary'!$AE$6:$AJ$85,6, FALSE),"")</f>
        <v/>
      </c>
      <c r="K1188" s="45" t="str">
        <f>IFERROR(VLOOKUP(B1188,'Pre-Summary'!$DE$6:$DG$61,3,FALSE),"")</f>
        <v/>
      </c>
      <c r="L1188" s="45" t="str">
        <f>IFERROR(VLOOKUP(B1188,'Pre-Summary'!$CU$6:$CW$36,3,FALSE),"")</f>
        <v/>
      </c>
      <c r="M1188" s="45" t="str">
        <f>IFERROR(VLOOKUP(B1188,'Pre-Summary'!$BW$6:$BY$58,2,FALSE),"")</f>
        <v/>
      </c>
      <c r="N1188" s="45" t="str">
        <f>IFERROR(VLOOKUP(B1188,'Pre-Summary'!$CD$6:$CF$64,2,FALSE),"")</f>
        <v/>
      </c>
      <c r="O1188" s="99">
        <f>IFERROR(VLOOKUP(B1188,'Pre-Summary'!$BO$6:$BQ$48,3, FALSE),O1187)</f>
        <v>1.2</v>
      </c>
      <c r="P1188" s="99">
        <f>IFERROR(VLOOKUP(B1188,'Pre-Summary'!$BS$6:$BU$35,3,FALSE),P1187)</f>
        <v>0.3</v>
      </c>
      <c r="Q1188" s="54">
        <f t="shared" si="54"/>
        <v>4</v>
      </c>
      <c r="R1188" s="53">
        <f>IFERROR(VLOOKUP(B1188,'Pre-Summary'!$BG$6:$BM$44,7,FALSE),R1189)</f>
        <v>7.6574939085447311E-2</v>
      </c>
      <c r="S1188" s="53">
        <f>IFERROR(VLOOKUP(B1188,'Pre-Summary'!$BG$6:$BM$44,6,FALSE),S1189)</f>
        <v>6.8761751275839902E-2</v>
      </c>
      <c r="T1188" s="45" t="str">
        <f>IFERROR(VLOOKUP(B1188,'Pre-Summary'!$Y$6:$AC$83, 3,FALSE),"")</f>
        <v/>
      </c>
      <c r="U1188" s="45" t="str">
        <f>IFERROR(VLOOKUP(B1188,'Pre-Summary'!$Y$6:$AC$83, 4,FALSE),"")</f>
        <v/>
      </c>
      <c r="V1188" t="str">
        <f>IFERROR(VLOOKUP(B1188,'Pre-Summary'!$Y$6:$AC$83, 5,FALSE),"")</f>
        <v/>
      </c>
      <c r="W1188" s="45" t="str">
        <f>IFERROR(VLOOKUP(B1188,'Pre-Summary'!$Y$6:$AD$83,6,FALSE),"")</f>
        <v/>
      </c>
      <c r="X1188" t="str">
        <f>IFERROR(VLOOKUP('Pre-Summary'!$DB$6:$DD$63,3,FALSE),"")</f>
        <v/>
      </c>
      <c r="Y1188" t="str">
        <f>IFERROR(VLOOKUP(B1188,'Pre-Summary'!$CR$6:$CT$36,3,FALSE),"")</f>
        <v/>
      </c>
      <c r="Z1188" s="45" t="str">
        <f>IFERROR(VLOOKUP(B1188,'Pre-Summary'!$BZ$6:$CB$63,2,FALSE),"")</f>
        <v/>
      </c>
      <c r="AA1188" s="45" t="str">
        <f>IFERROR(VLOOKUP(B1188,'Pre-Summary'!$CG$6:$CI$70,2,FALSE),"")</f>
        <v/>
      </c>
      <c r="AB1188" s="99">
        <f>IFERROR(VLOOKUP(B1188,'Pre-Summary'!$A$6:$P$178,9,FALSE),AB1189)</f>
        <v>0.30200172071457204</v>
      </c>
      <c r="AC1188" s="10">
        <f>IFERROR(VLOOKUP(Summary!B1188,'Pre-Summary'!$A$6:$P$184,5, FALSE)/100,AC1189)</f>
        <v>0.91911466666666675</v>
      </c>
      <c r="AD1188" s="10">
        <f>IFERROR(VLOOKUP(Summary!B1188,'Pre-Summary'!$A$6:$P$184,3, FALSE)/100,AD1189)</f>
        <v>1.0362666666666666E-2</v>
      </c>
      <c r="AE1188" s="10">
        <f>IFERROR(VLOOKUP(Summary!B1188,'Pre-Summary'!$A$6:$P$184,7, FALSE)/100,AE1189)</f>
        <v>7.0523000000000002E-2</v>
      </c>
      <c r="AF1188" s="99">
        <f t="shared" si="55"/>
        <v>3.1295431645248718E-3</v>
      </c>
      <c r="AG1188" s="99">
        <f t="shared" si="56"/>
        <v>2.1298067349953764E-2</v>
      </c>
      <c r="AH1188" s="10" t="str">
        <f>IFERROR(VLOOKUP(B1188,'Pre-Summary'!$AZ$6:$BE$65,3,FALSE),"")</f>
        <v/>
      </c>
      <c r="AI1188" s="10" t="str">
        <f>IFERROR(VLOOKUP(B1188,'Pre-Summary'!$AZ$6:$BE$65,5,FALSE),"")</f>
        <v/>
      </c>
      <c r="AJ1188" s="10" t="str">
        <f>IFERROR(VLOOKUP(B1188,'Pre-Summary'!$AZ$6:$BE$65,4,FALSE),"")</f>
        <v/>
      </c>
      <c r="AK1188" s="10" t="str">
        <f>IFERROR(VLOOKUP(B1188,'Pre-Summary'!$AZ$6:$BE$65,6,FALSE),"")</f>
        <v/>
      </c>
      <c r="AL1188" s="10" t="str">
        <f>IFERROR(VLOOKUP(B1188,'Pre-Summary'!$BG$6:$BL$44,3,FALSE),"")</f>
        <v/>
      </c>
      <c r="AM1188" s="10" t="str">
        <f>IFERROR(VLOOKUP(B1188,'Pre-Summary'!$BG$6:$BL$44,4,FALSE),"")</f>
        <v/>
      </c>
    </row>
    <row r="1189" spans="2:39" ht="15" customHeight="1" x14ac:dyDescent="0.3">
      <c r="B1189">
        <v>118.6</v>
      </c>
      <c r="C1189" t="str">
        <f>IFERROR(VLOOKUP(B1189,'Pre-Summary'!$DI$6:$DM$23,4,FALSE),"")</f>
        <v/>
      </c>
      <c r="D1189" s="10" t="str">
        <f>IFERROR(VLOOKUP(B1189,'Pre-Summary'!$AT$6:$AX$14,5,FALSE),D1188)</f>
        <v>DSMZ v4: dropped out methanol</v>
      </c>
      <c r="E1189" s="10" t="str">
        <f>IFERROR(VLOOKUP(B1189,'Pre-Summary'!$AT$6:$AX$15,4,FALSE),"")</f>
        <v/>
      </c>
      <c r="F1189">
        <f>IFERROR(VLOOKUP(B1189,'Pre-Summary'!$AL$6:$AQ$13,6,FALSE),F1188)</f>
        <v>5.9405263157894746E-2</v>
      </c>
      <c r="G1189" t="str">
        <f>IFERROR(VLOOKUP(B1189,'Pre-Summary'!$AE$6:$AJ$85,3,FALSE),"")</f>
        <v/>
      </c>
      <c r="H1189" t="str">
        <f>IFERROR(VLOOKUP(B1189,'Pre-Summary'!$AE$6:$AJ$85,4,FALSE),"")</f>
        <v/>
      </c>
      <c r="I1189" t="str">
        <f>IFERROR(VLOOKUP(B1189,'Pre-Summary'!$AE$6:$AJ$85,5,FALSE),"")</f>
        <v/>
      </c>
      <c r="J1189" s="45" t="str">
        <f>IFERROR(VLOOKUP(B1189,'Pre-Summary'!$AE$6:$AJ$85,6, FALSE),"")</f>
        <v/>
      </c>
      <c r="K1189" s="45" t="str">
        <f>IFERROR(VLOOKUP(B1189,'Pre-Summary'!$DE$6:$DG$61,3,FALSE),"")</f>
        <v/>
      </c>
      <c r="L1189" s="45" t="str">
        <f>IFERROR(VLOOKUP(B1189,'Pre-Summary'!$CU$6:$CW$36,3,FALSE),"")</f>
        <v/>
      </c>
      <c r="M1189" s="45" t="str">
        <f>IFERROR(VLOOKUP(B1189,'Pre-Summary'!$BW$6:$BY$58,2,FALSE),"")</f>
        <v/>
      </c>
      <c r="N1189" s="45" t="str">
        <f>IFERROR(VLOOKUP(B1189,'Pre-Summary'!$CD$6:$CF$64,2,FALSE),"")</f>
        <v/>
      </c>
      <c r="O1189" s="99">
        <f>IFERROR(VLOOKUP(B1189,'Pre-Summary'!$BO$6:$BQ$48,3, FALSE),O1188)</f>
        <v>1.2</v>
      </c>
      <c r="P1189" s="99">
        <f>IFERROR(VLOOKUP(B1189,'Pre-Summary'!$BS$6:$BU$35,3,FALSE),P1188)</f>
        <v>0.3</v>
      </c>
      <c r="Q1189" s="54">
        <f t="shared" si="54"/>
        <v>4</v>
      </c>
      <c r="R1189" s="53">
        <f>IFERROR(VLOOKUP(B1189,'Pre-Summary'!$BG$6:$BM$44,7,FALSE),R1190)</f>
        <v>7.6574939085447311E-2</v>
      </c>
      <c r="S1189" s="53">
        <f>IFERROR(VLOOKUP(B1189,'Pre-Summary'!$BG$6:$BM$44,6,FALSE),S1190)</f>
        <v>6.8761751275839902E-2</v>
      </c>
      <c r="T1189" s="45" t="str">
        <f>IFERROR(VLOOKUP(B1189,'Pre-Summary'!$Y$6:$AC$83, 3,FALSE),"")</f>
        <v/>
      </c>
      <c r="U1189" s="45" t="str">
        <f>IFERROR(VLOOKUP(B1189,'Pre-Summary'!$Y$6:$AC$83, 4,FALSE),"")</f>
        <v/>
      </c>
      <c r="V1189" t="str">
        <f>IFERROR(VLOOKUP(B1189,'Pre-Summary'!$Y$6:$AC$83, 5,FALSE),"")</f>
        <v/>
      </c>
      <c r="W1189" s="45" t="str">
        <f>IFERROR(VLOOKUP(B1189,'Pre-Summary'!$Y$6:$AD$83,6,FALSE),"")</f>
        <v/>
      </c>
      <c r="X1189" t="str">
        <f>IFERROR(VLOOKUP('Pre-Summary'!$DB$6:$DD$63,3,FALSE),"")</f>
        <v/>
      </c>
      <c r="Y1189" t="str">
        <f>IFERROR(VLOOKUP(B1189,'Pre-Summary'!$CR$6:$CT$36,3,FALSE),"")</f>
        <v/>
      </c>
      <c r="Z1189" s="45" t="str">
        <f>IFERROR(VLOOKUP(B1189,'Pre-Summary'!$BZ$6:$CB$63,2,FALSE),"")</f>
        <v/>
      </c>
      <c r="AA1189" s="45" t="str">
        <f>IFERROR(VLOOKUP(B1189,'Pre-Summary'!$CG$6:$CI$70,2,FALSE),"")</f>
        <v/>
      </c>
      <c r="AB1189" s="99">
        <f>IFERROR(VLOOKUP(B1189,'Pre-Summary'!$A$6:$P$178,9,FALSE),AB1190)</f>
        <v>0.30200172071457204</v>
      </c>
      <c r="AC1189" s="10">
        <f>IFERROR(VLOOKUP(Summary!B1189,'Pre-Summary'!$A$6:$P$184,5, FALSE)/100,AC1190)</f>
        <v>0.91911466666666675</v>
      </c>
      <c r="AD1189" s="10">
        <f>IFERROR(VLOOKUP(Summary!B1189,'Pre-Summary'!$A$6:$P$184,3, FALSE)/100,AD1190)</f>
        <v>1.0362666666666666E-2</v>
      </c>
      <c r="AE1189" s="10">
        <f>IFERROR(VLOOKUP(Summary!B1189,'Pre-Summary'!$A$6:$P$184,7, FALSE)/100,AE1190)</f>
        <v>7.0523000000000002E-2</v>
      </c>
      <c r="AF1189" s="99">
        <f t="shared" si="55"/>
        <v>3.1295431645248718E-3</v>
      </c>
      <c r="AG1189" s="99">
        <f t="shared" si="56"/>
        <v>2.1298067349953764E-2</v>
      </c>
      <c r="AH1189" s="10" t="str">
        <f>IFERROR(VLOOKUP(B1189,'Pre-Summary'!$AZ$6:$BE$65,3,FALSE),"")</f>
        <v/>
      </c>
      <c r="AI1189" s="10" t="str">
        <f>IFERROR(VLOOKUP(B1189,'Pre-Summary'!$AZ$6:$BE$65,5,FALSE),"")</f>
        <v/>
      </c>
      <c r="AJ1189" s="10" t="str">
        <f>IFERROR(VLOOKUP(B1189,'Pre-Summary'!$AZ$6:$BE$65,4,FALSE),"")</f>
        <v/>
      </c>
      <c r="AK1189" s="10" t="str">
        <f>IFERROR(VLOOKUP(B1189,'Pre-Summary'!$AZ$6:$BE$65,6,FALSE),"")</f>
        <v/>
      </c>
      <c r="AL1189" s="10" t="str">
        <f>IFERROR(VLOOKUP(B1189,'Pre-Summary'!$BG$6:$BL$44,3,FALSE),"")</f>
        <v/>
      </c>
      <c r="AM1189" s="10" t="str">
        <f>IFERROR(VLOOKUP(B1189,'Pre-Summary'!$BG$6:$BL$44,4,FALSE),"")</f>
        <v/>
      </c>
    </row>
    <row r="1190" spans="2:39" ht="15" customHeight="1" x14ac:dyDescent="0.3">
      <c r="B1190">
        <v>118.7</v>
      </c>
      <c r="C1190" t="str">
        <f>IFERROR(VLOOKUP(B1190,'Pre-Summary'!$DI$6:$DM$23,4,FALSE),"")</f>
        <v/>
      </c>
      <c r="D1190" s="10" t="str">
        <f>IFERROR(VLOOKUP(B1190,'Pre-Summary'!$AT$6:$AX$14,5,FALSE),D1189)</f>
        <v>DSMZ v4: dropped out methanol</v>
      </c>
      <c r="E1190" s="10" t="str">
        <f>IFERROR(VLOOKUP(B1190,'Pre-Summary'!$AT$6:$AX$15,4,FALSE),"")</f>
        <v/>
      </c>
      <c r="F1190">
        <f>IFERROR(VLOOKUP(B1190,'Pre-Summary'!$AL$6:$AQ$13,6,FALSE),F1189)</f>
        <v>5.9405263157894746E-2</v>
      </c>
      <c r="G1190" t="str">
        <f>IFERROR(VLOOKUP(B1190,'Pre-Summary'!$AE$6:$AJ$85,3,FALSE),"")</f>
        <v/>
      </c>
      <c r="H1190" t="str">
        <f>IFERROR(VLOOKUP(B1190,'Pre-Summary'!$AE$6:$AJ$85,4,FALSE),"")</f>
        <v/>
      </c>
      <c r="I1190" t="str">
        <f>IFERROR(VLOOKUP(B1190,'Pre-Summary'!$AE$6:$AJ$85,5,FALSE),"")</f>
        <v/>
      </c>
      <c r="J1190" s="45" t="str">
        <f>IFERROR(VLOOKUP(B1190,'Pre-Summary'!$AE$6:$AJ$85,6, FALSE),"")</f>
        <v/>
      </c>
      <c r="K1190" s="45" t="str">
        <f>IFERROR(VLOOKUP(B1190,'Pre-Summary'!$DE$6:$DG$61,3,FALSE),"")</f>
        <v/>
      </c>
      <c r="L1190" s="45" t="str">
        <f>IFERROR(VLOOKUP(B1190,'Pre-Summary'!$CU$6:$CW$36,3,FALSE),"")</f>
        <v/>
      </c>
      <c r="M1190" s="45" t="str">
        <f>IFERROR(VLOOKUP(B1190,'Pre-Summary'!$BW$6:$BY$58,2,FALSE),"")</f>
        <v/>
      </c>
      <c r="N1190" s="45" t="str">
        <f>IFERROR(VLOOKUP(B1190,'Pre-Summary'!$CD$6:$CF$64,2,FALSE),"")</f>
        <v/>
      </c>
      <c r="O1190" s="99">
        <f>IFERROR(VLOOKUP(B1190,'Pre-Summary'!$BO$6:$BQ$48,3, FALSE),O1189)</f>
        <v>1.2</v>
      </c>
      <c r="P1190" s="99">
        <f>IFERROR(VLOOKUP(B1190,'Pre-Summary'!$BS$6:$BU$35,3,FALSE),P1189)</f>
        <v>0.3</v>
      </c>
      <c r="Q1190" s="54">
        <f t="shared" si="54"/>
        <v>4</v>
      </c>
      <c r="R1190" s="53">
        <f>IFERROR(VLOOKUP(B1190,'Pre-Summary'!$BG$6:$BM$44,7,FALSE),R1191)</f>
        <v>7.6574939085447311E-2</v>
      </c>
      <c r="S1190" s="53">
        <f>IFERROR(VLOOKUP(B1190,'Pre-Summary'!$BG$6:$BM$44,6,FALSE),S1191)</f>
        <v>6.8761751275839902E-2</v>
      </c>
      <c r="T1190" s="45" t="str">
        <f>IFERROR(VLOOKUP(B1190,'Pre-Summary'!$Y$6:$AC$83, 3,FALSE),"")</f>
        <v/>
      </c>
      <c r="U1190" s="45" t="str">
        <f>IFERROR(VLOOKUP(B1190,'Pre-Summary'!$Y$6:$AC$83, 4,FALSE),"")</f>
        <v/>
      </c>
      <c r="V1190" t="str">
        <f>IFERROR(VLOOKUP(B1190,'Pre-Summary'!$Y$6:$AC$83, 5,FALSE),"")</f>
        <v/>
      </c>
      <c r="W1190" s="45" t="str">
        <f>IFERROR(VLOOKUP(B1190,'Pre-Summary'!$Y$6:$AD$83,6,FALSE),"")</f>
        <v/>
      </c>
      <c r="X1190" t="str">
        <f>IFERROR(VLOOKUP('Pre-Summary'!$DB$6:$DD$63,3,FALSE),"")</f>
        <v/>
      </c>
      <c r="Y1190" t="str">
        <f>IFERROR(VLOOKUP(B1190,'Pre-Summary'!$CR$6:$CT$36,3,FALSE),"")</f>
        <v/>
      </c>
      <c r="Z1190" s="45" t="str">
        <f>IFERROR(VLOOKUP(B1190,'Pre-Summary'!$BZ$6:$CB$63,2,FALSE),"")</f>
        <v/>
      </c>
      <c r="AA1190" s="45" t="str">
        <f>IFERROR(VLOOKUP(B1190,'Pre-Summary'!$CG$6:$CI$70,2,FALSE),"")</f>
        <v/>
      </c>
      <c r="AB1190" s="99">
        <f>IFERROR(VLOOKUP(B1190,'Pre-Summary'!$A$6:$P$178,9,FALSE),AB1191)</f>
        <v>0.30200172071457204</v>
      </c>
      <c r="AC1190" s="10">
        <f>IFERROR(VLOOKUP(Summary!B1190,'Pre-Summary'!$A$6:$P$184,5, FALSE)/100,AC1191)</f>
        <v>0.91911466666666675</v>
      </c>
      <c r="AD1190" s="10">
        <f>IFERROR(VLOOKUP(Summary!B1190,'Pre-Summary'!$A$6:$P$184,3, FALSE)/100,AD1191)</f>
        <v>1.0362666666666666E-2</v>
      </c>
      <c r="AE1190" s="10">
        <f>IFERROR(VLOOKUP(Summary!B1190,'Pre-Summary'!$A$6:$P$184,7, FALSE)/100,AE1191)</f>
        <v>7.0523000000000002E-2</v>
      </c>
      <c r="AF1190" s="99">
        <f t="shared" si="55"/>
        <v>3.1295431645248718E-3</v>
      </c>
      <c r="AG1190" s="99">
        <f t="shared" si="56"/>
        <v>2.1298067349953764E-2</v>
      </c>
      <c r="AH1190" s="10" t="str">
        <f>IFERROR(VLOOKUP(B1190,'Pre-Summary'!$AZ$6:$BE$65,3,FALSE),"")</f>
        <v/>
      </c>
      <c r="AI1190" s="10" t="str">
        <f>IFERROR(VLOOKUP(B1190,'Pre-Summary'!$AZ$6:$BE$65,5,FALSE),"")</f>
        <v/>
      </c>
      <c r="AJ1190" s="10" t="str">
        <f>IFERROR(VLOOKUP(B1190,'Pre-Summary'!$AZ$6:$BE$65,4,FALSE),"")</f>
        <v/>
      </c>
      <c r="AK1190" s="10" t="str">
        <f>IFERROR(VLOOKUP(B1190,'Pre-Summary'!$AZ$6:$BE$65,6,FALSE),"")</f>
        <v/>
      </c>
      <c r="AL1190" s="10" t="str">
        <f>IFERROR(VLOOKUP(B1190,'Pre-Summary'!$BG$6:$BL$44,3,FALSE),"")</f>
        <v/>
      </c>
      <c r="AM1190" s="10" t="str">
        <f>IFERROR(VLOOKUP(B1190,'Pre-Summary'!$BG$6:$BL$44,4,FALSE),"")</f>
        <v/>
      </c>
    </row>
    <row r="1191" spans="2:39" ht="15" customHeight="1" x14ac:dyDescent="0.3">
      <c r="B1191">
        <v>118.8</v>
      </c>
      <c r="C1191" t="str">
        <f>IFERROR(VLOOKUP(B1191,'Pre-Summary'!$DI$6:$DM$23,4,FALSE),"")</f>
        <v/>
      </c>
      <c r="D1191" s="10" t="str">
        <f>IFERROR(VLOOKUP(B1191,'Pre-Summary'!$AT$6:$AX$14,5,FALSE),D1190)</f>
        <v>DSMZ v4: dropped out methanol</v>
      </c>
      <c r="E1191" s="10" t="str">
        <f>IFERROR(VLOOKUP(B1191,'Pre-Summary'!$AT$6:$AX$15,4,FALSE),"")</f>
        <v/>
      </c>
      <c r="F1191">
        <f>IFERROR(VLOOKUP(B1191,'Pre-Summary'!$AL$6:$AQ$13,6,FALSE),F1190)</f>
        <v>5.9405263157894746E-2</v>
      </c>
      <c r="G1191" t="str">
        <f>IFERROR(VLOOKUP(B1191,'Pre-Summary'!$AE$6:$AJ$85,3,FALSE),"")</f>
        <v/>
      </c>
      <c r="H1191" t="str">
        <f>IFERROR(VLOOKUP(B1191,'Pre-Summary'!$AE$6:$AJ$85,4,FALSE),"")</f>
        <v/>
      </c>
      <c r="I1191" t="str">
        <f>IFERROR(VLOOKUP(B1191,'Pre-Summary'!$AE$6:$AJ$85,5,FALSE),"")</f>
        <v/>
      </c>
      <c r="J1191" s="45" t="str">
        <f>IFERROR(VLOOKUP(B1191,'Pre-Summary'!$AE$6:$AJ$85,6, FALSE),"")</f>
        <v/>
      </c>
      <c r="K1191" s="45" t="str">
        <f>IFERROR(VLOOKUP(B1191,'Pre-Summary'!$DE$6:$DG$61,3,FALSE),"")</f>
        <v/>
      </c>
      <c r="L1191" s="45" t="str">
        <f>IFERROR(VLOOKUP(B1191,'Pre-Summary'!$CU$6:$CW$36,3,FALSE),"")</f>
        <v/>
      </c>
      <c r="M1191" s="45" t="str">
        <f>IFERROR(VLOOKUP(B1191,'Pre-Summary'!$BW$6:$BY$58,2,FALSE),"")</f>
        <v/>
      </c>
      <c r="N1191" s="45" t="str">
        <f>IFERROR(VLOOKUP(B1191,'Pre-Summary'!$CD$6:$CF$64,2,FALSE),"")</f>
        <v/>
      </c>
      <c r="O1191" s="99">
        <f>IFERROR(VLOOKUP(B1191,'Pre-Summary'!$BO$6:$BQ$48,3, FALSE),O1190)</f>
        <v>1.2</v>
      </c>
      <c r="P1191" s="99">
        <f>IFERROR(VLOOKUP(B1191,'Pre-Summary'!$BS$6:$BU$35,3,FALSE),P1190)</f>
        <v>0.3</v>
      </c>
      <c r="Q1191" s="54">
        <f t="shared" si="54"/>
        <v>4</v>
      </c>
      <c r="R1191" s="53">
        <f>IFERROR(VLOOKUP(B1191,'Pre-Summary'!$BG$6:$BM$44,7,FALSE),R1192)</f>
        <v>7.6574939085447311E-2</v>
      </c>
      <c r="S1191" s="53">
        <f>IFERROR(VLOOKUP(B1191,'Pre-Summary'!$BG$6:$BM$44,6,FALSE),S1192)</f>
        <v>6.8761751275839902E-2</v>
      </c>
      <c r="T1191" s="45" t="str">
        <f>IFERROR(VLOOKUP(B1191,'Pre-Summary'!$Y$6:$AC$83, 3,FALSE),"")</f>
        <v/>
      </c>
      <c r="U1191" s="45" t="str">
        <f>IFERROR(VLOOKUP(B1191,'Pre-Summary'!$Y$6:$AC$83, 4,FALSE),"")</f>
        <v/>
      </c>
      <c r="V1191" t="str">
        <f>IFERROR(VLOOKUP(B1191,'Pre-Summary'!$Y$6:$AC$83, 5,FALSE),"")</f>
        <v/>
      </c>
      <c r="W1191" s="45" t="str">
        <f>IFERROR(VLOOKUP(B1191,'Pre-Summary'!$Y$6:$AD$83,6,FALSE),"")</f>
        <v/>
      </c>
      <c r="X1191" t="str">
        <f>IFERROR(VLOOKUP('Pre-Summary'!$DB$6:$DD$63,3,FALSE),"")</f>
        <v/>
      </c>
      <c r="Y1191" t="str">
        <f>IFERROR(VLOOKUP(B1191,'Pre-Summary'!$CR$6:$CT$36,3,FALSE),"")</f>
        <v/>
      </c>
      <c r="Z1191" s="45" t="str">
        <f>IFERROR(VLOOKUP(B1191,'Pre-Summary'!$BZ$6:$CB$63,2,FALSE),"")</f>
        <v/>
      </c>
      <c r="AA1191" s="45" t="str">
        <f>IFERROR(VLOOKUP(B1191,'Pre-Summary'!$CG$6:$CI$70,2,FALSE),"")</f>
        <v/>
      </c>
      <c r="AB1191" s="99">
        <f>IFERROR(VLOOKUP(B1191,'Pre-Summary'!$A$6:$P$178,9,FALSE),AB1192)</f>
        <v>0.30200172071457204</v>
      </c>
      <c r="AC1191" s="10">
        <f>IFERROR(VLOOKUP(Summary!B1191,'Pre-Summary'!$A$6:$P$184,5, FALSE)/100,AC1192)</f>
        <v>0.91911466666666675</v>
      </c>
      <c r="AD1191" s="10">
        <f>IFERROR(VLOOKUP(Summary!B1191,'Pre-Summary'!$A$6:$P$184,3, FALSE)/100,AD1192)</f>
        <v>1.0362666666666666E-2</v>
      </c>
      <c r="AE1191" s="10">
        <f>IFERROR(VLOOKUP(Summary!B1191,'Pre-Summary'!$A$6:$P$184,7, FALSE)/100,AE1192)</f>
        <v>7.0523000000000002E-2</v>
      </c>
      <c r="AF1191" s="99">
        <f t="shared" si="55"/>
        <v>3.1295431645248718E-3</v>
      </c>
      <c r="AG1191" s="99">
        <f t="shared" si="56"/>
        <v>2.1298067349953764E-2</v>
      </c>
      <c r="AH1191" s="10" t="str">
        <f>IFERROR(VLOOKUP(B1191,'Pre-Summary'!$AZ$6:$BE$65,3,FALSE),"")</f>
        <v/>
      </c>
      <c r="AI1191" s="10" t="str">
        <f>IFERROR(VLOOKUP(B1191,'Pre-Summary'!$AZ$6:$BE$65,5,FALSE),"")</f>
        <v/>
      </c>
      <c r="AJ1191" s="10" t="str">
        <f>IFERROR(VLOOKUP(B1191,'Pre-Summary'!$AZ$6:$BE$65,4,FALSE),"")</f>
        <v/>
      </c>
      <c r="AK1191" s="10" t="str">
        <f>IFERROR(VLOOKUP(B1191,'Pre-Summary'!$AZ$6:$BE$65,6,FALSE),"")</f>
        <v/>
      </c>
      <c r="AL1191" s="10" t="str">
        <f>IFERROR(VLOOKUP(B1191,'Pre-Summary'!$BG$6:$BL$44,3,FALSE),"")</f>
        <v/>
      </c>
      <c r="AM1191" s="10" t="str">
        <f>IFERROR(VLOOKUP(B1191,'Pre-Summary'!$BG$6:$BL$44,4,FALSE),"")</f>
        <v/>
      </c>
    </row>
    <row r="1192" spans="2:39" ht="15" customHeight="1" x14ac:dyDescent="0.3">
      <c r="B1192">
        <v>118.9</v>
      </c>
      <c r="C1192" t="str">
        <f>IFERROR(VLOOKUP(B1192,'Pre-Summary'!$DI$6:$DM$23,4,FALSE),"")</f>
        <v/>
      </c>
      <c r="D1192" s="10" t="str">
        <f>IFERROR(VLOOKUP(B1192,'Pre-Summary'!$AT$6:$AX$14,5,FALSE),D1191)</f>
        <v>DSMZ v4: dropped out methanol</v>
      </c>
      <c r="E1192" s="10" t="str">
        <f>IFERROR(VLOOKUP(B1192,'Pre-Summary'!$AT$6:$AX$15,4,FALSE),"")</f>
        <v/>
      </c>
      <c r="F1192">
        <f>IFERROR(VLOOKUP(B1192,'Pre-Summary'!$AL$6:$AQ$13,6,FALSE),F1191)</f>
        <v>5.9405263157894746E-2</v>
      </c>
      <c r="G1192" t="str">
        <f>IFERROR(VLOOKUP(B1192,'Pre-Summary'!$AE$6:$AJ$85,3,FALSE),"")</f>
        <v/>
      </c>
      <c r="H1192" t="str">
        <f>IFERROR(VLOOKUP(B1192,'Pre-Summary'!$AE$6:$AJ$85,4,FALSE),"")</f>
        <v/>
      </c>
      <c r="I1192" t="str">
        <f>IFERROR(VLOOKUP(B1192,'Pre-Summary'!$AE$6:$AJ$85,5,FALSE),"")</f>
        <v/>
      </c>
      <c r="J1192" s="45" t="str">
        <f>IFERROR(VLOOKUP(B1192,'Pre-Summary'!$AE$6:$AJ$85,6, FALSE),"")</f>
        <v/>
      </c>
      <c r="K1192" s="45" t="str">
        <f>IFERROR(VLOOKUP(B1192,'Pre-Summary'!$DE$6:$DG$61,3,FALSE),"")</f>
        <v/>
      </c>
      <c r="L1192" s="45" t="str">
        <f>IFERROR(VLOOKUP(B1192,'Pre-Summary'!$CU$6:$CW$36,3,FALSE),"")</f>
        <v/>
      </c>
      <c r="M1192" s="45" t="str">
        <f>IFERROR(VLOOKUP(B1192,'Pre-Summary'!$BW$6:$BY$58,2,FALSE),"")</f>
        <v/>
      </c>
      <c r="N1192" s="45" t="str">
        <f>IFERROR(VLOOKUP(B1192,'Pre-Summary'!$CD$6:$CF$64,2,FALSE),"")</f>
        <v/>
      </c>
      <c r="O1192" s="99">
        <f>IFERROR(VLOOKUP(B1192,'Pre-Summary'!$BO$6:$BQ$48,3, FALSE),O1191)</f>
        <v>1.2</v>
      </c>
      <c r="P1192" s="99">
        <f>IFERROR(VLOOKUP(B1192,'Pre-Summary'!$BS$6:$BU$35,3,FALSE),P1191)</f>
        <v>0.3</v>
      </c>
      <c r="Q1192" s="54">
        <f t="shared" si="54"/>
        <v>4</v>
      </c>
      <c r="R1192" s="53">
        <f>IFERROR(VLOOKUP(B1192,'Pre-Summary'!$BG$6:$BM$44,7,FALSE),R1193)</f>
        <v>7.6574939085447311E-2</v>
      </c>
      <c r="S1192" s="53">
        <f>IFERROR(VLOOKUP(B1192,'Pre-Summary'!$BG$6:$BM$44,6,FALSE),S1193)</f>
        <v>6.8761751275839902E-2</v>
      </c>
      <c r="T1192" s="45" t="str">
        <f>IFERROR(VLOOKUP(B1192,'Pre-Summary'!$Y$6:$AC$83, 3,FALSE),"")</f>
        <v/>
      </c>
      <c r="U1192" s="45" t="str">
        <f>IFERROR(VLOOKUP(B1192,'Pre-Summary'!$Y$6:$AC$83, 4,FALSE),"")</f>
        <v/>
      </c>
      <c r="V1192" t="str">
        <f>IFERROR(VLOOKUP(B1192,'Pre-Summary'!$Y$6:$AC$83, 5,FALSE),"")</f>
        <v/>
      </c>
      <c r="W1192" s="45" t="str">
        <f>IFERROR(VLOOKUP(B1192,'Pre-Summary'!$Y$6:$AD$83,6,FALSE),"")</f>
        <v/>
      </c>
      <c r="X1192" t="str">
        <f>IFERROR(VLOOKUP('Pre-Summary'!$DB$6:$DD$63,3,FALSE),"")</f>
        <v/>
      </c>
      <c r="Y1192" t="str">
        <f>IFERROR(VLOOKUP(B1192,'Pre-Summary'!$CR$6:$CT$36,3,FALSE),"")</f>
        <v/>
      </c>
      <c r="Z1192" s="45" t="str">
        <f>IFERROR(VLOOKUP(B1192,'Pre-Summary'!$BZ$6:$CB$63,2,FALSE),"")</f>
        <v/>
      </c>
      <c r="AA1192" s="45" t="str">
        <f>IFERROR(VLOOKUP(B1192,'Pre-Summary'!$CG$6:$CI$70,2,FALSE),"")</f>
        <v/>
      </c>
      <c r="AB1192" s="99">
        <f>IFERROR(VLOOKUP(B1192,'Pre-Summary'!$A$6:$P$178,9,FALSE),AB1193)</f>
        <v>0.30200172071457204</v>
      </c>
      <c r="AC1192" s="10">
        <f>IFERROR(VLOOKUP(Summary!B1192,'Pre-Summary'!$A$6:$P$184,5, FALSE)/100,AC1193)</f>
        <v>0.91911466666666675</v>
      </c>
      <c r="AD1192" s="10">
        <f>IFERROR(VLOOKUP(Summary!B1192,'Pre-Summary'!$A$6:$P$184,3, FALSE)/100,AD1193)</f>
        <v>1.0362666666666666E-2</v>
      </c>
      <c r="AE1192" s="10">
        <f>IFERROR(VLOOKUP(Summary!B1192,'Pre-Summary'!$A$6:$P$184,7, FALSE)/100,AE1193)</f>
        <v>7.0523000000000002E-2</v>
      </c>
      <c r="AF1192" s="99">
        <f t="shared" si="55"/>
        <v>3.1295431645248718E-3</v>
      </c>
      <c r="AG1192" s="99">
        <f t="shared" si="56"/>
        <v>2.1298067349953764E-2</v>
      </c>
      <c r="AH1192" s="10" t="str">
        <f>IFERROR(VLOOKUP(B1192,'Pre-Summary'!$AZ$6:$BE$65,3,FALSE),"")</f>
        <v/>
      </c>
      <c r="AI1192" s="10" t="str">
        <f>IFERROR(VLOOKUP(B1192,'Pre-Summary'!$AZ$6:$BE$65,5,FALSE),"")</f>
        <v/>
      </c>
      <c r="AJ1192" s="10" t="str">
        <f>IFERROR(VLOOKUP(B1192,'Pre-Summary'!$AZ$6:$BE$65,4,FALSE),"")</f>
        <v/>
      </c>
      <c r="AK1192" s="10" t="str">
        <f>IFERROR(VLOOKUP(B1192,'Pre-Summary'!$AZ$6:$BE$65,6,FALSE),"")</f>
        <v/>
      </c>
      <c r="AL1192" s="10" t="str">
        <f>IFERROR(VLOOKUP(B1192,'Pre-Summary'!$BG$6:$BL$44,3,FALSE),"")</f>
        <v/>
      </c>
      <c r="AM1192" s="10" t="str">
        <f>IFERROR(VLOOKUP(B1192,'Pre-Summary'!$BG$6:$BL$44,4,FALSE),"")</f>
        <v/>
      </c>
    </row>
    <row r="1193" spans="2:39" ht="15" customHeight="1" x14ac:dyDescent="0.3">
      <c r="B1193">
        <v>119</v>
      </c>
      <c r="C1193" t="str">
        <f>IFERROR(VLOOKUP(B1193,'Pre-Summary'!$DI$6:$DM$23,4,FALSE),"")</f>
        <v/>
      </c>
      <c r="D1193" s="10" t="str">
        <f>IFERROR(VLOOKUP(B1193,'Pre-Summary'!$AT$6:$AX$14,5,FALSE),D1192)</f>
        <v>DSMZ v4: dropped out methanol</v>
      </c>
      <c r="E1193" s="10" t="str">
        <f>IFERROR(VLOOKUP(B1193,'Pre-Summary'!$AT$6:$AX$15,4,FALSE),"")</f>
        <v/>
      </c>
      <c r="F1193">
        <f>IFERROR(VLOOKUP(B1193,'Pre-Summary'!$AL$6:$AQ$13,6,FALSE),F1192)</f>
        <v>5.9405263157894746E-2</v>
      </c>
      <c r="G1193" t="str">
        <f>IFERROR(VLOOKUP(B1193,'Pre-Summary'!$AE$6:$AJ$85,3,FALSE),"")</f>
        <v/>
      </c>
      <c r="H1193" t="str">
        <f>IFERROR(VLOOKUP(B1193,'Pre-Summary'!$AE$6:$AJ$85,4,FALSE),"")</f>
        <v/>
      </c>
      <c r="I1193" t="str">
        <f>IFERROR(VLOOKUP(B1193,'Pre-Summary'!$AE$6:$AJ$85,5,FALSE),"")</f>
        <v/>
      </c>
      <c r="J1193" s="45" t="str">
        <f>IFERROR(VLOOKUP(B1193,'Pre-Summary'!$AE$6:$AJ$85,6, FALSE),"")</f>
        <v/>
      </c>
      <c r="K1193" s="45" t="str">
        <f>IFERROR(VLOOKUP(B1193,'Pre-Summary'!$DE$6:$DG$61,3,FALSE),"")</f>
        <v/>
      </c>
      <c r="L1193" s="45" t="str">
        <f>IFERROR(VLOOKUP(B1193,'Pre-Summary'!$CU$6:$CW$36,3,FALSE),"")</f>
        <v/>
      </c>
      <c r="M1193" s="45" t="str">
        <f>IFERROR(VLOOKUP(B1193,'Pre-Summary'!$BW$6:$BY$58,2,FALSE),"")</f>
        <v/>
      </c>
      <c r="N1193" s="45" t="str">
        <f>IFERROR(VLOOKUP(B1193,'Pre-Summary'!$CD$6:$CF$64,2,FALSE),"")</f>
        <v/>
      </c>
      <c r="O1193" s="99">
        <f>IFERROR(VLOOKUP(B1193,'Pre-Summary'!$BO$6:$BQ$48,3, FALSE),O1192)</f>
        <v>1.2</v>
      </c>
      <c r="P1193" s="99">
        <f>IFERROR(VLOOKUP(B1193,'Pre-Summary'!$BS$6:$BU$35,3,FALSE),P1192)</f>
        <v>0.3</v>
      </c>
      <c r="Q1193" s="54">
        <f t="shared" si="54"/>
        <v>4</v>
      </c>
      <c r="R1193" s="53">
        <f>IFERROR(VLOOKUP(B1193,'Pre-Summary'!$BG$6:$BM$44,7,FALSE),R1194)</f>
        <v>7.6574939085447311E-2</v>
      </c>
      <c r="S1193" s="53">
        <f>IFERROR(VLOOKUP(B1193,'Pre-Summary'!$BG$6:$BM$44,6,FALSE),S1194)</f>
        <v>6.8761751275839902E-2</v>
      </c>
      <c r="T1193" s="45" t="str">
        <f>IFERROR(VLOOKUP(B1193,'Pre-Summary'!$Y$6:$AC$83, 3,FALSE),"")</f>
        <v/>
      </c>
      <c r="U1193" s="45" t="str">
        <f>IFERROR(VLOOKUP(B1193,'Pre-Summary'!$Y$6:$AC$83, 4,FALSE),"")</f>
        <v/>
      </c>
      <c r="V1193" t="str">
        <f>IFERROR(VLOOKUP(B1193,'Pre-Summary'!$Y$6:$AC$83, 5,FALSE),"")</f>
        <v/>
      </c>
      <c r="W1193" s="45" t="str">
        <f>IFERROR(VLOOKUP(B1193,'Pre-Summary'!$Y$6:$AD$83,6,FALSE),"")</f>
        <v/>
      </c>
      <c r="X1193" t="str">
        <f>IFERROR(VLOOKUP('Pre-Summary'!$DB$6:$DD$63,3,FALSE),"")</f>
        <v/>
      </c>
      <c r="Y1193" t="str">
        <f>IFERROR(VLOOKUP(B1193,'Pre-Summary'!$CR$6:$CT$36,3,FALSE),"")</f>
        <v/>
      </c>
      <c r="Z1193" s="45" t="str">
        <f>IFERROR(VLOOKUP(B1193,'Pre-Summary'!$BZ$6:$CB$63,2,FALSE),"")</f>
        <v/>
      </c>
      <c r="AA1193" s="45" t="str">
        <f>IFERROR(VLOOKUP(B1193,'Pre-Summary'!$CG$6:$CI$70,2,FALSE),"")</f>
        <v/>
      </c>
      <c r="AB1193" s="99">
        <f>IFERROR(VLOOKUP(B1193,'Pre-Summary'!$A$6:$P$178,9,FALSE),AB1194)</f>
        <v>0.28466705399875358</v>
      </c>
      <c r="AC1193" s="10">
        <f>IFERROR(VLOOKUP(Summary!B1193,'Pre-Summary'!$A$6:$P$184,5, FALSE)/100,AC1194)</f>
        <v>0.95201066666666678</v>
      </c>
      <c r="AD1193" s="10">
        <f>IFERROR(VLOOKUP(Summary!B1193,'Pre-Summary'!$A$6:$P$184,3, FALSE)/100,AD1194)</f>
        <v>6.9433333333333335E-3</v>
      </c>
      <c r="AE1193" s="10">
        <f>IFERROR(VLOOKUP(Summary!B1193,'Pre-Summary'!$A$6:$P$184,7, FALSE)/100,AE1194)</f>
        <v>4.1046000000000006E-2</v>
      </c>
      <c r="AF1193" s="99">
        <f t="shared" si="55"/>
        <v>1.9765382449313459E-3</v>
      </c>
      <c r="AG1193" s="99">
        <f t="shared" si="56"/>
        <v>1.1684443898432841E-2</v>
      </c>
      <c r="AH1193" s="10" t="str">
        <f>IFERROR(VLOOKUP(B1193,'Pre-Summary'!$AZ$6:$BE$65,3,FALSE),"")</f>
        <v/>
      </c>
      <c r="AI1193" s="10" t="str">
        <f>IFERROR(VLOOKUP(B1193,'Pre-Summary'!$AZ$6:$BE$65,5,FALSE),"")</f>
        <v/>
      </c>
      <c r="AJ1193" s="10" t="str">
        <f>IFERROR(VLOOKUP(B1193,'Pre-Summary'!$AZ$6:$BE$65,4,FALSE),"")</f>
        <v/>
      </c>
      <c r="AK1193" s="10" t="str">
        <f>IFERROR(VLOOKUP(B1193,'Pre-Summary'!$AZ$6:$BE$65,6,FALSE),"")</f>
        <v/>
      </c>
      <c r="AL1193" s="10" t="str">
        <f>IFERROR(VLOOKUP(B1193,'Pre-Summary'!$BG$6:$BL$44,3,FALSE),"")</f>
        <v/>
      </c>
      <c r="AM1193" s="10" t="str">
        <f>IFERROR(VLOOKUP(B1193,'Pre-Summary'!$BG$6:$BL$44,4,FALSE),"")</f>
        <v/>
      </c>
    </row>
    <row r="1194" spans="2:39" ht="15" customHeight="1" x14ac:dyDescent="0.3">
      <c r="B1194">
        <v>119.1</v>
      </c>
      <c r="C1194" t="str">
        <f>IFERROR(VLOOKUP(B1194,'Pre-Summary'!$DI$6:$DM$23,4,FALSE),"")</f>
        <v/>
      </c>
      <c r="D1194" s="10" t="str">
        <f>IFERROR(VLOOKUP(B1194,'Pre-Summary'!$AT$6:$AX$14,5,FALSE),D1193)</f>
        <v>DSMZ v4: dropped out methanol</v>
      </c>
      <c r="E1194" s="10" t="str">
        <f>IFERROR(VLOOKUP(B1194,'Pre-Summary'!$AT$6:$AX$15,4,FALSE),"")</f>
        <v/>
      </c>
      <c r="F1194">
        <f>IFERROR(VLOOKUP(B1194,'Pre-Summary'!$AL$6:$AQ$13,6,FALSE),F1193)</f>
        <v>5.9405263157894746E-2</v>
      </c>
      <c r="G1194" t="str">
        <f>IFERROR(VLOOKUP(B1194,'Pre-Summary'!$AE$6:$AJ$85,3,FALSE),"")</f>
        <v/>
      </c>
      <c r="H1194" t="str">
        <f>IFERROR(VLOOKUP(B1194,'Pre-Summary'!$AE$6:$AJ$85,4,FALSE),"")</f>
        <v/>
      </c>
      <c r="I1194" t="str">
        <f>IFERROR(VLOOKUP(B1194,'Pre-Summary'!$AE$6:$AJ$85,5,FALSE),"")</f>
        <v/>
      </c>
      <c r="J1194" s="45" t="str">
        <f>IFERROR(VLOOKUP(B1194,'Pre-Summary'!$AE$6:$AJ$85,6, FALSE),"")</f>
        <v/>
      </c>
      <c r="K1194" s="45" t="str">
        <f>IFERROR(VLOOKUP(B1194,'Pre-Summary'!$DE$6:$DG$61,3,FALSE),"")</f>
        <v/>
      </c>
      <c r="L1194" s="45" t="str">
        <f>IFERROR(VLOOKUP(B1194,'Pre-Summary'!$CU$6:$CW$36,3,FALSE),"")</f>
        <v/>
      </c>
      <c r="M1194" s="45" t="str">
        <f>IFERROR(VLOOKUP(B1194,'Pre-Summary'!$BW$6:$BY$58,2,FALSE),"")</f>
        <v/>
      </c>
      <c r="N1194" s="45" t="str">
        <f>IFERROR(VLOOKUP(B1194,'Pre-Summary'!$CD$6:$CF$64,2,FALSE),"")</f>
        <v/>
      </c>
      <c r="O1194" s="99">
        <f>IFERROR(VLOOKUP(B1194,'Pre-Summary'!$BO$6:$BQ$48,3, FALSE),O1193)</f>
        <v>1.2</v>
      </c>
      <c r="P1194" s="99">
        <f>IFERROR(VLOOKUP(B1194,'Pre-Summary'!$BS$6:$BU$35,3,FALSE),P1193)</f>
        <v>0.3</v>
      </c>
      <c r="Q1194" s="54">
        <f t="shared" si="54"/>
        <v>4</v>
      </c>
      <c r="R1194" s="53">
        <f>IFERROR(VLOOKUP(B1194,'Pre-Summary'!$BG$6:$BM$44,7,FALSE),R1195)</f>
        <v>7.6574939085447311E-2</v>
      </c>
      <c r="S1194" s="53">
        <f>IFERROR(VLOOKUP(B1194,'Pre-Summary'!$BG$6:$BM$44,6,FALSE),S1195)</f>
        <v>6.8761751275839902E-2</v>
      </c>
      <c r="T1194" s="45" t="str">
        <f>IFERROR(VLOOKUP(B1194,'Pre-Summary'!$Y$6:$AC$83, 3,FALSE),"")</f>
        <v/>
      </c>
      <c r="U1194" s="45" t="str">
        <f>IFERROR(VLOOKUP(B1194,'Pre-Summary'!$Y$6:$AC$83, 4,FALSE),"")</f>
        <v/>
      </c>
      <c r="V1194" t="str">
        <f>IFERROR(VLOOKUP(B1194,'Pre-Summary'!$Y$6:$AC$83, 5,FALSE),"")</f>
        <v/>
      </c>
      <c r="W1194" s="45" t="str">
        <f>IFERROR(VLOOKUP(B1194,'Pre-Summary'!$Y$6:$AD$83,6,FALSE),"")</f>
        <v/>
      </c>
      <c r="X1194" t="str">
        <f>IFERROR(VLOOKUP('Pre-Summary'!$DB$6:$DD$63,3,FALSE),"")</f>
        <v/>
      </c>
      <c r="Y1194" t="str">
        <f>IFERROR(VLOOKUP(B1194,'Pre-Summary'!$CR$6:$CT$36,3,FALSE),"")</f>
        <v/>
      </c>
      <c r="Z1194" s="45" t="str">
        <f>IFERROR(VLOOKUP(B1194,'Pre-Summary'!$BZ$6:$CB$63,2,FALSE),"")</f>
        <v/>
      </c>
      <c r="AA1194" s="45" t="str">
        <f>IFERROR(VLOOKUP(B1194,'Pre-Summary'!$CG$6:$CI$70,2,FALSE),"")</f>
        <v/>
      </c>
      <c r="AB1194" s="99">
        <f>IFERROR(VLOOKUP(B1194,'Pre-Summary'!$A$6:$P$178,9,FALSE),AB1195)</f>
        <v>0.28466705399875358</v>
      </c>
      <c r="AC1194" s="10">
        <f>IFERROR(VLOOKUP(Summary!B1194,'Pre-Summary'!$A$6:$P$184,5, FALSE)/100,AC1195)</f>
        <v>0.95201066666666678</v>
      </c>
      <c r="AD1194" s="10">
        <f>IFERROR(VLOOKUP(Summary!B1194,'Pre-Summary'!$A$6:$P$184,3, FALSE)/100,AD1195)</f>
        <v>6.9433333333333335E-3</v>
      </c>
      <c r="AE1194" s="10">
        <f>IFERROR(VLOOKUP(Summary!B1194,'Pre-Summary'!$A$6:$P$184,7, FALSE)/100,AE1195)</f>
        <v>4.1046000000000006E-2</v>
      </c>
      <c r="AF1194" s="99">
        <f t="shared" si="55"/>
        <v>1.9765382449313459E-3</v>
      </c>
      <c r="AG1194" s="99">
        <f t="shared" si="56"/>
        <v>1.1684443898432841E-2</v>
      </c>
      <c r="AH1194" s="10" t="str">
        <f>IFERROR(VLOOKUP(B1194,'Pre-Summary'!$AZ$6:$BE$65,3,FALSE),"")</f>
        <v/>
      </c>
      <c r="AI1194" s="10" t="str">
        <f>IFERROR(VLOOKUP(B1194,'Pre-Summary'!$AZ$6:$BE$65,5,FALSE),"")</f>
        <v/>
      </c>
      <c r="AJ1194" s="10" t="str">
        <f>IFERROR(VLOOKUP(B1194,'Pre-Summary'!$AZ$6:$BE$65,4,FALSE),"")</f>
        <v/>
      </c>
      <c r="AK1194" s="10" t="str">
        <f>IFERROR(VLOOKUP(B1194,'Pre-Summary'!$AZ$6:$BE$65,6,FALSE),"")</f>
        <v/>
      </c>
      <c r="AL1194" s="10" t="str">
        <f>IFERROR(VLOOKUP(B1194,'Pre-Summary'!$BG$6:$BL$44,3,FALSE),"")</f>
        <v/>
      </c>
      <c r="AM1194" s="10" t="str">
        <f>IFERROR(VLOOKUP(B1194,'Pre-Summary'!$BG$6:$BL$44,4,FALSE),"")</f>
        <v/>
      </c>
    </row>
    <row r="1195" spans="2:39" ht="15" customHeight="1" x14ac:dyDescent="0.3">
      <c r="B1195">
        <v>119.2</v>
      </c>
      <c r="C1195" t="str">
        <f>IFERROR(VLOOKUP(B1195,'Pre-Summary'!$DI$6:$DM$23,4,FALSE),"")</f>
        <v/>
      </c>
      <c r="D1195" s="10" t="str">
        <f>IFERROR(VLOOKUP(B1195,'Pre-Summary'!$AT$6:$AX$14,5,FALSE),D1194)</f>
        <v>DSMZ v4: dropped out methanol</v>
      </c>
      <c r="E1195" s="10" t="str">
        <f>IFERROR(VLOOKUP(B1195,'Pre-Summary'!$AT$6:$AX$15,4,FALSE),"")</f>
        <v/>
      </c>
      <c r="F1195">
        <f>IFERROR(VLOOKUP(B1195,'Pre-Summary'!$AL$6:$AQ$13,6,FALSE),F1194)</f>
        <v>5.9405263157894746E-2</v>
      </c>
      <c r="G1195" t="str">
        <f>IFERROR(VLOOKUP(B1195,'Pre-Summary'!$AE$6:$AJ$85,3,FALSE),"")</f>
        <v/>
      </c>
      <c r="H1195" t="str">
        <f>IFERROR(VLOOKUP(B1195,'Pre-Summary'!$AE$6:$AJ$85,4,FALSE),"")</f>
        <v/>
      </c>
      <c r="I1195" t="str">
        <f>IFERROR(VLOOKUP(B1195,'Pre-Summary'!$AE$6:$AJ$85,5,FALSE),"")</f>
        <v/>
      </c>
      <c r="J1195" s="45" t="str">
        <f>IFERROR(VLOOKUP(B1195,'Pre-Summary'!$AE$6:$AJ$85,6, FALSE),"")</f>
        <v/>
      </c>
      <c r="K1195" s="45" t="str">
        <f>IFERROR(VLOOKUP(B1195,'Pre-Summary'!$DE$6:$DG$61,3,FALSE),"")</f>
        <v/>
      </c>
      <c r="L1195" s="45" t="str">
        <f>IFERROR(VLOOKUP(B1195,'Pre-Summary'!$CU$6:$CW$36,3,FALSE),"")</f>
        <v/>
      </c>
      <c r="M1195" s="45" t="str">
        <f>IFERROR(VLOOKUP(B1195,'Pre-Summary'!$BW$6:$BY$58,2,FALSE),"")</f>
        <v/>
      </c>
      <c r="N1195" s="45" t="str">
        <f>IFERROR(VLOOKUP(B1195,'Pre-Summary'!$CD$6:$CF$64,2,FALSE),"")</f>
        <v/>
      </c>
      <c r="O1195" s="99">
        <f>IFERROR(VLOOKUP(B1195,'Pre-Summary'!$BO$6:$BQ$48,3, FALSE),O1194)</f>
        <v>1.2</v>
      </c>
      <c r="P1195" s="99">
        <f>IFERROR(VLOOKUP(B1195,'Pre-Summary'!$BS$6:$BU$35,3,FALSE),P1194)</f>
        <v>0.3</v>
      </c>
      <c r="Q1195" s="54">
        <f t="shared" si="54"/>
        <v>4</v>
      </c>
      <c r="R1195" s="53">
        <f>IFERROR(VLOOKUP(B1195,'Pre-Summary'!$BG$6:$BM$44,7,FALSE),R1196)</f>
        <v>7.6574939085447311E-2</v>
      </c>
      <c r="S1195" s="53">
        <f>IFERROR(VLOOKUP(B1195,'Pre-Summary'!$BG$6:$BM$44,6,FALSE),S1196)</f>
        <v>6.8761751275839902E-2</v>
      </c>
      <c r="T1195" s="45" t="str">
        <f>IFERROR(VLOOKUP(B1195,'Pre-Summary'!$Y$6:$AC$83, 3,FALSE),"")</f>
        <v/>
      </c>
      <c r="U1195" s="45" t="str">
        <f>IFERROR(VLOOKUP(B1195,'Pre-Summary'!$Y$6:$AC$83, 4,FALSE),"")</f>
        <v/>
      </c>
      <c r="V1195" t="str">
        <f>IFERROR(VLOOKUP(B1195,'Pre-Summary'!$Y$6:$AC$83, 5,FALSE),"")</f>
        <v/>
      </c>
      <c r="W1195" s="45" t="str">
        <f>IFERROR(VLOOKUP(B1195,'Pre-Summary'!$Y$6:$AD$83,6,FALSE),"")</f>
        <v/>
      </c>
      <c r="X1195" t="str">
        <f>IFERROR(VLOOKUP('Pre-Summary'!$DB$6:$DD$63,3,FALSE),"")</f>
        <v/>
      </c>
      <c r="Y1195" t="str">
        <f>IFERROR(VLOOKUP(B1195,'Pre-Summary'!$CR$6:$CT$36,3,FALSE),"")</f>
        <v/>
      </c>
      <c r="Z1195" s="45" t="str">
        <f>IFERROR(VLOOKUP(B1195,'Pre-Summary'!$BZ$6:$CB$63,2,FALSE),"")</f>
        <v/>
      </c>
      <c r="AA1195" s="45" t="str">
        <f>IFERROR(VLOOKUP(B1195,'Pre-Summary'!$CG$6:$CI$70,2,FALSE),"")</f>
        <v/>
      </c>
      <c r="AB1195" s="99">
        <f>IFERROR(VLOOKUP(B1195,'Pre-Summary'!$A$6:$P$178,9,FALSE),AB1196)</f>
        <v>0.28466705399875358</v>
      </c>
      <c r="AC1195" s="10">
        <f>IFERROR(VLOOKUP(Summary!B1195,'Pre-Summary'!$A$6:$P$184,5, FALSE)/100,AC1196)</f>
        <v>0.95201066666666678</v>
      </c>
      <c r="AD1195" s="10">
        <f>IFERROR(VLOOKUP(Summary!B1195,'Pre-Summary'!$A$6:$P$184,3, FALSE)/100,AD1196)</f>
        <v>6.9433333333333335E-3</v>
      </c>
      <c r="AE1195" s="10">
        <f>IFERROR(VLOOKUP(Summary!B1195,'Pre-Summary'!$A$6:$P$184,7, FALSE)/100,AE1196)</f>
        <v>4.1046000000000006E-2</v>
      </c>
      <c r="AF1195" s="99">
        <f t="shared" si="55"/>
        <v>1.9765382449313459E-3</v>
      </c>
      <c r="AG1195" s="99">
        <f t="shared" si="56"/>
        <v>1.1684443898432841E-2</v>
      </c>
      <c r="AH1195" s="10" t="str">
        <f>IFERROR(VLOOKUP(B1195,'Pre-Summary'!$AZ$6:$BE$65,3,FALSE),"")</f>
        <v/>
      </c>
      <c r="AI1195" s="10" t="str">
        <f>IFERROR(VLOOKUP(B1195,'Pre-Summary'!$AZ$6:$BE$65,5,FALSE),"")</f>
        <v/>
      </c>
      <c r="AJ1195" s="10" t="str">
        <f>IFERROR(VLOOKUP(B1195,'Pre-Summary'!$AZ$6:$BE$65,4,FALSE),"")</f>
        <v/>
      </c>
      <c r="AK1195" s="10" t="str">
        <f>IFERROR(VLOOKUP(B1195,'Pre-Summary'!$AZ$6:$BE$65,6,FALSE),"")</f>
        <v/>
      </c>
      <c r="AL1195" s="10" t="str">
        <f>IFERROR(VLOOKUP(B1195,'Pre-Summary'!$BG$6:$BL$44,3,FALSE),"")</f>
        <v/>
      </c>
      <c r="AM1195" s="10" t="str">
        <f>IFERROR(VLOOKUP(B1195,'Pre-Summary'!$BG$6:$BL$44,4,FALSE),"")</f>
        <v/>
      </c>
    </row>
    <row r="1196" spans="2:39" ht="15" customHeight="1" x14ac:dyDescent="0.3">
      <c r="B1196">
        <v>119.3</v>
      </c>
      <c r="C1196" t="str">
        <f>IFERROR(VLOOKUP(B1196,'Pre-Summary'!$DI$6:$DM$23,4,FALSE),"")</f>
        <v/>
      </c>
      <c r="D1196" s="10" t="str">
        <f>IFERROR(VLOOKUP(B1196,'Pre-Summary'!$AT$6:$AX$14,5,FALSE),D1195)</f>
        <v>DSMZ v4: dropped out methanol</v>
      </c>
      <c r="E1196" s="10" t="str">
        <f>IFERROR(VLOOKUP(B1196,'Pre-Summary'!$AT$6:$AX$15,4,FALSE),"")</f>
        <v/>
      </c>
      <c r="F1196">
        <f>IFERROR(VLOOKUP(B1196,'Pre-Summary'!$AL$6:$AQ$13,6,FALSE),F1195)</f>
        <v>5.9405263157894746E-2</v>
      </c>
      <c r="G1196" t="str">
        <f>IFERROR(VLOOKUP(B1196,'Pre-Summary'!$AE$6:$AJ$85,3,FALSE),"")</f>
        <v/>
      </c>
      <c r="H1196" t="str">
        <f>IFERROR(VLOOKUP(B1196,'Pre-Summary'!$AE$6:$AJ$85,4,FALSE),"")</f>
        <v/>
      </c>
      <c r="I1196" t="str">
        <f>IFERROR(VLOOKUP(B1196,'Pre-Summary'!$AE$6:$AJ$85,5,FALSE),"")</f>
        <v/>
      </c>
      <c r="J1196" s="45" t="str">
        <f>IFERROR(VLOOKUP(B1196,'Pre-Summary'!$AE$6:$AJ$85,6, FALSE),"")</f>
        <v/>
      </c>
      <c r="K1196" s="45" t="str">
        <f>IFERROR(VLOOKUP(B1196,'Pre-Summary'!$DE$6:$DG$61,3,FALSE),"")</f>
        <v/>
      </c>
      <c r="L1196" s="45" t="str">
        <f>IFERROR(VLOOKUP(B1196,'Pre-Summary'!$CU$6:$CW$36,3,FALSE),"")</f>
        <v/>
      </c>
      <c r="M1196" s="45" t="str">
        <f>IFERROR(VLOOKUP(B1196,'Pre-Summary'!$BW$6:$BY$58,2,FALSE),"")</f>
        <v/>
      </c>
      <c r="N1196" s="45" t="str">
        <f>IFERROR(VLOOKUP(B1196,'Pre-Summary'!$CD$6:$CF$64,2,FALSE),"")</f>
        <v/>
      </c>
      <c r="O1196" s="99">
        <f>IFERROR(VLOOKUP(B1196,'Pre-Summary'!$BO$6:$BQ$48,3, FALSE),O1195)</f>
        <v>1.2</v>
      </c>
      <c r="P1196" s="99">
        <f>IFERROR(VLOOKUP(B1196,'Pre-Summary'!$BS$6:$BU$35,3,FALSE),P1195)</f>
        <v>0.3</v>
      </c>
      <c r="Q1196" s="54">
        <f t="shared" si="54"/>
        <v>4</v>
      </c>
      <c r="R1196" s="53">
        <f>IFERROR(VLOOKUP(B1196,'Pre-Summary'!$BG$6:$BM$44,7,FALSE),R1197)</f>
        <v>7.6574939085447311E-2</v>
      </c>
      <c r="S1196" s="53">
        <f>IFERROR(VLOOKUP(B1196,'Pre-Summary'!$BG$6:$BM$44,6,FALSE),S1197)</f>
        <v>6.8761751275839902E-2</v>
      </c>
      <c r="T1196" s="45" t="str">
        <f>IFERROR(VLOOKUP(B1196,'Pre-Summary'!$Y$6:$AC$83, 3,FALSE),"")</f>
        <v/>
      </c>
      <c r="U1196" s="45" t="str">
        <f>IFERROR(VLOOKUP(B1196,'Pre-Summary'!$Y$6:$AC$83, 4,FALSE),"")</f>
        <v/>
      </c>
      <c r="V1196" t="str">
        <f>IFERROR(VLOOKUP(B1196,'Pre-Summary'!$Y$6:$AC$83, 5,FALSE),"")</f>
        <v/>
      </c>
      <c r="W1196" s="45" t="str">
        <f>IFERROR(VLOOKUP(B1196,'Pre-Summary'!$Y$6:$AD$83,6,FALSE),"")</f>
        <v/>
      </c>
      <c r="X1196" t="str">
        <f>IFERROR(VLOOKUP('Pre-Summary'!$DB$6:$DD$63,3,FALSE),"")</f>
        <v/>
      </c>
      <c r="Y1196" t="str">
        <f>IFERROR(VLOOKUP(B1196,'Pre-Summary'!$CR$6:$CT$36,3,FALSE),"")</f>
        <v/>
      </c>
      <c r="Z1196" s="45" t="str">
        <f>IFERROR(VLOOKUP(B1196,'Pre-Summary'!$BZ$6:$CB$63,2,FALSE),"")</f>
        <v/>
      </c>
      <c r="AA1196" s="45" t="str">
        <f>IFERROR(VLOOKUP(B1196,'Pre-Summary'!$CG$6:$CI$70,2,FALSE),"")</f>
        <v/>
      </c>
      <c r="AB1196" s="99">
        <f>IFERROR(VLOOKUP(B1196,'Pre-Summary'!$A$6:$P$178,9,FALSE),AB1197)</f>
        <v>0.28466705399875358</v>
      </c>
      <c r="AC1196" s="10">
        <f>IFERROR(VLOOKUP(Summary!B1196,'Pre-Summary'!$A$6:$P$184,5, FALSE)/100,AC1197)</f>
        <v>0.95201066666666678</v>
      </c>
      <c r="AD1196" s="10">
        <f>IFERROR(VLOOKUP(Summary!B1196,'Pre-Summary'!$A$6:$P$184,3, FALSE)/100,AD1197)</f>
        <v>6.9433333333333335E-3</v>
      </c>
      <c r="AE1196" s="10">
        <f>IFERROR(VLOOKUP(Summary!B1196,'Pre-Summary'!$A$6:$P$184,7, FALSE)/100,AE1197)</f>
        <v>4.1046000000000006E-2</v>
      </c>
      <c r="AF1196" s="99">
        <f t="shared" si="55"/>
        <v>1.9765382449313459E-3</v>
      </c>
      <c r="AG1196" s="99">
        <f t="shared" si="56"/>
        <v>1.1684443898432841E-2</v>
      </c>
      <c r="AH1196" s="10" t="str">
        <f>IFERROR(VLOOKUP(B1196,'Pre-Summary'!$AZ$6:$BE$65,3,FALSE),"")</f>
        <v/>
      </c>
      <c r="AI1196" s="10" t="str">
        <f>IFERROR(VLOOKUP(B1196,'Pre-Summary'!$AZ$6:$BE$65,5,FALSE),"")</f>
        <v/>
      </c>
      <c r="AJ1196" s="10" t="str">
        <f>IFERROR(VLOOKUP(B1196,'Pre-Summary'!$AZ$6:$BE$65,4,FALSE),"")</f>
        <v/>
      </c>
      <c r="AK1196" s="10" t="str">
        <f>IFERROR(VLOOKUP(B1196,'Pre-Summary'!$AZ$6:$BE$65,6,FALSE),"")</f>
        <v/>
      </c>
      <c r="AL1196" s="10" t="str">
        <f>IFERROR(VLOOKUP(B1196,'Pre-Summary'!$BG$6:$BL$44,3,FALSE),"")</f>
        <v/>
      </c>
      <c r="AM1196" s="10" t="str">
        <f>IFERROR(VLOOKUP(B1196,'Pre-Summary'!$BG$6:$BL$44,4,FALSE),"")</f>
        <v/>
      </c>
    </row>
    <row r="1197" spans="2:39" ht="15" customHeight="1" x14ac:dyDescent="0.3">
      <c r="B1197">
        <v>119.4</v>
      </c>
      <c r="C1197" t="str">
        <f>IFERROR(VLOOKUP(B1197,'Pre-Summary'!$DI$6:$DM$23,4,FALSE),"")</f>
        <v/>
      </c>
      <c r="D1197" s="10" t="str">
        <f>IFERROR(VLOOKUP(B1197,'Pre-Summary'!$AT$6:$AX$14,5,FALSE),D1196)</f>
        <v>DSMZ v4: dropped out methanol</v>
      </c>
      <c r="E1197" s="10" t="str">
        <f>IFERROR(VLOOKUP(B1197,'Pre-Summary'!$AT$6:$AX$15,4,FALSE),"")</f>
        <v/>
      </c>
      <c r="F1197">
        <f>IFERROR(VLOOKUP(B1197,'Pre-Summary'!$AL$6:$AQ$13,6,FALSE),F1196)</f>
        <v>5.9405263157894746E-2</v>
      </c>
      <c r="G1197" t="str">
        <f>IFERROR(VLOOKUP(B1197,'Pre-Summary'!$AE$6:$AJ$85,3,FALSE),"")</f>
        <v/>
      </c>
      <c r="H1197" t="str">
        <f>IFERROR(VLOOKUP(B1197,'Pre-Summary'!$AE$6:$AJ$85,4,FALSE),"")</f>
        <v/>
      </c>
      <c r="I1197" t="str">
        <f>IFERROR(VLOOKUP(B1197,'Pre-Summary'!$AE$6:$AJ$85,5,FALSE),"")</f>
        <v/>
      </c>
      <c r="J1197" s="45" t="str">
        <f>IFERROR(VLOOKUP(B1197,'Pre-Summary'!$AE$6:$AJ$85,6, FALSE),"")</f>
        <v/>
      </c>
      <c r="K1197" s="45" t="str">
        <f>IFERROR(VLOOKUP(B1197,'Pre-Summary'!$DE$6:$DG$61,3,FALSE),"")</f>
        <v/>
      </c>
      <c r="L1197" s="45" t="str">
        <f>IFERROR(VLOOKUP(B1197,'Pre-Summary'!$CU$6:$CW$36,3,FALSE),"")</f>
        <v/>
      </c>
      <c r="M1197" s="45" t="str">
        <f>IFERROR(VLOOKUP(B1197,'Pre-Summary'!$BW$6:$BY$58,2,FALSE),"")</f>
        <v/>
      </c>
      <c r="N1197" s="45" t="str">
        <f>IFERROR(VLOOKUP(B1197,'Pre-Summary'!$CD$6:$CF$64,2,FALSE),"")</f>
        <v/>
      </c>
      <c r="O1197" s="99">
        <f>IFERROR(VLOOKUP(B1197,'Pre-Summary'!$BO$6:$BQ$48,3, FALSE),O1196)</f>
        <v>1.2</v>
      </c>
      <c r="P1197" s="99">
        <f>IFERROR(VLOOKUP(B1197,'Pre-Summary'!$BS$6:$BU$35,3,FALSE),P1196)</f>
        <v>0.3</v>
      </c>
      <c r="Q1197" s="54">
        <f t="shared" si="54"/>
        <v>4</v>
      </c>
      <c r="R1197" s="53">
        <f>IFERROR(VLOOKUP(B1197,'Pre-Summary'!$BG$6:$BM$44,7,FALSE),R1198)</f>
        <v>7.6574939085447311E-2</v>
      </c>
      <c r="S1197" s="53">
        <f>IFERROR(VLOOKUP(B1197,'Pre-Summary'!$BG$6:$BM$44,6,FALSE),S1198)</f>
        <v>6.8761751275839902E-2</v>
      </c>
      <c r="T1197" s="45" t="str">
        <f>IFERROR(VLOOKUP(B1197,'Pre-Summary'!$Y$6:$AC$83, 3,FALSE),"")</f>
        <v/>
      </c>
      <c r="U1197" s="45" t="str">
        <f>IFERROR(VLOOKUP(B1197,'Pre-Summary'!$Y$6:$AC$83, 4,FALSE),"")</f>
        <v/>
      </c>
      <c r="V1197" t="str">
        <f>IFERROR(VLOOKUP(B1197,'Pre-Summary'!$Y$6:$AC$83, 5,FALSE),"")</f>
        <v/>
      </c>
      <c r="W1197" s="45" t="str">
        <f>IFERROR(VLOOKUP(B1197,'Pre-Summary'!$Y$6:$AD$83,6,FALSE),"")</f>
        <v/>
      </c>
      <c r="X1197" t="str">
        <f>IFERROR(VLOOKUP('Pre-Summary'!$DB$6:$DD$63,3,FALSE),"")</f>
        <v/>
      </c>
      <c r="Y1197" t="str">
        <f>IFERROR(VLOOKUP(B1197,'Pre-Summary'!$CR$6:$CT$36,3,FALSE),"")</f>
        <v/>
      </c>
      <c r="Z1197" s="45" t="str">
        <f>IFERROR(VLOOKUP(B1197,'Pre-Summary'!$BZ$6:$CB$63,2,FALSE),"")</f>
        <v/>
      </c>
      <c r="AA1197" s="45" t="str">
        <f>IFERROR(VLOOKUP(B1197,'Pre-Summary'!$CG$6:$CI$70,2,FALSE),"")</f>
        <v/>
      </c>
      <c r="AB1197" s="99">
        <f>IFERROR(VLOOKUP(B1197,'Pre-Summary'!$A$6:$P$178,9,FALSE),AB1198)</f>
        <v>0.28466705399875358</v>
      </c>
      <c r="AC1197" s="10">
        <f>IFERROR(VLOOKUP(Summary!B1197,'Pre-Summary'!$A$6:$P$184,5, FALSE)/100,AC1198)</f>
        <v>0.95201066666666678</v>
      </c>
      <c r="AD1197" s="10">
        <f>IFERROR(VLOOKUP(Summary!B1197,'Pre-Summary'!$A$6:$P$184,3, FALSE)/100,AD1198)</f>
        <v>6.9433333333333335E-3</v>
      </c>
      <c r="AE1197" s="10">
        <f>IFERROR(VLOOKUP(Summary!B1197,'Pre-Summary'!$A$6:$P$184,7, FALSE)/100,AE1198)</f>
        <v>4.1046000000000006E-2</v>
      </c>
      <c r="AF1197" s="99">
        <f t="shared" si="55"/>
        <v>1.9765382449313459E-3</v>
      </c>
      <c r="AG1197" s="99">
        <f t="shared" si="56"/>
        <v>1.1684443898432841E-2</v>
      </c>
      <c r="AH1197" s="10" t="str">
        <f>IFERROR(VLOOKUP(B1197,'Pre-Summary'!$AZ$6:$BE$65,3,FALSE),"")</f>
        <v/>
      </c>
      <c r="AI1197" s="10" t="str">
        <f>IFERROR(VLOOKUP(B1197,'Pre-Summary'!$AZ$6:$BE$65,5,FALSE),"")</f>
        <v/>
      </c>
      <c r="AJ1197" s="10" t="str">
        <f>IFERROR(VLOOKUP(B1197,'Pre-Summary'!$AZ$6:$BE$65,4,FALSE),"")</f>
        <v/>
      </c>
      <c r="AK1197" s="10" t="str">
        <f>IFERROR(VLOOKUP(B1197,'Pre-Summary'!$AZ$6:$BE$65,6,FALSE),"")</f>
        <v/>
      </c>
      <c r="AL1197" s="10" t="str">
        <f>IFERROR(VLOOKUP(B1197,'Pre-Summary'!$BG$6:$BL$44,3,FALSE),"")</f>
        <v/>
      </c>
      <c r="AM1197" s="10" t="str">
        <f>IFERROR(VLOOKUP(B1197,'Pre-Summary'!$BG$6:$BL$44,4,FALSE),"")</f>
        <v/>
      </c>
    </row>
    <row r="1198" spans="2:39" ht="15" customHeight="1" x14ac:dyDescent="0.3">
      <c r="B1198">
        <v>119.5</v>
      </c>
      <c r="C1198" t="str">
        <f>IFERROR(VLOOKUP(B1198,'Pre-Summary'!$DI$6:$DM$23,4,FALSE),"")</f>
        <v/>
      </c>
      <c r="D1198" s="10" t="str">
        <f>IFERROR(VLOOKUP(B1198,'Pre-Summary'!$AT$6:$AX$14,5,FALSE),D1197)</f>
        <v>DSMZ v4: dropped out methanol</v>
      </c>
      <c r="E1198" s="10" t="str">
        <f>IFERROR(VLOOKUP(B1198,'Pre-Summary'!$AT$6:$AX$15,4,FALSE),"")</f>
        <v/>
      </c>
      <c r="F1198">
        <f>IFERROR(VLOOKUP(B1198,'Pre-Summary'!$AL$6:$AQ$13,6,FALSE),F1197)</f>
        <v>5.9405263157894746E-2</v>
      </c>
      <c r="G1198" t="str">
        <f>IFERROR(VLOOKUP(B1198,'Pre-Summary'!$AE$6:$AJ$85,3,FALSE),"")</f>
        <v/>
      </c>
      <c r="H1198" t="str">
        <f>IFERROR(VLOOKUP(B1198,'Pre-Summary'!$AE$6:$AJ$85,4,FALSE),"")</f>
        <v/>
      </c>
      <c r="I1198" t="str">
        <f>IFERROR(VLOOKUP(B1198,'Pre-Summary'!$AE$6:$AJ$85,5,FALSE),"")</f>
        <v/>
      </c>
      <c r="J1198" s="45" t="str">
        <f>IFERROR(VLOOKUP(B1198,'Pre-Summary'!$AE$6:$AJ$85,6, FALSE),"")</f>
        <v/>
      </c>
      <c r="K1198" s="45" t="str">
        <f>IFERROR(VLOOKUP(B1198,'Pre-Summary'!$DE$6:$DG$61,3,FALSE),"")</f>
        <v/>
      </c>
      <c r="L1198" s="45" t="str">
        <f>IFERROR(VLOOKUP(B1198,'Pre-Summary'!$CU$6:$CW$36,3,FALSE),"")</f>
        <v/>
      </c>
      <c r="M1198" s="45" t="str">
        <f>IFERROR(VLOOKUP(B1198,'Pre-Summary'!$BW$6:$BY$58,2,FALSE),"")</f>
        <v/>
      </c>
      <c r="N1198" s="45" t="str">
        <f>IFERROR(VLOOKUP(B1198,'Pre-Summary'!$CD$6:$CF$64,2,FALSE),"")</f>
        <v/>
      </c>
      <c r="O1198" s="99">
        <f>IFERROR(VLOOKUP(B1198,'Pre-Summary'!$BO$6:$BQ$48,3, FALSE),O1197)</f>
        <v>1.2</v>
      </c>
      <c r="P1198" s="99">
        <f>IFERROR(VLOOKUP(B1198,'Pre-Summary'!$BS$6:$BU$35,3,FALSE),P1197)</f>
        <v>0.3</v>
      </c>
      <c r="Q1198" s="54">
        <f t="shared" si="54"/>
        <v>4</v>
      </c>
      <c r="R1198" s="53">
        <f>IFERROR(VLOOKUP(B1198,'Pre-Summary'!$BG$6:$BM$44,7,FALSE),R1199)</f>
        <v>7.6574939085447311E-2</v>
      </c>
      <c r="S1198" s="53">
        <f>IFERROR(VLOOKUP(B1198,'Pre-Summary'!$BG$6:$BM$44,6,FALSE),S1199)</f>
        <v>6.8761751275839902E-2</v>
      </c>
      <c r="T1198" s="45" t="str">
        <f>IFERROR(VLOOKUP(B1198,'Pre-Summary'!$Y$6:$AC$83, 3,FALSE),"")</f>
        <v/>
      </c>
      <c r="U1198" s="45" t="str">
        <f>IFERROR(VLOOKUP(B1198,'Pre-Summary'!$Y$6:$AC$83, 4,FALSE),"")</f>
        <v/>
      </c>
      <c r="V1198" t="str">
        <f>IFERROR(VLOOKUP(B1198,'Pre-Summary'!$Y$6:$AC$83, 5,FALSE),"")</f>
        <v/>
      </c>
      <c r="W1198" s="45" t="str">
        <f>IFERROR(VLOOKUP(B1198,'Pre-Summary'!$Y$6:$AD$83,6,FALSE),"")</f>
        <v/>
      </c>
      <c r="X1198" t="str">
        <f>IFERROR(VLOOKUP('Pre-Summary'!$DB$6:$DD$63,3,FALSE),"")</f>
        <v/>
      </c>
      <c r="Y1198" t="str">
        <f>IFERROR(VLOOKUP(B1198,'Pre-Summary'!$CR$6:$CT$36,3,FALSE),"")</f>
        <v/>
      </c>
      <c r="Z1198" s="45" t="str">
        <f>IFERROR(VLOOKUP(B1198,'Pre-Summary'!$BZ$6:$CB$63,2,FALSE),"")</f>
        <v/>
      </c>
      <c r="AA1198" s="45" t="str">
        <f>IFERROR(VLOOKUP(B1198,'Pre-Summary'!$CG$6:$CI$70,2,FALSE),"")</f>
        <v/>
      </c>
      <c r="AB1198" s="99">
        <f>IFERROR(VLOOKUP(B1198,'Pre-Summary'!$A$6:$P$178,9,FALSE),AB1199)</f>
        <v>0.28466705399875358</v>
      </c>
      <c r="AC1198" s="10">
        <f>IFERROR(VLOOKUP(Summary!B1198,'Pre-Summary'!$A$6:$P$184,5, FALSE)/100,AC1199)</f>
        <v>0.95201066666666678</v>
      </c>
      <c r="AD1198" s="10">
        <f>IFERROR(VLOOKUP(Summary!B1198,'Pre-Summary'!$A$6:$P$184,3, FALSE)/100,AD1199)</f>
        <v>6.9433333333333335E-3</v>
      </c>
      <c r="AE1198" s="10">
        <f>IFERROR(VLOOKUP(Summary!B1198,'Pre-Summary'!$A$6:$P$184,7, FALSE)/100,AE1199)</f>
        <v>4.1046000000000006E-2</v>
      </c>
      <c r="AF1198" s="99">
        <f t="shared" si="55"/>
        <v>1.9765382449313459E-3</v>
      </c>
      <c r="AG1198" s="99">
        <f t="shared" si="56"/>
        <v>1.1684443898432841E-2</v>
      </c>
      <c r="AH1198" s="10" t="str">
        <f>IFERROR(VLOOKUP(B1198,'Pre-Summary'!$AZ$6:$BE$65,3,FALSE),"")</f>
        <v/>
      </c>
      <c r="AI1198" s="10" t="str">
        <f>IFERROR(VLOOKUP(B1198,'Pre-Summary'!$AZ$6:$BE$65,5,FALSE),"")</f>
        <v/>
      </c>
      <c r="AJ1198" s="10" t="str">
        <f>IFERROR(VLOOKUP(B1198,'Pre-Summary'!$AZ$6:$BE$65,4,FALSE),"")</f>
        <v/>
      </c>
      <c r="AK1198" s="10" t="str">
        <f>IFERROR(VLOOKUP(B1198,'Pre-Summary'!$AZ$6:$BE$65,6,FALSE),"")</f>
        <v/>
      </c>
      <c r="AL1198" s="10" t="str">
        <f>IFERROR(VLOOKUP(B1198,'Pre-Summary'!$BG$6:$BL$44,3,FALSE),"")</f>
        <v/>
      </c>
      <c r="AM1198" s="10" t="str">
        <f>IFERROR(VLOOKUP(B1198,'Pre-Summary'!$BG$6:$BL$44,4,FALSE),"")</f>
        <v/>
      </c>
    </row>
    <row r="1199" spans="2:39" ht="15" customHeight="1" x14ac:dyDescent="0.3">
      <c r="B1199">
        <v>119.6</v>
      </c>
      <c r="C1199" t="str">
        <f>IFERROR(VLOOKUP(B1199,'Pre-Summary'!$DI$6:$DM$23,4,FALSE),"")</f>
        <v/>
      </c>
      <c r="D1199" s="10" t="str">
        <f>IFERROR(VLOOKUP(B1199,'Pre-Summary'!$AT$6:$AX$14,5,FALSE),D1198)</f>
        <v>DSMZ v4: dropped out methanol</v>
      </c>
      <c r="E1199" s="10" t="str">
        <f>IFERROR(VLOOKUP(B1199,'Pre-Summary'!$AT$6:$AX$15,4,FALSE),"")</f>
        <v/>
      </c>
      <c r="F1199">
        <f>IFERROR(VLOOKUP(B1199,'Pre-Summary'!$AL$6:$AQ$13,6,FALSE),F1198)</f>
        <v>5.9405263157894746E-2</v>
      </c>
      <c r="G1199" t="str">
        <f>IFERROR(VLOOKUP(B1199,'Pre-Summary'!$AE$6:$AJ$85,3,FALSE),"")</f>
        <v/>
      </c>
      <c r="H1199" t="str">
        <f>IFERROR(VLOOKUP(B1199,'Pre-Summary'!$AE$6:$AJ$85,4,FALSE),"")</f>
        <v/>
      </c>
      <c r="I1199" t="str">
        <f>IFERROR(VLOOKUP(B1199,'Pre-Summary'!$AE$6:$AJ$85,5,FALSE),"")</f>
        <v/>
      </c>
      <c r="J1199" s="45" t="str">
        <f>IFERROR(VLOOKUP(B1199,'Pre-Summary'!$AE$6:$AJ$85,6, FALSE),"")</f>
        <v/>
      </c>
      <c r="K1199" s="45" t="str">
        <f>IFERROR(VLOOKUP(B1199,'Pre-Summary'!$DE$6:$DG$61,3,FALSE),"")</f>
        <v/>
      </c>
      <c r="L1199" s="45" t="str">
        <f>IFERROR(VLOOKUP(B1199,'Pre-Summary'!$CU$6:$CW$36,3,FALSE),"")</f>
        <v/>
      </c>
      <c r="M1199" s="45" t="str">
        <f>IFERROR(VLOOKUP(B1199,'Pre-Summary'!$BW$6:$BY$58,2,FALSE),"")</f>
        <v/>
      </c>
      <c r="N1199" s="45" t="str">
        <f>IFERROR(VLOOKUP(B1199,'Pre-Summary'!$CD$6:$CF$64,2,FALSE),"")</f>
        <v/>
      </c>
      <c r="O1199" s="99">
        <f>IFERROR(VLOOKUP(B1199,'Pre-Summary'!$BO$6:$BQ$48,3, FALSE),O1198)</f>
        <v>1.2</v>
      </c>
      <c r="P1199" s="99">
        <f>IFERROR(VLOOKUP(B1199,'Pre-Summary'!$BS$6:$BU$35,3,FALSE),P1198)</f>
        <v>0.3</v>
      </c>
      <c r="Q1199" s="54">
        <f t="shared" si="54"/>
        <v>4</v>
      </c>
      <c r="R1199" s="53">
        <f>IFERROR(VLOOKUP(B1199,'Pre-Summary'!$BG$6:$BM$44,7,FALSE),R1200)</f>
        <v>7.6574939085447311E-2</v>
      </c>
      <c r="S1199" s="53">
        <f>IFERROR(VLOOKUP(B1199,'Pre-Summary'!$BG$6:$BM$44,6,FALSE),S1200)</f>
        <v>6.8761751275839902E-2</v>
      </c>
      <c r="T1199" s="45" t="str">
        <f>IFERROR(VLOOKUP(B1199,'Pre-Summary'!$Y$6:$AC$83, 3,FALSE),"")</f>
        <v/>
      </c>
      <c r="U1199" s="45" t="str">
        <f>IFERROR(VLOOKUP(B1199,'Pre-Summary'!$Y$6:$AC$83, 4,FALSE),"")</f>
        <v/>
      </c>
      <c r="V1199" t="str">
        <f>IFERROR(VLOOKUP(B1199,'Pre-Summary'!$Y$6:$AC$83, 5,FALSE),"")</f>
        <v/>
      </c>
      <c r="W1199" s="45" t="str">
        <f>IFERROR(VLOOKUP(B1199,'Pre-Summary'!$Y$6:$AD$83,6,FALSE),"")</f>
        <v/>
      </c>
      <c r="X1199" t="str">
        <f>IFERROR(VLOOKUP('Pre-Summary'!$DB$6:$DD$63,3,FALSE),"")</f>
        <v/>
      </c>
      <c r="Y1199" t="str">
        <f>IFERROR(VLOOKUP(B1199,'Pre-Summary'!$CR$6:$CT$36,3,FALSE),"")</f>
        <v/>
      </c>
      <c r="Z1199" s="45" t="str">
        <f>IFERROR(VLOOKUP(B1199,'Pre-Summary'!$BZ$6:$CB$63,2,FALSE),"")</f>
        <v/>
      </c>
      <c r="AA1199" s="45" t="str">
        <f>IFERROR(VLOOKUP(B1199,'Pre-Summary'!$CG$6:$CI$70,2,FALSE),"")</f>
        <v/>
      </c>
      <c r="AB1199" s="99">
        <f>IFERROR(VLOOKUP(B1199,'Pre-Summary'!$A$6:$P$178,9,FALSE),AB1200)</f>
        <v>0.28466705399875358</v>
      </c>
      <c r="AC1199" s="10">
        <f>IFERROR(VLOOKUP(Summary!B1199,'Pre-Summary'!$A$6:$P$184,5, FALSE)/100,AC1200)</f>
        <v>0.95201066666666678</v>
      </c>
      <c r="AD1199" s="10">
        <f>IFERROR(VLOOKUP(Summary!B1199,'Pre-Summary'!$A$6:$P$184,3, FALSE)/100,AD1200)</f>
        <v>6.9433333333333335E-3</v>
      </c>
      <c r="AE1199" s="10">
        <f>IFERROR(VLOOKUP(Summary!B1199,'Pre-Summary'!$A$6:$P$184,7, FALSE)/100,AE1200)</f>
        <v>4.1046000000000006E-2</v>
      </c>
      <c r="AF1199" s="99">
        <f t="shared" si="55"/>
        <v>1.9765382449313459E-3</v>
      </c>
      <c r="AG1199" s="99">
        <f t="shared" si="56"/>
        <v>1.1684443898432841E-2</v>
      </c>
      <c r="AH1199" s="10" t="str">
        <f>IFERROR(VLOOKUP(B1199,'Pre-Summary'!$AZ$6:$BE$65,3,FALSE),"")</f>
        <v/>
      </c>
      <c r="AI1199" s="10" t="str">
        <f>IFERROR(VLOOKUP(B1199,'Pre-Summary'!$AZ$6:$BE$65,5,FALSE),"")</f>
        <v/>
      </c>
      <c r="AJ1199" s="10" t="str">
        <f>IFERROR(VLOOKUP(B1199,'Pre-Summary'!$AZ$6:$BE$65,4,FALSE),"")</f>
        <v/>
      </c>
      <c r="AK1199" s="10" t="str">
        <f>IFERROR(VLOOKUP(B1199,'Pre-Summary'!$AZ$6:$BE$65,6,FALSE),"")</f>
        <v/>
      </c>
      <c r="AL1199" s="10" t="str">
        <f>IFERROR(VLOOKUP(B1199,'Pre-Summary'!$BG$6:$BL$44,3,FALSE),"")</f>
        <v/>
      </c>
      <c r="AM1199" s="10" t="str">
        <f>IFERROR(VLOOKUP(B1199,'Pre-Summary'!$BG$6:$BL$44,4,FALSE),"")</f>
        <v/>
      </c>
    </row>
    <row r="1200" spans="2:39" ht="15" customHeight="1" x14ac:dyDescent="0.3">
      <c r="B1200">
        <v>119.7</v>
      </c>
      <c r="C1200" t="str">
        <f>IFERROR(VLOOKUP(B1200,'Pre-Summary'!$DI$6:$DM$23,4,FALSE),"")</f>
        <v/>
      </c>
      <c r="D1200" s="10" t="str">
        <f>IFERROR(VLOOKUP(B1200,'Pre-Summary'!$AT$6:$AX$14,5,FALSE),D1199)</f>
        <v>DSMZ v4: dropped out methanol</v>
      </c>
      <c r="E1200" s="10" t="str">
        <f>IFERROR(VLOOKUP(B1200,'Pre-Summary'!$AT$6:$AX$15,4,FALSE),"")</f>
        <v/>
      </c>
      <c r="F1200">
        <f>IFERROR(VLOOKUP(B1200,'Pre-Summary'!$AL$6:$AQ$13,6,FALSE),F1199)</f>
        <v>5.9405263157894746E-2</v>
      </c>
      <c r="G1200" t="str">
        <f>IFERROR(VLOOKUP(B1200,'Pre-Summary'!$AE$6:$AJ$85,3,FALSE),"")</f>
        <v/>
      </c>
      <c r="H1200" t="str">
        <f>IFERROR(VLOOKUP(B1200,'Pre-Summary'!$AE$6:$AJ$85,4,FALSE),"")</f>
        <v/>
      </c>
      <c r="I1200" t="str">
        <f>IFERROR(VLOOKUP(B1200,'Pre-Summary'!$AE$6:$AJ$85,5,FALSE),"")</f>
        <v/>
      </c>
      <c r="J1200" s="45" t="str">
        <f>IFERROR(VLOOKUP(B1200,'Pre-Summary'!$AE$6:$AJ$85,6, FALSE),"")</f>
        <v/>
      </c>
      <c r="K1200" s="45" t="str">
        <f>IFERROR(VLOOKUP(B1200,'Pre-Summary'!$DE$6:$DG$61,3,FALSE),"")</f>
        <v/>
      </c>
      <c r="L1200" s="45" t="str">
        <f>IFERROR(VLOOKUP(B1200,'Pre-Summary'!$CU$6:$CW$36,3,FALSE),"")</f>
        <v/>
      </c>
      <c r="M1200" s="45" t="str">
        <f>IFERROR(VLOOKUP(B1200,'Pre-Summary'!$BW$6:$BY$58,2,FALSE),"")</f>
        <v/>
      </c>
      <c r="N1200" s="45" t="str">
        <f>IFERROR(VLOOKUP(B1200,'Pre-Summary'!$CD$6:$CF$64,2,FALSE),"")</f>
        <v/>
      </c>
      <c r="O1200" s="99">
        <f>IFERROR(VLOOKUP(B1200,'Pre-Summary'!$BO$6:$BQ$48,3, FALSE),O1199)</f>
        <v>1.2</v>
      </c>
      <c r="P1200" s="99">
        <f>IFERROR(VLOOKUP(B1200,'Pre-Summary'!$BS$6:$BU$35,3,FALSE),P1199)</f>
        <v>0.3</v>
      </c>
      <c r="Q1200" s="54">
        <f t="shared" si="54"/>
        <v>4</v>
      </c>
      <c r="R1200" s="53">
        <f>IFERROR(VLOOKUP(B1200,'Pre-Summary'!$BG$6:$BM$44,7,FALSE),R1201)</f>
        <v>7.6574939085447311E-2</v>
      </c>
      <c r="S1200" s="53">
        <f>IFERROR(VLOOKUP(B1200,'Pre-Summary'!$BG$6:$BM$44,6,FALSE),S1201)</f>
        <v>6.8761751275839902E-2</v>
      </c>
      <c r="T1200" s="45" t="str">
        <f>IFERROR(VLOOKUP(B1200,'Pre-Summary'!$Y$6:$AC$83, 3,FALSE),"")</f>
        <v/>
      </c>
      <c r="U1200" s="45" t="str">
        <f>IFERROR(VLOOKUP(B1200,'Pre-Summary'!$Y$6:$AC$83, 4,FALSE),"")</f>
        <v/>
      </c>
      <c r="V1200" t="str">
        <f>IFERROR(VLOOKUP(B1200,'Pre-Summary'!$Y$6:$AC$83, 5,FALSE),"")</f>
        <v/>
      </c>
      <c r="W1200" s="45" t="str">
        <f>IFERROR(VLOOKUP(B1200,'Pre-Summary'!$Y$6:$AD$83,6,FALSE),"")</f>
        <v/>
      </c>
      <c r="X1200" t="str">
        <f>IFERROR(VLOOKUP('Pre-Summary'!$DB$6:$DD$63,3,FALSE),"")</f>
        <v/>
      </c>
      <c r="Y1200" t="str">
        <f>IFERROR(VLOOKUP(B1200,'Pre-Summary'!$CR$6:$CT$36,3,FALSE),"")</f>
        <v/>
      </c>
      <c r="Z1200" s="45" t="str">
        <f>IFERROR(VLOOKUP(B1200,'Pre-Summary'!$BZ$6:$CB$63,2,FALSE),"")</f>
        <v/>
      </c>
      <c r="AA1200" s="45" t="str">
        <f>IFERROR(VLOOKUP(B1200,'Pre-Summary'!$CG$6:$CI$70,2,FALSE),"")</f>
        <v/>
      </c>
      <c r="AB1200" s="99">
        <f>IFERROR(VLOOKUP(B1200,'Pre-Summary'!$A$6:$P$178,9,FALSE),AB1201)</f>
        <v>0.28466705399875358</v>
      </c>
      <c r="AC1200" s="10">
        <f>IFERROR(VLOOKUP(Summary!B1200,'Pre-Summary'!$A$6:$P$184,5, FALSE)/100,AC1201)</f>
        <v>0.95201066666666678</v>
      </c>
      <c r="AD1200" s="10">
        <f>IFERROR(VLOOKUP(Summary!B1200,'Pre-Summary'!$A$6:$P$184,3, FALSE)/100,AD1201)</f>
        <v>6.9433333333333335E-3</v>
      </c>
      <c r="AE1200" s="10">
        <f>IFERROR(VLOOKUP(Summary!B1200,'Pre-Summary'!$A$6:$P$184,7, FALSE)/100,AE1201)</f>
        <v>4.1046000000000006E-2</v>
      </c>
      <c r="AF1200" s="99">
        <f t="shared" si="55"/>
        <v>1.9765382449313459E-3</v>
      </c>
      <c r="AG1200" s="99">
        <f t="shared" si="56"/>
        <v>1.1684443898432841E-2</v>
      </c>
      <c r="AH1200" s="10" t="str">
        <f>IFERROR(VLOOKUP(B1200,'Pre-Summary'!$AZ$6:$BE$65,3,FALSE),"")</f>
        <v/>
      </c>
      <c r="AI1200" s="10" t="str">
        <f>IFERROR(VLOOKUP(B1200,'Pre-Summary'!$AZ$6:$BE$65,5,FALSE),"")</f>
        <v/>
      </c>
      <c r="AJ1200" s="10" t="str">
        <f>IFERROR(VLOOKUP(B1200,'Pre-Summary'!$AZ$6:$BE$65,4,FALSE),"")</f>
        <v/>
      </c>
      <c r="AK1200" s="10" t="str">
        <f>IFERROR(VLOOKUP(B1200,'Pre-Summary'!$AZ$6:$BE$65,6,FALSE),"")</f>
        <v/>
      </c>
      <c r="AL1200" s="10" t="str">
        <f>IFERROR(VLOOKUP(B1200,'Pre-Summary'!$BG$6:$BL$44,3,FALSE),"")</f>
        <v/>
      </c>
      <c r="AM1200" s="10" t="str">
        <f>IFERROR(VLOOKUP(B1200,'Pre-Summary'!$BG$6:$BL$44,4,FALSE),"")</f>
        <v/>
      </c>
    </row>
    <row r="1201" spans="2:39" ht="15" customHeight="1" x14ac:dyDescent="0.3">
      <c r="B1201">
        <v>119.8</v>
      </c>
      <c r="C1201" t="str">
        <f>IFERROR(VLOOKUP(B1201,'Pre-Summary'!$DI$6:$DM$23,4,FALSE),"")</f>
        <v/>
      </c>
      <c r="D1201" s="10" t="str">
        <f>IFERROR(VLOOKUP(B1201,'Pre-Summary'!$AT$6:$AX$14,5,FALSE),D1200)</f>
        <v>DSMZ v4: dropped out methanol</v>
      </c>
      <c r="E1201" s="10" t="str">
        <f>IFERROR(VLOOKUP(B1201,'Pre-Summary'!$AT$6:$AX$15,4,FALSE),"")</f>
        <v/>
      </c>
      <c r="F1201">
        <f>IFERROR(VLOOKUP(B1201,'Pre-Summary'!$AL$6:$AQ$13,6,FALSE),F1200)</f>
        <v>5.9405263157894746E-2</v>
      </c>
      <c r="G1201" t="str">
        <f>IFERROR(VLOOKUP(B1201,'Pre-Summary'!$AE$6:$AJ$85,3,FALSE),"")</f>
        <v/>
      </c>
      <c r="H1201" t="str">
        <f>IFERROR(VLOOKUP(B1201,'Pre-Summary'!$AE$6:$AJ$85,4,FALSE),"")</f>
        <v/>
      </c>
      <c r="I1201" t="str">
        <f>IFERROR(VLOOKUP(B1201,'Pre-Summary'!$AE$6:$AJ$85,5,FALSE),"")</f>
        <v/>
      </c>
      <c r="J1201" s="45" t="str">
        <f>IFERROR(VLOOKUP(B1201,'Pre-Summary'!$AE$6:$AJ$85,6, FALSE),"")</f>
        <v/>
      </c>
      <c r="K1201" s="45" t="str">
        <f>IFERROR(VLOOKUP(B1201,'Pre-Summary'!$DE$6:$DG$61,3,FALSE),"")</f>
        <v/>
      </c>
      <c r="L1201" s="45" t="str">
        <f>IFERROR(VLOOKUP(B1201,'Pre-Summary'!$CU$6:$CW$36,3,FALSE),"")</f>
        <v/>
      </c>
      <c r="M1201" s="45" t="str">
        <f>IFERROR(VLOOKUP(B1201,'Pre-Summary'!$BW$6:$BY$58,2,FALSE),"")</f>
        <v/>
      </c>
      <c r="N1201" s="45" t="str">
        <f>IFERROR(VLOOKUP(B1201,'Pre-Summary'!$CD$6:$CF$64,2,FALSE),"")</f>
        <v/>
      </c>
      <c r="O1201" s="99">
        <f>IFERROR(VLOOKUP(B1201,'Pre-Summary'!$BO$6:$BQ$48,3, FALSE),O1200)</f>
        <v>1.2</v>
      </c>
      <c r="P1201" s="99">
        <f>IFERROR(VLOOKUP(B1201,'Pre-Summary'!$BS$6:$BU$35,3,FALSE),P1200)</f>
        <v>0.3</v>
      </c>
      <c r="Q1201" s="54">
        <f t="shared" si="54"/>
        <v>4</v>
      </c>
      <c r="R1201" s="53">
        <f>IFERROR(VLOOKUP(B1201,'Pre-Summary'!$BG$6:$BM$44,7,FALSE),R1202)</f>
        <v>7.6574939085447311E-2</v>
      </c>
      <c r="S1201" s="53">
        <f>IFERROR(VLOOKUP(B1201,'Pre-Summary'!$BG$6:$BM$44,6,FALSE),S1202)</f>
        <v>6.8761751275839902E-2</v>
      </c>
      <c r="T1201" s="45" t="str">
        <f>IFERROR(VLOOKUP(B1201,'Pre-Summary'!$Y$6:$AC$83, 3,FALSE),"")</f>
        <v/>
      </c>
      <c r="U1201" s="45" t="str">
        <f>IFERROR(VLOOKUP(B1201,'Pre-Summary'!$Y$6:$AC$83, 4,FALSE),"")</f>
        <v/>
      </c>
      <c r="V1201" t="str">
        <f>IFERROR(VLOOKUP(B1201,'Pre-Summary'!$Y$6:$AC$83, 5,FALSE),"")</f>
        <v/>
      </c>
      <c r="W1201" s="45" t="str">
        <f>IFERROR(VLOOKUP(B1201,'Pre-Summary'!$Y$6:$AD$83,6,FALSE),"")</f>
        <v/>
      </c>
      <c r="X1201" t="str">
        <f>IFERROR(VLOOKUP('Pre-Summary'!$DB$6:$DD$63,3,FALSE),"")</f>
        <v/>
      </c>
      <c r="Y1201" t="str">
        <f>IFERROR(VLOOKUP(B1201,'Pre-Summary'!$CR$6:$CT$36,3,FALSE),"")</f>
        <v/>
      </c>
      <c r="Z1201" s="45" t="str">
        <f>IFERROR(VLOOKUP(B1201,'Pre-Summary'!$BZ$6:$CB$63,2,FALSE),"")</f>
        <v/>
      </c>
      <c r="AA1201" s="45" t="str">
        <f>IFERROR(VLOOKUP(B1201,'Pre-Summary'!$CG$6:$CI$70,2,FALSE),"")</f>
        <v/>
      </c>
      <c r="AB1201" s="99">
        <f>IFERROR(VLOOKUP(B1201,'Pre-Summary'!$A$6:$P$178,9,FALSE),AB1202)</f>
        <v>0.28466705399875358</v>
      </c>
      <c r="AC1201" s="10">
        <f>IFERROR(VLOOKUP(Summary!B1201,'Pre-Summary'!$A$6:$P$184,5, FALSE)/100,AC1202)</f>
        <v>0.95201066666666678</v>
      </c>
      <c r="AD1201" s="10">
        <f>IFERROR(VLOOKUP(Summary!B1201,'Pre-Summary'!$A$6:$P$184,3, FALSE)/100,AD1202)</f>
        <v>6.9433333333333335E-3</v>
      </c>
      <c r="AE1201" s="10">
        <f>IFERROR(VLOOKUP(Summary!B1201,'Pre-Summary'!$A$6:$P$184,7, FALSE)/100,AE1202)</f>
        <v>4.1046000000000006E-2</v>
      </c>
      <c r="AF1201" s="99">
        <f t="shared" si="55"/>
        <v>1.9765382449313459E-3</v>
      </c>
      <c r="AG1201" s="99">
        <f t="shared" si="56"/>
        <v>1.1684443898432841E-2</v>
      </c>
      <c r="AH1201" s="10" t="str">
        <f>IFERROR(VLOOKUP(B1201,'Pre-Summary'!$AZ$6:$BE$65,3,FALSE),"")</f>
        <v/>
      </c>
      <c r="AI1201" s="10" t="str">
        <f>IFERROR(VLOOKUP(B1201,'Pre-Summary'!$AZ$6:$BE$65,5,FALSE),"")</f>
        <v/>
      </c>
      <c r="AJ1201" s="10" t="str">
        <f>IFERROR(VLOOKUP(B1201,'Pre-Summary'!$AZ$6:$BE$65,4,FALSE),"")</f>
        <v/>
      </c>
      <c r="AK1201" s="10" t="str">
        <f>IFERROR(VLOOKUP(B1201,'Pre-Summary'!$AZ$6:$BE$65,6,FALSE),"")</f>
        <v/>
      </c>
      <c r="AL1201" s="10" t="str">
        <f>IFERROR(VLOOKUP(B1201,'Pre-Summary'!$BG$6:$BL$44,3,FALSE),"")</f>
        <v/>
      </c>
      <c r="AM1201" s="10" t="str">
        <f>IFERROR(VLOOKUP(B1201,'Pre-Summary'!$BG$6:$BL$44,4,FALSE),"")</f>
        <v/>
      </c>
    </row>
    <row r="1202" spans="2:39" ht="15" customHeight="1" x14ac:dyDescent="0.3">
      <c r="B1202">
        <v>119.9</v>
      </c>
      <c r="C1202" t="str">
        <f>IFERROR(VLOOKUP(B1202,'Pre-Summary'!$DI$6:$DM$23,4,FALSE),"")</f>
        <v/>
      </c>
      <c r="D1202" s="10" t="str">
        <f>IFERROR(VLOOKUP(B1202,'Pre-Summary'!$AT$6:$AX$14,5,FALSE),D1201)</f>
        <v>DSMZ v4: dropped out methanol</v>
      </c>
      <c r="E1202" s="10" t="str">
        <f>IFERROR(VLOOKUP(B1202,'Pre-Summary'!$AT$6:$AX$15,4,FALSE),"")</f>
        <v/>
      </c>
      <c r="F1202">
        <f>IFERROR(VLOOKUP(B1202,'Pre-Summary'!$AL$6:$AQ$13,6,FALSE),F1201)</f>
        <v>5.9405263157894746E-2</v>
      </c>
      <c r="G1202" t="str">
        <f>IFERROR(VLOOKUP(B1202,'Pre-Summary'!$AE$6:$AJ$85,3,FALSE),"")</f>
        <v/>
      </c>
      <c r="H1202" t="str">
        <f>IFERROR(VLOOKUP(B1202,'Pre-Summary'!$AE$6:$AJ$85,4,FALSE),"")</f>
        <v/>
      </c>
      <c r="I1202" t="str">
        <f>IFERROR(VLOOKUP(B1202,'Pre-Summary'!$AE$6:$AJ$85,5,FALSE),"")</f>
        <v/>
      </c>
      <c r="J1202" s="45" t="str">
        <f>IFERROR(VLOOKUP(B1202,'Pre-Summary'!$AE$6:$AJ$85,6, FALSE),"")</f>
        <v/>
      </c>
      <c r="K1202" s="45" t="str">
        <f>IFERROR(VLOOKUP(B1202,'Pre-Summary'!$DE$6:$DG$61,3,FALSE),"")</f>
        <v/>
      </c>
      <c r="L1202" s="45" t="str">
        <f>IFERROR(VLOOKUP(B1202,'Pre-Summary'!$CU$6:$CW$36,3,FALSE),"")</f>
        <v/>
      </c>
      <c r="M1202" s="45" t="str">
        <f>IFERROR(VLOOKUP(B1202,'Pre-Summary'!$BW$6:$BY$58,2,FALSE),"")</f>
        <v/>
      </c>
      <c r="N1202" s="45" t="str">
        <f>IFERROR(VLOOKUP(B1202,'Pre-Summary'!$CD$6:$CF$64,2,FALSE),"")</f>
        <v/>
      </c>
      <c r="O1202" s="99">
        <f>IFERROR(VLOOKUP(B1202,'Pre-Summary'!$BO$6:$BQ$48,3, FALSE),O1201)</f>
        <v>1.2</v>
      </c>
      <c r="P1202" s="99">
        <f>IFERROR(VLOOKUP(B1202,'Pre-Summary'!$BS$6:$BU$35,3,FALSE),P1201)</f>
        <v>0.3</v>
      </c>
      <c r="Q1202" s="54">
        <f t="shared" si="54"/>
        <v>4</v>
      </c>
      <c r="R1202" s="53">
        <f>IFERROR(VLOOKUP(B1202,'Pre-Summary'!$BG$6:$BM$44,7,FALSE),R1203)</f>
        <v>7.6574939085447311E-2</v>
      </c>
      <c r="S1202" s="53">
        <f>IFERROR(VLOOKUP(B1202,'Pre-Summary'!$BG$6:$BM$44,6,FALSE),S1203)</f>
        <v>6.8761751275839902E-2</v>
      </c>
      <c r="T1202" s="45" t="str">
        <f>IFERROR(VLOOKUP(B1202,'Pre-Summary'!$Y$6:$AC$83, 3,FALSE),"")</f>
        <v/>
      </c>
      <c r="U1202" s="45" t="str">
        <f>IFERROR(VLOOKUP(B1202,'Pre-Summary'!$Y$6:$AC$83, 4,FALSE),"")</f>
        <v/>
      </c>
      <c r="V1202" t="str">
        <f>IFERROR(VLOOKUP(B1202,'Pre-Summary'!$Y$6:$AC$83, 5,FALSE),"")</f>
        <v/>
      </c>
      <c r="W1202" s="45" t="str">
        <f>IFERROR(VLOOKUP(B1202,'Pre-Summary'!$Y$6:$AD$83,6,FALSE),"")</f>
        <v/>
      </c>
      <c r="X1202" t="str">
        <f>IFERROR(VLOOKUP('Pre-Summary'!$DB$6:$DD$63,3,FALSE),"")</f>
        <v/>
      </c>
      <c r="Y1202" t="str">
        <f>IFERROR(VLOOKUP(B1202,'Pre-Summary'!$CR$6:$CT$36,3,FALSE),"")</f>
        <v/>
      </c>
      <c r="Z1202" s="45" t="str">
        <f>IFERROR(VLOOKUP(B1202,'Pre-Summary'!$BZ$6:$CB$63,2,FALSE),"")</f>
        <v/>
      </c>
      <c r="AA1202" s="45" t="str">
        <f>IFERROR(VLOOKUP(B1202,'Pre-Summary'!$CG$6:$CI$70,2,FALSE),"")</f>
        <v/>
      </c>
      <c r="AB1202" s="99">
        <f>IFERROR(VLOOKUP(B1202,'Pre-Summary'!$A$6:$P$178,9,FALSE),AB1203)</f>
        <v>0.28466705399875358</v>
      </c>
      <c r="AC1202" s="10">
        <f>IFERROR(VLOOKUP(Summary!B1202,'Pre-Summary'!$A$6:$P$184,5, FALSE)/100,AC1203)</f>
        <v>0.95201066666666678</v>
      </c>
      <c r="AD1202" s="10">
        <f>IFERROR(VLOOKUP(Summary!B1202,'Pre-Summary'!$A$6:$P$184,3, FALSE)/100,AD1203)</f>
        <v>6.9433333333333335E-3</v>
      </c>
      <c r="AE1202" s="10">
        <f>IFERROR(VLOOKUP(Summary!B1202,'Pre-Summary'!$A$6:$P$184,7, FALSE)/100,AE1203)</f>
        <v>4.1046000000000006E-2</v>
      </c>
      <c r="AF1202" s="99">
        <f t="shared" si="55"/>
        <v>1.9765382449313459E-3</v>
      </c>
      <c r="AG1202" s="99">
        <f t="shared" si="56"/>
        <v>1.1684443898432841E-2</v>
      </c>
      <c r="AH1202" s="10" t="str">
        <f>IFERROR(VLOOKUP(B1202,'Pre-Summary'!$AZ$6:$BE$65,3,FALSE),"")</f>
        <v/>
      </c>
      <c r="AI1202" s="10" t="str">
        <f>IFERROR(VLOOKUP(B1202,'Pre-Summary'!$AZ$6:$BE$65,5,FALSE),"")</f>
        <v/>
      </c>
      <c r="AJ1202" s="10" t="str">
        <f>IFERROR(VLOOKUP(B1202,'Pre-Summary'!$AZ$6:$BE$65,4,FALSE),"")</f>
        <v/>
      </c>
      <c r="AK1202" s="10" t="str">
        <f>IFERROR(VLOOKUP(B1202,'Pre-Summary'!$AZ$6:$BE$65,6,FALSE),"")</f>
        <v/>
      </c>
      <c r="AL1202" s="10" t="str">
        <f>IFERROR(VLOOKUP(B1202,'Pre-Summary'!$BG$6:$BL$44,3,FALSE),"")</f>
        <v/>
      </c>
      <c r="AM1202" s="10" t="str">
        <f>IFERROR(VLOOKUP(B1202,'Pre-Summary'!$BG$6:$BL$44,4,FALSE),"")</f>
        <v/>
      </c>
    </row>
    <row r="1203" spans="2:39" ht="15" customHeight="1" x14ac:dyDescent="0.3">
      <c r="B1203">
        <v>120</v>
      </c>
      <c r="C1203" t="str">
        <f>IFERROR(VLOOKUP(B1203,'Pre-Summary'!$DI$6:$DM$23,4,FALSE),"")</f>
        <v/>
      </c>
      <c r="D1203" s="10" t="str">
        <f>IFERROR(VLOOKUP(B1203,'Pre-Summary'!$AT$6:$AX$14,5,FALSE),D1202)</f>
        <v>DSMZ v4: dropped out methanol</v>
      </c>
      <c r="E1203" s="10" t="str">
        <f>IFERROR(VLOOKUP(B1203,'Pre-Summary'!$AT$6:$AX$15,4,FALSE),"")</f>
        <v/>
      </c>
      <c r="F1203">
        <f>IFERROR(VLOOKUP(B1203,'Pre-Summary'!$AL$6:$AQ$13,6,FALSE),F1202)</f>
        <v>5.9405263157894746E-2</v>
      </c>
      <c r="G1203" t="str">
        <f>IFERROR(VLOOKUP(B1203,'Pre-Summary'!$AE$6:$AJ$85,3,FALSE),"")</f>
        <v/>
      </c>
      <c r="H1203" t="str">
        <f>IFERROR(VLOOKUP(B1203,'Pre-Summary'!$AE$6:$AJ$85,4,FALSE),"")</f>
        <v/>
      </c>
      <c r="I1203" t="str">
        <f>IFERROR(VLOOKUP(B1203,'Pre-Summary'!$AE$6:$AJ$85,5,FALSE),"")</f>
        <v/>
      </c>
      <c r="J1203" s="45" t="str">
        <f>IFERROR(VLOOKUP(B1203,'Pre-Summary'!$AE$6:$AJ$85,6, FALSE),"")</f>
        <v/>
      </c>
      <c r="K1203" s="45" t="str">
        <f>IFERROR(VLOOKUP(B1203,'Pre-Summary'!$DE$6:$DG$61,3,FALSE),"")</f>
        <v/>
      </c>
      <c r="L1203" s="45" t="str">
        <f>IFERROR(VLOOKUP(B1203,'Pre-Summary'!$CU$6:$CW$36,3,FALSE),"")</f>
        <v/>
      </c>
      <c r="M1203" s="45" t="str">
        <f>IFERROR(VLOOKUP(B1203,'Pre-Summary'!$BW$6:$BY$58,2,FALSE),"")</f>
        <v/>
      </c>
      <c r="N1203" s="45" t="str">
        <f>IFERROR(VLOOKUP(B1203,'Pre-Summary'!$CD$6:$CF$64,2,FALSE),"")</f>
        <v/>
      </c>
      <c r="O1203" s="99">
        <f>IFERROR(VLOOKUP(B1203,'Pre-Summary'!$BO$6:$BQ$48,3, FALSE),O1202)</f>
        <v>1.2</v>
      </c>
      <c r="P1203" s="99">
        <f>IFERROR(VLOOKUP(B1203,'Pre-Summary'!$BS$6:$BU$35,3,FALSE),P1202)</f>
        <v>0.3</v>
      </c>
      <c r="Q1203" s="54">
        <f t="shared" si="54"/>
        <v>4</v>
      </c>
      <c r="R1203" s="53">
        <f>IFERROR(VLOOKUP(B1203,'Pre-Summary'!$BG$6:$BM$44,7,FALSE),R1204)</f>
        <v>7.6574939085447311E-2</v>
      </c>
      <c r="S1203" s="53">
        <f>IFERROR(VLOOKUP(B1203,'Pre-Summary'!$BG$6:$BM$44,6,FALSE),S1204)</f>
        <v>6.8761751275839902E-2</v>
      </c>
      <c r="T1203" s="45" t="str">
        <f>IFERROR(VLOOKUP(B1203,'Pre-Summary'!$Y$6:$AC$83, 3,FALSE),"")</f>
        <v/>
      </c>
      <c r="U1203" s="45" t="str">
        <f>IFERROR(VLOOKUP(B1203,'Pre-Summary'!$Y$6:$AC$83, 4,FALSE),"")</f>
        <v/>
      </c>
      <c r="V1203" t="str">
        <f>IFERROR(VLOOKUP(B1203,'Pre-Summary'!$Y$6:$AC$83, 5,FALSE),"")</f>
        <v/>
      </c>
      <c r="W1203" s="45" t="str">
        <f>IFERROR(VLOOKUP(B1203,'Pre-Summary'!$Y$6:$AD$83,6,FALSE),"")</f>
        <v/>
      </c>
      <c r="X1203" t="str">
        <f>IFERROR(VLOOKUP('Pre-Summary'!$DB$6:$DD$63,3,FALSE),"")</f>
        <v/>
      </c>
      <c r="Y1203" t="str">
        <f>IFERROR(VLOOKUP(B1203,'Pre-Summary'!$CR$6:$CT$36,3,FALSE),"")</f>
        <v/>
      </c>
      <c r="Z1203" s="45" t="str">
        <f>IFERROR(VLOOKUP(B1203,'Pre-Summary'!$BZ$6:$CB$63,2,FALSE),"")</f>
        <v/>
      </c>
      <c r="AA1203" s="45" t="str">
        <f>IFERROR(VLOOKUP(B1203,'Pre-Summary'!$CG$6:$CI$70,2,FALSE),"")</f>
        <v/>
      </c>
      <c r="AB1203" s="99">
        <f>IFERROR(VLOOKUP(B1203,'Pre-Summary'!$A$6:$P$178,9,FALSE),AB1204)</f>
        <v>0.28466705399875358</v>
      </c>
      <c r="AC1203" s="10">
        <f>IFERROR(VLOOKUP(Summary!B1203,'Pre-Summary'!$A$6:$P$184,5, FALSE)/100,AC1204)</f>
        <v>0.95201066666666678</v>
      </c>
      <c r="AD1203" s="10">
        <f>IFERROR(VLOOKUP(Summary!B1203,'Pre-Summary'!$A$6:$P$184,3, FALSE)/100,AD1204)</f>
        <v>6.9433333333333335E-3</v>
      </c>
      <c r="AE1203" s="10">
        <f>IFERROR(VLOOKUP(Summary!B1203,'Pre-Summary'!$A$6:$P$184,7, FALSE)/100,AE1204)</f>
        <v>4.1046000000000006E-2</v>
      </c>
      <c r="AF1203" s="99">
        <f t="shared" si="55"/>
        <v>1.9765382449313459E-3</v>
      </c>
      <c r="AG1203" s="99">
        <f t="shared" si="56"/>
        <v>1.1684443898432841E-2</v>
      </c>
      <c r="AH1203" s="10" t="str">
        <f>IFERROR(VLOOKUP(B1203,'Pre-Summary'!$AZ$6:$BE$65,3,FALSE),"")</f>
        <v/>
      </c>
      <c r="AI1203" s="10" t="str">
        <f>IFERROR(VLOOKUP(B1203,'Pre-Summary'!$AZ$6:$BE$65,5,FALSE),"")</f>
        <v/>
      </c>
      <c r="AJ1203" s="10" t="str">
        <f>IFERROR(VLOOKUP(B1203,'Pre-Summary'!$AZ$6:$BE$65,4,FALSE),"")</f>
        <v/>
      </c>
      <c r="AK1203" s="10" t="str">
        <f>IFERROR(VLOOKUP(B1203,'Pre-Summary'!$AZ$6:$BE$65,6,FALSE),"")</f>
        <v/>
      </c>
      <c r="AL1203" s="10" t="str">
        <f>IFERROR(VLOOKUP(B1203,'Pre-Summary'!$BG$6:$BL$44,3,FALSE),"")</f>
        <v/>
      </c>
      <c r="AM1203" s="10" t="str">
        <f>IFERROR(VLOOKUP(B1203,'Pre-Summary'!$BG$6:$BL$44,4,FALSE),"")</f>
        <v/>
      </c>
    </row>
    <row r="1204" spans="2:39" ht="15" customHeight="1" x14ac:dyDescent="0.3">
      <c r="B1204">
        <v>120.1</v>
      </c>
      <c r="C1204" t="str">
        <f>IFERROR(VLOOKUP(B1204,'Pre-Summary'!$DI$6:$DM$23,4,FALSE),"")</f>
        <v/>
      </c>
      <c r="D1204" s="10" t="str">
        <f>IFERROR(VLOOKUP(B1204,'Pre-Summary'!$AT$6:$AX$14,5,FALSE),D1203)</f>
        <v>DSMZ v4: dropped out methanol</v>
      </c>
      <c r="E1204" s="10" t="str">
        <f>IFERROR(VLOOKUP(B1204,'Pre-Summary'!$AT$6:$AX$15,4,FALSE),"")</f>
        <v/>
      </c>
      <c r="F1204">
        <f>IFERROR(VLOOKUP(B1204,'Pre-Summary'!$AL$6:$AQ$13,6,FALSE),F1203)</f>
        <v>5.9405263157894746E-2</v>
      </c>
      <c r="G1204" t="str">
        <f>IFERROR(VLOOKUP(B1204,'Pre-Summary'!$AE$6:$AJ$85,3,FALSE),"")</f>
        <v/>
      </c>
      <c r="H1204" t="str">
        <f>IFERROR(VLOOKUP(B1204,'Pre-Summary'!$AE$6:$AJ$85,4,FALSE),"")</f>
        <v/>
      </c>
      <c r="I1204" t="str">
        <f>IFERROR(VLOOKUP(B1204,'Pre-Summary'!$AE$6:$AJ$85,5,FALSE),"")</f>
        <v/>
      </c>
      <c r="J1204" s="45" t="str">
        <f>IFERROR(VLOOKUP(B1204,'Pre-Summary'!$AE$6:$AJ$85,6, FALSE),"")</f>
        <v/>
      </c>
      <c r="K1204" s="45" t="str">
        <f>IFERROR(VLOOKUP(B1204,'Pre-Summary'!$DE$6:$DG$61,3,FALSE),"")</f>
        <v/>
      </c>
      <c r="L1204" s="45" t="str">
        <f>IFERROR(VLOOKUP(B1204,'Pre-Summary'!$CU$6:$CW$36,3,FALSE),"")</f>
        <v/>
      </c>
      <c r="M1204" s="45" t="str">
        <f>IFERROR(VLOOKUP(B1204,'Pre-Summary'!$BW$6:$BY$58,2,FALSE),"")</f>
        <v/>
      </c>
      <c r="N1204" s="45" t="str">
        <f>IFERROR(VLOOKUP(B1204,'Pre-Summary'!$CD$6:$CF$64,2,FALSE),"")</f>
        <v/>
      </c>
      <c r="O1204" s="99">
        <f>IFERROR(VLOOKUP(B1204,'Pre-Summary'!$BO$6:$BQ$48,3, FALSE),O1203)</f>
        <v>1.2</v>
      </c>
      <c r="P1204" s="99">
        <f>IFERROR(VLOOKUP(B1204,'Pre-Summary'!$BS$6:$BU$35,3,FALSE),P1203)</f>
        <v>0.3</v>
      </c>
      <c r="Q1204" s="54">
        <f t="shared" si="54"/>
        <v>4</v>
      </c>
      <c r="R1204" s="53">
        <f>IFERROR(VLOOKUP(B1204,'Pre-Summary'!$BG$6:$BM$44,7,FALSE),R1205)</f>
        <v>7.6574939085447311E-2</v>
      </c>
      <c r="S1204" s="53">
        <f>IFERROR(VLOOKUP(B1204,'Pre-Summary'!$BG$6:$BM$44,6,FALSE),S1205)</f>
        <v>6.8761751275839902E-2</v>
      </c>
      <c r="T1204" s="45" t="str">
        <f>IFERROR(VLOOKUP(B1204,'Pre-Summary'!$Y$6:$AC$83, 3,FALSE),"")</f>
        <v/>
      </c>
      <c r="U1204" s="45" t="str">
        <f>IFERROR(VLOOKUP(B1204,'Pre-Summary'!$Y$6:$AC$83, 4,FALSE),"")</f>
        <v/>
      </c>
      <c r="V1204" t="str">
        <f>IFERROR(VLOOKUP(B1204,'Pre-Summary'!$Y$6:$AC$83, 5,FALSE),"")</f>
        <v/>
      </c>
      <c r="W1204" s="45" t="str">
        <f>IFERROR(VLOOKUP(B1204,'Pre-Summary'!$Y$6:$AD$83,6,FALSE),"")</f>
        <v/>
      </c>
      <c r="X1204" t="str">
        <f>IFERROR(VLOOKUP('Pre-Summary'!$DB$6:$DD$63,3,FALSE),"")</f>
        <v/>
      </c>
      <c r="Y1204" t="str">
        <f>IFERROR(VLOOKUP(B1204,'Pre-Summary'!$CR$6:$CT$36,3,FALSE),"")</f>
        <v/>
      </c>
      <c r="Z1204" s="45" t="str">
        <f>IFERROR(VLOOKUP(B1204,'Pre-Summary'!$BZ$6:$CB$63,2,FALSE),"")</f>
        <v/>
      </c>
      <c r="AA1204" s="45" t="str">
        <f>IFERROR(VLOOKUP(B1204,'Pre-Summary'!$CG$6:$CI$70,2,FALSE),"")</f>
        <v/>
      </c>
      <c r="AB1204" s="99">
        <f>IFERROR(VLOOKUP(B1204,'Pre-Summary'!$A$6:$P$178,9,FALSE),AB1205)</f>
        <v>0.28466705399875358</v>
      </c>
      <c r="AC1204" s="10">
        <f>IFERROR(VLOOKUP(Summary!B1204,'Pre-Summary'!$A$6:$P$184,5, FALSE)/100,AC1205)</f>
        <v>0.95201066666666678</v>
      </c>
      <c r="AD1204" s="10">
        <f>IFERROR(VLOOKUP(Summary!B1204,'Pre-Summary'!$A$6:$P$184,3, FALSE)/100,AD1205)</f>
        <v>6.9433333333333335E-3</v>
      </c>
      <c r="AE1204" s="10">
        <f>IFERROR(VLOOKUP(Summary!B1204,'Pre-Summary'!$A$6:$P$184,7, FALSE)/100,AE1205)</f>
        <v>4.1046000000000006E-2</v>
      </c>
      <c r="AF1204" s="99">
        <f t="shared" si="55"/>
        <v>1.9765382449313459E-3</v>
      </c>
      <c r="AG1204" s="99">
        <f t="shared" si="56"/>
        <v>1.1684443898432841E-2</v>
      </c>
      <c r="AH1204" s="10" t="str">
        <f>IFERROR(VLOOKUP(B1204,'Pre-Summary'!$AZ$6:$BE$65,3,FALSE),"")</f>
        <v/>
      </c>
      <c r="AI1204" s="10" t="str">
        <f>IFERROR(VLOOKUP(B1204,'Pre-Summary'!$AZ$6:$BE$65,5,FALSE),"")</f>
        <v/>
      </c>
      <c r="AJ1204" s="10" t="str">
        <f>IFERROR(VLOOKUP(B1204,'Pre-Summary'!$AZ$6:$BE$65,4,FALSE),"")</f>
        <v/>
      </c>
      <c r="AK1204" s="10" t="str">
        <f>IFERROR(VLOOKUP(B1204,'Pre-Summary'!$AZ$6:$BE$65,6,FALSE),"")</f>
        <v/>
      </c>
      <c r="AL1204" s="10" t="str">
        <f>IFERROR(VLOOKUP(B1204,'Pre-Summary'!$BG$6:$BL$44,3,FALSE),"")</f>
        <v/>
      </c>
      <c r="AM1204" s="10" t="str">
        <f>IFERROR(VLOOKUP(B1204,'Pre-Summary'!$BG$6:$BL$44,4,FALSE),"")</f>
        <v/>
      </c>
    </row>
    <row r="1205" spans="2:39" ht="15" customHeight="1" x14ac:dyDescent="0.3">
      <c r="B1205">
        <v>120.2</v>
      </c>
      <c r="C1205" t="str">
        <f>IFERROR(VLOOKUP(B1205,'Pre-Summary'!$DI$6:$DM$23,4,FALSE),"")</f>
        <v/>
      </c>
      <c r="D1205" s="10" t="str">
        <f>IFERROR(VLOOKUP(B1205,'Pre-Summary'!$AT$6:$AX$14,5,FALSE),D1204)</f>
        <v>DSMZ v4: dropped out methanol</v>
      </c>
      <c r="E1205" s="10" t="str">
        <f>IFERROR(VLOOKUP(B1205,'Pre-Summary'!$AT$6:$AX$15,4,FALSE),"")</f>
        <v/>
      </c>
      <c r="F1205">
        <f>IFERROR(VLOOKUP(B1205,'Pre-Summary'!$AL$6:$AQ$13,6,FALSE),F1204)</f>
        <v>5.9405263157894746E-2</v>
      </c>
      <c r="G1205" t="str">
        <f>IFERROR(VLOOKUP(B1205,'Pre-Summary'!$AE$6:$AJ$85,3,FALSE),"")</f>
        <v/>
      </c>
      <c r="H1205" t="str">
        <f>IFERROR(VLOOKUP(B1205,'Pre-Summary'!$AE$6:$AJ$85,4,FALSE),"")</f>
        <v/>
      </c>
      <c r="I1205" t="str">
        <f>IFERROR(VLOOKUP(B1205,'Pre-Summary'!$AE$6:$AJ$85,5,FALSE),"")</f>
        <v/>
      </c>
      <c r="J1205" s="45" t="str">
        <f>IFERROR(VLOOKUP(B1205,'Pre-Summary'!$AE$6:$AJ$85,6, FALSE),"")</f>
        <v/>
      </c>
      <c r="K1205" s="45" t="str">
        <f>IFERROR(VLOOKUP(B1205,'Pre-Summary'!$DE$6:$DG$61,3,FALSE),"")</f>
        <v/>
      </c>
      <c r="L1205" s="45" t="str">
        <f>IFERROR(VLOOKUP(B1205,'Pre-Summary'!$CU$6:$CW$36,3,FALSE),"")</f>
        <v/>
      </c>
      <c r="M1205" s="45" t="str">
        <f>IFERROR(VLOOKUP(B1205,'Pre-Summary'!$BW$6:$BY$58,2,FALSE),"")</f>
        <v/>
      </c>
      <c r="N1205" s="45" t="str">
        <f>IFERROR(VLOOKUP(B1205,'Pre-Summary'!$CD$6:$CF$64,2,FALSE),"")</f>
        <v/>
      </c>
      <c r="O1205" s="99">
        <f>IFERROR(VLOOKUP(B1205,'Pre-Summary'!$BO$6:$BQ$48,3, FALSE),O1204)</f>
        <v>1.2</v>
      </c>
      <c r="P1205" s="99">
        <f>IFERROR(VLOOKUP(B1205,'Pre-Summary'!$BS$6:$BU$35,3,FALSE),P1204)</f>
        <v>0.3</v>
      </c>
      <c r="Q1205" s="54">
        <f t="shared" si="54"/>
        <v>4</v>
      </c>
      <c r="R1205" s="53">
        <f>IFERROR(VLOOKUP(B1205,'Pre-Summary'!$BG$6:$BM$44,7,FALSE),R1206)</f>
        <v>7.6574939085447311E-2</v>
      </c>
      <c r="S1205" s="53">
        <f>IFERROR(VLOOKUP(B1205,'Pre-Summary'!$BG$6:$BM$44,6,FALSE),S1206)</f>
        <v>6.8761751275839902E-2</v>
      </c>
      <c r="T1205" s="45" t="str">
        <f>IFERROR(VLOOKUP(B1205,'Pre-Summary'!$Y$6:$AC$83, 3,FALSE),"")</f>
        <v/>
      </c>
      <c r="U1205" s="45" t="str">
        <f>IFERROR(VLOOKUP(B1205,'Pre-Summary'!$Y$6:$AC$83, 4,FALSE),"")</f>
        <v/>
      </c>
      <c r="V1205" t="str">
        <f>IFERROR(VLOOKUP(B1205,'Pre-Summary'!$Y$6:$AC$83, 5,FALSE),"")</f>
        <v/>
      </c>
      <c r="W1205" s="45" t="str">
        <f>IFERROR(VLOOKUP(B1205,'Pre-Summary'!$Y$6:$AD$83,6,FALSE),"")</f>
        <v/>
      </c>
      <c r="X1205" t="str">
        <f>IFERROR(VLOOKUP('Pre-Summary'!$DB$6:$DD$63,3,FALSE),"")</f>
        <v/>
      </c>
      <c r="Y1205" t="str">
        <f>IFERROR(VLOOKUP(B1205,'Pre-Summary'!$CR$6:$CT$36,3,FALSE),"")</f>
        <v/>
      </c>
      <c r="Z1205" s="45" t="str">
        <f>IFERROR(VLOOKUP(B1205,'Pre-Summary'!$BZ$6:$CB$63,2,FALSE),"")</f>
        <v/>
      </c>
      <c r="AA1205" s="45" t="str">
        <f>IFERROR(VLOOKUP(B1205,'Pre-Summary'!$CG$6:$CI$70,2,FALSE),"")</f>
        <v/>
      </c>
      <c r="AB1205" s="99">
        <f>IFERROR(VLOOKUP(B1205,'Pre-Summary'!$A$6:$P$178,9,FALSE),AB1206)</f>
        <v>0.28466705399875358</v>
      </c>
      <c r="AC1205" s="10">
        <f>IFERROR(VLOOKUP(Summary!B1205,'Pre-Summary'!$A$6:$P$184,5, FALSE)/100,AC1206)</f>
        <v>0.95201066666666678</v>
      </c>
      <c r="AD1205" s="10">
        <f>IFERROR(VLOOKUP(Summary!B1205,'Pre-Summary'!$A$6:$P$184,3, FALSE)/100,AD1206)</f>
        <v>6.9433333333333335E-3</v>
      </c>
      <c r="AE1205" s="10">
        <f>IFERROR(VLOOKUP(Summary!B1205,'Pre-Summary'!$A$6:$P$184,7, FALSE)/100,AE1206)</f>
        <v>4.1046000000000006E-2</v>
      </c>
      <c r="AF1205" s="99">
        <f t="shared" si="55"/>
        <v>1.9765382449313459E-3</v>
      </c>
      <c r="AG1205" s="99">
        <f t="shared" si="56"/>
        <v>1.1684443898432841E-2</v>
      </c>
      <c r="AH1205" s="10" t="str">
        <f>IFERROR(VLOOKUP(B1205,'Pre-Summary'!$AZ$6:$BE$65,3,FALSE),"")</f>
        <v/>
      </c>
      <c r="AI1205" s="10" t="str">
        <f>IFERROR(VLOOKUP(B1205,'Pre-Summary'!$AZ$6:$BE$65,5,FALSE),"")</f>
        <v/>
      </c>
      <c r="AJ1205" s="10" t="str">
        <f>IFERROR(VLOOKUP(B1205,'Pre-Summary'!$AZ$6:$BE$65,4,FALSE),"")</f>
        <v/>
      </c>
      <c r="AK1205" s="10" t="str">
        <f>IFERROR(VLOOKUP(B1205,'Pre-Summary'!$AZ$6:$BE$65,6,FALSE),"")</f>
        <v/>
      </c>
      <c r="AL1205" s="10" t="str">
        <f>IFERROR(VLOOKUP(B1205,'Pre-Summary'!$BG$6:$BL$44,3,FALSE),"")</f>
        <v/>
      </c>
      <c r="AM1205" s="10" t="str">
        <f>IFERROR(VLOOKUP(B1205,'Pre-Summary'!$BG$6:$BL$44,4,FALSE),"")</f>
        <v/>
      </c>
    </row>
    <row r="1206" spans="2:39" ht="15" customHeight="1" x14ac:dyDescent="0.3">
      <c r="B1206">
        <v>120.3</v>
      </c>
      <c r="C1206" t="str">
        <f>IFERROR(VLOOKUP(B1206,'Pre-Summary'!$DI$6:$DM$23,4,FALSE),"")</f>
        <v/>
      </c>
      <c r="D1206" s="10" t="str">
        <f>IFERROR(VLOOKUP(B1206,'Pre-Summary'!$AT$6:$AX$14,5,FALSE),D1205)</f>
        <v>DSMZ v4: dropped out methanol</v>
      </c>
      <c r="E1206" s="10" t="str">
        <f>IFERROR(VLOOKUP(B1206,'Pre-Summary'!$AT$6:$AX$15,4,FALSE),"")</f>
        <v/>
      </c>
      <c r="F1206">
        <f>IFERROR(VLOOKUP(B1206,'Pre-Summary'!$AL$6:$AQ$13,6,FALSE),F1205)</f>
        <v>5.9405263157894746E-2</v>
      </c>
      <c r="G1206" t="str">
        <f>IFERROR(VLOOKUP(B1206,'Pre-Summary'!$AE$6:$AJ$85,3,FALSE),"")</f>
        <v/>
      </c>
      <c r="H1206" t="str">
        <f>IFERROR(VLOOKUP(B1206,'Pre-Summary'!$AE$6:$AJ$85,4,FALSE),"")</f>
        <v/>
      </c>
      <c r="I1206" t="str">
        <f>IFERROR(VLOOKUP(B1206,'Pre-Summary'!$AE$6:$AJ$85,5,FALSE),"")</f>
        <v/>
      </c>
      <c r="J1206" s="45" t="str">
        <f>IFERROR(VLOOKUP(B1206,'Pre-Summary'!$AE$6:$AJ$85,6, FALSE),"")</f>
        <v/>
      </c>
      <c r="K1206" s="45" t="str">
        <f>IFERROR(VLOOKUP(B1206,'Pre-Summary'!$DE$6:$DG$61,3,FALSE),"")</f>
        <v/>
      </c>
      <c r="L1206" s="45" t="str">
        <f>IFERROR(VLOOKUP(B1206,'Pre-Summary'!$CU$6:$CW$36,3,FALSE),"")</f>
        <v/>
      </c>
      <c r="M1206" s="45" t="str">
        <f>IFERROR(VLOOKUP(B1206,'Pre-Summary'!$BW$6:$BY$58,2,FALSE),"")</f>
        <v/>
      </c>
      <c r="N1206" s="45" t="str">
        <f>IFERROR(VLOOKUP(B1206,'Pre-Summary'!$CD$6:$CF$64,2,FALSE),"")</f>
        <v/>
      </c>
      <c r="O1206" s="99">
        <f>IFERROR(VLOOKUP(B1206,'Pre-Summary'!$BO$6:$BQ$48,3, FALSE),O1205)</f>
        <v>1.2</v>
      </c>
      <c r="P1206" s="99">
        <f>IFERROR(VLOOKUP(B1206,'Pre-Summary'!$BS$6:$BU$35,3,FALSE),P1205)</f>
        <v>0.3</v>
      </c>
      <c r="Q1206" s="54">
        <f t="shared" si="54"/>
        <v>4</v>
      </c>
      <c r="R1206" s="53">
        <f>IFERROR(VLOOKUP(B1206,'Pre-Summary'!$BG$6:$BM$44,7,FALSE),R1207)</f>
        <v>7.6574939085447311E-2</v>
      </c>
      <c r="S1206" s="53">
        <f>IFERROR(VLOOKUP(B1206,'Pre-Summary'!$BG$6:$BM$44,6,FALSE),S1207)</f>
        <v>6.8761751275839902E-2</v>
      </c>
      <c r="T1206" s="45" t="str">
        <f>IFERROR(VLOOKUP(B1206,'Pre-Summary'!$Y$6:$AC$83, 3,FALSE),"")</f>
        <v/>
      </c>
      <c r="U1206" s="45" t="str">
        <f>IFERROR(VLOOKUP(B1206,'Pre-Summary'!$Y$6:$AC$83, 4,FALSE),"")</f>
        <v/>
      </c>
      <c r="V1206" t="str">
        <f>IFERROR(VLOOKUP(B1206,'Pre-Summary'!$Y$6:$AC$83, 5,FALSE),"")</f>
        <v/>
      </c>
      <c r="W1206" s="45" t="str">
        <f>IFERROR(VLOOKUP(B1206,'Pre-Summary'!$Y$6:$AD$83,6,FALSE),"")</f>
        <v/>
      </c>
      <c r="X1206" t="str">
        <f>IFERROR(VLOOKUP('Pre-Summary'!$DB$6:$DD$63,3,FALSE),"")</f>
        <v/>
      </c>
      <c r="Y1206" t="str">
        <f>IFERROR(VLOOKUP(B1206,'Pre-Summary'!$CR$6:$CT$36,3,FALSE),"")</f>
        <v/>
      </c>
      <c r="Z1206" s="45" t="str">
        <f>IFERROR(VLOOKUP(B1206,'Pre-Summary'!$BZ$6:$CB$63,2,FALSE),"")</f>
        <v/>
      </c>
      <c r="AA1206" s="45" t="str">
        <f>IFERROR(VLOOKUP(B1206,'Pre-Summary'!$CG$6:$CI$70,2,FALSE),"")</f>
        <v/>
      </c>
      <c r="AB1206" s="99">
        <f>IFERROR(VLOOKUP(B1206,'Pre-Summary'!$A$6:$P$178,9,FALSE),AB1207)</f>
        <v>0.28466705399875358</v>
      </c>
      <c r="AC1206" s="10">
        <f>IFERROR(VLOOKUP(Summary!B1206,'Pre-Summary'!$A$6:$P$184,5, FALSE)/100,AC1207)</f>
        <v>0.95201066666666678</v>
      </c>
      <c r="AD1206" s="10">
        <f>IFERROR(VLOOKUP(Summary!B1206,'Pre-Summary'!$A$6:$P$184,3, FALSE)/100,AD1207)</f>
        <v>6.9433333333333335E-3</v>
      </c>
      <c r="AE1206" s="10">
        <f>IFERROR(VLOOKUP(Summary!B1206,'Pre-Summary'!$A$6:$P$184,7, FALSE)/100,AE1207)</f>
        <v>4.1046000000000006E-2</v>
      </c>
      <c r="AF1206" s="99">
        <f t="shared" si="55"/>
        <v>1.9765382449313459E-3</v>
      </c>
      <c r="AG1206" s="99">
        <f t="shared" si="56"/>
        <v>1.1684443898432841E-2</v>
      </c>
      <c r="AH1206" s="10" t="str">
        <f>IFERROR(VLOOKUP(B1206,'Pre-Summary'!$AZ$6:$BE$65,3,FALSE),"")</f>
        <v/>
      </c>
      <c r="AI1206" s="10" t="str">
        <f>IFERROR(VLOOKUP(B1206,'Pre-Summary'!$AZ$6:$BE$65,5,FALSE),"")</f>
        <v/>
      </c>
      <c r="AJ1206" s="10" t="str">
        <f>IFERROR(VLOOKUP(B1206,'Pre-Summary'!$AZ$6:$BE$65,4,FALSE),"")</f>
        <v/>
      </c>
      <c r="AK1206" s="10" t="str">
        <f>IFERROR(VLOOKUP(B1206,'Pre-Summary'!$AZ$6:$BE$65,6,FALSE),"")</f>
        <v/>
      </c>
      <c r="AL1206" s="10" t="str">
        <f>IFERROR(VLOOKUP(B1206,'Pre-Summary'!$BG$6:$BL$44,3,FALSE),"")</f>
        <v/>
      </c>
      <c r="AM1206" s="10" t="str">
        <f>IFERROR(VLOOKUP(B1206,'Pre-Summary'!$BG$6:$BL$44,4,FALSE),"")</f>
        <v/>
      </c>
    </row>
    <row r="1207" spans="2:39" ht="15" customHeight="1" x14ac:dyDescent="0.3">
      <c r="B1207">
        <v>120.4</v>
      </c>
      <c r="C1207" t="str">
        <f>IFERROR(VLOOKUP(B1207,'Pre-Summary'!$DI$6:$DM$23,4,FALSE),"")</f>
        <v/>
      </c>
      <c r="D1207" s="10" t="str">
        <f>IFERROR(VLOOKUP(B1207,'Pre-Summary'!$AT$6:$AX$14,5,FALSE),D1206)</f>
        <v>DSMZ v4: dropped out methanol</v>
      </c>
      <c r="E1207" s="10" t="str">
        <f>IFERROR(VLOOKUP(B1207,'Pre-Summary'!$AT$6:$AX$15,4,FALSE),"")</f>
        <v/>
      </c>
      <c r="F1207">
        <f>IFERROR(VLOOKUP(B1207,'Pre-Summary'!$AL$6:$AQ$13,6,FALSE),F1206)</f>
        <v>5.9405263157894746E-2</v>
      </c>
      <c r="G1207" t="str">
        <f>IFERROR(VLOOKUP(B1207,'Pre-Summary'!$AE$6:$AJ$85,3,FALSE),"")</f>
        <v/>
      </c>
      <c r="H1207" t="str">
        <f>IFERROR(VLOOKUP(B1207,'Pre-Summary'!$AE$6:$AJ$85,4,FALSE),"")</f>
        <v/>
      </c>
      <c r="I1207" t="str">
        <f>IFERROR(VLOOKUP(B1207,'Pre-Summary'!$AE$6:$AJ$85,5,FALSE),"")</f>
        <v/>
      </c>
      <c r="J1207" s="45" t="str">
        <f>IFERROR(VLOOKUP(B1207,'Pre-Summary'!$AE$6:$AJ$85,6, FALSE),"")</f>
        <v/>
      </c>
      <c r="K1207" s="45" t="str">
        <f>IFERROR(VLOOKUP(B1207,'Pre-Summary'!$DE$6:$DG$61,3,FALSE),"")</f>
        <v/>
      </c>
      <c r="L1207" s="45" t="str">
        <f>IFERROR(VLOOKUP(B1207,'Pre-Summary'!$CU$6:$CW$36,3,FALSE),"")</f>
        <v/>
      </c>
      <c r="M1207" s="45" t="str">
        <f>IFERROR(VLOOKUP(B1207,'Pre-Summary'!$BW$6:$BY$58,2,FALSE),"")</f>
        <v/>
      </c>
      <c r="N1207" s="45" t="str">
        <f>IFERROR(VLOOKUP(B1207,'Pre-Summary'!$CD$6:$CF$64,2,FALSE),"")</f>
        <v/>
      </c>
      <c r="O1207" s="99">
        <f>IFERROR(VLOOKUP(B1207,'Pre-Summary'!$BO$6:$BQ$48,3, FALSE),O1206)</f>
        <v>1.2</v>
      </c>
      <c r="P1207" s="99">
        <f>IFERROR(VLOOKUP(B1207,'Pre-Summary'!$BS$6:$BU$35,3,FALSE),P1206)</f>
        <v>0.3</v>
      </c>
      <c r="Q1207" s="54">
        <f t="shared" si="54"/>
        <v>4</v>
      </c>
      <c r="R1207" s="53">
        <f>IFERROR(VLOOKUP(B1207,'Pre-Summary'!$BG$6:$BM$44,7,FALSE),R1208)</f>
        <v>7.6574939085447311E-2</v>
      </c>
      <c r="S1207" s="53">
        <f>IFERROR(VLOOKUP(B1207,'Pre-Summary'!$BG$6:$BM$44,6,FALSE),S1208)</f>
        <v>6.8761751275839902E-2</v>
      </c>
      <c r="T1207" s="45" t="str">
        <f>IFERROR(VLOOKUP(B1207,'Pre-Summary'!$Y$6:$AC$83, 3,FALSE),"")</f>
        <v/>
      </c>
      <c r="U1207" s="45" t="str">
        <f>IFERROR(VLOOKUP(B1207,'Pre-Summary'!$Y$6:$AC$83, 4,FALSE),"")</f>
        <v/>
      </c>
      <c r="V1207" t="str">
        <f>IFERROR(VLOOKUP(B1207,'Pre-Summary'!$Y$6:$AC$83, 5,FALSE),"")</f>
        <v/>
      </c>
      <c r="W1207" s="45" t="str">
        <f>IFERROR(VLOOKUP(B1207,'Pre-Summary'!$Y$6:$AD$83,6,FALSE),"")</f>
        <v/>
      </c>
      <c r="X1207" t="str">
        <f>IFERROR(VLOOKUP('Pre-Summary'!$DB$6:$DD$63,3,FALSE),"")</f>
        <v/>
      </c>
      <c r="Y1207" t="str">
        <f>IFERROR(VLOOKUP(B1207,'Pre-Summary'!$CR$6:$CT$36,3,FALSE),"")</f>
        <v/>
      </c>
      <c r="Z1207" s="45" t="str">
        <f>IFERROR(VLOOKUP(B1207,'Pre-Summary'!$BZ$6:$CB$63,2,FALSE),"")</f>
        <v/>
      </c>
      <c r="AA1207" s="45" t="str">
        <f>IFERROR(VLOOKUP(B1207,'Pre-Summary'!$CG$6:$CI$70,2,FALSE),"")</f>
        <v/>
      </c>
      <c r="AB1207" s="99">
        <f>IFERROR(VLOOKUP(B1207,'Pre-Summary'!$A$6:$P$178,9,FALSE),AB1208)</f>
        <v>0.28466705399875358</v>
      </c>
      <c r="AC1207" s="10">
        <f>IFERROR(VLOOKUP(Summary!B1207,'Pre-Summary'!$A$6:$P$184,5, FALSE)/100,AC1208)</f>
        <v>0.95201066666666678</v>
      </c>
      <c r="AD1207" s="10">
        <f>IFERROR(VLOOKUP(Summary!B1207,'Pre-Summary'!$A$6:$P$184,3, FALSE)/100,AD1208)</f>
        <v>6.9433333333333335E-3</v>
      </c>
      <c r="AE1207" s="10">
        <f>IFERROR(VLOOKUP(Summary!B1207,'Pre-Summary'!$A$6:$P$184,7, FALSE)/100,AE1208)</f>
        <v>4.1046000000000006E-2</v>
      </c>
      <c r="AF1207" s="99">
        <f t="shared" si="55"/>
        <v>1.9765382449313459E-3</v>
      </c>
      <c r="AG1207" s="99">
        <f t="shared" si="56"/>
        <v>1.1684443898432841E-2</v>
      </c>
      <c r="AH1207" s="10" t="str">
        <f>IFERROR(VLOOKUP(B1207,'Pre-Summary'!$AZ$6:$BE$65,3,FALSE),"")</f>
        <v/>
      </c>
      <c r="AI1207" s="10" t="str">
        <f>IFERROR(VLOOKUP(B1207,'Pre-Summary'!$AZ$6:$BE$65,5,FALSE),"")</f>
        <v/>
      </c>
      <c r="AJ1207" s="10" t="str">
        <f>IFERROR(VLOOKUP(B1207,'Pre-Summary'!$AZ$6:$BE$65,4,FALSE),"")</f>
        <v/>
      </c>
      <c r="AK1207" s="10" t="str">
        <f>IFERROR(VLOOKUP(B1207,'Pre-Summary'!$AZ$6:$BE$65,6,FALSE),"")</f>
        <v/>
      </c>
      <c r="AL1207" s="10" t="str">
        <f>IFERROR(VLOOKUP(B1207,'Pre-Summary'!$BG$6:$BL$44,3,FALSE),"")</f>
        <v/>
      </c>
      <c r="AM1207" s="10" t="str">
        <f>IFERROR(VLOOKUP(B1207,'Pre-Summary'!$BG$6:$BL$44,4,FALSE),"")</f>
        <v/>
      </c>
    </row>
    <row r="1208" spans="2:39" ht="15" customHeight="1" x14ac:dyDescent="0.3">
      <c r="B1208">
        <v>120.5</v>
      </c>
      <c r="C1208" t="str">
        <f>IFERROR(VLOOKUP(B1208,'Pre-Summary'!$DI$6:$DM$23,4,FALSE),"")</f>
        <v/>
      </c>
      <c r="D1208" s="10" t="str">
        <f>IFERROR(VLOOKUP(B1208,'Pre-Summary'!$AT$6:$AX$14,5,FALSE),D1207)</f>
        <v>DSMZ v4: dropped out methanol</v>
      </c>
      <c r="E1208" s="10" t="str">
        <f>IFERROR(VLOOKUP(B1208,'Pre-Summary'!$AT$6:$AX$15,4,FALSE),"")</f>
        <v/>
      </c>
      <c r="F1208">
        <f>IFERROR(VLOOKUP(B1208,'Pre-Summary'!$AL$6:$AQ$13,6,FALSE),F1207)</f>
        <v>5.9405263157894746E-2</v>
      </c>
      <c r="G1208">
        <f>IFERROR(VLOOKUP(B1208,'Pre-Summary'!$AE$6:$AJ$85,3,FALSE),"")</f>
        <v>74.061999999999998</v>
      </c>
      <c r="H1208" t="str">
        <f>IFERROR(VLOOKUP(B1208,'Pre-Summary'!$AE$6:$AJ$85,4,FALSE),"")</f>
        <v/>
      </c>
      <c r="I1208">
        <f>IFERROR(VLOOKUP(B1208,'Pre-Summary'!$AE$6:$AJ$85,5,FALSE),"")</f>
        <v>0</v>
      </c>
      <c r="J1208" s="45">
        <f>IFERROR(VLOOKUP(B1208,'Pre-Summary'!$AE$6:$AJ$85,6, FALSE),"")</f>
        <v>79.024153999999996</v>
      </c>
      <c r="K1208" s="45">
        <f>IFERROR(VLOOKUP(B1208,'Pre-Summary'!$DE$6:$DG$61,3,FALSE),"")</f>
        <v>150</v>
      </c>
      <c r="L1208" s="45" t="str">
        <f>IFERROR(VLOOKUP(B1208,'Pre-Summary'!$CU$6:$CW$36,3,FALSE),"")</f>
        <v/>
      </c>
      <c r="M1208" s="45" t="str">
        <f>IFERROR(VLOOKUP(B1208,'Pre-Summary'!$BW$6:$BY$58,2,FALSE),"")</f>
        <v/>
      </c>
      <c r="N1208" s="45">
        <f>IFERROR(VLOOKUP(B1208,'Pre-Summary'!$CD$6:$CF$64,2,FALSE),"")</f>
        <v>32.073655991531147</v>
      </c>
      <c r="O1208" s="99">
        <f>IFERROR(VLOOKUP(B1208,'Pre-Summary'!$BO$6:$BQ$48,3, FALSE),O1207)</f>
        <v>1.2</v>
      </c>
      <c r="P1208" s="99">
        <f>IFERROR(VLOOKUP(B1208,'Pre-Summary'!$BS$6:$BU$35,3,FALSE),P1207)</f>
        <v>0.3</v>
      </c>
      <c r="Q1208" s="54">
        <f t="shared" si="54"/>
        <v>4</v>
      </c>
      <c r="R1208" s="53">
        <f>IFERROR(VLOOKUP(B1208,'Pre-Summary'!$BG$6:$BM$44,7,FALSE),R1209)</f>
        <v>7.6574939085447311E-2</v>
      </c>
      <c r="S1208" s="53">
        <f>IFERROR(VLOOKUP(B1208,'Pre-Summary'!$BG$6:$BM$44,6,FALSE),S1209)</f>
        <v>6.8761751275839902E-2</v>
      </c>
      <c r="T1208" s="45">
        <f>IFERROR(VLOOKUP(B1208,'Pre-Summary'!$Y$6:$AC$83, 3,FALSE),"")</f>
        <v>56.564</v>
      </c>
      <c r="U1208" s="45" t="str">
        <f>IFERROR(VLOOKUP(B1208,'Pre-Summary'!$Y$6:$AC$83, 4,FALSE),"")</f>
        <v/>
      </c>
      <c r="V1208">
        <f>IFERROR(VLOOKUP(B1208,'Pre-Summary'!$Y$6:$AC$83, 5,FALSE),"")</f>
        <v>0</v>
      </c>
      <c r="W1208" s="45">
        <f>IFERROR(VLOOKUP(B1208,'Pre-Summary'!$Y$6:$AD$83,6,FALSE),"")</f>
        <v>60.353787999999994</v>
      </c>
      <c r="X1208" t="str">
        <f>IFERROR(VLOOKUP('Pre-Summary'!$DB$6:$DD$63,3,FALSE),"")</f>
        <v/>
      </c>
      <c r="Y1208" t="str">
        <f>IFERROR(VLOOKUP(B1208,'Pre-Summary'!$CR$6:$CT$36,3,FALSE),"")</f>
        <v/>
      </c>
      <c r="Z1208" s="45" t="str">
        <f>IFERROR(VLOOKUP(B1208,'Pre-Summary'!$BZ$6:$CB$63,2,FALSE),"")</f>
        <v/>
      </c>
      <c r="AA1208" s="45" t="str">
        <f>IFERROR(VLOOKUP(B1208,'Pre-Summary'!$CG$6:$CI$70,2,FALSE),"")</f>
        <v/>
      </c>
      <c r="AB1208" s="99">
        <f>IFERROR(VLOOKUP(B1208,'Pre-Summary'!$A$6:$P$178,9,FALSE),AB1209)</f>
        <v>0.28466705399875358</v>
      </c>
      <c r="AC1208" s="10">
        <f>IFERROR(VLOOKUP(Summary!B1208,'Pre-Summary'!$A$6:$P$184,5, FALSE)/100,AC1209)</f>
        <v>0.95201066666666678</v>
      </c>
      <c r="AD1208" s="10">
        <f>IFERROR(VLOOKUP(Summary!B1208,'Pre-Summary'!$A$6:$P$184,3, FALSE)/100,AD1209)</f>
        <v>6.9433333333333335E-3</v>
      </c>
      <c r="AE1208" s="10">
        <f>IFERROR(VLOOKUP(Summary!B1208,'Pre-Summary'!$A$6:$P$184,7, FALSE)/100,AE1209)</f>
        <v>4.1046000000000006E-2</v>
      </c>
      <c r="AF1208" s="99">
        <f t="shared" si="55"/>
        <v>1.9765382449313459E-3</v>
      </c>
      <c r="AG1208" s="99">
        <f t="shared" si="56"/>
        <v>1.1684443898432841E-2</v>
      </c>
      <c r="AH1208" s="10" t="str">
        <f>IFERROR(VLOOKUP(B1208,'Pre-Summary'!$AZ$6:$BE$65,3,FALSE),"")</f>
        <v/>
      </c>
      <c r="AI1208" s="10" t="str">
        <f>IFERROR(VLOOKUP(B1208,'Pre-Summary'!$AZ$6:$BE$65,5,FALSE),"")</f>
        <v/>
      </c>
      <c r="AJ1208" s="10" t="str">
        <f>IFERROR(VLOOKUP(B1208,'Pre-Summary'!$AZ$6:$BE$65,4,FALSE),"")</f>
        <v/>
      </c>
      <c r="AK1208" s="10" t="str">
        <f>IFERROR(VLOOKUP(B1208,'Pre-Summary'!$AZ$6:$BE$65,6,FALSE),"")</f>
        <v/>
      </c>
      <c r="AL1208" s="10" t="str">
        <f>IFERROR(VLOOKUP(B1208,'Pre-Summary'!$BG$6:$BL$44,3,FALSE),"")</f>
        <v/>
      </c>
      <c r="AM1208" s="10" t="str">
        <f>IFERROR(VLOOKUP(B1208,'Pre-Summary'!$BG$6:$BL$44,4,FALSE),"")</f>
        <v/>
      </c>
    </row>
    <row r="1209" spans="2:39" ht="15" customHeight="1" x14ac:dyDescent="0.3">
      <c r="B1209">
        <v>120.6</v>
      </c>
      <c r="C1209" t="str">
        <f>IFERROR(VLOOKUP(B1209,'Pre-Summary'!$DI$6:$DM$23,4,FALSE),"")</f>
        <v/>
      </c>
      <c r="D1209" s="10" t="str">
        <f>IFERROR(VLOOKUP(B1209,'Pre-Summary'!$AT$6:$AX$14,5,FALSE),D1208)</f>
        <v>DSMZ v4: dropped out methanol</v>
      </c>
      <c r="E1209" s="10" t="str">
        <f>IFERROR(VLOOKUP(B1209,'Pre-Summary'!$AT$6:$AX$15,4,FALSE),"")</f>
        <v/>
      </c>
      <c r="F1209">
        <f>IFERROR(VLOOKUP(B1209,'Pre-Summary'!$AL$6:$AQ$13,6,FALSE),F1208)</f>
        <v>5.9405263157894746E-2</v>
      </c>
      <c r="G1209" t="str">
        <f>IFERROR(VLOOKUP(B1209,'Pre-Summary'!$AE$6:$AJ$85,3,FALSE),"")</f>
        <v/>
      </c>
      <c r="H1209" t="str">
        <f>IFERROR(VLOOKUP(B1209,'Pre-Summary'!$AE$6:$AJ$85,4,FALSE),"")</f>
        <v/>
      </c>
      <c r="I1209" t="str">
        <f>IFERROR(VLOOKUP(B1209,'Pre-Summary'!$AE$6:$AJ$85,5,FALSE),"")</f>
        <v/>
      </c>
      <c r="J1209" s="45" t="str">
        <f>IFERROR(VLOOKUP(B1209,'Pre-Summary'!$AE$6:$AJ$85,6, FALSE),"")</f>
        <v/>
      </c>
      <c r="K1209" s="45" t="str">
        <f>IFERROR(VLOOKUP(B1209,'Pre-Summary'!$DE$6:$DG$61,3,FALSE),"")</f>
        <v/>
      </c>
      <c r="L1209" s="45" t="str">
        <f>IFERROR(VLOOKUP(B1209,'Pre-Summary'!$CU$6:$CW$36,3,FALSE),"")</f>
        <v/>
      </c>
      <c r="M1209" s="45" t="str">
        <f>IFERROR(VLOOKUP(B1209,'Pre-Summary'!$BW$6:$BY$58,2,FALSE),"")</f>
        <v/>
      </c>
      <c r="N1209" s="45" t="str">
        <f>IFERROR(VLOOKUP(B1209,'Pre-Summary'!$CD$6:$CF$64,2,FALSE),"")</f>
        <v/>
      </c>
      <c r="O1209" s="99">
        <f>IFERROR(VLOOKUP(B1209,'Pre-Summary'!$BO$6:$BQ$48,3, FALSE),O1208)</f>
        <v>1.2</v>
      </c>
      <c r="P1209" s="99">
        <f>IFERROR(VLOOKUP(B1209,'Pre-Summary'!$BS$6:$BU$35,3,FALSE),P1208)</f>
        <v>0.3</v>
      </c>
      <c r="Q1209" s="54">
        <f t="shared" si="54"/>
        <v>4</v>
      </c>
      <c r="R1209" s="53">
        <f>IFERROR(VLOOKUP(B1209,'Pre-Summary'!$BG$6:$BM$44,7,FALSE),R1210)</f>
        <v>7.6574939085447311E-2</v>
      </c>
      <c r="S1209" s="53">
        <f>IFERROR(VLOOKUP(B1209,'Pre-Summary'!$BG$6:$BM$44,6,FALSE),S1210)</f>
        <v>6.8761751275839902E-2</v>
      </c>
      <c r="T1209" s="45" t="str">
        <f>IFERROR(VLOOKUP(B1209,'Pre-Summary'!$Y$6:$AC$83, 3,FALSE),"")</f>
        <v/>
      </c>
      <c r="U1209" s="45" t="str">
        <f>IFERROR(VLOOKUP(B1209,'Pre-Summary'!$Y$6:$AC$83, 4,FALSE),"")</f>
        <v/>
      </c>
      <c r="V1209" t="str">
        <f>IFERROR(VLOOKUP(B1209,'Pre-Summary'!$Y$6:$AC$83, 5,FALSE),"")</f>
        <v/>
      </c>
      <c r="W1209" s="45" t="str">
        <f>IFERROR(VLOOKUP(B1209,'Pre-Summary'!$Y$6:$AD$83,6,FALSE),"")</f>
        <v/>
      </c>
      <c r="X1209" t="str">
        <f>IFERROR(VLOOKUP('Pre-Summary'!$DB$6:$DD$63,3,FALSE),"")</f>
        <v/>
      </c>
      <c r="Y1209" t="str">
        <f>IFERROR(VLOOKUP(B1209,'Pre-Summary'!$CR$6:$CT$36,3,FALSE),"")</f>
        <v/>
      </c>
      <c r="Z1209" s="45" t="str">
        <f>IFERROR(VLOOKUP(B1209,'Pre-Summary'!$BZ$6:$CB$63,2,FALSE),"")</f>
        <v/>
      </c>
      <c r="AA1209" s="45" t="str">
        <f>IFERROR(VLOOKUP(B1209,'Pre-Summary'!$CG$6:$CI$70,2,FALSE),"")</f>
        <v/>
      </c>
      <c r="AB1209" s="99">
        <f>IFERROR(VLOOKUP(B1209,'Pre-Summary'!$A$6:$P$178,9,FALSE),AB1210)</f>
        <v>0.28466705399875358</v>
      </c>
      <c r="AC1209" s="10">
        <f>IFERROR(VLOOKUP(Summary!B1209,'Pre-Summary'!$A$6:$P$184,5, FALSE)/100,AC1210)</f>
        <v>0.95201066666666678</v>
      </c>
      <c r="AD1209" s="10">
        <f>IFERROR(VLOOKUP(Summary!B1209,'Pre-Summary'!$A$6:$P$184,3, FALSE)/100,AD1210)</f>
        <v>6.9433333333333335E-3</v>
      </c>
      <c r="AE1209" s="10">
        <f>IFERROR(VLOOKUP(Summary!B1209,'Pre-Summary'!$A$6:$P$184,7, FALSE)/100,AE1210)</f>
        <v>4.1046000000000006E-2</v>
      </c>
      <c r="AF1209" s="99">
        <f t="shared" si="55"/>
        <v>1.9765382449313459E-3</v>
      </c>
      <c r="AG1209" s="99">
        <f t="shared" si="56"/>
        <v>1.1684443898432841E-2</v>
      </c>
      <c r="AH1209" s="10" t="str">
        <f>IFERROR(VLOOKUP(B1209,'Pre-Summary'!$AZ$6:$BE$65,3,FALSE),"")</f>
        <v/>
      </c>
      <c r="AI1209" s="10" t="str">
        <f>IFERROR(VLOOKUP(B1209,'Pre-Summary'!$AZ$6:$BE$65,5,FALSE),"")</f>
        <v/>
      </c>
      <c r="AJ1209" s="10" t="str">
        <f>IFERROR(VLOOKUP(B1209,'Pre-Summary'!$AZ$6:$BE$65,4,FALSE),"")</f>
        <v/>
      </c>
      <c r="AK1209" s="10" t="str">
        <f>IFERROR(VLOOKUP(B1209,'Pre-Summary'!$AZ$6:$BE$65,6,FALSE),"")</f>
        <v/>
      </c>
      <c r="AL1209" s="10" t="str">
        <f>IFERROR(VLOOKUP(B1209,'Pre-Summary'!$BG$6:$BL$44,3,FALSE),"")</f>
        <v/>
      </c>
      <c r="AM1209" s="10" t="str">
        <f>IFERROR(VLOOKUP(B1209,'Pre-Summary'!$BG$6:$BL$44,4,FALSE),"")</f>
        <v/>
      </c>
    </row>
    <row r="1210" spans="2:39" ht="15" customHeight="1" x14ac:dyDescent="0.3">
      <c r="B1210">
        <v>120.7</v>
      </c>
      <c r="C1210" t="str">
        <f>IFERROR(VLOOKUP(B1210,'Pre-Summary'!$DI$6:$DM$23,4,FALSE),"")</f>
        <v/>
      </c>
      <c r="D1210" s="10" t="str">
        <f>IFERROR(VLOOKUP(B1210,'Pre-Summary'!$AT$6:$AX$14,5,FALSE),D1209)</f>
        <v>DSMZ v4: dropped out methanol</v>
      </c>
      <c r="E1210" s="10" t="str">
        <f>IFERROR(VLOOKUP(B1210,'Pre-Summary'!$AT$6:$AX$15,4,FALSE),"")</f>
        <v/>
      </c>
      <c r="F1210">
        <f>IFERROR(VLOOKUP(B1210,'Pre-Summary'!$AL$6:$AQ$13,6,FALSE),F1209)</f>
        <v>5.9405263157894746E-2</v>
      </c>
      <c r="G1210" t="str">
        <f>IFERROR(VLOOKUP(B1210,'Pre-Summary'!$AE$6:$AJ$85,3,FALSE),"")</f>
        <v/>
      </c>
      <c r="H1210" t="str">
        <f>IFERROR(VLOOKUP(B1210,'Pre-Summary'!$AE$6:$AJ$85,4,FALSE),"")</f>
        <v/>
      </c>
      <c r="I1210" t="str">
        <f>IFERROR(VLOOKUP(B1210,'Pre-Summary'!$AE$6:$AJ$85,5,FALSE),"")</f>
        <v/>
      </c>
      <c r="J1210" s="45" t="str">
        <f>IFERROR(VLOOKUP(B1210,'Pre-Summary'!$AE$6:$AJ$85,6, FALSE),"")</f>
        <v/>
      </c>
      <c r="K1210" s="45" t="str">
        <f>IFERROR(VLOOKUP(B1210,'Pre-Summary'!$DE$6:$DG$61,3,FALSE),"")</f>
        <v/>
      </c>
      <c r="L1210" s="45" t="str">
        <f>IFERROR(VLOOKUP(B1210,'Pre-Summary'!$CU$6:$CW$36,3,FALSE),"")</f>
        <v/>
      </c>
      <c r="M1210" s="45" t="str">
        <f>IFERROR(VLOOKUP(B1210,'Pre-Summary'!$BW$6:$BY$58,2,FALSE),"")</f>
        <v/>
      </c>
      <c r="N1210" s="45" t="str">
        <f>IFERROR(VLOOKUP(B1210,'Pre-Summary'!$CD$6:$CF$64,2,FALSE),"")</f>
        <v/>
      </c>
      <c r="O1210" s="99">
        <f>IFERROR(VLOOKUP(B1210,'Pre-Summary'!$BO$6:$BQ$48,3, FALSE),O1209)</f>
        <v>1.2</v>
      </c>
      <c r="P1210" s="99">
        <f>IFERROR(VLOOKUP(B1210,'Pre-Summary'!$BS$6:$BU$35,3,FALSE),P1209)</f>
        <v>0.3</v>
      </c>
      <c r="Q1210" s="54">
        <f t="shared" si="54"/>
        <v>4</v>
      </c>
      <c r="R1210" s="53">
        <f>IFERROR(VLOOKUP(B1210,'Pre-Summary'!$BG$6:$BM$44,7,FALSE),R1211)</f>
        <v>7.6574939085447311E-2</v>
      </c>
      <c r="S1210" s="53">
        <f>IFERROR(VLOOKUP(B1210,'Pre-Summary'!$BG$6:$BM$44,6,FALSE),S1211)</f>
        <v>6.8761751275839902E-2</v>
      </c>
      <c r="T1210" s="45" t="str">
        <f>IFERROR(VLOOKUP(B1210,'Pre-Summary'!$Y$6:$AC$83, 3,FALSE),"")</f>
        <v/>
      </c>
      <c r="U1210" s="45" t="str">
        <f>IFERROR(VLOOKUP(B1210,'Pre-Summary'!$Y$6:$AC$83, 4,FALSE),"")</f>
        <v/>
      </c>
      <c r="V1210" t="str">
        <f>IFERROR(VLOOKUP(B1210,'Pre-Summary'!$Y$6:$AC$83, 5,FALSE),"")</f>
        <v/>
      </c>
      <c r="W1210" s="45" t="str">
        <f>IFERROR(VLOOKUP(B1210,'Pre-Summary'!$Y$6:$AD$83,6,FALSE),"")</f>
        <v/>
      </c>
      <c r="X1210" t="str">
        <f>IFERROR(VLOOKUP('Pre-Summary'!$DB$6:$DD$63,3,FALSE),"")</f>
        <v/>
      </c>
      <c r="Y1210" t="str">
        <f>IFERROR(VLOOKUP(B1210,'Pre-Summary'!$CR$6:$CT$36,3,FALSE),"")</f>
        <v/>
      </c>
      <c r="Z1210" s="45" t="str">
        <f>IFERROR(VLOOKUP(B1210,'Pre-Summary'!$BZ$6:$CB$63,2,FALSE),"")</f>
        <v/>
      </c>
      <c r="AA1210" s="45" t="str">
        <f>IFERROR(VLOOKUP(B1210,'Pre-Summary'!$CG$6:$CI$70,2,FALSE),"")</f>
        <v/>
      </c>
      <c r="AB1210" s="99">
        <f>IFERROR(VLOOKUP(B1210,'Pre-Summary'!$A$6:$P$178,9,FALSE),AB1211)</f>
        <v>0.28466705399875358</v>
      </c>
      <c r="AC1210" s="10">
        <f>IFERROR(VLOOKUP(Summary!B1210,'Pre-Summary'!$A$6:$P$184,5, FALSE)/100,AC1211)</f>
        <v>0.95201066666666678</v>
      </c>
      <c r="AD1210" s="10">
        <f>IFERROR(VLOOKUP(Summary!B1210,'Pre-Summary'!$A$6:$P$184,3, FALSE)/100,AD1211)</f>
        <v>6.9433333333333335E-3</v>
      </c>
      <c r="AE1210" s="10">
        <f>IFERROR(VLOOKUP(Summary!B1210,'Pre-Summary'!$A$6:$P$184,7, FALSE)/100,AE1211)</f>
        <v>4.1046000000000006E-2</v>
      </c>
      <c r="AF1210" s="99">
        <f t="shared" si="55"/>
        <v>1.9765382449313459E-3</v>
      </c>
      <c r="AG1210" s="99">
        <f t="shared" si="56"/>
        <v>1.1684443898432841E-2</v>
      </c>
      <c r="AH1210" s="10" t="str">
        <f>IFERROR(VLOOKUP(B1210,'Pre-Summary'!$AZ$6:$BE$65,3,FALSE),"")</f>
        <v/>
      </c>
      <c r="AI1210" s="10" t="str">
        <f>IFERROR(VLOOKUP(B1210,'Pre-Summary'!$AZ$6:$BE$65,5,FALSE),"")</f>
        <v/>
      </c>
      <c r="AJ1210" s="10" t="str">
        <f>IFERROR(VLOOKUP(B1210,'Pre-Summary'!$AZ$6:$BE$65,4,FALSE),"")</f>
        <v/>
      </c>
      <c r="AK1210" s="10" t="str">
        <f>IFERROR(VLOOKUP(B1210,'Pre-Summary'!$AZ$6:$BE$65,6,FALSE),"")</f>
        <v/>
      </c>
      <c r="AL1210" s="10" t="str">
        <f>IFERROR(VLOOKUP(B1210,'Pre-Summary'!$BG$6:$BL$44,3,FALSE),"")</f>
        <v/>
      </c>
      <c r="AM1210" s="10" t="str">
        <f>IFERROR(VLOOKUP(B1210,'Pre-Summary'!$BG$6:$BL$44,4,FALSE),"")</f>
        <v/>
      </c>
    </row>
    <row r="1211" spans="2:39" ht="15" customHeight="1" x14ac:dyDescent="0.3">
      <c r="B1211">
        <v>120.8</v>
      </c>
      <c r="C1211" t="str">
        <f>IFERROR(VLOOKUP(B1211,'Pre-Summary'!$DI$6:$DM$23,4,FALSE),"")</f>
        <v/>
      </c>
      <c r="D1211" s="10" t="str">
        <f>IFERROR(VLOOKUP(B1211,'Pre-Summary'!$AT$6:$AX$14,5,FALSE),D1210)</f>
        <v>DSMZ v4: dropped out methanol</v>
      </c>
      <c r="E1211" s="10" t="str">
        <f>IFERROR(VLOOKUP(B1211,'Pre-Summary'!$AT$6:$AX$15,4,FALSE),"")</f>
        <v/>
      </c>
      <c r="F1211">
        <f>IFERROR(VLOOKUP(B1211,'Pre-Summary'!$AL$6:$AQ$13,6,FALSE),F1210)</f>
        <v>5.9405263157894746E-2</v>
      </c>
      <c r="G1211" t="str">
        <f>IFERROR(VLOOKUP(B1211,'Pre-Summary'!$AE$6:$AJ$85,3,FALSE),"")</f>
        <v/>
      </c>
      <c r="H1211" t="str">
        <f>IFERROR(VLOOKUP(B1211,'Pre-Summary'!$AE$6:$AJ$85,4,FALSE),"")</f>
        <v/>
      </c>
      <c r="I1211" t="str">
        <f>IFERROR(VLOOKUP(B1211,'Pre-Summary'!$AE$6:$AJ$85,5,FALSE),"")</f>
        <v/>
      </c>
      <c r="J1211" s="45" t="str">
        <f>IFERROR(VLOOKUP(B1211,'Pre-Summary'!$AE$6:$AJ$85,6, FALSE),"")</f>
        <v/>
      </c>
      <c r="K1211" s="45" t="str">
        <f>IFERROR(VLOOKUP(B1211,'Pre-Summary'!$DE$6:$DG$61,3,FALSE),"")</f>
        <v/>
      </c>
      <c r="L1211" s="45" t="str">
        <f>IFERROR(VLOOKUP(B1211,'Pre-Summary'!$CU$6:$CW$36,3,FALSE),"")</f>
        <v/>
      </c>
      <c r="M1211" s="45" t="str">
        <f>IFERROR(VLOOKUP(B1211,'Pre-Summary'!$BW$6:$BY$58,2,FALSE),"")</f>
        <v/>
      </c>
      <c r="N1211" s="45" t="str">
        <f>IFERROR(VLOOKUP(B1211,'Pre-Summary'!$CD$6:$CF$64,2,FALSE),"")</f>
        <v/>
      </c>
      <c r="O1211" s="99">
        <f>IFERROR(VLOOKUP(B1211,'Pre-Summary'!$BO$6:$BQ$48,3, FALSE),O1210)</f>
        <v>1.2</v>
      </c>
      <c r="P1211" s="99">
        <f>IFERROR(VLOOKUP(B1211,'Pre-Summary'!$BS$6:$BU$35,3,FALSE),P1210)</f>
        <v>0.3</v>
      </c>
      <c r="Q1211" s="54">
        <f t="shared" si="54"/>
        <v>4</v>
      </c>
      <c r="R1211" s="53">
        <f>IFERROR(VLOOKUP(B1211,'Pre-Summary'!$BG$6:$BM$44,7,FALSE),R1212)</f>
        <v>7.6574939085447311E-2</v>
      </c>
      <c r="S1211" s="53">
        <f>IFERROR(VLOOKUP(B1211,'Pre-Summary'!$BG$6:$BM$44,6,FALSE),S1212)</f>
        <v>6.8761751275839902E-2</v>
      </c>
      <c r="T1211" s="45" t="str">
        <f>IFERROR(VLOOKUP(B1211,'Pre-Summary'!$Y$6:$AC$83, 3,FALSE),"")</f>
        <v/>
      </c>
      <c r="U1211" s="45" t="str">
        <f>IFERROR(VLOOKUP(B1211,'Pre-Summary'!$Y$6:$AC$83, 4,FALSE),"")</f>
        <v/>
      </c>
      <c r="V1211" t="str">
        <f>IFERROR(VLOOKUP(B1211,'Pre-Summary'!$Y$6:$AC$83, 5,FALSE),"")</f>
        <v/>
      </c>
      <c r="W1211" s="45" t="str">
        <f>IFERROR(VLOOKUP(B1211,'Pre-Summary'!$Y$6:$AD$83,6,FALSE),"")</f>
        <v/>
      </c>
      <c r="X1211" t="str">
        <f>IFERROR(VLOOKUP('Pre-Summary'!$DB$6:$DD$63,3,FALSE),"")</f>
        <v/>
      </c>
      <c r="Y1211" t="str">
        <f>IFERROR(VLOOKUP(B1211,'Pre-Summary'!$CR$6:$CT$36,3,FALSE),"")</f>
        <v/>
      </c>
      <c r="Z1211" s="45" t="str">
        <f>IFERROR(VLOOKUP(B1211,'Pre-Summary'!$BZ$6:$CB$63,2,FALSE),"")</f>
        <v/>
      </c>
      <c r="AA1211" s="45" t="str">
        <f>IFERROR(VLOOKUP(B1211,'Pre-Summary'!$CG$6:$CI$70,2,FALSE),"")</f>
        <v/>
      </c>
      <c r="AB1211" s="99">
        <f>IFERROR(VLOOKUP(B1211,'Pre-Summary'!$A$6:$P$178,9,FALSE),AB1212)</f>
        <v>0.28466705399875358</v>
      </c>
      <c r="AC1211" s="10">
        <f>IFERROR(VLOOKUP(Summary!B1211,'Pre-Summary'!$A$6:$P$184,5, FALSE)/100,AC1212)</f>
        <v>0.95201066666666678</v>
      </c>
      <c r="AD1211" s="10">
        <f>IFERROR(VLOOKUP(Summary!B1211,'Pre-Summary'!$A$6:$P$184,3, FALSE)/100,AD1212)</f>
        <v>6.9433333333333335E-3</v>
      </c>
      <c r="AE1211" s="10">
        <f>IFERROR(VLOOKUP(Summary!B1211,'Pre-Summary'!$A$6:$P$184,7, FALSE)/100,AE1212)</f>
        <v>4.1046000000000006E-2</v>
      </c>
      <c r="AF1211" s="99">
        <f t="shared" si="55"/>
        <v>1.9765382449313459E-3</v>
      </c>
      <c r="AG1211" s="99">
        <f t="shared" si="56"/>
        <v>1.1684443898432841E-2</v>
      </c>
      <c r="AH1211" s="10" t="str">
        <f>IFERROR(VLOOKUP(B1211,'Pre-Summary'!$AZ$6:$BE$65,3,FALSE),"")</f>
        <v/>
      </c>
      <c r="AI1211" s="10" t="str">
        <f>IFERROR(VLOOKUP(B1211,'Pre-Summary'!$AZ$6:$BE$65,5,FALSE),"")</f>
        <v/>
      </c>
      <c r="AJ1211" s="10" t="str">
        <f>IFERROR(VLOOKUP(B1211,'Pre-Summary'!$AZ$6:$BE$65,4,FALSE),"")</f>
        <v/>
      </c>
      <c r="AK1211" s="10" t="str">
        <f>IFERROR(VLOOKUP(B1211,'Pre-Summary'!$AZ$6:$BE$65,6,FALSE),"")</f>
        <v/>
      </c>
      <c r="AL1211" s="10" t="str">
        <f>IFERROR(VLOOKUP(B1211,'Pre-Summary'!$BG$6:$BL$44,3,FALSE),"")</f>
        <v/>
      </c>
      <c r="AM1211" s="10" t="str">
        <f>IFERROR(VLOOKUP(B1211,'Pre-Summary'!$BG$6:$BL$44,4,FALSE),"")</f>
        <v/>
      </c>
    </row>
    <row r="1212" spans="2:39" ht="15" customHeight="1" x14ac:dyDescent="0.3">
      <c r="B1212">
        <v>120.9</v>
      </c>
      <c r="C1212" t="str">
        <f>IFERROR(VLOOKUP(B1212,'Pre-Summary'!$DI$6:$DM$23,4,FALSE),"")</f>
        <v/>
      </c>
      <c r="D1212" s="10" t="str">
        <f>IFERROR(VLOOKUP(B1212,'Pre-Summary'!$AT$6:$AX$14,5,FALSE),D1211)</f>
        <v>DSMZ v4: dropped out methanol</v>
      </c>
      <c r="E1212" s="10" t="str">
        <f>IFERROR(VLOOKUP(B1212,'Pre-Summary'!$AT$6:$AX$15,4,FALSE),"")</f>
        <v/>
      </c>
      <c r="F1212">
        <f>IFERROR(VLOOKUP(B1212,'Pre-Summary'!$AL$6:$AQ$13,6,FALSE),F1211)</f>
        <v>5.9405263157894746E-2</v>
      </c>
      <c r="G1212" t="str">
        <f>IFERROR(VLOOKUP(B1212,'Pre-Summary'!$AE$6:$AJ$85,3,FALSE),"")</f>
        <v/>
      </c>
      <c r="H1212" t="str">
        <f>IFERROR(VLOOKUP(B1212,'Pre-Summary'!$AE$6:$AJ$85,4,FALSE),"")</f>
        <v/>
      </c>
      <c r="I1212" t="str">
        <f>IFERROR(VLOOKUP(B1212,'Pre-Summary'!$AE$6:$AJ$85,5,FALSE),"")</f>
        <v/>
      </c>
      <c r="J1212" s="45" t="str">
        <f>IFERROR(VLOOKUP(B1212,'Pre-Summary'!$AE$6:$AJ$85,6, FALSE),"")</f>
        <v/>
      </c>
      <c r="K1212" s="45" t="str">
        <f>IFERROR(VLOOKUP(B1212,'Pre-Summary'!$DE$6:$DG$61,3,FALSE),"")</f>
        <v/>
      </c>
      <c r="L1212" s="45" t="str">
        <f>IFERROR(VLOOKUP(B1212,'Pre-Summary'!$CU$6:$CW$36,3,FALSE),"")</f>
        <v/>
      </c>
      <c r="M1212" s="45" t="str">
        <f>IFERROR(VLOOKUP(B1212,'Pre-Summary'!$BW$6:$BY$58,2,FALSE),"")</f>
        <v/>
      </c>
      <c r="N1212" s="45" t="str">
        <f>IFERROR(VLOOKUP(B1212,'Pre-Summary'!$CD$6:$CF$64,2,FALSE),"")</f>
        <v/>
      </c>
      <c r="O1212" s="99">
        <f>IFERROR(VLOOKUP(B1212,'Pre-Summary'!$BO$6:$BQ$48,3, FALSE),O1211)</f>
        <v>1.2</v>
      </c>
      <c r="P1212" s="99">
        <f>IFERROR(VLOOKUP(B1212,'Pre-Summary'!$BS$6:$BU$35,3,FALSE),P1211)</f>
        <v>0.3</v>
      </c>
      <c r="Q1212" s="54">
        <f t="shared" si="54"/>
        <v>4</v>
      </c>
      <c r="R1212" s="53">
        <f>IFERROR(VLOOKUP(B1212,'Pre-Summary'!$BG$6:$BM$44,7,FALSE),R1213)</f>
        <v>7.6574939085447311E-2</v>
      </c>
      <c r="S1212" s="53">
        <f>IFERROR(VLOOKUP(B1212,'Pre-Summary'!$BG$6:$BM$44,6,FALSE),S1213)</f>
        <v>6.8761751275839902E-2</v>
      </c>
      <c r="T1212" s="45" t="str">
        <f>IFERROR(VLOOKUP(B1212,'Pre-Summary'!$Y$6:$AC$83, 3,FALSE),"")</f>
        <v/>
      </c>
      <c r="U1212" s="45" t="str">
        <f>IFERROR(VLOOKUP(B1212,'Pre-Summary'!$Y$6:$AC$83, 4,FALSE),"")</f>
        <v/>
      </c>
      <c r="V1212" t="str">
        <f>IFERROR(VLOOKUP(B1212,'Pre-Summary'!$Y$6:$AC$83, 5,FALSE),"")</f>
        <v/>
      </c>
      <c r="W1212" s="45" t="str">
        <f>IFERROR(VLOOKUP(B1212,'Pre-Summary'!$Y$6:$AD$83,6,FALSE),"")</f>
        <v/>
      </c>
      <c r="X1212" t="str">
        <f>IFERROR(VLOOKUP('Pre-Summary'!$DB$6:$DD$63,3,FALSE),"")</f>
        <v/>
      </c>
      <c r="Y1212" t="str">
        <f>IFERROR(VLOOKUP(B1212,'Pre-Summary'!$CR$6:$CT$36,3,FALSE),"")</f>
        <v/>
      </c>
      <c r="Z1212" s="45" t="str">
        <f>IFERROR(VLOOKUP(B1212,'Pre-Summary'!$BZ$6:$CB$63,2,FALSE),"")</f>
        <v/>
      </c>
      <c r="AA1212" s="45" t="str">
        <f>IFERROR(VLOOKUP(B1212,'Pre-Summary'!$CG$6:$CI$70,2,FALSE),"")</f>
        <v/>
      </c>
      <c r="AB1212" s="99">
        <f>IFERROR(VLOOKUP(B1212,'Pre-Summary'!$A$6:$P$178,9,FALSE),AB1213)</f>
        <v>0.28466705399875358</v>
      </c>
      <c r="AC1212" s="10">
        <f>IFERROR(VLOOKUP(Summary!B1212,'Pre-Summary'!$A$6:$P$184,5, FALSE)/100,AC1213)</f>
        <v>0.95201066666666678</v>
      </c>
      <c r="AD1212" s="10">
        <f>IFERROR(VLOOKUP(Summary!B1212,'Pre-Summary'!$A$6:$P$184,3, FALSE)/100,AD1213)</f>
        <v>6.9433333333333335E-3</v>
      </c>
      <c r="AE1212" s="10">
        <f>IFERROR(VLOOKUP(Summary!B1212,'Pre-Summary'!$A$6:$P$184,7, FALSE)/100,AE1213)</f>
        <v>4.1046000000000006E-2</v>
      </c>
      <c r="AF1212" s="99">
        <f t="shared" si="55"/>
        <v>1.9765382449313459E-3</v>
      </c>
      <c r="AG1212" s="99">
        <f t="shared" si="56"/>
        <v>1.1684443898432841E-2</v>
      </c>
      <c r="AH1212" s="10" t="str">
        <f>IFERROR(VLOOKUP(B1212,'Pre-Summary'!$AZ$6:$BE$65,3,FALSE),"")</f>
        <v/>
      </c>
      <c r="AI1212" s="10" t="str">
        <f>IFERROR(VLOOKUP(B1212,'Pre-Summary'!$AZ$6:$BE$65,5,FALSE),"")</f>
        <v/>
      </c>
      <c r="AJ1212" s="10" t="str">
        <f>IFERROR(VLOOKUP(B1212,'Pre-Summary'!$AZ$6:$BE$65,4,FALSE),"")</f>
        <v/>
      </c>
      <c r="AK1212" s="10" t="str">
        <f>IFERROR(VLOOKUP(B1212,'Pre-Summary'!$AZ$6:$BE$65,6,FALSE),"")</f>
        <v/>
      </c>
      <c r="AL1212" s="10" t="str">
        <f>IFERROR(VLOOKUP(B1212,'Pre-Summary'!$BG$6:$BL$44,3,FALSE),"")</f>
        <v/>
      </c>
      <c r="AM1212" s="10" t="str">
        <f>IFERROR(VLOOKUP(B1212,'Pre-Summary'!$BG$6:$BL$44,4,FALSE),"")</f>
        <v/>
      </c>
    </row>
    <row r="1213" spans="2:39" ht="15" customHeight="1" x14ac:dyDescent="0.3">
      <c r="B1213">
        <v>121</v>
      </c>
      <c r="C1213" t="str">
        <f>IFERROR(VLOOKUP(B1213,'Pre-Summary'!$DI$6:$DM$23,4,FALSE),"")</f>
        <v/>
      </c>
      <c r="D1213" s="10" t="str">
        <f>IFERROR(VLOOKUP(B1213,'Pre-Summary'!$AT$6:$AX$14,5,FALSE),D1212)</f>
        <v>DSMZ v4: dropped out methanol</v>
      </c>
      <c r="E1213" s="10" t="str">
        <f>IFERROR(VLOOKUP(B1213,'Pre-Summary'!$AT$6:$AX$15,4,FALSE),"")</f>
        <v/>
      </c>
      <c r="F1213">
        <f>IFERROR(VLOOKUP(B1213,'Pre-Summary'!$AL$6:$AQ$13,6,FALSE),F1212)</f>
        <v>5.9405263157894746E-2</v>
      </c>
      <c r="G1213" t="str">
        <f>IFERROR(VLOOKUP(B1213,'Pre-Summary'!$AE$6:$AJ$85,3,FALSE),"")</f>
        <v/>
      </c>
      <c r="H1213" t="str">
        <f>IFERROR(VLOOKUP(B1213,'Pre-Summary'!$AE$6:$AJ$85,4,FALSE),"")</f>
        <v/>
      </c>
      <c r="I1213" t="str">
        <f>IFERROR(VLOOKUP(B1213,'Pre-Summary'!$AE$6:$AJ$85,5,FALSE),"")</f>
        <v/>
      </c>
      <c r="J1213" s="45" t="str">
        <f>IFERROR(VLOOKUP(B1213,'Pre-Summary'!$AE$6:$AJ$85,6, FALSE),"")</f>
        <v/>
      </c>
      <c r="K1213" s="45" t="str">
        <f>IFERROR(VLOOKUP(B1213,'Pre-Summary'!$DE$6:$DG$61,3,FALSE),"")</f>
        <v/>
      </c>
      <c r="L1213" s="45" t="str">
        <f>IFERROR(VLOOKUP(B1213,'Pre-Summary'!$CU$6:$CW$36,3,FALSE),"")</f>
        <v/>
      </c>
      <c r="M1213" s="45">
        <f>IFERROR(VLOOKUP(B1213,'Pre-Summary'!$BW$6:$BY$58,2,FALSE),"")</f>
        <v>16.597360848800509</v>
      </c>
      <c r="N1213" s="45" t="str">
        <f>IFERROR(VLOOKUP(B1213,'Pre-Summary'!$CD$6:$CF$64,2,FALSE),"")</f>
        <v/>
      </c>
      <c r="O1213" s="99">
        <f>IFERROR(VLOOKUP(B1213,'Pre-Summary'!$BO$6:$BQ$48,3, FALSE),O1212)</f>
        <v>1.2</v>
      </c>
      <c r="P1213" s="99">
        <f>IFERROR(VLOOKUP(B1213,'Pre-Summary'!$BS$6:$BU$35,3,FALSE),P1212)</f>
        <v>0.3</v>
      </c>
      <c r="Q1213" s="54">
        <f t="shared" si="54"/>
        <v>4</v>
      </c>
      <c r="R1213" s="53">
        <f>IFERROR(VLOOKUP(B1213,'Pre-Summary'!$BG$6:$BM$44,7,FALSE),R1214)</f>
        <v>7.6574939085447311E-2</v>
      </c>
      <c r="S1213" s="53">
        <f>IFERROR(VLOOKUP(B1213,'Pre-Summary'!$BG$6:$BM$44,6,FALSE),S1214)</f>
        <v>6.8761751275839902E-2</v>
      </c>
      <c r="T1213" s="45" t="str">
        <f>IFERROR(VLOOKUP(B1213,'Pre-Summary'!$Y$6:$AC$83, 3,FALSE),"")</f>
        <v/>
      </c>
      <c r="U1213" s="45" t="str">
        <f>IFERROR(VLOOKUP(B1213,'Pre-Summary'!$Y$6:$AC$83, 4,FALSE),"")</f>
        <v/>
      </c>
      <c r="V1213" t="str">
        <f>IFERROR(VLOOKUP(B1213,'Pre-Summary'!$Y$6:$AC$83, 5,FALSE),"")</f>
        <v/>
      </c>
      <c r="W1213" s="45" t="str">
        <f>IFERROR(VLOOKUP(B1213,'Pre-Summary'!$Y$6:$AD$83,6,FALSE),"")</f>
        <v/>
      </c>
      <c r="X1213" t="str">
        <f>IFERROR(VLOOKUP('Pre-Summary'!$DB$6:$DD$63,3,FALSE),"")</f>
        <v/>
      </c>
      <c r="Y1213" t="str">
        <f>IFERROR(VLOOKUP(B1213,'Pre-Summary'!$CR$6:$CT$36,3,FALSE),"")</f>
        <v/>
      </c>
      <c r="Z1213" s="45">
        <f>IFERROR(VLOOKUP(B1213,'Pre-Summary'!$BZ$6:$CB$63,2,FALSE),"")</f>
        <v>51.139477661836992</v>
      </c>
      <c r="AA1213" s="45">
        <f>IFERROR(VLOOKUP(B1213,'Pre-Summary'!$CG$6:$CI$70,2,FALSE),"")</f>
        <v>130.52971216574829</v>
      </c>
      <c r="AB1213" s="99">
        <f>IFERROR(VLOOKUP(B1213,'Pre-Summary'!$A$6:$P$178,9,FALSE),AB1214)</f>
        <v>0.28466705399875358</v>
      </c>
      <c r="AC1213" s="10">
        <f>IFERROR(VLOOKUP(Summary!B1213,'Pre-Summary'!$A$6:$P$184,5, FALSE)/100,AC1214)</f>
        <v>0.95201066666666678</v>
      </c>
      <c r="AD1213" s="10">
        <f>IFERROR(VLOOKUP(Summary!B1213,'Pre-Summary'!$A$6:$P$184,3, FALSE)/100,AD1214)</f>
        <v>6.9433333333333335E-3</v>
      </c>
      <c r="AE1213" s="10">
        <f>IFERROR(VLOOKUP(Summary!B1213,'Pre-Summary'!$A$6:$P$184,7, FALSE)/100,AE1214)</f>
        <v>4.1046000000000006E-2</v>
      </c>
      <c r="AF1213" s="99">
        <f t="shared" si="55"/>
        <v>1.9765382449313459E-3</v>
      </c>
      <c r="AG1213" s="99">
        <f t="shared" si="56"/>
        <v>1.1684443898432841E-2</v>
      </c>
      <c r="AH1213" s="10" t="str">
        <f>IFERROR(VLOOKUP(B1213,'Pre-Summary'!$AZ$6:$BE$65,3,FALSE),"")</f>
        <v/>
      </c>
      <c r="AI1213" s="10" t="str">
        <f>IFERROR(VLOOKUP(B1213,'Pre-Summary'!$AZ$6:$BE$65,5,FALSE),"")</f>
        <v/>
      </c>
      <c r="AJ1213" s="10" t="str">
        <f>IFERROR(VLOOKUP(B1213,'Pre-Summary'!$AZ$6:$BE$65,4,FALSE),"")</f>
        <v/>
      </c>
      <c r="AK1213" s="10" t="str">
        <f>IFERROR(VLOOKUP(B1213,'Pre-Summary'!$AZ$6:$BE$65,6,FALSE),"")</f>
        <v/>
      </c>
      <c r="AL1213" s="10" t="str">
        <f>IFERROR(VLOOKUP(B1213,'Pre-Summary'!$BG$6:$BL$44,3,FALSE),"")</f>
        <v/>
      </c>
      <c r="AM1213" s="10" t="str">
        <f>IFERROR(VLOOKUP(B1213,'Pre-Summary'!$BG$6:$BL$44,4,FALSE),"")</f>
        <v/>
      </c>
    </row>
    <row r="1214" spans="2:39" ht="15" customHeight="1" x14ac:dyDescent="0.3">
      <c r="B1214">
        <v>121.1</v>
      </c>
      <c r="C1214" t="str">
        <f>IFERROR(VLOOKUP(B1214,'Pre-Summary'!$DI$6:$DM$23,4,FALSE),"")</f>
        <v/>
      </c>
      <c r="D1214" s="10" t="str">
        <f>IFERROR(VLOOKUP(B1214,'Pre-Summary'!$AT$6:$AX$14,5,FALSE),D1213)</f>
        <v>DSMZ v4: dropped out methanol</v>
      </c>
      <c r="E1214" s="10" t="str">
        <f>IFERROR(VLOOKUP(B1214,'Pre-Summary'!$AT$6:$AX$15,4,FALSE),"")</f>
        <v/>
      </c>
      <c r="F1214">
        <f>IFERROR(VLOOKUP(B1214,'Pre-Summary'!$AL$6:$AQ$13,6,FALSE),F1213)</f>
        <v>5.9405263157894746E-2</v>
      </c>
      <c r="G1214" t="str">
        <f>IFERROR(VLOOKUP(B1214,'Pre-Summary'!$AE$6:$AJ$85,3,FALSE),"")</f>
        <v/>
      </c>
      <c r="H1214" t="str">
        <f>IFERROR(VLOOKUP(B1214,'Pre-Summary'!$AE$6:$AJ$85,4,FALSE),"")</f>
        <v/>
      </c>
      <c r="I1214" t="str">
        <f>IFERROR(VLOOKUP(B1214,'Pre-Summary'!$AE$6:$AJ$85,5,FALSE),"")</f>
        <v/>
      </c>
      <c r="J1214" s="45" t="str">
        <f>IFERROR(VLOOKUP(B1214,'Pre-Summary'!$AE$6:$AJ$85,6, FALSE),"")</f>
        <v/>
      </c>
      <c r="K1214" s="45" t="str">
        <f>IFERROR(VLOOKUP(B1214,'Pre-Summary'!$DE$6:$DG$61,3,FALSE),"")</f>
        <v/>
      </c>
      <c r="L1214" s="45" t="str">
        <f>IFERROR(VLOOKUP(B1214,'Pre-Summary'!$CU$6:$CW$36,3,FALSE),"")</f>
        <v/>
      </c>
      <c r="M1214" s="45" t="str">
        <f>IFERROR(VLOOKUP(B1214,'Pre-Summary'!$BW$6:$BY$58,2,FALSE),"")</f>
        <v/>
      </c>
      <c r="N1214" s="45" t="str">
        <f>IFERROR(VLOOKUP(B1214,'Pre-Summary'!$CD$6:$CF$64,2,FALSE),"")</f>
        <v/>
      </c>
      <c r="O1214" s="99">
        <f>IFERROR(VLOOKUP(B1214,'Pre-Summary'!$BO$6:$BQ$48,3, FALSE),O1213)</f>
        <v>1.2</v>
      </c>
      <c r="P1214" s="99">
        <f>IFERROR(VLOOKUP(B1214,'Pre-Summary'!$BS$6:$BU$35,3,FALSE),P1213)</f>
        <v>0.3</v>
      </c>
      <c r="Q1214" s="54">
        <f t="shared" si="54"/>
        <v>4</v>
      </c>
      <c r="R1214" s="53">
        <f>IFERROR(VLOOKUP(B1214,'Pre-Summary'!$BG$6:$BM$44,7,FALSE),R1215)</f>
        <v>7.6574939085447311E-2</v>
      </c>
      <c r="S1214" s="53">
        <f>IFERROR(VLOOKUP(B1214,'Pre-Summary'!$BG$6:$BM$44,6,FALSE),S1215)</f>
        <v>6.8761751275839902E-2</v>
      </c>
      <c r="T1214" s="45" t="str">
        <f>IFERROR(VLOOKUP(B1214,'Pre-Summary'!$Y$6:$AC$83, 3,FALSE),"")</f>
        <v/>
      </c>
      <c r="U1214" s="45" t="str">
        <f>IFERROR(VLOOKUP(B1214,'Pre-Summary'!$Y$6:$AC$83, 4,FALSE),"")</f>
        <v/>
      </c>
      <c r="V1214" t="str">
        <f>IFERROR(VLOOKUP(B1214,'Pre-Summary'!$Y$6:$AC$83, 5,FALSE),"")</f>
        <v/>
      </c>
      <c r="W1214" s="45" t="str">
        <f>IFERROR(VLOOKUP(B1214,'Pre-Summary'!$Y$6:$AD$83,6,FALSE),"")</f>
        <v/>
      </c>
      <c r="X1214" t="str">
        <f>IFERROR(VLOOKUP('Pre-Summary'!$DB$6:$DD$63,3,FALSE),"")</f>
        <v/>
      </c>
      <c r="Y1214" t="str">
        <f>IFERROR(VLOOKUP(B1214,'Pre-Summary'!$CR$6:$CT$36,3,FALSE),"")</f>
        <v/>
      </c>
      <c r="Z1214" s="45" t="str">
        <f>IFERROR(VLOOKUP(B1214,'Pre-Summary'!$BZ$6:$CB$63,2,FALSE),"")</f>
        <v/>
      </c>
      <c r="AA1214" s="45" t="str">
        <f>IFERROR(VLOOKUP(B1214,'Pre-Summary'!$CG$6:$CI$70,2,FALSE),"")</f>
        <v/>
      </c>
      <c r="AB1214" s="99">
        <f>IFERROR(VLOOKUP(B1214,'Pre-Summary'!$A$6:$P$178,9,FALSE),AB1215)</f>
        <v>0.28466705399875358</v>
      </c>
      <c r="AC1214" s="10">
        <f>IFERROR(VLOOKUP(Summary!B1214,'Pre-Summary'!$A$6:$P$184,5, FALSE)/100,AC1215)</f>
        <v>0.95201066666666678</v>
      </c>
      <c r="AD1214" s="10">
        <f>IFERROR(VLOOKUP(Summary!B1214,'Pre-Summary'!$A$6:$P$184,3, FALSE)/100,AD1215)</f>
        <v>6.9433333333333335E-3</v>
      </c>
      <c r="AE1214" s="10">
        <f>IFERROR(VLOOKUP(Summary!B1214,'Pre-Summary'!$A$6:$P$184,7, FALSE)/100,AE1215)</f>
        <v>4.1046000000000006E-2</v>
      </c>
      <c r="AF1214" s="99">
        <f t="shared" si="55"/>
        <v>1.9765382449313459E-3</v>
      </c>
      <c r="AG1214" s="99">
        <f t="shared" si="56"/>
        <v>1.1684443898432841E-2</v>
      </c>
      <c r="AH1214" s="10" t="str">
        <f>IFERROR(VLOOKUP(B1214,'Pre-Summary'!$AZ$6:$BE$65,3,FALSE),"")</f>
        <v/>
      </c>
      <c r="AI1214" s="10" t="str">
        <f>IFERROR(VLOOKUP(B1214,'Pre-Summary'!$AZ$6:$BE$65,5,FALSE),"")</f>
        <v/>
      </c>
      <c r="AJ1214" s="10" t="str">
        <f>IFERROR(VLOOKUP(B1214,'Pre-Summary'!$AZ$6:$BE$65,4,FALSE),"")</f>
        <v/>
      </c>
      <c r="AK1214" s="10" t="str">
        <f>IFERROR(VLOOKUP(B1214,'Pre-Summary'!$AZ$6:$BE$65,6,FALSE),"")</f>
        <v/>
      </c>
      <c r="AL1214" s="10" t="str">
        <f>IFERROR(VLOOKUP(B1214,'Pre-Summary'!$BG$6:$BL$44,3,FALSE),"")</f>
        <v/>
      </c>
      <c r="AM1214" s="10" t="str">
        <f>IFERROR(VLOOKUP(B1214,'Pre-Summary'!$BG$6:$BL$44,4,FALSE),"")</f>
        <v/>
      </c>
    </row>
    <row r="1215" spans="2:39" ht="15" customHeight="1" x14ac:dyDescent="0.3">
      <c r="B1215">
        <v>121.2</v>
      </c>
      <c r="C1215" t="str">
        <f>IFERROR(VLOOKUP(B1215,'Pre-Summary'!$DI$6:$DM$23,4,FALSE),"")</f>
        <v/>
      </c>
      <c r="D1215" s="10" t="str">
        <f>IFERROR(VLOOKUP(B1215,'Pre-Summary'!$AT$6:$AX$14,5,FALSE),D1214)</f>
        <v>DSMZ v4: dropped out methanol</v>
      </c>
      <c r="E1215" s="10" t="str">
        <f>IFERROR(VLOOKUP(B1215,'Pre-Summary'!$AT$6:$AX$15,4,FALSE),"")</f>
        <v/>
      </c>
      <c r="F1215">
        <f>IFERROR(VLOOKUP(B1215,'Pre-Summary'!$AL$6:$AQ$13,6,FALSE),F1214)</f>
        <v>5.9405263157894746E-2</v>
      </c>
      <c r="G1215" t="str">
        <f>IFERROR(VLOOKUP(B1215,'Pre-Summary'!$AE$6:$AJ$85,3,FALSE),"")</f>
        <v/>
      </c>
      <c r="H1215" t="str">
        <f>IFERROR(VLOOKUP(B1215,'Pre-Summary'!$AE$6:$AJ$85,4,FALSE),"")</f>
        <v/>
      </c>
      <c r="I1215" t="str">
        <f>IFERROR(VLOOKUP(B1215,'Pre-Summary'!$AE$6:$AJ$85,5,FALSE),"")</f>
        <v/>
      </c>
      <c r="J1215" s="45" t="str">
        <f>IFERROR(VLOOKUP(B1215,'Pre-Summary'!$AE$6:$AJ$85,6, FALSE),"")</f>
        <v/>
      </c>
      <c r="K1215" s="45" t="str">
        <f>IFERROR(VLOOKUP(B1215,'Pre-Summary'!$DE$6:$DG$61,3,FALSE),"")</f>
        <v/>
      </c>
      <c r="L1215" s="45" t="str">
        <f>IFERROR(VLOOKUP(B1215,'Pre-Summary'!$CU$6:$CW$36,3,FALSE),"")</f>
        <v/>
      </c>
      <c r="M1215" s="45" t="str">
        <f>IFERROR(VLOOKUP(B1215,'Pre-Summary'!$BW$6:$BY$58,2,FALSE),"")</f>
        <v/>
      </c>
      <c r="N1215" s="45" t="str">
        <f>IFERROR(VLOOKUP(B1215,'Pre-Summary'!$CD$6:$CF$64,2,FALSE),"")</f>
        <v/>
      </c>
      <c r="O1215" s="99">
        <f>IFERROR(VLOOKUP(B1215,'Pre-Summary'!$BO$6:$BQ$48,3, FALSE),O1214)</f>
        <v>1.2</v>
      </c>
      <c r="P1215" s="99">
        <f>IFERROR(VLOOKUP(B1215,'Pre-Summary'!$BS$6:$BU$35,3,FALSE),P1214)</f>
        <v>0.3</v>
      </c>
      <c r="Q1215" s="54">
        <f t="shared" si="54"/>
        <v>4</v>
      </c>
      <c r="R1215" s="53">
        <f>IFERROR(VLOOKUP(B1215,'Pre-Summary'!$BG$6:$BM$44,7,FALSE),R1216)</f>
        <v>7.6574939085447311E-2</v>
      </c>
      <c r="S1215" s="53">
        <f>IFERROR(VLOOKUP(B1215,'Pre-Summary'!$BG$6:$BM$44,6,FALSE),S1216)</f>
        <v>6.8761751275839902E-2</v>
      </c>
      <c r="T1215" s="45" t="str">
        <f>IFERROR(VLOOKUP(B1215,'Pre-Summary'!$Y$6:$AC$83, 3,FALSE),"")</f>
        <v/>
      </c>
      <c r="U1215" s="45" t="str">
        <f>IFERROR(VLOOKUP(B1215,'Pre-Summary'!$Y$6:$AC$83, 4,FALSE),"")</f>
        <v/>
      </c>
      <c r="V1215" t="str">
        <f>IFERROR(VLOOKUP(B1215,'Pre-Summary'!$Y$6:$AC$83, 5,FALSE),"")</f>
        <v/>
      </c>
      <c r="W1215" s="45" t="str">
        <f>IFERROR(VLOOKUP(B1215,'Pre-Summary'!$Y$6:$AD$83,6,FALSE),"")</f>
        <v/>
      </c>
      <c r="X1215" t="str">
        <f>IFERROR(VLOOKUP('Pre-Summary'!$DB$6:$DD$63,3,FALSE),"")</f>
        <v/>
      </c>
      <c r="Y1215" t="str">
        <f>IFERROR(VLOOKUP(B1215,'Pre-Summary'!$CR$6:$CT$36,3,FALSE),"")</f>
        <v/>
      </c>
      <c r="Z1215" s="45" t="str">
        <f>IFERROR(VLOOKUP(B1215,'Pre-Summary'!$BZ$6:$CB$63,2,FALSE),"")</f>
        <v/>
      </c>
      <c r="AA1215" s="45" t="str">
        <f>IFERROR(VLOOKUP(B1215,'Pre-Summary'!$CG$6:$CI$70,2,FALSE),"")</f>
        <v/>
      </c>
      <c r="AB1215" s="99">
        <f>IFERROR(VLOOKUP(B1215,'Pre-Summary'!$A$6:$P$178,9,FALSE),AB1216)</f>
        <v>0.28466705399875358</v>
      </c>
      <c r="AC1215" s="10">
        <f>IFERROR(VLOOKUP(Summary!B1215,'Pre-Summary'!$A$6:$P$184,5, FALSE)/100,AC1216)</f>
        <v>0.95201066666666678</v>
      </c>
      <c r="AD1215" s="10">
        <f>IFERROR(VLOOKUP(Summary!B1215,'Pre-Summary'!$A$6:$P$184,3, FALSE)/100,AD1216)</f>
        <v>6.9433333333333335E-3</v>
      </c>
      <c r="AE1215" s="10">
        <f>IFERROR(VLOOKUP(Summary!B1215,'Pre-Summary'!$A$6:$P$184,7, FALSE)/100,AE1216)</f>
        <v>4.1046000000000006E-2</v>
      </c>
      <c r="AF1215" s="99">
        <f t="shared" si="55"/>
        <v>1.9765382449313459E-3</v>
      </c>
      <c r="AG1215" s="99">
        <f t="shared" si="56"/>
        <v>1.1684443898432841E-2</v>
      </c>
      <c r="AH1215" s="10" t="str">
        <f>IFERROR(VLOOKUP(B1215,'Pre-Summary'!$AZ$6:$BE$65,3,FALSE),"")</f>
        <v/>
      </c>
      <c r="AI1215" s="10" t="str">
        <f>IFERROR(VLOOKUP(B1215,'Pre-Summary'!$AZ$6:$BE$65,5,FALSE),"")</f>
        <v/>
      </c>
      <c r="AJ1215" s="10" t="str">
        <f>IFERROR(VLOOKUP(B1215,'Pre-Summary'!$AZ$6:$BE$65,4,FALSE),"")</f>
        <v/>
      </c>
      <c r="AK1215" s="10" t="str">
        <f>IFERROR(VLOOKUP(B1215,'Pre-Summary'!$AZ$6:$BE$65,6,FALSE),"")</f>
        <v/>
      </c>
      <c r="AL1215" s="10" t="str">
        <f>IFERROR(VLOOKUP(B1215,'Pre-Summary'!$BG$6:$BL$44,3,FALSE),"")</f>
        <v/>
      </c>
      <c r="AM1215" s="10" t="str">
        <f>IFERROR(VLOOKUP(B1215,'Pre-Summary'!$BG$6:$BL$44,4,FALSE),"")</f>
        <v/>
      </c>
    </row>
    <row r="1216" spans="2:39" ht="15" customHeight="1" x14ac:dyDescent="0.3">
      <c r="B1216">
        <v>121.3</v>
      </c>
      <c r="C1216" t="str">
        <f>IFERROR(VLOOKUP(B1216,'Pre-Summary'!$DI$6:$DM$23,4,FALSE),"")</f>
        <v/>
      </c>
      <c r="D1216" s="10" t="str">
        <f>IFERROR(VLOOKUP(B1216,'Pre-Summary'!$AT$6:$AX$14,5,FALSE),D1215)</f>
        <v>DSMZ v4: dropped out methanol</v>
      </c>
      <c r="E1216" s="10" t="str">
        <f>IFERROR(VLOOKUP(B1216,'Pre-Summary'!$AT$6:$AX$15,4,FALSE),"")</f>
        <v/>
      </c>
      <c r="F1216">
        <f>IFERROR(VLOOKUP(B1216,'Pre-Summary'!$AL$6:$AQ$13,6,FALSE),F1215)</f>
        <v>5.9405263157894746E-2</v>
      </c>
      <c r="G1216" t="str">
        <f>IFERROR(VLOOKUP(B1216,'Pre-Summary'!$AE$6:$AJ$85,3,FALSE),"")</f>
        <v/>
      </c>
      <c r="H1216" t="str">
        <f>IFERROR(VLOOKUP(B1216,'Pre-Summary'!$AE$6:$AJ$85,4,FALSE),"")</f>
        <v/>
      </c>
      <c r="I1216" t="str">
        <f>IFERROR(VLOOKUP(B1216,'Pre-Summary'!$AE$6:$AJ$85,5,FALSE),"")</f>
        <v/>
      </c>
      <c r="J1216" s="45" t="str">
        <f>IFERROR(VLOOKUP(B1216,'Pre-Summary'!$AE$6:$AJ$85,6, FALSE),"")</f>
        <v/>
      </c>
      <c r="K1216" s="45" t="str">
        <f>IFERROR(VLOOKUP(B1216,'Pre-Summary'!$DE$6:$DG$61,3,FALSE),"")</f>
        <v/>
      </c>
      <c r="L1216" s="45" t="str">
        <f>IFERROR(VLOOKUP(B1216,'Pre-Summary'!$CU$6:$CW$36,3,FALSE),"")</f>
        <v/>
      </c>
      <c r="M1216" s="45" t="str">
        <f>IFERROR(VLOOKUP(B1216,'Pre-Summary'!$BW$6:$BY$58,2,FALSE),"")</f>
        <v/>
      </c>
      <c r="N1216" s="45" t="str">
        <f>IFERROR(VLOOKUP(B1216,'Pre-Summary'!$CD$6:$CF$64,2,FALSE),"")</f>
        <v/>
      </c>
      <c r="O1216" s="99">
        <f>IFERROR(VLOOKUP(B1216,'Pre-Summary'!$BO$6:$BQ$48,3, FALSE),O1215)</f>
        <v>1.2</v>
      </c>
      <c r="P1216" s="99">
        <f>IFERROR(VLOOKUP(B1216,'Pre-Summary'!$BS$6:$BU$35,3,FALSE),P1215)</f>
        <v>0.3</v>
      </c>
      <c r="Q1216" s="54">
        <f t="shared" si="54"/>
        <v>4</v>
      </c>
      <c r="R1216" s="53">
        <f>IFERROR(VLOOKUP(B1216,'Pre-Summary'!$BG$6:$BM$44,7,FALSE),R1217)</f>
        <v>7.6574939085447311E-2</v>
      </c>
      <c r="S1216" s="53">
        <f>IFERROR(VLOOKUP(B1216,'Pre-Summary'!$BG$6:$BM$44,6,FALSE),S1217)</f>
        <v>6.8761751275839902E-2</v>
      </c>
      <c r="T1216" s="45" t="str">
        <f>IFERROR(VLOOKUP(B1216,'Pre-Summary'!$Y$6:$AC$83, 3,FALSE),"")</f>
        <v/>
      </c>
      <c r="U1216" s="45" t="str">
        <f>IFERROR(VLOOKUP(B1216,'Pre-Summary'!$Y$6:$AC$83, 4,FALSE),"")</f>
        <v/>
      </c>
      <c r="V1216" t="str">
        <f>IFERROR(VLOOKUP(B1216,'Pre-Summary'!$Y$6:$AC$83, 5,FALSE),"")</f>
        <v/>
      </c>
      <c r="W1216" s="45" t="str">
        <f>IFERROR(VLOOKUP(B1216,'Pre-Summary'!$Y$6:$AD$83,6,FALSE),"")</f>
        <v/>
      </c>
      <c r="X1216" t="str">
        <f>IFERROR(VLOOKUP('Pre-Summary'!$DB$6:$DD$63,3,FALSE),"")</f>
        <v/>
      </c>
      <c r="Y1216" t="str">
        <f>IFERROR(VLOOKUP(B1216,'Pre-Summary'!$CR$6:$CT$36,3,FALSE),"")</f>
        <v/>
      </c>
      <c r="Z1216" s="45" t="str">
        <f>IFERROR(VLOOKUP(B1216,'Pre-Summary'!$BZ$6:$CB$63,2,FALSE),"")</f>
        <v/>
      </c>
      <c r="AA1216" s="45" t="str">
        <f>IFERROR(VLOOKUP(B1216,'Pre-Summary'!$CG$6:$CI$70,2,FALSE),"")</f>
        <v/>
      </c>
      <c r="AB1216" s="99">
        <f>IFERROR(VLOOKUP(B1216,'Pre-Summary'!$A$6:$P$178,9,FALSE),AB1217)</f>
        <v>0.28466705399875358</v>
      </c>
      <c r="AC1216" s="10">
        <f>IFERROR(VLOOKUP(Summary!B1216,'Pre-Summary'!$A$6:$P$184,5, FALSE)/100,AC1217)</f>
        <v>0.95201066666666678</v>
      </c>
      <c r="AD1216" s="10">
        <f>IFERROR(VLOOKUP(Summary!B1216,'Pre-Summary'!$A$6:$P$184,3, FALSE)/100,AD1217)</f>
        <v>6.9433333333333335E-3</v>
      </c>
      <c r="AE1216" s="10">
        <f>IFERROR(VLOOKUP(Summary!B1216,'Pre-Summary'!$A$6:$P$184,7, FALSE)/100,AE1217)</f>
        <v>4.1046000000000006E-2</v>
      </c>
      <c r="AF1216" s="99">
        <f t="shared" si="55"/>
        <v>1.9765382449313459E-3</v>
      </c>
      <c r="AG1216" s="99">
        <f t="shared" si="56"/>
        <v>1.1684443898432841E-2</v>
      </c>
      <c r="AH1216" s="10" t="str">
        <f>IFERROR(VLOOKUP(B1216,'Pre-Summary'!$AZ$6:$BE$65,3,FALSE),"")</f>
        <v/>
      </c>
      <c r="AI1216" s="10" t="str">
        <f>IFERROR(VLOOKUP(B1216,'Pre-Summary'!$AZ$6:$BE$65,5,FALSE),"")</f>
        <v/>
      </c>
      <c r="AJ1216" s="10" t="str">
        <f>IFERROR(VLOOKUP(B1216,'Pre-Summary'!$AZ$6:$BE$65,4,FALSE),"")</f>
        <v/>
      </c>
      <c r="AK1216" s="10" t="str">
        <f>IFERROR(VLOOKUP(B1216,'Pre-Summary'!$AZ$6:$BE$65,6,FALSE),"")</f>
        <v/>
      </c>
      <c r="AL1216" s="10" t="str">
        <f>IFERROR(VLOOKUP(B1216,'Pre-Summary'!$BG$6:$BL$44,3,FALSE),"")</f>
        <v/>
      </c>
      <c r="AM1216" s="10" t="str">
        <f>IFERROR(VLOOKUP(B1216,'Pre-Summary'!$BG$6:$BL$44,4,FALSE),"")</f>
        <v/>
      </c>
    </row>
    <row r="1217" spans="2:39" ht="15" customHeight="1" x14ac:dyDescent="0.3">
      <c r="B1217">
        <v>121.4</v>
      </c>
      <c r="C1217" t="str">
        <f>IFERROR(VLOOKUP(B1217,'Pre-Summary'!$DI$6:$DM$23,4,FALSE),"")</f>
        <v/>
      </c>
      <c r="D1217" s="10" t="str">
        <f>IFERROR(VLOOKUP(B1217,'Pre-Summary'!$AT$6:$AX$14,5,FALSE),D1216)</f>
        <v>DSMZ v4: dropped out methanol</v>
      </c>
      <c r="E1217" s="10" t="str">
        <f>IFERROR(VLOOKUP(B1217,'Pre-Summary'!$AT$6:$AX$15,4,FALSE),"")</f>
        <v/>
      </c>
      <c r="F1217">
        <f>IFERROR(VLOOKUP(B1217,'Pre-Summary'!$AL$6:$AQ$13,6,FALSE),F1216)</f>
        <v>5.9405263157894746E-2</v>
      </c>
      <c r="G1217" t="str">
        <f>IFERROR(VLOOKUP(B1217,'Pre-Summary'!$AE$6:$AJ$85,3,FALSE),"")</f>
        <v/>
      </c>
      <c r="H1217" t="str">
        <f>IFERROR(VLOOKUP(B1217,'Pre-Summary'!$AE$6:$AJ$85,4,FALSE),"")</f>
        <v/>
      </c>
      <c r="I1217" t="str">
        <f>IFERROR(VLOOKUP(B1217,'Pre-Summary'!$AE$6:$AJ$85,5,FALSE),"")</f>
        <v/>
      </c>
      <c r="J1217" s="45" t="str">
        <f>IFERROR(VLOOKUP(B1217,'Pre-Summary'!$AE$6:$AJ$85,6, FALSE),"")</f>
        <v/>
      </c>
      <c r="K1217" s="45" t="str">
        <f>IFERROR(VLOOKUP(B1217,'Pre-Summary'!$DE$6:$DG$61,3,FALSE),"")</f>
        <v/>
      </c>
      <c r="L1217" s="45" t="str">
        <f>IFERROR(VLOOKUP(B1217,'Pre-Summary'!$CU$6:$CW$36,3,FALSE),"")</f>
        <v/>
      </c>
      <c r="M1217" s="45" t="str">
        <f>IFERROR(VLOOKUP(B1217,'Pre-Summary'!$BW$6:$BY$58,2,FALSE),"")</f>
        <v/>
      </c>
      <c r="N1217" s="45" t="str">
        <f>IFERROR(VLOOKUP(B1217,'Pre-Summary'!$CD$6:$CF$64,2,FALSE),"")</f>
        <v/>
      </c>
      <c r="O1217" s="99">
        <f>IFERROR(VLOOKUP(B1217,'Pre-Summary'!$BO$6:$BQ$48,3, FALSE),O1216)</f>
        <v>1.2</v>
      </c>
      <c r="P1217" s="99">
        <f>IFERROR(VLOOKUP(B1217,'Pre-Summary'!$BS$6:$BU$35,3,FALSE),P1216)</f>
        <v>0.3</v>
      </c>
      <c r="Q1217" s="54">
        <f t="shared" si="54"/>
        <v>4</v>
      </c>
      <c r="R1217" s="53">
        <f>IFERROR(VLOOKUP(B1217,'Pre-Summary'!$BG$6:$BM$44,7,FALSE),R1218)</f>
        <v>7.6574939085447311E-2</v>
      </c>
      <c r="S1217" s="53">
        <f>IFERROR(VLOOKUP(B1217,'Pre-Summary'!$BG$6:$BM$44,6,FALSE),S1218)</f>
        <v>6.8761751275839902E-2</v>
      </c>
      <c r="T1217" s="45" t="str">
        <f>IFERROR(VLOOKUP(B1217,'Pre-Summary'!$Y$6:$AC$83, 3,FALSE),"")</f>
        <v/>
      </c>
      <c r="U1217" s="45" t="str">
        <f>IFERROR(VLOOKUP(B1217,'Pre-Summary'!$Y$6:$AC$83, 4,FALSE),"")</f>
        <v/>
      </c>
      <c r="V1217" t="str">
        <f>IFERROR(VLOOKUP(B1217,'Pre-Summary'!$Y$6:$AC$83, 5,FALSE),"")</f>
        <v/>
      </c>
      <c r="W1217" s="45" t="str">
        <f>IFERROR(VLOOKUP(B1217,'Pre-Summary'!$Y$6:$AD$83,6,FALSE),"")</f>
        <v/>
      </c>
      <c r="X1217" t="str">
        <f>IFERROR(VLOOKUP('Pre-Summary'!$DB$6:$DD$63,3,FALSE),"")</f>
        <v/>
      </c>
      <c r="Y1217" t="str">
        <f>IFERROR(VLOOKUP(B1217,'Pre-Summary'!$CR$6:$CT$36,3,FALSE),"")</f>
        <v/>
      </c>
      <c r="Z1217" s="45" t="str">
        <f>IFERROR(VLOOKUP(B1217,'Pre-Summary'!$BZ$6:$CB$63,2,FALSE),"")</f>
        <v/>
      </c>
      <c r="AA1217" s="45" t="str">
        <f>IFERROR(VLOOKUP(B1217,'Pre-Summary'!$CG$6:$CI$70,2,FALSE),"")</f>
        <v/>
      </c>
      <c r="AB1217" s="99">
        <f>IFERROR(VLOOKUP(B1217,'Pre-Summary'!$A$6:$P$178,9,FALSE),AB1218)</f>
        <v>0.28466705399875358</v>
      </c>
      <c r="AC1217" s="10">
        <f>IFERROR(VLOOKUP(Summary!B1217,'Pre-Summary'!$A$6:$P$184,5, FALSE)/100,AC1218)</f>
        <v>0.95201066666666678</v>
      </c>
      <c r="AD1217" s="10">
        <f>IFERROR(VLOOKUP(Summary!B1217,'Pre-Summary'!$A$6:$P$184,3, FALSE)/100,AD1218)</f>
        <v>6.9433333333333335E-3</v>
      </c>
      <c r="AE1217" s="10">
        <f>IFERROR(VLOOKUP(Summary!B1217,'Pre-Summary'!$A$6:$P$184,7, FALSE)/100,AE1218)</f>
        <v>4.1046000000000006E-2</v>
      </c>
      <c r="AF1217" s="99">
        <f t="shared" si="55"/>
        <v>1.9765382449313459E-3</v>
      </c>
      <c r="AG1217" s="99">
        <f t="shared" si="56"/>
        <v>1.1684443898432841E-2</v>
      </c>
      <c r="AH1217" s="10" t="str">
        <f>IFERROR(VLOOKUP(B1217,'Pre-Summary'!$AZ$6:$BE$65,3,FALSE),"")</f>
        <v/>
      </c>
      <c r="AI1217" s="10" t="str">
        <f>IFERROR(VLOOKUP(B1217,'Pre-Summary'!$AZ$6:$BE$65,5,FALSE),"")</f>
        <v/>
      </c>
      <c r="AJ1217" s="10" t="str">
        <f>IFERROR(VLOOKUP(B1217,'Pre-Summary'!$AZ$6:$BE$65,4,FALSE),"")</f>
        <v/>
      </c>
      <c r="AK1217" s="10" t="str">
        <f>IFERROR(VLOOKUP(B1217,'Pre-Summary'!$AZ$6:$BE$65,6,FALSE),"")</f>
        <v/>
      </c>
      <c r="AL1217" s="10" t="str">
        <f>IFERROR(VLOOKUP(B1217,'Pre-Summary'!$BG$6:$BL$44,3,FALSE),"")</f>
        <v/>
      </c>
      <c r="AM1217" s="10" t="str">
        <f>IFERROR(VLOOKUP(B1217,'Pre-Summary'!$BG$6:$BL$44,4,FALSE),"")</f>
        <v/>
      </c>
    </row>
    <row r="1218" spans="2:39" ht="15" customHeight="1" x14ac:dyDescent="0.3">
      <c r="B1218">
        <v>121.5</v>
      </c>
      <c r="C1218" t="str">
        <f>IFERROR(VLOOKUP(B1218,'Pre-Summary'!$DI$6:$DM$23,4,FALSE),"")</f>
        <v/>
      </c>
      <c r="D1218" s="10" t="str">
        <f>IFERROR(VLOOKUP(B1218,'Pre-Summary'!$AT$6:$AX$14,5,FALSE),D1217)</f>
        <v>DSMZ v4: dropped out methanol</v>
      </c>
      <c r="E1218" s="10" t="str">
        <f>IFERROR(VLOOKUP(B1218,'Pre-Summary'!$AT$6:$AX$15,4,FALSE),"")</f>
        <v/>
      </c>
      <c r="F1218">
        <f>IFERROR(VLOOKUP(B1218,'Pre-Summary'!$AL$6:$AQ$13,6,FALSE),F1217)</f>
        <v>5.9405263157894746E-2</v>
      </c>
      <c r="G1218" t="str">
        <f>IFERROR(VLOOKUP(B1218,'Pre-Summary'!$AE$6:$AJ$85,3,FALSE),"")</f>
        <v/>
      </c>
      <c r="H1218" t="str">
        <f>IFERROR(VLOOKUP(B1218,'Pre-Summary'!$AE$6:$AJ$85,4,FALSE),"")</f>
        <v/>
      </c>
      <c r="I1218" t="str">
        <f>IFERROR(VLOOKUP(B1218,'Pre-Summary'!$AE$6:$AJ$85,5,FALSE),"")</f>
        <v/>
      </c>
      <c r="J1218" s="45" t="str">
        <f>IFERROR(VLOOKUP(B1218,'Pre-Summary'!$AE$6:$AJ$85,6, FALSE),"")</f>
        <v/>
      </c>
      <c r="K1218" s="45" t="str">
        <f>IFERROR(VLOOKUP(B1218,'Pre-Summary'!$DE$6:$DG$61,3,FALSE),"")</f>
        <v/>
      </c>
      <c r="L1218" s="45" t="str">
        <f>IFERROR(VLOOKUP(B1218,'Pre-Summary'!$CU$6:$CW$36,3,FALSE),"")</f>
        <v/>
      </c>
      <c r="M1218" s="45" t="str">
        <f>IFERROR(VLOOKUP(B1218,'Pre-Summary'!$BW$6:$BY$58,2,FALSE),"")</f>
        <v/>
      </c>
      <c r="N1218" s="45" t="str">
        <f>IFERROR(VLOOKUP(B1218,'Pre-Summary'!$CD$6:$CF$64,2,FALSE),"")</f>
        <v/>
      </c>
      <c r="O1218" s="99">
        <f>IFERROR(VLOOKUP(B1218,'Pre-Summary'!$BO$6:$BQ$48,3, FALSE),O1217)</f>
        <v>1.2</v>
      </c>
      <c r="P1218" s="99">
        <f>IFERROR(VLOOKUP(B1218,'Pre-Summary'!$BS$6:$BU$35,3,FALSE),P1217)</f>
        <v>0.3</v>
      </c>
      <c r="Q1218" s="54">
        <f t="shared" si="54"/>
        <v>4</v>
      </c>
      <c r="R1218" s="53">
        <f>IFERROR(VLOOKUP(B1218,'Pre-Summary'!$BG$6:$BM$44,7,FALSE),R1219)</f>
        <v>7.6574939085447311E-2</v>
      </c>
      <c r="S1218" s="53">
        <f>IFERROR(VLOOKUP(B1218,'Pre-Summary'!$BG$6:$BM$44,6,FALSE),S1219)</f>
        <v>6.8761751275839902E-2</v>
      </c>
      <c r="T1218" s="45" t="str">
        <f>IFERROR(VLOOKUP(B1218,'Pre-Summary'!$Y$6:$AC$83, 3,FALSE),"")</f>
        <v/>
      </c>
      <c r="U1218" s="45" t="str">
        <f>IFERROR(VLOOKUP(B1218,'Pre-Summary'!$Y$6:$AC$83, 4,FALSE),"")</f>
        <v/>
      </c>
      <c r="V1218" t="str">
        <f>IFERROR(VLOOKUP(B1218,'Pre-Summary'!$Y$6:$AC$83, 5,FALSE),"")</f>
        <v/>
      </c>
      <c r="W1218" s="45" t="str">
        <f>IFERROR(VLOOKUP(B1218,'Pre-Summary'!$Y$6:$AD$83,6,FALSE),"")</f>
        <v/>
      </c>
      <c r="X1218" t="str">
        <f>IFERROR(VLOOKUP('Pre-Summary'!$DB$6:$DD$63,3,FALSE),"")</f>
        <v/>
      </c>
      <c r="Y1218" t="str">
        <f>IFERROR(VLOOKUP(B1218,'Pre-Summary'!$CR$6:$CT$36,3,FALSE),"")</f>
        <v/>
      </c>
      <c r="Z1218" s="45" t="str">
        <f>IFERROR(VLOOKUP(B1218,'Pre-Summary'!$BZ$6:$CB$63,2,FALSE),"")</f>
        <v/>
      </c>
      <c r="AA1218" s="45" t="str">
        <f>IFERROR(VLOOKUP(B1218,'Pre-Summary'!$CG$6:$CI$70,2,FALSE),"")</f>
        <v/>
      </c>
      <c r="AB1218" s="99">
        <f>IFERROR(VLOOKUP(B1218,'Pre-Summary'!$A$6:$P$178,9,FALSE),AB1219)</f>
        <v>0.28466705399875358</v>
      </c>
      <c r="AC1218" s="10">
        <f>IFERROR(VLOOKUP(Summary!B1218,'Pre-Summary'!$A$6:$P$184,5, FALSE)/100,AC1219)</f>
        <v>0.95201066666666678</v>
      </c>
      <c r="AD1218" s="10">
        <f>IFERROR(VLOOKUP(Summary!B1218,'Pre-Summary'!$A$6:$P$184,3, FALSE)/100,AD1219)</f>
        <v>6.9433333333333335E-3</v>
      </c>
      <c r="AE1218" s="10">
        <f>IFERROR(VLOOKUP(Summary!B1218,'Pre-Summary'!$A$6:$P$184,7, FALSE)/100,AE1219)</f>
        <v>4.1046000000000006E-2</v>
      </c>
      <c r="AF1218" s="99">
        <f t="shared" si="55"/>
        <v>1.9765382449313459E-3</v>
      </c>
      <c r="AG1218" s="99">
        <f t="shared" si="56"/>
        <v>1.1684443898432841E-2</v>
      </c>
      <c r="AH1218" s="10" t="str">
        <f>IFERROR(VLOOKUP(B1218,'Pre-Summary'!$AZ$6:$BE$65,3,FALSE),"")</f>
        <v/>
      </c>
      <c r="AI1218" s="10" t="str">
        <f>IFERROR(VLOOKUP(B1218,'Pre-Summary'!$AZ$6:$BE$65,5,FALSE),"")</f>
        <v/>
      </c>
      <c r="AJ1218" s="10" t="str">
        <f>IFERROR(VLOOKUP(B1218,'Pre-Summary'!$AZ$6:$BE$65,4,FALSE),"")</f>
        <v/>
      </c>
      <c r="AK1218" s="10" t="str">
        <f>IFERROR(VLOOKUP(B1218,'Pre-Summary'!$AZ$6:$BE$65,6,FALSE),"")</f>
        <v/>
      </c>
      <c r="AL1218" s="10" t="str">
        <f>IFERROR(VLOOKUP(B1218,'Pre-Summary'!$BG$6:$BL$44,3,FALSE),"")</f>
        <v/>
      </c>
      <c r="AM1218" s="10" t="str">
        <f>IFERROR(VLOOKUP(B1218,'Pre-Summary'!$BG$6:$BL$44,4,FALSE),"")</f>
        <v/>
      </c>
    </row>
    <row r="1219" spans="2:39" ht="15" customHeight="1" x14ac:dyDescent="0.3">
      <c r="B1219">
        <v>121.6</v>
      </c>
      <c r="C1219" t="str">
        <f>IFERROR(VLOOKUP(B1219,'Pre-Summary'!$DI$6:$DM$23,4,FALSE),"")</f>
        <v/>
      </c>
      <c r="D1219" s="10" t="str">
        <f>IFERROR(VLOOKUP(B1219,'Pre-Summary'!$AT$6:$AX$14,5,FALSE),D1218)</f>
        <v>DSMZ v4: dropped out methanol</v>
      </c>
      <c r="E1219" s="10" t="str">
        <f>IFERROR(VLOOKUP(B1219,'Pre-Summary'!$AT$6:$AX$15,4,FALSE),"")</f>
        <v/>
      </c>
      <c r="F1219">
        <f>IFERROR(VLOOKUP(B1219,'Pre-Summary'!$AL$6:$AQ$13,6,FALSE),F1218)</f>
        <v>5.9405263157894746E-2</v>
      </c>
      <c r="G1219" t="str">
        <f>IFERROR(VLOOKUP(B1219,'Pre-Summary'!$AE$6:$AJ$85,3,FALSE),"")</f>
        <v/>
      </c>
      <c r="H1219" t="str">
        <f>IFERROR(VLOOKUP(B1219,'Pre-Summary'!$AE$6:$AJ$85,4,FALSE),"")</f>
        <v/>
      </c>
      <c r="I1219" t="str">
        <f>IFERROR(VLOOKUP(B1219,'Pre-Summary'!$AE$6:$AJ$85,5,FALSE),"")</f>
        <v/>
      </c>
      <c r="J1219" s="45" t="str">
        <f>IFERROR(VLOOKUP(B1219,'Pre-Summary'!$AE$6:$AJ$85,6, FALSE),"")</f>
        <v/>
      </c>
      <c r="K1219" s="45" t="str">
        <f>IFERROR(VLOOKUP(B1219,'Pre-Summary'!$DE$6:$DG$61,3,FALSE),"")</f>
        <v/>
      </c>
      <c r="L1219" s="45" t="str">
        <f>IFERROR(VLOOKUP(B1219,'Pre-Summary'!$CU$6:$CW$36,3,FALSE),"")</f>
        <v/>
      </c>
      <c r="M1219" s="45" t="str">
        <f>IFERROR(VLOOKUP(B1219,'Pre-Summary'!$BW$6:$BY$58,2,FALSE),"")</f>
        <v/>
      </c>
      <c r="N1219" s="45" t="str">
        <f>IFERROR(VLOOKUP(B1219,'Pre-Summary'!$CD$6:$CF$64,2,FALSE),"")</f>
        <v/>
      </c>
      <c r="O1219" s="99">
        <f>IFERROR(VLOOKUP(B1219,'Pre-Summary'!$BO$6:$BQ$48,3, FALSE),O1218)</f>
        <v>1.2</v>
      </c>
      <c r="P1219" s="99">
        <f>IFERROR(VLOOKUP(B1219,'Pre-Summary'!$BS$6:$BU$35,3,FALSE),P1218)</f>
        <v>0.3</v>
      </c>
      <c r="Q1219" s="54">
        <f t="shared" ref="Q1219:Q1282" si="57">O1219/P1219</f>
        <v>4</v>
      </c>
      <c r="R1219" s="53">
        <f>IFERROR(VLOOKUP(B1219,'Pre-Summary'!$BG$6:$BM$44,7,FALSE),R1220)</f>
        <v>7.6574939085447311E-2</v>
      </c>
      <c r="S1219" s="53">
        <f>IFERROR(VLOOKUP(B1219,'Pre-Summary'!$BG$6:$BM$44,6,FALSE),S1220)</f>
        <v>6.8761751275839902E-2</v>
      </c>
      <c r="T1219" s="45" t="str">
        <f>IFERROR(VLOOKUP(B1219,'Pre-Summary'!$Y$6:$AC$83, 3,FALSE),"")</f>
        <v/>
      </c>
      <c r="U1219" s="45" t="str">
        <f>IFERROR(VLOOKUP(B1219,'Pre-Summary'!$Y$6:$AC$83, 4,FALSE),"")</f>
        <v/>
      </c>
      <c r="V1219" t="str">
        <f>IFERROR(VLOOKUP(B1219,'Pre-Summary'!$Y$6:$AC$83, 5,FALSE),"")</f>
        <v/>
      </c>
      <c r="W1219" s="45" t="str">
        <f>IFERROR(VLOOKUP(B1219,'Pre-Summary'!$Y$6:$AD$83,6,FALSE),"")</f>
        <v/>
      </c>
      <c r="X1219" t="str">
        <f>IFERROR(VLOOKUP('Pre-Summary'!$DB$6:$DD$63,3,FALSE),"")</f>
        <v/>
      </c>
      <c r="Y1219" t="str">
        <f>IFERROR(VLOOKUP(B1219,'Pre-Summary'!$CR$6:$CT$36,3,FALSE),"")</f>
        <v/>
      </c>
      <c r="Z1219" s="45" t="str">
        <f>IFERROR(VLOOKUP(B1219,'Pre-Summary'!$BZ$6:$CB$63,2,FALSE),"")</f>
        <v/>
      </c>
      <c r="AA1219" s="45" t="str">
        <f>IFERROR(VLOOKUP(B1219,'Pre-Summary'!$CG$6:$CI$70,2,FALSE),"")</f>
        <v/>
      </c>
      <c r="AB1219" s="99">
        <f>IFERROR(VLOOKUP(B1219,'Pre-Summary'!$A$6:$P$178,9,FALSE),AB1220)</f>
        <v>0.28466705399875358</v>
      </c>
      <c r="AC1219" s="10">
        <f>IFERROR(VLOOKUP(Summary!B1219,'Pre-Summary'!$A$6:$P$184,5, FALSE)/100,AC1220)</f>
        <v>0.95201066666666678</v>
      </c>
      <c r="AD1219" s="10">
        <f>IFERROR(VLOOKUP(Summary!B1219,'Pre-Summary'!$A$6:$P$184,3, FALSE)/100,AD1220)</f>
        <v>6.9433333333333335E-3</v>
      </c>
      <c r="AE1219" s="10">
        <f>IFERROR(VLOOKUP(Summary!B1219,'Pre-Summary'!$A$6:$P$184,7, FALSE)/100,AE1220)</f>
        <v>4.1046000000000006E-2</v>
      </c>
      <c r="AF1219" s="99">
        <f t="shared" ref="AF1219:AF1282" si="58">AD1219*AB1219</f>
        <v>1.9765382449313459E-3</v>
      </c>
      <c r="AG1219" s="99">
        <f t="shared" ref="AG1219:AG1282" si="59">AB1219*AE1219</f>
        <v>1.1684443898432841E-2</v>
      </c>
      <c r="AH1219" s="10" t="str">
        <f>IFERROR(VLOOKUP(B1219,'Pre-Summary'!$AZ$6:$BE$65,3,FALSE),"")</f>
        <v/>
      </c>
      <c r="AI1219" s="10" t="str">
        <f>IFERROR(VLOOKUP(B1219,'Pre-Summary'!$AZ$6:$BE$65,5,FALSE),"")</f>
        <v/>
      </c>
      <c r="AJ1219" s="10" t="str">
        <f>IFERROR(VLOOKUP(B1219,'Pre-Summary'!$AZ$6:$BE$65,4,FALSE),"")</f>
        <v/>
      </c>
      <c r="AK1219" s="10" t="str">
        <f>IFERROR(VLOOKUP(B1219,'Pre-Summary'!$AZ$6:$BE$65,6,FALSE),"")</f>
        <v/>
      </c>
      <c r="AL1219" s="10" t="str">
        <f>IFERROR(VLOOKUP(B1219,'Pre-Summary'!$BG$6:$BL$44,3,FALSE),"")</f>
        <v/>
      </c>
      <c r="AM1219" s="10" t="str">
        <f>IFERROR(VLOOKUP(B1219,'Pre-Summary'!$BG$6:$BL$44,4,FALSE),"")</f>
        <v/>
      </c>
    </row>
    <row r="1220" spans="2:39" ht="15" customHeight="1" x14ac:dyDescent="0.3">
      <c r="B1220">
        <v>121.7</v>
      </c>
      <c r="C1220" t="str">
        <f>IFERROR(VLOOKUP(B1220,'Pre-Summary'!$DI$6:$DM$23,4,FALSE),"")</f>
        <v/>
      </c>
      <c r="D1220" s="10" t="str">
        <f>IFERROR(VLOOKUP(B1220,'Pre-Summary'!$AT$6:$AX$14,5,FALSE),D1219)</f>
        <v>DSMZ v4: dropped out methanol</v>
      </c>
      <c r="E1220" s="10" t="str">
        <f>IFERROR(VLOOKUP(B1220,'Pre-Summary'!$AT$6:$AX$15,4,FALSE),"")</f>
        <v/>
      </c>
      <c r="F1220">
        <f>IFERROR(VLOOKUP(B1220,'Pre-Summary'!$AL$6:$AQ$13,6,FALSE),F1219)</f>
        <v>5.9405263157894746E-2</v>
      </c>
      <c r="G1220" t="str">
        <f>IFERROR(VLOOKUP(B1220,'Pre-Summary'!$AE$6:$AJ$85,3,FALSE),"")</f>
        <v/>
      </c>
      <c r="H1220" t="str">
        <f>IFERROR(VLOOKUP(B1220,'Pre-Summary'!$AE$6:$AJ$85,4,FALSE),"")</f>
        <v/>
      </c>
      <c r="I1220" t="str">
        <f>IFERROR(VLOOKUP(B1220,'Pre-Summary'!$AE$6:$AJ$85,5,FALSE),"")</f>
        <v/>
      </c>
      <c r="J1220" s="45" t="str">
        <f>IFERROR(VLOOKUP(B1220,'Pre-Summary'!$AE$6:$AJ$85,6, FALSE),"")</f>
        <v/>
      </c>
      <c r="K1220" s="45" t="str">
        <f>IFERROR(VLOOKUP(B1220,'Pre-Summary'!$DE$6:$DG$61,3,FALSE),"")</f>
        <v/>
      </c>
      <c r="L1220" s="45" t="str">
        <f>IFERROR(VLOOKUP(B1220,'Pre-Summary'!$CU$6:$CW$36,3,FALSE),"")</f>
        <v/>
      </c>
      <c r="M1220" s="45" t="str">
        <f>IFERROR(VLOOKUP(B1220,'Pre-Summary'!$BW$6:$BY$58,2,FALSE),"")</f>
        <v/>
      </c>
      <c r="N1220" s="45" t="str">
        <f>IFERROR(VLOOKUP(B1220,'Pre-Summary'!$CD$6:$CF$64,2,FALSE),"")</f>
        <v/>
      </c>
      <c r="O1220" s="99">
        <f>IFERROR(VLOOKUP(B1220,'Pre-Summary'!$BO$6:$BQ$48,3, FALSE),O1219)</f>
        <v>1.2</v>
      </c>
      <c r="P1220" s="99">
        <f>IFERROR(VLOOKUP(B1220,'Pre-Summary'!$BS$6:$BU$35,3,FALSE),P1219)</f>
        <v>0.3</v>
      </c>
      <c r="Q1220" s="54">
        <f t="shared" si="57"/>
        <v>4</v>
      </c>
      <c r="R1220" s="53">
        <f>IFERROR(VLOOKUP(B1220,'Pre-Summary'!$BG$6:$BM$44,7,FALSE),R1221)</f>
        <v>7.6574939085447311E-2</v>
      </c>
      <c r="S1220" s="53">
        <f>IFERROR(VLOOKUP(B1220,'Pre-Summary'!$BG$6:$BM$44,6,FALSE),S1221)</f>
        <v>6.8761751275839902E-2</v>
      </c>
      <c r="T1220" s="45" t="str">
        <f>IFERROR(VLOOKUP(B1220,'Pre-Summary'!$Y$6:$AC$83, 3,FALSE),"")</f>
        <v/>
      </c>
      <c r="U1220" s="45" t="str">
        <f>IFERROR(VLOOKUP(B1220,'Pre-Summary'!$Y$6:$AC$83, 4,FALSE),"")</f>
        <v/>
      </c>
      <c r="V1220" t="str">
        <f>IFERROR(VLOOKUP(B1220,'Pre-Summary'!$Y$6:$AC$83, 5,FALSE),"")</f>
        <v/>
      </c>
      <c r="W1220" s="45" t="str">
        <f>IFERROR(VLOOKUP(B1220,'Pre-Summary'!$Y$6:$AD$83,6,FALSE),"")</f>
        <v/>
      </c>
      <c r="X1220" t="str">
        <f>IFERROR(VLOOKUP('Pre-Summary'!$DB$6:$DD$63,3,FALSE),"")</f>
        <v/>
      </c>
      <c r="Y1220" t="str">
        <f>IFERROR(VLOOKUP(B1220,'Pre-Summary'!$CR$6:$CT$36,3,FALSE),"")</f>
        <v/>
      </c>
      <c r="Z1220" s="45" t="str">
        <f>IFERROR(VLOOKUP(B1220,'Pre-Summary'!$BZ$6:$CB$63,2,FALSE),"")</f>
        <v/>
      </c>
      <c r="AA1220" s="45" t="str">
        <f>IFERROR(VLOOKUP(B1220,'Pre-Summary'!$CG$6:$CI$70,2,FALSE),"")</f>
        <v/>
      </c>
      <c r="AB1220" s="99">
        <f>IFERROR(VLOOKUP(B1220,'Pre-Summary'!$A$6:$P$178,9,FALSE),AB1221)</f>
        <v>0.28466705399875358</v>
      </c>
      <c r="AC1220" s="10">
        <f>IFERROR(VLOOKUP(Summary!B1220,'Pre-Summary'!$A$6:$P$184,5, FALSE)/100,AC1221)</f>
        <v>0.95201066666666678</v>
      </c>
      <c r="AD1220" s="10">
        <f>IFERROR(VLOOKUP(Summary!B1220,'Pre-Summary'!$A$6:$P$184,3, FALSE)/100,AD1221)</f>
        <v>6.9433333333333335E-3</v>
      </c>
      <c r="AE1220" s="10">
        <f>IFERROR(VLOOKUP(Summary!B1220,'Pre-Summary'!$A$6:$P$184,7, FALSE)/100,AE1221)</f>
        <v>4.1046000000000006E-2</v>
      </c>
      <c r="AF1220" s="99">
        <f t="shared" si="58"/>
        <v>1.9765382449313459E-3</v>
      </c>
      <c r="AG1220" s="99">
        <f t="shared" si="59"/>
        <v>1.1684443898432841E-2</v>
      </c>
      <c r="AH1220" s="10" t="str">
        <f>IFERROR(VLOOKUP(B1220,'Pre-Summary'!$AZ$6:$BE$65,3,FALSE),"")</f>
        <v/>
      </c>
      <c r="AI1220" s="10" t="str">
        <f>IFERROR(VLOOKUP(B1220,'Pre-Summary'!$AZ$6:$BE$65,5,FALSE),"")</f>
        <v/>
      </c>
      <c r="AJ1220" s="10" t="str">
        <f>IFERROR(VLOOKUP(B1220,'Pre-Summary'!$AZ$6:$BE$65,4,FALSE),"")</f>
        <v/>
      </c>
      <c r="AK1220" s="10" t="str">
        <f>IFERROR(VLOOKUP(B1220,'Pre-Summary'!$AZ$6:$BE$65,6,FALSE),"")</f>
        <v/>
      </c>
      <c r="AL1220" s="10" t="str">
        <f>IFERROR(VLOOKUP(B1220,'Pre-Summary'!$BG$6:$BL$44,3,FALSE),"")</f>
        <v/>
      </c>
      <c r="AM1220" s="10" t="str">
        <f>IFERROR(VLOOKUP(B1220,'Pre-Summary'!$BG$6:$BL$44,4,FALSE),"")</f>
        <v/>
      </c>
    </row>
    <row r="1221" spans="2:39" ht="15" customHeight="1" x14ac:dyDescent="0.3">
      <c r="B1221">
        <v>121.8</v>
      </c>
      <c r="C1221" t="str">
        <f>IFERROR(VLOOKUP(B1221,'Pre-Summary'!$DI$6:$DM$23,4,FALSE),"")</f>
        <v/>
      </c>
      <c r="D1221" s="10" t="str">
        <f>IFERROR(VLOOKUP(B1221,'Pre-Summary'!$AT$6:$AX$14,5,FALSE),D1220)</f>
        <v>DSMZ v4: dropped out methanol</v>
      </c>
      <c r="E1221" s="10" t="str">
        <f>IFERROR(VLOOKUP(B1221,'Pre-Summary'!$AT$6:$AX$15,4,FALSE),"")</f>
        <v/>
      </c>
      <c r="F1221">
        <f>IFERROR(VLOOKUP(B1221,'Pre-Summary'!$AL$6:$AQ$13,6,FALSE),F1220)</f>
        <v>5.9405263157894746E-2</v>
      </c>
      <c r="G1221" t="str">
        <f>IFERROR(VLOOKUP(B1221,'Pre-Summary'!$AE$6:$AJ$85,3,FALSE),"")</f>
        <v/>
      </c>
      <c r="H1221" t="str">
        <f>IFERROR(VLOOKUP(B1221,'Pre-Summary'!$AE$6:$AJ$85,4,FALSE),"")</f>
        <v/>
      </c>
      <c r="I1221" t="str">
        <f>IFERROR(VLOOKUP(B1221,'Pre-Summary'!$AE$6:$AJ$85,5,FALSE),"")</f>
        <v/>
      </c>
      <c r="J1221" s="45" t="str">
        <f>IFERROR(VLOOKUP(B1221,'Pre-Summary'!$AE$6:$AJ$85,6, FALSE),"")</f>
        <v/>
      </c>
      <c r="K1221" s="45" t="str">
        <f>IFERROR(VLOOKUP(B1221,'Pre-Summary'!$DE$6:$DG$61,3,FALSE),"")</f>
        <v/>
      </c>
      <c r="L1221" s="45" t="str">
        <f>IFERROR(VLOOKUP(B1221,'Pre-Summary'!$CU$6:$CW$36,3,FALSE),"")</f>
        <v/>
      </c>
      <c r="M1221" s="45" t="str">
        <f>IFERROR(VLOOKUP(B1221,'Pre-Summary'!$BW$6:$BY$58,2,FALSE),"")</f>
        <v/>
      </c>
      <c r="N1221" s="45" t="str">
        <f>IFERROR(VLOOKUP(B1221,'Pre-Summary'!$CD$6:$CF$64,2,FALSE),"")</f>
        <v/>
      </c>
      <c r="O1221" s="99">
        <f>IFERROR(VLOOKUP(B1221,'Pre-Summary'!$BO$6:$BQ$48,3, FALSE),O1220)</f>
        <v>1.2</v>
      </c>
      <c r="P1221" s="99">
        <f>IFERROR(VLOOKUP(B1221,'Pre-Summary'!$BS$6:$BU$35,3,FALSE),P1220)</f>
        <v>0.3</v>
      </c>
      <c r="Q1221" s="54">
        <f t="shared" si="57"/>
        <v>4</v>
      </c>
      <c r="R1221" s="53">
        <f>IFERROR(VLOOKUP(B1221,'Pre-Summary'!$BG$6:$BM$44,7,FALSE),R1222)</f>
        <v>7.6574939085447311E-2</v>
      </c>
      <c r="S1221" s="53">
        <f>IFERROR(VLOOKUP(B1221,'Pre-Summary'!$BG$6:$BM$44,6,FALSE),S1222)</f>
        <v>6.8761751275839902E-2</v>
      </c>
      <c r="T1221" s="45" t="str">
        <f>IFERROR(VLOOKUP(B1221,'Pre-Summary'!$Y$6:$AC$83, 3,FALSE),"")</f>
        <v/>
      </c>
      <c r="U1221" s="45" t="str">
        <f>IFERROR(VLOOKUP(B1221,'Pre-Summary'!$Y$6:$AC$83, 4,FALSE),"")</f>
        <v/>
      </c>
      <c r="V1221" t="str">
        <f>IFERROR(VLOOKUP(B1221,'Pre-Summary'!$Y$6:$AC$83, 5,FALSE),"")</f>
        <v/>
      </c>
      <c r="W1221" s="45" t="str">
        <f>IFERROR(VLOOKUP(B1221,'Pre-Summary'!$Y$6:$AD$83,6,FALSE),"")</f>
        <v/>
      </c>
      <c r="X1221" t="str">
        <f>IFERROR(VLOOKUP('Pre-Summary'!$DB$6:$DD$63,3,FALSE),"")</f>
        <v/>
      </c>
      <c r="Y1221" t="str">
        <f>IFERROR(VLOOKUP(B1221,'Pre-Summary'!$CR$6:$CT$36,3,FALSE),"")</f>
        <v/>
      </c>
      <c r="Z1221" s="45" t="str">
        <f>IFERROR(VLOOKUP(B1221,'Pre-Summary'!$BZ$6:$CB$63,2,FALSE),"")</f>
        <v/>
      </c>
      <c r="AA1221" s="45" t="str">
        <f>IFERROR(VLOOKUP(B1221,'Pre-Summary'!$CG$6:$CI$70,2,FALSE),"")</f>
        <v/>
      </c>
      <c r="AB1221" s="99">
        <f>IFERROR(VLOOKUP(B1221,'Pre-Summary'!$A$6:$P$178,9,FALSE),AB1222)</f>
        <v>0.28466705399875358</v>
      </c>
      <c r="AC1221" s="10">
        <f>IFERROR(VLOOKUP(Summary!B1221,'Pre-Summary'!$A$6:$P$184,5, FALSE)/100,AC1222)</f>
        <v>0.95201066666666678</v>
      </c>
      <c r="AD1221" s="10">
        <f>IFERROR(VLOOKUP(Summary!B1221,'Pre-Summary'!$A$6:$P$184,3, FALSE)/100,AD1222)</f>
        <v>6.9433333333333335E-3</v>
      </c>
      <c r="AE1221" s="10">
        <f>IFERROR(VLOOKUP(Summary!B1221,'Pre-Summary'!$A$6:$P$184,7, FALSE)/100,AE1222)</f>
        <v>4.1046000000000006E-2</v>
      </c>
      <c r="AF1221" s="99">
        <f t="shared" si="58"/>
        <v>1.9765382449313459E-3</v>
      </c>
      <c r="AG1221" s="99">
        <f t="shared" si="59"/>
        <v>1.1684443898432841E-2</v>
      </c>
      <c r="AH1221" s="10" t="str">
        <f>IFERROR(VLOOKUP(B1221,'Pre-Summary'!$AZ$6:$BE$65,3,FALSE),"")</f>
        <v/>
      </c>
      <c r="AI1221" s="10" t="str">
        <f>IFERROR(VLOOKUP(B1221,'Pre-Summary'!$AZ$6:$BE$65,5,FALSE),"")</f>
        <v/>
      </c>
      <c r="AJ1221" s="10" t="str">
        <f>IFERROR(VLOOKUP(B1221,'Pre-Summary'!$AZ$6:$BE$65,4,FALSE),"")</f>
        <v/>
      </c>
      <c r="AK1221" s="10" t="str">
        <f>IFERROR(VLOOKUP(B1221,'Pre-Summary'!$AZ$6:$BE$65,6,FALSE),"")</f>
        <v/>
      </c>
      <c r="AL1221" s="10" t="str">
        <f>IFERROR(VLOOKUP(B1221,'Pre-Summary'!$BG$6:$BL$44,3,FALSE),"")</f>
        <v/>
      </c>
      <c r="AM1221" s="10" t="str">
        <f>IFERROR(VLOOKUP(B1221,'Pre-Summary'!$BG$6:$BL$44,4,FALSE),"")</f>
        <v/>
      </c>
    </row>
    <row r="1222" spans="2:39" ht="15" customHeight="1" x14ac:dyDescent="0.3">
      <c r="B1222">
        <v>121.9</v>
      </c>
      <c r="C1222" t="str">
        <f>IFERROR(VLOOKUP(B1222,'Pre-Summary'!$DI$6:$DM$23,4,FALSE),"")</f>
        <v/>
      </c>
      <c r="D1222" s="10" t="str">
        <f>IFERROR(VLOOKUP(B1222,'Pre-Summary'!$AT$6:$AX$14,5,FALSE),D1221)</f>
        <v>DSMZ v4: dropped out methanol</v>
      </c>
      <c r="E1222" s="10" t="str">
        <f>IFERROR(VLOOKUP(B1222,'Pre-Summary'!$AT$6:$AX$15,4,FALSE),"")</f>
        <v/>
      </c>
      <c r="F1222">
        <f>IFERROR(VLOOKUP(B1222,'Pre-Summary'!$AL$6:$AQ$13,6,FALSE),F1221)</f>
        <v>5.9405263157894746E-2</v>
      </c>
      <c r="G1222" t="str">
        <f>IFERROR(VLOOKUP(B1222,'Pre-Summary'!$AE$6:$AJ$85,3,FALSE),"")</f>
        <v/>
      </c>
      <c r="H1222" t="str">
        <f>IFERROR(VLOOKUP(B1222,'Pre-Summary'!$AE$6:$AJ$85,4,FALSE),"")</f>
        <v/>
      </c>
      <c r="I1222" t="str">
        <f>IFERROR(VLOOKUP(B1222,'Pre-Summary'!$AE$6:$AJ$85,5,FALSE),"")</f>
        <v/>
      </c>
      <c r="J1222" s="45" t="str">
        <f>IFERROR(VLOOKUP(B1222,'Pre-Summary'!$AE$6:$AJ$85,6, FALSE),"")</f>
        <v/>
      </c>
      <c r="K1222" s="45" t="str">
        <f>IFERROR(VLOOKUP(B1222,'Pre-Summary'!$DE$6:$DG$61,3,FALSE),"")</f>
        <v/>
      </c>
      <c r="L1222" s="45" t="str">
        <f>IFERROR(VLOOKUP(B1222,'Pre-Summary'!$CU$6:$CW$36,3,FALSE),"")</f>
        <v/>
      </c>
      <c r="M1222" s="45" t="str">
        <f>IFERROR(VLOOKUP(B1222,'Pre-Summary'!$BW$6:$BY$58,2,FALSE),"")</f>
        <v/>
      </c>
      <c r="N1222" s="45" t="str">
        <f>IFERROR(VLOOKUP(B1222,'Pre-Summary'!$CD$6:$CF$64,2,FALSE),"")</f>
        <v/>
      </c>
      <c r="O1222" s="99">
        <f>IFERROR(VLOOKUP(B1222,'Pre-Summary'!$BO$6:$BQ$48,3, FALSE),O1221)</f>
        <v>1.2</v>
      </c>
      <c r="P1222" s="99">
        <f>IFERROR(VLOOKUP(B1222,'Pre-Summary'!$BS$6:$BU$35,3,FALSE),P1221)</f>
        <v>0.3</v>
      </c>
      <c r="Q1222" s="54">
        <f t="shared" si="57"/>
        <v>4</v>
      </c>
      <c r="R1222" s="53">
        <f>IFERROR(VLOOKUP(B1222,'Pre-Summary'!$BG$6:$BM$44,7,FALSE),R1223)</f>
        <v>7.6574939085447311E-2</v>
      </c>
      <c r="S1222" s="53">
        <f>IFERROR(VLOOKUP(B1222,'Pre-Summary'!$BG$6:$BM$44,6,FALSE),S1223)</f>
        <v>6.8761751275839902E-2</v>
      </c>
      <c r="T1222" s="45" t="str">
        <f>IFERROR(VLOOKUP(B1222,'Pre-Summary'!$Y$6:$AC$83, 3,FALSE),"")</f>
        <v/>
      </c>
      <c r="U1222" s="45" t="str">
        <f>IFERROR(VLOOKUP(B1222,'Pre-Summary'!$Y$6:$AC$83, 4,FALSE),"")</f>
        <v/>
      </c>
      <c r="V1222" t="str">
        <f>IFERROR(VLOOKUP(B1222,'Pre-Summary'!$Y$6:$AC$83, 5,FALSE),"")</f>
        <v/>
      </c>
      <c r="W1222" s="45" t="str">
        <f>IFERROR(VLOOKUP(B1222,'Pre-Summary'!$Y$6:$AD$83,6,FALSE),"")</f>
        <v/>
      </c>
      <c r="X1222" t="str">
        <f>IFERROR(VLOOKUP('Pre-Summary'!$DB$6:$DD$63,3,FALSE),"")</f>
        <v/>
      </c>
      <c r="Y1222" t="str">
        <f>IFERROR(VLOOKUP(B1222,'Pre-Summary'!$CR$6:$CT$36,3,FALSE),"")</f>
        <v/>
      </c>
      <c r="Z1222" s="45" t="str">
        <f>IFERROR(VLOOKUP(B1222,'Pre-Summary'!$BZ$6:$CB$63,2,FALSE),"")</f>
        <v/>
      </c>
      <c r="AA1222" s="45" t="str">
        <f>IFERROR(VLOOKUP(B1222,'Pre-Summary'!$CG$6:$CI$70,2,FALSE),"")</f>
        <v/>
      </c>
      <c r="AB1222" s="99">
        <f>IFERROR(VLOOKUP(B1222,'Pre-Summary'!$A$6:$P$178,9,FALSE),AB1223)</f>
        <v>0.28466705399875358</v>
      </c>
      <c r="AC1222" s="10">
        <f>IFERROR(VLOOKUP(Summary!B1222,'Pre-Summary'!$A$6:$P$184,5, FALSE)/100,AC1223)</f>
        <v>0.95201066666666678</v>
      </c>
      <c r="AD1222" s="10">
        <f>IFERROR(VLOOKUP(Summary!B1222,'Pre-Summary'!$A$6:$P$184,3, FALSE)/100,AD1223)</f>
        <v>6.9433333333333335E-3</v>
      </c>
      <c r="AE1222" s="10">
        <f>IFERROR(VLOOKUP(Summary!B1222,'Pre-Summary'!$A$6:$P$184,7, FALSE)/100,AE1223)</f>
        <v>4.1046000000000006E-2</v>
      </c>
      <c r="AF1222" s="99">
        <f t="shared" si="58"/>
        <v>1.9765382449313459E-3</v>
      </c>
      <c r="AG1222" s="99">
        <f t="shared" si="59"/>
        <v>1.1684443898432841E-2</v>
      </c>
      <c r="AH1222" s="10" t="str">
        <f>IFERROR(VLOOKUP(B1222,'Pre-Summary'!$AZ$6:$BE$65,3,FALSE),"")</f>
        <v/>
      </c>
      <c r="AI1222" s="10" t="str">
        <f>IFERROR(VLOOKUP(B1222,'Pre-Summary'!$AZ$6:$BE$65,5,FALSE),"")</f>
        <v/>
      </c>
      <c r="AJ1222" s="10" t="str">
        <f>IFERROR(VLOOKUP(B1222,'Pre-Summary'!$AZ$6:$BE$65,4,FALSE),"")</f>
        <v/>
      </c>
      <c r="AK1222" s="10" t="str">
        <f>IFERROR(VLOOKUP(B1222,'Pre-Summary'!$AZ$6:$BE$65,6,FALSE),"")</f>
        <v/>
      </c>
      <c r="AL1222" s="10" t="str">
        <f>IFERROR(VLOOKUP(B1222,'Pre-Summary'!$BG$6:$BL$44,3,FALSE),"")</f>
        <v/>
      </c>
      <c r="AM1222" s="10" t="str">
        <f>IFERROR(VLOOKUP(B1222,'Pre-Summary'!$BG$6:$BL$44,4,FALSE),"")</f>
        <v/>
      </c>
    </row>
    <row r="1223" spans="2:39" ht="15" customHeight="1" x14ac:dyDescent="0.3">
      <c r="B1223">
        <v>122</v>
      </c>
      <c r="C1223" t="str">
        <f>IFERROR(VLOOKUP(B1223,'Pre-Summary'!$DI$6:$DM$23,4,FALSE),"")</f>
        <v/>
      </c>
      <c r="D1223" s="10" t="str">
        <f>IFERROR(VLOOKUP(B1223,'Pre-Summary'!$AT$6:$AX$14,5,FALSE),D1222)</f>
        <v>DSMZ v4: dropped out methanol</v>
      </c>
      <c r="E1223" s="10" t="str">
        <f>IFERROR(VLOOKUP(B1223,'Pre-Summary'!$AT$6:$AX$15,4,FALSE),"")</f>
        <v/>
      </c>
      <c r="F1223">
        <f>IFERROR(VLOOKUP(B1223,'Pre-Summary'!$AL$6:$AQ$13,6,FALSE),F1222)</f>
        <v>5.9405263157894746E-2</v>
      </c>
      <c r="G1223" t="str">
        <f>IFERROR(VLOOKUP(B1223,'Pre-Summary'!$AE$6:$AJ$85,3,FALSE),"")</f>
        <v/>
      </c>
      <c r="H1223" t="str">
        <f>IFERROR(VLOOKUP(B1223,'Pre-Summary'!$AE$6:$AJ$85,4,FALSE),"")</f>
        <v/>
      </c>
      <c r="I1223" t="str">
        <f>IFERROR(VLOOKUP(B1223,'Pre-Summary'!$AE$6:$AJ$85,5,FALSE),"")</f>
        <v/>
      </c>
      <c r="J1223" s="45" t="str">
        <f>IFERROR(VLOOKUP(B1223,'Pre-Summary'!$AE$6:$AJ$85,6, FALSE),"")</f>
        <v/>
      </c>
      <c r="K1223" s="45" t="str">
        <f>IFERROR(VLOOKUP(B1223,'Pre-Summary'!$DE$6:$DG$61,3,FALSE),"")</f>
        <v/>
      </c>
      <c r="L1223" s="45" t="str">
        <f>IFERROR(VLOOKUP(B1223,'Pre-Summary'!$CU$6:$CW$36,3,FALSE),"")</f>
        <v/>
      </c>
      <c r="M1223" s="45" t="str">
        <f>IFERROR(VLOOKUP(B1223,'Pre-Summary'!$BW$6:$BY$58,2,FALSE),"")</f>
        <v/>
      </c>
      <c r="N1223" s="45" t="str">
        <f>IFERROR(VLOOKUP(B1223,'Pre-Summary'!$CD$6:$CF$64,2,FALSE),"")</f>
        <v/>
      </c>
      <c r="O1223" s="99">
        <f>IFERROR(VLOOKUP(B1223,'Pre-Summary'!$BO$6:$BQ$48,3, FALSE),O1222)</f>
        <v>1.2</v>
      </c>
      <c r="P1223" s="99">
        <f>IFERROR(VLOOKUP(B1223,'Pre-Summary'!$BS$6:$BU$35,3,FALSE),P1222)</f>
        <v>0.3</v>
      </c>
      <c r="Q1223" s="54">
        <f t="shared" si="57"/>
        <v>4</v>
      </c>
      <c r="R1223" s="53">
        <f>IFERROR(VLOOKUP(B1223,'Pre-Summary'!$BG$6:$BM$44,7,FALSE),R1224)</f>
        <v>7.6574939085447311E-2</v>
      </c>
      <c r="S1223" s="53">
        <f>IFERROR(VLOOKUP(B1223,'Pre-Summary'!$BG$6:$BM$44,6,FALSE),S1224)</f>
        <v>6.8761751275839902E-2</v>
      </c>
      <c r="T1223" s="45" t="str">
        <f>IFERROR(VLOOKUP(B1223,'Pre-Summary'!$Y$6:$AC$83, 3,FALSE),"")</f>
        <v/>
      </c>
      <c r="U1223" s="45" t="str">
        <f>IFERROR(VLOOKUP(B1223,'Pre-Summary'!$Y$6:$AC$83, 4,FALSE),"")</f>
        <v/>
      </c>
      <c r="V1223" t="str">
        <f>IFERROR(VLOOKUP(B1223,'Pre-Summary'!$Y$6:$AC$83, 5,FALSE),"")</f>
        <v/>
      </c>
      <c r="W1223" s="45" t="str">
        <f>IFERROR(VLOOKUP(B1223,'Pre-Summary'!$Y$6:$AD$83,6,FALSE),"")</f>
        <v/>
      </c>
      <c r="X1223" t="str">
        <f>IFERROR(VLOOKUP('Pre-Summary'!$DB$6:$DD$63,3,FALSE),"")</f>
        <v/>
      </c>
      <c r="Y1223" t="str">
        <f>IFERROR(VLOOKUP(B1223,'Pre-Summary'!$CR$6:$CT$36,3,FALSE),"")</f>
        <v/>
      </c>
      <c r="Z1223" s="45" t="str">
        <f>IFERROR(VLOOKUP(B1223,'Pre-Summary'!$BZ$6:$CB$63,2,FALSE),"")</f>
        <v/>
      </c>
      <c r="AA1223" s="45" t="str">
        <f>IFERROR(VLOOKUP(B1223,'Pre-Summary'!$CG$6:$CI$70,2,FALSE),"")</f>
        <v/>
      </c>
      <c r="AB1223" s="99">
        <f>IFERROR(VLOOKUP(B1223,'Pre-Summary'!$A$6:$P$178,9,FALSE),AB1224)</f>
        <v>0.28466705399875358</v>
      </c>
      <c r="AC1223" s="10">
        <f>IFERROR(VLOOKUP(Summary!B1223,'Pre-Summary'!$A$6:$P$184,5, FALSE)/100,AC1224)</f>
        <v>0.95201066666666678</v>
      </c>
      <c r="AD1223" s="10">
        <f>IFERROR(VLOOKUP(Summary!B1223,'Pre-Summary'!$A$6:$P$184,3, FALSE)/100,AD1224)</f>
        <v>6.9433333333333335E-3</v>
      </c>
      <c r="AE1223" s="10">
        <f>IFERROR(VLOOKUP(Summary!B1223,'Pre-Summary'!$A$6:$P$184,7, FALSE)/100,AE1224)</f>
        <v>4.1046000000000006E-2</v>
      </c>
      <c r="AF1223" s="99">
        <f t="shared" si="58"/>
        <v>1.9765382449313459E-3</v>
      </c>
      <c r="AG1223" s="99">
        <f t="shared" si="59"/>
        <v>1.1684443898432841E-2</v>
      </c>
      <c r="AH1223" s="10" t="str">
        <f>IFERROR(VLOOKUP(B1223,'Pre-Summary'!$AZ$6:$BE$65,3,FALSE),"")</f>
        <v/>
      </c>
      <c r="AI1223" s="10" t="str">
        <f>IFERROR(VLOOKUP(B1223,'Pre-Summary'!$AZ$6:$BE$65,5,FALSE),"")</f>
        <v/>
      </c>
      <c r="AJ1223" s="10" t="str">
        <f>IFERROR(VLOOKUP(B1223,'Pre-Summary'!$AZ$6:$BE$65,4,FALSE),"")</f>
        <v/>
      </c>
      <c r="AK1223" s="10" t="str">
        <f>IFERROR(VLOOKUP(B1223,'Pre-Summary'!$AZ$6:$BE$65,6,FALSE),"")</f>
        <v/>
      </c>
      <c r="AL1223" s="10" t="str">
        <f>IFERROR(VLOOKUP(B1223,'Pre-Summary'!$BG$6:$BL$44,3,FALSE),"")</f>
        <v/>
      </c>
      <c r="AM1223" s="10" t="str">
        <f>IFERROR(VLOOKUP(B1223,'Pre-Summary'!$BG$6:$BL$44,4,FALSE),"")</f>
        <v/>
      </c>
    </row>
    <row r="1224" spans="2:39" ht="15" customHeight="1" x14ac:dyDescent="0.3">
      <c r="B1224">
        <v>122.1</v>
      </c>
      <c r="C1224" t="str">
        <f>IFERROR(VLOOKUP(B1224,'Pre-Summary'!$DI$6:$DM$23,4,FALSE),"")</f>
        <v/>
      </c>
      <c r="D1224" s="10" t="str">
        <f>IFERROR(VLOOKUP(B1224,'Pre-Summary'!$AT$6:$AX$14,5,FALSE),D1223)</f>
        <v>DSMZ v4: dropped out methanol</v>
      </c>
      <c r="E1224" s="10" t="str">
        <f>IFERROR(VLOOKUP(B1224,'Pre-Summary'!$AT$6:$AX$15,4,FALSE),"")</f>
        <v/>
      </c>
      <c r="F1224">
        <f>IFERROR(VLOOKUP(B1224,'Pre-Summary'!$AL$6:$AQ$13,6,FALSE),F1223)</f>
        <v>5.9405263157894746E-2</v>
      </c>
      <c r="G1224" t="str">
        <f>IFERROR(VLOOKUP(B1224,'Pre-Summary'!$AE$6:$AJ$85,3,FALSE),"")</f>
        <v/>
      </c>
      <c r="H1224" t="str">
        <f>IFERROR(VLOOKUP(B1224,'Pre-Summary'!$AE$6:$AJ$85,4,FALSE),"")</f>
        <v/>
      </c>
      <c r="I1224" t="str">
        <f>IFERROR(VLOOKUP(B1224,'Pre-Summary'!$AE$6:$AJ$85,5,FALSE),"")</f>
        <v/>
      </c>
      <c r="J1224" s="45" t="str">
        <f>IFERROR(VLOOKUP(B1224,'Pre-Summary'!$AE$6:$AJ$85,6, FALSE),"")</f>
        <v/>
      </c>
      <c r="K1224" s="45" t="str">
        <f>IFERROR(VLOOKUP(B1224,'Pre-Summary'!$DE$6:$DG$61,3,FALSE),"")</f>
        <v/>
      </c>
      <c r="L1224" s="45" t="str">
        <f>IFERROR(VLOOKUP(B1224,'Pre-Summary'!$CU$6:$CW$36,3,FALSE),"")</f>
        <v/>
      </c>
      <c r="M1224" s="45" t="str">
        <f>IFERROR(VLOOKUP(B1224,'Pre-Summary'!$BW$6:$BY$58,2,FALSE),"")</f>
        <v/>
      </c>
      <c r="N1224" s="45" t="str">
        <f>IFERROR(VLOOKUP(B1224,'Pre-Summary'!$CD$6:$CF$64,2,FALSE),"")</f>
        <v/>
      </c>
      <c r="O1224" s="99">
        <f>IFERROR(VLOOKUP(B1224,'Pre-Summary'!$BO$6:$BQ$48,3, FALSE),O1223)</f>
        <v>1.2</v>
      </c>
      <c r="P1224" s="99">
        <f>IFERROR(VLOOKUP(B1224,'Pre-Summary'!$BS$6:$BU$35,3,FALSE),P1223)</f>
        <v>0.3</v>
      </c>
      <c r="Q1224" s="54">
        <f t="shared" si="57"/>
        <v>4</v>
      </c>
      <c r="R1224" s="53">
        <f>IFERROR(VLOOKUP(B1224,'Pre-Summary'!$BG$6:$BM$44,7,FALSE),R1225)</f>
        <v>7.6574939085447311E-2</v>
      </c>
      <c r="S1224" s="53">
        <f>IFERROR(VLOOKUP(B1224,'Pre-Summary'!$BG$6:$BM$44,6,FALSE),S1225)</f>
        <v>6.8761751275839902E-2</v>
      </c>
      <c r="T1224" s="45" t="str">
        <f>IFERROR(VLOOKUP(B1224,'Pre-Summary'!$Y$6:$AC$83, 3,FALSE),"")</f>
        <v/>
      </c>
      <c r="U1224" s="45" t="str">
        <f>IFERROR(VLOOKUP(B1224,'Pre-Summary'!$Y$6:$AC$83, 4,FALSE),"")</f>
        <v/>
      </c>
      <c r="V1224" t="str">
        <f>IFERROR(VLOOKUP(B1224,'Pre-Summary'!$Y$6:$AC$83, 5,FALSE),"")</f>
        <v/>
      </c>
      <c r="W1224" s="45" t="str">
        <f>IFERROR(VLOOKUP(B1224,'Pre-Summary'!$Y$6:$AD$83,6,FALSE),"")</f>
        <v/>
      </c>
      <c r="X1224" t="str">
        <f>IFERROR(VLOOKUP('Pre-Summary'!$DB$6:$DD$63,3,FALSE),"")</f>
        <v/>
      </c>
      <c r="Y1224" t="str">
        <f>IFERROR(VLOOKUP(B1224,'Pre-Summary'!$CR$6:$CT$36,3,FALSE),"")</f>
        <v/>
      </c>
      <c r="Z1224" s="45" t="str">
        <f>IFERROR(VLOOKUP(B1224,'Pre-Summary'!$BZ$6:$CB$63,2,FALSE),"")</f>
        <v/>
      </c>
      <c r="AA1224" s="45" t="str">
        <f>IFERROR(VLOOKUP(B1224,'Pre-Summary'!$CG$6:$CI$70,2,FALSE),"")</f>
        <v/>
      </c>
      <c r="AB1224" s="99">
        <f>IFERROR(VLOOKUP(B1224,'Pre-Summary'!$A$6:$P$178,9,FALSE),AB1225)</f>
        <v>0.29854506098972833</v>
      </c>
      <c r="AC1224" s="10">
        <f>IFERROR(VLOOKUP(Summary!B1224,'Pre-Summary'!$A$6:$P$184,5, FALSE)/100,AC1225)</f>
        <v>0.96409233333333344</v>
      </c>
      <c r="AD1224" s="10">
        <f>IFERROR(VLOOKUP(Summary!B1224,'Pre-Summary'!$A$6:$P$184,3, FALSE)/100,AD1225)</f>
        <v>7.5420000000000001E-3</v>
      </c>
      <c r="AE1224" s="10">
        <f>IFERROR(VLOOKUP(Summary!B1224,'Pre-Summary'!$A$6:$P$184,7, FALSE)/100,AE1225)</f>
        <v>2.8365666666666668E-2</v>
      </c>
      <c r="AF1224" s="99">
        <f t="shared" si="58"/>
        <v>2.2516268499845312E-3</v>
      </c>
      <c r="AG1224" s="99">
        <f t="shared" si="59"/>
        <v>8.4684296850143035E-3</v>
      </c>
      <c r="AH1224" s="10" t="str">
        <f>IFERROR(VLOOKUP(B1224,'Pre-Summary'!$AZ$6:$BE$65,3,FALSE),"")</f>
        <v/>
      </c>
      <c r="AI1224" s="10" t="str">
        <f>IFERROR(VLOOKUP(B1224,'Pre-Summary'!$AZ$6:$BE$65,5,FALSE),"")</f>
        <v/>
      </c>
      <c r="AJ1224" s="10" t="str">
        <f>IFERROR(VLOOKUP(B1224,'Pre-Summary'!$AZ$6:$BE$65,4,FALSE),"")</f>
        <v/>
      </c>
      <c r="AK1224" s="10" t="str">
        <f>IFERROR(VLOOKUP(B1224,'Pre-Summary'!$AZ$6:$BE$65,6,FALSE),"")</f>
        <v/>
      </c>
      <c r="AL1224" s="10" t="str">
        <f>IFERROR(VLOOKUP(B1224,'Pre-Summary'!$BG$6:$BL$44,3,FALSE),"")</f>
        <v/>
      </c>
      <c r="AM1224" s="10" t="str">
        <f>IFERROR(VLOOKUP(B1224,'Pre-Summary'!$BG$6:$BL$44,4,FALSE),"")</f>
        <v/>
      </c>
    </row>
    <row r="1225" spans="2:39" ht="15" customHeight="1" x14ac:dyDescent="0.3">
      <c r="B1225">
        <v>122.2</v>
      </c>
      <c r="C1225" t="str">
        <f>IFERROR(VLOOKUP(B1225,'Pre-Summary'!$DI$6:$DM$23,4,FALSE),"")</f>
        <v/>
      </c>
      <c r="D1225" s="10" t="str">
        <f>IFERROR(VLOOKUP(B1225,'Pre-Summary'!$AT$6:$AX$14,5,FALSE),D1224)</f>
        <v>DSMZ v4: dropped out methanol</v>
      </c>
      <c r="E1225" s="10" t="str">
        <f>IFERROR(VLOOKUP(B1225,'Pre-Summary'!$AT$6:$AX$15,4,FALSE),"")</f>
        <v/>
      </c>
      <c r="F1225">
        <f>IFERROR(VLOOKUP(B1225,'Pre-Summary'!$AL$6:$AQ$13,6,FALSE),F1224)</f>
        <v>5.9405263157894746E-2</v>
      </c>
      <c r="G1225" t="str">
        <f>IFERROR(VLOOKUP(B1225,'Pre-Summary'!$AE$6:$AJ$85,3,FALSE),"")</f>
        <v/>
      </c>
      <c r="H1225" t="str">
        <f>IFERROR(VLOOKUP(B1225,'Pre-Summary'!$AE$6:$AJ$85,4,FALSE),"")</f>
        <v/>
      </c>
      <c r="I1225" t="str">
        <f>IFERROR(VLOOKUP(B1225,'Pre-Summary'!$AE$6:$AJ$85,5,FALSE),"")</f>
        <v/>
      </c>
      <c r="J1225" s="45" t="str">
        <f>IFERROR(VLOOKUP(B1225,'Pre-Summary'!$AE$6:$AJ$85,6, FALSE),"")</f>
        <v/>
      </c>
      <c r="K1225" s="45" t="str">
        <f>IFERROR(VLOOKUP(B1225,'Pre-Summary'!$DE$6:$DG$61,3,FALSE),"")</f>
        <v/>
      </c>
      <c r="L1225" s="45" t="str">
        <f>IFERROR(VLOOKUP(B1225,'Pre-Summary'!$CU$6:$CW$36,3,FALSE),"")</f>
        <v/>
      </c>
      <c r="M1225" s="45" t="str">
        <f>IFERROR(VLOOKUP(B1225,'Pre-Summary'!$BW$6:$BY$58,2,FALSE),"")</f>
        <v/>
      </c>
      <c r="N1225" s="45" t="str">
        <f>IFERROR(VLOOKUP(B1225,'Pre-Summary'!$CD$6:$CF$64,2,FALSE),"")</f>
        <v/>
      </c>
      <c r="O1225" s="99">
        <f>IFERROR(VLOOKUP(B1225,'Pre-Summary'!$BO$6:$BQ$48,3, FALSE),O1224)</f>
        <v>1.2</v>
      </c>
      <c r="P1225" s="99">
        <f>IFERROR(VLOOKUP(B1225,'Pre-Summary'!$BS$6:$BU$35,3,FALSE),P1224)</f>
        <v>0.3</v>
      </c>
      <c r="Q1225" s="54">
        <f t="shared" si="57"/>
        <v>4</v>
      </c>
      <c r="R1225" s="53">
        <f>IFERROR(VLOOKUP(B1225,'Pre-Summary'!$BG$6:$BM$44,7,FALSE),R1226)</f>
        <v>7.6574939085447311E-2</v>
      </c>
      <c r="S1225" s="53">
        <f>IFERROR(VLOOKUP(B1225,'Pre-Summary'!$BG$6:$BM$44,6,FALSE),S1226)</f>
        <v>6.8761751275839902E-2</v>
      </c>
      <c r="T1225" s="45" t="str">
        <f>IFERROR(VLOOKUP(B1225,'Pre-Summary'!$Y$6:$AC$83, 3,FALSE),"")</f>
        <v/>
      </c>
      <c r="U1225" s="45" t="str">
        <f>IFERROR(VLOOKUP(B1225,'Pre-Summary'!$Y$6:$AC$83, 4,FALSE),"")</f>
        <v/>
      </c>
      <c r="V1225" t="str">
        <f>IFERROR(VLOOKUP(B1225,'Pre-Summary'!$Y$6:$AC$83, 5,FALSE),"")</f>
        <v/>
      </c>
      <c r="W1225" s="45" t="str">
        <f>IFERROR(VLOOKUP(B1225,'Pre-Summary'!$Y$6:$AD$83,6,FALSE),"")</f>
        <v/>
      </c>
      <c r="X1225" t="str">
        <f>IFERROR(VLOOKUP('Pre-Summary'!$DB$6:$DD$63,3,FALSE),"")</f>
        <v/>
      </c>
      <c r="Y1225" t="str">
        <f>IFERROR(VLOOKUP(B1225,'Pre-Summary'!$CR$6:$CT$36,3,FALSE),"")</f>
        <v/>
      </c>
      <c r="Z1225" s="45" t="str">
        <f>IFERROR(VLOOKUP(B1225,'Pre-Summary'!$BZ$6:$CB$63,2,FALSE),"")</f>
        <v/>
      </c>
      <c r="AA1225" s="45" t="str">
        <f>IFERROR(VLOOKUP(B1225,'Pre-Summary'!$CG$6:$CI$70,2,FALSE),"")</f>
        <v/>
      </c>
      <c r="AB1225" s="99">
        <f>IFERROR(VLOOKUP(B1225,'Pre-Summary'!$A$6:$P$178,9,FALSE),AB1226)</f>
        <v>0.29854506098972833</v>
      </c>
      <c r="AC1225" s="10">
        <f>IFERROR(VLOOKUP(Summary!B1225,'Pre-Summary'!$A$6:$P$184,5, FALSE)/100,AC1226)</f>
        <v>0.96409233333333344</v>
      </c>
      <c r="AD1225" s="10">
        <f>IFERROR(VLOOKUP(Summary!B1225,'Pre-Summary'!$A$6:$P$184,3, FALSE)/100,AD1226)</f>
        <v>7.5420000000000001E-3</v>
      </c>
      <c r="AE1225" s="10">
        <f>IFERROR(VLOOKUP(Summary!B1225,'Pre-Summary'!$A$6:$P$184,7, FALSE)/100,AE1226)</f>
        <v>2.8365666666666668E-2</v>
      </c>
      <c r="AF1225" s="99">
        <f t="shared" si="58"/>
        <v>2.2516268499845312E-3</v>
      </c>
      <c r="AG1225" s="99">
        <f t="shared" si="59"/>
        <v>8.4684296850143035E-3</v>
      </c>
      <c r="AH1225" s="10" t="str">
        <f>IFERROR(VLOOKUP(B1225,'Pre-Summary'!$AZ$6:$BE$65,3,FALSE),"")</f>
        <v/>
      </c>
      <c r="AI1225" s="10" t="str">
        <f>IFERROR(VLOOKUP(B1225,'Pre-Summary'!$AZ$6:$BE$65,5,FALSE),"")</f>
        <v/>
      </c>
      <c r="AJ1225" s="10" t="str">
        <f>IFERROR(VLOOKUP(B1225,'Pre-Summary'!$AZ$6:$BE$65,4,FALSE),"")</f>
        <v/>
      </c>
      <c r="AK1225" s="10" t="str">
        <f>IFERROR(VLOOKUP(B1225,'Pre-Summary'!$AZ$6:$BE$65,6,FALSE),"")</f>
        <v/>
      </c>
      <c r="AL1225" s="10" t="str">
        <f>IFERROR(VLOOKUP(B1225,'Pre-Summary'!$BG$6:$BL$44,3,FALSE),"")</f>
        <v/>
      </c>
      <c r="AM1225" s="10" t="str">
        <f>IFERROR(VLOOKUP(B1225,'Pre-Summary'!$BG$6:$BL$44,4,FALSE),"")</f>
        <v/>
      </c>
    </row>
    <row r="1226" spans="2:39" ht="15" customHeight="1" x14ac:dyDescent="0.3">
      <c r="B1226">
        <v>122.3</v>
      </c>
      <c r="C1226" t="str">
        <f>IFERROR(VLOOKUP(B1226,'Pre-Summary'!$DI$6:$DM$23,4,FALSE),"")</f>
        <v/>
      </c>
      <c r="D1226" s="10" t="str">
        <f>IFERROR(VLOOKUP(B1226,'Pre-Summary'!$AT$6:$AX$14,5,FALSE),D1225)</f>
        <v>DSMZ v4: dropped out methanol</v>
      </c>
      <c r="E1226" s="10" t="str">
        <f>IFERROR(VLOOKUP(B1226,'Pre-Summary'!$AT$6:$AX$15,4,FALSE),"")</f>
        <v/>
      </c>
      <c r="F1226">
        <f>IFERROR(VLOOKUP(B1226,'Pre-Summary'!$AL$6:$AQ$13,6,FALSE),F1225)</f>
        <v>5.9405263157894746E-2</v>
      </c>
      <c r="G1226" t="str">
        <f>IFERROR(VLOOKUP(B1226,'Pre-Summary'!$AE$6:$AJ$85,3,FALSE),"")</f>
        <v/>
      </c>
      <c r="H1226" t="str">
        <f>IFERROR(VLOOKUP(B1226,'Pre-Summary'!$AE$6:$AJ$85,4,FALSE),"")</f>
        <v/>
      </c>
      <c r="I1226" t="str">
        <f>IFERROR(VLOOKUP(B1226,'Pre-Summary'!$AE$6:$AJ$85,5,FALSE),"")</f>
        <v/>
      </c>
      <c r="J1226" s="45" t="str">
        <f>IFERROR(VLOOKUP(B1226,'Pre-Summary'!$AE$6:$AJ$85,6, FALSE),"")</f>
        <v/>
      </c>
      <c r="K1226" s="45" t="str">
        <f>IFERROR(VLOOKUP(B1226,'Pre-Summary'!$DE$6:$DG$61,3,FALSE),"")</f>
        <v/>
      </c>
      <c r="L1226" s="45" t="str">
        <f>IFERROR(VLOOKUP(B1226,'Pre-Summary'!$CU$6:$CW$36,3,FALSE),"")</f>
        <v/>
      </c>
      <c r="M1226" s="45" t="str">
        <f>IFERROR(VLOOKUP(B1226,'Pre-Summary'!$BW$6:$BY$58,2,FALSE),"")</f>
        <v/>
      </c>
      <c r="N1226" s="45" t="str">
        <f>IFERROR(VLOOKUP(B1226,'Pre-Summary'!$CD$6:$CF$64,2,FALSE),"")</f>
        <v/>
      </c>
      <c r="O1226" s="99">
        <f>IFERROR(VLOOKUP(B1226,'Pre-Summary'!$BO$6:$BQ$48,3, FALSE),O1225)</f>
        <v>1.2</v>
      </c>
      <c r="P1226" s="99">
        <f>IFERROR(VLOOKUP(B1226,'Pre-Summary'!$BS$6:$BU$35,3,FALSE),P1225)</f>
        <v>0.3</v>
      </c>
      <c r="Q1226" s="54">
        <f t="shared" si="57"/>
        <v>4</v>
      </c>
      <c r="R1226" s="53">
        <f>IFERROR(VLOOKUP(B1226,'Pre-Summary'!$BG$6:$BM$44,7,FALSE),R1227)</f>
        <v>7.6574939085447311E-2</v>
      </c>
      <c r="S1226" s="53">
        <f>IFERROR(VLOOKUP(B1226,'Pre-Summary'!$BG$6:$BM$44,6,FALSE),S1227)</f>
        <v>6.8761751275839902E-2</v>
      </c>
      <c r="T1226" s="45" t="str">
        <f>IFERROR(VLOOKUP(B1226,'Pre-Summary'!$Y$6:$AC$83, 3,FALSE),"")</f>
        <v/>
      </c>
      <c r="U1226" s="45" t="str">
        <f>IFERROR(VLOOKUP(B1226,'Pre-Summary'!$Y$6:$AC$83, 4,FALSE),"")</f>
        <v/>
      </c>
      <c r="V1226" t="str">
        <f>IFERROR(VLOOKUP(B1226,'Pre-Summary'!$Y$6:$AC$83, 5,FALSE),"")</f>
        <v/>
      </c>
      <c r="W1226" s="45" t="str">
        <f>IFERROR(VLOOKUP(B1226,'Pre-Summary'!$Y$6:$AD$83,6,FALSE),"")</f>
        <v/>
      </c>
      <c r="X1226" t="str">
        <f>IFERROR(VLOOKUP('Pre-Summary'!$DB$6:$DD$63,3,FALSE),"")</f>
        <v/>
      </c>
      <c r="Y1226" t="str">
        <f>IFERROR(VLOOKUP(B1226,'Pre-Summary'!$CR$6:$CT$36,3,FALSE),"")</f>
        <v/>
      </c>
      <c r="Z1226" s="45" t="str">
        <f>IFERROR(VLOOKUP(B1226,'Pre-Summary'!$BZ$6:$CB$63,2,FALSE),"")</f>
        <v/>
      </c>
      <c r="AA1226" s="45" t="str">
        <f>IFERROR(VLOOKUP(B1226,'Pre-Summary'!$CG$6:$CI$70,2,FALSE),"")</f>
        <v/>
      </c>
      <c r="AB1226" s="99">
        <f>IFERROR(VLOOKUP(B1226,'Pre-Summary'!$A$6:$P$178,9,FALSE),AB1227)</f>
        <v>0.29854506098972833</v>
      </c>
      <c r="AC1226" s="10">
        <f>IFERROR(VLOOKUP(Summary!B1226,'Pre-Summary'!$A$6:$P$184,5, FALSE)/100,AC1227)</f>
        <v>0.96409233333333344</v>
      </c>
      <c r="AD1226" s="10">
        <f>IFERROR(VLOOKUP(Summary!B1226,'Pre-Summary'!$A$6:$P$184,3, FALSE)/100,AD1227)</f>
        <v>7.5420000000000001E-3</v>
      </c>
      <c r="AE1226" s="10">
        <f>IFERROR(VLOOKUP(Summary!B1226,'Pre-Summary'!$A$6:$P$184,7, FALSE)/100,AE1227)</f>
        <v>2.8365666666666668E-2</v>
      </c>
      <c r="AF1226" s="99">
        <f t="shared" si="58"/>
        <v>2.2516268499845312E-3</v>
      </c>
      <c r="AG1226" s="99">
        <f t="shared" si="59"/>
        <v>8.4684296850143035E-3</v>
      </c>
      <c r="AH1226" s="10" t="str">
        <f>IFERROR(VLOOKUP(B1226,'Pre-Summary'!$AZ$6:$BE$65,3,FALSE),"")</f>
        <v/>
      </c>
      <c r="AI1226" s="10" t="str">
        <f>IFERROR(VLOOKUP(B1226,'Pre-Summary'!$AZ$6:$BE$65,5,FALSE),"")</f>
        <v/>
      </c>
      <c r="AJ1226" s="10" t="str">
        <f>IFERROR(VLOOKUP(B1226,'Pre-Summary'!$AZ$6:$BE$65,4,FALSE),"")</f>
        <v/>
      </c>
      <c r="AK1226" s="10" t="str">
        <f>IFERROR(VLOOKUP(B1226,'Pre-Summary'!$AZ$6:$BE$65,6,FALSE),"")</f>
        <v/>
      </c>
      <c r="AL1226" s="10" t="str">
        <f>IFERROR(VLOOKUP(B1226,'Pre-Summary'!$BG$6:$BL$44,3,FALSE),"")</f>
        <v/>
      </c>
      <c r="AM1226" s="10" t="str">
        <f>IFERROR(VLOOKUP(B1226,'Pre-Summary'!$BG$6:$BL$44,4,FALSE),"")</f>
        <v/>
      </c>
    </row>
    <row r="1227" spans="2:39" ht="15" customHeight="1" x14ac:dyDescent="0.3">
      <c r="B1227">
        <v>122.4</v>
      </c>
      <c r="C1227" t="str">
        <f>IFERROR(VLOOKUP(B1227,'Pre-Summary'!$DI$6:$DM$23,4,FALSE),"")</f>
        <v/>
      </c>
      <c r="D1227" s="10" t="str">
        <f>IFERROR(VLOOKUP(B1227,'Pre-Summary'!$AT$6:$AX$14,5,FALSE),D1226)</f>
        <v>DSMZ v4: dropped out methanol</v>
      </c>
      <c r="E1227" s="10" t="str">
        <f>IFERROR(VLOOKUP(B1227,'Pre-Summary'!$AT$6:$AX$15,4,FALSE),"")</f>
        <v/>
      </c>
      <c r="F1227">
        <f>IFERROR(VLOOKUP(B1227,'Pre-Summary'!$AL$6:$AQ$13,6,FALSE),F1226)</f>
        <v>5.9405263157894746E-2</v>
      </c>
      <c r="G1227" t="str">
        <f>IFERROR(VLOOKUP(B1227,'Pre-Summary'!$AE$6:$AJ$85,3,FALSE),"")</f>
        <v/>
      </c>
      <c r="H1227" t="str">
        <f>IFERROR(VLOOKUP(B1227,'Pre-Summary'!$AE$6:$AJ$85,4,FALSE),"")</f>
        <v/>
      </c>
      <c r="I1227" t="str">
        <f>IFERROR(VLOOKUP(B1227,'Pre-Summary'!$AE$6:$AJ$85,5,FALSE),"")</f>
        <v/>
      </c>
      <c r="J1227" s="45" t="str">
        <f>IFERROR(VLOOKUP(B1227,'Pre-Summary'!$AE$6:$AJ$85,6, FALSE),"")</f>
        <v/>
      </c>
      <c r="K1227" s="45" t="str">
        <f>IFERROR(VLOOKUP(B1227,'Pre-Summary'!$DE$6:$DG$61,3,FALSE),"")</f>
        <v/>
      </c>
      <c r="L1227" s="45" t="str">
        <f>IFERROR(VLOOKUP(B1227,'Pre-Summary'!$CU$6:$CW$36,3,FALSE),"")</f>
        <v/>
      </c>
      <c r="M1227" s="45" t="str">
        <f>IFERROR(VLOOKUP(B1227,'Pre-Summary'!$BW$6:$BY$58,2,FALSE),"")</f>
        <v/>
      </c>
      <c r="N1227" s="45" t="str">
        <f>IFERROR(VLOOKUP(B1227,'Pre-Summary'!$CD$6:$CF$64,2,FALSE),"")</f>
        <v/>
      </c>
      <c r="O1227" s="99">
        <f>IFERROR(VLOOKUP(B1227,'Pre-Summary'!$BO$6:$BQ$48,3, FALSE),O1226)</f>
        <v>1.2</v>
      </c>
      <c r="P1227" s="99">
        <f>IFERROR(VLOOKUP(B1227,'Pre-Summary'!$BS$6:$BU$35,3,FALSE),P1226)</f>
        <v>0.3</v>
      </c>
      <c r="Q1227" s="54">
        <f t="shared" si="57"/>
        <v>4</v>
      </c>
      <c r="R1227" s="53">
        <f>IFERROR(VLOOKUP(B1227,'Pre-Summary'!$BG$6:$BM$44,7,FALSE),R1228)</f>
        <v>7.6574939085447311E-2</v>
      </c>
      <c r="S1227" s="53">
        <f>IFERROR(VLOOKUP(B1227,'Pre-Summary'!$BG$6:$BM$44,6,FALSE),S1228)</f>
        <v>6.8761751275839902E-2</v>
      </c>
      <c r="T1227" s="45" t="str">
        <f>IFERROR(VLOOKUP(B1227,'Pre-Summary'!$Y$6:$AC$83, 3,FALSE),"")</f>
        <v/>
      </c>
      <c r="U1227" s="45" t="str">
        <f>IFERROR(VLOOKUP(B1227,'Pre-Summary'!$Y$6:$AC$83, 4,FALSE),"")</f>
        <v/>
      </c>
      <c r="V1227" t="str">
        <f>IFERROR(VLOOKUP(B1227,'Pre-Summary'!$Y$6:$AC$83, 5,FALSE),"")</f>
        <v/>
      </c>
      <c r="W1227" s="45" t="str">
        <f>IFERROR(VLOOKUP(B1227,'Pre-Summary'!$Y$6:$AD$83,6,FALSE),"")</f>
        <v/>
      </c>
      <c r="X1227" t="str">
        <f>IFERROR(VLOOKUP('Pre-Summary'!$DB$6:$DD$63,3,FALSE),"")</f>
        <v/>
      </c>
      <c r="Y1227" t="str">
        <f>IFERROR(VLOOKUP(B1227,'Pre-Summary'!$CR$6:$CT$36,3,FALSE),"")</f>
        <v/>
      </c>
      <c r="Z1227" s="45" t="str">
        <f>IFERROR(VLOOKUP(B1227,'Pre-Summary'!$BZ$6:$CB$63,2,FALSE),"")</f>
        <v/>
      </c>
      <c r="AA1227" s="45" t="str">
        <f>IFERROR(VLOOKUP(B1227,'Pre-Summary'!$CG$6:$CI$70,2,FALSE),"")</f>
        <v/>
      </c>
      <c r="AB1227" s="99">
        <f>IFERROR(VLOOKUP(B1227,'Pre-Summary'!$A$6:$P$178,9,FALSE),AB1228)</f>
        <v>0.29854506098972833</v>
      </c>
      <c r="AC1227" s="10">
        <f>IFERROR(VLOOKUP(Summary!B1227,'Pre-Summary'!$A$6:$P$184,5, FALSE)/100,AC1228)</f>
        <v>0.96409233333333344</v>
      </c>
      <c r="AD1227" s="10">
        <f>IFERROR(VLOOKUP(Summary!B1227,'Pre-Summary'!$A$6:$P$184,3, FALSE)/100,AD1228)</f>
        <v>7.5420000000000001E-3</v>
      </c>
      <c r="AE1227" s="10">
        <f>IFERROR(VLOOKUP(Summary!B1227,'Pre-Summary'!$A$6:$P$184,7, FALSE)/100,AE1228)</f>
        <v>2.8365666666666668E-2</v>
      </c>
      <c r="AF1227" s="99">
        <f t="shared" si="58"/>
        <v>2.2516268499845312E-3</v>
      </c>
      <c r="AG1227" s="99">
        <f t="shared" si="59"/>
        <v>8.4684296850143035E-3</v>
      </c>
      <c r="AH1227" s="10" t="str">
        <f>IFERROR(VLOOKUP(B1227,'Pre-Summary'!$AZ$6:$BE$65,3,FALSE),"")</f>
        <v/>
      </c>
      <c r="AI1227" s="10" t="str">
        <f>IFERROR(VLOOKUP(B1227,'Pre-Summary'!$AZ$6:$BE$65,5,FALSE),"")</f>
        <v/>
      </c>
      <c r="AJ1227" s="10" t="str">
        <f>IFERROR(VLOOKUP(B1227,'Pre-Summary'!$AZ$6:$BE$65,4,FALSE),"")</f>
        <v/>
      </c>
      <c r="AK1227" s="10" t="str">
        <f>IFERROR(VLOOKUP(B1227,'Pre-Summary'!$AZ$6:$BE$65,6,FALSE),"")</f>
        <v/>
      </c>
      <c r="AL1227" s="10" t="str">
        <f>IFERROR(VLOOKUP(B1227,'Pre-Summary'!$BG$6:$BL$44,3,FALSE),"")</f>
        <v/>
      </c>
      <c r="AM1227" s="10" t="str">
        <f>IFERROR(VLOOKUP(B1227,'Pre-Summary'!$BG$6:$BL$44,4,FALSE),"")</f>
        <v/>
      </c>
    </row>
    <row r="1228" spans="2:39" ht="15" customHeight="1" x14ac:dyDescent="0.3">
      <c r="B1228">
        <v>122.5</v>
      </c>
      <c r="C1228" t="str">
        <f>IFERROR(VLOOKUP(B1228,'Pre-Summary'!$DI$6:$DM$23,4,FALSE),"")</f>
        <v/>
      </c>
      <c r="D1228" s="10" t="str">
        <f>IFERROR(VLOOKUP(B1228,'Pre-Summary'!$AT$6:$AX$14,5,FALSE),D1227)</f>
        <v>DSMZ v4: dropped out methanol</v>
      </c>
      <c r="E1228" s="10" t="str">
        <f>IFERROR(VLOOKUP(B1228,'Pre-Summary'!$AT$6:$AX$15,4,FALSE),"")</f>
        <v/>
      </c>
      <c r="F1228">
        <f>IFERROR(VLOOKUP(B1228,'Pre-Summary'!$AL$6:$AQ$13,6,FALSE),F1227)</f>
        <v>5.9405263157894746E-2</v>
      </c>
      <c r="G1228" t="str">
        <f>IFERROR(VLOOKUP(B1228,'Pre-Summary'!$AE$6:$AJ$85,3,FALSE),"")</f>
        <v/>
      </c>
      <c r="H1228" t="str">
        <f>IFERROR(VLOOKUP(B1228,'Pre-Summary'!$AE$6:$AJ$85,4,FALSE),"")</f>
        <v/>
      </c>
      <c r="I1228" t="str">
        <f>IFERROR(VLOOKUP(B1228,'Pre-Summary'!$AE$6:$AJ$85,5,FALSE),"")</f>
        <v/>
      </c>
      <c r="J1228" s="45" t="str">
        <f>IFERROR(VLOOKUP(B1228,'Pre-Summary'!$AE$6:$AJ$85,6, FALSE),"")</f>
        <v/>
      </c>
      <c r="K1228" s="45" t="str">
        <f>IFERROR(VLOOKUP(B1228,'Pre-Summary'!$DE$6:$DG$61,3,FALSE),"")</f>
        <v/>
      </c>
      <c r="L1228" s="45" t="str">
        <f>IFERROR(VLOOKUP(B1228,'Pre-Summary'!$CU$6:$CW$36,3,FALSE),"")</f>
        <v/>
      </c>
      <c r="M1228" s="45" t="str">
        <f>IFERROR(VLOOKUP(B1228,'Pre-Summary'!$BW$6:$BY$58,2,FALSE),"")</f>
        <v/>
      </c>
      <c r="N1228" s="45" t="str">
        <f>IFERROR(VLOOKUP(B1228,'Pre-Summary'!$CD$6:$CF$64,2,FALSE),"")</f>
        <v/>
      </c>
      <c r="O1228" s="99">
        <f>IFERROR(VLOOKUP(B1228,'Pre-Summary'!$BO$6:$BQ$48,3, FALSE),O1227)</f>
        <v>1.2</v>
      </c>
      <c r="P1228" s="99">
        <f>IFERROR(VLOOKUP(B1228,'Pre-Summary'!$BS$6:$BU$35,3,FALSE),P1227)</f>
        <v>0.3</v>
      </c>
      <c r="Q1228" s="54">
        <f t="shared" si="57"/>
        <v>4</v>
      </c>
      <c r="R1228" s="53">
        <f>IFERROR(VLOOKUP(B1228,'Pre-Summary'!$BG$6:$BM$44,7,FALSE),R1229)</f>
        <v>7.6574939085447311E-2</v>
      </c>
      <c r="S1228" s="53">
        <f>IFERROR(VLOOKUP(B1228,'Pre-Summary'!$BG$6:$BM$44,6,FALSE),S1229)</f>
        <v>6.8761751275839902E-2</v>
      </c>
      <c r="T1228" s="45" t="str">
        <f>IFERROR(VLOOKUP(B1228,'Pre-Summary'!$Y$6:$AC$83, 3,FALSE),"")</f>
        <v/>
      </c>
      <c r="U1228" s="45" t="str">
        <f>IFERROR(VLOOKUP(B1228,'Pre-Summary'!$Y$6:$AC$83, 4,FALSE),"")</f>
        <v/>
      </c>
      <c r="V1228" t="str">
        <f>IFERROR(VLOOKUP(B1228,'Pre-Summary'!$Y$6:$AC$83, 5,FALSE),"")</f>
        <v/>
      </c>
      <c r="W1228" s="45" t="str">
        <f>IFERROR(VLOOKUP(B1228,'Pre-Summary'!$Y$6:$AD$83,6,FALSE),"")</f>
        <v/>
      </c>
      <c r="X1228" t="str">
        <f>IFERROR(VLOOKUP('Pre-Summary'!$DB$6:$DD$63,3,FALSE),"")</f>
        <v/>
      </c>
      <c r="Y1228" t="str">
        <f>IFERROR(VLOOKUP(B1228,'Pre-Summary'!$CR$6:$CT$36,3,FALSE),"")</f>
        <v/>
      </c>
      <c r="Z1228" s="45" t="str">
        <f>IFERROR(VLOOKUP(B1228,'Pre-Summary'!$BZ$6:$CB$63,2,FALSE),"")</f>
        <v/>
      </c>
      <c r="AA1228" s="45" t="str">
        <f>IFERROR(VLOOKUP(B1228,'Pre-Summary'!$CG$6:$CI$70,2,FALSE),"")</f>
        <v/>
      </c>
      <c r="AB1228" s="99">
        <f>IFERROR(VLOOKUP(B1228,'Pre-Summary'!$A$6:$P$178,9,FALSE),AB1229)</f>
        <v>0.29854506098972833</v>
      </c>
      <c r="AC1228" s="10">
        <f>IFERROR(VLOOKUP(Summary!B1228,'Pre-Summary'!$A$6:$P$184,5, FALSE)/100,AC1229)</f>
        <v>0.96409233333333344</v>
      </c>
      <c r="AD1228" s="10">
        <f>IFERROR(VLOOKUP(Summary!B1228,'Pre-Summary'!$A$6:$P$184,3, FALSE)/100,AD1229)</f>
        <v>7.5420000000000001E-3</v>
      </c>
      <c r="AE1228" s="10">
        <f>IFERROR(VLOOKUP(Summary!B1228,'Pre-Summary'!$A$6:$P$184,7, FALSE)/100,AE1229)</f>
        <v>2.8365666666666668E-2</v>
      </c>
      <c r="AF1228" s="99">
        <f t="shared" si="58"/>
        <v>2.2516268499845312E-3</v>
      </c>
      <c r="AG1228" s="99">
        <f t="shared" si="59"/>
        <v>8.4684296850143035E-3</v>
      </c>
      <c r="AH1228" s="10" t="str">
        <f>IFERROR(VLOOKUP(B1228,'Pre-Summary'!$AZ$6:$BE$65,3,FALSE),"")</f>
        <v/>
      </c>
      <c r="AI1228" s="10" t="str">
        <f>IFERROR(VLOOKUP(B1228,'Pre-Summary'!$AZ$6:$BE$65,5,FALSE),"")</f>
        <v/>
      </c>
      <c r="AJ1228" s="10" t="str">
        <f>IFERROR(VLOOKUP(B1228,'Pre-Summary'!$AZ$6:$BE$65,4,FALSE),"")</f>
        <v/>
      </c>
      <c r="AK1228" s="10" t="str">
        <f>IFERROR(VLOOKUP(B1228,'Pre-Summary'!$AZ$6:$BE$65,6,FALSE),"")</f>
        <v/>
      </c>
      <c r="AL1228" s="10" t="str">
        <f>IFERROR(VLOOKUP(B1228,'Pre-Summary'!$BG$6:$BL$44,3,FALSE),"")</f>
        <v/>
      </c>
      <c r="AM1228" s="10" t="str">
        <f>IFERROR(VLOOKUP(B1228,'Pre-Summary'!$BG$6:$BL$44,4,FALSE),"")</f>
        <v/>
      </c>
    </row>
    <row r="1229" spans="2:39" ht="15" customHeight="1" x14ac:dyDescent="0.3">
      <c r="B1229">
        <v>122.6</v>
      </c>
      <c r="C1229" t="str">
        <f>IFERROR(VLOOKUP(B1229,'Pre-Summary'!$DI$6:$DM$23,4,FALSE),"")</f>
        <v/>
      </c>
      <c r="D1229" s="10" t="str">
        <f>IFERROR(VLOOKUP(B1229,'Pre-Summary'!$AT$6:$AX$14,5,FALSE),D1228)</f>
        <v>DSMZ v4: dropped out methanol</v>
      </c>
      <c r="E1229" s="10" t="str">
        <f>IFERROR(VLOOKUP(B1229,'Pre-Summary'!$AT$6:$AX$15,4,FALSE),"")</f>
        <v/>
      </c>
      <c r="F1229">
        <f>IFERROR(VLOOKUP(B1229,'Pre-Summary'!$AL$6:$AQ$13,6,FALSE),F1228)</f>
        <v>5.9405263157894746E-2</v>
      </c>
      <c r="G1229" t="str">
        <f>IFERROR(VLOOKUP(B1229,'Pre-Summary'!$AE$6:$AJ$85,3,FALSE),"")</f>
        <v/>
      </c>
      <c r="H1229" t="str">
        <f>IFERROR(VLOOKUP(B1229,'Pre-Summary'!$AE$6:$AJ$85,4,FALSE),"")</f>
        <v/>
      </c>
      <c r="I1229" t="str">
        <f>IFERROR(VLOOKUP(B1229,'Pre-Summary'!$AE$6:$AJ$85,5,FALSE),"")</f>
        <v/>
      </c>
      <c r="J1229" s="45" t="str">
        <f>IFERROR(VLOOKUP(B1229,'Pre-Summary'!$AE$6:$AJ$85,6, FALSE),"")</f>
        <v/>
      </c>
      <c r="K1229" s="45" t="str">
        <f>IFERROR(VLOOKUP(B1229,'Pre-Summary'!$DE$6:$DG$61,3,FALSE),"")</f>
        <v/>
      </c>
      <c r="L1229" s="45" t="str">
        <f>IFERROR(VLOOKUP(B1229,'Pre-Summary'!$CU$6:$CW$36,3,FALSE),"")</f>
        <v/>
      </c>
      <c r="M1229" s="45" t="str">
        <f>IFERROR(VLOOKUP(B1229,'Pre-Summary'!$BW$6:$BY$58,2,FALSE),"")</f>
        <v/>
      </c>
      <c r="N1229" s="45" t="str">
        <f>IFERROR(VLOOKUP(B1229,'Pre-Summary'!$CD$6:$CF$64,2,FALSE),"")</f>
        <v/>
      </c>
      <c r="O1229" s="99">
        <f>IFERROR(VLOOKUP(B1229,'Pre-Summary'!$BO$6:$BQ$48,3, FALSE),O1228)</f>
        <v>1.2</v>
      </c>
      <c r="P1229" s="99">
        <f>IFERROR(VLOOKUP(B1229,'Pre-Summary'!$BS$6:$BU$35,3,FALSE),P1228)</f>
        <v>0.3</v>
      </c>
      <c r="Q1229" s="54">
        <f t="shared" si="57"/>
        <v>4</v>
      </c>
      <c r="R1229" s="53">
        <f>IFERROR(VLOOKUP(B1229,'Pre-Summary'!$BG$6:$BM$44,7,FALSE),R1230)</f>
        <v>7.6574939085447311E-2</v>
      </c>
      <c r="S1229" s="53">
        <f>IFERROR(VLOOKUP(B1229,'Pre-Summary'!$BG$6:$BM$44,6,FALSE),S1230)</f>
        <v>6.8761751275839902E-2</v>
      </c>
      <c r="T1229" s="45" t="str">
        <f>IFERROR(VLOOKUP(B1229,'Pre-Summary'!$Y$6:$AC$83, 3,FALSE),"")</f>
        <v/>
      </c>
      <c r="U1229" s="45" t="str">
        <f>IFERROR(VLOOKUP(B1229,'Pre-Summary'!$Y$6:$AC$83, 4,FALSE),"")</f>
        <v/>
      </c>
      <c r="V1229" t="str">
        <f>IFERROR(VLOOKUP(B1229,'Pre-Summary'!$Y$6:$AC$83, 5,FALSE),"")</f>
        <v/>
      </c>
      <c r="W1229" s="45" t="str">
        <f>IFERROR(VLOOKUP(B1229,'Pre-Summary'!$Y$6:$AD$83,6,FALSE),"")</f>
        <v/>
      </c>
      <c r="X1229" t="str">
        <f>IFERROR(VLOOKUP('Pre-Summary'!$DB$6:$DD$63,3,FALSE),"")</f>
        <v/>
      </c>
      <c r="Y1229" t="str">
        <f>IFERROR(VLOOKUP(B1229,'Pre-Summary'!$CR$6:$CT$36,3,FALSE),"")</f>
        <v/>
      </c>
      <c r="Z1229" s="45" t="str">
        <f>IFERROR(VLOOKUP(B1229,'Pre-Summary'!$BZ$6:$CB$63,2,FALSE),"")</f>
        <v/>
      </c>
      <c r="AA1229" s="45" t="str">
        <f>IFERROR(VLOOKUP(B1229,'Pre-Summary'!$CG$6:$CI$70,2,FALSE),"")</f>
        <v/>
      </c>
      <c r="AB1229" s="99">
        <f>IFERROR(VLOOKUP(B1229,'Pre-Summary'!$A$6:$P$178,9,FALSE),AB1230)</f>
        <v>0.29854506098972833</v>
      </c>
      <c r="AC1229" s="10">
        <f>IFERROR(VLOOKUP(Summary!B1229,'Pre-Summary'!$A$6:$P$184,5, FALSE)/100,AC1230)</f>
        <v>0.96409233333333344</v>
      </c>
      <c r="AD1229" s="10">
        <f>IFERROR(VLOOKUP(Summary!B1229,'Pre-Summary'!$A$6:$P$184,3, FALSE)/100,AD1230)</f>
        <v>7.5420000000000001E-3</v>
      </c>
      <c r="AE1229" s="10">
        <f>IFERROR(VLOOKUP(Summary!B1229,'Pre-Summary'!$A$6:$P$184,7, FALSE)/100,AE1230)</f>
        <v>2.8365666666666668E-2</v>
      </c>
      <c r="AF1229" s="99">
        <f t="shared" si="58"/>
        <v>2.2516268499845312E-3</v>
      </c>
      <c r="AG1229" s="99">
        <f t="shared" si="59"/>
        <v>8.4684296850143035E-3</v>
      </c>
      <c r="AH1229" s="10" t="str">
        <f>IFERROR(VLOOKUP(B1229,'Pre-Summary'!$AZ$6:$BE$65,3,FALSE),"")</f>
        <v/>
      </c>
      <c r="AI1229" s="10" t="str">
        <f>IFERROR(VLOOKUP(B1229,'Pre-Summary'!$AZ$6:$BE$65,5,FALSE),"")</f>
        <v/>
      </c>
      <c r="AJ1229" s="10" t="str">
        <f>IFERROR(VLOOKUP(B1229,'Pre-Summary'!$AZ$6:$BE$65,4,FALSE),"")</f>
        <v/>
      </c>
      <c r="AK1229" s="10" t="str">
        <f>IFERROR(VLOOKUP(B1229,'Pre-Summary'!$AZ$6:$BE$65,6,FALSE),"")</f>
        <v/>
      </c>
      <c r="AL1229" s="10" t="str">
        <f>IFERROR(VLOOKUP(B1229,'Pre-Summary'!$BG$6:$BL$44,3,FALSE),"")</f>
        <v/>
      </c>
      <c r="AM1229" s="10" t="str">
        <f>IFERROR(VLOOKUP(B1229,'Pre-Summary'!$BG$6:$BL$44,4,FALSE),"")</f>
        <v/>
      </c>
    </row>
    <row r="1230" spans="2:39" ht="15" customHeight="1" x14ac:dyDescent="0.3">
      <c r="B1230">
        <v>122.7</v>
      </c>
      <c r="C1230" t="str">
        <f>IFERROR(VLOOKUP(B1230,'Pre-Summary'!$DI$6:$DM$23,4,FALSE),"")</f>
        <v/>
      </c>
      <c r="D1230" s="10" t="str">
        <f>IFERROR(VLOOKUP(B1230,'Pre-Summary'!$AT$6:$AX$14,5,FALSE),D1229)</f>
        <v>DSMZ v4: dropped out methanol</v>
      </c>
      <c r="E1230" s="10" t="str">
        <f>IFERROR(VLOOKUP(B1230,'Pre-Summary'!$AT$6:$AX$15,4,FALSE),"")</f>
        <v/>
      </c>
      <c r="F1230">
        <f>IFERROR(VLOOKUP(B1230,'Pre-Summary'!$AL$6:$AQ$13,6,FALSE),F1229)</f>
        <v>5.9405263157894746E-2</v>
      </c>
      <c r="G1230" t="str">
        <f>IFERROR(VLOOKUP(B1230,'Pre-Summary'!$AE$6:$AJ$85,3,FALSE),"")</f>
        <v/>
      </c>
      <c r="H1230" t="str">
        <f>IFERROR(VLOOKUP(B1230,'Pre-Summary'!$AE$6:$AJ$85,4,FALSE),"")</f>
        <v/>
      </c>
      <c r="I1230" t="str">
        <f>IFERROR(VLOOKUP(B1230,'Pre-Summary'!$AE$6:$AJ$85,5,FALSE),"")</f>
        <v/>
      </c>
      <c r="J1230" s="45" t="str">
        <f>IFERROR(VLOOKUP(B1230,'Pre-Summary'!$AE$6:$AJ$85,6, FALSE),"")</f>
        <v/>
      </c>
      <c r="K1230" s="45" t="str">
        <f>IFERROR(VLOOKUP(B1230,'Pre-Summary'!$DE$6:$DG$61,3,FALSE),"")</f>
        <v/>
      </c>
      <c r="L1230" s="45" t="str">
        <f>IFERROR(VLOOKUP(B1230,'Pre-Summary'!$CU$6:$CW$36,3,FALSE),"")</f>
        <v/>
      </c>
      <c r="M1230" s="45" t="str">
        <f>IFERROR(VLOOKUP(B1230,'Pre-Summary'!$BW$6:$BY$58,2,FALSE),"")</f>
        <v/>
      </c>
      <c r="N1230" s="45" t="str">
        <f>IFERROR(VLOOKUP(B1230,'Pre-Summary'!$CD$6:$CF$64,2,FALSE),"")</f>
        <v/>
      </c>
      <c r="O1230" s="99">
        <f>IFERROR(VLOOKUP(B1230,'Pre-Summary'!$BO$6:$BQ$48,3, FALSE),O1229)</f>
        <v>1.2</v>
      </c>
      <c r="P1230" s="99">
        <f>IFERROR(VLOOKUP(B1230,'Pre-Summary'!$BS$6:$BU$35,3,FALSE),P1229)</f>
        <v>0.3</v>
      </c>
      <c r="Q1230" s="54">
        <f t="shared" si="57"/>
        <v>4</v>
      </c>
      <c r="R1230" s="53">
        <f>IFERROR(VLOOKUP(B1230,'Pre-Summary'!$BG$6:$BM$44,7,FALSE),R1231)</f>
        <v>7.6574939085447311E-2</v>
      </c>
      <c r="S1230" s="53">
        <f>IFERROR(VLOOKUP(B1230,'Pre-Summary'!$BG$6:$BM$44,6,FALSE),S1231)</f>
        <v>6.8761751275839902E-2</v>
      </c>
      <c r="T1230" s="45" t="str">
        <f>IFERROR(VLOOKUP(B1230,'Pre-Summary'!$Y$6:$AC$83, 3,FALSE),"")</f>
        <v/>
      </c>
      <c r="U1230" s="45" t="str">
        <f>IFERROR(VLOOKUP(B1230,'Pre-Summary'!$Y$6:$AC$83, 4,FALSE),"")</f>
        <v/>
      </c>
      <c r="V1230" t="str">
        <f>IFERROR(VLOOKUP(B1230,'Pre-Summary'!$Y$6:$AC$83, 5,FALSE),"")</f>
        <v/>
      </c>
      <c r="W1230" s="45" t="str">
        <f>IFERROR(VLOOKUP(B1230,'Pre-Summary'!$Y$6:$AD$83,6,FALSE),"")</f>
        <v/>
      </c>
      <c r="X1230" t="str">
        <f>IFERROR(VLOOKUP('Pre-Summary'!$DB$6:$DD$63,3,FALSE),"")</f>
        <v/>
      </c>
      <c r="Y1230" t="str">
        <f>IFERROR(VLOOKUP(B1230,'Pre-Summary'!$CR$6:$CT$36,3,FALSE),"")</f>
        <v/>
      </c>
      <c r="Z1230" s="45" t="str">
        <f>IFERROR(VLOOKUP(B1230,'Pre-Summary'!$BZ$6:$CB$63,2,FALSE),"")</f>
        <v/>
      </c>
      <c r="AA1230" s="45" t="str">
        <f>IFERROR(VLOOKUP(B1230,'Pre-Summary'!$CG$6:$CI$70,2,FALSE),"")</f>
        <v/>
      </c>
      <c r="AB1230" s="99">
        <f>IFERROR(VLOOKUP(B1230,'Pre-Summary'!$A$6:$P$178,9,FALSE),AB1231)</f>
        <v>0.29854506098972833</v>
      </c>
      <c r="AC1230" s="10">
        <f>IFERROR(VLOOKUP(Summary!B1230,'Pre-Summary'!$A$6:$P$184,5, FALSE)/100,AC1231)</f>
        <v>0.96409233333333344</v>
      </c>
      <c r="AD1230" s="10">
        <f>IFERROR(VLOOKUP(Summary!B1230,'Pre-Summary'!$A$6:$P$184,3, FALSE)/100,AD1231)</f>
        <v>7.5420000000000001E-3</v>
      </c>
      <c r="AE1230" s="10">
        <f>IFERROR(VLOOKUP(Summary!B1230,'Pre-Summary'!$A$6:$P$184,7, FALSE)/100,AE1231)</f>
        <v>2.8365666666666668E-2</v>
      </c>
      <c r="AF1230" s="99">
        <f t="shared" si="58"/>
        <v>2.2516268499845312E-3</v>
      </c>
      <c r="AG1230" s="99">
        <f t="shared" si="59"/>
        <v>8.4684296850143035E-3</v>
      </c>
      <c r="AH1230" s="10" t="str">
        <f>IFERROR(VLOOKUP(B1230,'Pre-Summary'!$AZ$6:$BE$65,3,FALSE),"")</f>
        <v/>
      </c>
      <c r="AI1230" s="10" t="str">
        <f>IFERROR(VLOOKUP(B1230,'Pre-Summary'!$AZ$6:$BE$65,5,FALSE),"")</f>
        <v/>
      </c>
      <c r="AJ1230" s="10" t="str">
        <f>IFERROR(VLOOKUP(B1230,'Pre-Summary'!$AZ$6:$BE$65,4,FALSE),"")</f>
        <v/>
      </c>
      <c r="AK1230" s="10" t="str">
        <f>IFERROR(VLOOKUP(B1230,'Pre-Summary'!$AZ$6:$BE$65,6,FALSE),"")</f>
        <v/>
      </c>
      <c r="AL1230" s="10" t="str">
        <f>IFERROR(VLOOKUP(B1230,'Pre-Summary'!$BG$6:$BL$44,3,FALSE),"")</f>
        <v/>
      </c>
      <c r="AM1230" s="10" t="str">
        <f>IFERROR(VLOOKUP(B1230,'Pre-Summary'!$BG$6:$BL$44,4,FALSE),"")</f>
        <v/>
      </c>
    </row>
    <row r="1231" spans="2:39" ht="15" customHeight="1" x14ac:dyDescent="0.3">
      <c r="B1231">
        <v>122.8</v>
      </c>
      <c r="C1231" t="str">
        <f>IFERROR(VLOOKUP(B1231,'Pre-Summary'!$DI$6:$DM$23,4,FALSE),"")</f>
        <v/>
      </c>
      <c r="D1231" s="10" t="str">
        <f>IFERROR(VLOOKUP(B1231,'Pre-Summary'!$AT$6:$AX$14,5,FALSE),D1230)</f>
        <v>DSMZ v4: dropped out methanol</v>
      </c>
      <c r="E1231" s="10" t="str">
        <f>IFERROR(VLOOKUP(B1231,'Pre-Summary'!$AT$6:$AX$15,4,FALSE),"")</f>
        <v/>
      </c>
      <c r="F1231">
        <f>IFERROR(VLOOKUP(B1231,'Pre-Summary'!$AL$6:$AQ$13,6,FALSE),F1230)</f>
        <v>5.9405263157894746E-2</v>
      </c>
      <c r="G1231" t="str">
        <f>IFERROR(VLOOKUP(B1231,'Pre-Summary'!$AE$6:$AJ$85,3,FALSE),"")</f>
        <v/>
      </c>
      <c r="H1231" t="str">
        <f>IFERROR(VLOOKUP(B1231,'Pre-Summary'!$AE$6:$AJ$85,4,FALSE),"")</f>
        <v/>
      </c>
      <c r="I1231" t="str">
        <f>IFERROR(VLOOKUP(B1231,'Pre-Summary'!$AE$6:$AJ$85,5,FALSE),"")</f>
        <v/>
      </c>
      <c r="J1231" s="45" t="str">
        <f>IFERROR(VLOOKUP(B1231,'Pre-Summary'!$AE$6:$AJ$85,6, FALSE),"")</f>
        <v/>
      </c>
      <c r="K1231" s="45" t="str">
        <f>IFERROR(VLOOKUP(B1231,'Pre-Summary'!$DE$6:$DG$61,3,FALSE),"")</f>
        <v/>
      </c>
      <c r="L1231" s="45" t="str">
        <f>IFERROR(VLOOKUP(B1231,'Pre-Summary'!$CU$6:$CW$36,3,FALSE),"")</f>
        <v/>
      </c>
      <c r="M1231" s="45" t="str">
        <f>IFERROR(VLOOKUP(B1231,'Pre-Summary'!$BW$6:$BY$58,2,FALSE),"")</f>
        <v/>
      </c>
      <c r="N1231" s="45" t="str">
        <f>IFERROR(VLOOKUP(B1231,'Pre-Summary'!$CD$6:$CF$64,2,FALSE),"")</f>
        <v/>
      </c>
      <c r="O1231" s="99">
        <f>IFERROR(VLOOKUP(B1231,'Pre-Summary'!$BO$6:$BQ$48,3, FALSE),O1230)</f>
        <v>1.2</v>
      </c>
      <c r="P1231" s="99">
        <f>IFERROR(VLOOKUP(B1231,'Pre-Summary'!$BS$6:$BU$35,3,FALSE),P1230)</f>
        <v>0.3</v>
      </c>
      <c r="Q1231" s="54">
        <f t="shared" si="57"/>
        <v>4</v>
      </c>
      <c r="R1231" s="53">
        <f>IFERROR(VLOOKUP(B1231,'Pre-Summary'!$BG$6:$BM$44,7,FALSE),R1232)</f>
        <v>7.6574939085447311E-2</v>
      </c>
      <c r="S1231" s="53">
        <f>IFERROR(VLOOKUP(B1231,'Pre-Summary'!$BG$6:$BM$44,6,FALSE),S1232)</f>
        <v>6.8761751275839902E-2</v>
      </c>
      <c r="T1231" s="45" t="str">
        <f>IFERROR(VLOOKUP(B1231,'Pre-Summary'!$Y$6:$AC$83, 3,FALSE),"")</f>
        <v/>
      </c>
      <c r="U1231" s="45" t="str">
        <f>IFERROR(VLOOKUP(B1231,'Pre-Summary'!$Y$6:$AC$83, 4,FALSE),"")</f>
        <v/>
      </c>
      <c r="V1231" t="str">
        <f>IFERROR(VLOOKUP(B1231,'Pre-Summary'!$Y$6:$AC$83, 5,FALSE),"")</f>
        <v/>
      </c>
      <c r="W1231" s="45" t="str">
        <f>IFERROR(VLOOKUP(B1231,'Pre-Summary'!$Y$6:$AD$83,6,FALSE),"")</f>
        <v/>
      </c>
      <c r="X1231" t="str">
        <f>IFERROR(VLOOKUP('Pre-Summary'!$DB$6:$DD$63,3,FALSE),"")</f>
        <v/>
      </c>
      <c r="Y1231" t="str">
        <f>IFERROR(VLOOKUP(B1231,'Pre-Summary'!$CR$6:$CT$36,3,FALSE),"")</f>
        <v/>
      </c>
      <c r="Z1231" s="45" t="str">
        <f>IFERROR(VLOOKUP(B1231,'Pre-Summary'!$BZ$6:$CB$63,2,FALSE),"")</f>
        <v/>
      </c>
      <c r="AA1231" s="45" t="str">
        <f>IFERROR(VLOOKUP(B1231,'Pre-Summary'!$CG$6:$CI$70,2,FALSE),"")</f>
        <v/>
      </c>
      <c r="AB1231" s="99">
        <f>IFERROR(VLOOKUP(B1231,'Pre-Summary'!$A$6:$P$178,9,FALSE),AB1232)</f>
        <v>0.29854506098972833</v>
      </c>
      <c r="AC1231" s="10">
        <f>IFERROR(VLOOKUP(Summary!B1231,'Pre-Summary'!$A$6:$P$184,5, FALSE)/100,AC1232)</f>
        <v>0.96409233333333344</v>
      </c>
      <c r="AD1231" s="10">
        <f>IFERROR(VLOOKUP(Summary!B1231,'Pre-Summary'!$A$6:$P$184,3, FALSE)/100,AD1232)</f>
        <v>7.5420000000000001E-3</v>
      </c>
      <c r="AE1231" s="10">
        <f>IFERROR(VLOOKUP(Summary!B1231,'Pre-Summary'!$A$6:$P$184,7, FALSE)/100,AE1232)</f>
        <v>2.8365666666666668E-2</v>
      </c>
      <c r="AF1231" s="99">
        <f t="shared" si="58"/>
        <v>2.2516268499845312E-3</v>
      </c>
      <c r="AG1231" s="99">
        <f t="shared" si="59"/>
        <v>8.4684296850143035E-3</v>
      </c>
      <c r="AH1231" s="10" t="str">
        <f>IFERROR(VLOOKUP(B1231,'Pre-Summary'!$AZ$6:$BE$65,3,FALSE),"")</f>
        <v/>
      </c>
      <c r="AI1231" s="10" t="str">
        <f>IFERROR(VLOOKUP(B1231,'Pre-Summary'!$AZ$6:$BE$65,5,FALSE),"")</f>
        <v/>
      </c>
      <c r="AJ1231" s="10" t="str">
        <f>IFERROR(VLOOKUP(B1231,'Pre-Summary'!$AZ$6:$BE$65,4,FALSE),"")</f>
        <v/>
      </c>
      <c r="AK1231" s="10" t="str">
        <f>IFERROR(VLOOKUP(B1231,'Pre-Summary'!$AZ$6:$BE$65,6,FALSE),"")</f>
        <v/>
      </c>
      <c r="AL1231" s="10" t="str">
        <f>IFERROR(VLOOKUP(B1231,'Pre-Summary'!$BG$6:$BL$44,3,FALSE),"")</f>
        <v/>
      </c>
      <c r="AM1231" s="10" t="str">
        <f>IFERROR(VLOOKUP(B1231,'Pre-Summary'!$BG$6:$BL$44,4,FALSE),"")</f>
        <v/>
      </c>
    </row>
    <row r="1232" spans="2:39" ht="15" customHeight="1" x14ac:dyDescent="0.3">
      <c r="B1232">
        <v>122.9</v>
      </c>
      <c r="C1232" t="str">
        <f>IFERROR(VLOOKUP(B1232,'Pre-Summary'!$DI$6:$DM$23,4,FALSE),"")</f>
        <v/>
      </c>
      <c r="D1232" s="10" t="str">
        <f>IFERROR(VLOOKUP(B1232,'Pre-Summary'!$AT$6:$AX$14,5,FALSE),D1231)</f>
        <v>DSMZ v4: dropped out methanol</v>
      </c>
      <c r="E1232" s="10" t="str">
        <f>IFERROR(VLOOKUP(B1232,'Pre-Summary'!$AT$6:$AX$15,4,FALSE),"")</f>
        <v/>
      </c>
      <c r="F1232">
        <f>IFERROR(VLOOKUP(B1232,'Pre-Summary'!$AL$6:$AQ$13,6,FALSE),F1231)</f>
        <v>5.9405263157894746E-2</v>
      </c>
      <c r="G1232" t="str">
        <f>IFERROR(VLOOKUP(B1232,'Pre-Summary'!$AE$6:$AJ$85,3,FALSE),"")</f>
        <v/>
      </c>
      <c r="H1232" t="str">
        <f>IFERROR(VLOOKUP(B1232,'Pre-Summary'!$AE$6:$AJ$85,4,FALSE),"")</f>
        <v/>
      </c>
      <c r="I1232" t="str">
        <f>IFERROR(VLOOKUP(B1232,'Pre-Summary'!$AE$6:$AJ$85,5,FALSE),"")</f>
        <v/>
      </c>
      <c r="J1232" s="45" t="str">
        <f>IFERROR(VLOOKUP(B1232,'Pre-Summary'!$AE$6:$AJ$85,6, FALSE),"")</f>
        <v/>
      </c>
      <c r="K1232" s="45" t="str">
        <f>IFERROR(VLOOKUP(B1232,'Pre-Summary'!$DE$6:$DG$61,3,FALSE),"")</f>
        <v/>
      </c>
      <c r="L1232" s="45" t="str">
        <f>IFERROR(VLOOKUP(B1232,'Pre-Summary'!$CU$6:$CW$36,3,FALSE),"")</f>
        <v/>
      </c>
      <c r="M1232" s="45" t="str">
        <f>IFERROR(VLOOKUP(B1232,'Pre-Summary'!$BW$6:$BY$58,2,FALSE),"")</f>
        <v/>
      </c>
      <c r="N1232" s="45" t="str">
        <f>IFERROR(VLOOKUP(B1232,'Pre-Summary'!$CD$6:$CF$64,2,FALSE),"")</f>
        <v/>
      </c>
      <c r="O1232" s="99">
        <f>IFERROR(VLOOKUP(B1232,'Pre-Summary'!$BO$6:$BQ$48,3, FALSE),O1231)</f>
        <v>1.2</v>
      </c>
      <c r="P1232" s="99">
        <f>IFERROR(VLOOKUP(B1232,'Pre-Summary'!$BS$6:$BU$35,3,FALSE),P1231)</f>
        <v>0.3</v>
      </c>
      <c r="Q1232" s="54">
        <f t="shared" si="57"/>
        <v>4</v>
      </c>
      <c r="R1232" s="53">
        <f>IFERROR(VLOOKUP(B1232,'Pre-Summary'!$BG$6:$BM$44,7,FALSE),R1233)</f>
        <v>7.6574939085447311E-2</v>
      </c>
      <c r="S1232" s="53">
        <f>IFERROR(VLOOKUP(B1232,'Pre-Summary'!$BG$6:$BM$44,6,FALSE),S1233)</f>
        <v>6.8761751275839902E-2</v>
      </c>
      <c r="T1232" s="45" t="str">
        <f>IFERROR(VLOOKUP(B1232,'Pre-Summary'!$Y$6:$AC$83, 3,FALSE),"")</f>
        <v/>
      </c>
      <c r="U1232" s="45" t="str">
        <f>IFERROR(VLOOKUP(B1232,'Pre-Summary'!$Y$6:$AC$83, 4,FALSE),"")</f>
        <v/>
      </c>
      <c r="V1232" t="str">
        <f>IFERROR(VLOOKUP(B1232,'Pre-Summary'!$Y$6:$AC$83, 5,FALSE),"")</f>
        <v/>
      </c>
      <c r="W1232" s="45" t="str">
        <f>IFERROR(VLOOKUP(B1232,'Pre-Summary'!$Y$6:$AD$83,6,FALSE),"")</f>
        <v/>
      </c>
      <c r="X1232" t="str">
        <f>IFERROR(VLOOKUP('Pre-Summary'!$DB$6:$DD$63,3,FALSE),"")</f>
        <v/>
      </c>
      <c r="Y1232" t="str">
        <f>IFERROR(VLOOKUP(B1232,'Pre-Summary'!$CR$6:$CT$36,3,FALSE),"")</f>
        <v/>
      </c>
      <c r="Z1232" s="45" t="str">
        <f>IFERROR(VLOOKUP(B1232,'Pre-Summary'!$BZ$6:$CB$63,2,FALSE),"")</f>
        <v/>
      </c>
      <c r="AA1232" s="45" t="str">
        <f>IFERROR(VLOOKUP(B1232,'Pre-Summary'!$CG$6:$CI$70,2,FALSE),"")</f>
        <v/>
      </c>
      <c r="AB1232" s="99">
        <f>IFERROR(VLOOKUP(B1232,'Pre-Summary'!$A$6:$P$178,9,FALSE),AB1233)</f>
        <v>0.29854506098972833</v>
      </c>
      <c r="AC1232" s="10">
        <f>IFERROR(VLOOKUP(Summary!B1232,'Pre-Summary'!$A$6:$P$184,5, FALSE)/100,AC1233)</f>
        <v>0.96409233333333344</v>
      </c>
      <c r="AD1232" s="10">
        <f>IFERROR(VLOOKUP(Summary!B1232,'Pre-Summary'!$A$6:$P$184,3, FALSE)/100,AD1233)</f>
        <v>7.5420000000000001E-3</v>
      </c>
      <c r="AE1232" s="10">
        <f>IFERROR(VLOOKUP(Summary!B1232,'Pre-Summary'!$A$6:$P$184,7, FALSE)/100,AE1233)</f>
        <v>2.8365666666666668E-2</v>
      </c>
      <c r="AF1232" s="99">
        <f t="shared" si="58"/>
        <v>2.2516268499845312E-3</v>
      </c>
      <c r="AG1232" s="99">
        <f t="shared" si="59"/>
        <v>8.4684296850143035E-3</v>
      </c>
      <c r="AH1232" s="10" t="str">
        <f>IFERROR(VLOOKUP(B1232,'Pre-Summary'!$AZ$6:$BE$65,3,FALSE),"")</f>
        <v/>
      </c>
      <c r="AI1232" s="10" t="str">
        <f>IFERROR(VLOOKUP(B1232,'Pre-Summary'!$AZ$6:$BE$65,5,FALSE),"")</f>
        <v/>
      </c>
      <c r="AJ1232" s="10" t="str">
        <f>IFERROR(VLOOKUP(B1232,'Pre-Summary'!$AZ$6:$BE$65,4,FALSE),"")</f>
        <v/>
      </c>
      <c r="AK1232" s="10" t="str">
        <f>IFERROR(VLOOKUP(B1232,'Pre-Summary'!$AZ$6:$BE$65,6,FALSE),"")</f>
        <v/>
      </c>
      <c r="AL1232" s="10" t="str">
        <f>IFERROR(VLOOKUP(B1232,'Pre-Summary'!$BG$6:$BL$44,3,FALSE),"")</f>
        <v/>
      </c>
      <c r="AM1232" s="10" t="str">
        <f>IFERROR(VLOOKUP(B1232,'Pre-Summary'!$BG$6:$BL$44,4,FALSE),"")</f>
        <v/>
      </c>
    </row>
    <row r="1233" spans="2:39" ht="15" customHeight="1" x14ac:dyDescent="0.3">
      <c r="B1233">
        <v>123</v>
      </c>
      <c r="C1233" t="str">
        <f>IFERROR(VLOOKUP(B1233,'Pre-Summary'!$DI$6:$DM$23,4,FALSE),"")</f>
        <v/>
      </c>
      <c r="D1233" s="10" t="str">
        <f>IFERROR(VLOOKUP(B1233,'Pre-Summary'!$AT$6:$AX$14,5,FALSE),D1232)</f>
        <v>DSMZ v4: dropped out methanol</v>
      </c>
      <c r="E1233" s="10" t="str">
        <f>IFERROR(VLOOKUP(B1233,'Pre-Summary'!$AT$6:$AX$15,4,FALSE),"")</f>
        <v/>
      </c>
      <c r="F1233">
        <f>IFERROR(VLOOKUP(B1233,'Pre-Summary'!$AL$6:$AQ$13,6,FALSE),F1232)</f>
        <v>5.9405263157894746E-2</v>
      </c>
      <c r="G1233" t="str">
        <f>IFERROR(VLOOKUP(B1233,'Pre-Summary'!$AE$6:$AJ$85,3,FALSE),"")</f>
        <v/>
      </c>
      <c r="H1233" t="str">
        <f>IFERROR(VLOOKUP(B1233,'Pre-Summary'!$AE$6:$AJ$85,4,FALSE),"")</f>
        <v/>
      </c>
      <c r="I1233" t="str">
        <f>IFERROR(VLOOKUP(B1233,'Pre-Summary'!$AE$6:$AJ$85,5,FALSE),"")</f>
        <v/>
      </c>
      <c r="J1233" s="45" t="str">
        <f>IFERROR(VLOOKUP(B1233,'Pre-Summary'!$AE$6:$AJ$85,6, FALSE),"")</f>
        <v/>
      </c>
      <c r="K1233" s="45" t="str">
        <f>IFERROR(VLOOKUP(B1233,'Pre-Summary'!$DE$6:$DG$61,3,FALSE),"")</f>
        <v/>
      </c>
      <c r="L1233" s="45" t="str">
        <f>IFERROR(VLOOKUP(B1233,'Pre-Summary'!$CU$6:$CW$36,3,FALSE),"")</f>
        <v/>
      </c>
      <c r="M1233" s="45" t="str">
        <f>IFERROR(VLOOKUP(B1233,'Pre-Summary'!$BW$6:$BY$58,2,FALSE),"")</f>
        <v/>
      </c>
      <c r="N1233" s="45" t="str">
        <f>IFERROR(VLOOKUP(B1233,'Pre-Summary'!$CD$6:$CF$64,2,FALSE),"")</f>
        <v/>
      </c>
      <c r="O1233" s="99">
        <f>IFERROR(VLOOKUP(B1233,'Pre-Summary'!$BO$6:$BQ$48,3, FALSE),O1232)</f>
        <v>1.2</v>
      </c>
      <c r="P1233" s="99">
        <f>IFERROR(VLOOKUP(B1233,'Pre-Summary'!$BS$6:$BU$35,3,FALSE),P1232)</f>
        <v>0.3</v>
      </c>
      <c r="Q1233" s="54">
        <f t="shared" si="57"/>
        <v>4</v>
      </c>
      <c r="R1233" s="53">
        <f>IFERROR(VLOOKUP(B1233,'Pre-Summary'!$BG$6:$BM$44,7,FALSE),R1234)</f>
        <v>7.6574939085447311E-2</v>
      </c>
      <c r="S1233" s="53">
        <f>IFERROR(VLOOKUP(B1233,'Pre-Summary'!$BG$6:$BM$44,6,FALSE),S1234)</f>
        <v>6.8761751275839902E-2</v>
      </c>
      <c r="T1233" s="45" t="str">
        <f>IFERROR(VLOOKUP(B1233,'Pre-Summary'!$Y$6:$AC$83, 3,FALSE),"")</f>
        <v/>
      </c>
      <c r="U1233" s="45" t="str">
        <f>IFERROR(VLOOKUP(B1233,'Pre-Summary'!$Y$6:$AC$83, 4,FALSE),"")</f>
        <v/>
      </c>
      <c r="V1233" t="str">
        <f>IFERROR(VLOOKUP(B1233,'Pre-Summary'!$Y$6:$AC$83, 5,FALSE),"")</f>
        <v/>
      </c>
      <c r="W1233" s="45" t="str">
        <f>IFERROR(VLOOKUP(B1233,'Pre-Summary'!$Y$6:$AD$83,6,FALSE),"")</f>
        <v/>
      </c>
      <c r="X1233" t="str">
        <f>IFERROR(VLOOKUP('Pre-Summary'!$DB$6:$DD$63,3,FALSE),"")</f>
        <v/>
      </c>
      <c r="Y1233" t="str">
        <f>IFERROR(VLOOKUP(B1233,'Pre-Summary'!$CR$6:$CT$36,3,FALSE),"")</f>
        <v/>
      </c>
      <c r="Z1233" s="45" t="str">
        <f>IFERROR(VLOOKUP(B1233,'Pre-Summary'!$BZ$6:$CB$63,2,FALSE),"")</f>
        <v/>
      </c>
      <c r="AA1233" s="45" t="str">
        <f>IFERROR(VLOOKUP(B1233,'Pre-Summary'!$CG$6:$CI$70,2,FALSE),"")</f>
        <v/>
      </c>
      <c r="AB1233" s="99">
        <f>IFERROR(VLOOKUP(B1233,'Pre-Summary'!$A$6:$P$178,9,FALSE),AB1234)</f>
        <v>0.29854506098972833</v>
      </c>
      <c r="AC1233" s="10">
        <f>IFERROR(VLOOKUP(Summary!B1233,'Pre-Summary'!$A$6:$P$184,5, FALSE)/100,AC1234)</f>
        <v>0.96409233333333344</v>
      </c>
      <c r="AD1233" s="10">
        <f>IFERROR(VLOOKUP(Summary!B1233,'Pre-Summary'!$A$6:$P$184,3, FALSE)/100,AD1234)</f>
        <v>7.5420000000000001E-3</v>
      </c>
      <c r="AE1233" s="10">
        <f>IFERROR(VLOOKUP(Summary!B1233,'Pre-Summary'!$A$6:$P$184,7, FALSE)/100,AE1234)</f>
        <v>2.8365666666666668E-2</v>
      </c>
      <c r="AF1233" s="99">
        <f t="shared" si="58"/>
        <v>2.2516268499845312E-3</v>
      </c>
      <c r="AG1233" s="99">
        <f t="shared" si="59"/>
        <v>8.4684296850143035E-3</v>
      </c>
      <c r="AH1233" s="10" t="str">
        <f>IFERROR(VLOOKUP(B1233,'Pre-Summary'!$AZ$6:$BE$65,3,FALSE),"")</f>
        <v/>
      </c>
      <c r="AI1233" s="10" t="str">
        <f>IFERROR(VLOOKUP(B1233,'Pre-Summary'!$AZ$6:$BE$65,5,FALSE),"")</f>
        <v/>
      </c>
      <c r="AJ1233" s="10" t="str">
        <f>IFERROR(VLOOKUP(B1233,'Pre-Summary'!$AZ$6:$BE$65,4,FALSE),"")</f>
        <v/>
      </c>
      <c r="AK1233" s="10" t="str">
        <f>IFERROR(VLOOKUP(B1233,'Pre-Summary'!$AZ$6:$BE$65,6,FALSE),"")</f>
        <v/>
      </c>
      <c r="AL1233" s="10" t="str">
        <f>IFERROR(VLOOKUP(B1233,'Pre-Summary'!$BG$6:$BL$44,3,FALSE),"")</f>
        <v/>
      </c>
      <c r="AM1233" s="10" t="str">
        <f>IFERROR(VLOOKUP(B1233,'Pre-Summary'!$BG$6:$BL$44,4,FALSE),"")</f>
        <v/>
      </c>
    </row>
    <row r="1234" spans="2:39" ht="15" customHeight="1" x14ac:dyDescent="0.3">
      <c r="B1234">
        <v>123.1</v>
      </c>
      <c r="C1234" t="str">
        <f>IFERROR(VLOOKUP(B1234,'Pre-Summary'!$DI$6:$DM$23,4,FALSE),"")</f>
        <v/>
      </c>
      <c r="D1234" s="10" t="str">
        <f>IFERROR(VLOOKUP(B1234,'Pre-Summary'!$AT$6:$AX$14,5,FALSE),D1233)</f>
        <v>DSMZ v4: dropped out methanol</v>
      </c>
      <c r="E1234" s="10" t="str">
        <f>IFERROR(VLOOKUP(B1234,'Pre-Summary'!$AT$6:$AX$15,4,FALSE),"")</f>
        <v/>
      </c>
      <c r="F1234">
        <f>IFERROR(VLOOKUP(B1234,'Pre-Summary'!$AL$6:$AQ$13,6,FALSE),F1233)</f>
        <v>5.9405263157894746E-2</v>
      </c>
      <c r="G1234" t="str">
        <f>IFERROR(VLOOKUP(B1234,'Pre-Summary'!$AE$6:$AJ$85,3,FALSE),"")</f>
        <v/>
      </c>
      <c r="H1234" t="str">
        <f>IFERROR(VLOOKUP(B1234,'Pre-Summary'!$AE$6:$AJ$85,4,FALSE),"")</f>
        <v/>
      </c>
      <c r="I1234" t="str">
        <f>IFERROR(VLOOKUP(B1234,'Pre-Summary'!$AE$6:$AJ$85,5,FALSE),"")</f>
        <v/>
      </c>
      <c r="J1234" s="45" t="str">
        <f>IFERROR(VLOOKUP(B1234,'Pre-Summary'!$AE$6:$AJ$85,6, FALSE),"")</f>
        <v/>
      </c>
      <c r="K1234" s="45" t="str">
        <f>IFERROR(VLOOKUP(B1234,'Pre-Summary'!$DE$6:$DG$61,3,FALSE),"")</f>
        <v/>
      </c>
      <c r="L1234" s="45" t="str">
        <f>IFERROR(VLOOKUP(B1234,'Pre-Summary'!$CU$6:$CW$36,3,FALSE),"")</f>
        <v/>
      </c>
      <c r="M1234" s="45" t="str">
        <f>IFERROR(VLOOKUP(B1234,'Pre-Summary'!$BW$6:$BY$58,2,FALSE),"")</f>
        <v/>
      </c>
      <c r="N1234" s="45" t="str">
        <f>IFERROR(VLOOKUP(B1234,'Pre-Summary'!$CD$6:$CF$64,2,FALSE),"")</f>
        <v/>
      </c>
      <c r="O1234" s="99">
        <f>IFERROR(VLOOKUP(B1234,'Pre-Summary'!$BO$6:$BQ$48,3, FALSE),O1233)</f>
        <v>1.2</v>
      </c>
      <c r="P1234" s="99">
        <f>IFERROR(VLOOKUP(B1234,'Pre-Summary'!$BS$6:$BU$35,3,FALSE),P1233)</f>
        <v>0.3</v>
      </c>
      <c r="Q1234" s="54">
        <f t="shared" si="57"/>
        <v>4</v>
      </c>
      <c r="R1234" s="53">
        <f>IFERROR(VLOOKUP(B1234,'Pre-Summary'!$BG$6:$BM$44,7,FALSE),R1235)</f>
        <v>7.6574939085447311E-2</v>
      </c>
      <c r="S1234" s="53">
        <f>IFERROR(VLOOKUP(B1234,'Pre-Summary'!$BG$6:$BM$44,6,FALSE),S1235)</f>
        <v>6.8761751275839902E-2</v>
      </c>
      <c r="T1234" s="45" t="str">
        <f>IFERROR(VLOOKUP(B1234,'Pre-Summary'!$Y$6:$AC$83, 3,FALSE),"")</f>
        <v/>
      </c>
      <c r="U1234" s="45" t="str">
        <f>IFERROR(VLOOKUP(B1234,'Pre-Summary'!$Y$6:$AC$83, 4,FALSE),"")</f>
        <v/>
      </c>
      <c r="V1234" t="str">
        <f>IFERROR(VLOOKUP(B1234,'Pre-Summary'!$Y$6:$AC$83, 5,FALSE),"")</f>
        <v/>
      </c>
      <c r="W1234" s="45" t="str">
        <f>IFERROR(VLOOKUP(B1234,'Pre-Summary'!$Y$6:$AD$83,6,FALSE),"")</f>
        <v/>
      </c>
      <c r="X1234" t="str">
        <f>IFERROR(VLOOKUP('Pre-Summary'!$DB$6:$DD$63,3,FALSE),"")</f>
        <v/>
      </c>
      <c r="Y1234" t="str">
        <f>IFERROR(VLOOKUP(B1234,'Pre-Summary'!$CR$6:$CT$36,3,FALSE),"")</f>
        <v/>
      </c>
      <c r="Z1234" s="45" t="str">
        <f>IFERROR(VLOOKUP(B1234,'Pre-Summary'!$BZ$6:$CB$63,2,FALSE),"")</f>
        <v/>
      </c>
      <c r="AA1234" s="45" t="str">
        <f>IFERROR(VLOOKUP(B1234,'Pre-Summary'!$CG$6:$CI$70,2,FALSE),"")</f>
        <v/>
      </c>
      <c r="AB1234" s="99">
        <f>IFERROR(VLOOKUP(B1234,'Pre-Summary'!$A$6:$P$178,9,FALSE),AB1235)</f>
        <v>0.29854506098972833</v>
      </c>
      <c r="AC1234" s="10">
        <f>IFERROR(VLOOKUP(Summary!B1234,'Pre-Summary'!$A$6:$P$184,5, FALSE)/100,AC1235)</f>
        <v>0.96409233333333344</v>
      </c>
      <c r="AD1234" s="10">
        <f>IFERROR(VLOOKUP(Summary!B1234,'Pre-Summary'!$A$6:$P$184,3, FALSE)/100,AD1235)</f>
        <v>7.5420000000000001E-3</v>
      </c>
      <c r="AE1234" s="10">
        <f>IFERROR(VLOOKUP(Summary!B1234,'Pre-Summary'!$A$6:$P$184,7, FALSE)/100,AE1235)</f>
        <v>2.8365666666666668E-2</v>
      </c>
      <c r="AF1234" s="99">
        <f t="shared" si="58"/>
        <v>2.2516268499845312E-3</v>
      </c>
      <c r="AG1234" s="99">
        <f t="shared" si="59"/>
        <v>8.4684296850143035E-3</v>
      </c>
      <c r="AH1234" s="10" t="str">
        <f>IFERROR(VLOOKUP(B1234,'Pre-Summary'!$AZ$6:$BE$65,3,FALSE),"")</f>
        <v/>
      </c>
      <c r="AI1234" s="10" t="str">
        <f>IFERROR(VLOOKUP(B1234,'Pre-Summary'!$AZ$6:$BE$65,5,FALSE),"")</f>
        <v/>
      </c>
      <c r="AJ1234" s="10" t="str">
        <f>IFERROR(VLOOKUP(B1234,'Pre-Summary'!$AZ$6:$BE$65,4,FALSE),"")</f>
        <v/>
      </c>
      <c r="AK1234" s="10" t="str">
        <f>IFERROR(VLOOKUP(B1234,'Pre-Summary'!$AZ$6:$BE$65,6,FALSE),"")</f>
        <v/>
      </c>
      <c r="AL1234" s="10" t="str">
        <f>IFERROR(VLOOKUP(B1234,'Pre-Summary'!$BG$6:$BL$44,3,FALSE),"")</f>
        <v/>
      </c>
      <c r="AM1234" s="10" t="str">
        <f>IFERROR(VLOOKUP(B1234,'Pre-Summary'!$BG$6:$BL$44,4,FALSE),"")</f>
        <v/>
      </c>
    </row>
    <row r="1235" spans="2:39" ht="15" customHeight="1" x14ac:dyDescent="0.3">
      <c r="B1235">
        <v>123.2</v>
      </c>
      <c r="C1235" t="str">
        <f>IFERROR(VLOOKUP(B1235,'Pre-Summary'!$DI$6:$DM$23,4,FALSE),"")</f>
        <v/>
      </c>
      <c r="D1235" s="10" t="str">
        <f>IFERROR(VLOOKUP(B1235,'Pre-Summary'!$AT$6:$AX$14,5,FALSE),D1234)</f>
        <v>DSMZ v4: dropped out methanol</v>
      </c>
      <c r="E1235" s="10" t="str">
        <f>IFERROR(VLOOKUP(B1235,'Pre-Summary'!$AT$6:$AX$15,4,FALSE),"")</f>
        <v/>
      </c>
      <c r="F1235">
        <f>IFERROR(VLOOKUP(B1235,'Pre-Summary'!$AL$6:$AQ$13,6,FALSE),F1234)</f>
        <v>5.9405263157894746E-2</v>
      </c>
      <c r="G1235" t="str">
        <f>IFERROR(VLOOKUP(B1235,'Pre-Summary'!$AE$6:$AJ$85,3,FALSE),"")</f>
        <v/>
      </c>
      <c r="H1235" t="str">
        <f>IFERROR(VLOOKUP(B1235,'Pre-Summary'!$AE$6:$AJ$85,4,FALSE),"")</f>
        <v/>
      </c>
      <c r="I1235" t="str">
        <f>IFERROR(VLOOKUP(B1235,'Pre-Summary'!$AE$6:$AJ$85,5,FALSE),"")</f>
        <v/>
      </c>
      <c r="J1235" s="45" t="str">
        <f>IFERROR(VLOOKUP(B1235,'Pre-Summary'!$AE$6:$AJ$85,6, FALSE),"")</f>
        <v/>
      </c>
      <c r="K1235" s="45" t="str">
        <f>IFERROR(VLOOKUP(B1235,'Pre-Summary'!$DE$6:$DG$61,3,FALSE),"")</f>
        <v/>
      </c>
      <c r="L1235" s="45" t="str">
        <f>IFERROR(VLOOKUP(B1235,'Pre-Summary'!$CU$6:$CW$36,3,FALSE),"")</f>
        <v/>
      </c>
      <c r="M1235" s="45" t="str">
        <f>IFERROR(VLOOKUP(B1235,'Pre-Summary'!$BW$6:$BY$58,2,FALSE),"")</f>
        <v/>
      </c>
      <c r="N1235" s="45" t="str">
        <f>IFERROR(VLOOKUP(B1235,'Pre-Summary'!$CD$6:$CF$64,2,FALSE),"")</f>
        <v/>
      </c>
      <c r="O1235" s="99">
        <f>IFERROR(VLOOKUP(B1235,'Pre-Summary'!$BO$6:$BQ$48,3, FALSE),O1234)</f>
        <v>1.2</v>
      </c>
      <c r="P1235" s="99">
        <f>IFERROR(VLOOKUP(B1235,'Pre-Summary'!$BS$6:$BU$35,3,FALSE),P1234)</f>
        <v>0.3</v>
      </c>
      <c r="Q1235" s="54">
        <f t="shared" si="57"/>
        <v>4</v>
      </c>
      <c r="R1235" s="53">
        <f>IFERROR(VLOOKUP(B1235,'Pre-Summary'!$BG$6:$BM$44,7,FALSE),R1236)</f>
        <v>7.6574939085447311E-2</v>
      </c>
      <c r="S1235" s="53">
        <f>IFERROR(VLOOKUP(B1235,'Pre-Summary'!$BG$6:$BM$44,6,FALSE),S1236)</f>
        <v>6.8761751275839902E-2</v>
      </c>
      <c r="T1235" s="45" t="str">
        <f>IFERROR(VLOOKUP(B1235,'Pre-Summary'!$Y$6:$AC$83, 3,FALSE),"")</f>
        <v/>
      </c>
      <c r="U1235" s="45" t="str">
        <f>IFERROR(VLOOKUP(B1235,'Pre-Summary'!$Y$6:$AC$83, 4,FALSE),"")</f>
        <v/>
      </c>
      <c r="V1235" t="str">
        <f>IFERROR(VLOOKUP(B1235,'Pre-Summary'!$Y$6:$AC$83, 5,FALSE),"")</f>
        <v/>
      </c>
      <c r="W1235" s="45" t="str">
        <f>IFERROR(VLOOKUP(B1235,'Pre-Summary'!$Y$6:$AD$83,6,FALSE),"")</f>
        <v/>
      </c>
      <c r="X1235" t="str">
        <f>IFERROR(VLOOKUP('Pre-Summary'!$DB$6:$DD$63,3,FALSE),"")</f>
        <v/>
      </c>
      <c r="Y1235" t="str">
        <f>IFERROR(VLOOKUP(B1235,'Pre-Summary'!$CR$6:$CT$36,3,FALSE),"")</f>
        <v/>
      </c>
      <c r="Z1235" s="45" t="str">
        <f>IFERROR(VLOOKUP(B1235,'Pre-Summary'!$BZ$6:$CB$63,2,FALSE),"")</f>
        <v/>
      </c>
      <c r="AA1235" s="45" t="str">
        <f>IFERROR(VLOOKUP(B1235,'Pre-Summary'!$CG$6:$CI$70,2,FALSE),"")</f>
        <v/>
      </c>
      <c r="AB1235" s="99">
        <f>IFERROR(VLOOKUP(B1235,'Pre-Summary'!$A$6:$P$178,9,FALSE),AB1236)</f>
        <v>0.29854506098972833</v>
      </c>
      <c r="AC1235" s="10">
        <f>IFERROR(VLOOKUP(Summary!B1235,'Pre-Summary'!$A$6:$P$184,5, FALSE)/100,AC1236)</f>
        <v>0.96409233333333344</v>
      </c>
      <c r="AD1235" s="10">
        <f>IFERROR(VLOOKUP(Summary!B1235,'Pre-Summary'!$A$6:$P$184,3, FALSE)/100,AD1236)</f>
        <v>7.5420000000000001E-3</v>
      </c>
      <c r="AE1235" s="10">
        <f>IFERROR(VLOOKUP(Summary!B1235,'Pre-Summary'!$A$6:$P$184,7, FALSE)/100,AE1236)</f>
        <v>2.8365666666666668E-2</v>
      </c>
      <c r="AF1235" s="99">
        <f t="shared" si="58"/>
        <v>2.2516268499845312E-3</v>
      </c>
      <c r="AG1235" s="99">
        <f t="shared" si="59"/>
        <v>8.4684296850143035E-3</v>
      </c>
      <c r="AH1235" s="10" t="str">
        <f>IFERROR(VLOOKUP(B1235,'Pre-Summary'!$AZ$6:$BE$65,3,FALSE),"")</f>
        <v/>
      </c>
      <c r="AI1235" s="10" t="str">
        <f>IFERROR(VLOOKUP(B1235,'Pre-Summary'!$AZ$6:$BE$65,5,FALSE),"")</f>
        <v/>
      </c>
      <c r="AJ1235" s="10" t="str">
        <f>IFERROR(VLOOKUP(B1235,'Pre-Summary'!$AZ$6:$BE$65,4,FALSE),"")</f>
        <v/>
      </c>
      <c r="AK1235" s="10" t="str">
        <f>IFERROR(VLOOKUP(B1235,'Pre-Summary'!$AZ$6:$BE$65,6,FALSE),"")</f>
        <v/>
      </c>
      <c r="AL1235" s="10" t="str">
        <f>IFERROR(VLOOKUP(B1235,'Pre-Summary'!$BG$6:$BL$44,3,FALSE),"")</f>
        <v/>
      </c>
      <c r="AM1235" s="10" t="str">
        <f>IFERROR(VLOOKUP(B1235,'Pre-Summary'!$BG$6:$BL$44,4,FALSE),"")</f>
        <v/>
      </c>
    </row>
    <row r="1236" spans="2:39" ht="15" customHeight="1" x14ac:dyDescent="0.3">
      <c r="B1236">
        <v>123.3</v>
      </c>
      <c r="C1236" t="str">
        <f>IFERROR(VLOOKUP(B1236,'Pre-Summary'!$DI$6:$DM$23,4,FALSE),"")</f>
        <v/>
      </c>
      <c r="D1236" s="10" t="str">
        <f>IFERROR(VLOOKUP(B1236,'Pre-Summary'!$AT$6:$AX$14,5,FALSE),D1235)</f>
        <v>DSMZ v4: dropped out methanol</v>
      </c>
      <c r="E1236" s="10" t="str">
        <f>IFERROR(VLOOKUP(B1236,'Pre-Summary'!$AT$6:$AX$15,4,FALSE),"")</f>
        <v/>
      </c>
      <c r="F1236">
        <f>IFERROR(VLOOKUP(B1236,'Pre-Summary'!$AL$6:$AQ$13,6,FALSE),F1235)</f>
        <v>5.9405263157894746E-2</v>
      </c>
      <c r="G1236" t="str">
        <f>IFERROR(VLOOKUP(B1236,'Pre-Summary'!$AE$6:$AJ$85,3,FALSE),"")</f>
        <v/>
      </c>
      <c r="H1236" t="str">
        <f>IFERROR(VLOOKUP(B1236,'Pre-Summary'!$AE$6:$AJ$85,4,FALSE),"")</f>
        <v/>
      </c>
      <c r="I1236" t="str">
        <f>IFERROR(VLOOKUP(B1236,'Pre-Summary'!$AE$6:$AJ$85,5,FALSE),"")</f>
        <v/>
      </c>
      <c r="J1236" s="45" t="str">
        <f>IFERROR(VLOOKUP(B1236,'Pre-Summary'!$AE$6:$AJ$85,6, FALSE),"")</f>
        <v/>
      </c>
      <c r="K1236" s="45" t="str">
        <f>IFERROR(VLOOKUP(B1236,'Pre-Summary'!$DE$6:$DG$61,3,FALSE),"")</f>
        <v/>
      </c>
      <c r="L1236" s="45" t="str">
        <f>IFERROR(VLOOKUP(B1236,'Pre-Summary'!$CU$6:$CW$36,3,FALSE),"")</f>
        <v/>
      </c>
      <c r="M1236" s="45" t="str">
        <f>IFERROR(VLOOKUP(B1236,'Pre-Summary'!$BW$6:$BY$58,2,FALSE),"")</f>
        <v/>
      </c>
      <c r="N1236" s="45" t="str">
        <f>IFERROR(VLOOKUP(B1236,'Pre-Summary'!$CD$6:$CF$64,2,FALSE),"")</f>
        <v/>
      </c>
      <c r="O1236" s="99">
        <f>IFERROR(VLOOKUP(B1236,'Pre-Summary'!$BO$6:$BQ$48,3, FALSE),O1235)</f>
        <v>1.2</v>
      </c>
      <c r="P1236" s="99">
        <f>IFERROR(VLOOKUP(B1236,'Pre-Summary'!$BS$6:$BU$35,3,FALSE),P1235)</f>
        <v>0.3</v>
      </c>
      <c r="Q1236" s="54">
        <f t="shared" si="57"/>
        <v>4</v>
      </c>
      <c r="R1236" s="53">
        <f>IFERROR(VLOOKUP(B1236,'Pre-Summary'!$BG$6:$BM$44,7,FALSE),R1237)</f>
        <v>7.6574939085447311E-2</v>
      </c>
      <c r="S1236" s="53">
        <f>IFERROR(VLOOKUP(B1236,'Pre-Summary'!$BG$6:$BM$44,6,FALSE),S1237)</f>
        <v>6.8761751275839902E-2</v>
      </c>
      <c r="T1236" s="45" t="str">
        <f>IFERROR(VLOOKUP(B1236,'Pre-Summary'!$Y$6:$AC$83, 3,FALSE),"")</f>
        <v/>
      </c>
      <c r="U1236" s="45" t="str">
        <f>IFERROR(VLOOKUP(B1236,'Pre-Summary'!$Y$6:$AC$83, 4,FALSE),"")</f>
        <v/>
      </c>
      <c r="V1236" t="str">
        <f>IFERROR(VLOOKUP(B1236,'Pre-Summary'!$Y$6:$AC$83, 5,FALSE),"")</f>
        <v/>
      </c>
      <c r="W1236" s="45" t="str">
        <f>IFERROR(VLOOKUP(B1236,'Pre-Summary'!$Y$6:$AD$83,6,FALSE),"")</f>
        <v/>
      </c>
      <c r="X1236" t="str">
        <f>IFERROR(VLOOKUP('Pre-Summary'!$DB$6:$DD$63,3,FALSE),"")</f>
        <v/>
      </c>
      <c r="Y1236" t="str">
        <f>IFERROR(VLOOKUP(B1236,'Pre-Summary'!$CR$6:$CT$36,3,FALSE),"")</f>
        <v/>
      </c>
      <c r="Z1236" s="45" t="str">
        <f>IFERROR(VLOOKUP(B1236,'Pre-Summary'!$BZ$6:$CB$63,2,FALSE),"")</f>
        <v/>
      </c>
      <c r="AA1236" s="45" t="str">
        <f>IFERROR(VLOOKUP(B1236,'Pre-Summary'!$CG$6:$CI$70,2,FALSE),"")</f>
        <v/>
      </c>
      <c r="AB1236" s="99">
        <f>IFERROR(VLOOKUP(B1236,'Pre-Summary'!$A$6:$P$178,9,FALSE),AB1237)</f>
        <v>0.29854506098972833</v>
      </c>
      <c r="AC1236" s="10">
        <f>IFERROR(VLOOKUP(Summary!B1236,'Pre-Summary'!$A$6:$P$184,5, FALSE)/100,AC1237)</f>
        <v>0.96409233333333344</v>
      </c>
      <c r="AD1236" s="10">
        <f>IFERROR(VLOOKUP(Summary!B1236,'Pre-Summary'!$A$6:$P$184,3, FALSE)/100,AD1237)</f>
        <v>7.5420000000000001E-3</v>
      </c>
      <c r="AE1236" s="10">
        <f>IFERROR(VLOOKUP(Summary!B1236,'Pre-Summary'!$A$6:$P$184,7, FALSE)/100,AE1237)</f>
        <v>2.8365666666666668E-2</v>
      </c>
      <c r="AF1236" s="99">
        <f t="shared" si="58"/>
        <v>2.2516268499845312E-3</v>
      </c>
      <c r="AG1236" s="99">
        <f t="shared" si="59"/>
        <v>8.4684296850143035E-3</v>
      </c>
      <c r="AH1236" s="10" t="str">
        <f>IFERROR(VLOOKUP(B1236,'Pre-Summary'!$AZ$6:$BE$65,3,FALSE),"")</f>
        <v/>
      </c>
      <c r="AI1236" s="10" t="str">
        <f>IFERROR(VLOOKUP(B1236,'Pre-Summary'!$AZ$6:$BE$65,5,FALSE),"")</f>
        <v/>
      </c>
      <c r="AJ1236" s="10" t="str">
        <f>IFERROR(VLOOKUP(B1236,'Pre-Summary'!$AZ$6:$BE$65,4,FALSE),"")</f>
        <v/>
      </c>
      <c r="AK1236" s="10" t="str">
        <f>IFERROR(VLOOKUP(B1236,'Pre-Summary'!$AZ$6:$BE$65,6,FALSE),"")</f>
        <v/>
      </c>
      <c r="AL1236" s="10" t="str">
        <f>IFERROR(VLOOKUP(B1236,'Pre-Summary'!$BG$6:$BL$44,3,FALSE),"")</f>
        <v/>
      </c>
      <c r="AM1236" s="10" t="str">
        <f>IFERROR(VLOOKUP(B1236,'Pre-Summary'!$BG$6:$BL$44,4,FALSE),"")</f>
        <v/>
      </c>
    </row>
    <row r="1237" spans="2:39" ht="15" customHeight="1" x14ac:dyDescent="0.3">
      <c r="B1237">
        <v>123.4</v>
      </c>
      <c r="C1237" t="str">
        <f>IFERROR(VLOOKUP(B1237,'Pre-Summary'!$DI$6:$DM$23,4,FALSE),"")</f>
        <v/>
      </c>
      <c r="D1237" s="10" t="str">
        <f>IFERROR(VLOOKUP(B1237,'Pre-Summary'!$AT$6:$AX$14,5,FALSE),D1236)</f>
        <v>DSMZ v4: dropped out methanol</v>
      </c>
      <c r="E1237" s="10" t="str">
        <f>IFERROR(VLOOKUP(B1237,'Pre-Summary'!$AT$6:$AX$15,4,FALSE),"")</f>
        <v/>
      </c>
      <c r="F1237">
        <f>IFERROR(VLOOKUP(B1237,'Pre-Summary'!$AL$6:$AQ$13,6,FALSE),F1236)</f>
        <v>5.9405263157894746E-2</v>
      </c>
      <c r="G1237" t="str">
        <f>IFERROR(VLOOKUP(B1237,'Pre-Summary'!$AE$6:$AJ$85,3,FALSE),"")</f>
        <v/>
      </c>
      <c r="H1237" t="str">
        <f>IFERROR(VLOOKUP(B1237,'Pre-Summary'!$AE$6:$AJ$85,4,FALSE),"")</f>
        <v/>
      </c>
      <c r="I1237" t="str">
        <f>IFERROR(VLOOKUP(B1237,'Pre-Summary'!$AE$6:$AJ$85,5,FALSE),"")</f>
        <v/>
      </c>
      <c r="J1237" s="45" t="str">
        <f>IFERROR(VLOOKUP(B1237,'Pre-Summary'!$AE$6:$AJ$85,6, FALSE),"")</f>
        <v/>
      </c>
      <c r="K1237" s="45" t="str">
        <f>IFERROR(VLOOKUP(B1237,'Pre-Summary'!$DE$6:$DG$61,3,FALSE),"")</f>
        <v/>
      </c>
      <c r="L1237" s="45" t="str">
        <f>IFERROR(VLOOKUP(B1237,'Pre-Summary'!$CU$6:$CW$36,3,FALSE),"")</f>
        <v/>
      </c>
      <c r="M1237" s="45" t="str">
        <f>IFERROR(VLOOKUP(B1237,'Pre-Summary'!$BW$6:$BY$58,2,FALSE),"")</f>
        <v/>
      </c>
      <c r="N1237" s="45" t="str">
        <f>IFERROR(VLOOKUP(B1237,'Pre-Summary'!$CD$6:$CF$64,2,FALSE),"")</f>
        <v/>
      </c>
      <c r="O1237" s="99">
        <f>IFERROR(VLOOKUP(B1237,'Pre-Summary'!$BO$6:$BQ$48,3, FALSE),O1236)</f>
        <v>1.2</v>
      </c>
      <c r="P1237" s="99">
        <f>IFERROR(VLOOKUP(B1237,'Pre-Summary'!$BS$6:$BU$35,3,FALSE),P1236)</f>
        <v>0.3</v>
      </c>
      <c r="Q1237" s="54">
        <f t="shared" si="57"/>
        <v>4</v>
      </c>
      <c r="R1237" s="53">
        <f>IFERROR(VLOOKUP(B1237,'Pre-Summary'!$BG$6:$BM$44,7,FALSE),R1238)</f>
        <v>7.6574939085447311E-2</v>
      </c>
      <c r="S1237" s="53">
        <f>IFERROR(VLOOKUP(B1237,'Pre-Summary'!$BG$6:$BM$44,6,FALSE),S1238)</f>
        <v>6.8761751275839902E-2</v>
      </c>
      <c r="T1237" s="45" t="str">
        <f>IFERROR(VLOOKUP(B1237,'Pre-Summary'!$Y$6:$AC$83, 3,FALSE),"")</f>
        <v/>
      </c>
      <c r="U1237" s="45" t="str">
        <f>IFERROR(VLOOKUP(B1237,'Pre-Summary'!$Y$6:$AC$83, 4,FALSE),"")</f>
        <v/>
      </c>
      <c r="V1237" t="str">
        <f>IFERROR(VLOOKUP(B1237,'Pre-Summary'!$Y$6:$AC$83, 5,FALSE),"")</f>
        <v/>
      </c>
      <c r="W1237" s="45" t="str">
        <f>IFERROR(VLOOKUP(B1237,'Pre-Summary'!$Y$6:$AD$83,6,FALSE),"")</f>
        <v/>
      </c>
      <c r="X1237" t="str">
        <f>IFERROR(VLOOKUP('Pre-Summary'!$DB$6:$DD$63,3,FALSE),"")</f>
        <v/>
      </c>
      <c r="Y1237" t="str">
        <f>IFERROR(VLOOKUP(B1237,'Pre-Summary'!$CR$6:$CT$36,3,FALSE),"")</f>
        <v/>
      </c>
      <c r="Z1237" s="45" t="str">
        <f>IFERROR(VLOOKUP(B1237,'Pre-Summary'!$BZ$6:$CB$63,2,FALSE),"")</f>
        <v/>
      </c>
      <c r="AA1237" s="45" t="str">
        <f>IFERROR(VLOOKUP(B1237,'Pre-Summary'!$CG$6:$CI$70,2,FALSE),"")</f>
        <v/>
      </c>
      <c r="AB1237" s="99">
        <f>IFERROR(VLOOKUP(B1237,'Pre-Summary'!$A$6:$P$178,9,FALSE),AB1238)</f>
        <v>0.29854506098972833</v>
      </c>
      <c r="AC1237" s="10">
        <f>IFERROR(VLOOKUP(Summary!B1237,'Pre-Summary'!$A$6:$P$184,5, FALSE)/100,AC1238)</f>
        <v>0.96409233333333344</v>
      </c>
      <c r="AD1237" s="10">
        <f>IFERROR(VLOOKUP(Summary!B1237,'Pre-Summary'!$A$6:$P$184,3, FALSE)/100,AD1238)</f>
        <v>7.5420000000000001E-3</v>
      </c>
      <c r="AE1237" s="10">
        <f>IFERROR(VLOOKUP(Summary!B1237,'Pre-Summary'!$A$6:$P$184,7, FALSE)/100,AE1238)</f>
        <v>2.8365666666666668E-2</v>
      </c>
      <c r="AF1237" s="99">
        <f t="shared" si="58"/>
        <v>2.2516268499845312E-3</v>
      </c>
      <c r="AG1237" s="99">
        <f t="shared" si="59"/>
        <v>8.4684296850143035E-3</v>
      </c>
      <c r="AH1237" s="10" t="str">
        <f>IFERROR(VLOOKUP(B1237,'Pre-Summary'!$AZ$6:$BE$65,3,FALSE),"")</f>
        <v/>
      </c>
      <c r="AI1237" s="10" t="str">
        <f>IFERROR(VLOOKUP(B1237,'Pre-Summary'!$AZ$6:$BE$65,5,FALSE),"")</f>
        <v/>
      </c>
      <c r="AJ1237" s="10" t="str">
        <f>IFERROR(VLOOKUP(B1237,'Pre-Summary'!$AZ$6:$BE$65,4,FALSE),"")</f>
        <v/>
      </c>
      <c r="AK1237" s="10" t="str">
        <f>IFERROR(VLOOKUP(B1237,'Pre-Summary'!$AZ$6:$BE$65,6,FALSE),"")</f>
        <v/>
      </c>
      <c r="AL1237" s="10" t="str">
        <f>IFERROR(VLOOKUP(B1237,'Pre-Summary'!$BG$6:$BL$44,3,FALSE),"")</f>
        <v/>
      </c>
      <c r="AM1237" s="10" t="str">
        <f>IFERROR(VLOOKUP(B1237,'Pre-Summary'!$BG$6:$BL$44,4,FALSE),"")</f>
        <v/>
      </c>
    </row>
    <row r="1238" spans="2:39" ht="15" customHeight="1" x14ac:dyDescent="0.3">
      <c r="B1238">
        <v>123.5</v>
      </c>
      <c r="C1238" t="str">
        <f>IFERROR(VLOOKUP(B1238,'Pre-Summary'!$DI$6:$DM$23,4,FALSE),"")</f>
        <v/>
      </c>
      <c r="D1238" s="10" t="str">
        <f>IFERROR(VLOOKUP(B1238,'Pre-Summary'!$AT$6:$AX$14,5,FALSE),D1237)</f>
        <v>DSMZ v4: dropped out methanol</v>
      </c>
      <c r="E1238" s="10" t="str">
        <f>IFERROR(VLOOKUP(B1238,'Pre-Summary'!$AT$6:$AX$15,4,FALSE),"")</f>
        <v/>
      </c>
      <c r="F1238">
        <f>IFERROR(VLOOKUP(B1238,'Pre-Summary'!$AL$6:$AQ$13,6,FALSE),F1237)</f>
        <v>5.9405263157894746E-2</v>
      </c>
      <c r="G1238" t="str">
        <f>IFERROR(VLOOKUP(B1238,'Pre-Summary'!$AE$6:$AJ$85,3,FALSE),"")</f>
        <v/>
      </c>
      <c r="H1238" t="str">
        <f>IFERROR(VLOOKUP(B1238,'Pre-Summary'!$AE$6:$AJ$85,4,FALSE),"")</f>
        <v/>
      </c>
      <c r="I1238" t="str">
        <f>IFERROR(VLOOKUP(B1238,'Pre-Summary'!$AE$6:$AJ$85,5,FALSE),"")</f>
        <v/>
      </c>
      <c r="J1238" s="45" t="str">
        <f>IFERROR(VLOOKUP(B1238,'Pre-Summary'!$AE$6:$AJ$85,6, FALSE),"")</f>
        <v/>
      </c>
      <c r="K1238" s="45" t="str">
        <f>IFERROR(VLOOKUP(B1238,'Pre-Summary'!$DE$6:$DG$61,3,FALSE),"")</f>
        <v/>
      </c>
      <c r="L1238" s="45" t="str">
        <f>IFERROR(VLOOKUP(B1238,'Pre-Summary'!$CU$6:$CW$36,3,FALSE),"")</f>
        <v/>
      </c>
      <c r="M1238" s="45" t="str">
        <f>IFERROR(VLOOKUP(B1238,'Pre-Summary'!$BW$6:$BY$58,2,FALSE),"")</f>
        <v/>
      </c>
      <c r="N1238" s="45" t="str">
        <f>IFERROR(VLOOKUP(B1238,'Pre-Summary'!$CD$6:$CF$64,2,FALSE),"")</f>
        <v/>
      </c>
      <c r="O1238" s="99">
        <f>IFERROR(VLOOKUP(B1238,'Pre-Summary'!$BO$6:$BQ$48,3, FALSE),O1237)</f>
        <v>1.2</v>
      </c>
      <c r="P1238" s="99">
        <f>IFERROR(VLOOKUP(B1238,'Pre-Summary'!$BS$6:$BU$35,3,FALSE),P1237)</f>
        <v>0.3</v>
      </c>
      <c r="Q1238" s="54">
        <f t="shared" si="57"/>
        <v>4</v>
      </c>
      <c r="R1238" s="53">
        <f>IFERROR(VLOOKUP(B1238,'Pre-Summary'!$BG$6:$BM$44,7,FALSE),R1239)</f>
        <v>7.6574939085447311E-2</v>
      </c>
      <c r="S1238" s="53">
        <f>IFERROR(VLOOKUP(B1238,'Pre-Summary'!$BG$6:$BM$44,6,FALSE),S1239)</f>
        <v>6.8761751275839902E-2</v>
      </c>
      <c r="T1238" s="45" t="str">
        <f>IFERROR(VLOOKUP(B1238,'Pre-Summary'!$Y$6:$AC$83, 3,FALSE),"")</f>
        <v/>
      </c>
      <c r="U1238" s="45" t="str">
        <f>IFERROR(VLOOKUP(B1238,'Pre-Summary'!$Y$6:$AC$83, 4,FALSE),"")</f>
        <v/>
      </c>
      <c r="V1238" t="str">
        <f>IFERROR(VLOOKUP(B1238,'Pre-Summary'!$Y$6:$AC$83, 5,FALSE),"")</f>
        <v/>
      </c>
      <c r="W1238" s="45" t="str">
        <f>IFERROR(VLOOKUP(B1238,'Pre-Summary'!$Y$6:$AD$83,6,FALSE),"")</f>
        <v/>
      </c>
      <c r="X1238" t="str">
        <f>IFERROR(VLOOKUP('Pre-Summary'!$DB$6:$DD$63,3,FALSE),"")</f>
        <v/>
      </c>
      <c r="Y1238" t="str">
        <f>IFERROR(VLOOKUP(B1238,'Pre-Summary'!$CR$6:$CT$36,3,FALSE),"")</f>
        <v/>
      </c>
      <c r="Z1238" s="45" t="str">
        <f>IFERROR(VLOOKUP(B1238,'Pre-Summary'!$BZ$6:$CB$63,2,FALSE),"")</f>
        <v/>
      </c>
      <c r="AA1238" s="45" t="str">
        <f>IFERROR(VLOOKUP(B1238,'Pre-Summary'!$CG$6:$CI$70,2,FALSE),"")</f>
        <v/>
      </c>
      <c r="AB1238" s="99">
        <f>IFERROR(VLOOKUP(B1238,'Pre-Summary'!$A$6:$P$178,9,FALSE),AB1239)</f>
        <v>0.29854506098972833</v>
      </c>
      <c r="AC1238" s="10">
        <f>IFERROR(VLOOKUP(Summary!B1238,'Pre-Summary'!$A$6:$P$184,5, FALSE)/100,AC1239)</f>
        <v>0.96409233333333344</v>
      </c>
      <c r="AD1238" s="10">
        <f>IFERROR(VLOOKUP(Summary!B1238,'Pre-Summary'!$A$6:$P$184,3, FALSE)/100,AD1239)</f>
        <v>7.5420000000000001E-3</v>
      </c>
      <c r="AE1238" s="10">
        <f>IFERROR(VLOOKUP(Summary!B1238,'Pre-Summary'!$A$6:$P$184,7, FALSE)/100,AE1239)</f>
        <v>2.8365666666666668E-2</v>
      </c>
      <c r="AF1238" s="99">
        <f t="shared" si="58"/>
        <v>2.2516268499845312E-3</v>
      </c>
      <c r="AG1238" s="99">
        <f t="shared" si="59"/>
        <v>8.4684296850143035E-3</v>
      </c>
      <c r="AH1238" s="10" t="str">
        <f>IFERROR(VLOOKUP(B1238,'Pre-Summary'!$AZ$6:$BE$65,3,FALSE),"")</f>
        <v/>
      </c>
      <c r="AI1238" s="10" t="str">
        <f>IFERROR(VLOOKUP(B1238,'Pre-Summary'!$AZ$6:$BE$65,5,FALSE),"")</f>
        <v/>
      </c>
      <c r="AJ1238" s="10" t="str">
        <f>IFERROR(VLOOKUP(B1238,'Pre-Summary'!$AZ$6:$BE$65,4,FALSE),"")</f>
        <v/>
      </c>
      <c r="AK1238" s="10" t="str">
        <f>IFERROR(VLOOKUP(B1238,'Pre-Summary'!$AZ$6:$BE$65,6,FALSE),"")</f>
        <v/>
      </c>
      <c r="AL1238" s="10" t="str">
        <f>IFERROR(VLOOKUP(B1238,'Pre-Summary'!$BG$6:$BL$44,3,FALSE),"")</f>
        <v/>
      </c>
      <c r="AM1238" s="10" t="str">
        <f>IFERROR(VLOOKUP(B1238,'Pre-Summary'!$BG$6:$BL$44,4,FALSE),"")</f>
        <v/>
      </c>
    </row>
    <row r="1239" spans="2:39" ht="15" customHeight="1" x14ac:dyDescent="0.3">
      <c r="B1239">
        <v>123.6</v>
      </c>
      <c r="C1239" t="str">
        <f>IFERROR(VLOOKUP(B1239,'Pre-Summary'!$DI$6:$DM$23,4,FALSE),"")</f>
        <v/>
      </c>
      <c r="D1239" s="10" t="str">
        <f>IFERROR(VLOOKUP(B1239,'Pre-Summary'!$AT$6:$AX$14,5,FALSE),D1238)</f>
        <v>DSMZ v4: dropped out methanol</v>
      </c>
      <c r="E1239" s="10" t="str">
        <f>IFERROR(VLOOKUP(B1239,'Pre-Summary'!$AT$6:$AX$15,4,FALSE),"")</f>
        <v/>
      </c>
      <c r="F1239">
        <f>IFERROR(VLOOKUP(B1239,'Pre-Summary'!$AL$6:$AQ$13,6,FALSE),F1238)</f>
        <v>5.9405263157894746E-2</v>
      </c>
      <c r="G1239" t="str">
        <f>IFERROR(VLOOKUP(B1239,'Pre-Summary'!$AE$6:$AJ$85,3,FALSE),"")</f>
        <v/>
      </c>
      <c r="H1239" t="str">
        <f>IFERROR(VLOOKUP(B1239,'Pre-Summary'!$AE$6:$AJ$85,4,FALSE),"")</f>
        <v/>
      </c>
      <c r="I1239" t="str">
        <f>IFERROR(VLOOKUP(B1239,'Pre-Summary'!$AE$6:$AJ$85,5,FALSE),"")</f>
        <v/>
      </c>
      <c r="J1239" s="45" t="str">
        <f>IFERROR(VLOOKUP(B1239,'Pre-Summary'!$AE$6:$AJ$85,6, FALSE),"")</f>
        <v/>
      </c>
      <c r="K1239" s="45" t="str">
        <f>IFERROR(VLOOKUP(B1239,'Pre-Summary'!$DE$6:$DG$61,3,FALSE),"")</f>
        <v/>
      </c>
      <c r="L1239" s="45" t="str">
        <f>IFERROR(VLOOKUP(B1239,'Pre-Summary'!$CU$6:$CW$36,3,FALSE),"")</f>
        <v/>
      </c>
      <c r="M1239" s="45" t="str">
        <f>IFERROR(VLOOKUP(B1239,'Pre-Summary'!$BW$6:$BY$58,2,FALSE),"")</f>
        <v/>
      </c>
      <c r="N1239" s="45" t="str">
        <f>IFERROR(VLOOKUP(B1239,'Pre-Summary'!$CD$6:$CF$64,2,FALSE),"")</f>
        <v/>
      </c>
      <c r="O1239" s="99">
        <f>IFERROR(VLOOKUP(B1239,'Pre-Summary'!$BO$6:$BQ$48,3, FALSE),O1238)</f>
        <v>1.2</v>
      </c>
      <c r="P1239" s="99">
        <f>IFERROR(VLOOKUP(B1239,'Pre-Summary'!$BS$6:$BU$35,3,FALSE),P1238)</f>
        <v>0.3</v>
      </c>
      <c r="Q1239" s="54">
        <f t="shared" si="57"/>
        <v>4</v>
      </c>
      <c r="R1239" s="53">
        <f>IFERROR(VLOOKUP(B1239,'Pre-Summary'!$BG$6:$BM$44,7,FALSE),R1240)</f>
        <v>7.6574939085447311E-2</v>
      </c>
      <c r="S1239" s="53">
        <f>IFERROR(VLOOKUP(B1239,'Pre-Summary'!$BG$6:$BM$44,6,FALSE),S1240)</f>
        <v>6.8761751275839902E-2</v>
      </c>
      <c r="T1239" s="45" t="str">
        <f>IFERROR(VLOOKUP(B1239,'Pre-Summary'!$Y$6:$AC$83, 3,FALSE),"")</f>
        <v/>
      </c>
      <c r="U1239" s="45" t="str">
        <f>IFERROR(VLOOKUP(B1239,'Pre-Summary'!$Y$6:$AC$83, 4,FALSE),"")</f>
        <v/>
      </c>
      <c r="V1239" t="str">
        <f>IFERROR(VLOOKUP(B1239,'Pre-Summary'!$Y$6:$AC$83, 5,FALSE),"")</f>
        <v/>
      </c>
      <c r="W1239" s="45" t="str">
        <f>IFERROR(VLOOKUP(B1239,'Pre-Summary'!$Y$6:$AD$83,6,FALSE),"")</f>
        <v/>
      </c>
      <c r="X1239" t="str">
        <f>IFERROR(VLOOKUP('Pre-Summary'!$DB$6:$DD$63,3,FALSE),"")</f>
        <v/>
      </c>
      <c r="Y1239" t="str">
        <f>IFERROR(VLOOKUP(B1239,'Pre-Summary'!$CR$6:$CT$36,3,FALSE),"")</f>
        <v/>
      </c>
      <c r="Z1239" s="45" t="str">
        <f>IFERROR(VLOOKUP(B1239,'Pre-Summary'!$BZ$6:$CB$63,2,FALSE),"")</f>
        <v/>
      </c>
      <c r="AA1239" s="45" t="str">
        <f>IFERROR(VLOOKUP(B1239,'Pre-Summary'!$CG$6:$CI$70,2,FALSE),"")</f>
        <v/>
      </c>
      <c r="AB1239" s="99">
        <f>IFERROR(VLOOKUP(B1239,'Pre-Summary'!$A$6:$P$178,9,FALSE),AB1240)</f>
        <v>0.29854506098972833</v>
      </c>
      <c r="AC1239" s="10">
        <f>IFERROR(VLOOKUP(Summary!B1239,'Pre-Summary'!$A$6:$P$184,5, FALSE)/100,AC1240)</f>
        <v>0.96409233333333344</v>
      </c>
      <c r="AD1239" s="10">
        <f>IFERROR(VLOOKUP(Summary!B1239,'Pre-Summary'!$A$6:$P$184,3, FALSE)/100,AD1240)</f>
        <v>7.5420000000000001E-3</v>
      </c>
      <c r="AE1239" s="10">
        <f>IFERROR(VLOOKUP(Summary!B1239,'Pre-Summary'!$A$6:$P$184,7, FALSE)/100,AE1240)</f>
        <v>2.8365666666666668E-2</v>
      </c>
      <c r="AF1239" s="99">
        <f t="shared" si="58"/>
        <v>2.2516268499845312E-3</v>
      </c>
      <c r="AG1239" s="99">
        <f t="shared" si="59"/>
        <v>8.4684296850143035E-3</v>
      </c>
      <c r="AH1239" s="10" t="str">
        <f>IFERROR(VLOOKUP(B1239,'Pre-Summary'!$AZ$6:$BE$65,3,FALSE),"")</f>
        <v/>
      </c>
      <c r="AI1239" s="10" t="str">
        <f>IFERROR(VLOOKUP(B1239,'Pre-Summary'!$AZ$6:$BE$65,5,FALSE),"")</f>
        <v/>
      </c>
      <c r="AJ1239" s="10" t="str">
        <f>IFERROR(VLOOKUP(B1239,'Pre-Summary'!$AZ$6:$BE$65,4,FALSE),"")</f>
        <v/>
      </c>
      <c r="AK1239" s="10" t="str">
        <f>IFERROR(VLOOKUP(B1239,'Pre-Summary'!$AZ$6:$BE$65,6,FALSE),"")</f>
        <v/>
      </c>
      <c r="AL1239" s="10" t="str">
        <f>IFERROR(VLOOKUP(B1239,'Pre-Summary'!$BG$6:$BL$44,3,FALSE),"")</f>
        <v/>
      </c>
      <c r="AM1239" s="10" t="str">
        <f>IFERROR(VLOOKUP(B1239,'Pre-Summary'!$BG$6:$BL$44,4,FALSE),"")</f>
        <v/>
      </c>
    </row>
    <row r="1240" spans="2:39" ht="15" customHeight="1" x14ac:dyDescent="0.3">
      <c r="B1240">
        <v>123.7</v>
      </c>
      <c r="C1240" t="str">
        <f>IFERROR(VLOOKUP(B1240,'Pre-Summary'!$DI$6:$DM$23,4,FALSE),"")</f>
        <v/>
      </c>
      <c r="D1240" s="10" t="str">
        <f>IFERROR(VLOOKUP(B1240,'Pre-Summary'!$AT$6:$AX$14,5,FALSE),D1239)</f>
        <v>DSMZ v4: dropped out methanol</v>
      </c>
      <c r="E1240" s="10" t="str">
        <f>IFERROR(VLOOKUP(B1240,'Pre-Summary'!$AT$6:$AX$15,4,FALSE),"")</f>
        <v/>
      </c>
      <c r="F1240">
        <f>IFERROR(VLOOKUP(B1240,'Pre-Summary'!$AL$6:$AQ$13,6,FALSE),F1239)</f>
        <v>5.9405263157894746E-2</v>
      </c>
      <c r="G1240" t="str">
        <f>IFERROR(VLOOKUP(B1240,'Pre-Summary'!$AE$6:$AJ$85,3,FALSE),"")</f>
        <v/>
      </c>
      <c r="H1240" t="str">
        <f>IFERROR(VLOOKUP(B1240,'Pre-Summary'!$AE$6:$AJ$85,4,FALSE),"")</f>
        <v/>
      </c>
      <c r="I1240" t="str">
        <f>IFERROR(VLOOKUP(B1240,'Pre-Summary'!$AE$6:$AJ$85,5,FALSE),"")</f>
        <v/>
      </c>
      <c r="J1240" s="45" t="str">
        <f>IFERROR(VLOOKUP(B1240,'Pre-Summary'!$AE$6:$AJ$85,6, FALSE),"")</f>
        <v/>
      </c>
      <c r="K1240" s="45" t="str">
        <f>IFERROR(VLOOKUP(B1240,'Pre-Summary'!$DE$6:$DG$61,3,FALSE),"")</f>
        <v/>
      </c>
      <c r="L1240" s="45" t="str">
        <f>IFERROR(VLOOKUP(B1240,'Pre-Summary'!$CU$6:$CW$36,3,FALSE),"")</f>
        <v/>
      </c>
      <c r="M1240" s="45" t="str">
        <f>IFERROR(VLOOKUP(B1240,'Pre-Summary'!$BW$6:$BY$58,2,FALSE),"")</f>
        <v/>
      </c>
      <c r="N1240" s="45" t="str">
        <f>IFERROR(VLOOKUP(B1240,'Pre-Summary'!$CD$6:$CF$64,2,FALSE),"")</f>
        <v/>
      </c>
      <c r="O1240" s="99">
        <f>IFERROR(VLOOKUP(B1240,'Pre-Summary'!$BO$6:$BQ$48,3, FALSE),O1239)</f>
        <v>1.2</v>
      </c>
      <c r="P1240" s="99">
        <f>IFERROR(VLOOKUP(B1240,'Pre-Summary'!$BS$6:$BU$35,3,FALSE),P1239)</f>
        <v>0.3</v>
      </c>
      <c r="Q1240" s="54">
        <f t="shared" si="57"/>
        <v>4</v>
      </c>
      <c r="R1240" s="53">
        <f>IFERROR(VLOOKUP(B1240,'Pre-Summary'!$BG$6:$BM$44,7,FALSE),R1241)</f>
        <v>7.6574939085447311E-2</v>
      </c>
      <c r="S1240" s="53">
        <f>IFERROR(VLOOKUP(B1240,'Pre-Summary'!$BG$6:$BM$44,6,FALSE),S1241)</f>
        <v>6.8761751275839902E-2</v>
      </c>
      <c r="T1240" s="45" t="str">
        <f>IFERROR(VLOOKUP(B1240,'Pre-Summary'!$Y$6:$AC$83, 3,FALSE),"")</f>
        <v/>
      </c>
      <c r="U1240" s="45" t="str">
        <f>IFERROR(VLOOKUP(B1240,'Pre-Summary'!$Y$6:$AC$83, 4,FALSE),"")</f>
        <v/>
      </c>
      <c r="V1240" t="str">
        <f>IFERROR(VLOOKUP(B1240,'Pre-Summary'!$Y$6:$AC$83, 5,FALSE),"")</f>
        <v/>
      </c>
      <c r="W1240" s="45" t="str">
        <f>IFERROR(VLOOKUP(B1240,'Pre-Summary'!$Y$6:$AD$83,6,FALSE),"")</f>
        <v/>
      </c>
      <c r="X1240" t="str">
        <f>IFERROR(VLOOKUP('Pre-Summary'!$DB$6:$DD$63,3,FALSE),"")</f>
        <v/>
      </c>
      <c r="Y1240" t="str">
        <f>IFERROR(VLOOKUP(B1240,'Pre-Summary'!$CR$6:$CT$36,3,FALSE),"")</f>
        <v/>
      </c>
      <c r="Z1240" s="45" t="str">
        <f>IFERROR(VLOOKUP(B1240,'Pre-Summary'!$BZ$6:$CB$63,2,FALSE),"")</f>
        <v/>
      </c>
      <c r="AA1240" s="45" t="str">
        <f>IFERROR(VLOOKUP(B1240,'Pre-Summary'!$CG$6:$CI$70,2,FALSE),"")</f>
        <v/>
      </c>
      <c r="AB1240" s="99">
        <f>IFERROR(VLOOKUP(B1240,'Pre-Summary'!$A$6:$P$178,9,FALSE),AB1241)</f>
        <v>0.29854506098972833</v>
      </c>
      <c r="AC1240" s="10">
        <f>IFERROR(VLOOKUP(Summary!B1240,'Pre-Summary'!$A$6:$P$184,5, FALSE)/100,AC1241)</f>
        <v>0.96409233333333344</v>
      </c>
      <c r="AD1240" s="10">
        <f>IFERROR(VLOOKUP(Summary!B1240,'Pre-Summary'!$A$6:$P$184,3, FALSE)/100,AD1241)</f>
        <v>7.5420000000000001E-3</v>
      </c>
      <c r="AE1240" s="10">
        <f>IFERROR(VLOOKUP(Summary!B1240,'Pre-Summary'!$A$6:$P$184,7, FALSE)/100,AE1241)</f>
        <v>2.8365666666666668E-2</v>
      </c>
      <c r="AF1240" s="99">
        <f t="shared" si="58"/>
        <v>2.2516268499845312E-3</v>
      </c>
      <c r="AG1240" s="99">
        <f t="shared" si="59"/>
        <v>8.4684296850143035E-3</v>
      </c>
      <c r="AH1240" s="10" t="str">
        <f>IFERROR(VLOOKUP(B1240,'Pre-Summary'!$AZ$6:$BE$65,3,FALSE),"")</f>
        <v/>
      </c>
      <c r="AI1240" s="10" t="str">
        <f>IFERROR(VLOOKUP(B1240,'Pre-Summary'!$AZ$6:$BE$65,5,FALSE),"")</f>
        <v/>
      </c>
      <c r="AJ1240" s="10" t="str">
        <f>IFERROR(VLOOKUP(B1240,'Pre-Summary'!$AZ$6:$BE$65,4,FALSE),"")</f>
        <v/>
      </c>
      <c r="AK1240" s="10" t="str">
        <f>IFERROR(VLOOKUP(B1240,'Pre-Summary'!$AZ$6:$BE$65,6,FALSE),"")</f>
        <v/>
      </c>
      <c r="AL1240" s="10" t="str">
        <f>IFERROR(VLOOKUP(B1240,'Pre-Summary'!$BG$6:$BL$44,3,FALSE),"")</f>
        <v/>
      </c>
      <c r="AM1240" s="10" t="str">
        <f>IFERROR(VLOOKUP(B1240,'Pre-Summary'!$BG$6:$BL$44,4,FALSE),"")</f>
        <v/>
      </c>
    </row>
    <row r="1241" spans="2:39" ht="15" customHeight="1" x14ac:dyDescent="0.3">
      <c r="B1241">
        <v>123.8</v>
      </c>
      <c r="C1241" t="str">
        <f>IFERROR(VLOOKUP(B1241,'Pre-Summary'!$DI$6:$DM$23,4,FALSE),"")</f>
        <v/>
      </c>
      <c r="D1241" s="10" t="str">
        <f>IFERROR(VLOOKUP(B1241,'Pre-Summary'!$AT$6:$AX$14,5,FALSE),D1240)</f>
        <v>DSMZ v4: dropped out methanol</v>
      </c>
      <c r="E1241" s="10" t="str">
        <f>IFERROR(VLOOKUP(B1241,'Pre-Summary'!$AT$6:$AX$15,4,FALSE),"")</f>
        <v/>
      </c>
      <c r="F1241">
        <f>IFERROR(VLOOKUP(B1241,'Pre-Summary'!$AL$6:$AQ$13,6,FALSE),F1240)</f>
        <v>5.9405263157894746E-2</v>
      </c>
      <c r="G1241" t="str">
        <f>IFERROR(VLOOKUP(B1241,'Pre-Summary'!$AE$6:$AJ$85,3,FALSE),"")</f>
        <v/>
      </c>
      <c r="H1241" t="str">
        <f>IFERROR(VLOOKUP(B1241,'Pre-Summary'!$AE$6:$AJ$85,4,FALSE),"")</f>
        <v/>
      </c>
      <c r="I1241" t="str">
        <f>IFERROR(VLOOKUP(B1241,'Pre-Summary'!$AE$6:$AJ$85,5,FALSE),"")</f>
        <v/>
      </c>
      <c r="J1241" s="45" t="str">
        <f>IFERROR(VLOOKUP(B1241,'Pre-Summary'!$AE$6:$AJ$85,6, FALSE),"")</f>
        <v/>
      </c>
      <c r="K1241" s="45" t="str">
        <f>IFERROR(VLOOKUP(B1241,'Pre-Summary'!$DE$6:$DG$61,3,FALSE),"")</f>
        <v/>
      </c>
      <c r="L1241" s="45" t="str">
        <f>IFERROR(VLOOKUP(B1241,'Pre-Summary'!$CU$6:$CW$36,3,FALSE),"")</f>
        <v/>
      </c>
      <c r="M1241" s="45" t="str">
        <f>IFERROR(VLOOKUP(B1241,'Pre-Summary'!$BW$6:$BY$58,2,FALSE),"")</f>
        <v/>
      </c>
      <c r="N1241" s="45" t="str">
        <f>IFERROR(VLOOKUP(B1241,'Pre-Summary'!$CD$6:$CF$64,2,FALSE),"")</f>
        <v/>
      </c>
      <c r="O1241" s="99">
        <f>IFERROR(VLOOKUP(B1241,'Pre-Summary'!$BO$6:$BQ$48,3, FALSE),O1240)</f>
        <v>1.2</v>
      </c>
      <c r="P1241" s="99">
        <f>IFERROR(VLOOKUP(B1241,'Pre-Summary'!$BS$6:$BU$35,3,FALSE),P1240)</f>
        <v>0.3</v>
      </c>
      <c r="Q1241" s="54">
        <f t="shared" si="57"/>
        <v>4</v>
      </c>
      <c r="R1241" s="53">
        <f>IFERROR(VLOOKUP(B1241,'Pre-Summary'!$BG$6:$BM$44,7,FALSE),R1242)</f>
        <v>7.6574939085447311E-2</v>
      </c>
      <c r="S1241" s="53">
        <f>IFERROR(VLOOKUP(B1241,'Pre-Summary'!$BG$6:$BM$44,6,FALSE),S1242)</f>
        <v>6.8761751275839902E-2</v>
      </c>
      <c r="T1241" s="45" t="str">
        <f>IFERROR(VLOOKUP(B1241,'Pre-Summary'!$Y$6:$AC$83, 3,FALSE),"")</f>
        <v/>
      </c>
      <c r="U1241" s="45" t="str">
        <f>IFERROR(VLOOKUP(B1241,'Pre-Summary'!$Y$6:$AC$83, 4,FALSE),"")</f>
        <v/>
      </c>
      <c r="V1241" t="str">
        <f>IFERROR(VLOOKUP(B1241,'Pre-Summary'!$Y$6:$AC$83, 5,FALSE),"")</f>
        <v/>
      </c>
      <c r="W1241" s="45" t="str">
        <f>IFERROR(VLOOKUP(B1241,'Pre-Summary'!$Y$6:$AD$83,6,FALSE),"")</f>
        <v/>
      </c>
      <c r="X1241" t="str">
        <f>IFERROR(VLOOKUP('Pre-Summary'!$DB$6:$DD$63,3,FALSE),"")</f>
        <v/>
      </c>
      <c r="Y1241" t="str">
        <f>IFERROR(VLOOKUP(B1241,'Pre-Summary'!$CR$6:$CT$36,3,FALSE),"")</f>
        <v/>
      </c>
      <c r="Z1241" s="45" t="str">
        <f>IFERROR(VLOOKUP(B1241,'Pre-Summary'!$BZ$6:$CB$63,2,FALSE),"")</f>
        <v/>
      </c>
      <c r="AA1241" s="45" t="str">
        <f>IFERROR(VLOOKUP(B1241,'Pre-Summary'!$CG$6:$CI$70,2,FALSE),"")</f>
        <v/>
      </c>
      <c r="AB1241" s="99">
        <f>IFERROR(VLOOKUP(B1241,'Pre-Summary'!$A$6:$P$178,9,FALSE),AB1242)</f>
        <v>0.29854506098972833</v>
      </c>
      <c r="AC1241" s="10">
        <f>IFERROR(VLOOKUP(Summary!B1241,'Pre-Summary'!$A$6:$P$184,5, FALSE)/100,AC1242)</f>
        <v>0.96409233333333344</v>
      </c>
      <c r="AD1241" s="10">
        <f>IFERROR(VLOOKUP(Summary!B1241,'Pre-Summary'!$A$6:$P$184,3, FALSE)/100,AD1242)</f>
        <v>7.5420000000000001E-3</v>
      </c>
      <c r="AE1241" s="10">
        <f>IFERROR(VLOOKUP(Summary!B1241,'Pre-Summary'!$A$6:$P$184,7, FALSE)/100,AE1242)</f>
        <v>2.8365666666666668E-2</v>
      </c>
      <c r="AF1241" s="99">
        <f t="shared" si="58"/>
        <v>2.2516268499845312E-3</v>
      </c>
      <c r="AG1241" s="99">
        <f t="shared" si="59"/>
        <v>8.4684296850143035E-3</v>
      </c>
      <c r="AH1241" s="10" t="str">
        <f>IFERROR(VLOOKUP(B1241,'Pre-Summary'!$AZ$6:$BE$65,3,FALSE),"")</f>
        <v/>
      </c>
      <c r="AI1241" s="10" t="str">
        <f>IFERROR(VLOOKUP(B1241,'Pre-Summary'!$AZ$6:$BE$65,5,FALSE),"")</f>
        <v/>
      </c>
      <c r="AJ1241" s="10" t="str">
        <f>IFERROR(VLOOKUP(B1241,'Pre-Summary'!$AZ$6:$BE$65,4,FALSE),"")</f>
        <v/>
      </c>
      <c r="AK1241" s="10" t="str">
        <f>IFERROR(VLOOKUP(B1241,'Pre-Summary'!$AZ$6:$BE$65,6,FALSE),"")</f>
        <v/>
      </c>
      <c r="AL1241" s="10" t="str">
        <f>IFERROR(VLOOKUP(B1241,'Pre-Summary'!$BG$6:$BL$44,3,FALSE),"")</f>
        <v/>
      </c>
      <c r="AM1241" s="10" t="str">
        <f>IFERROR(VLOOKUP(B1241,'Pre-Summary'!$BG$6:$BL$44,4,FALSE),"")</f>
        <v/>
      </c>
    </row>
    <row r="1242" spans="2:39" ht="15" customHeight="1" x14ac:dyDescent="0.3">
      <c r="B1242">
        <v>123.9</v>
      </c>
      <c r="C1242" t="str">
        <f>IFERROR(VLOOKUP(B1242,'Pre-Summary'!$DI$6:$DM$23,4,FALSE),"")</f>
        <v/>
      </c>
      <c r="D1242" s="10" t="str">
        <f>IFERROR(VLOOKUP(B1242,'Pre-Summary'!$AT$6:$AX$14,5,FALSE),D1241)</f>
        <v>DSMZ v4: dropped out methanol</v>
      </c>
      <c r="E1242" s="10" t="str">
        <f>IFERROR(VLOOKUP(B1242,'Pre-Summary'!$AT$6:$AX$15,4,FALSE),"")</f>
        <v/>
      </c>
      <c r="F1242">
        <f>IFERROR(VLOOKUP(B1242,'Pre-Summary'!$AL$6:$AQ$13,6,FALSE),F1241)</f>
        <v>5.9405263157894746E-2</v>
      </c>
      <c r="G1242" t="str">
        <f>IFERROR(VLOOKUP(B1242,'Pre-Summary'!$AE$6:$AJ$85,3,FALSE),"")</f>
        <v/>
      </c>
      <c r="H1242" t="str">
        <f>IFERROR(VLOOKUP(B1242,'Pre-Summary'!$AE$6:$AJ$85,4,FALSE),"")</f>
        <v/>
      </c>
      <c r="I1242" t="str">
        <f>IFERROR(VLOOKUP(B1242,'Pre-Summary'!$AE$6:$AJ$85,5,FALSE),"")</f>
        <v/>
      </c>
      <c r="J1242" s="45" t="str">
        <f>IFERROR(VLOOKUP(B1242,'Pre-Summary'!$AE$6:$AJ$85,6, FALSE),"")</f>
        <v/>
      </c>
      <c r="K1242" s="45" t="str">
        <f>IFERROR(VLOOKUP(B1242,'Pre-Summary'!$DE$6:$DG$61,3,FALSE),"")</f>
        <v/>
      </c>
      <c r="L1242" s="45" t="str">
        <f>IFERROR(VLOOKUP(B1242,'Pre-Summary'!$CU$6:$CW$36,3,FALSE),"")</f>
        <v/>
      </c>
      <c r="M1242" s="45" t="str">
        <f>IFERROR(VLOOKUP(B1242,'Pre-Summary'!$BW$6:$BY$58,2,FALSE),"")</f>
        <v/>
      </c>
      <c r="N1242" s="45" t="str">
        <f>IFERROR(VLOOKUP(B1242,'Pre-Summary'!$CD$6:$CF$64,2,FALSE),"")</f>
        <v/>
      </c>
      <c r="O1242" s="99">
        <f>IFERROR(VLOOKUP(B1242,'Pre-Summary'!$BO$6:$BQ$48,3, FALSE),O1241)</f>
        <v>1.2</v>
      </c>
      <c r="P1242" s="99">
        <f>IFERROR(VLOOKUP(B1242,'Pre-Summary'!$BS$6:$BU$35,3,FALSE),P1241)</f>
        <v>0.3</v>
      </c>
      <c r="Q1242" s="54">
        <f t="shared" si="57"/>
        <v>4</v>
      </c>
      <c r="R1242" s="53">
        <f>IFERROR(VLOOKUP(B1242,'Pre-Summary'!$BG$6:$BM$44,7,FALSE),R1243)</f>
        <v>7.6574939085447311E-2</v>
      </c>
      <c r="S1242" s="53">
        <f>IFERROR(VLOOKUP(B1242,'Pre-Summary'!$BG$6:$BM$44,6,FALSE),S1243)</f>
        <v>6.8761751275839902E-2</v>
      </c>
      <c r="T1242" s="45" t="str">
        <f>IFERROR(VLOOKUP(B1242,'Pre-Summary'!$Y$6:$AC$83, 3,FALSE),"")</f>
        <v/>
      </c>
      <c r="U1242" s="45" t="str">
        <f>IFERROR(VLOOKUP(B1242,'Pre-Summary'!$Y$6:$AC$83, 4,FALSE),"")</f>
        <v/>
      </c>
      <c r="V1242" t="str">
        <f>IFERROR(VLOOKUP(B1242,'Pre-Summary'!$Y$6:$AC$83, 5,FALSE),"")</f>
        <v/>
      </c>
      <c r="W1242" s="45" t="str">
        <f>IFERROR(VLOOKUP(B1242,'Pre-Summary'!$Y$6:$AD$83,6,FALSE),"")</f>
        <v/>
      </c>
      <c r="X1242" t="str">
        <f>IFERROR(VLOOKUP('Pre-Summary'!$DB$6:$DD$63,3,FALSE),"")</f>
        <v/>
      </c>
      <c r="Y1242" t="str">
        <f>IFERROR(VLOOKUP(B1242,'Pre-Summary'!$CR$6:$CT$36,3,FALSE),"")</f>
        <v/>
      </c>
      <c r="Z1242" s="45" t="str">
        <f>IFERROR(VLOOKUP(B1242,'Pre-Summary'!$BZ$6:$CB$63,2,FALSE),"")</f>
        <v/>
      </c>
      <c r="AA1242" s="45" t="str">
        <f>IFERROR(VLOOKUP(B1242,'Pre-Summary'!$CG$6:$CI$70,2,FALSE),"")</f>
        <v/>
      </c>
      <c r="AB1242" s="99">
        <f>IFERROR(VLOOKUP(B1242,'Pre-Summary'!$A$6:$P$178,9,FALSE),AB1243)</f>
        <v>0.29854506098972833</v>
      </c>
      <c r="AC1242" s="10">
        <f>IFERROR(VLOOKUP(Summary!B1242,'Pre-Summary'!$A$6:$P$184,5, FALSE)/100,AC1243)</f>
        <v>0.96409233333333344</v>
      </c>
      <c r="AD1242" s="10">
        <f>IFERROR(VLOOKUP(Summary!B1242,'Pre-Summary'!$A$6:$P$184,3, FALSE)/100,AD1243)</f>
        <v>7.5420000000000001E-3</v>
      </c>
      <c r="AE1242" s="10">
        <f>IFERROR(VLOOKUP(Summary!B1242,'Pre-Summary'!$A$6:$P$184,7, FALSE)/100,AE1243)</f>
        <v>2.8365666666666668E-2</v>
      </c>
      <c r="AF1242" s="99">
        <f t="shared" si="58"/>
        <v>2.2516268499845312E-3</v>
      </c>
      <c r="AG1242" s="99">
        <f t="shared" si="59"/>
        <v>8.4684296850143035E-3</v>
      </c>
      <c r="AH1242" s="10" t="str">
        <f>IFERROR(VLOOKUP(B1242,'Pre-Summary'!$AZ$6:$BE$65,3,FALSE),"")</f>
        <v/>
      </c>
      <c r="AI1242" s="10" t="str">
        <f>IFERROR(VLOOKUP(B1242,'Pre-Summary'!$AZ$6:$BE$65,5,FALSE),"")</f>
        <v/>
      </c>
      <c r="AJ1242" s="10" t="str">
        <f>IFERROR(VLOOKUP(B1242,'Pre-Summary'!$AZ$6:$BE$65,4,FALSE),"")</f>
        <v/>
      </c>
      <c r="AK1242" s="10" t="str">
        <f>IFERROR(VLOOKUP(B1242,'Pre-Summary'!$AZ$6:$BE$65,6,FALSE),"")</f>
        <v/>
      </c>
      <c r="AL1242" s="10" t="str">
        <f>IFERROR(VLOOKUP(B1242,'Pre-Summary'!$BG$6:$BL$44,3,FALSE),"")</f>
        <v/>
      </c>
      <c r="AM1242" s="10" t="str">
        <f>IFERROR(VLOOKUP(B1242,'Pre-Summary'!$BG$6:$BL$44,4,FALSE),"")</f>
        <v/>
      </c>
    </row>
    <row r="1243" spans="2:39" ht="15" customHeight="1" x14ac:dyDescent="0.3">
      <c r="B1243">
        <v>124</v>
      </c>
      <c r="C1243" t="str">
        <f>IFERROR(VLOOKUP(B1243,'Pre-Summary'!$DI$6:$DM$23,4,FALSE),"")</f>
        <v/>
      </c>
      <c r="D1243" s="10" t="str">
        <f>IFERROR(VLOOKUP(B1243,'Pre-Summary'!$AT$6:$AX$14,5,FALSE),D1242)</f>
        <v>DSMZ v4: dropped out methanol</v>
      </c>
      <c r="E1243" s="10" t="str">
        <f>IFERROR(VLOOKUP(B1243,'Pre-Summary'!$AT$6:$AX$15,4,FALSE),"")</f>
        <v/>
      </c>
      <c r="F1243">
        <f>IFERROR(VLOOKUP(B1243,'Pre-Summary'!$AL$6:$AQ$13,6,FALSE),F1242)</f>
        <v>5.9405263157894746E-2</v>
      </c>
      <c r="G1243" t="str">
        <f>IFERROR(VLOOKUP(B1243,'Pre-Summary'!$AE$6:$AJ$85,3,FALSE),"")</f>
        <v/>
      </c>
      <c r="H1243" t="str">
        <f>IFERROR(VLOOKUP(B1243,'Pre-Summary'!$AE$6:$AJ$85,4,FALSE),"")</f>
        <v/>
      </c>
      <c r="I1243" t="str">
        <f>IFERROR(VLOOKUP(B1243,'Pre-Summary'!$AE$6:$AJ$85,5,FALSE),"")</f>
        <v/>
      </c>
      <c r="J1243" s="45" t="str">
        <f>IFERROR(VLOOKUP(B1243,'Pre-Summary'!$AE$6:$AJ$85,6, FALSE),"")</f>
        <v/>
      </c>
      <c r="K1243" s="45" t="str">
        <f>IFERROR(VLOOKUP(B1243,'Pre-Summary'!$DE$6:$DG$61,3,FALSE),"")</f>
        <v/>
      </c>
      <c r="L1243" s="45" t="str">
        <f>IFERROR(VLOOKUP(B1243,'Pre-Summary'!$CU$6:$CW$36,3,FALSE),"")</f>
        <v/>
      </c>
      <c r="M1243" s="45" t="str">
        <f>IFERROR(VLOOKUP(B1243,'Pre-Summary'!$BW$6:$BY$58,2,FALSE),"")</f>
        <v/>
      </c>
      <c r="N1243" s="45" t="str">
        <f>IFERROR(VLOOKUP(B1243,'Pre-Summary'!$CD$6:$CF$64,2,FALSE),"")</f>
        <v/>
      </c>
      <c r="O1243" s="99">
        <f>IFERROR(VLOOKUP(B1243,'Pre-Summary'!$BO$6:$BQ$48,3, FALSE),O1242)</f>
        <v>1.2</v>
      </c>
      <c r="P1243" s="99">
        <f>IFERROR(VLOOKUP(B1243,'Pre-Summary'!$BS$6:$BU$35,3,FALSE),P1242)</f>
        <v>0.3</v>
      </c>
      <c r="Q1243" s="54">
        <f t="shared" si="57"/>
        <v>4</v>
      </c>
      <c r="R1243" s="53">
        <f>IFERROR(VLOOKUP(B1243,'Pre-Summary'!$BG$6:$BM$44,7,FALSE),R1244)</f>
        <v>7.6574939085447311E-2</v>
      </c>
      <c r="S1243" s="53">
        <f>IFERROR(VLOOKUP(B1243,'Pre-Summary'!$BG$6:$BM$44,6,FALSE),S1244)</f>
        <v>6.8761751275839902E-2</v>
      </c>
      <c r="T1243" s="45" t="str">
        <f>IFERROR(VLOOKUP(B1243,'Pre-Summary'!$Y$6:$AC$83, 3,FALSE),"")</f>
        <v/>
      </c>
      <c r="U1243" s="45" t="str">
        <f>IFERROR(VLOOKUP(B1243,'Pre-Summary'!$Y$6:$AC$83, 4,FALSE),"")</f>
        <v/>
      </c>
      <c r="V1243" t="str">
        <f>IFERROR(VLOOKUP(B1243,'Pre-Summary'!$Y$6:$AC$83, 5,FALSE),"")</f>
        <v/>
      </c>
      <c r="W1243" s="45" t="str">
        <f>IFERROR(VLOOKUP(B1243,'Pre-Summary'!$Y$6:$AD$83,6,FALSE),"")</f>
        <v/>
      </c>
      <c r="X1243" t="str">
        <f>IFERROR(VLOOKUP('Pre-Summary'!$DB$6:$DD$63,3,FALSE),"")</f>
        <v/>
      </c>
      <c r="Y1243" t="str">
        <f>IFERROR(VLOOKUP(B1243,'Pre-Summary'!$CR$6:$CT$36,3,FALSE),"")</f>
        <v/>
      </c>
      <c r="Z1243" s="45" t="str">
        <f>IFERROR(VLOOKUP(B1243,'Pre-Summary'!$BZ$6:$CB$63,2,FALSE),"")</f>
        <v/>
      </c>
      <c r="AA1243" s="45" t="str">
        <f>IFERROR(VLOOKUP(B1243,'Pre-Summary'!$CG$6:$CI$70,2,FALSE),"")</f>
        <v/>
      </c>
      <c r="AB1243" s="99">
        <f>IFERROR(VLOOKUP(B1243,'Pre-Summary'!$A$6:$P$178,9,FALSE),AB1244)</f>
        <v>0.29854506098972833</v>
      </c>
      <c r="AC1243" s="10">
        <f>IFERROR(VLOOKUP(Summary!B1243,'Pre-Summary'!$A$6:$P$184,5, FALSE)/100,AC1244)</f>
        <v>0.96409233333333344</v>
      </c>
      <c r="AD1243" s="10">
        <f>IFERROR(VLOOKUP(Summary!B1243,'Pre-Summary'!$A$6:$P$184,3, FALSE)/100,AD1244)</f>
        <v>7.5420000000000001E-3</v>
      </c>
      <c r="AE1243" s="10">
        <f>IFERROR(VLOOKUP(Summary!B1243,'Pre-Summary'!$A$6:$P$184,7, FALSE)/100,AE1244)</f>
        <v>2.8365666666666668E-2</v>
      </c>
      <c r="AF1243" s="99">
        <f t="shared" si="58"/>
        <v>2.2516268499845312E-3</v>
      </c>
      <c r="AG1243" s="99">
        <f t="shared" si="59"/>
        <v>8.4684296850143035E-3</v>
      </c>
      <c r="AH1243" s="10" t="str">
        <f>IFERROR(VLOOKUP(B1243,'Pre-Summary'!$AZ$6:$BE$65,3,FALSE),"")</f>
        <v/>
      </c>
      <c r="AI1243" s="10" t="str">
        <f>IFERROR(VLOOKUP(B1243,'Pre-Summary'!$AZ$6:$BE$65,5,FALSE),"")</f>
        <v/>
      </c>
      <c r="AJ1243" s="10" t="str">
        <f>IFERROR(VLOOKUP(B1243,'Pre-Summary'!$AZ$6:$BE$65,4,FALSE),"")</f>
        <v/>
      </c>
      <c r="AK1243" s="10" t="str">
        <f>IFERROR(VLOOKUP(B1243,'Pre-Summary'!$AZ$6:$BE$65,6,FALSE),"")</f>
        <v/>
      </c>
      <c r="AL1243" s="10" t="str">
        <f>IFERROR(VLOOKUP(B1243,'Pre-Summary'!$BG$6:$BL$44,3,FALSE),"")</f>
        <v/>
      </c>
      <c r="AM1243" s="10" t="str">
        <f>IFERROR(VLOOKUP(B1243,'Pre-Summary'!$BG$6:$BL$44,4,FALSE),"")</f>
        <v/>
      </c>
    </row>
    <row r="1244" spans="2:39" ht="15" customHeight="1" x14ac:dyDescent="0.3">
      <c r="B1244">
        <v>124.1</v>
      </c>
      <c r="C1244" t="str">
        <f>IFERROR(VLOOKUP(B1244,'Pre-Summary'!$DI$6:$DM$23,4,FALSE),"")</f>
        <v/>
      </c>
      <c r="D1244" s="10" t="str">
        <f>IFERROR(VLOOKUP(B1244,'Pre-Summary'!$AT$6:$AX$14,5,FALSE),D1243)</f>
        <v>DSMZ v4: dropped out methanol</v>
      </c>
      <c r="E1244" s="10" t="str">
        <f>IFERROR(VLOOKUP(B1244,'Pre-Summary'!$AT$6:$AX$15,4,FALSE),"")</f>
        <v/>
      </c>
      <c r="F1244">
        <f>IFERROR(VLOOKUP(B1244,'Pre-Summary'!$AL$6:$AQ$13,6,FALSE),F1243)</f>
        <v>5.9405263157894746E-2</v>
      </c>
      <c r="G1244" t="str">
        <f>IFERROR(VLOOKUP(B1244,'Pre-Summary'!$AE$6:$AJ$85,3,FALSE),"")</f>
        <v/>
      </c>
      <c r="H1244" t="str">
        <f>IFERROR(VLOOKUP(B1244,'Pre-Summary'!$AE$6:$AJ$85,4,FALSE),"")</f>
        <v/>
      </c>
      <c r="I1244" t="str">
        <f>IFERROR(VLOOKUP(B1244,'Pre-Summary'!$AE$6:$AJ$85,5,FALSE),"")</f>
        <v/>
      </c>
      <c r="J1244" s="45" t="str">
        <f>IFERROR(VLOOKUP(B1244,'Pre-Summary'!$AE$6:$AJ$85,6, FALSE),"")</f>
        <v/>
      </c>
      <c r="K1244" s="45" t="str">
        <f>IFERROR(VLOOKUP(B1244,'Pre-Summary'!$DE$6:$DG$61,3,FALSE),"")</f>
        <v/>
      </c>
      <c r="L1244" s="45" t="str">
        <f>IFERROR(VLOOKUP(B1244,'Pre-Summary'!$CU$6:$CW$36,3,FALSE),"")</f>
        <v/>
      </c>
      <c r="M1244" s="45" t="str">
        <f>IFERROR(VLOOKUP(B1244,'Pre-Summary'!$BW$6:$BY$58,2,FALSE),"")</f>
        <v/>
      </c>
      <c r="N1244" s="45" t="str">
        <f>IFERROR(VLOOKUP(B1244,'Pre-Summary'!$CD$6:$CF$64,2,FALSE),"")</f>
        <v/>
      </c>
      <c r="O1244" s="99">
        <f>IFERROR(VLOOKUP(B1244,'Pre-Summary'!$BO$6:$BQ$48,3, FALSE),O1243)</f>
        <v>1.2</v>
      </c>
      <c r="P1244" s="99">
        <f>IFERROR(VLOOKUP(B1244,'Pre-Summary'!$BS$6:$BU$35,3,FALSE),P1243)</f>
        <v>0.3</v>
      </c>
      <c r="Q1244" s="54">
        <f t="shared" si="57"/>
        <v>4</v>
      </c>
      <c r="R1244" s="53">
        <f>IFERROR(VLOOKUP(B1244,'Pre-Summary'!$BG$6:$BM$44,7,FALSE),R1245)</f>
        <v>7.6574939085447311E-2</v>
      </c>
      <c r="S1244" s="53">
        <f>IFERROR(VLOOKUP(B1244,'Pre-Summary'!$BG$6:$BM$44,6,FALSE),S1245)</f>
        <v>6.8761751275839902E-2</v>
      </c>
      <c r="T1244" s="45" t="str">
        <f>IFERROR(VLOOKUP(B1244,'Pre-Summary'!$Y$6:$AC$83, 3,FALSE),"")</f>
        <v/>
      </c>
      <c r="U1244" s="45" t="str">
        <f>IFERROR(VLOOKUP(B1244,'Pre-Summary'!$Y$6:$AC$83, 4,FALSE),"")</f>
        <v/>
      </c>
      <c r="V1244" t="str">
        <f>IFERROR(VLOOKUP(B1244,'Pre-Summary'!$Y$6:$AC$83, 5,FALSE),"")</f>
        <v/>
      </c>
      <c r="W1244" s="45" t="str">
        <f>IFERROR(VLOOKUP(B1244,'Pre-Summary'!$Y$6:$AD$83,6,FALSE),"")</f>
        <v/>
      </c>
      <c r="X1244" t="str">
        <f>IFERROR(VLOOKUP('Pre-Summary'!$DB$6:$DD$63,3,FALSE),"")</f>
        <v/>
      </c>
      <c r="Y1244" t="str">
        <f>IFERROR(VLOOKUP(B1244,'Pre-Summary'!$CR$6:$CT$36,3,FALSE),"")</f>
        <v/>
      </c>
      <c r="Z1244" s="45" t="str">
        <f>IFERROR(VLOOKUP(B1244,'Pre-Summary'!$BZ$6:$CB$63,2,FALSE),"")</f>
        <v/>
      </c>
      <c r="AA1244" s="45" t="str">
        <f>IFERROR(VLOOKUP(B1244,'Pre-Summary'!$CG$6:$CI$70,2,FALSE),"")</f>
        <v/>
      </c>
      <c r="AB1244" s="99">
        <f>IFERROR(VLOOKUP(B1244,'Pre-Summary'!$A$6:$P$178,9,FALSE),AB1245)</f>
        <v>0.29854506098972833</v>
      </c>
      <c r="AC1244" s="10">
        <f>IFERROR(VLOOKUP(Summary!B1244,'Pre-Summary'!$A$6:$P$184,5, FALSE)/100,AC1245)</f>
        <v>0.96409233333333344</v>
      </c>
      <c r="AD1244" s="10">
        <f>IFERROR(VLOOKUP(Summary!B1244,'Pre-Summary'!$A$6:$P$184,3, FALSE)/100,AD1245)</f>
        <v>7.5420000000000001E-3</v>
      </c>
      <c r="AE1244" s="10">
        <f>IFERROR(VLOOKUP(Summary!B1244,'Pre-Summary'!$A$6:$P$184,7, FALSE)/100,AE1245)</f>
        <v>2.8365666666666668E-2</v>
      </c>
      <c r="AF1244" s="99">
        <f t="shared" si="58"/>
        <v>2.2516268499845312E-3</v>
      </c>
      <c r="AG1244" s="99">
        <f t="shared" si="59"/>
        <v>8.4684296850143035E-3</v>
      </c>
      <c r="AH1244" s="10" t="str">
        <f>IFERROR(VLOOKUP(B1244,'Pre-Summary'!$AZ$6:$BE$65,3,FALSE),"")</f>
        <v/>
      </c>
      <c r="AI1244" s="10" t="str">
        <f>IFERROR(VLOOKUP(B1244,'Pre-Summary'!$AZ$6:$BE$65,5,FALSE),"")</f>
        <v/>
      </c>
      <c r="AJ1244" s="10" t="str">
        <f>IFERROR(VLOOKUP(B1244,'Pre-Summary'!$AZ$6:$BE$65,4,FALSE),"")</f>
        <v/>
      </c>
      <c r="AK1244" s="10" t="str">
        <f>IFERROR(VLOOKUP(B1244,'Pre-Summary'!$AZ$6:$BE$65,6,FALSE),"")</f>
        <v/>
      </c>
      <c r="AL1244" s="10" t="str">
        <f>IFERROR(VLOOKUP(B1244,'Pre-Summary'!$BG$6:$BL$44,3,FALSE),"")</f>
        <v/>
      </c>
      <c r="AM1244" s="10" t="str">
        <f>IFERROR(VLOOKUP(B1244,'Pre-Summary'!$BG$6:$BL$44,4,FALSE),"")</f>
        <v/>
      </c>
    </row>
    <row r="1245" spans="2:39" ht="15" customHeight="1" x14ac:dyDescent="0.3">
      <c r="B1245">
        <v>124.2</v>
      </c>
      <c r="C1245" t="str">
        <f>IFERROR(VLOOKUP(B1245,'Pre-Summary'!$DI$6:$DM$23,4,FALSE),"")</f>
        <v/>
      </c>
      <c r="D1245" s="10" t="str">
        <f>IFERROR(VLOOKUP(B1245,'Pre-Summary'!$AT$6:$AX$14,5,FALSE),D1244)</f>
        <v>DSMZ v4: dropped out methanol</v>
      </c>
      <c r="E1245" s="10" t="str">
        <f>IFERROR(VLOOKUP(B1245,'Pre-Summary'!$AT$6:$AX$15,4,FALSE),"")</f>
        <v/>
      </c>
      <c r="F1245">
        <f>IFERROR(VLOOKUP(B1245,'Pre-Summary'!$AL$6:$AQ$13,6,FALSE),F1244)</f>
        <v>5.9405263157894746E-2</v>
      </c>
      <c r="G1245" t="str">
        <f>IFERROR(VLOOKUP(B1245,'Pre-Summary'!$AE$6:$AJ$85,3,FALSE),"")</f>
        <v/>
      </c>
      <c r="H1245" t="str">
        <f>IFERROR(VLOOKUP(B1245,'Pre-Summary'!$AE$6:$AJ$85,4,FALSE),"")</f>
        <v/>
      </c>
      <c r="I1245" t="str">
        <f>IFERROR(VLOOKUP(B1245,'Pre-Summary'!$AE$6:$AJ$85,5,FALSE),"")</f>
        <v/>
      </c>
      <c r="J1245" s="45" t="str">
        <f>IFERROR(VLOOKUP(B1245,'Pre-Summary'!$AE$6:$AJ$85,6, FALSE),"")</f>
        <v/>
      </c>
      <c r="K1245" s="45" t="str">
        <f>IFERROR(VLOOKUP(B1245,'Pre-Summary'!$DE$6:$DG$61,3,FALSE),"")</f>
        <v/>
      </c>
      <c r="L1245" s="45" t="str">
        <f>IFERROR(VLOOKUP(B1245,'Pre-Summary'!$CU$6:$CW$36,3,FALSE),"")</f>
        <v/>
      </c>
      <c r="M1245" s="45" t="str">
        <f>IFERROR(VLOOKUP(B1245,'Pre-Summary'!$BW$6:$BY$58,2,FALSE),"")</f>
        <v/>
      </c>
      <c r="N1245" s="45" t="str">
        <f>IFERROR(VLOOKUP(B1245,'Pre-Summary'!$CD$6:$CF$64,2,FALSE),"")</f>
        <v/>
      </c>
      <c r="O1245" s="99">
        <f>IFERROR(VLOOKUP(B1245,'Pre-Summary'!$BO$6:$BQ$48,3, FALSE),O1244)</f>
        <v>1.2</v>
      </c>
      <c r="P1245" s="99">
        <f>IFERROR(VLOOKUP(B1245,'Pre-Summary'!$BS$6:$BU$35,3,FALSE),P1244)</f>
        <v>0.3</v>
      </c>
      <c r="Q1245" s="54">
        <f t="shared" si="57"/>
        <v>4</v>
      </c>
      <c r="R1245" s="53">
        <f>IFERROR(VLOOKUP(B1245,'Pre-Summary'!$BG$6:$BM$44,7,FALSE),R1246)</f>
        <v>7.6574939085447311E-2</v>
      </c>
      <c r="S1245" s="53">
        <f>IFERROR(VLOOKUP(B1245,'Pre-Summary'!$BG$6:$BM$44,6,FALSE),S1246)</f>
        <v>6.8761751275839902E-2</v>
      </c>
      <c r="T1245" s="45" t="str">
        <f>IFERROR(VLOOKUP(B1245,'Pre-Summary'!$Y$6:$AC$83, 3,FALSE),"")</f>
        <v/>
      </c>
      <c r="U1245" s="45" t="str">
        <f>IFERROR(VLOOKUP(B1245,'Pre-Summary'!$Y$6:$AC$83, 4,FALSE),"")</f>
        <v/>
      </c>
      <c r="V1245" t="str">
        <f>IFERROR(VLOOKUP(B1245,'Pre-Summary'!$Y$6:$AC$83, 5,FALSE),"")</f>
        <v/>
      </c>
      <c r="W1245" s="45" t="str">
        <f>IFERROR(VLOOKUP(B1245,'Pre-Summary'!$Y$6:$AD$83,6,FALSE),"")</f>
        <v/>
      </c>
      <c r="X1245" t="str">
        <f>IFERROR(VLOOKUP('Pre-Summary'!$DB$6:$DD$63,3,FALSE),"")</f>
        <v/>
      </c>
      <c r="Y1245" t="str">
        <f>IFERROR(VLOOKUP(B1245,'Pre-Summary'!$CR$6:$CT$36,3,FALSE),"")</f>
        <v/>
      </c>
      <c r="Z1245" s="45" t="str">
        <f>IFERROR(VLOOKUP(B1245,'Pre-Summary'!$BZ$6:$CB$63,2,FALSE),"")</f>
        <v/>
      </c>
      <c r="AA1245" s="45" t="str">
        <f>IFERROR(VLOOKUP(B1245,'Pre-Summary'!$CG$6:$CI$70,2,FALSE),"")</f>
        <v/>
      </c>
      <c r="AB1245" s="99">
        <f>IFERROR(VLOOKUP(B1245,'Pre-Summary'!$A$6:$P$178,9,FALSE),AB1246)</f>
        <v>0.29854506098972833</v>
      </c>
      <c r="AC1245" s="10">
        <f>IFERROR(VLOOKUP(Summary!B1245,'Pre-Summary'!$A$6:$P$184,5, FALSE)/100,AC1246)</f>
        <v>0.96409233333333344</v>
      </c>
      <c r="AD1245" s="10">
        <f>IFERROR(VLOOKUP(Summary!B1245,'Pre-Summary'!$A$6:$P$184,3, FALSE)/100,AD1246)</f>
        <v>7.5420000000000001E-3</v>
      </c>
      <c r="AE1245" s="10">
        <f>IFERROR(VLOOKUP(Summary!B1245,'Pre-Summary'!$A$6:$P$184,7, FALSE)/100,AE1246)</f>
        <v>2.8365666666666668E-2</v>
      </c>
      <c r="AF1245" s="99">
        <f t="shared" si="58"/>
        <v>2.2516268499845312E-3</v>
      </c>
      <c r="AG1245" s="99">
        <f t="shared" si="59"/>
        <v>8.4684296850143035E-3</v>
      </c>
      <c r="AH1245" s="10" t="str">
        <f>IFERROR(VLOOKUP(B1245,'Pre-Summary'!$AZ$6:$BE$65,3,FALSE),"")</f>
        <v/>
      </c>
      <c r="AI1245" s="10" t="str">
        <f>IFERROR(VLOOKUP(B1245,'Pre-Summary'!$AZ$6:$BE$65,5,FALSE),"")</f>
        <v/>
      </c>
      <c r="AJ1245" s="10" t="str">
        <f>IFERROR(VLOOKUP(B1245,'Pre-Summary'!$AZ$6:$BE$65,4,FALSE),"")</f>
        <v/>
      </c>
      <c r="AK1245" s="10" t="str">
        <f>IFERROR(VLOOKUP(B1245,'Pre-Summary'!$AZ$6:$BE$65,6,FALSE),"")</f>
        <v/>
      </c>
      <c r="AL1245" s="10" t="str">
        <f>IFERROR(VLOOKUP(B1245,'Pre-Summary'!$BG$6:$BL$44,3,FALSE),"")</f>
        <v/>
      </c>
      <c r="AM1245" s="10" t="str">
        <f>IFERROR(VLOOKUP(B1245,'Pre-Summary'!$BG$6:$BL$44,4,FALSE),"")</f>
        <v/>
      </c>
    </row>
    <row r="1246" spans="2:39" ht="15" customHeight="1" x14ac:dyDescent="0.3">
      <c r="B1246">
        <v>124.3</v>
      </c>
      <c r="C1246" t="str">
        <f>IFERROR(VLOOKUP(B1246,'Pre-Summary'!$DI$6:$DM$23,4,FALSE),"")</f>
        <v/>
      </c>
      <c r="D1246" s="10" t="str">
        <f>IFERROR(VLOOKUP(B1246,'Pre-Summary'!$AT$6:$AX$14,5,FALSE),D1245)</f>
        <v>DSMZ v4: dropped out methanol</v>
      </c>
      <c r="E1246" s="10" t="str">
        <f>IFERROR(VLOOKUP(B1246,'Pre-Summary'!$AT$6:$AX$15,4,FALSE),"")</f>
        <v/>
      </c>
      <c r="F1246">
        <f>IFERROR(VLOOKUP(B1246,'Pre-Summary'!$AL$6:$AQ$13,6,FALSE),F1245)</f>
        <v>5.9405263157894746E-2</v>
      </c>
      <c r="G1246" t="str">
        <f>IFERROR(VLOOKUP(B1246,'Pre-Summary'!$AE$6:$AJ$85,3,FALSE),"")</f>
        <v/>
      </c>
      <c r="H1246" t="str">
        <f>IFERROR(VLOOKUP(B1246,'Pre-Summary'!$AE$6:$AJ$85,4,FALSE),"")</f>
        <v/>
      </c>
      <c r="I1246" t="str">
        <f>IFERROR(VLOOKUP(B1246,'Pre-Summary'!$AE$6:$AJ$85,5,FALSE),"")</f>
        <v/>
      </c>
      <c r="J1246" s="45" t="str">
        <f>IFERROR(VLOOKUP(B1246,'Pre-Summary'!$AE$6:$AJ$85,6, FALSE),"")</f>
        <v/>
      </c>
      <c r="K1246" s="45" t="str">
        <f>IFERROR(VLOOKUP(B1246,'Pre-Summary'!$DE$6:$DG$61,3,FALSE),"")</f>
        <v/>
      </c>
      <c r="L1246" s="45" t="str">
        <f>IFERROR(VLOOKUP(B1246,'Pre-Summary'!$CU$6:$CW$36,3,FALSE),"")</f>
        <v/>
      </c>
      <c r="M1246" s="45" t="str">
        <f>IFERROR(VLOOKUP(B1246,'Pre-Summary'!$BW$6:$BY$58,2,FALSE),"")</f>
        <v/>
      </c>
      <c r="N1246" s="45" t="str">
        <f>IFERROR(VLOOKUP(B1246,'Pre-Summary'!$CD$6:$CF$64,2,FALSE),"")</f>
        <v/>
      </c>
      <c r="O1246" s="99">
        <f>IFERROR(VLOOKUP(B1246,'Pre-Summary'!$BO$6:$BQ$48,3, FALSE),O1245)</f>
        <v>1.2</v>
      </c>
      <c r="P1246" s="99">
        <f>IFERROR(VLOOKUP(B1246,'Pre-Summary'!$BS$6:$BU$35,3,FALSE),P1245)</f>
        <v>0.3</v>
      </c>
      <c r="Q1246" s="54">
        <f t="shared" si="57"/>
        <v>4</v>
      </c>
      <c r="R1246" s="53">
        <f>IFERROR(VLOOKUP(B1246,'Pre-Summary'!$BG$6:$BM$44,7,FALSE),R1247)</f>
        <v>7.6574939085447311E-2</v>
      </c>
      <c r="S1246" s="53">
        <f>IFERROR(VLOOKUP(B1246,'Pre-Summary'!$BG$6:$BM$44,6,FALSE),S1247)</f>
        <v>6.8761751275839902E-2</v>
      </c>
      <c r="T1246" s="45" t="str">
        <f>IFERROR(VLOOKUP(B1246,'Pre-Summary'!$Y$6:$AC$83, 3,FALSE),"")</f>
        <v/>
      </c>
      <c r="U1246" s="45" t="str">
        <f>IFERROR(VLOOKUP(B1246,'Pre-Summary'!$Y$6:$AC$83, 4,FALSE),"")</f>
        <v/>
      </c>
      <c r="V1246" t="str">
        <f>IFERROR(VLOOKUP(B1246,'Pre-Summary'!$Y$6:$AC$83, 5,FALSE),"")</f>
        <v/>
      </c>
      <c r="W1246" s="45" t="str">
        <f>IFERROR(VLOOKUP(B1246,'Pre-Summary'!$Y$6:$AD$83,6,FALSE),"")</f>
        <v/>
      </c>
      <c r="X1246" t="str">
        <f>IFERROR(VLOOKUP('Pre-Summary'!$DB$6:$DD$63,3,FALSE),"")</f>
        <v/>
      </c>
      <c r="Y1246" t="str">
        <f>IFERROR(VLOOKUP(B1246,'Pre-Summary'!$CR$6:$CT$36,3,FALSE),"")</f>
        <v/>
      </c>
      <c r="Z1246" s="45" t="str">
        <f>IFERROR(VLOOKUP(B1246,'Pre-Summary'!$BZ$6:$CB$63,2,FALSE),"")</f>
        <v/>
      </c>
      <c r="AA1246" s="45" t="str">
        <f>IFERROR(VLOOKUP(B1246,'Pre-Summary'!$CG$6:$CI$70,2,FALSE),"")</f>
        <v/>
      </c>
      <c r="AB1246" s="99">
        <f>IFERROR(VLOOKUP(B1246,'Pre-Summary'!$A$6:$P$178,9,FALSE),AB1247)</f>
        <v>0.29854506098972833</v>
      </c>
      <c r="AC1246" s="10">
        <f>IFERROR(VLOOKUP(Summary!B1246,'Pre-Summary'!$A$6:$P$184,5, FALSE)/100,AC1247)</f>
        <v>0.96409233333333344</v>
      </c>
      <c r="AD1246" s="10">
        <f>IFERROR(VLOOKUP(Summary!B1246,'Pre-Summary'!$A$6:$P$184,3, FALSE)/100,AD1247)</f>
        <v>7.5420000000000001E-3</v>
      </c>
      <c r="AE1246" s="10">
        <f>IFERROR(VLOOKUP(Summary!B1246,'Pre-Summary'!$A$6:$P$184,7, FALSE)/100,AE1247)</f>
        <v>2.8365666666666668E-2</v>
      </c>
      <c r="AF1246" s="99">
        <f t="shared" si="58"/>
        <v>2.2516268499845312E-3</v>
      </c>
      <c r="AG1246" s="99">
        <f t="shared" si="59"/>
        <v>8.4684296850143035E-3</v>
      </c>
      <c r="AH1246" s="10" t="str">
        <f>IFERROR(VLOOKUP(B1246,'Pre-Summary'!$AZ$6:$BE$65,3,FALSE),"")</f>
        <v/>
      </c>
      <c r="AI1246" s="10" t="str">
        <f>IFERROR(VLOOKUP(B1246,'Pre-Summary'!$AZ$6:$BE$65,5,FALSE),"")</f>
        <v/>
      </c>
      <c r="AJ1246" s="10" t="str">
        <f>IFERROR(VLOOKUP(B1246,'Pre-Summary'!$AZ$6:$BE$65,4,FALSE),"")</f>
        <v/>
      </c>
      <c r="AK1246" s="10" t="str">
        <f>IFERROR(VLOOKUP(B1246,'Pre-Summary'!$AZ$6:$BE$65,6,FALSE),"")</f>
        <v/>
      </c>
      <c r="AL1246" s="10" t="str">
        <f>IFERROR(VLOOKUP(B1246,'Pre-Summary'!$BG$6:$BL$44,3,FALSE),"")</f>
        <v/>
      </c>
      <c r="AM1246" s="10" t="str">
        <f>IFERROR(VLOOKUP(B1246,'Pre-Summary'!$BG$6:$BL$44,4,FALSE),"")</f>
        <v/>
      </c>
    </row>
    <row r="1247" spans="2:39" ht="15" customHeight="1" x14ac:dyDescent="0.3">
      <c r="B1247">
        <v>124.4</v>
      </c>
      <c r="C1247" t="str">
        <f>IFERROR(VLOOKUP(B1247,'Pre-Summary'!$DI$6:$DM$23,4,FALSE),"")</f>
        <v/>
      </c>
      <c r="D1247" s="10" t="str">
        <f>IFERROR(VLOOKUP(B1247,'Pre-Summary'!$AT$6:$AX$14,5,FALSE),D1246)</f>
        <v>DSMZ v4: dropped out methanol</v>
      </c>
      <c r="E1247" s="10" t="str">
        <f>IFERROR(VLOOKUP(B1247,'Pre-Summary'!$AT$6:$AX$15,4,FALSE),"")</f>
        <v/>
      </c>
      <c r="F1247">
        <f>IFERROR(VLOOKUP(B1247,'Pre-Summary'!$AL$6:$AQ$13,6,FALSE),F1246)</f>
        <v>5.9405263157894746E-2</v>
      </c>
      <c r="G1247" t="str">
        <f>IFERROR(VLOOKUP(B1247,'Pre-Summary'!$AE$6:$AJ$85,3,FALSE),"")</f>
        <v/>
      </c>
      <c r="H1247" t="str">
        <f>IFERROR(VLOOKUP(B1247,'Pre-Summary'!$AE$6:$AJ$85,4,FALSE),"")</f>
        <v/>
      </c>
      <c r="I1247" t="str">
        <f>IFERROR(VLOOKUP(B1247,'Pre-Summary'!$AE$6:$AJ$85,5,FALSE),"")</f>
        <v/>
      </c>
      <c r="J1247" s="45" t="str">
        <f>IFERROR(VLOOKUP(B1247,'Pre-Summary'!$AE$6:$AJ$85,6, FALSE),"")</f>
        <v/>
      </c>
      <c r="K1247" s="45" t="str">
        <f>IFERROR(VLOOKUP(B1247,'Pre-Summary'!$DE$6:$DG$61,3,FALSE),"")</f>
        <v/>
      </c>
      <c r="L1247" s="45" t="str">
        <f>IFERROR(VLOOKUP(B1247,'Pre-Summary'!$CU$6:$CW$36,3,FALSE),"")</f>
        <v/>
      </c>
      <c r="M1247" s="45" t="str">
        <f>IFERROR(VLOOKUP(B1247,'Pre-Summary'!$BW$6:$BY$58,2,FALSE),"")</f>
        <v/>
      </c>
      <c r="N1247" s="45" t="str">
        <f>IFERROR(VLOOKUP(B1247,'Pre-Summary'!$CD$6:$CF$64,2,FALSE),"")</f>
        <v/>
      </c>
      <c r="O1247" s="99">
        <f>IFERROR(VLOOKUP(B1247,'Pre-Summary'!$BO$6:$BQ$48,3, FALSE),O1246)</f>
        <v>1.2</v>
      </c>
      <c r="P1247" s="99">
        <f>IFERROR(VLOOKUP(B1247,'Pre-Summary'!$BS$6:$BU$35,3,FALSE),P1246)</f>
        <v>0.3</v>
      </c>
      <c r="Q1247" s="54">
        <f t="shared" si="57"/>
        <v>4</v>
      </c>
      <c r="R1247" s="53">
        <f>IFERROR(VLOOKUP(B1247,'Pre-Summary'!$BG$6:$BM$44,7,FALSE),R1248)</f>
        <v>7.6574939085447311E-2</v>
      </c>
      <c r="S1247" s="53">
        <f>IFERROR(VLOOKUP(B1247,'Pre-Summary'!$BG$6:$BM$44,6,FALSE),S1248)</f>
        <v>6.8761751275839902E-2</v>
      </c>
      <c r="T1247" s="45" t="str">
        <f>IFERROR(VLOOKUP(B1247,'Pre-Summary'!$Y$6:$AC$83, 3,FALSE),"")</f>
        <v/>
      </c>
      <c r="U1247" s="45" t="str">
        <f>IFERROR(VLOOKUP(B1247,'Pre-Summary'!$Y$6:$AC$83, 4,FALSE),"")</f>
        <v/>
      </c>
      <c r="V1247" t="str">
        <f>IFERROR(VLOOKUP(B1247,'Pre-Summary'!$Y$6:$AC$83, 5,FALSE),"")</f>
        <v/>
      </c>
      <c r="W1247" s="45" t="str">
        <f>IFERROR(VLOOKUP(B1247,'Pre-Summary'!$Y$6:$AD$83,6,FALSE),"")</f>
        <v/>
      </c>
      <c r="X1247" t="str">
        <f>IFERROR(VLOOKUP('Pre-Summary'!$DB$6:$DD$63,3,FALSE),"")</f>
        <v/>
      </c>
      <c r="Y1247" t="str">
        <f>IFERROR(VLOOKUP(B1247,'Pre-Summary'!$CR$6:$CT$36,3,FALSE),"")</f>
        <v/>
      </c>
      <c r="Z1247" s="45" t="str">
        <f>IFERROR(VLOOKUP(B1247,'Pre-Summary'!$BZ$6:$CB$63,2,FALSE),"")</f>
        <v/>
      </c>
      <c r="AA1247" s="45" t="str">
        <f>IFERROR(VLOOKUP(B1247,'Pre-Summary'!$CG$6:$CI$70,2,FALSE),"")</f>
        <v/>
      </c>
      <c r="AB1247" s="99">
        <f>IFERROR(VLOOKUP(B1247,'Pre-Summary'!$A$6:$P$178,9,FALSE),AB1248)</f>
        <v>0.29854506098972833</v>
      </c>
      <c r="AC1247" s="10">
        <f>IFERROR(VLOOKUP(Summary!B1247,'Pre-Summary'!$A$6:$P$184,5, FALSE)/100,AC1248)</f>
        <v>0.96409233333333344</v>
      </c>
      <c r="AD1247" s="10">
        <f>IFERROR(VLOOKUP(Summary!B1247,'Pre-Summary'!$A$6:$P$184,3, FALSE)/100,AD1248)</f>
        <v>7.5420000000000001E-3</v>
      </c>
      <c r="AE1247" s="10">
        <f>IFERROR(VLOOKUP(Summary!B1247,'Pre-Summary'!$A$6:$P$184,7, FALSE)/100,AE1248)</f>
        <v>2.8365666666666668E-2</v>
      </c>
      <c r="AF1247" s="99">
        <f t="shared" si="58"/>
        <v>2.2516268499845312E-3</v>
      </c>
      <c r="AG1247" s="99">
        <f t="shared" si="59"/>
        <v>8.4684296850143035E-3</v>
      </c>
      <c r="AH1247" s="10" t="str">
        <f>IFERROR(VLOOKUP(B1247,'Pre-Summary'!$AZ$6:$BE$65,3,FALSE),"")</f>
        <v/>
      </c>
      <c r="AI1247" s="10" t="str">
        <f>IFERROR(VLOOKUP(B1247,'Pre-Summary'!$AZ$6:$BE$65,5,FALSE),"")</f>
        <v/>
      </c>
      <c r="AJ1247" s="10" t="str">
        <f>IFERROR(VLOOKUP(B1247,'Pre-Summary'!$AZ$6:$BE$65,4,FALSE),"")</f>
        <v/>
      </c>
      <c r="AK1247" s="10" t="str">
        <f>IFERROR(VLOOKUP(B1247,'Pre-Summary'!$AZ$6:$BE$65,6,FALSE),"")</f>
        <v/>
      </c>
      <c r="AL1247" s="10" t="str">
        <f>IFERROR(VLOOKUP(B1247,'Pre-Summary'!$BG$6:$BL$44,3,FALSE),"")</f>
        <v/>
      </c>
      <c r="AM1247" s="10" t="str">
        <f>IFERROR(VLOOKUP(B1247,'Pre-Summary'!$BG$6:$BL$44,4,FALSE),"")</f>
        <v/>
      </c>
    </row>
    <row r="1248" spans="2:39" ht="15" customHeight="1" x14ac:dyDescent="0.3">
      <c r="B1248">
        <v>124.5</v>
      </c>
      <c r="C1248" t="str">
        <f>IFERROR(VLOOKUP(B1248,'Pre-Summary'!$DI$6:$DM$23,4,FALSE),"")</f>
        <v/>
      </c>
      <c r="D1248" s="10" t="str">
        <f>IFERROR(VLOOKUP(B1248,'Pre-Summary'!$AT$6:$AX$14,5,FALSE),D1247)</f>
        <v>DSMZ v4: dropped out methanol</v>
      </c>
      <c r="E1248" s="10" t="str">
        <f>IFERROR(VLOOKUP(B1248,'Pre-Summary'!$AT$6:$AX$15,4,FALSE),"")</f>
        <v/>
      </c>
      <c r="F1248">
        <f>IFERROR(VLOOKUP(B1248,'Pre-Summary'!$AL$6:$AQ$13,6,FALSE),F1247)</f>
        <v>5.9405263157894746E-2</v>
      </c>
      <c r="G1248" t="str">
        <f>IFERROR(VLOOKUP(B1248,'Pre-Summary'!$AE$6:$AJ$85,3,FALSE),"")</f>
        <v/>
      </c>
      <c r="H1248" t="str">
        <f>IFERROR(VLOOKUP(B1248,'Pre-Summary'!$AE$6:$AJ$85,4,FALSE),"")</f>
        <v/>
      </c>
      <c r="I1248" t="str">
        <f>IFERROR(VLOOKUP(B1248,'Pre-Summary'!$AE$6:$AJ$85,5,FALSE),"")</f>
        <v/>
      </c>
      <c r="J1248" s="45" t="str">
        <f>IFERROR(VLOOKUP(B1248,'Pre-Summary'!$AE$6:$AJ$85,6, FALSE),"")</f>
        <v/>
      </c>
      <c r="K1248" s="45" t="str">
        <f>IFERROR(VLOOKUP(B1248,'Pre-Summary'!$DE$6:$DG$61,3,FALSE),"")</f>
        <v/>
      </c>
      <c r="L1248" s="45" t="str">
        <f>IFERROR(VLOOKUP(B1248,'Pre-Summary'!$CU$6:$CW$36,3,FALSE),"")</f>
        <v/>
      </c>
      <c r="M1248" s="45" t="str">
        <f>IFERROR(VLOOKUP(B1248,'Pre-Summary'!$BW$6:$BY$58,2,FALSE),"")</f>
        <v/>
      </c>
      <c r="N1248" s="45">
        <f>IFERROR(VLOOKUP(B1248,'Pre-Summary'!$CD$6:$CF$64,2,FALSE),"")</f>
        <v>434.89806025622795</v>
      </c>
      <c r="O1248" s="99">
        <f>IFERROR(VLOOKUP(B1248,'Pre-Summary'!$BO$6:$BQ$48,3, FALSE),O1247)</f>
        <v>1.2</v>
      </c>
      <c r="P1248" s="99">
        <f>IFERROR(VLOOKUP(B1248,'Pre-Summary'!$BS$6:$BU$35,3,FALSE),P1247)</f>
        <v>0.3</v>
      </c>
      <c r="Q1248" s="54">
        <f t="shared" si="57"/>
        <v>4</v>
      </c>
      <c r="R1248" s="53">
        <f>IFERROR(VLOOKUP(B1248,'Pre-Summary'!$BG$6:$BM$44,7,FALSE),R1249)</f>
        <v>7.6574939085447311E-2</v>
      </c>
      <c r="S1248" s="53">
        <f>IFERROR(VLOOKUP(B1248,'Pre-Summary'!$BG$6:$BM$44,6,FALSE),S1249)</f>
        <v>6.8761751275839902E-2</v>
      </c>
      <c r="T1248" s="45" t="str">
        <f>IFERROR(VLOOKUP(B1248,'Pre-Summary'!$Y$6:$AC$83, 3,FALSE),"")</f>
        <v/>
      </c>
      <c r="U1248" s="45" t="str">
        <f>IFERROR(VLOOKUP(B1248,'Pre-Summary'!$Y$6:$AC$83, 4,FALSE),"")</f>
        <v/>
      </c>
      <c r="V1248" t="str">
        <f>IFERROR(VLOOKUP(B1248,'Pre-Summary'!$Y$6:$AC$83, 5,FALSE),"")</f>
        <v/>
      </c>
      <c r="W1248" s="45" t="str">
        <f>IFERROR(VLOOKUP(B1248,'Pre-Summary'!$Y$6:$AD$83,6,FALSE),"")</f>
        <v/>
      </c>
      <c r="X1248" t="str">
        <f>IFERROR(VLOOKUP('Pre-Summary'!$DB$6:$DD$63,3,FALSE),"")</f>
        <v/>
      </c>
      <c r="Y1248">
        <f>IFERROR(VLOOKUP(B1248,'Pre-Summary'!$CR$6:$CT$36,3,FALSE),"")</f>
        <v>157.79999999999998</v>
      </c>
      <c r="Z1248" s="45" t="str">
        <f>IFERROR(VLOOKUP(B1248,'Pre-Summary'!$BZ$6:$CB$63,2,FALSE),"")</f>
        <v/>
      </c>
      <c r="AA1248" s="45" t="str">
        <f>IFERROR(VLOOKUP(B1248,'Pre-Summary'!$CG$6:$CI$70,2,FALSE),"")</f>
        <v/>
      </c>
      <c r="AB1248" s="99">
        <f>IFERROR(VLOOKUP(B1248,'Pre-Summary'!$A$6:$P$178,9,FALSE),AB1249)</f>
        <v>0.29854506098972833</v>
      </c>
      <c r="AC1248" s="10">
        <f>IFERROR(VLOOKUP(Summary!B1248,'Pre-Summary'!$A$6:$P$184,5, FALSE)/100,AC1249)</f>
        <v>0.96409233333333344</v>
      </c>
      <c r="AD1248" s="10">
        <f>IFERROR(VLOOKUP(Summary!B1248,'Pre-Summary'!$A$6:$P$184,3, FALSE)/100,AD1249)</f>
        <v>7.5420000000000001E-3</v>
      </c>
      <c r="AE1248" s="10">
        <f>IFERROR(VLOOKUP(Summary!B1248,'Pre-Summary'!$A$6:$P$184,7, FALSE)/100,AE1249)</f>
        <v>2.8365666666666668E-2</v>
      </c>
      <c r="AF1248" s="99">
        <f t="shared" si="58"/>
        <v>2.2516268499845312E-3</v>
      </c>
      <c r="AG1248" s="99">
        <f t="shared" si="59"/>
        <v>8.4684296850143035E-3</v>
      </c>
      <c r="AH1248" s="10" t="str">
        <f>IFERROR(VLOOKUP(B1248,'Pre-Summary'!$AZ$6:$BE$65,3,FALSE),"")</f>
        <v/>
      </c>
      <c r="AI1248" s="10" t="str">
        <f>IFERROR(VLOOKUP(B1248,'Pre-Summary'!$AZ$6:$BE$65,5,FALSE),"")</f>
        <v/>
      </c>
      <c r="AJ1248" s="10" t="str">
        <f>IFERROR(VLOOKUP(B1248,'Pre-Summary'!$AZ$6:$BE$65,4,FALSE),"")</f>
        <v/>
      </c>
      <c r="AK1248" s="10" t="str">
        <f>IFERROR(VLOOKUP(B1248,'Pre-Summary'!$AZ$6:$BE$65,6,FALSE),"")</f>
        <v/>
      </c>
      <c r="AL1248" s="10" t="str">
        <f>IFERROR(VLOOKUP(B1248,'Pre-Summary'!$BG$6:$BL$44,3,FALSE),"")</f>
        <v/>
      </c>
      <c r="AM1248" s="10" t="str">
        <f>IFERROR(VLOOKUP(B1248,'Pre-Summary'!$BG$6:$BL$44,4,FALSE),"")</f>
        <v/>
      </c>
    </row>
    <row r="1249" spans="2:39" ht="15" customHeight="1" x14ac:dyDescent="0.3">
      <c r="B1249">
        <v>124.6</v>
      </c>
      <c r="C1249" t="str">
        <f>IFERROR(VLOOKUP(B1249,'Pre-Summary'!$DI$6:$DM$23,4,FALSE),"")</f>
        <v/>
      </c>
      <c r="D1249" s="10" t="str">
        <f>IFERROR(VLOOKUP(B1249,'Pre-Summary'!$AT$6:$AX$14,5,FALSE),D1248)</f>
        <v>DSMZ v4: dropped out methanol</v>
      </c>
      <c r="E1249" s="10" t="str">
        <f>IFERROR(VLOOKUP(B1249,'Pre-Summary'!$AT$6:$AX$15,4,FALSE),"")</f>
        <v/>
      </c>
      <c r="F1249">
        <f>IFERROR(VLOOKUP(B1249,'Pre-Summary'!$AL$6:$AQ$13,6,FALSE),F1248)</f>
        <v>5.9405263157894746E-2</v>
      </c>
      <c r="G1249" t="str">
        <f>IFERROR(VLOOKUP(B1249,'Pre-Summary'!$AE$6:$AJ$85,3,FALSE),"")</f>
        <v/>
      </c>
      <c r="H1249" t="str">
        <f>IFERROR(VLOOKUP(B1249,'Pre-Summary'!$AE$6:$AJ$85,4,FALSE),"")</f>
        <v/>
      </c>
      <c r="I1249" t="str">
        <f>IFERROR(VLOOKUP(B1249,'Pre-Summary'!$AE$6:$AJ$85,5,FALSE),"")</f>
        <v/>
      </c>
      <c r="J1249" s="45" t="str">
        <f>IFERROR(VLOOKUP(B1249,'Pre-Summary'!$AE$6:$AJ$85,6, FALSE),"")</f>
        <v/>
      </c>
      <c r="K1249" s="45" t="str">
        <f>IFERROR(VLOOKUP(B1249,'Pre-Summary'!$DE$6:$DG$61,3,FALSE),"")</f>
        <v/>
      </c>
      <c r="L1249" s="45" t="str">
        <f>IFERROR(VLOOKUP(B1249,'Pre-Summary'!$CU$6:$CW$36,3,FALSE),"")</f>
        <v/>
      </c>
      <c r="M1249" s="45" t="str">
        <f>IFERROR(VLOOKUP(B1249,'Pre-Summary'!$BW$6:$BY$58,2,FALSE),"")</f>
        <v/>
      </c>
      <c r="N1249" s="45" t="str">
        <f>IFERROR(VLOOKUP(B1249,'Pre-Summary'!$CD$6:$CF$64,2,FALSE),"")</f>
        <v/>
      </c>
      <c r="O1249" s="99">
        <f>IFERROR(VLOOKUP(B1249,'Pre-Summary'!$BO$6:$BQ$48,3, FALSE),O1248)</f>
        <v>1.2</v>
      </c>
      <c r="P1249" s="99">
        <f>IFERROR(VLOOKUP(B1249,'Pre-Summary'!$BS$6:$BU$35,3,FALSE),P1248)</f>
        <v>0.3</v>
      </c>
      <c r="Q1249" s="54">
        <f t="shared" si="57"/>
        <v>4</v>
      </c>
      <c r="R1249" s="53">
        <f>IFERROR(VLOOKUP(B1249,'Pre-Summary'!$BG$6:$BM$44,7,FALSE),R1250)</f>
        <v>7.6574939085447311E-2</v>
      </c>
      <c r="S1249" s="53">
        <f>IFERROR(VLOOKUP(B1249,'Pre-Summary'!$BG$6:$BM$44,6,FALSE),S1250)</f>
        <v>6.8761751275839902E-2</v>
      </c>
      <c r="T1249" s="45" t="str">
        <f>IFERROR(VLOOKUP(B1249,'Pre-Summary'!$Y$6:$AC$83, 3,FALSE),"")</f>
        <v/>
      </c>
      <c r="U1249" s="45" t="str">
        <f>IFERROR(VLOOKUP(B1249,'Pre-Summary'!$Y$6:$AC$83, 4,FALSE),"")</f>
        <v/>
      </c>
      <c r="V1249" t="str">
        <f>IFERROR(VLOOKUP(B1249,'Pre-Summary'!$Y$6:$AC$83, 5,FALSE),"")</f>
        <v/>
      </c>
      <c r="W1249" s="45" t="str">
        <f>IFERROR(VLOOKUP(B1249,'Pre-Summary'!$Y$6:$AD$83,6,FALSE),"")</f>
        <v/>
      </c>
      <c r="X1249" t="str">
        <f>IFERROR(VLOOKUP('Pre-Summary'!$DB$6:$DD$63,3,FALSE),"")</f>
        <v/>
      </c>
      <c r="Y1249" t="str">
        <f>IFERROR(VLOOKUP(B1249,'Pre-Summary'!$CR$6:$CT$36,3,FALSE),"")</f>
        <v/>
      </c>
      <c r="Z1249" s="45" t="str">
        <f>IFERROR(VLOOKUP(B1249,'Pre-Summary'!$BZ$6:$CB$63,2,FALSE),"")</f>
        <v/>
      </c>
      <c r="AA1249" s="45" t="str">
        <f>IFERROR(VLOOKUP(B1249,'Pre-Summary'!$CG$6:$CI$70,2,FALSE),"")</f>
        <v/>
      </c>
      <c r="AB1249" s="99">
        <f>IFERROR(VLOOKUP(B1249,'Pre-Summary'!$A$6:$P$178,9,FALSE),AB1250)</f>
        <v>0.29854506098972833</v>
      </c>
      <c r="AC1249" s="10">
        <f>IFERROR(VLOOKUP(Summary!B1249,'Pre-Summary'!$A$6:$P$184,5, FALSE)/100,AC1250)</f>
        <v>0.96409233333333344</v>
      </c>
      <c r="AD1249" s="10">
        <f>IFERROR(VLOOKUP(Summary!B1249,'Pre-Summary'!$A$6:$P$184,3, FALSE)/100,AD1250)</f>
        <v>7.5420000000000001E-3</v>
      </c>
      <c r="AE1249" s="10">
        <f>IFERROR(VLOOKUP(Summary!B1249,'Pre-Summary'!$A$6:$P$184,7, FALSE)/100,AE1250)</f>
        <v>2.8365666666666668E-2</v>
      </c>
      <c r="AF1249" s="99">
        <f t="shared" si="58"/>
        <v>2.2516268499845312E-3</v>
      </c>
      <c r="AG1249" s="99">
        <f t="shared" si="59"/>
        <v>8.4684296850143035E-3</v>
      </c>
      <c r="AH1249" s="10" t="str">
        <f>IFERROR(VLOOKUP(B1249,'Pre-Summary'!$AZ$6:$BE$65,3,FALSE),"")</f>
        <v/>
      </c>
      <c r="AI1249" s="10" t="str">
        <f>IFERROR(VLOOKUP(B1249,'Pre-Summary'!$AZ$6:$BE$65,5,FALSE),"")</f>
        <v/>
      </c>
      <c r="AJ1249" s="10" t="str">
        <f>IFERROR(VLOOKUP(B1249,'Pre-Summary'!$AZ$6:$BE$65,4,FALSE),"")</f>
        <v/>
      </c>
      <c r="AK1249" s="10" t="str">
        <f>IFERROR(VLOOKUP(B1249,'Pre-Summary'!$AZ$6:$BE$65,6,FALSE),"")</f>
        <v/>
      </c>
      <c r="AL1249" s="10" t="str">
        <f>IFERROR(VLOOKUP(B1249,'Pre-Summary'!$BG$6:$BL$44,3,FALSE),"")</f>
        <v/>
      </c>
      <c r="AM1249" s="10" t="str">
        <f>IFERROR(VLOOKUP(B1249,'Pre-Summary'!$BG$6:$BL$44,4,FALSE),"")</f>
        <v/>
      </c>
    </row>
    <row r="1250" spans="2:39" ht="15" customHeight="1" x14ac:dyDescent="0.3">
      <c r="B1250">
        <v>124.7</v>
      </c>
      <c r="C1250" t="str">
        <f>IFERROR(VLOOKUP(B1250,'Pre-Summary'!$DI$6:$DM$23,4,FALSE),"")</f>
        <v/>
      </c>
      <c r="D1250" s="10" t="str">
        <f>IFERROR(VLOOKUP(B1250,'Pre-Summary'!$AT$6:$AX$14,5,FALSE),D1249)</f>
        <v>DSMZ v4: dropped out methanol</v>
      </c>
      <c r="E1250" s="10" t="str">
        <f>IFERROR(VLOOKUP(B1250,'Pre-Summary'!$AT$6:$AX$15,4,FALSE),"")</f>
        <v/>
      </c>
      <c r="F1250">
        <f>IFERROR(VLOOKUP(B1250,'Pre-Summary'!$AL$6:$AQ$13,6,FALSE),F1249)</f>
        <v>5.9405263157894746E-2</v>
      </c>
      <c r="G1250" t="str">
        <f>IFERROR(VLOOKUP(B1250,'Pre-Summary'!$AE$6:$AJ$85,3,FALSE),"")</f>
        <v/>
      </c>
      <c r="H1250" t="str">
        <f>IFERROR(VLOOKUP(B1250,'Pre-Summary'!$AE$6:$AJ$85,4,FALSE),"")</f>
        <v/>
      </c>
      <c r="I1250" t="str">
        <f>IFERROR(VLOOKUP(B1250,'Pre-Summary'!$AE$6:$AJ$85,5,FALSE),"")</f>
        <v/>
      </c>
      <c r="J1250" s="45" t="str">
        <f>IFERROR(VLOOKUP(B1250,'Pre-Summary'!$AE$6:$AJ$85,6, FALSE),"")</f>
        <v/>
      </c>
      <c r="K1250" s="45" t="str">
        <f>IFERROR(VLOOKUP(B1250,'Pre-Summary'!$DE$6:$DG$61,3,FALSE),"")</f>
        <v/>
      </c>
      <c r="L1250" s="45" t="str">
        <f>IFERROR(VLOOKUP(B1250,'Pre-Summary'!$CU$6:$CW$36,3,FALSE),"")</f>
        <v/>
      </c>
      <c r="M1250" s="45" t="str">
        <f>IFERROR(VLOOKUP(B1250,'Pre-Summary'!$BW$6:$BY$58,2,FALSE),"")</f>
        <v/>
      </c>
      <c r="N1250" s="45" t="str">
        <f>IFERROR(VLOOKUP(B1250,'Pre-Summary'!$CD$6:$CF$64,2,FALSE),"")</f>
        <v/>
      </c>
      <c r="O1250" s="99">
        <f>IFERROR(VLOOKUP(B1250,'Pre-Summary'!$BO$6:$BQ$48,3, FALSE),O1249)</f>
        <v>1.2</v>
      </c>
      <c r="P1250" s="99">
        <f>IFERROR(VLOOKUP(B1250,'Pre-Summary'!$BS$6:$BU$35,3,FALSE),P1249)</f>
        <v>0.3</v>
      </c>
      <c r="Q1250" s="54">
        <f t="shared" si="57"/>
        <v>4</v>
      </c>
      <c r="R1250" s="53">
        <f>IFERROR(VLOOKUP(B1250,'Pre-Summary'!$BG$6:$BM$44,7,FALSE),R1251)</f>
        <v>7.6574939085447311E-2</v>
      </c>
      <c r="S1250" s="53">
        <f>IFERROR(VLOOKUP(B1250,'Pre-Summary'!$BG$6:$BM$44,6,FALSE),S1251)</f>
        <v>6.8761751275839902E-2</v>
      </c>
      <c r="T1250" s="45" t="str">
        <f>IFERROR(VLOOKUP(B1250,'Pre-Summary'!$Y$6:$AC$83, 3,FALSE),"")</f>
        <v/>
      </c>
      <c r="U1250" s="45" t="str">
        <f>IFERROR(VLOOKUP(B1250,'Pre-Summary'!$Y$6:$AC$83, 4,FALSE),"")</f>
        <v/>
      </c>
      <c r="V1250" t="str">
        <f>IFERROR(VLOOKUP(B1250,'Pre-Summary'!$Y$6:$AC$83, 5,FALSE),"")</f>
        <v/>
      </c>
      <c r="W1250" s="45" t="str">
        <f>IFERROR(VLOOKUP(B1250,'Pre-Summary'!$Y$6:$AD$83,6,FALSE),"")</f>
        <v/>
      </c>
      <c r="X1250" t="str">
        <f>IFERROR(VLOOKUP('Pre-Summary'!$DB$6:$DD$63,3,FALSE),"")</f>
        <v/>
      </c>
      <c r="Y1250" t="str">
        <f>IFERROR(VLOOKUP(B1250,'Pre-Summary'!$CR$6:$CT$36,3,FALSE),"")</f>
        <v/>
      </c>
      <c r="Z1250" s="45" t="str">
        <f>IFERROR(VLOOKUP(B1250,'Pre-Summary'!$BZ$6:$CB$63,2,FALSE),"")</f>
        <v/>
      </c>
      <c r="AA1250" s="45" t="str">
        <f>IFERROR(VLOOKUP(B1250,'Pre-Summary'!$CG$6:$CI$70,2,FALSE),"")</f>
        <v/>
      </c>
      <c r="AB1250" s="99">
        <f>IFERROR(VLOOKUP(B1250,'Pre-Summary'!$A$6:$P$178,9,FALSE),AB1251)</f>
        <v>0.29854506098972833</v>
      </c>
      <c r="AC1250" s="10">
        <f>IFERROR(VLOOKUP(Summary!B1250,'Pre-Summary'!$A$6:$P$184,5, FALSE)/100,AC1251)</f>
        <v>0.96409233333333344</v>
      </c>
      <c r="AD1250" s="10">
        <f>IFERROR(VLOOKUP(Summary!B1250,'Pre-Summary'!$A$6:$P$184,3, FALSE)/100,AD1251)</f>
        <v>7.5420000000000001E-3</v>
      </c>
      <c r="AE1250" s="10">
        <f>IFERROR(VLOOKUP(Summary!B1250,'Pre-Summary'!$A$6:$P$184,7, FALSE)/100,AE1251)</f>
        <v>2.8365666666666668E-2</v>
      </c>
      <c r="AF1250" s="99">
        <f t="shared" si="58"/>
        <v>2.2516268499845312E-3</v>
      </c>
      <c r="AG1250" s="99">
        <f t="shared" si="59"/>
        <v>8.4684296850143035E-3</v>
      </c>
      <c r="AH1250" s="10" t="str">
        <f>IFERROR(VLOOKUP(B1250,'Pre-Summary'!$AZ$6:$BE$65,3,FALSE),"")</f>
        <v/>
      </c>
      <c r="AI1250" s="10" t="str">
        <f>IFERROR(VLOOKUP(B1250,'Pre-Summary'!$AZ$6:$BE$65,5,FALSE),"")</f>
        <v/>
      </c>
      <c r="AJ1250" s="10" t="str">
        <f>IFERROR(VLOOKUP(B1250,'Pre-Summary'!$AZ$6:$BE$65,4,FALSE),"")</f>
        <v/>
      </c>
      <c r="AK1250" s="10" t="str">
        <f>IFERROR(VLOOKUP(B1250,'Pre-Summary'!$AZ$6:$BE$65,6,FALSE),"")</f>
        <v/>
      </c>
      <c r="AL1250" s="10" t="str">
        <f>IFERROR(VLOOKUP(B1250,'Pre-Summary'!$BG$6:$BL$44,3,FALSE),"")</f>
        <v/>
      </c>
      <c r="AM1250" s="10" t="str">
        <f>IFERROR(VLOOKUP(B1250,'Pre-Summary'!$BG$6:$BL$44,4,FALSE),"")</f>
        <v/>
      </c>
    </row>
    <row r="1251" spans="2:39" ht="15" customHeight="1" x14ac:dyDescent="0.3">
      <c r="B1251">
        <v>124.8</v>
      </c>
      <c r="C1251" t="str">
        <f>IFERROR(VLOOKUP(B1251,'Pre-Summary'!$DI$6:$DM$23,4,FALSE),"")</f>
        <v/>
      </c>
      <c r="D1251" s="10" t="str">
        <f>IFERROR(VLOOKUP(B1251,'Pre-Summary'!$AT$6:$AX$14,5,FALSE),D1250)</f>
        <v>DSMZ v4: dropped out methanol</v>
      </c>
      <c r="E1251" s="10" t="str">
        <f>IFERROR(VLOOKUP(B1251,'Pre-Summary'!$AT$6:$AX$15,4,FALSE),"")</f>
        <v/>
      </c>
      <c r="F1251">
        <f>IFERROR(VLOOKUP(B1251,'Pre-Summary'!$AL$6:$AQ$13,6,FALSE),F1250)</f>
        <v>5.9405263157894746E-2</v>
      </c>
      <c r="G1251" t="str">
        <f>IFERROR(VLOOKUP(B1251,'Pre-Summary'!$AE$6:$AJ$85,3,FALSE),"")</f>
        <v/>
      </c>
      <c r="H1251" t="str">
        <f>IFERROR(VLOOKUP(B1251,'Pre-Summary'!$AE$6:$AJ$85,4,FALSE),"")</f>
        <v/>
      </c>
      <c r="I1251" t="str">
        <f>IFERROR(VLOOKUP(B1251,'Pre-Summary'!$AE$6:$AJ$85,5,FALSE),"")</f>
        <v/>
      </c>
      <c r="J1251" s="45" t="str">
        <f>IFERROR(VLOOKUP(B1251,'Pre-Summary'!$AE$6:$AJ$85,6, FALSE),"")</f>
        <v/>
      </c>
      <c r="K1251" s="45" t="str">
        <f>IFERROR(VLOOKUP(B1251,'Pre-Summary'!$DE$6:$DG$61,3,FALSE),"")</f>
        <v/>
      </c>
      <c r="L1251" s="45" t="str">
        <f>IFERROR(VLOOKUP(B1251,'Pre-Summary'!$CU$6:$CW$36,3,FALSE),"")</f>
        <v/>
      </c>
      <c r="M1251" s="45" t="str">
        <f>IFERROR(VLOOKUP(B1251,'Pre-Summary'!$BW$6:$BY$58,2,FALSE),"")</f>
        <v/>
      </c>
      <c r="N1251" s="45" t="str">
        <f>IFERROR(VLOOKUP(B1251,'Pre-Summary'!$CD$6:$CF$64,2,FALSE),"")</f>
        <v/>
      </c>
      <c r="O1251" s="99">
        <f>IFERROR(VLOOKUP(B1251,'Pre-Summary'!$BO$6:$BQ$48,3, FALSE),O1250)</f>
        <v>1.2</v>
      </c>
      <c r="P1251" s="99">
        <f>IFERROR(VLOOKUP(B1251,'Pre-Summary'!$BS$6:$BU$35,3,FALSE),P1250)</f>
        <v>0.3</v>
      </c>
      <c r="Q1251" s="54">
        <f t="shared" si="57"/>
        <v>4</v>
      </c>
      <c r="R1251" s="53">
        <f>IFERROR(VLOOKUP(B1251,'Pre-Summary'!$BG$6:$BM$44,7,FALSE),R1252)</f>
        <v>7.6574939085447311E-2</v>
      </c>
      <c r="S1251" s="53">
        <f>IFERROR(VLOOKUP(B1251,'Pre-Summary'!$BG$6:$BM$44,6,FALSE),S1252)</f>
        <v>6.8761751275839902E-2</v>
      </c>
      <c r="T1251" s="45" t="str">
        <f>IFERROR(VLOOKUP(B1251,'Pre-Summary'!$Y$6:$AC$83, 3,FALSE),"")</f>
        <v/>
      </c>
      <c r="U1251" s="45" t="str">
        <f>IFERROR(VLOOKUP(B1251,'Pre-Summary'!$Y$6:$AC$83, 4,FALSE),"")</f>
        <v/>
      </c>
      <c r="V1251" t="str">
        <f>IFERROR(VLOOKUP(B1251,'Pre-Summary'!$Y$6:$AC$83, 5,FALSE),"")</f>
        <v/>
      </c>
      <c r="W1251" s="45" t="str">
        <f>IFERROR(VLOOKUP(B1251,'Pre-Summary'!$Y$6:$AD$83,6,FALSE),"")</f>
        <v/>
      </c>
      <c r="X1251" t="str">
        <f>IFERROR(VLOOKUP('Pre-Summary'!$DB$6:$DD$63,3,FALSE),"")</f>
        <v/>
      </c>
      <c r="Y1251" t="str">
        <f>IFERROR(VLOOKUP(B1251,'Pre-Summary'!$CR$6:$CT$36,3,FALSE),"")</f>
        <v/>
      </c>
      <c r="Z1251" s="45" t="str">
        <f>IFERROR(VLOOKUP(B1251,'Pre-Summary'!$BZ$6:$CB$63,2,FALSE),"")</f>
        <v/>
      </c>
      <c r="AA1251" s="45" t="str">
        <f>IFERROR(VLOOKUP(B1251,'Pre-Summary'!$CG$6:$CI$70,2,FALSE),"")</f>
        <v/>
      </c>
      <c r="AB1251" s="99">
        <f>IFERROR(VLOOKUP(B1251,'Pre-Summary'!$A$6:$P$178,9,FALSE),AB1252)</f>
        <v>0.29854506098972833</v>
      </c>
      <c r="AC1251" s="10">
        <f>IFERROR(VLOOKUP(Summary!B1251,'Pre-Summary'!$A$6:$P$184,5, FALSE)/100,AC1252)</f>
        <v>0.96409233333333344</v>
      </c>
      <c r="AD1251" s="10">
        <f>IFERROR(VLOOKUP(Summary!B1251,'Pre-Summary'!$A$6:$P$184,3, FALSE)/100,AD1252)</f>
        <v>7.5420000000000001E-3</v>
      </c>
      <c r="AE1251" s="10">
        <f>IFERROR(VLOOKUP(Summary!B1251,'Pre-Summary'!$A$6:$P$184,7, FALSE)/100,AE1252)</f>
        <v>2.8365666666666668E-2</v>
      </c>
      <c r="AF1251" s="99">
        <f t="shared" si="58"/>
        <v>2.2516268499845312E-3</v>
      </c>
      <c r="AG1251" s="99">
        <f t="shared" si="59"/>
        <v>8.4684296850143035E-3</v>
      </c>
      <c r="AH1251" s="10" t="str">
        <f>IFERROR(VLOOKUP(B1251,'Pre-Summary'!$AZ$6:$BE$65,3,FALSE),"")</f>
        <v/>
      </c>
      <c r="AI1251" s="10" t="str">
        <f>IFERROR(VLOOKUP(B1251,'Pre-Summary'!$AZ$6:$BE$65,5,FALSE),"")</f>
        <v/>
      </c>
      <c r="AJ1251" s="10" t="str">
        <f>IFERROR(VLOOKUP(B1251,'Pre-Summary'!$AZ$6:$BE$65,4,FALSE),"")</f>
        <v/>
      </c>
      <c r="AK1251" s="10" t="str">
        <f>IFERROR(VLOOKUP(B1251,'Pre-Summary'!$AZ$6:$BE$65,6,FALSE),"")</f>
        <v/>
      </c>
      <c r="AL1251" s="10" t="str">
        <f>IFERROR(VLOOKUP(B1251,'Pre-Summary'!$BG$6:$BL$44,3,FALSE),"")</f>
        <v/>
      </c>
      <c r="AM1251" s="10" t="str">
        <f>IFERROR(VLOOKUP(B1251,'Pre-Summary'!$BG$6:$BL$44,4,FALSE),"")</f>
        <v/>
      </c>
    </row>
    <row r="1252" spans="2:39" ht="15" customHeight="1" x14ac:dyDescent="0.3">
      <c r="B1252">
        <v>124.9</v>
      </c>
      <c r="C1252" t="str">
        <f>IFERROR(VLOOKUP(B1252,'Pre-Summary'!$DI$6:$DM$23,4,FALSE),"")</f>
        <v/>
      </c>
      <c r="D1252" s="10" t="str">
        <f>IFERROR(VLOOKUP(B1252,'Pre-Summary'!$AT$6:$AX$14,5,FALSE),D1251)</f>
        <v>DSMZ v4: dropped out methanol</v>
      </c>
      <c r="E1252" s="10" t="str">
        <f>IFERROR(VLOOKUP(B1252,'Pre-Summary'!$AT$6:$AX$15,4,FALSE),"")</f>
        <v/>
      </c>
      <c r="F1252">
        <f>IFERROR(VLOOKUP(B1252,'Pre-Summary'!$AL$6:$AQ$13,6,FALSE),F1251)</f>
        <v>5.9405263157894746E-2</v>
      </c>
      <c r="G1252">
        <f>IFERROR(VLOOKUP(B1252,'Pre-Summary'!$AE$6:$AJ$85,3,FALSE),"")</f>
        <v>8.6310000000000002</v>
      </c>
      <c r="H1252">
        <f>IFERROR(VLOOKUP(B1252,'Pre-Summary'!$AE$6:$AJ$85,4,FALSE),"")</f>
        <v>3.2130000000000001</v>
      </c>
      <c r="I1252">
        <f>IFERROR(VLOOKUP(B1252,'Pre-Summary'!$AE$6:$AJ$85,5,FALSE),"")</f>
        <v>0</v>
      </c>
      <c r="J1252" s="45">
        <f>IFERROR(VLOOKUP(B1252,'Pre-Summary'!$AE$6:$AJ$85,6, FALSE),"")</f>
        <v>14.073758999999999</v>
      </c>
      <c r="K1252" s="45" t="str">
        <f>IFERROR(VLOOKUP(B1252,'Pre-Summary'!$DE$6:$DG$61,3,FALSE),"")</f>
        <v/>
      </c>
      <c r="L1252" s="45" t="str">
        <f>IFERROR(VLOOKUP(B1252,'Pre-Summary'!$CU$6:$CW$36,3,FALSE),"")</f>
        <v/>
      </c>
      <c r="M1252" s="45" t="str">
        <f>IFERROR(VLOOKUP(B1252,'Pre-Summary'!$BW$6:$BY$58,2,FALSE),"")</f>
        <v/>
      </c>
      <c r="N1252" s="45" t="str">
        <f>IFERROR(VLOOKUP(B1252,'Pre-Summary'!$CD$6:$CF$64,2,FALSE),"")</f>
        <v/>
      </c>
      <c r="O1252" s="99">
        <f>IFERROR(VLOOKUP(B1252,'Pre-Summary'!$BO$6:$BQ$48,3, FALSE),O1251)</f>
        <v>1.2</v>
      </c>
      <c r="P1252" s="99">
        <f>IFERROR(VLOOKUP(B1252,'Pre-Summary'!$BS$6:$BU$35,3,FALSE),P1251)</f>
        <v>0.3</v>
      </c>
      <c r="Q1252" s="54">
        <f t="shared" si="57"/>
        <v>4</v>
      </c>
      <c r="R1252" s="53">
        <f>IFERROR(VLOOKUP(B1252,'Pre-Summary'!$BG$6:$BM$44,7,FALSE),R1253)</f>
        <v>7.6574939085447311E-2</v>
      </c>
      <c r="S1252" s="53">
        <f>IFERROR(VLOOKUP(B1252,'Pre-Summary'!$BG$6:$BM$44,6,FALSE),S1253)</f>
        <v>6.8761751275839902E-2</v>
      </c>
      <c r="T1252" s="45">
        <f>IFERROR(VLOOKUP(B1252,'Pre-Summary'!$Y$6:$AC$83, 3,FALSE),"")</f>
        <v>19.776</v>
      </c>
      <c r="U1252" s="45">
        <f>IFERROR(VLOOKUP(B1252,'Pre-Summary'!$Y$6:$AC$83, 4,FALSE),"")</f>
        <v>6.71</v>
      </c>
      <c r="V1252">
        <f>IFERROR(VLOOKUP(B1252,'Pre-Summary'!$Y$6:$AC$83, 5,FALSE),"")</f>
        <v>0</v>
      </c>
      <c r="W1252" s="45">
        <f>IFERROR(VLOOKUP(B1252,'Pre-Summary'!$Y$6:$AD$83,6,FALSE),"")</f>
        <v>31.259931999999999</v>
      </c>
      <c r="X1252" t="str">
        <f>IFERROR(VLOOKUP('Pre-Summary'!$DB$6:$DD$63,3,FALSE),"")</f>
        <v/>
      </c>
      <c r="Y1252" t="str">
        <f>IFERROR(VLOOKUP(B1252,'Pre-Summary'!$CR$6:$CT$36,3,FALSE),"")</f>
        <v/>
      </c>
      <c r="Z1252" s="45">
        <f>IFERROR(VLOOKUP(B1252,'Pre-Summary'!$BZ$6:$CB$63,2,FALSE),"")</f>
        <v>33.11230399451906</v>
      </c>
      <c r="AA1252" s="45">
        <f>IFERROR(VLOOKUP(B1252,'Pre-Summary'!$CG$6:$CI$70,2,FALSE),"")</f>
        <v>81.54202728958326</v>
      </c>
      <c r="AB1252" s="99">
        <f>IFERROR(VLOOKUP(B1252,'Pre-Summary'!$A$6:$P$178,9,FALSE),AB1253)</f>
        <v>0.29854506098972833</v>
      </c>
      <c r="AC1252" s="10">
        <f>IFERROR(VLOOKUP(Summary!B1252,'Pre-Summary'!$A$6:$P$184,5, FALSE)/100,AC1253)</f>
        <v>0.96409233333333344</v>
      </c>
      <c r="AD1252" s="10">
        <f>IFERROR(VLOOKUP(Summary!B1252,'Pre-Summary'!$A$6:$P$184,3, FALSE)/100,AD1253)</f>
        <v>7.5420000000000001E-3</v>
      </c>
      <c r="AE1252" s="10">
        <f>IFERROR(VLOOKUP(Summary!B1252,'Pre-Summary'!$A$6:$P$184,7, FALSE)/100,AE1253)</f>
        <v>2.8365666666666668E-2</v>
      </c>
      <c r="AF1252" s="99">
        <f t="shared" si="58"/>
        <v>2.2516268499845312E-3</v>
      </c>
      <c r="AG1252" s="99">
        <f t="shared" si="59"/>
        <v>8.4684296850143035E-3</v>
      </c>
      <c r="AH1252" s="10" t="str">
        <f>IFERROR(VLOOKUP(B1252,'Pre-Summary'!$AZ$6:$BE$65,3,FALSE),"")</f>
        <v/>
      </c>
      <c r="AI1252" s="10" t="str">
        <f>IFERROR(VLOOKUP(B1252,'Pre-Summary'!$AZ$6:$BE$65,5,FALSE),"")</f>
        <v/>
      </c>
      <c r="AJ1252" s="10" t="str">
        <f>IFERROR(VLOOKUP(B1252,'Pre-Summary'!$AZ$6:$BE$65,4,FALSE),"")</f>
        <v/>
      </c>
      <c r="AK1252" s="10" t="str">
        <f>IFERROR(VLOOKUP(B1252,'Pre-Summary'!$AZ$6:$BE$65,6,FALSE),"")</f>
        <v/>
      </c>
      <c r="AL1252" s="10" t="str">
        <f>IFERROR(VLOOKUP(B1252,'Pre-Summary'!$BG$6:$BL$44,3,FALSE),"")</f>
        <v/>
      </c>
      <c r="AM1252" s="10" t="str">
        <f>IFERROR(VLOOKUP(B1252,'Pre-Summary'!$BG$6:$BL$44,4,FALSE),"")</f>
        <v/>
      </c>
    </row>
    <row r="1253" spans="2:39" ht="15" customHeight="1" x14ac:dyDescent="0.3">
      <c r="B1253">
        <v>125</v>
      </c>
      <c r="C1253" t="str">
        <f>IFERROR(VLOOKUP(B1253,'Pre-Summary'!$DI$6:$DM$23,4,FALSE),"")</f>
        <v/>
      </c>
      <c r="D1253" s="10" t="str">
        <f>IFERROR(VLOOKUP(B1253,'Pre-Summary'!$AT$6:$AX$14,5,FALSE),D1252)</f>
        <v>DSMZ v4: dropped out methanol</v>
      </c>
      <c r="E1253" s="10" t="str">
        <f>IFERROR(VLOOKUP(B1253,'Pre-Summary'!$AT$6:$AX$15,4,FALSE),"")</f>
        <v/>
      </c>
      <c r="F1253">
        <f>IFERROR(VLOOKUP(B1253,'Pre-Summary'!$AL$6:$AQ$13,6,FALSE),F1252)</f>
        <v>5.9405263157894746E-2</v>
      </c>
      <c r="G1253" t="str">
        <f>IFERROR(VLOOKUP(B1253,'Pre-Summary'!$AE$6:$AJ$85,3,FALSE),"")</f>
        <v/>
      </c>
      <c r="H1253" t="str">
        <f>IFERROR(VLOOKUP(B1253,'Pre-Summary'!$AE$6:$AJ$85,4,FALSE),"")</f>
        <v/>
      </c>
      <c r="I1253" t="str">
        <f>IFERROR(VLOOKUP(B1253,'Pre-Summary'!$AE$6:$AJ$85,5,FALSE),"")</f>
        <v/>
      </c>
      <c r="J1253" s="45" t="str">
        <f>IFERROR(VLOOKUP(B1253,'Pre-Summary'!$AE$6:$AJ$85,6, FALSE),"")</f>
        <v/>
      </c>
      <c r="K1253" s="45" t="str">
        <f>IFERROR(VLOOKUP(B1253,'Pre-Summary'!$DE$6:$DG$61,3,FALSE),"")</f>
        <v/>
      </c>
      <c r="L1253" s="45" t="str">
        <f>IFERROR(VLOOKUP(B1253,'Pre-Summary'!$CU$6:$CW$36,3,FALSE),"")</f>
        <v/>
      </c>
      <c r="M1253" s="45" t="str">
        <f>IFERROR(VLOOKUP(B1253,'Pre-Summary'!$BW$6:$BY$58,2,FALSE),"")</f>
        <v/>
      </c>
      <c r="N1253" s="45" t="str">
        <f>IFERROR(VLOOKUP(B1253,'Pre-Summary'!$CD$6:$CF$64,2,FALSE),"")</f>
        <v/>
      </c>
      <c r="O1253" s="99">
        <f>IFERROR(VLOOKUP(B1253,'Pre-Summary'!$BO$6:$BQ$48,3, FALSE),O1252)</f>
        <v>1.2</v>
      </c>
      <c r="P1253" s="99">
        <f>IFERROR(VLOOKUP(B1253,'Pre-Summary'!$BS$6:$BU$35,3,FALSE),P1252)</f>
        <v>0.3</v>
      </c>
      <c r="Q1253" s="54">
        <f t="shared" si="57"/>
        <v>4</v>
      </c>
      <c r="R1253" s="53">
        <f>IFERROR(VLOOKUP(B1253,'Pre-Summary'!$BG$6:$BM$44,7,FALSE),R1254)</f>
        <v>7.6574939085447311E-2</v>
      </c>
      <c r="S1253" s="53">
        <f>IFERROR(VLOOKUP(B1253,'Pre-Summary'!$BG$6:$BM$44,6,FALSE),S1254)</f>
        <v>6.8761751275839902E-2</v>
      </c>
      <c r="T1253" s="45" t="str">
        <f>IFERROR(VLOOKUP(B1253,'Pre-Summary'!$Y$6:$AC$83, 3,FALSE),"")</f>
        <v/>
      </c>
      <c r="U1253" s="45" t="str">
        <f>IFERROR(VLOOKUP(B1253,'Pre-Summary'!$Y$6:$AC$83, 4,FALSE),"")</f>
        <v/>
      </c>
      <c r="V1253" t="str">
        <f>IFERROR(VLOOKUP(B1253,'Pre-Summary'!$Y$6:$AC$83, 5,FALSE),"")</f>
        <v/>
      </c>
      <c r="W1253" s="45" t="str">
        <f>IFERROR(VLOOKUP(B1253,'Pre-Summary'!$Y$6:$AD$83,6,FALSE),"")</f>
        <v/>
      </c>
      <c r="X1253" t="str">
        <f>IFERROR(VLOOKUP('Pre-Summary'!$DB$6:$DD$63,3,FALSE),"")</f>
        <v/>
      </c>
      <c r="Y1253" t="str">
        <f>IFERROR(VLOOKUP(B1253,'Pre-Summary'!$CR$6:$CT$36,3,FALSE),"")</f>
        <v/>
      </c>
      <c r="Z1253" s="45" t="str">
        <f>IFERROR(VLOOKUP(B1253,'Pre-Summary'!$BZ$6:$CB$63,2,FALSE),"")</f>
        <v/>
      </c>
      <c r="AA1253" s="45" t="str">
        <f>IFERROR(VLOOKUP(B1253,'Pre-Summary'!$CG$6:$CI$70,2,FALSE),"")</f>
        <v/>
      </c>
      <c r="AB1253" s="99">
        <f>IFERROR(VLOOKUP(B1253,'Pre-Summary'!$A$6:$P$178,9,FALSE),AB1254)</f>
        <v>0.23722758541104874</v>
      </c>
      <c r="AC1253" s="10">
        <f>IFERROR(VLOOKUP(Summary!B1253,'Pre-Summary'!$A$6:$P$184,5, FALSE)/100,AC1254)</f>
        <v>0.95326399999999989</v>
      </c>
      <c r="AD1253" s="10">
        <f>IFERROR(VLOOKUP(Summary!B1253,'Pre-Summary'!$A$6:$P$184,3, FALSE)/100,AD1254)</f>
        <v>3.9489333333333335E-2</v>
      </c>
      <c r="AE1253" s="10">
        <f>IFERROR(VLOOKUP(Summary!B1253,'Pre-Summary'!$A$6:$P$184,7, FALSE)/100,AE1254)</f>
        <v>7.0663333333333333E-3</v>
      </c>
      <c r="AF1253" s="99">
        <f t="shared" si="58"/>
        <v>9.3679591961587077E-3</v>
      </c>
      <c r="AG1253" s="99">
        <f t="shared" si="59"/>
        <v>1.676329194376274E-3</v>
      </c>
      <c r="AH1253" s="10">
        <f>IFERROR(VLOOKUP(B1253,'Pre-Summary'!$AZ$6:$BE$65,3,FALSE),"")</f>
        <v>404</v>
      </c>
      <c r="AI1253" s="10">
        <f>IFERROR(VLOOKUP(B1253,'Pre-Summary'!$AZ$6:$BE$65,5,FALSE),"")</f>
        <v>132</v>
      </c>
      <c r="AJ1253" s="10">
        <f>IFERROR(VLOOKUP(B1253,'Pre-Summary'!$AZ$6:$BE$65,4,FALSE),"")</f>
        <v>302</v>
      </c>
      <c r="AK1253" s="10">
        <f>IFERROR(VLOOKUP(B1253,'Pre-Summary'!$AZ$6:$BE$65,6,FALSE),"")</f>
        <v>99</v>
      </c>
      <c r="AL1253" s="10">
        <f>IFERROR(VLOOKUP(B1253,'Pre-Summary'!$BG$6:$BL$44,3,FALSE),"")</f>
        <v>10.730858005189038</v>
      </c>
      <c r="AM1253" s="10">
        <f>IFERROR(VLOOKUP(B1253,'Pre-Summary'!$BG$6:$BL$44,4,FALSE),"")</f>
        <v>4.5446777343758527</v>
      </c>
    </row>
    <row r="1254" spans="2:39" ht="15" customHeight="1" x14ac:dyDescent="0.3">
      <c r="B1254">
        <v>125.1</v>
      </c>
      <c r="C1254" t="str">
        <f>IFERROR(VLOOKUP(B1254,'Pre-Summary'!$DI$6:$DM$23,4,FALSE),"")</f>
        <v/>
      </c>
      <c r="D1254" s="10" t="str">
        <f>IFERROR(VLOOKUP(B1254,'Pre-Summary'!$AT$6:$AX$14,5,FALSE),D1253)</f>
        <v>DSMZ v4: dropped out methanol</v>
      </c>
      <c r="E1254" s="10" t="str">
        <f>IFERROR(VLOOKUP(B1254,'Pre-Summary'!$AT$6:$AX$15,4,FALSE),"")</f>
        <v/>
      </c>
      <c r="F1254">
        <f>IFERROR(VLOOKUP(B1254,'Pre-Summary'!$AL$6:$AQ$13,6,FALSE),F1253)</f>
        <v>5.9405263157894746E-2</v>
      </c>
      <c r="G1254" t="str">
        <f>IFERROR(VLOOKUP(B1254,'Pre-Summary'!$AE$6:$AJ$85,3,FALSE),"")</f>
        <v/>
      </c>
      <c r="H1254" t="str">
        <f>IFERROR(VLOOKUP(B1254,'Pre-Summary'!$AE$6:$AJ$85,4,FALSE),"")</f>
        <v/>
      </c>
      <c r="I1254" t="str">
        <f>IFERROR(VLOOKUP(B1254,'Pre-Summary'!$AE$6:$AJ$85,5,FALSE),"")</f>
        <v/>
      </c>
      <c r="J1254" s="45" t="str">
        <f>IFERROR(VLOOKUP(B1254,'Pre-Summary'!$AE$6:$AJ$85,6, FALSE),"")</f>
        <v/>
      </c>
      <c r="K1254" s="45" t="str">
        <f>IFERROR(VLOOKUP(B1254,'Pre-Summary'!$DE$6:$DG$61,3,FALSE),"")</f>
        <v/>
      </c>
      <c r="L1254" s="45" t="str">
        <f>IFERROR(VLOOKUP(B1254,'Pre-Summary'!$CU$6:$CW$36,3,FALSE),"")</f>
        <v/>
      </c>
      <c r="M1254" s="45" t="str">
        <f>IFERROR(VLOOKUP(B1254,'Pre-Summary'!$BW$6:$BY$58,2,FALSE),"")</f>
        <v/>
      </c>
      <c r="N1254" s="45" t="str">
        <f>IFERROR(VLOOKUP(B1254,'Pre-Summary'!$CD$6:$CF$64,2,FALSE),"")</f>
        <v/>
      </c>
      <c r="O1254" s="99">
        <f>IFERROR(VLOOKUP(B1254,'Pre-Summary'!$BO$6:$BQ$48,3, FALSE),O1253)</f>
        <v>1.2</v>
      </c>
      <c r="P1254" s="99">
        <f>IFERROR(VLOOKUP(B1254,'Pre-Summary'!$BS$6:$BU$35,3,FALSE),P1253)</f>
        <v>0.3</v>
      </c>
      <c r="Q1254" s="54">
        <f t="shared" si="57"/>
        <v>4</v>
      </c>
      <c r="R1254" s="53">
        <f>IFERROR(VLOOKUP(B1254,'Pre-Summary'!$BG$6:$BM$44,7,FALSE),R1255)</f>
        <v>8.2734025573422298E-2</v>
      </c>
      <c r="S1254" s="53">
        <f>IFERROR(VLOOKUP(B1254,'Pre-Summary'!$BG$6:$BM$44,6,FALSE),S1255)</f>
        <v>7.7866004962824142E-2</v>
      </c>
      <c r="T1254" s="45" t="str">
        <f>IFERROR(VLOOKUP(B1254,'Pre-Summary'!$Y$6:$AC$83, 3,FALSE),"")</f>
        <v/>
      </c>
      <c r="U1254" s="45" t="str">
        <f>IFERROR(VLOOKUP(B1254,'Pre-Summary'!$Y$6:$AC$83, 4,FALSE),"")</f>
        <v/>
      </c>
      <c r="V1254" t="str">
        <f>IFERROR(VLOOKUP(B1254,'Pre-Summary'!$Y$6:$AC$83, 5,FALSE),"")</f>
        <v/>
      </c>
      <c r="W1254" s="45" t="str">
        <f>IFERROR(VLOOKUP(B1254,'Pre-Summary'!$Y$6:$AD$83,6,FALSE),"")</f>
        <v/>
      </c>
      <c r="X1254" t="str">
        <f>IFERROR(VLOOKUP('Pre-Summary'!$DB$6:$DD$63,3,FALSE),"")</f>
        <v/>
      </c>
      <c r="Y1254" t="str">
        <f>IFERROR(VLOOKUP(B1254,'Pre-Summary'!$CR$6:$CT$36,3,FALSE),"")</f>
        <v/>
      </c>
      <c r="Z1254" s="45" t="str">
        <f>IFERROR(VLOOKUP(B1254,'Pre-Summary'!$BZ$6:$CB$63,2,FALSE),"")</f>
        <v/>
      </c>
      <c r="AA1254" s="45" t="str">
        <f>IFERROR(VLOOKUP(B1254,'Pre-Summary'!$CG$6:$CI$70,2,FALSE),"")</f>
        <v/>
      </c>
      <c r="AB1254" s="99">
        <f>IFERROR(VLOOKUP(B1254,'Pre-Summary'!$A$6:$P$178,9,FALSE),AB1255)</f>
        <v>0.23722758541104874</v>
      </c>
      <c r="AC1254" s="10">
        <f>IFERROR(VLOOKUP(Summary!B1254,'Pre-Summary'!$A$6:$P$184,5, FALSE)/100,AC1255)</f>
        <v>0.95326399999999989</v>
      </c>
      <c r="AD1254" s="10">
        <f>IFERROR(VLOOKUP(Summary!B1254,'Pre-Summary'!$A$6:$P$184,3, FALSE)/100,AD1255)</f>
        <v>3.9489333333333335E-2</v>
      </c>
      <c r="AE1254" s="10">
        <f>IFERROR(VLOOKUP(Summary!B1254,'Pre-Summary'!$A$6:$P$184,7, FALSE)/100,AE1255)</f>
        <v>7.0663333333333333E-3</v>
      </c>
      <c r="AF1254" s="99">
        <f t="shared" si="58"/>
        <v>9.3679591961587077E-3</v>
      </c>
      <c r="AG1254" s="99">
        <f t="shared" si="59"/>
        <v>1.676329194376274E-3</v>
      </c>
      <c r="AH1254" s="10" t="str">
        <f>IFERROR(VLOOKUP(B1254,'Pre-Summary'!$AZ$6:$BE$65,3,FALSE),"")</f>
        <v/>
      </c>
      <c r="AI1254" s="10" t="str">
        <f>IFERROR(VLOOKUP(B1254,'Pre-Summary'!$AZ$6:$BE$65,5,FALSE),"")</f>
        <v/>
      </c>
      <c r="AJ1254" s="10" t="str">
        <f>IFERROR(VLOOKUP(B1254,'Pre-Summary'!$AZ$6:$BE$65,4,FALSE),"")</f>
        <v/>
      </c>
      <c r="AK1254" s="10" t="str">
        <f>IFERROR(VLOOKUP(B1254,'Pre-Summary'!$AZ$6:$BE$65,6,FALSE),"")</f>
        <v/>
      </c>
      <c r="AL1254" s="10" t="str">
        <f>IFERROR(VLOOKUP(B1254,'Pre-Summary'!$BG$6:$BL$44,3,FALSE),"")</f>
        <v/>
      </c>
      <c r="AM1254" s="10" t="str">
        <f>IFERROR(VLOOKUP(B1254,'Pre-Summary'!$BG$6:$BL$44,4,FALSE),"")</f>
        <v/>
      </c>
    </row>
    <row r="1255" spans="2:39" ht="15" customHeight="1" x14ac:dyDescent="0.3">
      <c r="B1255">
        <v>125.2</v>
      </c>
      <c r="C1255" t="str">
        <f>IFERROR(VLOOKUP(B1255,'Pre-Summary'!$DI$6:$DM$23,4,FALSE),"")</f>
        <v/>
      </c>
      <c r="D1255" s="10" t="str">
        <f>IFERROR(VLOOKUP(B1255,'Pre-Summary'!$AT$6:$AX$14,5,FALSE),D1254)</f>
        <v>Speece: put in Speece media + EDTA + cysteine + vitamins as in DSMZ 120</v>
      </c>
      <c r="E1255" s="10">
        <f>IFERROR(VLOOKUP(B1255,'Pre-Summary'!$AT$6:$AX$15,4,FALSE),"")</f>
        <v>1</v>
      </c>
      <c r="F1255">
        <f>IFERROR(VLOOKUP(B1255,'Pre-Summary'!$AL$6:$AQ$13,6,FALSE),F1254)</f>
        <v>5.9405263157894746E-2</v>
      </c>
      <c r="G1255" t="str">
        <f>IFERROR(VLOOKUP(B1255,'Pre-Summary'!$AE$6:$AJ$85,3,FALSE),"")</f>
        <v/>
      </c>
      <c r="H1255" t="str">
        <f>IFERROR(VLOOKUP(B1255,'Pre-Summary'!$AE$6:$AJ$85,4,FALSE),"")</f>
        <v/>
      </c>
      <c r="I1255" t="str">
        <f>IFERROR(VLOOKUP(B1255,'Pre-Summary'!$AE$6:$AJ$85,5,FALSE),"")</f>
        <v/>
      </c>
      <c r="J1255" s="45" t="str">
        <f>IFERROR(VLOOKUP(B1255,'Pre-Summary'!$AE$6:$AJ$85,6, FALSE),"")</f>
        <v/>
      </c>
      <c r="K1255" s="45" t="str">
        <f>IFERROR(VLOOKUP(B1255,'Pre-Summary'!$DE$6:$DG$61,3,FALSE),"")</f>
        <v/>
      </c>
      <c r="L1255" s="45" t="str">
        <f>IFERROR(VLOOKUP(B1255,'Pre-Summary'!$CU$6:$CW$36,3,FALSE),"")</f>
        <v/>
      </c>
      <c r="M1255" s="45" t="str">
        <f>IFERROR(VLOOKUP(B1255,'Pre-Summary'!$BW$6:$BY$58,2,FALSE),"")</f>
        <v/>
      </c>
      <c r="N1255" s="45" t="str">
        <f>IFERROR(VLOOKUP(B1255,'Pre-Summary'!$CD$6:$CF$64,2,FALSE),"")</f>
        <v/>
      </c>
      <c r="O1255" s="99">
        <f>IFERROR(VLOOKUP(B1255,'Pre-Summary'!$BO$6:$BQ$48,3, FALSE),O1254)</f>
        <v>1.2</v>
      </c>
      <c r="P1255" s="99">
        <f>IFERROR(VLOOKUP(B1255,'Pre-Summary'!$BS$6:$BU$35,3,FALSE),P1254)</f>
        <v>0.3</v>
      </c>
      <c r="Q1255" s="54">
        <f t="shared" si="57"/>
        <v>4</v>
      </c>
      <c r="R1255" s="53">
        <f>IFERROR(VLOOKUP(B1255,'Pre-Summary'!$BG$6:$BM$44,7,FALSE),R1256)</f>
        <v>8.2734025573422298E-2</v>
      </c>
      <c r="S1255" s="53">
        <f>IFERROR(VLOOKUP(B1255,'Pre-Summary'!$BG$6:$BM$44,6,FALSE),S1256)</f>
        <v>7.7866004962824142E-2</v>
      </c>
      <c r="T1255" s="45" t="str">
        <f>IFERROR(VLOOKUP(B1255,'Pre-Summary'!$Y$6:$AC$83, 3,FALSE),"")</f>
        <v/>
      </c>
      <c r="U1255" s="45" t="str">
        <f>IFERROR(VLOOKUP(B1255,'Pre-Summary'!$Y$6:$AC$83, 4,FALSE),"")</f>
        <v/>
      </c>
      <c r="V1255" t="str">
        <f>IFERROR(VLOOKUP(B1255,'Pre-Summary'!$Y$6:$AC$83, 5,FALSE),"")</f>
        <v/>
      </c>
      <c r="W1255" s="45" t="str">
        <f>IFERROR(VLOOKUP(B1255,'Pre-Summary'!$Y$6:$AD$83,6,FALSE),"")</f>
        <v/>
      </c>
      <c r="X1255" t="str">
        <f>IFERROR(VLOOKUP('Pre-Summary'!$DB$6:$DD$63,3,FALSE),"")</f>
        <v/>
      </c>
      <c r="Y1255" t="str">
        <f>IFERROR(VLOOKUP(B1255,'Pre-Summary'!$CR$6:$CT$36,3,FALSE),"")</f>
        <v/>
      </c>
      <c r="Z1255" s="45" t="str">
        <f>IFERROR(VLOOKUP(B1255,'Pre-Summary'!$BZ$6:$CB$63,2,FALSE),"")</f>
        <v/>
      </c>
      <c r="AA1255" s="45" t="str">
        <f>IFERROR(VLOOKUP(B1255,'Pre-Summary'!$CG$6:$CI$70,2,FALSE),"")</f>
        <v/>
      </c>
      <c r="AB1255" s="99">
        <f>IFERROR(VLOOKUP(B1255,'Pre-Summary'!$A$6:$P$178,9,FALSE),AB1256)</f>
        <v>0.23722758541104874</v>
      </c>
      <c r="AC1255" s="10">
        <f>IFERROR(VLOOKUP(Summary!B1255,'Pre-Summary'!$A$6:$P$184,5, FALSE)/100,AC1256)</f>
        <v>0.95326399999999989</v>
      </c>
      <c r="AD1255" s="10">
        <f>IFERROR(VLOOKUP(Summary!B1255,'Pre-Summary'!$A$6:$P$184,3, FALSE)/100,AD1256)</f>
        <v>3.9489333333333335E-2</v>
      </c>
      <c r="AE1255" s="10">
        <f>IFERROR(VLOOKUP(Summary!B1255,'Pre-Summary'!$A$6:$P$184,7, FALSE)/100,AE1256)</f>
        <v>7.0663333333333333E-3</v>
      </c>
      <c r="AF1255" s="99">
        <f t="shared" si="58"/>
        <v>9.3679591961587077E-3</v>
      </c>
      <c r="AG1255" s="99">
        <f t="shared" si="59"/>
        <v>1.676329194376274E-3</v>
      </c>
      <c r="AH1255" s="10" t="str">
        <f>IFERROR(VLOOKUP(B1255,'Pre-Summary'!$AZ$6:$BE$65,3,FALSE),"")</f>
        <v/>
      </c>
      <c r="AI1255" s="10" t="str">
        <f>IFERROR(VLOOKUP(B1255,'Pre-Summary'!$AZ$6:$BE$65,5,FALSE),"")</f>
        <v/>
      </c>
      <c r="AJ1255" s="10" t="str">
        <f>IFERROR(VLOOKUP(B1255,'Pre-Summary'!$AZ$6:$BE$65,4,FALSE),"")</f>
        <v/>
      </c>
      <c r="AK1255" s="10" t="str">
        <f>IFERROR(VLOOKUP(B1255,'Pre-Summary'!$AZ$6:$BE$65,6,FALSE),"")</f>
        <v/>
      </c>
      <c r="AL1255" s="10" t="str">
        <f>IFERROR(VLOOKUP(B1255,'Pre-Summary'!$BG$6:$BL$44,3,FALSE),"")</f>
        <v/>
      </c>
      <c r="AM1255" s="10" t="str">
        <f>IFERROR(VLOOKUP(B1255,'Pre-Summary'!$BG$6:$BL$44,4,FALSE),"")</f>
        <v/>
      </c>
    </row>
    <row r="1256" spans="2:39" ht="15" customHeight="1" x14ac:dyDescent="0.3">
      <c r="B1256">
        <v>125.3</v>
      </c>
      <c r="C1256" t="str">
        <f>IFERROR(VLOOKUP(B1256,'Pre-Summary'!$DI$6:$DM$23,4,FALSE),"")</f>
        <v/>
      </c>
      <c r="D1256" s="10" t="str">
        <f>IFERROR(VLOOKUP(B1256,'Pre-Summary'!$AT$6:$AX$14,5,FALSE),D1255)</f>
        <v>Speece: put in Speece media + EDTA + cysteine + vitamins as in DSMZ 120</v>
      </c>
      <c r="E1256" s="10" t="str">
        <f>IFERROR(VLOOKUP(B1256,'Pre-Summary'!$AT$6:$AX$15,4,FALSE),"")</f>
        <v/>
      </c>
      <c r="F1256">
        <f>IFERROR(VLOOKUP(B1256,'Pre-Summary'!$AL$6:$AQ$13,6,FALSE),F1255)</f>
        <v>5.9405263157894746E-2</v>
      </c>
      <c r="G1256" t="str">
        <f>IFERROR(VLOOKUP(B1256,'Pre-Summary'!$AE$6:$AJ$85,3,FALSE),"")</f>
        <v/>
      </c>
      <c r="H1256" t="str">
        <f>IFERROR(VLOOKUP(B1256,'Pre-Summary'!$AE$6:$AJ$85,4,FALSE),"")</f>
        <v/>
      </c>
      <c r="I1256" t="str">
        <f>IFERROR(VLOOKUP(B1256,'Pre-Summary'!$AE$6:$AJ$85,5,FALSE),"")</f>
        <v/>
      </c>
      <c r="J1256" s="45" t="str">
        <f>IFERROR(VLOOKUP(B1256,'Pre-Summary'!$AE$6:$AJ$85,6, FALSE),"")</f>
        <v/>
      </c>
      <c r="K1256" s="45" t="str">
        <f>IFERROR(VLOOKUP(B1256,'Pre-Summary'!$DE$6:$DG$61,3,FALSE),"")</f>
        <v/>
      </c>
      <c r="L1256" s="45" t="str">
        <f>IFERROR(VLOOKUP(B1256,'Pre-Summary'!$CU$6:$CW$36,3,FALSE),"")</f>
        <v/>
      </c>
      <c r="M1256" s="45" t="str">
        <f>IFERROR(VLOOKUP(B1256,'Pre-Summary'!$BW$6:$BY$58,2,FALSE),"")</f>
        <v/>
      </c>
      <c r="N1256" s="45" t="str">
        <f>IFERROR(VLOOKUP(B1256,'Pre-Summary'!$CD$6:$CF$64,2,FALSE),"")</f>
        <v/>
      </c>
      <c r="O1256" s="99">
        <f>IFERROR(VLOOKUP(B1256,'Pre-Summary'!$BO$6:$BQ$48,3, FALSE),O1255)</f>
        <v>1.2</v>
      </c>
      <c r="P1256" s="99">
        <f>IFERROR(VLOOKUP(B1256,'Pre-Summary'!$BS$6:$BU$35,3,FALSE),P1255)</f>
        <v>0.3</v>
      </c>
      <c r="Q1256" s="54">
        <f t="shared" si="57"/>
        <v>4</v>
      </c>
      <c r="R1256" s="53">
        <f>IFERROR(VLOOKUP(B1256,'Pre-Summary'!$BG$6:$BM$44,7,FALSE),R1257)</f>
        <v>8.2734025573422298E-2</v>
      </c>
      <c r="S1256" s="53">
        <f>IFERROR(VLOOKUP(B1256,'Pre-Summary'!$BG$6:$BM$44,6,FALSE),S1257)</f>
        <v>7.7866004962824142E-2</v>
      </c>
      <c r="T1256" s="45" t="str">
        <f>IFERROR(VLOOKUP(B1256,'Pre-Summary'!$Y$6:$AC$83, 3,FALSE),"")</f>
        <v/>
      </c>
      <c r="U1256" s="45" t="str">
        <f>IFERROR(VLOOKUP(B1256,'Pre-Summary'!$Y$6:$AC$83, 4,FALSE),"")</f>
        <v/>
      </c>
      <c r="V1256" t="str">
        <f>IFERROR(VLOOKUP(B1256,'Pre-Summary'!$Y$6:$AC$83, 5,FALSE),"")</f>
        <v/>
      </c>
      <c r="W1256" s="45" t="str">
        <f>IFERROR(VLOOKUP(B1256,'Pre-Summary'!$Y$6:$AD$83,6,FALSE),"")</f>
        <v/>
      </c>
      <c r="X1256" t="str">
        <f>IFERROR(VLOOKUP('Pre-Summary'!$DB$6:$DD$63,3,FALSE),"")</f>
        <v/>
      </c>
      <c r="Y1256" t="str">
        <f>IFERROR(VLOOKUP(B1256,'Pre-Summary'!$CR$6:$CT$36,3,FALSE),"")</f>
        <v/>
      </c>
      <c r="Z1256" s="45" t="str">
        <f>IFERROR(VLOOKUP(B1256,'Pre-Summary'!$BZ$6:$CB$63,2,FALSE),"")</f>
        <v/>
      </c>
      <c r="AA1256" s="45" t="str">
        <f>IFERROR(VLOOKUP(B1256,'Pre-Summary'!$CG$6:$CI$70,2,FALSE),"")</f>
        <v/>
      </c>
      <c r="AB1256" s="99">
        <f>IFERROR(VLOOKUP(B1256,'Pre-Summary'!$A$6:$P$178,9,FALSE),AB1257)</f>
        <v>0.23722758541104874</v>
      </c>
      <c r="AC1256" s="10">
        <f>IFERROR(VLOOKUP(Summary!B1256,'Pre-Summary'!$A$6:$P$184,5, FALSE)/100,AC1257)</f>
        <v>0.95326399999999989</v>
      </c>
      <c r="AD1256" s="10">
        <f>IFERROR(VLOOKUP(Summary!B1256,'Pre-Summary'!$A$6:$P$184,3, FALSE)/100,AD1257)</f>
        <v>3.9489333333333335E-2</v>
      </c>
      <c r="AE1256" s="10">
        <f>IFERROR(VLOOKUP(Summary!B1256,'Pre-Summary'!$A$6:$P$184,7, FALSE)/100,AE1257)</f>
        <v>7.0663333333333333E-3</v>
      </c>
      <c r="AF1256" s="99">
        <f t="shared" si="58"/>
        <v>9.3679591961587077E-3</v>
      </c>
      <c r="AG1256" s="99">
        <f t="shared" si="59"/>
        <v>1.676329194376274E-3</v>
      </c>
      <c r="AH1256" s="10" t="str">
        <f>IFERROR(VLOOKUP(B1256,'Pre-Summary'!$AZ$6:$BE$65,3,FALSE),"")</f>
        <v/>
      </c>
      <c r="AI1256" s="10" t="str">
        <f>IFERROR(VLOOKUP(B1256,'Pre-Summary'!$AZ$6:$BE$65,5,FALSE),"")</f>
        <v/>
      </c>
      <c r="AJ1256" s="10" t="str">
        <f>IFERROR(VLOOKUP(B1256,'Pre-Summary'!$AZ$6:$BE$65,4,FALSE),"")</f>
        <v/>
      </c>
      <c r="AK1256" s="10" t="str">
        <f>IFERROR(VLOOKUP(B1256,'Pre-Summary'!$AZ$6:$BE$65,6,FALSE),"")</f>
        <v/>
      </c>
      <c r="AL1256" s="10" t="str">
        <f>IFERROR(VLOOKUP(B1256,'Pre-Summary'!$BG$6:$BL$44,3,FALSE),"")</f>
        <v/>
      </c>
      <c r="AM1256" s="10" t="str">
        <f>IFERROR(VLOOKUP(B1256,'Pre-Summary'!$BG$6:$BL$44,4,FALSE),"")</f>
        <v/>
      </c>
    </row>
    <row r="1257" spans="2:39" ht="15" customHeight="1" x14ac:dyDescent="0.3">
      <c r="B1257">
        <v>125.4</v>
      </c>
      <c r="C1257" t="str">
        <f>IFERROR(VLOOKUP(B1257,'Pre-Summary'!$DI$6:$DM$23,4,FALSE),"")</f>
        <v/>
      </c>
      <c r="D1257" s="10" t="str">
        <f>IFERROR(VLOOKUP(B1257,'Pre-Summary'!$AT$6:$AX$14,5,FALSE),D1256)</f>
        <v>Speece: put in Speece media + EDTA + cysteine + vitamins as in DSMZ 120</v>
      </c>
      <c r="E1257" s="10" t="str">
        <f>IFERROR(VLOOKUP(B1257,'Pre-Summary'!$AT$6:$AX$15,4,FALSE),"")</f>
        <v/>
      </c>
      <c r="F1257">
        <f>IFERROR(VLOOKUP(B1257,'Pre-Summary'!$AL$6:$AQ$13,6,FALSE),F1256)</f>
        <v>5.9405263157894746E-2</v>
      </c>
      <c r="G1257" t="str">
        <f>IFERROR(VLOOKUP(B1257,'Pre-Summary'!$AE$6:$AJ$85,3,FALSE),"")</f>
        <v/>
      </c>
      <c r="H1257" t="str">
        <f>IFERROR(VLOOKUP(B1257,'Pre-Summary'!$AE$6:$AJ$85,4,FALSE),"")</f>
        <v/>
      </c>
      <c r="I1257" t="str">
        <f>IFERROR(VLOOKUP(B1257,'Pre-Summary'!$AE$6:$AJ$85,5,FALSE),"")</f>
        <v/>
      </c>
      <c r="J1257" s="45" t="str">
        <f>IFERROR(VLOOKUP(B1257,'Pre-Summary'!$AE$6:$AJ$85,6, FALSE),"")</f>
        <v/>
      </c>
      <c r="K1257" s="45" t="str">
        <f>IFERROR(VLOOKUP(B1257,'Pre-Summary'!$DE$6:$DG$61,3,FALSE),"")</f>
        <v/>
      </c>
      <c r="L1257" s="45" t="str">
        <f>IFERROR(VLOOKUP(B1257,'Pre-Summary'!$CU$6:$CW$36,3,FALSE),"")</f>
        <v/>
      </c>
      <c r="M1257" s="45" t="str">
        <f>IFERROR(VLOOKUP(B1257,'Pre-Summary'!$BW$6:$BY$58,2,FALSE),"")</f>
        <v/>
      </c>
      <c r="N1257" s="45" t="str">
        <f>IFERROR(VLOOKUP(B1257,'Pre-Summary'!$CD$6:$CF$64,2,FALSE),"")</f>
        <v/>
      </c>
      <c r="O1257" s="99">
        <f>IFERROR(VLOOKUP(B1257,'Pre-Summary'!$BO$6:$BQ$48,3, FALSE),O1256)</f>
        <v>1.2</v>
      </c>
      <c r="P1257" s="99">
        <f>IFERROR(VLOOKUP(B1257,'Pre-Summary'!$BS$6:$BU$35,3,FALSE),P1256)</f>
        <v>0.3</v>
      </c>
      <c r="Q1257" s="54">
        <f t="shared" si="57"/>
        <v>4</v>
      </c>
      <c r="R1257" s="53">
        <f>IFERROR(VLOOKUP(B1257,'Pre-Summary'!$BG$6:$BM$44,7,FALSE),R1258)</f>
        <v>8.2734025573422298E-2</v>
      </c>
      <c r="S1257" s="53">
        <f>IFERROR(VLOOKUP(B1257,'Pre-Summary'!$BG$6:$BM$44,6,FALSE),S1258)</f>
        <v>7.7866004962824142E-2</v>
      </c>
      <c r="T1257" s="45" t="str">
        <f>IFERROR(VLOOKUP(B1257,'Pre-Summary'!$Y$6:$AC$83, 3,FALSE),"")</f>
        <v/>
      </c>
      <c r="U1257" s="45" t="str">
        <f>IFERROR(VLOOKUP(B1257,'Pre-Summary'!$Y$6:$AC$83, 4,FALSE),"")</f>
        <v/>
      </c>
      <c r="V1257" t="str">
        <f>IFERROR(VLOOKUP(B1257,'Pre-Summary'!$Y$6:$AC$83, 5,FALSE),"")</f>
        <v/>
      </c>
      <c r="W1257" s="45" t="str">
        <f>IFERROR(VLOOKUP(B1257,'Pre-Summary'!$Y$6:$AD$83,6,FALSE),"")</f>
        <v/>
      </c>
      <c r="X1257" t="str">
        <f>IFERROR(VLOOKUP('Pre-Summary'!$DB$6:$DD$63,3,FALSE),"")</f>
        <v/>
      </c>
      <c r="Y1257" t="str">
        <f>IFERROR(VLOOKUP(B1257,'Pre-Summary'!$CR$6:$CT$36,3,FALSE),"")</f>
        <v/>
      </c>
      <c r="Z1257" s="45" t="str">
        <f>IFERROR(VLOOKUP(B1257,'Pre-Summary'!$BZ$6:$CB$63,2,FALSE),"")</f>
        <v/>
      </c>
      <c r="AA1257" s="45" t="str">
        <f>IFERROR(VLOOKUP(B1257,'Pre-Summary'!$CG$6:$CI$70,2,FALSE),"")</f>
        <v/>
      </c>
      <c r="AB1257" s="99">
        <f>IFERROR(VLOOKUP(B1257,'Pre-Summary'!$A$6:$P$178,9,FALSE),AB1258)</f>
        <v>0.23722758541104874</v>
      </c>
      <c r="AC1257" s="10">
        <f>IFERROR(VLOOKUP(Summary!B1257,'Pre-Summary'!$A$6:$P$184,5, FALSE)/100,AC1258)</f>
        <v>0.95326399999999989</v>
      </c>
      <c r="AD1257" s="10">
        <f>IFERROR(VLOOKUP(Summary!B1257,'Pre-Summary'!$A$6:$P$184,3, FALSE)/100,AD1258)</f>
        <v>3.9489333333333335E-2</v>
      </c>
      <c r="AE1257" s="10">
        <f>IFERROR(VLOOKUP(Summary!B1257,'Pre-Summary'!$A$6:$P$184,7, FALSE)/100,AE1258)</f>
        <v>7.0663333333333333E-3</v>
      </c>
      <c r="AF1257" s="99">
        <f t="shared" si="58"/>
        <v>9.3679591961587077E-3</v>
      </c>
      <c r="AG1257" s="99">
        <f t="shared" si="59"/>
        <v>1.676329194376274E-3</v>
      </c>
      <c r="AH1257" s="10" t="str">
        <f>IFERROR(VLOOKUP(B1257,'Pre-Summary'!$AZ$6:$BE$65,3,FALSE),"")</f>
        <v/>
      </c>
      <c r="AI1257" s="10" t="str">
        <f>IFERROR(VLOOKUP(B1257,'Pre-Summary'!$AZ$6:$BE$65,5,FALSE),"")</f>
        <v/>
      </c>
      <c r="AJ1257" s="10" t="str">
        <f>IFERROR(VLOOKUP(B1257,'Pre-Summary'!$AZ$6:$BE$65,4,FALSE),"")</f>
        <v/>
      </c>
      <c r="AK1257" s="10" t="str">
        <f>IFERROR(VLOOKUP(B1257,'Pre-Summary'!$AZ$6:$BE$65,6,FALSE),"")</f>
        <v/>
      </c>
      <c r="AL1257" s="10" t="str">
        <f>IFERROR(VLOOKUP(B1257,'Pre-Summary'!$BG$6:$BL$44,3,FALSE),"")</f>
        <v/>
      </c>
      <c r="AM1257" s="10" t="str">
        <f>IFERROR(VLOOKUP(B1257,'Pre-Summary'!$BG$6:$BL$44,4,FALSE),"")</f>
        <v/>
      </c>
    </row>
    <row r="1258" spans="2:39" ht="15" customHeight="1" x14ac:dyDescent="0.3">
      <c r="B1258">
        <v>125.5</v>
      </c>
      <c r="C1258" t="str">
        <f>IFERROR(VLOOKUP(B1258,'Pre-Summary'!$DI$6:$DM$23,4,FALSE),"")</f>
        <v/>
      </c>
      <c r="D1258" s="10" t="str">
        <f>IFERROR(VLOOKUP(B1258,'Pre-Summary'!$AT$6:$AX$14,5,FALSE),D1257)</f>
        <v>Speece: put in Speece media + EDTA + cysteine + vitamins as in DSMZ 120</v>
      </c>
      <c r="E1258" s="10" t="str">
        <f>IFERROR(VLOOKUP(B1258,'Pre-Summary'!$AT$6:$AX$15,4,FALSE),"")</f>
        <v/>
      </c>
      <c r="F1258">
        <f>IFERROR(VLOOKUP(B1258,'Pre-Summary'!$AL$6:$AQ$13,6,FALSE),F1257)</f>
        <v>5.9405263157894746E-2</v>
      </c>
      <c r="G1258" t="str">
        <f>IFERROR(VLOOKUP(B1258,'Pre-Summary'!$AE$6:$AJ$85,3,FALSE),"")</f>
        <v/>
      </c>
      <c r="H1258" t="str">
        <f>IFERROR(VLOOKUP(B1258,'Pre-Summary'!$AE$6:$AJ$85,4,FALSE),"")</f>
        <v/>
      </c>
      <c r="I1258" t="str">
        <f>IFERROR(VLOOKUP(B1258,'Pre-Summary'!$AE$6:$AJ$85,5,FALSE),"")</f>
        <v/>
      </c>
      <c r="J1258" s="45" t="str">
        <f>IFERROR(VLOOKUP(B1258,'Pre-Summary'!$AE$6:$AJ$85,6, FALSE),"")</f>
        <v/>
      </c>
      <c r="K1258" s="45" t="str">
        <f>IFERROR(VLOOKUP(B1258,'Pre-Summary'!$DE$6:$DG$61,3,FALSE),"")</f>
        <v/>
      </c>
      <c r="L1258" s="45" t="str">
        <f>IFERROR(VLOOKUP(B1258,'Pre-Summary'!$CU$6:$CW$36,3,FALSE),"")</f>
        <v/>
      </c>
      <c r="M1258" s="45" t="str">
        <f>IFERROR(VLOOKUP(B1258,'Pre-Summary'!$BW$6:$BY$58,2,FALSE),"")</f>
        <v/>
      </c>
      <c r="N1258" s="45" t="str">
        <f>IFERROR(VLOOKUP(B1258,'Pre-Summary'!$CD$6:$CF$64,2,FALSE),"")</f>
        <v/>
      </c>
      <c r="O1258" s="99">
        <f>IFERROR(VLOOKUP(B1258,'Pre-Summary'!$BO$6:$BQ$48,3, FALSE),O1257)</f>
        <v>1.2</v>
      </c>
      <c r="P1258" s="99">
        <f>IFERROR(VLOOKUP(B1258,'Pre-Summary'!$BS$6:$BU$35,3,FALSE),P1257)</f>
        <v>0.3</v>
      </c>
      <c r="Q1258" s="54">
        <f t="shared" si="57"/>
        <v>4</v>
      </c>
      <c r="R1258" s="53">
        <f>IFERROR(VLOOKUP(B1258,'Pre-Summary'!$BG$6:$BM$44,7,FALSE),R1259)</f>
        <v>8.2734025573422298E-2</v>
      </c>
      <c r="S1258" s="53">
        <f>IFERROR(VLOOKUP(B1258,'Pre-Summary'!$BG$6:$BM$44,6,FALSE),S1259)</f>
        <v>7.7866004962824142E-2</v>
      </c>
      <c r="T1258" s="45" t="str">
        <f>IFERROR(VLOOKUP(B1258,'Pre-Summary'!$Y$6:$AC$83, 3,FALSE),"")</f>
        <v/>
      </c>
      <c r="U1258" s="45" t="str">
        <f>IFERROR(VLOOKUP(B1258,'Pre-Summary'!$Y$6:$AC$83, 4,FALSE),"")</f>
        <v/>
      </c>
      <c r="V1258" t="str">
        <f>IFERROR(VLOOKUP(B1258,'Pre-Summary'!$Y$6:$AC$83, 5,FALSE),"")</f>
        <v/>
      </c>
      <c r="W1258" s="45" t="str">
        <f>IFERROR(VLOOKUP(B1258,'Pre-Summary'!$Y$6:$AD$83,6,FALSE),"")</f>
        <v/>
      </c>
      <c r="X1258" t="str">
        <f>IFERROR(VLOOKUP('Pre-Summary'!$DB$6:$DD$63,3,FALSE),"")</f>
        <v/>
      </c>
      <c r="Y1258" t="str">
        <f>IFERROR(VLOOKUP(B1258,'Pre-Summary'!$CR$6:$CT$36,3,FALSE),"")</f>
        <v/>
      </c>
      <c r="Z1258" s="45" t="str">
        <f>IFERROR(VLOOKUP(B1258,'Pre-Summary'!$BZ$6:$CB$63,2,FALSE),"")</f>
        <v/>
      </c>
      <c r="AA1258" s="45" t="str">
        <f>IFERROR(VLOOKUP(B1258,'Pre-Summary'!$CG$6:$CI$70,2,FALSE),"")</f>
        <v/>
      </c>
      <c r="AB1258" s="99">
        <f>IFERROR(VLOOKUP(B1258,'Pre-Summary'!$A$6:$P$178,9,FALSE),AB1259)</f>
        <v>0.23722758541104874</v>
      </c>
      <c r="AC1258" s="10">
        <f>IFERROR(VLOOKUP(Summary!B1258,'Pre-Summary'!$A$6:$P$184,5, FALSE)/100,AC1259)</f>
        <v>0.95326399999999989</v>
      </c>
      <c r="AD1258" s="10">
        <f>IFERROR(VLOOKUP(Summary!B1258,'Pre-Summary'!$A$6:$P$184,3, FALSE)/100,AD1259)</f>
        <v>3.9489333333333335E-2</v>
      </c>
      <c r="AE1258" s="10">
        <f>IFERROR(VLOOKUP(Summary!B1258,'Pre-Summary'!$A$6:$P$184,7, FALSE)/100,AE1259)</f>
        <v>7.0663333333333333E-3</v>
      </c>
      <c r="AF1258" s="99">
        <f t="shared" si="58"/>
        <v>9.3679591961587077E-3</v>
      </c>
      <c r="AG1258" s="99">
        <f t="shared" si="59"/>
        <v>1.676329194376274E-3</v>
      </c>
      <c r="AH1258" s="10" t="str">
        <f>IFERROR(VLOOKUP(B1258,'Pre-Summary'!$AZ$6:$BE$65,3,FALSE),"")</f>
        <v/>
      </c>
      <c r="AI1258" s="10" t="str">
        <f>IFERROR(VLOOKUP(B1258,'Pre-Summary'!$AZ$6:$BE$65,5,FALSE),"")</f>
        <v/>
      </c>
      <c r="AJ1258" s="10" t="str">
        <f>IFERROR(VLOOKUP(B1258,'Pre-Summary'!$AZ$6:$BE$65,4,FALSE),"")</f>
        <v/>
      </c>
      <c r="AK1258" s="10" t="str">
        <f>IFERROR(VLOOKUP(B1258,'Pre-Summary'!$AZ$6:$BE$65,6,FALSE),"")</f>
        <v/>
      </c>
      <c r="AL1258" s="10" t="str">
        <f>IFERROR(VLOOKUP(B1258,'Pre-Summary'!$BG$6:$BL$44,3,FALSE),"")</f>
        <v/>
      </c>
      <c r="AM1258" s="10" t="str">
        <f>IFERROR(VLOOKUP(B1258,'Pre-Summary'!$BG$6:$BL$44,4,FALSE),"")</f>
        <v/>
      </c>
    </row>
    <row r="1259" spans="2:39" ht="15" customHeight="1" x14ac:dyDescent="0.3">
      <c r="B1259">
        <v>125.6</v>
      </c>
      <c r="C1259" t="str">
        <f>IFERROR(VLOOKUP(B1259,'Pre-Summary'!$DI$6:$DM$23,4,FALSE),"")</f>
        <v/>
      </c>
      <c r="D1259" s="10" t="str">
        <f>IFERROR(VLOOKUP(B1259,'Pre-Summary'!$AT$6:$AX$14,5,FALSE),D1258)</f>
        <v>Speece: put in Speece media + EDTA + cysteine + vitamins as in DSMZ 120</v>
      </c>
      <c r="E1259" s="10" t="str">
        <f>IFERROR(VLOOKUP(B1259,'Pre-Summary'!$AT$6:$AX$15,4,FALSE),"")</f>
        <v/>
      </c>
      <c r="F1259">
        <f>IFERROR(VLOOKUP(B1259,'Pre-Summary'!$AL$6:$AQ$13,6,FALSE),F1258)</f>
        <v>5.9405263157894746E-2</v>
      </c>
      <c r="G1259" t="str">
        <f>IFERROR(VLOOKUP(B1259,'Pre-Summary'!$AE$6:$AJ$85,3,FALSE),"")</f>
        <v/>
      </c>
      <c r="H1259" t="str">
        <f>IFERROR(VLOOKUP(B1259,'Pre-Summary'!$AE$6:$AJ$85,4,FALSE),"")</f>
        <v/>
      </c>
      <c r="I1259" t="str">
        <f>IFERROR(VLOOKUP(B1259,'Pre-Summary'!$AE$6:$AJ$85,5,FALSE),"")</f>
        <v/>
      </c>
      <c r="J1259" s="45" t="str">
        <f>IFERROR(VLOOKUP(B1259,'Pre-Summary'!$AE$6:$AJ$85,6, FALSE),"")</f>
        <v/>
      </c>
      <c r="K1259" s="45" t="str">
        <f>IFERROR(VLOOKUP(B1259,'Pre-Summary'!$DE$6:$DG$61,3,FALSE),"")</f>
        <v/>
      </c>
      <c r="L1259" s="45" t="str">
        <f>IFERROR(VLOOKUP(B1259,'Pre-Summary'!$CU$6:$CW$36,3,FALSE),"")</f>
        <v/>
      </c>
      <c r="M1259" s="45" t="str">
        <f>IFERROR(VLOOKUP(B1259,'Pre-Summary'!$BW$6:$BY$58,2,FALSE),"")</f>
        <v/>
      </c>
      <c r="N1259" s="45" t="str">
        <f>IFERROR(VLOOKUP(B1259,'Pre-Summary'!$CD$6:$CF$64,2,FALSE),"")</f>
        <v/>
      </c>
      <c r="O1259" s="99">
        <f>IFERROR(VLOOKUP(B1259,'Pre-Summary'!$BO$6:$BQ$48,3, FALSE),O1258)</f>
        <v>1.2</v>
      </c>
      <c r="P1259" s="99">
        <f>IFERROR(VLOOKUP(B1259,'Pre-Summary'!$BS$6:$BU$35,3,FALSE),P1258)</f>
        <v>0.3</v>
      </c>
      <c r="Q1259" s="54">
        <f t="shared" si="57"/>
        <v>4</v>
      </c>
      <c r="R1259" s="53">
        <f>IFERROR(VLOOKUP(B1259,'Pre-Summary'!$BG$6:$BM$44,7,FALSE),R1260)</f>
        <v>8.2734025573422298E-2</v>
      </c>
      <c r="S1259" s="53">
        <f>IFERROR(VLOOKUP(B1259,'Pre-Summary'!$BG$6:$BM$44,6,FALSE),S1260)</f>
        <v>7.7866004962824142E-2</v>
      </c>
      <c r="T1259" s="45" t="str">
        <f>IFERROR(VLOOKUP(B1259,'Pre-Summary'!$Y$6:$AC$83, 3,FALSE),"")</f>
        <v/>
      </c>
      <c r="U1259" s="45" t="str">
        <f>IFERROR(VLOOKUP(B1259,'Pre-Summary'!$Y$6:$AC$83, 4,FALSE),"")</f>
        <v/>
      </c>
      <c r="V1259" t="str">
        <f>IFERROR(VLOOKUP(B1259,'Pre-Summary'!$Y$6:$AC$83, 5,FALSE),"")</f>
        <v/>
      </c>
      <c r="W1259" s="45" t="str">
        <f>IFERROR(VLOOKUP(B1259,'Pre-Summary'!$Y$6:$AD$83,6,FALSE),"")</f>
        <v/>
      </c>
      <c r="X1259" t="str">
        <f>IFERROR(VLOOKUP('Pre-Summary'!$DB$6:$DD$63,3,FALSE),"")</f>
        <v/>
      </c>
      <c r="Y1259" t="str">
        <f>IFERROR(VLOOKUP(B1259,'Pre-Summary'!$CR$6:$CT$36,3,FALSE),"")</f>
        <v/>
      </c>
      <c r="Z1259" s="45" t="str">
        <f>IFERROR(VLOOKUP(B1259,'Pre-Summary'!$BZ$6:$CB$63,2,FALSE),"")</f>
        <v/>
      </c>
      <c r="AA1259" s="45" t="str">
        <f>IFERROR(VLOOKUP(B1259,'Pre-Summary'!$CG$6:$CI$70,2,FALSE),"")</f>
        <v/>
      </c>
      <c r="AB1259" s="99">
        <f>IFERROR(VLOOKUP(B1259,'Pre-Summary'!$A$6:$P$178,9,FALSE),AB1260)</f>
        <v>0.23722758541104874</v>
      </c>
      <c r="AC1259" s="10">
        <f>IFERROR(VLOOKUP(Summary!B1259,'Pre-Summary'!$A$6:$P$184,5, FALSE)/100,AC1260)</f>
        <v>0.95326399999999989</v>
      </c>
      <c r="AD1259" s="10">
        <f>IFERROR(VLOOKUP(Summary!B1259,'Pre-Summary'!$A$6:$P$184,3, FALSE)/100,AD1260)</f>
        <v>3.9489333333333335E-2</v>
      </c>
      <c r="AE1259" s="10">
        <f>IFERROR(VLOOKUP(Summary!B1259,'Pre-Summary'!$A$6:$P$184,7, FALSE)/100,AE1260)</f>
        <v>7.0663333333333333E-3</v>
      </c>
      <c r="AF1259" s="99">
        <f t="shared" si="58"/>
        <v>9.3679591961587077E-3</v>
      </c>
      <c r="AG1259" s="99">
        <f t="shared" si="59"/>
        <v>1.676329194376274E-3</v>
      </c>
      <c r="AH1259" s="10" t="str">
        <f>IFERROR(VLOOKUP(B1259,'Pre-Summary'!$AZ$6:$BE$65,3,FALSE),"")</f>
        <v/>
      </c>
      <c r="AI1259" s="10" t="str">
        <f>IFERROR(VLOOKUP(B1259,'Pre-Summary'!$AZ$6:$BE$65,5,FALSE),"")</f>
        <v/>
      </c>
      <c r="AJ1259" s="10" t="str">
        <f>IFERROR(VLOOKUP(B1259,'Pre-Summary'!$AZ$6:$BE$65,4,FALSE),"")</f>
        <v/>
      </c>
      <c r="AK1259" s="10" t="str">
        <f>IFERROR(VLOOKUP(B1259,'Pre-Summary'!$AZ$6:$BE$65,6,FALSE),"")</f>
        <v/>
      </c>
      <c r="AL1259" s="10" t="str">
        <f>IFERROR(VLOOKUP(B1259,'Pre-Summary'!$BG$6:$BL$44,3,FALSE),"")</f>
        <v/>
      </c>
      <c r="AM1259" s="10" t="str">
        <f>IFERROR(VLOOKUP(B1259,'Pre-Summary'!$BG$6:$BL$44,4,FALSE),"")</f>
        <v/>
      </c>
    </row>
    <row r="1260" spans="2:39" ht="15" customHeight="1" x14ac:dyDescent="0.3">
      <c r="B1260">
        <v>125.7</v>
      </c>
      <c r="C1260" t="str">
        <f>IFERROR(VLOOKUP(B1260,'Pre-Summary'!$DI$6:$DM$23,4,FALSE),"")</f>
        <v/>
      </c>
      <c r="D1260" s="10" t="str">
        <f>IFERROR(VLOOKUP(B1260,'Pre-Summary'!$AT$6:$AX$14,5,FALSE),D1259)</f>
        <v>Speece: put in Speece media + EDTA + cysteine + vitamins as in DSMZ 120</v>
      </c>
      <c r="E1260" s="10" t="str">
        <f>IFERROR(VLOOKUP(B1260,'Pre-Summary'!$AT$6:$AX$15,4,FALSE),"")</f>
        <v/>
      </c>
      <c r="F1260">
        <f>IFERROR(VLOOKUP(B1260,'Pre-Summary'!$AL$6:$AQ$13,6,FALSE),F1259)</f>
        <v>5.9405263157894746E-2</v>
      </c>
      <c r="G1260" t="str">
        <f>IFERROR(VLOOKUP(B1260,'Pre-Summary'!$AE$6:$AJ$85,3,FALSE),"")</f>
        <v/>
      </c>
      <c r="H1260" t="str">
        <f>IFERROR(VLOOKUP(B1260,'Pre-Summary'!$AE$6:$AJ$85,4,FALSE),"")</f>
        <v/>
      </c>
      <c r="I1260" t="str">
        <f>IFERROR(VLOOKUP(B1260,'Pre-Summary'!$AE$6:$AJ$85,5,FALSE),"")</f>
        <v/>
      </c>
      <c r="J1260" s="45" t="str">
        <f>IFERROR(VLOOKUP(B1260,'Pre-Summary'!$AE$6:$AJ$85,6, FALSE),"")</f>
        <v/>
      </c>
      <c r="K1260" s="45" t="str">
        <f>IFERROR(VLOOKUP(B1260,'Pre-Summary'!$DE$6:$DG$61,3,FALSE),"")</f>
        <v/>
      </c>
      <c r="L1260" s="45" t="str">
        <f>IFERROR(VLOOKUP(B1260,'Pre-Summary'!$CU$6:$CW$36,3,FALSE),"")</f>
        <v/>
      </c>
      <c r="M1260" s="45" t="str">
        <f>IFERROR(VLOOKUP(B1260,'Pre-Summary'!$BW$6:$BY$58,2,FALSE),"")</f>
        <v/>
      </c>
      <c r="N1260" s="45" t="str">
        <f>IFERROR(VLOOKUP(B1260,'Pre-Summary'!$CD$6:$CF$64,2,FALSE),"")</f>
        <v/>
      </c>
      <c r="O1260" s="99">
        <f>IFERROR(VLOOKUP(B1260,'Pre-Summary'!$BO$6:$BQ$48,3, FALSE),O1259)</f>
        <v>1.2</v>
      </c>
      <c r="P1260" s="99">
        <f>IFERROR(VLOOKUP(B1260,'Pre-Summary'!$BS$6:$BU$35,3,FALSE),P1259)</f>
        <v>0.3</v>
      </c>
      <c r="Q1260" s="54">
        <f t="shared" si="57"/>
        <v>4</v>
      </c>
      <c r="R1260" s="53">
        <f>IFERROR(VLOOKUP(B1260,'Pre-Summary'!$BG$6:$BM$44,7,FALSE),R1261)</f>
        <v>8.2734025573422298E-2</v>
      </c>
      <c r="S1260" s="53">
        <f>IFERROR(VLOOKUP(B1260,'Pre-Summary'!$BG$6:$BM$44,6,FALSE),S1261)</f>
        <v>7.7866004962824142E-2</v>
      </c>
      <c r="T1260" s="45" t="str">
        <f>IFERROR(VLOOKUP(B1260,'Pre-Summary'!$Y$6:$AC$83, 3,FALSE),"")</f>
        <v/>
      </c>
      <c r="U1260" s="45" t="str">
        <f>IFERROR(VLOOKUP(B1260,'Pre-Summary'!$Y$6:$AC$83, 4,FALSE),"")</f>
        <v/>
      </c>
      <c r="V1260" t="str">
        <f>IFERROR(VLOOKUP(B1260,'Pre-Summary'!$Y$6:$AC$83, 5,FALSE),"")</f>
        <v/>
      </c>
      <c r="W1260" s="45" t="str">
        <f>IFERROR(VLOOKUP(B1260,'Pre-Summary'!$Y$6:$AD$83,6,FALSE),"")</f>
        <v/>
      </c>
      <c r="X1260" t="str">
        <f>IFERROR(VLOOKUP('Pre-Summary'!$DB$6:$DD$63,3,FALSE),"")</f>
        <v/>
      </c>
      <c r="Y1260" t="str">
        <f>IFERROR(VLOOKUP(B1260,'Pre-Summary'!$CR$6:$CT$36,3,FALSE),"")</f>
        <v/>
      </c>
      <c r="Z1260" s="45" t="str">
        <f>IFERROR(VLOOKUP(B1260,'Pre-Summary'!$BZ$6:$CB$63,2,FALSE),"")</f>
        <v/>
      </c>
      <c r="AA1260" s="45" t="str">
        <f>IFERROR(VLOOKUP(B1260,'Pre-Summary'!$CG$6:$CI$70,2,FALSE),"")</f>
        <v/>
      </c>
      <c r="AB1260" s="99">
        <f>IFERROR(VLOOKUP(B1260,'Pre-Summary'!$A$6:$P$178,9,FALSE),AB1261)</f>
        <v>0.23722758541104874</v>
      </c>
      <c r="AC1260" s="10">
        <f>IFERROR(VLOOKUP(Summary!B1260,'Pre-Summary'!$A$6:$P$184,5, FALSE)/100,AC1261)</f>
        <v>0.95326399999999989</v>
      </c>
      <c r="AD1260" s="10">
        <f>IFERROR(VLOOKUP(Summary!B1260,'Pre-Summary'!$A$6:$P$184,3, FALSE)/100,AD1261)</f>
        <v>3.9489333333333335E-2</v>
      </c>
      <c r="AE1260" s="10">
        <f>IFERROR(VLOOKUP(Summary!B1260,'Pre-Summary'!$A$6:$P$184,7, FALSE)/100,AE1261)</f>
        <v>7.0663333333333333E-3</v>
      </c>
      <c r="AF1260" s="99">
        <f t="shared" si="58"/>
        <v>9.3679591961587077E-3</v>
      </c>
      <c r="AG1260" s="99">
        <f t="shared" si="59"/>
        <v>1.676329194376274E-3</v>
      </c>
      <c r="AH1260" s="10" t="str">
        <f>IFERROR(VLOOKUP(B1260,'Pre-Summary'!$AZ$6:$BE$65,3,FALSE),"")</f>
        <v/>
      </c>
      <c r="AI1260" s="10" t="str">
        <f>IFERROR(VLOOKUP(B1260,'Pre-Summary'!$AZ$6:$BE$65,5,FALSE),"")</f>
        <v/>
      </c>
      <c r="AJ1260" s="10" t="str">
        <f>IFERROR(VLOOKUP(B1260,'Pre-Summary'!$AZ$6:$BE$65,4,FALSE),"")</f>
        <v/>
      </c>
      <c r="AK1260" s="10" t="str">
        <f>IFERROR(VLOOKUP(B1260,'Pre-Summary'!$AZ$6:$BE$65,6,FALSE),"")</f>
        <v/>
      </c>
      <c r="AL1260" s="10" t="str">
        <f>IFERROR(VLOOKUP(B1260,'Pre-Summary'!$BG$6:$BL$44,3,FALSE),"")</f>
        <v/>
      </c>
      <c r="AM1260" s="10" t="str">
        <f>IFERROR(VLOOKUP(B1260,'Pre-Summary'!$BG$6:$BL$44,4,FALSE),"")</f>
        <v/>
      </c>
    </row>
    <row r="1261" spans="2:39" ht="15" customHeight="1" x14ac:dyDescent="0.3">
      <c r="B1261">
        <v>125.8</v>
      </c>
      <c r="C1261" t="str">
        <f>IFERROR(VLOOKUP(B1261,'Pre-Summary'!$DI$6:$DM$23,4,FALSE),"")</f>
        <v/>
      </c>
      <c r="D1261" s="10" t="str">
        <f>IFERROR(VLOOKUP(B1261,'Pre-Summary'!$AT$6:$AX$14,5,FALSE),D1260)</f>
        <v>Speece: put in Speece media + EDTA + cysteine + vitamins as in DSMZ 120</v>
      </c>
      <c r="E1261" s="10" t="str">
        <f>IFERROR(VLOOKUP(B1261,'Pre-Summary'!$AT$6:$AX$15,4,FALSE),"")</f>
        <v/>
      </c>
      <c r="F1261">
        <f>IFERROR(VLOOKUP(B1261,'Pre-Summary'!$AL$6:$AQ$13,6,FALSE),F1260)</f>
        <v>5.9405263157894746E-2</v>
      </c>
      <c r="G1261" t="str">
        <f>IFERROR(VLOOKUP(B1261,'Pre-Summary'!$AE$6:$AJ$85,3,FALSE),"")</f>
        <v/>
      </c>
      <c r="H1261" t="str">
        <f>IFERROR(VLOOKUP(B1261,'Pre-Summary'!$AE$6:$AJ$85,4,FALSE),"")</f>
        <v/>
      </c>
      <c r="I1261" t="str">
        <f>IFERROR(VLOOKUP(B1261,'Pre-Summary'!$AE$6:$AJ$85,5,FALSE),"")</f>
        <v/>
      </c>
      <c r="J1261" s="45" t="str">
        <f>IFERROR(VLOOKUP(B1261,'Pre-Summary'!$AE$6:$AJ$85,6, FALSE),"")</f>
        <v/>
      </c>
      <c r="K1261" s="45" t="str">
        <f>IFERROR(VLOOKUP(B1261,'Pre-Summary'!$DE$6:$DG$61,3,FALSE),"")</f>
        <v/>
      </c>
      <c r="L1261" s="45" t="str">
        <f>IFERROR(VLOOKUP(B1261,'Pre-Summary'!$CU$6:$CW$36,3,FALSE),"")</f>
        <v/>
      </c>
      <c r="M1261" s="45" t="str">
        <f>IFERROR(VLOOKUP(B1261,'Pre-Summary'!$BW$6:$BY$58,2,FALSE),"")</f>
        <v/>
      </c>
      <c r="N1261" s="45" t="str">
        <f>IFERROR(VLOOKUP(B1261,'Pre-Summary'!$CD$6:$CF$64,2,FALSE),"")</f>
        <v/>
      </c>
      <c r="O1261" s="99">
        <f>IFERROR(VLOOKUP(B1261,'Pre-Summary'!$BO$6:$BQ$48,3, FALSE),O1260)</f>
        <v>1.2</v>
      </c>
      <c r="P1261" s="99">
        <f>IFERROR(VLOOKUP(B1261,'Pre-Summary'!$BS$6:$BU$35,3,FALSE),P1260)</f>
        <v>0.3</v>
      </c>
      <c r="Q1261" s="54">
        <f t="shared" si="57"/>
        <v>4</v>
      </c>
      <c r="R1261" s="53">
        <f>IFERROR(VLOOKUP(B1261,'Pre-Summary'!$BG$6:$BM$44,7,FALSE),R1262)</f>
        <v>8.2734025573422298E-2</v>
      </c>
      <c r="S1261" s="53">
        <f>IFERROR(VLOOKUP(B1261,'Pre-Summary'!$BG$6:$BM$44,6,FALSE),S1262)</f>
        <v>7.7866004962824142E-2</v>
      </c>
      <c r="T1261" s="45" t="str">
        <f>IFERROR(VLOOKUP(B1261,'Pre-Summary'!$Y$6:$AC$83, 3,FALSE),"")</f>
        <v/>
      </c>
      <c r="U1261" s="45" t="str">
        <f>IFERROR(VLOOKUP(B1261,'Pre-Summary'!$Y$6:$AC$83, 4,FALSE),"")</f>
        <v/>
      </c>
      <c r="V1261" t="str">
        <f>IFERROR(VLOOKUP(B1261,'Pre-Summary'!$Y$6:$AC$83, 5,FALSE),"")</f>
        <v/>
      </c>
      <c r="W1261" s="45" t="str">
        <f>IFERROR(VLOOKUP(B1261,'Pre-Summary'!$Y$6:$AD$83,6,FALSE),"")</f>
        <v/>
      </c>
      <c r="X1261" t="str">
        <f>IFERROR(VLOOKUP('Pre-Summary'!$DB$6:$DD$63,3,FALSE),"")</f>
        <v/>
      </c>
      <c r="Y1261" t="str">
        <f>IFERROR(VLOOKUP(B1261,'Pre-Summary'!$CR$6:$CT$36,3,FALSE),"")</f>
        <v/>
      </c>
      <c r="Z1261" s="45" t="str">
        <f>IFERROR(VLOOKUP(B1261,'Pre-Summary'!$BZ$6:$CB$63,2,FALSE),"")</f>
        <v/>
      </c>
      <c r="AA1261" s="45" t="str">
        <f>IFERROR(VLOOKUP(B1261,'Pre-Summary'!$CG$6:$CI$70,2,FALSE),"")</f>
        <v/>
      </c>
      <c r="AB1261" s="99">
        <f>IFERROR(VLOOKUP(B1261,'Pre-Summary'!$A$6:$P$178,9,FALSE),AB1262)</f>
        <v>0.23722758541104874</v>
      </c>
      <c r="AC1261" s="10">
        <f>IFERROR(VLOOKUP(Summary!B1261,'Pre-Summary'!$A$6:$P$184,5, FALSE)/100,AC1262)</f>
        <v>0.95326399999999989</v>
      </c>
      <c r="AD1261" s="10">
        <f>IFERROR(VLOOKUP(Summary!B1261,'Pre-Summary'!$A$6:$P$184,3, FALSE)/100,AD1262)</f>
        <v>3.9489333333333335E-2</v>
      </c>
      <c r="AE1261" s="10">
        <f>IFERROR(VLOOKUP(Summary!B1261,'Pre-Summary'!$A$6:$P$184,7, FALSE)/100,AE1262)</f>
        <v>7.0663333333333333E-3</v>
      </c>
      <c r="AF1261" s="99">
        <f t="shared" si="58"/>
        <v>9.3679591961587077E-3</v>
      </c>
      <c r="AG1261" s="99">
        <f t="shared" si="59"/>
        <v>1.676329194376274E-3</v>
      </c>
      <c r="AH1261" s="10" t="str">
        <f>IFERROR(VLOOKUP(B1261,'Pre-Summary'!$AZ$6:$BE$65,3,FALSE),"")</f>
        <v/>
      </c>
      <c r="AI1261" s="10" t="str">
        <f>IFERROR(VLOOKUP(B1261,'Pre-Summary'!$AZ$6:$BE$65,5,FALSE),"")</f>
        <v/>
      </c>
      <c r="AJ1261" s="10" t="str">
        <f>IFERROR(VLOOKUP(B1261,'Pre-Summary'!$AZ$6:$BE$65,4,FALSE),"")</f>
        <v/>
      </c>
      <c r="AK1261" s="10" t="str">
        <f>IFERROR(VLOOKUP(B1261,'Pre-Summary'!$AZ$6:$BE$65,6,FALSE),"")</f>
        <v/>
      </c>
      <c r="AL1261" s="10" t="str">
        <f>IFERROR(VLOOKUP(B1261,'Pre-Summary'!$BG$6:$BL$44,3,FALSE),"")</f>
        <v/>
      </c>
      <c r="AM1261" s="10" t="str">
        <f>IFERROR(VLOOKUP(B1261,'Pre-Summary'!$BG$6:$BL$44,4,FALSE),"")</f>
        <v/>
      </c>
    </row>
    <row r="1262" spans="2:39" ht="15" customHeight="1" x14ac:dyDescent="0.3">
      <c r="B1262">
        <v>125.9</v>
      </c>
      <c r="C1262" t="str">
        <f>IFERROR(VLOOKUP(B1262,'Pre-Summary'!$DI$6:$DM$23,4,FALSE),"")</f>
        <v>G12</v>
      </c>
      <c r="D1262" s="10" t="str">
        <f>IFERROR(VLOOKUP(B1262,'Pre-Summary'!$AT$6:$AX$14,5,FALSE),D1261)</f>
        <v>Speece: put in Speece media + EDTA + cysteine + vitamins as in DSMZ 120</v>
      </c>
      <c r="E1262" s="10" t="str">
        <f>IFERROR(VLOOKUP(B1262,'Pre-Summary'!$AT$6:$AX$15,4,FALSE),"")</f>
        <v/>
      </c>
      <c r="F1262">
        <f>IFERROR(VLOOKUP(B1262,'Pre-Summary'!$AL$6:$AQ$13,6,FALSE),F1261)</f>
        <v>5.9405263157894746E-2</v>
      </c>
      <c r="G1262" t="str">
        <f>IFERROR(VLOOKUP(B1262,'Pre-Summary'!$AE$6:$AJ$85,3,FALSE),"")</f>
        <v/>
      </c>
      <c r="H1262" t="str">
        <f>IFERROR(VLOOKUP(B1262,'Pre-Summary'!$AE$6:$AJ$85,4,FALSE),"")</f>
        <v/>
      </c>
      <c r="I1262" t="str">
        <f>IFERROR(VLOOKUP(B1262,'Pre-Summary'!$AE$6:$AJ$85,5,FALSE),"")</f>
        <v/>
      </c>
      <c r="J1262" s="45" t="str">
        <f>IFERROR(VLOOKUP(B1262,'Pre-Summary'!$AE$6:$AJ$85,6, FALSE),"")</f>
        <v/>
      </c>
      <c r="K1262" s="45" t="str">
        <f>IFERROR(VLOOKUP(B1262,'Pre-Summary'!$DE$6:$DG$61,3,FALSE),"")</f>
        <v/>
      </c>
      <c r="L1262" s="45" t="str">
        <f>IFERROR(VLOOKUP(B1262,'Pre-Summary'!$CU$6:$CW$36,3,FALSE),"")</f>
        <v/>
      </c>
      <c r="M1262" s="45" t="str">
        <f>IFERROR(VLOOKUP(B1262,'Pre-Summary'!$BW$6:$BY$58,2,FALSE),"")</f>
        <v/>
      </c>
      <c r="N1262" s="45" t="str">
        <f>IFERROR(VLOOKUP(B1262,'Pre-Summary'!$CD$6:$CF$64,2,FALSE),"")</f>
        <v/>
      </c>
      <c r="O1262" s="99">
        <f>IFERROR(VLOOKUP(B1262,'Pre-Summary'!$BO$6:$BQ$48,3, FALSE),O1261)</f>
        <v>1.2</v>
      </c>
      <c r="P1262" s="99">
        <f>IFERROR(VLOOKUP(B1262,'Pre-Summary'!$BS$6:$BU$35,3,FALSE),P1261)</f>
        <v>0.3</v>
      </c>
      <c r="Q1262" s="54">
        <f t="shared" si="57"/>
        <v>4</v>
      </c>
      <c r="R1262" s="53">
        <f>IFERROR(VLOOKUP(B1262,'Pre-Summary'!$BG$6:$BM$44,7,FALSE),R1263)</f>
        <v>8.2734025573422298E-2</v>
      </c>
      <c r="S1262" s="53">
        <f>IFERROR(VLOOKUP(B1262,'Pre-Summary'!$BG$6:$BM$44,6,FALSE),S1263)</f>
        <v>7.7866004962824142E-2</v>
      </c>
      <c r="T1262" s="45" t="str">
        <f>IFERROR(VLOOKUP(B1262,'Pre-Summary'!$Y$6:$AC$83, 3,FALSE),"")</f>
        <v/>
      </c>
      <c r="U1262" s="45" t="str">
        <f>IFERROR(VLOOKUP(B1262,'Pre-Summary'!$Y$6:$AC$83, 4,FALSE),"")</f>
        <v/>
      </c>
      <c r="V1262" t="str">
        <f>IFERROR(VLOOKUP(B1262,'Pre-Summary'!$Y$6:$AC$83, 5,FALSE),"")</f>
        <v/>
      </c>
      <c r="W1262" s="45" t="str">
        <f>IFERROR(VLOOKUP(B1262,'Pre-Summary'!$Y$6:$AD$83,6,FALSE),"")</f>
        <v/>
      </c>
      <c r="X1262" t="str">
        <f>IFERROR(VLOOKUP('Pre-Summary'!$DB$6:$DD$63,3,FALSE),"")</f>
        <v/>
      </c>
      <c r="Y1262" t="str">
        <f>IFERROR(VLOOKUP(B1262,'Pre-Summary'!$CR$6:$CT$36,3,FALSE),"")</f>
        <v/>
      </c>
      <c r="Z1262" s="45" t="str">
        <f>IFERROR(VLOOKUP(B1262,'Pre-Summary'!$BZ$6:$CB$63,2,FALSE),"")</f>
        <v/>
      </c>
      <c r="AA1262" s="45" t="str">
        <f>IFERROR(VLOOKUP(B1262,'Pre-Summary'!$CG$6:$CI$70,2,FALSE),"")</f>
        <v/>
      </c>
      <c r="AB1262" s="99">
        <f>IFERROR(VLOOKUP(B1262,'Pre-Summary'!$A$6:$P$178,9,FALSE),AB1263)</f>
        <v>0.23722758541104874</v>
      </c>
      <c r="AC1262" s="10">
        <f>IFERROR(VLOOKUP(Summary!B1262,'Pre-Summary'!$A$6:$P$184,5, FALSE)/100,AC1263)</f>
        <v>0.95326399999999989</v>
      </c>
      <c r="AD1262" s="10">
        <f>IFERROR(VLOOKUP(Summary!B1262,'Pre-Summary'!$A$6:$P$184,3, FALSE)/100,AD1263)</f>
        <v>3.9489333333333335E-2</v>
      </c>
      <c r="AE1262" s="10">
        <f>IFERROR(VLOOKUP(Summary!B1262,'Pre-Summary'!$A$6:$P$184,7, FALSE)/100,AE1263)</f>
        <v>7.0663333333333333E-3</v>
      </c>
      <c r="AF1262" s="99">
        <f t="shared" si="58"/>
        <v>9.3679591961587077E-3</v>
      </c>
      <c r="AG1262" s="99">
        <f t="shared" si="59"/>
        <v>1.676329194376274E-3</v>
      </c>
      <c r="AH1262" s="10" t="str">
        <f>IFERROR(VLOOKUP(B1262,'Pre-Summary'!$AZ$6:$BE$65,3,FALSE),"")</f>
        <v/>
      </c>
      <c r="AI1262" s="10" t="str">
        <f>IFERROR(VLOOKUP(B1262,'Pre-Summary'!$AZ$6:$BE$65,5,FALSE),"")</f>
        <v/>
      </c>
      <c r="AJ1262" s="10" t="str">
        <f>IFERROR(VLOOKUP(B1262,'Pre-Summary'!$AZ$6:$BE$65,4,FALSE),"")</f>
        <v/>
      </c>
      <c r="AK1262" s="10" t="str">
        <f>IFERROR(VLOOKUP(B1262,'Pre-Summary'!$AZ$6:$BE$65,6,FALSE),"")</f>
        <v/>
      </c>
      <c r="AL1262" s="10" t="str">
        <f>IFERROR(VLOOKUP(B1262,'Pre-Summary'!$BG$6:$BL$44,3,FALSE),"")</f>
        <v/>
      </c>
      <c r="AM1262" s="10" t="str">
        <f>IFERROR(VLOOKUP(B1262,'Pre-Summary'!$BG$6:$BL$44,4,FALSE),"")</f>
        <v/>
      </c>
    </row>
    <row r="1263" spans="2:39" ht="15" customHeight="1" x14ac:dyDescent="0.3">
      <c r="B1263">
        <v>126</v>
      </c>
      <c r="C1263" t="str">
        <f>IFERROR(VLOOKUP(B1263,'Pre-Summary'!$DI$6:$DM$23,4,FALSE),"")</f>
        <v/>
      </c>
      <c r="D1263" s="10" t="str">
        <f>IFERROR(VLOOKUP(B1263,'Pre-Summary'!$AT$6:$AX$14,5,FALSE),D1262)</f>
        <v>Speece: put in Speece media + EDTA + cysteine + vitamins as in DSMZ 120</v>
      </c>
      <c r="E1263" s="10" t="str">
        <f>IFERROR(VLOOKUP(B1263,'Pre-Summary'!$AT$6:$AX$15,4,FALSE),"")</f>
        <v/>
      </c>
      <c r="F1263">
        <f>IFERROR(VLOOKUP(B1263,'Pre-Summary'!$AL$6:$AQ$13,6,FALSE),F1262)</f>
        <v>5.9405263157894746E-2</v>
      </c>
      <c r="G1263" t="str">
        <f>IFERROR(VLOOKUP(B1263,'Pre-Summary'!$AE$6:$AJ$85,3,FALSE),"")</f>
        <v/>
      </c>
      <c r="H1263" t="str">
        <f>IFERROR(VLOOKUP(B1263,'Pre-Summary'!$AE$6:$AJ$85,4,FALSE),"")</f>
        <v/>
      </c>
      <c r="I1263" t="str">
        <f>IFERROR(VLOOKUP(B1263,'Pre-Summary'!$AE$6:$AJ$85,5,FALSE),"")</f>
        <v/>
      </c>
      <c r="J1263" s="45" t="str">
        <f>IFERROR(VLOOKUP(B1263,'Pre-Summary'!$AE$6:$AJ$85,6, FALSE),"")</f>
        <v/>
      </c>
      <c r="K1263" s="45" t="str">
        <f>IFERROR(VLOOKUP(B1263,'Pre-Summary'!$DE$6:$DG$61,3,FALSE),"")</f>
        <v/>
      </c>
      <c r="L1263" s="45" t="str">
        <f>IFERROR(VLOOKUP(B1263,'Pre-Summary'!$CU$6:$CW$36,3,FALSE),"")</f>
        <v/>
      </c>
      <c r="M1263" s="45" t="str">
        <f>IFERROR(VLOOKUP(B1263,'Pre-Summary'!$BW$6:$BY$58,2,FALSE),"")</f>
        <v/>
      </c>
      <c r="N1263" s="45" t="str">
        <f>IFERROR(VLOOKUP(B1263,'Pre-Summary'!$CD$6:$CF$64,2,FALSE),"")</f>
        <v/>
      </c>
      <c r="O1263" s="99">
        <f>IFERROR(VLOOKUP(B1263,'Pre-Summary'!$BO$6:$BQ$48,3, FALSE),O1262)</f>
        <v>1.2</v>
      </c>
      <c r="P1263" s="99">
        <f>IFERROR(VLOOKUP(B1263,'Pre-Summary'!$BS$6:$BU$35,3,FALSE),P1262)</f>
        <v>0.3</v>
      </c>
      <c r="Q1263" s="54">
        <f t="shared" si="57"/>
        <v>4</v>
      </c>
      <c r="R1263" s="53">
        <f>IFERROR(VLOOKUP(B1263,'Pre-Summary'!$BG$6:$BM$44,7,FALSE),R1264)</f>
        <v>8.2734025573422298E-2</v>
      </c>
      <c r="S1263" s="53">
        <f>IFERROR(VLOOKUP(B1263,'Pre-Summary'!$BG$6:$BM$44,6,FALSE),S1264)</f>
        <v>7.7866004962824142E-2</v>
      </c>
      <c r="T1263" s="45" t="str">
        <f>IFERROR(VLOOKUP(B1263,'Pre-Summary'!$Y$6:$AC$83, 3,FALSE),"")</f>
        <v/>
      </c>
      <c r="U1263" s="45" t="str">
        <f>IFERROR(VLOOKUP(B1263,'Pre-Summary'!$Y$6:$AC$83, 4,FALSE),"")</f>
        <v/>
      </c>
      <c r="V1263" t="str">
        <f>IFERROR(VLOOKUP(B1263,'Pre-Summary'!$Y$6:$AC$83, 5,FALSE),"")</f>
        <v/>
      </c>
      <c r="W1263" s="45" t="str">
        <f>IFERROR(VLOOKUP(B1263,'Pre-Summary'!$Y$6:$AD$83,6,FALSE),"")</f>
        <v/>
      </c>
      <c r="X1263" t="str">
        <f>IFERROR(VLOOKUP('Pre-Summary'!$DB$6:$DD$63,3,FALSE),"")</f>
        <v/>
      </c>
      <c r="Y1263" t="str">
        <f>IFERROR(VLOOKUP(B1263,'Pre-Summary'!$CR$6:$CT$36,3,FALSE),"")</f>
        <v/>
      </c>
      <c r="Z1263" s="45" t="str">
        <f>IFERROR(VLOOKUP(B1263,'Pre-Summary'!$BZ$6:$CB$63,2,FALSE),"")</f>
        <v/>
      </c>
      <c r="AA1263" s="45" t="str">
        <f>IFERROR(VLOOKUP(B1263,'Pre-Summary'!$CG$6:$CI$70,2,FALSE),"")</f>
        <v/>
      </c>
      <c r="AB1263" s="99">
        <f>IFERROR(VLOOKUP(B1263,'Pre-Summary'!$A$6:$P$178,9,FALSE),AB1264)</f>
        <v>0.23722758541104874</v>
      </c>
      <c r="AC1263" s="10">
        <f>IFERROR(VLOOKUP(Summary!B1263,'Pre-Summary'!$A$6:$P$184,5, FALSE)/100,AC1264)</f>
        <v>0.95326399999999989</v>
      </c>
      <c r="AD1263" s="10">
        <f>IFERROR(VLOOKUP(Summary!B1263,'Pre-Summary'!$A$6:$P$184,3, FALSE)/100,AD1264)</f>
        <v>3.9489333333333335E-2</v>
      </c>
      <c r="AE1263" s="10">
        <f>IFERROR(VLOOKUP(Summary!B1263,'Pre-Summary'!$A$6:$P$184,7, FALSE)/100,AE1264)</f>
        <v>7.0663333333333333E-3</v>
      </c>
      <c r="AF1263" s="99">
        <f t="shared" si="58"/>
        <v>9.3679591961587077E-3</v>
      </c>
      <c r="AG1263" s="99">
        <f t="shared" si="59"/>
        <v>1.676329194376274E-3</v>
      </c>
      <c r="AH1263" s="10" t="str">
        <f>IFERROR(VLOOKUP(B1263,'Pre-Summary'!$AZ$6:$BE$65,3,FALSE),"")</f>
        <v/>
      </c>
      <c r="AI1263" s="10" t="str">
        <f>IFERROR(VLOOKUP(B1263,'Pre-Summary'!$AZ$6:$BE$65,5,FALSE),"")</f>
        <v/>
      </c>
      <c r="AJ1263" s="10" t="str">
        <f>IFERROR(VLOOKUP(B1263,'Pre-Summary'!$AZ$6:$BE$65,4,FALSE),"")</f>
        <v/>
      </c>
      <c r="AK1263" s="10" t="str">
        <f>IFERROR(VLOOKUP(B1263,'Pre-Summary'!$AZ$6:$BE$65,6,FALSE),"")</f>
        <v/>
      </c>
      <c r="AL1263" s="10" t="str">
        <f>IFERROR(VLOOKUP(B1263,'Pre-Summary'!$BG$6:$BL$44,3,FALSE),"")</f>
        <v/>
      </c>
      <c r="AM1263" s="10" t="str">
        <f>IFERROR(VLOOKUP(B1263,'Pre-Summary'!$BG$6:$BL$44,4,FALSE),"")</f>
        <v/>
      </c>
    </row>
    <row r="1264" spans="2:39" ht="15" customHeight="1" x14ac:dyDescent="0.3">
      <c r="B1264">
        <v>126.1</v>
      </c>
      <c r="C1264" t="str">
        <f>IFERROR(VLOOKUP(B1264,'Pre-Summary'!$DI$6:$DM$23,4,FALSE),"")</f>
        <v/>
      </c>
      <c r="D1264" s="10" t="str">
        <f>IFERROR(VLOOKUP(B1264,'Pre-Summary'!$AT$6:$AX$14,5,FALSE),D1263)</f>
        <v>Speece: put in Speece media + EDTA + cysteine + vitamins as in DSMZ 120</v>
      </c>
      <c r="E1264" s="10" t="str">
        <f>IFERROR(VLOOKUP(B1264,'Pre-Summary'!$AT$6:$AX$15,4,FALSE),"")</f>
        <v/>
      </c>
      <c r="F1264">
        <f>IFERROR(VLOOKUP(B1264,'Pre-Summary'!$AL$6:$AQ$13,6,FALSE),F1263)</f>
        <v>5.9405263157894746E-2</v>
      </c>
      <c r="G1264" t="str">
        <f>IFERROR(VLOOKUP(B1264,'Pre-Summary'!$AE$6:$AJ$85,3,FALSE),"")</f>
        <v/>
      </c>
      <c r="H1264" t="str">
        <f>IFERROR(VLOOKUP(B1264,'Pre-Summary'!$AE$6:$AJ$85,4,FALSE),"")</f>
        <v/>
      </c>
      <c r="I1264" t="str">
        <f>IFERROR(VLOOKUP(B1264,'Pre-Summary'!$AE$6:$AJ$85,5,FALSE),"")</f>
        <v/>
      </c>
      <c r="J1264" s="45" t="str">
        <f>IFERROR(VLOOKUP(B1264,'Pre-Summary'!$AE$6:$AJ$85,6, FALSE),"")</f>
        <v/>
      </c>
      <c r="K1264" s="45" t="str">
        <f>IFERROR(VLOOKUP(B1264,'Pre-Summary'!$DE$6:$DG$61,3,FALSE),"")</f>
        <v/>
      </c>
      <c r="L1264" s="45" t="str">
        <f>IFERROR(VLOOKUP(B1264,'Pre-Summary'!$CU$6:$CW$36,3,FALSE),"")</f>
        <v/>
      </c>
      <c r="M1264" s="45" t="str">
        <f>IFERROR(VLOOKUP(B1264,'Pre-Summary'!$BW$6:$BY$58,2,FALSE),"")</f>
        <v/>
      </c>
      <c r="N1264" s="45" t="str">
        <f>IFERROR(VLOOKUP(B1264,'Pre-Summary'!$CD$6:$CF$64,2,FALSE),"")</f>
        <v/>
      </c>
      <c r="O1264" s="99">
        <f>IFERROR(VLOOKUP(B1264,'Pre-Summary'!$BO$6:$BQ$48,3, FALSE),O1263)</f>
        <v>1.2</v>
      </c>
      <c r="P1264" s="99">
        <f>IFERROR(VLOOKUP(B1264,'Pre-Summary'!$BS$6:$BU$35,3,FALSE),P1263)</f>
        <v>0.3</v>
      </c>
      <c r="Q1264" s="54">
        <f t="shared" si="57"/>
        <v>4</v>
      </c>
      <c r="R1264" s="53">
        <f>IFERROR(VLOOKUP(B1264,'Pre-Summary'!$BG$6:$BM$44,7,FALSE),R1265)</f>
        <v>8.2734025573422298E-2</v>
      </c>
      <c r="S1264" s="53">
        <f>IFERROR(VLOOKUP(B1264,'Pre-Summary'!$BG$6:$BM$44,6,FALSE),S1265)</f>
        <v>7.7866004962824142E-2</v>
      </c>
      <c r="T1264" s="45" t="str">
        <f>IFERROR(VLOOKUP(B1264,'Pre-Summary'!$Y$6:$AC$83, 3,FALSE),"")</f>
        <v/>
      </c>
      <c r="U1264" s="45" t="str">
        <f>IFERROR(VLOOKUP(B1264,'Pre-Summary'!$Y$6:$AC$83, 4,FALSE),"")</f>
        <v/>
      </c>
      <c r="V1264" t="str">
        <f>IFERROR(VLOOKUP(B1264,'Pre-Summary'!$Y$6:$AC$83, 5,FALSE),"")</f>
        <v/>
      </c>
      <c r="W1264" s="45" t="str">
        <f>IFERROR(VLOOKUP(B1264,'Pre-Summary'!$Y$6:$AD$83,6,FALSE),"")</f>
        <v/>
      </c>
      <c r="X1264" t="str">
        <f>IFERROR(VLOOKUP('Pre-Summary'!$DB$6:$DD$63,3,FALSE),"")</f>
        <v/>
      </c>
      <c r="Y1264" t="str">
        <f>IFERROR(VLOOKUP(B1264,'Pre-Summary'!$CR$6:$CT$36,3,FALSE),"")</f>
        <v/>
      </c>
      <c r="Z1264" s="45" t="str">
        <f>IFERROR(VLOOKUP(B1264,'Pre-Summary'!$BZ$6:$CB$63,2,FALSE),"")</f>
        <v/>
      </c>
      <c r="AA1264" s="45" t="str">
        <f>IFERROR(VLOOKUP(B1264,'Pre-Summary'!$CG$6:$CI$70,2,FALSE),"")</f>
        <v/>
      </c>
      <c r="AB1264" s="99">
        <f>IFERROR(VLOOKUP(B1264,'Pre-Summary'!$A$6:$P$178,9,FALSE),AB1265)</f>
        <v>0.23722758541104874</v>
      </c>
      <c r="AC1264" s="10">
        <f>IFERROR(VLOOKUP(Summary!B1264,'Pre-Summary'!$A$6:$P$184,5, FALSE)/100,AC1265)</f>
        <v>0.95326399999999989</v>
      </c>
      <c r="AD1264" s="10">
        <f>IFERROR(VLOOKUP(Summary!B1264,'Pre-Summary'!$A$6:$P$184,3, FALSE)/100,AD1265)</f>
        <v>3.9489333333333335E-2</v>
      </c>
      <c r="AE1264" s="10">
        <f>IFERROR(VLOOKUP(Summary!B1264,'Pre-Summary'!$A$6:$P$184,7, FALSE)/100,AE1265)</f>
        <v>7.0663333333333333E-3</v>
      </c>
      <c r="AF1264" s="99">
        <f t="shared" si="58"/>
        <v>9.3679591961587077E-3</v>
      </c>
      <c r="AG1264" s="99">
        <f t="shared" si="59"/>
        <v>1.676329194376274E-3</v>
      </c>
      <c r="AH1264" s="10" t="str">
        <f>IFERROR(VLOOKUP(B1264,'Pre-Summary'!$AZ$6:$BE$65,3,FALSE),"")</f>
        <v/>
      </c>
      <c r="AI1264" s="10" t="str">
        <f>IFERROR(VLOOKUP(B1264,'Pre-Summary'!$AZ$6:$BE$65,5,FALSE),"")</f>
        <v/>
      </c>
      <c r="AJ1264" s="10" t="str">
        <f>IFERROR(VLOOKUP(B1264,'Pre-Summary'!$AZ$6:$BE$65,4,FALSE),"")</f>
        <v/>
      </c>
      <c r="AK1264" s="10" t="str">
        <f>IFERROR(VLOOKUP(B1264,'Pre-Summary'!$AZ$6:$BE$65,6,FALSE),"")</f>
        <v/>
      </c>
      <c r="AL1264" s="10" t="str">
        <f>IFERROR(VLOOKUP(B1264,'Pre-Summary'!$BG$6:$BL$44,3,FALSE),"")</f>
        <v/>
      </c>
      <c r="AM1264" s="10" t="str">
        <f>IFERROR(VLOOKUP(B1264,'Pre-Summary'!$BG$6:$BL$44,4,FALSE),"")</f>
        <v/>
      </c>
    </row>
    <row r="1265" spans="2:39" ht="15" customHeight="1" x14ac:dyDescent="0.3">
      <c r="B1265">
        <v>126.2</v>
      </c>
      <c r="C1265" t="str">
        <f>IFERROR(VLOOKUP(B1265,'Pre-Summary'!$DI$6:$DM$23,4,FALSE),"")</f>
        <v/>
      </c>
      <c r="D1265" s="10" t="str">
        <f>IFERROR(VLOOKUP(B1265,'Pre-Summary'!$AT$6:$AX$14,5,FALSE),D1264)</f>
        <v>Speece: put in Speece media + EDTA + cysteine + vitamins as in DSMZ 120</v>
      </c>
      <c r="E1265" s="10" t="str">
        <f>IFERROR(VLOOKUP(B1265,'Pre-Summary'!$AT$6:$AX$15,4,FALSE),"")</f>
        <v/>
      </c>
      <c r="F1265">
        <f>IFERROR(VLOOKUP(B1265,'Pre-Summary'!$AL$6:$AQ$13,6,FALSE),F1264)</f>
        <v>5.9405263157894746E-2</v>
      </c>
      <c r="G1265" t="str">
        <f>IFERROR(VLOOKUP(B1265,'Pre-Summary'!$AE$6:$AJ$85,3,FALSE),"")</f>
        <v/>
      </c>
      <c r="H1265" t="str">
        <f>IFERROR(VLOOKUP(B1265,'Pre-Summary'!$AE$6:$AJ$85,4,FALSE),"")</f>
        <v/>
      </c>
      <c r="I1265" t="str">
        <f>IFERROR(VLOOKUP(B1265,'Pre-Summary'!$AE$6:$AJ$85,5,FALSE),"")</f>
        <v/>
      </c>
      <c r="J1265" s="45" t="str">
        <f>IFERROR(VLOOKUP(B1265,'Pre-Summary'!$AE$6:$AJ$85,6, FALSE),"")</f>
        <v/>
      </c>
      <c r="K1265" s="45" t="str">
        <f>IFERROR(VLOOKUP(B1265,'Pre-Summary'!$DE$6:$DG$61,3,FALSE),"")</f>
        <v/>
      </c>
      <c r="L1265" s="45" t="str">
        <f>IFERROR(VLOOKUP(B1265,'Pre-Summary'!$CU$6:$CW$36,3,FALSE),"")</f>
        <v/>
      </c>
      <c r="M1265" s="45" t="str">
        <f>IFERROR(VLOOKUP(B1265,'Pre-Summary'!$BW$6:$BY$58,2,FALSE),"")</f>
        <v/>
      </c>
      <c r="N1265" s="45" t="str">
        <f>IFERROR(VLOOKUP(B1265,'Pre-Summary'!$CD$6:$CF$64,2,FALSE),"")</f>
        <v/>
      </c>
      <c r="O1265" s="99">
        <f>IFERROR(VLOOKUP(B1265,'Pre-Summary'!$BO$6:$BQ$48,3, FALSE),O1264)</f>
        <v>1.2</v>
      </c>
      <c r="P1265" s="99">
        <f>IFERROR(VLOOKUP(B1265,'Pre-Summary'!$BS$6:$BU$35,3,FALSE),P1264)</f>
        <v>0.3</v>
      </c>
      <c r="Q1265" s="54">
        <f t="shared" si="57"/>
        <v>4</v>
      </c>
      <c r="R1265" s="53">
        <f>IFERROR(VLOOKUP(B1265,'Pre-Summary'!$BG$6:$BM$44,7,FALSE),R1266)</f>
        <v>8.2734025573422298E-2</v>
      </c>
      <c r="S1265" s="53">
        <f>IFERROR(VLOOKUP(B1265,'Pre-Summary'!$BG$6:$BM$44,6,FALSE),S1266)</f>
        <v>7.7866004962824142E-2</v>
      </c>
      <c r="T1265" s="45" t="str">
        <f>IFERROR(VLOOKUP(B1265,'Pre-Summary'!$Y$6:$AC$83, 3,FALSE),"")</f>
        <v/>
      </c>
      <c r="U1265" s="45" t="str">
        <f>IFERROR(VLOOKUP(B1265,'Pre-Summary'!$Y$6:$AC$83, 4,FALSE),"")</f>
        <v/>
      </c>
      <c r="V1265" t="str">
        <f>IFERROR(VLOOKUP(B1265,'Pre-Summary'!$Y$6:$AC$83, 5,FALSE),"")</f>
        <v/>
      </c>
      <c r="W1265" s="45" t="str">
        <f>IFERROR(VLOOKUP(B1265,'Pre-Summary'!$Y$6:$AD$83,6,FALSE),"")</f>
        <v/>
      </c>
      <c r="X1265" t="str">
        <f>IFERROR(VLOOKUP('Pre-Summary'!$DB$6:$DD$63,3,FALSE),"")</f>
        <v/>
      </c>
      <c r="Y1265" t="str">
        <f>IFERROR(VLOOKUP(B1265,'Pre-Summary'!$CR$6:$CT$36,3,FALSE),"")</f>
        <v/>
      </c>
      <c r="Z1265" s="45" t="str">
        <f>IFERROR(VLOOKUP(B1265,'Pre-Summary'!$BZ$6:$CB$63,2,FALSE),"")</f>
        <v/>
      </c>
      <c r="AA1265" s="45" t="str">
        <f>IFERROR(VLOOKUP(B1265,'Pre-Summary'!$CG$6:$CI$70,2,FALSE),"")</f>
        <v/>
      </c>
      <c r="AB1265" s="99">
        <f>IFERROR(VLOOKUP(B1265,'Pre-Summary'!$A$6:$P$178,9,FALSE),AB1266)</f>
        <v>0.23722758541104874</v>
      </c>
      <c r="AC1265" s="10">
        <f>IFERROR(VLOOKUP(Summary!B1265,'Pre-Summary'!$A$6:$P$184,5, FALSE)/100,AC1266)</f>
        <v>0.95326399999999989</v>
      </c>
      <c r="AD1265" s="10">
        <f>IFERROR(VLOOKUP(Summary!B1265,'Pre-Summary'!$A$6:$P$184,3, FALSE)/100,AD1266)</f>
        <v>3.9489333333333335E-2</v>
      </c>
      <c r="AE1265" s="10">
        <f>IFERROR(VLOOKUP(Summary!B1265,'Pre-Summary'!$A$6:$P$184,7, FALSE)/100,AE1266)</f>
        <v>7.0663333333333333E-3</v>
      </c>
      <c r="AF1265" s="99">
        <f t="shared" si="58"/>
        <v>9.3679591961587077E-3</v>
      </c>
      <c r="AG1265" s="99">
        <f t="shared" si="59"/>
        <v>1.676329194376274E-3</v>
      </c>
      <c r="AH1265" s="10" t="str">
        <f>IFERROR(VLOOKUP(B1265,'Pre-Summary'!$AZ$6:$BE$65,3,FALSE),"")</f>
        <v/>
      </c>
      <c r="AI1265" s="10" t="str">
        <f>IFERROR(VLOOKUP(B1265,'Pre-Summary'!$AZ$6:$BE$65,5,FALSE),"")</f>
        <v/>
      </c>
      <c r="AJ1265" s="10" t="str">
        <f>IFERROR(VLOOKUP(B1265,'Pre-Summary'!$AZ$6:$BE$65,4,FALSE),"")</f>
        <v/>
      </c>
      <c r="AK1265" s="10" t="str">
        <f>IFERROR(VLOOKUP(B1265,'Pre-Summary'!$AZ$6:$BE$65,6,FALSE),"")</f>
        <v/>
      </c>
      <c r="AL1265" s="10" t="str">
        <f>IFERROR(VLOOKUP(B1265,'Pre-Summary'!$BG$6:$BL$44,3,FALSE),"")</f>
        <v/>
      </c>
      <c r="AM1265" s="10" t="str">
        <f>IFERROR(VLOOKUP(B1265,'Pre-Summary'!$BG$6:$BL$44,4,FALSE),"")</f>
        <v/>
      </c>
    </row>
    <row r="1266" spans="2:39" ht="15" customHeight="1" x14ac:dyDescent="0.3">
      <c r="B1266">
        <v>126.3</v>
      </c>
      <c r="C1266" t="str">
        <f>IFERROR(VLOOKUP(B1266,'Pre-Summary'!$DI$6:$DM$23,4,FALSE),"")</f>
        <v/>
      </c>
      <c r="D1266" s="10" t="str">
        <f>IFERROR(VLOOKUP(B1266,'Pre-Summary'!$AT$6:$AX$14,5,FALSE),D1265)</f>
        <v>Speece: put in Speece media + EDTA + cysteine + vitamins as in DSMZ 120</v>
      </c>
      <c r="E1266" s="10" t="str">
        <f>IFERROR(VLOOKUP(B1266,'Pre-Summary'!$AT$6:$AX$15,4,FALSE),"")</f>
        <v/>
      </c>
      <c r="F1266">
        <f>IFERROR(VLOOKUP(B1266,'Pre-Summary'!$AL$6:$AQ$13,6,FALSE),F1265)</f>
        <v>5.9405263157894746E-2</v>
      </c>
      <c r="G1266" t="str">
        <f>IFERROR(VLOOKUP(B1266,'Pre-Summary'!$AE$6:$AJ$85,3,FALSE),"")</f>
        <v/>
      </c>
      <c r="H1266" t="str">
        <f>IFERROR(VLOOKUP(B1266,'Pre-Summary'!$AE$6:$AJ$85,4,FALSE),"")</f>
        <v/>
      </c>
      <c r="I1266" t="str">
        <f>IFERROR(VLOOKUP(B1266,'Pre-Summary'!$AE$6:$AJ$85,5,FALSE),"")</f>
        <v/>
      </c>
      <c r="J1266" s="45" t="str">
        <f>IFERROR(VLOOKUP(B1266,'Pre-Summary'!$AE$6:$AJ$85,6, FALSE),"")</f>
        <v/>
      </c>
      <c r="K1266" s="45" t="str">
        <f>IFERROR(VLOOKUP(B1266,'Pre-Summary'!$DE$6:$DG$61,3,FALSE),"")</f>
        <v/>
      </c>
      <c r="L1266" s="45" t="str">
        <f>IFERROR(VLOOKUP(B1266,'Pre-Summary'!$CU$6:$CW$36,3,FALSE),"")</f>
        <v/>
      </c>
      <c r="M1266" s="45" t="str">
        <f>IFERROR(VLOOKUP(B1266,'Pre-Summary'!$BW$6:$BY$58,2,FALSE),"")</f>
        <v/>
      </c>
      <c r="N1266" s="45" t="str">
        <f>IFERROR(VLOOKUP(B1266,'Pre-Summary'!$CD$6:$CF$64,2,FALSE),"")</f>
        <v/>
      </c>
      <c r="O1266" s="99">
        <f>IFERROR(VLOOKUP(B1266,'Pre-Summary'!$BO$6:$BQ$48,3, FALSE),O1265)</f>
        <v>1.2</v>
      </c>
      <c r="P1266" s="99">
        <f>IFERROR(VLOOKUP(B1266,'Pre-Summary'!$BS$6:$BU$35,3,FALSE),P1265)</f>
        <v>0.3</v>
      </c>
      <c r="Q1266" s="54">
        <f t="shared" si="57"/>
        <v>4</v>
      </c>
      <c r="R1266" s="53">
        <f>IFERROR(VLOOKUP(B1266,'Pre-Summary'!$BG$6:$BM$44,7,FALSE),R1267)</f>
        <v>8.2734025573422298E-2</v>
      </c>
      <c r="S1266" s="53">
        <f>IFERROR(VLOOKUP(B1266,'Pre-Summary'!$BG$6:$BM$44,6,FALSE),S1267)</f>
        <v>7.7866004962824142E-2</v>
      </c>
      <c r="T1266" s="45" t="str">
        <f>IFERROR(VLOOKUP(B1266,'Pre-Summary'!$Y$6:$AC$83, 3,FALSE),"")</f>
        <v/>
      </c>
      <c r="U1266" s="45" t="str">
        <f>IFERROR(VLOOKUP(B1266,'Pre-Summary'!$Y$6:$AC$83, 4,FALSE),"")</f>
        <v/>
      </c>
      <c r="V1266" t="str">
        <f>IFERROR(VLOOKUP(B1266,'Pre-Summary'!$Y$6:$AC$83, 5,FALSE),"")</f>
        <v/>
      </c>
      <c r="W1266" s="45" t="str">
        <f>IFERROR(VLOOKUP(B1266,'Pre-Summary'!$Y$6:$AD$83,6,FALSE),"")</f>
        <v/>
      </c>
      <c r="X1266" t="str">
        <f>IFERROR(VLOOKUP('Pre-Summary'!$DB$6:$DD$63,3,FALSE),"")</f>
        <v/>
      </c>
      <c r="Y1266" t="str">
        <f>IFERROR(VLOOKUP(B1266,'Pre-Summary'!$CR$6:$CT$36,3,FALSE),"")</f>
        <v/>
      </c>
      <c r="Z1266" s="45" t="str">
        <f>IFERROR(VLOOKUP(B1266,'Pre-Summary'!$BZ$6:$CB$63,2,FALSE),"")</f>
        <v/>
      </c>
      <c r="AA1266" s="45" t="str">
        <f>IFERROR(VLOOKUP(B1266,'Pre-Summary'!$CG$6:$CI$70,2,FALSE),"")</f>
        <v/>
      </c>
      <c r="AB1266" s="99">
        <f>IFERROR(VLOOKUP(B1266,'Pre-Summary'!$A$6:$P$178,9,FALSE),AB1267)</f>
        <v>0.23722758541104874</v>
      </c>
      <c r="AC1266" s="10">
        <f>IFERROR(VLOOKUP(Summary!B1266,'Pre-Summary'!$A$6:$P$184,5, FALSE)/100,AC1267)</f>
        <v>0.95326399999999989</v>
      </c>
      <c r="AD1266" s="10">
        <f>IFERROR(VLOOKUP(Summary!B1266,'Pre-Summary'!$A$6:$P$184,3, FALSE)/100,AD1267)</f>
        <v>3.9489333333333335E-2</v>
      </c>
      <c r="AE1266" s="10">
        <f>IFERROR(VLOOKUP(Summary!B1266,'Pre-Summary'!$A$6:$P$184,7, FALSE)/100,AE1267)</f>
        <v>7.0663333333333333E-3</v>
      </c>
      <c r="AF1266" s="99">
        <f t="shared" si="58"/>
        <v>9.3679591961587077E-3</v>
      </c>
      <c r="AG1266" s="99">
        <f t="shared" si="59"/>
        <v>1.676329194376274E-3</v>
      </c>
      <c r="AH1266" s="10" t="str">
        <f>IFERROR(VLOOKUP(B1266,'Pre-Summary'!$AZ$6:$BE$65,3,FALSE),"")</f>
        <v/>
      </c>
      <c r="AI1266" s="10" t="str">
        <f>IFERROR(VLOOKUP(B1266,'Pre-Summary'!$AZ$6:$BE$65,5,FALSE),"")</f>
        <v/>
      </c>
      <c r="AJ1266" s="10" t="str">
        <f>IFERROR(VLOOKUP(B1266,'Pre-Summary'!$AZ$6:$BE$65,4,FALSE),"")</f>
        <v/>
      </c>
      <c r="AK1266" s="10" t="str">
        <f>IFERROR(VLOOKUP(B1266,'Pre-Summary'!$AZ$6:$BE$65,6,FALSE),"")</f>
        <v/>
      </c>
      <c r="AL1266" s="10" t="str">
        <f>IFERROR(VLOOKUP(B1266,'Pre-Summary'!$BG$6:$BL$44,3,FALSE),"")</f>
        <v/>
      </c>
      <c r="AM1266" s="10" t="str">
        <f>IFERROR(VLOOKUP(B1266,'Pre-Summary'!$BG$6:$BL$44,4,FALSE),"")</f>
        <v/>
      </c>
    </row>
    <row r="1267" spans="2:39" ht="15" customHeight="1" x14ac:dyDescent="0.3">
      <c r="B1267">
        <v>126.4</v>
      </c>
      <c r="C1267" t="str">
        <f>IFERROR(VLOOKUP(B1267,'Pre-Summary'!$DI$6:$DM$23,4,FALSE),"")</f>
        <v/>
      </c>
      <c r="D1267" s="10" t="str">
        <f>IFERROR(VLOOKUP(B1267,'Pre-Summary'!$AT$6:$AX$14,5,FALSE),D1266)</f>
        <v>Speece: put in Speece media + EDTA + cysteine + vitamins as in DSMZ 120</v>
      </c>
      <c r="E1267" s="10" t="str">
        <f>IFERROR(VLOOKUP(B1267,'Pre-Summary'!$AT$6:$AX$15,4,FALSE),"")</f>
        <v/>
      </c>
      <c r="F1267">
        <f>IFERROR(VLOOKUP(B1267,'Pre-Summary'!$AL$6:$AQ$13,6,FALSE),F1266)</f>
        <v>5.9405263157894746E-2</v>
      </c>
      <c r="G1267" t="str">
        <f>IFERROR(VLOOKUP(B1267,'Pre-Summary'!$AE$6:$AJ$85,3,FALSE),"")</f>
        <v/>
      </c>
      <c r="H1267" t="str">
        <f>IFERROR(VLOOKUP(B1267,'Pre-Summary'!$AE$6:$AJ$85,4,FALSE),"")</f>
        <v/>
      </c>
      <c r="I1267" t="str">
        <f>IFERROR(VLOOKUP(B1267,'Pre-Summary'!$AE$6:$AJ$85,5,FALSE),"")</f>
        <v/>
      </c>
      <c r="J1267" s="45" t="str">
        <f>IFERROR(VLOOKUP(B1267,'Pre-Summary'!$AE$6:$AJ$85,6, FALSE),"")</f>
        <v/>
      </c>
      <c r="K1267" s="45" t="str">
        <f>IFERROR(VLOOKUP(B1267,'Pre-Summary'!$DE$6:$DG$61,3,FALSE),"")</f>
        <v/>
      </c>
      <c r="L1267" s="45" t="str">
        <f>IFERROR(VLOOKUP(B1267,'Pre-Summary'!$CU$6:$CW$36,3,FALSE),"")</f>
        <v/>
      </c>
      <c r="M1267" s="45" t="str">
        <f>IFERROR(VLOOKUP(B1267,'Pre-Summary'!$BW$6:$BY$58,2,FALSE),"")</f>
        <v/>
      </c>
      <c r="N1267" s="45" t="str">
        <f>IFERROR(VLOOKUP(B1267,'Pre-Summary'!$CD$6:$CF$64,2,FALSE),"")</f>
        <v/>
      </c>
      <c r="O1267" s="99">
        <f>IFERROR(VLOOKUP(B1267,'Pre-Summary'!$BO$6:$BQ$48,3, FALSE),O1266)</f>
        <v>1.2</v>
      </c>
      <c r="P1267" s="99">
        <f>IFERROR(VLOOKUP(B1267,'Pre-Summary'!$BS$6:$BU$35,3,FALSE),P1266)</f>
        <v>0.3</v>
      </c>
      <c r="Q1267" s="54">
        <f t="shared" si="57"/>
        <v>4</v>
      </c>
      <c r="R1267" s="53">
        <f>IFERROR(VLOOKUP(B1267,'Pre-Summary'!$BG$6:$BM$44,7,FALSE),R1268)</f>
        <v>8.2734025573422298E-2</v>
      </c>
      <c r="S1267" s="53">
        <f>IFERROR(VLOOKUP(B1267,'Pre-Summary'!$BG$6:$BM$44,6,FALSE),S1268)</f>
        <v>7.7866004962824142E-2</v>
      </c>
      <c r="T1267" s="45" t="str">
        <f>IFERROR(VLOOKUP(B1267,'Pre-Summary'!$Y$6:$AC$83, 3,FALSE),"")</f>
        <v/>
      </c>
      <c r="U1267" s="45" t="str">
        <f>IFERROR(VLOOKUP(B1267,'Pre-Summary'!$Y$6:$AC$83, 4,FALSE),"")</f>
        <v/>
      </c>
      <c r="V1267" t="str">
        <f>IFERROR(VLOOKUP(B1267,'Pre-Summary'!$Y$6:$AC$83, 5,FALSE),"")</f>
        <v/>
      </c>
      <c r="W1267" s="45" t="str">
        <f>IFERROR(VLOOKUP(B1267,'Pre-Summary'!$Y$6:$AD$83,6,FALSE),"")</f>
        <v/>
      </c>
      <c r="X1267" t="str">
        <f>IFERROR(VLOOKUP('Pre-Summary'!$DB$6:$DD$63,3,FALSE),"")</f>
        <v/>
      </c>
      <c r="Y1267" t="str">
        <f>IFERROR(VLOOKUP(B1267,'Pre-Summary'!$CR$6:$CT$36,3,FALSE),"")</f>
        <v/>
      </c>
      <c r="Z1267" s="45" t="str">
        <f>IFERROR(VLOOKUP(B1267,'Pre-Summary'!$BZ$6:$CB$63,2,FALSE),"")</f>
        <v/>
      </c>
      <c r="AA1267" s="45" t="str">
        <f>IFERROR(VLOOKUP(B1267,'Pre-Summary'!$CG$6:$CI$70,2,FALSE),"")</f>
        <v/>
      </c>
      <c r="AB1267" s="99">
        <f>IFERROR(VLOOKUP(B1267,'Pre-Summary'!$A$6:$P$178,9,FALSE),AB1268)</f>
        <v>0.23722758541104874</v>
      </c>
      <c r="AC1267" s="10">
        <f>IFERROR(VLOOKUP(Summary!B1267,'Pre-Summary'!$A$6:$P$184,5, FALSE)/100,AC1268)</f>
        <v>0.95326399999999989</v>
      </c>
      <c r="AD1267" s="10">
        <f>IFERROR(VLOOKUP(Summary!B1267,'Pre-Summary'!$A$6:$P$184,3, FALSE)/100,AD1268)</f>
        <v>3.9489333333333335E-2</v>
      </c>
      <c r="AE1267" s="10">
        <f>IFERROR(VLOOKUP(Summary!B1267,'Pre-Summary'!$A$6:$P$184,7, FALSE)/100,AE1268)</f>
        <v>7.0663333333333333E-3</v>
      </c>
      <c r="AF1267" s="99">
        <f t="shared" si="58"/>
        <v>9.3679591961587077E-3</v>
      </c>
      <c r="AG1267" s="99">
        <f t="shared" si="59"/>
        <v>1.676329194376274E-3</v>
      </c>
      <c r="AH1267" s="10" t="str">
        <f>IFERROR(VLOOKUP(B1267,'Pre-Summary'!$AZ$6:$BE$65,3,FALSE),"")</f>
        <v/>
      </c>
      <c r="AI1267" s="10" t="str">
        <f>IFERROR(VLOOKUP(B1267,'Pre-Summary'!$AZ$6:$BE$65,5,FALSE),"")</f>
        <v/>
      </c>
      <c r="AJ1267" s="10" t="str">
        <f>IFERROR(VLOOKUP(B1267,'Pre-Summary'!$AZ$6:$BE$65,4,FALSE),"")</f>
        <v/>
      </c>
      <c r="AK1267" s="10" t="str">
        <f>IFERROR(VLOOKUP(B1267,'Pre-Summary'!$AZ$6:$BE$65,6,FALSE),"")</f>
        <v/>
      </c>
      <c r="AL1267" s="10" t="str">
        <f>IFERROR(VLOOKUP(B1267,'Pre-Summary'!$BG$6:$BL$44,3,FALSE),"")</f>
        <v/>
      </c>
      <c r="AM1267" s="10" t="str">
        <f>IFERROR(VLOOKUP(B1267,'Pre-Summary'!$BG$6:$BL$44,4,FALSE),"")</f>
        <v/>
      </c>
    </row>
    <row r="1268" spans="2:39" ht="15" customHeight="1" x14ac:dyDescent="0.3">
      <c r="B1268">
        <v>126.5</v>
      </c>
      <c r="C1268" t="str">
        <f>IFERROR(VLOOKUP(B1268,'Pre-Summary'!$DI$6:$DM$23,4,FALSE),"")</f>
        <v/>
      </c>
      <c r="D1268" s="10" t="str">
        <f>IFERROR(VLOOKUP(B1268,'Pre-Summary'!$AT$6:$AX$14,5,FALSE),D1267)</f>
        <v>Speece: put in Speece media + EDTA + cysteine + vitamins as in DSMZ 120</v>
      </c>
      <c r="E1268" s="10" t="str">
        <f>IFERROR(VLOOKUP(B1268,'Pre-Summary'!$AT$6:$AX$15,4,FALSE),"")</f>
        <v/>
      </c>
      <c r="F1268">
        <f>IFERROR(VLOOKUP(B1268,'Pre-Summary'!$AL$6:$AQ$13,6,FALSE),F1267)</f>
        <v>5.9405263157894746E-2</v>
      </c>
      <c r="G1268" t="str">
        <f>IFERROR(VLOOKUP(B1268,'Pre-Summary'!$AE$6:$AJ$85,3,FALSE),"")</f>
        <v/>
      </c>
      <c r="H1268" t="str">
        <f>IFERROR(VLOOKUP(B1268,'Pre-Summary'!$AE$6:$AJ$85,4,FALSE),"")</f>
        <v/>
      </c>
      <c r="I1268" t="str">
        <f>IFERROR(VLOOKUP(B1268,'Pre-Summary'!$AE$6:$AJ$85,5,FALSE),"")</f>
        <v/>
      </c>
      <c r="J1268" s="45" t="str">
        <f>IFERROR(VLOOKUP(B1268,'Pre-Summary'!$AE$6:$AJ$85,6, FALSE),"")</f>
        <v/>
      </c>
      <c r="K1268" s="45" t="str">
        <f>IFERROR(VLOOKUP(B1268,'Pre-Summary'!$DE$6:$DG$61,3,FALSE),"")</f>
        <v/>
      </c>
      <c r="L1268" s="45" t="str">
        <f>IFERROR(VLOOKUP(B1268,'Pre-Summary'!$CU$6:$CW$36,3,FALSE),"")</f>
        <v/>
      </c>
      <c r="M1268" s="45" t="str">
        <f>IFERROR(VLOOKUP(B1268,'Pre-Summary'!$BW$6:$BY$58,2,FALSE),"")</f>
        <v/>
      </c>
      <c r="N1268" s="45" t="str">
        <f>IFERROR(VLOOKUP(B1268,'Pre-Summary'!$CD$6:$CF$64,2,FALSE),"")</f>
        <v/>
      </c>
      <c r="O1268" s="99">
        <f>IFERROR(VLOOKUP(B1268,'Pre-Summary'!$BO$6:$BQ$48,3, FALSE),O1267)</f>
        <v>1.2</v>
      </c>
      <c r="P1268" s="99">
        <f>IFERROR(VLOOKUP(B1268,'Pre-Summary'!$BS$6:$BU$35,3,FALSE),P1267)</f>
        <v>0.3</v>
      </c>
      <c r="Q1268" s="54">
        <f t="shared" si="57"/>
        <v>4</v>
      </c>
      <c r="R1268" s="53">
        <f>IFERROR(VLOOKUP(B1268,'Pre-Summary'!$BG$6:$BM$44,7,FALSE),R1269)</f>
        <v>8.2734025573422298E-2</v>
      </c>
      <c r="S1268" s="53">
        <f>IFERROR(VLOOKUP(B1268,'Pre-Summary'!$BG$6:$BM$44,6,FALSE),S1269)</f>
        <v>7.7866004962824142E-2</v>
      </c>
      <c r="T1268" s="45" t="str">
        <f>IFERROR(VLOOKUP(B1268,'Pre-Summary'!$Y$6:$AC$83, 3,FALSE),"")</f>
        <v/>
      </c>
      <c r="U1268" s="45" t="str">
        <f>IFERROR(VLOOKUP(B1268,'Pre-Summary'!$Y$6:$AC$83, 4,FALSE),"")</f>
        <v/>
      </c>
      <c r="V1268" t="str">
        <f>IFERROR(VLOOKUP(B1268,'Pre-Summary'!$Y$6:$AC$83, 5,FALSE),"")</f>
        <v/>
      </c>
      <c r="W1268" s="45" t="str">
        <f>IFERROR(VLOOKUP(B1268,'Pre-Summary'!$Y$6:$AD$83,6,FALSE),"")</f>
        <v/>
      </c>
      <c r="X1268" t="str">
        <f>IFERROR(VLOOKUP('Pre-Summary'!$DB$6:$DD$63,3,FALSE),"")</f>
        <v/>
      </c>
      <c r="Y1268" t="str">
        <f>IFERROR(VLOOKUP(B1268,'Pre-Summary'!$CR$6:$CT$36,3,FALSE),"")</f>
        <v/>
      </c>
      <c r="Z1268" s="45" t="str">
        <f>IFERROR(VLOOKUP(B1268,'Pre-Summary'!$BZ$6:$CB$63,2,FALSE),"")</f>
        <v/>
      </c>
      <c r="AA1268" s="45" t="str">
        <f>IFERROR(VLOOKUP(B1268,'Pre-Summary'!$CG$6:$CI$70,2,FALSE),"")</f>
        <v/>
      </c>
      <c r="AB1268" s="99">
        <f>IFERROR(VLOOKUP(B1268,'Pre-Summary'!$A$6:$P$178,9,FALSE),AB1269)</f>
        <v>0.23722758541104874</v>
      </c>
      <c r="AC1268" s="10">
        <f>IFERROR(VLOOKUP(Summary!B1268,'Pre-Summary'!$A$6:$P$184,5, FALSE)/100,AC1269)</f>
        <v>0.95326399999999989</v>
      </c>
      <c r="AD1268" s="10">
        <f>IFERROR(VLOOKUP(Summary!B1268,'Pre-Summary'!$A$6:$P$184,3, FALSE)/100,AD1269)</f>
        <v>3.9489333333333335E-2</v>
      </c>
      <c r="AE1268" s="10">
        <f>IFERROR(VLOOKUP(Summary!B1268,'Pre-Summary'!$A$6:$P$184,7, FALSE)/100,AE1269)</f>
        <v>7.0663333333333333E-3</v>
      </c>
      <c r="AF1268" s="99">
        <f t="shared" si="58"/>
        <v>9.3679591961587077E-3</v>
      </c>
      <c r="AG1268" s="99">
        <f t="shared" si="59"/>
        <v>1.676329194376274E-3</v>
      </c>
      <c r="AH1268" s="10" t="str">
        <f>IFERROR(VLOOKUP(B1268,'Pre-Summary'!$AZ$6:$BE$65,3,FALSE),"")</f>
        <v/>
      </c>
      <c r="AI1268" s="10" t="str">
        <f>IFERROR(VLOOKUP(B1268,'Pre-Summary'!$AZ$6:$BE$65,5,FALSE),"")</f>
        <v/>
      </c>
      <c r="AJ1268" s="10" t="str">
        <f>IFERROR(VLOOKUP(B1268,'Pre-Summary'!$AZ$6:$BE$65,4,FALSE),"")</f>
        <v/>
      </c>
      <c r="AK1268" s="10" t="str">
        <f>IFERROR(VLOOKUP(B1268,'Pre-Summary'!$AZ$6:$BE$65,6,FALSE),"")</f>
        <v/>
      </c>
      <c r="AL1268" s="10" t="str">
        <f>IFERROR(VLOOKUP(B1268,'Pre-Summary'!$BG$6:$BL$44,3,FALSE),"")</f>
        <v/>
      </c>
      <c r="AM1268" s="10" t="str">
        <f>IFERROR(VLOOKUP(B1268,'Pre-Summary'!$BG$6:$BL$44,4,FALSE),"")</f>
        <v/>
      </c>
    </row>
    <row r="1269" spans="2:39" ht="15" customHeight="1" x14ac:dyDescent="0.3">
      <c r="B1269">
        <v>126.6</v>
      </c>
      <c r="C1269" t="str">
        <f>IFERROR(VLOOKUP(B1269,'Pre-Summary'!$DI$6:$DM$23,4,FALSE),"")</f>
        <v/>
      </c>
      <c r="D1269" s="10" t="str">
        <f>IFERROR(VLOOKUP(B1269,'Pre-Summary'!$AT$6:$AX$14,5,FALSE),D1268)</f>
        <v>Speece: put in Speece media + EDTA + cysteine + vitamins as in DSMZ 120</v>
      </c>
      <c r="E1269" s="10" t="str">
        <f>IFERROR(VLOOKUP(B1269,'Pre-Summary'!$AT$6:$AX$15,4,FALSE),"")</f>
        <v/>
      </c>
      <c r="F1269">
        <f>IFERROR(VLOOKUP(B1269,'Pre-Summary'!$AL$6:$AQ$13,6,FALSE),F1268)</f>
        <v>5.9405263157894746E-2</v>
      </c>
      <c r="G1269" t="str">
        <f>IFERROR(VLOOKUP(B1269,'Pre-Summary'!$AE$6:$AJ$85,3,FALSE),"")</f>
        <v/>
      </c>
      <c r="H1269" t="str">
        <f>IFERROR(VLOOKUP(B1269,'Pre-Summary'!$AE$6:$AJ$85,4,FALSE),"")</f>
        <v/>
      </c>
      <c r="I1269" t="str">
        <f>IFERROR(VLOOKUP(B1269,'Pre-Summary'!$AE$6:$AJ$85,5,FALSE),"")</f>
        <v/>
      </c>
      <c r="J1269" s="45" t="str">
        <f>IFERROR(VLOOKUP(B1269,'Pre-Summary'!$AE$6:$AJ$85,6, FALSE),"")</f>
        <v/>
      </c>
      <c r="K1269" s="45" t="str">
        <f>IFERROR(VLOOKUP(B1269,'Pre-Summary'!$DE$6:$DG$61,3,FALSE),"")</f>
        <v/>
      </c>
      <c r="L1269" s="45" t="str">
        <f>IFERROR(VLOOKUP(B1269,'Pre-Summary'!$CU$6:$CW$36,3,FALSE),"")</f>
        <v/>
      </c>
      <c r="M1269" s="45" t="str">
        <f>IFERROR(VLOOKUP(B1269,'Pre-Summary'!$BW$6:$BY$58,2,FALSE),"")</f>
        <v/>
      </c>
      <c r="N1269" s="45" t="str">
        <f>IFERROR(VLOOKUP(B1269,'Pre-Summary'!$CD$6:$CF$64,2,FALSE),"")</f>
        <v/>
      </c>
      <c r="O1269" s="99">
        <f>IFERROR(VLOOKUP(B1269,'Pre-Summary'!$BO$6:$BQ$48,3, FALSE),O1268)</f>
        <v>1.2</v>
      </c>
      <c r="P1269" s="99">
        <f>IFERROR(VLOOKUP(B1269,'Pre-Summary'!$BS$6:$BU$35,3,FALSE),P1268)</f>
        <v>0.3</v>
      </c>
      <c r="Q1269" s="54">
        <f t="shared" si="57"/>
        <v>4</v>
      </c>
      <c r="R1269" s="53">
        <f>IFERROR(VLOOKUP(B1269,'Pre-Summary'!$BG$6:$BM$44,7,FALSE),R1270)</f>
        <v>8.2734025573422298E-2</v>
      </c>
      <c r="S1269" s="53">
        <f>IFERROR(VLOOKUP(B1269,'Pre-Summary'!$BG$6:$BM$44,6,FALSE),S1270)</f>
        <v>7.7866004962824142E-2</v>
      </c>
      <c r="T1269" s="45" t="str">
        <f>IFERROR(VLOOKUP(B1269,'Pre-Summary'!$Y$6:$AC$83, 3,FALSE),"")</f>
        <v/>
      </c>
      <c r="U1269" s="45" t="str">
        <f>IFERROR(VLOOKUP(B1269,'Pre-Summary'!$Y$6:$AC$83, 4,FALSE),"")</f>
        <v/>
      </c>
      <c r="V1269" t="str">
        <f>IFERROR(VLOOKUP(B1269,'Pre-Summary'!$Y$6:$AC$83, 5,FALSE),"")</f>
        <v/>
      </c>
      <c r="W1269" s="45" t="str">
        <f>IFERROR(VLOOKUP(B1269,'Pre-Summary'!$Y$6:$AD$83,6,FALSE),"")</f>
        <v/>
      </c>
      <c r="X1269" t="str">
        <f>IFERROR(VLOOKUP('Pre-Summary'!$DB$6:$DD$63,3,FALSE),"")</f>
        <v/>
      </c>
      <c r="Y1269" t="str">
        <f>IFERROR(VLOOKUP(B1269,'Pre-Summary'!$CR$6:$CT$36,3,FALSE),"")</f>
        <v/>
      </c>
      <c r="Z1269" s="45" t="str">
        <f>IFERROR(VLOOKUP(B1269,'Pre-Summary'!$BZ$6:$CB$63,2,FALSE),"")</f>
        <v/>
      </c>
      <c r="AA1269" s="45" t="str">
        <f>IFERROR(VLOOKUP(B1269,'Pre-Summary'!$CG$6:$CI$70,2,FALSE),"")</f>
        <v/>
      </c>
      <c r="AB1269" s="99">
        <f>IFERROR(VLOOKUP(B1269,'Pre-Summary'!$A$6:$P$178,9,FALSE),AB1270)</f>
        <v>0.23722758541104874</v>
      </c>
      <c r="AC1269" s="10">
        <f>IFERROR(VLOOKUP(Summary!B1269,'Pre-Summary'!$A$6:$P$184,5, FALSE)/100,AC1270)</f>
        <v>0.95326399999999989</v>
      </c>
      <c r="AD1269" s="10">
        <f>IFERROR(VLOOKUP(Summary!B1269,'Pre-Summary'!$A$6:$P$184,3, FALSE)/100,AD1270)</f>
        <v>3.9489333333333335E-2</v>
      </c>
      <c r="AE1269" s="10">
        <f>IFERROR(VLOOKUP(Summary!B1269,'Pre-Summary'!$A$6:$P$184,7, FALSE)/100,AE1270)</f>
        <v>7.0663333333333333E-3</v>
      </c>
      <c r="AF1269" s="99">
        <f t="shared" si="58"/>
        <v>9.3679591961587077E-3</v>
      </c>
      <c r="AG1269" s="99">
        <f t="shared" si="59"/>
        <v>1.676329194376274E-3</v>
      </c>
      <c r="AH1269" s="10" t="str">
        <f>IFERROR(VLOOKUP(B1269,'Pre-Summary'!$AZ$6:$BE$65,3,FALSE),"")</f>
        <v/>
      </c>
      <c r="AI1269" s="10" t="str">
        <f>IFERROR(VLOOKUP(B1269,'Pre-Summary'!$AZ$6:$BE$65,5,FALSE),"")</f>
        <v/>
      </c>
      <c r="AJ1269" s="10" t="str">
        <f>IFERROR(VLOOKUP(B1269,'Pre-Summary'!$AZ$6:$BE$65,4,FALSE),"")</f>
        <v/>
      </c>
      <c r="AK1269" s="10" t="str">
        <f>IFERROR(VLOOKUP(B1269,'Pre-Summary'!$AZ$6:$BE$65,6,FALSE),"")</f>
        <v/>
      </c>
      <c r="AL1269" s="10" t="str">
        <f>IFERROR(VLOOKUP(B1269,'Pre-Summary'!$BG$6:$BL$44,3,FALSE),"")</f>
        <v/>
      </c>
      <c r="AM1269" s="10" t="str">
        <f>IFERROR(VLOOKUP(B1269,'Pre-Summary'!$BG$6:$BL$44,4,FALSE),"")</f>
        <v/>
      </c>
    </row>
    <row r="1270" spans="2:39" ht="15" customHeight="1" x14ac:dyDescent="0.3">
      <c r="B1270">
        <v>126.7</v>
      </c>
      <c r="C1270" t="str">
        <f>IFERROR(VLOOKUP(B1270,'Pre-Summary'!$DI$6:$DM$23,4,FALSE),"")</f>
        <v/>
      </c>
      <c r="D1270" s="10" t="str">
        <f>IFERROR(VLOOKUP(B1270,'Pre-Summary'!$AT$6:$AX$14,5,FALSE),D1269)</f>
        <v>Speece: put in Speece media + EDTA + cysteine + vitamins as in DSMZ 120</v>
      </c>
      <c r="E1270" s="10" t="str">
        <f>IFERROR(VLOOKUP(B1270,'Pre-Summary'!$AT$6:$AX$15,4,FALSE),"")</f>
        <v/>
      </c>
      <c r="F1270">
        <f>IFERROR(VLOOKUP(B1270,'Pre-Summary'!$AL$6:$AQ$13,6,FALSE),F1269)</f>
        <v>5.9405263157894746E-2</v>
      </c>
      <c r="G1270" t="str">
        <f>IFERROR(VLOOKUP(B1270,'Pre-Summary'!$AE$6:$AJ$85,3,FALSE),"")</f>
        <v/>
      </c>
      <c r="H1270" t="str">
        <f>IFERROR(VLOOKUP(B1270,'Pre-Summary'!$AE$6:$AJ$85,4,FALSE),"")</f>
        <v/>
      </c>
      <c r="I1270" t="str">
        <f>IFERROR(VLOOKUP(B1270,'Pre-Summary'!$AE$6:$AJ$85,5,FALSE),"")</f>
        <v/>
      </c>
      <c r="J1270" s="45" t="str">
        <f>IFERROR(VLOOKUP(B1270,'Pre-Summary'!$AE$6:$AJ$85,6, FALSE),"")</f>
        <v/>
      </c>
      <c r="K1270" s="45" t="str">
        <f>IFERROR(VLOOKUP(B1270,'Pre-Summary'!$DE$6:$DG$61,3,FALSE),"")</f>
        <v/>
      </c>
      <c r="L1270" s="45" t="str">
        <f>IFERROR(VLOOKUP(B1270,'Pre-Summary'!$CU$6:$CW$36,3,FALSE),"")</f>
        <v/>
      </c>
      <c r="M1270" s="45" t="str">
        <f>IFERROR(VLOOKUP(B1270,'Pre-Summary'!$BW$6:$BY$58,2,FALSE),"")</f>
        <v/>
      </c>
      <c r="N1270" s="45" t="str">
        <f>IFERROR(VLOOKUP(B1270,'Pre-Summary'!$CD$6:$CF$64,2,FALSE),"")</f>
        <v/>
      </c>
      <c r="O1270" s="99">
        <f>IFERROR(VLOOKUP(B1270,'Pre-Summary'!$BO$6:$BQ$48,3, FALSE),O1269)</f>
        <v>1.2</v>
      </c>
      <c r="P1270" s="99">
        <f>IFERROR(VLOOKUP(B1270,'Pre-Summary'!$BS$6:$BU$35,3,FALSE),P1269)</f>
        <v>0.3</v>
      </c>
      <c r="Q1270" s="54">
        <f t="shared" si="57"/>
        <v>4</v>
      </c>
      <c r="R1270" s="53">
        <f>IFERROR(VLOOKUP(B1270,'Pre-Summary'!$BG$6:$BM$44,7,FALSE),R1271)</f>
        <v>8.2734025573422298E-2</v>
      </c>
      <c r="S1270" s="53">
        <f>IFERROR(VLOOKUP(B1270,'Pre-Summary'!$BG$6:$BM$44,6,FALSE),S1271)</f>
        <v>7.7866004962824142E-2</v>
      </c>
      <c r="T1270" s="45" t="str">
        <f>IFERROR(VLOOKUP(B1270,'Pre-Summary'!$Y$6:$AC$83, 3,FALSE),"")</f>
        <v/>
      </c>
      <c r="U1270" s="45" t="str">
        <f>IFERROR(VLOOKUP(B1270,'Pre-Summary'!$Y$6:$AC$83, 4,FALSE),"")</f>
        <v/>
      </c>
      <c r="V1270" t="str">
        <f>IFERROR(VLOOKUP(B1270,'Pre-Summary'!$Y$6:$AC$83, 5,FALSE),"")</f>
        <v/>
      </c>
      <c r="W1270" s="45" t="str">
        <f>IFERROR(VLOOKUP(B1270,'Pre-Summary'!$Y$6:$AD$83,6,FALSE),"")</f>
        <v/>
      </c>
      <c r="X1270" t="str">
        <f>IFERROR(VLOOKUP('Pre-Summary'!$DB$6:$DD$63,3,FALSE),"")</f>
        <v/>
      </c>
      <c r="Y1270" t="str">
        <f>IFERROR(VLOOKUP(B1270,'Pre-Summary'!$CR$6:$CT$36,3,FALSE),"")</f>
        <v/>
      </c>
      <c r="Z1270" s="45" t="str">
        <f>IFERROR(VLOOKUP(B1270,'Pre-Summary'!$BZ$6:$CB$63,2,FALSE),"")</f>
        <v/>
      </c>
      <c r="AA1270" s="45" t="str">
        <f>IFERROR(VLOOKUP(B1270,'Pre-Summary'!$CG$6:$CI$70,2,FALSE),"")</f>
        <v/>
      </c>
      <c r="AB1270" s="99">
        <f>IFERROR(VLOOKUP(B1270,'Pre-Summary'!$A$6:$P$178,9,FALSE),AB1271)</f>
        <v>0.23722758541104874</v>
      </c>
      <c r="AC1270" s="10">
        <f>IFERROR(VLOOKUP(Summary!B1270,'Pre-Summary'!$A$6:$P$184,5, FALSE)/100,AC1271)</f>
        <v>0.95326399999999989</v>
      </c>
      <c r="AD1270" s="10">
        <f>IFERROR(VLOOKUP(Summary!B1270,'Pre-Summary'!$A$6:$P$184,3, FALSE)/100,AD1271)</f>
        <v>3.9489333333333335E-2</v>
      </c>
      <c r="AE1270" s="10">
        <f>IFERROR(VLOOKUP(Summary!B1270,'Pre-Summary'!$A$6:$P$184,7, FALSE)/100,AE1271)</f>
        <v>7.0663333333333333E-3</v>
      </c>
      <c r="AF1270" s="99">
        <f t="shared" si="58"/>
        <v>9.3679591961587077E-3</v>
      </c>
      <c r="AG1270" s="99">
        <f t="shared" si="59"/>
        <v>1.676329194376274E-3</v>
      </c>
      <c r="AH1270" s="10" t="str">
        <f>IFERROR(VLOOKUP(B1270,'Pre-Summary'!$AZ$6:$BE$65,3,FALSE),"")</f>
        <v/>
      </c>
      <c r="AI1270" s="10" t="str">
        <f>IFERROR(VLOOKUP(B1270,'Pre-Summary'!$AZ$6:$BE$65,5,FALSE),"")</f>
        <v/>
      </c>
      <c r="AJ1270" s="10" t="str">
        <f>IFERROR(VLOOKUP(B1270,'Pre-Summary'!$AZ$6:$BE$65,4,FALSE),"")</f>
        <v/>
      </c>
      <c r="AK1270" s="10" t="str">
        <f>IFERROR(VLOOKUP(B1270,'Pre-Summary'!$AZ$6:$BE$65,6,FALSE),"")</f>
        <v/>
      </c>
      <c r="AL1270" s="10" t="str">
        <f>IFERROR(VLOOKUP(B1270,'Pre-Summary'!$BG$6:$BL$44,3,FALSE),"")</f>
        <v/>
      </c>
      <c r="AM1270" s="10" t="str">
        <f>IFERROR(VLOOKUP(B1270,'Pre-Summary'!$BG$6:$BL$44,4,FALSE),"")</f>
        <v/>
      </c>
    </row>
    <row r="1271" spans="2:39" ht="15" customHeight="1" x14ac:dyDescent="0.3">
      <c r="B1271">
        <v>126.8</v>
      </c>
      <c r="C1271" t="str">
        <f>IFERROR(VLOOKUP(B1271,'Pre-Summary'!$DI$6:$DM$23,4,FALSE),"")</f>
        <v/>
      </c>
      <c r="D1271" s="10" t="str">
        <f>IFERROR(VLOOKUP(B1271,'Pre-Summary'!$AT$6:$AX$14,5,FALSE),D1270)</f>
        <v>Speece: put in Speece media + EDTA + cysteine + vitamins as in DSMZ 120</v>
      </c>
      <c r="E1271" s="10" t="str">
        <f>IFERROR(VLOOKUP(B1271,'Pre-Summary'!$AT$6:$AX$15,4,FALSE),"")</f>
        <v/>
      </c>
      <c r="F1271">
        <f>IFERROR(VLOOKUP(B1271,'Pre-Summary'!$AL$6:$AQ$13,6,FALSE),F1270)</f>
        <v>5.9405263157894746E-2</v>
      </c>
      <c r="G1271" t="str">
        <f>IFERROR(VLOOKUP(B1271,'Pre-Summary'!$AE$6:$AJ$85,3,FALSE),"")</f>
        <v/>
      </c>
      <c r="H1271" t="str">
        <f>IFERROR(VLOOKUP(B1271,'Pre-Summary'!$AE$6:$AJ$85,4,FALSE),"")</f>
        <v/>
      </c>
      <c r="I1271" t="str">
        <f>IFERROR(VLOOKUP(B1271,'Pre-Summary'!$AE$6:$AJ$85,5,FALSE),"")</f>
        <v/>
      </c>
      <c r="J1271" s="45" t="str">
        <f>IFERROR(VLOOKUP(B1271,'Pre-Summary'!$AE$6:$AJ$85,6, FALSE),"")</f>
        <v/>
      </c>
      <c r="K1271" s="45" t="str">
        <f>IFERROR(VLOOKUP(B1271,'Pre-Summary'!$DE$6:$DG$61,3,FALSE),"")</f>
        <v/>
      </c>
      <c r="L1271" s="45" t="str">
        <f>IFERROR(VLOOKUP(B1271,'Pre-Summary'!$CU$6:$CW$36,3,FALSE),"")</f>
        <v/>
      </c>
      <c r="M1271" s="45" t="str">
        <f>IFERROR(VLOOKUP(B1271,'Pre-Summary'!$BW$6:$BY$58,2,FALSE),"")</f>
        <v/>
      </c>
      <c r="N1271" s="45" t="str">
        <f>IFERROR(VLOOKUP(B1271,'Pre-Summary'!$CD$6:$CF$64,2,FALSE),"")</f>
        <v/>
      </c>
      <c r="O1271" s="99">
        <f>IFERROR(VLOOKUP(B1271,'Pre-Summary'!$BO$6:$BQ$48,3, FALSE),O1270)</f>
        <v>1.2</v>
      </c>
      <c r="P1271" s="99">
        <f>IFERROR(VLOOKUP(B1271,'Pre-Summary'!$BS$6:$BU$35,3,FALSE),P1270)</f>
        <v>0.3</v>
      </c>
      <c r="Q1271" s="54">
        <f t="shared" si="57"/>
        <v>4</v>
      </c>
      <c r="R1271" s="53">
        <f>IFERROR(VLOOKUP(B1271,'Pre-Summary'!$BG$6:$BM$44,7,FALSE),R1272)</f>
        <v>8.2734025573422298E-2</v>
      </c>
      <c r="S1271" s="53">
        <f>IFERROR(VLOOKUP(B1271,'Pre-Summary'!$BG$6:$BM$44,6,FALSE),S1272)</f>
        <v>7.7866004962824142E-2</v>
      </c>
      <c r="T1271" s="45" t="str">
        <f>IFERROR(VLOOKUP(B1271,'Pre-Summary'!$Y$6:$AC$83, 3,FALSE),"")</f>
        <v/>
      </c>
      <c r="U1271" s="45" t="str">
        <f>IFERROR(VLOOKUP(B1271,'Pre-Summary'!$Y$6:$AC$83, 4,FALSE),"")</f>
        <v/>
      </c>
      <c r="V1271" t="str">
        <f>IFERROR(VLOOKUP(B1271,'Pre-Summary'!$Y$6:$AC$83, 5,FALSE),"")</f>
        <v/>
      </c>
      <c r="W1271" s="45" t="str">
        <f>IFERROR(VLOOKUP(B1271,'Pre-Summary'!$Y$6:$AD$83,6,FALSE),"")</f>
        <v/>
      </c>
      <c r="X1271" t="str">
        <f>IFERROR(VLOOKUP('Pre-Summary'!$DB$6:$DD$63,3,FALSE),"")</f>
        <v/>
      </c>
      <c r="Y1271" t="str">
        <f>IFERROR(VLOOKUP(B1271,'Pre-Summary'!$CR$6:$CT$36,3,FALSE),"")</f>
        <v/>
      </c>
      <c r="Z1271" s="45" t="str">
        <f>IFERROR(VLOOKUP(B1271,'Pre-Summary'!$BZ$6:$CB$63,2,FALSE),"")</f>
        <v/>
      </c>
      <c r="AA1271" s="45" t="str">
        <f>IFERROR(VLOOKUP(B1271,'Pre-Summary'!$CG$6:$CI$70,2,FALSE),"")</f>
        <v/>
      </c>
      <c r="AB1271" s="99">
        <f>IFERROR(VLOOKUP(B1271,'Pre-Summary'!$A$6:$P$178,9,FALSE),AB1272)</f>
        <v>0.23722758541104874</v>
      </c>
      <c r="AC1271" s="10">
        <f>IFERROR(VLOOKUP(Summary!B1271,'Pre-Summary'!$A$6:$P$184,5, FALSE)/100,AC1272)</f>
        <v>0.95326399999999989</v>
      </c>
      <c r="AD1271" s="10">
        <f>IFERROR(VLOOKUP(Summary!B1271,'Pre-Summary'!$A$6:$P$184,3, FALSE)/100,AD1272)</f>
        <v>3.9489333333333335E-2</v>
      </c>
      <c r="AE1271" s="10">
        <f>IFERROR(VLOOKUP(Summary!B1271,'Pre-Summary'!$A$6:$P$184,7, FALSE)/100,AE1272)</f>
        <v>7.0663333333333333E-3</v>
      </c>
      <c r="AF1271" s="99">
        <f t="shared" si="58"/>
        <v>9.3679591961587077E-3</v>
      </c>
      <c r="AG1271" s="99">
        <f t="shared" si="59"/>
        <v>1.676329194376274E-3</v>
      </c>
      <c r="AH1271" s="10" t="str">
        <f>IFERROR(VLOOKUP(B1271,'Pre-Summary'!$AZ$6:$BE$65,3,FALSE),"")</f>
        <v/>
      </c>
      <c r="AI1271" s="10" t="str">
        <f>IFERROR(VLOOKUP(B1271,'Pre-Summary'!$AZ$6:$BE$65,5,FALSE),"")</f>
        <v/>
      </c>
      <c r="AJ1271" s="10" t="str">
        <f>IFERROR(VLOOKUP(B1271,'Pre-Summary'!$AZ$6:$BE$65,4,FALSE),"")</f>
        <v/>
      </c>
      <c r="AK1271" s="10" t="str">
        <f>IFERROR(VLOOKUP(B1271,'Pre-Summary'!$AZ$6:$BE$65,6,FALSE),"")</f>
        <v/>
      </c>
      <c r="AL1271" s="10" t="str">
        <f>IFERROR(VLOOKUP(B1271,'Pre-Summary'!$BG$6:$BL$44,3,FALSE),"")</f>
        <v/>
      </c>
      <c r="AM1271" s="10" t="str">
        <f>IFERROR(VLOOKUP(B1271,'Pre-Summary'!$BG$6:$BL$44,4,FALSE),"")</f>
        <v/>
      </c>
    </row>
    <row r="1272" spans="2:39" ht="15" customHeight="1" x14ac:dyDescent="0.3">
      <c r="B1272">
        <v>126.9</v>
      </c>
      <c r="C1272" t="str">
        <f>IFERROR(VLOOKUP(B1272,'Pre-Summary'!$DI$6:$DM$23,4,FALSE),"")</f>
        <v/>
      </c>
      <c r="D1272" s="10" t="str">
        <f>IFERROR(VLOOKUP(B1272,'Pre-Summary'!$AT$6:$AX$14,5,FALSE),D1271)</f>
        <v>Speece: put in Speece media + EDTA + cysteine + vitamins as in DSMZ 120</v>
      </c>
      <c r="E1272" s="10" t="str">
        <f>IFERROR(VLOOKUP(B1272,'Pre-Summary'!$AT$6:$AX$15,4,FALSE),"")</f>
        <v/>
      </c>
      <c r="F1272">
        <f>IFERROR(VLOOKUP(B1272,'Pre-Summary'!$AL$6:$AQ$13,6,FALSE),F1271)</f>
        <v>5.9405263157894746E-2</v>
      </c>
      <c r="G1272" t="str">
        <f>IFERROR(VLOOKUP(B1272,'Pre-Summary'!$AE$6:$AJ$85,3,FALSE),"")</f>
        <v/>
      </c>
      <c r="H1272" t="str">
        <f>IFERROR(VLOOKUP(B1272,'Pre-Summary'!$AE$6:$AJ$85,4,FALSE),"")</f>
        <v/>
      </c>
      <c r="I1272" t="str">
        <f>IFERROR(VLOOKUP(B1272,'Pre-Summary'!$AE$6:$AJ$85,5,FALSE),"")</f>
        <v/>
      </c>
      <c r="J1272" s="45" t="str">
        <f>IFERROR(VLOOKUP(B1272,'Pre-Summary'!$AE$6:$AJ$85,6, FALSE),"")</f>
        <v/>
      </c>
      <c r="K1272" s="45" t="str">
        <f>IFERROR(VLOOKUP(B1272,'Pre-Summary'!$DE$6:$DG$61,3,FALSE),"")</f>
        <v/>
      </c>
      <c r="L1272" s="45" t="str">
        <f>IFERROR(VLOOKUP(B1272,'Pre-Summary'!$CU$6:$CW$36,3,FALSE),"")</f>
        <v/>
      </c>
      <c r="M1272" s="45" t="str">
        <f>IFERROR(VLOOKUP(B1272,'Pre-Summary'!$BW$6:$BY$58,2,FALSE),"")</f>
        <v/>
      </c>
      <c r="N1272" s="45" t="str">
        <f>IFERROR(VLOOKUP(B1272,'Pre-Summary'!$CD$6:$CF$64,2,FALSE),"")</f>
        <v/>
      </c>
      <c r="O1272" s="99">
        <f>IFERROR(VLOOKUP(B1272,'Pre-Summary'!$BO$6:$BQ$48,3, FALSE),O1271)</f>
        <v>1.2</v>
      </c>
      <c r="P1272" s="99">
        <f>IFERROR(VLOOKUP(B1272,'Pre-Summary'!$BS$6:$BU$35,3,FALSE),P1271)</f>
        <v>0.3</v>
      </c>
      <c r="Q1272" s="54">
        <f t="shared" si="57"/>
        <v>4</v>
      </c>
      <c r="R1272" s="53">
        <f>IFERROR(VLOOKUP(B1272,'Pre-Summary'!$BG$6:$BM$44,7,FALSE),R1273)</f>
        <v>8.2734025573422298E-2</v>
      </c>
      <c r="S1272" s="53">
        <f>IFERROR(VLOOKUP(B1272,'Pre-Summary'!$BG$6:$BM$44,6,FALSE),S1273)</f>
        <v>7.7866004962824142E-2</v>
      </c>
      <c r="T1272" s="45" t="str">
        <f>IFERROR(VLOOKUP(B1272,'Pre-Summary'!$Y$6:$AC$83, 3,FALSE),"")</f>
        <v/>
      </c>
      <c r="U1272" s="45" t="str">
        <f>IFERROR(VLOOKUP(B1272,'Pre-Summary'!$Y$6:$AC$83, 4,FALSE),"")</f>
        <v/>
      </c>
      <c r="V1272" t="str">
        <f>IFERROR(VLOOKUP(B1272,'Pre-Summary'!$Y$6:$AC$83, 5,FALSE),"")</f>
        <v/>
      </c>
      <c r="W1272" s="45" t="str">
        <f>IFERROR(VLOOKUP(B1272,'Pre-Summary'!$Y$6:$AD$83,6,FALSE),"")</f>
        <v/>
      </c>
      <c r="X1272" t="str">
        <f>IFERROR(VLOOKUP('Pre-Summary'!$DB$6:$DD$63,3,FALSE),"")</f>
        <v/>
      </c>
      <c r="Y1272" t="str">
        <f>IFERROR(VLOOKUP(B1272,'Pre-Summary'!$CR$6:$CT$36,3,FALSE),"")</f>
        <v/>
      </c>
      <c r="Z1272" s="45" t="str">
        <f>IFERROR(VLOOKUP(B1272,'Pre-Summary'!$BZ$6:$CB$63,2,FALSE),"")</f>
        <v/>
      </c>
      <c r="AA1272" s="45" t="str">
        <f>IFERROR(VLOOKUP(B1272,'Pre-Summary'!$CG$6:$CI$70,2,FALSE),"")</f>
        <v/>
      </c>
      <c r="AB1272" s="99">
        <f>IFERROR(VLOOKUP(B1272,'Pre-Summary'!$A$6:$P$178,9,FALSE),AB1273)</f>
        <v>0.23722758541104874</v>
      </c>
      <c r="AC1272" s="10">
        <f>IFERROR(VLOOKUP(Summary!B1272,'Pre-Summary'!$A$6:$P$184,5, FALSE)/100,AC1273)</f>
        <v>0.95326399999999989</v>
      </c>
      <c r="AD1272" s="10">
        <f>IFERROR(VLOOKUP(Summary!B1272,'Pre-Summary'!$A$6:$P$184,3, FALSE)/100,AD1273)</f>
        <v>3.9489333333333335E-2</v>
      </c>
      <c r="AE1272" s="10">
        <f>IFERROR(VLOOKUP(Summary!B1272,'Pre-Summary'!$A$6:$P$184,7, FALSE)/100,AE1273)</f>
        <v>7.0663333333333333E-3</v>
      </c>
      <c r="AF1272" s="99">
        <f t="shared" si="58"/>
        <v>9.3679591961587077E-3</v>
      </c>
      <c r="AG1272" s="99">
        <f t="shared" si="59"/>
        <v>1.676329194376274E-3</v>
      </c>
      <c r="AH1272" s="10" t="str">
        <f>IFERROR(VLOOKUP(B1272,'Pre-Summary'!$AZ$6:$BE$65,3,FALSE),"")</f>
        <v/>
      </c>
      <c r="AI1272" s="10" t="str">
        <f>IFERROR(VLOOKUP(B1272,'Pre-Summary'!$AZ$6:$BE$65,5,FALSE),"")</f>
        <v/>
      </c>
      <c r="AJ1272" s="10" t="str">
        <f>IFERROR(VLOOKUP(B1272,'Pre-Summary'!$AZ$6:$BE$65,4,FALSE),"")</f>
        <v/>
      </c>
      <c r="AK1272" s="10" t="str">
        <f>IFERROR(VLOOKUP(B1272,'Pre-Summary'!$AZ$6:$BE$65,6,FALSE),"")</f>
        <v/>
      </c>
      <c r="AL1272" s="10" t="str">
        <f>IFERROR(VLOOKUP(B1272,'Pre-Summary'!$BG$6:$BL$44,3,FALSE),"")</f>
        <v/>
      </c>
      <c r="AM1272" s="10" t="str">
        <f>IFERROR(VLOOKUP(B1272,'Pre-Summary'!$BG$6:$BL$44,4,FALSE),"")</f>
        <v/>
      </c>
    </row>
    <row r="1273" spans="2:39" ht="15" customHeight="1" x14ac:dyDescent="0.3">
      <c r="B1273">
        <v>127</v>
      </c>
      <c r="C1273" t="str">
        <f>IFERROR(VLOOKUP(B1273,'Pre-Summary'!$DI$6:$DM$23,4,FALSE),"")</f>
        <v/>
      </c>
      <c r="D1273" s="10" t="str">
        <f>IFERROR(VLOOKUP(B1273,'Pre-Summary'!$AT$6:$AX$14,5,FALSE),D1272)</f>
        <v>Speece: put in Speece media + EDTA + cysteine + vitamins as in DSMZ 120</v>
      </c>
      <c r="E1273" s="10" t="str">
        <f>IFERROR(VLOOKUP(B1273,'Pre-Summary'!$AT$6:$AX$15,4,FALSE),"")</f>
        <v/>
      </c>
      <c r="F1273">
        <f>IFERROR(VLOOKUP(B1273,'Pre-Summary'!$AL$6:$AQ$13,6,FALSE),F1272)</f>
        <v>5.9405263157894746E-2</v>
      </c>
      <c r="G1273" t="str">
        <f>IFERROR(VLOOKUP(B1273,'Pre-Summary'!$AE$6:$AJ$85,3,FALSE),"")</f>
        <v/>
      </c>
      <c r="H1273" t="str">
        <f>IFERROR(VLOOKUP(B1273,'Pre-Summary'!$AE$6:$AJ$85,4,FALSE),"")</f>
        <v/>
      </c>
      <c r="I1273" t="str">
        <f>IFERROR(VLOOKUP(B1273,'Pre-Summary'!$AE$6:$AJ$85,5,FALSE),"")</f>
        <v/>
      </c>
      <c r="J1273" s="45" t="str">
        <f>IFERROR(VLOOKUP(B1273,'Pre-Summary'!$AE$6:$AJ$85,6, FALSE),"")</f>
        <v/>
      </c>
      <c r="K1273" s="45" t="str">
        <f>IFERROR(VLOOKUP(B1273,'Pre-Summary'!$DE$6:$DG$61,3,FALSE),"")</f>
        <v/>
      </c>
      <c r="L1273" s="45" t="str">
        <f>IFERROR(VLOOKUP(B1273,'Pre-Summary'!$CU$6:$CW$36,3,FALSE),"")</f>
        <v/>
      </c>
      <c r="M1273" s="45" t="str">
        <f>IFERROR(VLOOKUP(B1273,'Pre-Summary'!$BW$6:$BY$58,2,FALSE),"")</f>
        <v/>
      </c>
      <c r="N1273" s="45" t="str">
        <f>IFERROR(VLOOKUP(B1273,'Pre-Summary'!$CD$6:$CF$64,2,FALSE),"")</f>
        <v/>
      </c>
      <c r="O1273" s="99">
        <f>IFERROR(VLOOKUP(B1273,'Pre-Summary'!$BO$6:$BQ$48,3, FALSE),O1272)</f>
        <v>1.2</v>
      </c>
      <c r="P1273" s="99">
        <f>IFERROR(VLOOKUP(B1273,'Pre-Summary'!$BS$6:$BU$35,3,FALSE),P1272)</f>
        <v>0.3</v>
      </c>
      <c r="Q1273" s="54">
        <f t="shared" si="57"/>
        <v>4</v>
      </c>
      <c r="R1273" s="53">
        <f>IFERROR(VLOOKUP(B1273,'Pre-Summary'!$BG$6:$BM$44,7,FALSE),R1274)</f>
        <v>8.2734025573422298E-2</v>
      </c>
      <c r="S1273" s="53">
        <f>IFERROR(VLOOKUP(B1273,'Pre-Summary'!$BG$6:$BM$44,6,FALSE),S1274)</f>
        <v>7.7866004962824142E-2</v>
      </c>
      <c r="T1273" s="45" t="str">
        <f>IFERROR(VLOOKUP(B1273,'Pre-Summary'!$Y$6:$AC$83, 3,FALSE),"")</f>
        <v/>
      </c>
      <c r="U1273" s="45" t="str">
        <f>IFERROR(VLOOKUP(B1273,'Pre-Summary'!$Y$6:$AC$83, 4,FALSE),"")</f>
        <v/>
      </c>
      <c r="V1273" t="str">
        <f>IFERROR(VLOOKUP(B1273,'Pre-Summary'!$Y$6:$AC$83, 5,FALSE),"")</f>
        <v/>
      </c>
      <c r="W1273" s="45" t="str">
        <f>IFERROR(VLOOKUP(B1273,'Pre-Summary'!$Y$6:$AD$83,6,FALSE),"")</f>
        <v/>
      </c>
      <c r="X1273" t="str">
        <f>IFERROR(VLOOKUP('Pre-Summary'!$DB$6:$DD$63,3,FALSE),"")</f>
        <v/>
      </c>
      <c r="Y1273" t="str">
        <f>IFERROR(VLOOKUP(B1273,'Pre-Summary'!$CR$6:$CT$36,3,FALSE),"")</f>
        <v/>
      </c>
      <c r="Z1273" s="45" t="str">
        <f>IFERROR(VLOOKUP(B1273,'Pre-Summary'!$BZ$6:$CB$63,2,FALSE),"")</f>
        <v/>
      </c>
      <c r="AA1273" s="45" t="str">
        <f>IFERROR(VLOOKUP(B1273,'Pre-Summary'!$CG$6:$CI$70,2,FALSE),"")</f>
        <v/>
      </c>
      <c r="AB1273" s="99">
        <f>IFERROR(VLOOKUP(B1273,'Pre-Summary'!$A$6:$P$178,9,FALSE),AB1274)</f>
        <v>0.23722758541104874</v>
      </c>
      <c r="AC1273" s="10">
        <f>IFERROR(VLOOKUP(Summary!B1273,'Pre-Summary'!$A$6:$P$184,5, FALSE)/100,AC1274)</f>
        <v>0.95326399999999989</v>
      </c>
      <c r="AD1273" s="10">
        <f>IFERROR(VLOOKUP(Summary!B1273,'Pre-Summary'!$A$6:$P$184,3, FALSE)/100,AD1274)</f>
        <v>3.9489333333333335E-2</v>
      </c>
      <c r="AE1273" s="10">
        <f>IFERROR(VLOOKUP(Summary!B1273,'Pre-Summary'!$A$6:$P$184,7, FALSE)/100,AE1274)</f>
        <v>7.0663333333333333E-3</v>
      </c>
      <c r="AF1273" s="99">
        <f t="shared" si="58"/>
        <v>9.3679591961587077E-3</v>
      </c>
      <c r="AG1273" s="99">
        <f t="shared" si="59"/>
        <v>1.676329194376274E-3</v>
      </c>
      <c r="AH1273" s="10" t="str">
        <f>IFERROR(VLOOKUP(B1273,'Pre-Summary'!$AZ$6:$BE$65,3,FALSE),"")</f>
        <v/>
      </c>
      <c r="AI1273" s="10" t="str">
        <f>IFERROR(VLOOKUP(B1273,'Pre-Summary'!$AZ$6:$BE$65,5,FALSE),"")</f>
        <v/>
      </c>
      <c r="AJ1273" s="10" t="str">
        <f>IFERROR(VLOOKUP(B1273,'Pre-Summary'!$AZ$6:$BE$65,4,FALSE),"")</f>
        <v/>
      </c>
      <c r="AK1273" s="10" t="str">
        <f>IFERROR(VLOOKUP(B1273,'Pre-Summary'!$AZ$6:$BE$65,6,FALSE),"")</f>
        <v/>
      </c>
      <c r="AL1273" s="10" t="str">
        <f>IFERROR(VLOOKUP(B1273,'Pre-Summary'!$BG$6:$BL$44,3,FALSE),"")</f>
        <v/>
      </c>
      <c r="AM1273" s="10" t="str">
        <f>IFERROR(VLOOKUP(B1273,'Pre-Summary'!$BG$6:$BL$44,4,FALSE),"")</f>
        <v/>
      </c>
    </row>
    <row r="1274" spans="2:39" ht="15" customHeight="1" x14ac:dyDescent="0.3">
      <c r="B1274">
        <v>127.1</v>
      </c>
      <c r="C1274" t="str">
        <f>IFERROR(VLOOKUP(B1274,'Pre-Summary'!$DI$6:$DM$23,4,FALSE),"")</f>
        <v/>
      </c>
      <c r="D1274" s="10" t="str">
        <f>IFERROR(VLOOKUP(B1274,'Pre-Summary'!$AT$6:$AX$14,5,FALSE),D1273)</f>
        <v>Speece: put in Speece media + EDTA + cysteine + vitamins as in DSMZ 120</v>
      </c>
      <c r="E1274" s="10" t="str">
        <f>IFERROR(VLOOKUP(B1274,'Pre-Summary'!$AT$6:$AX$15,4,FALSE),"")</f>
        <v/>
      </c>
      <c r="F1274">
        <f>IFERROR(VLOOKUP(B1274,'Pre-Summary'!$AL$6:$AQ$13,6,FALSE),F1273)</f>
        <v>5.9405263157894746E-2</v>
      </c>
      <c r="G1274" t="str">
        <f>IFERROR(VLOOKUP(B1274,'Pre-Summary'!$AE$6:$AJ$85,3,FALSE),"")</f>
        <v/>
      </c>
      <c r="H1274" t="str">
        <f>IFERROR(VLOOKUP(B1274,'Pre-Summary'!$AE$6:$AJ$85,4,FALSE),"")</f>
        <v/>
      </c>
      <c r="I1274" t="str">
        <f>IFERROR(VLOOKUP(B1274,'Pre-Summary'!$AE$6:$AJ$85,5,FALSE),"")</f>
        <v/>
      </c>
      <c r="J1274" s="45" t="str">
        <f>IFERROR(VLOOKUP(B1274,'Pre-Summary'!$AE$6:$AJ$85,6, FALSE),"")</f>
        <v/>
      </c>
      <c r="K1274" s="45" t="str">
        <f>IFERROR(VLOOKUP(B1274,'Pre-Summary'!$DE$6:$DG$61,3,FALSE),"")</f>
        <v/>
      </c>
      <c r="L1274" s="45" t="str">
        <f>IFERROR(VLOOKUP(B1274,'Pre-Summary'!$CU$6:$CW$36,3,FALSE),"")</f>
        <v/>
      </c>
      <c r="M1274" s="45" t="str">
        <f>IFERROR(VLOOKUP(B1274,'Pre-Summary'!$BW$6:$BY$58,2,FALSE),"")</f>
        <v/>
      </c>
      <c r="N1274" s="45" t="str">
        <f>IFERROR(VLOOKUP(B1274,'Pre-Summary'!$CD$6:$CF$64,2,FALSE),"")</f>
        <v/>
      </c>
      <c r="O1274" s="99">
        <f>IFERROR(VLOOKUP(B1274,'Pre-Summary'!$BO$6:$BQ$48,3, FALSE),O1273)</f>
        <v>1.2</v>
      </c>
      <c r="P1274" s="99">
        <f>IFERROR(VLOOKUP(B1274,'Pre-Summary'!$BS$6:$BU$35,3,FALSE),P1273)</f>
        <v>0.3</v>
      </c>
      <c r="Q1274" s="54">
        <f t="shared" si="57"/>
        <v>4</v>
      </c>
      <c r="R1274" s="53">
        <f>IFERROR(VLOOKUP(B1274,'Pre-Summary'!$BG$6:$BM$44,7,FALSE),R1275)</f>
        <v>8.2734025573422298E-2</v>
      </c>
      <c r="S1274" s="53">
        <f>IFERROR(VLOOKUP(B1274,'Pre-Summary'!$BG$6:$BM$44,6,FALSE),S1275)</f>
        <v>7.7866004962824142E-2</v>
      </c>
      <c r="T1274" s="45" t="str">
        <f>IFERROR(VLOOKUP(B1274,'Pre-Summary'!$Y$6:$AC$83, 3,FALSE),"")</f>
        <v/>
      </c>
      <c r="U1274" s="45" t="str">
        <f>IFERROR(VLOOKUP(B1274,'Pre-Summary'!$Y$6:$AC$83, 4,FALSE),"")</f>
        <v/>
      </c>
      <c r="V1274" t="str">
        <f>IFERROR(VLOOKUP(B1274,'Pre-Summary'!$Y$6:$AC$83, 5,FALSE),"")</f>
        <v/>
      </c>
      <c r="W1274" s="45" t="str">
        <f>IFERROR(VLOOKUP(B1274,'Pre-Summary'!$Y$6:$AD$83,6,FALSE),"")</f>
        <v/>
      </c>
      <c r="X1274" t="str">
        <f>IFERROR(VLOOKUP('Pre-Summary'!$DB$6:$DD$63,3,FALSE),"")</f>
        <v/>
      </c>
      <c r="Y1274" t="str">
        <f>IFERROR(VLOOKUP(B1274,'Pre-Summary'!$CR$6:$CT$36,3,FALSE),"")</f>
        <v/>
      </c>
      <c r="Z1274" s="45" t="str">
        <f>IFERROR(VLOOKUP(B1274,'Pre-Summary'!$BZ$6:$CB$63,2,FALSE),"")</f>
        <v/>
      </c>
      <c r="AA1274" s="45" t="str">
        <f>IFERROR(VLOOKUP(B1274,'Pre-Summary'!$CG$6:$CI$70,2,FALSE),"")</f>
        <v/>
      </c>
      <c r="AB1274" s="99">
        <f>IFERROR(VLOOKUP(B1274,'Pre-Summary'!$A$6:$P$178,9,FALSE),AB1275)</f>
        <v>0.23722758541104874</v>
      </c>
      <c r="AC1274" s="10">
        <f>IFERROR(VLOOKUP(Summary!B1274,'Pre-Summary'!$A$6:$P$184,5, FALSE)/100,AC1275)</f>
        <v>0.95326399999999989</v>
      </c>
      <c r="AD1274" s="10">
        <f>IFERROR(VLOOKUP(Summary!B1274,'Pre-Summary'!$A$6:$P$184,3, FALSE)/100,AD1275)</f>
        <v>3.9489333333333335E-2</v>
      </c>
      <c r="AE1274" s="10">
        <f>IFERROR(VLOOKUP(Summary!B1274,'Pre-Summary'!$A$6:$P$184,7, FALSE)/100,AE1275)</f>
        <v>7.0663333333333333E-3</v>
      </c>
      <c r="AF1274" s="99">
        <f t="shared" si="58"/>
        <v>9.3679591961587077E-3</v>
      </c>
      <c r="AG1274" s="99">
        <f t="shared" si="59"/>
        <v>1.676329194376274E-3</v>
      </c>
      <c r="AH1274" s="10" t="str">
        <f>IFERROR(VLOOKUP(B1274,'Pre-Summary'!$AZ$6:$BE$65,3,FALSE),"")</f>
        <v/>
      </c>
      <c r="AI1274" s="10" t="str">
        <f>IFERROR(VLOOKUP(B1274,'Pre-Summary'!$AZ$6:$BE$65,5,FALSE),"")</f>
        <v/>
      </c>
      <c r="AJ1274" s="10" t="str">
        <f>IFERROR(VLOOKUP(B1274,'Pre-Summary'!$AZ$6:$BE$65,4,FALSE),"")</f>
        <v/>
      </c>
      <c r="AK1274" s="10" t="str">
        <f>IFERROR(VLOOKUP(B1274,'Pre-Summary'!$AZ$6:$BE$65,6,FALSE),"")</f>
        <v/>
      </c>
      <c r="AL1274" s="10" t="str">
        <f>IFERROR(VLOOKUP(B1274,'Pre-Summary'!$BG$6:$BL$44,3,FALSE),"")</f>
        <v/>
      </c>
      <c r="AM1274" s="10" t="str">
        <f>IFERROR(VLOOKUP(B1274,'Pre-Summary'!$BG$6:$BL$44,4,FALSE),"")</f>
        <v/>
      </c>
    </row>
    <row r="1275" spans="2:39" ht="15" customHeight="1" x14ac:dyDescent="0.3">
      <c r="B1275">
        <v>127.2</v>
      </c>
      <c r="C1275" t="str">
        <f>IFERROR(VLOOKUP(B1275,'Pre-Summary'!$DI$6:$DM$23,4,FALSE),"")</f>
        <v/>
      </c>
      <c r="D1275" s="10" t="str">
        <f>IFERROR(VLOOKUP(B1275,'Pre-Summary'!$AT$6:$AX$14,5,FALSE),D1274)</f>
        <v>Speece: put in Speece media + EDTA + cysteine + vitamins as in DSMZ 120</v>
      </c>
      <c r="E1275" s="10" t="str">
        <f>IFERROR(VLOOKUP(B1275,'Pre-Summary'!$AT$6:$AX$15,4,FALSE),"")</f>
        <v/>
      </c>
      <c r="F1275">
        <f>IFERROR(VLOOKUP(B1275,'Pre-Summary'!$AL$6:$AQ$13,6,FALSE),F1274)</f>
        <v>5.9405263157894746E-2</v>
      </c>
      <c r="G1275" t="str">
        <f>IFERROR(VLOOKUP(B1275,'Pre-Summary'!$AE$6:$AJ$85,3,FALSE),"")</f>
        <v/>
      </c>
      <c r="H1275" t="str">
        <f>IFERROR(VLOOKUP(B1275,'Pre-Summary'!$AE$6:$AJ$85,4,FALSE),"")</f>
        <v/>
      </c>
      <c r="I1275" t="str">
        <f>IFERROR(VLOOKUP(B1275,'Pre-Summary'!$AE$6:$AJ$85,5,FALSE),"")</f>
        <v/>
      </c>
      <c r="J1275" s="45" t="str">
        <f>IFERROR(VLOOKUP(B1275,'Pre-Summary'!$AE$6:$AJ$85,6, FALSE),"")</f>
        <v/>
      </c>
      <c r="K1275" s="45" t="str">
        <f>IFERROR(VLOOKUP(B1275,'Pre-Summary'!$DE$6:$DG$61,3,FALSE),"")</f>
        <v/>
      </c>
      <c r="L1275" s="45" t="str">
        <f>IFERROR(VLOOKUP(B1275,'Pre-Summary'!$CU$6:$CW$36,3,FALSE),"")</f>
        <v/>
      </c>
      <c r="M1275" s="45" t="str">
        <f>IFERROR(VLOOKUP(B1275,'Pre-Summary'!$BW$6:$BY$58,2,FALSE),"")</f>
        <v/>
      </c>
      <c r="N1275" s="45" t="str">
        <f>IFERROR(VLOOKUP(B1275,'Pre-Summary'!$CD$6:$CF$64,2,FALSE),"")</f>
        <v/>
      </c>
      <c r="O1275" s="99">
        <f>IFERROR(VLOOKUP(B1275,'Pre-Summary'!$BO$6:$BQ$48,3, FALSE),O1274)</f>
        <v>1.2</v>
      </c>
      <c r="P1275" s="99">
        <f>IFERROR(VLOOKUP(B1275,'Pre-Summary'!$BS$6:$BU$35,3,FALSE),P1274)</f>
        <v>0.3</v>
      </c>
      <c r="Q1275" s="54">
        <f t="shared" si="57"/>
        <v>4</v>
      </c>
      <c r="R1275" s="53">
        <f>IFERROR(VLOOKUP(B1275,'Pre-Summary'!$BG$6:$BM$44,7,FALSE),R1276)</f>
        <v>8.2734025573422298E-2</v>
      </c>
      <c r="S1275" s="53">
        <f>IFERROR(VLOOKUP(B1275,'Pre-Summary'!$BG$6:$BM$44,6,FALSE),S1276)</f>
        <v>7.7866004962824142E-2</v>
      </c>
      <c r="T1275" s="45" t="str">
        <f>IFERROR(VLOOKUP(B1275,'Pre-Summary'!$Y$6:$AC$83, 3,FALSE),"")</f>
        <v/>
      </c>
      <c r="U1275" s="45" t="str">
        <f>IFERROR(VLOOKUP(B1275,'Pre-Summary'!$Y$6:$AC$83, 4,FALSE),"")</f>
        <v/>
      </c>
      <c r="V1275" t="str">
        <f>IFERROR(VLOOKUP(B1275,'Pre-Summary'!$Y$6:$AC$83, 5,FALSE),"")</f>
        <v/>
      </c>
      <c r="W1275" s="45" t="str">
        <f>IFERROR(VLOOKUP(B1275,'Pre-Summary'!$Y$6:$AD$83,6,FALSE),"")</f>
        <v/>
      </c>
      <c r="X1275" t="str">
        <f>IFERROR(VLOOKUP('Pre-Summary'!$DB$6:$DD$63,3,FALSE),"")</f>
        <v/>
      </c>
      <c r="Y1275" t="str">
        <f>IFERROR(VLOOKUP(B1275,'Pre-Summary'!$CR$6:$CT$36,3,FALSE),"")</f>
        <v/>
      </c>
      <c r="Z1275" s="45" t="str">
        <f>IFERROR(VLOOKUP(B1275,'Pre-Summary'!$BZ$6:$CB$63,2,FALSE),"")</f>
        <v/>
      </c>
      <c r="AA1275" s="45" t="str">
        <f>IFERROR(VLOOKUP(B1275,'Pre-Summary'!$CG$6:$CI$70,2,FALSE),"")</f>
        <v/>
      </c>
      <c r="AB1275" s="99">
        <f>IFERROR(VLOOKUP(B1275,'Pre-Summary'!$A$6:$P$178,9,FALSE),AB1276)</f>
        <v>0.23722758541104874</v>
      </c>
      <c r="AC1275" s="10">
        <f>IFERROR(VLOOKUP(Summary!B1275,'Pre-Summary'!$A$6:$P$184,5, FALSE)/100,AC1276)</f>
        <v>0.95326399999999989</v>
      </c>
      <c r="AD1275" s="10">
        <f>IFERROR(VLOOKUP(Summary!B1275,'Pre-Summary'!$A$6:$P$184,3, FALSE)/100,AD1276)</f>
        <v>3.9489333333333335E-2</v>
      </c>
      <c r="AE1275" s="10">
        <f>IFERROR(VLOOKUP(Summary!B1275,'Pre-Summary'!$A$6:$P$184,7, FALSE)/100,AE1276)</f>
        <v>7.0663333333333333E-3</v>
      </c>
      <c r="AF1275" s="99">
        <f t="shared" si="58"/>
        <v>9.3679591961587077E-3</v>
      </c>
      <c r="AG1275" s="99">
        <f t="shared" si="59"/>
        <v>1.676329194376274E-3</v>
      </c>
      <c r="AH1275" s="10" t="str">
        <f>IFERROR(VLOOKUP(B1275,'Pre-Summary'!$AZ$6:$BE$65,3,FALSE),"")</f>
        <v/>
      </c>
      <c r="AI1275" s="10" t="str">
        <f>IFERROR(VLOOKUP(B1275,'Pre-Summary'!$AZ$6:$BE$65,5,FALSE),"")</f>
        <v/>
      </c>
      <c r="AJ1275" s="10" t="str">
        <f>IFERROR(VLOOKUP(B1275,'Pre-Summary'!$AZ$6:$BE$65,4,FALSE),"")</f>
        <v/>
      </c>
      <c r="AK1275" s="10" t="str">
        <f>IFERROR(VLOOKUP(B1275,'Pre-Summary'!$AZ$6:$BE$65,6,FALSE),"")</f>
        <v/>
      </c>
      <c r="AL1275" s="10" t="str">
        <f>IFERROR(VLOOKUP(B1275,'Pre-Summary'!$BG$6:$BL$44,3,FALSE),"")</f>
        <v/>
      </c>
      <c r="AM1275" s="10" t="str">
        <f>IFERROR(VLOOKUP(B1275,'Pre-Summary'!$BG$6:$BL$44,4,FALSE),"")</f>
        <v/>
      </c>
    </row>
    <row r="1276" spans="2:39" ht="15" customHeight="1" x14ac:dyDescent="0.3">
      <c r="B1276">
        <v>127.3</v>
      </c>
      <c r="C1276" t="str">
        <f>IFERROR(VLOOKUP(B1276,'Pre-Summary'!$DI$6:$DM$23,4,FALSE),"")</f>
        <v/>
      </c>
      <c r="D1276" s="10" t="str">
        <f>IFERROR(VLOOKUP(B1276,'Pre-Summary'!$AT$6:$AX$14,5,FALSE),D1275)</f>
        <v>Speece: put in Speece media + EDTA + cysteine + vitamins as in DSMZ 120</v>
      </c>
      <c r="E1276" s="10" t="str">
        <f>IFERROR(VLOOKUP(B1276,'Pre-Summary'!$AT$6:$AX$15,4,FALSE),"")</f>
        <v/>
      </c>
      <c r="F1276">
        <f>IFERROR(VLOOKUP(B1276,'Pre-Summary'!$AL$6:$AQ$13,6,FALSE),F1275)</f>
        <v>5.9405263157894746E-2</v>
      </c>
      <c r="G1276" t="str">
        <f>IFERROR(VLOOKUP(B1276,'Pre-Summary'!$AE$6:$AJ$85,3,FALSE),"")</f>
        <v/>
      </c>
      <c r="H1276" t="str">
        <f>IFERROR(VLOOKUP(B1276,'Pre-Summary'!$AE$6:$AJ$85,4,FALSE),"")</f>
        <v/>
      </c>
      <c r="I1276" t="str">
        <f>IFERROR(VLOOKUP(B1276,'Pre-Summary'!$AE$6:$AJ$85,5,FALSE),"")</f>
        <v/>
      </c>
      <c r="J1276" s="45" t="str">
        <f>IFERROR(VLOOKUP(B1276,'Pre-Summary'!$AE$6:$AJ$85,6, FALSE),"")</f>
        <v/>
      </c>
      <c r="K1276" s="45" t="str">
        <f>IFERROR(VLOOKUP(B1276,'Pre-Summary'!$DE$6:$DG$61,3,FALSE),"")</f>
        <v/>
      </c>
      <c r="L1276" s="45" t="str">
        <f>IFERROR(VLOOKUP(B1276,'Pre-Summary'!$CU$6:$CW$36,3,FALSE),"")</f>
        <v/>
      </c>
      <c r="M1276" s="45" t="str">
        <f>IFERROR(VLOOKUP(B1276,'Pre-Summary'!$BW$6:$BY$58,2,FALSE),"")</f>
        <v/>
      </c>
      <c r="N1276" s="45" t="str">
        <f>IFERROR(VLOOKUP(B1276,'Pre-Summary'!$CD$6:$CF$64,2,FALSE),"")</f>
        <v/>
      </c>
      <c r="O1276" s="99">
        <f>IFERROR(VLOOKUP(B1276,'Pre-Summary'!$BO$6:$BQ$48,3, FALSE),O1275)</f>
        <v>1.2</v>
      </c>
      <c r="P1276" s="99">
        <f>IFERROR(VLOOKUP(B1276,'Pre-Summary'!$BS$6:$BU$35,3,FALSE),P1275)</f>
        <v>0.3</v>
      </c>
      <c r="Q1276" s="54">
        <f t="shared" si="57"/>
        <v>4</v>
      </c>
      <c r="R1276" s="53">
        <f>IFERROR(VLOOKUP(B1276,'Pre-Summary'!$BG$6:$BM$44,7,FALSE),R1277)</f>
        <v>8.2734025573422298E-2</v>
      </c>
      <c r="S1276" s="53">
        <f>IFERROR(VLOOKUP(B1276,'Pre-Summary'!$BG$6:$BM$44,6,FALSE),S1277)</f>
        <v>7.7866004962824142E-2</v>
      </c>
      <c r="T1276" s="45" t="str">
        <f>IFERROR(VLOOKUP(B1276,'Pre-Summary'!$Y$6:$AC$83, 3,FALSE),"")</f>
        <v/>
      </c>
      <c r="U1276" s="45" t="str">
        <f>IFERROR(VLOOKUP(B1276,'Pre-Summary'!$Y$6:$AC$83, 4,FALSE),"")</f>
        <v/>
      </c>
      <c r="V1276" t="str">
        <f>IFERROR(VLOOKUP(B1276,'Pre-Summary'!$Y$6:$AC$83, 5,FALSE),"")</f>
        <v/>
      </c>
      <c r="W1276" s="45" t="str">
        <f>IFERROR(VLOOKUP(B1276,'Pre-Summary'!$Y$6:$AD$83,6,FALSE),"")</f>
        <v/>
      </c>
      <c r="X1276" t="str">
        <f>IFERROR(VLOOKUP('Pre-Summary'!$DB$6:$DD$63,3,FALSE),"")</f>
        <v/>
      </c>
      <c r="Y1276" t="str">
        <f>IFERROR(VLOOKUP(B1276,'Pre-Summary'!$CR$6:$CT$36,3,FALSE),"")</f>
        <v/>
      </c>
      <c r="Z1276" s="45" t="str">
        <f>IFERROR(VLOOKUP(B1276,'Pre-Summary'!$BZ$6:$CB$63,2,FALSE),"")</f>
        <v/>
      </c>
      <c r="AA1276" s="45" t="str">
        <f>IFERROR(VLOOKUP(B1276,'Pre-Summary'!$CG$6:$CI$70,2,FALSE),"")</f>
        <v/>
      </c>
      <c r="AB1276" s="99">
        <f>IFERROR(VLOOKUP(B1276,'Pre-Summary'!$A$6:$P$178,9,FALSE),AB1277)</f>
        <v>0.23722758541104874</v>
      </c>
      <c r="AC1276" s="10">
        <f>IFERROR(VLOOKUP(Summary!B1276,'Pre-Summary'!$A$6:$P$184,5, FALSE)/100,AC1277)</f>
        <v>0.95326399999999989</v>
      </c>
      <c r="AD1276" s="10">
        <f>IFERROR(VLOOKUP(Summary!B1276,'Pre-Summary'!$A$6:$P$184,3, FALSE)/100,AD1277)</f>
        <v>3.9489333333333335E-2</v>
      </c>
      <c r="AE1276" s="10">
        <f>IFERROR(VLOOKUP(Summary!B1276,'Pre-Summary'!$A$6:$P$184,7, FALSE)/100,AE1277)</f>
        <v>7.0663333333333333E-3</v>
      </c>
      <c r="AF1276" s="99">
        <f t="shared" si="58"/>
        <v>9.3679591961587077E-3</v>
      </c>
      <c r="AG1276" s="99">
        <f t="shared" si="59"/>
        <v>1.676329194376274E-3</v>
      </c>
      <c r="AH1276" s="10" t="str">
        <f>IFERROR(VLOOKUP(B1276,'Pre-Summary'!$AZ$6:$BE$65,3,FALSE),"")</f>
        <v/>
      </c>
      <c r="AI1276" s="10" t="str">
        <f>IFERROR(VLOOKUP(B1276,'Pre-Summary'!$AZ$6:$BE$65,5,FALSE),"")</f>
        <v/>
      </c>
      <c r="AJ1276" s="10" t="str">
        <f>IFERROR(VLOOKUP(B1276,'Pre-Summary'!$AZ$6:$BE$65,4,FALSE),"")</f>
        <v/>
      </c>
      <c r="AK1276" s="10" t="str">
        <f>IFERROR(VLOOKUP(B1276,'Pre-Summary'!$AZ$6:$BE$65,6,FALSE),"")</f>
        <v/>
      </c>
      <c r="AL1276" s="10" t="str">
        <f>IFERROR(VLOOKUP(B1276,'Pre-Summary'!$BG$6:$BL$44,3,FALSE),"")</f>
        <v/>
      </c>
      <c r="AM1276" s="10" t="str">
        <f>IFERROR(VLOOKUP(B1276,'Pre-Summary'!$BG$6:$BL$44,4,FALSE),"")</f>
        <v/>
      </c>
    </row>
    <row r="1277" spans="2:39" ht="15" customHeight="1" x14ac:dyDescent="0.3">
      <c r="B1277">
        <v>127.4</v>
      </c>
      <c r="C1277" t="str">
        <f>IFERROR(VLOOKUP(B1277,'Pre-Summary'!$DI$6:$DM$23,4,FALSE),"")</f>
        <v/>
      </c>
      <c r="D1277" s="10" t="str">
        <f>IFERROR(VLOOKUP(B1277,'Pre-Summary'!$AT$6:$AX$14,5,FALSE),D1276)</f>
        <v>Speece: put in Speece media + EDTA + cysteine + vitamins as in DSMZ 120</v>
      </c>
      <c r="E1277" s="10" t="str">
        <f>IFERROR(VLOOKUP(B1277,'Pre-Summary'!$AT$6:$AX$15,4,FALSE),"")</f>
        <v/>
      </c>
      <c r="F1277">
        <f>IFERROR(VLOOKUP(B1277,'Pre-Summary'!$AL$6:$AQ$13,6,FALSE),F1276)</f>
        <v>5.9405263157894746E-2</v>
      </c>
      <c r="G1277" t="str">
        <f>IFERROR(VLOOKUP(B1277,'Pre-Summary'!$AE$6:$AJ$85,3,FALSE),"")</f>
        <v/>
      </c>
      <c r="H1277" t="str">
        <f>IFERROR(VLOOKUP(B1277,'Pre-Summary'!$AE$6:$AJ$85,4,FALSE),"")</f>
        <v/>
      </c>
      <c r="I1277" t="str">
        <f>IFERROR(VLOOKUP(B1277,'Pre-Summary'!$AE$6:$AJ$85,5,FALSE),"")</f>
        <v/>
      </c>
      <c r="J1277" s="45" t="str">
        <f>IFERROR(VLOOKUP(B1277,'Pre-Summary'!$AE$6:$AJ$85,6, FALSE),"")</f>
        <v/>
      </c>
      <c r="K1277" s="45" t="str">
        <f>IFERROR(VLOOKUP(B1277,'Pre-Summary'!$DE$6:$DG$61,3,FALSE),"")</f>
        <v/>
      </c>
      <c r="L1277" s="45" t="str">
        <f>IFERROR(VLOOKUP(B1277,'Pre-Summary'!$CU$6:$CW$36,3,FALSE),"")</f>
        <v/>
      </c>
      <c r="M1277" s="45" t="str">
        <f>IFERROR(VLOOKUP(B1277,'Pre-Summary'!$BW$6:$BY$58,2,FALSE),"")</f>
        <v/>
      </c>
      <c r="N1277" s="45" t="str">
        <f>IFERROR(VLOOKUP(B1277,'Pre-Summary'!$CD$6:$CF$64,2,FALSE),"")</f>
        <v/>
      </c>
      <c r="O1277" s="99">
        <f>IFERROR(VLOOKUP(B1277,'Pre-Summary'!$BO$6:$BQ$48,3, FALSE),O1276)</f>
        <v>1.2</v>
      </c>
      <c r="P1277" s="99">
        <f>IFERROR(VLOOKUP(B1277,'Pre-Summary'!$BS$6:$BU$35,3,FALSE),P1276)</f>
        <v>0.3</v>
      </c>
      <c r="Q1277" s="54">
        <f t="shared" si="57"/>
        <v>4</v>
      </c>
      <c r="R1277" s="53">
        <f>IFERROR(VLOOKUP(B1277,'Pre-Summary'!$BG$6:$BM$44,7,FALSE),R1278)</f>
        <v>8.2734025573422298E-2</v>
      </c>
      <c r="S1277" s="53">
        <f>IFERROR(VLOOKUP(B1277,'Pre-Summary'!$BG$6:$BM$44,6,FALSE),S1278)</f>
        <v>7.7866004962824142E-2</v>
      </c>
      <c r="T1277" s="45" t="str">
        <f>IFERROR(VLOOKUP(B1277,'Pre-Summary'!$Y$6:$AC$83, 3,FALSE),"")</f>
        <v/>
      </c>
      <c r="U1277" s="45" t="str">
        <f>IFERROR(VLOOKUP(B1277,'Pre-Summary'!$Y$6:$AC$83, 4,FALSE),"")</f>
        <v/>
      </c>
      <c r="V1277" t="str">
        <f>IFERROR(VLOOKUP(B1277,'Pre-Summary'!$Y$6:$AC$83, 5,FALSE),"")</f>
        <v/>
      </c>
      <c r="W1277" s="45" t="str">
        <f>IFERROR(VLOOKUP(B1277,'Pre-Summary'!$Y$6:$AD$83,6,FALSE),"")</f>
        <v/>
      </c>
      <c r="X1277" t="str">
        <f>IFERROR(VLOOKUP('Pre-Summary'!$DB$6:$DD$63,3,FALSE),"")</f>
        <v/>
      </c>
      <c r="Y1277" t="str">
        <f>IFERROR(VLOOKUP(B1277,'Pre-Summary'!$CR$6:$CT$36,3,FALSE),"")</f>
        <v/>
      </c>
      <c r="Z1277" s="45" t="str">
        <f>IFERROR(VLOOKUP(B1277,'Pre-Summary'!$BZ$6:$CB$63,2,FALSE),"")</f>
        <v/>
      </c>
      <c r="AA1277" s="45" t="str">
        <f>IFERROR(VLOOKUP(B1277,'Pre-Summary'!$CG$6:$CI$70,2,FALSE),"")</f>
        <v/>
      </c>
      <c r="AB1277" s="99">
        <f>IFERROR(VLOOKUP(B1277,'Pre-Summary'!$A$6:$P$178,9,FALSE),AB1278)</f>
        <v>0.23722758541104874</v>
      </c>
      <c r="AC1277" s="10">
        <f>IFERROR(VLOOKUP(Summary!B1277,'Pre-Summary'!$A$6:$P$184,5, FALSE)/100,AC1278)</f>
        <v>0.95326399999999989</v>
      </c>
      <c r="AD1277" s="10">
        <f>IFERROR(VLOOKUP(Summary!B1277,'Pre-Summary'!$A$6:$P$184,3, FALSE)/100,AD1278)</f>
        <v>3.9489333333333335E-2</v>
      </c>
      <c r="AE1277" s="10">
        <f>IFERROR(VLOOKUP(Summary!B1277,'Pre-Summary'!$A$6:$P$184,7, FALSE)/100,AE1278)</f>
        <v>7.0663333333333333E-3</v>
      </c>
      <c r="AF1277" s="99">
        <f t="shared" si="58"/>
        <v>9.3679591961587077E-3</v>
      </c>
      <c r="AG1277" s="99">
        <f t="shared" si="59"/>
        <v>1.676329194376274E-3</v>
      </c>
      <c r="AH1277" s="10" t="str">
        <f>IFERROR(VLOOKUP(B1277,'Pre-Summary'!$AZ$6:$BE$65,3,FALSE),"")</f>
        <v/>
      </c>
      <c r="AI1277" s="10" t="str">
        <f>IFERROR(VLOOKUP(B1277,'Pre-Summary'!$AZ$6:$BE$65,5,FALSE),"")</f>
        <v/>
      </c>
      <c r="AJ1277" s="10" t="str">
        <f>IFERROR(VLOOKUP(B1277,'Pre-Summary'!$AZ$6:$BE$65,4,FALSE),"")</f>
        <v/>
      </c>
      <c r="AK1277" s="10" t="str">
        <f>IFERROR(VLOOKUP(B1277,'Pre-Summary'!$AZ$6:$BE$65,6,FALSE),"")</f>
        <v/>
      </c>
      <c r="AL1277" s="10" t="str">
        <f>IFERROR(VLOOKUP(B1277,'Pre-Summary'!$BG$6:$BL$44,3,FALSE),"")</f>
        <v/>
      </c>
      <c r="AM1277" s="10" t="str">
        <f>IFERROR(VLOOKUP(B1277,'Pre-Summary'!$BG$6:$BL$44,4,FALSE),"")</f>
        <v/>
      </c>
    </row>
    <row r="1278" spans="2:39" ht="15" customHeight="1" x14ac:dyDescent="0.3">
      <c r="B1278">
        <v>127.5</v>
      </c>
      <c r="C1278" t="str">
        <f>IFERROR(VLOOKUP(B1278,'Pre-Summary'!$DI$6:$DM$23,4,FALSE),"")</f>
        <v/>
      </c>
      <c r="D1278" s="10" t="str">
        <f>IFERROR(VLOOKUP(B1278,'Pre-Summary'!$AT$6:$AX$14,5,FALSE),D1277)</f>
        <v>Speece: put in Speece media + EDTA + cysteine + vitamins as in DSMZ 120</v>
      </c>
      <c r="E1278" s="10" t="str">
        <f>IFERROR(VLOOKUP(B1278,'Pre-Summary'!$AT$6:$AX$15,4,FALSE),"")</f>
        <v/>
      </c>
      <c r="F1278">
        <f>IFERROR(VLOOKUP(B1278,'Pre-Summary'!$AL$6:$AQ$13,6,FALSE),F1277)</f>
        <v>5.9405263157894746E-2</v>
      </c>
      <c r="G1278" t="str">
        <f>IFERROR(VLOOKUP(B1278,'Pre-Summary'!$AE$6:$AJ$85,3,FALSE),"")</f>
        <v/>
      </c>
      <c r="H1278" t="str">
        <f>IFERROR(VLOOKUP(B1278,'Pre-Summary'!$AE$6:$AJ$85,4,FALSE),"")</f>
        <v/>
      </c>
      <c r="I1278" t="str">
        <f>IFERROR(VLOOKUP(B1278,'Pre-Summary'!$AE$6:$AJ$85,5,FALSE),"")</f>
        <v/>
      </c>
      <c r="J1278" s="45" t="str">
        <f>IFERROR(VLOOKUP(B1278,'Pre-Summary'!$AE$6:$AJ$85,6, FALSE),"")</f>
        <v/>
      </c>
      <c r="K1278" s="45" t="str">
        <f>IFERROR(VLOOKUP(B1278,'Pre-Summary'!$DE$6:$DG$61,3,FALSE),"")</f>
        <v/>
      </c>
      <c r="L1278" s="45" t="str">
        <f>IFERROR(VLOOKUP(B1278,'Pre-Summary'!$CU$6:$CW$36,3,FALSE),"")</f>
        <v/>
      </c>
      <c r="M1278" s="45" t="str">
        <f>IFERROR(VLOOKUP(B1278,'Pre-Summary'!$BW$6:$BY$58,2,FALSE),"")</f>
        <v/>
      </c>
      <c r="N1278" s="45">
        <f>IFERROR(VLOOKUP(B1278,'Pre-Summary'!$CD$6:$CF$64,2,FALSE),"")</f>
        <v>407.65894690328031</v>
      </c>
      <c r="O1278" s="99">
        <f>IFERROR(VLOOKUP(B1278,'Pre-Summary'!$BO$6:$BQ$48,3, FALSE),O1277)</f>
        <v>1.2</v>
      </c>
      <c r="P1278" s="99">
        <f>IFERROR(VLOOKUP(B1278,'Pre-Summary'!$BS$6:$BU$35,3,FALSE),P1277)</f>
        <v>0.3</v>
      </c>
      <c r="Q1278" s="54">
        <f t="shared" si="57"/>
        <v>4</v>
      </c>
      <c r="R1278" s="53">
        <f>IFERROR(VLOOKUP(B1278,'Pre-Summary'!$BG$6:$BM$44,7,FALSE),R1279)</f>
        <v>8.2734025573422298E-2</v>
      </c>
      <c r="S1278" s="53">
        <f>IFERROR(VLOOKUP(B1278,'Pre-Summary'!$BG$6:$BM$44,6,FALSE),S1279)</f>
        <v>7.7866004962824142E-2</v>
      </c>
      <c r="T1278" s="45" t="str">
        <f>IFERROR(VLOOKUP(B1278,'Pre-Summary'!$Y$6:$AC$83, 3,FALSE),"")</f>
        <v/>
      </c>
      <c r="U1278" s="45" t="str">
        <f>IFERROR(VLOOKUP(B1278,'Pre-Summary'!$Y$6:$AC$83, 4,FALSE),"")</f>
        <v/>
      </c>
      <c r="V1278" t="str">
        <f>IFERROR(VLOOKUP(B1278,'Pre-Summary'!$Y$6:$AC$83, 5,FALSE),"")</f>
        <v/>
      </c>
      <c r="W1278" s="45" t="str">
        <f>IFERROR(VLOOKUP(B1278,'Pre-Summary'!$Y$6:$AD$83,6,FALSE),"")</f>
        <v/>
      </c>
      <c r="X1278" t="str">
        <f>IFERROR(VLOOKUP('Pre-Summary'!$DB$6:$DD$63,3,FALSE),"")</f>
        <v/>
      </c>
      <c r="Y1278" t="str">
        <f>IFERROR(VLOOKUP(B1278,'Pre-Summary'!$CR$6:$CT$36,3,FALSE),"")</f>
        <v/>
      </c>
      <c r="Z1278" s="45" t="str">
        <f>IFERROR(VLOOKUP(B1278,'Pre-Summary'!$BZ$6:$CB$63,2,FALSE),"")</f>
        <v/>
      </c>
      <c r="AA1278" s="45" t="str">
        <f>IFERROR(VLOOKUP(B1278,'Pre-Summary'!$CG$6:$CI$70,2,FALSE),"")</f>
        <v/>
      </c>
      <c r="AB1278" s="99">
        <f>IFERROR(VLOOKUP(B1278,'Pre-Summary'!$A$6:$P$178,9,FALSE),AB1279)</f>
        <v>0.23722758541104874</v>
      </c>
      <c r="AC1278" s="10">
        <f>IFERROR(VLOOKUP(Summary!B1278,'Pre-Summary'!$A$6:$P$184,5, FALSE)/100,AC1279)</f>
        <v>0.95326399999999989</v>
      </c>
      <c r="AD1278" s="10">
        <f>IFERROR(VLOOKUP(Summary!B1278,'Pre-Summary'!$A$6:$P$184,3, FALSE)/100,AD1279)</f>
        <v>3.9489333333333335E-2</v>
      </c>
      <c r="AE1278" s="10">
        <f>IFERROR(VLOOKUP(Summary!B1278,'Pre-Summary'!$A$6:$P$184,7, FALSE)/100,AE1279)</f>
        <v>7.0663333333333333E-3</v>
      </c>
      <c r="AF1278" s="99">
        <f t="shared" si="58"/>
        <v>9.3679591961587077E-3</v>
      </c>
      <c r="AG1278" s="99">
        <f t="shared" si="59"/>
        <v>1.676329194376274E-3</v>
      </c>
      <c r="AH1278" s="10" t="str">
        <f>IFERROR(VLOOKUP(B1278,'Pre-Summary'!$AZ$6:$BE$65,3,FALSE),"")</f>
        <v/>
      </c>
      <c r="AI1278" s="10" t="str">
        <f>IFERROR(VLOOKUP(B1278,'Pre-Summary'!$AZ$6:$BE$65,5,FALSE),"")</f>
        <v/>
      </c>
      <c r="AJ1278" s="10" t="str">
        <f>IFERROR(VLOOKUP(B1278,'Pre-Summary'!$AZ$6:$BE$65,4,FALSE),"")</f>
        <v/>
      </c>
      <c r="AK1278" s="10" t="str">
        <f>IFERROR(VLOOKUP(B1278,'Pre-Summary'!$AZ$6:$BE$65,6,FALSE),"")</f>
        <v/>
      </c>
      <c r="AL1278" s="10" t="str">
        <f>IFERROR(VLOOKUP(B1278,'Pre-Summary'!$BG$6:$BL$44,3,FALSE),"")</f>
        <v/>
      </c>
      <c r="AM1278" s="10" t="str">
        <f>IFERROR(VLOOKUP(B1278,'Pre-Summary'!$BG$6:$BL$44,4,FALSE),"")</f>
        <v/>
      </c>
    </row>
    <row r="1279" spans="2:39" ht="15" customHeight="1" x14ac:dyDescent="0.3">
      <c r="B1279">
        <v>127.6</v>
      </c>
      <c r="C1279" t="str">
        <f>IFERROR(VLOOKUP(B1279,'Pre-Summary'!$DI$6:$DM$23,4,FALSE),"")</f>
        <v/>
      </c>
      <c r="D1279" s="10" t="str">
        <f>IFERROR(VLOOKUP(B1279,'Pre-Summary'!$AT$6:$AX$14,5,FALSE),D1278)</f>
        <v>Speece: put in Speece media + EDTA + cysteine + vitamins as in DSMZ 120</v>
      </c>
      <c r="E1279" s="10" t="str">
        <f>IFERROR(VLOOKUP(B1279,'Pre-Summary'!$AT$6:$AX$15,4,FALSE),"")</f>
        <v/>
      </c>
      <c r="F1279">
        <f>IFERROR(VLOOKUP(B1279,'Pre-Summary'!$AL$6:$AQ$13,6,FALSE),F1278)</f>
        <v>5.9405263157894746E-2</v>
      </c>
      <c r="G1279" t="str">
        <f>IFERROR(VLOOKUP(B1279,'Pre-Summary'!$AE$6:$AJ$85,3,FALSE),"")</f>
        <v/>
      </c>
      <c r="H1279" t="str">
        <f>IFERROR(VLOOKUP(B1279,'Pre-Summary'!$AE$6:$AJ$85,4,FALSE),"")</f>
        <v/>
      </c>
      <c r="I1279" t="str">
        <f>IFERROR(VLOOKUP(B1279,'Pre-Summary'!$AE$6:$AJ$85,5,FALSE),"")</f>
        <v/>
      </c>
      <c r="J1279" s="45" t="str">
        <f>IFERROR(VLOOKUP(B1279,'Pre-Summary'!$AE$6:$AJ$85,6, FALSE),"")</f>
        <v/>
      </c>
      <c r="K1279" s="45" t="str">
        <f>IFERROR(VLOOKUP(B1279,'Pre-Summary'!$DE$6:$DG$61,3,FALSE),"")</f>
        <v/>
      </c>
      <c r="L1279" s="45" t="str">
        <f>IFERROR(VLOOKUP(B1279,'Pre-Summary'!$CU$6:$CW$36,3,FALSE),"")</f>
        <v/>
      </c>
      <c r="M1279" s="45" t="str">
        <f>IFERROR(VLOOKUP(B1279,'Pre-Summary'!$BW$6:$BY$58,2,FALSE),"")</f>
        <v/>
      </c>
      <c r="N1279" s="45" t="str">
        <f>IFERROR(VLOOKUP(B1279,'Pre-Summary'!$CD$6:$CF$64,2,FALSE),"")</f>
        <v/>
      </c>
      <c r="O1279" s="99">
        <f>IFERROR(VLOOKUP(B1279,'Pre-Summary'!$BO$6:$BQ$48,3, FALSE),O1278)</f>
        <v>1.2</v>
      </c>
      <c r="P1279" s="99">
        <f>IFERROR(VLOOKUP(B1279,'Pre-Summary'!$BS$6:$BU$35,3,FALSE),P1278)</f>
        <v>0.3</v>
      </c>
      <c r="Q1279" s="54">
        <f t="shared" si="57"/>
        <v>4</v>
      </c>
      <c r="R1279" s="53">
        <f>IFERROR(VLOOKUP(B1279,'Pre-Summary'!$BG$6:$BM$44,7,FALSE),R1280)</f>
        <v>8.2734025573422298E-2</v>
      </c>
      <c r="S1279" s="53">
        <f>IFERROR(VLOOKUP(B1279,'Pre-Summary'!$BG$6:$BM$44,6,FALSE),S1280)</f>
        <v>7.7866004962824142E-2</v>
      </c>
      <c r="T1279" s="45" t="str">
        <f>IFERROR(VLOOKUP(B1279,'Pre-Summary'!$Y$6:$AC$83, 3,FALSE),"")</f>
        <v/>
      </c>
      <c r="U1279" s="45" t="str">
        <f>IFERROR(VLOOKUP(B1279,'Pre-Summary'!$Y$6:$AC$83, 4,FALSE),"")</f>
        <v/>
      </c>
      <c r="V1279" t="str">
        <f>IFERROR(VLOOKUP(B1279,'Pre-Summary'!$Y$6:$AC$83, 5,FALSE),"")</f>
        <v/>
      </c>
      <c r="W1279" s="45" t="str">
        <f>IFERROR(VLOOKUP(B1279,'Pre-Summary'!$Y$6:$AD$83,6,FALSE),"")</f>
        <v/>
      </c>
      <c r="X1279" t="str">
        <f>IFERROR(VLOOKUP('Pre-Summary'!$DB$6:$DD$63,3,FALSE),"")</f>
        <v/>
      </c>
      <c r="Y1279" t="str">
        <f>IFERROR(VLOOKUP(B1279,'Pre-Summary'!$CR$6:$CT$36,3,FALSE),"")</f>
        <v/>
      </c>
      <c r="Z1279" s="45" t="str">
        <f>IFERROR(VLOOKUP(B1279,'Pre-Summary'!$BZ$6:$CB$63,2,FALSE),"")</f>
        <v/>
      </c>
      <c r="AA1279" s="45" t="str">
        <f>IFERROR(VLOOKUP(B1279,'Pre-Summary'!$CG$6:$CI$70,2,FALSE),"")</f>
        <v/>
      </c>
      <c r="AB1279" s="99">
        <f>IFERROR(VLOOKUP(B1279,'Pre-Summary'!$A$6:$P$178,9,FALSE),AB1280)</f>
        <v>0.23722758541104874</v>
      </c>
      <c r="AC1279" s="10">
        <f>IFERROR(VLOOKUP(Summary!B1279,'Pre-Summary'!$A$6:$P$184,5, FALSE)/100,AC1280)</f>
        <v>0.95326399999999989</v>
      </c>
      <c r="AD1279" s="10">
        <f>IFERROR(VLOOKUP(Summary!B1279,'Pre-Summary'!$A$6:$P$184,3, FALSE)/100,AD1280)</f>
        <v>3.9489333333333335E-2</v>
      </c>
      <c r="AE1279" s="10">
        <f>IFERROR(VLOOKUP(Summary!B1279,'Pre-Summary'!$A$6:$P$184,7, FALSE)/100,AE1280)</f>
        <v>7.0663333333333333E-3</v>
      </c>
      <c r="AF1279" s="99">
        <f t="shared" si="58"/>
        <v>9.3679591961587077E-3</v>
      </c>
      <c r="AG1279" s="99">
        <f t="shared" si="59"/>
        <v>1.676329194376274E-3</v>
      </c>
      <c r="AH1279" s="10" t="str">
        <f>IFERROR(VLOOKUP(B1279,'Pre-Summary'!$AZ$6:$BE$65,3,FALSE),"")</f>
        <v/>
      </c>
      <c r="AI1279" s="10" t="str">
        <f>IFERROR(VLOOKUP(B1279,'Pre-Summary'!$AZ$6:$BE$65,5,FALSE),"")</f>
        <v/>
      </c>
      <c r="AJ1279" s="10" t="str">
        <f>IFERROR(VLOOKUP(B1279,'Pre-Summary'!$AZ$6:$BE$65,4,FALSE),"")</f>
        <v/>
      </c>
      <c r="AK1279" s="10" t="str">
        <f>IFERROR(VLOOKUP(B1279,'Pre-Summary'!$AZ$6:$BE$65,6,FALSE),"")</f>
        <v/>
      </c>
      <c r="AL1279" s="10" t="str">
        <f>IFERROR(VLOOKUP(B1279,'Pre-Summary'!$BG$6:$BL$44,3,FALSE),"")</f>
        <v/>
      </c>
      <c r="AM1279" s="10" t="str">
        <f>IFERROR(VLOOKUP(B1279,'Pre-Summary'!$BG$6:$BL$44,4,FALSE),"")</f>
        <v/>
      </c>
    </row>
    <row r="1280" spans="2:39" ht="15" customHeight="1" x14ac:dyDescent="0.3">
      <c r="B1280">
        <v>127.7</v>
      </c>
      <c r="C1280" t="str">
        <f>IFERROR(VLOOKUP(B1280,'Pre-Summary'!$DI$6:$DM$23,4,FALSE),"")</f>
        <v/>
      </c>
      <c r="D1280" s="10" t="str">
        <f>IFERROR(VLOOKUP(B1280,'Pre-Summary'!$AT$6:$AX$14,5,FALSE),D1279)</f>
        <v>Speece: put in Speece media + EDTA + cysteine + vitamins as in DSMZ 120</v>
      </c>
      <c r="E1280" s="10" t="str">
        <f>IFERROR(VLOOKUP(B1280,'Pre-Summary'!$AT$6:$AX$15,4,FALSE),"")</f>
        <v/>
      </c>
      <c r="F1280">
        <f>IFERROR(VLOOKUP(B1280,'Pre-Summary'!$AL$6:$AQ$13,6,FALSE),F1279)</f>
        <v>5.9405263157894746E-2</v>
      </c>
      <c r="G1280" t="str">
        <f>IFERROR(VLOOKUP(B1280,'Pre-Summary'!$AE$6:$AJ$85,3,FALSE),"")</f>
        <v/>
      </c>
      <c r="H1280" t="str">
        <f>IFERROR(VLOOKUP(B1280,'Pre-Summary'!$AE$6:$AJ$85,4,FALSE),"")</f>
        <v/>
      </c>
      <c r="I1280" t="str">
        <f>IFERROR(VLOOKUP(B1280,'Pre-Summary'!$AE$6:$AJ$85,5,FALSE),"")</f>
        <v/>
      </c>
      <c r="J1280" s="45" t="str">
        <f>IFERROR(VLOOKUP(B1280,'Pre-Summary'!$AE$6:$AJ$85,6, FALSE),"")</f>
        <v/>
      </c>
      <c r="K1280" s="45" t="str">
        <f>IFERROR(VLOOKUP(B1280,'Pre-Summary'!$DE$6:$DG$61,3,FALSE),"")</f>
        <v/>
      </c>
      <c r="L1280" s="45" t="str">
        <f>IFERROR(VLOOKUP(B1280,'Pre-Summary'!$CU$6:$CW$36,3,FALSE),"")</f>
        <v/>
      </c>
      <c r="M1280" s="45" t="str">
        <f>IFERROR(VLOOKUP(B1280,'Pre-Summary'!$BW$6:$BY$58,2,FALSE),"")</f>
        <v/>
      </c>
      <c r="N1280" s="45" t="str">
        <f>IFERROR(VLOOKUP(B1280,'Pre-Summary'!$CD$6:$CF$64,2,FALSE),"")</f>
        <v/>
      </c>
      <c r="O1280" s="99">
        <f>IFERROR(VLOOKUP(B1280,'Pre-Summary'!$BO$6:$BQ$48,3, FALSE),O1279)</f>
        <v>1.2</v>
      </c>
      <c r="P1280" s="99">
        <f>IFERROR(VLOOKUP(B1280,'Pre-Summary'!$BS$6:$BU$35,3,FALSE),P1279)</f>
        <v>0.3</v>
      </c>
      <c r="Q1280" s="54">
        <f t="shared" si="57"/>
        <v>4</v>
      </c>
      <c r="R1280" s="53">
        <f>IFERROR(VLOOKUP(B1280,'Pre-Summary'!$BG$6:$BM$44,7,FALSE),R1281)</f>
        <v>8.2734025573422298E-2</v>
      </c>
      <c r="S1280" s="53">
        <f>IFERROR(VLOOKUP(B1280,'Pre-Summary'!$BG$6:$BM$44,6,FALSE),S1281)</f>
        <v>7.7866004962824142E-2</v>
      </c>
      <c r="T1280" s="45" t="str">
        <f>IFERROR(VLOOKUP(B1280,'Pre-Summary'!$Y$6:$AC$83, 3,FALSE),"")</f>
        <v/>
      </c>
      <c r="U1280" s="45" t="str">
        <f>IFERROR(VLOOKUP(B1280,'Pre-Summary'!$Y$6:$AC$83, 4,FALSE),"")</f>
        <v/>
      </c>
      <c r="V1280" t="str">
        <f>IFERROR(VLOOKUP(B1280,'Pre-Summary'!$Y$6:$AC$83, 5,FALSE),"")</f>
        <v/>
      </c>
      <c r="W1280" s="45" t="str">
        <f>IFERROR(VLOOKUP(B1280,'Pre-Summary'!$Y$6:$AD$83,6,FALSE),"")</f>
        <v/>
      </c>
      <c r="X1280" t="str">
        <f>IFERROR(VLOOKUP('Pre-Summary'!$DB$6:$DD$63,3,FALSE),"")</f>
        <v/>
      </c>
      <c r="Y1280" t="str">
        <f>IFERROR(VLOOKUP(B1280,'Pre-Summary'!$CR$6:$CT$36,3,FALSE),"")</f>
        <v/>
      </c>
      <c r="Z1280" s="45" t="str">
        <f>IFERROR(VLOOKUP(B1280,'Pre-Summary'!$BZ$6:$CB$63,2,FALSE),"")</f>
        <v/>
      </c>
      <c r="AA1280" s="45" t="str">
        <f>IFERROR(VLOOKUP(B1280,'Pre-Summary'!$CG$6:$CI$70,2,FALSE),"")</f>
        <v/>
      </c>
      <c r="AB1280" s="99">
        <f>IFERROR(VLOOKUP(B1280,'Pre-Summary'!$A$6:$P$178,9,FALSE),AB1281)</f>
        <v>0.23722758541104874</v>
      </c>
      <c r="AC1280" s="10">
        <f>IFERROR(VLOOKUP(Summary!B1280,'Pre-Summary'!$A$6:$P$184,5, FALSE)/100,AC1281)</f>
        <v>0.95326399999999989</v>
      </c>
      <c r="AD1280" s="10">
        <f>IFERROR(VLOOKUP(Summary!B1280,'Pre-Summary'!$A$6:$P$184,3, FALSE)/100,AD1281)</f>
        <v>3.9489333333333335E-2</v>
      </c>
      <c r="AE1280" s="10">
        <f>IFERROR(VLOOKUP(Summary!B1280,'Pre-Summary'!$A$6:$P$184,7, FALSE)/100,AE1281)</f>
        <v>7.0663333333333333E-3</v>
      </c>
      <c r="AF1280" s="99">
        <f t="shared" si="58"/>
        <v>9.3679591961587077E-3</v>
      </c>
      <c r="AG1280" s="99">
        <f t="shared" si="59"/>
        <v>1.676329194376274E-3</v>
      </c>
      <c r="AH1280" s="10" t="str">
        <f>IFERROR(VLOOKUP(B1280,'Pre-Summary'!$AZ$6:$BE$65,3,FALSE),"")</f>
        <v/>
      </c>
      <c r="AI1280" s="10" t="str">
        <f>IFERROR(VLOOKUP(B1280,'Pre-Summary'!$AZ$6:$BE$65,5,FALSE),"")</f>
        <v/>
      </c>
      <c r="AJ1280" s="10" t="str">
        <f>IFERROR(VLOOKUP(B1280,'Pre-Summary'!$AZ$6:$BE$65,4,FALSE),"")</f>
        <v/>
      </c>
      <c r="AK1280" s="10" t="str">
        <f>IFERROR(VLOOKUP(B1280,'Pre-Summary'!$AZ$6:$BE$65,6,FALSE),"")</f>
        <v/>
      </c>
      <c r="AL1280" s="10" t="str">
        <f>IFERROR(VLOOKUP(B1280,'Pre-Summary'!$BG$6:$BL$44,3,FALSE),"")</f>
        <v/>
      </c>
      <c r="AM1280" s="10" t="str">
        <f>IFERROR(VLOOKUP(B1280,'Pre-Summary'!$BG$6:$BL$44,4,FALSE),"")</f>
        <v/>
      </c>
    </row>
    <row r="1281" spans="2:39" ht="15" customHeight="1" x14ac:dyDescent="0.3">
      <c r="B1281">
        <v>127.8</v>
      </c>
      <c r="C1281" t="str">
        <f>IFERROR(VLOOKUP(B1281,'Pre-Summary'!$DI$6:$DM$23,4,FALSE),"")</f>
        <v/>
      </c>
      <c r="D1281" s="10" t="str">
        <f>IFERROR(VLOOKUP(B1281,'Pre-Summary'!$AT$6:$AX$14,5,FALSE),D1280)</f>
        <v>Speece: put in Speece media + EDTA + cysteine + vitamins as in DSMZ 120</v>
      </c>
      <c r="E1281" s="10" t="str">
        <f>IFERROR(VLOOKUP(B1281,'Pre-Summary'!$AT$6:$AX$15,4,FALSE),"")</f>
        <v/>
      </c>
      <c r="F1281">
        <f>IFERROR(VLOOKUP(B1281,'Pre-Summary'!$AL$6:$AQ$13,6,FALSE),F1280)</f>
        <v>5.9405263157894746E-2</v>
      </c>
      <c r="G1281" t="str">
        <f>IFERROR(VLOOKUP(B1281,'Pre-Summary'!$AE$6:$AJ$85,3,FALSE),"")</f>
        <v/>
      </c>
      <c r="H1281" t="str">
        <f>IFERROR(VLOOKUP(B1281,'Pre-Summary'!$AE$6:$AJ$85,4,FALSE),"")</f>
        <v/>
      </c>
      <c r="I1281" t="str">
        <f>IFERROR(VLOOKUP(B1281,'Pre-Summary'!$AE$6:$AJ$85,5,FALSE),"")</f>
        <v/>
      </c>
      <c r="J1281" s="45" t="str">
        <f>IFERROR(VLOOKUP(B1281,'Pre-Summary'!$AE$6:$AJ$85,6, FALSE),"")</f>
        <v/>
      </c>
      <c r="K1281" s="45" t="str">
        <f>IFERROR(VLOOKUP(B1281,'Pre-Summary'!$DE$6:$DG$61,3,FALSE),"")</f>
        <v/>
      </c>
      <c r="L1281" s="45" t="str">
        <f>IFERROR(VLOOKUP(B1281,'Pre-Summary'!$CU$6:$CW$36,3,FALSE),"")</f>
        <v/>
      </c>
      <c r="M1281" s="45" t="str">
        <f>IFERROR(VLOOKUP(B1281,'Pre-Summary'!$BW$6:$BY$58,2,FALSE),"")</f>
        <v/>
      </c>
      <c r="N1281" s="45" t="str">
        <f>IFERROR(VLOOKUP(B1281,'Pre-Summary'!$CD$6:$CF$64,2,FALSE),"")</f>
        <v/>
      </c>
      <c r="O1281" s="99">
        <f>IFERROR(VLOOKUP(B1281,'Pre-Summary'!$BO$6:$BQ$48,3, FALSE),O1280)</f>
        <v>1.2</v>
      </c>
      <c r="P1281" s="99">
        <f>IFERROR(VLOOKUP(B1281,'Pre-Summary'!$BS$6:$BU$35,3,FALSE),P1280)</f>
        <v>0.3</v>
      </c>
      <c r="Q1281" s="54">
        <f t="shared" si="57"/>
        <v>4</v>
      </c>
      <c r="R1281" s="53">
        <f>IFERROR(VLOOKUP(B1281,'Pre-Summary'!$BG$6:$BM$44,7,FALSE),R1282)</f>
        <v>8.2734025573422298E-2</v>
      </c>
      <c r="S1281" s="53">
        <f>IFERROR(VLOOKUP(B1281,'Pre-Summary'!$BG$6:$BM$44,6,FALSE),S1282)</f>
        <v>7.7866004962824142E-2</v>
      </c>
      <c r="T1281" s="45" t="str">
        <f>IFERROR(VLOOKUP(B1281,'Pre-Summary'!$Y$6:$AC$83, 3,FALSE),"")</f>
        <v/>
      </c>
      <c r="U1281" s="45" t="str">
        <f>IFERROR(VLOOKUP(B1281,'Pre-Summary'!$Y$6:$AC$83, 4,FALSE),"")</f>
        <v/>
      </c>
      <c r="V1281" t="str">
        <f>IFERROR(VLOOKUP(B1281,'Pre-Summary'!$Y$6:$AC$83, 5,FALSE),"")</f>
        <v/>
      </c>
      <c r="W1281" s="45" t="str">
        <f>IFERROR(VLOOKUP(B1281,'Pre-Summary'!$Y$6:$AD$83,6,FALSE),"")</f>
        <v/>
      </c>
      <c r="X1281" t="str">
        <f>IFERROR(VLOOKUP('Pre-Summary'!$DB$6:$DD$63,3,FALSE),"")</f>
        <v/>
      </c>
      <c r="Y1281" t="str">
        <f>IFERROR(VLOOKUP(B1281,'Pre-Summary'!$CR$6:$CT$36,3,FALSE),"")</f>
        <v/>
      </c>
      <c r="Z1281" s="45" t="str">
        <f>IFERROR(VLOOKUP(B1281,'Pre-Summary'!$BZ$6:$CB$63,2,FALSE),"")</f>
        <v/>
      </c>
      <c r="AA1281" s="45" t="str">
        <f>IFERROR(VLOOKUP(B1281,'Pre-Summary'!$CG$6:$CI$70,2,FALSE),"")</f>
        <v/>
      </c>
      <c r="AB1281" s="99">
        <f>IFERROR(VLOOKUP(B1281,'Pre-Summary'!$A$6:$P$178,9,FALSE),AB1282)</f>
        <v>0.23722758541104874</v>
      </c>
      <c r="AC1281" s="10">
        <f>IFERROR(VLOOKUP(Summary!B1281,'Pre-Summary'!$A$6:$P$184,5, FALSE)/100,AC1282)</f>
        <v>0.95326399999999989</v>
      </c>
      <c r="AD1281" s="10">
        <f>IFERROR(VLOOKUP(Summary!B1281,'Pre-Summary'!$A$6:$P$184,3, FALSE)/100,AD1282)</f>
        <v>3.9489333333333335E-2</v>
      </c>
      <c r="AE1281" s="10">
        <f>IFERROR(VLOOKUP(Summary!B1281,'Pre-Summary'!$A$6:$P$184,7, FALSE)/100,AE1282)</f>
        <v>7.0663333333333333E-3</v>
      </c>
      <c r="AF1281" s="99">
        <f t="shared" si="58"/>
        <v>9.3679591961587077E-3</v>
      </c>
      <c r="AG1281" s="99">
        <f t="shared" si="59"/>
        <v>1.676329194376274E-3</v>
      </c>
      <c r="AH1281" s="10" t="str">
        <f>IFERROR(VLOOKUP(B1281,'Pre-Summary'!$AZ$6:$BE$65,3,FALSE),"")</f>
        <v/>
      </c>
      <c r="AI1281" s="10" t="str">
        <f>IFERROR(VLOOKUP(B1281,'Pre-Summary'!$AZ$6:$BE$65,5,FALSE),"")</f>
        <v/>
      </c>
      <c r="AJ1281" s="10" t="str">
        <f>IFERROR(VLOOKUP(B1281,'Pre-Summary'!$AZ$6:$BE$65,4,FALSE),"")</f>
        <v/>
      </c>
      <c r="AK1281" s="10" t="str">
        <f>IFERROR(VLOOKUP(B1281,'Pre-Summary'!$AZ$6:$BE$65,6,FALSE),"")</f>
        <v/>
      </c>
      <c r="AL1281" s="10" t="str">
        <f>IFERROR(VLOOKUP(B1281,'Pre-Summary'!$BG$6:$BL$44,3,FALSE),"")</f>
        <v/>
      </c>
      <c r="AM1281" s="10" t="str">
        <f>IFERROR(VLOOKUP(B1281,'Pre-Summary'!$BG$6:$BL$44,4,FALSE),"")</f>
        <v/>
      </c>
    </row>
    <row r="1282" spans="2:39" ht="15" customHeight="1" x14ac:dyDescent="0.3">
      <c r="B1282">
        <v>127.9</v>
      </c>
      <c r="C1282" t="str">
        <f>IFERROR(VLOOKUP(B1282,'Pre-Summary'!$DI$6:$DM$23,4,FALSE),"")</f>
        <v/>
      </c>
      <c r="D1282" s="10" t="str">
        <f>IFERROR(VLOOKUP(B1282,'Pre-Summary'!$AT$6:$AX$14,5,FALSE),D1281)</f>
        <v>Speece: put in Speece media + EDTA + cysteine + vitamins as in DSMZ 120</v>
      </c>
      <c r="E1282" s="10" t="str">
        <f>IFERROR(VLOOKUP(B1282,'Pre-Summary'!$AT$6:$AX$15,4,FALSE),"")</f>
        <v/>
      </c>
      <c r="F1282">
        <f>IFERROR(VLOOKUP(B1282,'Pre-Summary'!$AL$6:$AQ$13,6,FALSE),F1281)</f>
        <v>5.9405263157894746E-2</v>
      </c>
      <c r="G1282">
        <f>IFERROR(VLOOKUP(B1282,'Pre-Summary'!$AE$6:$AJ$85,3,FALSE),"")</f>
        <v>5.8689999999999998</v>
      </c>
      <c r="H1282" t="str">
        <f>IFERROR(VLOOKUP(B1282,'Pre-Summary'!$AE$6:$AJ$85,4,FALSE),"")</f>
        <v/>
      </c>
      <c r="I1282">
        <f>IFERROR(VLOOKUP(B1282,'Pre-Summary'!$AE$6:$AJ$85,5,FALSE),"")</f>
        <v>0</v>
      </c>
      <c r="J1282" s="45">
        <f>IFERROR(VLOOKUP(B1282,'Pre-Summary'!$AE$6:$AJ$85,6, FALSE),"")</f>
        <v>6.2622229999999997</v>
      </c>
      <c r="K1282" s="45" t="str">
        <f>IFERROR(VLOOKUP(B1282,'Pre-Summary'!$DE$6:$DG$61,3,FALSE),"")</f>
        <v/>
      </c>
      <c r="L1282" s="45" t="str">
        <f>IFERROR(VLOOKUP(B1282,'Pre-Summary'!$CU$6:$CW$36,3,FALSE),"")</f>
        <v/>
      </c>
      <c r="M1282" s="45">
        <f>IFERROR(VLOOKUP(B1282,'Pre-Summary'!$BW$6:$BY$58,2,FALSE),"")</f>
        <v>0</v>
      </c>
      <c r="N1282" s="45" t="str">
        <f>IFERROR(VLOOKUP(B1282,'Pre-Summary'!$CD$6:$CF$64,2,FALSE),"")</f>
        <v/>
      </c>
      <c r="O1282" s="99">
        <f>IFERROR(VLOOKUP(B1282,'Pre-Summary'!$BO$6:$BQ$48,3, FALSE),O1281)</f>
        <v>1.2</v>
      </c>
      <c r="P1282" s="99">
        <f>IFERROR(VLOOKUP(B1282,'Pre-Summary'!$BS$6:$BU$35,3,FALSE),P1281)</f>
        <v>0.3</v>
      </c>
      <c r="Q1282" s="54">
        <f t="shared" si="57"/>
        <v>4</v>
      </c>
      <c r="R1282" s="53">
        <f>IFERROR(VLOOKUP(B1282,'Pre-Summary'!$BG$6:$BM$44,7,FALSE),R1283)</f>
        <v>8.2734025573422298E-2</v>
      </c>
      <c r="S1282" s="53">
        <f>IFERROR(VLOOKUP(B1282,'Pre-Summary'!$BG$6:$BM$44,6,FALSE),S1283)</f>
        <v>7.7866004962824142E-2</v>
      </c>
      <c r="T1282" s="45">
        <f>IFERROR(VLOOKUP(B1282,'Pre-Summary'!$Y$6:$AC$83, 3,FALSE),"")</f>
        <v>33.847999999999999</v>
      </c>
      <c r="U1282" s="45">
        <f>IFERROR(VLOOKUP(B1282,'Pre-Summary'!$Y$6:$AC$83, 4,FALSE),"")</f>
        <v>1.3280000000000001</v>
      </c>
      <c r="V1282">
        <f>IFERROR(VLOOKUP(B1282,'Pre-Summary'!$Y$6:$AC$83, 5,FALSE),"")</f>
        <v>0</v>
      </c>
      <c r="W1282" s="45">
        <f>IFERROR(VLOOKUP(B1282,'Pre-Summary'!$Y$6:$AD$83,6,FALSE),"")</f>
        <v>38.126407999999998</v>
      </c>
      <c r="X1282" t="str">
        <f>IFERROR(VLOOKUP('Pre-Summary'!$DB$6:$DD$63,3,FALSE),"")</f>
        <v/>
      </c>
      <c r="Y1282" t="str">
        <f>IFERROR(VLOOKUP(B1282,'Pre-Summary'!$CR$6:$CT$36,3,FALSE),"")</f>
        <v/>
      </c>
      <c r="Z1282" s="45">
        <f>IFERROR(VLOOKUP(B1282,'Pre-Summary'!$BZ$6:$CB$63,2,FALSE),"")</f>
        <v>0</v>
      </c>
      <c r="AA1282" s="45">
        <f>IFERROR(VLOOKUP(B1282,'Pre-Summary'!$CG$6:$CI$70,2,FALSE),"")</f>
        <v>237.12834523918258</v>
      </c>
      <c r="AB1282" s="99">
        <f>IFERROR(VLOOKUP(B1282,'Pre-Summary'!$A$6:$P$178,9,FALSE),AB1283)</f>
        <v>0.23722758541104874</v>
      </c>
      <c r="AC1282" s="10">
        <f>IFERROR(VLOOKUP(Summary!B1282,'Pre-Summary'!$A$6:$P$184,5, FALSE)/100,AC1283)</f>
        <v>0.95326399999999989</v>
      </c>
      <c r="AD1282" s="10">
        <f>IFERROR(VLOOKUP(Summary!B1282,'Pre-Summary'!$A$6:$P$184,3, FALSE)/100,AD1283)</f>
        <v>3.9489333333333335E-2</v>
      </c>
      <c r="AE1282" s="10">
        <f>IFERROR(VLOOKUP(Summary!B1282,'Pre-Summary'!$A$6:$P$184,7, FALSE)/100,AE1283)</f>
        <v>7.0663333333333333E-3</v>
      </c>
      <c r="AF1282" s="99">
        <f t="shared" si="58"/>
        <v>9.3679591961587077E-3</v>
      </c>
      <c r="AG1282" s="99">
        <f t="shared" si="59"/>
        <v>1.676329194376274E-3</v>
      </c>
      <c r="AH1282" s="10" t="str">
        <f>IFERROR(VLOOKUP(B1282,'Pre-Summary'!$AZ$6:$BE$65,3,FALSE),"")</f>
        <v/>
      </c>
      <c r="AI1282" s="10" t="str">
        <f>IFERROR(VLOOKUP(B1282,'Pre-Summary'!$AZ$6:$BE$65,5,FALSE),"")</f>
        <v/>
      </c>
      <c r="AJ1282" s="10" t="str">
        <f>IFERROR(VLOOKUP(B1282,'Pre-Summary'!$AZ$6:$BE$65,4,FALSE),"")</f>
        <v/>
      </c>
      <c r="AK1282" s="10" t="str">
        <f>IFERROR(VLOOKUP(B1282,'Pre-Summary'!$AZ$6:$BE$65,6,FALSE),"")</f>
        <v/>
      </c>
      <c r="AL1282" s="10" t="str">
        <f>IFERROR(VLOOKUP(B1282,'Pre-Summary'!$BG$6:$BL$44,3,FALSE),"")</f>
        <v/>
      </c>
      <c r="AM1282" s="10" t="str">
        <f>IFERROR(VLOOKUP(B1282,'Pre-Summary'!$BG$6:$BL$44,4,FALSE),"")</f>
        <v/>
      </c>
    </row>
    <row r="1283" spans="2:39" ht="15" customHeight="1" x14ac:dyDescent="0.3">
      <c r="B1283">
        <v>128</v>
      </c>
      <c r="C1283" t="str">
        <f>IFERROR(VLOOKUP(B1283,'Pre-Summary'!$DI$6:$DM$23,4,FALSE),"")</f>
        <v/>
      </c>
      <c r="D1283" s="10" t="str">
        <f>IFERROR(VLOOKUP(B1283,'Pre-Summary'!$AT$6:$AX$14,5,FALSE),D1282)</f>
        <v>Speece: put in Speece media + EDTA + cysteine + vitamins as in DSMZ 120</v>
      </c>
      <c r="E1283" s="10" t="str">
        <f>IFERROR(VLOOKUP(B1283,'Pre-Summary'!$AT$6:$AX$15,4,FALSE),"")</f>
        <v/>
      </c>
      <c r="F1283">
        <f>IFERROR(VLOOKUP(B1283,'Pre-Summary'!$AL$6:$AQ$13,6,FALSE),F1282)</f>
        <v>5.9405263157894746E-2</v>
      </c>
      <c r="G1283" t="str">
        <f>IFERROR(VLOOKUP(B1283,'Pre-Summary'!$AE$6:$AJ$85,3,FALSE),"")</f>
        <v/>
      </c>
      <c r="H1283" t="str">
        <f>IFERROR(VLOOKUP(B1283,'Pre-Summary'!$AE$6:$AJ$85,4,FALSE),"")</f>
        <v/>
      </c>
      <c r="I1283" t="str">
        <f>IFERROR(VLOOKUP(B1283,'Pre-Summary'!$AE$6:$AJ$85,5,FALSE),"")</f>
        <v/>
      </c>
      <c r="J1283" s="45" t="str">
        <f>IFERROR(VLOOKUP(B1283,'Pre-Summary'!$AE$6:$AJ$85,6, FALSE),"")</f>
        <v/>
      </c>
      <c r="K1283" s="45" t="str">
        <f>IFERROR(VLOOKUP(B1283,'Pre-Summary'!$DE$6:$DG$61,3,FALSE),"")</f>
        <v/>
      </c>
      <c r="L1283" s="45" t="str">
        <f>IFERROR(VLOOKUP(B1283,'Pre-Summary'!$CU$6:$CW$36,3,FALSE),"")</f>
        <v/>
      </c>
      <c r="M1283" s="45" t="str">
        <f>IFERROR(VLOOKUP(B1283,'Pre-Summary'!$BW$6:$BY$58,2,FALSE),"")</f>
        <v/>
      </c>
      <c r="N1283" s="45" t="str">
        <f>IFERROR(VLOOKUP(B1283,'Pre-Summary'!$CD$6:$CF$64,2,FALSE),"")</f>
        <v/>
      </c>
      <c r="O1283" s="99">
        <f>IFERROR(VLOOKUP(B1283,'Pre-Summary'!$BO$6:$BQ$48,3, FALSE),O1282)</f>
        <v>1.2</v>
      </c>
      <c r="P1283" s="99">
        <f>IFERROR(VLOOKUP(B1283,'Pre-Summary'!$BS$6:$BU$35,3,FALSE),P1282)</f>
        <v>0.3</v>
      </c>
      <c r="Q1283" s="54">
        <f t="shared" ref="Q1283:Q1346" si="60">O1283/P1283</f>
        <v>4</v>
      </c>
      <c r="R1283" s="53">
        <f>IFERROR(VLOOKUP(B1283,'Pre-Summary'!$BG$6:$BM$44,7,FALSE),R1284)</f>
        <v>8.2734025573422298E-2</v>
      </c>
      <c r="S1283" s="53">
        <f>IFERROR(VLOOKUP(B1283,'Pre-Summary'!$BG$6:$BM$44,6,FALSE),S1284)</f>
        <v>7.7866004962824142E-2</v>
      </c>
      <c r="T1283" s="45" t="str">
        <f>IFERROR(VLOOKUP(B1283,'Pre-Summary'!$Y$6:$AC$83, 3,FALSE),"")</f>
        <v/>
      </c>
      <c r="U1283" s="45" t="str">
        <f>IFERROR(VLOOKUP(B1283,'Pre-Summary'!$Y$6:$AC$83, 4,FALSE),"")</f>
        <v/>
      </c>
      <c r="V1283" t="str">
        <f>IFERROR(VLOOKUP(B1283,'Pre-Summary'!$Y$6:$AC$83, 5,FALSE),"")</f>
        <v/>
      </c>
      <c r="W1283" s="45" t="str">
        <f>IFERROR(VLOOKUP(B1283,'Pre-Summary'!$Y$6:$AD$83,6,FALSE),"")</f>
        <v/>
      </c>
      <c r="X1283" t="str">
        <f>IFERROR(VLOOKUP('Pre-Summary'!$DB$6:$DD$63,3,FALSE),"")</f>
        <v/>
      </c>
      <c r="Y1283" t="str">
        <f>IFERROR(VLOOKUP(B1283,'Pre-Summary'!$CR$6:$CT$36,3,FALSE),"")</f>
        <v/>
      </c>
      <c r="Z1283" s="45" t="str">
        <f>IFERROR(VLOOKUP(B1283,'Pre-Summary'!$BZ$6:$CB$63,2,FALSE),"")</f>
        <v/>
      </c>
      <c r="AA1283" s="45" t="str">
        <f>IFERROR(VLOOKUP(B1283,'Pre-Summary'!$CG$6:$CI$70,2,FALSE),"")</f>
        <v/>
      </c>
      <c r="AB1283" s="99">
        <f>IFERROR(VLOOKUP(B1283,'Pre-Summary'!$A$6:$P$178,9,FALSE),AB1284)</f>
        <v>0.29951034906156815</v>
      </c>
      <c r="AC1283" s="10">
        <f>IFERROR(VLOOKUP(Summary!B1283,'Pre-Summary'!$A$6:$P$184,5, FALSE)/100,AC1284)</f>
        <v>0.87194233333333326</v>
      </c>
      <c r="AD1283" s="10">
        <f>IFERROR(VLOOKUP(Summary!B1283,'Pre-Summary'!$A$6:$P$184,3, FALSE)/100,AD1284)</f>
        <v>0.11797166666666667</v>
      </c>
      <c r="AE1283" s="10">
        <f>IFERROR(VLOOKUP(Summary!B1283,'Pre-Summary'!$A$6:$P$184,7, FALSE)/100,AE1284)</f>
        <v>1.0085666666666666E-2</v>
      </c>
      <c r="AF1283" s="99">
        <f t="shared" ref="AF1283:AF1346" si="61">AD1283*AB1283</f>
        <v>3.5333735062708295E-2</v>
      </c>
      <c r="AG1283" s="99">
        <f t="shared" ref="AG1283:AG1346" si="62">AB1283*AE1283</f>
        <v>3.0207615438519559E-3</v>
      </c>
      <c r="AH1283" s="10" t="str">
        <f>IFERROR(VLOOKUP(B1283,'Pre-Summary'!$AZ$6:$BE$65,3,FALSE),"")</f>
        <v/>
      </c>
      <c r="AI1283" s="10" t="str">
        <f>IFERROR(VLOOKUP(B1283,'Pre-Summary'!$AZ$6:$BE$65,5,FALSE),"")</f>
        <v/>
      </c>
      <c r="AJ1283" s="10" t="str">
        <f>IFERROR(VLOOKUP(B1283,'Pre-Summary'!$AZ$6:$BE$65,4,FALSE),"")</f>
        <v/>
      </c>
      <c r="AK1283" s="10" t="str">
        <f>IFERROR(VLOOKUP(B1283,'Pre-Summary'!$AZ$6:$BE$65,6,FALSE),"")</f>
        <v/>
      </c>
      <c r="AL1283" s="10" t="str">
        <f>IFERROR(VLOOKUP(B1283,'Pre-Summary'!$BG$6:$BL$44,3,FALSE),"")</f>
        <v/>
      </c>
      <c r="AM1283" s="10" t="str">
        <f>IFERROR(VLOOKUP(B1283,'Pre-Summary'!$BG$6:$BL$44,4,FALSE),"")</f>
        <v/>
      </c>
    </row>
    <row r="1284" spans="2:39" ht="15" customHeight="1" x14ac:dyDescent="0.3">
      <c r="B1284">
        <v>128.1</v>
      </c>
      <c r="C1284" t="str">
        <f>IFERROR(VLOOKUP(B1284,'Pre-Summary'!$DI$6:$DM$23,4,FALSE),"")</f>
        <v/>
      </c>
      <c r="D1284" s="10" t="str">
        <f>IFERROR(VLOOKUP(B1284,'Pre-Summary'!$AT$6:$AX$14,5,FALSE),D1283)</f>
        <v>Speece: put in Speece media + EDTA + cysteine + vitamins as in DSMZ 120</v>
      </c>
      <c r="E1284" s="10" t="str">
        <f>IFERROR(VLOOKUP(B1284,'Pre-Summary'!$AT$6:$AX$15,4,FALSE),"")</f>
        <v/>
      </c>
      <c r="F1284">
        <f>IFERROR(VLOOKUP(B1284,'Pre-Summary'!$AL$6:$AQ$13,6,FALSE),F1283)</f>
        <v>5.9405263157894746E-2</v>
      </c>
      <c r="G1284" t="str">
        <f>IFERROR(VLOOKUP(B1284,'Pre-Summary'!$AE$6:$AJ$85,3,FALSE),"")</f>
        <v/>
      </c>
      <c r="H1284" t="str">
        <f>IFERROR(VLOOKUP(B1284,'Pre-Summary'!$AE$6:$AJ$85,4,FALSE),"")</f>
        <v/>
      </c>
      <c r="I1284" t="str">
        <f>IFERROR(VLOOKUP(B1284,'Pre-Summary'!$AE$6:$AJ$85,5,FALSE),"")</f>
        <v/>
      </c>
      <c r="J1284" s="45" t="str">
        <f>IFERROR(VLOOKUP(B1284,'Pre-Summary'!$AE$6:$AJ$85,6, FALSE),"")</f>
        <v/>
      </c>
      <c r="K1284" s="45" t="str">
        <f>IFERROR(VLOOKUP(B1284,'Pre-Summary'!$DE$6:$DG$61,3,FALSE),"")</f>
        <v/>
      </c>
      <c r="L1284" s="45" t="str">
        <f>IFERROR(VLOOKUP(B1284,'Pre-Summary'!$CU$6:$CW$36,3,FALSE),"")</f>
        <v/>
      </c>
      <c r="M1284" s="45" t="str">
        <f>IFERROR(VLOOKUP(B1284,'Pre-Summary'!$BW$6:$BY$58,2,FALSE),"")</f>
        <v/>
      </c>
      <c r="N1284" s="45" t="str">
        <f>IFERROR(VLOOKUP(B1284,'Pre-Summary'!$CD$6:$CF$64,2,FALSE),"")</f>
        <v/>
      </c>
      <c r="O1284" s="99">
        <f>IFERROR(VLOOKUP(B1284,'Pre-Summary'!$BO$6:$BQ$48,3, FALSE),O1283)</f>
        <v>1.2</v>
      </c>
      <c r="P1284" s="99">
        <f>IFERROR(VLOOKUP(B1284,'Pre-Summary'!$BS$6:$BU$35,3,FALSE),P1283)</f>
        <v>0.3</v>
      </c>
      <c r="Q1284" s="54">
        <f t="shared" si="60"/>
        <v>4</v>
      </c>
      <c r="R1284" s="53">
        <f>IFERROR(VLOOKUP(B1284,'Pre-Summary'!$BG$6:$BM$44,7,FALSE),R1285)</f>
        <v>8.2734025573422298E-2</v>
      </c>
      <c r="S1284" s="53">
        <f>IFERROR(VLOOKUP(B1284,'Pre-Summary'!$BG$6:$BM$44,6,FALSE),S1285)</f>
        <v>7.7866004962824142E-2</v>
      </c>
      <c r="T1284" s="45" t="str">
        <f>IFERROR(VLOOKUP(B1284,'Pre-Summary'!$Y$6:$AC$83, 3,FALSE),"")</f>
        <v/>
      </c>
      <c r="U1284" s="45" t="str">
        <f>IFERROR(VLOOKUP(B1284,'Pre-Summary'!$Y$6:$AC$83, 4,FALSE),"")</f>
        <v/>
      </c>
      <c r="V1284" t="str">
        <f>IFERROR(VLOOKUP(B1284,'Pre-Summary'!$Y$6:$AC$83, 5,FALSE),"")</f>
        <v/>
      </c>
      <c r="W1284" s="45" t="str">
        <f>IFERROR(VLOOKUP(B1284,'Pre-Summary'!$Y$6:$AD$83,6,FALSE),"")</f>
        <v/>
      </c>
      <c r="X1284" t="str">
        <f>IFERROR(VLOOKUP('Pre-Summary'!$DB$6:$DD$63,3,FALSE),"")</f>
        <v/>
      </c>
      <c r="Y1284" t="str">
        <f>IFERROR(VLOOKUP(B1284,'Pre-Summary'!$CR$6:$CT$36,3,FALSE),"")</f>
        <v/>
      </c>
      <c r="Z1284" s="45" t="str">
        <f>IFERROR(VLOOKUP(B1284,'Pre-Summary'!$BZ$6:$CB$63,2,FALSE),"")</f>
        <v/>
      </c>
      <c r="AA1284" s="45" t="str">
        <f>IFERROR(VLOOKUP(B1284,'Pre-Summary'!$CG$6:$CI$70,2,FALSE),"")</f>
        <v/>
      </c>
      <c r="AB1284" s="99">
        <f>IFERROR(VLOOKUP(B1284,'Pre-Summary'!$A$6:$P$178,9,FALSE),AB1285)</f>
        <v>0.29951034906156815</v>
      </c>
      <c r="AC1284" s="10">
        <f>IFERROR(VLOOKUP(Summary!B1284,'Pre-Summary'!$A$6:$P$184,5, FALSE)/100,AC1285)</f>
        <v>0.87194233333333326</v>
      </c>
      <c r="AD1284" s="10">
        <f>IFERROR(VLOOKUP(Summary!B1284,'Pre-Summary'!$A$6:$P$184,3, FALSE)/100,AD1285)</f>
        <v>0.11797166666666667</v>
      </c>
      <c r="AE1284" s="10">
        <f>IFERROR(VLOOKUP(Summary!B1284,'Pre-Summary'!$A$6:$P$184,7, FALSE)/100,AE1285)</f>
        <v>1.0085666666666666E-2</v>
      </c>
      <c r="AF1284" s="99">
        <f t="shared" si="61"/>
        <v>3.5333735062708295E-2</v>
      </c>
      <c r="AG1284" s="99">
        <f t="shared" si="62"/>
        <v>3.0207615438519559E-3</v>
      </c>
      <c r="AH1284" s="10" t="str">
        <f>IFERROR(VLOOKUP(B1284,'Pre-Summary'!$AZ$6:$BE$65,3,FALSE),"")</f>
        <v/>
      </c>
      <c r="AI1284" s="10" t="str">
        <f>IFERROR(VLOOKUP(B1284,'Pre-Summary'!$AZ$6:$BE$65,5,FALSE),"")</f>
        <v/>
      </c>
      <c r="AJ1284" s="10" t="str">
        <f>IFERROR(VLOOKUP(B1284,'Pre-Summary'!$AZ$6:$BE$65,4,FALSE),"")</f>
        <v/>
      </c>
      <c r="AK1284" s="10" t="str">
        <f>IFERROR(VLOOKUP(B1284,'Pre-Summary'!$AZ$6:$BE$65,6,FALSE),"")</f>
        <v/>
      </c>
      <c r="AL1284" s="10" t="str">
        <f>IFERROR(VLOOKUP(B1284,'Pre-Summary'!$BG$6:$BL$44,3,FALSE),"")</f>
        <v/>
      </c>
      <c r="AM1284" s="10" t="str">
        <f>IFERROR(VLOOKUP(B1284,'Pre-Summary'!$BG$6:$BL$44,4,FALSE),"")</f>
        <v/>
      </c>
    </row>
    <row r="1285" spans="2:39" ht="15" customHeight="1" x14ac:dyDescent="0.3">
      <c r="B1285">
        <v>128.19999999999999</v>
      </c>
      <c r="C1285" t="str">
        <f>IFERROR(VLOOKUP(B1285,'Pre-Summary'!$DI$6:$DM$23,4,FALSE),"")</f>
        <v/>
      </c>
      <c r="D1285" s="10" t="str">
        <f>IFERROR(VLOOKUP(B1285,'Pre-Summary'!$AT$6:$AX$14,5,FALSE),D1284)</f>
        <v>Speece: put in Speece media + EDTA + cysteine + vitamins as in DSMZ 120</v>
      </c>
      <c r="E1285" s="10" t="str">
        <f>IFERROR(VLOOKUP(B1285,'Pre-Summary'!$AT$6:$AX$15,4,FALSE),"")</f>
        <v/>
      </c>
      <c r="F1285">
        <f>IFERROR(VLOOKUP(B1285,'Pre-Summary'!$AL$6:$AQ$13,6,FALSE),F1284)</f>
        <v>5.9405263157894746E-2</v>
      </c>
      <c r="G1285" t="str">
        <f>IFERROR(VLOOKUP(B1285,'Pre-Summary'!$AE$6:$AJ$85,3,FALSE),"")</f>
        <v/>
      </c>
      <c r="H1285" t="str">
        <f>IFERROR(VLOOKUP(B1285,'Pre-Summary'!$AE$6:$AJ$85,4,FALSE),"")</f>
        <v/>
      </c>
      <c r="I1285" t="str">
        <f>IFERROR(VLOOKUP(B1285,'Pre-Summary'!$AE$6:$AJ$85,5,FALSE),"")</f>
        <v/>
      </c>
      <c r="J1285" s="45" t="str">
        <f>IFERROR(VLOOKUP(B1285,'Pre-Summary'!$AE$6:$AJ$85,6, FALSE),"")</f>
        <v/>
      </c>
      <c r="K1285" s="45" t="str">
        <f>IFERROR(VLOOKUP(B1285,'Pre-Summary'!$DE$6:$DG$61,3,FALSE),"")</f>
        <v/>
      </c>
      <c r="L1285" s="45" t="str">
        <f>IFERROR(VLOOKUP(B1285,'Pre-Summary'!$CU$6:$CW$36,3,FALSE),"")</f>
        <v/>
      </c>
      <c r="M1285" s="45" t="str">
        <f>IFERROR(VLOOKUP(B1285,'Pre-Summary'!$BW$6:$BY$58,2,FALSE),"")</f>
        <v/>
      </c>
      <c r="N1285" s="45" t="str">
        <f>IFERROR(VLOOKUP(B1285,'Pre-Summary'!$CD$6:$CF$64,2,FALSE),"")</f>
        <v/>
      </c>
      <c r="O1285" s="99">
        <f>IFERROR(VLOOKUP(B1285,'Pre-Summary'!$BO$6:$BQ$48,3, FALSE),O1284)</f>
        <v>1.2</v>
      </c>
      <c r="P1285" s="99">
        <f>IFERROR(VLOOKUP(B1285,'Pre-Summary'!$BS$6:$BU$35,3,FALSE),P1284)</f>
        <v>0.3</v>
      </c>
      <c r="Q1285" s="54">
        <f t="shared" si="60"/>
        <v>4</v>
      </c>
      <c r="R1285" s="53">
        <f>IFERROR(VLOOKUP(B1285,'Pre-Summary'!$BG$6:$BM$44,7,FALSE),R1286)</f>
        <v>8.2734025573422298E-2</v>
      </c>
      <c r="S1285" s="53">
        <f>IFERROR(VLOOKUP(B1285,'Pre-Summary'!$BG$6:$BM$44,6,FALSE),S1286)</f>
        <v>7.7866004962824142E-2</v>
      </c>
      <c r="T1285" s="45" t="str">
        <f>IFERROR(VLOOKUP(B1285,'Pre-Summary'!$Y$6:$AC$83, 3,FALSE),"")</f>
        <v/>
      </c>
      <c r="U1285" s="45" t="str">
        <f>IFERROR(VLOOKUP(B1285,'Pre-Summary'!$Y$6:$AC$83, 4,FALSE),"")</f>
        <v/>
      </c>
      <c r="V1285" t="str">
        <f>IFERROR(VLOOKUP(B1285,'Pre-Summary'!$Y$6:$AC$83, 5,FALSE),"")</f>
        <v/>
      </c>
      <c r="W1285" s="45" t="str">
        <f>IFERROR(VLOOKUP(B1285,'Pre-Summary'!$Y$6:$AD$83,6,FALSE),"")</f>
        <v/>
      </c>
      <c r="X1285" t="str">
        <f>IFERROR(VLOOKUP('Pre-Summary'!$DB$6:$DD$63,3,FALSE),"")</f>
        <v/>
      </c>
      <c r="Y1285" t="str">
        <f>IFERROR(VLOOKUP(B1285,'Pre-Summary'!$CR$6:$CT$36,3,FALSE),"")</f>
        <v/>
      </c>
      <c r="Z1285" s="45" t="str">
        <f>IFERROR(VLOOKUP(B1285,'Pre-Summary'!$BZ$6:$CB$63,2,FALSE),"")</f>
        <v/>
      </c>
      <c r="AA1285" s="45" t="str">
        <f>IFERROR(VLOOKUP(B1285,'Pre-Summary'!$CG$6:$CI$70,2,FALSE),"")</f>
        <v/>
      </c>
      <c r="AB1285" s="99">
        <f>IFERROR(VLOOKUP(B1285,'Pre-Summary'!$A$6:$P$178,9,FALSE),AB1286)</f>
        <v>0.29951034906156815</v>
      </c>
      <c r="AC1285" s="10">
        <f>IFERROR(VLOOKUP(Summary!B1285,'Pre-Summary'!$A$6:$P$184,5, FALSE)/100,AC1286)</f>
        <v>0.87194233333333326</v>
      </c>
      <c r="AD1285" s="10">
        <f>IFERROR(VLOOKUP(Summary!B1285,'Pre-Summary'!$A$6:$P$184,3, FALSE)/100,AD1286)</f>
        <v>0.11797166666666667</v>
      </c>
      <c r="AE1285" s="10">
        <f>IFERROR(VLOOKUP(Summary!B1285,'Pre-Summary'!$A$6:$P$184,7, FALSE)/100,AE1286)</f>
        <v>1.0085666666666666E-2</v>
      </c>
      <c r="AF1285" s="99">
        <f t="shared" si="61"/>
        <v>3.5333735062708295E-2</v>
      </c>
      <c r="AG1285" s="99">
        <f t="shared" si="62"/>
        <v>3.0207615438519559E-3</v>
      </c>
      <c r="AH1285" s="10" t="str">
        <f>IFERROR(VLOOKUP(B1285,'Pre-Summary'!$AZ$6:$BE$65,3,FALSE),"")</f>
        <v/>
      </c>
      <c r="AI1285" s="10" t="str">
        <f>IFERROR(VLOOKUP(B1285,'Pre-Summary'!$AZ$6:$BE$65,5,FALSE),"")</f>
        <v/>
      </c>
      <c r="AJ1285" s="10" t="str">
        <f>IFERROR(VLOOKUP(B1285,'Pre-Summary'!$AZ$6:$BE$65,4,FALSE),"")</f>
        <v/>
      </c>
      <c r="AK1285" s="10" t="str">
        <f>IFERROR(VLOOKUP(B1285,'Pre-Summary'!$AZ$6:$BE$65,6,FALSE),"")</f>
        <v/>
      </c>
      <c r="AL1285" s="10" t="str">
        <f>IFERROR(VLOOKUP(B1285,'Pre-Summary'!$BG$6:$BL$44,3,FALSE),"")</f>
        <v/>
      </c>
      <c r="AM1285" s="10" t="str">
        <f>IFERROR(VLOOKUP(B1285,'Pre-Summary'!$BG$6:$BL$44,4,FALSE),"")</f>
        <v/>
      </c>
    </row>
    <row r="1286" spans="2:39" ht="15" customHeight="1" x14ac:dyDescent="0.3">
      <c r="B1286">
        <v>128.30000000000001</v>
      </c>
      <c r="C1286" t="str">
        <f>IFERROR(VLOOKUP(B1286,'Pre-Summary'!$DI$6:$DM$23,4,FALSE),"")</f>
        <v/>
      </c>
      <c r="D1286" s="10" t="str">
        <f>IFERROR(VLOOKUP(B1286,'Pre-Summary'!$AT$6:$AX$14,5,FALSE),D1285)</f>
        <v>Speece: put in Speece media + EDTA + cysteine + vitamins as in DSMZ 120</v>
      </c>
      <c r="E1286" s="10" t="str">
        <f>IFERROR(VLOOKUP(B1286,'Pre-Summary'!$AT$6:$AX$15,4,FALSE),"")</f>
        <v/>
      </c>
      <c r="F1286">
        <f>IFERROR(VLOOKUP(B1286,'Pre-Summary'!$AL$6:$AQ$13,6,FALSE),F1285)</f>
        <v>5.9405263157894746E-2</v>
      </c>
      <c r="G1286" t="str">
        <f>IFERROR(VLOOKUP(B1286,'Pre-Summary'!$AE$6:$AJ$85,3,FALSE),"")</f>
        <v/>
      </c>
      <c r="H1286" t="str">
        <f>IFERROR(VLOOKUP(B1286,'Pre-Summary'!$AE$6:$AJ$85,4,FALSE),"")</f>
        <v/>
      </c>
      <c r="I1286" t="str">
        <f>IFERROR(VLOOKUP(B1286,'Pre-Summary'!$AE$6:$AJ$85,5,FALSE),"")</f>
        <v/>
      </c>
      <c r="J1286" s="45" t="str">
        <f>IFERROR(VLOOKUP(B1286,'Pre-Summary'!$AE$6:$AJ$85,6, FALSE),"")</f>
        <v/>
      </c>
      <c r="K1286" s="45" t="str">
        <f>IFERROR(VLOOKUP(B1286,'Pre-Summary'!$DE$6:$DG$61,3,FALSE),"")</f>
        <v/>
      </c>
      <c r="L1286" s="45" t="str">
        <f>IFERROR(VLOOKUP(B1286,'Pre-Summary'!$CU$6:$CW$36,3,FALSE),"")</f>
        <v/>
      </c>
      <c r="M1286" s="45" t="str">
        <f>IFERROR(VLOOKUP(B1286,'Pre-Summary'!$BW$6:$BY$58,2,FALSE),"")</f>
        <v/>
      </c>
      <c r="N1286" s="45" t="str">
        <f>IFERROR(VLOOKUP(B1286,'Pre-Summary'!$CD$6:$CF$64,2,FALSE),"")</f>
        <v/>
      </c>
      <c r="O1286" s="99">
        <f>IFERROR(VLOOKUP(B1286,'Pre-Summary'!$BO$6:$BQ$48,3, FALSE),O1285)</f>
        <v>1.2</v>
      </c>
      <c r="P1286" s="99">
        <f>IFERROR(VLOOKUP(B1286,'Pre-Summary'!$BS$6:$BU$35,3,FALSE),P1285)</f>
        <v>0.3</v>
      </c>
      <c r="Q1286" s="54">
        <f t="shared" si="60"/>
        <v>4</v>
      </c>
      <c r="R1286" s="53">
        <f>IFERROR(VLOOKUP(B1286,'Pre-Summary'!$BG$6:$BM$44,7,FALSE),R1287)</f>
        <v>8.2734025573422298E-2</v>
      </c>
      <c r="S1286" s="53">
        <f>IFERROR(VLOOKUP(B1286,'Pre-Summary'!$BG$6:$BM$44,6,FALSE),S1287)</f>
        <v>7.7866004962824142E-2</v>
      </c>
      <c r="T1286" s="45" t="str">
        <f>IFERROR(VLOOKUP(B1286,'Pre-Summary'!$Y$6:$AC$83, 3,FALSE),"")</f>
        <v/>
      </c>
      <c r="U1286" s="45" t="str">
        <f>IFERROR(VLOOKUP(B1286,'Pre-Summary'!$Y$6:$AC$83, 4,FALSE),"")</f>
        <v/>
      </c>
      <c r="V1286" t="str">
        <f>IFERROR(VLOOKUP(B1286,'Pre-Summary'!$Y$6:$AC$83, 5,FALSE),"")</f>
        <v/>
      </c>
      <c r="W1286" s="45" t="str">
        <f>IFERROR(VLOOKUP(B1286,'Pre-Summary'!$Y$6:$AD$83,6,FALSE),"")</f>
        <v/>
      </c>
      <c r="X1286" t="str">
        <f>IFERROR(VLOOKUP('Pre-Summary'!$DB$6:$DD$63,3,FALSE),"")</f>
        <v/>
      </c>
      <c r="Y1286" t="str">
        <f>IFERROR(VLOOKUP(B1286,'Pre-Summary'!$CR$6:$CT$36,3,FALSE),"")</f>
        <v/>
      </c>
      <c r="Z1286" s="45" t="str">
        <f>IFERROR(VLOOKUP(B1286,'Pre-Summary'!$BZ$6:$CB$63,2,FALSE),"")</f>
        <v/>
      </c>
      <c r="AA1286" s="45" t="str">
        <f>IFERROR(VLOOKUP(B1286,'Pre-Summary'!$CG$6:$CI$70,2,FALSE),"")</f>
        <v/>
      </c>
      <c r="AB1286" s="99">
        <f>IFERROR(VLOOKUP(B1286,'Pre-Summary'!$A$6:$P$178,9,FALSE),AB1287)</f>
        <v>0.29951034906156815</v>
      </c>
      <c r="AC1286" s="10">
        <f>IFERROR(VLOOKUP(Summary!B1286,'Pre-Summary'!$A$6:$P$184,5, FALSE)/100,AC1287)</f>
        <v>0.87194233333333326</v>
      </c>
      <c r="AD1286" s="10">
        <f>IFERROR(VLOOKUP(Summary!B1286,'Pre-Summary'!$A$6:$P$184,3, FALSE)/100,AD1287)</f>
        <v>0.11797166666666667</v>
      </c>
      <c r="AE1286" s="10">
        <f>IFERROR(VLOOKUP(Summary!B1286,'Pre-Summary'!$A$6:$P$184,7, FALSE)/100,AE1287)</f>
        <v>1.0085666666666666E-2</v>
      </c>
      <c r="AF1286" s="99">
        <f t="shared" si="61"/>
        <v>3.5333735062708295E-2</v>
      </c>
      <c r="AG1286" s="99">
        <f t="shared" si="62"/>
        <v>3.0207615438519559E-3</v>
      </c>
      <c r="AH1286" s="10" t="str">
        <f>IFERROR(VLOOKUP(B1286,'Pre-Summary'!$AZ$6:$BE$65,3,FALSE),"")</f>
        <v/>
      </c>
      <c r="AI1286" s="10" t="str">
        <f>IFERROR(VLOOKUP(B1286,'Pre-Summary'!$AZ$6:$BE$65,5,FALSE),"")</f>
        <v/>
      </c>
      <c r="AJ1286" s="10" t="str">
        <f>IFERROR(VLOOKUP(B1286,'Pre-Summary'!$AZ$6:$BE$65,4,FALSE),"")</f>
        <v/>
      </c>
      <c r="AK1286" s="10" t="str">
        <f>IFERROR(VLOOKUP(B1286,'Pre-Summary'!$AZ$6:$BE$65,6,FALSE),"")</f>
        <v/>
      </c>
      <c r="AL1286" s="10" t="str">
        <f>IFERROR(VLOOKUP(B1286,'Pre-Summary'!$BG$6:$BL$44,3,FALSE),"")</f>
        <v/>
      </c>
      <c r="AM1286" s="10" t="str">
        <f>IFERROR(VLOOKUP(B1286,'Pre-Summary'!$BG$6:$BL$44,4,FALSE),"")</f>
        <v/>
      </c>
    </row>
    <row r="1287" spans="2:39" ht="15" customHeight="1" x14ac:dyDescent="0.3">
      <c r="B1287">
        <v>128.4</v>
      </c>
      <c r="C1287" t="str">
        <f>IFERROR(VLOOKUP(B1287,'Pre-Summary'!$DI$6:$DM$23,4,FALSE),"")</f>
        <v/>
      </c>
      <c r="D1287" s="10" t="str">
        <f>IFERROR(VLOOKUP(B1287,'Pre-Summary'!$AT$6:$AX$14,5,FALSE),D1286)</f>
        <v>Speece: put in Speece media + EDTA + cysteine + vitamins as in DSMZ 120</v>
      </c>
      <c r="E1287" s="10" t="str">
        <f>IFERROR(VLOOKUP(B1287,'Pre-Summary'!$AT$6:$AX$15,4,FALSE),"")</f>
        <v/>
      </c>
      <c r="F1287">
        <f>IFERROR(VLOOKUP(B1287,'Pre-Summary'!$AL$6:$AQ$13,6,FALSE),F1286)</f>
        <v>5.9405263157894746E-2</v>
      </c>
      <c r="G1287" t="str">
        <f>IFERROR(VLOOKUP(B1287,'Pre-Summary'!$AE$6:$AJ$85,3,FALSE),"")</f>
        <v/>
      </c>
      <c r="H1287" t="str">
        <f>IFERROR(VLOOKUP(B1287,'Pre-Summary'!$AE$6:$AJ$85,4,FALSE),"")</f>
        <v/>
      </c>
      <c r="I1287" t="str">
        <f>IFERROR(VLOOKUP(B1287,'Pre-Summary'!$AE$6:$AJ$85,5,FALSE),"")</f>
        <v/>
      </c>
      <c r="J1287" s="45" t="str">
        <f>IFERROR(VLOOKUP(B1287,'Pre-Summary'!$AE$6:$AJ$85,6, FALSE),"")</f>
        <v/>
      </c>
      <c r="K1287" s="45" t="str">
        <f>IFERROR(VLOOKUP(B1287,'Pre-Summary'!$DE$6:$DG$61,3,FALSE),"")</f>
        <v/>
      </c>
      <c r="L1287" s="45" t="str">
        <f>IFERROR(VLOOKUP(B1287,'Pre-Summary'!$CU$6:$CW$36,3,FALSE),"")</f>
        <v/>
      </c>
      <c r="M1287" s="45" t="str">
        <f>IFERROR(VLOOKUP(B1287,'Pre-Summary'!$BW$6:$BY$58,2,FALSE),"")</f>
        <v/>
      </c>
      <c r="N1287" s="45" t="str">
        <f>IFERROR(VLOOKUP(B1287,'Pre-Summary'!$CD$6:$CF$64,2,FALSE),"")</f>
        <v/>
      </c>
      <c r="O1287" s="99">
        <f>IFERROR(VLOOKUP(B1287,'Pre-Summary'!$BO$6:$BQ$48,3, FALSE),O1286)</f>
        <v>1.2</v>
      </c>
      <c r="P1287" s="99">
        <f>IFERROR(VLOOKUP(B1287,'Pre-Summary'!$BS$6:$BU$35,3,FALSE),P1286)</f>
        <v>0.3</v>
      </c>
      <c r="Q1287" s="54">
        <f t="shared" si="60"/>
        <v>4</v>
      </c>
      <c r="R1287" s="53">
        <f>IFERROR(VLOOKUP(B1287,'Pre-Summary'!$BG$6:$BM$44,7,FALSE),R1288)</f>
        <v>8.2734025573422298E-2</v>
      </c>
      <c r="S1287" s="53">
        <f>IFERROR(VLOOKUP(B1287,'Pre-Summary'!$BG$6:$BM$44,6,FALSE),S1288)</f>
        <v>7.7866004962824142E-2</v>
      </c>
      <c r="T1287" s="45" t="str">
        <f>IFERROR(VLOOKUP(B1287,'Pre-Summary'!$Y$6:$AC$83, 3,FALSE),"")</f>
        <v/>
      </c>
      <c r="U1287" s="45" t="str">
        <f>IFERROR(VLOOKUP(B1287,'Pre-Summary'!$Y$6:$AC$83, 4,FALSE),"")</f>
        <v/>
      </c>
      <c r="V1287" t="str">
        <f>IFERROR(VLOOKUP(B1287,'Pre-Summary'!$Y$6:$AC$83, 5,FALSE),"")</f>
        <v/>
      </c>
      <c r="W1287" s="45" t="str">
        <f>IFERROR(VLOOKUP(B1287,'Pre-Summary'!$Y$6:$AD$83,6,FALSE),"")</f>
        <v/>
      </c>
      <c r="X1287" t="str">
        <f>IFERROR(VLOOKUP('Pre-Summary'!$DB$6:$DD$63,3,FALSE),"")</f>
        <v/>
      </c>
      <c r="Y1287" t="str">
        <f>IFERROR(VLOOKUP(B1287,'Pre-Summary'!$CR$6:$CT$36,3,FALSE),"")</f>
        <v/>
      </c>
      <c r="Z1287" s="45" t="str">
        <f>IFERROR(VLOOKUP(B1287,'Pre-Summary'!$BZ$6:$CB$63,2,FALSE),"")</f>
        <v/>
      </c>
      <c r="AA1287" s="45" t="str">
        <f>IFERROR(VLOOKUP(B1287,'Pre-Summary'!$CG$6:$CI$70,2,FALSE),"")</f>
        <v/>
      </c>
      <c r="AB1287" s="99">
        <f>IFERROR(VLOOKUP(B1287,'Pre-Summary'!$A$6:$P$178,9,FALSE),AB1288)</f>
        <v>0.29951034906156815</v>
      </c>
      <c r="AC1287" s="10">
        <f>IFERROR(VLOOKUP(Summary!B1287,'Pre-Summary'!$A$6:$P$184,5, FALSE)/100,AC1288)</f>
        <v>0.87194233333333326</v>
      </c>
      <c r="AD1287" s="10">
        <f>IFERROR(VLOOKUP(Summary!B1287,'Pre-Summary'!$A$6:$P$184,3, FALSE)/100,AD1288)</f>
        <v>0.11797166666666667</v>
      </c>
      <c r="AE1287" s="10">
        <f>IFERROR(VLOOKUP(Summary!B1287,'Pre-Summary'!$A$6:$P$184,7, FALSE)/100,AE1288)</f>
        <v>1.0085666666666666E-2</v>
      </c>
      <c r="AF1287" s="99">
        <f t="shared" si="61"/>
        <v>3.5333735062708295E-2</v>
      </c>
      <c r="AG1287" s="99">
        <f t="shared" si="62"/>
        <v>3.0207615438519559E-3</v>
      </c>
      <c r="AH1287" s="10" t="str">
        <f>IFERROR(VLOOKUP(B1287,'Pre-Summary'!$AZ$6:$BE$65,3,FALSE),"")</f>
        <v/>
      </c>
      <c r="AI1287" s="10" t="str">
        <f>IFERROR(VLOOKUP(B1287,'Pre-Summary'!$AZ$6:$BE$65,5,FALSE),"")</f>
        <v/>
      </c>
      <c r="AJ1287" s="10" t="str">
        <f>IFERROR(VLOOKUP(B1287,'Pre-Summary'!$AZ$6:$BE$65,4,FALSE),"")</f>
        <v/>
      </c>
      <c r="AK1287" s="10" t="str">
        <f>IFERROR(VLOOKUP(B1287,'Pre-Summary'!$AZ$6:$BE$65,6,FALSE),"")</f>
        <v/>
      </c>
      <c r="AL1287" s="10" t="str">
        <f>IFERROR(VLOOKUP(B1287,'Pre-Summary'!$BG$6:$BL$44,3,FALSE),"")</f>
        <v/>
      </c>
      <c r="AM1287" s="10" t="str">
        <f>IFERROR(VLOOKUP(B1287,'Pre-Summary'!$BG$6:$BL$44,4,FALSE),"")</f>
        <v/>
      </c>
    </row>
    <row r="1288" spans="2:39" ht="15" customHeight="1" x14ac:dyDescent="0.3">
      <c r="B1288">
        <v>128.5</v>
      </c>
      <c r="C1288" t="str">
        <f>IFERROR(VLOOKUP(B1288,'Pre-Summary'!$DI$6:$DM$23,4,FALSE),"")</f>
        <v/>
      </c>
      <c r="D1288" s="10" t="str">
        <f>IFERROR(VLOOKUP(B1288,'Pre-Summary'!$AT$6:$AX$14,5,FALSE),D1287)</f>
        <v>Speece: put in Speece media + EDTA + cysteine + vitamins as in DSMZ 120</v>
      </c>
      <c r="E1288" s="10" t="str">
        <f>IFERROR(VLOOKUP(B1288,'Pre-Summary'!$AT$6:$AX$15,4,FALSE),"")</f>
        <v/>
      </c>
      <c r="F1288">
        <f>IFERROR(VLOOKUP(B1288,'Pre-Summary'!$AL$6:$AQ$13,6,FALSE),F1287)</f>
        <v>5.9405263157894746E-2</v>
      </c>
      <c r="G1288" t="str">
        <f>IFERROR(VLOOKUP(B1288,'Pre-Summary'!$AE$6:$AJ$85,3,FALSE),"")</f>
        <v/>
      </c>
      <c r="H1288" t="str">
        <f>IFERROR(VLOOKUP(B1288,'Pre-Summary'!$AE$6:$AJ$85,4,FALSE),"")</f>
        <v/>
      </c>
      <c r="I1288" t="str">
        <f>IFERROR(VLOOKUP(B1288,'Pre-Summary'!$AE$6:$AJ$85,5,FALSE),"")</f>
        <v/>
      </c>
      <c r="J1288" s="45" t="str">
        <f>IFERROR(VLOOKUP(B1288,'Pre-Summary'!$AE$6:$AJ$85,6, FALSE),"")</f>
        <v/>
      </c>
      <c r="K1288" s="45" t="str">
        <f>IFERROR(VLOOKUP(B1288,'Pre-Summary'!$DE$6:$DG$61,3,FALSE),"")</f>
        <v/>
      </c>
      <c r="L1288" s="45" t="str">
        <f>IFERROR(VLOOKUP(B1288,'Pre-Summary'!$CU$6:$CW$36,3,FALSE),"")</f>
        <v/>
      </c>
      <c r="M1288" s="45" t="str">
        <f>IFERROR(VLOOKUP(B1288,'Pre-Summary'!$BW$6:$BY$58,2,FALSE),"")</f>
        <v/>
      </c>
      <c r="N1288" s="45" t="str">
        <f>IFERROR(VLOOKUP(B1288,'Pre-Summary'!$CD$6:$CF$64,2,FALSE),"")</f>
        <v/>
      </c>
      <c r="O1288" s="99">
        <f>IFERROR(VLOOKUP(B1288,'Pre-Summary'!$BO$6:$BQ$48,3, FALSE),O1287)</f>
        <v>1.2</v>
      </c>
      <c r="P1288" s="99">
        <f>IFERROR(VLOOKUP(B1288,'Pre-Summary'!$BS$6:$BU$35,3,FALSE),P1287)</f>
        <v>0.3</v>
      </c>
      <c r="Q1288" s="54">
        <f t="shared" si="60"/>
        <v>4</v>
      </c>
      <c r="R1288" s="53">
        <f>IFERROR(VLOOKUP(B1288,'Pre-Summary'!$BG$6:$BM$44,7,FALSE),R1289)</f>
        <v>8.2734025573422298E-2</v>
      </c>
      <c r="S1288" s="53">
        <f>IFERROR(VLOOKUP(B1288,'Pre-Summary'!$BG$6:$BM$44,6,FALSE),S1289)</f>
        <v>7.7866004962824142E-2</v>
      </c>
      <c r="T1288" s="45" t="str">
        <f>IFERROR(VLOOKUP(B1288,'Pre-Summary'!$Y$6:$AC$83, 3,FALSE),"")</f>
        <v/>
      </c>
      <c r="U1288" s="45" t="str">
        <f>IFERROR(VLOOKUP(B1288,'Pre-Summary'!$Y$6:$AC$83, 4,FALSE),"")</f>
        <v/>
      </c>
      <c r="V1288" t="str">
        <f>IFERROR(VLOOKUP(B1288,'Pre-Summary'!$Y$6:$AC$83, 5,FALSE),"")</f>
        <v/>
      </c>
      <c r="W1288" s="45" t="str">
        <f>IFERROR(VLOOKUP(B1288,'Pre-Summary'!$Y$6:$AD$83,6,FALSE),"")</f>
        <v/>
      </c>
      <c r="X1288" t="str">
        <f>IFERROR(VLOOKUP('Pre-Summary'!$DB$6:$DD$63,3,FALSE),"")</f>
        <v/>
      </c>
      <c r="Y1288" t="str">
        <f>IFERROR(VLOOKUP(B1288,'Pre-Summary'!$CR$6:$CT$36,3,FALSE),"")</f>
        <v/>
      </c>
      <c r="Z1288" s="45" t="str">
        <f>IFERROR(VLOOKUP(B1288,'Pre-Summary'!$BZ$6:$CB$63,2,FALSE),"")</f>
        <v/>
      </c>
      <c r="AA1288" s="45" t="str">
        <f>IFERROR(VLOOKUP(B1288,'Pre-Summary'!$CG$6:$CI$70,2,FALSE),"")</f>
        <v/>
      </c>
      <c r="AB1288" s="99">
        <f>IFERROR(VLOOKUP(B1288,'Pre-Summary'!$A$6:$P$178,9,FALSE),AB1289)</f>
        <v>0.29951034906156815</v>
      </c>
      <c r="AC1288" s="10">
        <f>IFERROR(VLOOKUP(Summary!B1288,'Pre-Summary'!$A$6:$P$184,5, FALSE)/100,AC1289)</f>
        <v>0.87194233333333326</v>
      </c>
      <c r="AD1288" s="10">
        <f>IFERROR(VLOOKUP(Summary!B1288,'Pre-Summary'!$A$6:$P$184,3, FALSE)/100,AD1289)</f>
        <v>0.11797166666666667</v>
      </c>
      <c r="AE1288" s="10">
        <f>IFERROR(VLOOKUP(Summary!B1288,'Pre-Summary'!$A$6:$P$184,7, FALSE)/100,AE1289)</f>
        <v>1.0085666666666666E-2</v>
      </c>
      <c r="AF1288" s="99">
        <f t="shared" si="61"/>
        <v>3.5333735062708295E-2</v>
      </c>
      <c r="AG1288" s="99">
        <f t="shared" si="62"/>
        <v>3.0207615438519559E-3</v>
      </c>
      <c r="AH1288" s="10" t="str">
        <f>IFERROR(VLOOKUP(B1288,'Pre-Summary'!$AZ$6:$BE$65,3,FALSE),"")</f>
        <v/>
      </c>
      <c r="AI1288" s="10" t="str">
        <f>IFERROR(VLOOKUP(B1288,'Pre-Summary'!$AZ$6:$BE$65,5,FALSE),"")</f>
        <v/>
      </c>
      <c r="AJ1288" s="10" t="str">
        <f>IFERROR(VLOOKUP(B1288,'Pre-Summary'!$AZ$6:$BE$65,4,FALSE),"")</f>
        <v/>
      </c>
      <c r="AK1288" s="10" t="str">
        <f>IFERROR(VLOOKUP(B1288,'Pre-Summary'!$AZ$6:$BE$65,6,FALSE),"")</f>
        <v/>
      </c>
      <c r="AL1288" s="10" t="str">
        <f>IFERROR(VLOOKUP(B1288,'Pre-Summary'!$BG$6:$BL$44,3,FALSE),"")</f>
        <v/>
      </c>
      <c r="AM1288" s="10" t="str">
        <f>IFERROR(VLOOKUP(B1288,'Pre-Summary'!$BG$6:$BL$44,4,FALSE),"")</f>
        <v/>
      </c>
    </row>
    <row r="1289" spans="2:39" ht="15" customHeight="1" x14ac:dyDescent="0.3">
      <c r="B1289">
        <v>128.6</v>
      </c>
      <c r="C1289" t="str">
        <f>IFERROR(VLOOKUP(B1289,'Pre-Summary'!$DI$6:$DM$23,4,FALSE),"")</f>
        <v/>
      </c>
      <c r="D1289" s="10" t="str">
        <f>IFERROR(VLOOKUP(B1289,'Pre-Summary'!$AT$6:$AX$14,5,FALSE),D1288)</f>
        <v>Speece: put in Speece media + EDTA + cysteine + vitamins as in DSMZ 120</v>
      </c>
      <c r="E1289" s="10" t="str">
        <f>IFERROR(VLOOKUP(B1289,'Pre-Summary'!$AT$6:$AX$15,4,FALSE),"")</f>
        <v/>
      </c>
      <c r="F1289">
        <f>IFERROR(VLOOKUP(B1289,'Pre-Summary'!$AL$6:$AQ$13,6,FALSE),F1288)</f>
        <v>5.9405263157894746E-2</v>
      </c>
      <c r="G1289" t="str">
        <f>IFERROR(VLOOKUP(B1289,'Pre-Summary'!$AE$6:$AJ$85,3,FALSE),"")</f>
        <v/>
      </c>
      <c r="H1289" t="str">
        <f>IFERROR(VLOOKUP(B1289,'Pre-Summary'!$AE$6:$AJ$85,4,FALSE),"")</f>
        <v/>
      </c>
      <c r="I1289" t="str">
        <f>IFERROR(VLOOKUP(B1289,'Pre-Summary'!$AE$6:$AJ$85,5,FALSE),"")</f>
        <v/>
      </c>
      <c r="J1289" s="45" t="str">
        <f>IFERROR(VLOOKUP(B1289,'Pre-Summary'!$AE$6:$AJ$85,6, FALSE),"")</f>
        <v/>
      </c>
      <c r="K1289" s="45" t="str">
        <f>IFERROR(VLOOKUP(B1289,'Pre-Summary'!$DE$6:$DG$61,3,FALSE),"")</f>
        <v/>
      </c>
      <c r="L1289" s="45" t="str">
        <f>IFERROR(VLOOKUP(B1289,'Pre-Summary'!$CU$6:$CW$36,3,FALSE),"")</f>
        <v/>
      </c>
      <c r="M1289" s="45" t="str">
        <f>IFERROR(VLOOKUP(B1289,'Pre-Summary'!$BW$6:$BY$58,2,FALSE),"")</f>
        <v/>
      </c>
      <c r="N1289" s="45" t="str">
        <f>IFERROR(VLOOKUP(B1289,'Pre-Summary'!$CD$6:$CF$64,2,FALSE),"")</f>
        <v/>
      </c>
      <c r="O1289" s="99">
        <f>IFERROR(VLOOKUP(B1289,'Pre-Summary'!$BO$6:$BQ$48,3, FALSE),O1288)</f>
        <v>1.2</v>
      </c>
      <c r="P1289" s="99">
        <f>IFERROR(VLOOKUP(B1289,'Pre-Summary'!$BS$6:$BU$35,3,FALSE),P1288)</f>
        <v>0.3</v>
      </c>
      <c r="Q1289" s="54">
        <f t="shared" si="60"/>
        <v>4</v>
      </c>
      <c r="R1289" s="53">
        <f>IFERROR(VLOOKUP(B1289,'Pre-Summary'!$BG$6:$BM$44,7,FALSE),R1290)</f>
        <v>8.2734025573422298E-2</v>
      </c>
      <c r="S1289" s="53">
        <f>IFERROR(VLOOKUP(B1289,'Pre-Summary'!$BG$6:$BM$44,6,FALSE),S1290)</f>
        <v>7.7866004962824142E-2</v>
      </c>
      <c r="T1289" s="45" t="str">
        <f>IFERROR(VLOOKUP(B1289,'Pre-Summary'!$Y$6:$AC$83, 3,FALSE),"")</f>
        <v/>
      </c>
      <c r="U1289" s="45" t="str">
        <f>IFERROR(VLOOKUP(B1289,'Pre-Summary'!$Y$6:$AC$83, 4,FALSE),"")</f>
        <v/>
      </c>
      <c r="V1289" t="str">
        <f>IFERROR(VLOOKUP(B1289,'Pre-Summary'!$Y$6:$AC$83, 5,FALSE),"")</f>
        <v/>
      </c>
      <c r="W1289" s="45" t="str">
        <f>IFERROR(VLOOKUP(B1289,'Pre-Summary'!$Y$6:$AD$83,6,FALSE),"")</f>
        <v/>
      </c>
      <c r="X1289" t="str">
        <f>IFERROR(VLOOKUP('Pre-Summary'!$DB$6:$DD$63,3,FALSE),"")</f>
        <v/>
      </c>
      <c r="Y1289" t="str">
        <f>IFERROR(VLOOKUP(B1289,'Pre-Summary'!$CR$6:$CT$36,3,FALSE),"")</f>
        <v/>
      </c>
      <c r="Z1289" s="45" t="str">
        <f>IFERROR(VLOOKUP(B1289,'Pre-Summary'!$BZ$6:$CB$63,2,FALSE),"")</f>
        <v/>
      </c>
      <c r="AA1289" s="45" t="str">
        <f>IFERROR(VLOOKUP(B1289,'Pre-Summary'!$CG$6:$CI$70,2,FALSE),"")</f>
        <v/>
      </c>
      <c r="AB1289" s="99">
        <f>IFERROR(VLOOKUP(B1289,'Pre-Summary'!$A$6:$P$178,9,FALSE),AB1290)</f>
        <v>0.29951034906156815</v>
      </c>
      <c r="AC1289" s="10">
        <f>IFERROR(VLOOKUP(Summary!B1289,'Pre-Summary'!$A$6:$P$184,5, FALSE)/100,AC1290)</f>
        <v>0.87194233333333326</v>
      </c>
      <c r="AD1289" s="10">
        <f>IFERROR(VLOOKUP(Summary!B1289,'Pre-Summary'!$A$6:$P$184,3, FALSE)/100,AD1290)</f>
        <v>0.11797166666666667</v>
      </c>
      <c r="AE1289" s="10">
        <f>IFERROR(VLOOKUP(Summary!B1289,'Pre-Summary'!$A$6:$P$184,7, FALSE)/100,AE1290)</f>
        <v>1.0085666666666666E-2</v>
      </c>
      <c r="AF1289" s="99">
        <f t="shared" si="61"/>
        <v>3.5333735062708295E-2</v>
      </c>
      <c r="AG1289" s="99">
        <f t="shared" si="62"/>
        <v>3.0207615438519559E-3</v>
      </c>
      <c r="AH1289" s="10" t="str">
        <f>IFERROR(VLOOKUP(B1289,'Pre-Summary'!$AZ$6:$BE$65,3,FALSE),"")</f>
        <v/>
      </c>
      <c r="AI1289" s="10" t="str">
        <f>IFERROR(VLOOKUP(B1289,'Pre-Summary'!$AZ$6:$BE$65,5,FALSE),"")</f>
        <v/>
      </c>
      <c r="AJ1289" s="10" t="str">
        <f>IFERROR(VLOOKUP(B1289,'Pre-Summary'!$AZ$6:$BE$65,4,FALSE),"")</f>
        <v/>
      </c>
      <c r="AK1289" s="10" t="str">
        <f>IFERROR(VLOOKUP(B1289,'Pre-Summary'!$AZ$6:$BE$65,6,FALSE),"")</f>
        <v/>
      </c>
      <c r="AL1289" s="10" t="str">
        <f>IFERROR(VLOOKUP(B1289,'Pre-Summary'!$BG$6:$BL$44,3,FALSE),"")</f>
        <v/>
      </c>
      <c r="AM1289" s="10" t="str">
        <f>IFERROR(VLOOKUP(B1289,'Pre-Summary'!$BG$6:$BL$44,4,FALSE),"")</f>
        <v/>
      </c>
    </row>
    <row r="1290" spans="2:39" ht="15" customHeight="1" x14ac:dyDescent="0.3">
      <c r="B1290">
        <v>128.69999999999999</v>
      </c>
      <c r="C1290" t="str">
        <f>IFERROR(VLOOKUP(B1290,'Pre-Summary'!$DI$6:$DM$23,4,FALSE),"")</f>
        <v/>
      </c>
      <c r="D1290" s="10" t="str">
        <f>IFERROR(VLOOKUP(B1290,'Pre-Summary'!$AT$6:$AX$14,5,FALSE),D1289)</f>
        <v>Speece: put in Speece media + EDTA + cysteine + vitamins as in DSMZ 120</v>
      </c>
      <c r="E1290" s="10" t="str">
        <f>IFERROR(VLOOKUP(B1290,'Pre-Summary'!$AT$6:$AX$15,4,FALSE),"")</f>
        <v/>
      </c>
      <c r="F1290">
        <f>IFERROR(VLOOKUP(B1290,'Pre-Summary'!$AL$6:$AQ$13,6,FALSE),F1289)</f>
        <v>5.9405263157894746E-2</v>
      </c>
      <c r="G1290" t="str">
        <f>IFERROR(VLOOKUP(B1290,'Pre-Summary'!$AE$6:$AJ$85,3,FALSE),"")</f>
        <v/>
      </c>
      <c r="H1290" t="str">
        <f>IFERROR(VLOOKUP(B1290,'Pre-Summary'!$AE$6:$AJ$85,4,FALSE),"")</f>
        <v/>
      </c>
      <c r="I1290" t="str">
        <f>IFERROR(VLOOKUP(B1290,'Pre-Summary'!$AE$6:$AJ$85,5,FALSE),"")</f>
        <v/>
      </c>
      <c r="J1290" s="45" t="str">
        <f>IFERROR(VLOOKUP(B1290,'Pre-Summary'!$AE$6:$AJ$85,6, FALSE),"")</f>
        <v/>
      </c>
      <c r="K1290" s="45" t="str">
        <f>IFERROR(VLOOKUP(B1290,'Pre-Summary'!$DE$6:$DG$61,3,FALSE),"")</f>
        <v/>
      </c>
      <c r="L1290" s="45" t="str">
        <f>IFERROR(VLOOKUP(B1290,'Pre-Summary'!$CU$6:$CW$36,3,FALSE),"")</f>
        <v/>
      </c>
      <c r="M1290" s="45" t="str">
        <f>IFERROR(VLOOKUP(B1290,'Pre-Summary'!$BW$6:$BY$58,2,FALSE),"")</f>
        <v/>
      </c>
      <c r="N1290" s="45" t="str">
        <f>IFERROR(VLOOKUP(B1290,'Pre-Summary'!$CD$6:$CF$64,2,FALSE),"")</f>
        <v/>
      </c>
      <c r="O1290" s="99">
        <f>IFERROR(VLOOKUP(B1290,'Pre-Summary'!$BO$6:$BQ$48,3, FALSE),O1289)</f>
        <v>1.2</v>
      </c>
      <c r="P1290" s="99">
        <f>IFERROR(VLOOKUP(B1290,'Pre-Summary'!$BS$6:$BU$35,3,FALSE),P1289)</f>
        <v>0.3</v>
      </c>
      <c r="Q1290" s="54">
        <f t="shared" si="60"/>
        <v>4</v>
      </c>
      <c r="R1290" s="53">
        <f>IFERROR(VLOOKUP(B1290,'Pre-Summary'!$BG$6:$BM$44,7,FALSE),R1291)</f>
        <v>8.2734025573422298E-2</v>
      </c>
      <c r="S1290" s="53">
        <f>IFERROR(VLOOKUP(B1290,'Pre-Summary'!$BG$6:$BM$44,6,FALSE),S1291)</f>
        <v>7.7866004962824142E-2</v>
      </c>
      <c r="T1290" s="45" t="str">
        <f>IFERROR(VLOOKUP(B1290,'Pre-Summary'!$Y$6:$AC$83, 3,FALSE),"")</f>
        <v/>
      </c>
      <c r="U1290" s="45" t="str">
        <f>IFERROR(VLOOKUP(B1290,'Pre-Summary'!$Y$6:$AC$83, 4,FALSE),"")</f>
        <v/>
      </c>
      <c r="V1290" t="str">
        <f>IFERROR(VLOOKUP(B1290,'Pre-Summary'!$Y$6:$AC$83, 5,FALSE),"")</f>
        <v/>
      </c>
      <c r="W1290" s="45" t="str">
        <f>IFERROR(VLOOKUP(B1290,'Pre-Summary'!$Y$6:$AD$83,6,FALSE),"")</f>
        <v/>
      </c>
      <c r="X1290" t="str">
        <f>IFERROR(VLOOKUP('Pre-Summary'!$DB$6:$DD$63,3,FALSE),"")</f>
        <v/>
      </c>
      <c r="Y1290" t="str">
        <f>IFERROR(VLOOKUP(B1290,'Pre-Summary'!$CR$6:$CT$36,3,FALSE),"")</f>
        <v/>
      </c>
      <c r="Z1290" s="45" t="str">
        <f>IFERROR(VLOOKUP(B1290,'Pre-Summary'!$BZ$6:$CB$63,2,FALSE),"")</f>
        <v/>
      </c>
      <c r="AA1290" s="45" t="str">
        <f>IFERROR(VLOOKUP(B1290,'Pre-Summary'!$CG$6:$CI$70,2,FALSE),"")</f>
        <v/>
      </c>
      <c r="AB1290" s="99">
        <f>IFERROR(VLOOKUP(B1290,'Pre-Summary'!$A$6:$P$178,9,FALSE),AB1291)</f>
        <v>0.29951034906156815</v>
      </c>
      <c r="AC1290" s="10">
        <f>IFERROR(VLOOKUP(Summary!B1290,'Pre-Summary'!$A$6:$P$184,5, FALSE)/100,AC1291)</f>
        <v>0.87194233333333326</v>
      </c>
      <c r="AD1290" s="10">
        <f>IFERROR(VLOOKUP(Summary!B1290,'Pre-Summary'!$A$6:$P$184,3, FALSE)/100,AD1291)</f>
        <v>0.11797166666666667</v>
      </c>
      <c r="AE1290" s="10">
        <f>IFERROR(VLOOKUP(Summary!B1290,'Pre-Summary'!$A$6:$P$184,7, FALSE)/100,AE1291)</f>
        <v>1.0085666666666666E-2</v>
      </c>
      <c r="AF1290" s="99">
        <f t="shared" si="61"/>
        <v>3.5333735062708295E-2</v>
      </c>
      <c r="AG1290" s="99">
        <f t="shared" si="62"/>
        <v>3.0207615438519559E-3</v>
      </c>
      <c r="AH1290" s="10" t="str">
        <f>IFERROR(VLOOKUP(B1290,'Pre-Summary'!$AZ$6:$BE$65,3,FALSE),"")</f>
        <v/>
      </c>
      <c r="AI1290" s="10" t="str">
        <f>IFERROR(VLOOKUP(B1290,'Pre-Summary'!$AZ$6:$BE$65,5,FALSE),"")</f>
        <v/>
      </c>
      <c r="AJ1290" s="10" t="str">
        <f>IFERROR(VLOOKUP(B1290,'Pre-Summary'!$AZ$6:$BE$65,4,FALSE),"")</f>
        <v/>
      </c>
      <c r="AK1290" s="10" t="str">
        <f>IFERROR(VLOOKUP(B1290,'Pre-Summary'!$AZ$6:$BE$65,6,FALSE),"")</f>
        <v/>
      </c>
      <c r="AL1290" s="10" t="str">
        <f>IFERROR(VLOOKUP(B1290,'Pre-Summary'!$BG$6:$BL$44,3,FALSE),"")</f>
        <v/>
      </c>
      <c r="AM1290" s="10" t="str">
        <f>IFERROR(VLOOKUP(B1290,'Pre-Summary'!$BG$6:$BL$44,4,FALSE),"")</f>
        <v/>
      </c>
    </row>
    <row r="1291" spans="2:39" ht="15" customHeight="1" x14ac:dyDescent="0.3">
      <c r="B1291">
        <v>128.80000000000001</v>
      </c>
      <c r="C1291" t="str">
        <f>IFERROR(VLOOKUP(B1291,'Pre-Summary'!$DI$6:$DM$23,4,FALSE),"")</f>
        <v/>
      </c>
      <c r="D1291" s="10" t="str">
        <f>IFERROR(VLOOKUP(B1291,'Pre-Summary'!$AT$6:$AX$14,5,FALSE),D1290)</f>
        <v>Speece: put in Speece media + EDTA + cysteine + vitamins as in DSMZ 120</v>
      </c>
      <c r="E1291" s="10" t="str">
        <f>IFERROR(VLOOKUP(B1291,'Pre-Summary'!$AT$6:$AX$15,4,FALSE),"")</f>
        <v/>
      </c>
      <c r="F1291">
        <f>IFERROR(VLOOKUP(B1291,'Pre-Summary'!$AL$6:$AQ$13,6,FALSE),F1290)</f>
        <v>5.9405263157894746E-2</v>
      </c>
      <c r="G1291" t="str">
        <f>IFERROR(VLOOKUP(B1291,'Pre-Summary'!$AE$6:$AJ$85,3,FALSE),"")</f>
        <v/>
      </c>
      <c r="H1291" t="str">
        <f>IFERROR(VLOOKUP(B1291,'Pre-Summary'!$AE$6:$AJ$85,4,FALSE),"")</f>
        <v/>
      </c>
      <c r="I1291" t="str">
        <f>IFERROR(VLOOKUP(B1291,'Pre-Summary'!$AE$6:$AJ$85,5,FALSE),"")</f>
        <v/>
      </c>
      <c r="J1291" s="45" t="str">
        <f>IFERROR(VLOOKUP(B1291,'Pre-Summary'!$AE$6:$AJ$85,6, FALSE),"")</f>
        <v/>
      </c>
      <c r="K1291" s="45" t="str">
        <f>IFERROR(VLOOKUP(B1291,'Pre-Summary'!$DE$6:$DG$61,3,FALSE),"")</f>
        <v/>
      </c>
      <c r="L1291" s="45" t="str">
        <f>IFERROR(VLOOKUP(B1291,'Pre-Summary'!$CU$6:$CW$36,3,FALSE),"")</f>
        <v/>
      </c>
      <c r="M1291" s="45" t="str">
        <f>IFERROR(VLOOKUP(B1291,'Pre-Summary'!$BW$6:$BY$58,2,FALSE),"")</f>
        <v/>
      </c>
      <c r="N1291" s="45" t="str">
        <f>IFERROR(VLOOKUP(B1291,'Pre-Summary'!$CD$6:$CF$64,2,FALSE),"")</f>
        <v/>
      </c>
      <c r="O1291" s="99">
        <f>IFERROR(VLOOKUP(B1291,'Pre-Summary'!$BO$6:$BQ$48,3, FALSE),O1290)</f>
        <v>1.2</v>
      </c>
      <c r="P1291" s="99">
        <f>IFERROR(VLOOKUP(B1291,'Pre-Summary'!$BS$6:$BU$35,3,FALSE),P1290)</f>
        <v>0.3</v>
      </c>
      <c r="Q1291" s="54">
        <f t="shared" si="60"/>
        <v>4</v>
      </c>
      <c r="R1291" s="53">
        <f>IFERROR(VLOOKUP(B1291,'Pre-Summary'!$BG$6:$BM$44,7,FALSE),R1292)</f>
        <v>8.2734025573422298E-2</v>
      </c>
      <c r="S1291" s="53">
        <f>IFERROR(VLOOKUP(B1291,'Pre-Summary'!$BG$6:$BM$44,6,FALSE),S1292)</f>
        <v>7.7866004962824142E-2</v>
      </c>
      <c r="T1291" s="45" t="str">
        <f>IFERROR(VLOOKUP(B1291,'Pre-Summary'!$Y$6:$AC$83, 3,FALSE),"")</f>
        <v/>
      </c>
      <c r="U1291" s="45" t="str">
        <f>IFERROR(VLOOKUP(B1291,'Pre-Summary'!$Y$6:$AC$83, 4,FALSE),"")</f>
        <v/>
      </c>
      <c r="V1291" t="str">
        <f>IFERROR(VLOOKUP(B1291,'Pre-Summary'!$Y$6:$AC$83, 5,FALSE),"")</f>
        <v/>
      </c>
      <c r="W1291" s="45" t="str">
        <f>IFERROR(VLOOKUP(B1291,'Pre-Summary'!$Y$6:$AD$83,6,FALSE),"")</f>
        <v/>
      </c>
      <c r="X1291" t="str">
        <f>IFERROR(VLOOKUP('Pre-Summary'!$DB$6:$DD$63,3,FALSE),"")</f>
        <v/>
      </c>
      <c r="Y1291" t="str">
        <f>IFERROR(VLOOKUP(B1291,'Pre-Summary'!$CR$6:$CT$36,3,FALSE),"")</f>
        <v/>
      </c>
      <c r="Z1291" s="45" t="str">
        <f>IFERROR(VLOOKUP(B1291,'Pre-Summary'!$BZ$6:$CB$63,2,FALSE),"")</f>
        <v/>
      </c>
      <c r="AA1291" s="45" t="str">
        <f>IFERROR(VLOOKUP(B1291,'Pre-Summary'!$CG$6:$CI$70,2,FALSE),"")</f>
        <v/>
      </c>
      <c r="AB1291" s="99">
        <f>IFERROR(VLOOKUP(B1291,'Pre-Summary'!$A$6:$P$178,9,FALSE),AB1292)</f>
        <v>0.29951034906156815</v>
      </c>
      <c r="AC1291" s="10">
        <f>IFERROR(VLOOKUP(Summary!B1291,'Pre-Summary'!$A$6:$P$184,5, FALSE)/100,AC1292)</f>
        <v>0.87194233333333326</v>
      </c>
      <c r="AD1291" s="10">
        <f>IFERROR(VLOOKUP(Summary!B1291,'Pre-Summary'!$A$6:$P$184,3, FALSE)/100,AD1292)</f>
        <v>0.11797166666666667</v>
      </c>
      <c r="AE1291" s="10">
        <f>IFERROR(VLOOKUP(Summary!B1291,'Pre-Summary'!$A$6:$P$184,7, FALSE)/100,AE1292)</f>
        <v>1.0085666666666666E-2</v>
      </c>
      <c r="AF1291" s="99">
        <f t="shared" si="61"/>
        <v>3.5333735062708295E-2</v>
      </c>
      <c r="AG1291" s="99">
        <f t="shared" si="62"/>
        <v>3.0207615438519559E-3</v>
      </c>
      <c r="AH1291" s="10" t="str">
        <f>IFERROR(VLOOKUP(B1291,'Pre-Summary'!$AZ$6:$BE$65,3,FALSE),"")</f>
        <v/>
      </c>
      <c r="AI1291" s="10" t="str">
        <f>IFERROR(VLOOKUP(B1291,'Pre-Summary'!$AZ$6:$BE$65,5,FALSE),"")</f>
        <v/>
      </c>
      <c r="AJ1291" s="10" t="str">
        <f>IFERROR(VLOOKUP(B1291,'Pre-Summary'!$AZ$6:$BE$65,4,FALSE),"")</f>
        <v/>
      </c>
      <c r="AK1291" s="10" t="str">
        <f>IFERROR(VLOOKUP(B1291,'Pre-Summary'!$AZ$6:$BE$65,6,FALSE),"")</f>
        <v/>
      </c>
      <c r="AL1291" s="10" t="str">
        <f>IFERROR(VLOOKUP(B1291,'Pre-Summary'!$BG$6:$BL$44,3,FALSE),"")</f>
        <v/>
      </c>
      <c r="AM1291" s="10" t="str">
        <f>IFERROR(VLOOKUP(B1291,'Pre-Summary'!$BG$6:$BL$44,4,FALSE),"")</f>
        <v/>
      </c>
    </row>
    <row r="1292" spans="2:39" ht="15" customHeight="1" x14ac:dyDescent="0.3">
      <c r="B1292">
        <v>128.9</v>
      </c>
      <c r="C1292" t="str">
        <f>IFERROR(VLOOKUP(B1292,'Pre-Summary'!$DI$6:$DM$23,4,FALSE),"")</f>
        <v/>
      </c>
      <c r="D1292" s="10" t="str">
        <f>IFERROR(VLOOKUP(B1292,'Pre-Summary'!$AT$6:$AX$14,5,FALSE),D1291)</f>
        <v>Speece: put in Speece media + EDTA + cysteine + vitamins as in DSMZ 120</v>
      </c>
      <c r="E1292" s="10" t="str">
        <f>IFERROR(VLOOKUP(B1292,'Pre-Summary'!$AT$6:$AX$15,4,FALSE),"")</f>
        <v/>
      </c>
      <c r="F1292">
        <f>IFERROR(VLOOKUP(B1292,'Pre-Summary'!$AL$6:$AQ$13,6,FALSE),F1291)</f>
        <v>5.9405263157894746E-2</v>
      </c>
      <c r="G1292" t="str">
        <f>IFERROR(VLOOKUP(B1292,'Pre-Summary'!$AE$6:$AJ$85,3,FALSE),"")</f>
        <v/>
      </c>
      <c r="H1292" t="str">
        <f>IFERROR(VLOOKUP(B1292,'Pre-Summary'!$AE$6:$AJ$85,4,FALSE),"")</f>
        <v/>
      </c>
      <c r="I1292" t="str">
        <f>IFERROR(VLOOKUP(B1292,'Pre-Summary'!$AE$6:$AJ$85,5,FALSE),"")</f>
        <v/>
      </c>
      <c r="J1292" s="45" t="str">
        <f>IFERROR(VLOOKUP(B1292,'Pre-Summary'!$AE$6:$AJ$85,6, FALSE),"")</f>
        <v/>
      </c>
      <c r="K1292" s="45" t="str">
        <f>IFERROR(VLOOKUP(B1292,'Pre-Summary'!$DE$6:$DG$61,3,FALSE),"")</f>
        <v/>
      </c>
      <c r="L1292" s="45" t="str">
        <f>IFERROR(VLOOKUP(B1292,'Pre-Summary'!$CU$6:$CW$36,3,FALSE),"")</f>
        <v/>
      </c>
      <c r="M1292" s="45" t="str">
        <f>IFERROR(VLOOKUP(B1292,'Pre-Summary'!$BW$6:$BY$58,2,FALSE),"")</f>
        <v/>
      </c>
      <c r="N1292" s="45" t="str">
        <f>IFERROR(VLOOKUP(B1292,'Pre-Summary'!$CD$6:$CF$64,2,FALSE),"")</f>
        <v/>
      </c>
      <c r="O1292" s="99">
        <f>IFERROR(VLOOKUP(B1292,'Pre-Summary'!$BO$6:$BQ$48,3, FALSE),O1291)</f>
        <v>1.2</v>
      </c>
      <c r="P1292" s="99">
        <f>IFERROR(VLOOKUP(B1292,'Pre-Summary'!$BS$6:$BU$35,3,FALSE),P1291)</f>
        <v>0.3</v>
      </c>
      <c r="Q1292" s="54">
        <f t="shared" si="60"/>
        <v>4</v>
      </c>
      <c r="R1292" s="53">
        <f>IFERROR(VLOOKUP(B1292,'Pre-Summary'!$BG$6:$BM$44,7,FALSE),R1293)</f>
        <v>8.2734025573422298E-2</v>
      </c>
      <c r="S1292" s="53">
        <f>IFERROR(VLOOKUP(B1292,'Pre-Summary'!$BG$6:$BM$44,6,FALSE),S1293)</f>
        <v>7.7866004962824142E-2</v>
      </c>
      <c r="T1292" s="45" t="str">
        <f>IFERROR(VLOOKUP(B1292,'Pre-Summary'!$Y$6:$AC$83, 3,FALSE),"")</f>
        <v/>
      </c>
      <c r="U1292" s="45" t="str">
        <f>IFERROR(VLOOKUP(B1292,'Pre-Summary'!$Y$6:$AC$83, 4,FALSE),"")</f>
        <v/>
      </c>
      <c r="V1292" t="str">
        <f>IFERROR(VLOOKUP(B1292,'Pre-Summary'!$Y$6:$AC$83, 5,FALSE),"")</f>
        <v/>
      </c>
      <c r="W1292" s="45" t="str">
        <f>IFERROR(VLOOKUP(B1292,'Pre-Summary'!$Y$6:$AD$83,6,FALSE),"")</f>
        <v/>
      </c>
      <c r="X1292" t="str">
        <f>IFERROR(VLOOKUP('Pre-Summary'!$DB$6:$DD$63,3,FALSE),"")</f>
        <v/>
      </c>
      <c r="Y1292" t="str">
        <f>IFERROR(VLOOKUP(B1292,'Pre-Summary'!$CR$6:$CT$36,3,FALSE),"")</f>
        <v/>
      </c>
      <c r="Z1292" s="45" t="str">
        <f>IFERROR(VLOOKUP(B1292,'Pre-Summary'!$BZ$6:$CB$63,2,FALSE),"")</f>
        <v/>
      </c>
      <c r="AA1292" s="45" t="str">
        <f>IFERROR(VLOOKUP(B1292,'Pre-Summary'!$CG$6:$CI$70,2,FALSE),"")</f>
        <v/>
      </c>
      <c r="AB1292" s="99">
        <f>IFERROR(VLOOKUP(B1292,'Pre-Summary'!$A$6:$P$178,9,FALSE),AB1293)</f>
        <v>0.29951034906156815</v>
      </c>
      <c r="AC1292" s="10">
        <f>IFERROR(VLOOKUP(Summary!B1292,'Pre-Summary'!$A$6:$P$184,5, FALSE)/100,AC1293)</f>
        <v>0.87194233333333326</v>
      </c>
      <c r="AD1292" s="10">
        <f>IFERROR(VLOOKUP(Summary!B1292,'Pre-Summary'!$A$6:$P$184,3, FALSE)/100,AD1293)</f>
        <v>0.11797166666666667</v>
      </c>
      <c r="AE1292" s="10">
        <f>IFERROR(VLOOKUP(Summary!B1292,'Pre-Summary'!$A$6:$P$184,7, FALSE)/100,AE1293)</f>
        <v>1.0085666666666666E-2</v>
      </c>
      <c r="AF1292" s="99">
        <f t="shared" si="61"/>
        <v>3.5333735062708295E-2</v>
      </c>
      <c r="AG1292" s="99">
        <f t="shared" si="62"/>
        <v>3.0207615438519559E-3</v>
      </c>
      <c r="AH1292" s="10" t="str">
        <f>IFERROR(VLOOKUP(B1292,'Pre-Summary'!$AZ$6:$BE$65,3,FALSE),"")</f>
        <v/>
      </c>
      <c r="AI1292" s="10" t="str">
        <f>IFERROR(VLOOKUP(B1292,'Pre-Summary'!$AZ$6:$BE$65,5,FALSE),"")</f>
        <v/>
      </c>
      <c r="AJ1292" s="10" t="str">
        <f>IFERROR(VLOOKUP(B1292,'Pre-Summary'!$AZ$6:$BE$65,4,FALSE),"")</f>
        <v/>
      </c>
      <c r="AK1292" s="10" t="str">
        <f>IFERROR(VLOOKUP(B1292,'Pre-Summary'!$AZ$6:$BE$65,6,FALSE),"")</f>
        <v/>
      </c>
      <c r="AL1292" s="10" t="str">
        <f>IFERROR(VLOOKUP(B1292,'Pre-Summary'!$BG$6:$BL$44,3,FALSE),"")</f>
        <v/>
      </c>
      <c r="AM1292" s="10" t="str">
        <f>IFERROR(VLOOKUP(B1292,'Pre-Summary'!$BG$6:$BL$44,4,FALSE),"")</f>
        <v/>
      </c>
    </row>
    <row r="1293" spans="2:39" ht="15" customHeight="1" x14ac:dyDescent="0.3">
      <c r="B1293">
        <v>129</v>
      </c>
      <c r="C1293" t="str">
        <f>IFERROR(VLOOKUP(B1293,'Pre-Summary'!$DI$6:$DM$23,4,FALSE),"")</f>
        <v/>
      </c>
      <c r="D1293" s="10" t="str">
        <f>IFERROR(VLOOKUP(B1293,'Pre-Summary'!$AT$6:$AX$14,5,FALSE),D1292)</f>
        <v>Speece: put in Speece media + EDTA + cysteine + vitamins as in DSMZ 120</v>
      </c>
      <c r="E1293" s="10" t="str">
        <f>IFERROR(VLOOKUP(B1293,'Pre-Summary'!$AT$6:$AX$15,4,FALSE),"")</f>
        <v/>
      </c>
      <c r="F1293">
        <f>IFERROR(VLOOKUP(B1293,'Pre-Summary'!$AL$6:$AQ$13,6,FALSE),F1292)</f>
        <v>5.9405263157894746E-2</v>
      </c>
      <c r="G1293" t="str">
        <f>IFERROR(VLOOKUP(B1293,'Pre-Summary'!$AE$6:$AJ$85,3,FALSE),"")</f>
        <v/>
      </c>
      <c r="H1293" t="str">
        <f>IFERROR(VLOOKUP(B1293,'Pre-Summary'!$AE$6:$AJ$85,4,FALSE),"")</f>
        <v/>
      </c>
      <c r="I1293" t="str">
        <f>IFERROR(VLOOKUP(B1293,'Pre-Summary'!$AE$6:$AJ$85,5,FALSE),"")</f>
        <v/>
      </c>
      <c r="J1293" s="45" t="str">
        <f>IFERROR(VLOOKUP(B1293,'Pre-Summary'!$AE$6:$AJ$85,6, FALSE),"")</f>
        <v/>
      </c>
      <c r="K1293" s="45" t="str">
        <f>IFERROR(VLOOKUP(B1293,'Pre-Summary'!$DE$6:$DG$61,3,FALSE),"")</f>
        <v/>
      </c>
      <c r="L1293" s="45" t="str">
        <f>IFERROR(VLOOKUP(B1293,'Pre-Summary'!$CU$6:$CW$36,3,FALSE),"")</f>
        <v/>
      </c>
      <c r="M1293" s="45" t="str">
        <f>IFERROR(VLOOKUP(B1293,'Pre-Summary'!$BW$6:$BY$58,2,FALSE),"")</f>
        <v/>
      </c>
      <c r="N1293" s="45" t="str">
        <f>IFERROR(VLOOKUP(B1293,'Pre-Summary'!$CD$6:$CF$64,2,FALSE),"")</f>
        <v/>
      </c>
      <c r="O1293" s="99">
        <f>IFERROR(VLOOKUP(B1293,'Pre-Summary'!$BO$6:$BQ$48,3, FALSE),O1292)</f>
        <v>1.2</v>
      </c>
      <c r="P1293" s="99">
        <f>IFERROR(VLOOKUP(B1293,'Pre-Summary'!$BS$6:$BU$35,3,FALSE),P1292)</f>
        <v>0.3</v>
      </c>
      <c r="Q1293" s="54">
        <f t="shared" si="60"/>
        <v>4</v>
      </c>
      <c r="R1293" s="53">
        <f>IFERROR(VLOOKUP(B1293,'Pre-Summary'!$BG$6:$BM$44,7,FALSE),R1294)</f>
        <v>8.2734025573422298E-2</v>
      </c>
      <c r="S1293" s="53">
        <f>IFERROR(VLOOKUP(B1293,'Pre-Summary'!$BG$6:$BM$44,6,FALSE),S1294)</f>
        <v>7.7866004962824142E-2</v>
      </c>
      <c r="T1293" s="45" t="str">
        <f>IFERROR(VLOOKUP(B1293,'Pre-Summary'!$Y$6:$AC$83, 3,FALSE),"")</f>
        <v/>
      </c>
      <c r="U1293" s="45" t="str">
        <f>IFERROR(VLOOKUP(B1293,'Pre-Summary'!$Y$6:$AC$83, 4,FALSE),"")</f>
        <v/>
      </c>
      <c r="V1293" t="str">
        <f>IFERROR(VLOOKUP(B1293,'Pre-Summary'!$Y$6:$AC$83, 5,FALSE),"")</f>
        <v/>
      </c>
      <c r="W1293" s="45" t="str">
        <f>IFERROR(VLOOKUP(B1293,'Pre-Summary'!$Y$6:$AD$83,6,FALSE),"")</f>
        <v/>
      </c>
      <c r="X1293" t="str">
        <f>IFERROR(VLOOKUP('Pre-Summary'!$DB$6:$DD$63,3,FALSE),"")</f>
        <v/>
      </c>
      <c r="Y1293" t="str">
        <f>IFERROR(VLOOKUP(B1293,'Pre-Summary'!$CR$6:$CT$36,3,FALSE),"")</f>
        <v/>
      </c>
      <c r="Z1293" s="45" t="str">
        <f>IFERROR(VLOOKUP(B1293,'Pre-Summary'!$BZ$6:$CB$63,2,FALSE),"")</f>
        <v/>
      </c>
      <c r="AA1293" s="45" t="str">
        <f>IFERROR(VLOOKUP(B1293,'Pre-Summary'!$CG$6:$CI$70,2,FALSE),"")</f>
        <v/>
      </c>
      <c r="AB1293" s="99">
        <f>IFERROR(VLOOKUP(B1293,'Pre-Summary'!$A$6:$P$178,9,FALSE),AB1294)</f>
        <v>0.29951034906156815</v>
      </c>
      <c r="AC1293" s="10">
        <f>IFERROR(VLOOKUP(Summary!B1293,'Pre-Summary'!$A$6:$P$184,5, FALSE)/100,AC1294)</f>
        <v>0.87194233333333326</v>
      </c>
      <c r="AD1293" s="10">
        <f>IFERROR(VLOOKUP(Summary!B1293,'Pre-Summary'!$A$6:$P$184,3, FALSE)/100,AD1294)</f>
        <v>0.11797166666666667</v>
      </c>
      <c r="AE1293" s="10">
        <f>IFERROR(VLOOKUP(Summary!B1293,'Pre-Summary'!$A$6:$P$184,7, FALSE)/100,AE1294)</f>
        <v>1.0085666666666666E-2</v>
      </c>
      <c r="AF1293" s="99">
        <f t="shared" si="61"/>
        <v>3.5333735062708295E-2</v>
      </c>
      <c r="AG1293" s="99">
        <f t="shared" si="62"/>
        <v>3.0207615438519559E-3</v>
      </c>
      <c r="AH1293" s="10" t="str">
        <f>IFERROR(VLOOKUP(B1293,'Pre-Summary'!$AZ$6:$BE$65,3,FALSE),"")</f>
        <v/>
      </c>
      <c r="AI1293" s="10" t="str">
        <f>IFERROR(VLOOKUP(B1293,'Pre-Summary'!$AZ$6:$BE$65,5,FALSE),"")</f>
        <v/>
      </c>
      <c r="AJ1293" s="10" t="str">
        <f>IFERROR(VLOOKUP(B1293,'Pre-Summary'!$AZ$6:$BE$65,4,FALSE),"")</f>
        <v/>
      </c>
      <c r="AK1293" s="10" t="str">
        <f>IFERROR(VLOOKUP(B1293,'Pre-Summary'!$AZ$6:$BE$65,6,FALSE),"")</f>
        <v/>
      </c>
      <c r="AL1293" s="10" t="str">
        <f>IFERROR(VLOOKUP(B1293,'Pre-Summary'!$BG$6:$BL$44,3,FALSE),"")</f>
        <v/>
      </c>
      <c r="AM1293" s="10" t="str">
        <f>IFERROR(VLOOKUP(B1293,'Pre-Summary'!$BG$6:$BL$44,4,FALSE),"")</f>
        <v/>
      </c>
    </row>
    <row r="1294" spans="2:39" ht="15" customHeight="1" x14ac:dyDescent="0.3">
      <c r="B1294">
        <v>129.1</v>
      </c>
      <c r="C1294" t="str">
        <f>IFERROR(VLOOKUP(B1294,'Pre-Summary'!$DI$6:$DM$23,4,FALSE),"")</f>
        <v/>
      </c>
      <c r="D1294" s="10" t="str">
        <f>IFERROR(VLOOKUP(B1294,'Pre-Summary'!$AT$6:$AX$14,5,FALSE),D1293)</f>
        <v>Speece: put in Speece media + EDTA + cysteine + vitamins as in DSMZ 120</v>
      </c>
      <c r="E1294" s="10" t="str">
        <f>IFERROR(VLOOKUP(B1294,'Pre-Summary'!$AT$6:$AX$15,4,FALSE),"")</f>
        <v/>
      </c>
      <c r="F1294">
        <f>IFERROR(VLOOKUP(B1294,'Pre-Summary'!$AL$6:$AQ$13,6,FALSE),F1293)</f>
        <v>5.9405263157894746E-2</v>
      </c>
      <c r="G1294" t="str">
        <f>IFERROR(VLOOKUP(B1294,'Pre-Summary'!$AE$6:$AJ$85,3,FALSE),"")</f>
        <v/>
      </c>
      <c r="H1294" t="str">
        <f>IFERROR(VLOOKUP(B1294,'Pre-Summary'!$AE$6:$AJ$85,4,FALSE),"")</f>
        <v/>
      </c>
      <c r="I1294" t="str">
        <f>IFERROR(VLOOKUP(B1294,'Pre-Summary'!$AE$6:$AJ$85,5,FALSE),"")</f>
        <v/>
      </c>
      <c r="J1294" s="45" t="str">
        <f>IFERROR(VLOOKUP(B1294,'Pre-Summary'!$AE$6:$AJ$85,6, FALSE),"")</f>
        <v/>
      </c>
      <c r="K1294" s="45" t="str">
        <f>IFERROR(VLOOKUP(B1294,'Pre-Summary'!$DE$6:$DG$61,3,FALSE),"")</f>
        <v/>
      </c>
      <c r="L1294" s="45" t="str">
        <f>IFERROR(VLOOKUP(B1294,'Pre-Summary'!$CU$6:$CW$36,3,FALSE),"")</f>
        <v/>
      </c>
      <c r="M1294" s="45" t="str">
        <f>IFERROR(VLOOKUP(B1294,'Pre-Summary'!$BW$6:$BY$58,2,FALSE),"")</f>
        <v/>
      </c>
      <c r="N1294" s="45" t="str">
        <f>IFERROR(VLOOKUP(B1294,'Pre-Summary'!$CD$6:$CF$64,2,FALSE),"")</f>
        <v/>
      </c>
      <c r="O1294" s="99">
        <f>IFERROR(VLOOKUP(B1294,'Pre-Summary'!$BO$6:$BQ$48,3, FALSE),O1293)</f>
        <v>1.2</v>
      </c>
      <c r="P1294" s="99">
        <f>IFERROR(VLOOKUP(B1294,'Pre-Summary'!$BS$6:$BU$35,3,FALSE),P1293)</f>
        <v>0.3</v>
      </c>
      <c r="Q1294" s="54">
        <f t="shared" si="60"/>
        <v>4</v>
      </c>
      <c r="R1294" s="53">
        <f>IFERROR(VLOOKUP(B1294,'Pre-Summary'!$BG$6:$BM$44,7,FALSE),R1295)</f>
        <v>8.2734025573422298E-2</v>
      </c>
      <c r="S1294" s="53">
        <f>IFERROR(VLOOKUP(B1294,'Pre-Summary'!$BG$6:$BM$44,6,FALSE),S1295)</f>
        <v>7.7866004962824142E-2</v>
      </c>
      <c r="T1294" s="45" t="str">
        <f>IFERROR(VLOOKUP(B1294,'Pre-Summary'!$Y$6:$AC$83, 3,FALSE),"")</f>
        <v/>
      </c>
      <c r="U1294" s="45" t="str">
        <f>IFERROR(VLOOKUP(B1294,'Pre-Summary'!$Y$6:$AC$83, 4,FALSE),"")</f>
        <v/>
      </c>
      <c r="V1294" t="str">
        <f>IFERROR(VLOOKUP(B1294,'Pre-Summary'!$Y$6:$AC$83, 5,FALSE),"")</f>
        <v/>
      </c>
      <c r="W1294" s="45" t="str">
        <f>IFERROR(VLOOKUP(B1294,'Pre-Summary'!$Y$6:$AD$83,6,FALSE),"")</f>
        <v/>
      </c>
      <c r="X1294" t="str">
        <f>IFERROR(VLOOKUP('Pre-Summary'!$DB$6:$DD$63,3,FALSE),"")</f>
        <v/>
      </c>
      <c r="Y1294" t="str">
        <f>IFERROR(VLOOKUP(B1294,'Pre-Summary'!$CR$6:$CT$36,3,FALSE),"")</f>
        <v/>
      </c>
      <c r="Z1294" s="45" t="str">
        <f>IFERROR(VLOOKUP(B1294,'Pre-Summary'!$BZ$6:$CB$63,2,FALSE),"")</f>
        <v/>
      </c>
      <c r="AA1294" s="45" t="str">
        <f>IFERROR(VLOOKUP(B1294,'Pre-Summary'!$CG$6:$CI$70,2,FALSE),"")</f>
        <v/>
      </c>
      <c r="AB1294" s="99">
        <f>IFERROR(VLOOKUP(B1294,'Pre-Summary'!$A$6:$P$178,9,FALSE),AB1295)</f>
        <v>0.29951034906156815</v>
      </c>
      <c r="AC1294" s="10">
        <f>IFERROR(VLOOKUP(Summary!B1294,'Pre-Summary'!$A$6:$P$184,5, FALSE)/100,AC1295)</f>
        <v>0.87194233333333326</v>
      </c>
      <c r="AD1294" s="10">
        <f>IFERROR(VLOOKUP(Summary!B1294,'Pre-Summary'!$A$6:$P$184,3, FALSE)/100,AD1295)</f>
        <v>0.11797166666666667</v>
      </c>
      <c r="AE1294" s="10">
        <f>IFERROR(VLOOKUP(Summary!B1294,'Pre-Summary'!$A$6:$P$184,7, FALSE)/100,AE1295)</f>
        <v>1.0085666666666666E-2</v>
      </c>
      <c r="AF1294" s="99">
        <f t="shared" si="61"/>
        <v>3.5333735062708295E-2</v>
      </c>
      <c r="AG1294" s="99">
        <f t="shared" si="62"/>
        <v>3.0207615438519559E-3</v>
      </c>
      <c r="AH1294" s="10" t="str">
        <f>IFERROR(VLOOKUP(B1294,'Pre-Summary'!$AZ$6:$BE$65,3,FALSE),"")</f>
        <v/>
      </c>
      <c r="AI1294" s="10" t="str">
        <f>IFERROR(VLOOKUP(B1294,'Pre-Summary'!$AZ$6:$BE$65,5,FALSE),"")</f>
        <v/>
      </c>
      <c r="AJ1294" s="10" t="str">
        <f>IFERROR(VLOOKUP(B1294,'Pre-Summary'!$AZ$6:$BE$65,4,FALSE),"")</f>
        <v/>
      </c>
      <c r="AK1294" s="10" t="str">
        <f>IFERROR(VLOOKUP(B1294,'Pre-Summary'!$AZ$6:$BE$65,6,FALSE),"")</f>
        <v/>
      </c>
      <c r="AL1294" s="10" t="str">
        <f>IFERROR(VLOOKUP(B1294,'Pre-Summary'!$BG$6:$BL$44,3,FALSE),"")</f>
        <v/>
      </c>
      <c r="AM1294" s="10" t="str">
        <f>IFERROR(VLOOKUP(B1294,'Pre-Summary'!$BG$6:$BL$44,4,FALSE),"")</f>
        <v/>
      </c>
    </row>
    <row r="1295" spans="2:39" ht="15" customHeight="1" x14ac:dyDescent="0.3">
      <c r="B1295">
        <v>129.19999999999999</v>
      </c>
      <c r="C1295" t="str">
        <f>IFERROR(VLOOKUP(B1295,'Pre-Summary'!$DI$6:$DM$23,4,FALSE),"")</f>
        <v/>
      </c>
      <c r="D1295" s="10" t="str">
        <f>IFERROR(VLOOKUP(B1295,'Pre-Summary'!$AT$6:$AX$14,5,FALSE),D1294)</f>
        <v>Speece: put in Speece media + EDTA + cysteine + vitamins as in DSMZ 120</v>
      </c>
      <c r="E1295" s="10" t="str">
        <f>IFERROR(VLOOKUP(B1295,'Pre-Summary'!$AT$6:$AX$15,4,FALSE),"")</f>
        <v/>
      </c>
      <c r="F1295">
        <f>IFERROR(VLOOKUP(B1295,'Pre-Summary'!$AL$6:$AQ$13,6,FALSE),F1294)</f>
        <v>5.9405263157894746E-2</v>
      </c>
      <c r="G1295" t="str">
        <f>IFERROR(VLOOKUP(B1295,'Pre-Summary'!$AE$6:$AJ$85,3,FALSE),"")</f>
        <v/>
      </c>
      <c r="H1295" t="str">
        <f>IFERROR(VLOOKUP(B1295,'Pre-Summary'!$AE$6:$AJ$85,4,FALSE),"")</f>
        <v/>
      </c>
      <c r="I1295" t="str">
        <f>IFERROR(VLOOKUP(B1295,'Pre-Summary'!$AE$6:$AJ$85,5,FALSE),"")</f>
        <v/>
      </c>
      <c r="J1295" s="45" t="str">
        <f>IFERROR(VLOOKUP(B1295,'Pre-Summary'!$AE$6:$AJ$85,6, FALSE),"")</f>
        <v/>
      </c>
      <c r="K1295" s="45" t="str">
        <f>IFERROR(VLOOKUP(B1295,'Pre-Summary'!$DE$6:$DG$61,3,FALSE),"")</f>
        <v/>
      </c>
      <c r="L1295" s="45" t="str">
        <f>IFERROR(VLOOKUP(B1295,'Pre-Summary'!$CU$6:$CW$36,3,FALSE),"")</f>
        <v/>
      </c>
      <c r="M1295" s="45" t="str">
        <f>IFERROR(VLOOKUP(B1295,'Pre-Summary'!$BW$6:$BY$58,2,FALSE),"")</f>
        <v/>
      </c>
      <c r="N1295" s="45" t="str">
        <f>IFERROR(VLOOKUP(B1295,'Pre-Summary'!$CD$6:$CF$64,2,FALSE),"")</f>
        <v/>
      </c>
      <c r="O1295" s="99">
        <f>IFERROR(VLOOKUP(B1295,'Pre-Summary'!$BO$6:$BQ$48,3, FALSE),O1294)</f>
        <v>1.2</v>
      </c>
      <c r="P1295" s="99">
        <f>IFERROR(VLOOKUP(B1295,'Pre-Summary'!$BS$6:$BU$35,3,FALSE),P1294)</f>
        <v>0.3</v>
      </c>
      <c r="Q1295" s="54">
        <f t="shared" si="60"/>
        <v>4</v>
      </c>
      <c r="R1295" s="53">
        <f>IFERROR(VLOOKUP(B1295,'Pre-Summary'!$BG$6:$BM$44,7,FALSE),R1296)</f>
        <v>8.2734025573422298E-2</v>
      </c>
      <c r="S1295" s="53">
        <f>IFERROR(VLOOKUP(B1295,'Pre-Summary'!$BG$6:$BM$44,6,FALSE),S1296)</f>
        <v>7.7866004962824142E-2</v>
      </c>
      <c r="T1295" s="45" t="str">
        <f>IFERROR(VLOOKUP(B1295,'Pre-Summary'!$Y$6:$AC$83, 3,FALSE),"")</f>
        <v/>
      </c>
      <c r="U1295" s="45" t="str">
        <f>IFERROR(VLOOKUP(B1295,'Pre-Summary'!$Y$6:$AC$83, 4,FALSE),"")</f>
        <v/>
      </c>
      <c r="V1295" t="str">
        <f>IFERROR(VLOOKUP(B1295,'Pre-Summary'!$Y$6:$AC$83, 5,FALSE),"")</f>
        <v/>
      </c>
      <c r="W1295" s="45" t="str">
        <f>IFERROR(VLOOKUP(B1295,'Pre-Summary'!$Y$6:$AD$83,6,FALSE),"")</f>
        <v/>
      </c>
      <c r="X1295" t="str">
        <f>IFERROR(VLOOKUP('Pre-Summary'!$DB$6:$DD$63,3,FALSE),"")</f>
        <v/>
      </c>
      <c r="Y1295" t="str">
        <f>IFERROR(VLOOKUP(B1295,'Pre-Summary'!$CR$6:$CT$36,3,FALSE),"")</f>
        <v/>
      </c>
      <c r="Z1295" s="45" t="str">
        <f>IFERROR(VLOOKUP(B1295,'Pre-Summary'!$BZ$6:$CB$63,2,FALSE),"")</f>
        <v/>
      </c>
      <c r="AA1295" s="45" t="str">
        <f>IFERROR(VLOOKUP(B1295,'Pre-Summary'!$CG$6:$CI$70,2,FALSE),"")</f>
        <v/>
      </c>
      <c r="AB1295" s="99">
        <f>IFERROR(VLOOKUP(B1295,'Pre-Summary'!$A$6:$P$178,9,FALSE),AB1296)</f>
        <v>0.29951034906156815</v>
      </c>
      <c r="AC1295" s="10">
        <f>IFERROR(VLOOKUP(Summary!B1295,'Pre-Summary'!$A$6:$P$184,5, FALSE)/100,AC1296)</f>
        <v>0.87194233333333326</v>
      </c>
      <c r="AD1295" s="10">
        <f>IFERROR(VLOOKUP(Summary!B1295,'Pre-Summary'!$A$6:$P$184,3, FALSE)/100,AD1296)</f>
        <v>0.11797166666666667</v>
      </c>
      <c r="AE1295" s="10">
        <f>IFERROR(VLOOKUP(Summary!B1295,'Pre-Summary'!$A$6:$P$184,7, FALSE)/100,AE1296)</f>
        <v>1.0085666666666666E-2</v>
      </c>
      <c r="AF1295" s="99">
        <f t="shared" si="61"/>
        <v>3.5333735062708295E-2</v>
      </c>
      <c r="AG1295" s="99">
        <f t="shared" si="62"/>
        <v>3.0207615438519559E-3</v>
      </c>
      <c r="AH1295" s="10" t="str">
        <f>IFERROR(VLOOKUP(B1295,'Pre-Summary'!$AZ$6:$BE$65,3,FALSE),"")</f>
        <v/>
      </c>
      <c r="AI1295" s="10" t="str">
        <f>IFERROR(VLOOKUP(B1295,'Pre-Summary'!$AZ$6:$BE$65,5,FALSE),"")</f>
        <v/>
      </c>
      <c r="AJ1295" s="10" t="str">
        <f>IFERROR(VLOOKUP(B1295,'Pre-Summary'!$AZ$6:$BE$65,4,FALSE),"")</f>
        <v/>
      </c>
      <c r="AK1295" s="10" t="str">
        <f>IFERROR(VLOOKUP(B1295,'Pre-Summary'!$AZ$6:$BE$65,6,FALSE),"")</f>
        <v/>
      </c>
      <c r="AL1295" s="10" t="str">
        <f>IFERROR(VLOOKUP(B1295,'Pre-Summary'!$BG$6:$BL$44,3,FALSE),"")</f>
        <v/>
      </c>
      <c r="AM1295" s="10" t="str">
        <f>IFERROR(VLOOKUP(B1295,'Pre-Summary'!$BG$6:$BL$44,4,FALSE),"")</f>
        <v/>
      </c>
    </row>
    <row r="1296" spans="2:39" ht="15" customHeight="1" x14ac:dyDescent="0.3">
      <c r="B1296">
        <v>129.30000000000001</v>
      </c>
      <c r="C1296" t="str">
        <f>IFERROR(VLOOKUP(B1296,'Pre-Summary'!$DI$6:$DM$23,4,FALSE),"")</f>
        <v/>
      </c>
      <c r="D1296" s="10" t="str">
        <f>IFERROR(VLOOKUP(B1296,'Pre-Summary'!$AT$6:$AX$14,5,FALSE),D1295)</f>
        <v>Speece: put in Speece media + EDTA + cysteine + vitamins as in DSMZ 120</v>
      </c>
      <c r="E1296" s="10" t="str">
        <f>IFERROR(VLOOKUP(B1296,'Pre-Summary'!$AT$6:$AX$15,4,FALSE),"")</f>
        <v/>
      </c>
      <c r="F1296">
        <f>IFERROR(VLOOKUP(B1296,'Pre-Summary'!$AL$6:$AQ$13,6,FALSE),F1295)</f>
        <v>5.9405263157894746E-2</v>
      </c>
      <c r="G1296" t="str">
        <f>IFERROR(VLOOKUP(B1296,'Pre-Summary'!$AE$6:$AJ$85,3,FALSE),"")</f>
        <v/>
      </c>
      <c r="H1296" t="str">
        <f>IFERROR(VLOOKUP(B1296,'Pre-Summary'!$AE$6:$AJ$85,4,FALSE),"")</f>
        <v/>
      </c>
      <c r="I1296" t="str">
        <f>IFERROR(VLOOKUP(B1296,'Pre-Summary'!$AE$6:$AJ$85,5,FALSE),"")</f>
        <v/>
      </c>
      <c r="J1296" s="45" t="str">
        <f>IFERROR(VLOOKUP(B1296,'Pre-Summary'!$AE$6:$AJ$85,6, FALSE),"")</f>
        <v/>
      </c>
      <c r="K1296" s="45" t="str">
        <f>IFERROR(VLOOKUP(B1296,'Pre-Summary'!$DE$6:$DG$61,3,FALSE),"")</f>
        <v/>
      </c>
      <c r="L1296" s="45" t="str">
        <f>IFERROR(VLOOKUP(B1296,'Pre-Summary'!$CU$6:$CW$36,3,FALSE),"")</f>
        <v/>
      </c>
      <c r="M1296" s="45" t="str">
        <f>IFERROR(VLOOKUP(B1296,'Pre-Summary'!$BW$6:$BY$58,2,FALSE),"")</f>
        <v/>
      </c>
      <c r="N1296" s="45" t="str">
        <f>IFERROR(VLOOKUP(B1296,'Pre-Summary'!$CD$6:$CF$64,2,FALSE),"")</f>
        <v/>
      </c>
      <c r="O1296" s="99">
        <f>IFERROR(VLOOKUP(B1296,'Pre-Summary'!$BO$6:$BQ$48,3, FALSE),O1295)</f>
        <v>1.2</v>
      </c>
      <c r="P1296" s="99">
        <f>IFERROR(VLOOKUP(B1296,'Pre-Summary'!$BS$6:$BU$35,3,FALSE),P1295)</f>
        <v>0.3</v>
      </c>
      <c r="Q1296" s="54">
        <f t="shared" si="60"/>
        <v>4</v>
      </c>
      <c r="R1296" s="53">
        <f>IFERROR(VLOOKUP(B1296,'Pre-Summary'!$BG$6:$BM$44,7,FALSE),R1297)</f>
        <v>8.2734025573422298E-2</v>
      </c>
      <c r="S1296" s="53">
        <f>IFERROR(VLOOKUP(B1296,'Pre-Summary'!$BG$6:$BM$44,6,FALSE),S1297)</f>
        <v>7.7866004962824142E-2</v>
      </c>
      <c r="T1296" s="45" t="str">
        <f>IFERROR(VLOOKUP(B1296,'Pre-Summary'!$Y$6:$AC$83, 3,FALSE),"")</f>
        <v/>
      </c>
      <c r="U1296" s="45" t="str">
        <f>IFERROR(VLOOKUP(B1296,'Pre-Summary'!$Y$6:$AC$83, 4,FALSE),"")</f>
        <v/>
      </c>
      <c r="V1296" t="str">
        <f>IFERROR(VLOOKUP(B1296,'Pre-Summary'!$Y$6:$AC$83, 5,FALSE),"")</f>
        <v/>
      </c>
      <c r="W1296" s="45" t="str">
        <f>IFERROR(VLOOKUP(B1296,'Pre-Summary'!$Y$6:$AD$83,6,FALSE),"")</f>
        <v/>
      </c>
      <c r="X1296" t="str">
        <f>IFERROR(VLOOKUP('Pre-Summary'!$DB$6:$DD$63,3,FALSE),"")</f>
        <v/>
      </c>
      <c r="Y1296" t="str">
        <f>IFERROR(VLOOKUP(B1296,'Pre-Summary'!$CR$6:$CT$36,3,FALSE),"")</f>
        <v/>
      </c>
      <c r="Z1296" s="45" t="str">
        <f>IFERROR(VLOOKUP(B1296,'Pre-Summary'!$BZ$6:$CB$63,2,FALSE),"")</f>
        <v/>
      </c>
      <c r="AA1296" s="45" t="str">
        <f>IFERROR(VLOOKUP(B1296,'Pre-Summary'!$CG$6:$CI$70,2,FALSE),"")</f>
        <v/>
      </c>
      <c r="AB1296" s="99">
        <f>IFERROR(VLOOKUP(B1296,'Pre-Summary'!$A$6:$P$178,9,FALSE),AB1297)</f>
        <v>0.29951034906156815</v>
      </c>
      <c r="AC1296" s="10">
        <f>IFERROR(VLOOKUP(Summary!B1296,'Pre-Summary'!$A$6:$P$184,5, FALSE)/100,AC1297)</f>
        <v>0.87194233333333326</v>
      </c>
      <c r="AD1296" s="10">
        <f>IFERROR(VLOOKUP(Summary!B1296,'Pre-Summary'!$A$6:$P$184,3, FALSE)/100,AD1297)</f>
        <v>0.11797166666666667</v>
      </c>
      <c r="AE1296" s="10">
        <f>IFERROR(VLOOKUP(Summary!B1296,'Pre-Summary'!$A$6:$P$184,7, FALSE)/100,AE1297)</f>
        <v>1.0085666666666666E-2</v>
      </c>
      <c r="AF1296" s="99">
        <f t="shared" si="61"/>
        <v>3.5333735062708295E-2</v>
      </c>
      <c r="AG1296" s="99">
        <f t="shared" si="62"/>
        <v>3.0207615438519559E-3</v>
      </c>
      <c r="AH1296" s="10" t="str">
        <f>IFERROR(VLOOKUP(B1296,'Pre-Summary'!$AZ$6:$BE$65,3,FALSE),"")</f>
        <v/>
      </c>
      <c r="AI1296" s="10" t="str">
        <f>IFERROR(VLOOKUP(B1296,'Pre-Summary'!$AZ$6:$BE$65,5,FALSE),"")</f>
        <v/>
      </c>
      <c r="AJ1296" s="10" t="str">
        <f>IFERROR(VLOOKUP(B1296,'Pre-Summary'!$AZ$6:$BE$65,4,FALSE),"")</f>
        <v/>
      </c>
      <c r="AK1296" s="10" t="str">
        <f>IFERROR(VLOOKUP(B1296,'Pre-Summary'!$AZ$6:$BE$65,6,FALSE),"")</f>
        <v/>
      </c>
      <c r="AL1296" s="10" t="str">
        <f>IFERROR(VLOOKUP(B1296,'Pre-Summary'!$BG$6:$BL$44,3,FALSE),"")</f>
        <v/>
      </c>
      <c r="AM1296" s="10" t="str">
        <f>IFERROR(VLOOKUP(B1296,'Pre-Summary'!$BG$6:$BL$44,4,FALSE),"")</f>
        <v/>
      </c>
    </row>
    <row r="1297" spans="2:39" ht="15" customHeight="1" x14ac:dyDescent="0.3">
      <c r="B1297">
        <v>129.4</v>
      </c>
      <c r="C1297" t="str">
        <f>IFERROR(VLOOKUP(B1297,'Pre-Summary'!$DI$6:$DM$23,4,FALSE),"")</f>
        <v/>
      </c>
      <c r="D1297" s="10" t="str">
        <f>IFERROR(VLOOKUP(B1297,'Pre-Summary'!$AT$6:$AX$14,5,FALSE),D1296)</f>
        <v>Speece: put in Speece media + EDTA + cysteine + vitamins as in DSMZ 120</v>
      </c>
      <c r="E1297" s="10" t="str">
        <f>IFERROR(VLOOKUP(B1297,'Pre-Summary'!$AT$6:$AX$15,4,FALSE),"")</f>
        <v/>
      </c>
      <c r="F1297">
        <f>IFERROR(VLOOKUP(B1297,'Pre-Summary'!$AL$6:$AQ$13,6,FALSE),F1296)</f>
        <v>5.9405263157894746E-2</v>
      </c>
      <c r="G1297" t="str">
        <f>IFERROR(VLOOKUP(B1297,'Pre-Summary'!$AE$6:$AJ$85,3,FALSE),"")</f>
        <v/>
      </c>
      <c r="H1297" t="str">
        <f>IFERROR(VLOOKUP(B1297,'Pre-Summary'!$AE$6:$AJ$85,4,FALSE),"")</f>
        <v/>
      </c>
      <c r="I1297" t="str">
        <f>IFERROR(VLOOKUP(B1297,'Pre-Summary'!$AE$6:$AJ$85,5,FALSE),"")</f>
        <v/>
      </c>
      <c r="J1297" s="45" t="str">
        <f>IFERROR(VLOOKUP(B1297,'Pre-Summary'!$AE$6:$AJ$85,6, FALSE),"")</f>
        <v/>
      </c>
      <c r="K1297" s="45" t="str">
        <f>IFERROR(VLOOKUP(B1297,'Pre-Summary'!$DE$6:$DG$61,3,FALSE),"")</f>
        <v/>
      </c>
      <c r="L1297" s="45" t="str">
        <f>IFERROR(VLOOKUP(B1297,'Pre-Summary'!$CU$6:$CW$36,3,FALSE),"")</f>
        <v/>
      </c>
      <c r="M1297" s="45" t="str">
        <f>IFERROR(VLOOKUP(B1297,'Pre-Summary'!$BW$6:$BY$58,2,FALSE),"")</f>
        <v/>
      </c>
      <c r="N1297" s="45" t="str">
        <f>IFERROR(VLOOKUP(B1297,'Pre-Summary'!$CD$6:$CF$64,2,FALSE),"")</f>
        <v/>
      </c>
      <c r="O1297" s="99">
        <f>IFERROR(VLOOKUP(B1297,'Pre-Summary'!$BO$6:$BQ$48,3, FALSE),O1296)</f>
        <v>1.2</v>
      </c>
      <c r="P1297" s="99">
        <f>IFERROR(VLOOKUP(B1297,'Pre-Summary'!$BS$6:$BU$35,3,FALSE),P1296)</f>
        <v>0.3</v>
      </c>
      <c r="Q1297" s="54">
        <f t="shared" si="60"/>
        <v>4</v>
      </c>
      <c r="R1297" s="53">
        <f>IFERROR(VLOOKUP(B1297,'Pre-Summary'!$BG$6:$BM$44,7,FALSE),R1298)</f>
        <v>8.2734025573422298E-2</v>
      </c>
      <c r="S1297" s="53">
        <f>IFERROR(VLOOKUP(B1297,'Pre-Summary'!$BG$6:$BM$44,6,FALSE),S1298)</f>
        <v>7.7866004962824142E-2</v>
      </c>
      <c r="T1297" s="45" t="str">
        <f>IFERROR(VLOOKUP(B1297,'Pre-Summary'!$Y$6:$AC$83, 3,FALSE),"")</f>
        <v/>
      </c>
      <c r="U1297" s="45" t="str">
        <f>IFERROR(VLOOKUP(B1297,'Pre-Summary'!$Y$6:$AC$83, 4,FALSE),"")</f>
        <v/>
      </c>
      <c r="V1297" t="str">
        <f>IFERROR(VLOOKUP(B1297,'Pre-Summary'!$Y$6:$AC$83, 5,FALSE),"")</f>
        <v/>
      </c>
      <c r="W1297" s="45" t="str">
        <f>IFERROR(VLOOKUP(B1297,'Pre-Summary'!$Y$6:$AD$83,6,FALSE),"")</f>
        <v/>
      </c>
      <c r="X1297" t="str">
        <f>IFERROR(VLOOKUP('Pre-Summary'!$DB$6:$DD$63,3,FALSE),"")</f>
        <v/>
      </c>
      <c r="Y1297" t="str">
        <f>IFERROR(VLOOKUP(B1297,'Pre-Summary'!$CR$6:$CT$36,3,FALSE),"")</f>
        <v/>
      </c>
      <c r="Z1297" s="45" t="str">
        <f>IFERROR(VLOOKUP(B1297,'Pre-Summary'!$BZ$6:$CB$63,2,FALSE),"")</f>
        <v/>
      </c>
      <c r="AA1297" s="45" t="str">
        <f>IFERROR(VLOOKUP(B1297,'Pre-Summary'!$CG$6:$CI$70,2,FALSE),"")</f>
        <v/>
      </c>
      <c r="AB1297" s="99">
        <f>IFERROR(VLOOKUP(B1297,'Pre-Summary'!$A$6:$P$178,9,FALSE),AB1298)</f>
        <v>0.29951034906156815</v>
      </c>
      <c r="AC1297" s="10">
        <f>IFERROR(VLOOKUP(Summary!B1297,'Pre-Summary'!$A$6:$P$184,5, FALSE)/100,AC1298)</f>
        <v>0.87194233333333326</v>
      </c>
      <c r="AD1297" s="10">
        <f>IFERROR(VLOOKUP(Summary!B1297,'Pre-Summary'!$A$6:$P$184,3, FALSE)/100,AD1298)</f>
        <v>0.11797166666666667</v>
      </c>
      <c r="AE1297" s="10">
        <f>IFERROR(VLOOKUP(Summary!B1297,'Pre-Summary'!$A$6:$P$184,7, FALSE)/100,AE1298)</f>
        <v>1.0085666666666666E-2</v>
      </c>
      <c r="AF1297" s="99">
        <f t="shared" si="61"/>
        <v>3.5333735062708295E-2</v>
      </c>
      <c r="AG1297" s="99">
        <f t="shared" si="62"/>
        <v>3.0207615438519559E-3</v>
      </c>
      <c r="AH1297" s="10" t="str">
        <f>IFERROR(VLOOKUP(B1297,'Pre-Summary'!$AZ$6:$BE$65,3,FALSE),"")</f>
        <v/>
      </c>
      <c r="AI1297" s="10" t="str">
        <f>IFERROR(VLOOKUP(B1297,'Pre-Summary'!$AZ$6:$BE$65,5,FALSE),"")</f>
        <v/>
      </c>
      <c r="AJ1297" s="10" t="str">
        <f>IFERROR(VLOOKUP(B1297,'Pre-Summary'!$AZ$6:$BE$65,4,FALSE),"")</f>
        <v/>
      </c>
      <c r="AK1297" s="10" t="str">
        <f>IFERROR(VLOOKUP(B1297,'Pre-Summary'!$AZ$6:$BE$65,6,FALSE),"")</f>
        <v/>
      </c>
      <c r="AL1297" s="10" t="str">
        <f>IFERROR(VLOOKUP(B1297,'Pre-Summary'!$BG$6:$BL$44,3,FALSE),"")</f>
        <v/>
      </c>
      <c r="AM1297" s="10" t="str">
        <f>IFERROR(VLOOKUP(B1297,'Pre-Summary'!$BG$6:$BL$44,4,FALSE),"")</f>
        <v/>
      </c>
    </row>
    <row r="1298" spans="2:39" ht="15" customHeight="1" x14ac:dyDescent="0.3">
      <c r="B1298">
        <v>129.5</v>
      </c>
      <c r="C1298" t="str">
        <f>IFERROR(VLOOKUP(B1298,'Pre-Summary'!$DI$6:$DM$23,4,FALSE),"")</f>
        <v/>
      </c>
      <c r="D1298" s="10" t="str">
        <f>IFERROR(VLOOKUP(B1298,'Pre-Summary'!$AT$6:$AX$14,5,FALSE),D1297)</f>
        <v>Speece: put in Speece media + EDTA + cysteine + vitamins as in DSMZ 120</v>
      </c>
      <c r="E1298" s="10" t="str">
        <f>IFERROR(VLOOKUP(B1298,'Pre-Summary'!$AT$6:$AX$15,4,FALSE),"")</f>
        <v/>
      </c>
      <c r="F1298">
        <f>IFERROR(VLOOKUP(B1298,'Pre-Summary'!$AL$6:$AQ$13,6,FALSE),F1297)</f>
        <v>5.9405263157894746E-2</v>
      </c>
      <c r="G1298" t="str">
        <f>IFERROR(VLOOKUP(B1298,'Pre-Summary'!$AE$6:$AJ$85,3,FALSE),"")</f>
        <v/>
      </c>
      <c r="H1298" t="str">
        <f>IFERROR(VLOOKUP(B1298,'Pre-Summary'!$AE$6:$AJ$85,4,FALSE),"")</f>
        <v/>
      </c>
      <c r="I1298" t="str">
        <f>IFERROR(VLOOKUP(B1298,'Pre-Summary'!$AE$6:$AJ$85,5,FALSE),"")</f>
        <v/>
      </c>
      <c r="J1298" s="45" t="str">
        <f>IFERROR(VLOOKUP(B1298,'Pre-Summary'!$AE$6:$AJ$85,6, FALSE),"")</f>
        <v/>
      </c>
      <c r="K1298" s="45" t="str">
        <f>IFERROR(VLOOKUP(B1298,'Pre-Summary'!$DE$6:$DG$61,3,FALSE),"")</f>
        <v/>
      </c>
      <c r="L1298" s="45" t="str">
        <f>IFERROR(VLOOKUP(B1298,'Pre-Summary'!$CU$6:$CW$36,3,FALSE),"")</f>
        <v/>
      </c>
      <c r="M1298" s="45" t="str">
        <f>IFERROR(VLOOKUP(B1298,'Pre-Summary'!$BW$6:$BY$58,2,FALSE),"")</f>
        <v/>
      </c>
      <c r="N1298" s="45" t="str">
        <f>IFERROR(VLOOKUP(B1298,'Pre-Summary'!$CD$6:$CF$64,2,FALSE),"")</f>
        <v/>
      </c>
      <c r="O1298" s="99">
        <f>IFERROR(VLOOKUP(B1298,'Pre-Summary'!$BO$6:$BQ$48,3, FALSE),O1297)</f>
        <v>1.2</v>
      </c>
      <c r="P1298" s="99">
        <f>IFERROR(VLOOKUP(B1298,'Pre-Summary'!$BS$6:$BU$35,3,FALSE),P1297)</f>
        <v>0.3</v>
      </c>
      <c r="Q1298" s="54">
        <f t="shared" si="60"/>
        <v>4</v>
      </c>
      <c r="R1298" s="53">
        <f>IFERROR(VLOOKUP(B1298,'Pre-Summary'!$BG$6:$BM$44,7,FALSE),R1299)</f>
        <v>8.2734025573422298E-2</v>
      </c>
      <c r="S1298" s="53">
        <f>IFERROR(VLOOKUP(B1298,'Pre-Summary'!$BG$6:$BM$44,6,FALSE),S1299)</f>
        <v>7.7866004962824142E-2</v>
      </c>
      <c r="T1298" s="45" t="str">
        <f>IFERROR(VLOOKUP(B1298,'Pre-Summary'!$Y$6:$AC$83, 3,FALSE),"")</f>
        <v/>
      </c>
      <c r="U1298" s="45" t="str">
        <f>IFERROR(VLOOKUP(B1298,'Pre-Summary'!$Y$6:$AC$83, 4,FALSE),"")</f>
        <v/>
      </c>
      <c r="V1298" t="str">
        <f>IFERROR(VLOOKUP(B1298,'Pre-Summary'!$Y$6:$AC$83, 5,FALSE),"")</f>
        <v/>
      </c>
      <c r="W1298" s="45" t="str">
        <f>IFERROR(VLOOKUP(B1298,'Pre-Summary'!$Y$6:$AD$83,6,FALSE),"")</f>
        <v/>
      </c>
      <c r="X1298" t="str">
        <f>IFERROR(VLOOKUP('Pre-Summary'!$DB$6:$DD$63,3,FALSE),"")</f>
        <v/>
      </c>
      <c r="Y1298" t="str">
        <f>IFERROR(VLOOKUP(B1298,'Pre-Summary'!$CR$6:$CT$36,3,FALSE),"")</f>
        <v/>
      </c>
      <c r="Z1298" s="45" t="str">
        <f>IFERROR(VLOOKUP(B1298,'Pre-Summary'!$BZ$6:$CB$63,2,FALSE),"")</f>
        <v/>
      </c>
      <c r="AA1298" s="45" t="str">
        <f>IFERROR(VLOOKUP(B1298,'Pre-Summary'!$CG$6:$CI$70,2,FALSE),"")</f>
        <v/>
      </c>
      <c r="AB1298" s="99">
        <f>IFERROR(VLOOKUP(B1298,'Pre-Summary'!$A$6:$P$178,9,FALSE),AB1299)</f>
        <v>0.29951034906156815</v>
      </c>
      <c r="AC1298" s="10">
        <f>IFERROR(VLOOKUP(Summary!B1298,'Pre-Summary'!$A$6:$P$184,5, FALSE)/100,AC1299)</f>
        <v>0.87194233333333326</v>
      </c>
      <c r="AD1298" s="10">
        <f>IFERROR(VLOOKUP(Summary!B1298,'Pre-Summary'!$A$6:$P$184,3, FALSE)/100,AD1299)</f>
        <v>0.11797166666666667</v>
      </c>
      <c r="AE1298" s="10">
        <f>IFERROR(VLOOKUP(Summary!B1298,'Pre-Summary'!$A$6:$P$184,7, FALSE)/100,AE1299)</f>
        <v>1.0085666666666666E-2</v>
      </c>
      <c r="AF1298" s="99">
        <f t="shared" si="61"/>
        <v>3.5333735062708295E-2</v>
      </c>
      <c r="AG1298" s="99">
        <f t="shared" si="62"/>
        <v>3.0207615438519559E-3</v>
      </c>
      <c r="AH1298" s="10" t="str">
        <f>IFERROR(VLOOKUP(B1298,'Pre-Summary'!$AZ$6:$BE$65,3,FALSE),"")</f>
        <v/>
      </c>
      <c r="AI1298" s="10" t="str">
        <f>IFERROR(VLOOKUP(B1298,'Pre-Summary'!$AZ$6:$BE$65,5,FALSE),"")</f>
        <v/>
      </c>
      <c r="AJ1298" s="10" t="str">
        <f>IFERROR(VLOOKUP(B1298,'Pre-Summary'!$AZ$6:$BE$65,4,FALSE),"")</f>
        <v/>
      </c>
      <c r="AK1298" s="10" t="str">
        <f>IFERROR(VLOOKUP(B1298,'Pre-Summary'!$AZ$6:$BE$65,6,FALSE),"")</f>
        <v/>
      </c>
      <c r="AL1298" s="10" t="str">
        <f>IFERROR(VLOOKUP(B1298,'Pre-Summary'!$BG$6:$BL$44,3,FALSE),"")</f>
        <v/>
      </c>
      <c r="AM1298" s="10" t="str">
        <f>IFERROR(VLOOKUP(B1298,'Pre-Summary'!$BG$6:$BL$44,4,FALSE),"")</f>
        <v/>
      </c>
    </row>
    <row r="1299" spans="2:39" ht="15" customHeight="1" x14ac:dyDescent="0.3">
      <c r="B1299">
        <v>129.6</v>
      </c>
      <c r="C1299" t="str">
        <f>IFERROR(VLOOKUP(B1299,'Pre-Summary'!$DI$6:$DM$23,4,FALSE),"")</f>
        <v/>
      </c>
      <c r="D1299" s="10" t="str">
        <f>IFERROR(VLOOKUP(B1299,'Pre-Summary'!$AT$6:$AX$14,5,FALSE),D1298)</f>
        <v>Speece: put in Speece media + EDTA + cysteine + vitamins as in DSMZ 120</v>
      </c>
      <c r="E1299" s="10" t="str">
        <f>IFERROR(VLOOKUP(B1299,'Pre-Summary'!$AT$6:$AX$15,4,FALSE),"")</f>
        <v/>
      </c>
      <c r="F1299">
        <f>IFERROR(VLOOKUP(B1299,'Pre-Summary'!$AL$6:$AQ$13,6,FALSE),F1298)</f>
        <v>5.9405263157894746E-2</v>
      </c>
      <c r="G1299" t="str">
        <f>IFERROR(VLOOKUP(B1299,'Pre-Summary'!$AE$6:$AJ$85,3,FALSE),"")</f>
        <v/>
      </c>
      <c r="H1299" t="str">
        <f>IFERROR(VLOOKUP(B1299,'Pre-Summary'!$AE$6:$AJ$85,4,FALSE),"")</f>
        <v/>
      </c>
      <c r="I1299" t="str">
        <f>IFERROR(VLOOKUP(B1299,'Pre-Summary'!$AE$6:$AJ$85,5,FALSE),"")</f>
        <v/>
      </c>
      <c r="J1299" s="45" t="str">
        <f>IFERROR(VLOOKUP(B1299,'Pre-Summary'!$AE$6:$AJ$85,6, FALSE),"")</f>
        <v/>
      </c>
      <c r="K1299" s="45" t="str">
        <f>IFERROR(VLOOKUP(B1299,'Pre-Summary'!$DE$6:$DG$61,3,FALSE),"")</f>
        <v/>
      </c>
      <c r="L1299" s="45" t="str">
        <f>IFERROR(VLOOKUP(B1299,'Pre-Summary'!$CU$6:$CW$36,3,FALSE),"")</f>
        <v/>
      </c>
      <c r="M1299" s="45" t="str">
        <f>IFERROR(VLOOKUP(B1299,'Pre-Summary'!$BW$6:$BY$58,2,FALSE),"")</f>
        <v/>
      </c>
      <c r="N1299" s="45" t="str">
        <f>IFERROR(VLOOKUP(B1299,'Pre-Summary'!$CD$6:$CF$64,2,FALSE),"")</f>
        <v/>
      </c>
      <c r="O1299" s="99">
        <f>IFERROR(VLOOKUP(B1299,'Pre-Summary'!$BO$6:$BQ$48,3, FALSE),O1298)</f>
        <v>1.2</v>
      </c>
      <c r="P1299" s="99">
        <f>IFERROR(VLOOKUP(B1299,'Pre-Summary'!$BS$6:$BU$35,3,FALSE),P1298)</f>
        <v>0.3</v>
      </c>
      <c r="Q1299" s="54">
        <f t="shared" si="60"/>
        <v>4</v>
      </c>
      <c r="R1299" s="53">
        <f>IFERROR(VLOOKUP(B1299,'Pre-Summary'!$BG$6:$BM$44,7,FALSE),R1300)</f>
        <v>8.2734025573422298E-2</v>
      </c>
      <c r="S1299" s="53">
        <f>IFERROR(VLOOKUP(B1299,'Pre-Summary'!$BG$6:$BM$44,6,FALSE),S1300)</f>
        <v>7.7866004962824142E-2</v>
      </c>
      <c r="T1299" s="45" t="str">
        <f>IFERROR(VLOOKUP(B1299,'Pre-Summary'!$Y$6:$AC$83, 3,FALSE),"")</f>
        <v/>
      </c>
      <c r="U1299" s="45" t="str">
        <f>IFERROR(VLOOKUP(B1299,'Pre-Summary'!$Y$6:$AC$83, 4,FALSE),"")</f>
        <v/>
      </c>
      <c r="V1299" t="str">
        <f>IFERROR(VLOOKUP(B1299,'Pre-Summary'!$Y$6:$AC$83, 5,FALSE),"")</f>
        <v/>
      </c>
      <c r="W1299" s="45" t="str">
        <f>IFERROR(VLOOKUP(B1299,'Pre-Summary'!$Y$6:$AD$83,6,FALSE),"")</f>
        <v/>
      </c>
      <c r="X1299" t="str">
        <f>IFERROR(VLOOKUP('Pre-Summary'!$DB$6:$DD$63,3,FALSE),"")</f>
        <v/>
      </c>
      <c r="Y1299" t="str">
        <f>IFERROR(VLOOKUP(B1299,'Pre-Summary'!$CR$6:$CT$36,3,FALSE),"")</f>
        <v/>
      </c>
      <c r="Z1299" s="45" t="str">
        <f>IFERROR(VLOOKUP(B1299,'Pre-Summary'!$BZ$6:$CB$63,2,FALSE),"")</f>
        <v/>
      </c>
      <c r="AA1299" s="45" t="str">
        <f>IFERROR(VLOOKUP(B1299,'Pre-Summary'!$CG$6:$CI$70,2,FALSE),"")</f>
        <v/>
      </c>
      <c r="AB1299" s="99">
        <f>IFERROR(VLOOKUP(B1299,'Pre-Summary'!$A$6:$P$178,9,FALSE),AB1300)</f>
        <v>0.29951034906156815</v>
      </c>
      <c r="AC1299" s="10">
        <f>IFERROR(VLOOKUP(Summary!B1299,'Pre-Summary'!$A$6:$P$184,5, FALSE)/100,AC1300)</f>
        <v>0.87194233333333326</v>
      </c>
      <c r="AD1299" s="10">
        <f>IFERROR(VLOOKUP(Summary!B1299,'Pre-Summary'!$A$6:$P$184,3, FALSE)/100,AD1300)</f>
        <v>0.11797166666666667</v>
      </c>
      <c r="AE1299" s="10">
        <f>IFERROR(VLOOKUP(Summary!B1299,'Pre-Summary'!$A$6:$P$184,7, FALSE)/100,AE1300)</f>
        <v>1.0085666666666666E-2</v>
      </c>
      <c r="AF1299" s="99">
        <f t="shared" si="61"/>
        <v>3.5333735062708295E-2</v>
      </c>
      <c r="AG1299" s="99">
        <f t="shared" si="62"/>
        <v>3.0207615438519559E-3</v>
      </c>
      <c r="AH1299" s="10" t="str">
        <f>IFERROR(VLOOKUP(B1299,'Pre-Summary'!$AZ$6:$BE$65,3,FALSE),"")</f>
        <v/>
      </c>
      <c r="AI1299" s="10" t="str">
        <f>IFERROR(VLOOKUP(B1299,'Pre-Summary'!$AZ$6:$BE$65,5,FALSE),"")</f>
        <v/>
      </c>
      <c r="AJ1299" s="10" t="str">
        <f>IFERROR(VLOOKUP(B1299,'Pre-Summary'!$AZ$6:$BE$65,4,FALSE),"")</f>
        <v/>
      </c>
      <c r="AK1299" s="10" t="str">
        <f>IFERROR(VLOOKUP(B1299,'Pre-Summary'!$AZ$6:$BE$65,6,FALSE),"")</f>
        <v/>
      </c>
      <c r="AL1299" s="10" t="str">
        <f>IFERROR(VLOOKUP(B1299,'Pre-Summary'!$BG$6:$BL$44,3,FALSE),"")</f>
        <v/>
      </c>
      <c r="AM1299" s="10" t="str">
        <f>IFERROR(VLOOKUP(B1299,'Pre-Summary'!$BG$6:$BL$44,4,FALSE),"")</f>
        <v/>
      </c>
    </row>
    <row r="1300" spans="2:39" ht="15" customHeight="1" x14ac:dyDescent="0.3">
      <c r="B1300">
        <v>129.69999999999999</v>
      </c>
      <c r="C1300" t="str">
        <f>IFERROR(VLOOKUP(B1300,'Pre-Summary'!$DI$6:$DM$23,4,FALSE),"")</f>
        <v/>
      </c>
      <c r="D1300" s="10" t="str">
        <f>IFERROR(VLOOKUP(B1300,'Pre-Summary'!$AT$6:$AX$14,5,FALSE),D1299)</f>
        <v>Speece: put in Speece media + EDTA + cysteine + vitamins as in DSMZ 120</v>
      </c>
      <c r="E1300" s="10" t="str">
        <f>IFERROR(VLOOKUP(B1300,'Pre-Summary'!$AT$6:$AX$15,4,FALSE),"")</f>
        <v/>
      </c>
      <c r="F1300">
        <f>IFERROR(VLOOKUP(B1300,'Pre-Summary'!$AL$6:$AQ$13,6,FALSE),F1299)</f>
        <v>5.9405263157894746E-2</v>
      </c>
      <c r="G1300" t="str">
        <f>IFERROR(VLOOKUP(B1300,'Pre-Summary'!$AE$6:$AJ$85,3,FALSE),"")</f>
        <v/>
      </c>
      <c r="H1300" t="str">
        <f>IFERROR(VLOOKUP(B1300,'Pre-Summary'!$AE$6:$AJ$85,4,FALSE),"")</f>
        <v/>
      </c>
      <c r="I1300" t="str">
        <f>IFERROR(VLOOKUP(B1300,'Pre-Summary'!$AE$6:$AJ$85,5,FALSE),"")</f>
        <v/>
      </c>
      <c r="J1300" s="45" t="str">
        <f>IFERROR(VLOOKUP(B1300,'Pre-Summary'!$AE$6:$AJ$85,6, FALSE),"")</f>
        <v/>
      </c>
      <c r="K1300" s="45" t="str">
        <f>IFERROR(VLOOKUP(B1300,'Pre-Summary'!$DE$6:$DG$61,3,FALSE),"")</f>
        <v/>
      </c>
      <c r="L1300" s="45" t="str">
        <f>IFERROR(VLOOKUP(B1300,'Pre-Summary'!$CU$6:$CW$36,3,FALSE),"")</f>
        <v/>
      </c>
      <c r="M1300" s="45" t="str">
        <f>IFERROR(VLOOKUP(B1300,'Pre-Summary'!$BW$6:$BY$58,2,FALSE),"")</f>
        <v/>
      </c>
      <c r="N1300" s="45" t="str">
        <f>IFERROR(VLOOKUP(B1300,'Pre-Summary'!$CD$6:$CF$64,2,FALSE),"")</f>
        <v/>
      </c>
      <c r="O1300" s="99">
        <f>IFERROR(VLOOKUP(B1300,'Pre-Summary'!$BO$6:$BQ$48,3, FALSE),O1299)</f>
        <v>1.2</v>
      </c>
      <c r="P1300" s="99">
        <f>IFERROR(VLOOKUP(B1300,'Pre-Summary'!$BS$6:$BU$35,3,FALSE),P1299)</f>
        <v>0.3</v>
      </c>
      <c r="Q1300" s="54">
        <f t="shared" si="60"/>
        <v>4</v>
      </c>
      <c r="R1300" s="53">
        <f>IFERROR(VLOOKUP(B1300,'Pre-Summary'!$BG$6:$BM$44,7,FALSE),R1301)</f>
        <v>8.2734025573422298E-2</v>
      </c>
      <c r="S1300" s="53">
        <f>IFERROR(VLOOKUP(B1300,'Pre-Summary'!$BG$6:$BM$44,6,FALSE),S1301)</f>
        <v>7.7866004962824142E-2</v>
      </c>
      <c r="T1300" s="45" t="str">
        <f>IFERROR(VLOOKUP(B1300,'Pre-Summary'!$Y$6:$AC$83, 3,FALSE),"")</f>
        <v/>
      </c>
      <c r="U1300" s="45" t="str">
        <f>IFERROR(VLOOKUP(B1300,'Pre-Summary'!$Y$6:$AC$83, 4,FALSE),"")</f>
        <v/>
      </c>
      <c r="V1300" t="str">
        <f>IFERROR(VLOOKUP(B1300,'Pre-Summary'!$Y$6:$AC$83, 5,FALSE),"")</f>
        <v/>
      </c>
      <c r="W1300" s="45" t="str">
        <f>IFERROR(VLOOKUP(B1300,'Pre-Summary'!$Y$6:$AD$83,6,FALSE),"")</f>
        <v/>
      </c>
      <c r="X1300" t="str">
        <f>IFERROR(VLOOKUP('Pre-Summary'!$DB$6:$DD$63,3,FALSE),"")</f>
        <v/>
      </c>
      <c r="Y1300" t="str">
        <f>IFERROR(VLOOKUP(B1300,'Pre-Summary'!$CR$6:$CT$36,3,FALSE),"")</f>
        <v/>
      </c>
      <c r="Z1300" s="45" t="str">
        <f>IFERROR(VLOOKUP(B1300,'Pre-Summary'!$BZ$6:$CB$63,2,FALSE),"")</f>
        <v/>
      </c>
      <c r="AA1300" s="45" t="str">
        <f>IFERROR(VLOOKUP(B1300,'Pre-Summary'!$CG$6:$CI$70,2,FALSE),"")</f>
        <v/>
      </c>
      <c r="AB1300" s="99">
        <f>IFERROR(VLOOKUP(B1300,'Pre-Summary'!$A$6:$P$178,9,FALSE),AB1301)</f>
        <v>0.29951034906156815</v>
      </c>
      <c r="AC1300" s="10">
        <f>IFERROR(VLOOKUP(Summary!B1300,'Pre-Summary'!$A$6:$P$184,5, FALSE)/100,AC1301)</f>
        <v>0.87194233333333326</v>
      </c>
      <c r="AD1300" s="10">
        <f>IFERROR(VLOOKUP(Summary!B1300,'Pre-Summary'!$A$6:$P$184,3, FALSE)/100,AD1301)</f>
        <v>0.11797166666666667</v>
      </c>
      <c r="AE1300" s="10">
        <f>IFERROR(VLOOKUP(Summary!B1300,'Pre-Summary'!$A$6:$P$184,7, FALSE)/100,AE1301)</f>
        <v>1.0085666666666666E-2</v>
      </c>
      <c r="AF1300" s="99">
        <f t="shared" si="61"/>
        <v>3.5333735062708295E-2</v>
      </c>
      <c r="AG1300" s="99">
        <f t="shared" si="62"/>
        <v>3.0207615438519559E-3</v>
      </c>
      <c r="AH1300" s="10" t="str">
        <f>IFERROR(VLOOKUP(B1300,'Pre-Summary'!$AZ$6:$BE$65,3,FALSE),"")</f>
        <v/>
      </c>
      <c r="AI1300" s="10" t="str">
        <f>IFERROR(VLOOKUP(B1300,'Pre-Summary'!$AZ$6:$BE$65,5,FALSE),"")</f>
        <v/>
      </c>
      <c r="AJ1300" s="10" t="str">
        <f>IFERROR(VLOOKUP(B1300,'Pre-Summary'!$AZ$6:$BE$65,4,FALSE),"")</f>
        <v/>
      </c>
      <c r="AK1300" s="10" t="str">
        <f>IFERROR(VLOOKUP(B1300,'Pre-Summary'!$AZ$6:$BE$65,6,FALSE),"")</f>
        <v/>
      </c>
      <c r="AL1300" s="10" t="str">
        <f>IFERROR(VLOOKUP(B1300,'Pre-Summary'!$BG$6:$BL$44,3,FALSE),"")</f>
        <v/>
      </c>
      <c r="AM1300" s="10" t="str">
        <f>IFERROR(VLOOKUP(B1300,'Pre-Summary'!$BG$6:$BL$44,4,FALSE),"")</f>
        <v/>
      </c>
    </row>
    <row r="1301" spans="2:39" ht="15" customHeight="1" x14ac:dyDescent="0.3">
      <c r="B1301">
        <v>129.80000000000001</v>
      </c>
      <c r="C1301" t="str">
        <f>IFERROR(VLOOKUP(B1301,'Pre-Summary'!$DI$6:$DM$23,4,FALSE),"")</f>
        <v/>
      </c>
      <c r="D1301" s="10" t="str">
        <f>IFERROR(VLOOKUP(B1301,'Pre-Summary'!$AT$6:$AX$14,5,FALSE),D1300)</f>
        <v>Speece: put in Speece media + EDTA + cysteine + vitamins as in DSMZ 120</v>
      </c>
      <c r="E1301" s="10" t="str">
        <f>IFERROR(VLOOKUP(B1301,'Pre-Summary'!$AT$6:$AX$15,4,FALSE),"")</f>
        <v/>
      </c>
      <c r="F1301">
        <f>IFERROR(VLOOKUP(B1301,'Pre-Summary'!$AL$6:$AQ$13,6,FALSE),F1300)</f>
        <v>5.9405263157894746E-2</v>
      </c>
      <c r="G1301" t="str">
        <f>IFERROR(VLOOKUP(B1301,'Pre-Summary'!$AE$6:$AJ$85,3,FALSE),"")</f>
        <v/>
      </c>
      <c r="H1301" t="str">
        <f>IFERROR(VLOOKUP(B1301,'Pre-Summary'!$AE$6:$AJ$85,4,FALSE),"")</f>
        <v/>
      </c>
      <c r="I1301" t="str">
        <f>IFERROR(VLOOKUP(B1301,'Pre-Summary'!$AE$6:$AJ$85,5,FALSE),"")</f>
        <v/>
      </c>
      <c r="J1301" s="45" t="str">
        <f>IFERROR(VLOOKUP(B1301,'Pre-Summary'!$AE$6:$AJ$85,6, FALSE),"")</f>
        <v/>
      </c>
      <c r="K1301" s="45" t="str">
        <f>IFERROR(VLOOKUP(B1301,'Pre-Summary'!$DE$6:$DG$61,3,FALSE),"")</f>
        <v/>
      </c>
      <c r="L1301" s="45" t="str">
        <f>IFERROR(VLOOKUP(B1301,'Pre-Summary'!$CU$6:$CW$36,3,FALSE),"")</f>
        <v/>
      </c>
      <c r="M1301" s="45" t="str">
        <f>IFERROR(VLOOKUP(B1301,'Pre-Summary'!$BW$6:$BY$58,2,FALSE),"")</f>
        <v/>
      </c>
      <c r="N1301" s="45" t="str">
        <f>IFERROR(VLOOKUP(B1301,'Pre-Summary'!$CD$6:$CF$64,2,FALSE),"")</f>
        <v/>
      </c>
      <c r="O1301" s="99">
        <f>IFERROR(VLOOKUP(B1301,'Pre-Summary'!$BO$6:$BQ$48,3, FALSE),O1300)</f>
        <v>1.2</v>
      </c>
      <c r="P1301" s="99">
        <f>IFERROR(VLOOKUP(B1301,'Pre-Summary'!$BS$6:$BU$35,3,FALSE),P1300)</f>
        <v>0.3</v>
      </c>
      <c r="Q1301" s="54">
        <f t="shared" si="60"/>
        <v>4</v>
      </c>
      <c r="R1301" s="53">
        <f>IFERROR(VLOOKUP(B1301,'Pre-Summary'!$BG$6:$BM$44,7,FALSE),R1302)</f>
        <v>8.2734025573422298E-2</v>
      </c>
      <c r="S1301" s="53">
        <f>IFERROR(VLOOKUP(B1301,'Pre-Summary'!$BG$6:$BM$44,6,FALSE),S1302)</f>
        <v>7.7866004962824142E-2</v>
      </c>
      <c r="T1301" s="45" t="str">
        <f>IFERROR(VLOOKUP(B1301,'Pre-Summary'!$Y$6:$AC$83, 3,FALSE),"")</f>
        <v/>
      </c>
      <c r="U1301" s="45" t="str">
        <f>IFERROR(VLOOKUP(B1301,'Pre-Summary'!$Y$6:$AC$83, 4,FALSE),"")</f>
        <v/>
      </c>
      <c r="V1301" t="str">
        <f>IFERROR(VLOOKUP(B1301,'Pre-Summary'!$Y$6:$AC$83, 5,FALSE),"")</f>
        <v/>
      </c>
      <c r="W1301" s="45" t="str">
        <f>IFERROR(VLOOKUP(B1301,'Pre-Summary'!$Y$6:$AD$83,6,FALSE),"")</f>
        <v/>
      </c>
      <c r="X1301" t="str">
        <f>IFERROR(VLOOKUP('Pre-Summary'!$DB$6:$DD$63,3,FALSE),"")</f>
        <v/>
      </c>
      <c r="Y1301" t="str">
        <f>IFERROR(VLOOKUP(B1301,'Pre-Summary'!$CR$6:$CT$36,3,FALSE),"")</f>
        <v/>
      </c>
      <c r="Z1301" s="45" t="str">
        <f>IFERROR(VLOOKUP(B1301,'Pre-Summary'!$BZ$6:$CB$63,2,FALSE),"")</f>
        <v/>
      </c>
      <c r="AA1301" s="45" t="str">
        <f>IFERROR(VLOOKUP(B1301,'Pre-Summary'!$CG$6:$CI$70,2,FALSE),"")</f>
        <v/>
      </c>
      <c r="AB1301" s="99">
        <f>IFERROR(VLOOKUP(B1301,'Pre-Summary'!$A$6:$P$178,9,FALSE),AB1302)</f>
        <v>0.29951034906156815</v>
      </c>
      <c r="AC1301" s="10">
        <f>IFERROR(VLOOKUP(Summary!B1301,'Pre-Summary'!$A$6:$P$184,5, FALSE)/100,AC1302)</f>
        <v>0.87194233333333326</v>
      </c>
      <c r="AD1301" s="10">
        <f>IFERROR(VLOOKUP(Summary!B1301,'Pre-Summary'!$A$6:$P$184,3, FALSE)/100,AD1302)</f>
        <v>0.11797166666666667</v>
      </c>
      <c r="AE1301" s="10">
        <f>IFERROR(VLOOKUP(Summary!B1301,'Pre-Summary'!$A$6:$P$184,7, FALSE)/100,AE1302)</f>
        <v>1.0085666666666666E-2</v>
      </c>
      <c r="AF1301" s="99">
        <f t="shared" si="61"/>
        <v>3.5333735062708295E-2</v>
      </c>
      <c r="AG1301" s="99">
        <f t="shared" si="62"/>
        <v>3.0207615438519559E-3</v>
      </c>
      <c r="AH1301" s="10" t="str">
        <f>IFERROR(VLOOKUP(B1301,'Pre-Summary'!$AZ$6:$BE$65,3,FALSE),"")</f>
        <v/>
      </c>
      <c r="AI1301" s="10" t="str">
        <f>IFERROR(VLOOKUP(B1301,'Pre-Summary'!$AZ$6:$BE$65,5,FALSE),"")</f>
        <v/>
      </c>
      <c r="AJ1301" s="10" t="str">
        <f>IFERROR(VLOOKUP(B1301,'Pre-Summary'!$AZ$6:$BE$65,4,FALSE),"")</f>
        <v/>
      </c>
      <c r="AK1301" s="10" t="str">
        <f>IFERROR(VLOOKUP(B1301,'Pre-Summary'!$AZ$6:$BE$65,6,FALSE),"")</f>
        <v/>
      </c>
      <c r="AL1301" s="10" t="str">
        <f>IFERROR(VLOOKUP(B1301,'Pre-Summary'!$BG$6:$BL$44,3,FALSE),"")</f>
        <v/>
      </c>
      <c r="AM1301" s="10" t="str">
        <f>IFERROR(VLOOKUP(B1301,'Pre-Summary'!$BG$6:$BL$44,4,FALSE),"")</f>
        <v/>
      </c>
    </row>
    <row r="1302" spans="2:39" ht="15" customHeight="1" x14ac:dyDescent="0.3">
      <c r="B1302">
        <v>129.9</v>
      </c>
      <c r="C1302" t="str">
        <f>IFERROR(VLOOKUP(B1302,'Pre-Summary'!$DI$6:$DM$23,4,FALSE),"")</f>
        <v/>
      </c>
      <c r="D1302" s="10" t="str">
        <f>IFERROR(VLOOKUP(B1302,'Pre-Summary'!$AT$6:$AX$14,5,FALSE),D1301)</f>
        <v>Speece: put in Speece media + EDTA + cysteine + vitamins as in DSMZ 120</v>
      </c>
      <c r="E1302" s="10" t="str">
        <f>IFERROR(VLOOKUP(B1302,'Pre-Summary'!$AT$6:$AX$15,4,FALSE),"")</f>
        <v/>
      </c>
      <c r="F1302">
        <f>IFERROR(VLOOKUP(B1302,'Pre-Summary'!$AL$6:$AQ$13,6,FALSE),F1301)</f>
        <v>5.9405263157894746E-2</v>
      </c>
      <c r="G1302" t="str">
        <f>IFERROR(VLOOKUP(B1302,'Pre-Summary'!$AE$6:$AJ$85,3,FALSE),"")</f>
        <v/>
      </c>
      <c r="H1302" t="str">
        <f>IFERROR(VLOOKUP(B1302,'Pre-Summary'!$AE$6:$AJ$85,4,FALSE),"")</f>
        <v/>
      </c>
      <c r="I1302" t="str">
        <f>IFERROR(VLOOKUP(B1302,'Pre-Summary'!$AE$6:$AJ$85,5,FALSE),"")</f>
        <v/>
      </c>
      <c r="J1302" s="45" t="str">
        <f>IFERROR(VLOOKUP(B1302,'Pre-Summary'!$AE$6:$AJ$85,6, FALSE),"")</f>
        <v/>
      </c>
      <c r="K1302" s="45" t="str">
        <f>IFERROR(VLOOKUP(B1302,'Pre-Summary'!$DE$6:$DG$61,3,FALSE),"")</f>
        <v/>
      </c>
      <c r="L1302" s="45" t="str">
        <f>IFERROR(VLOOKUP(B1302,'Pre-Summary'!$CU$6:$CW$36,3,FALSE),"")</f>
        <v/>
      </c>
      <c r="M1302" s="45" t="str">
        <f>IFERROR(VLOOKUP(B1302,'Pre-Summary'!$BW$6:$BY$58,2,FALSE),"")</f>
        <v/>
      </c>
      <c r="N1302" s="45" t="str">
        <f>IFERROR(VLOOKUP(B1302,'Pre-Summary'!$CD$6:$CF$64,2,FALSE),"")</f>
        <v/>
      </c>
      <c r="O1302" s="99">
        <f>IFERROR(VLOOKUP(B1302,'Pre-Summary'!$BO$6:$BQ$48,3, FALSE),O1301)</f>
        <v>1.2</v>
      </c>
      <c r="P1302" s="99">
        <f>IFERROR(VLOOKUP(B1302,'Pre-Summary'!$BS$6:$BU$35,3,FALSE),P1301)</f>
        <v>0.3</v>
      </c>
      <c r="Q1302" s="54">
        <f t="shared" si="60"/>
        <v>4</v>
      </c>
      <c r="R1302" s="53">
        <f>IFERROR(VLOOKUP(B1302,'Pre-Summary'!$BG$6:$BM$44,7,FALSE),R1303)</f>
        <v>8.2734025573422298E-2</v>
      </c>
      <c r="S1302" s="53">
        <f>IFERROR(VLOOKUP(B1302,'Pre-Summary'!$BG$6:$BM$44,6,FALSE),S1303)</f>
        <v>7.7866004962824142E-2</v>
      </c>
      <c r="T1302" s="45" t="str">
        <f>IFERROR(VLOOKUP(B1302,'Pre-Summary'!$Y$6:$AC$83, 3,FALSE),"")</f>
        <v/>
      </c>
      <c r="U1302" s="45" t="str">
        <f>IFERROR(VLOOKUP(B1302,'Pre-Summary'!$Y$6:$AC$83, 4,FALSE),"")</f>
        <v/>
      </c>
      <c r="V1302" t="str">
        <f>IFERROR(VLOOKUP(B1302,'Pre-Summary'!$Y$6:$AC$83, 5,FALSE),"")</f>
        <v/>
      </c>
      <c r="W1302" s="45" t="str">
        <f>IFERROR(VLOOKUP(B1302,'Pre-Summary'!$Y$6:$AD$83,6,FALSE),"")</f>
        <v/>
      </c>
      <c r="X1302" t="str">
        <f>IFERROR(VLOOKUP('Pre-Summary'!$DB$6:$DD$63,3,FALSE),"")</f>
        <v/>
      </c>
      <c r="Y1302" t="str">
        <f>IFERROR(VLOOKUP(B1302,'Pre-Summary'!$CR$6:$CT$36,3,FALSE),"")</f>
        <v/>
      </c>
      <c r="Z1302" s="45" t="str">
        <f>IFERROR(VLOOKUP(B1302,'Pre-Summary'!$BZ$6:$CB$63,2,FALSE),"")</f>
        <v/>
      </c>
      <c r="AA1302" s="45" t="str">
        <f>IFERROR(VLOOKUP(B1302,'Pre-Summary'!$CG$6:$CI$70,2,FALSE),"")</f>
        <v/>
      </c>
      <c r="AB1302" s="99">
        <f>IFERROR(VLOOKUP(B1302,'Pre-Summary'!$A$6:$P$178,9,FALSE),AB1303)</f>
        <v>0.29951034906156815</v>
      </c>
      <c r="AC1302" s="10">
        <f>IFERROR(VLOOKUP(Summary!B1302,'Pre-Summary'!$A$6:$P$184,5, FALSE)/100,AC1303)</f>
        <v>0.87194233333333326</v>
      </c>
      <c r="AD1302" s="10">
        <f>IFERROR(VLOOKUP(Summary!B1302,'Pre-Summary'!$A$6:$P$184,3, FALSE)/100,AD1303)</f>
        <v>0.11797166666666667</v>
      </c>
      <c r="AE1302" s="10">
        <f>IFERROR(VLOOKUP(Summary!B1302,'Pre-Summary'!$A$6:$P$184,7, FALSE)/100,AE1303)</f>
        <v>1.0085666666666666E-2</v>
      </c>
      <c r="AF1302" s="99">
        <f t="shared" si="61"/>
        <v>3.5333735062708295E-2</v>
      </c>
      <c r="AG1302" s="99">
        <f t="shared" si="62"/>
        <v>3.0207615438519559E-3</v>
      </c>
      <c r="AH1302" s="10" t="str">
        <f>IFERROR(VLOOKUP(B1302,'Pre-Summary'!$AZ$6:$BE$65,3,FALSE),"")</f>
        <v/>
      </c>
      <c r="AI1302" s="10" t="str">
        <f>IFERROR(VLOOKUP(B1302,'Pre-Summary'!$AZ$6:$BE$65,5,FALSE),"")</f>
        <v/>
      </c>
      <c r="AJ1302" s="10" t="str">
        <f>IFERROR(VLOOKUP(B1302,'Pre-Summary'!$AZ$6:$BE$65,4,FALSE),"")</f>
        <v/>
      </c>
      <c r="AK1302" s="10" t="str">
        <f>IFERROR(VLOOKUP(B1302,'Pre-Summary'!$AZ$6:$BE$65,6,FALSE),"")</f>
        <v/>
      </c>
      <c r="AL1302" s="10" t="str">
        <f>IFERROR(VLOOKUP(B1302,'Pre-Summary'!$BG$6:$BL$44,3,FALSE),"")</f>
        <v/>
      </c>
      <c r="AM1302" s="10" t="str">
        <f>IFERROR(VLOOKUP(B1302,'Pre-Summary'!$BG$6:$BL$44,4,FALSE),"")</f>
        <v/>
      </c>
    </row>
    <row r="1303" spans="2:39" ht="15" customHeight="1" x14ac:dyDescent="0.3">
      <c r="B1303">
        <v>130</v>
      </c>
      <c r="C1303" t="str">
        <f>IFERROR(VLOOKUP(B1303,'Pre-Summary'!$DI$6:$DM$23,4,FALSE),"")</f>
        <v/>
      </c>
      <c r="D1303" s="10" t="str">
        <f>IFERROR(VLOOKUP(B1303,'Pre-Summary'!$AT$6:$AX$14,5,FALSE),D1302)</f>
        <v>Speece: put in Speece media + EDTA + cysteine + vitamins as in DSMZ 120</v>
      </c>
      <c r="E1303" s="10" t="str">
        <f>IFERROR(VLOOKUP(B1303,'Pre-Summary'!$AT$6:$AX$15,4,FALSE),"")</f>
        <v/>
      </c>
      <c r="F1303">
        <f>IFERROR(VLOOKUP(B1303,'Pre-Summary'!$AL$6:$AQ$13,6,FALSE),F1302)</f>
        <v>5.9405263157894746E-2</v>
      </c>
      <c r="G1303" t="str">
        <f>IFERROR(VLOOKUP(B1303,'Pre-Summary'!$AE$6:$AJ$85,3,FALSE),"")</f>
        <v/>
      </c>
      <c r="H1303" t="str">
        <f>IFERROR(VLOOKUP(B1303,'Pre-Summary'!$AE$6:$AJ$85,4,FALSE),"")</f>
        <v/>
      </c>
      <c r="I1303" t="str">
        <f>IFERROR(VLOOKUP(B1303,'Pre-Summary'!$AE$6:$AJ$85,5,FALSE),"")</f>
        <v/>
      </c>
      <c r="J1303" s="45" t="str">
        <f>IFERROR(VLOOKUP(B1303,'Pre-Summary'!$AE$6:$AJ$85,6, FALSE),"")</f>
        <v/>
      </c>
      <c r="K1303" s="45" t="str">
        <f>IFERROR(VLOOKUP(B1303,'Pre-Summary'!$DE$6:$DG$61,3,FALSE),"")</f>
        <v/>
      </c>
      <c r="L1303" s="45" t="str">
        <f>IFERROR(VLOOKUP(B1303,'Pre-Summary'!$CU$6:$CW$36,3,FALSE),"")</f>
        <v/>
      </c>
      <c r="M1303" s="45" t="str">
        <f>IFERROR(VLOOKUP(B1303,'Pre-Summary'!$BW$6:$BY$58,2,FALSE),"")</f>
        <v/>
      </c>
      <c r="N1303" s="45" t="str">
        <f>IFERROR(VLOOKUP(B1303,'Pre-Summary'!$CD$6:$CF$64,2,FALSE),"")</f>
        <v/>
      </c>
      <c r="O1303" s="99">
        <f>IFERROR(VLOOKUP(B1303,'Pre-Summary'!$BO$6:$BQ$48,3, FALSE),O1302)</f>
        <v>1.2</v>
      </c>
      <c r="P1303" s="99">
        <f>IFERROR(VLOOKUP(B1303,'Pre-Summary'!$BS$6:$BU$35,3,FALSE),P1302)</f>
        <v>0.3</v>
      </c>
      <c r="Q1303" s="54">
        <f t="shared" si="60"/>
        <v>4</v>
      </c>
      <c r="R1303" s="53">
        <f>IFERROR(VLOOKUP(B1303,'Pre-Summary'!$BG$6:$BM$44,7,FALSE),R1304)</f>
        <v>8.2734025573422298E-2</v>
      </c>
      <c r="S1303" s="53">
        <f>IFERROR(VLOOKUP(B1303,'Pre-Summary'!$BG$6:$BM$44,6,FALSE),S1304)</f>
        <v>7.7866004962824142E-2</v>
      </c>
      <c r="T1303" s="45" t="str">
        <f>IFERROR(VLOOKUP(B1303,'Pre-Summary'!$Y$6:$AC$83, 3,FALSE),"")</f>
        <v/>
      </c>
      <c r="U1303" s="45" t="str">
        <f>IFERROR(VLOOKUP(B1303,'Pre-Summary'!$Y$6:$AC$83, 4,FALSE),"")</f>
        <v/>
      </c>
      <c r="V1303" t="str">
        <f>IFERROR(VLOOKUP(B1303,'Pre-Summary'!$Y$6:$AC$83, 5,FALSE),"")</f>
        <v/>
      </c>
      <c r="W1303" s="45" t="str">
        <f>IFERROR(VLOOKUP(B1303,'Pre-Summary'!$Y$6:$AD$83,6,FALSE),"")</f>
        <v/>
      </c>
      <c r="X1303" t="str">
        <f>IFERROR(VLOOKUP('Pre-Summary'!$DB$6:$DD$63,3,FALSE),"")</f>
        <v/>
      </c>
      <c r="Y1303" t="str">
        <f>IFERROR(VLOOKUP(B1303,'Pre-Summary'!$CR$6:$CT$36,3,FALSE),"")</f>
        <v/>
      </c>
      <c r="Z1303" s="45" t="str">
        <f>IFERROR(VLOOKUP(B1303,'Pre-Summary'!$BZ$6:$CB$63,2,FALSE),"")</f>
        <v/>
      </c>
      <c r="AA1303" s="45" t="str">
        <f>IFERROR(VLOOKUP(B1303,'Pre-Summary'!$CG$6:$CI$70,2,FALSE),"")</f>
        <v/>
      </c>
      <c r="AB1303" s="99">
        <f>IFERROR(VLOOKUP(B1303,'Pre-Summary'!$A$6:$P$178,9,FALSE),AB1304)</f>
        <v>0.29951034906156815</v>
      </c>
      <c r="AC1303" s="10">
        <f>IFERROR(VLOOKUP(Summary!B1303,'Pre-Summary'!$A$6:$P$184,5, FALSE)/100,AC1304)</f>
        <v>0.87194233333333326</v>
      </c>
      <c r="AD1303" s="10">
        <f>IFERROR(VLOOKUP(Summary!B1303,'Pre-Summary'!$A$6:$P$184,3, FALSE)/100,AD1304)</f>
        <v>0.11797166666666667</v>
      </c>
      <c r="AE1303" s="10">
        <f>IFERROR(VLOOKUP(Summary!B1303,'Pre-Summary'!$A$6:$P$184,7, FALSE)/100,AE1304)</f>
        <v>1.0085666666666666E-2</v>
      </c>
      <c r="AF1303" s="99">
        <f t="shared" si="61"/>
        <v>3.5333735062708295E-2</v>
      </c>
      <c r="AG1303" s="99">
        <f t="shared" si="62"/>
        <v>3.0207615438519559E-3</v>
      </c>
      <c r="AH1303" s="10" t="str">
        <f>IFERROR(VLOOKUP(B1303,'Pre-Summary'!$AZ$6:$BE$65,3,FALSE),"")</f>
        <v/>
      </c>
      <c r="AI1303" s="10" t="str">
        <f>IFERROR(VLOOKUP(B1303,'Pre-Summary'!$AZ$6:$BE$65,5,FALSE),"")</f>
        <v/>
      </c>
      <c r="AJ1303" s="10" t="str">
        <f>IFERROR(VLOOKUP(B1303,'Pre-Summary'!$AZ$6:$BE$65,4,FALSE),"")</f>
        <v/>
      </c>
      <c r="AK1303" s="10" t="str">
        <f>IFERROR(VLOOKUP(B1303,'Pre-Summary'!$AZ$6:$BE$65,6,FALSE),"")</f>
        <v/>
      </c>
      <c r="AL1303" s="10" t="str">
        <f>IFERROR(VLOOKUP(B1303,'Pre-Summary'!$BG$6:$BL$44,3,FALSE),"")</f>
        <v/>
      </c>
      <c r="AM1303" s="10" t="str">
        <f>IFERROR(VLOOKUP(B1303,'Pre-Summary'!$BG$6:$BL$44,4,FALSE),"")</f>
        <v/>
      </c>
    </row>
    <row r="1304" spans="2:39" ht="15" customHeight="1" x14ac:dyDescent="0.3">
      <c r="B1304">
        <v>130.1</v>
      </c>
      <c r="C1304" t="str">
        <f>IFERROR(VLOOKUP(B1304,'Pre-Summary'!$DI$6:$DM$23,4,FALSE),"")</f>
        <v/>
      </c>
      <c r="D1304" s="10" t="str">
        <f>IFERROR(VLOOKUP(B1304,'Pre-Summary'!$AT$6:$AX$14,5,FALSE),D1303)</f>
        <v>Speece: put in Speece media + EDTA + cysteine + vitamins as in DSMZ 120</v>
      </c>
      <c r="E1304" s="10" t="str">
        <f>IFERROR(VLOOKUP(B1304,'Pre-Summary'!$AT$6:$AX$15,4,FALSE),"")</f>
        <v/>
      </c>
      <c r="F1304">
        <f>IFERROR(VLOOKUP(B1304,'Pre-Summary'!$AL$6:$AQ$13,6,FALSE),F1303)</f>
        <v>5.9405263157894746E-2</v>
      </c>
      <c r="G1304" t="str">
        <f>IFERROR(VLOOKUP(B1304,'Pre-Summary'!$AE$6:$AJ$85,3,FALSE),"")</f>
        <v/>
      </c>
      <c r="H1304" t="str">
        <f>IFERROR(VLOOKUP(B1304,'Pre-Summary'!$AE$6:$AJ$85,4,FALSE),"")</f>
        <v/>
      </c>
      <c r="I1304" t="str">
        <f>IFERROR(VLOOKUP(B1304,'Pre-Summary'!$AE$6:$AJ$85,5,FALSE),"")</f>
        <v/>
      </c>
      <c r="J1304" s="45" t="str">
        <f>IFERROR(VLOOKUP(B1304,'Pre-Summary'!$AE$6:$AJ$85,6, FALSE),"")</f>
        <v/>
      </c>
      <c r="K1304" s="45" t="str">
        <f>IFERROR(VLOOKUP(B1304,'Pre-Summary'!$DE$6:$DG$61,3,FALSE),"")</f>
        <v/>
      </c>
      <c r="L1304" s="45" t="str">
        <f>IFERROR(VLOOKUP(B1304,'Pre-Summary'!$CU$6:$CW$36,3,FALSE),"")</f>
        <v/>
      </c>
      <c r="M1304" s="45" t="str">
        <f>IFERROR(VLOOKUP(B1304,'Pre-Summary'!$BW$6:$BY$58,2,FALSE),"")</f>
        <v/>
      </c>
      <c r="N1304" s="45" t="str">
        <f>IFERROR(VLOOKUP(B1304,'Pre-Summary'!$CD$6:$CF$64,2,FALSE),"")</f>
        <v/>
      </c>
      <c r="O1304" s="99">
        <f>IFERROR(VLOOKUP(B1304,'Pre-Summary'!$BO$6:$BQ$48,3, FALSE),O1303)</f>
        <v>1.2</v>
      </c>
      <c r="P1304" s="99">
        <f>IFERROR(VLOOKUP(B1304,'Pre-Summary'!$BS$6:$BU$35,3,FALSE),P1303)</f>
        <v>0.3</v>
      </c>
      <c r="Q1304" s="54">
        <f t="shared" si="60"/>
        <v>4</v>
      </c>
      <c r="R1304" s="53">
        <f>IFERROR(VLOOKUP(B1304,'Pre-Summary'!$BG$6:$BM$44,7,FALSE),R1305)</f>
        <v>8.2734025573422298E-2</v>
      </c>
      <c r="S1304" s="53">
        <f>IFERROR(VLOOKUP(B1304,'Pre-Summary'!$BG$6:$BM$44,6,FALSE),S1305)</f>
        <v>7.7866004962824142E-2</v>
      </c>
      <c r="T1304" s="45" t="str">
        <f>IFERROR(VLOOKUP(B1304,'Pre-Summary'!$Y$6:$AC$83, 3,FALSE),"")</f>
        <v/>
      </c>
      <c r="U1304" s="45" t="str">
        <f>IFERROR(VLOOKUP(B1304,'Pre-Summary'!$Y$6:$AC$83, 4,FALSE),"")</f>
        <v/>
      </c>
      <c r="V1304" t="str">
        <f>IFERROR(VLOOKUP(B1304,'Pre-Summary'!$Y$6:$AC$83, 5,FALSE),"")</f>
        <v/>
      </c>
      <c r="W1304" s="45" t="str">
        <f>IFERROR(VLOOKUP(B1304,'Pre-Summary'!$Y$6:$AD$83,6,FALSE),"")</f>
        <v/>
      </c>
      <c r="X1304" t="str">
        <f>IFERROR(VLOOKUP('Pre-Summary'!$DB$6:$DD$63,3,FALSE),"")</f>
        <v/>
      </c>
      <c r="Y1304" t="str">
        <f>IFERROR(VLOOKUP(B1304,'Pre-Summary'!$CR$6:$CT$36,3,FALSE),"")</f>
        <v/>
      </c>
      <c r="Z1304" s="45" t="str">
        <f>IFERROR(VLOOKUP(B1304,'Pre-Summary'!$BZ$6:$CB$63,2,FALSE),"")</f>
        <v/>
      </c>
      <c r="AA1304" s="45" t="str">
        <f>IFERROR(VLOOKUP(B1304,'Pre-Summary'!$CG$6:$CI$70,2,FALSE),"")</f>
        <v/>
      </c>
      <c r="AB1304" s="99">
        <f>IFERROR(VLOOKUP(B1304,'Pre-Summary'!$A$6:$P$178,9,FALSE),AB1305)</f>
        <v>0.29951034906156815</v>
      </c>
      <c r="AC1304" s="10">
        <f>IFERROR(VLOOKUP(Summary!B1304,'Pre-Summary'!$A$6:$P$184,5, FALSE)/100,AC1305)</f>
        <v>0.87194233333333326</v>
      </c>
      <c r="AD1304" s="10">
        <f>IFERROR(VLOOKUP(Summary!B1304,'Pre-Summary'!$A$6:$P$184,3, FALSE)/100,AD1305)</f>
        <v>0.11797166666666667</v>
      </c>
      <c r="AE1304" s="10">
        <f>IFERROR(VLOOKUP(Summary!B1304,'Pre-Summary'!$A$6:$P$184,7, FALSE)/100,AE1305)</f>
        <v>1.0085666666666666E-2</v>
      </c>
      <c r="AF1304" s="99">
        <f t="shared" si="61"/>
        <v>3.5333735062708295E-2</v>
      </c>
      <c r="AG1304" s="99">
        <f t="shared" si="62"/>
        <v>3.0207615438519559E-3</v>
      </c>
      <c r="AH1304" s="10" t="str">
        <f>IFERROR(VLOOKUP(B1304,'Pre-Summary'!$AZ$6:$BE$65,3,FALSE),"")</f>
        <v/>
      </c>
      <c r="AI1304" s="10" t="str">
        <f>IFERROR(VLOOKUP(B1304,'Pre-Summary'!$AZ$6:$BE$65,5,FALSE),"")</f>
        <v/>
      </c>
      <c r="AJ1304" s="10" t="str">
        <f>IFERROR(VLOOKUP(B1304,'Pre-Summary'!$AZ$6:$BE$65,4,FALSE),"")</f>
        <v/>
      </c>
      <c r="AK1304" s="10" t="str">
        <f>IFERROR(VLOOKUP(B1304,'Pre-Summary'!$AZ$6:$BE$65,6,FALSE),"")</f>
        <v/>
      </c>
      <c r="AL1304" s="10" t="str">
        <f>IFERROR(VLOOKUP(B1304,'Pre-Summary'!$BG$6:$BL$44,3,FALSE),"")</f>
        <v/>
      </c>
      <c r="AM1304" s="10" t="str">
        <f>IFERROR(VLOOKUP(B1304,'Pre-Summary'!$BG$6:$BL$44,4,FALSE),"")</f>
        <v/>
      </c>
    </row>
    <row r="1305" spans="2:39" ht="15" customHeight="1" x14ac:dyDescent="0.3">
      <c r="B1305">
        <v>130.19999999999999</v>
      </c>
      <c r="C1305" t="str">
        <f>IFERROR(VLOOKUP(B1305,'Pre-Summary'!$DI$6:$DM$23,4,FALSE),"")</f>
        <v/>
      </c>
      <c r="D1305" s="10" t="str">
        <f>IFERROR(VLOOKUP(B1305,'Pre-Summary'!$AT$6:$AX$14,5,FALSE),D1304)</f>
        <v>Speece: put in Speece media + EDTA + cysteine + vitamins as in DSMZ 120</v>
      </c>
      <c r="E1305" s="10" t="str">
        <f>IFERROR(VLOOKUP(B1305,'Pre-Summary'!$AT$6:$AX$15,4,FALSE),"")</f>
        <v/>
      </c>
      <c r="F1305">
        <f>IFERROR(VLOOKUP(B1305,'Pre-Summary'!$AL$6:$AQ$13,6,FALSE),F1304)</f>
        <v>5.9405263157894746E-2</v>
      </c>
      <c r="G1305" t="str">
        <f>IFERROR(VLOOKUP(B1305,'Pre-Summary'!$AE$6:$AJ$85,3,FALSE),"")</f>
        <v/>
      </c>
      <c r="H1305" t="str">
        <f>IFERROR(VLOOKUP(B1305,'Pre-Summary'!$AE$6:$AJ$85,4,FALSE),"")</f>
        <v/>
      </c>
      <c r="I1305" t="str">
        <f>IFERROR(VLOOKUP(B1305,'Pre-Summary'!$AE$6:$AJ$85,5,FALSE),"")</f>
        <v/>
      </c>
      <c r="J1305" s="45" t="str">
        <f>IFERROR(VLOOKUP(B1305,'Pre-Summary'!$AE$6:$AJ$85,6, FALSE),"")</f>
        <v/>
      </c>
      <c r="K1305" s="45" t="str">
        <f>IFERROR(VLOOKUP(B1305,'Pre-Summary'!$DE$6:$DG$61,3,FALSE),"")</f>
        <v/>
      </c>
      <c r="L1305" s="45" t="str">
        <f>IFERROR(VLOOKUP(B1305,'Pre-Summary'!$CU$6:$CW$36,3,FALSE),"")</f>
        <v/>
      </c>
      <c r="M1305" s="45" t="str">
        <f>IFERROR(VLOOKUP(B1305,'Pre-Summary'!$BW$6:$BY$58,2,FALSE),"")</f>
        <v/>
      </c>
      <c r="N1305" s="45" t="str">
        <f>IFERROR(VLOOKUP(B1305,'Pre-Summary'!$CD$6:$CF$64,2,FALSE),"")</f>
        <v/>
      </c>
      <c r="O1305" s="99">
        <f>IFERROR(VLOOKUP(B1305,'Pre-Summary'!$BO$6:$BQ$48,3, FALSE),O1304)</f>
        <v>1.2</v>
      </c>
      <c r="P1305" s="99">
        <f>IFERROR(VLOOKUP(B1305,'Pre-Summary'!$BS$6:$BU$35,3,FALSE),P1304)</f>
        <v>0.3</v>
      </c>
      <c r="Q1305" s="54">
        <f t="shared" si="60"/>
        <v>4</v>
      </c>
      <c r="R1305" s="53">
        <f>IFERROR(VLOOKUP(B1305,'Pre-Summary'!$BG$6:$BM$44,7,FALSE),R1306)</f>
        <v>8.2734025573422298E-2</v>
      </c>
      <c r="S1305" s="53">
        <f>IFERROR(VLOOKUP(B1305,'Pre-Summary'!$BG$6:$BM$44,6,FALSE),S1306)</f>
        <v>7.7866004962824142E-2</v>
      </c>
      <c r="T1305" s="45" t="str">
        <f>IFERROR(VLOOKUP(B1305,'Pre-Summary'!$Y$6:$AC$83, 3,FALSE),"")</f>
        <v/>
      </c>
      <c r="U1305" s="45" t="str">
        <f>IFERROR(VLOOKUP(B1305,'Pre-Summary'!$Y$6:$AC$83, 4,FALSE),"")</f>
        <v/>
      </c>
      <c r="V1305" t="str">
        <f>IFERROR(VLOOKUP(B1305,'Pre-Summary'!$Y$6:$AC$83, 5,FALSE),"")</f>
        <v/>
      </c>
      <c r="W1305" s="45" t="str">
        <f>IFERROR(VLOOKUP(B1305,'Pre-Summary'!$Y$6:$AD$83,6,FALSE),"")</f>
        <v/>
      </c>
      <c r="X1305" t="str">
        <f>IFERROR(VLOOKUP('Pre-Summary'!$DB$6:$DD$63,3,FALSE),"")</f>
        <v/>
      </c>
      <c r="Y1305" t="str">
        <f>IFERROR(VLOOKUP(B1305,'Pre-Summary'!$CR$6:$CT$36,3,FALSE),"")</f>
        <v/>
      </c>
      <c r="Z1305" s="45" t="str">
        <f>IFERROR(VLOOKUP(B1305,'Pre-Summary'!$BZ$6:$CB$63,2,FALSE),"")</f>
        <v/>
      </c>
      <c r="AA1305" s="45" t="str">
        <f>IFERROR(VLOOKUP(B1305,'Pre-Summary'!$CG$6:$CI$70,2,FALSE),"")</f>
        <v/>
      </c>
      <c r="AB1305" s="99">
        <f>IFERROR(VLOOKUP(B1305,'Pre-Summary'!$A$6:$P$178,9,FALSE),AB1306)</f>
        <v>0.29951034906156815</v>
      </c>
      <c r="AC1305" s="10">
        <f>IFERROR(VLOOKUP(Summary!B1305,'Pre-Summary'!$A$6:$P$184,5, FALSE)/100,AC1306)</f>
        <v>0.87194233333333326</v>
      </c>
      <c r="AD1305" s="10">
        <f>IFERROR(VLOOKUP(Summary!B1305,'Pre-Summary'!$A$6:$P$184,3, FALSE)/100,AD1306)</f>
        <v>0.11797166666666667</v>
      </c>
      <c r="AE1305" s="10">
        <f>IFERROR(VLOOKUP(Summary!B1305,'Pre-Summary'!$A$6:$P$184,7, FALSE)/100,AE1306)</f>
        <v>1.0085666666666666E-2</v>
      </c>
      <c r="AF1305" s="99">
        <f t="shared" si="61"/>
        <v>3.5333735062708295E-2</v>
      </c>
      <c r="AG1305" s="99">
        <f t="shared" si="62"/>
        <v>3.0207615438519559E-3</v>
      </c>
      <c r="AH1305" s="10" t="str">
        <f>IFERROR(VLOOKUP(B1305,'Pre-Summary'!$AZ$6:$BE$65,3,FALSE),"")</f>
        <v/>
      </c>
      <c r="AI1305" s="10" t="str">
        <f>IFERROR(VLOOKUP(B1305,'Pre-Summary'!$AZ$6:$BE$65,5,FALSE),"")</f>
        <v/>
      </c>
      <c r="AJ1305" s="10" t="str">
        <f>IFERROR(VLOOKUP(B1305,'Pre-Summary'!$AZ$6:$BE$65,4,FALSE),"")</f>
        <v/>
      </c>
      <c r="AK1305" s="10" t="str">
        <f>IFERROR(VLOOKUP(B1305,'Pre-Summary'!$AZ$6:$BE$65,6,FALSE),"")</f>
        <v/>
      </c>
      <c r="AL1305" s="10" t="str">
        <f>IFERROR(VLOOKUP(B1305,'Pre-Summary'!$BG$6:$BL$44,3,FALSE),"")</f>
        <v/>
      </c>
      <c r="AM1305" s="10" t="str">
        <f>IFERROR(VLOOKUP(B1305,'Pre-Summary'!$BG$6:$BL$44,4,FALSE),"")</f>
        <v/>
      </c>
    </row>
    <row r="1306" spans="2:39" ht="15" customHeight="1" x14ac:dyDescent="0.3">
      <c r="B1306">
        <v>130.30000000000001</v>
      </c>
      <c r="C1306" t="str">
        <f>IFERROR(VLOOKUP(B1306,'Pre-Summary'!$DI$6:$DM$23,4,FALSE),"")</f>
        <v/>
      </c>
      <c r="D1306" s="10" t="str">
        <f>IFERROR(VLOOKUP(B1306,'Pre-Summary'!$AT$6:$AX$14,5,FALSE),D1305)</f>
        <v>Speece: put in Speece media + EDTA + cysteine + vitamins as in DSMZ 120</v>
      </c>
      <c r="E1306" s="10" t="str">
        <f>IFERROR(VLOOKUP(B1306,'Pre-Summary'!$AT$6:$AX$15,4,FALSE),"")</f>
        <v/>
      </c>
      <c r="F1306">
        <f>IFERROR(VLOOKUP(B1306,'Pre-Summary'!$AL$6:$AQ$13,6,FALSE),F1305)</f>
        <v>5.9405263157894746E-2</v>
      </c>
      <c r="G1306" t="str">
        <f>IFERROR(VLOOKUP(B1306,'Pre-Summary'!$AE$6:$AJ$85,3,FALSE),"")</f>
        <v/>
      </c>
      <c r="H1306" t="str">
        <f>IFERROR(VLOOKUP(B1306,'Pre-Summary'!$AE$6:$AJ$85,4,FALSE),"")</f>
        <v/>
      </c>
      <c r="I1306" t="str">
        <f>IFERROR(VLOOKUP(B1306,'Pre-Summary'!$AE$6:$AJ$85,5,FALSE),"")</f>
        <v/>
      </c>
      <c r="J1306" s="45" t="str">
        <f>IFERROR(VLOOKUP(B1306,'Pre-Summary'!$AE$6:$AJ$85,6, FALSE),"")</f>
        <v/>
      </c>
      <c r="K1306" s="45" t="str">
        <f>IFERROR(VLOOKUP(B1306,'Pre-Summary'!$DE$6:$DG$61,3,FALSE),"")</f>
        <v/>
      </c>
      <c r="L1306" s="45" t="str">
        <f>IFERROR(VLOOKUP(B1306,'Pre-Summary'!$CU$6:$CW$36,3,FALSE),"")</f>
        <v/>
      </c>
      <c r="M1306" s="45" t="str">
        <f>IFERROR(VLOOKUP(B1306,'Pre-Summary'!$BW$6:$BY$58,2,FALSE),"")</f>
        <v/>
      </c>
      <c r="N1306" s="45" t="str">
        <f>IFERROR(VLOOKUP(B1306,'Pre-Summary'!$CD$6:$CF$64,2,FALSE),"")</f>
        <v/>
      </c>
      <c r="O1306" s="99">
        <f>IFERROR(VLOOKUP(B1306,'Pre-Summary'!$BO$6:$BQ$48,3, FALSE),O1305)</f>
        <v>1.2</v>
      </c>
      <c r="P1306" s="99">
        <f>IFERROR(VLOOKUP(B1306,'Pre-Summary'!$BS$6:$BU$35,3,FALSE),P1305)</f>
        <v>0.3</v>
      </c>
      <c r="Q1306" s="54">
        <f t="shared" si="60"/>
        <v>4</v>
      </c>
      <c r="R1306" s="53">
        <f>IFERROR(VLOOKUP(B1306,'Pre-Summary'!$BG$6:$BM$44,7,FALSE),R1307)</f>
        <v>8.2734025573422298E-2</v>
      </c>
      <c r="S1306" s="53">
        <f>IFERROR(VLOOKUP(B1306,'Pre-Summary'!$BG$6:$BM$44,6,FALSE),S1307)</f>
        <v>7.7866004962824142E-2</v>
      </c>
      <c r="T1306" s="45" t="str">
        <f>IFERROR(VLOOKUP(B1306,'Pre-Summary'!$Y$6:$AC$83, 3,FALSE),"")</f>
        <v/>
      </c>
      <c r="U1306" s="45" t="str">
        <f>IFERROR(VLOOKUP(B1306,'Pre-Summary'!$Y$6:$AC$83, 4,FALSE),"")</f>
        <v/>
      </c>
      <c r="V1306" t="str">
        <f>IFERROR(VLOOKUP(B1306,'Pre-Summary'!$Y$6:$AC$83, 5,FALSE),"")</f>
        <v/>
      </c>
      <c r="W1306" s="45" t="str">
        <f>IFERROR(VLOOKUP(B1306,'Pre-Summary'!$Y$6:$AD$83,6,FALSE),"")</f>
        <v/>
      </c>
      <c r="X1306" t="str">
        <f>IFERROR(VLOOKUP('Pre-Summary'!$DB$6:$DD$63,3,FALSE),"")</f>
        <v/>
      </c>
      <c r="Y1306" t="str">
        <f>IFERROR(VLOOKUP(B1306,'Pre-Summary'!$CR$6:$CT$36,3,FALSE),"")</f>
        <v/>
      </c>
      <c r="Z1306" s="45" t="str">
        <f>IFERROR(VLOOKUP(B1306,'Pre-Summary'!$BZ$6:$CB$63,2,FALSE),"")</f>
        <v/>
      </c>
      <c r="AA1306" s="45" t="str">
        <f>IFERROR(VLOOKUP(B1306,'Pre-Summary'!$CG$6:$CI$70,2,FALSE),"")</f>
        <v/>
      </c>
      <c r="AB1306" s="99">
        <f>IFERROR(VLOOKUP(B1306,'Pre-Summary'!$A$6:$P$178,9,FALSE),AB1307)</f>
        <v>0.29951034906156815</v>
      </c>
      <c r="AC1306" s="10">
        <f>IFERROR(VLOOKUP(Summary!B1306,'Pre-Summary'!$A$6:$P$184,5, FALSE)/100,AC1307)</f>
        <v>0.87194233333333326</v>
      </c>
      <c r="AD1306" s="10">
        <f>IFERROR(VLOOKUP(Summary!B1306,'Pre-Summary'!$A$6:$P$184,3, FALSE)/100,AD1307)</f>
        <v>0.11797166666666667</v>
      </c>
      <c r="AE1306" s="10">
        <f>IFERROR(VLOOKUP(Summary!B1306,'Pre-Summary'!$A$6:$P$184,7, FALSE)/100,AE1307)</f>
        <v>1.0085666666666666E-2</v>
      </c>
      <c r="AF1306" s="99">
        <f t="shared" si="61"/>
        <v>3.5333735062708295E-2</v>
      </c>
      <c r="AG1306" s="99">
        <f t="shared" si="62"/>
        <v>3.0207615438519559E-3</v>
      </c>
      <c r="AH1306" s="10" t="str">
        <f>IFERROR(VLOOKUP(B1306,'Pre-Summary'!$AZ$6:$BE$65,3,FALSE),"")</f>
        <v/>
      </c>
      <c r="AI1306" s="10" t="str">
        <f>IFERROR(VLOOKUP(B1306,'Pre-Summary'!$AZ$6:$BE$65,5,FALSE),"")</f>
        <v/>
      </c>
      <c r="AJ1306" s="10" t="str">
        <f>IFERROR(VLOOKUP(B1306,'Pre-Summary'!$AZ$6:$BE$65,4,FALSE),"")</f>
        <v/>
      </c>
      <c r="AK1306" s="10" t="str">
        <f>IFERROR(VLOOKUP(B1306,'Pre-Summary'!$AZ$6:$BE$65,6,FALSE),"")</f>
        <v/>
      </c>
      <c r="AL1306" s="10" t="str">
        <f>IFERROR(VLOOKUP(B1306,'Pre-Summary'!$BG$6:$BL$44,3,FALSE),"")</f>
        <v/>
      </c>
      <c r="AM1306" s="10" t="str">
        <f>IFERROR(VLOOKUP(B1306,'Pre-Summary'!$BG$6:$BL$44,4,FALSE),"")</f>
        <v/>
      </c>
    </row>
    <row r="1307" spans="2:39" ht="15" customHeight="1" x14ac:dyDescent="0.3">
      <c r="B1307">
        <v>130.4</v>
      </c>
      <c r="C1307" t="str">
        <f>IFERROR(VLOOKUP(B1307,'Pre-Summary'!$DI$6:$DM$23,4,FALSE),"")</f>
        <v/>
      </c>
      <c r="D1307" s="10" t="str">
        <f>IFERROR(VLOOKUP(B1307,'Pre-Summary'!$AT$6:$AX$14,5,FALSE),D1306)</f>
        <v>Speece: put in Speece media + EDTA + cysteine + vitamins as in DSMZ 120</v>
      </c>
      <c r="E1307" s="10" t="str">
        <f>IFERROR(VLOOKUP(B1307,'Pre-Summary'!$AT$6:$AX$15,4,FALSE),"")</f>
        <v/>
      </c>
      <c r="F1307">
        <f>IFERROR(VLOOKUP(B1307,'Pre-Summary'!$AL$6:$AQ$13,6,FALSE),F1306)</f>
        <v>5.9405263157894746E-2</v>
      </c>
      <c r="G1307" t="str">
        <f>IFERROR(VLOOKUP(B1307,'Pre-Summary'!$AE$6:$AJ$85,3,FALSE),"")</f>
        <v/>
      </c>
      <c r="H1307" t="str">
        <f>IFERROR(VLOOKUP(B1307,'Pre-Summary'!$AE$6:$AJ$85,4,FALSE),"")</f>
        <v/>
      </c>
      <c r="I1307" t="str">
        <f>IFERROR(VLOOKUP(B1307,'Pre-Summary'!$AE$6:$AJ$85,5,FALSE),"")</f>
        <v/>
      </c>
      <c r="J1307" s="45" t="str">
        <f>IFERROR(VLOOKUP(B1307,'Pre-Summary'!$AE$6:$AJ$85,6, FALSE),"")</f>
        <v/>
      </c>
      <c r="K1307" s="45" t="str">
        <f>IFERROR(VLOOKUP(B1307,'Pre-Summary'!$DE$6:$DG$61,3,FALSE),"")</f>
        <v/>
      </c>
      <c r="L1307" s="45" t="str">
        <f>IFERROR(VLOOKUP(B1307,'Pre-Summary'!$CU$6:$CW$36,3,FALSE),"")</f>
        <v/>
      </c>
      <c r="M1307" s="45" t="str">
        <f>IFERROR(VLOOKUP(B1307,'Pre-Summary'!$BW$6:$BY$58,2,FALSE),"")</f>
        <v/>
      </c>
      <c r="N1307" s="45" t="str">
        <f>IFERROR(VLOOKUP(B1307,'Pre-Summary'!$CD$6:$CF$64,2,FALSE),"")</f>
        <v/>
      </c>
      <c r="O1307" s="99">
        <f>IFERROR(VLOOKUP(B1307,'Pre-Summary'!$BO$6:$BQ$48,3, FALSE),O1306)</f>
        <v>1.2</v>
      </c>
      <c r="P1307" s="99">
        <f>IFERROR(VLOOKUP(B1307,'Pre-Summary'!$BS$6:$BU$35,3,FALSE),P1306)</f>
        <v>0.3</v>
      </c>
      <c r="Q1307" s="54">
        <f t="shared" si="60"/>
        <v>4</v>
      </c>
      <c r="R1307" s="53">
        <f>IFERROR(VLOOKUP(B1307,'Pre-Summary'!$BG$6:$BM$44,7,FALSE),R1308)</f>
        <v>8.2734025573422298E-2</v>
      </c>
      <c r="S1307" s="53">
        <f>IFERROR(VLOOKUP(B1307,'Pre-Summary'!$BG$6:$BM$44,6,FALSE),S1308)</f>
        <v>7.7866004962824142E-2</v>
      </c>
      <c r="T1307" s="45" t="str">
        <f>IFERROR(VLOOKUP(B1307,'Pre-Summary'!$Y$6:$AC$83, 3,FALSE),"")</f>
        <v/>
      </c>
      <c r="U1307" s="45" t="str">
        <f>IFERROR(VLOOKUP(B1307,'Pre-Summary'!$Y$6:$AC$83, 4,FALSE),"")</f>
        <v/>
      </c>
      <c r="V1307" t="str">
        <f>IFERROR(VLOOKUP(B1307,'Pre-Summary'!$Y$6:$AC$83, 5,FALSE),"")</f>
        <v/>
      </c>
      <c r="W1307" s="45" t="str">
        <f>IFERROR(VLOOKUP(B1307,'Pre-Summary'!$Y$6:$AD$83,6,FALSE),"")</f>
        <v/>
      </c>
      <c r="X1307" t="str">
        <f>IFERROR(VLOOKUP('Pre-Summary'!$DB$6:$DD$63,3,FALSE),"")</f>
        <v/>
      </c>
      <c r="Y1307" t="str">
        <f>IFERROR(VLOOKUP(B1307,'Pre-Summary'!$CR$6:$CT$36,3,FALSE),"")</f>
        <v/>
      </c>
      <c r="Z1307" s="45" t="str">
        <f>IFERROR(VLOOKUP(B1307,'Pre-Summary'!$BZ$6:$CB$63,2,FALSE),"")</f>
        <v/>
      </c>
      <c r="AA1307" s="45" t="str">
        <f>IFERROR(VLOOKUP(B1307,'Pre-Summary'!$CG$6:$CI$70,2,FALSE),"")</f>
        <v/>
      </c>
      <c r="AB1307" s="99">
        <f>IFERROR(VLOOKUP(B1307,'Pre-Summary'!$A$6:$P$178,9,FALSE),AB1308)</f>
        <v>0.29951034906156815</v>
      </c>
      <c r="AC1307" s="10">
        <f>IFERROR(VLOOKUP(Summary!B1307,'Pre-Summary'!$A$6:$P$184,5, FALSE)/100,AC1308)</f>
        <v>0.87194233333333326</v>
      </c>
      <c r="AD1307" s="10">
        <f>IFERROR(VLOOKUP(Summary!B1307,'Pre-Summary'!$A$6:$P$184,3, FALSE)/100,AD1308)</f>
        <v>0.11797166666666667</v>
      </c>
      <c r="AE1307" s="10">
        <f>IFERROR(VLOOKUP(Summary!B1307,'Pre-Summary'!$A$6:$P$184,7, FALSE)/100,AE1308)</f>
        <v>1.0085666666666666E-2</v>
      </c>
      <c r="AF1307" s="99">
        <f t="shared" si="61"/>
        <v>3.5333735062708295E-2</v>
      </c>
      <c r="AG1307" s="99">
        <f t="shared" si="62"/>
        <v>3.0207615438519559E-3</v>
      </c>
      <c r="AH1307" s="10" t="str">
        <f>IFERROR(VLOOKUP(B1307,'Pre-Summary'!$AZ$6:$BE$65,3,FALSE),"")</f>
        <v/>
      </c>
      <c r="AI1307" s="10" t="str">
        <f>IFERROR(VLOOKUP(B1307,'Pre-Summary'!$AZ$6:$BE$65,5,FALSE),"")</f>
        <v/>
      </c>
      <c r="AJ1307" s="10" t="str">
        <f>IFERROR(VLOOKUP(B1307,'Pre-Summary'!$AZ$6:$BE$65,4,FALSE),"")</f>
        <v/>
      </c>
      <c r="AK1307" s="10" t="str">
        <f>IFERROR(VLOOKUP(B1307,'Pre-Summary'!$AZ$6:$BE$65,6,FALSE),"")</f>
        <v/>
      </c>
      <c r="AL1307" s="10" t="str">
        <f>IFERROR(VLOOKUP(B1307,'Pre-Summary'!$BG$6:$BL$44,3,FALSE),"")</f>
        <v/>
      </c>
      <c r="AM1307" s="10" t="str">
        <f>IFERROR(VLOOKUP(B1307,'Pre-Summary'!$BG$6:$BL$44,4,FALSE),"")</f>
        <v/>
      </c>
    </row>
    <row r="1308" spans="2:39" ht="15" customHeight="1" x14ac:dyDescent="0.3">
      <c r="B1308">
        <v>130.5</v>
      </c>
      <c r="C1308" t="str">
        <f>IFERROR(VLOOKUP(B1308,'Pre-Summary'!$DI$6:$DM$23,4,FALSE),"")</f>
        <v/>
      </c>
      <c r="D1308" s="10" t="str">
        <f>IFERROR(VLOOKUP(B1308,'Pre-Summary'!$AT$6:$AX$14,5,FALSE),D1307)</f>
        <v>Speece: put in Speece media + EDTA + cysteine + vitamins as in DSMZ 120</v>
      </c>
      <c r="E1308" s="10" t="str">
        <f>IFERROR(VLOOKUP(B1308,'Pre-Summary'!$AT$6:$AX$15,4,FALSE),"")</f>
        <v/>
      </c>
      <c r="F1308">
        <f>IFERROR(VLOOKUP(B1308,'Pre-Summary'!$AL$6:$AQ$13,6,FALSE),F1307)</f>
        <v>5.9405263157894746E-2</v>
      </c>
      <c r="G1308" t="str">
        <f>IFERROR(VLOOKUP(B1308,'Pre-Summary'!$AE$6:$AJ$85,3,FALSE),"")</f>
        <v/>
      </c>
      <c r="H1308" t="str">
        <f>IFERROR(VLOOKUP(B1308,'Pre-Summary'!$AE$6:$AJ$85,4,FALSE),"")</f>
        <v/>
      </c>
      <c r="I1308" t="str">
        <f>IFERROR(VLOOKUP(B1308,'Pre-Summary'!$AE$6:$AJ$85,5,FALSE),"")</f>
        <v/>
      </c>
      <c r="J1308" s="45" t="str">
        <f>IFERROR(VLOOKUP(B1308,'Pre-Summary'!$AE$6:$AJ$85,6, FALSE),"")</f>
        <v/>
      </c>
      <c r="K1308" s="45" t="str">
        <f>IFERROR(VLOOKUP(B1308,'Pre-Summary'!$DE$6:$DG$61,3,FALSE),"")</f>
        <v/>
      </c>
      <c r="L1308" s="45" t="str">
        <f>IFERROR(VLOOKUP(B1308,'Pre-Summary'!$CU$6:$CW$36,3,FALSE),"")</f>
        <v/>
      </c>
      <c r="M1308" s="45" t="str">
        <f>IFERROR(VLOOKUP(B1308,'Pre-Summary'!$BW$6:$BY$58,2,FALSE),"")</f>
        <v/>
      </c>
      <c r="N1308" s="45" t="str">
        <f>IFERROR(VLOOKUP(B1308,'Pre-Summary'!$CD$6:$CF$64,2,FALSE),"")</f>
        <v/>
      </c>
      <c r="O1308" s="99">
        <f>IFERROR(VLOOKUP(B1308,'Pre-Summary'!$BO$6:$BQ$48,3, FALSE),O1307)</f>
        <v>1.2</v>
      </c>
      <c r="P1308" s="99">
        <f>IFERROR(VLOOKUP(B1308,'Pre-Summary'!$BS$6:$BU$35,3,FALSE),P1307)</f>
        <v>0.3</v>
      </c>
      <c r="Q1308" s="54">
        <f t="shared" si="60"/>
        <v>4</v>
      </c>
      <c r="R1308" s="53">
        <f>IFERROR(VLOOKUP(B1308,'Pre-Summary'!$BG$6:$BM$44,7,FALSE),R1309)</f>
        <v>8.2734025573422298E-2</v>
      </c>
      <c r="S1308" s="53">
        <f>IFERROR(VLOOKUP(B1308,'Pre-Summary'!$BG$6:$BM$44,6,FALSE),S1309)</f>
        <v>7.7866004962824142E-2</v>
      </c>
      <c r="T1308" s="45" t="str">
        <f>IFERROR(VLOOKUP(B1308,'Pre-Summary'!$Y$6:$AC$83, 3,FALSE),"")</f>
        <v/>
      </c>
      <c r="U1308" s="45" t="str">
        <f>IFERROR(VLOOKUP(B1308,'Pre-Summary'!$Y$6:$AC$83, 4,FALSE),"")</f>
        <v/>
      </c>
      <c r="V1308" t="str">
        <f>IFERROR(VLOOKUP(B1308,'Pre-Summary'!$Y$6:$AC$83, 5,FALSE),"")</f>
        <v/>
      </c>
      <c r="W1308" s="45" t="str">
        <f>IFERROR(VLOOKUP(B1308,'Pre-Summary'!$Y$6:$AD$83,6,FALSE),"")</f>
        <v/>
      </c>
      <c r="X1308" t="str">
        <f>IFERROR(VLOOKUP('Pre-Summary'!$DB$6:$DD$63,3,FALSE),"")</f>
        <v/>
      </c>
      <c r="Y1308" t="str">
        <f>IFERROR(VLOOKUP(B1308,'Pre-Summary'!$CR$6:$CT$36,3,FALSE),"")</f>
        <v/>
      </c>
      <c r="Z1308" s="45" t="str">
        <f>IFERROR(VLOOKUP(B1308,'Pre-Summary'!$BZ$6:$CB$63,2,FALSE),"")</f>
        <v/>
      </c>
      <c r="AA1308" s="45" t="str">
        <f>IFERROR(VLOOKUP(B1308,'Pre-Summary'!$CG$6:$CI$70,2,FALSE),"")</f>
        <v/>
      </c>
      <c r="AB1308" s="99">
        <f>IFERROR(VLOOKUP(B1308,'Pre-Summary'!$A$6:$P$178,9,FALSE),AB1309)</f>
        <v>0.29951034906156815</v>
      </c>
      <c r="AC1308" s="10">
        <f>IFERROR(VLOOKUP(Summary!B1308,'Pre-Summary'!$A$6:$P$184,5, FALSE)/100,AC1309)</f>
        <v>0.87194233333333326</v>
      </c>
      <c r="AD1308" s="10">
        <f>IFERROR(VLOOKUP(Summary!B1308,'Pre-Summary'!$A$6:$P$184,3, FALSE)/100,AD1309)</f>
        <v>0.11797166666666667</v>
      </c>
      <c r="AE1308" s="10">
        <f>IFERROR(VLOOKUP(Summary!B1308,'Pre-Summary'!$A$6:$P$184,7, FALSE)/100,AE1309)</f>
        <v>1.0085666666666666E-2</v>
      </c>
      <c r="AF1308" s="99">
        <f t="shared" si="61"/>
        <v>3.5333735062708295E-2</v>
      </c>
      <c r="AG1308" s="99">
        <f t="shared" si="62"/>
        <v>3.0207615438519559E-3</v>
      </c>
      <c r="AH1308" s="10" t="str">
        <f>IFERROR(VLOOKUP(B1308,'Pre-Summary'!$AZ$6:$BE$65,3,FALSE),"")</f>
        <v/>
      </c>
      <c r="AI1308" s="10" t="str">
        <f>IFERROR(VLOOKUP(B1308,'Pre-Summary'!$AZ$6:$BE$65,5,FALSE),"")</f>
        <v/>
      </c>
      <c r="AJ1308" s="10" t="str">
        <f>IFERROR(VLOOKUP(B1308,'Pre-Summary'!$AZ$6:$BE$65,4,FALSE),"")</f>
        <v/>
      </c>
      <c r="AK1308" s="10" t="str">
        <f>IFERROR(VLOOKUP(B1308,'Pre-Summary'!$AZ$6:$BE$65,6,FALSE),"")</f>
        <v/>
      </c>
      <c r="AL1308" s="10" t="str">
        <f>IFERROR(VLOOKUP(B1308,'Pre-Summary'!$BG$6:$BL$44,3,FALSE),"")</f>
        <v/>
      </c>
      <c r="AM1308" s="10" t="str">
        <f>IFERROR(VLOOKUP(B1308,'Pre-Summary'!$BG$6:$BL$44,4,FALSE),"")</f>
        <v/>
      </c>
    </row>
    <row r="1309" spans="2:39" ht="15" customHeight="1" x14ac:dyDescent="0.3">
      <c r="B1309">
        <v>130.6</v>
      </c>
      <c r="C1309" t="str">
        <f>IFERROR(VLOOKUP(B1309,'Pre-Summary'!$DI$6:$DM$23,4,FALSE),"")</f>
        <v/>
      </c>
      <c r="D1309" s="10" t="str">
        <f>IFERROR(VLOOKUP(B1309,'Pre-Summary'!$AT$6:$AX$14,5,FALSE),D1308)</f>
        <v>Speece: put in Speece media + EDTA + cysteine + vitamins as in DSMZ 120</v>
      </c>
      <c r="E1309" s="10" t="str">
        <f>IFERROR(VLOOKUP(B1309,'Pre-Summary'!$AT$6:$AX$15,4,FALSE),"")</f>
        <v/>
      </c>
      <c r="F1309">
        <f>IFERROR(VLOOKUP(B1309,'Pre-Summary'!$AL$6:$AQ$13,6,FALSE),F1308)</f>
        <v>5.9405263157894746E-2</v>
      </c>
      <c r="G1309" t="str">
        <f>IFERROR(VLOOKUP(B1309,'Pre-Summary'!$AE$6:$AJ$85,3,FALSE),"")</f>
        <v/>
      </c>
      <c r="H1309" t="str">
        <f>IFERROR(VLOOKUP(B1309,'Pre-Summary'!$AE$6:$AJ$85,4,FALSE),"")</f>
        <v/>
      </c>
      <c r="I1309" t="str">
        <f>IFERROR(VLOOKUP(B1309,'Pre-Summary'!$AE$6:$AJ$85,5,FALSE),"")</f>
        <v/>
      </c>
      <c r="J1309" s="45" t="str">
        <f>IFERROR(VLOOKUP(B1309,'Pre-Summary'!$AE$6:$AJ$85,6, FALSE),"")</f>
        <v/>
      </c>
      <c r="K1309" s="45" t="str">
        <f>IFERROR(VLOOKUP(B1309,'Pre-Summary'!$DE$6:$DG$61,3,FALSE),"")</f>
        <v/>
      </c>
      <c r="L1309" s="45" t="str">
        <f>IFERROR(VLOOKUP(B1309,'Pre-Summary'!$CU$6:$CW$36,3,FALSE),"")</f>
        <v/>
      </c>
      <c r="M1309" s="45" t="str">
        <f>IFERROR(VLOOKUP(B1309,'Pre-Summary'!$BW$6:$BY$58,2,FALSE),"")</f>
        <v/>
      </c>
      <c r="N1309" s="45" t="str">
        <f>IFERROR(VLOOKUP(B1309,'Pre-Summary'!$CD$6:$CF$64,2,FALSE),"")</f>
        <v/>
      </c>
      <c r="O1309" s="99">
        <f>IFERROR(VLOOKUP(B1309,'Pre-Summary'!$BO$6:$BQ$48,3, FALSE),O1308)</f>
        <v>1.2</v>
      </c>
      <c r="P1309" s="99">
        <f>IFERROR(VLOOKUP(B1309,'Pre-Summary'!$BS$6:$BU$35,3,FALSE),P1308)</f>
        <v>0.3</v>
      </c>
      <c r="Q1309" s="54">
        <f t="shared" si="60"/>
        <v>4</v>
      </c>
      <c r="R1309" s="53">
        <f>IFERROR(VLOOKUP(B1309,'Pre-Summary'!$BG$6:$BM$44,7,FALSE),R1310)</f>
        <v>8.2734025573422298E-2</v>
      </c>
      <c r="S1309" s="53">
        <f>IFERROR(VLOOKUP(B1309,'Pre-Summary'!$BG$6:$BM$44,6,FALSE),S1310)</f>
        <v>7.7866004962824142E-2</v>
      </c>
      <c r="T1309" s="45" t="str">
        <f>IFERROR(VLOOKUP(B1309,'Pre-Summary'!$Y$6:$AC$83, 3,FALSE),"")</f>
        <v/>
      </c>
      <c r="U1309" s="45" t="str">
        <f>IFERROR(VLOOKUP(B1309,'Pre-Summary'!$Y$6:$AC$83, 4,FALSE),"")</f>
        <v/>
      </c>
      <c r="V1309" t="str">
        <f>IFERROR(VLOOKUP(B1309,'Pre-Summary'!$Y$6:$AC$83, 5,FALSE),"")</f>
        <v/>
      </c>
      <c r="W1309" s="45" t="str">
        <f>IFERROR(VLOOKUP(B1309,'Pre-Summary'!$Y$6:$AD$83,6,FALSE),"")</f>
        <v/>
      </c>
      <c r="X1309" t="str">
        <f>IFERROR(VLOOKUP('Pre-Summary'!$DB$6:$DD$63,3,FALSE),"")</f>
        <v/>
      </c>
      <c r="Y1309" t="str">
        <f>IFERROR(VLOOKUP(B1309,'Pre-Summary'!$CR$6:$CT$36,3,FALSE),"")</f>
        <v/>
      </c>
      <c r="Z1309" s="45" t="str">
        <f>IFERROR(VLOOKUP(B1309,'Pre-Summary'!$BZ$6:$CB$63,2,FALSE),"")</f>
        <v/>
      </c>
      <c r="AA1309" s="45" t="str">
        <f>IFERROR(VLOOKUP(B1309,'Pre-Summary'!$CG$6:$CI$70,2,FALSE),"")</f>
        <v/>
      </c>
      <c r="AB1309" s="99">
        <f>IFERROR(VLOOKUP(B1309,'Pre-Summary'!$A$6:$P$178,9,FALSE),AB1310)</f>
        <v>0.29951034906156815</v>
      </c>
      <c r="AC1309" s="10">
        <f>IFERROR(VLOOKUP(Summary!B1309,'Pre-Summary'!$A$6:$P$184,5, FALSE)/100,AC1310)</f>
        <v>0.87194233333333326</v>
      </c>
      <c r="AD1309" s="10">
        <f>IFERROR(VLOOKUP(Summary!B1309,'Pre-Summary'!$A$6:$P$184,3, FALSE)/100,AD1310)</f>
        <v>0.11797166666666667</v>
      </c>
      <c r="AE1309" s="10">
        <f>IFERROR(VLOOKUP(Summary!B1309,'Pre-Summary'!$A$6:$P$184,7, FALSE)/100,AE1310)</f>
        <v>1.0085666666666666E-2</v>
      </c>
      <c r="AF1309" s="99">
        <f t="shared" si="61"/>
        <v>3.5333735062708295E-2</v>
      </c>
      <c r="AG1309" s="99">
        <f t="shared" si="62"/>
        <v>3.0207615438519559E-3</v>
      </c>
      <c r="AH1309" s="10" t="str">
        <f>IFERROR(VLOOKUP(B1309,'Pre-Summary'!$AZ$6:$BE$65,3,FALSE),"")</f>
        <v/>
      </c>
      <c r="AI1309" s="10" t="str">
        <f>IFERROR(VLOOKUP(B1309,'Pre-Summary'!$AZ$6:$BE$65,5,FALSE),"")</f>
        <v/>
      </c>
      <c r="AJ1309" s="10" t="str">
        <f>IFERROR(VLOOKUP(B1309,'Pre-Summary'!$AZ$6:$BE$65,4,FALSE),"")</f>
        <v/>
      </c>
      <c r="AK1309" s="10" t="str">
        <f>IFERROR(VLOOKUP(B1309,'Pre-Summary'!$AZ$6:$BE$65,6,FALSE),"")</f>
        <v/>
      </c>
      <c r="AL1309" s="10" t="str">
        <f>IFERROR(VLOOKUP(B1309,'Pre-Summary'!$BG$6:$BL$44,3,FALSE),"")</f>
        <v/>
      </c>
      <c r="AM1309" s="10" t="str">
        <f>IFERROR(VLOOKUP(B1309,'Pre-Summary'!$BG$6:$BL$44,4,FALSE),"")</f>
        <v/>
      </c>
    </row>
    <row r="1310" spans="2:39" ht="15" customHeight="1" x14ac:dyDescent="0.3">
      <c r="B1310">
        <v>130.69999999999999</v>
      </c>
      <c r="C1310" t="str">
        <f>IFERROR(VLOOKUP(B1310,'Pre-Summary'!$DI$6:$DM$23,4,FALSE),"")</f>
        <v/>
      </c>
      <c r="D1310" s="10" t="str">
        <f>IFERROR(VLOOKUP(B1310,'Pre-Summary'!$AT$6:$AX$14,5,FALSE),D1309)</f>
        <v>Speece: put in Speece media + EDTA + cysteine + vitamins as in DSMZ 120</v>
      </c>
      <c r="E1310" s="10" t="str">
        <f>IFERROR(VLOOKUP(B1310,'Pre-Summary'!$AT$6:$AX$15,4,FALSE),"")</f>
        <v/>
      </c>
      <c r="F1310">
        <f>IFERROR(VLOOKUP(B1310,'Pre-Summary'!$AL$6:$AQ$13,6,FALSE),F1309)</f>
        <v>5.9405263157894746E-2</v>
      </c>
      <c r="G1310" t="str">
        <f>IFERROR(VLOOKUP(B1310,'Pre-Summary'!$AE$6:$AJ$85,3,FALSE),"")</f>
        <v/>
      </c>
      <c r="H1310" t="str">
        <f>IFERROR(VLOOKUP(B1310,'Pre-Summary'!$AE$6:$AJ$85,4,FALSE),"")</f>
        <v/>
      </c>
      <c r="I1310" t="str">
        <f>IFERROR(VLOOKUP(B1310,'Pre-Summary'!$AE$6:$AJ$85,5,FALSE),"")</f>
        <v/>
      </c>
      <c r="J1310" s="45" t="str">
        <f>IFERROR(VLOOKUP(B1310,'Pre-Summary'!$AE$6:$AJ$85,6, FALSE),"")</f>
        <v/>
      </c>
      <c r="K1310" s="45" t="str">
        <f>IFERROR(VLOOKUP(B1310,'Pre-Summary'!$DE$6:$DG$61,3,FALSE),"")</f>
        <v/>
      </c>
      <c r="L1310" s="45" t="str">
        <f>IFERROR(VLOOKUP(B1310,'Pre-Summary'!$CU$6:$CW$36,3,FALSE),"")</f>
        <v/>
      </c>
      <c r="M1310" s="45" t="str">
        <f>IFERROR(VLOOKUP(B1310,'Pre-Summary'!$BW$6:$BY$58,2,FALSE),"")</f>
        <v/>
      </c>
      <c r="N1310" s="45" t="str">
        <f>IFERROR(VLOOKUP(B1310,'Pre-Summary'!$CD$6:$CF$64,2,FALSE),"")</f>
        <v/>
      </c>
      <c r="O1310" s="99">
        <f>IFERROR(VLOOKUP(B1310,'Pre-Summary'!$BO$6:$BQ$48,3, FALSE),O1309)</f>
        <v>1.2</v>
      </c>
      <c r="P1310" s="99">
        <f>IFERROR(VLOOKUP(B1310,'Pre-Summary'!$BS$6:$BU$35,3,FALSE),P1309)</f>
        <v>0.3</v>
      </c>
      <c r="Q1310" s="54">
        <f t="shared" si="60"/>
        <v>4</v>
      </c>
      <c r="R1310" s="53">
        <f>IFERROR(VLOOKUP(B1310,'Pre-Summary'!$BG$6:$BM$44,7,FALSE),R1311)</f>
        <v>8.2734025573422298E-2</v>
      </c>
      <c r="S1310" s="53">
        <f>IFERROR(VLOOKUP(B1310,'Pre-Summary'!$BG$6:$BM$44,6,FALSE),S1311)</f>
        <v>7.7866004962824142E-2</v>
      </c>
      <c r="T1310" s="45" t="str">
        <f>IFERROR(VLOOKUP(B1310,'Pre-Summary'!$Y$6:$AC$83, 3,FALSE),"")</f>
        <v/>
      </c>
      <c r="U1310" s="45" t="str">
        <f>IFERROR(VLOOKUP(B1310,'Pre-Summary'!$Y$6:$AC$83, 4,FALSE),"")</f>
        <v/>
      </c>
      <c r="V1310" t="str">
        <f>IFERROR(VLOOKUP(B1310,'Pre-Summary'!$Y$6:$AC$83, 5,FALSE),"")</f>
        <v/>
      </c>
      <c r="W1310" s="45" t="str">
        <f>IFERROR(VLOOKUP(B1310,'Pre-Summary'!$Y$6:$AD$83,6,FALSE),"")</f>
        <v/>
      </c>
      <c r="X1310" t="str">
        <f>IFERROR(VLOOKUP('Pre-Summary'!$DB$6:$DD$63,3,FALSE),"")</f>
        <v/>
      </c>
      <c r="Y1310" t="str">
        <f>IFERROR(VLOOKUP(B1310,'Pre-Summary'!$CR$6:$CT$36,3,FALSE),"")</f>
        <v/>
      </c>
      <c r="Z1310" s="45" t="str">
        <f>IFERROR(VLOOKUP(B1310,'Pre-Summary'!$BZ$6:$CB$63,2,FALSE),"")</f>
        <v/>
      </c>
      <c r="AA1310" s="45" t="str">
        <f>IFERROR(VLOOKUP(B1310,'Pre-Summary'!$CG$6:$CI$70,2,FALSE),"")</f>
        <v/>
      </c>
      <c r="AB1310" s="99">
        <f>IFERROR(VLOOKUP(B1310,'Pre-Summary'!$A$6:$P$178,9,FALSE),AB1311)</f>
        <v>0.29951034906156815</v>
      </c>
      <c r="AC1310" s="10">
        <f>IFERROR(VLOOKUP(Summary!B1310,'Pre-Summary'!$A$6:$P$184,5, FALSE)/100,AC1311)</f>
        <v>0.87194233333333326</v>
      </c>
      <c r="AD1310" s="10">
        <f>IFERROR(VLOOKUP(Summary!B1310,'Pre-Summary'!$A$6:$P$184,3, FALSE)/100,AD1311)</f>
        <v>0.11797166666666667</v>
      </c>
      <c r="AE1310" s="10">
        <f>IFERROR(VLOOKUP(Summary!B1310,'Pre-Summary'!$A$6:$P$184,7, FALSE)/100,AE1311)</f>
        <v>1.0085666666666666E-2</v>
      </c>
      <c r="AF1310" s="99">
        <f t="shared" si="61"/>
        <v>3.5333735062708295E-2</v>
      </c>
      <c r="AG1310" s="99">
        <f t="shared" si="62"/>
        <v>3.0207615438519559E-3</v>
      </c>
      <c r="AH1310" s="10" t="str">
        <f>IFERROR(VLOOKUP(B1310,'Pre-Summary'!$AZ$6:$BE$65,3,FALSE),"")</f>
        <v/>
      </c>
      <c r="AI1310" s="10" t="str">
        <f>IFERROR(VLOOKUP(B1310,'Pre-Summary'!$AZ$6:$BE$65,5,FALSE),"")</f>
        <v/>
      </c>
      <c r="AJ1310" s="10" t="str">
        <f>IFERROR(VLOOKUP(B1310,'Pre-Summary'!$AZ$6:$BE$65,4,FALSE),"")</f>
        <v/>
      </c>
      <c r="AK1310" s="10" t="str">
        <f>IFERROR(VLOOKUP(B1310,'Pre-Summary'!$AZ$6:$BE$65,6,FALSE),"")</f>
        <v/>
      </c>
      <c r="AL1310" s="10" t="str">
        <f>IFERROR(VLOOKUP(B1310,'Pre-Summary'!$BG$6:$BL$44,3,FALSE),"")</f>
        <v/>
      </c>
      <c r="AM1310" s="10" t="str">
        <f>IFERROR(VLOOKUP(B1310,'Pre-Summary'!$BG$6:$BL$44,4,FALSE),"")</f>
        <v/>
      </c>
    </row>
    <row r="1311" spans="2:39" ht="15" customHeight="1" x14ac:dyDescent="0.3">
      <c r="B1311">
        <v>130.80000000000001</v>
      </c>
      <c r="C1311" t="str">
        <f>IFERROR(VLOOKUP(B1311,'Pre-Summary'!$DI$6:$DM$23,4,FALSE),"")</f>
        <v/>
      </c>
      <c r="D1311" s="10" t="str">
        <f>IFERROR(VLOOKUP(B1311,'Pre-Summary'!$AT$6:$AX$14,5,FALSE),D1310)</f>
        <v>Speece: put in Speece media + EDTA + cysteine + vitamins as in DSMZ 120</v>
      </c>
      <c r="E1311" s="10" t="str">
        <f>IFERROR(VLOOKUP(B1311,'Pre-Summary'!$AT$6:$AX$15,4,FALSE),"")</f>
        <v/>
      </c>
      <c r="F1311">
        <f>IFERROR(VLOOKUP(B1311,'Pre-Summary'!$AL$6:$AQ$13,6,FALSE),F1310)</f>
        <v>5.9405263157894746E-2</v>
      </c>
      <c r="G1311" t="str">
        <f>IFERROR(VLOOKUP(B1311,'Pre-Summary'!$AE$6:$AJ$85,3,FALSE),"")</f>
        <v/>
      </c>
      <c r="H1311" t="str">
        <f>IFERROR(VLOOKUP(B1311,'Pre-Summary'!$AE$6:$AJ$85,4,FALSE),"")</f>
        <v/>
      </c>
      <c r="I1311" t="str">
        <f>IFERROR(VLOOKUP(B1311,'Pre-Summary'!$AE$6:$AJ$85,5,FALSE),"")</f>
        <v/>
      </c>
      <c r="J1311" s="45" t="str">
        <f>IFERROR(VLOOKUP(B1311,'Pre-Summary'!$AE$6:$AJ$85,6, FALSE),"")</f>
        <v/>
      </c>
      <c r="K1311" s="45" t="str">
        <f>IFERROR(VLOOKUP(B1311,'Pre-Summary'!$DE$6:$DG$61,3,FALSE),"")</f>
        <v/>
      </c>
      <c r="L1311" s="45" t="str">
        <f>IFERROR(VLOOKUP(B1311,'Pre-Summary'!$CU$6:$CW$36,3,FALSE),"")</f>
        <v/>
      </c>
      <c r="M1311" s="45" t="str">
        <f>IFERROR(VLOOKUP(B1311,'Pre-Summary'!$BW$6:$BY$58,2,FALSE),"")</f>
        <v/>
      </c>
      <c r="N1311" s="45" t="str">
        <f>IFERROR(VLOOKUP(B1311,'Pre-Summary'!$CD$6:$CF$64,2,FALSE),"")</f>
        <v/>
      </c>
      <c r="O1311" s="99">
        <f>IFERROR(VLOOKUP(B1311,'Pre-Summary'!$BO$6:$BQ$48,3, FALSE),O1310)</f>
        <v>1.2</v>
      </c>
      <c r="P1311" s="99">
        <f>IFERROR(VLOOKUP(B1311,'Pre-Summary'!$BS$6:$BU$35,3,FALSE),P1310)</f>
        <v>0.3</v>
      </c>
      <c r="Q1311" s="54">
        <f t="shared" si="60"/>
        <v>4</v>
      </c>
      <c r="R1311" s="53">
        <f>IFERROR(VLOOKUP(B1311,'Pre-Summary'!$BG$6:$BM$44,7,FALSE),R1312)</f>
        <v>8.2734025573422298E-2</v>
      </c>
      <c r="S1311" s="53">
        <f>IFERROR(VLOOKUP(B1311,'Pre-Summary'!$BG$6:$BM$44,6,FALSE),S1312)</f>
        <v>7.7866004962824142E-2</v>
      </c>
      <c r="T1311" s="45" t="str">
        <f>IFERROR(VLOOKUP(B1311,'Pre-Summary'!$Y$6:$AC$83, 3,FALSE),"")</f>
        <v/>
      </c>
      <c r="U1311" s="45" t="str">
        <f>IFERROR(VLOOKUP(B1311,'Pre-Summary'!$Y$6:$AC$83, 4,FALSE),"")</f>
        <v/>
      </c>
      <c r="V1311" t="str">
        <f>IFERROR(VLOOKUP(B1311,'Pre-Summary'!$Y$6:$AC$83, 5,FALSE),"")</f>
        <v/>
      </c>
      <c r="W1311" s="45" t="str">
        <f>IFERROR(VLOOKUP(B1311,'Pre-Summary'!$Y$6:$AD$83,6,FALSE),"")</f>
        <v/>
      </c>
      <c r="X1311" t="str">
        <f>IFERROR(VLOOKUP('Pre-Summary'!$DB$6:$DD$63,3,FALSE),"")</f>
        <v/>
      </c>
      <c r="Y1311" t="str">
        <f>IFERROR(VLOOKUP(B1311,'Pre-Summary'!$CR$6:$CT$36,3,FALSE),"")</f>
        <v/>
      </c>
      <c r="Z1311" s="45" t="str">
        <f>IFERROR(VLOOKUP(B1311,'Pre-Summary'!$BZ$6:$CB$63,2,FALSE),"")</f>
        <v/>
      </c>
      <c r="AA1311" s="45" t="str">
        <f>IFERROR(VLOOKUP(B1311,'Pre-Summary'!$CG$6:$CI$70,2,FALSE),"")</f>
        <v/>
      </c>
      <c r="AB1311" s="99">
        <f>IFERROR(VLOOKUP(B1311,'Pre-Summary'!$A$6:$P$178,9,FALSE),AB1312)</f>
        <v>0.29951034906156815</v>
      </c>
      <c r="AC1311" s="10">
        <f>IFERROR(VLOOKUP(Summary!B1311,'Pre-Summary'!$A$6:$P$184,5, FALSE)/100,AC1312)</f>
        <v>0.87194233333333326</v>
      </c>
      <c r="AD1311" s="10">
        <f>IFERROR(VLOOKUP(Summary!B1311,'Pre-Summary'!$A$6:$P$184,3, FALSE)/100,AD1312)</f>
        <v>0.11797166666666667</v>
      </c>
      <c r="AE1311" s="10">
        <f>IFERROR(VLOOKUP(Summary!B1311,'Pre-Summary'!$A$6:$P$184,7, FALSE)/100,AE1312)</f>
        <v>1.0085666666666666E-2</v>
      </c>
      <c r="AF1311" s="99">
        <f t="shared" si="61"/>
        <v>3.5333735062708295E-2</v>
      </c>
      <c r="AG1311" s="99">
        <f t="shared" si="62"/>
        <v>3.0207615438519559E-3</v>
      </c>
      <c r="AH1311" s="10" t="str">
        <f>IFERROR(VLOOKUP(B1311,'Pre-Summary'!$AZ$6:$BE$65,3,FALSE),"")</f>
        <v/>
      </c>
      <c r="AI1311" s="10" t="str">
        <f>IFERROR(VLOOKUP(B1311,'Pre-Summary'!$AZ$6:$BE$65,5,FALSE),"")</f>
        <v/>
      </c>
      <c r="AJ1311" s="10" t="str">
        <f>IFERROR(VLOOKUP(B1311,'Pre-Summary'!$AZ$6:$BE$65,4,FALSE),"")</f>
        <v/>
      </c>
      <c r="AK1311" s="10" t="str">
        <f>IFERROR(VLOOKUP(B1311,'Pre-Summary'!$AZ$6:$BE$65,6,FALSE),"")</f>
        <v/>
      </c>
      <c r="AL1311" s="10" t="str">
        <f>IFERROR(VLOOKUP(B1311,'Pre-Summary'!$BG$6:$BL$44,3,FALSE),"")</f>
        <v/>
      </c>
      <c r="AM1311" s="10" t="str">
        <f>IFERROR(VLOOKUP(B1311,'Pre-Summary'!$BG$6:$BL$44,4,FALSE),"")</f>
        <v/>
      </c>
    </row>
    <row r="1312" spans="2:39" ht="15" customHeight="1" x14ac:dyDescent="0.3">
      <c r="B1312">
        <v>130.9</v>
      </c>
      <c r="C1312" t="str">
        <f>IFERROR(VLOOKUP(B1312,'Pre-Summary'!$DI$6:$DM$23,4,FALSE),"")</f>
        <v/>
      </c>
      <c r="D1312" s="10" t="str">
        <f>IFERROR(VLOOKUP(B1312,'Pre-Summary'!$AT$6:$AX$14,5,FALSE),D1311)</f>
        <v>Speece: put in Speece media + EDTA + cysteine + vitamins as in DSMZ 120</v>
      </c>
      <c r="E1312" s="10" t="str">
        <f>IFERROR(VLOOKUP(B1312,'Pre-Summary'!$AT$6:$AX$15,4,FALSE),"")</f>
        <v/>
      </c>
      <c r="F1312">
        <f>IFERROR(VLOOKUP(B1312,'Pre-Summary'!$AL$6:$AQ$13,6,FALSE),F1311)</f>
        <v>5.9405263157894746E-2</v>
      </c>
      <c r="G1312" t="str">
        <f>IFERROR(VLOOKUP(B1312,'Pre-Summary'!$AE$6:$AJ$85,3,FALSE),"")</f>
        <v/>
      </c>
      <c r="H1312" t="str">
        <f>IFERROR(VLOOKUP(B1312,'Pre-Summary'!$AE$6:$AJ$85,4,FALSE),"")</f>
        <v/>
      </c>
      <c r="I1312" t="str">
        <f>IFERROR(VLOOKUP(B1312,'Pre-Summary'!$AE$6:$AJ$85,5,FALSE),"")</f>
        <v/>
      </c>
      <c r="J1312" s="45" t="str">
        <f>IFERROR(VLOOKUP(B1312,'Pre-Summary'!$AE$6:$AJ$85,6, FALSE),"")</f>
        <v/>
      </c>
      <c r="K1312" s="45" t="str">
        <f>IFERROR(VLOOKUP(B1312,'Pre-Summary'!$DE$6:$DG$61,3,FALSE),"")</f>
        <v/>
      </c>
      <c r="L1312" s="45" t="str">
        <f>IFERROR(VLOOKUP(B1312,'Pre-Summary'!$CU$6:$CW$36,3,FALSE),"")</f>
        <v/>
      </c>
      <c r="M1312" s="45" t="str">
        <f>IFERROR(VLOOKUP(B1312,'Pre-Summary'!$BW$6:$BY$58,2,FALSE),"")</f>
        <v/>
      </c>
      <c r="N1312" s="45" t="str">
        <f>IFERROR(VLOOKUP(B1312,'Pre-Summary'!$CD$6:$CF$64,2,FALSE),"")</f>
        <v/>
      </c>
      <c r="O1312" s="99">
        <f>IFERROR(VLOOKUP(B1312,'Pre-Summary'!$BO$6:$BQ$48,3, FALSE),O1311)</f>
        <v>1.2</v>
      </c>
      <c r="P1312" s="99">
        <f>IFERROR(VLOOKUP(B1312,'Pre-Summary'!$BS$6:$BU$35,3,FALSE),P1311)</f>
        <v>0.3</v>
      </c>
      <c r="Q1312" s="54">
        <f t="shared" si="60"/>
        <v>4</v>
      </c>
      <c r="R1312" s="53">
        <f>IFERROR(VLOOKUP(B1312,'Pre-Summary'!$BG$6:$BM$44,7,FALSE),R1313)</f>
        <v>8.2734025573422298E-2</v>
      </c>
      <c r="S1312" s="53">
        <f>IFERROR(VLOOKUP(B1312,'Pre-Summary'!$BG$6:$BM$44,6,FALSE),S1313)</f>
        <v>7.7866004962824142E-2</v>
      </c>
      <c r="T1312" s="45" t="str">
        <f>IFERROR(VLOOKUP(B1312,'Pre-Summary'!$Y$6:$AC$83, 3,FALSE),"")</f>
        <v/>
      </c>
      <c r="U1312" s="45" t="str">
        <f>IFERROR(VLOOKUP(B1312,'Pre-Summary'!$Y$6:$AC$83, 4,FALSE),"")</f>
        <v/>
      </c>
      <c r="V1312" t="str">
        <f>IFERROR(VLOOKUP(B1312,'Pre-Summary'!$Y$6:$AC$83, 5,FALSE),"")</f>
        <v/>
      </c>
      <c r="W1312" s="45" t="str">
        <f>IFERROR(VLOOKUP(B1312,'Pre-Summary'!$Y$6:$AD$83,6,FALSE),"")</f>
        <v/>
      </c>
      <c r="X1312" t="str">
        <f>IFERROR(VLOOKUP('Pre-Summary'!$DB$6:$DD$63,3,FALSE),"")</f>
        <v/>
      </c>
      <c r="Y1312" t="str">
        <f>IFERROR(VLOOKUP(B1312,'Pre-Summary'!$CR$6:$CT$36,3,FALSE),"")</f>
        <v/>
      </c>
      <c r="Z1312" s="45" t="str">
        <f>IFERROR(VLOOKUP(B1312,'Pre-Summary'!$BZ$6:$CB$63,2,FALSE),"")</f>
        <v/>
      </c>
      <c r="AA1312" s="45" t="str">
        <f>IFERROR(VLOOKUP(B1312,'Pre-Summary'!$CG$6:$CI$70,2,FALSE),"")</f>
        <v/>
      </c>
      <c r="AB1312" s="99">
        <f>IFERROR(VLOOKUP(B1312,'Pre-Summary'!$A$6:$P$178,9,FALSE),AB1313)</f>
        <v>0.29951034906156815</v>
      </c>
      <c r="AC1312" s="10">
        <f>IFERROR(VLOOKUP(Summary!B1312,'Pre-Summary'!$A$6:$P$184,5, FALSE)/100,AC1313)</f>
        <v>0.87194233333333326</v>
      </c>
      <c r="AD1312" s="10">
        <f>IFERROR(VLOOKUP(Summary!B1312,'Pre-Summary'!$A$6:$P$184,3, FALSE)/100,AD1313)</f>
        <v>0.11797166666666667</v>
      </c>
      <c r="AE1312" s="10">
        <f>IFERROR(VLOOKUP(Summary!B1312,'Pre-Summary'!$A$6:$P$184,7, FALSE)/100,AE1313)</f>
        <v>1.0085666666666666E-2</v>
      </c>
      <c r="AF1312" s="99">
        <f t="shared" si="61"/>
        <v>3.5333735062708295E-2</v>
      </c>
      <c r="AG1312" s="99">
        <f t="shared" si="62"/>
        <v>3.0207615438519559E-3</v>
      </c>
      <c r="AH1312" s="10" t="str">
        <f>IFERROR(VLOOKUP(B1312,'Pre-Summary'!$AZ$6:$BE$65,3,FALSE),"")</f>
        <v/>
      </c>
      <c r="AI1312" s="10" t="str">
        <f>IFERROR(VLOOKUP(B1312,'Pre-Summary'!$AZ$6:$BE$65,5,FALSE),"")</f>
        <v/>
      </c>
      <c r="AJ1312" s="10" t="str">
        <f>IFERROR(VLOOKUP(B1312,'Pre-Summary'!$AZ$6:$BE$65,4,FALSE),"")</f>
        <v/>
      </c>
      <c r="AK1312" s="10" t="str">
        <f>IFERROR(VLOOKUP(B1312,'Pre-Summary'!$AZ$6:$BE$65,6,FALSE),"")</f>
        <v/>
      </c>
      <c r="AL1312" s="10" t="str">
        <f>IFERROR(VLOOKUP(B1312,'Pre-Summary'!$BG$6:$BL$44,3,FALSE),"")</f>
        <v/>
      </c>
      <c r="AM1312" s="10" t="str">
        <f>IFERROR(VLOOKUP(B1312,'Pre-Summary'!$BG$6:$BL$44,4,FALSE),"")</f>
        <v/>
      </c>
    </row>
    <row r="1313" spans="2:39" ht="15" customHeight="1" x14ac:dyDescent="0.3">
      <c r="B1313">
        <v>131</v>
      </c>
      <c r="C1313" t="str">
        <f>IFERROR(VLOOKUP(B1313,'Pre-Summary'!$DI$6:$DM$23,4,FALSE),"")</f>
        <v/>
      </c>
      <c r="D1313" s="10" t="str">
        <f>IFERROR(VLOOKUP(B1313,'Pre-Summary'!$AT$6:$AX$14,5,FALSE),D1312)</f>
        <v>Speece: put in Speece media + EDTA + cysteine + vitamins as in DSMZ 120</v>
      </c>
      <c r="E1313" s="10" t="str">
        <f>IFERROR(VLOOKUP(B1313,'Pre-Summary'!$AT$6:$AX$15,4,FALSE),"")</f>
        <v/>
      </c>
      <c r="F1313">
        <f>IFERROR(VLOOKUP(B1313,'Pre-Summary'!$AL$6:$AQ$13,6,FALSE),F1312)</f>
        <v>5.9405263157894746E-2</v>
      </c>
      <c r="G1313" t="str">
        <f>IFERROR(VLOOKUP(B1313,'Pre-Summary'!$AE$6:$AJ$85,3,FALSE),"")</f>
        <v/>
      </c>
      <c r="H1313" t="str">
        <f>IFERROR(VLOOKUP(B1313,'Pre-Summary'!$AE$6:$AJ$85,4,FALSE),"")</f>
        <v/>
      </c>
      <c r="I1313" t="str">
        <f>IFERROR(VLOOKUP(B1313,'Pre-Summary'!$AE$6:$AJ$85,5,FALSE),"")</f>
        <v/>
      </c>
      <c r="J1313" s="45" t="str">
        <f>IFERROR(VLOOKUP(B1313,'Pre-Summary'!$AE$6:$AJ$85,6, FALSE),"")</f>
        <v/>
      </c>
      <c r="K1313" s="45" t="str">
        <f>IFERROR(VLOOKUP(B1313,'Pre-Summary'!$DE$6:$DG$61,3,FALSE),"")</f>
        <v/>
      </c>
      <c r="L1313" s="45" t="str">
        <f>IFERROR(VLOOKUP(B1313,'Pre-Summary'!$CU$6:$CW$36,3,FALSE),"")</f>
        <v/>
      </c>
      <c r="M1313" s="45" t="str">
        <f>IFERROR(VLOOKUP(B1313,'Pre-Summary'!$BW$6:$BY$58,2,FALSE),"")</f>
        <v/>
      </c>
      <c r="N1313" s="45" t="str">
        <f>IFERROR(VLOOKUP(B1313,'Pre-Summary'!$CD$6:$CF$64,2,FALSE),"")</f>
        <v/>
      </c>
      <c r="O1313" s="99">
        <f>IFERROR(VLOOKUP(B1313,'Pre-Summary'!$BO$6:$BQ$48,3, FALSE),O1312)</f>
        <v>1.2</v>
      </c>
      <c r="P1313" s="99">
        <f>IFERROR(VLOOKUP(B1313,'Pre-Summary'!$BS$6:$BU$35,3,FALSE),P1312)</f>
        <v>0.3</v>
      </c>
      <c r="Q1313" s="54">
        <f t="shared" si="60"/>
        <v>4</v>
      </c>
      <c r="R1313" s="53">
        <f>IFERROR(VLOOKUP(B1313,'Pre-Summary'!$BG$6:$BM$44,7,FALSE),R1314)</f>
        <v>8.2734025573422298E-2</v>
      </c>
      <c r="S1313" s="53">
        <f>IFERROR(VLOOKUP(B1313,'Pre-Summary'!$BG$6:$BM$44,6,FALSE),S1314)</f>
        <v>7.7866004962824142E-2</v>
      </c>
      <c r="T1313" s="45" t="str">
        <f>IFERROR(VLOOKUP(B1313,'Pre-Summary'!$Y$6:$AC$83, 3,FALSE),"")</f>
        <v/>
      </c>
      <c r="U1313" s="45" t="str">
        <f>IFERROR(VLOOKUP(B1313,'Pre-Summary'!$Y$6:$AC$83, 4,FALSE),"")</f>
        <v/>
      </c>
      <c r="V1313" t="str">
        <f>IFERROR(VLOOKUP(B1313,'Pre-Summary'!$Y$6:$AC$83, 5,FALSE),"")</f>
        <v/>
      </c>
      <c r="W1313" s="45" t="str">
        <f>IFERROR(VLOOKUP(B1313,'Pre-Summary'!$Y$6:$AD$83,6,FALSE),"")</f>
        <v/>
      </c>
      <c r="X1313" t="str">
        <f>IFERROR(VLOOKUP('Pre-Summary'!$DB$6:$DD$63,3,FALSE),"")</f>
        <v/>
      </c>
      <c r="Y1313" t="str">
        <f>IFERROR(VLOOKUP(B1313,'Pre-Summary'!$CR$6:$CT$36,3,FALSE),"")</f>
        <v/>
      </c>
      <c r="Z1313" s="45" t="str">
        <f>IFERROR(VLOOKUP(B1313,'Pre-Summary'!$BZ$6:$CB$63,2,FALSE),"")</f>
        <v/>
      </c>
      <c r="AA1313" s="45" t="str">
        <f>IFERROR(VLOOKUP(B1313,'Pre-Summary'!$CG$6:$CI$70,2,FALSE),"")</f>
        <v/>
      </c>
      <c r="AB1313" s="99">
        <f>IFERROR(VLOOKUP(B1313,'Pre-Summary'!$A$6:$P$178,9,FALSE),AB1314)</f>
        <v>0.29951034906156815</v>
      </c>
      <c r="AC1313" s="10">
        <f>IFERROR(VLOOKUP(Summary!B1313,'Pre-Summary'!$A$6:$P$184,5, FALSE)/100,AC1314)</f>
        <v>0.87194233333333326</v>
      </c>
      <c r="AD1313" s="10">
        <f>IFERROR(VLOOKUP(Summary!B1313,'Pre-Summary'!$A$6:$P$184,3, FALSE)/100,AD1314)</f>
        <v>0.11797166666666667</v>
      </c>
      <c r="AE1313" s="10">
        <f>IFERROR(VLOOKUP(Summary!B1313,'Pre-Summary'!$A$6:$P$184,7, FALSE)/100,AE1314)</f>
        <v>1.0085666666666666E-2</v>
      </c>
      <c r="AF1313" s="99">
        <f t="shared" si="61"/>
        <v>3.5333735062708295E-2</v>
      </c>
      <c r="AG1313" s="99">
        <f t="shared" si="62"/>
        <v>3.0207615438519559E-3</v>
      </c>
      <c r="AH1313" s="10" t="str">
        <f>IFERROR(VLOOKUP(B1313,'Pre-Summary'!$AZ$6:$BE$65,3,FALSE),"")</f>
        <v/>
      </c>
      <c r="AI1313" s="10" t="str">
        <f>IFERROR(VLOOKUP(B1313,'Pre-Summary'!$AZ$6:$BE$65,5,FALSE),"")</f>
        <v/>
      </c>
      <c r="AJ1313" s="10" t="str">
        <f>IFERROR(VLOOKUP(B1313,'Pre-Summary'!$AZ$6:$BE$65,4,FALSE),"")</f>
        <v/>
      </c>
      <c r="AK1313" s="10" t="str">
        <f>IFERROR(VLOOKUP(B1313,'Pre-Summary'!$AZ$6:$BE$65,6,FALSE),"")</f>
        <v/>
      </c>
      <c r="AL1313" s="10" t="str">
        <f>IFERROR(VLOOKUP(B1313,'Pre-Summary'!$BG$6:$BL$44,3,FALSE),"")</f>
        <v/>
      </c>
      <c r="AM1313" s="10" t="str">
        <f>IFERROR(VLOOKUP(B1313,'Pre-Summary'!$BG$6:$BL$44,4,FALSE),"")</f>
        <v/>
      </c>
    </row>
    <row r="1314" spans="2:39" ht="15" customHeight="1" x14ac:dyDescent="0.3">
      <c r="B1314">
        <v>131.1</v>
      </c>
      <c r="C1314" t="str">
        <f>IFERROR(VLOOKUP(B1314,'Pre-Summary'!$DI$6:$DM$23,4,FALSE),"")</f>
        <v/>
      </c>
      <c r="D1314" s="10" t="str">
        <f>IFERROR(VLOOKUP(B1314,'Pre-Summary'!$AT$6:$AX$14,5,FALSE),D1313)</f>
        <v>Speece: put in Speece media + EDTA + cysteine + vitamins as in DSMZ 120</v>
      </c>
      <c r="E1314" s="10" t="str">
        <f>IFERROR(VLOOKUP(B1314,'Pre-Summary'!$AT$6:$AX$15,4,FALSE),"")</f>
        <v/>
      </c>
      <c r="F1314">
        <f>IFERROR(VLOOKUP(B1314,'Pre-Summary'!$AL$6:$AQ$13,6,FALSE),F1313)</f>
        <v>5.9405263157894746E-2</v>
      </c>
      <c r="G1314" t="str">
        <f>IFERROR(VLOOKUP(B1314,'Pre-Summary'!$AE$6:$AJ$85,3,FALSE),"")</f>
        <v/>
      </c>
      <c r="H1314" t="str">
        <f>IFERROR(VLOOKUP(B1314,'Pre-Summary'!$AE$6:$AJ$85,4,FALSE),"")</f>
        <v/>
      </c>
      <c r="I1314" t="str">
        <f>IFERROR(VLOOKUP(B1314,'Pre-Summary'!$AE$6:$AJ$85,5,FALSE),"")</f>
        <v/>
      </c>
      <c r="J1314" s="45" t="str">
        <f>IFERROR(VLOOKUP(B1314,'Pre-Summary'!$AE$6:$AJ$85,6, FALSE),"")</f>
        <v/>
      </c>
      <c r="K1314" s="45" t="str">
        <f>IFERROR(VLOOKUP(B1314,'Pre-Summary'!$DE$6:$DG$61,3,FALSE),"")</f>
        <v/>
      </c>
      <c r="L1314" s="45" t="str">
        <f>IFERROR(VLOOKUP(B1314,'Pre-Summary'!$CU$6:$CW$36,3,FALSE),"")</f>
        <v/>
      </c>
      <c r="M1314" s="45" t="str">
        <f>IFERROR(VLOOKUP(B1314,'Pre-Summary'!$BW$6:$BY$58,2,FALSE),"")</f>
        <v/>
      </c>
      <c r="N1314" s="45" t="str">
        <f>IFERROR(VLOOKUP(B1314,'Pre-Summary'!$CD$6:$CF$64,2,FALSE),"")</f>
        <v/>
      </c>
      <c r="O1314" s="99">
        <f>IFERROR(VLOOKUP(B1314,'Pre-Summary'!$BO$6:$BQ$48,3, FALSE),O1313)</f>
        <v>1.2</v>
      </c>
      <c r="P1314" s="99">
        <f>IFERROR(VLOOKUP(B1314,'Pre-Summary'!$BS$6:$BU$35,3,FALSE),P1313)</f>
        <v>0.3</v>
      </c>
      <c r="Q1314" s="54">
        <f t="shared" si="60"/>
        <v>4</v>
      </c>
      <c r="R1314" s="53">
        <f>IFERROR(VLOOKUP(B1314,'Pre-Summary'!$BG$6:$BM$44,7,FALSE),R1315)</f>
        <v>8.2734025573422298E-2</v>
      </c>
      <c r="S1314" s="53">
        <f>IFERROR(VLOOKUP(B1314,'Pre-Summary'!$BG$6:$BM$44,6,FALSE),S1315)</f>
        <v>7.7866004962824142E-2</v>
      </c>
      <c r="T1314" s="45" t="str">
        <f>IFERROR(VLOOKUP(B1314,'Pre-Summary'!$Y$6:$AC$83, 3,FALSE),"")</f>
        <v/>
      </c>
      <c r="U1314" s="45" t="str">
        <f>IFERROR(VLOOKUP(B1314,'Pre-Summary'!$Y$6:$AC$83, 4,FALSE),"")</f>
        <v/>
      </c>
      <c r="V1314" t="str">
        <f>IFERROR(VLOOKUP(B1314,'Pre-Summary'!$Y$6:$AC$83, 5,FALSE),"")</f>
        <v/>
      </c>
      <c r="W1314" s="45" t="str">
        <f>IFERROR(VLOOKUP(B1314,'Pre-Summary'!$Y$6:$AD$83,6,FALSE),"")</f>
        <v/>
      </c>
      <c r="X1314" t="str">
        <f>IFERROR(VLOOKUP('Pre-Summary'!$DB$6:$DD$63,3,FALSE),"")</f>
        <v/>
      </c>
      <c r="Y1314" t="str">
        <f>IFERROR(VLOOKUP(B1314,'Pre-Summary'!$CR$6:$CT$36,3,FALSE),"")</f>
        <v/>
      </c>
      <c r="Z1314" s="45" t="str">
        <f>IFERROR(VLOOKUP(B1314,'Pre-Summary'!$BZ$6:$CB$63,2,FALSE),"")</f>
        <v/>
      </c>
      <c r="AA1314" s="45" t="str">
        <f>IFERROR(VLOOKUP(B1314,'Pre-Summary'!$CG$6:$CI$70,2,FALSE),"")</f>
        <v/>
      </c>
      <c r="AB1314" s="99">
        <f>IFERROR(VLOOKUP(B1314,'Pre-Summary'!$A$6:$P$178,9,FALSE),AB1315)</f>
        <v>0.29951034906156815</v>
      </c>
      <c r="AC1314" s="10">
        <f>IFERROR(VLOOKUP(Summary!B1314,'Pre-Summary'!$A$6:$P$184,5, FALSE)/100,AC1315)</f>
        <v>0.87194233333333326</v>
      </c>
      <c r="AD1314" s="10">
        <f>IFERROR(VLOOKUP(Summary!B1314,'Pre-Summary'!$A$6:$P$184,3, FALSE)/100,AD1315)</f>
        <v>0.11797166666666667</v>
      </c>
      <c r="AE1314" s="10">
        <f>IFERROR(VLOOKUP(Summary!B1314,'Pre-Summary'!$A$6:$P$184,7, FALSE)/100,AE1315)</f>
        <v>1.0085666666666666E-2</v>
      </c>
      <c r="AF1314" s="99">
        <f t="shared" si="61"/>
        <v>3.5333735062708295E-2</v>
      </c>
      <c r="AG1314" s="99">
        <f t="shared" si="62"/>
        <v>3.0207615438519559E-3</v>
      </c>
      <c r="AH1314" s="10" t="str">
        <f>IFERROR(VLOOKUP(B1314,'Pre-Summary'!$AZ$6:$BE$65,3,FALSE),"")</f>
        <v/>
      </c>
      <c r="AI1314" s="10" t="str">
        <f>IFERROR(VLOOKUP(B1314,'Pre-Summary'!$AZ$6:$BE$65,5,FALSE),"")</f>
        <v/>
      </c>
      <c r="AJ1314" s="10" t="str">
        <f>IFERROR(VLOOKUP(B1314,'Pre-Summary'!$AZ$6:$BE$65,4,FALSE),"")</f>
        <v/>
      </c>
      <c r="AK1314" s="10" t="str">
        <f>IFERROR(VLOOKUP(B1314,'Pre-Summary'!$AZ$6:$BE$65,6,FALSE),"")</f>
        <v/>
      </c>
      <c r="AL1314" s="10" t="str">
        <f>IFERROR(VLOOKUP(B1314,'Pre-Summary'!$BG$6:$BL$44,3,FALSE),"")</f>
        <v/>
      </c>
      <c r="AM1314" s="10" t="str">
        <f>IFERROR(VLOOKUP(B1314,'Pre-Summary'!$BG$6:$BL$44,4,FALSE),"")</f>
        <v/>
      </c>
    </row>
    <row r="1315" spans="2:39" ht="15" customHeight="1" x14ac:dyDescent="0.3">
      <c r="B1315">
        <v>131.19999999999999</v>
      </c>
      <c r="C1315" t="str">
        <f>IFERROR(VLOOKUP(B1315,'Pre-Summary'!$DI$6:$DM$23,4,FALSE),"")</f>
        <v/>
      </c>
      <c r="D1315" s="10" t="str">
        <f>IFERROR(VLOOKUP(B1315,'Pre-Summary'!$AT$6:$AX$14,5,FALSE),D1314)</f>
        <v>Speece: put in Speece media + EDTA + cysteine + vitamins as in DSMZ 120</v>
      </c>
      <c r="E1315" s="10" t="str">
        <f>IFERROR(VLOOKUP(B1315,'Pre-Summary'!$AT$6:$AX$15,4,FALSE),"")</f>
        <v/>
      </c>
      <c r="F1315">
        <f>IFERROR(VLOOKUP(B1315,'Pre-Summary'!$AL$6:$AQ$13,6,FALSE),F1314)</f>
        <v>5.9405263157894746E-2</v>
      </c>
      <c r="G1315" t="str">
        <f>IFERROR(VLOOKUP(B1315,'Pre-Summary'!$AE$6:$AJ$85,3,FALSE),"")</f>
        <v/>
      </c>
      <c r="H1315" t="str">
        <f>IFERROR(VLOOKUP(B1315,'Pre-Summary'!$AE$6:$AJ$85,4,FALSE),"")</f>
        <v/>
      </c>
      <c r="I1315" t="str">
        <f>IFERROR(VLOOKUP(B1315,'Pre-Summary'!$AE$6:$AJ$85,5,FALSE),"")</f>
        <v/>
      </c>
      <c r="J1315" s="45" t="str">
        <f>IFERROR(VLOOKUP(B1315,'Pre-Summary'!$AE$6:$AJ$85,6, FALSE),"")</f>
        <v/>
      </c>
      <c r="K1315" s="45" t="str">
        <f>IFERROR(VLOOKUP(B1315,'Pre-Summary'!$DE$6:$DG$61,3,FALSE),"")</f>
        <v/>
      </c>
      <c r="L1315" s="45" t="str">
        <f>IFERROR(VLOOKUP(B1315,'Pre-Summary'!$CU$6:$CW$36,3,FALSE),"")</f>
        <v/>
      </c>
      <c r="M1315" s="45" t="str">
        <f>IFERROR(VLOOKUP(B1315,'Pre-Summary'!$BW$6:$BY$58,2,FALSE),"")</f>
        <v/>
      </c>
      <c r="N1315" s="45" t="str">
        <f>IFERROR(VLOOKUP(B1315,'Pre-Summary'!$CD$6:$CF$64,2,FALSE),"")</f>
        <v/>
      </c>
      <c r="O1315" s="99">
        <f>IFERROR(VLOOKUP(B1315,'Pre-Summary'!$BO$6:$BQ$48,3, FALSE),O1314)</f>
        <v>1.2</v>
      </c>
      <c r="P1315" s="99">
        <f>IFERROR(VLOOKUP(B1315,'Pre-Summary'!$BS$6:$BU$35,3,FALSE),P1314)</f>
        <v>0.3</v>
      </c>
      <c r="Q1315" s="54">
        <f t="shared" si="60"/>
        <v>4</v>
      </c>
      <c r="R1315" s="53">
        <f>IFERROR(VLOOKUP(B1315,'Pre-Summary'!$BG$6:$BM$44,7,FALSE),R1316)</f>
        <v>8.2734025573422298E-2</v>
      </c>
      <c r="S1315" s="53">
        <f>IFERROR(VLOOKUP(B1315,'Pre-Summary'!$BG$6:$BM$44,6,FALSE),S1316)</f>
        <v>7.7866004962824142E-2</v>
      </c>
      <c r="T1315" s="45" t="str">
        <f>IFERROR(VLOOKUP(B1315,'Pre-Summary'!$Y$6:$AC$83, 3,FALSE),"")</f>
        <v/>
      </c>
      <c r="U1315" s="45" t="str">
        <f>IFERROR(VLOOKUP(B1315,'Pre-Summary'!$Y$6:$AC$83, 4,FALSE),"")</f>
        <v/>
      </c>
      <c r="V1315" t="str">
        <f>IFERROR(VLOOKUP(B1315,'Pre-Summary'!$Y$6:$AC$83, 5,FALSE),"")</f>
        <v/>
      </c>
      <c r="W1315" s="45" t="str">
        <f>IFERROR(VLOOKUP(B1315,'Pre-Summary'!$Y$6:$AD$83,6,FALSE),"")</f>
        <v/>
      </c>
      <c r="X1315" t="str">
        <f>IFERROR(VLOOKUP('Pre-Summary'!$DB$6:$DD$63,3,FALSE),"")</f>
        <v/>
      </c>
      <c r="Y1315" t="str">
        <f>IFERROR(VLOOKUP(B1315,'Pre-Summary'!$CR$6:$CT$36,3,FALSE),"")</f>
        <v/>
      </c>
      <c r="Z1315" s="45" t="str">
        <f>IFERROR(VLOOKUP(B1315,'Pre-Summary'!$BZ$6:$CB$63,2,FALSE),"")</f>
        <v/>
      </c>
      <c r="AA1315" s="45" t="str">
        <f>IFERROR(VLOOKUP(B1315,'Pre-Summary'!$CG$6:$CI$70,2,FALSE),"")</f>
        <v/>
      </c>
      <c r="AB1315" s="99">
        <f>IFERROR(VLOOKUP(B1315,'Pre-Summary'!$A$6:$P$178,9,FALSE),AB1316)</f>
        <v>0.29951034906156815</v>
      </c>
      <c r="AC1315" s="10">
        <f>IFERROR(VLOOKUP(Summary!B1315,'Pre-Summary'!$A$6:$P$184,5, FALSE)/100,AC1316)</f>
        <v>0.87194233333333326</v>
      </c>
      <c r="AD1315" s="10">
        <f>IFERROR(VLOOKUP(Summary!B1315,'Pre-Summary'!$A$6:$P$184,3, FALSE)/100,AD1316)</f>
        <v>0.11797166666666667</v>
      </c>
      <c r="AE1315" s="10">
        <f>IFERROR(VLOOKUP(Summary!B1315,'Pre-Summary'!$A$6:$P$184,7, FALSE)/100,AE1316)</f>
        <v>1.0085666666666666E-2</v>
      </c>
      <c r="AF1315" s="99">
        <f t="shared" si="61"/>
        <v>3.5333735062708295E-2</v>
      </c>
      <c r="AG1315" s="99">
        <f t="shared" si="62"/>
        <v>3.0207615438519559E-3</v>
      </c>
      <c r="AH1315" s="10" t="str">
        <f>IFERROR(VLOOKUP(B1315,'Pre-Summary'!$AZ$6:$BE$65,3,FALSE),"")</f>
        <v/>
      </c>
      <c r="AI1315" s="10" t="str">
        <f>IFERROR(VLOOKUP(B1315,'Pre-Summary'!$AZ$6:$BE$65,5,FALSE),"")</f>
        <v/>
      </c>
      <c r="AJ1315" s="10" t="str">
        <f>IFERROR(VLOOKUP(B1315,'Pre-Summary'!$AZ$6:$BE$65,4,FALSE),"")</f>
        <v/>
      </c>
      <c r="AK1315" s="10" t="str">
        <f>IFERROR(VLOOKUP(B1315,'Pre-Summary'!$AZ$6:$BE$65,6,FALSE),"")</f>
        <v/>
      </c>
      <c r="AL1315" s="10" t="str">
        <f>IFERROR(VLOOKUP(B1315,'Pre-Summary'!$BG$6:$BL$44,3,FALSE),"")</f>
        <v/>
      </c>
      <c r="AM1315" s="10" t="str">
        <f>IFERROR(VLOOKUP(B1315,'Pre-Summary'!$BG$6:$BL$44,4,FALSE),"")</f>
        <v/>
      </c>
    </row>
    <row r="1316" spans="2:39" ht="15" customHeight="1" x14ac:dyDescent="0.3">
      <c r="B1316">
        <v>131.30000000000001</v>
      </c>
      <c r="C1316" t="str">
        <f>IFERROR(VLOOKUP(B1316,'Pre-Summary'!$DI$6:$DM$23,4,FALSE),"")</f>
        <v/>
      </c>
      <c r="D1316" s="10" t="str">
        <f>IFERROR(VLOOKUP(B1316,'Pre-Summary'!$AT$6:$AX$14,5,FALSE),D1315)</f>
        <v>Speece: put in Speece media + EDTA + cysteine + vitamins as in DSMZ 120</v>
      </c>
      <c r="E1316" s="10" t="str">
        <f>IFERROR(VLOOKUP(B1316,'Pre-Summary'!$AT$6:$AX$15,4,FALSE),"")</f>
        <v/>
      </c>
      <c r="F1316">
        <f>IFERROR(VLOOKUP(B1316,'Pre-Summary'!$AL$6:$AQ$13,6,FALSE),F1315)</f>
        <v>5.9405263157894746E-2</v>
      </c>
      <c r="G1316" t="str">
        <f>IFERROR(VLOOKUP(B1316,'Pre-Summary'!$AE$6:$AJ$85,3,FALSE),"")</f>
        <v/>
      </c>
      <c r="H1316" t="str">
        <f>IFERROR(VLOOKUP(B1316,'Pre-Summary'!$AE$6:$AJ$85,4,FALSE),"")</f>
        <v/>
      </c>
      <c r="I1316" t="str">
        <f>IFERROR(VLOOKUP(B1316,'Pre-Summary'!$AE$6:$AJ$85,5,FALSE),"")</f>
        <v/>
      </c>
      <c r="J1316" s="45" t="str">
        <f>IFERROR(VLOOKUP(B1316,'Pre-Summary'!$AE$6:$AJ$85,6, FALSE),"")</f>
        <v/>
      </c>
      <c r="K1316" s="45" t="str">
        <f>IFERROR(VLOOKUP(B1316,'Pre-Summary'!$DE$6:$DG$61,3,FALSE),"")</f>
        <v/>
      </c>
      <c r="L1316" s="45" t="str">
        <f>IFERROR(VLOOKUP(B1316,'Pre-Summary'!$CU$6:$CW$36,3,FALSE),"")</f>
        <v/>
      </c>
      <c r="M1316" s="45" t="str">
        <f>IFERROR(VLOOKUP(B1316,'Pre-Summary'!$BW$6:$BY$58,2,FALSE),"")</f>
        <v/>
      </c>
      <c r="N1316" s="45" t="str">
        <f>IFERROR(VLOOKUP(B1316,'Pre-Summary'!$CD$6:$CF$64,2,FALSE),"")</f>
        <v/>
      </c>
      <c r="O1316" s="99">
        <f>IFERROR(VLOOKUP(B1316,'Pre-Summary'!$BO$6:$BQ$48,3, FALSE),O1315)</f>
        <v>1.2</v>
      </c>
      <c r="P1316" s="99">
        <f>IFERROR(VLOOKUP(B1316,'Pre-Summary'!$BS$6:$BU$35,3,FALSE),P1315)</f>
        <v>0.3</v>
      </c>
      <c r="Q1316" s="54">
        <f t="shared" si="60"/>
        <v>4</v>
      </c>
      <c r="R1316" s="53">
        <f>IFERROR(VLOOKUP(B1316,'Pre-Summary'!$BG$6:$BM$44,7,FALSE),R1317)</f>
        <v>8.2734025573422298E-2</v>
      </c>
      <c r="S1316" s="53">
        <f>IFERROR(VLOOKUP(B1316,'Pre-Summary'!$BG$6:$BM$44,6,FALSE),S1317)</f>
        <v>7.7866004962824142E-2</v>
      </c>
      <c r="T1316" s="45" t="str">
        <f>IFERROR(VLOOKUP(B1316,'Pre-Summary'!$Y$6:$AC$83, 3,FALSE),"")</f>
        <v/>
      </c>
      <c r="U1316" s="45" t="str">
        <f>IFERROR(VLOOKUP(B1316,'Pre-Summary'!$Y$6:$AC$83, 4,FALSE),"")</f>
        <v/>
      </c>
      <c r="V1316" t="str">
        <f>IFERROR(VLOOKUP(B1316,'Pre-Summary'!$Y$6:$AC$83, 5,FALSE),"")</f>
        <v/>
      </c>
      <c r="W1316" s="45" t="str">
        <f>IFERROR(VLOOKUP(B1316,'Pre-Summary'!$Y$6:$AD$83,6,FALSE),"")</f>
        <v/>
      </c>
      <c r="X1316" t="str">
        <f>IFERROR(VLOOKUP('Pre-Summary'!$DB$6:$DD$63,3,FALSE),"")</f>
        <v/>
      </c>
      <c r="Y1316" t="str">
        <f>IFERROR(VLOOKUP(B1316,'Pre-Summary'!$CR$6:$CT$36,3,FALSE),"")</f>
        <v/>
      </c>
      <c r="Z1316" s="45" t="str">
        <f>IFERROR(VLOOKUP(B1316,'Pre-Summary'!$BZ$6:$CB$63,2,FALSE),"")</f>
        <v/>
      </c>
      <c r="AA1316" s="45" t="str">
        <f>IFERROR(VLOOKUP(B1316,'Pre-Summary'!$CG$6:$CI$70,2,FALSE),"")</f>
        <v/>
      </c>
      <c r="AB1316" s="99">
        <f>IFERROR(VLOOKUP(B1316,'Pre-Summary'!$A$6:$P$178,9,FALSE),AB1317)</f>
        <v>0.29951034906156815</v>
      </c>
      <c r="AC1316" s="10">
        <f>IFERROR(VLOOKUP(Summary!B1316,'Pre-Summary'!$A$6:$P$184,5, FALSE)/100,AC1317)</f>
        <v>0.87194233333333326</v>
      </c>
      <c r="AD1316" s="10">
        <f>IFERROR(VLOOKUP(Summary!B1316,'Pre-Summary'!$A$6:$P$184,3, FALSE)/100,AD1317)</f>
        <v>0.11797166666666667</v>
      </c>
      <c r="AE1316" s="10">
        <f>IFERROR(VLOOKUP(Summary!B1316,'Pre-Summary'!$A$6:$P$184,7, FALSE)/100,AE1317)</f>
        <v>1.0085666666666666E-2</v>
      </c>
      <c r="AF1316" s="99">
        <f t="shared" si="61"/>
        <v>3.5333735062708295E-2</v>
      </c>
      <c r="AG1316" s="99">
        <f t="shared" si="62"/>
        <v>3.0207615438519559E-3</v>
      </c>
      <c r="AH1316" s="10" t="str">
        <f>IFERROR(VLOOKUP(B1316,'Pre-Summary'!$AZ$6:$BE$65,3,FALSE),"")</f>
        <v/>
      </c>
      <c r="AI1316" s="10" t="str">
        <f>IFERROR(VLOOKUP(B1316,'Pre-Summary'!$AZ$6:$BE$65,5,FALSE),"")</f>
        <v/>
      </c>
      <c r="AJ1316" s="10" t="str">
        <f>IFERROR(VLOOKUP(B1316,'Pre-Summary'!$AZ$6:$BE$65,4,FALSE),"")</f>
        <v/>
      </c>
      <c r="AK1316" s="10" t="str">
        <f>IFERROR(VLOOKUP(B1316,'Pre-Summary'!$AZ$6:$BE$65,6,FALSE),"")</f>
        <v/>
      </c>
      <c r="AL1316" s="10" t="str">
        <f>IFERROR(VLOOKUP(B1316,'Pre-Summary'!$BG$6:$BL$44,3,FALSE),"")</f>
        <v/>
      </c>
      <c r="AM1316" s="10" t="str">
        <f>IFERROR(VLOOKUP(B1316,'Pre-Summary'!$BG$6:$BL$44,4,FALSE),"")</f>
        <v/>
      </c>
    </row>
    <row r="1317" spans="2:39" ht="15" customHeight="1" x14ac:dyDescent="0.3">
      <c r="B1317">
        <v>131.4</v>
      </c>
      <c r="C1317" t="str">
        <f>IFERROR(VLOOKUP(B1317,'Pre-Summary'!$DI$6:$DM$23,4,FALSE),"")</f>
        <v/>
      </c>
      <c r="D1317" s="10" t="str">
        <f>IFERROR(VLOOKUP(B1317,'Pre-Summary'!$AT$6:$AX$14,5,FALSE),D1316)</f>
        <v>Speece: put in Speece media + EDTA + cysteine + vitamins as in DSMZ 120</v>
      </c>
      <c r="E1317" s="10" t="str">
        <f>IFERROR(VLOOKUP(B1317,'Pre-Summary'!$AT$6:$AX$15,4,FALSE),"")</f>
        <v/>
      </c>
      <c r="F1317">
        <f>IFERROR(VLOOKUP(B1317,'Pre-Summary'!$AL$6:$AQ$13,6,FALSE),F1316)</f>
        <v>5.9405263157894746E-2</v>
      </c>
      <c r="G1317" t="str">
        <f>IFERROR(VLOOKUP(B1317,'Pre-Summary'!$AE$6:$AJ$85,3,FALSE),"")</f>
        <v/>
      </c>
      <c r="H1317" t="str">
        <f>IFERROR(VLOOKUP(B1317,'Pre-Summary'!$AE$6:$AJ$85,4,FALSE),"")</f>
        <v/>
      </c>
      <c r="I1317" t="str">
        <f>IFERROR(VLOOKUP(B1317,'Pre-Summary'!$AE$6:$AJ$85,5,FALSE),"")</f>
        <v/>
      </c>
      <c r="J1317" s="45" t="str">
        <f>IFERROR(VLOOKUP(B1317,'Pre-Summary'!$AE$6:$AJ$85,6, FALSE),"")</f>
        <v/>
      </c>
      <c r="K1317" s="45" t="str">
        <f>IFERROR(VLOOKUP(B1317,'Pre-Summary'!$DE$6:$DG$61,3,FALSE),"")</f>
        <v/>
      </c>
      <c r="L1317" s="45" t="str">
        <f>IFERROR(VLOOKUP(B1317,'Pre-Summary'!$CU$6:$CW$36,3,FALSE),"")</f>
        <v/>
      </c>
      <c r="M1317" s="45" t="str">
        <f>IFERROR(VLOOKUP(B1317,'Pre-Summary'!$BW$6:$BY$58,2,FALSE),"")</f>
        <v/>
      </c>
      <c r="N1317" s="45" t="str">
        <f>IFERROR(VLOOKUP(B1317,'Pre-Summary'!$CD$6:$CF$64,2,FALSE),"")</f>
        <v/>
      </c>
      <c r="O1317" s="99">
        <f>IFERROR(VLOOKUP(B1317,'Pre-Summary'!$BO$6:$BQ$48,3, FALSE),O1316)</f>
        <v>1.2</v>
      </c>
      <c r="P1317" s="99">
        <f>IFERROR(VLOOKUP(B1317,'Pre-Summary'!$BS$6:$BU$35,3,FALSE),P1316)</f>
        <v>0.3</v>
      </c>
      <c r="Q1317" s="54">
        <f t="shared" si="60"/>
        <v>4</v>
      </c>
      <c r="R1317" s="53">
        <f>IFERROR(VLOOKUP(B1317,'Pre-Summary'!$BG$6:$BM$44,7,FALSE),R1318)</f>
        <v>8.2734025573422298E-2</v>
      </c>
      <c r="S1317" s="53">
        <f>IFERROR(VLOOKUP(B1317,'Pre-Summary'!$BG$6:$BM$44,6,FALSE),S1318)</f>
        <v>7.7866004962824142E-2</v>
      </c>
      <c r="T1317" s="45" t="str">
        <f>IFERROR(VLOOKUP(B1317,'Pre-Summary'!$Y$6:$AC$83, 3,FALSE),"")</f>
        <v/>
      </c>
      <c r="U1317" s="45" t="str">
        <f>IFERROR(VLOOKUP(B1317,'Pre-Summary'!$Y$6:$AC$83, 4,FALSE),"")</f>
        <v/>
      </c>
      <c r="V1317" t="str">
        <f>IFERROR(VLOOKUP(B1317,'Pre-Summary'!$Y$6:$AC$83, 5,FALSE),"")</f>
        <v/>
      </c>
      <c r="W1317" s="45" t="str">
        <f>IFERROR(VLOOKUP(B1317,'Pre-Summary'!$Y$6:$AD$83,6,FALSE),"")</f>
        <v/>
      </c>
      <c r="X1317" t="str">
        <f>IFERROR(VLOOKUP('Pre-Summary'!$DB$6:$DD$63,3,FALSE),"")</f>
        <v/>
      </c>
      <c r="Y1317" t="str">
        <f>IFERROR(VLOOKUP(B1317,'Pre-Summary'!$CR$6:$CT$36,3,FALSE),"")</f>
        <v/>
      </c>
      <c r="Z1317" s="45" t="str">
        <f>IFERROR(VLOOKUP(B1317,'Pre-Summary'!$BZ$6:$CB$63,2,FALSE),"")</f>
        <v/>
      </c>
      <c r="AA1317" s="45" t="str">
        <f>IFERROR(VLOOKUP(B1317,'Pre-Summary'!$CG$6:$CI$70,2,FALSE),"")</f>
        <v/>
      </c>
      <c r="AB1317" s="99">
        <f>IFERROR(VLOOKUP(B1317,'Pre-Summary'!$A$6:$P$178,9,FALSE),AB1318)</f>
        <v>0.29951034906156815</v>
      </c>
      <c r="AC1317" s="10">
        <f>IFERROR(VLOOKUP(Summary!B1317,'Pre-Summary'!$A$6:$P$184,5, FALSE)/100,AC1318)</f>
        <v>0.87194233333333326</v>
      </c>
      <c r="AD1317" s="10">
        <f>IFERROR(VLOOKUP(Summary!B1317,'Pre-Summary'!$A$6:$P$184,3, FALSE)/100,AD1318)</f>
        <v>0.11797166666666667</v>
      </c>
      <c r="AE1317" s="10">
        <f>IFERROR(VLOOKUP(Summary!B1317,'Pre-Summary'!$A$6:$P$184,7, FALSE)/100,AE1318)</f>
        <v>1.0085666666666666E-2</v>
      </c>
      <c r="AF1317" s="99">
        <f t="shared" si="61"/>
        <v>3.5333735062708295E-2</v>
      </c>
      <c r="AG1317" s="99">
        <f t="shared" si="62"/>
        <v>3.0207615438519559E-3</v>
      </c>
      <c r="AH1317" s="10" t="str">
        <f>IFERROR(VLOOKUP(B1317,'Pre-Summary'!$AZ$6:$BE$65,3,FALSE),"")</f>
        <v/>
      </c>
      <c r="AI1317" s="10" t="str">
        <f>IFERROR(VLOOKUP(B1317,'Pre-Summary'!$AZ$6:$BE$65,5,FALSE),"")</f>
        <v/>
      </c>
      <c r="AJ1317" s="10" t="str">
        <f>IFERROR(VLOOKUP(B1317,'Pre-Summary'!$AZ$6:$BE$65,4,FALSE),"")</f>
        <v/>
      </c>
      <c r="AK1317" s="10" t="str">
        <f>IFERROR(VLOOKUP(B1317,'Pre-Summary'!$AZ$6:$BE$65,6,FALSE),"")</f>
        <v/>
      </c>
      <c r="AL1317" s="10" t="str">
        <f>IFERROR(VLOOKUP(B1317,'Pre-Summary'!$BG$6:$BL$44,3,FALSE),"")</f>
        <v/>
      </c>
      <c r="AM1317" s="10" t="str">
        <f>IFERROR(VLOOKUP(B1317,'Pre-Summary'!$BG$6:$BL$44,4,FALSE),"")</f>
        <v/>
      </c>
    </row>
    <row r="1318" spans="2:39" ht="15" customHeight="1" x14ac:dyDescent="0.3">
      <c r="B1318">
        <v>131.5</v>
      </c>
      <c r="C1318" t="str">
        <f>IFERROR(VLOOKUP(B1318,'Pre-Summary'!$DI$6:$DM$23,4,FALSE),"")</f>
        <v/>
      </c>
      <c r="D1318" s="10" t="str">
        <f>IFERROR(VLOOKUP(B1318,'Pre-Summary'!$AT$6:$AX$14,5,FALSE),D1317)</f>
        <v>Speece: put in Speece media + EDTA + cysteine + vitamins as in DSMZ 120</v>
      </c>
      <c r="E1318" s="10" t="str">
        <f>IFERROR(VLOOKUP(B1318,'Pre-Summary'!$AT$6:$AX$15,4,FALSE),"")</f>
        <v/>
      </c>
      <c r="F1318">
        <f>IFERROR(VLOOKUP(B1318,'Pre-Summary'!$AL$6:$AQ$13,6,FALSE),F1317)</f>
        <v>5.9405263157894746E-2</v>
      </c>
      <c r="G1318" t="str">
        <f>IFERROR(VLOOKUP(B1318,'Pre-Summary'!$AE$6:$AJ$85,3,FALSE),"")</f>
        <v/>
      </c>
      <c r="H1318" t="str">
        <f>IFERROR(VLOOKUP(B1318,'Pre-Summary'!$AE$6:$AJ$85,4,FALSE),"")</f>
        <v/>
      </c>
      <c r="I1318" t="str">
        <f>IFERROR(VLOOKUP(B1318,'Pre-Summary'!$AE$6:$AJ$85,5,FALSE),"")</f>
        <v/>
      </c>
      <c r="J1318" s="45" t="str">
        <f>IFERROR(VLOOKUP(B1318,'Pre-Summary'!$AE$6:$AJ$85,6, FALSE),"")</f>
        <v/>
      </c>
      <c r="K1318" s="45" t="str">
        <f>IFERROR(VLOOKUP(B1318,'Pre-Summary'!$DE$6:$DG$61,3,FALSE),"")</f>
        <v/>
      </c>
      <c r="L1318" s="45">
        <f>IFERROR(VLOOKUP(B1318,'Pre-Summary'!$CU$6:$CW$36,3,FALSE),"")</f>
        <v>160.29999999999998</v>
      </c>
      <c r="M1318" s="45" t="str">
        <f>IFERROR(VLOOKUP(B1318,'Pre-Summary'!$BW$6:$BY$58,2,FALSE),"")</f>
        <v/>
      </c>
      <c r="N1318" s="45">
        <f>IFERROR(VLOOKUP(B1318,'Pre-Summary'!$CD$6:$CF$64,2,FALSE),"")</f>
        <v>355.44255790083071</v>
      </c>
      <c r="O1318" s="99">
        <f>IFERROR(VLOOKUP(B1318,'Pre-Summary'!$BO$6:$BQ$48,3, FALSE),O1317)</f>
        <v>1.2</v>
      </c>
      <c r="P1318" s="99">
        <f>IFERROR(VLOOKUP(B1318,'Pre-Summary'!$BS$6:$BU$35,3,FALSE),P1317)</f>
        <v>0.3</v>
      </c>
      <c r="Q1318" s="54">
        <f t="shared" si="60"/>
        <v>4</v>
      </c>
      <c r="R1318" s="53">
        <f>IFERROR(VLOOKUP(B1318,'Pre-Summary'!$BG$6:$BM$44,7,FALSE),R1319)</f>
        <v>8.2734025573422298E-2</v>
      </c>
      <c r="S1318" s="53">
        <f>IFERROR(VLOOKUP(B1318,'Pre-Summary'!$BG$6:$BM$44,6,FALSE),S1319)</f>
        <v>7.7866004962824142E-2</v>
      </c>
      <c r="T1318" s="45" t="str">
        <f>IFERROR(VLOOKUP(B1318,'Pre-Summary'!$Y$6:$AC$83, 3,FALSE),"")</f>
        <v/>
      </c>
      <c r="U1318" s="45" t="str">
        <f>IFERROR(VLOOKUP(B1318,'Pre-Summary'!$Y$6:$AC$83, 4,FALSE),"")</f>
        <v/>
      </c>
      <c r="V1318" t="str">
        <f>IFERROR(VLOOKUP(B1318,'Pre-Summary'!$Y$6:$AC$83, 5,FALSE),"")</f>
        <v/>
      </c>
      <c r="W1318" s="45" t="str">
        <f>IFERROR(VLOOKUP(B1318,'Pre-Summary'!$Y$6:$AD$83,6,FALSE),"")</f>
        <v/>
      </c>
      <c r="X1318" t="str">
        <f>IFERROR(VLOOKUP('Pre-Summary'!$DB$6:$DD$63,3,FALSE),"")</f>
        <v/>
      </c>
      <c r="Y1318">
        <f>IFERROR(VLOOKUP(B1318,'Pre-Summary'!$CR$6:$CT$36,3,FALSE),"")</f>
        <v>73.8</v>
      </c>
      <c r="Z1318" s="45" t="str">
        <f>IFERROR(VLOOKUP(B1318,'Pre-Summary'!$BZ$6:$CB$63,2,FALSE),"")</f>
        <v/>
      </c>
      <c r="AA1318" s="45" t="str">
        <f>IFERROR(VLOOKUP(B1318,'Pre-Summary'!$CG$6:$CI$70,2,FALSE),"")</f>
        <v/>
      </c>
      <c r="AB1318" s="99">
        <f>IFERROR(VLOOKUP(B1318,'Pre-Summary'!$A$6:$P$178,9,FALSE),AB1319)</f>
        <v>0.29951034906156815</v>
      </c>
      <c r="AC1318" s="10">
        <f>IFERROR(VLOOKUP(Summary!B1318,'Pre-Summary'!$A$6:$P$184,5, FALSE)/100,AC1319)</f>
        <v>0.87194233333333326</v>
      </c>
      <c r="AD1318" s="10">
        <f>IFERROR(VLOOKUP(Summary!B1318,'Pre-Summary'!$A$6:$P$184,3, FALSE)/100,AD1319)</f>
        <v>0.11797166666666667</v>
      </c>
      <c r="AE1318" s="10">
        <f>IFERROR(VLOOKUP(Summary!B1318,'Pre-Summary'!$A$6:$P$184,7, FALSE)/100,AE1319)</f>
        <v>1.0085666666666666E-2</v>
      </c>
      <c r="AF1318" s="99">
        <f t="shared" si="61"/>
        <v>3.5333735062708295E-2</v>
      </c>
      <c r="AG1318" s="99">
        <f t="shared" si="62"/>
        <v>3.0207615438519559E-3</v>
      </c>
      <c r="AH1318" s="10" t="str">
        <f>IFERROR(VLOOKUP(B1318,'Pre-Summary'!$AZ$6:$BE$65,3,FALSE),"")</f>
        <v/>
      </c>
      <c r="AI1318" s="10" t="str">
        <f>IFERROR(VLOOKUP(B1318,'Pre-Summary'!$AZ$6:$BE$65,5,FALSE),"")</f>
        <v/>
      </c>
      <c r="AJ1318" s="10" t="str">
        <f>IFERROR(VLOOKUP(B1318,'Pre-Summary'!$AZ$6:$BE$65,4,FALSE),"")</f>
        <v/>
      </c>
      <c r="AK1318" s="10" t="str">
        <f>IFERROR(VLOOKUP(B1318,'Pre-Summary'!$AZ$6:$BE$65,6,FALSE),"")</f>
        <v/>
      </c>
      <c r="AL1318" s="10" t="str">
        <f>IFERROR(VLOOKUP(B1318,'Pre-Summary'!$BG$6:$BL$44,3,FALSE),"")</f>
        <v/>
      </c>
      <c r="AM1318" s="10" t="str">
        <f>IFERROR(VLOOKUP(B1318,'Pre-Summary'!$BG$6:$BL$44,4,FALSE),"")</f>
        <v/>
      </c>
    </row>
    <row r="1319" spans="2:39" ht="15" customHeight="1" x14ac:dyDescent="0.3">
      <c r="B1319">
        <v>131.6</v>
      </c>
      <c r="C1319" t="str">
        <f>IFERROR(VLOOKUP(B1319,'Pre-Summary'!$DI$6:$DM$23,4,FALSE),"")</f>
        <v/>
      </c>
      <c r="D1319" s="10" t="str">
        <f>IFERROR(VLOOKUP(B1319,'Pre-Summary'!$AT$6:$AX$14,5,FALSE),D1318)</f>
        <v>Speece: put in Speece media + EDTA + cysteine + vitamins as in DSMZ 120</v>
      </c>
      <c r="E1319" s="10" t="str">
        <f>IFERROR(VLOOKUP(B1319,'Pre-Summary'!$AT$6:$AX$15,4,FALSE),"")</f>
        <v/>
      </c>
      <c r="F1319">
        <f>IFERROR(VLOOKUP(B1319,'Pre-Summary'!$AL$6:$AQ$13,6,FALSE),F1318)</f>
        <v>5.9405263157894746E-2</v>
      </c>
      <c r="G1319" t="str">
        <f>IFERROR(VLOOKUP(B1319,'Pre-Summary'!$AE$6:$AJ$85,3,FALSE),"")</f>
        <v/>
      </c>
      <c r="H1319" t="str">
        <f>IFERROR(VLOOKUP(B1319,'Pre-Summary'!$AE$6:$AJ$85,4,FALSE),"")</f>
        <v/>
      </c>
      <c r="I1319" t="str">
        <f>IFERROR(VLOOKUP(B1319,'Pre-Summary'!$AE$6:$AJ$85,5,FALSE),"")</f>
        <v/>
      </c>
      <c r="J1319" s="45" t="str">
        <f>IFERROR(VLOOKUP(B1319,'Pre-Summary'!$AE$6:$AJ$85,6, FALSE),"")</f>
        <v/>
      </c>
      <c r="K1319" s="45" t="str">
        <f>IFERROR(VLOOKUP(B1319,'Pre-Summary'!$DE$6:$DG$61,3,FALSE),"")</f>
        <v/>
      </c>
      <c r="L1319" s="45" t="str">
        <f>IFERROR(VLOOKUP(B1319,'Pre-Summary'!$CU$6:$CW$36,3,FALSE),"")</f>
        <v/>
      </c>
      <c r="M1319" s="45" t="str">
        <f>IFERROR(VLOOKUP(B1319,'Pre-Summary'!$BW$6:$BY$58,2,FALSE),"")</f>
        <v/>
      </c>
      <c r="N1319" s="45" t="str">
        <f>IFERROR(VLOOKUP(B1319,'Pre-Summary'!$CD$6:$CF$64,2,FALSE),"")</f>
        <v/>
      </c>
      <c r="O1319" s="99">
        <f>IFERROR(VLOOKUP(B1319,'Pre-Summary'!$BO$6:$BQ$48,3, FALSE),O1318)</f>
        <v>1.2</v>
      </c>
      <c r="P1319" s="99">
        <f>IFERROR(VLOOKUP(B1319,'Pre-Summary'!$BS$6:$BU$35,3,FALSE),P1318)</f>
        <v>0.3</v>
      </c>
      <c r="Q1319" s="54">
        <f t="shared" si="60"/>
        <v>4</v>
      </c>
      <c r="R1319" s="53">
        <f>IFERROR(VLOOKUP(B1319,'Pre-Summary'!$BG$6:$BM$44,7,FALSE),R1320)</f>
        <v>8.2734025573422298E-2</v>
      </c>
      <c r="S1319" s="53">
        <f>IFERROR(VLOOKUP(B1319,'Pre-Summary'!$BG$6:$BM$44,6,FALSE),S1320)</f>
        <v>7.7866004962824142E-2</v>
      </c>
      <c r="T1319" s="45" t="str">
        <f>IFERROR(VLOOKUP(B1319,'Pre-Summary'!$Y$6:$AC$83, 3,FALSE),"")</f>
        <v/>
      </c>
      <c r="U1319" s="45" t="str">
        <f>IFERROR(VLOOKUP(B1319,'Pre-Summary'!$Y$6:$AC$83, 4,FALSE),"")</f>
        <v/>
      </c>
      <c r="V1319" t="str">
        <f>IFERROR(VLOOKUP(B1319,'Pre-Summary'!$Y$6:$AC$83, 5,FALSE),"")</f>
        <v/>
      </c>
      <c r="W1319" s="45" t="str">
        <f>IFERROR(VLOOKUP(B1319,'Pre-Summary'!$Y$6:$AD$83,6,FALSE),"")</f>
        <v/>
      </c>
      <c r="X1319" t="str">
        <f>IFERROR(VLOOKUP('Pre-Summary'!$DB$6:$DD$63,3,FALSE),"")</f>
        <v/>
      </c>
      <c r="Y1319" t="str">
        <f>IFERROR(VLOOKUP(B1319,'Pre-Summary'!$CR$6:$CT$36,3,FALSE),"")</f>
        <v/>
      </c>
      <c r="Z1319" s="45" t="str">
        <f>IFERROR(VLOOKUP(B1319,'Pre-Summary'!$BZ$6:$CB$63,2,FALSE),"")</f>
        <v/>
      </c>
      <c r="AA1319" s="45" t="str">
        <f>IFERROR(VLOOKUP(B1319,'Pre-Summary'!$CG$6:$CI$70,2,FALSE),"")</f>
        <v/>
      </c>
      <c r="AB1319" s="99">
        <f>IFERROR(VLOOKUP(B1319,'Pre-Summary'!$A$6:$P$178,9,FALSE),AB1320)</f>
        <v>0.29951034906156815</v>
      </c>
      <c r="AC1319" s="10">
        <f>IFERROR(VLOOKUP(Summary!B1319,'Pre-Summary'!$A$6:$P$184,5, FALSE)/100,AC1320)</f>
        <v>0.87194233333333326</v>
      </c>
      <c r="AD1319" s="10">
        <f>IFERROR(VLOOKUP(Summary!B1319,'Pre-Summary'!$A$6:$P$184,3, FALSE)/100,AD1320)</f>
        <v>0.11797166666666667</v>
      </c>
      <c r="AE1319" s="10">
        <f>IFERROR(VLOOKUP(Summary!B1319,'Pre-Summary'!$A$6:$P$184,7, FALSE)/100,AE1320)</f>
        <v>1.0085666666666666E-2</v>
      </c>
      <c r="AF1319" s="99">
        <f t="shared" si="61"/>
        <v>3.5333735062708295E-2</v>
      </c>
      <c r="AG1319" s="99">
        <f t="shared" si="62"/>
        <v>3.0207615438519559E-3</v>
      </c>
      <c r="AH1319" s="10" t="str">
        <f>IFERROR(VLOOKUP(B1319,'Pre-Summary'!$AZ$6:$BE$65,3,FALSE),"")</f>
        <v/>
      </c>
      <c r="AI1319" s="10" t="str">
        <f>IFERROR(VLOOKUP(B1319,'Pre-Summary'!$AZ$6:$BE$65,5,FALSE),"")</f>
        <v/>
      </c>
      <c r="AJ1319" s="10" t="str">
        <f>IFERROR(VLOOKUP(B1319,'Pre-Summary'!$AZ$6:$BE$65,4,FALSE),"")</f>
        <v/>
      </c>
      <c r="AK1319" s="10" t="str">
        <f>IFERROR(VLOOKUP(B1319,'Pre-Summary'!$AZ$6:$BE$65,6,FALSE),"")</f>
        <v/>
      </c>
      <c r="AL1319" s="10" t="str">
        <f>IFERROR(VLOOKUP(B1319,'Pre-Summary'!$BG$6:$BL$44,3,FALSE),"")</f>
        <v/>
      </c>
      <c r="AM1319" s="10" t="str">
        <f>IFERROR(VLOOKUP(B1319,'Pre-Summary'!$BG$6:$BL$44,4,FALSE),"")</f>
        <v/>
      </c>
    </row>
    <row r="1320" spans="2:39" ht="15" customHeight="1" x14ac:dyDescent="0.3">
      <c r="B1320">
        <v>131.69999999999999</v>
      </c>
      <c r="C1320" t="str">
        <f>IFERROR(VLOOKUP(B1320,'Pre-Summary'!$DI$6:$DM$23,4,FALSE),"")</f>
        <v/>
      </c>
      <c r="D1320" s="10" t="str">
        <f>IFERROR(VLOOKUP(B1320,'Pre-Summary'!$AT$6:$AX$14,5,FALSE),D1319)</f>
        <v>Speece: put in Speece media + EDTA + cysteine + vitamins as in DSMZ 120</v>
      </c>
      <c r="E1320" s="10" t="str">
        <f>IFERROR(VLOOKUP(B1320,'Pre-Summary'!$AT$6:$AX$15,4,FALSE),"")</f>
        <v/>
      </c>
      <c r="F1320">
        <f>IFERROR(VLOOKUP(B1320,'Pre-Summary'!$AL$6:$AQ$13,6,FALSE),F1319)</f>
        <v>5.9405263157894746E-2</v>
      </c>
      <c r="G1320" t="str">
        <f>IFERROR(VLOOKUP(B1320,'Pre-Summary'!$AE$6:$AJ$85,3,FALSE),"")</f>
        <v/>
      </c>
      <c r="H1320" t="str">
        <f>IFERROR(VLOOKUP(B1320,'Pre-Summary'!$AE$6:$AJ$85,4,FALSE),"")</f>
        <v/>
      </c>
      <c r="I1320" t="str">
        <f>IFERROR(VLOOKUP(B1320,'Pre-Summary'!$AE$6:$AJ$85,5,FALSE),"")</f>
        <v/>
      </c>
      <c r="J1320" s="45" t="str">
        <f>IFERROR(VLOOKUP(B1320,'Pre-Summary'!$AE$6:$AJ$85,6, FALSE),"")</f>
        <v/>
      </c>
      <c r="K1320" s="45" t="str">
        <f>IFERROR(VLOOKUP(B1320,'Pre-Summary'!$DE$6:$DG$61,3,FALSE),"")</f>
        <v/>
      </c>
      <c r="L1320" s="45" t="str">
        <f>IFERROR(VLOOKUP(B1320,'Pre-Summary'!$CU$6:$CW$36,3,FALSE),"")</f>
        <v/>
      </c>
      <c r="M1320" s="45" t="str">
        <f>IFERROR(VLOOKUP(B1320,'Pre-Summary'!$BW$6:$BY$58,2,FALSE),"")</f>
        <v/>
      </c>
      <c r="N1320" s="45" t="str">
        <f>IFERROR(VLOOKUP(B1320,'Pre-Summary'!$CD$6:$CF$64,2,FALSE),"")</f>
        <v/>
      </c>
      <c r="O1320" s="99">
        <f>IFERROR(VLOOKUP(B1320,'Pre-Summary'!$BO$6:$BQ$48,3, FALSE),O1319)</f>
        <v>1.2</v>
      </c>
      <c r="P1320" s="99">
        <f>IFERROR(VLOOKUP(B1320,'Pre-Summary'!$BS$6:$BU$35,3,FALSE),P1319)</f>
        <v>0.3</v>
      </c>
      <c r="Q1320" s="54">
        <f t="shared" si="60"/>
        <v>4</v>
      </c>
      <c r="R1320" s="53">
        <f>IFERROR(VLOOKUP(B1320,'Pre-Summary'!$BG$6:$BM$44,7,FALSE),R1321)</f>
        <v>8.2734025573422298E-2</v>
      </c>
      <c r="S1320" s="53">
        <f>IFERROR(VLOOKUP(B1320,'Pre-Summary'!$BG$6:$BM$44,6,FALSE),S1321)</f>
        <v>7.7866004962824142E-2</v>
      </c>
      <c r="T1320" s="45" t="str">
        <f>IFERROR(VLOOKUP(B1320,'Pre-Summary'!$Y$6:$AC$83, 3,FALSE),"")</f>
        <v/>
      </c>
      <c r="U1320" s="45" t="str">
        <f>IFERROR(VLOOKUP(B1320,'Pre-Summary'!$Y$6:$AC$83, 4,FALSE),"")</f>
        <v/>
      </c>
      <c r="V1320" t="str">
        <f>IFERROR(VLOOKUP(B1320,'Pre-Summary'!$Y$6:$AC$83, 5,FALSE),"")</f>
        <v/>
      </c>
      <c r="W1320" s="45" t="str">
        <f>IFERROR(VLOOKUP(B1320,'Pre-Summary'!$Y$6:$AD$83,6,FALSE),"")</f>
        <v/>
      </c>
      <c r="X1320" t="str">
        <f>IFERROR(VLOOKUP('Pre-Summary'!$DB$6:$DD$63,3,FALSE),"")</f>
        <v/>
      </c>
      <c r="Y1320" t="str">
        <f>IFERROR(VLOOKUP(B1320,'Pre-Summary'!$CR$6:$CT$36,3,FALSE),"")</f>
        <v/>
      </c>
      <c r="Z1320" s="45" t="str">
        <f>IFERROR(VLOOKUP(B1320,'Pre-Summary'!$BZ$6:$CB$63,2,FALSE),"")</f>
        <v/>
      </c>
      <c r="AA1320" s="45" t="str">
        <f>IFERROR(VLOOKUP(B1320,'Pre-Summary'!$CG$6:$CI$70,2,FALSE),"")</f>
        <v/>
      </c>
      <c r="AB1320" s="99">
        <f>IFERROR(VLOOKUP(B1320,'Pre-Summary'!$A$6:$P$178,9,FALSE),AB1321)</f>
        <v>0.29951034906156815</v>
      </c>
      <c r="AC1320" s="10">
        <f>IFERROR(VLOOKUP(Summary!B1320,'Pre-Summary'!$A$6:$P$184,5, FALSE)/100,AC1321)</f>
        <v>0.87194233333333326</v>
      </c>
      <c r="AD1320" s="10">
        <f>IFERROR(VLOOKUP(Summary!B1320,'Pre-Summary'!$A$6:$P$184,3, FALSE)/100,AD1321)</f>
        <v>0.11797166666666667</v>
      </c>
      <c r="AE1320" s="10">
        <f>IFERROR(VLOOKUP(Summary!B1320,'Pre-Summary'!$A$6:$P$184,7, FALSE)/100,AE1321)</f>
        <v>1.0085666666666666E-2</v>
      </c>
      <c r="AF1320" s="99">
        <f t="shared" si="61"/>
        <v>3.5333735062708295E-2</v>
      </c>
      <c r="AG1320" s="99">
        <f t="shared" si="62"/>
        <v>3.0207615438519559E-3</v>
      </c>
      <c r="AH1320" s="10" t="str">
        <f>IFERROR(VLOOKUP(B1320,'Pre-Summary'!$AZ$6:$BE$65,3,FALSE),"")</f>
        <v/>
      </c>
      <c r="AI1320" s="10" t="str">
        <f>IFERROR(VLOOKUP(B1320,'Pre-Summary'!$AZ$6:$BE$65,5,FALSE),"")</f>
        <v/>
      </c>
      <c r="AJ1320" s="10" t="str">
        <f>IFERROR(VLOOKUP(B1320,'Pre-Summary'!$AZ$6:$BE$65,4,FALSE),"")</f>
        <v/>
      </c>
      <c r="AK1320" s="10" t="str">
        <f>IFERROR(VLOOKUP(B1320,'Pre-Summary'!$AZ$6:$BE$65,6,FALSE),"")</f>
        <v/>
      </c>
      <c r="AL1320" s="10" t="str">
        <f>IFERROR(VLOOKUP(B1320,'Pre-Summary'!$BG$6:$BL$44,3,FALSE),"")</f>
        <v/>
      </c>
      <c r="AM1320" s="10" t="str">
        <f>IFERROR(VLOOKUP(B1320,'Pre-Summary'!$BG$6:$BL$44,4,FALSE),"")</f>
        <v/>
      </c>
    </row>
    <row r="1321" spans="2:39" ht="15" customHeight="1" x14ac:dyDescent="0.3">
      <c r="B1321">
        <v>131.80000000000001</v>
      </c>
      <c r="C1321" t="str">
        <f>IFERROR(VLOOKUP(B1321,'Pre-Summary'!$DI$6:$DM$23,4,FALSE),"")</f>
        <v/>
      </c>
      <c r="D1321" s="10" t="str">
        <f>IFERROR(VLOOKUP(B1321,'Pre-Summary'!$AT$6:$AX$14,5,FALSE),D1320)</f>
        <v>Speece: put in Speece media + EDTA + cysteine + vitamins as in DSMZ 120</v>
      </c>
      <c r="E1321" s="10" t="str">
        <f>IFERROR(VLOOKUP(B1321,'Pre-Summary'!$AT$6:$AX$15,4,FALSE),"")</f>
        <v/>
      </c>
      <c r="F1321">
        <f>IFERROR(VLOOKUP(B1321,'Pre-Summary'!$AL$6:$AQ$13,6,FALSE),F1320)</f>
        <v>5.9405263157894746E-2</v>
      </c>
      <c r="G1321" t="str">
        <f>IFERROR(VLOOKUP(B1321,'Pre-Summary'!$AE$6:$AJ$85,3,FALSE),"")</f>
        <v/>
      </c>
      <c r="H1321" t="str">
        <f>IFERROR(VLOOKUP(B1321,'Pre-Summary'!$AE$6:$AJ$85,4,FALSE),"")</f>
        <v/>
      </c>
      <c r="I1321" t="str">
        <f>IFERROR(VLOOKUP(B1321,'Pre-Summary'!$AE$6:$AJ$85,5,FALSE),"")</f>
        <v/>
      </c>
      <c r="J1321" s="45" t="str">
        <f>IFERROR(VLOOKUP(B1321,'Pre-Summary'!$AE$6:$AJ$85,6, FALSE),"")</f>
        <v/>
      </c>
      <c r="K1321" s="45" t="str">
        <f>IFERROR(VLOOKUP(B1321,'Pre-Summary'!$DE$6:$DG$61,3,FALSE),"")</f>
        <v/>
      </c>
      <c r="L1321" s="45" t="str">
        <f>IFERROR(VLOOKUP(B1321,'Pre-Summary'!$CU$6:$CW$36,3,FALSE),"")</f>
        <v/>
      </c>
      <c r="M1321" s="45" t="str">
        <f>IFERROR(VLOOKUP(B1321,'Pre-Summary'!$BW$6:$BY$58,2,FALSE),"")</f>
        <v/>
      </c>
      <c r="N1321" s="45" t="str">
        <f>IFERROR(VLOOKUP(B1321,'Pre-Summary'!$CD$6:$CF$64,2,FALSE),"")</f>
        <v/>
      </c>
      <c r="O1321" s="99">
        <f>IFERROR(VLOOKUP(B1321,'Pre-Summary'!$BO$6:$BQ$48,3, FALSE),O1320)</f>
        <v>1.2</v>
      </c>
      <c r="P1321" s="99">
        <f>IFERROR(VLOOKUP(B1321,'Pre-Summary'!$BS$6:$BU$35,3,FALSE),P1320)</f>
        <v>0.3</v>
      </c>
      <c r="Q1321" s="54">
        <f t="shared" si="60"/>
        <v>4</v>
      </c>
      <c r="R1321" s="53">
        <f>IFERROR(VLOOKUP(B1321,'Pre-Summary'!$BG$6:$BM$44,7,FALSE),R1322)</f>
        <v>8.2734025573422298E-2</v>
      </c>
      <c r="S1321" s="53">
        <f>IFERROR(VLOOKUP(B1321,'Pre-Summary'!$BG$6:$BM$44,6,FALSE),S1322)</f>
        <v>7.7866004962824142E-2</v>
      </c>
      <c r="T1321" s="45" t="str">
        <f>IFERROR(VLOOKUP(B1321,'Pre-Summary'!$Y$6:$AC$83, 3,FALSE),"")</f>
        <v/>
      </c>
      <c r="U1321" s="45" t="str">
        <f>IFERROR(VLOOKUP(B1321,'Pre-Summary'!$Y$6:$AC$83, 4,FALSE),"")</f>
        <v/>
      </c>
      <c r="V1321" t="str">
        <f>IFERROR(VLOOKUP(B1321,'Pre-Summary'!$Y$6:$AC$83, 5,FALSE),"")</f>
        <v/>
      </c>
      <c r="W1321" s="45" t="str">
        <f>IFERROR(VLOOKUP(B1321,'Pre-Summary'!$Y$6:$AD$83,6,FALSE),"")</f>
        <v/>
      </c>
      <c r="X1321" t="str">
        <f>IFERROR(VLOOKUP('Pre-Summary'!$DB$6:$DD$63,3,FALSE),"")</f>
        <v/>
      </c>
      <c r="Y1321" t="str">
        <f>IFERROR(VLOOKUP(B1321,'Pre-Summary'!$CR$6:$CT$36,3,FALSE),"")</f>
        <v/>
      </c>
      <c r="Z1321" s="45" t="str">
        <f>IFERROR(VLOOKUP(B1321,'Pre-Summary'!$BZ$6:$CB$63,2,FALSE),"")</f>
        <v/>
      </c>
      <c r="AA1321" s="45" t="str">
        <f>IFERROR(VLOOKUP(B1321,'Pre-Summary'!$CG$6:$CI$70,2,FALSE),"")</f>
        <v/>
      </c>
      <c r="AB1321" s="99">
        <f>IFERROR(VLOOKUP(B1321,'Pre-Summary'!$A$6:$P$178,9,FALSE),AB1322)</f>
        <v>0.29951034906156815</v>
      </c>
      <c r="AC1321" s="10">
        <f>IFERROR(VLOOKUP(Summary!B1321,'Pre-Summary'!$A$6:$P$184,5, FALSE)/100,AC1322)</f>
        <v>0.87194233333333326</v>
      </c>
      <c r="AD1321" s="10">
        <f>IFERROR(VLOOKUP(Summary!B1321,'Pre-Summary'!$A$6:$P$184,3, FALSE)/100,AD1322)</f>
        <v>0.11797166666666667</v>
      </c>
      <c r="AE1321" s="10">
        <f>IFERROR(VLOOKUP(Summary!B1321,'Pre-Summary'!$A$6:$P$184,7, FALSE)/100,AE1322)</f>
        <v>1.0085666666666666E-2</v>
      </c>
      <c r="AF1321" s="99">
        <f t="shared" si="61"/>
        <v>3.5333735062708295E-2</v>
      </c>
      <c r="AG1321" s="99">
        <f t="shared" si="62"/>
        <v>3.0207615438519559E-3</v>
      </c>
      <c r="AH1321" s="10" t="str">
        <f>IFERROR(VLOOKUP(B1321,'Pre-Summary'!$AZ$6:$BE$65,3,FALSE),"")</f>
        <v/>
      </c>
      <c r="AI1321" s="10" t="str">
        <f>IFERROR(VLOOKUP(B1321,'Pre-Summary'!$AZ$6:$BE$65,5,FALSE),"")</f>
        <v/>
      </c>
      <c r="AJ1321" s="10" t="str">
        <f>IFERROR(VLOOKUP(B1321,'Pre-Summary'!$AZ$6:$BE$65,4,FALSE),"")</f>
        <v/>
      </c>
      <c r="AK1321" s="10" t="str">
        <f>IFERROR(VLOOKUP(B1321,'Pre-Summary'!$AZ$6:$BE$65,6,FALSE),"")</f>
        <v/>
      </c>
      <c r="AL1321" s="10" t="str">
        <f>IFERROR(VLOOKUP(B1321,'Pre-Summary'!$BG$6:$BL$44,3,FALSE),"")</f>
        <v/>
      </c>
      <c r="AM1321" s="10" t="str">
        <f>IFERROR(VLOOKUP(B1321,'Pre-Summary'!$BG$6:$BL$44,4,FALSE),"")</f>
        <v/>
      </c>
    </row>
    <row r="1322" spans="2:39" ht="15" customHeight="1" x14ac:dyDescent="0.3">
      <c r="B1322">
        <v>131.9</v>
      </c>
      <c r="C1322" t="str">
        <f>IFERROR(VLOOKUP(B1322,'Pre-Summary'!$DI$6:$DM$23,4,FALSE),"")</f>
        <v/>
      </c>
      <c r="D1322" s="10" t="str">
        <f>IFERROR(VLOOKUP(B1322,'Pre-Summary'!$AT$6:$AX$14,5,FALSE),D1321)</f>
        <v>Speece: put in Speece media + EDTA + cysteine + vitamins as in DSMZ 120</v>
      </c>
      <c r="E1322" s="10" t="str">
        <f>IFERROR(VLOOKUP(B1322,'Pre-Summary'!$AT$6:$AX$15,4,FALSE),"")</f>
        <v/>
      </c>
      <c r="F1322">
        <f>IFERROR(VLOOKUP(B1322,'Pre-Summary'!$AL$6:$AQ$13,6,FALSE),F1321)</f>
        <v>5.9405263157894746E-2</v>
      </c>
      <c r="G1322">
        <f>IFERROR(VLOOKUP(B1322,'Pre-Summary'!$AE$6:$AJ$85,3,FALSE),"")</f>
        <v>1.228</v>
      </c>
      <c r="H1322">
        <f>IFERROR(VLOOKUP(B1322,'Pre-Summary'!$AE$6:$AJ$85,4,FALSE),"")</f>
        <v>0.377</v>
      </c>
      <c r="I1322">
        <f>IFERROR(VLOOKUP(B1322,'Pre-Summary'!$AE$6:$AJ$85,5,FALSE),"")</f>
        <v>0</v>
      </c>
      <c r="J1322" s="45">
        <f>IFERROR(VLOOKUP(B1322,'Pre-Summary'!$AE$6:$AJ$85,6, FALSE),"")</f>
        <v>1.881054</v>
      </c>
      <c r="K1322" s="45">
        <f>IFERROR(VLOOKUP(B1322,'Pre-Summary'!$DE$6:$DG$61,3,FALSE),"")</f>
        <v>570</v>
      </c>
      <c r="L1322" s="45" t="str">
        <f>IFERROR(VLOOKUP(B1322,'Pre-Summary'!$CU$6:$CW$36,3,FALSE),"")</f>
        <v/>
      </c>
      <c r="M1322" s="45">
        <f>IFERROR(VLOOKUP(B1322,'Pre-Summary'!$BW$6:$BY$58,2,FALSE),"")</f>
        <v>8.0403951209522333</v>
      </c>
      <c r="N1322" s="45" t="str">
        <f>IFERROR(VLOOKUP(B1322,'Pre-Summary'!$CD$6:$CF$64,2,FALSE),"")</f>
        <v/>
      </c>
      <c r="O1322" s="99">
        <f>IFERROR(VLOOKUP(B1322,'Pre-Summary'!$BO$6:$BQ$48,3, FALSE),O1321)</f>
        <v>1.2</v>
      </c>
      <c r="P1322" s="99">
        <f>IFERROR(VLOOKUP(B1322,'Pre-Summary'!$BS$6:$BU$35,3,FALSE),P1321)</f>
        <v>0.3</v>
      </c>
      <c r="Q1322" s="54">
        <f t="shared" si="60"/>
        <v>4</v>
      </c>
      <c r="R1322" s="53">
        <f>IFERROR(VLOOKUP(B1322,'Pre-Summary'!$BG$6:$BM$44,7,FALSE),R1323)</f>
        <v>8.2734025573422298E-2</v>
      </c>
      <c r="S1322" s="53">
        <f>IFERROR(VLOOKUP(B1322,'Pre-Summary'!$BG$6:$BM$44,6,FALSE),S1323)</f>
        <v>7.7866004962824142E-2</v>
      </c>
      <c r="T1322" s="45">
        <f>IFERROR(VLOOKUP(B1322,'Pre-Summary'!$Y$6:$AC$83, 3,FALSE),"")</f>
        <v>16.253</v>
      </c>
      <c r="U1322" s="45">
        <f>IFERROR(VLOOKUP(B1322,'Pre-Summary'!$Y$6:$AC$83, 4,FALSE),"")</f>
        <v>0.88800000000000001</v>
      </c>
      <c r="V1322">
        <f>IFERROR(VLOOKUP(B1322,'Pre-Summary'!$Y$6:$AC$83, 5,FALSE),"")</f>
        <v>0</v>
      </c>
      <c r="W1322" s="45">
        <f>IFERROR(VLOOKUP(B1322,'Pre-Summary'!$Y$6:$AD$83,6,FALSE),"")</f>
        <v>18.686382999999999</v>
      </c>
      <c r="X1322" t="str">
        <f>IFERROR(VLOOKUP('Pre-Summary'!$DB$6:$DD$63,3,FALSE),"")</f>
        <v/>
      </c>
      <c r="Y1322" t="str">
        <f>IFERROR(VLOOKUP(B1322,'Pre-Summary'!$CR$6:$CT$36,3,FALSE),"")</f>
        <v/>
      </c>
      <c r="Z1322" s="45">
        <f>IFERROR(VLOOKUP(B1322,'Pre-Summary'!$BZ$6:$CB$63,2,FALSE),"")</f>
        <v>8.9342280750368168</v>
      </c>
      <c r="AA1322" s="45">
        <f>IFERROR(VLOOKUP(B1322,'Pre-Summary'!$CG$6:$CI$70,2,FALSE),"")</f>
        <v>293.8103203729176</v>
      </c>
      <c r="AB1322" s="99">
        <f>IFERROR(VLOOKUP(B1322,'Pre-Summary'!$A$6:$P$178,9,FALSE),AB1323)</f>
        <v>0.29951034906156815</v>
      </c>
      <c r="AC1322" s="10">
        <f>IFERROR(VLOOKUP(Summary!B1322,'Pre-Summary'!$A$6:$P$184,5, FALSE)/100,AC1323)</f>
        <v>0.87194233333333326</v>
      </c>
      <c r="AD1322" s="10">
        <f>IFERROR(VLOOKUP(Summary!B1322,'Pre-Summary'!$A$6:$P$184,3, FALSE)/100,AD1323)</f>
        <v>0.11797166666666667</v>
      </c>
      <c r="AE1322" s="10">
        <f>IFERROR(VLOOKUP(Summary!B1322,'Pre-Summary'!$A$6:$P$184,7, FALSE)/100,AE1323)</f>
        <v>1.0085666666666666E-2</v>
      </c>
      <c r="AF1322" s="99">
        <f t="shared" si="61"/>
        <v>3.5333735062708295E-2</v>
      </c>
      <c r="AG1322" s="99">
        <f t="shared" si="62"/>
        <v>3.0207615438519559E-3</v>
      </c>
      <c r="AH1322" s="10" t="str">
        <f>IFERROR(VLOOKUP(B1322,'Pre-Summary'!$AZ$6:$BE$65,3,FALSE),"")</f>
        <v/>
      </c>
      <c r="AI1322" s="10" t="str">
        <f>IFERROR(VLOOKUP(B1322,'Pre-Summary'!$AZ$6:$BE$65,5,FALSE),"")</f>
        <v/>
      </c>
      <c r="AJ1322" s="10" t="str">
        <f>IFERROR(VLOOKUP(B1322,'Pre-Summary'!$AZ$6:$BE$65,4,FALSE),"")</f>
        <v/>
      </c>
      <c r="AK1322" s="10" t="str">
        <f>IFERROR(VLOOKUP(B1322,'Pre-Summary'!$AZ$6:$BE$65,6,FALSE),"")</f>
        <v/>
      </c>
      <c r="AL1322" s="10" t="str">
        <f>IFERROR(VLOOKUP(B1322,'Pre-Summary'!$BG$6:$BL$44,3,FALSE),"")</f>
        <v/>
      </c>
      <c r="AM1322" s="10" t="str">
        <f>IFERROR(VLOOKUP(B1322,'Pre-Summary'!$BG$6:$BL$44,4,FALSE),"")</f>
        <v/>
      </c>
    </row>
    <row r="1323" spans="2:39" ht="15" customHeight="1" x14ac:dyDescent="0.3">
      <c r="B1323">
        <v>132</v>
      </c>
      <c r="C1323" t="str">
        <f>IFERROR(VLOOKUP(B1323,'Pre-Summary'!$DI$6:$DM$23,4,FALSE),"")</f>
        <v/>
      </c>
      <c r="D1323" s="10" t="str">
        <f>IFERROR(VLOOKUP(B1323,'Pre-Summary'!$AT$6:$AX$14,5,FALSE),D1322)</f>
        <v>Speece: put in Speece media + EDTA + cysteine + vitamins as in DSMZ 120</v>
      </c>
      <c r="E1323" s="10" t="str">
        <f>IFERROR(VLOOKUP(B1323,'Pre-Summary'!$AT$6:$AX$15,4,FALSE),"")</f>
        <v/>
      </c>
      <c r="F1323">
        <f>IFERROR(VLOOKUP(B1323,'Pre-Summary'!$AL$6:$AQ$13,6,FALSE),F1322)</f>
        <v>5.9405263157894746E-2</v>
      </c>
      <c r="G1323" t="str">
        <f>IFERROR(VLOOKUP(B1323,'Pre-Summary'!$AE$6:$AJ$85,3,FALSE),"")</f>
        <v/>
      </c>
      <c r="H1323" t="str">
        <f>IFERROR(VLOOKUP(B1323,'Pre-Summary'!$AE$6:$AJ$85,4,FALSE),"")</f>
        <v/>
      </c>
      <c r="I1323" t="str">
        <f>IFERROR(VLOOKUP(B1323,'Pre-Summary'!$AE$6:$AJ$85,5,FALSE),"")</f>
        <v/>
      </c>
      <c r="J1323" s="45" t="str">
        <f>IFERROR(VLOOKUP(B1323,'Pre-Summary'!$AE$6:$AJ$85,6, FALSE),"")</f>
        <v/>
      </c>
      <c r="K1323" s="45" t="str">
        <f>IFERROR(VLOOKUP(B1323,'Pre-Summary'!$DE$6:$DG$61,3,FALSE),"")</f>
        <v/>
      </c>
      <c r="L1323" s="45" t="str">
        <f>IFERROR(VLOOKUP(B1323,'Pre-Summary'!$CU$6:$CW$36,3,FALSE),"")</f>
        <v/>
      </c>
      <c r="M1323" s="45" t="str">
        <f>IFERROR(VLOOKUP(B1323,'Pre-Summary'!$BW$6:$BY$58,2,FALSE),"")</f>
        <v/>
      </c>
      <c r="N1323" s="45" t="str">
        <f>IFERROR(VLOOKUP(B1323,'Pre-Summary'!$CD$6:$CF$64,2,FALSE),"")</f>
        <v/>
      </c>
      <c r="O1323" s="99">
        <f>IFERROR(VLOOKUP(B1323,'Pre-Summary'!$BO$6:$BQ$48,3, FALSE),O1322)</f>
        <v>1.2</v>
      </c>
      <c r="P1323" s="99">
        <f>IFERROR(VLOOKUP(B1323,'Pre-Summary'!$BS$6:$BU$35,3,FALSE),P1322)</f>
        <v>0.3</v>
      </c>
      <c r="Q1323" s="54">
        <f t="shared" si="60"/>
        <v>4</v>
      </c>
      <c r="R1323" s="53">
        <f>IFERROR(VLOOKUP(B1323,'Pre-Summary'!$BG$6:$BM$44,7,FALSE),R1324)</f>
        <v>8.2734025573422298E-2</v>
      </c>
      <c r="S1323" s="53">
        <f>IFERROR(VLOOKUP(B1323,'Pre-Summary'!$BG$6:$BM$44,6,FALSE),S1324)</f>
        <v>7.7866004962824142E-2</v>
      </c>
      <c r="T1323" s="45" t="str">
        <f>IFERROR(VLOOKUP(B1323,'Pre-Summary'!$Y$6:$AC$83, 3,FALSE),"")</f>
        <v/>
      </c>
      <c r="U1323" s="45" t="str">
        <f>IFERROR(VLOOKUP(B1323,'Pre-Summary'!$Y$6:$AC$83, 4,FALSE),"")</f>
        <v/>
      </c>
      <c r="V1323" t="str">
        <f>IFERROR(VLOOKUP(B1323,'Pre-Summary'!$Y$6:$AC$83, 5,FALSE),"")</f>
        <v/>
      </c>
      <c r="W1323" s="45" t="str">
        <f>IFERROR(VLOOKUP(B1323,'Pre-Summary'!$Y$6:$AD$83,6,FALSE),"")</f>
        <v/>
      </c>
      <c r="X1323" t="str">
        <f>IFERROR(VLOOKUP('Pre-Summary'!$DB$6:$DD$63,3,FALSE),"")</f>
        <v/>
      </c>
      <c r="Y1323" t="str">
        <f>IFERROR(VLOOKUP(B1323,'Pre-Summary'!$CR$6:$CT$36,3,FALSE),"")</f>
        <v/>
      </c>
      <c r="Z1323" s="45" t="str">
        <f>IFERROR(VLOOKUP(B1323,'Pre-Summary'!$BZ$6:$CB$63,2,FALSE),"")</f>
        <v/>
      </c>
      <c r="AA1323" s="45" t="str">
        <f>IFERROR(VLOOKUP(B1323,'Pre-Summary'!$CG$6:$CI$70,2,FALSE),"")</f>
        <v/>
      </c>
      <c r="AB1323" s="99">
        <f>IFERROR(VLOOKUP(B1323,'Pre-Summary'!$A$6:$P$178,9,FALSE),AB1324)</f>
        <v>0.28691964523284591</v>
      </c>
      <c r="AC1323" s="10">
        <f>IFERROR(VLOOKUP(Summary!B1323,'Pre-Summary'!$A$6:$P$184,5, FALSE)/100,AC1324)</f>
        <v>0.92992700000000017</v>
      </c>
      <c r="AD1323" s="10">
        <f>IFERROR(VLOOKUP(Summary!B1323,'Pre-Summary'!$A$6:$P$184,3, FALSE)/100,AD1324)</f>
        <v>6.3624666666666663E-2</v>
      </c>
      <c r="AE1323" s="10">
        <f>IFERROR(VLOOKUP(Summary!B1323,'Pre-Summary'!$A$6:$P$184,7, FALSE)/100,AE1324)</f>
        <v>6.4483333333333337E-3</v>
      </c>
      <c r="AF1323" s="99">
        <f t="shared" si="61"/>
        <v>1.8255166788058077E-2</v>
      </c>
      <c r="AG1323" s="99">
        <f t="shared" si="62"/>
        <v>1.8501535123431347E-3</v>
      </c>
      <c r="AH1323" s="10">
        <f>IFERROR(VLOOKUP(B1323,'Pre-Summary'!$AZ$6:$BE$65,3,FALSE),"")</f>
        <v>662</v>
      </c>
      <c r="AI1323" s="10">
        <f>IFERROR(VLOOKUP(B1323,'Pre-Summary'!$AZ$6:$BE$65,5,FALSE),"")</f>
        <v>54</v>
      </c>
      <c r="AJ1323" s="10">
        <f>IFERROR(VLOOKUP(B1323,'Pre-Summary'!$AZ$6:$BE$65,4,FALSE),"")</f>
        <v>544</v>
      </c>
      <c r="AK1323" s="10">
        <f>IFERROR(VLOOKUP(B1323,'Pre-Summary'!$AZ$6:$BE$65,6,FALSE),"")</f>
        <v>34</v>
      </c>
      <c r="AL1323" s="10">
        <f>IFERROR(VLOOKUP(B1323,'Pre-Summary'!$BG$6:$BL$44,3,FALSE),"")</f>
        <v>22.37993391028547</v>
      </c>
      <c r="AM1323" s="10">
        <f>IFERROR(VLOOKUP(B1323,'Pre-Summary'!$BG$6:$BL$44,4,FALSE),"")</f>
        <v>4.0133046526426783</v>
      </c>
    </row>
    <row r="1324" spans="2:39" ht="15" customHeight="1" x14ac:dyDescent="0.3">
      <c r="B1324">
        <v>132.1</v>
      </c>
      <c r="C1324" t="str">
        <f>IFERROR(VLOOKUP(B1324,'Pre-Summary'!$DI$6:$DM$23,4,FALSE),"")</f>
        <v/>
      </c>
      <c r="D1324" s="10" t="str">
        <f>IFERROR(VLOOKUP(B1324,'Pre-Summary'!$AT$6:$AX$14,5,FALSE),D1323)</f>
        <v>Speece: put in Speece media + EDTA + cysteine + vitamins as in DSMZ 120</v>
      </c>
      <c r="E1324" s="10" t="str">
        <f>IFERROR(VLOOKUP(B1324,'Pre-Summary'!$AT$6:$AX$15,4,FALSE),"")</f>
        <v/>
      </c>
      <c r="F1324">
        <f>IFERROR(VLOOKUP(B1324,'Pre-Summary'!$AL$6:$AQ$13,6,FALSE),F1323)</f>
        <v>5.9405263157894746E-2</v>
      </c>
      <c r="G1324" t="str">
        <f>IFERROR(VLOOKUP(B1324,'Pre-Summary'!$AE$6:$AJ$85,3,FALSE),"")</f>
        <v/>
      </c>
      <c r="H1324" t="str">
        <f>IFERROR(VLOOKUP(B1324,'Pre-Summary'!$AE$6:$AJ$85,4,FALSE),"")</f>
        <v/>
      </c>
      <c r="I1324" t="str">
        <f>IFERROR(VLOOKUP(B1324,'Pre-Summary'!$AE$6:$AJ$85,5,FALSE),"")</f>
        <v/>
      </c>
      <c r="J1324" s="45" t="str">
        <f>IFERROR(VLOOKUP(B1324,'Pre-Summary'!$AE$6:$AJ$85,6, FALSE),"")</f>
        <v/>
      </c>
      <c r="K1324" s="45" t="str">
        <f>IFERROR(VLOOKUP(B1324,'Pre-Summary'!$DE$6:$DG$61,3,FALSE),"")</f>
        <v/>
      </c>
      <c r="L1324" s="45" t="str">
        <f>IFERROR(VLOOKUP(B1324,'Pre-Summary'!$CU$6:$CW$36,3,FALSE),"")</f>
        <v/>
      </c>
      <c r="M1324" s="45" t="str">
        <f>IFERROR(VLOOKUP(B1324,'Pre-Summary'!$BW$6:$BY$58,2,FALSE),"")</f>
        <v/>
      </c>
      <c r="N1324" s="45" t="str">
        <f>IFERROR(VLOOKUP(B1324,'Pre-Summary'!$CD$6:$CF$64,2,FALSE),"")</f>
        <v/>
      </c>
      <c r="O1324" s="99">
        <f>IFERROR(VLOOKUP(B1324,'Pre-Summary'!$BO$6:$BQ$48,3, FALSE),O1323)</f>
        <v>1.2</v>
      </c>
      <c r="P1324" s="99">
        <f>IFERROR(VLOOKUP(B1324,'Pre-Summary'!$BS$6:$BU$35,3,FALSE),P1323)</f>
        <v>0.3</v>
      </c>
      <c r="Q1324" s="54">
        <f t="shared" si="60"/>
        <v>4</v>
      </c>
      <c r="R1324" s="53">
        <f>IFERROR(VLOOKUP(B1324,'Pre-Summary'!$BG$6:$BM$44,7,FALSE),R1325)</f>
        <v>8.8846389403014939E-2</v>
      </c>
      <c r="S1324" s="53">
        <f>IFERROR(VLOOKUP(B1324,'Pre-Summary'!$BG$6:$BM$44,6,FALSE),S1325)</f>
        <v>8.4804948618154546E-2</v>
      </c>
      <c r="T1324" s="45" t="str">
        <f>IFERROR(VLOOKUP(B1324,'Pre-Summary'!$Y$6:$AC$83, 3,FALSE),"")</f>
        <v/>
      </c>
      <c r="U1324" s="45" t="str">
        <f>IFERROR(VLOOKUP(B1324,'Pre-Summary'!$Y$6:$AC$83, 4,FALSE),"")</f>
        <v/>
      </c>
      <c r="V1324" t="str">
        <f>IFERROR(VLOOKUP(B1324,'Pre-Summary'!$Y$6:$AC$83, 5,FALSE),"")</f>
        <v/>
      </c>
      <c r="W1324" s="45" t="str">
        <f>IFERROR(VLOOKUP(B1324,'Pre-Summary'!$Y$6:$AD$83,6,FALSE),"")</f>
        <v/>
      </c>
      <c r="X1324" t="str">
        <f>IFERROR(VLOOKUP('Pre-Summary'!$DB$6:$DD$63,3,FALSE),"")</f>
        <v/>
      </c>
      <c r="Y1324" t="str">
        <f>IFERROR(VLOOKUP(B1324,'Pre-Summary'!$CR$6:$CT$36,3,FALSE),"")</f>
        <v/>
      </c>
      <c r="Z1324" s="45" t="str">
        <f>IFERROR(VLOOKUP(B1324,'Pre-Summary'!$BZ$6:$CB$63,2,FALSE),"")</f>
        <v/>
      </c>
      <c r="AA1324" s="45" t="str">
        <f>IFERROR(VLOOKUP(B1324,'Pre-Summary'!$CG$6:$CI$70,2,FALSE),"")</f>
        <v/>
      </c>
      <c r="AB1324" s="99">
        <f>IFERROR(VLOOKUP(B1324,'Pre-Summary'!$A$6:$P$178,9,FALSE),AB1325)</f>
        <v>0.28691964523284591</v>
      </c>
      <c r="AC1324" s="10">
        <f>IFERROR(VLOOKUP(Summary!B1324,'Pre-Summary'!$A$6:$P$184,5, FALSE)/100,AC1325)</f>
        <v>0.92992700000000017</v>
      </c>
      <c r="AD1324" s="10">
        <f>IFERROR(VLOOKUP(Summary!B1324,'Pre-Summary'!$A$6:$P$184,3, FALSE)/100,AD1325)</f>
        <v>6.3624666666666663E-2</v>
      </c>
      <c r="AE1324" s="10">
        <f>IFERROR(VLOOKUP(Summary!B1324,'Pre-Summary'!$A$6:$P$184,7, FALSE)/100,AE1325)</f>
        <v>6.4483333333333337E-3</v>
      </c>
      <c r="AF1324" s="99">
        <f t="shared" si="61"/>
        <v>1.8255166788058077E-2</v>
      </c>
      <c r="AG1324" s="99">
        <f t="shared" si="62"/>
        <v>1.8501535123431347E-3</v>
      </c>
      <c r="AH1324" s="10" t="str">
        <f>IFERROR(VLOOKUP(B1324,'Pre-Summary'!$AZ$6:$BE$65,3,FALSE),"")</f>
        <v/>
      </c>
      <c r="AI1324" s="10" t="str">
        <f>IFERROR(VLOOKUP(B1324,'Pre-Summary'!$AZ$6:$BE$65,5,FALSE),"")</f>
        <v/>
      </c>
      <c r="AJ1324" s="10" t="str">
        <f>IFERROR(VLOOKUP(B1324,'Pre-Summary'!$AZ$6:$BE$65,4,FALSE),"")</f>
        <v/>
      </c>
      <c r="AK1324" s="10" t="str">
        <f>IFERROR(VLOOKUP(B1324,'Pre-Summary'!$AZ$6:$BE$65,6,FALSE),"")</f>
        <v/>
      </c>
      <c r="AL1324" s="10" t="str">
        <f>IFERROR(VLOOKUP(B1324,'Pre-Summary'!$BG$6:$BL$44,3,FALSE),"")</f>
        <v/>
      </c>
      <c r="AM1324" s="10" t="str">
        <f>IFERROR(VLOOKUP(B1324,'Pre-Summary'!$BG$6:$BL$44,4,FALSE),"")</f>
        <v/>
      </c>
    </row>
    <row r="1325" spans="2:39" ht="15" customHeight="1" x14ac:dyDescent="0.3">
      <c r="B1325">
        <v>132.19999999999999</v>
      </c>
      <c r="C1325" t="str">
        <f>IFERROR(VLOOKUP(B1325,'Pre-Summary'!$DI$6:$DM$23,4,FALSE),"")</f>
        <v/>
      </c>
      <c r="D1325" s="10" t="str">
        <f>IFERROR(VLOOKUP(B1325,'Pre-Summary'!$AT$6:$AX$14,5,FALSE),D1324)</f>
        <v>Speece: put in Speece media + EDTA + cysteine + vitamins as in DSMZ 120</v>
      </c>
      <c r="E1325" s="10" t="str">
        <f>IFERROR(VLOOKUP(B1325,'Pre-Summary'!$AT$6:$AX$15,4,FALSE),"")</f>
        <v/>
      </c>
      <c r="F1325">
        <f>IFERROR(VLOOKUP(B1325,'Pre-Summary'!$AL$6:$AQ$13,6,FALSE),F1324)</f>
        <v>5.9405263157894746E-2</v>
      </c>
      <c r="G1325" t="str">
        <f>IFERROR(VLOOKUP(B1325,'Pre-Summary'!$AE$6:$AJ$85,3,FALSE),"")</f>
        <v/>
      </c>
      <c r="H1325" t="str">
        <f>IFERROR(VLOOKUP(B1325,'Pre-Summary'!$AE$6:$AJ$85,4,FALSE),"")</f>
        <v/>
      </c>
      <c r="I1325" t="str">
        <f>IFERROR(VLOOKUP(B1325,'Pre-Summary'!$AE$6:$AJ$85,5,FALSE),"")</f>
        <v/>
      </c>
      <c r="J1325" s="45" t="str">
        <f>IFERROR(VLOOKUP(B1325,'Pre-Summary'!$AE$6:$AJ$85,6, FALSE),"")</f>
        <v/>
      </c>
      <c r="K1325" s="45" t="str">
        <f>IFERROR(VLOOKUP(B1325,'Pre-Summary'!$DE$6:$DG$61,3,FALSE),"")</f>
        <v/>
      </c>
      <c r="L1325" s="45" t="str">
        <f>IFERROR(VLOOKUP(B1325,'Pre-Summary'!$CU$6:$CW$36,3,FALSE),"")</f>
        <v/>
      </c>
      <c r="M1325" s="45" t="str">
        <f>IFERROR(VLOOKUP(B1325,'Pre-Summary'!$BW$6:$BY$58,2,FALSE),"")</f>
        <v/>
      </c>
      <c r="N1325" s="45" t="str">
        <f>IFERROR(VLOOKUP(B1325,'Pre-Summary'!$CD$6:$CF$64,2,FALSE),"")</f>
        <v/>
      </c>
      <c r="O1325" s="99">
        <f>IFERROR(VLOOKUP(B1325,'Pre-Summary'!$BO$6:$BQ$48,3, FALSE),O1324)</f>
        <v>1.2</v>
      </c>
      <c r="P1325" s="99">
        <f>IFERROR(VLOOKUP(B1325,'Pre-Summary'!$BS$6:$BU$35,3,FALSE),P1324)</f>
        <v>0.3</v>
      </c>
      <c r="Q1325" s="54">
        <f t="shared" si="60"/>
        <v>4</v>
      </c>
      <c r="R1325" s="53">
        <f>IFERROR(VLOOKUP(B1325,'Pre-Summary'!$BG$6:$BM$44,7,FALSE),R1326)</f>
        <v>8.8846389403014939E-2</v>
      </c>
      <c r="S1325" s="53">
        <f>IFERROR(VLOOKUP(B1325,'Pre-Summary'!$BG$6:$BM$44,6,FALSE),S1326)</f>
        <v>8.4804948618154546E-2</v>
      </c>
      <c r="T1325" s="45" t="str">
        <f>IFERROR(VLOOKUP(B1325,'Pre-Summary'!$Y$6:$AC$83, 3,FALSE),"")</f>
        <v/>
      </c>
      <c r="U1325" s="45" t="str">
        <f>IFERROR(VLOOKUP(B1325,'Pre-Summary'!$Y$6:$AC$83, 4,FALSE),"")</f>
        <v/>
      </c>
      <c r="V1325" t="str">
        <f>IFERROR(VLOOKUP(B1325,'Pre-Summary'!$Y$6:$AC$83, 5,FALSE),"")</f>
        <v/>
      </c>
      <c r="W1325" s="45" t="str">
        <f>IFERROR(VLOOKUP(B1325,'Pre-Summary'!$Y$6:$AD$83,6,FALSE),"")</f>
        <v/>
      </c>
      <c r="X1325" t="str">
        <f>IFERROR(VLOOKUP('Pre-Summary'!$DB$6:$DD$63,3,FALSE),"")</f>
        <v/>
      </c>
      <c r="Y1325" t="str">
        <f>IFERROR(VLOOKUP(B1325,'Pre-Summary'!$CR$6:$CT$36,3,FALSE),"")</f>
        <v/>
      </c>
      <c r="Z1325" s="45" t="str">
        <f>IFERROR(VLOOKUP(B1325,'Pre-Summary'!$BZ$6:$CB$63,2,FALSE),"")</f>
        <v/>
      </c>
      <c r="AA1325" s="45" t="str">
        <f>IFERROR(VLOOKUP(B1325,'Pre-Summary'!$CG$6:$CI$70,2,FALSE),"")</f>
        <v/>
      </c>
      <c r="AB1325" s="99">
        <f>IFERROR(VLOOKUP(B1325,'Pre-Summary'!$A$6:$P$178,9,FALSE),AB1326)</f>
        <v>0.28691964523284591</v>
      </c>
      <c r="AC1325" s="10">
        <f>IFERROR(VLOOKUP(Summary!B1325,'Pre-Summary'!$A$6:$P$184,5, FALSE)/100,AC1326)</f>
        <v>0.92992700000000017</v>
      </c>
      <c r="AD1325" s="10">
        <f>IFERROR(VLOOKUP(Summary!B1325,'Pre-Summary'!$A$6:$P$184,3, FALSE)/100,AD1326)</f>
        <v>6.3624666666666663E-2</v>
      </c>
      <c r="AE1325" s="10">
        <f>IFERROR(VLOOKUP(Summary!B1325,'Pre-Summary'!$A$6:$P$184,7, FALSE)/100,AE1326)</f>
        <v>6.4483333333333337E-3</v>
      </c>
      <c r="AF1325" s="99">
        <f t="shared" si="61"/>
        <v>1.8255166788058077E-2</v>
      </c>
      <c r="AG1325" s="99">
        <f t="shared" si="62"/>
        <v>1.8501535123431347E-3</v>
      </c>
      <c r="AH1325" s="10" t="str">
        <f>IFERROR(VLOOKUP(B1325,'Pre-Summary'!$AZ$6:$BE$65,3,FALSE),"")</f>
        <v/>
      </c>
      <c r="AI1325" s="10" t="str">
        <f>IFERROR(VLOOKUP(B1325,'Pre-Summary'!$AZ$6:$BE$65,5,FALSE),"")</f>
        <v/>
      </c>
      <c r="AJ1325" s="10" t="str">
        <f>IFERROR(VLOOKUP(B1325,'Pre-Summary'!$AZ$6:$BE$65,4,FALSE),"")</f>
        <v/>
      </c>
      <c r="AK1325" s="10" t="str">
        <f>IFERROR(VLOOKUP(B1325,'Pre-Summary'!$AZ$6:$BE$65,6,FALSE),"")</f>
        <v/>
      </c>
      <c r="AL1325" s="10" t="str">
        <f>IFERROR(VLOOKUP(B1325,'Pre-Summary'!$BG$6:$BL$44,3,FALSE),"")</f>
        <v/>
      </c>
      <c r="AM1325" s="10" t="str">
        <f>IFERROR(VLOOKUP(B1325,'Pre-Summary'!$BG$6:$BL$44,4,FALSE),"")</f>
        <v/>
      </c>
    </row>
    <row r="1326" spans="2:39" ht="15" customHeight="1" x14ac:dyDescent="0.3">
      <c r="B1326">
        <v>132.30000000000001</v>
      </c>
      <c r="C1326" t="str">
        <f>IFERROR(VLOOKUP(B1326,'Pre-Summary'!$DI$6:$DM$23,4,FALSE),"")</f>
        <v/>
      </c>
      <c r="D1326" s="10" t="str">
        <f>IFERROR(VLOOKUP(B1326,'Pre-Summary'!$AT$6:$AX$14,5,FALSE),D1325)</f>
        <v>Speece: put in Speece media + EDTA + cysteine + vitamins as in DSMZ 120</v>
      </c>
      <c r="E1326" s="10" t="str">
        <f>IFERROR(VLOOKUP(B1326,'Pre-Summary'!$AT$6:$AX$15,4,FALSE),"")</f>
        <v/>
      </c>
      <c r="F1326">
        <f>IFERROR(VLOOKUP(B1326,'Pre-Summary'!$AL$6:$AQ$13,6,FALSE),F1325)</f>
        <v>5.9405263157894746E-2</v>
      </c>
      <c r="G1326" t="str">
        <f>IFERROR(VLOOKUP(B1326,'Pre-Summary'!$AE$6:$AJ$85,3,FALSE),"")</f>
        <v/>
      </c>
      <c r="H1326" t="str">
        <f>IFERROR(VLOOKUP(B1326,'Pre-Summary'!$AE$6:$AJ$85,4,FALSE),"")</f>
        <v/>
      </c>
      <c r="I1326" t="str">
        <f>IFERROR(VLOOKUP(B1326,'Pre-Summary'!$AE$6:$AJ$85,5,FALSE),"")</f>
        <v/>
      </c>
      <c r="J1326" s="45" t="str">
        <f>IFERROR(VLOOKUP(B1326,'Pre-Summary'!$AE$6:$AJ$85,6, FALSE),"")</f>
        <v/>
      </c>
      <c r="K1326" s="45" t="str">
        <f>IFERROR(VLOOKUP(B1326,'Pre-Summary'!$DE$6:$DG$61,3,FALSE),"")</f>
        <v/>
      </c>
      <c r="L1326" s="45" t="str">
        <f>IFERROR(VLOOKUP(B1326,'Pre-Summary'!$CU$6:$CW$36,3,FALSE),"")</f>
        <v/>
      </c>
      <c r="M1326" s="45" t="str">
        <f>IFERROR(VLOOKUP(B1326,'Pre-Summary'!$BW$6:$BY$58,2,FALSE),"")</f>
        <v/>
      </c>
      <c r="N1326" s="45" t="str">
        <f>IFERROR(VLOOKUP(B1326,'Pre-Summary'!$CD$6:$CF$64,2,FALSE),"")</f>
        <v/>
      </c>
      <c r="O1326" s="99">
        <f>IFERROR(VLOOKUP(B1326,'Pre-Summary'!$BO$6:$BQ$48,3, FALSE),O1325)</f>
        <v>1.2</v>
      </c>
      <c r="P1326" s="99">
        <f>IFERROR(VLOOKUP(B1326,'Pre-Summary'!$BS$6:$BU$35,3,FALSE),P1325)</f>
        <v>0.3</v>
      </c>
      <c r="Q1326" s="54">
        <f t="shared" si="60"/>
        <v>4</v>
      </c>
      <c r="R1326" s="53">
        <f>IFERROR(VLOOKUP(B1326,'Pre-Summary'!$BG$6:$BM$44,7,FALSE),R1327)</f>
        <v>8.8846389403014939E-2</v>
      </c>
      <c r="S1326" s="53">
        <f>IFERROR(VLOOKUP(B1326,'Pre-Summary'!$BG$6:$BM$44,6,FALSE),S1327)</f>
        <v>8.4804948618154546E-2</v>
      </c>
      <c r="T1326" s="45" t="str">
        <f>IFERROR(VLOOKUP(B1326,'Pre-Summary'!$Y$6:$AC$83, 3,FALSE),"")</f>
        <v/>
      </c>
      <c r="U1326" s="45" t="str">
        <f>IFERROR(VLOOKUP(B1326,'Pre-Summary'!$Y$6:$AC$83, 4,FALSE),"")</f>
        <v/>
      </c>
      <c r="V1326" t="str">
        <f>IFERROR(VLOOKUP(B1326,'Pre-Summary'!$Y$6:$AC$83, 5,FALSE),"")</f>
        <v/>
      </c>
      <c r="W1326" s="45" t="str">
        <f>IFERROR(VLOOKUP(B1326,'Pre-Summary'!$Y$6:$AD$83,6,FALSE),"")</f>
        <v/>
      </c>
      <c r="X1326" t="str">
        <f>IFERROR(VLOOKUP('Pre-Summary'!$DB$6:$DD$63,3,FALSE),"")</f>
        <v/>
      </c>
      <c r="Y1326" t="str">
        <f>IFERROR(VLOOKUP(B1326,'Pre-Summary'!$CR$6:$CT$36,3,FALSE),"")</f>
        <v/>
      </c>
      <c r="Z1326" s="45" t="str">
        <f>IFERROR(VLOOKUP(B1326,'Pre-Summary'!$BZ$6:$CB$63,2,FALSE),"")</f>
        <v/>
      </c>
      <c r="AA1326" s="45" t="str">
        <f>IFERROR(VLOOKUP(B1326,'Pre-Summary'!$CG$6:$CI$70,2,FALSE),"")</f>
        <v/>
      </c>
      <c r="AB1326" s="99">
        <f>IFERROR(VLOOKUP(B1326,'Pre-Summary'!$A$6:$P$178,9,FALSE),AB1327)</f>
        <v>0.28691964523284591</v>
      </c>
      <c r="AC1326" s="10">
        <f>IFERROR(VLOOKUP(Summary!B1326,'Pre-Summary'!$A$6:$P$184,5, FALSE)/100,AC1327)</f>
        <v>0.92992700000000017</v>
      </c>
      <c r="AD1326" s="10">
        <f>IFERROR(VLOOKUP(Summary!B1326,'Pre-Summary'!$A$6:$P$184,3, FALSE)/100,AD1327)</f>
        <v>6.3624666666666663E-2</v>
      </c>
      <c r="AE1326" s="10">
        <f>IFERROR(VLOOKUP(Summary!B1326,'Pre-Summary'!$A$6:$P$184,7, FALSE)/100,AE1327)</f>
        <v>6.4483333333333337E-3</v>
      </c>
      <c r="AF1326" s="99">
        <f t="shared" si="61"/>
        <v>1.8255166788058077E-2</v>
      </c>
      <c r="AG1326" s="99">
        <f t="shared" si="62"/>
        <v>1.8501535123431347E-3</v>
      </c>
      <c r="AH1326" s="10" t="str">
        <f>IFERROR(VLOOKUP(B1326,'Pre-Summary'!$AZ$6:$BE$65,3,FALSE),"")</f>
        <v/>
      </c>
      <c r="AI1326" s="10" t="str">
        <f>IFERROR(VLOOKUP(B1326,'Pre-Summary'!$AZ$6:$BE$65,5,FALSE),"")</f>
        <v/>
      </c>
      <c r="AJ1326" s="10" t="str">
        <f>IFERROR(VLOOKUP(B1326,'Pre-Summary'!$AZ$6:$BE$65,4,FALSE),"")</f>
        <v/>
      </c>
      <c r="AK1326" s="10" t="str">
        <f>IFERROR(VLOOKUP(B1326,'Pre-Summary'!$AZ$6:$BE$65,6,FALSE),"")</f>
        <v/>
      </c>
      <c r="AL1326" s="10" t="str">
        <f>IFERROR(VLOOKUP(B1326,'Pre-Summary'!$BG$6:$BL$44,3,FALSE),"")</f>
        <v/>
      </c>
      <c r="AM1326" s="10" t="str">
        <f>IFERROR(VLOOKUP(B1326,'Pre-Summary'!$BG$6:$BL$44,4,FALSE),"")</f>
        <v/>
      </c>
    </row>
    <row r="1327" spans="2:39" ht="15" customHeight="1" x14ac:dyDescent="0.3">
      <c r="B1327">
        <v>132.4</v>
      </c>
      <c r="C1327" t="str">
        <f>IFERROR(VLOOKUP(B1327,'Pre-Summary'!$DI$6:$DM$23,4,FALSE),"")</f>
        <v/>
      </c>
      <c r="D1327" s="10" t="str">
        <f>IFERROR(VLOOKUP(B1327,'Pre-Summary'!$AT$6:$AX$14,5,FALSE),D1326)</f>
        <v>Speece: put in Speece media + EDTA + cysteine + vitamins as in DSMZ 120</v>
      </c>
      <c r="E1327" s="10" t="str">
        <f>IFERROR(VLOOKUP(B1327,'Pre-Summary'!$AT$6:$AX$15,4,FALSE),"")</f>
        <v/>
      </c>
      <c r="F1327">
        <f>IFERROR(VLOOKUP(B1327,'Pre-Summary'!$AL$6:$AQ$13,6,FALSE),F1326)</f>
        <v>5.9405263157894746E-2</v>
      </c>
      <c r="G1327" t="str">
        <f>IFERROR(VLOOKUP(B1327,'Pre-Summary'!$AE$6:$AJ$85,3,FALSE),"")</f>
        <v/>
      </c>
      <c r="H1327" t="str">
        <f>IFERROR(VLOOKUP(B1327,'Pre-Summary'!$AE$6:$AJ$85,4,FALSE),"")</f>
        <v/>
      </c>
      <c r="I1327" t="str">
        <f>IFERROR(VLOOKUP(B1327,'Pre-Summary'!$AE$6:$AJ$85,5,FALSE),"")</f>
        <v/>
      </c>
      <c r="J1327" s="45" t="str">
        <f>IFERROR(VLOOKUP(B1327,'Pre-Summary'!$AE$6:$AJ$85,6, FALSE),"")</f>
        <v/>
      </c>
      <c r="K1327" s="45" t="str">
        <f>IFERROR(VLOOKUP(B1327,'Pre-Summary'!$DE$6:$DG$61,3,FALSE),"")</f>
        <v/>
      </c>
      <c r="L1327" s="45" t="str">
        <f>IFERROR(VLOOKUP(B1327,'Pre-Summary'!$CU$6:$CW$36,3,FALSE),"")</f>
        <v/>
      </c>
      <c r="M1327" s="45" t="str">
        <f>IFERROR(VLOOKUP(B1327,'Pre-Summary'!$BW$6:$BY$58,2,FALSE),"")</f>
        <v/>
      </c>
      <c r="N1327" s="45" t="str">
        <f>IFERROR(VLOOKUP(B1327,'Pre-Summary'!$CD$6:$CF$64,2,FALSE),"")</f>
        <v/>
      </c>
      <c r="O1327" s="99">
        <f>IFERROR(VLOOKUP(B1327,'Pre-Summary'!$BO$6:$BQ$48,3, FALSE),O1326)</f>
        <v>1.2</v>
      </c>
      <c r="P1327" s="99">
        <f>IFERROR(VLOOKUP(B1327,'Pre-Summary'!$BS$6:$BU$35,3,FALSE),P1326)</f>
        <v>0.3</v>
      </c>
      <c r="Q1327" s="54">
        <f t="shared" si="60"/>
        <v>4</v>
      </c>
      <c r="R1327" s="53">
        <f>IFERROR(VLOOKUP(B1327,'Pre-Summary'!$BG$6:$BM$44,7,FALSE),R1328)</f>
        <v>8.8846389403014939E-2</v>
      </c>
      <c r="S1327" s="53">
        <f>IFERROR(VLOOKUP(B1327,'Pre-Summary'!$BG$6:$BM$44,6,FALSE),S1328)</f>
        <v>8.4804948618154546E-2</v>
      </c>
      <c r="T1327" s="45" t="str">
        <f>IFERROR(VLOOKUP(B1327,'Pre-Summary'!$Y$6:$AC$83, 3,FALSE),"")</f>
        <v/>
      </c>
      <c r="U1327" s="45" t="str">
        <f>IFERROR(VLOOKUP(B1327,'Pre-Summary'!$Y$6:$AC$83, 4,FALSE),"")</f>
        <v/>
      </c>
      <c r="V1327" t="str">
        <f>IFERROR(VLOOKUP(B1327,'Pre-Summary'!$Y$6:$AC$83, 5,FALSE),"")</f>
        <v/>
      </c>
      <c r="W1327" s="45" t="str">
        <f>IFERROR(VLOOKUP(B1327,'Pre-Summary'!$Y$6:$AD$83,6,FALSE),"")</f>
        <v/>
      </c>
      <c r="X1327" t="str">
        <f>IFERROR(VLOOKUP('Pre-Summary'!$DB$6:$DD$63,3,FALSE),"")</f>
        <v/>
      </c>
      <c r="Y1327" t="str">
        <f>IFERROR(VLOOKUP(B1327,'Pre-Summary'!$CR$6:$CT$36,3,FALSE),"")</f>
        <v/>
      </c>
      <c r="Z1327" s="45" t="str">
        <f>IFERROR(VLOOKUP(B1327,'Pre-Summary'!$BZ$6:$CB$63,2,FALSE),"")</f>
        <v/>
      </c>
      <c r="AA1327" s="45" t="str">
        <f>IFERROR(VLOOKUP(B1327,'Pre-Summary'!$CG$6:$CI$70,2,FALSE),"")</f>
        <v/>
      </c>
      <c r="AB1327" s="99">
        <f>IFERROR(VLOOKUP(B1327,'Pre-Summary'!$A$6:$P$178,9,FALSE),AB1328)</f>
        <v>0.28691964523284591</v>
      </c>
      <c r="AC1327" s="10">
        <f>IFERROR(VLOOKUP(Summary!B1327,'Pre-Summary'!$A$6:$P$184,5, FALSE)/100,AC1328)</f>
        <v>0.92992700000000017</v>
      </c>
      <c r="AD1327" s="10">
        <f>IFERROR(VLOOKUP(Summary!B1327,'Pre-Summary'!$A$6:$P$184,3, FALSE)/100,AD1328)</f>
        <v>6.3624666666666663E-2</v>
      </c>
      <c r="AE1327" s="10">
        <f>IFERROR(VLOOKUP(Summary!B1327,'Pre-Summary'!$A$6:$P$184,7, FALSE)/100,AE1328)</f>
        <v>6.4483333333333337E-3</v>
      </c>
      <c r="AF1327" s="99">
        <f t="shared" si="61"/>
        <v>1.8255166788058077E-2</v>
      </c>
      <c r="AG1327" s="99">
        <f t="shared" si="62"/>
        <v>1.8501535123431347E-3</v>
      </c>
      <c r="AH1327" s="10" t="str">
        <f>IFERROR(VLOOKUP(B1327,'Pre-Summary'!$AZ$6:$BE$65,3,FALSE),"")</f>
        <v/>
      </c>
      <c r="AI1327" s="10" t="str">
        <f>IFERROR(VLOOKUP(B1327,'Pre-Summary'!$AZ$6:$BE$65,5,FALSE),"")</f>
        <v/>
      </c>
      <c r="AJ1327" s="10" t="str">
        <f>IFERROR(VLOOKUP(B1327,'Pre-Summary'!$AZ$6:$BE$65,4,FALSE),"")</f>
        <v/>
      </c>
      <c r="AK1327" s="10" t="str">
        <f>IFERROR(VLOOKUP(B1327,'Pre-Summary'!$AZ$6:$BE$65,6,FALSE),"")</f>
        <v/>
      </c>
      <c r="AL1327" s="10" t="str">
        <f>IFERROR(VLOOKUP(B1327,'Pre-Summary'!$BG$6:$BL$44,3,FALSE),"")</f>
        <v/>
      </c>
      <c r="AM1327" s="10" t="str">
        <f>IFERROR(VLOOKUP(B1327,'Pre-Summary'!$BG$6:$BL$44,4,FALSE),"")</f>
        <v/>
      </c>
    </row>
    <row r="1328" spans="2:39" ht="15" customHeight="1" x14ac:dyDescent="0.3">
      <c r="B1328">
        <v>132.5</v>
      </c>
      <c r="C1328" t="str">
        <f>IFERROR(VLOOKUP(B1328,'Pre-Summary'!$DI$6:$DM$23,4,FALSE),"")</f>
        <v/>
      </c>
      <c r="D1328" s="10" t="str">
        <f>IFERROR(VLOOKUP(B1328,'Pre-Summary'!$AT$6:$AX$14,5,FALSE),D1327)</f>
        <v>Speece: put in Speece media + EDTA + cysteine + vitamins as in DSMZ 120</v>
      </c>
      <c r="E1328" s="10" t="str">
        <f>IFERROR(VLOOKUP(B1328,'Pre-Summary'!$AT$6:$AX$15,4,FALSE),"")</f>
        <v/>
      </c>
      <c r="F1328">
        <f>IFERROR(VLOOKUP(B1328,'Pre-Summary'!$AL$6:$AQ$13,6,FALSE),F1327)</f>
        <v>5.9405263157894746E-2</v>
      </c>
      <c r="G1328" t="str">
        <f>IFERROR(VLOOKUP(B1328,'Pre-Summary'!$AE$6:$AJ$85,3,FALSE),"")</f>
        <v/>
      </c>
      <c r="H1328" t="str">
        <f>IFERROR(VLOOKUP(B1328,'Pre-Summary'!$AE$6:$AJ$85,4,FALSE),"")</f>
        <v/>
      </c>
      <c r="I1328" t="str">
        <f>IFERROR(VLOOKUP(B1328,'Pre-Summary'!$AE$6:$AJ$85,5,FALSE),"")</f>
        <v/>
      </c>
      <c r="J1328" s="45" t="str">
        <f>IFERROR(VLOOKUP(B1328,'Pre-Summary'!$AE$6:$AJ$85,6, FALSE),"")</f>
        <v/>
      </c>
      <c r="K1328" s="45" t="str">
        <f>IFERROR(VLOOKUP(B1328,'Pre-Summary'!$DE$6:$DG$61,3,FALSE),"")</f>
        <v/>
      </c>
      <c r="L1328" s="45" t="str">
        <f>IFERROR(VLOOKUP(B1328,'Pre-Summary'!$CU$6:$CW$36,3,FALSE),"")</f>
        <v/>
      </c>
      <c r="M1328" s="45" t="str">
        <f>IFERROR(VLOOKUP(B1328,'Pre-Summary'!$BW$6:$BY$58,2,FALSE),"")</f>
        <v/>
      </c>
      <c r="N1328" s="45" t="str">
        <f>IFERROR(VLOOKUP(B1328,'Pre-Summary'!$CD$6:$CF$64,2,FALSE),"")</f>
        <v/>
      </c>
      <c r="O1328" s="99">
        <f>IFERROR(VLOOKUP(B1328,'Pre-Summary'!$BO$6:$BQ$48,3, FALSE),O1327)</f>
        <v>1.2</v>
      </c>
      <c r="P1328" s="99">
        <f>IFERROR(VLOOKUP(B1328,'Pre-Summary'!$BS$6:$BU$35,3,FALSE),P1327)</f>
        <v>0.3</v>
      </c>
      <c r="Q1328" s="54">
        <f t="shared" si="60"/>
        <v>4</v>
      </c>
      <c r="R1328" s="53">
        <f>IFERROR(VLOOKUP(B1328,'Pre-Summary'!$BG$6:$BM$44,7,FALSE),R1329)</f>
        <v>8.8846389403014939E-2</v>
      </c>
      <c r="S1328" s="53">
        <f>IFERROR(VLOOKUP(B1328,'Pre-Summary'!$BG$6:$BM$44,6,FALSE),S1329)</f>
        <v>8.4804948618154546E-2</v>
      </c>
      <c r="T1328" s="45" t="str">
        <f>IFERROR(VLOOKUP(B1328,'Pre-Summary'!$Y$6:$AC$83, 3,FALSE),"")</f>
        <v/>
      </c>
      <c r="U1328" s="45" t="str">
        <f>IFERROR(VLOOKUP(B1328,'Pre-Summary'!$Y$6:$AC$83, 4,FALSE),"")</f>
        <v/>
      </c>
      <c r="V1328" t="str">
        <f>IFERROR(VLOOKUP(B1328,'Pre-Summary'!$Y$6:$AC$83, 5,FALSE),"")</f>
        <v/>
      </c>
      <c r="W1328" s="45" t="str">
        <f>IFERROR(VLOOKUP(B1328,'Pre-Summary'!$Y$6:$AD$83,6,FALSE),"")</f>
        <v/>
      </c>
      <c r="X1328" t="str">
        <f>IFERROR(VLOOKUP('Pre-Summary'!$DB$6:$DD$63,3,FALSE),"")</f>
        <v/>
      </c>
      <c r="Y1328" t="str">
        <f>IFERROR(VLOOKUP(B1328,'Pre-Summary'!$CR$6:$CT$36,3,FALSE),"")</f>
        <v/>
      </c>
      <c r="Z1328" s="45" t="str">
        <f>IFERROR(VLOOKUP(B1328,'Pre-Summary'!$BZ$6:$CB$63,2,FALSE),"")</f>
        <v/>
      </c>
      <c r="AA1328" s="45" t="str">
        <f>IFERROR(VLOOKUP(B1328,'Pre-Summary'!$CG$6:$CI$70,2,FALSE),"")</f>
        <v/>
      </c>
      <c r="AB1328" s="99">
        <f>IFERROR(VLOOKUP(B1328,'Pre-Summary'!$A$6:$P$178,9,FALSE),AB1329)</f>
        <v>0.28691964523284591</v>
      </c>
      <c r="AC1328" s="10">
        <f>IFERROR(VLOOKUP(Summary!B1328,'Pre-Summary'!$A$6:$P$184,5, FALSE)/100,AC1329)</f>
        <v>0.92992700000000017</v>
      </c>
      <c r="AD1328" s="10">
        <f>IFERROR(VLOOKUP(Summary!B1328,'Pre-Summary'!$A$6:$P$184,3, FALSE)/100,AD1329)</f>
        <v>6.3624666666666663E-2</v>
      </c>
      <c r="AE1328" s="10">
        <f>IFERROR(VLOOKUP(Summary!B1328,'Pre-Summary'!$A$6:$P$184,7, FALSE)/100,AE1329)</f>
        <v>6.4483333333333337E-3</v>
      </c>
      <c r="AF1328" s="99">
        <f t="shared" si="61"/>
        <v>1.8255166788058077E-2</v>
      </c>
      <c r="AG1328" s="99">
        <f t="shared" si="62"/>
        <v>1.8501535123431347E-3</v>
      </c>
      <c r="AH1328" s="10" t="str">
        <f>IFERROR(VLOOKUP(B1328,'Pre-Summary'!$AZ$6:$BE$65,3,FALSE),"")</f>
        <v/>
      </c>
      <c r="AI1328" s="10" t="str">
        <f>IFERROR(VLOOKUP(B1328,'Pre-Summary'!$AZ$6:$BE$65,5,FALSE),"")</f>
        <v/>
      </c>
      <c r="AJ1328" s="10" t="str">
        <f>IFERROR(VLOOKUP(B1328,'Pre-Summary'!$AZ$6:$BE$65,4,FALSE),"")</f>
        <v/>
      </c>
      <c r="AK1328" s="10" t="str">
        <f>IFERROR(VLOOKUP(B1328,'Pre-Summary'!$AZ$6:$BE$65,6,FALSE),"")</f>
        <v/>
      </c>
      <c r="AL1328" s="10" t="str">
        <f>IFERROR(VLOOKUP(B1328,'Pre-Summary'!$BG$6:$BL$44,3,FALSE),"")</f>
        <v/>
      </c>
      <c r="AM1328" s="10" t="str">
        <f>IFERROR(VLOOKUP(B1328,'Pre-Summary'!$BG$6:$BL$44,4,FALSE),"")</f>
        <v/>
      </c>
    </row>
    <row r="1329" spans="2:39" ht="15" customHeight="1" x14ac:dyDescent="0.3">
      <c r="B1329">
        <v>132.6</v>
      </c>
      <c r="C1329" t="str">
        <f>IFERROR(VLOOKUP(B1329,'Pre-Summary'!$DI$6:$DM$23,4,FALSE),"")</f>
        <v/>
      </c>
      <c r="D1329" s="10" t="str">
        <f>IFERROR(VLOOKUP(B1329,'Pre-Summary'!$AT$6:$AX$14,5,FALSE),D1328)</f>
        <v>Speece: put in Speece media + EDTA + cysteine + vitamins as in DSMZ 120</v>
      </c>
      <c r="E1329" s="10" t="str">
        <f>IFERROR(VLOOKUP(B1329,'Pre-Summary'!$AT$6:$AX$15,4,FALSE),"")</f>
        <v/>
      </c>
      <c r="F1329">
        <f>IFERROR(VLOOKUP(B1329,'Pre-Summary'!$AL$6:$AQ$13,6,FALSE),F1328)</f>
        <v>5.9405263157894746E-2</v>
      </c>
      <c r="G1329" t="str">
        <f>IFERROR(VLOOKUP(B1329,'Pre-Summary'!$AE$6:$AJ$85,3,FALSE),"")</f>
        <v/>
      </c>
      <c r="H1329" t="str">
        <f>IFERROR(VLOOKUP(B1329,'Pre-Summary'!$AE$6:$AJ$85,4,FALSE),"")</f>
        <v/>
      </c>
      <c r="I1329" t="str">
        <f>IFERROR(VLOOKUP(B1329,'Pre-Summary'!$AE$6:$AJ$85,5,FALSE),"")</f>
        <v/>
      </c>
      <c r="J1329" s="45" t="str">
        <f>IFERROR(VLOOKUP(B1329,'Pre-Summary'!$AE$6:$AJ$85,6, FALSE),"")</f>
        <v/>
      </c>
      <c r="K1329" s="45" t="str">
        <f>IFERROR(VLOOKUP(B1329,'Pre-Summary'!$DE$6:$DG$61,3,FALSE),"")</f>
        <v/>
      </c>
      <c r="L1329" s="45" t="str">
        <f>IFERROR(VLOOKUP(B1329,'Pre-Summary'!$CU$6:$CW$36,3,FALSE),"")</f>
        <v/>
      </c>
      <c r="M1329" s="45" t="str">
        <f>IFERROR(VLOOKUP(B1329,'Pre-Summary'!$BW$6:$BY$58,2,FALSE),"")</f>
        <v/>
      </c>
      <c r="N1329" s="45" t="str">
        <f>IFERROR(VLOOKUP(B1329,'Pre-Summary'!$CD$6:$CF$64,2,FALSE),"")</f>
        <v/>
      </c>
      <c r="O1329" s="99">
        <f>IFERROR(VLOOKUP(B1329,'Pre-Summary'!$BO$6:$BQ$48,3, FALSE),O1328)</f>
        <v>1.2</v>
      </c>
      <c r="P1329" s="99">
        <f>IFERROR(VLOOKUP(B1329,'Pre-Summary'!$BS$6:$BU$35,3,FALSE),P1328)</f>
        <v>0.3</v>
      </c>
      <c r="Q1329" s="54">
        <f t="shared" si="60"/>
        <v>4</v>
      </c>
      <c r="R1329" s="53">
        <f>IFERROR(VLOOKUP(B1329,'Pre-Summary'!$BG$6:$BM$44,7,FALSE),R1330)</f>
        <v>8.8846389403014939E-2</v>
      </c>
      <c r="S1329" s="53">
        <f>IFERROR(VLOOKUP(B1329,'Pre-Summary'!$BG$6:$BM$44,6,FALSE),S1330)</f>
        <v>8.4804948618154546E-2</v>
      </c>
      <c r="T1329" s="45" t="str">
        <f>IFERROR(VLOOKUP(B1329,'Pre-Summary'!$Y$6:$AC$83, 3,FALSE),"")</f>
        <v/>
      </c>
      <c r="U1329" s="45" t="str">
        <f>IFERROR(VLOOKUP(B1329,'Pre-Summary'!$Y$6:$AC$83, 4,FALSE),"")</f>
        <v/>
      </c>
      <c r="V1329" t="str">
        <f>IFERROR(VLOOKUP(B1329,'Pre-Summary'!$Y$6:$AC$83, 5,FALSE),"")</f>
        <v/>
      </c>
      <c r="W1329" s="45" t="str">
        <f>IFERROR(VLOOKUP(B1329,'Pre-Summary'!$Y$6:$AD$83,6,FALSE),"")</f>
        <v/>
      </c>
      <c r="X1329" t="str">
        <f>IFERROR(VLOOKUP('Pre-Summary'!$DB$6:$DD$63,3,FALSE),"")</f>
        <v/>
      </c>
      <c r="Y1329" t="str">
        <f>IFERROR(VLOOKUP(B1329,'Pre-Summary'!$CR$6:$CT$36,3,FALSE),"")</f>
        <v/>
      </c>
      <c r="Z1329" s="45" t="str">
        <f>IFERROR(VLOOKUP(B1329,'Pre-Summary'!$BZ$6:$CB$63,2,FALSE),"")</f>
        <v/>
      </c>
      <c r="AA1329" s="45" t="str">
        <f>IFERROR(VLOOKUP(B1329,'Pre-Summary'!$CG$6:$CI$70,2,FALSE),"")</f>
        <v/>
      </c>
      <c r="AB1329" s="99">
        <f>IFERROR(VLOOKUP(B1329,'Pre-Summary'!$A$6:$P$178,9,FALSE),AB1330)</f>
        <v>0.28691964523284591</v>
      </c>
      <c r="AC1329" s="10">
        <f>IFERROR(VLOOKUP(Summary!B1329,'Pre-Summary'!$A$6:$P$184,5, FALSE)/100,AC1330)</f>
        <v>0.92992700000000017</v>
      </c>
      <c r="AD1329" s="10">
        <f>IFERROR(VLOOKUP(Summary!B1329,'Pre-Summary'!$A$6:$P$184,3, FALSE)/100,AD1330)</f>
        <v>6.3624666666666663E-2</v>
      </c>
      <c r="AE1329" s="10">
        <f>IFERROR(VLOOKUP(Summary!B1329,'Pre-Summary'!$A$6:$P$184,7, FALSE)/100,AE1330)</f>
        <v>6.4483333333333337E-3</v>
      </c>
      <c r="AF1329" s="99">
        <f t="shared" si="61"/>
        <v>1.8255166788058077E-2</v>
      </c>
      <c r="AG1329" s="99">
        <f t="shared" si="62"/>
        <v>1.8501535123431347E-3</v>
      </c>
      <c r="AH1329" s="10" t="str">
        <f>IFERROR(VLOOKUP(B1329,'Pre-Summary'!$AZ$6:$BE$65,3,FALSE),"")</f>
        <v/>
      </c>
      <c r="AI1329" s="10" t="str">
        <f>IFERROR(VLOOKUP(B1329,'Pre-Summary'!$AZ$6:$BE$65,5,FALSE),"")</f>
        <v/>
      </c>
      <c r="AJ1329" s="10" t="str">
        <f>IFERROR(VLOOKUP(B1329,'Pre-Summary'!$AZ$6:$BE$65,4,FALSE),"")</f>
        <v/>
      </c>
      <c r="AK1329" s="10" t="str">
        <f>IFERROR(VLOOKUP(B1329,'Pre-Summary'!$AZ$6:$BE$65,6,FALSE),"")</f>
        <v/>
      </c>
      <c r="AL1329" s="10" t="str">
        <f>IFERROR(VLOOKUP(B1329,'Pre-Summary'!$BG$6:$BL$44,3,FALSE),"")</f>
        <v/>
      </c>
      <c r="AM1329" s="10" t="str">
        <f>IFERROR(VLOOKUP(B1329,'Pre-Summary'!$BG$6:$BL$44,4,FALSE),"")</f>
        <v/>
      </c>
    </row>
    <row r="1330" spans="2:39" ht="15" customHeight="1" x14ac:dyDescent="0.3">
      <c r="B1330">
        <v>132.69999999999999</v>
      </c>
      <c r="C1330" t="str">
        <f>IFERROR(VLOOKUP(B1330,'Pre-Summary'!$DI$6:$DM$23,4,FALSE),"")</f>
        <v/>
      </c>
      <c r="D1330" s="10" t="str">
        <f>IFERROR(VLOOKUP(B1330,'Pre-Summary'!$AT$6:$AX$14,5,FALSE),D1329)</f>
        <v>Speece: put in Speece media + EDTA + cysteine + vitamins as in DSMZ 120</v>
      </c>
      <c r="E1330" s="10" t="str">
        <f>IFERROR(VLOOKUP(B1330,'Pre-Summary'!$AT$6:$AX$15,4,FALSE),"")</f>
        <v/>
      </c>
      <c r="F1330">
        <f>IFERROR(VLOOKUP(B1330,'Pre-Summary'!$AL$6:$AQ$13,6,FALSE),F1329)</f>
        <v>5.9405263157894746E-2</v>
      </c>
      <c r="G1330" t="str">
        <f>IFERROR(VLOOKUP(B1330,'Pre-Summary'!$AE$6:$AJ$85,3,FALSE),"")</f>
        <v/>
      </c>
      <c r="H1330" t="str">
        <f>IFERROR(VLOOKUP(B1330,'Pre-Summary'!$AE$6:$AJ$85,4,FALSE),"")</f>
        <v/>
      </c>
      <c r="I1330" t="str">
        <f>IFERROR(VLOOKUP(B1330,'Pre-Summary'!$AE$6:$AJ$85,5,FALSE),"")</f>
        <v/>
      </c>
      <c r="J1330" s="45" t="str">
        <f>IFERROR(VLOOKUP(B1330,'Pre-Summary'!$AE$6:$AJ$85,6, FALSE),"")</f>
        <v/>
      </c>
      <c r="K1330" s="45" t="str">
        <f>IFERROR(VLOOKUP(B1330,'Pre-Summary'!$DE$6:$DG$61,3,FALSE),"")</f>
        <v/>
      </c>
      <c r="L1330" s="45" t="str">
        <f>IFERROR(VLOOKUP(B1330,'Pre-Summary'!$CU$6:$CW$36,3,FALSE),"")</f>
        <v/>
      </c>
      <c r="M1330" s="45" t="str">
        <f>IFERROR(VLOOKUP(B1330,'Pre-Summary'!$BW$6:$BY$58,2,FALSE),"")</f>
        <v/>
      </c>
      <c r="N1330" s="45" t="str">
        <f>IFERROR(VLOOKUP(B1330,'Pre-Summary'!$CD$6:$CF$64,2,FALSE),"")</f>
        <v/>
      </c>
      <c r="O1330" s="99">
        <f>IFERROR(VLOOKUP(B1330,'Pre-Summary'!$BO$6:$BQ$48,3, FALSE),O1329)</f>
        <v>1.2</v>
      </c>
      <c r="P1330" s="99">
        <f>IFERROR(VLOOKUP(B1330,'Pre-Summary'!$BS$6:$BU$35,3,FALSE),P1329)</f>
        <v>0.3</v>
      </c>
      <c r="Q1330" s="54">
        <f t="shared" si="60"/>
        <v>4</v>
      </c>
      <c r="R1330" s="53">
        <f>IFERROR(VLOOKUP(B1330,'Pre-Summary'!$BG$6:$BM$44,7,FALSE),R1331)</f>
        <v>8.8846389403014939E-2</v>
      </c>
      <c r="S1330" s="53">
        <f>IFERROR(VLOOKUP(B1330,'Pre-Summary'!$BG$6:$BM$44,6,FALSE),S1331)</f>
        <v>8.4804948618154546E-2</v>
      </c>
      <c r="T1330" s="45" t="str">
        <f>IFERROR(VLOOKUP(B1330,'Pre-Summary'!$Y$6:$AC$83, 3,FALSE),"")</f>
        <v/>
      </c>
      <c r="U1330" s="45" t="str">
        <f>IFERROR(VLOOKUP(B1330,'Pre-Summary'!$Y$6:$AC$83, 4,FALSE),"")</f>
        <v/>
      </c>
      <c r="V1330" t="str">
        <f>IFERROR(VLOOKUP(B1330,'Pre-Summary'!$Y$6:$AC$83, 5,FALSE),"")</f>
        <v/>
      </c>
      <c r="W1330" s="45" t="str">
        <f>IFERROR(VLOOKUP(B1330,'Pre-Summary'!$Y$6:$AD$83,6,FALSE),"")</f>
        <v/>
      </c>
      <c r="X1330" t="str">
        <f>IFERROR(VLOOKUP('Pre-Summary'!$DB$6:$DD$63,3,FALSE),"")</f>
        <v/>
      </c>
      <c r="Y1330" t="str">
        <f>IFERROR(VLOOKUP(B1330,'Pre-Summary'!$CR$6:$CT$36,3,FALSE),"")</f>
        <v/>
      </c>
      <c r="Z1330" s="45" t="str">
        <f>IFERROR(VLOOKUP(B1330,'Pre-Summary'!$BZ$6:$CB$63,2,FALSE),"")</f>
        <v/>
      </c>
      <c r="AA1330" s="45" t="str">
        <f>IFERROR(VLOOKUP(B1330,'Pre-Summary'!$CG$6:$CI$70,2,FALSE),"")</f>
        <v/>
      </c>
      <c r="AB1330" s="99">
        <f>IFERROR(VLOOKUP(B1330,'Pre-Summary'!$A$6:$P$178,9,FALSE),AB1331)</f>
        <v>0.28691964523284591</v>
      </c>
      <c r="AC1330" s="10">
        <f>IFERROR(VLOOKUP(Summary!B1330,'Pre-Summary'!$A$6:$P$184,5, FALSE)/100,AC1331)</f>
        <v>0.92992700000000017</v>
      </c>
      <c r="AD1330" s="10">
        <f>IFERROR(VLOOKUP(Summary!B1330,'Pre-Summary'!$A$6:$P$184,3, FALSE)/100,AD1331)</f>
        <v>6.3624666666666663E-2</v>
      </c>
      <c r="AE1330" s="10">
        <f>IFERROR(VLOOKUP(Summary!B1330,'Pre-Summary'!$A$6:$P$184,7, FALSE)/100,AE1331)</f>
        <v>6.4483333333333337E-3</v>
      </c>
      <c r="AF1330" s="99">
        <f t="shared" si="61"/>
        <v>1.8255166788058077E-2</v>
      </c>
      <c r="AG1330" s="99">
        <f t="shared" si="62"/>
        <v>1.8501535123431347E-3</v>
      </c>
      <c r="AH1330" s="10" t="str">
        <f>IFERROR(VLOOKUP(B1330,'Pre-Summary'!$AZ$6:$BE$65,3,FALSE),"")</f>
        <v/>
      </c>
      <c r="AI1330" s="10" t="str">
        <f>IFERROR(VLOOKUP(B1330,'Pre-Summary'!$AZ$6:$BE$65,5,FALSE),"")</f>
        <v/>
      </c>
      <c r="AJ1330" s="10" t="str">
        <f>IFERROR(VLOOKUP(B1330,'Pre-Summary'!$AZ$6:$BE$65,4,FALSE),"")</f>
        <v/>
      </c>
      <c r="AK1330" s="10" t="str">
        <f>IFERROR(VLOOKUP(B1330,'Pre-Summary'!$AZ$6:$BE$65,6,FALSE),"")</f>
        <v/>
      </c>
      <c r="AL1330" s="10" t="str">
        <f>IFERROR(VLOOKUP(B1330,'Pre-Summary'!$BG$6:$BL$44,3,FALSE),"")</f>
        <v/>
      </c>
      <c r="AM1330" s="10" t="str">
        <f>IFERROR(VLOOKUP(B1330,'Pre-Summary'!$BG$6:$BL$44,4,FALSE),"")</f>
        <v/>
      </c>
    </row>
    <row r="1331" spans="2:39" ht="15" customHeight="1" x14ac:dyDescent="0.3">
      <c r="B1331">
        <v>132.80000000000001</v>
      </c>
      <c r="C1331" t="str">
        <f>IFERROR(VLOOKUP(B1331,'Pre-Summary'!$DI$6:$DM$23,4,FALSE),"")</f>
        <v/>
      </c>
      <c r="D1331" s="10" t="str">
        <f>IFERROR(VLOOKUP(B1331,'Pre-Summary'!$AT$6:$AX$14,5,FALSE),D1330)</f>
        <v>Speece: put in Speece media + EDTA + cysteine + vitamins as in DSMZ 120</v>
      </c>
      <c r="E1331" s="10" t="str">
        <f>IFERROR(VLOOKUP(B1331,'Pre-Summary'!$AT$6:$AX$15,4,FALSE),"")</f>
        <v/>
      </c>
      <c r="F1331">
        <f>IFERROR(VLOOKUP(B1331,'Pre-Summary'!$AL$6:$AQ$13,6,FALSE),F1330)</f>
        <v>5.9405263157894746E-2</v>
      </c>
      <c r="G1331" t="str">
        <f>IFERROR(VLOOKUP(B1331,'Pre-Summary'!$AE$6:$AJ$85,3,FALSE),"")</f>
        <v/>
      </c>
      <c r="H1331" t="str">
        <f>IFERROR(VLOOKUP(B1331,'Pre-Summary'!$AE$6:$AJ$85,4,FALSE),"")</f>
        <v/>
      </c>
      <c r="I1331" t="str">
        <f>IFERROR(VLOOKUP(B1331,'Pre-Summary'!$AE$6:$AJ$85,5,FALSE),"")</f>
        <v/>
      </c>
      <c r="J1331" s="45" t="str">
        <f>IFERROR(VLOOKUP(B1331,'Pre-Summary'!$AE$6:$AJ$85,6, FALSE),"")</f>
        <v/>
      </c>
      <c r="K1331" s="45" t="str">
        <f>IFERROR(VLOOKUP(B1331,'Pre-Summary'!$DE$6:$DG$61,3,FALSE),"")</f>
        <v/>
      </c>
      <c r="L1331" s="45" t="str">
        <f>IFERROR(VLOOKUP(B1331,'Pre-Summary'!$CU$6:$CW$36,3,FALSE),"")</f>
        <v/>
      </c>
      <c r="M1331" s="45" t="str">
        <f>IFERROR(VLOOKUP(B1331,'Pre-Summary'!$BW$6:$BY$58,2,FALSE),"")</f>
        <v/>
      </c>
      <c r="N1331" s="45" t="str">
        <f>IFERROR(VLOOKUP(B1331,'Pre-Summary'!$CD$6:$CF$64,2,FALSE),"")</f>
        <v/>
      </c>
      <c r="O1331" s="99">
        <f>IFERROR(VLOOKUP(B1331,'Pre-Summary'!$BO$6:$BQ$48,3, FALSE),O1330)</f>
        <v>1.2</v>
      </c>
      <c r="P1331" s="99">
        <f>IFERROR(VLOOKUP(B1331,'Pre-Summary'!$BS$6:$BU$35,3,FALSE),P1330)</f>
        <v>0.3</v>
      </c>
      <c r="Q1331" s="54">
        <f t="shared" si="60"/>
        <v>4</v>
      </c>
      <c r="R1331" s="53">
        <f>IFERROR(VLOOKUP(B1331,'Pre-Summary'!$BG$6:$BM$44,7,FALSE),R1332)</f>
        <v>8.8846389403014939E-2</v>
      </c>
      <c r="S1331" s="53">
        <f>IFERROR(VLOOKUP(B1331,'Pre-Summary'!$BG$6:$BM$44,6,FALSE),S1332)</f>
        <v>8.4804948618154546E-2</v>
      </c>
      <c r="T1331" s="45" t="str">
        <f>IFERROR(VLOOKUP(B1331,'Pre-Summary'!$Y$6:$AC$83, 3,FALSE),"")</f>
        <v/>
      </c>
      <c r="U1331" s="45" t="str">
        <f>IFERROR(VLOOKUP(B1331,'Pre-Summary'!$Y$6:$AC$83, 4,FALSE),"")</f>
        <v/>
      </c>
      <c r="V1331" t="str">
        <f>IFERROR(VLOOKUP(B1331,'Pre-Summary'!$Y$6:$AC$83, 5,FALSE),"")</f>
        <v/>
      </c>
      <c r="W1331" s="45" t="str">
        <f>IFERROR(VLOOKUP(B1331,'Pre-Summary'!$Y$6:$AD$83,6,FALSE),"")</f>
        <v/>
      </c>
      <c r="X1331" t="str">
        <f>IFERROR(VLOOKUP('Pre-Summary'!$DB$6:$DD$63,3,FALSE),"")</f>
        <v/>
      </c>
      <c r="Y1331" t="str">
        <f>IFERROR(VLOOKUP(B1331,'Pre-Summary'!$CR$6:$CT$36,3,FALSE),"")</f>
        <v/>
      </c>
      <c r="Z1331" s="45" t="str">
        <f>IFERROR(VLOOKUP(B1331,'Pre-Summary'!$BZ$6:$CB$63,2,FALSE),"")</f>
        <v/>
      </c>
      <c r="AA1331" s="45" t="str">
        <f>IFERROR(VLOOKUP(B1331,'Pre-Summary'!$CG$6:$CI$70,2,FALSE),"")</f>
        <v/>
      </c>
      <c r="AB1331" s="99">
        <f>IFERROR(VLOOKUP(B1331,'Pre-Summary'!$A$6:$P$178,9,FALSE),AB1332)</f>
        <v>0.28691964523284591</v>
      </c>
      <c r="AC1331" s="10">
        <f>IFERROR(VLOOKUP(Summary!B1331,'Pre-Summary'!$A$6:$P$184,5, FALSE)/100,AC1332)</f>
        <v>0.92992700000000017</v>
      </c>
      <c r="AD1331" s="10">
        <f>IFERROR(VLOOKUP(Summary!B1331,'Pre-Summary'!$A$6:$P$184,3, FALSE)/100,AD1332)</f>
        <v>6.3624666666666663E-2</v>
      </c>
      <c r="AE1331" s="10">
        <f>IFERROR(VLOOKUP(Summary!B1331,'Pre-Summary'!$A$6:$P$184,7, FALSE)/100,AE1332)</f>
        <v>6.4483333333333337E-3</v>
      </c>
      <c r="AF1331" s="99">
        <f t="shared" si="61"/>
        <v>1.8255166788058077E-2</v>
      </c>
      <c r="AG1331" s="99">
        <f t="shared" si="62"/>
        <v>1.8501535123431347E-3</v>
      </c>
      <c r="AH1331" s="10" t="str">
        <f>IFERROR(VLOOKUP(B1331,'Pre-Summary'!$AZ$6:$BE$65,3,FALSE),"")</f>
        <v/>
      </c>
      <c r="AI1331" s="10" t="str">
        <f>IFERROR(VLOOKUP(B1331,'Pre-Summary'!$AZ$6:$BE$65,5,FALSE),"")</f>
        <v/>
      </c>
      <c r="AJ1331" s="10" t="str">
        <f>IFERROR(VLOOKUP(B1331,'Pre-Summary'!$AZ$6:$BE$65,4,FALSE),"")</f>
        <v/>
      </c>
      <c r="AK1331" s="10" t="str">
        <f>IFERROR(VLOOKUP(B1331,'Pre-Summary'!$AZ$6:$BE$65,6,FALSE),"")</f>
        <v/>
      </c>
      <c r="AL1331" s="10" t="str">
        <f>IFERROR(VLOOKUP(B1331,'Pre-Summary'!$BG$6:$BL$44,3,FALSE),"")</f>
        <v/>
      </c>
      <c r="AM1331" s="10" t="str">
        <f>IFERROR(VLOOKUP(B1331,'Pre-Summary'!$BG$6:$BL$44,4,FALSE),"")</f>
        <v/>
      </c>
    </row>
    <row r="1332" spans="2:39" ht="15" customHeight="1" x14ac:dyDescent="0.3">
      <c r="B1332">
        <v>132.9</v>
      </c>
      <c r="C1332" t="str">
        <f>IFERROR(VLOOKUP(B1332,'Pre-Summary'!$DI$6:$DM$23,4,FALSE),"")</f>
        <v/>
      </c>
      <c r="D1332" s="10" t="str">
        <f>IFERROR(VLOOKUP(B1332,'Pre-Summary'!$AT$6:$AX$14,5,FALSE),D1331)</f>
        <v>Speece: put in Speece media + EDTA + cysteine + vitamins as in DSMZ 120</v>
      </c>
      <c r="E1332" s="10" t="str">
        <f>IFERROR(VLOOKUP(B1332,'Pre-Summary'!$AT$6:$AX$15,4,FALSE),"")</f>
        <v/>
      </c>
      <c r="F1332">
        <f>IFERROR(VLOOKUP(B1332,'Pre-Summary'!$AL$6:$AQ$13,6,FALSE),F1331)</f>
        <v>5.9405263157894746E-2</v>
      </c>
      <c r="G1332" t="str">
        <f>IFERROR(VLOOKUP(B1332,'Pre-Summary'!$AE$6:$AJ$85,3,FALSE),"")</f>
        <v/>
      </c>
      <c r="H1332" t="str">
        <f>IFERROR(VLOOKUP(B1332,'Pre-Summary'!$AE$6:$AJ$85,4,FALSE),"")</f>
        <v/>
      </c>
      <c r="I1332" t="str">
        <f>IFERROR(VLOOKUP(B1332,'Pre-Summary'!$AE$6:$AJ$85,5,FALSE),"")</f>
        <v/>
      </c>
      <c r="J1332" s="45" t="str">
        <f>IFERROR(VLOOKUP(B1332,'Pre-Summary'!$AE$6:$AJ$85,6, FALSE),"")</f>
        <v/>
      </c>
      <c r="K1332" s="45" t="str">
        <f>IFERROR(VLOOKUP(B1332,'Pre-Summary'!$DE$6:$DG$61,3,FALSE),"")</f>
        <v/>
      </c>
      <c r="L1332" s="45" t="str">
        <f>IFERROR(VLOOKUP(B1332,'Pre-Summary'!$CU$6:$CW$36,3,FALSE),"")</f>
        <v/>
      </c>
      <c r="M1332" s="45" t="str">
        <f>IFERROR(VLOOKUP(B1332,'Pre-Summary'!$BW$6:$BY$58,2,FALSE),"")</f>
        <v/>
      </c>
      <c r="N1332" s="45" t="str">
        <f>IFERROR(VLOOKUP(B1332,'Pre-Summary'!$CD$6:$CF$64,2,FALSE),"")</f>
        <v/>
      </c>
      <c r="O1332" s="99">
        <f>IFERROR(VLOOKUP(B1332,'Pre-Summary'!$BO$6:$BQ$48,3, FALSE),O1331)</f>
        <v>1.2</v>
      </c>
      <c r="P1332" s="99">
        <f>IFERROR(VLOOKUP(B1332,'Pre-Summary'!$BS$6:$BU$35,3,FALSE),P1331)</f>
        <v>0.3</v>
      </c>
      <c r="Q1332" s="54">
        <f t="shared" si="60"/>
        <v>4</v>
      </c>
      <c r="R1332" s="53">
        <f>IFERROR(VLOOKUP(B1332,'Pre-Summary'!$BG$6:$BM$44,7,FALSE),R1333)</f>
        <v>8.8846389403014939E-2</v>
      </c>
      <c r="S1332" s="53">
        <f>IFERROR(VLOOKUP(B1332,'Pre-Summary'!$BG$6:$BM$44,6,FALSE),S1333)</f>
        <v>8.4804948618154546E-2</v>
      </c>
      <c r="T1332" s="45" t="str">
        <f>IFERROR(VLOOKUP(B1332,'Pre-Summary'!$Y$6:$AC$83, 3,FALSE),"")</f>
        <v/>
      </c>
      <c r="U1332" s="45" t="str">
        <f>IFERROR(VLOOKUP(B1332,'Pre-Summary'!$Y$6:$AC$83, 4,FALSE),"")</f>
        <v/>
      </c>
      <c r="V1332" t="str">
        <f>IFERROR(VLOOKUP(B1332,'Pre-Summary'!$Y$6:$AC$83, 5,FALSE),"")</f>
        <v/>
      </c>
      <c r="W1332" s="45" t="str">
        <f>IFERROR(VLOOKUP(B1332,'Pre-Summary'!$Y$6:$AD$83,6,FALSE),"")</f>
        <v/>
      </c>
      <c r="X1332" t="str">
        <f>IFERROR(VLOOKUP('Pre-Summary'!$DB$6:$DD$63,3,FALSE),"")</f>
        <v/>
      </c>
      <c r="Y1332" t="str">
        <f>IFERROR(VLOOKUP(B1332,'Pre-Summary'!$CR$6:$CT$36,3,FALSE),"")</f>
        <v/>
      </c>
      <c r="Z1332" s="45" t="str">
        <f>IFERROR(VLOOKUP(B1332,'Pre-Summary'!$BZ$6:$CB$63,2,FALSE),"")</f>
        <v/>
      </c>
      <c r="AA1332" s="45" t="str">
        <f>IFERROR(VLOOKUP(B1332,'Pre-Summary'!$CG$6:$CI$70,2,FALSE),"")</f>
        <v/>
      </c>
      <c r="AB1332" s="99">
        <f>IFERROR(VLOOKUP(B1332,'Pre-Summary'!$A$6:$P$178,9,FALSE),AB1333)</f>
        <v>0.28691964523284591</v>
      </c>
      <c r="AC1332" s="10">
        <f>IFERROR(VLOOKUP(Summary!B1332,'Pre-Summary'!$A$6:$P$184,5, FALSE)/100,AC1333)</f>
        <v>0.92992700000000017</v>
      </c>
      <c r="AD1332" s="10">
        <f>IFERROR(VLOOKUP(Summary!B1332,'Pre-Summary'!$A$6:$P$184,3, FALSE)/100,AD1333)</f>
        <v>6.3624666666666663E-2</v>
      </c>
      <c r="AE1332" s="10">
        <f>IFERROR(VLOOKUP(Summary!B1332,'Pre-Summary'!$A$6:$P$184,7, FALSE)/100,AE1333)</f>
        <v>6.4483333333333337E-3</v>
      </c>
      <c r="AF1332" s="99">
        <f t="shared" si="61"/>
        <v>1.8255166788058077E-2</v>
      </c>
      <c r="AG1332" s="99">
        <f t="shared" si="62"/>
        <v>1.8501535123431347E-3</v>
      </c>
      <c r="AH1332" s="10" t="str">
        <f>IFERROR(VLOOKUP(B1332,'Pre-Summary'!$AZ$6:$BE$65,3,FALSE),"")</f>
        <v/>
      </c>
      <c r="AI1332" s="10" t="str">
        <f>IFERROR(VLOOKUP(B1332,'Pre-Summary'!$AZ$6:$BE$65,5,FALSE),"")</f>
        <v/>
      </c>
      <c r="AJ1332" s="10" t="str">
        <f>IFERROR(VLOOKUP(B1332,'Pre-Summary'!$AZ$6:$BE$65,4,FALSE),"")</f>
        <v/>
      </c>
      <c r="AK1332" s="10" t="str">
        <f>IFERROR(VLOOKUP(B1332,'Pre-Summary'!$AZ$6:$BE$65,6,FALSE),"")</f>
        <v/>
      </c>
      <c r="AL1332" s="10" t="str">
        <f>IFERROR(VLOOKUP(B1332,'Pre-Summary'!$BG$6:$BL$44,3,FALSE),"")</f>
        <v/>
      </c>
      <c r="AM1332" s="10" t="str">
        <f>IFERROR(VLOOKUP(B1332,'Pre-Summary'!$BG$6:$BL$44,4,FALSE),"")</f>
        <v/>
      </c>
    </row>
    <row r="1333" spans="2:39" ht="15" customHeight="1" x14ac:dyDescent="0.3">
      <c r="B1333">
        <v>133</v>
      </c>
      <c r="C1333" t="str">
        <f>IFERROR(VLOOKUP(B1333,'Pre-Summary'!$DI$6:$DM$23,4,FALSE),"")</f>
        <v/>
      </c>
      <c r="D1333" s="10" t="str">
        <f>IFERROR(VLOOKUP(B1333,'Pre-Summary'!$AT$6:$AX$14,5,FALSE),D1332)</f>
        <v>Speece: put in Speece media + EDTA + cysteine + vitamins as in DSMZ 120</v>
      </c>
      <c r="E1333" s="10" t="str">
        <f>IFERROR(VLOOKUP(B1333,'Pre-Summary'!$AT$6:$AX$15,4,FALSE),"")</f>
        <v/>
      </c>
      <c r="F1333">
        <f>IFERROR(VLOOKUP(B1333,'Pre-Summary'!$AL$6:$AQ$13,6,FALSE),F1332)</f>
        <v>5.9405263157894746E-2</v>
      </c>
      <c r="G1333" t="str">
        <f>IFERROR(VLOOKUP(B1333,'Pre-Summary'!$AE$6:$AJ$85,3,FALSE),"")</f>
        <v/>
      </c>
      <c r="H1333" t="str">
        <f>IFERROR(VLOOKUP(B1333,'Pre-Summary'!$AE$6:$AJ$85,4,FALSE),"")</f>
        <v/>
      </c>
      <c r="I1333" t="str">
        <f>IFERROR(VLOOKUP(B1333,'Pre-Summary'!$AE$6:$AJ$85,5,FALSE),"")</f>
        <v/>
      </c>
      <c r="J1333" s="45" t="str">
        <f>IFERROR(VLOOKUP(B1333,'Pre-Summary'!$AE$6:$AJ$85,6, FALSE),"")</f>
        <v/>
      </c>
      <c r="K1333" s="45" t="str">
        <f>IFERROR(VLOOKUP(B1333,'Pre-Summary'!$DE$6:$DG$61,3,FALSE),"")</f>
        <v/>
      </c>
      <c r="L1333" s="45" t="str">
        <f>IFERROR(VLOOKUP(B1333,'Pre-Summary'!$CU$6:$CW$36,3,FALSE),"")</f>
        <v/>
      </c>
      <c r="M1333" s="45" t="str">
        <f>IFERROR(VLOOKUP(B1333,'Pre-Summary'!$BW$6:$BY$58,2,FALSE),"")</f>
        <v/>
      </c>
      <c r="N1333" s="45" t="str">
        <f>IFERROR(VLOOKUP(B1333,'Pre-Summary'!$CD$6:$CF$64,2,FALSE),"")</f>
        <v/>
      </c>
      <c r="O1333" s="99">
        <f>IFERROR(VLOOKUP(B1333,'Pre-Summary'!$BO$6:$BQ$48,3, FALSE),O1332)</f>
        <v>1.2</v>
      </c>
      <c r="P1333" s="99">
        <f>IFERROR(VLOOKUP(B1333,'Pre-Summary'!$BS$6:$BU$35,3,FALSE),P1332)</f>
        <v>0.3</v>
      </c>
      <c r="Q1333" s="54">
        <f t="shared" si="60"/>
        <v>4</v>
      </c>
      <c r="R1333" s="53">
        <f>IFERROR(VLOOKUP(B1333,'Pre-Summary'!$BG$6:$BM$44,7,FALSE),R1334)</f>
        <v>8.8846389403014939E-2</v>
      </c>
      <c r="S1333" s="53">
        <f>IFERROR(VLOOKUP(B1333,'Pre-Summary'!$BG$6:$BM$44,6,FALSE),S1334)</f>
        <v>8.4804948618154546E-2</v>
      </c>
      <c r="T1333" s="45" t="str">
        <f>IFERROR(VLOOKUP(B1333,'Pre-Summary'!$Y$6:$AC$83, 3,FALSE),"")</f>
        <v/>
      </c>
      <c r="U1333" s="45" t="str">
        <f>IFERROR(VLOOKUP(B1333,'Pre-Summary'!$Y$6:$AC$83, 4,FALSE),"")</f>
        <v/>
      </c>
      <c r="V1333" t="str">
        <f>IFERROR(VLOOKUP(B1333,'Pre-Summary'!$Y$6:$AC$83, 5,FALSE),"")</f>
        <v/>
      </c>
      <c r="W1333" s="45" t="str">
        <f>IFERROR(VLOOKUP(B1333,'Pre-Summary'!$Y$6:$AD$83,6,FALSE),"")</f>
        <v/>
      </c>
      <c r="X1333" t="str">
        <f>IFERROR(VLOOKUP('Pre-Summary'!$DB$6:$DD$63,3,FALSE),"")</f>
        <v/>
      </c>
      <c r="Y1333" t="str">
        <f>IFERROR(VLOOKUP(B1333,'Pre-Summary'!$CR$6:$CT$36,3,FALSE),"")</f>
        <v/>
      </c>
      <c r="Z1333" s="45" t="str">
        <f>IFERROR(VLOOKUP(B1333,'Pre-Summary'!$BZ$6:$CB$63,2,FALSE),"")</f>
        <v/>
      </c>
      <c r="AA1333" s="45" t="str">
        <f>IFERROR(VLOOKUP(B1333,'Pre-Summary'!$CG$6:$CI$70,2,FALSE),"")</f>
        <v/>
      </c>
      <c r="AB1333" s="99">
        <f>IFERROR(VLOOKUP(B1333,'Pre-Summary'!$A$6:$P$178,9,FALSE),AB1334)</f>
        <v>0.28691964523284591</v>
      </c>
      <c r="AC1333" s="10">
        <f>IFERROR(VLOOKUP(Summary!B1333,'Pre-Summary'!$A$6:$P$184,5, FALSE)/100,AC1334)</f>
        <v>0.92992700000000017</v>
      </c>
      <c r="AD1333" s="10">
        <f>IFERROR(VLOOKUP(Summary!B1333,'Pre-Summary'!$A$6:$P$184,3, FALSE)/100,AD1334)</f>
        <v>6.3624666666666663E-2</v>
      </c>
      <c r="AE1333" s="10">
        <f>IFERROR(VLOOKUP(Summary!B1333,'Pre-Summary'!$A$6:$P$184,7, FALSE)/100,AE1334)</f>
        <v>6.4483333333333337E-3</v>
      </c>
      <c r="AF1333" s="99">
        <f t="shared" si="61"/>
        <v>1.8255166788058077E-2</v>
      </c>
      <c r="AG1333" s="99">
        <f t="shared" si="62"/>
        <v>1.8501535123431347E-3</v>
      </c>
      <c r="AH1333" s="10" t="str">
        <f>IFERROR(VLOOKUP(B1333,'Pre-Summary'!$AZ$6:$BE$65,3,FALSE),"")</f>
        <v/>
      </c>
      <c r="AI1333" s="10" t="str">
        <f>IFERROR(VLOOKUP(B1333,'Pre-Summary'!$AZ$6:$BE$65,5,FALSE),"")</f>
        <v/>
      </c>
      <c r="AJ1333" s="10" t="str">
        <f>IFERROR(VLOOKUP(B1333,'Pre-Summary'!$AZ$6:$BE$65,4,FALSE),"")</f>
        <v/>
      </c>
      <c r="AK1333" s="10" t="str">
        <f>IFERROR(VLOOKUP(B1333,'Pre-Summary'!$AZ$6:$BE$65,6,FALSE),"")</f>
        <v/>
      </c>
      <c r="AL1333" s="10" t="str">
        <f>IFERROR(VLOOKUP(B1333,'Pre-Summary'!$BG$6:$BL$44,3,FALSE),"")</f>
        <v/>
      </c>
      <c r="AM1333" s="10" t="str">
        <f>IFERROR(VLOOKUP(B1333,'Pre-Summary'!$BG$6:$BL$44,4,FALSE),"")</f>
        <v/>
      </c>
    </row>
    <row r="1334" spans="2:39" ht="15" customHeight="1" x14ac:dyDescent="0.3">
      <c r="B1334">
        <v>133.1</v>
      </c>
      <c r="C1334" t="str">
        <f>IFERROR(VLOOKUP(B1334,'Pre-Summary'!$DI$6:$DM$23,4,FALSE),"")</f>
        <v/>
      </c>
      <c r="D1334" s="10" t="str">
        <f>IFERROR(VLOOKUP(B1334,'Pre-Summary'!$AT$6:$AX$14,5,FALSE),D1333)</f>
        <v>Speece: put in Speece media + EDTA + cysteine + vitamins as in DSMZ 120</v>
      </c>
      <c r="E1334" s="10" t="str">
        <f>IFERROR(VLOOKUP(B1334,'Pre-Summary'!$AT$6:$AX$15,4,FALSE),"")</f>
        <v/>
      </c>
      <c r="F1334">
        <f>IFERROR(VLOOKUP(B1334,'Pre-Summary'!$AL$6:$AQ$13,6,FALSE),F1333)</f>
        <v>5.9405263157894746E-2</v>
      </c>
      <c r="G1334" t="str">
        <f>IFERROR(VLOOKUP(B1334,'Pre-Summary'!$AE$6:$AJ$85,3,FALSE),"")</f>
        <v/>
      </c>
      <c r="H1334" t="str">
        <f>IFERROR(VLOOKUP(B1334,'Pre-Summary'!$AE$6:$AJ$85,4,FALSE),"")</f>
        <v/>
      </c>
      <c r="I1334" t="str">
        <f>IFERROR(VLOOKUP(B1334,'Pre-Summary'!$AE$6:$AJ$85,5,FALSE),"")</f>
        <v/>
      </c>
      <c r="J1334" s="45" t="str">
        <f>IFERROR(VLOOKUP(B1334,'Pre-Summary'!$AE$6:$AJ$85,6, FALSE),"")</f>
        <v/>
      </c>
      <c r="K1334" s="45" t="str">
        <f>IFERROR(VLOOKUP(B1334,'Pre-Summary'!$DE$6:$DG$61,3,FALSE),"")</f>
        <v/>
      </c>
      <c r="L1334" s="45" t="str">
        <f>IFERROR(VLOOKUP(B1334,'Pre-Summary'!$CU$6:$CW$36,3,FALSE),"")</f>
        <v/>
      </c>
      <c r="M1334" s="45" t="str">
        <f>IFERROR(VLOOKUP(B1334,'Pre-Summary'!$BW$6:$BY$58,2,FALSE),"")</f>
        <v/>
      </c>
      <c r="N1334" s="45" t="str">
        <f>IFERROR(VLOOKUP(B1334,'Pre-Summary'!$CD$6:$CF$64,2,FALSE),"")</f>
        <v/>
      </c>
      <c r="O1334" s="99">
        <f>IFERROR(VLOOKUP(B1334,'Pre-Summary'!$BO$6:$BQ$48,3, FALSE),O1333)</f>
        <v>1.2</v>
      </c>
      <c r="P1334" s="99">
        <f>IFERROR(VLOOKUP(B1334,'Pre-Summary'!$BS$6:$BU$35,3,FALSE),P1333)</f>
        <v>0.3</v>
      </c>
      <c r="Q1334" s="54">
        <f t="shared" si="60"/>
        <v>4</v>
      </c>
      <c r="R1334" s="53">
        <f>IFERROR(VLOOKUP(B1334,'Pre-Summary'!$BG$6:$BM$44,7,FALSE),R1335)</f>
        <v>8.8846389403014939E-2</v>
      </c>
      <c r="S1334" s="53">
        <f>IFERROR(VLOOKUP(B1334,'Pre-Summary'!$BG$6:$BM$44,6,FALSE),S1335)</f>
        <v>8.4804948618154546E-2</v>
      </c>
      <c r="T1334" s="45" t="str">
        <f>IFERROR(VLOOKUP(B1334,'Pre-Summary'!$Y$6:$AC$83, 3,FALSE),"")</f>
        <v/>
      </c>
      <c r="U1334" s="45" t="str">
        <f>IFERROR(VLOOKUP(B1334,'Pre-Summary'!$Y$6:$AC$83, 4,FALSE),"")</f>
        <v/>
      </c>
      <c r="V1334" t="str">
        <f>IFERROR(VLOOKUP(B1334,'Pre-Summary'!$Y$6:$AC$83, 5,FALSE),"")</f>
        <v/>
      </c>
      <c r="W1334" s="45" t="str">
        <f>IFERROR(VLOOKUP(B1334,'Pre-Summary'!$Y$6:$AD$83,6,FALSE),"")</f>
        <v/>
      </c>
      <c r="X1334" t="str">
        <f>IFERROR(VLOOKUP('Pre-Summary'!$DB$6:$DD$63,3,FALSE),"")</f>
        <v/>
      </c>
      <c r="Y1334" t="str">
        <f>IFERROR(VLOOKUP(B1334,'Pre-Summary'!$CR$6:$CT$36,3,FALSE),"")</f>
        <v/>
      </c>
      <c r="Z1334" s="45" t="str">
        <f>IFERROR(VLOOKUP(B1334,'Pre-Summary'!$BZ$6:$CB$63,2,FALSE),"")</f>
        <v/>
      </c>
      <c r="AA1334" s="45" t="str">
        <f>IFERROR(VLOOKUP(B1334,'Pre-Summary'!$CG$6:$CI$70,2,FALSE),"")</f>
        <v/>
      </c>
      <c r="AB1334" s="99">
        <f>IFERROR(VLOOKUP(B1334,'Pre-Summary'!$A$6:$P$178,9,FALSE),AB1335)</f>
        <v>0.28691964523284591</v>
      </c>
      <c r="AC1334" s="10">
        <f>IFERROR(VLOOKUP(Summary!B1334,'Pre-Summary'!$A$6:$P$184,5, FALSE)/100,AC1335)</f>
        <v>0.92992700000000017</v>
      </c>
      <c r="AD1334" s="10">
        <f>IFERROR(VLOOKUP(Summary!B1334,'Pre-Summary'!$A$6:$P$184,3, FALSE)/100,AD1335)</f>
        <v>6.3624666666666663E-2</v>
      </c>
      <c r="AE1334" s="10">
        <f>IFERROR(VLOOKUP(Summary!B1334,'Pre-Summary'!$A$6:$P$184,7, FALSE)/100,AE1335)</f>
        <v>6.4483333333333337E-3</v>
      </c>
      <c r="AF1334" s="99">
        <f t="shared" si="61"/>
        <v>1.8255166788058077E-2</v>
      </c>
      <c r="AG1334" s="99">
        <f t="shared" si="62"/>
        <v>1.8501535123431347E-3</v>
      </c>
      <c r="AH1334" s="10" t="str">
        <f>IFERROR(VLOOKUP(B1334,'Pre-Summary'!$AZ$6:$BE$65,3,FALSE),"")</f>
        <v/>
      </c>
      <c r="AI1334" s="10" t="str">
        <f>IFERROR(VLOOKUP(B1334,'Pre-Summary'!$AZ$6:$BE$65,5,FALSE),"")</f>
        <v/>
      </c>
      <c r="AJ1334" s="10" t="str">
        <f>IFERROR(VLOOKUP(B1334,'Pre-Summary'!$AZ$6:$BE$65,4,FALSE),"")</f>
        <v/>
      </c>
      <c r="AK1334" s="10" t="str">
        <f>IFERROR(VLOOKUP(B1334,'Pre-Summary'!$AZ$6:$BE$65,6,FALSE),"")</f>
        <v/>
      </c>
      <c r="AL1334" s="10" t="str">
        <f>IFERROR(VLOOKUP(B1334,'Pre-Summary'!$BG$6:$BL$44,3,FALSE),"")</f>
        <v/>
      </c>
      <c r="AM1334" s="10" t="str">
        <f>IFERROR(VLOOKUP(B1334,'Pre-Summary'!$BG$6:$BL$44,4,FALSE),"")</f>
        <v/>
      </c>
    </row>
    <row r="1335" spans="2:39" ht="15" customHeight="1" x14ac:dyDescent="0.3">
      <c r="B1335">
        <v>133.19999999999999</v>
      </c>
      <c r="C1335" t="str">
        <f>IFERROR(VLOOKUP(B1335,'Pre-Summary'!$DI$6:$DM$23,4,FALSE),"")</f>
        <v/>
      </c>
      <c r="D1335" s="10" t="str">
        <f>IFERROR(VLOOKUP(B1335,'Pre-Summary'!$AT$6:$AX$14,5,FALSE),D1334)</f>
        <v>Speece: put in Speece media + EDTA + cysteine + vitamins as in DSMZ 120</v>
      </c>
      <c r="E1335" s="10" t="str">
        <f>IFERROR(VLOOKUP(B1335,'Pre-Summary'!$AT$6:$AX$15,4,FALSE),"")</f>
        <v/>
      </c>
      <c r="F1335">
        <f>IFERROR(VLOOKUP(B1335,'Pre-Summary'!$AL$6:$AQ$13,6,FALSE),F1334)</f>
        <v>5.9405263157894746E-2</v>
      </c>
      <c r="G1335" t="str">
        <f>IFERROR(VLOOKUP(B1335,'Pre-Summary'!$AE$6:$AJ$85,3,FALSE),"")</f>
        <v/>
      </c>
      <c r="H1335" t="str">
        <f>IFERROR(VLOOKUP(B1335,'Pre-Summary'!$AE$6:$AJ$85,4,FALSE),"")</f>
        <v/>
      </c>
      <c r="I1335" t="str">
        <f>IFERROR(VLOOKUP(B1335,'Pre-Summary'!$AE$6:$AJ$85,5,FALSE),"")</f>
        <v/>
      </c>
      <c r="J1335" s="45" t="str">
        <f>IFERROR(VLOOKUP(B1335,'Pre-Summary'!$AE$6:$AJ$85,6, FALSE),"")</f>
        <v/>
      </c>
      <c r="K1335" s="45" t="str">
        <f>IFERROR(VLOOKUP(B1335,'Pre-Summary'!$DE$6:$DG$61,3,FALSE),"")</f>
        <v/>
      </c>
      <c r="L1335" s="45" t="str">
        <f>IFERROR(VLOOKUP(B1335,'Pre-Summary'!$CU$6:$CW$36,3,FALSE),"")</f>
        <v/>
      </c>
      <c r="M1335" s="45" t="str">
        <f>IFERROR(VLOOKUP(B1335,'Pre-Summary'!$BW$6:$BY$58,2,FALSE),"")</f>
        <v/>
      </c>
      <c r="N1335" s="45" t="str">
        <f>IFERROR(VLOOKUP(B1335,'Pre-Summary'!$CD$6:$CF$64,2,FALSE),"")</f>
        <v/>
      </c>
      <c r="O1335" s="99">
        <f>IFERROR(VLOOKUP(B1335,'Pre-Summary'!$BO$6:$BQ$48,3, FALSE),O1334)</f>
        <v>1.2</v>
      </c>
      <c r="P1335" s="99">
        <f>IFERROR(VLOOKUP(B1335,'Pre-Summary'!$BS$6:$BU$35,3,FALSE),P1334)</f>
        <v>0.3</v>
      </c>
      <c r="Q1335" s="54">
        <f t="shared" si="60"/>
        <v>4</v>
      </c>
      <c r="R1335" s="53">
        <f>IFERROR(VLOOKUP(B1335,'Pre-Summary'!$BG$6:$BM$44,7,FALSE),R1336)</f>
        <v>8.8846389403014939E-2</v>
      </c>
      <c r="S1335" s="53">
        <f>IFERROR(VLOOKUP(B1335,'Pre-Summary'!$BG$6:$BM$44,6,FALSE),S1336)</f>
        <v>8.4804948618154546E-2</v>
      </c>
      <c r="T1335" s="45" t="str">
        <f>IFERROR(VLOOKUP(B1335,'Pre-Summary'!$Y$6:$AC$83, 3,FALSE),"")</f>
        <v/>
      </c>
      <c r="U1335" s="45" t="str">
        <f>IFERROR(VLOOKUP(B1335,'Pre-Summary'!$Y$6:$AC$83, 4,FALSE),"")</f>
        <v/>
      </c>
      <c r="V1335" t="str">
        <f>IFERROR(VLOOKUP(B1335,'Pre-Summary'!$Y$6:$AC$83, 5,FALSE),"")</f>
        <v/>
      </c>
      <c r="W1335" s="45" t="str">
        <f>IFERROR(VLOOKUP(B1335,'Pre-Summary'!$Y$6:$AD$83,6,FALSE),"")</f>
        <v/>
      </c>
      <c r="X1335" t="str">
        <f>IFERROR(VLOOKUP('Pre-Summary'!$DB$6:$DD$63,3,FALSE),"")</f>
        <v/>
      </c>
      <c r="Y1335" t="str">
        <f>IFERROR(VLOOKUP(B1335,'Pre-Summary'!$CR$6:$CT$36,3,FALSE),"")</f>
        <v/>
      </c>
      <c r="Z1335" s="45" t="str">
        <f>IFERROR(VLOOKUP(B1335,'Pre-Summary'!$BZ$6:$CB$63,2,FALSE),"")</f>
        <v/>
      </c>
      <c r="AA1335" s="45" t="str">
        <f>IFERROR(VLOOKUP(B1335,'Pre-Summary'!$CG$6:$CI$70,2,FALSE),"")</f>
        <v/>
      </c>
      <c r="AB1335" s="99">
        <f>IFERROR(VLOOKUP(B1335,'Pre-Summary'!$A$6:$P$178,9,FALSE),AB1336)</f>
        <v>0.28691964523284591</v>
      </c>
      <c r="AC1335" s="10">
        <f>IFERROR(VLOOKUP(Summary!B1335,'Pre-Summary'!$A$6:$P$184,5, FALSE)/100,AC1336)</f>
        <v>0.92992700000000017</v>
      </c>
      <c r="AD1335" s="10">
        <f>IFERROR(VLOOKUP(Summary!B1335,'Pre-Summary'!$A$6:$P$184,3, FALSE)/100,AD1336)</f>
        <v>6.3624666666666663E-2</v>
      </c>
      <c r="AE1335" s="10">
        <f>IFERROR(VLOOKUP(Summary!B1335,'Pre-Summary'!$A$6:$P$184,7, FALSE)/100,AE1336)</f>
        <v>6.4483333333333337E-3</v>
      </c>
      <c r="AF1335" s="99">
        <f t="shared" si="61"/>
        <v>1.8255166788058077E-2</v>
      </c>
      <c r="AG1335" s="99">
        <f t="shared" si="62"/>
        <v>1.8501535123431347E-3</v>
      </c>
      <c r="AH1335" s="10" t="str">
        <f>IFERROR(VLOOKUP(B1335,'Pre-Summary'!$AZ$6:$BE$65,3,FALSE),"")</f>
        <v/>
      </c>
      <c r="AI1335" s="10" t="str">
        <f>IFERROR(VLOOKUP(B1335,'Pre-Summary'!$AZ$6:$BE$65,5,FALSE),"")</f>
        <v/>
      </c>
      <c r="AJ1335" s="10" t="str">
        <f>IFERROR(VLOOKUP(B1335,'Pre-Summary'!$AZ$6:$BE$65,4,FALSE),"")</f>
        <v/>
      </c>
      <c r="AK1335" s="10" t="str">
        <f>IFERROR(VLOOKUP(B1335,'Pre-Summary'!$AZ$6:$BE$65,6,FALSE),"")</f>
        <v/>
      </c>
      <c r="AL1335" s="10" t="str">
        <f>IFERROR(VLOOKUP(B1335,'Pre-Summary'!$BG$6:$BL$44,3,FALSE),"")</f>
        <v/>
      </c>
      <c r="AM1335" s="10" t="str">
        <f>IFERROR(VLOOKUP(B1335,'Pre-Summary'!$BG$6:$BL$44,4,FALSE),"")</f>
        <v/>
      </c>
    </row>
    <row r="1336" spans="2:39" ht="15" customHeight="1" x14ac:dyDescent="0.3">
      <c r="B1336">
        <v>133.30000000000001</v>
      </c>
      <c r="C1336" t="str">
        <f>IFERROR(VLOOKUP(B1336,'Pre-Summary'!$DI$6:$DM$23,4,FALSE),"")</f>
        <v/>
      </c>
      <c r="D1336" s="10" t="str">
        <f>IFERROR(VLOOKUP(B1336,'Pre-Summary'!$AT$6:$AX$14,5,FALSE),D1335)</f>
        <v>Speece: put in Speece media + EDTA + cysteine + vitamins as in DSMZ 120</v>
      </c>
      <c r="E1336" s="10" t="str">
        <f>IFERROR(VLOOKUP(B1336,'Pre-Summary'!$AT$6:$AX$15,4,FALSE),"")</f>
        <v/>
      </c>
      <c r="F1336">
        <f>IFERROR(VLOOKUP(B1336,'Pre-Summary'!$AL$6:$AQ$13,6,FALSE),F1335)</f>
        <v>5.9405263157894746E-2</v>
      </c>
      <c r="G1336" t="str">
        <f>IFERROR(VLOOKUP(B1336,'Pre-Summary'!$AE$6:$AJ$85,3,FALSE),"")</f>
        <v/>
      </c>
      <c r="H1336" t="str">
        <f>IFERROR(VLOOKUP(B1336,'Pre-Summary'!$AE$6:$AJ$85,4,FALSE),"")</f>
        <v/>
      </c>
      <c r="I1336" t="str">
        <f>IFERROR(VLOOKUP(B1336,'Pre-Summary'!$AE$6:$AJ$85,5,FALSE),"")</f>
        <v/>
      </c>
      <c r="J1336" s="45" t="str">
        <f>IFERROR(VLOOKUP(B1336,'Pre-Summary'!$AE$6:$AJ$85,6, FALSE),"")</f>
        <v/>
      </c>
      <c r="K1336" s="45" t="str">
        <f>IFERROR(VLOOKUP(B1336,'Pre-Summary'!$DE$6:$DG$61,3,FALSE),"")</f>
        <v/>
      </c>
      <c r="L1336" s="45" t="str">
        <f>IFERROR(VLOOKUP(B1336,'Pre-Summary'!$CU$6:$CW$36,3,FALSE),"")</f>
        <v/>
      </c>
      <c r="M1336" s="45" t="str">
        <f>IFERROR(VLOOKUP(B1336,'Pre-Summary'!$BW$6:$BY$58,2,FALSE),"")</f>
        <v/>
      </c>
      <c r="N1336" s="45" t="str">
        <f>IFERROR(VLOOKUP(B1336,'Pre-Summary'!$CD$6:$CF$64,2,FALSE),"")</f>
        <v/>
      </c>
      <c r="O1336" s="99">
        <f>IFERROR(VLOOKUP(B1336,'Pre-Summary'!$BO$6:$BQ$48,3, FALSE),O1335)</f>
        <v>1.2</v>
      </c>
      <c r="P1336" s="99">
        <f>IFERROR(VLOOKUP(B1336,'Pre-Summary'!$BS$6:$BU$35,3,FALSE),P1335)</f>
        <v>0.3</v>
      </c>
      <c r="Q1336" s="54">
        <f t="shared" si="60"/>
        <v>4</v>
      </c>
      <c r="R1336" s="53">
        <f>IFERROR(VLOOKUP(B1336,'Pre-Summary'!$BG$6:$BM$44,7,FALSE),R1337)</f>
        <v>8.8846389403014939E-2</v>
      </c>
      <c r="S1336" s="53">
        <f>IFERROR(VLOOKUP(B1336,'Pre-Summary'!$BG$6:$BM$44,6,FALSE),S1337)</f>
        <v>8.4804948618154546E-2</v>
      </c>
      <c r="T1336" s="45" t="str">
        <f>IFERROR(VLOOKUP(B1336,'Pre-Summary'!$Y$6:$AC$83, 3,FALSE),"")</f>
        <v/>
      </c>
      <c r="U1336" s="45" t="str">
        <f>IFERROR(VLOOKUP(B1336,'Pre-Summary'!$Y$6:$AC$83, 4,FALSE),"")</f>
        <v/>
      </c>
      <c r="V1336" t="str">
        <f>IFERROR(VLOOKUP(B1336,'Pre-Summary'!$Y$6:$AC$83, 5,FALSE),"")</f>
        <v/>
      </c>
      <c r="W1336" s="45" t="str">
        <f>IFERROR(VLOOKUP(B1336,'Pre-Summary'!$Y$6:$AD$83,6,FALSE),"")</f>
        <v/>
      </c>
      <c r="X1336" t="str">
        <f>IFERROR(VLOOKUP('Pre-Summary'!$DB$6:$DD$63,3,FALSE),"")</f>
        <v/>
      </c>
      <c r="Y1336" t="str">
        <f>IFERROR(VLOOKUP(B1336,'Pre-Summary'!$CR$6:$CT$36,3,FALSE),"")</f>
        <v/>
      </c>
      <c r="Z1336" s="45" t="str">
        <f>IFERROR(VLOOKUP(B1336,'Pre-Summary'!$BZ$6:$CB$63,2,FALSE),"")</f>
        <v/>
      </c>
      <c r="AA1336" s="45" t="str">
        <f>IFERROR(VLOOKUP(B1336,'Pre-Summary'!$CG$6:$CI$70,2,FALSE),"")</f>
        <v/>
      </c>
      <c r="AB1336" s="99">
        <f>IFERROR(VLOOKUP(B1336,'Pre-Summary'!$A$6:$P$178,9,FALSE),AB1337)</f>
        <v>0.28691964523284591</v>
      </c>
      <c r="AC1336" s="10">
        <f>IFERROR(VLOOKUP(Summary!B1336,'Pre-Summary'!$A$6:$P$184,5, FALSE)/100,AC1337)</f>
        <v>0.92992700000000017</v>
      </c>
      <c r="AD1336" s="10">
        <f>IFERROR(VLOOKUP(Summary!B1336,'Pre-Summary'!$A$6:$P$184,3, FALSE)/100,AD1337)</f>
        <v>6.3624666666666663E-2</v>
      </c>
      <c r="AE1336" s="10">
        <f>IFERROR(VLOOKUP(Summary!B1336,'Pre-Summary'!$A$6:$P$184,7, FALSE)/100,AE1337)</f>
        <v>6.4483333333333337E-3</v>
      </c>
      <c r="AF1336" s="99">
        <f t="shared" si="61"/>
        <v>1.8255166788058077E-2</v>
      </c>
      <c r="AG1336" s="99">
        <f t="shared" si="62"/>
        <v>1.8501535123431347E-3</v>
      </c>
      <c r="AH1336" s="10" t="str">
        <f>IFERROR(VLOOKUP(B1336,'Pre-Summary'!$AZ$6:$BE$65,3,FALSE),"")</f>
        <v/>
      </c>
      <c r="AI1336" s="10" t="str">
        <f>IFERROR(VLOOKUP(B1336,'Pre-Summary'!$AZ$6:$BE$65,5,FALSE),"")</f>
        <v/>
      </c>
      <c r="AJ1336" s="10" t="str">
        <f>IFERROR(VLOOKUP(B1336,'Pre-Summary'!$AZ$6:$BE$65,4,FALSE),"")</f>
        <v/>
      </c>
      <c r="AK1336" s="10" t="str">
        <f>IFERROR(VLOOKUP(B1336,'Pre-Summary'!$AZ$6:$BE$65,6,FALSE),"")</f>
        <v/>
      </c>
      <c r="AL1336" s="10" t="str">
        <f>IFERROR(VLOOKUP(B1336,'Pre-Summary'!$BG$6:$BL$44,3,FALSE),"")</f>
        <v/>
      </c>
      <c r="AM1336" s="10" t="str">
        <f>IFERROR(VLOOKUP(B1336,'Pre-Summary'!$BG$6:$BL$44,4,FALSE),"")</f>
        <v/>
      </c>
    </row>
    <row r="1337" spans="2:39" ht="15" customHeight="1" x14ac:dyDescent="0.3">
      <c r="B1337">
        <v>133.4</v>
      </c>
      <c r="C1337" t="str">
        <f>IFERROR(VLOOKUP(B1337,'Pre-Summary'!$DI$6:$DM$23,4,FALSE),"")</f>
        <v/>
      </c>
      <c r="D1337" s="10" t="str">
        <f>IFERROR(VLOOKUP(B1337,'Pre-Summary'!$AT$6:$AX$14,5,FALSE),D1336)</f>
        <v>Speece: put in Speece media + EDTA + cysteine + vitamins as in DSMZ 120</v>
      </c>
      <c r="E1337" s="10" t="str">
        <f>IFERROR(VLOOKUP(B1337,'Pre-Summary'!$AT$6:$AX$15,4,FALSE),"")</f>
        <v/>
      </c>
      <c r="F1337">
        <f>IFERROR(VLOOKUP(B1337,'Pre-Summary'!$AL$6:$AQ$13,6,FALSE),F1336)</f>
        <v>5.9405263157894746E-2</v>
      </c>
      <c r="G1337" t="str">
        <f>IFERROR(VLOOKUP(B1337,'Pre-Summary'!$AE$6:$AJ$85,3,FALSE),"")</f>
        <v/>
      </c>
      <c r="H1337" t="str">
        <f>IFERROR(VLOOKUP(B1337,'Pre-Summary'!$AE$6:$AJ$85,4,FALSE),"")</f>
        <v/>
      </c>
      <c r="I1337" t="str">
        <f>IFERROR(VLOOKUP(B1337,'Pre-Summary'!$AE$6:$AJ$85,5,FALSE),"")</f>
        <v/>
      </c>
      <c r="J1337" s="45" t="str">
        <f>IFERROR(VLOOKUP(B1337,'Pre-Summary'!$AE$6:$AJ$85,6, FALSE),"")</f>
        <v/>
      </c>
      <c r="K1337" s="45" t="str">
        <f>IFERROR(VLOOKUP(B1337,'Pre-Summary'!$DE$6:$DG$61,3,FALSE),"")</f>
        <v/>
      </c>
      <c r="L1337" s="45" t="str">
        <f>IFERROR(VLOOKUP(B1337,'Pre-Summary'!$CU$6:$CW$36,3,FALSE),"")</f>
        <v/>
      </c>
      <c r="M1337" s="45" t="str">
        <f>IFERROR(VLOOKUP(B1337,'Pre-Summary'!$BW$6:$BY$58,2,FALSE),"")</f>
        <v/>
      </c>
      <c r="N1337" s="45" t="str">
        <f>IFERROR(VLOOKUP(B1337,'Pre-Summary'!$CD$6:$CF$64,2,FALSE),"")</f>
        <v/>
      </c>
      <c r="O1337" s="99">
        <f>IFERROR(VLOOKUP(B1337,'Pre-Summary'!$BO$6:$BQ$48,3, FALSE),O1336)</f>
        <v>1.2</v>
      </c>
      <c r="P1337" s="99">
        <f>IFERROR(VLOOKUP(B1337,'Pre-Summary'!$BS$6:$BU$35,3,FALSE),P1336)</f>
        <v>0.3</v>
      </c>
      <c r="Q1337" s="54">
        <f t="shared" si="60"/>
        <v>4</v>
      </c>
      <c r="R1337" s="53">
        <f>IFERROR(VLOOKUP(B1337,'Pre-Summary'!$BG$6:$BM$44,7,FALSE),R1338)</f>
        <v>8.8846389403014939E-2</v>
      </c>
      <c r="S1337" s="53">
        <f>IFERROR(VLOOKUP(B1337,'Pre-Summary'!$BG$6:$BM$44,6,FALSE),S1338)</f>
        <v>8.4804948618154546E-2</v>
      </c>
      <c r="T1337" s="45" t="str">
        <f>IFERROR(VLOOKUP(B1337,'Pre-Summary'!$Y$6:$AC$83, 3,FALSE),"")</f>
        <v/>
      </c>
      <c r="U1337" s="45" t="str">
        <f>IFERROR(VLOOKUP(B1337,'Pre-Summary'!$Y$6:$AC$83, 4,FALSE),"")</f>
        <v/>
      </c>
      <c r="V1337" t="str">
        <f>IFERROR(VLOOKUP(B1337,'Pre-Summary'!$Y$6:$AC$83, 5,FALSE),"")</f>
        <v/>
      </c>
      <c r="W1337" s="45" t="str">
        <f>IFERROR(VLOOKUP(B1337,'Pre-Summary'!$Y$6:$AD$83,6,FALSE),"")</f>
        <v/>
      </c>
      <c r="X1337" t="str">
        <f>IFERROR(VLOOKUP('Pre-Summary'!$DB$6:$DD$63,3,FALSE),"")</f>
        <v/>
      </c>
      <c r="Y1337" t="str">
        <f>IFERROR(VLOOKUP(B1337,'Pre-Summary'!$CR$6:$CT$36,3,FALSE),"")</f>
        <v/>
      </c>
      <c r="Z1337" s="45" t="str">
        <f>IFERROR(VLOOKUP(B1337,'Pre-Summary'!$BZ$6:$CB$63,2,FALSE),"")</f>
        <v/>
      </c>
      <c r="AA1337" s="45" t="str">
        <f>IFERROR(VLOOKUP(B1337,'Pre-Summary'!$CG$6:$CI$70,2,FALSE),"")</f>
        <v/>
      </c>
      <c r="AB1337" s="99">
        <f>IFERROR(VLOOKUP(B1337,'Pre-Summary'!$A$6:$P$178,9,FALSE),AB1338)</f>
        <v>0.28691964523284591</v>
      </c>
      <c r="AC1337" s="10">
        <f>IFERROR(VLOOKUP(Summary!B1337,'Pre-Summary'!$A$6:$P$184,5, FALSE)/100,AC1338)</f>
        <v>0.92992700000000017</v>
      </c>
      <c r="AD1337" s="10">
        <f>IFERROR(VLOOKUP(Summary!B1337,'Pre-Summary'!$A$6:$P$184,3, FALSE)/100,AD1338)</f>
        <v>6.3624666666666663E-2</v>
      </c>
      <c r="AE1337" s="10">
        <f>IFERROR(VLOOKUP(Summary!B1337,'Pre-Summary'!$A$6:$P$184,7, FALSE)/100,AE1338)</f>
        <v>6.4483333333333337E-3</v>
      </c>
      <c r="AF1337" s="99">
        <f t="shared" si="61"/>
        <v>1.8255166788058077E-2</v>
      </c>
      <c r="AG1337" s="99">
        <f t="shared" si="62"/>
        <v>1.8501535123431347E-3</v>
      </c>
      <c r="AH1337" s="10" t="str">
        <f>IFERROR(VLOOKUP(B1337,'Pre-Summary'!$AZ$6:$BE$65,3,FALSE),"")</f>
        <v/>
      </c>
      <c r="AI1337" s="10" t="str">
        <f>IFERROR(VLOOKUP(B1337,'Pre-Summary'!$AZ$6:$BE$65,5,FALSE),"")</f>
        <v/>
      </c>
      <c r="AJ1337" s="10" t="str">
        <f>IFERROR(VLOOKUP(B1337,'Pre-Summary'!$AZ$6:$BE$65,4,FALSE),"")</f>
        <v/>
      </c>
      <c r="AK1337" s="10" t="str">
        <f>IFERROR(VLOOKUP(B1337,'Pre-Summary'!$AZ$6:$BE$65,6,FALSE),"")</f>
        <v/>
      </c>
      <c r="AL1337" s="10" t="str">
        <f>IFERROR(VLOOKUP(B1337,'Pre-Summary'!$BG$6:$BL$44,3,FALSE),"")</f>
        <v/>
      </c>
      <c r="AM1337" s="10" t="str">
        <f>IFERROR(VLOOKUP(B1337,'Pre-Summary'!$BG$6:$BL$44,4,FALSE),"")</f>
        <v/>
      </c>
    </row>
    <row r="1338" spans="2:39" ht="15" customHeight="1" x14ac:dyDescent="0.3">
      <c r="B1338">
        <v>133.5</v>
      </c>
      <c r="C1338" t="str">
        <f>IFERROR(VLOOKUP(B1338,'Pre-Summary'!$DI$6:$DM$23,4,FALSE),"")</f>
        <v/>
      </c>
      <c r="D1338" s="10" t="str">
        <f>IFERROR(VLOOKUP(B1338,'Pre-Summary'!$AT$6:$AX$14,5,FALSE),D1337)</f>
        <v>Speece: put in Speece media + EDTA + cysteine + vitamins as in DSMZ 120</v>
      </c>
      <c r="E1338" s="10" t="str">
        <f>IFERROR(VLOOKUP(B1338,'Pre-Summary'!$AT$6:$AX$15,4,FALSE),"")</f>
        <v/>
      </c>
      <c r="F1338">
        <f>IFERROR(VLOOKUP(B1338,'Pre-Summary'!$AL$6:$AQ$13,6,FALSE),F1337)</f>
        <v>5.9405263157894746E-2</v>
      </c>
      <c r="G1338" t="str">
        <f>IFERROR(VLOOKUP(B1338,'Pre-Summary'!$AE$6:$AJ$85,3,FALSE),"")</f>
        <v/>
      </c>
      <c r="H1338" t="str">
        <f>IFERROR(VLOOKUP(B1338,'Pre-Summary'!$AE$6:$AJ$85,4,FALSE),"")</f>
        <v/>
      </c>
      <c r="I1338" t="str">
        <f>IFERROR(VLOOKUP(B1338,'Pre-Summary'!$AE$6:$AJ$85,5,FALSE),"")</f>
        <v/>
      </c>
      <c r="J1338" s="45" t="str">
        <f>IFERROR(VLOOKUP(B1338,'Pre-Summary'!$AE$6:$AJ$85,6, FALSE),"")</f>
        <v/>
      </c>
      <c r="K1338" s="45" t="str">
        <f>IFERROR(VLOOKUP(B1338,'Pre-Summary'!$DE$6:$DG$61,3,FALSE),"")</f>
        <v/>
      </c>
      <c r="L1338" s="45" t="str">
        <f>IFERROR(VLOOKUP(B1338,'Pre-Summary'!$CU$6:$CW$36,3,FALSE),"")</f>
        <v/>
      </c>
      <c r="M1338" s="45" t="str">
        <f>IFERROR(VLOOKUP(B1338,'Pre-Summary'!$BW$6:$BY$58,2,FALSE),"")</f>
        <v/>
      </c>
      <c r="N1338" s="45" t="str">
        <f>IFERROR(VLOOKUP(B1338,'Pre-Summary'!$CD$6:$CF$64,2,FALSE),"")</f>
        <v/>
      </c>
      <c r="O1338" s="99">
        <f>IFERROR(VLOOKUP(B1338,'Pre-Summary'!$BO$6:$BQ$48,3, FALSE),O1337)</f>
        <v>1.2</v>
      </c>
      <c r="P1338" s="99">
        <f>IFERROR(VLOOKUP(B1338,'Pre-Summary'!$BS$6:$BU$35,3,FALSE),P1337)</f>
        <v>0.3</v>
      </c>
      <c r="Q1338" s="54">
        <f t="shared" si="60"/>
        <v>4</v>
      </c>
      <c r="R1338" s="53">
        <f>IFERROR(VLOOKUP(B1338,'Pre-Summary'!$BG$6:$BM$44,7,FALSE),R1339)</f>
        <v>8.8846389403014939E-2</v>
      </c>
      <c r="S1338" s="53">
        <f>IFERROR(VLOOKUP(B1338,'Pre-Summary'!$BG$6:$BM$44,6,FALSE),S1339)</f>
        <v>8.4804948618154546E-2</v>
      </c>
      <c r="T1338" s="45" t="str">
        <f>IFERROR(VLOOKUP(B1338,'Pre-Summary'!$Y$6:$AC$83, 3,FALSE),"")</f>
        <v/>
      </c>
      <c r="U1338" s="45" t="str">
        <f>IFERROR(VLOOKUP(B1338,'Pre-Summary'!$Y$6:$AC$83, 4,FALSE),"")</f>
        <v/>
      </c>
      <c r="V1338" t="str">
        <f>IFERROR(VLOOKUP(B1338,'Pre-Summary'!$Y$6:$AC$83, 5,FALSE),"")</f>
        <v/>
      </c>
      <c r="W1338" s="45" t="str">
        <f>IFERROR(VLOOKUP(B1338,'Pre-Summary'!$Y$6:$AD$83,6,FALSE),"")</f>
        <v/>
      </c>
      <c r="X1338" t="str">
        <f>IFERROR(VLOOKUP('Pre-Summary'!$DB$6:$DD$63,3,FALSE),"")</f>
        <v/>
      </c>
      <c r="Y1338" t="str">
        <f>IFERROR(VLOOKUP(B1338,'Pre-Summary'!$CR$6:$CT$36,3,FALSE),"")</f>
        <v/>
      </c>
      <c r="Z1338" s="45" t="str">
        <f>IFERROR(VLOOKUP(B1338,'Pre-Summary'!$BZ$6:$CB$63,2,FALSE),"")</f>
        <v/>
      </c>
      <c r="AA1338" s="45" t="str">
        <f>IFERROR(VLOOKUP(B1338,'Pre-Summary'!$CG$6:$CI$70,2,FALSE),"")</f>
        <v/>
      </c>
      <c r="AB1338" s="99">
        <f>IFERROR(VLOOKUP(B1338,'Pre-Summary'!$A$6:$P$178,9,FALSE),AB1339)</f>
        <v>0.28691964523284591</v>
      </c>
      <c r="AC1338" s="10">
        <f>IFERROR(VLOOKUP(Summary!B1338,'Pre-Summary'!$A$6:$P$184,5, FALSE)/100,AC1339)</f>
        <v>0.92992700000000017</v>
      </c>
      <c r="AD1338" s="10">
        <f>IFERROR(VLOOKUP(Summary!B1338,'Pre-Summary'!$A$6:$P$184,3, FALSE)/100,AD1339)</f>
        <v>6.3624666666666663E-2</v>
      </c>
      <c r="AE1338" s="10">
        <f>IFERROR(VLOOKUP(Summary!B1338,'Pre-Summary'!$A$6:$P$184,7, FALSE)/100,AE1339)</f>
        <v>6.4483333333333337E-3</v>
      </c>
      <c r="AF1338" s="99">
        <f t="shared" si="61"/>
        <v>1.8255166788058077E-2</v>
      </c>
      <c r="AG1338" s="99">
        <f t="shared" si="62"/>
        <v>1.8501535123431347E-3</v>
      </c>
      <c r="AH1338" s="10" t="str">
        <f>IFERROR(VLOOKUP(B1338,'Pre-Summary'!$AZ$6:$BE$65,3,FALSE),"")</f>
        <v/>
      </c>
      <c r="AI1338" s="10" t="str">
        <f>IFERROR(VLOOKUP(B1338,'Pre-Summary'!$AZ$6:$BE$65,5,FALSE),"")</f>
        <v/>
      </c>
      <c r="AJ1338" s="10" t="str">
        <f>IFERROR(VLOOKUP(B1338,'Pre-Summary'!$AZ$6:$BE$65,4,FALSE),"")</f>
        <v/>
      </c>
      <c r="AK1338" s="10" t="str">
        <f>IFERROR(VLOOKUP(B1338,'Pre-Summary'!$AZ$6:$BE$65,6,FALSE),"")</f>
        <v/>
      </c>
      <c r="AL1338" s="10" t="str">
        <f>IFERROR(VLOOKUP(B1338,'Pre-Summary'!$BG$6:$BL$44,3,FALSE),"")</f>
        <v/>
      </c>
      <c r="AM1338" s="10" t="str">
        <f>IFERROR(VLOOKUP(B1338,'Pre-Summary'!$BG$6:$BL$44,4,FALSE),"")</f>
        <v/>
      </c>
    </row>
    <row r="1339" spans="2:39" ht="15" customHeight="1" x14ac:dyDescent="0.3">
      <c r="B1339">
        <v>133.6</v>
      </c>
      <c r="C1339" t="str">
        <f>IFERROR(VLOOKUP(B1339,'Pre-Summary'!$DI$6:$DM$23,4,FALSE),"")</f>
        <v/>
      </c>
      <c r="D1339" s="10" t="str">
        <f>IFERROR(VLOOKUP(B1339,'Pre-Summary'!$AT$6:$AX$14,5,FALSE),D1338)</f>
        <v>Speece: put in Speece media + EDTA + cysteine + vitamins as in DSMZ 120</v>
      </c>
      <c r="E1339" s="10" t="str">
        <f>IFERROR(VLOOKUP(B1339,'Pre-Summary'!$AT$6:$AX$15,4,FALSE),"")</f>
        <v/>
      </c>
      <c r="F1339">
        <f>IFERROR(VLOOKUP(B1339,'Pre-Summary'!$AL$6:$AQ$13,6,FALSE),F1338)</f>
        <v>5.9405263157894746E-2</v>
      </c>
      <c r="G1339" t="str">
        <f>IFERROR(VLOOKUP(B1339,'Pre-Summary'!$AE$6:$AJ$85,3,FALSE),"")</f>
        <v/>
      </c>
      <c r="H1339" t="str">
        <f>IFERROR(VLOOKUP(B1339,'Pre-Summary'!$AE$6:$AJ$85,4,FALSE),"")</f>
        <v/>
      </c>
      <c r="I1339" t="str">
        <f>IFERROR(VLOOKUP(B1339,'Pre-Summary'!$AE$6:$AJ$85,5,FALSE),"")</f>
        <v/>
      </c>
      <c r="J1339" s="45" t="str">
        <f>IFERROR(VLOOKUP(B1339,'Pre-Summary'!$AE$6:$AJ$85,6, FALSE),"")</f>
        <v/>
      </c>
      <c r="K1339" s="45" t="str">
        <f>IFERROR(VLOOKUP(B1339,'Pre-Summary'!$DE$6:$DG$61,3,FALSE),"")</f>
        <v/>
      </c>
      <c r="L1339" s="45" t="str">
        <f>IFERROR(VLOOKUP(B1339,'Pre-Summary'!$CU$6:$CW$36,3,FALSE),"")</f>
        <v/>
      </c>
      <c r="M1339" s="45" t="str">
        <f>IFERROR(VLOOKUP(B1339,'Pre-Summary'!$BW$6:$BY$58,2,FALSE),"")</f>
        <v/>
      </c>
      <c r="N1339" s="45" t="str">
        <f>IFERROR(VLOOKUP(B1339,'Pre-Summary'!$CD$6:$CF$64,2,FALSE),"")</f>
        <v/>
      </c>
      <c r="O1339" s="99">
        <f>IFERROR(VLOOKUP(B1339,'Pre-Summary'!$BO$6:$BQ$48,3, FALSE),O1338)</f>
        <v>1.2</v>
      </c>
      <c r="P1339" s="99">
        <f>IFERROR(VLOOKUP(B1339,'Pre-Summary'!$BS$6:$BU$35,3,FALSE),P1338)</f>
        <v>0.3</v>
      </c>
      <c r="Q1339" s="54">
        <f t="shared" si="60"/>
        <v>4</v>
      </c>
      <c r="R1339" s="53">
        <f>IFERROR(VLOOKUP(B1339,'Pre-Summary'!$BG$6:$BM$44,7,FALSE),R1340)</f>
        <v>8.8846389403014939E-2</v>
      </c>
      <c r="S1339" s="53">
        <f>IFERROR(VLOOKUP(B1339,'Pre-Summary'!$BG$6:$BM$44,6,FALSE),S1340)</f>
        <v>8.4804948618154546E-2</v>
      </c>
      <c r="T1339" s="45" t="str">
        <f>IFERROR(VLOOKUP(B1339,'Pre-Summary'!$Y$6:$AC$83, 3,FALSE),"")</f>
        <v/>
      </c>
      <c r="U1339" s="45" t="str">
        <f>IFERROR(VLOOKUP(B1339,'Pre-Summary'!$Y$6:$AC$83, 4,FALSE),"")</f>
        <v/>
      </c>
      <c r="V1339" t="str">
        <f>IFERROR(VLOOKUP(B1339,'Pre-Summary'!$Y$6:$AC$83, 5,FALSE),"")</f>
        <v/>
      </c>
      <c r="W1339" s="45" t="str">
        <f>IFERROR(VLOOKUP(B1339,'Pre-Summary'!$Y$6:$AD$83,6,FALSE),"")</f>
        <v/>
      </c>
      <c r="X1339" t="str">
        <f>IFERROR(VLOOKUP('Pre-Summary'!$DB$6:$DD$63,3,FALSE),"")</f>
        <v/>
      </c>
      <c r="Y1339" t="str">
        <f>IFERROR(VLOOKUP(B1339,'Pre-Summary'!$CR$6:$CT$36,3,FALSE),"")</f>
        <v/>
      </c>
      <c r="Z1339" s="45" t="str">
        <f>IFERROR(VLOOKUP(B1339,'Pre-Summary'!$BZ$6:$CB$63,2,FALSE),"")</f>
        <v/>
      </c>
      <c r="AA1339" s="45" t="str">
        <f>IFERROR(VLOOKUP(B1339,'Pre-Summary'!$CG$6:$CI$70,2,FALSE),"")</f>
        <v/>
      </c>
      <c r="AB1339" s="99">
        <f>IFERROR(VLOOKUP(B1339,'Pre-Summary'!$A$6:$P$178,9,FALSE),AB1340)</f>
        <v>0.28691964523284591</v>
      </c>
      <c r="AC1339" s="10">
        <f>IFERROR(VLOOKUP(Summary!B1339,'Pre-Summary'!$A$6:$P$184,5, FALSE)/100,AC1340)</f>
        <v>0.92992700000000017</v>
      </c>
      <c r="AD1339" s="10">
        <f>IFERROR(VLOOKUP(Summary!B1339,'Pre-Summary'!$A$6:$P$184,3, FALSE)/100,AD1340)</f>
        <v>6.3624666666666663E-2</v>
      </c>
      <c r="AE1339" s="10">
        <f>IFERROR(VLOOKUP(Summary!B1339,'Pre-Summary'!$A$6:$P$184,7, FALSE)/100,AE1340)</f>
        <v>6.4483333333333337E-3</v>
      </c>
      <c r="AF1339" s="99">
        <f t="shared" si="61"/>
        <v>1.8255166788058077E-2</v>
      </c>
      <c r="AG1339" s="99">
        <f t="shared" si="62"/>
        <v>1.8501535123431347E-3</v>
      </c>
      <c r="AH1339" s="10" t="str">
        <f>IFERROR(VLOOKUP(B1339,'Pre-Summary'!$AZ$6:$BE$65,3,FALSE),"")</f>
        <v/>
      </c>
      <c r="AI1339" s="10" t="str">
        <f>IFERROR(VLOOKUP(B1339,'Pre-Summary'!$AZ$6:$BE$65,5,FALSE),"")</f>
        <v/>
      </c>
      <c r="AJ1339" s="10" t="str">
        <f>IFERROR(VLOOKUP(B1339,'Pre-Summary'!$AZ$6:$BE$65,4,FALSE),"")</f>
        <v/>
      </c>
      <c r="AK1339" s="10" t="str">
        <f>IFERROR(VLOOKUP(B1339,'Pre-Summary'!$AZ$6:$BE$65,6,FALSE),"")</f>
        <v/>
      </c>
      <c r="AL1339" s="10" t="str">
        <f>IFERROR(VLOOKUP(B1339,'Pre-Summary'!$BG$6:$BL$44,3,FALSE),"")</f>
        <v/>
      </c>
      <c r="AM1339" s="10" t="str">
        <f>IFERROR(VLOOKUP(B1339,'Pre-Summary'!$BG$6:$BL$44,4,FALSE),"")</f>
        <v/>
      </c>
    </row>
    <row r="1340" spans="2:39" ht="15" customHeight="1" x14ac:dyDescent="0.3">
      <c r="B1340">
        <v>133.69999999999999</v>
      </c>
      <c r="C1340" t="str">
        <f>IFERROR(VLOOKUP(B1340,'Pre-Summary'!$DI$6:$DM$23,4,FALSE),"")</f>
        <v/>
      </c>
      <c r="D1340" s="10" t="str">
        <f>IFERROR(VLOOKUP(B1340,'Pre-Summary'!$AT$6:$AX$14,5,FALSE),D1339)</f>
        <v>Speece: put in Speece media + EDTA + cysteine + vitamins as in DSMZ 120</v>
      </c>
      <c r="E1340" s="10" t="str">
        <f>IFERROR(VLOOKUP(B1340,'Pre-Summary'!$AT$6:$AX$15,4,FALSE),"")</f>
        <v/>
      </c>
      <c r="F1340">
        <f>IFERROR(VLOOKUP(B1340,'Pre-Summary'!$AL$6:$AQ$13,6,FALSE),F1339)</f>
        <v>5.9405263157894746E-2</v>
      </c>
      <c r="G1340" t="str">
        <f>IFERROR(VLOOKUP(B1340,'Pre-Summary'!$AE$6:$AJ$85,3,FALSE),"")</f>
        <v/>
      </c>
      <c r="H1340" t="str">
        <f>IFERROR(VLOOKUP(B1340,'Pre-Summary'!$AE$6:$AJ$85,4,FALSE),"")</f>
        <v/>
      </c>
      <c r="I1340" t="str">
        <f>IFERROR(VLOOKUP(B1340,'Pre-Summary'!$AE$6:$AJ$85,5,FALSE),"")</f>
        <v/>
      </c>
      <c r="J1340" s="45" t="str">
        <f>IFERROR(VLOOKUP(B1340,'Pre-Summary'!$AE$6:$AJ$85,6, FALSE),"")</f>
        <v/>
      </c>
      <c r="K1340" s="45" t="str">
        <f>IFERROR(VLOOKUP(B1340,'Pre-Summary'!$DE$6:$DG$61,3,FALSE),"")</f>
        <v/>
      </c>
      <c r="L1340" s="45" t="str">
        <f>IFERROR(VLOOKUP(B1340,'Pre-Summary'!$CU$6:$CW$36,3,FALSE),"")</f>
        <v/>
      </c>
      <c r="M1340" s="45" t="str">
        <f>IFERROR(VLOOKUP(B1340,'Pre-Summary'!$BW$6:$BY$58,2,FALSE),"")</f>
        <v/>
      </c>
      <c r="N1340" s="45" t="str">
        <f>IFERROR(VLOOKUP(B1340,'Pre-Summary'!$CD$6:$CF$64,2,FALSE),"")</f>
        <v/>
      </c>
      <c r="O1340" s="99">
        <f>IFERROR(VLOOKUP(B1340,'Pre-Summary'!$BO$6:$BQ$48,3, FALSE),O1339)</f>
        <v>1.2</v>
      </c>
      <c r="P1340" s="99">
        <f>IFERROR(VLOOKUP(B1340,'Pre-Summary'!$BS$6:$BU$35,3,FALSE),P1339)</f>
        <v>0.3</v>
      </c>
      <c r="Q1340" s="54">
        <f t="shared" si="60"/>
        <v>4</v>
      </c>
      <c r="R1340" s="53">
        <f>IFERROR(VLOOKUP(B1340,'Pre-Summary'!$BG$6:$BM$44,7,FALSE),R1341)</f>
        <v>8.8846389403014939E-2</v>
      </c>
      <c r="S1340" s="53">
        <f>IFERROR(VLOOKUP(B1340,'Pre-Summary'!$BG$6:$BM$44,6,FALSE),S1341)</f>
        <v>8.4804948618154546E-2</v>
      </c>
      <c r="T1340" s="45" t="str">
        <f>IFERROR(VLOOKUP(B1340,'Pre-Summary'!$Y$6:$AC$83, 3,FALSE),"")</f>
        <v/>
      </c>
      <c r="U1340" s="45" t="str">
        <f>IFERROR(VLOOKUP(B1340,'Pre-Summary'!$Y$6:$AC$83, 4,FALSE),"")</f>
        <v/>
      </c>
      <c r="V1340" t="str">
        <f>IFERROR(VLOOKUP(B1340,'Pre-Summary'!$Y$6:$AC$83, 5,FALSE),"")</f>
        <v/>
      </c>
      <c r="W1340" s="45" t="str">
        <f>IFERROR(VLOOKUP(B1340,'Pre-Summary'!$Y$6:$AD$83,6,FALSE),"")</f>
        <v/>
      </c>
      <c r="X1340" t="str">
        <f>IFERROR(VLOOKUP('Pre-Summary'!$DB$6:$DD$63,3,FALSE),"")</f>
        <v/>
      </c>
      <c r="Y1340" t="str">
        <f>IFERROR(VLOOKUP(B1340,'Pre-Summary'!$CR$6:$CT$36,3,FALSE),"")</f>
        <v/>
      </c>
      <c r="Z1340" s="45" t="str">
        <f>IFERROR(VLOOKUP(B1340,'Pre-Summary'!$BZ$6:$CB$63,2,FALSE),"")</f>
        <v/>
      </c>
      <c r="AA1340" s="45" t="str">
        <f>IFERROR(VLOOKUP(B1340,'Pre-Summary'!$CG$6:$CI$70,2,FALSE),"")</f>
        <v/>
      </c>
      <c r="AB1340" s="99">
        <f>IFERROR(VLOOKUP(B1340,'Pre-Summary'!$A$6:$P$178,9,FALSE),AB1341)</f>
        <v>0.28691964523284591</v>
      </c>
      <c r="AC1340" s="10">
        <f>IFERROR(VLOOKUP(Summary!B1340,'Pre-Summary'!$A$6:$P$184,5, FALSE)/100,AC1341)</f>
        <v>0.92992700000000017</v>
      </c>
      <c r="AD1340" s="10">
        <f>IFERROR(VLOOKUP(Summary!B1340,'Pre-Summary'!$A$6:$P$184,3, FALSE)/100,AD1341)</f>
        <v>6.3624666666666663E-2</v>
      </c>
      <c r="AE1340" s="10">
        <f>IFERROR(VLOOKUP(Summary!B1340,'Pre-Summary'!$A$6:$P$184,7, FALSE)/100,AE1341)</f>
        <v>6.4483333333333337E-3</v>
      </c>
      <c r="AF1340" s="99">
        <f t="shared" si="61"/>
        <v>1.8255166788058077E-2</v>
      </c>
      <c r="AG1340" s="99">
        <f t="shared" si="62"/>
        <v>1.8501535123431347E-3</v>
      </c>
      <c r="AH1340" s="10" t="str">
        <f>IFERROR(VLOOKUP(B1340,'Pre-Summary'!$AZ$6:$BE$65,3,FALSE),"")</f>
        <v/>
      </c>
      <c r="AI1340" s="10" t="str">
        <f>IFERROR(VLOOKUP(B1340,'Pre-Summary'!$AZ$6:$BE$65,5,FALSE),"")</f>
        <v/>
      </c>
      <c r="AJ1340" s="10" t="str">
        <f>IFERROR(VLOOKUP(B1340,'Pre-Summary'!$AZ$6:$BE$65,4,FALSE),"")</f>
        <v/>
      </c>
      <c r="AK1340" s="10" t="str">
        <f>IFERROR(VLOOKUP(B1340,'Pre-Summary'!$AZ$6:$BE$65,6,FALSE),"")</f>
        <v/>
      </c>
      <c r="AL1340" s="10" t="str">
        <f>IFERROR(VLOOKUP(B1340,'Pre-Summary'!$BG$6:$BL$44,3,FALSE),"")</f>
        <v/>
      </c>
      <c r="AM1340" s="10" t="str">
        <f>IFERROR(VLOOKUP(B1340,'Pre-Summary'!$BG$6:$BL$44,4,FALSE),"")</f>
        <v/>
      </c>
    </row>
    <row r="1341" spans="2:39" ht="15" customHeight="1" x14ac:dyDescent="0.3">
      <c r="B1341">
        <v>133.80000000000001</v>
      </c>
      <c r="C1341" t="str">
        <f>IFERROR(VLOOKUP(B1341,'Pre-Summary'!$DI$6:$DM$23,4,FALSE),"")</f>
        <v/>
      </c>
      <c r="D1341" s="10" t="str">
        <f>IFERROR(VLOOKUP(B1341,'Pre-Summary'!$AT$6:$AX$14,5,FALSE),D1340)</f>
        <v>Speece: put in Speece media + EDTA + cysteine + vitamins as in DSMZ 120</v>
      </c>
      <c r="E1341" s="10" t="str">
        <f>IFERROR(VLOOKUP(B1341,'Pre-Summary'!$AT$6:$AX$15,4,FALSE),"")</f>
        <v/>
      </c>
      <c r="F1341">
        <f>IFERROR(VLOOKUP(B1341,'Pre-Summary'!$AL$6:$AQ$13,6,FALSE),F1340)</f>
        <v>5.9405263157894746E-2</v>
      </c>
      <c r="G1341" t="str">
        <f>IFERROR(VLOOKUP(B1341,'Pre-Summary'!$AE$6:$AJ$85,3,FALSE),"")</f>
        <v/>
      </c>
      <c r="H1341" t="str">
        <f>IFERROR(VLOOKUP(B1341,'Pre-Summary'!$AE$6:$AJ$85,4,FALSE),"")</f>
        <v/>
      </c>
      <c r="I1341" t="str">
        <f>IFERROR(VLOOKUP(B1341,'Pre-Summary'!$AE$6:$AJ$85,5,FALSE),"")</f>
        <v/>
      </c>
      <c r="J1341" s="45" t="str">
        <f>IFERROR(VLOOKUP(B1341,'Pre-Summary'!$AE$6:$AJ$85,6, FALSE),"")</f>
        <v/>
      </c>
      <c r="K1341" s="45" t="str">
        <f>IFERROR(VLOOKUP(B1341,'Pre-Summary'!$DE$6:$DG$61,3,FALSE),"")</f>
        <v/>
      </c>
      <c r="L1341" s="45" t="str">
        <f>IFERROR(VLOOKUP(B1341,'Pre-Summary'!$CU$6:$CW$36,3,FALSE),"")</f>
        <v/>
      </c>
      <c r="M1341" s="45" t="str">
        <f>IFERROR(VLOOKUP(B1341,'Pre-Summary'!$BW$6:$BY$58,2,FALSE),"")</f>
        <v/>
      </c>
      <c r="N1341" s="45" t="str">
        <f>IFERROR(VLOOKUP(B1341,'Pre-Summary'!$CD$6:$CF$64,2,FALSE),"")</f>
        <v/>
      </c>
      <c r="O1341" s="99">
        <f>IFERROR(VLOOKUP(B1341,'Pre-Summary'!$BO$6:$BQ$48,3, FALSE),O1340)</f>
        <v>1.2</v>
      </c>
      <c r="P1341" s="99">
        <f>IFERROR(VLOOKUP(B1341,'Pre-Summary'!$BS$6:$BU$35,3,FALSE),P1340)</f>
        <v>0.3</v>
      </c>
      <c r="Q1341" s="54">
        <f t="shared" si="60"/>
        <v>4</v>
      </c>
      <c r="R1341" s="53">
        <f>IFERROR(VLOOKUP(B1341,'Pre-Summary'!$BG$6:$BM$44,7,FALSE),R1342)</f>
        <v>8.8846389403014939E-2</v>
      </c>
      <c r="S1341" s="53">
        <f>IFERROR(VLOOKUP(B1341,'Pre-Summary'!$BG$6:$BM$44,6,FALSE),S1342)</f>
        <v>8.4804948618154546E-2</v>
      </c>
      <c r="T1341" s="45" t="str">
        <f>IFERROR(VLOOKUP(B1341,'Pre-Summary'!$Y$6:$AC$83, 3,FALSE),"")</f>
        <v/>
      </c>
      <c r="U1341" s="45" t="str">
        <f>IFERROR(VLOOKUP(B1341,'Pre-Summary'!$Y$6:$AC$83, 4,FALSE),"")</f>
        <v/>
      </c>
      <c r="V1341" t="str">
        <f>IFERROR(VLOOKUP(B1341,'Pre-Summary'!$Y$6:$AC$83, 5,FALSE),"")</f>
        <v/>
      </c>
      <c r="W1341" s="45" t="str">
        <f>IFERROR(VLOOKUP(B1341,'Pre-Summary'!$Y$6:$AD$83,6,FALSE),"")</f>
        <v/>
      </c>
      <c r="X1341" t="str">
        <f>IFERROR(VLOOKUP('Pre-Summary'!$DB$6:$DD$63,3,FALSE),"")</f>
        <v/>
      </c>
      <c r="Y1341" t="str">
        <f>IFERROR(VLOOKUP(B1341,'Pre-Summary'!$CR$6:$CT$36,3,FALSE),"")</f>
        <v/>
      </c>
      <c r="Z1341" s="45" t="str">
        <f>IFERROR(VLOOKUP(B1341,'Pre-Summary'!$BZ$6:$CB$63,2,FALSE),"")</f>
        <v/>
      </c>
      <c r="AA1341" s="45" t="str">
        <f>IFERROR(VLOOKUP(B1341,'Pre-Summary'!$CG$6:$CI$70,2,FALSE),"")</f>
        <v/>
      </c>
      <c r="AB1341" s="99">
        <f>IFERROR(VLOOKUP(B1341,'Pre-Summary'!$A$6:$P$178,9,FALSE),AB1342)</f>
        <v>0.28691964523284591</v>
      </c>
      <c r="AC1341" s="10">
        <f>IFERROR(VLOOKUP(Summary!B1341,'Pre-Summary'!$A$6:$P$184,5, FALSE)/100,AC1342)</f>
        <v>0.92992700000000017</v>
      </c>
      <c r="AD1341" s="10">
        <f>IFERROR(VLOOKUP(Summary!B1341,'Pre-Summary'!$A$6:$P$184,3, FALSE)/100,AD1342)</f>
        <v>6.3624666666666663E-2</v>
      </c>
      <c r="AE1341" s="10">
        <f>IFERROR(VLOOKUP(Summary!B1341,'Pre-Summary'!$A$6:$P$184,7, FALSE)/100,AE1342)</f>
        <v>6.4483333333333337E-3</v>
      </c>
      <c r="AF1341" s="99">
        <f t="shared" si="61"/>
        <v>1.8255166788058077E-2</v>
      </c>
      <c r="AG1341" s="99">
        <f t="shared" si="62"/>
        <v>1.8501535123431347E-3</v>
      </c>
      <c r="AH1341" s="10" t="str">
        <f>IFERROR(VLOOKUP(B1341,'Pre-Summary'!$AZ$6:$BE$65,3,FALSE),"")</f>
        <v/>
      </c>
      <c r="AI1341" s="10" t="str">
        <f>IFERROR(VLOOKUP(B1341,'Pre-Summary'!$AZ$6:$BE$65,5,FALSE),"")</f>
        <v/>
      </c>
      <c r="AJ1341" s="10" t="str">
        <f>IFERROR(VLOOKUP(B1341,'Pre-Summary'!$AZ$6:$BE$65,4,FALSE),"")</f>
        <v/>
      </c>
      <c r="AK1341" s="10" t="str">
        <f>IFERROR(VLOOKUP(B1341,'Pre-Summary'!$AZ$6:$BE$65,6,FALSE),"")</f>
        <v/>
      </c>
      <c r="AL1341" s="10" t="str">
        <f>IFERROR(VLOOKUP(B1341,'Pre-Summary'!$BG$6:$BL$44,3,FALSE),"")</f>
        <v/>
      </c>
      <c r="AM1341" s="10" t="str">
        <f>IFERROR(VLOOKUP(B1341,'Pre-Summary'!$BG$6:$BL$44,4,FALSE),"")</f>
        <v/>
      </c>
    </row>
    <row r="1342" spans="2:39" ht="15" customHeight="1" x14ac:dyDescent="0.3">
      <c r="B1342">
        <v>133.9</v>
      </c>
      <c r="C1342" t="str">
        <f>IFERROR(VLOOKUP(B1342,'Pre-Summary'!$DI$6:$DM$23,4,FALSE),"")</f>
        <v/>
      </c>
      <c r="D1342" s="10" t="str">
        <f>IFERROR(VLOOKUP(B1342,'Pre-Summary'!$AT$6:$AX$14,5,FALSE),D1341)</f>
        <v>Speece: put in Speece media + EDTA + cysteine + vitamins as in DSMZ 120</v>
      </c>
      <c r="E1342" s="10" t="str">
        <f>IFERROR(VLOOKUP(B1342,'Pre-Summary'!$AT$6:$AX$15,4,FALSE),"")</f>
        <v/>
      </c>
      <c r="F1342">
        <f>IFERROR(VLOOKUP(B1342,'Pre-Summary'!$AL$6:$AQ$13,6,FALSE),F1341)</f>
        <v>5.9405263157894746E-2</v>
      </c>
      <c r="G1342" t="str">
        <f>IFERROR(VLOOKUP(B1342,'Pre-Summary'!$AE$6:$AJ$85,3,FALSE),"")</f>
        <v/>
      </c>
      <c r="H1342" t="str">
        <f>IFERROR(VLOOKUP(B1342,'Pre-Summary'!$AE$6:$AJ$85,4,FALSE),"")</f>
        <v/>
      </c>
      <c r="I1342" t="str">
        <f>IFERROR(VLOOKUP(B1342,'Pre-Summary'!$AE$6:$AJ$85,5,FALSE),"")</f>
        <v/>
      </c>
      <c r="J1342" s="45" t="str">
        <f>IFERROR(VLOOKUP(B1342,'Pre-Summary'!$AE$6:$AJ$85,6, FALSE),"")</f>
        <v/>
      </c>
      <c r="K1342" s="45" t="str">
        <f>IFERROR(VLOOKUP(B1342,'Pre-Summary'!$DE$6:$DG$61,3,FALSE),"")</f>
        <v/>
      </c>
      <c r="L1342" s="45" t="str">
        <f>IFERROR(VLOOKUP(B1342,'Pre-Summary'!$CU$6:$CW$36,3,FALSE),"")</f>
        <v/>
      </c>
      <c r="M1342" s="45" t="str">
        <f>IFERROR(VLOOKUP(B1342,'Pre-Summary'!$BW$6:$BY$58,2,FALSE),"")</f>
        <v/>
      </c>
      <c r="N1342" s="45" t="str">
        <f>IFERROR(VLOOKUP(B1342,'Pre-Summary'!$CD$6:$CF$64,2,FALSE),"")</f>
        <v/>
      </c>
      <c r="O1342" s="99">
        <f>IFERROR(VLOOKUP(B1342,'Pre-Summary'!$BO$6:$BQ$48,3, FALSE),O1341)</f>
        <v>1.2</v>
      </c>
      <c r="P1342" s="99">
        <f>IFERROR(VLOOKUP(B1342,'Pre-Summary'!$BS$6:$BU$35,3,FALSE),P1341)</f>
        <v>0.3</v>
      </c>
      <c r="Q1342" s="54">
        <f t="shared" si="60"/>
        <v>4</v>
      </c>
      <c r="R1342" s="53">
        <f>IFERROR(VLOOKUP(B1342,'Pre-Summary'!$BG$6:$BM$44,7,FALSE),R1343)</f>
        <v>8.8846389403014939E-2</v>
      </c>
      <c r="S1342" s="53">
        <f>IFERROR(VLOOKUP(B1342,'Pre-Summary'!$BG$6:$BM$44,6,FALSE),S1343)</f>
        <v>8.4804948618154546E-2</v>
      </c>
      <c r="T1342" s="45" t="str">
        <f>IFERROR(VLOOKUP(B1342,'Pre-Summary'!$Y$6:$AC$83, 3,FALSE),"")</f>
        <v/>
      </c>
      <c r="U1342" s="45" t="str">
        <f>IFERROR(VLOOKUP(B1342,'Pre-Summary'!$Y$6:$AC$83, 4,FALSE),"")</f>
        <v/>
      </c>
      <c r="V1342" t="str">
        <f>IFERROR(VLOOKUP(B1342,'Pre-Summary'!$Y$6:$AC$83, 5,FALSE),"")</f>
        <v/>
      </c>
      <c r="W1342" s="45" t="str">
        <f>IFERROR(VLOOKUP(B1342,'Pre-Summary'!$Y$6:$AD$83,6,FALSE),"")</f>
        <v/>
      </c>
      <c r="X1342" t="str">
        <f>IFERROR(VLOOKUP('Pre-Summary'!$DB$6:$DD$63,3,FALSE),"")</f>
        <v/>
      </c>
      <c r="Y1342" t="str">
        <f>IFERROR(VLOOKUP(B1342,'Pre-Summary'!$CR$6:$CT$36,3,FALSE),"")</f>
        <v/>
      </c>
      <c r="Z1342" s="45" t="str">
        <f>IFERROR(VLOOKUP(B1342,'Pre-Summary'!$BZ$6:$CB$63,2,FALSE),"")</f>
        <v/>
      </c>
      <c r="AA1342" s="45" t="str">
        <f>IFERROR(VLOOKUP(B1342,'Pre-Summary'!$CG$6:$CI$70,2,FALSE),"")</f>
        <v/>
      </c>
      <c r="AB1342" s="99">
        <f>IFERROR(VLOOKUP(B1342,'Pre-Summary'!$A$6:$P$178,9,FALSE),AB1343)</f>
        <v>0.28691964523284591</v>
      </c>
      <c r="AC1342" s="10">
        <f>IFERROR(VLOOKUP(Summary!B1342,'Pre-Summary'!$A$6:$P$184,5, FALSE)/100,AC1343)</f>
        <v>0.92992700000000017</v>
      </c>
      <c r="AD1342" s="10">
        <f>IFERROR(VLOOKUP(Summary!B1342,'Pre-Summary'!$A$6:$P$184,3, FALSE)/100,AD1343)</f>
        <v>6.3624666666666663E-2</v>
      </c>
      <c r="AE1342" s="10">
        <f>IFERROR(VLOOKUP(Summary!B1342,'Pre-Summary'!$A$6:$P$184,7, FALSE)/100,AE1343)</f>
        <v>6.4483333333333337E-3</v>
      </c>
      <c r="AF1342" s="99">
        <f t="shared" si="61"/>
        <v>1.8255166788058077E-2</v>
      </c>
      <c r="AG1342" s="99">
        <f t="shared" si="62"/>
        <v>1.8501535123431347E-3</v>
      </c>
      <c r="AH1342" s="10" t="str">
        <f>IFERROR(VLOOKUP(B1342,'Pre-Summary'!$AZ$6:$BE$65,3,FALSE),"")</f>
        <v/>
      </c>
      <c r="AI1342" s="10" t="str">
        <f>IFERROR(VLOOKUP(B1342,'Pre-Summary'!$AZ$6:$BE$65,5,FALSE),"")</f>
        <v/>
      </c>
      <c r="AJ1342" s="10" t="str">
        <f>IFERROR(VLOOKUP(B1342,'Pre-Summary'!$AZ$6:$BE$65,4,FALSE),"")</f>
        <v/>
      </c>
      <c r="AK1342" s="10" t="str">
        <f>IFERROR(VLOOKUP(B1342,'Pre-Summary'!$AZ$6:$BE$65,6,FALSE),"")</f>
        <v/>
      </c>
      <c r="AL1342" s="10" t="str">
        <f>IFERROR(VLOOKUP(B1342,'Pre-Summary'!$BG$6:$BL$44,3,FALSE),"")</f>
        <v/>
      </c>
      <c r="AM1342" s="10" t="str">
        <f>IFERROR(VLOOKUP(B1342,'Pre-Summary'!$BG$6:$BL$44,4,FALSE),"")</f>
        <v/>
      </c>
    </row>
    <row r="1343" spans="2:39" ht="15" customHeight="1" x14ac:dyDescent="0.3">
      <c r="B1343">
        <v>134</v>
      </c>
      <c r="C1343" t="str">
        <f>IFERROR(VLOOKUP(B1343,'Pre-Summary'!$DI$6:$DM$23,4,FALSE),"")</f>
        <v/>
      </c>
      <c r="D1343" s="10" t="str">
        <f>IFERROR(VLOOKUP(B1343,'Pre-Summary'!$AT$6:$AX$14,5,FALSE),D1342)</f>
        <v>Speece: put in Speece media + EDTA + cysteine + vitamins as in DSMZ 120</v>
      </c>
      <c r="E1343" s="10" t="str">
        <f>IFERROR(VLOOKUP(B1343,'Pre-Summary'!$AT$6:$AX$15,4,FALSE),"")</f>
        <v/>
      </c>
      <c r="F1343">
        <f>IFERROR(VLOOKUP(B1343,'Pre-Summary'!$AL$6:$AQ$13,6,FALSE),F1342)</f>
        <v>5.9405263157894746E-2</v>
      </c>
      <c r="G1343" t="str">
        <f>IFERROR(VLOOKUP(B1343,'Pre-Summary'!$AE$6:$AJ$85,3,FALSE),"")</f>
        <v/>
      </c>
      <c r="H1343" t="str">
        <f>IFERROR(VLOOKUP(B1343,'Pre-Summary'!$AE$6:$AJ$85,4,FALSE),"")</f>
        <v/>
      </c>
      <c r="I1343" t="str">
        <f>IFERROR(VLOOKUP(B1343,'Pre-Summary'!$AE$6:$AJ$85,5,FALSE),"")</f>
        <v/>
      </c>
      <c r="J1343" s="45" t="str">
        <f>IFERROR(VLOOKUP(B1343,'Pre-Summary'!$AE$6:$AJ$85,6, FALSE),"")</f>
        <v/>
      </c>
      <c r="K1343" s="45" t="str">
        <f>IFERROR(VLOOKUP(B1343,'Pre-Summary'!$DE$6:$DG$61,3,FALSE),"")</f>
        <v/>
      </c>
      <c r="L1343" s="45" t="str">
        <f>IFERROR(VLOOKUP(B1343,'Pre-Summary'!$CU$6:$CW$36,3,FALSE),"")</f>
        <v/>
      </c>
      <c r="M1343" s="45" t="str">
        <f>IFERROR(VLOOKUP(B1343,'Pre-Summary'!$BW$6:$BY$58,2,FALSE),"")</f>
        <v/>
      </c>
      <c r="N1343" s="45" t="str">
        <f>IFERROR(VLOOKUP(B1343,'Pre-Summary'!$CD$6:$CF$64,2,FALSE),"")</f>
        <v/>
      </c>
      <c r="O1343" s="99">
        <f>IFERROR(VLOOKUP(B1343,'Pre-Summary'!$BO$6:$BQ$48,3, FALSE),O1342)</f>
        <v>1.2</v>
      </c>
      <c r="P1343" s="99">
        <f>IFERROR(VLOOKUP(B1343,'Pre-Summary'!$BS$6:$BU$35,3,FALSE),P1342)</f>
        <v>0.3</v>
      </c>
      <c r="Q1343" s="54">
        <f t="shared" si="60"/>
        <v>4</v>
      </c>
      <c r="R1343" s="53">
        <f>IFERROR(VLOOKUP(B1343,'Pre-Summary'!$BG$6:$BM$44,7,FALSE),R1344)</f>
        <v>8.8846389403014939E-2</v>
      </c>
      <c r="S1343" s="53">
        <f>IFERROR(VLOOKUP(B1343,'Pre-Summary'!$BG$6:$BM$44,6,FALSE),S1344)</f>
        <v>8.4804948618154546E-2</v>
      </c>
      <c r="T1343" s="45" t="str">
        <f>IFERROR(VLOOKUP(B1343,'Pre-Summary'!$Y$6:$AC$83, 3,FALSE),"")</f>
        <v/>
      </c>
      <c r="U1343" s="45" t="str">
        <f>IFERROR(VLOOKUP(B1343,'Pre-Summary'!$Y$6:$AC$83, 4,FALSE),"")</f>
        <v/>
      </c>
      <c r="V1343" t="str">
        <f>IFERROR(VLOOKUP(B1343,'Pre-Summary'!$Y$6:$AC$83, 5,FALSE),"")</f>
        <v/>
      </c>
      <c r="W1343" s="45" t="str">
        <f>IFERROR(VLOOKUP(B1343,'Pre-Summary'!$Y$6:$AD$83,6,FALSE),"")</f>
        <v/>
      </c>
      <c r="X1343" t="str">
        <f>IFERROR(VLOOKUP('Pre-Summary'!$DB$6:$DD$63,3,FALSE),"")</f>
        <v/>
      </c>
      <c r="Y1343" t="str">
        <f>IFERROR(VLOOKUP(B1343,'Pre-Summary'!$CR$6:$CT$36,3,FALSE),"")</f>
        <v/>
      </c>
      <c r="Z1343" s="45" t="str">
        <f>IFERROR(VLOOKUP(B1343,'Pre-Summary'!$BZ$6:$CB$63,2,FALSE),"")</f>
        <v/>
      </c>
      <c r="AA1343" s="45" t="str">
        <f>IFERROR(VLOOKUP(B1343,'Pre-Summary'!$CG$6:$CI$70,2,FALSE),"")</f>
        <v/>
      </c>
      <c r="AB1343" s="99">
        <f>IFERROR(VLOOKUP(B1343,'Pre-Summary'!$A$6:$P$178,9,FALSE),AB1344)</f>
        <v>0.28691964523284591</v>
      </c>
      <c r="AC1343" s="10">
        <f>IFERROR(VLOOKUP(Summary!B1343,'Pre-Summary'!$A$6:$P$184,5, FALSE)/100,AC1344)</f>
        <v>0.92992700000000017</v>
      </c>
      <c r="AD1343" s="10">
        <f>IFERROR(VLOOKUP(Summary!B1343,'Pre-Summary'!$A$6:$P$184,3, FALSE)/100,AD1344)</f>
        <v>6.3624666666666663E-2</v>
      </c>
      <c r="AE1343" s="10">
        <f>IFERROR(VLOOKUP(Summary!B1343,'Pre-Summary'!$A$6:$P$184,7, FALSE)/100,AE1344)</f>
        <v>6.4483333333333337E-3</v>
      </c>
      <c r="AF1343" s="99">
        <f t="shared" si="61"/>
        <v>1.8255166788058077E-2</v>
      </c>
      <c r="AG1343" s="99">
        <f t="shared" si="62"/>
        <v>1.8501535123431347E-3</v>
      </c>
      <c r="AH1343" s="10" t="str">
        <f>IFERROR(VLOOKUP(B1343,'Pre-Summary'!$AZ$6:$BE$65,3,FALSE),"")</f>
        <v/>
      </c>
      <c r="AI1343" s="10" t="str">
        <f>IFERROR(VLOOKUP(B1343,'Pre-Summary'!$AZ$6:$BE$65,5,FALSE),"")</f>
        <v/>
      </c>
      <c r="AJ1343" s="10" t="str">
        <f>IFERROR(VLOOKUP(B1343,'Pre-Summary'!$AZ$6:$BE$65,4,FALSE),"")</f>
        <v/>
      </c>
      <c r="AK1343" s="10" t="str">
        <f>IFERROR(VLOOKUP(B1343,'Pre-Summary'!$AZ$6:$BE$65,6,FALSE),"")</f>
        <v/>
      </c>
      <c r="AL1343" s="10" t="str">
        <f>IFERROR(VLOOKUP(B1343,'Pre-Summary'!$BG$6:$BL$44,3,FALSE),"")</f>
        <v/>
      </c>
      <c r="AM1343" s="10" t="str">
        <f>IFERROR(VLOOKUP(B1343,'Pre-Summary'!$BG$6:$BL$44,4,FALSE),"")</f>
        <v/>
      </c>
    </row>
    <row r="1344" spans="2:39" ht="15" customHeight="1" x14ac:dyDescent="0.3">
      <c r="B1344">
        <v>134.1</v>
      </c>
      <c r="C1344" t="str">
        <f>IFERROR(VLOOKUP(B1344,'Pre-Summary'!$DI$6:$DM$23,4,FALSE),"")</f>
        <v/>
      </c>
      <c r="D1344" s="10" t="str">
        <f>IFERROR(VLOOKUP(B1344,'Pre-Summary'!$AT$6:$AX$14,5,FALSE),D1343)</f>
        <v>Speece: put in Speece media + EDTA + cysteine + vitamins as in DSMZ 120</v>
      </c>
      <c r="E1344" s="10" t="str">
        <f>IFERROR(VLOOKUP(B1344,'Pre-Summary'!$AT$6:$AX$15,4,FALSE),"")</f>
        <v/>
      </c>
      <c r="F1344">
        <f>IFERROR(VLOOKUP(B1344,'Pre-Summary'!$AL$6:$AQ$13,6,FALSE),F1343)</f>
        <v>5.9405263157894746E-2</v>
      </c>
      <c r="G1344" t="str">
        <f>IFERROR(VLOOKUP(B1344,'Pre-Summary'!$AE$6:$AJ$85,3,FALSE),"")</f>
        <v/>
      </c>
      <c r="H1344" t="str">
        <f>IFERROR(VLOOKUP(B1344,'Pre-Summary'!$AE$6:$AJ$85,4,FALSE),"")</f>
        <v/>
      </c>
      <c r="I1344" t="str">
        <f>IFERROR(VLOOKUP(B1344,'Pre-Summary'!$AE$6:$AJ$85,5,FALSE),"")</f>
        <v/>
      </c>
      <c r="J1344" s="45" t="str">
        <f>IFERROR(VLOOKUP(B1344,'Pre-Summary'!$AE$6:$AJ$85,6, FALSE),"")</f>
        <v/>
      </c>
      <c r="K1344" s="45" t="str">
        <f>IFERROR(VLOOKUP(B1344,'Pre-Summary'!$DE$6:$DG$61,3,FALSE),"")</f>
        <v/>
      </c>
      <c r="L1344" s="45" t="str">
        <f>IFERROR(VLOOKUP(B1344,'Pre-Summary'!$CU$6:$CW$36,3,FALSE),"")</f>
        <v/>
      </c>
      <c r="M1344" s="45" t="str">
        <f>IFERROR(VLOOKUP(B1344,'Pre-Summary'!$BW$6:$BY$58,2,FALSE),"")</f>
        <v/>
      </c>
      <c r="N1344" s="45" t="str">
        <f>IFERROR(VLOOKUP(B1344,'Pre-Summary'!$CD$6:$CF$64,2,FALSE),"")</f>
        <v/>
      </c>
      <c r="O1344" s="99">
        <f>IFERROR(VLOOKUP(B1344,'Pre-Summary'!$BO$6:$BQ$48,3, FALSE),O1343)</f>
        <v>1.2</v>
      </c>
      <c r="P1344" s="99">
        <f>IFERROR(VLOOKUP(B1344,'Pre-Summary'!$BS$6:$BU$35,3,FALSE),P1343)</f>
        <v>0.3</v>
      </c>
      <c r="Q1344" s="54">
        <f t="shared" si="60"/>
        <v>4</v>
      </c>
      <c r="R1344" s="53">
        <f>IFERROR(VLOOKUP(B1344,'Pre-Summary'!$BG$6:$BM$44,7,FALSE),R1345)</f>
        <v>8.8846389403014939E-2</v>
      </c>
      <c r="S1344" s="53">
        <f>IFERROR(VLOOKUP(B1344,'Pre-Summary'!$BG$6:$BM$44,6,FALSE),S1345)</f>
        <v>8.4804948618154546E-2</v>
      </c>
      <c r="T1344" s="45" t="str">
        <f>IFERROR(VLOOKUP(B1344,'Pre-Summary'!$Y$6:$AC$83, 3,FALSE),"")</f>
        <v/>
      </c>
      <c r="U1344" s="45" t="str">
        <f>IFERROR(VLOOKUP(B1344,'Pre-Summary'!$Y$6:$AC$83, 4,FALSE),"")</f>
        <v/>
      </c>
      <c r="V1344" t="str">
        <f>IFERROR(VLOOKUP(B1344,'Pre-Summary'!$Y$6:$AC$83, 5,FALSE),"")</f>
        <v/>
      </c>
      <c r="W1344" s="45" t="str">
        <f>IFERROR(VLOOKUP(B1344,'Pre-Summary'!$Y$6:$AD$83,6,FALSE),"")</f>
        <v/>
      </c>
      <c r="X1344" t="str">
        <f>IFERROR(VLOOKUP('Pre-Summary'!$DB$6:$DD$63,3,FALSE),"")</f>
        <v/>
      </c>
      <c r="Y1344" t="str">
        <f>IFERROR(VLOOKUP(B1344,'Pre-Summary'!$CR$6:$CT$36,3,FALSE),"")</f>
        <v/>
      </c>
      <c r="Z1344" s="45" t="str">
        <f>IFERROR(VLOOKUP(B1344,'Pre-Summary'!$BZ$6:$CB$63,2,FALSE),"")</f>
        <v/>
      </c>
      <c r="AA1344" s="45" t="str">
        <f>IFERROR(VLOOKUP(B1344,'Pre-Summary'!$CG$6:$CI$70,2,FALSE),"")</f>
        <v/>
      </c>
      <c r="AB1344" s="99">
        <f>IFERROR(VLOOKUP(B1344,'Pre-Summary'!$A$6:$P$178,9,FALSE),AB1345)</f>
        <v>0.28691964523284591</v>
      </c>
      <c r="AC1344" s="10">
        <f>IFERROR(VLOOKUP(Summary!B1344,'Pre-Summary'!$A$6:$P$184,5, FALSE)/100,AC1345)</f>
        <v>0.92992700000000017</v>
      </c>
      <c r="AD1344" s="10">
        <f>IFERROR(VLOOKUP(Summary!B1344,'Pre-Summary'!$A$6:$P$184,3, FALSE)/100,AD1345)</f>
        <v>6.3624666666666663E-2</v>
      </c>
      <c r="AE1344" s="10">
        <f>IFERROR(VLOOKUP(Summary!B1344,'Pre-Summary'!$A$6:$P$184,7, FALSE)/100,AE1345)</f>
        <v>6.4483333333333337E-3</v>
      </c>
      <c r="AF1344" s="99">
        <f t="shared" si="61"/>
        <v>1.8255166788058077E-2</v>
      </c>
      <c r="AG1344" s="99">
        <f t="shared" si="62"/>
        <v>1.8501535123431347E-3</v>
      </c>
      <c r="AH1344" s="10" t="str">
        <f>IFERROR(VLOOKUP(B1344,'Pre-Summary'!$AZ$6:$BE$65,3,FALSE),"")</f>
        <v/>
      </c>
      <c r="AI1344" s="10" t="str">
        <f>IFERROR(VLOOKUP(B1344,'Pre-Summary'!$AZ$6:$BE$65,5,FALSE),"")</f>
        <v/>
      </c>
      <c r="AJ1344" s="10" t="str">
        <f>IFERROR(VLOOKUP(B1344,'Pre-Summary'!$AZ$6:$BE$65,4,FALSE),"")</f>
        <v/>
      </c>
      <c r="AK1344" s="10" t="str">
        <f>IFERROR(VLOOKUP(B1344,'Pre-Summary'!$AZ$6:$BE$65,6,FALSE),"")</f>
        <v/>
      </c>
      <c r="AL1344" s="10" t="str">
        <f>IFERROR(VLOOKUP(B1344,'Pre-Summary'!$BG$6:$BL$44,3,FALSE),"")</f>
        <v/>
      </c>
      <c r="AM1344" s="10" t="str">
        <f>IFERROR(VLOOKUP(B1344,'Pre-Summary'!$BG$6:$BL$44,4,FALSE),"")</f>
        <v/>
      </c>
    </row>
    <row r="1345" spans="2:39" ht="15" customHeight="1" x14ac:dyDescent="0.3">
      <c r="B1345">
        <v>134.19999999999999</v>
      </c>
      <c r="C1345" t="str">
        <f>IFERROR(VLOOKUP(B1345,'Pre-Summary'!$DI$6:$DM$23,4,FALSE),"")</f>
        <v/>
      </c>
      <c r="D1345" s="10" t="str">
        <f>IFERROR(VLOOKUP(B1345,'Pre-Summary'!$AT$6:$AX$14,5,FALSE),D1344)</f>
        <v>Speece: put in Speece media + EDTA + cysteine + vitamins as in DSMZ 120</v>
      </c>
      <c r="E1345" s="10" t="str">
        <f>IFERROR(VLOOKUP(B1345,'Pre-Summary'!$AT$6:$AX$15,4,FALSE),"")</f>
        <v/>
      </c>
      <c r="F1345">
        <f>IFERROR(VLOOKUP(B1345,'Pre-Summary'!$AL$6:$AQ$13,6,FALSE),F1344)</f>
        <v>5.9405263157894746E-2</v>
      </c>
      <c r="G1345" t="str">
        <f>IFERROR(VLOOKUP(B1345,'Pre-Summary'!$AE$6:$AJ$85,3,FALSE),"")</f>
        <v/>
      </c>
      <c r="H1345" t="str">
        <f>IFERROR(VLOOKUP(B1345,'Pre-Summary'!$AE$6:$AJ$85,4,FALSE),"")</f>
        <v/>
      </c>
      <c r="I1345" t="str">
        <f>IFERROR(VLOOKUP(B1345,'Pre-Summary'!$AE$6:$AJ$85,5,FALSE),"")</f>
        <v/>
      </c>
      <c r="J1345" s="45" t="str">
        <f>IFERROR(VLOOKUP(B1345,'Pre-Summary'!$AE$6:$AJ$85,6, FALSE),"")</f>
        <v/>
      </c>
      <c r="K1345" s="45" t="str">
        <f>IFERROR(VLOOKUP(B1345,'Pre-Summary'!$DE$6:$DG$61,3,FALSE),"")</f>
        <v/>
      </c>
      <c r="L1345" s="45" t="str">
        <f>IFERROR(VLOOKUP(B1345,'Pre-Summary'!$CU$6:$CW$36,3,FALSE),"")</f>
        <v/>
      </c>
      <c r="M1345" s="45" t="str">
        <f>IFERROR(VLOOKUP(B1345,'Pre-Summary'!$BW$6:$BY$58,2,FALSE),"")</f>
        <v/>
      </c>
      <c r="N1345" s="45" t="str">
        <f>IFERROR(VLOOKUP(B1345,'Pre-Summary'!$CD$6:$CF$64,2,FALSE),"")</f>
        <v/>
      </c>
      <c r="O1345" s="99">
        <f>IFERROR(VLOOKUP(B1345,'Pre-Summary'!$BO$6:$BQ$48,3, FALSE),O1344)</f>
        <v>1.2</v>
      </c>
      <c r="P1345" s="99">
        <f>IFERROR(VLOOKUP(B1345,'Pre-Summary'!$BS$6:$BU$35,3,FALSE),P1344)</f>
        <v>0.3</v>
      </c>
      <c r="Q1345" s="54">
        <f t="shared" si="60"/>
        <v>4</v>
      </c>
      <c r="R1345" s="53">
        <f>IFERROR(VLOOKUP(B1345,'Pre-Summary'!$BG$6:$BM$44,7,FALSE),R1346)</f>
        <v>8.8846389403014939E-2</v>
      </c>
      <c r="S1345" s="53">
        <f>IFERROR(VLOOKUP(B1345,'Pre-Summary'!$BG$6:$BM$44,6,FALSE),S1346)</f>
        <v>8.4804948618154546E-2</v>
      </c>
      <c r="T1345" s="45" t="str">
        <f>IFERROR(VLOOKUP(B1345,'Pre-Summary'!$Y$6:$AC$83, 3,FALSE),"")</f>
        <v/>
      </c>
      <c r="U1345" s="45" t="str">
        <f>IFERROR(VLOOKUP(B1345,'Pre-Summary'!$Y$6:$AC$83, 4,FALSE),"")</f>
        <v/>
      </c>
      <c r="V1345" t="str">
        <f>IFERROR(VLOOKUP(B1345,'Pre-Summary'!$Y$6:$AC$83, 5,FALSE),"")</f>
        <v/>
      </c>
      <c r="W1345" s="45" t="str">
        <f>IFERROR(VLOOKUP(B1345,'Pre-Summary'!$Y$6:$AD$83,6,FALSE),"")</f>
        <v/>
      </c>
      <c r="X1345" t="str">
        <f>IFERROR(VLOOKUP('Pre-Summary'!$DB$6:$DD$63,3,FALSE),"")</f>
        <v/>
      </c>
      <c r="Y1345" t="str">
        <f>IFERROR(VLOOKUP(B1345,'Pre-Summary'!$CR$6:$CT$36,3,FALSE),"")</f>
        <v/>
      </c>
      <c r="Z1345" s="45" t="str">
        <f>IFERROR(VLOOKUP(B1345,'Pre-Summary'!$BZ$6:$CB$63,2,FALSE),"")</f>
        <v/>
      </c>
      <c r="AA1345" s="45" t="str">
        <f>IFERROR(VLOOKUP(B1345,'Pre-Summary'!$CG$6:$CI$70,2,FALSE),"")</f>
        <v/>
      </c>
      <c r="AB1345" s="99">
        <f>IFERROR(VLOOKUP(B1345,'Pre-Summary'!$A$6:$P$178,9,FALSE),AB1346)</f>
        <v>0.28691964523284591</v>
      </c>
      <c r="AC1345" s="10">
        <f>IFERROR(VLOOKUP(Summary!B1345,'Pre-Summary'!$A$6:$P$184,5, FALSE)/100,AC1346)</f>
        <v>0.92992700000000017</v>
      </c>
      <c r="AD1345" s="10">
        <f>IFERROR(VLOOKUP(Summary!B1345,'Pre-Summary'!$A$6:$P$184,3, FALSE)/100,AD1346)</f>
        <v>6.3624666666666663E-2</v>
      </c>
      <c r="AE1345" s="10">
        <f>IFERROR(VLOOKUP(Summary!B1345,'Pre-Summary'!$A$6:$P$184,7, FALSE)/100,AE1346)</f>
        <v>6.4483333333333337E-3</v>
      </c>
      <c r="AF1345" s="99">
        <f t="shared" si="61"/>
        <v>1.8255166788058077E-2</v>
      </c>
      <c r="AG1345" s="99">
        <f t="shared" si="62"/>
        <v>1.8501535123431347E-3</v>
      </c>
      <c r="AH1345" s="10" t="str">
        <f>IFERROR(VLOOKUP(B1345,'Pre-Summary'!$AZ$6:$BE$65,3,FALSE),"")</f>
        <v/>
      </c>
      <c r="AI1345" s="10" t="str">
        <f>IFERROR(VLOOKUP(B1345,'Pre-Summary'!$AZ$6:$BE$65,5,FALSE),"")</f>
        <v/>
      </c>
      <c r="AJ1345" s="10" t="str">
        <f>IFERROR(VLOOKUP(B1345,'Pre-Summary'!$AZ$6:$BE$65,4,FALSE),"")</f>
        <v/>
      </c>
      <c r="AK1345" s="10" t="str">
        <f>IFERROR(VLOOKUP(B1345,'Pre-Summary'!$AZ$6:$BE$65,6,FALSE),"")</f>
        <v/>
      </c>
      <c r="AL1345" s="10" t="str">
        <f>IFERROR(VLOOKUP(B1345,'Pre-Summary'!$BG$6:$BL$44,3,FALSE),"")</f>
        <v/>
      </c>
      <c r="AM1345" s="10" t="str">
        <f>IFERROR(VLOOKUP(B1345,'Pre-Summary'!$BG$6:$BL$44,4,FALSE),"")</f>
        <v/>
      </c>
    </row>
    <row r="1346" spans="2:39" ht="15" customHeight="1" x14ac:dyDescent="0.3">
      <c r="B1346">
        <v>134.30000000000001</v>
      </c>
      <c r="C1346" t="str">
        <f>IFERROR(VLOOKUP(B1346,'Pre-Summary'!$DI$6:$DM$23,4,FALSE),"")</f>
        <v/>
      </c>
      <c r="D1346" s="10" t="str">
        <f>IFERROR(VLOOKUP(B1346,'Pre-Summary'!$AT$6:$AX$14,5,FALSE),D1345)</f>
        <v>Speece: put in Speece media + EDTA + cysteine + vitamins as in DSMZ 120</v>
      </c>
      <c r="E1346" s="10" t="str">
        <f>IFERROR(VLOOKUP(B1346,'Pre-Summary'!$AT$6:$AX$15,4,FALSE),"")</f>
        <v/>
      </c>
      <c r="F1346">
        <f>IFERROR(VLOOKUP(B1346,'Pre-Summary'!$AL$6:$AQ$13,6,FALSE),F1345)</f>
        <v>5.9405263157894746E-2</v>
      </c>
      <c r="G1346" t="str">
        <f>IFERROR(VLOOKUP(B1346,'Pre-Summary'!$AE$6:$AJ$85,3,FALSE),"")</f>
        <v/>
      </c>
      <c r="H1346" t="str">
        <f>IFERROR(VLOOKUP(B1346,'Pre-Summary'!$AE$6:$AJ$85,4,FALSE),"")</f>
        <v/>
      </c>
      <c r="I1346" t="str">
        <f>IFERROR(VLOOKUP(B1346,'Pre-Summary'!$AE$6:$AJ$85,5,FALSE),"")</f>
        <v/>
      </c>
      <c r="J1346" s="45" t="str">
        <f>IFERROR(VLOOKUP(B1346,'Pre-Summary'!$AE$6:$AJ$85,6, FALSE),"")</f>
        <v/>
      </c>
      <c r="K1346" s="45" t="str">
        <f>IFERROR(VLOOKUP(B1346,'Pre-Summary'!$DE$6:$DG$61,3,FALSE),"")</f>
        <v/>
      </c>
      <c r="L1346" s="45" t="str">
        <f>IFERROR(VLOOKUP(B1346,'Pre-Summary'!$CU$6:$CW$36,3,FALSE),"")</f>
        <v/>
      </c>
      <c r="M1346" s="45" t="str">
        <f>IFERROR(VLOOKUP(B1346,'Pre-Summary'!$BW$6:$BY$58,2,FALSE),"")</f>
        <v/>
      </c>
      <c r="N1346" s="45" t="str">
        <f>IFERROR(VLOOKUP(B1346,'Pre-Summary'!$CD$6:$CF$64,2,FALSE),"")</f>
        <v/>
      </c>
      <c r="O1346" s="99">
        <f>IFERROR(VLOOKUP(B1346,'Pre-Summary'!$BO$6:$BQ$48,3, FALSE),O1345)</f>
        <v>1.2</v>
      </c>
      <c r="P1346" s="99">
        <f>IFERROR(VLOOKUP(B1346,'Pre-Summary'!$BS$6:$BU$35,3,FALSE),P1345)</f>
        <v>0.3</v>
      </c>
      <c r="Q1346" s="54">
        <f t="shared" si="60"/>
        <v>4</v>
      </c>
      <c r="R1346" s="53">
        <f>IFERROR(VLOOKUP(B1346,'Pre-Summary'!$BG$6:$BM$44,7,FALSE),R1347)</f>
        <v>8.8846389403014939E-2</v>
      </c>
      <c r="S1346" s="53">
        <f>IFERROR(VLOOKUP(B1346,'Pre-Summary'!$BG$6:$BM$44,6,FALSE),S1347)</f>
        <v>8.4804948618154546E-2</v>
      </c>
      <c r="T1346" s="45" t="str">
        <f>IFERROR(VLOOKUP(B1346,'Pre-Summary'!$Y$6:$AC$83, 3,FALSE),"")</f>
        <v/>
      </c>
      <c r="U1346" s="45" t="str">
        <f>IFERROR(VLOOKUP(B1346,'Pre-Summary'!$Y$6:$AC$83, 4,FALSE),"")</f>
        <v/>
      </c>
      <c r="V1346" t="str">
        <f>IFERROR(VLOOKUP(B1346,'Pre-Summary'!$Y$6:$AC$83, 5,FALSE),"")</f>
        <v/>
      </c>
      <c r="W1346" s="45" t="str">
        <f>IFERROR(VLOOKUP(B1346,'Pre-Summary'!$Y$6:$AD$83,6,FALSE),"")</f>
        <v/>
      </c>
      <c r="X1346" t="str">
        <f>IFERROR(VLOOKUP('Pre-Summary'!$DB$6:$DD$63,3,FALSE),"")</f>
        <v/>
      </c>
      <c r="Y1346" t="str">
        <f>IFERROR(VLOOKUP(B1346,'Pre-Summary'!$CR$6:$CT$36,3,FALSE),"")</f>
        <v/>
      </c>
      <c r="Z1346" s="45" t="str">
        <f>IFERROR(VLOOKUP(B1346,'Pre-Summary'!$BZ$6:$CB$63,2,FALSE),"")</f>
        <v/>
      </c>
      <c r="AA1346" s="45" t="str">
        <f>IFERROR(VLOOKUP(B1346,'Pre-Summary'!$CG$6:$CI$70,2,FALSE),"")</f>
        <v/>
      </c>
      <c r="AB1346" s="99">
        <f>IFERROR(VLOOKUP(B1346,'Pre-Summary'!$A$6:$P$178,9,FALSE),AB1347)</f>
        <v>0.28691964523284591</v>
      </c>
      <c r="AC1346" s="10">
        <f>IFERROR(VLOOKUP(Summary!B1346,'Pre-Summary'!$A$6:$P$184,5, FALSE)/100,AC1347)</f>
        <v>0.92992700000000017</v>
      </c>
      <c r="AD1346" s="10">
        <f>IFERROR(VLOOKUP(Summary!B1346,'Pre-Summary'!$A$6:$P$184,3, FALSE)/100,AD1347)</f>
        <v>6.3624666666666663E-2</v>
      </c>
      <c r="AE1346" s="10">
        <f>IFERROR(VLOOKUP(Summary!B1346,'Pre-Summary'!$A$6:$P$184,7, FALSE)/100,AE1347)</f>
        <v>6.4483333333333337E-3</v>
      </c>
      <c r="AF1346" s="99">
        <f t="shared" si="61"/>
        <v>1.8255166788058077E-2</v>
      </c>
      <c r="AG1346" s="99">
        <f t="shared" si="62"/>
        <v>1.8501535123431347E-3</v>
      </c>
      <c r="AH1346" s="10" t="str">
        <f>IFERROR(VLOOKUP(B1346,'Pre-Summary'!$AZ$6:$BE$65,3,FALSE),"")</f>
        <v/>
      </c>
      <c r="AI1346" s="10" t="str">
        <f>IFERROR(VLOOKUP(B1346,'Pre-Summary'!$AZ$6:$BE$65,5,FALSE),"")</f>
        <v/>
      </c>
      <c r="AJ1346" s="10" t="str">
        <f>IFERROR(VLOOKUP(B1346,'Pre-Summary'!$AZ$6:$BE$65,4,FALSE),"")</f>
        <v/>
      </c>
      <c r="AK1346" s="10" t="str">
        <f>IFERROR(VLOOKUP(B1346,'Pre-Summary'!$AZ$6:$BE$65,6,FALSE),"")</f>
        <v/>
      </c>
      <c r="AL1346" s="10" t="str">
        <f>IFERROR(VLOOKUP(B1346,'Pre-Summary'!$BG$6:$BL$44,3,FALSE),"")</f>
        <v/>
      </c>
      <c r="AM1346" s="10" t="str">
        <f>IFERROR(VLOOKUP(B1346,'Pre-Summary'!$BG$6:$BL$44,4,FALSE),"")</f>
        <v/>
      </c>
    </row>
    <row r="1347" spans="2:39" ht="15" customHeight="1" x14ac:dyDescent="0.3">
      <c r="B1347">
        <v>134.4</v>
      </c>
      <c r="C1347" t="str">
        <f>IFERROR(VLOOKUP(B1347,'Pre-Summary'!$DI$6:$DM$23,4,FALSE),"")</f>
        <v/>
      </c>
      <c r="D1347" s="10" t="str">
        <f>IFERROR(VLOOKUP(B1347,'Pre-Summary'!$AT$6:$AX$14,5,FALSE),D1346)</f>
        <v>Speece: put in Speece media + EDTA + cysteine + vitamins as in DSMZ 120</v>
      </c>
      <c r="E1347" s="10" t="str">
        <f>IFERROR(VLOOKUP(B1347,'Pre-Summary'!$AT$6:$AX$15,4,FALSE),"")</f>
        <v/>
      </c>
      <c r="F1347">
        <f>IFERROR(VLOOKUP(B1347,'Pre-Summary'!$AL$6:$AQ$13,6,FALSE),F1346)</f>
        <v>5.9405263157894746E-2</v>
      </c>
      <c r="G1347" t="str">
        <f>IFERROR(VLOOKUP(B1347,'Pre-Summary'!$AE$6:$AJ$85,3,FALSE),"")</f>
        <v/>
      </c>
      <c r="H1347" t="str">
        <f>IFERROR(VLOOKUP(B1347,'Pre-Summary'!$AE$6:$AJ$85,4,FALSE),"")</f>
        <v/>
      </c>
      <c r="I1347" t="str">
        <f>IFERROR(VLOOKUP(B1347,'Pre-Summary'!$AE$6:$AJ$85,5,FALSE),"")</f>
        <v/>
      </c>
      <c r="J1347" s="45" t="str">
        <f>IFERROR(VLOOKUP(B1347,'Pre-Summary'!$AE$6:$AJ$85,6, FALSE),"")</f>
        <v/>
      </c>
      <c r="K1347" s="45" t="str">
        <f>IFERROR(VLOOKUP(B1347,'Pre-Summary'!$DE$6:$DG$61,3,FALSE),"")</f>
        <v/>
      </c>
      <c r="L1347" s="45" t="str">
        <f>IFERROR(VLOOKUP(B1347,'Pre-Summary'!$CU$6:$CW$36,3,FALSE),"")</f>
        <v/>
      </c>
      <c r="M1347" s="45" t="str">
        <f>IFERROR(VLOOKUP(B1347,'Pre-Summary'!$BW$6:$BY$58,2,FALSE),"")</f>
        <v/>
      </c>
      <c r="N1347" s="45" t="str">
        <f>IFERROR(VLOOKUP(B1347,'Pre-Summary'!$CD$6:$CF$64,2,FALSE),"")</f>
        <v/>
      </c>
      <c r="O1347" s="99">
        <f>IFERROR(VLOOKUP(B1347,'Pre-Summary'!$BO$6:$BQ$48,3, FALSE),O1346)</f>
        <v>1.2</v>
      </c>
      <c r="P1347" s="99">
        <f>IFERROR(VLOOKUP(B1347,'Pre-Summary'!$BS$6:$BU$35,3,FALSE),P1346)</f>
        <v>0.3</v>
      </c>
      <c r="Q1347" s="54">
        <f t="shared" ref="Q1347:Q1410" si="63">O1347/P1347</f>
        <v>4</v>
      </c>
      <c r="R1347" s="53">
        <f>IFERROR(VLOOKUP(B1347,'Pre-Summary'!$BG$6:$BM$44,7,FALSE),R1348)</f>
        <v>8.8846389403014939E-2</v>
      </c>
      <c r="S1347" s="53">
        <f>IFERROR(VLOOKUP(B1347,'Pre-Summary'!$BG$6:$BM$44,6,FALSE),S1348)</f>
        <v>8.4804948618154546E-2</v>
      </c>
      <c r="T1347" s="45" t="str">
        <f>IFERROR(VLOOKUP(B1347,'Pre-Summary'!$Y$6:$AC$83, 3,FALSE),"")</f>
        <v/>
      </c>
      <c r="U1347" s="45" t="str">
        <f>IFERROR(VLOOKUP(B1347,'Pre-Summary'!$Y$6:$AC$83, 4,FALSE),"")</f>
        <v/>
      </c>
      <c r="V1347" t="str">
        <f>IFERROR(VLOOKUP(B1347,'Pre-Summary'!$Y$6:$AC$83, 5,FALSE),"")</f>
        <v/>
      </c>
      <c r="W1347" s="45" t="str">
        <f>IFERROR(VLOOKUP(B1347,'Pre-Summary'!$Y$6:$AD$83,6,FALSE),"")</f>
        <v/>
      </c>
      <c r="X1347" t="str">
        <f>IFERROR(VLOOKUP('Pre-Summary'!$DB$6:$DD$63,3,FALSE),"")</f>
        <v/>
      </c>
      <c r="Y1347" t="str">
        <f>IFERROR(VLOOKUP(B1347,'Pre-Summary'!$CR$6:$CT$36,3,FALSE),"")</f>
        <v/>
      </c>
      <c r="Z1347" s="45" t="str">
        <f>IFERROR(VLOOKUP(B1347,'Pre-Summary'!$BZ$6:$CB$63,2,FALSE),"")</f>
        <v/>
      </c>
      <c r="AA1347" s="45" t="str">
        <f>IFERROR(VLOOKUP(B1347,'Pre-Summary'!$CG$6:$CI$70,2,FALSE),"")</f>
        <v/>
      </c>
      <c r="AB1347" s="99">
        <f>IFERROR(VLOOKUP(B1347,'Pre-Summary'!$A$6:$P$178,9,FALSE),AB1348)</f>
        <v>0.28691964523284591</v>
      </c>
      <c r="AC1347" s="10">
        <f>IFERROR(VLOOKUP(Summary!B1347,'Pre-Summary'!$A$6:$P$184,5, FALSE)/100,AC1348)</f>
        <v>0.92992700000000017</v>
      </c>
      <c r="AD1347" s="10">
        <f>IFERROR(VLOOKUP(Summary!B1347,'Pre-Summary'!$A$6:$P$184,3, FALSE)/100,AD1348)</f>
        <v>6.3624666666666663E-2</v>
      </c>
      <c r="AE1347" s="10">
        <f>IFERROR(VLOOKUP(Summary!B1347,'Pre-Summary'!$A$6:$P$184,7, FALSE)/100,AE1348)</f>
        <v>6.4483333333333337E-3</v>
      </c>
      <c r="AF1347" s="99">
        <f t="shared" ref="AF1347:AF1410" si="64">AD1347*AB1347</f>
        <v>1.8255166788058077E-2</v>
      </c>
      <c r="AG1347" s="99">
        <f t="shared" ref="AG1347:AG1410" si="65">AB1347*AE1347</f>
        <v>1.8501535123431347E-3</v>
      </c>
      <c r="AH1347" s="10" t="str">
        <f>IFERROR(VLOOKUP(B1347,'Pre-Summary'!$AZ$6:$BE$65,3,FALSE),"")</f>
        <v/>
      </c>
      <c r="AI1347" s="10" t="str">
        <f>IFERROR(VLOOKUP(B1347,'Pre-Summary'!$AZ$6:$BE$65,5,FALSE),"")</f>
        <v/>
      </c>
      <c r="AJ1347" s="10" t="str">
        <f>IFERROR(VLOOKUP(B1347,'Pre-Summary'!$AZ$6:$BE$65,4,FALSE),"")</f>
        <v/>
      </c>
      <c r="AK1347" s="10" t="str">
        <f>IFERROR(VLOOKUP(B1347,'Pre-Summary'!$AZ$6:$BE$65,6,FALSE),"")</f>
        <v/>
      </c>
      <c r="AL1347" s="10" t="str">
        <f>IFERROR(VLOOKUP(B1347,'Pre-Summary'!$BG$6:$BL$44,3,FALSE),"")</f>
        <v/>
      </c>
      <c r="AM1347" s="10" t="str">
        <f>IFERROR(VLOOKUP(B1347,'Pre-Summary'!$BG$6:$BL$44,4,FALSE),"")</f>
        <v/>
      </c>
    </row>
    <row r="1348" spans="2:39" ht="15" customHeight="1" x14ac:dyDescent="0.3">
      <c r="B1348">
        <v>134.5</v>
      </c>
      <c r="C1348" t="str">
        <f>IFERROR(VLOOKUP(B1348,'Pre-Summary'!$DI$6:$DM$23,4,FALSE),"")</f>
        <v/>
      </c>
      <c r="D1348" s="10" t="str">
        <f>IFERROR(VLOOKUP(B1348,'Pre-Summary'!$AT$6:$AX$14,5,FALSE),D1347)</f>
        <v xml:space="preserve">Wolfe v1: put in modified wolfe + EDTA </v>
      </c>
      <c r="E1348" s="10">
        <f>IFERROR(VLOOKUP(B1348,'Pre-Summary'!$AT$6:$AX$15,4,FALSE),"")</f>
        <v>1</v>
      </c>
      <c r="F1348">
        <f>IFERROR(VLOOKUP(B1348,'Pre-Summary'!$AL$6:$AQ$13,6,FALSE),F1347)</f>
        <v>5.9405263157894746E-2</v>
      </c>
      <c r="G1348" t="str">
        <f>IFERROR(VLOOKUP(B1348,'Pre-Summary'!$AE$6:$AJ$85,3,FALSE),"")</f>
        <v/>
      </c>
      <c r="H1348" t="str">
        <f>IFERROR(VLOOKUP(B1348,'Pre-Summary'!$AE$6:$AJ$85,4,FALSE),"")</f>
        <v/>
      </c>
      <c r="I1348" t="str">
        <f>IFERROR(VLOOKUP(B1348,'Pre-Summary'!$AE$6:$AJ$85,5,FALSE),"")</f>
        <v/>
      </c>
      <c r="J1348" s="45" t="str">
        <f>IFERROR(VLOOKUP(B1348,'Pre-Summary'!$AE$6:$AJ$85,6, FALSE),"")</f>
        <v/>
      </c>
      <c r="K1348" s="45" t="str">
        <f>IFERROR(VLOOKUP(B1348,'Pre-Summary'!$DE$6:$DG$61,3,FALSE),"")</f>
        <v/>
      </c>
      <c r="L1348" s="45" t="str">
        <f>IFERROR(VLOOKUP(B1348,'Pre-Summary'!$CU$6:$CW$36,3,FALSE),"")</f>
        <v/>
      </c>
      <c r="M1348" s="45" t="str">
        <f>IFERROR(VLOOKUP(B1348,'Pre-Summary'!$BW$6:$BY$58,2,FALSE),"")</f>
        <v/>
      </c>
      <c r="N1348" s="45">
        <f>IFERROR(VLOOKUP(B1348,'Pre-Summary'!$CD$6:$CF$64,2,FALSE),"")</f>
        <v>371.55958635270292</v>
      </c>
      <c r="O1348" s="99">
        <f>IFERROR(VLOOKUP(B1348,'Pre-Summary'!$BO$6:$BQ$48,3, FALSE),O1347)</f>
        <v>1.2</v>
      </c>
      <c r="P1348" s="99">
        <f>IFERROR(VLOOKUP(B1348,'Pre-Summary'!$BS$6:$BU$35,3,FALSE),P1347)</f>
        <v>0.3</v>
      </c>
      <c r="Q1348" s="54">
        <f t="shared" si="63"/>
        <v>4</v>
      </c>
      <c r="R1348" s="53">
        <f>IFERROR(VLOOKUP(B1348,'Pre-Summary'!$BG$6:$BM$44,7,FALSE),R1349)</f>
        <v>8.8846389403014939E-2</v>
      </c>
      <c r="S1348" s="53">
        <f>IFERROR(VLOOKUP(B1348,'Pre-Summary'!$BG$6:$BM$44,6,FALSE),S1349)</f>
        <v>8.4804948618154546E-2</v>
      </c>
      <c r="T1348" s="45" t="str">
        <f>IFERROR(VLOOKUP(B1348,'Pre-Summary'!$Y$6:$AC$83, 3,FALSE),"")</f>
        <v/>
      </c>
      <c r="U1348" s="45" t="str">
        <f>IFERROR(VLOOKUP(B1348,'Pre-Summary'!$Y$6:$AC$83, 4,FALSE),"")</f>
        <v/>
      </c>
      <c r="V1348" t="str">
        <f>IFERROR(VLOOKUP(B1348,'Pre-Summary'!$Y$6:$AC$83, 5,FALSE),"")</f>
        <v/>
      </c>
      <c r="W1348" s="45" t="str">
        <f>IFERROR(VLOOKUP(B1348,'Pre-Summary'!$Y$6:$AD$83,6,FALSE),"")</f>
        <v/>
      </c>
      <c r="X1348" t="str">
        <f>IFERROR(VLOOKUP('Pre-Summary'!$DB$6:$DD$63,3,FALSE),"")</f>
        <v/>
      </c>
      <c r="Y1348" t="str">
        <f>IFERROR(VLOOKUP(B1348,'Pre-Summary'!$CR$6:$CT$36,3,FALSE),"")</f>
        <v/>
      </c>
      <c r="Z1348" s="45" t="str">
        <f>IFERROR(VLOOKUP(B1348,'Pre-Summary'!$BZ$6:$CB$63,2,FALSE),"")</f>
        <v/>
      </c>
      <c r="AA1348" s="45" t="str">
        <f>IFERROR(VLOOKUP(B1348,'Pre-Summary'!$CG$6:$CI$70,2,FALSE),"")</f>
        <v/>
      </c>
      <c r="AB1348" s="99">
        <f>IFERROR(VLOOKUP(B1348,'Pre-Summary'!$A$6:$P$178,9,FALSE),AB1349)</f>
        <v>0.28691964523284591</v>
      </c>
      <c r="AC1348" s="10">
        <f>IFERROR(VLOOKUP(Summary!B1348,'Pre-Summary'!$A$6:$P$184,5, FALSE)/100,AC1349)</f>
        <v>0.92992700000000017</v>
      </c>
      <c r="AD1348" s="10">
        <f>IFERROR(VLOOKUP(Summary!B1348,'Pre-Summary'!$A$6:$P$184,3, FALSE)/100,AD1349)</f>
        <v>6.3624666666666663E-2</v>
      </c>
      <c r="AE1348" s="10">
        <f>IFERROR(VLOOKUP(Summary!B1348,'Pre-Summary'!$A$6:$P$184,7, FALSE)/100,AE1349)</f>
        <v>6.4483333333333337E-3</v>
      </c>
      <c r="AF1348" s="99">
        <f t="shared" si="64"/>
        <v>1.8255166788058077E-2</v>
      </c>
      <c r="AG1348" s="99">
        <f t="shared" si="65"/>
        <v>1.8501535123431347E-3</v>
      </c>
      <c r="AH1348" s="10" t="str">
        <f>IFERROR(VLOOKUP(B1348,'Pre-Summary'!$AZ$6:$BE$65,3,FALSE),"")</f>
        <v/>
      </c>
      <c r="AI1348" s="10" t="str">
        <f>IFERROR(VLOOKUP(B1348,'Pre-Summary'!$AZ$6:$BE$65,5,FALSE),"")</f>
        <v/>
      </c>
      <c r="AJ1348" s="10" t="str">
        <f>IFERROR(VLOOKUP(B1348,'Pre-Summary'!$AZ$6:$BE$65,4,FALSE),"")</f>
        <v/>
      </c>
      <c r="AK1348" s="10" t="str">
        <f>IFERROR(VLOOKUP(B1348,'Pre-Summary'!$AZ$6:$BE$65,6,FALSE),"")</f>
        <v/>
      </c>
      <c r="AL1348" s="10" t="str">
        <f>IFERROR(VLOOKUP(B1348,'Pre-Summary'!$BG$6:$BL$44,3,FALSE),"")</f>
        <v/>
      </c>
      <c r="AM1348" s="10" t="str">
        <f>IFERROR(VLOOKUP(B1348,'Pre-Summary'!$BG$6:$BL$44,4,FALSE),"")</f>
        <v/>
      </c>
    </row>
    <row r="1349" spans="2:39" ht="15" customHeight="1" x14ac:dyDescent="0.3">
      <c r="B1349">
        <v>134.6</v>
      </c>
      <c r="C1349" t="str">
        <f>IFERROR(VLOOKUP(B1349,'Pre-Summary'!$DI$6:$DM$23,4,FALSE),"")</f>
        <v/>
      </c>
      <c r="D1349" s="10" t="str">
        <f>IFERROR(VLOOKUP(B1349,'Pre-Summary'!$AT$6:$AX$14,5,FALSE),D1348)</f>
        <v xml:space="preserve">Wolfe v1: put in modified wolfe + EDTA </v>
      </c>
      <c r="E1349" s="10" t="str">
        <f>IFERROR(VLOOKUP(B1349,'Pre-Summary'!$AT$6:$AX$15,4,FALSE),"")</f>
        <v/>
      </c>
      <c r="F1349">
        <f>IFERROR(VLOOKUP(B1349,'Pre-Summary'!$AL$6:$AQ$13,6,FALSE),F1348)</f>
        <v>5.9405263157894746E-2</v>
      </c>
      <c r="G1349" t="str">
        <f>IFERROR(VLOOKUP(B1349,'Pre-Summary'!$AE$6:$AJ$85,3,FALSE),"")</f>
        <v/>
      </c>
      <c r="H1349" t="str">
        <f>IFERROR(VLOOKUP(B1349,'Pre-Summary'!$AE$6:$AJ$85,4,FALSE),"")</f>
        <v/>
      </c>
      <c r="I1349" t="str">
        <f>IFERROR(VLOOKUP(B1349,'Pre-Summary'!$AE$6:$AJ$85,5,FALSE),"")</f>
        <v/>
      </c>
      <c r="J1349" s="45" t="str">
        <f>IFERROR(VLOOKUP(B1349,'Pre-Summary'!$AE$6:$AJ$85,6, FALSE),"")</f>
        <v/>
      </c>
      <c r="K1349" s="45" t="str">
        <f>IFERROR(VLOOKUP(B1349,'Pre-Summary'!$DE$6:$DG$61,3,FALSE),"")</f>
        <v/>
      </c>
      <c r="L1349" s="45" t="str">
        <f>IFERROR(VLOOKUP(B1349,'Pre-Summary'!$CU$6:$CW$36,3,FALSE),"")</f>
        <v/>
      </c>
      <c r="M1349" s="45" t="str">
        <f>IFERROR(VLOOKUP(B1349,'Pre-Summary'!$BW$6:$BY$58,2,FALSE),"")</f>
        <v/>
      </c>
      <c r="N1349" s="45" t="str">
        <f>IFERROR(VLOOKUP(B1349,'Pre-Summary'!$CD$6:$CF$64,2,FALSE),"")</f>
        <v/>
      </c>
      <c r="O1349" s="99">
        <f>IFERROR(VLOOKUP(B1349,'Pre-Summary'!$BO$6:$BQ$48,3, FALSE),O1348)</f>
        <v>1.2</v>
      </c>
      <c r="P1349" s="99">
        <f>IFERROR(VLOOKUP(B1349,'Pre-Summary'!$BS$6:$BU$35,3,FALSE),P1348)</f>
        <v>0.3</v>
      </c>
      <c r="Q1349" s="54">
        <f t="shared" si="63"/>
        <v>4</v>
      </c>
      <c r="R1349" s="53">
        <f>IFERROR(VLOOKUP(B1349,'Pre-Summary'!$BG$6:$BM$44,7,FALSE),R1350)</f>
        <v>8.8846389403014939E-2</v>
      </c>
      <c r="S1349" s="53">
        <f>IFERROR(VLOOKUP(B1349,'Pre-Summary'!$BG$6:$BM$44,6,FALSE),S1350)</f>
        <v>8.4804948618154546E-2</v>
      </c>
      <c r="T1349" s="45" t="str">
        <f>IFERROR(VLOOKUP(B1349,'Pre-Summary'!$Y$6:$AC$83, 3,FALSE),"")</f>
        <v/>
      </c>
      <c r="U1349" s="45" t="str">
        <f>IFERROR(VLOOKUP(B1349,'Pre-Summary'!$Y$6:$AC$83, 4,FALSE),"")</f>
        <v/>
      </c>
      <c r="V1349" t="str">
        <f>IFERROR(VLOOKUP(B1349,'Pre-Summary'!$Y$6:$AC$83, 5,FALSE),"")</f>
        <v/>
      </c>
      <c r="W1349" s="45" t="str">
        <f>IFERROR(VLOOKUP(B1349,'Pre-Summary'!$Y$6:$AD$83,6,FALSE),"")</f>
        <v/>
      </c>
      <c r="X1349" t="str">
        <f>IFERROR(VLOOKUP('Pre-Summary'!$DB$6:$DD$63,3,FALSE),"")</f>
        <v/>
      </c>
      <c r="Y1349" t="str">
        <f>IFERROR(VLOOKUP(B1349,'Pre-Summary'!$CR$6:$CT$36,3,FALSE),"")</f>
        <v/>
      </c>
      <c r="Z1349" s="45" t="str">
        <f>IFERROR(VLOOKUP(B1349,'Pre-Summary'!$BZ$6:$CB$63,2,FALSE),"")</f>
        <v/>
      </c>
      <c r="AA1349" s="45" t="str">
        <f>IFERROR(VLOOKUP(B1349,'Pre-Summary'!$CG$6:$CI$70,2,FALSE),"")</f>
        <v/>
      </c>
      <c r="AB1349" s="99">
        <f>IFERROR(VLOOKUP(B1349,'Pre-Summary'!$A$6:$P$178,9,FALSE),AB1350)</f>
        <v>0.28691964523284591</v>
      </c>
      <c r="AC1349" s="10">
        <f>IFERROR(VLOOKUP(Summary!B1349,'Pre-Summary'!$A$6:$P$184,5, FALSE)/100,AC1350)</f>
        <v>0.92992700000000017</v>
      </c>
      <c r="AD1349" s="10">
        <f>IFERROR(VLOOKUP(Summary!B1349,'Pre-Summary'!$A$6:$P$184,3, FALSE)/100,AD1350)</f>
        <v>6.3624666666666663E-2</v>
      </c>
      <c r="AE1349" s="10">
        <f>IFERROR(VLOOKUP(Summary!B1349,'Pre-Summary'!$A$6:$P$184,7, FALSE)/100,AE1350)</f>
        <v>6.4483333333333337E-3</v>
      </c>
      <c r="AF1349" s="99">
        <f t="shared" si="64"/>
        <v>1.8255166788058077E-2</v>
      </c>
      <c r="AG1349" s="99">
        <f t="shared" si="65"/>
        <v>1.8501535123431347E-3</v>
      </c>
      <c r="AH1349" s="10" t="str">
        <f>IFERROR(VLOOKUP(B1349,'Pre-Summary'!$AZ$6:$BE$65,3,FALSE),"")</f>
        <v/>
      </c>
      <c r="AI1349" s="10" t="str">
        <f>IFERROR(VLOOKUP(B1349,'Pre-Summary'!$AZ$6:$BE$65,5,FALSE),"")</f>
        <v/>
      </c>
      <c r="AJ1349" s="10" t="str">
        <f>IFERROR(VLOOKUP(B1349,'Pre-Summary'!$AZ$6:$BE$65,4,FALSE),"")</f>
        <v/>
      </c>
      <c r="AK1349" s="10" t="str">
        <f>IFERROR(VLOOKUP(B1349,'Pre-Summary'!$AZ$6:$BE$65,6,FALSE),"")</f>
        <v/>
      </c>
      <c r="AL1349" s="10" t="str">
        <f>IFERROR(VLOOKUP(B1349,'Pre-Summary'!$BG$6:$BL$44,3,FALSE),"")</f>
        <v/>
      </c>
      <c r="AM1349" s="10" t="str">
        <f>IFERROR(VLOOKUP(B1349,'Pre-Summary'!$BG$6:$BL$44,4,FALSE),"")</f>
        <v/>
      </c>
    </row>
    <row r="1350" spans="2:39" ht="15" customHeight="1" x14ac:dyDescent="0.3">
      <c r="B1350">
        <v>134.69999999999999</v>
      </c>
      <c r="C1350" t="str">
        <f>IFERROR(VLOOKUP(B1350,'Pre-Summary'!$DI$6:$DM$23,4,FALSE),"")</f>
        <v/>
      </c>
      <c r="D1350" s="10" t="str">
        <f>IFERROR(VLOOKUP(B1350,'Pre-Summary'!$AT$6:$AX$14,5,FALSE),D1349)</f>
        <v xml:space="preserve">Wolfe v1: put in modified wolfe + EDTA </v>
      </c>
      <c r="E1350" s="10" t="str">
        <f>IFERROR(VLOOKUP(B1350,'Pre-Summary'!$AT$6:$AX$15,4,FALSE),"")</f>
        <v/>
      </c>
      <c r="F1350">
        <f>IFERROR(VLOOKUP(B1350,'Pre-Summary'!$AL$6:$AQ$13,6,FALSE),F1349)</f>
        <v>5.9405263157894746E-2</v>
      </c>
      <c r="G1350" t="str">
        <f>IFERROR(VLOOKUP(B1350,'Pre-Summary'!$AE$6:$AJ$85,3,FALSE),"")</f>
        <v/>
      </c>
      <c r="H1350" t="str">
        <f>IFERROR(VLOOKUP(B1350,'Pre-Summary'!$AE$6:$AJ$85,4,FALSE),"")</f>
        <v/>
      </c>
      <c r="I1350" t="str">
        <f>IFERROR(VLOOKUP(B1350,'Pre-Summary'!$AE$6:$AJ$85,5,FALSE),"")</f>
        <v/>
      </c>
      <c r="J1350" s="45" t="str">
        <f>IFERROR(VLOOKUP(B1350,'Pre-Summary'!$AE$6:$AJ$85,6, FALSE),"")</f>
        <v/>
      </c>
      <c r="K1350" s="45" t="str">
        <f>IFERROR(VLOOKUP(B1350,'Pre-Summary'!$DE$6:$DG$61,3,FALSE),"")</f>
        <v/>
      </c>
      <c r="L1350" s="45" t="str">
        <f>IFERROR(VLOOKUP(B1350,'Pre-Summary'!$CU$6:$CW$36,3,FALSE),"")</f>
        <v/>
      </c>
      <c r="M1350" s="45" t="str">
        <f>IFERROR(VLOOKUP(B1350,'Pre-Summary'!$BW$6:$BY$58,2,FALSE),"")</f>
        <v/>
      </c>
      <c r="N1350" s="45" t="str">
        <f>IFERROR(VLOOKUP(B1350,'Pre-Summary'!$CD$6:$CF$64,2,FALSE),"")</f>
        <v/>
      </c>
      <c r="O1350" s="99">
        <f>IFERROR(VLOOKUP(B1350,'Pre-Summary'!$BO$6:$BQ$48,3, FALSE),O1349)</f>
        <v>1.2</v>
      </c>
      <c r="P1350" s="99">
        <f>IFERROR(VLOOKUP(B1350,'Pre-Summary'!$BS$6:$BU$35,3,FALSE),P1349)</f>
        <v>0.3</v>
      </c>
      <c r="Q1350" s="54">
        <f t="shared" si="63"/>
        <v>4</v>
      </c>
      <c r="R1350" s="53">
        <f>IFERROR(VLOOKUP(B1350,'Pre-Summary'!$BG$6:$BM$44,7,FALSE),R1351)</f>
        <v>8.8846389403014939E-2</v>
      </c>
      <c r="S1350" s="53">
        <f>IFERROR(VLOOKUP(B1350,'Pre-Summary'!$BG$6:$BM$44,6,FALSE),S1351)</f>
        <v>8.4804948618154546E-2</v>
      </c>
      <c r="T1350" s="45" t="str">
        <f>IFERROR(VLOOKUP(B1350,'Pre-Summary'!$Y$6:$AC$83, 3,FALSE),"")</f>
        <v/>
      </c>
      <c r="U1350" s="45" t="str">
        <f>IFERROR(VLOOKUP(B1350,'Pre-Summary'!$Y$6:$AC$83, 4,FALSE),"")</f>
        <v/>
      </c>
      <c r="V1350" t="str">
        <f>IFERROR(VLOOKUP(B1350,'Pre-Summary'!$Y$6:$AC$83, 5,FALSE),"")</f>
        <v/>
      </c>
      <c r="W1350" s="45" t="str">
        <f>IFERROR(VLOOKUP(B1350,'Pre-Summary'!$Y$6:$AD$83,6,FALSE),"")</f>
        <v/>
      </c>
      <c r="X1350" t="str">
        <f>IFERROR(VLOOKUP('Pre-Summary'!$DB$6:$DD$63,3,FALSE),"")</f>
        <v/>
      </c>
      <c r="Y1350" t="str">
        <f>IFERROR(VLOOKUP(B1350,'Pre-Summary'!$CR$6:$CT$36,3,FALSE),"")</f>
        <v/>
      </c>
      <c r="Z1350" s="45" t="str">
        <f>IFERROR(VLOOKUP(B1350,'Pre-Summary'!$BZ$6:$CB$63,2,FALSE),"")</f>
        <v/>
      </c>
      <c r="AA1350" s="45" t="str">
        <f>IFERROR(VLOOKUP(B1350,'Pre-Summary'!$CG$6:$CI$70,2,FALSE),"")</f>
        <v/>
      </c>
      <c r="AB1350" s="99">
        <f>IFERROR(VLOOKUP(B1350,'Pre-Summary'!$A$6:$P$178,9,FALSE),AB1351)</f>
        <v>0.28691964523284591</v>
      </c>
      <c r="AC1350" s="10">
        <f>IFERROR(VLOOKUP(Summary!B1350,'Pre-Summary'!$A$6:$P$184,5, FALSE)/100,AC1351)</f>
        <v>0.92992700000000017</v>
      </c>
      <c r="AD1350" s="10">
        <f>IFERROR(VLOOKUP(Summary!B1350,'Pre-Summary'!$A$6:$P$184,3, FALSE)/100,AD1351)</f>
        <v>6.3624666666666663E-2</v>
      </c>
      <c r="AE1350" s="10">
        <f>IFERROR(VLOOKUP(Summary!B1350,'Pre-Summary'!$A$6:$P$184,7, FALSE)/100,AE1351)</f>
        <v>6.4483333333333337E-3</v>
      </c>
      <c r="AF1350" s="99">
        <f t="shared" si="64"/>
        <v>1.8255166788058077E-2</v>
      </c>
      <c r="AG1350" s="99">
        <f t="shared" si="65"/>
        <v>1.8501535123431347E-3</v>
      </c>
      <c r="AH1350" s="10" t="str">
        <f>IFERROR(VLOOKUP(B1350,'Pre-Summary'!$AZ$6:$BE$65,3,FALSE),"")</f>
        <v/>
      </c>
      <c r="AI1350" s="10" t="str">
        <f>IFERROR(VLOOKUP(B1350,'Pre-Summary'!$AZ$6:$BE$65,5,FALSE),"")</f>
        <v/>
      </c>
      <c r="AJ1350" s="10" t="str">
        <f>IFERROR(VLOOKUP(B1350,'Pre-Summary'!$AZ$6:$BE$65,4,FALSE),"")</f>
        <v/>
      </c>
      <c r="AK1350" s="10" t="str">
        <f>IFERROR(VLOOKUP(B1350,'Pre-Summary'!$AZ$6:$BE$65,6,FALSE),"")</f>
        <v/>
      </c>
      <c r="AL1350" s="10" t="str">
        <f>IFERROR(VLOOKUP(B1350,'Pre-Summary'!$BG$6:$BL$44,3,FALSE),"")</f>
        <v/>
      </c>
      <c r="AM1350" s="10" t="str">
        <f>IFERROR(VLOOKUP(B1350,'Pre-Summary'!$BG$6:$BL$44,4,FALSE),"")</f>
        <v/>
      </c>
    </row>
    <row r="1351" spans="2:39" ht="15" customHeight="1" x14ac:dyDescent="0.3">
      <c r="B1351">
        <v>134.80000000000001</v>
      </c>
      <c r="C1351" t="str">
        <f>IFERROR(VLOOKUP(B1351,'Pre-Summary'!$DI$6:$DM$23,4,FALSE),"")</f>
        <v/>
      </c>
      <c r="D1351" s="10" t="str">
        <f>IFERROR(VLOOKUP(B1351,'Pre-Summary'!$AT$6:$AX$14,5,FALSE),D1350)</f>
        <v xml:space="preserve">Wolfe v1: put in modified wolfe + EDTA </v>
      </c>
      <c r="E1351" s="10" t="str">
        <f>IFERROR(VLOOKUP(B1351,'Pre-Summary'!$AT$6:$AX$15,4,FALSE),"")</f>
        <v/>
      </c>
      <c r="F1351">
        <f>IFERROR(VLOOKUP(B1351,'Pre-Summary'!$AL$6:$AQ$13,6,FALSE),F1350)</f>
        <v>5.9405263157894746E-2</v>
      </c>
      <c r="G1351" t="str">
        <f>IFERROR(VLOOKUP(B1351,'Pre-Summary'!$AE$6:$AJ$85,3,FALSE),"")</f>
        <v/>
      </c>
      <c r="H1351" t="str">
        <f>IFERROR(VLOOKUP(B1351,'Pre-Summary'!$AE$6:$AJ$85,4,FALSE),"")</f>
        <v/>
      </c>
      <c r="I1351" t="str">
        <f>IFERROR(VLOOKUP(B1351,'Pre-Summary'!$AE$6:$AJ$85,5,FALSE),"")</f>
        <v/>
      </c>
      <c r="J1351" s="45" t="str">
        <f>IFERROR(VLOOKUP(B1351,'Pre-Summary'!$AE$6:$AJ$85,6, FALSE),"")</f>
        <v/>
      </c>
      <c r="K1351" s="45" t="str">
        <f>IFERROR(VLOOKUP(B1351,'Pre-Summary'!$DE$6:$DG$61,3,FALSE),"")</f>
        <v/>
      </c>
      <c r="L1351" s="45" t="str">
        <f>IFERROR(VLOOKUP(B1351,'Pre-Summary'!$CU$6:$CW$36,3,FALSE),"")</f>
        <v/>
      </c>
      <c r="M1351" s="45" t="str">
        <f>IFERROR(VLOOKUP(B1351,'Pre-Summary'!$BW$6:$BY$58,2,FALSE),"")</f>
        <v/>
      </c>
      <c r="N1351" s="45" t="str">
        <f>IFERROR(VLOOKUP(B1351,'Pre-Summary'!$CD$6:$CF$64,2,FALSE),"")</f>
        <v/>
      </c>
      <c r="O1351" s="99">
        <f>IFERROR(VLOOKUP(B1351,'Pre-Summary'!$BO$6:$BQ$48,3, FALSE),O1350)</f>
        <v>1.2</v>
      </c>
      <c r="P1351" s="99">
        <f>IFERROR(VLOOKUP(B1351,'Pre-Summary'!$BS$6:$BU$35,3,FALSE),P1350)</f>
        <v>0.3</v>
      </c>
      <c r="Q1351" s="54">
        <f t="shared" si="63"/>
        <v>4</v>
      </c>
      <c r="R1351" s="53">
        <f>IFERROR(VLOOKUP(B1351,'Pre-Summary'!$BG$6:$BM$44,7,FALSE),R1352)</f>
        <v>8.8846389403014939E-2</v>
      </c>
      <c r="S1351" s="53">
        <f>IFERROR(VLOOKUP(B1351,'Pre-Summary'!$BG$6:$BM$44,6,FALSE),S1352)</f>
        <v>8.4804948618154546E-2</v>
      </c>
      <c r="T1351" s="45" t="str">
        <f>IFERROR(VLOOKUP(B1351,'Pre-Summary'!$Y$6:$AC$83, 3,FALSE),"")</f>
        <v/>
      </c>
      <c r="U1351" s="45" t="str">
        <f>IFERROR(VLOOKUP(B1351,'Pre-Summary'!$Y$6:$AC$83, 4,FALSE),"")</f>
        <v/>
      </c>
      <c r="V1351" t="str">
        <f>IFERROR(VLOOKUP(B1351,'Pre-Summary'!$Y$6:$AC$83, 5,FALSE),"")</f>
        <v/>
      </c>
      <c r="W1351" s="45" t="str">
        <f>IFERROR(VLOOKUP(B1351,'Pre-Summary'!$Y$6:$AD$83,6,FALSE),"")</f>
        <v/>
      </c>
      <c r="X1351" t="str">
        <f>IFERROR(VLOOKUP('Pre-Summary'!$DB$6:$DD$63,3,FALSE),"")</f>
        <v/>
      </c>
      <c r="Y1351" t="str">
        <f>IFERROR(VLOOKUP(B1351,'Pre-Summary'!$CR$6:$CT$36,3,FALSE),"")</f>
        <v/>
      </c>
      <c r="Z1351" s="45" t="str">
        <f>IFERROR(VLOOKUP(B1351,'Pre-Summary'!$BZ$6:$CB$63,2,FALSE),"")</f>
        <v/>
      </c>
      <c r="AA1351" s="45" t="str">
        <f>IFERROR(VLOOKUP(B1351,'Pre-Summary'!$CG$6:$CI$70,2,FALSE),"")</f>
        <v/>
      </c>
      <c r="AB1351" s="99">
        <f>IFERROR(VLOOKUP(B1351,'Pre-Summary'!$A$6:$P$178,9,FALSE),AB1352)</f>
        <v>0.28691964523284591</v>
      </c>
      <c r="AC1351" s="10">
        <f>IFERROR(VLOOKUP(Summary!B1351,'Pre-Summary'!$A$6:$P$184,5, FALSE)/100,AC1352)</f>
        <v>0.92992700000000017</v>
      </c>
      <c r="AD1351" s="10">
        <f>IFERROR(VLOOKUP(Summary!B1351,'Pre-Summary'!$A$6:$P$184,3, FALSE)/100,AD1352)</f>
        <v>6.3624666666666663E-2</v>
      </c>
      <c r="AE1351" s="10">
        <f>IFERROR(VLOOKUP(Summary!B1351,'Pre-Summary'!$A$6:$P$184,7, FALSE)/100,AE1352)</f>
        <v>6.4483333333333337E-3</v>
      </c>
      <c r="AF1351" s="99">
        <f t="shared" si="64"/>
        <v>1.8255166788058077E-2</v>
      </c>
      <c r="AG1351" s="99">
        <f t="shared" si="65"/>
        <v>1.8501535123431347E-3</v>
      </c>
      <c r="AH1351" s="10" t="str">
        <f>IFERROR(VLOOKUP(B1351,'Pre-Summary'!$AZ$6:$BE$65,3,FALSE),"")</f>
        <v/>
      </c>
      <c r="AI1351" s="10" t="str">
        <f>IFERROR(VLOOKUP(B1351,'Pre-Summary'!$AZ$6:$BE$65,5,FALSE),"")</f>
        <v/>
      </c>
      <c r="AJ1351" s="10" t="str">
        <f>IFERROR(VLOOKUP(B1351,'Pre-Summary'!$AZ$6:$BE$65,4,FALSE),"")</f>
        <v/>
      </c>
      <c r="AK1351" s="10" t="str">
        <f>IFERROR(VLOOKUP(B1351,'Pre-Summary'!$AZ$6:$BE$65,6,FALSE),"")</f>
        <v/>
      </c>
      <c r="AL1351" s="10" t="str">
        <f>IFERROR(VLOOKUP(B1351,'Pre-Summary'!$BG$6:$BL$44,3,FALSE),"")</f>
        <v/>
      </c>
      <c r="AM1351" s="10" t="str">
        <f>IFERROR(VLOOKUP(B1351,'Pre-Summary'!$BG$6:$BL$44,4,FALSE),"")</f>
        <v/>
      </c>
    </row>
    <row r="1352" spans="2:39" ht="15" customHeight="1" x14ac:dyDescent="0.3">
      <c r="B1352">
        <v>134.9</v>
      </c>
      <c r="C1352" t="str">
        <f>IFERROR(VLOOKUP(B1352,'Pre-Summary'!$DI$6:$DM$23,4,FALSE),"")</f>
        <v/>
      </c>
      <c r="D1352" s="10" t="str">
        <f>IFERROR(VLOOKUP(B1352,'Pre-Summary'!$AT$6:$AX$14,5,FALSE),D1351)</f>
        <v xml:space="preserve">Wolfe v1: put in modified wolfe + EDTA </v>
      </c>
      <c r="E1352" s="10" t="str">
        <f>IFERROR(VLOOKUP(B1352,'Pre-Summary'!$AT$6:$AX$15,4,FALSE),"")</f>
        <v/>
      </c>
      <c r="F1352">
        <f>IFERROR(VLOOKUP(B1352,'Pre-Summary'!$AL$6:$AQ$13,6,FALSE),F1351)</f>
        <v>5.9405263157894746E-2</v>
      </c>
      <c r="G1352" t="str">
        <f>IFERROR(VLOOKUP(B1352,'Pre-Summary'!$AE$6:$AJ$85,3,FALSE),"")</f>
        <v/>
      </c>
      <c r="H1352" t="str">
        <f>IFERROR(VLOOKUP(B1352,'Pre-Summary'!$AE$6:$AJ$85,4,FALSE),"")</f>
        <v/>
      </c>
      <c r="I1352" t="str">
        <f>IFERROR(VLOOKUP(B1352,'Pre-Summary'!$AE$6:$AJ$85,5,FALSE),"")</f>
        <v/>
      </c>
      <c r="J1352" s="45" t="str">
        <f>IFERROR(VLOOKUP(B1352,'Pre-Summary'!$AE$6:$AJ$85,6, FALSE),"")</f>
        <v/>
      </c>
      <c r="K1352" s="45" t="str">
        <f>IFERROR(VLOOKUP(B1352,'Pre-Summary'!$DE$6:$DG$61,3,FALSE),"")</f>
        <v/>
      </c>
      <c r="L1352" s="45" t="str">
        <f>IFERROR(VLOOKUP(B1352,'Pre-Summary'!$CU$6:$CW$36,3,FALSE),"")</f>
        <v/>
      </c>
      <c r="M1352" s="45" t="str">
        <f>IFERROR(VLOOKUP(B1352,'Pre-Summary'!$BW$6:$BY$58,2,FALSE),"")</f>
        <v/>
      </c>
      <c r="N1352" s="45" t="str">
        <f>IFERROR(VLOOKUP(B1352,'Pre-Summary'!$CD$6:$CF$64,2,FALSE),"")</f>
        <v/>
      </c>
      <c r="O1352" s="99">
        <f>IFERROR(VLOOKUP(B1352,'Pre-Summary'!$BO$6:$BQ$48,3, FALSE),O1351)</f>
        <v>1.2</v>
      </c>
      <c r="P1352" s="99">
        <f>IFERROR(VLOOKUP(B1352,'Pre-Summary'!$BS$6:$BU$35,3,FALSE),P1351)</f>
        <v>0.3</v>
      </c>
      <c r="Q1352" s="54">
        <f t="shared" si="63"/>
        <v>4</v>
      </c>
      <c r="R1352" s="53">
        <f>IFERROR(VLOOKUP(B1352,'Pre-Summary'!$BG$6:$BM$44,7,FALSE),R1353)</f>
        <v>8.8846389403014939E-2</v>
      </c>
      <c r="S1352" s="53">
        <f>IFERROR(VLOOKUP(B1352,'Pre-Summary'!$BG$6:$BM$44,6,FALSE),S1353)</f>
        <v>8.4804948618154546E-2</v>
      </c>
      <c r="T1352" s="45" t="str">
        <f>IFERROR(VLOOKUP(B1352,'Pre-Summary'!$Y$6:$AC$83, 3,FALSE),"")</f>
        <v/>
      </c>
      <c r="U1352" s="45" t="str">
        <f>IFERROR(VLOOKUP(B1352,'Pre-Summary'!$Y$6:$AC$83, 4,FALSE),"")</f>
        <v/>
      </c>
      <c r="V1352" t="str">
        <f>IFERROR(VLOOKUP(B1352,'Pre-Summary'!$Y$6:$AC$83, 5,FALSE),"")</f>
        <v/>
      </c>
      <c r="W1352" s="45" t="str">
        <f>IFERROR(VLOOKUP(B1352,'Pre-Summary'!$Y$6:$AD$83,6,FALSE),"")</f>
        <v/>
      </c>
      <c r="X1352" t="str">
        <f>IFERROR(VLOOKUP('Pre-Summary'!$DB$6:$DD$63,3,FALSE),"")</f>
        <v/>
      </c>
      <c r="Y1352" t="str">
        <f>IFERROR(VLOOKUP(B1352,'Pre-Summary'!$CR$6:$CT$36,3,FALSE),"")</f>
        <v/>
      </c>
      <c r="Z1352" s="45" t="str">
        <f>IFERROR(VLOOKUP(B1352,'Pre-Summary'!$BZ$6:$CB$63,2,FALSE),"")</f>
        <v/>
      </c>
      <c r="AA1352" s="45" t="str">
        <f>IFERROR(VLOOKUP(B1352,'Pre-Summary'!$CG$6:$CI$70,2,FALSE),"")</f>
        <v/>
      </c>
      <c r="AB1352" s="99">
        <f>IFERROR(VLOOKUP(B1352,'Pre-Summary'!$A$6:$P$178,9,FALSE),AB1353)</f>
        <v>0.28691964523284591</v>
      </c>
      <c r="AC1352" s="10">
        <f>IFERROR(VLOOKUP(Summary!B1352,'Pre-Summary'!$A$6:$P$184,5, FALSE)/100,AC1353)</f>
        <v>0.92992700000000017</v>
      </c>
      <c r="AD1352" s="10">
        <f>IFERROR(VLOOKUP(Summary!B1352,'Pre-Summary'!$A$6:$P$184,3, FALSE)/100,AD1353)</f>
        <v>6.3624666666666663E-2</v>
      </c>
      <c r="AE1352" s="10">
        <f>IFERROR(VLOOKUP(Summary!B1352,'Pre-Summary'!$A$6:$P$184,7, FALSE)/100,AE1353)</f>
        <v>6.4483333333333337E-3</v>
      </c>
      <c r="AF1352" s="99">
        <f t="shared" si="64"/>
        <v>1.8255166788058077E-2</v>
      </c>
      <c r="AG1352" s="99">
        <f t="shared" si="65"/>
        <v>1.8501535123431347E-3</v>
      </c>
      <c r="AH1352" s="10" t="str">
        <f>IFERROR(VLOOKUP(B1352,'Pre-Summary'!$AZ$6:$BE$65,3,FALSE),"")</f>
        <v/>
      </c>
      <c r="AI1352" s="10" t="str">
        <f>IFERROR(VLOOKUP(B1352,'Pre-Summary'!$AZ$6:$BE$65,5,FALSE),"")</f>
        <v/>
      </c>
      <c r="AJ1352" s="10" t="str">
        <f>IFERROR(VLOOKUP(B1352,'Pre-Summary'!$AZ$6:$BE$65,4,FALSE),"")</f>
        <v/>
      </c>
      <c r="AK1352" s="10" t="str">
        <f>IFERROR(VLOOKUP(B1352,'Pre-Summary'!$AZ$6:$BE$65,6,FALSE),"")</f>
        <v/>
      </c>
      <c r="AL1352" s="10" t="str">
        <f>IFERROR(VLOOKUP(B1352,'Pre-Summary'!$BG$6:$BL$44,3,FALSE),"")</f>
        <v/>
      </c>
      <c r="AM1352" s="10" t="str">
        <f>IFERROR(VLOOKUP(B1352,'Pre-Summary'!$BG$6:$BL$44,4,FALSE),"")</f>
        <v/>
      </c>
    </row>
    <row r="1353" spans="2:39" ht="15" customHeight="1" x14ac:dyDescent="0.3">
      <c r="B1353">
        <v>135</v>
      </c>
      <c r="C1353" t="str">
        <f>IFERROR(VLOOKUP(B1353,'Pre-Summary'!$DI$6:$DM$23,4,FALSE),"")</f>
        <v/>
      </c>
      <c r="D1353" s="10" t="str">
        <f>IFERROR(VLOOKUP(B1353,'Pre-Summary'!$AT$6:$AX$14,5,FALSE),D1352)</f>
        <v xml:space="preserve">Wolfe v1: put in modified wolfe + EDTA </v>
      </c>
      <c r="E1353" s="10" t="str">
        <f>IFERROR(VLOOKUP(B1353,'Pre-Summary'!$AT$6:$AX$15,4,FALSE),"")</f>
        <v/>
      </c>
      <c r="F1353">
        <f>IFERROR(VLOOKUP(B1353,'Pre-Summary'!$AL$6:$AQ$13,6,FALSE),F1352)</f>
        <v>5.3897368421052638E-2</v>
      </c>
      <c r="G1353">
        <f>IFERROR(VLOOKUP(B1353,'Pre-Summary'!$AE$6:$AJ$85,3,FALSE),"")</f>
        <v>2.1520000000000001</v>
      </c>
      <c r="H1353" t="str">
        <f>IFERROR(VLOOKUP(B1353,'Pre-Summary'!$AE$6:$AJ$85,4,FALSE),"")</f>
        <v/>
      </c>
      <c r="I1353">
        <f>IFERROR(VLOOKUP(B1353,'Pre-Summary'!$AE$6:$AJ$85,5,FALSE),"")</f>
        <v>0</v>
      </c>
      <c r="J1353" s="45">
        <f>IFERROR(VLOOKUP(B1353,'Pre-Summary'!$AE$6:$AJ$85,6, FALSE),"")</f>
        <v>2.2961840000000002</v>
      </c>
      <c r="K1353" s="45">
        <f>IFERROR(VLOOKUP(B1353,'Pre-Summary'!$DE$6:$DG$61,3,FALSE),"")</f>
        <v>720</v>
      </c>
      <c r="L1353" s="45" t="str">
        <f>IFERROR(VLOOKUP(B1353,'Pre-Summary'!$CU$6:$CW$36,3,FALSE),"")</f>
        <v/>
      </c>
      <c r="M1353" s="45">
        <f>IFERROR(VLOOKUP(B1353,'Pre-Summary'!$BW$6:$BY$58,2,FALSE),"")</f>
        <v>0</v>
      </c>
      <c r="N1353" s="45" t="str">
        <f>IFERROR(VLOOKUP(B1353,'Pre-Summary'!$CD$6:$CF$64,2,FALSE),"")</f>
        <v/>
      </c>
      <c r="O1353" s="99">
        <f>IFERROR(VLOOKUP(B1353,'Pre-Summary'!$BO$6:$BQ$48,3, FALSE),O1352)</f>
        <v>1.2</v>
      </c>
      <c r="P1353" s="99">
        <f>IFERROR(VLOOKUP(B1353,'Pre-Summary'!$BS$6:$BU$35,3,FALSE),P1352)</f>
        <v>0.3</v>
      </c>
      <c r="Q1353" s="54">
        <f t="shared" si="63"/>
        <v>4</v>
      </c>
      <c r="R1353" s="53">
        <f>IFERROR(VLOOKUP(B1353,'Pre-Summary'!$BG$6:$BM$44,7,FALSE),R1354)</f>
        <v>8.8846389403014939E-2</v>
      </c>
      <c r="S1353" s="53">
        <f>IFERROR(VLOOKUP(B1353,'Pre-Summary'!$BG$6:$BM$44,6,FALSE),S1354)</f>
        <v>8.4804948618154546E-2</v>
      </c>
      <c r="T1353" s="45">
        <f>IFERROR(VLOOKUP(B1353,'Pre-Summary'!$Y$6:$AC$83, 3,FALSE),"")</f>
        <v>40</v>
      </c>
      <c r="U1353" s="45" t="str">
        <f>IFERROR(VLOOKUP(B1353,'Pre-Summary'!$Y$6:$AC$83, 4,FALSE),"")</f>
        <v/>
      </c>
      <c r="V1353">
        <f>IFERROR(VLOOKUP(B1353,'Pre-Summary'!$Y$6:$AC$83, 5,FALSE),"")</f>
        <v>0</v>
      </c>
      <c r="W1353" s="45">
        <f>IFERROR(VLOOKUP(B1353,'Pre-Summary'!$Y$6:$AD$83,6,FALSE),"")</f>
        <v>42.68</v>
      </c>
      <c r="X1353" t="str">
        <f>IFERROR(VLOOKUP('Pre-Summary'!$DB$6:$DD$63,3,FALSE),"")</f>
        <v/>
      </c>
      <c r="Y1353" t="str">
        <f>IFERROR(VLOOKUP(B1353,'Pre-Summary'!$CR$6:$CT$36,3,FALSE),"")</f>
        <v/>
      </c>
      <c r="Z1353" s="45">
        <f>IFERROR(VLOOKUP(B1353,'Pre-Summary'!$BZ$6:$CB$63,2,FALSE),"")</f>
        <v>73.063626893923256</v>
      </c>
      <c r="AA1353" s="45">
        <f>IFERROR(VLOOKUP(B1353,'Pre-Summary'!$CG$6:$CI$70,2,FALSE),"")</f>
        <v>359.3913188634366</v>
      </c>
      <c r="AB1353" s="99">
        <f>IFERROR(VLOOKUP(B1353,'Pre-Summary'!$A$6:$P$178,9,FALSE),AB1354)</f>
        <v>0.28691964523284591</v>
      </c>
      <c r="AC1353" s="10">
        <f>IFERROR(VLOOKUP(Summary!B1353,'Pre-Summary'!$A$6:$P$184,5, FALSE)/100,AC1354)</f>
        <v>0.92992700000000017</v>
      </c>
      <c r="AD1353" s="10">
        <f>IFERROR(VLOOKUP(Summary!B1353,'Pre-Summary'!$A$6:$P$184,3, FALSE)/100,AD1354)</f>
        <v>6.3624666666666663E-2</v>
      </c>
      <c r="AE1353" s="10">
        <f>IFERROR(VLOOKUP(Summary!B1353,'Pre-Summary'!$A$6:$P$184,7, FALSE)/100,AE1354)</f>
        <v>6.4483333333333337E-3</v>
      </c>
      <c r="AF1353" s="99">
        <f t="shared" si="64"/>
        <v>1.8255166788058077E-2</v>
      </c>
      <c r="AG1353" s="99">
        <f t="shared" si="65"/>
        <v>1.8501535123431347E-3</v>
      </c>
      <c r="AH1353" s="10" t="str">
        <f>IFERROR(VLOOKUP(B1353,'Pre-Summary'!$AZ$6:$BE$65,3,FALSE),"")</f>
        <v/>
      </c>
      <c r="AI1353" s="10" t="str">
        <f>IFERROR(VLOOKUP(B1353,'Pre-Summary'!$AZ$6:$BE$65,5,FALSE),"")</f>
        <v/>
      </c>
      <c r="AJ1353" s="10" t="str">
        <f>IFERROR(VLOOKUP(B1353,'Pre-Summary'!$AZ$6:$BE$65,4,FALSE),"")</f>
        <v/>
      </c>
      <c r="AK1353" s="10" t="str">
        <f>IFERROR(VLOOKUP(B1353,'Pre-Summary'!$AZ$6:$BE$65,6,FALSE),"")</f>
        <v/>
      </c>
      <c r="AL1353" s="10" t="str">
        <f>IFERROR(VLOOKUP(B1353,'Pre-Summary'!$BG$6:$BL$44,3,FALSE),"")</f>
        <v/>
      </c>
      <c r="AM1353" s="10" t="str">
        <f>IFERROR(VLOOKUP(B1353,'Pre-Summary'!$BG$6:$BL$44,4,FALSE),"")</f>
        <v/>
      </c>
    </row>
    <row r="1354" spans="2:39" ht="15" customHeight="1" x14ac:dyDescent="0.3">
      <c r="B1354">
        <v>135.1</v>
      </c>
      <c r="C1354" t="str">
        <f>IFERROR(VLOOKUP(B1354,'Pre-Summary'!$DI$6:$DM$23,4,FALSE),"")</f>
        <v/>
      </c>
      <c r="D1354" s="10" t="str">
        <f>IFERROR(VLOOKUP(B1354,'Pre-Summary'!$AT$6:$AX$14,5,FALSE),D1353)</f>
        <v xml:space="preserve">Wolfe v1: put in modified wolfe + EDTA </v>
      </c>
      <c r="E1354" s="10" t="str">
        <f>IFERROR(VLOOKUP(B1354,'Pre-Summary'!$AT$6:$AX$15,4,FALSE),"")</f>
        <v/>
      </c>
      <c r="F1354">
        <f>IFERROR(VLOOKUP(B1354,'Pre-Summary'!$AL$6:$AQ$13,6,FALSE),F1353)</f>
        <v>5.3897368421052638E-2</v>
      </c>
      <c r="G1354" t="str">
        <f>IFERROR(VLOOKUP(B1354,'Pre-Summary'!$AE$6:$AJ$85,3,FALSE),"")</f>
        <v/>
      </c>
      <c r="H1354" t="str">
        <f>IFERROR(VLOOKUP(B1354,'Pre-Summary'!$AE$6:$AJ$85,4,FALSE),"")</f>
        <v/>
      </c>
      <c r="I1354" t="str">
        <f>IFERROR(VLOOKUP(B1354,'Pre-Summary'!$AE$6:$AJ$85,5,FALSE),"")</f>
        <v/>
      </c>
      <c r="J1354" s="45" t="str">
        <f>IFERROR(VLOOKUP(B1354,'Pre-Summary'!$AE$6:$AJ$85,6, FALSE),"")</f>
        <v/>
      </c>
      <c r="K1354" s="45" t="str">
        <f>IFERROR(VLOOKUP(B1354,'Pre-Summary'!$DE$6:$DG$61,3,FALSE),"")</f>
        <v/>
      </c>
      <c r="L1354" s="45" t="str">
        <f>IFERROR(VLOOKUP(B1354,'Pre-Summary'!$CU$6:$CW$36,3,FALSE),"")</f>
        <v/>
      </c>
      <c r="M1354" s="45" t="str">
        <f>IFERROR(VLOOKUP(B1354,'Pre-Summary'!$BW$6:$BY$58,2,FALSE),"")</f>
        <v/>
      </c>
      <c r="N1354" s="45" t="str">
        <f>IFERROR(VLOOKUP(B1354,'Pre-Summary'!$CD$6:$CF$64,2,FALSE),"")</f>
        <v/>
      </c>
      <c r="O1354" s="99">
        <f>IFERROR(VLOOKUP(B1354,'Pre-Summary'!$BO$6:$BQ$48,3, FALSE),O1353)</f>
        <v>1.2</v>
      </c>
      <c r="P1354" s="99">
        <f>IFERROR(VLOOKUP(B1354,'Pre-Summary'!$BS$6:$BU$35,3,FALSE),P1353)</f>
        <v>0.3</v>
      </c>
      <c r="Q1354" s="54">
        <f t="shared" si="63"/>
        <v>4</v>
      </c>
      <c r="R1354" s="53">
        <f>IFERROR(VLOOKUP(B1354,'Pre-Summary'!$BG$6:$BM$44,7,FALSE),R1355)</f>
        <v>8.8846389403014939E-2</v>
      </c>
      <c r="S1354" s="53">
        <f>IFERROR(VLOOKUP(B1354,'Pre-Summary'!$BG$6:$BM$44,6,FALSE),S1355)</f>
        <v>8.4804948618154546E-2</v>
      </c>
      <c r="T1354" s="45" t="str">
        <f>IFERROR(VLOOKUP(B1354,'Pre-Summary'!$Y$6:$AC$83, 3,FALSE),"")</f>
        <v/>
      </c>
      <c r="U1354" s="45" t="str">
        <f>IFERROR(VLOOKUP(B1354,'Pre-Summary'!$Y$6:$AC$83, 4,FALSE),"")</f>
        <v/>
      </c>
      <c r="V1354" t="str">
        <f>IFERROR(VLOOKUP(B1354,'Pre-Summary'!$Y$6:$AC$83, 5,FALSE),"")</f>
        <v/>
      </c>
      <c r="W1354" s="45" t="str">
        <f>IFERROR(VLOOKUP(B1354,'Pre-Summary'!$Y$6:$AD$83,6,FALSE),"")</f>
        <v/>
      </c>
      <c r="X1354" t="str">
        <f>IFERROR(VLOOKUP('Pre-Summary'!$DB$6:$DD$63,3,FALSE),"")</f>
        <v/>
      </c>
      <c r="Y1354" t="str">
        <f>IFERROR(VLOOKUP(B1354,'Pre-Summary'!$CR$6:$CT$36,3,FALSE),"")</f>
        <v/>
      </c>
      <c r="Z1354" s="45" t="str">
        <f>IFERROR(VLOOKUP(B1354,'Pre-Summary'!$BZ$6:$CB$63,2,FALSE),"")</f>
        <v/>
      </c>
      <c r="AA1354" s="45" t="str">
        <f>IFERROR(VLOOKUP(B1354,'Pre-Summary'!$CG$6:$CI$70,2,FALSE),"")</f>
        <v/>
      </c>
      <c r="AB1354" s="99">
        <f>IFERROR(VLOOKUP(B1354,'Pre-Summary'!$A$6:$P$178,9,FALSE),AB1355)</f>
        <v>0.2853438274932612</v>
      </c>
      <c r="AC1354" s="10">
        <f>IFERROR(VLOOKUP(Summary!B1354,'Pre-Summary'!$A$6:$P$184,5, FALSE)/100,AC1355)</f>
        <v>0.97350766666666677</v>
      </c>
      <c r="AD1354" s="10">
        <f>IFERROR(VLOOKUP(Summary!B1354,'Pre-Summary'!$A$6:$P$184,3, FALSE)/100,AD1355)</f>
        <v>1.5240999999999999E-2</v>
      </c>
      <c r="AE1354" s="10">
        <f>IFERROR(VLOOKUP(Summary!B1354,'Pre-Summary'!$A$6:$P$184,7, FALSE)/100,AE1355)</f>
        <v>1.1251000000000001E-2</v>
      </c>
      <c r="AF1354" s="99">
        <f t="shared" si="64"/>
        <v>4.348925274824794E-3</v>
      </c>
      <c r="AG1354" s="99">
        <f t="shared" si="65"/>
        <v>3.2104034031266819E-3</v>
      </c>
      <c r="AH1354" s="10" t="str">
        <f>IFERROR(VLOOKUP(B1354,'Pre-Summary'!$AZ$6:$BE$65,3,FALSE),"")</f>
        <v/>
      </c>
      <c r="AI1354" s="10" t="str">
        <f>IFERROR(VLOOKUP(B1354,'Pre-Summary'!$AZ$6:$BE$65,5,FALSE),"")</f>
        <v/>
      </c>
      <c r="AJ1354" s="10" t="str">
        <f>IFERROR(VLOOKUP(B1354,'Pre-Summary'!$AZ$6:$BE$65,4,FALSE),"")</f>
        <v/>
      </c>
      <c r="AK1354" s="10" t="str">
        <f>IFERROR(VLOOKUP(B1354,'Pre-Summary'!$AZ$6:$BE$65,6,FALSE),"")</f>
        <v/>
      </c>
      <c r="AL1354" s="10" t="str">
        <f>IFERROR(VLOOKUP(B1354,'Pre-Summary'!$BG$6:$BL$44,3,FALSE),"")</f>
        <v/>
      </c>
      <c r="AM1354" s="10" t="str">
        <f>IFERROR(VLOOKUP(B1354,'Pre-Summary'!$BG$6:$BL$44,4,FALSE),"")</f>
        <v/>
      </c>
    </row>
    <row r="1355" spans="2:39" ht="15" customHeight="1" x14ac:dyDescent="0.3">
      <c r="B1355">
        <v>135.19999999999999</v>
      </c>
      <c r="C1355" t="str">
        <f>IFERROR(VLOOKUP(B1355,'Pre-Summary'!$DI$6:$DM$23,4,FALSE),"")</f>
        <v/>
      </c>
      <c r="D1355" s="10" t="str">
        <f>IFERROR(VLOOKUP(B1355,'Pre-Summary'!$AT$6:$AX$14,5,FALSE),D1354)</f>
        <v xml:space="preserve">Wolfe v1: put in modified wolfe + EDTA </v>
      </c>
      <c r="E1355" s="10" t="str">
        <f>IFERROR(VLOOKUP(B1355,'Pre-Summary'!$AT$6:$AX$15,4,FALSE),"")</f>
        <v/>
      </c>
      <c r="F1355">
        <f>IFERROR(VLOOKUP(B1355,'Pre-Summary'!$AL$6:$AQ$13,6,FALSE),F1354)</f>
        <v>5.3897368421052638E-2</v>
      </c>
      <c r="G1355" t="str">
        <f>IFERROR(VLOOKUP(B1355,'Pre-Summary'!$AE$6:$AJ$85,3,FALSE),"")</f>
        <v/>
      </c>
      <c r="H1355" t="str">
        <f>IFERROR(VLOOKUP(B1355,'Pre-Summary'!$AE$6:$AJ$85,4,FALSE),"")</f>
        <v/>
      </c>
      <c r="I1355" t="str">
        <f>IFERROR(VLOOKUP(B1355,'Pre-Summary'!$AE$6:$AJ$85,5,FALSE),"")</f>
        <v/>
      </c>
      <c r="J1355" s="45" t="str">
        <f>IFERROR(VLOOKUP(B1355,'Pre-Summary'!$AE$6:$AJ$85,6, FALSE),"")</f>
        <v/>
      </c>
      <c r="K1355" s="45" t="str">
        <f>IFERROR(VLOOKUP(B1355,'Pre-Summary'!$DE$6:$DG$61,3,FALSE),"")</f>
        <v/>
      </c>
      <c r="L1355" s="45" t="str">
        <f>IFERROR(VLOOKUP(B1355,'Pre-Summary'!$CU$6:$CW$36,3,FALSE),"")</f>
        <v/>
      </c>
      <c r="M1355" s="45" t="str">
        <f>IFERROR(VLOOKUP(B1355,'Pre-Summary'!$BW$6:$BY$58,2,FALSE),"")</f>
        <v/>
      </c>
      <c r="N1355" s="45" t="str">
        <f>IFERROR(VLOOKUP(B1355,'Pre-Summary'!$CD$6:$CF$64,2,FALSE),"")</f>
        <v/>
      </c>
      <c r="O1355" s="99">
        <f>IFERROR(VLOOKUP(B1355,'Pre-Summary'!$BO$6:$BQ$48,3, FALSE),O1354)</f>
        <v>1.2</v>
      </c>
      <c r="P1355" s="99">
        <f>IFERROR(VLOOKUP(B1355,'Pre-Summary'!$BS$6:$BU$35,3,FALSE),P1354)</f>
        <v>0.3</v>
      </c>
      <c r="Q1355" s="54">
        <f t="shared" si="63"/>
        <v>4</v>
      </c>
      <c r="R1355" s="53">
        <f>IFERROR(VLOOKUP(B1355,'Pre-Summary'!$BG$6:$BM$44,7,FALSE),R1356)</f>
        <v>8.8846389403014939E-2</v>
      </c>
      <c r="S1355" s="53">
        <f>IFERROR(VLOOKUP(B1355,'Pre-Summary'!$BG$6:$BM$44,6,FALSE),S1356)</f>
        <v>8.4804948618154546E-2</v>
      </c>
      <c r="T1355" s="45" t="str">
        <f>IFERROR(VLOOKUP(B1355,'Pre-Summary'!$Y$6:$AC$83, 3,FALSE),"")</f>
        <v/>
      </c>
      <c r="U1355" s="45" t="str">
        <f>IFERROR(VLOOKUP(B1355,'Pre-Summary'!$Y$6:$AC$83, 4,FALSE),"")</f>
        <v/>
      </c>
      <c r="V1355" t="str">
        <f>IFERROR(VLOOKUP(B1355,'Pre-Summary'!$Y$6:$AC$83, 5,FALSE),"")</f>
        <v/>
      </c>
      <c r="W1355" s="45" t="str">
        <f>IFERROR(VLOOKUP(B1355,'Pre-Summary'!$Y$6:$AD$83,6,FALSE),"")</f>
        <v/>
      </c>
      <c r="X1355" t="str">
        <f>IFERROR(VLOOKUP('Pre-Summary'!$DB$6:$DD$63,3,FALSE),"")</f>
        <v/>
      </c>
      <c r="Y1355" t="str">
        <f>IFERROR(VLOOKUP(B1355,'Pre-Summary'!$CR$6:$CT$36,3,FALSE),"")</f>
        <v/>
      </c>
      <c r="Z1355" s="45" t="str">
        <f>IFERROR(VLOOKUP(B1355,'Pre-Summary'!$BZ$6:$CB$63,2,FALSE),"")</f>
        <v/>
      </c>
      <c r="AA1355" s="45" t="str">
        <f>IFERROR(VLOOKUP(B1355,'Pre-Summary'!$CG$6:$CI$70,2,FALSE),"")</f>
        <v/>
      </c>
      <c r="AB1355" s="99">
        <f>IFERROR(VLOOKUP(B1355,'Pre-Summary'!$A$6:$P$178,9,FALSE),AB1356)</f>
        <v>0.2853438274932612</v>
      </c>
      <c r="AC1355" s="10">
        <f>IFERROR(VLOOKUP(Summary!B1355,'Pre-Summary'!$A$6:$P$184,5, FALSE)/100,AC1356)</f>
        <v>0.97350766666666677</v>
      </c>
      <c r="AD1355" s="10">
        <f>IFERROR(VLOOKUP(Summary!B1355,'Pre-Summary'!$A$6:$P$184,3, FALSE)/100,AD1356)</f>
        <v>1.5240999999999999E-2</v>
      </c>
      <c r="AE1355" s="10">
        <f>IFERROR(VLOOKUP(Summary!B1355,'Pre-Summary'!$A$6:$P$184,7, FALSE)/100,AE1356)</f>
        <v>1.1251000000000001E-2</v>
      </c>
      <c r="AF1355" s="99">
        <f t="shared" si="64"/>
        <v>4.348925274824794E-3</v>
      </c>
      <c r="AG1355" s="99">
        <f t="shared" si="65"/>
        <v>3.2104034031266819E-3</v>
      </c>
      <c r="AH1355" s="10" t="str">
        <f>IFERROR(VLOOKUP(B1355,'Pre-Summary'!$AZ$6:$BE$65,3,FALSE),"")</f>
        <v/>
      </c>
      <c r="AI1355" s="10" t="str">
        <f>IFERROR(VLOOKUP(B1355,'Pre-Summary'!$AZ$6:$BE$65,5,FALSE),"")</f>
        <v/>
      </c>
      <c r="AJ1355" s="10" t="str">
        <f>IFERROR(VLOOKUP(B1355,'Pre-Summary'!$AZ$6:$BE$65,4,FALSE),"")</f>
        <v/>
      </c>
      <c r="AK1355" s="10" t="str">
        <f>IFERROR(VLOOKUP(B1355,'Pre-Summary'!$AZ$6:$BE$65,6,FALSE),"")</f>
        <v/>
      </c>
      <c r="AL1355" s="10" t="str">
        <f>IFERROR(VLOOKUP(B1355,'Pre-Summary'!$BG$6:$BL$44,3,FALSE),"")</f>
        <v/>
      </c>
      <c r="AM1355" s="10" t="str">
        <f>IFERROR(VLOOKUP(B1355,'Pre-Summary'!$BG$6:$BL$44,4,FALSE),"")</f>
        <v/>
      </c>
    </row>
    <row r="1356" spans="2:39" ht="15" customHeight="1" x14ac:dyDescent="0.3">
      <c r="B1356">
        <v>135.30000000000001</v>
      </c>
      <c r="C1356" t="str">
        <f>IFERROR(VLOOKUP(B1356,'Pre-Summary'!$DI$6:$DM$23,4,FALSE),"")</f>
        <v/>
      </c>
      <c r="D1356" s="10" t="str">
        <f>IFERROR(VLOOKUP(B1356,'Pre-Summary'!$AT$6:$AX$14,5,FALSE),D1355)</f>
        <v xml:space="preserve">Wolfe v1: put in modified wolfe + EDTA </v>
      </c>
      <c r="E1356" s="10" t="str">
        <f>IFERROR(VLOOKUP(B1356,'Pre-Summary'!$AT$6:$AX$15,4,FALSE),"")</f>
        <v/>
      </c>
      <c r="F1356">
        <f>IFERROR(VLOOKUP(B1356,'Pre-Summary'!$AL$6:$AQ$13,6,FALSE),F1355)</f>
        <v>5.3897368421052638E-2</v>
      </c>
      <c r="G1356" t="str">
        <f>IFERROR(VLOOKUP(B1356,'Pre-Summary'!$AE$6:$AJ$85,3,FALSE),"")</f>
        <v/>
      </c>
      <c r="H1356" t="str">
        <f>IFERROR(VLOOKUP(B1356,'Pre-Summary'!$AE$6:$AJ$85,4,FALSE),"")</f>
        <v/>
      </c>
      <c r="I1356" t="str">
        <f>IFERROR(VLOOKUP(B1356,'Pre-Summary'!$AE$6:$AJ$85,5,FALSE),"")</f>
        <v/>
      </c>
      <c r="J1356" s="45" t="str">
        <f>IFERROR(VLOOKUP(B1356,'Pre-Summary'!$AE$6:$AJ$85,6, FALSE),"")</f>
        <v/>
      </c>
      <c r="K1356" s="45" t="str">
        <f>IFERROR(VLOOKUP(B1356,'Pre-Summary'!$DE$6:$DG$61,3,FALSE),"")</f>
        <v/>
      </c>
      <c r="L1356" s="45" t="str">
        <f>IFERROR(VLOOKUP(B1356,'Pre-Summary'!$CU$6:$CW$36,3,FALSE),"")</f>
        <v/>
      </c>
      <c r="M1356" s="45" t="str">
        <f>IFERROR(VLOOKUP(B1356,'Pre-Summary'!$BW$6:$BY$58,2,FALSE),"")</f>
        <v/>
      </c>
      <c r="N1356" s="45" t="str">
        <f>IFERROR(VLOOKUP(B1356,'Pre-Summary'!$CD$6:$CF$64,2,FALSE),"")</f>
        <v/>
      </c>
      <c r="O1356" s="99">
        <f>IFERROR(VLOOKUP(B1356,'Pre-Summary'!$BO$6:$BQ$48,3, FALSE),O1355)</f>
        <v>1.2</v>
      </c>
      <c r="P1356" s="99">
        <f>IFERROR(VLOOKUP(B1356,'Pre-Summary'!$BS$6:$BU$35,3,FALSE),P1355)</f>
        <v>0.3</v>
      </c>
      <c r="Q1356" s="54">
        <f t="shared" si="63"/>
        <v>4</v>
      </c>
      <c r="R1356" s="53">
        <f>IFERROR(VLOOKUP(B1356,'Pre-Summary'!$BG$6:$BM$44,7,FALSE),R1357)</f>
        <v>8.8846389403014939E-2</v>
      </c>
      <c r="S1356" s="53">
        <f>IFERROR(VLOOKUP(B1356,'Pre-Summary'!$BG$6:$BM$44,6,FALSE),S1357)</f>
        <v>8.4804948618154546E-2</v>
      </c>
      <c r="T1356" s="45" t="str">
        <f>IFERROR(VLOOKUP(B1356,'Pre-Summary'!$Y$6:$AC$83, 3,FALSE),"")</f>
        <v/>
      </c>
      <c r="U1356" s="45" t="str">
        <f>IFERROR(VLOOKUP(B1356,'Pre-Summary'!$Y$6:$AC$83, 4,FALSE),"")</f>
        <v/>
      </c>
      <c r="V1356" t="str">
        <f>IFERROR(VLOOKUP(B1356,'Pre-Summary'!$Y$6:$AC$83, 5,FALSE),"")</f>
        <v/>
      </c>
      <c r="W1356" s="45" t="str">
        <f>IFERROR(VLOOKUP(B1356,'Pre-Summary'!$Y$6:$AD$83,6,FALSE),"")</f>
        <v/>
      </c>
      <c r="X1356" t="str">
        <f>IFERROR(VLOOKUP('Pre-Summary'!$DB$6:$DD$63,3,FALSE),"")</f>
        <v/>
      </c>
      <c r="Y1356" t="str">
        <f>IFERROR(VLOOKUP(B1356,'Pre-Summary'!$CR$6:$CT$36,3,FALSE),"")</f>
        <v/>
      </c>
      <c r="Z1356" s="45" t="str">
        <f>IFERROR(VLOOKUP(B1356,'Pre-Summary'!$BZ$6:$CB$63,2,FALSE),"")</f>
        <v/>
      </c>
      <c r="AA1356" s="45" t="str">
        <f>IFERROR(VLOOKUP(B1356,'Pre-Summary'!$CG$6:$CI$70,2,FALSE),"")</f>
        <v/>
      </c>
      <c r="AB1356" s="99">
        <f>IFERROR(VLOOKUP(B1356,'Pre-Summary'!$A$6:$P$178,9,FALSE),AB1357)</f>
        <v>0.2853438274932612</v>
      </c>
      <c r="AC1356" s="10">
        <f>IFERROR(VLOOKUP(Summary!B1356,'Pre-Summary'!$A$6:$P$184,5, FALSE)/100,AC1357)</f>
        <v>0.97350766666666677</v>
      </c>
      <c r="AD1356" s="10">
        <f>IFERROR(VLOOKUP(Summary!B1356,'Pre-Summary'!$A$6:$P$184,3, FALSE)/100,AD1357)</f>
        <v>1.5240999999999999E-2</v>
      </c>
      <c r="AE1356" s="10">
        <f>IFERROR(VLOOKUP(Summary!B1356,'Pre-Summary'!$A$6:$P$184,7, FALSE)/100,AE1357)</f>
        <v>1.1251000000000001E-2</v>
      </c>
      <c r="AF1356" s="99">
        <f t="shared" si="64"/>
        <v>4.348925274824794E-3</v>
      </c>
      <c r="AG1356" s="99">
        <f t="shared" si="65"/>
        <v>3.2104034031266819E-3</v>
      </c>
      <c r="AH1356" s="10" t="str">
        <f>IFERROR(VLOOKUP(B1356,'Pre-Summary'!$AZ$6:$BE$65,3,FALSE),"")</f>
        <v/>
      </c>
      <c r="AI1356" s="10" t="str">
        <f>IFERROR(VLOOKUP(B1356,'Pre-Summary'!$AZ$6:$BE$65,5,FALSE),"")</f>
        <v/>
      </c>
      <c r="AJ1356" s="10" t="str">
        <f>IFERROR(VLOOKUP(B1356,'Pre-Summary'!$AZ$6:$BE$65,4,FALSE),"")</f>
        <v/>
      </c>
      <c r="AK1356" s="10" t="str">
        <f>IFERROR(VLOOKUP(B1356,'Pre-Summary'!$AZ$6:$BE$65,6,FALSE),"")</f>
        <v/>
      </c>
      <c r="AL1356" s="10" t="str">
        <f>IFERROR(VLOOKUP(B1356,'Pre-Summary'!$BG$6:$BL$44,3,FALSE),"")</f>
        <v/>
      </c>
      <c r="AM1356" s="10" t="str">
        <f>IFERROR(VLOOKUP(B1356,'Pre-Summary'!$BG$6:$BL$44,4,FALSE),"")</f>
        <v/>
      </c>
    </row>
    <row r="1357" spans="2:39" ht="15" customHeight="1" x14ac:dyDescent="0.3">
      <c r="B1357">
        <v>135.4</v>
      </c>
      <c r="C1357" t="str">
        <f>IFERROR(VLOOKUP(B1357,'Pre-Summary'!$DI$6:$DM$23,4,FALSE),"")</f>
        <v/>
      </c>
      <c r="D1357" s="10" t="str">
        <f>IFERROR(VLOOKUP(B1357,'Pre-Summary'!$AT$6:$AX$14,5,FALSE),D1356)</f>
        <v xml:space="preserve">Wolfe v1: put in modified wolfe + EDTA </v>
      </c>
      <c r="E1357" s="10" t="str">
        <f>IFERROR(VLOOKUP(B1357,'Pre-Summary'!$AT$6:$AX$15,4,FALSE),"")</f>
        <v/>
      </c>
      <c r="F1357">
        <f>IFERROR(VLOOKUP(B1357,'Pre-Summary'!$AL$6:$AQ$13,6,FALSE),F1356)</f>
        <v>5.3897368421052638E-2</v>
      </c>
      <c r="G1357" t="str">
        <f>IFERROR(VLOOKUP(B1357,'Pre-Summary'!$AE$6:$AJ$85,3,FALSE),"")</f>
        <v/>
      </c>
      <c r="H1357" t="str">
        <f>IFERROR(VLOOKUP(B1357,'Pre-Summary'!$AE$6:$AJ$85,4,FALSE),"")</f>
        <v/>
      </c>
      <c r="I1357" t="str">
        <f>IFERROR(VLOOKUP(B1357,'Pre-Summary'!$AE$6:$AJ$85,5,FALSE),"")</f>
        <v/>
      </c>
      <c r="J1357" s="45" t="str">
        <f>IFERROR(VLOOKUP(B1357,'Pre-Summary'!$AE$6:$AJ$85,6, FALSE),"")</f>
        <v/>
      </c>
      <c r="K1357" s="45" t="str">
        <f>IFERROR(VLOOKUP(B1357,'Pre-Summary'!$DE$6:$DG$61,3,FALSE),"")</f>
        <v/>
      </c>
      <c r="L1357" s="45" t="str">
        <f>IFERROR(VLOOKUP(B1357,'Pre-Summary'!$CU$6:$CW$36,3,FALSE),"")</f>
        <v/>
      </c>
      <c r="M1357" s="45" t="str">
        <f>IFERROR(VLOOKUP(B1357,'Pre-Summary'!$BW$6:$BY$58,2,FALSE),"")</f>
        <v/>
      </c>
      <c r="N1357" s="45" t="str">
        <f>IFERROR(VLOOKUP(B1357,'Pre-Summary'!$CD$6:$CF$64,2,FALSE),"")</f>
        <v/>
      </c>
      <c r="O1357" s="99">
        <f>IFERROR(VLOOKUP(B1357,'Pre-Summary'!$BO$6:$BQ$48,3, FALSE),O1356)</f>
        <v>1.2</v>
      </c>
      <c r="P1357" s="99">
        <f>IFERROR(VLOOKUP(B1357,'Pre-Summary'!$BS$6:$BU$35,3,FALSE),P1356)</f>
        <v>0.3</v>
      </c>
      <c r="Q1357" s="54">
        <f t="shared" si="63"/>
        <v>4</v>
      </c>
      <c r="R1357" s="53">
        <f>IFERROR(VLOOKUP(B1357,'Pre-Summary'!$BG$6:$BM$44,7,FALSE),R1358)</f>
        <v>8.8846389403014939E-2</v>
      </c>
      <c r="S1357" s="53">
        <f>IFERROR(VLOOKUP(B1357,'Pre-Summary'!$BG$6:$BM$44,6,FALSE),S1358)</f>
        <v>8.4804948618154546E-2</v>
      </c>
      <c r="T1357" s="45" t="str">
        <f>IFERROR(VLOOKUP(B1357,'Pre-Summary'!$Y$6:$AC$83, 3,FALSE),"")</f>
        <v/>
      </c>
      <c r="U1357" s="45" t="str">
        <f>IFERROR(VLOOKUP(B1357,'Pre-Summary'!$Y$6:$AC$83, 4,FALSE),"")</f>
        <v/>
      </c>
      <c r="V1357" t="str">
        <f>IFERROR(VLOOKUP(B1357,'Pre-Summary'!$Y$6:$AC$83, 5,FALSE),"")</f>
        <v/>
      </c>
      <c r="W1357" s="45" t="str">
        <f>IFERROR(VLOOKUP(B1357,'Pre-Summary'!$Y$6:$AD$83,6,FALSE),"")</f>
        <v/>
      </c>
      <c r="X1357" t="str">
        <f>IFERROR(VLOOKUP('Pre-Summary'!$DB$6:$DD$63,3,FALSE),"")</f>
        <v/>
      </c>
      <c r="Y1357" t="str">
        <f>IFERROR(VLOOKUP(B1357,'Pre-Summary'!$CR$6:$CT$36,3,FALSE),"")</f>
        <v/>
      </c>
      <c r="Z1357" s="45" t="str">
        <f>IFERROR(VLOOKUP(B1357,'Pre-Summary'!$BZ$6:$CB$63,2,FALSE),"")</f>
        <v/>
      </c>
      <c r="AA1357" s="45" t="str">
        <f>IFERROR(VLOOKUP(B1357,'Pre-Summary'!$CG$6:$CI$70,2,FALSE),"")</f>
        <v/>
      </c>
      <c r="AB1357" s="99">
        <f>IFERROR(VLOOKUP(B1357,'Pre-Summary'!$A$6:$P$178,9,FALSE),AB1358)</f>
        <v>0.2853438274932612</v>
      </c>
      <c r="AC1357" s="10">
        <f>IFERROR(VLOOKUP(Summary!B1357,'Pre-Summary'!$A$6:$P$184,5, FALSE)/100,AC1358)</f>
        <v>0.97350766666666677</v>
      </c>
      <c r="AD1357" s="10">
        <f>IFERROR(VLOOKUP(Summary!B1357,'Pre-Summary'!$A$6:$P$184,3, FALSE)/100,AD1358)</f>
        <v>1.5240999999999999E-2</v>
      </c>
      <c r="AE1357" s="10">
        <f>IFERROR(VLOOKUP(Summary!B1357,'Pre-Summary'!$A$6:$P$184,7, FALSE)/100,AE1358)</f>
        <v>1.1251000000000001E-2</v>
      </c>
      <c r="AF1357" s="99">
        <f t="shared" si="64"/>
        <v>4.348925274824794E-3</v>
      </c>
      <c r="AG1357" s="99">
        <f t="shared" si="65"/>
        <v>3.2104034031266819E-3</v>
      </c>
      <c r="AH1357" s="10" t="str">
        <f>IFERROR(VLOOKUP(B1357,'Pre-Summary'!$AZ$6:$BE$65,3,FALSE),"")</f>
        <v/>
      </c>
      <c r="AI1357" s="10" t="str">
        <f>IFERROR(VLOOKUP(B1357,'Pre-Summary'!$AZ$6:$BE$65,5,FALSE),"")</f>
        <v/>
      </c>
      <c r="AJ1357" s="10" t="str">
        <f>IFERROR(VLOOKUP(B1357,'Pre-Summary'!$AZ$6:$BE$65,4,FALSE),"")</f>
        <v/>
      </c>
      <c r="AK1357" s="10" t="str">
        <f>IFERROR(VLOOKUP(B1357,'Pre-Summary'!$AZ$6:$BE$65,6,FALSE),"")</f>
        <v/>
      </c>
      <c r="AL1357" s="10" t="str">
        <f>IFERROR(VLOOKUP(B1357,'Pre-Summary'!$BG$6:$BL$44,3,FALSE),"")</f>
        <v/>
      </c>
      <c r="AM1357" s="10" t="str">
        <f>IFERROR(VLOOKUP(B1357,'Pre-Summary'!$BG$6:$BL$44,4,FALSE),"")</f>
        <v/>
      </c>
    </row>
    <row r="1358" spans="2:39" ht="15" customHeight="1" x14ac:dyDescent="0.3">
      <c r="B1358">
        <v>135.5</v>
      </c>
      <c r="C1358" t="str">
        <f>IFERROR(VLOOKUP(B1358,'Pre-Summary'!$DI$6:$DM$23,4,FALSE),"")</f>
        <v/>
      </c>
      <c r="D1358" s="10" t="str">
        <f>IFERROR(VLOOKUP(B1358,'Pre-Summary'!$AT$6:$AX$14,5,FALSE),D1357)</f>
        <v xml:space="preserve">Wolfe v1: put in modified wolfe + EDTA </v>
      </c>
      <c r="E1358" s="10" t="str">
        <f>IFERROR(VLOOKUP(B1358,'Pre-Summary'!$AT$6:$AX$15,4,FALSE),"")</f>
        <v/>
      </c>
      <c r="F1358">
        <f>IFERROR(VLOOKUP(B1358,'Pre-Summary'!$AL$6:$AQ$13,6,FALSE),F1357)</f>
        <v>5.3897368421052638E-2</v>
      </c>
      <c r="G1358" t="str">
        <f>IFERROR(VLOOKUP(B1358,'Pre-Summary'!$AE$6:$AJ$85,3,FALSE),"")</f>
        <v/>
      </c>
      <c r="H1358" t="str">
        <f>IFERROR(VLOOKUP(B1358,'Pre-Summary'!$AE$6:$AJ$85,4,FALSE),"")</f>
        <v/>
      </c>
      <c r="I1358" t="str">
        <f>IFERROR(VLOOKUP(B1358,'Pre-Summary'!$AE$6:$AJ$85,5,FALSE),"")</f>
        <v/>
      </c>
      <c r="J1358" s="45" t="str">
        <f>IFERROR(VLOOKUP(B1358,'Pre-Summary'!$AE$6:$AJ$85,6, FALSE),"")</f>
        <v/>
      </c>
      <c r="K1358" s="45" t="str">
        <f>IFERROR(VLOOKUP(B1358,'Pre-Summary'!$DE$6:$DG$61,3,FALSE),"")</f>
        <v/>
      </c>
      <c r="L1358" s="45" t="str">
        <f>IFERROR(VLOOKUP(B1358,'Pre-Summary'!$CU$6:$CW$36,3,FALSE),"")</f>
        <v/>
      </c>
      <c r="M1358" s="45" t="str">
        <f>IFERROR(VLOOKUP(B1358,'Pre-Summary'!$BW$6:$BY$58,2,FALSE),"")</f>
        <v/>
      </c>
      <c r="N1358" s="45" t="str">
        <f>IFERROR(VLOOKUP(B1358,'Pre-Summary'!$CD$6:$CF$64,2,FALSE),"")</f>
        <v/>
      </c>
      <c r="O1358" s="99">
        <f>IFERROR(VLOOKUP(B1358,'Pre-Summary'!$BO$6:$BQ$48,3, FALSE),O1357)</f>
        <v>1.2</v>
      </c>
      <c r="P1358" s="99">
        <f>IFERROR(VLOOKUP(B1358,'Pre-Summary'!$BS$6:$BU$35,3,FALSE),P1357)</f>
        <v>0.3</v>
      </c>
      <c r="Q1358" s="54">
        <f t="shared" si="63"/>
        <v>4</v>
      </c>
      <c r="R1358" s="53">
        <f>IFERROR(VLOOKUP(B1358,'Pre-Summary'!$BG$6:$BM$44,7,FALSE),R1359)</f>
        <v>8.8846389403014939E-2</v>
      </c>
      <c r="S1358" s="53">
        <f>IFERROR(VLOOKUP(B1358,'Pre-Summary'!$BG$6:$BM$44,6,FALSE),S1359)</f>
        <v>8.4804948618154546E-2</v>
      </c>
      <c r="T1358" s="45" t="str">
        <f>IFERROR(VLOOKUP(B1358,'Pre-Summary'!$Y$6:$AC$83, 3,FALSE),"")</f>
        <v/>
      </c>
      <c r="U1358" s="45" t="str">
        <f>IFERROR(VLOOKUP(B1358,'Pre-Summary'!$Y$6:$AC$83, 4,FALSE),"")</f>
        <v/>
      </c>
      <c r="V1358" t="str">
        <f>IFERROR(VLOOKUP(B1358,'Pre-Summary'!$Y$6:$AC$83, 5,FALSE),"")</f>
        <v/>
      </c>
      <c r="W1358" s="45" t="str">
        <f>IFERROR(VLOOKUP(B1358,'Pre-Summary'!$Y$6:$AD$83,6,FALSE),"")</f>
        <v/>
      </c>
      <c r="X1358" t="str">
        <f>IFERROR(VLOOKUP('Pre-Summary'!$DB$6:$DD$63,3,FALSE),"")</f>
        <v/>
      </c>
      <c r="Y1358" t="str">
        <f>IFERROR(VLOOKUP(B1358,'Pre-Summary'!$CR$6:$CT$36,3,FALSE),"")</f>
        <v/>
      </c>
      <c r="Z1358" s="45" t="str">
        <f>IFERROR(VLOOKUP(B1358,'Pre-Summary'!$BZ$6:$CB$63,2,FALSE),"")</f>
        <v/>
      </c>
      <c r="AA1358" s="45" t="str">
        <f>IFERROR(VLOOKUP(B1358,'Pre-Summary'!$CG$6:$CI$70,2,FALSE),"")</f>
        <v/>
      </c>
      <c r="AB1358" s="99">
        <f>IFERROR(VLOOKUP(B1358,'Pre-Summary'!$A$6:$P$178,9,FALSE),AB1359)</f>
        <v>0.2853438274932612</v>
      </c>
      <c r="AC1358" s="10">
        <f>IFERROR(VLOOKUP(Summary!B1358,'Pre-Summary'!$A$6:$P$184,5, FALSE)/100,AC1359)</f>
        <v>0.97350766666666677</v>
      </c>
      <c r="AD1358" s="10">
        <f>IFERROR(VLOOKUP(Summary!B1358,'Pre-Summary'!$A$6:$P$184,3, FALSE)/100,AD1359)</f>
        <v>1.5240999999999999E-2</v>
      </c>
      <c r="AE1358" s="10">
        <f>IFERROR(VLOOKUP(Summary!B1358,'Pre-Summary'!$A$6:$P$184,7, FALSE)/100,AE1359)</f>
        <v>1.1251000000000001E-2</v>
      </c>
      <c r="AF1358" s="99">
        <f t="shared" si="64"/>
        <v>4.348925274824794E-3</v>
      </c>
      <c r="AG1358" s="99">
        <f t="shared" si="65"/>
        <v>3.2104034031266819E-3</v>
      </c>
      <c r="AH1358" s="10" t="str">
        <f>IFERROR(VLOOKUP(B1358,'Pre-Summary'!$AZ$6:$BE$65,3,FALSE),"")</f>
        <v/>
      </c>
      <c r="AI1358" s="10" t="str">
        <f>IFERROR(VLOOKUP(B1358,'Pre-Summary'!$AZ$6:$BE$65,5,FALSE),"")</f>
        <v/>
      </c>
      <c r="AJ1358" s="10" t="str">
        <f>IFERROR(VLOOKUP(B1358,'Pre-Summary'!$AZ$6:$BE$65,4,FALSE),"")</f>
        <v/>
      </c>
      <c r="AK1358" s="10" t="str">
        <f>IFERROR(VLOOKUP(B1358,'Pre-Summary'!$AZ$6:$BE$65,6,FALSE),"")</f>
        <v/>
      </c>
      <c r="AL1358" s="10" t="str">
        <f>IFERROR(VLOOKUP(B1358,'Pre-Summary'!$BG$6:$BL$44,3,FALSE),"")</f>
        <v/>
      </c>
      <c r="AM1358" s="10" t="str">
        <f>IFERROR(VLOOKUP(B1358,'Pre-Summary'!$BG$6:$BL$44,4,FALSE),"")</f>
        <v/>
      </c>
    </row>
    <row r="1359" spans="2:39" ht="15" customHeight="1" x14ac:dyDescent="0.3">
      <c r="B1359">
        <v>135.6</v>
      </c>
      <c r="C1359" t="str">
        <f>IFERROR(VLOOKUP(B1359,'Pre-Summary'!$DI$6:$DM$23,4,FALSE),"")</f>
        <v/>
      </c>
      <c r="D1359" s="10" t="str">
        <f>IFERROR(VLOOKUP(B1359,'Pre-Summary'!$AT$6:$AX$14,5,FALSE),D1358)</f>
        <v xml:space="preserve">Wolfe v1: put in modified wolfe + EDTA </v>
      </c>
      <c r="E1359" s="10" t="str">
        <f>IFERROR(VLOOKUP(B1359,'Pre-Summary'!$AT$6:$AX$15,4,FALSE),"")</f>
        <v/>
      </c>
      <c r="F1359">
        <f>IFERROR(VLOOKUP(B1359,'Pre-Summary'!$AL$6:$AQ$13,6,FALSE),F1358)</f>
        <v>5.3897368421052638E-2</v>
      </c>
      <c r="G1359" t="str">
        <f>IFERROR(VLOOKUP(B1359,'Pre-Summary'!$AE$6:$AJ$85,3,FALSE),"")</f>
        <v/>
      </c>
      <c r="H1359" t="str">
        <f>IFERROR(VLOOKUP(B1359,'Pre-Summary'!$AE$6:$AJ$85,4,FALSE),"")</f>
        <v/>
      </c>
      <c r="I1359" t="str">
        <f>IFERROR(VLOOKUP(B1359,'Pre-Summary'!$AE$6:$AJ$85,5,FALSE),"")</f>
        <v/>
      </c>
      <c r="J1359" s="45" t="str">
        <f>IFERROR(VLOOKUP(B1359,'Pre-Summary'!$AE$6:$AJ$85,6, FALSE),"")</f>
        <v/>
      </c>
      <c r="K1359" s="45" t="str">
        <f>IFERROR(VLOOKUP(B1359,'Pre-Summary'!$DE$6:$DG$61,3,FALSE),"")</f>
        <v/>
      </c>
      <c r="L1359" s="45" t="str">
        <f>IFERROR(VLOOKUP(B1359,'Pre-Summary'!$CU$6:$CW$36,3,FALSE),"")</f>
        <v/>
      </c>
      <c r="M1359" s="45" t="str">
        <f>IFERROR(VLOOKUP(B1359,'Pre-Summary'!$BW$6:$BY$58,2,FALSE),"")</f>
        <v/>
      </c>
      <c r="N1359" s="45" t="str">
        <f>IFERROR(VLOOKUP(B1359,'Pre-Summary'!$CD$6:$CF$64,2,FALSE),"")</f>
        <v/>
      </c>
      <c r="O1359" s="99">
        <f>IFERROR(VLOOKUP(B1359,'Pre-Summary'!$BO$6:$BQ$48,3, FALSE),O1358)</f>
        <v>1.2</v>
      </c>
      <c r="P1359" s="99">
        <f>IFERROR(VLOOKUP(B1359,'Pre-Summary'!$BS$6:$BU$35,3,FALSE),P1358)</f>
        <v>0.3</v>
      </c>
      <c r="Q1359" s="54">
        <f t="shared" si="63"/>
        <v>4</v>
      </c>
      <c r="R1359" s="53">
        <f>IFERROR(VLOOKUP(B1359,'Pre-Summary'!$BG$6:$BM$44,7,FALSE),R1360)</f>
        <v>8.8846389403014939E-2</v>
      </c>
      <c r="S1359" s="53">
        <f>IFERROR(VLOOKUP(B1359,'Pre-Summary'!$BG$6:$BM$44,6,FALSE),S1360)</f>
        <v>8.4804948618154546E-2</v>
      </c>
      <c r="T1359" s="45" t="str">
        <f>IFERROR(VLOOKUP(B1359,'Pre-Summary'!$Y$6:$AC$83, 3,FALSE),"")</f>
        <v/>
      </c>
      <c r="U1359" s="45" t="str">
        <f>IFERROR(VLOOKUP(B1359,'Pre-Summary'!$Y$6:$AC$83, 4,FALSE),"")</f>
        <v/>
      </c>
      <c r="V1359" t="str">
        <f>IFERROR(VLOOKUP(B1359,'Pre-Summary'!$Y$6:$AC$83, 5,FALSE),"")</f>
        <v/>
      </c>
      <c r="W1359" s="45" t="str">
        <f>IFERROR(VLOOKUP(B1359,'Pre-Summary'!$Y$6:$AD$83,6,FALSE),"")</f>
        <v/>
      </c>
      <c r="X1359" t="str">
        <f>IFERROR(VLOOKUP('Pre-Summary'!$DB$6:$DD$63,3,FALSE),"")</f>
        <v/>
      </c>
      <c r="Y1359" t="str">
        <f>IFERROR(VLOOKUP(B1359,'Pre-Summary'!$CR$6:$CT$36,3,FALSE),"")</f>
        <v/>
      </c>
      <c r="Z1359" s="45" t="str">
        <f>IFERROR(VLOOKUP(B1359,'Pre-Summary'!$BZ$6:$CB$63,2,FALSE),"")</f>
        <v/>
      </c>
      <c r="AA1359" s="45" t="str">
        <f>IFERROR(VLOOKUP(B1359,'Pre-Summary'!$CG$6:$CI$70,2,FALSE),"")</f>
        <v/>
      </c>
      <c r="AB1359" s="99">
        <f>IFERROR(VLOOKUP(B1359,'Pre-Summary'!$A$6:$P$178,9,FALSE),AB1360)</f>
        <v>0.2853438274932612</v>
      </c>
      <c r="AC1359" s="10">
        <f>IFERROR(VLOOKUP(Summary!B1359,'Pre-Summary'!$A$6:$P$184,5, FALSE)/100,AC1360)</f>
        <v>0.97350766666666677</v>
      </c>
      <c r="AD1359" s="10">
        <f>IFERROR(VLOOKUP(Summary!B1359,'Pre-Summary'!$A$6:$P$184,3, FALSE)/100,AD1360)</f>
        <v>1.5240999999999999E-2</v>
      </c>
      <c r="AE1359" s="10">
        <f>IFERROR(VLOOKUP(Summary!B1359,'Pre-Summary'!$A$6:$P$184,7, FALSE)/100,AE1360)</f>
        <v>1.1251000000000001E-2</v>
      </c>
      <c r="AF1359" s="99">
        <f t="shared" si="64"/>
        <v>4.348925274824794E-3</v>
      </c>
      <c r="AG1359" s="99">
        <f t="shared" si="65"/>
        <v>3.2104034031266819E-3</v>
      </c>
      <c r="AH1359" s="10" t="str">
        <f>IFERROR(VLOOKUP(B1359,'Pre-Summary'!$AZ$6:$BE$65,3,FALSE),"")</f>
        <v/>
      </c>
      <c r="AI1359" s="10" t="str">
        <f>IFERROR(VLOOKUP(B1359,'Pre-Summary'!$AZ$6:$BE$65,5,FALSE),"")</f>
        <v/>
      </c>
      <c r="AJ1359" s="10" t="str">
        <f>IFERROR(VLOOKUP(B1359,'Pre-Summary'!$AZ$6:$BE$65,4,FALSE),"")</f>
        <v/>
      </c>
      <c r="AK1359" s="10" t="str">
        <f>IFERROR(VLOOKUP(B1359,'Pre-Summary'!$AZ$6:$BE$65,6,FALSE),"")</f>
        <v/>
      </c>
      <c r="AL1359" s="10" t="str">
        <f>IFERROR(VLOOKUP(B1359,'Pre-Summary'!$BG$6:$BL$44,3,FALSE),"")</f>
        <v/>
      </c>
      <c r="AM1359" s="10" t="str">
        <f>IFERROR(VLOOKUP(B1359,'Pre-Summary'!$BG$6:$BL$44,4,FALSE),"")</f>
        <v/>
      </c>
    </row>
    <row r="1360" spans="2:39" ht="15" customHeight="1" x14ac:dyDescent="0.3">
      <c r="B1360">
        <v>135.69999999999999</v>
      </c>
      <c r="C1360" t="str">
        <f>IFERROR(VLOOKUP(B1360,'Pre-Summary'!$DI$6:$DM$23,4,FALSE),"")</f>
        <v/>
      </c>
      <c r="D1360" s="10" t="str">
        <f>IFERROR(VLOOKUP(B1360,'Pre-Summary'!$AT$6:$AX$14,5,FALSE),D1359)</f>
        <v xml:space="preserve">Wolfe v1: put in modified wolfe + EDTA </v>
      </c>
      <c r="E1360" s="10" t="str">
        <f>IFERROR(VLOOKUP(B1360,'Pre-Summary'!$AT$6:$AX$15,4,FALSE),"")</f>
        <v/>
      </c>
      <c r="F1360">
        <f>IFERROR(VLOOKUP(B1360,'Pre-Summary'!$AL$6:$AQ$13,6,FALSE),F1359)</f>
        <v>5.3897368421052638E-2</v>
      </c>
      <c r="G1360" t="str">
        <f>IFERROR(VLOOKUP(B1360,'Pre-Summary'!$AE$6:$AJ$85,3,FALSE),"")</f>
        <v/>
      </c>
      <c r="H1360" t="str">
        <f>IFERROR(VLOOKUP(B1360,'Pre-Summary'!$AE$6:$AJ$85,4,FALSE),"")</f>
        <v/>
      </c>
      <c r="I1360" t="str">
        <f>IFERROR(VLOOKUP(B1360,'Pre-Summary'!$AE$6:$AJ$85,5,FALSE),"")</f>
        <v/>
      </c>
      <c r="J1360" s="45" t="str">
        <f>IFERROR(VLOOKUP(B1360,'Pre-Summary'!$AE$6:$AJ$85,6, FALSE),"")</f>
        <v/>
      </c>
      <c r="K1360" s="45" t="str">
        <f>IFERROR(VLOOKUP(B1360,'Pre-Summary'!$DE$6:$DG$61,3,FALSE),"")</f>
        <v/>
      </c>
      <c r="L1360" s="45" t="str">
        <f>IFERROR(VLOOKUP(B1360,'Pre-Summary'!$CU$6:$CW$36,3,FALSE),"")</f>
        <v/>
      </c>
      <c r="M1360" s="45" t="str">
        <f>IFERROR(VLOOKUP(B1360,'Pre-Summary'!$BW$6:$BY$58,2,FALSE),"")</f>
        <v/>
      </c>
      <c r="N1360" s="45" t="str">
        <f>IFERROR(VLOOKUP(B1360,'Pre-Summary'!$CD$6:$CF$64,2,FALSE),"")</f>
        <v/>
      </c>
      <c r="O1360" s="99">
        <f>IFERROR(VLOOKUP(B1360,'Pre-Summary'!$BO$6:$BQ$48,3, FALSE),O1359)</f>
        <v>1.2</v>
      </c>
      <c r="P1360" s="99">
        <f>IFERROR(VLOOKUP(B1360,'Pre-Summary'!$BS$6:$BU$35,3,FALSE),P1359)</f>
        <v>0.3</v>
      </c>
      <c r="Q1360" s="54">
        <f t="shared" si="63"/>
        <v>4</v>
      </c>
      <c r="R1360" s="53">
        <f>IFERROR(VLOOKUP(B1360,'Pre-Summary'!$BG$6:$BM$44,7,FALSE),R1361)</f>
        <v>8.8846389403014939E-2</v>
      </c>
      <c r="S1360" s="53">
        <f>IFERROR(VLOOKUP(B1360,'Pre-Summary'!$BG$6:$BM$44,6,FALSE),S1361)</f>
        <v>8.4804948618154546E-2</v>
      </c>
      <c r="T1360" s="45" t="str">
        <f>IFERROR(VLOOKUP(B1360,'Pre-Summary'!$Y$6:$AC$83, 3,FALSE),"")</f>
        <v/>
      </c>
      <c r="U1360" s="45" t="str">
        <f>IFERROR(VLOOKUP(B1360,'Pre-Summary'!$Y$6:$AC$83, 4,FALSE),"")</f>
        <v/>
      </c>
      <c r="V1360" t="str">
        <f>IFERROR(VLOOKUP(B1360,'Pre-Summary'!$Y$6:$AC$83, 5,FALSE),"")</f>
        <v/>
      </c>
      <c r="W1360" s="45" t="str">
        <f>IFERROR(VLOOKUP(B1360,'Pre-Summary'!$Y$6:$AD$83,6,FALSE),"")</f>
        <v/>
      </c>
      <c r="X1360" t="str">
        <f>IFERROR(VLOOKUP('Pre-Summary'!$DB$6:$DD$63,3,FALSE),"")</f>
        <v/>
      </c>
      <c r="Y1360" t="str">
        <f>IFERROR(VLOOKUP(B1360,'Pre-Summary'!$CR$6:$CT$36,3,FALSE),"")</f>
        <v/>
      </c>
      <c r="Z1360" s="45" t="str">
        <f>IFERROR(VLOOKUP(B1360,'Pre-Summary'!$BZ$6:$CB$63,2,FALSE),"")</f>
        <v/>
      </c>
      <c r="AA1360" s="45" t="str">
        <f>IFERROR(VLOOKUP(B1360,'Pre-Summary'!$CG$6:$CI$70,2,FALSE),"")</f>
        <v/>
      </c>
      <c r="AB1360" s="99">
        <f>IFERROR(VLOOKUP(B1360,'Pre-Summary'!$A$6:$P$178,9,FALSE),AB1361)</f>
        <v>0.2853438274932612</v>
      </c>
      <c r="AC1360" s="10">
        <f>IFERROR(VLOOKUP(Summary!B1360,'Pre-Summary'!$A$6:$P$184,5, FALSE)/100,AC1361)</f>
        <v>0.97350766666666677</v>
      </c>
      <c r="AD1360" s="10">
        <f>IFERROR(VLOOKUP(Summary!B1360,'Pre-Summary'!$A$6:$P$184,3, FALSE)/100,AD1361)</f>
        <v>1.5240999999999999E-2</v>
      </c>
      <c r="AE1360" s="10">
        <f>IFERROR(VLOOKUP(Summary!B1360,'Pre-Summary'!$A$6:$P$184,7, FALSE)/100,AE1361)</f>
        <v>1.1251000000000001E-2</v>
      </c>
      <c r="AF1360" s="99">
        <f t="shared" si="64"/>
        <v>4.348925274824794E-3</v>
      </c>
      <c r="AG1360" s="99">
        <f t="shared" si="65"/>
        <v>3.2104034031266819E-3</v>
      </c>
      <c r="AH1360" s="10" t="str">
        <f>IFERROR(VLOOKUP(B1360,'Pre-Summary'!$AZ$6:$BE$65,3,FALSE),"")</f>
        <v/>
      </c>
      <c r="AI1360" s="10" t="str">
        <f>IFERROR(VLOOKUP(B1360,'Pre-Summary'!$AZ$6:$BE$65,5,FALSE),"")</f>
        <v/>
      </c>
      <c r="AJ1360" s="10" t="str">
        <f>IFERROR(VLOOKUP(B1360,'Pre-Summary'!$AZ$6:$BE$65,4,FALSE),"")</f>
        <v/>
      </c>
      <c r="AK1360" s="10" t="str">
        <f>IFERROR(VLOOKUP(B1360,'Pre-Summary'!$AZ$6:$BE$65,6,FALSE),"")</f>
        <v/>
      </c>
      <c r="AL1360" s="10" t="str">
        <f>IFERROR(VLOOKUP(B1360,'Pre-Summary'!$BG$6:$BL$44,3,FALSE),"")</f>
        <v/>
      </c>
      <c r="AM1360" s="10" t="str">
        <f>IFERROR(VLOOKUP(B1360,'Pre-Summary'!$BG$6:$BL$44,4,FALSE),"")</f>
        <v/>
      </c>
    </row>
    <row r="1361" spans="2:39" ht="15" customHeight="1" x14ac:dyDescent="0.3">
      <c r="B1361">
        <v>135.80000000000001</v>
      </c>
      <c r="C1361" t="str">
        <f>IFERROR(VLOOKUP(B1361,'Pre-Summary'!$DI$6:$DM$23,4,FALSE),"")</f>
        <v/>
      </c>
      <c r="D1361" s="10" t="str">
        <f>IFERROR(VLOOKUP(B1361,'Pre-Summary'!$AT$6:$AX$14,5,FALSE),D1360)</f>
        <v xml:space="preserve">Wolfe v1: put in modified wolfe + EDTA </v>
      </c>
      <c r="E1361" s="10" t="str">
        <f>IFERROR(VLOOKUP(B1361,'Pre-Summary'!$AT$6:$AX$15,4,FALSE),"")</f>
        <v/>
      </c>
      <c r="F1361">
        <f>IFERROR(VLOOKUP(B1361,'Pre-Summary'!$AL$6:$AQ$13,6,FALSE),F1360)</f>
        <v>5.3897368421052638E-2</v>
      </c>
      <c r="G1361" t="str">
        <f>IFERROR(VLOOKUP(B1361,'Pre-Summary'!$AE$6:$AJ$85,3,FALSE),"")</f>
        <v/>
      </c>
      <c r="H1361" t="str">
        <f>IFERROR(VLOOKUP(B1361,'Pre-Summary'!$AE$6:$AJ$85,4,FALSE),"")</f>
        <v/>
      </c>
      <c r="I1361" t="str">
        <f>IFERROR(VLOOKUP(B1361,'Pre-Summary'!$AE$6:$AJ$85,5,FALSE),"")</f>
        <v/>
      </c>
      <c r="J1361" s="45" t="str">
        <f>IFERROR(VLOOKUP(B1361,'Pre-Summary'!$AE$6:$AJ$85,6, FALSE),"")</f>
        <v/>
      </c>
      <c r="K1361" s="45" t="str">
        <f>IFERROR(VLOOKUP(B1361,'Pre-Summary'!$DE$6:$DG$61,3,FALSE),"")</f>
        <v/>
      </c>
      <c r="L1361" s="45" t="str">
        <f>IFERROR(VLOOKUP(B1361,'Pre-Summary'!$CU$6:$CW$36,3,FALSE),"")</f>
        <v/>
      </c>
      <c r="M1361" s="45" t="str">
        <f>IFERROR(VLOOKUP(B1361,'Pre-Summary'!$BW$6:$BY$58,2,FALSE),"")</f>
        <v/>
      </c>
      <c r="N1361" s="45" t="str">
        <f>IFERROR(VLOOKUP(B1361,'Pre-Summary'!$CD$6:$CF$64,2,FALSE),"")</f>
        <v/>
      </c>
      <c r="O1361" s="99">
        <f>IFERROR(VLOOKUP(B1361,'Pre-Summary'!$BO$6:$BQ$48,3, FALSE),O1360)</f>
        <v>1.2</v>
      </c>
      <c r="P1361" s="99">
        <f>IFERROR(VLOOKUP(B1361,'Pre-Summary'!$BS$6:$BU$35,3,FALSE),P1360)</f>
        <v>0.3</v>
      </c>
      <c r="Q1361" s="54">
        <f t="shared" si="63"/>
        <v>4</v>
      </c>
      <c r="R1361" s="53">
        <f>IFERROR(VLOOKUP(B1361,'Pre-Summary'!$BG$6:$BM$44,7,FALSE),R1362)</f>
        <v>8.8846389403014939E-2</v>
      </c>
      <c r="S1361" s="53">
        <f>IFERROR(VLOOKUP(B1361,'Pre-Summary'!$BG$6:$BM$44,6,FALSE),S1362)</f>
        <v>8.4804948618154546E-2</v>
      </c>
      <c r="T1361" s="45" t="str">
        <f>IFERROR(VLOOKUP(B1361,'Pre-Summary'!$Y$6:$AC$83, 3,FALSE),"")</f>
        <v/>
      </c>
      <c r="U1361" s="45" t="str">
        <f>IFERROR(VLOOKUP(B1361,'Pre-Summary'!$Y$6:$AC$83, 4,FALSE),"")</f>
        <v/>
      </c>
      <c r="V1361" t="str">
        <f>IFERROR(VLOOKUP(B1361,'Pre-Summary'!$Y$6:$AC$83, 5,FALSE),"")</f>
        <v/>
      </c>
      <c r="W1361" s="45" t="str">
        <f>IFERROR(VLOOKUP(B1361,'Pre-Summary'!$Y$6:$AD$83,6,FALSE),"")</f>
        <v/>
      </c>
      <c r="X1361" t="str">
        <f>IFERROR(VLOOKUP('Pre-Summary'!$DB$6:$DD$63,3,FALSE),"")</f>
        <v/>
      </c>
      <c r="Y1361" t="str">
        <f>IFERROR(VLOOKUP(B1361,'Pre-Summary'!$CR$6:$CT$36,3,FALSE),"")</f>
        <v/>
      </c>
      <c r="Z1361" s="45" t="str">
        <f>IFERROR(VLOOKUP(B1361,'Pre-Summary'!$BZ$6:$CB$63,2,FALSE),"")</f>
        <v/>
      </c>
      <c r="AA1361" s="45" t="str">
        <f>IFERROR(VLOOKUP(B1361,'Pre-Summary'!$CG$6:$CI$70,2,FALSE),"")</f>
        <v/>
      </c>
      <c r="AB1361" s="99">
        <f>IFERROR(VLOOKUP(B1361,'Pre-Summary'!$A$6:$P$178,9,FALSE),AB1362)</f>
        <v>0.2853438274932612</v>
      </c>
      <c r="AC1361" s="10">
        <f>IFERROR(VLOOKUP(Summary!B1361,'Pre-Summary'!$A$6:$P$184,5, FALSE)/100,AC1362)</f>
        <v>0.97350766666666677</v>
      </c>
      <c r="AD1361" s="10">
        <f>IFERROR(VLOOKUP(Summary!B1361,'Pre-Summary'!$A$6:$P$184,3, FALSE)/100,AD1362)</f>
        <v>1.5240999999999999E-2</v>
      </c>
      <c r="AE1361" s="10">
        <f>IFERROR(VLOOKUP(Summary!B1361,'Pre-Summary'!$A$6:$P$184,7, FALSE)/100,AE1362)</f>
        <v>1.1251000000000001E-2</v>
      </c>
      <c r="AF1361" s="99">
        <f t="shared" si="64"/>
        <v>4.348925274824794E-3</v>
      </c>
      <c r="AG1361" s="99">
        <f t="shared" si="65"/>
        <v>3.2104034031266819E-3</v>
      </c>
      <c r="AH1361" s="10" t="str">
        <f>IFERROR(VLOOKUP(B1361,'Pre-Summary'!$AZ$6:$BE$65,3,FALSE),"")</f>
        <v/>
      </c>
      <c r="AI1361" s="10" t="str">
        <f>IFERROR(VLOOKUP(B1361,'Pre-Summary'!$AZ$6:$BE$65,5,FALSE),"")</f>
        <v/>
      </c>
      <c r="AJ1361" s="10" t="str">
        <f>IFERROR(VLOOKUP(B1361,'Pre-Summary'!$AZ$6:$BE$65,4,FALSE),"")</f>
        <v/>
      </c>
      <c r="AK1361" s="10" t="str">
        <f>IFERROR(VLOOKUP(B1361,'Pre-Summary'!$AZ$6:$BE$65,6,FALSE),"")</f>
        <v/>
      </c>
      <c r="AL1361" s="10" t="str">
        <f>IFERROR(VLOOKUP(B1361,'Pre-Summary'!$BG$6:$BL$44,3,FALSE),"")</f>
        <v/>
      </c>
      <c r="AM1361" s="10" t="str">
        <f>IFERROR(VLOOKUP(B1361,'Pre-Summary'!$BG$6:$BL$44,4,FALSE),"")</f>
        <v/>
      </c>
    </row>
    <row r="1362" spans="2:39" ht="15" customHeight="1" x14ac:dyDescent="0.3">
      <c r="B1362">
        <v>135.9</v>
      </c>
      <c r="C1362" t="str">
        <f>IFERROR(VLOOKUP(B1362,'Pre-Summary'!$DI$6:$DM$23,4,FALSE),"")</f>
        <v/>
      </c>
      <c r="D1362" s="10" t="str">
        <f>IFERROR(VLOOKUP(B1362,'Pre-Summary'!$AT$6:$AX$14,5,FALSE),D1361)</f>
        <v xml:space="preserve">Wolfe v1: put in modified wolfe + EDTA </v>
      </c>
      <c r="E1362" s="10" t="str">
        <f>IFERROR(VLOOKUP(B1362,'Pre-Summary'!$AT$6:$AX$15,4,FALSE),"")</f>
        <v/>
      </c>
      <c r="F1362">
        <f>IFERROR(VLOOKUP(B1362,'Pre-Summary'!$AL$6:$AQ$13,6,FALSE),F1361)</f>
        <v>5.3897368421052638E-2</v>
      </c>
      <c r="G1362" t="str">
        <f>IFERROR(VLOOKUP(B1362,'Pre-Summary'!$AE$6:$AJ$85,3,FALSE),"")</f>
        <v/>
      </c>
      <c r="H1362" t="str">
        <f>IFERROR(VLOOKUP(B1362,'Pre-Summary'!$AE$6:$AJ$85,4,FALSE),"")</f>
        <v/>
      </c>
      <c r="I1362" t="str">
        <f>IFERROR(VLOOKUP(B1362,'Pre-Summary'!$AE$6:$AJ$85,5,FALSE),"")</f>
        <v/>
      </c>
      <c r="J1362" s="45" t="str">
        <f>IFERROR(VLOOKUP(B1362,'Pre-Summary'!$AE$6:$AJ$85,6, FALSE),"")</f>
        <v/>
      </c>
      <c r="K1362" s="45" t="str">
        <f>IFERROR(VLOOKUP(B1362,'Pre-Summary'!$DE$6:$DG$61,3,FALSE),"")</f>
        <v/>
      </c>
      <c r="L1362" s="45" t="str">
        <f>IFERROR(VLOOKUP(B1362,'Pre-Summary'!$CU$6:$CW$36,3,FALSE),"")</f>
        <v/>
      </c>
      <c r="M1362" s="45" t="str">
        <f>IFERROR(VLOOKUP(B1362,'Pre-Summary'!$BW$6:$BY$58,2,FALSE),"")</f>
        <v/>
      </c>
      <c r="N1362" s="45" t="str">
        <f>IFERROR(VLOOKUP(B1362,'Pre-Summary'!$CD$6:$CF$64,2,FALSE),"")</f>
        <v/>
      </c>
      <c r="O1362" s="99">
        <f>IFERROR(VLOOKUP(B1362,'Pre-Summary'!$BO$6:$BQ$48,3, FALSE),O1361)</f>
        <v>1.2</v>
      </c>
      <c r="P1362" s="99">
        <f>IFERROR(VLOOKUP(B1362,'Pre-Summary'!$BS$6:$BU$35,3,FALSE),P1361)</f>
        <v>0.3</v>
      </c>
      <c r="Q1362" s="54">
        <f t="shared" si="63"/>
        <v>4</v>
      </c>
      <c r="R1362" s="53">
        <f>IFERROR(VLOOKUP(B1362,'Pre-Summary'!$BG$6:$BM$44,7,FALSE),R1363)</f>
        <v>8.8846389403014939E-2</v>
      </c>
      <c r="S1362" s="53">
        <f>IFERROR(VLOOKUP(B1362,'Pre-Summary'!$BG$6:$BM$44,6,FALSE),S1363)</f>
        <v>8.4804948618154546E-2</v>
      </c>
      <c r="T1362" s="45" t="str">
        <f>IFERROR(VLOOKUP(B1362,'Pre-Summary'!$Y$6:$AC$83, 3,FALSE),"")</f>
        <v/>
      </c>
      <c r="U1362" s="45" t="str">
        <f>IFERROR(VLOOKUP(B1362,'Pre-Summary'!$Y$6:$AC$83, 4,FALSE),"")</f>
        <v/>
      </c>
      <c r="V1362" t="str">
        <f>IFERROR(VLOOKUP(B1362,'Pre-Summary'!$Y$6:$AC$83, 5,FALSE),"")</f>
        <v/>
      </c>
      <c r="W1362" s="45" t="str">
        <f>IFERROR(VLOOKUP(B1362,'Pre-Summary'!$Y$6:$AD$83,6,FALSE),"")</f>
        <v/>
      </c>
      <c r="X1362" t="str">
        <f>IFERROR(VLOOKUP('Pre-Summary'!$DB$6:$DD$63,3,FALSE),"")</f>
        <v/>
      </c>
      <c r="Y1362" t="str">
        <f>IFERROR(VLOOKUP(B1362,'Pre-Summary'!$CR$6:$CT$36,3,FALSE),"")</f>
        <v/>
      </c>
      <c r="Z1362" s="45" t="str">
        <f>IFERROR(VLOOKUP(B1362,'Pre-Summary'!$BZ$6:$CB$63,2,FALSE),"")</f>
        <v/>
      </c>
      <c r="AA1362" s="45" t="str">
        <f>IFERROR(VLOOKUP(B1362,'Pre-Summary'!$CG$6:$CI$70,2,FALSE),"")</f>
        <v/>
      </c>
      <c r="AB1362" s="99">
        <f>IFERROR(VLOOKUP(B1362,'Pre-Summary'!$A$6:$P$178,9,FALSE),AB1363)</f>
        <v>0.2853438274932612</v>
      </c>
      <c r="AC1362" s="10">
        <f>IFERROR(VLOOKUP(Summary!B1362,'Pre-Summary'!$A$6:$P$184,5, FALSE)/100,AC1363)</f>
        <v>0.97350766666666677</v>
      </c>
      <c r="AD1362" s="10">
        <f>IFERROR(VLOOKUP(Summary!B1362,'Pre-Summary'!$A$6:$P$184,3, FALSE)/100,AD1363)</f>
        <v>1.5240999999999999E-2</v>
      </c>
      <c r="AE1362" s="10">
        <f>IFERROR(VLOOKUP(Summary!B1362,'Pre-Summary'!$A$6:$P$184,7, FALSE)/100,AE1363)</f>
        <v>1.1251000000000001E-2</v>
      </c>
      <c r="AF1362" s="99">
        <f t="shared" si="64"/>
        <v>4.348925274824794E-3</v>
      </c>
      <c r="AG1362" s="99">
        <f t="shared" si="65"/>
        <v>3.2104034031266819E-3</v>
      </c>
      <c r="AH1362" s="10" t="str">
        <f>IFERROR(VLOOKUP(B1362,'Pre-Summary'!$AZ$6:$BE$65,3,FALSE),"")</f>
        <v/>
      </c>
      <c r="AI1362" s="10" t="str">
        <f>IFERROR(VLOOKUP(B1362,'Pre-Summary'!$AZ$6:$BE$65,5,FALSE),"")</f>
        <v/>
      </c>
      <c r="AJ1362" s="10" t="str">
        <f>IFERROR(VLOOKUP(B1362,'Pre-Summary'!$AZ$6:$BE$65,4,FALSE),"")</f>
        <v/>
      </c>
      <c r="AK1362" s="10" t="str">
        <f>IFERROR(VLOOKUP(B1362,'Pre-Summary'!$AZ$6:$BE$65,6,FALSE),"")</f>
        <v/>
      </c>
      <c r="AL1362" s="10" t="str">
        <f>IFERROR(VLOOKUP(B1362,'Pre-Summary'!$BG$6:$BL$44,3,FALSE),"")</f>
        <v/>
      </c>
      <c r="AM1362" s="10" t="str">
        <f>IFERROR(VLOOKUP(B1362,'Pre-Summary'!$BG$6:$BL$44,4,FALSE),"")</f>
        <v/>
      </c>
    </row>
    <row r="1363" spans="2:39" ht="15" customHeight="1" x14ac:dyDescent="0.3">
      <c r="B1363">
        <v>136</v>
      </c>
      <c r="C1363" t="str">
        <f>IFERROR(VLOOKUP(B1363,'Pre-Summary'!$DI$6:$DM$23,4,FALSE),"")</f>
        <v/>
      </c>
      <c r="D1363" s="10" t="str">
        <f>IFERROR(VLOOKUP(B1363,'Pre-Summary'!$AT$6:$AX$14,5,FALSE),D1362)</f>
        <v xml:space="preserve">Wolfe v1: put in modified wolfe + EDTA </v>
      </c>
      <c r="E1363" s="10" t="str">
        <f>IFERROR(VLOOKUP(B1363,'Pre-Summary'!$AT$6:$AX$15,4,FALSE),"")</f>
        <v/>
      </c>
      <c r="F1363">
        <f>IFERROR(VLOOKUP(B1363,'Pre-Summary'!$AL$6:$AQ$13,6,FALSE),F1362)</f>
        <v>5.3897368421052638E-2</v>
      </c>
      <c r="G1363" t="str">
        <f>IFERROR(VLOOKUP(B1363,'Pre-Summary'!$AE$6:$AJ$85,3,FALSE),"")</f>
        <v/>
      </c>
      <c r="H1363" t="str">
        <f>IFERROR(VLOOKUP(B1363,'Pre-Summary'!$AE$6:$AJ$85,4,FALSE),"")</f>
        <v/>
      </c>
      <c r="I1363" t="str">
        <f>IFERROR(VLOOKUP(B1363,'Pre-Summary'!$AE$6:$AJ$85,5,FALSE),"")</f>
        <v/>
      </c>
      <c r="J1363" s="45" t="str">
        <f>IFERROR(VLOOKUP(B1363,'Pre-Summary'!$AE$6:$AJ$85,6, FALSE),"")</f>
        <v/>
      </c>
      <c r="K1363" s="45" t="str">
        <f>IFERROR(VLOOKUP(B1363,'Pre-Summary'!$DE$6:$DG$61,3,FALSE),"")</f>
        <v/>
      </c>
      <c r="L1363" s="45" t="str">
        <f>IFERROR(VLOOKUP(B1363,'Pre-Summary'!$CU$6:$CW$36,3,FALSE),"")</f>
        <v/>
      </c>
      <c r="M1363" s="45" t="str">
        <f>IFERROR(VLOOKUP(B1363,'Pre-Summary'!$BW$6:$BY$58,2,FALSE),"")</f>
        <v/>
      </c>
      <c r="N1363" s="45" t="str">
        <f>IFERROR(VLOOKUP(B1363,'Pre-Summary'!$CD$6:$CF$64,2,FALSE),"")</f>
        <v/>
      </c>
      <c r="O1363" s="99">
        <f>IFERROR(VLOOKUP(B1363,'Pre-Summary'!$BO$6:$BQ$48,3, FALSE),O1362)</f>
        <v>1.2</v>
      </c>
      <c r="P1363" s="99">
        <f>IFERROR(VLOOKUP(B1363,'Pre-Summary'!$BS$6:$BU$35,3,FALSE),P1362)</f>
        <v>0.3</v>
      </c>
      <c r="Q1363" s="54">
        <f t="shared" si="63"/>
        <v>4</v>
      </c>
      <c r="R1363" s="53">
        <f>IFERROR(VLOOKUP(B1363,'Pre-Summary'!$BG$6:$BM$44,7,FALSE),R1364)</f>
        <v>8.8846389403014939E-2</v>
      </c>
      <c r="S1363" s="53">
        <f>IFERROR(VLOOKUP(B1363,'Pre-Summary'!$BG$6:$BM$44,6,FALSE),S1364)</f>
        <v>8.4804948618154546E-2</v>
      </c>
      <c r="T1363" s="45" t="str">
        <f>IFERROR(VLOOKUP(B1363,'Pre-Summary'!$Y$6:$AC$83, 3,FALSE),"")</f>
        <v/>
      </c>
      <c r="U1363" s="45" t="str">
        <f>IFERROR(VLOOKUP(B1363,'Pre-Summary'!$Y$6:$AC$83, 4,FALSE),"")</f>
        <v/>
      </c>
      <c r="V1363" t="str">
        <f>IFERROR(VLOOKUP(B1363,'Pre-Summary'!$Y$6:$AC$83, 5,FALSE),"")</f>
        <v/>
      </c>
      <c r="W1363" s="45" t="str">
        <f>IFERROR(VLOOKUP(B1363,'Pre-Summary'!$Y$6:$AD$83,6,FALSE),"")</f>
        <v/>
      </c>
      <c r="X1363" t="str">
        <f>IFERROR(VLOOKUP('Pre-Summary'!$DB$6:$DD$63,3,FALSE),"")</f>
        <v/>
      </c>
      <c r="Y1363" t="str">
        <f>IFERROR(VLOOKUP(B1363,'Pre-Summary'!$CR$6:$CT$36,3,FALSE),"")</f>
        <v/>
      </c>
      <c r="Z1363" s="45" t="str">
        <f>IFERROR(VLOOKUP(B1363,'Pre-Summary'!$BZ$6:$CB$63,2,FALSE),"")</f>
        <v/>
      </c>
      <c r="AA1363" s="45" t="str">
        <f>IFERROR(VLOOKUP(B1363,'Pre-Summary'!$CG$6:$CI$70,2,FALSE),"")</f>
        <v/>
      </c>
      <c r="AB1363" s="99">
        <f>IFERROR(VLOOKUP(B1363,'Pre-Summary'!$A$6:$P$178,9,FALSE),AB1364)</f>
        <v>0.2853438274932612</v>
      </c>
      <c r="AC1363" s="10">
        <f>IFERROR(VLOOKUP(Summary!B1363,'Pre-Summary'!$A$6:$P$184,5, FALSE)/100,AC1364)</f>
        <v>0.97350766666666677</v>
      </c>
      <c r="AD1363" s="10">
        <f>IFERROR(VLOOKUP(Summary!B1363,'Pre-Summary'!$A$6:$P$184,3, FALSE)/100,AD1364)</f>
        <v>1.5240999999999999E-2</v>
      </c>
      <c r="AE1363" s="10">
        <f>IFERROR(VLOOKUP(Summary!B1363,'Pre-Summary'!$A$6:$P$184,7, FALSE)/100,AE1364)</f>
        <v>1.1251000000000001E-2</v>
      </c>
      <c r="AF1363" s="99">
        <f t="shared" si="64"/>
        <v>4.348925274824794E-3</v>
      </c>
      <c r="AG1363" s="99">
        <f t="shared" si="65"/>
        <v>3.2104034031266819E-3</v>
      </c>
      <c r="AH1363" s="10" t="str">
        <f>IFERROR(VLOOKUP(B1363,'Pre-Summary'!$AZ$6:$BE$65,3,FALSE),"")</f>
        <v/>
      </c>
      <c r="AI1363" s="10" t="str">
        <f>IFERROR(VLOOKUP(B1363,'Pre-Summary'!$AZ$6:$BE$65,5,FALSE),"")</f>
        <v/>
      </c>
      <c r="AJ1363" s="10" t="str">
        <f>IFERROR(VLOOKUP(B1363,'Pre-Summary'!$AZ$6:$BE$65,4,FALSE),"")</f>
        <v/>
      </c>
      <c r="AK1363" s="10" t="str">
        <f>IFERROR(VLOOKUP(B1363,'Pre-Summary'!$AZ$6:$BE$65,6,FALSE),"")</f>
        <v/>
      </c>
      <c r="AL1363" s="10" t="str">
        <f>IFERROR(VLOOKUP(B1363,'Pre-Summary'!$BG$6:$BL$44,3,FALSE),"")</f>
        <v/>
      </c>
      <c r="AM1363" s="10" t="str">
        <f>IFERROR(VLOOKUP(B1363,'Pre-Summary'!$BG$6:$BL$44,4,FALSE),"")</f>
        <v/>
      </c>
    </row>
    <row r="1364" spans="2:39" ht="15" customHeight="1" x14ac:dyDescent="0.3">
      <c r="B1364">
        <v>136.1</v>
      </c>
      <c r="C1364" t="str">
        <f>IFERROR(VLOOKUP(B1364,'Pre-Summary'!$DI$6:$DM$23,4,FALSE),"")</f>
        <v/>
      </c>
      <c r="D1364" s="10" t="str">
        <f>IFERROR(VLOOKUP(B1364,'Pre-Summary'!$AT$6:$AX$14,5,FALSE),D1363)</f>
        <v xml:space="preserve">Wolfe v1: put in modified wolfe + EDTA </v>
      </c>
      <c r="E1364" s="10" t="str">
        <f>IFERROR(VLOOKUP(B1364,'Pre-Summary'!$AT$6:$AX$15,4,FALSE),"")</f>
        <v/>
      </c>
      <c r="F1364">
        <f>IFERROR(VLOOKUP(B1364,'Pre-Summary'!$AL$6:$AQ$13,6,FALSE),F1363)</f>
        <v>5.3897368421052638E-2</v>
      </c>
      <c r="G1364" t="str">
        <f>IFERROR(VLOOKUP(B1364,'Pre-Summary'!$AE$6:$AJ$85,3,FALSE),"")</f>
        <v/>
      </c>
      <c r="H1364" t="str">
        <f>IFERROR(VLOOKUP(B1364,'Pre-Summary'!$AE$6:$AJ$85,4,FALSE),"")</f>
        <v/>
      </c>
      <c r="I1364" t="str">
        <f>IFERROR(VLOOKUP(B1364,'Pre-Summary'!$AE$6:$AJ$85,5,FALSE),"")</f>
        <v/>
      </c>
      <c r="J1364" s="45" t="str">
        <f>IFERROR(VLOOKUP(B1364,'Pre-Summary'!$AE$6:$AJ$85,6, FALSE),"")</f>
        <v/>
      </c>
      <c r="K1364" s="45" t="str">
        <f>IFERROR(VLOOKUP(B1364,'Pre-Summary'!$DE$6:$DG$61,3,FALSE),"")</f>
        <v/>
      </c>
      <c r="L1364" s="45" t="str">
        <f>IFERROR(VLOOKUP(B1364,'Pre-Summary'!$CU$6:$CW$36,3,FALSE),"")</f>
        <v/>
      </c>
      <c r="M1364" s="45" t="str">
        <f>IFERROR(VLOOKUP(B1364,'Pre-Summary'!$BW$6:$BY$58,2,FALSE),"")</f>
        <v/>
      </c>
      <c r="N1364" s="45" t="str">
        <f>IFERROR(VLOOKUP(B1364,'Pre-Summary'!$CD$6:$CF$64,2,FALSE),"")</f>
        <v/>
      </c>
      <c r="O1364" s="99">
        <f>IFERROR(VLOOKUP(B1364,'Pre-Summary'!$BO$6:$BQ$48,3, FALSE),O1363)</f>
        <v>1.2</v>
      </c>
      <c r="P1364" s="99">
        <f>IFERROR(VLOOKUP(B1364,'Pre-Summary'!$BS$6:$BU$35,3,FALSE),P1363)</f>
        <v>0.3</v>
      </c>
      <c r="Q1364" s="54">
        <f t="shared" si="63"/>
        <v>4</v>
      </c>
      <c r="R1364" s="53">
        <f>IFERROR(VLOOKUP(B1364,'Pre-Summary'!$BG$6:$BM$44,7,FALSE),R1365)</f>
        <v>8.8846389403014939E-2</v>
      </c>
      <c r="S1364" s="53">
        <f>IFERROR(VLOOKUP(B1364,'Pre-Summary'!$BG$6:$BM$44,6,FALSE),S1365)</f>
        <v>8.4804948618154546E-2</v>
      </c>
      <c r="T1364" s="45" t="str">
        <f>IFERROR(VLOOKUP(B1364,'Pre-Summary'!$Y$6:$AC$83, 3,FALSE),"")</f>
        <v/>
      </c>
      <c r="U1364" s="45" t="str">
        <f>IFERROR(VLOOKUP(B1364,'Pre-Summary'!$Y$6:$AC$83, 4,FALSE),"")</f>
        <v/>
      </c>
      <c r="V1364" t="str">
        <f>IFERROR(VLOOKUP(B1364,'Pre-Summary'!$Y$6:$AC$83, 5,FALSE),"")</f>
        <v/>
      </c>
      <c r="W1364" s="45" t="str">
        <f>IFERROR(VLOOKUP(B1364,'Pre-Summary'!$Y$6:$AD$83,6,FALSE),"")</f>
        <v/>
      </c>
      <c r="X1364" t="str">
        <f>IFERROR(VLOOKUP('Pre-Summary'!$DB$6:$DD$63,3,FALSE),"")</f>
        <v/>
      </c>
      <c r="Y1364" t="str">
        <f>IFERROR(VLOOKUP(B1364,'Pre-Summary'!$CR$6:$CT$36,3,FALSE),"")</f>
        <v/>
      </c>
      <c r="Z1364" s="45" t="str">
        <f>IFERROR(VLOOKUP(B1364,'Pre-Summary'!$BZ$6:$CB$63,2,FALSE),"")</f>
        <v/>
      </c>
      <c r="AA1364" s="45" t="str">
        <f>IFERROR(VLOOKUP(B1364,'Pre-Summary'!$CG$6:$CI$70,2,FALSE),"")</f>
        <v/>
      </c>
      <c r="AB1364" s="99">
        <f>IFERROR(VLOOKUP(B1364,'Pre-Summary'!$A$6:$P$178,9,FALSE),AB1365)</f>
        <v>0.2853438274932612</v>
      </c>
      <c r="AC1364" s="10">
        <f>IFERROR(VLOOKUP(Summary!B1364,'Pre-Summary'!$A$6:$P$184,5, FALSE)/100,AC1365)</f>
        <v>0.97350766666666677</v>
      </c>
      <c r="AD1364" s="10">
        <f>IFERROR(VLOOKUP(Summary!B1364,'Pre-Summary'!$A$6:$P$184,3, FALSE)/100,AD1365)</f>
        <v>1.5240999999999999E-2</v>
      </c>
      <c r="AE1364" s="10">
        <f>IFERROR(VLOOKUP(Summary!B1364,'Pre-Summary'!$A$6:$P$184,7, FALSE)/100,AE1365)</f>
        <v>1.1251000000000001E-2</v>
      </c>
      <c r="AF1364" s="99">
        <f t="shared" si="64"/>
        <v>4.348925274824794E-3</v>
      </c>
      <c r="AG1364" s="99">
        <f t="shared" si="65"/>
        <v>3.2104034031266819E-3</v>
      </c>
      <c r="AH1364" s="10" t="str">
        <f>IFERROR(VLOOKUP(B1364,'Pre-Summary'!$AZ$6:$BE$65,3,FALSE),"")</f>
        <v/>
      </c>
      <c r="AI1364" s="10" t="str">
        <f>IFERROR(VLOOKUP(B1364,'Pre-Summary'!$AZ$6:$BE$65,5,FALSE),"")</f>
        <v/>
      </c>
      <c r="AJ1364" s="10" t="str">
        <f>IFERROR(VLOOKUP(B1364,'Pre-Summary'!$AZ$6:$BE$65,4,FALSE),"")</f>
        <v/>
      </c>
      <c r="AK1364" s="10" t="str">
        <f>IFERROR(VLOOKUP(B1364,'Pre-Summary'!$AZ$6:$BE$65,6,FALSE),"")</f>
        <v/>
      </c>
      <c r="AL1364" s="10" t="str">
        <f>IFERROR(VLOOKUP(B1364,'Pre-Summary'!$BG$6:$BL$44,3,FALSE),"")</f>
        <v/>
      </c>
      <c r="AM1364" s="10" t="str">
        <f>IFERROR(VLOOKUP(B1364,'Pre-Summary'!$BG$6:$BL$44,4,FALSE),"")</f>
        <v/>
      </c>
    </row>
    <row r="1365" spans="2:39" ht="15" customHeight="1" x14ac:dyDescent="0.3">
      <c r="B1365">
        <v>136.19999999999999</v>
      </c>
      <c r="C1365" t="str">
        <f>IFERROR(VLOOKUP(B1365,'Pre-Summary'!$DI$6:$DM$23,4,FALSE),"")</f>
        <v/>
      </c>
      <c r="D1365" s="10" t="str">
        <f>IFERROR(VLOOKUP(B1365,'Pre-Summary'!$AT$6:$AX$14,5,FALSE),D1364)</f>
        <v xml:space="preserve">Wolfe v1: put in modified wolfe + EDTA </v>
      </c>
      <c r="E1365" s="10" t="str">
        <f>IFERROR(VLOOKUP(B1365,'Pre-Summary'!$AT$6:$AX$15,4,FALSE),"")</f>
        <v/>
      </c>
      <c r="F1365">
        <f>IFERROR(VLOOKUP(B1365,'Pre-Summary'!$AL$6:$AQ$13,6,FALSE),F1364)</f>
        <v>5.3897368421052638E-2</v>
      </c>
      <c r="G1365" t="str">
        <f>IFERROR(VLOOKUP(B1365,'Pre-Summary'!$AE$6:$AJ$85,3,FALSE),"")</f>
        <v/>
      </c>
      <c r="H1365" t="str">
        <f>IFERROR(VLOOKUP(B1365,'Pre-Summary'!$AE$6:$AJ$85,4,FALSE),"")</f>
        <v/>
      </c>
      <c r="I1365" t="str">
        <f>IFERROR(VLOOKUP(B1365,'Pre-Summary'!$AE$6:$AJ$85,5,FALSE),"")</f>
        <v/>
      </c>
      <c r="J1365" s="45" t="str">
        <f>IFERROR(VLOOKUP(B1365,'Pre-Summary'!$AE$6:$AJ$85,6, FALSE),"")</f>
        <v/>
      </c>
      <c r="K1365" s="45" t="str">
        <f>IFERROR(VLOOKUP(B1365,'Pre-Summary'!$DE$6:$DG$61,3,FALSE),"")</f>
        <v/>
      </c>
      <c r="L1365" s="45" t="str">
        <f>IFERROR(VLOOKUP(B1365,'Pre-Summary'!$CU$6:$CW$36,3,FALSE),"")</f>
        <v/>
      </c>
      <c r="M1365" s="45" t="str">
        <f>IFERROR(VLOOKUP(B1365,'Pre-Summary'!$BW$6:$BY$58,2,FALSE),"")</f>
        <v/>
      </c>
      <c r="N1365" s="45" t="str">
        <f>IFERROR(VLOOKUP(B1365,'Pre-Summary'!$CD$6:$CF$64,2,FALSE),"")</f>
        <v/>
      </c>
      <c r="O1365" s="99">
        <f>IFERROR(VLOOKUP(B1365,'Pre-Summary'!$BO$6:$BQ$48,3, FALSE),O1364)</f>
        <v>1.2</v>
      </c>
      <c r="P1365" s="99">
        <f>IFERROR(VLOOKUP(B1365,'Pre-Summary'!$BS$6:$BU$35,3,FALSE),P1364)</f>
        <v>0.3</v>
      </c>
      <c r="Q1365" s="54">
        <f t="shared" si="63"/>
        <v>4</v>
      </c>
      <c r="R1365" s="53">
        <f>IFERROR(VLOOKUP(B1365,'Pre-Summary'!$BG$6:$BM$44,7,FALSE),R1366)</f>
        <v>8.8846389403014939E-2</v>
      </c>
      <c r="S1365" s="53">
        <f>IFERROR(VLOOKUP(B1365,'Pre-Summary'!$BG$6:$BM$44,6,FALSE),S1366)</f>
        <v>8.4804948618154546E-2</v>
      </c>
      <c r="T1365" s="45" t="str">
        <f>IFERROR(VLOOKUP(B1365,'Pre-Summary'!$Y$6:$AC$83, 3,FALSE),"")</f>
        <v/>
      </c>
      <c r="U1365" s="45" t="str">
        <f>IFERROR(VLOOKUP(B1365,'Pre-Summary'!$Y$6:$AC$83, 4,FALSE),"")</f>
        <v/>
      </c>
      <c r="V1365" t="str">
        <f>IFERROR(VLOOKUP(B1365,'Pre-Summary'!$Y$6:$AC$83, 5,FALSE),"")</f>
        <v/>
      </c>
      <c r="W1365" s="45" t="str">
        <f>IFERROR(VLOOKUP(B1365,'Pre-Summary'!$Y$6:$AD$83,6,FALSE),"")</f>
        <v/>
      </c>
      <c r="X1365" t="str">
        <f>IFERROR(VLOOKUP('Pre-Summary'!$DB$6:$DD$63,3,FALSE),"")</f>
        <v/>
      </c>
      <c r="Y1365" t="str">
        <f>IFERROR(VLOOKUP(B1365,'Pre-Summary'!$CR$6:$CT$36,3,FALSE),"")</f>
        <v/>
      </c>
      <c r="Z1365" s="45" t="str">
        <f>IFERROR(VLOOKUP(B1365,'Pre-Summary'!$BZ$6:$CB$63,2,FALSE),"")</f>
        <v/>
      </c>
      <c r="AA1365" s="45" t="str">
        <f>IFERROR(VLOOKUP(B1365,'Pre-Summary'!$CG$6:$CI$70,2,FALSE),"")</f>
        <v/>
      </c>
      <c r="AB1365" s="99">
        <f>IFERROR(VLOOKUP(B1365,'Pre-Summary'!$A$6:$P$178,9,FALSE),AB1366)</f>
        <v>0.2853438274932612</v>
      </c>
      <c r="AC1365" s="10">
        <f>IFERROR(VLOOKUP(Summary!B1365,'Pre-Summary'!$A$6:$P$184,5, FALSE)/100,AC1366)</f>
        <v>0.97350766666666677</v>
      </c>
      <c r="AD1365" s="10">
        <f>IFERROR(VLOOKUP(Summary!B1365,'Pre-Summary'!$A$6:$P$184,3, FALSE)/100,AD1366)</f>
        <v>1.5240999999999999E-2</v>
      </c>
      <c r="AE1365" s="10">
        <f>IFERROR(VLOOKUP(Summary!B1365,'Pre-Summary'!$A$6:$P$184,7, FALSE)/100,AE1366)</f>
        <v>1.1251000000000001E-2</v>
      </c>
      <c r="AF1365" s="99">
        <f t="shared" si="64"/>
        <v>4.348925274824794E-3</v>
      </c>
      <c r="AG1365" s="99">
        <f t="shared" si="65"/>
        <v>3.2104034031266819E-3</v>
      </c>
      <c r="AH1365" s="10" t="str">
        <f>IFERROR(VLOOKUP(B1365,'Pre-Summary'!$AZ$6:$BE$65,3,FALSE),"")</f>
        <v/>
      </c>
      <c r="AI1365" s="10" t="str">
        <f>IFERROR(VLOOKUP(B1365,'Pre-Summary'!$AZ$6:$BE$65,5,FALSE),"")</f>
        <v/>
      </c>
      <c r="AJ1365" s="10" t="str">
        <f>IFERROR(VLOOKUP(B1365,'Pre-Summary'!$AZ$6:$BE$65,4,FALSE),"")</f>
        <v/>
      </c>
      <c r="AK1365" s="10" t="str">
        <f>IFERROR(VLOOKUP(B1365,'Pre-Summary'!$AZ$6:$BE$65,6,FALSE),"")</f>
        <v/>
      </c>
      <c r="AL1365" s="10" t="str">
        <f>IFERROR(VLOOKUP(B1365,'Pre-Summary'!$BG$6:$BL$44,3,FALSE),"")</f>
        <v/>
      </c>
      <c r="AM1365" s="10" t="str">
        <f>IFERROR(VLOOKUP(B1365,'Pre-Summary'!$BG$6:$BL$44,4,FALSE),"")</f>
        <v/>
      </c>
    </row>
    <row r="1366" spans="2:39" ht="15" customHeight="1" x14ac:dyDescent="0.3">
      <c r="B1366">
        <v>136.30000000000001</v>
      </c>
      <c r="C1366" t="str">
        <f>IFERROR(VLOOKUP(B1366,'Pre-Summary'!$DI$6:$DM$23,4,FALSE),"")</f>
        <v/>
      </c>
      <c r="D1366" s="10" t="str">
        <f>IFERROR(VLOOKUP(B1366,'Pre-Summary'!$AT$6:$AX$14,5,FALSE),D1365)</f>
        <v xml:space="preserve">Wolfe v1: put in modified wolfe + EDTA </v>
      </c>
      <c r="E1366" s="10" t="str">
        <f>IFERROR(VLOOKUP(B1366,'Pre-Summary'!$AT$6:$AX$15,4,FALSE),"")</f>
        <v/>
      </c>
      <c r="F1366">
        <f>IFERROR(VLOOKUP(B1366,'Pre-Summary'!$AL$6:$AQ$13,6,FALSE),F1365)</f>
        <v>5.3897368421052638E-2</v>
      </c>
      <c r="G1366" t="str">
        <f>IFERROR(VLOOKUP(B1366,'Pre-Summary'!$AE$6:$AJ$85,3,FALSE),"")</f>
        <v/>
      </c>
      <c r="H1366" t="str">
        <f>IFERROR(VLOOKUP(B1366,'Pre-Summary'!$AE$6:$AJ$85,4,FALSE),"")</f>
        <v/>
      </c>
      <c r="I1366" t="str">
        <f>IFERROR(VLOOKUP(B1366,'Pre-Summary'!$AE$6:$AJ$85,5,FALSE),"")</f>
        <v/>
      </c>
      <c r="J1366" s="45" t="str">
        <f>IFERROR(VLOOKUP(B1366,'Pre-Summary'!$AE$6:$AJ$85,6, FALSE),"")</f>
        <v/>
      </c>
      <c r="K1366" s="45" t="str">
        <f>IFERROR(VLOOKUP(B1366,'Pre-Summary'!$DE$6:$DG$61,3,FALSE),"")</f>
        <v/>
      </c>
      <c r="L1366" s="45" t="str">
        <f>IFERROR(VLOOKUP(B1366,'Pre-Summary'!$CU$6:$CW$36,3,FALSE),"")</f>
        <v/>
      </c>
      <c r="M1366" s="45" t="str">
        <f>IFERROR(VLOOKUP(B1366,'Pre-Summary'!$BW$6:$BY$58,2,FALSE),"")</f>
        <v/>
      </c>
      <c r="N1366" s="45" t="str">
        <f>IFERROR(VLOOKUP(B1366,'Pre-Summary'!$CD$6:$CF$64,2,FALSE),"")</f>
        <v/>
      </c>
      <c r="O1366" s="99">
        <f>IFERROR(VLOOKUP(B1366,'Pre-Summary'!$BO$6:$BQ$48,3, FALSE),O1365)</f>
        <v>1.2</v>
      </c>
      <c r="P1366" s="99">
        <f>IFERROR(VLOOKUP(B1366,'Pre-Summary'!$BS$6:$BU$35,3,FALSE),P1365)</f>
        <v>0.3</v>
      </c>
      <c r="Q1366" s="54">
        <f t="shared" si="63"/>
        <v>4</v>
      </c>
      <c r="R1366" s="53">
        <f>IFERROR(VLOOKUP(B1366,'Pre-Summary'!$BG$6:$BM$44,7,FALSE),R1367)</f>
        <v>8.8846389403014939E-2</v>
      </c>
      <c r="S1366" s="53">
        <f>IFERROR(VLOOKUP(B1366,'Pre-Summary'!$BG$6:$BM$44,6,FALSE),S1367)</f>
        <v>8.4804948618154546E-2</v>
      </c>
      <c r="T1366" s="45" t="str">
        <f>IFERROR(VLOOKUP(B1366,'Pre-Summary'!$Y$6:$AC$83, 3,FALSE),"")</f>
        <v/>
      </c>
      <c r="U1366" s="45" t="str">
        <f>IFERROR(VLOOKUP(B1366,'Pre-Summary'!$Y$6:$AC$83, 4,FALSE),"")</f>
        <v/>
      </c>
      <c r="V1366" t="str">
        <f>IFERROR(VLOOKUP(B1366,'Pre-Summary'!$Y$6:$AC$83, 5,FALSE),"")</f>
        <v/>
      </c>
      <c r="W1366" s="45" t="str">
        <f>IFERROR(VLOOKUP(B1366,'Pre-Summary'!$Y$6:$AD$83,6,FALSE),"")</f>
        <v/>
      </c>
      <c r="X1366" t="str">
        <f>IFERROR(VLOOKUP('Pre-Summary'!$DB$6:$DD$63,3,FALSE),"")</f>
        <v/>
      </c>
      <c r="Y1366" t="str">
        <f>IFERROR(VLOOKUP(B1366,'Pre-Summary'!$CR$6:$CT$36,3,FALSE),"")</f>
        <v/>
      </c>
      <c r="Z1366" s="45" t="str">
        <f>IFERROR(VLOOKUP(B1366,'Pre-Summary'!$BZ$6:$CB$63,2,FALSE),"")</f>
        <v/>
      </c>
      <c r="AA1366" s="45" t="str">
        <f>IFERROR(VLOOKUP(B1366,'Pre-Summary'!$CG$6:$CI$70,2,FALSE),"")</f>
        <v/>
      </c>
      <c r="AB1366" s="99">
        <f>IFERROR(VLOOKUP(B1366,'Pre-Summary'!$A$6:$P$178,9,FALSE),AB1367)</f>
        <v>0.2853438274932612</v>
      </c>
      <c r="AC1366" s="10">
        <f>IFERROR(VLOOKUP(Summary!B1366,'Pre-Summary'!$A$6:$P$184,5, FALSE)/100,AC1367)</f>
        <v>0.97350766666666677</v>
      </c>
      <c r="AD1366" s="10">
        <f>IFERROR(VLOOKUP(Summary!B1366,'Pre-Summary'!$A$6:$P$184,3, FALSE)/100,AD1367)</f>
        <v>1.5240999999999999E-2</v>
      </c>
      <c r="AE1366" s="10">
        <f>IFERROR(VLOOKUP(Summary!B1366,'Pre-Summary'!$A$6:$P$184,7, FALSE)/100,AE1367)</f>
        <v>1.1251000000000001E-2</v>
      </c>
      <c r="AF1366" s="99">
        <f t="shared" si="64"/>
        <v>4.348925274824794E-3</v>
      </c>
      <c r="AG1366" s="99">
        <f t="shared" si="65"/>
        <v>3.2104034031266819E-3</v>
      </c>
      <c r="AH1366" s="10" t="str">
        <f>IFERROR(VLOOKUP(B1366,'Pre-Summary'!$AZ$6:$BE$65,3,FALSE),"")</f>
        <v/>
      </c>
      <c r="AI1366" s="10" t="str">
        <f>IFERROR(VLOOKUP(B1366,'Pre-Summary'!$AZ$6:$BE$65,5,FALSE),"")</f>
        <v/>
      </c>
      <c r="AJ1366" s="10" t="str">
        <f>IFERROR(VLOOKUP(B1366,'Pre-Summary'!$AZ$6:$BE$65,4,FALSE),"")</f>
        <v/>
      </c>
      <c r="AK1366" s="10" t="str">
        <f>IFERROR(VLOOKUP(B1366,'Pre-Summary'!$AZ$6:$BE$65,6,FALSE),"")</f>
        <v/>
      </c>
      <c r="AL1366" s="10" t="str">
        <f>IFERROR(VLOOKUP(B1366,'Pre-Summary'!$BG$6:$BL$44,3,FALSE),"")</f>
        <v/>
      </c>
      <c r="AM1366" s="10" t="str">
        <f>IFERROR(VLOOKUP(B1366,'Pre-Summary'!$BG$6:$BL$44,4,FALSE),"")</f>
        <v/>
      </c>
    </row>
    <row r="1367" spans="2:39" ht="15" customHeight="1" x14ac:dyDescent="0.3">
      <c r="B1367">
        <v>136.4</v>
      </c>
      <c r="C1367" t="str">
        <f>IFERROR(VLOOKUP(B1367,'Pre-Summary'!$DI$6:$DM$23,4,FALSE),"")</f>
        <v/>
      </c>
      <c r="D1367" s="10" t="str">
        <f>IFERROR(VLOOKUP(B1367,'Pre-Summary'!$AT$6:$AX$14,5,FALSE),D1366)</f>
        <v xml:space="preserve">Wolfe v1: put in modified wolfe + EDTA </v>
      </c>
      <c r="E1367" s="10" t="str">
        <f>IFERROR(VLOOKUP(B1367,'Pre-Summary'!$AT$6:$AX$15,4,FALSE),"")</f>
        <v/>
      </c>
      <c r="F1367">
        <f>IFERROR(VLOOKUP(B1367,'Pre-Summary'!$AL$6:$AQ$13,6,FALSE),F1366)</f>
        <v>5.3897368421052638E-2</v>
      </c>
      <c r="G1367" t="str">
        <f>IFERROR(VLOOKUP(B1367,'Pre-Summary'!$AE$6:$AJ$85,3,FALSE),"")</f>
        <v/>
      </c>
      <c r="H1367" t="str">
        <f>IFERROR(VLOOKUP(B1367,'Pre-Summary'!$AE$6:$AJ$85,4,FALSE),"")</f>
        <v/>
      </c>
      <c r="I1367" t="str">
        <f>IFERROR(VLOOKUP(B1367,'Pre-Summary'!$AE$6:$AJ$85,5,FALSE),"")</f>
        <v/>
      </c>
      <c r="J1367" s="45" t="str">
        <f>IFERROR(VLOOKUP(B1367,'Pre-Summary'!$AE$6:$AJ$85,6, FALSE),"")</f>
        <v/>
      </c>
      <c r="K1367" s="45" t="str">
        <f>IFERROR(VLOOKUP(B1367,'Pre-Summary'!$DE$6:$DG$61,3,FALSE),"")</f>
        <v/>
      </c>
      <c r="L1367" s="45" t="str">
        <f>IFERROR(VLOOKUP(B1367,'Pre-Summary'!$CU$6:$CW$36,3,FALSE),"")</f>
        <v/>
      </c>
      <c r="M1367" s="45" t="str">
        <f>IFERROR(VLOOKUP(B1367,'Pre-Summary'!$BW$6:$BY$58,2,FALSE),"")</f>
        <v/>
      </c>
      <c r="N1367" s="45" t="str">
        <f>IFERROR(VLOOKUP(B1367,'Pre-Summary'!$CD$6:$CF$64,2,FALSE),"")</f>
        <v/>
      </c>
      <c r="O1367" s="99">
        <f>IFERROR(VLOOKUP(B1367,'Pre-Summary'!$BO$6:$BQ$48,3, FALSE),O1366)</f>
        <v>1.2</v>
      </c>
      <c r="P1367" s="99">
        <f>IFERROR(VLOOKUP(B1367,'Pre-Summary'!$BS$6:$BU$35,3,FALSE),P1366)</f>
        <v>0.3</v>
      </c>
      <c r="Q1367" s="54">
        <f t="shared" si="63"/>
        <v>4</v>
      </c>
      <c r="R1367" s="53">
        <f>IFERROR(VLOOKUP(B1367,'Pre-Summary'!$BG$6:$BM$44,7,FALSE),R1368)</f>
        <v>8.8846389403014939E-2</v>
      </c>
      <c r="S1367" s="53">
        <f>IFERROR(VLOOKUP(B1367,'Pre-Summary'!$BG$6:$BM$44,6,FALSE),S1368)</f>
        <v>8.4804948618154546E-2</v>
      </c>
      <c r="T1367" s="45" t="str">
        <f>IFERROR(VLOOKUP(B1367,'Pre-Summary'!$Y$6:$AC$83, 3,FALSE),"")</f>
        <v/>
      </c>
      <c r="U1367" s="45" t="str">
        <f>IFERROR(VLOOKUP(B1367,'Pre-Summary'!$Y$6:$AC$83, 4,FALSE),"")</f>
        <v/>
      </c>
      <c r="V1367" t="str">
        <f>IFERROR(VLOOKUP(B1367,'Pre-Summary'!$Y$6:$AC$83, 5,FALSE),"")</f>
        <v/>
      </c>
      <c r="W1367" s="45" t="str">
        <f>IFERROR(VLOOKUP(B1367,'Pre-Summary'!$Y$6:$AD$83,6,FALSE),"")</f>
        <v/>
      </c>
      <c r="X1367" t="str">
        <f>IFERROR(VLOOKUP('Pre-Summary'!$DB$6:$DD$63,3,FALSE),"")</f>
        <v/>
      </c>
      <c r="Y1367" t="str">
        <f>IFERROR(VLOOKUP(B1367,'Pre-Summary'!$CR$6:$CT$36,3,FALSE),"")</f>
        <v/>
      </c>
      <c r="Z1367" s="45" t="str">
        <f>IFERROR(VLOOKUP(B1367,'Pre-Summary'!$BZ$6:$CB$63,2,FALSE),"")</f>
        <v/>
      </c>
      <c r="AA1367" s="45" t="str">
        <f>IFERROR(VLOOKUP(B1367,'Pre-Summary'!$CG$6:$CI$70,2,FALSE),"")</f>
        <v/>
      </c>
      <c r="AB1367" s="99">
        <f>IFERROR(VLOOKUP(B1367,'Pre-Summary'!$A$6:$P$178,9,FALSE),AB1368)</f>
        <v>0.2853438274932612</v>
      </c>
      <c r="AC1367" s="10">
        <f>IFERROR(VLOOKUP(Summary!B1367,'Pre-Summary'!$A$6:$P$184,5, FALSE)/100,AC1368)</f>
        <v>0.97350766666666677</v>
      </c>
      <c r="AD1367" s="10">
        <f>IFERROR(VLOOKUP(Summary!B1367,'Pre-Summary'!$A$6:$P$184,3, FALSE)/100,AD1368)</f>
        <v>1.5240999999999999E-2</v>
      </c>
      <c r="AE1367" s="10">
        <f>IFERROR(VLOOKUP(Summary!B1367,'Pre-Summary'!$A$6:$P$184,7, FALSE)/100,AE1368)</f>
        <v>1.1251000000000001E-2</v>
      </c>
      <c r="AF1367" s="99">
        <f t="shared" si="64"/>
        <v>4.348925274824794E-3</v>
      </c>
      <c r="AG1367" s="99">
        <f t="shared" si="65"/>
        <v>3.2104034031266819E-3</v>
      </c>
      <c r="AH1367" s="10" t="str">
        <f>IFERROR(VLOOKUP(B1367,'Pre-Summary'!$AZ$6:$BE$65,3,FALSE),"")</f>
        <v/>
      </c>
      <c r="AI1367" s="10" t="str">
        <f>IFERROR(VLOOKUP(B1367,'Pre-Summary'!$AZ$6:$BE$65,5,FALSE),"")</f>
        <v/>
      </c>
      <c r="AJ1367" s="10" t="str">
        <f>IFERROR(VLOOKUP(B1367,'Pre-Summary'!$AZ$6:$BE$65,4,FALSE),"")</f>
        <v/>
      </c>
      <c r="AK1367" s="10" t="str">
        <f>IFERROR(VLOOKUP(B1367,'Pre-Summary'!$AZ$6:$BE$65,6,FALSE),"")</f>
        <v/>
      </c>
      <c r="AL1367" s="10" t="str">
        <f>IFERROR(VLOOKUP(B1367,'Pre-Summary'!$BG$6:$BL$44,3,FALSE),"")</f>
        <v/>
      </c>
      <c r="AM1367" s="10" t="str">
        <f>IFERROR(VLOOKUP(B1367,'Pre-Summary'!$BG$6:$BL$44,4,FALSE),"")</f>
        <v/>
      </c>
    </row>
    <row r="1368" spans="2:39" ht="15" customHeight="1" x14ac:dyDescent="0.3">
      <c r="B1368">
        <v>136.5</v>
      </c>
      <c r="C1368" t="str">
        <f>IFERROR(VLOOKUP(B1368,'Pre-Summary'!$DI$6:$DM$23,4,FALSE),"")</f>
        <v/>
      </c>
      <c r="D1368" s="10" t="str">
        <f>IFERROR(VLOOKUP(B1368,'Pre-Summary'!$AT$6:$AX$14,5,FALSE),D1367)</f>
        <v xml:space="preserve">Wolfe v1: put in modified wolfe + EDTA </v>
      </c>
      <c r="E1368" s="10" t="str">
        <f>IFERROR(VLOOKUP(B1368,'Pre-Summary'!$AT$6:$AX$15,4,FALSE),"")</f>
        <v/>
      </c>
      <c r="F1368">
        <f>IFERROR(VLOOKUP(B1368,'Pre-Summary'!$AL$6:$AQ$13,6,FALSE),F1367)</f>
        <v>5.3897368421052638E-2</v>
      </c>
      <c r="G1368" t="str">
        <f>IFERROR(VLOOKUP(B1368,'Pre-Summary'!$AE$6:$AJ$85,3,FALSE),"")</f>
        <v/>
      </c>
      <c r="H1368" t="str">
        <f>IFERROR(VLOOKUP(B1368,'Pre-Summary'!$AE$6:$AJ$85,4,FALSE),"")</f>
        <v/>
      </c>
      <c r="I1368" t="str">
        <f>IFERROR(VLOOKUP(B1368,'Pre-Summary'!$AE$6:$AJ$85,5,FALSE),"")</f>
        <v/>
      </c>
      <c r="J1368" s="45" t="str">
        <f>IFERROR(VLOOKUP(B1368,'Pre-Summary'!$AE$6:$AJ$85,6, FALSE),"")</f>
        <v/>
      </c>
      <c r="K1368" s="45" t="str">
        <f>IFERROR(VLOOKUP(B1368,'Pre-Summary'!$DE$6:$DG$61,3,FALSE),"")</f>
        <v/>
      </c>
      <c r="L1368" s="45" t="str">
        <f>IFERROR(VLOOKUP(B1368,'Pre-Summary'!$CU$6:$CW$36,3,FALSE),"")</f>
        <v/>
      </c>
      <c r="M1368" s="45" t="str">
        <f>IFERROR(VLOOKUP(B1368,'Pre-Summary'!$BW$6:$BY$58,2,FALSE),"")</f>
        <v/>
      </c>
      <c r="N1368" s="45" t="str">
        <f>IFERROR(VLOOKUP(B1368,'Pre-Summary'!$CD$6:$CF$64,2,FALSE),"")</f>
        <v/>
      </c>
      <c r="O1368" s="99">
        <f>IFERROR(VLOOKUP(B1368,'Pre-Summary'!$BO$6:$BQ$48,3, FALSE),O1367)</f>
        <v>1.2</v>
      </c>
      <c r="P1368" s="99">
        <f>IFERROR(VLOOKUP(B1368,'Pre-Summary'!$BS$6:$BU$35,3,FALSE),P1367)</f>
        <v>0.3</v>
      </c>
      <c r="Q1368" s="54">
        <f t="shared" si="63"/>
        <v>4</v>
      </c>
      <c r="R1368" s="53">
        <f>IFERROR(VLOOKUP(B1368,'Pre-Summary'!$BG$6:$BM$44,7,FALSE),R1369)</f>
        <v>8.8846389403014939E-2</v>
      </c>
      <c r="S1368" s="53">
        <f>IFERROR(VLOOKUP(B1368,'Pre-Summary'!$BG$6:$BM$44,6,FALSE),S1369)</f>
        <v>8.4804948618154546E-2</v>
      </c>
      <c r="T1368" s="45" t="str">
        <f>IFERROR(VLOOKUP(B1368,'Pre-Summary'!$Y$6:$AC$83, 3,FALSE),"")</f>
        <v/>
      </c>
      <c r="U1368" s="45" t="str">
        <f>IFERROR(VLOOKUP(B1368,'Pre-Summary'!$Y$6:$AC$83, 4,FALSE),"")</f>
        <v/>
      </c>
      <c r="V1368" t="str">
        <f>IFERROR(VLOOKUP(B1368,'Pre-Summary'!$Y$6:$AC$83, 5,FALSE),"")</f>
        <v/>
      </c>
      <c r="W1368" s="45" t="str">
        <f>IFERROR(VLOOKUP(B1368,'Pre-Summary'!$Y$6:$AD$83,6,FALSE),"")</f>
        <v/>
      </c>
      <c r="X1368" t="str">
        <f>IFERROR(VLOOKUP('Pre-Summary'!$DB$6:$DD$63,3,FALSE),"")</f>
        <v/>
      </c>
      <c r="Y1368" t="str">
        <f>IFERROR(VLOOKUP(B1368,'Pre-Summary'!$CR$6:$CT$36,3,FALSE),"")</f>
        <v/>
      </c>
      <c r="Z1368" s="45" t="str">
        <f>IFERROR(VLOOKUP(B1368,'Pre-Summary'!$BZ$6:$CB$63,2,FALSE),"")</f>
        <v/>
      </c>
      <c r="AA1368" s="45" t="str">
        <f>IFERROR(VLOOKUP(B1368,'Pre-Summary'!$CG$6:$CI$70,2,FALSE),"")</f>
        <v/>
      </c>
      <c r="AB1368" s="99">
        <f>IFERROR(VLOOKUP(B1368,'Pre-Summary'!$A$6:$P$178,9,FALSE),AB1369)</f>
        <v>0.2853438274932612</v>
      </c>
      <c r="AC1368" s="10">
        <f>IFERROR(VLOOKUP(Summary!B1368,'Pre-Summary'!$A$6:$P$184,5, FALSE)/100,AC1369)</f>
        <v>0.97350766666666677</v>
      </c>
      <c r="AD1368" s="10">
        <f>IFERROR(VLOOKUP(Summary!B1368,'Pre-Summary'!$A$6:$P$184,3, FALSE)/100,AD1369)</f>
        <v>1.5240999999999999E-2</v>
      </c>
      <c r="AE1368" s="10">
        <f>IFERROR(VLOOKUP(Summary!B1368,'Pre-Summary'!$A$6:$P$184,7, FALSE)/100,AE1369)</f>
        <v>1.1251000000000001E-2</v>
      </c>
      <c r="AF1368" s="99">
        <f t="shared" si="64"/>
        <v>4.348925274824794E-3</v>
      </c>
      <c r="AG1368" s="99">
        <f t="shared" si="65"/>
        <v>3.2104034031266819E-3</v>
      </c>
      <c r="AH1368" s="10" t="str">
        <f>IFERROR(VLOOKUP(B1368,'Pre-Summary'!$AZ$6:$BE$65,3,FALSE),"")</f>
        <v/>
      </c>
      <c r="AI1368" s="10" t="str">
        <f>IFERROR(VLOOKUP(B1368,'Pre-Summary'!$AZ$6:$BE$65,5,FALSE),"")</f>
        <v/>
      </c>
      <c r="AJ1368" s="10" t="str">
        <f>IFERROR(VLOOKUP(B1368,'Pre-Summary'!$AZ$6:$BE$65,4,FALSE),"")</f>
        <v/>
      </c>
      <c r="AK1368" s="10" t="str">
        <f>IFERROR(VLOOKUP(B1368,'Pre-Summary'!$AZ$6:$BE$65,6,FALSE),"")</f>
        <v/>
      </c>
      <c r="AL1368" s="10" t="str">
        <f>IFERROR(VLOOKUP(B1368,'Pre-Summary'!$BG$6:$BL$44,3,FALSE),"")</f>
        <v/>
      </c>
      <c r="AM1368" s="10" t="str">
        <f>IFERROR(VLOOKUP(B1368,'Pre-Summary'!$BG$6:$BL$44,4,FALSE),"")</f>
        <v/>
      </c>
    </row>
    <row r="1369" spans="2:39" ht="15" customHeight="1" x14ac:dyDescent="0.3">
      <c r="B1369">
        <v>136.6</v>
      </c>
      <c r="C1369" t="str">
        <f>IFERROR(VLOOKUP(B1369,'Pre-Summary'!$DI$6:$DM$23,4,FALSE),"")</f>
        <v/>
      </c>
      <c r="D1369" s="10" t="str">
        <f>IFERROR(VLOOKUP(B1369,'Pre-Summary'!$AT$6:$AX$14,5,FALSE),D1368)</f>
        <v xml:space="preserve">Wolfe v1: put in modified wolfe + EDTA </v>
      </c>
      <c r="E1369" s="10" t="str">
        <f>IFERROR(VLOOKUP(B1369,'Pre-Summary'!$AT$6:$AX$15,4,FALSE),"")</f>
        <v/>
      </c>
      <c r="F1369">
        <f>IFERROR(VLOOKUP(B1369,'Pre-Summary'!$AL$6:$AQ$13,6,FALSE),F1368)</f>
        <v>5.3897368421052638E-2</v>
      </c>
      <c r="G1369" t="str">
        <f>IFERROR(VLOOKUP(B1369,'Pre-Summary'!$AE$6:$AJ$85,3,FALSE),"")</f>
        <v/>
      </c>
      <c r="H1369" t="str">
        <f>IFERROR(VLOOKUP(B1369,'Pre-Summary'!$AE$6:$AJ$85,4,FALSE),"")</f>
        <v/>
      </c>
      <c r="I1369" t="str">
        <f>IFERROR(VLOOKUP(B1369,'Pre-Summary'!$AE$6:$AJ$85,5,FALSE),"")</f>
        <v/>
      </c>
      <c r="J1369" s="45" t="str">
        <f>IFERROR(VLOOKUP(B1369,'Pre-Summary'!$AE$6:$AJ$85,6, FALSE),"")</f>
        <v/>
      </c>
      <c r="K1369" s="45" t="str">
        <f>IFERROR(VLOOKUP(B1369,'Pre-Summary'!$DE$6:$DG$61,3,FALSE),"")</f>
        <v/>
      </c>
      <c r="L1369" s="45" t="str">
        <f>IFERROR(VLOOKUP(B1369,'Pre-Summary'!$CU$6:$CW$36,3,FALSE),"")</f>
        <v/>
      </c>
      <c r="M1369" s="45" t="str">
        <f>IFERROR(VLOOKUP(B1369,'Pre-Summary'!$BW$6:$BY$58,2,FALSE),"")</f>
        <v/>
      </c>
      <c r="N1369" s="45" t="str">
        <f>IFERROR(VLOOKUP(B1369,'Pre-Summary'!$CD$6:$CF$64,2,FALSE),"")</f>
        <v/>
      </c>
      <c r="O1369" s="99">
        <f>IFERROR(VLOOKUP(B1369,'Pre-Summary'!$BO$6:$BQ$48,3, FALSE),O1368)</f>
        <v>1.2</v>
      </c>
      <c r="P1369" s="99">
        <f>IFERROR(VLOOKUP(B1369,'Pre-Summary'!$BS$6:$BU$35,3,FALSE),P1368)</f>
        <v>0.3</v>
      </c>
      <c r="Q1369" s="54">
        <f t="shared" si="63"/>
        <v>4</v>
      </c>
      <c r="R1369" s="53">
        <f>IFERROR(VLOOKUP(B1369,'Pre-Summary'!$BG$6:$BM$44,7,FALSE),R1370)</f>
        <v>8.8846389403014939E-2</v>
      </c>
      <c r="S1369" s="53">
        <f>IFERROR(VLOOKUP(B1369,'Pre-Summary'!$BG$6:$BM$44,6,FALSE),S1370)</f>
        <v>8.4804948618154546E-2</v>
      </c>
      <c r="T1369" s="45" t="str">
        <f>IFERROR(VLOOKUP(B1369,'Pre-Summary'!$Y$6:$AC$83, 3,FALSE),"")</f>
        <v/>
      </c>
      <c r="U1369" s="45" t="str">
        <f>IFERROR(VLOOKUP(B1369,'Pre-Summary'!$Y$6:$AC$83, 4,FALSE),"")</f>
        <v/>
      </c>
      <c r="V1369" t="str">
        <f>IFERROR(VLOOKUP(B1369,'Pre-Summary'!$Y$6:$AC$83, 5,FALSE),"")</f>
        <v/>
      </c>
      <c r="W1369" s="45" t="str">
        <f>IFERROR(VLOOKUP(B1369,'Pre-Summary'!$Y$6:$AD$83,6,FALSE),"")</f>
        <v/>
      </c>
      <c r="X1369" t="str">
        <f>IFERROR(VLOOKUP('Pre-Summary'!$DB$6:$DD$63,3,FALSE),"")</f>
        <v/>
      </c>
      <c r="Y1369" t="str">
        <f>IFERROR(VLOOKUP(B1369,'Pre-Summary'!$CR$6:$CT$36,3,FALSE),"")</f>
        <v/>
      </c>
      <c r="Z1369" s="45" t="str">
        <f>IFERROR(VLOOKUP(B1369,'Pre-Summary'!$BZ$6:$CB$63,2,FALSE),"")</f>
        <v/>
      </c>
      <c r="AA1369" s="45" t="str">
        <f>IFERROR(VLOOKUP(B1369,'Pre-Summary'!$CG$6:$CI$70,2,FALSE),"")</f>
        <v/>
      </c>
      <c r="AB1369" s="99">
        <f>IFERROR(VLOOKUP(B1369,'Pre-Summary'!$A$6:$P$178,9,FALSE),AB1370)</f>
        <v>0.2853438274932612</v>
      </c>
      <c r="AC1369" s="10">
        <f>IFERROR(VLOOKUP(Summary!B1369,'Pre-Summary'!$A$6:$P$184,5, FALSE)/100,AC1370)</f>
        <v>0.97350766666666677</v>
      </c>
      <c r="AD1369" s="10">
        <f>IFERROR(VLOOKUP(Summary!B1369,'Pre-Summary'!$A$6:$P$184,3, FALSE)/100,AD1370)</f>
        <v>1.5240999999999999E-2</v>
      </c>
      <c r="AE1369" s="10">
        <f>IFERROR(VLOOKUP(Summary!B1369,'Pre-Summary'!$A$6:$P$184,7, FALSE)/100,AE1370)</f>
        <v>1.1251000000000001E-2</v>
      </c>
      <c r="AF1369" s="99">
        <f t="shared" si="64"/>
        <v>4.348925274824794E-3</v>
      </c>
      <c r="AG1369" s="99">
        <f t="shared" si="65"/>
        <v>3.2104034031266819E-3</v>
      </c>
      <c r="AH1369" s="10" t="str">
        <f>IFERROR(VLOOKUP(B1369,'Pre-Summary'!$AZ$6:$BE$65,3,FALSE),"")</f>
        <v/>
      </c>
      <c r="AI1369" s="10" t="str">
        <f>IFERROR(VLOOKUP(B1369,'Pre-Summary'!$AZ$6:$BE$65,5,FALSE),"")</f>
        <v/>
      </c>
      <c r="AJ1369" s="10" t="str">
        <f>IFERROR(VLOOKUP(B1369,'Pre-Summary'!$AZ$6:$BE$65,4,FALSE),"")</f>
        <v/>
      </c>
      <c r="AK1369" s="10" t="str">
        <f>IFERROR(VLOOKUP(B1369,'Pre-Summary'!$AZ$6:$BE$65,6,FALSE),"")</f>
        <v/>
      </c>
      <c r="AL1369" s="10" t="str">
        <f>IFERROR(VLOOKUP(B1369,'Pre-Summary'!$BG$6:$BL$44,3,FALSE),"")</f>
        <v/>
      </c>
      <c r="AM1369" s="10" t="str">
        <f>IFERROR(VLOOKUP(B1369,'Pre-Summary'!$BG$6:$BL$44,4,FALSE),"")</f>
        <v/>
      </c>
    </row>
    <row r="1370" spans="2:39" ht="15" customHeight="1" x14ac:dyDescent="0.3">
      <c r="B1370">
        <v>136.69999999999999</v>
      </c>
      <c r="C1370" t="str">
        <f>IFERROR(VLOOKUP(B1370,'Pre-Summary'!$DI$6:$DM$23,4,FALSE),"")</f>
        <v/>
      </c>
      <c r="D1370" s="10" t="str">
        <f>IFERROR(VLOOKUP(B1370,'Pre-Summary'!$AT$6:$AX$14,5,FALSE),D1369)</f>
        <v xml:space="preserve">Wolfe v1: put in modified wolfe + EDTA </v>
      </c>
      <c r="E1370" s="10" t="str">
        <f>IFERROR(VLOOKUP(B1370,'Pre-Summary'!$AT$6:$AX$15,4,FALSE),"")</f>
        <v/>
      </c>
      <c r="F1370">
        <f>IFERROR(VLOOKUP(B1370,'Pre-Summary'!$AL$6:$AQ$13,6,FALSE),F1369)</f>
        <v>5.3897368421052638E-2</v>
      </c>
      <c r="G1370" t="str">
        <f>IFERROR(VLOOKUP(B1370,'Pre-Summary'!$AE$6:$AJ$85,3,FALSE),"")</f>
        <v/>
      </c>
      <c r="H1370" t="str">
        <f>IFERROR(VLOOKUP(B1370,'Pre-Summary'!$AE$6:$AJ$85,4,FALSE),"")</f>
        <v/>
      </c>
      <c r="I1370" t="str">
        <f>IFERROR(VLOOKUP(B1370,'Pre-Summary'!$AE$6:$AJ$85,5,FALSE),"")</f>
        <v/>
      </c>
      <c r="J1370" s="45" t="str">
        <f>IFERROR(VLOOKUP(B1370,'Pre-Summary'!$AE$6:$AJ$85,6, FALSE),"")</f>
        <v/>
      </c>
      <c r="K1370" s="45" t="str">
        <f>IFERROR(VLOOKUP(B1370,'Pre-Summary'!$DE$6:$DG$61,3,FALSE),"")</f>
        <v/>
      </c>
      <c r="L1370" s="45" t="str">
        <f>IFERROR(VLOOKUP(B1370,'Pre-Summary'!$CU$6:$CW$36,3,FALSE),"")</f>
        <v/>
      </c>
      <c r="M1370" s="45" t="str">
        <f>IFERROR(VLOOKUP(B1370,'Pre-Summary'!$BW$6:$BY$58,2,FALSE),"")</f>
        <v/>
      </c>
      <c r="N1370" s="45" t="str">
        <f>IFERROR(VLOOKUP(B1370,'Pre-Summary'!$CD$6:$CF$64,2,FALSE),"")</f>
        <v/>
      </c>
      <c r="O1370" s="99">
        <f>IFERROR(VLOOKUP(B1370,'Pre-Summary'!$BO$6:$BQ$48,3, FALSE),O1369)</f>
        <v>1.2</v>
      </c>
      <c r="P1370" s="99">
        <f>IFERROR(VLOOKUP(B1370,'Pre-Summary'!$BS$6:$BU$35,3,FALSE),P1369)</f>
        <v>0.3</v>
      </c>
      <c r="Q1370" s="54">
        <f t="shared" si="63"/>
        <v>4</v>
      </c>
      <c r="R1370" s="53">
        <f>IFERROR(VLOOKUP(B1370,'Pre-Summary'!$BG$6:$BM$44,7,FALSE),R1371)</f>
        <v>8.8846389403014939E-2</v>
      </c>
      <c r="S1370" s="53">
        <f>IFERROR(VLOOKUP(B1370,'Pre-Summary'!$BG$6:$BM$44,6,FALSE),S1371)</f>
        <v>8.4804948618154546E-2</v>
      </c>
      <c r="T1370" s="45" t="str">
        <f>IFERROR(VLOOKUP(B1370,'Pre-Summary'!$Y$6:$AC$83, 3,FALSE),"")</f>
        <v/>
      </c>
      <c r="U1370" s="45" t="str">
        <f>IFERROR(VLOOKUP(B1370,'Pre-Summary'!$Y$6:$AC$83, 4,FALSE),"")</f>
        <v/>
      </c>
      <c r="V1370" t="str">
        <f>IFERROR(VLOOKUP(B1370,'Pre-Summary'!$Y$6:$AC$83, 5,FALSE),"")</f>
        <v/>
      </c>
      <c r="W1370" s="45" t="str">
        <f>IFERROR(VLOOKUP(B1370,'Pre-Summary'!$Y$6:$AD$83,6,FALSE),"")</f>
        <v/>
      </c>
      <c r="X1370" t="str">
        <f>IFERROR(VLOOKUP('Pre-Summary'!$DB$6:$DD$63,3,FALSE),"")</f>
        <v/>
      </c>
      <c r="Y1370" t="str">
        <f>IFERROR(VLOOKUP(B1370,'Pre-Summary'!$CR$6:$CT$36,3,FALSE),"")</f>
        <v/>
      </c>
      <c r="Z1370" s="45" t="str">
        <f>IFERROR(VLOOKUP(B1370,'Pre-Summary'!$BZ$6:$CB$63,2,FALSE),"")</f>
        <v/>
      </c>
      <c r="AA1370" s="45" t="str">
        <f>IFERROR(VLOOKUP(B1370,'Pre-Summary'!$CG$6:$CI$70,2,FALSE),"")</f>
        <v/>
      </c>
      <c r="AB1370" s="99">
        <f>IFERROR(VLOOKUP(B1370,'Pre-Summary'!$A$6:$P$178,9,FALSE),AB1371)</f>
        <v>0.2853438274932612</v>
      </c>
      <c r="AC1370" s="10">
        <f>IFERROR(VLOOKUP(Summary!B1370,'Pre-Summary'!$A$6:$P$184,5, FALSE)/100,AC1371)</f>
        <v>0.97350766666666677</v>
      </c>
      <c r="AD1370" s="10">
        <f>IFERROR(VLOOKUP(Summary!B1370,'Pre-Summary'!$A$6:$P$184,3, FALSE)/100,AD1371)</f>
        <v>1.5240999999999999E-2</v>
      </c>
      <c r="AE1370" s="10">
        <f>IFERROR(VLOOKUP(Summary!B1370,'Pre-Summary'!$A$6:$P$184,7, FALSE)/100,AE1371)</f>
        <v>1.1251000000000001E-2</v>
      </c>
      <c r="AF1370" s="99">
        <f t="shared" si="64"/>
        <v>4.348925274824794E-3</v>
      </c>
      <c r="AG1370" s="99">
        <f t="shared" si="65"/>
        <v>3.2104034031266819E-3</v>
      </c>
      <c r="AH1370" s="10" t="str">
        <f>IFERROR(VLOOKUP(B1370,'Pre-Summary'!$AZ$6:$BE$65,3,FALSE),"")</f>
        <v/>
      </c>
      <c r="AI1370" s="10" t="str">
        <f>IFERROR(VLOOKUP(B1370,'Pre-Summary'!$AZ$6:$BE$65,5,FALSE),"")</f>
        <v/>
      </c>
      <c r="AJ1370" s="10" t="str">
        <f>IFERROR(VLOOKUP(B1370,'Pre-Summary'!$AZ$6:$BE$65,4,FALSE),"")</f>
        <v/>
      </c>
      <c r="AK1370" s="10" t="str">
        <f>IFERROR(VLOOKUP(B1370,'Pre-Summary'!$AZ$6:$BE$65,6,FALSE),"")</f>
        <v/>
      </c>
      <c r="AL1370" s="10" t="str">
        <f>IFERROR(VLOOKUP(B1370,'Pre-Summary'!$BG$6:$BL$44,3,FALSE),"")</f>
        <v/>
      </c>
      <c r="AM1370" s="10" t="str">
        <f>IFERROR(VLOOKUP(B1370,'Pre-Summary'!$BG$6:$BL$44,4,FALSE),"")</f>
        <v/>
      </c>
    </row>
    <row r="1371" spans="2:39" ht="15" customHeight="1" x14ac:dyDescent="0.3">
      <c r="B1371">
        <v>136.80000000000001</v>
      </c>
      <c r="C1371" t="str">
        <f>IFERROR(VLOOKUP(B1371,'Pre-Summary'!$DI$6:$DM$23,4,FALSE),"")</f>
        <v/>
      </c>
      <c r="D1371" s="10" t="str">
        <f>IFERROR(VLOOKUP(B1371,'Pre-Summary'!$AT$6:$AX$14,5,FALSE),D1370)</f>
        <v xml:space="preserve">Wolfe v1: put in modified wolfe + EDTA </v>
      </c>
      <c r="E1371" s="10" t="str">
        <f>IFERROR(VLOOKUP(B1371,'Pre-Summary'!$AT$6:$AX$15,4,FALSE),"")</f>
        <v/>
      </c>
      <c r="F1371">
        <f>IFERROR(VLOOKUP(B1371,'Pre-Summary'!$AL$6:$AQ$13,6,FALSE),F1370)</f>
        <v>5.3897368421052638E-2</v>
      </c>
      <c r="G1371" t="str">
        <f>IFERROR(VLOOKUP(B1371,'Pre-Summary'!$AE$6:$AJ$85,3,FALSE),"")</f>
        <v/>
      </c>
      <c r="H1371" t="str">
        <f>IFERROR(VLOOKUP(B1371,'Pre-Summary'!$AE$6:$AJ$85,4,FALSE),"")</f>
        <v/>
      </c>
      <c r="I1371" t="str">
        <f>IFERROR(VLOOKUP(B1371,'Pre-Summary'!$AE$6:$AJ$85,5,FALSE),"")</f>
        <v/>
      </c>
      <c r="J1371" s="45" t="str">
        <f>IFERROR(VLOOKUP(B1371,'Pre-Summary'!$AE$6:$AJ$85,6, FALSE),"")</f>
        <v/>
      </c>
      <c r="K1371" s="45" t="str">
        <f>IFERROR(VLOOKUP(B1371,'Pre-Summary'!$DE$6:$DG$61,3,FALSE),"")</f>
        <v/>
      </c>
      <c r="L1371" s="45" t="str">
        <f>IFERROR(VLOOKUP(B1371,'Pre-Summary'!$CU$6:$CW$36,3,FALSE),"")</f>
        <v/>
      </c>
      <c r="M1371" s="45" t="str">
        <f>IFERROR(VLOOKUP(B1371,'Pre-Summary'!$BW$6:$BY$58,2,FALSE),"")</f>
        <v/>
      </c>
      <c r="N1371" s="45" t="str">
        <f>IFERROR(VLOOKUP(B1371,'Pre-Summary'!$CD$6:$CF$64,2,FALSE),"")</f>
        <v/>
      </c>
      <c r="O1371" s="99">
        <f>IFERROR(VLOOKUP(B1371,'Pre-Summary'!$BO$6:$BQ$48,3, FALSE),O1370)</f>
        <v>1.2</v>
      </c>
      <c r="P1371" s="99">
        <f>IFERROR(VLOOKUP(B1371,'Pre-Summary'!$BS$6:$BU$35,3,FALSE),P1370)</f>
        <v>0.3</v>
      </c>
      <c r="Q1371" s="54">
        <f t="shared" si="63"/>
        <v>4</v>
      </c>
      <c r="R1371" s="53">
        <f>IFERROR(VLOOKUP(B1371,'Pre-Summary'!$BG$6:$BM$44,7,FALSE),R1372)</f>
        <v>8.8846389403014939E-2</v>
      </c>
      <c r="S1371" s="53">
        <f>IFERROR(VLOOKUP(B1371,'Pre-Summary'!$BG$6:$BM$44,6,FALSE),S1372)</f>
        <v>8.4804948618154546E-2</v>
      </c>
      <c r="T1371" s="45" t="str">
        <f>IFERROR(VLOOKUP(B1371,'Pre-Summary'!$Y$6:$AC$83, 3,FALSE),"")</f>
        <v/>
      </c>
      <c r="U1371" s="45" t="str">
        <f>IFERROR(VLOOKUP(B1371,'Pre-Summary'!$Y$6:$AC$83, 4,FALSE),"")</f>
        <v/>
      </c>
      <c r="V1371" t="str">
        <f>IFERROR(VLOOKUP(B1371,'Pre-Summary'!$Y$6:$AC$83, 5,FALSE),"")</f>
        <v/>
      </c>
      <c r="W1371" s="45" t="str">
        <f>IFERROR(VLOOKUP(B1371,'Pre-Summary'!$Y$6:$AD$83,6,FALSE),"")</f>
        <v/>
      </c>
      <c r="X1371" t="str">
        <f>IFERROR(VLOOKUP('Pre-Summary'!$DB$6:$DD$63,3,FALSE),"")</f>
        <v/>
      </c>
      <c r="Y1371" t="str">
        <f>IFERROR(VLOOKUP(B1371,'Pre-Summary'!$CR$6:$CT$36,3,FALSE),"")</f>
        <v/>
      </c>
      <c r="Z1371" s="45" t="str">
        <f>IFERROR(VLOOKUP(B1371,'Pre-Summary'!$BZ$6:$CB$63,2,FALSE),"")</f>
        <v/>
      </c>
      <c r="AA1371" s="45" t="str">
        <f>IFERROR(VLOOKUP(B1371,'Pre-Summary'!$CG$6:$CI$70,2,FALSE),"")</f>
        <v/>
      </c>
      <c r="AB1371" s="99">
        <f>IFERROR(VLOOKUP(B1371,'Pre-Summary'!$A$6:$P$178,9,FALSE),AB1372)</f>
        <v>0.2853438274932612</v>
      </c>
      <c r="AC1371" s="10">
        <f>IFERROR(VLOOKUP(Summary!B1371,'Pre-Summary'!$A$6:$P$184,5, FALSE)/100,AC1372)</f>
        <v>0.97350766666666677</v>
      </c>
      <c r="AD1371" s="10">
        <f>IFERROR(VLOOKUP(Summary!B1371,'Pre-Summary'!$A$6:$P$184,3, FALSE)/100,AD1372)</f>
        <v>1.5240999999999999E-2</v>
      </c>
      <c r="AE1371" s="10">
        <f>IFERROR(VLOOKUP(Summary!B1371,'Pre-Summary'!$A$6:$P$184,7, FALSE)/100,AE1372)</f>
        <v>1.1251000000000001E-2</v>
      </c>
      <c r="AF1371" s="99">
        <f t="shared" si="64"/>
        <v>4.348925274824794E-3</v>
      </c>
      <c r="AG1371" s="99">
        <f t="shared" si="65"/>
        <v>3.2104034031266819E-3</v>
      </c>
      <c r="AH1371" s="10" t="str">
        <f>IFERROR(VLOOKUP(B1371,'Pre-Summary'!$AZ$6:$BE$65,3,FALSE),"")</f>
        <v/>
      </c>
      <c r="AI1371" s="10" t="str">
        <f>IFERROR(VLOOKUP(B1371,'Pre-Summary'!$AZ$6:$BE$65,5,FALSE),"")</f>
        <v/>
      </c>
      <c r="AJ1371" s="10" t="str">
        <f>IFERROR(VLOOKUP(B1371,'Pre-Summary'!$AZ$6:$BE$65,4,FALSE),"")</f>
        <v/>
      </c>
      <c r="AK1371" s="10" t="str">
        <f>IFERROR(VLOOKUP(B1371,'Pre-Summary'!$AZ$6:$BE$65,6,FALSE),"")</f>
        <v/>
      </c>
      <c r="AL1371" s="10" t="str">
        <f>IFERROR(VLOOKUP(B1371,'Pre-Summary'!$BG$6:$BL$44,3,FALSE),"")</f>
        <v/>
      </c>
      <c r="AM1371" s="10" t="str">
        <f>IFERROR(VLOOKUP(B1371,'Pre-Summary'!$BG$6:$BL$44,4,FALSE),"")</f>
        <v/>
      </c>
    </row>
    <row r="1372" spans="2:39" ht="15" customHeight="1" x14ac:dyDescent="0.3">
      <c r="B1372">
        <v>136.9</v>
      </c>
      <c r="C1372" t="str">
        <f>IFERROR(VLOOKUP(B1372,'Pre-Summary'!$DI$6:$DM$23,4,FALSE),"")</f>
        <v/>
      </c>
      <c r="D1372" s="10" t="str">
        <f>IFERROR(VLOOKUP(B1372,'Pre-Summary'!$AT$6:$AX$14,5,FALSE),D1371)</f>
        <v xml:space="preserve">Wolfe v1: put in modified wolfe + EDTA </v>
      </c>
      <c r="E1372" s="10" t="str">
        <f>IFERROR(VLOOKUP(B1372,'Pre-Summary'!$AT$6:$AX$15,4,FALSE),"")</f>
        <v/>
      </c>
      <c r="F1372">
        <f>IFERROR(VLOOKUP(B1372,'Pre-Summary'!$AL$6:$AQ$13,6,FALSE),F1371)</f>
        <v>5.3897368421052638E-2</v>
      </c>
      <c r="G1372" t="str">
        <f>IFERROR(VLOOKUP(B1372,'Pre-Summary'!$AE$6:$AJ$85,3,FALSE),"")</f>
        <v/>
      </c>
      <c r="H1372" t="str">
        <f>IFERROR(VLOOKUP(B1372,'Pre-Summary'!$AE$6:$AJ$85,4,FALSE),"")</f>
        <v/>
      </c>
      <c r="I1372" t="str">
        <f>IFERROR(VLOOKUP(B1372,'Pre-Summary'!$AE$6:$AJ$85,5,FALSE),"")</f>
        <v/>
      </c>
      <c r="J1372" s="45" t="str">
        <f>IFERROR(VLOOKUP(B1372,'Pre-Summary'!$AE$6:$AJ$85,6, FALSE),"")</f>
        <v/>
      </c>
      <c r="K1372" s="45" t="str">
        <f>IFERROR(VLOOKUP(B1372,'Pre-Summary'!$DE$6:$DG$61,3,FALSE),"")</f>
        <v/>
      </c>
      <c r="L1372" s="45" t="str">
        <f>IFERROR(VLOOKUP(B1372,'Pre-Summary'!$CU$6:$CW$36,3,FALSE),"")</f>
        <v/>
      </c>
      <c r="M1372" s="45" t="str">
        <f>IFERROR(VLOOKUP(B1372,'Pre-Summary'!$BW$6:$BY$58,2,FALSE),"")</f>
        <v/>
      </c>
      <c r="N1372" s="45" t="str">
        <f>IFERROR(VLOOKUP(B1372,'Pre-Summary'!$CD$6:$CF$64,2,FALSE),"")</f>
        <v/>
      </c>
      <c r="O1372" s="99">
        <f>IFERROR(VLOOKUP(B1372,'Pre-Summary'!$BO$6:$BQ$48,3, FALSE),O1371)</f>
        <v>1.2</v>
      </c>
      <c r="P1372" s="99">
        <f>IFERROR(VLOOKUP(B1372,'Pre-Summary'!$BS$6:$BU$35,3,FALSE),P1371)</f>
        <v>0.3</v>
      </c>
      <c r="Q1372" s="54">
        <f t="shared" si="63"/>
        <v>4</v>
      </c>
      <c r="R1372" s="53">
        <f>IFERROR(VLOOKUP(B1372,'Pre-Summary'!$BG$6:$BM$44,7,FALSE),R1373)</f>
        <v>8.8846389403014939E-2</v>
      </c>
      <c r="S1372" s="53">
        <f>IFERROR(VLOOKUP(B1372,'Pre-Summary'!$BG$6:$BM$44,6,FALSE),S1373)</f>
        <v>8.4804948618154546E-2</v>
      </c>
      <c r="T1372" s="45" t="str">
        <f>IFERROR(VLOOKUP(B1372,'Pre-Summary'!$Y$6:$AC$83, 3,FALSE),"")</f>
        <v/>
      </c>
      <c r="U1372" s="45" t="str">
        <f>IFERROR(VLOOKUP(B1372,'Pre-Summary'!$Y$6:$AC$83, 4,FALSE),"")</f>
        <v/>
      </c>
      <c r="V1372" t="str">
        <f>IFERROR(VLOOKUP(B1372,'Pre-Summary'!$Y$6:$AC$83, 5,FALSE),"")</f>
        <v/>
      </c>
      <c r="W1372" s="45" t="str">
        <f>IFERROR(VLOOKUP(B1372,'Pre-Summary'!$Y$6:$AD$83,6,FALSE),"")</f>
        <v/>
      </c>
      <c r="X1372" t="str">
        <f>IFERROR(VLOOKUP('Pre-Summary'!$DB$6:$DD$63,3,FALSE),"")</f>
        <v/>
      </c>
      <c r="Y1372" t="str">
        <f>IFERROR(VLOOKUP(B1372,'Pre-Summary'!$CR$6:$CT$36,3,FALSE),"")</f>
        <v/>
      </c>
      <c r="Z1372" s="45" t="str">
        <f>IFERROR(VLOOKUP(B1372,'Pre-Summary'!$BZ$6:$CB$63,2,FALSE),"")</f>
        <v/>
      </c>
      <c r="AA1372" s="45" t="str">
        <f>IFERROR(VLOOKUP(B1372,'Pre-Summary'!$CG$6:$CI$70,2,FALSE),"")</f>
        <v/>
      </c>
      <c r="AB1372" s="99">
        <f>IFERROR(VLOOKUP(B1372,'Pre-Summary'!$A$6:$P$178,9,FALSE),AB1373)</f>
        <v>0.2853438274932612</v>
      </c>
      <c r="AC1372" s="10">
        <f>IFERROR(VLOOKUP(Summary!B1372,'Pre-Summary'!$A$6:$P$184,5, FALSE)/100,AC1373)</f>
        <v>0.97350766666666677</v>
      </c>
      <c r="AD1372" s="10">
        <f>IFERROR(VLOOKUP(Summary!B1372,'Pre-Summary'!$A$6:$P$184,3, FALSE)/100,AD1373)</f>
        <v>1.5240999999999999E-2</v>
      </c>
      <c r="AE1372" s="10">
        <f>IFERROR(VLOOKUP(Summary!B1372,'Pre-Summary'!$A$6:$P$184,7, FALSE)/100,AE1373)</f>
        <v>1.1251000000000001E-2</v>
      </c>
      <c r="AF1372" s="99">
        <f t="shared" si="64"/>
        <v>4.348925274824794E-3</v>
      </c>
      <c r="AG1372" s="99">
        <f t="shared" si="65"/>
        <v>3.2104034031266819E-3</v>
      </c>
      <c r="AH1372" s="10" t="str">
        <f>IFERROR(VLOOKUP(B1372,'Pre-Summary'!$AZ$6:$BE$65,3,FALSE),"")</f>
        <v/>
      </c>
      <c r="AI1372" s="10" t="str">
        <f>IFERROR(VLOOKUP(B1372,'Pre-Summary'!$AZ$6:$BE$65,5,FALSE),"")</f>
        <v/>
      </c>
      <c r="AJ1372" s="10" t="str">
        <f>IFERROR(VLOOKUP(B1372,'Pre-Summary'!$AZ$6:$BE$65,4,FALSE),"")</f>
        <v/>
      </c>
      <c r="AK1372" s="10" t="str">
        <f>IFERROR(VLOOKUP(B1372,'Pre-Summary'!$AZ$6:$BE$65,6,FALSE),"")</f>
        <v/>
      </c>
      <c r="AL1372" s="10" t="str">
        <f>IFERROR(VLOOKUP(B1372,'Pre-Summary'!$BG$6:$BL$44,3,FALSE),"")</f>
        <v/>
      </c>
      <c r="AM1372" s="10" t="str">
        <f>IFERROR(VLOOKUP(B1372,'Pre-Summary'!$BG$6:$BL$44,4,FALSE),"")</f>
        <v/>
      </c>
    </row>
    <row r="1373" spans="2:39" ht="15" customHeight="1" x14ac:dyDescent="0.3">
      <c r="B1373">
        <v>137</v>
      </c>
      <c r="C1373" t="str">
        <f>IFERROR(VLOOKUP(B1373,'Pre-Summary'!$DI$6:$DM$23,4,FALSE),"")</f>
        <v/>
      </c>
      <c r="D1373" s="10" t="str">
        <f>IFERROR(VLOOKUP(B1373,'Pre-Summary'!$AT$6:$AX$14,5,FALSE),D1372)</f>
        <v xml:space="preserve">Wolfe v1: put in modified wolfe + EDTA </v>
      </c>
      <c r="E1373" s="10" t="str">
        <f>IFERROR(VLOOKUP(B1373,'Pre-Summary'!$AT$6:$AX$15,4,FALSE),"")</f>
        <v/>
      </c>
      <c r="F1373">
        <f>IFERROR(VLOOKUP(B1373,'Pre-Summary'!$AL$6:$AQ$13,6,FALSE),F1372)</f>
        <v>5.3897368421052638E-2</v>
      </c>
      <c r="G1373" t="str">
        <f>IFERROR(VLOOKUP(B1373,'Pre-Summary'!$AE$6:$AJ$85,3,FALSE),"")</f>
        <v/>
      </c>
      <c r="H1373" t="str">
        <f>IFERROR(VLOOKUP(B1373,'Pre-Summary'!$AE$6:$AJ$85,4,FALSE),"")</f>
        <v/>
      </c>
      <c r="I1373" t="str">
        <f>IFERROR(VLOOKUP(B1373,'Pre-Summary'!$AE$6:$AJ$85,5,FALSE),"")</f>
        <v/>
      </c>
      <c r="J1373" s="45" t="str">
        <f>IFERROR(VLOOKUP(B1373,'Pre-Summary'!$AE$6:$AJ$85,6, FALSE),"")</f>
        <v/>
      </c>
      <c r="K1373" s="45" t="str">
        <f>IFERROR(VLOOKUP(B1373,'Pre-Summary'!$DE$6:$DG$61,3,FALSE),"")</f>
        <v/>
      </c>
      <c r="L1373" s="45" t="str">
        <f>IFERROR(VLOOKUP(B1373,'Pre-Summary'!$CU$6:$CW$36,3,FALSE),"")</f>
        <v/>
      </c>
      <c r="M1373" s="45" t="str">
        <f>IFERROR(VLOOKUP(B1373,'Pre-Summary'!$BW$6:$BY$58,2,FALSE),"")</f>
        <v/>
      </c>
      <c r="N1373" s="45" t="str">
        <f>IFERROR(VLOOKUP(B1373,'Pre-Summary'!$CD$6:$CF$64,2,FALSE),"")</f>
        <v/>
      </c>
      <c r="O1373" s="99">
        <f>IFERROR(VLOOKUP(B1373,'Pre-Summary'!$BO$6:$BQ$48,3, FALSE),O1372)</f>
        <v>1.2</v>
      </c>
      <c r="P1373" s="99">
        <f>IFERROR(VLOOKUP(B1373,'Pre-Summary'!$BS$6:$BU$35,3,FALSE),P1372)</f>
        <v>0.3</v>
      </c>
      <c r="Q1373" s="54">
        <f t="shared" si="63"/>
        <v>4</v>
      </c>
      <c r="R1373" s="53">
        <f>IFERROR(VLOOKUP(B1373,'Pre-Summary'!$BG$6:$BM$44,7,FALSE),R1374)</f>
        <v>8.8846389403014939E-2</v>
      </c>
      <c r="S1373" s="53">
        <f>IFERROR(VLOOKUP(B1373,'Pre-Summary'!$BG$6:$BM$44,6,FALSE),S1374)</f>
        <v>8.4804948618154546E-2</v>
      </c>
      <c r="T1373" s="45" t="str">
        <f>IFERROR(VLOOKUP(B1373,'Pre-Summary'!$Y$6:$AC$83, 3,FALSE),"")</f>
        <v/>
      </c>
      <c r="U1373" s="45" t="str">
        <f>IFERROR(VLOOKUP(B1373,'Pre-Summary'!$Y$6:$AC$83, 4,FALSE),"")</f>
        <v/>
      </c>
      <c r="V1373" t="str">
        <f>IFERROR(VLOOKUP(B1373,'Pre-Summary'!$Y$6:$AC$83, 5,FALSE),"")</f>
        <v/>
      </c>
      <c r="W1373" s="45" t="str">
        <f>IFERROR(VLOOKUP(B1373,'Pre-Summary'!$Y$6:$AD$83,6,FALSE),"")</f>
        <v/>
      </c>
      <c r="X1373" t="str">
        <f>IFERROR(VLOOKUP('Pre-Summary'!$DB$6:$DD$63,3,FALSE),"")</f>
        <v/>
      </c>
      <c r="Y1373" t="str">
        <f>IFERROR(VLOOKUP(B1373,'Pre-Summary'!$CR$6:$CT$36,3,FALSE),"")</f>
        <v/>
      </c>
      <c r="Z1373" s="45" t="str">
        <f>IFERROR(VLOOKUP(B1373,'Pre-Summary'!$BZ$6:$CB$63,2,FALSE),"")</f>
        <v/>
      </c>
      <c r="AA1373" s="45" t="str">
        <f>IFERROR(VLOOKUP(B1373,'Pre-Summary'!$CG$6:$CI$70,2,FALSE),"")</f>
        <v/>
      </c>
      <c r="AB1373" s="99">
        <f>IFERROR(VLOOKUP(B1373,'Pre-Summary'!$A$6:$P$178,9,FALSE),AB1374)</f>
        <v>0.2853438274932612</v>
      </c>
      <c r="AC1373" s="10">
        <f>IFERROR(VLOOKUP(Summary!B1373,'Pre-Summary'!$A$6:$P$184,5, FALSE)/100,AC1374)</f>
        <v>0.97350766666666677</v>
      </c>
      <c r="AD1373" s="10">
        <f>IFERROR(VLOOKUP(Summary!B1373,'Pre-Summary'!$A$6:$P$184,3, FALSE)/100,AD1374)</f>
        <v>1.5240999999999999E-2</v>
      </c>
      <c r="AE1373" s="10">
        <f>IFERROR(VLOOKUP(Summary!B1373,'Pre-Summary'!$A$6:$P$184,7, FALSE)/100,AE1374)</f>
        <v>1.1251000000000001E-2</v>
      </c>
      <c r="AF1373" s="99">
        <f t="shared" si="64"/>
        <v>4.348925274824794E-3</v>
      </c>
      <c r="AG1373" s="99">
        <f t="shared" si="65"/>
        <v>3.2104034031266819E-3</v>
      </c>
      <c r="AH1373" s="10" t="str">
        <f>IFERROR(VLOOKUP(B1373,'Pre-Summary'!$AZ$6:$BE$65,3,FALSE),"")</f>
        <v/>
      </c>
      <c r="AI1373" s="10" t="str">
        <f>IFERROR(VLOOKUP(B1373,'Pre-Summary'!$AZ$6:$BE$65,5,FALSE),"")</f>
        <v/>
      </c>
      <c r="AJ1373" s="10" t="str">
        <f>IFERROR(VLOOKUP(B1373,'Pre-Summary'!$AZ$6:$BE$65,4,FALSE),"")</f>
        <v/>
      </c>
      <c r="AK1373" s="10" t="str">
        <f>IFERROR(VLOOKUP(B1373,'Pre-Summary'!$AZ$6:$BE$65,6,FALSE),"")</f>
        <v/>
      </c>
      <c r="AL1373" s="10" t="str">
        <f>IFERROR(VLOOKUP(B1373,'Pre-Summary'!$BG$6:$BL$44,3,FALSE),"")</f>
        <v/>
      </c>
      <c r="AM1373" s="10" t="str">
        <f>IFERROR(VLOOKUP(B1373,'Pre-Summary'!$BG$6:$BL$44,4,FALSE),"")</f>
        <v/>
      </c>
    </row>
    <row r="1374" spans="2:39" ht="15" customHeight="1" x14ac:dyDescent="0.3">
      <c r="B1374">
        <v>137.1</v>
      </c>
      <c r="C1374" t="str">
        <f>IFERROR(VLOOKUP(B1374,'Pre-Summary'!$DI$6:$DM$23,4,FALSE),"")</f>
        <v/>
      </c>
      <c r="D1374" s="10" t="str">
        <f>IFERROR(VLOOKUP(B1374,'Pre-Summary'!$AT$6:$AX$14,5,FALSE),D1373)</f>
        <v xml:space="preserve">Wolfe v1: put in modified wolfe + EDTA </v>
      </c>
      <c r="E1374" s="10" t="str">
        <f>IFERROR(VLOOKUP(B1374,'Pre-Summary'!$AT$6:$AX$15,4,FALSE),"")</f>
        <v/>
      </c>
      <c r="F1374">
        <f>IFERROR(VLOOKUP(B1374,'Pre-Summary'!$AL$6:$AQ$13,6,FALSE),F1373)</f>
        <v>5.3897368421052638E-2</v>
      </c>
      <c r="G1374" t="str">
        <f>IFERROR(VLOOKUP(B1374,'Pre-Summary'!$AE$6:$AJ$85,3,FALSE),"")</f>
        <v/>
      </c>
      <c r="H1374" t="str">
        <f>IFERROR(VLOOKUP(B1374,'Pre-Summary'!$AE$6:$AJ$85,4,FALSE),"")</f>
        <v/>
      </c>
      <c r="I1374" t="str">
        <f>IFERROR(VLOOKUP(B1374,'Pre-Summary'!$AE$6:$AJ$85,5,FALSE),"")</f>
        <v/>
      </c>
      <c r="J1374" s="45" t="str">
        <f>IFERROR(VLOOKUP(B1374,'Pre-Summary'!$AE$6:$AJ$85,6, FALSE),"")</f>
        <v/>
      </c>
      <c r="K1374" s="45" t="str">
        <f>IFERROR(VLOOKUP(B1374,'Pre-Summary'!$DE$6:$DG$61,3,FALSE),"")</f>
        <v/>
      </c>
      <c r="L1374" s="45" t="str">
        <f>IFERROR(VLOOKUP(B1374,'Pre-Summary'!$CU$6:$CW$36,3,FALSE),"")</f>
        <v/>
      </c>
      <c r="M1374" s="45" t="str">
        <f>IFERROR(VLOOKUP(B1374,'Pre-Summary'!$BW$6:$BY$58,2,FALSE),"")</f>
        <v/>
      </c>
      <c r="N1374" s="45" t="str">
        <f>IFERROR(VLOOKUP(B1374,'Pre-Summary'!$CD$6:$CF$64,2,FALSE),"")</f>
        <v/>
      </c>
      <c r="O1374" s="99">
        <f>IFERROR(VLOOKUP(B1374,'Pre-Summary'!$BO$6:$BQ$48,3, FALSE),O1373)</f>
        <v>1.2</v>
      </c>
      <c r="P1374" s="99">
        <f>IFERROR(VLOOKUP(B1374,'Pre-Summary'!$BS$6:$BU$35,3,FALSE),P1373)</f>
        <v>0.3</v>
      </c>
      <c r="Q1374" s="54">
        <f t="shared" si="63"/>
        <v>4</v>
      </c>
      <c r="R1374" s="53">
        <f>IFERROR(VLOOKUP(B1374,'Pre-Summary'!$BG$6:$BM$44,7,FALSE),R1375)</f>
        <v>8.8846389403014939E-2</v>
      </c>
      <c r="S1374" s="53">
        <f>IFERROR(VLOOKUP(B1374,'Pre-Summary'!$BG$6:$BM$44,6,FALSE),S1375)</f>
        <v>8.4804948618154546E-2</v>
      </c>
      <c r="T1374" s="45" t="str">
        <f>IFERROR(VLOOKUP(B1374,'Pre-Summary'!$Y$6:$AC$83, 3,FALSE),"")</f>
        <v/>
      </c>
      <c r="U1374" s="45" t="str">
        <f>IFERROR(VLOOKUP(B1374,'Pre-Summary'!$Y$6:$AC$83, 4,FALSE),"")</f>
        <v/>
      </c>
      <c r="V1374" t="str">
        <f>IFERROR(VLOOKUP(B1374,'Pre-Summary'!$Y$6:$AC$83, 5,FALSE),"")</f>
        <v/>
      </c>
      <c r="W1374" s="45" t="str">
        <f>IFERROR(VLOOKUP(B1374,'Pre-Summary'!$Y$6:$AD$83,6,FALSE),"")</f>
        <v/>
      </c>
      <c r="X1374" t="str">
        <f>IFERROR(VLOOKUP('Pre-Summary'!$DB$6:$DD$63,3,FALSE),"")</f>
        <v/>
      </c>
      <c r="Y1374" t="str">
        <f>IFERROR(VLOOKUP(B1374,'Pre-Summary'!$CR$6:$CT$36,3,FALSE),"")</f>
        <v/>
      </c>
      <c r="Z1374" s="45" t="str">
        <f>IFERROR(VLOOKUP(B1374,'Pre-Summary'!$BZ$6:$CB$63,2,FALSE),"")</f>
        <v/>
      </c>
      <c r="AA1374" s="45" t="str">
        <f>IFERROR(VLOOKUP(B1374,'Pre-Summary'!$CG$6:$CI$70,2,FALSE),"")</f>
        <v/>
      </c>
      <c r="AB1374" s="99">
        <f>IFERROR(VLOOKUP(B1374,'Pre-Summary'!$A$6:$P$178,9,FALSE),AB1375)</f>
        <v>0.2853438274932612</v>
      </c>
      <c r="AC1374" s="10">
        <f>IFERROR(VLOOKUP(Summary!B1374,'Pre-Summary'!$A$6:$P$184,5, FALSE)/100,AC1375)</f>
        <v>0.97350766666666677</v>
      </c>
      <c r="AD1374" s="10">
        <f>IFERROR(VLOOKUP(Summary!B1374,'Pre-Summary'!$A$6:$P$184,3, FALSE)/100,AD1375)</f>
        <v>1.5240999999999999E-2</v>
      </c>
      <c r="AE1374" s="10">
        <f>IFERROR(VLOOKUP(Summary!B1374,'Pre-Summary'!$A$6:$P$184,7, FALSE)/100,AE1375)</f>
        <v>1.1251000000000001E-2</v>
      </c>
      <c r="AF1374" s="99">
        <f t="shared" si="64"/>
        <v>4.348925274824794E-3</v>
      </c>
      <c r="AG1374" s="99">
        <f t="shared" si="65"/>
        <v>3.2104034031266819E-3</v>
      </c>
      <c r="AH1374" s="10" t="str">
        <f>IFERROR(VLOOKUP(B1374,'Pre-Summary'!$AZ$6:$BE$65,3,FALSE),"")</f>
        <v/>
      </c>
      <c r="AI1374" s="10" t="str">
        <f>IFERROR(VLOOKUP(B1374,'Pre-Summary'!$AZ$6:$BE$65,5,FALSE),"")</f>
        <v/>
      </c>
      <c r="AJ1374" s="10" t="str">
        <f>IFERROR(VLOOKUP(B1374,'Pre-Summary'!$AZ$6:$BE$65,4,FALSE),"")</f>
        <v/>
      </c>
      <c r="AK1374" s="10" t="str">
        <f>IFERROR(VLOOKUP(B1374,'Pre-Summary'!$AZ$6:$BE$65,6,FALSE),"")</f>
        <v/>
      </c>
      <c r="AL1374" s="10" t="str">
        <f>IFERROR(VLOOKUP(B1374,'Pre-Summary'!$BG$6:$BL$44,3,FALSE),"")</f>
        <v/>
      </c>
      <c r="AM1374" s="10" t="str">
        <f>IFERROR(VLOOKUP(B1374,'Pre-Summary'!$BG$6:$BL$44,4,FALSE),"")</f>
        <v/>
      </c>
    </row>
    <row r="1375" spans="2:39" ht="15" customHeight="1" x14ac:dyDescent="0.3">
      <c r="B1375">
        <v>137.19999999999999</v>
      </c>
      <c r="C1375" t="str">
        <f>IFERROR(VLOOKUP(B1375,'Pre-Summary'!$DI$6:$DM$23,4,FALSE),"")</f>
        <v/>
      </c>
      <c r="D1375" s="10" t="str">
        <f>IFERROR(VLOOKUP(B1375,'Pre-Summary'!$AT$6:$AX$14,5,FALSE),D1374)</f>
        <v xml:space="preserve">Wolfe v1: put in modified wolfe + EDTA </v>
      </c>
      <c r="E1375" s="10" t="str">
        <f>IFERROR(VLOOKUP(B1375,'Pre-Summary'!$AT$6:$AX$15,4,FALSE),"")</f>
        <v/>
      </c>
      <c r="F1375">
        <f>IFERROR(VLOOKUP(B1375,'Pre-Summary'!$AL$6:$AQ$13,6,FALSE),F1374)</f>
        <v>5.3897368421052638E-2</v>
      </c>
      <c r="G1375" t="str">
        <f>IFERROR(VLOOKUP(B1375,'Pre-Summary'!$AE$6:$AJ$85,3,FALSE),"")</f>
        <v/>
      </c>
      <c r="H1375" t="str">
        <f>IFERROR(VLOOKUP(B1375,'Pre-Summary'!$AE$6:$AJ$85,4,FALSE),"")</f>
        <v/>
      </c>
      <c r="I1375" t="str">
        <f>IFERROR(VLOOKUP(B1375,'Pre-Summary'!$AE$6:$AJ$85,5,FALSE),"")</f>
        <v/>
      </c>
      <c r="J1375" s="45" t="str">
        <f>IFERROR(VLOOKUP(B1375,'Pre-Summary'!$AE$6:$AJ$85,6, FALSE),"")</f>
        <v/>
      </c>
      <c r="K1375" s="45" t="str">
        <f>IFERROR(VLOOKUP(B1375,'Pre-Summary'!$DE$6:$DG$61,3,FALSE),"")</f>
        <v/>
      </c>
      <c r="L1375" s="45" t="str">
        <f>IFERROR(VLOOKUP(B1375,'Pre-Summary'!$CU$6:$CW$36,3,FALSE),"")</f>
        <v/>
      </c>
      <c r="M1375" s="45" t="str">
        <f>IFERROR(VLOOKUP(B1375,'Pre-Summary'!$BW$6:$BY$58,2,FALSE),"")</f>
        <v/>
      </c>
      <c r="N1375" s="45" t="str">
        <f>IFERROR(VLOOKUP(B1375,'Pre-Summary'!$CD$6:$CF$64,2,FALSE),"")</f>
        <v/>
      </c>
      <c r="O1375" s="99">
        <f>IFERROR(VLOOKUP(B1375,'Pre-Summary'!$BO$6:$BQ$48,3, FALSE),O1374)</f>
        <v>1.2</v>
      </c>
      <c r="P1375" s="99">
        <f>IFERROR(VLOOKUP(B1375,'Pre-Summary'!$BS$6:$BU$35,3,FALSE),P1374)</f>
        <v>0.3</v>
      </c>
      <c r="Q1375" s="54">
        <f t="shared" si="63"/>
        <v>4</v>
      </c>
      <c r="R1375" s="53">
        <f>IFERROR(VLOOKUP(B1375,'Pre-Summary'!$BG$6:$BM$44,7,FALSE),R1376)</f>
        <v>8.8846389403014939E-2</v>
      </c>
      <c r="S1375" s="53">
        <f>IFERROR(VLOOKUP(B1375,'Pre-Summary'!$BG$6:$BM$44,6,FALSE),S1376)</f>
        <v>8.4804948618154546E-2</v>
      </c>
      <c r="T1375" s="45" t="str">
        <f>IFERROR(VLOOKUP(B1375,'Pre-Summary'!$Y$6:$AC$83, 3,FALSE),"")</f>
        <v/>
      </c>
      <c r="U1375" s="45" t="str">
        <f>IFERROR(VLOOKUP(B1375,'Pre-Summary'!$Y$6:$AC$83, 4,FALSE),"")</f>
        <v/>
      </c>
      <c r="V1375" t="str">
        <f>IFERROR(VLOOKUP(B1375,'Pre-Summary'!$Y$6:$AC$83, 5,FALSE),"")</f>
        <v/>
      </c>
      <c r="W1375" s="45" t="str">
        <f>IFERROR(VLOOKUP(B1375,'Pre-Summary'!$Y$6:$AD$83,6,FALSE),"")</f>
        <v/>
      </c>
      <c r="X1375" t="str">
        <f>IFERROR(VLOOKUP('Pre-Summary'!$DB$6:$DD$63,3,FALSE),"")</f>
        <v/>
      </c>
      <c r="Y1375" t="str">
        <f>IFERROR(VLOOKUP(B1375,'Pre-Summary'!$CR$6:$CT$36,3,FALSE),"")</f>
        <v/>
      </c>
      <c r="Z1375" s="45" t="str">
        <f>IFERROR(VLOOKUP(B1375,'Pre-Summary'!$BZ$6:$CB$63,2,FALSE),"")</f>
        <v/>
      </c>
      <c r="AA1375" s="45" t="str">
        <f>IFERROR(VLOOKUP(B1375,'Pre-Summary'!$CG$6:$CI$70,2,FALSE),"")</f>
        <v/>
      </c>
      <c r="AB1375" s="99">
        <f>IFERROR(VLOOKUP(B1375,'Pre-Summary'!$A$6:$P$178,9,FALSE),AB1376)</f>
        <v>0.2853438274932612</v>
      </c>
      <c r="AC1375" s="10">
        <f>IFERROR(VLOOKUP(Summary!B1375,'Pre-Summary'!$A$6:$P$184,5, FALSE)/100,AC1376)</f>
        <v>0.97350766666666677</v>
      </c>
      <c r="AD1375" s="10">
        <f>IFERROR(VLOOKUP(Summary!B1375,'Pre-Summary'!$A$6:$P$184,3, FALSE)/100,AD1376)</f>
        <v>1.5240999999999999E-2</v>
      </c>
      <c r="AE1375" s="10">
        <f>IFERROR(VLOOKUP(Summary!B1375,'Pre-Summary'!$A$6:$P$184,7, FALSE)/100,AE1376)</f>
        <v>1.1251000000000001E-2</v>
      </c>
      <c r="AF1375" s="99">
        <f t="shared" si="64"/>
        <v>4.348925274824794E-3</v>
      </c>
      <c r="AG1375" s="99">
        <f t="shared" si="65"/>
        <v>3.2104034031266819E-3</v>
      </c>
      <c r="AH1375" s="10" t="str">
        <f>IFERROR(VLOOKUP(B1375,'Pre-Summary'!$AZ$6:$BE$65,3,FALSE),"")</f>
        <v/>
      </c>
      <c r="AI1375" s="10" t="str">
        <f>IFERROR(VLOOKUP(B1375,'Pre-Summary'!$AZ$6:$BE$65,5,FALSE),"")</f>
        <v/>
      </c>
      <c r="AJ1375" s="10" t="str">
        <f>IFERROR(VLOOKUP(B1375,'Pre-Summary'!$AZ$6:$BE$65,4,FALSE),"")</f>
        <v/>
      </c>
      <c r="AK1375" s="10" t="str">
        <f>IFERROR(VLOOKUP(B1375,'Pre-Summary'!$AZ$6:$BE$65,6,FALSE),"")</f>
        <v/>
      </c>
      <c r="AL1375" s="10" t="str">
        <f>IFERROR(VLOOKUP(B1375,'Pre-Summary'!$BG$6:$BL$44,3,FALSE),"")</f>
        <v/>
      </c>
      <c r="AM1375" s="10" t="str">
        <f>IFERROR(VLOOKUP(B1375,'Pre-Summary'!$BG$6:$BL$44,4,FALSE),"")</f>
        <v/>
      </c>
    </row>
    <row r="1376" spans="2:39" ht="15" customHeight="1" x14ac:dyDescent="0.3">
      <c r="B1376">
        <v>137.30000000000001</v>
      </c>
      <c r="C1376" t="str">
        <f>IFERROR(VLOOKUP(B1376,'Pre-Summary'!$DI$6:$DM$23,4,FALSE),"")</f>
        <v/>
      </c>
      <c r="D1376" s="10" t="str">
        <f>IFERROR(VLOOKUP(B1376,'Pre-Summary'!$AT$6:$AX$14,5,FALSE),D1375)</f>
        <v xml:space="preserve">Wolfe v1: put in modified wolfe + EDTA </v>
      </c>
      <c r="E1376" s="10" t="str">
        <f>IFERROR(VLOOKUP(B1376,'Pre-Summary'!$AT$6:$AX$15,4,FALSE),"")</f>
        <v/>
      </c>
      <c r="F1376">
        <f>IFERROR(VLOOKUP(B1376,'Pre-Summary'!$AL$6:$AQ$13,6,FALSE),F1375)</f>
        <v>5.3897368421052638E-2</v>
      </c>
      <c r="G1376" t="str">
        <f>IFERROR(VLOOKUP(B1376,'Pre-Summary'!$AE$6:$AJ$85,3,FALSE),"")</f>
        <v/>
      </c>
      <c r="H1376" t="str">
        <f>IFERROR(VLOOKUP(B1376,'Pre-Summary'!$AE$6:$AJ$85,4,FALSE),"")</f>
        <v/>
      </c>
      <c r="I1376" t="str">
        <f>IFERROR(VLOOKUP(B1376,'Pre-Summary'!$AE$6:$AJ$85,5,FALSE),"")</f>
        <v/>
      </c>
      <c r="J1376" s="45" t="str">
        <f>IFERROR(VLOOKUP(B1376,'Pre-Summary'!$AE$6:$AJ$85,6, FALSE),"")</f>
        <v/>
      </c>
      <c r="K1376" s="45" t="str">
        <f>IFERROR(VLOOKUP(B1376,'Pre-Summary'!$DE$6:$DG$61,3,FALSE),"")</f>
        <v/>
      </c>
      <c r="L1376" s="45" t="str">
        <f>IFERROR(VLOOKUP(B1376,'Pre-Summary'!$CU$6:$CW$36,3,FALSE),"")</f>
        <v/>
      </c>
      <c r="M1376" s="45" t="str">
        <f>IFERROR(VLOOKUP(B1376,'Pre-Summary'!$BW$6:$BY$58,2,FALSE),"")</f>
        <v/>
      </c>
      <c r="N1376" s="45" t="str">
        <f>IFERROR(VLOOKUP(B1376,'Pre-Summary'!$CD$6:$CF$64,2,FALSE),"")</f>
        <v/>
      </c>
      <c r="O1376" s="99">
        <f>IFERROR(VLOOKUP(B1376,'Pre-Summary'!$BO$6:$BQ$48,3, FALSE),O1375)</f>
        <v>1.2</v>
      </c>
      <c r="P1376" s="99">
        <f>IFERROR(VLOOKUP(B1376,'Pre-Summary'!$BS$6:$BU$35,3,FALSE),P1375)</f>
        <v>0.3</v>
      </c>
      <c r="Q1376" s="54">
        <f t="shared" si="63"/>
        <v>4</v>
      </c>
      <c r="R1376" s="53">
        <f>IFERROR(VLOOKUP(B1376,'Pre-Summary'!$BG$6:$BM$44,7,FALSE),R1377)</f>
        <v>8.8846389403014939E-2</v>
      </c>
      <c r="S1376" s="53">
        <f>IFERROR(VLOOKUP(B1376,'Pre-Summary'!$BG$6:$BM$44,6,FALSE),S1377)</f>
        <v>8.4804948618154546E-2</v>
      </c>
      <c r="T1376" s="45" t="str">
        <f>IFERROR(VLOOKUP(B1376,'Pre-Summary'!$Y$6:$AC$83, 3,FALSE),"")</f>
        <v/>
      </c>
      <c r="U1376" s="45" t="str">
        <f>IFERROR(VLOOKUP(B1376,'Pre-Summary'!$Y$6:$AC$83, 4,FALSE),"")</f>
        <v/>
      </c>
      <c r="V1376" t="str">
        <f>IFERROR(VLOOKUP(B1376,'Pre-Summary'!$Y$6:$AC$83, 5,FALSE),"")</f>
        <v/>
      </c>
      <c r="W1376" s="45" t="str">
        <f>IFERROR(VLOOKUP(B1376,'Pre-Summary'!$Y$6:$AD$83,6,FALSE),"")</f>
        <v/>
      </c>
      <c r="X1376" t="str">
        <f>IFERROR(VLOOKUP('Pre-Summary'!$DB$6:$DD$63,3,FALSE),"")</f>
        <v/>
      </c>
      <c r="Y1376" t="str">
        <f>IFERROR(VLOOKUP(B1376,'Pre-Summary'!$CR$6:$CT$36,3,FALSE),"")</f>
        <v/>
      </c>
      <c r="Z1376" s="45" t="str">
        <f>IFERROR(VLOOKUP(B1376,'Pre-Summary'!$BZ$6:$CB$63,2,FALSE),"")</f>
        <v/>
      </c>
      <c r="AA1376" s="45" t="str">
        <f>IFERROR(VLOOKUP(B1376,'Pre-Summary'!$CG$6:$CI$70,2,FALSE),"")</f>
        <v/>
      </c>
      <c r="AB1376" s="99">
        <f>IFERROR(VLOOKUP(B1376,'Pre-Summary'!$A$6:$P$178,9,FALSE),AB1377)</f>
        <v>0.2853438274932612</v>
      </c>
      <c r="AC1376" s="10">
        <f>IFERROR(VLOOKUP(Summary!B1376,'Pre-Summary'!$A$6:$P$184,5, FALSE)/100,AC1377)</f>
        <v>0.97350766666666677</v>
      </c>
      <c r="AD1376" s="10">
        <f>IFERROR(VLOOKUP(Summary!B1376,'Pre-Summary'!$A$6:$P$184,3, FALSE)/100,AD1377)</f>
        <v>1.5240999999999999E-2</v>
      </c>
      <c r="AE1376" s="10">
        <f>IFERROR(VLOOKUP(Summary!B1376,'Pre-Summary'!$A$6:$P$184,7, FALSE)/100,AE1377)</f>
        <v>1.1251000000000001E-2</v>
      </c>
      <c r="AF1376" s="99">
        <f t="shared" si="64"/>
        <v>4.348925274824794E-3</v>
      </c>
      <c r="AG1376" s="99">
        <f t="shared" si="65"/>
        <v>3.2104034031266819E-3</v>
      </c>
      <c r="AH1376" s="10" t="str">
        <f>IFERROR(VLOOKUP(B1376,'Pre-Summary'!$AZ$6:$BE$65,3,FALSE),"")</f>
        <v/>
      </c>
      <c r="AI1376" s="10" t="str">
        <f>IFERROR(VLOOKUP(B1376,'Pre-Summary'!$AZ$6:$BE$65,5,FALSE),"")</f>
        <v/>
      </c>
      <c r="AJ1376" s="10" t="str">
        <f>IFERROR(VLOOKUP(B1376,'Pre-Summary'!$AZ$6:$BE$65,4,FALSE),"")</f>
        <v/>
      </c>
      <c r="AK1376" s="10" t="str">
        <f>IFERROR(VLOOKUP(B1376,'Pre-Summary'!$AZ$6:$BE$65,6,FALSE),"")</f>
        <v/>
      </c>
      <c r="AL1376" s="10" t="str">
        <f>IFERROR(VLOOKUP(B1376,'Pre-Summary'!$BG$6:$BL$44,3,FALSE),"")</f>
        <v/>
      </c>
      <c r="AM1376" s="10" t="str">
        <f>IFERROR(VLOOKUP(B1376,'Pre-Summary'!$BG$6:$BL$44,4,FALSE),"")</f>
        <v/>
      </c>
    </row>
    <row r="1377" spans="2:39" ht="15" customHeight="1" x14ac:dyDescent="0.3">
      <c r="B1377">
        <v>137.4</v>
      </c>
      <c r="C1377" t="str">
        <f>IFERROR(VLOOKUP(B1377,'Pre-Summary'!$DI$6:$DM$23,4,FALSE),"")</f>
        <v/>
      </c>
      <c r="D1377" s="10" t="str">
        <f>IFERROR(VLOOKUP(B1377,'Pre-Summary'!$AT$6:$AX$14,5,FALSE),D1376)</f>
        <v xml:space="preserve">Wolfe v1: put in modified wolfe + EDTA </v>
      </c>
      <c r="E1377" s="10" t="str">
        <f>IFERROR(VLOOKUP(B1377,'Pre-Summary'!$AT$6:$AX$15,4,FALSE),"")</f>
        <v/>
      </c>
      <c r="F1377">
        <f>IFERROR(VLOOKUP(B1377,'Pre-Summary'!$AL$6:$AQ$13,6,FALSE),F1376)</f>
        <v>5.3897368421052638E-2</v>
      </c>
      <c r="G1377" t="str">
        <f>IFERROR(VLOOKUP(B1377,'Pre-Summary'!$AE$6:$AJ$85,3,FALSE),"")</f>
        <v/>
      </c>
      <c r="H1377" t="str">
        <f>IFERROR(VLOOKUP(B1377,'Pre-Summary'!$AE$6:$AJ$85,4,FALSE),"")</f>
        <v/>
      </c>
      <c r="I1377" t="str">
        <f>IFERROR(VLOOKUP(B1377,'Pre-Summary'!$AE$6:$AJ$85,5,FALSE),"")</f>
        <v/>
      </c>
      <c r="J1377" s="45" t="str">
        <f>IFERROR(VLOOKUP(B1377,'Pre-Summary'!$AE$6:$AJ$85,6, FALSE),"")</f>
        <v/>
      </c>
      <c r="K1377" s="45" t="str">
        <f>IFERROR(VLOOKUP(B1377,'Pre-Summary'!$DE$6:$DG$61,3,FALSE),"")</f>
        <v/>
      </c>
      <c r="L1377" s="45" t="str">
        <f>IFERROR(VLOOKUP(B1377,'Pre-Summary'!$CU$6:$CW$36,3,FALSE),"")</f>
        <v/>
      </c>
      <c r="M1377" s="45" t="str">
        <f>IFERROR(VLOOKUP(B1377,'Pre-Summary'!$BW$6:$BY$58,2,FALSE),"")</f>
        <v/>
      </c>
      <c r="N1377" s="45" t="str">
        <f>IFERROR(VLOOKUP(B1377,'Pre-Summary'!$CD$6:$CF$64,2,FALSE),"")</f>
        <v/>
      </c>
      <c r="O1377" s="99">
        <f>IFERROR(VLOOKUP(B1377,'Pre-Summary'!$BO$6:$BQ$48,3, FALSE),O1376)</f>
        <v>1.2</v>
      </c>
      <c r="P1377" s="99">
        <f>IFERROR(VLOOKUP(B1377,'Pre-Summary'!$BS$6:$BU$35,3,FALSE),P1376)</f>
        <v>0.3</v>
      </c>
      <c r="Q1377" s="54">
        <f t="shared" si="63"/>
        <v>4</v>
      </c>
      <c r="R1377" s="53">
        <f>IFERROR(VLOOKUP(B1377,'Pre-Summary'!$BG$6:$BM$44,7,FALSE),R1378)</f>
        <v>8.8846389403014939E-2</v>
      </c>
      <c r="S1377" s="53">
        <f>IFERROR(VLOOKUP(B1377,'Pre-Summary'!$BG$6:$BM$44,6,FALSE),S1378)</f>
        <v>8.4804948618154546E-2</v>
      </c>
      <c r="T1377" s="45" t="str">
        <f>IFERROR(VLOOKUP(B1377,'Pre-Summary'!$Y$6:$AC$83, 3,FALSE),"")</f>
        <v/>
      </c>
      <c r="U1377" s="45" t="str">
        <f>IFERROR(VLOOKUP(B1377,'Pre-Summary'!$Y$6:$AC$83, 4,FALSE),"")</f>
        <v/>
      </c>
      <c r="V1377" t="str">
        <f>IFERROR(VLOOKUP(B1377,'Pre-Summary'!$Y$6:$AC$83, 5,FALSE),"")</f>
        <v/>
      </c>
      <c r="W1377" s="45" t="str">
        <f>IFERROR(VLOOKUP(B1377,'Pre-Summary'!$Y$6:$AD$83,6,FALSE),"")</f>
        <v/>
      </c>
      <c r="X1377" t="str">
        <f>IFERROR(VLOOKUP('Pre-Summary'!$DB$6:$DD$63,3,FALSE),"")</f>
        <v/>
      </c>
      <c r="Y1377" t="str">
        <f>IFERROR(VLOOKUP(B1377,'Pre-Summary'!$CR$6:$CT$36,3,FALSE),"")</f>
        <v/>
      </c>
      <c r="Z1377" s="45" t="str">
        <f>IFERROR(VLOOKUP(B1377,'Pre-Summary'!$BZ$6:$CB$63,2,FALSE),"")</f>
        <v/>
      </c>
      <c r="AA1377" s="45" t="str">
        <f>IFERROR(VLOOKUP(B1377,'Pre-Summary'!$CG$6:$CI$70,2,FALSE),"")</f>
        <v/>
      </c>
      <c r="AB1377" s="99">
        <f>IFERROR(VLOOKUP(B1377,'Pre-Summary'!$A$6:$P$178,9,FALSE),AB1378)</f>
        <v>0.2853438274932612</v>
      </c>
      <c r="AC1377" s="10">
        <f>IFERROR(VLOOKUP(Summary!B1377,'Pre-Summary'!$A$6:$P$184,5, FALSE)/100,AC1378)</f>
        <v>0.97350766666666677</v>
      </c>
      <c r="AD1377" s="10">
        <f>IFERROR(VLOOKUP(Summary!B1377,'Pre-Summary'!$A$6:$P$184,3, FALSE)/100,AD1378)</f>
        <v>1.5240999999999999E-2</v>
      </c>
      <c r="AE1377" s="10">
        <f>IFERROR(VLOOKUP(Summary!B1377,'Pre-Summary'!$A$6:$P$184,7, FALSE)/100,AE1378)</f>
        <v>1.1251000000000001E-2</v>
      </c>
      <c r="AF1377" s="99">
        <f t="shared" si="64"/>
        <v>4.348925274824794E-3</v>
      </c>
      <c r="AG1377" s="99">
        <f t="shared" si="65"/>
        <v>3.2104034031266819E-3</v>
      </c>
      <c r="AH1377" s="10" t="str">
        <f>IFERROR(VLOOKUP(B1377,'Pre-Summary'!$AZ$6:$BE$65,3,FALSE),"")</f>
        <v/>
      </c>
      <c r="AI1377" s="10" t="str">
        <f>IFERROR(VLOOKUP(B1377,'Pre-Summary'!$AZ$6:$BE$65,5,FALSE),"")</f>
        <v/>
      </c>
      <c r="AJ1377" s="10" t="str">
        <f>IFERROR(VLOOKUP(B1377,'Pre-Summary'!$AZ$6:$BE$65,4,FALSE),"")</f>
        <v/>
      </c>
      <c r="AK1377" s="10" t="str">
        <f>IFERROR(VLOOKUP(B1377,'Pre-Summary'!$AZ$6:$BE$65,6,FALSE),"")</f>
        <v/>
      </c>
      <c r="AL1377" s="10" t="str">
        <f>IFERROR(VLOOKUP(B1377,'Pre-Summary'!$BG$6:$BL$44,3,FALSE),"")</f>
        <v/>
      </c>
      <c r="AM1377" s="10" t="str">
        <f>IFERROR(VLOOKUP(B1377,'Pre-Summary'!$BG$6:$BL$44,4,FALSE),"")</f>
        <v/>
      </c>
    </row>
    <row r="1378" spans="2:39" ht="15" customHeight="1" x14ac:dyDescent="0.3">
      <c r="B1378">
        <v>137.5</v>
      </c>
      <c r="C1378" t="str">
        <f>IFERROR(VLOOKUP(B1378,'Pre-Summary'!$DI$6:$DM$23,4,FALSE),"")</f>
        <v/>
      </c>
      <c r="D1378" s="10" t="str">
        <f>IFERROR(VLOOKUP(B1378,'Pre-Summary'!$AT$6:$AX$14,5,FALSE),D1377)</f>
        <v xml:space="preserve">Wolfe v1: put in modified wolfe + EDTA </v>
      </c>
      <c r="E1378" s="10" t="str">
        <f>IFERROR(VLOOKUP(B1378,'Pre-Summary'!$AT$6:$AX$15,4,FALSE),"")</f>
        <v/>
      </c>
      <c r="F1378">
        <f>IFERROR(VLOOKUP(B1378,'Pre-Summary'!$AL$6:$AQ$13,6,FALSE),F1377)</f>
        <v>5.3897368421052638E-2</v>
      </c>
      <c r="G1378" t="str">
        <f>IFERROR(VLOOKUP(B1378,'Pre-Summary'!$AE$6:$AJ$85,3,FALSE),"")</f>
        <v/>
      </c>
      <c r="H1378" t="str">
        <f>IFERROR(VLOOKUP(B1378,'Pre-Summary'!$AE$6:$AJ$85,4,FALSE),"")</f>
        <v/>
      </c>
      <c r="I1378" t="str">
        <f>IFERROR(VLOOKUP(B1378,'Pre-Summary'!$AE$6:$AJ$85,5,FALSE),"")</f>
        <v/>
      </c>
      <c r="J1378" s="45" t="str">
        <f>IFERROR(VLOOKUP(B1378,'Pre-Summary'!$AE$6:$AJ$85,6, FALSE),"")</f>
        <v/>
      </c>
      <c r="K1378" s="45" t="str">
        <f>IFERROR(VLOOKUP(B1378,'Pre-Summary'!$DE$6:$DG$61,3,FALSE),"")</f>
        <v/>
      </c>
      <c r="L1378" s="45" t="str">
        <f>IFERROR(VLOOKUP(B1378,'Pre-Summary'!$CU$6:$CW$36,3,FALSE),"")</f>
        <v/>
      </c>
      <c r="M1378" s="45" t="str">
        <f>IFERROR(VLOOKUP(B1378,'Pre-Summary'!$BW$6:$BY$58,2,FALSE),"")</f>
        <v/>
      </c>
      <c r="N1378" s="45" t="str">
        <f>IFERROR(VLOOKUP(B1378,'Pre-Summary'!$CD$6:$CF$64,2,FALSE),"")</f>
        <v/>
      </c>
      <c r="O1378" s="99">
        <f>IFERROR(VLOOKUP(B1378,'Pre-Summary'!$BO$6:$BQ$48,3, FALSE),O1377)</f>
        <v>1.2</v>
      </c>
      <c r="P1378" s="99">
        <f>IFERROR(VLOOKUP(B1378,'Pre-Summary'!$BS$6:$BU$35,3,FALSE),P1377)</f>
        <v>0.3</v>
      </c>
      <c r="Q1378" s="54">
        <f t="shared" si="63"/>
        <v>4</v>
      </c>
      <c r="R1378" s="53">
        <f>IFERROR(VLOOKUP(B1378,'Pre-Summary'!$BG$6:$BM$44,7,FALSE),R1379)</f>
        <v>8.8846389403014939E-2</v>
      </c>
      <c r="S1378" s="53">
        <f>IFERROR(VLOOKUP(B1378,'Pre-Summary'!$BG$6:$BM$44,6,FALSE),S1379)</f>
        <v>8.4804948618154546E-2</v>
      </c>
      <c r="T1378" s="45" t="str">
        <f>IFERROR(VLOOKUP(B1378,'Pre-Summary'!$Y$6:$AC$83, 3,FALSE),"")</f>
        <v/>
      </c>
      <c r="U1378" s="45" t="str">
        <f>IFERROR(VLOOKUP(B1378,'Pre-Summary'!$Y$6:$AC$83, 4,FALSE),"")</f>
        <v/>
      </c>
      <c r="V1378" t="str">
        <f>IFERROR(VLOOKUP(B1378,'Pre-Summary'!$Y$6:$AC$83, 5,FALSE),"")</f>
        <v/>
      </c>
      <c r="W1378" s="45" t="str">
        <f>IFERROR(VLOOKUP(B1378,'Pre-Summary'!$Y$6:$AD$83,6,FALSE),"")</f>
        <v/>
      </c>
      <c r="X1378" t="str">
        <f>IFERROR(VLOOKUP('Pre-Summary'!$DB$6:$DD$63,3,FALSE),"")</f>
        <v/>
      </c>
      <c r="Y1378" t="str">
        <f>IFERROR(VLOOKUP(B1378,'Pre-Summary'!$CR$6:$CT$36,3,FALSE),"")</f>
        <v/>
      </c>
      <c r="Z1378" s="45" t="str">
        <f>IFERROR(VLOOKUP(B1378,'Pre-Summary'!$BZ$6:$CB$63,2,FALSE),"")</f>
        <v/>
      </c>
      <c r="AA1378" s="45" t="str">
        <f>IFERROR(VLOOKUP(B1378,'Pre-Summary'!$CG$6:$CI$70,2,FALSE),"")</f>
        <v/>
      </c>
      <c r="AB1378" s="99">
        <f>IFERROR(VLOOKUP(B1378,'Pre-Summary'!$A$6:$P$178,9,FALSE),AB1379)</f>
        <v>0.2853438274932612</v>
      </c>
      <c r="AC1378" s="10">
        <f>IFERROR(VLOOKUP(Summary!B1378,'Pre-Summary'!$A$6:$P$184,5, FALSE)/100,AC1379)</f>
        <v>0.97350766666666677</v>
      </c>
      <c r="AD1378" s="10">
        <f>IFERROR(VLOOKUP(Summary!B1378,'Pre-Summary'!$A$6:$P$184,3, FALSE)/100,AD1379)</f>
        <v>1.5240999999999999E-2</v>
      </c>
      <c r="AE1378" s="10">
        <f>IFERROR(VLOOKUP(Summary!B1378,'Pre-Summary'!$A$6:$P$184,7, FALSE)/100,AE1379)</f>
        <v>1.1251000000000001E-2</v>
      </c>
      <c r="AF1378" s="99">
        <f t="shared" si="64"/>
        <v>4.348925274824794E-3</v>
      </c>
      <c r="AG1378" s="99">
        <f t="shared" si="65"/>
        <v>3.2104034031266819E-3</v>
      </c>
      <c r="AH1378" s="10" t="str">
        <f>IFERROR(VLOOKUP(B1378,'Pre-Summary'!$AZ$6:$BE$65,3,FALSE),"")</f>
        <v/>
      </c>
      <c r="AI1378" s="10" t="str">
        <f>IFERROR(VLOOKUP(B1378,'Pre-Summary'!$AZ$6:$BE$65,5,FALSE),"")</f>
        <v/>
      </c>
      <c r="AJ1378" s="10" t="str">
        <f>IFERROR(VLOOKUP(B1378,'Pre-Summary'!$AZ$6:$BE$65,4,FALSE),"")</f>
        <v/>
      </c>
      <c r="AK1378" s="10" t="str">
        <f>IFERROR(VLOOKUP(B1378,'Pre-Summary'!$AZ$6:$BE$65,6,FALSE),"")</f>
        <v/>
      </c>
      <c r="AL1378" s="10" t="str">
        <f>IFERROR(VLOOKUP(B1378,'Pre-Summary'!$BG$6:$BL$44,3,FALSE),"")</f>
        <v/>
      </c>
      <c r="AM1378" s="10" t="str">
        <f>IFERROR(VLOOKUP(B1378,'Pre-Summary'!$BG$6:$BL$44,4,FALSE),"")</f>
        <v/>
      </c>
    </row>
    <row r="1379" spans="2:39" ht="15" customHeight="1" x14ac:dyDescent="0.3">
      <c r="B1379">
        <v>137.6</v>
      </c>
      <c r="C1379" t="str">
        <f>IFERROR(VLOOKUP(B1379,'Pre-Summary'!$DI$6:$DM$23,4,FALSE),"")</f>
        <v/>
      </c>
      <c r="D1379" s="10" t="str">
        <f>IFERROR(VLOOKUP(B1379,'Pre-Summary'!$AT$6:$AX$14,5,FALSE),D1378)</f>
        <v xml:space="preserve">Wolfe v1: put in modified wolfe + EDTA </v>
      </c>
      <c r="E1379" s="10" t="str">
        <f>IFERROR(VLOOKUP(B1379,'Pre-Summary'!$AT$6:$AX$15,4,FALSE),"")</f>
        <v/>
      </c>
      <c r="F1379">
        <f>IFERROR(VLOOKUP(B1379,'Pre-Summary'!$AL$6:$AQ$13,6,FALSE),F1378)</f>
        <v>5.3897368421052638E-2</v>
      </c>
      <c r="G1379" t="str">
        <f>IFERROR(VLOOKUP(B1379,'Pre-Summary'!$AE$6:$AJ$85,3,FALSE),"")</f>
        <v/>
      </c>
      <c r="H1379" t="str">
        <f>IFERROR(VLOOKUP(B1379,'Pre-Summary'!$AE$6:$AJ$85,4,FALSE),"")</f>
        <v/>
      </c>
      <c r="I1379" t="str">
        <f>IFERROR(VLOOKUP(B1379,'Pre-Summary'!$AE$6:$AJ$85,5,FALSE),"")</f>
        <v/>
      </c>
      <c r="J1379" s="45" t="str">
        <f>IFERROR(VLOOKUP(B1379,'Pre-Summary'!$AE$6:$AJ$85,6, FALSE),"")</f>
        <v/>
      </c>
      <c r="K1379" s="45" t="str">
        <f>IFERROR(VLOOKUP(B1379,'Pre-Summary'!$DE$6:$DG$61,3,FALSE),"")</f>
        <v/>
      </c>
      <c r="L1379" s="45" t="str">
        <f>IFERROR(VLOOKUP(B1379,'Pre-Summary'!$CU$6:$CW$36,3,FALSE),"")</f>
        <v/>
      </c>
      <c r="M1379" s="45" t="str">
        <f>IFERROR(VLOOKUP(B1379,'Pre-Summary'!$BW$6:$BY$58,2,FALSE),"")</f>
        <v/>
      </c>
      <c r="N1379" s="45" t="str">
        <f>IFERROR(VLOOKUP(B1379,'Pre-Summary'!$CD$6:$CF$64,2,FALSE),"")</f>
        <v/>
      </c>
      <c r="O1379" s="99">
        <f>IFERROR(VLOOKUP(B1379,'Pre-Summary'!$BO$6:$BQ$48,3, FALSE),O1378)</f>
        <v>1.2</v>
      </c>
      <c r="P1379" s="99">
        <f>IFERROR(VLOOKUP(B1379,'Pre-Summary'!$BS$6:$BU$35,3,FALSE),P1378)</f>
        <v>0.3</v>
      </c>
      <c r="Q1379" s="54">
        <f t="shared" si="63"/>
        <v>4</v>
      </c>
      <c r="R1379" s="53">
        <f>IFERROR(VLOOKUP(B1379,'Pre-Summary'!$BG$6:$BM$44,7,FALSE),R1380)</f>
        <v>8.8846389403014939E-2</v>
      </c>
      <c r="S1379" s="53">
        <f>IFERROR(VLOOKUP(B1379,'Pre-Summary'!$BG$6:$BM$44,6,FALSE),S1380)</f>
        <v>8.4804948618154546E-2</v>
      </c>
      <c r="T1379" s="45" t="str">
        <f>IFERROR(VLOOKUP(B1379,'Pre-Summary'!$Y$6:$AC$83, 3,FALSE),"")</f>
        <v/>
      </c>
      <c r="U1379" s="45" t="str">
        <f>IFERROR(VLOOKUP(B1379,'Pre-Summary'!$Y$6:$AC$83, 4,FALSE),"")</f>
        <v/>
      </c>
      <c r="V1379" t="str">
        <f>IFERROR(VLOOKUP(B1379,'Pre-Summary'!$Y$6:$AC$83, 5,FALSE),"")</f>
        <v/>
      </c>
      <c r="W1379" s="45" t="str">
        <f>IFERROR(VLOOKUP(B1379,'Pre-Summary'!$Y$6:$AD$83,6,FALSE),"")</f>
        <v/>
      </c>
      <c r="X1379" t="str">
        <f>IFERROR(VLOOKUP('Pre-Summary'!$DB$6:$DD$63,3,FALSE),"")</f>
        <v/>
      </c>
      <c r="Y1379" t="str">
        <f>IFERROR(VLOOKUP(B1379,'Pre-Summary'!$CR$6:$CT$36,3,FALSE),"")</f>
        <v/>
      </c>
      <c r="Z1379" s="45" t="str">
        <f>IFERROR(VLOOKUP(B1379,'Pre-Summary'!$BZ$6:$CB$63,2,FALSE),"")</f>
        <v/>
      </c>
      <c r="AA1379" s="45" t="str">
        <f>IFERROR(VLOOKUP(B1379,'Pre-Summary'!$CG$6:$CI$70,2,FALSE),"")</f>
        <v/>
      </c>
      <c r="AB1379" s="99">
        <f>IFERROR(VLOOKUP(B1379,'Pre-Summary'!$A$6:$P$178,9,FALSE),AB1380)</f>
        <v>0.2853438274932612</v>
      </c>
      <c r="AC1379" s="10">
        <f>IFERROR(VLOOKUP(Summary!B1379,'Pre-Summary'!$A$6:$P$184,5, FALSE)/100,AC1380)</f>
        <v>0.97350766666666677</v>
      </c>
      <c r="AD1379" s="10">
        <f>IFERROR(VLOOKUP(Summary!B1379,'Pre-Summary'!$A$6:$P$184,3, FALSE)/100,AD1380)</f>
        <v>1.5240999999999999E-2</v>
      </c>
      <c r="AE1379" s="10">
        <f>IFERROR(VLOOKUP(Summary!B1379,'Pre-Summary'!$A$6:$P$184,7, FALSE)/100,AE1380)</f>
        <v>1.1251000000000001E-2</v>
      </c>
      <c r="AF1379" s="99">
        <f t="shared" si="64"/>
        <v>4.348925274824794E-3</v>
      </c>
      <c r="AG1379" s="99">
        <f t="shared" si="65"/>
        <v>3.2104034031266819E-3</v>
      </c>
      <c r="AH1379" s="10" t="str">
        <f>IFERROR(VLOOKUP(B1379,'Pre-Summary'!$AZ$6:$BE$65,3,FALSE),"")</f>
        <v/>
      </c>
      <c r="AI1379" s="10" t="str">
        <f>IFERROR(VLOOKUP(B1379,'Pre-Summary'!$AZ$6:$BE$65,5,FALSE),"")</f>
        <v/>
      </c>
      <c r="AJ1379" s="10" t="str">
        <f>IFERROR(VLOOKUP(B1379,'Pre-Summary'!$AZ$6:$BE$65,4,FALSE),"")</f>
        <v/>
      </c>
      <c r="AK1379" s="10" t="str">
        <f>IFERROR(VLOOKUP(B1379,'Pre-Summary'!$AZ$6:$BE$65,6,FALSE),"")</f>
        <v/>
      </c>
      <c r="AL1379" s="10" t="str">
        <f>IFERROR(VLOOKUP(B1379,'Pre-Summary'!$BG$6:$BL$44,3,FALSE),"")</f>
        <v/>
      </c>
      <c r="AM1379" s="10" t="str">
        <f>IFERROR(VLOOKUP(B1379,'Pre-Summary'!$BG$6:$BL$44,4,FALSE),"")</f>
        <v/>
      </c>
    </row>
    <row r="1380" spans="2:39" ht="15" customHeight="1" x14ac:dyDescent="0.3">
      <c r="B1380">
        <v>137.69999999999999</v>
      </c>
      <c r="C1380" t="str">
        <f>IFERROR(VLOOKUP(B1380,'Pre-Summary'!$DI$6:$DM$23,4,FALSE),"")</f>
        <v/>
      </c>
      <c r="D1380" s="10" t="str">
        <f>IFERROR(VLOOKUP(B1380,'Pre-Summary'!$AT$6:$AX$14,5,FALSE),D1379)</f>
        <v xml:space="preserve">Wolfe v1: put in modified wolfe + EDTA </v>
      </c>
      <c r="E1380" s="10" t="str">
        <f>IFERROR(VLOOKUP(B1380,'Pre-Summary'!$AT$6:$AX$15,4,FALSE),"")</f>
        <v/>
      </c>
      <c r="F1380">
        <f>IFERROR(VLOOKUP(B1380,'Pre-Summary'!$AL$6:$AQ$13,6,FALSE),F1379)</f>
        <v>5.3897368421052638E-2</v>
      </c>
      <c r="G1380" t="str">
        <f>IFERROR(VLOOKUP(B1380,'Pre-Summary'!$AE$6:$AJ$85,3,FALSE),"")</f>
        <v/>
      </c>
      <c r="H1380" t="str">
        <f>IFERROR(VLOOKUP(B1380,'Pre-Summary'!$AE$6:$AJ$85,4,FALSE),"")</f>
        <v/>
      </c>
      <c r="I1380" t="str">
        <f>IFERROR(VLOOKUP(B1380,'Pre-Summary'!$AE$6:$AJ$85,5,FALSE),"")</f>
        <v/>
      </c>
      <c r="J1380" s="45" t="str">
        <f>IFERROR(VLOOKUP(B1380,'Pre-Summary'!$AE$6:$AJ$85,6, FALSE),"")</f>
        <v/>
      </c>
      <c r="K1380" s="45" t="str">
        <f>IFERROR(VLOOKUP(B1380,'Pre-Summary'!$DE$6:$DG$61,3,FALSE),"")</f>
        <v/>
      </c>
      <c r="L1380" s="45" t="str">
        <f>IFERROR(VLOOKUP(B1380,'Pre-Summary'!$CU$6:$CW$36,3,FALSE),"")</f>
        <v/>
      </c>
      <c r="M1380" s="45" t="str">
        <f>IFERROR(VLOOKUP(B1380,'Pre-Summary'!$BW$6:$BY$58,2,FALSE),"")</f>
        <v/>
      </c>
      <c r="N1380" s="45" t="str">
        <f>IFERROR(VLOOKUP(B1380,'Pre-Summary'!$CD$6:$CF$64,2,FALSE),"")</f>
        <v/>
      </c>
      <c r="O1380" s="99">
        <f>IFERROR(VLOOKUP(B1380,'Pre-Summary'!$BO$6:$BQ$48,3, FALSE),O1379)</f>
        <v>1.2</v>
      </c>
      <c r="P1380" s="99">
        <f>IFERROR(VLOOKUP(B1380,'Pre-Summary'!$BS$6:$BU$35,3,FALSE),P1379)</f>
        <v>0.3</v>
      </c>
      <c r="Q1380" s="54">
        <f t="shared" si="63"/>
        <v>4</v>
      </c>
      <c r="R1380" s="53">
        <f>IFERROR(VLOOKUP(B1380,'Pre-Summary'!$BG$6:$BM$44,7,FALSE),R1381)</f>
        <v>8.8846389403014939E-2</v>
      </c>
      <c r="S1380" s="53">
        <f>IFERROR(VLOOKUP(B1380,'Pre-Summary'!$BG$6:$BM$44,6,FALSE),S1381)</f>
        <v>8.4804948618154546E-2</v>
      </c>
      <c r="T1380" s="45" t="str">
        <f>IFERROR(VLOOKUP(B1380,'Pre-Summary'!$Y$6:$AC$83, 3,FALSE),"")</f>
        <v/>
      </c>
      <c r="U1380" s="45" t="str">
        <f>IFERROR(VLOOKUP(B1380,'Pre-Summary'!$Y$6:$AC$83, 4,FALSE),"")</f>
        <v/>
      </c>
      <c r="V1380" t="str">
        <f>IFERROR(VLOOKUP(B1380,'Pre-Summary'!$Y$6:$AC$83, 5,FALSE),"")</f>
        <v/>
      </c>
      <c r="W1380" s="45" t="str">
        <f>IFERROR(VLOOKUP(B1380,'Pre-Summary'!$Y$6:$AD$83,6,FALSE),"")</f>
        <v/>
      </c>
      <c r="X1380" t="str">
        <f>IFERROR(VLOOKUP('Pre-Summary'!$DB$6:$DD$63,3,FALSE),"")</f>
        <v/>
      </c>
      <c r="Y1380" t="str">
        <f>IFERROR(VLOOKUP(B1380,'Pre-Summary'!$CR$6:$CT$36,3,FALSE),"")</f>
        <v/>
      </c>
      <c r="Z1380" s="45" t="str">
        <f>IFERROR(VLOOKUP(B1380,'Pre-Summary'!$BZ$6:$CB$63,2,FALSE),"")</f>
        <v/>
      </c>
      <c r="AA1380" s="45" t="str">
        <f>IFERROR(VLOOKUP(B1380,'Pre-Summary'!$CG$6:$CI$70,2,FALSE),"")</f>
        <v/>
      </c>
      <c r="AB1380" s="99">
        <f>IFERROR(VLOOKUP(B1380,'Pre-Summary'!$A$6:$P$178,9,FALSE),AB1381)</f>
        <v>0.2853438274932612</v>
      </c>
      <c r="AC1380" s="10">
        <f>IFERROR(VLOOKUP(Summary!B1380,'Pre-Summary'!$A$6:$P$184,5, FALSE)/100,AC1381)</f>
        <v>0.97350766666666677</v>
      </c>
      <c r="AD1380" s="10">
        <f>IFERROR(VLOOKUP(Summary!B1380,'Pre-Summary'!$A$6:$P$184,3, FALSE)/100,AD1381)</f>
        <v>1.5240999999999999E-2</v>
      </c>
      <c r="AE1380" s="10">
        <f>IFERROR(VLOOKUP(Summary!B1380,'Pre-Summary'!$A$6:$P$184,7, FALSE)/100,AE1381)</f>
        <v>1.1251000000000001E-2</v>
      </c>
      <c r="AF1380" s="99">
        <f t="shared" si="64"/>
        <v>4.348925274824794E-3</v>
      </c>
      <c r="AG1380" s="99">
        <f t="shared" si="65"/>
        <v>3.2104034031266819E-3</v>
      </c>
      <c r="AH1380" s="10" t="str">
        <f>IFERROR(VLOOKUP(B1380,'Pre-Summary'!$AZ$6:$BE$65,3,FALSE),"")</f>
        <v/>
      </c>
      <c r="AI1380" s="10" t="str">
        <f>IFERROR(VLOOKUP(B1380,'Pre-Summary'!$AZ$6:$BE$65,5,FALSE),"")</f>
        <v/>
      </c>
      <c r="AJ1380" s="10" t="str">
        <f>IFERROR(VLOOKUP(B1380,'Pre-Summary'!$AZ$6:$BE$65,4,FALSE),"")</f>
        <v/>
      </c>
      <c r="AK1380" s="10" t="str">
        <f>IFERROR(VLOOKUP(B1380,'Pre-Summary'!$AZ$6:$BE$65,6,FALSE),"")</f>
        <v/>
      </c>
      <c r="AL1380" s="10" t="str">
        <f>IFERROR(VLOOKUP(B1380,'Pre-Summary'!$BG$6:$BL$44,3,FALSE),"")</f>
        <v/>
      </c>
      <c r="AM1380" s="10" t="str">
        <f>IFERROR(VLOOKUP(B1380,'Pre-Summary'!$BG$6:$BL$44,4,FALSE),"")</f>
        <v/>
      </c>
    </row>
    <row r="1381" spans="2:39" ht="15" customHeight="1" x14ac:dyDescent="0.3">
      <c r="B1381">
        <v>137.80000000000001</v>
      </c>
      <c r="C1381" t="str">
        <f>IFERROR(VLOOKUP(B1381,'Pre-Summary'!$DI$6:$DM$23,4,FALSE),"")</f>
        <v/>
      </c>
      <c r="D1381" s="10" t="str">
        <f>IFERROR(VLOOKUP(B1381,'Pre-Summary'!$AT$6:$AX$14,5,FALSE),D1380)</f>
        <v xml:space="preserve">Wolfe v1: put in modified wolfe + EDTA </v>
      </c>
      <c r="E1381" s="10" t="str">
        <f>IFERROR(VLOOKUP(B1381,'Pre-Summary'!$AT$6:$AX$15,4,FALSE),"")</f>
        <v/>
      </c>
      <c r="F1381">
        <f>IFERROR(VLOOKUP(B1381,'Pre-Summary'!$AL$6:$AQ$13,6,FALSE),F1380)</f>
        <v>5.3897368421052638E-2</v>
      </c>
      <c r="G1381" t="str">
        <f>IFERROR(VLOOKUP(B1381,'Pre-Summary'!$AE$6:$AJ$85,3,FALSE),"")</f>
        <v/>
      </c>
      <c r="H1381" t="str">
        <f>IFERROR(VLOOKUP(B1381,'Pre-Summary'!$AE$6:$AJ$85,4,FALSE),"")</f>
        <v/>
      </c>
      <c r="I1381" t="str">
        <f>IFERROR(VLOOKUP(B1381,'Pre-Summary'!$AE$6:$AJ$85,5,FALSE),"")</f>
        <v/>
      </c>
      <c r="J1381" s="45" t="str">
        <f>IFERROR(VLOOKUP(B1381,'Pre-Summary'!$AE$6:$AJ$85,6, FALSE),"")</f>
        <v/>
      </c>
      <c r="K1381" s="45" t="str">
        <f>IFERROR(VLOOKUP(B1381,'Pre-Summary'!$DE$6:$DG$61,3,FALSE),"")</f>
        <v/>
      </c>
      <c r="L1381" s="45" t="str">
        <f>IFERROR(VLOOKUP(B1381,'Pre-Summary'!$CU$6:$CW$36,3,FALSE),"")</f>
        <v/>
      </c>
      <c r="M1381" s="45" t="str">
        <f>IFERROR(VLOOKUP(B1381,'Pre-Summary'!$BW$6:$BY$58,2,FALSE),"")</f>
        <v/>
      </c>
      <c r="N1381" s="45" t="str">
        <f>IFERROR(VLOOKUP(B1381,'Pre-Summary'!$CD$6:$CF$64,2,FALSE),"")</f>
        <v/>
      </c>
      <c r="O1381" s="99">
        <f>IFERROR(VLOOKUP(B1381,'Pre-Summary'!$BO$6:$BQ$48,3, FALSE),O1380)</f>
        <v>1.2</v>
      </c>
      <c r="P1381" s="99">
        <f>IFERROR(VLOOKUP(B1381,'Pre-Summary'!$BS$6:$BU$35,3,FALSE),P1380)</f>
        <v>0.3</v>
      </c>
      <c r="Q1381" s="54">
        <f t="shared" si="63"/>
        <v>4</v>
      </c>
      <c r="R1381" s="53">
        <f>IFERROR(VLOOKUP(B1381,'Pre-Summary'!$BG$6:$BM$44,7,FALSE),R1382)</f>
        <v>8.8846389403014939E-2</v>
      </c>
      <c r="S1381" s="53">
        <f>IFERROR(VLOOKUP(B1381,'Pre-Summary'!$BG$6:$BM$44,6,FALSE),S1382)</f>
        <v>8.4804948618154546E-2</v>
      </c>
      <c r="T1381" s="45" t="str">
        <f>IFERROR(VLOOKUP(B1381,'Pre-Summary'!$Y$6:$AC$83, 3,FALSE),"")</f>
        <v/>
      </c>
      <c r="U1381" s="45" t="str">
        <f>IFERROR(VLOOKUP(B1381,'Pre-Summary'!$Y$6:$AC$83, 4,FALSE),"")</f>
        <v/>
      </c>
      <c r="V1381" t="str">
        <f>IFERROR(VLOOKUP(B1381,'Pre-Summary'!$Y$6:$AC$83, 5,FALSE),"")</f>
        <v/>
      </c>
      <c r="W1381" s="45" t="str">
        <f>IFERROR(VLOOKUP(B1381,'Pre-Summary'!$Y$6:$AD$83,6,FALSE),"")</f>
        <v/>
      </c>
      <c r="X1381" t="str">
        <f>IFERROR(VLOOKUP('Pre-Summary'!$DB$6:$DD$63,3,FALSE),"")</f>
        <v/>
      </c>
      <c r="Y1381" t="str">
        <f>IFERROR(VLOOKUP(B1381,'Pre-Summary'!$CR$6:$CT$36,3,FALSE),"")</f>
        <v/>
      </c>
      <c r="Z1381" s="45" t="str">
        <f>IFERROR(VLOOKUP(B1381,'Pre-Summary'!$BZ$6:$CB$63,2,FALSE),"")</f>
        <v/>
      </c>
      <c r="AA1381" s="45" t="str">
        <f>IFERROR(VLOOKUP(B1381,'Pre-Summary'!$CG$6:$CI$70,2,FALSE),"")</f>
        <v/>
      </c>
      <c r="AB1381" s="99">
        <f>IFERROR(VLOOKUP(B1381,'Pre-Summary'!$A$6:$P$178,9,FALSE),AB1382)</f>
        <v>0.2853438274932612</v>
      </c>
      <c r="AC1381" s="10">
        <f>IFERROR(VLOOKUP(Summary!B1381,'Pre-Summary'!$A$6:$P$184,5, FALSE)/100,AC1382)</f>
        <v>0.97350766666666677</v>
      </c>
      <c r="AD1381" s="10">
        <f>IFERROR(VLOOKUP(Summary!B1381,'Pre-Summary'!$A$6:$P$184,3, FALSE)/100,AD1382)</f>
        <v>1.5240999999999999E-2</v>
      </c>
      <c r="AE1381" s="10">
        <f>IFERROR(VLOOKUP(Summary!B1381,'Pre-Summary'!$A$6:$P$184,7, FALSE)/100,AE1382)</f>
        <v>1.1251000000000001E-2</v>
      </c>
      <c r="AF1381" s="99">
        <f t="shared" si="64"/>
        <v>4.348925274824794E-3</v>
      </c>
      <c r="AG1381" s="99">
        <f t="shared" si="65"/>
        <v>3.2104034031266819E-3</v>
      </c>
      <c r="AH1381" s="10" t="str">
        <f>IFERROR(VLOOKUP(B1381,'Pre-Summary'!$AZ$6:$BE$65,3,FALSE),"")</f>
        <v/>
      </c>
      <c r="AI1381" s="10" t="str">
        <f>IFERROR(VLOOKUP(B1381,'Pre-Summary'!$AZ$6:$BE$65,5,FALSE),"")</f>
        <v/>
      </c>
      <c r="AJ1381" s="10" t="str">
        <f>IFERROR(VLOOKUP(B1381,'Pre-Summary'!$AZ$6:$BE$65,4,FALSE),"")</f>
        <v/>
      </c>
      <c r="AK1381" s="10" t="str">
        <f>IFERROR(VLOOKUP(B1381,'Pre-Summary'!$AZ$6:$BE$65,6,FALSE),"")</f>
        <v/>
      </c>
      <c r="AL1381" s="10" t="str">
        <f>IFERROR(VLOOKUP(B1381,'Pre-Summary'!$BG$6:$BL$44,3,FALSE),"")</f>
        <v/>
      </c>
      <c r="AM1381" s="10" t="str">
        <f>IFERROR(VLOOKUP(B1381,'Pre-Summary'!$BG$6:$BL$44,4,FALSE),"")</f>
        <v/>
      </c>
    </row>
    <row r="1382" spans="2:39" ht="15" customHeight="1" x14ac:dyDescent="0.3">
      <c r="B1382">
        <v>137.9</v>
      </c>
      <c r="C1382" t="str">
        <f>IFERROR(VLOOKUP(B1382,'Pre-Summary'!$DI$6:$DM$23,4,FALSE),"")</f>
        <v/>
      </c>
      <c r="D1382" s="10" t="str">
        <f>IFERROR(VLOOKUP(B1382,'Pre-Summary'!$AT$6:$AX$14,5,FALSE),D1381)</f>
        <v xml:space="preserve">Wolfe v1: put in modified wolfe + EDTA </v>
      </c>
      <c r="E1382" s="10" t="str">
        <f>IFERROR(VLOOKUP(B1382,'Pre-Summary'!$AT$6:$AX$15,4,FALSE),"")</f>
        <v/>
      </c>
      <c r="F1382">
        <f>IFERROR(VLOOKUP(B1382,'Pre-Summary'!$AL$6:$AQ$13,6,FALSE),F1381)</f>
        <v>5.3897368421052638E-2</v>
      </c>
      <c r="G1382" t="str">
        <f>IFERROR(VLOOKUP(B1382,'Pre-Summary'!$AE$6:$AJ$85,3,FALSE),"")</f>
        <v/>
      </c>
      <c r="H1382" t="str">
        <f>IFERROR(VLOOKUP(B1382,'Pre-Summary'!$AE$6:$AJ$85,4,FALSE),"")</f>
        <v/>
      </c>
      <c r="I1382" t="str">
        <f>IFERROR(VLOOKUP(B1382,'Pre-Summary'!$AE$6:$AJ$85,5,FALSE),"")</f>
        <v/>
      </c>
      <c r="J1382" s="45" t="str">
        <f>IFERROR(VLOOKUP(B1382,'Pre-Summary'!$AE$6:$AJ$85,6, FALSE),"")</f>
        <v/>
      </c>
      <c r="K1382" s="45" t="str">
        <f>IFERROR(VLOOKUP(B1382,'Pre-Summary'!$DE$6:$DG$61,3,FALSE),"")</f>
        <v/>
      </c>
      <c r="L1382" s="45" t="str">
        <f>IFERROR(VLOOKUP(B1382,'Pre-Summary'!$CU$6:$CW$36,3,FALSE),"")</f>
        <v/>
      </c>
      <c r="M1382" s="45" t="str">
        <f>IFERROR(VLOOKUP(B1382,'Pre-Summary'!$BW$6:$BY$58,2,FALSE),"")</f>
        <v/>
      </c>
      <c r="N1382" s="45" t="str">
        <f>IFERROR(VLOOKUP(B1382,'Pre-Summary'!$CD$6:$CF$64,2,FALSE),"")</f>
        <v/>
      </c>
      <c r="O1382" s="99">
        <f>IFERROR(VLOOKUP(B1382,'Pre-Summary'!$BO$6:$BQ$48,3, FALSE),O1381)</f>
        <v>1.2</v>
      </c>
      <c r="P1382" s="99">
        <f>IFERROR(VLOOKUP(B1382,'Pre-Summary'!$BS$6:$BU$35,3,FALSE),P1381)</f>
        <v>0.3</v>
      </c>
      <c r="Q1382" s="54">
        <f t="shared" si="63"/>
        <v>4</v>
      </c>
      <c r="R1382" s="53">
        <f>IFERROR(VLOOKUP(B1382,'Pre-Summary'!$BG$6:$BM$44,7,FALSE),R1383)</f>
        <v>8.8846389403014939E-2</v>
      </c>
      <c r="S1382" s="53">
        <f>IFERROR(VLOOKUP(B1382,'Pre-Summary'!$BG$6:$BM$44,6,FALSE),S1383)</f>
        <v>8.4804948618154546E-2</v>
      </c>
      <c r="T1382" s="45" t="str">
        <f>IFERROR(VLOOKUP(B1382,'Pre-Summary'!$Y$6:$AC$83, 3,FALSE),"")</f>
        <v/>
      </c>
      <c r="U1382" s="45" t="str">
        <f>IFERROR(VLOOKUP(B1382,'Pre-Summary'!$Y$6:$AC$83, 4,FALSE),"")</f>
        <v/>
      </c>
      <c r="V1382" t="str">
        <f>IFERROR(VLOOKUP(B1382,'Pre-Summary'!$Y$6:$AC$83, 5,FALSE),"")</f>
        <v/>
      </c>
      <c r="W1382" s="45" t="str">
        <f>IFERROR(VLOOKUP(B1382,'Pre-Summary'!$Y$6:$AD$83,6,FALSE),"")</f>
        <v/>
      </c>
      <c r="X1382" t="str">
        <f>IFERROR(VLOOKUP('Pre-Summary'!$DB$6:$DD$63,3,FALSE),"")</f>
        <v/>
      </c>
      <c r="Y1382" t="str">
        <f>IFERROR(VLOOKUP(B1382,'Pre-Summary'!$CR$6:$CT$36,3,FALSE),"")</f>
        <v/>
      </c>
      <c r="Z1382" s="45" t="str">
        <f>IFERROR(VLOOKUP(B1382,'Pre-Summary'!$BZ$6:$CB$63,2,FALSE),"")</f>
        <v/>
      </c>
      <c r="AA1382" s="45" t="str">
        <f>IFERROR(VLOOKUP(B1382,'Pre-Summary'!$CG$6:$CI$70,2,FALSE),"")</f>
        <v/>
      </c>
      <c r="AB1382" s="99">
        <f>IFERROR(VLOOKUP(B1382,'Pre-Summary'!$A$6:$P$178,9,FALSE),AB1383)</f>
        <v>0.2853438274932612</v>
      </c>
      <c r="AC1382" s="10">
        <f>IFERROR(VLOOKUP(Summary!B1382,'Pre-Summary'!$A$6:$P$184,5, FALSE)/100,AC1383)</f>
        <v>0.97350766666666677</v>
      </c>
      <c r="AD1382" s="10">
        <f>IFERROR(VLOOKUP(Summary!B1382,'Pre-Summary'!$A$6:$P$184,3, FALSE)/100,AD1383)</f>
        <v>1.5240999999999999E-2</v>
      </c>
      <c r="AE1382" s="10">
        <f>IFERROR(VLOOKUP(Summary!B1382,'Pre-Summary'!$A$6:$P$184,7, FALSE)/100,AE1383)</f>
        <v>1.1251000000000001E-2</v>
      </c>
      <c r="AF1382" s="99">
        <f t="shared" si="64"/>
        <v>4.348925274824794E-3</v>
      </c>
      <c r="AG1382" s="99">
        <f t="shared" si="65"/>
        <v>3.2104034031266819E-3</v>
      </c>
      <c r="AH1382" s="10" t="str">
        <f>IFERROR(VLOOKUP(B1382,'Pre-Summary'!$AZ$6:$BE$65,3,FALSE),"")</f>
        <v/>
      </c>
      <c r="AI1382" s="10" t="str">
        <f>IFERROR(VLOOKUP(B1382,'Pre-Summary'!$AZ$6:$BE$65,5,FALSE),"")</f>
        <v/>
      </c>
      <c r="AJ1382" s="10" t="str">
        <f>IFERROR(VLOOKUP(B1382,'Pre-Summary'!$AZ$6:$BE$65,4,FALSE),"")</f>
        <v/>
      </c>
      <c r="AK1382" s="10" t="str">
        <f>IFERROR(VLOOKUP(B1382,'Pre-Summary'!$AZ$6:$BE$65,6,FALSE),"")</f>
        <v/>
      </c>
      <c r="AL1382" s="10" t="str">
        <f>IFERROR(VLOOKUP(B1382,'Pre-Summary'!$BG$6:$BL$44,3,FALSE),"")</f>
        <v/>
      </c>
      <c r="AM1382" s="10" t="str">
        <f>IFERROR(VLOOKUP(B1382,'Pre-Summary'!$BG$6:$BL$44,4,FALSE),"")</f>
        <v/>
      </c>
    </row>
    <row r="1383" spans="2:39" ht="15" customHeight="1" x14ac:dyDescent="0.3">
      <c r="B1383">
        <v>138</v>
      </c>
      <c r="C1383" t="str">
        <f>IFERROR(VLOOKUP(B1383,'Pre-Summary'!$DI$6:$DM$23,4,FALSE),"")</f>
        <v/>
      </c>
      <c r="D1383" s="10" t="str">
        <f>IFERROR(VLOOKUP(B1383,'Pre-Summary'!$AT$6:$AX$14,5,FALSE),D1382)</f>
        <v xml:space="preserve">Wolfe v1: put in modified wolfe + EDTA </v>
      </c>
      <c r="E1383" s="10" t="str">
        <f>IFERROR(VLOOKUP(B1383,'Pre-Summary'!$AT$6:$AX$15,4,FALSE),"")</f>
        <v/>
      </c>
      <c r="F1383">
        <f>IFERROR(VLOOKUP(B1383,'Pre-Summary'!$AL$6:$AQ$13,6,FALSE),F1382)</f>
        <v>5.3897368421052638E-2</v>
      </c>
      <c r="G1383" t="str">
        <f>IFERROR(VLOOKUP(B1383,'Pre-Summary'!$AE$6:$AJ$85,3,FALSE),"")</f>
        <v/>
      </c>
      <c r="H1383" t="str">
        <f>IFERROR(VLOOKUP(B1383,'Pre-Summary'!$AE$6:$AJ$85,4,FALSE),"")</f>
        <v/>
      </c>
      <c r="I1383" t="str">
        <f>IFERROR(VLOOKUP(B1383,'Pre-Summary'!$AE$6:$AJ$85,5,FALSE),"")</f>
        <v/>
      </c>
      <c r="J1383" s="45" t="str">
        <f>IFERROR(VLOOKUP(B1383,'Pre-Summary'!$AE$6:$AJ$85,6, FALSE),"")</f>
        <v/>
      </c>
      <c r="K1383" s="45" t="str">
        <f>IFERROR(VLOOKUP(B1383,'Pre-Summary'!$DE$6:$DG$61,3,FALSE),"")</f>
        <v/>
      </c>
      <c r="L1383" s="45" t="str">
        <f>IFERROR(VLOOKUP(B1383,'Pre-Summary'!$CU$6:$CW$36,3,FALSE),"")</f>
        <v/>
      </c>
      <c r="M1383" s="45" t="str">
        <f>IFERROR(VLOOKUP(B1383,'Pre-Summary'!$BW$6:$BY$58,2,FALSE),"")</f>
        <v/>
      </c>
      <c r="N1383" s="45" t="str">
        <f>IFERROR(VLOOKUP(B1383,'Pre-Summary'!$CD$6:$CF$64,2,FALSE),"")</f>
        <v/>
      </c>
      <c r="O1383" s="99">
        <f>IFERROR(VLOOKUP(B1383,'Pre-Summary'!$BO$6:$BQ$48,3, FALSE),O1382)</f>
        <v>1.2</v>
      </c>
      <c r="P1383" s="99">
        <f>IFERROR(VLOOKUP(B1383,'Pre-Summary'!$BS$6:$BU$35,3,FALSE),P1382)</f>
        <v>0.3</v>
      </c>
      <c r="Q1383" s="54">
        <f t="shared" si="63"/>
        <v>4</v>
      </c>
      <c r="R1383" s="53">
        <f>IFERROR(VLOOKUP(B1383,'Pre-Summary'!$BG$6:$BM$44,7,FALSE),R1384)</f>
        <v>8.8846389403014939E-2</v>
      </c>
      <c r="S1383" s="53">
        <f>IFERROR(VLOOKUP(B1383,'Pre-Summary'!$BG$6:$BM$44,6,FALSE),S1384)</f>
        <v>8.4804948618154546E-2</v>
      </c>
      <c r="T1383" s="45" t="str">
        <f>IFERROR(VLOOKUP(B1383,'Pre-Summary'!$Y$6:$AC$83, 3,FALSE),"")</f>
        <v/>
      </c>
      <c r="U1383" s="45" t="str">
        <f>IFERROR(VLOOKUP(B1383,'Pre-Summary'!$Y$6:$AC$83, 4,FALSE),"")</f>
        <v/>
      </c>
      <c r="V1383" t="str">
        <f>IFERROR(VLOOKUP(B1383,'Pre-Summary'!$Y$6:$AC$83, 5,FALSE),"")</f>
        <v/>
      </c>
      <c r="W1383" s="45" t="str">
        <f>IFERROR(VLOOKUP(B1383,'Pre-Summary'!$Y$6:$AD$83,6,FALSE),"")</f>
        <v/>
      </c>
      <c r="X1383" t="str">
        <f>IFERROR(VLOOKUP('Pre-Summary'!$DB$6:$DD$63,3,FALSE),"")</f>
        <v/>
      </c>
      <c r="Y1383" t="str">
        <f>IFERROR(VLOOKUP(B1383,'Pre-Summary'!$CR$6:$CT$36,3,FALSE),"")</f>
        <v/>
      </c>
      <c r="Z1383" s="45" t="str">
        <f>IFERROR(VLOOKUP(B1383,'Pre-Summary'!$BZ$6:$CB$63,2,FALSE),"")</f>
        <v/>
      </c>
      <c r="AA1383" s="45" t="str">
        <f>IFERROR(VLOOKUP(B1383,'Pre-Summary'!$CG$6:$CI$70,2,FALSE),"")</f>
        <v/>
      </c>
      <c r="AB1383" s="99">
        <f>IFERROR(VLOOKUP(B1383,'Pre-Summary'!$A$6:$P$178,9,FALSE),AB1384)</f>
        <v>0.2853438274932612</v>
      </c>
      <c r="AC1383" s="10">
        <f>IFERROR(VLOOKUP(Summary!B1383,'Pre-Summary'!$A$6:$P$184,5, FALSE)/100,AC1384)</f>
        <v>0.97350766666666677</v>
      </c>
      <c r="AD1383" s="10">
        <f>IFERROR(VLOOKUP(Summary!B1383,'Pre-Summary'!$A$6:$P$184,3, FALSE)/100,AD1384)</f>
        <v>1.5240999999999999E-2</v>
      </c>
      <c r="AE1383" s="10">
        <f>IFERROR(VLOOKUP(Summary!B1383,'Pre-Summary'!$A$6:$P$184,7, FALSE)/100,AE1384)</f>
        <v>1.1251000000000001E-2</v>
      </c>
      <c r="AF1383" s="99">
        <f t="shared" si="64"/>
        <v>4.348925274824794E-3</v>
      </c>
      <c r="AG1383" s="99">
        <f t="shared" si="65"/>
        <v>3.2104034031266819E-3</v>
      </c>
      <c r="AH1383" s="10" t="str">
        <f>IFERROR(VLOOKUP(B1383,'Pre-Summary'!$AZ$6:$BE$65,3,FALSE),"")</f>
        <v/>
      </c>
      <c r="AI1383" s="10" t="str">
        <f>IFERROR(VLOOKUP(B1383,'Pre-Summary'!$AZ$6:$BE$65,5,FALSE),"")</f>
        <v/>
      </c>
      <c r="AJ1383" s="10" t="str">
        <f>IFERROR(VLOOKUP(B1383,'Pre-Summary'!$AZ$6:$BE$65,4,FALSE),"")</f>
        <v/>
      </c>
      <c r="AK1383" s="10" t="str">
        <f>IFERROR(VLOOKUP(B1383,'Pre-Summary'!$AZ$6:$BE$65,6,FALSE),"")</f>
        <v/>
      </c>
      <c r="AL1383" s="10" t="str">
        <f>IFERROR(VLOOKUP(B1383,'Pre-Summary'!$BG$6:$BL$44,3,FALSE),"")</f>
        <v/>
      </c>
      <c r="AM1383" s="10" t="str">
        <f>IFERROR(VLOOKUP(B1383,'Pre-Summary'!$BG$6:$BL$44,4,FALSE),"")</f>
        <v/>
      </c>
    </row>
    <row r="1384" spans="2:39" ht="15" customHeight="1" x14ac:dyDescent="0.3">
      <c r="B1384">
        <v>138.1</v>
      </c>
      <c r="C1384" t="str">
        <f>IFERROR(VLOOKUP(B1384,'Pre-Summary'!$DI$6:$DM$23,4,FALSE),"")</f>
        <v/>
      </c>
      <c r="D1384" s="10" t="str">
        <f>IFERROR(VLOOKUP(B1384,'Pre-Summary'!$AT$6:$AX$14,5,FALSE),D1383)</f>
        <v xml:space="preserve">Wolfe v1: put in modified wolfe + EDTA </v>
      </c>
      <c r="E1384" s="10" t="str">
        <f>IFERROR(VLOOKUP(B1384,'Pre-Summary'!$AT$6:$AX$15,4,FALSE),"")</f>
        <v/>
      </c>
      <c r="F1384">
        <f>IFERROR(VLOOKUP(B1384,'Pre-Summary'!$AL$6:$AQ$13,6,FALSE),F1383)</f>
        <v>5.3897368421052638E-2</v>
      </c>
      <c r="G1384" t="str">
        <f>IFERROR(VLOOKUP(B1384,'Pre-Summary'!$AE$6:$AJ$85,3,FALSE),"")</f>
        <v/>
      </c>
      <c r="H1384" t="str">
        <f>IFERROR(VLOOKUP(B1384,'Pre-Summary'!$AE$6:$AJ$85,4,FALSE),"")</f>
        <v/>
      </c>
      <c r="I1384" t="str">
        <f>IFERROR(VLOOKUP(B1384,'Pre-Summary'!$AE$6:$AJ$85,5,FALSE),"")</f>
        <v/>
      </c>
      <c r="J1384" s="45" t="str">
        <f>IFERROR(VLOOKUP(B1384,'Pre-Summary'!$AE$6:$AJ$85,6, FALSE),"")</f>
        <v/>
      </c>
      <c r="K1384" s="45" t="str">
        <f>IFERROR(VLOOKUP(B1384,'Pre-Summary'!$DE$6:$DG$61,3,FALSE),"")</f>
        <v/>
      </c>
      <c r="L1384" s="45" t="str">
        <f>IFERROR(VLOOKUP(B1384,'Pre-Summary'!$CU$6:$CW$36,3,FALSE),"")</f>
        <v/>
      </c>
      <c r="M1384" s="45" t="str">
        <f>IFERROR(VLOOKUP(B1384,'Pre-Summary'!$BW$6:$BY$58,2,FALSE),"")</f>
        <v/>
      </c>
      <c r="N1384" s="45" t="str">
        <f>IFERROR(VLOOKUP(B1384,'Pre-Summary'!$CD$6:$CF$64,2,FALSE),"")</f>
        <v/>
      </c>
      <c r="O1384" s="99">
        <f>IFERROR(VLOOKUP(B1384,'Pre-Summary'!$BO$6:$BQ$48,3, FALSE),O1383)</f>
        <v>1.2</v>
      </c>
      <c r="P1384" s="99">
        <f>IFERROR(VLOOKUP(B1384,'Pre-Summary'!$BS$6:$BU$35,3,FALSE),P1383)</f>
        <v>0.3</v>
      </c>
      <c r="Q1384" s="54">
        <f t="shared" si="63"/>
        <v>4</v>
      </c>
      <c r="R1384" s="53">
        <f>IFERROR(VLOOKUP(B1384,'Pre-Summary'!$BG$6:$BM$44,7,FALSE),R1385)</f>
        <v>8.8846389403014939E-2</v>
      </c>
      <c r="S1384" s="53">
        <f>IFERROR(VLOOKUP(B1384,'Pre-Summary'!$BG$6:$BM$44,6,FALSE),S1385)</f>
        <v>8.4804948618154546E-2</v>
      </c>
      <c r="T1384" s="45" t="str">
        <f>IFERROR(VLOOKUP(B1384,'Pre-Summary'!$Y$6:$AC$83, 3,FALSE),"")</f>
        <v/>
      </c>
      <c r="U1384" s="45" t="str">
        <f>IFERROR(VLOOKUP(B1384,'Pre-Summary'!$Y$6:$AC$83, 4,FALSE),"")</f>
        <v/>
      </c>
      <c r="V1384" t="str">
        <f>IFERROR(VLOOKUP(B1384,'Pre-Summary'!$Y$6:$AC$83, 5,FALSE),"")</f>
        <v/>
      </c>
      <c r="W1384" s="45" t="str">
        <f>IFERROR(VLOOKUP(B1384,'Pre-Summary'!$Y$6:$AD$83,6,FALSE),"")</f>
        <v/>
      </c>
      <c r="X1384" t="str">
        <f>IFERROR(VLOOKUP('Pre-Summary'!$DB$6:$DD$63,3,FALSE),"")</f>
        <v/>
      </c>
      <c r="Y1384" t="str">
        <f>IFERROR(VLOOKUP(B1384,'Pre-Summary'!$CR$6:$CT$36,3,FALSE),"")</f>
        <v/>
      </c>
      <c r="Z1384" s="45" t="str">
        <f>IFERROR(VLOOKUP(B1384,'Pre-Summary'!$BZ$6:$CB$63,2,FALSE),"")</f>
        <v/>
      </c>
      <c r="AA1384" s="45" t="str">
        <f>IFERROR(VLOOKUP(B1384,'Pre-Summary'!$CG$6:$CI$70,2,FALSE),"")</f>
        <v/>
      </c>
      <c r="AB1384" s="99">
        <f>IFERROR(VLOOKUP(B1384,'Pre-Summary'!$A$6:$P$178,9,FALSE),AB1385)</f>
        <v>0.2853438274932612</v>
      </c>
      <c r="AC1384" s="10">
        <f>IFERROR(VLOOKUP(Summary!B1384,'Pre-Summary'!$A$6:$P$184,5, FALSE)/100,AC1385)</f>
        <v>0.97350766666666677</v>
      </c>
      <c r="AD1384" s="10">
        <f>IFERROR(VLOOKUP(Summary!B1384,'Pre-Summary'!$A$6:$P$184,3, FALSE)/100,AD1385)</f>
        <v>1.5240999999999999E-2</v>
      </c>
      <c r="AE1384" s="10">
        <f>IFERROR(VLOOKUP(Summary!B1384,'Pre-Summary'!$A$6:$P$184,7, FALSE)/100,AE1385)</f>
        <v>1.1251000000000001E-2</v>
      </c>
      <c r="AF1384" s="99">
        <f t="shared" si="64"/>
        <v>4.348925274824794E-3</v>
      </c>
      <c r="AG1384" s="99">
        <f t="shared" si="65"/>
        <v>3.2104034031266819E-3</v>
      </c>
      <c r="AH1384" s="10" t="str">
        <f>IFERROR(VLOOKUP(B1384,'Pre-Summary'!$AZ$6:$BE$65,3,FALSE),"")</f>
        <v/>
      </c>
      <c r="AI1384" s="10" t="str">
        <f>IFERROR(VLOOKUP(B1384,'Pre-Summary'!$AZ$6:$BE$65,5,FALSE),"")</f>
        <v/>
      </c>
      <c r="AJ1384" s="10" t="str">
        <f>IFERROR(VLOOKUP(B1384,'Pre-Summary'!$AZ$6:$BE$65,4,FALSE),"")</f>
        <v/>
      </c>
      <c r="AK1384" s="10" t="str">
        <f>IFERROR(VLOOKUP(B1384,'Pre-Summary'!$AZ$6:$BE$65,6,FALSE),"")</f>
        <v/>
      </c>
      <c r="AL1384" s="10" t="str">
        <f>IFERROR(VLOOKUP(B1384,'Pre-Summary'!$BG$6:$BL$44,3,FALSE),"")</f>
        <v/>
      </c>
      <c r="AM1384" s="10" t="str">
        <f>IFERROR(VLOOKUP(B1384,'Pre-Summary'!$BG$6:$BL$44,4,FALSE),"")</f>
        <v/>
      </c>
    </row>
    <row r="1385" spans="2:39" ht="15" customHeight="1" x14ac:dyDescent="0.3">
      <c r="B1385">
        <v>138.19999999999999</v>
      </c>
      <c r="C1385" t="str">
        <f>IFERROR(VLOOKUP(B1385,'Pre-Summary'!$DI$6:$DM$23,4,FALSE),"")</f>
        <v/>
      </c>
      <c r="D1385" s="10" t="str">
        <f>IFERROR(VLOOKUP(B1385,'Pre-Summary'!$AT$6:$AX$14,5,FALSE),D1384)</f>
        <v xml:space="preserve">Wolfe v1: put in modified wolfe + EDTA </v>
      </c>
      <c r="E1385" s="10" t="str">
        <f>IFERROR(VLOOKUP(B1385,'Pre-Summary'!$AT$6:$AX$15,4,FALSE),"")</f>
        <v/>
      </c>
      <c r="F1385">
        <f>IFERROR(VLOOKUP(B1385,'Pre-Summary'!$AL$6:$AQ$13,6,FALSE),F1384)</f>
        <v>5.3897368421052638E-2</v>
      </c>
      <c r="G1385" t="str">
        <f>IFERROR(VLOOKUP(B1385,'Pre-Summary'!$AE$6:$AJ$85,3,FALSE),"")</f>
        <v/>
      </c>
      <c r="H1385" t="str">
        <f>IFERROR(VLOOKUP(B1385,'Pre-Summary'!$AE$6:$AJ$85,4,FALSE),"")</f>
        <v/>
      </c>
      <c r="I1385" t="str">
        <f>IFERROR(VLOOKUP(B1385,'Pre-Summary'!$AE$6:$AJ$85,5,FALSE),"")</f>
        <v/>
      </c>
      <c r="J1385" s="45" t="str">
        <f>IFERROR(VLOOKUP(B1385,'Pre-Summary'!$AE$6:$AJ$85,6, FALSE),"")</f>
        <v/>
      </c>
      <c r="K1385" s="45" t="str">
        <f>IFERROR(VLOOKUP(B1385,'Pre-Summary'!$DE$6:$DG$61,3,FALSE),"")</f>
        <v/>
      </c>
      <c r="L1385" s="45" t="str">
        <f>IFERROR(VLOOKUP(B1385,'Pre-Summary'!$CU$6:$CW$36,3,FALSE),"")</f>
        <v/>
      </c>
      <c r="M1385" s="45" t="str">
        <f>IFERROR(VLOOKUP(B1385,'Pre-Summary'!$BW$6:$BY$58,2,FALSE),"")</f>
        <v/>
      </c>
      <c r="N1385" s="45" t="str">
        <f>IFERROR(VLOOKUP(B1385,'Pre-Summary'!$CD$6:$CF$64,2,FALSE),"")</f>
        <v/>
      </c>
      <c r="O1385" s="99">
        <f>IFERROR(VLOOKUP(B1385,'Pre-Summary'!$BO$6:$BQ$48,3, FALSE),O1384)</f>
        <v>1.2</v>
      </c>
      <c r="P1385" s="99">
        <f>IFERROR(VLOOKUP(B1385,'Pre-Summary'!$BS$6:$BU$35,3,FALSE),P1384)</f>
        <v>0.3</v>
      </c>
      <c r="Q1385" s="54">
        <f t="shared" si="63"/>
        <v>4</v>
      </c>
      <c r="R1385" s="53">
        <f>IFERROR(VLOOKUP(B1385,'Pre-Summary'!$BG$6:$BM$44,7,FALSE),R1386)</f>
        <v>8.8846389403014939E-2</v>
      </c>
      <c r="S1385" s="53">
        <f>IFERROR(VLOOKUP(B1385,'Pre-Summary'!$BG$6:$BM$44,6,FALSE),S1386)</f>
        <v>8.4804948618154546E-2</v>
      </c>
      <c r="T1385" s="45" t="str">
        <f>IFERROR(VLOOKUP(B1385,'Pre-Summary'!$Y$6:$AC$83, 3,FALSE),"")</f>
        <v/>
      </c>
      <c r="U1385" s="45" t="str">
        <f>IFERROR(VLOOKUP(B1385,'Pre-Summary'!$Y$6:$AC$83, 4,FALSE),"")</f>
        <v/>
      </c>
      <c r="V1385" t="str">
        <f>IFERROR(VLOOKUP(B1385,'Pre-Summary'!$Y$6:$AC$83, 5,FALSE),"")</f>
        <v/>
      </c>
      <c r="W1385" s="45" t="str">
        <f>IFERROR(VLOOKUP(B1385,'Pre-Summary'!$Y$6:$AD$83,6,FALSE),"")</f>
        <v/>
      </c>
      <c r="X1385" t="str">
        <f>IFERROR(VLOOKUP('Pre-Summary'!$DB$6:$DD$63,3,FALSE),"")</f>
        <v/>
      </c>
      <c r="Y1385" t="str">
        <f>IFERROR(VLOOKUP(B1385,'Pre-Summary'!$CR$6:$CT$36,3,FALSE),"")</f>
        <v/>
      </c>
      <c r="Z1385" s="45" t="str">
        <f>IFERROR(VLOOKUP(B1385,'Pre-Summary'!$BZ$6:$CB$63,2,FALSE),"")</f>
        <v/>
      </c>
      <c r="AA1385" s="45" t="str">
        <f>IFERROR(VLOOKUP(B1385,'Pre-Summary'!$CG$6:$CI$70,2,FALSE),"")</f>
        <v/>
      </c>
      <c r="AB1385" s="99">
        <f>IFERROR(VLOOKUP(B1385,'Pre-Summary'!$A$6:$P$178,9,FALSE),AB1386)</f>
        <v>0.2853438274932612</v>
      </c>
      <c r="AC1385" s="10">
        <f>IFERROR(VLOOKUP(Summary!B1385,'Pre-Summary'!$A$6:$P$184,5, FALSE)/100,AC1386)</f>
        <v>0.97350766666666677</v>
      </c>
      <c r="AD1385" s="10">
        <f>IFERROR(VLOOKUP(Summary!B1385,'Pre-Summary'!$A$6:$P$184,3, FALSE)/100,AD1386)</f>
        <v>1.5240999999999999E-2</v>
      </c>
      <c r="AE1385" s="10">
        <f>IFERROR(VLOOKUP(Summary!B1385,'Pre-Summary'!$A$6:$P$184,7, FALSE)/100,AE1386)</f>
        <v>1.1251000000000001E-2</v>
      </c>
      <c r="AF1385" s="99">
        <f t="shared" si="64"/>
        <v>4.348925274824794E-3</v>
      </c>
      <c r="AG1385" s="99">
        <f t="shared" si="65"/>
        <v>3.2104034031266819E-3</v>
      </c>
      <c r="AH1385" s="10" t="str">
        <f>IFERROR(VLOOKUP(B1385,'Pre-Summary'!$AZ$6:$BE$65,3,FALSE),"")</f>
        <v/>
      </c>
      <c r="AI1385" s="10" t="str">
        <f>IFERROR(VLOOKUP(B1385,'Pre-Summary'!$AZ$6:$BE$65,5,FALSE),"")</f>
        <v/>
      </c>
      <c r="AJ1385" s="10" t="str">
        <f>IFERROR(VLOOKUP(B1385,'Pre-Summary'!$AZ$6:$BE$65,4,FALSE),"")</f>
        <v/>
      </c>
      <c r="AK1385" s="10" t="str">
        <f>IFERROR(VLOOKUP(B1385,'Pre-Summary'!$AZ$6:$BE$65,6,FALSE),"")</f>
        <v/>
      </c>
      <c r="AL1385" s="10" t="str">
        <f>IFERROR(VLOOKUP(B1385,'Pre-Summary'!$BG$6:$BL$44,3,FALSE),"")</f>
        <v/>
      </c>
      <c r="AM1385" s="10" t="str">
        <f>IFERROR(VLOOKUP(B1385,'Pre-Summary'!$BG$6:$BL$44,4,FALSE),"")</f>
        <v/>
      </c>
    </row>
    <row r="1386" spans="2:39" ht="15" customHeight="1" x14ac:dyDescent="0.3">
      <c r="B1386">
        <v>138.30000000000001</v>
      </c>
      <c r="C1386" t="str">
        <f>IFERROR(VLOOKUP(B1386,'Pre-Summary'!$DI$6:$DM$23,4,FALSE),"")</f>
        <v/>
      </c>
      <c r="D1386" s="10" t="str">
        <f>IFERROR(VLOOKUP(B1386,'Pre-Summary'!$AT$6:$AX$14,5,FALSE),D1385)</f>
        <v xml:space="preserve">Wolfe v1: put in modified wolfe + EDTA </v>
      </c>
      <c r="E1386" s="10" t="str">
        <f>IFERROR(VLOOKUP(B1386,'Pre-Summary'!$AT$6:$AX$15,4,FALSE),"")</f>
        <v/>
      </c>
      <c r="F1386">
        <f>IFERROR(VLOOKUP(B1386,'Pre-Summary'!$AL$6:$AQ$13,6,FALSE),F1385)</f>
        <v>5.3897368421052638E-2</v>
      </c>
      <c r="G1386" t="str">
        <f>IFERROR(VLOOKUP(B1386,'Pre-Summary'!$AE$6:$AJ$85,3,FALSE),"")</f>
        <v/>
      </c>
      <c r="H1386" t="str">
        <f>IFERROR(VLOOKUP(B1386,'Pre-Summary'!$AE$6:$AJ$85,4,FALSE),"")</f>
        <v/>
      </c>
      <c r="I1386" t="str">
        <f>IFERROR(VLOOKUP(B1386,'Pre-Summary'!$AE$6:$AJ$85,5,FALSE),"")</f>
        <v/>
      </c>
      <c r="J1386" s="45" t="str">
        <f>IFERROR(VLOOKUP(B1386,'Pre-Summary'!$AE$6:$AJ$85,6, FALSE),"")</f>
        <v/>
      </c>
      <c r="K1386" s="45" t="str">
        <f>IFERROR(VLOOKUP(B1386,'Pre-Summary'!$DE$6:$DG$61,3,FALSE),"")</f>
        <v/>
      </c>
      <c r="L1386" s="45" t="str">
        <f>IFERROR(VLOOKUP(B1386,'Pre-Summary'!$CU$6:$CW$36,3,FALSE),"")</f>
        <v/>
      </c>
      <c r="M1386" s="45" t="str">
        <f>IFERROR(VLOOKUP(B1386,'Pre-Summary'!$BW$6:$BY$58,2,FALSE),"")</f>
        <v/>
      </c>
      <c r="N1386" s="45" t="str">
        <f>IFERROR(VLOOKUP(B1386,'Pre-Summary'!$CD$6:$CF$64,2,FALSE),"")</f>
        <v/>
      </c>
      <c r="O1386" s="99">
        <f>IFERROR(VLOOKUP(B1386,'Pre-Summary'!$BO$6:$BQ$48,3, FALSE),O1385)</f>
        <v>1.2</v>
      </c>
      <c r="P1386" s="99">
        <f>IFERROR(VLOOKUP(B1386,'Pre-Summary'!$BS$6:$BU$35,3,FALSE),P1385)</f>
        <v>0.3</v>
      </c>
      <c r="Q1386" s="54">
        <f t="shared" si="63"/>
        <v>4</v>
      </c>
      <c r="R1386" s="53">
        <f>IFERROR(VLOOKUP(B1386,'Pre-Summary'!$BG$6:$BM$44,7,FALSE),R1387)</f>
        <v>8.8846389403014939E-2</v>
      </c>
      <c r="S1386" s="53">
        <f>IFERROR(VLOOKUP(B1386,'Pre-Summary'!$BG$6:$BM$44,6,FALSE),S1387)</f>
        <v>8.4804948618154546E-2</v>
      </c>
      <c r="T1386" s="45" t="str">
        <f>IFERROR(VLOOKUP(B1386,'Pre-Summary'!$Y$6:$AC$83, 3,FALSE),"")</f>
        <v/>
      </c>
      <c r="U1386" s="45" t="str">
        <f>IFERROR(VLOOKUP(B1386,'Pre-Summary'!$Y$6:$AC$83, 4,FALSE),"")</f>
        <v/>
      </c>
      <c r="V1386" t="str">
        <f>IFERROR(VLOOKUP(B1386,'Pre-Summary'!$Y$6:$AC$83, 5,FALSE),"")</f>
        <v/>
      </c>
      <c r="W1386" s="45" t="str">
        <f>IFERROR(VLOOKUP(B1386,'Pre-Summary'!$Y$6:$AD$83,6,FALSE),"")</f>
        <v/>
      </c>
      <c r="X1386" t="str">
        <f>IFERROR(VLOOKUP('Pre-Summary'!$DB$6:$DD$63,3,FALSE),"")</f>
        <v/>
      </c>
      <c r="Y1386" t="str">
        <f>IFERROR(VLOOKUP(B1386,'Pre-Summary'!$CR$6:$CT$36,3,FALSE),"")</f>
        <v/>
      </c>
      <c r="Z1386" s="45" t="str">
        <f>IFERROR(VLOOKUP(B1386,'Pre-Summary'!$BZ$6:$CB$63,2,FALSE),"")</f>
        <v/>
      </c>
      <c r="AA1386" s="45" t="str">
        <f>IFERROR(VLOOKUP(B1386,'Pre-Summary'!$CG$6:$CI$70,2,FALSE),"")</f>
        <v/>
      </c>
      <c r="AB1386" s="99">
        <f>IFERROR(VLOOKUP(B1386,'Pre-Summary'!$A$6:$P$178,9,FALSE),AB1387)</f>
        <v>0.2853438274932612</v>
      </c>
      <c r="AC1386" s="10">
        <f>IFERROR(VLOOKUP(Summary!B1386,'Pre-Summary'!$A$6:$P$184,5, FALSE)/100,AC1387)</f>
        <v>0.97350766666666677</v>
      </c>
      <c r="AD1386" s="10">
        <f>IFERROR(VLOOKUP(Summary!B1386,'Pre-Summary'!$A$6:$P$184,3, FALSE)/100,AD1387)</f>
        <v>1.5240999999999999E-2</v>
      </c>
      <c r="AE1386" s="10">
        <f>IFERROR(VLOOKUP(Summary!B1386,'Pre-Summary'!$A$6:$P$184,7, FALSE)/100,AE1387)</f>
        <v>1.1251000000000001E-2</v>
      </c>
      <c r="AF1386" s="99">
        <f t="shared" si="64"/>
        <v>4.348925274824794E-3</v>
      </c>
      <c r="AG1386" s="99">
        <f t="shared" si="65"/>
        <v>3.2104034031266819E-3</v>
      </c>
      <c r="AH1386" s="10" t="str">
        <f>IFERROR(VLOOKUP(B1386,'Pre-Summary'!$AZ$6:$BE$65,3,FALSE),"")</f>
        <v/>
      </c>
      <c r="AI1386" s="10" t="str">
        <f>IFERROR(VLOOKUP(B1386,'Pre-Summary'!$AZ$6:$BE$65,5,FALSE),"")</f>
        <v/>
      </c>
      <c r="AJ1386" s="10" t="str">
        <f>IFERROR(VLOOKUP(B1386,'Pre-Summary'!$AZ$6:$BE$65,4,FALSE),"")</f>
        <v/>
      </c>
      <c r="AK1386" s="10" t="str">
        <f>IFERROR(VLOOKUP(B1386,'Pre-Summary'!$AZ$6:$BE$65,6,FALSE),"")</f>
        <v/>
      </c>
      <c r="AL1386" s="10" t="str">
        <f>IFERROR(VLOOKUP(B1386,'Pre-Summary'!$BG$6:$BL$44,3,FALSE),"")</f>
        <v/>
      </c>
      <c r="AM1386" s="10" t="str">
        <f>IFERROR(VLOOKUP(B1386,'Pre-Summary'!$BG$6:$BL$44,4,FALSE),"")</f>
        <v/>
      </c>
    </row>
    <row r="1387" spans="2:39" ht="15" customHeight="1" x14ac:dyDescent="0.3">
      <c r="B1387">
        <v>138.4</v>
      </c>
      <c r="C1387" t="str">
        <f>IFERROR(VLOOKUP(B1387,'Pre-Summary'!$DI$6:$DM$23,4,FALSE),"")</f>
        <v/>
      </c>
      <c r="D1387" s="10" t="str">
        <f>IFERROR(VLOOKUP(B1387,'Pre-Summary'!$AT$6:$AX$14,5,FALSE),D1386)</f>
        <v xml:space="preserve">Wolfe v1: put in modified wolfe + EDTA </v>
      </c>
      <c r="E1387" s="10" t="str">
        <f>IFERROR(VLOOKUP(B1387,'Pre-Summary'!$AT$6:$AX$15,4,FALSE),"")</f>
        <v/>
      </c>
      <c r="F1387">
        <f>IFERROR(VLOOKUP(B1387,'Pre-Summary'!$AL$6:$AQ$13,6,FALSE),F1386)</f>
        <v>5.3897368421052638E-2</v>
      </c>
      <c r="G1387" t="str">
        <f>IFERROR(VLOOKUP(B1387,'Pre-Summary'!$AE$6:$AJ$85,3,FALSE),"")</f>
        <v/>
      </c>
      <c r="H1387" t="str">
        <f>IFERROR(VLOOKUP(B1387,'Pre-Summary'!$AE$6:$AJ$85,4,FALSE),"")</f>
        <v/>
      </c>
      <c r="I1387" t="str">
        <f>IFERROR(VLOOKUP(B1387,'Pre-Summary'!$AE$6:$AJ$85,5,FALSE),"")</f>
        <v/>
      </c>
      <c r="J1387" s="45" t="str">
        <f>IFERROR(VLOOKUP(B1387,'Pre-Summary'!$AE$6:$AJ$85,6, FALSE),"")</f>
        <v/>
      </c>
      <c r="K1387" s="45" t="str">
        <f>IFERROR(VLOOKUP(B1387,'Pre-Summary'!$DE$6:$DG$61,3,FALSE),"")</f>
        <v/>
      </c>
      <c r="L1387" s="45" t="str">
        <f>IFERROR(VLOOKUP(B1387,'Pre-Summary'!$CU$6:$CW$36,3,FALSE),"")</f>
        <v/>
      </c>
      <c r="M1387" s="45" t="str">
        <f>IFERROR(VLOOKUP(B1387,'Pre-Summary'!$BW$6:$BY$58,2,FALSE),"")</f>
        <v/>
      </c>
      <c r="N1387" s="45" t="str">
        <f>IFERROR(VLOOKUP(B1387,'Pre-Summary'!$CD$6:$CF$64,2,FALSE),"")</f>
        <v/>
      </c>
      <c r="O1387" s="99">
        <f>IFERROR(VLOOKUP(B1387,'Pre-Summary'!$BO$6:$BQ$48,3, FALSE),O1386)</f>
        <v>1.2</v>
      </c>
      <c r="P1387" s="99">
        <f>IFERROR(VLOOKUP(B1387,'Pre-Summary'!$BS$6:$BU$35,3,FALSE),P1386)</f>
        <v>0.3</v>
      </c>
      <c r="Q1387" s="54">
        <f t="shared" si="63"/>
        <v>4</v>
      </c>
      <c r="R1387" s="53">
        <f>IFERROR(VLOOKUP(B1387,'Pre-Summary'!$BG$6:$BM$44,7,FALSE),R1388)</f>
        <v>8.8846389403014939E-2</v>
      </c>
      <c r="S1387" s="53">
        <f>IFERROR(VLOOKUP(B1387,'Pre-Summary'!$BG$6:$BM$44,6,FALSE),S1388)</f>
        <v>8.4804948618154546E-2</v>
      </c>
      <c r="T1387" s="45" t="str">
        <f>IFERROR(VLOOKUP(B1387,'Pre-Summary'!$Y$6:$AC$83, 3,FALSE),"")</f>
        <v/>
      </c>
      <c r="U1387" s="45" t="str">
        <f>IFERROR(VLOOKUP(B1387,'Pre-Summary'!$Y$6:$AC$83, 4,FALSE),"")</f>
        <v/>
      </c>
      <c r="V1387" t="str">
        <f>IFERROR(VLOOKUP(B1387,'Pre-Summary'!$Y$6:$AC$83, 5,FALSE),"")</f>
        <v/>
      </c>
      <c r="W1387" s="45" t="str">
        <f>IFERROR(VLOOKUP(B1387,'Pre-Summary'!$Y$6:$AD$83,6,FALSE),"")</f>
        <v/>
      </c>
      <c r="X1387" t="str">
        <f>IFERROR(VLOOKUP('Pre-Summary'!$DB$6:$DD$63,3,FALSE),"")</f>
        <v/>
      </c>
      <c r="Y1387" t="str">
        <f>IFERROR(VLOOKUP(B1387,'Pre-Summary'!$CR$6:$CT$36,3,FALSE),"")</f>
        <v/>
      </c>
      <c r="Z1387" s="45" t="str">
        <f>IFERROR(VLOOKUP(B1387,'Pre-Summary'!$BZ$6:$CB$63,2,FALSE),"")</f>
        <v/>
      </c>
      <c r="AA1387" s="45" t="str">
        <f>IFERROR(VLOOKUP(B1387,'Pre-Summary'!$CG$6:$CI$70,2,FALSE),"")</f>
        <v/>
      </c>
      <c r="AB1387" s="99">
        <f>IFERROR(VLOOKUP(B1387,'Pre-Summary'!$A$6:$P$178,9,FALSE),AB1388)</f>
        <v>0.2853438274932612</v>
      </c>
      <c r="AC1387" s="10">
        <f>IFERROR(VLOOKUP(Summary!B1387,'Pre-Summary'!$A$6:$P$184,5, FALSE)/100,AC1388)</f>
        <v>0.97350766666666677</v>
      </c>
      <c r="AD1387" s="10">
        <f>IFERROR(VLOOKUP(Summary!B1387,'Pre-Summary'!$A$6:$P$184,3, FALSE)/100,AD1388)</f>
        <v>1.5240999999999999E-2</v>
      </c>
      <c r="AE1387" s="10">
        <f>IFERROR(VLOOKUP(Summary!B1387,'Pre-Summary'!$A$6:$P$184,7, FALSE)/100,AE1388)</f>
        <v>1.1251000000000001E-2</v>
      </c>
      <c r="AF1387" s="99">
        <f t="shared" si="64"/>
        <v>4.348925274824794E-3</v>
      </c>
      <c r="AG1387" s="99">
        <f t="shared" si="65"/>
        <v>3.2104034031266819E-3</v>
      </c>
      <c r="AH1387" s="10" t="str">
        <f>IFERROR(VLOOKUP(B1387,'Pre-Summary'!$AZ$6:$BE$65,3,FALSE),"")</f>
        <v/>
      </c>
      <c r="AI1387" s="10" t="str">
        <f>IFERROR(VLOOKUP(B1387,'Pre-Summary'!$AZ$6:$BE$65,5,FALSE),"")</f>
        <v/>
      </c>
      <c r="AJ1387" s="10" t="str">
        <f>IFERROR(VLOOKUP(B1387,'Pre-Summary'!$AZ$6:$BE$65,4,FALSE),"")</f>
        <v/>
      </c>
      <c r="AK1387" s="10" t="str">
        <f>IFERROR(VLOOKUP(B1387,'Pre-Summary'!$AZ$6:$BE$65,6,FALSE),"")</f>
        <v/>
      </c>
      <c r="AL1387" s="10" t="str">
        <f>IFERROR(VLOOKUP(B1387,'Pre-Summary'!$BG$6:$BL$44,3,FALSE),"")</f>
        <v/>
      </c>
      <c r="AM1387" s="10" t="str">
        <f>IFERROR(VLOOKUP(B1387,'Pre-Summary'!$BG$6:$BL$44,4,FALSE),"")</f>
        <v/>
      </c>
    </row>
    <row r="1388" spans="2:39" ht="15" customHeight="1" x14ac:dyDescent="0.3">
      <c r="B1388">
        <v>138.5</v>
      </c>
      <c r="C1388" t="str">
        <f>IFERROR(VLOOKUP(B1388,'Pre-Summary'!$DI$6:$DM$23,4,FALSE),"")</f>
        <v/>
      </c>
      <c r="D1388" s="10" t="str">
        <f>IFERROR(VLOOKUP(B1388,'Pre-Summary'!$AT$6:$AX$14,5,FALSE),D1387)</f>
        <v xml:space="preserve">Wolfe v1: put in modified wolfe + EDTA </v>
      </c>
      <c r="E1388" s="10" t="str">
        <f>IFERROR(VLOOKUP(B1388,'Pre-Summary'!$AT$6:$AX$15,4,FALSE),"")</f>
        <v/>
      </c>
      <c r="F1388">
        <f>IFERROR(VLOOKUP(B1388,'Pre-Summary'!$AL$6:$AQ$13,6,FALSE),F1387)</f>
        <v>5.3897368421052638E-2</v>
      </c>
      <c r="G1388" t="str">
        <f>IFERROR(VLOOKUP(B1388,'Pre-Summary'!$AE$6:$AJ$85,3,FALSE),"")</f>
        <v/>
      </c>
      <c r="H1388" t="str">
        <f>IFERROR(VLOOKUP(B1388,'Pre-Summary'!$AE$6:$AJ$85,4,FALSE),"")</f>
        <v/>
      </c>
      <c r="I1388" t="str">
        <f>IFERROR(VLOOKUP(B1388,'Pre-Summary'!$AE$6:$AJ$85,5,FALSE),"")</f>
        <v/>
      </c>
      <c r="J1388" s="45" t="str">
        <f>IFERROR(VLOOKUP(B1388,'Pre-Summary'!$AE$6:$AJ$85,6, FALSE),"")</f>
        <v/>
      </c>
      <c r="K1388" s="45" t="str">
        <f>IFERROR(VLOOKUP(B1388,'Pre-Summary'!$DE$6:$DG$61,3,FALSE),"")</f>
        <v/>
      </c>
      <c r="L1388" s="45" t="str">
        <f>IFERROR(VLOOKUP(B1388,'Pre-Summary'!$CU$6:$CW$36,3,FALSE),"")</f>
        <v/>
      </c>
      <c r="M1388" s="45" t="str">
        <f>IFERROR(VLOOKUP(B1388,'Pre-Summary'!$BW$6:$BY$58,2,FALSE),"")</f>
        <v/>
      </c>
      <c r="N1388" s="45">
        <f>IFERROR(VLOOKUP(B1388,'Pre-Summary'!$CD$6:$CF$64,2,FALSE),"")</f>
        <v>379.81316907999155</v>
      </c>
      <c r="O1388" s="99">
        <f>IFERROR(VLOOKUP(B1388,'Pre-Summary'!$BO$6:$BQ$48,3, FALSE),O1387)</f>
        <v>1.2</v>
      </c>
      <c r="P1388" s="99">
        <f>IFERROR(VLOOKUP(B1388,'Pre-Summary'!$BS$6:$BU$35,3,FALSE),P1387)</f>
        <v>0.3</v>
      </c>
      <c r="Q1388" s="54">
        <f t="shared" si="63"/>
        <v>4</v>
      </c>
      <c r="R1388" s="53">
        <f>IFERROR(VLOOKUP(B1388,'Pre-Summary'!$BG$6:$BM$44,7,FALSE),R1389)</f>
        <v>8.8846389403014939E-2</v>
      </c>
      <c r="S1388" s="53">
        <f>IFERROR(VLOOKUP(B1388,'Pre-Summary'!$BG$6:$BM$44,6,FALSE),S1389)</f>
        <v>8.4804948618154546E-2</v>
      </c>
      <c r="T1388" s="45" t="str">
        <f>IFERROR(VLOOKUP(B1388,'Pre-Summary'!$Y$6:$AC$83, 3,FALSE),"")</f>
        <v/>
      </c>
      <c r="U1388" s="45" t="str">
        <f>IFERROR(VLOOKUP(B1388,'Pre-Summary'!$Y$6:$AC$83, 4,FALSE),"")</f>
        <v/>
      </c>
      <c r="V1388" t="str">
        <f>IFERROR(VLOOKUP(B1388,'Pre-Summary'!$Y$6:$AC$83, 5,FALSE),"")</f>
        <v/>
      </c>
      <c r="W1388" s="45" t="str">
        <f>IFERROR(VLOOKUP(B1388,'Pre-Summary'!$Y$6:$AD$83,6,FALSE),"")</f>
        <v/>
      </c>
      <c r="X1388" t="str">
        <f>IFERROR(VLOOKUP('Pre-Summary'!$DB$6:$DD$63,3,FALSE),"")</f>
        <v/>
      </c>
      <c r="Y1388" t="str">
        <f>IFERROR(VLOOKUP(B1388,'Pre-Summary'!$CR$6:$CT$36,3,FALSE),"")</f>
        <v/>
      </c>
      <c r="Z1388" s="45" t="str">
        <f>IFERROR(VLOOKUP(B1388,'Pre-Summary'!$BZ$6:$CB$63,2,FALSE),"")</f>
        <v/>
      </c>
      <c r="AA1388" s="45" t="str">
        <f>IFERROR(VLOOKUP(B1388,'Pre-Summary'!$CG$6:$CI$70,2,FALSE),"")</f>
        <v/>
      </c>
      <c r="AB1388" s="99">
        <f>IFERROR(VLOOKUP(B1388,'Pre-Summary'!$A$6:$P$178,9,FALSE),AB1389)</f>
        <v>0.2853438274932612</v>
      </c>
      <c r="AC1388" s="10">
        <f>IFERROR(VLOOKUP(Summary!B1388,'Pre-Summary'!$A$6:$P$184,5, FALSE)/100,AC1389)</f>
        <v>0.97350766666666677</v>
      </c>
      <c r="AD1388" s="10">
        <f>IFERROR(VLOOKUP(Summary!B1388,'Pre-Summary'!$A$6:$P$184,3, FALSE)/100,AD1389)</f>
        <v>1.5240999999999999E-2</v>
      </c>
      <c r="AE1388" s="10">
        <f>IFERROR(VLOOKUP(Summary!B1388,'Pre-Summary'!$A$6:$P$184,7, FALSE)/100,AE1389)</f>
        <v>1.1251000000000001E-2</v>
      </c>
      <c r="AF1388" s="99">
        <f t="shared" si="64"/>
        <v>4.348925274824794E-3</v>
      </c>
      <c r="AG1388" s="99">
        <f t="shared" si="65"/>
        <v>3.2104034031266819E-3</v>
      </c>
      <c r="AH1388" s="10" t="str">
        <f>IFERROR(VLOOKUP(B1388,'Pre-Summary'!$AZ$6:$BE$65,3,FALSE),"")</f>
        <v/>
      </c>
      <c r="AI1388" s="10" t="str">
        <f>IFERROR(VLOOKUP(B1388,'Pre-Summary'!$AZ$6:$BE$65,5,FALSE),"")</f>
        <v/>
      </c>
      <c r="AJ1388" s="10" t="str">
        <f>IFERROR(VLOOKUP(B1388,'Pre-Summary'!$AZ$6:$BE$65,4,FALSE),"")</f>
        <v/>
      </c>
      <c r="AK1388" s="10" t="str">
        <f>IFERROR(VLOOKUP(B1388,'Pre-Summary'!$AZ$6:$BE$65,6,FALSE),"")</f>
        <v/>
      </c>
      <c r="AL1388" s="10" t="str">
        <f>IFERROR(VLOOKUP(B1388,'Pre-Summary'!$BG$6:$BL$44,3,FALSE),"")</f>
        <v/>
      </c>
      <c r="AM1388" s="10" t="str">
        <f>IFERROR(VLOOKUP(B1388,'Pre-Summary'!$BG$6:$BL$44,4,FALSE),"")</f>
        <v/>
      </c>
    </row>
    <row r="1389" spans="2:39" ht="15" customHeight="1" x14ac:dyDescent="0.3">
      <c r="B1389">
        <v>138.6</v>
      </c>
      <c r="C1389" t="str">
        <f>IFERROR(VLOOKUP(B1389,'Pre-Summary'!$DI$6:$DM$23,4,FALSE),"")</f>
        <v/>
      </c>
      <c r="D1389" s="10" t="str">
        <f>IFERROR(VLOOKUP(B1389,'Pre-Summary'!$AT$6:$AX$14,5,FALSE),D1388)</f>
        <v xml:space="preserve">Wolfe v1: put in modified wolfe + EDTA </v>
      </c>
      <c r="E1389" s="10" t="str">
        <f>IFERROR(VLOOKUP(B1389,'Pre-Summary'!$AT$6:$AX$15,4,FALSE),"")</f>
        <v/>
      </c>
      <c r="F1389">
        <f>IFERROR(VLOOKUP(B1389,'Pre-Summary'!$AL$6:$AQ$13,6,FALSE),F1388)</f>
        <v>5.3897368421052638E-2</v>
      </c>
      <c r="G1389" t="str">
        <f>IFERROR(VLOOKUP(B1389,'Pre-Summary'!$AE$6:$AJ$85,3,FALSE),"")</f>
        <v/>
      </c>
      <c r="H1389" t="str">
        <f>IFERROR(VLOOKUP(B1389,'Pre-Summary'!$AE$6:$AJ$85,4,FALSE),"")</f>
        <v/>
      </c>
      <c r="I1389" t="str">
        <f>IFERROR(VLOOKUP(B1389,'Pre-Summary'!$AE$6:$AJ$85,5,FALSE),"")</f>
        <v/>
      </c>
      <c r="J1389" s="45" t="str">
        <f>IFERROR(VLOOKUP(B1389,'Pre-Summary'!$AE$6:$AJ$85,6, FALSE),"")</f>
        <v/>
      </c>
      <c r="K1389" s="45" t="str">
        <f>IFERROR(VLOOKUP(B1389,'Pre-Summary'!$DE$6:$DG$61,3,FALSE),"")</f>
        <v/>
      </c>
      <c r="L1389" s="45" t="str">
        <f>IFERROR(VLOOKUP(B1389,'Pre-Summary'!$CU$6:$CW$36,3,FALSE),"")</f>
        <v/>
      </c>
      <c r="M1389" s="45" t="str">
        <f>IFERROR(VLOOKUP(B1389,'Pre-Summary'!$BW$6:$BY$58,2,FALSE),"")</f>
        <v/>
      </c>
      <c r="N1389" s="45" t="str">
        <f>IFERROR(VLOOKUP(B1389,'Pre-Summary'!$CD$6:$CF$64,2,FALSE),"")</f>
        <v/>
      </c>
      <c r="O1389" s="99">
        <f>IFERROR(VLOOKUP(B1389,'Pre-Summary'!$BO$6:$BQ$48,3, FALSE),O1388)</f>
        <v>1.2</v>
      </c>
      <c r="P1389" s="99">
        <f>IFERROR(VLOOKUP(B1389,'Pre-Summary'!$BS$6:$BU$35,3,FALSE),P1388)</f>
        <v>0.3</v>
      </c>
      <c r="Q1389" s="54">
        <f t="shared" si="63"/>
        <v>4</v>
      </c>
      <c r="R1389" s="53">
        <f>IFERROR(VLOOKUP(B1389,'Pre-Summary'!$BG$6:$BM$44,7,FALSE),R1390)</f>
        <v>8.8846389403014939E-2</v>
      </c>
      <c r="S1389" s="53">
        <f>IFERROR(VLOOKUP(B1389,'Pre-Summary'!$BG$6:$BM$44,6,FALSE),S1390)</f>
        <v>8.4804948618154546E-2</v>
      </c>
      <c r="T1389" s="45" t="str">
        <f>IFERROR(VLOOKUP(B1389,'Pre-Summary'!$Y$6:$AC$83, 3,FALSE),"")</f>
        <v/>
      </c>
      <c r="U1389" s="45" t="str">
        <f>IFERROR(VLOOKUP(B1389,'Pre-Summary'!$Y$6:$AC$83, 4,FALSE),"")</f>
        <v/>
      </c>
      <c r="V1389" t="str">
        <f>IFERROR(VLOOKUP(B1389,'Pre-Summary'!$Y$6:$AC$83, 5,FALSE),"")</f>
        <v/>
      </c>
      <c r="W1389" s="45" t="str">
        <f>IFERROR(VLOOKUP(B1389,'Pre-Summary'!$Y$6:$AD$83,6,FALSE),"")</f>
        <v/>
      </c>
      <c r="X1389" t="str">
        <f>IFERROR(VLOOKUP('Pre-Summary'!$DB$6:$DD$63,3,FALSE),"")</f>
        <v/>
      </c>
      <c r="Y1389" t="str">
        <f>IFERROR(VLOOKUP(B1389,'Pre-Summary'!$CR$6:$CT$36,3,FALSE),"")</f>
        <v/>
      </c>
      <c r="Z1389" s="45" t="str">
        <f>IFERROR(VLOOKUP(B1389,'Pre-Summary'!$BZ$6:$CB$63,2,FALSE),"")</f>
        <v/>
      </c>
      <c r="AA1389" s="45" t="str">
        <f>IFERROR(VLOOKUP(B1389,'Pre-Summary'!$CG$6:$CI$70,2,FALSE),"")</f>
        <v/>
      </c>
      <c r="AB1389" s="99">
        <f>IFERROR(VLOOKUP(B1389,'Pre-Summary'!$A$6:$P$178,9,FALSE),AB1390)</f>
        <v>0.2853438274932612</v>
      </c>
      <c r="AC1389" s="10">
        <f>IFERROR(VLOOKUP(Summary!B1389,'Pre-Summary'!$A$6:$P$184,5, FALSE)/100,AC1390)</f>
        <v>0.97350766666666677</v>
      </c>
      <c r="AD1389" s="10">
        <f>IFERROR(VLOOKUP(Summary!B1389,'Pre-Summary'!$A$6:$P$184,3, FALSE)/100,AD1390)</f>
        <v>1.5240999999999999E-2</v>
      </c>
      <c r="AE1389" s="10">
        <f>IFERROR(VLOOKUP(Summary!B1389,'Pre-Summary'!$A$6:$P$184,7, FALSE)/100,AE1390)</f>
        <v>1.1251000000000001E-2</v>
      </c>
      <c r="AF1389" s="99">
        <f t="shared" si="64"/>
        <v>4.348925274824794E-3</v>
      </c>
      <c r="AG1389" s="99">
        <f t="shared" si="65"/>
        <v>3.2104034031266819E-3</v>
      </c>
      <c r="AH1389" s="10" t="str">
        <f>IFERROR(VLOOKUP(B1389,'Pre-Summary'!$AZ$6:$BE$65,3,FALSE),"")</f>
        <v/>
      </c>
      <c r="AI1389" s="10" t="str">
        <f>IFERROR(VLOOKUP(B1389,'Pre-Summary'!$AZ$6:$BE$65,5,FALSE),"")</f>
        <v/>
      </c>
      <c r="AJ1389" s="10" t="str">
        <f>IFERROR(VLOOKUP(B1389,'Pre-Summary'!$AZ$6:$BE$65,4,FALSE),"")</f>
        <v/>
      </c>
      <c r="AK1389" s="10" t="str">
        <f>IFERROR(VLOOKUP(B1389,'Pre-Summary'!$AZ$6:$BE$65,6,FALSE),"")</f>
        <v/>
      </c>
      <c r="AL1389" s="10" t="str">
        <f>IFERROR(VLOOKUP(B1389,'Pre-Summary'!$BG$6:$BL$44,3,FALSE),"")</f>
        <v/>
      </c>
      <c r="AM1389" s="10" t="str">
        <f>IFERROR(VLOOKUP(B1389,'Pre-Summary'!$BG$6:$BL$44,4,FALSE),"")</f>
        <v/>
      </c>
    </row>
    <row r="1390" spans="2:39" ht="15" customHeight="1" x14ac:dyDescent="0.3">
      <c r="B1390">
        <v>138.69999999999999</v>
      </c>
      <c r="C1390" t="str">
        <f>IFERROR(VLOOKUP(B1390,'Pre-Summary'!$DI$6:$DM$23,4,FALSE),"")</f>
        <v/>
      </c>
      <c r="D1390" s="10" t="str">
        <f>IFERROR(VLOOKUP(B1390,'Pre-Summary'!$AT$6:$AX$14,5,FALSE),D1389)</f>
        <v xml:space="preserve">Wolfe v1: put in modified wolfe + EDTA </v>
      </c>
      <c r="E1390" s="10" t="str">
        <f>IFERROR(VLOOKUP(B1390,'Pre-Summary'!$AT$6:$AX$15,4,FALSE),"")</f>
        <v/>
      </c>
      <c r="F1390">
        <f>IFERROR(VLOOKUP(B1390,'Pre-Summary'!$AL$6:$AQ$13,6,FALSE),F1389)</f>
        <v>5.3897368421052638E-2</v>
      </c>
      <c r="G1390" t="str">
        <f>IFERROR(VLOOKUP(B1390,'Pre-Summary'!$AE$6:$AJ$85,3,FALSE),"")</f>
        <v/>
      </c>
      <c r="H1390" t="str">
        <f>IFERROR(VLOOKUP(B1390,'Pre-Summary'!$AE$6:$AJ$85,4,FALSE),"")</f>
        <v/>
      </c>
      <c r="I1390" t="str">
        <f>IFERROR(VLOOKUP(B1390,'Pre-Summary'!$AE$6:$AJ$85,5,FALSE),"")</f>
        <v/>
      </c>
      <c r="J1390" s="45" t="str">
        <f>IFERROR(VLOOKUP(B1390,'Pre-Summary'!$AE$6:$AJ$85,6, FALSE),"")</f>
        <v/>
      </c>
      <c r="K1390" s="45" t="str">
        <f>IFERROR(VLOOKUP(B1390,'Pre-Summary'!$DE$6:$DG$61,3,FALSE),"")</f>
        <v/>
      </c>
      <c r="L1390" s="45" t="str">
        <f>IFERROR(VLOOKUP(B1390,'Pre-Summary'!$CU$6:$CW$36,3,FALSE),"")</f>
        <v/>
      </c>
      <c r="M1390" s="45" t="str">
        <f>IFERROR(VLOOKUP(B1390,'Pre-Summary'!$BW$6:$BY$58,2,FALSE),"")</f>
        <v/>
      </c>
      <c r="N1390" s="45" t="str">
        <f>IFERROR(VLOOKUP(B1390,'Pre-Summary'!$CD$6:$CF$64,2,FALSE),"")</f>
        <v/>
      </c>
      <c r="O1390" s="99">
        <f>IFERROR(VLOOKUP(B1390,'Pre-Summary'!$BO$6:$BQ$48,3, FALSE),O1389)</f>
        <v>1.2</v>
      </c>
      <c r="P1390" s="99">
        <f>IFERROR(VLOOKUP(B1390,'Pre-Summary'!$BS$6:$BU$35,3,FALSE),P1389)</f>
        <v>0.3</v>
      </c>
      <c r="Q1390" s="54">
        <f t="shared" si="63"/>
        <v>4</v>
      </c>
      <c r="R1390" s="53">
        <f>IFERROR(VLOOKUP(B1390,'Pre-Summary'!$BG$6:$BM$44,7,FALSE),R1391)</f>
        <v>8.8846389403014939E-2</v>
      </c>
      <c r="S1390" s="53">
        <f>IFERROR(VLOOKUP(B1390,'Pre-Summary'!$BG$6:$BM$44,6,FALSE),S1391)</f>
        <v>8.4804948618154546E-2</v>
      </c>
      <c r="T1390" s="45" t="str">
        <f>IFERROR(VLOOKUP(B1390,'Pre-Summary'!$Y$6:$AC$83, 3,FALSE),"")</f>
        <v/>
      </c>
      <c r="U1390" s="45" t="str">
        <f>IFERROR(VLOOKUP(B1390,'Pre-Summary'!$Y$6:$AC$83, 4,FALSE),"")</f>
        <v/>
      </c>
      <c r="V1390" t="str">
        <f>IFERROR(VLOOKUP(B1390,'Pre-Summary'!$Y$6:$AC$83, 5,FALSE),"")</f>
        <v/>
      </c>
      <c r="W1390" s="45" t="str">
        <f>IFERROR(VLOOKUP(B1390,'Pre-Summary'!$Y$6:$AD$83,6,FALSE),"")</f>
        <v/>
      </c>
      <c r="X1390" t="str">
        <f>IFERROR(VLOOKUP('Pre-Summary'!$DB$6:$DD$63,3,FALSE),"")</f>
        <v/>
      </c>
      <c r="Y1390" t="str">
        <f>IFERROR(VLOOKUP(B1390,'Pre-Summary'!$CR$6:$CT$36,3,FALSE),"")</f>
        <v/>
      </c>
      <c r="Z1390" s="45" t="str">
        <f>IFERROR(VLOOKUP(B1390,'Pre-Summary'!$BZ$6:$CB$63,2,FALSE),"")</f>
        <v/>
      </c>
      <c r="AA1390" s="45" t="str">
        <f>IFERROR(VLOOKUP(B1390,'Pre-Summary'!$CG$6:$CI$70,2,FALSE),"")</f>
        <v/>
      </c>
      <c r="AB1390" s="99">
        <f>IFERROR(VLOOKUP(B1390,'Pre-Summary'!$A$6:$P$178,9,FALSE),AB1391)</f>
        <v>0.2853438274932612</v>
      </c>
      <c r="AC1390" s="10">
        <f>IFERROR(VLOOKUP(Summary!B1390,'Pre-Summary'!$A$6:$P$184,5, FALSE)/100,AC1391)</f>
        <v>0.97350766666666677</v>
      </c>
      <c r="AD1390" s="10">
        <f>IFERROR(VLOOKUP(Summary!B1390,'Pre-Summary'!$A$6:$P$184,3, FALSE)/100,AD1391)</f>
        <v>1.5240999999999999E-2</v>
      </c>
      <c r="AE1390" s="10">
        <f>IFERROR(VLOOKUP(Summary!B1390,'Pre-Summary'!$A$6:$P$184,7, FALSE)/100,AE1391)</f>
        <v>1.1251000000000001E-2</v>
      </c>
      <c r="AF1390" s="99">
        <f t="shared" si="64"/>
        <v>4.348925274824794E-3</v>
      </c>
      <c r="AG1390" s="99">
        <f t="shared" si="65"/>
        <v>3.2104034031266819E-3</v>
      </c>
      <c r="AH1390" s="10" t="str">
        <f>IFERROR(VLOOKUP(B1390,'Pre-Summary'!$AZ$6:$BE$65,3,FALSE),"")</f>
        <v/>
      </c>
      <c r="AI1390" s="10" t="str">
        <f>IFERROR(VLOOKUP(B1390,'Pre-Summary'!$AZ$6:$BE$65,5,FALSE),"")</f>
        <v/>
      </c>
      <c r="AJ1390" s="10" t="str">
        <f>IFERROR(VLOOKUP(B1390,'Pre-Summary'!$AZ$6:$BE$65,4,FALSE),"")</f>
        <v/>
      </c>
      <c r="AK1390" s="10" t="str">
        <f>IFERROR(VLOOKUP(B1390,'Pre-Summary'!$AZ$6:$BE$65,6,FALSE),"")</f>
        <v/>
      </c>
      <c r="AL1390" s="10" t="str">
        <f>IFERROR(VLOOKUP(B1390,'Pre-Summary'!$BG$6:$BL$44,3,FALSE),"")</f>
        <v/>
      </c>
      <c r="AM1390" s="10" t="str">
        <f>IFERROR(VLOOKUP(B1390,'Pre-Summary'!$BG$6:$BL$44,4,FALSE),"")</f>
        <v/>
      </c>
    </row>
    <row r="1391" spans="2:39" ht="15" customHeight="1" x14ac:dyDescent="0.3">
      <c r="B1391">
        <v>138.80000000000001</v>
      </c>
      <c r="C1391" t="str">
        <f>IFERROR(VLOOKUP(B1391,'Pre-Summary'!$DI$6:$DM$23,4,FALSE),"")</f>
        <v/>
      </c>
      <c r="D1391" s="10" t="str">
        <f>IFERROR(VLOOKUP(B1391,'Pre-Summary'!$AT$6:$AX$14,5,FALSE),D1390)</f>
        <v xml:space="preserve">Wolfe v1: put in modified wolfe + EDTA </v>
      </c>
      <c r="E1391" s="10" t="str">
        <f>IFERROR(VLOOKUP(B1391,'Pre-Summary'!$AT$6:$AX$15,4,FALSE),"")</f>
        <v/>
      </c>
      <c r="F1391">
        <f>IFERROR(VLOOKUP(B1391,'Pre-Summary'!$AL$6:$AQ$13,6,FALSE),F1390)</f>
        <v>5.3897368421052638E-2</v>
      </c>
      <c r="G1391" t="str">
        <f>IFERROR(VLOOKUP(B1391,'Pre-Summary'!$AE$6:$AJ$85,3,FALSE),"")</f>
        <v/>
      </c>
      <c r="H1391" t="str">
        <f>IFERROR(VLOOKUP(B1391,'Pre-Summary'!$AE$6:$AJ$85,4,FALSE),"")</f>
        <v/>
      </c>
      <c r="I1391" t="str">
        <f>IFERROR(VLOOKUP(B1391,'Pre-Summary'!$AE$6:$AJ$85,5,FALSE),"")</f>
        <v/>
      </c>
      <c r="J1391" s="45" t="str">
        <f>IFERROR(VLOOKUP(B1391,'Pre-Summary'!$AE$6:$AJ$85,6, FALSE),"")</f>
        <v/>
      </c>
      <c r="K1391" s="45" t="str">
        <f>IFERROR(VLOOKUP(B1391,'Pre-Summary'!$DE$6:$DG$61,3,FALSE),"")</f>
        <v/>
      </c>
      <c r="L1391" s="45" t="str">
        <f>IFERROR(VLOOKUP(B1391,'Pre-Summary'!$CU$6:$CW$36,3,FALSE),"")</f>
        <v/>
      </c>
      <c r="M1391" s="45" t="str">
        <f>IFERROR(VLOOKUP(B1391,'Pre-Summary'!$BW$6:$BY$58,2,FALSE),"")</f>
        <v/>
      </c>
      <c r="N1391" s="45" t="str">
        <f>IFERROR(VLOOKUP(B1391,'Pre-Summary'!$CD$6:$CF$64,2,FALSE),"")</f>
        <v/>
      </c>
      <c r="O1391" s="99">
        <f>IFERROR(VLOOKUP(B1391,'Pre-Summary'!$BO$6:$BQ$48,3, FALSE),O1390)</f>
        <v>1.2</v>
      </c>
      <c r="P1391" s="99">
        <f>IFERROR(VLOOKUP(B1391,'Pre-Summary'!$BS$6:$BU$35,3,FALSE),P1390)</f>
        <v>0.3</v>
      </c>
      <c r="Q1391" s="54">
        <f t="shared" si="63"/>
        <v>4</v>
      </c>
      <c r="R1391" s="53">
        <f>IFERROR(VLOOKUP(B1391,'Pre-Summary'!$BG$6:$BM$44,7,FALSE),R1392)</f>
        <v>8.8846389403014939E-2</v>
      </c>
      <c r="S1391" s="53">
        <f>IFERROR(VLOOKUP(B1391,'Pre-Summary'!$BG$6:$BM$44,6,FALSE),S1392)</f>
        <v>8.4804948618154546E-2</v>
      </c>
      <c r="T1391" s="45" t="str">
        <f>IFERROR(VLOOKUP(B1391,'Pre-Summary'!$Y$6:$AC$83, 3,FALSE),"")</f>
        <v/>
      </c>
      <c r="U1391" s="45" t="str">
        <f>IFERROR(VLOOKUP(B1391,'Pre-Summary'!$Y$6:$AC$83, 4,FALSE),"")</f>
        <v/>
      </c>
      <c r="V1391" t="str">
        <f>IFERROR(VLOOKUP(B1391,'Pre-Summary'!$Y$6:$AC$83, 5,FALSE),"")</f>
        <v/>
      </c>
      <c r="W1391" s="45" t="str">
        <f>IFERROR(VLOOKUP(B1391,'Pre-Summary'!$Y$6:$AD$83,6,FALSE),"")</f>
        <v/>
      </c>
      <c r="X1391" t="str">
        <f>IFERROR(VLOOKUP('Pre-Summary'!$DB$6:$DD$63,3,FALSE),"")</f>
        <v/>
      </c>
      <c r="Y1391" t="str">
        <f>IFERROR(VLOOKUP(B1391,'Pre-Summary'!$CR$6:$CT$36,3,FALSE),"")</f>
        <v/>
      </c>
      <c r="Z1391" s="45" t="str">
        <f>IFERROR(VLOOKUP(B1391,'Pre-Summary'!$BZ$6:$CB$63,2,FALSE),"")</f>
        <v/>
      </c>
      <c r="AA1391" s="45" t="str">
        <f>IFERROR(VLOOKUP(B1391,'Pre-Summary'!$CG$6:$CI$70,2,FALSE),"")</f>
        <v/>
      </c>
      <c r="AB1391" s="99">
        <f>IFERROR(VLOOKUP(B1391,'Pre-Summary'!$A$6:$P$178,9,FALSE),AB1392)</f>
        <v>0.2853438274932612</v>
      </c>
      <c r="AC1391" s="10">
        <f>IFERROR(VLOOKUP(Summary!B1391,'Pre-Summary'!$A$6:$P$184,5, FALSE)/100,AC1392)</f>
        <v>0.97350766666666677</v>
      </c>
      <c r="AD1391" s="10">
        <f>IFERROR(VLOOKUP(Summary!B1391,'Pre-Summary'!$A$6:$P$184,3, FALSE)/100,AD1392)</f>
        <v>1.5240999999999999E-2</v>
      </c>
      <c r="AE1391" s="10">
        <f>IFERROR(VLOOKUP(Summary!B1391,'Pre-Summary'!$A$6:$P$184,7, FALSE)/100,AE1392)</f>
        <v>1.1251000000000001E-2</v>
      </c>
      <c r="AF1391" s="99">
        <f t="shared" si="64"/>
        <v>4.348925274824794E-3</v>
      </c>
      <c r="AG1391" s="99">
        <f t="shared" si="65"/>
        <v>3.2104034031266819E-3</v>
      </c>
      <c r="AH1391" s="10" t="str">
        <f>IFERROR(VLOOKUP(B1391,'Pre-Summary'!$AZ$6:$BE$65,3,FALSE),"")</f>
        <v/>
      </c>
      <c r="AI1391" s="10" t="str">
        <f>IFERROR(VLOOKUP(B1391,'Pre-Summary'!$AZ$6:$BE$65,5,FALSE),"")</f>
        <v/>
      </c>
      <c r="AJ1391" s="10" t="str">
        <f>IFERROR(VLOOKUP(B1391,'Pre-Summary'!$AZ$6:$BE$65,4,FALSE),"")</f>
        <v/>
      </c>
      <c r="AK1391" s="10" t="str">
        <f>IFERROR(VLOOKUP(B1391,'Pre-Summary'!$AZ$6:$BE$65,6,FALSE),"")</f>
        <v/>
      </c>
      <c r="AL1391" s="10" t="str">
        <f>IFERROR(VLOOKUP(B1391,'Pre-Summary'!$BG$6:$BL$44,3,FALSE),"")</f>
        <v/>
      </c>
      <c r="AM1391" s="10" t="str">
        <f>IFERROR(VLOOKUP(B1391,'Pre-Summary'!$BG$6:$BL$44,4,FALSE),"")</f>
        <v/>
      </c>
    </row>
    <row r="1392" spans="2:39" ht="15" customHeight="1" x14ac:dyDescent="0.3">
      <c r="B1392">
        <v>138.9</v>
      </c>
      <c r="C1392" t="str">
        <f>IFERROR(VLOOKUP(B1392,'Pre-Summary'!$DI$6:$DM$23,4,FALSE),"")</f>
        <v/>
      </c>
      <c r="D1392" s="10" t="str">
        <f>IFERROR(VLOOKUP(B1392,'Pre-Summary'!$AT$6:$AX$14,5,FALSE),D1391)</f>
        <v xml:space="preserve">Wolfe v1: put in modified wolfe + EDTA </v>
      </c>
      <c r="E1392" s="10" t="str">
        <f>IFERROR(VLOOKUP(B1392,'Pre-Summary'!$AT$6:$AX$15,4,FALSE),"")</f>
        <v/>
      </c>
      <c r="F1392">
        <f>IFERROR(VLOOKUP(B1392,'Pre-Summary'!$AL$6:$AQ$13,6,FALSE),F1391)</f>
        <v>5.3897368421052638E-2</v>
      </c>
      <c r="G1392">
        <f>IFERROR(VLOOKUP(B1392,'Pre-Summary'!$AE$6:$AJ$85,3,FALSE),"")</f>
        <v>5.3890000000000002</v>
      </c>
      <c r="H1392">
        <f>IFERROR(VLOOKUP(B1392,'Pre-Summary'!$AE$6:$AJ$85,4,FALSE),"")</f>
        <v>0.748</v>
      </c>
      <c r="I1392">
        <f>IFERROR(VLOOKUP(B1392,'Pre-Summary'!$AE$6:$AJ$85,5,FALSE),"")</f>
        <v>0</v>
      </c>
      <c r="J1392" s="45">
        <f>IFERROR(VLOOKUP(B1392,'Pre-Summary'!$AE$6:$AJ$85,6, FALSE),"")</f>
        <v>6.8825349999999998</v>
      </c>
      <c r="K1392" s="45">
        <f>IFERROR(VLOOKUP(B1392,'Pre-Summary'!$DE$6:$DG$61,3,FALSE),"")</f>
        <v>826</v>
      </c>
      <c r="L1392" s="45">
        <f>IFERROR(VLOOKUP(B1392,'Pre-Summary'!$CU$6:$CW$36,3,FALSE),"")</f>
        <v>127.5</v>
      </c>
      <c r="M1392" s="45">
        <f>IFERROR(VLOOKUP(B1392,'Pre-Summary'!$BW$6:$BY$58,2,FALSE),"")</f>
        <v>0</v>
      </c>
      <c r="N1392" s="45" t="str">
        <f>IFERROR(VLOOKUP(B1392,'Pre-Summary'!$CD$6:$CF$64,2,FALSE),"")</f>
        <v/>
      </c>
      <c r="O1392" s="99">
        <f>IFERROR(VLOOKUP(B1392,'Pre-Summary'!$BO$6:$BQ$48,3, FALSE),O1391)</f>
        <v>1.2</v>
      </c>
      <c r="P1392" s="99">
        <f>IFERROR(VLOOKUP(B1392,'Pre-Summary'!$BS$6:$BU$35,3,FALSE),P1391)</f>
        <v>0.3</v>
      </c>
      <c r="Q1392" s="54">
        <f t="shared" si="63"/>
        <v>4</v>
      </c>
      <c r="R1392" s="53">
        <f>IFERROR(VLOOKUP(B1392,'Pre-Summary'!$BG$6:$BM$44,7,FALSE),R1393)</f>
        <v>8.8846389403014939E-2</v>
      </c>
      <c r="S1392" s="53">
        <f>IFERROR(VLOOKUP(B1392,'Pre-Summary'!$BG$6:$BM$44,6,FALSE),S1393)</f>
        <v>8.4804948618154546E-2</v>
      </c>
      <c r="T1392" s="45">
        <f>IFERROR(VLOOKUP(B1392,'Pre-Summary'!$Y$6:$AC$83, 3,FALSE),"")</f>
        <v>15.465</v>
      </c>
      <c r="U1392" s="45">
        <f>IFERROR(VLOOKUP(B1392,'Pre-Summary'!$Y$6:$AC$83, 4,FALSE),"")</f>
        <v>1.175</v>
      </c>
      <c r="V1392">
        <f>IFERROR(VLOOKUP(B1392,'Pre-Summary'!$Y$6:$AC$83, 5,FALSE),"")</f>
        <v>0</v>
      </c>
      <c r="W1392" s="45">
        <f>IFERROR(VLOOKUP(B1392,'Pre-Summary'!$Y$6:$AD$83,6,FALSE),"")</f>
        <v>18.280104999999999</v>
      </c>
      <c r="X1392" t="str">
        <f>IFERROR(VLOOKUP('Pre-Summary'!$DB$6:$DD$63,3,FALSE),"")</f>
        <v/>
      </c>
      <c r="Y1392">
        <f>IFERROR(VLOOKUP(B1392,'Pre-Summary'!$CR$6:$CT$36,3,FALSE),"")</f>
        <v>145.1</v>
      </c>
      <c r="Z1392" s="45">
        <f>IFERROR(VLOOKUP(B1392,'Pre-Summary'!$BZ$6:$CB$63,2,FALSE),"")</f>
        <v>47.71907422123639</v>
      </c>
      <c r="AA1392" s="45">
        <f>IFERROR(VLOOKUP(B1392,'Pre-Summary'!$CG$6:$CI$70,2,FALSE),"")</f>
        <v>381.81935057224365</v>
      </c>
      <c r="AB1392" s="99">
        <f>IFERROR(VLOOKUP(B1392,'Pre-Summary'!$A$6:$P$178,9,FALSE),AB1393)</f>
        <v>0.2853438274932612</v>
      </c>
      <c r="AC1392" s="10">
        <f>IFERROR(VLOOKUP(Summary!B1392,'Pre-Summary'!$A$6:$P$184,5, FALSE)/100,AC1393)</f>
        <v>0.97350766666666677</v>
      </c>
      <c r="AD1392" s="10">
        <f>IFERROR(VLOOKUP(Summary!B1392,'Pre-Summary'!$A$6:$P$184,3, FALSE)/100,AD1393)</f>
        <v>1.5240999999999999E-2</v>
      </c>
      <c r="AE1392" s="10">
        <f>IFERROR(VLOOKUP(Summary!B1392,'Pre-Summary'!$A$6:$P$184,7, FALSE)/100,AE1393)</f>
        <v>1.1251000000000001E-2</v>
      </c>
      <c r="AF1392" s="99">
        <f t="shared" si="64"/>
        <v>4.348925274824794E-3</v>
      </c>
      <c r="AG1392" s="99">
        <f t="shared" si="65"/>
        <v>3.2104034031266819E-3</v>
      </c>
      <c r="AH1392" s="10" t="str">
        <f>IFERROR(VLOOKUP(B1392,'Pre-Summary'!$AZ$6:$BE$65,3,FALSE),"")</f>
        <v/>
      </c>
      <c r="AI1392" s="10" t="str">
        <f>IFERROR(VLOOKUP(B1392,'Pre-Summary'!$AZ$6:$BE$65,5,FALSE),"")</f>
        <v/>
      </c>
      <c r="AJ1392" s="10" t="str">
        <f>IFERROR(VLOOKUP(B1392,'Pre-Summary'!$AZ$6:$BE$65,4,FALSE),"")</f>
        <v/>
      </c>
      <c r="AK1392" s="10" t="str">
        <f>IFERROR(VLOOKUP(B1392,'Pre-Summary'!$AZ$6:$BE$65,6,FALSE),"")</f>
        <v/>
      </c>
      <c r="AL1392" s="10" t="str">
        <f>IFERROR(VLOOKUP(B1392,'Pre-Summary'!$BG$6:$BL$44,3,FALSE),"")</f>
        <v/>
      </c>
      <c r="AM1392" s="10" t="str">
        <f>IFERROR(VLOOKUP(B1392,'Pre-Summary'!$BG$6:$BL$44,4,FALSE),"")</f>
        <v/>
      </c>
    </row>
    <row r="1393" spans="2:39" ht="15" customHeight="1" x14ac:dyDescent="0.3">
      <c r="B1393">
        <v>139</v>
      </c>
      <c r="C1393" t="str">
        <f>IFERROR(VLOOKUP(B1393,'Pre-Summary'!$DI$6:$DM$23,4,FALSE),"")</f>
        <v/>
      </c>
      <c r="D1393" s="10" t="str">
        <f>IFERROR(VLOOKUP(B1393,'Pre-Summary'!$AT$6:$AX$14,5,FALSE),D1392)</f>
        <v xml:space="preserve">Wolfe v1: put in modified wolfe + EDTA </v>
      </c>
      <c r="E1393" s="10" t="str">
        <f>IFERROR(VLOOKUP(B1393,'Pre-Summary'!$AT$6:$AX$15,4,FALSE),"")</f>
        <v/>
      </c>
      <c r="F1393">
        <f>IFERROR(VLOOKUP(B1393,'Pre-Summary'!$AL$6:$AQ$13,6,FALSE),F1392)</f>
        <v>5.3897368421052638E-2</v>
      </c>
      <c r="G1393" t="str">
        <f>IFERROR(VLOOKUP(B1393,'Pre-Summary'!$AE$6:$AJ$85,3,FALSE),"")</f>
        <v/>
      </c>
      <c r="H1393" t="str">
        <f>IFERROR(VLOOKUP(B1393,'Pre-Summary'!$AE$6:$AJ$85,4,FALSE),"")</f>
        <v/>
      </c>
      <c r="I1393" t="str">
        <f>IFERROR(VLOOKUP(B1393,'Pre-Summary'!$AE$6:$AJ$85,5,FALSE),"")</f>
        <v/>
      </c>
      <c r="J1393" s="45" t="str">
        <f>IFERROR(VLOOKUP(B1393,'Pre-Summary'!$AE$6:$AJ$85,6, FALSE),"")</f>
        <v/>
      </c>
      <c r="K1393" s="45" t="str">
        <f>IFERROR(VLOOKUP(B1393,'Pre-Summary'!$DE$6:$DG$61,3,FALSE),"")</f>
        <v/>
      </c>
      <c r="L1393" s="45" t="str">
        <f>IFERROR(VLOOKUP(B1393,'Pre-Summary'!$CU$6:$CW$36,3,FALSE),"")</f>
        <v/>
      </c>
      <c r="M1393" s="45" t="str">
        <f>IFERROR(VLOOKUP(B1393,'Pre-Summary'!$BW$6:$BY$58,2,FALSE),"")</f>
        <v/>
      </c>
      <c r="N1393" s="45" t="str">
        <f>IFERROR(VLOOKUP(B1393,'Pre-Summary'!$CD$6:$CF$64,2,FALSE),"")</f>
        <v/>
      </c>
      <c r="O1393" s="99">
        <f>IFERROR(VLOOKUP(B1393,'Pre-Summary'!$BO$6:$BQ$48,3, FALSE),O1392)</f>
        <v>1.2</v>
      </c>
      <c r="P1393" s="99">
        <f>IFERROR(VLOOKUP(B1393,'Pre-Summary'!$BS$6:$BU$35,3,FALSE),P1392)</f>
        <v>0.3</v>
      </c>
      <c r="Q1393" s="54">
        <f t="shared" si="63"/>
        <v>4</v>
      </c>
      <c r="R1393" s="53">
        <f>IFERROR(VLOOKUP(B1393,'Pre-Summary'!$BG$6:$BM$44,7,FALSE),R1394)</f>
        <v>8.8846389403014939E-2</v>
      </c>
      <c r="S1393" s="53">
        <f>IFERROR(VLOOKUP(B1393,'Pre-Summary'!$BG$6:$BM$44,6,FALSE),S1394)</f>
        <v>8.4804948618154546E-2</v>
      </c>
      <c r="T1393" s="45" t="str">
        <f>IFERROR(VLOOKUP(B1393,'Pre-Summary'!$Y$6:$AC$83, 3,FALSE),"")</f>
        <v/>
      </c>
      <c r="U1393" s="45" t="str">
        <f>IFERROR(VLOOKUP(B1393,'Pre-Summary'!$Y$6:$AC$83, 4,FALSE),"")</f>
        <v/>
      </c>
      <c r="V1393" t="str">
        <f>IFERROR(VLOOKUP(B1393,'Pre-Summary'!$Y$6:$AC$83, 5,FALSE),"")</f>
        <v/>
      </c>
      <c r="W1393" s="45" t="str">
        <f>IFERROR(VLOOKUP(B1393,'Pre-Summary'!$Y$6:$AD$83,6,FALSE),"")</f>
        <v/>
      </c>
      <c r="X1393" t="str">
        <f>IFERROR(VLOOKUP('Pre-Summary'!$DB$6:$DD$63,3,FALSE),"")</f>
        <v/>
      </c>
      <c r="Y1393" t="str">
        <f>IFERROR(VLOOKUP(B1393,'Pre-Summary'!$CR$6:$CT$36,3,FALSE),"")</f>
        <v/>
      </c>
      <c r="Z1393" s="45" t="str">
        <f>IFERROR(VLOOKUP(B1393,'Pre-Summary'!$BZ$6:$CB$63,2,FALSE),"")</f>
        <v/>
      </c>
      <c r="AA1393" s="45" t="str">
        <f>IFERROR(VLOOKUP(B1393,'Pre-Summary'!$CG$6:$CI$70,2,FALSE),"")</f>
        <v/>
      </c>
      <c r="AB1393" s="99">
        <f>IFERROR(VLOOKUP(B1393,'Pre-Summary'!$A$6:$P$178,9,FALSE),AB1394)</f>
        <v>0.26243021266793065</v>
      </c>
      <c r="AC1393" s="10">
        <f>IFERROR(VLOOKUP(Summary!B1393,'Pre-Summary'!$A$6:$P$184,5, FALSE)/100,AC1394)</f>
        <v>0.98266966666666677</v>
      </c>
      <c r="AD1393" s="10">
        <f>IFERROR(VLOOKUP(Summary!B1393,'Pre-Summary'!$A$6:$P$184,3, FALSE)/100,AD1394)</f>
        <v>9.9173333333333318E-3</v>
      </c>
      <c r="AE1393" s="10">
        <f>IFERROR(VLOOKUP(Summary!B1393,'Pre-Summary'!$A$6:$P$184,7, FALSE)/100,AE1394)</f>
        <v>7.4129999999999995E-3</v>
      </c>
      <c r="AF1393" s="99">
        <f t="shared" si="64"/>
        <v>2.6026078957654239E-3</v>
      </c>
      <c r="AG1393" s="99">
        <f t="shared" si="65"/>
        <v>1.9453951665073697E-3</v>
      </c>
      <c r="AH1393" s="10">
        <f>IFERROR(VLOOKUP(B1393,'Pre-Summary'!$AZ$6:$BE$65,3,FALSE),"")</f>
        <v>300</v>
      </c>
      <c r="AI1393" s="10">
        <f>IFERROR(VLOOKUP(B1393,'Pre-Summary'!$AZ$6:$BE$65,5,FALSE),"")</f>
        <v>42</v>
      </c>
      <c r="AJ1393" s="10">
        <f>IFERROR(VLOOKUP(B1393,'Pre-Summary'!$AZ$6:$BE$65,4,FALSE),"")</f>
        <v>220</v>
      </c>
      <c r="AK1393" s="10">
        <f>IFERROR(VLOOKUP(B1393,'Pre-Summary'!$AZ$6:$BE$65,6,FALSE),"")</f>
        <v>33</v>
      </c>
      <c r="AL1393" s="10">
        <f>IFERROR(VLOOKUP(B1393,'Pre-Summary'!$BG$6:$BL$44,3,FALSE),"")</f>
        <v>15.741217710327033</v>
      </c>
      <c r="AM1393" s="10">
        <f>IFERROR(VLOOKUP(B1393,'Pre-Summary'!$BG$6:$BL$44,4,FALSE),"")</f>
        <v>3.6849264705892626</v>
      </c>
    </row>
    <row r="1394" spans="2:39" ht="15" customHeight="1" x14ac:dyDescent="0.3">
      <c r="B1394">
        <v>139.1</v>
      </c>
      <c r="C1394" t="str">
        <f>IFERROR(VLOOKUP(B1394,'Pre-Summary'!$DI$6:$DM$23,4,FALSE),"")</f>
        <v/>
      </c>
      <c r="D1394" s="10" t="str">
        <f>IFERROR(VLOOKUP(B1394,'Pre-Summary'!$AT$6:$AX$14,5,FALSE),D1393)</f>
        <v xml:space="preserve">Wolfe v1: put in modified wolfe + EDTA </v>
      </c>
      <c r="E1394" s="10" t="str">
        <f>IFERROR(VLOOKUP(B1394,'Pre-Summary'!$AT$6:$AX$15,4,FALSE),"")</f>
        <v/>
      </c>
      <c r="F1394">
        <f>IFERROR(VLOOKUP(B1394,'Pre-Summary'!$AL$6:$AQ$13,6,FALSE),F1393)</f>
        <v>5.3897368421052638E-2</v>
      </c>
      <c r="G1394" t="str">
        <f>IFERROR(VLOOKUP(B1394,'Pre-Summary'!$AE$6:$AJ$85,3,FALSE),"")</f>
        <v/>
      </c>
      <c r="H1394" t="str">
        <f>IFERROR(VLOOKUP(B1394,'Pre-Summary'!$AE$6:$AJ$85,4,FALSE),"")</f>
        <v/>
      </c>
      <c r="I1394" t="str">
        <f>IFERROR(VLOOKUP(B1394,'Pre-Summary'!$AE$6:$AJ$85,5,FALSE),"")</f>
        <v/>
      </c>
      <c r="J1394" s="45" t="str">
        <f>IFERROR(VLOOKUP(B1394,'Pre-Summary'!$AE$6:$AJ$85,6, FALSE),"")</f>
        <v/>
      </c>
      <c r="K1394" s="45" t="str">
        <f>IFERROR(VLOOKUP(B1394,'Pre-Summary'!$DE$6:$DG$61,3,FALSE),"")</f>
        <v/>
      </c>
      <c r="L1394" s="45" t="str">
        <f>IFERROR(VLOOKUP(B1394,'Pre-Summary'!$CU$6:$CW$36,3,FALSE),"")</f>
        <v/>
      </c>
      <c r="M1394" s="45" t="str">
        <f>IFERROR(VLOOKUP(B1394,'Pre-Summary'!$BW$6:$BY$58,2,FALSE),"")</f>
        <v/>
      </c>
      <c r="N1394" s="45" t="str">
        <f>IFERROR(VLOOKUP(B1394,'Pre-Summary'!$CD$6:$CF$64,2,FALSE),"")</f>
        <v/>
      </c>
      <c r="O1394" s="99">
        <f>IFERROR(VLOOKUP(B1394,'Pre-Summary'!$BO$6:$BQ$48,3, FALSE),O1393)</f>
        <v>1.2</v>
      </c>
      <c r="P1394" s="99">
        <f>IFERROR(VLOOKUP(B1394,'Pre-Summary'!$BS$6:$BU$35,3,FALSE),P1393)</f>
        <v>0.3</v>
      </c>
      <c r="Q1394" s="54">
        <f t="shared" si="63"/>
        <v>4</v>
      </c>
      <c r="R1394" s="53">
        <f>IFERROR(VLOOKUP(B1394,'Pre-Summary'!$BG$6:$BM$44,7,FALSE),R1395)</f>
        <v>9.5517489384447818E-2</v>
      </c>
      <c r="S1394" s="53">
        <f>IFERROR(VLOOKUP(B1394,'Pre-Summary'!$BG$6:$BM$44,6,FALSE),S1395)</f>
        <v>8.6010874938220475E-2</v>
      </c>
      <c r="T1394" s="45" t="str">
        <f>IFERROR(VLOOKUP(B1394,'Pre-Summary'!$Y$6:$AC$83, 3,FALSE),"")</f>
        <v/>
      </c>
      <c r="U1394" s="45" t="str">
        <f>IFERROR(VLOOKUP(B1394,'Pre-Summary'!$Y$6:$AC$83, 4,FALSE),"")</f>
        <v/>
      </c>
      <c r="V1394" t="str">
        <f>IFERROR(VLOOKUP(B1394,'Pre-Summary'!$Y$6:$AC$83, 5,FALSE),"")</f>
        <v/>
      </c>
      <c r="W1394" s="45" t="str">
        <f>IFERROR(VLOOKUP(B1394,'Pre-Summary'!$Y$6:$AD$83,6,FALSE),"")</f>
        <v/>
      </c>
      <c r="X1394" t="str">
        <f>IFERROR(VLOOKUP('Pre-Summary'!$DB$6:$DD$63,3,FALSE),"")</f>
        <v/>
      </c>
      <c r="Y1394" t="str">
        <f>IFERROR(VLOOKUP(B1394,'Pre-Summary'!$CR$6:$CT$36,3,FALSE),"")</f>
        <v/>
      </c>
      <c r="Z1394" s="45" t="str">
        <f>IFERROR(VLOOKUP(B1394,'Pre-Summary'!$BZ$6:$CB$63,2,FALSE),"")</f>
        <v/>
      </c>
      <c r="AA1394" s="45" t="str">
        <f>IFERROR(VLOOKUP(B1394,'Pre-Summary'!$CG$6:$CI$70,2,FALSE),"")</f>
        <v/>
      </c>
      <c r="AB1394" s="99">
        <f>IFERROR(VLOOKUP(B1394,'Pre-Summary'!$A$6:$P$178,9,FALSE),AB1395)</f>
        <v>0.26243021266793065</v>
      </c>
      <c r="AC1394" s="10">
        <f>IFERROR(VLOOKUP(Summary!B1394,'Pre-Summary'!$A$6:$P$184,5, FALSE)/100,AC1395)</f>
        <v>0.98266966666666677</v>
      </c>
      <c r="AD1394" s="10">
        <f>IFERROR(VLOOKUP(Summary!B1394,'Pre-Summary'!$A$6:$P$184,3, FALSE)/100,AD1395)</f>
        <v>9.9173333333333318E-3</v>
      </c>
      <c r="AE1394" s="10">
        <f>IFERROR(VLOOKUP(Summary!B1394,'Pre-Summary'!$A$6:$P$184,7, FALSE)/100,AE1395)</f>
        <v>7.4129999999999995E-3</v>
      </c>
      <c r="AF1394" s="99">
        <f t="shared" si="64"/>
        <v>2.6026078957654239E-3</v>
      </c>
      <c r="AG1394" s="99">
        <f t="shared" si="65"/>
        <v>1.9453951665073697E-3</v>
      </c>
      <c r="AH1394" s="10" t="str">
        <f>IFERROR(VLOOKUP(B1394,'Pre-Summary'!$AZ$6:$BE$65,3,FALSE),"")</f>
        <v/>
      </c>
      <c r="AI1394" s="10" t="str">
        <f>IFERROR(VLOOKUP(B1394,'Pre-Summary'!$AZ$6:$BE$65,5,FALSE),"")</f>
        <v/>
      </c>
      <c r="AJ1394" s="10" t="str">
        <f>IFERROR(VLOOKUP(B1394,'Pre-Summary'!$AZ$6:$BE$65,4,FALSE),"")</f>
        <v/>
      </c>
      <c r="AK1394" s="10" t="str">
        <f>IFERROR(VLOOKUP(B1394,'Pre-Summary'!$AZ$6:$BE$65,6,FALSE),"")</f>
        <v/>
      </c>
      <c r="AL1394" s="10" t="str">
        <f>IFERROR(VLOOKUP(B1394,'Pre-Summary'!$BG$6:$BL$44,3,FALSE),"")</f>
        <v/>
      </c>
      <c r="AM1394" s="10" t="str">
        <f>IFERROR(VLOOKUP(B1394,'Pre-Summary'!$BG$6:$BL$44,4,FALSE),"")</f>
        <v/>
      </c>
    </row>
    <row r="1395" spans="2:39" ht="15" customHeight="1" x14ac:dyDescent="0.3">
      <c r="B1395">
        <v>139.19999999999999</v>
      </c>
      <c r="C1395" t="str">
        <f>IFERROR(VLOOKUP(B1395,'Pre-Summary'!$DI$6:$DM$23,4,FALSE),"")</f>
        <v/>
      </c>
      <c r="D1395" s="10" t="str">
        <f>IFERROR(VLOOKUP(B1395,'Pre-Summary'!$AT$6:$AX$14,5,FALSE),D1394)</f>
        <v xml:space="preserve">Wolfe v1: put in modified wolfe + EDTA </v>
      </c>
      <c r="E1395" s="10" t="str">
        <f>IFERROR(VLOOKUP(B1395,'Pre-Summary'!$AT$6:$AX$15,4,FALSE),"")</f>
        <v/>
      </c>
      <c r="F1395">
        <f>IFERROR(VLOOKUP(B1395,'Pre-Summary'!$AL$6:$AQ$13,6,FALSE),F1394)</f>
        <v>5.3897368421052638E-2</v>
      </c>
      <c r="G1395" t="str">
        <f>IFERROR(VLOOKUP(B1395,'Pre-Summary'!$AE$6:$AJ$85,3,FALSE),"")</f>
        <v/>
      </c>
      <c r="H1395" t="str">
        <f>IFERROR(VLOOKUP(B1395,'Pre-Summary'!$AE$6:$AJ$85,4,FALSE),"")</f>
        <v/>
      </c>
      <c r="I1395" t="str">
        <f>IFERROR(VLOOKUP(B1395,'Pre-Summary'!$AE$6:$AJ$85,5,FALSE),"")</f>
        <v/>
      </c>
      <c r="J1395" s="45" t="str">
        <f>IFERROR(VLOOKUP(B1395,'Pre-Summary'!$AE$6:$AJ$85,6, FALSE),"")</f>
        <v/>
      </c>
      <c r="K1395" s="45" t="str">
        <f>IFERROR(VLOOKUP(B1395,'Pre-Summary'!$DE$6:$DG$61,3,FALSE),"")</f>
        <v/>
      </c>
      <c r="L1395" s="45" t="str">
        <f>IFERROR(VLOOKUP(B1395,'Pre-Summary'!$CU$6:$CW$36,3,FALSE),"")</f>
        <v/>
      </c>
      <c r="M1395" s="45" t="str">
        <f>IFERROR(VLOOKUP(B1395,'Pre-Summary'!$BW$6:$BY$58,2,FALSE),"")</f>
        <v/>
      </c>
      <c r="N1395" s="45" t="str">
        <f>IFERROR(VLOOKUP(B1395,'Pre-Summary'!$CD$6:$CF$64,2,FALSE),"")</f>
        <v/>
      </c>
      <c r="O1395" s="99">
        <f>IFERROR(VLOOKUP(B1395,'Pre-Summary'!$BO$6:$BQ$48,3, FALSE),O1394)</f>
        <v>1.2</v>
      </c>
      <c r="P1395" s="99">
        <f>IFERROR(VLOOKUP(B1395,'Pre-Summary'!$BS$6:$BU$35,3,FALSE),P1394)</f>
        <v>0.3</v>
      </c>
      <c r="Q1395" s="54">
        <f t="shared" si="63"/>
        <v>4</v>
      </c>
      <c r="R1395" s="53">
        <f>IFERROR(VLOOKUP(B1395,'Pre-Summary'!$BG$6:$BM$44,7,FALSE),R1396)</f>
        <v>9.5517489384447818E-2</v>
      </c>
      <c r="S1395" s="53">
        <f>IFERROR(VLOOKUP(B1395,'Pre-Summary'!$BG$6:$BM$44,6,FALSE),S1396)</f>
        <v>8.6010874938220475E-2</v>
      </c>
      <c r="T1395" s="45" t="str">
        <f>IFERROR(VLOOKUP(B1395,'Pre-Summary'!$Y$6:$AC$83, 3,FALSE),"")</f>
        <v/>
      </c>
      <c r="U1395" s="45" t="str">
        <f>IFERROR(VLOOKUP(B1395,'Pre-Summary'!$Y$6:$AC$83, 4,FALSE),"")</f>
        <v/>
      </c>
      <c r="V1395" t="str">
        <f>IFERROR(VLOOKUP(B1395,'Pre-Summary'!$Y$6:$AC$83, 5,FALSE),"")</f>
        <v/>
      </c>
      <c r="W1395" s="45" t="str">
        <f>IFERROR(VLOOKUP(B1395,'Pre-Summary'!$Y$6:$AD$83,6,FALSE),"")</f>
        <v/>
      </c>
      <c r="X1395" t="str">
        <f>IFERROR(VLOOKUP('Pre-Summary'!$DB$6:$DD$63,3,FALSE),"")</f>
        <v/>
      </c>
      <c r="Y1395" t="str">
        <f>IFERROR(VLOOKUP(B1395,'Pre-Summary'!$CR$6:$CT$36,3,FALSE),"")</f>
        <v/>
      </c>
      <c r="Z1395" s="45" t="str">
        <f>IFERROR(VLOOKUP(B1395,'Pre-Summary'!$BZ$6:$CB$63,2,FALSE),"")</f>
        <v/>
      </c>
      <c r="AA1395" s="45" t="str">
        <f>IFERROR(VLOOKUP(B1395,'Pre-Summary'!$CG$6:$CI$70,2,FALSE),"")</f>
        <v/>
      </c>
      <c r="AB1395" s="99">
        <f>IFERROR(VLOOKUP(B1395,'Pre-Summary'!$A$6:$P$178,9,FALSE),AB1396)</f>
        <v>0.26243021266793065</v>
      </c>
      <c r="AC1395" s="10">
        <f>IFERROR(VLOOKUP(Summary!B1395,'Pre-Summary'!$A$6:$P$184,5, FALSE)/100,AC1396)</f>
        <v>0.98266966666666677</v>
      </c>
      <c r="AD1395" s="10">
        <f>IFERROR(VLOOKUP(Summary!B1395,'Pre-Summary'!$A$6:$P$184,3, FALSE)/100,AD1396)</f>
        <v>9.9173333333333318E-3</v>
      </c>
      <c r="AE1395" s="10">
        <f>IFERROR(VLOOKUP(Summary!B1395,'Pre-Summary'!$A$6:$P$184,7, FALSE)/100,AE1396)</f>
        <v>7.4129999999999995E-3</v>
      </c>
      <c r="AF1395" s="99">
        <f t="shared" si="64"/>
        <v>2.6026078957654239E-3</v>
      </c>
      <c r="AG1395" s="99">
        <f t="shared" si="65"/>
        <v>1.9453951665073697E-3</v>
      </c>
      <c r="AH1395" s="10" t="str">
        <f>IFERROR(VLOOKUP(B1395,'Pre-Summary'!$AZ$6:$BE$65,3,FALSE),"")</f>
        <v/>
      </c>
      <c r="AI1395" s="10" t="str">
        <f>IFERROR(VLOOKUP(B1395,'Pre-Summary'!$AZ$6:$BE$65,5,FALSE),"")</f>
        <v/>
      </c>
      <c r="AJ1395" s="10" t="str">
        <f>IFERROR(VLOOKUP(B1395,'Pre-Summary'!$AZ$6:$BE$65,4,FALSE),"")</f>
        <v/>
      </c>
      <c r="AK1395" s="10" t="str">
        <f>IFERROR(VLOOKUP(B1395,'Pre-Summary'!$AZ$6:$BE$65,6,FALSE),"")</f>
        <v/>
      </c>
      <c r="AL1395" s="10" t="str">
        <f>IFERROR(VLOOKUP(B1395,'Pre-Summary'!$BG$6:$BL$44,3,FALSE),"")</f>
        <v/>
      </c>
      <c r="AM1395" s="10" t="str">
        <f>IFERROR(VLOOKUP(B1395,'Pre-Summary'!$BG$6:$BL$44,4,FALSE),"")</f>
        <v/>
      </c>
    </row>
    <row r="1396" spans="2:39" ht="15" customHeight="1" x14ac:dyDescent="0.3">
      <c r="B1396">
        <v>139.30000000000001</v>
      </c>
      <c r="C1396" t="str">
        <f>IFERROR(VLOOKUP(B1396,'Pre-Summary'!$DI$6:$DM$23,4,FALSE),"")</f>
        <v/>
      </c>
      <c r="D1396" s="10" t="str">
        <f>IFERROR(VLOOKUP(B1396,'Pre-Summary'!$AT$6:$AX$14,5,FALSE),D1395)</f>
        <v xml:space="preserve">Wolfe v1: put in modified wolfe + EDTA </v>
      </c>
      <c r="E1396" s="10" t="str">
        <f>IFERROR(VLOOKUP(B1396,'Pre-Summary'!$AT$6:$AX$15,4,FALSE),"")</f>
        <v/>
      </c>
      <c r="F1396">
        <f>IFERROR(VLOOKUP(B1396,'Pre-Summary'!$AL$6:$AQ$13,6,FALSE),F1395)</f>
        <v>5.3897368421052638E-2</v>
      </c>
      <c r="G1396" t="str">
        <f>IFERROR(VLOOKUP(B1396,'Pre-Summary'!$AE$6:$AJ$85,3,FALSE),"")</f>
        <v/>
      </c>
      <c r="H1396" t="str">
        <f>IFERROR(VLOOKUP(B1396,'Pre-Summary'!$AE$6:$AJ$85,4,FALSE),"")</f>
        <v/>
      </c>
      <c r="I1396" t="str">
        <f>IFERROR(VLOOKUP(B1396,'Pre-Summary'!$AE$6:$AJ$85,5,FALSE),"")</f>
        <v/>
      </c>
      <c r="J1396" s="45" t="str">
        <f>IFERROR(VLOOKUP(B1396,'Pre-Summary'!$AE$6:$AJ$85,6, FALSE),"")</f>
        <v/>
      </c>
      <c r="K1396" s="45" t="str">
        <f>IFERROR(VLOOKUP(B1396,'Pre-Summary'!$DE$6:$DG$61,3,FALSE),"")</f>
        <v/>
      </c>
      <c r="L1396" s="45" t="str">
        <f>IFERROR(VLOOKUP(B1396,'Pre-Summary'!$CU$6:$CW$36,3,FALSE),"")</f>
        <v/>
      </c>
      <c r="M1396" s="45" t="str">
        <f>IFERROR(VLOOKUP(B1396,'Pre-Summary'!$BW$6:$BY$58,2,FALSE),"")</f>
        <v/>
      </c>
      <c r="N1396" s="45" t="str">
        <f>IFERROR(VLOOKUP(B1396,'Pre-Summary'!$CD$6:$CF$64,2,FALSE),"")</f>
        <v/>
      </c>
      <c r="O1396" s="99">
        <f>IFERROR(VLOOKUP(B1396,'Pre-Summary'!$BO$6:$BQ$48,3, FALSE),O1395)</f>
        <v>1.2</v>
      </c>
      <c r="P1396" s="99">
        <f>IFERROR(VLOOKUP(B1396,'Pre-Summary'!$BS$6:$BU$35,3,FALSE),P1395)</f>
        <v>0.3</v>
      </c>
      <c r="Q1396" s="54">
        <f t="shared" si="63"/>
        <v>4</v>
      </c>
      <c r="R1396" s="53">
        <f>IFERROR(VLOOKUP(B1396,'Pre-Summary'!$BG$6:$BM$44,7,FALSE),R1397)</f>
        <v>9.5517489384447818E-2</v>
      </c>
      <c r="S1396" s="53">
        <f>IFERROR(VLOOKUP(B1396,'Pre-Summary'!$BG$6:$BM$44,6,FALSE),S1397)</f>
        <v>8.6010874938220475E-2</v>
      </c>
      <c r="T1396" s="45" t="str">
        <f>IFERROR(VLOOKUP(B1396,'Pre-Summary'!$Y$6:$AC$83, 3,FALSE),"")</f>
        <v/>
      </c>
      <c r="U1396" s="45" t="str">
        <f>IFERROR(VLOOKUP(B1396,'Pre-Summary'!$Y$6:$AC$83, 4,FALSE),"")</f>
        <v/>
      </c>
      <c r="V1396" t="str">
        <f>IFERROR(VLOOKUP(B1396,'Pre-Summary'!$Y$6:$AC$83, 5,FALSE),"")</f>
        <v/>
      </c>
      <c r="W1396" s="45" t="str">
        <f>IFERROR(VLOOKUP(B1396,'Pre-Summary'!$Y$6:$AD$83,6,FALSE),"")</f>
        <v/>
      </c>
      <c r="X1396" t="str">
        <f>IFERROR(VLOOKUP('Pre-Summary'!$DB$6:$DD$63,3,FALSE),"")</f>
        <v/>
      </c>
      <c r="Y1396" t="str">
        <f>IFERROR(VLOOKUP(B1396,'Pre-Summary'!$CR$6:$CT$36,3,FALSE),"")</f>
        <v/>
      </c>
      <c r="Z1396" s="45" t="str">
        <f>IFERROR(VLOOKUP(B1396,'Pre-Summary'!$BZ$6:$CB$63,2,FALSE),"")</f>
        <v/>
      </c>
      <c r="AA1396" s="45" t="str">
        <f>IFERROR(VLOOKUP(B1396,'Pre-Summary'!$CG$6:$CI$70,2,FALSE),"")</f>
        <v/>
      </c>
      <c r="AB1396" s="99">
        <f>IFERROR(VLOOKUP(B1396,'Pre-Summary'!$A$6:$P$178,9,FALSE),AB1397)</f>
        <v>0.26243021266793065</v>
      </c>
      <c r="AC1396" s="10">
        <f>IFERROR(VLOOKUP(Summary!B1396,'Pre-Summary'!$A$6:$P$184,5, FALSE)/100,AC1397)</f>
        <v>0.98266966666666677</v>
      </c>
      <c r="AD1396" s="10">
        <f>IFERROR(VLOOKUP(Summary!B1396,'Pre-Summary'!$A$6:$P$184,3, FALSE)/100,AD1397)</f>
        <v>9.9173333333333318E-3</v>
      </c>
      <c r="AE1396" s="10">
        <f>IFERROR(VLOOKUP(Summary!B1396,'Pre-Summary'!$A$6:$P$184,7, FALSE)/100,AE1397)</f>
        <v>7.4129999999999995E-3</v>
      </c>
      <c r="AF1396" s="99">
        <f t="shared" si="64"/>
        <v>2.6026078957654239E-3</v>
      </c>
      <c r="AG1396" s="99">
        <f t="shared" si="65"/>
        <v>1.9453951665073697E-3</v>
      </c>
      <c r="AH1396" s="10" t="str">
        <f>IFERROR(VLOOKUP(B1396,'Pre-Summary'!$AZ$6:$BE$65,3,FALSE),"")</f>
        <v/>
      </c>
      <c r="AI1396" s="10" t="str">
        <f>IFERROR(VLOOKUP(B1396,'Pre-Summary'!$AZ$6:$BE$65,5,FALSE),"")</f>
        <v/>
      </c>
      <c r="AJ1396" s="10" t="str">
        <f>IFERROR(VLOOKUP(B1396,'Pre-Summary'!$AZ$6:$BE$65,4,FALSE),"")</f>
        <v/>
      </c>
      <c r="AK1396" s="10" t="str">
        <f>IFERROR(VLOOKUP(B1396,'Pre-Summary'!$AZ$6:$BE$65,6,FALSE),"")</f>
        <v/>
      </c>
      <c r="AL1396" s="10" t="str">
        <f>IFERROR(VLOOKUP(B1396,'Pre-Summary'!$BG$6:$BL$44,3,FALSE),"")</f>
        <v/>
      </c>
      <c r="AM1396" s="10" t="str">
        <f>IFERROR(VLOOKUP(B1396,'Pre-Summary'!$BG$6:$BL$44,4,FALSE),"")</f>
        <v/>
      </c>
    </row>
    <row r="1397" spans="2:39" ht="15" customHeight="1" x14ac:dyDescent="0.3">
      <c r="B1397">
        <v>139.4</v>
      </c>
      <c r="C1397" t="str">
        <f>IFERROR(VLOOKUP(B1397,'Pre-Summary'!$DI$6:$DM$23,4,FALSE),"")</f>
        <v/>
      </c>
      <c r="D1397" s="10" t="str">
        <f>IFERROR(VLOOKUP(B1397,'Pre-Summary'!$AT$6:$AX$14,5,FALSE),D1396)</f>
        <v xml:space="preserve">Wolfe v1: put in modified wolfe + EDTA </v>
      </c>
      <c r="E1397" s="10" t="str">
        <f>IFERROR(VLOOKUP(B1397,'Pre-Summary'!$AT$6:$AX$15,4,FALSE),"")</f>
        <v/>
      </c>
      <c r="F1397">
        <f>IFERROR(VLOOKUP(B1397,'Pre-Summary'!$AL$6:$AQ$13,6,FALSE),F1396)</f>
        <v>5.3897368421052638E-2</v>
      </c>
      <c r="G1397" t="str">
        <f>IFERROR(VLOOKUP(B1397,'Pre-Summary'!$AE$6:$AJ$85,3,FALSE),"")</f>
        <v/>
      </c>
      <c r="H1397" t="str">
        <f>IFERROR(VLOOKUP(B1397,'Pre-Summary'!$AE$6:$AJ$85,4,FALSE),"")</f>
        <v/>
      </c>
      <c r="I1397" t="str">
        <f>IFERROR(VLOOKUP(B1397,'Pre-Summary'!$AE$6:$AJ$85,5,FALSE),"")</f>
        <v/>
      </c>
      <c r="J1397" s="45" t="str">
        <f>IFERROR(VLOOKUP(B1397,'Pre-Summary'!$AE$6:$AJ$85,6, FALSE),"")</f>
        <v/>
      </c>
      <c r="K1397" s="45" t="str">
        <f>IFERROR(VLOOKUP(B1397,'Pre-Summary'!$DE$6:$DG$61,3,FALSE),"")</f>
        <v/>
      </c>
      <c r="L1397" s="45" t="str">
        <f>IFERROR(VLOOKUP(B1397,'Pre-Summary'!$CU$6:$CW$36,3,FALSE),"")</f>
        <v/>
      </c>
      <c r="M1397" s="45" t="str">
        <f>IFERROR(VLOOKUP(B1397,'Pre-Summary'!$BW$6:$BY$58,2,FALSE),"")</f>
        <v/>
      </c>
      <c r="N1397" s="45" t="str">
        <f>IFERROR(VLOOKUP(B1397,'Pre-Summary'!$CD$6:$CF$64,2,FALSE),"")</f>
        <v/>
      </c>
      <c r="O1397" s="99">
        <f>IFERROR(VLOOKUP(B1397,'Pre-Summary'!$BO$6:$BQ$48,3, FALSE),O1396)</f>
        <v>1.2</v>
      </c>
      <c r="P1397" s="99">
        <f>IFERROR(VLOOKUP(B1397,'Pre-Summary'!$BS$6:$BU$35,3,FALSE),P1396)</f>
        <v>0.3</v>
      </c>
      <c r="Q1397" s="54">
        <f t="shared" si="63"/>
        <v>4</v>
      </c>
      <c r="R1397" s="53">
        <f>IFERROR(VLOOKUP(B1397,'Pre-Summary'!$BG$6:$BM$44,7,FALSE),R1398)</f>
        <v>9.5517489384447818E-2</v>
      </c>
      <c r="S1397" s="53">
        <f>IFERROR(VLOOKUP(B1397,'Pre-Summary'!$BG$6:$BM$44,6,FALSE),S1398)</f>
        <v>8.6010874938220475E-2</v>
      </c>
      <c r="T1397" s="45" t="str">
        <f>IFERROR(VLOOKUP(B1397,'Pre-Summary'!$Y$6:$AC$83, 3,FALSE),"")</f>
        <v/>
      </c>
      <c r="U1397" s="45" t="str">
        <f>IFERROR(VLOOKUP(B1397,'Pre-Summary'!$Y$6:$AC$83, 4,FALSE),"")</f>
        <v/>
      </c>
      <c r="V1397" t="str">
        <f>IFERROR(VLOOKUP(B1397,'Pre-Summary'!$Y$6:$AC$83, 5,FALSE),"")</f>
        <v/>
      </c>
      <c r="W1397" s="45" t="str">
        <f>IFERROR(VLOOKUP(B1397,'Pre-Summary'!$Y$6:$AD$83,6,FALSE),"")</f>
        <v/>
      </c>
      <c r="X1397" t="str">
        <f>IFERROR(VLOOKUP('Pre-Summary'!$DB$6:$DD$63,3,FALSE),"")</f>
        <v/>
      </c>
      <c r="Y1397" t="str">
        <f>IFERROR(VLOOKUP(B1397,'Pre-Summary'!$CR$6:$CT$36,3,FALSE),"")</f>
        <v/>
      </c>
      <c r="Z1397" s="45" t="str">
        <f>IFERROR(VLOOKUP(B1397,'Pre-Summary'!$BZ$6:$CB$63,2,FALSE),"")</f>
        <v/>
      </c>
      <c r="AA1397" s="45" t="str">
        <f>IFERROR(VLOOKUP(B1397,'Pre-Summary'!$CG$6:$CI$70,2,FALSE),"")</f>
        <v/>
      </c>
      <c r="AB1397" s="99">
        <f>IFERROR(VLOOKUP(B1397,'Pre-Summary'!$A$6:$P$178,9,FALSE),AB1398)</f>
        <v>0.26243021266793065</v>
      </c>
      <c r="AC1397" s="10">
        <f>IFERROR(VLOOKUP(Summary!B1397,'Pre-Summary'!$A$6:$P$184,5, FALSE)/100,AC1398)</f>
        <v>0.98266966666666677</v>
      </c>
      <c r="AD1397" s="10">
        <f>IFERROR(VLOOKUP(Summary!B1397,'Pre-Summary'!$A$6:$P$184,3, FALSE)/100,AD1398)</f>
        <v>9.9173333333333318E-3</v>
      </c>
      <c r="AE1397" s="10">
        <f>IFERROR(VLOOKUP(Summary!B1397,'Pre-Summary'!$A$6:$P$184,7, FALSE)/100,AE1398)</f>
        <v>7.4129999999999995E-3</v>
      </c>
      <c r="AF1397" s="99">
        <f t="shared" si="64"/>
        <v>2.6026078957654239E-3</v>
      </c>
      <c r="AG1397" s="99">
        <f t="shared" si="65"/>
        <v>1.9453951665073697E-3</v>
      </c>
      <c r="AH1397" s="10" t="str">
        <f>IFERROR(VLOOKUP(B1397,'Pre-Summary'!$AZ$6:$BE$65,3,FALSE),"")</f>
        <v/>
      </c>
      <c r="AI1397" s="10" t="str">
        <f>IFERROR(VLOOKUP(B1397,'Pre-Summary'!$AZ$6:$BE$65,5,FALSE),"")</f>
        <v/>
      </c>
      <c r="AJ1397" s="10" t="str">
        <f>IFERROR(VLOOKUP(B1397,'Pre-Summary'!$AZ$6:$BE$65,4,FALSE),"")</f>
        <v/>
      </c>
      <c r="AK1397" s="10" t="str">
        <f>IFERROR(VLOOKUP(B1397,'Pre-Summary'!$AZ$6:$BE$65,6,FALSE),"")</f>
        <v/>
      </c>
      <c r="AL1397" s="10" t="str">
        <f>IFERROR(VLOOKUP(B1397,'Pre-Summary'!$BG$6:$BL$44,3,FALSE),"")</f>
        <v/>
      </c>
      <c r="AM1397" s="10" t="str">
        <f>IFERROR(VLOOKUP(B1397,'Pre-Summary'!$BG$6:$BL$44,4,FALSE),"")</f>
        <v/>
      </c>
    </row>
    <row r="1398" spans="2:39" ht="15" customHeight="1" x14ac:dyDescent="0.3">
      <c r="B1398">
        <v>139.5</v>
      </c>
      <c r="C1398" t="str">
        <f>IFERROR(VLOOKUP(B1398,'Pre-Summary'!$DI$6:$DM$23,4,FALSE),"")</f>
        <v/>
      </c>
      <c r="D1398" s="10" t="str">
        <f>IFERROR(VLOOKUP(B1398,'Pre-Summary'!$AT$6:$AX$14,5,FALSE),D1397)</f>
        <v xml:space="preserve">Wolfe v1: put in modified wolfe + EDTA </v>
      </c>
      <c r="E1398" s="10" t="str">
        <f>IFERROR(VLOOKUP(B1398,'Pre-Summary'!$AT$6:$AX$15,4,FALSE),"")</f>
        <v/>
      </c>
      <c r="F1398">
        <f>IFERROR(VLOOKUP(B1398,'Pre-Summary'!$AL$6:$AQ$13,6,FALSE),F1397)</f>
        <v>5.3897368421052638E-2</v>
      </c>
      <c r="G1398" t="str">
        <f>IFERROR(VLOOKUP(B1398,'Pre-Summary'!$AE$6:$AJ$85,3,FALSE),"")</f>
        <v/>
      </c>
      <c r="H1398" t="str">
        <f>IFERROR(VLOOKUP(B1398,'Pre-Summary'!$AE$6:$AJ$85,4,FALSE),"")</f>
        <v/>
      </c>
      <c r="I1398" t="str">
        <f>IFERROR(VLOOKUP(B1398,'Pre-Summary'!$AE$6:$AJ$85,5,FALSE),"")</f>
        <v/>
      </c>
      <c r="J1398" s="45" t="str">
        <f>IFERROR(VLOOKUP(B1398,'Pre-Summary'!$AE$6:$AJ$85,6, FALSE),"")</f>
        <v/>
      </c>
      <c r="K1398" s="45" t="str">
        <f>IFERROR(VLOOKUP(B1398,'Pre-Summary'!$DE$6:$DG$61,3,FALSE),"")</f>
        <v/>
      </c>
      <c r="L1398" s="45" t="str">
        <f>IFERROR(VLOOKUP(B1398,'Pre-Summary'!$CU$6:$CW$36,3,FALSE),"")</f>
        <v/>
      </c>
      <c r="M1398" s="45" t="str">
        <f>IFERROR(VLOOKUP(B1398,'Pre-Summary'!$BW$6:$BY$58,2,FALSE),"")</f>
        <v/>
      </c>
      <c r="N1398" s="45" t="str">
        <f>IFERROR(VLOOKUP(B1398,'Pre-Summary'!$CD$6:$CF$64,2,FALSE),"")</f>
        <v/>
      </c>
      <c r="O1398" s="99">
        <f>IFERROR(VLOOKUP(B1398,'Pre-Summary'!$BO$6:$BQ$48,3, FALSE),O1397)</f>
        <v>1.2</v>
      </c>
      <c r="P1398" s="99">
        <f>IFERROR(VLOOKUP(B1398,'Pre-Summary'!$BS$6:$BU$35,3,FALSE),P1397)</f>
        <v>0.3</v>
      </c>
      <c r="Q1398" s="54">
        <f t="shared" si="63"/>
        <v>4</v>
      </c>
      <c r="R1398" s="53">
        <f>IFERROR(VLOOKUP(B1398,'Pre-Summary'!$BG$6:$BM$44,7,FALSE),R1399)</f>
        <v>9.5517489384447818E-2</v>
      </c>
      <c r="S1398" s="53">
        <f>IFERROR(VLOOKUP(B1398,'Pre-Summary'!$BG$6:$BM$44,6,FALSE),S1399)</f>
        <v>8.6010874938220475E-2</v>
      </c>
      <c r="T1398" s="45" t="str">
        <f>IFERROR(VLOOKUP(B1398,'Pre-Summary'!$Y$6:$AC$83, 3,FALSE),"")</f>
        <v/>
      </c>
      <c r="U1398" s="45" t="str">
        <f>IFERROR(VLOOKUP(B1398,'Pre-Summary'!$Y$6:$AC$83, 4,FALSE),"")</f>
        <v/>
      </c>
      <c r="V1398" t="str">
        <f>IFERROR(VLOOKUP(B1398,'Pre-Summary'!$Y$6:$AC$83, 5,FALSE),"")</f>
        <v/>
      </c>
      <c r="W1398" s="45" t="str">
        <f>IFERROR(VLOOKUP(B1398,'Pre-Summary'!$Y$6:$AD$83,6,FALSE),"")</f>
        <v/>
      </c>
      <c r="X1398" t="str">
        <f>IFERROR(VLOOKUP('Pre-Summary'!$DB$6:$DD$63,3,FALSE),"")</f>
        <v/>
      </c>
      <c r="Y1398" t="str">
        <f>IFERROR(VLOOKUP(B1398,'Pre-Summary'!$CR$6:$CT$36,3,FALSE),"")</f>
        <v/>
      </c>
      <c r="Z1398" s="45" t="str">
        <f>IFERROR(VLOOKUP(B1398,'Pre-Summary'!$BZ$6:$CB$63,2,FALSE),"")</f>
        <v/>
      </c>
      <c r="AA1398" s="45" t="str">
        <f>IFERROR(VLOOKUP(B1398,'Pre-Summary'!$CG$6:$CI$70,2,FALSE),"")</f>
        <v/>
      </c>
      <c r="AB1398" s="99">
        <f>IFERROR(VLOOKUP(B1398,'Pre-Summary'!$A$6:$P$178,9,FALSE),AB1399)</f>
        <v>0.26243021266793065</v>
      </c>
      <c r="AC1398" s="10">
        <f>IFERROR(VLOOKUP(Summary!B1398,'Pre-Summary'!$A$6:$P$184,5, FALSE)/100,AC1399)</f>
        <v>0.98266966666666677</v>
      </c>
      <c r="AD1398" s="10">
        <f>IFERROR(VLOOKUP(Summary!B1398,'Pre-Summary'!$A$6:$P$184,3, FALSE)/100,AD1399)</f>
        <v>9.9173333333333318E-3</v>
      </c>
      <c r="AE1398" s="10">
        <f>IFERROR(VLOOKUP(Summary!B1398,'Pre-Summary'!$A$6:$P$184,7, FALSE)/100,AE1399)</f>
        <v>7.4129999999999995E-3</v>
      </c>
      <c r="AF1398" s="99">
        <f t="shared" si="64"/>
        <v>2.6026078957654239E-3</v>
      </c>
      <c r="AG1398" s="99">
        <f t="shared" si="65"/>
        <v>1.9453951665073697E-3</v>
      </c>
      <c r="AH1398" s="10" t="str">
        <f>IFERROR(VLOOKUP(B1398,'Pre-Summary'!$AZ$6:$BE$65,3,FALSE),"")</f>
        <v/>
      </c>
      <c r="AI1398" s="10" t="str">
        <f>IFERROR(VLOOKUP(B1398,'Pre-Summary'!$AZ$6:$BE$65,5,FALSE),"")</f>
        <v/>
      </c>
      <c r="AJ1398" s="10" t="str">
        <f>IFERROR(VLOOKUP(B1398,'Pre-Summary'!$AZ$6:$BE$65,4,FALSE),"")</f>
        <v/>
      </c>
      <c r="AK1398" s="10" t="str">
        <f>IFERROR(VLOOKUP(B1398,'Pre-Summary'!$AZ$6:$BE$65,6,FALSE),"")</f>
        <v/>
      </c>
      <c r="AL1398" s="10" t="str">
        <f>IFERROR(VLOOKUP(B1398,'Pre-Summary'!$BG$6:$BL$44,3,FALSE),"")</f>
        <v/>
      </c>
      <c r="AM1398" s="10" t="str">
        <f>IFERROR(VLOOKUP(B1398,'Pre-Summary'!$BG$6:$BL$44,4,FALSE),"")</f>
        <v/>
      </c>
    </row>
    <row r="1399" spans="2:39" ht="15" customHeight="1" x14ac:dyDescent="0.3">
      <c r="B1399">
        <v>139.6</v>
      </c>
      <c r="C1399" t="str">
        <f>IFERROR(VLOOKUP(B1399,'Pre-Summary'!$DI$6:$DM$23,4,FALSE),"")</f>
        <v/>
      </c>
      <c r="D1399" s="10" t="str">
        <f>IFERROR(VLOOKUP(B1399,'Pre-Summary'!$AT$6:$AX$14,5,FALSE),D1398)</f>
        <v xml:space="preserve">Wolfe v1: put in modified wolfe + EDTA </v>
      </c>
      <c r="E1399" s="10" t="str">
        <f>IFERROR(VLOOKUP(B1399,'Pre-Summary'!$AT$6:$AX$15,4,FALSE),"")</f>
        <v/>
      </c>
      <c r="F1399">
        <f>IFERROR(VLOOKUP(B1399,'Pre-Summary'!$AL$6:$AQ$13,6,FALSE),F1398)</f>
        <v>5.3897368421052638E-2</v>
      </c>
      <c r="G1399" t="str">
        <f>IFERROR(VLOOKUP(B1399,'Pre-Summary'!$AE$6:$AJ$85,3,FALSE),"")</f>
        <v/>
      </c>
      <c r="H1399" t="str">
        <f>IFERROR(VLOOKUP(B1399,'Pre-Summary'!$AE$6:$AJ$85,4,FALSE),"")</f>
        <v/>
      </c>
      <c r="I1399" t="str">
        <f>IFERROR(VLOOKUP(B1399,'Pre-Summary'!$AE$6:$AJ$85,5,FALSE),"")</f>
        <v/>
      </c>
      <c r="J1399" s="45" t="str">
        <f>IFERROR(VLOOKUP(B1399,'Pre-Summary'!$AE$6:$AJ$85,6, FALSE),"")</f>
        <v/>
      </c>
      <c r="K1399" s="45" t="str">
        <f>IFERROR(VLOOKUP(B1399,'Pre-Summary'!$DE$6:$DG$61,3,FALSE),"")</f>
        <v/>
      </c>
      <c r="L1399" s="45" t="str">
        <f>IFERROR(VLOOKUP(B1399,'Pre-Summary'!$CU$6:$CW$36,3,FALSE),"")</f>
        <v/>
      </c>
      <c r="M1399" s="45" t="str">
        <f>IFERROR(VLOOKUP(B1399,'Pre-Summary'!$BW$6:$BY$58,2,FALSE),"")</f>
        <v/>
      </c>
      <c r="N1399" s="45" t="str">
        <f>IFERROR(VLOOKUP(B1399,'Pre-Summary'!$CD$6:$CF$64,2,FALSE),"")</f>
        <v/>
      </c>
      <c r="O1399" s="99">
        <f>IFERROR(VLOOKUP(B1399,'Pre-Summary'!$BO$6:$BQ$48,3, FALSE),O1398)</f>
        <v>1.2</v>
      </c>
      <c r="P1399" s="99">
        <f>IFERROR(VLOOKUP(B1399,'Pre-Summary'!$BS$6:$BU$35,3,FALSE),P1398)</f>
        <v>0.3</v>
      </c>
      <c r="Q1399" s="54">
        <f t="shared" si="63"/>
        <v>4</v>
      </c>
      <c r="R1399" s="53">
        <f>IFERROR(VLOOKUP(B1399,'Pre-Summary'!$BG$6:$BM$44,7,FALSE),R1400)</f>
        <v>9.5517489384447818E-2</v>
      </c>
      <c r="S1399" s="53">
        <f>IFERROR(VLOOKUP(B1399,'Pre-Summary'!$BG$6:$BM$44,6,FALSE),S1400)</f>
        <v>8.6010874938220475E-2</v>
      </c>
      <c r="T1399" s="45" t="str">
        <f>IFERROR(VLOOKUP(B1399,'Pre-Summary'!$Y$6:$AC$83, 3,FALSE),"")</f>
        <v/>
      </c>
      <c r="U1399" s="45" t="str">
        <f>IFERROR(VLOOKUP(B1399,'Pre-Summary'!$Y$6:$AC$83, 4,FALSE),"")</f>
        <v/>
      </c>
      <c r="V1399" t="str">
        <f>IFERROR(VLOOKUP(B1399,'Pre-Summary'!$Y$6:$AC$83, 5,FALSE),"")</f>
        <v/>
      </c>
      <c r="W1399" s="45" t="str">
        <f>IFERROR(VLOOKUP(B1399,'Pre-Summary'!$Y$6:$AD$83,6,FALSE),"")</f>
        <v/>
      </c>
      <c r="X1399" t="str">
        <f>IFERROR(VLOOKUP('Pre-Summary'!$DB$6:$DD$63,3,FALSE),"")</f>
        <v/>
      </c>
      <c r="Y1399" t="str">
        <f>IFERROR(VLOOKUP(B1399,'Pre-Summary'!$CR$6:$CT$36,3,FALSE),"")</f>
        <v/>
      </c>
      <c r="Z1399" s="45" t="str">
        <f>IFERROR(VLOOKUP(B1399,'Pre-Summary'!$BZ$6:$CB$63,2,FALSE),"")</f>
        <v/>
      </c>
      <c r="AA1399" s="45" t="str">
        <f>IFERROR(VLOOKUP(B1399,'Pre-Summary'!$CG$6:$CI$70,2,FALSE),"")</f>
        <v/>
      </c>
      <c r="AB1399" s="99">
        <f>IFERROR(VLOOKUP(B1399,'Pre-Summary'!$A$6:$P$178,9,FALSE),AB1400)</f>
        <v>0.26243021266793065</v>
      </c>
      <c r="AC1399" s="10">
        <f>IFERROR(VLOOKUP(Summary!B1399,'Pre-Summary'!$A$6:$P$184,5, FALSE)/100,AC1400)</f>
        <v>0.98266966666666677</v>
      </c>
      <c r="AD1399" s="10">
        <f>IFERROR(VLOOKUP(Summary!B1399,'Pre-Summary'!$A$6:$P$184,3, FALSE)/100,AD1400)</f>
        <v>9.9173333333333318E-3</v>
      </c>
      <c r="AE1399" s="10">
        <f>IFERROR(VLOOKUP(Summary!B1399,'Pre-Summary'!$A$6:$P$184,7, FALSE)/100,AE1400)</f>
        <v>7.4129999999999995E-3</v>
      </c>
      <c r="AF1399" s="99">
        <f t="shared" si="64"/>
        <v>2.6026078957654239E-3</v>
      </c>
      <c r="AG1399" s="99">
        <f t="shared" si="65"/>
        <v>1.9453951665073697E-3</v>
      </c>
      <c r="AH1399" s="10" t="str">
        <f>IFERROR(VLOOKUP(B1399,'Pre-Summary'!$AZ$6:$BE$65,3,FALSE),"")</f>
        <v/>
      </c>
      <c r="AI1399" s="10" t="str">
        <f>IFERROR(VLOOKUP(B1399,'Pre-Summary'!$AZ$6:$BE$65,5,FALSE),"")</f>
        <v/>
      </c>
      <c r="AJ1399" s="10" t="str">
        <f>IFERROR(VLOOKUP(B1399,'Pre-Summary'!$AZ$6:$BE$65,4,FALSE),"")</f>
        <v/>
      </c>
      <c r="AK1399" s="10" t="str">
        <f>IFERROR(VLOOKUP(B1399,'Pre-Summary'!$AZ$6:$BE$65,6,FALSE),"")</f>
        <v/>
      </c>
      <c r="AL1399" s="10" t="str">
        <f>IFERROR(VLOOKUP(B1399,'Pre-Summary'!$BG$6:$BL$44,3,FALSE),"")</f>
        <v/>
      </c>
      <c r="AM1399" s="10" t="str">
        <f>IFERROR(VLOOKUP(B1399,'Pre-Summary'!$BG$6:$BL$44,4,FALSE),"")</f>
        <v/>
      </c>
    </row>
    <row r="1400" spans="2:39" ht="15" customHeight="1" x14ac:dyDescent="0.3">
      <c r="B1400">
        <v>139.69999999999999</v>
      </c>
      <c r="C1400" t="str">
        <f>IFERROR(VLOOKUP(B1400,'Pre-Summary'!$DI$6:$DM$23,4,FALSE),"")</f>
        <v/>
      </c>
      <c r="D1400" s="10" t="str">
        <f>IFERROR(VLOOKUP(B1400,'Pre-Summary'!$AT$6:$AX$14,5,FALSE),D1399)</f>
        <v xml:space="preserve">Wolfe v1: put in modified wolfe + EDTA </v>
      </c>
      <c r="E1400" s="10" t="str">
        <f>IFERROR(VLOOKUP(B1400,'Pre-Summary'!$AT$6:$AX$15,4,FALSE),"")</f>
        <v/>
      </c>
      <c r="F1400">
        <f>IFERROR(VLOOKUP(B1400,'Pre-Summary'!$AL$6:$AQ$13,6,FALSE),F1399)</f>
        <v>5.3897368421052638E-2</v>
      </c>
      <c r="G1400" t="str">
        <f>IFERROR(VLOOKUP(B1400,'Pre-Summary'!$AE$6:$AJ$85,3,FALSE),"")</f>
        <v/>
      </c>
      <c r="H1400" t="str">
        <f>IFERROR(VLOOKUP(B1400,'Pre-Summary'!$AE$6:$AJ$85,4,FALSE),"")</f>
        <v/>
      </c>
      <c r="I1400" t="str">
        <f>IFERROR(VLOOKUP(B1400,'Pre-Summary'!$AE$6:$AJ$85,5,FALSE),"")</f>
        <v/>
      </c>
      <c r="J1400" s="45" t="str">
        <f>IFERROR(VLOOKUP(B1400,'Pre-Summary'!$AE$6:$AJ$85,6, FALSE),"")</f>
        <v/>
      </c>
      <c r="K1400" s="45" t="str">
        <f>IFERROR(VLOOKUP(B1400,'Pre-Summary'!$DE$6:$DG$61,3,FALSE),"")</f>
        <v/>
      </c>
      <c r="L1400" s="45" t="str">
        <f>IFERROR(VLOOKUP(B1400,'Pre-Summary'!$CU$6:$CW$36,3,FALSE),"")</f>
        <v/>
      </c>
      <c r="M1400" s="45" t="str">
        <f>IFERROR(VLOOKUP(B1400,'Pre-Summary'!$BW$6:$BY$58,2,FALSE),"")</f>
        <v/>
      </c>
      <c r="N1400" s="45" t="str">
        <f>IFERROR(VLOOKUP(B1400,'Pre-Summary'!$CD$6:$CF$64,2,FALSE),"")</f>
        <v/>
      </c>
      <c r="O1400" s="99">
        <f>IFERROR(VLOOKUP(B1400,'Pre-Summary'!$BO$6:$BQ$48,3, FALSE),O1399)</f>
        <v>1.2</v>
      </c>
      <c r="P1400" s="99">
        <f>IFERROR(VLOOKUP(B1400,'Pre-Summary'!$BS$6:$BU$35,3,FALSE),P1399)</f>
        <v>0.3</v>
      </c>
      <c r="Q1400" s="54">
        <f t="shared" si="63"/>
        <v>4</v>
      </c>
      <c r="R1400" s="53">
        <f>IFERROR(VLOOKUP(B1400,'Pre-Summary'!$BG$6:$BM$44,7,FALSE),R1401)</f>
        <v>9.5517489384447818E-2</v>
      </c>
      <c r="S1400" s="53">
        <f>IFERROR(VLOOKUP(B1400,'Pre-Summary'!$BG$6:$BM$44,6,FALSE),S1401)</f>
        <v>8.6010874938220475E-2</v>
      </c>
      <c r="T1400" s="45" t="str">
        <f>IFERROR(VLOOKUP(B1400,'Pre-Summary'!$Y$6:$AC$83, 3,FALSE),"")</f>
        <v/>
      </c>
      <c r="U1400" s="45" t="str">
        <f>IFERROR(VLOOKUP(B1400,'Pre-Summary'!$Y$6:$AC$83, 4,FALSE),"")</f>
        <v/>
      </c>
      <c r="V1400" t="str">
        <f>IFERROR(VLOOKUP(B1400,'Pre-Summary'!$Y$6:$AC$83, 5,FALSE),"")</f>
        <v/>
      </c>
      <c r="W1400" s="45" t="str">
        <f>IFERROR(VLOOKUP(B1400,'Pre-Summary'!$Y$6:$AD$83,6,FALSE),"")</f>
        <v/>
      </c>
      <c r="X1400" t="str">
        <f>IFERROR(VLOOKUP('Pre-Summary'!$DB$6:$DD$63,3,FALSE),"")</f>
        <v/>
      </c>
      <c r="Y1400" t="str">
        <f>IFERROR(VLOOKUP(B1400,'Pre-Summary'!$CR$6:$CT$36,3,FALSE),"")</f>
        <v/>
      </c>
      <c r="Z1400" s="45" t="str">
        <f>IFERROR(VLOOKUP(B1400,'Pre-Summary'!$BZ$6:$CB$63,2,FALSE),"")</f>
        <v/>
      </c>
      <c r="AA1400" s="45" t="str">
        <f>IFERROR(VLOOKUP(B1400,'Pre-Summary'!$CG$6:$CI$70,2,FALSE),"")</f>
        <v/>
      </c>
      <c r="AB1400" s="99">
        <f>IFERROR(VLOOKUP(B1400,'Pre-Summary'!$A$6:$P$178,9,FALSE),AB1401)</f>
        <v>0.26243021266793065</v>
      </c>
      <c r="AC1400" s="10">
        <f>IFERROR(VLOOKUP(Summary!B1400,'Pre-Summary'!$A$6:$P$184,5, FALSE)/100,AC1401)</f>
        <v>0.98266966666666677</v>
      </c>
      <c r="AD1400" s="10">
        <f>IFERROR(VLOOKUP(Summary!B1400,'Pre-Summary'!$A$6:$P$184,3, FALSE)/100,AD1401)</f>
        <v>9.9173333333333318E-3</v>
      </c>
      <c r="AE1400" s="10">
        <f>IFERROR(VLOOKUP(Summary!B1400,'Pre-Summary'!$A$6:$P$184,7, FALSE)/100,AE1401)</f>
        <v>7.4129999999999995E-3</v>
      </c>
      <c r="AF1400" s="99">
        <f t="shared" si="64"/>
        <v>2.6026078957654239E-3</v>
      </c>
      <c r="AG1400" s="99">
        <f t="shared" si="65"/>
        <v>1.9453951665073697E-3</v>
      </c>
      <c r="AH1400" s="10" t="str">
        <f>IFERROR(VLOOKUP(B1400,'Pre-Summary'!$AZ$6:$BE$65,3,FALSE),"")</f>
        <v/>
      </c>
      <c r="AI1400" s="10" t="str">
        <f>IFERROR(VLOOKUP(B1400,'Pre-Summary'!$AZ$6:$BE$65,5,FALSE),"")</f>
        <v/>
      </c>
      <c r="AJ1400" s="10" t="str">
        <f>IFERROR(VLOOKUP(B1400,'Pre-Summary'!$AZ$6:$BE$65,4,FALSE),"")</f>
        <v/>
      </c>
      <c r="AK1400" s="10" t="str">
        <f>IFERROR(VLOOKUP(B1400,'Pre-Summary'!$AZ$6:$BE$65,6,FALSE),"")</f>
        <v/>
      </c>
      <c r="AL1400" s="10" t="str">
        <f>IFERROR(VLOOKUP(B1400,'Pre-Summary'!$BG$6:$BL$44,3,FALSE),"")</f>
        <v/>
      </c>
      <c r="AM1400" s="10" t="str">
        <f>IFERROR(VLOOKUP(B1400,'Pre-Summary'!$BG$6:$BL$44,4,FALSE),"")</f>
        <v/>
      </c>
    </row>
    <row r="1401" spans="2:39" ht="15" customHeight="1" x14ac:dyDescent="0.3">
      <c r="B1401">
        <v>139.80000000000001</v>
      </c>
      <c r="C1401" t="str">
        <f>IFERROR(VLOOKUP(B1401,'Pre-Summary'!$DI$6:$DM$23,4,FALSE),"")</f>
        <v/>
      </c>
      <c r="D1401" s="10" t="str">
        <f>IFERROR(VLOOKUP(B1401,'Pre-Summary'!$AT$6:$AX$14,5,FALSE),D1400)</f>
        <v xml:space="preserve">Wolfe v1: put in modified wolfe + EDTA </v>
      </c>
      <c r="E1401" s="10" t="str">
        <f>IFERROR(VLOOKUP(B1401,'Pre-Summary'!$AT$6:$AX$15,4,FALSE),"")</f>
        <v/>
      </c>
      <c r="F1401">
        <f>IFERROR(VLOOKUP(B1401,'Pre-Summary'!$AL$6:$AQ$13,6,FALSE),F1400)</f>
        <v>5.3897368421052638E-2</v>
      </c>
      <c r="G1401" t="str">
        <f>IFERROR(VLOOKUP(B1401,'Pre-Summary'!$AE$6:$AJ$85,3,FALSE),"")</f>
        <v/>
      </c>
      <c r="H1401" t="str">
        <f>IFERROR(VLOOKUP(B1401,'Pre-Summary'!$AE$6:$AJ$85,4,FALSE),"")</f>
        <v/>
      </c>
      <c r="I1401" t="str">
        <f>IFERROR(VLOOKUP(B1401,'Pre-Summary'!$AE$6:$AJ$85,5,FALSE),"")</f>
        <v/>
      </c>
      <c r="J1401" s="45" t="str">
        <f>IFERROR(VLOOKUP(B1401,'Pre-Summary'!$AE$6:$AJ$85,6, FALSE),"")</f>
        <v/>
      </c>
      <c r="K1401" s="45" t="str">
        <f>IFERROR(VLOOKUP(B1401,'Pre-Summary'!$DE$6:$DG$61,3,FALSE),"")</f>
        <v/>
      </c>
      <c r="L1401" s="45" t="str">
        <f>IFERROR(VLOOKUP(B1401,'Pre-Summary'!$CU$6:$CW$36,3,FALSE),"")</f>
        <v/>
      </c>
      <c r="M1401" s="45" t="str">
        <f>IFERROR(VLOOKUP(B1401,'Pre-Summary'!$BW$6:$BY$58,2,FALSE),"")</f>
        <v/>
      </c>
      <c r="N1401" s="45" t="str">
        <f>IFERROR(VLOOKUP(B1401,'Pre-Summary'!$CD$6:$CF$64,2,FALSE),"")</f>
        <v/>
      </c>
      <c r="O1401" s="99">
        <f>IFERROR(VLOOKUP(B1401,'Pre-Summary'!$BO$6:$BQ$48,3, FALSE),O1400)</f>
        <v>1.2</v>
      </c>
      <c r="P1401" s="99">
        <f>IFERROR(VLOOKUP(B1401,'Pre-Summary'!$BS$6:$BU$35,3,FALSE),P1400)</f>
        <v>0.3</v>
      </c>
      <c r="Q1401" s="54">
        <f t="shared" si="63"/>
        <v>4</v>
      </c>
      <c r="R1401" s="53">
        <f>IFERROR(VLOOKUP(B1401,'Pre-Summary'!$BG$6:$BM$44,7,FALSE),R1402)</f>
        <v>9.5517489384447818E-2</v>
      </c>
      <c r="S1401" s="53">
        <f>IFERROR(VLOOKUP(B1401,'Pre-Summary'!$BG$6:$BM$44,6,FALSE),S1402)</f>
        <v>8.6010874938220475E-2</v>
      </c>
      <c r="T1401" s="45" t="str">
        <f>IFERROR(VLOOKUP(B1401,'Pre-Summary'!$Y$6:$AC$83, 3,FALSE),"")</f>
        <v/>
      </c>
      <c r="U1401" s="45" t="str">
        <f>IFERROR(VLOOKUP(B1401,'Pre-Summary'!$Y$6:$AC$83, 4,FALSE),"")</f>
        <v/>
      </c>
      <c r="V1401" t="str">
        <f>IFERROR(VLOOKUP(B1401,'Pre-Summary'!$Y$6:$AC$83, 5,FALSE),"")</f>
        <v/>
      </c>
      <c r="W1401" s="45" t="str">
        <f>IFERROR(VLOOKUP(B1401,'Pre-Summary'!$Y$6:$AD$83,6,FALSE),"")</f>
        <v/>
      </c>
      <c r="X1401" t="str">
        <f>IFERROR(VLOOKUP('Pre-Summary'!$DB$6:$DD$63,3,FALSE),"")</f>
        <v/>
      </c>
      <c r="Y1401" t="str">
        <f>IFERROR(VLOOKUP(B1401,'Pre-Summary'!$CR$6:$CT$36,3,FALSE),"")</f>
        <v/>
      </c>
      <c r="Z1401" s="45" t="str">
        <f>IFERROR(VLOOKUP(B1401,'Pre-Summary'!$BZ$6:$CB$63,2,FALSE),"")</f>
        <v/>
      </c>
      <c r="AA1401" s="45" t="str">
        <f>IFERROR(VLOOKUP(B1401,'Pre-Summary'!$CG$6:$CI$70,2,FALSE),"")</f>
        <v/>
      </c>
      <c r="AB1401" s="99">
        <f>IFERROR(VLOOKUP(B1401,'Pre-Summary'!$A$6:$P$178,9,FALSE),AB1402)</f>
        <v>0.26243021266793065</v>
      </c>
      <c r="AC1401" s="10">
        <f>IFERROR(VLOOKUP(Summary!B1401,'Pre-Summary'!$A$6:$P$184,5, FALSE)/100,AC1402)</f>
        <v>0.98266966666666677</v>
      </c>
      <c r="AD1401" s="10">
        <f>IFERROR(VLOOKUP(Summary!B1401,'Pre-Summary'!$A$6:$P$184,3, FALSE)/100,AD1402)</f>
        <v>9.9173333333333318E-3</v>
      </c>
      <c r="AE1401" s="10">
        <f>IFERROR(VLOOKUP(Summary!B1401,'Pre-Summary'!$A$6:$P$184,7, FALSE)/100,AE1402)</f>
        <v>7.4129999999999995E-3</v>
      </c>
      <c r="AF1401" s="99">
        <f t="shared" si="64"/>
        <v>2.6026078957654239E-3</v>
      </c>
      <c r="AG1401" s="99">
        <f t="shared" si="65"/>
        <v>1.9453951665073697E-3</v>
      </c>
      <c r="AH1401" s="10" t="str">
        <f>IFERROR(VLOOKUP(B1401,'Pre-Summary'!$AZ$6:$BE$65,3,FALSE),"")</f>
        <v/>
      </c>
      <c r="AI1401" s="10" t="str">
        <f>IFERROR(VLOOKUP(B1401,'Pre-Summary'!$AZ$6:$BE$65,5,FALSE),"")</f>
        <v/>
      </c>
      <c r="AJ1401" s="10" t="str">
        <f>IFERROR(VLOOKUP(B1401,'Pre-Summary'!$AZ$6:$BE$65,4,FALSE),"")</f>
        <v/>
      </c>
      <c r="AK1401" s="10" t="str">
        <f>IFERROR(VLOOKUP(B1401,'Pre-Summary'!$AZ$6:$BE$65,6,FALSE),"")</f>
        <v/>
      </c>
      <c r="AL1401" s="10" t="str">
        <f>IFERROR(VLOOKUP(B1401,'Pre-Summary'!$BG$6:$BL$44,3,FALSE),"")</f>
        <v/>
      </c>
      <c r="AM1401" s="10" t="str">
        <f>IFERROR(VLOOKUP(B1401,'Pre-Summary'!$BG$6:$BL$44,4,FALSE),"")</f>
        <v/>
      </c>
    </row>
    <row r="1402" spans="2:39" ht="15" customHeight="1" x14ac:dyDescent="0.3">
      <c r="B1402">
        <v>139.9</v>
      </c>
      <c r="C1402" t="str">
        <f>IFERROR(VLOOKUP(B1402,'Pre-Summary'!$DI$6:$DM$23,4,FALSE),"")</f>
        <v>H34</v>
      </c>
      <c r="D1402" s="10" t="str">
        <f>IFERROR(VLOOKUP(B1402,'Pre-Summary'!$AT$6:$AX$14,5,FALSE),D1401)</f>
        <v xml:space="preserve">Wolfe v1: put in modified wolfe + EDTA </v>
      </c>
      <c r="E1402" s="10" t="str">
        <f>IFERROR(VLOOKUP(B1402,'Pre-Summary'!$AT$6:$AX$15,4,FALSE),"")</f>
        <v/>
      </c>
      <c r="F1402">
        <f>IFERROR(VLOOKUP(B1402,'Pre-Summary'!$AL$6:$AQ$13,6,FALSE),F1401)</f>
        <v>5.3897368421052638E-2</v>
      </c>
      <c r="G1402" t="str">
        <f>IFERROR(VLOOKUP(B1402,'Pre-Summary'!$AE$6:$AJ$85,3,FALSE),"")</f>
        <v/>
      </c>
      <c r="H1402" t="str">
        <f>IFERROR(VLOOKUP(B1402,'Pre-Summary'!$AE$6:$AJ$85,4,FALSE),"")</f>
        <v/>
      </c>
      <c r="I1402" t="str">
        <f>IFERROR(VLOOKUP(B1402,'Pre-Summary'!$AE$6:$AJ$85,5,FALSE),"")</f>
        <v/>
      </c>
      <c r="J1402" s="45" t="str">
        <f>IFERROR(VLOOKUP(B1402,'Pre-Summary'!$AE$6:$AJ$85,6, FALSE),"")</f>
        <v/>
      </c>
      <c r="K1402" s="45" t="str">
        <f>IFERROR(VLOOKUP(B1402,'Pre-Summary'!$DE$6:$DG$61,3,FALSE),"")</f>
        <v/>
      </c>
      <c r="L1402" s="45" t="str">
        <f>IFERROR(VLOOKUP(B1402,'Pre-Summary'!$CU$6:$CW$36,3,FALSE),"")</f>
        <v/>
      </c>
      <c r="M1402" s="45" t="str">
        <f>IFERROR(VLOOKUP(B1402,'Pre-Summary'!$BW$6:$BY$58,2,FALSE),"")</f>
        <v/>
      </c>
      <c r="N1402" s="45" t="str">
        <f>IFERROR(VLOOKUP(B1402,'Pre-Summary'!$CD$6:$CF$64,2,FALSE),"")</f>
        <v/>
      </c>
      <c r="O1402" s="99">
        <f>IFERROR(VLOOKUP(B1402,'Pre-Summary'!$BO$6:$BQ$48,3, FALSE),O1401)</f>
        <v>1.2</v>
      </c>
      <c r="P1402" s="99">
        <f>IFERROR(VLOOKUP(B1402,'Pre-Summary'!$BS$6:$BU$35,3,FALSE),P1401)</f>
        <v>0.3</v>
      </c>
      <c r="Q1402" s="54">
        <f t="shared" si="63"/>
        <v>4</v>
      </c>
      <c r="R1402" s="53">
        <f>IFERROR(VLOOKUP(B1402,'Pre-Summary'!$BG$6:$BM$44,7,FALSE),R1403)</f>
        <v>9.5517489384447818E-2</v>
      </c>
      <c r="S1402" s="53">
        <f>IFERROR(VLOOKUP(B1402,'Pre-Summary'!$BG$6:$BM$44,6,FALSE),S1403)</f>
        <v>8.6010874938220475E-2</v>
      </c>
      <c r="T1402" s="45" t="str">
        <f>IFERROR(VLOOKUP(B1402,'Pre-Summary'!$Y$6:$AC$83, 3,FALSE),"")</f>
        <v/>
      </c>
      <c r="U1402" s="45" t="str">
        <f>IFERROR(VLOOKUP(B1402,'Pre-Summary'!$Y$6:$AC$83, 4,FALSE),"")</f>
        <v/>
      </c>
      <c r="V1402" t="str">
        <f>IFERROR(VLOOKUP(B1402,'Pre-Summary'!$Y$6:$AC$83, 5,FALSE),"")</f>
        <v/>
      </c>
      <c r="W1402" s="45" t="str">
        <f>IFERROR(VLOOKUP(B1402,'Pre-Summary'!$Y$6:$AD$83,6,FALSE),"")</f>
        <v/>
      </c>
      <c r="X1402" t="str">
        <f>IFERROR(VLOOKUP('Pre-Summary'!$DB$6:$DD$63,3,FALSE),"")</f>
        <v/>
      </c>
      <c r="Y1402" t="str">
        <f>IFERROR(VLOOKUP(B1402,'Pre-Summary'!$CR$6:$CT$36,3,FALSE),"")</f>
        <v/>
      </c>
      <c r="Z1402" s="45" t="str">
        <f>IFERROR(VLOOKUP(B1402,'Pre-Summary'!$BZ$6:$CB$63,2,FALSE),"")</f>
        <v/>
      </c>
      <c r="AA1402" s="45" t="str">
        <f>IFERROR(VLOOKUP(B1402,'Pre-Summary'!$CG$6:$CI$70,2,FALSE),"")</f>
        <v/>
      </c>
      <c r="AB1402" s="99">
        <f>IFERROR(VLOOKUP(B1402,'Pre-Summary'!$A$6:$P$178,9,FALSE),AB1403)</f>
        <v>0.26243021266793065</v>
      </c>
      <c r="AC1402" s="10">
        <f>IFERROR(VLOOKUP(Summary!B1402,'Pre-Summary'!$A$6:$P$184,5, FALSE)/100,AC1403)</f>
        <v>0.98266966666666677</v>
      </c>
      <c r="AD1402" s="10">
        <f>IFERROR(VLOOKUP(Summary!B1402,'Pre-Summary'!$A$6:$P$184,3, FALSE)/100,AD1403)</f>
        <v>9.9173333333333318E-3</v>
      </c>
      <c r="AE1402" s="10">
        <f>IFERROR(VLOOKUP(Summary!B1402,'Pre-Summary'!$A$6:$P$184,7, FALSE)/100,AE1403)</f>
        <v>7.4129999999999995E-3</v>
      </c>
      <c r="AF1402" s="99">
        <f t="shared" si="64"/>
        <v>2.6026078957654239E-3</v>
      </c>
      <c r="AG1402" s="99">
        <f t="shared" si="65"/>
        <v>1.9453951665073697E-3</v>
      </c>
      <c r="AH1402" s="10" t="str">
        <f>IFERROR(VLOOKUP(B1402,'Pre-Summary'!$AZ$6:$BE$65,3,FALSE),"")</f>
        <v/>
      </c>
      <c r="AI1402" s="10" t="str">
        <f>IFERROR(VLOOKUP(B1402,'Pre-Summary'!$AZ$6:$BE$65,5,FALSE),"")</f>
        <v/>
      </c>
      <c r="AJ1402" s="10" t="str">
        <f>IFERROR(VLOOKUP(B1402,'Pre-Summary'!$AZ$6:$BE$65,4,FALSE),"")</f>
        <v/>
      </c>
      <c r="AK1402" s="10" t="str">
        <f>IFERROR(VLOOKUP(B1402,'Pre-Summary'!$AZ$6:$BE$65,6,FALSE),"")</f>
        <v/>
      </c>
      <c r="AL1402" s="10" t="str">
        <f>IFERROR(VLOOKUP(B1402,'Pre-Summary'!$BG$6:$BL$44,3,FALSE),"")</f>
        <v/>
      </c>
      <c r="AM1402" s="10" t="str">
        <f>IFERROR(VLOOKUP(B1402,'Pre-Summary'!$BG$6:$BL$44,4,FALSE),"")</f>
        <v/>
      </c>
    </row>
    <row r="1403" spans="2:39" ht="15" customHeight="1" x14ac:dyDescent="0.3">
      <c r="B1403">
        <v>140</v>
      </c>
      <c r="C1403" t="str">
        <f>IFERROR(VLOOKUP(B1403,'Pre-Summary'!$DI$6:$DM$23,4,FALSE),"")</f>
        <v/>
      </c>
      <c r="D1403" s="10" t="str">
        <f>IFERROR(VLOOKUP(B1403,'Pre-Summary'!$AT$6:$AX$14,5,FALSE),D1402)</f>
        <v xml:space="preserve">Wolfe v1: put in modified wolfe + EDTA </v>
      </c>
      <c r="E1403" s="10" t="str">
        <f>IFERROR(VLOOKUP(B1403,'Pre-Summary'!$AT$6:$AX$15,4,FALSE),"")</f>
        <v/>
      </c>
      <c r="F1403">
        <f>IFERROR(VLOOKUP(B1403,'Pre-Summary'!$AL$6:$AQ$13,6,FALSE),F1402)</f>
        <v>5.3897368421052638E-2</v>
      </c>
      <c r="G1403" t="str">
        <f>IFERROR(VLOOKUP(B1403,'Pre-Summary'!$AE$6:$AJ$85,3,FALSE),"")</f>
        <v/>
      </c>
      <c r="H1403" t="str">
        <f>IFERROR(VLOOKUP(B1403,'Pre-Summary'!$AE$6:$AJ$85,4,FALSE),"")</f>
        <v/>
      </c>
      <c r="I1403" t="str">
        <f>IFERROR(VLOOKUP(B1403,'Pre-Summary'!$AE$6:$AJ$85,5,FALSE),"")</f>
        <v/>
      </c>
      <c r="J1403" s="45" t="str">
        <f>IFERROR(VLOOKUP(B1403,'Pre-Summary'!$AE$6:$AJ$85,6, FALSE),"")</f>
        <v/>
      </c>
      <c r="K1403" s="45" t="str">
        <f>IFERROR(VLOOKUP(B1403,'Pre-Summary'!$DE$6:$DG$61,3,FALSE),"")</f>
        <v/>
      </c>
      <c r="L1403" s="45" t="str">
        <f>IFERROR(VLOOKUP(B1403,'Pre-Summary'!$CU$6:$CW$36,3,FALSE),"")</f>
        <v/>
      </c>
      <c r="M1403" s="45" t="str">
        <f>IFERROR(VLOOKUP(B1403,'Pre-Summary'!$BW$6:$BY$58,2,FALSE),"")</f>
        <v/>
      </c>
      <c r="N1403" s="45" t="str">
        <f>IFERROR(VLOOKUP(B1403,'Pre-Summary'!$CD$6:$CF$64,2,FALSE),"")</f>
        <v/>
      </c>
      <c r="O1403" s="99">
        <f>IFERROR(VLOOKUP(B1403,'Pre-Summary'!$BO$6:$BQ$48,3, FALSE),O1402)</f>
        <v>1.2</v>
      </c>
      <c r="P1403" s="99">
        <f>IFERROR(VLOOKUP(B1403,'Pre-Summary'!$BS$6:$BU$35,3,FALSE),P1402)</f>
        <v>0.3</v>
      </c>
      <c r="Q1403" s="54">
        <f t="shared" si="63"/>
        <v>4</v>
      </c>
      <c r="R1403" s="53">
        <f>IFERROR(VLOOKUP(B1403,'Pre-Summary'!$BG$6:$BM$44,7,FALSE),R1404)</f>
        <v>9.5517489384447818E-2</v>
      </c>
      <c r="S1403" s="53">
        <f>IFERROR(VLOOKUP(B1403,'Pre-Summary'!$BG$6:$BM$44,6,FALSE),S1404)</f>
        <v>8.6010874938220475E-2</v>
      </c>
      <c r="T1403" s="45" t="str">
        <f>IFERROR(VLOOKUP(B1403,'Pre-Summary'!$Y$6:$AC$83, 3,FALSE),"")</f>
        <v/>
      </c>
      <c r="U1403" s="45" t="str">
        <f>IFERROR(VLOOKUP(B1403,'Pre-Summary'!$Y$6:$AC$83, 4,FALSE),"")</f>
        <v/>
      </c>
      <c r="V1403" t="str">
        <f>IFERROR(VLOOKUP(B1403,'Pre-Summary'!$Y$6:$AC$83, 5,FALSE),"")</f>
        <v/>
      </c>
      <c r="W1403" s="45" t="str">
        <f>IFERROR(VLOOKUP(B1403,'Pre-Summary'!$Y$6:$AD$83,6,FALSE),"")</f>
        <v/>
      </c>
      <c r="X1403" t="str">
        <f>IFERROR(VLOOKUP('Pre-Summary'!$DB$6:$DD$63,3,FALSE),"")</f>
        <v/>
      </c>
      <c r="Y1403" t="str">
        <f>IFERROR(VLOOKUP(B1403,'Pre-Summary'!$CR$6:$CT$36,3,FALSE),"")</f>
        <v/>
      </c>
      <c r="Z1403" s="45" t="str">
        <f>IFERROR(VLOOKUP(B1403,'Pre-Summary'!$BZ$6:$CB$63,2,FALSE),"")</f>
        <v/>
      </c>
      <c r="AA1403" s="45" t="str">
        <f>IFERROR(VLOOKUP(B1403,'Pre-Summary'!$CG$6:$CI$70,2,FALSE),"")</f>
        <v/>
      </c>
      <c r="AB1403" s="99">
        <f>IFERROR(VLOOKUP(B1403,'Pre-Summary'!$A$6:$P$178,9,FALSE),AB1404)</f>
        <v>0.26243021266793065</v>
      </c>
      <c r="AC1403" s="10">
        <f>IFERROR(VLOOKUP(Summary!B1403,'Pre-Summary'!$A$6:$P$184,5, FALSE)/100,AC1404)</f>
        <v>0.98266966666666677</v>
      </c>
      <c r="AD1403" s="10">
        <f>IFERROR(VLOOKUP(Summary!B1403,'Pre-Summary'!$A$6:$P$184,3, FALSE)/100,AD1404)</f>
        <v>9.9173333333333318E-3</v>
      </c>
      <c r="AE1403" s="10">
        <f>IFERROR(VLOOKUP(Summary!B1403,'Pre-Summary'!$A$6:$P$184,7, FALSE)/100,AE1404)</f>
        <v>7.4129999999999995E-3</v>
      </c>
      <c r="AF1403" s="99">
        <f t="shared" si="64"/>
        <v>2.6026078957654239E-3</v>
      </c>
      <c r="AG1403" s="99">
        <f t="shared" si="65"/>
        <v>1.9453951665073697E-3</v>
      </c>
      <c r="AH1403" s="10" t="str">
        <f>IFERROR(VLOOKUP(B1403,'Pre-Summary'!$AZ$6:$BE$65,3,FALSE),"")</f>
        <v/>
      </c>
      <c r="AI1403" s="10" t="str">
        <f>IFERROR(VLOOKUP(B1403,'Pre-Summary'!$AZ$6:$BE$65,5,FALSE),"")</f>
        <v/>
      </c>
      <c r="AJ1403" s="10" t="str">
        <f>IFERROR(VLOOKUP(B1403,'Pre-Summary'!$AZ$6:$BE$65,4,FALSE),"")</f>
        <v/>
      </c>
      <c r="AK1403" s="10" t="str">
        <f>IFERROR(VLOOKUP(B1403,'Pre-Summary'!$AZ$6:$BE$65,6,FALSE),"")</f>
        <v/>
      </c>
      <c r="AL1403" s="10" t="str">
        <f>IFERROR(VLOOKUP(B1403,'Pre-Summary'!$BG$6:$BL$44,3,FALSE),"")</f>
        <v/>
      </c>
      <c r="AM1403" s="10" t="str">
        <f>IFERROR(VLOOKUP(B1403,'Pre-Summary'!$BG$6:$BL$44,4,FALSE),"")</f>
        <v/>
      </c>
    </row>
    <row r="1404" spans="2:39" ht="15" customHeight="1" x14ac:dyDescent="0.3">
      <c r="B1404">
        <v>140.1</v>
      </c>
      <c r="C1404" t="str">
        <f>IFERROR(VLOOKUP(B1404,'Pre-Summary'!$DI$6:$DM$23,4,FALSE),"")</f>
        <v/>
      </c>
      <c r="D1404" s="10" t="str">
        <f>IFERROR(VLOOKUP(B1404,'Pre-Summary'!$AT$6:$AX$14,5,FALSE),D1403)</f>
        <v xml:space="preserve">Wolfe v1: put in modified wolfe + EDTA </v>
      </c>
      <c r="E1404" s="10" t="str">
        <f>IFERROR(VLOOKUP(B1404,'Pre-Summary'!$AT$6:$AX$15,4,FALSE),"")</f>
        <v/>
      </c>
      <c r="F1404">
        <f>IFERROR(VLOOKUP(B1404,'Pre-Summary'!$AL$6:$AQ$13,6,FALSE),F1403)</f>
        <v>5.3897368421052638E-2</v>
      </c>
      <c r="G1404" t="str">
        <f>IFERROR(VLOOKUP(B1404,'Pre-Summary'!$AE$6:$AJ$85,3,FALSE),"")</f>
        <v/>
      </c>
      <c r="H1404" t="str">
        <f>IFERROR(VLOOKUP(B1404,'Pre-Summary'!$AE$6:$AJ$85,4,FALSE),"")</f>
        <v/>
      </c>
      <c r="I1404" t="str">
        <f>IFERROR(VLOOKUP(B1404,'Pre-Summary'!$AE$6:$AJ$85,5,FALSE),"")</f>
        <v/>
      </c>
      <c r="J1404" s="45" t="str">
        <f>IFERROR(VLOOKUP(B1404,'Pre-Summary'!$AE$6:$AJ$85,6, FALSE),"")</f>
        <v/>
      </c>
      <c r="K1404" s="45" t="str">
        <f>IFERROR(VLOOKUP(B1404,'Pre-Summary'!$DE$6:$DG$61,3,FALSE),"")</f>
        <v/>
      </c>
      <c r="L1404" s="45" t="str">
        <f>IFERROR(VLOOKUP(B1404,'Pre-Summary'!$CU$6:$CW$36,3,FALSE),"")</f>
        <v/>
      </c>
      <c r="M1404" s="45" t="str">
        <f>IFERROR(VLOOKUP(B1404,'Pre-Summary'!$BW$6:$BY$58,2,FALSE),"")</f>
        <v/>
      </c>
      <c r="N1404" s="45" t="str">
        <f>IFERROR(VLOOKUP(B1404,'Pre-Summary'!$CD$6:$CF$64,2,FALSE),"")</f>
        <v/>
      </c>
      <c r="O1404" s="99">
        <f>IFERROR(VLOOKUP(B1404,'Pre-Summary'!$BO$6:$BQ$48,3, FALSE),O1403)</f>
        <v>1.2</v>
      </c>
      <c r="P1404" s="99">
        <f>IFERROR(VLOOKUP(B1404,'Pre-Summary'!$BS$6:$BU$35,3,FALSE),P1403)</f>
        <v>0.3</v>
      </c>
      <c r="Q1404" s="54">
        <f t="shared" si="63"/>
        <v>4</v>
      </c>
      <c r="R1404" s="53">
        <f>IFERROR(VLOOKUP(B1404,'Pre-Summary'!$BG$6:$BM$44,7,FALSE),R1405)</f>
        <v>9.5517489384447818E-2</v>
      </c>
      <c r="S1404" s="53">
        <f>IFERROR(VLOOKUP(B1404,'Pre-Summary'!$BG$6:$BM$44,6,FALSE),S1405)</f>
        <v>8.6010874938220475E-2</v>
      </c>
      <c r="T1404" s="45" t="str">
        <f>IFERROR(VLOOKUP(B1404,'Pre-Summary'!$Y$6:$AC$83, 3,FALSE),"")</f>
        <v/>
      </c>
      <c r="U1404" s="45" t="str">
        <f>IFERROR(VLOOKUP(B1404,'Pre-Summary'!$Y$6:$AC$83, 4,FALSE),"")</f>
        <v/>
      </c>
      <c r="V1404" t="str">
        <f>IFERROR(VLOOKUP(B1404,'Pre-Summary'!$Y$6:$AC$83, 5,FALSE),"")</f>
        <v/>
      </c>
      <c r="W1404" s="45" t="str">
        <f>IFERROR(VLOOKUP(B1404,'Pre-Summary'!$Y$6:$AD$83,6,FALSE),"")</f>
        <v/>
      </c>
      <c r="X1404" t="str">
        <f>IFERROR(VLOOKUP('Pre-Summary'!$DB$6:$DD$63,3,FALSE),"")</f>
        <v/>
      </c>
      <c r="Y1404" t="str">
        <f>IFERROR(VLOOKUP(B1404,'Pre-Summary'!$CR$6:$CT$36,3,FALSE),"")</f>
        <v/>
      </c>
      <c r="Z1404" s="45" t="str">
        <f>IFERROR(VLOOKUP(B1404,'Pre-Summary'!$BZ$6:$CB$63,2,FALSE),"")</f>
        <v/>
      </c>
      <c r="AA1404" s="45" t="str">
        <f>IFERROR(VLOOKUP(B1404,'Pre-Summary'!$CG$6:$CI$70,2,FALSE),"")</f>
        <v/>
      </c>
      <c r="AB1404" s="99">
        <f>IFERROR(VLOOKUP(B1404,'Pre-Summary'!$A$6:$P$178,9,FALSE),AB1405)</f>
        <v>0.26243021266793065</v>
      </c>
      <c r="AC1404" s="10">
        <f>IFERROR(VLOOKUP(Summary!B1404,'Pre-Summary'!$A$6:$P$184,5, FALSE)/100,AC1405)</f>
        <v>0.98266966666666677</v>
      </c>
      <c r="AD1404" s="10">
        <f>IFERROR(VLOOKUP(Summary!B1404,'Pre-Summary'!$A$6:$P$184,3, FALSE)/100,AD1405)</f>
        <v>9.9173333333333318E-3</v>
      </c>
      <c r="AE1404" s="10">
        <f>IFERROR(VLOOKUP(Summary!B1404,'Pre-Summary'!$A$6:$P$184,7, FALSE)/100,AE1405)</f>
        <v>7.4129999999999995E-3</v>
      </c>
      <c r="AF1404" s="99">
        <f t="shared" si="64"/>
        <v>2.6026078957654239E-3</v>
      </c>
      <c r="AG1404" s="99">
        <f t="shared" si="65"/>
        <v>1.9453951665073697E-3</v>
      </c>
      <c r="AH1404" s="10" t="str">
        <f>IFERROR(VLOOKUP(B1404,'Pre-Summary'!$AZ$6:$BE$65,3,FALSE),"")</f>
        <v/>
      </c>
      <c r="AI1404" s="10" t="str">
        <f>IFERROR(VLOOKUP(B1404,'Pre-Summary'!$AZ$6:$BE$65,5,FALSE),"")</f>
        <v/>
      </c>
      <c r="AJ1404" s="10" t="str">
        <f>IFERROR(VLOOKUP(B1404,'Pre-Summary'!$AZ$6:$BE$65,4,FALSE),"")</f>
        <v/>
      </c>
      <c r="AK1404" s="10" t="str">
        <f>IFERROR(VLOOKUP(B1404,'Pre-Summary'!$AZ$6:$BE$65,6,FALSE),"")</f>
        <v/>
      </c>
      <c r="AL1404" s="10" t="str">
        <f>IFERROR(VLOOKUP(B1404,'Pre-Summary'!$BG$6:$BL$44,3,FALSE),"")</f>
        <v/>
      </c>
      <c r="AM1404" s="10" t="str">
        <f>IFERROR(VLOOKUP(B1404,'Pre-Summary'!$BG$6:$BL$44,4,FALSE),"")</f>
        <v/>
      </c>
    </row>
    <row r="1405" spans="2:39" ht="15" customHeight="1" x14ac:dyDescent="0.3">
      <c r="B1405">
        <v>140.19999999999999</v>
      </c>
      <c r="C1405" t="str">
        <f>IFERROR(VLOOKUP(B1405,'Pre-Summary'!$DI$6:$DM$23,4,FALSE),"")</f>
        <v/>
      </c>
      <c r="D1405" s="10" t="str">
        <f>IFERROR(VLOOKUP(B1405,'Pre-Summary'!$AT$6:$AX$14,5,FALSE),D1404)</f>
        <v xml:space="preserve">Wolfe v1: put in modified wolfe + EDTA </v>
      </c>
      <c r="E1405" s="10" t="str">
        <f>IFERROR(VLOOKUP(B1405,'Pre-Summary'!$AT$6:$AX$15,4,FALSE),"")</f>
        <v/>
      </c>
      <c r="F1405">
        <f>IFERROR(VLOOKUP(B1405,'Pre-Summary'!$AL$6:$AQ$13,6,FALSE),F1404)</f>
        <v>5.3897368421052638E-2</v>
      </c>
      <c r="G1405" t="str">
        <f>IFERROR(VLOOKUP(B1405,'Pre-Summary'!$AE$6:$AJ$85,3,FALSE),"")</f>
        <v/>
      </c>
      <c r="H1405" t="str">
        <f>IFERROR(VLOOKUP(B1405,'Pre-Summary'!$AE$6:$AJ$85,4,FALSE),"")</f>
        <v/>
      </c>
      <c r="I1405" t="str">
        <f>IFERROR(VLOOKUP(B1405,'Pre-Summary'!$AE$6:$AJ$85,5,FALSE),"")</f>
        <v/>
      </c>
      <c r="J1405" s="45" t="str">
        <f>IFERROR(VLOOKUP(B1405,'Pre-Summary'!$AE$6:$AJ$85,6, FALSE),"")</f>
        <v/>
      </c>
      <c r="K1405" s="45" t="str">
        <f>IFERROR(VLOOKUP(B1405,'Pre-Summary'!$DE$6:$DG$61,3,FALSE),"")</f>
        <v/>
      </c>
      <c r="L1405" s="45" t="str">
        <f>IFERROR(VLOOKUP(B1405,'Pre-Summary'!$CU$6:$CW$36,3,FALSE),"")</f>
        <v/>
      </c>
      <c r="M1405" s="45" t="str">
        <f>IFERROR(VLOOKUP(B1405,'Pre-Summary'!$BW$6:$BY$58,2,FALSE),"")</f>
        <v/>
      </c>
      <c r="N1405" s="45" t="str">
        <f>IFERROR(VLOOKUP(B1405,'Pre-Summary'!$CD$6:$CF$64,2,FALSE),"")</f>
        <v/>
      </c>
      <c r="O1405" s="99">
        <f>IFERROR(VLOOKUP(B1405,'Pre-Summary'!$BO$6:$BQ$48,3, FALSE),O1404)</f>
        <v>1.2</v>
      </c>
      <c r="P1405" s="99">
        <f>IFERROR(VLOOKUP(B1405,'Pre-Summary'!$BS$6:$BU$35,3,FALSE),P1404)</f>
        <v>0.3</v>
      </c>
      <c r="Q1405" s="54">
        <f t="shared" si="63"/>
        <v>4</v>
      </c>
      <c r="R1405" s="53">
        <f>IFERROR(VLOOKUP(B1405,'Pre-Summary'!$BG$6:$BM$44,7,FALSE),R1406)</f>
        <v>9.5517489384447818E-2</v>
      </c>
      <c r="S1405" s="53">
        <f>IFERROR(VLOOKUP(B1405,'Pre-Summary'!$BG$6:$BM$44,6,FALSE),S1406)</f>
        <v>8.6010874938220475E-2</v>
      </c>
      <c r="T1405" s="45" t="str">
        <f>IFERROR(VLOOKUP(B1405,'Pre-Summary'!$Y$6:$AC$83, 3,FALSE),"")</f>
        <v/>
      </c>
      <c r="U1405" s="45" t="str">
        <f>IFERROR(VLOOKUP(B1405,'Pre-Summary'!$Y$6:$AC$83, 4,FALSE),"")</f>
        <v/>
      </c>
      <c r="V1405" t="str">
        <f>IFERROR(VLOOKUP(B1405,'Pre-Summary'!$Y$6:$AC$83, 5,FALSE),"")</f>
        <v/>
      </c>
      <c r="W1405" s="45" t="str">
        <f>IFERROR(VLOOKUP(B1405,'Pre-Summary'!$Y$6:$AD$83,6,FALSE),"")</f>
        <v/>
      </c>
      <c r="X1405" t="str">
        <f>IFERROR(VLOOKUP('Pre-Summary'!$DB$6:$DD$63,3,FALSE),"")</f>
        <v/>
      </c>
      <c r="Y1405" t="str">
        <f>IFERROR(VLOOKUP(B1405,'Pre-Summary'!$CR$6:$CT$36,3,FALSE),"")</f>
        <v/>
      </c>
      <c r="Z1405" s="45" t="str">
        <f>IFERROR(VLOOKUP(B1405,'Pre-Summary'!$BZ$6:$CB$63,2,FALSE),"")</f>
        <v/>
      </c>
      <c r="AA1405" s="45" t="str">
        <f>IFERROR(VLOOKUP(B1405,'Pre-Summary'!$CG$6:$CI$70,2,FALSE),"")</f>
        <v/>
      </c>
      <c r="AB1405" s="99">
        <f>IFERROR(VLOOKUP(B1405,'Pre-Summary'!$A$6:$P$178,9,FALSE),AB1406)</f>
        <v>0.26243021266793065</v>
      </c>
      <c r="AC1405" s="10">
        <f>IFERROR(VLOOKUP(Summary!B1405,'Pre-Summary'!$A$6:$P$184,5, FALSE)/100,AC1406)</f>
        <v>0.98266966666666677</v>
      </c>
      <c r="AD1405" s="10">
        <f>IFERROR(VLOOKUP(Summary!B1405,'Pre-Summary'!$A$6:$P$184,3, FALSE)/100,AD1406)</f>
        <v>9.9173333333333318E-3</v>
      </c>
      <c r="AE1405" s="10">
        <f>IFERROR(VLOOKUP(Summary!B1405,'Pre-Summary'!$A$6:$P$184,7, FALSE)/100,AE1406)</f>
        <v>7.4129999999999995E-3</v>
      </c>
      <c r="AF1405" s="99">
        <f t="shared" si="64"/>
        <v>2.6026078957654239E-3</v>
      </c>
      <c r="AG1405" s="99">
        <f t="shared" si="65"/>
        <v>1.9453951665073697E-3</v>
      </c>
      <c r="AH1405" s="10" t="str">
        <f>IFERROR(VLOOKUP(B1405,'Pre-Summary'!$AZ$6:$BE$65,3,FALSE),"")</f>
        <v/>
      </c>
      <c r="AI1405" s="10" t="str">
        <f>IFERROR(VLOOKUP(B1405,'Pre-Summary'!$AZ$6:$BE$65,5,FALSE),"")</f>
        <v/>
      </c>
      <c r="AJ1405" s="10" t="str">
        <f>IFERROR(VLOOKUP(B1405,'Pre-Summary'!$AZ$6:$BE$65,4,FALSE),"")</f>
        <v/>
      </c>
      <c r="AK1405" s="10" t="str">
        <f>IFERROR(VLOOKUP(B1405,'Pre-Summary'!$AZ$6:$BE$65,6,FALSE),"")</f>
        <v/>
      </c>
      <c r="AL1405" s="10" t="str">
        <f>IFERROR(VLOOKUP(B1405,'Pre-Summary'!$BG$6:$BL$44,3,FALSE),"")</f>
        <v/>
      </c>
      <c r="AM1405" s="10" t="str">
        <f>IFERROR(VLOOKUP(B1405,'Pre-Summary'!$BG$6:$BL$44,4,FALSE),"")</f>
        <v/>
      </c>
    </row>
    <row r="1406" spans="2:39" ht="15" customHeight="1" x14ac:dyDescent="0.3">
      <c r="B1406">
        <v>140.30000000000001</v>
      </c>
      <c r="C1406" t="str">
        <f>IFERROR(VLOOKUP(B1406,'Pre-Summary'!$DI$6:$DM$23,4,FALSE),"")</f>
        <v/>
      </c>
      <c r="D1406" s="10" t="str">
        <f>IFERROR(VLOOKUP(B1406,'Pre-Summary'!$AT$6:$AX$14,5,FALSE),D1405)</f>
        <v xml:space="preserve">Wolfe v1: put in modified wolfe + EDTA </v>
      </c>
      <c r="E1406" s="10" t="str">
        <f>IFERROR(VLOOKUP(B1406,'Pre-Summary'!$AT$6:$AX$15,4,FALSE),"")</f>
        <v/>
      </c>
      <c r="F1406">
        <f>IFERROR(VLOOKUP(B1406,'Pre-Summary'!$AL$6:$AQ$13,6,FALSE),F1405)</f>
        <v>5.3897368421052638E-2</v>
      </c>
      <c r="G1406" t="str">
        <f>IFERROR(VLOOKUP(B1406,'Pre-Summary'!$AE$6:$AJ$85,3,FALSE),"")</f>
        <v/>
      </c>
      <c r="H1406" t="str">
        <f>IFERROR(VLOOKUP(B1406,'Pre-Summary'!$AE$6:$AJ$85,4,FALSE),"")</f>
        <v/>
      </c>
      <c r="I1406" t="str">
        <f>IFERROR(VLOOKUP(B1406,'Pre-Summary'!$AE$6:$AJ$85,5,FALSE),"")</f>
        <v/>
      </c>
      <c r="J1406" s="45" t="str">
        <f>IFERROR(VLOOKUP(B1406,'Pre-Summary'!$AE$6:$AJ$85,6, FALSE),"")</f>
        <v/>
      </c>
      <c r="K1406" s="45" t="str">
        <f>IFERROR(VLOOKUP(B1406,'Pre-Summary'!$DE$6:$DG$61,3,FALSE),"")</f>
        <v/>
      </c>
      <c r="L1406" s="45" t="str">
        <f>IFERROR(VLOOKUP(B1406,'Pre-Summary'!$CU$6:$CW$36,3,FALSE),"")</f>
        <v/>
      </c>
      <c r="M1406" s="45" t="str">
        <f>IFERROR(VLOOKUP(B1406,'Pre-Summary'!$BW$6:$BY$58,2,FALSE),"")</f>
        <v/>
      </c>
      <c r="N1406" s="45" t="str">
        <f>IFERROR(VLOOKUP(B1406,'Pre-Summary'!$CD$6:$CF$64,2,FALSE),"")</f>
        <v/>
      </c>
      <c r="O1406" s="99">
        <f>IFERROR(VLOOKUP(B1406,'Pre-Summary'!$BO$6:$BQ$48,3, FALSE),O1405)</f>
        <v>1.2</v>
      </c>
      <c r="P1406" s="99">
        <f>IFERROR(VLOOKUP(B1406,'Pre-Summary'!$BS$6:$BU$35,3,FALSE),P1405)</f>
        <v>0.3</v>
      </c>
      <c r="Q1406" s="54">
        <f t="shared" si="63"/>
        <v>4</v>
      </c>
      <c r="R1406" s="53">
        <f>IFERROR(VLOOKUP(B1406,'Pre-Summary'!$BG$6:$BM$44,7,FALSE),R1407)</f>
        <v>9.5517489384447818E-2</v>
      </c>
      <c r="S1406" s="53">
        <f>IFERROR(VLOOKUP(B1406,'Pre-Summary'!$BG$6:$BM$44,6,FALSE),S1407)</f>
        <v>8.6010874938220475E-2</v>
      </c>
      <c r="T1406" s="45" t="str">
        <f>IFERROR(VLOOKUP(B1406,'Pre-Summary'!$Y$6:$AC$83, 3,FALSE),"")</f>
        <v/>
      </c>
      <c r="U1406" s="45" t="str">
        <f>IFERROR(VLOOKUP(B1406,'Pre-Summary'!$Y$6:$AC$83, 4,FALSE),"")</f>
        <v/>
      </c>
      <c r="V1406" t="str">
        <f>IFERROR(VLOOKUP(B1406,'Pre-Summary'!$Y$6:$AC$83, 5,FALSE),"")</f>
        <v/>
      </c>
      <c r="W1406" s="45" t="str">
        <f>IFERROR(VLOOKUP(B1406,'Pre-Summary'!$Y$6:$AD$83,6,FALSE),"")</f>
        <v/>
      </c>
      <c r="X1406" t="str">
        <f>IFERROR(VLOOKUP('Pre-Summary'!$DB$6:$DD$63,3,FALSE),"")</f>
        <v/>
      </c>
      <c r="Y1406" t="str">
        <f>IFERROR(VLOOKUP(B1406,'Pre-Summary'!$CR$6:$CT$36,3,FALSE),"")</f>
        <v/>
      </c>
      <c r="Z1406" s="45" t="str">
        <f>IFERROR(VLOOKUP(B1406,'Pre-Summary'!$BZ$6:$CB$63,2,FALSE),"")</f>
        <v/>
      </c>
      <c r="AA1406" s="45" t="str">
        <f>IFERROR(VLOOKUP(B1406,'Pre-Summary'!$CG$6:$CI$70,2,FALSE),"")</f>
        <v/>
      </c>
      <c r="AB1406" s="99">
        <f>IFERROR(VLOOKUP(B1406,'Pre-Summary'!$A$6:$P$178,9,FALSE),AB1407)</f>
        <v>0.26243021266793065</v>
      </c>
      <c r="AC1406" s="10">
        <f>IFERROR(VLOOKUP(Summary!B1406,'Pre-Summary'!$A$6:$P$184,5, FALSE)/100,AC1407)</f>
        <v>0.98266966666666677</v>
      </c>
      <c r="AD1406" s="10">
        <f>IFERROR(VLOOKUP(Summary!B1406,'Pre-Summary'!$A$6:$P$184,3, FALSE)/100,AD1407)</f>
        <v>9.9173333333333318E-3</v>
      </c>
      <c r="AE1406" s="10">
        <f>IFERROR(VLOOKUP(Summary!B1406,'Pre-Summary'!$A$6:$P$184,7, FALSE)/100,AE1407)</f>
        <v>7.4129999999999995E-3</v>
      </c>
      <c r="AF1406" s="99">
        <f t="shared" si="64"/>
        <v>2.6026078957654239E-3</v>
      </c>
      <c r="AG1406" s="99">
        <f t="shared" si="65"/>
        <v>1.9453951665073697E-3</v>
      </c>
      <c r="AH1406" s="10" t="str">
        <f>IFERROR(VLOOKUP(B1406,'Pre-Summary'!$AZ$6:$BE$65,3,FALSE),"")</f>
        <v/>
      </c>
      <c r="AI1406" s="10" t="str">
        <f>IFERROR(VLOOKUP(B1406,'Pre-Summary'!$AZ$6:$BE$65,5,FALSE),"")</f>
        <v/>
      </c>
      <c r="AJ1406" s="10" t="str">
        <f>IFERROR(VLOOKUP(B1406,'Pre-Summary'!$AZ$6:$BE$65,4,FALSE),"")</f>
        <v/>
      </c>
      <c r="AK1406" s="10" t="str">
        <f>IFERROR(VLOOKUP(B1406,'Pre-Summary'!$AZ$6:$BE$65,6,FALSE),"")</f>
        <v/>
      </c>
      <c r="AL1406" s="10" t="str">
        <f>IFERROR(VLOOKUP(B1406,'Pre-Summary'!$BG$6:$BL$44,3,FALSE),"")</f>
        <v/>
      </c>
      <c r="AM1406" s="10" t="str">
        <f>IFERROR(VLOOKUP(B1406,'Pre-Summary'!$BG$6:$BL$44,4,FALSE),"")</f>
        <v/>
      </c>
    </row>
    <row r="1407" spans="2:39" ht="15" customHeight="1" x14ac:dyDescent="0.3">
      <c r="B1407">
        <v>140.4</v>
      </c>
      <c r="C1407" t="str">
        <f>IFERROR(VLOOKUP(B1407,'Pre-Summary'!$DI$6:$DM$23,4,FALSE),"")</f>
        <v/>
      </c>
      <c r="D1407" s="10" t="str">
        <f>IFERROR(VLOOKUP(B1407,'Pre-Summary'!$AT$6:$AX$14,5,FALSE),D1406)</f>
        <v xml:space="preserve">Wolfe v1: put in modified wolfe + EDTA </v>
      </c>
      <c r="E1407" s="10" t="str">
        <f>IFERROR(VLOOKUP(B1407,'Pre-Summary'!$AT$6:$AX$15,4,FALSE),"")</f>
        <v/>
      </c>
      <c r="F1407">
        <f>IFERROR(VLOOKUP(B1407,'Pre-Summary'!$AL$6:$AQ$13,6,FALSE),F1406)</f>
        <v>5.3897368421052638E-2</v>
      </c>
      <c r="G1407" t="str">
        <f>IFERROR(VLOOKUP(B1407,'Pre-Summary'!$AE$6:$AJ$85,3,FALSE),"")</f>
        <v/>
      </c>
      <c r="H1407" t="str">
        <f>IFERROR(VLOOKUP(B1407,'Pre-Summary'!$AE$6:$AJ$85,4,FALSE),"")</f>
        <v/>
      </c>
      <c r="I1407" t="str">
        <f>IFERROR(VLOOKUP(B1407,'Pre-Summary'!$AE$6:$AJ$85,5,FALSE),"")</f>
        <v/>
      </c>
      <c r="J1407" s="45" t="str">
        <f>IFERROR(VLOOKUP(B1407,'Pre-Summary'!$AE$6:$AJ$85,6, FALSE),"")</f>
        <v/>
      </c>
      <c r="K1407" s="45" t="str">
        <f>IFERROR(VLOOKUP(B1407,'Pre-Summary'!$DE$6:$DG$61,3,FALSE),"")</f>
        <v/>
      </c>
      <c r="L1407" s="45" t="str">
        <f>IFERROR(VLOOKUP(B1407,'Pre-Summary'!$CU$6:$CW$36,3,FALSE),"")</f>
        <v/>
      </c>
      <c r="M1407" s="45" t="str">
        <f>IFERROR(VLOOKUP(B1407,'Pre-Summary'!$BW$6:$BY$58,2,FALSE),"")</f>
        <v/>
      </c>
      <c r="N1407" s="45" t="str">
        <f>IFERROR(VLOOKUP(B1407,'Pre-Summary'!$CD$6:$CF$64,2,FALSE),"")</f>
        <v/>
      </c>
      <c r="O1407" s="99">
        <f>IFERROR(VLOOKUP(B1407,'Pre-Summary'!$BO$6:$BQ$48,3, FALSE),O1406)</f>
        <v>1.2</v>
      </c>
      <c r="P1407" s="99">
        <f>IFERROR(VLOOKUP(B1407,'Pre-Summary'!$BS$6:$BU$35,3,FALSE),P1406)</f>
        <v>0.3</v>
      </c>
      <c r="Q1407" s="54">
        <f t="shared" si="63"/>
        <v>4</v>
      </c>
      <c r="R1407" s="53">
        <f>IFERROR(VLOOKUP(B1407,'Pre-Summary'!$BG$6:$BM$44,7,FALSE),R1408)</f>
        <v>9.5517489384447818E-2</v>
      </c>
      <c r="S1407" s="53">
        <f>IFERROR(VLOOKUP(B1407,'Pre-Summary'!$BG$6:$BM$44,6,FALSE),S1408)</f>
        <v>8.6010874938220475E-2</v>
      </c>
      <c r="T1407" s="45" t="str">
        <f>IFERROR(VLOOKUP(B1407,'Pre-Summary'!$Y$6:$AC$83, 3,FALSE),"")</f>
        <v/>
      </c>
      <c r="U1407" s="45" t="str">
        <f>IFERROR(VLOOKUP(B1407,'Pre-Summary'!$Y$6:$AC$83, 4,FALSE),"")</f>
        <v/>
      </c>
      <c r="V1407" t="str">
        <f>IFERROR(VLOOKUP(B1407,'Pre-Summary'!$Y$6:$AC$83, 5,FALSE),"")</f>
        <v/>
      </c>
      <c r="W1407" s="45" t="str">
        <f>IFERROR(VLOOKUP(B1407,'Pre-Summary'!$Y$6:$AD$83,6,FALSE),"")</f>
        <v/>
      </c>
      <c r="X1407" t="str">
        <f>IFERROR(VLOOKUP('Pre-Summary'!$DB$6:$DD$63,3,FALSE),"")</f>
        <v/>
      </c>
      <c r="Y1407" t="str">
        <f>IFERROR(VLOOKUP(B1407,'Pre-Summary'!$CR$6:$CT$36,3,FALSE),"")</f>
        <v/>
      </c>
      <c r="Z1407" s="45" t="str">
        <f>IFERROR(VLOOKUP(B1407,'Pre-Summary'!$BZ$6:$CB$63,2,FALSE),"")</f>
        <v/>
      </c>
      <c r="AA1407" s="45" t="str">
        <f>IFERROR(VLOOKUP(B1407,'Pre-Summary'!$CG$6:$CI$70,2,FALSE),"")</f>
        <v/>
      </c>
      <c r="AB1407" s="99">
        <f>IFERROR(VLOOKUP(B1407,'Pre-Summary'!$A$6:$P$178,9,FALSE),AB1408)</f>
        <v>0.26243021266793065</v>
      </c>
      <c r="AC1407" s="10">
        <f>IFERROR(VLOOKUP(Summary!B1407,'Pre-Summary'!$A$6:$P$184,5, FALSE)/100,AC1408)</f>
        <v>0.98266966666666677</v>
      </c>
      <c r="AD1407" s="10">
        <f>IFERROR(VLOOKUP(Summary!B1407,'Pre-Summary'!$A$6:$P$184,3, FALSE)/100,AD1408)</f>
        <v>9.9173333333333318E-3</v>
      </c>
      <c r="AE1407" s="10">
        <f>IFERROR(VLOOKUP(Summary!B1407,'Pre-Summary'!$A$6:$P$184,7, FALSE)/100,AE1408)</f>
        <v>7.4129999999999995E-3</v>
      </c>
      <c r="AF1407" s="99">
        <f t="shared" si="64"/>
        <v>2.6026078957654239E-3</v>
      </c>
      <c r="AG1407" s="99">
        <f t="shared" si="65"/>
        <v>1.9453951665073697E-3</v>
      </c>
      <c r="AH1407" s="10" t="str">
        <f>IFERROR(VLOOKUP(B1407,'Pre-Summary'!$AZ$6:$BE$65,3,FALSE),"")</f>
        <v/>
      </c>
      <c r="AI1407" s="10" t="str">
        <f>IFERROR(VLOOKUP(B1407,'Pre-Summary'!$AZ$6:$BE$65,5,FALSE),"")</f>
        <v/>
      </c>
      <c r="AJ1407" s="10" t="str">
        <f>IFERROR(VLOOKUP(B1407,'Pre-Summary'!$AZ$6:$BE$65,4,FALSE),"")</f>
        <v/>
      </c>
      <c r="AK1407" s="10" t="str">
        <f>IFERROR(VLOOKUP(B1407,'Pre-Summary'!$AZ$6:$BE$65,6,FALSE),"")</f>
        <v/>
      </c>
      <c r="AL1407" s="10" t="str">
        <f>IFERROR(VLOOKUP(B1407,'Pre-Summary'!$BG$6:$BL$44,3,FALSE),"")</f>
        <v/>
      </c>
      <c r="AM1407" s="10" t="str">
        <f>IFERROR(VLOOKUP(B1407,'Pre-Summary'!$BG$6:$BL$44,4,FALSE),"")</f>
        <v/>
      </c>
    </row>
    <row r="1408" spans="2:39" ht="15" customHeight="1" x14ac:dyDescent="0.3">
      <c r="B1408">
        <v>140.5</v>
      </c>
      <c r="C1408" t="str">
        <f>IFERROR(VLOOKUP(B1408,'Pre-Summary'!$DI$6:$DM$23,4,FALSE),"")</f>
        <v/>
      </c>
      <c r="D1408" s="10" t="str">
        <f>IFERROR(VLOOKUP(B1408,'Pre-Summary'!$AT$6:$AX$14,5,FALSE),D1407)</f>
        <v xml:space="preserve">Wolfe v1: put in modified wolfe + EDTA </v>
      </c>
      <c r="E1408" s="10" t="str">
        <f>IFERROR(VLOOKUP(B1408,'Pre-Summary'!$AT$6:$AX$15,4,FALSE),"")</f>
        <v/>
      </c>
      <c r="F1408">
        <f>IFERROR(VLOOKUP(B1408,'Pre-Summary'!$AL$6:$AQ$13,6,FALSE),F1407)</f>
        <v>5.3897368421052638E-2</v>
      </c>
      <c r="G1408" t="str">
        <f>IFERROR(VLOOKUP(B1408,'Pre-Summary'!$AE$6:$AJ$85,3,FALSE),"")</f>
        <v/>
      </c>
      <c r="H1408" t="str">
        <f>IFERROR(VLOOKUP(B1408,'Pre-Summary'!$AE$6:$AJ$85,4,FALSE),"")</f>
        <v/>
      </c>
      <c r="I1408" t="str">
        <f>IFERROR(VLOOKUP(B1408,'Pre-Summary'!$AE$6:$AJ$85,5,FALSE),"")</f>
        <v/>
      </c>
      <c r="J1408" s="45" t="str">
        <f>IFERROR(VLOOKUP(B1408,'Pre-Summary'!$AE$6:$AJ$85,6, FALSE),"")</f>
        <v/>
      </c>
      <c r="K1408" s="45" t="str">
        <f>IFERROR(VLOOKUP(B1408,'Pre-Summary'!$DE$6:$DG$61,3,FALSE),"")</f>
        <v/>
      </c>
      <c r="L1408" s="45" t="str">
        <f>IFERROR(VLOOKUP(B1408,'Pre-Summary'!$CU$6:$CW$36,3,FALSE),"")</f>
        <v/>
      </c>
      <c r="M1408" s="45" t="str">
        <f>IFERROR(VLOOKUP(B1408,'Pre-Summary'!$BW$6:$BY$58,2,FALSE),"")</f>
        <v/>
      </c>
      <c r="N1408" s="45" t="str">
        <f>IFERROR(VLOOKUP(B1408,'Pre-Summary'!$CD$6:$CF$64,2,FALSE),"")</f>
        <v/>
      </c>
      <c r="O1408" s="99">
        <f>IFERROR(VLOOKUP(B1408,'Pre-Summary'!$BO$6:$BQ$48,3, FALSE),O1407)</f>
        <v>1.2</v>
      </c>
      <c r="P1408" s="99">
        <f>IFERROR(VLOOKUP(B1408,'Pre-Summary'!$BS$6:$BU$35,3,FALSE),P1407)</f>
        <v>0.3</v>
      </c>
      <c r="Q1408" s="54">
        <f t="shared" si="63"/>
        <v>4</v>
      </c>
      <c r="R1408" s="53">
        <f>IFERROR(VLOOKUP(B1408,'Pre-Summary'!$BG$6:$BM$44,7,FALSE),R1409)</f>
        <v>9.5517489384447818E-2</v>
      </c>
      <c r="S1408" s="53">
        <f>IFERROR(VLOOKUP(B1408,'Pre-Summary'!$BG$6:$BM$44,6,FALSE),S1409)</f>
        <v>8.6010874938220475E-2</v>
      </c>
      <c r="T1408" s="45" t="str">
        <f>IFERROR(VLOOKUP(B1408,'Pre-Summary'!$Y$6:$AC$83, 3,FALSE),"")</f>
        <v/>
      </c>
      <c r="U1408" s="45" t="str">
        <f>IFERROR(VLOOKUP(B1408,'Pre-Summary'!$Y$6:$AC$83, 4,FALSE),"")</f>
        <v/>
      </c>
      <c r="V1408" t="str">
        <f>IFERROR(VLOOKUP(B1408,'Pre-Summary'!$Y$6:$AC$83, 5,FALSE),"")</f>
        <v/>
      </c>
      <c r="W1408" s="45" t="str">
        <f>IFERROR(VLOOKUP(B1408,'Pre-Summary'!$Y$6:$AD$83,6,FALSE),"")</f>
        <v/>
      </c>
      <c r="X1408" t="str">
        <f>IFERROR(VLOOKUP('Pre-Summary'!$DB$6:$DD$63,3,FALSE),"")</f>
        <v/>
      </c>
      <c r="Y1408" t="str">
        <f>IFERROR(VLOOKUP(B1408,'Pre-Summary'!$CR$6:$CT$36,3,FALSE),"")</f>
        <v/>
      </c>
      <c r="Z1408" s="45" t="str">
        <f>IFERROR(VLOOKUP(B1408,'Pre-Summary'!$BZ$6:$CB$63,2,FALSE),"")</f>
        <v/>
      </c>
      <c r="AA1408" s="45" t="str">
        <f>IFERROR(VLOOKUP(B1408,'Pre-Summary'!$CG$6:$CI$70,2,FALSE),"")</f>
        <v/>
      </c>
      <c r="AB1408" s="99">
        <f>IFERROR(VLOOKUP(B1408,'Pre-Summary'!$A$6:$P$178,9,FALSE),AB1409)</f>
        <v>0.26243021266793065</v>
      </c>
      <c r="AC1408" s="10">
        <f>IFERROR(VLOOKUP(Summary!B1408,'Pre-Summary'!$A$6:$P$184,5, FALSE)/100,AC1409)</f>
        <v>0.98266966666666677</v>
      </c>
      <c r="AD1408" s="10">
        <f>IFERROR(VLOOKUP(Summary!B1408,'Pre-Summary'!$A$6:$P$184,3, FALSE)/100,AD1409)</f>
        <v>9.9173333333333318E-3</v>
      </c>
      <c r="AE1408" s="10">
        <f>IFERROR(VLOOKUP(Summary!B1408,'Pre-Summary'!$A$6:$P$184,7, FALSE)/100,AE1409)</f>
        <v>7.4129999999999995E-3</v>
      </c>
      <c r="AF1408" s="99">
        <f t="shared" si="64"/>
        <v>2.6026078957654239E-3</v>
      </c>
      <c r="AG1408" s="99">
        <f t="shared" si="65"/>
        <v>1.9453951665073697E-3</v>
      </c>
      <c r="AH1408" s="10" t="str">
        <f>IFERROR(VLOOKUP(B1408,'Pre-Summary'!$AZ$6:$BE$65,3,FALSE),"")</f>
        <v/>
      </c>
      <c r="AI1408" s="10" t="str">
        <f>IFERROR(VLOOKUP(B1408,'Pre-Summary'!$AZ$6:$BE$65,5,FALSE),"")</f>
        <v/>
      </c>
      <c r="AJ1408" s="10" t="str">
        <f>IFERROR(VLOOKUP(B1408,'Pre-Summary'!$AZ$6:$BE$65,4,FALSE),"")</f>
        <v/>
      </c>
      <c r="AK1408" s="10" t="str">
        <f>IFERROR(VLOOKUP(B1408,'Pre-Summary'!$AZ$6:$BE$65,6,FALSE),"")</f>
        <v/>
      </c>
      <c r="AL1408" s="10" t="str">
        <f>IFERROR(VLOOKUP(B1408,'Pre-Summary'!$BG$6:$BL$44,3,FALSE),"")</f>
        <v/>
      </c>
      <c r="AM1408" s="10" t="str">
        <f>IFERROR(VLOOKUP(B1408,'Pre-Summary'!$BG$6:$BL$44,4,FALSE),"")</f>
        <v/>
      </c>
    </row>
    <row r="1409" spans="2:39" ht="15" customHeight="1" x14ac:dyDescent="0.3">
      <c r="B1409">
        <v>140.6</v>
      </c>
      <c r="C1409" t="str">
        <f>IFERROR(VLOOKUP(B1409,'Pre-Summary'!$DI$6:$DM$23,4,FALSE),"")</f>
        <v/>
      </c>
      <c r="D1409" s="10" t="str">
        <f>IFERROR(VLOOKUP(B1409,'Pre-Summary'!$AT$6:$AX$14,5,FALSE),D1408)</f>
        <v xml:space="preserve">Wolfe v1: put in modified wolfe + EDTA </v>
      </c>
      <c r="E1409" s="10" t="str">
        <f>IFERROR(VLOOKUP(B1409,'Pre-Summary'!$AT$6:$AX$15,4,FALSE),"")</f>
        <v/>
      </c>
      <c r="F1409">
        <f>IFERROR(VLOOKUP(B1409,'Pre-Summary'!$AL$6:$AQ$13,6,FALSE),F1408)</f>
        <v>5.3897368421052638E-2</v>
      </c>
      <c r="G1409" t="str">
        <f>IFERROR(VLOOKUP(B1409,'Pre-Summary'!$AE$6:$AJ$85,3,FALSE),"")</f>
        <v/>
      </c>
      <c r="H1409" t="str">
        <f>IFERROR(VLOOKUP(B1409,'Pre-Summary'!$AE$6:$AJ$85,4,FALSE),"")</f>
        <v/>
      </c>
      <c r="I1409" t="str">
        <f>IFERROR(VLOOKUP(B1409,'Pre-Summary'!$AE$6:$AJ$85,5,FALSE),"")</f>
        <v/>
      </c>
      <c r="J1409" s="45" t="str">
        <f>IFERROR(VLOOKUP(B1409,'Pre-Summary'!$AE$6:$AJ$85,6, FALSE),"")</f>
        <v/>
      </c>
      <c r="K1409" s="45" t="str">
        <f>IFERROR(VLOOKUP(B1409,'Pre-Summary'!$DE$6:$DG$61,3,FALSE),"")</f>
        <v/>
      </c>
      <c r="L1409" s="45" t="str">
        <f>IFERROR(VLOOKUP(B1409,'Pre-Summary'!$CU$6:$CW$36,3,FALSE),"")</f>
        <v/>
      </c>
      <c r="M1409" s="45" t="str">
        <f>IFERROR(VLOOKUP(B1409,'Pre-Summary'!$BW$6:$BY$58,2,FALSE),"")</f>
        <v/>
      </c>
      <c r="N1409" s="45" t="str">
        <f>IFERROR(VLOOKUP(B1409,'Pre-Summary'!$CD$6:$CF$64,2,FALSE),"")</f>
        <v/>
      </c>
      <c r="O1409" s="99">
        <f>IFERROR(VLOOKUP(B1409,'Pre-Summary'!$BO$6:$BQ$48,3, FALSE),O1408)</f>
        <v>1.2</v>
      </c>
      <c r="P1409" s="99">
        <f>IFERROR(VLOOKUP(B1409,'Pre-Summary'!$BS$6:$BU$35,3,FALSE),P1408)</f>
        <v>0.3</v>
      </c>
      <c r="Q1409" s="54">
        <f t="shared" si="63"/>
        <v>4</v>
      </c>
      <c r="R1409" s="53">
        <f>IFERROR(VLOOKUP(B1409,'Pre-Summary'!$BG$6:$BM$44,7,FALSE),R1410)</f>
        <v>9.5517489384447818E-2</v>
      </c>
      <c r="S1409" s="53">
        <f>IFERROR(VLOOKUP(B1409,'Pre-Summary'!$BG$6:$BM$44,6,FALSE),S1410)</f>
        <v>8.6010874938220475E-2</v>
      </c>
      <c r="T1409" s="45" t="str">
        <f>IFERROR(VLOOKUP(B1409,'Pre-Summary'!$Y$6:$AC$83, 3,FALSE),"")</f>
        <v/>
      </c>
      <c r="U1409" s="45" t="str">
        <f>IFERROR(VLOOKUP(B1409,'Pre-Summary'!$Y$6:$AC$83, 4,FALSE),"")</f>
        <v/>
      </c>
      <c r="V1409" t="str">
        <f>IFERROR(VLOOKUP(B1409,'Pre-Summary'!$Y$6:$AC$83, 5,FALSE),"")</f>
        <v/>
      </c>
      <c r="W1409" s="45" t="str">
        <f>IFERROR(VLOOKUP(B1409,'Pre-Summary'!$Y$6:$AD$83,6,FALSE),"")</f>
        <v/>
      </c>
      <c r="X1409" t="str">
        <f>IFERROR(VLOOKUP('Pre-Summary'!$DB$6:$DD$63,3,FALSE),"")</f>
        <v/>
      </c>
      <c r="Y1409" t="str">
        <f>IFERROR(VLOOKUP(B1409,'Pre-Summary'!$CR$6:$CT$36,3,FALSE),"")</f>
        <v/>
      </c>
      <c r="Z1409" s="45" t="str">
        <f>IFERROR(VLOOKUP(B1409,'Pre-Summary'!$BZ$6:$CB$63,2,FALSE),"")</f>
        <v/>
      </c>
      <c r="AA1409" s="45" t="str">
        <f>IFERROR(VLOOKUP(B1409,'Pre-Summary'!$CG$6:$CI$70,2,FALSE),"")</f>
        <v/>
      </c>
      <c r="AB1409" s="99">
        <f>IFERROR(VLOOKUP(B1409,'Pre-Summary'!$A$6:$P$178,9,FALSE),AB1410)</f>
        <v>0.26243021266793065</v>
      </c>
      <c r="AC1409" s="10">
        <f>IFERROR(VLOOKUP(Summary!B1409,'Pre-Summary'!$A$6:$P$184,5, FALSE)/100,AC1410)</f>
        <v>0.98266966666666677</v>
      </c>
      <c r="AD1409" s="10">
        <f>IFERROR(VLOOKUP(Summary!B1409,'Pre-Summary'!$A$6:$P$184,3, FALSE)/100,AD1410)</f>
        <v>9.9173333333333318E-3</v>
      </c>
      <c r="AE1409" s="10">
        <f>IFERROR(VLOOKUP(Summary!B1409,'Pre-Summary'!$A$6:$P$184,7, FALSE)/100,AE1410)</f>
        <v>7.4129999999999995E-3</v>
      </c>
      <c r="AF1409" s="99">
        <f t="shared" si="64"/>
        <v>2.6026078957654239E-3</v>
      </c>
      <c r="AG1409" s="99">
        <f t="shared" si="65"/>
        <v>1.9453951665073697E-3</v>
      </c>
      <c r="AH1409" s="10" t="str">
        <f>IFERROR(VLOOKUP(B1409,'Pre-Summary'!$AZ$6:$BE$65,3,FALSE),"")</f>
        <v/>
      </c>
      <c r="AI1409" s="10" t="str">
        <f>IFERROR(VLOOKUP(B1409,'Pre-Summary'!$AZ$6:$BE$65,5,FALSE),"")</f>
        <v/>
      </c>
      <c r="AJ1409" s="10" t="str">
        <f>IFERROR(VLOOKUP(B1409,'Pre-Summary'!$AZ$6:$BE$65,4,FALSE),"")</f>
        <v/>
      </c>
      <c r="AK1409" s="10" t="str">
        <f>IFERROR(VLOOKUP(B1409,'Pre-Summary'!$AZ$6:$BE$65,6,FALSE),"")</f>
        <v/>
      </c>
      <c r="AL1409" s="10" t="str">
        <f>IFERROR(VLOOKUP(B1409,'Pre-Summary'!$BG$6:$BL$44,3,FALSE),"")</f>
        <v/>
      </c>
      <c r="AM1409" s="10" t="str">
        <f>IFERROR(VLOOKUP(B1409,'Pre-Summary'!$BG$6:$BL$44,4,FALSE),"")</f>
        <v/>
      </c>
    </row>
    <row r="1410" spans="2:39" ht="15" customHeight="1" x14ac:dyDescent="0.3">
      <c r="B1410">
        <v>140.69999999999999</v>
      </c>
      <c r="C1410" t="str">
        <f>IFERROR(VLOOKUP(B1410,'Pre-Summary'!$DI$6:$DM$23,4,FALSE),"")</f>
        <v/>
      </c>
      <c r="D1410" s="10" t="str">
        <f>IFERROR(VLOOKUP(B1410,'Pre-Summary'!$AT$6:$AX$14,5,FALSE),D1409)</f>
        <v xml:space="preserve">Wolfe v1: put in modified wolfe + EDTA </v>
      </c>
      <c r="E1410" s="10" t="str">
        <f>IFERROR(VLOOKUP(B1410,'Pre-Summary'!$AT$6:$AX$15,4,FALSE),"")</f>
        <v/>
      </c>
      <c r="F1410">
        <f>IFERROR(VLOOKUP(B1410,'Pre-Summary'!$AL$6:$AQ$13,6,FALSE),F1409)</f>
        <v>5.3897368421052638E-2</v>
      </c>
      <c r="G1410" t="str">
        <f>IFERROR(VLOOKUP(B1410,'Pre-Summary'!$AE$6:$AJ$85,3,FALSE),"")</f>
        <v/>
      </c>
      <c r="H1410" t="str">
        <f>IFERROR(VLOOKUP(B1410,'Pre-Summary'!$AE$6:$AJ$85,4,FALSE),"")</f>
        <v/>
      </c>
      <c r="I1410" t="str">
        <f>IFERROR(VLOOKUP(B1410,'Pre-Summary'!$AE$6:$AJ$85,5,FALSE),"")</f>
        <v/>
      </c>
      <c r="J1410" s="45" t="str">
        <f>IFERROR(VLOOKUP(B1410,'Pre-Summary'!$AE$6:$AJ$85,6, FALSE),"")</f>
        <v/>
      </c>
      <c r="K1410" s="45" t="str">
        <f>IFERROR(VLOOKUP(B1410,'Pre-Summary'!$DE$6:$DG$61,3,FALSE),"")</f>
        <v/>
      </c>
      <c r="L1410" s="45" t="str">
        <f>IFERROR(VLOOKUP(B1410,'Pre-Summary'!$CU$6:$CW$36,3,FALSE),"")</f>
        <v/>
      </c>
      <c r="M1410" s="45" t="str">
        <f>IFERROR(VLOOKUP(B1410,'Pre-Summary'!$BW$6:$BY$58,2,FALSE),"")</f>
        <v/>
      </c>
      <c r="N1410" s="45" t="str">
        <f>IFERROR(VLOOKUP(B1410,'Pre-Summary'!$CD$6:$CF$64,2,FALSE),"")</f>
        <v/>
      </c>
      <c r="O1410" s="99">
        <f>IFERROR(VLOOKUP(B1410,'Pre-Summary'!$BO$6:$BQ$48,3, FALSE),O1409)</f>
        <v>1.2</v>
      </c>
      <c r="P1410" s="99">
        <f>IFERROR(VLOOKUP(B1410,'Pre-Summary'!$BS$6:$BU$35,3,FALSE),P1409)</f>
        <v>0.3</v>
      </c>
      <c r="Q1410" s="54">
        <f t="shared" si="63"/>
        <v>4</v>
      </c>
      <c r="R1410" s="53">
        <f>IFERROR(VLOOKUP(B1410,'Pre-Summary'!$BG$6:$BM$44,7,FALSE),R1411)</f>
        <v>9.5517489384447818E-2</v>
      </c>
      <c r="S1410" s="53">
        <f>IFERROR(VLOOKUP(B1410,'Pre-Summary'!$BG$6:$BM$44,6,FALSE),S1411)</f>
        <v>8.6010874938220475E-2</v>
      </c>
      <c r="T1410" s="45" t="str">
        <f>IFERROR(VLOOKUP(B1410,'Pre-Summary'!$Y$6:$AC$83, 3,FALSE),"")</f>
        <v/>
      </c>
      <c r="U1410" s="45" t="str">
        <f>IFERROR(VLOOKUP(B1410,'Pre-Summary'!$Y$6:$AC$83, 4,FALSE),"")</f>
        <v/>
      </c>
      <c r="V1410" t="str">
        <f>IFERROR(VLOOKUP(B1410,'Pre-Summary'!$Y$6:$AC$83, 5,FALSE),"")</f>
        <v/>
      </c>
      <c r="W1410" s="45" t="str">
        <f>IFERROR(VLOOKUP(B1410,'Pre-Summary'!$Y$6:$AD$83,6,FALSE),"")</f>
        <v/>
      </c>
      <c r="X1410" t="str">
        <f>IFERROR(VLOOKUP('Pre-Summary'!$DB$6:$DD$63,3,FALSE),"")</f>
        <v/>
      </c>
      <c r="Y1410" t="str">
        <f>IFERROR(VLOOKUP(B1410,'Pre-Summary'!$CR$6:$CT$36,3,FALSE),"")</f>
        <v/>
      </c>
      <c r="Z1410" s="45" t="str">
        <f>IFERROR(VLOOKUP(B1410,'Pre-Summary'!$BZ$6:$CB$63,2,FALSE),"")</f>
        <v/>
      </c>
      <c r="AA1410" s="45" t="str">
        <f>IFERROR(VLOOKUP(B1410,'Pre-Summary'!$CG$6:$CI$70,2,FALSE),"")</f>
        <v/>
      </c>
      <c r="AB1410" s="99">
        <f>IFERROR(VLOOKUP(B1410,'Pre-Summary'!$A$6:$P$178,9,FALSE),AB1411)</f>
        <v>0.26243021266793065</v>
      </c>
      <c r="AC1410" s="10">
        <f>IFERROR(VLOOKUP(Summary!B1410,'Pre-Summary'!$A$6:$P$184,5, FALSE)/100,AC1411)</f>
        <v>0.98266966666666677</v>
      </c>
      <c r="AD1410" s="10">
        <f>IFERROR(VLOOKUP(Summary!B1410,'Pre-Summary'!$A$6:$P$184,3, FALSE)/100,AD1411)</f>
        <v>9.9173333333333318E-3</v>
      </c>
      <c r="AE1410" s="10">
        <f>IFERROR(VLOOKUP(Summary!B1410,'Pre-Summary'!$A$6:$P$184,7, FALSE)/100,AE1411)</f>
        <v>7.4129999999999995E-3</v>
      </c>
      <c r="AF1410" s="99">
        <f t="shared" si="64"/>
        <v>2.6026078957654239E-3</v>
      </c>
      <c r="AG1410" s="99">
        <f t="shared" si="65"/>
        <v>1.9453951665073697E-3</v>
      </c>
      <c r="AH1410" s="10" t="str">
        <f>IFERROR(VLOOKUP(B1410,'Pre-Summary'!$AZ$6:$BE$65,3,FALSE),"")</f>
        <v/>
      </c>
      <c r="AI1410" s="10" t="str">
        <f>IFERROR(VLOOKUP(B1410,'Pre-Summary'!$AZ$6:$BE$65,5,FALSE),"")</f>
        <v/>
      </c>
      <c r="AJ1410" s="10" t="str">
        <f>IFERROR(VLOOKUP(B1410,'Pre-Summary'!$AZ$6:$BE$65,4,FALSE),"")</f>
        <v/>
      </c>
      <c r="AK1410" s="10" t="str">
        <f>IFERROR(VLOOKUP(B1410,'Pre-Summary'!$AZ$6:$BE$65,6,FALSE),"")</f>
        <v/>
      </c>
      <c r="AL1410" s="10" t="str">
        <f>IFERROR(VLOOKUP(B1410,'Pre-Summary'!$BG$6:$BL$44,3,FALSE),"")</f>
        <v/>
      </c>
      <c r="AM1410" s="10" t="str">
        <f>IFERROR(VLOOKUP(B1410,'Pre-Summary'!$BG$6:$BL$44,4,FALSE),"")</f>
        <v/>
      </c>
    </row>
    <row r="1411" spans="2:39" ht="15" customHeight="1" x14ac:dyDescent="0.3">
      <c r="B1411">
        <v>140.80000000000001</v>
      </c>
      <c r="C1411" t="str">
        <f>IFERROR(VLOOKUP(B1411,'Pre-Summary'!$DI$6:$DM$23,4,FALSE),"")</f>
        <v/>
      </c>
      <c r="D1411" s="10" t="str">
        <f>IFERROR(VLOOKUP(B1411,'Pre-Summary'!$AT$6:$AX$14,5,FALSE),D1410)</f>
        <v xml:space="preserve">Wolfe v1: put in modified wolfe + EDTA </v>
      </c>
      <c r="E1411" s="10" t="str">
        <f>IFERROR(VLOOKUP(B1411,'Pre-Summary'!$AT$6:$AX$15,4,FALSE),"")</f>
        <v/>
      </c>
      <c r="F1411">
        <f>IFERROR(VLOOKUP(B1411,'Pre-Summary'!$AL$6:$AQ$13,6,FALSE),F1410)</f>
        <v>5.3897368421052638E-2</v>
      </c>
      <c r="G1411" t="str">
        <f>IFERROR(VLOOKUP(B1411,'Pre-Summary'!$AE$6:$AJ$85,3,FALSE),"")</f>
        <v/>
      </c>
      <c r="H1411" t="str">
        <f>IFERROR(VLOOKUP(B1411,'Pre-Summary'!$AE$6:$AJ$85,4,FALSE),"")</f>
        <v/>
      </c>
      <c r="I1411" t="str">
        <f>IFERROR(VLOOKUP(B1411,'Pre-Summary'!$AE$6:$AJ$85,5,FALSE),"")</f>
        <v/>
      </c>
      <c r="J1411" s="45" t="str">
        <f>IFERROR(VLOOKUP(B1411,'Pre-Summary'!$AE$6:$AJ$85,6, FALSE),"")</f>
        <v/>
      </c>
      <c r="K1411" s="45" t="str">
        <f>IFERROR(VLOOKUP(B1411,'Pre-Summary'!$DE$6:$DG$61,3,FALSE),"")</f>
        <v/>
      </c>
      <c r="L1411" s="45" t="str">
        <f>IFERROR(VLOOKUP(B1411,'Pre-Summary'!$CU$6:$CW$36,3,FALSE),"")</f>
        <v/>
      </c>
      <c r="M1411" s="45" t="str">
        <f>IFERROR(VLOOKUP(B1411,'Pre-Summary'!$BW$6:$BY$58,2,FALSE),"")</f>
        <v/>
      </c>
      <c r="N1411" s="45" t="str">
        <f>IFERROR(VLOOKUP(B1411,'Pre-Summary'!$CD$6:$CF$64,2,FALSE),"")</f>
        <v/>
      </c>
      <c r="O1411" s="99">
        <f>IFERROR(VLOOKUP(B1411,'Pre-Summary'!$BO$6:$BQ$48,3, FALSE),O1410)</f>
        <v>1.2</v>
      </c>
      <c r="P1411" s="99">
        <f>IFERROR(VLOOKUP(B1411,'Pre-Summary'!$BS$6:$BU$35,3,FALSE),P1410)</f>
        <v>0.3</v>
      </c>
      <c r="Q1411" s="54">
        <f t="shared" ref="Q1411:Q1474" si="66">O1411/P1411</f>
        <v>4</v>
      </c>
      <c r="R1411" s="53">
        <f>IFERROR(VLOOKUP(B1411,'Pre-Summary'!$BG$6:$BM$44,7,FALSE),R1412)</f>
        <v>9.5517489384447818E-2</v>
      </c>
      <c r="S1411" s="53">
        <f>IFERROR(VLOOKUP(B1411,'Pre-Summary'!$BG$6:$BM$44,6,FALSE),S1412)</f>
        <v>8.6010874938220475E-2</v>
      </c>
      <c r="T1411" s="45" t="str">
        <f>IFERROR(VLOOKUP(B1411,'Pre-Summary'!$Y$6:$AC$83, 3,FALSE),"")</f>
        <v/>
      </c>
      <c r="U1411" s="45" t="str">
        <f>IFERROR(VLOOKUP(B1411,'Pre-Summary'!$Y$6:$AC$83, 4,FALSE),"")</f>
        <v/>
      </c>
      <c r="V1411" t="str">
        <f>IFERROR(VLOOKUP(B1411,'Pre-Summary'!$Y$6:$AC$83, 5,FALSE),"")</f>
        <v/>
      </c>
      <c r="W1411" s="45" t="str">
        <f>IFERROR(VLOOKUP(B1411,'Pre-Summary'!$Y$6:$AD$83,6,FALSE),"")</f>
        <v/>
      </c>
      <c r="X1411" t="str">
        <f>IFERROR(VLOOKUP('Pre-Summary'!$DB$6:$DD$63,3,FALSE),"")</f>
        <v/>
      </c>
      <c r="Y1411" t="str">
        <f>IFERROR(VLOOKUP(B1411,'Pre-Summary'!$CR$6:$CT$36,3,FALSE),"")</f>
        <v/>
      </c>
      <c r="Z1411" s="45" t="str">
        <f>IFERROR(VLOOKUP(B1411,'Pre-Summary'!$BZ$6:$CB$63,2,FALSE),"")</f>
        <v/>
      </c>
      <c r="AA1411" s="45" t="str">
        <f>IFERROR(VLOOKUP(B1411,'Pre-Summary'!$CG$6:$CI$70,2,FALSE),"")</f>
        <v/>
      </c>
      <c r="AB1411" s="99">
        <f>IFERROR(VLOOKUP(B1411,'Pre-Summary'!$A$6:$P$178,9,FALSE),AB1412)</f>
        <v>0.26243021266793065</v>
      </c>
      <c r="AC1411" s="10">
        <f>IFERROR(VLOOKUP(Summary!B1411,'Pre-Summary'!$A$6:$P$184,5, FALSE)/100,AC1412)</f>
        <v>0.98266966666666677</v>
      </c>
      <c r="AD1411" s="10">
        <f>IFERROR(VLOOKUP(Summary!B1411,'Pre-Summary'!$A$6:$P$184,3, FALSE)/100,AD1412)</f>
        <v>9.9173333333333318E-3</v>
      </c>
      <c r="AE1411" s="10">
        <f>IFERROR(VLOOKUP(Summary!B1411,'Pre-Summary'!$A$6:$P$184,7, FALSE)/100,AE1412)</f>
        <v>7.4129999999999995E-3</v>
      </c>
      <c r="AF1411" s="99">
        <f t="shared" ref="AF1411:AF1474" si="67">AD1411*AB1411</f>
        <v>2.6026078957654239E-3</v>
      </c>
      <c r="AG1411" s="99">
        <f t="shared" ref="AG1411:AG1474" si="68">AB1411*AE1411</f>
        <v>1.9453951665073697E-3</v>
      </c>
      <c r="AH1411" s="10" t="str">
        <f>IFERROR(VLOOKUP(B1411,'Pre-Summary'!$AZ$6:$BE$65,3,FALSE),"")</f>
        <v/>
      </c>
      <c r="AI1411" s="10" t="str">
        <f>IFERROR(VLOOKUP(B1411,'Pre-Summary'!$AZ$6:$BE$65,5,FALSE),"")</f>
        <v/>
      </c>
      <c r="AJ1411" s="10" t="str">
        <f>IFERROR(VLOOKUP(B1411,'Pre-Summary'!$AZ$6:$BE$65,4,FALSE),"")</f>
        <v/>
      </c>
      <c r="AK1411" s="10" t="str">
        <f>IFERROR(VLOOKUP(B1411,'Pre-Summary'!$AZ$6:$BE$65,6,FALSE),"")</f>
        <v/>
      </c>
      <c r="AL1411" s="10" t="str">
        <f>IFERROR(VLOOKUP(B1411,'Pre-Summary'!$BG$6:$BL$44,3,FALSE),"")</f>
        <v/>
      </c>
      <c r="AM1411" s="10" t="str">
        <f>IFERROR(VLOOKUP(B1411,'Pre-Summary'!$BG$6:$BL$44,4,FALSE),"")</f>
        <v/>
      </c>
    </row>
    <row r="1412" spans="2:39" ht="15" customHeight="1" x14ac:dyDescent="0.3">
      <c r="B1412">
        <v>140.9</v>
      </c>
      <c r="C1412" t="str">
        <f>IFERROR(VLOOKUP(B1412,'Pre-Summary'!$DI$6:$DM$23,4,FALSE),"")</f>
        <v/>
      </c>
      <c r="D1412" s="10" t="str">
        <f>IFERROR(VLOOKUP(B1412,'Pre-Summary'!$AT$6:$AX$14,5,FALSE),D1411)</f>
        <v xml:space="preserve">Wolfe v1: put in modified wolfe + EDTA </v>
      </c>
      <c r="E1412" s="10" t="str">
        <f>IFERROR(VLOOKUP(B1412,'Pre-Summary'!$AT$6:$AX$15,4,FALSE),"")</f>
        <v/>
      </c>
      <c r="F1412">
        <f>IFERROR(VLOOKUP(B1412,'Pre-Summary'!$AL$6:$AQ$13,6,FALSE),F1411)</f>
        <v>5.3897368421052638E-2</v>
      </c>
      <c r="G1412" t="str">
        <f>IFERROR(VLOOKUP(B1412,'Pre-Summary'!$AE$6:$AJ$85,3,FALSE),"")</f>
        <v/>
      </c>
      <c r="H1412" t="str">
        <f>IFERROR(VLOOKUP(B1412,'Pre-Summary'!$AE$6:$AJ$85,4,FALSE),"")</f>
        <v/>
      </c>
      <c r="I1412" t="str">
        <f>IFERROR(VLOOKUP(B1412,'Pre-Summary'!$AE$6:$AJ$85,5,FALSE),"")</f>
        <v/>
      </c>
      <c r="J1412" s="45" t="str">
        <f>IFERROR(VLOOKUP(B1412,'Pre-Summary'!$AE$6:$AJ$85,6, FALSE),"")</f>
        <v/>
      </c>
      <c r="K1412" s="45" t="str">
        <f>IFERROR(VLOOKUP(B1412,'Pre-Summary'!$DE$6:$DG$61,3,FALSE),"")</f>
        <v/>
      </c>
      <c r="L1412" s="45" t="str">
        <f>IFERROR(VLOOKUP(B1412,'Pre-Summary'!$CU$6:$CW$36,3,FALSE),"")</f>
        <v/>
      </c>
      <c r="M1412" s="45" t="str">
        <f>IFERROR(VLOOKUP(B1412,'Pre-Summary'!$BW$6:$BY$58,2,FALSE),"")</f>
        <v/>
      </c>
      <c r="N1412" s="45" t="str">
        <f>IFERROR(VLOOKUP(B1412,'Pre-Summary'!$CD$6:$CF$64,2,FALSE),"")</f>
        <v/>
      </c>
      <c r="O1412" s="99">
        <f>IFERROR(VLOOKUP(B1412,'Pre-Summary'!$BO$6:$BQ$48,3, FALSE),O1411)</f>
        <v>1.2</v>
      </c>
      <c r="P1412" s="99">
        <f>IFERROR(VLOOKUP(B1412,'Pre-Summary'!$BS$6:$BU$35,3,FALSE),P1411)</f>
        <v>0.3</v>
      </c>
      <c r="Q1412" s="54">
        <f t="shared" si="66"/>
        <v>4</v>
      </c>
      <c r="R1412" s="53">
        <f>IFERROR(VLOOKUP(B1412,'Pre-Summary'!$BG$6:$BM$44,7,FALSE),R1413)</f>
        <v>9.5517489384447818E-2</v>
      </c>
      <c r="S1412" s="53">
        <f>IFERROR(VLOOKUP(B1412,'Pre-Summary'!$BG$6:$BM$44,6,FALSE),S1413)</f>
        <v>8.6010874938220475E-2</v>
      </c>
      <c r="T1412" s="45" t="str">
        <f>IFERROR(VLOOKUP(B1412,'Pre-Summary'!$Y$6:$AC$83, 3,FALSE),"")</f>
        <v/>
      </c>
      <c r="U1412" s="45" t="str">
        <f>IFERROR(VLOOKUP(B1412,'Pre-Summary'!$Y$6:$AC$83, 4,FALSE),"")</f>
        <v/>
      </c>
      <c r="V1412" t="str">
        <f>IFERROR(VLOOKUP(B1412,'Pre-Summary'!$Y$6:$AC$83, 5,FALSE),"")</f>
        <v/>
      </c>
      <c r="W1412" s="45" t="str">
        <f>IFERROR(VLOOKUP(B1412,'Pre-Summary'!$Y$6:$AD$83,6,FALSE),"")</f>
        <v/>
      </c>
      <c r="X1412" t="str">
        <f>IFERROR(VLOOKUP('Pre-Summary'!$DB$6:$DD$63,3,FALSE),"")</f>
        <v/>
      </c>
      <c r="Y1412" t="str">
        <f>IFERROR(VLOOKUP(B1412,'Pre-Summary'!$CR$6:$CT$36,3,FALSE),"")</f>
        <v/>
      </c>
      <c r="Z1412" s="45" t="str">
        <f>IFERROR(VLOOKUP(B1412,'Pre-Summary'!$BZ$6:$CB$63,2,FALSE),"")</f>
        <v/>
      </c>
      <c r="AA1412" s="45" t="str">
        <f>IFERROR(VLOOKUP(B1412,'Pre-Summary'!$CG$6:$CI$70,2,FALSE),"")</f>
        <v/>
      </c>
      <c r="AB1412" s="99">
        <f>IFERROR(VLOOKUP(B1412,'Pre-Summary'!$A$6:$P$178,9,FALSE),AB1413)</f>
        <v>0.26243021266793065</v>
      </c>
      <c r="AC1412" s="10">
        <f>IFERROR(VLOOKUP(Summary!B1412,'Pre-Summary'!$A$6:$P$184,5, FALSE)/100,AC1413)</f>
        <v>0.98266966666666677</v>
      </c>
      <c r="AD1412" s="10">
        <f>IFERROR(VLOOKUP(Summary!B1412,'Pre-Summary'!$A$6:$P$184,3, FALSE)/100,AD1413)</f>
        <v>9.9173333333333318E-3</v>
      </c>
      <c r="AE1412" s="10">
        <f>IFERROR(VLOOKUP(Summary!B1412,'Pre-Summary'!$A$6:$P$184,7, FALSE)/100,AE1413)</f>
        <v>7.4129999999999995E-3</v>
      </c>
      <c r="AF1412" s="99">
        <f t="shared" si="67"/>
        <v>2.6026078957654239E-3</v>
      </c>
      <c r="AG1412" s="99">
        <f t="shared" si="68"/>
        <v>1.9453951665073697E-3</v>
      </c>
      <c r="AH1412" s="10" t="str">
        <f>IFERROR(VLOOKUP(B1412,'Pre-Summary'!$AZ$6:$BE$65,3,FALSE),"")</f>
        <v/>
      </c>
      <c r="AI1412" s="10" t="str">
        <f>IFERROR(VLOOKUP(B1412,'Pre-Summary'!$AZ$6:$BE$65,5,FALSE),"")</f>
        <v/>
      </c>
      <c r="AJ1412" s="10" t="str">
        <f>IFERROR(VLOOKUP(B1412,'Pre-Summary'!$AZ$6:$BE$65,4,FALSE),"")</f>
        <v/>
      </c>
      <c r="AK1412" s="10" t="str">
        <f>IFERROR(VLOOKUP(B1412,'Pre-Summary'!$AZ$6:$BE$65,6,FALSE),"")</f>
        <v/>
      </c>
      <c r="AL1412" s="10" t="str">
        <f>IFERROR(VLOOKUP(B1412,'Pre-Summary'!$BG$6:$BL$44,3,FALSE),"")</f>
        <v/>
      </c>
      <c r="AM1412" s="10" t="str">
        <f>IFERROR(VLOOKUP(B1412,'Pre-Summary'!$BG$6:$BL$44,4,FALSE),"")</f>
        <v/>
      </c>
    </row>
    <row r="1413" spans="2:39" ht="15" customHeight="1" x14ac:dyDescent="0.3">
      <c r="B1413">
        <v>141</v>
      </c>
      <c r="C1413" t="str">
        <f>IFERROR(VLOOKUP(B1413,'Pre-Summary'!$DI$6:$DM$23,4,FALSE),"")</f>
        <v/>
      </c>
      <c r="D1413" s="10" t="str">
        <f>IFERROR(VLOOKUP(B1413,'Pre-Summary'!$AT$6:$AX$14,5,FALSE),D1412)</f>
        <v xml:space="preserve">Wolfe v1: put in modified wolfe + EDTA </v>
      </c>
      <c r="E1413" s="10" t="str">
        <f>IFERROR(VLOOKUP(B1413,'Pre-Summary'!$AT$6:$AX$15,4,FALSE),"")</f>
        <v/>
      </c>
      <c r="F1413">
        <f>IFERROR(VLOOKUP(B1413,'Pre-Summary'!$AL$6:$AQ$13,6,FALSE),F1412)</f>
        <v>5.3897368421052638E-2</v>
      </c>
      <c r="G1413" t="str">
        <f>IFERROR(VLOOKUP(B1413,'Pre-Summary'!$AE$6:$AJ$85,3,FALSE),"")</f>
        <v/>
      </c>
      <c r="H1413" t="str">
        <f>IFERROR(VLOOKUP(B1413,'Pre-Summary'!$AE$6:$AJ$85,4,FALSE),"")</f>
        <v/>
      </c>
      <c r="I1413" t="str">
        <f>IFERROR(VLOOKUP(B1413,'Pre-Summary'!$AE$6:$AJ$85,5,FALSE),"")</f>
        <v/>
      </c>
      <c r="J1413" s="45" t="str">
        <f>IFERROR(VLOOKUP(B1413,'Pre-Summary'!$AE$6:$AJ$85,6, FALSE),"")</f>
        <v/>
      </c>
      <c r="K1413" s="45" t="str">
        <f>IFERROR(VLOOKUP(B1413,'Pre-Summary'!$DE$6:$DG$61,3,FALSE),"")</f>
        <v/>
      </c>
      <c r="L1413" s="45" t="str">
        <f>IFERROR(VLOOKUP(B1413,'Pre-Summary'!$CU$6:$CW$36,3,FALSE),"")</f>
        <v/>
      </c>
      <c r="M1413" s="45" t="str">
        <f>IFERROR(VLOOKUP(B1413,'Pre-Summary'!$BW$6:$BY$58,2,FALSE),"")</f>
        <v/>
      </c>
      <c r="N1413" s="45" t="str">
        <f>IFERROR(VLOOKUP(B1413,'Pre-Summary'!$CD$6:$CF$64,2,FALSE),"")</f>
        <v/>
      </c>
      <c r="O1413" s="99">
        <f>IFERROR(VLOOKUP(B1413,'Pre-Summary'!$BO$6:$BQ$48,3, FALSE),O1412)</f>
        <v>1.2</v>
      </c>
      <c r="P1413" s="99">
        <f>IFERROR(VLOOKUP(B1413,'Pre-Summary'!$BS$6:$BU$35,3,FALSE),P1412)</f>
        <v>0.3</v>
      </c>
      <c r="Q1413" s="54">
        <f t="shared" si="66"/>
        <v>4</v>
      </c>
      <c r="R1413" s="53">
        <f>IFERROR(VLOOKUP(B1413,'Pre-Summary'!$BG$6:$BM$44,7,FALSE),R1414)</f>
        <v>9.5517489384447818E-2</v>
      </c>
      <c r="S1413" s="53">
        <f>IFERROR(VLOOKUP(B1413,'Pre-Summary'!$BG$6:$BM$44,6,FALSE),S1414)</f>
        <v>8.6010874938220475E-2</v>
      </c>
      <c r="T1413" s="45" t="str">
        <f>IFERROR(VLOOKUP(B1413,'Pre-Summary'!$Y$6:$AC$83, 3,FALSE),"")</f>
        <v/>
      </c>
      <c r="U1413" s="45" t="str">
        <f>IFERROR(VLOOKUP(B1413,'Pre-Summary'!$Y$6:$AC$83, 4,FALSE),"")</f>
        <v/>
      </c>
      <c r="V1413" t="str">
        <f>IFERROR(VLOOKUP(B1413,'Pre-Summary'!$Y$6:$AC$83, 5,FALSE),"")</f>
        <v/>
      </c>
      <c r="W1413" s="45" t="str">
        <f>IFERROR(VLOOKUP(B1413,'Pre-Summary'!$Y$6:$AD$83,6,FALSE),"")</f>
        <v/>
      </c>
      <c r="X1413" t="str">
        <f>IFERROR(VLOOKUP('Pre-Summary'!$DB$6:$DD$63,3,FALSE),"")</f>
        <v/>
      </c>
      <c r="Y1413" t="str">
        <f>IFERROR(VLOOKUP(B1413,'Pre-Summary'!$CR$6:$CT$36,3,FALSE),"")</f>
        <v/>
      </c>
      <c r="Z1413" s="45" t="str">
        <f>IFERROR(VLOOKUP(B1413,'Pre-Summary'!$BZ$6:$CB$63,2,FALSE),"")</f>
        <v/>
      </c>
      <c r="AA1413" s="45" t="str">
        <f>IFERROR(VLOOKUP(B1413,'Pre-Summary'!$CG$6:$CI$70,2,FALSE),"")</f>
        <v/>
      </c>
      <c r="AB1413" s="99">
        <f>IFERROR(VLOOKUP(B1413,'Pre-Summary'!$A$6:$P$178,9,FALSE),AB1414)</f>
        <v>0.26243021266793065</v>
      </c>
      <c r="AC1413" s="10">
        <f>IFERROR(VLOOKUP(Summary!B1413,'Pre-Summary'!$A$6:$P$184,5, FALSE)/100,AC1414)</f>
        <v>0.98266966666666677</v>
      </c>
      <c r="AD1413" s="10">
        <f>IFERROR(VLOOKUP(Summary!B1413,'Pre-Summary'!$A$6:$P$184,3, FALSE)/100,AD1414)</f>
        <v>9.9173333333333318E-3</v>
      </c>
      <c r="AE1413" s="10">
        <f>IFERROR(VLOOKUP(Summary!B1413,'Pre-Summary'!$A$6:$P$184,7, FALSE)/100,AE1414)</f>
        <v>7.4129999999999995E-3</v>
      </c>
      <c r="AF1413" s="99">
        <f t="shared" si="67"/>
        <v>2.6026078957654239E-3</v>
      </c>
      <c r="AG1413" s="99">
        <f t="shared" si="68"/>
        <v>1.9453951665073697E-3</v>
      </c>
      <c r="AH1413" s="10" t="str">
        <f>IFERROR(VLOOKUP(B1413,'Pre-Summary'!$AZ$6:$BE$65,3,FALSE),"")</f>
        <v/>
      </c>
      <c r="AI1413" s="10" t="str">
        <f>IFERROR(VLOOKUP(B1413,'Pre-Summary'!$AZ$6:$BE$65,5,FALSE),"")</f>
        <v/>
      </c>
      <c r="AJ1413" s="10" t="str">
        <f>IFERROR(VLOOKUP(B1413,'Pre-Summary'!$AZ$6:$BE$65,4,FALSE),"")</f>
        <v/>
      </c>
      <c r="AK1413" s="10" t="str">
        <f>IFERROR(VLOOKUP(B1413,'Pre-Summary'!$AZ$6:$BE$65,6,FALSE),"")</f>
        <v/>
      </c>
      <c r="AL1413" s="10" t="str">
        <f>IFERROR(VLOOKUP(B1413,'Pre-Summary'!$BG$6:$BL$44,3,FALSE),"")</f>
        <v/>
      </c>
      <c r="AM1413" s="10" t="str">
        <f>IFERROR(VLOOKUP(B1413,'Pre-Summary'!$BG$6:$BL$44,4,FALSE),"")</f>
        <v/>
      </c>
    </row>
    <row r="1414" spans="2:39" ht="15" customHeight="1" x14ac:dyDescent="0.3">
      <c r="B1414">
        <v>141.1</v>
      </c>
      <c r="C1414" t="str">
        <f>IFERROR(VLOOKUP(B1414,'Pre-Summary'!$DI$6:$DM$23,4,FALSE),"")</f>
        <v/>
      </c>
      <c r="D1414" s="10" t="str">
        <f>IFERROR(VLOOKUP(B1414,'Pre-Summary'!$AT$6:$AX$14,5,FALSE),D1413)</f>
        <v xml:space="preserve">Wolfe v1: put in modified wolfe + EDTA </v>
      </c>
      <c r="E1414" s="10" t="str">
        <f>IFERROR(VLOOKUP(B1414,'Pre-Summary'!$AT$6:$AX$15,4,FALSE),"")</f>
        <v/>
      </c>
      <c r="F1414">
        <f>IFERROR(VLOOKUP(B1414,'Pre-Summary'!$AL$6:$AQ$13,6,FALSE),F1413)</f>
        <v>5.3897368421052638E-2</v>
      </c>
      <c r="G1414" t="str">
        <f>IFERROR(VLOOKUP(B1414,'Pre-Summary'!$AE$6:$AJ$85,3,FALSE),"")</f>
        <v/>
      </c>
      <c r="H1414" t="str">
        <f>IFERROR(VLOOKUP(B1414,'Pre-Summary'!$AE$6:$AJ$85,4,FALSE),"")</f>
        <v/>
      </c>
      <c r="I1414" t="str">
        <f>IFERROR(VLOOKUP(B1414,'Pre-Summary'!$AE$6:$AJ$85,5,FALSE),"")</f>
        <v/>
      </c>
      <c r="J1414" s="45" t="str">
        <f>IFERROR(VLOOKUP(B1414,'Pre-Summary'!$AE$6:$AJ$85,6, FALSE),"")</f>
        <v/>
      </c>
      <c r="K1414" s="45" t="str">
        <f>IFERROR(VLOOKUP(B1414,'Pre-Summary'!$DE$6:$DG$61,3,FALSE),"")</f>
        <v/>
      </c>
      <c r="L1414" s="45" t="str">
        <f>IFERROR(VLOOKUP(B1414,'Pre-Summary'!$CU$6:$CW$36,3,FALSE),"")</f>
        <v/>
      </c>
      <c r="M1414" s="45" t="str">
        <f>IFERROR(VLOOKUP(B1414,'Pre-Summary'!$BW$6:$BY$58,2,FALSE),"")</f>
        <v/>
      </c>
      <c r="N1414" s="45" t="str">
        <f>IFERROR(VLOOKUP(B1414,'Pre-Summary'!$CD$6:$CF$64,2,FALSE),"")</f>
        <v/>
      </c>
      <c r="O1414" s="99">
        <f>IFERROR(VLOOKUP(B1414,'Pre-Summary'!$BO$6:$BQ$48,3, FALSE),O1413)</f>
        <v>1.2</v>
      </c>
      <c r="P1414" s="99">
        <f>IFERROR(VLOOKUP(B1414,'Pre-Summary'!$BS$6:$BU$35,3,FALSE),P1413)</f>
        <v>0.3</v>
      </c>
      <c r="Q1414" s="54">
        <f t="shared" si="66"/>
        <v>4</v>
      </c>
      <c r="R1414" s="53">
        <f>IFERROR(VLOOKUP(B1414,'Pre-Summary'!$BG$6:$BM$44,7,FALSE),R1415)</f>
        <v>9.5517489384447818E-2</v>
      </c>
      <c r="S1414" s="53">
        <f>IFERROR(VLOOKUP(B1414,'Pre-Summary'!$BG$6:$BM$44,6,FALSE),S1415)</f>
        <v>8.6010874938220475E-2</v>
      </c>
      <c r="T1414" s="45" t="str">
        <f>IFERROR(VLOOKUP(B1414,'Pre-Summary'!$Y$6:$AC$83, 3,FALSE),"")</f>
        <v/>
      </c>
      <c r="U1414" s="45" t="str">
        <f>IFERROR(VLOOKUP(B1414,'Pre-Summary'!$Y$6:$AC$83, 4,FALSE),"")</f>
        <v/>
      </c>
      <c r="V1414" t="str">
        <f>IFERROR(VLOOKUP(B1414,'Pre-Summary'!$Y$6:$AC$83, 5,FALSE),"")</f>
        <v/>
      </c>
      <c r="W1414" s="45" t="str">
        <f>IFERROR(VLOOKUP(B1414,'Pre-Summary'!$Y$6:$AD$83,6,FALSE),"")</f>
        <v/>
      </c>
      <c r="X1414" t="str">
        <f>IFERROR(VLOOKUP('Pre-Summary'!$DB$6:$DD$63,3,FALSE),"")</f>
        <v/>
      </c>
      <c r="Y1414" t="str">
        <f>IFERROR(VLOOKUP(B1414,'Pre-Summary'!$CR$6:$CT$36,3,FALSE),"")</f>
        <v/>
      </c>
      <c r="Z1414" s="45" t="str">
        <f>IFERROR(VLOOKUP(B1414,'Pre-Summary'!$BZ$6:$CB$63,2,FALSE),"")</f>
        <v/>
      </c>
      <c r="AA1414" s="45" t="str">
        <f>IFERROR(VLOOKUP(B1414,'Pre-Summary'!$CG$6:$CI$70,2,FALSE),"")</f>
        <v/>
      </c>
      <c r="AB1414" s="99">
        <f>IFERROR(VLOOKUP(B1414,'Pre-Summary'!$A$6:$P$178,9,FALSE),AB1415)</f>
        <v>0.26243021266793065</v>
      </c>
      <c r="AC1414" s="10">
        <f>IFERROR(VLOOKUP(Summary!B1414,'Pre-Summary'!$A$6:$P$184,5, FALSE)/100,AC1415)</f>
        <v>0.98266966666666677</v>
      </c>
      <c r="AD1414" s="10">
        <f>IFERROR(VLOOKUP(Summary!B1414,'Pre-Summary'!$A$6:$P$184,3, FALSE)/100,AD1415)</f>
        <v>9.9173333333333318E-3</v>
      </c>
      <c r="AE1414" s="10">
        <f>IFERROR(VLOOKUP(Summary!B1414,'Pre-Summary'!$A$6:$P$184,7, FALSE)/100,AE1415)</f>
        <v>7.4129999999999995E-3</v>
      </c>
      <c r="AF1414" s="99">
        <f t="shared" si="67"/>
        <v>2.6026078957654239E-3</v>
      </c>
      <c r="AG1414" s="99">
        <f t="shared" si="68"/>
        <v>1.9453951665073697E-3</v>
      </c>
      <c r="AH1414" s="10" t="str">
        <f>IFERROR(VLOOKUP(B1414,'Pre-Summary'!$AZ$6:$BE$65,3,FALSE),"")</f>
        <v/>
      </c>
      <c r="AI1414" s="10" t="str">
        <f>IFERROR(VLOOKUP(B1414,'Pre-Summary'!$AZ$6:$BE$65,5,FALSE),"")</f>
        <v/>
      </c>
      <c r="AJ1414" s="10" t="str">
        <f>IFERROR(VLOOKUP(B1414,'Pre-Summary'!$AZ$6:$BE$65,4,FALSE),"")</f>
        <v/>
      </c>
      <c r="AK1414" s="10" t="str">
        <f>IFERROR(VLOOKUP(B1414,'Pre-Summary'!$AZ$6:$BE$65,6,FALSE),"")</f>
        <v/>
      </c>
      <c r="AL1414" s="10" t="str">
        <f>IFERROR(VLOOKUP(B1414,'Pre-Summary'!$BG$6:$BL$44,3,FALSE),"")</f>
        <v/>
      </c>
      <c r="AM1414" s="10" t="str">
        <f>IFERROR(VLOOKUP(B1414,'Pre-Summary'!$BG$6:$BL$44,4,FALSE),"")</f>
        <v/>
      </c>
    </row>
    <row r="1415" spans="2:39" ht="15" customHeight="1" x14ac:dyDescent="0.3">
      <c r="B1415">
        <v>141.19999999999999</v>
      </c>
      <c r="C1415" t="str">
        <f>IFERROR(VLOOKUP(B1415,'Pre-Summary'!$DI$6:$DM$23,4,FALSE),"")</f>
        <v/>
      </c>
      <c r="D1415" s="10" t="str">
        <f>IFERROR(VLOOKUP(B1415,'Pre-Summary'!$AT$6:$AX$14,5,FALSE),D1414)</f>
        <v xml:space="preserve">Wolfe v1: put in modified wolfe + EDTA </v>
      </c>
      <c r="E1415" s="10" t="str">
        <f>IFERROR(VLOOKUP(B1415,'Pre-Summary'!$AT$6:$AX$15,4,FALSE),"")</f>
        <v/>
      </c>
      <c r="F1415">
        <f>IFERROR(VLOOKUP(B1415,'Pre-Summary'!$AL$6:$AQ$13,6,FALSE),F1414)</f>
        <v>5.3897368421052638E-2</v>
      </c>
      <c r="G1415" t="str">
        <f>IFERROR(VLOOKUP(B1415,'Pre-Summary'!$AE$6:$AJ$85,3,FALSE),"")</f>
        <v/>
      </c>
      <c r="H1415" t="str">
        <f>IFERROR(VLOOKUP(B1415,'Pre-Summary'!$AE$6:$AJ$85,4,FALSE),"")</f>
        <v/>
      </c>
      <c r="I1415" t="str">
        <f>IFERROR(VLOOKUP(B1415,'Pre-Summary'!$AE$6:$AJ$85,5,FALSE),"")</f>
        <v/>
      </c>
      <c r="J1415" s="45" t="str">
        <f>IFERROR(VLOOKUP(B1415,'Pre-Summary'!$AE$6:$AJ$85,6, FALSE),"")</f>
        <v/>
      </c>
      <c r="K1415" s="45" t="str">
        <f>IFERROR(VLOOKUP(B1415,'Pre-Summary'!$DE$6:$DG$61,3,FALSE),"")</f>
        <v/>
      </c>
      <c r="L1415" s="45" t="str">
        <f>IFERROR(VLOOKUP(B1415,'Pre-Summary'!$CU$6:$CW$36,3,FALSE),"")</f>
        <v/>
      </c>
      <c r="M1415" s="45" t="str">
        <f>IFERROR(VLOOKUP(B1415,'Pre-Summary'!$BW$6:$BY$58,2,FALSE),"")</f>
        <v/>
      </c>
      <c r="N1415" s="45" t="str">
        <f>IFERROR(VLOOKUP(B1415,'Pre-Summary'!$CD$6:$CF$64,2,FALSE),"")</f>
        <v/>
      </c>
      <c r="O1415" s="99">
        <f>IFERROR(VLOOKUP(B1415,'Pre-Summary'!$BO$6:$BQ$48,3, FALSE),O1414)</f>
        <v>1.2</v>
      </c>
      <c r="P1415" s="99">
        <f>IFERROR(VLOOKUP(B1415,'Pre-Summary'!$BS$6:$BU$35,3,FALSE),P1414)</f>
        <v>0.3</v>
      </c>
      <c r="Q1415" s="54">
        <f t="shared" si="66"/>
        <v>4</v>
      </c>
      <c r="R1415" s="53">
        <f>IFERROR(VLOOKUP(B1415,'Pre-Summary'!$BG$6:$BM$44,7,FALSE),R1416)</f>
        <v>9.5517489384447818E-2</v>
      </c>
      <c r="S1415" s="53">
        <f>IFERROR(VLOOKUP(B1415,'Pre-Summary'!$BG$6:$BM$44,6,FALSE),S1416)</f>
        <v>8.6010874938220475E-2</v>
      </c>
      <c r="T1415" s="45" t="str">
        <f>IFERROR(VLOOKUP(B1415,'Pre-Summary'!$Y$6:$AC$83, 3,FALSE),"")</f>
        <v/>
      </c>
      <c r="U1415" s="45" t="str">
        <f>IFERROR(VLOOKUP(B1415,'Pre-Summary'!$Y$6:$AC$83, 4,FALSE),"")</f>
        <v/>
      </c>
      <c r="V1415" t="str">
        <f>IFERROR(VLOOKUP(B1415,'Pre-Summary'!$Y$6:$AC$83, 5,FALSE),"")</f>
        <v/>
      </c>
      <c r="W1415" s="45" t="str">
        <f>IFERROR(VLOOKUP(B1415,'Pre-Summary'!$Y$6:$AD$83,6,FALSE),"")</f>
        <v/>
      </c>
      <c r="X1415" t="str">
        <f>IFERROR(VLOOKUP('Pre-Summary'!$DB$6:$DD$63,3,FALSE),"")</f>
        <v/>
      </c>
      <c r="Y1415" t="str">
        <f>IFERROR(VLOOKUP(B1415,'Pre-Summary'!$CR$6:$CT$36,3,FALSE),"")</f>
        <v/>
      </c>
      <c r="Z1415" s="45" t="str">
        <f>IFERROR(VLOOKUP(B1415,'Pre-Summary'!$BZ$6:$CB$63,2,FALSE),"")</f>
        <v/>
      </c>
      <c r="AA1415" s="45" t="str">
        <f>IFERROR(VLOOKUP(B1415,'Pre-Summary'!$CG$6:$CI$70,2,FALSE),"")</f>
        <v/>
      </c>
      <c r="AB1415" s="99">
        <f>IFERROR(VLOOKUP(B1415,'Pre-Summary'!$A$6:$P$178,9,FALSE),AB1416)</f>
        <v>0.26243021266793065</v>
      </c>
      <c r="AC1415" s="10">
        <f>IFERROR(VLOOKUP(Summary!B1415,'Pre-Summary'!$A$6:$P$184,5, FALSE)/100,AC1416)</f>
        <v>0.98266966666666677</v>
      </c>
      <c r="AD1415" s="10">
        <f>IFERROR(VLOOKUP(Summary!B1415,'Pre-Summary'!$A$6:$P$184,3, FALSE)/100,AD1416)</f>
        <v>9.9173333333333318E-3</v>
      </c>
      <c r="AE1415" s="10">
        <f>IFERROR(VLOOKUP(Summary!B1415,'Pre-Summary'!$A$6:$P$184,7, FALSE)/100,AE1416)</f>
        <v>7.4129999999999995E-3</v>
      </c>
      <c r="AF1415" s="99">
        <f t="shared" si="67"/>
        <v>2.6026078957654239E-3</v>
      </c>
      <c r="AG1415" s="99">
        <f t="shared" si="68"/>
        <v>1.9453951665073697E-3</v>
      </c>
      <c r="AH1415" s="10" t="str">
        <f>IFERROR(VLOOKUP(B1415,'Pre-Summary'!$AZ$6:$BE$65,3,FALSE),"")</f>
        <v/>
      </c>
      <c r="AI1415" s="10" t="str">
        <f>IFERROR(VLOOKUP(B1415,'Pre-Summary'!$AZ$6:$BE$65,5,FALSE),"")</f>
        <v/>
      </c>
      <c r="AJ1415" s="10" t="str">
        <f>IFERROR(VLOOKUP(B1415,'Pre-Summary'!$AZ$6:$BE$65,4,FALSE),"")</f>
        <v/>
      </c>
      <c r="AK1415" s="10" t="str">
        <f>IFERROR(VLOOKUP(B1415,'Pre-Summary'!$AZ$6:$BE$65,6,FALSE),"")</f>
        <v/>
      </c>
      <c r="AL1415" s="10" t="str">
        <f>IFERROR(VLOOKUP(B1415,'Pre-Summary'!$BG$6:$BL$44,3,FALSE),"")</f>
        <v/>
      </c>
      <c r="AM1415" s="10" t="str">
        <f>IFERROR(VLOOKUP(B1415,'Pre-Summary'!$BG$6:$BL$44,4,FALSE),"")</f>
        <v/>
      </c>
    </row>
    <row r="1416" spans="2:39" ht="15" customHeight="1" x14ac:dyDescent="0.3">
      <c r="B1416">
        <v>141.30000000000001</v>
      </c>
      <c r="C1416" t="str">
        <f>IFERROR(VLOOKUP(B1416,'Pre-Summary'!$DI$6:$DM$23,4,FALSE),"")</f>
        <v/>
      </c>
      <c r="D1416" s="10" t="str">
        <f>IFERROR(VLOOKUP(B1416,'Pre-Summary'!$AT$6:$AX$14,5,FALSE),D1415)</f>
        <v xml:space="preserve">Wolfe v1: put in modified wolfe + EDTA </v>
      </c>
      <c r="E1416" s="10" t="str">
        <f>IFERROR(VLOOKUP(B1416,'Pre-Summary'!$AT$6:$AX$15,4,FALSE),"")</f>
        <v/>
      </c>
      <c r="F1416">
        <f>IFERROR(VLOOKUP(B1416,'Pre-Summary'!$AL$6:$AQ$13,6,FALSE),F1415)</f>
        <v>5.3897368421052638E-2</v>
      </c>
      <c r="G1416" t="str">
        <f>IFERROR(VLOOKUP(B1416,'Pre-Summary'!$AE$6:$AJ$85,3,FALSE),"")</f>
        <v/>
      </c>
      <c r="H1416" t="str">
        <f>IFERROR(VLOOKUP(B1416,'Pre-Summary'!$AE$6:$AJ$85,4,FALSE),"")</f>
        <v/>
      </c>
      <c r="I1416" t="str">
        <f>IFERROR(VLOOKUP(B1416,'Pre-Summary'!$AE$6:$AJ$85,5,FALSE),"")</f>
        <v/>
      </c>
      <c r="J1416" s="45" t="str">
        <f>IFERROR(VLOOKUP(B1416,'Pre-Summary'!$AE$6:$AJ$85,6, FALSE),"")</f>
        <v/>
      </c>
      <c r="K1416" s="45" t="str">
        <f>IFERROR(VLOOKUP(B1416,'Pre-Summary'!$DE$6:$DG$61,3,FALSE),"")</f>
        <v/>
      </c>
      <c r="L1416" s="45" t="str">
        <f>IFERROR(VLOOKUP(B1416,'Pre-Summary'!$CU$6:$CW$36,3,FALSE),"")</f>
        <v/>
      </c>
      <c r="M1416" s="45" t="str">
        <f>IFERROR(VLOOKUP(B1416,'Pre-Summary'!$BW$6:$BY$58,2,FALSE),"")</f>
        <v/>
      </c>
      <c r="N1416" s="45" t="str">
        <f>IFERROR(VLOOKUP(B1416,'Pre-Summary'!$CD$6:$CF$64,2,FALSE),"")</f>
        <v/>
      </c>
      <c r="O1416" s="99">
        <f>IFERROR(VLOOKUP(B1416,'Pre-Summary'!$BO$6:$BQ$48,3, FALSE),O1415)</f>
        <v>1.2</v>
      </c>
      <c r="P1416" s="99">
        <f>IFERROR(VLOOKUP(B1416,'Pre-Summary'!$BS$6:$BU$35,3,FALSE),P1415)</f>
        <v>0.3</v>
      </c>
      <c r="Q1416" s="54">
        <f t="shared" si="66"/>
        <v>4</v>
      </c>
      <c r="R1416" s="53">
        <f>IFERROR(VLOOKUP(B1416,'Pre-Summary'!$BG$6:$BM$44,7,FALSE),R1417)</f>
        <v>9.5517489384447818E-2</v>
      </c>
      <c r="S1416" s="53">
        <f>IFERROR(VLOOKUP(B1416,'Pre-Summary'!$BG$6:$BM$44,6,FALSE),S1417)</f>
        <v>8.6010874938220475E-2</v>
      </c>
      <c r="T1416" s="45" t="str">
        <f>IFERROR(VLOOKUP(B1416,'Pre-Summary'!$Y$6:$AC$83, 3,FALSE),"")</f>
        <v/>
      </c>
      <c r="U1416" s="45" t="str">
        <f>IFERROR(VLOOKUP(B1416,'Pre-Summary'!$Y$6:$AC$83, 4,FALSE),"")</f>
        <v/>
      </c>
      <c r="V1416" t="str">
        <f>IFERROR(VLOOKUP(B1416,'Pre-Summary'!$Y$6:$AC$83, 5,FALSE),"")</f>
        <v/>
      </c>
      <c r="W1416" s="45" t="str">
        <f>IFERROR(VLOOKUP(B1416,'Pre-Summary'!$Y$6:$AD$83,6,FALSE),"")</f>
        <v/>
      </c>
      <c r="X1416" t="str">
        <f>IFERROR(VLOOKUP('Pre-Summary'!$DB$6:$DD$63,3,FALSE),"")</f>
        <v/>
      </c>
      <c r="Y1416" t="str">
        <f>IFERROR(VLOOKUP(B1416,'Pre-Summary'!$CR$6:$CT$36,3,FALSE),"")</f>
        <v/>
      </c>
      <c r="Z1416" s="45" t="str">
        <f>IFERROR(VLOOKUP(B1416,'Pre-Summary'!$BZ$6:$CB$63,2,FALSE),"")</f>
        <v/>
      </c>
      <c r="AA1416" s="45" t="str">
        <f>IFERROR(VLOOKUP(B1416,'Pre-Summary'!$CG$6:$CI$70,2,FALSE),"")</f>
        <v/>
      </c>
      <c r="AB1416" s="99">
        <f>IFERROR(VLOOKUP(B1416,'Pre-Summary'!$A$6:$P$178,9,FALSE),AB1417)</f>
        <v>0.26243021266793065</v>
      </c>
      <c r="AC1416" s="10">
        <f>IFERROR(VLOOKUP(Summary!B1416,'Pre-Summary'!$A$6:$P$184,5, FALSE)/100,AC1417)</f>
        <v>0.98266966666666677</v>
      </c>
      <c r="AD1416" s="10">
        <f>IFERROR(VLOOKUP(Summary!B1416,'Pre-Summary'!$A$6:$P$184,3, FALSE)/100,AD1417)</f>
        <v>9.9173333333333318E-3</v>
      </c>
      <c r="AE1416" s="10">
        <f>IFERROR(VLOOKUP(Summary!B1416,'Pre-Summary'!$A$6:$P$184,7, FALSE)/100,AE1417)</f>
        <v>7.4129999999999995E-3</v>
      </c>
      <c r="AF1416" s="99">
        <f t="shared" si="67"/>
        <v>2.6026078957654239E-3</v>
      </c>
      <c r="AG1416" s="99">
        <f t="shared" si="68"/>
        <v>1.9453951665073697E-3</v>
      </c>
      <c r="AH1416" s="10" t="str">
        <f>IFERROR(VLOOKUP(B1416,'Pre-Summary'!$AZ$6:$BE$65,3,FALSE),"")</f>
        <v/>
      </c>
      <c r="AI1416" s="10" t="str">
        <f>IFERROR(VLOOKUP(B1416,'Pre-Summary'!$AZ$6:$BE$65,5,FALSE),"")</f>
        <v/>
      </c>
      <c r="AJ1416" s="10" t="str">
        <f>IFERROR(VLOOKUP(B1416,'Pre-Summary'!$AZ$6:$BE$65,4,FALSE),"")</f>
        <v/>
      </c>
      <c r="AK1416" s="10" t="str">
        <f>IFERROR(VLOOKUP(B1416,'Pre-Summary'!$AZ$6:$BE$65,6,FALSE),"")</f>
        <v/>
      </c>
      <c r="AL1416" s="10" t="str">
        <f>IFERROR(VLOOKUP(B1416,'Pre-Summary'!$BG$6:$BL$44,3,FALSE),"")</f>
        <v/>
      </c>
      <c r="AM1416" s="10" t="str">
        <f>IFERROR(VLOOKUP(B1416,'Pre-Summary'!$BG$6:$BL$44,4,FALSE),"")</f>
        <v/>
      </c>
    </row>
    <row r="1417" spans="2:39" ht="15" customHeight="1" x14ac:dyDescent="0.3">
      <c r="B1417">
        <v>141.4</v>
      </c>
      <c r="C1417" t="str">
        <f>IFERROR(VLOOKUP(B1417,'Pre-Summary'!$DI$6:$DM$23,4,FALSE),"")</f>
        <v/>
      </c>
      <c r="D1417" s="10" t="str">
        <f>IFERROR(VLOOKUP(B1417,'Pre-Summary'!$AT$6:$AX$14,5,FALSE),D1416)</f>
        <v xml:space="preserve">Wolfe v1: put in modified wolfe + EDTA </v>
      </c>
      <c r="E1417" s="10" t="str">
        <f>IFERROR(VLOOKUP(B1417,'Pre-Summary'!$AT$6:$AX$15,4,FALSE),"")</f>
        <v/>
      </c>
      <c r="F1417">
        <f>IFERROR(VLOOKUP(B1417,'Pre-Summary'!$AL$6:$AQ$13,6,FALSE),F1416)</f>
        <v>5.3897368421052638E-2</v>
      </c>
      <c r="G1417" t="str">
        <f>IFERROR(VLOOKUP(B1417,'Pre-Summary'!$AE$6:$AJ$85,3,FALSE),"")</f>
        <v/>
      </c>
      <c r="H1417" t="str">
        <f>IFERROR(VLOOKUP(B1417,'Pre-Summary'!$AE$6:$AJ$85,4,FALSE),"")</f>
        <v/>
      </c>
      <c r="I1417" t="str">
        <f>IFERROR(VLOOKUP(B1417,'Pre-Summary'!$AE$6:$AJ$85,5,FALSE),"")</f>
        <v/>
      </c>
      <c r="J1417" s="45" t="str">
        <f>IFERROR(VLOOKUP(B1417,'Pre-Summary'!$AE$6:$AJ$85,6, FALSE),"")</f>
        <v/>
      </c>
      <c r="K1417" s="45" t="str">
        <f>IFERROR(VLOOKUP(B1417,'Pre-Summary'!$DE$6:$DG$61,3,FALSE),"")</f>
        <v/>
      </c>
      <c r="L1417" s="45" t="str">
        <f>IFERROR(VLOOKUP(B1417,'Pre-Summary'!$CU$6:$CW$36,3,FALSE),"")</f>
        <v/>
      </c>
      <c r="M1417" s="45" t="str">
        <f>IFERROR(VLOOKUP(B1417,'Pre-Summary'!$BW$6:$BY$58,2,FALSE),"")</f>
        <v/>
      </c>
      <c r="N1417" s="45" t="str">
        <f>IFERROR(VLOOKUP(B1417,'Pre-Summary'!$CD$6:$CF$64,2,FALSE),"")</f>
        <v/>
      </c>
      <c r="O1417" s="99">
        <f>IFERROR(VLOOKUP(B1417,'Pre-Summary'!$BO$6:$BQ$48,3, FALSE),O1416)</f>
        <v>1.2</v>
      </c>
      <c r="P1417" s="99">
        <f>IFERROR(VLOOKUP(B1417,'Pre-Summary'!$BS$6:$BU$35,3,FALSE),P1416)</f>
        <v>0.3</v>
      </c>
      <c r="Q1417" s="54">
        <f t="shared" si="66"/>
        <v>4</v>
      </c>
      <c r="R1417" s="53">
        <f>IFERROR(VLOOKUP(B1417,'Pre-Summary'!$BG$6:$BM$44,7,FALSE),R1418)</f>
        <v>9.5517489384447818E-2</v>
      </c>
      <c r="S1417" s="53">
        <f>IFERROR(VLOOKUP(B1417,'Pre-Summary'!$BG$6:$BM$44,6,FALSE),S1418)</f>
        <v>8.6010874938220475E-2</v>
      </c>
      <c r="T1417" s="45" t="str">
        <f>IFERROR(VLOOKUP(B1417,'Pre-Summary'!$Y$6:$AC$83, 3,FALSE),"")</f>
        <v/>
      </c>
      <c r="U1417" s="45" t="str">
        <f>IFERROR(VLOOKUP(B1417,'Pre-Summary'!$Y$6:$AC$83, 4,FALSE),"")</f>
        <v/>
      </c>
      <c r="V1417" t="str">
        <f>IFERROR(VLOOKUP(B1417,'Pre-Summary'!$Y$6:$AC$83, 5,FALSE),"")</f>
        <v/>
      </c>
      <c r="W1417" s="45" t="str">
        <f>IFERROR(VLOOKUP(B1417,'Pre-Summary'!$Y$6:$AD$83,6,FALSE),"")</f>
        <v/>
      </c>
      <c r="X1417" t="str">
        <f>IFERROR(VLOOKUP('Pre-Summary'!$DB$6:$DD$63,3,FALSE),"")</f>
        <v/>
      </c>
      <c r="Y1417" t="str">
        <f>IFERROR(VLOOKUP(B1417,'Pre-Summary'!$CR$6:$CT$36,3,FALSE),"")</f>
        <v/>
      </c>
      <c r="Z1417" s="45" t="str">
        <f>IFERROR(VLOOKUP(B1417,'Pre-Summary'!$BZ$6:$CB$63,2,FALSE),"")</f>
        <v/>
      </c>
      <c r="AA1417" s="45" t="str">
        <f>IFERROR(VLOOKUP(B1417,'Pre-Summary'!$CG$6:$CI$70,2,FALSE),"")</f>
        <v/>
      </c>
      <c r="AB1417" s="99">
        <f>IFERROR(VLOOKUP(B1417,'Pre-Summary'!$A$6:$P$178,9,FALSE),AB1418)</f>
        <v>0.26243021266793065</v>
      </c>
      <c r="AC1417" s="10">
        <f>IFERROR(VLOOKUP(Summary!B1417,'Pre-Summary'!$A$6:$P$184,5, FALSE)/100,AC1418)</f>
        <v>0.98266966666666677</v>
      </c>
      <c r="AD1417" s="10">
        <f>IFERROR(VLOOKUP(Summary!B1417,'Pre-Summary'!$A$6:$P$184,3, FALSE)/100,AD1418)</f>
        <v>9.9173333333333318E-3</v>
      </c>
      <c r="AE1417" s="10">
        <f>IFERROR(VLOOKUP(Summary!B1417,'Pre-Summary'!$A$6:$P$184,7, FALSE)/100,AE1418)</f>
        <v>7.4129999999999995E-3</v>
      </c>
      <c r="AF1417" s="99">
        <f t="shared" si="67"/>
        <v>2.6026078957654239E-3</v>
      </c>
      <c r="AG1417" s="99">
        <f t="shared" si="68"/>
        <v>1.9453951665073697E-3</v>
      </c>
      <c r="AH1417" s="10" t="str">
        <f>IFERROR(VLOOKUP(B1417,'Pre-Summary'!$AZ$6:$BE$65,3,FALSE),"")</f>
        <v/>
      </c>
      <c r="AI1417" s="10" t="str">
        <f>IFERROR(VLOOKUP(B1417,'Pre-Summary'!$AZ$6:$BE$65,5,FALSE),"")</f>
        <v/>
      </c>
      <c r="AJ1417" s="10" t="str">
        <f>IFERROR(VLOOKUP(B1417,'Pre-Summary'!$AZ$6:$BE$65,4,FALSE),"")</f>
        <v/>
      </c>
      <c r="AK1417" s="10" t="str">
        <f>IFERROR(VLOOKUP(B1417,'Pre-Summary'!$AZ$6:$BE$65,6,FALSE),"")</f>
        <v/>
      </c>
      <c r="AL1417" s="10" t="str">
        <f>IFERROR(VLOOKUP(B1417,'Pre-Summary'!$BG$6:$BL$44,3,FALSE),"")</f>
        <v/>
      </c>
      <c r="AM1417" s="10" t="str">
        <f>IFERROR(VLOOKUP(B1417,'Pre-Summary'!$BG$6:$BL$44,4,FALSE),"")</f>
        <v/>
      </c>
    </row>
    <row r="1418" spans="2:39" ht="15" customHeight="1" x14ac:dyDescent="0.3">
      <c r="B1418">
        <v>141.5</v>
      </c>
      <c r="C1418" t="str">
        <f>IFERROR(VLOOKUP(B1418,'Pre-Summary'!$DI$6:$DM$23,4,FALSE),"")</f>
        <v/>
      </c>
      <c r="D1418" s="10" t="str">
        <f>IFERROR(VLOOKUP(B1418,'Pre-Summary'!$AT$6:$AX$14,5,FALSE),D1417)</f>
        <v xml:space="preserve">Wolfe v1: put in modified wolfe + EDTA </v>
      </c>
      <c r="E1418" s="10" t="str">
        <f>IFERROR(VLOOKUP(B1418,'Pre-Summary'!$AT$6:$AX$15,4,FALSE),"")</f>
        <v/>
      </c>
      <c r="F1418">
        <f>IFERROR(VLOOKUP(B1418,'Pre-Summary'!$AL$6:$AQ$13,6,FALSE),F1417)</f>
        <v>5.3897368421052638E-2</v>
      </c>
      <c r="G1418" t="str">
        <f>IFERROR(VLOOKUP(B1418,'Pre-Summary'!$AE$6:$AJ$85,3,FALSE),"")</f>
        <v/>
      </c>
      <c r="H1418" t="str">
        <f>IFERROR(VLOOKUP(B1418,'Pre-Summary'!$AE$6:$AJ$85,4,FALSE),"")</f>
        <v/>
      </c>
      <c r="I1418" t="str">
        <f>IFERROR(VLOOKUP(B1418,'Pre-Summary'!$AE$6:$AJ$85,5,FALSE),"")</f>
        <v/>
      </c>
      <c r="J1418" s="45" t="str">
        <f>IFERROR(VLOOKUP(B1418,'Pre-Summary'!$AE$6:$AJ$85,6, FALSE),"")</f>
        <v/>
      </c>
      <c r="K1418" s="45" t="str">
        <f>IFERROR(VLOOKUP(B1418,'Pre-Summary'!$DE$6:$DG$61,3,FALSE),"")</f>
        <v/>
      </c>
      <c r="L1418" s="45" t="str">
        <f>IFERROR(VLOOKUP(B1418,'Pre-Summary'!$CU$6:$CW$36,3,FALSE),"")</f>
        <v/>
      </c>
      <c r="M1418" s="45" t="str">
        <f>IFERROR(VLOOKUP(B1418,'Pre-Summary'!$BW$6:$BY$58,2,FALSE),"")</f>
        <v/>
      </c>
      <c r="N1418" s="45">
        <f>IFERROR(VLOOKUP(B1418,'Pre-Summary'!$CD$6:$CF$64,2,FALSE),"")</f>
        <v>102.6317193642208</v>
      </c>
      <c r="O1418" s="99">
        <f>IFERROR(VLOOKUP(B1418,'Pre-Summary'!$BO$6:$BQ$48,3, FALSE),O1417)</f>
        <v>1.2</v>
      </c>
      <c r="P1418" s="99">
        <f>IFERROR(VLOOKUP(B1418,'Pre-Summary'!$BS$6:$BU$35,3,FALSE),P1417)</f>
        <v>0.3</v>
      </c>
      <c r="Q1418" s="54">
        <f t="shared" si="66"/>
        <v>4</v>
      </c>
      <c r="R1418" s="53">
        <f>IFERROR(VLOOKUP(B1418,'Pre-Summary'!$BG$6:$BM$44,7,FALSE),R1419)</f>
        <v>9.5517489384447818E-2</v>
      </c>
      <c r="S1418" s="53">
        <f>IFERROR(VLOOKUP(B1418,'Pre-Summary'!$BG$6:$BM$44,6,FALSE),S1419)</f>
        <v>8.6010874938220475E-2</v>
      </c>
      <c r="T1418" s="45" t="str">
        <f>IFERROR(VLOOKUP(B1418,'Pre-Summary'!$Y$6:$AC$83, 3,FALSE),"")</f>
        <v/>
      </c>
      <c r="U1418" s="45" t="str">
        <f>IFERROR(VLOOKUP(B1418,'Pre-Summary'!$Y$6:$AC$83, 4,FALSE),"")</f>
        <v/>
      </c>
      <c r="V1418" t="str">
        <f>IFERROR(VLOOKUP(B1418,'Pre-Summary'!$Y$6:$AC$83, 5,FALSE),"")</f>
        <v/>
      </c>
      <c r="W1418" s="45" t="str">
        <f>IFERROR(VLOOKUP(B1418,'Pre-Summary'!$Y$6:$AD$83,6,FALSE),"")</f>
        <v/>
      </c>
      <c r="X1418" t="str">
        <f>IFERROR(VLOOKUP('Pre-Summary'!$DB$6:$DD$63,3,FALSE),"")</f>
        <v/>
      </c>
      <c r="Y1418" t="str">
        <f>IFERROR(VLOOKUP(B1418,'Pre-Summary'!$CR$6:$CT$36,3,FALSE),"")</f>
        <v/>
      </c>
      <c r="Z1418" s="45" t="str">
        <f>IFERROR(VLOOKUP(B1418,'Pre-Summary'!$BZ$6:$CB$63,2,FALSE),"")</f>
        <v/>
      </c>
      <c r="AA1418" s="45" t="str">
        <f>IFERROR(VLOOKUP(B1418,'Pre-Summary'!$CG$6:$CI$70,2,FALSE),"")</f>
        <v/>
      </c>
      <c r="AB1418" s="99">
        <f>IFERROR(VLOOKUP(B1418,'Pre-Summary'!$A$6:$P$178,9,FALSE),AB1419)</f>
        <v>0.26243021266793065</v>
      </c>
      <c r="AC1418" s="10">
        <f>IFERROR(VLOOKUP(Summary!B1418,'Pre-Summary'!$A$6:$P$184,5, FALSE)/100,AC1419)</f>
        <v>0.98266966666666677</v>
      </c>
      <c r="AD1418" s="10">
        <f>IFERROR(VLOOKUP(Summary!B1418,'Pre-Summary'!$A$6:$P$184,3, FALSE)/100,AD1419)</f>
        <v>9.9173333333333318E-3</v>
      </c>
      <c r="AE1418" s="10">
        <f>IFERROR(VLOOKUP(Summary!B1418,'Pre-Summary'!$A$6:$P$184,7, FALSE)/100,AE1419)</f>
        <v>7.4129999999999995E-3</v>
      </c>
      <c r="AF1418" s="99">
        <f t="shared" si="67"/>
        <v>2.6026078957654239E-3</v>
      </c>
      <c r="AG1418" s="99">
        <f t="shared" si="68"/>
        <v>1.9453951665073697E-3</v>
      </c>
      <c r="AH1418" s="10" t="str">
        <f>IFERROR(VLOOKUP(B1418,'Pre-Summary'!$AZ$6:$BE$65,3,FALSE),"")</f>
        <v/>
      </c>
      <c r="AI1418" s="10" t="str">
        <f>IFERROR(VLOOKUP(B1418,'Pre-Summary'!$AZ$6:$BE$65,5,FALSE),"")</f>
        <v/>
      </c>
      <c r="AJ1418" s="10" t="str">
        <f>IFERROR(VLOOKUP(B1418,'Pre-Summary'!$AZ$6:$BE$65,4,FALSE),"")</f>
        <v/>
      </c>
      <c r="AK1418" s="10" t="str">
        <f>IFERROR(VLOOKUP(B1418,'Pre-Summary'!$AZ$6:$BE$65,6,FALSE),"")</f>
        <v/>
      </c>
      <c r="AL1418" s="10" t="str">
        <f>IFERROR(VLOOKUP(B1418,'Pre-Summary'!$BG$6:$BL$44,3,FALSE),"")</f>
        <v/>
      </c>
      <c r="AM1418" s="10" t="str">
        <f>IFERROR(VLOOKUP(B1418,'Pre-Summary'!$BG$6:$BL$44,4,FALSE),"")</f>
        <v/>
      </c>
    </row>
    <row r="1419" spans="2:39" ht="15" customHeight="1" x14ac:dyDescent="0.3">
      <c r="B1419">
        <v>141.6</v>
      </c>
      <c r="C1419" t="str">
        <f>IFERROR(VLOOKUP(B1419,'Pre-Summary'!$DI$6:$DM$23,4,FALSE),"")</f>
        <v/>
      </c>
      <c r="D1419" s="10" t="str">
        <f>IFERROR(VLOOKUP(B1419,'Pre-Summary'!$AT$6:$AX$14,5,FALSE),D1418)</f>
        <v xml:space="preserve">Wolfe v1: put in modified wolfe + EDTA </v>
      </c>
      <c r="E1419" s="10" t="str">
        <f>IFERROR(VLOOKUP(B1419,'Pre-Summary'!$AT$6:$AX$15,4,FALSE),"")</f>
        <v/>
      </c>
      <c r="F1419">
        <f>IFERROR(VLOOKUP(B1419,'Pre-Summary'!$AL$6:$AQ$13,6,FALSE),F1418)</f>
        <v>5.3897368421052638E-2</v>
      </c>
      <c r="G1419" t="str">
        <f>IFERROR(VLOOKUP(B1419,'Pre-Summary'!$AE$6:$AJ$85,3,FALSE),"")</f>
        <v/>
      </c>
      <c r="H1419" t="str">
        <f>IFERROR(VLOOKUP(B1419,'Pre-Summary'!$AE$6:$AJ$85,4,FALSE),"")</f>
        <v/>
      </c>
      <c r="I1419" t="str">
        <f>IFERROR(VLOOKUP(B1419,'Pre-Summary'!$AE$6:$AJ$85,5,FALSE),"")</f>
        <v/>
      </c>
      <c r="J1419" s="45" t="str">
        <f>IFERROR(VLOOKUP(B1419,'Pre-Summary'!$AE$6:$AJ$85,6, FALSE),"")</f>
        <v/>
      </c>
      <c r="K1419" s="45" t="str">
        <f>IFERROR(VLOOKUP(B1419,'Pre-Summary'!$DE$6:$DG$61,3,FALSE),"")</f>
        <v/>
      </c>
      <c r="L1419" s="45" t="str">
        <f>IFERROR(VLOOKUP(B1419,'Pre-Summary'!$CU$6:$CW$36,3,FALSE),"")</f>
        <v/>
      </c>
      <c r="M1419" s="45" t="str">
        <f>IFERROR(VLOOKUP(B1419,'Pre-Summary'!$BW$6:$BY$58,2,FALSE),"")</f>
        <v/>
      </c>
      <c r="N1419" s="45" t="str">
        <f>IFERROR(VLOOKUP(B1419,'Pre-Summary'!$CD$6:$CF$64,2,FALSE),"")</f>
        <v/>
      </c>
      <c r="O1419" s="99">
        <f>IFERROR(VLOOKUP(B1419,'Pre-Summary'!$BO$6:$BQ$48,3, FALSE),O1418)</f>
        <v>1.2</v>
      </c>
      <c r="P1419" s="99">
        <f>IFERROR(VLOOKUP(B1419,'Pre-Summary'!$BS$6:$BU$35,3,FALSE),P1418)</f>
        <v>0.3</v>
      </c>
      <c r="Q1419" s="54">
        <f t="shared" si="66"/>
        <v>4</v>
      </c>
      <c r="R1419" s="53">
        <f>IFERROR(VLOOKUP(B1419,'Pre-Summary'!$BG$6:$BM$44,7,FALSE),R1420)</f>
        <v>9.5517489384447818E-2</v>
      </c>
      <c r="S1419" s="53">
        <f>IFERROR(VLOOKUP(B1419,'Pre-Summary'!$BG$6:$BM$44,6,FALSE),S1420)</f>
        <v>8.6010874938220475E-2</v>
      </c>
      <c r="T1419" s="45" t="str">
        <f>IFERROR(VLOOKUP(B1419,'Pre-Summary'!$Y$6:$AC$83, 3,FALSE),"")</f>
        <v/>
      </c>
      <c r="U1419" s="45" t="str">
        <f>IFERROR(VLOOKUP(B1419,'Pre-Summary'!$Y$6:$AC$83, 4,FALSE),"")</f>
        <v/>
      </c>
      <c r="V1419" t="str">
        <f>IFERROR(VLOOKUP(B1419,'Pre-Summary'!$Y$6:$AC$83, 5,FALSE),"")</f>
        <v/>
      </c>
      <c r="W1419" s="45" t="str">
        <f>IFERROR(VLOOKUP(B1419,'Pre-Summary'!$Y$6:$AD$83,6,FALSE),"")</f>
        <v/>
      </c>
      <c r="X1419" t="str">
        <f>IFERROR(VLOOKUP('Pre-Summary'!$DB$6:$DD$63,3,FALSE),"")</f>
        <v/>
      </c>
      <c r="Y1419" t="str">
        <f>IFERROR(VLOOKUP(B1419,'Pre-Summary'!$CR$6:$CT$36,3,FALSE),"")</f>
        <v/>
      </c>
      <c r="Z1419" s="45" t="str">
        <f>IFERROR(VLOOKUP(B1419,'Pre-Summary'!$BZ$6:$CB$63,2,FALSE),"")</f>
        <v/>
      </c>
      <c r="AA1419" s="45" t="str">
        <f>IFERROR(VLOOKUP(B1419,'Pre-Summary'!$CG$6:$CI$70,2,FALSE),"")</f>
        <v/>
      </c>
      <c r="AB1419" s="99">
        <f>IFERROR(VLOOKUP(B1419,'Pre-Summary'!$A$6:$P$178,9,FALSE),AB1420)</f>
        <v>0.26243021266793065</v>
      </c>
      <c r="AC1419" s="10">
        <f>IFERROR(VLOOKUP(Summary!B1419,'Pre-Summary'!$A$6:$P$184,5, FALSE)/100,AC1420)</f>
        <v>0.98266966666666677</v>
      </c>
      <c r="AD1419" s="10">
        <f>IFERROR(VLOOKUP(Summary!B1419,'Pre-Summary'!$A$6:$P$184,3, FALSE)/100,AD1420)</f>
        <v>9.9173333333333318E-3</v>
      </c>
      <c r="AE1419" s="10">
        <f>IFERROR(VLOOKUP(Summary!B1419,'Pre-Summary'!$A$6:$P$184,7, FALSE)/100,AE1420)</f>
        <v>7.4129999999999995E-3</v>
      </c>
      <c r="AF1419" s="99">
        <f t="shared" si="67"/>
        <v>2.6026078957654239E-3</v>
      </c>
      <c r="AG1419" s="99">
        <f t="shared" si="68"/>
        <v>1.9453951665073697E-3</v>
      </c>
      <c r="AH1419" s="10" t="str">
        <f>IFERROR(VLOOKUP(B1419,'Pre-Summary'!$AZ$6:$BE$65,3,FALSE),"")</f>
        <v/>
      </c>
      <c r="AI1419" s="10" t="str">
        <f>IFERROR(VLOOKUP(B1419,'Pre-Summary'!$AZ$6:$BE$65,5,FALSE),"")</f>
        <v/>
      </c>
      <c r="AJ1419" s="10" t="str">
        <f>IFERROR(VLOOKUP(B1419,'Pre-Summary'!$AZ$6:$BE$65,4,FALSE),"")</f>
        <v/>
      </c>
      <c r="AK1419" s="10" t="str">
        <f>IFERROR(VLOOKUP(B1419,'Pre-Summary'!$AZ$6:$BE$65,6,FALSE),"")</f>
        <v/>
      </c>
      <c r="AL1419" s="10" t="str">
        <f>IFERROR(VLOOKUP(B1419,'Pre-Summary'!$BG$6:$BL$44,3,FALSE),"")</f>
        <v/>
      </c>
      <c r="AM1419" s="10" t="str">
        <f>IFERROR(VLOOKUP(B1419,'Pre-Summary'!$BG$6:$BL$44,4,FALSE),"")</f>
        <v/>
      </c>
    </row>
    <row r="1420" spans="2:39" ht="15" customHeight="1" x14ac:dyDescent="0.3">
      <c r="B1420">
        <v>141.69999999999999</v>
      </c>
      <c r="C1420" t="str">
        <f>IFERROR(VLOOKUP(B1420,'Pre-Summary'!$DI$6:$DM$23,4,FALSE),"")</f>
        <v/>
      </c>
      <c r="D1420" s="10" t="str">
        <f>IFERROR(VLOOKUP(B1420,'Pre-Summary'!$AT$6:$AX$14,5,FALSE),D1419)</f>
        <v xml:space="preserve">Wolfe v1: put in modified wolfe + EDTA </v>
      </c>
      <c r="E1420" s="10" t="str">
        <f>IFERROR(VLOOKUP(B1420,'Pre-Summary'!$AT$6:$AX$15,4,FALSE),"")</f>
        <v/>
      </c>
      <c r="F1420">
        <f>IFERROR(VLOOKUP(B1420,'Pre-Summary'!$AL$6:$AQ$13,6,FALSE),F1419)</f>
        <v>5.3897368421052638E-2</v>
      </c>
      <c r="G1420" t="str">
        <f>IFERROR(VLOOKUP(B1420,'Pre-Summary'!$AE$6:$AJ$85,3,FALSE),"")</f>
        <v/>
      </c>
      <c r="H1420" t="str">
        <f>IFERROR(VLOOKUP(B1420,'Pre-Summary'!$AE$6:$AJ$85,4,FALSE),"")</f>
        <v/>
      </c>
      <c r="I1420" t="str">
        <f>IFERROR(VLOOKUP(B1420,'Pre-Summary'!$AE$6:$AJ$85,5,FALSE),"")</f>
        <v/>
      </c>
      <c r="J1420" s="45" t="str">
        <f>IFERROR(VLOOKUP(B1420,'Pre-Summary'!$AE$6:$AJ$85,6, FALSE),"")</f>
        <v/>
      </c>
      <c r="K1420" s="45" t="str">
        <f>IFERROR(VLOOKUP(B1420,'Pre-Summary'!$DE$6:$DG$61,3,FALSE),"")</f>
        <v/>
      </c>
      <c r="L1420" s="45" t="str">
        <f>IFERROR(VLOOKUP(B1420,'Pre-Summary'!$CU$6:$CW$36,3,FALSE),"")</f>
        <v/>
      </c>
      <c r="M1420" s="45" t="str">
        <f>IFERROR(VLOOKUP(B1420,'Pre-Summary'!$BW$6:$BY$58,2,FALSE),"")</f>
        <v/>
      </c>
      <c r="N1420" s="45" t="str">
        <f>IFERROR(VLOOKUP(B1420,'Pre-Summary'!$CD$6:$CF$64,2,FALSE),"")</f>
        <v/>
      </c>
      <c r="O1420" s="99">
        <f>IFERROR(VLOOKUP(B1420,'Pre-Summary'!$BO$6:$BQ$48,3, FALSE),O1419)</f>
        <v>1.2</v>
      </c>
      <c r="P1420" s="99">
        <f>IFERROR(VLOOKUP(B1420,'Pre-Summary'!$BS$6:$BU$35,3,FALSE),P1419)</f>
        <v>0.3</v>
      </c>
      <c r="Q1420" s="54">
        <f t="shared" si="66"/>
        <v>4</v>
      </c>
      <c r="R1420" s="53">
        <f>IFERROR(VLOOKUP(B1420,'Pre-Summary'!$BG$6:$BM$44,7,FALSE),R1421)</f>
        <v>9.5517489384447818E-2</v>
      </c>
      <c r="S1420" s="53">
        <f>IFERROR(VLOOKUP(B1420,'Pre-Summary'!$BG$6:$BM$44,6,FALSE),S1421)</f>
        <v>8.6010874938220475E-2</v>
      </c>
      <c r="T1420" s="45" t="str">
        <f>IFERROR(VLOOKUP(B1420,'Pre-Summary'!$Y$6:$AC$83, 3,FALSE),"")</f>
        <v/>
      </c>
      <c r="U1420" s="45" t="str">
        <f>IFERROR(VLOOKUP(B1420,'Pre-Summary'!$Y$6:$AC$83, 4,FALSE),"")</f>
        <v/>
      </c>
      <c r="V1420" t="str">
        <f>IFERROR(VLOOKUP(B1420,'Pre-Summary'!$Y$6:$AC$83, 5,FALSE),"")</f>
        <v/>
      </c>
      <c r="W1420" s="45" t="str">
        <f>IFERROR(VLOOKUP(B1420,'Pre-Summary'!$Y$6:$AD$83,6,FALSE),"")</f>
        <v/>
      </c>
      <c r="X1420" t="str">
        <f>IFERROR(VLOOKUP('Pre-Summary'!$DB$6:$DD$63,3,FALSE),"")</f>
        <v/>
      </c>
      <c r="Y1420" t="str">
        <f>IFERROR(VLOOKUP(B1420,'Pre-Summary'!$CR$6:$CT$36,3,FALSE),"")</f>
        <v/>
      </c>
      <c r="Z1420" s="45" t="str">
        <f>IFERROR(VLOOKUP(B1420,'Pre-Summary'!$BZ$6:$CB$63,2,FALSE),"")</f>
        <v/>
      </c>
      <c r="AA1420" s="45" t="str">
        <f>IFERROR(VLOOKUP(B1420,'Pre-Summary'!$CG$6:$CI$70,2,FALSE),"")</f>
        <v/>
      </c>
      <c r="AB1420" s="99">
        <f>IFERROR(VLOOKUP(B1420,'Pre-Summary'!$A$6:$P$178,9,FALSE),AB1421)</f>
        <v>0.26243021266793065</v>
      </c>
      <c r="AC1420" s="10">
        <f>IFERROR(VLOOKUP(Summary!B1420,'Pre-Summary'!$A$6:$P$184,5, FALSE)/100,AC1421)</f>
        <v>0.98266966666666677</v>
      </c>
      <c r="AD1420" s="10">
        <f>IFERROR(VLOOKUP(Summary!B1420,'Pre-Summary'!$A$6:$P$184,3, FALSE)/100,AD1421)</f>
        <v>9.9173333333333318E-3</v>
      </c>
      <c r="AE1420" s="10">
        <f>IFERROR(VLOOKUP(Summary!B1420,'Pre-Summary'!$A$6:$P$184,7, FALSE)/100,AE1421)</f>
        <v>7.4129999999999995E-3</v>
      </c>
      <c r="AF1420" s="99">
        <f t="shared" si="67"/>
        <v>2.6026078957654239E-3</v>
      </c>
      <c r="AG1420" s="99">
        <f t="shared" si="68"/>
        <v>1.9453951665073697E-3</v>
      </c>
      <c r="AH1420" s="10" t="str">
        <f>IFERROR(VLOOKUP(B1420,'Pre-Summary'!$AZ$6:$BE$65,3,FALSE),"")</f>
        <v/>
      </c>
      <c r="AI1420" s="10" t="str">
        <f>IFERROR(VLOOKUP(B1420,'Pre-Summary'!$AZ$6:$BE$65,5,FALSE),"")</f>
        <v/>
      </c>
      <c r="AJ1420" s="10" t="str">
        <f>IFERROR(VLOOKUP(B1420,'Pre-Summary'!$AZ$6:$BE$65,4,FALSE),"")</f>
        <v/>
      </c>
      <c r="AK1420" s="10" t="str">
        <f>IFERROR(VLOOKUP(B1420,'Pre-Summary'!$AZ$6:$BE$65,6,FALSE),"")</f>
        <v/>
      </c>
      <c r="AL1420" s="10" t="str">
        <f>IFERROR(VLOOKUP(B1420,'Pre-Summary'!$BG$6:$BL$44,3,FALSE),"")</f>
        <v/>
      </c>
      <c r="AM1420" s="10" t="str">
        <f>IFERROR(VLOOKUP(B1420,'Pre-Summary'!$BG$6:$BL$44,4,FALSE),"")</f>
        <v/>
      </c>
    </row>
    <row r="1421" spans="2:39" ht="15" customHeight="1" x14ac:dyDescent="0.3">
      <c r="B1421">
        <v>141.80000000000001</v>
      </c>
      <c r="C1421" t="str">
        <f>IFERROR(VLOOKUP(B1421,'Pre-Summary'!$DI$6:$DM$23,4,FALSE),"")</f>
        <v/>
      </c>
      <c r="D1421" s="10" t="str">
        <f>IFERROR(VLOOKUP(B1421,'Pre-Summary'!$AT$6:$AX$14,5,FALSE),D1420)</f>
        <v xml:space="preserve">Wolfe v1: put in modified wolfe + EDTA </v>
      </c>
      <c r="E1421" s="10" t="str">
        <f>IFERROR(VLOOKUP(B1421,'Pre-Summary'!$AT$6:$AX$15,4,FALSE),"")</f>
        <v/>
      </c>
      <c r="F1421">
        <f>IFERROR(VLOOKUP(B1421,'Pre-Summary'!$AL$6:$AQ$13,6,FALSE),F1420)</f>
        <v>5.3897368421052638E-2</v>
      </c>
      <c r="G1421" t="str">
        <f>IFERROR(VLOOKUP(B1421,'Pre-Summary'!$AE$6:$AJ$85,3,FALSE),"")</f>
        <v/>
      </c>
      <c r="H1421" t="str">
        <f>IFERROR(VLOOKUP(B1421,'Pre-Summary'!$AE$6:$AJ$85,4,FALSE),"")</f>
        <v/>
      </c>
      <c r="I1421" t="str">
        <f>IFERROR(VLOOKUP(B1421,'Pre-Summary'!$AE$6:$AJ$85,5,FALSE),"")</f>
        <v/>
      </c>
      <c r="J1421" s="45" t="str">
        <f>IFERROR(VLOOKUP(B1421,'Pre-Summary'!$AE$6:$AJ$85,6, FALSE),"")</f>
        <v/>
      </c>
      <c r="K1421" s="45" t="str">
        <f>IFERROR(VLOOKUP(B1421,'Pre-Summary'!$DE$6:$DG$61,3,FALSE),"")</f>
        <v/>
      </c>
      <c r="L1421" s="45" t="str">
        <f>IFERROR(VLOOKUP(B1421,'Pre-Summary'!$CU$6:$CW$36,3,FALSE),"")</f>
        <v/>
      </c>
      <c r="M1421" s="45" t="str">
        <f>IFERROR(VLOOKUP(B1421,'Pre-Summary'!$BW$6:$BY$58,2,FALSE),"")</f>
        <v/>
      </c>
      <c r="N1421" s="45" t="str">
        <f>IFERROR(VLOOKUP(B1421,'Pre-Summary'!$CD$6:$CF$64,2,FALSE),"")</f>
        <v/>
      </c>
      <c r="O1421" s="99">
        <f>IFERROR(VLOOKUP(B1421,'Pre-Summary'!$BO$6:$BQ$48,3, FALSE),O1420)</f>
        <v>1.2</v>
      </c>
      <c r="P1421" s="99">
        <f>IFERROR(VLOOKUP(B1421,'Pre-Summary'!$BS$6:$BU$35,3,FALSE),P1420)</f>
        <v>0.3</v>
      </c>
      <c r="Q1421" s="54">
        <f t="shared" si="66"/>
        <v>4</v>
      </c>
      <c r="R1421" s="53">
        <f>IFERROR(VLOOKUP(B1421,'Pre-Summary'!$BG$6:$BM$44,7,FALSE),R1422)</f>
        <v>9.5517489384447818E-2</v>
      </c>
      <c r="S1421" s="53">
        <f>IFERROR(VLOOKUP(B1421,'Pre-Summary'!$BG$6:$BM$44,6,FALSE),S1422)</f>
        <v>8.6010874938220475E-2</v>
      </c>
      <c r="T1421" s="45" t="str">
        <f>IFERROR(VLOOKUP(B1421,'Pre-Summary'!$Y$6:$AC$83, 3,FALSE),"")</f>
        <v/>
      </c>
      <c r="U1421" s="45" t="str">
        <f>IFERROR(VLOOKUP(B1421,'Pre-Summary'!$Y$6:$AC$83, 4,FALSE),"")</f>
        <v/>
      </c>
      <c r="V1421" t="str">
        <f>IFERROR(VLOOKUP(B1421,'Pre-Summary'!$Y$6:$AC$83, 5,FALSE),"")</f>
        <v/>
      </c>
      <c r="W1421" s="45" t="str">
        <f>IFERROR(VLOOKUP(B1421,'Pre-Summary'!$Y$6:$AD$83,6,FALSE),"")</f>
        <v/>
      </c>
      <c r="X1421" t="str">
        <f>IFERROR(VLOOKUP('Pre-Summary'!$DB$6:$DD$63,3,FALSE),"")</f>
        <v/>
      </c>
      <c r="Y1421" t="str">
        <f>IFERROR(VLOOKUP(B1421,'Pre-Summary'!$CR$6:$CT$36,3,FALSE),"")</f>
        <v/>
      </c>
      <c r="Z1421" s="45" t="str">
        <f>IFERROR(VLOOKUP(B1421,'Pre-Summary'!$BZ$6:$CB$63,2,FALSE),"")</f>
        <v/>
      </c>
      <c r="AA1421" s="45" t="str">
        <f>IFERROR(VLOOKUP(B1421,'Pre-Summary'!$CG$6:$CI$70,2,FALSE),"")</f>
        <v/>
      </c>
      <c r="AB1421" s="99">
        <f>IFERROR(VLOOKUP(B1421,'Pre-Summary'!$A$6:$P$178,9,FALSE),AB1422)</f>
        <v>0.26243021266793065</v>
      </c>
      <c r="AC1421" s="10">
        <f>IFERROR(VLOOKUP(Summary!B1421,'Pre-Summary'!$A$6:$P$184,5, FALSE)/100,AC1422)</f>
        <v>0.98266966666666677</v>
      </c>
      <c r="AD1421" s="10">
        <f>IFERROR(VLOOKUP(Summary!B1421,'Pre-Summary'!$A$6:$P$184,3, FALSE)/100,AD1422)</f>
        <v>9.9173333333333318E-3</v>
      </c>
      <c r="AE1421" s="10">
        <f>IFERROR(VLOOKUP(Summary!B1421,'Pre-Summary'!$A$6:$P$184,7, FALSE)/100,AE1422)</f>
        <v>7.4129999999999995E-3</v>
      </c>
      <c r="AF1421" s="99">
        <f t="shared" si="67"/>
        <v>2.6026078957654239E-3</v>
      </c>
      <c r="AG1421" s="99">
        <f t="shared" si="68"/>
        <v>1.9453951665073697E-3</v>
      </c>
      <c r="AH1421" s="10" t="str">
        <f>IFERROR(VLOOKUP(B1421,'Pre-Summary'!$AZ$6:$BE$65,3,FALSE),"")</f>
        <v/>
      </c>
      <c r="AI1421" s="10" t="str">
        <f>IFERROR(VLOOKUP(B1421,'Pre-Summary'!$AZ$6:$BE$65,5,FALSE),"")</f>
        <v/>
      </c>
      <c r="AJ1421" s="10" t="str">
        <f>IFERROR(VLOOKUP(B1421,'Pre-Summary'!$AZ$6:$BE$65,4,FALSE),"")</f>
        <v/>
      </c>
      <c r="AK1421" s="10" t="str">
        <f>IFERROR(VLOOKUP(B1421,'Pre-Summary'!$AZ$6:$BE$65,6,FALSE),"")</f>
        <v/>
      </c>
      <c r="AL1421" s="10" t="str">
        <f>IFERROR(VLOOKUP(B1421,'Pre-Summary'!$BG$6:$BL$44,3,FALSE),"")</f>
        <v/>
      </c>
      <c r="AM1421" s="10" t="str">
        <f>IFERROR(VLOOKUP(B1421,'Pre-Summary'!$BG$6:$BL$44,4,FALSE),"")</f>
        <v/>
      </c>
    </row>
    <row r="1422" spans="2:39" ht="15" customHeight="1" x14ac:dyDescent="0.3">
      <c r="B1422">
        <v>141.9</v>
      </c>
      <c r="C1422" t="str">
        <f>IFERROR(VLOOKUP(B1422,'Pre-Summary'!$DI$6:$DM$23,4,FALSE),"")</f>
        <v/>
      </c>
      <c r="D1422" s="10" t="str">
        <f>IFERROR(VLOOKUP(B1422,'Pre-Summary'!$AT$6:$AX$14,5,FALSE),D1421)</f>
        <v xml:space="preserve">Wolfe v1: put in modified wolfe + EDTA </v>
      </c>
      <c r="E1422" s="10" t="str">
        <f>IFERROR(VLOOKUP(B1422,'Pre-Summary'!$AT$6:$AX$15,4,FALSE),"")</f>
        <v/>
      </c>
      <c r="F1422">
        <f>IFERROR(VLOOKUP(B1422,'Pre-Summary'!$AL$6:$AQ$13,6,FALSE),F1421)</f>
        <v>5.3897368421052638E-2</v>
      </c>
      <c r="G1422">
        <f>IFERROR(VLOOKUP(B1422,'Pre-Summary'!$AE$6:$AJ$85,3,FALSE),"")</f>
        <v>97.400999999999996</v>
      </c>
      <c r="H1422">
        <f>IFERROR(VLOOKUP(B1422,'Pre-Summary'!$AE$6:$AJ$85,4,FALSE),"")</f>
        <v>3.2189999999999999</v>
      </c>
      <c r="I1422">
        <f>IFERROR(VLOOKUP(B1422,'Pre-Summary'!$AE$6:$AJ$85,5,FALSE),"")</f>
        <v>0</v>
      </c>
      <c r="J1422" s="45">
        <f>IFERROR(VLOOKUP(B1422,'Pre-Summary'!$AE$6:$AJ$85,6, FALSE),"")</f>
        <v>108.80043299999998</v>
      </c>
      <c r="K1422" s="45">
        <f>IFERROR(VLOOKUP(B1422,'Pre-Summary'!$DE$6:$DG$61,3,FALSE),"")</f>
        <v>340</v>
      </c>
      <c r="L1422" s="45" t="str">
        <f>IFERROR(VLOOKUP(B1422,'Pre-Summary'!$CU$6:$CW$36,3,FALSE),"")</f>
        <v/>
      </c>
      <c r="M1422" s="45">
        <f>IFERROR(VLOOKUP(B1422,'Pre-Summary'!$BW$6:$BY$58,2,FALSE),"")</f>
        <v>2.6238281666411125</v>
      </c>
      <c r="N1422" s="45" t="str">
        <f>IFERROR(VLOOKUP(B1422,'Pre-Summary'!$CD$6:$CF$64,2,FALSE),"")</f>
        <v/>
      </c>
      <c r="O1422" s="99">
        <f>IFERROR(VLOOKUP(B1422,'Pre-Summary'!$BO$6:$BQ$48,3, FALSE),O1421)</f>
        <v>1.2</v>
      </c>
      <c r="P1422" s="99">
        <f>IFERROR(VLOOKUP(B1422,'Pre-Summary'!$BS$6:$BU$35,3,FALSE),P1421)</f>
        <v>0.3</v>
      </c>
      <c r="Q1422" s="54">
        <f t="shared" si="66"/>
        <v>4</v>
      </c>
      <c r="R1422" s="53">
        <f>IFERROR(VLOOKUP(B1422,'Pre-Summary'!$BG$6:$BM$44,7,FALSE),R1423)</f>
        <v>9.5517489384447818E-2</v>
      </c>
      <c r="S1422" s="53">
        <f>IFERROR(VLOOKUP(B1422,'Pre-Summary'!$BG$6:$BM$44,6,FALSE),S1423)</f>
        <v>8.6010874938220475E-2</v>
      </c>
      <c r="T1422" s="45">
        <f>IFERROR(VLOOKUP(B1422,'Pre-Summary'!$Y$6:$AC$83, 3,FALSE),"")</f>
        <v>5.82</v>
      </c>
      <c r="U1422" s="45">
        <f>IFERROR(VLOOKUP(B1422,'Pre-Summary'!$Y$6:$AC$83, 4,FALSE),"")</f>
        <v>3.2890000000000001</v>
      </c>
      <c r="V1422">
        <f>IFERROR(VLOOKUP(B1422,'Pre-Summary'!$Y$6:$AC$83, 5,FALSE),"")</f>
        <v>0</v>
      </c>
      <c r="W1422" s="45">
        <f>IFERROR(VLOOKUP(B1422,'Pre-Summary'!$Y$6:$AD$83,6,FALSE),"")</f>
        <v>11.189485999999999</v>
      </c>
      <c r="X1422" t="str">
        <f>IFERROR(VLOOKUP('Pre-Summary'!$DB$6:$DD$63,3,FALSE),"")</f>
        <v/>
      </c>
      <c r="Y1422" t="str">
        <f>IFERROR(VLOOKUP(B1422,'Pre-Summary'!$CR$6:$CT$36,3,FALSE),"")</f>
        <v/>
      </c>
      <c r="Z1422" s="45">
        <f>IFERROR(VLOOKUP(B1422,'Pre-Summary'!$BZ$6:$CB$63,2,FALSE),"")</f>
        <v>27.779202268079526</v>
      </c>
      <c r="AA1422" s="45">
        <f>IFERROR(VLOOKUP(B1422,'Pre-Summary'!$CG$6:$CI$70,2,FALSE),"")</f>
        <v>234.38170784566034</v>
      </c>
      <c r="AB1422" s="99">
        <f>IFERROR(VLOOKUP(B1422,'Pre-Summary'!$A$6:$P$178,9,FALSE),AB1423)</f>
        <v>0.26243021266793065</v>
      </c>
      <c r="AC1422" s="10">
        <f>IFERROR(VLOOKUP(Summary!B1422,'Pre-Summary'!$A$6:$P$184,5, FALSE)/100,AC1423)</f>
        <v>0.98266966666666677</v>
      </c>
      <c r="AD1422" s="10">
        <f>IFERROR(VLOOKUP(Summary!B1422,'Pre-Summary'!$A$6:$P$184,3, FALSE)/100,AD1423)</f>
        <v>9.9173333333333318E-3</v>
      </c>
      <c r="AE1422" s="10">
        <f>IFERROR(VLOOKUP(Summary!B1422,'Pre-Summary'!$A$6:$P$184,7, FALSE)/100,AE1423)</f>
        <v>7.4129999999999995E-3</v>
      </c>
      <c r="AF1422" s="99">
        <f t="shared" si="67"/>
        <v>2.6026078957654239E-3</v>
      </c>
      <c r="AG1422" s="99">
        <f t="shared" si="68"/>
        <v>1.9453951665073697E-3</v>
      </c>
      <c r="AH1422" s="10" t="str">
        <f>IFERROR(VLOOKUP(B1422,'Pre-Summary'!$AZ$6:$BE$65,3,FALSE),"")</f>
        <v/>
      </c>
      <c r="AI1422" s="10" t="str">
        <f>IFERROR(VLOOKUP(B1422,'Pre-Summary'!$AZ$6:$BE$65,5,FALSE),"")</f>
        <v/>
      </c>
      <c r="AJ1422" s="10" t="str">
        <f>IFERROR(VLOOKUP(B1422,'Pre-Summary'!$AZ$6:$BE$65,4,FALSE),"")</f>
        <v/>
      </c>
      <c r="AK1422" s="10" t="str">
        <f>IFERROR(VLOOKUP(B1422,'Pre-Summary'!$AZ$6:$BE$65,6,FALSE),"")</f>
        <v/>
      </c>
      <c r="AL1422" s="10" t="str">
        <f>IFERROR(VLOOKUP(B1422,'Pre-Summary'!$BG$6:$BL$44,3,FALSE),"")</f>
        <v/>
      </c>
      <c r="AM1422" s="10" t="str">
        <f>IFERROR(VLOOKUP(B1422,'Pre-Summary'!$BG$6:$BL$44,4,FALSE),"")</f>
        <v/>
      </c>
    </row>
    <row r="1423" spans="2:39" ht="15" customHeight="1" x14ac:dyDescent="0.3">
      <c r="B1423">
        <v>142</v>
      </c>
      <c r="C1423" t="str">
        <f>IFERROR(VLOOKUP(B1423,'Pre-Summary'!$DI$6:$DM$23,4,FALSE),"")</f>
        <v/>
      </c>
      <c r="D1423" s="10" t="str">
        <f>IFERROR(VLOOKUP(B1423,'Pre-Summary'!$AT$6:$AX$14,5,FALSE),D1422)</f>
        <v xml:space="preserve">Wolfe v1: put in modified wolfe + EDTA </v>
      </c>
      <c r="E1423" s="10" t="str">
        <f>IFERROR(VLOOKUP(B1423,'Pre-Summary'!$AT$6:$AX$15,4,FALSE),"")</f>
        <v/>
      </c>
      <c r="F1423">
        <f>IFERROR(VLOOKUP(B1423,'Pre-Summary'!$AL$6:$AQ$13,6,FALSE),F1422)</f>
        <v>5.3897368421052638E-2</v>
      </c>
      <c r="G1423" t="str">
        <f>IFERROR(VLOOKUP(B1423,'Pre-Summary'!$AE$6:$AJ$85,3,FALSE),"")</f>
        <v/>
      </c>
      <c r="H1423" t="str">
        <f>IFERROR(VLOOKUP(B1423,'Pre-Summary'!$AE$6:$AJ$85,4,FALSE),"")</f>
        <v/>
      </c>
      <c r="I1423" t="str">
        <f>IFERROR(VLOOKUP(B1423,'Pre-Summary'!$AE$6:$AJ$85,5,FALSE),"")</f>
        <v/>
      </c>
      <c r="J1423" s="45" t="str">
        <f>IFERROR(VLOOKUP(B1423,'Pre-Summary'!$AE$6:$AJ$85,6, FALSE),"")</f>
        <v/>
      </c>
      <c r="K1423" s="45" t="str">
        <f>IFERROR(VLOOKUP(B1423,'Pre-Summary'!$DE$6:$DG$61,3,FALSE),"")</f>
        <v/>
      </c>
      <c r="L1423" s="45" t="str">
        <f>IFERROR(VLOOKUP(B1423,'Pre-Summary'!$CU$6:$CW$36,3,FALSE),"")</f>
        <v/>
      </c>
      <c r="M1423" s="45" t="str">
        <f>IFERROR(VLOOKUP(B1423,'Pre-Summary'!$BW$6:$BY$58,2,FALSE),"")</f>
        <v/>
      </c>
      <c r="N1423" s="45" t="str">
        <f>IFERROR(VLOOKUP(B1423,'Pre-Summary'!$CD$6:$CF$64,2,FALSE),"")</f>
        <v/>
      </c>
      <c r="O1423" s="99">
        <f>IFERROR(VLOOKUP(B1423,'Pre-Summary'!$BO$6:$BQ$48,3, FALSE),O1422)</f>
        <v>1.2</v>
      </c>
      <c r="P1423" s="99">
        <f>IFERROR(VLOOKUP(B1423,'Pre-Summary'!$BS$6:$BU$35,3,FALSE),P1422)</f>
        <v>0.3</v>
      </c>
      <c r="Q1423" s="54">
        <f t="shared" si="66"/>
        <v>4</v>
      </c>
      <c r="R1423" s="53">
        <f>IFERROR(VLOOKUP(B1423,'Pre-Summary'!$BG$6:$BM$44,7,FALSE),R1424)</f>
        <v>9.5517489384447818E-2</v>
      </c>
      <c r="S1423" s="53">
        <f>IFERROR(VLOOKUP(B1423,'Pre-Summary'!$BG$6:$BM$44,6,FALSE),S1424)</f>
        <v>8.6010874938220475E-2</v>
      </c>
      <c r="T1423" s="45" t="str">
        <f>IFERROR(VLOOKUP(B1423,'Pre-Summary'!$Y$6:$AC$83, 3,FALSE),"")</f>
        <v/>
      </c>
      <c r="U1423" s="45" t="str">
        <f>IFERROR(VLOOKUP(B1423,'Pre-Summary'!$Y$6:$AC$83, 4,FALSE),"")</f>
        <v/>
      </c>
      <c r="V1423" t="str">
        <f>IFERROR(VLOOKUP(B1423,'Pre-Summary'!$Y$6:$AC$83, 5,FALSE),"")</f>
        <v/>
      </c>
      <c r="W1423" s="45" t="str">
        <f>IFERROR(VLOOKUP(B1423,'Pre-Summary'!$Y$6:$AD$83,6,FALSE),"")</f>
        <v/>
      </c>
      <c r="X1423" t="str">
        <f>IFERROR(VLOOKUP('Pre-Summary'!$DB$6:$DD$63,3,FALSE),"")</f>
        <v/>
      </c>
      <c r="Y1423" t="str">
        <f>IFERROR(VLOOKUP(B1423,'Pre-Summary'!$CR$6:$CT$36,3,FALSE),"")</f>
        <v/>
      </c>
      <c r="Z1423" s="45" t="str">
        <f>IFERROR(VLOOKUP(B1423,'Pre-Summary'!$BZ$6:$CB$63,2,FALSE),"")</f>
        <v/>
      </c>
      <c r="AA1423" s="45" t="str">
        <f>IFERROR(VLOOKUP(B1423,'Pre-Summary'!$CG$6:$CI$70,2,FALSE),"")</f>
        <v/>
      </c>
      <c r="AB1423" s="99">
        <f>IFERROR(VLOOKUP(B1423,'Pre-Summary'!$A$6:$P$178,9,FALSE),AB1424)</f>
        <v>0.28469639734144964</v>
      </c>
      <c r="AC1423" s="10">
        <f>IFERROR(VLOOKUP(Summary!B1423,'Pre-Summary'!$A$6:$P$184,5, FALSE)/100,AC1424)</f>
        <v>0.97370999999999996</v>
      </c>
      <c r="AD1423" s="10">
        <f>IFERROR(VLOOKUP(Summary!B1423,'Pre-Summary'!$A$6:$P$184,3, FALSE)/100,AD1424)</f>
        <v>9.6713333333333321E-3</v>
      </c>
      <c r="AE1423" s="10">
        <f>IFERROR(VLOOKUP(Summary!B1423,'Pre-Summary'!$A$6:$P$184,7, FALSE)/100,AE1424)</f>
        <v>1.6468333333333335E-2</v>
      </c>
      <c r="AF1423" s="99">
        <f t="shared" si="67"/>
        <v>2.7533937574882729E-3</v>
      </c>
      <c r="AG1423" s="99">
        <f t="shared" si="68"/>
        <v>4.6884751702181071E-3</v>
      </c>
      <c r="AH1423" s="10" t="str">
        <f>IFERROR(VLOOKUP(B1423,'Pre-Summary'!$AZ$6:$BE$65,3,FALSE),"")</f>
        <v/>
      </c>
      <c r="AI1423" s="10" t="str">
        <f>IFERROR(VLOOKUP(B1423,'Pre-Summary'!$AZ$6:$BE$65,5,FALSE),"")</f>
        <v/>
      </c>
      <c r="AJ1423" s="10" t="str">
        <f>IFERROR(VLOOKUP(B1423,'Pre-Summary'!$AZ$6:$BE$65,4,FALSE),"")</f>
        <v/>
      </c>
      <c r="AK1423" s="10" t="str">
        <f>IFERROR(VLOOKUP(B1423,'Pre-Summary'!$AZ$6:$BE$65,6,FALSE),"")</f>
        <v/>
      </c>
      <c r="AL1423" s="10" t="str">
        <f>IFERROR(VLOOKUP(B1423,'Pre-Summary'!$BG$6:$BL$44,3,FALSE),"")</f>
        <v/>
      </c>
      <c r="AM1423" s="10" t="str">
        <f>IFERROR(VLOOKUP(B1423,'Pre-Summary'!$BG$6:$BL$44,4,FALSE),"")</f>
        <v/>
      </c>
    </row>
    <row r="1424" spans="2:39" ht="15" customHeight="1" x14ac:dyDescent="0.3">
      <c r="B1424">
        <v>142.1</v>
      </c>
      <c r="C1424" t="str">
        <f>IFERROR(VLOOKUP(B1424,'Pre-Summary'!$DI$6:$DM$23,4,FALSE),"")</f>
        <v/>
      </c>
      <c r="D1424" s="10" t="str">
        <f>IFERROR(VLOOKUP(B1424,'Pre-Summary'!$AT$6:$AX$14,5,FALSE),D1423)</f>
        <v xml:space="preserve">Wolfe v1: put in modified wolfe + EDTA </v>
      </c>
      <c r="E1424" s="10" t="str">
        <f>IFERROR(VLOOKUP(B1424,'Pre-Summary'!$AT$6:$AX$15,4,FALSE),"")</f>
        <v/>
      </c>
      <c r="F1424">
        <f>IFERROR(VLOOKUP(B1424,'Pre-Summary'!$AL$6:$AQ$13,6,FALSE),F1423)</f>
        <v>5.3897368421052638E-2</v>
      </c>
      <c r="G1424" t="str">
        <f>IFERROR(VLOOKUP(B1424,'Pre-Summary'!$AE$6:$AJ$85,3,FALSE),"")</f>
        <v/>
      </c>
      <c r="H1424" t="str">
        <f>IFERROR(VLOOKUP(B1424,'Pre-Summary'!$AE$6:$AJ$85,4,FALSE),"")</f>
        <v/>
      </c>
      <c r="I1424" t="str">
        <f>IFERROR(VLOOKUP(B1424,'Pre-Summary'!$AE$6:$AJ$85,5,FALSE),"")</f>
        <v/>
      </c>
      <c r="J1424" s="45" t="str">
        <f>IFERROR(VLOOKUP(B1424,'Pre-Summary'!$AE$6:$AJ$85,6, FALSE),"")</f>
        <v/>
      </c>
      <c r="K1424" s="45" t="str">
        <f>IFERROR(VLOOKUP(B1424,'Pre-Summary'!$DE$6:$DG$61,3,FALSE),"")</f>
        <v/>
      </c>
      <c r="L1424" s="45" t="str">
        <f>IFERROR(VLOOKUP(B1424,'Pre-Summary'!$CU$6:$CW$36,3,FALSE),"")</f>
        <v/>
      </c>
      <c r="M1424" s="45" t="str">
        <f>IFERROR(VLOOKUP(B1424,'Pre-Summary'!$BW$6:$BY$58,2,FALSE),"")</f>
        <v/>
      </c>
      <c r="N1424" s="45" t="str">
        <f>IFERROR(VLOOKUP(B1424,'Pre-Summary'!$CD$6:$CF$64,2,FALSE),"")</f>
        <v/>
      </c>
      <c r="O1424" s="99">
        <f>IFERROR(VLOOKUP(B1424,'Pre-Summary'!$BO$6:$BQ$48,3, FALSE),O1423)</f>
        <v>1.2</v>
      </c>
      <c r="P1424" s="99">
        <f>IFERROR(VLOOKUP(B1424,'Pre-Summary'!$BS$6:$BU$35,3,FALSE),P1423)</f>
        <v>0.3</v>
      </c>
      <c r="Q1424" s="54">
        <f t="shared" si="66"/>
        <v>4</v>
      </c>
      <c r="R1424" s="53">
        <f>IFERROR(VLOOKUP(B1424,'Pre-Summary'!$BG$6:$BM$44,7,FALSE),R1425)</f>
        <v>9.5517489384447818E-2</v>
      </c>
      <c r="S1424" s="53">
        <f>IFERROR(VLOOKUP(B1424,'Pre-Summary'!$BG$6:$BM$44,6,FALSE),S1425)</f>
        <v>8.6010874938220475E-2</v>
      </c>
      <c r="T1424" s="45" t="str">
        <f>IFERROR(VLOOKUP(B1424,'Pre-Summary'!$Y$6:$AC$83, 3,FALSE),"")</f>
        <v/>
      </c>
      <c r="U1424" s="45" t="str">
        <f>IFERROR(VLOOKUP(B1424,'Pre-Summary'!$Y$6:$AC$83, 4,FALSE),"")</f>
        <v/>
      </c>
      <c r="V1424" t="str">
        <f>IFERROR(VLOOKUP(B1424,'Pre-Summary'!$Y$6:$AC$83, 5,FALSE),"")</f>
        <v/>
      </c>
      <c r="W1424" s="45" t="str">
        <f>IFERROR(VLOOKUP(B1424,'Pre-Summary'!$Y$6:$AD$83,6,FALSE),"")</f>
        <v/>
      </c>
      <c r="X1424" t="str">
        <f>IFERROR(VLOOKUP('Pre-Summary'!$DB$6:$DD$63,3,FALSE),"")</f>
        <v/>
      </c>
      <c r="Y1424" t="str">
        <f>IFERROR(VLOOKUP(B1424,'Pre-Summary'!$CR$6:$CT$36,3,FALSE),"")</f>
        <v/>
      </c>
      <c r="Z1424" s="45" t="str">
        <f>IFERROR(VLOOKUP(B1424,'Pre-Summary'!$BZ$6:$CB$63,2,FALSE),"")</f>
        <v/>
      </c>
      <c r="AA1424" s="45" t="str">
        <f>IFERROR(VLOOKUP(B1424,'Pre-Summary'!$CG$6:$CI$70,2,FALSE),"")</f>
        <v/>
      </c>
      <c r="AB1424" s="99">
        <f>IFERROR(VLOOKUP(B1424,'Pre-Summary'!$A$6:$P$178,9,FALSE),AB1425)</f>
        <v>0.28469639734144964</v>
      </c>
      <c r="AC1424" s="10">
        <f>IFERROR(VLOOKUP(Summary!B1424,'Pre-Summary'!$A$6:$P$184,5, FALSE)/100,AC1425)</f>
        <v>0.97370999999999996</v>
      </c>
      <c r="AD1424" s="10">
        <f>IFERROR(VLOOKUP(Summary!B1424,'Pre-Summary'!$A$6:$P$184,3, FALSE)/100,AD1425)</f>
        <v>9.6713333333333321E-3</v>
      </c>
      <c r="AE1424" s="10">
        <f>IFERROR(VLOOKUP(Summary!B1424,'Pre-Summary'!$A$6:$P$184,7, FALSE)/100,AE1425)</f>
        <v>1.6468333333333335E-2</v>
      </c>
      <c r="AF1424" s="99">
        <f t="shared" si="67"/>
        <v>2.7533937574882729E-3</v>
      </c>
      <c r="AG1424" s="99">
        <f t="shared" si="68"/>
        <v>4.6884751702181071E-3</v>
      </c>
      <c r="AH1424" s="10" t="str">
        <f>IFERROR(VLOOKUP(B1424,'Pre-Summary'!$AZ$6:$BE$65,3,FALSE),"")</f>
        <v/>
      </c>
      <c r="AI1424" s="10" t="str">
        <f>IFERROR(VLOOKUP(B1424,'Pre-Summary'!$AZ$6:$BE$65,5,FALSE),"")</f>
        <v/>
      </c>
      <c r="AJ1424" s="10" t="str">
        <f>IFERROR(VLOOKUP(B1424,'Pre-Summary'!$AZ$6:$BE$65,4,FALSE),"")</f>
        <v/>
      </c>
      <c r="AK1424" s="10" t="str">
        <f>IFERROR(VLOOKUP(B1424,'Pre-Summary'!$AZ$6:$BE$65,6,FALSE),"")</f>
        <v/>
      </c>
      <c r="AL1424" s="10" t="str">
        <f>IFERROR(VLOOKUP(B1424,'Pre-Summary'!$BG$6:$BL$44,3,FALSE),"")</f>
        <v/>
      </c>
      <c r="AM1424" s="10" t="str">
        <f>IFERROR(VLOOKUP(B1424,'Pre-Summary'!$BG$6:$BL$44,4,FALSE),"")</f>
        <v/>
      </c>
    </row>
    <row r="1425" spans="2:39" ht="15" customHeight="1" x14ac:dyDescent="0.3">
      <c r="B1425">
        <v>142.19999999999999</v>
      </c>
      <c r="C1425" t="str">
        <f>IFERROR(VLOOKUP(B1425,'Pre-Summary'!$DI$6:$DM$23,4,FALSE),"")</f>
        <v/>
      </c>
      <c r="D1425" s="10" t="str">
        <f>IFERROR(VLOOKUP(B1425,'Pre-Summary'!$AT$6:$AX$14,5,FALSE),D1424)</f>
        <v xml:space="preserve">Wolfe v1: put in modified wolfe + EDTA </v>
      </c>
      <c r="E1425" s="10" t="str">
        <f>IFERROR(VLOOKUP(B1425,'Pre-Summary'!$AT$6:$AX$15,4,FALSE),"")</f>
        <v/>
      </c>
      <c r="F1425">
        <f>IFERROR(VLOOKUP(B1425,'Pre-Summary'!$AL$6:$AQ$13,6,FALSE),F1424)</f>
        <v>5.3897368421052638E-2</v>
      </c>
      <c r="G1425" t="str">
        <f>IFERROR(VLOOKUP(B1425,'Pre-Summary'!$AE$6:$AJ$85,3,FALSE),"")</f>
        <v/>
      </c>
      <c r="H1425" t="str">
        <f>IFERROR(VLOOKUP(B1425,'Pre-Summary'!$AE$6:$AJ$85,4,FALSE),"")</f>
        <v/>
      </c>
      <c r="I1425" t="str">
        <f>IFERROR(VLOOKUP(B1425,'Pre-Summary'!$AE$6:$AJ$85,5,FALSE),"")</f>
        <v/>
      </c>
      <c r="J1425" s="45" t="str">
        <f>IFERROR(VLOOKUP(B1425,'Pre-Summary'!$AE$6:$AJ$85,6, FALSE),"")</f>
        <v/>
      </c>
      <c r="K1425" s="45" t="str">
        <f>IFERROR(VLOOKUP(B1425,'Pre-Summary'!$DE$6:$DG$61,3,FALSE),"")</f>
        <v/>
      </c>
      <c r="L1425" s="45" t="str">
        <f>IFERROR(VLOOKUP(B1425,'Pre-Summary'!$CU$6:$CW$36,3,FALSE),"")</f>
        <v/>
      </c>
      <c r="M1425" s="45" t="str">
        <f>IFERROR(VLOOKUP(B1425,'Pre-Summary'!$BW$6:$BY$58,2,FALSE),"")</f>
        <v/>
      </c>
      <c r="N1425" s="45" t="str">
        <f>IFERROR(VLOOKUP(B1425,'Pre-Summary'!$CD$6:$CF$64,2,FALSE),"")</f>
        <v/>
      </c>
      <c r="O1425" s="99">
        <f>IFERROR(VLOOKUP(B1425,'Pre-Summary'!$BO$6:$BQ$48,3, FALSE),O1424)</f>
        <v>1.2</v>
      </c>
      <c r="P1425" s="99">
        <f>IFERROR(VLOOKUP(B1425,'Pre-Summary'!$BS$6:$BU$35,3,FALSE),P1424)</f>
        <v>0.3</v>
      </c>
      <c r="Q1425" s="54">
        <f t="shared" si="66"/>
        <v>4</v>
      </c>
      <c r="R1425" s="53">
        <f>IFERROR(VLOOKUP(B1425,'Pre-Summary'!$BG$6:$BM$44,7,FALSE),R1426)</f>
        <v>9.5517489384447818E-2</v>
      </c>
      <c r="S1425" s="53">
        <f>IFERROR(VLOOKUP(B1425,'Pre-Summary'!$BG$6:$BM$44,6,FALSE),S1426)</f>
        <v>8.6010874938220475E-2</v>
      </c>
      <c r="T1425" s="45" t="str">
        <f>IFERROR(VLOOKUP(B1425,'Pre-Summary'!$Y$6:$AC$83, 3,FALSE),"")</f>
        <v/>
      </c>
      <c r="U1425" s="45" t="str">
        <f>IFERROR(VLOOKUP(B1425,'Pre-Summary'!$Y$6:$AC$83, 4,FALSE),"")</f>
        <v/>
      </c>
      <c r="V1425" t="str">
        <f>IFERROR(VLOOKUP(B1425,'Pre-Summary'!$Y$6:$AC$83, 5,FALSE),"")</f>
        <v/>
      </c>
      <c r="W1425" s="45" t="str">
        <f>IFERROR(VLOOKUP(B1425,'Pre-Summary'!$Y$6:$AD$83,6,FALSE),"")</f>
        <v/>
      </c>
      <c r="X1425" t="str">
        <f>IFERROR(VLOOKUP('Pre-Summary'!$DB$6:$DD$63,3,FALSE),"")</f>
        <v/>
      </c>
      <c r="Y1425" t="str">
        <f>IFERROR(VLOOKUP(B1425,'Pre-Summary'!$CR$6:$CT$36,3,FALSE),"")</f>
        <v/>
      </c>
      <c r="Z1425" s="45" t="str">
        <f>IFERROR(VLOOKUP(B1425,'Pre-Summary'!$BZ$6:$CB$63,2,FALSE),"")</f>
        <v/>
      </c>
      <c r="AA1425" s="45" t="str">
        <f>IFERROR(VLOOKUP(B1425,'Pre-Summary'!$CG$6:$CI$70,2,FALSE),"")</f>
        <v/>
      </c>
      <c r="AB1425" s="99">
        <f>IFERROR(VLOOKUP(B1425,'Pre-Summary'!$A$6:$P$178,9,FALSE),AB1426)</f>
        <v>0.28469639734144964</v>
      </c>
      <c r="AC1425" s="10">
        <f>IFERROR(VLOOKUP(Summary!B1425,'Pre-Summary'!$A$6:$P$184,5, FALSE)/100,AC1426)</f>
        <v>0.97370999999999996</v>
      </c>
      <c r="AD1425" s="10">
        <f>IFERROR(VLOOKUP(Summary!B1425,'Pre-Summary'!$A$6:$P$184,3, FALSE)/100,AD1426)</f>
        <v>9.6713333333333321E-3</v>
      </c>
      <c r="AE1425" s="10">
        <f>IFERROR(VLOOKUP(Summary!B1425,'Pre-Summary'!$A$6:$P$184,7, FALSE)/100,AE1426)</f>
        <v>1.6468333333333335E-2</v>
      </c>
      <c r="AF1425" s="99">
        <f t="shared" si="67"/>
        <v>2.7533937574882729E-3</v>
      </c>
      <c r="AG1425" s="99">
        <f t="shared" si="68"/>
        <v>4.6884751702181071E-3</v>
      </c>
      <c r="AH1425" s="10" t="str">
        <f>IFERROR(VLOOKUP(B1425,'Pre-Summary'!$AZ$6:$BE$65,3,FALSE),"")</f>
        <v/>
      </c>
      <c r="AI1425" s="10" t="str">
        <f>IFERROR(VLOOKUP(B1425,'Pre-Summary'!$AZ$6:$BE$65,5,FALSE),"")</f>
        <v/>
      </c>
      <c r="AJ1425" s="10" t="str">
        <f>IFERROR(VLOOKUP(B1425,'Pre-Summary'!$AZ$6:$BE$65,4,FALSE),"")</f>
        <v/>
      </c>
      <c r="AK1425" s="10" t="str">
        <f>IFERROR(VLOOKUP(B1425,'Pre-Summary'!$AZ$6:$BE$65,6,FALSE),"")</f>
        <v/>
      </c>
      <c r="AL1425" s="10" t="str">
        <f>IFERROR(VLOOKUP(B1425,'Pre-Summary'!$BG$6:$BL$44,3,FALSE),"")</f>
        <v/>
      </c>
      <c r="AM1425" s="10" t="str">
        <f>IFERROR(VLOOKUP(B1425,'Pre-Summary'!$BG$6:$BL$44,4,FALSE),"")</f>
        <v/>
      </c>
    </row>
    <row r="1426" spans="2:39" ht="15" customHeight="1" x14ac:dyDescent="0.3">
      <c r="B1426">
        <v>142.30000000000001</v>
      </c>
      <c r="C1426" t="str">
        <f>IFERROR(VLOOKUP(B1426,'Pre-Summary'!$DI$6:$DM$23,4,FALSE),"")</f>
        <v/>
      </c>
      <c r="D1426" s="10" t="str">
        <f>IFERROR(VLOOKUP(B1426,'Pre-Summary'!$AT$6:$AX$14,5,FALSE),D1425)</f>
        <v xml:space="preserve">Wolfe v1: put in modified wolfe + EDTA </v>
      </c>
      <c r="E1426" s="10" t="str">
        <f>IFERROR(VLOOKUP(B1426,'Pre-Summary'!$AT$6:$AX$15,4,FALSE),"")</f>
        <v/>
      </c>
      <c r="F1426">
        <f>IFERROR(VLOOKUP(B1426,'Pre-Summary'!$AL$6:$AQ$13,6,FALSE),F1425)</f>
        <v>5.3897368421052638E-2</v>
      </c>
      <c r="G1426" t="str">
        <f>IFERROR(VLOOKUP(B1426,'Pre-Summary'!$AE$6:$AJ$85,3,FALSE),"")</f>
        <v/>
      </c>
      <c r="H1426" t="str">
        <f>IFERROR(VLOOKUP(B1426,'Pre-Summary'!$AE$6:$AJ$85,4,FALSE),"")</f>
        <v/>
      </c>
      <c r="I1426" t="str">
        <f>IFERROR(VLOOKUP(B1426,'Pre-Summary'!$AE$6:$AJ$85,5,FALSE),"")</f>
        <v/>
      </c>
      <c r="J1426" s="45" t="str">
        <f>IFERROR(VLOOKUP(B1426,'Pre-Summary'!$AE$6:$AJ$85,6, FALSE),"")</f>
        <v/>
      </c>
      <c r="K1426" s="45" t="str">
        <f>IFERROR(VLOOKUP(B1426,'Pre-Summary'!$DE$6:$DG$61,3,FALSE),"")</f>
        <v/>
      </c>
      <c r="L1426" s="45" t="str">
        <f>IFERROR(VLOOKUP(B1426,'Pre-Summary'!$CU$6:$CW$36,3,FALSE),"")</f>
        <v/>
      </c>
      <c r="M1426" s="45" t="str">
        <f>IFERROR(VLOOKUP(B1426,'Pre-Summary'!$BW$6:$BY$58,2,FALSE),"")</f>
        <v/>
      </c>
      <c r="N1426" s="45" t="str">
        <f>IFERROR(VLOOKUP(B1426,'Pre-Summary'!$CD$6:$CF$64,2,FALSE),"")</f>
        <v/>
      </c>
      <c r="O1426" s="99">
        <f>IFERROR(VLOOKUP(B1426,'Pre-Summary'!$BO$6:$BQ$48,3, FALSE),O1425)</f>
        <v>1.2</v>
      </c>
      <c r="P1426" s="99">
        <f>IFERROR(VLOOKUP(B1426,'Pre-Summary'!$BS$6:$BU$35,3,FALSE),P1425)</f>
        <v>0.3</v>
      </c>
      <c r="Q1426" s="54">
        <f t="shared" si="66"/>
        <v>4</v>
      </c>
      <c r="R1426" s="53">
        <f>IFERROR(VLOOKUP(B1426,'Pre-Summary'!$BG$6:$BM$44,7,FALSE),R1427)</f>
        <v>9.5517489384447818E-2</v>
      </c>
      <c r="S1426" s="53">
        <f>IFERROR(VLOOKUP(B1426,'Pre-Summary'!$BG$6:$BM$44,6,FALSE),S1427)</f>
        <v>8.6010874938220475E-2</v>
      </c>
      <c r="T1426" s="45" t="str">
        <f>IFERROR(VLOOKUP(B1426,'Pre-Summary'!$Y$6:$AC$83, 3,FALSE),"")</f>
        <v/>
      </c>
      <c r="U1426" s="45" t="str">
        <f>IFERROR(VLOOKUP(B1426,'Pre-Summary'!$Y$6:$AC$83, 4,FALSE),"")</f>
        <v/>
      </c>
      <c r="V1426" t="str">
        <f>IFERROR(VLOOKUP(B1426,'Pre-Summary'!$Y$6:$AC$83, 5,FALSE),"")</f>
        <v/>
      </c>
      <c r="W1426" s="45" t="str">
        <f>IFERROR(VLOOKUP(B1426,'Pre-Summary'!$Y$6:$AD$83,6,FALSE),"")</f>
        <v/>
      </c>
      <c r="X1426" t="str">
        <f>IFERROR(VLOOKUP('Pre-Summary'!$DB$6:$DD$63,3,FALSE),"")</f>
        <v/>
      </c>
      <c r="Y1426" t="str">
        <f>IFERROR(VLOOKUP(B1426,'Pre-Summary'!$CR$6:$CT$36,3,FALSE),"")</f>
        <v/>
      </c>
      <c r="Z1426" s="45" t="str">
        <f>IFERROR(VLOOKUP(B1426,'Pre-Summary'!$BZ$6:$CB$63,2,FALSE),"")</f>
        <v/>
      </c>
      <c r="AA1426" s="45" t="str">
        <f>IFERROR(VLOOKUP(B1426,'Pre-Summary'!$CG$6:$CI$70,2,FALSE),"")</f>
        <v/>
      </c>
      <c r="AB1426" s="99">
        <f>IFERROR(VLOOKUP(B1426,'Pre-Summary'!$A$6:$P$178,9,FALSE),AB1427)</f>
        <v>0.28469639734144964</v>
      </c>
      <c r="AC1426" s="10">
        <f>IFERROR(VLOOKUP(Summary!B1426,'Pre-Summary'!$A$6:$P$184,5, FALSE)/100,AC1427)</f>
        <v>0.97370999999999996</v>
      </c>
      <c r="AD1426" s="10">
        <f>IFERROR(VLOOKUP(Summary!B1426,'Pre-Summary'!$A$6:$P$184,3, FALSE)/100,AD1427)</f>
        <v>9.6713333333333321E-3</v>
      </c>
      <c r="AE1426" s="10">
        <f>IFERROR(VLOOKUP(Summary!B1426,'Pre-Summary'!$A$6:$P$184,7, FALSE)/100,AE1427)</f>
        <v>1.6468333333333335E-2</v>
      </c>
      <c r="AF1426" s="99">
        <f t="shared" si="67"/>
        <v>2.7533937574882729E-3</v>
      </c>
      <c r="AG1426" s="99">
        <f t="shared" si="68"/>
        <v>4.6884751702181071E-3</v>
      </c>
      <c r="AH1426" s="10" t="str">
        <f>IFERROR(VLOOKUP(B1426,'Pre-Summary'!$AZ$6:$BE$65,3,FALSE),"")</f>
        <v/>
      </c>
      <c r="AI1426" s="10" t="str">
        <f>IFERROR(VLOOKUP(B1426,'Pre-Summary'!$AZ$6:$BE$65,5,FALSE),"")</f>
        <v/>
      </c>
      <c r="AJ1426" s="10" t="str">
        <f>IFERROR(VLOOKUP(B1426,'Pre-Summary'!$AZ$6:$BE$65,4,FALSE),"")</f>
        <v/>
      </c>
      <c r="AK1426" s="10" t="str">
        <f>IFERROR(VLOOKUP(B1426,'Pre-Summary'!$AZ$6:$BE$65,6,FALSE),"")</f>
        <v/>
      </c>
      <c r="AL1426" s="10" t="str">
        <f>IFERROR(VLOOKUP(B1426,'Pre-Summary'!$BG$6:$BL$44,3,FALSE),"")</f>
        <v/>
      </c>
      <c r="AM1426" s="10" t="str">
        <f>IFERROR(VLOOKUP(B1426,'Pre-Summary'!$BG$6:$BL$44,4,FALSE),"")</f>
        <v/>
      </c>
    </row>
    <row r="1427" spans="2:39" ht="15" customHeight="1" x14ac:dyDescent="0.3">
      <c r="B1427">
        <v>142.4</v>
      </c>
      <c r="C1427" t="str">
        <f>IFERROR(VLOOKUP(B1427,'Pre-Summary'!$DI$6:$DM$23,4,FALSE),"")</f>
        <v/>
      </c>
      <c r="D1427" s="10" t="str">
        <f>IFERROR(VLOOKUP(B1427,'Pre-Summary'!$AT$6:$AX$14,5,FALSE),D1426)</f>
        <v xml:space="preserve">Wolfe v1: put in modified wolfe + EDTA </v>
      </c>
      <c r="E1427" s="10" t="str">
        <f>IFERROR(VLOOKUP(B1427,'Pre-Summary'!$AT$6:$AX$15,4,FALSE),"")</f>
        <v/>
      </c>
      <c r="F1427">
        <f>IFERROR(VLOOKUP(B1427,'Pre-Summary'!$AL$6:$AQ$13,6,FALSE),F1426)</f>
        <v>5.3897368421052638E-2</v>
      </c>
      <c r="G1427" t="str">
        <f>IFERROR(VLOOKUP(B1427,'Pre-Summary'!$AE$6:$AJ$85,3,FALSE),"")</f>
        <v/>
      </c>
      <c r="H1427" t="str">
        <f>IFERROR(VLOOKUP(B1427,'Pre-Summary'!$AE$6:$AJ$85,4,FALSE),"")</f>
        <v/>
      </c>
      <c r="I1427" t="str">
        <f>IFERROR(VLOOKUP(B1427,'Pre-Summary'!$AE$6:$AJ$85,5,FALSE),"")</f>
        <v/>
      </c>
      <c r="J1427" s="45" t="str">
        <f>IFERROR(VLOOKUP(B1427,'Pre-Summary'!$AE$6:$AJ$85,6, FALSE),"")</f>
        <v/>
      </c>
      <c r="K1427" s="45" t="str">
        <f>IFERROR(VLOOKUP(B1427,'Pre-Summary'!$DE$6:$DG$61,3,FALSE),"")</f>
        <v/>
      </c>
      <c r="L1427" s="45" t="str">
        <f>IFERROR(VLOOKUP(B1427,'Pre-Summary'!$CU$6:$CW$36,3,FALSE),"")</f>
        <v/>
      </c>
      <c r="M1427" s="45" t="str">
        <f>IFERROR(VLOOKUP(B1427,'Pre-Summary'!$BW$6:$BY$58,2,FALSE),"")</f>
        <v/>
      </c>
      <c r="N1427" s="45" t="str">
        <f>IFERROR(VLOOKUP(B1427,'Pre-Summary'!$CD$6:$CF$64,2,FALSE),"")</f>
        <v/>
      </c>
      <c r="O1427" s="99">
        <f>IFERROR(VLOOKUP(B1427,'Pre-Summary'!$BO$6:$BQ$48,3, FALSE),O1426)</f>
        <v>1.2</v>
      </c>
      <c r="P1427" s="99">
        <f>IFERROR(VLOOKUP(B1427,'Pre-Summary'!$BS$6:$BU$35,3,FALSE),P1426)</f>
        <v>0.3</v>
      </c>
      <c r="Q1427" s="54">
        <f t="shared" si="66"/>
        <v>4</v>
      </c>
      <c r="R1427" s="53">
        <f>IFERROR(VLOOKUP(B1427,'Pre-Summary'!$BG$6:$BM$44,7,FALSE),R1428)</f>
        <v>9.5517489384447818E-2</v>
      </c>
      <c r="S1427" s="53">
        <f>IFERROR(VLOOKUP(B1427,'Pre-Summary'!$BG$6:$BM$44,6,FALSE),S1428)</f>
        <v>8.6010874938220475E-2</v>
      </c>
      <c r="T1427" s="45" t="str">
        <f>IFERROR(VLOOKUP(B1427,'Pre-Summary'!$Y$6:$AC$83, 3,FALSE),"")</f>
        <v/>
      </c>
      <c r="U1427" s="45" t="str">
        <f>IFERROR(VLOOKUP(B1427,'Pre-Summary'!$Y$6:$AC$83, 4,FALSE),"")</f>
        <v/>
      </c>
      <c r="V1427" t="str">
        <f>IFERROR(VLOOKUP(B1427,'Pre-Summary'!$Y$6:$AC$83, 5,FALSE),"")</f>
        <v/>
      </c>
      <c r="W1427" s="45" t="str">
        <f>IFERROR(VLOOKUP(B1427,'Pre-Summary'!$Y$6:$AD$83,6,FALSE),"")</f>
        <v/>
      </c>
      <c r="X1427" t="str">
        <f>IFERROR(VLOOKUP('Pre-Summary'!$DB$6:$DD$63,3,FALSE),"")</f>
        <v/>
      </c>
      <c r="Y1427" t="str">
        <f>IFERROR(VLOOKUP(B1427,'Pre-Summary'!$CR$6:$CT$36,3,FALSE),"")</f>
        <v/>
      </c>
      <c r="Z1427" s="45" t="str">
        <f>IFERROR(VLOOKUP(B1427,'Pre-Summary'!$BZ$6:$CB$63,2,FALSE),"")</f>
        <v/>
      </c>
      <c r="AA1427" s="45" t="str">
        <f>IFERROR(VLOOKUP(B1427,'Pre-Summary'!$CG$6:$CI$70,2,FALSE),"")</f>
        <v/>
      </c>
      <c r="AB1427" s="99">
        <f>IFERROR(VLOOKUP(B1427,'Pre-Summary'!$A$6:$P$178,9,FALSE),AB1428)</f>
        <v>0.28469639734144964</v>
      </c>
      <c r="AC1427" s="10">
        <f>IFERROR(VLOOKUP(Summary!B1427,'Pre-Summary'!$A$6:$P$184,5, FALSE)/100,AC1428)</f>
        <v>0.97370999999999996</v>
      </c>
      <c r="AD1427" s="10">
        <f>IFERROR(VLOOKUP(Summary!B1427,'Pre-Summary'!$A$6:$P$184,3, FALSE)/100,AD1428)</f>
        <v>9.6713333333333321E-3</v>
      </c>
      <c r="AE1427" s="10">
        <f>IFERROR(VLOOKUP(Summary!B1427,'Pre-Summary'!$A$6:$P$184,7, FALSE)/100,AE1428)</f>
        <v>1.6468333333333335E-2</v>
      </c>
      <c r="AF1427" s="99">
        <f t="shared" si="67"/>
        <v>2.7533937574882729E-3</v>
      </c>
      <c r="AG1427" s="99">
        <f t="shared" si="68"/>
        <v>4.6884751702181071E-3</v>
      </c>
      <c r="AH1427" s="10" t="str">
        <f>IFERROR(VLOOKUP(B1427,'Pre-Summary'!$AZ$6:$BE$65,3,FALSE),"")</f>
        <v/>
      </c>
      <c r="AI1427" s="10" t="str">
        <f>IFERROR(VLOOKUP(B1427,'Pre-Summary'!$AZ$6:$BE$65,5,FALSE),"")</f>
        <v/>
      </c>
      <c r="AJ1427" s="10" t="str">
        <f>IFERROR(VLOOKUP(B1427,'Pre-Summary'!$AZ$6:$BE$65,4,FALSE),"")</f>
        <v/>
      </c>
      <c r="AK1427" s="10" t="str">
        <f>IFERROR(VLOOKUP(B1427,'Pre-Summary'!$AZ$6:$BE$65,6,FALSE),"")</f>
        <v/>
      </c>
      <c r="AL1427" s="10" t="str">
        <f>IFERROR(VLOOKUP(B1427,'Pre-Summary'!$BG$6:$BL$44,3,FALSE),"")</f>
        <v/>
      </c>
      <c r="AM1427" s="10" t="str">
        <f>IFERROR(VLOOKUP(B1427,'Pre-Summary'!$BG$6:$BL$44,4,FALSE),"")</f>
        <v/>
      </c>
    </row>
    <row r="1428" spans="2:39" ht="15" customHeight="1" x14ac:dyDescent="0.3">
      <c r="B1428">
        <v>142.5</v>
      </c>
      <c r="C1428" t="str">
        <f>IFERROR(VLOOKUP(B1428,'Pre-Summary'!$DI$6:$DM$23,4,FALSE),"")</f>
        <v/>
      </c>
      <c r="D1428" s="10" t="str">
        <f>IFERROR(VLOOKUP(B1428,'Pre-Summary'!$AT$6:$AX$14,5,FALSE),D1427)</f>
        <v xml:space="preserve">Wolfe v1: put in modified wolfe + EDTA </v>
      </c>
      <c r="E1428" s="10" t="str">
        <f>IFERROR(VLOOKUP(B1428,'Pre-Summary'!$AT$6:$AX$15,4,FALSE),"")</f>
        <v/>
      </c>
      <c r="F1428">
        <f>IFERROR(VLOOKUP(B1428,'Pre-Summary'!$AL$6:$AQ$13,6,FALSE),F1427)</f>
        <v>5.3897368421052638E-2</v>
      </c>
      <c r="G1428" t="str">
        <f>IFERROR(VLOOKUP(B1428,'Pre-Summary'!$AE$6:$AJ$85,3,FALSE),"")</f>
        <v/>
      </c>
      <c r="H1428" t="str">
        <f>IFERROR(VLOOKUP(B1428,'Pre-Summary'!$AE$6:$AJ$85,4,FALSE),"")</f>
        <v/>
      </c>
      <c r="I1428" t="str">
        <f>IFERROR(VLOOKUP(B1428,'Pre-Summary'!$AE$6:$AJ$85,5,FALSE),"")</f>
        <v/>
      </c>
      <c r="J1428" s="45" t="str">
        <f>IFERROR(VLOOKUP(B1428,'Pre-Summary'!$AE$6:$AJ$85,6, FALSE),"")</f>
        <v/>
      </c>
      <c r="K1428" s="45" t="str">
        <f>IFERROR(VLOOKUP(B1428,'Pre-Summary'!$DE$6:$DG$61,3,FALSE),"")</f>
        <v/>
      </c>
      <c r="L1428" s="45" t="str">
        <f>IFERROR(VLOOKUP(B1428,'Pre-Summary'!$CU$6:$CW$36,3,FALSE),"")</f>
        <v/>
      </c>
      <c r="M1428" s="45" t="str">
        <f>IFERROR(VLOOKUP(B1428,'Pre-Summary'!$BW$6:$BY$58,2,FALSE),"")</f>
        <v/>
      </c>
      <c r="N1428" s="45" t="str">
        <f>IFERROR(VLOOKUP(B1428,'Pre-Summary'!$CD$6:$CF$64,2,FALSE),"")</f>
        <v/>
      </c>
      <c r="O1428" s="99">
        <f>IFERROR(VLOOKUP(B1428,'Pre-Summary'!$BO$6:$BQ$48,3, FALSE),O1427)</f>
        <v>1.2</v>
      </c>
      <c r="P1428" s="99">
        <f>IFERROR(VLOOKUP(B1428,'Pre-Summary'!$BS$6:$BU$35,3,FALSE),P1427)</f>
        <v>0.3</v>
      </c>
      <c r="Q1428" s="54">
        <f t="shared" si="66"/>
        <v>4</v>
      </c>
      <c r="R1428" s="53">
        <f>IFERROR(VLOOKUP(B1428,'Pre-Summary'!$BG$6:$BM$44,7,FALSE),R1429)</f>
        <v>9.5517489384447818E-2</v>
      </c>
      <c r="S1428" s="53">
        <f>IFERROR(VLOOKUP(B1428,'Pre-Summary'!$BG$6:$BM$44,6,FALSE),S1429)</f>
        <v>8.6010874938220475E-2</v>
      </c>
      <c r="T1428" s="45" t="str">
        <f>IFERROR(VLOOKUP(B1428,'Pre-Summary'!$Y$6:$AC$83, 3,FALSE),"")</f>
        <v/>
      </c>
      <c r="U1428" s="45" t="str">
        <f>IFERROR(VLOOKUP(B1428,'Pre-Summary'!$Y$6:$AC$83, 4,FALSE),"")</f>
        <v/>
      </c>
      <c r="V1428" t="str">
        <f>IFERROR(VLOOKUP(B1428,'Pre-Summary'!$Y$6:$AC$83, 5,FALSE),"")</f>
        <v/>
      </c>
      <c r="W1428" s="45" t="str">
        <f>IFERROR(VLOOKUP(B1428,'Pre-Summary'!$Y$6:$AD$83,6,FALSE),"")</f>
        <v/>
      </c>
      <c r="X1428" t="str">
        <f>IFERROR(VLOOKUP('Pre-Summary'!$DB$6:$DD$63,3,FALSE),"")</f>
        <v/>
      </c>
      <c r="Y1428" t="str">
        <f>IFERROR(VLOOKUP(B1428,'Pre-Summary'!$CR$6:$CT$36,3,FALSE),"")</f>
        <v/>
      </c>
      <c r="Z1428" s="45" t="str">
        <f>IFERROR(VLOOKUP(B1428,'Pre-Summary'!$BZ$6:$CB$63,2,FALSE),"")</f>
        <v/>
      </c>
      <c r="AA1428" s="45" t="str">
        <f>IFERROR(VLOOKUP(B1428,'Pre-Summary'!$CG$6:$CI$70,2,FALSE),"")</f>
        <v/>
      </c>
      <c r="AB1428" s="99">
        <f>IFERROR(VLOOKUP(B1428,'Pre-Summary'!$A$6:$P$178,9,FALSE),AB1429)</f>
        <v>0.28469639734144964</v>
      </c>
      <c r="AC1428" s="10">
        <f>IFERROR(VLOOKUP(Summary!B1428,'Pre-Summary'!$A$6:$P$184,5, FALSE)/100,AC1429)</f>
        <v>0.97370999999999996</v>
      </c>
      <c r="AD1428" s="10">
        <f>IFERROR(VLOOKUP(Summary!B1428,'Pre-Summary'!$A$6:$P$184,3, FALSE)/100,AD1429)</f>
        <v>9.6713333333333321E-3</v>
      </c>
      <c r="AE1428" s="10">
        <f>IFERROR(VLOOKUP(Summary!B1428,'Pre-Summary'!$A$6:$P$184,7, FALSE)/100,AE1429)</f>
        <v>1.6468333333333335E-2</v>
      </c>
      <c r="AF1428" s="99">
        <f t="shared" si="67"/>
        <v>2.7533937574882729E-3</v>
      </c>
      <c r="AG1428" s="99">
        <f t="shared" si="68"/>
        <v>4.6884751702181071E-3</v>
      </c>
      <c r="AH1428" s="10" t="str">
        <f>IFERROR(VLOOKUP(B1428,'Pre-Summary'!$AZ$6:$BE$65,3,FALSE),"")</f>
        <v/>
      </c>
      <c r="AI1428" s="10" t="str">
        <f>IFERROR(VLOOKUP(B1428,'Pre-Summary'!$AZ$6:$BE$65,5,FALSE),"")</f>
        <v/>
      </c>
      <c r="AJ1428" s="10" t="str">
        <f>IFERROR(VLOOKUP(B1428,'Pre-Summary'!$AZ$6:$BE$65,4,FALSE),"")</f>
        <v/>
      </c>
      <c r="AK1428" s="10" t="str">
        <f>IFERROR(VLOOKUP(B1428,'Pre-Summary'!$AZ$6:$BE$65,6,FALSE),"")</f>
        <v/>
      </c>
      <c r="AL1428" s="10" t="str">
        <f>IFERROR(VLOOKUP(B1428,'Pre-Summary'!$BG$6:$BL$44,3,FALSE),"")</f>
        <v/>
      </c>
      <c r="AM1428" s="10" t="str">
        <f>IFERROR(VLOOKUP(B1428,'Pre-Summary'!$BG$6:$BL$44,4,FALSE),"")</f>
        <v/>
      </c>
    </row>
    <row r="1429" spans="2:39" ht="15" customHeight="1" x14ac:dyDescent="0.3">
      <c r="B1429">
        <v>142.6</v>
      </c>
      <c r="C1429" t="str">
        <f>IFERROR(VLOOKUP(B1429,'Pre-Summary'!$DI$6:$DM$23,4,FALSE),"")</f>
        <v/>
      </c>
      <c r="D1429" s="10" t="str">
        <f>IFERROR(VLOOKUP(B1429,'Pre-Summary'!$AT$6:$AX$14,5,FALSE),D1428)</f>
        <v xml:space="preserve">Wolfe v1: put in modified wolfe + EDTA </v>
      </c>
      <c r="E1429" s="10" t="str">
        <f>IFERROR(VLOOKUP(B1429,'Pre-Summary'!$AT$6:$AX$15,4,FALSE),"")</f>
        <v/>
      </c>
      <c r="F1429">
        <f>IFERROR(VLOOKUP(B1429,'Pre-Summary'!$AL$6:$AQ$13,6,FALSE),F1428)</f>
        <v>5.3897368421052638E-2</v>
      </c>
      <c r="G1429" t="str">
        <f>IFERROR(VLOOKUP(B1429,'Pre-Summary'!$AE$6:$AJ$85,3,FALSE),"")</f>
        <v/>
      </c>
      <c r="H1429" t="str">
        <f>IFERROR(VLOOKUP(B1429,'Pre-Summary'!$AE$6:$AJ$85,4,FALSE),"")</f>
        <v/>
      </c>
      <c r="I1429" t="str">
        <f>IFERROR(VLOOKUP(B1429,'Pre-Summary'!$AE$6:$AJ$85,5,FALSE),"")</f>
        <v/>
      </c>
      <c r="J1429" s="45" t="str">
        <f>IFERROR(VLOOKUP(B1429,'Pre-Summary'!$AE$6:$AJ$85,6, FALSE),"")</f>
        <v/>
      </c>
      <c r="K1429" s="45" t="str">
        <f>IFERROR(VLOOKUP(B1429,'Pre-Summary'!$DE$6:$DG$61,3,FALSE),"")</f>
        <v/>
      </c>
      <c r="L1429" s="45" t="str">
        <f>IFERROR(VLOOKUP(B1429,'Pre-Summary'!$CU$6:$CW$36,3,FALSE),"")</f>
        <v/>
      </c>
      <c r="M1429" s="45" t="str">
        <f>IFERROR(VLOOKUP(B1429,'Pre-Summary'!$BW$6:$BY$58,2,FALSE),"")</f>
        <v/>
      </c>
      <c r="N1429" s="45" t="str">
        <f>IFERROR(VLOOKUP(B1429,'Pre-Summary'!$CD$6:$CF$64,2,FALSE),"")</f>
        <v/>
      </c>
      <c r="O1429" s="99">
        <f>IFERROR(VLOOKUP(B1429,'Pre-Summary'!$BO$6:$BQ$48,3, FALSE),O1428)</f>
        <v>1.2</v>
      </c>
      <c r="P1429" s="99">
        <f>IFERROR(VLOOKUP(B1429,'Pre-Summary'!$BS$6:$BU$35,3,FALSE),P1428)</f>
        <v>0.3</v>
      </c>
      <c r="Q1429" s="54">
        <f t="shared" si="66"/>
        <v>4</v>
      </c>
      <c r="R1429" s="53">
        <f>IFERROR(VLOOKUP(B1429,'Pre-Summary'!$BG$6:$BM$44,7,FALSE),R1430)</f>
        <v>9.5517489384447818E-2</v>
      </c>
      <c r="S1429" s="53">
        <f>IFERROR(VLOOKUP(B1429,'Pre-Summary'!$BG$6:$BM$44,6,FALSE),S1430)</f>
        <v>8.6010874938220475E-2</v>
      </c>
      <c r="T1429" s="45" t="str">
        <f>IFERROR(VLOOKUP(B1429,'Pre-Summary'!$Y$6:$AC$83, 3,FALSE),"")</f>
        <v/>
      </c>
      <c r="U1429" s="45" t="str">
        <f>IFERROR(VLOOKUP(B1429,'Pre-Summary'!$Y$6:$AC$83, 4,FALSE),"")</f>
        <v/>
      </c>
      <c r="V1429" t="str">
        <f>IFERROR(VLOOKUP(B1429,'Pre-Summary'!$Y$6:$AC$83, 5,FALSE),"")</f>
        <v/>
      </c>
      <c r="W1429" s="45" t="str">
        <f>IFERROR(VLOOKUP(B1429,'Pre-Summary'!$Y$6:$AD$83,6,FALSE),"")</f>
        <v/>
      </c>
      <c r="X1429" t="str">
        <f>IFERROR(VLOOKUP('Pre-Summary'!$DB$6:$DD$63,3,FALSE),"")</f>
        <v/>
      </c>
      <c r="Y1429" t="str">
        <f>IFERROR(VLOOKUP(B1429,'Pre-Summary'!$CR$6:$CT$36,3,FALSE),"")</f>
        <v/>
      </c>
      <c r="Z1429" s="45" t="str">
        <f>IFERROR(VLOOKUP(B1429,'Pre-Summary'!$BZ$6:$CB$63,2,FALSE),"")</f>
        <v/>
      </c>
      <c r="AA1429" s="45" t="str">
        <f>IFERROR(VLOOKUP(B1429,'Pre-Summary'!$CG$6:$CI$70,2,FALSE),"")</f>
        <v/>
      </c>
      <c r="AB1429" s="99">
        <f>IFERROR(VLOOKUP(B1429,'Pre-Summary'!$A$6:$P$178,9,FALSE),AB1430)</f>
        <v>0.28469639734144964</v>
      </c>
      <c r="AC1429" s="10">
        <f>IFERROR(VLOOKUP(Summary!B1429,'Pre-Summary'!$A$6:$P$184,5, FALSE)/100,AC1430)</f>
        <v>0.97370999999999996</v>
      </c>
      <c r="AD1429" s="10">
        <f>IFERROR(VLOOKUP(Summary!B1429,'Pre-Summary'!$A$6:$P$184,3, FALSE)/100,AD1430)</f>
        <v>9.6713333333333321E-3</v>
      </c>
      <c r="AE1429" s="10">
        <f>IFERROR(VLOOKUP(Summary!B1429,'Pre-Summary'!$A$6:$P$184,7, FALSE)/100,AE1430)</f>
        <v>1.6468333333333335E-2</v>
      </c>
      <c r="AF1429" s="99">
        <f t="shared" si="67"/>
        <v>2.7533937574882729E-3</v>
      </c>
      <c r="AG1429" s="99">
        <f t="shared" si="68"/>
        <v>4.6884751702181071E-3</v>
      </c>
      <c r="AH1429" s="10" t="str">
        <f>IFERROR(VLOOKUP(B1429,'Pre-Summary'!$AZ$6:$BE$65,3,FALSE),"")</f>
        <v/>
      </c>
      <c r="AI1429" s="10" t="str">
        <f>IFERROR(VLOOKUP(B1429,'Pre-Summary'!$AZ$6:$BE$65,5,FALSE),"")</f>
        <v/>
      </c>
      <c r="AJ1429" s="10" t="str">
        <f>IFERROR(VLOOKUP(B1429,'Pre-Summary'!$AZ$6:$BE$65,4,FALSE),"")</f>
        <v/>
      </c>
      <c r="AK1429" s="10" t="str">
        <f>IFERROR(VLOOKUP(B1429,'Pre-Summary'!$AZ$6:$BE$65,6,FALSE),"")</f>
        <v/>
      </c>
      <c r="AL1429" s="10" t="str">
        <f>IFERROR(VLOOKUP(B1429,'Pre-Summary'!$BG$6:$BL$44,3,FALSE),"")</f>
        <v/>
      </c>
      <c r="AM1429" s="10" t="str">
        <f>IFERROR(VLOOKUP(B1429,'Pre-Summary'!$BG$6:$BL$44,4,FALSE),"")</f>
        <v/>
      </c>
    </row>
    <row r="1430" spans="2:39" ht="15" customHeight="1" x14ac:dyDescent="0.3">
      <c r="B1430">
        <v>142.69999999999999</v>
      </c>
      <c r="C1430" t="str">
        <f>IFERROR(VLOOKUP(B1430,'Pre-Summary'!$DI$6:$DM$23,4,FALSE),"")</f>
        <v/>
      </c>
      <c r="D1430" s="10" t="str">
        <f>IFERROR(VLOOKUP(B1430,'Pre-Summary'!$AT$6:$AX$14,5,FALSE),D1429)</f>
        <v xml:space="preserve">Wolfe v1: put in modified wolfe + EDTA </v>
      </c>
      <c r="E1430" s="10" t="str">
        <f>IFERROR(VLOOKUP(B1430,'Pre-Summary'!$AT$6:$AX$15,4,FALSE),"")</f>
        <v/>
      </c>
      <c r="F1430">
        <f>IFERROR(VLOOKUP(B1430,'Pre-Summary'!$AL$6:$AQ$13,6,FALSE),F1429)</f>
        <v>5.3897368421052638E-2</v>
      </c>
      <c r="G1430" t="str">
        <f>IFERROR(VLOOKUP(B1430,'Pre-Summary'!$AE$6:$AJ$85,3,FALSE),"")</f>
        <v/>
      </c>
      <c r="H1430" t="str">
        <f>IFERROR(VLOOKUP(B1430,'Pre-Summary'!$AE$6:$AJ$85,4,FALSE),"")</f>
        <v/>
      </c>
      <c r="I1430" t="str">
        <f>IFERROR(VLOOKUP(B1430,'Pre-Summary'!$AE$6:$AJ$85,5,FALSE),"")</f>
        <v/>
      </c>
      <c r="J1430" s="45" t="str">
        <f>IFERROR(VLOOKUP(B1430,'Pre-Summary'!$AE$6:$AJ$85,6, FALSE),"")</f>
        <v/>
      </c>
      <c r="K1430" s="45" t="str">
        <f>IFERROR(VLOOKUP(B1430,'Pre-Summary'!$DE$6:$DG$61,3,FALSE),"")</f>
        <v/>
      </c>
      <c r="L1430" s="45" t="str">
        <f>IFERROR(VLOOKUP(B1430,'Pre-Summary'!$CU$6:$CW$36,3,FALSE),"")</f>
        <v/>
      </c>
      <c r="M1430" s="45" t="str">
        <f>IFERROR(VLOOKUP(B1430,'Pre-Summary'!$BW$6:$BY$58,2,FALSE),"")</f>
        <v/>
      </c>
      <c r="N1430" s="45" t="str">
        <f>IFERROR(VLOOKUP(B1430,'Pre-Summary'!$CD$6:$CF$64,2,FALSE),"")</f>
        <v/>
      </c>
      <c r="O1430" s="99">
        <f>IFERROR(VLOOKUP(B1430,'Pre-Summary'!$BO$6:$BQ$48,3, FALSE),O1429)</f>
        <v>1.2</v>
      </c>
      <c r="P1430" s="99">
        <f>IFERROR(VLOOKUP(B1430,'Pre-Summary'!$BS$6:$BU$35,3,FALSE),P1429)</f>
        <v>0.3</v>
      </c>
      <c r="Q1430" s="54">
        <f t="shared" si="66"/>
        <v>4</v>
      </c>
      <c r="R1430" s="53">
        <f>IFERROR(VLOOKUP(B1430,'Pre-Summary'!$BG$6:$BM$44,7,FALSE),R1431)</f>
        <v>9.5517489384447818E-2</v>
      </c>
      <c r="S1430" s="53">
        <f>IFERROR(VLOOKUP(B1430,'Pre-Summary'!$BG$6:$BM$44,6,FALSE),S1431)</f>
        <v>8.6010874938220475E-2</v>
      </c>
      <c r="T1430" s="45" t="str">
        <f>IFERROR(VLOOKUP(B1430,'Pre-Summary'!$Y$6:$AC$83, 3,FALSE),"")</f>
        <v/>
      </c>
      <c r="U1430" s="45" t="str">
        <f>IFERROR(VLOOKUP(B1430,'Pre-Summary'!$Y$6:$AC$83, 4,FALSE),"")</f>
        <v/>
      </c>
      <c r="V1430" t="str">
        <f>IFERROR(VLOOKUP(B1430,'Pre-Summary'!$Y$6:$AC$83, 5,FALSE),"")</f>
        <v/>
      </c>
      <c r="W1430" s="45" t="str">
        <f>IFERROR(VLOOKUP(B1430,'Pre-Summary'!$Y$6:$AD$83,6,FALSE),"")</f>
        <v/>
      </c>
      <c r="X1430" t="str">
        <f>IFERROR(VLOOKUP('Pre-Summary'!$DB$6:$DD$63,3,FALSE),"")</f>
        <v/>
      </c>
      <c r="Y1430" t="str">
        <f>IFERROR(VLOOKUP(B1430,'Pre-Summary'!$CR$6:$CT$36,3,FALSE),"")</f>
        <v/>
      </c>
      <c r="Z1430" s="45" t="str">
        <f>IFERROR(VLOOKUP(B1430,'Pre-Summary'!$BZ$6:$CB$63,2,FALSE),"")</f>
        <v/>
      </c>
      <c r="AA1430" s="45" t="str">
        <f>IFERROR(VLOOKUP(B1430,'Pre-Summary'!$CG$6:$CI$70,2,FALSE),"")</f>
        <v/>
      </c>
      <c r="AB1430" s="99">
        <f>IFERROR(VLOOKUP(B1430,'Pre-Summary'!$A$6:$P$178,9,FALSE),AB1431)</f>
        <v>0.28469639734144964</v>
      </c>
      <c r="AC1430" s="10">
        <f>IFERROR(VLOOKUP(Summary!B1430,'Pre-Summary'!$A$6:$P$184,5, FALSE)/100,AC1431)</f>
        <v>0.97370999999999996</v>
      </c>
      <c r="AD1430" s="10">
        <f>IFERROR(VLOOKUP(Summary!B1430,'Pre-Summary'!$A$6:$P$184,3, FALSE)/100,AD1431)</f>
        <v>9.6713333333333321E-3</v>
      </c>
      <c r="AE1430" s="10">
        <f>IFERROR(VLOOKUP(Summary!B1430,'Pre-Summary'!$A$6:$P$184,7, FALSE)/100,AE1431)</f>
        <v>1.6468333333333335E-2</v>
      </c>
      <c r="AF1430" s="99">
        <f t="shared" si="67"/>
        <v>2.7533937574882729E-3</v>
      </c>
      <c r="AG1430" s="99">
        <f t="shared" si="68"/>
        <v>4.6884751702181071E-3</v>
      </c>
      <c r="AH1430" s="10" t="str">
        <f>IFERROR(VLOOKUP(B1430,'Pre-Summary'!$AZ$6:$BE$65,3,FALSE),"")</f>
        <v/>
      </c>
      <c r="AI1430" s="10" t="str">
        <f>IFERROR(VLOOKUP(B1430,'Pre-Summary'!$AZ$6:$BE$65,5,FALSE),"")</f>
        <v/>
      </c>
      <c r="AJ1430" s="10" t="str">
        <f>IFERROR(VLOOKUP(B1430,'Pre-Summary'!$AZ$6:$BE$65,4,FALSE),"")</f>
        <v/>
      </c>
      <c r="AK1430" s="10" t="str">
        <f>IFERROR(VLOOKUP(B1430,'Pre-Summary'!$AZ$6:$BE$65,6,FALSE),"")</f>
        <v/>
      </c>
      <c r="AL1430" s="10" t="str">
        <f>IFERROR(VLOOKUP(B1430,'Pre-Summary'!$BG$6:$BL$44,3,FALSE),"")</f>
        <v/>
      </c>
      <c r="AM1430" s="10" t="str">
        <f>IFERROR(VLOOKUP(B1430,'Pre-Summary'!$BG$6:$BL$44,4,FALSE),"")</f>
        <v/>
      </c>
    </row>
    <row r="1431" spans="2:39" ht="15" customHeight="1" x14ac:dyDescent="0.3">
      <c r="B1431">
        <v>142.80000000000001</v>
      </c>
      <c r="C1431" t="str">
        <f>IFERROR(VLOOKUP(B1431,'Pre-Summary'!$DI$6:$DM$23,4,FALSE),"")</f>
        <v/>
      </c>
      <c r="D1431" s="10" t="str">
        <f>IFERROR(VLOOKUP(B1431,'Pre-Summary'!$AT$6:$AX$14,5,FALSE),D1430)</f>
        <v xml:space="preserve">Wolfe v1: put in modified wolfe + EDTA </v>
      </c>
      <c r="E1431" s="10" t="str">
        <f>IFERROR(VLOOKUP(B1431,'Pre-Summary'!$AT$6:$AX$15,4,FALSE),"")</f>
        <v/>
      </c>
      <c r="F1431">
        <f>IFERROR(VLOOKUP(B1431,'Pre-Summary'!$AL$6:$AQ$13,6,FALSE),F1430)</f>
        <v>5.3897368421052638E-2</v>
      </c>
      <c r="G1431" t="str">
        <f>IFERROR(VLOOKUP(B1431,'Pre-Summary'!$AE$6:$AJ$85,3,FALSE),"")</f>
        <v/>
      </c>
      <c r="H1431" t="str">
        <f>IFERROR(VLOOKUP(B1431,'Pre-Summary'!$AE$6:$AJ$85,4,FALSE),"")</f>
        <v/>
      </c>
      <c r="I1431" t="str">
        <f>IFERROR(VLOOKUP(B1431,'Pre-Summary'!$AE$6:$AJ$85,5,FALSE),"")</f>
        <v/>
      </c>
      <c r="J1431" s="45" t="str">
        <f>IFERROR(VLOOKUP(B1431,'Pre-Summary'!$AE$6:$AJ$85,6, FALSE),"")</f>
        <v/>
      </c>
      <c r="K1431" s="45" t="str">
        <f>IFERROR(VLOOKUP(B1431,'Pre-Summary'!$DE$6:$DG$61,3,FALSE),"")</f>
        <v/>
      </c>
      <c r="L1431" s="45" t="str">
        <f>IFERROR(VLOOKUP(B1431,'Pre-Summary'!$CU$6:$CW$36,3,FALSE),"")</f>
        <v/>
      </c>
      <c r="M1431" s="45" t="str">
        <f>IFERROR(VLOOKUP(B1431,'Pre-Summary'!$BW$6:$BY$58,2,FALSE),"")</f>
        <v/>
      </c>
      <c r="N1431" s="45" t="str">
        <f>IFERROR(VLOOKUP(B1431,'Pre-Summary'!$CD$6:$CF$64,2,FALSE),"")</f>
        <v/>
      </c>
      <c r="O1431" s="99">
        <f>IFERROR(VLOOKUP(B1431,'Pre-Summary'!$BO$6:$BQ$48,3, FALSE),O1430)</f>
        <v>1.2</v>
      </c>
      <c r="P1431" s="99">
        <f>IFERROR(VLOOKUP(B1431,'Pre-Summary'!$BS$6:$BU$35,3,FALSE),P1430)</f>
        <v>0.3</v>
      </c>
      <c r="Q1431" s="54">
        <f t="shared" si="66"/>
        <v>4</v>
      </c>
      <c r="R1431" s="53">
        <f>IFERROR(VLOOKUP(B1431,'Pre-Summary'!$BG$6:$BM$44,7,FALSE),R1432)</f>
        <v>9.5517489384447818E-2</v>
      </c>
      <c r="S1431" s="53">
        <f>IFERROR(VLOOKUP(B1431,'Pre-Summary'!$BG$6:$BM$44,6,FALSE),S1432)</f>
        <v>8.6010874938220475E-2</v>
      </c>
      <c r="T1431" s="45" t="str">
        <f>IFERROR(VLOOKUP(B1431,'Pre-Summary'!$Y$6:$AC$83, 3,FALSE),"")</f>
        <v/>
      </c>
      <c r="U1431" s="45" t="str">
        <f>IFERROR(VLOOKUP(B1431,'Pre-Summary'!$Y$6:$AC$83, 4,FALSE),"")</f>
        <v/>
      </c>
      <c r="V1431" t="str">
        <f>IFERROR(VLOOKUP(B1431,'Pre-Summary'!$Y$6:$AC$83, 5,FALSE),"")</f>
        <v/>
      </c>
      <c r="W1431" s="45" t="str">
        <f>IFERROR(VLOOKUP(B1431,'Pre-Summary'!$Y$6:$AD$83,6,FALSE),"")</f>
        <v/>
      </c>
      <c r="X1431" t="str">
        <f>IFERROR(VLOOKUP('Pre-Summary'!$DB$6:$DD$63,3,FALSE),"")</f>
        <v/>
      </c>
      <c r="Y1431" t="str">
        <f>IFERROR(VLOOKUP(B1431,'Pre-Summary'!$CR$6:$CT$36,3,FALSE),"")</f>
        <v/>
      </c>
      <c r="Z1431" s="45" t="str">
        <f>IFERROR(VLOOKUP(B1431,'Pre-Summary'!$BZ$6:$CB$63,2,FALSE),"")</f>
        <v/>
      </c>
      <c r="AA1431" s="45" t="str">
        <f>IFERROR(VLOOKUP(B1431,'Pre-Summary'!$CG$6:$CI$70,2,FALSE),"")</f>
        <v/>
      </c>
      <c r="AB1431" s="99">
        <f>IFERROR(VLOOKUP(B1431,'Pre-Summary'!$A$6:$P$178,9,FALSE),AB1432)</f>
        <v>0.28469639734144964</v>
      </c>
      <c r="AC1431" s="10">
        <f>IFERROR(VLOOKUP(Summary!B1431,'Pre-Summary'!$A$6:$P$184,5, FALSE)/100,AC1432)</f>
        <v>0.97370999999999996</v>
      </c>
      <c r="AD1431" s="10">
        <f>IFERROR(VLOOKUP(Summary!B1431,'Pre-Summary'!$A$6:$P$184,3, FALSE)/100,AD1432)</f>
        <v>9.6713333333333321E-3</v>
      </c>
      <c r="AE1431" s="10">
        <f>IFERROR(VLOOKUP(Summary!B1431,'Pre-Summary'!$A$6:$P$184,7, FALSE)/100,AE1432)</f>
        <v>1.6468333333333335E-2</v>
      </c>
      <c r="AF1431" s="99">
        <f t="shared" si="67"/>
        <v>2.7533937574882729E-3</v>
      </c>
      <c r="AG1431" s="99">
        <f t="shared" si="68"/>
        <v>4.6884751702181071E-3</v>
      </c>
      <c r="AH1431" s="10" t="str">
        <f>IFERROR(VLOOKUP(B1431,'Pre-Summary'!$AZ$6:$BE$65,3,FALSE),"")</f>
        <v/>
      </c>
      <c r="AI1431" s="10" t="str">
        <f>IFERROR(VLOOKUP(B1431,'Pre-Summary'!$AZ$6:$BE$65,5,FALSE),"")</f>
        <v/>
      </c>
      <c r="AJ1431" s="10" t="str">
        <f>IFERROR(VLOOKUP(B1431,'Pre-Summary'!$AZ$6:$BE$65,4,FALSE),"")</f>
        <v/>
      </c>
      <c r="AK1431" s="10" t="str">
        <f>IFERROR(VLOOKUP(B1431,'Pre-Summary'!$AZ$6:$BE$65,6,FALSE),"")</f>
        <v/>
      </c>
      <c r="AL1431" s="10" t="str">
        <f>IFERROR(VLOOKUP(B1431,'Pre-Summary'!$BG$6:$BL$44,3,FALSE),"")</f>
        <v/>
      </c>
      <c r="AM1431" s="10" t="str">
        <f>IFERROR(VLOOKUP(B1431,'Pre-Summary'!$BG$6:$BL$44,4,FALSE),"")</f>
        <v/>
      </c>
    </row>
    <row r="1432" spans="2:39" ht="15" customHeight="1" x14ac:dyDescent="0.3">
      <c r="B1432">
        <v>142.9</v>
      </c>
      <c r="C1432" t="str">
        <f>IFERROR(VLOOKUP(B1432,'Pre-Summary'!$DI$6:$DM$23,4,FALSE),"")</f>
        <v/>
      </c>
      <c r="D1432" s="10" t="str">
        <f>IFERROR(VLOOKUP(B1432,'Pre-Summary'!$AT$6:$AX$14,5,FALSE),D1431)</f>
        <v xml:space="preserve">Wolfe v1: put in modified wolfe + EDTA </v>
      </c>
      <c r="E1432" s="10" t="str">
        <f>IFERROR(VLOOKUP(B1432,'Pre-Summary'!$AT$6:$AX$15,4,FALSE),"")</f>
        <v/>
      </c>
      <c r="F1432">
        <f>IFERROR(VLOOKUP(B1432,'Pre-Summary'!$AL$6:$AQ$13,6,FALSE),F1431)</f>
        <v>5.3897368421052638E-2</v>
      </c>
      <c r="G1432" t="str">
        <f>IFERROR(VLOOKUP(B1432,'Pre-Summary'!$AE$6:$AJ$85,3,FALSE),"")</f>
        <v/>
      </c>
      <c r="H1432" t="str">
        <f>IFERROR(VLOOKUP(B1432,'Pre-Summary'!$AE$6:$AJ$85,4,FALSE),"")</f>
        <v/>
      </c>
      <c r="I1432" t="str">
        <f>IFERROR(VLOOKUP(B1432,'Pre-Summary'!$AE$6:$AJ$85,5,FALSE),"")</f>
        <v/>
      </c>
      <c r="J1432" s="45" t="str">
        <f>IFERROR(VLOOKUP(B1432,'Pre-Summary'!$AE$6:$AJ$85,6, FALSE),"")</f>
        <v/>
      </c>
      <c r="K1432" s="45" t="str">
        <f>IFERROR(VLOOKUP(B1432,'Pre-Summary'!$DE$6:$DG$61,3,FALSE),"")</f>
        <v/>
      </c>
      <c r="L1432" s="45" t="str">
        <f>IFERROR(VLOOKUP(B1432,'Pre-Summary'!$CU$6:$CW$36,3,FALSE),"")</f>
        <v/>
      </c>
      <c r="M1432" s="45" t="str">
        <f>IFERROR(VLOOKUP(B1432,'Pre-Summary'!$BW$6:$BY$58,2,FALSE),"")</f>
        <v/>
      </c>
      <c r="N1432" s="45" t="str">
        <f>IFERROR(VLOOKUP(B1432,'Pre-Summary'!$CD$6:$CF$64,2,FALSE),"")</f>
        <v/>
      </c>
      <c r="O1432" s="99">
        <f>IFERROR(VLOOKUP(B1432,'Pre-Summary'!$BO$6:$BQ$48,3, FALSE),O1431)</f>
        <v>1.2</v>
      </c>
      <c r="P1432" s="99">
        <f>IFERROR(VLOOKUP(B1432,'Pre-Summary'!$BS$6:$BU$35,3,FALSE),P1431)</f>
        <v>0.3</v>
      </c>
      <c r="Q1432" s="54">
        <f t="shared" si="66"/>
        <v>4</v>
      </c>
      <c r="R1432" s="53">
        <f>IFERROR(VLOOKUP(B1432,'Pre-Summary'!$BG$6:$BM$44,7,FALSE),R1433)</f>
        <v>9.5517489384447818E-2</v>
      </c>
      <c r="S1432" s="53">
        <f>IFERROR(VLOOKUP(B1432,'Pre-Summary'!$BG$6:$BM$44,6,FALSE),S1433)</f>
        <v>8.6010874938220475E-2</v>
      </c>
      <c r="T1432" s="45" t="str">
        <f>IFERROR(VLOOKUP(B1432,'Pre-Summary'!$Y$6:$AC$83, 3,FALSE),"")</f>
        <v/>
      </c>
      <c r="U1432" s="45" t="str">
        <f>IFERROR(VLOOKUP(B1432,'Pre-Summary'!$Y$6:$AC$83, 4,FALSE),"")</f>
        <v/>
      </c>
      <c r="V1432" t="str">
        <f>IFERROR(VLOOKUP(B1432,'Pre-Summary'!$Y$6:$AC$83, 5,FALSE),"")</f>
        <v/>
      </c>
      <c r="W1432" s="45" t="str">
        <f>IFERROR(VLOOKUP(B1432,'Pre-Summary'!$Y$6:$AD$83,6,FALSE),"")</f>
        <v/>
      </c>
      <c r="X1432" t="str">
        <f>IFERROR(VLOOKUP('Pre-Summary'!$DB$6:$DD$63,3,FALSE),"")</f>
        <v/>
      </c>
      <c r="Y1432" t="str">
        <f>IFERROR(VLOOKUP(B1432,'Pre-Summary'!$CR$6:$CT$36,3,FALSE),"")</f>
        <v/>
      </c>
      <c r="Z1432" s="45" t="str">
        <f>IFERROR(VLOOKUP(B1432,'Pre-Summary'!$BZ$6:$CB$63,2,FALSE),"")</f>
        <v/>
      </c>
      <c r="AA1432" s="45" t="str">
        <f>IFERROR(VLOOKUP(B1432,'Pre-Summary'!$CG$6:$CI$70,2,FALSE),"")</f>
        <v/>
      </c>
      <c r="AB1432" s="99">
        <f>IFERROR(VLOOKUP(B1432,'Pre-Summary'!$A$6:$P$178,9,FALSE),AB1433)</f>
        <v>0.28469639734144964</v>
      </c>
      <c r="AC1432" s="10">
        <f>IFERROR(VLOOKUP(Summary!B1432,'Pre-Summary'!$A$6:$P$184,5, FALSE)/100,AC1433)</f>
        <v>0.97370999999999996</v>
      </c>
      <c r="AD1432" s="10">
        <f>IFERROR(VLOOKUP(Summary!B1432,'Pre-Summary'!$A$6:$P$184,3, FALSE)/100,AD1433)</f>
        <v>9.6713333333333321E-3</v>
      </c>
      <c r="AE1432" s="10">
        <f>IFERROR(VLOOKUP(Summary!B1432,'Pre-Summary'!$A$6:$P$184,7, FALSE)/100,AE1433)</f>
        <v>1.6468333333333335E-2</v>
      </c>
      <c r="AF1432" s="99">
        <f t="shared" si="67"/>
        <v>2.7533937574882729E-3</v>
      </c>
      <c r="AG1432" s="99">
        <f t="shared" si="68"/>
        <v>4.6884751702181071E-3</v>
      </c>
      <c r="AH1432" s="10" t="str">
        <f>IFERROR(VLOOKUP(B1432,'Pre-Summary'!$AZ$6:$BE$65,3,FALSE),"")</f>
        <v/>
      </c>
      <c r="AI1432" s="10" t="str">
        <f>IFERROR(VLOOKUP(B1432,'Pre-Summary'!$AZ$6:$BE$65,5,FALSE),"")</f>
        <v/>
      </c>
      <c r="AJ1432" s="10" t="str">
        <f>IFERROR(VLOOKUP(B1432,'Pre-Summary'!$AZ$6:$BE$65,4,FALSE),"")</f>
        <v/>
      </c>
      <c r="AK1432" s="10" t="str">
        <f>IFERROR(VLOOKUP(B1432,'Pre-Summary'!$AZ$6:$BE$65,6,FALSE),"")</f>
        <v/>
      </c>
      <c r="AL1432" s="10" t="str">
        <f>IFERROR(VLOOKUP(B1432,'Pre-Summary'!$BG$6:$BL$44,3,FALSE),"")</f>
        <v/>
      </c>
      <c r="AM1432" s="10" t="str">
        <f>IFERROR(VLOOKUP(B1432,'Pre-Summary'!$BG$6:$BL$44,4,FALSE),"")</f>
        <v/>
      </c>
    </row>
    <row r="1433" spans="2:39" ht="15" customHeight="1" x14ac:dyDescent="0.3">
      <c r="B1433">
        <v>143</v>
      </c>
      <c r="C1433" t="str">
        <f>IFERROR(VLOOKUP(B1433,'Pre-Summary'!$DI$6:$DM$23,4,FALSE),"")</f>
        <v/>
      </c>
      <c r="D1433" s="10" t="str">
        <f>IFERROR(VLOOKUP(B1433,'Pre-Summary'!$AT$6:$AX$14,5,FALSE),D1432)</f>
        <v xml:space="preserve">Wolfe v1: put in modified wolfe + EDTA </v>
      </c>
      <c r="E1433" s="10" t="str">
        <f>IFERROR(VLOOKUP(B1433,'Pre-Summary'!$AT$6:$AX$15,4,FALSE),"")</f>
        <v/>
      </c>
      <c r="F1433">
        <f>IFERROR(VLOOKUP(B1433,'Pre-Summary'!$AL$6:$AQ$13,6,FALSE),F1432)</f>
        <v>5.3897368421052638E-2</v>
      </c>
      <c r="G1433" t="str">
        <f>IFERROR(VLOOKUP(B1433,'Pre-Summary'!$AE$6:$AJ$85,3,FALSE),"")</f>
        <v/>
      </c>
      <c r="H1433" t="str">
        <f>IFERROR(VLOOKUP(B1433,'Pre-Summary'!$AE$6:$AJ$85,4,FALSE),"")</f>
        <v/>
      </c>
      <c r="I1433" t="str">
        <f>IFERROR(VLOOKUP(B1433,'Pre-Summary'!$AE$6:$AJ$85,5,FALSE),"")</f>
        <v/>
      </c>
      <c r="J1433" s="45" t="str">
        <f>IFERROR(VLOOKUP(B1433,'Pre-Summary'!$AE$6:$AJ$85,6, FALSE),"")</f>
        <v/>
      </c>
      <c r="K1433" s="45" t="str">
        <f>IFERROR(VLOOKUP(B1433,'Pre-Summary'!$DE$6:$DG$61,3,FALSE),"")</f>
        <v/>
      </c>
      <c r="L1433" s="45" t="str">
        <f>IFERROR(VLOOKUP(B1433,'Pre-Summary'!$CU$6:$CW$36,3,FALSE),"")</f>
        <v/>
      </c>
      <c r="M1433" s="45" t="str">
        <f>IFERROR(VLOOKUP(B1433,'Pre-Summary'!$BW$6:$BY$58,2,FALSE),"")</f>
        <v/>
      </c>
      <c r="N1433" s="45" t="str">
        <f>IFERROR(VLOOKUP(B1433,'Pre-Summary'!$CD$6:$CF$64,2,FALSE),"")</f>
        <v/>
      </c>
      <c r="O1433" s="99">
        <f>IFERROR(VLOOKUP(B1433,'Pre-Summary'!$BO$6:$BQ$48,3, FALSE),O1432)</f>
        <v>1.2</v>
      </c>
      <c r="P1433" s="99">
        <f>IFERROR(VLOOKUP(B1433,'Pre-Summary'!$BS$6:$BU$35,3,FALSE),P1432)</f>
        <v>0.3</v>
      </c>
      <c r="Q1433" s="54">
        <f t="shared" si="66"/>
        <v>4</v>
      </c>
      <c r="R1433" s="53">
        <f>IFERROR(VLOOKUP(B1433,'Pre-Summary'!$BG$6:$BM$44,7,FALSE),R1434)</f>
        <v>9.5517489384447818E-2</v>
      </c>
      <c r="S1433" s="53">
        <f>IFERROR(VLOOKUP(B1433,'Pre-Summary'!$BG$6:$BM$44,6,FALSE),S1434)</f>
        <v>8.6010874938220475E-2</v>
      </c>
      <c r="T1433" s="45" t="str">
        <f>IFERROR(VLOOKUP(B1433,'Pre-Summary'!$Y$6:$AC$83, 3,FALSE),"")</f>
        <v/>
      </c>
      <c r="U1433" s="45" t="str">
        <f>IFERROR(VLOOKUP(B1433,'Pre-Summary'!$Y$6:$AC$83, 4,FALSE),"")</f>
        <v/>
      </c>
      <c r="V1433" t="str">
        <f>IFERROR(VLOOKUP(B1433,'Pre-Summary'!$Y$6:$AC$83, 5,FALSE),"")</f>
        <v/>
      </c>
      <c r="W1433" s="45" t="str">
        <f>IFERROR(VLOOKUP(B1433,'Pre-Summary'!$Y$6:$AD$83,6,FALSE),"")</f>
        <v/>
      </c>
      <c r="X1433" t="str">
        <f>IFERROR(VLOOKUP('Pre-Summary'!$DB$6:$DD$63,3,FALSE),"")</f>
        <v/>
      </c>
      <c r="Y1433" t="str">
        <f>IFERROR(VLOOKUP(B1433,'Pre-Summary'!$CR$6:$CT$36,3,FALSE),"")</f>
        <v/>
      </c>
      <c r="Z1433" s="45" t="str">
        <f>IFERROR(VLOOKUP(B1433,'Pre-Summary'!$BZ$6:$CB$63,2,FALSE),"")</f>
        <v/>
      </c>
      <c r="AA1433" s="45" t="str">
        <f>IFERROR(VLOOKUP(B1433,'Pre-Summary'!$CG$6:$CI$70,2,FALSE),"")</f>
        <v/>
      </c>
      <c r="AB1433" s="99">
        <f>IFERROR(VLOOKUP(B1433,'Pre-Summary'!$A$6:$P$178,9,FALSE),AB1434)</f>
        <v>0.28469639734144964</v>
      </c>
      <c r="AC1433" s="10">
        <f>IFERROR(VLOOKUP(Summary!B1433,'Pre-Summary'!$A$6:$P$184,5, FALSE)/100,AC1434)</f>
        <v>0.97370999999999996</v>
      </c>
      <c r="AD1433" s="10">
        <f>IFERROR(VLOOKUP(Summary!B1433,'Pre-Summary'!$A$6:$P$184,3, FALSE)/100,AD1434)</f>
        <v>9.6713333333333321E-3</v>
      </c>
      <c r="AE1433" s="10">
        <f>IFERROR(VLOOKUP(Summary!B1433,'Pre-Summary'!$A$6:$P$184,7, FALSE)/100,AE1434)</f>
        <v>1.6468333333333335E-2</v>
      </c>
      <c r="AF1433" s="99">
        <f t="shared" si="67"/>
        <v>2.7533937574882729E-3</v>
      </c>
      <c r="AG1433" s="99">
        <f t="shared" si="68"/>
        <v>4.6884751702181071E-3</v>
      </c>
      <c r="AH1433" s="10" t="str">
        <f>IFERROR(VLOOKUP(B1433,'Pre-Summary'!$AZ$6:$BE$65,3,FALSE),"")</f>
        <v/>
      </c>
      <c r="AI1433" s="10" t="str">
        <f>IFERROR(VLOOKUP(B1433,'Pre-Summary'!$AZ$6:$BE$65,5,FALSE),"")</f>
        <v/>
      </c>
      <c r="AJ1433" s="10" t="str">
        <f>IFERROR(VLOOKUP(B1433,'Pre-Summary'!$AZ$6:$BE$65,4,FALSE),"")</f>
        <v/>
      </c>
      <c r="AK1433" s="10" t="str">
        <f>IFERROR(VLOOKUP(B1433,'Pre-Summary'!$AZ$6:$BE$65,6,FALSE),"")</f>
        <v/>
      </c>
      <c r="AL1433" s="10" t="str">
        <f>IFERROR(VLOOKUP(B1433,'Pre-Summary'!$BG$6:$BL$44,3,FALSE),"")</f>
        <v/>
      </c>
      <c r="AM1433" s="10" t="str">
        <f>IFERROR(VLOOKUP(B1433,'Pre-Summary'!$BG$6:$BL$44,4,FALSE),"")</f>
        <v/>
      </c>
    </row>
    <row r="1434" spans="2:39" ht="15" customHeight="1" x14ac:dyDescent="0.3">
      <c r="B1434">
        <v>143.1</v>
      </c>
      <c r="C1434" t="str">
        <f>IFERROR(VLOOKUP(B1434,'Pre-Summary'!$DI$6:$DM$23,4,FALSE),"")</f>
        <v/>
      </c>
      <c r="D1434" s="10" t="str">
        <f>IFERROR(VLOOKUP(B1434,'Pre-Summary'!$AT$6:$AX$14,5,FALSE),D1433)</f>
        <v xml:space="preserve">Wolfe v1: put in modified wolfe + EDTA </v>
      </c>
      <c r="E1434" s="10" t="str">
        <f>IFERROR(VLOOKUP(B1434,'Pre-Summary'!$AT$6:$AX$15,4,FALSE),"")</f>
        <v/>
      </c>
      <c r="F1434">
        <f>IFERROR(VLOOKUP(B1434,'Pre-Summary'!$AL$6:$AQ$13,6,FALSE),F1433)</f>
        <v>5.3897368421052638E-2</v>
      </c>
      <c r="G1434" t="str">
        <f>IFERROR(VLOOKUP(B1434,'Pre-Summary'!$AE$6:$AJ$85,3,FALSE),"")</f>
        <v/>
      </c>
      <c r="H1434" t="str">
        <f>IFERROR(VLOOKUP(B1434,'Pre-Summary'!$AE$6:$AJ$85,4,FALSE),"")</f>
        <v/>
      </c>
      <c r="I1434" t="str">
        <f>IFERROR(VLOOKUP(B1434,'Pre-Summary'!$AE$6:$AJ$85,5,FALSE),"")</f>
        <v/>
      </c>
      <c r="J1434" s="45" t="str">
        <f>IFERROR(VLOOKUP(B1434,'Pre-Summary'!$AE$6:$AJ$85,6, FALSE),"")</f>
        <v/>
      </c>
      <c r="K1434" s="45" t="str">
        <f>IFERROR(VLOOKUP(B1434,'Pre-Summary'!$DE$6:$DG$61,3,FALSE),"")</f>
        <v/>
      </c>
      <c r="L1434" s="45" t="str">
        <f>IFERROR(VLOOKUP(B1434,'Pre-Summary'!$CU$6:$CW$36,3,FALSE),"")</f>
        <v/>
      </c>
      <c r="M1434" s="45" t="str">
        <f>IFERROR(VLOOKUP(B1434,'Pre-Summary'!$BW$6:$BY$58,2,FALSE),"")</f>
        <v/>
      </c>
      <c r="N1434" s="45" t="str">
        <f>IFERROR(VLOOKUP(B1434,'Pre-Summary'!$CD$6:$CF$64,2,FALSE),"")</f>
        <v/>
      </c>
      <c r="O1434" s="99">
        <f>IFERROR(VLOOKUP(B1434,'Pre-Summary'!$BO$6:$BQ$48,3, FALSE),O1433)</f>
        <v>1.2</v>
      </c>
      <c r="P1434" s="99">
        <f>IFERROR(VLOOKUP(B1434,'Pre-Summary'!$BS$6:$BU$35,3,FALSE),P1433)</f>
        <v>0.3</v>
      </c>
      <c r="Q1434" s="54">
        <f t="shared" si="66"/>
        <v>4</v>
      </c>
      <c r="R1434" s="53">
        <f>IFERROR(VLOOKUP(B1434,'Pre-Summary'!$BG$6:$BM$44,7,FALSE),R1435)</f>
        <v>9.5517489384447818E-2</v>
      </c>
      <c r="S1434" s="53">
        <f>IFERROR(VLOOKUP(B1434,'Pre-Summary'!$BG$6:$BM$44,6,FALSE),S1435)</f>
        <v>8.6010874938220475E-2</v>
      </c>
      <c r="T1434" s="45" t="str">
        <f>IFERROR(VLOOKUP(B1434,'Pre-Summary'!$Y$6:$AC$83, 3,FALSE),"")</f>
        <v/>
      </c>
      <c r="U1434" s="45" t="str">
        <f>IFERROR(VLOOKUP(B1434,'Pre-Summary'!$Y$6:$AC$83, 4,FALSE),"")</f>
        <v/>
      </c>
      <c r="V1434" t="str">
        <f>IFERROR(VLOOKUP(B1434,'Pre-Summary'!$Y$6:$AC$83, 5,FALSE),"")</f>
        <v/>
      </c>
      <c r="W1434" s="45" t="str">
        <f>IFERROR(VLOOKUP(B1434,'Pre-Summary'!$Y$6:$AD$83,6,FALSE),"")</f>
        <v/>
      </c>
      <c r="X1434" t="str">
        <f>IFERROR(VLOOKUP('Pre-Summary'!$DB$6:$DD$63,3,FALSE),"")</f>
        <v/>
      </c>
      <c r="Y1434" t="str">
        <f>IFERROR(VLOOKUP(B1434,'Pre-Summary'!$CR$6:$CT$36,3,FALSE),"")</f>
        <v/>
      </c>
      <c r="Z1434" s="45" t="str">
        <f>IFERROR(VLOOKUP(B1434,'Pre-Summary'!$BZ$6:$CB$63,2,FALSE),"")</f>
        <v/>
      </c>
      <c r="AA1434" s="45" t="str">
        <f>IFERROR(VLOOKUP(B1434,'Pre-Summary'!$CG$6:$CI$70,2,FALSE),"")</f>
        <v/>
      </c>
      <c r="AB1434" s="99">
        <f>IFERROR(VLOOKUP(B1434,'Pre-Summary'!$A$6:$P$178,9,FALSE),AB1435)</f>
        <v>0.28469639734144964</v>
      </c>
      <c r="AC1434" s="10">
        <f>IFERROR(VLOOKUP(Summary!B1434,'Pre-Summary'!$A$6:$P$184,5, FALSE)/100,AC1435)</f>
        <v>0.97370999999999996</v>
      </c>
      <c r="AD1434" s="10">
        <f>IFERROR(VLOOKUP(Summary!B1434,'Pre-Summary'!$A$6:$P$184,3, FALSE)/100,AD1435)</f>
        <v>9.6713333333333321E-3</v>
      </c>
      <c r="AE1434" s="10">
        <f>IFERROR(VLOOKUP(Summary!B1434,'Pre-Summary'!$A$6:$P$184,7, FALSE)/100,AE1435)</f>
        <v>1.6468333333333335E-2</v>
      </c>
      <c r="AF1434" s="99">
        <f t="shared" si="67"/>
        <v>2.7533937574882729E-3</v>
      </c>
      <c r="AG1434" s="99">
        <f t="shared" si="68"/>
        <v>4.6884751702181071E-3</v>
      </c>
      <c r="AH1434" s="10" t="str">
        <f>IFERROR(VLOOKUP(B1434,'Pre-Summary'!$AZ$6:$BE$65,3,FALSE),"")</f>
        <v/>
      </c>
      <c r="AI1434" s="10" t="str">
        <f>IFERROR(VLOOKUP(B1434,'Pre-Summary'!$AZ$6:$BE$65,5,FALSE),"")</f>
        <v/>
      </c>
      <c r="AJ1434" s="10" t="str">
        <f>IFERROR(VLOOKUP(B1434,'Pre-Summary'!$AZ$6:$BE$65,4,FALSE),"")</f>
        <v/>
      </c>
      <c r="AK1434" s="10" t="str">
        <f>IFERROR(VLOOKUP(B1434,'Pre-Summary'!$AZ$6:$BE$65,6,FALSE),"")</f>
        <v/>
      </c>
      <c r="AL1434" s="10" t="str">
        <f>IFERROR(VLOOKUP(B1434,'Pre-Summary'!$BG$6:$BL$44,3,FALSE),"")</f>
        <v/>
      </c>
      <c r="AM1434" s="10" t="str">
        <f>IFERROR(VLOOKUP(B1434,'Pre-Summary'!$BG$6:$BL$44,4,FALSE),"")</f>
        <v/>
      </c>
    </row>
    <row r="1435" spans="2:39" ht="15" customHeight="1" x14ac:dyDescent="0.3">
      <c r="B1435">
        <v>143.19999999999999</v>
      </c>
      <c r="C1435" t="str">
        <f>IFERROR(VLOOKUP(B1435,'Pre-Summary'!$DI$6:$DM$23,4,FALSE),"")</f>
        <v/>
      </c>
      <c r="D1435" s="10" t="str">
        <f>IFERROR(VLOOKUP(B1435,'Pre-Summary'!$AT$6:$AX$14,5,FALSE),D1434)</f>
        <v xml:space="preserve">Wolfe v1: put in modified wolfe + EDTA </v>
      </c>
      <c r="E1435" s="10" t="str">
        <f>IFERROR(VLOOKUP(B1435,'Pre-Summary'!$AT$6:$AX$15,4,FALSE),"")</f>
        <v/>
      </c>
      <c r="F1435">
        <f>IFERROR(VLOOKUP(B1435,'Pre-Summary'!$AL$6:$AQ$13,6,FALSE),F1434)</f>
        <v>5.3897368421052638E-2</v>
      </c>
      <c r="G1435" t="str">
        <f>IFERROR(VLOOKUP(B1435,'Pre-Summary'!$AE$6:$AJ$85,3,FALSE),"")</f>
        <v/>
      </c>
      <c r="H1435" t="str">
        <f>IFERROR(VLOOKUP(B1435,'Pre-Summary'!$AE$6:$AJ$85,4,FALSE),"")</f>
        <v/>
      </c>
      <c r="I1435" t="str">
        <f>IFERROR(VLOOKUP(B1435,'Pre-Summary'!$AE$6:$AJ$85,5,FALSE),"")</f>
        <v/>
      </c>
      <c r="J1435" s="45" t="str">
        <f>IFERROR(VLOOKUP(B1435,'Pre-Summary'!$AE$6:$AJ$85,6, FALSE),"")</f>
        <v/>
      </c>
      <c r="K1435" s="45" t="str">
        <f>IFERROR(VLOOKUP(B1435,'Pre-Summary'!$DE$6:$DG$61,3,FALSE),"")</f>
        <v/>
      </c>
      <c r="L1435" s="45" t="str">
        <f>IFERROR(VLOOKUP(B1435,'Pre-Summary'!$CU$6:$CW$36,3,FALSE),"")</f>
        <v/>
      </c>
      <c r="M1435" s="45" t="str">
        <f>IFERROR(VLOOKUP(B1435,'Pre-Summary'!$BW$6:$BY$58,2,FALSE),"")</f>
        <v/>
      </c>
      <c r="N1435" s="45" t="str">
        <f>IFERROR(VLOOKUP(B1435,'Pre-Summary'!$CD$6:$CF$64,2,FALSE),"")</f>
        <v/>
      </c>
      <c r="O1435" s="99">
        <f>IFERROR(VLOOKUP(B1435,'Pre-Summary'!$BO$6:$BQ$48,3, FALSE),O1434)</f>
        <v>1.2</v>
      </c>
      <c r="P1435" s="99">
        <f>IFERROR(VLOOKUP(B1435,'Pre-Summary'!$BS$6:$BU$35,3,FALSE),P1434)</f>
        <v>0.3</v>
      </c>
      <c r="Q1435" s="54">
        <f t="shared" si="66"/>
        <v>4</v>
      </c>
      <c r="R1435" s="53">
        <f>IFERROR(VLOOKUP(B1435,'Pre-Summary'!$BG$6:$BM$44,7,FALSE),R1436)</f>
        <v>9.5517489384447818E-2</v>
      </c>
      <c r="S1435" s="53">
        <f>IFERROR(VLOOKUP(B1435,'Pre-Summary'!$BG$6:$BM$44,6,FALSE),S1436)</f>
        <v>8.6010874938220475E-2</v>
      </c>
      <c r="T1435" s="45" t="str">
        <f>IFERROR(VLOOKUP(B1435,'Pre-Summary'!$Y$6:$AC$83, 3,FALSE),"")</f>
        <v/>
      </c>
      <c r="U1435" s="45" t="str">
        <f>IFERROR(VLOOKUP(B1435,'Pre-Summary'!$Y$6:$AC$83, 4,FALSE),"")</f>
        <v/>
      </c>
      <c r="V1435" t="str">
        <f>IFERROR(VLOOKUP(B1435,'Pre-Summary'!$Y$6:$AC$83, 5,FALSE),"")</f>
        <v/>
      </c>
      <c r="W1435" s="45" t="str">
        <f>IFERROR(VLOOKUP(B1435,'Pre-Summary'!$Y$6:$AD$83,6,FALSE),"")</f>
        <v/>
      </c>
      <c r="X1435" t="str">
        <f>IFERROR(VLOOKUP('Pre-Summary'!$DB$6:$DD$63,3,FALSE),"")</f>
        <v/>
      </c>
      <c r="Y1435" t="str">
        <f>IFERROR(VLOOKUP(B1435,'Pre-Summary'!$CR$6:$CT$36,3,FALSE),"")</f>
        <v/>
      </c>
      <c r="Z1435" s="45" t="str">
        <f>IFERROR(VLOOKUP(B1435,'Pre-Summary'!$BZ$6:$CB$63,2,FALSE),"")</f>
        <v/>
      </c>
      <c r="AA1435" s="45" t="str">
        <f>IFERROR(VLOOKUP(B1435,'Pre-Summary'!$CG$6:$CI$70,2,FALSE),"")</f>
        <v/>
      </c>
      <c r="AB1435" s="99">
        <f>IFERROR(VLOOKUP(B1435,'Pre-Summary'!$A$6:$P$178,9,FALSE),AB1436)</f>
        <v>0.28469639734144964</v>
      </c>
      <c r="AC1435" s="10">
        <f>IFERROR(VLOOKUP(Summary!B1435,'Pre-Summary'!$A$6:$P$184,5, FALSE)/100,AC1436)</f>
        <v>0.97370999999999996</v>
      </c>
      <c r="AD1435" s="10">
        <f>IFERROR(VLOOKUP(Summary!B1435,'Pre-Summary'!$A$6:$P$184,3, FALSE)/100,AD1436)</f>
        <v>9.6713333333333321E-3</v>
      </c>
      <c r="AE1435" s="10">
        <f>IFERROR(VLOOKUP(Summary!B1435,'Pre-Summary'!$A$6:$P$184,7, FALSE)/100,AE1436)</f>
        <v>1.6468333333333335E-2</v>
      </c>
      <c r="AF1435" s="99">
        <f t="shared" si="67"/>
        <v>2.7533937574882729E-3</v>
      </c>
      <c r="AG1435" s="99">
        <f t="shared" si="68"/>
        <v>4.6884751702181071E-3</v>
      </c>
      <c r="AH1435" s="10" t="str">
        <f>IFERROR(VLOOKUP(B1435,'Pre-Summary'!$AZ$6:$BE$65,3,FALSE),"")</f>
        <v/>
      </c>
      <c r="AI1435" s="10" t="str">
        <f>IFERROR(VLOOKUP(B1435,'Pre-Summary'!$AZ$6:$BE$65,5,FALSE),"")</f>
        <v/>
      </c>
      <c r="AJ1435" s="10" t="str">
        <f>IFERROR(VLOOKUP(B1435,'Pre-Summary'!$AZ$6:$BE$65,4,FALSE),"")</f>
        <v/>
      </c>
      <c r="AK1435" s="10" t="str">
        <f>IFERROR(VLOOKUP(B1435,'Pre-Summary'!$AZ$6:$BE$65,6,FALSE),"")</f>
        <v/>
      </c>
      <c r="AL1435" s="10" t="str">
        <f>IFERROR(VLOOKUP(B1435,'Pre-Summary'!$BG$6:$BL$44,3,FALSE),"")</f>
        <v/>
      </c>
      <c r="AM1435" s="10" t="str">
        <f>IFERROR(VLOOKUP(B1435,'Pre-Summary'!$BG$6:$BL$44,4,FALSE),"")</f>
        <v/>
      </c>
    </row>
    <row r="1436" spans="2:39" ht="15" customHeight="1" x14ac:dyDescent="0.3">
      <c r="B1436">
        <v>143.30000000000001</v>
      </c>
      <c r="C1436" t="str">
        <f>IFERROR(VLOOKUP(B1436,'Pre-Summary'!$DI$6:$DM$23,4,FALSE),"")</f>
        <v/>
      </c>
      <c r="D1436" s="10" t="str">
        <f>IFERROR(VLOOKUP(B1436,'Pre-Summary'!$AT$6:$AX$14,5,FALSE),D1435)</f>
        <v xml:space="preserve">Wolfe v1: put in modified wolfe + EDTA </v>
      </c>
      <c r="E1436" s="10" t="str">
        <f>IFERROR(VLOOKUP(B1436,'Pre-Summary'!$AT$6:$AX$15,4,FALSE),"")</f>
        <v/>
      </c>
      <c r="F1436">
        <f>IFERROR(VLOOKUP(B1436,'Pre-Summary'!$AL$6:$AQ$13,6,FALSE),F1435)</f>
        <v>5.3897368421052638E-2</v>
      </c>
      <c r="G1436" t="str">
        <f>IFERROR(VLOOKUP(B1436,'Pre-Summary'!$AE$6:$AJ$85,3,FALSE),"")</f>
        <v/>
      </c>
      <c r="H1436" t="str">
        <f>IFERROR(VLOOKUP(B1436,'Pre-Summary'!$AE$6:$AJ$85,4,FALSE),"")</f>
        <v/>
      </c>
      <c r="I1436" t="str">
        <f>IFERROR(VLOOKUP(B1436,'Pre-Summary'!$AE$6:$AJ$85,5,FALSE),"")</f>
        <v/>
      </c>
      <c r="J1436" s="45" t="str">
        <f>IFERROR(VLOOKUP(B1436,'Pre-Summary'!$AE$6:$AJ$85,6, FALSE),"")</f>
        <v/>
      </c>
      <c r="K1436" s="45" t="str">
        <f>IFERROR(VLOOKUP(B1436,'Pre-Summary'!$DE$6:$DG$61,3,FALSE),"")</f>
        <v/>
      </c>
      <c r="L1436" s="45" t="str">
        <f>IFERROR(VLOOKUP(B1436,'Pre-Summary'!$CU$6:$CW$36,3,FALSE),"")</f>
        <v/>
      </c>
      <c r="M1436" s="45" t="str">
        <f>IFERROR(VLOOKUP(B1436,'Pre-Summary'!$BW$6:$BY$58,2,FALSE),"")</f>
        <v/>
      </c>
      <c r="N1436" s="45" t="str">
        <f>IFERROR(VLOOKUP(B1436,'Pre-Summary'!$CD$6:$CF$64,2,FALSE),"")</f>
        <v/>
      </c>
      <c r="O1436" s="99">
        <f>IFERROR(VLOOKUP(B1436,'Pre-Summary'!$BO$6:$BQ$48,3, FALSE),O1435)</f>
        <v>1.2</v>
      </c>
      <c r="P1436" s="99">
        <f>IFERROR(VLOOKUP(B1436,'Pre-Summary'!$BS$6:$BU$35,3,FALSE),P1435)</f>
        <v>0.3</v>
      </c>
      <c r="Q1436" s="54">
        <f t="shared" si="66"/>
        <v>4</v>
      </c>
      <c r="R1436" s="53">
        <f>IFERROR(VLOOKUP(B1436,'Pre-Summary'!$BG$6:$BM$44,7,FALSE),R1437)</f>
        <v>9.5517489384447818E-2</v>
      </c>
      <c r="S1436" s="53">
        <f>IFERROR(VLOOKUP(B1436,'Pre-Summary'!$BG$6:$BM$44,6,FALSE),S1437)</f>
        <v>8.6010874938220475E-2</v>
      </c>
      <c r="T1436" s="45" t="str">
        <f>IFERROR(VLOOKUP(B1436,'Pre-Summary'!$Y$6:$AC$83, 3,FALSE),"")</f>
        <v/>
      </c>
      <c r="U1436" s="45" t="str">
        <f>IFERROR(VLOOKUP(B1436,'Pre-Summary'!$Y$6:$AC$83, 4,FALSE),"")</f>
        <v/>
      </c>
      <c r="V1436" t="str">
        <f>IFERROR(VLOOKUP(B1436,'Pre-Summary'!$Y$6:$AC$83, 5,FALSE),"")</f>
        <v/>
      </c>
      <c r="W1436" s="45" t="str">
        <f>IFERROR(VLOOKUP(B1436,'Pre-Summary'!$Y$6:$AD$83,6,FALSE),"")</f>
        <v/>
      </c>
      <c r="X1436" t="str">
        <f>IFERROR(VLOOKUP('Pre-Summary'!$DB$6:$DD$63,3,FALSE),"")</f>
        <v/>
      </c>
      <c r="Y1436" t="str">
        <f>IFERROR(VLOOKUP(B1436,'Pre-Summary'!$CR$6:$CT$36,3,FALSE),"")</f>
        <v/>
      </c>
      <c r="Z1436" s="45" t="str">
        <f>IFERROR(VLOOKUP(B1436,'Pre-Summary'!$BZ$6:$CB$63,2,FALSE),"")</f>
        <v/>
      </c>
      <c r="AA1436" s="45" t="str">
        <f>IFERROR(VLOOKUP(B1436,'Pre-Summary'!$CG$6:$CI$70,2,FALSE),"")</f>
        <v/>
      </c>
      <c r="AB1436" s="99">
        <f>IFERROR(VLOOKUP(B1436,'Pre-Summary'!$A$6:$P$178,9,FALSE),AB1437)</f>
        <v>0.28469639734144964</v>
      </c>
      <c r="AC1436" s="10">
        <f>IFERROR(VLOOKUP(Summary!B1436,'Pre-Summary'!$A$6:$P$184,5, FALSE)/100,AC1437)</f>
        <v>0.97370999999999996</v>
      </c>
      <c r="AD1436" s="10">
        <f>IFERROR(VLOOKUP(Summary!B1436,'Pre-Summary'!$A$6:$P$184,3, FALSE)/100,AD1437)</f>
        <v>9.6713333333333321E-3</v>
      </c>
      <c r="AE1436" s="10">
        <f>IFERROR(VLOOKUP(Summary!B1436,'Pre-Summary'!$A$6:$P$184,7, FALSE)/100,AE1437)</f>
        <v>1.6468333333333335E-2</v>
      </c>
      <c r="AF1436" s="99">
        <f t="shared" si="67"/>
        <v>2.7533937574882729E-3</v>
      </c>
      <c r="AG1436" s="99">
        <f t="shared" si="68"/>
        <v>4.6884751702181071E-3</v>
      </c>
      <c r="AH1436" s="10" t="str">
        <f>IFERROR(VLOOKUP(B1436,'Pre-Summary'!$AZ$6:$BE$65,3,FALSE),"")</f>
        <v/>
      </c>
      <c r="AI1436" s="10" t="str">
        <f>IFERROR(VLOOKUP(B1436,'Pre-Summary'!$AZ$6:$BE$65,5,FALSE),"")</f>
        <v/>
      </c>
      <c r="AJ1436" s="10" t="str">
        <f>IFERROR(VLOOKUP(B1436,'Pre-Summary'!$AZ$6:$BE$65,4,FALSE),"")</f>
        <v/>
      </c>
      <c r="AK1436" s="10" t="str">
        <f>IFERROR(VLOOKUP(B1436,'Pre-Summary'!$AZ$6:$BE$65,6,FALSE),"")</f>
        <v/>
      </c>
      <c r="AL1436" s="10" t="str">
        <f>IFERROR(VLOOKUP(B1436,'Pre-Summary'!$BG$6:$BL$44,3,FALSE),"")</f>
        <v/>
      </c>
      <c r="AM1436" s="10" t="str">
        <f>IFERROR(VLOOKUP(B1436,'Pre-Summary'!$BG$6:$BL$44,4,FALSE),"")</f>
        <v/>
      </c>
    </row>
    <row r="1437" spans="2:39" ht="15" customHeight="1" x14ac:dyDescent="0.3">
      <c r="B1437">
        <v>143.4</v>
      </c>
      <c r="C1437" t="str">
        <f>IFERROR(VLOOKUP(B1437,'Pre-Summary'!$DI$6:$DM$23,4,FALSE),"")</f>
        <v/>
      </c>
      <c r="D1437" s="10" t="str">
        <f>IFERROR(VLOOKUP(B1437,'Pre-Summary'!$AT$6:$AX$14,5,FALSE),D1436)</f>
        <v xml:space="preserve">Wolfe v1: put in modified wolfe + EDTA </v>
      </c>
      <c r="E1437" s="10" t="str">
        <f>IFERROR(VLOOKUP(B1437,'Pre-Summary'!$AT$6:$AX$15,4,FALSE),"")</f>
        <v/>
      </c>
      <c r="F1437">
        <f>IFERROR(VLOOKUP(B1437,'Pre-Summary'!$AL$6:$AQ$13,6,FALSE),F1436)</f>
        <v>5.3897368421052638E-2</v>
      </c>
      <c r="G1437" t="str">
        <f>IFERROR(VLOOKUP(B1437,'Pre-Summary'!$AE$6:$AJ$85,3,FALSE),"")</f>
        <v/>
      </c>
      <c r="H1437" t="str">
        <f>IFERROR(VLOOKUP(B1437,'Pre-Summary'!$AE$6:$AJ$85,4,FALSE),"")</f>
        <v/>
      </c>
      <c r="I1437" t="str">
        <f>IFERROR(VLOOKUP(B1437,'Pre-Summary'!$AE$6:$AJ$85,5,FALSE),"")</f>
        <v/>
      </c>
      <c r="J1437" s="45" t="str">
        <f>IFERROR(VLOOKUP(B1437,'Pre-Summary'!$AE$6:$AJ$85,6, FALSE),"")</f>
        <v/>
      </c>
      <c r="K1437" s="45" t="str">
        <f>IFERROR(VLOOKUP(B1437,'Pre-Summary'!$DE$6:$DG$61,3,FALSE),"")</f>
        <v/>
      </c>
      <c r="L1437" s="45" t="str">
        <f>IFERROR(VLOOKUP(B1437,'Pre-Summary'!$CU$6:$CW$36,3,FALSE),"")</f>
        <v/>
      </c>
      <c r="M1437" s="45" t="str">
        <f>IFERROR(VLOOKUP(B1437,'Pre-Summary'!$BW$6:$BY$58,2,FALSE),"")</f>
        <v/>
      </c>
      <c r="N1437" s="45" t="str">
        <f>IFERROR(VLOOKUP(B1437,'Pre-Summary'!$CD$6:$CF$64,2,FALSE),"")</f>
        <v/>
      </c>
      <c r="O1437" s="99">
        <f>IFERROR(VLOOKUP(B1437,'Pre-Summary'!$BO$6:$BQ$48,3, FALSE),O1436)</f>
        <v>1.2</v>
      </c>
      <c r="P1437" s="99">
        <f>IFERROR(VLOOKUP(B1437,'Pre-Summary'!$BS$6:$BU$35,3,FALSE),P1436)</f>
        <v>0.3</v>
      </c>
      <c r="Q1437" s="54">
        <f t="shared" si="66"/>
        <v>4</v>
      </c>
      <c r="R1437" s="53">
        <f>IFERROR(VLOOKUP(B1437,'Pre-Summary'!$BG$6:$BM$44,7,FALSE),R1438)</f>
        <v>9.5517489384447818E-2</v>
      </c>
      <c r="S1437" s="53">
        <f>IFERROR(VLOOKUP(B1437,'Pre-Summary'!$BG$6:$BM$44,6,FALSE),S1438)</f>
        <v>8.6010874938220475E-2</v>
      </c>
      <c r="T1437" s="45" t="str">
        <f>IFERROR(VLOOKUP(B1437,'Pre-Summary'!$Y$6:$AC$83, 3,FALSE),"")</f>
        <v/>
      </c>
      <c r="U1437" s="45" t="str">
        <f>IFERROR(VLOOKUP(B1437,'Pre-Summary'!$Y$6:$AC$83, 4,FALSE),"")</f>
        <v/>
      </c>
      <c r="V1437" t="str">
        <f>IFERROR(VLOOKUP(B1437,'Pre-Summary'!$Y$6:$AC$83, 5,FALSE),"")</f>
        <v/>
      </c>
      <c r="W1437" s="45" t="str">
        <f>IFERROR(VLOOKUP(B1437,'Pre-Summary'!$Y$6:$AD$83,6,FALSE),"")</f>
        <v/>
      </c>
      <c r="X1437" t="str">
        <f>IFERROR(VLOOKUP('Pre-Summary'!$DB$6:$DD$63,3,FALSE),"")</f>
        <v/>
      </c>
      <c r="Y1437" t="str">
        <f>IFERROR(VLOOKUP(B1437,'Pre-Summary'!$CR$6:$CT$36,3,FALSE),"")</f>
        <v/>
      </c>
      <c r="Z1437" s="45" t="str">
        <f>IFERROR(VLOOKUP(B1437,'Pre-Summary'!$BZ$6:$CB$63,2,FALSE),"")</f>
        <v/>
      </c>
      <c r="AA1437" s="45" t="str">
        <f>IFERROR(VLOOKUP(B1437,'Pre-Summary'!$CG$6:$CI$70,2,FALSE),"")</f>
        <v/>
      </c>
      <c r="AB1437" s="99">
        <f>IFERROR(VLOOKUP(B1437,'Pre-Summary'!$A$6:$P$178,9,FALSE),AB1438)</f>
        <v>0.28469639734144964</v>
      </c>
      <c r="AC1437" s="10">
        <f>IFERROR(VLOOKUP(Summary!B1437,'Pre-Summary'!$A$6:$P$184,5, FALSE)/100,AC1438)</f>
        <v>0.97370999999999996</v>
      </c>
      <c r="AD1437" s="10">
        <f>IFERROR(VLOOKUP(Summary!B1437,'Pre-Summary'!$A$6:$P$184,3, FALSE)/100,AD1438)</f>
        <v>9.6713333333333321E-3</v>
      </c>
      <c r="AE1437" s="10">
        <f>IFERROR(VLOOKUP(Summary!B1437,'Pre-Summary'!$A$6:$P$184,7, FALSE)/100,AE1438)</f>
        <v>1.6468333333333335E-2</v>
      </c>
      <c r="AF1437" s="99">
        <f t="shared" si="67"/>
        <v>2.7533937574882729E-3</v>
      </c>
      <c r="AG1437" s="99">
        <f t="shared" si="68"/>
        <v>4.6884751702181071E-3</v>
      </c>
      <c r="AH1437" s="10" t="str">
        <f>IFERROR(VLOOKUP(B1437,'Pre-Summary'!$AZ$6:$BE$65,3,FALSE),"")</f>
        <v/>
      </c>
      <c r="AI1437" s="10" t="str">
        <f>IFERROR(VLOOKUP(B1437,'Pre-Summary'!$AZ$6:$BE$65,5,FALSE),"")</f>
        <v/>
      </c>
      <c r="AJ1437" s="10" t="str">
        <f>IFERROR(VLOOKUP(B1437,'Pre-Summary'!$AZ$6:$BE$65,4,FALSE),"")</f>
        <v/>
      </c>
      <c r="AK1437" s="10" t="str">
        <f>IFERROR(VLOOKUP(B1437,'Pre-Summary'!$AZ$6:$BE$65,6,FALSE),"")</f>
        <v/>
      </c>
      <c r="AL1437" s="10" t="str">
        <f>IFERROR(VLOOKUP(B1437,'Pre-Summary'!$BG$6:$BL$44,3,FALSE),"")</f>
        <v/>
      </c>
      <c r="AM1437" s="10" t="str">
        <f>IFERROR(VLOOKUP(B1437,'Pre-Summary'!$BG$6:$BL$44,4,FALSE),"")</f>
        <v/>
      </c>
    </row>
    <row r="1438" spans="2:39" ht="15" customHeight="1" x14ac:dyDescent="0.3">
      <c r="B1438">
        <v>143.5</v>
      </c>
      <c r="C1438" t="str">
        <f>IFERROR(VLOOKUP(B1438,'Pre-Summary'!$DI$6:$DM$23,4,FALSE),"")</f>
        <v/>
      </c>
      <c r="D1438" s="10" t="str">
        <f>IFERROR(VLOOKUP(B1438,'Pre-Summary'!$AT$6:$AX$14,5,FALSE),D1437)</f>
        <v xml:space="preserve">Wolfe v1: put in modified wolfe + EDTA </v>
      </c>
      <c r="E1438" s="10" t="str">
        <f>IFERROR(VLOOKUP(B1438,'Pre-Summary'!$AT$6:$AX$15,4,FALSE),"")</f>
        <v/>
      </c>
      <c r="F1438">
        <f>IFERROR(VLOOKUP(B1438,'Pre-Summary'!$AL$6:$AQ$13,6,FALSE),F1437)</f>
        <v>5.3897368421052638E-2</v>
      </c>
      <c r="G1438" t="str">
        <f>IFERROR(VLOOKUP(B1438,'Pre-Summary'!$AE$6:$AJ$85,3,FALSE),"")</f>
        <v/>
      </c>
      <c r="H1438" t="str">
        <f>IFERROR(VLOOKUP(B1438,'Pre-Summary'!$AE$6:$AJ$85,4,FALSE),"")</f>
        <v/>
      </c>
      <c r="I1438" t="str">
        <f>IFERROR(VLOOKUP(B1438,'Pre-Summary'!$AE$6:$AJ$85,5,FALSE),"")</f>
        <v/>
      </c>
      <c r="J1438" s="45" t="str">
        <f>IFERROR(VLOOKUP(B1438,'Pre-Summary'!$AE$6:$AJ$85,6, FALSE),"")</f>
        <v/>
      </c>
      <c r="K1438" s="45" t="str">
        <f>IFERROR(VLOOKUP(B1438,'Pre-Summary'!$DE$6:$DG$61,3,FALSE),"")</f>
        <v/>
      </c>
      <c r="L1438" s="45" t="str">
        <f>IFERROR(VLOOKUP(B1438,'Pre-Summary'!$CU$6:$CW$36,3,FALSE),"")</f>
        <v/>
      </c>
      <c r="M1438" s="45" t="str">
        <f>IFERROR(VLOOKUP(B1438,'Pre-Summary'!$BW$6:$BY$58,2,FALSE),"")</f>
        <v/>
      </c>
      <c r="N1438" s="45" t="str">
        <f>IFERROR(VLOOKUP(B1438,'Pre-Summary'!$CD$6:$CF$64,2,FALSE),"")</f>
        <v/>
      </c>
      <c r="O1438" s="99">
        <f>IFERROR(VLOOKUP(B1438,'Pre-Summary'!$BO$6:$BQ$48,3, FALSE),O1437)</f>
        <v>1.2</v>
      </c>
      <c r="P1438" s="99">
        <f>IFERROR(VLOOKUP(B1438,'Pre-Summary'!$BS$6:$BU$35,3,FALSE),P1437)</f>
        <v>0.3</v>
      </c>
      <c r="Q1438" s="54">
        <f t="shared" si="66"/>
        <v>4</v>
      </c>
      <c r="R1438" s="53">
        <f>IFERROR(VLOOKUP(B1438,'Pre-Summary'!$BG$6:$BM$44,7,FALSE),R1439)</f>
        <v>9.5517489384447818E-2</v>
      </c>
      <c r="S1438" s="53">
        <f>IFERROR(VLOOKUP(B1438,'Pre-Summary'!$BG$6:$BM$44,6,FALSE),S1439)</f>
        <v>8.6010874938220475E-2</v>
      </c>
      <c r="T1438" s="45" t="str">
        <f>IFERROR(VLOOKUP(B1438,'Pre-Summary'!$Y$6:$AC$83, 3,FALSE),"")</f>
        <v/>
      </c>
      <c r="U1438" s="45" t="str">
        <f>IFERROR(VLOOKUP(B1438,'Pre-Summary'!$Y$6:$AC$83, 4,FALSE),"")</f>
        <v/>
      </c>
      <c r="V1438" t="str">
        <f>IFERROR(VLOOKUP(B1438,'Pre-Summary'!$Y$6:$AC$83, 5,FALSE),"")</f>
        <v/>
      </c>
      <c r="W1438" s="45" t="str">
        <f>IFERROR(VLOOKUP(B1438,'Pre-Summary'!$Y$6:$AD$83,6,FALSE),"")</f>
        <v/>
      </c>
      <c r="X1438" t="str">
        <f>IFERROR(VLOOKUP('Pre-Summary'!$DB$6:$DD$63,3,FALSE),"")</f>
        <v/>
      </c>
      <c r="Y1438" t="str">
        <f>IFERROR(VLOOKUP(B1438,'Pre-Summary'!$CR$6:$CT$36,3,FALSE),"")</f>
        <v/>
      </c>
      <c r="Z1438" s="45" t="str">
        <f>IFERROR(VLOOKUP(B1438,'Pre-Summary'!$BZ$6:$CB$63,2,FALSE),"")</f>
        <v/>
      </c>
      <c r="AA1438" s="45" t="str">
        <f>IFERROR(VLOOKUP(B1438,'Pre-Summary'!$CG$6:$CI$70,2,FALSE),"")</f>
        <v/>
      </c>
      <c r="AB1438" s="99">
        <f>IFERROR(VLOOKUP(B1438,'Pre-Summary'!$A$6:$P$178,9,FALSE),AB1439)</f>
        <v>0.28469639734144964</v>
      </c>
      <c r="AC1438" s="10">
        <f>IFERROR(VLOOKUP(Summary!B1438,'Pre-Summary'!$A$6:$P$184,5, FALSE)/100,AC1439)</f>
        <v>0.97370999999999996</v>
      </c>
      <c r="AD1438" s="10">
        <f>IFERROR(VLOOKUP(Summary!B1438,'Pre-Summary'!$A$6:$P$184,3, FALSE)/100,AD1439)</f>
        <v>9.6713333333333321E-3</v>
      </c>
      <c r="AE1438" s="10">
        <f>IFERROR(VLOOKUP(Summary!B1438,'Pre-Summary'!$A$6:$P$184,7, FALSE)/100,AE1439)</f>
        <v>1.6468333333333335E-2</v>
      </c>
      <c r="AF1438" s="99">
        <f t="shared" si="67"/>
        <v>2.7533937574882729E-3</v>
      </c>
      <c r="AG1438" s="99">
        <f t="shared" si="68"/>
        <v>4.6884751702181071E-3</v>
      </c>
      <c r="AH1438" s="10" t="str">
        <f>IFERROR(VLOOKUP(B1438,'Pre-Summary'!$AZ$6:$BE$65,3,FALSE),"")</f>
        <v/>
      </c>
      <c r="AI1438" s="10" t="str">
        <f>IFERROR(VLOOKUP(B1438,'Pre-Summary'!$AZ$6:$BE$65,5,FALSE),"")</f>
        <v/>
      </c>
      <c r="AJ1438" s="10" t="str">
        <f>IFERROR(VLOOKUP(B1438,'Pre-Summary'!$AZ$6:$BE$65,4,FALSE),"")</f>
        <v/>
      </c>
      <c r="AK1438" s="10" t="str">
        <f>IFERROR(VLOOKUP(B1438,'Pre-Summary'!$AZ$6:$BE$65,6,FALSE),"")</f>
        <v/>
      </c>
      <c r="AL1438" s="10" t="str">
        <f>IFERROR(VLOOKUP(B1438,'Pre-Summary'!$BG$6:$BL$44,3,FALSE),"")</f>
        <v/>
      </c>
      <c r="AM1438" s="10" t="str">
        <f>IFERROR(VLOOKUP(B1438,'Pre-Summary'!$BG$6:$BL$44,4,FALSE),"")</f>
        <v/>
      </c>
    </row>
    <row r="1439" spans="2:39" ht="15" customHeight="1" x14ac:dyDescent="0.3">
      <c r="B1439">
        <v>143.6</v>
      </c>
      <c r="C1439" t="str">
        <f>IFERROR(VLOOKUP(B1439,'Pre-Summary'!$DI$6:$DM$23,4,FALSE),"")</f>
        <v/>
      </c>
      <c r="D1439" s="10" t="str">
        <f>IFERROR(VLOOKUP(B1439,'Pre-Summary'!$AT$6:$AX$14,5,FALSE),D1438)</f>
        <v xml:space="preserve">Wolfe v1: put in modified wolfe + EDTA </v>
      </c>
      <c r="E1439" s="10" t="str">
        <f>IFERROR(VLOOKUP(B1439,'Pre-Summary'!$AT$6:$AX$15,4,FALSE),"")</f>
        <v/>
      </c>
      <c r="F1439">
        <f>IFERROR(VLOOKUP(B1439,'Pre-Summary'!$AL$6:$AQ$13,6,FALSE),F1438)</f>
        <v>5.3897368421052638E-2</v>
      </c>
      <c r="G1439" t="str">
        <f>IFERROR(VLOOKUP(B1439,'Pre-Summary'!$AE$6:$AJ$85,3,FALSE),"")</f>
        <v/>
      </c>
      <c r="H1439" t="str">
        <f>IFERROR(VLOOKUP(B1439,'Pre-Summary'!$AE$6:$AJ$85,4,FALSE),"")</f>
        <v/>
      </c>
      <c r="I1439" t="str">
        <f>IFERROR(VLOOKUP(B1439,'Pre-Summary'!$AE$6:$AJ$85,5,FALSE),"")</f>
        <v/>
      </c>
      <c r="J1439" s="45" t="str">
        <f>IFERROR(VLOOKUP(B1439,'Pre-Summary'!$AE$6:$AJ$85,6, FALSE),"")</f>
        <v/>
      </c>
      <c r="K1439" s="45" t="str">
        <f>IFERROR(VLOOKUP(B1439,'Pre-Summary'!$DE$6:$DG$61,3,FALSE),"")</f>
        <v/>
      </c>
      <c r="L1439" s="45" t="str">
        <f>IFERROR(VLOOKUP(B1439,'Pre-Summary'!$CU$6:$CW$36,3,FALSE),"")</f>
        <v/>
      </c>
      <c r="M1439" s="45" t="str">
        <f>IFERROR(VLOOKUP(B1439,'Pre-Summary'!$BW$6:$BY$58,2,FALSE),"")</f>
        <v/>
      </c>
      <c r="N1439" s="45" t="str">
        <f>IFERROR(VLOOKUP(B1439,'Pre-Summary'!$CD$6:$CF$64,2,FALSE),"")</f>
        <v/>
      </c>
      <c r="O1439" s="99">
        <f>IFERROR(VLOOKUP(B1439,'Pre-Summary'!$BO$6:$BQ$48,3, FALSE),O1438)</f>
        <v>1.2</v>
      </c>
      <c r="P1439" s="99">
        <f>IFERROR(VLOOKUP(B1439,'Pre-Summary'!$BS$6:$BU$35,3,FALSE),P1438)</f>
        <v>0.3</v>
      </c>
      <c r="Q1439" s="54">
        <f t="shared" si="66"/>
        <v>4</v>
      </c>
      <c r="R1439" s="53">
        <f>IFERROR(VLOOKUP(B1439,'Pre-Summary'!$BG$6:$BM$44,7,FALSE),R1440)</f>
        <v>9.5517489384447818E-2</v>
      </c>
      <c r="S1439" s="53">
        <f>IFERROR(VLOOKUP(B1439,'Pre-Summary'!$BG$6:$BM$44,6,FALSE),S1440)</f>
        <v>8.6010874938220475E-2</v>
      </c>
      <c r="T1439" s="45" t="str">
        <f>IFERROR(VLOOKUP(B1439,'Pre-Summary'!$Y$6:$AC$83, 3,FALSE),"")</f>
        <v/>
      </c>
      <c r="U1439" s="45" t="str">
        <f>IFERROR(VLOOKUP(B1439,'Pre-Summary'!$Y$6:$AC$83, 4,FALSE),"")</f>
        <v/>
      </c>
      <c r="V1439" t="str">
        <f>IFERROR(VLOOKUP(B1439,'Pre-Summary'!$Y$6:$AC$83, 5,FALSE),"")</f>
        <v/>
      </c>
      <c r="W1439" s="45" t="str">
        <f>IFERROR(VLOOKUP(B1439,'Pre-Summary'!$Y$6:$AD$83,6,FALSE),"")</f>
        <v/>
      </c>
      <c r="X1439" t="str">
        <f>IFERROR(VLOOKUP('Pre-Summary'!$DB$6:$DD$63,3,FALSE),"")</f>
        <v/>
      </c>
      <c r="Y1439" t="str">
        <f>IFERROR(VLOOKUP(B1439,'Pre-Summary'!$CR$6:$CT$36,3,FALSE),"")</f>
        <v/>
      </c>
      <c r="Z1439" s="45" t="str">
        <f>IFERROR(VLOOKUP(B1439,'Pre-Summary'!$BZ$6:$CB$63,2,FALSE),"")</f>
        <v/>
      </c>
      <c r="AA1439" s="45" t="str">
        <f>IFERROR(VLOOKUP(B1439,'Pre-Summary'!$CG$6:$CI$70,2,FALSE),"")</f>
        <v/>
      </c>
      <c r="AB1439" s="99">
        <f>IFERROR(VLOOKUP(B1439,'Pre-Summary'!$A$6:$P$178,9,FALSE),AB1440)</f>
        <v>0.28469639734144964</v>
      </c>
      <c r="AC1439" s="10">
        <f>IFERROR(VLOOKUP(Summary!B1439,'Pre-Summary'!$A$6:$P$184,5, FALSE)/100,AC1440)</f>
        <v>0.97370999999999996</v>
      </c>
      <c r="AD1439" s="10">
        <f>IFERROR(VLOOKUP(Summary!B1439,'Pre-Summary'!$A$6:$P$184,3, FALSE)/100,AD1440)</f>
        <v>9.6713333333333321E-3</v>
      </c>
      <c r="AE1439" s="10">
        <f>IFERROR(VLOOKUP(Summary!B1439,'Pre-Summary'!$A$6:$P$184,7, FALSE)/100,AE1440)</f>
        <v>1.6468333333333335E-2</v>
      </c>
      <c r="AF1439" s="99">
        <f t="shared" si="67"/>
        <v>2.7533937574882729E-3</v>
      </c>
      <c r="AG1439" s="99">
        <f t="shared" si="68"/>
        <v>4.6884751702181071E-3</v>
      </c>
      <c r="AH1439" s="10" t="str">
        <f>IFERROR(VLOOKUP(B1439,'Pre-Summary'!$AZ$6:$BE$65,3,FALSE),"")</f>
        <v/>
      </c>
      <c r="AI1439" s="10" t="str">
        <f>IFERROR(VLOOKUP(B1439,'Pre-Summary'!$AZ$6:$BE$65,5,FALSE),"")</f>
        <v/>
      </c>
      <c r="AJ1439" s="10" t="str">
        <f>IFERROR(VLOOKUP(B1439,'Pre-Summary'!$AZ$6:$BE$65,4,FALSE),"")</f>
        <v/>
      </c>
      <c r="AK1439" s="10" t="str">
        <f>IFERROR(VLOOKUP(B1439,'Pre-Summary'!$AZ$6:$BE$65,6,FALSE),"")</f>
        <v/>
      </c>
      <c r="AL1439" s="10" t="str">
        <f>IFERROR(VLOOKUP(B1439,'Pre-Summary'!$BG$6:$BL$44,3,FALSE),"")</f>
        <v/>
      </c>
      <c r="AM1439" s="10" t="str">
        <f>IFERROR(VLOOKUP(B1439,'Pre-Summary'!$BG$6:$BL$44,4,FALSE),"")</f>
        <v/>
      </c>
    </row>
    <row r="1440" spans="2:39" ht="15" customHeight="1" x14ac:dyDescent="0.3">
      <c r="B1440">
        <v>143.69999999999999</v>
      </c>
      <c r="C1440" t="str">
        <f>IFERROR(VLOOKUP(B1440,'Pre-Summary'!$DI$6:$DM$23,4,FALSE),"")</f>
        <v/>
      </c>
      <c r="D1440" s="10" t="str">
        <f>IFERROR(VLOOKUP(B1440,'Pre-Summary'!$AT$6:$AX$14,5,FALSE),D1439)</f>
        <v xml:space="preserve">Wolfe v1: put in modified wolfe + EDTA </v>
      </c>
      <c r="E1440" s="10" t="str">
        <f>IFERROR(VLOOKUP(B1440,'Pre-Summary'!$AT$6:$AX$15,4,FALSE),"")</f>
        <v/>
      </c>
      <c r="F1440">
        <f>IFERROR(VLOOKUP(B1440,'Pre-Summary'!$AL$6:$AQ$13,6,FALSE),F1439)</f>
        <v>5.3897368421052638E-2</v>
      </c>
      <c r="G1440" t="str">
        <f>IFERROR(VLOOKUP(B1440,'Pre-Summary'!$AE$6:$AJ$85,3,FALSE),"")</f>
        <v/>
      </c>
      <c r="H1440" t="str">
        <f>IFERROR(VLOOKUP(B1440,'Pre-Summary'!$AE$6:$AJ$85,4,FALSE),"")</f>
        <v/>
      </c>
      <c r="I1440" t="str">
        <f>IFERROR(VLOOKUP(B1440,'Pre-Summary'!$AE$6:$AJ$85,5,FALSE),"")</f>
        <v/>
      </c>
      <c r="J1440" s="45" t="str">
        <f>IFERROR(VLOOKUP(B1440,'Pre-Summary'!$AE$6:$AJ$85,6, FALSE),"")</f>
        <v/>
      </c>
      <c r="K1440" s="45" t="str">
        <f>IFERROR(VLOOKUP(B1440,'Pre-Summary'!$DE$6:$DG$61,3,FALSE),"")</f>
        <v/>
      </c>
      <c r="L1440" s="45" t="str">
        <f>IFERROR(VLOOKUP(B1440,'Pre-Summary'!$CU$6:$CW$36,3,FALSE),"")</f>
        <v/>
      </c>
      <c r="M1440" s="45" t="str">
        <f>IFERROR(VLOOKUP(B1440,'Pre-Summary'!$BW$6:$BY$58,2,FALSE),"")</f>
        <v/>
      </c>
      <c r="N1440" s="45" t="str">
        <f>IFERROR(VLOOKUP(B1440,'Pre-Summary'!$CD$6:$CF$64,2,FALSE),"")</f>
        <v/>
      </c>
      <c r="O1440" s="99">
        <f>IFERROR(VLOOKUP(B1440,'Pre-Summary'!$BO$6:$BQ$48,3, FALSE),O1439)</f>
        <v>1.2</v>
      </c>
      <c r="P1440" s="99">
        <f>IFERROR(VLOOKUP(B1440,'Pre-Summary'!$BS$6:$BU$35,3,FALSE),P1439)</f>
        <v>0.3</v>
      </c>
      <c r="Q1440" s="54">
        <f t="shared" si="66"/>
        <v>4</v>
      </c>
      <c r="R1440" s="53">
        <f>IFERROR(VLOOKUP(B1440,'Pre-Summary'!$BG$6:$BM$44,7,FALSE),R1441)</f>
        <v>9.5517489384447818E-2</v>
      </c>
      <c r="S1440" s="53">
        <f>IFERROR(VLOOKUP(B1440,'Pre-Summary'!$BG$6:$BM$44,6,FALSE),S1441)</f>
        <v>8.6010874938220475E-2</v>
      </c>
      <c r="T1440" s="45" t="str">
        <f>IFERROR(VLOOKUP(B1440,'Pre-Summary'!$Y$6:$AC$83, 3,FALSE),"")</f>
        <v/>
      </c>
      <c r="U1440" s="45" t="str">
        <f>IFERROR(VLOOKUP(B1440,'Pre-Summary'!$Y$6:$AC$83, 4,FALSE),"")</f>
        <v/>
      </c>
      <c r="V1440" t="str">
        <f>IFERROR(VLOOKUP(B1440,'Pre-Summary'!$Y$6:$AC$83, 5,FALSE),"")</f>
        <v/>
      </c>
      <c r="W1440" s="45" t="str">
        <f>IFERROR(VLOOKUP(B1440,'Pre-Summary'!$Y$6:$AD$83,6,FALSE),"")</f>
        <v/>
      </c>
      <c r="X1440" t="str">
        <f>IFERROR(VLOOKUP('Pre-Summary'!$DB$6:$DD$63,3,FALSE),"")</f>
        <v/>
      </c>
      <c r="Y1440" t="str">
        <f>IFERROR(VLOOKUP(B1440,'Pre-Summary'!$CR$6:$CT$36,3,FALSE),"")</f>
        <v/>
      </c>
      <c r="Z1440" s="45" t="str">
        <f>IFERROR(VLOOKUP(B1440,'Pre-Summary'!$BZ$6:$CB$63,2,FALSE),"")</f>
        <v/>
      </c>
      <c r="AA1440" s="45" t="str">
        <f>IFERROR(VLOOKUP(B1440,'Pre-Summary'!$CG$6:$CI$70,2,FALSE),"")</f>
        <v/>
      </c>
      <c r="AB1440" s="99">
        <f>IFERROR(VLOOKUP(B1440,'Pre-Summary'!$A$6:$P$178,9,FALSE),AB1441)</f>
        <v>0.28469639734144964</v>
      </c>
      <c r="AC1440" s="10">
        <f>IFERROR(VLOOKUP(Summary!B1440,'Pre-Summary'!$A$6:$P$184,5, FALSE)/100,AC1441)</f>
        <v>0.97370999999999996</v>
      </c>
      <c r="AD1440" s="10">
        <f>IFERROR(VLOOKUP(Summary!B1440,'Pre-Summary'!$A$6:$P$184,3, FALSE)/100,AD1441)</f>
        <v>9.6713333333333321E-3</v>
      </c>
      <c r="AE1440" s="10">
        <f>IFERROR(VLOOKUP(Summary!B1440,'Pre-Summary'!$A$6:$P$184,7, FALSE)/100,AE1441)</f>
        <v>1.6468333333333335E-2</v>
      </c>
      <c r="AF1440" s="99">
        <f t="shared" si="67"/>
        <v>2.7533937574882729E-3</v>
      </c>
      <c r="AG1440" s="99">
        <f t="shared" si="68"/>
        <v>4.6884751702181071E-3</v>
      </c>
      <c r="AH1440" s="10" t="str">
        <f>IFERROR(VLOOKUP(B1440,'Pre-Summary'!$AZ$6:$BE$65,3,FALSE),"")</f>
        <v/>
      </c>
      <c r="AI1440" s="10" t="str">
        <f>IFERROR(VLOOKUP(B1440,'Pre-Summary'!$AZ$6:$BE$65,5,FALSE),"")</f>
        <v/>
      </c>
      <c r="AJ1440" s="10" t="str">
        <f>IFERROR(VLOOKUP(B1440,'Pre-Summary'!$AZ$6:$BE$65,4,FALSE),"")</f>
        <v/>
      </c>
      <c r="AK1440" s="10" t="str">
        <f>IFERROR(VLOOKUP(B1440,'Pre-Summary'!$AZ$6:$BE$65,6,FALSE),"")</f>
        <v/>
      </c>
      <c r="AL1440" s="10" t="str">
        <f>IFERROR(VLOOKUP(B1440,'Pre-Summary'!$BG$6:$BL$44,3,FALSE),"")</f>
        <v/>
      </c>
      <c r="AM1440" s="10" t="str">
        <f>IFERROR(VLOOKUP(B1440,'Pre-Summary'!$BG$6:$BL$44,4,FALSE),"")</f>
        <v/>
      </c>
    </row>
    <row r="1441" spans="2:39" ht="15" customHeight="1" x14ac:dyDescent="0.3">
      <c r="B1441">
        <v>143.80000000000001</v>
      </c>
      <c r="C1441" t="str">
        <f>IFERROR(VLOOKUP(B1441,'Pre-Summary'!$DI$6:$DM$23,4,FALSE),"")</f>
        <v/>
      </c>
      <c r="D1441" s="10" t="str">
        <f>IFERROR(VLOOKUP(B1441,'Pre-Summary'!$AT$6:$AX$14,5,FALSE),D1440)</f>
        <v xml:space="preserve">Wolfe v1: put in modified wolfe + EDTA </v>
      </c>
      <c r="E1441" s="10" t="str">
        <f>IFERROR(VLOOKUP(B1441,'Pre-Summary'!$AT$6:$AX$15,4,FALSE),"")</f>
        <v/>
      </c>
      <c r="F1441">
        <f>IFERROR(VLOOKUP(B1441,'Pre-Summary'!$AL$6:$AQ$13,6,FALSE),F1440)</f>
        <v>5.3897368421052638E-2</v>
      </c>
      <c r="G1441" t="str">
        <f>IFERROR(VLOOKUP(B1441,'Pre-Summary'!$AE$6:$AJ$85,3,FALSE),"")</f>
        <v/>
      </c>
      <c r="H1441" t="str">
        <f>IFERROR(VLOOKUP(B1441,'Pre-Summary'!$AE$6:$AJ$85,4,FALSE),"")</f>
        <v/>
      </c>
      <c r="I1441" t="str">
        <f>IFERROR(VLOOKUP(B1441,'Pre-Summary'!$AE$6:$AJ$85,5,FALSE),"")</f>
        <v/>
      </c>
      <c r="J1441" s="45" t="str">
        <f>IFERROR(VLOOKUP(B1441,'Pre-Summary'!$AE$6:$AJ$85,6, FALSE),"")</f>
        <v/>
      </c>
      <c r="K1441" s="45" t="str">
        <f>IFERROR(VLOOKUP(B1441,'Pre-Summary'!$DE$6:$DG$61,3,FALSE),"")</f>
        <v/>
      </c>
      <c r="L1441" s="45" t="str">
        <f>IFERROR(VLOOKUP(B1441,'Pre-Summary'!$CU$6:$CW$36,3,FALSE),"")</f>
        <v/>
      </c>
      <c r="M1441" s="45" t="str">
        <f>IFERROR(VLOOKUP(B1441,'Pre-Summary'!$BW$6:$BY$58,2,FALSE),"")</f>
        <v/>
      </c>
      <c r="N1441" s="45" t="str">
        <f>IFERROR(VLOOKUP(B1441,'Pre-Summary'!$CD$6:$CF$64,2,FALSE),"")</f>
        <v/>
      </c>
      <c r="O1441" s="99">
        <f>IFERROR(VLOOKUP(B1441,'Pre-Summary'!$BO$6:$BQ$48,3, FALSE),O1440)</f>
        <v>1.2</v>
      </c>
      <c r="P1441" s="99">
        <f>IFERROR(VLOOKUP(B1441,'Pre-Summary'!$BS$6:$BU$35,3,FALSE),P1440)</f>
        <v>0.3</v>
      </c>
      <c r="Q1441" s="54">
        <f t="shared" si="66"/>
        <v>4</v>
      </c>
      <c r="R1441" s="53">
        <f>IFERROR(VLOOKUP(B1441,'Pre-Summary'!$BG$6:$BM$44,7,FALSE),R1442)</f>
        <v>9.5517489384447818E-2</v>
      </c>
      <c r="S1441" s="53">
        <f>IFERROR(VLOOKUP(B1441,'Pre-Summary'!$BG$6:$BM$44,6,FALSE),S1442)</f>
        <v>8.6010874938220475E-2</v>
      </c>
      <c r="T1441" s="45" t="str">
        <f>IFERROR(VLOOKUP(B1441,'Pre-Summary'!$Y$6:$AC$83, 3,FALSE),"")</f>
        <v/>
      </c>
      <c r="U1441" s="45" t="str">
        <f>IFERROR(VLOOKUP(B1441,'Pre-Summary'!$Y$6:$AC$83, 4,FALSE),"")</f>
        <v/>
      </c>
      <c r="V1441" t="str">
        <f>IFERROR(VLOOKUP(B1441,'Pre-Summary'!$Y$6:$AC$83, 5,FALSE),"")</f>
        <v/>
      </c>
      <c r="W1441" s="45" t="str">
        <f>IFERROR(VLOOKUP(B1441,'Pre-Summary'!$Y$6:$AD$83,6,FALSE),"")</f>
        <v/>
      </c>
      <c r="X1441" t="str">
        <f>IFERROR(VLOOKUP('Pre-Summary'!$DB$6:$DD$63,3,FALSE),"")</f>
        <v/>
      </c>
      <c r="Y1441" t="str">
        <f>IFERROR(VLOOKUP(B1441,'Pre-Summary'!$CR$6:$CT$36,3,FALSE),"")</f>
        <v/>
      </c>
      <c r="Z1441" s="45" t="str">
        <f>IFERROR(VLOOKUP(B1441,'Pre-Summary'!$BZ$6:$CB$63,2,FALSE),"")</f>
        <v/>
      </c>
      <c r="AA1441" s="45" t="str">
        <f>IFERROR(VLOOKUP(B1441,'Pre-Summary'!$CG$6:$CI$70,2,FALSE),"")</f>
        <v/>
      </c>
      <c r="AB1441" s="99">
        <f>IFERROR(VLOOKUP(B1441,'Pre-Summary'!$A$6:$P$178,9,FALSE),AB1442)</f>
        <v>0.28469639734144964</v>
      </c>
      <c r="AC1441" s="10">
        <f>IFERROR(VLOOKUP(Summary!B1441,'Pre-Summary'!$A$6:$P$184,5, FALSE)/100,AC1442)</f>
        <v>0.97370999999999996</v>
      </c>
      <c r="AD1441" s="10">
        <f>IFERROR(VLOOKUP(Summary!B1441,'Pre-Summary'!$A$6:$P$184,3, FALSE)/100,AD1442)</f>
        <v>9.6713333333333321E-3</v>
      </c>
      <c r="AE1441" s="10">
        <f>IFERROR(VLOOKUP(Summary!B1441,'Pre-Summary'!$A$6:$P$184,7, FALSE)/100,AE1442)</f>
        <v>1.6468333333333335E-2</v>
      </c>
      <c r="AF1441" s="99">
        <f t="shared" si="67"/>
        <v>2.7533937574882729E-3</v>
      </c>
      <c r="AG1441" s="99">
        <f t="shared" si="68"/>
        <v>4.6884751702181071E-3</v>
      </c>
      <c r="AH1441" s="10" t="str">
        <f>IFERROR(VLOOKUP(B1441,'Pre-Summary'!$AZ$6:$BE$65,3,FALSE),"")</f>
        <v/>
      </c>
      <c r="AI1441" s="10" t="str">
        <f>IFERROR(VLOOKUP(B1441,'Pre-Summary'!$AZ$6:$BE$65,5,FALSE),"")</f>
        <v/>
      </c>
      <c r="AJ1441" s="10" t="str">
        <f>IFERROR(VLOOKUP(B1441,'Pre-Summary'!$AZ$6:$BE$65,4,FALSE),"")</f>
        <v/>
      </c>
      <c r="AK1441" s="10" t="str">
        <f>IFERROR(VLOOKUP(B1441,'Pre-Summary'!$AZ$6:$BE$65,6,FALSE),"")</f>
        <v/>
      </c>
      <c r="AL1441" s="10" t="str">
        <f>IFERROR(VLOOKUP(B1441,'Pre-Summary'!$BG$6:$BL$44,3,FALSE),"")</f>
        <v/>
      </c>
      <c r="AM1441" s="10" t="str">
        <f>IFERROR(VLOOKUP(B1441,'Pre-Summary'!$BG$6:$BL$44,4,FALSE),"")</f>
        <v/>
      </c>
    </row>
    <row r="1442" spans="2:39" ht="15" customHeight="1" x14ac:dyDescent="0.3">
      <c r="B1442">
        <v>143.9</v>
      </c>
      <c r="C1442" t="str">
        <f>IFERROR(VLOOKUP(B1442,'Pre-Summary'!$DI$6:$DM$23,4,FALSE),"")</f>
        <v/>
      </c>
      <c r="D1442" s="10" t="str">
        <f>IFERROR(VLOOKUP(B1442,'Pre-Summary'!$AT$6:$AX$14,5,FALSE),D1441)</f>
        <v xml:space="preserve">Wolfe v1: put in modified wolfe + EDTA </v>
      </c>
      <c r="E1442" s="10" t="str">
        <f>IFERROR(VLOOKUP(B1442,'Pre-Summary'!$AT$6:$AX$15,4,FALSE),"")</f>
        <v/>
      </c>
      <c r="F1442">
        <f>IFERROR(VLOOKUP(B1442,'Pre-Summary'!$AL$6:$AQ$13,6,FALSE),F1441)</f>
        <v>5.3897368421052638E-2</v>
      </c>
      <c r="G1442" t="str">
        <f>IFERROR(VLOOKUP(B1442,'Pre-Summary'!$AE$6:$AJ$85,3,FALSE),"")</f>
        <v/>
      </c>
      <c r="H1442" t="str">
        <f>IFERROR(VLOOKUP(B1442,'Pre-Summary'!$AE$6:$AJ$85,4,FALSE),"")</f>
        <v/>
      </c>
      <c r="I1442" t="str">
        <f>IFERROR(VLOOKUP(B1442,'Pre-Summary'!$AE$6:$AJ$85,5,FALSE),"")</f>
        <v/>
      </c>
      <c r="J1442" s="45" t="str">
        <f>IFERROR(VLOOKUP(B1442,'Pre-Summary'!$AE$6:$AJ$85,6, FALSE),"")</f>
        <v/>
      </c>
      <c r="K1442" s="45" t="str">
        <f>IFERROR(VLOOKUP(B1442,'Pre-Summary'!$DE$6:$DG$61,3,FALSE),"")</f>
        <v/>
      </c>
      <c r="L1442" s="45" t="str">
        <f>IFERROR(VLOOKUP(B1442,'Pre-Summary'!$CU$6:$CW$36,3,FALSE),"")</f>
        <v/>
      </c>
      <c r="M1442" s="45" t="str">
        <f>IFERROR(VLOOKUP(B1442,'Pre-Summary'!$BW$6:$BY$58,2,FALSE),"")</f>
        <v/>
      </c>
      <c r="N1442" s="45" t="str">
        <f>IFERROR(VLOOKUP(B1442,'Pre-Summary'!$CD$6:$CF$64,2,FALSE),"")</f>
        <v/>
      </c>
      <c r="O1442" s="99">
        <f>IFERROR(VLOOKUP(B1442,'Pre-Summary'!$BO$6:$BQ$48,3, FALSE),O1441)</f>
        <v>1.2</v>
      </c>
      <c r="P1442" s="99">
        <f>IFERROR(VLOOKUP(B1442,'Pre-Summary'!$BS$6:$BU$35,3,FALSE),P1441)</f>
        <v>0.3</v>
      </c>
      <c r="Q1442" s="54">
        <f t="shared" si="66"/>
        <v>4</v>
      </c>
      <c r="R1442" s="53">
        <f>IFERROR(VLOOKUP(B1442,'Pre-Summary'!$BG$6:$BM$44,7,FALSE),R1443)</f>
        <v>9.5517489384447818E-2</v>
      </c>
      <c r="S1442" s="53">
        <f>IFERROR(VLOOKUP(B1442,'Pre-Summary'!$BG$6:$BM$44,6,FALSE),S1443)</f>
        <v>8.6010874938220475E-2</v>
      </c>
      <c r="T1442" s="45" t="str">
        <f>IFERROR(VLOOKUP(B1442,'Pre-Summary'!$Y$6:$AC$83, 3,FALSE),"")</f>
        <v/>
      </c>
      <c r="U1442" s="45" t="str">
        <f>IFERROR(VLOOKUP(B1442,'Pre-Summary'!$Y$6:$AC$83, 4,FALSE),"")</f>
        <v/>
      </c>
      <c r="V1442" t="str">
        <f>IFERROR(VLOOKUP(B1442,'Pre-Summary'!$Y$6:$AC$83, 5,FALSE),"")</f>
        <v/>
      </c>
      <c r="W1442" s="45" t="str">
        <f>IFERROR(VLOOKUP(B1442,'Pre-Summary'!$Y$6:$AD$83,6,FALSE),"")</f>
        <v/>
      </c>
      <c r="X1442" t="str">
        <f>IFERROR(VLOOKUP('Pre-Summary'!$DB$6:$DD$63,3,FALSE),"")</f>
        <v/>
      </c>
      <c r="Y1442" t="str">
        <f>IFERROR(VLOOKUP(B1442,'Pre-Summary'!$CR$6:$CT$36,3,FALSE),"")</f>
        <v/>
      </c>
      <c r="Z1442" s="45" t="str">
        <f>IFERROR(VLOOKUP(B1442,'Pre-Summary'!$BZ$6:$CB$63,2,FALSE),"")</f>
        <v/>
      </c>
      <c r="AA1442" s="45" t="str">
        <f>IFERROR(VLOOKUP(B1442,'Pre-Summary'!$CG$6:$CI$70,2,FALSE),"")</f>
        <v/>
      </c>
      <c r="AB1442" s="99">
        <f>IFERROR(VLOOKUP(B1442,'Pre-Summary'!$A$6:$P$178,9,FALSE),AB1443)</f>
        <v>0.28469639734144964</v>
      </c>
      <c r="AC1442" s="10">
        <f>IFERROR(VLOOKUP(Summary!B1442,'Pre-Summary'!$A$6:$P$184,5, FALSE)/100,AC1443)</f>
        <v>0.97370999999999996</v>
      </c>
      <c r="AD1442" s="10">
        <f>IFERROR(VLOOKUP(Summary!B1442,'Pre-Summary'!$A$6:$P$184,3, FALSE)/100,AD1443)</f>
        <v>9.6713333333333321E-3</v>
      </c>
      <c r="AE1442" s="10">
        <f>IFERROR(VLOOKUP(Summary!B1442,'Pre-Summary'!$A$6:$P$184,7, FALSE)/100,AE1443)</f>
        <v>1.6468333333333335E-2</v>
      </c>
      <c r="AF1442" s="99">
        <f t="shared" si="67"/>
        <v>2.7533937574882729E-3</v>
      </c>
      <c r="AG1442" s="99">
        <f t="shared" si="68"/>
        <v>4.6884751702181071E-3</v>
      </c>
      <c r="AH1442" s="10" t="str">
        <f>IFERROR(VLOOKUP(B1442,'Pre-Summary'!$AZ$6:$BE$65,3,FALSE),"")</f>
        <v/>
      </c>
      <c r="AI1442" s="10" t="str">
        <f>IFERROR(VLOOKUP(B1442,'Pre-Summary'!$AZ$6:$BE$65,5,FALSE),"")</f>
        <v/>
      </c>
      <c r="AJ1442" s="10" t="str">
        <f>IFERROR(VLOOKUP(B1442,'Pre-Summary'!$AZ$6:$BE$65,4,FALSE),"")</f>
        <v/>
      </c>
      <c r="AK1442" s="10" t="str">
        <f>IFERROR(VLOOKUP(B1442,'Pre-Summary'!$AZ$6:$BE$65,6,FALSE),"")</f>
        <v/>
      </c>
      <c r="AL1442" s="10" t="str">
        <f>IFERROR(VLOOKUP(B1442,'Pre-Summary'!$BG$6:$BL$44,3,FALSE),"")</f>
        <v/>
      </c>
      <c r="AM1442" s="10" t="str">
        <f>IFERROR(VLOOKUP(B1442,'Pre-Summary'!$BG$6:$BL$44,4,FALSE),"")</f>
        <v/>
      </c>
    </row>
    <row r="1443" spans="2:39" ht="15" customHeight="1" x14ac:dyDescent="0.3">
      <c r="B1443">
        <v>144</v>
      </c>
      <c r="C1443" t="str">
        <f>IFERROR(VLOOKUP(B1443,'Pre-Summary'!$DI$6:$DM$23,4,FALSE),"")</f>
        <v/>
      </c>
      <c r="D1443" s="10" t="str">
        <f>IFERROR(VLOOKUP(B1443,'Pre-Summary'!$AT$6:$AX$14,5,FALSE),D1442)</f>
        <v xml:space="preserve">Wolfe v1: put in modified wolfe + EDTA </v>
      </c>
      <c r="E1443" s="10" t="str">
        <f>IFERROR(VLOOKUP(B1443,'Pre-Summary'!$AT$6:$AX$15,4,FALSE),"")</f>
        <v/>
      </c>
      <c r="F1443">
        <f>IFERROR(VLOOKUP(B1443,'Pre-Summary'!$AL$6:$AQ$13,6,FALSE),F1442)</f>
        <v>5.3897368421052638E-2</v>
      </c>
      <c r="G1443" t="str">
        <f>IFERROR(VLOOKUP(B1443,'Pre-Summary'!$AE$6:$AJ$85,3,FALSE),"")</f>
        <v/>
      </c>
      <c r="H1443" t="str">
        <f>IFERROR(VLOOKUP(B1443,'Pre-Summary'!$AE$6:$AJ$85,4,FALSE),"")</f>
        <v/>
      </c>
      <c r="I1443" t="str">
        <f>IFERROR(VLOOKUP(B1443,'Pre-Summary'!$AE$6:$AJ$85,5,FALSE),"")</f>
        <v/>
      </c>
      <c r="J1443" s="45" t="str">
        <f>IFERROR(VLOOKUP(B1443,'Pre-Summary'!$AE$6:$AJ$85,6, FALSE),"")</f>
        <v/>
      </c>
      <c r="K1443" s="45" t="str">
        <f>IFERROR(VLOOKUP(B1443,'Pre-Summary'!$DE$6:$DG$61,3,FALSE),"")</f>
        <v/>
      </c>
      <c r="L1443" s="45" t="str">
        <f>IFERROR(VLOOKUP(B1443,'Pre-Summary'!$CU$6:$CW$36,3,FALSE),"")</f>
        <v/>
      </c>
      <c r="M1443" s="45" t="str">
        <f>IFERROR(VLOOKUP(B1443,'Pre-Summary'!$BW$6:$BY$58,2,FALSE),"")</f>
        <v/>
      </c>
      <c r="N1443" s="45" t="str">
        <f>IFERROR(VLOOKUP(B1443,'Pre-Summary'!$CD$6:$CF$64,2,FALSE),"")</f>
        <v/>
      </c>
      <c r="O1443" s="99">
        <f>IFERROR(VLOOKUP(B1443,'Pre-Summary'!$BO$6:$BQ$48,3, FALSE),O1442)</f>
        <v>1.2</v>
      </c>
      <c r="P1443" s="99">
        <f>IFERROR(VLOOKUP(B1443,'Pre-Summary'!$BS$6:$BU$35,3,FALSE),P1442)</f>
        <v>0.3</v>
      </c>
      <c r="Q1443" s="54">
        <f t="shared" si="66"/>
        <v>4</v>
      </c>
      <c r="R1443" s="53">
        <f>IFERROR(VLOOKUP(B1443,'Pre-Summary'!$BG$6:$BM$44,7,FALSE),R1444)</f>
        <v>9.5517489384447818E-2</v>
      </c>
      <c r="S1443" s="53">
        <f>IFERROR(VLOOKUP(B1443,'Pre-Summary'!$BG$6:$BM$44,6,FALSE),S1444)</f>
        <v>8.6010874938220475E-2</v>
      </c>
      <c r="T1443" s="45" t="str">
        <f>IFERROR(VLOOKUP(B1443,'Pre-Summary'!$Y$6:$AC$83, 3,FALSE),"")</f>
        <v/>
      </c>
      <c r="U1443" s="45" t="str">
        <f>IFERROR(VLOOKUP(B1443,'Pre-Summary'!$Y$6:$AC$83, 4,FALSE),"")</f>
        <v/>
      </c>
      <c r="V1443" t="str">
        <f>IFERROR(VLOOKUP(B1443,'Pre-Summary'!$Y$6:$AC$83, 5,FALSE),"")</f>
        <v/>
      </c>
      <c r="W1443" s="45" t="str">
        <f>IFERROR(VLOOKUP(B1443,'Pre-Summary'!$Y$6:$AD$83,6,FALSE),"")</f>
        <v/>
      </c>
      <c r="X1443" t="str">
        <f>IFERROR(VLOOKUP('Pre-Summary'!$DB$6:$DD$63,3,FALSE),"")</f>
        <v/>
      </c>
      <c r="Y1443" t="str">
        <f>IFERROR(VLOOKUP(B1443,'Pre-Summary'!$CR$6:$CT$36,3,FALSE),"")</f>
        <v/>
      </c>
      <c r="Z1443" s="45" t="str">
        <f>IFERROR(VLOOKUP(B1443,'Pre-Summary'!$BZ$6:$CB$63,2,FALSE),"")</f>
        <v/>
      </c>
      <c r="AA1443" s="45" t="str">
        <f>IFERROR(VLOOKUP(B1443,'Pre-Summary'!$CG$6:$CI$70,2,FALSE),"")</f>
        <v/>
      </c>
      <c r="AB1443" s="99">
        <f>IFERROR(VLOOKUP(B1443,'Pre-Summary'!$A$6:$P$178,9,FALSE),AB1444)</f>
        <v>0.28469639734144964</v>
      </c>
      <c r="AC1443" s="10">
        <f>IFERROR(VLOOKUP(Summary!B1443,'Pre-Summary'!$A$6:$P$184,5, FALSE)/100,AC1444)</f>
        <v>0.97370999999999996</v>
      </c>
      <c r="AD1443" s="10">
        <f>IFERROR(VLOOKUP(Summary!B1443,'Pre-Summary'!$A$6:$P$184,3, FALSE)/100,AD1444)</f>
        <v>9.6713333333333321E-3</v>
      </c>
      <c r="AE1443" s="10">
        <f>IFERROR(VLOOKUP(Summary!B1443,'Pre-Summary'!$A$6:$P$184,7, FALSE)/100,AE1444)</f>
        <v>1.6468333333333335E-2</v>
      </c>
      <c r="AF1443" s="99">
        <f t="shared" si="67"/>
        <v>2.7533937574882729E-3</v>
      </c>
      <c r="AG1443" s="99">
        <f t="shared" si="68"/>
        <v>4.6884751702181071E-3</v>
      </c>
      <c r="AH1443" s="10" t="str">
        <f>IFERROR(VLOOKUP(B1443,'Pre-Summary'!$AZ$6:$BE$65,3,FALSE),"")</f>
        <v/>
      </c>
      <c r="AI1443" s="10" t="str">
        <f>IFERROR(VLOOKUP(B1443,'Pre-Summary'!$AZ$6:$BE$65,5,FALSE),"")</f>
        <v/>
      </c>
      <c r="AJ1443" s="10" t="str">
        <f>IFERROR(VLOOKUP(B1443,'Pre-Summary'!$AZ$6:$BE$65,4,FALSE),"")</f>
        <v/>
      </c>
      <c r="AK1443" s="10" t="str">
        <f>IFERROR(VLOOKUP(B1443,'Pre-Summary'!$AZ$6:$BE$65,6,FALSE),"")</f>
        <v/>
      </c>
      <c r="AL1443" s="10" t="str">
        <f>IFERROR(VLOOKUP(B1443,'Pre-Summary'!$BG$6:$BL$44,3,FALSE),"")</f>
        <v/>
      </c>
      <c r="AM1443" s="10" t="str">
        <f>IFERROR(VLOOKUP(B1443,'Pre-Summary'!$BG$6:$BL$44,4,FALSE),"")</f>
        <v/>
      </c>
    </row>
    <row r="1444" spans="2:39" ht="15" customHeight="1" x14ac:dyDescent="0.3">
      <c r="B1444">
        <v>144.1</v>
      </c>
      <c r="C1444" t="str">
        <f>IFERROR(VLOOKUP(B1444,'Pre-Summary'!$DI$6:$DM$23,4,FALSE),"")</f>
        <v/>
      </c>
      <c r="D1444" s="10" t="str">
        <f>IFERROR(VLOOKUP(B1444,'Pre-Summary'!$AT$6:$AX$14,5,FALSE),D1443)</f>
        <v xml:space="preserve">Wolfe v1: put in modified wolfe + EDTA </v>
      </c>
      <c r="E1444" s="10" t="str">
        <f>IFERROR(VLOOKUP(B1444,'Pre-Summary'!$AT$6:$AX$15,4,FALSE),"")</f>
        <v/>
      </c>
      <c r="F1444">
        <f>IFERROR(VLOOKUP(B1444,'Pre-Summary'!$AL$6:$AQ$13,6,FALSE),F1443)</f>
        <v>5.3897368421052638E-2</v>
      </c>
      <c r="G1444" t="str">
        <f>IFERROR(VLOOKUP(B1444,'Pre-Summary'!$AE$6:$AJ$85,3,FALSE),"")</f>
        <v/>
      </c>
      <c r="H1444" t="str">
        <f>IFERROR(VLOOKUP(B1444,'Pre-Summary'!$AE$6:$AJ$85,4,FALSE),"")</f>
        <v/>
      </c>
      <c r="I1444" t="str">
        <f>IFERROR(VLOOKUP(B1444,'Pre-Summary'!$AE$6:$AJ$85,5,FALSE),"")</f>
        <v/>
      </c>
      <c r="J1444" s="45" t="str">
        <f>IFERROR(VLOOKUP(B1444,'Pre-Summary'!$AE$6:$AJ$85,6, FALSE),"")</f>
        <v/>
      </c>
      <c r="K1444" s="45" t="str">
        <f>IFERROR(VLOOKUP(B1444,'Pre-Summary'!$DE$6:$DG$61,3,FALSE),"")</f>
        <v/>
      </c>
      <c r="L1444" s="45" t="str">
        <f>IFERROR(VLOOKUP(B1444,'Pre-Summary'!$CU$6:$CW$36,3,FALSE),"")</f>
        <v/>
      </c>
      <c r="M1444" s="45" t="str">
        <f>IFERROR(VLOOKUP(B1444,'Pre-Summary'!$BW$6:$BY$58,2,FALSE),"")</f>
        <v/>
      </c>
      <c r="N1444" s="45" t="str">
        <f>IFERROR(VLOOKUP(B1444,'Pre-Summary'!$CD$6:$CF$64,2,FALSE),"")</f>
        <v/>
      </c>
      <c r="O1444" s="99">
        <f>IFERROR(VLOOKUP(B1444,'Pre-Summary'!$BO$6:$BQ$48,3, FALSE),O1443)</f>
        <v>1.2</v>
      </c>
      <c r="P1444" s="99">
        <f>IFERROR(VLOOKUP(B1444,'Pre-Summary'!$BS$6:$BU$35,3,FALSE),P1443)</f>
        <v>0.3</v>
      </c>
      <c r="Q1444" s="54">
        <f t="shared" si="66"/>
        <v>4</v>
      </c>
      <c r="R1444" s="53">
        <f>IFERROR(VLOOKUP(B1444,'Pre-Summary'!$BG$6:$BM$44,7,FALSE),R1445)</f>
        <v>9.5517489384447818E-2</v>
      </c>
      <c r="S1444" s="53">
        <f>IFERROR(VLOOKUP(B1444,'Pre-Summary'!$BG$6:$BM$44,6,FALSE),S1445)</f>
        <v>8.6010874938220475E-2</v>
      </c>
      <c r="T1444" s="45" t="str">
        <f>IFERROR(VLOOKUP(B1444,'Pre-Summary'!$Y$6:$AC$83, 3,FALSE),"")</f>
        <v/>
      </c>
      <c r="U1444" s="45" t="str">
        <f>IFERROR(VLOOKUP(B1444,'Pre-Summary'!$Y$6:$AC$83, 4,FALSE),"")</f>
        <v/>
      </c>
      <c r="V1444" t="str">
        <f>IFERROR(VLOOKUP(B1444,'Pre-Summary'!$Y$6:$AC$83, 5,FALSE),"")</f>
        <v/>
      </c>
      <c r="W1444" s="45" t="str">
        <f>IFERROR(VLOOKUP(B1444,'Pre-Summary'!$Y$6:$AD$83,6,FALSE),"")</f>
        <v/>
      </c>
      <c r="X1444" t="str">
        <f>IFERROR(VLOOKUP('Pre-Summary'!$DB$6:$DD$63,3,FALSE),"")</f>
        <v/>
      </c>
      <c r="Y1444" t="str">
        <f>IFERROR(VLOOKUP(B1444,'Pre-Summary'!$CR$6:$CT$36,3,FALSE),"")</f>
        <v/>
      </c>
      <c r="Z1444" s="45" t="str">
        <f>IFERROR(VLOOKUP(B1444,'Pre-Summary'!$BZ$6:$CB$63,2,FALSE),"")</f>
        <v/>
      </c>
      <c r="AA1444" s="45" t="str">
        <f>IFERROR(VLOOKUP(B1444,'Pre-Summary'!$CG$6:$CI$70,2,FALSE),"")</f>
        <v/>
      </c>
      <c r="AB1444" s="99">
        <f>IFERROR(VLOOKUP(B1444,'Pre-Summary'!$A$6:$P$178,9,FALSE),AB1445)</f>
        <v>0.28469639734144964</v>
      </c>
      <c r="AC1444" s="10">
        <f>IFERROR(VLOOKUP(Summary!B1444,'Pre-Summary'!$A$6:$P$184,5, FALSE)/100,AC1445)</f>
        <v>0.97370999999999996</v>
      </c>
      <c r="AD1444" s="10">
        <f>IFERROR(VLOOKUP(Summary!B1444,'Pre-Summary'!$A$6:$P$184,3, FALSE)/100,AD1445)</f>
        <v>9.6713333333333321E-3</v>
      </c>
      <c r="AE1444" s="10">
        <f>IFERROR(VLOOKUP(Summary!B1444,'Pre-Summary'!$A$6:$P$184,7, FALSE)/100,AE1445)</f>
        <v>1.6468333333333335E-2</v>
      </c>
      <c r="AF1444" s="99">
        <f t="shared" si="67"/>
        <v>2.7533937574882729E-3</v>
      </c>
      <c r="AG1444" s="99">
        <f t="shared" si="68"/>
        <v>4.6884751702181071E-3</v>
      </c>
      <c r="AH1444" s="10" t="str">
        <f>IFERROR(VLOOKUP(B1444,'Pre-Summary'!$AZ$6:$BE$65,3,FALSE),"")</f>
        <v/>
      </c>
      <c r="AI1444" s="10" t="str">
        <f>IFERROR(VLOOKUP(B1444,'Pre-Summary'!$AZ$6:$BE$65,5,FALSE),"")</f>
        <v/>
      </c>
      <c r="AJ1444" s="10" t="str">
        <f>IFERROR(VLOOKUP(B1444,'Pre-Summary'!$AZ$6:$BE$65,4,FALSE),"")</f>
        <v/>
      </c>
      <c r="AK1444" s="10" t="str">
        <f>IFERROR(VLOOKUP(B1444,'Pre-Summary'!$AZ$6:$BE$65,6,FALSE),"")</f>
        <v/>
      </c>
      <c r="AL1444" s="10" t="str">
        <f>IFERROR(VLOOKUP(B1444,'Pre-Summary'!$BG$6:$BL$44,3,FALSE),"")</f>
        <v/>
      </c>
      <c r="AM1444" s="10" t="str">
        <f>IFERROR(VLOOKUP(B1444,'Pre-Summary'!$BG$6:$BL$44,4,FALSE),"")</f>
        <v/>
      </c>
    </row>
    <row r="1445" spans="2:39" ht="15" customHeight="1" x14ac:dyDescent="0.3">
      <c r="B1445">
        <v>144.19999999999999</v>
      </c>
      <c r="C1445" t="str">
        <f>IFERROR(VLOOKUP(B1445,'Pre-Summary'!$DI$6:$DM$23,4,FALSE),"")</f>
        <v/>
      </c>
      <c r="D1445" s="10" t="str">
        <f>IFERROR(VLOOKUP(B1445,'Pre-Summary'!$AT$6:$AX$14,5,FALSE),D1444)</f>
        <v xml:space="preserve">Wolfe v1: put in modified wolfe + EDTA </v>
      </c>
      <c r="E1445" s="10" t="str">
        <f>IFERROR(VLOOKUP(B1445,'Pre-Summary'!$AT$6:$AX$15,4,FALSE),"")</f>
        <v/>
      </c>
      <c r="F1445">
        <f>IFERROR(VLOOKUP(B1445,'Pre-Summary'!$AL$6:$AQ$13,6,FALSE),F1444)</f>
        <v>5.3897368421052638E-2</v>
      </c>
      <c r="G1445" t="str">
        <f>IFERROR(VLOOKUP(B1445,'Pre-Summary'!$AE$6:$AJ$85,3,FALSE),"")</f>
        <v/>
      </c>
      <c r="H1445" t="str">
        <f>IFERROR(VLOOKUP(B1445,'Pre-Summary'!$AE$6:$AJ$85,4,FALSE),"")</f>
        <v/>
      </c>
      <c r="I1445" t="str">
        <f>IFERROR(VLOOKUP(B1445,'Pre-Summary'!$AE$6:$AJ$85,5,FALSE),"")</f>
        <v/>
      </c>
      <c r="J1445" s="45" t="str">
        <f>IFERROR(VLOOKUP(B1445,'Pre-Summary'!$AE$6:$AJ$85,6, FALSE),"")</f>
        <v/>
      </c>
      <c r="K1445" s="45" t="str">
        <f>IFERROR(VLOOKUP(B1445,'Pre-Summary'!$DE$6:$DG$61,3,FALSE),"")</f>
        <v/>
      </c>
      <c r="L1445" s="45" t="str">
        <f>IFERROR(VLOOKUP(B1445,'Pre-Summary'!$CU$6:$CW$36,3,FALSE),"")</f>
        <v/>
      </c>
      <c r="M1445" s="45" t="str">
        <f>IFERROR(VLOOKUP(B1445,'Pre-Summary'!$BW$6:$BY$58,2,FALSE),"")</f>
        <v/>
      </c>
      <c r="N1445" s="45" t="str">
        <f>IFERROR(VLOOKUP(B1445,'Pre-Summary'!$CD$6:$CF$64,2,FALSE),"")</f>
        <v/>
      </c>
      <c r="O1445" s="99">
        <f>IFERROR(VLOOKUP(B1445,'Pre-Summary'!$BO$6:$BQ$48,3, FALSE),O1444)</f>
        <v>1.2</v>
      </c>
      <c r="P1445" s="99">
        <f>IFERROR(VLOOKUP(B1445,'Pre-Summary'!$BS$6:$BU$35,3,FALSE),P1444)</f>
        <v>0.3</v>
      </c>
      <c r="Q1445" s="54">
        <f t="shared" si="66"/>
        <v>4</v>
      </c>
      <c r="R1445" s="53">
        <f>IFERROR(VLOOKUP(B1445,'Pre-Summary'!$BG$6:$BM$44,7,FALSE),R1446)</f>
        <v>9.5517489384447818E-2</v>
      </c>
      <c r="S1445" s="53">
        <f>IFERROR(VLOOKUP(B1445,'Pre-Summary'!$BG$6:$BM$44,6,FALSE),S1446)</f>
        <v>8.6010874938220475E-2</v>
      </c>
      <c r="T1445" s="45" t="str">
        <f>IFERROR(VLOOKUP(B1445,'Pre-Summary'!$Y$6:$AC$83, 3,FALSE),"")</f>
        <v/>
      </c>
      <c r="U1445" s="45" t="str">
        <f>IFERROR(VLOOKUP(B1445,'Pre-Summary'!$Y$6:$AC$83, 4,FALSE),"")</f>
        <v/>
      </c>
      <c r="V1445" t="str">
        <f>IFERROR(VLOOKUP(B1445,'Pre-Summary'!$Y$6:$AC$83, 5,FALSE),"")</f>
        <v/>
      </c>
      <c r="W1445" s="45" t="str">
        <f>IFERROR(VLOOKUP(B1445,'Pre-Summary'!$Y$6:$AD$83,6,FALSE),"")</f>
        <v/>
      </c>
      <c r="X1445" t="str">
        <f>IFERROR(VLOOKUP('Pre-Summary'!$DB$6:$DD$63,3,FALSE),"")</f>
        <v/>
      </c>
      <c r="Y1445" t="str">
        <f>IFERROR(VLOOKUP(B1445,'Pre-Summary'!$CR$6:$CT$36,3,FALSE),"")</f>
        <v/>
      </c>
      <c r="Z1445" s="45" t="str">
        <f>IFERROR(VLOOKUP(B1445,'Pre-Summary'!$BZ$6:$CB$63,2,FALSE),"")</f>
        <v/>
      </c>
      <c r="AA1445" s="45" t="str">
        <f>IFERROR(VLOOKUP(B1445,'Pre-Summary'!$CG$6:$CI$70,2,FALSE),"")</f>
        <v/>
      </c>
      <c r="AB1445" s="99">
        <f>IFERROR(VLOOKUP(B1445,'Pre-Summary'!$A$6:$P$178,9,FALSE),AB1446)</f>
        <v>0.28469639734144964</v>
      </c>
      <c r="AC1445" s="10">
        <f>IFERROR(VLOOKUP(Summary!B1445,'Pre-Summary'!$A$6:$P$184,5, FALSE)/100,AC1446)</f>
        <v>0.97370999999999996</v>
      </c>
      <c r="AD1445" s="10">
        <f>IFERROR(VLOOKUP(Summary!B1445,'Pre-Summary'!$A$6:$P$184,3, FALSE)/100,AD1446)</f>
        <v>9.6713333333333321E-3</v>
      </c>
      <c r="AE1445" s="10">
        <f>IFERROR(VLOOKUP(Summary!B1445,'Pre-Summary'!$A$6:$P$184,7, FALSE)/100,AE1446)</f>
        <v>1.6468333333333335E-2</v>
      </c>
      <c r="AF1445" s="99">
        <f t="shared" si="67"/>
        <v>2.7533937574882729E-3</v>
      </c>
      <c r="AG1445" s="99">
        <f t="shared" si="68"/>
        <v>4.6884751702181071E-3</v>
      </c>
      <c r="AH1445" s="10" t="str">
        <f>IFERROR(VLOOKUP(B1445,'Pre-Summary'!$AZ$6:$BE$65,3,FALSE),"")</f>
        <v/>
      </c>
      <c r="AI1445" s="10" t="str">
        <f>IFERROR(VLOOKUP(B1445,'Pre-Summary'!$AZ$6:$BE$65,5,FALSE),"")</f>
        <v/>
      </c>
      <c r="AJ1445" s="10" t="str">
        <f>IFERROR(VLOOKUP(B1445,'Pre-Summary'!$AZ$6:$BE$65,4,FALSE),"")</f>
        <v/>
      </c>
      <c r="AK1445" s="10" t="str">
        <f>IFERROR(VLOOKUP(B1445,'Pre-Summary'!$AZ$6:$BE$65,6,FALSE),"")</f>
        <v/>
      </c>
      <c r="AL1445" s="10" t="str">
        <f>IFERROR(VLOOKUP(B1445,'Pre-Summary'!$BG$6:$BL$44,3,FALSE),"")</f>
        <v/>
      </c>
      <c r="AM1445" s="10" t="str">
        <f>IFERROR(VLOOKUP(B1445,'Pre-Summary'!$BG$6:$BL$44,4,FALSE),"")</f>
        <v/>
      </c>
    </row>
    <row r="1446" spans="2:39" ht="15" customHeight="1" x14ac:dyDescent="0.3">
      <c r="B1446">
        <v>144.30000000000001</v>
      </c>
      <c r="C1446" t="str">
        <f>IFERROR(VLOOKUP(B1446,'Pre-Summary'!$DI$6:$DM$23,4,FALSE),"")</f>
        <v/>
      </c>
      <c r="D1446" s="10" t="str">
        <f>IFERROR(VLOOKUP(B1446,'Pre-Summary'!$AT$6:$AX$14,5,FALSE),D1445)</f>
        <v xml:space="preserve">Wolfe v1: put in modified wolfe + EDTA </v>
      </c>
      <c r="E1446" s="10" t="str">
        <f>IFERROR(VLOOKUP(B1446,'Pre-Summary'!$AT$6:$AX$15,4,FALSE),"")</f>
        <v/>
      </c>
      <c r="F1446">
        <f>IFERROR(VLOOKUP(B1446,'Pre-Summary'!$AL$6:$AQ$13,6,FALSE),F1445)</f>
        <v>5.3897368421052638E-2</v>
      </c>
      <c r="G1446" t="str">
        <f>IFERROR(VLOOKUP(B1446,'Pre-Summary'!$AE$6:$AJ$85,3,FALSE),"")</f>
        <v/>
      </c>
      <c r="H1446" t="str">
        <f>IFERROR(VLOOKUP(B1446,'Pre-Summary'!$AE$6:$AJ$85,4,FALSE),"")</f>
        <v/>
      </c>
      <c r="I1446" t="str">
        <f>IFERROR(VLOOKUP(B1446,'Pre-Summary'!$AE$6:$AJ$85,5,FALSE),"")</f>
        <v/>
      </c>
      <c r="J1446" s="45" t="str">
        <f>IFERROR(VLOOKUP(B1446,'Pre-Summary'!$AE$6:$AJ$85,6, FALSE),"")</f>
        <v/>
      </c>
      <c r="K1446" s="45" t="str">
        <f>IFERROR(VLOOKUP(B1446,'Pre-Summary'!$DE$6:$DG$61,3,FALSE),"")</f>
        <v/>
      </c>
      <c r="L1446" s="45" t="str">
        <f>IFERROR(VLOOKUP(B1446,'Pre-Summary'!$CU$6:$CW$36,3,FALSE),"")</f>
        <v/>
      </c>
      <c r="M1446" s="45" t="str">
        <f>IFERROR(VLOOKUP(B1446,'Pre-Summary'!$BW$6:$BY$58,2,FALSE),"")</f>
        <v/>
      </c>
      <c r="N1446" s="45" t="str">
        <f>IFERROR(VLOOKUP(B1446,'Pre-Summary'!$CD$6:$CF$64,2,FALSE),"")</f>
        <v/>
      </c>
      <c r="O1446" s="99">
        <f>IFERROR(VLOOKUP(B1446,'Pre-Summary'!$BO$6:$BQ$48,3, FALSE),O1445)</f>
        <v>1.2</v>
      </c>
      <c r="P1446" s="99">
        <f>IFERROR(VLOOKUP(B1446,'Pre-Summary'!$BS$6:$BU$35,3,FALSE),P1445)</f>
        <v>0.3</v>
      </c>
      <c r="Q1446" s="54">
        <f t="shared" si="66"/>
        <v>4</v>
      </c>
      <c r="R1446" s="53">
        <f>IFERROR(VLOOKUP(B1446,'Pre-Summary'!$BG$6:$BM$44,7,FALSE),R1447)</f>
        <v>9.5517489384447818E-2</v>
      </c>
      <c r="S1446" s="53">
        <f>IFERROR(VLOOKUP(B1446,'Pre-Summary'!$BG$6:$BM$44,6,FALSE),S1447)</f>
        <v>8.6010874938220475E-2</v>
      </c>
      <c r="T1446" s="45" t="str">
        <f>IFERROR(VLOOKUP(B1446,'Pre-Summary'!$Y$6:$AC$83, 3,FALSE),"")</f>
        <v/>
      </c>
      <c r="U1446" s="45" t="str">
        <f>IFERROR(VLOOKUP(B1446,'Pre-Summary'!$Y$6:$AC$83, 4,FALSE),"")</f>
        <v/>
      </c>
      <c r="V1446" t="str">
        <f>IFERROR(VLOOKUP(B1446,'Pre-Summary'!$Y$6:$AC$83, 5,FALSE),"")</f>
        <v/>
      </c>
      <c r="W1446" s="45" t="str">
        <f>IFERROR(VLOOKUP(B1446,'Pre-Summary'!$Y$6:$AD$83,6,FALSE),"")</f>
        <v/>
      </c>
      <c r="X1446" t="str">
        <f>IFERROR(VLOOKUP('Pre-Summary'!$DB$6:$DD$63,3,FALSE),"")</f>
        <v/>
      </c>
      <c r="Y1446" t="str">
        <f>IFERROR(VLOOKUP(B1446,'Pre-Summary'!$CR$6:$CT$36,3,FALSE),"")</f>
        <v/>
      </c>
      <c r="Z1446" s="45" t="str">
        <f>IFERROR(VLOOKUP(B1446,'Pre-Summary'!$BZ$6:$CB$63,2,FALSE),"")</f>
        <v/>
      </c>
      <c r="AA1446" s="45" t="str">
        <f>IFERROR(VLOOKUP(B1446,'Pre-Summary'!$CG$6:$CI$70,2,FALSE),"")</f>
        <v/>
      </c>
      <c r="AB1446" s="99">
        <f>IFERROR(VLOOKUP(B1446,'Pre-Summary'!$A$6:$P$178,9,FALSE),AB1447)</f>
        <v>0.28469639734144964</v>
      </c>
      <c r="AC1446" s="10">
        <f>IFERROR(VLOOKUP(Summary!B1446,'Pre-Summary'!$A$6:$P$184,5, FALSE)/100,AC1447)</f>
        <v>0.97370999999999996</v>
      </c>
      <c r="AD1446" s="10">
        <f>IFERROR(VLOOKUP(Summary!B1446,'Pre-Summary'!$A$6:$P$184,3, FALSE)/100,AD1447)</f>
        <v>9.6713333333333321E-3</v>
      </c>
      <c r="AE1446" s="10">
        <f>IFERROR(VLOOKUP(Summary!B1446,'Pre-Summary'!$A$6:$P$184,7, FALSE)/100,AE1447)</f>
        <v>1.6468333333333335E-2</v>
      </c>
      <c r="AF1446" s="99">
        <f t="shared" si="67"/>
        <v>2.7533937574882729E-3</v>
      </c>
      <c r="AG1446" s="99">
        <f t="shared" si="68"/>
        <v>4.6884751702181071E-3</v>
      </c>
      <c r="AH1446" s="10" t="str">
        <f>IFERROR(VLOOKUP(B1446,'Pre-Summary'!$AZ$6:$BE$65,3,FALSE),"")</f>
        <v/>
      </c>
      <c r="AI1446" s="10" t="str">
        <f>IFERROR(VLOOKUP(B1446,'Pre-Summary'!$AZ$6:$BE$65,5,FALSE),"")</f>
        <v/>
      </c>
      <c r="AJ1446" s="10" t="str">
        <f>IFERROR(VLOOKUP(B1446,'Pre-Summary'!$AZ$6:$BE$65,4,FALSE),"")</f>
        <v/>
      </c>
      <c r="AK1446" s="10" t="str">
        <f>IFERROR(VLOOKUP(B1446,'Pre-Summary'!$AZ$6:$BE$65,6,FALSE),"")</f>
        <v/>
      </c>
      <c r="AL1446" s="10" t="str">
        <f>IFERROR(VLOOKUP(B1446,'Pre-Summary'!$BG$6:$BL$44,3,FALSE),"")</f>
        <v/>
      </c>
      <c r="AM1446" s="10" t="str">
        <f>IFERROR(VLOOKUP(B1446,'Pre-Summary'!$BG$6:$BL$44,4,FALSE),"")</f>
        <v/>
      </c>
    </row>
    <row r="1447" spans="2:39" ht="15" customHeight="1" x14ac:dyDescent="0.3">
      <c r="B1447">
        <v>144.4</v>
      </c>
      <c r="C1447" t="str">
        <f>IFERROR(VLOOKUP(B1447,'Pre-Summary'!$DI$6:$DM$23,4,FALSE),"")</f>
        <v/>
      </c>
      <c r="D1447" s="10" t="str">
        <f>IFERROR(VLOOKUP(B1447,'Pre-Summary'!$AT$6:$AX$14,5,FALSE),D1446)</f>
        <v xml:space="preserve">Wolfe v1: put in modified wolfe + EDTA </v>
      </c>
      <c r="E1447" s="10" t="str">
        <f>IFERROR(VLOOKUP(B1447,'Pre-Summary'!$AT$6:$AX$15,4,FALSE),"")</f>
        <v/>
      </c>
      <c r="F1447">
        <f>IFERROR(VLOOKUP(B1447,'Pre-Summary'!$AL$6:$AQ$13,6,FALSE),F1446)</f>
        <v>5.3897368421052638E-2</v>
      </c>
      <c r="G1447" t="str">
        <f>IFERROR(VLOOKUP(B1447,'Pre-Summary'!$AE$6:$AJ$85,3,FALSE),"")</f>
        <v/>
      </c>
      <c r="H1447" t="str">
        <f>IFERROR(VLOOKUP(B1447,'Pre-Summary'!$AE$6:$AJ$85,4,FALSE),"")</f>
        <v/>
      </c>
      <c r="I1447" t="str">
        <f>IFERROR(VLOOKUP(B1447,'Pre-Summary'!$AE$6:$AJ$85,5,FALSE),"")</f>
        <v/>
      </c>
      <c r="J1447" s="45" t="str">
        <f>IFERROR(VLOOKUP(B1447,'Pre-Summary'!$AE$6:$AJ$85,6, FALSE),"")</f>
        <v/>
      </c>
      <c r="K1447" s="45" t="str">
        <f>IFERROR(VLOOKUP(B1447,'Pre-Summary'!$DE$6:$DG$61,3,FALSE),"")</f>
        <v/>
      </c>
      <c r="L1447" s="45" t="str">
        <f>IFERROR(VLOOKUP(B1447,'Pre-Summary'!$CU$6:$CW$36,3,FALSE),"")</f>
        <v/>
      </c>
      <c r="M1447" s="45" t="str">
        <f>IFERROR(VLOOKUP(B1447,'Pre-Summary'!$BW$6:$BY$58,2,FALSE),"")</f>
        <v/>
      </c>
      <c r="N1447" s="45" t="str">
        <f>IFERROR(VLOOKUP(B1447,'Pre-Summary'!$CD$6:$CF$64,2,FALSE),"")</f>
        <v/>
      </c>
      <c r="O1447" s="99">
        <f>IFERROR(VLOOKUP(B1447,'Pre-Summary'!$BO$6:$BQ$48,3, FALSE),O1446)</f>
        <v>1.2</v>
      </c>
      <c r="P1447" s="99">
        <f>IFERROR(VLOOKUP(B1447,'Pre-Summary'!$BS$6:$BU$35,3,FALSE),P1446)</f>
        <v>0.3</v>
      </c>
      <c r="Q1447" s="54">
        <f t="shared" si="66"/>
        <v>4</v>
      </c>
      <c r="R1447" s="53">
        <f>IFERROR(VLOOKUP(B1447,'Pre-Summary'!$BG$6:$BM$44,7,FALSE),R1448)</f>
        <v>9.5517489384447818E-2</v>
      </c>
      <c r="S1447" s="53">
        <f>IFERROR(VLOOKUP(B1447,'Pre-Summary'!$BG$6:$BM$44,6,FALSE),S1448)</f>
        <v>8.6010874938220475E-2</v>
      </c>
      <c r="T1447" s="45" t="str">
        <f>IFERROR(VLOOKUP(B1447,'Pre-Summary'!$Y$6:$AC$83, 3,FALSE),"")</f>
        <v/>
      </c>
      <c r="U1447" s="45" t="str">
        <f>IFERROR(VLOOKUP(B1447,'Pre-Summary'!$Y$6:$AC$83, 4,FALSE),"")</f>
        <v/>
      </c>
      <c r="V1447" t="str">
        <f>IFERROR(VLOOKUP(B1447,'Pre-Summary'!$Y$6:$AC$83, 5,FALSE),"")</f>
        <v/>
      </c>
      <c r="W1447" s="45" t="str">
        <f>IFERROR(VLOOKUP(B1447,'Pre-Summary'!$Y$6:$AD$83,6,FALSE),"")</f>
        <v/>
      </c>
      <c r="X1447" t="str">
        <f>IFERROR(VLOOKUP('Pre-Summary'!$DB$6:$DD$63,3,FALSE),"")</f>
        <v/>
      </c>
      <c r="Y1447" t="str">
        <f>IFERROR(VLOOKUP(B1447,'Pre-Summary'!$CR$6:$CT$36,3,FALSE),"")</f>
        <v/>
      </c>
      <c r="Z1447" s="45" t="str">
        <f>IFERROR(VLOOKUP(B1447,'Pre-Summary'!$BZ$6:$CB$63,2,FALSE),"")</f>
        <v/>
      </c>
      <c r="AA1447" s="45" t="str">
        <f>IFERROR(VLOOKUP(B1447,'Pre-Summary'!$CG$6:$CI$70,2,FALSE),"")</f>
        <v/>
      </c>
      <c r="AB1447" s="99">
        <f>IFERROR(VLOOKUP(B1447,'Pre-Summary'!$A$6:$P$178,9,FALSE),AB1448)</f>
        <v>0.28469639734144964</v>
      </c>
      <c r="AC1447" s="10">
        <f>IFERROR(VLOOKUP(Summary!B1447,'Pre-Summary'!$A$6:$P$184,5, FALSE)/100,AC1448)</f>
        <v>0.97370999999999996</v>
      </c>
      <c r="AD1447" s="10">
        <f>IFERROR(VLOOKUP(Summary!B1447,'Pre-Summary'!$A$6:$P$184,3, FALSE)/100,AD1448)</f>
        <v>9.6713333333333321E-3</v>
      </c>
      <c r="AE1447" s="10">
        <f>IFERROR(VLOOKUP(Summary!B1447,'Pre-Summary'!$A$6:$P$184,7, FALSE)/100,AE1448)</f>
        <v>1.6468333333333335E-2</v>
      </c>
      <c r="AF1447" s="99">
        <f t="shared" si="67"/>
        <v>2.7533937574882729E-3</v>
      </c>
      <c r="AG1447" s="99">
        <f t="shared" si="68"/>
        <v>4.6884751702181071E-3</v>
      </c>
      <c r="AH1447" s="10" t="str">
        <f>IFERROR(VLOOKUP(B1447,'Pre-Summary'!$AZ$6:$BE$65,3,FALSE),"")</f>
        <v/>
      </c>
      <c r="AI1447" s="10" t="str">
        <f>IFERROR(VLOOKUP(B1447,'Pre-Summary'!$AZ$6:$BE$65,5,FALSE),"")</f>
        <v/>
      </c>
      <c r="AJ1447" s="10" t="str">
        <f>IFERROR(VLOOKUP(B1447,'Pre-Summary'!$AZ$6:$BE$65,4,FALSE),"")</f>
        <v/>
      </c>
      <c r="AK1447" s="10" t="str">
        <f>IFERROR(VLOOKUP(B1447,'Pre-Summary'!$AZ$6:$BE$65,6,FALSE),"")</f>
        <v/>
      </c>
      <c r="AL1447" s="10" t="str">
        <f>IFERROR(VLOOKUP(B1447,'Pre-Summary'!$BG$6:$BL$44,3,FALSE),"")</f>
        <v/>
      </c>
      <c r="AM1447" s="10" t="str">
        <f>IFERROR(VLOOKUP(B1447,'Pre-Summary'!$BG$6:$BL$44,4,FALSE),"")</f>
        <v/>
      </c>
    </row>
    <row r="1448" spans="2:39" ht="15" customHeight="1" x14ac:dyDescent="0.3">
      <c r="B1448">
        <v>144.5</v>
      </c>
      <c r="C1448" t="str">
        <f>IFERROR(VLOOKUP(B1448,'Pre-Summary'!$DI$6:$DM$23,4,FALSE),"")</f>
        <v/>
      </c>
      <c r="D1448" s="10" t="str">
        <f>IFERROR(VLOOKUP(B1448,'Pre-Summary'!$AT$6:$AX$14,5,FALSE),D1447)</f>
        <v xml:space="preserve">Wolfe v1: put in modified wolfe + EDTA </v>
      </c>
      <c r="E1448" s="10" t="str">
        <f>IFERROR(VLOOKUP(B1448,'Pre-Summary'!$AT$6:$AX$15,4,FALSE),"")</f>
        <v/>
      </c>
      <c r="F1448">
        <f>IFERROR(VLOOKUP(B1448,'Pre-Summary'!$AL$6:$AQ$13,6,FALSE),F1447)</f>
        <v>5.3897368421052638E-2</v>
      </c>
      <c r="G1448" t="str">
        <f>IFERROR(VLOOKUP(B1448,'Pre-Summary'!$AE$6:$AJ$85,3,FALSE),"")</f>
        <v/>
      </c>
      <c r="H1448" t="str">
        <f>IFERROR(VLOOKUP(B1448,'Pre-Summary'!$AE$6:$AJ$85,4,FALSE),"")</f>
        <v/>
      </c>
      <c r="I1448" t="str">
        <f>IFERROR(VLOOKUP(B1448,'Pre-Summary'!$AE$6:$AJ$85,5,FALSE),"")</f>
        <v/>
      </c>
      <c r="J1448" s="45" t="str">
        <f>IFERROR(VLOOKUP(B1448,'Pre-Summary'!$AE$6:$AJ$85,6, FALSE),"")</f>
        <v/>
      </c>
      <c r="K1448" s="45" t="str">
        <f>IFERROR(VLOOKUP(B1448,'Pre-Summary'!$DE$6:$DG$61,3,FALSE),"")</f>
        <v/>
      </c>
      <c r="L1448" s="45" t="str">
        <f>IFERROR(VLOOKUP(B1448,'Pre-Summary'!$CU$6:$CW$36,3,FALSE),"")</f>
        <v/>
      </c>
      <c r="M1448" s="45" t="str">
        <f>IFERROR(VLOOKUP(B1448,'Pre-Summary'!$BW$6:$BY$58,2,FALSE),"")</f>
        <v/>
      </c>
      <c r="N1448" s="45" t="str">
        <f>IFERROR(VLOOKUP(B1448,'Pre-Summary'!$CD$6:$CF$64,2,FALSE),"")</f>
        <v/>
      </c>
      <c r="O1448" s="99">
        <f>IFERROR(VLOOKUP(B1448,'Pre-Summary'!$BO$6:$BQ$48,3, FALSE),O1447)</f>
        <v>1.2</v>
      </c>
      <c r="P1448" s="99">
        <f>IFERROR(VLOOKUP(B1448,'Pre-Summary'!$BS$6:$BU$35,3,FALSE),P1447)</f>
        <v>0.3</v>
      </c>
      <c r="Q1448" s="54">
        <f t="shared" si="66"/>
        <v>4</v>
      </c>
      <c r="R1448" s="53">
        <f>IFERROR(VLOOKUP(B1448,'Pre-Summary'!$BG$6:$BM$44,7,FALSE),R1449)</f>
        <v>9.5517489384447818E-2</v>
      </c>
      <c r="S1448" s="53">
        <f>IFERROR(VLOOKUP(B1448,'Pre-Summary'!$BG$6:$BM$44,6,FALSE),S1449)</f>
        <v>8.6010874938220475E-2</v>
      </c>
      <c r="T1448" s="45" t="str">
        <f>IFERROR(VLOOKUP(B1448,'Pre-Summary'!$Y$6:$AC$83, 3,FALSE),"")</f>
        <v/>
      </c>
      <c r="U1448" s="45" t="str">
        <f>IFERROR(VLOOKUP(B1448,'Pre-Summary'!$Y$6:$AC$83, 4,FALSE),"")</f>
        <v/>
      </c>
      <c r="V1448" t="str">
        <f>IFERROR(VLOOKUP(B1448,'Pre-Summary'!$Y$6:$AC$83, 5,FALSE),"")</f>
        <v/>
      </c>
      <c r="W1448" s="45" t="str">
        <f>IFERROR(VLOOKUP(B1448,'Pre-Summary'!$Y$6:$AD$83,6,FALSE),"")</f>
        <v/>
      </c>
      <c r="X1448" t="str">
        <f>IFERROR(VLOOKUP('Pre-Summary'!$DB$6:$DD$63,3,FALSE),"")</f>
        <v/>
      </c>
      <c r="Y1448" t="str">
        <f>IFERROR(VLOOKUP(B1448,'Pre-Summary'!$CR$6:$CT$36,3,FALSE),"")</f>
        <v/>
      </c>
      <c r="Z1448" s="45" t="str">
        <f>IFERROR(VLOOKUP(B1448,'Pre-Summary'!$BZ$6:$CB$63,2,FALSE),"")</f>
        <v/>
      </c>
      <c r="AA1448" s="45" t="str">
        <f>IFERROR(VLOOKUP(B1448,'Pre-Summary'!$CG$6:$CI$70,2,FALSE),"")</f>
        <v/>
      </c>
      <c r="AB1448" s="99">
        <f>IFERROR(VLOOKUP(B1448,'Pre-Summary'!$A$6:$P$178,9,FALSE),AB1449)</f>
        <v>0.28469639734144964</v>
      </c>
      <c r="AC1448" s="10">
        <f>IFERROR(VLOOKUP(Summary!B1448,'Pre-Summary'!$A$6:$P$184,5, FALSE)/100,AC1449)</f>
        <v>0.97370999999999996</v>
      </c>
      <c r="AD1448" s="10">
        <f>IFERROR(VLOOKUP(Summary!B1448,'Pre-Summary'!$A$6:$P$184,3, FALSE)/100,AD1449)</f>
        <v>9.6713333333333321E-3</v>
      </c>
      <c r="AE1448" s="10">
        <f>IFERROR(VLOOKUP(Summary!B1448,'Pre-Summary'!$A$6:$P$184,7, FALSE)/100,AE1449)</f>
        <v>1.6468333333333335E-2</v>
      </c>
      <c r="AF1448" s="99">
        <f t="shared" si="67"/>
        <v>2.7533937574882729E-3</v>
      </c>
      <c r="AG1448" s="99">
        <f t="shared" si="68"/>
        <v>4.6884751702181071E-3</v>
      </c>
      <c r="AH1448" s="10" t="str">
        <f>IFERROR(VLOOKUP(B1448,'Pre-Summary'!$AZ$6:$BE$65,3,FALSE),"")</f>
        <v/>
      </c>
      <c r="AI1448" s="10" t="str">
        <f>IFERROR(VLOOKUP(B1448,'Pre-Summary'!$AZ$6:$BE$65,5,FALSE),"")</f>
        <v/>
      </c>
      <c r="AJ1448" s="10" t="str">
        <f>IFERROR(VLOOKUP(B1448,'Pre-Summary'!$AZ$6:$BE$65,4,FALSE),"")</f>
        <v/>
      </c>
      <c r="AK1448" s="10" t="str">
        <f>IFERROR(VLOOKUP(B1448,'Pre-Summary'!$AZ$6:$BE$65,6,FALSE),"")</f>
        <v/>
      </c>
      <c r="AL1448" s="10" t="str">
        <f>IFERROR(VLOOKUP(B1448,'Pre-Summary'!$BG$6:$BL$44,3,FALSE),"")</f>
        <v/>
      </c>
      <c r="AM1448" s="10" t="str">
        <f>IFERROR(VLOOKUP(B1448,'Pre-Summary'!$BG$6:$BL$44,4,FALSE),"")</f>
        <v/>
      </c>
    </row>
    <row r="1449" spans="2:39" ht="15" customHeight="1" x14ac:dyDescent="0.3">
      <c r="B1449">
        <v>144.6</v>
      </c>
      <c r="C1449" t="str">
        <f>IFERROR(VLOOKUP(B1449,'Pre-Summary'!$DI$6:$DM$23,4,FALSE),"")</f>
        <v/>
      </c>
      <c r="D1449" s="10" t="str">
        <f>IFERROR(VLOOKUP(B1449,'Pre-Summary'!$AT$6:$AX$14,5,FALSE),D1448)</f>
        <v xml:space="preserve">Wolfe v1: put in modified wolfe + EDTA </v>
      </c>
      <c r="E1449" s="10" t="str">
        <f>IFERROR(VLOOKUP(B1449,'Pre-Summary'!$AT$6:$AX$15,4,FALSE),"")</f>
        <v/>
      </c>
      <c r="F1449">
        <f>IFERROR(VLOOKUP(B1449,'Pre-Summary'!$AL$6:$AQ$13,6,FALSE),F1448)</f>
        <v>5.3897368421052638E-2</v>
      </c>
      <c r="G1449" t="str">
        <f>IFERROR(VLOOKUP(B1449,'Pre-Summary'!$AE$6:$AJ$85,3,FALSE),"")</f>
        <v/>
      </c>
      <c r="H1449" t="str">
        <f>IFERROR(VLOOKUP(B1449,'Pre-Summary'!$AE$6:$AJ$85,4,FALSE),"")</f>
        <v/>
      </c>
      <c r="I1449" t="str">
        <f>IFERROR(VLOOKUP(B1449,'Pre-Summary'!$AE$6:$AJ$85,5,FALSE),"")</f>
        <v/>
      </c>
      <c r="J1449" s="45" t="str">
        <f>IFERROR(VLOOKUP(B1449,'Pre-Summary'!$AE$6:$AJ$85,6, FALSE),"")</f>
        <v/>
      </c>
      <c r="K1449" s="45" t="str">
        <f>IFERROR(VLOOKUP(B1449,'Pre-Summary'!$DE$6:$DG$61,3,FALSE),"")</f>
        <v/>
      </c>
      <c r="L1449" s="45" t="str">
        <f>IFERROR(VLOOKUP(B1449,'Pre-Summary'!$CU$6:$CW$36,3,FALSE),"")</f>
        <v/>
      </c>
      <c r="M1449" s="45" t="str">
        <f>IFERROR(VLOOKUP(B1449,'Pre-Summary'!$BW$6:$BY$58,2,FALSE),"")</f>
        <v/>
      </c>
      <c r="N1449" s="45" t="str">
        <f>IFERROR(VLOOKUP(B1449,'Pre-Summary'!$CD$6:$CF$64,2,FALSE),"")</f>
        <v/>
      </c>
      <c r="O1449" s="99">
        <f>IFERROR(VLOOKUP(B1449,'Pre-Summary'!$BO$6:$BQ$48,3, FALSE),O1448)</f>
        <v>1.2</v>
      </c>
      <c r="P1449" s="99">
        <f>IFERROR(VLOOKUP(B1449,'Pre-Summary'!$BS$6:$BU$35,3,FALSE),P1448)</f>
        <v>0.3</v>
      </c>
      <c r="Q1449" s="54">
        <f t="shared" si="66"/>
        <v>4</v>
      </c>
      <c r="R1449" s="53">
        <f>IFERROR(VLOOKUP(B1449,'Pre-Summary'!$BG$6:$BM$44,7,FALSE),R1450)</f>
        <v>9.5517489384447818E-2</v>
      </c>
      <c r="S1449" s="53">
        <f>IFERROR(VLOOKUP(B1449,'Pre-Summary'!$BG$6:$BM$44,6,FALSE),S1450)</f>
        <v>8.6010874938220475E-2</v>
      </c>
      <c r="T1449" s="45" t="str">
        <f>IFERROR(VLOOKUP(B1449,'Pre-Summary'!$Y$6:$AC$83, 3,FALSE),"")</f>
        <v/>
      </c>
      <c r="U1449" s="45" t="str">
        <f>IFERROR(VLOOKUP(B1449,'Pre-Summary'!$Y$6:$AC$83, 4,FALSE),"")</f>
        <v/>
      </c>
      <c r="V1449" t="str">
        <f>IFERROR(VLOOKUP(B1449,'Pre-Summary'!$Y$6:$AC$83, 5,FALSE),"")</f>
        <v/>
      </c>
      <c r="W1449" s="45" t="str">
        <f>IFERROR(VLOOKUP(B1449,'Pre-Summary'!$Y$6:$AD$83,6,FALSE),"")</f>
        <v/>
      </c>
      <c r="X1449" t="str">
        <f>IFERROR(VLOOKUP('Pre-Summary'!$DB$6:$DD$63,3,FALSE),"")</f>
        <v/>
      </c>
      <c r="Y1449" t="str">
        <f>IFERROR(VLOOKUP(B1449,'Pre-Summary'!$CR$6:$CT$36,3,FALSE),"")</f>
        <v/>
      </c>
      <c r="Z1449" s="45" t="str">
        <f>IFERROR(VLOOKUP(B1449,'Pre-Summary'!$BZ$6:$CB$63,2,FALSE),"")</f>
        <v/>
      </c>
      <c r="AA1449" s="45" t="str">
        <f>IFERROR(VLOOKUP(B1449,'Pre-Summary'!$CG$6:$CI$70,2,FALSE),"")</f>
        <v/>
      </c>
      <c r="AB1449" s="99">
        <f>IFERROR(VLOOKUP(B1449,'Pre-Summary'!$A$6:$P$178,9,FALSE),AB1450)</f>
        <v>0.28469639734144964</v>
      </c>
      <c r="AC1449" s="10">
        <f>IFERROR(VLOOKUP(Summary!B1449,'Pre-Summary'!$A$6:$P$184,5, FALSE)/100,AC1450)</f>
        <v>0.97370999999999996</v>
      </c>
      <c r="AD1449" s="10">
        <f>IFERROR(VLOOKUP(Summary!B1449,'Pre-Summary'!$A$6:$P$184,3, FALSE)/100,AD1450)</f>
        <v>9.6713333333333321E-3</v>
      </c>
      <c r="AE1449" s="10">
        <f>IFERROR(VLOOKUP(Summary!B1449,'Pre-Summary'!$A$6:$P$184,7, FALSE)/100,AE1450)</f>
        <v>1.6468333333333335E-2</v>
      </c>
      <c r="AF1449" s="99">
        <f t="shared" si="67"/>
        <v>2.7533937574882729E-3</v>
      </c>
      <c r="AG1449" s="99">
        <f t="shared" si="68"/>
        <v>4.6884751702181071E-3</v>
      </c>
      <c r="AH1449" s="10" t="str">
        <f>IFERROR(VLOOKUP(B1449,'Pre-Summary'!$AZ$6:$BE$65,3,FALSE),"")</f>
        <v/>
      </c>
      <c r="AI1449" s="10" t="str">
        <f>IFERROR(VLOOKUP(B1449,'Pre-Summary'!$AZ$6:$BE$65,5,FALSE),"")</f>
        <v/>
      </c>
      <c r="AJ1449" s="10" t="str">
        <f>IFERROR(VLOOKUP(B1449,'Pre-Summary'!$AZ$6:$BE$65,4,FALSE),"")</f>
        <v/>
      </c>
      <c r="AK1449" s="10" t="str">
        <f>IFERROR(VLOOKUP(B1449,'Pre-Summary'!$AZ$6:$BE$65,6,FALSE),"")</f>
        <v/>
      </c>
      <c r="AL1449" s="10" t="str">
        <f>IFERROR(VLOOKUP(B1449,'Pre-Summary'!$BG$6:$BL$44,3,FALSE),"")</f>
        <v/>
      </c>
      <c r="AM1449" s="10" t="str">
        <f>IFERROR(VLOOKUP(B1449,'Pre-Summary'!$BG$6:$BL$44,4,FALSE),"")</f>
        <v/>
      </c>
    </row>
    <row r="1450" spans="2:39" ht="15" customHeight="1" x14ac:dyDescent="0.3">
      <c r="B1450">
        <v>144.69999999999999</v>
      </c>
      <c r="C1450" t="str">
        <f>IFERROR(VLOOKUP(B1450,'Pre-Summary'!$DI$6:$DM$23,4,FALSE),"")</f>
        <v/>
      </c>
      <c r="D1450" s="10" t="str">
        <f>IFERROR(VLOOKUP(B1450,'Pre-Summary'!$AT$6:$AX$14,5,FALSE),D1449)</f>
        <v xml:space="preserve">Wolfe v1: put in modified wolfe + EDTA </v>
      </c>
      <c r="E1450" s="10" t="str">
        <f>IFERROR(VLOOKUP(B1450,'Pre-Summary'!$AT$6:$AX$15,4,FALSE),"")</f>
        <v/>
      </c>
      <c r="F1450">
        <f>IFERROR(VLOOKUP(B1450,'Pre-Summary'!$AL$6:$AQ$13,6,FALSE),F1449)</f>
        <v>5.3897368421052638E-2</v>
      </c>
      <c r="G1450" t="str">
        <f>IFERROR(VLOOKUP(B1450,'Pre-Summary'!$AE$6:$AJ$85,3,FALSE),"")</f>
        <v/>
      </c>
      <c r="H1450" t="str">
        <f>IFERROR(VLOOKUP(B1450,'Pre-Summary'!$AE$6:$AJ$85,4,FALSE),"")</f>
        <v/>
      </c>
      <c r="I1450" t="str">
        <f>IFERROR(VLOOKUP(B1450,'Pre-Summary'!$AE$6:$AJ$85,5,FALSE),"")</f>
        <v/>
      </c>
      <c r="J1450" s="45" t="str">
        <f>IFERROR(VLOOKUP(B1450,'Pre-Summary'!$AE$6:$AJ$85,6, FALSE),"")</f>
        <v/>
      </c>
      <c r="K1450" s="45" t="str">
        <f>IFERROR(VLOOKUP(B1450,'Pre-Summary'!$DE$6:$DG$61,3,FALSE),"")</f>
        <v/>
      </c>
      <c r="L1450" s="45" t="str">
        <f>IFERROR(VLOOKUP(B1450,'Pre-Summary'!$CU$6:$CW$36,3,FALSE),"")</f>
        <v/>
      </c>
      <c r="M1450" s="45" t="str">
        <f>IFERROR(VLOOKUP(B1450,'Pre-Summary'!$BW$6:$BY$58,2,FALSE),"")</f>
        <v/>
      </c>
      <c r="N1450" s="45" t="str">
        <f>IFERROR(VLOOKUP(B1450,'Pre-Summary'!$CD$6:$CF$64,2,FALSE),"")</f>
        <v/>
      </c>
      <c r="O1450" s="99">
        <f>IFERROR(VLOOKUP(B1450,'Pre-Summary'!$BO$6:$BQ$48,3, FALSE),O1449)</f>
        <v>1.2</v>
      </c>
      <c r="P1450" s="99">
        <f>IFERROR(VLOOKUP(B1450,'Pre-Summary'!$BS$6:$BU$35,3,FALSE),P1449)</f>
        <v>0.3</v>
      </c>
      <c r="Q1450" s="54">
        <f t="shared" si="66"/>
        <v>4</v>
      </c>
      <c r="R1450" s="53">
        <f>IFERROR(VLOOKUP(B1450,'Pre-Summary'!$BG$6:$BM$44,7,FALSE),R1451)</f>
        <v>9.5517489384447818E-2</v>
      </c>
      <c r="S1450" s="53">
        <f>IFERROR(VLOOKUP(B1450,'Pre-Summary'!$BG$6:$BM$44,6,FALSE),S1451)</f>
        <v>8.6010874938220475E-2</v>
      </c>
      <c r="T1450" s="45" t="str">
        <f>IFERROR(VLOOKUP(B1450,'Pre-Summary'!$Y$6:$AC$83, 3,FALSE),"")</f>
        <v/>
      </c>
      <c r="U1450" s="45" t="str">
        <f>IFERROR(VLOOKUP(B1450,'Pre-Summary'!$Y$6:$AC$83, 4,FALSE),"")</f>
        <v/>
      </c>
      <c r="V1450" t="str">
        <f>IFERROR(VLOOKUP(B1450,'Pre-Summary'!$Y$6:$AC$83, 5,FALSE),"")</f>
        <v/>
      </c>
      <c r="W1450" s="45" t="str">
        <f>IFERROR(VLOOKUP(B1450,'Pre-Summary'!$Y$6:$AD$83,6,FALSE),"")</f>
        <v/>
      </c>
      <c r="X1450" t="str">
        <f>IFERROR(VLOOKUP('Pre-Summary'!$DB$6:$DD$63,3,FALSE),"")</f>
        <v/>
      </c>
      <c r="Y1450" t="str">
        <f>IFERROR(VLOOKUP(B1450,'Pre-Summary'!$CR$6:$CT$36,3,FALSE),"")</f>
        <v/>
      </c>
      <c r="Z1450" s="45" t="str">
        <f>IFERROR(VLOOKUP(B1450,'Pre-Summary'!$BZ$6:$CB$63,2,FALSE),"")</f>
        <v/>
      </c>
      <c r="AA1450" s="45" t="str">
        <f>IFERROR(VLOOKUP(B1450,'Pre-Summary'!$CG$6:$CI$70,2,FALSE),"")</f>
        <v/>
      </c>
      <c r="AB1450" s="99">
        <f>IFERROR(VLOOKUP(B1450,'Pre-Summary'!$A$6:$P$178,9,FALSE),AB1451)</f>
        <v>0.28469639734144964</v>
      </c>
      <c r="AC1450" s="10">
        <f>IFERROR(VLOOKUP(Summary!B1450,'Pre-Summary'!$A$6:$P$184,5, FALSE)/100,AC1451)</f>
        <v>0.97370999999999996</v>
      </c>
      <c r="AD1450" s="10">
        <f>IFERROR(VLOOKUP(Summary!B1450,'Pre-Summary'!$A$6:$P$184,3, FALSE)/100,AD1451)</f>
        <v>9.6713333333333321E-3</v>
      </c>
      <c r="AE1450" s="10">
        <f>IFERROR(VLOOKUP(Summary!B1450,'Pre-Summary'!$A$6:$P$184,7, FALSE)/100,AE1451)</f>
        <v>1.6468333333333335E-2</v>
      </c>
      <c r="AF1450" s="99">
        <f t="shared" si="67"/>
        <v>2.7533937574882729E-3</v>
      </c>
      <c r="AG1450" s="99">
        <f t="shared" si="68"/>
        <v>4.6884751702181071E-3</v>
      </c>
      <c r="AH1450" s="10" t="str">
        <f>IFERROR(VLOOKUP(B1450,'Pre-Summary'!$AZ$6:$BE$65,3,FALSE),"")</f>
        <v/>
      </c>
      <c r="AI1450" s="10" t="str">
        <f>IFERROR(VLOOKUP(B1450,'Pre-Summary'!$AZ$6:$BE$65,5,FALSE),"")</f>
        <v/>
      </c>
      <c r="AJ1450" s="10" t="str">
        <f>IFERROR(VLOOKUP(B1450,'Pre-Summary'!$AZ$6:$BE$65,4,FALSE),"")</f>
        <v/>
      </c>
      <c r="AK1450" s="10" t="str">
        <f>IFERROR(VLOOKUP(B1450,'Pre-Summary'!$AZ$6:$BE$65,6,FALSE),"")</f>
        <v/>
      </c>
      <c r="AL1450" s="10" t="str">
        <f>IFERROR(VLOOKUP(B1450,'Pre-Summary'!$BG$6:$BL$44,3,FALSE),"")</f>
        <v/>
      </c>
      <c r="AM1450" s="10" t="str">
        <f>IFERROR(VLOOKUP(B1450,'Pre-Summary'!$BG$6:$BL$44,4,FALSE),"")</f>
        <v/>
      </c>
    </row>
    <row r="1451" spans="2:39" ht="15" customHeight="1" x14ac:dyDescent="0.3">
      <c r="B1451">
        <v>144.80000000000001</v>
      </c>
      <c r="C1451" t="str">
        <f>IFERROR(VLOOKUP(B1451,'Pre-Summary'!$DI$6:$DM$23,4,FALSE),"")</f>
        <v/>
      </c>
      <c r="D1451" s="10" t="str">
        <f>IFERROR(VLOOKUP(B1451,'Pre-Summary'!$AT$6:$AX$14,5,FALSE),D1450)</f>
        <v xml:space="preserve">Wolfe v1: put in modified wolfe + EDTA </v>
      </c>
      <c r="E1451" s="10" t="str">
        <f>IFERROR(VLOOKUP(B1451,'Pre-Summary'!$AT$6:$AX$15,4,FALSE),"")</f>
        <v/>
      </c>
      <c r="F1451">
        <f>IFERROR(VLOOKUP(B1451,'Pre-Summary'!$AL$6:$AQ$13,6,FALSE),F1450)</f>
        <v>5.3897368421052638E-2</v>
      </c>
      <c r="G1451" t="str">
        <f>IFERROR(VLOOKUP(B1451,'Pre-Summary'!$AE$6:$AJ$85,3,FALSE),"")</f>
        <v/>
      </c>
      <c r="H1451" t="str">
        <f>IFERROR(VLOOKUP(B1451,'Pre-Summary'!$AE$6:$AJ$85,4,FALSE),"")</f>
        <v/>
      </c>
      <c r="I1451" t="str">
        <f>IFERROR(VLOOKUP(B1451,'Pre-Summary'!$AE$6:$AJ$85,5,FALSE),"")</f>
        <v/>
      </c>
      <c r="J1451" s="45" t="str">
        <f>IFERROR(VLOOKUP(B1451,'Pre-Summary'!$AE$6:$AJ$85,6, FALSE),"")</f>
        <v/>
      </c>
      <c r="K1451" s="45" t="str">
        <f>IFERROR(VLOOKUP(B1451,'Pre-Summary'!$DE$6:$DG$61,3,FALSE),"")</f>
        <v/>
      </c>
      <c r="L1451" s="45" t="str">
        <f>IFERROR(VLOOKUP(B1451,'Pre-Summary'!$CU$6:$CW$36,3,FALSE),"")</f>
        <v/>
      </c>
      <c r="M1451" s="45" t="str">
        <f>IFERROR(VLOOKUP(B1451,'Pre-Summary'!$BW$6:$BY$58,2,FALSE),"")</f>
        <v/>
      </c>
      <c r="N1451" s="45" t="str">
        <f>IFERROR(VLOOKUP(B1451,'Pre-Summary'!$CD$6:$CF$64,2,FALSE),"")</f>
        <v/>
      </c>
      <c r="O1451" s="99">
        <f>IFERROR(VLOOKUP(B1451,'Pre-Summary'!$BO$6:$BQ$48,3, FALSE),O1450)</f>
        <v>1.2</v>
      </c>
      <c r="P1451" s="99">
        <f>IFERROR(VLOOKUP(B1451,'Pre-Summary'!$BS$6:$BU$35,3,FALSE),P1450)</f>
        <v>0.3</v>
      </c>
      <c r="Q1451" s="54">
        <f t="shared" si="66"/>
        <v>4</v>
      </c>
      <c r="R1451" s="53">
        <f>IFERROR(VLOOKUP(B1451,'Pre-Summary'!$BG$6:$BM$44,7,FALSE),R1452)</f>
        <v>9.5517489384447818E-2</v>
      </c>
      <c r="S1451" s="53">
        <f>IFERROR(VLOOKUP(B1451,'Pre-Summary'!$BG$6:$BM$44,6,FALSE),S1452)</f>
        <v>8.6010874938220475E-2</v>
      </c>
      <c r="T1451" s="45" t="str">
        <f>IFERROR(VLOOKUP(B1451,'Pre-Summary'!$Y$6:$AC$83, 3,FALSE),"")</f>
        <v/>
      </c>
      <c r="U1451" s="45" t="str">
        <f>IFERROR(VLOOKUP(B1451,'Pre-Summary'!$Y$6:$AC$83, 4,FALSE),"")</f>
        <v/>
      </c>
      <c r="V1451" t="str">
        <f>IFERROR(VLOOKUP(B1451,'Pre-Summary'!$Y$6:$AC$83, 5,FALSE),"")</f>
        <v/>
      </c>
      <c r="W1451" s="45" t="str">
        <f>IFERROR(VLOOKUP(B1451,'Pre-Summary'!$Y$6:$AD$83,6,FALSE),"")</f>
        <v/>
      </c>
      <c r="X1451" t="str">
        <f>IFERROR(VLOOKUP('Pre-Summary'!$DB$6:$DD$63,3,FALSE),"")</f>
        <v/>
      </c>
      <c r="Y1451" t="str">
        <f>IFERROR(VLOOKUP(B1451,'Pre-Summary'!$CR$6:$CT$36,3,FALSE),"")</f>
        <v/>
      </c>
      <c r="Z1451" s="45" t="str">
        <f>IFERROR(VLOOKUP(B1451,'Pre-Summary'!$BZ$6:$CB$63,2,FALSE),"")</f>
        <v/>
      </c>
      <c r="AA1451" s="45" t="str">
        <f>IFERROR(VLOOKUP(B1451,'Pre-Summary'!$CG$6:$CI$70,2,FALSE),"")</f>
        <v/>
      </c>
      <c r="AB1451" s="99">
        <f>IFERROR(VLOOKUP(B1451,'Pre-Summary'!$A$6:$P$178,9,FALSE),AB1452)</f>
        <v>0.28469639734144964</v>
      </c>
      <c r="AC1451" s="10">
        <f>IFERROR(VLOOKUP(Summary!B1451,'Pre-Summary'!$A$6:$P$184,5, FALSE)/100,AC1452)</f>
        <v>0.97370999999999996</v>
      </c>
      <c r="AD1451" s="10">
        <f>IFERROR(VLOOKUP(Summary!B1451,'Pre-Summary'!$A$6:$P$184,3, FALSE)/100,AD1452)</f>
        <v>9.6713333333333321E-3</v>
      </c>
      <c r="AE1451" s="10">
        <f>IFERROR(VLOOKUP(Summary!B1451,'Pre-Summary'!$A$6:$P$184,7, FALSE)/100,AE1452)</f>
        <v>1.6468333333333335E-2</v>
      </c>
      <c r="AF1451" s="99">
        <f t="shared" si="67"/>
        <v>2.7533937574882729E-3</v>
      </c>
      <c r="AG1451" s="99">
        <f t="shared" si="68"/>
        <v>4.6884751702181071E-3</v>
      </c>
      <c r="AH1451" s="10" t="str">
        <f>IFERROR(VLOOKUP(B1451,'Pre-Summary'!$AZ$6:$BE$65,3,FALSE),"")</f>
        <v/>
      </c>
      <c r="AI1451" s="10" t="str">
        <f>IFERROR(VLOOKUP(B1451,'Pre-Summary'!$AZ$6:$BE$65,5,FALSE),"")</f>
        <v/>
      </c>
      <c r="AJ1451" s="10" t="str">
        <f>IFERROR(VLOOKUP(B1451,'Pre-Summary'!$AZ$6:$BE$65,4,FALSE),"")</f>
        <v/>
      </c>
      <c r="AK1451" s="10" t="str">
        <f>IFERROR(VLOOKUP(B1451,'Pre-Summary'!$AZ$6:$BE$65,6,FALSE),"")</f>
        <v/>
      </c>
      <c r="AL1451" s="10" t="str">
        <f>IFERROR(VLOOKUP(B1451,'Pre-Summary'!$BG$6:$BL$44,3,FALSE),"")</f>
        <v/>
      </c>
      <c r="AM1451" s="10" t="str">
        <f>IFERROR(VLOOKUP(B1451,'Pre-Summary'!$BG$6:$BL$44,4,FALSE),"")</f>
        <v/>
      </c>
    </row>
    <row r="1452" spans="2:39" ht="15" customHeight="1" x14ac:dyDescent="0.3">
      <c r="B1452">
        <v>144.9</v>
      </c>
      <c r="C1452" t="str">
        <f>IFERROR(VLOOKUP(B1452,'Pre-Summary'!$DI$6:$DM$23,4,FALSE),"")</f>
        <v/>
      </c>
      <c r="D1452" s="10" t="str">
        <f>IFERROR(VLOOKUP(B1452,'Pre-Summary'!$AT$6:$AX$14,5,FALSE),D1451)</f>
        <v xml:space="preserve">Wolfe v1: put in modified wolfe + EDTA </v>
      </c>
      <c r="E1452" s="10" t="str">
        <f>IFERROR(VLOOKUP(B1452,'Pre-Summary'!$AT$6:$AX$15,4,FALSE),"")</f>
        <v/>
      </c>
      <c r="F1452">
        <f>IFERROR(VLOOKUP(B1452,'Pre-Summary'!$AL$6:$AQ$13,6,FALSE),F1451)</f>
        <v>5.3897368421052638E-2</v>
      </c>
      <c r="G1452" t="str">
        <f>IFERROR(VLOOKUP(B1452,'Pre-Summary'!$AE$6:$AJ$85,3,FALSE),"")</f>
        <v/>
      </c>
      <c r="H1452" t="str">
        <f>IFERROR(VLOOKUP(B1452,'Pre-Summary'!$AE$6:$AJ$85,4,FALSE),"")</f>
        <v/>
      </c>
      <c r="I1452" t="str">
        <f>IFERROR(VLOOKUP(B1452,'Pre-Summary'!$AE$6:$AJ$85,5,FALSE),"")</f>
        <v/>
      </c>
      <c r="J1452" s="45" t="str">
        <f>IFERROR(VLOOKUP(B1452,'Pre-Summary'!$AE$6:$AJ$85,6, FALSE),"")</f>
        <v/>
      </c>
      <c r="K1452" s="45" t="str">
        <f>IFERROR(VLOOKUP(B1452,'Pre-Summary'!$DE$6:$DG$61,3,FALSE),"")</f>
        <v/>
      </c>
      <c r="L1452" s="45" t="str">
        <f>IFERROR(VLOOKUP(B1452,'Pre-Summary'!$CU$6:$CW$36,3,FALSE),"")</f>
        <v/>
      </c>
      <c r="M1452" s="45" t="str">
        <f>IFERROR(VLOOKUP(B1452,'Pre-Summary'!$BW$6:$BY$58,2,FALSE),"")</f>
        <v/>
      </c>
      <c r="N1452" s="45" t="str">
        <f>IFERROR(VLOOKUP(B1452,'Pre-Summary'!$CD$6:$CF$64,2,FALSE),"")</f>
        <v/>
      </c>
      <c r="O1452" s="99">
        <f>IFERROR(VLOOKUP(B1452,'Pre-Summary'!$BO$6:$BQ$48,3, FALSE),O1451)</f>
        <v>1.2</v>
      </c>
      <c r="P1452" s="99">
        <f>IFERROR(VLOOKUP(B1452,'Pre-Summary'!$BS$6:$BU$35,3,FALSE),P1451)</f>
        <v>0.3</v>
      </c>
      <c r="Q1452" s="54">
        <f t="shared" si="66"/>
        <v>4</v>
      </c>
      <c r="R1452" s="53">
        <f>IFERROR(VLOOKUP(B1452,'Pre-Summary'!$BG$6:$BM$44,7,FALSE),R1453)</f>
        <v>9.5517489384447818E-2</v>
      </c>
      <c r="S1452" s="53">
        <f>IFERROR(VLOOKUP(B1452,'Pre-Summary'!$BG$6:$BM$44,6,FALSE),S1453)</f>
        <v>8.6010874938220475E-2</v>
      </c>
      <c r="T1452" s="45" t="str">
        <f>IFERROR(VLOOKUP(B1452,'Pre-Summary'!$Y$6:$AC$83, 3,FALSE),"")</f>
        <v/>
      </c>
      <c r="U1452" s="45" t="str">
        <f>IFERROR(VLOOKUP(B1452,'Pre-Summary'!$Y$6:$AC$83, 4,FALSE),"")</f>
        <v/>
      </c>
      <c r="V1452" t="str">
        <f>IFERROR(VLOOKUP(B1452,'Pre-Summary'!$Y$6:$AC$83, 5,FALSE),"")</f>
        <v/>
      </c>
      <c r="W1452" s="45" t="str">
        <f>IFERROR(VLOOKUP(B1452,'Pre-Summary'!$Y$6:$AD$83,6,FALSE),"")</f>
        <v/>
      </c>
      <c r="X1452" t="str">
        <f>IFERROR(VLOOKUP('Pre-Summary'!$DB$6:$DD$63,3,FALSE),"")</f>
        <v/>
      </c>
      <c r="Y1452" t="str">
        <f>IFERROR(VLOOKUP(B1452,'Pre-Summary'!$CR$6:$CT$36,3,FALSE),"")</f>
        <v/>
      </c>
      <c r="Z1452" s="45" t="str">
        <f>IFERROR(VLOOKUP(B1452,'Pre-Summary'!$BZ$6:$CB$63,2,FALSE),"")</f>
        <v/>
      </c>
      <c r="AA1452" s="45" t="str">
        <f>IFERROR(VLOOKUP(B1452,'Pre-Summary'!$CG$6:$CI$70,2,FALSE),"")</f>
        <v/>
      </c>
      <c r="AB1452" s="99">
        <f>IFERROR(VLOOKUP(B1452,'Pre-Summary'!$A$6:$P$178,9,FALSE),AB1453)</f>
        <v>0.28469639734144964</v>
      </c>
      <c r="AC1452" s="10">
        <f>IFERROR(VLOOKUP(Summary!B1452,'Pre-Summary'!$A$6:$P$184,5, FALSE)/100,AC1453)</f>
        <v>0.97370999999999996</v>
      </c>
      <c r="AD1452" s="10">
        <f>IFERROR(VLOOKUP(Summary!B1452,'Pre-Summary'!$A$6:$P$184,3, FALSE)/100,AD1453)</f>
        <v>9.6713333333333321E-3</v>
      </c>
      <c r="AE1452" s="10">
        <f>IFERROR(VLOOKUP(Summary!B1452,'Pre-Summary'!$A$6:$P$184,7, FALSE)/100,AE1453)</f>
        <v>1.6468333333333335E-2</v>
      </c>
      <c r="AF1452" s="99">
        <f t="shared" si="67"/>
        <v>2.7533937574882729E-3</v>
      </c>
      <c r="AG1452" s="99">
        <f t="shared" si="68"/>
        <v>4.6884751702181071E-3</v>
      </c>
      <c r="AH1452" s="10" t="str">
        <f>IFERROR(VLOOKUP(B1452,'Pre-Summary'!$AZ$6:$BE$65,3,FALSE),"")</f>
        <v/>
      </c>
      <c r="AI1452" s="10" t="str">
        <f>IFERROR(VLOOKUP(B1452,'Pre-Summary'!$AZ$6:$BE$65,5,FALSE),"")</f>
        <v/>
      </c>
      <c r="AJ1452" s="10" t="str">
        <f>IFERROR(VLOOKUP(B1452,'Pre-Summary'!$AZ$6:$BE$65,4,FALSE),"")</f>
        <v/>
      </c>
      <c r="AK1452" s="10" t="str">
        <f>IFERROR(VLOOKUP(B1452,'Pre-Summary'!$AZ$6:$BE$65,6,FALSE),"")</f>
        <v/>
      </c>
      <c r="AL1452" s="10" t="str">
        <f>IFERROR(VLOOKUP(B1452,'Pre-Summary'!$BG$6:$BL$44,3,FALSE),"")</f>
        <v/>
      </c>
      <c r="AM1452" s="10" t="str">
        <f>IFERROR(VLOOKUP(B1452,'Pre-Summary'!$BG$6:$BL$44,4,FALSE),"")</f>
        <v/>
      </c>
    </row>
    <row r="1453" spans="2:39" ht="15" customHeight="1" x14ac:dyDescent="0.3">
      <c r="B1453">
        <v>145</v>
      </c>
      <c r="C1453" t="str">
        <f>IFERROR(VLOOKUP(B1453,'Pre-Summary'!$DI$6:$DM$23,4,FALSE),"")</f>
        <v/>
      </c>
      <c r="D1453" s="10" t="str">
        <f>IFERROR(VLOOKUP(B1453,'Pre-Summary'!$AT$6:$AX$14,5,FALSE),D1452)</f>
        <v xml:space="preserve">Wolfe v1: put in modified wolfe + EDTA </v>
      </c>
      <c r="E1453" s="10" t="str">
        <f>IFERROR(VLOOKUP(B1453,'Pre-Summary'!$AT$6:$AX$15,4,FALSE),"")</f>
        <v/>
      </c>
      <c r="F1453">
        <f>IFERROR(VLOOKUP(B1453,'Pre-Summary'!$AL$6:$AQ$13,6,FALSE),F1452)</f>
        <v>5.3897368421052638E-2</v>
      </c>
      <c r="G1453" t="str">
        <f>IFERROR(VLOOKUP(B1453,'Pre-Summary'!$AE$6:$AJ$85,3,FALSE),"")</f>
        <v/>
      </c>
      <c r="H1453" t="str">
        <f>IFERROR(VLOOKUP(B1453,'Pre-Summary'!$AE$6:$AJ$85,4,FALSE),"")</f>
        <v/>
      </c>
      <c r="I1453" t="str">
        <f>IFERROR(VLOOKUP(B1453,'Pre-Summary'!$AE$6:$AJ$85,5,FALSE),"")</f>
        <v/>
      </c>
      <c r="J1453" s="45" t="str">
        <f>IFERROR(VLOOKUP(B1453,'Pre-Summary'!$AE$6:$AJ$85,6, FALSE),"")</f>
        <v/>
      </c>
      <c r="K1453" s="45" t="str">
        <f>IFERROR(VLOOKUP(B1453,'Pre-Summary'!$DE$6:$DG$61,3,FALSE),"")</f>
        <v/>
      </c>
      <c r="L1453" s="45" t="str">
        <f>IFERROR(VLOOKUP(B1453,'Pre-Summary'!$CU$6:$CW$36,3,FALSE),"")</f>
        <v/>
      </c>
      <c r="M1453" s="45" t="str">
        <f>IFERROR(VLOOKUP(B1453,'Pre-Summary'!$BW$6:$BY$58,2,FALSE),"")</f>
        <v/>
      </c>
      <c r="N1453" s="45" t="str">
        <f>IFERROR(VLOOKUP(B1453,'Pre-Summary'!$CD$6:$CF$64,2,FALSE),"")</f>
        <v/>
      </c>
      <c r="O1453" s="99">
        <f>IFERROR(VLOOKUP(B1453,'Pre-Summary'!$BO$6:$BQ$48,3, FALSE),O1452)</f>
        <v>1.2</v>
      </c>
      <c r="P1453" s="99">
        <f>IFERROR(VLOOKUP(B1453,'Pre-Summary'!$BS$6:$BU$35,3,FALSE),P1452)</f>
        <v>0.3</v>
      </c>
      <c r="Q1453" s="54">
        <f t="shared" si="66"/>
        <v>4</v>
      </c>
      <c r="R1453" s="53">
        <f>IFERROR(VLOOKUP(B1453,'Pre-Summary'!$BG$6:$BM$44,7,FALSE),R1454)</f>
        <v>9.5517489384447818E-2</v>
      </c>
      <c r="S1453" s="53">
        <f>IFERROR(VLOOKUP(B1453,'Pre-Summary'!$BG$6:$BM$44,6,FALSE),S1454)</f>
        <v>8.6010874938220475E-2</v>
      </c>
      <c r="T1453" s="45" t="str">
        <f>IFERROR(VLOOKUP(B1453,'Pre-Summary'!$Y$6:$AC$83, 3,FALSE),"")</f>
        <v/>
      </c>
      <c r="U1453" s="45" t="str">
        <f>IFERROR(VLOOKUP(B1453,'Pre-Summary'!$Y$6:$AC$83, 4,FALSE),"")</f>
        <v/>
      </c>
      <c r="V1453" t="str">
        <f>IFERROR(VLOOKUP(B1453,'Pre-Summary'!$Y$6:$AC$83, 5,FALSE),"")</f>
        <v/>
      </c>
      <c r="W1453" s="45" t="str">
        <f>IFERROR(VLOOKUP(B1453,'Pre-Summary'!$Y$6:$AD$83,6,FALSE),"")</f>
        <v/>
      </c>
      <c r="X1453" t="str">
        <f>IFERROR(VLOOKUP('Pre-Summary'!$DB$6:$DD$63,3,FALSE),"")</f>
        <v/>
      </c>
      <c r="Y1453" t="str">
        <f>IFERROR(VLOOKUP(B1453,'Pre-Summary'!$CR$6:$CT$36,3,FALSE),"")</f>
        <v/>
      </c>
      <c r="Z1453" s="45" t="str">
        <f>IFERROR(VLOOKUP(B1453,'Pre-Summary'!$BZ$6:$CB$63,2,FALSE),"")</f>
        <v/>
      </c>
      <c r="AA1453" s="45" t="str">
        <f>IFERROR(VLOOKUP(B1453,'Pre-Summary'!$CG$6:$CI$70,2,FALSE),"")</f>
        <v/>
      </c>
      <c r="AB1453" s="99">
        <f>IFERROR(VLOOKUP(B1453,'Pre-Summary'!$A$6:$P$178,9,FALSE),AB1454)</f>
        <v>0.28469639734144964</v>
      </c>
      <c r="AC1453" s="10">
        <f>IFERROR(VLOOKUP(Summary!B1453,'Pre-Summary'!$A$6:$P$184,5, FALSE)/100,AC1454)</f>
        <v>0.97370999999999996</v>
      </c>
      <c r="AD1453" s="10">
        <f>IFERROR(VLOOKUP(Summary!B1453,'Pre-Summary'!$A$6:$P$184,3, FALSE)/100,AD1454)</f>
        <v>9.6713333333333321E-3</v>
      </c>
      <c r="AE1453" s="10">
        <f>IFERROR(VLOOKUP(Summary!B1453,'Pre-Summary'!$A$6:$P$184,7, FALSE)/100,AE1454)</f>
        <v>1.6468333333333335E-2</v>
      </c>
      <c r="AF1453" s="99">
        <f t="shared" si="67"/>
        <v>2.7533937574882729E-3</v>
      </c>
      <c r="AG1453" s="99">
        <f t="shared" si="68"/>
        <v>4.6884751702181071E-3</v>
      </c>
      <c r="AH1453" s="10" t="str">
        <f>IFERROR(VLOOKUP(B1453,'Pre-Summary'!$AZ$6:$BE$65,3,FALSE),"")</f>
        <v/>
      </c>
      <c r="AI1453" s="10" t="str">
        <f>IFERROR(VLOOKUP(B1453,'Pre-Summary'!$AZ$6:$BE$65,5,FALSE),"")</f>
        <v/>
      </c>
      <c r="AJ1453" s="10" t="str">
        <f>IFERROR(VLOOKUP(B1453,'Pre-Summary'!$AZ$6:$BE$65,4,FALSE),"")</f>
        <v/>
      </c>
      <c r="AK1453" s="10" t="str">
        <f>IFERROR(VLOOKUP(B1453,'Pre-Summary'!$AZ$6:$BE$65,6,FALSE),"")</f>
        <v/>
      </c>
      <c r="AL1453" s="10" t="str">
        <f>IFERROR(VLOOKUP(B1453,'Pre-Summary'!$BG$6:$BL$44,3,FALSE),"")</f>
        <v/>
      </c>
      <c r="AM1453" s="10" t="str">
        <f>IFERROR(VLOOKUP(B1453,'Pre-Summary'!$BG$6:$BL$44,4,FALSE),"")</f>
        <v/>
      </c>
    </row>
    <row r="1454" spans="2:39" ht="15" customHeight="1" x14ac:dyDescent="0.3">
      <c r="B1454">
        <v>145.1</v>
      </c>
      <c r="C1454" t="str">
        <f>IFERROR(VLOOKUP(B1454,'Pre-Summary'!$DI$6:$DM$23,4,FALSE),"")</f>
        <v/>
      </c>
      <c r="D1454" s="10" t="str">
        <f>IFERROR(VLOOKUP(B1454,'Pre-Summary'!$AT$6:$AX$14,5,FALSE),D1453)</f>
        <v xml:space="preserve">Wolfe v1: put in modified wolfe + EDTA </v>
      </c>
      <c r="E1454" s="10" t="str">
        <f>IFERROR(VLOOKUP(B1454,'Pre-Summary'!$AT$6:$AX$15,4,FALSE),"")</f>
        <v/>
      </c>
      <c r="F1454">
        <f>IFERROR(VLOOKUP(B1454,'Pre-Summary'!$AL$6:$AQ$13,6,FALSE),F1453)</f>
        <v>5.3897368421052638E-2</v>
      </c>
      <c r="G1454" t="str">
        <f>IFERROR(VLOOKUP(B1454,'Pre-Summary'!$AE$6:$AJ$85,3,FALSE),"")</f>
        <v/>
      </c>
      <c r="H1454" t="str">
        <f>IFERROR(VLOOKUP(B1454,'Pre-Summary'!$AE$6:$AJ$85,4,FALSE),"")</f>
        <v/>
      </c>
      <c r="I1454" t="str">
        <f>IFERROR(VLOOKUP(B1454,'Pre-Summary'!$AE$6:$AJ$85,5,FALSE),"")</f>
        <v/>
      </c>
      <c r="J1454" s="45" t="str">
        <f>IFERROR(VLOOKUP(B1454,'Pre-Summary'!$AE$6:$AJ$85,6, FALSE),"")</f>
        <v/>
      </c>
      <c r="K1454" s="45" t="str">
        <f>IFERROR(VLOOKUP(B1454,'Pre-Summary'!$DE$6:$DG$61,3,FALSE),"")</f>
        <v/>
      </c>
      <c r="L1454" s="45" t="str">
        <f>IFERROR(VLOOKUP(B1454,'Pre-Summary'!$CU$6:$CW$36,3,FALSE),"")</f>
        <v/>
      </c>
      <c r="M1454" s="45" t="str">
        <f>IFERROR(VLOOKUP(B1454,'Pre-Summary'!$BW$6:$BY$58,2,FALSE),"")</f>
        <v/>
      </c>
      <c r="N1454" s="45" t="str">
        <f>IFERROR(VLOOKUP(B1454,'Pre-Summary'!$CD$6:$CF$64,2,FALSE),"")</f>
        <v/>
      </c>
      <c r="O1454" s="99">
        <f>IFERROR(VLOOKUP(B1454,'Pre-Summary'!$BO$6:$BQ$48,3, FALSE),O1453)</f>
        <v>1.2</v>
      </c>
      <c r="P1454" s="99">
        <f>IFERROR(VLOOKUP(B1454,'Pre-Summary'!$BS$6:$BU$35,3,FALSE),P1453)</f>
        <v>0.3</v>
      </c>
      <c r="Q1454" s="54">
        <f t="shared" si="66"/>
        <v>4</v>
      </c>
      <c r="R1454" s="53">
        <f>IFERROR(VLOOKUP(B1454,'Pre-Summary'!$BG$6:$BM$44,7,FALSE),R1455)</f>
        <v>9.5517489384447818E-2</v>
      </c>
      <c r="S1454" s="53">
        <f>IFERROR(VLOOKUP(B1454,'Pre-Summary'!$BG$6:$BM$44,6,FALSE),S1455)</f>
        <v>8.6010874938220475E-2</v>
      </c>
      <c r="T1454" s="45" t="str">
        <f>IFERROR(VLOOKUP(B1454,'Pre-Summary'!$Y$6:$AC$83, 3,FALSE),"")</f>
        <v/>
      </c>
      <c r="U1454" s="45" t="str">
        <f>IFERROR(VLOOKUP(B1454,'Pre-Summary'!$Y$6:$AC$83, 4,FALSE),"")</f>
        <v/>
      </c>
      <c r="V1454" t="str">
        <f>IFERROR(VLOOKUP(B1454,'Pre-Summary'!$Y$6:$AC$83, 5,FALSE),"")</f>
        <v/>
      </c>
      <c r="W1454" s="45" t="str">
        <f>IFERROR(VLOOKUP(B1454,'Pre-Summary'!$Y$6:$AD$83,6,FALSE),"")</f>
        <v/>
      </c>
      <c r="X1454" t="str">
        <f>IFERROR(VLOOKUP('Pre-Summary'!$DB$6:$DD$63,3,FALSE),"")</f>
        <v/>
      </c>
      <c r="Y1454" t="str">
        <f>IFERROR(VLOOKUP(B1454,'Pre-Summary'!$CR$6:$CT$36,3,FALSE),"")</f>
        <v/>
      </c>
      <c r="Z1454" s="45" t="str">
        <f>IFERROR(VLOOKUP(B1454,'Pre-Summary'!$BZ$6:$CB$63,2,FALSE),"")</f>
        <v/>
      </c>
      <c r="AA1454" s="45" t="str">
        <f>IFERROR(VLOOKUP(B1454,'Pre-Summary'!$CG$6:$CI$70,2,FALSE),"")</f>
        <v/>
      </c>
      <c r="AB1454" s="99">
        <f>IFERROR(VLOOKUP(B1454,'Pre-Summary'!$A$6:$P$178,9,FALSE),AB1455)</f>
        <v>0.28469639734144964</v>
      </c>
      <c r="AC1454" s="10">
        <f>IFERROR(VLOOKUP(Summary!B1454,'Pre-Summary'!$A$6:$P$184,5, FALSE)/100,AC1455)</f>
        <v>0.97370999999999996</v>
      </c>
      <c r="AD1454" s="10">
        <f>IFERROR(VLOOKUP(Summary!B1454,'Pre-Summary'!$A$6:$P$184,3, FALSE)/100,AD1455)</f>
        <v>9.6713333333333321E-3</v>
      </c>
      <c r="AE1454" s="10">
        <f>IFERROR(VLOOKUP(Summary!B1454,'Pre-Summary'!$A$6:$P$184,7, FALSE)/100,AE1455)</f>
        <v>1.6468333333333335E-2</v>
      </c>
      <c r="AF1454" s="99">
        <f t="shared" si="67"/>
        <v>2.7533937574882729E-3</v>
      </c>
      <c r="AG1454" s="99">
        <f t="shared" si="68"/>
        <v>4.6884751702181071E-3</v>
      </c>
      <c r="AH1454" s="10" t="str">
        <f>IFERROR(VLOOKUP(B1454,'Pre-Summary'!$AZ$6:$BE$65,3,FALSE),"")</f>
        <v/>
      </c>
      <c r="AI1454" s="10" t="str">
        <f>IFERROR(VLOOKUP(B1454,'Pre-Summary'!$AZ$6:$BE$65,5,FALSE),"")</f>
        <v/>
      </c>
      <c r="AJ1454" s="10" t="str">
        <f>IFERROR(VLOOKUP(B1454,'Pre-Summary'!$AZ$6:$BE$65,4,FALSE),"")</f>
        <v/>
      </c>
      <c r="AK1454" s="10" t="str">
        <f>IFERROR(VLOOKUP(B1454,'Pre-Summary'!$AZ$6:$BE$65,6,FALSE),"")</f>
        <v/>
      </c>
      <c r="AL1454" s="10" t="str">
        <f>IFERROR(VLOOKUP(B1454,'Pre-Summary'!$BG$6:$BL$44,3,FALSE),"")</f>
        <v/>
      </c>
      <c r="AM1454" s="10" t="str">
        <f>IFERROR(VLOOKUP(B1454,'Pre-Summary'!$BG$6:$BL$44,4,FALSE),"")</f>
        <v/>
      </c>
    </row>
    <row r="1455" spans="2:39" ht="15" customHeight="1" x14ac:dyDescent="0.3">
      <c r="B1455">
        <v>145.19999999999999</v>
      </c>
      <c r="C1455" t="str">
        <f>IFERROR(VLOOKUP(B1455,'Pre-Summary'!$DI$6:$DM$23,4,FALSE),"")</f>
        <v/>
      </c>
      <c r="D1455" s="10" t="str">
        <f>IFERROR(VLOOKUP(B1455,'Pre-Summary'!$AT$6:$AX$14,5,FALSE),D1454)</f>
        <v xml:space="preserve">Wolfe v1: put in modified wolfe + EDTA </v>
      </c>
      <c r="E1455" s="10" t="str">
        <f>IFERROR(VLOOKUP(B1455,'Pre-Summary'!$AT$6:$AX$15,4,FALSE),"")</f>
        <v/>
      </c>
      <c r="F1455">
        <f>IFERROR(VLOOKUP(B1455,'Pre-Summary'!$AL$6:$AQ$13,6,FALSE),F1454)</f>
        <v>5.3897368421052638E-2</v>
      </c>
      <c r="G1455" t="str">
        <f>IFERROR(VLOOKUP(B1455,'Pre-Summary'!$AE$6:$AJ$85,3,FALSE),"")</f>
        <v/>
      </c>
      <c r="H1455" t="str">
        <f>IFERROR(VLOOKUP(B1455,'Pre-Summary'!$AE$6:$AJ$85,4,FALSE),"")</f>
        <v/>
      </c>
      <c r="I1455" t="str">
        <f>IFERROR(VLOOKUP(B1455,'Pre-Summary'!$AE$6:$AJ$85,5,FALSE),"")</f>
        <v/>
      </c>
      <c r="J1455" s="45" t="str">
        <f>IFERROR(VLOOKUP(B1455,'Pre-Summary'!$AE$6:$AJ$85,6, FALSE),"")</f>
        <v/>
      </c>
      <c r="K1455" s="45" t="str">
        <f>IFERROR(VLOOKUP(B1455,'Pre-Summary'!$DE$6:$DG$61,3,FALSE),"")</f>
        <v/>
      </c>
      <c r="L1455" s="45" t="str">
        <f>IFERROR(VLOOKUP(B1455,'Pre-Summary'!$CU$6:$CW$36,3,FALSE),"")</f>
        <v/>
      </c>
      <c r="M1455" s="45" t="str">
        <f>IFERROR(VLOOKUP(B1455,'Pre-Summary'!$BW$6:$BY$58,2,FALSE),"")</f>
        <v/>
      </c>
      <c r="N1455" s="45" t="str">
        <f>IFERROR(VLOOKUP(B1455,'Pre-Summary'!$CD$6:$CF$64,2,FALSE),"")</f>
        <v/>
      </c>
      <c r="O1455" s="99">
        <f>IFERROR(VLOOKUP(B1455,'Pre-Summary'!$BO$6:$BQ$48,3, FALSE),O1454)</f>
        <v>1.2</v>
      </c>
      <c r="P1455" s="99">
        <f>IFERROR(VLOOKUP(B1455,'Pre-Summary'!$BS$6:$BU$35,3,FALSE),P1454)</f>
        <v>0.3</v>
      </c>
      <c r="Q1455" s="54">
        <f t="shared" si="66"/>
        <v>4</v>
      </c>
      <c r="R1455" s="53">
        <f>IFERROR(VLOOKUP(B1455,'Pre-Summary'!$BG$6:$BM$44,7,FALSE),R1456)</f>
        <v>9.5517489384447818E-2</v>
      </c>
      <c r="S1455" s="53">
        <f>IFERROR(VLOOKUP(B1455,'Pre-Summary'!$BG$6:$BM$44,6,FALSE),S1456)</f>
        <v>8.6010874938220475E-2</v>
      </c>
      <c r="T1455" s="45" t="str">
        <f>IFERROR(VLOOKUP(B1455,'Pre-Summary'!$Y$6:$AC$83, 3,FALSE),"")</f>
        <v/>
      </c>
      <c r="U1455" s="45" t="str">
        <f>IFERROR(VLOOKUP(B1455,'Pre-Summary'!$Y$6:$AC$83, 4,FALSE),"")</f>
        <v/>
      </c>
      <c r="V1455" t="str">
        <f>IFERROR(VLOOKUP(B1455,'Pre-Summary'!$Y$6:$AC$83, 5,FALSE),"")</f>
        <v/>
      </c>
      <c r="W1455" s="45" t="str">
        <f>IFERROR(VLOOKUP(B1455,'Pre-Summary'!$Y$6:$AD$83,6,FALSE),"")</f>
        <v/>
      </c>
      <c r="X1455" t="str">
        <f>IFERROR(VLOOKUP('Pre-Summary'!$DB$6:$DD$63,3,FALSE),"")</f>
        <v/>
      </c>
      <c r="Y1455" t="str">
        <f>IFERROR(VLOOKUP(B1455,'Pre-Summary'!$CR$6:$CT$36,3,FALSE),"")</f>
        <v/>
      </c>
      <c r="Z1455" s="45" t="str">
        <f>IFERROR(VLOOKUP(B1455,'Pre-Summary'!$BZ$6:$CB$63,2,FALSE),"")</f>
        <v/>
      </c>
      <c r="AA1455" s="45" t="str">
        <f>IFERROR(VLOOKUP(B1455,'Pre-Summary'!$CG$6:$CI$70,2,FALSE),"")</f>
        <v/>
      </c>
      <c r="AB1455" s="99">
        <f>IFERROR(VLOOKUP(B1455,'Pre-Summary'!$A$6:$P$178,9,FALSE),AB1456)</f>
        <v>0.28469639734144964</v>
      </c>
      <c r="AC1455" s="10">
        <f>IFERROR(VLOOKUP(Summary!B1455,'Pre-Summary'!$A$6:$P$184,5, FALSE)/100,AC1456)</f>
        <v>0.97370999999999996</v>
      </c>
      <c r="AD1455" s="10">
        <f>IFERROR(VLOOKUP(Summary!B1455,'Pre-Summary'!$A$6:$P$184,3, FALSE)/100,AD1456)</f>
        <v>9.6713333333333321E-3</v>
      </c>
      <c r="AE1455" s="10">
        <f>IFERROR(VLOOKUP(Summary!B1455,'Pre-Summary'!$A$6:$P$184,7, FALSE)/100,AE1456)</f>
        <v>1.6468333333333335E-2</v>
      </c>
      <c r="AF1455" s="99">
        <f t="shared" si="67"/>
        <v>2.7533937574882729E-3</v>
      </c>
      <c r="AG1455" s="99">
        <f t="shared" si="68"/>
        <v>4.6884751702181071E-3</v>
      </c>
      <c r="AH1455" s="10" t="str">
        <f>IFERROR(VLOOKUP(B1455,'Pre-Summary'!$AZ$6:$BE$65,3,FALSE),"")</f>
        <v/>
      </c>
      <c r="AI1455" s="10" t="str">
        <f>IFERROR(VLOOKUP(B1455,'Pre-Summary'!$AZ$6:$BE$65,5,FALSE),"")</f>
        <v/>
      </c>
      <c r="AJ1455" s="10" t="str">
        <f>IFERROR(VLOOKUP(B1455,'Pre-Summary'!$AZ$6:$BE$65,4,FALSE),"")</f>
        <v/>
      </c>
      <c r="AK1455" s="10" t="str">
        <f>IFERROR(VLOOKUP(B1455,'Pre-Summary'!$AZ$6:$BE$65,6,FALSE),"")</f>
        <v/>
      </c>
      <c r="AL1455" s="10" t="str">
        <f>IFERROR(VLOOKUP(B1455,'Pre-Summary'!$BG$6:$BL$44,3,FALSE),"")</f>
        <v/>
      </c>
      <c r="AM1455" s="10" t="str">
        <f>IFERROR(VLOOKUP(B1455,'Pre-Summary'!$BG$6:$BL$44,4,FALSE),"")</f>
        <v/>
      </c>
    </row>
    <row r="1456" spans="2:39" ht="15" customHeight="1" x14ac:dyDescent="0.3">
      <c r="B1456">
        <v>145.30000000000001</v>
      </c>
      <c r="C1456" t="str">
        <f>IFERROR(VLOOKUP(B1456,'Pre-Summary'!$DI$6:$DM$23,4,FALSE),"")</f>
        <v/>
      </c>
      <c r="D1456" s="10" t="str">
        <f>IFERROR(VLOOKUP(B1456,'Pre-Summary'!$AT$6:$AX$14,5,FALSE),D1455)</f>
        <v xml:space="preserve">Wolfe v1: put in modified wolfe + EDTA </v>
      </c>
      <c r="E1456" s="10" t="str">
        <f>IFERROR(VLOOKUP(B1456,'Pre-Summary'!$AT$6:$AX$15,4,FALSE),"")</f>
        <v/>
      </c>
      <c r="F1456">
        <f>IFERROR(VLOOKUP(B1456,'Pre-Summary'!$AL$6:$AQ$13,6,FALSE),F1455)</f>
        <v>5.3897368421052638E-2</v>
      </c>
      <c r="G1456" t="str">
        <f>IFERROR(VLOOKUP(B1456,'Pre-Summary'!$AE$6:$AJ$85,3,FALSE),"")</f>
        <v/>
      </c>
      <c r="H1456" t="str">
        <f>IFERROR(VLOOKUP(B1456,'Pre-Summary'!$AE$6:$AJ$85,4,FALSE),"")</f>
        <v/>
      </c>
      <c r="I1456" t="str">
        <f>IFERROR(VLOOKUP(B1456,'Pre-Summary'!$AE$6:$AJ$85,5,FALSE),"")</f>
        <v/>
      </c>
      <c r="J1456" s="45" t="str">
        <f>IFERROR(VLOOKUP(B1456,'Pre-Summary'!$AE$6:$AJ$85,6, FALSE),"")</f>
        <v/>
      </c>
      <c r="K1456" s="45" t="str">
        <f>IFERROR(VLOOKUP(B1456,'Pre-Summary'!$DE$6:$DG$61,3,FALSE),"")</f>
        <v/>
      </c>
      <c r="L1456" s="45" t="str">
        <f>IFERROR(VLOOKUP(B1456,'Pre-Summary'!$CU$6:$CW$36,3,FALSE),"")</f>
        <v/>
      </c>
      <c r="M1456" s="45" t="str">
        <f>IFERROR(VLOOKUP(B1456,'Pre-Summary'!$BW$6:$BY$58,2,FALSE),"")</f>
        <v/>
      </c>
      <c r="N1456" s="45" t="str">
        <f>IFERROR(VLOOKUP(B1456,'Pre-Summary'!$CD$6:$CF$64,2,FALSE),"")</f>
        <v/>
      </c>
      <c r="O1456" s="99">
        <f>IFERROR(VLOOKUP(B1456,'Pre-Summary'!$BO$6:$BQ$48,3, FALSE),O1455)</f>
        <v>1.2</v>
      </c>
      <c r="P1456" s="99">
        <f>IFERROR(VLOOKUP(B1456,'Pre-Summary'!$BS$6:$BU$35,3,FALSE),P1455)</f>
        <v>0.3</v>
      </c>
      <c r="Q1456" s="54">
        <f t="shared" si="66"/>
        <v>4</v>
      </c>
      <c r="R1456" s="53">
        <f>IFERROR(VLOOKUP(B1456,'Pre-Summary'!$BG$6:$BM$44,7,FALSE),R1457)</f>
        <v>9.5517489384447818E-2</v>
      </c>
      <c r="S1456" s="53">
        <f>IFERROR(VLOOKUP(B1456,'Pre-Summary'!$BG$6:$BM$44,6,FALSE),S1457)</f>
        <v>8.6010874938220475E-2</v>
      </c>
      <c r="T1456" s="45" t="str">
        <f>IFERROR(VLOOKUP(B1456,'Pre-Summary'!$Y$6:$AC$83, 3,FALSE),"")</f>
        <v/>
      </c>
      <c r="U1456" s="45" t="str">
        <f>IFERROR(VLOOKUP(B1456,'Pre-Summary'!$Y$6:$AC$83, 4,FALSE),"")</f>
        <v/>
      </c>
      <c r="V1456" t="str">
        <f>IFERROR(VLOOKUP(B1456,'Pre-Summary'!$Y$6:$AC$83, 5,FALSE),"")</f>
        <v/>
      </c>
      <c r="W1456" s="45" t="str">
        <f>IFERROR(VLOOKUP(B1456,'Pre-Summary'!$Y$6:$AD$83,6,FALSE),"")</f>
        <v/>
      </c>
      <c r="X1456" t="str">
        <f>IFERROR(VLOOKUP('Pre-Summary'!$DB$6:$DD$63,3,FALSE),"")</f>
        <v/>
      </c>
      <c r="Y1456" t="str">
        <f>IFERROR(VLOOKUP(B1456,'Pre-Summary'!$CR$6:$CT$36,3,FALSE),"")</f>
        <v/>
      </c>
      <c r="Z1456" s="45" t="str">
        <f>IFERROR(VLOOKUP(B1456,'Pre-Summary'!$BZ$6:$CB$63,2,FALSE),"")</f>
        <v/>
      </c>
      <c r="AA1456" s="45" t="str">
        <f>IFERROR(VLOOKUP(B1456,'Pre-Summary'!$CG$6:$CI$70,2,FALSE),"")</f>
        <v/>
      </c>
      <c r="AB1456" s="99">
        <f>IFERROR(VLOOKUP(B1456,'Pre-Summary'!$A$6:$P$178,9,FALSE),AB1457)</f>
        <v>0.28469639734144964</v>
      </c>
      <c r="AC1456" s="10">
        <f>IFERROR(VLOOKUP(Summary!B1456,'Pre-Summary'!$A$6:$P$184,5, FALSE)/100,AC1457)</f>
        <v>0.97370999999999996</v>
      </c>
      <c r="AD1456" s="10">
        <f>IFERROR(VLOOKUP(Summary!B1456,'Pre-Summary'!$A$6:$P$184,3, FALSE)/100,AD1457)</f>
        <v>9.6713333333333321E-3</v>
      </c>
      <c r="AE1456" s="10">
        <f>IFERROR(VLOOKUP(Summary!B1456,'Pre-Summary'!$A$6:$P$184,7, FALSE)/100,AE1457)</f>
        <v>1.6468333333333335E-2</v>
      </c>
      <c r="AF1456" s="99">
        <f t="shared" si="67"/>
        <v>2.7533937574882729E-3</v>
      </c>
      <c r="AG1456" s="99">
        <f t="shared" si="68"/>
        <v>4.6884751702181071E-3</v>
      </c>
      <c r="AH1456" s="10" t="str">
        <f>IFERROR(VLOOKUP(B1456,'Pre-Summary'!$AZ$6:$BE$65,3,FALSE),"")</f>
        <v/>
      </c>
      <c r="AI1456" s="10" t="str">
        <f>IFERROR(VLOOKUP(B1456,'Pre-Summary'!$AZ$6:$BE$65,5,FALSE),"")</f>
        <v/>
      </c>
      <c r="AJ1456" s="10" t="str">
        <f>IFERROR(VLOOKUP(B1456,'Pre-Summary'!$AZ$6:$BE$65,4,FALSE),"")</f>
        <v/>
      </c>
      <c r="AK1456" s="10" t="str">
        <f>IFERROR(VLOOKUP(B1456,'Pre-Summary'!$AZ$6:$BE$65,6,FALSE),"")</f>
        <v/>
      </c>
      <c r="AL1456" s="10" t="str">
        <f>IFERROR(VLOOKUP(B1456,'Pre-Summary'!$BG$6:$BL$44,3,FALSE),"")</f>
        <v/>
      </c>
      <c r="AM1456" s="10" t="str">
        <f>IFERROR(VLOOKUP(B1456,'Pre-Summary'!$BG$6:$BL$44,4,FALSE),"")</f>
        <v/>
      </c>
    </row>
    <row r="1457" spans="2:39" ht="15" customHeight="1" x14ac:dyDescent="0.3">
      <c r="B1457">
        <v>145.4</v>
      </c>
      <c r="C1457" t="str">
        <f>IFERROR(VLOOKUP(B1457,'Pre-Summary'!$DI$6:$DM$23,4,FALSE),"")</f>
        <v/>
      </c>
      <c r="D1457" s="10" t="str">
        <f>IFERROR(VLOOKUP(B1457,'Pre-Summary'!$AT$6:$AX$14,5,FALSE),D1456)</f>
        <v xml:space="preserve">Wolfe v1: put in modified wolfe + EDTA </v>
      </c>
      <c r="E1457" s="10" t="str">
        <f>IFERROR(VLOOKUP(B1457,'Pre-Summary'!$AT$6:$AX$15,4,FALSE),"")</f>
        <v/>
      </c>
      <c r="F1457">
        <f>IFERROR(VLOOKUP(B1457,'Pre-Summary'!$AL$6:$AQ$13,6,FALSE),F1456)</f>
        <v>5.3897368421052638E-2</v>
      </c>
      <c r="G1457" t="str">
        <f>IFERROR(VLOOKUP(B1457,'Pre-Summary'!$AE$6:$AJ$85,3,FALSE),"")</f>
        <v/>
      </c>
      <c r="H1457" t="str">
        <f>IFERROR(VLOOKUP(B1457,'Pre-Summary'!$AE$6:$AJ$85,4,FALSE),"")</f>
        <v/>
      </c>
      <c r="I1457" t="str">
        <f>IFERROR(VLOOKUP(B1457,'Pre-Summary'!$AE$6:$AJ$85,5,FALSE),"")</f>
        <v/>
      </c>
      <c r="J1457" s="45" t="str">
        <f>IFERROR(VLOOKUP(B1457,'Pre-Summary'!$AE$6:$AJ$85,6, FALSE),"")</f>
        <v/>
      </c>
      <c r="K1457" s="45" t="str">
        <f>IFERROR(VLOOKUP(B1457,'Pre-Summary'!$DE$6:$DG$61,3,FALSE),"")</f>
        <v/>
      </c>
      <c r="L1457" s="45" t="str">
        <f>IFERROR(VLOOKUP(B1457,'Pre-Summary'!$CU$6:$CW$36,3,FALSE),"")</f>
        <v/>
      </c>
      <c r="M1457" s="45" t="str">
        <f>IFERROR(VLOOKUP(B1457,'Pre-Summary'!$BW$6:$BY$58,2,FALSE),"")</f>
        <v/>
      </c>
      <c r="N1457" s="45" t="str">
        <f>IFERROR(VLOOKUP(B1457,'Pre-Summary'!$CD$6:$CF$64,2,FALSE),"")</f>
        <v/>
      </c>
      <c r="O1457" s="99">
        <f>IFERROR(VLOOKUP(B1457,'Pre-Summary'!$BO$6:$BQ$48,3, FALSE),O1456)</f>
        <v>1.2</v>
      </c>
      <c r="P1457" s="99">
        <f>IFERROR(VLOOKUP(B1457,'Pre-Summary'!$BS$6:$BU$35,3,FALSE),P1456)</f>
        <v>0.3</v>
      </c>
      <c r="Q1457" s="54">
        <f t="shared" si="66"/>
        <v>4</v>
      </c>
      <c r="R1457" s="53">
        <f>IFERROR(VLOOKUP(B1457,'Pre-Summary'!$BG$6:$BM$44,7,FALSE),R1458)</f>
        <v>9.5517489384447818E-2</v>
      </c>
      <c r="S1457" s="53">
        <f>IFERROR(VLOOKUP(B1457,'Pre-Summary'!$BG$6:$BM$44,6,FALSE),S1458)</f>
        <v>8.6010874938220475E-2</v>
      </c>
      <c r="T1457" s="45" t="str">
        <f>IFERROR(VLOOKUP(B1457,'Pre-Summary'!$Y$6:$AC$83, 3,FALSE),"")</f>
        <v/>
      </c>
      <c r="U1457" s="45" t="str">
        <f>IFERROR(VLOOKUP(B1457,'Pre-Summary'!$Y$6:$AC$83, 4,FALSE),"")</f>
        <v/>
      </c>
      <c r="V1457" t="str">
        <f>IFERROR(VLOOKUP(B1457,'Pre-Summary'!$Y$6:$AC$83, 5,FALSE),"")</f>
        <v/>
      </c>
      <c r="W1457" s="45" t="str">
        <f>IFERROR(VLOOKUP(B1457,'Pre-Summary'!$Y$6:$AD$83,6,FALSE),"")</f>
        <v/>
      </c>
      <c r="X1457" t="str">
        <f>IFERROR(VLOOKUP('Pre-Summary'!$DB$6:$DD$63,3,FALSE),"")</f>
        <v/>
      </c>
      <c r="Y1457" t="str">
        <f>IFERROR(VLOOKUP(B1457,'Pre-Summary'!$CR$6:$CT$36,3,FALSE),"")</f>
        <v/>
      </c>
      <c r="Z1457" s="45" t="str">
        <f>IFERROR(VLOOKUP(B1457,'Pre-Summary'!$BZ$6:$CB$63,2,FALSE),"")</f>
        <v/>
      </c>
      <c r="AA1457" s="45" t="str">
        <f>IFERROR(VLOOKUP(B1457,'Pre-Summary'!$CG$6:$CI$70,2,FALSE),"")</f>
        <v/>
      </c>
      <c r="AB1457" s="99">
        <f>IFERROR(VLOOKUP(B1457,'Pre-Summary'!$A$6:$P$178,9,FALSE),AB1458)</f>
        <v>0.28469639734144964</v>
      </c>
      <c r="AC1457" s="10">
        <f>IFERROR(VLOOKUP(Summary!B1457,'Pre-Summary'!$A$6:$P$184,5, FALSE)/100,AC1458)</f>
        <v>0.97370999999999996</v>
      </c>
      <c r="AD1457" s="10">
        <f>IFERROR(VLOOKUP(Summary!B1457,'Pre-Summary'!$A$6:$P$184,3, FALSE)/100,AD1458)</f>
        <v>9.6713333333333321E-3</v>
      </c>
      <c r="AE1457" s="10">
        <f>IFERROR(VLOOKUP(Summary!B1457,'Pre-Summary'!$A$6:$P$184,7, FALSE)/100,AE1458)</f>
        <v>1.6468333333333335E-2</v>
      </c>
      <c r="AF1457" s="99">
        <f t="shared" si="67"/>
        <v>2.7533937574882729E-3</v>
      </c>
      <c r="AG1457" s="99">
        <f t="shared" si="68"/>
        <v>4.6884751702181071E-3</v>
      </c>
      <c r="AH1457" s="10" t="str">
        <f>IFERROR(VLOOKUP(B1457,'Pre-Summary'!$AZ$6:$BE$65,3,FALSE),"")</f>
        <v/>
      </c>
      <c r="AI1457" s="10" t="str">
        <f>IFERROR(VLOOKUP(B1457,'Pre-Summary'!$AZ$6:$BE$65,5,FALSE),"")</f>
        <v/>
      </c>
      <c r="AJ1457" s="10" t="str">
        <f>IFERROR(VLOOKUP(B1457,'Pre-Summary'!$AZ$6:$BE$65,4,FALSE),"")</f>
        <v/>
      </c>
      <c r="AK1457" s="10" t="str">
        <f>IFERROR(VLOOKUP(B1457,'Pre-Summary'!$AZ$6:$BE$65,6,FALSE),"")</f>
        <v/>
      </c>
      <c r="AL1457" s="10" t="str">
        <f>IFERROR(VLOOKUP(B1457,'Pre-Summary'!$BG$6:$BL$44,3,FALSE),"")</f>
        <v/>
      </c>
      <c r="AM1457" s="10" t="str">
        <f>IFERROR(VLOOKUP(B1457,'Pre-Summary'!$BG$6:$BL$44,4,FALSE),"")</f>
        <v/>
      </c>
    </row>
    <row r="1458" spans="2:39" ht="15" customHeight="1" x14ac:dyDescent="0.3">
      <c r="B1458">
        <v>145.5</v>
      </c>
      <c r="C1458" t="str">
        <f>IFERROR(VLOOKUP(B1458,'Pre-Summary'!$DI$6:$DM$23,4,FALSE),"")</f>
        <v/>
      </c>
      <c r="D1458" s="10" t="str">
        <f>IFERROR(VLOOKUP(B1458,'Pre-Summary'!$AT$6:$AX$14,5,FALSE),D1457)</f>
        <v xml:space="preserve">Wolfe v1: put in modified wolfe + EDTA </v>
      </c>
      <c r="E1458" s="10" t="str">
        <f>IFERROR(VLOOKUP(B1458,'Pre-Summary'!$AT$6:$AX$15,4,FALSE),"")</f>
        <v/>
      </c>
      <c r="F1458">
        <f>IFERROR(VLOOKUP(B1458,'Pre-Summary'!$AL$6:$AQ$13,6,FALSE),F1457)</f>
        <v>5.3897368421052638E-2</v>
      </c>
      <c r="G1458" t="str">
        <f>IFERROR(VLOOKUP(B1458,'Pre-Summary'!$AE$6:$AJ$85,3,FALSE),"")</f>
        <v/>
      </c>
      <c r="H1458" t="str">
        <f>IFERROR(VLOOKUP(B1458,'Pre-Summary'!$AE$6:$AJ$85,4,FALSE),"")</f>
        <v/>
      </c>
      <c r="I1458" t="str">
        <f>IFERROR(VLOOKUP(B1458,'Pre-Summary'!$AE$6:$AJ$85,5,FALSE),"")</f>
        <v/>
      </c>
      <c r="J1458" s="45" t="str">
        <f>IFERROR(VLOOKUP(B1458,'Pre-Summary'!$AE$6:$AJ$85,6, FALSE),"")</f>
        <v/>
      </c>
      <c r="K1458" s="45" t="str">
        <f>IFERROR(VLOOKUP(B1458,'Pre-Summary'!$DE$6:$DG$61,3,FALSE),"")</f>
        <v/>
      </c>
      <c r="L1458" s="45" t="str">
        <f>IFERROR(VLOOKUP(B1458,'Pre-Summary'!$CU$6:$CW$36,3,FALSE),"")</f>
        <v/>
      </c>
      <c r="M1458" s="45" t="str">
        <f>IFERROR(VLOOKUP(B1458,'Pre-Summary'!$BW$6:$BY$58,2,FALSE),"")</f>
        <v/>
      </c>
      <c r="N1458" s="45">
        <f>IFERROR(VLOOKUP(B1458,'Pre-Summary'!$CD$6:$CF$64,2,FALSE),"")</f>
        <v>90.379116793414596</v>
      </c>
      <c r="O1458" s="99">
        <f>IFERROR(VLOOKUP(B1458,'Pre-Summary'!$BO$6:$BQ$48,3, FALSE),O1457)</f>
        <v>1.2</v>
      </c>
      <c r="P1458" s="99">
        <f>IFERROR(VLOOKUP(B1458,'Pre-Summary'!$BS$6:$BU$35,3,FALSE),P1457)</f>
        <v>0.3</v>
      </c>
      <c r="Q1458" s="54">
        <f t="shared" si="66"/>
        <v>4</v>
      </c>
      <c r="R1458" s="53">
        <f>IFERROR(VLOOKUP(B1458,'Pre-Summary'!$BG$6:$BM$44,7,FALSE),R1459)</f>
        <v>9.5517489384447818E-2</v>
      </c>
      <c r="S1458" s="53">
        <f>IFERROR(VLOOKUP(B1458,'Pre-Summary'!$BG$6:$BM$44,6,FALSE),S1459)</f>
        <v>8.6010874938220475E-2</v>
      </c>
      <c r="T1458" s="45" t="str">
        <f>IFERROR(VLOOKUP(B1458,'Pre-Summary'!$Y$6:$AC$83, 3,FALSE),"")</f>
        <v/>
      </c>
      <c r="U1458" s="45" t="str">
        <f>IFERROR(VLOOKUP(B1458,'Pre-Summary'!$Y$6:$AC$83, 4,FALSE),"")</f>
        <v/>
      </c>
      <c r="V1458" t="str">
        <f>IFERROR(VLOOKUP(B1458,'Pre-Summary'!$Y$6:$AC$83, 5,FALSE),"")</f>
        <v/>
      </c>
      <c r="W1458" s="45" t="str">
        <f>IFERROR(VLOOKUP(B1458,'Pre-Summary'!$Y$6:$AD$83,6,FALSE),"")</f>
        <v/>
      </c>
      <c r="X1458" t="str">
        <f>IFERROR(VLOOKUP('Pre-Summary'!$DB$6:$DD$63,3,FALSE),"")</f>
        <v/>
      </c>
      <c r="Y1458" t="str">
        <f>IFERROR(VLOOKUP(B1458,'Pre-Summary'!$CR$6:$CT$36,3,FALSE),"")</f>
        <v/>
      </c>
      <c r="Z1458" s="45" t="str">
        <f>IFERROR(VLOOKUP(B1458,'Pre-Summary'!$BZ$6:$CB$63,2,FALSE),"")</f>
        <v/>
      </c>
      <c r="AA1458" s="45" t="str">
        <f>IFERROR(VLOOKUP(B1458,'Pre-Summary'!$CG$6:$CI$70,2,FALSE),"")</f>
        <v/>
      </c>
      <c r="AB1458" s="99">
        <f>IFERROR(VLOOKUP(B1458,'Pre-Summary'!$A$6:$P$178,9,FALSE),AB1459)</f>
        <v>0.28469639734144964</v>
      </c>
      <c r="AC1458" s="10">
        <f>IFERROR(VLOOKUP(Summary!B1458,'Pre-Summary'!$A$6:$P$184,5, FALSE)/100,AC1459)</f>
        <v>0.97370999999999996</v>
      </c>
      <c r="AD1458" s="10">
        <f>IFERROR(VLOOKUP(Summary!B1458,'Pre-Summary'!$A$6:$P$184,3, FALSE)/100,AD1459)</f>
        <v>9.6713333333333321E-3</v>
      </c>
      <c r="AE1458" s="10">
        <f>IFERROR(VLOOKUP(Summary!B1458,'Pre-Summary'!$A$6:$P$184,7, FALSE)/100,AE1459)</f>
        <v>1.6468333333333335E-2</v>
      </c>
      <c r="AF1458" s="99">
        <f t="shared" si="67"/>
        <v>2.7533937574882729E-3</v>
      </c>
      <c r="AG1458" s="99">
        <f t="shared" si="68"/>
        <v>4.6884751702181071E-3</v>
      </c>
      <c r="AH1458" s="10" t="str">
        <f>IFERROR(VLOOKUP(B1458,'Pre-Summary'!$AZ$6:$BE$65,3,FALSE),"")</f>
        <v/>
      </c>
      <c r="AI1458" s="10" t="str">
        <f>IFERROR(VLOOKUP(B1458,'Pre-Summary'!$AZ$6:$BE$65,5,FALSE),"")</f>
        <v/>
      </c>
      <c r="AJ1458" s="10" t="str">
        <f>IFERROR(VLOOKUP(B1458,'Pre-Summary'!$AZ$6:$BE$65,4,FALSE),"")</f>
        <v/>
      </c>
      <c r="AK1458" s="10" t="str">
        <f>IFERROR(VLOOKUP(B1458,'Pre-Summary'!$AZ$6:$BE$65,6,FALSE),"")</f>
        <v/>
      </c>
      <c r="AL1458" s="10" t="str">
        <f>IFERROR(VLOOKUP(B1458,'Pre-Summary'!$BG$6:$BL$44,3,FALSE),"")</f>
        <v/>
      </c>
      <c r="AM1458" s="10" t="str">
        <f>IFERROR(VLOOKUP(B1458,'Pre-Summary'!$BG$6:$BL$44,4,FALSE),"")</f>
        <v/>
      </c>
    </row>
    <row r="1459" spans="2:39" ht="15" customHeight="1" x14ac:dyDescent="0.3">
      <c r="B1459">
        <v>145.6</v>
      </c>
      <c r="C1459" t="str">
        <f>IFERROR(VLOOKUP(B1459,'Pre-Summary'!$DI$6:$DM$23,4,FALSE),"")</f>
        <v/>
      </c>
      <c r="D1459" s="10" t="str">
        <f>IFERROR(VLOOKUP(B1459,'Pre-Summary'!$AT$6:$AX$14,5,FALSE),D1458)</f>
        <v xml:space="preserve">Wolfe v1: put in modified wolfe + EDTA </v>
      </c>
      <c r="E1459" s="10" t="str">
        <f>IFERROR(VLOOKUP(B1459,'Pre-Summary'!$AT$6:$AX$15,4,FALSE),"")</f>
        <v/>
      </c>
      <c r="F1459">
        <f>IFERROR(VLOOKUP(B1459,'Pre-Summary'!$AL$6:$AQ$13,6,FALSE),F1458)</f>
        <v>5.3897368421052638E-2</v>
      </c>
      <c r="G1459" t="str">
        <f>IFERROR(VLOOKUP(B1459,'Pre-Summary'!$AE$6:$AJ$85,3,FALSE),"")</f>
        <v/>
      </c>
      <c r="H1459" t="str">
        <f>IFERROR(VLOOKUP(B1459,'Pre-Summary'!$AE$6:$AJ$85,4,FALSE),"")</f>
        <v/>
      </c>
      <c r="I1459" t="str">
        <f>IFERROR(VLOOKUP(B1459,'Pre-Summary'!$AE$6:$AJ$85,5,FALSE),"")</f>
        <v/>
      </c>
      <c r="J1459" s="45" t="str">
        <f>IFERROR(VLOOKUP(B1459,'Pre-Summary'!$AE$6:$AJ$85,6, FALSE),"")</f>
        <v/>
      </c>
      <c r="K1459" s="45" t="str">
        <f>IFERROR(VLOOKUP(B1459,'Pre-Summary'!$DE$6:$DG$61,3,FALSE),"")</f>
        <v/>
      </c>
      <c r="L1459" s="45" t="str">
        <f>IFERROR(VLOOKUP(B1459,'Pre-Summary'!$CU$6:$CW$36,3,FALSE),"")</f>
        <v/>
      </c>
      <c r="M1459" s="45" t="str">
        <f>IFERROR(VLOOKUP(B1459,'Pre-Summary'!$BW$6:$BY$58,2,FALSE),"")</f>
        <v/>
      </c>
      <c r="N1459" s="45" t="str">
        <f>IFERROR(VLOOKUP(B1459,'Pre-Summary'!$CD$6:$CF$64,2,FALSE),"")</f>
        <v/>
      </c>
      <c r="O1459" s="99">
        <f>IFERROR(VLOOKUP(B1459,'Pre-Summary'!$BO$6:$BQ$48,3, FALSE),O1458)</f>
        <v>1.2</v>
      </c>
      <c r="P1459" s="99">
        <f>IFERROR(VLOOKUP(B1459,'Pre-Summary'!$BS$6:$BU$35,3,FALSE),P1458)</f>
        <v>0.3</v>
      </c>
      <c r="Q1459" s="54">
        <f t="shared" si="66"/>
        <v>4</v>
      </c>
      <c r="R1459" s="53">
        <f>IFERROR(VLOOKUP(B1459,'Pre-Summary'!$BG$6:$BM$44,7,FALSE),R1460)</f>
        <v>9.5517489384447818E-2</v>
      </c>
      <c r="S1459" s="53">
        <f>IFERROR(VLOOKUP(B1459,'Pre-Summary'!$BG$6:$BM$44,6,FALSE),S1460)</f>
        <v>8.6010874938220475E-2</v>
      </c>
      <c r="T1459" s="45" t="str">
        <f>IFERROR(VLOOKUP(B1459,'Pre-Summary'!$Y$6:$AC$83, 3,FALSE),"")</f>
        <v/>
      </c>
      <c r="U1459" s="45" t="str">
        <f>IFERROR(VLOOKUP(B1459,'Pre-Summary'!$Y$6:$AC$83, 4,FALSE),"")</f>
        <v/>
      </c>
      <c r="V1459" t="str">
        <f>IFERROR(VLOOKUP(B1459,'Pre-Summary'!$Y$6:$AC$83, 5,FALSE),"")</f>
        <v/>
      </c>
      <c r="W1459" s="45" t="str">
        <f>IFERROR(VLOOKUP(B1459,'Pre-Summary'!$Y$6:$AD$83,6,FALSE),"")</f>
        <v/>
      </c>
      <c r="X1459" t="str">
        <f>IFERROR(VLOOKUP('Pre-Summary'!$DB$6:$DD$63,3,FALSE),"")</f>
        <v/>
      </c>
      <c r="Y1459" t="str">
        <f>IFERROR(VLOOKUP(B1459,'Pre-Summary'!$CR$6:$CT$36,3,FALSE),"")</f>
        <v/>
      </c>
      <c r="Z1459" s="45" t="str">
        <f>IFERROR(VLOOKUP(B1459,'Pre-Summary'!$BZ$6:$CB$63,2,FALSE),"")</f>
        <v/>
      </c>
      <c r="AA1459" s="45" t="str">
        <f>IFERROR(VLOOKUP(B1459,'Pre-Summary'!$CG$6:$CI$70,2,FALSE),"")</f>
        <v/>
      </c>
      <c r="AB1459" s="99">
        <f>IFERROR(VLOOKUP(B1459,'Pre-Summary'!$A$6:$P$178,9,FALSE),AB1460)</f>
        <v>0.28469639734144964</v>
      </c>
      <c r="AC1459" s="10">
        <f>IFERROR(VLOOKUP(Summary!B1459,'Pre-Summary'!$A$6:$P$184,5, FALSE)/100,AC1460)</f>
        <v>0.97370999999999996</v>
      </c>
      <c r="AD1459" s="10">
        <f>IFERROR(VLOOKUP(Summary!B1459,'Pre-Summary'!$A$6:$P$184,3, FALSE)/100,AD1460)</f>
        <v>9.6713333333333321E-3</v>
      </c>
      <c r="AE1459" s="10">
        <f>IFERROR(VLOOKUP(Summary!B1459,'Pre-Summary'!$A$6:$P$184,7, FALSE)/100,AE1460)</f>
        <v>1.6468333333333335E-2</v>
      </c>
      <c r="AF1459" s="99">
        <f t="shared" si="67"/>
        <v>2.7533937574882729E-3</v>
      </c>
      <c r="AG1459" s="99">
        <f t="shared" si="68"/>
        <v>4.6884751702181071E-3</v>
      </c>
      <c r="AH1459" s="10" t="str">
        <f>IFERROR(VLOOKUP(B1459,'Pre-Summary'!$AZ$6:$BE$65,3,FALSE),"")</f>
        <v/>
      </c>
      <c r="AI1459" s="10" t="str">
        <f>IFERROR(VLOOKUP(B1459,'Pre-Summary'!$AZ$6:$BE$65,5,FALSE),"")</f>
        <v/>
      </c>
      <c r="AJ1459" s="10" t="str">
        <f>IFERROR(VLOOKUP(B1459,'Pre-Summary'!$AZ$6:$BE$65,4,FALSE),"")</f>
        <v/>
      </c>
      <c r="AK1459" s="10" t="str">
        <f>IFERROR(VLOOKUP(B1459,'Pre-Summary'!$AZ$6:$BE$65,6,FALSE),"")</f>
        <v/>
      </c>
      <c r="AL1459" s="10" t="str">
        <f>IFERROR(VLOOKUP(B1459,'Pre-Summary'!$BG$6:$BL$44,3,FALSE),"")</f>
        <v/>
      </c>
      <c r="AM1459" s="10" t="str">
        <f>IFERROR(VLOOKUP(B1459,'Pre-Summary'!$BG$6:$BL$44,4,FALSE),"")</f>
        <v/>
      </c>
    </row>
    <row r="1460" spans="2:39" ht="15" customHeight="1" x14ac:dyDescent="0.3">
      <c r="B1460">
        <v>145.69999999999999</v>
      </c>
      <c r="C1460" t="str">
        <f>IFERROR(VLOOKUP(B1460,'Pre-Summary'!$DI$6:$DM$23,4,FALSE),"")</f>
        <v/>
      </c>
      <c r="D1460" s="10" t="str">
        <f>IFERROR(VLOOKUP(B1460,'Pre-Summary'!$AT$6:$AX$14,5,FALSE),D1459)</f>
        <v xml:space="preserve">Wolfe v1: put in modified wolfe + EDTA </v>
      </c>
      <c r="E1460" s="10" t="str">
        <f>IFERROR(VLOOKUP(B1460,'Pre-Summary'!$AT$6:$AX$15,4,FALSE),"")</f>
        <v/>
      </c>
      <c r="F1460">
        <f>IFERROR(VLOOKUP(B1460,'Pre-Summary'!$AL$6:$AQ$13,6,FALSE),F1459)</f>
        <v>5.3897368421052638E-2</v>
      </c>
      <c r="G1460" t="str">
        <f>IFERROR(VLOOKUP(B1460,'Pre-Summary'!$AE$6:$AJ$85,3,FALSE),"")</f>
        <v/>
      </c>
      <c r="H1460" t="str">
        <f>IFERROR(VLOOKUP(B1460,'Pre-Summary'!$AE$6:$AJ$85,4,FALSE),"")</f>
        <v/>
      </c>
      <c r="I1460" t="str">
        <f>IFERROR(VLOOKUP(B1460,'Pre-Summary'!$AE$6:$AJ$85,5,FALSE),"")</f>
        <v/>
      </c>
      <c r="J1460" s="45" t="str">
        <f>IFERROR(VLOOKUP(B1460,'Pre-Summary'!$AE$6:$AJ$85,6, FALSE),"")</f>
        <v/>
      </c>
      <c r="K1460" s="45" t="str">
        <f>IFERROR(VLOOKUP(B1460,'Pre-Summary'!$DE$6:$DG$61,3,FALSE),"")</f>
        <v/>
      </c>
      <c r="L1460" s="45" t="str">
        <f>IFERROR(VLOOKUP(B1460,'Pre-Summary'!$CU$6:$CW$36,3,FALSE),"")</f>
        <v/>
      </c>
      <c r="M1460" s="45" t="str">
        <f>IFERROR(VLOOKUP(B1460,'Pre-Summary'!$BW$6:$BY$58,2,FALSE),"")</f>
        <v/>
      </c>
      <c r="N1460" s="45" t="str">
        <f>IFERROR(VLOOKUP(B1460,'Pre-Summary'!$CD$6:$CF$64,2,FALSE),"")</f>
        <v/>
      </c>
      <c r="O1460" s="99">
        <f>IFERROR(VLOOKUP(B1460,'Pre-Summary'!$BO$6:$BQ$48,3, FALSE),O1459)</f>
        <v>1.2</v>
      </c>
      <c r="P1460" s="99">
        <f>IFERROR(VLOOKUP(B1460,'Pre-Summary'!$BS$6:$BU$35,3,FALSE),P1459)</f>
        <v>0.3</v>
      </c>
      <c r="Q1460" s="54">
        <f t="shared" si="66"/>
        <v>4</v>
      </c>
      <c r="R1460" s="53">
        <f>IFERROR(VLOOKUP(B1460,'Pre-Summary'!$BG$6:$BM$44,7,FALSE),R1461)</f>
        <v>9.5517489384447818E-2</v>
      </c>
      <c r="S1460" s="53">
        <f>IFERROR(VLOOKUP(B1460,'Pre-Summary'!$BG$6:$BM$44,6,FALSE),S1461)</f>
        <v>8.6010874938220475E-2</v>
      </c>
      <c r="T1460" s="45" t="str">
        <f>IFERROR(VLOOKUP(B1460,'Pre-Summary'!$Y$6:$AC$83, 3,FALSE),"")</f>
        <v/>
      </c>
      <c r="U1460" s="45" t="str">
        <f>IFERROR(VLOOKUP(B1460,'Pre-Summary'!$Y$6:$AC$83, 4,FALSE),"")</f>
        <v/>
      </c>
      <c r="V1460" t="str">
        <f>IFERROR(VLOOKUP(B1460,'Pre-Summary'!$Y$6:$AC$83, 5,FALSE),"")</f>
        <v/>
      </c>
      <c r="W1460" s="45" t="str">
        <f>IFERROR(VLOOKUP(B1460,'Pre-Summary'!$Y$6:$AD$83,6,FALSE),"")</f>
        <v/>
      </c>
      <c r="X1460" t="str">
        <f>IFERROR(VLOOKUP('Pre-Summary'!$DB$6:$DD$63,3,FALSE),"")</f>
        <v/>
      </c>
      <c r="Y1460" t="str">
        <f>IFERROR(VLOOKUP(B1460,'Pre-Summary'!$CR$6:$CT$36,3,FALSE),"")</f>
        <v/>
      </c>
      <c r="Z1460" s="45" t="str">
        <f>IFERROR(VLOOKUP(B1460,'Pre-Summary'!$BZ$6:$CB$63,2,FALSE),"")</f>
        <v/>
      </c>
      <c r="AA1460" s="45" t="str">
        <f>IFERROR(VLOOKUP(B1460,'Pre-Summary'!$CG$6:$CI$70,2,FALSE),"")</f>
        <v/>
      </c>
      <c r="AB1460" s="99">
        <f>IFERROR(VLOOKUP(B1460,'Pre-Summary'!$A$6:$P$178,9,FALSE),AB1461)</f>
        <v>0.28469639734144964</v>
      </c>
      <c r="AC1460" s="10">
        <f>IFERROR(VLOOKUP(Summary!B1460,'Pre-Summary'!$A$6:$P$184,5, FALSE)/100,AC1461)</f>
        <v>0.97370999999999996</v>
      </c>
      <c r="AD1460" s="10">
        <f>IFERROR(VLOOKUP(Summary!B1460,'Pre-Summary'!$A$6:$P$184,3, FALSE)/100,AD1461)</f>
        <v>9.6713333333333321E-3</v>
      </c>
      <c r="AE1460" s="10">
        <f>IFERROR(VLOOKUP(Summary!B1460,'Pre-Summary'!$A$6:$P$184,7, FALSE)/100,AE1461)</f>
        <v>1.6468333333333335E-2</v>
      </c>
      <c r="AF1460" s="99">
        <f t="shared" si="67"/>
        <v>2.7533937574882729E-3</v>
      </c>
      <c r="AG1460" s="99">
        <f t="shared" si="68"/>
        <v>4.6884751702181071E-3</v>
      </c>
      <c r="AH1460" s="10" t="str">
        <f>IFERROR(VLOOKUP(B1460,'Pre-Summary'!$AZ$6:$BE$65,3,FALSE),"")</f>
        <v/>
      </c>
      <c r="AI1460" s="10" t="str">
        <f>IFERROR(VLOOKUP(B1460,'Pre-Summary'!$AZ$6:$BE$65,5,FALSE),"")</f>
        <v/>
      </c>
      <c r="AJ1460" s="10" t="str">
        <f>IFERROR(VLOOKUP(B1460,'Pre-Summary'!$AZ$6:$BE$65,4,FALSE),"")</f>
        <v/>
      </c>
      <c r="AK1460" s="10" t="str">
        <f>IFERROR(VLOOKUP(B1460,'Pre-Summary'!$AZ$6:$BE$65,6,FALSE),"")</f>
        <v/>
      </c>
      <c r="AL1460" s="10" t="str">
        <f>IFERROR(VLOOKUP(B1460,'Pre-Summary'!$BG$6:$BL$44,3,FALSE),"")</f>
        <v/>
      </c>
      <c r="AM1460" s="10" t="str">
        <f>IFERROR(VLOOKUP(B1460,'Pre-Summary'!$BG$6:$BL$44,4,FALSE),"")</f>
        <v/>
      </c>
    </row>
    <row r="1461" spans="2:39" ht="15" customHeight="1" x14ac:dyDescent="0.3">
      <c r="B1461">
        <v>145.80000000000001</v>
      </c>
      <c r="C1461" t="str">
        <f>IFERROR(VLOOKUP(B1461,'Pre-Summary'!$DI$6:$DM$23,4,FALSE),"")</f>
        <v/>
      </c>
      <c r="D1461" s="10" t="str">
        <f>IFERROR(VLOOKUP(B1461,'Pre-Summary'!$AT$6:$AX$14,5,FALSE),D1460)</f>
        <v>Wolfe v2: put in KILLER wolfe + EDTA + switch to HCl in trace elements</v>
      </c>
      <c r="E1461" s="10">
        <f>IFERROR(VLOOKUP(B1461,'Pre-Summary'!$AT$6:$AX$15,4,FALSE),"")</f>
        <v>1</v>
      </c>
      <c r="F1461">
        <f>IFERROR(VLOOKUP(B1461,'Pre-Summary'!$AL$6:$AQ$13,6,FALSE),F1460)</f>
        <v>5.3897368421052638E-2</v>
      </c>
      <c r="G1461" t="str">
        <f>IFERROR(VLOOKUP(B1461,'Pre-Summary'!$AE$6:$AJ$85,3,FALSE),"")</f>
        <v/>
      </c>
      <c r="H1461" t="str">
        <f>IFERROR(VLOOKUP(B1461,'Pre-Summary'!$AE$6:$AJ$85,4,FALSE),"")</f>
        <v/>
      </c>
      <c r="I1461" t="str">
        <f>IFERROR(VLOOKUP(B1461,'Pre-Summary'!$AE$6:$AJ$85,5,FALSE),"")</f>
        <v/>
      </c>
      <c r="J1461" s="45" t="str">
        <f>IFERROR(VLOOKUP(B1461,'Pre-Summary'!$AE$6:$AJ$85,6, FALSE),"")</f>
        <v/>
      </c>
      <c r="K1461" s="45" t="str">
        <f>IFERROR(VLOOKUP(B1461,'Pre-Summary'!$DE$6:$DG$61,3,FALSE),"")</f>
        <v/>
      </c>
      <c r="L1461" s="45" t="str">
        <f>IFERROR(VLOOKUP(B1461,'Pre-Summary'!$CU$6:$CW$36,3,FALSE),"")</f>
        <v/>
      </c>
      <c r="M1461" s="45" t="str">
        <f>IFERROR(VLOOKUP(B1461,'Pre-Summary'!$BW$6:$BY$58,2,FALSE),"")</f>
        <v/>
      </c>
      <c r="N1461" s="45" t="str">
        <f>IFERROR(VLOOKUP(B1461,'Pre-Summary'!$CD$6:$CF$64,2,FALSE),"")</f>
        <v/>
      </c>
      <c r="O1461" s="99">
        <f>IFERROR(VLOOKUP(B1461,'Pre-Summary'!$BO$6:$BQ$48,3, FALSE),O1460)</f>
        <v>1.2</v>
      </c>
      <c r="P1461" s="99">
        <f>IFERROR(VLOOKUP(B1461,'Pre-Summary'!$BS$6:$BU$35,3,FALSE),P1460)</f>
        <v>0.3</v>
      </c>
      <c r="Q1461" s="54">
        <f t="shared" si="66"/>
        <v>4</v>
      </c>
      <c r="R1461" s="53">
        <f>IFERROR(VLOOKUP(B1461,'Pre-Summary'!$BG$6:$BM$44,7,FALSE),R1462)</f>
        <v>9.5517489384447818E-2</v>
      </c>
      <c r="S1461" s="53">
        <f>IFERROR(VLOOKUP(B1461,'Pre-Summary'!$BG$6:$BM$44,6,FALSE),S1462)</f>
        <v>8.6010874938220475E-2</v>
      </c>
      <c r="T1461" s="45" t="str">
        <f>IFERROR(VLOOKUP(B1461,'Pre-Summary'!$Y$6:$AC$83, 3,FALSE),"")</f>
        <v/>
      </c>
      <c r="U1461" s="45" t="str">
        <f>IFERROR(VLOOKUP(B1461,'Pre-Summary'!$Y$6:$AC$83, 4,FALSE),"")</f>
        <v/>
      </c>
      <c r="V1461" t="str">
        <f>IFERROR(VLOOKUP(B1461,'Pre-Summary'!$Y$6:$AC$83, 5,FALSE),"")</f>
        <v/>
      </c>
      <c r="W1461" s="45" t="str">
        <f>IFERROR(VLOOKUP(B1461,'Pre-Summary'!$Y$6:$AD$83,6,FALSE),"")</f>
        <v/>
      </c>
      <c r="X1461" t="str">
        <f>IFERROR(VLOOKUP('Pre-Summary'!$DB$6:$DD$63,3,FALSE),"")</f>
        <v/>
      </c>
      <c r="Y1461" t="str">
        <f>IFERROR(VLOOKUP(B1461,'Pre-Summary'!$CR$6:$CT$36,3,FALSE),"")</f>
        <v/>
      </c>
      <c r="Z1461" s="45" t="str">
        <f>IFERROR(VLOOKUP(B1461,'Pre-Summary'!$BZ$6:$CB$63,2,FALSE),"")</f>
        <v/>
      </c>
      <c r="AA1461" s="45" t="str">
        <f>IFERROR(VLOOKUP(B1461,'Pre-Summary'!$CG$6:$CI$70,2,FALSE),"")</f>
        <v/>
      </c>
      <c r="AB1461" s="99">
        <f>IFERROR(VLOOKUP(B1461,'Pre-Summary'!$A$6:$P$178,9,FALSE),AB1462)</f>
        <v>0.28469639734144964</v>
      </c>
      <c r="AC1461" s="10">
        <f>IFERROR(VLOOKUP(Summary!B1461,'Pre-Summary'!$A$6:$P$184,5, FALSE)/100,AC1462)</f>
        <v>0.97370999999999996</v>
      </c>
      <c r="AD1461" s="10">
        <f>IFERROR(VLOOKUP(Summary!B1461,'Pre-Summary'!$A$6:$P$184,3, FALSE)/100,AD1462)</f>
        <v>9.6713333333333321E-3</v>
      </c>
      <c r="AE1461" s="10">
        <f>IFERROR(VLOOKUP(Summary!B1461,'Pre-Summary'!$A$6:$P$184,7, FALSE)/100,AE1462)</f>
        <v>1.6468333333333335E-2</v>
      </c>
      <c r="AF1461" s="99">
        <f t="shared" si="67"/>
        <v>2.7533937574882729E-3</v>
      </c>
      <c r="AG1461" s="99">
        <f t="shared" si="68"/>
        <v>4.6884751702181071E-3</v>
      </c>
      <c r="AH1461" s="10" t="str">
        <f>IFERROR(VLOOKUP(B1461,'Pre-Summary'!$AZ$6:$BE$65,3,FALSE),"")</f>
        <v/>
      </c>
      <c r="AI1461" s="10" t="str">
        <f>IFERROR(VLOOKUP(B1461,'Pre-Summary'!$AZ$6:$BE$65,5,FALSE),"")</f>
        <v/>
      </c>
      <c r="AJ1461" s="10" t="str">
        <f>IFERROR(VLOOKUP(B1461,'Pre-Summary'!$AZ$6:$BE$65,4,FALSE),"")</f>
        <v/>
      </c>
      <c r="AK1461" s="10" t="str">
        <f>IFERROR(VLOOKUP(B1461,'Pre-Summary'!$AZ$6:$BE$65,6,FALSE),"")</f>
        <v/>
      </c>
      <c r="AL1461" s="10" t="str">
        <f>IFERROR(VLOOKUP(B1461,'Pre-Summary'!$BG$6:$BL$44,3,FALSE),"")</f>
        <v/>
      </c>
      <c r="AM1461" s="10" t="str">
        <f>IFERROR(VLOOKUP(B1461,'Pre-Summary'!$BG$6:$BL$44,4,FALSE),"")</f>
        <v/>
      </c>
    </row>
    <row r="1462" spans="2:39" ht="15" customHeight="1" x14ac:dyDescent="0.3">
      <c r="B1462">
        <v>145.9</v>
      </c>
      <c r="C1462" t="str">
        <f>IFERROR(VLOOKUP(B1462,'Pre-Summary'!$DI$6:$DM$23,4,FALSE),"")</f>
        <v/>
      </c>
      <c r="D1462" s="10" t="str">
        <f>IFERROR(VLOOKUP(B1462,'Pre-Summary'!$AT$6:$AX$14,5,FALSE),D1461)</f>
        <v>Wolfe v2: put in KILLER wolfe + EDTA + switch to HCl in trace elements</v>
      </c>
      <c r="E1462" s="10" t="str">
        <f>IFERROR(VLOOKUP(B1462,'Pre-Summary'!$AT$6:$AX$15,4,FALSE),"")</f>
        <v/>
      </c>
      <c r="F1462">
        <f>IFERROR(VLOOKUP(B1462,'Pre-Summary'!$AL$6:$AQ$13,6,FALSE),F1461)</f>
        <v>5.3897368421052638E-2</v>
      </c>
      <c r="G1462">
        <f>IFERROR(VLOOKUP(B1462,'Pre-Summary'!$AE$6:$AJ$85,3,FALSE),"")</f>
        <v>94.772000000000006</v>
      </c>
      <c r="H1462" t="str">
        <f>IFERROR(VLOOKUP(B1462,'Pre-Summary'!$AE$6:$AJ$85,4,FALSE),"")</f>
        <v/>
      </c>
      <c r="I1462">
        <f>IFERROR(VLOOKUP(B1462,'Pre-Summary'!$AE$6:$AJ$85,5,FALSE),"")</f>
        <v>0</v>
      </c>
      <c r="J1462" s="45">
        <f>IFERROR(VLOOKUP(B1462,'Pre-Summary'!$AE$6:$AJ$85,6, FALSE),"")</f>
        <v>101.121724</v>
      </c>
      <c r="K1462" s="45">
        <f>IFERROR(VLOOKUP(B1462,'Pre-Summary'!$DE$6:$DG$61,3,FALSE),"")</f>
        <v>510</v>
      </c>
      <c r="L1462" s="45">
        <f>IFERROR(VLOOKUP(B1462,'Pre-Summary'!$CU$6:$CW$36,3,FALSE),"")</f>
        <v>323</v>
      </c>
      <c r="M1462" s="45">
        <f>IFERROR(VLOOKUP(B1462,'Pre-Summary'!$BW$6:$BY$58,2,FALSE),"")</f>
        <v>0</v>
      </c>
      <c r="N1462" s="45" t="str">
        <f>IFERROR(VLOOKUP(B1462,'Pre-Summary'!$CD$6:$CF$64,2,FALSE),"")</f>
        <v/>
      </c>
      <c r="O1462" s="99">
        <f>IFERROR(VLOOKUP(B1462,'Pre-Summary'!$BO$6:$BQ$48,3, FALSE),O1461)</f>
        <v>1.2</v>
      </c>
      <c r="P1462" s="99">
        <f>IFERROR(VLOOKUP(B1462,'Pre-Summary'!$BS$6:$BU$35,3,FALSE),P1461)</f>
        <v>0.3</v>
      </c>
      <c r="Q1462" s="54">
        <f t="shared" si="66"/>
        <v>4</v>
      </c>
      <c r="R1462" s="53">
        <f>IFERROR(VLOOKUP(B1462,'Pre-Summary'!$BG$6:$BM$44,7,FALSE),R1463)</f>
        <v>9.5517489384447818E-2</v>
      </c>
      <c r="S1462" s="53">
        <f>IFERROR(VLOOKUP(B1462,'Pre-Summary'!$BG$6:$BM$44,6,FALSE),S1463)</f>
        <v>8.6010874938220475E-2</v>
      </c>
      <c r="T1462" s="45">
        <f>IFERROR(VLOOKUP(B1462,'Pre-Summary'!$Y$6:$AC$83, 3,FALSE),"")</f>
        <v>14.795</v>
      </c>
      <c r="U1462" s="45">
        <f>IFERROR(VLOOKUP(B1462,'Pre-Summary'!$Y$6:$AC$83, 4,FALSE),"")</f>
        <v>2.6739999999999999</v>
      </c>
      <c r="V1462">
        <f>IFERROR(VLOOKUP(B1462,'Pre-Summary'!$Y$6:$AC$83, 5,FALSE),"")</f>
        <v>0</v>
      </c>
      <c r="W1462" s="45">
        <f>IFERROR(VLOOKUP(B1462,'Pre-Summary'!$Y$6:$AD$83,6,FALSE),"")</f>
        <v>19.834700999999999</v>
      </c>
      <c r="X1462" t="str">
        <f>IFERROR(VLOOKUP('Pre-Summary'!$DB$6:$DD$63,3,FALSE),"")</f>
        <v/>
      </c>
      <c r="Y1462">
        <f>IFERROR(VLOOKUP(B1462,'Pre-Summary'!$CR$6:$CT$36,3,FALSE),"")</f>
        <v>264</v>
      </c>
      <c r="Z1462" s="45">
        <f>IFERROR(VLOOKUP(B1462,'Pre-Summary'!$BZ$6:$CB$63,2,FALSE),"")</f>
        <v>0</v>
      </c>
      <c r="AA1462" s="45">
        <f>IFERROR(VLOOKUP(B1462,'Pre-Summary'!$CG$6:$CI$70,2,FALSE),"")</f>
        <v>95.455904184123767</v>
      </c>
      <c r="AB1462" s="99">
        <f>IFERROR(VLOOKUP(B1462,'Pre-Summary'!$A$6:$P$178,9,FALSE),AB1463)</f>
        <v>0.28469639734144964</v>
      </c>
      <c r="AC1462" s="10">
        <f>IFERROR(VLOOKUP(Summary!B1462,'Pre-Summary'!$A$6:$P$184,5, FALSE)/100,AC1463)</f>
        <v>0.97370999999999996</v>
      </c>
      <c r="AD1462" s="10">
        <f>IFERROR(VLOOKUP(Summary!B1462,'Pre-Summary'!$A$6:$P$184,3, FALSE)/100,AD1463)</f>
        <v>9.6713333333333321E-3</v>
      </c>
      <c r="AE1462" s="10">
        <f>IFERROR(VLOOKUP(Summary!B1462,'Pre-Summary'!$A$6:$P$184,7, FALSE)/100,AE1463)</f>
        <v>1.6468333333333335E-2</v>
      </c>
      <c r="AF1462" s="99">
        <f t="shared" si="67"/>
        <v>2.7533937574882729E-3</v>
      </c>
      <c r="AG1462" s="99">
        <f t="shared" si="68"/>
        <v>4.6884751702181071E-3</v>
      </c>
      <c r="AH1462" s="10" t="str">
        <f>IFERROR(VLOOKUP(B1462,'Pre-Summary'!$AZ$6:$BE$65,3,FALSE),"")</f>
        <v/>
      </c>
      <c r="AI1462" s="10" t="str">
        <f>IFERROR(VLOOKUP(B1462,'Pre-Summary'!$AZ$6:$BE$65,5,FALSE),"")</f>
        <v/>
      </c>
      <c r="AJ1462" s="10" t="str">
        <f>IFERROR(VLOOKUP(B1462,'Pre-Summary'!$AZ$6:$BE$65,4,FALSE),"")</f>
        <v/>
      </c>
      <c r="AK1462" s="10" t="str">
        <f>IFERROR(VLOOKUP(B1462,'Pre-Summary'!$AZ$6:$BE$65,6,FALSE),"")</f>
        <v/>
      </c>
      <c r="AL1462" s="10" t="str">
        <f>IFERROR(VLOOKUP(B1462,'Pre-Summary'!$BG$6:$BL$44,3,FALSE),"")</f>
        <v/>
      </c>
      <c r="AM1462" s="10" t="str">
        <f>IFERROR(VLOOKUP(B1462,'Pre-Summary'!$BG$6:$BL$44,4,FALSE),"")</f>
        <v/>
      </c>
    </row>
    <row r="1463" spans="2:39" ht="15" customHeight="1" x14ac:dyDescent="0.3">
      <c r="B1463">
        <v>146</v>
      </c>
      <c r="C1463" t="str">
        <f>IFERROR(VLOOKUP(B1463,'Pre-Summary'!$DI$6:$DM$23,4,FALSE),"")</f>
        <v/>
      </c>
      <c r="D1463" s="10" t="str">
        <f>IFERROR(VLOOKUP(B1463,'Pre-Summary'!$AT$6:$AX$14,5,FALSE),D1462)</f>
        <v>Wolfe v2: put in KILLER wolfe + EDTA + switch to HCl in trace elements</v>
      </c>
      <c r="E1463" s="10" t="str">
        <f>IFERROR(VLOOKUP(B1463,'Pre-Summary'!$AT$6:$AX$15,4,FALSE),"")</f>
        <v/>
      </c>
      <c r="F1463">
        <f>IFERROR(VLOOKUP(B1463,'Pre-Summary'!$AL$6:$AQ$13,6,FALSE),F1462)</f>
        <v>5.3897368421052638E-2</v>
      </c>
      <c r="G1463" t="str">
        <f>IFERROR(VLOOKUP(B1463,'Pre-Summary'!$AE$6:$AJ$85,3,FALSE),"")</f>
        <v/>
      </c>
      <c r="H1463" t="str">
        <f>IFERROR(VLOOKUP(B1463,'Pre-Summary'!$AE$6:$AJ$85,4,FALSE),"")</f>
        <v/>
      </c>
      <c r="I1463" t="str">
        <f>IFERROR(VLOOKUP(B1463,'Pre-Summary'!$AE$6:$AJ$85,5,FALSE),"")</f>
        <v/>
      </c>
      <c r="J1463" s="45" t="str">
        <f>IFERROR(VLOOKUP(B1463,'Pre-Summary'!$AE$6:$AJ$85,6, FALSE),"")</f>
        <v/>
      </c>
      <c r="K1463" s="45" t="str">
        <f>IFERROR(VLOOKUP(B1463,'Pre-Summary'!$DE$6:$DG$61,3,FALSE),"")</f>
        <v/>
      </c>
      <c r="L1463" s="45" t="str">
        <f>IFERROR(VLOOKUP(B1463,'Pre-Summary'!$CU$6:$CW$36,3,FALSE),"")</f>
        <v/>
      </c>
      <c r="M1463" s="45" t="str">
        <f>IFERROR(VLOOKUP(B1463,'Pre-Summary'!$BW$6:$BY$58,2,FALSE),"")</f>
        <v/>
      </c>
      <c r="N1463" s="45" t="str">
        <f>IFERROR(VLOOKUP(B1463,'Pre-Summary'!$CD$6:$CF$64,2,FALSE),"")</f>
        <v/>
      </c>
      <c r="O1463" s="99">
        <f>IFERROR(VLOOKUP(B1463,'Pre-Summary'!$BO$6:$BQ$48,3, FALSE),O1462)</f>
        <v>1.2</v>
      </c>
      <c r="P1463" s="99">
        <f>IFERROR(VLOOKUP(B1463,'Pre-Summary'!$BS$6:$BU$35,3,FALSE),P1462)</f>
        <v>0.3</v>
      </c>
      <c r="Q1463" s="54">
        <f t="shared" si="66"/>
        <v>4</v>
      </c>
      <c r="R1463" s="53">
        <f>IFERROR(VLOOKUP(B1463,'Pre-Summary'!$BG$6:$BM$44,7,FALSE),R1464)</f>
        <v>9.5517489384447818E-2</v>
      </c>
      <c r="S1463" s="53">
        <f>IFERROR(VLOOKUP(B1463,'Pre-Summary'!$BG$6:$BM$44,6,FALSE),S1464)</f>
        <v>8.6010874938220475E-2</v>
      </c>
      <c r="T1463" s="45" t="str">
        <f>IFERROR(VLOOKUP(B1463,'Pre-Summary'!$Y$6:$AC$83, 3,FALSE),"")</f>
        <v/>
      </c>
      <c r="U1463" s="45" t="str">
        <f>IFERROR(VLOOKUP(B1463,'Pre-Summary'!$Y$6:$AC$83, 4,FALSE),"")</f>
        <v/>
      </c>
      <c r="V1463" t="str">
        <f>IFERROR(VLOOKUP(B1463,'Pre-Summary'!$Y$6:$AC$83, 5,FALSE),"")</f>
        <v/>
      </c>
      <c r="W1463" s="45" t="str">
        <f>IFERROR(VLOOKUP(B1463,'Pre-Summary'!$Y$6:$AD$83,6,FALSE),"")</f>
        <v/>
      </c>
      <c r="X1463" t="str">
        <f>IFERROR(VLOOKUP('Pre-Summary'!$DB$6:$DD$63,3,FALSE),"")</f>
        <v/>
      </c>
      <c r="Y1463" t="str">
        <f>IFERROR(VLOOKUP(B1463,'Pre-Summary'!$CR$6:$CT$36,3,FALSE),"")</f>
        <v/>
      </c>
      <c r="Z1463" s="45" t="str">
        <f>IFERROR(VLOOKUP(B1463,'Pre-Summary'!$BZ$6:$CB$63,2,FALSE),"")</f>
        <v/>
      </c>
      <c r="AA1463" s="45" t="str">
        <f>IFERROR(VLOOKUP(B1463,'Pre-Summary'!$CG$6:$CI$70,2,FALSE),"")</f>
        <v/>
      </c>
      <c r="AB1463" s="99">
        <f>IFERROR(VLOOKUP(B1463,'Pre-Summary'!$A$6:$P$178,9,FALSE),AB1464)</f>
        <v>0.35667806451764861</v>
      </c>
      <c r="AC1463" s="10">
        <f>IFERROR(VLOOKUP(Summary!B1463,'Pre-Summary'!$A$6:$P$184,5, FALSE)/100,AC1464)</f>
        <v>0.105124</v>
      </c>
      <c r="AD1463" s="10">
        <f>IFERROR(VLOOKUP(Summary!B1463,'Pre-Summary'!$A$6:$P$184,3, FALSE)/100,AD1464)</f>
        <v>0.894876</v>
      </c>
      <c r="AE1463" s="10">
        <f>IFERROR(VLOOKUP(Summary!B1463,'Pre-Summary'!$A$6:$P$184,7, FALSE)/100,AE1464)</f>
        <v>0</v>
      </c>
      <c r="AF1463" s="99">
        <f t="shared" si="67"/>
        <v>0.3191826396632953</v>
      </c>
      <c r="AG1463" s="99">
        <f t="shared" si="68"/>
        <v>0</v>
      </c>
      <c r="AH1463" s="10">
        <f>IFERROR(VLOOKUP(B1463,'Pre-Summary'!$AZ$6:$BE$65,3,FALSE),"")</f>
        <v>271</v>
      </c>
      <c r="AI1463" s="10">
        <f>IFERROR(VLOOKUP(B1463,'Pre-Summary'!$AZ$6:$BE$65,5,FALSE),"")</f>
        <v>87</v>
      </c>
      <c r="AJ1463" s="10">
        <f>IFERROR(VLOOKUP(B1463,'Pre-Summary'!$AZ$6:$BE$65,4,FALSE),"")</f>
        <v>209</v>
      </c>
      <c r="AK1463" s="10">
        <f>IFERROR(VLOOKUP(B1463,'Pre-Summary'!$AZ$6:$BE$65,6,FALSE),"")</f>
        <v>61</v>
      </c>
      <c r="AL1463" s="10">
        <f>IFERROR(VLOOKUP(B1463,'Pre-Summary'!$BG$6:$BL$44,3,FALSE),"")</f>
        <v>9.2488939784912372</v>
      </c>
      <c r="AM1463" s="10">
        <f>IFERROR(VLOOKUP(B1463,'Pre-Summary'!$BG$6:$BL$44,4,FALSE),"")</f>
        <v>3.6332614942524555</v>
      </c>
    </row>
    <row r="1464" spans="2:39" ht="15" customHeight="1" x14ac:dyDescent="0.3">
      <c r="B1464">
        <v>146.1</v>
      </c>
      <c r="C1464" t="str">
        <f>IFERROR(VLOOKUP(B1464,'Pre-Summary'!$DI$6:$DM$23,4,FALSE),"")</f>
        <v/>
      </c>
      <c r="D1464" s="10" t="str">
        <f>IFERROR(VLOOKUP(B1464,'Pre-Summary'!$AT$6:$AX$14,5,FALSE),D1463)</f>
        <v>Wolfe v2: put in KILLER wolfe + EDTA + switch to HCl in trace elements</v>
      </c>
      <c r="E1464" s="10" t="str">
        <f>IFERROR(VLOOKUP(B1464,'Pre-Summary'!$AT$6:$AX$15,4,FALSE),"")</f>
        <v/>
      </c>
      <c r="F1464">
        <f>IFERROR(VLOOKUP(B1464,'Pre-Summary'!$AL$6:$AQ$13,6,FALSE),F1463)</f>
        <v>5.3897368421052638E-2</v>
      </c>
      <c r="G1464" t="str">
        <f>IFERROR(VLOOKUP(B1464,'Pre-Summary'!$AE$6:$AJ$85,3,FALSE),"")</f>
        <v/>
      </c>
      <c r="H1464" t="str">
        <f>IFERROR(VLOOKUP(B1464,'Pre-Summary'!$AE$6:$AJ$85,4,FALSE),"")</f>
        <v/>
      </c>
      <c r="I1464" t="str">
        <f>IFERROR(VLOOKUP(B1464,'Pre-Summary'!$AE$6:$AJ$85,5,FALSE),"")</f>
        <v/>
      </c>
      <c r="J1464" s="45" t="str">
        <f>IFERROR(VLOOKUP(B1464,'Pre-Summary'!$AE$6:$AJ$85,6, FALSE),"")</f>
        <v/>
      </c>
      <c r="K1464" s="45" t="str">
        <f>IFERROR(VLOOKUP(B1464,'Pre-Summary'!$DE$6:$DG$61,3,FALSE),"")</f>
        <v/>
      </c>
      <c r="L1464" s="45" t="str">
        <f>IFERROR(VLOOKUP(B1464,'Pre-Summary'!$CU$6:$CW$36,3,FALSE),"")</f>
        <v/>
      </c>
      <c r="M1464" s="45" t="str">
        <f>IFERROR(VLOOKUP(B1464,'Pre-Summary'!$BW$6:$BY$58,2,FALSE),"")</f>
        <v/>
      </c>
      <c r="N1464" s="45" t="str">
        <f>IFERROR(VLOOKUP(B1464,'Pre-Summary'!$CD$6:$CF$64,2,FALSE),"")</f>
        <v/>
      </c>
      <c r="O1464" s="99">
        <f>IFERROR(VLOOKUP(B1464,'Pre-Summary'!$BO$6:$BQ$48,3, FALSE),O1463)</f>
        <v>1.2</v>
      </c>
      <c r="P1464" s="99">
        <f>IFERROR(VLOOKUP(B1464,'Pre-Summary'!$BS$6:$BU$35,3,FALSE),P1463)</f>
        <v>0.3</v>
      </c>
      <c r="Q1464" s="54">
        <f t="shared" si="66"/>
        <v>4</v>
      </c>
      <c r="R1464" s="53">
        <f>IFERROR(VLOOKUP(B1464,'Pre-Summary'!$BG$6:$BM$44,7,FALSE),R1465)</f>
        <v>0.10131789275871156</v>
      </c>
      <c r="S1464" s="53">
        <f>IFERROR(VLOOKUP(B1464,'Pre-Summary'!$BG$6:$BM$44,6,FALSE),S1465)</f>
        <v>9.6637565908873055E-2</v>
      </c>
      <c r="T1464" s="45" t="str">
        <f>IFERROR(VLOOKUP(B1464,'Pre-Summary'!$Y$6:$AC$83, 3,FALSE),"")</f>
        <v/>
      </c>
      <c r="U1464" s="45" t="str">
        <f>IFERROR(VLOOKUP(B1464,'Pre-Summary'!$Y$6:$AC$83, 4,FALSE),"")</f>
        <v/>
      </c>
      <c r="V1464" t="str">
        <f>IFERROR(VLOOKUP(B1464,'Pre-Summary'!$Y$6:$AC$83, 5,FALSE),"")</f>
        <v/>
      </c>
      <c r="W1464" s="45" t="str">
        <f>IFERROR(VLOOKUP(B1464,'Pre-Summary'!$Y$6:$AD$83,6,FALSE),"")</f>
        <v/>
      </c>
      <c r="X1464" t="str">
        <f>IFERROR(VLOOKUP('Pre-Summary'!$DB$6:$DD$63,3,FALSE),"")</f>
        <v/>
      </c>
      <c r="Y1464" t="str">
        <f>IFERROR(VLOOKUP(B1464,'Pre-Summary'!$CR$6:$CT$36,3,FALSE),"")</f>
        <v/>
      </c>
      <c r="Z1464" s="45" t="str">
        <f>IFERROR(VLOOKUP(B1464,'Pre-Summary'!$BZ$6:$CB$63,2,FALSE),"")</f>
        <v/>
      </c>
      <c r="AA1464" s="45" t="str">
        <f>IFERROR(VLOOKUP(B1464,'Pre-Summary'!$CG$6:$CI$70,2,FALSE),"")</f>
        <v/>
      </c>
      <c r="AB1464" s="99">
        <f>IFERROR(VLOOKUP(B1464,'Pre-Summary'!$A$6:$P$178,9,FALSE),AB1465)</f>
        <v>0.35667806451764861</v>
      </c>
      <c r="AC1464" s="10">
        <f>IFERROR(VLOOKUP(Summary!B1464,'Pre-Summary'!$A$6:$P$184,5, FALSE)/100,AC1465)</f>
        <v>0.105124</v>
      </c>
      <c r="AD1464" s="10">
        <f>IFERROR(VLOOKUP(Summary!B1464,'Pre-Summary'!$A$6:$P$184,3, FALSE)/100,AD1465)</f>
        <v>0.894876</v>
      </c>
      <c r="AE1464" s="10">
        <f>IFERROR(VLOOKUP(Summary!B1464,'Pre-Summary'!$A$6:$P$184,7, FALSE)/100,AE1465)</f>
        <v>0</v>
      </c>
      <c r="AF1464" s="99">
        <f t="shared" si="67"/>
        <v>0.3191826396632953</v>
      </c>
      <c r="AG1464" s="99">
        <f t="shared" si="68"/>
        <v>0</v>
      </c>
      <c r="AH1464" s="10" t="str">
        <f>IFERROR(VLOOKUP(B1464,'Pre-Summary'!$AZ$6:$BE$65,3,FALSE),"")</f>
        <v/>
      </c>
      <c r="AI1464" s="10" t="str">
        <f>IFERROR(VLOOKUP(B1464,'Pre-Summary'!$AZ$6:$BE$65,5,FALSE),"")</f>
        <v/>
      </c>
      <c r="AJ1464" s="10" t="str">
        <f>IFERROR(VLOOKUP(B1464,'Pre-Summary'!$AZ$6:$BE$65,4,FALSE),"")</f>
        <v/>
      </c>
      <c r="AK1464" s="10" t="str">
        <f>IFERROR(VLOOKUP(B1464,'Pre-Summary'!$AZ$6:$BE$65,6,FALSE),"")</f>
        <v/>
      </c>
      <c r="AL1464" s="10" t="str">
        <f>IFERROR(VLOOKUP(B1464,'Pre-Summary'!$BG$6:$BL$44,3,FALSE),"")</f>
        <v/>
      </c>
      <c r="AM1464" s="10" t="str">
        <f>IFERROR(VLOOKUP(B1464,'Pre-Summary'!$BG$6:$BL$44,4,FALSE),"")</f>
        <v/>
      </c>
    </row>
    <row r="1465" spans="2:39" ht="15" customHeight="1" x14ac:dyDescent="0.3">
      <c r="B1465">
        <v>146.19999999999999</v>
      </c>
      <c r="C1465" t="str">
        <f>IFERROR(VLOOKUP(B1465,'Pre-Summary'!$DI$6:$DM$23,4,FALSE),"")</f>
        <v/>
      </c>
      <c r="D1465" s="10" t="str">
        <f>IFERROR(VLOOKUP(B1465,'Pre-Summary'!$AT$6:$AX$14,5,FALSE),D1464)</f>
        <v>Wolfe v2: put in KILLER wolfe + EDTA + switch to HCl in trace elements</v>
      </c>
      <c r="E1465" s="10" t="str">
        <f>IFERROR(VLOOKUP(B1465,'Pre-Summary'!$AT$6:$AX$15,4,FALSE),"")</f>
        <v/>
      </c>
      <c r="F1465">
        <f>IFERROR(VLOOKUP(B1465,'Pre-Summary'!$AL$6:$AQ$13,6,FALSE),F1464)</f>
        <v>5.3897368421052638E-2</v>
      </c>
      <c r="G1465" t="str">
        <f>IFERROR(VLOOKUP(B1465,'Pre-Summary'!$AE$6:$AJ$85,3,FALSE),"")</f>
        <v/>
      </c>
      <c r="H1465" t="str">
        <f>IFERROR(VLOOKUP(B1465,'Pre-Summary'!$AE$6:$AJ$85,4,FALSE),"")</f>
        <v/>
      </c>
      <c r="I1465" t="str">
        <f>IFERROR(VLOOKUP(B1465,'Pre-Summary'!$AE$6:$AJ$85,5,FALSE),"")</f>
        <v/>
      </c>
      <c r="J1465" s="45" t="str">
        <f>IFERROR(VLOOKUP(B1465,'Pre-Summary'!$AE$6:$AJ$85,6, FALSE),"")</f>
        <v/>
      </c>
      <c r="K1465" s="45" t="str">
        <f>IFERROR(VLOOKUP(B1465,'Pre-Summary'!$DE$6:$DG$61,3,FALSE),"")</f>
        <v/>
      </c>
      <c r="L1465" s="45" t="str">
        <f>IFERROR(VLOOKUP(B1465,'Pre-Summary'!$CU$6:$CW$36,3,FALSE),"")</f>
        <v/>
      </c>
      <c r="M1465" s="45" t="str">
        <f>IFERROR(VLOOKUP(B1465,'Pre-Summary'!$BW$6:$BY$58,2,FALSE),"")</f>
        <v/>
      </c>
      <c r="N1465" s="45" t="str">
        <f>IFERROR(VLOOKUP(B1465,'Pre-Summary'!$CD$6:$CF$64,2,FALSE),"")</f>
        <v/>
      </c>
      <c r="O1465" s="99">
        <f>IFERROR(VLOOKUP(B1465,'Pre-Summary'!$BO$6:$BQ$48,3, FALSE),O1464)</f>
        <v>1.2</v>
      </c>
      <c r="P1465" s="99">
        <f>IFERROR(VLOOKUP(B1465,'Pre-Summary'!$BS$6:$BU$35,3,FALSE),P1464)</f>
        <v>0.3</v>
      </c>
      <c r="Q1465" s="54">
        <f t="shared" si="66"/>
        <v>4</v>
      </c>
      <c r="R1465" s="53">
        <f>IFERROR(VLOOKUP(B1465,'Pre-Summary'!$BG$6:$BM$44,7,FALSE),R1466)</f>
        <v>0.10131789275871156</v>
      </c>
      <c r="S1465" s="53">
        <f>IFERROR(VLOOKUP(B1465,'Pre-Summary'!$BG$6:$BM$44,6,FALSE),S1466)</f>
        <v>9.6637565908873055E-2</v>
      </c>
      <c r="T1465" s="45" t="str">
        <f>IFERROR(VLOOKUP(B1465,'Pre-Summary'!$Y$6:$AC$83, 3,FALSE),"")</f>
        <v/>
      </c>
      <c r="U1465" s="45" t="str">
        <f>IFERROR(VLOOKUP(B1465,'Pre-Summary'!$Y$6:$AC$83, 4,FALSE),"")</f>
        <v/>
      </c>
      <c r="V1465" t="str">
        <f>IFERROR(VLOOKUP(B1465,'Pre-Summary'!$Y$6:$AC$83, 5,FALSE),"")</f>
        <v/>
      </c>
      <c r="W1465" s="45" t="str">
        <f>IFERROR(VLOOKUP(B1465,'Pre-Summary'!$Y$6:$AD$83,6,FALSE),"")</f>
        <v/>
      </c>
      <c r="X1465" t="str">
        <f>IFERROR(VLOOKUP('Pre-Summary'!$DB$6:$DD$63,3,FALSE),"")</f>
        <v/>
      </c>
      <c r="Y1465" t="str">
        <f>IFERROR(VLOOKUP(B1465,'Pre-Summary'!$CR$6:$CT$36,3,FALSE),"")</f>
        <v/>
      </c>
      <c r="Z1465" s="45" t="str">
        <f>IFERROR(VLOOKUP(B1465,'Pre-Summary'!$BZ$6:$CB$63,2,FALSE),"")</f>
        <v/>
      </c>
      <c r="AA1465" s="45" t="str">
        <f>IFERROR(VLOOKUP(B1465,'Pre-Summary'!$CG$6:$CI$70,2,FALSE),"")</f>
        <v/>
      </c>
      <c r="AB1465" s="99">
        <f>IFERROR(VLOOKUP(B1465,'Pre-Summary'!$A$6:$P$178,9,FALSE),AB1466)</f>
        <v>0.35667806451764861</v>
      </c>
      <c r="AC1465" s="10">
        <f>IFERROR(VLOOKUP(Summary!B1465,'Pre-Summary'!$A$6:$P$184,5, FALSE)/100,AC1466)</f>
        <v>0.105124</v>
      </c>
      <c r="AD1465" s="10">
        <f>IFERROR(VLOOKUP(Summary!B1465,'Pre-Summary'!$A$6:$P$184,3, FALSE)/100,AD1466)</f>
        <v>0.894876</v>
      </c>
      <c r="AE1465" s="10">
        <f>IFERROR(VLOOKUP(Summary!B1465,'Pre-Summary'!$A$6:$P$184,7, FALSE)/100,AE1466)</f>
        <v>0</v>
      </c>
      <c r="AF1465" s="99">
        <f t="shared" si="67"/>
        <v>0.3191826396632953</v>
      </c>
      <c r="AG1465" s="99">
        <f t="shared" si="68"/>
        <v>0</v>
      </c>
      <c r="AH1465" s="10" t="str">
        <f>IFERROR(VLOOKUP(B1465,'Pre-Summary'!$AZ$6:$BE$65,3,FALSE),"")</f>
        <v/>
      </c>
      <c r="AI1465" s="10" t="str">
        <f>IFERROR(VLOOKUP(B1465,'Pre-Summary'!$AZ$6:$BE$65,5,FALSE),"")</f>
        <v/>
      </c>
      <c r="AJ1465" s="10" t="str">
        <f>IFERROR(VLOOKUP(B1465,'Pre-Summary'!$AZ$6:$BE$65,4,FALSE),"")</f>
        <v/>
      </c>
      <c r="AK1465" s="10" t="str">
        <f>IFERROR(VLOOKUP(B1465,'Pre-Summary'!$AZ$6:$BE$65,6,FALSE),"")</f>
        <v/>
      </c>
      <c r="AL1465" s="10" t="str">
        <f>IFERROR(VLOOKUP(B1465,'Pre-Summary'!$BG$6:$BL$44,3,FALSE),"")</f>
        <v/>
      </c>
      <c r="AM1465" s="10" t="str">
        <f>IFERROR(VLOOKUP(B1465,'Pre-Summary'!$BG$6:$BL$44,4,FALSE),"")</f>
        <v/>
      </c>
    </row>
    <row r="1466" spans="2:39" ht="15" customHeight="1" x14ac:dyDescent="0.3">
      <c r="B1466">
        <v>146.30000000000001</v>
      </c>
      <c r="C1466" t="str">
        <f>IFERROR(VLOOKUP(B1466,'Pre-Summary'!$DI$6:$DM$23,4,FALSE),"")</f>
        <v/>
      </c>
      <c r="D1466" s="10" t="str">
        <f>IFERROR(VLOOKUP(B1466,'Pre-Summary'!$AT$6:$AX$14,5,FALSE),D1465)</f>
        <v>Wolfe v2: put in KILLER wolfe + EDTA + switch to HCl in trace elements</v>
      </c>
      <c r="E1466" s="10" t="str">
        <f>IFERROR(VLOOKUP(B1466,'Pre-Summary'!$AT$6:$AX$15,4,FALSE),"")</f>
        <v/>
      </c>
      <c r="F1466">
        <f>IFERROR(VLOOKUP(B1466,'Pre-Summary'!$AL$6:$AQ$13,6,FALSE),F1465)</f>
        <v>5.3897368421052638E-2</v>
      </c>
      <c r="G1466" t="str">
        <f>IFERROR(VLOOKUP(B1466,'Pre-Summary'!$AE$6:$AJ$85,3,FALSE),"")</f>
        <v/>
      </c>
      <c r="H1466" t="str">
        <f>IFERROR(VLOOKUP(B1466,'Pre-Summary'!$AE$6:$AJ$85,4,FALSE),"")</f>
        <v/>
      </c>
      <c r="I1466" t="str">
        <f>IFERROR(VLOOKUP(B1466,'Pre-Summary'!$AE$6:$AJ$85,5,FALSE),"")</f>
        <v/>
      </c>
      <c r="J1466" s="45" t="str">
        <f>IFERROR(VLOOKUP(B1466,'Pre-Summary'!$AE$6:$AJ$85,6, FALSE),"")</f>
        <v/>
      </c>
      <c r="K1466" s="45" t="str">
        <f>IFERROR(VLOOKUP(B1466,'Pre-Summary'!$DE$6:$DG$61,3,FALSE),"")</f>
        <v/>
      </c>
      <c r="L1466" s="45" t="str">
        <f>IFERROR(VLOOKUP(B1466,'Pre-Summary'!$CU$6:$CW$36,3,FALSE),"")</f>
        <v/>
      </c>
      <c r="M1466" s="45" t="str">
        <f>IFERROR(VLOOKUP(B1466,'Pre-Summary'!$BW$6:$BY$58,2,FALSE),"")</f>
        <v/>
      </c>
      <c r="N1466" s="45" t="str">
        <f>IFERROR(VLOOKUP(B1466,'Pre-Summary'!$CD$6:$CF$64,2,FALSE),"")</f>
        <v/>
      </c>
      <c r="O1466" s="99">
        <f>IFERROR(VLOOKUP(B1466,'Pre-Summary'!$BO$6:$BQ$48,3, FALSE),O1465)</f>
        <v>1.2</v>
      </c>
      <c r="P1466" s="99">
        <f>IFERROR(VLOOKUP(B1466,'Pre-Summary'!$BS$6:$BU$35,3,FALSE),P1465)</f>
        <v>0.3</v>
      </c>
      <c r="Q1466" s="54">
        <f t="shared" si="66"/>
        <v>4</v>
      </c>
      <c r="R1466" s="53">
        <f>IFERROR(VLOOKUP(B1466,'Pre-Summary'!$BG$6:$BM$44,7,FALSE),R1467)</f>
        <v>0.10131789275871156</v>
      </c>
      <c r="S1466" s="53">
        <f>IFERROR(VLOOKUP(B1466,'Pre-Summary'!$BG$6:$BM$44,6,FALSE),S1467)</f>
        <v>9.6637565908873055E-2</v>
      </c>
      <c r="T1466" s="45" t="str">
        <f>IFERROR(VLOOKUP(B1466,'Pre-Summary'!$Y$6:$AC$83, 3,FALSE),"")</f>
        <v/>
      </c>
      <c r="U1466" s="45" t="str">
        <f>IFERROR(VLOOKUP(B1466,'Pre-Summary'!$Y$6:$AC$83, 4,FALSE),"")</f>
        <v/>
      </c>
      <c r="V1466" t="str">
        <f>IFERROR(VLOOKUP(B1466,'Pre-Summary'!$Y$6:$AC$83, 5,FALSE),"")</f>
        <v/>
      </c>
      <c r="W1466" s="45" t="str">
        <f>IFERROR(VLOOKUP(B1466,'Pre-Summary'!$Y$6:$AD$83,6,FALSE),"")</f>
        <v/>
      </c>
      <c r="X1466" t="str">
        <f>IFERROR(VLOOKUP('Pre-Summary'!$DB$6:$DD$63,3,FALSE),"")</f>
        <v/>
      </c>
      <c r="Y1466" t="str">
        <f>IFERROR(VLOOKUP(B1466,'Pre-Summary'!$CR$6:$CT$36,3,FALSE),"")</f>
        <v/>
      </c>
      <c r="Z1466" s="45" t="str">
        <f>IFERROR(VLOOKUP(B1466,'Pre-Summary'!$BZ$6:$CB$63,2,FALSE),"")</f>
        <v/>
      </c>
      <c r="AA1466" s="45" t="str">
        <f>IFERROR(VLOOKUP(B1466,'Pre-Summary'!$CG$6:$CI$70,2,FALSE),"")</f>
        <v/>
      </c>
      <c r="AB1466" s="99">
        <f>IFERROR(VLOOKUP(B1466,'Pre-Summary'!$A$6:$P$178,9,FALSE),AB1467)</f>
        <v>0.35667806451764861</v>
      </c>
      <c r="AC1466" s="10">
        <f>IFERROR(VLOOKUP(Summary!B1466,'Pre-Summary'!$A$6:$P$184,5, FALSE)/100,AC1467)</f>
        <v>0.105124</v>
      </c>
      <c r="AD1466" s="10">
        <f>IFERROR(VLOOKUP(Summary!B1466,'Pre-Summary'!$A$6:$P$184,3, FALSE)/100,AD1467)</f>
        <v>0.894876</v>
      </c>
      <c r="AE1466" s="10">
        <f>IFERROR(VLOOKUP(Summary!B1466,'Pre-Summary'!$A$6:$P$184,7, FALSE)/100,AE1467)</f>
        <v>0</v>
      </c>
      <c r="AF1466" s="99">
        <f t="shared" si="67"/>
        <v>0.3191826396632953</v>
      </c>
      <c r="AG1466" s="99">
        <f t="shared" si="68"/>
        <v>0</v>
      </c>
      <c r="AH1466" s="10" t="str">
        <f>IFERROR(VLOOKUP(B1466,'Pre-Summary'!$AZ$6:$BE$65,3,FALSE),"")</f>
        <v/>
      </c>
      <c r="AI1466" s="10" t="str">
        <f>IFERROR(VLOOKUP(B1466,'Pre-Summary'!$AZ$6:$BE$65,5,FALSE),"")</f>
        <v/>
      </c>
      <c r="AJ1466" s="10" t="str">
        <f>IFERROR(VLOOKUP(B1466,'Pre-Summary'!$AZ$6:$BE$65,4,FALSE),"")</f>
        <v/>
      </c>
      <c r="AK1466" s="10" t="str">
        <f>IFERROR(VLOOKUP(B1466,'Pre-Summary'!$AZ$6:$BE$65,6,FALSE),"")</f>
        <v/>
      </c>
      <c r="AL1466" s="10" t="str">
        <f>IFERROR(VLOOKUP(B1466,'Pre-Summary'!$BG$6:$BL$44,3,FALSE),"")</f>
        <v/>
      </c>
      <c r="AM1466" s="10" t="str">
        <f>IFERROR(VLOOKUP(B1466,'Pre-Summary'!$BG$6:$BL$44,4,FALSE),"")</f>
        <v/>
      </c>
    </row>
    <row r="1467" spans="2:39" ht="15" customHeight="1" x14ac:dyDescent="0.3">
      <c r="B1467">
        <v>146.4</v>
      </c>
      <c r="C1467" t="str">
        <f>IFERROR(VLOOKUP(B1467,'Pre-Summary'!$DI$6:$DM$23,4,FALSE),"")</f>
        <v/>
      </c>
      <c r="D1467" s="10" t="str">
        <f>IFERROR(VLOOKUP(B1467,'Pre-Summary'!$AT$6:$AX$14,5,FALSE),D1466)</f>
        <v>Wolfe v2: put in KILLER wolfe + EDTA + switch to HCl in trace elements</v>
      </c>
      <c r="E1467" s="10" t="str">
        <f>IFERROR(VLOOKUP(B1467,'Pre-Summary'!$AT$6:$AX$15,4,FALSE),"")</f>
        <v/>
      </c>
      <c r="F1467">
        <f>IFERROR(VLOOKUP(B1467,'Pre-Summary'!$AL$6:$AQ$13,6,FALSE),F1466)</f>
        <v>5.3897368421052638E-2</v>
      </c>
      <c r="G1467" t="str">
        <f>IFERROR(VLOOKUP(B1467,'Pre-Summary'!$AE$6:$AJ$85,3,FALSE),"")</f>
        <v/>
      </c>
      <c r="H1467" t="str">
        <f>IFERROR(VLOOKUP(B1467,'Pre-Summary'!$AE$6:$AJ$85,4,FALSE),"")</f>
        <v/>
      </c>
      <c r="I1467" t="str">
        <f>IFERROR(VLOOKUP(B1467,'Pre-Summary'!$AE$6:$AJ$85,5,FALSE),"")</f>
        <v/>
      </c>
      <c r="J1467" s="45" t="str">
        <f>IFERROR(VLOOKUP(B1467,'Pre-Summary'!$AE$6:$AJ$85,6, FALSE),"")</f>
        <v/>
      </c>
      <c r="K1467" s="45" t="str">
        <f>IFERROR(VLOOKUP(B1467,'Pre-Summary'!$DE$6:$DG$61,3,FALSE),"")</f>
        <v/>
      </c>
      <c r="L1467" s="45" t="str">
        <f>IFERROR(VLOOKUP(B1467,'Pre-Summary'!$CU$6:$CW$36,3,FALSE),"")</f>
        <v/>
      </c>
      <c r="M1467" s="45" t="str">
        <f>IFERROR(VLOOKUP(B1467,'Pre-Summary'!$BW$6:$BY$58,2,FALSE),"")</f>
        <v/>
      </c>
      <c r="N1467" s="45" t="str">
        <f>IFERROR(VLOOKUP(B1467,'Pre-Summary'!$CD$6:$CF$64,2,FALSE),"")</f>
        <v/>
      </c>
      <c r="O1467" s="99">
        <f>IFERROR(VLOOKUP(B1467,'Pre-Summary'!$BO$6:$BQ$48,3, FALSE),O1466)</f>
        <v>1.2</v>
      </c>
      <c r="P1467" s="99">
        <f>IFERROR(VLOOKUP(B1467,'Pre-Summary'!$BS$6:$BU$35,3,FALSE),P1466)</f>
        <v>0.3</v>
      </c>
      <c r="Q1467" s="54">
        <f t="shared" si="66"/>
        <v>4</v>
      </c>
      <c r="R1467" s="53">
        <f>IFERROR(VLOOKUP(B1467,'Pre-Summary'!$BG$6:$BM$44,7,FALSE),R1468)</f>
        <v>0.10131789275871156</v>
      </c>
      <c r="S1467" s="53">
        <f>IFERROR(VLOOKUP(B1467,'Pre-Summary'!$BG$6:$BM$44,6,FALSE),S1468)</f>
        <v>9.6637565908873055E-2</v>
      </c>
      <c r="T1467" s="45" t="str">
        <f>IFERROR(VLOOKUP(B1467,'Pre-Summary'!$Y$6:$AC$83, 3,FALSE),"")</f>
        <v/>
      </c>
      <c r="U1467" s="45" t="str">
        <f>IFERROR(VLOOKUP(B1467,'Pre-Summary'!$Y$6:$AC$83, 4,FALSE),"")</f>
        <v/>
      </c>
      <c r="V1467" t="str">
        <f>IFERROR(VLOOKUP(B1467,'Pre-Summary'!$Y$6:$AC$83, 5,FALSE),"")</f>
        <v/>
      </c>
      <c r="W1467" s="45" t="str">
        <f>IFERROR(VLOOKUP(B1467,'Pre-Summary'!$Y$6:$AD$83,6,FALSE),"")</f>
        <v/>
      </c>
      <c r="X1467" t="str">
        <f>IFERROR(VLOOKUP('Pre-Summary'!$DB$6:$DD$63,3,FALSE),"")</f>
        <v/>
      </c>
      <c r="Y1467" t="str">
        <f>IFERROR(VLOOKUP(B1467,'Pre-Summary'!$CR$6:$CT$36,3,FALSE),"")</f>
        <v/>
      </c>
      <c r="Z1467" s="45" t="str">
        <f>IFERROR(VLOOKUP(B1467,'Pre-Summary'!$BZ$6:$CB$63,2,FALSE),"")</f>
        <v/>
      </c>
      <c r="AA1467" s="45" t="str">
        <f>IFERROR(VLOOKUP(B1467,'Pre-Summary'!$CG$6:$CI$70,2,FALSE),"")</f>
        <v/>
      </c>
      <c r="AB1467" s="99">
        <f>IFERROR(VLOOKUP(B1467,'Pre-Summary'!$A$6:$P$178,9,FALSE),AB1468)</f>
        <v>0.35667806451764861</v>
      </c>
      <c r="AC1467" s="10">
        <f>IFERROR(VLOOKUP(Summary!B1467,'Pre-Summary'!$A$6:$P$184,5, FALSE)/100,AC1468)</f>
        <v>0.105124</v>
      </c>
      <c r="AD1467" s="10">
        <f>IFERROR(VLOOKUP(Summary!B1467,'Pre-Summary'!$A$6:$P$184,3, FALSE)/100,AD1468)</f>
        <v>0.894876</v>
      </c>
      <c r="AE1467" s="10">
        <f>IFERROR(VLOOKUP(Summary!B1467,'Pre-Summary'!$A$6:$P$184,7, FALSE)/100,AE1468)</f>
        <v>0</v>
      </c>
      <c r="AF1467" s="99">
        <f t="shared" si="67"/>
        <v>0.3191826396632953</v>
      </c>
      <c r="AG1467" s="99">
        <f t="shared" si="68"/>
        <v>0</v>
      </c>
      <c r="AH1467" s="10" t="str">
        <f>IFERROR(VLOOKUP(B1467,'Pre-Summary'!$AZ$6:$BE$65,3,FALSE),"")</f>
        <v/>
      </c>
      <c r="AI1467" s="10" t="str">
        <f>IFERROR(VLOOKUP(B1467,'Pre-Summary'!$AZ$6:$BE$65,5,FALSE),"")</f>
        <v/>
      </c>
      <c r="AJ1467" s="10" t="str">
        <f>IFERROR(VLOOKUP(B1467,'Pre-Summary'!$AZ$6:$BE$65,4,FALSE),"")</f>
        <v/>
      </c>
      <c r="AK1467" s="10" t="str">
        <f>IFERROR(VLOOKUP(B1467,'Pre-Summary'!$AZ$6:$BE$65,6,FALSE),"")</f>
        <v/>
      </c>
      <c r="AL1467" s="10" t="str">
        <f>IFERROR(VLOOKUP(B1467,'Pre-Summary'!$BG$6:$BL$44,3,FALSE),"")</f>
        <v/>
      </c>
      <c r="AM1467" s="10" t="str">
        <f>IFERROR(VLOOKUP(B1467,'Pre-Summary'!$BG$6:$BL$44,4,FALSE),"")</f>
        <v/>
      </c>
    </row>
    <row r="1468" spans="2:39" ht="15" customHeight="1" x14ac:dyDescent="0.3">
      <c r="B1468">
        <v>146.5</v>
      </c>
      <c r="C1468" t="str">
        <f>IFERROR(VLOOKUP(B1468,'Pre-Summary'!$DI$6:$DM$23,4,FALSE),"")</f>
        <v/>
      </c>
      <c r="D1468" s="10" t="str">
        <f>IFERROR(VLOOKUP(B1468,'Pre-Summary'!$AT$6:$AX$14,5,FALSE),D1467)</f>
        <v>Wolfe v2: put in KILLER wolfe + EDTA + switch to HCl in trace elements</v>
      </c>
      <c r="E1468" s="10" t="str">
        <f>IFERROR(VLOOKUP(B1468,'Pre-Summary'!$AT$6:$AX$15,4,FALSE),"")</f>
        <v/>
      </c>
      <c r="F1468">
        <f>IFERROR(VLOOKUP(B1468,'Pre-Summary'!$AL$6:$AQ$13,6,FALSE),F1467)</f>
        <v>5.3897368421052638E-2</v>
      </c>
      <c r="G1468" t="str">
        <f>IFERROR(VLOOKUP(B1468,'Pre-Summary'!$AE$6:$AJ$85,3,FALSE),"")</f>
        <v/>
      </c>
      <c r="H1468" t="str">
        <f>IFERROR(VLOOKUP(B1468,'Pre-Summary'!$AE$6:$AJ$85,4,FALSE),"")</f>
        <v/>
      </c>
      <c r="I1468" t="str">
        <f>IFERROR(VLOOKUP(B1468,'Pre-Summary'!$AE$6:$AJ$85,5,FALSE),"")</f>
        <v/>
      </c>
      <c r="J1468" s="45" t="str">
        <f>IFERROR(VLOOKUP(B1468,'Pre-Summary'!$AE$6:$AJ$85,6, FALSE),"")</f>
        <v/>
      </c>
      <c r="K1468" s="45" t="str">
        <f>IFERROR(VLOOKUP(B1468,'Pre-Summary'!$DE$6:$DG$61,3,FALSE),"")</f>
        <v/>
      </c>
      <c r="L1468" s="45" t="str">
        <f>IFERROR(VLOOKUP(B1468,'Pre-Summary'!$CU$6:$CW$36,3,FALSE),"")</f>
        <v/>
      </c>
      <c r="M1468" s="45" t="str">
        <f>IFERROR(VLOOKUP(B1468,'Pre-Summary'!$BW$6:$BY$58,2,FALSE),"")</f>
        <v/>
      </c>
      <c r="N1468" s="45" t="str">
        <f>IFERROR(VLOOKUP(B1468,'Pre-Summary'!$CD$6:$CF$64,2,FALSE),"")</f>
        <v/>
      </c>
      <c r="O1468" s="99">
        <f>IFERROR(VLOOKUP(B1468,'Pre-Summary'!$BO$6:$BQ$48,3, FALSE),O1467)</f>
        <v>1.2</v>
      </c>
      <c r="P1468" s="99">
        <f>IFERROR(VLOOKUP(B1468,'Pre-Summary'!$BS$6:$BU$35,3,FALSE),P1467)</f>
        <v>0.3</v>
      </c>
      <c r="Q1468" s="54">
        <f t="shared" si="66"/>
        <v>4</v>
      </c>
      <c r="R1468" s="53">
        <f>IFERROR(VLOOKUP(B1468,'Pre-Summary'!$BG$6:$BM$44,7,FALSE),R1469)</f>
        <v>0.10131789275871156</v>
      </c>
      <c r="S1468" s="53">
        <f>IFERROR(VLOOKUP(B1468,'Pre-Summary'!$BG$6:$BM$44,6,FALSE),S1469)</f>
        <v>9.6637565908873055E-2</v>
      </c>
      <c r="T1468" s="45" t="str">
        <f>IFERROR(VLOOKUP(B1468,'Pre-Summary'!$Y$6:$AC$83, 3,FALSE),"")</f>
        <v/>
      </c>
      <c r="U1468" s="45" t="str">
        <f>IFERROR(VLOOKUP(B1468,'Pre-Summary'!$Y$6:$AC$83, 4,FALSE),"")</f>
        <v/>
      </c>
      <c r="V1468" t="str">
        <f>IFERROR(VLOOKUP(B1468,'Pre-Summary'!$Y$6:$AC$83, 5,FALSE),"")</f>
        <v/>
      </c>
      <c r="W1468" s="45" t="str">
        <f>IFERROR(VLOOKUP(B1468,'Pre-Summary'!$Y$6:$AD$83,6,FALSE),"")</f>
        <v/>
      </c>
      <c r="X1468" t="str">
        <f>IFERROR(VLOOKUP('Pre-Summary'!$DB$6:$DD$63,3,FALSE),"")</f>
        <v/>
      </c>
      <c r="Y1468" t="str">
        <f>IFERROR(VLOOKUP(B1468,'Pre-Summary'!$CR$6:$CT$36,3,FALSE),"")</f>
        <v/>
      </c>
      <c r="Z1468" s="45" t="str">
        <f>IFERROR(VLOOKUP(B1468,'Pre-Summary'!$BZ$6:$CB$63,2,FALSE),"")</f>
        <v/>
      </c>
      <c r="AA1468" s="45" t="str">
        <f>IFERROR(VLOOKUP(B1468,'Pre-Summary'!$CG$6:$CI$70,2,FALSE),"")</f>
        <v/>
      </c>
      <c r="AB1468" s="99">
        <f>IFERROR(VLOOKUP(B1468,'Pre-Summary'!$A$6:$P$178,9,FALSE),AB1469)</f>
        <v>0.35667806451764861</v>
      </c>
      <c r="AC1468" s="10">
        <f>IFERROR(VLOOKUP(Summary!B1468,'Pre-Summary'!$A$6:$P$184,5, FALSE)/100,AC1469)</f>
        <v>0.105124</v>
      </c>
      <c r="AD1468" s="10">
        <f>IFERROR(VLOOKUP(Summary!B1468,'Pre-Summary'!$A$6:$P$184,3, FALSE)/100,AD1469)</f>
        <v>0.894876</v>
      </c>
      <c r="AE1468" s="10">
        <f>IFERROR(VLOOKUP(Summary!B1468,'Pre-Summary'!$A$6:$P$184,7, FALSE)/100,AE1469)</f>
        <v>0</v>
      </c>
      <c r="AF1468" s="99">
        <f t="shared" si="67"/>
        <v>0.3191826396632953</v>
      </c>
      <c r="AG1468" s="99">
        <f t="shared" si="68"/>
        <v>0</v>
      </c>
      <c r="AH1468" s="10" t="str">
        <f>IFERROR(VLOOKUP(B1468,'Pre-Summary'!$AZ$6:$BE$65,3,FALSE),"")</f>
        <v/>
      </c>
      <c r="AI1468" s="10" t="str">
        <f>IFERROR(VLOOKUP(B1468,'Pre-Summary'!$AZ$6:$BE$65,5,FALSE),"")</f>
        <v/>
      </c>
      <c r="AJ1468" s="10" t="str">
        <f>IFERROR(VLOOKUP(B1468,'Pre-Summary'!$AZ$6:$BE$65,4,FALSE),"")</f>
        <v/>
      </c>
      <c r="AK1468" s="10" t="str">
        <f>IFERROR(VLOOKUP(B1468,'Pre-Summary'!$AZ$6:$BE$65,6,FALSE),"")</f>
        <v/>
      </c>
      <c r="AL1468" s="10" t="str">
        <f>IFERROR(VLOOKUP(B1468,'Pre-Summary'!$BG$6:$BL$44,3,FALSE),"")</f>
        <v/>
      </c>
      <c r="AM1468" s="10" t="str">
        <f>IFERROR(VLOOKUP(B1468,'Pre-Summary'!$BG$6:$BL$44,4,FALSE),"")</f>
        <v/>
      </c>
    </row>
    <row r="1469" spans="2:39" ht="15" customHeight="1" x14ac:dyDescent="0.3">
      <c r="B1469">
        <v>146.6</v>
      </c>
      <c r="C1469" t="str">
        <f>IFERROR(VLOOKUP(B1469,'Pre-Summary'!$DI$6:$DM$23,4,FALSE),"")</f>
        <v/>
      </c>
      <c r="D1469" s="10" t="str">
        <f>IFERROR(VLOOKUP(B1469,'Pre-Summary'!$AT$6:$AX$14,5,FALSE),D1468)</f>
        <v>Wolfe v2: put in KILLER wolfe + EDTA + switch to HCl in trace elements</v>
      </c>
      <c r="E1469" s="10" t="str">
        <f>IFERROR(VLOOKUP(B1469,'Pre-Summary'!$AT$6:$AX$15,4,FALSE),"")</f>
        <v/>
      </c>
      <c r="F1469">
        <f>IFERROR(VLOOKUP(B1469,'Pre-Summary'!$AL$6:$AQ$13,6,FALSE),F1468)</f>
        <v>5.3897368421052638E-2</v>
      </c>
      <c r="G1469" t="str">
        <f>IFERROR(VLOOKUP(B1469,'Pre-Summary'!$AE$6:$AJ$85,3,FALSE),"")</f>
        <v/>
      </c>
      <c r="H1469" t="str">
        <f>IFERROR(VLOOKUP(B1469,'Pre-Summary'!$AE$6:$AJ$85,4,FALSE),"")</f>
        <v/>
      </c>
      <c r="I1469" t="str">
        <f>IFERROR(VLOOKUP(B1469,'Pre-Summary'!$AE$6:$AJ$85,5,FALSE),"")</f>
        <v/>
      </c>
      <c r="J1469" s="45" t="str">
        <f>IFERROR(VLOOKUP(B1469,'Pre-Summary'!$AE$6:$AJ$85,6, FALSE),"")</f>
        <v/>
      </c>
      <c r="K1469" s="45" t="str">
        <f>IFERROR(VLOOKUP(B1469,'Pre-Summary'!$DE$6:$DG$61,3,FALSE),"")</f>
        <v/>
      </c>
      <c r="L1469" s="45" t="str">
        <f>IFERROR(VLOOKUP(B1469,'Pre-Summary'!$CU$6:$CW$36,3,FALSE),"")</f>
        <v/>
      </c>
      <c r="M1469" s="45" t="str">
        <f>IFERROR(VLOOKUP(B1469,'Pre-Summary'!$BW$6:$BY$58,2,FALSE),"")</f>
        <v/>
      </c>
      <c r="N1469" s="45" t="str">
        <f>IFERROR(VLOOKUP(B1469,'Pre-Summary'!$CD$6:$CF$64,2,FALSE),"")</f>
        <v/>
      </c>
      <c r="O1469" s="99">
        <f>IFERROR(VLOOKUP(B1469,'Pre-Summary'!$BO$6:$BQ$48,3, FALSE),O1468)</f>
        <v>1.2</v>
      </c>
      <c r="P1469" s="99">
        <f>IFERROR(VLOOKUP(B1469,'Pre-Summary'!$BS$6:$BU$35,3,FALSE),P1468)</f>
        <v>0.3</v>
      </c>
      <c r="Q1469" s="54">
        <f t="shared" si="66"/>
        <v>4</v>
      </c>
      <c r="R1469" s="53">
        <f>IFERROR(VLOOKUP(B1469,'Pre-Summary'!$BG$6:$BM$44,7,FALSE),R1470)</f>
        <v>0.10131789275871156</v>
      </c>
      <c r="S1469" s="53">
        <f>IFERROR(VLOOKUP(B1469,'Pre-Summary'!$BG$6:$BM$44,6,FALSE),S1470)</f>
        <v>9.6637565908873055E-2</v>
      </c>
      <c r="T1469" s="45" t="str">
        <f>IFERROR(VLOOKUP(B1469,'Pre-Summary'!$Y$6:$AC$83, 3,FALSE),"")</f>
        <v/>
      </c>
      <c r="U1469" s="45" t="str">
        <f>IFERROR(VLOOKUP(B1469,'Pre-Summary'!$Y$6:$AC$83, 4,FALSE),"")</f>
        <v/>
      </c>
      <c r="V1469" t="str">
        <f>IFERROR(VLOOKUP(B1469,'Pre-Summary'!$Y$6:$AC$83, 5,FALSE),"")</f>
        <v/>
      </c>
      <c r="W1469" s="45" t="str">
        <f>IFERROR(VLOOKUP(B1469,'Pre-Summary'!$Y$6:$AD$83,6,FALSE),"")</f>
        <v/>
      </c>
      <c r="X1469" t="str">
        <f>IFERROR(VLOOKUP('Pre-Summary'!$DB$6:$DD$63,3,FALSE),"")</f>
        <v/>
      </c>
      <c r="Y1469" t="str">
        <f>IFERROR(VLOOKUP(B1469,'Pre-Summary'!$CR$6:$CT$36,3,FALSE),"")</f>
        <v/>
      </c>
      <c r="Z1469" s="45" t="str">
        <f>IFERROR(VLOOKUP(B1469,'Pre-Summary'!$BZ$6:$CB$63,2,FALSE),"")</f>
        <v/>
      </c>
      <c r="AA1469" s="45" t="str">
        <f>IFERROR(VLOOKUP(B1469,'Pre-Summary'!$CG$6:$CI$70,2,FALSE),"")</f>
        <v/>
      </c>
      <c r="AB1469" s="99">
        <f>IFERROR(VLOOKUP(B1469,'Pre-Summary'!$A$6:$P$178,9,FALSE),AB1470)</f>
        <v>0.35667806451764861</v>
      </c>
      <c r="AC1469" s="10">
        <f>IFERROR(VLOOKUP(Summary!B1469,'Pre-Summary'!$A$6:$P$184,5, FALSE)/100,AC1470)</f>
        <v>0.105124</v>
      </c>
      <c r="AD1469" s="10">
        <f>IFERROR(VLOOKUP(Summary!B1469,'Pre-Summary'!$A$6:$P$184,3, FALSE)/100,AD1470)</f>
        <v>0.894876</v>
      </c>
      <c r="AE1469" s="10">
        <f>IFERROR(VLOOKUP(Summary!B1469,'Pre-Summary'!$A$6:$P$184,7, FALSE)/100,AE1470)</f>
        <v>0</v>
      </c>
      <c r="AF1469" s="99">
        <f t="shared" si="67"/>
        <v>0.3191826396632953</v>
      </c>
      <c r="AG1469" s="99">
        <f t="shared" si="68"/>
        <v>0</v>
      </c>
      <c r="AH1469" s="10" t="str">
        <f>IFERROR(VLOOKUP(B1469,'Pre-Summary'!$AZ$6:$BE$65,3,FALSE),"")</f>
        <v/>
      </c>
      <c r="AI1469" s="10" t="str">
        <f>IFERROR(VLOOKUP(B1469,'Pre-Summary'!$AZ$6:$BE$65,5,FALSE),"")</f>
        <v/>
      </c>
      <c r="AJ1469" s="10" t="str">
        <f>IFERROR(VLOOKUP(B1469,'Pre-Summary'!$AZ$6:$BE$65,4,FALSE),"")</f>
        <v/>
      </c>
      <c r="AK1469" s="10" t="str">
        <f>IFERROR(VLOOKUP(B1469,'Pre-Summary'!$AZ$6:$BE$65,6,FALSE),"")</f>
        <v/>
      </c>
      <c r="AL1469" s="10" t="str">
        <f>IFERROR(VLOOKUP(B1469,'Pre-Summary'!$BG$6:$BL$44,3,FALSE),"")</f>
        <v/>
      </c>
      <c r="AM1469" s="10" t="str">
        <f>IFERROR(VLOOKUP(B1469,'Pre-Summary'!$BG$6:$BL$44,4,FALSE),"")</f>
        <v/>
      </c>
    </row>
    <row r="1470" spans="2:39" ht="15" customHeight="1" x14ac:dyDescent="0.3">
      <c r="B1470">
        <v>146.69999999999999</v>
      </c>
      <c r="C1470" t="str">
        <f>IFERROR(VLOOKUP(B1470,'Pre-Summary'!$DI$6:$DM$23,4,FALSE),"")</f>
        <v/>
      </c>
      <c r="D1470" s="10" t="str">
        <f>IFERROR(VLOOKUP(B1470,'Pre-Summary'!$AT$6:$AX$14,5,FALSE),D1469)</f>
        <v>Wolfe v2: put in KILLER wolfe + EDTA + switch to HCl in trace elements</v>
      </c>
      <c r="E1470" s="10" t="str">
        <f>IFERROR(VLOOKUP(B1470,'Pre-Summary'!$AT$6:$AX$15,4,FALSE),"")</f>
        <v/>
      </c>
      <c r="F1470">
        <f>IFERROR(VLOOKUP(B1470,'Pre-Summary'!$AL$6:$AQ$13,6,FALSE),F1469)</f>
        <v>5.3897368421052638E-2</v>
      </c>
      <c r="G1470" t="str">
        <f>IFERROR(VLOOKUP(B1470,'Pre-Summary'!$AE$6:$AJ$85,3,FALSE),"")</f>
        <v/>
      </c>
      <c r="H1470" t="str">
        <f>IFERROR(VLOOKUP(B1470,'Pre-Summary'!$AE$6:$AJ$85,4,FALSE),"")</f>
        <v/>
      </c>
      <c r="I1470" t="str">
        <f>IFERROR(VLOOKUP(B1470,'Pre-Summary'!$AE$6:$AJ$85,5,FALSE),"")</f>
        <v/>
      </c>
      <c r="J1470" s="45" t="str">
        <f>IFERROR(VLOOKUP(B1470,'Pre-Summary'!$AE$6:$AJ$85,6, FALSE),"")</f>
        <v/>
      </c>
      <c r="K1470" s="45" t="str">
        <f>IFERROR(VLOOKUP(B1470,'Pre-Summary'!$DE$6:$DG$61,3,FALSE),"")</f>
        <v/>
      </c>
      <c r="L1470" s="45" t="str">
        <f>IFERROR(VLOOKUP(B1470,'Pre-Summary'!$CU$6:$CW$36,3,FALSE),"")</f>
        <v/>
      </c>
      <c r="M1470" s="45" t="str">
        <f>IFERROR(VLOOKUP(B1470,'Pre-Summary'!$BW$6:$BY$58,2,FALSE),"")</f>
        <v/>
      </c>
      <c r="N1470" s="45" t="str">
        <f>IFERROR(VLOOKUP(B1470,'Pre-Summary'!$CD$6:$CF$64,2,FALSE),"")</f>
        <v/>
      </c>
      <c r="O1470" s="99">
        <f>IFERROR(VLOOKUP(B1470,'Pre-Summary'!$BO$6:$BQ$48,3, FALSE),O1469)</f>
        <v>1.2</v>
      </c>
      <c r="P1470" s="99">
        <f>IFERROR(VLOOKUP(B1470,'Pre-Summary'!$BS$6:$BU$35,3,FALSE),P1469)</f>
        <v>0.3</v>
      </c>
      <c r="Q1470" s="54">
        <f t="shared" si="66"/>
        <v>4</v>
      </c>
      <c r="R1470" s="53">
        <f>IFERROR(VLOOKUP(B1470,'Pre-Summary'!$BG$6:$BM$44,7,FALSE),R1471)</f>
        <v>0.10131789275871156</v>
      </c>
      <c r="S1470" s="53">
        <f>IFERROR(VLOOKUP(B1470,'Pre-Summary'!$BG$6:$BM$44,6,FALSE),S1471)</f>
        <v>9.6637565908873055E-2</v>
      </c>
      <c r="T1470" s="45" t="str">
        <f>IFERROR(VLOOKUP(B1470,'Pre-Summary'!$Y$6:$AC$83, 3,FALSE),"")</f>
        <v/>
      </c>
      <c r="U1470" s="45" t="str">
        <f>IFERROR(VLOOKUP(B1470,'Pre-Summary'!$Y$6:$AC$83, 4,FALSE),"")</f>
        <v/>
      </c>
      <c r="V1470" t="str">
        <f>IFERROR(VLOOKUP(B1470,'Pre-Summary'!$Y$6:$AC$83, 5,FALSE),"")</f>
        <v/>
      </c>
      <c r="W1470" s="45" t="str">
        <f>IFERROR(VLOOKUP(B1470,'Pre-Summary'!$Y$6:$AD$83,6,FALSE),"")</f>
        <v/>
      </c>
      <c r="X1470" t="str">
        <f>IFERROR(VLOOKUP('Pre-Summary'!$DB$6:$DD$63,3,FALSE),"")</f>
        <v/>
      </c>
      <c r="Y1470" t="str">
        <f>IFERROR(VLOOKUP(B1470,'Pre-Summary'!$CR$6:$CT$36,3,FALSE),"")</f>
        <v/>
      </c>
      <c r="Z1470" s="45" t="str">
        <f>IFERROR(VLOOKUP(B1470,'Pre-Summary'!$BZ$6:$CB$63,2,FALSE),"")</f>
        <v/>
      </c>
      <c r="AA1470" s="45" t="str">
        <f>IFERROR(VLOOKUP(B1470,'Pre-Summary'!$CG$6:$CI$70,2,FALSE),"")</f>
        <v/>
      </c>
      <c r="AB1470" s="99">
        <f>IFERROR(VLOOKUP(B1470,'Pre-Summary'!$A$6:$P$178,9,FALSE),AB1471)</f>
        <v>0.35667806451764861</v>
      </c>
      <c r="AC1470" s="10">
        <f>IFERROR(VLOOKUP(Summary!B1470,'Pre-Summary'!$A$6:$P$184,5, FALSE)/100,AC1471)</f>
        <v>0.105124</v>
      </c>
      <c r="AD1470" s="10">
        <f>IFERROR(VLOOKUP(Summary!B1470,'Pre-Summary'!$A$6:$P$184,3, FALSE)/100,AD1471)</f>
        <v>0.894876</v>
      </c>
      <c r="AE1470" s="10">
        <f>IFERROR(VLOOKUP(Summary!B1470,'Pre-Summary'!$A$6:$P$184,7, FALSE)/100,AE1471)</f>
        <v>0</v>
      </c>
      <c r="AF1470" s="99">
        <f t="shared" si="67"/>
        <v>0.3191826396632953</v>
      </c>
      <c r="AG1470" s="99">
        <f t="shared" si="68"/>
        <v>0</v>
      </c>
      <c r="AH1470" s="10" t="str">
        <f>IFERROR(VLOOKUP(B1470,'Pre-Summary'!$AZ$6:$BE$65,3,FALSE),"")</f>
        <v/>
      </c>
      <c r="AI1470" s="10" t="str">
        <f>IFERROR(VLOOKUP(B1470,'Pre-Summary'!$AZ$6:$BE$65,5,FALSE),"")</f>
        <v/>
      </c>
      <c r="AJ1470" s="10" t="str">
        <f>IFERROR(VLOOKUP(B1470,'Pre-Summary'!$AZ$6:$BE$65,4,FALSE),"")</f>
        <v/>
      </c>
      <c r="AK1470" s="10" t="str">
        <f>IFERROR(VLOOKUP(B1470,'Pre-Summary'!$AZ$6:$BE$65,6,FALSE),"")</f>
        <v/>
      </c>
      <c r="AL1470" s="10" t="str">
        <f>IFERROR(VLOOKUP(B1470,'Pre-Summary'!$BG$6:$BL$44,3,FALSE),"")</f>
        <v/>
      </c>
      <c r="AM1470" s="10" t="str">
        <f>IFERROR(VLOOKUP(B1470,'Pre-Summary'!$BG$6:$BL$44,4,FALSE),"")</f>
        <v/>
      </c>
    </row>
    <row r="1471" spans="2:39" ht="15" customHeight="1" x14ac:dyDescent="0.3">
      <c r="B1471">
        <v>146.80000000000001</v>
      </c>
      <c r="C1471" t="str">
        <f>IFERROR(VLOOKUP(B1471,'Pre-Summary'!$DI$6:$DM$23,4,FALSE),"")</f>
        <v/>
      </c>
      <c r="D1471" s="10" t="str">
        <f>IFERROR(VLOOKUP(B1471,'Pre-Summary'!$AT$6:$AX$14,5,FALSE),D1470)</f>
        <v>Wolfe v2: put in KILLER wolfe + EDTA + switch to HCl in trace elements</v>
      </c>
      <c r="E1471" s="10" t="str">
        <f>IFERROR(VLOOKUP(B1471,'Pre-Summary'!$AT$6:$AX$15,4,FALSE),"")</f>
        <v/>
      </c>
      <c r="F1471">
        <f>IFERROR(VLOOKUP(B1471,'Pre-Summary'!$AL$6:$AQ$13,6,FALSE),F1470)</f>
        <v>5.3897368421052638E-2</v>
      </c>
      <c r="G1471" t="str">
        <f>IFERROR(VLOOKUP(B1471,'Pre-Summary'!$AE$6:$AJ$85,3,FALSE),"")</f>
        <v/>
      </c>
      <c r="H1471" t="str">
        <f>IFERROR(VLOOKUP(B1471,'Pre-Summary'!$AE$6:$AJ$85,4,FALSE),"")</f>
        <v/>
      </c>
      <c r="I1471" t="str">
        <f>IFERROR(VLOOKUP(B1471,'Pre-Summary'!$AE$6:$AJ$85,5,FALSE),"")</f>
        <v/>
      </c>
      <c r="J1471" s="45" t="str">
        <f>IFERROR(VLOOKUP(B1471,'Pre-Summary'!$AE$6:$AJ$85,6, FALSE),"")</f>
        <v/>
      </c>
      <c r="K1471" s="45" t="str">
        <f>IFERROR(VLOOKUP(B1471,'Pre-Summary'!$DE$6:$DG$61,3,FALSE),"")</f>
        <v/>
      </c>
      <c r="L1471" s="45" t="str">
        <f>IFERROR(VLOOKUP(B1471,'Pre-Summary'!$CU$6:$CW$36,3,FALSE),"")</f>
        <v/>
      </c>
      <c r="M1471" s="45" t="str">
        <f>IFERROR(VLOOKUP(B1471,'Pre-Summary'!$BW$6:$BY$58,2,FALSE),"")</f>
        <v/>
      </c>
      <c r="N1471" s="45" t="str">
        <f>IFERROR(VLOOKUP(B1471,'Pre-Summary'!$CD$6:$CF$64,2,FALSE),"")</f>
        <v/>
      </c>
      <c r="O1471" s="99">
        <f>IFERROR(VLOOKUP(B1471,'Pre-Summary'!$BO$6:$BQ$48,3, FALSE),O1470)</f>
        <v>1.2</v>
      </c>
      <c r="P1471" s="99">
        <f>IFERROR(VLOOKUP(B1471,'Pre-Summary'!$BS$6:$BU$35,3,FALSE),P1470)</f>
        <v>0.3</v>
      </c>
      <c r="Q1471" s="54">
        <f t="shared" si="66"/>
        <v>4</v>
      </c>
      <c r="R1471" s="53">
        <f>IFERROR(VLOOKUP(B1471,'Pre-Summary'!$BG$6:$BM$44,7,FALSE),R1472)</f>
        <v>0.10131789275871156</v>
      </c>
      <c r="S1471" s="53">
        <f>IFERROR(VLOOKUP(B1471,'Pre-Summary'!$BG$6:$BM$44,6,FALSE),S1472)</f>
        <v>9.6637565908873055E-2</v>
      </c>
      <c r="T1471" s="45" t="str">
        <f>IFERROR(VLOOKUP(B1471,'Pre-Summary'!$Y$6:$AC$83, 3,FALSE),"")</f>
        <v/>
      </c>
      <c r="U1471" s="45" t="str">
        <f>IFERROR(VLOOKUP(B1471,'Pre-Summary'!$Y$6:$AC$83, 4,FALSE),"")</f>
        <v/>
      </c>
      <c r="V1471" t="str">
        <f>IFERROR(VLOOKUP(B1471,'Pre-Summary'!$Y$6:$AC$83, 5,FALSE),"")</f>
        <v/>
      </c>
      <c r="W1471" s="45" t="str">
        <f>IFERROR(VLOOKUP(B1471,'Pre-Summary'!$Y$6:$AD$83,6,FALSE),"")</f>
        <v/>
      </c>
      <c r="X1471" t="str">
        <f>IFERROR(VLOOKUP('Pre-Summary'!$DB$6:$DD$63,3,FALSE),"")</f>
        <v/>
      </c>
      <c r="Y1471" t="str">
        <f>IFERROR(VLOOKUP(B1471,'Pre-Summary'!$CR$6:$CT$36,3,FALSE),"")</f>
        <v/>
      </c>
      <c r="Z1471" s="45" t="str">
        <f>IFERROR(VLOOKUP(B1471,'Pre-Summary'!$BZ$6:$CB$63,2,FALSE),"")</f>
        <v/>
      </c>
      <c r="AA1471" s="45" t="str">
        <f>IFERROR(VLOOKUP(B1471,'Pre-Summary'!$CG$6:$CI$70,2,FALSE),"")</f>
        <v/>
      </c>
      <c r="AB1471" s="99">
        <f>IFERROR(VLOOKUP(B1471,'Pre-Summary'!$A$6:$P$178,9,FALSE),AB1472)</f>
        <v>0.35667806451764861</v>
      </c>
      <c r="AC1471" s="10">
        <f>IFERROR(VLOOKUP(Summary!B1471,'Pre-Summary'!$A$6:$P$184,5, FALSE)/100,AC1472)</f>
        <v>0.105124</v>
      </c>
      <c r="AD1471" s="10">
        <f>IFERROR(VLOOKUP(Summary!B1471,'Pre-Summary'!$A$6:$P$184,3, FALSE)/100,AD1472)</f>
        <v>0.894876</v>
      </c>
      <c r="AE1471" s="10">
        <f>IFERROR(VLOOKUP(Summary!B1471,'Pre-Summary'!$A$6:$P$184,7, FALSE)/100,AE1472)</f>
        <v>0</v>
      </c>
      <c r="AF1471" s="99">
        <f t="shared" si="67"/>
        <v>0.3191826396632953</v>
      </c>
      <c r="AG1471" s="99">
        <f t="shared" si="68"/>
        <v>0</v>
      </c>
      <c r="AH1471" s="10" t="str">
        <f>IFERROR(VLOOKUP(B1471,'Pre-Summary'!$AZ$6:$BE$65,3,FALSE),"")</f>
        <v/>
      </c>
      <c r="AI1471" s="10" t="str">
        <f>IFERROR(VLOOKUP(B1471,'Pre-Summary'!$AZ$6:$BE$65,5,FALSE),"")</f>
        <v/>
      </c>
      <c r="AJ1471" s="10" t="str">
        <f>IFERROR(VLOOKUP(B1471,'Pre-Summary'!$AZ$6:$BE$65,4,FALSE),"")</f>
        <v/>
      </c>
      <c r="AK1471" s="10" t="str">
        <f>IFERROR(VLOOKUP(B1471,'Pre-Summary'!$AZ$6:$BE$65,6,FALSE),"")</f>
        <v/>
      </c>
      <c r="AL1471" s="10" t="str">
        <f>IFERROR(VLOOKUP(B1471,'Pre-Summary'!$BG$6:$BL$44,3,FALSE),"")</f>
        <v/>
      </c>
      <c r="AM1471" s="10" t="str">
        <f>IFERROR(VLOOKUP(B1471,'Pre-Summary'!$BG$6:$BL$44,4,FALSE),"")</f>
        <v/>
      </c>
    </row>
    <row r="1472" spans="2:39" ht="15" customHeight="1" x14ac:dyDescent="0.3">
      <c r="B1472">
        <v>146.9</v>
      </c>
      <c r="C1472" t="str">
        <f>IFERROR(VLOOKUP(B1472,'Pre-Summary'!$DI$6:$DM$23,4,FALSE),"")</f>
        <v/>
      </c>
      <c r="D1472" s="10" t="str">
        <f>IFERROR(VLOOKUP(B1472,'Pre-Summary'!$AT$6:$AX$14,5,FALSE),D1471)</f>
        <v>Wolfe v2: put in KILLER wolfe + EDTA + switch to HCl in trace elements</v>
      </c>
      <c r="E1472" s="10" t="str">
        <f>IFERROR(VLOOKUP(B1472,'Pre-Summary'!$AT$6:$AX$15,4,FALSE),"")</f>
        <v/>
      </c>
      <c r="F1472">
        <f>IFERROR(VLOOKUP(B1472,'Pre-Summary'!$AL$6:$AQ$13,6,FALSE),F1471)</f>
        <v>5.3897368421052638E-2</v>
      </c>
      <c r="G1472" t="str">
        <f>IFERROR(VLOOKUP(B1472,'Pre-Summary'!$AE$6:$AJ$85,3,FALSE),"")</f>
        <v/>
      </c>
      <c r="H1472" t="str">
        <f>IFERROR(VLOOKUP(B1472,'Pre-Summary'!$AE$6:$AJ$85,4,FALSE),"")</f>
        <v/>
      </c>
      <c r="I1472" t="str">
        <f>IFERROR(VLOOKUP(B1472,'Pre-Summary'!$AE$6:$AJ$85,5,FALSE),"")</f>
        <v/>
      </c>
      <c r="J1472" s="45" t="str">
        <f>IFERROR(VLOOKUP(B1472,'Pre-Summary'!$AE$6:$AJ$85,6, FALSE),"")</f>
        <v/>
      </c>
      <c r="K1472" s="45" t="str">
        <f>IFERROR(VLOOKUP(B1472,'Pre-Summary'!$DE$6:$DG$61,3,FALSE),"")</f>
        <v/>
      </c>
      <c r="L1472" s="45" t="str">
        <f>IFERROR(VLOOKUP(B1472,'Pre-Summary'!$CU$6:$CW$36,3,FALSE),"")</f>
        <v/>
      </c>
      <c r="M1472" s="45" t="str">
        <f>IFERROR(VLOOKUP(B1472,'Pre-Summary'!$BW$6:$BY$58,2,FALSE),"")</f>
        <v/>
      </c>
      <c r="N1472" s="45" t="str">
        <f>IFERROR(VLOOKUP(B1472,'Pre-Summary'!$CD$6:$CF$64,2,FALSE),"")</f>
        <v/>
      </c>
      <c r="O1472" s="99">
        <f>IFERROR(VLOOKUP(B1472,'Pre-Summary'!$BO$6:$BQ$48,3, FALSE),O1471)</f>
        <v>1.2</v>
      </c>
      <c r="P1472" s="99">
        <f>IFERROR(VLOOKUP(B1472,'Pre-Summary'!$BS$6:$BU$35,3,FALSE),P1471)</f>
        <v>0.3</v>
      </c>
      <c r="Q1472" s="54">
        <f t="shared" si="66"/>
        <v>4</v>
      </c>
      <c r="R1472" s="53">
        <f>IFERROR(VLOOKUP(B1472,'Pre-Summary'!$BG$6:$BM$44,7,FALSE),R1473)</f>
        <v>0.10131789275871156</v>
      </c>
      <c r="S1472" s="53">
        <f>IFERROR(VLOOKUP(B1472,'Pre-Summary'!$BG$6:$BM$44,6,FALSE),S1473)</f>
        <v>9.6637565908873055E-2</v>
      </c>
      <c r="T1472" s="45" t="str">
        <f>IFERROR(VLOOKUP(B1472,'Pre-Summary'!$Y$6:$AC$83, 3,FALSE),"")</f>
        <v/>
      </c>
      <c r="U1472" s="45" t="str">
        <f>IFERROR(VLOOKUP(B1472,'Pre-Summary'!$Y$6:$AC$83, 4,FALSE),"")</f>
        <v/>
      </c>
      <c r="V1472" t="str">
        <f>IFERROR(VLOOKUP(B1472,'Pre-Summary'!$Y$6:$AC$83, 5,FALSE),"")</f>
        <v/>
      </c>
      <c r="W1472" s="45" t="str">
        <f>IFERROR(VLOOKUP(B1472,'Pre-Summary'!$Y$6:$AD$83,6,FALSE),"")</f>
        <v/>
      </c>
      <c r="X1472" t="str">
        <f>IFERROR(VLOOKUP('Pre-Summary'!$DB$6:$DD$63,3,FALSE),"")</f>
        <v/>
      </c>
      <c r="Y1472" t="str">
        <f>IFERROR(VLOOKUP(B1472,'Pre-Summary'!$CR$6:$CT$36,3,FALSE),"")</f>
        <v/>
      </c>
      <c r="Z1472" s="45" t="str">
        <f>IFERROR(VLOOKUP(B1472,'Pre-Summary'!$BZ$6:$CB$63,2,FALSE),"")</f>
        <v/>
      </c>
      <c r="AA1472" s="45" t="str">
        <f>IFERROR(VLOOKUP(B1472,'Pre-Summary'!$CG$6:$CI$70,2,FALSE),"")</f>
        <v/>
      </c>
      <c r="AB1472" s="99">
        <f>IFERROR(VLOOKUP(B1472,'Pre-Summary'!$A$6:$P$178,9,FALSE),AB1473)</f>
        <v>0.35667806451764861</v>
      </c>
      <c r="AC1472" s="10">
        <f>IFERROR(VLOOKUP(Summary!B1472,'Pre-Summary'!$A$6:$P$184,5, FALSE)/100,AC1473)</f>
        <v>0.105124</v>
      </c>
      <c r="AD1472" s="10">
        <f>IFERROR(VLOOKUP(Summary!B1472,'Pre-Summary'!$A$6:$P$184,3, FALSE)/100,AD1473)</f>
        <v>0.894876</v>
      </c>
      <c r="AE1472" s="10">
        <f>IFERROR(VLOOKUP(Summary!B1472,'Pre-Summary'!$A$6:$P$184,7, FALSE)/100,AE1473)</f>
        <v>0</v>
      </c>
      <c r="AF1472" s="99">
        <f t="shared" si="67"/>
        <v>0.3191826396632953</v>
      </c>
      <c r="AG1472" s="99">
        <f t="shared" si="68"/>
        <v>0</v>
      </c>
      <c r="AH1472" s="10" t="str">
        <f>IFERROR(VLOOKUP(B1472,'Pre-Summary'!$AZ$6:$BE$65,3,FALSE),"")</f>
        <v/>
      </c>
      <c r="AI1472" s="10" t="str">
        <f>IFERROR(VLOOKUP(B1472,'Pre-Summary'!$AZ$6:$BE$65,5,FALSE),"")</f>
        <v/>
      </c>
      <c r="AJ1472" s="10" t="str">
        <f>IFERROR(VLOOKUP(B1472,'Pre-Summary'!$AZ$6:$BE$65,4,FALSE),"")</f>
        <v/>
      </c>
      <c r="AK1472" s="10" t="str">
        <f>IFERROR(VLOOKUP(B1472,'Pre-Summary'!$AZ$6:$BE$65,6,FALSE),"")</f>
        <v/>
      </c>
      <c r="AL1472" s="10" t="str">
        <f>IFERROR(VLOOKUP(B1472,'Pre-Summary'!$BG$6:$BL$44,3,FALSE),"")</f>
        <v/>
      </c>
      <c r="AM1472" s="10" t="str">
        <f>IFERROR(VLOOKUP(B1472,'Pre-Summary'!$BG$6:$BL$44,4,FALSE),"")</f>
        <v/>
      </c>
    </row>
    <row r="1473" spans="2:39" ht="15" customHeight="1" x14ac:dyDescent="0.3">
      <c r="B1473">
        <v>147</v>
      </c>
      <c r="C1473" t="str">
        <f>IFERROR(VLOOKUP(B1473,'Pre-Summary'!$DI$6:$DM$23,4,FALSE),"")</f>
        <v/>
      </c>
      <c r="D1473" s="10" t="str">
        <f>IFERROR(VLOOKUP(B1473,'Pre-Summary'!$AT$6:$AX$14,5,FALSE),D1472)</f>
        <v>Wolfe v2: put in KILLER wolfe + EDTA + switch to HCl in trace elements</v>
      </c>
      <c r="E1473" s="10" t="str">
        <f>IFERROR(VLOOKUP(B1473,'Pre-Summary'!$AT$6:$AX$15,4,FALSE),"")</f>
        <v/>
      </c>
      <c r="F1473">
        <f>IFERROR(VLOOKUP(B1473,'Pre-Summary'!$AL$6:$AQ$13,6,FALSE),F1472)</f>
        <v>5.3897368421052638E-2</v>
      </c>
      <c r="G1473" t="str">
        <f>IFERROR(VLOOKUP(B1473,'Pre-Summary'!$AE$6:$AJ$85,3,FALSE),"")</f>
        <v/>
      </c>
      <c r="H1473" t="str">
        <f>IFERROR(VLOOKUP(B1473,'Pre-Summary'!$AE$6:$AJ$85,4,FALSE),"")</f>
        <v/>
      </c>
      <c r="I1473" t="str">
        <f>IFERROR(VLOOKUP(B1473,'Pre-Summary'!$AE$6:$AJ$85,5,FALSE),"")</f>
        <v/>
      </c>
      <c r="J1473" s="45" t="str">
        <f>IFERROR(VLOOKUP(B1473,'Pre-Summary'!$AE$6:$AJ$85,6, FALSE),"")</f>
        <v/>
      </c>
      <c r="K1473" s="45" t="str">
        <f>IFERROR(VLOOKUP(B1473,'Pre-Summary'!$DE$6:$DG$61,3,FALSE),"")</f>
        <v/>
      </c>
      <c r="L1473" s="45" t="str">
        <f>IFERROR(VLOOKUP(B1473,'Pre-Summary'!$CU$6:$CW$36,3,FALSE),"")</f>
        <v/>
      </c>
      <c r="M1473" s="45" t="str">
        <f>IFERROR(VLOOKUP(B1473,'Pre-Summary'!$BW$6:$BY$58,2,FALSE),"")</f>
        <v/>
      </c>
      <c r="N1473" s="45" t="str">
        <f>IFERROR(VLOOKUP(B1473,'Pre-Summary'!$CD$6:$CF$64,2,FALSE),"")</f>
        <v/>
      </c>
      <c r="O1473" s="99">
        <f>IFERROR(VLOOKUP(B1473,'Pre-Summary'!$BO$6:$BQ$48,3, FALSE),O1472)</f>
        <v>0.6</v>
      </c>
      <c r="P1473" s="99">
        <f>IFERROR(VLOOKUP(B1473,'Pre-Summary'!$BS$6:$BU$35,3,FALSE),P1472)</f>
        <v>0.3</v>
      </c>
      <c r="Q1473" s="54">
        <f t="shared" si="66"/>
        <v>2</v>
      </c>
      <c r="R1473" s="53">
        <f>IFERROR(VLOOKUP(B1473,'Pre-Summary'!$BG$6:$BM$44,7,FALSE),R1474)</f>
        <v>0.10131789275871156</v>
      </c>
      <c r="S1473" s="53">
        <f>IFERROR(VLOOKUP(B1473,'Pre-Summary'!$BG$6:$BM$44,6,FALSE),S1474)</f>
        <v>9.6637565908873055E-2</v>
      </c>
      <c r="T1473" s="45" t="str">
        <f>IFERROR(VLOOKUP(B1473,'Pre-Summary'!$Y$6:$AC$83, 3,FALSE),"")</f>
        <v/>
      </c>
      <c r="U1473" s="45" t="str">
        <f>IFERROR(VLOOKUP(B1473,'Pre-Summary'!$Y$6:$AC$83, 4,FALSE),"")</f>
        <v/>
      </c>
      <c r="V1473" t="str">
        <f>IFERROR(VLOOKUP(B1473,'Pre-Summary'!$Y$6:$AC$83, 5,FALSE),"")</f>
        <v/>
      </c>
      <c r="W1473" s="45" t="str">
        <f>IFERROR(VLOOKUP(B1473,'Pre-Summary'!$Y$6:$AD$83,6,FALSE),"")</f>
        <v/>
      </c>
      <c r="X1473" t="str">
        <f>IFERROR(VLOOKUP('Pre-Summary'!$DB$6:$DD$63,3,FALSE),"")</f>
        <v/>
      </c>
      <c r="Y1473" t="str">
        <f>IFERROR(VLOOKUP(B1473,'Pre-Summary'!$CR$6:$CT$36,3,FALSE),"")</f>
        <v/>
      </c>
      <c r="Z1473" s="45" t="str">
        <f>IFERROR(VLOOKUP(B1473,'Pre-Summary'!$BZ$6:$CB$63,2,FALSE),"")</f>
        <v/>
      </c>
      <c r="AA1473" s="45" t="str">
        <f>IFERROR(VLOOKUP(B1473,'Pre-Summary'!$CG$6:$CI$70,2,FALSE),"")</f>
        <v/>
      </c>
      <c r="AB1473" s="99">
        <f>IFERROR(VLOOKUP(B1473,'Pre-Summary'!$A$6:$P$178,9,FALSE),AB1474)</f>
        <v>0.35667806451764861</v>
      </c>
      <c r="AC1473" s="10">
        <f>IFERROR(VLOOKUP(Summary!B1473,'Pre-Summary'!$A$6:$P$184,5, FALSE)/100,AC1474)</f>
        <v>0.105124</v>
      </c>
      <c r="AD1473" s="10">
        <f>IFERROR(VLOOKUP(Summary!B1473,'Pre-Summary'!$A$6:$P$184,3, FALSE)/100,AD1474)</f>
        <v>0.894876</v>
      </c>
      <c r="AE1473" s="10">
        <f>IFERROR(VLOOKUP(Summary!B1473,'Pre-Summary'!$A$6:$P$184,7, FALSE)/100,AE1474)</f>
        <v>0</v>
      </c>
      <c r="AF1473" s="99">
        <f t="shared" si="67"/>
        <v>0.3191826396632953</v>
      </c>
      <c r="AG1473" s="99">
        <f t="shared" si="68"/>
        <v>0</v>
      </c>
      <c r="AH1473" s="10" t="str">
        <f>IFERROR(VLOOKUP(B1473,'Pre-Summary'!$AZ$6:$BE$65,3,FALSE),"")</f>
        <v/>
      </c>
      <c r="AI1473" s="10" t="str">
        <f>IFERROR(VLOOKUP(B1473,'Pre-Summary'!$AZ$6:$BE$65,5,FALSE),"")</f>
        <v/>
      </c>
      <c r="AJ1473" s="10" t="str">
        <f>IFERROR(VLOOKUP(B1473,'Pre-Summary'!$AZ$6:$BE$65,4,FALSE),"")</f>
        <v/>
      </c>
      <c r="AK1473" s="10" t="str">
        <f>IFERROR(VLOOKUP(B1473,'Pre-Summary'!$AZ$6:$BE$65,6,FALSE),"")</f>
        <v/>
      </c>
      <c r="AL1473" s="10" t="str">
        <f>IFERROR(VLOOKUP(B1473,'Pre-Summary'!$BG$6:$BL$44,3,FALSE),"")</f>
        <v/>
      </c>
      <c r="AM1473" s="10" t="str">
        <f>IFERROR(VLOOKUP(B1473,'Pre-Summary'!$BG$6:$BL$44,4,FALSE),"")</f>
        <v/>
      </c>
    </row>
    <row r="1474" spans="2:39" ht="15" customHeight="1" x14ac:dyDescent="0.3">
      <c r="B1474">
        <v>147.1</v>
      </c>
      <c r="C1474" t="str">
        <f>IFERROR(VLOOKUP(B1474,'Pre-Summary'!$DI$6:$DM$23,4,FALSE),"")</f>
        <v/>
      </c>
      <c r="D1474" s="10" t="str">
        <f>IFERROR(VLOOKUP(B1474,'Pre-Summary'!$AT$6:$AX$14,5,FALSE),D1473)</f>
        <v>Wolfe v2: put in KILLER wolfe + EDTA + switch to HCl in trace elements</v>
      </c>
      <c r="E1474" s="10" t="str">
        <f>IFERROR(VLOOKUP(B1474,'Pre-Summary'!$AT$6:$AX$15,4,FALSE),"")</f>
        <v/>
      </c>
      <c r="F1474">
        <f>IFERROR(VLOOKUP(B1474,'Pre-Summary'!$AL$6:$AQ$13,6,FALSE),F1473)</f>
        <v>5.3897368421052638E-2</v>
      </c>
      <c r="G1474" t="str">
        <f>IFERROR(VLOOKUP(B1474,'Pre-Summary'!$AE$6:$AJ$85,3,FALSE),"")</f>
        <v/>
      </c>
      <c r="H1474" t="str">
        <f>IFERROR(VLOOKUP(B1474,'Pre-Summary'!$AE$6:$AJ$85,4,FALSE),"")</f>
        <v/>
      </c>
      <c r="I1474" t="str">
        <f>IFERROR(VLOOKUP(B1474,'Pre-Summary'!$AE$6:$AJ$85,5,FALSE),"")</f>
        <v/>
      </c>
      <c r="J1474" s="45" t="str">
        <f>IFERROR(VLOOKUP(B1474,'Pre-Summary'!$AE$6:$AJ$85,6, FALSE),"")</f>
        <v/>
      </c>
      <c r="K1474" s="45" t="str">
        <f>IFERROR(VLOOKUP(B1474,'Pre-Summary'!$DE$6:$DG$61,3,FALSE),"")</f>
        <v/>
      </c>
      <c r="L1474" s="45" t="str">
        <f>IFERROR(VLOOKUP(B1474,'Pre-Summary'!$CU$6:$CW$36,3,FALSE),"")</f>
        <v/>
      </c>
      <c r="M1474" s="45" t="str">
        <f>IFERROR(VLOOKUP(B1474,'Pre-Summary'!$BW$6:$BY$58,2,FALSE),"")</f>
        <v/>
      </c>
      <c r="N1474" s="45" t="str">
        <f>IFERROR(VLOOKUP(B1474,'Pre-Summary'!$CD$6:$CF$64,2,FALSE),"")</f>
        <v/>
      </c>
      <c r="O1474" s="99">
        <f>IFERROR(VLOOKUP(B1474,'Pre-Summary'!$BO$6:$BQ$48,3, FALSE),O1473)</f>
        <v>0.6</v>
      </c>
      <c r="P1474" s="99">
        <f>IFERROR(VLOOKUP(B1474,'Pre-Summary'!$BS$6:$BU$35,3,FALSE),P1473)</f>
        <v>0.3</v>
      </c>
      <c r="Q1474" s="54">
        <f t="shared" si="66"/>
        <v>2</v>
      </c>
      <c r="R1474" s="53">
        <f>IFERROR(VLOOKUP(B1474,'Pre-Summary'!$BG$6:$BM$44,7,FALSE),R1475)</f>
        <v>0.10131789275871156</v>
      </c>
      <c r="S1474" s="53">
        <f>IFERROR(VLOOKUP(B1474,'Pre-Summary'!$BG$6:$BM$44,6,FALSE),S1475)</f>
        <v>9.6637565908873055E-2</v>
      </c>
      <c r="T1474" s="45" t="str">
        <f>IFERROR(VLOOKUP(B1474,'Pre-Summary'!$Y$6:$AC$83, 3,FALSE),"")</f>
        <v/>
      </c>
      <c r="U1474" s="45" t="str">
        <f>IFERROR(VLOOKUP(B1474,'Pre-Summary'!$Y$6:$AC$83, 4,FALSE),"")</f>
        <v/>
      </c>
      <c r="V1474" t="str">
        <f>IFERROR(VLOOKUP(B1474,'Pre-Summary'!$Y$6:$AC$83, 5,FALSE),"")</f>
        <v/>
      </c>
      <c r="W1474" s="45" t="str">
        <f>IFERROR(VLOOKUP(B1474,'Pre-Summary'!$Y$6:$AD$83,6,FALSE),"")</f>
        <v/>
      </c>
      <c r="X1474" t="str">
        <f>IFERROR(VLOOKUP('Pre-Summary'!$DB$6:$DD$63,3,FALSE),"")</f>
        <v/>
      </c>
      <c r="Y1474" t="str">
        <f>IFERROR(VLOOKUP(B1474,'Pre-Summary'!$CR$6:$CT$36,3,FALSE),"")</f>
        <v/>
      </c>
      <c r="Z1474" s="45" t="str">
        <f>IFERROR(VLOOKUP(B1474,'Pre-Summary'!$BZ$6:$CB$63,2,FALSE),"")</f>
        <v/>
      </c>
      <c r="AA1474" s="45" t="str">
        <f>IFERROR(VLOOKUP(B1474,'Pre-Summary'!$CG$6:$CI$70,2,FALSE),"")</f>
        <v/>
      </c>
      <c r="AB1474" s="99">
        <f>IFERROR(VLOOKUP(B1474,'Pre-Summary'!$A$6:$P$178,9,FALSE),AB1475)</f>
        <v>0.35667806451764861</v>
      </c>
      <c r="AC1474" s="10">
        <f>IFERROR(VLOOKUP(Summary!B1474,'Pre-Summary'!$A$6:$P$184,5, FALSE)/100,AC1475)</f>
        <v>0.105124</v>
      </c>
      <c r="AD1474" s="10">
        <f>IFERROR(VLOOKUP(Summary!B1474,'Pre-Summary'!$A$6:$P$184,3, FALSE)/100,AD1475)</f>
        <v>0.894876</v>
      </c>
      <c r="AE1474" s="10">
        <f>IFERROR(VLOOKUP(Summary!B1474,'Pre-Summary'!$A$6:$P$184,7, FALSE)/100,AE1475)</f>
        <v>0</v>
      </c>
      <c r="AF1474" s="99">
        <f t="shared" si="67"/>
        <v>0.3191826396632953</v>
      </c>
      <c r="AG1474" s="99">
        <f t="shared" si="68"/>
        <v>0</v>
      </c>
      <c r="AH1474" s="10" t="str">
        <f>IFERROR(VLOOKUP(B1474,'Pre-Summary'!$AZ$6:$BE$65,3,FALSE),"")</f>
        <v/>
      </c>
      <c r="AI1474" s="10" t="str">
        <f>IFERROR(VLOOKUP(B1474,'Pre-Summary'!$AZ$6:$BE$65,5,FALSE),"")</f>
        <v/>
      </c>
      <c r="AJ1474" s="10" t="str">
        <f>IFERROR(VLOOKUP(B1474,'Pre-Summary'!$AZ$6:$BE$65,4,FALSE),"")</f>
        <v/>
      </c>
      <c r="AK1474" s="10" t="str">
        <f>IFERROR(VLOOKUP(B1474,'Pre-Summary'!$AZ$6:$BE$65,6,FALSE),"")</f>
        <v/>
      </c>
      <c r="AL1474" s="10" t="str">
        <f>IFERROR(VLOOKUP(B1474,'Pre-Summary'!$BG$6:$BL$44,3,FALSE),"")</f>
        <v/>
      </c>
      <c r="AM1474" s="10" t="str">
        <f>IFERROR(VLOOKUP(B1474,'Pre-Summary'!$BG$6:$BL$44,4,FALSE),"")</f>
        <v/>
      </c>
    </row>
    <row r="1475" spans="2:39" ht="15" customHeight="1" x14ac:dyDescent="0.3">
      <c r="B1475">
        <v>147.19999999999999</v>
      </c>
      <c r="C1475" t="str">
        <f>IFERROR(VLOOKUP(B1475,'Pre-Summary'!$DI$6:$DM$23,4,FALSE),"")</f>
        <v/>
      </c>
      <c r="D1475" s="10" t="str">
        <f>IFERROR(VLOOKUP(B1475,'Pre-Summary'!$AT$6:$AX$14,5,FALSE),D1474)</f>
        <v>Wolfe v2: put in KILLER wolfe + EDTA + switch to HCl in trace elements</v>
      </c>
      <c r="E1475" s="10" t="str">
        <f>IFERROR(VLOOKUP(B1475,'Pre-Summary'!$AT$6:$AX$15,4,FALSE),"")</f>
        <v/>
      </c>
      <c r="F1475">
        <f>IFERROR(VLOOKUP(B1475,'Pre-Summary'!$AL$6:$AQ$13,6,FALSE),F1474)</f>
        <v>5.3897368421052638E-2</v>
      </c>
      <c r="G1475" t="str">
        <f>IFERROR(VLOOKUP(B1475,'Pre-Summary'!$AE$6:$AJ$85,3,FALSE),"")</f>
        <v/>
      </c>
      <c r="H1475" t="str">
        <f>IFERROR(VLOOKUP(B1475,'Pre-Summary'!$AE$6:$AJ$85,4,FALSE),"")</f>
        <v/>
      </c>
      <c r="I1475" t="str">
        <f>IFERROR(VLOOKUP(B1475,'Pre-Summary'!$AE$6:$AJ$85,5,FALSE),"")</f>
        <v/>
      </c>
      <c r="J1475" s="45" t="str">
        <f>IFERROR(VLOOKUP(B1475,'Pre-Summary'!$AE$6:$AJ$85,6, FALSE),"")</f>
        <v/>
      </c>
      <c r="K1475" s="45" t="str">
        <f>IFERROR(VLOOKUP(B1475,'Pre-Summary'!$DE$6:$DG$61,3,FALSE),"")</f>
        <v/>
      </c>
      <c r="L1475" s="45" t="str">
        <f>IFERROR(VLOOKUP(B1475,'Pre-Summary'!$CU$6:$CW$36,3,FALSE),"")</f>
        <v/>
      </c>
      <c r="M1475" s="45" t="str">
        <f>IFERROR(VLOOKUP(B1475,'Pre-Summary'!$BW$6:$BY$58,2,FALSE),"")</f>
        <v/>
      </c>
      <c r="N1475" s="45" t="str">
        <f>IFERROR(VLOOKUP(B1475,'Pre-Summary'!$CD$6:$CF$64,2,FALSE),"")</f>
        <v/>
      </c>
      <c r="O1475" s="99">
        <f>IFERROR(VLOOKUP(B1475,'Pre-Summary'!$BO$6:$BQ$48,3, FALSE),O1474)</f>
        <v>0.6</v>
      </c>
      <c r="P1475" s="99">
        <f>IFERROR(VLOOKUP(B1475,'Pre-Summary'!$BS$6:$BU$35,3,FALSE),P1474)</f>
        <v>0.3</v>
      </c>
      <c r="Q1475" s="54">
        <f t="shared" ref="Q1475:Q1538" si="69">O1475/P1475</f>
        <v>2</v>
      </c>
      <c r="R1475" s="53">
        <f>IFERROR(VLOOKUP(B1475,'Pre-Summary'!$BG$6:$BM$44,7,FALSE),R1476)</f>
        <v>0.10131789275871156</v>
      </c>
      <c r="S1475" s="53">
        <f>IFERROR(VLOOKUP(B1475,'Pre-Summary'!$BG$6:$BM$44,6,FALSE),S1476)</f>
        <v>9.6637565908873055E-2</v>
      </c>
      <c r="T1475" s="45" t="str">
        <f>IFERROR(VLOOKUP(B1475,'Pre-Summary'!$Y$6:$AC$83, 3,FALSE),"")</f>
        <v/>
      </c>
      <c r="U1475" s="45" t="str">
        <f>IFERROR(VLOOKUP(B1475,'Pre-Summary'!$Y$6:$AC$83, 4,FALSE),"")</f>
        <v/>
      </c>
      <c r="V1475" t="str">
        <f>IFERROR(VLOOKUP(B1475,'Pre-Summary'!$Y$6:$AC$83, 5,FALSE),"")</f>
        <v/>
      </c>
      <c r="W1475" s="45" t="str">
        <f>IFERROR(VLOOKUP(B1475,'Pre-Summary'!$Y$6:$AD$83,6,FALSE),"")</f>
        <v/>
      </c>
      <c r="X1475" t="str">
        <f>IFERROR(VLOOKUP('Pre-Summary'!$DB$6:$DD$63,3,FALSE),"")</f>
        <v/>
      </c>
      <c r="Y1475" t="str">
        <f>IFERROR(VLOOKUP(B1475,'Pre-Summary'!$CR$6:$CT$36,3,FALSE),"")</f>
        <v/>
      </c>
      <c r="Z1475" s="45" t="str">
        <f>IFERROR(VLOOKUP(B1475,'Pre-Summary'!$BZ$6:$CB$63,2,FALSE),"")</f>
        <v/>
      </c>
      <c r="AA1475" s="45" t="str">
        <f>IFERROR(VLOOKUP(B1475,'Pre-Summary'!$CG$6:$CI$70,2,FALSE),"")</f>
        <v/>
      </c>
      <c r="AB1475" s="99">
        <f>IFERROR(VLOOKUP(B1475,'Pre-Summary'!$A$6:$P$178,9,FALSE),AB1476)</f>
        <v>0.35667806451764861</v>
      </c>
      <c r="AC1475" s="10">
        <f>IFERROR(VLOOKUP(Summary!B1475,'Pre-Summary'!$A$6:$P$184,5, FALSE)/100,AC1476)</f>
        <v>0.105124</v>
      </c>
      <c r="AD1475" s="10">
        <f>IFERROR(VLOOKUP(Summary!B1475,'Pre-Summary'!$A$6:$P$184,3, FALSE)/100,AD1476)</f>
        <v>0.894876</v>
      </c>
      <c r="AE1475" s="10">
        <f>IFERROR(VLOOKUP(Summary!B1475,'Pre-Summary'!$A$6:$P$184,7, FALSE)/100,AE1476)</f>
        <v>0</v>
      </c>
      <c r="AF1475" s="99">
        <f t="shared" ref="AF1475:AF1538" si="70">AD1475*AB1475</f>
        <v>0.3191826396632953</v>
      </c>
      <c r="AG1475" s="99">
        <f t="shared" ref="AG1475:AG1538" si="71">AB1475*AE1475</f>
        <v>0</v>
      </c>
      <c r="AH1475" s="10" t="str">
        <f>IFERROR(VLOOKUP(B1475,'Pre-Summary'!$AZ$6:$BE$65,3,FALSE),"")</f>
        <v/>
      </c>
      <c r="AI1475" s="10" t="str">
        <f>IFERROR(VLOOKUP(B1475,'Pre-Summary'!$AZ$6:$BE$65,5,FALSE),"")</f>
        <v/>
      </c>
      <c r="AJ1475" s="10" t="str">
        <f>IFERROR(VLOOKUP(B1475,'Pre-Summary'!$AZ$6:$BE$65,4,FALSE),"")</f>
        <v/>
      </c>
      <c r="AK1475" s="10" t="str">
        <f>IFERROR(VLOOKUP(B1475,'Pre-Summary'!$AZ$6:$BE$65,6,FALSE),"")</f>
        <v/>
      </c>
      <c r="AL1475" s="10" t="str">
        <f>IFERROR(VLOOKUP(B1475,'Pre-Summary'!$BG$6:$BL$44,3,FALSE),"")</f>
        <v/>
      </c>
      <c r="AM1475" s="10" t="str">
        <f>IFERROR(VLOOKUP(B1475,'Pre-Summary'!$BG$6:$BL$44,4,FALSE),"")</f>
        <v/>
      </c>
    </row>
    <row r="1476" spans="2:39" ht="15" customHeight="1" x14ac:dyDescent="0.3">
      <c r="B1476">
        <v>147.30000000000001</v>
      </c>
      <c r="C1476" t="str">
        <f>IFERROR(VLOOKUP(B1476,'Pre-Summary'!$DI$6:$DM$23,4,FALSE),"")</f>
        <v/>
      </c>
      <c r="D1476" s="10" t="str">
        <f>IFERROR(VLOOKUP(B1476,'Pre-Summary'!$AT$6:$AX$14,5,FALSE),D1475)</f>
        <v>Wolfe v2: put in KILLER wolfe + EDTA + switch to HCl in trace elements</v>
      </c>
      <c r="E1476" s="10" t="str">
        <f>IFERROR(VLOOKUP(B1476,'Pre-Summary'!$AT$6:$AX$15,4,FALSE),"")</f>
        <v/>
      </c>
      <c r="F1476">
        <f>IFERROR(VLOOKUP(B1476,'Pre-Summary'!$AL$6:$AQ$13,6,FALSE),F1475)</f>
        <v>5.3897368421052638E-2</v>
      </c>
      <c r="G1476" t="str">
        <f>IFERROR(VLOOKUP(B1476,'Pre-Summary'!$AE$6:$AJ$85,3,FALSE),"")</f>
        <v/>
      </c>
      <c r="H1476" t="str">
        <f>IFERROR(VLOOKUP(B1476,'Pre-Summary'!$AE$6:$AJ$85,4,FALSE),"")</f>
        <v/>
      </c>
      <c r="I1476" t="str">
        <f>IFERROR(VLOOKUP(B1476,'Pre-Summary'!$AE$6:$AJ$85,5,FALSE),"")</f>
        <v/>
      </c>
      <c r="J1476" s="45" t="str">
        <f>IFERROR(VLOOKUP(B1476,'Pre-Summary'!$AE$6:$AJ$85,6, FALSE),"")</f>
        <v/>
      </c>
      <c r="K1476" s="45" t="str">
        <f>IFERROR(VLOOKUP(B1476,'Pre-Summary'!$DE$6:$DG$61,3,FALSE),"")</f>
        <v/>
      </c>
      <c r="L1476" s="45" t="str">
        <f>IFERROR(VLOOKUP(B1476,'Pre-Summary'!$CU$6:$CW$36,3,FALSE),"")</f>
        <v/>
      </c>
      <c r="M1476" s="45" t="str">
        <f>IFERROR(VLOOKUP(B1476,'Pre-Summary'!$BW$6:$BY$58,2,FALSE),"")</f>
        <v/>
      </c>
      <c r="N1476" s="45" t="str">
        <f>IFERROR(VLOOKUP(B1476,'Pre-Summary'!$CD$6:$CF$64,2,FALSE),"")</f>
        <v/>
      </c>
      <c r="O1476" s="99">
        <f>IFERROR(VLOOKUP(B1476,'Pre-Summary'!$BO$6:$BQ$48,3, FALSE),O1475)</f>
        <v>0.6</v>
      </c>
      <c r="P1476" s="99">
        <f>IFERROR(VLOOKUP(B1476,'Pre-Summary'!$BS$6:$BU$35,3,FALSE),P1475)</f>
        <v>0.3</v>
      </c>
      <c r="Q1476" s="54">
        <f t="shared" si="69"/>
        <v>2</v>
      </c>
      <c r="R1476" s="53">
        <f>IFERROR(VLOOKUP(B1476,'Pre-Summary'!$BG$6:$BM$44,7,FALSE),R1477)</f>
        <v>0.10131789275871156</v>
      </c>
      <c r="S1476" s="53">
        <f>IFERROR(VLOOKUP(B1476,'Pre-Summary'!$BG$6:$BM$44,6,FALSE),S1477)</f>
        <v>9.6637565908873055E-2</v>
      </c>
      <c r="T1476" s="45" t="str">
        <f>IFERROR(VLOOKUP(B1476,'Pre-Summary'!$Y$6:$AC$83, 3,FALSE),"")</f>
        <v/>
      </c>
      <c r="U1476" s="45" t="str">
        <f>IFERROR(VLOOKUP(B1476,'Pre-Summary'!$Y$6:$AC$83, 4,FALSE),"")</f>
        <v/>
      </c>
      <c r="V1476" t="str">
        <f>IFERROR(VLOOKUP(B1476,'Pre-Summary'!$Y$6:$AC$83, 5,FALSE),"")</f>
        <v/>
      </c>
      <c r="W1476" s="45" t="str">
        <f>IFERROR(VLOOKUP(B1476,'Pre-Summary'!$Y$6:$AD$83,6,FALSE),"")</f>
        <v/>
      </c>
      <c r="X1476" t="str">
        <f>IFERROR(VLOOKUP('Pre-Summary'!$DB$6:$DD$63,3,FALSE),"")</f>
        <v/>
      </c>
      <c r="Y1476" t="str">
        <f>IFERROR(VLOOKUP(B1476,'Pre-Summary'!$CR$6:$CT$36,3,FALSE),"")</f>
        <v/>
      </c>
      <c r="Z1476" s="45" t="str">
        <f>IFERROR(VLOOKUP(B1476,'Pre-Summary'!$BZ$6:$CB$63,2,FALSE),"")</f>
        <v/>
      </c>
      <c r="AA1476" s="45" t="str">
        <f>IFERROR(VLOOKUP(B1476,'Pre-Summary'!$CG$6:$CI$70,2,FALSE),"")</f>
        <v/>
      </c>
      <c r="AB1476" s="99">
        <f>IFERROR(VLOOKUP(B1476,'Pre-Summary'!$A$6:$P$178,9,FALSE),AB1477)</f>
        <v>0.35667806451764861</v>
      </c>
      <c r="AC1476" s="10">
        <f>IFERROR(VLOOKUP(Summary!B1476,'Pre-Summary'!$A$6:$P$184,5, FALSE)/100,AC1477)</f>
        <v>0.105124</v>
      </c>
      <c r="AD1476" s="10">
        <f>IFERROR(VLOOKUP(Summary!B1476,'Pre-Summary'!$A$6:$P$184,3, FALSE)/100,AD1477)</f>
        <v>0.894876</v>
      </c>
      <c r="AE1476" s="10">
        <f>IFERROR(VLOOKUP(Summary!B1476,'Pre-Summary'!$A$6:$P$184,7, FALSE)/100,AE1477)</f>
        <v>0</v>
      </c>
      <c r="AF1476" s="99">
        <f t="shared" si="70"/>
        <v>0.3191826396632953</v>
      </c>
      <c r="AG1476" s="99">
        <f t="shared" si="71"/>
        <v>0</v>
      </c>
      <c r="AH1476" s="10" t="str">
        <f>IFERROR(VLOOKUP(B1476,'Pre-Summary'!$AZ$6:$BE$65,3,FALSE),"")</f>
        <v/>
      </c>
      <c r="AI1476" s="10" t="str">
        <f>IFERROR(VLOOKUP(B1476,'Pre-Summary'!$AZ$6:$BE$65,5,FALSE),"")</f>
        <v/>
      </c>
      <c r="AJ1476" s="10" t="str">
        <f>IFERROR(VLOOKUP(B1476,'Pre-Summary'!$AZ$6:$BE$65,4,FALSE),"")</f>
        <v/>
      </c>
      <c r="AK1476" s="10" t="str">
        <f>IFERROR(VLOOKUP(B1476,'Pre-Summary'!$AZ$6:$BE$65,6,FALSE),"")</f>
        <v/>
      </c>
      <c r="AL1476" s="10" t="str">
        <f>IFERROR(VLOOKUP(B1476,'Pre-Summary'!$BG$6:$BL$44,3,FALSE),"")</f>
        <v/>
      </c>
      <c r="AM1476" s="10" t="str">
        <f>IFERROR(VLOOKUP(B1476,'Pre-Summary'!$BG$6:$BL$44,4,FALSE),"")</f>
        <v/>
      </c>
    </row>
    <row r="1477" spans="2:39" ht="15" customHeight="1" x14ac:dyDescent="0.3">
      <c r="B1477">
        <v>147.4</v>
      </c>
      <c r="C1477" t="str">
        <f>IFERROR(VLOOKUP(B1477,'Pre-Summary'!$DI$6:$DM$23,4,FALSE),"")</f>
        <v/>
      </c>
      <c r="D1477" s="10" t="str">
        <f>IFERROR(VLOOKUP(B1477,'Pre-Summary'!$AT$6:$AX$14,5,FALSE),D1476)</f>
        <v>Wolfe v2: put in KILLER wolfe + EDTA + switch to HCl in trace elements</v>
      </c>
      <c r="E1477" s="10" t="str">
        <f>IFERROR(VLOOKUP(B1477,'Pre-Summary'!$AT$6:$AX$15,4,FALSE),"")</f>
        <v/>
      </c>
      <c r="F1477">
        <f>IFERROR(VLOOKUP(B1477,'Pre-Summary'!$AL$6:$AQ$13,6,FALSE),F1476)</f>
        <v>5.3897368421052638E-2</v>
      </c>
      <c r="G1477" t="str">
        <f>IFERROR(VLOOKUP(B1477,'Pre-Summary'!$AE$6:$AJ$85,3,FALSE),"")</f>
        <v/>
      </c>
      <c r="H1477" t="str">
        <f>IFERROR(VLOOKUP(B1477,'Pre-Summary'!$AE$6:$AJ$85,4,FALSE),"")</f>
        <v/>
      </c>
      <c r="I1477" t="str">
        <f>IFERROR(VLOOKUP(B1477,'Pre-Summary'!$AE$6:$AJ$85,5,FALSE),"")</f>
        <v/>
      </c>
      <c r="J1477" s="45" t="str">
        <f>IFERROR(VLOOKUP(B1477,'Pre-Summary'!$AE$6:$AJ$85,6, FALSE),"")</f>
        <v/>
      </c>
      <c r="K1477" s="45" t="str">
        <f>IFERROR(VLOOKUP(B1477,'Pre-Summary'!$DE$6:$DG$61,3,FALSE),"")</f>
        <v/>
      </c>
      <c r="L1477" s="45" t="str">
        <f>IFERROR(VLOOKUP(B1477,'Pre-Summary'!$CU$6:$CW$36,3,FALSE),"")</f>
        <v/>
      </c>
      <c r="M1477" s="45" t="str">
        <f>IFERROR(VLOOKUP(B1477,'Pre-Summary'!$BW$6:$BY$58,2,FALSE),"")</f>
        <v/>
      </c>
      <c r="N1477" s="45" t="str">
        <f>IFERROR(VLOOKUP(B1477,'Pre-Summary'!$CD$6:$CF$64,2,FALSE),"")</f>
        <v/>
      </c>
      <c r="O1477" s="99">
        <f>IFERROR(VLOOKUP(B1477,'Pre-Summary'!$BO$6:$BQ$48,3, FALSE),O1476)</f>
        <v>0.6</v>
      </c>
      <c r="P1477" s="99">
        <f>IFERROR(VLOOKUP(B1477,'Pre-Summary'!$BS$6:$BU$35,3,FALSE),P1476)</f>
        <v>0.3</v>
      </c>
      <c r="Q1477" s="54">
        <f t="shared" si="69"/>
        <v>2</v>
      </c>
      <c r="R1477" s="53">
        <f>IFERROR(VLOOKUP(B1477,'Pre-Summary'!$BG$6:$BM$44,7,FALSE),R1478)</f>
        <v>0.10131789275871156</v>
      </c>
      <c r="S1477" s="53">
        <f>IFERROR(VLOOKUP(B1477,'Pre-Summary'!$BG$6:$BM$44,6,FALSE),S1478)</f>
        <v>9.6637565908873055E-2</v>
      </c>
      <c r="T1477" s="45" t="str">
        <f>IFERROR(VLOOKUP(B1477,'Pre-Summary'!$Y$6:$AC$83, 3,FALSE),"")</f>
        <v/>
      </c>
      <c r="U1477" s="45" t="str">
        <f>IFERROR(VLOOKUP(B1477,'Pre-Summary'!$Y$6:$AC$83, 4,FALSE),"")</f>
        <v/>
      </c>
      <c r="V1477" t="str">
        <f>IFERROR(VLOOKUP(B1477,'Pre-Summary'!$Y$6:$AC$83, 5,FALSE),"")</f>
        <v/>
      </c>
      <c r="W1477" s="45" t="str">
        <f>IFERROR(VLOOKUP(B1477,'Pre-Summary'!$Y$6:$AD$83,6,FALSE),"")</f>
        <v/>
      </c>
      <c r="X1477" t="str">
        <f>IFERROR(VLOOKUP('Pre-Summary'!$DB$6:$DD$63,3,FALSE),"")</f>
        <v/>
      </c>
      <c r="Y1477" t="str">
        <f>IFERROR(VLOOKUP(B1477,'Pre-Summary'!$CR$6:$CT$36,3,FALSE),"")</f>
        <v/>
      </c>
      <c r="Z1477" s="45" t="str">
        <f>IFERROR(VLOOKUP(B1477,'Pre-Summary'!$BZ$6:$CB$63,2,FALSE),"")</f>
        <v/>
      </c>
      <c r="AA1477" s="45" t="str">
        <f>IFERROR(VLOOKUP(B1477,'Pre-Summary'!$CG$6:$CI$70,2,FALSE),"")</f>
        <v/>
      </c>
      <c r="AB1477" s="99">
        <f>IFERROR(VLOOKUP(B1477,'Pre-Summary'!$A$6:$P$178,9,FALSE),AB1478)</f>
        <v>0.35667806451764861</v>
      </c>
      <c r="AC1477" s="10">
        <f>IFERROR(VLOOKUP(Summary!B1477,'Pre-Summary'!$A$6:$P$184,5, FALSE)/100,AC1478)</f>
        <v>0.105124</v>
      </c>
      <c r="AD1477" s="10">
        <f>IFERROR(VLOOKUP(Summary!B1477,'Pre-Summary'!$A$6:$P$184,3, FALSE)/100,AD1478)</f>
        <v>0.894876</v>
      </c>
      <c r="AE1477" s="10">
        <f>IFERROR(VLOOKUP(Summary!B1477,'Pre-Summary'!$A$6:$P$184,7, FALSE)/100,AE1478)</f>
        <v>0</v>
      </c>
      <c r="AF1477" s="99">
        <f t="shared" si="70"/>
        <v>0.3191826396632953</v>
      </c>
      <c r="AG1477" s="99">
        <f t="shared" si="71"/>
        <v>0</v>
      </c>
      <c r="AH1477" s="10" t="str">
        <f>IFERROR(VLOOKUP(B1477,'Pre-Summary'!$AZ$6:$BE$65,3,FALSE),"")</f>
        <v/>
      </c>
      <c r="AI1477" s="10" t="str">
        <f>IFERROR(VLOOKUP(B1477,'Pre-Summary'!$AZ$6:$BE$65,5,FALSE),"")</f>
        <v/>
      </c>
      <c r="AJ1477" s="10" t="str">
        <f>IFERROR(VLOOKUP(B1477,'Pre-Summary'!$AZ$6:$BE$65,4,FALSE),"")</f>
        <v/>
      </c>
      <c r="AK1477" s="10" t="str">
        <f>IFERROR(VLOOKUP(B1477,'Pre-Summary'!$AZ$6:$BE$65,6,FALSE),"")</f>
        <v/>
      </c>
      <c r="AL1477" s="10" t="str">
        <f>IFERROR(VLOOKUP(B1477,'Pre-Summary'!$BG$6:$BL$44,3,FALSE),"")</f>
        <v/>
      </c>
      <c r="AM1477" s="10" t="str">
        <f>IFERROR(VLOOKUP(B1477,'Pre-Summary'!$BG$6:$BL$44,4,FALSE),"")</f>
        <v/>
      </c>
    </row>
    <row r="1478" spans="2:39" ht="15" customHeight="1" x14ac:dyDescent="0.3">
      <c r="B1478">
        <v>147.5</v>
      </c>
      <c r="C1478" t="str">
        <f>IFERROR(VLOOKUP(B1478,'Pre-Summary'!$DI$6:$DM$23,4,FALSE),"")</f>
        <v/>
      </c>
      <c r="D1478" s="10" t="str">
        <f>IFERROR(VLOOKUP(B1478,'Pre-Summary'!$AT$6:$AX$14,5,FALSE),D1477)</f>
        <v>Wolfe v2: put in KILLER wolfe + EDTA + switch to HCl in trace elements</v>
      </c>
      <c r="E1478" s="10" t="str">
        <f>IFERROR(VLOOKUP(B1478,'Pre-Summary'!$AT$6:$AX$15,4,FALSE),"")</f>
        <v/>
      </c>
      <c r="F1478">
        <f>IFERROR(VLOOKUP(B1478,'Pre-Summary'!$AL$6:$AQ$13,6,FALSE),F1477)</f>
        <v>5.3897368421052638E-2</v>
      </c>
      <c r="G1478" t="str">
        <f>IFERROR(VLOOKUP(B1478,'Pre-Summary'!$AE$6:$AJ$85,3,FALSE),"")</f>
        <v/>
      </c>
      <c r="H1478" t="str">
        <f>IFERROR(VLOOKUP(B1478,'Pre-Summary'!$AE$6:$AJ$85,4,FALSE),"")</f>
        <v/>
      </c>
      <c r="I1478" t="str">
        <f>IFERROR(VLOOKUP(B1478,'Pre-Summary'!$AE$6:$AJ$85,5,FALSE),"")</f>
        <v/>
      </c>
      <c r="J1478" s="45" t="str">
        <f>IFERROR(VLOOKUP(B1478,'Pre-Summary'!$AE$6:$AJ$85,6, FALSE),"")</f>
        <v/>
      </c>
      <c r="K1478" s="45" t="str">
        <f>IFERROR(VLOOKUP(B1478,'Pre-Summary'!$DE$6:$DG$61,3,FALSE),"")</f>
        <v/>
      </c>
      <c r="L1478" s="45" t="str">
        <f>IFERROR(VLOOKUP(B1478,'Pre-Summary'!$CU$6:$CW$36,3,FALSE),"")</f>
        <v/>
      </c>
      <c r="M1478" s="45" t="str">
        <f>IFERROR(VLOOKUP(B1478,'Pre-Summary'!$BW$6:$BY$58,2,FALSE),"")</f>
        <v/>
      </c>
      <c r="N1478" s="45" t="str">
        <f>IFERROR(VLOOKUP(B1478,'Pre-Summary'!$CD$6:$CF$64,2,FALSE),"")</f>
        <v/>
      </c>
      <c r="O1478" s="99">
        <f>IFERROR(VLOOKUP(B1478,'Pre-Summary'!$BO$6:$BQ$48,3, FALSE),O1477)</f>
        <v>0.6</v>
      </c>
      <c r="P1478" s="99">
        <f>IFERROR(VLOOKUP(B1478,'Pre-Summary'!$BS$6:$BU$35,3,FALSE),P1477)</f>
        <v>0.3</v>
      </c>
      <c r="Q1478" s="54">
        <f t="shared" si="69"/>
        <v>2</v>
      </c>
      <c r="R1478" s="53">
        <f>IFERROR(VLOOKUP(B1478,'Pre-Summary'!$BG$6:$BM$44,7,FALSE),R1479)</f>
        <v>0.10131789275871156</v>
      </c>
      <c r="S1478" s="53">
        <f>IFERROR(VLOOKUP(B1478,'Pre-Summary'!$BG$6:$BM$44,6,FALSE),S1479)</f>
        <v>9.6637565908873055E-2</v>
      </c>
      <c r="T1478" s="45" t="str">
        <f>IFERROR(VLOOKUP(B1478,'Pre-Summary'!$Y$6:$AC$83, 3,FALSE),"")</f>
        <v/>
      </c>
      <c r="U1478" s="45" t="str">
        <f>IFERROR(VLOOKUP(B1478,'Pre-Summary'!$Y$6:$AC$83, 4,FALSE),"")</f>
        <v/>
      </c>
      <c r="V1478" t="str">
        <f>IFERROR(VLOOKUP(B1478,'Pre-Summary'!$Y$6:$AC$83, 5,FALSE),"")</f>
        <v/>
      </c>
      <c r="W1478" s="45" t="str">
        <f>IFERROR(VLOOKUP(B1478,'Pre-Summary'!$Y$6:$AD$83,6,FALSE),"")</f>
        <v/>
      </c>
      <c r="X1478" t="str">
        <f>IFERROR(VLOOKUP('Pre-Summary'!$DB$6:$DD$63,3,FALSE),"")</f>
        <v/>
      </c>
      <c r="Y1478" t="str">
        <f>IFERROR(VLOOKUP(B1478,'Pre-Summary'!$CR$6:$CT$36,3,FALSE),"")</f>
        <v/>
      </c>
      <c r="Z1478" s="45" t="str">
        <f>IFERROR(VLOOKUP(B1478,'Pre-Summary'!$BZ$6:$CB$63,2,FALSE),"")</f>
        <v/>
      </c>
      <c r="AA1478" s="45" t="str">
        <f>IFERROR(VLOOKUP(B1478,'Pre-Summary'!$CG$6:$CI$70,2,FALSE),"")</f>
        <v/>
      </c>
      <c r="AB1478" s="99">
        <f>IFERROR(VLOOKUP(B1478,'Pre-Summary'!$A$6:$P$178,9,FALSE),AB1479)</f>
        <v>0.35667806451764861</v>
      </c>
      <c r="AC1478" s="10">
        <f>IFERROR(VLOOKUP(Summary!B1478,'Pre-Summary'!$A$6:$P$184,5, FALSE)/100,AC1479)</f>
        <v>0.105124</v>
      </c>
      <c r="AD1478" s="10">
        <f>IFERROR(VLOOKUP(Summary!B1478,'Pre-Summary'!$A$6:$P$184,3, FALSE)/100,AD1479)</f>
        <v>0.894876</v>
      </c>
      <c r="AE1478" s="10">
        <f>IFERROR(VLOOKUP(Summary!B1478,'Pre-Summary'!$A$6:$P$184,7, FALSE)/100,AE1479)</f>
        <v>0</v>
      </c>
      <c r="AF1478" s="99">
        <f t="shared" si="70"/>
        <v>0.3191826396632953</v>
      </c>
      <c r="AG1478" s="99">
        <f t="shared" si="71"/>
        <v>0</v>
      </c>
      <c r="AH1478" s="10" t="str">
        <f>IFERROR(VLOOKUP(B1478,'Pre-Summary'!$AZ$6:$BE$65,3,FALSE),"")</f>
        <v/>
      </c>
      <c r="AI1478" s="10" t="str">
        <f>IFERROR(VLOOKUP(B1478,'Pre-Summary'!$AZ$6:$BE$65,5,FALSE),"")</f>
        <v/>
      </c>
      <c r="AJ1478" s="10" t="str">
        <f>IFERROR(VLOOKUP(B1478,'Pre-Summary'!$AZ$6:$BE$65,4,FALSE),"")</f>
        <v/>
      </c>
      <c r="AK1478" s="10" t="str">
        <f>IFERROR(VLOOKUP(B1478,'Pre-Summary'!$AZ$6:$BE$65,6,FALSE),"")</f>
        <v/>
      </c>
      <c r="AL1478" s="10" t="str">
        <f>IFERROR(VLOOKUP(B1478,'Pre-Summary'!$BG$6:$BL$44,3,FALSE),"")</f>
        <v/>
      </c>
      <c r="AM1478" s="10" t="str">
        <f>IFERROR(VLOOKUP(B1478,'Pre-Summary'!$BG$6:$BL$44,4,FALSE),"")</f>
        <v/>
      </c>
    </row>
    <row r="1479" spans="2:39" ht="15" customHeight="1" x14ac:dyDescent="0.3">
      <c r="B1479">
        <v>147.6</v>
      </c>
      <c r="C1479" t="str">
        <f>IFERROR(VLOOKUP(B1479,'Pre-Summary'!$DI$6:$DM$23,4,FALSE),"")</f>
        <v/>
      </c>
      <c r="D1479" s="10" t="str">
        <f>IFERROR(VLOOKUP(B1479,'Pre-Summary'!$AT$6:$AX$14,5,FALSE),D1478)</f>
        <v>Wolfe v2: put in KILLER wolfe + EDTA + switch to HCl in trace elements</v>
      </c>
      <c r="E1479" s="10" t="str">
        <f>IFERROR(VLOOKUP(B1479,'Pre-Summary'!$AT$6:$AX$15,4,FALSE),"")</f>
        <v/>
      </c>
      <c r="F1479">
        <f>IFERROR(VLOOKUP(B1479,'Pre-Summary'!$AL$6:$AQ$13,6,FALSE),F1478)</f>
        <v>5.3897368421052638E-2</v>
      </c>
      <c r="G1479" t="str">
        <f>IFERROR(VLOOKUP(B1479,'Pre-Summary'!$AE$6:$AJ$85,3,FALSE),"")</f>
        <v/>
      </c>
      <c r="H1479" t="str">
        <f>IFERROR(VLOOKUP(B1479,'Pre-Summary'!$AE$6:$AJ$85,4,FALSE),"")</f>
        <v/>
      </c>
      <c r="I1479" t="str">
        <f>IFERROR(VLOOKUP(B1479,'Pre-Summary'!$AE$6:$AJ$85,5,FALSE),"")</f>
        <v/>
      </c>
      <c r="J1479" s="45" t="str">
        <f>IFERROR(VLOOKUP(B1479,'Pre-Summary'!$AE$6:$AJ$85,6, FALSE),"")</f>
        <v/>
      </c>
      <c r="K1479" s="45" t="str">
        <f>IFERROR(VLOOKUP(B1479,'Pre-Summary'!$DE$6:$DG$61,3,FALSE),"")</f>
        <v/>
      </c>
      <c r="L1479" s="45" t="str">
        <f>IFERROR(VLOOKUP(B1479,'Pre-Summary'!$CU$6:$CW$36,3,FALSE),"")</f>
        <v/>
      </c>
      <c r="M1479" s="45" t="str">
        <f>IFERROR(VLOOKUP(B1479,'Pre-Summary'!$BW$6:$BY$58,2,FALSE),"")</f>
        <v/>
      </c>
      <c r="N1479" s="45" t="str">
        <f>IFERROR(VLOOKUP(B1479,'Pre-Summary'!$CD$6:$CF$64,2,FALSE),"")</f>
        <v/>
      </c>
      <c r="O1479" s="99">
        <f>IFERROR(VLOOKUP(B1479,'Pre-Summary'!$BO$6:$BQ$48,3, FALSE),O1478)</f>
        <v>0.6</v>
      </c>
      <c r="P1479" s="99">
        <f>IFERROR(VLOOKUP(B1479,'Pre-Summary'!$BS$6:$BU$35,3,FALSE),P1478)</f>
        <v>0.3</v>
      </c>
      <c r="Q1479" s="54">
        <f t="shared" si="69"/>
        <v>2</v>
      </c>
      <c r="R1479" s="53">
        <f>IFERROR(VLOOKUP(B1479,'Pre-Summary'!$BG$6:$BM$44,7,FALSE),R1480)</f>
        <v>0.10131789275871156</v>
      </c>
      <c r="S1479" s="53">
        <f>IFERROR(VLOOKUP(B1479,'Pre-Summary'!$BG$6:$BM$44,6,FALSE),S1480)</f>
        <v>9.6637565908873055E-2</v>
      </c>
      <c r="T1479" s="45" t="str">
        <f>IFERROR(VLOOKUP(B1479,'Pre-Summary'!$Y$6:$AC$83, 3,FALSE),"")</f>
        <v/>
      </c>
      <c r="U1479" s="45" t="str">
        <f>IFERROR(VLOOKUP(B1479,'Pre-Summary'!$Y$6:$AC$83, 4,FALSE),"")</f>
        <v/>
      </c>
      <c r="V1479" t="str">
        <f>IFERROR(VLOOKUP(B1479,'Pre-Summary'!$Y$6:$AC$83, 5,FALSE),"")</f>
        <v/>
      </c>
      <c r="W1479" s="45" t="str">
        <f>IFERROR(VLOOKUP(B1479,'Pre-Summary'!$Y$6:$AD$83,6,FALSE),"")</f>
        <v/>
      </c>
      <c r="X1479" t="str">
        <f>IFERROR(VLOOKUP('Pre-Summary'!$DB$6:$DD$63,3,FALSE),"")</f>
        <v/>
      </c>
      <c r="Y1479" t="str">
        <f>IFERROR(VLOOKUP(B1479,'Pre-Summary'!$CR$6:$CT$36,3,FALSE),"")</f>
        <v/>
      </c>
      <c r="Z1479" s="45" t="str">
        <f>IFERROR(VLOOKUP(B1479,'Pre-Summary'!$BZ$6:$CB$63,2,FALSE),"")</f>
        <v/>
      </c>
      <c r="AA1479" s="45" t="str">
        <f>IFERROR(VLOOKUP(B1479,'Pre-Summary'!$CG$6:$CI$70,2,FALSE),"")</f>
        <v/>
      </c>
      <c r="AB1479" s="99">
        <f>IFERROR(VLOOKUP(B1479,'Pre-Summary'!$A$6:$P$178,9,FALSE),AB1480)</f>
        <v>0.35667806451764861</v>
      </c>
      <c r="AC1479" s="10">
        <f>IFERROR(VLOOKUP(Summary!B1479,'Pre-Summary'!$A$6:$P$184,5, FALSE)/100,AC1480)</f>
        <v>0.105124</v>
      </c>
      <c r="AD1479" s="10">
        <f>IFERROR(VLOOKUP(Summary!B1479,'Pre-Summary'!$A$6:$P$184,3, FALSE)/100,AD1480)</f>
        <v>0.894876</v>
      </c>
      <c r="AE1479" s="10">
        <f>IFERROR(VLOOKUP(Summary!B1479,'Pre-Summary'!$A$6:$P$184,7, FALSE)/100,AE1480)</f>
        <v>0</v>
      </c>
      <c r="AF1479" s="99">
        <f t="shared" si="70"/>
        <v>0.3191826396632953</v>
      </c>
      <c r="AG1479" s="99">
        <f t="shared" si="71"/>
        <v>0</v>
      </c>
      <c r="AH1479" s="10" t="str">
        <f>IFERROR(VLOOKUP(B1479,'Pre-Summary'!$AZ$6:$BE$65,3,FALSE),"")</f>
        <v/>
      </c>
      <c r="AI1479" s="10" t="str">
        <f>IFERROR(VLOOKUP(B1479,'Pre-Summary'!$AZ$6:$BE$65,5,FALSE),"")</f>
        <v/>
      </c>
      <c r="AJ1479" s="10" t="str">
        <f>IFERROR(VLOOKUP(B1479,'Pre-Summary'!$AZ$6:$BE$65,4,FALSE),"")</f>
        <v/>
      </c>
      <c r="AK1479" s="10" t="str">
        <f>IFERROR(VLOOKUP(B1479,'Pre-Summary'!$AZ$6:$BE$65,6,FALSE),"")</f>
        <v/>
      </c>
      <c r="AL1479" s="10" t="str">
        <f>IFERROR(VLOOKUP(B1479,'Pre-Summary'!$BG$6:$BL$44,3,FALSE),"")</f>
        <v/>
      </c>
      <c r="AM1479" s="10" t="str">
        <f>IFERROR(VLOOKUP(B1479,'Pre-Summary'!$BG$6:$BL$44,4,FALSE),"")</f>
        <v/>
      </c>
    </row>
    <row r="1480" spans="2:39" ht="15" customHeight="1" x14ac:dyDescent="0.3">
      <c r="B1480">
        <v>147.69999999999999</v>
      </c>
      <c r="C1480" t="str">
        <f>IFERROR(VLOOKUP(B1480,'Pre-Summary'!$DI$6:$DM$23,4,FALSE),"")</f>
        <v/>
      </c>
      <c r="D1480" s="10" t="str">
        <f>IFERROR(VLOOKUP(B1480,'Pre-Summary'!$AT$6:$AX$14,5,FALSE),D1479)</f>
        <v>Wolfe v2: put in KILLER wolfe + EDTA + switch to HCl in trace elements</v>
      </c>
      <c r="E1480" s="10" t="str">
        <f>IFERROR(VLOOKUP(B1480,'Pre-Summary'!$AT$6:$AX$15,4,FALSE),"")</f>
        <v/>
      </c>
      <c r="F1480">
        <f>IFERROR(VLOOKUP(B1480,'Pre-Summary'!$AL$6:$AQ$13,6,FALSE),F1479)</f>
        <v>5.3897368421052638E-2</v>
      </c>
      <c r="G1480" t="str">
        <f>IFERROR(VLOOKUP(B1480,'Pre-Summary'!$AE$6:$AJ$85,3,FALSE),"")</f>
        <v/>
      </c>
      <c r="H1480" t="str">
        <f>IFERROR(VLOOKUP(B1480,'Pre-Summary'!$AE$6:$AJ$85,4,FALSE),"")</f>
        <v/>
      </c>
      <c r="I1480" t="str">
        <f>IFERROR(VLOOKUP(B1480,'Pre-Summary'!$AE$6:$AJ$85,5,FALSE),"")</f>
        <v/>
      </c>
      <c r="J1480" s="45" t="str">
        <f>IFERROR(VLOOKUP(B1480,'Pre-Summary'!$AE$6:$AJ$85,6, FALSE),"")</f>
        <v/>
      </c>
      <c r="K1480" s="45" t="str">
        <f>IFERROR(VLOOKUP(B1480,'Pre-Summary'!$DE$6:$DG$61,3,FALSE),"")</f>
        <v/>
      </c>
      <c r="L1480" s="45" t="str">
        <f>IFERROR(VLOOKUP(B1480,'Pre-Summary'!$CU$6:$CW$36,3,FALSE),"")</f>
        <v/>
      </c>
      <c r="M1480" s="45" t="str">
        <f>IFERROR(VLOOKUP(B1480,'Pre-Summary'!$BW$6:$BY$58,2,FALSE),"")</f>
        <v/>
      </c>
      <c r="N1480" s="45" t="str">
        <f>IFERROR(VLOOKUP(B1480,'Pre-Summary'!$CD$6:$CF$64,2,FALSE),"")</f>
        <v/>
      </c>
      <c r="O1480" s="99">
        <f>IFERROR(VLOOKUP(B1480,'Pre-Summary'!$BO$6:$BQ$48,3, FALSE),O1479)</f>
        <v>0.6</v>
      </c>
      <c r="P1480" s="99">
        <f>IFERROR(VLOOKUP(B1480,'Pre-Summary'!$BS$6:$BU$35,3,FALSE),P1479)</f>
        <v>0.3</v>
      </c>
      <c r="Q1480" s="54">
        <f t="shared" si="69"/>
        <v>2</v>
      </c>
      <c r="R1480" s="53">
        <f>IFERROR(VLOOKUP(B1480,'Pre-Summary'!$BG$6:$BM$44,7,FALSE),R1481)</f>
        <v>0.10131789275871156</v>
      </c>
      <c r="S1480" s="53">
        <f>IFERROR(VLOOKUP(B1480,'Pre-Summary'!$BG$6:$BM$44,6,FALSE),S1481)</f>
        <v>9.6637565908873055E-2</v>
      </c>
      <c r="T1480" s="45" t="str">
        <f>IFERROR(VLOOKUP(B1480,'Pre-Summary'!$Y$6:$AC$83, 3,FALSE),"")</f>
        <v/>
      </c>
      <c r="U1480" s="45" t="str">
        <f>IFERROR(VLOOKUP(B1480,'Pre-Summary'!$Y$6:$AC$83, 4,FALSE),"")</f>
        <v/>
      </c>
      <c r="V1480" t="str">
        <f>IFERROR(VLOOKUP(B1480,'Pre-Summary'!$Y$6:$AC$83, 5,FALSE),"")</f>
        <v/>
      </c>
      <c r="W1480" s="45" t="str">
        <f>IFERROR(VLOOKUP(B1480,'Pre-Summary'!$Y$6:$AD$83,6,FALSE),"")</f>
        <v/>
      </c>
      <c r="X1480" t="str">
        <f>IFERROR(VLOOKUP('Pre-Summary'!$DB$6:$DD$63,3,FALSE),"")</f>
        <v/>
      </c>
      <c r="Y1480" t="str">
        <f>IFERROR(VLOOKUP(B1480,'Pre-Summary'!$CR$6:$CT$36,3,FALSE),"")</f>
        <v/>
      </c>
      <c r="Z1480" s="45" t="str">
        <f>IFERROR(VLOOKUP(B1480,'Pre-Summary'!$BZ$6:$CB$63,2,FALSE),"")</f>
        <v/>
      </c>
      <c r="AA1480" s="45" t="str">
        <f>IFERROR(VLOOKUP(B1480,'Pre-Summary'!$CG$6:$CI$70,2,FALSE),"")</f>
        <v/>
      </c>
      <c r="AB1480" s="99">
        <f>IFERROR(VLOOKUP(B1480,'Pre-Summary'!$A$6:$P$178,9,FALSE),AB1481)</f>
        <v>0.35667806451764861</v>
      </c>
      <c r="AC1480" s="10">
        <f>IFERROR(VLOOKUP(Summary!B1480,'Pre-Summary'!$A$6:$P$184,5, FALSE)/100,AC1481)</f>
        <v>0.105124</v>
      </c>
      <c r="AD1480" s="10">
        <f>IFERROR(VLOOKUP(Summary!B1480,'Pre-Summary'!$A$6:$P$184,3, FALSE)/100,AD1481)</f>
        <v>0.894876</v>
      </c>
      <c r="AE1480" s="10">
        <f>IFERROR(VLOOKUP(Summary!B1480,'Pre-Summary'!$A$6:$P$184,7, FALSE)/100,AE1481)</f>
        <v>0</v>
      </c>
      <c r="AF1480" s="99">
        <f t="shared" si="70"/>
        <v>0.3191826396632953</v>
      </c>
      <c r="AG1480" s="99">
        <f t="shared" si="71"/>
        <v>0</v>
      </c>
      <c r="AH1480" s="10" t="str">
        <f>IFERROR(VLOOKUP(B1480,'Pre-Summary'!$AZ$6:$BE$65,3,FALSE),"")</f>
        <v/>
      </c>
      <c r="AI1480" s="10" t="str">
        <f>IFERROR(VLOOKUP(B1480,'Pre-Summary'!$AZ$6:$BE$65,5,FALSE),"")</f>
        <v/>
      </c>
      <c r="AJ1480" s="10" t="str">
        <f>IFERROR(VLOOKUP(B1480,'Pre-Summary'!$AZ$6:$BE$65,4,FALSE),"")</f>
        <v/>
      </c>
      <c r="AK1480" s="10" t="str">
        <f>IFERROR(VLOOKUP(B1480,'Pre-Summary'!$AZ$6:$BE$65,6,FALSE),"")</f>
        <v/>
      </c>
      <c r="AL1480" s="10" t="str">
        <f>IFERROR(VLOOKUP(B1480,'Pre-Summary'!$BG$6:$BL$44,3,FALSE),"")</f>
        <v/>
      </c>
      <c r="AM1480" s="10" t="str">
        <f>IFERROR(VLOOKUP(B1480,'Pre-Summary'!$BG$6:$BL$44,4,FALSE),"")</f>
        <v/>
      </c>
    </row>
    <row r="1481" spans="2:39" ht="15" customHeight="1" x14ac:dyDescent="0.3">
      <c r="B1481">
        <v>147.80000000000001</v>
      </c>
      <c r="C1481" t="str">
        <f>IFERROR(VLOOKUP(B1481,'Pre-Summary'!$DI$6:$DM$23,4,FALSE),"")</f>
        <v/>
      </c>
      <c r="D1481" s="10" t="str">
        <f>IFERROR(VLOOKUP(B1481,'Pre-Summary'!$AT$6:$AX$14,5,FALSE),D1480)</f>
        <v>Wolfe v2: put in KILLER wolfe + EDTA + switch to HCl in trace elements</v>
      </c>
      <c r="E1481" s="10" t="str">
        <f>IFERROR(VLOOKUP(B1481,'Pre-Summary'!$AT$6:$AX$15,4,FALSE),"")</f>
        <v/>
      </c>
      <c r="F1481">
        <f>IFERROR(VLOOKUP(B1481,'Pre-Summary'!$AL$6:$AQ$13,6,FALSE),F1480)</f>
        <v>5.3897368421052638E-2</v>
      </c>
      <c r="G1481" t="str">
        <f>IFERROR(VLOOKUP(B1481,'Pre-Summary'!$AE$6:$AJ$85,3,FALSE),"")</f>
        <v/>
      </c>
      <c r="H1481" t="str">
        <f>IFERROR(VLOOKUP(B1481,'Pre-Summary'!$AE$6:$AJ$85,4,FALSE),"")</f>
        <v/>
      </c>
      <c r="I1481" t="str">
        <f>IFERROR(VLOOKUP(B1481,'Pre-Summary'!$AE$6:$AJ$85,5,FALSE),"")</f>
        <v/>
      </c>
      <c r="J1481" s="45" t="str">
        <f>IFERROR(VLOOKUP(B1481,'Pre-Summary'!$AE$6:$AJ$85,6, FALSE),"")</f>
        <v/>
      </c>
      <c r="K1481" s="45" t="str">
        <f>IFERROR(VLOOKUP(B1481,'Pre-Summary'!$DE$6:$DG$61,3,FALSE),"")</f>
        <v/>
      </c>
      <c r="L1481" s="45" t="str">
        <f>IFERROR(VLOOKUP(B1481,'Pre-Summary'!$CU$6:$CW$36,3,FALSE),"")</f>
        <v/>
      </c>
      <c r="M1481" s="45" t="str">
        <f>IFERROR(VLOOKUP(B1481,'Pre-Summary'!$BW$6:$BY$58,2,FALSE),"")</f>
        <v/>
      </c>
      <c r="N1481" s="45" t="str">
        <f>IFERROR(VLOOKUP(B1481,'Pre-Summary'!$CD$6:$CF$64,2,FALSE),"")</f>
        <v/>
      </c>
      <c r="O1481" s="99">
        <f>IFERROR(VLOOKUP(B1481,'Pre-Summary'!$BO$6:$BQ$48,3, FALSE),O1480)</f>
        <v>0.6</v>
      </c>
      <c r="P1481" s="99">
        <f>IFERROR(VLOOKUP(B1481,'Pre-Summary'!$BS$6:$BU$35,3,FALSE),P1480)</f>
        <v>0.3</v>
      </c>
      <c r="Q1481" s="54">
        <f t="shared" si="69"/>
        <v>2</v>
      </c>
      <c r="R1481" s="53">
        <f>IFERROR(VLOOKUP(B1481,'Pre-Summary'!$BG$6:$BM$44,7,FALSE),R1482)</f>
        <v>0.10131789275871156</v>
      </c>
      <c r="S1481" s="53">
        <f>IFERROR(VLOOKUP(B1481,'Pre-Summary'!$BG$6:$BM$44,6,FALSE),S1482)</f>
        <v>9.6637565908873055E-2</v>
      </c>
      <c r="T1481" s="45" t="str">
        <f>IFERROR(VLOOKUP(B1481,'Pre-Summary'!$Y$6:$AC$83, 3,FALSE),"")</f>
        <v/>
      </c>
      <c r="U1481" s="45" t="str">
        <f>IFERROR(VLOOKUP(B1481,'Pre-Summary'!$Y$6:$AC$83, 4,FALSE),"")</f>
        <v/>
      </c>
      <c r="V1481" t="str">
        <f>IFERROR(VLOOKUP(B1481,'Pre-Summary'!$Y$6:$AC$83, 5,FALSE),"")</f>
        <v/>
      </c>
      <c r="W1481" s="45" t="str">
        <f>IFERROR(VLOOKUP(B1481,'Pre-Summary'!$Y$6:$AD$83,6,FALSE),"")</f>
        <v/>
      </c>
      <c r="X1481" t="str">
        <f>IFERROR(VLOOKUP('Pre-Summary'!$DB$6:$DD$63,3,FALSE),"")</f>
        <v/>
      </c>
      <c r="Y1481" t="str">
        <f>IFERROR(VLOOKUP(B1481,'Pre-Summary'!$CR$6:$CT$36,3,FALSE),"")</f>
        <v/>
      </c>
      <c r="Z1481" s="45" t="str">
        <f>IFERROR(VLOOKUP(B1481,'Pre-Summary'!$BZ$6:$CB$63,2,FALSE),"")</f>
        <v/>
      </c>
      <c r="AA1481" s="45" t="str">
        <f>IFERROR(VLOOKUP(B1481,'Pre-Summary'!$CG$6:$CI$70,2,FALSE),"")</f>
        <v/>
      </c>
      <c r="AB1481" s="99">
        <f>IFERROR(VLOOKUP(B1481,'Pre-Summary'!$A$6:$P$178,9,FALSE),AB1482)</f>
        <v>0.35667806451764861</v>
      </c>
      <c r="AC1481" s="10">
        <f>IFERROR(VLOOKUP(Summary!B1481,'Pre-Summary'!$A$6:$P$184,5, FALSE)/100,AC1482)</f>
        <v>0.105124</v>
      </c>
      <c r="AD1481" s="10">
        <f>IFERROR(VLOOKUP(Summary!B1481,'Pre-Summary'!$A$6:$P$184,3, FALSE)/100,AD1482)</f>
        <v>0.894876</v>
      </c>
      <c r="AE1481" s="10">
        <f>IFERROR(VLOOKUP(Summary!B1481,'Pre-Summary'!$A$6:$P$184,7, FALSE)/100,AE1482)</f>
        <v>0</v>
      </c>
      <c r="AF1481" s="99">
        <f t="shared" si="70"/>
        <v>0.3191826396632953</v>
      </c>
      <c r="AG1481" s="99">
        <f t="shared" si="71"/>
        <v>0</v>
      </c>
      <c r="AH1481" s="10" t="str">
        <f>IFERROR(VLOOKUP(B1481,'Pre-Summary'!$AZ$6:$BE$65,3,FALSE),"")</f>
        <v/>
      </c>
      <c r="AI1481" s="10" t="str">
        <f>IFERROR(VLOOKUP(B1481,'Pre-Summary'!$AZ$6:$BE$65,5,FALSE),"")</f>
        <v/>
      </c>
      <c r="AJ1481" s="10" t="str">
        <f>IFERROR(VLOOKUP(B1481,'Pre-Summary'!$AZ$6:$BE$65,4,FALSE),"")</f>
        <v/>
      </c>
      <c r="AK1481" s="10" t="str">
        <f>IFERROR(VLOOKUP(B1481,'Pre-Summary'!$AZ$6:$BE$65,6,FALSE),"")</f>
        <v/>
      </c>
      <c r="AL1481" s="10" t="str">
        <f>IFERROR(VLOOKUP(B1481,'Pre-Summary'!$BG$6:$BL$44,3,FALSE),"")</f>
        <v/>
      </c>
      <c r="AM1481" s="10" t="str">
        <f>IFERROR(VLOOKUP(B1481,'Pre-Summary'!$BG$6:$BL$44,4,FALSE),"")</f>
        <v/>
      </c>
    </row>
    <row r="1482" spans="2:39" ht="15" customHeight="1" x14ac:dyDescent="0.3">
      <c r="B1482">
        <v>147.9</v>
      </c>
      <c r="C1482" t="str">
        <f>IFERROR(VLOOKUP(B1482,'Pre-Summary'!$DI$6:$DM$23,4,FALSE),"")</f>
        <v/>
      </c>
      <c r="D1482" s="10" t="str">
        <f>IFERROR(VLOOKUP(B1482,'Pre-Summary'!$AT$6:$AX$14,5,FALSE),D1481)</f>
        <v>Wolfe v2: put in KILLER wolfe + EDTA + switch to HCl in trace elements</v>
      </c>
      <c r="E1482" s="10" t="str">
        <f>IFERROR(VLOOKUP(B1482,'Pre-Summary'!$AT$6:$AX$15,4,FALSE),"")</f>
        <v/>
      </c>
      <c r="F1482">
        <f>IFERROR(VLOOKUP(B1482,'Pre-Summary'!$AL$6:$AQ$13,6,FALSE),F1481)</f>
        <v>5.3897368421052638E-2</v>
      </c>
      <c r="G1482" t="str">
        <f>IFERROR(VLOOKUP(B1482,'Pre-Summary'!$AE$6:$AJ$85,3,FALSE),"")</f>
        <v/>
      </c>
      <c r="H1482" t="str">
        <f>IFERROR(VLOOKUP(B1482,'Pre-Summary'!$AE$6:$AJ$85,4,FALSE),"")</f>
        <v/>
      </c>
      <c r="I1482" t="str">
        <f>IFERROR(VLOOKUP(B1482,'Pre-Summary'!$AE$6:$AJ$85,5,FALSE),"")</f>
        <v/>
      </c>
      <c r="J1482" s="45" t="str">
        <f>IFERROR(VLOOKUP(B1482,'Pre-Summary'!$AE$6:$AJ$85,6, FALSE),"")</f>
        <v/>
      </c>
      <c r="K1482" s="45" t="str">
        <f>IFERROR(VLOOKUP(B1482,'Pre-Summary'!$DE$6:$DG$61,3,FALSE),"")</f>
        <v/>
      </c>
      <c r="L1482" s="45" t="str">
        <f>IFERROR(VLOOKUP(B1482,'Pre-Summary'!$CU$6:$CW$36,3,FALSE),"")</f>
        <v/>
      </c>
      <c r="M1482" s="45" t="str">
        <f>IFERROR(VLOOKUP(B1482,'Pre-Summary'!$BW$6:$BY$58,2,FALSE),"")</f>
        <v/>
      </c>
      <c r="N1482" s="45" t="str">
        <f>IFERROR(VLOOKUP(B1482,'Pre-Summary'!$CD$6:$CF$64,2,FALSE),"")</f>
        <v/>
      </c>
      <c r="O1482" s="99">
        <f>IFERROR(VLOOKUP(B1482,'Pre-Summary'!$BO$6:$BQ$48,3, FALSE),O1481)</f>
        <v>0.6</v>
      </c>
      <c r="P1482" s="99">
        <f>IFERROR(VLOOKUP(B1482,'Pre-Summary'!$BS$6:$BU$35,3,FALSE),P1481)</f>
        <v>0.3</v>
      </c>
      <c r="Q1482" s="54">
        <f t="shared" si="69"/>
        <v>2</v>
      </c>
      <c r="R1482" s="53">
        <f>IFERROR(VLOOKUP(B1482,'Pre-Summary'!$BG$6:$BM$44,7,FALSE),R1483)</f>
        <v>0.10131789275871156</v>
      </c>
      <c r="S1482" s="53">
        <f>IFERROR(VLOOKUP(B1482,'Pre-Summary'!$BG$6:$BM$44,6,FALSE),S1483)</f>
        <v>9.6637565908873055E-2</v>
      </c>
      <c r="T1482" s="45" t="str">
        <f>IFERROR(VLOOKUP(B1482,'Pre-Summary'!$Y$6:$AC$83, 3,FALSE),"")</f>
        <v/>
      </c>
      <c r="U1482" s="45" t="str">
        <f>IFERROR(VLOOKUP(B1482,'Pre-Summary'!$Y$6:$AC$83, 4,FALSE),"")</f>
        <v/>
      </c>
      <c r="V1482" t="str">
        <f>IFERROR(VLOOKUP(B1482,'Pre-Summary'!$Y$6:$AC$83, 5,FALSE),"")</f>
        <v/>
      </c>
      <c r="W1482" s="45" t="str">
        <f>IFERROR(VLOOKUP(B1482,'Pre-Summary'!$Y$6:$AD$83,6,FALSE),"")</f>
        <v/>
      </c>
      <c r="X1482" t="str">
        <f>IFERROR(VLOOKUP('Pre-Summary'!$DB$6:$DD$63,3,FALSE),"")</f>
        <v/>
      </c>
      <c r="Y1482" t="str">
        <f>IFERROR(VLOOKUP(B1482,'Pre-Summary'!$CR$6:$CT$36,3,FALSE),"")</f>
        <v/>
      </c>
      <c r="Z1482" s="45" t="str">
        <f>IFERROR(VLOOKUP(B1482,'Pre-Summary'!$BZ$6:$CB$63,2,FALSE),"")</f>
        <v/>
      </c>
      <c r="AA1482" s="45" t="str">
        <f>IFERROR(VLOOKUP(B1482,'Pre-Summary'!$CG$6:$CI$70,2,FALSE),"")</f>
        <v/>
      </c>
      <c r="AB1482" s="99">
        <f>IFERROR(VLOOKUP(B1482,'Pre-Summary'!$A$6:$P$178,9,FALSE),AB1483)</f>
        <v>0.35667806451764861</v>
      </c>
      <c r="AC1482" s="10">
        <f>IFERROR(VLOOKUP(Summary!B1482,'Pre-Summary'!$A$6:$P$184,5, FALSE)/100,AC1483)</f>
        <v>0.105124</v>
      </c>
      <c r="AD1482" s="10">
        <f>IFERROR(VLOOKUP(Summary!B1482,'Pre-Summary'!$A$6:$P$184,3, FALSE)/100,AD1483)</f>
        <v>0.894876</v>
      </c>
      <c r="AE1482" s="10">
        <f>IFERROR(VLOOKUP(Summary!B1482,'Pre-Summary'!$A$6:$P$184,7, FALSE)/100,AE1483)</f>
        <v>0</v>
      </c>
      <c r="AF1482" s="99">
        <f t="shared" si="70"/>
        <v>0.3191826396632953</v>
      </c>
      <c r="AG1482" s="99">
        <f t="shared" si="71"/>
        <v>0</v>
      </c>
      <c r="AH1482" s="10" t="str">
        <f>IFERROR(VLOOKUP(B1482,'Pre-Summary'!$AZ$6:$BE$65,3,FALSE),"")</f>
        <v/>
      </c>
      <c r="AI1482" s="10" t="str">
        <f>IFERROR(VLOOKUP(B1482,'Pre-Summary'!$AZ$6:$BE$65,5,FALSE),"")</f>
        <v/>
      </c>
      <c r="AJ1482" s="10" t="str">
        <f>IFERROR(VLOOKUP(B1482,'Pre-Summary'!$AZ$6:$BE$65,4,FALSE),"")</f>
        <v/>
      </c>
      <c r="AK1482" s="10" t="str">
        <f>IFERROR(VLOOKUP(B1482,'Pre-Summary'!$AZ$6:$BE$65,6,FALSE),"")</f>
        <v/>
      </c>
      <c r="AL1482" s="10" t="str">
        <f>IFERROR(VLOOKUP(B1482,'Pre-Summary'!$BG$6:$BL$44,3,FALSE),"")</f>
        <v/>
      </c>
      <c r="AM1482" s="10" t="str">
        <f>IFERROR(VLOOKUP(B1482,'Pre-Summary'!$BG$6:$BL$44,4,FALSE),"")</f>
        <v/>
      </c>
    </row>
    <row r="1483" spans="2:39" ht="15" customHeight="1" x14ac:dyDescent="0.3">
      <c r="B1483">
        <v>148</v>
      </c>
      <c r="C1483" t="str">
        <f>IFERROR(VLOOKUP(B1483,'Pre-Summary'!$DI$6:$DM$23,4,FALSE),"")</f>
        <v/>
      </c>
      <c r="D1483" s="10" t="str">
        <f>IFERROR(VLOOKUP(B1483,'Pre-Summary'!$AT$6:$AX$14,5,FALSE),D1482)</f>
        <v>Wolfe v2: put in KILLER wolfe + EDTA + switch to HCl in trace elements</v>
      </c>
      <c r="E1483" s="10" t="str">
        <f>IFERROR(VLOOKUP(B1483,'Pre-Summary'!$AT$6:$AX$15,4,FALSE),"")</f>
        <v/>
      </c>
      <c r="F1483">
        <f>IFERROR(VLOOKUP(B1483,'Pre-Summary'!$AL$6:$AQ$13,6,FALSE),F1482)</f>
        <v>5.3897368421052638E-2</v>
      </c>
      <c r="G1483" t="str">
        <f>IFERROR(VLOOKUP(B1483,'Pre-Summary'!$AE$6:$AJ$85,3,FALSE),"")</f>
        <v/>
      </c>
      <c r="H1483" t="str">
        <f>IFERROR(VLOOKUP(B1483,'Pre-Summary'!$AE$6:$AJ$85,4,FALSE),"")</f>
        <v/>
      </c>
      <c r="I1483" t="str">
        <f>IFERROR(VLOOKUP(B1483,'Pre-Summary'!$AE$6:$AJ$85,5,FALSE),"")</f>
        <v/>
      </c>
      <c r="J1483" s="45" t="str">
        <f>IFERROR(VLOOKUP(B1483,'Pre-Summary'!$AE$6:$AJ$85,6, FALSE),"")</f>
        <v/>
      </c>
      <c r="K1483" s="45" t="str">
        <f>IFERROR(VLOOKUP(B1483,'Pre-Summary'!$DE$6:$DG$61,3,FALSE),"")</f>
        <v/>
      </c>
      <c r="L1483" s="45" t="str">
        <f>IFERROR(VLOOKUP(B1483,'Pre-Summary'!$CU$6:$CW$36,3,FALSE),"")</f>
        <v/>
      </c>
      <c r="M1483" s="45" t="str">
        <f>IFERROR(VLOOKUP(B1483,'Pre-Summary'!$BW$6:$BY$58,2,FALSE),"")</f>
        <v/>
      </c>
      <c r="N1483" s="45" t="str">
        <f>IFERROR(VLOOKUP(B1483,'Pre-Summary'!$CD$6:$CF$64,2,FALSE),"")</f>
        <v/>
      </c>
      <c r="O1483" s="99">
        <f>IFERROR(VLOOKUP(B1483,'Pre-Summary'!$BO$6:$BQ$48,3, FALSE),O1482)</f>
        <v>0.6</v>
      </c>
      <c r="P1483" s="99">
        <f>IFERROR(VLOOKUP(B1483,'Pre-Summary'!$BS$6:$BU$35,3,FALSE),P1482)</f>
        <v>0.3</v>
      </c>
      <c r="Q1483" s="54">
        <f t="shared" si="69"/>
        <v>2</v>
      </c>
      <c r="R1483" s="53">
        <f>IFERROR(VLOOKUP(B1483,'Pre-Summary'!$BG$6:$BM$44,7,FALSE),R1484)</f>
        <v>0.10131789275871156</v>
      </c>
      <c r="S1483" s="53">
        <f>IFERROR(VLOOKUP(B1483,'Pre-Summary'!$BG$6:$BM$44,6,FALSE),S1484)</f>
        <v>9.6637565908873055E-2</v>
      </c>
      <c r="T1483" s="45" t="str">
        <f>IFERROR(VLOOKUP(B1483,'Pre-Summary'!$Y$6:$AC$83, 3,FALSE),"")</f>
        <v/>
      </c>
      <c r="U1483" s="45" t="str">
        <f>IFERROR(VLOOKUP(B1483,'Pre-Summary'!$Y$6:$AC$83, 4,FALSE),"")</f>
        <v/>
      </c>
      <c r="V1483" t="str">
        <f>IFERROR(VLOOKUP(B1483,'Pre-Summary'!$Y$6:$AC$83, 5,FALSE),"")</f>
        <v/>
      </c>
      <c r="W1483" s="45" t="str">
        <f>IFERROR(VLOOKUP(B1483,'Pre-Summary'!$Y$6:$AD$83,6,FALSE),"")</f>
        <v/>
      </c>
      <c r="X1483" t="str">
        <f>IFERROR(VLOOKUP('Pre-Summary'!$DB$6:$DD$63,3,FALSE),"")</f>
        <v/>
      </c>
      <c r="Y1483" t="str">
        <f>IFERROR(VLOOKUP(B1483,'Pre-Summary'!$CR$6:$CT$36,3,FALSE),"")</f>
        <v/>
      </c>
      <c r="Z1483" s="45" t="str">
        <f>IFERROR(VLOOKUP(B1483,'Pre-Summary'!$BZ$6:$CB$63,2,FALSE),"")</f>
        <v/>
      </c>
      <c r="AA1483" s="45" t="str">
        <f>IFERROR(VLOOKUP(B1483,'Pre-Summary'!$CG$6:$CI$70,2,FALSE),"")</f>
        <v/>
      </c>
      <c r="AB1483" s="99">
        <f>IFERROR(VLOOKUP(B1483,'Pre-Summary'!$A$6:$P$178,9,FALSE),AB1484)</f>
        <v>0.35667806451764861</v>
      </c>
      <c r="AC1483" s="10">
        <f>IFERROR(VLOOKUP(Summary!B1483,'Pre-Summary'!$A$6:$P$184,5, FALSE)/100,AC1484)</f>
        <v>0.105124</v>
      </c>
      <c r="AD1483" s="10">
        <f>IFERROR(VLOOKUP(Summary!B1483,'Pre-Summary'!$A$6:$P$184,3, FALSE)/100,AD1484)</f>
        <v>0.894876</v>
      </c>
      <c r="AE1483" s="10">
        <f>IFERROR(VLOOKUP(Summary!B1483,'Pre-Summary'!$A$6:$P$184,7, FALSE)/100,AE1484)</f>
        <v>0</v>
      </c>
      <c r="AF1483" s="99">
        <f t="shared" si="70"/>
        <v>0.3191826396632953</v>
      </c>
      <c r="AG1483" s="99">
        <f t="shared" si="71"/>
        <v>0</v>
      </c>
      <c r="AH1483" s="10" t="str">
        <f>IFERROR(VLOOKUP(B1483,'Pre-Summary'!$AZ$6:$BE$65,3,FALSE),"")</f>
        <v/>
      </c>
      <c r="AI1483" s="10" t="str">
        <f>IFERROR(VLOOKUP(B1483,'Pre-Summary'!$AZ$6:$BE$65,5,FALSE),"")</f>
        <v/>
      </c>
      <c r="AJ1483" s="10" t="str">
        <f>IFERROR(VLOOKUP(B1483,'Pre-Summary'!$AZ$6:$BE$65,4,FALSE),"")</f>
        <v/>
      </c>
      <c r="AK1483" s="10" t="str">
        <f>IFERROR(VLOOKUP(B1483,'Pre-Summary'!$AZ$6:$BE$65,6,FALSE),"")</f>
        <v/>
      </c>
      <c r="AL1483" s="10" t="str">
        <f>IFERROR(VLOOKUP(B1483,'Pre-Summary'!$BG$6:$BL$44,3,FALSE),"")</f>
        <v/>
      </c>
      <c r="AM1483" s="10" t="str">
        <f>IFERROR(VLOOKUP(B1483,'Pre-Summary'!$BG$6:$BL$44,4,FALSE),"")</f>
        <v/>
      </c>
    </row>
    <row r="1484" spans="2:39" ht="15" customHeight="1" x14ac:dyDescent="0.3">
      <c r="B1484">
        <v>148.1</v>
      </c>
      <c r="C1484" t="str">
        <f>IFERROR(VLOOKUP(B1484,'Pre-Summary'!$DI$6:$DM$23,4,FALSE),"")</f>
        <v/>
      </c>
      <c r="D1484" s="10" t="str">
        <f>IFERROR(VLOOKUP(B1484,'Pre-Summary'!$AT$6:$AX$14,5,FALSE),D1483)</f>
        <v>Wolfe v2: put in KILLER wolfe + EDTA + switch to HCl in trace elements</v>
      </c>
      <c r="E1484" s="10" t="str">
        <f>IFERROR(VLOOKUP(B1484,'Pre-Summary'!$AT$6:$AX$15,4,FALSE),"")</f>
        <v/>
      </c>
      <c r="F1484">
        <f>IFERROR(VLOOKUP(B1484,'Pre-Summary'!$AL$6:$AQ$13,6,FALSE),F1483)</f>
        <v>5.3897368421052638E-2</v>
      </c>
      <c r="G1484" t="str">
        <f>IFERROR(VLOOKUP(B1484,'Pre-Summary'!$AE$6:$AJ$85,3,FALSE),"")</f>
        <v/>
      </c>
      <c r="H1484" t="str">
        <f>IFERROR(VLOOKUP(B1484,'Pre-Summary'!$AE$6:$AJ$85,4,FALSE),"")</f>
        <v/>
      </c>
      <c r="I1484" t="str">
        <f>IFERROR(VLOOKUP(B1484,'Pre-Summary'!$AE$6:$AJ$85,5,FALSE),"")</f>
        <v/>
      </c>
      <c r="J1484" s="45" t="str">
        <f>IFERROR(VLOOKUP(B1484,'Pre-Summary'!$AE$6:$AJ$85,6, FALSE),"")</f>
        <v/>
      </c>
      <c r="K1484" s="45" t="str">
        <f>IFERROR(VLOOKUP(B1484,'Pre-Summary'!$DE$6:$DG$61,3,FALSE),"")</f>
        <v/>
      </c>
      <c r="L1484" s="45" t="str">
        <f>IFERROR(VLOOKUP(B1484,'Pre-Summary'!$CU$6:$CW$36,3,FALSE),"")</f>
        <v/>
      </c>
      <c r="M1484" s="45" t="str">
        <f>IFERROR(VLOOKUP(B1484,'Pre-Summary'!$BW$6:$BY$58,2,FALSE),"")</f>
        <v/>
      </c>
      <c r="N1484" s="45" t="str">
        <f>IFERROR(VLOOKUP(B1484,'Pre-Summary'!$CD$6:$CF$64,2,FALSE),"")</f>
        <v/>
      </c>
      <c r="O1484" s="99">
        <f>IFERROR(VLOOKUP(B1484,'Pre-Summary'!$BO$6:$BQ$48,3, FALSE),O1483)</f>
        <v>0.6</v>
      </c>
      <c r="P1484" s="99">
        <f>IFERROR(VLOOKUP(B1484,'Pre-Summary'!$BS$6:$BU$35,3,FALSE),P1483)</f>
        <v>0.3</v>
      </c>
      <c r="Q1484" s="54">
        <f t="shared" si="69"/>
        <v>2</v>
      </c>
      <c r="R1484" s="53">
        <f>IFERROR(VLOOKUP(B1484,'Pre-Summary'!$BG$6:$BM$44,7,FALSE),R1485)</f>
        <v>0.10131789275871156</v>
      </c>
      <c r="S1484" s="53">
        <f>IFERROR(VLOOKUP(B1484,'Pre-Summary'!$BG$6:$BM$44,6,FALSE),S1485)</f>
        <v>9.6637565908873055E-2</v>
      </c>
      <c r="T1484" s="45" t="str">
        <f>IFERROR(VLOOKUP(B1484,'Pre-Summary'!$Y$6:$AC$83, 3,FALSE),"")</f>
        <v/>
      </c>
      <c r="U1484" s="45" t="str">
        <f>IFERROR(VLOOKUP(B1484,'Pre-Summary'!$Y$6:$AC$83, 4,FALSE),"")</f>
        <v/>
      </c>
      <c r="V1484" t="str">
        <f>IFERROR(VLOOKUP(B1484,'Pre-Summary'!$Y$6:$AC$83, 5,FALSE),"")</f>
        <v/>
      </c>
      <c r="W1484" s="45" t="str">
        <f>IFERROR(VLOOKUP(B1484,'Pre-Summary'!$Y$6:$AD$83,6,FALSE),"")</f>
        <v/>
      </c>
      <c r="X1484" t="str">
        <f>IFERROR(VLOOKUP('Pre-Summary'!$DB$6:$DD$63,3,FALSE),"")</f>
        <v/>
      </c>
      <c r="Y1484" t="str">
        <f>IFERROR(VLOOKUP(B1484,'Pre-Summary'!$CR$6:$CT$36,3,FALSE),"")</f>
        <v/>
      </c>
      <c r="Z1484" s="45" t="str">
        <f>IFERROR(VLOOKUP(B1484,'Pre-Summary'!$BZ$6:$CB$63,2,FALSE),"")</f>
        <v/>
      </c>
      <c r="AA1484" s="45" t="str">
        <f>IFERROR(VLOOKUP(B1484,'Pre-Summary'!$CG$6:$CI$70,2,FALSE),"")</f>
        <v/>
      </c>
      <c r="AB1484" s="99">
        <f>IFERROR(VLOOKUP(B1484,'Pre-Summary'!$A$6:$P$178,9,FALSE),AB1485)</f>
        <v>0.35667806451764861</v>
      </c>
      <c r="AC1484" s="10">
        <f>IFERROR(VLOOKUP(Summary!B1484,'Pre-Summary'!$A$6:$P$184,5, FALSE)/100,AC1485)</f>
        <v>0.105124</v>
      </c>
      <c r="AD1484" s="10">
        <f>IFERROR(VLOOKUP(Summary!B1484,'Pre-Summary'!$A$6:$P$184,3, FALSE)/100,AD1485)</f>
        <v>0.894876</v>
      </c>
      <c r="AE1484" s="10">
        <f>IFERROR(VLOOKUP(Summary!B1484,'Pre-Summary'!$A$6:$P$184,7, FALSE)/100,AE1485)</f>
        <v>0</v>
      </c>
      <c r="AF1484" s="99">
        <f t="shared" si="70"/>
        <v>0.3191826396632953</v>
      </c>
      <c r="AG1484" s="99">
        <f t="shared" si="71"/>
        <v>0</v>
      </c>
      <c r="AH1484" s="10" t="str">
        <f>IFERROR(VLOOKUP(B1484,'Pre-Summary'!$AZ$6:$BE$65,3,FALSE),"")</f>
        <v/>
      </c>
      <c r="AI1484" s="10" t="str">
        <f>IFERROR(VLOOKUP(B1484,'Pre-Summary'!$AZ$6:$BE$65,5,FALSE),"")</f>
        <v/>
      </c>
      <c r="AJ1484" s="10" t="str">
        <f>IFERROR(VLOOKUP(B1484,'Pre-Summary'!$AZ$6:$BE$65,4,FALSE),"")</f>
        <v/>
      </c>
      <c r="AK1484" s="10" t="str">
        <f>IFERROR(VLOOKUP(B1484,'Pre-Summary'!$AZ$6:$BE$65,6,FALSE),"")</f>
        <v/>
      </c>
      <c r="AL1484" s="10" t="str">
        <f>IFERROR(VLOOKUP(B1484,'Pre-Summary'!$BG$6:$BL$44,3,FALSE),"")</f>
        <v/>
      </c>
      <c r="AM1484" s="10" t="str">
        <f>IFERROR(VLOOKUP(B1484,'Pre-Summary'!$BG$6:$BL$44,4,FALSE),"")</f>
        <v/>
      </c>
    </row>
    <row r="1485" spans="2:39" ht="15" customHeight="1" x14ac:dyDescent="0.3">
      <c r="B1485">
        <v>148.19999999999999</v>
      </c>
      <c r="C1485" t="str">
        <f>IFERROR(VLOOKUP(B1485,'Pre-Summary'!$DI$6:$DM$23,4,FALSE),"")</f>
        <v/>
      </c>
      <c r="D1485" s="10" t="str">
        <f>IFERROR(VLOOKUP(B1485,'Pre-Summary'!$AT$6:$AX$14,5,FALSE),D1484)</f>
        <v>Wolfe v2: put in KILLER wolfe + EDTA + switch to HCl in trace elements</v>
      </c>
      <c r="E1485" s="10" t="str">
        <f>IFERROR(VLOOKUP(B1485,'Pre-Summary'!$AT$6:$AX$15,4,FALSE),"")</f>
        <v/>
      </c>
      <c r="F1485">
        <f>IFERROR(VLOOKUP(B1485,'Pre-Summary'!$AL$6:$AQ$13,6,FALSE),F1484)</f>
        <v>5.3897368421052638E-2</v>
      </c>
      <c r="G1485" t="str">
        <f>IFERROR(VLOOKUP(B1485,'Pre-Summary'!$AE$6:$AJ$85,3,FALSE),"")</f>
        <v/>
      </c>
      <c r="H1485" t="str">
        <f>IFERROR(VLOOKUP(B1485,'Pre-Summary'!$AE$6:$AJ$85,4,FALSE),"")</f>
        <v/>
      </c>
      <c r="I1485" t="str">
        <f>IFERROR(VLOOKUP(B1485,'Pre-Summary'!$AE$6:$AJ$85,5,FALSE),"")</f>
        <v/>
      </c>
      <c r="J1485" s="45" t="str">
        <f>IFERROR(VLOOKUP(B1485,'Pre-Summary'!$AE$6:$AJ$85,6, FALSE),"")</f>
        <v/>
      </c>
      <c r="K1485" s="45" t="str">
        <f>IFERROR(VLOOKUP(B1485,'Pre-Summary'!$DE$6:$DG$61,3,FALSE),"")</f>
        <v/>
      </c>
      <c r="L1485" s="45" t="str">
        <f>IFERROR(VLOOKUP(B1485,'Pre-Summary'!$CU$6:$CW$36,3,FALSE),"")</f>
        <v/>
      </c>
      <c r="M1485" s="45" t="str">
        <f>IFERROR(VLOOKUP(B1485,'Pre-Summary'!$BW$6:$BY$58,2,FALSE),"")</f>
        <v/>
      </c>
      <c r="N1485" s="45" t="str">
        <f>IFERROR(VLOOKUP(B1485,'Pre-Summary'!$CD$6:$CF$64,2,FALSE),"")</f>
        <v/>
      </c>
      <c r="O1485" s="99">
        <f>IFERROR(VLOOKUP(B1485,'Pre-Summary'!$BO$6:$BQ$48,3, FALSE),O1484)</f>
        <v>0.6</v>
      </c>
      <c r="P1485" s="99">
        <f>IFERROR(VLOOKUP(B1485,'Pre-Summary'!$BS$6:$BU$35,3,FALSE),P1484)</f>
        <v>0.3</v>
      </c>
      <c r="Q1485" s="54">
        <f t="shared" si="69"/>
        <v>2</v>
      </c>
      <c r="R1485" s="53">
        <f>IFERROR(VLOOKUP(B1485,'Pre-Summary'!$BG$6:$BM$44,7,FALSE),R1486)</f>
        <v>0.10131789275871156</v>
      </c>
      <c r="S1485" s="53">
        <f>IFERROR(VLOOKUP(B1485,'Pre-Summary'!$BG$6:$BM$44,6,FALSE),S1486)</f>
        <v>9.6637565908873055E-2</v>
      </c>
      <c r="T1485" s="45" t="str">
        <f>IFERROR(VLOOKUP(B1485,'Pre-Summary'!$Y$6:$AC$83, 3,FALSE),"")</f>
        <v/>
      </c>
      <c r="U1485" s="45" t="str">
        <f>IFERROR(VLOOKUP(B1485,'Pre-Summary'!$Y$6:$AC$83, 4,FALSE),"")</f>
        <v/>
      </c>
      <c r="V1485" t="str">
        <f>IFERROR(VLOOKUP(B1485,'Pre-Summary'!$Y$6:$AC$83, 5,FALSE),"")</f>
        <v/>
      </c>
      <c r="W1485" s="45" t="str">
        <f>IFERROR(VLOOKUP(B1485,'Pre-Summary'!$Y$6:$AD$83,6,FALSE),"")</f>
        <v/>
      </c>
      <c r="X1485" t="str">
        <f>IFERROR(VLOOKUP('Pre-Summary'!$DB$6:$DD$63,3,FALSE),"")</f>
        <v/>
      </c>
      <c r="Y1485" t="str">
        <f>IFERROR(VLOOKUP(B1485,'Pre-Summary'!$CR$6:$CT$36,3,FALSE),"")</f>
        <v/>
      </c>
      <c r="Z1485" s="45" t="str">
        <f>IFERROR(VLOOKUP(B1485,'Pre-Summary'!$BZ$6:$CB$63,2,FALSE),"")</f>
        <v/>
      </c>
      <c r="AA1485" s="45" t="str">
        <f>IFERROR(VLOOKUP(B1485,'Pre-Summary'!$CG$6:$CI$70,2,FALSE),"")</f>
        <v/>
      </c>
      <c r="AB1485" s="99">
        <f>IFERROR(VLOOKUP(B1485,'Pre-Summary'!$A$6:$P$178,9,FALSE),AB1486)</f>
        <v>0.35667806451764861</v>
      </c>
      <c r="AC1485" s="10">
        <f>IFERROR(VLOOKUP(Summary!B1485,'Pre-Summary'!$A$6:$P$184,5, FALSE)/100,AC1486)</f>
        <v>0.105124</v>
      </c>
      <c r="AD1485" s="10">
        <f>IFERROR(VLOOKUP(Summary!B1485,'Pre-Summary'!$A$6:$P$184,3, FALSE)/100,AD1486)</f>
        <v>0.894876</v>
      </c>
      <c r="AE1485" s="10">
        <f>IFERROR(VLOOKUP(Summary!B1485,'Pre-Summary'!$A$6:$P$184,7, FALSE)/100,AE1486)</f>
        <v>0</v>
      </c>
      <c r="AF1485" s="99">
        <f t="shared" si="70"/>
        <v>0.3191826396632953</v>
      </c>
      <c r="AG1485" s="99">
        <f t="shared" si="71"/>
        <v>0</v>
      </c>
      <c r="AH1485" s="10" t="str">
        <f>IFERROR(VLOOKUP(B1485,'Pre-Summary'!$AZ$6:$BE$65,3,FALSE),"")</f>
        <v/>
      </c>
      <c r="AI1485" s="10" t="str">
        <f>IFERROR(VLOOKUP(B1485,'Pre-Summary'!$AZ$6:$BE$65,5,FALSE),"")</f>
        <v/>
      </c>
      <c r="AJ1485" s="10" t="str">
        <f>IFERROR(VLOOKUP(B1485,'Pre-Summary'!$AZ$6:$BE$65,4,FALSE),"")</f>
        <v/>
      </c>
      <c r="AK1485" s="10" t="str">
        <f>IFERROR(VLOOKUP(B1485,'Pre-Summary'!$AZ$6:$BE$65,6,FALSE),"")</f>
        <v/>
      </c>
      <c r="AL1485" s="10" t="str">
        <f>IFERROR(VLOOKUP(B1485,'Pre-Summary'!$BG$6:$BL$44,3,FALSE),"")</f>
        <v/>
      </c>
      <c r="AM1485" s="10" t="str">
        <f>IFERROR(VLOOKUP(B1485,'Pre-Summary'!$BG$6:$BL$44,4,FALSE),"")</f>
        <v/>
      </c>
    </row>
    <row r="1486" spans="2:39" ht="15" customHeight="1" x14ac:dyDescent="0.3">
      <c r="B1486">
        <v>148.30000000000001</v>
      </c>
      <c r="C1486" t="str">
        <f>IFERROR(VLOOKUP(B1486,'Pre-Summary'!$DI$6:$DM$23,4,FALSE),"")</f>
        <v/>
      </c>
      <c r="D1486" s="10" t="str">
        <f>IFERROR(VLOOKUP(B1486,'Pre-Summary'!$AT$6:$AX$14,5,FALSE),D1485)</f>
        <v>Wolfe v2: put in KILLER wolfe + EDTA + switch to HCl in trace elements</v>
      </c>
      <c r="E1486" s="10" t="str">
        <f>IFERROR(VLOOKUP(B1486,'Pre-Summary'!$AT$6:$AX$15,4,FALSE),"")</f>
        <v/>
      </c>
      <c r="F1486">
        <f>IFERROR(VLOOKUP(B1486,'Pre-Summary'!$AL$6:$AQ$13,6,FALSE),F1485)</f>
        <v>5.3897368421052638E-2</v>
      </c>
      <c r="G1486" t="str">
        <f>IFERROR(VLOOKUP(B1486,'Pre-Summary'!$AE$6:$AJ$85,3,FALSE),"")</f>
        <v/>
      </c>
      <c r="H1486" t="str">
        <f>IFERROR(VLOOKUP(B1486,'Pre-Summary'!$AE$6:$AJ$85,4,FALSE),"")</f>
        <v/>
      </c>
      <c r="I1486" t="str">
        <f>IFERROR(VLOOKUP(B1486,'Pre-Summary'!$AE$6:$AJ$85,5,FALSE),"")</f>
        <v/>
      </c>
      <c r="J1486" s="45" t="str">
        <f>IFERROR(VLOOKUP(B1486,'Pre-Summary'!$AE$6:$AJ$85,6, FALSE),"")</f>
        <v/>
      </c>
      <c r="K1486" s="45" t="str">
        <f>IFERROR(VLOOKUP(B1486,'Pre-Summary'!$DE$6:$DG$61,3,FALSE),"")</f>
        <v/>
      </c>
      <c r="L1486" s="45" t="str">
        <f>IFERROR(VLOOKUP(B1486,'Pre-Summary'!$CU$6:$CW$36,3,FALSE),"")</f>
        <v/>
      </c>
      <c r="M1486" s="45" t="str">
        <f>IFERROR(VLOOKUP(B1486,'Pre-Summary'!$BW$6:$BY$58,2,FALSE),"")</f>
        <v/>
      </c>
      <c r="N1486" s="45" t="str">
        <f>IFERROR(VLOOKUP(B1486,'Pre-Summary'!$CD$6:$CF$64,2,FALSE),"")</f>
        <v/>
      </c>
      <c r="O1486" s="99">
        <f>IFERROR(VLOOKUP(B1486,'Pre-Summary'!$BO$6:$BQ$48,3, FALSE),O1485)</f>
        <v>0.6</v>
      </c>
      <c r="P1486" s="99">
        <f>IFERROR(VLOOKUP(B1486,'Pre-Summary'!$BS$6:$BU$35,3,FALSE),P1485)</f>
        <v>0.3</v>
      </c>
      <c r="Q1486" s="54">
        <f t="shared" si="69"/>
        <v>2</v>
      </c>
      <c r="R1486" s="53">
        <f>IFERROR(VLOOKUP(B1486,'Pre-Summary'!$BG$6:$BM$44,7,FALSE),R1487)</f>
        <v>0.10131789275871156</v>
      </c>
      <c r="S1486" s="53">
        <f>IFERROR(VLOOKUP(B1486,'Pre-Summary'!$BG$6:$BM$44,6,FALSE),S1487)</f>
        <v>9.6637565908873055E-2</v>
      </c>
      <c r="T1486" s="45" t="str">
        <f>IFERROR(VLOOKUP(B1486,'Pre-Summary'!$Y$6:$AC$83, 3,FALSE),"")</f>
        <v/>
      </c>
      <c r="U1486" s="45" t="str">
        <f>IFERROR(VLOOKUP(B1486,'Pre-Summary'!$Y$6:$AC$83, 4,FALSE),"")</f>
        <v/>
      </c>
      <c r="V1486" t="str">
        <f>IFERROR(VLOOKUP(B1486,'Pre-Summary'!$Y$6:$AC$83, 5,FALSE),"")</f>
        <v/>
      </c>
      <c r="W1486" s="45" t="str">
        <f>IFERROR(VLOOKUP(B1486,'Pre-Summary'!$Y$6:$AD$83,6,FALSE),"")</f>
        <v/>
      </c>
      <c r="X1486" t="str">
        <f>IFERROR(VLOOKUP('Pre-Summary'!$DB$6:$DD$63,3,FALSE),"")</f>
        <v/>
      </c>
      <c r="Y1486" t="str">
        <f>IFERROR(VLOOKUP(B1486,'Pre-Summary'!$CR$6:$CT$36,3,FALSE),"")</f>
        <v/>
      </c>
      <c r="Z1486" s="45" t="str">
        <f>IFERROR(VLOOKUP(B1486,'Pre-Summary'!$BZ$6:$CB$63,2,FALSE),"")</f>
        <v/>
      </c>
      <c r="AA1486" s="45" t="str">
        <f>IFERROR(VLOOKUP(B1486,'Pre-Summary'!$CG$6:$CI$70,2,FALSE),"")</f>
        <v/>
      </c>
      <c r="AB1486" s="99">
        <f>IFERROR(VLOOKUP(B1486,'Pre-Summary'!$A$6:$P$178,9,FALSE),AB1487)</f>
        <v>0.35667806451764861</v>
      </c>
      <c r="AC1486" s="10">
        <f>IFERROR(VLOOKUP(Summary!B1486,'Pre-Summary'!$A$6:$P$184,5, FALSE)/100,AC1487)</f>
        <v>0.105124</v>
      </c>
      <c r="AD1486" s="10">
        <f>IFERROR(VLOOKUP(Summary!B1486,'Pre-Summary'!$A$6:$P$184,3, FALSE)/100,AD1487)</f>
        <v>0.894876</v>
      </c>
      <c r="AE1486" s="10">
        <f>IFERROR(VLOOKUP(Summary!B1486,'Pre-Summary'!$A$6:$P$184,7, FALSE)/100,AE1487)</f>
        <v>0</v>
      </c>
      <c r="AF1486" s="99">
        <f t="shared" si="70"/>
        <v>0.3191826396632953</v>
      </c>
      <c r="AG1486" s="99">
        <f t="shared" si="71"/>
        <v>0</v>
      </c>
      <c r="AH1486" s="10" t="str">
        <f>IFERROR(VLOOKUP(B1486,'Pre-Summary'!$AZ$6:$BE$65,3,FALSE),"")</f>
        <v/>
      </c>
      <c r="AI1486" s="10" t="str">
        <f>IFERROR(VLOOKUP(B1486,'Pre-Summary'!$AZ$6:$BE$65,5,FALSE),"")</f>
        <v/>
      </c>
      <c r="AJ1486" s="10" t="str">
        <f>IFERROR(VLOOKUP(B1486,'Pre-Summary'!$AZ$6:$BE$65,4,FALSE),"")</f>
        <v/>
      </c>
      <c r="AK1486" s="10" t="str">
        <f>IFERROR(VLOOKUP(B1486,'Pre-Summary'!$AZ$6:$BE$65,6,FALSE),"")</f>
        <v/>
      </c>
      <c r="AL1486" s="10" t="str">
        <f>IFERROR(VLOOKUP(B1486,'Pre-Summary'!$BG$6:$BL$44,3,FALSE),"")</f>
        <v/>
      </c>
      <c r="AM1486" s="10" t="str">
        <f>IFERROR(VLOOKUP(B1486,'Pre-Summary'!$BG$6:$BL$44,4,FALSE),"")</f>
        <v/>
      </c>
    </row>
    <row r="1487" spans="2:39" ht="15" customHeight="1" x14ac:dyDescent="0.3">
      <c r="B1487">
        <v>148.4</v>
      </c>
      <c r="C1487" t="str">
        <f>IFERROR(VLOOKUP(B1487,'Pre-Summary'!$DI$6:$DM$23,4,FALSE),"")</f>
        <v/>
      </c>
      <c r="D1487" s="10" t="str">
        <f>IFERROR(VLOOKUP(B1487,'Pre-Summary'!$AT$6:$AX$14,5,FALSE),D1486)</f>
        <v>Wolfe v2: put in KILLER wolfe + EDTA + switch to HCl in trace elements</v>
      </c>
      <c r="E1487" s="10" t="str">
        <f>IFERROR(VLOOKUP(B1487,'Pre-Summary'!$AT$6:$AX$15,4,FALSE),"")</f>
        <v/>
      </c>
      <c r="F1487">
        <f>IFERROR(VLOOKUP(B1487,'Pre-Summary'!$AL$6:$AQ$13,6,FALSE),F1486)</f>
        <v>5.3897368421052638E-2</v>
      </c>
      <c r="G1487" t="str">
        <f>IFERROR(VLOOKUP(B1487,'Pre-Summary'!$AE$6:$AJ$85,3,FALSE),"")</f>
        <v/>
      </c>
      <c r="H1487" t="str">
        <f>IFERROR(VLOOKUP(B1487,'Pre-Summary'!$AE$6:$AJ$85,4,FALSE),"")</f>
        <v/>
      </c>
      <c r="I1487" t="str">
        <f>IFERROR(VLOOKUP(B1487,'Pre-Summary'!$AE$6:$AJ$85,5,FALSE),"")</f>
        <v/>
      </c>
      <c r="J1487" s="45" t="str">
        <f>IFERROR(VLOOKUP(B1487,'Pre-Summary'!$AE$6:$AJ$85,6, FALSE),"")</f>
        <v/>
      </c>
      <c r="K1487" s="45" t="str">
        <f>IFERROR(VLOOKUP(B1487,'Pre-Summary'!$DE$6:$DG$61,3,FALSE),"")</f>
        <v/>
      </c>
      <c r="L1487" s="45" t="str">
        <f>IFERROR(VLOOKUP(B1487,'Pre-Summary'!$CU$6:$CW$36,3,FALSE),"")</f>
        <v/>
      </c>
      <c r="M1487" s="45" t="str">
        <f>IFERROR(VLOOKUP(B1487,'Pre-Summary'!$BW$6:$BY$58,2,FALSE),"")</f>
        <v/>
      </c>
      <c r="N1487" s="45" t="str">
        <f>IFERROR(VLOOKUP(B1487,'Pre-Summary'!$CD$6:$CF$64,2,FALSE),"")</f>
        <v/>
      </c>
      <c r="O1487" s="99">
        <f>IFERROR(VLOOKUP(B1487,'Pre-Summary'!$BO$6:$BQ$48,3, FALSE),O1486)</f>
        <v>0.6</v>
      </c>
      <c r="P1487" s="99">
        <f>IFERROR(VLOOKUP(B1487,'Pre-Summary'!$BS$6:$BU$35,3,FALSE),P1486)</f>
        <v>0.3</v>
      </c>
      <c r="Q1487" s="54">
        <f t="shared" si="69"/>
        <v>2</v>
      </c>
      <c r="R1487" s="53">
        <f>IFERROR(VLOOKUP(B1487,'Pre-Summary'!$BG$6:$BM$44,7,FALSE),R1488)</f>
        <v>0.10131789275871156</v>
      </c>
      <c r="S1487" s="53">
        <f>IFERROR(VLOOKUP(B1487,'Pre-Summary'!$BG$6:$BM$44,6,FALSE),S1488)</f>
        <v>9.6637565908873055E-2</v>
      </c>
      <c r="T1487" s="45" t="str">
        <f>IFERROR(VLOOKUP(B1487,'Pre-Summary'!$Y$6:$AC$83, 3,FALSE),"")</f>
        <v/>
      </c>
      <c r="U1487" s="45" t="str">
        <f>IFERROR(VLOOKUP(B1487,'Pre-Summary'!$Y$6:$AC$83, 4,FALSE),"")</f>
        <v/>
      </c>
      <c r="V1487" t="str">
        <f>IFERROR(VLOOKUP(B1487,'Pre-Summary'!$Y$6:$AC$83, 5,FALSE),"")</f>
        <v/>
      </c>
      <c r="W1487" s="45" t="str">
        <f>IFERROR(VLOOKUP(B1487,'Pre-Summary'!$Y$6:$AD$83,6,FALSE),"")</f>
        <v/>
      </c>
      <c r="X1487" t="str">
        <f>IFERROR(VLOOKUP('Pre-Summary'!$DB$6:$DD$63,3,FALSE),"")</f>
        <v/>
      </c>
      <c r="Y1487" t="str">
        <f>IFERROR(VLOOKUP(B1487,'Pre-Summary'!$CR$6:$CT$36,3,FALSE),"")</f>
        <v/>
      </c>
      <c r="Z1487" s="45" t="str">
        <f>IFERROR(VLOOKUP(B1487,'Pre-Summary'!$BZ$6:$CB$63,2,FALSE),"")</f>
        <v/>
      </c>
      <c r="AA1487" s="45" t="str">
        <f>IFERROR(VLOOKUP(B1487,'Pre-Summary'!$CG$6:$CI$70,2,FALSE),"")</f>
        <v/>
      </c>
      <c r="AB1487" s="99">
        <f>IFERROR(VLOOKUP(B1487,'Pre-Summary'!$A$6:$P$178,9,FALSE),AB1488)</f>
        <v>0.35667806451764861</v>
      </c>
      <c r="AC1487" s="10">
        <f>IFERROR(VLOOKUP(Summary!B1487,'Pre-Summary'!$A$6:$P$184,5, FALSE)/100,AC1488)</f>
        <v>0.105124</v>
      </c>
      <c r="AD1487" s="10">
        <f>IFERROR(VLOOKUP(Summary!B1487,'Pre-Summary'!$A$6:$P$184,3, FALSE)/100,AD1488)</f>
        <v>0.894876</v>
      </c>
      <c r="AE1487" s="10">
        <f>IFERROR(VLOOKUP(Summary!B1487,'Pre-Summary'!$A$6:$P$184,7, FALSE)/100,AE1488)</f>
        <v>0</v>
      </c>
      <c r="AF1487" s="99">
        <f t="shared" si="70"/>
        <v>0.3191826396632953</v>
      </c>
      <c r="AG1487" s="99">
        <f t="shared" si="71"/>
        <v>0</v>
      </c>
      <c r="AH1487" s="10" t="str">
        <f>IFERROR(VLOOKUP(B1487,'Pre-Summary'!$AZ$6:$BE$65,3,FALSE),"")</f>
        <v/>
      </c>
      <c r="AI1487" s="10" t="str">
        <f>IFERROR(VLOOKUP(B1487,'Pre-Summary'!$AZ$6:$BE$65,5,FALSE),"")</f>
        <v/>
      </c>
      <c r="AJ1487" s="10" t="str">
        <f>IFERROR(VLOOKUP(B1487,'Pre-Summary'!$AZ$6:$BE$65,4,FALSE),"")</f>
        <v/>
      </c>
      <c r="AK1487" s="10" t="str">
        <f>IFERROR(VLOOKUP(B1487,'Pre-Summary'!$AZ$6:$BE$65,6,FALSE),"")</f>
        <v/>
      </c>
      <c r="AL1487" s="10" t="str">
        <f>IFERROR(VLOOKUP(B1487,'Pre-Summary'!$BG$6:$BL$44,3,FALSE),"")</f>
        <v/>
      </c>
      <c r="AM1487" s="10" t="str">
        <f>IFERROR(VLOOKUP(B1487,'Pre-Summary'!$BG$6:$BL$44,4,FALSE),"")</f>
        <v/>
      </c>
    </row>
    <row r="1488" spans="2:39" ht="15" customHeight="1" x14ac:dyDescent="0.3">
      <c r="B1488">
        <v>148.5</v>
      </c>
      <c r="C1488" t="str">
        <f>IFERROR(VLOOKUP(B1488,'Pre-Summary'!$DI$6:$DM$23,4,FALSE),"")</f>
        <v/>
      </c>
      <c r="D1488" s="10" t="str">
        <f>IFERROR(VLOOKUP(B1488,'Pre-Summary'!$AT$6:$AX$14,5,FALSE),D1487)</f>
        <v>Wolfe v2: put in KILLER wolfe + EDTA + switch to HCl in trace elements</v>
      </c>
      <c r="E1488" s="10" t="str">
        <f>IFERROR(VLOOKUP(B1488,'Pre-Summary'!$AT$6:$AX$15,4,FALSE),"")</f>
        <v/>
      </c>
      <c r="F1488">
        <f>IFERROR(VLOOKUP(B1488,'Pre-Summary'!$AL$6:$AQ$13,6,FALSE),F1487)</f>
        <v>5.3897368421052638E-2</v>
      </c>
      <c r="G1488" t="str">
        <f>IFERROR(VLOOKUP(B1488,'Pre-Summary'!$AE$6:$AJ$85,3,FALSE),"")</f>
        <v/>
      </c>
      <c r="H1488" t="str">
        <f>IFERROR(VLOOKUP(B1488,'Pre-Summary'!$AE$6:$AJ$85,4,FALSE),"")</f>
        <v/>
      </c>
      <c r="I1488" t="str">
        <f>IFERROR(VLOOKUP(B1488,'Pre-Summary'!$AE$6:$AJ$85,5,FALSE),"")</f>
        <v/>
      </c>
      <c r="J1488" s="45" t="str">
        <f>IFERROR(VLOOKUP(B1488,'Pre-Summary'!$AE$6:$AJ$85,6, FALSE),"")</f>
        <v/>
      </c>
      <c r="K1488" s="45" t="str">
        <f>IFERROR(VLOOKUP(B1488,'Pre-Summary'!$DE$6:$DG$61,3,FALSE),"")</f>
        <v/>
      </c>
      <c r="L1488" s="45" t="str">
        <f>IFERROR(VLOOKUP(B1488,'Pre-Summary'!$CU$6:$CW$36,3,FALSE),"")</f>
        <v/>
      </c>
      <c r="M1488" s="45" t="str">
        <f>IFERROR(VLOOKUP(B1488,'Pre-Summary'!$BW$6:$BY$58,2,FALSE),"")</f>
        <v/>
      </c>
      <c r="N1488" s="45">
        <f>IFERROR(VLOOKUP(B1488,'Pre-Summary'!$CD$6:$CF$64,2,FALSE),"")</f>
        <v>179.64629534142691</v>
      </c>
      <c r="O1488" s="99">
        <f>IFERROR(VLOOKUP(B1488,'Pre-Summary'!$BO$6:$BQ$48,3, FALSE),O1487)</f>
        <v>0.6</v>
      </c>
      <c r="P1488" s="99">
        <f>IFERROR(VLOOKUP(B1488,'Pre-Summary'!$BS$6:$BU$35,3,FALSE),P1487)</f>
        <v>0.3</v>
      </c>
      <c r="Q1488" s="54">
        <f t="shared" si="69"/>
        <v>2</v>
      </c>
      <c r="R1488" s="53">
        <f>IFERROR(VLOOKUP(B1488,'Pre-Summary'!$BG$6:$BM$44,7,FALSE),R1489)</f>
        <v>0.10131789275871156</v>
      </c>
      <c r="S1488" s="53">
        <f>IFERROR(VLOOKUP(B1488,'Pre-Summary'!$BG$6:$BM$44,6,FALSE),S1489)</f>
        <v>9.6637565908873055E-2</v>
      </c>
      <c r="T1488" s="45" t="str">
        <f>IFERROR(VLOOKUP(B1488,'Pre-Summary'!$Y$6:$AC$83, 3,FALSE),"")</f>
        <v/>
      </c>
      <c r="U1488" s="45" t="str">
        <f>IFERROR(VLOOKUP(B1488,'Pre-Summary'!$Y$6:$AC$83, 4,FALSE),"")</f>
        <v/>
      </c>
      <c r="V1488" t="str">
        <f>IFERROR(VLOOKUP(B1488,'Pre-Summary'!$Y$6:$AC$83, 5,FALSE),"")</f>
        <v/>
      </c>
      <c r="W1488" s="45" t="str">
        <f>IFERROR(VLOOKUP(B1488,'Pre-Summary'!$Y$6:$AD$83,6,FALSE),"")</f>
        <v/>
      </c>
      <c r="X1488" t="str">
        <f>IFERROR(VLOOKUP('Pre-Summary'!$DB$6:$DD$63,3,FALSE),"")</f>
        <v/>
      </c>
      <c r="Y1488" t="str">
        <f>IFERROR(VLOOKUP(B1488,'Pre-Summary'!$CR$6:$CT$36,3,FALSE),"")</f>
        <v/>
      </c>
      <c r="Z1488" s="45" t="str">
        <f>IFERROR(VLOOKUP(B1488,'Pre-Summary'!$BZ$6:$CB$63,2,FALSE),"")</f>
        <v/>
      </c>
      <c r="AA1488" s="45" t="str">
        <f>IFERROR(VLOOKUP(B1488,'Pre-Summary'!$CG$6:$CI$70,2,FALSE),"")</f>
        <v/>
      </c>
      <c r="AB1488" s="99">
        <f>IFERROR(VLOOKUP(B1488,'Pre-Summary'!$A$6:$P$178,9,FALSE),AB1489)</f>
        <v>0.35667806451764861</v>
      </c>
      <c r="AC1488" s="10">
        <f>IFERROR(VLOOKUP(Summary!B1488,'Pre-Summary'!$A$6:$P$184,5, FALSE)/100,AC1489)</f>
        <v>0.105124</v>
      </c>
      <c r="AD1488" s="10">
        <f>IFERROR(VLOOKUP(Summary!B1488,'Pre-Summary'!$A$6:$P$184,3, FALSE)/100,AD1489)</f>
        <v>0.894876</v>
      </c>
      <c r="AE1488" s="10">
        <f>IFERROR(VLOOKUP(Summary!B1488,'Pre-Summary'!$A$6:$P$184,7, FALSE)/100,AE1489)</f>
        <v>0</v>
      </c>
      <c r="AF1488" s="99">
        <f t="shared" si="70"/>
        <v>0.3191826396632953</v>
      </c>
      <c r="AG1488" s="99">
        <f t="shared" si="71"/>
        <v>0</v>
      </c>
      <c r="AH1488" s="10" t="str">
        <f>IFERROR(VLOOKUP(B1488,'Pre-Summary'!$AZ$6:$BE$65,3,FALSE),"")</f>
        <v/>
      </c>
      <c r="AI1488" s="10" t="str">
        <f>IFERROR(VLOOKUP(B1488,'Pre-Summary'!$AZ$6:$BE$65,5,FALSE),"")</f>
        <v/>
      </c>
      <c r="AJ1488" s="10" t="str">
        <f>IFERROR(VLOOKUP(B1488,'Pre-Summary'!$AZ$6:$BE$65,4,FALSE),"")</f>
        <v/>
      </c>
      <c r="AK1488" s="10" t="str">
        <f>IFERROR(VLOOKUP(B1488,'Pre-Summary'!$AZ$6:$BE$65,6,FALSE),"")</f>
        <v/>
      </c>
      <c r="AL1488" s="10" t="str">
        <f>IFERROR(VLOOKUP(B1488,'Pre-Summary'!$BG$6:$BL$44,3,FALSE),"")</f>
        <v/>
      </c>
      <c r="AM1488" s="10" t="str">
        <f>IFERROR(VLOOKUP(B1488,'Pre-Summary'!$BG$6:$BL$44,4,FALSE),"")</f>
        <v/>
      </c>
    </row>
    <row r="1489" spans="2:39" ht="15" customHeight="1" x14ac:dyDescent="0.3">
      <c r="B1489">
        <v>148.6</v>
      </c>
      <c r="C1489" t="str">
        <f>IFERROR(VLOOKUP(B1489,'Pre-Summary'!$DI$6:$DM$23,4,FALSE),"")</f>
        <v/>
      </c>
      <c r="D1489" s="10" t="str">
        <f>IFERROR(VLOOKUP(B1489,'Pre-Summary'!$AT$6:$AX$14,5,FALSE),D1488)</f>
        <v>Wolfe v2: put in KILLER wolfe + EDTA + switch to HCl in trace elements</v>
      </c>
      <c r="E1489" s="10" t="str">
        <f>IFERROR(VLOOKUP(B1489,'Pre-Summary'!$AT$6:$AX$15,4,FALSE),"")</f>
        <v/>
      </c>
      <c r="F1489">
        <f>IFERROR(VLOOKUP(B1489,'Pre-Summary'!$AL$6:$AQ$13,6,FALSE),F1488)</f>
        <v>5.3897368421052638E-2</v>
      </c>
      <c r="G1489" t="str">
        <f>IFERROR(VLOOKUP(B1489,'Pre-Summary'!$AE$6:$AJ$85,3,FALSE),"")</f>
        <v/>
      </c>
      <c r="H1489" t="str">
        <f>IFERROR(VLOOKUP(B1489,'Pre-Summary'!$AE$6:$AJ$85,4,FALSE),"")</f>
        <v/>
      </c>
      <c r="I1489" t="str">
        <f>IFERROR(VLOOKUP(B1489,'Pre-Summary'!$AE$6:$AJ$85,5,FALSE),"")</f>
        <v/>
      </c>
      <c r="J1489" s="45" t="str">
        <f>IFERROR(VLOOKUP(B1489,'Pre-Summary'!$AE$6:$AJ$85,6, FALSE),"")</f>
        <v/>
      </c>
      <c r="K1489" s="45" t="str">
        <f>IFERROR(VLOOKUP(B1489,'Pre-Summary'!$DE$6:$DG$61,3,FALSE),"")</f>
        <v/>
      </c>
      <c r="L1489" s="45" t="str">
        <f>IFERROR(VLOOKUP(B1489,'Pre-Summary'!$CU$6:$CW$36,3,FALSE),"")</f>
        <v/>
      </c>
      <c r="M1489" s="45" t="str">
        <f>IFERROR(VLOOKUP(B1489,'Pre-Summary'!$BW$6:$BY$58,2,FALSE),"")</f>
        <v/>
      </c>
      <c r="N1489" s="45" t="str">
        <f>IFERROR(VLOOKUP(B1489,'Pre-Summary'!$CD$6:$CF$64,2,FALSE),"")</f>
        <v/>
      </c>
      <c r="O1489" s="99">
        <f>IFERROR(VLOOKUP(B1489,'Pre-Summary'!$BO$6:$BQ$48,3, FALSE),O1488)</f>
        <v>0.6</v>
      </c>
      <c r="P1489" s="99">
        <f>IFERROR(VLOOKUP(B1489,'Pre-Summary'!$BS$6:$BU$35,3,FALSE),P1488)</f>
        <v>0.3</v>
      </c>
      <c r="Q1489" s="54">
        <f t="shared" si="69"/>
        <v>2</v>
      </c>
      <c r="R1489" s="53">
        <f>IFERROR(VLOOKUP(B1489,'Pre-Summary'!$BG$6:$BM$44,7,FALSE),R1490)</f>
        <v>0.10131789275871156</v>
      </c>
      <c r="S1489" s="53">
        <f>IFERROR(VLOOKUP(B1489,'Pre-Summary'!$BG$6:$BM$44,6,FALSE),S1490)</f>
        <v>9.6637565908873055E-2</v>
      </c>
      <c r="T1489" s="45" t="str">
        <f>IFERROR(VLOOKUP(B1489,'Pre-Summary'!$Y$6:$AC$83, 3,FALSE),"")</f>
        <v/>
      </c>
      <c r="U1489" s="45" t="str">
        <f>IFERROR(VLOOKUP(B1489,'Pre-Summary'!$Y$6:$AC$83, 4,FALSE),"")</f>
        <v/>
      </c>
      <c r="V1489" t="str">
        <f>IFERROR(VLOOKUP(B1489,'Pre-Summary'!$Y$6:$AC$83, 5,FALSE),"")</f>
        <v/>
      </c>
      <c r="W1489" s="45" t="str">
        <f>IFERROR(VLOOKUP(B1489,'Pre-Summary'!$Y$6:$AD$83,6,FALSE),"")</f>
        <v/>
      </c>
      <c r="X1489" t="str">
        <f>IFERROR(VLOOKUP('Pre-Summary'!$DB$6:$DD$63,3,FALSE),"")</f>
        <v/>
      </c>
      <c r="Y1489" t="str">
        <f>IFERROR(VLOOKUP(B1489,'Pre-Summary'!$CR$6:$CT$36,3,FALSE),"")</f>
        <v/>
      </c>
      <c r="Z1489" s="45" t="str">
        <f>IFERROR(VLOOKUP(B1489,'Pre-Summary'!$BZ$6:$CB$63,2,FALSE),"")</f>
        <v/>
      </c>
      <c r="AA1489" s="45" t="str">
        <f>IFERROR(VLOOKUP(B1489,'Pre-Summary'!$CG$6:$CI$70,2,FALSE),"")</f>
        <v/>
      </c>
      <c r="AB1489" s="99">
        <f>IFERROR(VLOOKUP(B1489,'Pre-Summary'!$A$6:$P$178,9,FALSE),AB1490)</f>
        <v>0.35667806451764861</v>
      </c>
      <c r="AC1489" s="10">
        <f>IFERROR(VLOOKUP(Summary!B1489,'Pre-Summary'!$A$6:$P$184,5, FALSE)/100,AC1490)</f>
        <v>0.105124</v>
      </c>
      <c r="AD1489" s="10">
        <f>IFERROR(VLOOKUP(Summary!B1489,'Pre-Summary'!$A$6:$P$184,3, FALSE)/100,AD1490)</f>
        <v>0.894876</v>
      </c>
      <c r="AE1489" s="10">
        <f>IFERROR(VLOOKUP(Summary!B1489,'Pre-Summary'!$A$6:$P$184,7, FALSE)/100,AE1490)</f>
        <v>0</v>
      </c>
      <c r="AF1489" s="99">
        <f t="shared" si="70"/>
        <v>0.3191826396632953</v>
      </c>
      <c r="AG1489" s="99">
        <f t="shared" si="71"/>
        <v>0</v>
      </c>
      <c r="AH1489" s="10" t="str">
        <f>IFERROR(VLOOKUP(B1489,'Pre-Summary'!$AZ$6:$BE$65,3,FALSE),"")</f>
        <v/>
      </c>
      <c r="AI1489" s="10" t="str">
        <f>IFERROR(VLOOKUP(B1489,'Pre-Summary'!$AZ$6:$BE$65,5,FALSE),"")</f>
        <v/>
      </c>
      <c r="AJ1489" s="10" t="str">
        <f>IFERROR(VLOOKUP(B1489,'Pre-Summary'!$AZ$6:$BE$65,4,FALSE),"")</f>
        <v/>
      </c>
      <c r="AK1489" s="10" t="str">
        <f>IFERROR(VLOOKUP(B1489,'Pre-Summary'!$AZ$6:$BE$65,6,FALSE),"")</f>
        <v/>
      </c>
      <c r="AL1489" s="10" t="str">
        <f>IFERROR(VLOOKUP(B1489,'Pre-Summary'!$BG$6:$BL$44,3,FALSE),"")</f>
        <v/>
      </c>
      <c r="AM1489" s="10" t="str">
        <f>IFERROR(VLOOKUP(B1489,'Pre-Summary'!$BG$6:$BL$44,4,FALSE),"")</f>
        <v/>
      </c>
    </row>
    <row r="1490" spans="2:39" ht="15" customHeight="1" x14ac:dyDescent="0.3">
      <c r="B1490">
        <v>148.69999999999999</v>
      </c>
      <c r="C1490" t="str">
        <f>IFERROR(VLOOKUP(B1490,'Pre-Summary'!$DI$6:$DM$23,4,FALSE),"")</f>
        <v/>
      </c>
      <c r="D1490" s="10" t="str">
        <f>IFERROR(VLOOKUP(B1490,'Pre-Summary'!$AT$6:$AX$14,5,FALSE),D1489)</f>
        <v>Wolfe v2: put in KILLER wolfe + EDTA + switch to HCl in trace elements</v>
      </c>
      <c r="E1490" s="10" t="str">
        <f>IFERROR(VLOOKUP(B1490,'Pre-Summary'!$AT$6:$AX$15,4,FALSE),"")</f>
        <v/>
      </c>
      <c r="F1490">
        <f>IFERROR(VLOOKUP(B1490,'Pre-Summary'!$AL$6:$AQ$13,6,FALSE),F1489)</f>
        <v>5.3897368421052638E-2</v>
      </c>
      <c r="G1490" t="str">
        <f>IFERROR(VLOOKUP(B1490,'Pre-Summary'!$AE$6:$AJ$85,3,FALSE),"")</f>
        <v/>
      </c>
      <c r="H1490" t="str">
        <f>IFERROR(VLOOKUP(B1490,'Pre-Summary'!$AE$6:$AJ$85,4,FALSE),"")</f>
        <v/>
      </c>
      <c r="I1490" t="str">
        <f>IFERROR(VLOOKUP(B1490,'Pre-Summary'!$AE$6:$AJ$85,5,FALSE),"")</f>
        <v/>
      </c>
      <c r="J1490" s="45" t="str">
        <f>IFERROR(VLOOKUP(B1490,'Pre-Summary'!$AE$6:$AJ$85,6, FALSE),"")</f>
        <v/>
      </c>
      <c r="K1490" s="45" t="str">
        <f>IFERROR(VLOOKUP(B1490,'Pre-Summary'!$DE$6:$DG$61,3,FALSE),"")</f>
        <v/>
      </c>
      <c r="L1490" s="45" t="str">
        <f>IFERROR(VLOOKUP(B1490,'Pre-Summary'!$CU$6:$CW$36,3,FALSE),"")</f>
        <v/>
      </c>
      <c r="M1490" s="45" t="str">
        <f>IFERROR(VLOOKUP(B1490,'Pre-Summary'!$BW$6:$BY$58,2,FALSE),"")</f>
        <v/>
      </c>
      <c r="N1490" s="45" t="str">
        <f>IFERROR(VLOOKUP(B1490,'Pre-Summary'!$CD$6:$CF$64,2,FALSE),"")</f>
        <v/>
      </c>
      <c r="O1490" s="99">
        <f>IFERROR(VLOOKUP(B1490,'Pre-Summary'!$BO$6:$BQ$48,3, FALSE),O1489)</f>
        <v>0.6</v>
      </c>
      <c r="P1490" s="99">
        <f>IFERROR(VLOOKUP(B1490,'Pre-Summary'!$BS$6:$BU$35,3,FALSE),P1489)</f>
        <v>0.3</v>
      </c>
      <c r="Q1490" s="54">
        <f t="shared" si="69"/>
        <v>2</v>
      </c>
      <c r="R1490" s="53">
        <f>IFERROR(VLOOKUP(B1490,'Pre-Summary'!$BG$6:$BM$44,7,FALSE),R1491)</f>
        <v>0.10131789275871156</v>
      </c>
      <c r="S1490" s="53">
        <f>IFERROR(VLOOKUP(B1490,'Pre-Summary'!$BG$6:$BM$44,6,FALSE),S1491)</f>
        <v>9.6637565908873055E-2</v>
      </c>
      <c r="T1490" s="45" t="str">
        <f>IFERROR(VLOOKUP(B1490,'Pre-Summary'!$Y$6:$AC$83, 3,FALSE),"")</f>
        <v/>
      </c>
      <c r="U1490" s="45" t="str">
        <f>IFERROR(VLOOKUP(B1490,'Pre-Summary'!$Y$6:$AC$83, 4,FALSE),"")</f>
        <v/>
      </c>
      <c r="V1490" t="str">
        <f>IFERROR(VLOOKUP(B1490,'Pre-Summary'!$Y$6:$AC$83, 5,FALSE),"")</f>
        <v/>
      </c>
      <c r="W1490" s="45" t="str">
        <f>IFERROR(VLOOKUP(B1490,'Pre-Summary'!$Y$6:$AD$83,6,FALSE),"")</f>
        <v/>
      </c>
      <c r="X1490" t="str">
        <f>IFERROR(VLOOKUP('Pre-Summary'!$DB$6:$DD$63,3,FALSE),"")</f>
        <v/>
      </c>
      <c r="Y1490" t="str">
        <f>IFERROR(VLOOKUP(B1490,'Pre-Summary'!$CR$6:$CT$36,3,FALSE),"")</f>
        <v/>
      </c>
      <c r="Z1490" s="45" t="str">
        <f>IFERROR(VLOOKUP(B1490,'Pre-Summary'!$BZ$6:$CB$63,2,FALSE),"")</f>
        <v/>
      </c>
      <c r="AA1490" s="45" t="str">
        <f>IFERROR(VLOOKUP(B1490,'Pre-Summary'!$CG$6:$CI$70,2,FALSE),"")</f>
        <v/>
      </c>
      <c r="AB1490" s="99">
        <f>IFERROR(VLOOKUP(B1490,'Pre-Summary'!$A$6:$P$178,9,FALSE),AB1491)</f>
        <v>0.35667806451764861</v>
      </c>
      <c r="AC1490" s="10">
        <f>IFERROR(VLOOKUP(Summary!B1490,'Pre-Summary'!$A$6:$P$184,5, FALSE)/100,AC1491)</f>
        <v>0.105124</v>
      </c>
      <c r="AD1490" s="10">
        <f>IFERROR(VLOOKUP(Summary!B1490,'Pre-Summary'!$A$6:$P$184,3, FALSE)/100,AD1491)</f>
        <v>0.894876</v>
      </c>
      <c r="AE1490" s="10">
        <f>IFERROR(VLOOKUP(Summary!B1490,'Pre-Summary'!$A$6:$P$184,7, FALSE)/100,AE1491)</f>
        <v>0</v>
      </c>
      <c r="AF1490" s="99">
        <f t="shared" si="70"/>
        <v>0.3191826396632953</v>
      </c>
      <c r="AG1490" s="99">
        <f t="shared" si="71"/>
        <v>0</v>
      </c>
      <c r="AH1490" s="10" t="str">
        <f>IFERROR(VLOOKUP(B1490,'Pre-Summary'!$AZ$6:$BE$65,3,FALSE),"")</f>
        <v/>
      </c>
      <c r="AI1490" s="10" t="str">
        <f>IFERROR(VLOOKUP(B1490,'Pre-Summary'!$AZ$6:$BE$65,5,FALSE),"")</f>
        <v/>
      </c>
      <c r="AJ1490" s="10" t="str">
        <f>IFERROR(VLOOKUP(B1490,'Pre-Summary'!$AZ$6:$BE$65,4,FALSE),"")</f>
        <v/>
      </c>
      <c r="AK1490" s="10" t="str">
        <f>IFERROR(VLOOKUP(B1490,'Pre-Summary'!$AZ$6:$BE$65,6,FALSE),"")</f>
        <v/>
      </c>
      <c r="AL1490" s="10" t="str">
        <f>IFERROR(VLOOKUP(B1490,'Pre-Summary'!$BG$6:$BL$44,3,FALSE),"")</f>
        <v/>
      </c>
      <c r="AM1490" s="10" t="str">
        <f>IFERROR(VLOOKUP(B1490,'Pre-Summary'!$BG$6:$BL$44,4,FALSE),"")</f>
        <v/>
      </c>
    </row>
    <row r="1491" spans="2:39" ht="15" customHeight="1" x14ac:dyDescent="0.3">
      <c r="B1491">
        <v>148.80000000000001</v>
      </c>
      <c r="C1491" t="str">
        <f>IFERROR(VLOOKUP(B1491,'Pre-Summary'!$DI$6:$DM$23,4,FALSE),"")</f>
        <v/>
      </c>
      <c r="D1491" s="10" t="str">
        <f>IFERROR(VLOOKUP(B1491,'Pre-Summary'!$AT$6:$AX$14,5,FALSE),D1490)</f>
        <v>Wolfe v2: put in KILLER wolfe + EDTA + switch to HCl in trace elements</v>
      </c>
      <c r="E1491" s="10" t="str">
        <f>IFERROR(VLOOKUP(B1491,'Pre-Summary'!$AT$6:$AX$15,4,FALSE),"")</f>
        <v/>
      </c>
      <c r="F1491">
        <f>IFERROR(VLOOKUP(B1491,'Pre-Summary'!$AL$6:$AQ$13,6,FALSE),F1490)</f>
        <v>5.3897368421052638E-2</v>
      </c>
      <c r="G1491">
        <f>IFERROR(VLOOKUP(B1491,'Pre-Summary'!$AE$6:$AJ$85,3,FALSE),"")</f>
        <v>90.656999999999996</v>
      </c>
      <c r="H1491" t="str">
        <f>IFERROR(VLOOKUP(B1491,'Pre-Summary'!$AE$6:$AJ$85,4,FALSE),"")</f>
        <v/>
      </c>
      <c r="I1491" t="str">
        <f>IFERROR(VLOOKUP(B1491,'Pre-Summary'!$AE$6:$AJ$85,5,FALSE),"")</f>
        <v/>
      </c>
      <c r="J1491" s="45">
        <f>IFERROR(VLOOKUP(B1491,'Pre-Summary'!$AE$6:$AJ$85,6, FALSE),"")</f>
        <v>96.731018999999989</v>
      </c>
      <c r="K1491" s="45">
        <f>IFERROR(VLOOKUP(B1491,'Pre-Summary'!$DE$6:$DG$61,3,FALSE),"")</f>
        <v>440</v>
      </c>
      <c r="L1491" s="45" t="str">
        <f>IFERROR(VLOOKUP(B1491,'Pre-Summary'!$CU$6:$CW$36,3,FALSE),"")</f>
        <v/>
      </c>
      <c r="M1491" s="45">
        <f>IFERROR(VLOOKUP(B1491,'Pre-Summary'!$BW$6:$BY$58,2,FALSE),"")</f>
        <v>7.9823441211618933</v>
      </c>
      <c r="N1491" s="45" t="str">
        <f>IFERROR(VLOOKUP(B1491,'Pre-Summary'!$CD$6:$CF$64,2,FALSE),"")</f>
        <v/>
      </c>
      <c r="O1491" s="99">
        <f>IFERROR(VLOOKUP(B1491,'Pre-Summary'!$BO$6:$BQ$48,3, FALSE),O1490)</f>
        <v>0.6</v>
      </c>
      <c r="P1491" s="99">
        <f>IFERROR(VLOOKUP(B1491,'Pre-Summary'!$BS$6:$BU$35,3,FALSE),P1490)</f>
        <v>0.3</v>
      </c>
      <c r="Q1491" s="54">
        <f t="shared" si="69"/>
        <v>2</v>
      </c>
      <c r="R1491" s="53">
        <f>IFERROR(VLOOKUP(B1491,'Pre-Summary'!$BG$6:$BM$44,7,FALSE),R1492)</f>
        <v>0.10131789275871156</v>
      </c>
      <c r="S1491" s="53">
        <f>IFERROR(VLOOKUP(B1491,'Pre-Summary'!$BG$6:$BM$44,6,FALSE),S1492)</f>
        <v>9.6637565908873055E-2</v>
      </c>
      <c r="T1491" s="45">
        <f>IFERROR(VLOOKUP(B1491,'Pre-Summary'!$Y$6:$AC$83, 3,FALSE),"")</f>
        <v>13.215999999999999</v>
      </c>
      <c r="U1491" s="45">
        <f>IFERROR(VLOOKUP(B1491,'Pre-Summary'!$Y$6:$AC$83, 4,FALSE),"")</f>
        <v>5.64</v>
      </c>
      <c r="V1491">
        <f>IFERROR(VLOOKUP(B1491,'Pre-Summary'!$Y$6:$AC$83, 5,FALSE),"")</f>
        <v>4.3159999999999998</v>
      </c>
      <c r="W1491" s="45">
        <f>IFERROR(VLOOKUP(B1491,'Pre-Summary'!$Y$6:$AD$83,6,FALSE),"")</f>
        <v>30.486919999999998</v>
      </c>
      <c r="X1491" t="str">
        <f>IFERROR(VLOOKUP('Pre-Summary'!$DB$6:$DD$63,3,FALSE),"")</f>
        <v/>
      </c>
      <c r="Y1491" t="str">
        <f>IFERROR(VLOOKUP(B1491,'Pre-Summary'!$CR$6:$CT$36,3,FALSE),"")</f>
        <v/>
      </c>
      <c r="Z1491" s="45" t="str">
        <f>IFERROR(VLOOKUP(B1491,'Pre-Summary'!$BZ$6:$CB$63,2,FALSE),"")</f>
        <v/>
      </c>
      <c r="AA1491" s="45">
        <f>IFERROR(VLOOKUP(B1491,'Pre-Summary'!$CG$6:$CI$70,2,FALSE),"")</f>
        <v>106.61171447342578</v>
      </c>
      <c r="AB1491" s="99">
        <f>IFERROR(VLOOKUP(B1491,'Pre-Summary'!$A$6:$P$178,9,FALSE),AB1492)</f>
        <v>0.35667806451764861</v>
      </c>
      <c r="AC1491" s="10">
        <f>IFERROR(VLOOKUP(Summary!B1491,'Pre-Summary'!$A$6:$P$184,5, FALSE)/100,AC1492)</f>
        <v>0.105124</v>
      </c>
      <c r="AD1491" s="10">
        <f>IFERROR(VLOOKUP(Summary!B1491,'Pre-Summary'!$A$6:$P$184,3, FALSE)/100,AD1492)</f>
        <v>0.894876</v>
      </c>
      <c r="AE1491" s="10">
        <f>IFERROR(VLOOKUP(Summary!B1491,'Pre-Summary'!$A$6:$P$184,7, FALSE)/100,AE1492)</f>
        <v>0</v>
      </c>
      <c r="AF1491" s="99">
        <f t="shared" si="70"/>
        <v>0.3191826396632953</v>
      </c>
      <c r="AG1491" s="99">
        <f t="shared" si="71"/>
        <v>0</v>
      </c>
      <c r="AH1491" s="10" t="str">
        <f>IFERROR(VLOOKUP(B1491,'Pre-Summary'!$AZ$6:$BE$65,3,FALSE),"")</f>
        <v/>
      </c>
      <c r="AI1491" s="10" t="str">
        <f>IFERROR(VLOOKUP(B1491,'Pre-Summary'!$AZ$6:$BE$65,5,FALSE),"")</f>
        <v/>
      </c>
      <c r="AJ1491" s="10" t="str">
        <f>IFERROR(VLOOKUP(B1491,'Pre-Summary'!$AZ$6:$BE$65,4,FALSE),"")</f>
        <v/>
      </c>
      <c r="AK1491" s="10" t="str">
        <f>IFERROR(VLOOKUP(B1491,'Pre-Summary'!$AZ$6:$BE$65,6,FALSE),"")</f>
        <v/>
      </c>
      <c r="AL1491" s="10" t="str">
        <f>IFERROR(VLOOKUP(B1491,'Pre-Summary'!$BG$6:$BL$44,3,FALSE),"")</f>
        <v/>
      </c>
      <c r="AM1491" s="10" t="str">
        <f>IFERROR(VLOOKUP(B1491,'Pre-Summary'!$BG$6:$BL$44,4,FALSE),"")</f>
        <v/>
      </c>
    </row>
    <row r="1492" spans="2:39" ht="15" customHeight="1" x14ac:dyDescent="0.3">
      <c r="B1492">
        <v>148.9</v>
      </c>
      <c r="C1492" t="str">
        <f>IFERROR(VLOOKUP(B1492,'Pre-Summary'!$DI$6:$DM$23,4,FALSE),"")</f>
        <v/>
      </c>
      <c r="D1492" s="10" t="str">
        <f>IFERROR(VLOOKUP(B1492,'Pre-Summary'!$AT$6:$AX$14,5,FALSE),D1491)</f>
        <v>Wolfe v2: put in KILLER wolfe + EDTA + switch to HCl in trace elements</v>
      </c>
      <c r="E1492" s="10" t="str">
        <f>IFERROR(VLOOKUP(B1492,'Pre-Summary'!$AT$6:$AX$15,4,FALSE),"")</f>
        <v/>
      </c>
      <c r="F1492">
        <f>IFERROR(VLOOKUP(B1492,'Pre-Summary'!$AL$6:$AQ$13,6,FALSE),F1491)</f>
        <v>5.3897368421052638E-2</v>
      </c>
      <c r="G1492" t="str">
        <f>IFERROR(VLOOKUP(B1492,'Pre-Summary'!$AE$6:$AJ$85,3,FALSE),"")</f>
        <v/>
      </c>
      <c r="H1492" t="str">
        <f>IFERROR(VLOOKUP(B1492,'Pre-Summary'!$AE$6:$AJ$85,4,FALSE),"")</f>
        <v/>
      </c>
      <c r="I1492" t="str">
        <f>IFERROR(VLOOKUP(B1492,'Pre-Summary'!$AE$6:$AJ$85,5,FALSE),"")</f>
        <v/>
      </c>
      <c r="J1492" s="45" t="str">
        <f>IFERROR(VLOOKUP(B1492,'Pre-Summary'!$AE$6:$AJ$85,6, FALSE),"")</f>
        <v/>
      </c>
      <c r="K1492" s="45" t="str">
        <f>IFERROR(VLOOKUP(B1492,'Pre-Summary'!$DE$6:$DG$61,3,FALSE),"")</f>
        <v/>
      </c>
      <c r="L1492" s="45" t="str">
        <f>IFERROR(VLOOKUP(B1492,'Pre-Summary'!$CU$6:$CW$36,3,FALSE),"")</f>
        <v/>
      </c>
      <c r="M1492" s="45" t="str">
        <f>IFERROR(VLOOKUP(B1492,'Pre-Summary'!$BW$6:$BY$58,2,FALSE),"")</f>
        <v/>
      </c>
      <c r="N1492" s="45" t="str">
        <f>IFERROR(VLOOKUP(B1492,'Pre-Summary'!$CD$6:$CF$64,2,FALSE),"")</f>
        <v/>
      </c>
      <c r="O1492" s="99">
        <f>IFERROR(VLOOKUP(B1492,'Pre-Summary'!$BO$6:$BQ$48,3, FALSE),O1491)</f>
        <v>0.6</v>
      </c>
      <c r="P1492" s="99">
        <f>IFERROR(VLOOKUP(B1492,'Pre-Summary'!$BS$6:$BU$35,3,FALSE),P1491)</f>
        <v>0.3</v>
      </c>
      <c r="Q1492" s="54">
        <f t="shared" si="69"/>
        <v>2</v>
      </c>
      <c r="R1492" s="53">
        <f>IFERROR(VLOOKUP(B1492,'Pre-Summary'!$BG$6:$BM$44,7,FALSE),R1493)</f>
        <v>0.10131789275871156</v>
      </c>
      <c r="S1492" s="53">
        <f>IFERROR(VLOOKUP(B1492,'Pre-Summary'!$BG$6:$BM$44,6,FALSE),S1493)</f>
        <v>9.6637565908873055E-2</v>
      </c>
      <c r="T1492" s="45" t="str">
        <f>IFERROR(VLOOKUP(B1492,'Pre-Summary'!$Y$6:$AC$83, 3,FALSE),"")</f>
        <v/>
      </c>
      <c r="U1492" s="45" t="str">
        <f>IFERROR(VLOOKUP(B1492,'Pre-Summary'!$Y$6:$AC$83, 4,FALSE),"")</f>
        <v/>
      </c>
      <c r="V1492" t="str">
        <f>IFERROR(VLOOKUP(B1492,'Pre-Summary'!$Y$6:$AC$83, 5,FALSE),"")</f>
        <v/>
      </c>
      <c r="W1492" s="45" t="str">
        <f>IFERROR(VLOOKUP(B1492,'Pre-Summary'!$Y$6:$AD$83,6,FALSE),"")</f>
        <v/>
      </c>
      <c r="X1492" t="str">
        <f>IFERROR(VLOOKUP('Pre-Summary'!$DB$6:$DD$63,3,FALSE),"")</f>
        <v/>
      </c>
      <c r="Y1492" t="str">
        <f>IFERROR(VLOOKUP(B1492,'Pre-Summary'!$CR$6:$CT$36,3,FALSE),"")</f>
        <v/>
      </c>
      <c r="Z1492" s="45" t="str">
        <f>IFERROR(VLOOKUP(B1492,'Pre-Summary'!$BZ$6:$CB$63,2,FALSE),"")</f>
        <v/>
      </c>
      <c r="AA1492" s="45" t="str">
        <f>IFERROR(VLOOKUP(B1492,'Pre-Summary'!$CG$6:$CI$70,2,FALSE),"")</f>
        <v/>
      </c>
      <c r="AB1492" s="99">
        <f>IFERROR(VLOOKUP(B1492,'Pre-Summary'!$A$6:$P$178,9,FALSE),AB1493)</f>
        <v>0.35181614583388343</v>
      </c>
      <c r="AC1492" s="10">
        <f>IFERROR(VLOOKUP(Summary!B1492,'Pre-Summary'!$A$6:$P$184,5, FALSE)/100,AC1493)</f>
        <v>0.71615799999999996</v>
      </c>
      <c r="AD1492" s="10">
        <f>IFERROR(VLOOKUP(Summary!B1492,'Pre-Summary'!$A$6:$P$184,3, FALSE)/100,AD1493)</f>
        <v>0.24037466666666671</v>
      </c>
      <c r="AE1492" s="10">
        <f>IFERROR(VLOOKUP(Summary!B1492,'Pre-Summary'!$A$6:$P$184,7, FALSE)/100,AE1493)</f>
        <v>4.3467666666666661E-2</v>
      </c>
      <c r="AF1492" s="99">
        <f t="shared" si="70"/>
        <v>8.4567688782771128E-2</v>
      </c>
      <c r="AG1492" s="99">
        <f t="shared" si="71"/>
        <v>1.5292626955058631E-2</v>
      </c>
      <c r="AH1492" s="10" t="str">
        <f>IFERROR(VLOOKUP(B1492,'Pre-Summary'!$AZ$6:$BE$65,3,FALSE),"")</f>
        <v/>
      </c>
      <c r="AI1492" s="10" t="str">
        <f>IFERROR(VLOOKUP(B1492,'Pre-Summary'!$AZ$6:$BE$65,5,FALSE),"")</f>
        <v/>
      </c>
      <c r="AJ1492" s="10" t="str">
        <f>IFERROR(VLOOKUP(B1492,'Pre-Summary'!$AZ$6:$BE$65,4,FALSE),"")</f>
        <v/>
      </c>
      <c r="AK1492" s="10" t="str">
        <f>IFERROR(VLOOKUP(B1492,'Pre-Summary'!$AZ$6:$BE$65,6,FALSE),"")</f>
        <v/>
      </c>
      <c r="AL1492" s="10" t="str">
        <f>IFERROR(VLOOKUP(B1492,'Pre-Summary'!$BG$6:$BL$44,3,FALSE),"")</f>
        <v/>
      </c>
      <c r="AM1492" s="10" t="str">
        <f>IFERROR(VLOOKUP(B1492,'Pre-Summary'!$BG$6:$BL$44,4,FALSE),"")</f>
        <v/>
      </c>
    </row>
    <row r="1493" spans="2:39" ht="15" customHeight="1" x14ac:dyDescent="0.3">
      <c r="B1493">
        <v>149</v>
      </c>
      <c r="C1493" t="str">
        <f>IFERROR(VLOOKUP(B1493,'Pre-Summary'!$DI$6:$DM$23,4,FALSE),"")</f>
        <v/>
      </c>
      <c r="D1493" s="10" t="str">
        <f>IFERROR(VLOOKUP(B1493,'Pre-Summary'!$AT$6:$AX$14,5,FALSE),D1492)</f>
        <v>Wolfe v2: put in KILLER wolfe + EDTA + switch to HCl in trace elements</v>
      </c>
      <c r="E1493" s="10" t="str">
        <f>IFERROR(VLOOKUP(B1493,'Pre-Summary'!$AT$6:$AX$15,4,FALSE),"")</f>
        <v/>
      </c>
      <c r="F1493">
        <f>IFERROR(VLOOKUP(B1493,'Pre-Summary'!$AL$6:$AQ$13,6,FALSE),F1492)</f>
        <v>5.3897368421052638E-2</v>
      </c>
      <c r="G1493" t="str">
        <f>IFERROR(VLOOKUP(B1493,'Pre-Summary'!$AE$6:$AJ$85,3,FALSE),"")</f>
        <v/>
      </c>
      <c r="H1493" t="str">
        <f>IFERROR(VLOOKUP(B1493,'Pre-Summary'!$AE$6:$AJ$85,4,FALSE),"")</f>
        <v/>
      </c>
      <c r="I1493" t="str">
        <f>IFERROR(VLOOKUP(B1493,'Pre-Summary'!$AE$6:$AJ$85,5,FALSE),"")</f>
        <v/>
      </c>
      <c r="J1493" s="45" t="str">
        <f>IFERROR(VLOOKUP(B1493,'Pre-Summary'!$AE$6:$AJ$85,6, FALSE),"")</f>
        <v/>
      </c>
      <c r="K1493" s="45" t="str">
        <f>IFERROR(VLOOKUP(B1493,'Pre-Summary'!$DE$6:$DG$61,3,FALSE),"")</f>
        <v/>
      </c>
      <c r="L1493" s="45" t="str">
        <f>IFERROR(VLOOKUP(B1493,'Pre-Summary'!$CU$6:$CW$36,3,FALSE),"")</f>
        <v/>
      </c>
      <c r="M1493" s="45" t="str">
        <f>IFERROR(VLOOKUP(B1493,'Pre-Summary'!$BW$6:$BY$58,2,FALSE),"")</f>
        <v/>
      </c>
      <c r="N1493" s="45" t="str">
        <f>IFERROR(VLOOKUP(B1493,'Pre-Summary'!$CD$6:$CF$64,2,FALSE),"")</f>
        <v/>
      </c>
      <c r="O1493" s="99">
        <f>IFERROR(VLOOKUP(B1493,'Pre-Summary'!$BO$6:$BQ$48,3, FALSE),O1492)</f>
        <v>0.6</v>
      </c>
      <c r="P1493" s="99">
        <f>IFERROR(VLOOKUP(B1493,'Pre-Summary'!$BS$6:$BU$35,3,FALSE),P1492)</f>
        <v>0.3</v>
      </c>
      <c r="Q1493" s="54">
        <f t="shared" si="69"/>
        <v>2</v>
      </c>
      <c r="R1493" s="53">
        <f>IFERROR(VLOOKUP(B1493,'Pre-Summary'!$BG$6:$BM$44,7,FALSE),R1494)</f>
        <v>0.10131789275871156</v>
      </c>
      <c r="S1493" s="53">
        <f>IFERROR(VLOOKUP(B1493,'Pre-Summary'!$BG$6:$BM$44,6,FALSE),S1494)</f>
        <v>9.6637565908873055E-2</v>
      </c>
      <c r="T1493" s="45" t="str">
        <f>IFERROR(VLOOKUP(B1493,'Pre-Summary'!$Y$6:$AC$83, 3,FALSE),"")</f>
        <v/>
      </c>
      <c r="U1493" s="45" t="str">
        <f>IFERROR(VLOOKUP(B1493,'Pre-Summary'!$Y$6:$AC$83, 4,FALSE),"")</f>
        <v/>
      </c>
      <c r="V1493" t="str">
        <f>IFERROR(VLOOKUP(B1493,'Pre-Summary'!$Y$6:$AC$83, 5,FALSE),"")</f>
        <v/>
      </c>
      <c r="W1493" s="45" t="str">
        <f>IFERROR(VLOOKUP(B1493,'Pre-Summary'!$Y$6:$AD$83,6,FALSE),"")</f>
        <v/>
      </c>
      <c r="X1493" t="str">
        <f>IFERROR(VLOOKUP('Pre-Summary'!$DB$6:$DD$63,3,FALSE),"")</f>
        <v/>
      </c>
      <c r="Y1493" t="str">
        <f>IFERROR(VLOOKUP(B1493,'Pre-Summary'!$CR$6:$CT$36,3,FALSE),"")</f>
        <v/>
      </c>
      <c r="Z1493" s="45" t="str">
        <f>IFERROR(VLOOKUP(B1493,'Pre-Summary'!$BZ$6:$CB$63,2,FALSE),"")</f>
        <v/>
      </c>
      <c r="AA1493" s="45" t="str">
        <f>IFERROR(VLOOKUP(B1493,'Pre-Summary'!$CG$6:$CI$70,2,FALSE),"")</f>
        <v/>
      </c>
      <c r="AB1493" s="99">
        <f>IFERROR(VLOOKUP(B1493,'Pre-Summary'!$A$6:$P$178,9,FALSE),AB1494)</f>
        <v>0.35181614583388343</v>
      </c>
      <c r="AC1493" s="10">
        <f>IFERROR(VLOOKUP(Summary!B1493,'Pre-Summary'!$A$6:$P$184,5, FALSE)/100,AC1494)</f>
        <v>0.71615799999999996</v>
      </c>
      <c r="AD1493" s="10">
        <f>IFERROR(VLOOKUP(Summary!B1493,'Pre-Summary'!$A$6:$P$184,3, FALSE)/100,AD1494)</f>
        <v>0.24037466666666671</v>
      </c>
      <c r="AE1493" s="10">
        <f>IFERROR(VLOOKUP(Summary!B1493,'Pre-Summary'!$A$6:$P$184,7, FALSE)/100,AE1494)</f>
        <v>4.3467666666666661E-2</v>
      </c>
      <c r="AF1493" s="99">
        <f t="shared" si="70"/>
        <v>8.4567688782771128E-2</v>
      </c>
      <c r="AG1493" s="99">
        <f t="shared" si="71"/>
        <v>1.5292626955058631E-2</v>
      </c>
      <c r="AH1493" s="10" t="str">
        <f>IFERROR(VLOOKUP(B1493,'Pre-Summary'!$AZ$6:$BE$65,3,FALSE),"")</f>
        <v/>
      </c>
      <c r="AI1493" s="10" t="str">
        <f>IFERROR(VLOOKUP(B1493,'Pre-Summary'!$AZ$6:$BE$65,5,FALSE),"")</f>
        <v/>
      </c>
      <c r="AJ1493" s="10" t="str">
        <f>IFERROR(VLOOKUP(B1493,'Pre-Summary'!$AZ$6:$BE$65,4,FALSE),"")</f>
        <v/>
      </c>
      <c r="AK1493" s="10" t="str">
        <f>IFERROR(VLOOKUP(B1493,'Pre-Summary'!$AZ$6:$BE$65,6,FALSE),"")</f>
        <v/>
      </c>
      <c r="AL1493" s="10" t="str">
        <f>IFERROR(VLOOKUP(B1493,'Pre-Summary'!$BG$6:$BL$44,3,FALSE),"")</f>
        <v/>
      </c>
      <c r="AM1493" s="10" t="str">
        <f>IFERROR(VLOOKUP(B1493,'Pre-Summary'!$BG$6:$BL$44,4,FALSE),"")</f>
        <v/>
      </c>
    </row>
    <row r="1494" spans="2:39" ht="15" customHeight="1" x14ac:dyDescent="0.3">
      <c r="B1494">
        <v>149.1</v>
      </c>
      <c r="C1494" t="str">
        <f>IFERROR(VLOOKUP(B1494,'Pre-Summary'!$DI$6:$DM$23,4,FALSE),"")</f>
        <v>I34</v>
      </c>
      <c r="D1494" s="10" t="str">
        <f>IFERROR(VLOOKUP(B1494,'Pre-Summary'!$AT$6:$AX$14,5,FALSE),D1493)</f>
        <v>Wolfe v2: put in KILLER wolfe + EDTA + switch to HCl in trace elements</v>
      </c>
      <c r="E1494" s="10" t="str">
        <f>IFERROR(VLOOKUP(B1494,'Pre-Summary'!$AT$6:$AX$15,4,FALSE),"")</f>
        <v/>
      </c>
      <c r="F1494">
        <f>IFERROR(VLOOKUP(B1494,'Pre-Summary'!$AL$6:$AQ$13,6,FALSE),F1493)</f>
        <v>5.3897368421052638E-2</v>
      </c>
      <c r="G1494" t="str">
        <f>IFERROR(VLOOKUP(B1494,'Pre-Summary'!$AE$6:$AJ$85,3,FALSE),"")</f>
        <v/>
      </c>
      <c r="H1494" t="str">
        <f>IFERROR(VLOOKUP(B1494,'Pre-Summary'!$AE$6:$AJ$85,4,FALSE),"")</f>
        <v/>
      </c>
      <c r="I1494" t="str">
        <f>IFERROR(VLOOKUP(B1494,'Pre-Summary'!$AE$6:$AJ$85,5,FALSE),"")</f>
        <v/>
      </c>
      <c r="J1494" s="45" t="str">
        <f>IFERROR(VLOOKUP(B1494,'Pre-Summary'!$AE$6:$AJ$85,6, FALSE),"")</f>
        <v/>
      </c>
      <c r="K1494" s="45" t="str">
        <f>IFERROR(VLOOKUP(B1494,'Pre-Summary'!$DE$6:$DG$61,3,FALSE),"")</f>
        <v/>
      </c>
      <c r="L1494" s="45" t="str">
        <f>IFERROR(VLOOKUP(B1494,'Pre-Summary'!$CU$6:$CW$36,3,FALSE),"")</f>
        <v/>
      </c>
      <c r="M1494" s="45" t="str">
        <f>IFERROR(VLOOKUP(B1494,'Pre-Summary'!$BW$6:$BY$58,2,FALSE),"")</f>
        <v/>
      </c>
      <c r="N1494" s="45" t="str">
        <f>IFERROR(VLOOKUP(B1494,'Pre-Summary'!$CD$6:$CF$64,2,FALSE),"")</f>
        <v/>
      </c>
      <c r="O1494" s="99">
        <f>IFERROR(VLOOKUP(B1494,'Pre-Summary'!$BO$6:$BQ$48,3, FALSE),O1493)</f>
        <v>0.6</v>
      </c>
      <c r="P1494" s="99">
        <f>IFERROR(VLOOKUP(B1494,'Pre-Summary'!$BS$6:$BU$35,3,FALSE),P1493)</f>
        <v>0.3</v>
      </c>
      <c r="Q1494" s="54">
        <f t="shared" si="69"/>
        <v>2</v>
      </c>
      <c r="R1494" s="53">
        <f>IFERROR(VLOOKUP(B1494,'Pre-Summary'!$BG$6:$BM$44,7,FALSE),R1495)</f>
        <v>0.10131789275871156</v>
      </c>
      <c r="S1494" s="53">
        <f>IFERROR(VLOOKUP(B1494,'Pre-Summary'!$BG$6:$BM$44,6,FALSE),S1495)</f>
        <v>9.6637565908873055E-2</v>
      </c>
      <c r="T1494" s="45" t="str">
        <f>IFERROR(VLOOKUP(B1494,'Pre-Summary'!$Y$6:$AC$83, 3,FALSE),"")</f>
        <v/>
      </c>
      <c r="U1494" s="45" t="str">
        <f>IFERROR(VLOOKUP(B1494,'Pre-Summary'!$Y$6:$AC$83, 4,FALSE),"")</f>
        <v/>
      </c>
      <c r="V1494" t="str">
        <f>IFERROR(VLOOKUP(B1494,'Pre-Summary'!$Y$6:$AC$83, 5,FALSE),"")</f>
        <v/>
      </c>
      <c r="W1494" s="45" t="str">
        <f>IFERROR(VLOOKUP(B1494,'Pre-Summary'!$Y$6:$AD$83,6,FALSE),"")</f>
        <v/>
      </c>
      <c r="X1494" t="str">
        <f>IFERROR(VLOOKUP('Pre-Summary'!$DB$6:$DD$63,3,FALSE),"")</f>
        <v/>
      </c>
      <c r="Y1494" t="str">
        <f>IFERROR(VLOOKUP(B1494,'Pre-Summary'!$CR$6:$CT$36,3,FALSE),"")</f>
        <v/>
      </c>
      <c r="Z1494" s="45" t="str">
        <f>IFERROR(VLOOKUP(B1494,'Pre-Summary'!$BZ$6:$CB$63,2,FALSE),"")</f>
        <v/>
      </c>
      <c r="AA1494" s="45" t="str">
        <f>IFERROR(VLOOKUP(B1494,'Pre-Summary'!$CG$6:$CI$70,2,FALSE),"")</f>
        <v/>
      </c>
      <c r="AB1494" s="99">
        <f>IFERROR(VLOOKUP(B1494,'Pre-Summary'!$A$6:$P$178,9,FALSE),AB1495)</f>
        <v>0.35181614583388343</v>
      </c>
      <c r="AC1494" s="10">
        <f>IFERROR(VLOOKUP(Summary!B1494,'Pre-Summary'!$A$6:$P$184,5, FALSE)/100,AC1495)</f>
        <v>0.71615799999999996</v>
      </c>
      <c r="AD1494" s="10">
        <f>IFERROR(VLOOKUP(Summary!B1494,'Pre-Summary'!$A$6:$P$184,3, FALSE)/100,AD1495)</f>
        <v>0.24037466666666671</v>
      </c>
      <c r="AE1494" s="10">
        <f>IFERROR(VLOOKUP(Summary!B1494,'Pre-Summary'!$A$6:$P$184,7, FALSE)/100,AE1495)</f>
        <v>4.3467666666666661E-2</v>
      </c>
      <c r="AF1494" s="99">
        <f t="shared" si="70"/>
        <v>8.4567688782771128E-2</v>
      </c>
      <c r="AG1494" s="99">
        <f t="shared" si="71"/>
        <v>1.5292626955058631E-2</v>
      </c>
      <c r="AH1494" s="10" t="str">
        <f>IFERROR(VLOOKUP(B1494,'Pre-Summary'!$AZ$6:$BE$65,3,FALSE),"")</f>
        <v/>
      </c>
      <c r="AI1494" s="10" t="str">
        <f>IFERROR(VLOOKUP(B1494,'Pre-Summary'!$AZ$6:$BE$65,5,FALSE),"")</f>
        <v/>
      </c>
      <c r="AJ1494" s="10" t="str">
        <f>IFERROR(VLOOKUP(B1494,'Pre-Summary'!$AZ$6:$BE$65,4,FALSE),"")</f>
        <v/>
      </c>
      <c r="AK1494" s="10" t="str">
        <f>IFERROR(VLOOKUP(B1494,'Pre-Summary'!$AZ$6:$BE$65,6,FALSE),"")</f>
        <v/>
      </c>
      <c r="AL1494" s="10" t="str">
        <f>IFERROR(VLOOKUP(B1494,'Pre-Summary'!$BG$6:$BL$44,3,FALSE),"")</f>
        <v/>
      </c>
      <c r="AM1494" s="10" t="str">
        <f>IFERROR(VLOOKUP(B1494,'Pre-Summary'!$BG$6:$BL$44,4,FALSE),"")</f>
        <v/>
      </c>
    </row>
    <row r="1495" spans="2:39" ht="15" customHeight="1" x14ac:dyDescent="0.3">
      <c r="B1495">
        <v>149.19999999999999</v>
      </c>
      <c r="C1495" t="str">
        <f>IFERROR(VLOOKUP(B1495,'Pre-Summary'!$DI$6:$DM$23,4,FALSE),"")</f>
        <v/>
      </c>
      <c r="D1495" s="10" t="str">
        <f>IFERROR(VLOOKUP(B1495,'Pre-Summary'!$AT$6:$AX$14,5,FALSE),D1494)</f>
        <v>Wolfe v2: put in KILLER wolfe + EDTA + switch to HCl in trace elements</v>
      </c>
      <c r="E1495" s="10" t="str">
        <f>IFERROR(VLOOKUP(B1495,'Pre-Summary'!$AT$6:$AX$15,4,FALSE),"")</f>
        <v/>
      </c>
      <c r="F1495">
        <f>IFERROR(VLOOKUP(B1495,'Pre-Summary'!$AL$6:$AQ$13,6,FALSE),F1494)</f>
        <v>5.3897368421052638E-2</v>
      </c>
      <c r="G1495" t="str">
        <f>IFERROR(VLOOKUP(B1495,'Pre-Summary'!$AE$6:$AJ$85,3,FALSE),"")</f>
        <v/>
      </c>
      <c r="H1495" t="str">
        <f>IFERROR(VLOOKUP(B1495,'Pre-Summary'!$AE$6:$AJ$85,4,FALSE),"")</f>
        <v/>
      </c>
      <c r="I1495" t="str">
        <f>IFERROR(VLOOKUP(B1495,'Pre-Summary'!$AE$6:$AJ$85,5,FALSE),"")</f>
        <v/>
      </c>
      <c r="J1495" s="45" t="str">
        <f>IFERROR(VLOOKUP(B1495,'Pre-Summary'!$AE$6:$AJ$85,6, FALSE),"")</f>
        <v/>
      </c>
      <c r="K1495" s="45" t="str">
        <f>IFERROR(VLOOKUP(B1495,'Pre-Summary'!$DE$6:$DG$61,3,FALSE),"")</f>
        <v/>
      </c>
      <c r="L1495" s="45" t="str">
        <f>IFERROR(VLOOKUP(B1495,'Pre-Summary'!$CU$6:$CW$36,3,FALSE),"")</f>
        <v/>
      </c>
      <c r="M1495" s="45" t="str">
        <f>IFERROR(VLOOKUP(B1495,'Pre-Summary'!$BW$6:$BY$58,2,FALSE),"")</f>
        <v/>
      </c>
      <c r="N1495" s="45" t="str">
        <f>IFERROR(VLOOKUP(B1495,'Pre-Summary'!$CD$6:$CF$64,2,FALSE),"")</f>
        <v/>
      </c>
      <c r="O1495" s="99">
        <f>IFERROR(VLOOKUP(B1495,'Pre-Summary'!$BO$6:$BQ$48,3, FALSE),O1494)</f>
        <v>0.6</v>
      </c>
      <c r="P1495" s="99">
        <f>IFERROR(VLOOKUP(B1495,'Pre-Summary'!$BS$6:$BU$35,3,FALSE),P1494)</f>
        <v>0.3</v>
      </c>
      <c r="Q1495" s="54">
        <f t="shared" si="69"/>
        <v>2</v>
      </c>
      <c r="R1495" s="53">
        <f>IFERROR(VLOOKUP(B1495,'Pre-Summary'!$BG$6:$BM$44,7,FALSE),R1496)</f>
        <v>0.10131789275871156</v>
      </c>
      <c r="S1495" s="53">
        <f>IFERROR(VLOOKUP(B1495,'Pre-Summary'!$BG$6:$BM$44,6,FALSE),S1496)</f>
        <v>9.6637565908873055E-2</v>
      </c>
      <c r="T1495" s="45" t="str">
        <f>IFERROR(VLOOKUP(B1495,'Pre-Summary'!$Y$6:$AC$83, 3,FALSE),"")</f>
        <v/>
      </c>
      <c r="U1495" s="45" t="str">
        <f>IFERROR(VLOOKUP(B1495,'Pre-Summary'!$Y$6:$AC$83, 4,FALSE),"")</f>
        <v/>
      </c>
      <c r="V1495" t="str">
        <f>IFERROR(VLOOKUP(B1495,'Pre-Summary'!$Y$6:$AC$83, 5,FALSE),"")</f>
        <v/>
      </c>
      <c r="W1495" s="45" t="str">
        <f>IFERROR(VLOOKUP(B1495,'Pre-Summary'!$Y$6:$AD$83,6,FALSE),"")</f>
        <v/>
      </c>
      <c r="X1495" t="str">
        <f>IFERROR(VLOOKUP('Pre-Summary'!$DB$6:$DD$63,3,FALSE),"")</f>
        <v/>
      </c>
      <c r="Y1495" t="str">
        <f>IFERROR(VLOOKUP(B1495,'Pre-Summary'!$CR$6:$CT$36,3,FALSE),"")</f>
        <v/>
      </c>
      <c r="Z1495" s="45" t="str">
        <f>IFERROR(VLOOKUP(B1495,'Pre-Summary'!$BZ$6:$CB$63,2,FALSE),"")</f>
        <v/>
      </c>
      <c r="AA1495" s="45" t="str">
        <f>IFERROR(VLOOKUP(B1495,'Pre-Summary'!$CG$6:$CI$70,2,FALSE),"")</f>
        <v/>
      </c>
      <c r="AB1495" s="99">
        <f>IFERROR(VLOOKUP(B1495,'Pre-Summary'!$A$6:$P$178,9,FALSE),AB1496)</f>
        <v>0.35181614583388343</v>
      </c>
      <c r="AC1495" s="10">
        <f>IFERROR(VLOOKUP(Summary!B1495,'Pre-Summary'!$A$6:$P$184,5, FALSE)/100,AC1496)</f>
        <v>0.71615799999999996</v>
      </c>
      <c r="AD1495" s="10">
        <f>IFERROR(VLOOKUP(Summary!B1495,'Pre-Summary'!$A$6:$P$184,3, FALSE)/100,AD1496)</f>
        <v>0.24037466666666671</v>
      </c>
      <c r="AE1495" s="10">
        <f>IFERROR(VLOOKUP(Summary!B1495,'Pre-Summary'!$A$6:$P$184,7, FALSE)/100,AE1496)</f>
        <v>4.3467666666666661E-2</v>
      </c>
      <c r="AF1495" s="99">
        <f t="shared" si="70"/>
        <v>8.4567688782771128E-2</v>
      </c>
      <c r="AG1495" s="99">
        <f t="shared" si="71"/>
        <v>1.5292626955058631E-2</v>
      </c>
      <c r="AH1495" s="10" t="str">
        <f>IFERROR(VLOOKUP(B1495,'Pre-Summary'!$AZ$6:$BE$65,3,FALSE),"")</f>
        <v/>
      </c>
      <c r="AI1495" s="10" t="str">
        <f>IFERROR(VLOOKUP(B1495,'Pre-Summary'!$AZ$6:$BE$65,5,FALSE),"")</f>
        <v/>
      </c>
      <c r="AJ1495" s="10" t="str">
        <f>IFERROR(VLOOKUP(B1495,'Pre-Summary'!$AZ$6:$BE$65,4,FALSE),"")</f>
        <v/>
      </c>
      <c r="AK1495" s="10" t="str">
        <f>IFERROR(VLOOKUP(B1495,'Pre-Summary'!$AZ$6:$BE$65,6,FALSE),"")</f>
        <v/>
      </c>
      <c r="AL1495" s="10" t="str">
        <f>IFERROR(VLOOKUP(B1495,'Pre-Summary'!$BG$6:$BL$44,3,FALSE),"")</f>
        <v/>
      </c>
      <c r="AM1495" s="10" t="str">
        <f>IFERROR(VLOOKUP(B1495,'Pre-Summary'!$BG$6:$BL$44,4,FALSE),"")</f>
        <v/>
      </c>
    </row>
    <row r="1496" spans="2:39" ht="15" customHeight="1" x14ac:dyDescent="0.3">
      <c r="B1496">
        <v>149.30000000000001</v>
      </c>
      <c r="C1496" t="str">
        <f>IFERROR(VLOOKUP(B1496,'Pre-Summary'!$DI$6:$DM$23,4,FALSE),"")</f>
        <v/>
      </c>
      <c r="D1496" s="10" t="str">
        <f>IFERROR(VLOOKUP(B1496,'Pre-Summary'!$AT$6:$AX$14,5,FALSE),D1495)</f>
        <v>Wolfe v2: put in KILLER wolfe + EDTA + switch to HCl in trace elements</v>
      </c>
      <c r="E1496" s="10" t="str">
        <f>IFERROR(VLOOKUP(B1496,'Pre-Summary'!$AT$6:$AX$15,4,FALSE),"")</f>
        <v/>
      </c>
      <c r="F1496">
        <f>IFERROR(VLOOKUP(B1496,'Pre-Summary'!$AL$6:$AQ$13,6,FALSE),F1495)</f>
        <v>5.3897368421052638E-2</v>
      </c>
      <c r="G1496" t="str">
        <f>IFERROR(VLOOKUP(B1496,'Pre-Summary'!$AE$6:$AJ$85,3,FALSE),"")</f>
        <v/>
      </c>
      <c r="H1496" t="str">
        <f>IFERROR(VLOOKUP(B1496,'Pre-Summary'!$AE$6:$AJ$85,4,FALSE),"")</f>
        <v/>
      </c>
      <c r="I1496" t="str">
        <f>IFERROR(VLOOKUP(B1496,'Pre-Summary'!$AE$6:$AJ$85,5,FALSE),"")</f>
        <v/>
      </c>
      <c r="J1496" s="45" t="str">
        <f>IFERROR(VLOOKUP(B1496,'Pre-Summary'!$AE$6:$AJ$85,6, FALSE),"")</f>
        <v/>
      </c>
      <c r="K1496" s="45" t="str">
        <f>IFERROR(VLOOKUP(B1496,'Pre-Summary'!$DE$6:$DG$61,3,FALSE),"")</f>
        <v/>
      </c>
      <c r="L1496" s="45" t="str">
        <f>IFERROR(VLOOKUP(B1496,'Pre-Summary'!$CU$6:$CW$36,3,FALSE),"")</f>
        <v/>
      </c>
      <c r="M1496" s="45" t="str">
        <f>IFERROR(VLOOKUP(B1496,'Pre-Summary'!$BW$6:$BY$58,2,FALSE),"")</f>
        <v/>
      </c>
      <c r="N1496" s="45" t="str">
        <f>IFERROR(VLOOKUP(B1496,'Pre-Summary'!$CD$6:$CF$64,2,FALSE),"")</f>
        <v/>
      </c>
      <c r="O1496" s="99">
        <f>IFERROR(VLOOKUP(B1496,'Pre-Summary'!$BO$6:$BQ$48,3, FALSE),O1495)</f>
        <v>0.6</v>
      </c>
      <c r="P1496" s="99">
        <f>IFERROR(VLOOKUP(B1496,'Pre-Summary'!$BS$6:$BU$35,3,FALSE),P1495)</f>
        <v>0.3</v>
      </c>
      <c r="Q1496" s="54">
        <f t="shared" si="69"/>
        <v>2</v>
      </c>
      <c r="R1496" s="53">
        <f>IFERROR(VLOOKUP(B1496,'Pre-Summary'!$BG$6:$BM$44,7,FALSE),R1497)</f>
        <v>0.10131789275871156</v>
      </c>
      <c r="S1496" s="53">
        <f>IFERROR(VLOOKUP(B1496,'Pre-Summary'!$BG$6:$BM$44,6,FALSE),S1497)</f>
        <v>9.6637565908873055E-2</v>
      </c>
      <c r="T1496" s="45" t="str">
        <f>IFERROR(VLOOKUP(B1496,'Pre-Summary'!$Y$6:$AC$83, 3,FALSE),"")</f>
        <v/>
      </c>
      <c r="U1496" s="45" t="str">
        <f>IFERROR(VLOOKUP(B1496,'Pre-Summary'!$Y$6:$AC$83, 4,FALSE),"")</f>
        <v/>
      </c>
      <c r="V1496" t="str">
        <f>IFERROR(VLOOKUP(B1496,'Pre-Summary'!$Y$6:$AC$83, 5,FALSE),"")</f>
        <v/>
      </c>
      <c r="W1496" s="45" t="str">
        <f>IFERROR(VLOOKUP(B1496,'Pre-Summary'!$Y$6:$AD$83,6,FALSE),"")</f>
        <v/>
      </c>
      <c r="X1496" t="str">
        <f>IFERROR(VLOOKUP('Pre-Summary'!$DB$6:$DD$63,3,FALSE),"")</f>
        <v/>
      </c>
      <c r="Y1496" t="str">
        <f>IFERROR(VLOOKUP(B1496,'Pre-Summary'!$CR$6:$CT$36,3,FALSE),"")</f>
        <v/>
      </c>
      <c r="Z1496" s="45" t="str">
        <f>IFERROR(VLOOKUP(B1496,'Pre-Summary'!$BZ$6:$CB$63,2,FALSE),"")</f>
        <v/>
      </c>
      <c r="AA1496" s="45" t="str">
        <f>IFERROR(VLOOKUP(B1496,'Pre-Summary'!$CG$6:$CI$70,2,FALSE),"")</f>
        <v/>
      </c>
      <c r="AB1496" s="99">
        <f>IFERROR(VLOOKUP(B1496,'Pre-Summary'!$A$6:$P$178,9,FALSE),AB1497)</f>
        <v>0.35181614583388343</v>
      </c>
      <c r="AC1496" s="10">
        <f>IFERROR(VLOOKUP(Summary!B1496,'Pre-Summary'!$A$6:$P$184,5, FALSE)/100,AC1497)</f>
        <v>0.71615799999999996</v>
      </c>
      <c r="AD1496" s="10">
        <f>IFERROR(VLOOKUP(Summary!B1496,'Pre-Summary'!$A$6:$P$184,3, FALSE)/100,AD1497)</f>
        <v>0.24037466666666671</v>
      </c>
      <c r="AE1496" s="10">
        <f>IFERROR(VLOOKUP(Summary!B1496,'Pre-Summary'!$A$6:$P$184,7, FALSE)/100,AE1497)</f>
        <v>4.3467666666666661E-2</v>
      </c>
      <c r="AF1496" s="99">
        <f t="shared" si="70"/>
        <v>8.4567688782771128E-2</v>
      </c>
      <c r="AG1496" s="99">
        <f t="shared" si="71"/>
        <v>1.5292626955058631E-2</v>
      </c>
      <c r="AH1496" s="10" t="str">
        <f>IFERROR(VLOOKUP(B1496,'Pre-Summary'!$AZ$6:$BE$65,3,FALSE),"")</f>
        <v/>
      </c>
      <c r="AI1496" s="10" t="str">
        <f>IFERROR(VLOOKUP(B1496,'Pre-Summary'!$AZ$6:$BE$65,5,FALSE),"")</f>
        <v/>
      </c>
      <c r="AJ1496" s="10" t="str">
        <f>IFERROR(VLOOKUP(B1496,'Pre-Summary'!$AZ$6:$BE$65,4,FALSE),"")</f>
        <v/>
      </c>
      <c r="AK1496" s="10" t="str">
        <f>IFERROR(VLOOKUP(B1496,'Pre-Summary'!$AZ$6:$BE$65,6,FALSE),"")</f>
        <v/>
      </c>
      <c r="AL1496" s="10" t="str">
        <f>IFERROR(VLOOKUP(B1496,'Pre-Summary'!$BG$6:$BL$44,3,FALSE),"")</f>
        <v/>
      </c>
      <c r="AM1496" s="10" t="str">
        <f>IFERROR(VLOOKUP(B1496,'Pre-Summary'!$BG$6:$BL$44,4,FALSE),"")</f>
        <v/>
      </c>
    </row>
    <row r="1497" spans="2:39" ht="15" customHeight="1" x14ac:dyDescent="0.3">
      <c r="B1497">
        <v>149.4</v>
      </c>
      <c r="C1497" t="str">
        <f>IFERROR(VLOOKUP(B1497,'Pre-Summary'!$DI$6:$DM$23,4,FALSE),"")</f>
        <v/>
      </c>
      <c r="D1497" s="10" t="str">
        <f>IFERROR(VLOOKUP(B1497,'Pre-Summary'!$AT$6:$AX$14,5,FALSE),D1496)</f>
        <v>Wolfe v2: put in KILLER wolfe + EDTA + switch to HCl in trace elements</v>
      </c>
      <c r="E1497" s="10" t="str">
        <f>IFERROR(VLOOKUP(B1497,'Pre-Summary'!$AT$6:$AX$15,4,FALSE),"")</f>
        <v/>
      </c>
      <c r="F1497">
        <f>IFERROR(VLOOKUP(B1497,'Pre-Summary'!$AL$6:$AQ$13,6,FALSE),F1496)</f>
        <v>5.3897368421052638E-2</v>
      </c>
      <c r="G1497" t="str">
        <f>IFERROR(VLOOKUP(B1497,'Pre-Summary'!$AE$6:$AJ$85,3,FALSE),"")</f>
        <v/>
      </c>
      <c r="H1497" t="str">
        <f>IFERROR(VLOOKUP(B1497,'Pre-Summary'!$AE$6:$AJ$85,4,FALSE),"")</f>
        <v/>
      </c>
      <c r="I1497" t="str">
        <f>IFERROR(VLOOKUP(B1497,'Pre-Summary'!$AE$6:$AJ$85,5,FALSE),"")</f>
        <v/>
      </c>
      <c r="J1497" s="45" t="str">
        <f>IFERROR(VLOOKUP(B1497,'Pre-Summary'!$AE$6:$AJ$85,6, FALSE),"")</f>
        <v/>
      </c>
      <c r="K1497" s="45" t="str">
        <f>IFERROR(VLOOKUP(B1497,'Pre-Summary'!$DE$6:$DG$61,3,FALSE),"")</f>
        <v/>
      </c>
      <c r="L1497" s="45" t="str">
        <f>IFERROR(VLOOKUP(B1497,'Pre-Summary'!$CU$6:$CW$36,3,FALSE),"")</f>
        <v/>
      </c>
      <c r="M1497" s="45" t="str">
        <f>IFERROR(VLOOKUP(B1497,'Pre-Summary'!$BW$6:$BY$58,2,FALSE),"")</f>
        <v/>
      </c>
      <c r="N1497" s="45" t="str">
        <f>IFERROR(VLOOKUP(B1497,'Pre-Summary'!$CD$6:$CF$64,2,FALSE),"")</f>
        <v/>
      </c>
      <c r="O1497" s="99">
        <f>IFERROR(VLOOKUP(B1497,'Pre-Summary'!$BO$6:$BQ$48,3, FALSE),O1496)</f>
        <v>0.6</v>
      </c>
      <c r="P1497" s="99">
        <f>IFERROR(VLOOKUP(B1497,'Pre-Summary'!$BS$6:$BU$35,3,FALSE),P1496)</f>
        <v>0.3</v>
      </c>
      <c r="Q1497" s="54">
        <f t="shared" si="69"/>
        <v>2</v>
      </c>
      <c r="R1497" s="53">
        <f>IFERROR(VLOOKUP(B1497,'Pre-Summary'!$BG$6:$BM$44,7,FALSE),R1498)</f>
        <v>0.10131789275871156</v>
      </c>
      <c r="S1497" s="53">
        <f>IFERROR(VLOOKUP(B1497,'Pre-Summary'!$BG$6:$BM$44,6,FALSE),S1498)</f>
        <v>9.6637565908873055E-2</v>
      </c>
      <c r="T1497" s="45" t="str">
        <f>IFERROR(VLOOKUP(B1497,'Pre-Summary'!$Y$6:$AC$83, 3,FALSE),"")</f>
        <v/>
      </c>
      <c r="U1497" s="45" t="str">
        <f>IFERROR(VLOOKUP(B1497,'Pre-Summary'!$Y$6:$AC$83, 4,FALSE),"")</f>
        <v/>
      </c>
      <c r="V1497" t="str">
        <f>IFERROR(VLOOKUP(B1497,'Pre-Summary'!$Y$6:$AC$83, 5,FALSE),"")</f>
        <v/>
      </c>
      <c r="W1497" s="45" t="str">
        <f>IFERROR(VLOOKUP(B1497,'Pre-Summary'!$Y$6:$AD$83,6,FALSE),"")</f>
        <v/>
      </c>
      <c r="X1497" t="str">
        <f>IFERROR(VLOOKUP('Pre-Summary'!$DB$6:$DD$63,3,FALSE),"")</f>
        <v/>
      </c>
      <c r="Y1497" t="str">
        <f>IFERROR(VLOOKUP(B1497,'Pre-Summary'!$CR$6:$CT$36,3,FALSE),"")</f>
        <v/>
      </c>
      <c r="Z1497" s="45" t="str">
        <f>IFERROR(VLOOKUP(B1497,'Pre-Summary'!$BZ$6:$CB$63,2,FALSE),"")</f>
        <v/>
      </c>
      <c r="AA1497" s="45" t="str">
        <f>IFERROR(VLOOKUP(B1497,'Pre-Summary'!$CG$6:$CI$70,2,FALSE),"")</f>
        <v/>
      </c>
      <c r="AB1497" s="99">
        <f>IFERROR(VLOOKUP(B1497,'Pre-Summary'!$A$6:$P$178,9,FALSE),AB1498)</f>
        <v>0.35181614583388343</v>
      </c>
      <c r="AC1497" s="10">
        <f>IFERROR(VLOOKUP(Summary!B1497,'Pre-Summary'!$A$6:$P$184,5, FALSE)/100,AC1498)</f>
        <v>0.71615799999999996</v>
      </c>
      <c r="AD1497" s="10">
        <f>IFERROR(VLOOKUP(Summary!B1497,'Pre-Summary'!$A$6:$P$184,3, FALSE)/100,AD1498)</f>
        <v>0.24037466666666671</v>
      </c>
      <c r="AE1497" s="10">
        <f>IFERROR(VLOOKUP(Summary!B1497,'Pre-Summary'!$A$6:$P$184,7, FALSE)/100,AE1498)</f>
        <v>4.3467666666666661E-2</v>
      </c>
      <c r="AF1497" s="99">
        <f t="shared" si="70"/>
        <v>8.4567688782771128E-2</v>
      </c>
      <c r="AG1497" s="99">
        <f t="shared" si="71"/>
        <v>1.5292626955058631E-2</v>
      </c>
      <c r="AH1497" s="10" t="str">
        <f>IFERROR(VLOOKUP(B1497,'Pre-Summary'!$AZ$6:$BE$65,3,FALSE),"")</f>
        <v/>
      </c>
      <c r="AI1497" s="10" t="str">
        <f>IFERROR(VLOOKUP(B1497,'Pre-Summary'!$AZ$6:$BE$65,5,FALSE),"")</f>
        <v/>
      </c>
      <c r="AJ1497" s="10" t="str">
        <f>IFERROR(VLOOKUP(B1497,'Pre-Summary'!$AZ$6:$BE$65,4,FALSE),"")</f>
        <v/>
      </c>
      <c r="AK1497" s="10" t="str">
        <f>IFERROR(VLOOKUP(B1497,'Pre-Summary'!$AZ$6:$BE$65,6,FALSE),"")</f>
        <v/>
      </c>
      <c r="AL1497" s="10" t="str">
        <f>IFERROR(VLOOKUP(B1497,'Pre-Summary'!$BG$6:$BL$44,3,FALSE),"")</f>
        <v/>
      </c>
      <c r="AM1497" s="10" t="str">
        <f>IFERROR(VLOOKUP(B1497,'Pre-Summary'!$BG$6:$BL$44,4,FALSE),"")</f>
        <v/>
      </c>
    </row>
    <row r="1498" spans="2:39" ht="15" customHeight="1" x14ac:dyDescent="0.3">
      <c r="B1498">
        <v>149.5</v>
      </c>
      <c r="C1498" t="str">
        <f>IFERROR(VLOOKUP(B1498,'Pre-Summary'!$DI$6:$DM$23,4,FALSE),"")</f>
        <v/>
      </c>
      <c r="D1498" s="10" t="str">
        <f>IFERROR(VLOOKUP(B1498,'Pre-Summary'!$AT$6:$AX$14,5,FALSE),D1497)</f>
        <v>Wolfe v2: put in KILLER wolfe + EDTA + switch to HCl in trace elements</v>
      </c>
      <c r="E1498" s="10" t="str">
        <f>IFERROR(VLOOKUP(B1498,'Pre-Summary'!$AT$6:$AX$15,4,FALSE),"")</f>
        <v/>
      </c>
      <c r="F1498">
        <f>IFERROR(VLOOKUP(B1498,'Pre-Summary'!$AL$6:$AQ$13,6,FALSE),F1497)</f>
        <v>5.3897368421052638E-2</v>
      </c>
      <c r="G1498" t="str">
        <f>IFERROR(VLOOKUP(B1498,'Pre-Summary'!$AE$6:$AJ$85,3,FALSE),"")</f>
        <v/>
      </c>
      <c r="H1498" t="str">
        <f>IFERROR(VLOOKUP(B1498,'Pre-Summary'!$AE$6:$AJ$85,4,FALSE),"")</f>
        <v/>
      </c>
      <c r="I1498" t="str">
        <f>IFERROR(VLOOKUP(B1498,'Pre-Summary'!$AE$6:$AJ$85,5,FALSE),"")</f>
        <v/>
      </c>
      <c r="J1498" s="45" t="str">
        <f>IFERROR(VLOOKUP(B1498,'Pre-Summary'!$AE$6:$AJ$85,6, FALSE),"")</f>
        <v/>
      </c>
      <c r="K1498" s="45" t="str">
        <f>IFERROR(VLOOKUP(B1498,'Pre-Summary'!$DE$6:$DG$61,3,FALSE),"")</f>
        <v/>
      </c>
      <c r="L1498" s="45" t="str">
        <f>IFERROR(VLOOKUP(B1498,'Pre-Summary'!$CU$6:$CW$36,3,FALSE),"")</f>
        <v/>
      </c>
      <c r="M1498" s="45" t="str">
        <f>IFERROR(VLOOKUP(B1498,'Pre-Summary'!$BW$6:$BY$58,2,FALSE),"")</f>
        <v/>
      </c>
      <c r="N1498" s="45" t="str">
        <f>IFERROR(VLOOKUP(B1498,'Pre-Summary'!$CD$6:$CF$64,2,FALSE),"")</f>
        <v/>
      </c>
      <c r="O1498" s="99">
        <f>IFERROR(VLOOKUP(B1498,'Pre-Summary'!$BO$6:$BQ$48,3, FALSE),O1497)</f>
        <v>0.6</v>
      </c>
      <c r="P1498" s="99">
        <f>IFERROR(VLOOKUP(B1498,'Pre-Summary'!$BS$6:$BU$35,3,FALSE),P1497)</f>
        <v>0.3</v>
      </c>
      <c r="Q1498" s="54">
        <f t="shared" si="69"/>
        <v>2</v>
      </c>
      <c r="R1498" s="53">
        <f>IFERROR(VLOOKUP(B1498,'Pre-Summary'!$BG$6:$BM$44,7,FALSE),R1499)</f>
        <v>0.10131789275871156</v>
      </c>
      <c r="S1498" s="53">
        <f>IFERROR(VLOOKUP(B1498,'Pre-Summary'!$BG$6:$BM$44,6,FALSE),S1499)</f>
        <v>9.6637565908873055E-2</v>
      </c>
      <c r="T1498" s="45" t="str">
        <f>IFERROR(VLOOKUP(B1498,'Pre-Summary'!$Y$6:$AC$83, 3,FALSE),"")</f>
        <v/>
      </c>
      <c r="U1498" s="45" t="str">
        <f>IFERROR(VLOOKUP(B1498,'Pre-Summary'!$Y$6:$AC$83, 4,FALSE),"")</f>
        <v/>
      </c>
      <c r="V1498" t="str">
        <f>IFERROR(VLOOKUP(B1498,'Pre-Summary'!$Y$6:$AC$83, 5,FALSE),"")</f>
        <v/>
      </c>
      <c r="W1498" s="45" t="str">
        <f>IFERROR(VLOOKUP(B1498,'Pre-Summary'!$Y$6:$AD$83,6,FALSE),"")</f>
        <v/>
      </c>
      <c r="X1498" t="str">
        <f>IFERROR(VLOOKUP('Pre-Summary'!$DB$6:$DD$63,3,FALSE),"")</f>
        <v/>
      </c>
      <c r="Y1498" t="str">
        <f>IFERROR(VLOOKUP(B1498,'Pre-Summary'!$CR$6:$CT$36,3,FALSE),"")</f>
        <v/>
      </c>
      <c r="Z1498" s="45" t="str">
        <f>IFERROR(VLOOKUP(B1498,'Pre-Summary'!$BZ$6:$CB$63,2,FALSE),"")</f>
        <v/>
      </c>
      <c r="AA1498" s="45" t="str">
        <f>IFERROR(VLOOKUP(B1498,'Pre-Summary'!$CG$6:$CI$70,2,FALSE),"")</f>
        <v/>
      </c>
      <c r="AB1498" s="99">
        <f>IFERROR(VLOOKUP(B1498,'Pre-Summary'!$A$6:$P$178,9,FALSE),AB1499)</f>
        <v>0.35181614583388343</v>
      </c>
      <c r="AC1498" s="10">
        <f>IFERROR(VLOOKUP(Summary!B1498,'Pre-Summary'!$A$6:$P$184,5, FALSE)/100,AC1499)</f>
        <v>0.71615799999999996</v>
      </c>
      <c r="AD1498" s="10">
        <f>IFERROR(VLOOKUP(Summary!B1498,'Pre-Summary'!$A$6:$P$184,3, FALSE)/100,AD1499)</f>
        <v>0.24037466666666671</v>
      </c>
      <c r="AE1498" s="10">
        <f>IFERROR(VLOOKUP(Summary!B1498,'Pre-Summary'!$A$6:$P$184,7, FALSE)/100,AE1499)</f>
        <v>4.3467666666666661E-2</v>
      </c>
      <c r="AF1498" s="99">
        <f t="shared" si="70"/>
        <v>8.4567688782771128E-2</v>
      </c>
      <c r="AG1498" s="99">
        <f t="shared" si="71"/>
        <v>1.5292626955058631E-2</v>
      </c>
      <c r="AH1498" s="10" t="str">
        <f>IFERROR(VLOOKUP(B1498,'Pre-Summary'!$AZ$6:$BE$65,3,FALSE),"")</f>
        <v/>
      </c>
      <c r="AI1498" s="10" t="str">
        <f>IFERROR(VLOOKUP(B1498,'Pre-Summary'!$AZ$6:$BE$65,5,FALSE),"")</f>
        <v/>
      </c>
      <c r="AJ1498" s="10" t="str">
        <f>IFERROR(VLOOKUP(B1498,'Pre-Summary'!$AZ$6:$BE$65,4,FALSE),"")</f>
        <v/>
      </c>
      <c r="AK1498" s="10" t="str">
        <f>IFERROR(VLOOKUP(B1498,'Pre-Summary'!$AZ$6:$BE$65,6,FALSE),"")</f>
        <v/>
      </c>
      <c r="AL1498" s="10" t="str">
        <f>IFERROR(VLOOKUP(B1498,'Pre-Summary'!$BG$6:$BL$44,3,FALSE),"")</f>
        <v/>
      </c>
      <c r="AM1498" s="10" t="str">
        <f>IFERROR(VLOOKUP(B1498,'Pre-Summary'!$BG$6:$BL$44,4,FALSE),"")</f>
        <v/>
      </c>
    </row>
    <row r="1499" spans="2:39" ht="15" customHeight="1" x14ac:dyDescent="0.3">
      <c r="B1499">
        <v>149.6</v>
      </c>
      <c r="C1499" t="str">
        <f>IFERROR(VLOOKUP(B1499,'Pre-Summary'!$DI$6:$DM$23,4,FALSE),"")</f>
        <v/>
      </c>
      <c r="D1499" s="10" t="str">
        <f>IFERROR(VLOOKUP(B1499,'Pre-Summary'!$AT$6:$AX$14,5,FALSE),D1498)</f>
        <v>Wolfe v2: put in KILLER wolfe + EDTA + switch to HCl in trace elements</v>
      </c>
      <c r="E1499" s="10" t="str">
        <f>IFERROR(VLOOKUP(B1499,'Pre-Summary'!$AT$6:$AX$15,4,FALSE),"")</f>
        <v/>
      </c>
      <c r="F1499">
        <f>IFERROR(VLOOKUP(B1499,'Pre-Summary'!$AL$6:$AQ$13,6,FALSE),F1498)</f>
        <v>5.3897368421052638E-2</v>
      </c>
      <c r="G1499" t="str">
        <f>IFERROR(VLOOKUP(B1499,'Pre-Summary'!$AE$6:$AJ$85,3,FALSE),"")</f>
        <v/>
      </c>
      <c r="H1499" t="str">
        <f>IFERROR(VLOOKUP(B1499,'Pre-Summary'!$AE$6:$AJ$85,4,FALSE),"")</f>
        <v/>
      </c>
      <c r="I1499" t="str">
        <f>IFERROR(VLOOKUP(B1499,'Pre-Summary'!$AE$6:$AJ$85,5,FALSE),"")</f>
        <v/>
      </c>
      <c r="J1499" s="45" t="str">
        <f>IFERROR(VLOOKUP(B1499,'Pre-Summary'!$AE$6:$AJ$85,6, FALSE),"")</f>
        <v/>
      </c>
      <c r="K1499" s="45" t="str">
        <f>IFERROR(VLOOKUP(B1499,'Pre-Summary'!$DE$6:$DG$61,3,FALSE),"")</f>
        <v/>
      </c>
      <c r="L1499" s="45" t="str">
        <f>IFERROR(VLOOKUP(B1499,'Pre-Summary'!$CU$6:$CW$36,3,FALSE),"")</f>
        <v/>
      </c>
      <c r="M1499" s="45" t="str">
        <f>IFERROR(VLOOKUP(B1499,'Pre-Summary'!$BW$6:$BY$58,2,FALSE),"")</f>
        <v/>
      </c>
      <c r="N1499" s="45" t="str">
        <f>IFERROR(VLOOKUP(B1499,'Pre-Summary'!$CD$6:$CF$64,2,FALSE),"")</f>
        <v/>
      </c>
      <c r="O1499" s="99">
        <f>IFERROR(VLOOKUP(B1499,'Pre-Summary'!$BO$6:$BQ$48,3, FALSE),O1498)</f>
        <v>0.6</v>
      </c>
      <c r="P1499" s="99">
        <f>IFERROR(VLOOKUP(B1499,'Pre-Summary'!$BS$6:$BU$35,3,FALSE),P1498)</f>
        <v>0.3</v>
      </c>
      <c r="Q1499" s="54">
        <f t="shared" si="69"/>
        <v>2</v>
      </c>
      <c r="R1499" s="53">
        <f>IFERROR(VLOOKUP(B1499,'Pre-Summary'!$BG$6:$BM$44,7,FALSE),R1500)</f>
        <v>0.10131789275871156</v>
      </c>
      <c r="S1499" s="53">
        <f>IFERROR(VLOOKUP(B1499,'Pre-Summary'!$BG$6:$BM$44,6,FALSE),S1500)</f>
        <v>9.6637565908873055E-2</v>
      </c>
      <c r="T1499" s="45" t="str">
        <f>IFERROR(VLOOKUP(B1499,'Pre-Summary'!$Y$6:$AC$83, 3,FALSE),"")</f>
        <v/>
      </c>
      <c r="U1499" s="45" t="str">
        <f>IFERROR(VLOOKUP(B1499,'Pre-Summary'!$Y$6:$AC$83, 4,FALSE),"")</f>
        <v/>
      </c>
      <c r="V1499" t="str">
        <f>IFERROR(VLOOKUP(B1499,'Pre-Summary'!$Y$6:$AC$83, 5,FALSE),"")</f>
        <v/>
      </c>
      <c r="W1499" s="45" t="str">
        <f>IFERROR(VLOOKUP(B1499,'Pre-Summary'!$Y$6:$AD$83,6,FALSE),"")</f>
        <v/>
      </c>
      <c r="X1499" t="str">
        <f>IFERROR(VLOOKUP('Pre-Summary'!$DB$6:$DD$63,3,FALSE),"")</f>
        <v/>
      </c>
      <c r="Y1499" t="str">
        <f>IFERROR(VLOOKUP(B1499,'Pre-Summary'!$CR$6:$CT$36,3,FALSE),"")</f>
        <v/>
      </c>
      <c r="Z1499" s="45" t="str">
        <f>IFERROR(VLOOKUP(B1499,'Pre-Summary'!$BZ$6:$CB$63,2,FALSE),"")</f>
        <v/>
      </c>
      <c r="AA1499" s="45" t="str">
        <f>IFERROR(VLOOKUP(B1499,'Pre-Summary'!$CG$6:$CI$70,2,FALSE),"")</f>
        <v/>
      </c>
      <c r="AB1499" s="99">
        <f>IFERROR(VLOOKUP(B1499,'Pre-Summary'!$A$6:$P$178,9,FALSE),AB1500)</f>
        <v>0.35181614583388343</v>
      </c>
      <c r="AC1499" s="10">
        <f>IFERROR(VLOOKUP(Summary!B1499,'Pre-Summary'!$A$6:$P$184,5, FALSE)/100,AC1500)</f>
        <v>0.71615799999999996</v>
      </c>
      <c r="AD1499" s="10">
        <f>IFERROR(VLOOKUP(Summary!B1499,'Pre-Summary'!$A$6:$P$184,3, FALSE)/100,AD1500)</f>
        <v>0.24037466666666671</v>
      </c>
      <c r="AE1499" s="10">
        <f>IFERROR(VLOOKUP(Summary!B1499,'Pre-Summary'!$A$6:$P$184,7, FALSE)/100,AE1500)</f>
        <v>4.3467666666666661E-2</v>
      </c>
      <c r="AF1499" s="99">
        <f t="shared" si="70"/>
        <v>8.4567688782771128E-2</v>
      </c>
      <c r="AG1499" s="99">
        <f t="shared" si="71"/>
        <v>1.5292626955058631E-2</v>
      </c>
      <c r="AH1499" s="10" t="str">
        <f>IFERROR(VLOOKUP(B1499,'Pre-Summary'!$AZ$6:$BE$65,3,FALSE),"")</f>
        <v/>
      </c>
      <c r="AI1499" s="10" t="str">
        <f>IFERROR(VLOOKUP(B1499,'Pre-Summary'!$AZ$6:$BE$65,5,FALSE),"")</f>
        <v/>
      </c>
      <c r="AJ1499" s="10" t="str">
        <f>IFERROR(VLOOKUP(B1499,'Pre-Summary'!$AZ$6:$BE$65,4,FALSE),"")</f>
        <v/>
      </c>
      <c r="AK1499" s="10" t="str">
        <f>IFERROR(VLOOKUP(B1499,'Pre-Summary'!$AZ$6:$BE$65,6,FALSE),"")</f>
        <v/>
      </c>
      <c r="AL1499" s="10" t="str">
        <f>IFERROR(VLOOKUP(B1499,'Pre-Summary'!$BG$6:$BL$44,3,FALSE),"")</f>
        <v/>
      </c>
      <c r="AM1499" s="10" t="str">
        <f>IFERROR(VLOOKUP(B1499,'Pre-Summary'!$BG$6:$BL$44,4,FALSE),"")</f>
        <v/>
      </c>
    </row>
    <row r="1500" spans="2:39" ht="15" customHeight="1" x14ac:dyDescent="0.3">
      <c r="B1500">
        <v>149.69999999999999</v>
      </c>
      <c r="C1500" t="str">
        <f>IFERROR(VLOOKUP(B1500,'Pre-Summary'!$DI$6:$DM$23,4,FALSE),"")</f>
        <v/>
      </c>
      <c r="D1500" s="10" t="str">
        <f>IFERROR(VLOOKUP(B1500,'Pre-Summary'!$AT$6:$AX$14,5,FALSE),D1499)</f>
        <v>Wolfe v2: put in KILLER wolfe + EDTA + switch to HCl in trace elements</v>
      </c>
      <c r="E1500" s="10" t="str">
        <f>IFERROR(VLOOKUP(B1500,'Pre-Summary'!$AT$6:$AX$15,4,FALSE),"")</f>
        <v/>
      </c>
      <c r="F1500">
        <f>IFERROR(VLOOKUP(B1500,'Pre-Summary'!$AL$6:$AQ$13,6,FALSE),F1499)</f>
        <v>5.3897368421052638E-2</v>
      </c>
      <c r="G1500" t="str">
        <f>IFERROR(VLOOKUP(B1500,'Pre-Summary'!$AE$6:$AJ$85,3,FALSE),"")</f>
        <v/>
      </c>
      <c r="H1500" t="str">
        <f>IFERROR(VLOOKUP(B1500,'Pre-Summary'!$AE$6:$AJ$85,4,FALSE),"")</f>
        <v/>
      </c>
      <c r="I1500" t="str">
        <f>IFERROR(VLOOKUP(B1500,'Pre-Summary'!$AE$6:$AJ$85,5,FALSE),"")</f>
        <v/>
      </c>
      <c r="J1500" s="45" t="str">
        <f>IFERROR(VLOOKUP(B1500,'Pre-Summary'!$AE$6:$AJ$85,6, FALSE),"")</f>
        <v/>
      </c>
      <c r="K1500" s="45" t="str">
        <f>IFERROR(VLOOKUP(B1500,'Pre-Summary'!$DE$6:$DG$61,3,FALSE),"")</f>
        <v/>
      </c>
      <c r="L1500" s="45" t="str">
        <f>IFERROR(VLOOKUP(B1500,'Pre-Summary'!$CU$6:$CW$36,3,FALSE),"")</f>
        <v/>
      </c>
      <c r="M1500" s="45" t="str">
        <f>IFERROR(VLOOKUP(B1500,'Pre-Summary'!$BW$6:$BY$58,2,FALSE),"")</f>
        <v/>
      </c>
      <c r="N1500" s="45" t="str">
        <f>IFERROR(VLOOKUP(B1500,'Pre-Summary'!$CD$6:$CF$64,2,FALSE),"")</f>
        <v/>
      </c>
      <c r="O1500" s="99">
        <f>IFERROR(VLOOKUP(B1500,'Pre-Summary'!$BO$6:$BQ$48,3, FALSE),O1499)</f>
        <v>0.6</v>
      </c>
      <c r="P1500" s="99">
        <f>IFERROR(VLOOKUP(B1500,'Pre-Summary'!$BS$6:$BU$35,3,FALSE),P1499)</f>
        <v>0.3</v>
      </c>
      <c r="Q1500" s="54">
        <f t="shared" si="69"/>
        <v>2</v>
      </c>
      <c r="R1500" s="53">
        <f>IFERROR(VLOOKUP(B1500,'Pre-Summary'!$BG$6:$BM$44,7,FALSE),R1501)</f>
        <v>0.10131789275871156</v>
      </c>
      <c r="S1500" s="53">
        <f>IFERROR(VLOOKUP(B1500,'Pre-Summary'!$BG$6:$BM$44,6,FALSE),S1501)</f>
        <v>9.6637565908873055E-2</v>
      </c>
      <c r="T1500" s="45" t="str">
        <f>IFERROR(VLOOKUP(B1500,'Pre-Summary'!$Y$6:$AC$83, 3,FALSE),"")</f>
        <v/>
      </c>
      <c r="U1500" s="45" t="str">
        <f>IFERROR(VLOOKUP(B1500,'Pre-Summary'!$Y$6:$AC$83, 4,FALSE),"")</f>
        <v/>
      </c>
      <c r="V1500" t="str">
        <f>IFERROR(VLOOKUP(B1500,'Pre-Summary'!$Y$6:$AC$83, 5,FALSE),"")</f>
        <v/>
      </c>
      <c r="W1500" s="45" t="str">
        <f>IFERROR(VLOOKUP(B1500,'Pre-Summary'!$Y$6:$AD$83,6,FALSE),"")</f>
        <v/>
      </c>
      <c r="X1500" t="str">
        <f>IFERROR(VLOOKUP('Pre-Summary'!$DB$6:$DD$63,3,FALSE),"")</f>
        <v/>
      </c>
      <c r="Y1500" t="str">
        <f>IFERROR(VLOOKUP(B1500,'Pre-Summary'!$CR$6:$CT$36,3,FALSE),"")</f>
        <v/>
      </c>
      <c r="Z1500" s="45" t="str">
        <f>IFERROR(VLOOKUP(B1500,'Pre-Summary'!$BZ$6:$CB$63,2,FALSE),"")</f>
        <v/>
      </c>
      <c r="AA1500" s="45" t="str">
        <f>IFERROR(VLOOKUP(B1500,'Pre-Summary'!$CG$6:$CI$70,2,FALSE),"")</f>
        <v/>
      </c>
      <c r="AB1500" s="99">
        <f>IFERROR(VLOOKUP(B1500,'Pre-Summary'!$A$6:$P$178,9,FALSE),AB1501)</f>
        <v>0.35181614583388343</v>
      </c>
      <c r="AC1500" s="10">
        <f>IFERROR(VLOOKUP(Summary!B1500,'Pre-Summary'!$A$6:$P$184,5, FALSE)/100,AC1501)</f>
        <v>0.71615799999999996</v>
      </c>
      <c r="AD1500" s="10">
        <f>IFERROR(VLOOKUP(Summary!B1500,'Pre-Summary'!$A$6:$P$184,3, FALSE)/100,AD1501)</f>
        <v>0.24037466666666671</v>
      </c>
      <c r="AE1500" s="10">
        <f>IFERROR(VLOOKUP(Summary!B1500,'Pre-Summary'!$A$6:$P$184,7, FALSE)/100,AE1501)</f>
        <v>4.3467666666666661E-2</v>
      </c>
      <c r="AF1500" s="99">
        <f t="shared" si="70"/>
        <v>8.4567688782771128E-2</v>
      </c>
      <c r="AG1500" s="99">
        <f t="shared" si="71"/>
        <v>1.5292626955058631E-2</v>
      </c>
      <c r="AH1500" s="10" t="str">
        <f>IFERROR(VLOOKUP(B1500,'Pre-Summary'!$AZ$6:$BE$65,3,FALSE),"")</f>
        <v/>
      </c>
      <c r="AI1500" s="10" t="str">
        <f>IFERROR(VLOOKUP(B1500,'Pre-Summary'!$AZ$6:$BE$65,5,FALSE),"")</f>
        <v/>
      </c>
      <c r="AJ1500" s="10" t="str">
        <f>IFERROR(VLOOKUP(B1500,'Pre-Summary'!$AZ$6:$BE$65,4,FALSE),"")</f>
        <v/>
      </c>
      <c r="AK1500" s="10" t="str">
        <f>IFERROR(VLOOKUP(B1500,'Pre-Summary'!$AZ$6:$BE$65,6,FALSE),"")</f>
        <v/>
      </c>
      <c r="AL1500" s="10" t="str">
        <f>IFERROR(VLOOKUP(B1500,'Pre-Summary'!$BG$6:$BL$44,3,FALSE),"")</f>
        <v/>
      </c>
      <c r="AM1500" s="10" t="str">
        <f>IFERROR(VLOOKUP(B1500,'Pre-Summary'!$BG$6:$BL$44,4,FALSE),"")</f>
        <v/>
      </c>
    </row>
    <row r="1501" spans="2:39" ht="15" customHeight="1" x14ac:dyDescent="0.3">
      <c r="B1501">
        <v>149.80000000000001</v>
      </c>
      <c r="C1501" t="str">
        <f>IFERROR(VLOOKUP(B1501,'Pre-Summary'!$DI$6:$DM$23,4,FALSE),"")</f>
        <v/>
      </c>
      <c r="D1501" s="10" t="str">
        <f>IFERROR(VLOOKUP(B1501,'Pre-Summary'!$AT$6:$AX$14,5,FALSE),D1500)</f>
        <v>Wolfe v2: put in KILLER wolfe + EDTA + switch to HCl in trace elements</v>
      </c>
      <c r="E1501" s="10" t="str">
        <f>IFERROR(VLOOKUP(B1501,'Pre-Summary'!$AT$6:$AX$15,4,FALSE),"")</f>
        <v/>
      </c>
      <c r="F1501">
        <f>IFERROR(VLOOKUP(B1501,'Pre-Summary'!$AL$6:$AQ$13,6,FALSE),F1500)</f>
        <v>5.3897368421052638E-2</v>
      </c>
      <c r="G1501" t="str">
        <f>IFERROR(VLOOKUP(B1501,'Pre-Summary'!$AE$6:$AJ$85,3,FALSE),"")</f>
        <v/>
      </c>
      <c r="H1501" t="str">
        <f>IFERROR(VLOOKUP(B1501,'Pre-Summary'!$AE$6:$AJ$85,4,FALSE),"")</f>
        <v/>
      </c>
      <c r="I1501" t="str">
        <f>IFERROR(VLOOKUP(B1501,'Pre-Summary'!$AE$6:$AJ$85,5,FALSE),"")</f>
        <v/>
      </c>
      <c r="J1501" s="45" t="str">
        <f>IFERROR(VLOOKUP(B1501,'Pre-Summary'!$AE$6:$AJ$85,6, FALSE),"")</f>
        <v/>
      </c>
      <c r="K1501" s="45" t="str">
        <f>IFERROR(VLOOKUP(B1501,'Pre-Summary'!$DE$6:$DG$61,3,FALSE),"")</f>
        <v/>
      </c>
      <c r="L1501" s="45" t="str">
        <f>IFERROR(VLOOKUP(B1501,'Pre-Summary'!$CU$6:$CW$36,3,FALSE),"")</f>
        <v/>
      </c>
      <c r="M1501" s="45" t="str">
        <f>IFERROR(VLOOKUP(B1501,'Pre-Summary'!$BW$6:$BY$58,2,FALSE),"")</f>
        <v/>
      </c>
      <c r="N1501" s="45" t="str">
        <f>IFERROR(VLOOKUP(B1501,'Pre-Summary'!$CD$6:$CF$64,2,FALSE),"")</f>
        <v/>
      </c>
      <c r="O1501" s="99">
        <f>IFERROR(VLOOKUP(B1501,'Pre-Summary'!$BO$6:$BQ$48,3, FALSE),O1500)</f>
        <v>0.6</v>
      </c>
      <c r="P1501" s="99">
        <f>IFERROR(VLOOKUP(B1501,'Pre-Summary'!$BS$6:$BU$35,3,FALSE),P1500)</f>
        <v>0.3</v>
      </c>
      <c r="Q1501" s="54">
        <f t="shared" si="69"/>
        <v>2</v>
      </c>
      <c r="R1501" s="53">
        <f>IFERROR(VLOOKUP(B1501,'Pre-Summary'!$BG$6:$BM$44,7,FALSE),R1502)</f>
        <v>0.10131789275871156</v>
      </c>
      <c r="S1501" s="53">
        <f>IFERROR(VLOOKUP(B1501,'Pre-Summary'!$BG$6:$BM$44,6,FALSE),S1502)</f>
        <v>9.6637565908873055E-2</v>
      </c>
      <c r="T1501" s="45" t="str">
        <f>IFERROR(VLOOKUP(B1501,'Pre-Summary'!$Y$6:$AC$83, 3,FALSE),"")</f>
        <v/>
      </c>
      <c r="U1501" s="45" t="str">
        <f>IFERROR(VLOOKUP(B1501,'Pre-Summary'!$Y$6:$AC$83, 4,FALSE),"")</f>
        <v/>
      </c>
      <c r="V1501" t="str">
        <f>IFERROR(VLOOKUP(B1501,'Pre-Summary'!$Y$6:$AC$83, 5,FALSE),"")</f>
        <v/>
      </c>
      <c r="W1501" s="45" t="str">
        <f>IFERROR(VLOOKUP(B1501,'Pre-Summary'!$Y$6:$AD$83,6,FALSE),"")</f>
        <v/>
      </c>
      <c r="X1501" t="str">
        <f>IFERROR(VLOOKUP('Pre-Summary'!$DB$6:$DD$63,3,FALSE),"")</f>
        <v/>
      </c>
      <c r="Y1501" t="str">
        <f>IFERROR(VLOOKUP(B1501,'Pre-Summary'!$CR$6:$CT$36,3,FALSE),"")</f>
        <v/>
      </c>
      <c r="Z1501" s="45" t="str">
        <f>IFERROR(VLOOKUP(B1501,'Pre-Summary'!$BZ$6:$CB$63,2,FALSE),"")</f>
        <v/>
      </c>
      <c r="AA1501" s="45" t="str">
        <f>IFERROR(VLOOKUP(B1501,'Pre-Summary'!$CG$6:$CI$70,2,FALSE),"")</f>
        <v/>
      </c>
      <c r="AB1501" s="99">
        <f>IFERROR(VLOOKUP(B1501,'Pre-Summary'!$A$6:$P$178,9,FALSE),AB1502)</f>
        <v>0.35181614583388343</v>
      </c>
      <c r="AC1501" s="10">
        <f>IFERROR(VLOOKUP(Summary!B1501,'Pre-Summary'!$A$6:$P$184,5, FALSE)/100,AC1502)</f>
        <v>0.71615799999999996</v>
      </c>
      <c r="AD1501" s="10">
        <f>IFERROR(VLOOKUP(Summary!B1501,'Pre-Summary'!$A$6:$P$184,3, FALSE)/100,AD1502)</f>
        <v>0.24037466666666671</v>
      </c>
      <c r="AE1501" s="10">
        <f>IFERROR(VLOOKUP(Summary!B1501,'Pre-Summary'!$A$6:$P$184,7, FALSE)/100,AE1502)</f>
        <v>4.3467666666666661E-2</v>
      </c>
      <c r="AF1501" s="99">
        <f t="shared" si="70"/>
        <v>8.4567688782771128E-2</v>
      </c>
      <c r="AG1501" s="99">
        <f t="shared" si="71"/>
        <v>1.5292626955058631E-2</v>
      </c>
      <c r="AH1501" s="10" t="str">
        <f>IFERROR(VLOOKUP(B1501,'Pre-Summary'!$AZ$6:$BE$65,3,FALSE),"")</f>
        <v/>
      </c>
      <c r="AI1501" s="10" t="str">
        <f>IFERROR(VLOOKUP(B1501,'Pre-Summary'!$AZ$6:$BE$65,5,FALSE),"")</f>
        <v/>
      </c>
      <c r="AJ1501" s="10" t="str">
        <f>IFERROR(VLOOKUP(B1501,'Pre-Summary'!$AZ$6:$BE$65,4,FALSE),"")</f>
        <v/>
      </c>
      <c r="AK1501" s="10" t="str">
        <f>IFERROR(VLOOKUP(B1501,'Pre-Summary'!$AZ$6:$BE$65,6,FALSE),"")</f>
        <v/>
      </c>
      <c r="AL1501" s="10" t="str">
        <f>IFERROR(VLOOKUP(B1501,'Pre-Summary'!$BG$6:$BL$44,3,FALSE),"")</f>
        <v/>
      </c>
      <c r="AM1501" s="10" t="str">
        <f>IFERROR(VLOOKUP(B1501,'Pre-Summary'!$BG$6:$BL$44,4,FALSE),"")</f>
        <v/>
      </c>
    </row>
    <row r="1502" spans="2:39" ht="15" customHeight="1" x14ac:dyDescent="0.3">
      <c r="B1502">
        <v>149.9</v>
      </c>
      <c r="C1502" t="str">
        <f>IFERROR(VLOOKUP(B1502,'Pre-Summary'!$DI$6:$DM$23,4,FALSE),"")</f>
        <v/>
      </c>
      <c r="D1502" s="10" t="str">
        <f>IFERROR(VLOOKUP(B1502,'Pre-Summary'!$AT$6:$AX$14,5,FALSE),D1501)</f>
        <v>Wolfe v3: went back to modified wolfe + EDTA and switched CuSO4 to CUCl2</v>
      </c>
      <c r="E1502" s="10">
        <f>IFERROR(VLOOKUP(B1502,'Pre-Summary'!$AT$6:$AX$15,4,FALSE),"")</f>
        <v>1</v>
      </c>
      <c r="F1502">
        <f>IFERROR(VLOOKUP(B1502,'Pre-Summary'!$AL$6:$AQ$13,6,FALSE),F1501)</f>
        <v>5.3897368421052638E-2</v>
      </c>
      <c r="G1502" t="str">
        <f>IFERROR(VLOOKUP(B1502,'Pre-Summary'!$AE$6:$AJ$85,3,FALSE),"")</f>
        <v/>
      </c>
      <c r="H1502" t="str">
        <f>IFERROR(VLOOKUP(B1502,'Pre-Summary'!$AE$6:$AJ$85,4,FALSE),"")</f>
        <v/>
      </c>
      <c r="I1502" t="str">
        <f>IFERROR(VLOOKUP(B1502,'Pre-Summary'!$AE$6:$AJ$85,5,FALSE),"")</f>
        <v/>
      </c>
      <c r="J1502" s="45" t="str">
        <f>IFERROR(VLOOKUP(B1502,'Pre-Summary'!$AE$6:$AJ$85,6, FALSE),"")</f>
        <v/>
      </c>
      <c r="K1502" s="45" t="str">
        <f>IFERROR(VLOOKUP(B1502,'Pre-Summary'!$DE$6:$DG$61,3,FALSE),"")</f>
        <v/>
      </c>
      <c r="L1502" s="45" t="str">
        <f>IFERROR(VLOOKUP(B1502,'Pre-Summary'!$CU$6:$CW$36,3,FALSE),"")</f>
        <v/>
      </c>
      <c r="M1502" s="45" t="str">
        <f>IFERROR(VLOOKUP(B1502,'Pre-Summary'!$BW$6:$BY$58,2,FALSE),"")</f>
        <v/>
      </c>
      <c r="N1502" s="45" t="str">
        <f>IFERROR(VLOOKUP(B1502,'Pre-Summary'!$CD$6:$CF$64,2,FALSE),"")</f>
        <v/>
      </c>
      <c r="O1502" s="99">
        <f>IFERROR(VLOOKUP(B1502,'Pre-Summary'!$BO$6:$BQ$48,3, FALSE),O1501)</f>
        <v>0.6</v>
      </c>
      <c r="P1502" s="99">
        <f>IFERROR(VLOOKUP(B1502,'Pre-Summary'!$BS$6:$BU$35,3,FALSE),P1501)</f>
        <v>0.3</v>
      </c>
      <c r="Q1502" s="54">
        <f t="shared" si="69"/>
        <v>2</v>
      </c>
      <c r="R1502" s="53">
        <f>IFERROR(VLOOKUP(B1502,'Pre-Summary'!$BG$6:$BM$44,7,FALSE),R1503)</f>
        <v>0.10131789275871156</v>
      </c>
      <c r="S1502" s="53">
        <f>IFERROR(VLOOKUP(B1502,'Pre-Summary'!$BG$6:$BM$44,6,FALSE),S1503)</f>
        <v>9.6637565908873055E-2</v>
      </c>
      <c r="T1502" s="45" t="str">
        <f>IFERROR(VLOOKUP(B1502,'Pre-Summary'!$Y$6:$AC$83, 3,FALSE),"")</f>
        <v/>
      </c>
      <c r="U1502" s="45" t="str">
        <f>IFERROR(VLOOKUP(B1502,'Pre-Summary'!$Y$6:$AC$83, 4,FALSE),"")</f>
        <v/>
      </c>
      <c r="V1502" t="str">
        <f>IFERROR(VLOOKUP(B1502,'Pre-Summary'!$Y$6:$AC$83, 5,FALSE),"")</f>
        <v/>
      </c>
      <c r="W1502" s="45" t="str">
        <f>IFERROR(VLOOKUP(B1502,'Pre-Summary'!$Y$6:$AD$83,6,FALSE),"")</f>
        <v/>
      </c>
      <c r="X1502" t="str">
        <f>IFERROR(VLOOKUP('Pre-Summary'!$DB$6:$DD$63,3,FALSE),"")</f>
        <v/>
      </c>
      <c r="Y1502" t="str">
        <f>IFERROR(VLOOKUP(B1502,'Pre-Summary'!$CR$6:$CT$36,3,FALSE),"")</f>
        <v/>
      </c>
      <c r="Z1502" s="45" t="str">
        <f>IFERROR(VLOOKUP(B1502,'Pre-Summary'!$BZ$6:$CB$63,2,FALSE),"")</f>
        <v/>
      </c>
      <c r="AA1502" s="45" t="str">
        <f>IFERROR(VLOOKUP(B1502,'Pre-Summary'!$CG$6:$CI$70,2,FALSE),"")</f>
        <v/>
      </c>
      <c r="AB1502" s="99">
        <f>IFERROR(VLOOKUP(B1502,'Pre-Summary'!$A$6:$P$178,9,FALSE),AB1503)</f>
        <v>0.35181614583388343</v>
      </c>
      <c r="AC1502" s="10">
        <f>IFERROR(VLOOKUP(Summary!B1502,'Pre-Summary'!$A$6:$P$184,5, FALSE)/100,AC1503)</f>
        <v>0.71615799999999996</v>
      </c>
      <c r="AD1502" s="10">
        <f>IFERROR(VLOOKUP(Summary!B1502,'Pre-Summary'!$A$6:$P$184,3, FALSE)/100,AD1503)</f>
        <v>0.24037466666666671</v>
      </c>
      <c r="AE1502" s="10">
        <f>IFERROR(VLOOKUP(Summary!B1502,'Pre-Summary'!$A$6:$P$184,7, FALSE)/100,AE1503)</f>
        <v>4.3467666666666661E-2</v>
      </c>
      <c r="AF1502" s="99">
        <f t="shared" si="70"/>
        <v>8.4567688782771128E-2</v>
      </c>
      <c r="AG1502" s="99">
        <f t="shared" si="71"/>
        <v>1.5292626955058631E-2</v>
      </c>
      <c r="AH1502" s="10" t="str">
        <f>IFERROR(VLOOKUP(B1502,'Pre-Summary'!$AZ$6:$BE$65,3,FALSE),"")</f>
        <v/>
      </c>
      <c r="AI1502" s="10" t="str">
        <f>IFERROR(VLOOKUP(B1502,'Pre-Summary'!$AZ$6:$BE$65,5,FALSE),"")</f>
        <v/>
      </c>
      <c r="AJ1502" s="10" t="str">
        <f>IFERROR(VLOOKUP(B1502,'Pre-Summary'!$AZ$6:$BE$65,4,FALSE),"")</f>
        <v/>
      </c>
      <c r="AK1502" s="10" t="str">
        <f>IFERROR(VLOOKUP(B1502,'Pre-Summary'!$AZ$6:$BE$65,6,FALSE),"")</f>
        <v/>
      </c>
      <c r="AL1502" s="10" t="str">
        <f>IFERROR(VLOOKUP(B1502,'Pre-Summary'!$BG$6:$BL$44,3,FALSE),"")</f>
        <v/>
      </c>
      <c r="AM1502" s="10" t="str">
        <f>IFERROR(VLOOKUP(B1502,'Pre-Summary'!$BG$6:$BL$44,4,FALSE),"")</f>
        <v/>
      </c>
    </row>
    <row r="1503" spans="2:39" ht="15" customHeight="1" x14ac:dyDescent="0.3">
      <c r="B1503">
        <v>150</v>
      </c>
      <c r="C1503" t="str">
        <f>IFERROR(VLOOKUP(B1503,'Pre-Summary'!$DI$6:$DM$23,4,FALSE),"")</f>
        <v/>
      </c>
      <c r="D1503" s="10" t="str">
        <f>IFERROR(VLOOKUP(B1503,'Pre-Summary'!$AT$6:$AX$14,5,FALSE),D1502)</f>
        <v>Wolfe v3: went back to modified wolfe + EDTA and switched CuSO4 to CUCl2</v>
      </c>
      <c r="E1503" s="10" t="str">
        <f>IFERROR(VLOOKUP(B1503,'Pre-Summary'!$AT$6:$AX$15,4,FALSE),"")</f>
        <v/>
      </c>
      <c r="F1503">
        <f>IFERROR(VLOOKUP(B1503,'Pre-Summary'!$AL$6:$AQ$13,6,FALSE),F1502)</f>
        <v>5.3897368421052638E-2</v>
      </c>
      <c r="G1503" t="str">
        <f>IFERROR(VLOOKUP(B1503,'Pre-Summary'!$AE$6:$AJ$85,3,FALSE),"")</f>
        <v/>
      </c>
      <c r="H1503" t="str">
        <f>IFERROR(VLOOKUP(B1503,'Pre-Summary'!$AE$6:$AJ$85,4,FALSE),"")</f>
        <v/>
      </c>
      <c r="I1503" t="str">
        <f>IFERROR(VLOOKUP(B1503,'Pre-Summary'!$AE$6:$AJ$85,5,FALSE),"")</f>
        <v/>
      </c>
      <c r="J1503" s="45" t="str">
        <f>IFERROR(VLOOKUP(B1503,'Pre-Summary'!$AE$6:$AJ$85,6, FALSE),"")</f>
        <v/>
      </c>
      <c r="K1503" s="45" t="str">
        <f>IFERROR(VLOOKUP(B1503,'Pre-Summary'!$DE$6:$DG$61,3,FALSE),"")</f>
        <v/>
      </c>
      <c r="L1503" s="45" t="str">
        <f>IFERROR(VLOOKUP(B1503,'Pre-Summary'!$CU$6:$CW$36,3,FALSE),"")</f>
        <v/>
      </c>
      <c r="M1503" s="45" t="str">
        <f>IFERROR(VLOOKUP(B1503,'Pre-Summary'!$BW$6:$BY$58,2,FALSE),"")</f>
        <v/>
      </c>
      <c r="N1503" s="45" t="str">
        <f>IFERROR(VLOOKUP(B1503,'Pre-Summary'!$CD$6:$CF$64,2,FALSE),"")</f>
        <v/>
      </c>
      <c r="O1503" s="99">
        <f>IFERROR(VLOOKUP(B1503,'Pre-Summary'!$BO$6:$BQ$48,3, FALSE),O1502)</f>
        <v>0.6</v>
      </c>
      <c r="P1503" s="99">
        <f>IFERROR(VLOOKUP(B1503,'Pre-Summary'!$BS$6:$BU$35,3,FALSE),P1502)</f>
        <v>0.3</v>
      </c>
      <c r="Q1503" s="54">
        <f t="shared" si="69"/>
        <v>2</v>
      </c>
      <c r="R1503" s="53">
        <f>IFERROR(VLOOKUP(B1503,'Pre-Summary'!$BG$6:$BM$44,7,FALSE),R1504)</f>
        <v>0.10131789275871156</v>
      </c>
      <c r="S1503" s="53">
        <f>IFERROR(VLOOKUP(B1503,'Pre-Summary'!$BG$6:$BM$44,6,FALSE),S1504)</f>
        <v>9.6637565908873055E-2</v>
      </c>
      <c r="T1503" s="45" t="str">
        <f>IFERROR(VLOOKUP(B1503,'Pre-Summary'!$Y$6:$AC$83, 3,FALSE),"")</f>
        <v/>
      </c>
      <c r="U1503" s="45" t="str">
        <f>IFERROR(VLOOKUP(B1503,'Pre-Summary'!$Y$6:$AC$83, 4,FALSE),"")</f>
        <v/>
      </c>
      <c r="V1503" t="str">
        <f>IFERROR(VLOOKUP(B1503,'Pre-Summary'!$Y$6:$AC$83, 5,FALSE),"")</f>
        <v/>
      </c>
      <c r="W1503" s="45" t="str">
        <f>IFERROR(VLOOKUP(B1503,'Pre-Summary'!$Y$6:$AD$83,6,FALSE),"")</f>
        <v/>
      </c>
      <c r="X1503" t="str">
        <f>IFERROR(VLOOKUP('Pre-Summary'!$DB$6:$DD$63,3,FALSE),"")</f>
        <v/>
      </c>
      <c r="Y1503" t="str">
        <f>IFERROR(VLOOKUP(B1503,'Pre-Summary'!$CR$6:$CT$36,3,FALSE),"")</f>
        <v/>
      </c>
      <c r="Z1503" s="45" t="str">
        <f>IFERROR(VLOOKUP(B1503,'Pre-Summary'!$BZ$6:$CB$63,2,FALSE),"")</f>
        <v/>
      </c>
      <c r="AA1503" s="45" t="str">
        <f>IFERROR(VLOOKUP(B1503,'Pre-Summary'!$CG$6:$CI$70,2,FALSE),"")</f>
        <v/>
      </c>
      <c r="AB1503" s="99">
        <f>IFERROR(VLOOKUP(B1503,'Pre-Summary'!$A$6:$P$178,9,FALSE),AB1504)</f>
        <v>0.35181614583388343</v>
      </c>
      <c r="AC1503" s="10">
        <f>IFERROR(VLOOKUP(Summary!B1503,'Pre-Summary'!$A$6:$P$184,5, FALSE)/100,AC1504)</f>
        <v>0.71615799999999996</v>
      </c>
      <c r="AD1503" s="10">
        <f>IFERROR(VLOOKUP(Summary!B1503,'Pre-Summary'!$A$6:$P$184,3, FALSE)/100,AD1504)</f>
        <v>0.24037466666666671</v>
      </c>
      <c r="AE1503" s="10">
        <f>IFERROR(VLOOKUP(Summary!B1503,'Pre-Summary'!$A$6:$P$184,7, FALSE)/100,AE1504)</f>
        <v>4.3467666666666661E-2</v>
      </c>
      <c r="AF1503" s="99">
        <f t="shared" si="70"/>
        <v>8.4567688782771128E-2</v>
      </c>
      <c r="AG1503" s="99">
        <f t="shared" si="71"/>
        <v>1.5292626955058631E-2</v>
      </c>
      <c r="AH1503" s="10" t="str">
        <f>IFERROR(VLOOKUP(B1503,'Pre-Summary'!$AZ$6:$BE$65,3,FALSE),"")</f>
        <v/>
      </c>
      <c r="AI1503" s="10" t="str">
        <f>IFERROR(VLOOKUP(B1503,'Pre-Summary'!$AZ$6:$BE$65,5,FALSE),"")</f>
        <v/>
      </c>
      <c r="AJ1503" s="10" t="str">
        <f>IFERROR(VLOOKUP(B1503,'Pre-Summary'!$AZ$6:$BE$65,4,FALSE),"")</f>
        <v/>
      </c>
      <c r="AK1503" s="10" t="str">
        <f>IFERROR(VLOOKUP(B1503,'Pre-Summary'!$AZ$6:$BE$65,6,FALSE),"")</f>
        <v/>
      </c>
      <c r="AL1503" s="10" t="str">
        <f>IFERROR(VLOOKUP(B1503,'Pre-Summary'!$BG$6:$BL$44,3,FALSE),"")</f>
        <v/>
      </c>
      <c r="AM1503" s="10" t="str">
        <f>IFERROR(VLOOKUP(B1503,'Pre-Summary'!$BG$6:$BL$44,4,FALSE),"")</f>
        <v/>
      </c>
    </row>
    <row r="1504" spans="2:39" ht="15" customHeight="1" x14ac:dyDescent="0.3">
      <c r="B1504">
        <v>150.1</v>
      </c>
      <c r="C1504" t="str">
        <f>IFERROR(VLOOKUP(B1504,'Pre-Summary'!$DI$6:$DM$23,4,FALSE),"")</f>
        <v/>
      </c>
      <c r="D1504" s="10" t="str">
        <f>IFERROR(VLOOKUP(B1504,'Pre-Summary'!$AT$6:$AX$14,5,FALSE),D1503)</f>
        <v>Wolfe v3: went back to modified wolfe + EDTA and switched CuSO4 to CUCl2</v>
      </c>
      <c r="E1504" s="10" t="str">
        <f>IFERROR(VLOOKUP(B1504,'Pre-Summary'!$AT$6:$AX$15,4,FALSE),"")</f>
        <v/>
      </c>
      <c r="F1504">
        <f>IFERROR(VLOOKUP(B1504,'Pre-Summary'!$AL$6:$AQ$13,6,FALSE),F1503)</f>
        <v>5.3897368421052638E-2</v>
      </c>
      <c r="G1504" t="str">
        <f>IFERROR(VLOOKUP(B1504,'Pre-Summary'!$AE$6:$AJ$85,3,FALSE),"")</f>
        <v/>
      </c>
      <c r="H1504" t="str">
        <f>IFERROR(VLOOKUP(B1504,'Pre-Summary'!$AE$6:$AJ$85,4,FALSE),"")</f>
        <v/>
      </c>
      <c r="I1504" t="str">
        <f>IFERROR(VLOOKUP(B1504,'Pre-Summary'!$AE$6:$AJ$85,5,FALSE),"")</f>
        <v/>
      </c>
      <c r="J1504" s="45" t="str">
        <f>IFERROR(VLOOKUP(B1504,'Pre-Summary'!$AE$6:$AJ$85,6, FALSE),"")</f>
        <v/>
      </c>
      <c r="K1504" s="45" t="str">
        <f>IFERROR(VLOOKUP(B1504,'Pre-Summary'!$DE$6:$DG$61,3,FALSE),"")</f>
        <v/>
      </c>
      <c r="L1504" s="45" t="str">
        <f>IFERROR(VLOOKUP(B1504,'Pre-Summary'!$CU$6:$CW$36,3,FALSE),"")</f>
        <v/>
      </c>
      <c r="M1504" s="45" t="str">
        <f>IFERROR(VLOOKUP(B1504,'Pre-Summary'!$BW$6:$BY$58,2,FALSE),"")</f>
        <v/>
      </c>
      <c r="N1504" s="45" t="str">
        <f>IFERROR(VLOOKUP(B1504,'Pre-Summary'!$CD$6:$CF$64,2,FALSE),"")</f>
        <v/>
      </c>
      <c r="O1504" s="99">
        <f>IFERROR(VLOOKUP(B1504,'Pre-Summary'!$BO$6:$BQ$48,3, FALSE),O1503)</f>
        <v>0.6</v>
      </c>
      <c r="P1504" s="99">
        <f>IFERROR(VLOOKUP(B1504,'Pre-Summary'!$BS$6:$BU$35,3,FALSE),P1503)</f>
        <v>0.3</v>
      </c>
      <c r="Q1504" s="54">
        <f t="shared" si="69"/>
        <v>2</v>
      </c>
      <c r="R1504" s="53">
        <f>IFERROR(VLOOKUP(B1504,'Pre-Summary'!$BG$6:$BM$44,7,FALSE),R1505)</f>
        <v>0.10131789275871156</v>
      </c>
      <c r="S1504" s="53">
        <f>IFERROR(VLOOKUP(B1504,'Pre-Summary'!$BG$6:$BM$44,6,FALSE),S1505)</f>
        <v>9.6637565908873055E-2</v>
      </c>
      <c r="T1504" s="45" t="str">
        <f>IFERROR(VLOOKUP(B1504,'Pre-Summary'!$Y$6:$AC$83, 3,FALSE),"")</f>
        <v/>
      </c>
      <c r="U1504" s="45" t="str">
        <f>IFERROR(VLOOKUP(B1504,'Pre-Summary'!$Y$6:$AC$83, 4,FALSE),"")</f>
        <v/>
      </c>
      <c r="V1504" t="str">
        <f>IFERROR(VLOOKUP(B1504,'Pre-Summary'!$Y$6:$AC$83, 5,FALSE),"")</f>
        <v/>
      </c>
      <c r="W1504" s="45" t="str">
        <f>IFERROR(VLOOKUP(B1504,'Pre-Summary'!$Y$6:$AD$83,6,FALSE),"")</f>
        <v/>
      </c>
      <c r="X1504" t="str">
        <f>IFERROR(VLOOKUP('Pre-Summary'!$DB$6:$DD$63,3,FALSE),"")</f>
        <v/>
      </c>
      <c r="Y1504" t="str">
        <f>IFERROR(VLOOKUP(B1504,'Pre-Summary'!$CR$6:$CT$36,3,FALSE),"")</f>
        <v/>
      </c>
      <c r="Z1504" s="45" t="str">
        <f>IFERROR(VLOOKUP(B1504,'Pre-Summary'!$BZ$6:$CB$63,2,FALSE),"")</f>
        <v/>
      </c>
      <c r="AA1504" s="45" t="str">
        <f>IFERROR(VLOOKUP(B1504,'Pre-Summary'!$CG$6:$CI$70,2,FALSE),"")</f>
        <v/>
      </c>
      <c r="AB1504" s="99">
        <f>IFERROR(VLOOKUP(B1504,'Pre-Summary'!$A$6:$P$178,9,FALSE),AB1505)</f>
        <v>0.35181614583388343</v>
      </c>
      <c r="AC1504" s="10">
        <f>IFERROR(VLOOKUP(Summary!B1504,'Pre-Summary'!$A$6:$P$184,5, FALSE)/100,AC1505)</f>
        <v>0.71615799999999996</v>
      </c>
      <c r="AD1504" s="10">
        <f>IFERROR(VLOOKUP(Summary!B1504,'Pre-Summary'!$A$6:$P$184,3, FALSE)/100,AD1505)</f>
        <v>0.24037466666666671</v>
      </c>
      <c r="AE1504" s="10">
        <f>IFERROR(VLOOKUP(Summary!B1504,'Pre-Summary'!$A$6:$P$184,7, FALSE)/100,AE1505)</f>
        <v>4.3467666666666661E-2</v>
      </c>
      <c r="AF1504" s="99">
        <f t="shared" si="70"/>
        <v>8.4567688782771128E-2</v>
      </c>
      <c r="AG1504" s="99">
        <f t="shared" si="71"/>
        <v>1.5292626955058631E-2</v>
      </c>
      <c r="AH1504" s="10" t="str">
        <f>IFERROR(VLOOKUP(B1504,'Pre-Summary'!$AZ$6:$BE$65,3,FALSE),"")</f>
        <v/>
      </c>
      <c r="AI1504" s="10" t="str">
        <f>IFERROR(VLOOKUP(B1504,'Pre-Summary'!$AZ$6:$BE$65,5,FALSE),"")</f>
        <v/>
      </c>
      <c r="AJ1504" s="10" t="str">
        <f>IFERROR(VLOOKUP(B1504,'Pre-Summary'!$AZ$6:$BE$65,4,FALSE),"")</f>
        <v/>
      </c>
      <c r="AK1504" s="10" t="str">
        <f>IFERROR(VLOOKUP(B1504,'Pre-Summary'!$AZ$6:$BE$65,6,FALSE),"")</f>
        <v/>
      </c>
      <c r="AL1504" s="10" t="str">
        <f>IFERROR(VLOOKUP(B1504,'Pre-Summary'!$BG$6:$BL$44,3,FALSE),"")</f>
        <v/>
      </c>
      <c r="AM1504" s="10" t="str">
        <f>IFERROR(VLOOKUP(B1504,'Pre-Summary'!$BG$6:$BL$44,4,FALSE),"")</f>
        <v/>
      </c>
    </row>
    <row r="1505" spans="2:39" ht="15" customHeight="1" x14ac:dyDescent="0.3">
      <c r="B1505">
        <v>150.19999999999999</v>
      </c>
      <c r="C1505" t="str">
        <f>IFERROR(VLOOKUP(B1505,'Pre-Summary'!$DI$6:$DM$23,4,FALSE),"")</f>
        <v/>
      </c>
      <c r="D1505" s="10" t="str">
        <f>IFERROR(VLOOKUP(B1505,'Pre-Summary'!$AT$6:$AX$14,5,FALSE),D1504)</f>
        <v>Wolfe v3: went back to modified wolfe + EDTA and switched CuSO4 to CUCl2</v>
      </c>
      <c r="E1505" s="10" t="str">
        <f>IFERROR(VLOOKUP(B1505,'Pre-Summary'!$AT$6:$AX$15,4,FALSE),"")</f>
        <v/>
      </c>
      <c r="F1505">
        <f>IFERROR(VLOOKUP(B1505,'Pre-Summary'!$AL$6:$AQ$13,6,FALSE),F1504)</f>
        <v>5.3897368421052638E-2</v>
      </c>
      <c r="G1505" t="str">
        <f>IFERROR(VLOOKUP(B1505,'Pre-Summary'!$AE$6:$AJ$85,3,FALSE),"")</f>
        <v/>
      </c>
      <c r="H1505" t="str">
        <f>IFERROR(VLOOKUP(B1505,'Pre-Summary'!$AE$6:$AJ$85,4,FALSE),"")</f>
        <v/>
      </c>
      <c r="I1505" t="str">
        <f>IFERROR(VLOOKUP(B1505,'Pre-Summary'!$AE$6:$AJ$85,5,FALSE),"")</f>
        <v/>
      </c>
      <c r="J1505" s="45" t="str">
        <f>IFERROR(VLOOKUP(B1505,'Pre-Summary'!$AE$6:$AJ$85,6, FALSE),"")</f>
        <v/>
      </c>
      <c r="K1505" s="45" t="str">
        <f>IFERROR(VLOOKUP(B1505,'Pre-Summary'!$DE$6:$DG$61,3,FALSE),"")</f>
        <v/>
      </c>
      <c r="L1505" s="45" t="str">
        <f>IFERROR(VLOOKUP(B1505,'Pre-Summary'!$CU$6:$CW$36,3,FALSE),"")</f>
        <v/>
      </c>
      <c r="M1505" s="45" t="str">
        <f>IFERROR(VLOOKUP(B1505,'Pre-Summary'!$BW$6:$BY$58,2,FALSE),"")</f>
        <v/>
      </c>
      <c r="N1505" s="45" t="str">
        <f>IFERROR(VLOOKUP(B1505,'Pre-Summary'!$CD$6:$CF$64,2,FALSE),"")</f>
        <v/>
      </c>
      <c r="O1505" s="99">
        <f>IFERROR(VLOOKUP(B1505,'Pre-Summary'!$BO$6:$BQ$48,3, FALSE),O1504)</f>
        <v>0.6</v>
      </c>
      <c r="P1505" s="99">
        <f>IFERROR(VLOOKUP(B1505,'Pre-Summary'!$BS$6:$BU$35,3,FALSE),P1504)</f>
        <v>0.3</v>
      </c>
      <c r="Q1505" s="54">
        <f t="shared" si="69"/>
        <v>2</v>
      </c>
      <c r="R1505" s="53">
        <f>IFERROR(VLOOKUP(B1505,'Pre-Summary'!$BG$6:$BM$44,7,FALSE),R1506)</f>
        <v>0.10131789275871156</v>
      </c>
      <c r="S1505" s="53">
        <f>IFERROR(VLOOKUP(B1505,'Pre-Summary'!$BG$6:$BM$44,6,FALSE),S1506)</f>
        <v>9.6637565908873055E-2</v>
      </c>
      <c r="T1505" s="45" t="str">
        <f>IFERROR(VLOOKUP(B1505,'Pre-Summary'!$Y$6:$AC$83, 3,FALSE),"")</f>
        <v/>
      </c>
      <c r="U1505" s="45" t="str">
        <f>IFERROR(VLOOKUP(B1505,'Pre-Summary'!$Y$6:$AC$83, 4,FALSE),"")</f>
        <v/>
      </c>
      <c r="V1505" t="str">
        <f>IFERROR(VLOOKUP(B1505,'Pre-Summary'!$Y$6:$AC$83, 5,FALSE),"")</f>
        <v/>
      </c>
      <c r="W1505" s="45" t="str">
        <f>IFERROR(VLOOKUP(B1505,'Pre-Summary'!$Y$6:$AD$83,6,FALSE),"")</f>
        <v/>
      </c>
      <c r="X1505" t="str">
        <f>IFERROR(VLOOKUP('Pre-Summary'!$DB$6:$DD$63,3,FALSE),"")</f>
        <v/>
      </c>
      <c r="Y1505" t="str">
        <f>IFERROR(VLOOKUP(B1505,'Pre-Summary'!$CR$6:$CT$36,3,FALSE),"")</f>
        <v/>
      </c>
      <c r="Z1505" s="45" t="str">
        <f>IFERROR(VLOOKUP(B1505,'Pre-Summary'!$BZ$6:$CB$63,2,FALSE),"")</f>
        <v/>
      </c>
      <c r="AA1505" s="45" t="str">
        <f>IFERROR(VLOOKUP(B1505,'Pre-Summary'!$CG$6:$CI$70,2,FALSE),"")</f>
        <v/>
      </c>
      <c r="AB1505" s="99">
        <f>IFERROR(VLOOKUP(B1505,'Pre-Summary'!$A$6:$P$178,9,FALSE),AB1506)</f>
        <v>0.35181614583388343</v>
      </c>
      <c r="AC1505" s="10">
        <f>IFERROR(VLOOKUP(Summary!B1505,'Pre-Summary'!$A$6:$P$184,5, FALSE)/100,AC1506)</f>
        <v>0.71615799999999996</v>
      </c>
      <c r="AD1505" s="10">
        <f>IFERROR(VLOOKUP(Summary!B1505,'Pre-Summary'!$A$6:$P$184,3, FALSE)/100,AD1506)</f>
        <v>0.24037466666666671</v>
      </c>
      <c r="AE1505" s="10">
        <f>IFERROR(VLOOKUP(Summary!B1505,'Pre-Summary'!$A$6:$P$184,7, FALSE)/100,AE1506)</f>
        <v>4.3467666666666661E-2</v>
      </c>
      <c r="AF1505" s="99">
        <f t="shared" si="70"/>
        <v>8.4567688782771128E-2</v>
      </c>
      <c r="AG1505" s="99">
        <f t="shared" si="71"/>
        <v>1.5292626955058631E-2</v>
      </c>
      <c r="AH1505" s="10" t="str">
        <f>IFERROR(VLOOKUP(B1505,'Pre-Summary'!$AZ$6:$BE$65,3,FALSE),"")</f>
        <v/>
      </c>
      <c r="AI1505" s="10" t="str">
        <f>IFERROR(VLOOKUP(B1505,'Pre-Summary'!$AZ$6:$BE$65,5,FALSE),"")</f>
        <v/>
      </c>
      <c r="AJ1505" s="10" t="str">
        <f>IFERROR(VLOOKUP(B1505,'Pre-Summary'!$AZ$6:$BE$65,4,FALSE),"")</f>
        <v/>
      </c>
      <c r="AK1505" s="10" t="str">
        <f>IFERROR(VLOOKUP(B1505,'Pre-Summary'!$AZ$6:$BE$65,6,FALSE),"")</f>
        <v/>
      </c>
      <c r="AL1505" s="10" t="str">
        <f>IFERROR(VLOOKUP(B1505,'Pre-Summary'!$BG$6:$BL$44,3,FALSE),"")</f>
        <v/>
      </c>
      <c r="AM1505" s="10" t="str">
        <f>IFERROR(VLOOKUP(B1505,'Pre-Summary'!$BG$6:$BL$44,4,FALSE),"")</f>
        <v/>
      </c>
    </row>
    <row r="1506" spans="2:39" ht="15" customHeight="1" x14ac:dyDescent="0.3">
      <c r="B1506">
        <v>150.30000000000001</v>
      </c>
      <c r="C1506" t="str">
        <f>IFERROR(VLOOKUP(B1506,'Pre-Summary'!$DI$6:$DM$23,4,FALSE),"")</f>
        <v/>
      </c>
      <c r="D1506" s="10" t="str">
        <f>IFERROR(VLOOKUP(B1506,'Pre-Summary'!$AT$6:$AX$14,5,FALSE),D1505)</f>
        <v>Wolfe v3: went back to modified wolfe + EDTA and switched CuSO4 to CUCl2</v>
      </c>
      <c r="E1506" s="10" t="str">
        <f>IFERROR(VLOOKUP(B1506,'Pre-Summary'!$AT$6:$AX$15,4,FALSE),"")</f>
        <v/>
      </c>
      <c r="F1506">
        <f>IFERROR(VLOOKUP(B1506,'Pre-Summary'!$AL$6:$AQ$13,6,FALSE),F1505)</f>
        <v>5.3897368421052638E-2</v>
      </c>
      <c r="G1506" t="str">
        <f>IFERROR(VLOOKUP(B1506,'Pre-Summary'!$AE$6:$AJ$85,3,FALSE),"")</f>
        <v/>
      </c>
      <c r="H1506" t="str">
        <f>IFERROR(VLOOKUP(B1506,'Pre-Summary'!$AE$6:$AJ$85,4,FALSE),"")</f>
        <v/>
      </c>
      <c r="I1506" t="str">
        <f>IFERROR(VLOOKUP(B1506,'Pre-Summary'!$AE$6:$AJ$85,5,FALSE),"")</f>
        <v/>
      </c>
      <c r="J1506" s="45" t="str">
        <f>IFERROR(VLOOKUP(B1506,'Pre-Summary'!$AE$6:$AJ$85,6, FALSE),"")</f>
        <v/>
      </c>
      <c r="K1506" s="45" t="str">
        <f>IFERROR(VLOOKUP(B1506,'Pre-Summary'!$DE$6:$DG$61,3,FALSE),"")</f>
        <v/>
      </c>
      <c r="L1506" s="45" t="str">
        <f>IFERROR(VLOOKUP(B1506,'Pre-Summary'!$CU$6:$CW$36,3,FALSE),"")</f>
        <v/>
      </c>
      <c r="M1506" s="45" t="str">
        <f>IFERROR(VLOOKUP(B1506,'Pre-Summary'!$BW$6:$BY$58,2,FALSE),"")</f>
        <v/>
      </c>
      <c r="N1506" s="45" t="str">
        <f>IFERROR(VLOOKUP(B1506,'Pre-Summary'!$CD$6:$CF$64,2,FALSE),"")</f>
        <v/>
      </c>
      <c r="O1506" s="99">
        <f>IFERROR(VLOOKUP(B1506,'Pre-Summary'!$BO$6:$BQ$48,3, FALSE),O1505)</f>
        <v>0.6</v>
      </c>
      <c r="P1506" s="99">
        <f>IFERROR(VLOOKUP(B1506,'Pre-Summary'!$BS$6:$BU$35,3,FALSE),P1505)</f>
        <v>0.3</v>
      </c>
      <c r="Q1506" s="54">
        <f t="shared" si="69"/>
        <v>2</v>
      </c>
      <c r="R1506" s="53">
        <f>IFERROR(VLOOKUP(B1506,'Pre-Summary'!$BG$6:$BM$44,7,FALSE),R1507)</f>
        <v>0.10131789275871156</v>
      </c>
      <c r="S1506" s="53">
        <f>IFERROR(VLOOKUP(B1506,'Pre-Summary'!$BG$6:$BM$44,6,FALSE),S1507)</f>
        <v>9.6637565908873055E-2</v>
      </c>
      <c r="T1506" s="45" t="str">
        <f>IFERROR(VLOOKUP(B1506,'Pre-Summary'!$Y$6:$AC$83, 3,FALSE),"")</f>
        <v/>
      </c>
      <c r="U1506" s="45" t="str">
        <f>IFERROR(VLOOKUP(B1506,'Pre-Summary'!$Y$6:$AC$83, 4,FALSE),"")</f>
        <v/>
      </c>
      <c r="V1506" t="str">
        <f>IFERROR(VLOOKUP(B1506,'Pre-Summary'!$Y$6:$AC$83, 5,FALSE),"")</f>
        <v/>
      </c>
      <c r="W1506" s="45" t="str">
        <f>IFERROR(VLOOKUP(B1506,'Pre-Summary'!$Y$6:$AD$83,6,FALSE),"")</f>
        <v/>
      </c>
      <c r="X1506" t="str">
        <f>IFERROR(VLOOKUP('Pre-Summary'!$DB$6:$DD$63,3,FALSE),"")</f>
        <v/>
      </c>
      <c r="Y1506" t="str">
        <f>IFERROR(VLOOKUP(B1506,'Pre-Summary'!$CR$6:$CT$36,3,FALSE),"")</f>
        <v/>
      </c>
      <c r="Z1506" s="45" t="str">
        <f>IFERROR(VLOOKUP(B1506,'Pre-Summary'!$BZ$6:$CB$63,2,FALSE),"")</f>
        <v/>
      </c>
      <c r="AA1506" s="45" t="str">
        <f>IFERROR(VLOOKUP(B1506,'Pre-Summary'!$CG$6:$CI$70,2,FALSE),"")</f>
        <v/>
      </c>
      <c r="AB1506" s="99">
        <f>IFERROR(VLOOKUP(B1506,'Pre-Summary'!$A$6:$P$178,9,FALSE),AB1507)</f>
        <v>0.35181614583388343</v>
      </c>
      <c r="AC1506" s="10">
        <f>IFERROR(VLOOKUP(Summary!B1506,'Pre-Summary'!$A$6:$P$184,5, FALSE)/100,AC1507)</f>
        <v>0.71615799999999996</v>
      </c>
      <c r="AD1506" s="10">
        <f>IFERROR(VLOOKUP(Summary!B1506,'Pre-Summary'!$A$6:$P$184,3, FALSE)/100,AD1507)</f>
        <v>0.24037466666666671</v>
      </c>
      <c r="AE1506" s="10">
        <f>IFERROR(VLOOKUP(Summary!B1506,'Pre-Summary'!$A$6:$P$184,7, FALSE)/100,AE1507)</f>
        <v>4.3467666666666661E-2</v>
      </c>
      <c r="AF1506" s="99">
        <f t="shared" si="70"/>
        <v>8.4567688782771128E-2</v>
      </c>
      <c r="AG1506" s="99">
        <f t="shared" si="71"/>
        <v>1.5292626955058631E-2</v>
      </c>
      <c r="AH1506" s="10" t="str">
        <f>IFERROR(VLOOKUP(B1506,'Pre-Summary'!$AZ$6:$BE$65,3,FALSE),"")</f>
        <v/>
      </c>
      <c r="AI1506" s="10" t="str">
        <f>IFERROR(VLOOKUP(B1506,'Pre-Summary'!$AZ$6:$BE$65,5,FALSE),"")</f>
        <v/>
      </c>
      <c r="AJ1506" s="10" t="str">
        <f>IFERROR(VLOOKUP(B1506,'Pre-Summary'!$AZ$6:$BE$65,4,FALSE),"")</f>
        <v/>
      </c>
      <c r="AK1506" s="10" t="str">
        <f>IFERROR(VLOOKUP(B1506,'Pre-Summary'!$AZ$6:$BE$65,6,FALSE),"")</f>
        <v/>
      </c>
      <c r="AL1506" s="10" t="str">
        <f>IFERROR(VLOOKUP(B1506,'Pre-Summary'!$BG$6:$BL$44,3,FALSE),"")</f>
        <v/>
      </c>
      <c r="AM1506" s="10" t="str">
        <f>IFERROR(VLOOKUP(B1506,'Pre-Summary'!$BG$6:$BL$44,4,FALSE),"")</f>
        <v/>
      </c>
    </row>
    <row r="1507" spans="2:39" ht="15" customHeight="1" x14ac:dyDescent="0.3">
      <c r="B1507">
        <v>150.4</v>
      </c>
      <c r="C1507" t="str">
        <f>IFERROR(VLOOKUP(B1507,'Pre-Summary'!$DI$6:$DM$23,4,FALSE),"")</f>
        <v/>
      </c>
      <c r="D1507" s="10" t="str">
        <f>IFERROR(VLOOKUP(B1507,'Pre-Summary'!$AT$6:$AX$14,5,FALSE),D1506)</f>
        <v>Wolfe v3: went back to modified wolfe + EDTA and switched CuSO4 to CUCl2</v>
      </c>
      <c r="E1507" s="10" t="str">
        <f>IFERROR(VLOOKUP(B1507,'Pre-Summary'!$AT$6:$AX$15,4,FALSE),"")</f>
        <v/>
      </c>
      <c r="F1507">
        <f>IFERROR(VLOOKUP(B1507,'Pre-Summary'!$AL$6:$AQ$13,6,FALSE),F1506)</f>
        <v>5.3897368421052638E-2</v>
      </c>
      <c r="G1507" t="str">
        <f>IFERROR(VLOOKUP(B1507,'Pre-Summary'!$AE$6:$AJ$85,3,FALSE),"")</f>
        <v/>
      </c>
      <c r="H1507" t="str">
        <f>IFERROR(VLOOKUP(B1507,'Pre-Summary'!$AE$6:$AJ$85,4,FALSE),"")</f>
        <v/>
      </c>
      <c r="I1507" t="str">
        <f>IFERROR(VLOOKUP(B1507,'Pre-Summary'!$AE$6:$AJ$85,5,FALSE),"")</f>
        <v/>
      </c>
      <c r="J1507" s="45" t="str">
        <f>IFERROR(VLOOKUP(B1507,'Pre-Summary'!$AE$6:$AJ$85,6, FALSE),"")</f>
        <v/>
      </c>
      <c r="K1507" s="45" t="str">
        <f>IFERROR(VLOOKUP(B1507,'Pre-Summary'!$DE$6:$DG$61,3,FALSE),"")</f>
        <v/>
      </c>
      <c r="L1507" s="45" t="str">
        <f>IFERROR(VLOOKUP(B1507,'Pre-Summary'!$CU$6:$CW$36,3,FALSE),"")</f>
        <v/>
      </c>
      <c r="M1507" s="45" t="str">
        <f>IFERROR(VLOOKUP(B1507,'Pre-Summary'!$BW$6:$BY$58,2,FALSE),"")</f>
        <v/>
      </c>
      <c r="N1507" s="45" t="str">
        <f>IFERROR(VLOOKUP(B1507,'Pre-Summary'!$CD$6:$CF$64,2,FALSE),"")</f>
        <v/>
      </c>
      <c r="O1507" s="99">
        <f>IFERROR(VLOOKUP(B1507,'Pre-Summary'!$BO$6:$BQ$48,3, FALSE),O1506)</f>
        <v>0.6</v>
      </c>
      <c r="P1507" s="99">
        <f>IFERROR(VLOOKUP(B1507,'Pre-Summary'!$BS$6:$BU$35,3,FALSE),P1506)</f>
        <v>0.3</v>
      </c>
      <c r="Q1507" s="54">
        <f t="shared" si="69"/>
        <v>2</v>
      </c>
      <c r="R1507" s="53">
        <f>IFERROR(VLOOKUP(B1507,'Pre-Summary'!$BG$6:$BM$44,7,FALSE),R1508)</f>
        <v>0.10131789275871156</v>
      </c>
      <c r="S1507" s="53">
        <f>IFERROR(VLOOKUP(B1507,'Pre-Summary'!$BG$6:$BM$44,6,FALSE),S1508)</f>
        <v>9.6637565908873055E-2</v>
      </c>
      <c r="T1507" s="45" t="str">
        <f>IFERROR(VLOOKUP(B1507,'Pre-Summary'!$Y$6:$AC$83, 3,FALSE),"")</f>
        <v/>
      </c>
      <c r="U1507" s="45" t="str">
        <f>IFERROR(VLOOKUP(B1507,'Pre-Summary'!$Y$6:$AC$83, 4,FALSE),"")</f>
        <v/>
      </c>
      <c r="V1507" t="str">
        <f>IFERROR(VLOOKUP(B1507,'Pre-Summary'!$Y$6:$AC$83, 5,FALSE),"")</f>
        <v/>
      </c>
      <c r="W1507" s="45" t="str">
        <f>IFERROR(VLOOKUP(B1507,'Pre-Summary'!$Y$6:$AD$83,6,FALSE),"")</f>
        <v/>
      </c>
      <c r="X1507" t="str">
        <f>IFERROR(VLOOKUP('Pre-Summary'!$DB$6:$DD$63,3,FALSE),"")</f>
        <v/>
      </c>
      <c r="Y1507" t="str">
        <f>IFERROR(VLOOKUP(B1507,'Pre-Summary'!$CR$6:$CT$36,3,FALSE),"")</f>
        <v/>
      </c>
      <c r="Z1507" s="45" t="str">
        <f>IFERROR(VLOOKUP(B1507,'Pre-Summary'!$BZ$6:$CB$63,2,FALSE),"")</f>
        <v/>
      </c>
      <c r="AA1507" s="45" t="str">
        <f>IFERROR(VLOOKUP(B1507,'Pre-Summary'!$CG$6:$CI$70,2,FALSE),"")</f>
        <v/>
      </c>
      <c r="AB1507" s="99">
        <f>IFERROR(VLOOKUP(B1507,'Pre-Summary'!$A$6:$P$178,9,FALSE),AB1508)</f>
        <v>0.35181614583388343</v>
      </c>
      <c r="AC1507" s="10">
        <f>IFERROR(VLOOKUP(Summary!B1507,'Pre-Summary'!$A$6:$P$184,5, FALSE)/100,AC1508)</f>
        <v>0.71615799999999996</v>
      </c>
      <c r="AD1507" s="10">
        <f>IFERROR(VLOOKUP(Summary!B1507,'Pre-Summary'!$A$6:$P$184,3, FALSE)/100,AD1508)</f>
        <v>0.24037466666666671</v>
      </c>
      <c r="AE1507" s="10">
        <f>IFERROR(VLOOKUP(Summary!B1507,'Pre-Summary'!$A$6:$P$184,7, FALSE)/100,AE1508)</f>
        <v>4.3467666666666661E-2</v>
      </c>
      <c r="AF1507" s="99">
        <f t="shared" si="70"/>
        <v>8.4567688782771128E-2</v>
      </c>
      <c r="AG1507" s="99">
        <f t="shared" si="71"/>
        <v>1.5292626955058631E-2</v>
      </c>
      <c r="AH1507" s="10" t="str">
        <f>IFERROR(VLOOKUP(B1507,'Pre-Summary'!$AZ$6:$BE$65,3,FALSE),"")</f>
        <v/>
      </c>
      <c r="AI1507" s="10" t="str">
        <f>IFERROR(VLOOKUP(B1507,'Pre-Summary'!$AZ$6:$BE$65,5,FALSE),"")</f>
        <v/>
      </c>
      <c r="AJ1507" s="10" t="str">
        <f>IFERROR(VLOOKUP(B1507,'Pre-Summary'!$AZ$6:$BE$65,4,FALSE),"")</f>
        <v/>
      </c>
      <c r="AK1507" s="10" t="str">
        <f>IFERROR(VLOOKUP(B1507,'Pre-Summary'!$AZ$6:$BE$65,6,FALSE),"")</f>
        <v/>
      </c>
      <c r="AL1507" s="10" t="str">
        <f>IFERROR(VLOOKUP(B1507,'Pre-Summary'!$BG$6:$BL$44,3,FALSE),"")</f>
        <v/>
      </c>
      <c r="AM1507" s="10" t="str">
        <f>IFERROR(VLOOKUP(B1507,'Pre-Summary'!$BG$6:$BL$44,4,FALSE),"")</f>
        <v/>
      </c>
    </row>
    <row r="1508" spans="2:39" ht="15" customHeight="1" x14ac:dyDescent="0.3">
      <c r="B1508">
        <v>150.5</v>
      </c>
      <c r="C1508" t="str">
        <f>IFERROR(VLOOKUP(B1508,'Pre-Summary'!$DI$6:$DM$23,4,FALSE),"")</f>
        <v/>
      </c>
      <c r="D1508" s="10" t="str">
        <f>IFERROR(VLOOKUP(B1508,'Pre-Summary'!$AT$6:$AX$14,5,FALSE),D1507)</f>
        <v>Wolfe v3: went back to modified wolfe + EDTA and switched CuSO4 to CUCl2</v>
      </c>
      <c r="E1508" s="10" t="str">
        <f>IFERROR(VLOOKUP(B1508,'Pre-Summary'!$AT$6:$AX$15,4,FALSE),"")</f>
        <v/>
      </c>
      <c r="F1508">
        <f>IFERROR(VLOOKUP(B1508,'Pre-Summary'!$AL$6:$AQ$13,6,FALSE),F1507)</f>
        <v>5.3897368421052638E-2</v>
      </c>
      <c r="G1508" t="str">
        <f>IFERROR(VLOOKUP(B1508,'Pre-Summary'!$AE$6:$AJ$85,3,FALSE),"")</f>
        <v/>
      </c>
      <c r="H1508" t="str">
        <f>IFERROR(VLOOKUP(B1508,'Pre-Summary'!$AE$6:$AJ$85,4,FALSE),"")</f>
        <v/>
      </c>
      <c r="I1508" t="str">
        <f>IFERROR(VLOOKUP(B1508,'Pre-Summary'!$AE$6:$AJ$85,5,FALSE),"")</f>
        <v/>
      </c>
      <c r="J1508" s="45" t="str">
        <f>IFERROR(VLOOKUP(B1508,'Pre-Summary'!$AE$6:$AJ$85,6, FALSE),"")</f>
        <v/>
      </c>
      <c r="K1508" s="45" t="str">
        <f>IFERROR(VLOOKUP(B1508,'Pre-Summary'!$DE$6:$DG$61,3,FALSE),"")</f>
        <v/>
      </c>
      <c r="L1508" s="45" t="str">
        <f>IFERROR(VLOOKUP(B1508,'Pre-Summary'!$CU$6:$CW$36,3,FALSE),"")</f>
        <v/>
      </c>
      <c r="M1508" s="45" t="str">
        <f>IFERROR(VLOOKUP(B1508,'Pre-Summary'!$BW$6:$BY$58,2,FALSE),"")</f>
        <v/>
      </c>
      <c r="N1508" s="45" t="str">
        <f>IFERROR(VLOOKUP(B1508,'Pre-Summary'!$CD$6:$CF$64,2,FALSE),"")</f>
        <v/>
      </c>
      <c r="O1508" s="99">
        <f>IFERROR(VLOOKUP(B1508,'Pre-Summary'!$BO$6:$BQ$48,3, FALSE),O1507)</f>
        <v>0.6</v>
      </c>
      <c r="P1508" s="99">
        <f>IFERROR(VLOOKUP(B1508,'Pre-Summary'!$BS$6:$BU$35,3,FALSE),P1507)</f>
        <v>0.3</v>
      </c>
      <c r="Q1508" s="54">
        <f t="shared" si="69"/>
        <v>2</v>
      </c>
      <c r="R1508" s="53">
        <f>IFERROR(VLOOKUP(B1508,'Pre-Summary'!$BG$6:$BM$44,7,FALSE),R1509)</f>
        <v>0.10131789275871156</v>
      </c>
      <c r="S1508" s="53">
        <f>IFERROR(VLOOKUP(B1508,'Pre-Summary'!$BG$6:$BM$44,6,FALSE),S1509)</f>
        <v>9.6637565908873055E-2</v>
      </c>
      <c r="T1508" s="45" t="str">
        <f>IFERROR(VLOOKUP(B1508,'Pre-Summary'!$Y$6:$AC$83, 3,FALSE),"")</f>
        <v/>
      </c>
      <c r="U1508" s="45" t="str">
        <f>IFERROR(VLOOKUP(B1508,'Pre-Summary'!$Y$6:$AC$83, 4,FALSE),"")</f>
        <v/>
      </c>
      <c r="V1508" t="str">
        <f>IFERROR(VLOOKUP(B1508,'Pre-Summary'!$Y$6:$AC$83, 5,FALSE),"")</f>
        <v/>
      </c>
      <c r="W1508" s="45" t="str">
        <f>IFERROR(VLOOKUP(B1508,'Pre-Summary'!$Y$6:$AD$83,6,FALSE),"")</f>
        <v/>
      </c>
      <c r="X1508" t="str">
        <f>IFERROR(VLOOKUP('Pre-Summary'!$DB$6:$DD$63,3,FALSE),"")</f>
        <v/>
      </c>
      <c r="Y1508" t="str">
        <f>IFERROR(VLOOKUP(B1508,'Pre-Summary'!$CR$6:$CT$36,3,FALSE),"")</f>
        <v/>
      </c>
      <c r="Z1508" s="45" t="str">
        <f>IFERROR(VLOOKUP(B1508,'Pre-Summary'!$BZ$6:$CB$63,2,FALSE),"")</f>
        <v/>
      </c>
      <c r="AA1508" s="45" t="str">
        <f>IFERROR(VLOOKUP(B1508,'Pre-Summary'!$CG$6:$CI$70,2,FALSE),"")</f>
        <v/>
      </c>
      <c r="AB1508" s="99">
        <f>IFERROR(VLOOKUP(B1508,'Pre-Summary'!$A$6:$P$178,9,FALSE),AB1509)</f>
        <v>0.35181614583388343</v>
      </c>
      <c r="AC1508" s="10">
        <f>IFERROR(VLOOKUP(Summary!B1508,'Pre-Summary'!$A$6:$P$184,5, FALSE)/100,AC1509)</f>
        <v>0.71615799999999996</v>
      </c>
      <c r="AD1508" s="10">
        <f>IFERROR(VLOOKUP(Summary!B1508,'Pre-Summary'!$A$6:$P$184,3, FALSE)/100,AD1509)</f>
        <v>0.24037466666666671</v>
      </c>
      <c r="AE1508" s="10">
        <f>IFERROR(VLOOKUP(Summary!B1508,'Pre-Summary'!$A$6:$P$184,7, FALSE)/100,AE1509)</f>
        <v>4.3467666666666661E-2</v>
      </c>
      <c r="AF1508" s="99">
        <f t="shared" si="70"/>
        <v>8.4567688782771128E-2</v>
      </c>
      <c r="AG1508" s="99">
        <f t="shared" si="71"/>
        <v>1.5292626955058631E-2</v>
      </c>
      <c r="AH1508" s="10" t="str">
        <f>IFERROR(VLOOKUP(B1508,'Pre-Summary'!$AZ$6:$BE$65,3,FALSE),"")</f>
        <v/>
      </c>
      <c r="AI1508" s="10" t="str">
        <f>IFERROR(VLOOKUP(B1508,'Pre-Summary'!$AZ$6:$BE$65,5,FALSE),"")</f>
        <v/>
      </c>
      <c r="AJ1508" s="10" t="str">
        <f>IFERROR(VLOOKUP(B1508,'Pre-Summary'!$AZ$6:$BE$65,4,FALSE),"")</f>
        <v/>
      </c>
      <c r="AK1508" s="10" t="str">
        <f>IFERROR(VLOOKUP(B1508,'Pre-Summary'!$AZ$6:$BE$65,6,FALSE),"")</f>
        <v/>
      </c>
      <c r="AL1508" s="10" t="str">
        <f>IFERROR(VLOOKUP(B1508,'Pre-Summary'!$BG$6:$BL$44,3,FALSE),"")</f>
        <v/>
      </c>
      <c r="AM1508" s="10" t="str">
        <f>IFERROR(VLOOKUP(B1508,'Pre-Summary'!$BG$6:$BL$44,4,FALSE),"")</f>
        <v/>
      </c>
    </row>
    <row r="1509" spans="2:39" ht="15" customHeight="1" x14ac:dyDescent="0.3">
      <c r="B1509">
        <v>150.6</v>
      </c>
      <c r="C1509" t="str">
        <f>IFERROR(VLOOKUP(B1509,'Pre-Summary'!$DI$6:$DM$23,4,FALSE),"")</f>
        <v/>
      </c>
      <c r="D1509" s="10" t="str">
        <f>IFERROR(VLOOKUP(B1509,'Pre-Summary'!$AT$6:$AX$14,5,FALSE),D1508)</f>
        <v>Wolfe v3: went back to modified wolfe + EDTA and switched CuSO4 to CUCl2</v>
      </c>
      <c r="E1509" s="10" t="str">
        <f>IFERROR(VLOOKUP(B1509,'Pre-Summary'!$AT$6:$AX$15,4,FALSE),"")</f>
        <v/>
      </c>
      <c r="F1509">
        <f>IFERROR(VLOOKUP(B1509,'Pre-Summary'!$AL$6:$AQ$13,6,FALSE),F1508)</f>
        <v>5.3897368421052638E-2</v>
      </c>
      <c r="G1509" t="str">
        <f>IFERROR(VLOOKUP(B1509,'Pre-Summary'!$AE$6:$AJ$85,3,FALSE),"")</f>
        <v/>
      </c>
      <c r="H1509" t="str">
        <f>IFERROR(VLOOKUP(B1509,'Pre-Summary'!$AE$6:$AJ$85,4,FALSE),"")</f>
        <v/>
      </c>
      <c r="I1509" t="str">
        <f>IFERROR(VLOOKUP(B1509,'Pre-Summary'!$AE$6:$AJ$85,5,FALSE),"")</f>
        <v/>
      </c>
      <c r="J1509" s="45" t="str">
        <f>IFERROR(VLOOKUP(B1509,'Pre-Summary'!$AE$6:$AJ$85,6, FALSE),"")</f>
        <v/>
      </c>
      <c r="K1509" s="45" t="str">
        <f>IFERROR(VLOOKUP(B1509,'Pre-Summary'!$DE$6:$DG$61,3,FALSE),"")</f>
        <v/>
      </c>
      <c r="L1509" s="45" t="str">
        <f>IFERROR(VLOOKUP(B1509,'Pre-Summary'!$CU$6:$CW$36,3,FALSE),"")</f>
        <v/>
      </c>
      <c r="M1509" s="45" t="str">
        <f>IFERROR(VLOOKUP(B1509,'Pre-Summary'!$BW$6:$BY$58,2,FALSE),"")</f>
        <v/>
      </c>
      <c r="N1509" s="45" t="str">
        <f>IFERROR(VLOOKUP(B1509,'Pre-Summary'!$CD$6:$CF$64,2,FALSE),"")</f>
        <v/>
      </c>
      <c r="O1509" s="99">
        <f>IFERROR(VLOOKUP(B1509,'Pre-Summary'!$BO$6:$BQ$48,3, FALSE),O1508)</f>
        <v>0.6</v>
      </c>
      <c r="P1509" s="99">
        <f>IFERROR(VLOOKUP(B1509,'Pre-Summary'!$BS$6:$BU$35,3,FALSE),P1508)</f>
        <v>0.3</v>
      </c>
      <c r="Q1509" s="54">
        <f t="shared" si="69"/>
        <v>2</v>
      </c>
      <c r="R1509" s="53">
        <f>IFERROR(VLOOKUP(B1509,'Pre-Summary'!$BG$6:$BM$44,7,FALSE),R1510)</f>
        <v>0.10131789275871156</v>
      </c>
      <c r="S1509" s="53">
        <f>IFERROR(VLOOKUP(B1509,'Pre-Summary'!$BG$6:$BM$44,6,FALSE),S1510)</f>
        <v>9.6637565908873055E-2</v>
      </c>
      <c r="T1509" s="45" t="str">
        <f>IFERROR(VLOOKUP(B1509,'Pre-Summary'!$Y$6:$AC$83, 3,FALSE),"")</f>
        <v/>
      </c>
      <c r="U1509" s="45" t="str">
        <f>IFERROR(VLOOKUP(B1509,'Pre-Summary'!$Y$6:$AC$83, 4,FALSE),"")</f>
        <v/>
      </c>
      <c r="V1509" t="str">
        <f>IFERROR(VLOOKUP(B1509,'Pre-Summary'!$Y$6:$AC$83, 5,FALSE),"")</f>
        <v/>
      </c>
      <c r="W1509" s="45" t="str">
        <f>IFERROR(VLOOKUP(B1509,'Pre-Summary'!$Y$6:$AD$83,6,FALSE),"")</f>
        <v/>
      </c>
      <c r="X1509" t="str">
        <f>IFERROR(VLOOKUP('Pre-Summary'!$DB$6:$DD$63,3,FALSE),"")</f>
        <v/>
      </c>
      <c r="Y1509" t="str">
        <f>IFERROR(VLOOKUP(B1509,'Pre-Summary'!$CR$6:$CT$36,3,FALSE),"")</f>
        <v/>
      </c>
      <c r="Z1509" s="45" t="str">
        <f>IFERROR(VLOOKUP(B1509,'Pre-Summary'!$BZ$6:$CB$63,2,FALSE),"")</f>
        <v/>
      </c>
      <c r="AA1509" s="45" t="str">
        <f>IFERROR(VLOOKUP(B1509,'Pre-Summary'!$CG$6:$CI$70,2,FALSE),"")</f>
        <v/>
      </c>
      <c r="AB1509" s="99">
        <f>IFERROR(VLOOKUP(B1509,'Pre-Summary'!$A$6:$P$178,9,FALSE),AB1510)</f>
        <v>0.35181614583388343</v>
      </c>
      <c r="AC1509" s="10">
        <f>IFERROR(VLOOKUP(Summary!B1509,'Pre-Summary'!$A$6:$P$184,5, FALSE)/100,AC1510)</f>
        <v>0.71615799999999996</v>
      </c>
      <c r="AD1509" s="10">
        <f>IFERROR(VLOOKUP(Summary!B1509,'Pre-Summary'!$A$6:$P$184,3, FALSE)/100,AD1510)</f>
        <v>0.24037466666666671</v>
      </c>
      <c r="AE1509" s="10">
        <f>IFERROR(VLOOKUP(Summary!B1509,'Pre-Summary'!$A$6:$P$184,7, FALSE)/100,AE1510)</f>
        <v>4.3467666666666661E-2</v>
      </c>
      <c r="AF1509" s="99">
        <f t="shared" si="70"/>
        <v>8.4567688782771128E-2</v>
      </c>
      <c r="AG1509" s="99">
        <f t="shared" si="71"/>
        <v>1.5292626955058631E-2</v>
      </c>
      <c r="AH1509" s="10" t="str">
        <f>IFERROR(VLOOKUP(B1509,'Pre-Summary'!$AZ$6:$BE$65,3,FALSE),"")</f>
        <v/>
      </c>
      <c r="AI1509" s="10" t="str">
        <f>IFERROR(VLOOKUP(B1509,'Pre-Summary'!$AZ$6:$BE$65,5,FALSE),"")</f>
        <v/>
      </c>
      <c r="AJ1509" s="10" t="str">
        <f>IFERROR(VLOOKUP(B1509,'Pre-Summary'!$AZ$6:$BE$65,4,FALSE),"")</f>
        <v/>
      </c>
      <c r="AK1509" s="10" t="str">
        <f>IFERROR(VLOOKUP(B1509,'Pre-Summary'!$AZ$6:$BE$65,6,FALSE),"")</f>
        <v/>
      </c>
      <c r="AL1509" s="10" t="str">
        <f>IFERROR(VLOOKUP(B1509,'Pre-Summary'!$BG$6:$BL$44,3,FALSE),"")</f>
        <v/>
      </c>
      <c r="AM1509" s="10" t="str">
        <f>IFERROR(VLOOKUP(B1509,'Pre-Summary'!$BG$6:$BL$44,4,FALSE),"")</f>
        <v/>
      </c>
    </row>
    <row r="1510" spans="2:39" ht="15" customHeight="1" x14ac:dyDescent="0.3">
      <c r="B1510">
        <v>150.69999999999999</v>
      </c>
      <c r="C1510" t="str">
        <f>IFERROR(VLOOKUP(B1510,'Pre-Summary'!$DI$6:$DM$23,4,FALSE),"")</f>
        <v/>
      </c>
      <c r="D1510" s="10" t="str">
        <f>IFERROR(VLOOKUP(B1510,'Pre-Summary'!$AT$6:$AX$14,5,FALSE),D1509)</f>
        <v>Wolfe v3: went back to modified wolfe + EDTA and switched CuSO4 to CUCl2</v>
      </c>
      <c r="E1510" s="10" t="str">
        <f>IFERROR(VLOOKUP(B1510,'Pre-Summary'!$AT$6:$AX$15,4,FALSE),"")</f>
        <v/>
      </c>
      <c r="F1510">
        <f>IFERROR(VLOOKUP(B1510,'Pre-Summary'!$AL$6:$AQ$13,6,FALSE),F1509)</f>
        <v>5.3897368421052638E-2</v>
      </c>
      <c r="G1510" t="str">
        <f>IFERROR(VLOOKUP(B1510,'Pre-Summary'!$AE$6:$AJ$85,3,FALSE),"")</f>
        <v/>
      </c>
      <c r="H1510" t="str">
        <f>IFERROR(VLOOKUP(B1510,'Pre-Summary'!$AE$6:$AJ$85,4,FALSE),"")</f>
        <v/>
      </c>
      <c r="I1510" t="str">
        <f>IFERROR(VLOOKUP(B1510,'Pre-Summary'!$AE$6:$AJ$85,5,FALSE),"")</f>
        <v/>
      </c>
      <c r="J1510" s="45" t="str">
        <f>IFERROR(VLOOKUP(B1510,'Pre-Summary'!$AE$6:$AJ$85,6, FALSE),"")</f>
        <v/>
      </c>
      <c r="K1510" s="45" t="str">
        <f>IFERROR(VLOOKUP(B1510,'Pre-Summary'!$DE$6:$DG$61,3,FALSE),"")</f>
        <v/>
      </c>
      <c r="L1510" s="45" t="str">
        <f>IFERROR(VLOOKUP(B1510,'Pre-Summary'!$CU$6:$CW$36,3,FALSE),"")</f>
        <v/>
      </c>
      <c r="M1510" s="45" t="str">
        <f>IFERROR(VLOOKUP(B1510,'Pre-Summary'!$BW$6:$BY$58,2,FALSE),"")</f>
        <v/>
      </c>
      <c r="N1510" s="45" t="str">
        <f>IFERROR(VLOOKUP(B1510,'Pre-Summary'!$CD$6:$CF$64,2,FALSE),"")</f>
        <v/>
      </c>
      <c r="O1510" s="99">
        <f>IFERROR(VLOOKUP(B1510,'Pre-Summary'!$BO$6:$BQ$48,3, FALSE),O1509)</f>
        <v>0.6</v>
      </c>
      <c r="P1510" s="99">
        <f>IFERROR(VLOOKUP(B1510,'Pre-Summary'!$BS$6:$BU$35,3,FALSE),P1509)</f>
        <v>0.3</v>
      </c>
      <c r="Q1510" s="54">
        <f t="shared" si="69"/>
        <v>2</v>
      </c>
      <c r="R1510" s="53">
        <f>IFERROR(VLOOKUP(B1510,'Pre-Summary'!$BG$6:$BM$44,7,FALSE),R1511)</f>
        <v>0.10131789275871156</v>
      </c>
      <c r="S1510" s="53">
        <f>IFERROR(VLOOKUP(B1510,'Pre-Summary'!$BG$6:$BM$44,6,FALSE),S1511)</f>
        <v>9.6637565908873055E-2</v>
      </c>
      <c r="T1510" s="45" t="str">
        <f>IFERROR(VLOOKUP(B1510,'Pre-Summary'!$Y$6:$AC$83, 3,FALSE),"")</f>
        <v/>
      </c>
      <c r="U1510" s="45" t="str">
        <f>IFERROR(VLOOKUP(B1510,'Pre-Summary'!$Y$6:$AC$83, 4,FALSE),"")</f>
        <v/>
      </c>
      <c r="V1510" t="str">
        <f>IFERROR(VLOOKUP(B1510,'Pre-Summary'!$Y$6:$AC$83, 5,FALSE),"")</f>
        <v/>
      </c>
      <c r="W1510" s="45" t="str">
        <f>IFERROR(VLOOKUP(B1510,'Pre-Summary'!$Y$6:$AD$83,6,FALSE),"")</f>
        <v/>
      </c>
      <c r="X1510" t="str">
        <f>IFERROR(VLOOKUP('Pre-Summary'!$DB$6:$DD$63,3,FALSE),"")</f>
        <v/>
      </c>
      <c r="Y1510" t="str">
        <f>IFERROR(VLOOKUP(B1510,'Pre-Summary'!$CR$6:$CT$36,3,FALSE),"")</f>
        <v/>
      </c>
      <c r="Z1510" s="45" t="str">
        <f>IFERROR(VLOOKUP(B1510,'Pre-Summary'!$BZ$6:$CB$63,2,FALSE),"")</f>
        <v/>
      </c>
      <c r="AA1510" s="45" t="str">
        <f>IFERROR(VLOOKUP(B1510,'Pre-Summary'!$CG$6:$CI$70,2,FALSE),"")</f>
        <v/>
      </c>
      <c r="AB1510" s="99">
        <f>IFERROR(VLOOKUP(B1510,'Pre-Summary'!$A$6:$P$178,9,FALSE),AB1511)</f>
        <v>0.35181614583388343</v>
      </c>
      <c r="AC1510" s="10">
        <f>IFERROR(VLOOKUP(Summary!B1510,'Pre-Summary'!$A$6:$P$184,5, FALSE)/100,AC1511)</f>
        <v>0.71615799999999996</v>
      </c>
      <c r="AD1510" s="10">
        <f>IFERROR(VLOOKUP(Summary!B1510,'Pre-Summary'!$A$6:$P$184,3, FALSE)/100,AD1511)</f>
        <v>0.24037466666666671</v>
      </c>
      <c r="AE1510" s="10">
        <f>IFERROR(VLOOKUP(Summary!B1510,'Pre-Summary'!$A$6:$P$184,7, FALSE)/100,AE1511)</f>
        <v>4.3467666666666661E-2</v>
      </c>
      <c r="AF1510" s="99">
        <f t="shared" si="70"/>
        <v>8.4567688782771128E-2</v>
      </c>
      <c r="AG1510" s="99">
        <f t="shared" si="71"/>
        <v>1.5292626955058631E-2</v>
      </c>
      <c r="AH1510" s="10" t="str">
        <f>IFERROR(VLOOKUP(B1510,'Pre-Summary'!$AZ$6:$BE$65,3,FALSE),"")</f>
        <v/>
      </c>
      <c r="AI1510" s="10" t="str">
        <f>IFERROR(VLOOKUP(B1510,'Pre-Summary'!$AZ$6:$BE$65,5,FALSE),"")</f>
        <v/>
      </c>
      <c r="AJ1510" s="10" t="str">
        <f>IFERROR(VLOOKUP(B1510,'Pre-Summary'!$AZ$6:$BE$65,4,FALSE),"")</f>
        <v/>
      </c>
      <c r="AK1510" s="10" t="str">
        <f>IFERROR(VLOOKUP(B1510,'Pre-Summary'!$AZ$6:$BE$65,6,FALSE),"")</f>
        <v/>
      </c>
      <c r="AL1510" s="10" t="str">
        <f>IFERROR(VLOOKUP(B1510,'Pre-Summary'!$BG$6:$BL$44,3,FALSE),"")</f>
        <v/>
      </c>
      <c r="AM1510" s="10" t="str">
        <f>IFERROR(VLOOKUP(B1510,'Pre-Summary'!$BG$6:$BL$44,4,FALSE),"")</f>
        <v/>
      </c>
    </row>
    <row r="1511" spans="2:39" ht="15" customHeight="1" x14ac:dyDescent="0.3">
      <c r="B1511">
        <v>150.80000000000001</v>
      </c>
      <c r="C1511" t="str">
        <f>IFERROR(VLOOKUP(B1511,'Pre-Summary'!$DI$6:$DM$23,4,FALSE),"")</f>
        <v/>
      </c>
      <c r="D1511" s="10" t="str">
        <f>IFERROR(VLOOKUP(B1511,'Pre-Summary'!$AT$6:$AX$14,5,FALSE),D1510)</f>
        <v>Wolfe v3: went back to modified wolfe + EDTA and switched CuSO4 to CUCl2</v>
      </c>
      <c r="E1511" s="10" t="str">
        <f>IFERROR(VLOOKUP(B1511,'Pre-Summary'!$AT$6:$AX$15,4,FALSE),"")</f>
        <v/>
      </c>
      <c r="F1511">
        <f>IFERROR(VLOOKUP(B1511,'Pre-Summary'!$AL$6:$AQ$13,6,FALSE),F1510)</f>
        <v>5.3897368421052638E-2</v>
      </c>
      <c r="G1511" t="str">
        <f>IFERROR(VLOOKUP(B1511,'Pre-Summary'!$AE$6:$AJ$85,3,FALSE),"")</f>
        <v/>
      </c>
      <c r="H1511" t="str">
        <f>IFERROR(VLOOKUP(B1511,'Pre-Summary'!$AE$6:$AJ$85,4,FALSE),"")</f>
        <v/>
      </c>
      <c r="I1511" t="str">
        <f>IFERROR(VLOOKUP(B1511,'Pre-Summary'!$AE$6:$AJ$85,5,FALSE),"")</f>
        <v/>
      </c>
      <c r="J1511" s="45" t="str">
        <f>IFERROR(VLOOKUP(B1511,'Pre-Summary'!$AE$6:$AJ$85,6, FALSE),"")</f>
        <v/>
      </c>
      <c r="K1511" s="45" t="str">
        <f>IFERROR(VLOOKUP(B1511,'Pre-Summary'!$DE$6:$DG$61,3,FALSE),"")</f>
        <v/>
      </c>
      <c r="L1511" s="45" t="str">
        <f>IFERROR(VLOOKUP(B1511,'Pre-Summary'!$CU$6:$CW$36,3,FALSE),"")</f>
        <v/>
      </c>
      <c r="M1511" s="45" t="str">
        <f>IFERROR(VLOOKUP(B1511,'Pre-Summary'!$BW$6:$BY$58,2,FALSE),"")</f>
        <v/>
      </c>
      <c r="N1511" s="45" t="str">
        <f>IFERROR(VLOOKUP(B1511,'Pre-Summary'!$CD$6:$CF$64,2,FALSE),"")</f>
        <v/>
      </c>
      <c r="O1511" s="99">
        <f>IFERROR(VLOOKUP(B1511,'Pre-Summary'!$BO$6:$BQ$48,3, FALSE),O1510)</f>
        <v>0.6</v>
      </c>
      <c r="P1511" s="99">
        <f>IFERROR(VLOOKUP(B1511,'Pre-Summary'!$BS$6:$BU$35,3,FALSE),P1510)</f>
        <v>0.3</v>
      </c>
      <c r="Q1511" s="54">
        <f t="shared" si="69"/>
        <v>2</v>
      </c>
      <c r="R1511" s="53">
        <f>IFERROR(VLOOKUP(B1511,'Pre-Summary'!$BG$6:$BM$44,7,FALSE),R1512)</f>
        <v>0.10131789275871156</v>
      </c>
      <c r="S1511" s="53">
        <f>IFERROR(VLOOKUP(B1511,'Pre-Summary'!$BG$6:$BM$44,6,FALSE),S1512)</f>
        <v>9.6637565908873055E-2</v>
      </c>
      <c r="T1511" s="45" t="str">
        <f>IFERROR(VLOOKUP(B1511,'Pre-Summary'!$Y$6:$AC$83, 3,FALSE),"")</f>
        <v/>
      </c>
      <c r="U1511" s="45" t="str">
        <f>IFERROR(VLOOKUP(B1511,'Pre-Summary'!$Y$6:$AC$83, 4,FALSE),"")</f>
        <v/>
      </c>
      <c r="V1511" t="str">
        <f>IFERROR(VLOOKUP(B1511,'Pre-Summary'!$Y$6:$AC$83, 5,FALSE),"")</f>
        <v/>
      </c>
      <c r="W1511" s="45" t="str">
        <f>IFERROR(VLOOKUP(B1511,'Pre-Summary'!$Y$6:$AD$83,6,FALSE),"")</f>
        <v/>
      </c>
      <c r="X1511" t="str">
        <f>IFERROR(VLOOKUP('Pre-Summary'!$DB$6:$DD$63,3,FALSE),"")</f>
        <v/>
      </c>
      <c r="Y1511" t="str">
        <f>IFERROR(VLOOKUP(B1511,'Pre-Summary'!$CR$6:$CT$36,3,FALSE),"")</f>
        <v/>
      </c>
      <c r="Z1511" s="45" t="str">
        <f>IFERROR(VLOOKUP(B1511,'Pre-Summary'!$BZ$6:$CB$63,2,FALSE),"")</f>
        <v/>
      </c>
      <c r="AA1511" s="45" t="str">
        <f>IFERROR(VLOOKUP(B1511,'Pre-Summary'!$CG$6:$CI$70,2,FALSE),"")</f>
        <v/>
      </c>
      <c r="AB1511" s="99">
        <f>IFERROR(VLOOKUP(B1511,'Pre-Summary'!$A$6:$P$178,9,FALSE),AB1512)</f>
        <v>0.35181614583388343</v>
      </c>
      <c r="AC1511" s="10">
        <f>IFERROR(VLOOKUP(Summary!B1511,'Pre-Summary'!$A$6:$P$184,5, FALSE)/100,AC1512)</f>
        <v>0.71615799999999996</v>
      </c>
      <c r="AD1511" s="10">
        <f>IFERROR(VLOOKUP(Summary!B1511,'Pre-Summary'!$A$6:$P$184,3, FALSE)/100,AD1512)</f>
        <v>0.24037466666666671</v>
      </c>
      <c r="AE1511" s="10">
        <f>IFERROR(VLOOKUP(Summary!B1511,'Pre-Summary'!$A$6:$P$184,7, FALSE)/100,AE1512)</f>
        <v>4.3467666666666661E-2</v>
      </c>
      <c r="AF1511" s="99">
        <f t="shared" si="70"/>
        <v>8.4567688782771128E-2</v>
      </c>
      <c r="AG1511" s="99">
        <f t="shared" si="71"/>
        <v>1.5292626955058631E-2</v>
      </c>
      <c r="AH1511" s="10" t="str">
        <f>IFERROR(VLOOKUP(B1511,'Pre-Summary'!$AZ$6:$BE$65,3,FALSE),"")</f>
        <v/>
      </c>
      <c r="AI1511" s="10" t="str">
        <f>IFERROR(VLOOKUP(B1511,'Pre-Summary'!$AZ$6:$BE$65,5,FALSE),"")</f>
        <v/>
      </c>
      <c r="AJ1511" s="10" t="str">
        <f>IFERROR(VLOOKUP(B1511,'Pre-Summary'!$AZ$6:$BE$65,4,FALSE),"")</f>
        <v/>
      </c>
      <c r="AK1511" s="10" t="str">
        <f>IFERROR(VLOOKUP(B1511,'Pre-Summary'!$AZ$6:$BE$65,6,FALSE),"")</f>
        <v/>
      </c>
      <c r="AL1511" s="10" t="str">
        <f>IFERROR(VLOOKUP(B1511,'Pre-Summary'!$BG$6:$BL$44,3,FALSE),"")</f>
        <v/>
      </c>
      <c r="AM1511" s="10" t="str">
        <f>IFERROR(VLOOKUP(B1511,'Pre-Summary'!$BG$6:$BL$44,4,FALSE),"")</f>
        <v/>
      </c>
    </row>
    <row r="1512" spans="2:39" ht="15" customHeight="1" x14ac:dyDescent="0.3">
      <c r="B1512">
        <v>150.9</v>
      </c>
      <c r="C1512" t="str">
        <f>IFERROR(VLOOKUP(B1512,'Pre-Summary'!$DI$6:$DM$23,4,FALSE),"")</f>
        <v/>
      </c>
      <c r="D1512" s="10" t="str">
        <f>IFERROR(VLOOKUP(B1512,'Pre-Summary'!$AT$6:$AX$14,5,FALSE),D1511)</f>
        <v>Wolfe v3: went back to modified wolfe + EDTA and switched CuSO4 to CUCl2</v>
      </c>
      <c r="E1512" s="10" t="str">
        <f>IFERROR(VLOOKUP(B1512,'Pre-Summary'!$AT$6:$AX$15,4,FALSE),"")</f>
        <v/>
      </c>
      <c r="F1512">
        <f>IFERROR(VLOOKUP(B1512,'Pre-Summary'!$AL$6:$AQ$13,6,FALSE),F1511)</f>
        <v>5.3897368421052638E-2</v>
      </c>
      <c r="G1512" t="str">
        <f>IFERROR(VLOOKUP(B1512,'Pre-Summary'!$AE$6:$AJ$85,3,FALSE),"")</f>
        <v/>
      </c>
      <c r="H1512" t="str">
        <f>IFERROR(VLOOKUP(B1512,'Pre-Summary'!$AE$6:$AJ$85,4,FALSE),"")</f>
        <v/>
      </c>
      <c r="I1512" t="str">
        <f>IFERROR(VLOOKUP(B1512,'Pre-Summary'!$AE$6:$AJ$85,5,FALSE),"")</f>
        <v/>
      </c>
      <c r="J1512" s="45" t="str">
        <f>IFERROR(VLOOKUP(B1512,'Pre-Summary'!$AE$6:$AJ$85,6, FALSE),"")</f>
        <v/>
      </c>
      <c r="K1512" s="45" t="str">
        <f>IFERROR(VLOOKUP(B1512,'Pre-Summary'!$DE$6:$DG$61,3,FALSE),"")</f>
        <v/>
      </c>
      <c r="L1512" s="45" t="str">
        <f>IFERROR(VLOOKUP(B1512,'Pre-Summary'!$CU$6:$CW$36,3,FALSE),"")</f>
        <v/>
      </c>
      <c r="M1512" s="45" t="str">
        <f>IFERROR(VLOOKUP(B1512,'Pre-Summary'!$BW$6:$BY$58,2,FALSE),"")</f>
        <v/>
      </c>
      <c r="N1512" s="45" t="str">
        <f>IFERROR(VLOOKUP(B1512,'Pre-Summary'!$CD$6:$CF$64,2,FALSE),"")</f>
        <v/>
      </c>
      <c r="O1512" s="99">
        <f>IFERROR(VLOOKUP(B1512,'Pre-Summary'!$BO$6:$BQ$48,3, FALSE),O1511)</f>
        <v>0.6</v>
      </c>
      <c r="P1512" s="99">
        <f>IFERROR(VLOOKUP(B1512,'Pre-Summary'!$BS$6:$BU$35,3,FALSE),P1511)</f>
        <v>0.3</v>
      </c>
      <c r="Q1512" s="54">
        <f t="shared" si="69"/>
        <v>2</v>
      </c>
      <c r="R1512" s="53">
        <f>IFERROR(VLOOKUP(B1512,'Pre-Summary'!$BG$6:$BM$44,7,FALSE),R1513)</f>
        <v>0.10131789275871156</v>
      </c>
      <c r="S1512" s="53">
        <f>IFERROR(VLOOKUP(B1512,'Pre-Summary'!$BG$6:$BM$44,6,FALSE),S1513)</f>
        <v>9.6637565908873055E-2</v>
      </c>
      <c r="T1512" s="45" t="str">
        <f>IFERROR(VLOOKUP(B1512,'Pre-Summary'!$Y$6:$AC$83, 3,FALSE),"")</f>
        <v/>
      </c>
      <c r="U1512" s="45" t="str">
        <f>IFERROR(VLOOKUP(B1512,'Pre-Summary'!$Y$6:$AC$83, 4,FALSE),"")</f>
        <v/>
      </c>
      <c r="V1512" t="str">
        <f>IFERROR(VLOOKUP(B1512,'Pre-Summary'!$Y$6:$AC$83, 5,FALSE),"")</f>
        <v/>
      </c>
      <c r="W1512" s="45" t="str">
        <f>IFERROR(VLOOKUP(B1512,'Pre-Summary'!$Y$6:$AD$83,6,FALSE),"")</f>
        <v/>
      </c>
      <c r="X1512" t="str">
        <f>IFERROR(VLOOKUP('Pre-Summary'!$DB$6:$DD$63,3,FALSE),"")</f>
        <v/>
      </c>
      <c r="Y1512" t="str">
        <f>IFERROR(VLOOKUP(B1512,'Pre-Summary'!$CR$6:$CT$36,3,FALSE),"")</f>
        <v/>
      </c>
      <c r="Z1512" s="45" t="str">
        <f>IFERROR(VLOOKUP(B1512,'Pre-Summary'!$BZ$6:$CB$63,2,FALSE),"")</f>
        <v/>
      </c>
      <c r="AA1512" s="45" t="str">
        <f>IFERROR(VLOOKUP(B1512,'Pre-Summary'!$CG$6:$CI$70,2,FALSE),"")</f>
        <v/>
      </c>
      <c r="AB1512" s="99">
        <f>IFERROR(VLOOKUP(B1512,'Pre-Summary'!$A$6:$P$178,9,FALSE),AB1513)</f>
        <v>0.35181614583388343</v>
      </c>
      <c r="AC1512" s="10">
        <f>IFERROR(VLOOKUP(Summary!B1512,'Pre-Summary'!$A$6:$P$184,5, FALSE)/100,AC1513)</f>
        <v>0.71615799999999996</v>
      </c>
      <c r="AD1512" s="10">
        <f>IFERROR(VLOOKUP(Summary!B1512,'Pre-Summary'!$A$6:$P$184,3, FALSE)/100,AD1513)</f>
        <v>0.24037466666666671</v>
      </c>
      <c r="AE1512" s="10">
        <f>IFERROR(VLOOKUP(Summary!B1512,'Pre-Summary'!$A$6:$P$184,7, FALSE)/100,AE1513)</f>
        <v>4.3467666666666661E-2</v>
      </c>
      <c r="AF1512" s="99">
        <f t="shared" si="70"/>
        <v>8.4567688782771128E-2</v>
      </c>
      <c r="AG1512" s="99">
        <f t="shared" si="71"/>
        <v>1.5292626955058631E-2</v>
      </c>
      <c r="AH1512" s="10" t="str">
        <f>IFERROR(VLOOKUP(B1512,'Pre-Summary'!$AZ$6:$BE$65,3,FALSE),"")</f>
        <v/>
      </c>
      <c r="AI1512" s="10" t="str">
        <f>IFERROR(VLOOKUP(B1512,'Pre-Summary'!$AZ$6:$BE$65,5,FALSE),"")</f>
        <v/>
      </c>
      <c r="AJ1512" s="10" t="str">
        <f>IFERROR(VLOOKUP(B1512,'Pre-Summary'!$AZ$6:$BE$65,4,FALSE),"")</f>
        <v/>
      </c>
      <c r="AK1512" s="10" t="str">
        <f>IFERROR(VLOOKUP(B1512,'Pre-Summary'!$AZ$6:$BE$65,6,FALSE),"")</f>
        <v/>
      </c>
      <c r="AL1512" s="10" t="str">
        <f>IFERROR(VLOOKUP(B1512,'Pre-Summary'!$BG$6:$BL$44,3,FALSE),"")</f>
        <v/>
      </c>
      <c r="AM1512" s="10" t="str">
        <f>IFERROR(VLOOKUP(B1512,'Pre-Summary'!$BG$6:$BL$44,4,FALSE),"")</f>
        <v/>
      </c>
    </row>
    <row r="1513" spans="2:39" ht="15" customHeight="1" x14ac:dyDescent="0.3">
      <c r="B1513">
        <v>151</v>
      </c>
      <c r="C1513" t="str">
        <f>IFERROR(VLOOKUP(B1513,'Pre-Summary'!$DI$6:$DM$23,4,FALSE),"")</f>
        <v/>
      </c>
      <c r="D1513" s="10" t="str">
        <f>IFERROR(VLOOKUP(B1513,'Pre-Summary'!$AT$6:$AX$14,5,FALSE),D1512)</f>
        <v>Wolfe v3: went back to modified wolfe + EDTA and switched CuSO4 to CUCl2</v>
      </c>
      <c r="E1513" s="10" t="str">
        <f>IFERROR(VLOOKUP(B1513,'Pre-Summary'!$AT$6:$AX$15,4,FALSE),"")</f>
        <v/>
      </c>
      <c r="F1513">
        <f>IFERROR(VLOOKUP(B1513,'Pre-Summary'!$AL$6:$AQ$13,6,FALSE),F1512)</f>
        <v>5.3897368421052638E-2</v>
      </c>
      <c r="G1513" t="str">
        <f>IFERROR(VLOOKUP(B1513,'Pre-Summary'!$AE$6:$AJ$85,3,FALSE),"")</f>
        <v/>
      </c>
      <c r="H1513" t="str">
        <f>IFERROR(VLOOKUP(B1513,'Pre-Summary'!$AE$6:$AJ$85,4,FALSE),"")</f>
        <v/>
      </c>
      <c r="I1513" t="str">
        <f>IFERROR(VLOOKUP(B1513,'Pre-Summary'!$AE$6:$AJ$85,5,FALSE),"")</f>
        <v/>
      </c>
      <c r="J1513" s="45" t="str">
        <f>IFERROR(VLOOKUP(B1513,'Pre-Summary'!$AE$6:$AJ$85,6, FALSE),"")</f>
        <v/>
      </c>
      <c r="K1513" s="45" t="str">
        <f>IFERROR(VLOOKUP(B1513,'Pre-Summary'!$DE$6:$DG$61,3,FALSE),"")</f>
        <v/>
      </c>
      <c r="L1513" s="45" t="str">
        <f>IFERROR(VLOOKUP(B1513,'Pre-Summary'!$CU$6:$CW$36,3,FALSE),"")</f>
        <v/>
      </c>
      <c r="M1513" s="45" t="str">
        <f>IFERROR(VLOOKUP(B1513,'Pre-Summary'!$BW$6:$BY$58,2,FALSE),"")</f>
        <v/>
      </c>
      <c r="N1513" s="45" t="str">
        <f>IFERROR(VLOOKUP(B1513,'Pre-Summary'!$CD$6:$CF$64,2,FALSE),"")</f>
        <v/>
      </c>
      <c r="O1513" s="99">
        <f>IFERROR(VLOOKUP(B1513,'Pre-Summary'!$BO$6:$BQ$48,3, FALSE),O1512)</f>
        <v>1</v>
      </c>
      <c r="P1513" s="99">
        <f>IFERROR(VLOOKUP(B1513,'Pre-Summary'!$BS$6:$BU$35,3,FALSE),P1512)</f>
        <v>0.3</v>
      </c>
      <c r="Q1513" s="54">
        <f t="shared" si="69"/>
        <v>3.3333333333333335</v>
      </c>
      <c r="R1513" s="53">
        <f>IFERROR(VLOOKUP(B1513,'Pre-Summary'!$BG$6:$BM$44,7,FALSE),R1514)</f>
        <v>0.10131789275871156</v>
      </c>
      <c r="S1513" s="53">
        <f>IFERROR(VLOOKUP(B1513,'Pre-Summary'!$BG$6:$BM$44,6,FALSE),S1514)</f>
        <v>9.6637565908873055E-2</v>
      </c>
      <c r="T1513" s="45" t="str">
        <f>IFERROR(VLOOKUP(B1513,'Pre-Summary'!$Y$6:$AC$83, 3,FALSE),"")</f>
        <v/>
      </c>
      <c r="U1513" s="45" t="str">
        <f>IFERROR(VLOOKUP(B1513,'Pre-Summary'!$Y$6:$AC$83, 4,FALSE),"")</f>
        <v/>
      </c>
      <c r="V1513" t="str">
        <f>IFERROR(VLOOKUP(B1513,'Pre-Summary'!$Y$6:$AC$83, 5,FALSE),"")</f>
        <v/>
      </c>
      <c r="W1513" s="45" t="str">
        <f>IFERROR(VLOOKUP(B1513,'Pre-Summary'!$Y$6:$AD$83,6,FALSE),"")</f>
        <v/>
      </c>
      <c r="X1513" t="str">
        <f>IFERROR(VLOOKUP('Pre-Summary'!$DB$6:$DD$63,3,FALSE),"")</f>
        <v/>
      </c>
      <c r="Y1513" t="str">
        <f>IFERROR(VLOOKUP(B1513,'Pre-Summary'!$CR$6:$CT$36,3,FALSE),"")</f>
        <v/>
      </c>
      <c r="Z1513" s="45" t="str">
        <f>IFERROR(VLOOKUP(B1513,'Pre-Summary'!$BZ$6:$CB$63,2,FALSE),"")</f>
        <v/>
      </c>
      <c r="AA1513" s="45" t="str">
        <f>IFERROR(VLOOKUP(B1513,'Pre-Summary'!$CG$6:$CI$70,2,FALSE),"")</f>
        <v/>
      </c>
      <c r="AB1513" s="99">
        <f>IFERROR(VLOOKUP(B1513,'Pre-Summary'!$A$6:$P$178,9,FALSE),AB1514)</f>
        <v>0.35181614583388343</v>
      </c>
      <c r="AC1513" s="10">
        <f>IFERROR(VLOOKUP(Summary!B1513,'Pre-Summary'!$A$6:$P$184,5, FALSE)/100,AC1514)</f>
        <v>0.71615799999999996</v>
      </c>
      <c r="AD1513" s="10">
        <f>IFERROR(VLOOKUP(Summary!B1513,'Pre-Summary'!$A$6:$P$184,3, FALSE)/100,AD1514)</f>
        <v>0.24037466666666671</v>
      </c>
      <c r="AE1513" s="10">
        <f>IFERROR(VLOOKUP(Summary!B1513,'Pre-Summary'!$A$6:$P$184,7, FALSE)/100,AE1514)</f>
        <v>4.3467666666666661E-2</v>
      </c>
      <c r="AF1513" s="99">
        <f t="shared" si="70"/>
        <v>8.4567688782771128E-2</v>
      </c>
      <c r="AG1513" s="99">
        <f t="shared" si="71"/>
        <v>1.5292626955058631E-2</v>
      </c>
      <c r="AH1513" s="10" t="str">
        <f>IFERROR(VLOOKUP(B1513,'Pre-Summary'!$AZ$6:$BE$65,3,FALSE),"")</f>
        <v/>
      </c>
      <c r="AI1513" s="10" t="str">
        <f>IFERROR(VLOOKUP(B1513,'Pre-Summary'!$AZ$6:$BE$65,5,FALSE),"")</f>
        <v/>
      </c>
      <c r="AJ1513" s="10" t="str">
        <f>IFERROR(VLOOKUP(B1513,'Pre-Summary'!$AZ$6:$BE$65,4,FALSE),"")</f>
        <v/>
      </c>
      <c r="AK1513" s="10" t="str">
        <f>IFERROR(VLOOKUP(B1513,'Pre-Summary'!$AZ$6:$BE$65,6,FALSE),"")</f>
        <v/>
      </c>
      <c r="AL1513" s="10" t="str">
        <f>IFERROR(VLOOKUP(B1513,'Pre-Summary'!$BG$6:$BL$44,3,FALSE),"")</f>
        <v/>
      </c>
      <c r="AM1513" s="10" t="str">
        <f>IFERROR(VLOOKUP(B1513,'Pre-Summary'!$BG$6:$BL$44,4,FALSE),"")</f>
        <v/>
      </c>
    </row>
    <row r="1514" spans="2:39" ht="15" customHeight="1" x14ac:dyDescent="0.3">
      <c r="B1514">
        <v>151.1</v>
      </c>
      <c r="C1514" t="str">
        <f>IFERROR(VLOOKUP(B1514,'Pre-Summary'!$DI$6:$DM$23,4,FALSE),"")</f>
        <v/>
      </c>
      <c r="D1514" s="10" t="str">
        <f>IFERROR(VLOOKUP(B1514,'Pre-Summary'!$AT$6:$AX$14,5,FALSE),D1513)</f>
        <v>Wolfe v3: went back to modified wolfe + EDTA and switched CuSO4 to CUCl2</v>
      </c>
      <c r="E1514" s="10" t="str">
        <f>IFERROR(VLOOKUP(B1514,'Pre-Summary'!$AT$6:$AX$15,4,FALSE),"")</f>
        <v/>
      </c>
      <c r="F1514">
        <f>IFERROR(VLOOKUP(B1514,'Pre-Summary'!$AL$6:$AQ$13,6,FALSE),F1513)</f>
        <v>5.3897368421052638E-2</v>
      </c>
      <c r="G1514" t="str">
        <f>IFERROR(VLOOKUP(B1514,'Pre-Summary'!$AE$6:$AJ$85,3,FALSE),"")</f>
        <v/>
      </c>
      <c r="H1514" t="str">
        <f>IFERROR(VLOOKUP(B1514,'Pre-Summary'!$AE$6:$AJ$85,4,FALSE),"")</f>
        <v/>
      </c>
      <c r="I1514" t="str">
        <f>IFERROR(VLOOKUP(B1514,'Pre-Summary'!$AE$6:$AJ$85,5,FALSE),"")</f>
        <v/>
      </c>
      <c r="J1514" s="45" t="str">
        <f>IFERROR(VLOOKUP(B1514,'Pre-Summary'!$AE$6:$AJ$85,6, FALSE),"")</f>
        <v/>
      </c>
      <c r="K1514" s="45" t="str">
        <f>IFERROR(VLOOKUP(B1514,'Pre-Summary'!$DE$6:$DG$61,3,FALSE),"")</f>
        <v/>
      </c>
      <c r="L1514" s="45" t="str">
        <f>IFERROR(VLOOKUP(B1514,'Pre-Summary'!$CU$6:$CW$36,3,FALSE),"")</f>
        <v/>
      </c>
      <c r="M1514" s="45" t="str">
        <f>IFERROR(VLOOKUP(B1514,'Pre-Summary'!$BW$6:$BY$58,2,FALSE),"")</f>
        <v/>
      </c>
      <c r="N1514" s="45" t="str">
        <f>IFERROR(VLOOKUP(B1514,'Pre-Summary'!$CD$6:$CF$64,2,FALSE),"")</f>
        <v/>
      </c>
      <c r="O1514" s="99">
        <f>IFERROR(VLOOKUP(B1514,'Pre-Summary'!$BO$6:$BQ$48,3, FALSE),O1513)</f>
        <v>1</v>
      </c>
      <c r="P1514" s="99">
        <f>IFERROR(VLOOKUP(B1514,'Pre-Summary'!$BS$6:$BU$35,3,FALSE),P1513)</f>
        <v>0.3</v>
      </c>
      <c r="Q1514" s="54">
        <f t="shared" si="69"/>
        <v>3.3333333333333335</v>
      </c>
      <c r="R1514" s="53">
        <f>IFERROR(VLOOKUP(B1514,'Pre-Summary'!$BG$6:$BM$44,7,FALSE),R1515)</f>
        <v>0.10131789275871156</v>
      </c>
      <c r="S1514" s="53">
        <f>IFERROR(VLOOKUP(B1514,'Pre-Summary'!$BG$6:$BM$44,6,FALSE),S1515)</f>
        <v>9.6637565908873055E-2</v>
      </c>
      <c r="T1514" s="45" t="str">
        <f>IFERROR(VLOOKUP(B1514,'Pre-Summary'!$Y$6:$AC$83, 3,FALSE),"")</f>
        <v/>
      </c>
      <c r="U1514" s="45" t="str">
        <f>IFERROR(VLOOKUP(B1514,'Pre-Summary'!$Y$6:$AC$83, 4,FALSE),"")</f>
        <v/>
      </c>
      <c r="V1514" t="str">
        <f>IFERROR(VLOOKUP(B1514,'Pre-Summary'!$Y$6:$AC$83, 5,FALSE),"")</f>
        <v/>
      </c>
      <c r="W1514" s="45" t="str">
        <f>IFERROR(VLOOKUP(B1514,'Pre-Summary'!$Y$6:$AD$83,6,FALSE),"")</f>
        <v/>
      </c>
      <c r="X1514" t="str">
        <f>IFERROR(VLOOKUP('Pre-Summary'!$DB$6:$DD$63,3,FALSE),"")</f>
        <v/>
      </c>
      <c r="Y1514" t="str">
        <f>IFERROR(VLOOKUP(B1514,'Pre-Summary'!$CR$6:$CT$36,3,FALSE),"")</f>
        <v/>
      </c>
      <c r="Z1514" s="45" t="str">
        <f>IFERROR(VLOOKUP(B1514,'Pre-Summary'!$BZ$6:$CB$63,2,FALSE),"")</f>
        <v/>
      </c>
      <c r="AA1514" s="45" t="str">
        <f>IFERROR(VLOOKUP(B1514,'Pre-Summary'!$CG$6:$CI$70,2,FALSE),"")</f>
        <v/>
      </c>
      <c r="AB1514" s="99">
        <f>IFERROR(VLOOKUP(B1514,'Pre-Summary'!$A$6:$P$178,9,FALSE),AB1515)</f>
        <v>0.35181614583388343</v>
      </c>
      <c r="AC1514" s="10">
        <f>IFERROR(VLOOKUP(Summary!B1514,'Pre-Summary'!$A$6:$P$184,5, FALSE)/100,AC1515)</f>
        <v>0.71615799999999996</v>
      </c>
      <c r="AD1514" s="10">
        <f>IFERROR(VLOOKUP(Summary!B1514,'Pre-Summary'!$A$6:$P$184,3, FALSE)/100,AD1515)</f>
        <v>0.24037466666666671</v>
      </c>
      <c r="AE1514" s="10">
        <f>IFERROR(VLOOKUP(Summary!B1514,'Pre-Summary'!$A$6:$P$184,7, FALSE)/100,AE1515)</f>
        <v>4.3467666666666661E-2</v>
      </c>
      <c r="AF1514" s="99">
        <f t="shared" si="70"/>
        <v>8.4567688782771128E-2</v>
      </c>
      <c r="AG1514" s="99">
        <f t="shared" si="71"/>
        <v>1.5292626955058631E-2</v>
      </c>
      <c r="AH1514" s="10" t="str">
        <f>IFERROR(VLOOKUP(B1514,'Pre-Summary'!$AZ$6:$BE$65,3,FALSE),"")</f>
        <v/>
      </c>
      <c r="AI1514" s="10" t="str">
        <f>IFERROR(VLOOKUP(B1514,'Pre-Summary'!$AZ$6:$BE$65,5,FALSE),"")</f>
        <v/>
      </c>
      <c r="AJ1514" s="10" t="str">
        <f>IFERROR(VLOOKUP(B1514,'Pre-Summary'!$AZ$6:$BE$65,4,FALSE),"")</f>
        <v/>
      </c>
      <c r="AK1514" s="10" t="str">
        <f>IFERROR(VLOOKUP(B1514,'Pre-Summary'!$AZ$6:$BE$65,6,FALSE),"")</f>
        <v/>
      </c>
      <c r="AL1514" s="10" t="str">
        <f>IFERROR(VLOOKUP(B1514,'Pre-Summary'!$BG$6:$BL$44,3,FALSE),"")</f>
        <v/>
      </c>
      <c r="AM1514" s="10" t="str">
        <f>IFERROR(VLOOKUP(B1514,'Pre-Summary'!$BG$6:$BL$44,4,FALSE),"")</f>
        <v/>
      </c>
    </row>
    <row r="1515" spans="2:39" ht="15" customHeight="1" x14ac:dyDescent="0.3">
      <c r="B1515">
        <v>151.19999999999999</v>
      </c>
      <c r="C1515" t="str">
        <f>IFERROR(VLOOKUP(B1515,'Pre-Summary'!$DI$6:$DM$23,4,FALSE),"")</f>
        <v/>
      </c>
      <c r="D1515" s="10" t="str">
        <f>IFERROR(VLOOKUP(B1515,'Pre-Summary'!$AT$6:$AX$14,5,FALSE),D1514)</f>
        <v>Wolfe v3: went back to modified wolfe + EDTA and switched CuSO4 to CUCl2</v>
      </c>
      <c r="E1515" s="10" t="str">
        <f>IFERROR(VLOOKUP(B1515,'Pre-Summary'!$AT$6:$AX$15,4,FALSE),"")</f>
        <v/>
      </c>
      <c r="F1515">
        <f>IFERROR(VLOOKUP(B1515,'Pre-Summary'!$AL$6:$AQ$13,6,FALSE),F1514)</f>
        <v>5.3897368421052638E-2</v>
      </c>
      <c r="G1515" t="str">
        <f>IFERROR(VLOOKUP(B1515,'Pre-Summary'!$AE$6:$AJ$85,3,FALSE),"")</f>
        <v/>
      </c>
      <c r="H1515" t="str">
        <f>IFERROR(VLOOKUP(B1515,'Pre-Summary'!$AE$6:$AJ$85,4,FALSE),"")</f>
        <v/>
      </c>
      <c r="I1515" t="str">
        <f>IFERROR(VLOOKUP(B1515,'Pre-Summary'!$AE$6:$AJ$85,5,FALSE),"")</f>
        <v/>
      </c>
      <c r="J1515" s="45" t="str">
        <f>IFERROR(VLOOKUP(B1515,'Pre-Summary'!$AE$6:$AJ$85,6, FALSE),"")</f>
        <v/>
      </c>
      <c r="K1515" s="45" t="str">
        <f>IFERROR(VLOOKUP(B1515,'Pre-Summary'!$DE$6:$DG$61,3,FALSE),"")</f>
        <v/>
      </c>
      <c r="L1515" s="45" t="str">
        <f>IFERROR(VLOOKUP(B1515,'Pre-Summary'!$CU$6:$CW$36,3,FALSE),"")</f>
        <v/>
      </c>
      <c r="M1515" s="45" t="str">
        <f>IFERROR(VLOOKUP(B1515,'Pre-Summary'!$BW$6:$BY$58,2,FALSE),"")</f>
        <v/>
      </c>
      <c r="N1515" s="45" t="str">
        <f>IFERROR(VLOOKUP(B1515,'Pre-Summary'!$CD$6:$CF$64,2,FALSE),"")</f>
        <v/>
      </c>
      <c r="O1515" s="99">
        <f>IFERROR(VLOOKUP(B1515,'Pre-Summary'!$BO$6:$BQ$48,3, FALSE),O1514)</f>
        <v>1</v>
      </c>
      <c r="P1515" s="99">
        <f>IFERROR(VLOOKUP(B1515,'Pre-Summary'!$BS$6:$BU$35,3,FALSE),P1514)</f>
        <v>0.3</v>
      </c>
      <c r="Q1515" s="54">
        <f t="shared" si="69"/>
        <v>3.3333333333333335</v>
      </c>
      <c r="R1515" s="53">
        <f>IFERROR(VLOOKUP(B1515,'Pre-Summary'!$BG$6:$BM$44,7,FALSE),R1516)</f>
        <v>0.10131789275871156</v>
      </c>
      <c r="S1515" s="53">
        <f>IFERROR(VLOOKUP(B1515,'Pre-Summary'!$BG$6:$BM$44,6,FALSE),S1516)</f>
        <v>9.6637565908873055E-2</v>
      </c>
      <c r="T1515" s="45" t="str">
        <f>IFERROR(VLOOKUP(B1515,'Pre-Summary'!$Y$6:$AC$83, 3,FALSE),"")</f>
        <v/>
      </c>
      <c r="U1515" s="45" t="str">
        <f>IFERROR(VLOOKUP(B1515,'Pre-Summary'!$Y$6:$AC$83, 4,FALSE),"")</f>
        <v/>
      </c>
      <c r="V1515" t="str">
        <f>IFERROR(VLOOKUP(B1515,'Pre-Summary'!$Y$6:$AC$83, 5,FALSE),"")</f>
        <v/>
      </c>
      <c r="W1515" s="45" t="str">
        <f>IFERROR(VLOOKUP(B1515,'Pre-Summary'!$Y$6:$AD$83,6,FALSE),"")</f>
        <v/>
      </c>
      <c r="X1515" t="str">
        <f>IFERROR(VLOOKUP('Pre-Summary'!$DB$6:$DD$63,3,FALSE),"")</f>
        <v/>
      </c>
      <c r="Y1515" t="str">
        <f>IFERROR(VLOOKUP(B1515,'Pre-Summary'!$CR$6:$CT$36,3,FALSE),"")</f>
        <v/>
      </c>
      <c r="Z1515" s="45" t="str">
        <f>IFERROR(VLOOKUP(B1515,'Pre-Summary'!$BZ$6:$CB$63,2,FALSE),"")</f>
        <v/>
      </c>
      <c r="AA1515" s="45" t="str">
        <f>IFERROR(VLOOKUP(B1515,'Pre-Summary'!$CG$6:$CI$70,2,FALSE),"")</f>
        <v/>
      </c>
      <c r="AB1515" s="99">
        <f>IFERROR(VLOOKUP(B1515,'Pre-Summary'!$A$6:$P$178,9,FALSE),AB1516)</f>
        <v>0.35181614583388343</v>
      </c>
      <c r="AC1515" s="10">
        <f>IFERROR(VLOOKUP(Summary!B1515,'Pre-Summary'!$A$6:$P$184,5, FALSE)/100,AC1516)</f>
        <v>0.71615799999999996</v>
      </c>
      <c r="AD1515" s="10">
        <f>IFERROR(VLOOKUP(Summary!B1515,'Pre-Summary'!$A$6:$P$184,3, FALSE)/100,AD1516)</f>
        <v>0.24037466666666671</v>
      </c>
      <c r="AE1515" s="10">
        <f>IFERROR(VLOOKUP(Summary!B1515,'Pre-Summary'!$A$6:$P$184,7, FALSE)/100,AE1516)</f>
        <v>4.3467666666666661E-2</v>
      </c>
      <c r="AF1515" s="99">
        <f t="shared" si="70"/>
        <v>8.4567688782771128E-2</v>
      </c>
      <c r="AG1515" s="99">
        <f t="shared" si="71"/>
        <v>1.5292626955058631E-2</v>
      </c>
      <c r="AH1515" s="10" t="str">
        <f>IFERROR(VLOOKUP(B1515,'Pre-Summary'!$AZ$6:$BE$65,3,FALSE),"")</f>
        <v/>
      </c>
      <c r="AI1515" s="10" t="str">
        <f>IFERROR(VLOOKUP(B1515,'Pre-Summary'!$AZ$6:$BE$65,5,FALSE),"")</f>
        <v/>
      </c>
      <c r="AJ1515" s="10" t="str">
        <f>IFERROR(VLOOKUP(B1515,'Pre-Summary'!$AZ$6:$BE$65,4,FALSE),"")</f>
        <v/>
      </c>
      <c r="AK1515" s="10" t="str">
        <f>IFERROR(VLOOKUP(B1515,'Pre-Summary'!$AZ$6:$BE$65,6,FALSE),"")</f>
        <v/>
      </c>
      <c r="AL1515" s="10" t="str">
        <f>IFERROR(VLOOKUP(B1515,'Pre-Summary'!$BG$6:$BL$44,3,FALSE),"")</f>
        <v/>
      </c>
      <c r="AM1515" s="10" t="str">
        <f>IFERROR(VLOOKUP(B1515,'Pre-Summary'!$BG$6:$BL$44,4,FALSE),"")</f>
        <v/>
      </c>
    </row>
    <row r="1516" spans="2:39" ht="15" customHeight="1" x14ac:dyDescent="0.3">
      <c r="B1516">
        <v>151.30000000000001</v>
      </c>
      <c r="C1516" t="str">
        <f>IFERROR(VLOOKUP(B1516,'Pre-Summary'!$DI$6:$DM$23,4,FALSE),"")</f>
        <v/>
      </c>
      <c r="D1516" s="10" t="str">
        <f>IFERROR(VLOOKUP(B1516,'Pre-Summary'!$AT$6:$AX$14,5,FALSE),D1515)</f>
        <v>Wolfe v3: went back to modified wolfe + EDTA and switched CuSO4 to CUCl2</v>
      </c>
      <c r="E1516" s="10" t="str">
        <f>IFERROR(VLOOKUP(B1516,'Pre-Summary'!$AT$6:$AX$15,4,FALSE),"")</f>
        <v/>
      </c>
      <c r="F1516">
        <f>IFERROR(VLOOKUP(B1516,'Pre-Summary'!$AL$6:$AQ$13,6,FALSE),F1515)</f>
        <v>5.3897368421052638E-2</v>
      </c>
      <c r="G1516" t="str">
        <f>IFERROR(VLOOKUP(B1516,'Pre-Summary'!$AE$6:$AJ$85,3,FALSE),"")</f>
        <v/>
      </c>
      <c r="H1516" t="str">
        <f>IFERROR(VLOOKUP(B1516,'Pre-Summary'!$AE$6:$AJ$85,4,FALSE),"")</f>
        <v/>
      </c>
      <c r="I1516" t="str">
        <f>IFERROR(VLOOKUP(B1516,'Pre-Summary'!$AE$6:$AJ$85,5,FALSE),"")</f>
        <v/>
      </c>
      <c r="J1516" s="45" t="str">
        <f>IFERROR(VLOOKUP(B1516,'Pre-Summary'!$AE$6:$AJ$85,6, FALSE),"")</f>
        <v/>
      </c>
      <c r="K1516" s="45" t="str">
        <f>IFERROR(VLOOKUP(B1516,'Pre-Summary'!$DE$6:$DG$61,3,FALSE),"")</f>
        <v/>
      </c>
      <c r="L1516" s="45" t="str">
        <f>IFERROR(VLOOKUP(B1516,'Pre-Summary'!$CU$6:$CW$36,3,FALSE),"")</f>
        <v/>
      </c>
      <c r="M1516" s="45" t="str">
        <f>IFERROR(VLOOKUP(B1516,'Pre-Summary'!$BW$6:$BY$58,2,FALSE),"")</f>
        <v/>
      </c>
      <c r="N1516" s="45" t="str">
        <f>IFERROR(VLOOKUP(B1516,'Pre-Summary'!$CD$6:$CF$64,2,FALSE),"")</f>
        <v/>
      </c>
      <c r="O1516" s="99">
        <f>IFERROR(VLOOKUP(B1516,'Pre-Summary'!$BO$6:$BQ$48,3, FALSE),O1515)</f>
        <v>1</v>
      </c>
      <c r="P1516" s="99">
        <f>IFERROR(VLOOKUP(B1516,'Pre-Summary'!$BS$6:$BU$35,3,FALSE),P1515)</f>
        <v>0.3</v>
      </c>
      <c r="Q1516" s="54">
        <f t="shared" si="69"/>
        <v>3.3333333333333335</v>
      </c>
      <c r="R1516" s="53">
        <f>IFERROR(VLOOKUP(B1516,'Pre-Summary'!$BG$6:$BM$44,7,FALSE),R1517)</f>
        <v>0.10131789275871156</v>
      </c>
      <c r="S1516" s="53">
        <f>IFERROR(VLOOKUP(B1516,'Pre-Summary'!$BG$6:$BM$44,6,FALSE),S1517)</f>
        <v>9.6637565908873055E-2</v>
      </c>
      <c r="T1516" s="45" t="str">
        <f>IFERROR(VLOOKUP(B1516,'Pre-Summary'!$Y$6:$AC$83, 3,FALSE),"")</f>
        <v/>
      </c>
      <c r="U1516" s="45" t="str">
        <f>IFERROR(VLOOKUP(B1516,'Pre-Summary'!$Y$6:$AC$83, 4,FALSE),"")</f>
        <v/>
      </c>
      <c r="V1516" t="str">
        <f>IFERROR(VLOOKUP(B1516,'Pre-Summary'!$Y$6:$AC$83, 5,FALSE),"")</f>
        <v/>
      </c>
      <c r="W1516" s="45" t="str">
        <f>IFERROR(VLOOKUP(B1516,'Pre-Summary'!$Y$6:$AD$83,6,FALSE),"")</f>
        <v/>
      </c>
      <c r="X1516" t="str">
        <f>IFERROR(VLOOKUP('Pre-Summary'!$DB$6:$DD$63,3,FALSE),"")</f>
        <v/>
      </c>
      <c r="Y1516" t="str">
        <f>IFERROR(VLOOKUP(B1516,'Pre-Summary'!$CR$6:$CT$36,3,FALSE),"")</f>
        <v/>
      </c>
      <c r="Z1516" s="45" t="str">
        <f>IFERROR(VLOOKUP(B1516,'Pre-Summary'!$BZ$6:$CB$63,2,FALSE),"")</f>
        <v/>
      </c>
      <c r="AA1516" s="45" t="str">
        <f>IFERROR(VLOOKUP(B1516,'Pre-Summary'!$CG$6:$CI$70,2,FALSE),"")</f>
        <v/>
      </c>
      <c r="AB1516" s="99">
        <f>IFERROR(VLOOKUP(B1516,'Pre-Summary'!$A$6:$P$178,9,FALSE),AB1517)</f>
        <v>0.35181614583388343</v>
      </c>
      <c r="AC1516" s="10">
        <f>IFERROR(VLOOKUP(Summary!B1516,'Pre-Summary'!$A$6:$P$184,5, FALSE)/100,AC1517)</f>
        <v>0.71615799999999996</v>
      </c>
      <c r="AD1516" s="10">
        <f>IFERROR(VLOOKUP(Summary!B1516,'Pre-Summary'!$A$6:$P$184,3, FALSE)/100,AD1517)</f>
        <v>0.24037466666666671</v>
      </c>
      <c r="AE1516" s="10">
        <f>IFERROR(VLOOKUP(Summary!B1516,'Pre-Summary'!$A$6:$P$184,7, FALSE)/100,AE1517)</f>
        <v>4.3467666666666661E-2</v>
      </c>
      <c r="AF1516" s="99">
        <f t="shared" si="70"/>
        <v>8.4567688782771128E-2</v>
      </c>
      <c r="AG1516" s="99">
        <f t="shared" si="71"/>
        <v>1.5292626955058631E-2</v>
      </c>
      <c r="AH1516" s="10" t="str">
        <f>IFERROR(VLOOKUP(B1516,'Pre-Summary'!$AZ$6:$BE$65,3,FALSE),"")</f>
        <v/>
      </c>
      <c r="AI1516" s="10" t="str">
        <f>IFERROR(VLOOKUP(B1516,'Pre-Summary'!$AZ$6:$BE$65,5,FALSE),"")</f>
        <v/>
      </c>
      <c r="AJ1516" s="10" t="str">
        <f>IFERROR(VLOOKUP(B1516,'Pre-Summary'!$AZ$6:$BE$65,4,FALSE),"")</f>
        <v/>
      </c>
      <c r="AK1516" s="10" t="str">
        <f>IFERROR(VLOOKUP(B1516,'Pre-Summary'!$AZ$6:$BE$65,6,FALSE),"")</f>
        <v/>
      </c>
      <c r="AL1516" s="10" t="str">
        <f>IFERROR(VLOOKUP(B1516,'Pre-Summary'!$BG$6:$BL$44,3,FALSE),"")</f>
        <v/>
      </c>
      <c r="AM1516" s="10" t="str">
        <f>IFERROR(VLOOKUP(B1516,'Pre-Summary'!$BG$6:$BL$44,4,FALSE),"")</f>
        <v/>
      </c>
    </row>
    <row r="1517" spans="2:39" ht="15" customHeight="1" x14ac:dyDescent="0.3">
      <c r="B1517">
        <v>151.4</v>
      </c>
      <c r="C1517" t="str">
        <f>IFERROR(VLOOKUP(B1517,'Pre-Summary'!$DI$6:$DM$23,4,FALSE),"")</f>
        <v/>
      </c>
      <c r="D1517" s="10" t="str">
        <f>IFERROR(VLOOKUP(B1517,'Pre-Summary'!$AT$6:$AX$14,5,FALSE),D1516)</f>
        <v>Wolfe v3: went back to modified wolfe + EDTA and switched CuSO4 to CUCl2</v>
      </c>
      <c r="E1517" s="10" t="str">
        <f>IFERROR(VLOOKUP(B1517,'Pre-Summary'!$AT$6:$AX$15,4,FALSE),"")</f>
        <v/>
      </c>
      <c r="F1517">
        <f>IFERROR(VLOOKUP(B1517,'Pre-Summary'!$AL$6:$AQ$13,6,FALSE),F1516)</f>
        <v>5.3897368421052638E-2</v>
      </c>
      <c r="G1517" t="str">
        <f>IFERROR(VLOOKUP(B1517,'Pre-Summary'!$AE$6:$AJ$85,3,FALSE),"")</f>
        <v/>
      </c>
      <c r="H1517" t="str">
        <f>IFERROR(VLOOKUP(B1517,'Pre-Summary'!$AE$6:$AJ$85,4,FALSE),"")</f>
        <v/>
      </c>
      <c r="I1517" t="str">
        <f>IFERROR(VLOOKUP(B1517,'Pre-Summary'!$AE$6:$AJ$85,5,FALSE),"")</f>
        <v/>
      </c>
      <c r="J1517" s="45" t="str">
        <f>IFERROR(VLOOKUP(B1517,'Pre-Summary'!$AE$6:$AJ$85,6, FALSE),"")</f>
        <v/>
      </c>
      <c r="K1517" s="45" t="str">
        <f>IFERROR(VLOOKUP(B1517,'Pre-Summary'!$DE$6:$DG$61,3,FALSE),"")</f>
        <v/>
      </c>
      <c r="L1517" s="45" t="str">
        <f>IFERROR(VLOOKUP(B1517,'Pre-Summary'!$CU$6:$CW$36,3,FALSE),"")</f>
        <v/>
      </c>
      <c r="M1517" s="45" t="str">
        <f>IFERROR(VLOOKUP(B1517,'Pre-Summary'!$BW$6:$BY$58,2,FALSE),"")</f>
        <v/>
      </c>
      <c r="N1517" s="45" t="str">
        <f>IFERROR(VLOOKUP(B1517,'Pre-Summary'!$CD$6:$CF$64,2,FALSE),"")</f>
        <v/>
      </c>
      <c r="O1517" s="99">
        <f>IFERROR(VLOOKUP(B1517,'Pre-Summary'!$BO$6:$BQ$48,3, FALSE),O1516)</f>
        <v>1</v>
      </c>
      <c r="P1517" s="99">
        <f>IFERROR(VLOOKUP(B1517,'Pre-Summary'!$BS$6:$BU$35,3,FALSE),P1516)</f>
        <v>0.3</v>
      </c>
      <c r="Q1517" s="54">
        <f t="shared" si="69"/>
        <v>3.3333333333333335</v>
      </c>
      <c r="R1517" s="53">
        <f>IFERROR(VLOOKUP(B1517,'Pre-Summary'!$BG$6:$BM$44,7,FALSE),R1518)</f>
        <v>0.10131789275871156</v>
      </c>
      <c r="S1517" s="53">
        <f>IFERROR(VLOOKUP(B1517,'Pre-Summary'!$BG$6:$BM$44,6,FALSE),S1518)</f>
        <v>9.6637565908873055E-2</v>
      </c>
      <c r="T1517" s="45" t="str">
        <f>IFERROR(VLOOKUP(B1517,'Pre-Summary'!$Y$6:$AC$83, 3,FALSE),"")</f>
        <v/>
      </c>
      <c r="U1517" s="45" t="str">
        <f>IFERROR(VLOOKUP(B1517,'Pre-Summary'!$Y$6:$AC$83, 4,FALSE),"")</f>
        <v/>
      </c>
      <c r="V1517" t="str">
        <f>IFERROR(VLOOKUP(B1517,'Pre-Summary'!$Y$6:$AC$83, 5,FALSE),"")</f>
        <v/>
      </c>
      <c r="W1517" s="45" t="str">
        <f>IFERROR(VLOOKUP(B1517,'Pre-Summary'!$Y$6:$AD$83,6,FALSE),"")</f>
        <v/>
      </c>
      <c r="X1517" t="str">
        <f>IFERROR(VLOOKUP('Pre-Summary'!$DB$6:$DD$63,3,FALSE),"")</f>
        <v/>
      </c>
      <c r="Y1517" t="str">
        <f>IFERROR(VLOOKUP(B1517,'Pre-Summary'!$CR$6:$CT$36,3,FALSE),"")</f>
        <v/>
      </c>
      <c r="Z1517" s="45" t="str">
        <f>IFERROR(VLOOKUP(B1517,'Pre-Summary'!$BZ$6:$CB$63,2,FALSE),"")</f>
        <v/>
      </c>
      <c r="AA1517" s="45" t="str">
        <f>IFERROR(VLOOKUP(B1517,'Pre-Summary'!$CG$6:$CI$70,2,FALSE),"")</f>
        <v/>
      </c>
      <c r="AB1517" s="99">
        <f>IFERROR(VLOOKUP(B1517,'Pre-Summary'!$A$6:$P$178,9,FALSE),AB1518)</f>
        <v>0.35181614583388343</v>
      </c>
      <c r="AC1517" s="10">
        <f>IFERROR(VLOOKUP(Summary!B1517,'Pre-Summary'!$A$6:$P$184,5, FALSE)/100,AC1518)</f>
        <v>0.71615799999999996</v>
      </c>
      <c r="AD1517" s="10">
        <f>IFERROR(VLOOKUP(Summary!B1517,'Pre-Summary'!$A$6:$P$184,3, FALSE)/100,AD1518)</f>
        <v>0.24037466666666671</v>
      </c>
      <c r="AE1517" s="10">
        <f>IFERROR(VLOOKUP(Summary!B1517,'Pre-Summary'!$A$6:$P$184,7, FALSE)/100,AE1518)</f>
        <v>4.3467666666666661E-2</v>
      </c>
      <c r="AF1517" s="99">
        <f t="shared" si="70"/>
        <v>8.4567688782771128E-2</v>
      </c>
      <c r="AG1517" s="99">
        <f t="shared" si="71"/>
        <v>1.5292626955058631E-2</v>
      </c>
      <c r="AH1517" s="10" t="str">
        <f>IFERROR(VLOOKUP(B1517,'Pre-Summary'!$AZ$6:$BE$65,3,FALSE),"")</f>
        <v/>
      </c>
      <c r="AI1517" s="10" t="str">
        <f>IFERROR(VLOOKUP(B1517,'Pre-Summary'!$AZ$6:$BE$65,5,FALSE),"")</f>
        <v/>
      </c>
      <c r="AJ1517" s="10" t="str">
        <f>IFERROR(VLOOKUP(B1517,'Pre-Summary'!$AZ$6:$BE$65,4,FALSE),"")</f>
        <v/>
      </c>
      <c r="AK1517" s="10" t="str">
        <f>IFERROR(VLOOKUP(B1517,'Pre-Summary'!$AZ$6:$BE$65,6,FALSE),"")</f>
        <v/>
      </c>
      <c r="AL1517" s="10" t="str">
        <f>IFERROR(VLOOKUP(B1517,'Pre-Summary'!$BG$6:$BL$44,3,FALSE),"")</f>
        <v/>
      </c>
      <c r="AM1517" s="10" t="str">
        <f>IFERROR(VLOOKUP(B1517,'Pre-Summary'!$BG$6:$BL$44,4,FALSE),"")</f>
        <v/>
      </c>
    </row>
    <row r="1518" spans="2:39" ht="15" customHeight="1" x14ac:dyDescent="0.3">
      <c r="B1518">
        <v>151.5</v>
      </c>
      <c r="C1518" t="str">
        <f>IFERROR(VLOOKUP(B1518,'Pre-Summary'!$DI$6:$DM$23,4,FALSE),"")</f>
        <v/>
      </c>
      <c r="D1518" s="10" t="str">
        <f>IFERROR(VLOOKUP(B1518,'Pre-Summary'!$AT$6:$AX$14,5,FALSE),D1517)</f>
        <v>Wolfe v3: went back to modified wolfe + EDTA and switched CuSO4 to CUCl2</v>
      </c>
      <c r="E1518" s="10" t="str">
        <f>IFERROR(VLOOKUP(B1518,'Pre-Summary'!$AT$6:$AX$15,4,FALSE),"")</f>
        <v/>
      </c>
      <c r="F1518">
        <f>IFERROR(VLOOKUP(B1518,'Pre-Summary'!$AL$6:$AQ$13,6,FALSE),F1517)</f>
        <v>5.3897368421052638E-2</v>
      </c>
      <c r="G1518" t="str">
        <f>IFERROR(VLOOKUP(B1518,'Pre-Summary'!$AE$6:$AJ$85,3,FALSE),"")</f>
        <v/>
      </c>
      <c r="H1518" t="str">
        <f>IFERROR(VLOOKUP(B1518,'Pre-Summary'!$AE$6:$AJ$85,4,FALSE),"")</f>
        <v/>
      </c>
      <c r="I1518" t="str">
        <f>IFERROR(VLOOKUP(B1518,'Pre-Summary'!$AE$6:$AJ$85,5,FALSE),"")</f>
        <v/>
      </c>
      <c r="J1518" s="45" t="str">
        <f>IFERROR(VLOOKUP(B1518,'Pre-Summary'!$AE$6:$AJ$85,6, FALSE),"")</f>
        <v/>
      </c>
      <c r="K1518" s="45" t="str">
        <f>IFERROR(VLOOKUP(B1518,'Pre-Summary'!$DE$6:$DG$61,3,FALSE),"")</f>
        <v/>
      </c>
      <c r="L1518" s="45" t="str">
        <f>IFERROR(VLOOKUP(B1518,'Pre-Summary'!$CU$6:$CW$36,3,FALSE),"")</f>
        <v/>
      </c>
      <c r="M1518" s="45" t="str">
        <f>IFERROR(VLOOKUP(B1518,'Pre-Summary'!$BW$6:$BY$58,2,FALSE),"")</f>
        <v/>
      </c>
      <c r="N1518" s="45" t="str">
        <f>IFERROR(VLOOKUP(B1518,'Pre-Summary'!$CD$6:$CF$64,2,FALSE),"")</f>
        <v/>
      </c>
      <c r="O1518" s="99">
        <f>IFERROR(VLOOKUP(B1518,'Pre-Summary'!$BO$6:$BQ$48,3, FALSE),O1517)</f>
        <v>1</v>
      </c>
      <c r="P1518" s="99">
        <f>IFERROR(VLOOKUP(B1518,'Pre-Summary'!$BS$6:$BU$35,3,FALSE),P1517)</f>
        <v>0.3</v>
      </c>
      <c r="Q1518" s="54">
        <f t="shared" si="69"/>
        <v>3.3333333333333335</v>
      </c>
      <c r="R1518" s="53">
        <f>IFERROR(VLOOKUP(B1518,'Pre-Summary'!$BG$6:$BM$44,7,FALSE),R1519)</f>
        <v>0.10131789275871156</v>
      </c>
      <c r="S1518" s="53">
        <f>IFERROR(VLOOKUP(B1518,'Pre-Summary'!$BG$6:$BM$44,6,FALSE),S1519)</f>
        <v>9.6637565908873055E-2</v>
      </c>
      <c r="T1518" s="45" t="str">
        <f>IFERROR(VLOOKUP(B1518,'Pre-Summary'!$Y$6:$AC$83, 3,FALSE),"")</f>
        <v/>
      </c>
      <c r="U1518" s="45" t="str">
        <f>IFERROR(VLOOKUP(B1518,'Pre-Summary'!$Y$6:$AC$83, 4,FALSE),"")</f>
        <v/>
      </c>
      <c r="V1518" t="str">
        <f>IFERROR(VLOOKUP(B1518,'Pre-Summary'!$Y$6:$AC$83, 5,FALSE),"")</f>
        <v/>
      </c>
      <c r="W1518" s="45" t="str">
        <f>IFERROR(VLOOKUP(B1518,'Pre-Summary'!$Y$6:$AD$83,6,FALSE),"")</f>
        <v/>
      </c>
      <c r="X1518" t="str">
        <f>IFERROR(VLOOKUP('Pre-Summary'!$DB$6:$DD$63,3,FALSE),"")</f>
        <v/>
      </c>
      <c r="Y1518" t="str">
        <f>IFERROR(VLOOKUP(B1518,'Pre-Summary'!$CR$6:$CT$36,3,FALSE),"")</f>
        <v/>
      </c>
      <c r="Z1518" s="45" t="str">
        <f>IFERROR(VLOOKUP(B1518,'Pre-Summary'!$BZ$6:$CB$63,2,FALSE),"")</f>
        <v/>
      </c>
      <c r="AA1518" s="45" t="str">
        <f>IFERROR(VLOOKUP(B1518,'Pre-Summary'!$CG$6:$CI$70,2,FALSE),"")</f>
        <v/>
      </c>
      <c r="AB1518" s="99">
        <f>IFERROR(VLOOKUP(B1518,'Pre-Summary'!$A$6:$P$178,9,FALSE),AB1519)</f>
        <v>0.35181614583388343</v>
      </c>
      <c r="AC1518" s="10">
        <f>IFERROR(VLOOKUP(Summary!B1518,'Pre-Summary'!$A$6:$P$184,5, FALSE)/100,AC1519)</f>
        <v>0.71615799999999996</v>
      </c>
      <c r="AD1518" s="10">
        <f>IFERROR(VLOOKUP(Summary!B1518,'Pre-Summary'!$A$6:$P$184,3, FALSE)/100,AD1519)</f>
        <v>0.24037466666666671</v>
      </c>
      <c r="AE1518" s="10">
        <f>IFERROR(VLOOKUP(Summary!B1518,'Pre-Summary'!$A$6:$P$184,7, FALSE)/100,AE1519)</f>
        <v>4.3467666666666661E-2</v>
      </c>
      <c r="AF1518" s="99">
        <f t="shared" si="70"/>
        <v>8.4567688782771128E-2</v>
      </c>
      <c r="AG1518" s="99">
        <f t="shared" si="71"/>
        <v>1.5292626955058631E-2</v>
      </c>
      <c r="AH1518" s="10" t="str">
        <f>IFERROR(VLOOKUP(B1518,'Pre-Summary'!$AZ$6:$BE$65,3,FALSE),"")</f>
        <v/>
      </c>
      <c r="AI1518" s="10" t="str">
        <f>IFERROR(VLOOKUP(B1518,'Pre-Summary'!$AZ$6:$BE$65,5,FALSE),"")</f>
        <v/>
      </c>
      <c r="AJ1518" s="10" t="str">
        <f>IFERROR(VLOOKUP(B1518,'Pre-Summary'!$AZ$6:$BE$65,4,FALSE),"")</f>
        <v/>
      </c>
      <c r="AK1518" s="10" t="str">
        <f>IFERROR(VLOOKUP(B1518,'Pre-Summary'!$AZ$6:$BE$65,6,FALSE),"")</f>
        <v/>
      </c>
      <c r="AL1518" s="10" t="str">
        <f>IFERROR(VLOOKUP(B1518,'Pre-Summary'!$BG$6:$BL$44,3,FALSE),"")</f>
        <v/>
      </c>
      <c r="AM1518" s="10" t="str">
        <f>IFERROR(VLOOKUP(B1518,'Pre-Summary'!$BG$6:$BL$44,4,FALSE),"")</f>
        <v/>
      </c>
    </row>
    <row r="1519" spans="2:39" ht="15" customHeight="1" x14ac:dyDescent="0.3">
      <c r="B1519">
        <v>151.6</v>
      </c>
      <c r="C1519" t="str">
        <f>IFERROR(VLOOKUP(B1519,'Pre-Summary'!$DI$6:$DM$23,4,FALSE),"")</f>
        <v/>
      </c>
      <c r="D1519" s="10" t="str">
        <f>IFERROR(VLOOKUP(B1519,'Pre-Summary'!$AT$6:$AX$14,5,FALSE),D1518)</f>
        <v>Wolfe v3: went back to modified wolfe + EDTA and switched CuSO4 to CUCl2</v>
      </c>
      <c r="E1519" s="10" t="str">
        <f>IFERROR(VLOOKUP(B1519,'Pre-Summary'!$AT$6:$AX$15,4,FALSE),"")</f>
        <v/>
      </c>
      <c r="F1519">
        <f>IFERROR(VLOOKUP(B1519,'Pre-Summary'!$AL$6:$AQ$13,6,FALSE),F1518)</f>
        <v>5.3897368421052638E-2</v>
      </c>
      <c r="G1519" t="str">
        <f>IFERROR(VLOOKUP(B1519,'Pre-Summary'!$AE$6:$AJ$85,3,FALSE),"")</f>
        <v/>
      </c>
      <c r="H1519" t="str">
        <f>IFERROR(VLOOKUP(B1519,'Pre-Summary'!$AE$6:$AJ$85,4,FALSE),"")</f>
        <v/>
      </c>
      <c r="I1519" t="str">
        <f>IFERROR(VLOOKUP(B1519,'Pre-Summary'!$AE$6:$AJ$85,5,FALSE),"")</f>
        <v/>
      </c>
      <c r="J1519" s="45" t="str">
        <f>IFERROR(VLOOKUP(B1519,'Pre-Summary'!$AE$6:$AJ$85,6, FALSE),"")</f>
        <v/>
      </c>
      <c r="K1519" s="45" t="str">
        <f>IFERROR(VLOOKUP(B1519,'Pre-Summary'!$DE$6:$DG$61,3,FALSE),"")</f>
        <v/>
      </c>
      <c r="L1519" s="45" t="str">
        <f>IFERROR(VLOOKUP(B1519,'Pre-Summary'!$CU$6:$CW$36,3,FALSE),"")</f>
        <v/>
      </c>
      <c r="M1519" s="45" t="str">
        <f>IFERROR(VLOOKUP(B1519,'Pre-Summary'!$BW$6:$BY$58,2,FALSE),"")</f>
        <v/>
      </c>
      <c r="N1519" s="45" t="str">
        <f>IFERROR(VLOOKUP(B1519,'Pre-Summary'!$CD$6:$CF$64,2,FALSE),"")</f>
        <v/>
      </c>
      <c r="O1519" s="99">
        <f>IFERROR(VLOOKUP(B1519,'Pre-Summary'!$BO$6:$BQ$48,3, FALSE),O1518)</f>
        <v>1</v>
      </c>
      <c r="P1519" s="99">
        <f>IFERROR(VLOOKUP(B1519,'Pre-Summary'!$BS$6:$BU$35,3,FALSE),P1518)</f>
        <v>0.3</v>
      </c>
      <c r="Q1519" s="54">
        <f t="shared" si="69"/>
        <v>3.3333333333333335</v>
      </c>
      <c r="R1519" s="53">
        <f>IFERROR(VLOOKUP(B1519,'Pre-Summary'!$BG$6:$BM$44,7,FALSE),R1520)</f>
        <v>0.10131789275871156</v>
      </c>
      <c r="S1519" s="53">
        <f>IFERROR(VLOOKUP(B1519,'Pre-Summary'!$BG$6:$BM$44,6,FALSE),S1520)</f>
        <v>9.6637565908873055E-2</v>
      </c>
      <c r="T1519" s="45" t="str">
        <f>IFERROR(VLOOKUP(B1519,'Pre-Summary'!$Y$6:$AC$83, 3,FALSE),"")</f>
        <v/>
      </c>
      <c r="U1519" s="45" t="str">
        <f>IFERROR(VLOOKUP(B1519,'Pre-Summary'!$Y$6:$AC$83, 4,FALSE),"")</f>
        <v/>
      </c>
      <c r="V1519" t="str">
        <f>IFERROR(VLOOKUP(B1519,'Pre-Summary'!$Y$6:$AC$83, 5,FALSE),"")</f>
        <v/>
      </c>
      <c r="W1519" s="45" t="str">
        <f>IFERROR(VLOOKUP(B1519,'Pre-Summary'!$Y$6:$AD$83,6,FALSE),"")</f>
        <v/>
      </c>
      <c r="X1519" t="str">
        <f>IFERROR(VLOOKUP('Pre-Summary'!$DB$6:$DD$63,3,FALSE),"")</f>
        <v/>
      </c>
      <c r="Y1519" t="str">
        <f>IFERROR(VLOOKUP(B1519,'Pre-Summary'!$CR$6:$CT$36,3,FALSE),"")</f>
        <v/>
      </c>
      <c r="Z1519" s="45" t="str">
        <f>IFERROR(VLOOKUP(B1519,'Pre-Summary'!$BZ$6:$CB$63,2,FALSE),"")</f>
        <v/>
      </c>
      <c r="AA1519" s="45" t="str">
        <f>IFERROR(VLOOKUP(B1519,'Pre-Summary'!$CG$6:$CI$70,2,FALSE),"")</f>
        <v/>
      </c>
      <c r="AB1519" s="99">
        <f>IFERROR(VLOOKUP(B1519,'Pre-Summary'!$A$6:$P$178,9,FALSE),AB1520)</f>
        <v>0.35181614583388343</v>
      </c>
      <c r="AC1519" s="10">
        <f>IFERROR(VLOOKUP(Summary!B1519,'Pre-Summary'!$A$6:$P$184,5, FALSE)/100,AC1520)</f>
        <v>0.71615799999999996</v>
      </c>
      <c r="AD1519" s="10">
        <f>IFERROR(VLOOKUP(Summary!B1519,'Pre-Summary'!$A$6:$P$184,3, FALSE)/100,AD1520)</f>
        <v>0.24037466666666671</v>
      </c>
      <c r="AE1519" s="10">
        <f>IFERROR(VLOOKUP(Summary!B1519,'Pre-Summary'!$A$6:$P$184,7, FALSE)/100,AE1520)</f>
        <v>4.3467666666666661E-2</v>
      </c>
      <c r="AF1519" s="99">
        <f t="shared" si="70"/>
        <v>8.4567688782771128E-2</v>
      </c>
      <c r="AG1519" s="99">
        <f t="shared" si="71"/>
        <v>1.5292626955058631E-2</v>
      </c>
      <c r="AH1519" s="10" t="str">
        <f>IFERROR(VLOOKUP(B1519,'Pre-Summary'!$AZ$6:$BE$65,3,FALSE),"")</f>
        <v/>
      </c>
      <c r="AI1519" s="10" t="str">
        <f>IFERROR(VLOOKUP(B1519,'Pre-Summary'!$AZ$6:$BE$65,5,FALSE),"")</f>
        <v/>
      </c>
      <c r="AJ1519" s="10" t="str">
        <f>IFERROR(VLOOKUP(B1519,'Pre-Summary'!$AZ$6:$BE$65,4,FALSE),"")</f>
        <v/>
      </c>
      <c r="AK1519" s="10" t="str">
        <f>IFERROR(VLOOKUP(B1519,'Pre-Summary'!$AZ$6:$BE$65,6,FALSE),"")</f>
        <v/>
      </c>
      <c r="AL1519" s="10" t="str">
        <f>IFERROR(VLOOKUP(B1519,'Pre-Summary'!$BG$6:$BL$44,3,FALSE),"")</f>
        <v/>
      </c>
      <c r="AM1519" s="10" t="str">
        <f>IFERROR(VLOOKUP(B1519,'Pre-Summary'!$BG$6:$BL$44,4,FALSE),"")</f>
        <v/>
      </c>
    </row>
    <row r="1520" spans="2:39" ht="15" customHeight="1" x14ac:dyDescent="0.3">
      <c r="B1520">
        <v>151.69999999999999</v>
      </c>
      <c r="C1520" t="str">
        <f>IFERROR(VLOOKUP(B1520,'Pre-Summary'!$DI$6:$DM$23,4,FALSE),"")</f>
        <v/>
      </c>
      <c r="D1520" s="10" t="str">
        <f>IFERROR(VLOOKUP(B1520,'Pre-Summary'!$AT$6:$AX$14,5,FALSE),D1519)</f>
        <v>Wolfe v3: went back to modified wolfe + EDTA and switched CuSO4 to CUCl2</v>
      </c>
      <c r="E1520" s="10" t="str">
        <f>IFERROR(VLOOKUP(B1520,'Pre-Summary'!$AT$6:$AX$15,4,FALSE),"")</f>
        <v/>
      </c>
      <c r="F1520">
        <f>IFERROR(VLOOKUP(B1520,'Pre-Summary'!$AL$6:$AQ$13,6,FALSE),F1519)</f>
        <v>5.3897368421052638E-2</v>
      </c>
      <c r="G1520" t="str">
        <f>IFERROR(VLOOKUP(B1520,'Pre-Summary'!$AE$6:$AJ$85,3,FALSE),"")</f>
        <v/>
      </c>
      <c r="H1520" t="str">
        <f>IFERROR(VLOOKUP(B1520,'Pre-Summary'!$AE$6:$AJ$85,4,FALSE),"")</f>
        <v/>
      </c>
      <c r="I1520" t="str">
        <f>IFERROR(VLOOKUP(B1520,'Pre-Summary'!$AE$6:$AJ$85,5,FALSE),"")</f>
        <v/>
      </c>
      <c r="J1520" s="45" t="str">
        <f>IFERROR(VLOOKUP(B1520,'Pre-Summary'!$AE$6:$AJ$85,6, FALSE),"")</f>
        <v/>
      </c>
      <c r="K1520" s="45" t="str">
        <f>IFERROR(VLOOKUP(B1520,'Pre-Summary'!$DE$6:$DG$61,3,FALSE),"")</f>
        <v/>
      </c>
      <c r="L1520" s="45" t="str">
        <f>IFERROR(VLOOKUP(B1520,'Pre-Summary'!$CU$6:$CW$36,3,FALSE),"")</f>
        <v/>
      </c>
      <c r="M1520" s="45" t="str">
        <f>IFERROR(VLOOKUP(B1520,'Pre-Summary'!$BW$6:$BY$58,2,FALSE),"")</f>
        <v/>
      </c>
      <c r="N1520" s="45" t="str">
        <f>IFERROR(VLOOKUP(B1520,'Pre-Summary'!$CD$6:$CF$64,2,FALSE),"")</f>
        <v/>
      </c>
      <c r="O1520" s="99">
        <f>IFERROR(VLOOKUP(B1520,'Pre-Summary'!$BO$6:$BQ$48,3, FALSE),O1519)</f>
        <v>1</v>
      </c>
      <c r="P1520" s="99">
        <f>IFERROR(VLOOKUP(B1520,'Pre-Summary'!$BS$6:$BU$35,3,FALSE),P1519)</f>
        <v>0.3</v>
      </c>
      <c r="Q1520" s="54">
        <f t="shared" si="69"/>
        <v>3.3333333333333335</v>
      </c>
      <c r="R1520" s="53">
        <f>IFERROR(VLOOKUP(B1520,'Pre-Summary'!$BG$6:$BM$44,7,FALSE),R1521)</f>
        <v>0.10131789275871156</v>
      </c>
      <c r="S1520" s="53">
        <f>IFERROR(VLOOKUP(B1520,'Pre-Summary'!$BG$6:$BM$44,6,FALSE),S1521)</f>
        <v>9.6637565908873055E-2</v>
      </c>
      <c r="T1520" s="45" t="str">
        <f>IFERROR(VLOOKUP(B1520,'Pre-Summary'!$Y$6:$AC$83, 3,FALSE),"")</f>
        <v/>
      </c>
      <c r="U1520" s="45" t="str">
        <f>IFERROR(VLOOKUP(B1520,'Pre-Summary'!$Y$6:$AC$83, 4,FALSE),"")</f>
        <v/>
      </c>
      <c r="V1520" t="str">
        <f>IFERROR(VLOOKUP(B1520,'Pre-Summary'!$Y$6:$AC$83, 5,FALSE),"")</f>
        <v/>
      </c>
      <c r="W1520" s="45" t="str">
        <f>IFERROR(VLOOKUP(B1520,'Pre-Summary'!$Y$6:$AD$83,6,FALSE),"")</f>
        <v/>
      </c>
      <c r="X1520" t="str">
        <f>IFERROR(VLOOKUP('Pre-Summary'!$DB$6:$DD$63,3,FALSE),"")</f>
        <v/>
      </c>
      <c r="Y1520" t="str">
        <f>IFERROR(VLOOKUP(B1520,'Pre-Summary'!$CR$6:$CT$36,3,FALSE),"")</f>
        <v/>
      </c>
      <c r="Z1520" s="45" t="str">
        <f>IFERROR(VLOOKUP(B1520,'Pre-Summary'!$BZ$6:$CB$63,2,FALSE),"")</f>
        <v/>
      </c>
      <c r="AA1520" s="45" t="str">
        <f>IFERROR(VLOOKUP(B1520,'Pre-Summary'!$CG$6:$CI$70,2,FALSE),"")</f>
        <v/>
      </c>
      <c r="AB1520" s="99">
        <f>IFERROR(VLOOKUP(B1520,'Pre-Summary'!$A$6:$P$178,9,FALSE),AB1521)</f>
        <v>0.35181614583388343</v>
      </c>
      <c r="AC1520" s="10">
        <f>IFERROR(VLOOKUP(Summary!B1520,'Pre-Summary'!$A$6:$P$184,5, FALSE)/100,AC1521)</f>
        <v>0.71615799999999996</v>
      </c>
      <c r="AD1520" s="10">
        <f>IFERROR(VLOOKUP(Summary!B1520,'Pre-Summary'!$A$6:$P$184,3, FALSE)/100,AD1521)</f>
        <v>0.24037466666666671</v>
      </c>
      <c r="AE1520" s="10">
        <f>IFERROR(VLOOKUP(Summary!B1520,'Pre-Summary'!$A$6:$P$184,7, FALSE)/100,AE1521)</f>
        <v>4.3467666666666661E-2</v>
      </c>
      <c r="AF1520" s="99">
        <f t="shared" si="70"/>
        <v>8.4567688782771128E-2</v>
      </c>
      <c r="AG1520" s="99">
        <f t="shared" si="71"/>
        <v>1.5292626955058631E-2</v>
      </c>
      <c r="AH1520" s="10" t="str">
        <f>IFERROR(VLOOKUP(B1520,'Pre-Summary'!$AZ$6:$BE$65,3,FALSE),"")</f>
        <v/>
      </c>
      <c r="AI1520" s="10" t="str">
        <f>IFERROR(VLOOKUP(B1520,'Pre-Summary'!$AZ$6:$BE$65,5,FALSE),"")</f>
        <v/>
      </c>
      <c r="AJ1520" s="10" t="str">
        <f>IFERROR(VLOOKUP(B1520,'Pre-Summary'!$AZ$6:$BE$65,4,FALSE),"")</f>
        <v/>
      </c>
      <c r="AK1520" s="10" t="str">
        <f>IFERROR(VLOOKUP(B1520,'Pre-Summary'!$AZ$6:$BE$65,6,FALSE),"")</f>
        <v/>
      </c>
      <c r="AL1520" s="10" t="str">
        <f>IFERROR(VLOOKUP(B1520,'Pre-Summary'!$BG$6:$BL$44,3,FALSE),"")</f>
        <v/>
      </c>
      <c r="AM1520" s="10" t="str">
        <f>IFERROR(VLOOKUP(B1520,'Pre-Summary'!$BG$6:$BL$44,4,FALSE),"")</f>
        <v/>
      </c>
    </row>
    <row r="1521" spans="2:39" ht="15" customHeight="1" x14ac:dyDescent="0.3">
      <c r="B1521">
        <v>151.80000000000001</v>
      </c>
      <c r="C1521" t="str">
        <f>IFERROR(VLOOKUP(B1521,'Pre-Summary'!$DI$6:$DM$23,4,FALSE),"")</f>
        <v/>
      </c>
      <c r="D1521" s="10" t="str">
        <f>IFERROR(VLOOKUP(B1521,'Pre-Summary'!$AT$6:$AX$14,5,FALSE),D1520)</f>
        <v>Wolfe v3: went back to modified wolfe + EDTA and switched CuSO4 to CUCl2</v>
      </c>
      <c r="E1521" s="10" t="str">
        <f>IFERROR(VLOOKUP(B1521,'Pre-Summary'!$AT$6:$AX$15,4,FALSE),"")</f>
        <v/>
      </c>
      <c r="F1521">
        <f>IFERROR(VLOOKUP(B1521,'Pre-Summary'!$AL$6:$AQ$13,6,FALSE),F1520)</f>
        <v>5.3897368421052638E-2</v>
      </c>
      <c r="G1521" t="str">
        <f>IFERROR(VLOOKUP(B1521,'Pre-Summary'!$AE$6:$AJ$85,3,FALSE),"")</f>
        <v/>
      </c>
      <c r="H1521" t="str">
        <f>IFERROR(VLOOKUP(B1521,'Pre-Summary'!$AE$6:$AJ$85,4,FALSE),"")</f>
        <v/>
      </c>
      <c r="I1521" t="str">
        <f>IFERROR(VLOOKUP(B1521,'Pre-Summary'!$AE$6:$AJ$85,5,FALSE),"")</f>
        <v/>
      </c>
      <c r="J1521" s="45" t="str">
        <f>IFERROR(VLOOKUP(B1521,'Pre-Summary'!$AE$6:$AJ$85,6, FALSE),"")</f>
        <v/>
      </c>
      <c r="K1521" s="45" t="str">
        <f>IFERROR(VLOOKUP(B1521,'Pre-Summary'!$DE$6:$DG$61,3,FALSE),"")</f>
        <v/>
      </c>
      <c r="L1521" s="45" t="str">
        <f>IFERROR(VLOOKUP(B1521,'Pre-Summary'!$CU$6:$CW$36,3,FALSE),"")</f>
        <v/>
      </c>
      <c r="M1521" s="45" t="str">
        <f>IFERROR(VLOOKUP(B1521,'Pre-Summary'!$BW$6:$BY$58,2,FALSE),"")</f>
        <v/>
      </c>
      <c r="N1521" s="45" t="str">
        <f>IFERROR(VLOOKUP(B1521,'Pre-Summary'!$CD$6:$CF$64,2,FALSE),"")</f>
        <v/>
      </c>
      <c r="O1521" s="99">
        <f>IFERROR(VLOOKUP(B1521,'Pre-Summary'!$BO$6:$BQ$48,3, FALSE),O1520)</f>
        <v>1</v>
      </c>
      <c r="P1521" s="99">
        <f>IFERROR(VLOOKUP(B1521,'Pre-Summary'!$BS$6:$BU$35,3,FALSE),P1520)</f>
        <v>0.3</v>
      </c>
      <c r="Q1521" s="54">
        <f t="shared" si="69"/>
        <v>3.3333333333333335</v>
      </c>
      <c r="R1521" s="53">
        <f>IFERROR(VLOOKUP(B1521,'Pre-Summary'!$BG$6:$BM$44,7,FALSE),R1522)</f>
        <v>0.10131789275871156</v>
      </c>
      <c r="S1521" s="53">
        <f>IFERROR(VLOOKUP(B1521,'Pre-Summary'!$BG$6:$BM$44,6,FALSE),S1522)</f>
        <v>9.6637565908873055E-2</v>
      </c>
      <c r="T1521" s="45" t="str">
        <f>IFERROR(VLOOKUP(B1521,'Pre-Summary'!$Y$6:$AC$83, 3,FALSE),"")</f>
        <v/>
      </c>
      <c r="U1521" s="45" t="str">
        <f>IFERROR(VLOOKUP(B1521,'Pre-Summary'!$Y$6:$AC$83, 4,FALSE),"")</f>
        <v/>
      </c>
      <c r="V1521" t="str">
        <f>IFERROR(VLOOKUP(B1521,'Pre-Summary'!$Y$6:$AC$83, 5,FALSE),"")</f>
        <v/>
      </c>
      <c r="W1521" s="45" t="str">
        <f>IFERROR(VLOOKUP(B1521,'Pre-Summary'!$Y$6:$AD$83,6,FALSE),"")</f>
        <v/>
      </c>
      <c r="X1521" t="str">
        <f>IFERROR(VLOOKUP('Pre-Summary'!$DB$6:$DD$63,3,FALSE),"")</f>
        <v/>
      </c>
      <c r="Y1521" t="str">
        <f>IFERROR(VLOOKUP(B1521,'Pre-Summary'!$CR$6:$CT$36,3,FALSE),"")</f>
        <v/>
      </c>
      <c r="Z1521" s="45" t="str">
        <f>IFERROR(VLOOKUP(B1521,'Pre-Summary'!$BZ$6:$CB$63,2,FALSE),"")</f>
        <v/>
      </c>
      <c r="AA1521" s="45" t="str">
        <f>IFERROR(VLOOKUP(B1521,'Pre-Summary'!$CG$6:$CI$70,2,FALSE),"")</f>
        <v/>
      </c>
      <c r="AB1521" s="99">
        <f>IFERROR(VLOOKUP(B1521,'Pre-Summary'!$A$6:$P$178,9,FALSE),AB1522)</f>
        <v>0.35181614583388343</v>
      </c>
      <c r="AC1521" s="10">
        <f>IFERROR(VLOOKUP(Summary!B1521,'Pre-Summary'!$A$6:$P$184,5, FALSE)/100,AC1522)</f>
        <v>0.71615799999999996</v>
      </c>
      <c r="AD1521" s="10">
        <f>IFERROR(VLOOKUP(Summary!B1521,'Pre-Summary'!$A$6:$P$184,3, FALSE)/100,AD1522)</f>
        <v>0.24037466666666671</v>
      </c>
      <c r="AE1521" s="10">
        <f>IFERROR(VLOOKUP(Summary!B1521,'Pre-Summary'!$A$6:$P$184,7, FALSE)/100,AE1522)</f>
        <v>4.3467666666666661E-2</v>
      </c>
      <c r="AF1521" s="99">
        <f t="shared" si="70"/>
        <v>8.4567688782771128E-2</v>
      </c>
      <c r="AG1521" s="99">
        <f t="shared" si="71"/>
        <v>1.5292626955058631E-2</v>
      </c>
      <c r="AH1521" s="10" t="str">
        <f>IFERROR(VLOOKUP(B1521,'Pre-Summary'!$AZ$6:$BE$65,3,FALSE),"")</f>
        <v/>
      </c>
      <c r="AI1521" s="10" t="str">
        <f>IFERROR(VLOOKUP(B1521,'Pre-Summary'!$AZ$6:$BE$65,5,FALSE),"")</f>
        <v/>
      </c>
      <c r="AJ1521" s="10" t="str">
        <f>IFERROR(VLOOKUP(B1521,'Pre-Summary'!$AZ$6:$BE$65,4,FALSE),"")</f>
        <v/>
      </c>
      <c r="AK1521" s="10" t="str">
        <f>IFERROR(VLOOKUP(B1521,'Pre-Summary'!$AZ$6:$BE$65,6,FALSE),"")</f>
        <v/>
      </c>
      <c r="AL1521" s="10" t="str">
        <f>IFERROR(VLOOKUP(B1521,'Pre-Summary'!$BG$6:$BL$44,3,FALSE),"")</f>
        <v/>
      </c>
      <c r="AM1521" s="10" t="str">
        <f>IFERROR(VLOOKUP(B1521,'Pre-Summary'!$BG$6:$BL$44,4,FALSE),"")</f>
        <v/>
      </c>
    </row>
    <row r="1522" spans="2:39" ht="15" customHeight="1" x14ac:dyDescent="0.3">
      <c r="B1522">
        <v>151.9</v>
      </c>
      <c r="C1522" t="str">
        <f>IFERROR(VLOOKUP(B1522,'Pre-Summary'!$DI$6:$DM$23,4,FALSE),"")</f>
        <v/>
      </c>
      <c r="D1522" s="10" t="str">
        <f>IFERROR(VLOOKUP(B1522,'Pre-Summary'!$AT$6:$AX$14,5,FALSE),D1521)</f>
        <v>Wolfe v3: went back to modified wolfe + EDTA and switched CuSO4 to CUCl2</v>
      </c>
      <c r="E1522" s="10" t="str">
        <f>IFERROR(VLOOKUP(B1522,'Pre-Summary'!$AT$6:$AX$15,4,FALSE),"")</f>
        <v/>
      </c>
      <c r="F1522">
        <f>IFERROR(VLOOKUP(B1522,'Pre-Summary'!$AL$6:$AQ$13,6,FALSE),F1521)</f>
        <v>5.3897368421052638E-2</v>
      </c>
      <c r="G1522" t="str">
        <f>IFERROR(VLOOKUP(B1522,'Pre-Summary'!$AE$6:$AJ$85,3,FALSE),"")</f>
        <v/>
      </c>
      <c r="H1522" t="str">
        <f>IFERROR(VLOOKUP(B1522,'Pre-Summary'!$AE$6:$AJ$85,4,FALSE),"")</f>
        <v/>
      </c>
      <c r="I1522" t="str">
        <f>IFERROR(VLOOKUP(B1522,'Pre-Summary'!$AE$6:$AJ$85,5,FALSE),"")</f>
        <v/>
      </c>
      <c r="J1522" s="45" t="str">
        <f>IFERROR(VLOOKUP(B1522,'Pre-Summary'!$AE$6:$AJ$85,6, FALSE),"")</f>
        <v/>
      </c>
      <c r="K1522" s="45" t="str">
        <f>IFERROR(VLOOKUP(B1522,'Pre-Summary'!$DE$6:$DG$61,3,FALSE),"")</f>
        <v/>
      </c>
      <c r="L1522" s="45" t="str">
        <f>IFERROR(VLOOKUP(B1522,'Pre-Summary'!$CU$6:$CW$36,3,FALSE),"")</f>
        <v/>
      </c>
      <c r="M1522" s="45" t="str">
        <f>IFERROR(VLOOKUP(B1522,'Pre-Summary'!$BW$6:$BY$58,2,FALSE),"")</f>
        <v/>
      </c>
      <c r="N1522" s="45" t="str">
        <f>IFERROR(VLOOKUP(B1522,'Pre-Summary'!$CD$6:$CF$64,2,FALSE),"")</f>
        <v/>
      </c>
      <c r="O1522" s="99">
        <f>IFERROR(VLOOKUP(B1522,'Pre-Summary'!$BO$6:$BQ$48,3, FALSE),O1521)</f>
        <v>1</v>
      </c>
      <c r="P1522" s="99">
        <f>IFERROR(VLOOKUP(B1522,'Pre-Summary'!$BS$6:$BU$35,3,FALSE),P1521)</f>
        <v>0.3</v>
      </c>
      <c r="Q1522" s="54">
        <f t="shared" si="69"/>
        <v>3.3333333333333335</v>
      </c>
      <c r="R1522" s="53">
        <f>IFERROR(VLOOKUP(B1522,'Pre-Summary'!$BG$6:$BM$44,7,FALSE),R1523)</f>
        <v>0.10131789275871156</v>
      </c>
      <c r="S1522" s="53">
        <f>IFERROR(VLOOKUP(B1522,'Pre-Summary'!$BG$6:$BM$44,6,FALSE),S1523)</f>
        <v>9.6637565908873055E-2</v>
      </c>
      <c r="T1522" s="45" t="str">
        <f>IFERROR(VLOOKUP(B1522,'Pre-Summary'!$Y$6:$AC$83, 3,FALSE),"")</f>
        <v/>
      </c>
      <c r="U1522" s="45" t="str">
        <f>IFERROR(VLOOKUP(B1522,'Pre-Summary'!$Y$6:$AC$83, 4,FALSE),"")</f>
        <v/>
      </c>
      <c r="V1522" t="str">
        <f>IFERROR(VLOOKUP(B1522,'Pre-Summary'!$Y$6:$AC$83, 5,FALSE),"")</f>
        <v/>
      </c>
      <c r="W1522" s="45" t="str">
        <f>IFERROR(VLOOKUP(B1522,'Pre-Summary'!$Y$6:$AD$83,6,FALSE),"")</f>
        <v/>
      </c>
      <c r="X1522" t="str">
        <f>IFERROR(VLOOKUP('Pre-Summary'!$DB$6:$DD$63,3,FALSE),"")</f>
        <v/>
      </c>
      <c r="Y1522" t="str">
        <f>IFERROR(VLOOKUP(B1522,'Pre-Summary'!$CR$6:$CT$36,3,FALSE),"")</f>
        <v/>
      </c>
      <c r="Z1522" s="45" t="str">
        <f>IFERROR(VLOOKUP(B1522,'Pre-Summary'!$BZ$6:$CB$63,2,FALSE),"")</f>
        <v/>
      </c>
      <c r="AA1522" s="45" t="str">
        <f>IFERROR(VLOOKUP(B1522,'Pre-Summary'!$CG$6:$CI$70,2,FALSE),"")</f>
        <v/>
      </c>
      <c r="AB1522" s="99">
        <f>IFERROR(VLOOKUP(B1522,'Pre-Summary'!$A$6:$P$178,9,FALSE),AB1523)</f>
        <v>0.35181614583388343</v>
      </c>
      <c r="AC1522" s="10">
        <f>IFERROR(VLOOKUP(Summary!B1522,'Pre-Summary'!$A$6:$P$184,5, FALSE)/100,AC1523)</f>
        <v>0.71615799999999996</v>
      </c>
      <c r="AD1522" s="10">
        <f>IFERROR(VLOOKUP(Summary!B1522,'Pre-Summary'!$A$6:$P$184,3, FALSE)/100,AD1523)</f>
        <v>0.24037466666666671</v>
      </c>
      <c r="AE1522" s="10">
        <f>IFERROR(VLOOKUP(Summary!B1522,'Pre-Summary'!$A$6:$P$184,7, FALSE)/100,AE1523)</f>
        <v>4.3467666666666661E-2</v>
      </c>
      <c r="AF1522" s="99">
        <f t="shared" si="70"/>
        <v>8.4567688782771128E-2</v>
      </c>
      <c r="AG1522" s="99">
        <f t="shared" si="71"/>
        <v>1.5292626955058631E-2</v>
      </c>
      <c r="AH1522" s="10" t="str">
        <f>IFERROR(VLOOKUP(B1522,'Pre-Summary'!$AZ$6:$BE$65,3,FALSE),"")</f>
        <v/>
      </c>
      <c r="AI1522" s="10" t="str">
        <f>IFERROR(VLOOKUP(B1522,'Pre-Summary'!$AZ$6:$BE$65,5,FALSE),"")</f>
        <v/>
      </c>
      <c r="AJ1522" s="10" t="str">
        <f>IFERROR(VLOOKUP(B1522,'Pre-Summary'!$AZ$6:$BE$65,4,FALSE),"")</f>
        <v/>
      </c>
      <c r="AK1522" s="10" t="str">
        <f>IFERROR(VLOOKUP(B1522,'Pre-Summary'!$AZ$6:$BE$65,6,FALSE),"")</f>
        <v/>
      </c>
      <c r="AL1522" s="10" t="str">
        <f>IFERROR(VLOOKUP(B1522,'Pre-Summary'!$BG$6:$BL$44,3,FALSE),"")</f>
        <v/>
      </c>
      <c r="AM1522" s="10" t="str">
        <f>IFERROR(VLOOKUP(B1522,'Pre-Summary'!$BG$6:$BL$44,4,FALSE),"")</f>
        <v/>
      </c>
    </row>
    <row r="1523" spans="2:39" ht="15" customHeight="1" x14ac:dyDescent="0.3">
      <c r="B1523">
        <v>152</v>
      </c>
      <c r="C1523" t="str">
        <f>IFERROR(VLOOKUP(B1523,'Pre-Summary'!$DI$6:$DM$23,4,FALSE),"")</f>
        <v/>
      </c>
      <c r="D1523" s="10" t="str">
        <f>IFERROR(VLOOKUP(B1523,'Pre-Summary'!$AT$6:$AX$14,5,FALSE),D1522)</f>
        <v>Wolfe v3: went back to modified wolfe + EDTA and switched CuSO4 to CUCl2</v>
      </c>
      <c r="E1523" s="10" t="str">
        <f>IFERROR(VLOOKUP(B1523,'Pre-Summary'!$AT$6:$AX$15,4,FALSE),"")</f>
        <v/>
      </c>
      <c r="F1523">
        <f>IFERROR(VLOOKUP(B1523,'Pre-Summary'!$AL$6:$AQ$13,6,FALSE),F1522)</f>
        <v>5.3897368421052638E-2</v>
      </c>
      <c r="G1523" t="str">
        <f>IFERROR(VLOOKUP(B1523,'Pre-Summary'!$AE$6:$AJ$85,3,FALSE),"")</f>
        <v/>
      </c>
      <c r="H1523" t="str">
        <f>IFERROR(VLOOKUP(B1523,'Pre-Summary'!$AE$6:$AJ$85,4,FALSE),"")</f>
        <v/>
      </c>
      <c r="I1523" t="str">
        <f>IFERROR(VLOOKUP(B1523,'Pre-Summary'!$AE$6:$AJ$85,5,FALSE),"")</f>
        <v/>
      </c>
      <c r="J1523" s="45" t="str">
        <f>IFERROR(VLOOKUP(B1523,'Pre-Summary'!$AE$6:$AJ$85,6, FALSE),"")</f>
        <v/>
      </c>
      <c r="K1523" s="45" t="str">
        <f>IFERROR(VLOOKUP(B1523,'Pre-Summary'!$DE$6:$DG$61,3,FALSE),"")</f>
        <v/>
      </c>
      <c r="L1523" s="45" t="str">
        <f>IFERROR(VLOOKUP(B1523,'Pre-Summary'!$CU$6:$CW$36,3,FALSE),"")</f>
        <v/>
      </c>
      <c r="M1523" s="45" t="str">
        <f>IFERROR(VLOOKUP(B1523,'Pre-Summary'!$BW$6:$BY$58,2,FALSE),"")</f>
        <v/>
      </c>
      <c r="N1523" s="45" t="str">
        <f>IFERROR(VLOOKUP(B1523,'Pre-Summary'!$CD$6:$CF$64,2,FALSE),"")</f>
        <v/>
      </c>
      <c r="O1523" s="99">
        <f>IFERROR(VLOOKUP(B1523,'Pre-Summary'!$BO$6:$BQ$48,3, FALSE),O1522)</f>
        <v>1</v>
      </c>
      <c r="P1523" s="99">
        <f>IFERROR(VLOOKUP(B1523,'Pre-Summary'!$BS$6:$BU$35,3,FALSE),P1522)</f>
        <v>0.3</v>
      </c>
      <c r="Q1523" s="54">
        <f t="shared" si="69"/>
        <v>3.3333333333333335</v>
      </c>
      <c r="R1523" s="53">
        <f>IFERROR(VLOOKUP(B1523,'Pre-Summary'!$BG$6:$BM$44,7,FALSE),R1524)</f>
        <v>0.10131789275871156</v>
      </c>
      <c r="S1523" s="53">
        <f>IFERROR(VLOOKUP(B1523,'Pre-Summary'!$BG$6:$BM$44,6,FALSE),S1524)</f>
        <v>9.6637565908873055E-2</v>
      </c>
      <c r="T1523" s="45" t="str">
        <f>IFERROR(VLOOKUP(B1523,'Pre-Summary'!$Y$6:$AC$83, 3,FALSE),"")</f>
        <v/>
      </c>
      <c r="U1523" s="45" t="str">
        <f>IFERROR(VLOOKUP(B1523,'Pre-Summary'!$Y$6:$AC$83, 4,FALSE),"")</f>
        <v/>
      </c>
      <c r="V1523" t="str">
        <f>IFERROR(VLOOKUP(B1523,'Pre-Summary'!$Y$6:$AC$83, 5,FALSE),"")</f>
        <v/>
      </c>
      <c r="W1523" s="45" t="str">
        <f>IFERROR(VLOOKUP(B1523,'Pre-Summary'!$Y$6:$AD$83,6,FALSE),"")</f>
        <v/>
      </c>
      <c r="X1523" t="str">
        <f>IFERROR(VLOOKUP('Pre-Summary'!$DB$6:$DD$63,3,FALSE),"")</f>
        <v/>
      </c>
      <c r="Y1523" t="str">
        <f>IFERROR(VLOOKUP(B1523,'Pre-Summary'!$CR$6:$CT$36,3,FALSE),"")</f>
        <v/>
      </c>
      <c r="Z1523" s="45" t="str">
        <f>IFERROR(VLOOKUP(B1523,'Pre-Summary'!$BZ$6:$CB$63,2,FALSE),"")</f>
        <v/>
      </c>
      <c r="AA1523" s="45" t="str">
        <f>IFERROR(VLOOKUP(B1523,'Pre-Summary'!$CG$6:$CI$70,2,FALSE),"")</f>
        <v/>
      </c>
      <c r="AB1523" s="99">
        <f>IFERROR(VLOOKUP(B1523,'Pre-Summary'!$A$6:$P$178,9,FALSE),AB1524)</f>
        <v>0.35181614583388343</v>
      </c>
      <c r="AC1523" s="10">
        <f>IFERROR(VLOOKUP(Summary!B1523,'Pre-Summary'!$A$6:$P$184,5, FALSE)/100,AC1524)</f>
        <v>0.71615799999999996</v>
      </c>
      <c r="AD1523" s="10">
        <f>IFERROR(VLOOKUP(Summary!B1523,'Pre-Summary'!$A$6:$P$184,3, FALSE)/100,AD1524)</f>
        <v>0.24037466666666671</v>
      </c>
      <c r="AE1523" s="10">
        <f>IFERROR(VLOOKUP(Summary!B1523,'Pre-Summary'!$A$6:$P$184,7, FALSE)/100,AE1524)</f>
        <v>4.3467666666666661E-2</v>
      </c>
      <c r="AF1523" s="99">
        <f t="shared" si="70"/>
        <v>8.4567688782771128E-2</v>
      </c>
      <c r="AG1523" s="99">
        <f t="shared" si="71"/>
        <v>1.5292626955058631E-2</v>
      </c>
      <c r="AH1523" s="10" t="str">
        <f>IFERROR(VLOOKUP(B1523,'Pre-Summary'!$AZ$6:$BE$65,3,FALSE),"")</f>
        <v/>
      </c>
      <c r="AI1523" s="10" t="str">
        <f>IFERROR(VLOOKUP(B1523,'Pre-Summary'!$AZ$6:$BE$65,5,FALSE),"")</f>
        <v/>
      </c>
      <c r="AJ1523" s="10" t="str">
        <f>IFERROR(VLOOKUP(B1523,'Pre-Summary'!$AZ$6:$BE$65,4,FALSE),"")</f>
        <v/>
      </c>
      <c r="AK1523" s="10" t="str">
        <f>IFERROR(VLOOKUP(B1523,'Pre-Summary'!$AZ$6:$BE$65,6,FALSE),"")</f>
        <v/>
      </c>
      <c r="AL1523" s="10" t="str">
        <f>IFERROR(VLOOKUP(B1523,'Pre-Summary'!$BG$6:$BL$44,3,FALSE),"")</f>
        <v/>
      </c>
      <c r="AM1523" s="10" t="str">
        <f>IFERROR(VLOOKUP(B1523,'Pre-Summary'!$BG$6:$BL$44,4,FALSE),"")</f>
        <v/>
      </c>
    </row>
    <row r="1524" spans="2:39" ht="15" customHeight="1" x14ac:dyDescent="0.3">
      <c r="B1524">
        <v>152.1</v>
      </c>
      <c r="C1524" t="str">
        <f>IFERROR(VLOOKUP(B1524,'Pre-Summary'!$DI$6:$DM$23,4,FALSE),"")</f>
        <v/>
      </c>
      <c r="D1524" s="10" t="str">
        <f>IFERROR(VLOOKUP(B1524,'Pre-Summary'!$AT$6:$AX$14,5,FALSE),D1523)</f>
        <v>Wolfe v3: went back to modified wolfe + EDTA and switched CuSO4 to CUCl2</v>
      </c>
      <c r="E1524" s="10" t="str">
        <f>IFERROR(VLOOKUP(B1524,'Pre-Summary'!$AT$6:$AX$15,4,FALSE),"")</f>
        <v/>
      </c>
      <c r="F1524">
        <f>IFERROR(VLOOKUP(B1524,'Pre-Summary'!$AL$6:$AQ$13,6,FALSE),F1523)</f>
        <v>5.3897368421052638E-2</v>
      </c>
      <c r="G1524" t="str">
        <f>IFERROR(VLOOKUP(B1524,'Pre-Summary'!$AE$6:$AJ$85,3,FALSE),"")</f>
        <v/>
      </c>
      <c r="H1524" t="str">
        <f>IFERROR(VLOOKUP(B1524,'Pre-Summary'!$AE$6:$AJ$85,4,FALSE),"")</f>
        <v/>
      </c>
      <c r="I1524" t="str">
        <f>IFERROR(VLOOKUP(B1524,'Pre-Summary'!$AE$6:$AJ$85,5,FALSE),"")</f>
        <v/>
      </c>
      <c r="J1524" s="45" t="str">
        <f>IFERROR(VLOOKUP(B1524,'Pre-Summary'!$AE$6:$AJ$85,6, FALSE),"")</f>
        <v/>
      </c>
      <c r="K1524" s="45" t="str">
        <f>IFERROR(VLOOKUP(B1524,'Pre-Summary'!$DE$6:$DG$61,3,FALSE),"")</f>
        <v/>
      </c>
      <c r="L1524" s="45" t="str">
        <f>IFERROR(VLOOKUP(B1524,'Pre-Summary'!$CU$6:$CW$36,3,FALSE),"")</f>
        <v/>
      </c>
      <c r="M1524" s="45" t="str">
        <f>IFERROR(VLOOKUP(B1524,'Pre-Summary'!$BW$6:$BY$58,2,FALSE),"")</f>
        <v/>
      </c>
      <c r="N1524" s="45" t="str">
        <f>IFERROR(VLOOKUP(B1524,'Pre-Summary'!$CD$6:$CF$64,2,FALSE),"")</f>
        <v/>
      </c>
      <c r="O1524" s="99">
        <f>IFERROR(VLOOKUP(B1524,'Pre-Summary'!$BO$6:$BQ$48,3, FALSE),O1523)</f>
        <v>1</v>
      </c>
      <c r="P1524" s="99">
        <f>IFERROR(VLOOKUP(B1524,'Pre-Summary'!$BS$6:$BU$35,3,FALSE),P1523)</f>
        <v>0.3</v>
      </c>
      <c r="Q1524" s="54">
        <f t="shared" si="69"/>
        <v>3.3333333333333335</v>
      </c>
      <c r="R1524" s="53">
        <f>IFERROR(VLOOKUP(B1524,'Pre-Summary'!$BG$6:$BM$44,7,FALSE),R1525)</f>
        <v>0.10131789275871156</v>
      </c>
      <c r="S1524" s="53">
        <f>IFERROR(VLOOKUP(B1524,'Pre-Summary'!$BG$6:$BM$44,6,FALSE),S1525)</f>
        <v>9.6637565908873055E-2</v>
      </c>
      <c r="T1524" s="45" t="str">
        <f>IFERROR(VLOOKUP(B1524,'Pre-Summary'!$Y$6:$AC$83, 3,FALSE),"")</f>
        <v/>
      </c>
      <c r="U1524" s="45" t="str">
        <f>IFERROR(VLOOKUP(B1524,'Pre-Summary'!$Y$6:$AC$83, 4,FALSE),"")</f>
        <v/>
      </c>
      <c r="V1524" t="str">
        <f>IFERROR(VLOOKUP(B1524,'Pre-Summary'!$Y$6:$AC$83, 5,FALSE),"")</f>
        <v/>
      </c>
      <c r="W1524" s="45" t="str">
        <f>IFERROR(VLOOKUP(B1524,'Pre-Summary'!$Y$6:$AD$83,6,FALSE),"")</f>
        <v/>
      </c>
      <c r="X1524" t="str">
        <f>IFERROR(VLOOKUP('Pre-Summary'!$DB$6:$DD$63,3,FALSE),"")</f>
        <v/>
      </c>
      <c r="Y1524" t="str">
        <f>IFERROR(VLOOKUP(B1524,'Pre-Summary'!$CR$6:$CT$36,3,FALSE),"")</f>
        <v/>
      </c>
      <c r="Z1524" s="45" t="str">
        <f>IFERROR(VLOOKUP(B1524,'Pre-Summary'!$BZ$6:$CB$63,2,FALSE),"")</f>
        <v/>
      </c>
      <c r="AA1524" s="45" t="str">
        <f>IFERROR(VLOOKUP(B1524,'Pre-Summary'!$CG$6:$CI$70,2,FALSE),"")</f>
        <v/>
      </c>
      <c r="AB1524" s="99">
        <f>IFERROR(VLOOKUP(B1524,'Pre-Summary'!$A$6:$P$178,9,FALSE),AB1525)</f>
        <v>0.35181614583388343</v>
      </c>
      <c r="AC1524" s="10">
        <f>IFERROR(VLOOKUP(Summary!B1524,'Pre-Summary'!$A$6:$P$184,5, FALSE)/100,AC1525)</f>
        <v>0.71615799999999996</v>
      </c>
      <c r="AD1524" s="10">
        <f>IFERROR(VLOOKUP(Summary!B1524,'Pre-Summary'!$A$6:$P$184,3, FALSE)/100,AD1525)</f>
        <v>0.24037466666666671</v>
      </c>
      <c r="AE1524" s="10">
        <f>IFERROR(VLOOKUP(Summary!B1524,'Pre-Summary'!$A$6:$P$184,7, FALSE)/100,AE1525)</f>
        <v>4.3467666666666661E-2</v>
      </c>
      <c r="AF1524" s="99">
        <f t="shared" si="70"/>
        <v>8.4567688782771128E-2</v>
      </c>
      <c r="AG1524" s="99">
        <f t="shared" si="71"/>
        <v>1.5292626955058631E-2</v>
      </c>
      <c r="AH1524" s="10" t="str">
        <f>IFERROR(VLOOKUP(B1524,'Pre-Summary'!$AZ$6:$BE$65,3,FALSE),"")</f>
        <v/>
      </c>
      <c r="AI1524" s="10" t="str">
        <f>IFERROR(VLOOKUP(B1524,'Pre-Summary'!$AZ$6:$BE$65,5,FALSE),"")</f>
        <v/>
      </c>
      <c r="AJ1524" s="10" t="str">
        <f>IFERROR(VLOOKUP(B1524,'Pre-Summary'!$AZ$6:$BE$65,4,FALSE),"")</f>
        <v/>
      </c>
      <c r="AK1524" s="10" t="str">
        <f>IFERROR(VLOOKUP(B1524,'Pre-Summary'!$AZ$6:$BE$65,6,FALSE),"")</f>
        <v/>
      </c>
      <c r="AL1524" s="10" t="str">
        <f>IFERROR(VLOOKUP(B1524,'Pre-Summary'!$BG$6:$BL$44,3,FALSE),"")</f>
        <v/>
      </c>
      <c r="AM1524" s="10" t="str">
        <f>IFERROR(VLOOKUP(B1524,'Pre-Summary'!$BG$6:$BL$44,4,FALSE),"")</f>
        <v/>
      </c>
    </row>
    <row r="1525" spans="2:39" ht="15" customHeight="1" x14ac:dyDescent="0.3">
      <c r="B1525">
        <v>152.19999999999999</v>
      </c>
      <c r="C1525" t="str">
        <f>IFERROR(VLOOKUP(B1525,'Pre-Summary'!$DI$6:$DM$23,4,FALSE),"")</f>
        <v/>
      </c>
      <c r="D1525" s="10" t="str">
        <f>IFERROR(VLOOKUP(B1525,'Pre-Summary'!$AT$6:$AX$14,5,FALSE),D1524)</f>
        <v>Wolfe v3: went back to modified wolfe + EDTA and switched CuSO4 to CUCl2</v>
      </c>
      <c r="E1525" s="10" t="str">
        <f>IFERROR(VLOOKUP(B1525,'Pre-Summary'!$AT$6:$AX$15,4,FALSE),"")</f>
        <v/>
      </c>
      <c r="F1525">
        <f>IFERROR(VLOOKUP(B1525,'Pre-Summary'!$AL$6:$AQ$13,6,FALSE),F1524)</f>
        <v>5.3897368421052638E-2</v>
      </c>
      <c r="G1525" t="str">
        <f>IFERROR(VLOOKUP(B1525,'Pre-Summary'!$AE$6:$AJ$85,3,FALSE),"")</f>
        <v/>
      </c>
      <c r="H1525" t="str">
        <f>IFERROR(VLOOKUP(B1525,'Pre-Summary'!$AE$6:$AJ$85,4,FALSE),"")</f>
        <v/>
      </c>
      <c r="I1525" t="str">
        <f>IFERROR(VLOOKUP(B1525,'Pre-Summary'!$AE$6:$AJ$85,5,FALSE),"")</f>
        <v/>
      </c>
      <c r="J1525" s="45" t="str">
        <f>IFERROR(VLOOKUP(B1525,'Pre-Summary'!$AE$6:$AJ$85,6, FALSE),"")</f>
        <v/>
      </c>
      <c r="K1525" s="45" t="str">
        <f>IFERROR(VLOOKUP(B1525,'Pre-Summary'!$DE$6:$DG$61,3,FALSE),"")</f>
        <v/>
      </c>
      <c r="L1525" s="45" t="str">
        <f>IFERROR(VLOOKUP(B1525,'Pre-Summary'!$CU$6:$CW$36,3,FALSE),"")</f>
        <v/>
      </c>
      <c r="M1525" s="45" t="str">
        <f>IFERROR(VLOOKUP(B1525,'Pre-Summary'!$BW$6:$BY$58,2,FALSE),"")</f>
        <v/>
      </c>
      <c r="N1525" s="45" t="str">
        <f>IFERROR(VLOOKUP(B1525,'Pre-Summary'!$CD$6:$CF$64,2,FALSE),"")</f>
        <v/>
      </c>
      <c r="O1525" s="99">
        <f>IFERROR(VLOOKUP(B1525,'Pre-Summary'!$BO$6:$BQ$48,3, FALSE),O1524)</f>
        <v>1</v>
      </c>
      <c r="P1525" s="99">
        <f>IFERROR(VLOOKUP(B1525,'Pre-Summary'!$BS$6:$BU$35,3,FALSE),P1524)</f>
        <v>0.3</v>
      </c>
      <c r="Q1525" s="54">
        <f t="shared" si="69"/>
        <v>3.3333333333333335</v>
      </c>
      <c r="R1525" s="53">
        <f>IFERROR(VLOOKUP(B1525,'Pre-Summary'!$BG$6:$BM$44,7,FALSE),R1526)</f>
        <v>0.10131789275871156</v>
      </c>
      <c r="S1525" s="53">
        <f>IFERROR(VLOOKUP(B1525,'Pre-Summary'!$BG$6:$BM$44,6,FALSE),S1526)</f>
        <v>9.6637565908873055E-2</v>
      </c>
      <c r="T1525" s="45" t="str">
        <f>IFERROR(VLOOKUP(B1525,'Pre-Summary'!$Y$6:$AC$83, 3,FALSE),"")</f>
        <v/>
      </c>
      <c r="U1525" s="45" t="str">
        <f>IFERROR(VLOOKUP(B1525,'Pre-Summary'!$Y$6:$AC$83, 4,FALSE),"")</f>
        <v/>
      </c>
      <c r="V1525" t="str">
        <f>IFERROR(VLOOKUP(B1525,'Pre-Summary'!$Y$6:$AC$83, 5,FALSE),"")</f>
        <v/>
      </c>
      <c r="W1525" s="45" t="str">
        <f>IFERROR(VLOOKUP(B1525,'Pre-Summary'!$Y$6:$AD$83,6,FALSE),"")</f>
        <v/>
      </c>
      <c r="X1525" t="str">
        <f>IFERROR(VLOOKUP('Pre-Summary'!$DB$6:$DD$63,3,FALSE),"")</f>
        <v/>
      </c>
      <c r="Y1525" t="str">
        <f>IFERROR(VLOOKUP(B1525,'Pre-Summary'!$CR$6:$CT$36,3,FALSE),"")</f>
        <v/>
      </c>
      <c r="Z1525" s="45" t="str">
        <f>IFERROR(VLOOKUP(B1525,'Pre-Summary'!$BZ$6:$CB$63,2,FALSE),"")</f>
        <v/>
      </c>
      <c r="AA1525" s="45" t="str">
        <f>IFERROR(VLOOKUP(B1525,'Pre-Summary'!$CG$6:$CI$70,2,FALSE),"")</f>
        <v/>
      </c>
      <c r="AB1525" s="99">
        <f>IFERROR(VLOOKUP(B1525,'Pre-Summary'!$A$6:$P$178,9,FALSE),AB1526)</f>
        <v>0.35181614583388343</v>
      </c>
      <c r="AC1525" s="10">
        <f>IFERROR(VLOOKUP(Summary!B1525,'Pre-Summary'!$A$6:$P$184,5, FALSE)/100,AC1526)</f>
        <v>0.71615799999999996</v>
      </c>
      <c r="AD1525" s="10">
        <f>IFERROR(VLOOKUP(Summary!B1525,'Pre-Summary'!$A$6:$P$184,3, FALSE)/100,AD1526)</f>
        <v>0.24037466666666671</v>
      </c>
      <c r="AE1525" s="10">
        <f>IFERROR(VLOOKUP(Summary!B1525,'Pre-Summary'!$A$6:$P$184,7, FALSE)/100,AE1526)</f>
        <v>4.3467666666666661E-2</v>
      </c>
      <c r="AF1525" s="99">
        <f t="shared" si="70"/>
        <v>8.4567688782771128E-2</v>
      </c>
      <c r="AG1525" s="99">
        <f t="shared" si="71"/>
        <v>1.5292626955058631E-2</v>
      </c>
      <c r="AH1525" s="10" t="str">
        <f>IFERROR(VLOOKUP(B1525,'Pre-Summary'!$AZ$6:$BE$65,3,FALSE),"")</f>
        <v/>
      </c>
      <c r="AI1525" s="10" t="str">
        <f>IFERROR(VLOOKUP(B1525,'Pre-Summary'!$AZ$6:$BE$65,5,FALSE),"")</f>
        <v/>
      </c>
      <c r="AJ1525" s="10" t="str">
        <f>IFERROR(VLOOKUP(B1525,'Pre-Summary'!$AZ$6:$BE$65,4,FALSE),"")</f>
        <v/>
      </c>
      <c r="AK1525" s="10" t="str">
        <f>IFERROR(VLOOKUP(B1525,'Pre-Summary'!$AZ$6:$BE$65,6,FALSE),"")</f>
        <v/>
      </c>
      <c r="AL1525" s="10" t="str">
        <f>IFERROR(VLOOKUP(B1525,'Pre-Summary'!$BG$6:$BL$44,3,FALSE),"")</f>
        <v/>
      </c>
      <c r="AM1525" s="10" t="str">
        <f>IFERROR(VLOOKUP(B1525,'Pre-Summary'!$BG$6:$BL$44,4,FALSE),"")</f>
        <v/>
      </c>
    </row>
    <row r="1526" spans="2:39" ht="15" customHeight="1" x14ac:dyDescent="0.3">
      <c r="B1526">
        <v>152.30000000000001</v>
      </c>
      <c r="C1526" t="str">
        <f>IFERROR(VLOOKUP(B1526,'Pre-Summary'!$DI$6:$DM$23,4,FALSE),"")</f>
        <v/>
      </c>
      <c r="D1526" s="10" t="str">
        <f>IFERROR(VLOOKUP(B1526,'Pre-Summary'!$AT$6:$AX$14,5,FALSE),D1525)</f>
        <v>Wolfe v3: went back to modified wolfe + EDTA and switched CuSO4 to CUCl2</v>
      </c>
      <c r="E1526" s="10" t="str">
        <f>IFERROR(VLOOKUP(B1526,'Pre-Summary'!$AT$6:$AX$15,4,FALSE),"")</f>
        <v/>
      </c>
      <c r="F1526">
        <f>IFERROR(VLOOKUP(B1526,'Pre-Summary'!$AL$6:$AQ$13,6,FALSE),F1525)</f>
        <v>5.3897368421052638E-2</v>
      </c>
      <c r="G1526" t="str">
        <f>IFERROR(VLOOKUP(B1526,'Pre-Summary'!$AE$6:$AJ$85,3,FALSE),"")</f>
        <v/>
      </c>
      <c r="H1526" t="str">
        <f>IFERROR(VLOOKUP(B1526,'Pre-Summary'!$AE$6:$AJ$85,4,FALSE),"")</f>
        <v/>
      </c>
      <c r="I1526" t="str">
        <f>IFERROR(VLOOKUP(B1526,'Pre-Summary'!$AE$6:$AJ$85,5,FALSE),"")</f>
        <v/>
      </c>
      <c r="J1526" s="45" t="str">
        <f>IFERROR(VLOOKUP(B1526,'Pre-Summary'!$AE$6:$AJ$85,6, FALSE),"")</f>
        <v/>
      </c>
      <c r="K1526" s="45" t="str">
        <f>IFERROR(VLOOKUP(B1526,'Pre-Summary'!$DE$6:$DG$61,3,FALSE),"")</f>
        <v/>
      </c>
      <c r="L1526" s="45" t="str">
        <f>IFERROR(VLOOKUP(B1526,'Pre-Summary'!$CU$6:$CW$36,3,FALSE),"")</f>
        <v/>
      </c>
      <c r="M1526" s="45" t="str">
        <f>IFERROR(VLOOKUP(B1526,'Pre-Summary'!$BW$6:$BY$58,2,FALSE),"")</f>
        <v/>
      </c>
      <c r="N1526" s="45" t="str">
        <f>IFERROR(VLOOKUP(B1526,'Pre-Summary'!$CD$6:$CF$64,2,FALSE),"")</f>
        <v/>
      </c>
      <c r="O1526" s="99">
        <f>IFERROR(VLOOKUP(B1526,'Pre-Summary'!$BO$6:$BQ$48,3, FALSE),O1525)</f>
        <v>1</v>
      </c>
      <c r="P1526" s="99">
        <f>IFERROR(VLOOKUP(B1526,'Pre-Summary'!$BS$6:$BU$35,3,FALSE),P1525)</f>
        <v>0.3</v>
      </c>
      <c r="Q1526" s="54">
        <f t="shared" si="69"/>
        <v>3.3333333333333335</v>
      </c>
      <c r="R1526" s="53">
        <f>IFERROR(VLOOKUP(B1526,'Pre-Summary'!$BG$6:$BM$44,7,FALSE),R1527)</f>
        <v>0.10131789275871156</v>
      </c>
      <c r="S1526" s="53">
        <f>IFERROR(VLOOKUP(B1526,'Pre-Summary'!$BG$6:$BM$44,6,FALSE),S1527)</f>
        <v>9.6637565908873055E-2</v>
      </c>
      <c r="T1526" s="45" t="str">
        <f>IFERROR(VLOOKUP(B1526,'Pre-Summary'!$Y$6:$AC$83, 3,FALSE),"")</f>
        <v/>
      </c>
      <c r="U1526" s="45" t="str">
        <f>IFERROR(VLOOKUP(B1526,'Pre-Summary'!$Y$6:$AC$83, 4,FALSE),"")</f>
        <v/>
      </c>
      <c r="V1526" t="str">
        <f>IFERROR(VLOOKUP(B1526,'Pre-Summary'!$Y$6:$AC$83, 5,FALSE),"")</f>
        <v/>
      </c>
      <c r="W1526" s="45" t="str">
        <f>IFERROR(VLOOKUP(B1526,'Pre-Summary'!$Y$6:$AD$83,6,FALSE),"")</f>
        <v/>
      </c>
      <c r="X1526" t="str">
        <f>IFERROR(VLOOKUP('Pre-Summary'!$DB$6:$DD$63,3,FALSE),"")</f>
        <v/>
      </c>
      <c r="Y1526" t="str">
        <f>IFERROR(VLOOKUP(B1526,'Pre-Summary'!$CR$6:$CT$36,3,FALSE),"")</f>
        <v/>
      </c>
      <c r="Z1526" s="45" t="str">
        <f>IFERROR(VLOOKUP(B1526,'Pre-Summary'!$BZ$6:$CB$63,2,FALSE),"")</f>
        <v/>
      </c>
      <c r="AA1526" s="45" t="str">
        <f>IFERROR(VLOOKUP(B1526,'Pre-Summary'!$CG$6:$CI$70,2,FALSE),"")</f>
        <v/>
      </c>
      <c r="AB1526" s="99">
        <f>IFERROR(VLOOKUP(B1526,'Pre-Summary'!$A$6:$P$178,9,FALSE),AB1527)</f>
        <v>0.35181614583388343</v>
      </c>
      <c r="AC1526" s="10">
        <f>IFERROR(VLOOKUP(Summary!B1526,'Pre-Summary'!$A$6:$P$184,5, FALSE)/100,AC1527)</f>
        <v>0.71615799999999996</v>
      </c>
      <c r="AD1526" s="10">
        <f>IFERROR(VLOOKUP(Summary!B1526,'Pre-Summary'!$A$6:$P$184,3, FALSE)/100,AD1527)</f>
        <v>0.24037466666666671</v>
      </c>
      <c r="AE1526" s="10">
        <f>IFERROR(VLOOKUP(Summary!B1526,'Pre-Summary'!$A$6:$P$184,7, FALSE)/100,AE1527)</f>
        <v>4.3467666666666661E-2</v>
      </c>
      <c r="AF1526" s="99">
        <f t="shared" si="70"/>
        <v>8.4567688782771128E-2</v>
      </c>
      <c r="AG1526" s="99">
        <f t="shared" si="71"/>
        <v>1.5292626955058631E-2</v>
      </c>
      <c r="AH1526" s="10" t="str">
        <f>IFERROR(VLOOKUP(B1526,'Pre-Summary'!$AZ$6:$BE$65,3,FALSE),"")</f>
        <v/>
      </c>
      <c r="AI1526" s="10" t="str">
        <f>IFERROR(VLOOKUP(B1526,'Pre-Summary'!$AZ$6:$BE$65,5,FALSE),"")</f>
        <v/>
      </c>
      <c r="AJ1526" s="10" t="str">
        <f>IFERROR(VLOOKUP(B1526,'Pre-Summary'!$AZ$6:$BE$65,4,FALSE),"")</f>
        <v/>
      </c>
      <c r="AK1526" s="10" t="str">
        <f>IFERROR(VLOOKUP(B1526,'Pre-Summary'!$AZ$6:$BE$65,6,FALSE),"")</f>
        <v/>
      </c>
      <c r="AL1526" s="10" t="str">
        <f>IFERROR(VLOOKUP(B1526,'Pre-Summary'!$BG$6:$BL$44,3,FALSE),"")</f>
        <v/>
      </c>
      <c r="AM1526" s="10" t="str">
        <f>IFERROR(VLOOKUP(B1526,'Pre-Summary'!$BG$6:$BL$44,4,FALSE),"")</f>
        <v/>
      </c>
    </row>
    <row r="1527" spans="2:39" ht="15" customHeight="1" x14ac:dyDescent="0.3">
      <c r="B1527">
        <v>152.4</v>
      </c>
      <c r="C1527" t="str">
        <f>IFERROR(VLOOKUP(B1527,'Pre-Summary'!$DI$6:$DM$23,4,FALSE),"")</f>
        <v/>
      </c>
      <c r="D1527" s="10" t="str">
        <f>IFERROR(VLOOKUP(B1527,'Pre-Summary'!$AT$6:$AX$14,5,FALSE),D1526)</f>
        <v>Wolfe v3: went back to modified wolfe + EDTA and switched CuSO4 to CUCl2</v>
      </c>
      <c r="E1527" s="10" t="str">
        <f>IFERROR(VLOOKUP(B1527,'Pre-Summary'!$AT$6:$AX$15,4,FALSE),"")</f>
        <v/>
      </c>
      <c r="F1527">
        <f>IFERROR(VLOOKUP(B1527,'Pre-Summary'!$AL$6:$AQ$13,6,FALSE),F1526)</f>
        <v>5.3897368421052638E-2</v>
      </c>
      <c r="G1527" t="str">
        <f>IFERROR(VLOOKUP(B1527,'Pre-Summary'!$AE$6:$AJ$85,3,FALSE),"")</f>
        <v/>
      </c>
      <c r="H1527" t="str">
        <f>IFERROR(VLOOKUP(B1527,'Pre-Summary'!$AE$6:$AJ$85,4,FALSE),"")</f>
        <v/>
      </c>
      <c r="I1527" t="str">
        <f>IFERROR(VLOOKUP(B1527,'Pre-Summary'!$AE$6:$AJ$85,5,FALSE),"")</f>
        <v/>
      </c>
      <c r="J1527" s="45" t="str">
        <f>IFERROR(VLOOKUP(B1527,'Pre-Summary'!$AE$6:$AJ$85,6, FALSE),"")</f>
        <v/>
      </c>
      <c r="K1527" s="45" t="str">
        <f>IFERROR(VLOOKUP(B1527,'Pre-Summary'!$DE$6:$DG$61,3,FALSE),"")</f>
        <v/>
      </c>
      <c r="L1527" s="45" t="str">
        <f>IFERROR(VLOOKUP(B1527,'Pre-Summary'!$CU$6:$CW$36,3,FALSE),"")</f>
        <v/>
      </c>
      <c r="M1527" s="45" t="str">
        <f>IFERROR(VLOOKUP(B1527,'Pre-Summary'!$BW$6:$BY$58,2,FALSE),"")</f>
        <v/>
      </c>
      <c r="N1527" s="45" t="str">
        <f>IFERROR(VLOOKUP(B1527,'Pre-Summary'!$CD$6:$CF$64,2,FALSE),"")</f>
        <v/>
      </c>
      <c r="O1527" s="99">
        <f>IFERROR(VLOOKUP(B1527,'Pre-Summary'!$BO$6:$BQ$48,3, FALSE),O1526)</f>
        <v>1</v>
      </c>
      <c r="P1527" s="99">
        <f>IFERROR(VLOOKUP(B1527,'Pre-Summary'!$BS$6:$BU$35,3,FALSE),P1526)</f>
        <v>0.3</v>
      </c>
      <c r="Q1527" s="54">
        <f t="shared" si="69"/>
        <v>3.3333333333333335</v>
      </c>
      <c r="R1527" s="53">
        <f>IFERROR(VLOOKUP(B1527,'Pre-Summary'!$BG$6:$BM$44,7,FALSE),R1528)</f>
        <v>0.10131789275871156</v>
      </c>
      <c r="S1527" s="53">
        <f>IFERROR(VLOOKUP(B1527,'Pre-Summary'!$BG$6:$BM$44,6,FALSE),S1528)</f>
        <v>9.6637565908873055E-2</v>
      </c>
      <c r="T1527" s="45" t="str">
        <f>IFERROR(VLOOKUP(B1527,'Pre-Summary'!$Y$6:$AC$83, 3,FALSE),"")</f>
        <v/>
      </c>
      <c r="U1527" s="45" t="str">
        <f>IFERROR(VLOOKUP(B1527,'Pre-Summary'!$Y$6:$AC$83, 4,FALSE),"")</f>
        <v/>
      </c>
      <c r="V1527" t="str">
        <f>IFERROR(VLOOKUP(B1527,'Pre-Summary'!$Y$6:$AC$83, 5,FALSE),"")</f>
        <v/>
      </c>
      <c r="W1527" s="45" t="str">
        <f>IFERROR(VLOOKUP(B1527,'Pre-Summary'!$Y$6:$AD$83,6,FALSE),"")</f>
        <v/>
      </c>
      <c r="X1527" t="str">
        <f>IFERROR(VLOOKUP('Pre-Summary'!$DB$6:$DD$63,3,FALSE),"")</f>
        <v/>
      </c>
      <c r="Y1527" t="str">
        <f>IFERROR(VLOOKUP(B1527,'Pre-Summary'!$CR$6:$CT$36,3,FALSE),"")</f>
        <v/>
      </c>
      <c r="Z1527" s="45" t="str">
        <f>IFERROR(VLOOKUP(B1527,'Pre-Summary'!$BZ$6:$CB$63,2,FALSE),"")</f>
        <v/>
      </c>
      <c r="AA1527" s="45" t="str">
        <f>IFERROR(VLOOKUP(B1527,'Pre-Summary'!$CG$6:$CI$70,2,FALSE),"")</f>
        <v/>
      </c>
      <c r="AB1527" s="99">
        <f>IFERROR(VLOOKUP(B1527,'Pre-Summary'!$A$6:$P$178,9,FALSE),AB1528)</f>
        <v>0.35181614583388343</v>
      </c>
      <c r="AC1527" s="10">
        <f>IFERROR(VLOOKUP(Summary!B1527,'Pre-Summary'!$A$6:$P$184,5, FALSE)/100,AC1528)</f>
        <v>0.71615799999999996</v>
      </c>
      <c r="AD1527" s="10">
        <f>IFERROR(VLOOKUP(Summary!B1527,'Pre-Summary'!$A$6:$P$184,3, FALSE)/100,AD1528)</f>
        <v>0.24037466666666671</v>
      </c>
      <c r="AE1527" s="10">
        <f>IFERROR(VLOOKUP(Summary!B1527,'Pre-Summary'!$A$6:$P$184,7, FALSE)/100,AE1528)</f>
        <v>4.3467666666666661E-2</v>
      </c>
      <c r="AF1527" s="99">
        <f t="shared" si="70"/>
        <v>8.4567688782771128E-2</v>
      </c>
      <c r="AG1527" s="99">
        <f t="shared" si="71"/>
        <v>1.5292626955058631E-2</v>
      </c>
      <c r="AH1527" s="10" t="str">
        <f>IFERROR(VLOOKUP(B1527,'Pre-Summary'!$AZ$6:$BE$65,3,FALSE),"")</f>
        <v/>
      </c>
      <c r="AI1527" s="10" t="str">
        <f>IFERROR(VLOOKUP(B1527,'Pre-Summary'!$AZ$6:$BE$65,5,FALSE),"")</f>
        <v/>
      </c>
      <c r="AJ1527" s="10" t="str">
        <f>IFERROR(VLOOKUP(B1527,'Pre-Summary'!$AZ$6:$BE$65,4,FALSE),"")</f>
        <v/>
      </c>
      <c r="AK1527" s="10" t="str">
        <f>IFERROR(VLOOKUP(B1527,'Pre-Summary'!$AZ$6:$BE$65,6,FALSE),"")</f>
        <v/>
      </c>
      <c r="AL1527" s="10" t="str">
        <f>IFERROR(VLOOKUP(B1527,'Pre-Summary'!$BG$6:$BL$44,3,FALSE),"")</f>
        <v/>
      </c>
      <c r="AM1527" s="10" t="str">
        <f>IFERROR(VLOOKUP(B1527,'Pre-Summary'!$BG$6:$BL$44,4,FALSE),"")</f>
        <v/>
      </c>
    </row>
    <row r="1528" spans="2:39" ht="15" customHeight="1" x14ac:dyDescent="0.3">
      <c r="B1528">
        <v>152.5</v>
      </c>
      <c r="C1528" t="str">
        <f>IFERROR(VLOOKUP(B1528,'Pre-Summary'!$DI$6:$DM$23,4,FALSE),"")</f>
        <v/>
      </c>
      <c r="D1528" s="10" t="str">
        <f>IFERROR(VLOOKUP(B1528,'Pre-Summary'!$AT$6:$AX$14,5,FALSE),D1527)</f>
        <v>Wolfe v3: went back to modified wolfe + EDTA and switched CuSO4 to CUCl2</v>
      </c>
      <c r="E1528" s="10" t="str">
        <f>IFERROR(VLOOKUP(B1528,'Pre-Summary'!$AT$6:$AX$15,4,FALSE),"")</f>
        <v/>
      </c>
      <c r="F1528">
        <f>IFERROR(VLOOKUP(B1528,'Pre-Summary'!$AL$6:$AQ$13,6,FALSE),F1527)</f>
        <v>5.3897368421052638E-2</v>
      </c>
      <c r="G1528" t="str">
        <f>IFERROR(VLOOKUP(B1528,'Pre-Summary'!$AE$6:$AJ$85,3,FALSE),"")</f>
        <v/>
      </c>
      <c r="H1528" t="str">
        <f>IFERROR(VLOOKUP(B1528,'Pre-Summary'!$AE$6:$AJ$85,4,FALSE),"")</f>
        <v/>
      </c>
      <c r="I1528" t="str">
        <f>IFERROR(VLOOKUP(B1528,'Pre-Summary'!$AE$6:$AJ$85,5,FALSE),"")</f>
        <v/>
      </c>
      <c r="J1528" s="45" t="str">
        <f>IFERROR(VLOOKUP(B1528,'Pre-Summary'!$AE$6:$AJ$85,6, FALSE),"")</f>
        <v/>
      </c>
      <c r="K1528" s="45" t="str">
        <f>IFERROR(VLOOKUP(B1528,'Pre-Summary'!$DE$6:$DG$61,3,FALSE),"")</f>
        <v/>
      </c>
      <c r="L1528" s="45" t="str">
        <f>IFERROR(VLOOKUP(B1528,'Pre-Summary'!$CU$6:$CW$36,3,FALSE),"")</f>
        <v/>
      </c>
      <c r="M1528" s="45" t="str">
        <f>IFERROR(VLOOKUP(B1528,'Pre-Summary'!$BW$6:$BY$58,2,FALSE),"")</f>
        <v/>
      </c>
      <c r="N1528" s="45" t="str">
        <f>IFERROR(VLOOKUP(B1528,'Pre-Summary'!$CD$6:$CF$64,2,FALSE),"")</f>
        <v/>
      </c>
      <c r="O1528" s="99">
        <f>IFERROR(VLOOKUP(B1528,'Pre-Summary'!$BO$6:$BQ$48,3, FALSE),O1527)</f>
        <v>1</v>
      </c>
      <c r="P1528" s="99">
        <f>IFERROR(VLOOKUP(B1528,'Pre-Summary'!$BS$6:$BU$35,3,FALSE),P1527)</f>
        <v>0.3</v>
      </c>
      <c r="Q1528" s="54">
        <f t="shared" si="69"/>
        <v>3.3333333333333335</v>
      </c>
      <c r="R1528" s="53">
        <f>IFERROR(VLOOKUP(B1528,'Pre-Summary'!$BG$6:$BM$44,7,FALSE),R1529)</f>
        <v>0.10131789275871156</v>
      </c>
      <c r="S1528" s="53">
        <f>IFERROR(VLOOKUP(B1528,'Pre-Summary'!$BG$6:$BM$44,6,FALSE),S1529)</f>
        <v>9.6637565908873055E-2</v>
      </c>
      <c r="T1528" s="45" t="str">
        <f>IFERROR(VLOOKUP(B1528,'Pre-Summary'!$Y$6:$AC$83, 3,FALSE),"")</f>
        <v/>
      </c>
      <c r="U1528" s="45" t="str">
        <f>IFERROR(VLOOKUP(B1528,'Pre-Summary'!$Y$6:$AC$83, 4,FALSE),"")</f>
        <v/>
      </c>
      <c r="V1528" t="str">
        <f>IFERROR(VLOOKUP(B1528,'Pre-Summary'!$Y$6:$AC$83, 5,FALSE),"")</f>
        <v/>
      </c>
      <c r="W1528" s="45" t="str">
        <f>IFERROR(VLOOKUP(B1528,'Pre-Summary'!$Y$6:$AD$83,6,FALSE),"")</f>
        <v/>
      </c>
      <c r="X1528" t="str">
        <f>IFERROR(VLOOKUP('Pre-Summary'!$DB$6:$DD$63,3,FALSE),"")</f>
        <v/>
      </c>
      <c r="Y1528" t="str">
        <f>IFERROR(VLOOKUP(B1528,'Pre-Summary'!$CR$6:$CT$36,3,FALSE),"")</f>
        <v/>
      </c>
      <c r="Z1528" s="45" t="str">
        <f>IFERROR(VLOOKUP(B1528,'Pre-Summary'!$BZ$6:$CB$63,2,FALSE),"")</f>
        <v/>
      </c>
      <c r="AA1528" s="45" t="str">
        <f>IFERROR(VLOOKUP(B1528,'Pre-Summary'!$CG$6:$CI$70,2,FALSE),"")</f>
        <v/>
      </c>
      <c r="AB1528" s="99">
        <f>IFERROR(VLOOKUP(B1528,'Pre-Summary'!$A$6:$P$178,9,FALSE),AB1529)</f>
        <v>0.35181614583388343</v>
      </c>
      <c r="AC1528" s="10">
        <f>IFERROR(VLOOKUP(Summary!B1528,'Pre-Summary'!$A$6:$P$184,5, FALSE)/100,AC1529)</f>
        <v>0.71615799999999996</v>
      </c>
      <c r="AD1528" s="10">
        <f>IFERROR(VLOOKUP(Summary!B1528,'Pre-Summary'!$A$6:$P$184,3, FALSE)/100,AD1529)</f>
        <v>0.24037466666666671</v>
      </c>
      <c r="AE1528" s="10">
        <f>IFERROR(VLOOKUP(Summary!B1528,'Pre-Summary'!$A$6:$P$184,7, FALSE)/100,AE1529)</f>
        <v>4.3467666666666661E-2</v>
      </c>
      <c r="AF1528" s="99">
        <f t="shared" si="70"/>
        <v>8.4567688782771128E-2</v>
      </c>
      <c r="AG1528" s="99">
        <f t="shared" si="71"/>
        <v>1.5292626955058631E-2</v>
      </c>
      <c r="AH1528" s="10" t="str">
        <f>IFERROR(VLOOKUP(B1528,'Pre-Summary'!$AZ$6:$BE$65,3,FALSE),"")</f>
        <v/>
      </c>
      <c r="AI1528" s="10" t="str">
        <f>IFERROR(VLOOKUP(B1528,'Pre-Summary'!$AZ$6:$BE$65,5,FALSE),"")</f>
        <v/>
      </c>
      <c r="AJ1528" s="10" t="str">
        <f>IFERROR(VLOOKUP(B1528,'Pre-Summary'!$AZ$6:$BE$65,4,FALSE),"")</f>
        <v/>
      </c>
      <c r="AK1528" s="10" t="str">
        <f>IFERROR(VLOOKUP(B1528,'Pre-Summary'!$AZ$6:$BE$65,6,FALSE),"")</f>
        <v/>
      </c>
      <c r="AL1528" s="10" t="str">
        <f>IFERROR(VLOOKUP(B1528,'Pre-Summary'!$BG$6:$BL$44,3,FALSE),"")</f>
        <v/>
      </c>
      <c r="AM1528" s="10" t="str">
        <f>IFERROR(VLOOKUP(B1528,'Pre-Summary'!$BG$6:$BL$44,4,FALSE),"")</f>
        <v/>
      </c>
    </row>
    <row r="1529" spans="2:39" ht="15" customHeight="1" x14ac:dyDescent="0.3">
      <c r="B1529">
        <v>152.6</v>
      </c>
      <c r="C1529" t="str">
        <f>IFERROR(VLOOKUP(B1529,'Pre-Summary'!$DI$6:$DM$23,4,FALSE),"")</f>
        <v/>
      </c>
      <c r="D1529" s="10" t="str">
        <f>IFERROR(VLOOKUP(B1529,'Pre-Summary'!$AT$6:$AX$14,5,FALSE),D1528)</f>
        <v>Wolfe v3: went back to modified wolfe + EDTA and switched CuSO4 to CUCl2</v>
      </c>
      <c r="E1529" s="10" t="str">
        <f>IFERROR(VLOOKUP(B1529,'Pre-Summary'!$AT$6:$AX$15,4,FALSE),"")</f>
        <v/>
      </c>
      <c r="F1529">
        <f>IFERROR(VLOOKUP(B1529,'Pre-Summary'!$AL$6:$AQ$13,6,FALSE),F1528)</f>
        <v>5.3897368421052638E-2</v>
      </c>
      <c r="G1529" t="str">
        <f>IFERROR(VLOOKUP(B1529,'Pre-Summary'!$AE$6:$AJ$85,3,FALSE),"")</f>
        <v/>
      </c>
      <c r="H1529" t="str">
        <f>IFERROR(VLOOKUP(B1529,'Pre-Summary'!$AE$6:$AJ$85,4,FALSE),"")</f>
        <v/>
      </c>
      <c r="I1529" t="str">
        <f>IFERROR(VLOOKUP(B1529,'Pre-Summary'!$AE$6:$AJ$85,5,FALSE),"")</f>
        <v/>
      </c>
      <c r="J1529" s="45" t="str">
        <f>IFERROR(VLOOKUP(B1529,'Pre-Summary'!$AE$6:$AJ$85,6, FALSE),"")</f>
        <v/>
      </c>
      <c r="K1529" s="45" t="str">
        <f>IFERROR(VLOOKUP(B1529,'Pre-Summary'!$DE$6:$DG$61,3,FALSE),"")</f>
        <v/>
      </c>
      <c r="L1529" s="45" t="str">
        <f>IFERROR(VLOOKUP(B1529,'Pre-Summary'!$CU$6:$CW$36,3,FALSE),"")</f>
        <v/>
      </c>
      <c r="M1529" s="45" t="str">
        <f>IFERROR(VLOOKUP(B1529,'Pre-Summary'!$BW$6:$BY$58,2,FALSE),"")</f>
        <v/>
      </c>
      <c r="N1529" s="45" t="str">
        <f>IFERROR(VLOOKUP(B1529,'Pre-Summary'!$CD$6:$CF$64,2,FALSE),"")</f>
        <v/>
      </c>
      <c r="O1529" s="99">
        <f>IFERROR(VLOOKUP(B1529,'Pre-Summary'!$BO$6:$BQ$48,3, FALSE),O1528)</f>
        <v>1</v>
      </c>
      <c r="P1529" s="99">
        <f>IFERROR(VLOOKUP(B1529,'Pre-Summary'!$BS$6:$BU$35,3,FALSE),P1528)</f>
        <v>0.3</v>
      </c>
      <c r="Q1529" s="54">
        <f t="shared" si="69"/>
        <v>3.3333333333333335</v>
      </c>
      <c r="R1529" s="53">
        <f>IFERROR(VLOOKUP(B1529,'Pre-Summary'!$BG$6:$BM$44,7,FALSE),R1530)</f>
        <v>0.10131789275871156</v>
      </c>
      <c r="S1529" s="53">
        <f>IFERROR(VLOOKUP(B1529,'Pre-Summary'!$BG$6:$BM$44,6,FALSE),S1530)</f>
        <v>9.6637565908873055E-2</v>
      </c>
      <c r="T1529" s="45" t="str">
        <f>IFERROR(VLOOKUP(B1529,'Pre-Summary'!$Y$6:$AC$83, 3,FALSE),"")</f>
        <v/>
      </c>
      <c r="U1529" s="45" t="str">
        <f>IFERROR(VLOOKUP(B1529,'Pre-Summary'!$Y$6:$AC$83, 4,FALSE),"")</f>
        <v/>
      </c>
      <c r="V1529" t="str">
        <f>IFERROR(VLOOKUP(B1529,'Pre-Summary'!$Y$6:$AC$83, 5,FALSE),"")</f>
        <v/>
      </c>
      <c r="W1529" s="45" t="str">
        <f>IFERROR(VLOOKUP(B1529,'Pre-Summary'!$Y$6:$AD$83,6,FALSE),"")</f>
        <v/>
      </c>
      <c r="X1529" t="str">
        <f>IFERROR(VLOOKUP('Pre-Summary'!$DB$6:$DD$63,3,FALSE),"")</f>
        <v/>
      </c>
      <c r="Y1529" t="str">
        <f>IFERROR(VLOOKUP(B1529,'Pre-Summary'!$CR$6:$CT$36,3,FALSE),"")</f>
        <v/>
      </c>
      <c r="Z1529" s="45" t="str">
        <f>IFERROR(VLOOKUP(B1529,'Pre-Summary'!$BZ$6:$CB$63,2,FALSE),"")</f>
        <v/>
      </c>
      <c r="AA1529" s="45" t="str">
        <f>IFERROR(VLOOKUP(B1529,'Pre-Summary'!$CG$6:$CI$70,2,FALSE),"")</f>
        <v/>
      </c>
      <c r="AB1529" s="99">
        <f>IFERROR(VLOOKUP(B1529,'Pre-Summary'!$A$6:$P$178,9,FALSE),AB1530)</f>
        <v>0.35181614583388343</v>
      </c>
      <c r="AC1529" s="10">
        <f>IFERROR(VLOOKUP(Summary!B1529,'Pre-Summary'!$A$6:$P$184,5, FALSE)/100,AC1530)</f>
        <v>0.71615799999999996</v>
      </c>
      <c r="AD1529" s="10">
        <f>IFERROR(VLOOKUP(Summary!B1529,'Pre-Summary'!$A$6:$P$184,3, FALSE)/100,AD1530)</f>
        <v>0.24037466666666671</v>
      </c>
      <c r="AE1529" s="10">
        <f>IFERROR(VLOOKUP(Summary!B1529,'Pre-Summary'!$A$6:$P$184,7, FALSE)/100,AE1530)</f>
        <v>4.3467666666666661E-2</v>
      </c>
      <c r="AF1529" s="99">
        <f t="shared" si="70"/>
        <v>8.4567688782771128E-2</v>
      </c>
      <c r="AG1529" s="99">
        <f t="shared" si="71"/>
        <v>1.5292626955058631E-2</v>
      </c>
      <c r="AH1529" s="10" t="str">
        <f>IFERROR(VLOOKUP(B1529,'Pre-Summary'!$AZ$6:$BE$65,3,FALSE),"")</f>
        <v/>
      </c>
      <c r="AI1529" s="10" t="str">
        <f>IFERROR(VLOOKUP(B1529,'Pre-Summary'!$AZ$6:$BE$65,5,FALSE),"")</f>
        <v/>
      </c>
      <c r="AJ1529" s="10" t="str">
        <f>IFERROR(VLOOKUP(B1529,'Pre-Summary'!$AZ$6:$BE$65,4,FALSE),"")</f>
        <v/>
      </c>
      <c r="AK1529" s="10" t="str">
        <f>IFERROR(VLOOKUP(B1529,'Pre-Summary'!$AZ$6:$BE$65,6,FALSE),"")</f>
        <v/>
      </c>
      <c r="AL1529" s="10" t="str">
        <f>IFERROR(VLOOKUP(B1529,'Pre-Summary'!$BG$6:$BL$44,3,FALSE),"")</f>
        <v/>
      </c>
      <c r="AM1529" s="10" t="str">
        <f>IFERROR(VLOOKUP(B1529,'Pre-Summary'!$BG$6:$BL$44,4,FALSE),"")</f>
        <v/>
      </c>
    </row>
    <row r="1530" spans="2:39" ht="15" customHeight="1" x14ac:dyDescent="0.3">
      <c r="B1530">
        <v>152.69999999999999</v>
      </c>
      <c r="C1530" t="str">
        <f>IFERROR(VLOOKUP(B1530,'Pre-Summary'!$DI$6:$DM$23,4,FALSE),"")</f>
        <v/>
      </c>
      <c r="D1530" s="10" t="str">
        <f>IFERROR(VLOOKUP(B1530,'Pre-Summary'!$AT$6:$AX$14,5,FALSE),D1529)</f>
        <v>Wolfe v3: went back to modified wolfe + EDTA and switched CuSO4 to CUCl2</v>
      </c>
      <c r="E1530" s="10" t="str">
        <f>IFERROR(VLOOKUP(B1530,'Pre-Summary'!$AT$6:$AX$15,4,FALSE),"")</f>
        <v/>
      </c>
      <c r="F1530">
        <f>IFERROR(VLOOKUP(B1530,'Pre-Summary'!$AL$6:$AQ$13,6,FALSE),F1529)</f>
        <v>5.3897368421052638E-2</v>
      </c>
      <c r="G1530" t="str">
        <f>IFERROR(VLOOKUP(B1530,'Pre-Summary'!$AE$6:$AJ$85,3,FALSE),"")</f>
        <v/>
      </c>
      <c r="H1530" t="str">
        <f>IFERROR(VLOOKUP(B1530,'Pre-Summary'!$AE$6:$AJ$85,4,FALSE),"")</f>
        <v/>
      </c>
      <c r="I1530" t="str">
        <f>IFERROR(VLOOKUP(B1530,'Pre-Summary'!$AE$6:$AJ$85,5,FALSE),"")</f>
        <v/>
      </c>
      <c r="J1530" s="45" t="str">
        <f>IFERROR(VLOOKUP(B1530,'Pre-Summary'!$AE$6:$AJ$85,6, FALSE),"")</f>
        <v/>
      </c>
      <c r="K1530" s="45" t="str">
        <f>IFERROR(VLOOKUP(B1530,'Pre-Summary'!$DE$6:$DG$61,3,FALSE),"")</f>
        <v/>
      </c>
      <c r="L1530" s="45" t="str">
        <f>IFERROR(VLOOKUP(B1530,'Pre-Summary'!$CU$6:$CW$36,3,FALSE),"")</f>
        <v/>
      </c>
      <c r="M1530" s="45" t="str">
        <f>IFERROR(VLOOKUP(B1530,'Pre-Summary'!$BW$6:$BY$58,2,FALSE),"")</f>
        <v/>
      </c>
      <c r="N1530" s="45" t="str">
        <f>IFERROR(VLOOKUP(B1530,'Pre-Summary'!$CD$6:$CF$64,2,FALSE),"")</f>
        <v/>
      </c>
      <c r="O1530" s="99">
        <f>IFERROR(VLOOKUP(B1530,'Pre-Summary'!$BO$6:$BQ$48,3, FALSE),O1529)</f>
        <v>1</v>
      </c>
      <c r="P1530" s="99">
        <f>IFERROR(VLOOKUP(B1530,'Pre-Summary'!$BS$6:$BU$35,3,FALSE),P1529)</f>
        <v>0.3</v>
      </c>
      <c r="Q1530" s="54">
        <f t="shared" si="69"/>
        <v>3.3333333333333335</v>
      </c>
      <c r="R1530" s="53">
        <f>IFERROR(VLOOKUP(B1530,'Pre-Summary'!$BG$6:$BM$44,7,FALSE),R1531)</f>
        <v>0.10131789275871156</v>
      </c>
      <c r="S1530" s="53">
        <f>IFERROR(VLOOKUP(B1530,'Pre-Summary'!$BG$6:$BM$44,6,FALSE),S1531)</f>
        <v>9.6637565908873055E-2</v>
      </c>
      <c r="T1530" s="45" t="str">
        <f>IFERROR(VLOOKUP(B1530,'Pre-Summary'!$Y$6:$AC$83, 3,FALSE),"")</f>
        <v/>
      </c>
      <c r="U1530" s="45" t="str">
        <f>IFERROR(VLOOKUP(B1530,'Pre-Summary'!$Y$6:$AC$83, 4,FALSE),"")</f>
        <v/>
      </c>
      <c r="V1530" t="str">
        <f>IFERROR(VLOOKUP(B1530,'Pre-Summary'!$Y$6:$AC$83, 5,FALSE),"")</f>
        <v/>
      </c>
      <c r="W1530" s="45" t="str">
        <f>IFERROR(VLOOKUP(B1530,'Pre-Summary'!$Y$6:$AD$83,6,FALSE),"")</f>
        <v/>
      </c>
      <c r="X1530" t="str">
        <f>IFERROR(VLOOKUP('Pre-Summary'!$DB$6:$DD$63,3,FALSE),"")</f>
        <v/>
      </c>
      <c r="Y1530" t="str">
        <f>IFERROR(VLOOKUP(B1530,'Pre-Summary'!$CR$6:$CT$36,3,FALSE),"")</f>
        <v/>
      </c>
      <c r="Z1530" s="45" t="str">
        <f>IFERROR(VLOOKUP(B1530,'Pre-Summary'!$BZ$6:$CB$63,2,FALSE),"")</f>
        <v/>
      </c>
      <c r="AA1530" s="45" t="str">
        <f>IFERROR(VLOOKUP(B1530,'Pre-Summary'!$CG$6:$CI$70,2,FALSE),"")</f>
        <v/>
      </c>
      <c r="AB1530" s="99">
        <f>IFERROR(VLOOKUP(B1530,'Pre-Summary'!$A$6:$P$178,9,FALSE),AB1531)</f>
        <v>0.35181614583388343</v>
      </c>
      <c r="AC1530" s="10">
        <f>IFERROR(VLOOKUP(Summary!B1530,'Pre-Summary'!$A$6:$P$184,5, FALSE)/100,AC1531)</f>
        <v>0.71615799999999996</v>
      </c>
      <c r="AD1530" s="10">
        <f>IFERROR(VLOOKUP(Summary!B1530,'Pre-Summary'!$A$6:$P$184,3, FALSE)/100,AD1531)</f>
        <v>0.24037466666666671</v>
      </c>
      <c r="AE1530" s="10">
        <f>IFERROR(VLOOKUP(Summary!B1530,'Pre-Summary'!$A$6:$P$184,7, FALSE)/100,AE1531)</f>
        <v>4.3467666666666661E-2</v>
      </c>
      <c r="AF1530" s="99">
        <f t="shared" si="70"/>
        <v>8.4567688782771128E-2</v>
      </c>
      <c r="AG1530" s="99">
        <f t="shared" si="71"/>
        <v>1.5292626955058631E-2</v>
      </c>
      <c r="AH1530" s="10" t="str">
        <f>IFERROR(VLOOKUP(B1530,'Pre-Summary'!$AZ$6:$BE$65,3,FALSE),"")</f>
        <v/>
      </c>
      <c r="AI1530" s="10" t="str">
        <f>IFERROR(VLOOKUP(B1530,'Pre-Summary'!$AZ$6:$BE$65,5,FALSE),"")</f>
        <v/>
      </c>
      <c r="AJ1530" s="10" t="str">
        <f>IFERROR(VLOOKUP(B1530,'Pre-Summary'!$AZ$6:$BE$65,4,FALSE),"")</f>
        <v/>
      </c>
      <c r="AK1530" s="10" t="str">
        <f>IFERROR(VLOOKUP(B1530,'Pre-Summary'!$AZ$6:$BE$65,6,FALSE),"")</f>
        <v/>
      </c>
      <c r="AL1530" s="10" t="str">
        <f>IFERROR(VLOOKUP(B1530,'Pre-Summary'!$BG$6:$BL$44,3,FALSE),"")</f>
        <v/>
      </c>
      <c r="AM1530" s="10" t="str">
        <f>IFERROR(VLOOKUP(B1530,'Pre-Summary'!$BG$6:$BL$44,4,FALSE),"")</f>
        <v/>
      </c>
    </row>
    <row r="1531" spans="2:39" ht="15" customHeight="1" x14ac:dyDescent="0.3">
      <c r="B1531">
        <v>152.80000000000001</v>
      </c>
      <c r="C1531" t="str">
        <f>IFERROR(VLOOKUP(B1531,'Pre-Summary'!$DI$6:$DM$23,4,FALSE),"")</f>
        <v/>
      </c>
      <c r="D1531" s="10" t="str">
        <f>IFERROR(VLOOKUP(B1531,'Pre-Summary'!$AT$6:$AX$14,5,FALSE),D1530)</f>
        <v>Wolfe v3: went back to modified wolfe + EDTA and switched CuSO4 to CUCl2</v>
      </c>
      <c r="E1531" s="10" t="str">
        <f>IFERROR(VLOOKUP(B1531,'Pre-Summary'!$AT$6:$AX$15,4,FALSE),"")</f>
        <v/>
      </c>
      <c r="F1531">
        <f>IFERROR(VLOOKUP(B1531,'Pre-Summary'!$AL$6:$AQ$13,6,FALSE),F1530)</f>
        <v>5.3897368421052638E-2</v>
      </c>
      <c r="G1531" t="str">
        <f>IFERROR(VLOOKUP(B1531,'Pre-Summary'!$AE$6:$AJ$85,3,FALSE),"")</f>
        <v/>
      </c>
      <c r="H1531" t="str">
        <f>IFERROR(VLOOKUP(B1531,'Pre-Summary'!$AE$6:$AJ$85,4,FALSE),"")</f>
        <v/>
      </c>
      <c r="I1531" t="str">
        <f>IFERROR(VLOOKUP(B1531,'Pre-Summary'!$AE$6:$AJ$85,5,FALSE),"")</f>
        <v/>
      </c>
      <c r="J1531" s="45" t="str">
        <f>IFERROR(VLOOKUP(B1531,'Pre-Summary'!$AE$6:$AJ$85,6, FALSE),"")</f>
        <v/>
      </c>
      <c r="K1531" s="45" t="str">
        <f>IFERROR(VLOOKUP(B1531,'Pre-Summary'!$DE$6:$DG$61,3,FALSE),"")</f>
        <v/>
      </c>
      <c r="L1531" s="45" t="str">
        <f>IFERROR(VLOOKUP(B1531,'Pre-Summary'!$CU$6:$CW$36,3,FALSE),"")</f>
        <v/>
      </c>
      <c r="M1531" s="45" t="str">
        <f>IFERROR(VLOOKUP(B1531,'Pre-Summary'!$BW$6:$BY$58,2,FALSE),"")</f>
        <v/>
      </c>
      <c r="N1531" s="45" t="str">
        <f>IFERROR(VLOOKUP(B1531,'Pre-Summary'!$CD$6:$CF$64,2,FALSE),"")</f>
        <v/>
      </c>
      <c r="O1531" s="99">
        <f>IFERROR(VLOOKUP(B1531,'Pre-Summary'!$BO$6:$BQ$48,3, FALSE),O1530)</f>
        <v>1</v>
      </c>
      <c r="P1531" s="99">
        <f>IFERROR(VLOOKUP(B1531,'Pre-Summary'!$BS$6:$BU$35,3,FALSE),P1530)</f>
        <v>0.3</v>
      </c>
      <c r="Q1531" s="54">
        <f t="shared" si="69"/>
        <v>3.3333333333333335</v>
      </c>
      <c r="R1531" s="53">
        <f>IFERROR(VLOOKUP(B1531,'Pre-Summary'!$BG$6:$BM$44,7,FALSE),R1532)</f>
        <v>0.10131789275871156</v>
      </c>
      <c r="S1531" s="53">
        <f>IFERROR(VLOOKUP(B1531,'Pre-Summary'!$BG$6:$BM$44,6,FALSE),S1532)</f>
        <v>9.6637565908873055E-2</v>
      </c>
      <c r="T1531" s="45" t="str">
        <f>IFERROR(VLOOKUP(B1531,'Pre-Summary'!$Y$6:$AC$83, 3,FALSE),"")</f>
        <v/>
      </c>
      <c r="U1531" s="45" t="str">
        <f>IFERROR(VLOOKUP(B1531,'Pre-Summary'!$Y$6:$AC$83, 4,FALSE),"")</f>
        <v/>
      </c>
      <c r="V1531" t="str">
        <f>IFERROR(VLOOKUP(B1531,'Pre-Summary'!$Y$6:$AC$83, 5,FALSE),"")</f>
        <v/>
      </c>
      <c r="W1531" s="45" t="str">
        <f>IFERROR(VLOOKUP(B1531,'Pre-Summary'!$Y$6:$AD$83,6,FALSE),"")</f>
        <v/>
      </c>
      <c r="X1531" t="str">
        <f>IFERROR(VLOOKUP('Pre-Summary'!$DB$6:$DD$63,3,FALSE),"")</f>
        <v/>
      </c>
      <c r="Y1531" t="str">
        <f>IFERROR(VLOOKUP(B1531,'Pre-Summary'!$CR$6:$CT$36,3,FALSE),"")</f>
        <v/>
      </c>
      <c r="Z1531" s="45" t="str">
        <f>IFERROR(VLOOKUP(B1531,'Pre-Summary'!$BZ$6:$CB$63,2,FALSE),"")</f>
        <v/>
      </c>
      <c r="AA1531" s="45" t="str">
        <f>IFERROR(VLOOKUP(B1531,'Pre-Summary'!$CG$6:$CI$70,2,FALSE),"")</f>
        <v/>
      </c>
      <c r="AB1531" s="99">
        <f>IFERROR(VLOOKUP(B1531,'Pre-Summary'!$A$6:$P$178,9,FALSE),AB1532)</f>
        <v>0.35181614583388343</v>
      </c>
      <c r="AC1531" s="10">
        <f>IFERROR(VLOOKUP(Summary!B1531,'Pre-Summary'!$A$6:$P$184,5, FALSE)/100,AC1532)</f>
        <v>0.71615799999999996</v>
      </c>
      <c r="AD1531" s="10">
        <f>IFERROR(VLOOKUP(Summary!B1531,'Pre-Summary'!$A$6:$P$184,3, FALSE)/100,AD1532)</f>
        <v>0.24037466666666671</v>
      </c>
      <c r="AE1531" s="10">
        <f>IFERROR(VLOOKUP(Summary!B1531,'Pre-Summary'!$A$6:$P$184,7, FALSE)/100,AE1532)</f>
        <v>4.3467666666666661E-2</v>
      </c>
      <c r="AF1531" s="99">
        <f t="shared" si="70"/>
        <v>8.4567688782771128E-2</v>
      </c>
      <c r="AG1531" s="99">
        <f t="shared" si="71"/>
        <v>1.5292626955058631E-2</v>
      </c>
      <c r="AH1531" s="10" t="str">
        <f>IFERROR(VLOOKUP(B1531,'Pre-Summary'!$AZ$6:$BE$65,3,FALSE),"")</f>
        <v/>
      </c>
      <c r="AI1531" s="10" t="str">
        <f>IFERROR(VLOOKUP(B1531,'Pre-Summary'!$AZ$6:$BE$65,5,FALSE),"")</f>
        <v/>
      </c>
      <c r="AJ1531" s="10" t="str">
        <f>IFERROR(VLOOKUP(B1531,'Pre-Summary'!$AZ$6:$BE$65,4,FALSE),"")</f>
        <v/>
      </c>
      <c r="AK1531" s="10" t="str">
        <f>IFERROR(VLOOKUP(B1531,'Pre-Summary'!$AZ$6:$BE$65,6,FALSE),"")</f>
        <v/>
      </c>
      <c r="AL1531" s="10" t="str">
        <f>IFERROR(VLOOKUP(B1531,'Pre-Summary'!$BG$6:$BL$44,3,FALSE),"")</f>
        <v/>
      </c>
      <c r="AM1531" s="10" t="str">
        <f>IFERROR(VLOOKUP(B1531,'Pre-Summary'!$BG$6:$BL$44,4,FALSE),"")</f>
        <v/>
      </c>
    </row>
    <row r="1532" spans="2:39" ht="15" customHeight="1" x14ac:dyDescent="0.3">
      <c r="B1532">
        <v>152.9</v>
      </c>
      <c r="C1532" t="str">
        <f>IFERROR(VLOOKUP(B1532,'Pre-Summary'!$DI$6:$DM$23,4,FALSE),"")</f>
        <v/>
      </c>
      <c r="D1532" s="10" t="str">
        <f>IFERROR(VLOOKUP(B1532,'Pre-Summary'!$AT$6:$AX$14,5,FALSE),D1531)</f>
        <v>Wolfe v3: went back to modified wolfe + EDTA and switched CuSO4 to CUCl2</v>
      </c>
      <c r="E1532" s="10" t="str">
        <f>IFERROR(VLOOKUP(B1532,'Pre-Summary'!$AT$6:$AX$15,4,FALSE),"")</f>
        <v/>
      </c>
      <c r="F1532">
        <f>IFERROR(VLOOKUP(B1532,'Pre-Summary'!$AL$6:$AQ$13,6,FALSE),F1531)</f>
        <v>5.3897368421052638E-2</v>
      </c>
      <c r="G1532" t="str">
        <f>IFERROR(VLOOKUP(B1532,'Pre-Summary'!$AE$6:$AJ$85,3,FALSE),"")</f>
        <v/>
      </c>
      <c r="H1532" t="str">
        <f>IFERROR(VLOOKUP(B1532,'Pre-Summary'!$AE$6:$AJ$85,4,FALSE),"")</f>
        <v/>
      </c>
      <c r="I1532" t="str">
        <f>IFERROR(VLOOKUP(B1532,'Pre-Summary'!$AE$6:$AJ$85,5,FALSE),"")</f>
        <v/>
      </c>
      <c r="J1532" s="45" t="str">
        <f>IFERROR(VLOOKUP(B1532,'Pre-Summary'!$AE$6:$AJ$85,6, FALSE),"")</f>
        <v/>
      </c>
      <c r="K1532" s="45" t="str">
        <f>IFERROR(VLOOKUP(B1532,'Pre-Summary'!$DE$6:$DG$61,3,FALSE),"")</f>
        <v/>
      </c>
      <c r="L1532" s="45" t="str">
        <f>IFERROR(VLOOKUP(B1532,'Pre-Summary'!$CU$6:$CW$36,3,FALSE),"")</f>
        <v/>
      </c>
      <c r="M1532" s="45" t="str">
        <f>IFERROR(VLOOKUP(B1532,'Pre-Summary'!$BW$6:$BY$58,2,FALSE),"")</f>
        <v/>
      </c>
      <c r="N1532" s="45" t="str">
        <f>IFERROR(VLOOKUP(B1532,'Pre-Summary'!$CD$6:$CF$64,2,FALSE),"")</f>
        <v/>
      </c>
      <c r="O1532" s="99">
        <f>IFERROR(VLOOKUP(B1532,'Pre-Summary'!$BO$6:$BQ$48,3, FALSE),O1531)</f>
        <v>1</v>
      </c>
      <c r="P1532" s="99">
        <f>IFERROR(VLOOKUP(B1532,'Pre-Summary'!$BS$6:$BU$35,3,FALSE),P1531)</f>
        <v>0.3</v>
      </c>
      <c r="Q1532" s="54">
        <f t="shared" si="69"/>
        <v>3.3333333333333335</v>
      </c>
      <c r="R1532" s="53">
        <f>IFERROR(VLOOKUP(B1532,'Pre-Summary'!$BG$6:$BM$44,7,FALSE),R1533)</f>
        <v>0.10131789275871156</v>
      </c>
      <c r="S1532" s="53">
        <f>IFERROR(VLOOKUP(B1532,'Pre-Summary'!$BG$6:$BM$44,6,FALSE),S1533)</f>
        <v>9.6637565908873055E-2</v>
      </c>
      <c r="T1532" s="45" t="str">
        <f>IFERROR(VLOOKUP(B1532,'Pre-Summary'!$Y$6:$AC$83, 3,FALSE),"")</f>
        <v/>
      </c>
      <c r="U1532" s="45" t="str">
        <f>IFERROR(VLOOKUP(B1532,'Pre-Summary'!$Y$6:$AC$83, 4,FALSE),"")</f>
        <v/>
      </c>
      <c r="V1532" t="str">
        <f>IFERROR(VLOOKUP(B1532,'Pre-Summary'!$Y$6:$AC$83, 5,FALSE),"")</f>
        <v/>
      </c>
      <c r="W1532" s="45" t="str">
        <f>IFERROR(VLOOKUP(B1532,'Pre-Summary'!$Y$6:$AD$83,6,FALSE),"")</f>
        <v/>
      </c>
      <c r="X1532" t="str">
        <f>IFERROR(VLOOKUP('Pre-Summary'!$DB$6:$DD$63,3,FALSE),"")</f>
        <v/>
      </c>
      <c r="Y1532" t="str">
        <f>IFERROR(VLOOKUP(B1532,'Pre-Summary'!$CR$6:$CT$36,3,FALSE),"")</f>
        <v/>
      </c>
      <c r="Z1532" s="45" t="str">
        <f>IFERROR(VLOOKUP(B1532,'Pre-Summary'!$BZ$6:$CB$63,2,FALSE),"")</f>
        <v/>
      </c>
      <c r="AA1532" s="45" t="str">
        <f>IFERROR(VLOOKUP(B1532,'Pre-Summary'!$CG$6:$CI$70,2,FALSE),"")</f>
        <v/>
      </c>
      <c r="AB1532" s="99">
        <f>IFERROR(VLOOKUP(B1532,'Pre-Summary'!$A$6:$P$178,9,FALSE),AB1533)</f>
        <v>0.35181614583388343</v>
      </c>
      <c r="AC1532" s="10">
        <f>IFERROR(VLOOKUP(Summary!B1532,'Pre-Summary'!$A$6:$P$184,5, FALSE)/100,AC1533)</f>
        <v>0.71615799999999996</v>
      </c>
      <c r="AD1532" s="10">
        <f>IFERROR(VLOOKUP(Summary!B1532,'Pre-Summary'!$A$6:$P$184,3, FALSE)/100,AD1533)</f>
        <v>0.24037466666666671</v>
      </c>
      <c r="AE1532" s="10">
        <f>IFERROR(VLOOKUP(Summary!B1532,'Pre-Summary'!$A$6:$P$184,7, FALSE)/100,AE1533)</f>
        <v>4.3467666666666661E-2</v>
      </c>
      <c r="AF1532" s="99">
        <f t="shared" si="70"/>
        <v>8.4567688782771128E-2</v>
      </c>
      <c r="AG1532" s="99">
        <f t="shared" si="71"/>
        <v>1.5292626955058631E-2</v>
      </c>
      <c r="AH1532" s="10" t="str">
        <f>IFERROR(VLOOKUP(B1532,'Pre-Summary'!$AZ$6:$BE$65,3,FALSE),"")</f>
        <v/>
      </c>
      <c r="AI1532" s="10" t="str">
        <f>IFERROR(VLOOKUP(B1532,'Pre-Summary'!$AZ$6:$BE$65,5,FALSE),"")</f>
        <v/>
      </c>
      <c r="AJ1532" s="10" t="str">
        <f>IFERROR(VLOOKUP(B1532,'Pre-Summary'!$AZ$6:$BE$65,4,FALSE),"")</f>
        <v/>
      </c>
      <c r="AK1532" s="10" t="str">
        <f>IFERROR(VLOOKUP(B1532,'Pre-Summary'!$AZ$6:$BE$65,6,FALSE),"")</f>
        <v/>
      </c>
      <c r="AL1532" s="10" t="str">
        <f>IFERROR(VLOOKUP(B1532,'Pre-Summary'!$BG$6:$BL$44,3,FALSE),"")</f>
        <v/>
      </c>
      <c r="AM1532" s="10" t="str">
        <f>IFERROR(VLOOKUP(B1532,'Pre-Summary'!$BG$6:$BL$44,4,FALSE),"")</f>
        <v/>
      </c>
    </row>
    <row r="1533" spans="2:39" ht="15" customHeight="1" x14ac:dyDescent="0.3">
      <c r="B1533">
        <v>153</v>
      </c>
      <c r="C1533" t="str">
        <f>IFERROR(VLOOKUP(B1533,'Pre-Summary'!$DI$6:$DM$23,4,FALSE),"")</f>
        <v/>
      </c>
      <c r="D1533" s="10" t="str">
        <f>IFERROR(VLOOKUP(B1533,'Pre-Summary'!$AT$6:$AX$14,5,FALSE),D1532)</f>
        <v>Wolfe v3: went back to modified wolfe + EDTA and switched CuSO4 to CUCl2</v>
      </c>
      <c r="E1533" s="10" t="str">
        <f>IFERROR(VLOOKUP(B1533,'Pre-Summary'!$AT$6:$AX$15,4,FALSE),"")</f>
        <v/>
      </c>
      <c r="F1533">
        <f>IFERROR(VLOOKUP(B1533,'Pre-Summary'!$AL$6:$AQ$13,6,FALSE),F1532)</f>
        <v>5.3897368421052638E-2</v>
      </c>
      <c r="G1533" t="str">
        <f>IFERROR(VLOOKUP(B1533,'Pre-Summary'!$AE$6:$AJ$85,3,FALSE),"")</f>
        <v/>
      </c>
      <c r="H1533" t="str">
        <f>IFERROR(VLOOKUP(B1533,'Pre-Summary'!$AE$6:$AJ$85,4,FALSE),"")</f>
        <v/>
      </c>
      <c r="I1533" t="str">
        <f>IFERROR(VLOOKUP(B1533,'Pre-Summary'!$AE$6:$AJ$85,5,FALSE),"")</f>
        <v/>
      </c>
      <c r="J1533" s="45" t="str">
        <f>IFERROR(VLOOKUP(B1533,'Pre-Summary'!$AE$6:$AJ$85,6, FALSE),"")</f>
        <v/>
      </c>
      <c r="K1533" s="45" t="str">
        <f>IFERROR(VLOOKUP(B1533,'Pre-Summary'!$DE$6:$DG$61,3,FALSE),"")</f>
        <v/>
      </c>
      <c r="L1533" s="45" t="str">
        <f>IFERROR(VLOOKUP(B1533,'Pre-Summary'!$CU$6:$CW$36,3,FALSE),"")</f>
        <v/>
      </c>
      <c r="M1533" s="45" t="str">
        <f>IFERROR(VLOOKUP(B1533,'Pre-Summary'!$BW$6:$BY$58,2,FALSE),"")</f>
        <v/>
      </c>
      <c r="N1533" s="45" t="str">
        <f>IFERROR(VLOOKUP(B1533,'Pre-Summary'!$CD$6:$CF$64,2,FALSE),"")</f>
        <v/>
      </c>
      <c r="O1533" s="99">
        <f>IFERROR(VLOOKUP(B1533,'Pre-Summary'!$BO$6:$BQ$48,3, FALSE),O1532)</f>
        <v>1</v>
      </c>
      <c r="P1533" s="99">
        <f>IFERROR(VLOOKUP(B1533,'Pre-Summary'!$BS$6:$BU$35,3,FALSE),P1532)</f>
        <v>0.3</v>
      </c>
      <c r="Q1533" s="54">
        <f t="shared" si="69"/>
        <v>3.3333333333333335</v>
      </c>
      <c r="R1533" s="53">
        <f>IFERROR(VLOOKUP(B1533,'Pre-Summary'!$BG$6:$BM$44,7,FALSE),R1534)</f>
        <v>0.10131789275871156</v>
      </c>
      <c r="S1533" s="53">
        <f>IFERROR(VLOOKUP(B1533,'Pre-Summary'!$BG$6:$BM$44,6,FALSE),S1534)</f>
        <v>9.6637565908873055E-2</v>
      </c>
      <c r="T1533" s="45" t="str">
        <f>IFERROR(VLOOKUP(B1533,'Pre-Summary'!$Y$6:$AC$83, 3,FALSE),"")</f>
        <v/>
      </c>
      <c r="U1533" s="45" t="str">
        <f>IFERROR(VLOOKUP(B1533,'Pre-Summary'!$Y$6:$AC$83, 4,FALSE),"")</f>
        <v/>
      </c>
      <c r="V1533" t="str">
        <f>IFERROR(VLOOKUP(B1533,'Pre-Summary'!$Y$6:$AC$83, 5,FALSE),"")</f>
        <v/>
      </c>
      <c r="W1533" s="45" t="str">
        <f>IFERROR(VLOOKUP(B1533,'Pre-Summary'!$Y$6:$AD$83,6,FALSE),"")</f>
        <v/>
      </c>
      <c r="X1533" t="str">
        <f>IFERROR(VLOOKUP('Pre-Summary'!$DB$6:$DD$63,3,FALSE),"")</f>
        <v/>
      </c>
      <c r="Y1533" t="str">
        <f>IFERROR(VLOOKUP(B1533,'Pre-Summary'!$CR$6:$CT$36,3,FALSE),"")</f>
        <v/>
      </c>
      <c r="Z1533" s="45" t="str">
        <f>IFERROR(VLOOKUP(B1533,'Pre-Summary'!$BZ$6:$CB$63,2,FALSE),"")</f>
        <v/>
      </c>
      <c r="AA1533" s="45" t="str">
        <f>IFERROR(VLOOKUP(B1533,'Pre-Summary'!$CG$6:$CI$70,2,FALSE),"")</f>
        <v/>
      </c>
      <c r="AB1533" s="99">
        <f>IFERROR(VLOOKUP(B1533,'Pre-Summary'!$A$6:$P$178,9,FALSE),AB1534)</f>
        <v>0.35181614583388343</v>
      </c>
      <c r="AC1533" s="10">
        <f>IFERROR(VLOOKUP(Summary!B1533,'Pre-Summary'!$A$6:$P$184,5, FALSE)/100,AC1534)</f>
        <v>0.71615799999999996</v>
      </c>
      <c r="AD1533" s="10">
        <f>IFERROR(VLOOKUP(Summary!B1533,'Pre-Summary'!$A$6:$P$184,3, FALSE)/100,AD1534)</f>
        <v>0.24037466666666671</v>
      </c>
      <c r="AE1533" s="10">
        <f>IFERROR(VLOOKUP(Summary!B1533,'Pre-Summary'!$A$6:$P$184,7, FALSE)/100,AE1534)</f>
        <v>4.3467666666666661E-2</v>
      </c>
      <c r="AF1533" s="99">
        <f t="shared" si="70"/>
        <v>8.4567688782771128E-2</v>
      </c>
      <c r="AG1533" s="99">
        <f t="shared" si="71"/>
        <v>1.5292626955058631E-2</v>
      </c>
      <c r="AH1533" s="10" t="str">
        <f>IFERROR(VLOOKUP(B1533,'Pre-Summary'!$AZ$6:$BE$65,3,FALSE),"")</f>
        <v/>
      </c>
      <c r="AI1533" s="10" t="str">
        <f>IFERROR(VLOOKUP(B1533,'Pre-Summary'!$AZ$6:$BE$65,5,FALSE),"")</f>
        <v/>
      </c>
      <c r="AJ1533" s="10" t="str">
        <f>IFERROR(VLOOKUP(B1533,'Pre-Summary'!$AZ$6:$BE$65,4,FALSE),"")</f>
        <v/>
      </c>
      <c r="AK1533" s="10" t="str">
        <f>IFERROR(VLOOKUP(B1533,'Pre-Summary'!$AZ$6:$BE$65,6,FALSE),"")</f>
        <v/>
      </c>
      <c r="AL1533" s="10" t="str">
        <f>IFERROR(VLOOKUP(B1533,'Pre-Summary'!$BG$6:$BL$44,3,FALSE),"")</f>
        <v/>
      </c>
      <c r="AM1533" s="10" t="str">
        <f>IFERROR(VLOOKUP(B1533,'Pre-Summary'!$BG$6:$BL$44,4,FALSE),"")</f>
        <v/>
      </c>
    </row>
    <row r="1534" spans="2:39" ht="15" customHeight="1" x14ac:dyDescent="0.3">
      <c r="B1534">
        <v>153.1</v>
      </c>
      <c r="C1534" t="str">
        <f>IFERROR(VLOOKUP(B1534,'Pre-Summary'!$DI$6:$DM$23,4,FALSE),"")</f>
        <v/>
      </c>
      <c r="D1534" s="10" t="str">
        <f>IFERROR(VLOOKUP(B1534,'Pre-Summary'!$AT$6:$AX$14,5,FALSE),D1533)</f>
        <v>Wolfe v3: went back to modified wolfe + EDTA and switched CuSO4 to CUCl2</v>
      </c>
      <c r="E1534" s="10" t="str">
        <f>IFERROR(VLOOKUP(B1534,'Pre-Summary'!$AT$6:$AX$15,4,FALSE),"")</f>
        <v/>
      </c>
      <c r="F1534">
        <f>IFERROR(VLOOKUP(B1534,'Pre-Summary'!$AL$6:$AQ$13,6,FALSE),F1533)</f>
        <v>5.3897368421052638E-2</v>
      </c>
      <c r="G1534" t="str">
        <f>IFERROR(VLOOKUP(B1534,'Pre-Summary'!$AE$6:$AJ$85,3,FALSE),"")</f>
        <v/>
      </c>
      <c r="H1534" t="str">
        <f>IFERROR(VLOOKUP(B1534,'Pre-Summary'!$AE$6:$AJ$85,4,FALSE),"")</f>
        <v/>
      </c>
      <c r="I1534" t="str">
        <f>IFERROR(VLOOKUP(B1534,'Pre-Summary'!$AE$6:$AJ$85,5,FALSE),"")</f>
        <v/>
      </c>
      <c r="J1534" s="45" t="str">
        <f>IFERROR(VLOOKUP(B1534,'Pre-Summary'!$AE$6:$AJ$85,6, FALSE),"")</f>
        <v/>
      </c>
      <c r="K1534" s="45" t="str">
        <f>IFERROR(VLOOKUP(B1534,'Pre-Summary'!$DE$6:$DG$61,3,FALSE),"")</f>
        <v/>
      </c>
      <c r="L1534" s="45" t="str">
        <f>IFERROR(VLOOKUP(B1534,'Pre-Summary'!$CU$6:$CW$36,3,FALSE),"")</f>
        <v/>
      </c>
      <c r="M1534" s="45" t="str">
        <f>IFERROR(VLOOKUP(B1534,'Pre-Summary'!$BW$6:$BY$58,2,FALSE),"")</f>
        <v/>
      </c>
      <c r="N1534" s="45" t="str">
        <f>IFERROR(VLOOKUP(B1534,'Pre-Summary'!$CD$6:$CF$64,2,FALSE),"")</f>
        <v/>
      </c>
      <c r="O1534" s="99">
        <f>IFERROR(VLOOKUP(B1534,'Pre-Summary'!$BO$6:$BQ$48,3, FALSE),O1533)</f>
        <v>1</v>
      </c>
      <c r="P1534" s="99">
        <f>IFERROR(VLOOKUP(B1534,'Pre-Summary'!$BS$6:$BU$35,3,FALSE),P1533)</f>
        <v>0.3</v>
      </c>
      <c r="Q1534" s="54">
        <f t="shared" si="69"/>
        <v>3.3333333333333335</v>
      </c>
      <c r="R1534" s="53">
        <f>IFERROR(VLOOKUP(B1534,'Pre-Summary'!$BG$6:$BM$44,7,FALSE),R1535)</f>
        <v>0.10131789275871156</v>
      </c>
      <c r="S1534" s="53">
        <f>IFERROR(VLOOKUP(B1534,'Pre-Summary'!$BG$6:$BM$44,6,FALSE),S1535)</f>
        <v>9.6637565908873055E-2</v>
      </c>
      <c r="T1534" s="45" t="str">
        <f>IFERROR(VLOOKUP(B1534,'Pre-Summary'!$Y$6:$AC$83, 3,FALSE),"")</f>
        <v/>
      </c>
      <c r="U1534" s="45" t="str">
        <f>IFERROR(VLOOKUP(B1534,'Pre-Summary'!$Y$6:$AC$83, 4,FALSE),"")</f>
        <v/>
      </c>
      <c r="V1534" t="str">
        <f>IFERROR(VLOOKUP(B1534,'Pre-Summary'!$Y$6:$AC$83, 5,FALSE),"")</f>
        <v/>
      </c>
      <c r="W1534" s="45" t="str">
        <f>IFERROR(VLOOKUP(B1534,'Pre-Summary'!$Y$6:$AD$83,6,FALSE),"")</f>
        <v/>
      </c>
      <c r="X1534" t="str">
        <f>IFERROR(VLOOKUP('Pre-Summary'!$DB$6:$DD$63,3,FALSE),"")</f>
        <v/>
      </c>
      <c r="Y1534" t="str">
        <f>IFERROR(VLOOKUP(B1534,'Pre-Summary'!$CR$6:$CT$36,3,FALSE),"")</f>
        <v/>
      </c>
      <c r="Z1534" s="45" t="str">
        <f>IFERROR(VLOOKUP(B1534,'Pre-Summary'!$BZ$6:$CB$63,2,FALSE),"")</f>
        <v/>
      </c>
      <c r="AA1534" s="45" t="str">
        <f>IFERROR(VLOOKUP(B1534,'Pre-Summary'!$CG$6:$CI$70,2,FALSE),"")</f>
        <v/>
      </c>
      <c r="AB1534" s="99">
        <f>IFERROR(VLOOKUP(B1534,'Pre-Summary'!$A$6:$P$178,9,FALSE),AB1535)</f>
        <v>0.35181614583388343</v>
      </c>
      <c r="AC1534" s="10">
        <f>IFERROR(VLOOKUP(Summary!B1534,'Pre-Summary'!$A$6:$P$184,5, FALSE)/100,AC1535)</f>
        <v>0.71615799999999996</v>
      </c>
      <c r="AD1534" s="10">
        <f>IFERROR(VLOOKUP(Summary!B1534,'Pre-Summary'!$A$6:$P$184,3, FALSE)/100,AD1535)</f>
        <v>0.24037466666666671</v>
      </c>
      <c r="AE1534" s="10">
        <f>IFERROR(VLOOKUP(Summary!B1534,'Pre-Summary'!$A$6:$P$184,7, FALSE)/100,AE1535)</f>
        <v>4.3467666666666661E-2</v>
      </c>
      <c r="AF1534" s="99">
        <f t="shared" si="70"/>
        <v>8.4567688782771128E-2</v>
      </c>
      <c r="AG1534" s="99">
        <f t="shared" si="71"/>
        <v>1.5292626955058631E-2</v>
      </c>
      <c r="AH1534" s="10" t="str">
        <f>IFERROR(VLOOKUP(B1534,'Pre-Summary'!$AZ$6:$BE$65,3,FALSE),"")</f>
        <v/>
      </c>
      <c r="AI1534" s="10" t="str">
        <f>IFERROR(VLOOKUP(B1534,'Pre-Summary'!$AZ$6:$BE$65,5,FALSE),"")</f>
        <v/>
      </c>
      <c r="AJ1534" s="10" t="str">
        <f>IFERROR(VLOOKUP(B1534,'Pre-Summary'!$AZ$6:$BE$65,4,FALSE),"")</f>
        <v/>
      </c>
      <c r="AK1534" s="10" t="str">
        <f>IFERROR(VLOOKUP(B1534,'Pre-Summary'!$AZ$6:$BE$65,6,FALSE),"")</f>
        <v/>
      </c>
      <c r="AL1534" s="10" t="str">
        <f>IFERROR(VLOOKUP(B1534,'Pre-Summary'!$BG$6:$BL$44,3,FALSE),"")</f>
        <v/>
      </c>
      <c r="AM1534" s="10" t="str">
        <f>IFERROR(VLOOKUP(B1534,'Pre-Summary'!$BG$6:$BL$44,4,FALSE),"")</f>
        <v/>
      </c>
    </row>
    <row r="1535" spans="2:39" ht="15" customHeight="1" x14ac:dyDescent="0.3">
      <c r="B1535">
        <v>153.19999999999999</v>
      </c>
      <c r="C1535" t="str">
        <f>IFERROR(VLOOKUP(B1535,'Pre-Summary'!$DI$6:$DM$23,4,FALSE),"")</f>
        <v/>
      </c>
      <c r="D1535" s="10" t="str">
        <f>IFERROR(VLOOKUP(B1535,'Pre-Summary'!$AT$6:$AX$14,5,FALSE),D1534)</f>
        <v>Wolfe v3: went back to modified wolfe + EDTA and switched CuSO4 to CUCl2</v>
      </c>
      <c r="E1535" s="10" t="str">
        <f>IFERROR(VLOOKUP(B1535,'Pre-Summary'!$AT$6:$AX$15,4,FALSE),"")</f>
        <v/>
      </c>
      <c r="F1535">
        <f>IFERROR(VLOOKUP(B1535,'Pre-Summary'!$AL$6:$AQ$13,6,FALSE),F1534)</f>
        <v>5.3897368421052638E-2</v>
      </c>
      <c r="G1535" t="str">
        <f>IFERROR(VLOOKUP(B1535,'Pre-Summary'!$AE$6:$AJ$85,3,FALSE),"")</f>
        <v/>
      </c>
      <c r="H1535" t="str">
        <f>IFERROR(VLOOKUP(B1535,'Pre-Summary'!$AE$6:$AJ$85,4,FALSE),"")</f>
        <v/>
      </c>
      <c r="I1535" t="str">
        <f>IFERROR(VLOOKUP(B1535,'Pre-Summary'!$AE$6:$AJ$85,5,FALSE),"")</f>
        <v/>
      </c>
      <c r="J1535" s="45" t="str">
        <f>IFERROR(VLOOKUP(B1535,'Pre-Summary'!$AE$6:$AJ$85,6, FALSE),"")</f>
        <v/>
      </c>
      <c r="K1535" s="45" t="str">
        <f>IFERROR(VLOOKUP(B1535,'Pre-Summary'!$DE$6:$DG$61,3,FALSE),"")</f>
        <v/>
      </c>
      <c r="L1535" s="45" t="str">
        <f>IFERROR(VLOOKUP(B1535,'Pre-Summary'!$CU$6:$CW$36,3,FALSE),"")</f>
        <v/>
      </c>
      <c r="M1535" s="45" t="str">
        <f>IFERROR(VLOOKUP(B1535,'Pre-Summary'!$BW$6:$BY$58,2,FALSE),"")</f>
        <v/>
      </c>
      <c r="N1535" s="45" t="str">
        <f>IFERROR(VLOOKUP(B1535,'Pre-Summary'!$CD$6:$CF$64,2,FALSE),"")</f>
        <v/>
      </c>
      <c r="O1535" s="99">
        <f>IFERROR(VLOOKUP(B1535,'Pre-Summary'!$BO$6:$BQ$48,3, FALSE),O1534)</f>
        <v>1</v>
      </c>
      <c r="P1535" s="99">
        <f>IFERROR(VLOOKUP(B1535,'Pre-Summary'!$BS$6:$BU$35,3,FALSE),P1534)</f>
        <v>0.3</v>
      </c>
      <c r="Q1535" s="54">
        <f t="shared" si="69"/>
        <v>3.3333333333333335</v>
      </c>
      <c r="R1535" s="53">
        <f>IFERROR(VLOOKUP(B1535,'Pre-Summary'!$BG$6:$BM$44,7,FALSE),R1536)</f>
        <v>0.10131789275871156</v>
      </c>
      <c r="S1535" s="53">
        <f>IFERROR(VLOOKUP(B1535,'Pre-Summary'!$BG$6:$BM$44,6,FALSE),S1536)</f>
        <v>9.6637565908873055E-2</v>
      </c>
      <c r="T1535" s="45" t="str">
        <f>IFERROR(VLOOKUP(B1535,'Pre-Summary'!$Y$6:$AC$83, 3,FALSE),"")</f>
        <v/>
      </c>
      <c r="U1535" s="45" t="str">
        <f>IFERROR(VLOOKUP(B1535,'Pre-Summary'!$Y$6:$AC$83, 4,FALSE),"")</f>
        <v/>
      </c>
      <c r="V1535" t="str">
        <f>IFERROR(VLOOKUP(B1535,'Pre-Summary'!$Y$6:$AC$83, 5,FALSE),"")</f>
        <v/>
      </c>
      <c r="W1535" s="45" t="str">
        <f>IFERROR(VLOOKUP(B1535,'Pre-Summary'!$Y$6:$AD$83,6,FALSE),"")</f>
        <v/>
      </c>
      <c r="X1535" t="str">
        <f>IFERROR(VLOOKUP('Pre-Summary'!$DB$6:$DD$63,3,FALSE),"")</f>
        <v/>
      </c>
      <c r="Y1535" t="str">
        <f>IFERROR(VLOOKUP(B1535,'Pre-Summary'!$CR$6:$CT$36,3,FALSE),"")</f>
        <v/>
      </c>
      <c r="Z1535" s="45" t="str">
        <f>IFERROR(VLOOKUP(B1535,'Pre-Summary'!$BZ$6:$CB$63,2,FALSE),"")</f>
        <v/>
      </c>
      <c r="AA1535" s="45" t="str">
        <f>IFERROR(VLOOKUP(B1535,'Pre-Summary'!$CG$6:$CI$70,2,FALSE),"")</f>
        <v/>
      </c>
      <c r="AB1535" s="99">
        <f>IFERROR(VLOOKUP(B1535,'Pre-Summary'!$A$6:$P$178,9,FALSE),AB1536)</f>
        <v>0.35181614583388343</v>
      </c>
      <c r="AC1535" s="10">
        <f>IFERROR(VLOOKUP(Summary!B1535,'Pre-Summary'!$A$6:$P$184,5, FALSE)/100,AC1536)</f>
        <v>0.71615799999999996</v>
      </c>
      <c r="AD1535" s="10">
        <f>IFERROR(VLOOKUP(Summary!B1535,'Pre-Summary'!$A$6:$P$184,3, FALSE)/100,AD1536)</f>
        <v>0.24037466666666671</v>
      </c>
      <c r="AE1535" s="10">
        <f>IFERROR(VLOOKUP(Summary!B1535,'Pre-Summary'!$A$6:$P$184,7, FALSE)/100,AE1536)</f>
        <v>4.3467666666666661E-2</v>
      </c>
      <c r="AF1535" s="99">
        <f t="shared" si="70"/>
        <v>8.4567688782771128E-2</v>
      </c>
      <c r="AG1535" s="99">
        <f t="shared" si="71"/>
        <v>1.5292626955058631E-2</v>
      </c>
      <c r="AH1535" s="10" t="str">
        <f>IFERROR(VLOOKUP(B1535,'Pre-Summary'!$AZ$6:$BE$65,3,FALSE),"")</f>
        <v/>
      </c>
      <c r="AI1535" s="10" t="str">
        <f>IFERROR(VLOOKUP(B1535,'Pre-Summary'!$AZ$6:$BE$65,5,FALSE),"")</f>
        <v/>
      </c>
      <c r="AJ1535" s="10" t="str">
        <f>IFERROR(VLOOKUP(B1535,'Pre-Summary'!$AZ$6:$BE$65,4,FALSE),"")</f>
        <v/>
      </c>
      <c r="AK1535" s="10" t="str">
        <f>IFERROR(VLOOKUP(B1535,'Pre-Summary'!$AZ$6:$BE$65,6,FALSE),"")</f>
        <v/>
      </c>
      <c r="AL1535" s="10" t="str">
        <f>IFERROR(VLOOKUP(B1535,'Pre-Summary'!$BG$6:$BL$44,3,FALSE),"")</f>
        <v/>
      </c>
      <c r="AM1535" s="10" t="str">
        <f>IFERROR(VLOOKUP(B1535,'Pre-Summary'!$BG$6:$BL$44,4,FALSE),"")</f>
        <v/>
      </c>
    </row>
    <row r="1536" spans="2:39" ht="15" customHeight="1" x14ac:dyDescent="0.3">
      <c r="B1536">
        <v>153.30000000000001</v>
      </c>
      <c r="C1536" t="str">
        <f>IFERROR(VLOOKUP(B1536,'Pre-Summary'!$DI$6:$DM$23,4,FALSE),"")</f>
        <v/>
      </c>
      <c r="D1536" s="10" t="str">
        <f>IFERROR(VLOOKUP(B1536,'Pre-Summary'!$AT$6:$AX$14,5,FALSE),D1535)</f>
        <v>Wolfe v3: went back to modified wolfe + EDTA and switched CuSO4 to CUCl2</v>
      </c>
      <c r="E1536" s="10" t="str">
        <f>IFERROR(VLOOKUP(B1536,'Pre-Summary'!$AT$6:$AX$15,4,FALSE),"")</f>
        <v/>
      </c>
      <c r="F1536">
        <f>IFERROR(VLOOKUP(B1536,'Pre-Summary'!$AL$6:$AQ$13,6,FALSE),F1535)</f>
        <v>5.3897368421052638E-2</v>
      </c>
      <c r="G1536" t="str">
        <f>IFERROR(VLOOKUP(B1536,'Pre-Summary'!$AE$6:$AJ$85,3,FALSE),"")</f>
        <v/>
      </c>
      <c r="H1536" t="str">
        <f>IFERROR(VLOOKUP(B1536,'Pre-Summary'!$AE$6:$AJ$85,4,FALSE),"")</f>
        <v/>
      </c>
      <c r="I1536" t="str">
        <f>IFERROR(VLOOKUP(B1536,'Pre-Summary'!$AE$6:$AJ$85,5,FALSE),"")</f>
        <v/>
      </c>
      <c r="J1536" s="45" t="str">
        <f>IFERROR(VLOOKUP(B1536,'Pre-Summary'!$AE$6:$AJ$85,6, FALSE),"")</f>
        <v/>
      </c>
      <c r="K1536" s="45" t="str">
        <f>IFERROR(VLOOKUP(B1536,'Pre-Summary'!$DE$6:$DG$61,3,FALSE),"")</f>
        <v/>
      </c>
      <c r="L1536" s="45" t="str">
        <f>IFERROR(VLOOKUP(B1536,'Pre-Summary'!$CU$6:$CW$36,3,FALSE),"")</f>
        <v/>
      </c>
      <c r="M1536" s="45" t="str">
        <f>IFERROR(VLOOKUP(B1536,'Pre-Summary'!$BW$6:$BY$58,2,FALSE),"")</f>
        <v/>
      </c>
      <c r="N1536" s="45" t="str">
        <f>IFERROR(VLOOKUP(B1536,'Pre-Summary'!$CD$6:$CF$64,2,FALSE),"")</f>
        <v/>
      </c>
      <c r="O1536" s="99">
        <f>IFERROR(VLOOKUP(B1536,'Pre-Summary'!$BO$6:$BQ$48,3, FALSE),O1535)</f>
        <v>1</v>
      </c>
      <c r="P1536" s="99">
        <f>IFERROR(VLOOKUP(B1536,'Pre-Summary'!$BS$6:$BU$35,3,FALSE),P1535)</f>
        <v>0.3</v>
      </c>
      <c r="Q1536" s="54">
        <f t="shared" si="69"/>
        <v>3.3333333333333335</v>
      </c>
      <c r="R1536" s="53">
        <f>IFERROR(VLOOKUP(B1536,'Pre-Summary'!$BG$6:$BM$44,7,FALSE),R1537)</f>
        <v>0.10131789275871156</v>
      </c>
      <c r="S1536" s="53">
        <f>IFERROR(VLOOKUP(B1536,'Pre-Summary'!$BG$6:$BM$44,6,FALSE),S1537)</f>
        <v>9.6637565908873055E-2</v>
      </c>
      <c r="T1536" s="45" t="str">
        <f>IFERROR(VLOOKUP(B1536,'Pre-Summary'!$Y$6:$AC$83, 3,FALSE),"")</f>
        <v/>
      </c>
      <c r="U1536" s="45" t="str">
        <f>IFERROR(VLOOKUP(B1536,'Pre-Summary'!$Y$6:$AC$83, 4,FALSE),"")</f>
        <v/>
      </c>
      <c r="V1536" t="str">
        <f>IFERROR(VLOOKUP(B1536,'Pre-Summary'!$Y$6:$AC$83, 5,FALSE),"")</f>
        <v/>
      </c>
      <c r="W1536" s="45" t="str">
        <f>IFERROR(VLOOKUP(B1536,'Pre-Summary'!$Y$6:$AD$83,6,FALSE),"")</f>
        <v/>
      </c>
      <c r="X1536" t="str">
        <f>IFERROR(VLOOKUP('Pre-Summary'!$DB$6:$DD$63,3,FALSE),"")</f>
        <v/>
      </c>
      <c r="Y1536" t="str">
        <f>IFERROR(VLOOKUP(B1536,'Pre-Summary'!$CR$6:$CT$36,3,FALSE),"")</f>
        <v/>
      </c>
      <c r="Z1536" s="45" t="str">
        <f>IFERROR(VLOOKUP(B1536,'Pre-Summary'!$BZ$6:$CB$63,2,FALSE),"")</f>
        <v/>
      </c>
      <c r="AA1536" s="45" t="str">
        <f>IFERROR(VLOOKUP(B1536,'Pre-Summary'!$CG$6:$CI$70,2,FALSE),"")</f>
        <v/>
      </c>
      <c r="AB1536" s="99">
        <f>IFERROR(VLOOKUP(B1536,'Pre-Summary'!$A$6:$P$178,9,FALSE),AB1537)</f>
        <v>0.35181614583388343</v>
      </c>
      <c r="AC1536" s="10">
        <f>IFERROR(VLOOKUP(Summary!B1536,'Pre-Summary'!$A$6:$P$184,5, FALSE)/100,AC1537)</f>
        <v>0.71615799999999996</v>
      </c>
      <c r="AD1536" s="10">
        <f>IFERROR(VLOOKUP(Summary!B1536,'Pre-Summary'!$A$6:$P$184,3, FALSE)/100,AD1537)</f>
        <v>0.24037466666666671</v>
      </c>
      <c r="AE1536" s="10">
        <f>IFERROR(VLOOKUP(Summary!B1536,'Pre-Summary'!$A$6:$P$184,7, FALSE)/100,AE1537)</f>
        <v>4.3467666666666661E-2</v>
      </c>
      <c r="AF1536" s="99">
        <f t="shared" si="70"/>
        <v>8.4567688782771128E-2</v>
      </c>
      <c r="AG1536" s="99">
        <f t="shared" si="71"/>
        <v>1.5292626955058631E-2</v>
      </c>
      <c r="AH1536" s="10" t="str">
        <f>IFERROR(VLOOKUP(B1536,'Pre-Summary'!$AZ$6:$BE$65,3,FALSE),"")</f>
        <v/>
      </c>
      <c r="AI1536" s="10" t="str">
        <f>IFERROR(VLOOKUP(B1536,'Pre-Summary'!$AZ$6:$BE$65,5,FALSE),"")</f>
        <v/>
      </c>
      <c r="AJ1536" s="10" t="str">
        <f>IFERROR(VLOOKUP(B1536,'Pre-Summary'!$AZ$6:$BE$65,4,FALSE),"")</f>
        <v/>
      </c>
      <c r="AK1536" s="10" t="str">
        <f>IFERROR(VLOOKUP(B1536,'Pre-Summary'!$AZ$6:$BE$65,6,FALSE),"")</f>
        <v/>
      </c>
      <c r="AL1536" s="10" t="str">
        <f>IFERROR(VLOOKUP(B1536,'Pre-Summary'!$BG$6:$BL$44,3,FALSE),"")</f>
        <v/>
      </c>
      <c r="AM1536" s="10" t="str">
        <f>IFERROR(VLOOKUP(B1536,'Pre-Summary'!$BG$6:$BL$44,4,FALSE),"")</f>
        <v/>
      </c>
    </row>
    <row r="1537" spans="2:39" ht="15" customHeight="1" x14ac:dyDescent="0.3">
      <c r="B1537">
        <v>153.4</v>
      </c>
      <c r="C1537" t="str">
        <f>IFERROR(VLOOKUP(B1537,'Pre-Summary'!$DI$6:$DM$23,4,FALSE),"")</f>
        <v/>
      </c>
      <c r="D1537" s="10" t="str">
        <f>IFERROR(VLOOKUP(B1537,'Pre-Summary'!$AT$6:$AX$14,5,FALSE),D1536)</f>
        <v>Wolfe v3: went back to modified wolfe + EDTA and switched CuSO4 to CUCl2</v>
      </c>
      <c r="E1537" s="10" t="str">
        <f>IFERROR(VLOOKUP(B1537,'Pre-Summary'!$AT$6:$AX$15,4,FALSE),"")</f>
        <v/>
      </c>
      <c r="F1537">
        <f>IFERROR(VLOOKUP(B1537,'Pre-Summary'!$AL$6:$AQ$13,6,FALSE),F1536)</f>
        <v>5.3897368421052638E-2</v>
      </c>
      <c r="G1537" t="str">
        <f>IFERROR(VLOOKUP(B1537,'Pre-Summary'!$AE$6:$AJ$85,3,FALSE),"")</f>
        <v/>
      </c>
      <c r="H1537" t="str">
        <f>IFERROR(VLOOKUP(B1537,'Pre-Summary'!$AE$6:$AJ$85,4,FALSE),"")</f>
        <v/>
      </c>
      <c r="I1537" t="str">
        <f>IFERROR(VLOOKUP(B1537,'Pre-Summary'!$AE$6:$AJ$85,5,FALSE),"")</f>
        <v/>
      </c>
      <c r="J1537" s="45" t="str">
        <f>IFERROR(VLOOKUP(B1537,'Pre-Summary'!$AE$6:$AJ$85,6, FALSE),"")</f>
        <v/>
      </c>
      <c r="K1537" s="45" t="str">
        <f>IFERROR(VLOOKUP(B1537,'Pre-Summary'!$DE$6:$DG$61,3,FALSE),"")</f>
        <v/>
      </c>
      <c r="L1537" s="45" t="str">
        <f>IFERROR(VLOOKUP(B1537,'Pre-Summary'!$CU$6:$CW$36,3,FALSE),"")</f>
        <v/>
      </c>
      <c r="M1537" s="45" t="str">
        <f>IFERROR(VLOOKUP(B1537,'Pre-Summary'!$BW$6:$BY$58,2,FALSE),"")</f>
        <v/>
      </c>
      <c r="N1537" s="45" t="str">
        <f>IFERROR(VLOOKUP(B1537,'Pre-Summary'!$CD$6:$CF$64,2,FALSE),"")</f>
        <v/>
      </c>
      <c r="O1537" s="99">
        <f>IFERROR(VLOOKUP(B1537,'Pre-Summary'!$BO$6:$BQ$48,3, FALSE),O1536)</f>
        <v>1</v>
      </c>
      <c r="P1537" s="99">
        <f>IFERROR(VLOOKUP(B1537,'Pre-Summary'!$BS$6:$BU$35,3,FALSE),P1536)</f>
        <v>0.3</v>
      </c>
      <c r="Q1537" s="54">
        <f t="shared" si="69"/>
        <v>3.3333333333333335</v>
      </c>
      <c r="R1537" s="53">
        <f>IFERROR(VLOOKUP(B1537,'Pre-Summary'!$BG$6:$BM$44,7,FALSE),R1538)</f>
        <v>0.10131789275871156</v>
      </c>
      <c r="S1537" s="53">
        <f>IFERROR(VLOOKUP(B1537,'Pre-Summary'!$BG$6:$BM$44,6,FALSE),S1538)</f>
        <v>9.6637565908873055E-2</v>
      </c>
      <c r="T1537" s="45" t="str">
        <f>IFERROR(VLOOKUP(B1537,'Pre-Summary'!$Y$6:$AC$83, 3,FALSE),"")</f>
        <v/>
      </c>
      <c r="U1537" s="45" t="str">
        <f>IFERROR(VLOOKUP(B1537,'Pre-Summary'!$Y$6:$AC$83, 4,FALSE),"")</f>
        <v/>
      </c>
      <c r="V1537" t="str">
        <f>IFERROR(VLOOKUP(B1537,'Pre-Summary'!$Y$6:$AC$83, 5,FALSE),"")</f>
        <v/>
      </c>
      <c r="W1537" s="45" t="str">
        <f>IFERROR(VLOOKUP(B1537,'Pre-Summary'!$Y$6:$AD$83,6,FALSE),"")</f>
        <v/>
      </c>
      <c r="X1537" t="str">
        <f>IFERROR(VLOOKUP('Pre-Summary'!$DB$6:$DD$63,3,FALSE),"")</f>
        <v/>
      </c>
      <c r="Y1537" t="str">
        <f>IFERROR(VLOOKUP(B1537,'Pre-Summary'!$CR$6:$CT$36,3,FALSE),"")</f>
        <v/>
      </c>
      <c r="Z1537" s="45" t="str">
        <f>IFERROR(VLOOKUP(B1537,'Pre-Summary'!$BZ$6:$CB$63,2,FALSE),"")</f>
        <v/>
      </c>
      <c r="AA1537" s="45" t="str">
        <f>IFERROR(VLOOKUP(B1537,'Pre-Summary'!$CG$6:$CI$70,2,FALSE),"")</f>
        <v/>
      </c>
      <c r="AB1537" s="99">
        <f>IFERROR(VLOOKUP(B1537,'Pre-Summary'!$A$6:$P$178,9,FALSE),AB1538)</f>
        <v>0.35181614583388343</v>
      </c>
      <c r="AC1537" s="10">
        <f>IFERROR(VLOOKUP(Summary!B1537,'Pre-Summary'!$A$6:$P$184,5, FALSE)/100,AC1538)</f>
        <v>0.71615799999999996</v>
      </c>
      <c r="AD1537" s="10">
        <f>IFERROR(VLOOKUP(Summary!B1537,'Pre-Summary'!$A$6:$P$184,3, FALSE)/100,AD1538)</f>
        <v>0.24037466666666671</v>
      </c>
      <c r="AE1537" s="10">
        <f>IFERROR(VLOOKUP(Summary!B1537,'Pre-Summary'!$A$6:$P$184,7, FALSE)/100,AE1538)</f>
        <v>4.3467666666666661E-2</v>
      </c>
      <c r="AF1537" s="99">
        <f t="shared" si="70"/>
        <v>8.4567688782771128E-2</v>
      </c>
      <c r="AG1537" s="99">
        <f t="shared" si="71"/>
        <v>1.5292626955058631E-2</v>
      </c>
      <c r="AH1537" s="10" t="str">
        <f>IFERROR(VLOOKUP(B1537,'Pre-Summary'!$AZ$6:$BE$65,3,FALSE),"")</f>
        <v/>
      </c>
      <c r="AI1537" s="10" t="str">
        <f>IFERROR(VLOOKUP(B1537,'Pre-Summary'!$AZ$6:$BE$65,5,FALSE),"")</f>
        <v/>
      </c>
      <c r="AJ1537" s="10" t="str">
        <f>IFERROR(VLOOKUP(B1537,'Pre-Summary'!$AZ$6:$BE$65,4,FALSE),"")</f>
        <v/>
      </c>
      <c r="AK1537" s="10" t="str">
        <f>IFERROR(VLOOKUP(B1537,'Pre-Summary'!$AZ$6:$BE$65,6,FALSE),"")</f>
        <v/>
      </c>
      <c r="AL1537" s="10" t="str">
        <f>IFERROR(VLOOKUP(B1537,'Pre-Summary'!$BG$6:$BL$44,3,FALSE),"")</f>
        <v/>
      </c>
      <c r="AM1537" s="10" t="str">
        <f>IFERROR(VLOOKUP(B1537,'Pre-Summary'!$BG$6:$BL$44,4,FALSE),"")</f>
        <v/>
      </c>
    </row>
    <row r="1538" spans="2:39" ht="15" customHeight="1" x14ac:dyDescent="0.3">
      <c r="B1538">
        <v>153.5</v>
      </c>
      <c r="C1538" t="str">
        <f>IFERROR(VLOOKUP(B1538,'Pre-Summary'!$DI$6:$DM$23,4,FALSE),"")</f>
        <v/>
      </c>
      <c r="D1538" s="10" t="str">
        <f>IFERROR(VLOOKUP(B1538,'Pre-Summary'!$AT$6:$AX$14,5,FALSE),D1537)</f>
        <v>Wolfe v3: went back to modified wolfe + EDTA and switched CuSO4 to CUCl2</v>
      </c>
      <c r="E1538" s="10" t="str">
        <f>IFERROR(VLOOKUP(B1538,'Pre-Summary'!$AT$6:$AX$15,4,FALSE),"")</f>
        <v/>
      </c>
      <c r="F1538">
        <f>IFERROR(VLOOKUP(B1538,'Pre-Summary'!$AL$6:$AQ$13,6,FALSE),F1537)</f>
        <v>5.3897368421052638E-2</v>
      </c>
      <c r="G1538" t="str">
        <f>IFERROR(VLOOKUP(B1538,'Pre-Summary'!$AE$6:$AJ$85,3,FALSE),"")</f>
        <v/>
      </c>
      <c r="H1538" t="str">
        <f>IFERROR(VLOOKUP(B1538,'Pre-Summary'!$AE$6:$AJ$85,4,FALSE),"")</f>
        <v/>
      </c>
      <c r="I1538" t="str">
        <f>IFERROR(VLOOKUP(B1538,'Pre-Summary'!$AE$6:$AJ$85,5,FALSE),"")</f>
        <v/>
      </c>
      <c r="J1538" s="45" t="str">
        <f>IFERROR(VLOOKUP(B1538,'Pre-Summary'!$AE$6:$AJ$85,6, FALSE),"")</f>
        <v/>
      </c>
      <c r="K1538" s="45" t="str">
        <f>IFERROR(VLOOKUP(B1538,'Pre-Summary'!$DE$6:$DG$61,3,FALSE),"")</f>
        <v/>
      </c>
      <c r="L1538" s="45" t="str">
        <f>IFERROR(VLOOKUP(B1538,'Pre-Summary'!$CU$6:$CW$36,3,FALSE),"")</f>
        <v/>
      </c>
      <c r="M1538" s="45" t="str">
        <f>IFERROR(VLOOKUP(B1538,'Pre-Summary'!$BW$6:$BY$58,2,FALSE),"")</f>
        <v/>
      </c>
      <c r="N1538" s="45">
        <f>IFERROR(VLOOKUP(B1538,'Pre-Summary'!$CD$6:$CF$64,2,FALSE),"")</f>
        <v>229.49777079839893</v>
      </c>
      <c r="O1538" s="99">
        <f>IFERROR(VLOOKUP(B1538,'Pre-Summary'!$BO$6:$BQ$48,3, FALSE),O1537)</f>
        <v>1</v>
      </c>
      <c r="P1538" s="99">
        <f>IFERROR(VLOOKUP(B1538,'Pre-Summary'!$BS$6:$BU$35,3,FALSE),P1537)</f>
        <v>0.3</v>
      </c>
      <c r="Q1538" s="54">
        <f t="shared" si="69"/>
        <v>3.3333333333333335</v>
      </c>
      <c r="R1538" s="53">
        <f>IFERROR(VLOOKUP(B1538,'Pre-Summary'!$BG$6:$BM$44,7,FALSE),R1539)</f>
        <v>0.10131789275871156</v>
      </c>
      <c r="S1538" s="53">
        <f>IFERROR(VLOOKUP(B1538,'Pre-Summary'!$BG$6:$BM$44,6,FALSE),S1539)</f>
        <v>9.6637565908873055E-2</v>
      </c>
      <c r="T1538" s="45" t="str">
        <f>IFERROR(VLOOKUP(B1538,'Pre-Summary'!$Y$6:$AC$83, 3,FALSE),"")</f>
        <v/>
      </c>
      <c r="U1538" s="45" t="str">
        <f>IFERROR(VLOOKUP(B1538,'Pre-Summary'!$Y$6:$AC$83, 4,FALSE),"")</f>
        <v/>
      </c>
      <c r="V1538" t="str">
        <f>IFERROR(VLOOKUP(B1538,'Pre-Summary'!$Y$6:$AC$83, 5,FALSE),"")</f>
        <v/>
      </c>
      <c r="W1538" s="45" t="str">
        <f>IFERROR(VLOOKUP(B1538,'Pre-Summary'!$Y$6:$AD$83,6,FALSE),"")</f>
        <v/>
      </c>
      <c r="X1538" t="str">
        <f>IFERROR(VLOOKUP('Pre-Summary'!$DB$6:$DD$63,3,FALSE),"")</f>
        <v/>
      </c>
      <c r="Y1538" t="str">
        <f>IFERROR(VLOOKUP(B1538,'Pre-Summary'!$CR$6:$CT$36,3,FALSE),"")</f>
        <v/>
      </c>
      <c r="Z1538" s="45" t="str">
        <f>IFERROR(VLOOKUP(B1538,'Pre-Summary'!$BZ$6:$CB$63,2,FALSE),"")</f>
        <v/>
      </c>
      <c r="AA1538" s="45" t="str">
        <f>IFERROR(VLOOKUP(B1538,'Pre-Summary'!$CG$6:$CI$70,2,FALSE),"")</f>
        <v/>
      </c>
      <c r="AB1538" s="99">
        <f>IFERROR(VLOOKUP(B1538,'Pre-Summary'!$A$6:$P$178,9,FALSE),AB1539)</f>
        <v>0.35181614583388343</v>
      </c>
      <c r="AC1538" s="10">
        <f>IFERROR(VLOOKUP(Summary!B1538,'Pre-Summary'!$A$6:$P$184,5, FALSE)/100,AC1539)</f>
        <v>0.71615799999999996</v>
      </c>
      <c r="AD1538" s="10">
        <f>IFERROR(VLOOKUP(Summary!B1538,'Pre-Summary'!$A$6:$P$184,3, FALSE)/100,AD1539)</f>
        <v>0.24037466666666671</v>
      </c>
      <c r="AE1538" s="10">
        <f>IFERROR(VLOOKUP(Summary!B1538,'Pre-Summary'!$A$6:$P$184,7, FALSE)/100,AE1539)</f>
        <v>4.3467666666666661E-2</v>
      </c>
      <c r="AF1538" s="99">
        <f t="shared" si="70"/>
        <v>8.4567688782771128E-2</v>
      </c>
      <c r="AG1538" s="99">
        <f t="shared" si="71"/>
        <v>1.5292626955058631E-2</v>
      </c>
      <c r="AH1538" s="10" t="str">
        <f>IFERROR(VLOOKUP(B1538,'Pre-Summary'!$AZ$6:$BE$65,3,FALSE),"")</f>
        <v/>
      </c>
      <c r="AI1538" s="10" t="str">
        <f>IFERROR(VLOOKUP(B1538,'Pre-Summary'!$AZ$6:$BE$65,5,FALSE),"")</f>
        <v/>
      </c>
      <c r="AJ1538" s="10" t="str">
        <f>IFERROR(VLOOKUP(B1538,'Pre-Summary'!$AZ$6:$BE$65,4,FALSE),"")</f>
        <v/>
      </c>
      <c r="AK1538" s="10" t="str">
        <f>IFERROR(VLOOKUP(B1538,'Pre-Summary'!$AZ$6:$BE$65,6,FALSE),"")</f>
        <v/>
      </c>
      <c r="AL1538" s="10" t="str">
        <f>IFERROR(VLOOKUP(B1538,'Pre-Summary'!$BG$6:$BL$44,3,FALSE),"")</f>
        <v/>
      </c>
      <c r="AM1538" s="10" t="str">
        <f>IFERROR(VLOOKUP(B1538,'Pre-Summary'!$BG$6:$BL$44,4,FALSE),"")</f>
        <v/>
      </c>
    </row>
    <row r="1539" spans="2:39" ht="15" customHeight="1" x14ac:dyDescent="0.3">
      <c r="B1539">
        <v>153.6</v>
      </c>
      <c r="C1539" t="str">
        <f>IFERROR(VLOOKUP(B1539,'Pre-Summary'!$DI$6:$DM$23,4,FALSE),"")</f>
        <v/>
      </c>
      <c r="D1539" s="10" t="str">
        <f>IFERROR(VLOOKUP(B1539,'Pre-Summary'!$AT$6:$AX$14,5,FALSE),D1538)</f>
        <v>Wolfe v3: went back to modified wolfe + EDTA and switched CuSO4 to CUCl2</v>
      </c>
      <c r="E1539" s="10" t="str">
        <f>IFERROR(VLOOKUP(B1539,'Pre-Summary'!$AT$6:$AX$15,4,FALSE),"")</f>
        <v/>
      </c>
      <c r="F1539">
        <f>IFERROR(VLOOKUP(B1539,'Pre-Summary'!$AL$6:$AQ$13,6,FALSE),F1538)</f>
        <v>5.3897368421052638E-2</v>
      </c>
      <c r="G1539" t="str">
        <f>IFERROR(VLOOKUP(B1539,'Pre-Summary'!$AE$6:$AJ$85,3,FALSE),"")</f>
        <v/>
      </c>
      <c r="H1539" t="str">
        <f>IFERROR(VLOOKUP(B1539,'Pre-Summary'!$AE$6:$AJ$85,4,FALSE),"")</f>
        <v/>
      </c>
      <c r="I1539" t="str">
        <f>IFERROR(VLOOKUP(B1539,'Pre-Summary'!$AE$6:$AJ$85,5,FALSE),"")</f>
        <v/>
      </c>
      <c r="J1539" s="45" t="str">
        <f>IFERROR(VLOOKUP(B1539,'Pre-Summary'!$AE$6:$AJ$85,6, FALSE),"")</f>
        <v/>
      </c>
      <c r="K1539" s="45" t="str">
        <f>IFERROR(VLOOKUP(B1539,'Pre-Summary'!$DE$6:$DG$61,3,FALSE),"")</f>
        <v/>
      </c>
      <c r="L1539" s="45" t="str">
        <f>IFERROR(VLOOKUP(B1539,'Pre-Summary'!$CU$6:$CW$36,3,FALSE),"")</f>
        <v/>
      </c>
      <c r="M1539" s="45" t="str">
        <f>IFERROR(VLOOKUP(B1539,'Pre-Summary'!$BW$6:$BY$58,2,FALSE),"")</f>
        <v/>
      </c>
      <c r="N1539" s="45" t="str">
        <f>IFERROR(VLOOKUP(B1539,'Pre-Summary'!$CD$6:$CF$64,2,FALSE),"")</f>
        <v/>
      </c>
      <c r="O1539" s="99">
        <f>IFERROR(VLOOKUP(B1539,'Pre-Summary'!$BO$6:$BQ$48,3, FALSE),O1538)</f>
        <v>1</v>
      </c>
      <c r="P1539" s="99">
        <f>IFERROR(VLOOKUP(B1539,'Pre-Summary'!$BS$6:$BU$35,3,FALSE),P1538)</f>
        <v>0.3</v>
      </c>
      <c r="Q1539" s="54">
        <f t="shared" ref="Q1539:Q1602" si="72">O1539/P1539</f>
        <v>3.3333333333333335</v>
      </c>
      <c r="R1539" s="53">
        <f>IFERROR(VLOOKUP(B1539,'Pre-Summary'!$BG$6:$BM$44,7,FALSE),R1540)</f>
        <v>0.10131789275871156</v>
      </c>
      <c r="S1539" s="53">
        <f>IFERROR(VLOOKUP(B1539,'Pre-Summary'!$BG$6:$BM$44,6,FALSE),S1540)</f>
        <v>9.6637565908873055E-2</v>
      </c>
      <c r="T1539" s="45" t="str">
        <f>IFERROR(VLOOKUP(B1539,'Pre-Summary'!$Y$6:$AC$83, 3,FALSE),"")</f>
        <v/>
      </c>
      <c r="U1539" s="45" t="str">
        <f>IFERROR(VLOOKUP(B1539,'Pre-Summary'!$Y$6:$AC$83, 4,FALSE),"")</f>
        <v/>
      </c>
      <c r="V1539" t="str">
        <f>IFERROR(VLOOKUP(B1539,'Pre-Summary'!$Y$6:$AC$83, 5,FALSE),"")</f>
        <v/>
      </c>
      <c r="W1539" s="45" t="str">
        <f>IFERROR(VLOOKUP(B1539,'Pre-Summary'!$Y$6:$AD$83,6,FALSE),"")</f>
        <v/>
      </c>
      <c r="X1539" t="str">
        <f>IFERROR(VLOOKUP('Pre-Summary'!$DB$6:$DD$63,3,FALSE),"")</f>
        <v/>
      </c>
      <c r="Y1539" t="str">
        <f>IFERROR(VLOOKUP(B1539,'Pre-Summary'!$CR$6:$CT$36,3,FALSE),"")</f>
        <v/>
      </c>
      <c r="Z1539" s="45" t="str">
        <f>IFERROR(VLOOKUP(B1539,'Pre-Summary'!$BZ$6:$CB$63,2,FALSE),"")</f>
        <v/>
      </c>
      <c r="AA1539" s="45" t="str">
        <f>IFERROR(VLOOKUP(B1539,'Pre-Summary'!$CG$6:$CI$70,2,FALSE),"")</f>
        <v/>
      </c>
      <c r="AB1539" s="99">
        <f>IFERROR(VLOOKUP(B1539,'Pre-Summary'!$A$6:$P$178,9,FALSE),AB1540)</f>
        <v>0.35181614583388343</v>
      </c>
      <c r="AC1539" s="10">
        <f>IFERROR(VLOOKUP(Summary!B1539,'Pre-Summary'!$A$6:$P$184,5, FALSE)/100,AC1540)</f>
        <v>0.71615799999999996</v>
      </c>
      <c r="AD1539" s="10">
        <f>IFERROR(VLOOKUP(Summary!B1539,'Pre-Summary'!$A$6:$P$184,3, FALSE)/100,AD1540)</f>
        <v>0.24037466666666671</v>
      </c>
      <c r="AE1539" s="10">
        <f>IFERROR(VLOOKUP(Summary!B1539,'Pre-Summary'!$A$6:$P$184,7, FALSE)/100,AE1540)</f>
        <v>4.3467666666666661E-2</v>
      </c>
      <c r="AF1539" s="99">
        <f t="shared" ref="AF1539:AF1602" si="73">AD1539*AB1539</f>
        <v>8.4567688782771128E-2</v>
      </c>
      <c r="AG1539" s="99">
        <f t="shared" ref="AG1539:AG1602" si="74">AB1539*AE1539</f>
        <v>1.5292626955058631E-2</v>
      </c>
      <c r="AH1539" s="10" t="str">
        <f>IFERROR(VLOOKUP(B1539,'Pre-Summary'!$AZ$6:$BE$65,3,FALSE),"")</f>
        <v/>
      </c>
      <c r="AI1539" s="10" t="str">
        <f>IFERROR(VLOOKUP(B1539,'Pre-Summary'!$AZ$6:$BE$65,5,FALSE),"")</f>
        <v/>
      </c>
      <c r="AJ1539" s="10" t="str">
        <f>IFERROR(VLOOKUP(B1539,'Pre-Summary'!$AZ$6:$BE$65,4,FALSE),"")</f>
        <v/>
      </c>
      <c r="AK1539" s="10" t="str">
        <f>IFERROR(VLOOKUP(B1539,'Pre-Summary'!$AZ$6:$BE$65,6,FALSE),"")</f>
        <v/>
      </c>
      <c r="AL1539" s="10" t="str">
        <f>IFERROR(VLOOKUP(B1539,'Pre-Summary'!$BG$6:$BL$44,3,FALSE),"")</f>
        <v/>
      </c>
      <c r="AM1539" s="10" t="str">
        <f>IFERROR(VLOOKUP(B1539,'Pre-Summary'!$BG$6:$BL$44,4,FALSE),"")</f>
        <v/>
      </c>
    </row>
    <row r="1540" spans="2:39" ht="15" customHeight="1" x14ac:dyDescent="0.3">
      <c r="B1540">
        <v>153.69999999999999</v>
      </c>
      <c r="C1540" t="str">
        <f>IFERROR(VLOOKUP(B1540,'Pre-Summary'!$DI$6:$DM$23,4,FALSE),"")</f>
        <v/>
      </c>
      <c r="D1540" s="10" t="str">
        <f>IFERROR(VLOOKUP(B1540,'Pre-Summary'!$AT$6:$AX$14,5,FALSE),D1539)</f>
        <v>Wolfe v3: went back to modified wolfe + EDTA and switched CuSO4 to CUCl2</v>
      </c>
      <c r="E1540" s="10" t="str">
        <f>IFERROR(VLOOKUP(B1540,'Pre-Summary'!$AT$6:$AX$15,4,FALSE),"")</f>
        <v/>
      </c>
      <c r="F1540">
        <f>IFERROR(VLOOKUP(B1540,'Pre-Summary'!$AL$6:$AQ$13,6,FALSE),F1539)</f>
        <v>5.3897368421052638E-2</v>
      </c>
      <c r="G1540" t="str">
        <f>IFERROR(VLOOKUP(B1540,'Pre-Summary'!$AE$6:$AJ$85,3,FALSE),"")</f>
        <v/>
      </c>
      <c r="H1540" t="str">
        <f>IFERROR(VLOOKUP(B1540,'Pre-Summary'!$AE$6:$AJ$85,4,FALSE),"")</f>
        <v/>
      </c>
      <c r="I1540" t="str">
        <f>IFERROR(VLOOKUP(B1540,'Pre-Summary'!$AE$6:$AJ$85,5,FALSE),"")</f>
        <v/>
      </c>
      <c r="J1540" s="45" t="str">
        <f>IFERROR(VLOOKUP(B1540,'Pre-Summary'!$AE$6:$AJ$85,6, FALSE),"")</f>
        <v/>
      </c>
      <c r="K1540" s="45" t="str">
        <f>IFERROR(VLOOKUP(B1540,'Pre-Summary'!$DE$6:$DG$61,3,FALSE),"")</f>
        <v/>
      </c>
      <c r="L1540" s="45" t="str">
        <f>IFERROR(VLOOKUP(B1540,'Pre-Summary'!$CU$6:$CW$36,3,FALSE),"")</f>
        <v/>
      </c>
      <c r="M1540" s="45" t="str">
        <f>IFERROR(VLOOKUP(B1540,'Pre-Summary'!$BW$6:$BY$58,2,FALSE),"")</f>
        <v/>
      </c>
      <c r="N1540" s="45" t="str">
        <f>IFERROR(VLOOKUP(B1540,'Pre-Summary'!$CD$6:$CF$64,2,FALSE),"")</f>
        <v/>
      </c>
      <c r="O1540" s="99">
        <f>IFERROR(VLOOKUP(B1540,'Pre-Summary'!$BO$6:$BQ$48,3, FALSE),O1539)</f>
        <v>1</v>
      </c>
      <c r="P1540" s="99">
        <f>IFERROR(VLOOKUP(B1540,'Pre-Summary'!$BS$6:$BU$35,3,FALSE),P1539)</f>
        <v>0.3</v>
      </c>
      <c r="Q1540" s="54">
        <f t="shared" si="72"/>
        <v>3.3333333333333335</v>
      </c>
      <c r="R1540" s="53">
        <f>IFERROR(VLOOKUP(B1540,'Pre-Summary'!$BG$6:$BM$44,7,FALSE),R1541)</f>
        <v>0.10131789275871156</v>
      </c>
      <c r="S1540" s="53">
        <f>IFERROR(VLOOKUP(B1540,'Pre-Summary'!$BG$6:$BM$44,6,FALSE),S1541)</f>
        <v>9.6637565908873055E-2</v>
      </c>
      <c r="T1540" s="45" t="str">
        <f>IFERROR(VLOOKUP(B1540,'Pre-Summary'!$Y$6:$AC$83, 3,FALSE),"")</f>
        <v/>
      </c>
      <c r="U1540" s="45" t="str">
        <f>IFERROR(VLOOKUP(B1540,'Pre-Summary'!$Y$6:$AC$83, 4,FALSE),"")</f>
        <v/>
      </c>
      <c r="V1540" t="str">
        <f>IFERROR(VLOOKUP(B1540,'Pre-Summary'!$Y$6:$AC$83, 5,FALSE),"")</f>
        <v/>
      </c>
      <c r="W1540" s="45" t="str">
        <f>IFERROR(VLOOKUP(B1540,'Pre-Summary'!$Y$6:$AD$83,6,FALSE),"")</f>
        <v/>
      </c>
      <c r="X1540" t="str">
        <f>IFERROR(VLOOKUP('Pre-Summary'!$DB$6:$DD$63,3,FALSE),"")</f>
        <v/>
      </c>
      <c r="Y1540" t="str">
        <f>IFERROR(VLOOKUP(B1540,'Pre-Summary'!$CR$6:$CT$36,3,FALSE),"")</f>
        <v/>
      </c>
      <c r="Z1540" s="45" t="str">
        <f>IFERROR(VLOOKUP(B1540,'Pre-Summary'!$BZ$6:$CB$63,2,FALSE),"")</f>
        <v/>
      </c>
      <c r="AA1540" s="45" t="str">
        <f>IFERROR(VLOOKUP(B1540,'Pre-Summary'!$CG$6:$CI$70,2,FALSE),"")</f>
        <v/>
      </c>
      <c r="AB1540" s="99">
        <f>IFERROR(VLOOKUP(B1540,'Pre-Summary'!$A$6:$P$178,9,FALSE),AB1541)</f>
        <v>0.35181614583388343</v>
      </c>
      <c r="AC1540" s="10">
        <f>IFERROR(VLOOKUP(Summary!B1540,'Pre-Summary'!$A$6:$P$184,5, FALSE)/100,AC1541)</f>
        <v>0.71615799999999996</v>
      </c>
      <c r="AD1540" s="10">
        <f>IFERROR(VLOOKUP(Summary!B1540,'Pre-Summary'!$A$6:$P$184,3, FALSE)/100,AD1541)</f>
        <v>0.24037466666666671</v>
      </c>
      <c r="AE1540" s="10">
        <f>IFERROR(VLOOKUP(Summary!B1540,'Pre-Summary'!$A$6:$P$184,7, FALSE)/100,AE1541)</f>
        <v>4.3467666666666661E-2</v>
      </c>
      <c r="AF1540" s="99">
        <f t="shared" si="73"/>
        <v>8.4567688782771128E-2</v>
      </c>
      <c r="AG1540" s="99">
        <f t="shared" si="74"/>
        <v>1.5292626955058631E-2</v>
      </c>
      <c r="AH1540" s="10" t="str">
        <f>IFERROR(VLOOKUP(B1540,'Pre-Summary'!$AZ$6:$BE$65,3,FALSE),"")</f>
        <v/>
      </c>
      <c r="AI1540" s="10" t="str">
        <f>IFERROR(VLOOKUP(B1540,'Pre-Summary'!$AZ$6:$BE$65,5,FALSE),"")</f>
        <v/>
      </c>
      <c r="AJ1540" s="10" t="str">
        <f>IFERROR(VLOOKUP(B1540,'Pre-Summary'!$AZ$6:$BE$65,4,FALSE),"")</f>
        <v/>
      </c>
      <c r="AK1540" s="10" t="str">
        <f>IFERROR(VLOOKUP(B1540,'Pre-Summary'!$AZ$6:$BE$65,6,FALSE),"")</f>
        <v/>
      </c>
      <c r="AL1540" s="10" t="str">
        <f>IFERROR(VLOOKUP(B1540,'Pre-Summary'!$BG$6:$BL$44,3,FALSE),"")</f>
        <v/>
      </c>
      <c r="AM1540" s="10" t="str">
        <f>IFERROR(VLOOKUP(B1540,'Pre-Summary'!$BG$6:$BL$44,4,FALSE),"")</f>
        <v/>
      </c>
    </row>
    <row r="1541" spans="2:39" ht="15" customHeight="1" x14ac:dyDescent="0.3">
      <c r="B1541">
        <v>153.80000000000001</v>
      </c>
      <c r="C1541" t="str">
        <f>IFERROR(VLOOKUP(B1541,'Pre-Summary'!$DI$6:$DM$23,4,FALSE),"")</f>
        <v/>
      </c>
      <c r="D1541" s="10" t="str">
        <f>IFERROR(VLOOKUP(B1541,'Pre-Summary'!$AT$6:$AX$14,5,FALSE),D1540)</f>
        <v>Wolfe v3: went back to modified wolfe + EDTA and switched CuSO4 to CUCl2</v>
      </c>
      <c r="E1541" s="10" t="str">
        <f>IFERROR(VLOOKUP(B1541,'Pre-Summary'!$AT$6:$AX$15,4,FALSE),"")</f>
        <v/>
      </c>
      <c r="F1541">
        <f>IFERROR(VLOOKUP(B1541,'Pre-Summary'!$AL$6:$AQ$13,6,FALSE),F1540)</f>
        <v>5.3897368421052638E-2</v>
      </c>
      <c r="G1541" t="str">
        <f>IFERROR(VLOOKUP(B1541,'Pre-Summary'!$AE$6:$AJ$85,3,FALSE),"")</f>
        <v/>
      </c>
      <c r="H1541" t="str">
        <f>IFERROR(VLOOKUP(B1541,'Pre-Summary'!$AE$6:$AJ$85,4,FALSE),"")</f>
        <v/>
      </c>
      <c r="I1541" t="str">
        <f>IFERROR(VLOOKUP(B1541,'Pre-Summary'!$AE$6:$AJ$85,5,FALSE),"")</f>
        <v/>
      </c>
      <c r="J1541" s="45" t="str">
        <f>IFERROR(VLOOKUP(B1541,'Pre-Summary'!$AE$6:$AJ$85,6, FALSE),"")</f>
        <v/>
      </c>
      <c r="K1541" s="45">
        <f>IFERROR(VLOOKUP(B1541,'Pre-Summary'!$DE$6:$DG$61,3,FALSE),"")</f>
        <v>570</v>
      </c>
      <c r="L1541" s="45">
        <f>IFERROR(VLOOKUP(B1541,'Pre-Summary'!$CU$6:$CW$36,3,FALSE),"")</f>
        <v>272</v>
      </c>
      <c r="M1541" s="45" t="str">
        <f>IFERROR(VLOOKUP(B1541,'Pre-Summary'!$BW$6:$BY$58,2,FALSE),"")</f>
        <v/>
      </c>
      <c r="N1541" s="45" t="str">
        <f>IFERROR(VLOOKUP(B1541,'Pre-Summary'!$CD$6:$CF$64,2,FALSE),"")</f>
        <v/>
      </c>
      <c r="O1541" s="99">
        <f>IFERROR(VLOOKUP(B1541,'Pre-Summary'!$BO$6:$BQ$48,3, FALSE),O1540)</f>
        <v>1</v>
      </c>
      <c r="P1541" s="99">
        <f>IFERROR(VLOOKUP(B1541,'Pre-Summary'!$BS$6:$BU$35,3,FALSE),P1540)</f>
        <v>0.3</v>
      </c>
      <c r="Q1541" s="54">
        <f t="shared" si="72"/>
        <v>3.3333333333333335</v>
      </c>
      <c r="R1541" s="53">
        <f>IFERROR(VLOOKUP(B1541,'Pre-Summary'!$BG$6:$BM$44,7,FALSE),R1542)</f>
        <v>0.10131789275871156</v>
      </c>
      <c r="S1541" s="53">
        <f>IFERROR(VLOOKUP(B1541,'Pre-Summary'!$BG$6:$BM$44,6,FALSE),S1542)</f>
        <v>9.6637565908873055E-2</v>
      </c>
      <c r="T1541" s="45" t="str">
        <f>IFERROR(VLOOKUP(B1541,'Pre-Summary'!$Y$6:$AC$83, 3,FALSE),"")</f>
        <v/>
      </c>
      <c r="U1541" s="45" t="str">
        <f>IFERROR(VLOOKUP(B1541,'Pre-Summary'!$Y$6:$AC$83, 4,FALSE),"")</f>
        <v/>
      </c>
      <c r="V1541" t="str">
        <f>IFERROR(VLOOKUP(B1541,'Pre-Summary'!$Y$6:$AC$83, 5,FALSE),"")</f>
        <v/>
      </c>
      <c r="W1541" s="45" t="str">
        <f>IFERROR(VLOOKUP(B1541,'Pre-Summary'!$Y$6:$AD$83,6,FALSE),"")</f>
        <v/>
      </c>
      <c r="X1541" t="str">
        <f>IFERROR(VLOOKUP('Pre-Summary'!$DB$6:$DD$63,3,FALSE),"")</f>
        <v/>
      </c>
      <c r="Y1541">
        <f>IFERROR(VLOOKUP(B1541,'Pre-Summary'!$CR$6:$CT$36,3,FALSE),"")</f>
        <v>286.00000000000006</v>
      </c>
      <c r="Z1541" s="45" t="str">
        <f>IFERROR(VLOOKUP(B1541,'Pre-Summary'!$BZ$6:$CB$63,2,FALSE),"")</f>
        <v/>
      </c>
      <c r="AA1541" s="45" t="str">
        <f>IFERROR(VLOOKUP(B1541,'Pre-Summary'!$CG$6:$CI$70,2,FALSE),"")</f>
        <v/>
      </c>
      <c r="AB1541" s="99">
        <f>IFERROR(VLOOKUP(B1541,'Pre-Summary'!$A$6:$P$178,9,FALSE),AB1542)</f>
        <v>0.35181614583388343</v>
      </c>
      <c r="AC1541" s="10">
        <f>IFERROR(VLOOKUP(Summary!B1541,'Pre-Summary'!$A$6:$P$184,5, FALSE)/100,AC1542)</f>
        <v>0.71615799999999996</v>
      </c>
      <c r="AD1541" s="10">
        <f>IFERROR(VLOOKUP(Summary!B1541,'Pre-Summary'!$A$6:$P$184,3, FALSE)/100,AD1542)</f>
        <v>0.24037466666666671</v>
      </c>
      <c r="AE1541" s="10">
        <f>IFERROR(VLOOKUP(Summary!B1541,'Pre-Summary'!$A$6:$P$184,7, FALSE)/100,AE1542)</f>
        <v>4.3467666666666661E-2</v>
      </c>
      <c r="AF1541" s="99">
        <f t="shared" si="73"/>
        <v>8.4567688782771128E-2</v>
      </c>
      <c r="AG1541" s="99">
        <f t="shared" si="74"/>
        <v>1.5292626955058631E-2</v>
      </c>
      <c r="AH1541" s="10" t="str">
        <f>IFERROR(VLOOKUP(B1541,'Pre-Summary'!$AZ$6:$BE$65,3,FALSE),"")</f>
        <v/>
      </c>
      <c r="AI1541" s="10" t="str">
        <f>IFERROR(VLOOKUP(B1541,'Pre-Summary'!$AZ$6:$BE$65,5,FALSE),"")</f>
        <v/>
      </c>
      <c r="AJ1541" s="10" t="str">
        <f>IFERROR(VLOOKUP(B1541,'Pre-Summary'!$AZ$6:$BE$65,4,FALSE),"")</f>
        <v/>
      </c>
      <c r="AK1541" s="10" t="str">
        <f>IFERROR(VLOOKUP(B1541,'Pre-Summary'!$AZ$6:$BE$65,6,FALSE),"")</f>
        <v/>
      </c>
      <c r="AL1541" s="10" t="str">
        <f>IFERROR(VLOOKUP(B1541,'Pre-Summary'!$BG$6:$BL$44,3,FALSE),"")</f>
        <v/>
      </c>
      <c r="AM1541" s="10" t="str">
        <f>IFERROR(VLOOKUP(B1541,'Pre-Summary'!$BG$6:$BL$44,4,FALSE),"")</f>
        <v/>
      </c>
    </row>
    <row r="1542" spans="2:39" ht="15" customHeight="1" x14ac:dyDescent="0.3">
      <c r="B1542">
        <v>153.9</v>
      </c>
      <c r="C1542" t="str">
        <f>IFERROR(VLOOKUP(B1542,'Pre-Summary'!$DI$6:$DM$23,4,FALSE),"")</f>
        <v/>
      </c>
      <c r="D1542" s="10" t="str">
        <f>IFERROR(VLOOKUP(B1542,'Pre-Summary'!$AT$6:$AX$14,5,FALSE),D1541)</f>
        <v>Wolfe v3: went back to modified wolfe + EDTA and switched CuSO4 to CUCl2</v>
      </c>
      <c r="E1542" s="10" t="str">
        <f>IFERROR(VLOOKUP(B1542,'Pre-Summary'!$AT$6:$AX$15,4,FALSE),"")</f>
        <v/>
      </c>
      <c r="F1542">
        <f>IFERROR(VLOOKUP(B1542,'Pre-Summary'!$AL$6:$AQ$13,6,FALSE),F1541)</f>
        <v>5.3897368421052638E-2</v>
      </c>
      <c r="G1542" t="str">
        <f>IFERROR(VLOOKUP(B1542,'Pre-Summary'!$AE$6:$AJ$85,3,FALSE),"")</f>
        <v/>
      </c>
      <c r="H1542" t="str">
        <f>IFERROR(VLOOKUP(B1542,'Pre-Summary'!$AE$6:$AJ$85,4,FALSE),"")</f>
        <v/>
      </c>
      <c r="I1542" t="str">
        <f>IFERROR(VLOOKUP(B1542,'Pre-Summary'!$AE$6:$AJ$85,5,FALSE),"")</f>
        <v/>
      </c>
      <c r="J1542" s="45" t="str">
        <f>IFERROR(VLOOKUP(B1542,'Pre-Summary'!$AE$6:$AJ$85,6, FALSE),"")</f>
        <v/>
      </c>
      <c r="K1542" s="45" t="str">
        <f>IFERROR(VLOOKUP(B1542,'Pre-Summary'!$DE$6:$DG$61,3,FALSE),"")</f>
        <v/>
      </c>
      <c r="L1542" s="45" t="str">
        <f>IFERROR(VLOOKUP(B1542,'Pre-Summary'!$CU$6:$CW$36,3,FALSE),"")</f>
        <v/>
      </c>
      <c r="M1542" s="45" t="str">
        <f>IFERROR(VLOOKUP(B1542,'Pre-Summary'!$BW$6:$BY$58,2,FALSE),"")</f>
        <v/>
      </c>
      <c r="N1542" s="45" t="str">
        <f>IFERROR(VLOOKUP(B1542,'Pre-Summary'!$CD$6:$CF$64,2,FALSE),"")</f>
        <v/>
      </c>
      <c r="O1542" s="99">
        <f>IFERROR(VLOOKUP(B1542,'Pre-Summary'!$BO$6:$BQ$48,3, FALSE),O1541)</f>
        <v>1</v>
      </c>
      <c r="P1542" s="99">
        <f>IFERROR(VLOOKUP(B1542,'Pre-Summary'!$BS$6:$BU$35,3,FALSE),P1541)</f>
        <v>0.3</v>
      </c>
      <c r="Q1542" s="54">
        <f t="shared" si="72"/>
        <v>3.3333333333333335</v>
      </c>
      <c r="R1542" s="53">
        <f>IFERROR(VLOOKUP(B1542,'Pre-Summary'!$BG$6:$BM$44,7,FALSE),R1543)</f>
        <v>0.10131789275871156</v>
      </c>
      <c r="S1542" s="53">
        <f>IFERROR(VLOOKUP(B1542,'Pre-Summary'!$BG$6:$BM$44,6,FALSE),S1543)</f>
        <v>9.6637565908873055E-2</v>
      </c>
      <c r="T1542" s="45" t="str">
        <f>IFERROR(VLOOKUP(B1542,'Pre-Summary'!$Y$6:$AC$83, 3,FALSE),"")</f>
        <v/>
      </c>
      <c r="U1542" s="45" t="str">
        <f>IFERROR(VLOOKUP(B1542,'Pre-Summary'!$Y$6:$AC$83, 4,FALSE),"")</f>
        <v/>
      </c>
      <c r="V1542" t="str">
        <f>IFERROR(VLOOKUP(B1542,'Pre-Summary'!$Y$6:$AC$83, 5,FALSE),"")</f>
        <v/>
      </c>
      <c r="W1542" s="45" t="str">
        <f>IFERROR(VLOOKUP(B1542,'Pre-Summary'!$Y$6:$AD$83,6,FALSE),"")</f>
        <v/>
      </c>
      <c r="X1542" t="str">
        <f>IFERROR(VLOOKUP('Pre-Summary'!$DB$6:$DD$63,3,FALSE),"")</f>
        <v/>
      </c>
      <c r="Y1542" t="str">
        <f>IFERROR(VLOOKUP(B1542,'Pre-Summary'!$CR$6:$CT$36,3,FALSE),"")</f>
        <v/>
      </c>
      <c r="Z1542" s="45" t="str">
        <f>IFERROR(VLOOKUP(B1542,'Pre-Summary'!$BZ$6:$CB$63,2,FALSE),"")</f>
        <v/>
      </c>
      <c r="AA1542" s="45" t="str">
        <f>IFERROR(VLOOKUP(B1542,'Pre-Summary'!$CG$6:$CI$70,2,FALSE),"")</f>
        <v/>
      </c>
      <c r="AB1542" s="99">
        <f>IFERROR(VLOOKUP(B1542,'Pre-Summary'!$A$6:$P$178,9,FALSE),AB1543)</f>
        <v>0.35181614583388343</v>
      </c>
      <c r="AC1542" s="10">
        <f>IFERROR(VLOOKUP(Summary!B1542,'Pre-Summary'!$A$6:$P$184,5, FALSE)/100,AC1543)</f>
        <v>0.71615799999999996</v>
      </c>
      <c r="AD1542" s="10">
        <f>IFERROR(VLOOKUP(Summary!B1542,'Pre-Summary'!$A$6:$P$184,3, FALSE)/100,AD1543)</f>
        <v>0.24037466666666671</v>
      </c>
      <c r="AE1542" s="10">
        <f>IFERROR(VLOOKUP(Summary!B1542,'Pre-Summary'!$A$6:$P$184,7, FALSE)/100,AE1543)</f>
        <v>4.3467666666666661E-2</v>
      </c>
      <c r="AF1542" s="99">
        <f t="shared" si="73"/>
        <v>8.4567688782771128E-2</v>
      </c>
      <c r="AG1542" s="99">
        <f t="shared" si="74"/>
        <v>1.5292626955058631E-2</v>
      </c>
      <c r="AH1542" s="10" t="str">
        <f>IFERROR(VLOOKUP(B1542,'Pre-Summary'!$AZ$6:$BE$65,3,FALSE),"")</f>
        <v/>
      </c>
      <c r="AI1542" s="10" t="str">
        <f>IFERROR(VLOOKUP(B1542,'Pre-Summary'!$AZ$6:$BE$65,5,FALSE),"")</f>
        <v/>
      </c>
      <c r="AJ1542" s="10" t="str">
        <f>IFERROR(VLOOKUP(B1542,'Pre-Summary'!$AZ$6:$BE$65,4,FALSE),"")</f>
        <v/>
      </c>
      <c r="AK1542" s="10" t="str">
        <f>IFERROR(VLOOKUP(B1542,'Pre-Summary'!$AZ$6:$BE$65,6,FALSE),"")</f>
        <v/>
      </c>
      <c r="AL1542" s="10" t="str">
        <f>IFERROR(VLOOKUP(B1542,'Pre-Summary'!$BG$6:$BL$44,3,FALSE),"")</f>
        <v/>
      </c>
      <c r="AM1542" s="10" t="str">
        <f>IFERROR(VLOOKUP(B1542,'Pre-Summary'!$BG$6:$BL$44,4,FALSE),"")</f>
        <v/>
      </c>
    </row>
    <row r="1543" spans="2:39" ht="15" customHeight="1" x14ac:dyDescent="0.3">
      <c r="B1543">
        <v>154</v>
      </c>
      <c r="C1543" t="str">
        <f>IFERROR(VLOOKUP(B1543,'Pre-Summary'!$DI$6:$DM$23,4,FALSE),"")</f>
        <v/>
      </c>
      <c r="D1543" s="10" t="str">
        <f>IFERROR(VLOOKUP(B1543,'Pre-Summary'!$AT$6:$AX$14,5,FALSE),D1542)</f>
        <v>Wolfe v3: went back to modified wolfe + EDTA and switched CuSO4 to CUCl2</v>
      </c>
      <c r="E1543" s="10" t="str">
        <f>IFERROR(VLOOKUP(B1543,'Pre-Summary'!$AT$6:$AX$15,4,FALSE),"")</f>
        <v/>
      </c>
      <c r="F1543">
        <f>IFERROR(VLOOKUP(B1543,'Pre-Summary'!$AL$6:$AQ$13,6,FALSE),F1542)</f>
        <v>5.9405263157894746E-2</v>
      </c>
      <c r="G1543" t="str">
        <f>IFERROR(VLOOKUP(B1543,'Pre-Summary'!$AE$6:$AJ$85,3,FALSE),"")</f>
        <v/>
      </c>
      <c r="H1543" t="str">
        <f>IFERROR(VLOOKUP(B1543,'Pre-Summary'!$AE$6:$AJ$85,4,FALSE),"")</f>
        <v/>
      </c>
      <c r="I1543" t="str">
        <f>IFERROR(VLOOKUP(B1543,'Pre-Summary'!$AE$6:$AJ$85,5,FALSE),"")</f>
        <v/>
      </c>
      <c r="J1543" s="45" t="str">
        <f>IFERROR(VLOOKUP(B1543,'Pre-Summary'!$AE$6:$AJ$85,6, FALSE),"")</f>
        <v/>
      </c>
      <c r="K1543" s="45" t="str">
        <f>IFERROR(VLOOKUP(B1543,'Pre-Summary'!$DE$6:$DG$61,3,FALSE),"")</f>
        <v/>
      </c>
      <c r="L1543" s="45" t="str">
        <f>IFERROR(VLOOKUP(B1543,'Pre-Summary'!$CU$6:$CW$36,3,FALSE),"")</f>
        <v/>
      </c>
      <c r="M1543" s="45" t="str">
        <f>IFERROR(VLOOKUP(B1543,'Pre-Summary'!$BW$6:$BY$58,2,FALSE),"")</f>
        <v/>
      </c>
      <c r="N1543" s="45" t="str">
        <f>IFERROR(VLOOKUP(B1543,'Pre-Summary'!$CD$6:$CF$64,2,FALSE),"")</f>
        <v/>
      </c>
      <c r="O1543" s="99">
        <f>IFERROR(VLOOKUP(B1543,'Pre-Summary'!$BO$6:$BQ$48,3, FALSE),O1542)</f>
        <v>1</v>
      </c>
      <c r="P1543" s="99">
        <f>IFERROR(VLOOKUP(B1543,'Pre-Summary'!$BS$6:$BU$35,3,FALSE),P1542)</f>
        <v>0.3</v>
      </c>
      <c r="Q1543" s="54">
        <f t="shared" si="72"/>
        <v>3.3333333333333335</v>
      </c>
      <c r="R1543" s="53">
        <f>IFERROR(VLOOKUP(B1543,'Pre-Summary'!$BG$6:$BM$44,7,FALSE),R1544)</f>
        <v>0.10131789275871156</v>
      </c>
      <c r="S1543" s="53">
        <f>IFERROR(VLOOKUP(B1543,'Pre-Summary'!$BG$6:$BM$44,6,FALSE),S1544)</f>
        <v>9.6637565908873055E-2</v>
      </c>
      <c r="T1543" s="45" t="str">
        <f>IFERROR(VLOOKUP(B1543,'Pre-Summary'!$Y$6:$AC$83, 3,FALSE),"")</f>
        <v/>
      </c>
      <c r="U1543" s="45" t="str">
        <f>IFERROR(VLOOKUP(B1543,'Pre-Summary'!$Y$6:$AC$83, 4,FALSE),"")</f>
        <v/>
      </c>
      <c r="V1543" t="str">
        <f>IFERROR(VLOOKUP(B1543,'Pre-Summary'!$Y$6:$AC$83, 5,FALSE),"")</f>
        <v/>
      </c>
      <c r="W1543" s="45" t="str">
        <f>IFERROR(VLOOKUP(B1543,'Pre-Summary'!$Y$6:$AD$83,6,FALSE),"")</f>
        <v/>
      </c>
      <c r="X1543" t="str">
        <f>IFERROR(VLOOKUP('Pre-Summary'!$DB$6:$DD$63,3,FALSE),"")</f>
        <v/>
      </c>
      <c r="Y1543" t="str">
        <f>IFERROR(VLOOKUP(B1543,'Pre-Summary'!$CR$6:$CT$36,3,FALSE),"")</f>
        <v/>
      </c>
      <c r="Z1543" s="45">
        <f>IFERROR(VLOOKUP(B1543,'Pre-Summary'!$BZ$6:$CB$63,2,FALSE),"")</f>
        <v>30.924664083749629</v>
      </c>
      <c r="AA1543" s="45">
        <f>IFERROR(VLOOKUP(B1543,'Pre-Summary'!$CG$6:$CI$70,2,FALSE),"")</f>
        <v>237.61576225937293</v>
      </c>
      <c r="AB1543" s="99">
        <f>IFERROR(VLOOKUP(B1543,'Pre-Summary'!$A$6:$P$178,9,FALSE),AB1544)</f>
        <v>0.35181614583388343</v>
      </c>
      <c r="AC1543" s="10">
        <f>IFERROR(VLOOKUP(Summary!B1543,'Pre-Summary'!$A$6:$P$184,5, FALSE)/100,AC1544)</f>
        <v>0.71615799999999996</v>
      </c>
      <c r="AD1543" s="10">
        <f>IFERROR(VLOOKUP(Summary!B1543,'Pre-Summary'!$A$6:$P$184,3, FALSE)/100,AD1544)</f>
        <v>0.24037466666666671</v>
      </c>
      <c r="AE1543" s="10">
        <f>IFERROR(VLOOKUP(Summary!B1543,'Pre-Summary'!$A$6:$P$184,7, FALSE)/100,AE1544)</f>
        <v>4.3467666666666661E-2</v>
      </c>
      <c r="AF1543" s="99">
        <f t="shared" si="73"/>
        <v>8.4567688782771128E-2</v>
      </c>
      <c r="AG1543" s="99">
        <f t="shared" si="74"/>
        <v>1.5292626955058631E-2</v>
      </c>
      <c r="AH1543" s="10">
        <f>IFERROR(VLOOKUP(B1543,'Pre-Summary'!$AZ$6:$BE$65,3,FALSE),"")</f>
        <v>440</v>
      </c>
      <c r="AI1543" s="10">
        <f>IFERROR(VLOOKUP(B1543,'Pre-Summary'!$AZ$6:$BE$65,5,FALSE),"")</f>
        <v>251</v>
      </c>
      <c r="AJ1543" s="10">
        <f>IFERROR(VLOOKUP(B1543,'Pre-Summary'!$AZ$6:$BE$65,4,FALSE),"")</f>
        <v>356</v>
      </c>
      <c r="AK1543" s="10">
        <f>IFERROR(VLOOKUP(B1543,'Pre-Summary'!$AZ$6:$BE$65,6,FALSE),"")</f>
        <v>216</v>
      </c>
      <c r="AL1543" s="10">
        <f>IFERROR(VLOOKUP(B1543,'Pre-Summary'!$BG$6:$BL$44,3,FALSE),"")</f>
        <v>5.2252637699070803</v>
      </c>
      <c r="AM1543" s="10">
        <f>IFERROR(VLOOKUP(B1543,'Pre-Summary'!$BG$6:$BL$44,4,FALSE),"")</f>
        <v>3.2337321109130595</v>
      </c>
    </row>
    <row r="1544" spans="2:39" ht="15" customHeight="1" x14ac:dyDescent="0.3">
      <c r="B1544">
        <v>154.1</v>
      </c>
      <c r="C1544" t="str">
        <f>IFERROR(VLOOKUP(B1544,'Pre-Summary'!$DI$6:$DM$23,4,FALSE),"")</f>
        <v/>
      </c>
      <c r="D1544" s="10" t="str">
        <f>IFERROR(VLOOKUP(B1544,'Pre-Summary'!$AT$6:$AX$14,5,FALSE),D1543)</f>
        <v>Wolfe v3: went back to modified wolfe + EDTA and switched CuSO4 to CUCl2</v>
      </c>
      <c r="E1544" s="10" t="str">
        <f>IFERROR(VLOOKUP(B1544,'Pre-Summary'!$AT$6:$AX$15,4,FALSE),"")</f>
        <v/>
      </c>
      <c r="F1544">
        <f>IFERROR(VLOOKUP(B1544,'Pre-Summary'!$AL$6:$AQ$13,6,FALSE),F1543)</f>
        <v>5.9405263157894746E-2</v>
      </c>
      <c r="G1544" t="str">
        <f>IFERROR(VLOOKUP(B1544,'Pre-Summary'!$AE$6:$AJ$85,3,FALSE),"")</f>
        <v/>
      </c>
      <c r="H1544" t="str">
        <f>IFERROR(VLOOKUP(B1544,'Pre-Summary'!$AE$6:$AJ$85,4,FALSE),"")</f>
        <v/>
      </c>
      <c r="I1544" t="str">
        <f>IFERROR(VLOOKUP(B1544,'Pre-Summary'!$AE$6:$AJ$85,5,FALSE),"")</f>
        <v/>
      </c>
      <c r="J1544" s="45" t="str">
        <f>IFERROR(VLOOKUP(B1544,'Pre-Summary'!$AE$6:$AJ$85,6, FALSE),"")</f>
        <v/>
      </c>
      <c r="K1544" s="45" t="str">
        <f>IFERROR(VLOOKUP(B1544,'Pre-Summary'!$DE$6:$DG$61,3,FALSE),"")</f>
        <v/>
      </c>
      <c r="L1544" s="45" t="str">
        <f>IFERROR(VLOOKUP(B1544,'Pre-Summary'!$CU$6:$CW$36,3,FALSE),"")</f>
        <v/>
      </c>
      <c r="M1544" s="45" t="str">
        <f>IFERROR(VLOOKUP(B1544,'Pre-Summary'!$BW$6:$BY$58,2,FALSE),"")</f>
        <v/>
      </c>
      <c r="N1544" s="45" t="str">
        <f>IFERROR(VLOOKUP(B1544,'Pre-Summary'!$CD$6:$CF$64,2,FALSE),"")</f>
        <v/>
      </c>
      <c r="O1544" s="99">
        <f>IFERROR(VLOOKUP(B1544,'Pre-Summary'!$BO$6:$BQ$48,3, FALSE),O1543)</f>
        <v>1</v>
      </c>
      <c r="P1544" s="99">
        <f>IFERROR(VLOOKUP(B1544,'Pre-Summary'!$BS$6:$BU$35,3,FALSE),P1543)</f>
        <v>0.3</v>
      </c>
      <c r="Q1544" s="54">
        <f t="shared" si="72"/>
        <v>3.3333333333333335</v>
      </c>
      <c r="R1544" s="53">
        <f>IFERROR(VLOOKUP(B1544,'Pre-Summary'!$BG$6:$BM$44,7,FALSE),R1545)</f>
        <v>8.4148491316136567E-2</v>
      </c>
      <c r="S1544" s="53">
        <f>IFERROR(VLOOKUP(B1544,'Pre-Summary'!$BG$6:$BM$44,6,FALSE),S1545)</f>
        <v>0.10600540604063093</v>
      </c>
      <c r="T1544" s="45" t="str">
        <f>IFERROR(VLOOKUP(B1544,'Pre-Summary'!$Y$6:$AC$83, 3,FALSE),"")</f>
        <v/>
      </c>
      <c r="U1544" s="45" t="str">
        <f>IFERROR(VLOOKUP(B1544,'Pre-Summary'!$Y$6:$AC$83, 4,FALSE),"")</f>
        <v/>
      </c>
      <c r="V1544" t="str">
        <f>IFERROR(VLOOKUP(B1544,'Pre-Summary'!$Y$6:$AC$83, 5,FALSE),"")</f>
        <v/>
      </c>
      <c r="W1544" s="45" t="str">
        <f>IFERROR(VLOOKUP(B1544,'Pre-Summary'!$Y$6:$AD$83,6,FALSE),"")</f>
        <v/>
      </c>
      <c r="X1544" t="str">
        <f>IFERROR(VLOOKUP('Pre-Summary'!$DB$6:$DD$63,3,FALSE),"")</f>
        <v/>
      </c>
      <c r="Y1544" t="str">
        <f>IFERROR(VLOOKUP(B1544,'Pre-Summary'!$CR$6:$CT$36,3,FALSE),"")</f>
        <v/>
      </c>
      <c r="Z1544" s="45" t="str">
        <f>IFERROR(VLOOKUP(B1544,'Pre-Summary'!$BZ$6:$CB$63,2,FALSE),"")</f>
        <v/>
      </c>
      <c r="AA1544" s="45" t="str">
        <f>IFERROR(VLOOKUP(B1544,'Pre-Summary'!$CG$6:$CI$70,2,FALSE),"")</f>
        <v/>
      </c>
      <c r="AB1544" s="99">
        <f>IFERROR(VLOOKUP(B1544,'Pre-Summary'!$A$6:$P$178,9,FALSE),AB1545)</f>
        <v>0.35181614583388343</v>
      </c>
      <c r="AC1544" s="10">
        <f>IFERROR(VLOOKUP(Summary!B1544,'Pre-Summary'!$A$6:$P$184,5, FALSE)/100,AC1545)</f>
        <v>0.71615799999999996</v>
      </c>
      <c r="AD1544" s="10">
        <f>IFERROR(VLOOKUP(Summary!B1544,'Pre-Summary'!$A$6:$P$184,3, FALSE)/100,AD1545)</f>
        <v>0.24037466666666671</v>
      </c>
      <c r="AE1544" s="10">
        <f>IFERROR(VLOOKUP(Summary!B1544,'Pre-Summary'!$A$6:$P$184,7, FALSE)/100,AE1545)</f>
        <v>4.3467666666666661E-2</v>
      </c>
      <c r="AF1544" s="99">
        <f t="shared" si="73"/>
        <v>8.4567688782771128E-2</v>
      </c>
      <c r="AG1544" s="99">
        <f t="shared" si="74"/>
        <v>1.5292626955058631E-2</v>
      </c>
      <c r="AH1544" s="10" t="str">
        <f>IFERROR(VLOOKUP(B1544,'Pre-Summary'!$AZ$6:$BE$65,3,FALSE),"")</f>
        <v/>
      </c>
      <c r="AI1544" s="10" t="str">
        <f>IFERROR(VLOOKUP(B1544,'Pre-Summary'!$AZ$6:$BE$65,5,FALSE),"")</f>
        <v/>
      </c>
      <c r="AJ1544" s="10" t="str">
        <f>IFERROR(VLOOKUP(B1544,'Pre-Summary'!$AZ$6:$BE$65,4,FALSE),"")</f>
        <v/>
      </c>
      <c r="AK1544" s="10" t="str">
        <f>IFERROR(VLOOKUP(B1544,'Pre-Summary'!$AZ$6:$BE$65,6,FALSE),"")</f>
        <v/>
      </c>
      <c r="AL1544" s="10" t="str">
        <f>IFERROR(VLOOKUP(B1544,'Pre-Summary'!$BG$6:$BL$44,3,FALSE),"")</f>
        <v/>
      </c>
      <c r="AM1544" s="10" t="str">
        <f>IFERROR(VLOOKUP(B1544,'Pre-Summary'!$BG$6:$BL$44,4,FALSE),"")</f>
        <v/>
      </c>
    </row>
    <row r="1545" spans="2:39" ht="15" customHeight="1" x14ac:dyDescent="0.3">
      <c r="B1545">
        <v>154.19999999999999</v>
      </c>
      <c r="C1545" t="str">
        <f>IFERROR(VLOOKUP(B1545,'Pre-Summary'!$DI$6:$DM$23,4,FALSE),"")</f>
        <v/>
      </c>
      <c r="D1545" s="10" t="str">
        <f>IFERROR(VLOOKUP(B1545,'Pre-Summary'!$AT$6:$AX$14,5,FALSE),D1544)</f>
        <v>Wolfe v3: went back to modified wolfe + EDTA and switched CuSO4 to CUCl2</v>
      </c>
      <c r="E1545" s="10" t="str">
        <f>IFERROR(VLOOKUP(B1545,'Pre-Summary'!$AT$6:$AX$15,4,FALSE),"")</f>
        <v/>
      </c>
      <c r="F1545">
        <f>IFERROR(VLOOKUP(B1545,'Pre-Summary'!$AL$6:$AQ$13,6,FALSE),F1544)</f>
        <v>5.9405263157894746E-2</v>
      </c>
      <c r="G1545" t="str">
        <f>IFERROR(VLOOKUP(B1545,'Pre-Summary'!$AE$6:$AJ$85,3,FALSE),"")</f>
        <v/>
      </c>
      <c r="H1545" t="str">
        <f>IFERROR(VLOOKUP(B1545,'Pre-Summary'!$AE$6:$AJ$85,4,FALSE),"")</f>
        <v/>
      </c>
      <c r="I1545" t="str">
        <f>IFERROR(VLOOKUP(B1545,'Pre-Summary'!$AE$6:$AJ$85,5,FALSE),"")</f>
        <v/>
      </c>
      <c r="J1545" s="45" t="str">
        <f>IFERROR(VLOOKUP(B1545,'Pre-Summary'!$AE$6:$AJ$85,6, FALSE),"")</f>
        <v/>
      </c>
      <c r="K1545" s="45" t="str">
        <f>IFERROR(VLOOKUP(B1545,'Pre-Summary'!$DE$6:$DG$61,3,FALSE),"")</f>
        <v/>
      </c>
      <c r="L1545" s="45" t="str">
        <f>IFERROR(VLOOKUP(B1545,'Pre-Summary'!$CU$6:$CW$36,3,FALSE),"")</f>
        <v/>
      </c>
      <c r="M1545" s="45" t="str">
        <f>IFERROR(VLOOKUP(B1545,'Pre-Summary'!$BW$6:$BY$58,2,FALSE),"")</f>
        <v/>
      </c>
      <c r="N1545" s="45" t="str">
        <f>IFERROR(VLOOKUP(B1545,'Pre-Summary'!$CD$6:$CF$64,2,FALSE),"")</f>
        <v/>
      </c>
      <c r="O1545" s="99">
        <f>IFERROR(VLOOKUP(B1545,'Pre-Summary'!$BO$6:$BQ$48,3, FALSE),O1544)</f>
        <v>1</v>
      </c>
      <c r="P1545" s="99">
        <f>IFERROR(VLOOKUP(B1545,'Pre-Summary'!$BS$6:$BU$35,3,FALSE),P1544)</f>
        <v>0.3</v>
      </c>
      <c r="Q1545" s="54">
        <f t="shared" si="72"/>
        <v>3.3333333333333335</v>
      </c>
      <c r="R1545" s="53">
        <f>IFERROR(VLOOKUP(B1545,'Pre-Summary'!$BG$6:$BM$44,7,FALSE),R1546)</f>
        <v>8.4148491316136567E-2</v>
      </c>
      <c r="S1545" s="53">
        <f>IFERROR(VLOOKUP(B1545,'Pre-Summary'!$BG$6:$BM$44,6,FALSE),S1546)</f>
        <v>0.10600540604063093</v>
      </c>
      <c r="T1545" s="45" t="str">
        <f>IFERROR(VLOOKUP(B1545,'Pre-Summary'!$Y$6:$AC$83, 3,FALSE),"")</f>
        <v/>
      </c>
      <c r="U1545" s="45" t="str">
        <f>IFERROR(VLOOKUP(B1545,'Pre-Summary'!$Y$6:$AC$83, 4,FALSE),"")</f>
        <v/>
      </c>
      <c r="V1545" t="str">
        <f>IFERROR(VLOOKUP(B1545,'Pre-Summary'!$Y$6:$AC$83, 5,FALSE),"")</f>
        <v/>
      </c>
      <c r="W1545" s="45" t="str">
        <f>IFERROR(VLOOKUP(B1545,'Pre-Summary'!$Y$6:$AD$83,6,FALSE),"")</f>
        <v/>
      </c>
      <c r="X1545" t="str">
        <f>IFERROR(VLOOKUP('Pre-Summary'!$DB$6:$DD$63,3,FALSE),"")</f>
        <v/>
      </c>
      <c r="Y1545" t="str">
        <f>IFERROR(VLOOKUP(B1545,'Pre-Summary'!$CR$6:$CT$36,3,FALSE),"")</f>
        <v/>
      </c>
      <c r="Z1545" s="45" t="str">
        <f>IFERROR(VLOOKUP(B1545,'Pre-Summary'!$BZ$6:$CB$63,2,FALSE),"")</f>
        <v/>
      </c>
      <c r="AA1545" s="45" t="str">
        <f>IFERROR(VLOOKUP(B1545,'Pre-Summary'!$CG$6:$CI$70,2,FALSE),"")</f>
        <v/>
      </c>
      <c r="AB1545" s="99">
        <f>IFERROR(VLOOKUP(B1545,'Pre-Summary'!$A$6:$P$178,9,FALSE),AB1546)</f>
        <v>0.35181614583388343</v>
      </c>
      <c r="AC1545" s="10">
        <f>IFERROR(VLOOKUP(Summary!B1545,'Pre-Summary'!$A$6:$P$184,5, FALSE)/100,AC1546)</f>
        <v>0.71615799999999996</v>
      </c>
      <c r="AD1545" s="10">
        <f>IFERROR(VLOOKUP(Summary!B1545,'Pre-Summary'!$A$6:$P$184,3, FALSE)/100,AD1546)</f>
        <v>0.24037466666666671</v>
      </c>
      <c r="AE1545" s="10">
        <f>IFERROR(VLOOKUP(Summary!B1545,'Pre-Summary'!$A$6:$P$184,7, FALSE)/100,AE1546)</f>
        <v>4.3467666666666661E-2</v>
      </c>
      <c r="AF1545" s="99">
        <f t="shared" si="73"/>
        <v>8.4567688782771128E-2</v>
      </c>
      <c r="AG1545" s="99">
        <f t="shared" si="74"/>
        <v>1.5292626955058631E-2</v>
      </c>
      <c r="AH1545" s="10" t="str">
        <f>IFERROR(VLOOKUP(B1545,'Pre-Summary'!$AZ$6:$BE$65,3,FALSE),"")</f>
        <v/>
      </c>
      <c r="AI1545" s="10" t="str">
        <f>IFERROR(VLOOKUP(B1545,'Pre-Summary'!$AZ$6:$BE$65,5,FALSE),"")</f>
        <v/>
      </c>
      <c r="AJ1545" s="10" t="str">
        <f>IFERROR(VLOOKUP(B1545,'Pre-Summary'!$AZ$6:$BE$65,4,FALSE),"")</f>
        <v/>
      </c>
      <c r="AK1545" s="10" t="str">
        <f>IFERROR(VLOOKUP(B1545,'Pre-Summary'!$AZ$6:$BE$65,6,FALSE),"")</f>
        <v/>
      </c>
      <c r="AL1545" s="10" t="str">
        <f>IFERROR(VLOOKUP(B1545,'Pre-Summary'!$BG$6:$BL$44,3,FALSE),"")</f>
        <v/>
      </c>
      <c r="AM1545" s="10" t="str">
        <f>IFERROR(VLOOKUP(B1545,'Pre-Summary'!$BG$6:$BL$44,4,FALSE),"")</f>
        <v/>
      </c>
    </row>
    <row r="1546" spans="2:39" ht="15" customHeight="1" x14ac:dyDescent="0.3">
      <c r="B1546">
        <v>154.30000000000001</v>
      </c>
      <c r="C1546" t="str">
        <f>IFERROR(VLOOKUP(B1546,'Pre-Summary'!$DI$6:$DM$23,4,FALSE),"")</f>
        <v/>
      </c>
      <c r="D1546" s="10" t="str">
        <f>IFERROR(VLOOKUP(B1546,'Pre-Summary'!$AT$6:$AX$14,5,FALSE),D1545)</f>
        <v>Wolfe v3: went back to modified wolfe + EDTA and switched CuSO4 to CUCl2</v>
      </c>
      <c r="E1546" s="10" t="str">
        <f>IFERROR(VLOOKUP(B1546,'Pre-Summary'!$AT$6:$AX$15,4,FALSE),"")</f>
        <v/>
      </c>
      <c r="F1546">
        <f>IFERROR(VLOOKUP(B1546,'Pre-Summary'!$AL$6:$AQ$13,6,FALSE),F1545)</f>
        <v>5.9405263157894746E-2</v>
      </c>
      <c r="G1546" t="str">
        <f>IFERROR(VLOOKUP(B1546,'Pre-Summary'!$AE$6:$AJ$85,3,FALSE),"")</f>
        <v/>
      </c>
      <c r="H1546" t="str">
        <f>IFERROR(VLOOKUP(B1546,'Pre-Summary'!$AE$6:$AJ$85,4,FALSE),"")</f>
        <v/>
      </c>
      <c r="I1546" t="str">
        <f>IFERROR(VLOOKUP(B1546,'Pre-Summary'!$AE$6:$AJ$85,5,FALSE),"")</f>
        <v/>
      </c>
      <c r="J1546" s="45" t="str">
        <f>IFERROR(VLOOKUP(B1546,'Pre-Summary'!$AE$6:$AJ$85,6, FALSE),"")</f>
        <v/>
      </c>
      <c r="K1546" s="45" t="str">
        <f>IFERROR(VLOOKUP(B1546,'Pre-Summary'!$DE$6:$DG$61,3,FALSE),"")</f>
        <v/>
      </c>
      <c r="L1546" s="45" t="str">
        <f>IFERROR(VLOOKUP(B1546,'Pre-Summary'!$CU$6:$CW$36,3,FALSE),"")</f>
        <v/>
      </c>
      <c r="M1546" s="45" t="str">
        <f>IFERROR(VLOOKUP(B1546,'Pre-Summary'!$BW$6:$BY$58,2,FALSE),"")</f>
        <v/>
      </c>
      <c r="N1546" s="45" t="str">
        <f>IFERROR(VLOOKUP(B1546,'Pre-Summary'!$CD$6:$CF$64,2,FALSE),"")</f>
        <v/>
      </c>
      <c r="O1546" s="99">
        <f>IFERROR(VLOOKUP(B1546,'Pre-Summary'!$BO$6:$BQ$48,3, FALSE),O1545)</f>
        <v>1</v>
      </c>
      <c r="P1546" s="99">
        <f>IFERROR(VLOOKUP(B1546,'Pre-Summary'!$BS$6:$BU$35,3,FALSE),P1545)</f>
        <v>0.3</v>
      </c>
      <c r="Q1546" s="54">
        <f t="shared" si="72"/>
        <v>3.3333333333333335</v>
      </c>
      <c r="R1546" s="53">
        <f>IFERROR(VLOOKUP(B1546,'Pre-Summary'!$BG$6:$BM$44,7,FALSE),R1547)</f>
        <v>8.4148491316136567E-2</v>
      </c>
      <c r="S1546" s="53">
        <f>IFERROR(VLOOKUP(B1546,'Pre-Summary'!$BG$6:$BM$44,6,FALSE),S1547)</f>
        <v>0.10600540604063093</v>
      </c>
      <c r="T1546" s="45" t="str">
        <f>IFERROR(VLOOKUP(B1546,'Pre-Summary'!$Y$6:$AC$83, 3,FALSE),"")</f>
        <v/>
      </c>
      <c r="U1546" s="45" t="str">
        <f>IFERROR(VLOOKUP(B1546,'Pre-Summary'!$Y$6:$AC$83, 4,FALSE),"")</f>
        <v/>
      </c>
      <c r="V1546" t="str">
        <f>IFERROR(VLOOKUP(B1546,'Pre-Summary'!$Y$6:$AC$83, 5,FALSE),"")</f>
        <v/>
      </c>
      <c r="W1546" s="45" t="str">
        <f>IFERROR(VLOOKUP(B1546,'Pre-Summary'!$Y$6:$AD$83,6,FALSE),"")</f>
        <v/>
      </c>
      <c r="X1546" t="str">
        <f>IFERROR(VLOOKUP('Pre-Summary'!$DB$6:$DD$63,3,FALSE),"")</f>
        <v/>
      </c>
      <c r="Y1546" t="str">
        <f>IFERROR(VLOOKUP(B1546,'Pre-Summary'!$CR$6:$CT$36,3,FALSE),"")</f>
        <v/>
      </c>
      <c r="Z1546" s="45" t="str">
        <f>IFERROR(VLOOKUP(B1546,'Pre-Summary'!$BZ$6:$CB$63,2,FALSE),"")</f>
        <v/>
      </c>
      <c r="AA1546" s="45" t="str">
        <f>IFERROR(VLOOKUP(B1546,'Pre-Summary'!$CG$6:$CI$70,2,FALSE),"")</f>
        <v/>
      </c>
      <c r="AB1546" s="99">
        <f>IFERROR(VLOOKUP(B1546,'Pre-Summary'!$A$6:$P$178,9,FALSE),AB1547)</f>
        <v>0.35181614583388343</v>
      </c>
      <c r="AC1546" s="10">
        <f>IFERROR(VLOOKUP(Summary!B1546,'Pre-Summary'!$A$6:$P$184,5, FALSE)/100,AC1547)</f>
        <v>0.71615799999999996</v>
      </c>
      <c r="AD1546" s="10">
        <f>IFERROR(VLOOKUP(Summary!B1546,'Pre-Summary'!$A$6:$P$184,3, FALSE)/100,AD1547)</f>
        <v>0.24037466666666671</v>
      </c>
      <c r="AE1546" s="10">
        <f>IFERROR(VLOOKUP(Summary!B1546,'Pre-Summary'!$A$6:$P$184,7, FALSE)/100,AE1547)</f>
        <v>4.3467666666666661E-2</v>
      </c>
      <c r="AF1546" s="99">
        <f t="shared" si="73"/>
        <v>8.4567688782771128E-2</v>
      </c>
      <c r="AG1546" s="99">
        <f t="shared" si="74"/>
        <v>1.5292626955058631E-2</v>
      </c>
      <c r="AH1546" s="10" t="str">
        <f>IFERROR(VLOOKUP(B1546,'Pre-Summary'!$AZ$6:$BE$65,3,FALSE),"")</f>
        <v/>
      </c>
      <c r="AI1546" s="10" t="str">
        <f>IFERROR(VLOOKUP(B1546,'Pre-Summary'!$AZ$6:$BE$65,5,FALSE),"")</f>
        <v/>
      </c>
      <c r="AJ1546" s="10" t="str">
        <f>IFERROR(VLOOKUP(B1546,'Pre-Summary'!$AZ$6:$BE$65,4,FALSE),"")</f>
        <v/>
      </c>
      <c r="AK1546" s="10" t="str">
        <f>IFERROR(VLOOKUP(B1546,'Pre-Summary'!$AZ$6:$BE$65,6,FALSE),"")</f>
        <v/>
      </c>
      <c r="AL1546" s="10" t="str">
        <f>IFERROR(VLOOKUP(B1546,'Pre-Summary'!$BG$6:$BL$44,3,FALSE),"")</f>
        <v/>
      </c>
      <c r="AM1546" s="10" t="str">
        <f>IFERROR(VLOOKUP(B1546,'Pre-Summary'!$BG$6:$BL$44,4,FALSE),"")</f>
        <v/>
      </c>
    </row>
    <row r="1547" spans="2:39" ht="15" customHeight="1" x14ac:dyDescent="0.3">
      <c r="B1547">
        <v>154.4</v>
      </c>
      <c r="C1547" t="str">
        <f>IFERROR(VLOOKUP(B1547,'Pre-Summary'!$DI$6:$DM$23,4,FALSE),"")</f>
        <v/>
      </c>
      <c r="D1547" s="10" t="str">
        <f>IFERROR(VLOOKUP(B1547,'Pre-Summary'!$AT$6:$AX$14,5,FALSE),D1546)</f>
        <v>Wolfe v3: went back to modified wolfe + EDTA and switched CuSO4 to CUCl2</v>
      </c>
      <c r="E1547" s="10" t="str">
        <f>IFERROR(VLOOKUP(B1547,'Pre-Summary'!$AT$6:$AX$15,4,FALSE),"")</f>
        <v/>
      </c>
      <c r="F1547">
        <f>IFERROR(VLOOKUP(B1547,'Pre-Summary'!$AL$6:$AQ$13,6,FALSE),F1546)</f>
        <v>5.9405263157894746E-2</v>
      </c>
      <c r="G1547" t="str">
        <f>IFERROR(VLOOKUP(B1547,'Pre-Summary'!$AE$6:$AJ$85,3,FALSE),"")</f>
        <v/>
      </c>
      <c r="H1547" t="str">
        <f>IFERROR(VLOOKUP(B1547,'Pre-Summary'!$AE$6:$AJ$85,4,FALSE),"")</f>
        <v/>
      </c>
      <c r="I1547" t="str">
        <f>IFERROR(VLOOKUP(B1547,'Pre-Summary'!$AE$6:$AJ$85,5,FALSE),"")</f>
        <v/>
      </c>
      <c r="J1547" s="45" t="str">
        <f>IFERROR(VLOOKUP(B1547,'Pre-Summary'!$AE$6:$AJ$85,6, FALSE),"")</f>
        <v/>
      </c>
      <c r="K1547" s="45" t="str">
        <f>IFERROR(VLOOKUP(B1547,'Pre-Summary'!$DE$6:$DG$61,3,FALSE),"")</f>
        <v/>
      </c>
      <c r="L1547" s="45" t="str">
        <f>IFERROR(VLOOKUP(B1547,'Pre-Summary'!$CU$6:$CW$36,3,FALSE),"")</f>
        <v/>
      </c>
      <c r="M1547" s="45" t="str">
        <f>IFERROR(VLOOKUP(B1547,'Pre-Summary'!$BW$6:$BY$58,2,FALSE),"")</f>
        <v/>
      </c>
      <c r="N1547" s="45" t="str">
        <f>IFERROR(VLOOKUP(B1547,'Pre-Summary'!$CD$6:$CF$64,2,FALSE),"")</f>
        <v/>
      </c>
      <c r="O1547" s="99">
        <f>IFERROR(VLOOKUP(B1547,'Pre-Summary'!$BO$6:$BQ$48,3, FALSE),O1546)</f>
        <v>1</v>
      </c>
      <c r="P1547" s="99">
        <f>IFERROR(VLOOKUP(B1547,'Pre-Summary'!$BS$6:$BU$35,3,FALSE),P1546)</f>
        <v>0.3</v>
      </c>
      <c r="Q1547" s="54">
        <f t="shared" si="72"/>
        <v>3.3333333333333335</v>
      </c>
      <c r="R1547" s="53">
        <f>IFERROR(VLOOKUP(B1547,'Pre-Summary'!$BG$6:$BM$44,7,FALSE),R1548)</f>
        <v>8.4148491316136567E-2</v>
      </c>
      <c r="S1547" s="53">
        <f>IFERROR(VLOOKUP(B1547,'Pre-Summary'!$BG$6:$BM$44,6,FALSE),S1548)</f>
        <v>0.10600540604063093</v>
      </c>
      <c r="T1547" s="45" t="str">
        <f>IFERROR(VLOOKUP(B1547,'Pre-Summary'!$Y$6:$AC$83, 3,FALSE),"")</f>
        <v/>
      </c>
      <c r="U1547" s="45" t="str">
        <f>IFERROR(VLOOKUP(B1547,'Pre-Summary'!$Y$6:$AC$83, 4,FALSE),"")</f>
        <v/>
      </c>
      <c r="V1547" t="str">
        <f>IFERROR(VLOOKUP(B1547,'Pre-Summary'!$Y$6:$AC$83, 5,FALSE),"")</f>
        <v/>
      </c>
      <c r="W1547" s="45" t="str">
        <f>IFERROR(VLOOKUP(B1547,'Pre-Summary'!$Y$6:$AD$83,6,FALSE),"")</f>
        <v/>
      </c>
      <c r="X1547" t="str">
        <f>IFERROR(VLOOKUP('Pre-Summary'!$DB$6:$DD$63,3,FALSE),"")</f>
        <v/>
      </c>
      <c r="Y1547" t="str">
        <f>IFERROR(VLOOKUP(B1547,'Pre-Summary'!$CR$6:$CT$36,3,FALSE),"")</f>
        <v/>
      </c>
      <c r="Z1547" s="45" t="str">
        <f>IFERROR(VLOOKUP(B1547,'Pre-Summary'!$BZ$6:$CB$63,2,FALSE),"")</f>
        <v/>
      </c>
      <c r="AA1547" s="45" t="str">
        <f>IFERROR(VLOOKUP(B1547,'Pre-Summary'!$CG$6:$CI$70,2,FALSE),"")</f>
        <v/>
      </c>
      <c r="AB1547" s="99">
        <f>IFERROR(VLOOKUP(B1547,'Pre-Summary'!$A$6:$P$178,9,FALSE),AB1548)</f>
        <v>0.35181614583388343</v>
      </c>
      <c r="AC1547" s="10">
        <f>IFERROR(VLOOKUP(Summary!B1547,'Pre-Summary'!$A$6:$P$184,5, FALSE)/100,AC1548)</f>
        <v>0.71615799999999996</v>
      </c>
      <c r="AD1547" s="10">
        <f>IFERROR(VLOOKUP(Summary!B1547,'Pre-Summary'!$A$6:$P$184,3, FALSE)/100,AD1548)</f>
        <v>0.24037466666666671</v>
      </c>
      <c r="AE1547" s="10">
        <f>IFERROR(VLOOKUP(Summary!B1547,'Pre-Summary'!$A$6:$P$184,7, FALSE)/100,AE1548)</f>
        <v>4.3467666666666661E-2</v>
      </c>
      <c r="AF1547" s="99">
        <f t="shared" si="73"/>
        <v>8.4567688782771128E-2</v>
      </c>
      <c r="AG1547" s="99">
        <f t="shared" si="74"/>
        <v>1.5292626955058631E-2</v>
      </c>
      <c r="AH1547" s="10" t="str">
        <f>IFERROR(VLOOKUP(B1547,'Pre-Summary'!$AZ$6:$BE$65,3,FALSE),"")</f>
        <v/>
      </c>
      <c r="AI1547" s="10" t="str">
        <f>IFERROR(VLOOKUP(B1547,'Pre-Summary'!$AZ$6:$BE$65,5,FALSE),"")</f>
        <v/>
      </c>
      <c r="AJ1547" s="10" t="str">
        <f>IFERROR(VLOOKUP(B1547,'Pre-Summary'!$AZ$6:$BE$65,4,FALSE),"")</f>
        <v/>
      </c>
      <c r="AK1547" s="10" t="str">
        <f>IFERROR(VLOOKUP(B1547,'Pre-Summary'!$AZ$6:$BE$65,6,FALSE),"")</f>
        <v/>
      </c>
      <c r="AL1547" s="10" t="str">
        <f>IFERROR(VLOOKUP(B1547,'Pre-Summary'!$BG$6:$BL$44,3,FALSE),"")</f>
        <v/>
      </c>
      <c r="AM1547" s="10" t="str">
        <f>IFERROR(VLOOKUP(B1547,'Pre-Summary'!$BG$6:$BL$44,4,FALSE),"")</f>
        <v/>
      </c>
    </row>
    <row r="1548" spans="2:39" ht="15" customHeight="1" x14ac:dyDescent="0.3">
      <c r="B1548">
        <v>154.5</v>
      </c>
      <c r="C1548" t="str">
        <f>IFERROR(VLOOKUP(B1548,'Pre-Summary'!$DI$6:$DM$23,4,FALSE),"")</f>
        <v/>
      </c>
      <c r="D1548" s="10" t="str">
        <f>IFERROR(VLOOKUP(B1548,'Pre-Summary'!$AT$6:$AX$14,5,FALSE),D1547)</f>
        <v>Wolfe v3: went back to modified wolfe + EDTA and switched CuSO4 to CUCl2</v>
      </c>
      <c r="E1548" s="10" t="str">
        <f>IFERROR(VLOOKUP(B1548,'Pre-Summary'!$AT$6:$AX$15,4,FALSE),"")</f>
        <v/>
      </c>
      <c r="F1548">
        <f>IFERROR(VLOOKUP(B1548,'Pre-Summary'!$AL$6:$AQ$13,6,FALSE),F1547)</f>
        <v>5.9405263157894746E-2</v>
      </c>
      <c r="G1548" t="str">
        <f>IFERROR(VLOOKUP(B1548,'Pre-Summary'!$AE$6:$AJ$85,3,FALSE),"")</f>
        <v/>
      </c>
      <c r="H1548" t="str">
        <f>IFERROR(VLOOKUP(B1548,'Pre-Summary'!$AE$6:$AJ$85,4,FALSE),"")</f>
        <v/>
      </c>
      <c r="I1548" t="str">
        <f>IFERROR(VLOOKUP(B1548,'Pre-Summary'!$AE$6:$AJ$85,5,FALSE),"")</f>
        <v/>
      </c>
      <c r="J1548" s="45" t="str">
        <f>IFERROR(VLOOKUP(B1548,'Pre-Summary'!$AE$6:$AJ$85,6, FALSE),"")</f>
        <v/>
      </c>
      <c r="K1548" s="45" t="str">
        <f>IFERROR(VLOOKUP(B1548,'Pre-Summary'!$DE$6:$DG$61,3,FALSE),"")</f>
        <v/>
      </c>
      <c r="L1548" s="45" t="str">
        <f>IFERROR(VLOOKUP(B1548,'Pre-Summary'!$CU$6:$CW$36,3,FALSE),"")</f>
        <v/>
      </c>
      <c r="M1548" s="45" t="str">
        <f>IFERROR(VLOOKUP(B1548,'Pre-Summary'!$BW$6:$BY$58,2,FALSE),"")</f>
        <v/>
      </c>
      <c r="N1548" s="45" t="str">
        <f>IFERROR(VLOOKUP(B1548,'Pre-Summary'!$CD$6:$CF$64,2,FALSE),"")</f>
        <v/>
      </c>
      <c r="O1548" s="99">
        <f>IFERROR(VLOOKUP(B1548,'Pre-Summary'!$BO$6:$BQ$48,3, FALSE),O1547)</f>
        <v>1</v>
      </c>
      <c r="P1548" s="99">
        <f>IFERROR(VLOOKUP(B1548,'Pre-Summary'!$BS$6:$BU$35,3,FALSE),P1547)</f>
        <v>0.3</v>
      </c>
      <c r="Q1548" s="54">
        <f t="shared" si="72"/>
        <v>3.3333333333333335</v>
      </c>
      <c r="R1548" s="53">
        <f>IFERROR(VLOOKUP(B1548,'Pre-Summary'!$BG$6:$BM$44,7,FALSE),R1549)</f>
        <v>8.4148491316136567E-2</v>
      </c>
      <c r="S1548" s="53">
        <f>IFERROR(VLOOKUP(B1548,'Pre-Summary'!$BG$6:$BM$44,6,FALSE),S1549)</f>
        <v>0.10600540604063093</v>
      </c>
      <c r="T1548" s="45" t="str">
        <f>IFERROR(VLOOKUP(B1548,'Pre-Summary'!$Y$6:$AC$83, 3,FALSE),"")</f>
        <v/>
      </c>
      <c r="U1548" s="45" t="str">
        <f>IFERROR(VLOOKUP(B1548,'Pre-Summary'!$Y$6:$AC$83, 4,FALSE),"")</f>
        <v/>
      </c>
      <c r="V1548" t="str">
        <f>IFERROR(VLOOKUP(B1548,'Pre-Summary'!$Y$6:$AC$83, 5,FALSE),"")</f>
        <v/>
      </c>
      <c r="W1548" s="45" t="str">
        <f>IFERROR(VLOOKUP(B1548,'Pre-Summary'!$Y$6:$AD$83,6,FALSE),"")</f>
        <v/>
      </c>
      <c r="X1548" t="str">
        <f>IFERROR(VLOOKUP('Pre-Summary'!$DB$6:$DD$63,3,FALSE),"")</f>
        <v/>
      </c>
      <c r="Y1548" t="str">
        <f>IFERROR(VLOOKUP(B1548,'Pre-Summary'!$CR$6:$CT$36,3,FALSE),"")</f>
        <v/>
      </c>
      <c r="Z1548" s="45" t="str">
        <f>IFERROR(VLOOKUP(B1548,'Pre-Summary'!$BZ$6:$CB$63,2,FALSE),"")</f>
        <v/>
      </c>
      <c r="AA1548" s="45" t="str">
        <f>IFERROR(VLOOKUP(B1548,'Pre-Summary'!$CG$6:$CI$70,2,FALSE),"")</f>
        <v/>
      </c>
      <c r="AB1548" s="99">
        <f>IFERROR(VLOOKUP(B1548,'Pre-Summary'!$A$6:$P$178,9,FALSE),AB1549)</f>
        <v>0.35181614583388343</v>
      </c>
      <c r="AC1548" s="10">
        <f>IFERROR(VLOOKUP(Summary!B1548,'Pre-Summary'!$A$6:$P$184,5, FALSE)/100,AC1549)</f>
        <v>0.71615799999999996</v>
      </c>
      <c r="AD1548" s="10">
        <f>IFERROR(VLOOKUP(Summary!B1548,'Pre-Summary'!$A$6:$P$184,3, FALSE)/100,AD1549)</f>
        <v>0.24037466666666671</v>
      </c>
      <c r="AE1548" s="10">
        <f>IFERROR(VLOOKUP(Summary!B1548,'Pre-Summary'!$A$6:$P$184,7, FALSE)/100,AE1549)</f>
        <v>4.3467666666666661E-2</v>
      </c>
      <c r="AF1548" s="99">
        <f t="shared" si="73"/>
        <v>8.4567688782771128E-2</v>
      </c>
      <c r="AG1548" s="99">
        <f t="shared" si="74"/>
        <v>1.5292626955058631E-2</v>
      </c>
      <c r="AH1548" s="10" t="str">
        <f>IFERROR(VLOOKUP(B1548,'Pre-Summary'!$AZ$6:$BE$65,3,FALSE),"")</f>
        <v/>
      </c>
      <c r="AI1548" s="10" t="str">
        <f>IFERROR(VLOOKUP(B1548,'Pre-Summary'!$AZ$6:$BE$65,5,FALSE),"")</f>
        <v/>
      </c>
      <c r="AJ1548" s="10" t="str">
        <f>IFERROR(VLOOKUP(B1548,'Pre-Summary'!$AZ$6:$BE$65,4,FALSE),"")</f>
        <v/>
      </c>
      <c r="AK1548" s="10" t="str">
        <f>IFERROR(VLOOKUP(B1548,'Pre-Summary'!$AZ$6:$BE$65,6,FALSE),"")</f>
        <v/>
      </c>
      <c r="AL1548" s="10" t="str">
        <f>IFERROR(VLOOKUP(B1548,'Pre-Summary'!$BG$6:$BL$44,3,FALSE),"")</f>
        <v/>
      </c>
      <c r="AM1548" s="10" t="str">
        <f>IFERROR(VLOOKUP(B1548,'Pre-Summary'!$BG$6:$BL$44,4,FALSE),"")</f>
        <v/>
      </c>
    </row>
    <row r="1549" spans="2:39" ht="15" customHeight="1" x14ac:dyDescent="0.3">
      <c r="B1549">
        <v>154.6</v>
      </c>
      <c r="C1549" t="str">
        <f>IFERROR(VLOOKUP(B1549,'Pre-Summary'!$DI$6:$DM$23,4,FALSE),"")</f>
        <v/>
      </c>
      <c r="D1549" s="10" t="str">
        <f>IFERROR(VLOOKUP(B1549,'Pre-Summary'!$AT$6:$AX$14,5,FALSE),D1548)</f>
        <v>Wolfe v3: went back to modified wolfe + EDTA and switched CuSO4 to CUCl2</v>
      </c>
      <c r="E1549" s="10" t="str">
        <f>IFERROR(VLOOKUP(B1549,'Pre-Summary'!$AT$6:$AX$15,4,FALSE),"")</f>
        <v/>
      </c>
      <c r="F1549">
        <f>IFERROR(VLOOKUP(B1549,'Pre-Summary'!$AL$6:$AQ$13,6,FALSE),F1548)</f>
        <v>5.9405263157894746E-2</v>
      </c>
      <c r="G1549" t="str">
        <f>IFERROR(VLOOKUP(B1549,'Pre-Summary'!$AE$6:$AJ$85,3,FALSE),"")</f>
        <v/>
      </c>
      <c r="H1549" t="str">
        <f>IFERROR(VLOOKUP(B1549,'Pre-Summary'!$AE$6:$AJ$85,4,FALSE),"")</f>
        <v/>
      </c>
      <c r="I1549" t="str">
        <f>IFERROR(VLOOKUP(B1549,'Pre-Summary'!$AE$6:$AJ$85,5,FALSE),"")</f>
        <v/>
      </c>
      <c r="J1549" s="45" t="str">
        <f>IFERROR(VLOOKUP(B1549,'Pre-Summary'!$AE$6:$AJ$85,6, FALSE),"")</f>
        <v/>
      </c>
      <c r="K1549" s="45" t="str">
        <f>IFERROR(VLOOKUP(B1549,'Pre-Summary'!$DE$6:$DG$61,3,FALSE),"")</f>
        <v/>
      </c>
      <c r="L1549" s="45" t="str">
        <f>IFERROR(VLOOKUP(B1549,'Pre-Summary'!$CU$6:$CW$36,3,FALSE),"")</f>
        <v/>
      </c>
      <c r="M1549" s="45" t="str">
        <f>IFERROR(VLOOKUP(B1549,'Pre-Summary'!$BW$6:$BY$58,2,FALSE),"")</f>
        <v/>
      </c>
      <c r="N1549" s="45" t="str">
        <f>IFERROR(VLOOKUP(B1549,'Pre-Summary'!$CD$6:$CF$64,2,FALSE),"")</f>
        <v/>
      </c>
      <c r="O1549" s="99">
        <f>IFERROR(VLOOKUP(B1549,'Pre-Summary'!$BO$6:$BQ$48,3, FALSE),O1548)</f>
        <v>1</v>
      </c>
      <c r="P1549" s="99">
        <f>IFERROR(VLOOKUP(B1549,'Pre-Summary'!$BS$6:$BU$35,3,FALSE),P1548)</f>
        <v>0.3</v>
      </c>
      <c r="Q1549" s="54">
        <f t="shared" si="72"/>
        <v>3.3333333333333335</v>
      </c>
      <c r="R1549" s="53">
        <f>IFERROR(VLOOKUP(B1549,'Pre-Summary'!$BG$6:$BM$44,7,FALSE),R1550)</f>
        <v>8.4148491316136567E-2</v>
      </c>
      <c r="S1549" s="53">
        <f>IFERROR(VLOOKUP(B1549,'Pre-Summary'!$BG$6:$BM$44,6,FALSE),S1550)</f>
        <v>0.10600540604063093</v>
      </c>
      <c r="T1549" s="45" t="str">
        <f>IFERROR(VLOOKUP(B1549,'Pre-Summary'!$Y$6:$AC$83, 3,FALSE),"")</f>
        <v/>
      </c>
      <c r="U1549" s="45" t="str">
        <f>IFERROR(VLOOKUP(B1549,'Pre-Summary'!$Y$6:$AC$83, 4,FALSE),"")</f>
        <v/>
      </c>
      <c r="V1549" t="str">
        <f>IFERROR(VLOOKUP(B1549,'Pre-Summary'!$Y$6:$AC$83, 5,FALSE),"")</f>
        <v/>
      </c>
      <c r="W1549" s="45" t="str">
        <f>IFERROR(VLOOKUP(B1549,'Pre-Summary'!$Y$6:$AD$83,6,FALSE),"")</f>
        <v/>
      </c>
      <c r="X1549" t="str">
        <f>IFERROR(VLOOKUP('Pre-Summary'!$DB$6:$DD$63,3,FALSE),"")</f>
        <v/>
      </c>
      <c r="Y1549" t="str">
        <f>IFERROR(VLOOKUP(B1549,'Pre-Summary'!$CR$6:$CT$36,3,FALSE),"")</f>
        <v/>
      </c>
      <c r="Z1549" s="45" t="str">
        <f>IFERROR(VLOOKUP(B1549,'Pre-Summary'!$BZ$6:$CB$63,2,FALSE),"")</f>
        <v/>
      </c>
      <c r="AA1549" s="45" t="str">
        <f>IFERROR(VLOOKUP(B1549,'Pre-Summary'!$CG$6:$CI$70,2,FALSE),"")</f>
        <v/>
      </c>
      <c r="AB1549" s="99">
        <f>IFERROR(VLOOKUP(B1549,'Pre-Summary'!$A$6:$P$178,9,FALSE),AB1550)</f>
        <v>0.35181614583388343</v>
      </c>
      <c r="AC1549" s="10">
        <f>IFERROR(VLOOKUP(Summary!B1549,'Pre-Summary'!$A$6:$P$184,5, FALSE)/100,AC1550)</f>
        <v>0.71615799999999996</v>
      </c>
      <c r="AD1549" s="10">
        <f>IFERROR(VLOOKUP(Summary!B1549,'Pre-Summary'!$A$6:$P$184,3, FALSE)/100,AD1550)</f>
        <v>0.24037466666666671</v>
      </c>
      <c r="AE1549" s="10">
        <f>IFERROR(VLOOKUP(Summary!B1549,'Pre-Summary'!$A$6:$P$184,7, FALSE)/100,AE1550)</f>
        <v>4.3467666666666661E-2</v>
      </c>
      <c r="AF1549" s="99">
        <f t="shared" si="73"/>
        <v>8.4567688782771128E-2</v>
      </c>
      <c r="AG1549" s="99">
        <f t="shared" si="74"/>
        <v>1.5292626955058631E-2</v>
      </c>
      <c r="AH1549" s="10" t="str">
        <f>IFERROR(VLOOKUP(B1549,'Pre-Summary'!$AZ$6:$BE$65,3,FALSE),"")</f>
        <v/>
      </c>
      <c r="AI1549" s="10" t="str">
        <f>IFERROR(VLOOKUP(B1549,'Pre-Summary'!$AZ$6:$BE$65,5,FALSE),"")</f>
        <v/>
      </c>
      <c r="AJ1549" s="10" t="str">
        <f>IFERROR(VLOOKUP(B1549,'Pre-Summary'!$AZ$6:$BE$65,4,FALSE),"")</f>
        <v/>
      </c>
      <c r="AK1549" s="10" t="str">
        <f>IFERROR(VLOOKUP(B1549,'Pre-Summary'!$AZ$6:$BE$65,6,FALSE),"")</f>
        <v/>
      </c>
      <c r="AL1549" s="10" t="str">
        <f>IFERROR(VLOOKUP(B1549,'Pre-Summary'!$BG$6:$BL$44,3,FALSE),"")</f>
        <v/>
      </c>
      <c r="AM1549" s="10" t="str">
        <f>IFERROR(VLOOKUP(B1549,'Pre-Summary'!$BG$6:$BL$44,4,FALSE),"")</f>
        <v/>
      </c>
    </row>
    <row r="1550" spans="2:39" ht="15" customHeight="1" x14ac:dyDescent="0.3">
      <c r="B1550">
        <v>154.69999999999999</v>
      </c>
      <c r="C1550" t="str">
        <f>IFERROR(VLOOKUP(B1550,'Pre-Summary'!$DI$6:$DM$23,4,FALSE),"")</f>
        <v/>
      </c>
      <c r="D1550" s="10" t="str">
        <f>IFERROR(VLOOKUP(B1550,'Pre-Summary'!$AT$6:$AX$14,5,FALSE),D1549)</f>
        <v>Wolfe v3: went back to modified wolfe + EDTA and switched CuSO4 to CUCl2</v>
      </c>
      <c r="E1550" s="10" t="str">
        <f>IFERROR(VLOOKUP(B1550,'Pre-Summary'!$AT$6:$AX$15,4,FALSE),"")</f>
        <v/>
      </c>
      <c r="F1550">
        <f>IFERROR(VLOOKUP(B1550,'Pre-Summary'!$AL$6:$AQ$13,6,FALSE),F1549)</f>
        <v>5.9405263157894746E-2</v>
      </c>
      <c r="G1550" t="str">
        <f>IFERROR(VLOOKUP(B1550,'Pre-Summary'!$AE$6:$AJ$85,3,FALSE),"")</f>
        <v/>
      </c>
      <c r="H1550" t="str">
        <f>IFERROR(VLOOKUP(B1550,'Pre-Summary'!$AE$6:$AJ$85,4,FALSE),"")</f>
        <v/>
      </c>
      <c r="I1550" t="str">
        <f>IFERROR(VLOOKUP(B1550,'Pre-Summary'!$AE$6:$AJ$85,5,FALSE),"")</f>
        <v/>
      </c>
      <c r="J1550" s="45" t="str">
        <f>IFERROR(VLOOKUP(B1550,'Pre-Summary'!$AE$6:$AJ$85,6, FALSE),"")</f>
        <v/>
      </c>
      <c r="K1550" s="45" t="str">
        <f>IFERROR(VLOOKUP(B1550,'Pre-Summary'!$DE$6:$DG$61,3,FALSE),"")</f>
        <v/>
      </c>
      <c r="L1550" s="45" t="str">
        <f>IFERROR(VLOOKUP(B1550,'Pre-Summary'!$CU$6:$CW$36,3,FALSE),"")</f>
        <v/>
      </c>
      <c r="M1550" s="45" t="str">
        <f>IFERROR(VLOOKUP(B1550,'Pre-Summary'!$BW$6:$BY$58,2,FALSE),"")</f>
        <v/>
      </c>
      <c r="N1550" s="45" t="str">
        <f>IFERROR(VLOOKUP(B1550,'Pre-Summary'!$CD$6:$CF$64,2,FALSE),"")</f>
        <v/>
      </c>
      <c r="O1550" s="99">
        <f>IFERROR(VLOOKUP(B1550,'Pre-Summary'!$BO$6:$BQ$48,3, FALSE),O1549)</f>
        <v>1</v>
      </c>
      <c r="P1550" s="99">
        <f>IFERROR(VLOOKUP(B1550,'Pre-Summary'!$BS$6:$BU$35,3,FALSE),P1549)</f>
        <v>0.3</v>
      </c>
      <c r="Q1550" s="54">
        <f t="shared" si="72"/>
        <v>3.3333333333333335</v>
      </c>
      <c r="R1550" s="53">
        <f>IFERROR(VLOOKUP(B1550,'Pre-Summary'!$BG$6:$BM$44,7,FALSE),R1551)</f>
        <v>8.4148491316136567E-2</v>
      </c>
      <c r="S1550" s="53">
        <f>IFERROR(VLOOKUP(B1550,'Pre-Summary'!$BG$6:$BM$44,6,FALSE),S1551)</f>
        <v>0.10600540604063093</v>
      </c>
      <c r="T1550" s="45" t="str">
        <f>IFERROR(VLOOKUP(B1550,'Pre-Summary'!$Y$6:$AC$83, 3,FALSE),"")</f>
        <v/>
      </c>
      <c r="U1550" s="45" t="str">
        <f>IFERROR(VLOOKUP(B1550,'Pre-Summary'!$Y$6:$AC$83, 4,FALSE),"")</f>
        <v/>
      </c>
      <c r="V1550" t="str">
        <f>IFERROR(VLOOKUP(B1550,'Pre-Summary'!$Y$6:$AC$83, 5,FALSE),"")</f>
        <v/>
      </c>
      <c r="W1550" s="45" t="str">
        <f>IFERROR(VLOOKUP(B1550,'Pre-Summary'!$Y$6:$AD$83,6,FALSE),"")</f>
        <v/>
      </c>
      <c r="X1550" t="str">
        <f>IFERROR(VLOOKUP('Pre-Summary'!$DB$6:$DD$63,3,FALSE),"")</f>
        <v/>
      </c>
      <c r="Y1550" t="str">
        <f>IFERROR(VLOOKUP(B1550,'Pre-Summary'!$CR$6:$CT$36,3,FALSE),"")</f>
        <v/>
      </c>
      <c r="Z1550" s="45" t="str">
        <f>IFERROR(VLOOKUP(B1550,'Pre-Summary'!$BZ$6:$CB$63,2,FALSE),"")</f>
        <v/>
      </c>
      <c r="AA1550" s="45" t="str">
        <f>IFERROR(VLOOKUP(B1550,'Pre-Summary'!$CG$6:$CI$70,2,FALSE),"")</f>
        <v/>
      </c>
      <c r="AB1550" s="99">
        <f>IFERROR(VLOOKUP(B1550,'Pre-Summary'!$A$6:$P$178,9,FALSE),AB1551)</f>
        <v>0.35181614583388343</v>
      </c>
      <c r="AC1550" s="10">
        <f>IFERROR(VLOOKUP(Summary!B1550,'Pre-Summary'!$A$6:$P$184,5, FALSE)/100,AC1551)</f>
        <v>0.71615799999999996</v>
      </c>
      <c r="AD1550" s="10">
        <f>IFERROR(VLOOKUP(Summary!B1550,'Pre-Summary'!$A$6:$P$184,3, FALSE)/100,AD1551)</f>
        <v>0.24037466666666671</v>
      </c>
      <c r="AE1550" s="10">
        <f>IFERROR(VLOOKUP(Summary!B1550,'Pre-Summary'!$A$6:$P$184,7, FALSE)/100,AE1551)</f>
        <v>4.3467666666666661E-2</v>
      </c>
      <c r="AF1550" s="99">
        <f t="shared" si="73"/>
        <v>8.4567688782771128E-2</v>
      </c>
      <c r="AG1550" s="99">
        <f t="shared" si="74"/>
        <v>1.5292626955058631E-2</v>
      </c>
      <c r="AH1550" s="10" t="str">
        <f>IFERROR(VLOOKUP(B1550,'Pre-Summary'!$AZ$6:$BE$65,3,FALSE),"")</f>
        <v/>
      </c>
      <c r="AI1550" s="10" t="str">
        <f>IFERROR(VLOOKUP(B1550,'Pre-Summary'!$AZ$6:$BE$65,5,FALSE),"")</f>
        <v/>
      </c>
      <c r="AJ1550" s="10" t="str">
        <f>IFERROR(VLOOKUP(B1550,'Pre-Summary'!$AZ$6:$BE$65,4,FALSE),"")</f>
        <v/>
      </c>
      <c r="AK1550" s="10" t="str">
        <f>IFERROR(VLOOKUP(B1550,'Pre-Summary'!$AZ$6:$BE$65,6,FALSE),"")</f>
        <v/>
      </c>
      <c r="AL1550" s="10" t="str">
        <f>IFERROR(VLOOKUP(B1550,'Pre-Summary'!$BG$6:$BL$44,3,FALSE),"")</f>
        <v/>
      </c>
      <c r="AM1550" s="10" t="str">
        <f>IFERROR(VLOOKUP(B1550,'Pre-Summary'!$BG$6:$BL$44,4,FALSE),"")</f>
        <v/>
      </c>
    </row>
    <row r="1551" spans="2:39" ht="15" customHeight="1" x14ac:dyDescent="0.3">
      <c r="B1551">
        <v>154.80000000000001</v>
      </c>
      <c r="C1551" t="str">
        <f>IFERROR(VLOOKUP(B1551,'Pre-Summary'!$DI$6:$DM$23,4,FALSE),"")</f>
        <v/>
      </c>
      <c r="D1551" s="10" t="str">
        <f>IFERROR(VLOOKUP(B1551,'Pre-Summary'!$AT$6:$AX$14,5,FALSE),D1550)</f>
        <v>Wolfe v3: went back to modified wolfe + EDTA and switched CuSO4 to CUCl2</v>
      </c>
      <c r="E1551" s="10" t="str">
        <f>IFERROR(VLOOKUP(B1551,'Pre-Summary'!$AT$6:$AX$15,4,FALSE),"")</f>
        <v/>
      </c>
      <c r="F1551">
        <f>IFERROR(VLOOKUP(B1551,'Pre-Summary'!$AL$6:$AQ$13,6,FALSE),F1550)</f>
        <v>5.9405263157894746E-2</v>
      </c>
      <c r="G1551" t="str">
        <f>IFERROR(VLOOKUP(B1551,'Pre-Summary'!$AE$6:$AJ$85,3,FALSE),"")</f>
        <v/>
      </c>
      <c r="H1551" t="str">
        <f>IFERROR(VLOOKUP(B1551,'Pre-Summary'!$AE$6:$AJ$85,4,FALSE),"")</f>
        <v/>
      </c>
      <c r="I1551" t="str">
        <f>IFERROR(VLOOKUP(B1551,'Pre-Summary'!$AE$6:$AJ$85,5,FALSE),"")</f>
        <v/>
      </c>
      <c r="J1551" s="45" t="str">
        <f>IFERROR(VLOOKUP(B1551,'Pre-Summary'!$AE$6:$AJ$85,6, FALSE),"")</f>
        <v/>
      </c>
      <c r="K1551" s="45" t="str">
        <f>IFERROR(VLOOKUP(B1551,'Pre-Summary'!$DE$6:$DG$61,3,FALSE),"")</f>
        <v/>
      </c>
      <c r="L1551" s="45" t="str">
        <f>IFERROR(VLOOKUP(B1551,'Pre-Summary'!$CU$6:$CW$36,3,FALSE),"")</f>
        <v/>
      </c>
      <c r="M1551" s="45" t="str">
        <f>IFERROR(VLOOKUP(B1551,'Pre-Summary'!$BW$6:$BY$58,2,FALSE),"")</f>
        <v/>
      </c>
      <c r="N1551" s="45" t="str">
        <f>IFERROR(VLOOKUP(B1551,'Pre-Summary'!$CD$6:$CF$64,2,FALSE),"")</f>
        <v/>
      </c>
      <c r="O1551" s="99">
        <f>IFERROR(VLOOKUP(B1551,'Pre-Summary'!$BO$6:$BQ$48,3, FALSE),O1550)</f>
        <v>1</v>
      </c>
      <c r="P1551" s="99">
        <f>IFERROR(VLOOKUP(B1551,'Pre-Summary'!$BS$6:$BU$35,3,FALSE),P1550)</f>
        <v>0.3</v>
      </c>
      <c r="Q1551" s="54">
        <f t="shared" si="72"/>
        <v>3.3333333333333335</v>
      </c>
      <c r="R1551" s="53">
        <f>IFERROR(VLOOKUP(B1551,'Pre-Summary'!$BG$6:$BM$44,7,FALSE),R1552)</f>
        <v>8.4148491316136567E-2</v>
      </c>
      <c r="S1551" s="53">
        <f>IFERROR(VLOOKUP(B1551,'Pre-Summary'!$BG$6:$BM$44,6,FALSE),S1552)</f>
        <v>0.10600540604063093</v>
      </c>
      <c r="T1551" s="45" t="str">
        <f>IFERROR(VLOOKUP(B1551,'Pre-Summary'!$Y$6:$AC$83, 3,FALSE),"")</f>
        <v/>
      </c>
      <c r="U1551" s="45" t="str">
        <f>IFERROR(VLOOKUP(B1551,'Pre-Summary'!$Y$6:$AC$83, 4,FALSE),"")</f>
        <v/>
      </c>
      <c r="V1551" t="str">
        <f>IFERROR(VLOOKUP(B1551,'Pre-Summary'!$Y$6:$AC$83, 5,FALSE),"")</f>
        <v/>
      </c>
      <c r="W1551" s="45" t="str">
        <f>IFERROR(VLOOKUP(B1551,'Pre-Summary'!$Y$6:$AD$83,6,FALSE),"")</f>
        <v/>
      </c>
      <c r="X1551" t="str">
        <f>IFERROR(VLOOKUP('Pre-Summary'!$DB$6:$DD$63,3,FALSE),"")</f>
        <v/>
      </c>
      <c r="Y1551" t="str">
        <f>IFERROR(VLOOKUP(B1551,'Pre-Summary'!$CR$6:$CT$36,3,FALSE),"")</f>
        <v/>
      </c>
      <c r="Z1551" s="45" t="str">
        <f>IFERROR(VLOOKUP(B1551,'Pre-Summary'!$BZ$6:$CB$63,2,FALSE),"")</f>
        <v/>
      </c>
      <c r="AA1551" s="45" t="str">
        <f>IFERROR(VLOOKUP(B1551,'Pre-Summary'!$CG$6:$CI$70,2,FALSE),"")</f>
        <v/>
      </c>
      <c r="AB1551" s="99">
        <f>IFERROR(VLOOKUP(B1551,'Pre-Summary'!$A$6:$P$178,9,FALSE),AB1552)</f>
        <v>0.35181614583388343</v>
      </c>
      <c r="AC1551" s="10">
        <f>IFERROR(VLOOKUP(Summary!B1551,'Pre-Summary'!$A$6:$P$184,5, FALSE)/100,AC1552)</f>
        <v>0.71615799999999996</v>
      </c>
      <c r="AD1551" s="10">
        <f>IFERROR(VLOOKUP(Summary!B1551,'Pre-Summary'!$A$6:$P$184,3, FALSE)/100,AD1552)</f>
        <v>0.24037466666666671</v>
      </c>
      <c r="AE1551" s="10">
        <f>IFERROR(VLOOKUP(Summary!B1551,'Pre-Summary'!$A$6:$P$184,7, FALSE)/100,AE1552)</f>
        <v>4.3467666666666661E-2</v>
      </c>
      <c r="AF1551" s="99">
        <f t="shared" si="73"/>
        <v>8.4567688782771128E-2</v>
      </c>
      <c r="AG1551" s="99">
        <f t="shared" si="74"/>
        <v>1.5292626955058631E-2</v>
      </c>
      <c r="AH1551" s="10" t="str">
        <f>IFERROR(VLOOKUP(B1551,'Pre-Summary'!$AZ$6:$BE$65,3,FALSE),"")</f>
        <v/>
      </c>
      <c r="AI1551" s="10" t="str">
        <f>IFERROR(VLOOKUP(B1551,'Pre-Summary'!$AZ$6:$BE$65,5,FALSE),"")</f>
        <v/>
      </c>
      <c r="AJ1551" s="10" t="str">
        <f>IFERROR(VLOOKUP(B1551,'Pre-Summary'!$AZ$6:$BE$65,4,FALSE),"")</f>
        <v/>
      </c>
      <c r="AK1551" s="10" t="str">
        <f>IFERROR(VLOOKUP(B1551,'Pre-Summary'!$AZ$6:$BE$65,6,FALSE),"")</f>
        <v/>
      </c>
      <c r="AL1551" s="10" t="str">
        <f>IFERROR(VLOOKUP(B1551,'Pre-Summary'!$BG$6:$BL$44,3,FALSE),"")</f>
        <v/>
      </c>
      <c r="AM1551" s="10" t="str">
        <f>IFERROR(VLOOKUP(B1551,'Pre-Summary'!$BG$6:$BL$44,4,FALSE),"")</f>
        <v/>
      </c>
    </row>
    <row r="1552" spans="2:39" ht="15" customHeight="1" x14ac:dyDescent="0.3">
      <c r="B1552">
        <v>154.9</v>
      </c>
      <c r="C1552" t="str">
        <f>IFERROR(VLOOKUP(B1552,'Pre-Summary'!$DI$6:$DM$23,4,FALSE),"")</f>
        <v/>
      </c>
      <c r="D1552" s="10" t="str">
        <f>IFERROR(VLOOKUP(B1552,'Pre-Summary'!$AT$6:$AX$14,5,FALSE),D1551)</f>
        <v>Wolfe v3: went back to modified wolfe + EDTA and switched CuSO4 to CUCl2</v>
      </c>
      <c r="E1552" s="10" t="str">
        <f>IFERROR(VLOOKUP(B1552,'Pre-Summary'!$AT$6:$AX$15,4,FALSE),"")</f>
        <v/>
      </c>
      <c r="F1552">
        <f>IFERROR(VLOOKUP(B1552,'Pre-Summary'!$AL$6:$AQ$13,6,FALSE),F1551)</f>
        <v>5.9405263157894746E-2</v>
      </c>
      <c r="G1552" t="str">
        <f>IFERROR(VLOOKUP(B1552,'Pre-Summary'!$AE$6:$AJ$85,3,FALSE),"")</f>
        <v/>
      </c>
      <c r="H1552" t="str">
        <f>IFERROR(VLOOKUP(B1552,'Pre-Summary'!$AE$6:$AJ$85,4,FALSE),"")</f>
        <v/>
      </c>
      <c r="I1552" t="str">
        <f>IFERROR(VLOOKUP(B1552,'Pre-Summary'!$AE$6:$AJ$85,5,FALSE),"")</f>
        <v/>
      </c>
      <c r="J1552" s="45" t="str">
        <f>IFERROR(VLOOKUP(B1552,'Pre-Summary'!$AE$6:$AJ$85,6, FALSE),"")</f>
        <v/>
      </c>
      <c r="K1552" s="45" t="str">
        <f>IFERROR(VLOOKUP(B1552,'Pre-Summary'!$DE$6:$DG$61,3,FALSE),"")</f>
        <v/>
      </c>
      <c r="L1552" s="45" t="str">
        <f>IFERROR(VLOOKUP(B1552,'Pre-Summary'!$CU$6:$CW$36,3,FALSE),"")</f>
        <v/>
      </c>
      <c r="M1552" s="45" t="str">
        <f>IFERROR(VLOOKUP(B1552,'Pre-Summary'!$BW$6:$BY$58,2,FALSE),"")</f>
        <v/>
      </c>
      <c r="N1552" s="45" t="str">
        <f>IFERROR(VLOOKUP(B1552,'Pre-Summary'!$CD$6:$CF$64,2,FALSE),"")</f>
        <v/>
      </c>
      <c r="O1552" s="99">
        <f>IFERROR(VLOOKUP(B1552,'Pre-Summary'!$BO$6:$BQ$48,3, FALSE),O1551)</f>
        <v>1</v>
      </c>
      <c r="P1552" s="99">
        <f>IFERROR(VLOOKUP(B1552,'Pre-Summary'!$BS$6:$BU$35,3,FALSE),P1551)</f>
        <v>0.3</v>
      </c>
      <c r="Q1552" s="54">
        <f t="shared" si="72"/>
        <v>3.3333333333333335</v>
      </c>
      <c r="R1552" s="53">
        <f>IFERROR(VLOOKUP(B1552,'Pre-Summary'!$BG$6:$BM$44,7,FALSE),R1553)</f>
        <v>8.4148491316136567E-2</v>
      </c>
      <c r="S1552" s="53">
        <f>IFERROR(VLOOKUP(B1552,'Pre-Summary'!$BG$6:$BM$44,6,FALSE),S1553)</f>
        <v>0.10600540604063093</v>
      </c>
      <c r="T1552" s="45" t="str">
        <f>IFERROR(VLOOKUP(B1552,'Pre-Summary'!$Y$6:$AC$83, 3,FALSE),"")</f>
        <v/>
      </c>
      <c r="U1552" s="45" t="str">
        <f>IFERROR(VLOOKUP(B1552,'Pre-Summary'!$Y$6:$AC$83, 4,FALSE),"")</f>
        <v/>
      </c>
      <c r="V1552" t="str">
        <f>IFERROR(VLOOKUP(B1552,'Pre-Summary'!$Y$6:$AC$83, 5,FALSE),"")</f>
        <v/>
      </c>
      <c r="W1552" s="45" t="str">
        <f>IFERROR(VLOOKUP(B1552,'Pre-Summary'!$Y$6:$AD$83,6,FALSE),"")</f>
        <v/>
      </c>
      <c r="X1552" t="str">
        <f>IFERROR(VLOOKUP('Pre-Summary'!$DB$6:$DD$63,3,FALSE),"")</f>
        <v/>
      </c>
      <c r="Y1552" t="str">
        <f>IFERROR(VLOOKUP(B1552,'Pre-Summary'!$CR$6:$CT$36,3,FALSE),"")</f>
        <v/>
      </c>
      <c r="Z1552" s="45" t="str">
        <f>IFERROR(VLOOKUP(B1552,'Pre-Summary'!$BZ$6:$CB$63,2,FALSE),"")</f>
        <v/>
      </c>
      <c r="AA1552" s="45" t="str">
        <f>IFERROR(VLOOKUP(B1552,'Pre-Summary'!$CG$6:$CI$70,2,FALSE),"")</f>
        <v/>
      </c>
      <c r="AB1552" s="99">
        <f>IFERROR(VLOOKUP(B1552,'Pre-Summary'!$A$6:$P$178,9,FALSE),AB1553)</f>
        <v>0.35181614583388343</v>
      </c>
      <c r="AC1552" s="10">
        <f>IFERROR(VLOOKUP(Summary!B1552,'Pre-Summary'!$A$6:$P$184,5, FALSE)/100,AC1553)</f>
        <v>0.71615799999999996</v>
      </c>
      <c r="AD1552" s="10">
        <f>IFERROR(VLOOKUP(Summary!B1552,'Pre-Summary'!$A$6:$P$184,3, FALSE)/100,AD1553)</f>
        <v>0.24037466666666671</v>
      </c>
      <c r="AE1552" s="10">
        <f>IFERROR(VLOOKUP(Summary!B1552,'Pre-Summary'!$A$6:$P$184,7, FALSE)/100,AE1553)</f>
        <v>4.3467666666666661E-2</v>
      </c>
      <c r="AF1552" s="99">
        <f t="shared" si="73"/>
        <v>8.4567688782771128E-2</v>
      </c>
      <c r="AG1552" s="99">
        <f t="shared" si="74"/>
        <v>1.5292626955058631E-2</v>
      </c>
      <c r="AH1552" s="10" t="str">
        <f>IFERROR(VLOOKUP(B1552,'Pre-Summary'!$AZ$6:$BE$65,3,FALSE),"")</f>
        <v/>
      </c>
      <c r="AI1552" s="10" t="str">
        <f>IFERROR(VLOOKUP(B1552,'Pre-Summary'!$AZ$6:$BE$65,5,FALSE),"")</f>
        <v/>
      </c>
      <c r="AJ1552" s="10" t="str">
        <f>IFERROR(VLOOKUP(B1552,'Pre-Summary'!$AZ$6:$BE$65,4,FALSE),"")</f>
        <v/>
      </c>
      <c r="AK1552" s="10" t="str">
        <f>IFERROR(VLOOKUP(B1552,'Pre-Summary'!$AZ$6:$BE$65,6,FALSE),"")</f>
        <v/>
      </c>
      <c r="AL1552" s="10" t="str">
        <f>IFERROR(VLOOKUP(B1552,'Pre-Summary'!$BG$6:$BL$44,3,FALSE),"")</f>
        <v/>
      </c>
      <c r="AM1552" s="10" t="str">
        <f>IFERROR(VLOOKUP(B1552,'Pre-Summary'!$BG$6:$BL$44,4,FALSE),"")</f>
        <v/>
      </c>
    </row>
    <row r="1553" spans="2:39" ht="15" customHeight="1" x14ac:dyDescent="0.3">
      <c r="B1553">
        <v>155</v>
      </c>
      <c r="C1553" t="str">
        <f>IFERROR(VLOOKUP(B1553,'Pre-Summary'!$DI$6:$DM$23,4,FALSE),"")</f>
        <v/>
      </c>
      <c r="D1553" s="10" t="str">
        <f>IFERROR(VLOOKUP(B1553,'Pre-Summary'!$AT$6:$AX$14,5,FALSE),D1552)</f>
        <v>Wolfe v3: went back to modified wolfe + EDTA and switched CuSO4 to CUCl2</v>
      </c>
      <c r="E1553" s="10" t="str">
        <f>IFERROR(VLOOKUP(B1553,'Pre-Summary'!$AT$6:$AX$15,4,FALSE),"")</f>
        <v/>
      </c>
      <c r="F1553">
        <f>IFERROR(VLOOKUP(B1553,'Pre-Summary'!$AL$6:$AQ$13,6,FALSE),F1552)</f>
        <v>5.9405263157894746E-2</v>
      </c>
      <c r="G1553" t="str">
        <f>IFERROR(VLOOKUP(B1553,'Pre-Summary'!$AE$6:$AJ$85,3,FALSE),"")</f>
        <v/>
      </c>
      <c r="H1553" t="str">
        <f>IFERROR(VLOOKUP(B1553,'Pre-Summary'!$AE$6:$AJ$85,4,FALSE),"")</f>
        <v/>
      </c>
      <c r="I1553" t="str">
        <f>IFERROR(VLOOKUP(B1553,'Pre-Summary'!$AE$6:$AJ$85,5,FALSE),"")</f>
        <v/>
      </c>
      <c r="J1553" s="45" t="str">
        <f>IFERROR(VLOOKUP(B1553,'Pre-Summary'!$AE$6:$AJ$85,6, FALSE),"")</f>
        <v/>
      </c>
      <c r="K1553" s="45" t="str">
        <f>IFERROR(VLOOKUP(B1553,'Pre-Summary'!$DE$6:$DG$61,3,FALSE),"")</f>
        <v/>
      </c>
      <c r="L1553" s="45" t="str">
        <f>IFERROR(VLOOKUP(B1553,'Pre-Summary'!$CU$6:$CW$36,3,FALSE),"")</f>
        <v/>
      </c>
      <c r="M1553" s="45" t="str">
        <f>IFERROR(VLOOKUP(B1553,'Pre-Summary'!$BW$6:$BY$58,2,FALSE),"")</f>
        <v/>
      </c>
      <c r="N1553" s="45" t="str">
        <f>IFERROR(VLOOKUP(B1553,'Pre-Summary'!$CD$6:$CF$64,2,FALSE),"")</f>
        <v/>
      </c>
      <c r="O1553" s="99">
        <f>IFERROR(VLOOKUP(B1553,'Pre-Summary'!$BO$6:$BQ$48,3, FALSE),O1552)</f>
        <v>1</v>
      </c>
      <c r="P1553" s="99">
        <f>IFERROR(VLOOKUP(B1553,'Pre-Summary'!$BS$6:$BU$35,3,FALSE),P1552)</f>
        <v>0.3</v>
      </c>
      <c r="Q1553" s="54">
        <f t="shared" si="72"/>
        <v>3.3333333333333335</v>
      </c>
      <c r="R1553" s="53">
        <f>IFERROR(VLOOKUP(B1553,'Pre-Summary'!$BG$6:$BM$44,7,FALSE),R1554)</f>
        <v>8.4148491316136567E-2</v>
      </c>
      <c r="S1553" s="53">
        <f>IFERROR(VLOOKUP(B1553,'Pre-Summary'!$BG$6:$BM$44,6,FALSE),S1554)</f>
        <v>0.10600540604063093</v>
      </c>
      <c r="T1553" s="45" t="str">
        <f>IFERROR(VLOOKUP(B1553,'Pre-Summary'!$Y$6:$AC$83, 3,FALSE),"")</f>
        <v/>
      </c>
      <c r="U1553" s="45" t="str">
        <f>IFERROR(VLOOKUP(B1553,'Pre-Summary'!$Y$6:$AC$83, 4,FALSE),"")</f>
        <v/>
      </c>
      <c r="V1553" t="str">
        <f>IFERROR(VLOOKUP(B1553,'Pre-Summary'!$Y$6:$AC$83, 5,FALSE),"")</f>
        <v/>
      </c>
      <c r="W1553" s="45" t="str">
        <f>IFERROR(VLOOKUP(B1553,'Pre-Summary'!$Y$6:$AD$83,6,FALSE),"")</f>
        <v/>
      </c>
      <c r="X1553" t="str">
        <f>IFERROR(VLOOKUP('Pre-Summary'!$DB$6:$DD$63,3,FALSE),"")</f>
        <v/>
      </c>
      <c r="Y1553" t="str">
        <f>IFERROR(VLOOKUP(B1553,'Pre-Summary'!$CR$6:$CT$36,3,FALSE),"")</f>
        <v/>
      </c>
      <c r="Z1553" s="45" t="str">
        <f>IFERROR(VLOOKUP(B1553,'Pre-Summary'!$BZ$6:$CB$63,2,FALSE),"")</f>
        <v/>
      </c>
      <c r="AA1553" s="45" t="str">
        <f>IFERROR(VLOOKUP(B1553,'Pre-Summary'!$CG$6:$CI$70,2,FALSE),"")</f>
        <v/>
      </c>
      <c r="AB1553" s="99">
        <f>IFERROR(VLOOKUP(B1553,'Pre-Summary'!$A$6:$P$178,9,FALSE),AB1554)</f>
        <v>0.44066929429298479</v>
      </c>
      <c r="AC1553" s="10">
        <f>IFERROR(VLOOKUP(Summary!B1553,'Pre-Summary'!$A$6:$P$184,5, FALSE)/100,AC1554)</f>
        <v>0.71589233333333324</v>
      </c>
      <c r="AD1553" s="10">
        <f>IFERROR(VLOOKUP(Summary!B1553,'Pre-Summary'!$A$6:$P$184,3, FALSE)/100,AD1554)</f>
        <v>0.25342833333333331</v>
      </c>
      <c r="AE1553" s="10">
        <f>IFERROR(VLOOKUP(Summary!B1553,'Pre-Summary'!$A$6:$P$184,7, FALSE)/100,AE1554)</f>
        <v>3.0678999999999998E-2</v>
      </c>
      <c r="AF1553" s="99">
        <f t="shared" si="73"/>
        <v>0.11167808480384731</v>
      </c>
      <c r="AG1553" s="99">
        <f t="shared" si="74"/>
        <v>1.3519293279614479E-2</v>
      </c>
      <c r="AH1553" s="10" t="str">
        <f>IFERROR(VLOOKUP(B1553,'Pre-Summary'!$AZ$6:$BE$65,3,FALSE),"")</f>
        <v/>
      </c>
      <c r="AI1553" s="10" t="str">
        <f>IFERROR(VLOOKUP(B1553,'Pre-Summary'!$AZ$6:$BE$65,5,FALSE),"")</f>
        <v/>
      </c>
      <c r="AJ1553" s="10" t="str">
        <f>IFERROR(VLOOKUP(B1553,'Pre-Summary'!$AZ$6:$BE$65,4,FALSE),"")</f>
        <v/>
      </c>
      <c r="AK1553" s="10" t="str">
        <f>IFERROR(VLOOKUP(B1553,'Pre-Summary'!$AZ$6:$BE$65,6,FALSE),"")</f>
        <v/>
      </c>
      <c r="AL1553" s="10" t="str">
        <f>IFERROR(VLOOKUP(B1553,'Pre-Summary'!$BG$6:$BL$44,3,FALSE),"")</f>
        <v/>
      </c>
      <c r="AM1553" s="10" t="str">
        <f>IFERROR(VLOOKUP(B1553,'Pre-Summary'!$BG$6:$BL$44,4,FALSE),"")</f>
        <v/>
      </c>
    </row>
    <row r="1554" spans="2:39" ht="15" customHeight="1" x14ac:dyDescent="0.3">
      <c r="B1554">
        <v>155.1</v>
      </c>
      <c r="C1554" t="str">
        <f>IFERROR(VLOOKUP(B1554,'Pre-Summary'!$DI$6:$DM$23,4,FALSE),"")</f>
        <v/>
      </c>
      <c r="D1554" s="10" t="str">
        <f>IFERROR(VLOOKUP(B1554,'Pre-Summary'!$AT$6:$AX$14,5,FALSE),D1553)</f>
        <v>Wolfe v3: went back to modified wolfe + EDTA and switched CuSO4 to CUCl2</v>
      </c>
      <c r="E1554" s="10" t="str">
        <f>IFERROR(VLOOKUP(B1554,'Pre-Summary'!$AT$6:$AX$15,4,FALSE),"")</f>
        <v/>
      </c>
      <c r="F1554">
        <f>IFERROR(VLOOKUP(B1554,'Pre-Summary'!$AL$6:$AQ$13,6,FALSE),F1553)</f>
        <v>5.9405263157894746E-2</v>
      </c>
      <c r="G1554" t="str">
        <f>IFERROR(VLOOKUP(B1554,'Pre-Summary'!$AE$6:$AJ$85,3,FALSE),"")</f>
        <v/>
      </c>
      <c r="H1554" t="str">
        <f>IFERROR(VLOOKUP(B1554,'Pre-Summary'!$AE$6:$AJ$85,4,FALSE),"")</f>
        <v/>
      </c>
      <c r="I1554" t="str">
        <f>IFERROR(VLOOKUP(B1554,'Pre-Summary'!$AE$6:$AJ$85,5,FALSE),"")</f>
        <v/>
      </c>
      <c r="J1554" s="45" t="str">
        <f>IFERROR(VLOOKUP(B1554,'Pre-Summary'!$AE$6:$AJ$85,6, FALSE),"")</f>
        <v/>
      </c>
      <c r="K1554" s="45" t="str">
        <f>IFERROR(VLOOKUP(B1554,'Pre-Summary'!$DE$6:$DG$61,3,FALSE),"")</f>
        <v/>
      </c>
      <c r="L1554" s="45" t="str">
        <f>IFERROR(VLOOKUP(B1554,'Pre-Summary'!$CU$6:$CW$36,3,FALSE),"")</f>
        <v/>
      </c>
      <c r="M1554" s="45" t="str">
        <f>IFERROR(VLOOKUP(B1554,'Pre-Summary'!$BW$6:$BY$58,2,FALSE),"")</f>
        <v/>
      </c>
      <c r="N1554" s="45" t="str">
        <f>IFERROR(VLOOKUP(B1554,'Pre-Summary'!$CD$6:$CF$64,2,FALSE),"")</f>
        <v/>
      </c>
      <c r="O1554" s="99">
        <f>IFERROR(VLOOKUP(B1554,'Pre-Summary'!$BO$6:$BQ$48,3, FALSE),O1553)</f>
        <v>1</v>
      </c>
      <c r="P1554" s="99">
        <f>IFERROR(VLOOKUP(B1554,'Pre-Summary'!$BS$6:$BU$35,3,FALSE),P1553)</f>
        <v>0.3</v>
      </c>
      <c r="Q1554" s="54">
        <f t="shared" si="72"/>
        <v>3.3333333333333335</v>
      </c>
      <c r="R1554" s="53">
        <f>IFERROR(VLOOKUP(B1554,'Pre-Summary'!$BG$6:$BM$44,7,FALSE),R1555)</f>
        <v>8.4148491316136567E-2</v>
      </c>
      <c r="S1554" s="53">
        <f>IFERROR(VLOOKUP(B1554,'Pre-Summary'!$BG$6:$BM$44,6,FALSE),S1555)</f>
        <v>0.10600540604063093</v>
      </c>
      <c r="T1554" s="45" t="str">
        <f>IFERROR(VLOOKUP(B1554,'Pre-Summary'!$Y$6:$AC$83, 3,FALSE),"")</f>
        <v/>
      </c>
      <c r="U1554" s="45" t="str">
        <f>IFERROR(VLOOKUP(B1554,'Pre-Summary'!$Y$6:$AC$83, 4,FALSE),"")</f>
        <v/>
      </c>
      <c r="V1554" t="str">
        <f>IFERROR(VLOOKUP(B1554,'Pre-Summary'!$Y$6:$AC$83, 5,FALSE),"")</f>
        <v/>
      </c>
      <c r="W1554" s="45" t="str">
        <f>IFERROR(VLOOKUP(B1554,'Pre-Summary'!$Y$6:$AD$83,6,FALSE),"")</f>
        <v/>
      </c>
      <c r="X1554" t="str">
        <f>IFERROR(VLOOKUP('Pre-Summary'!$DB$6:$DD$63,3,FALSE),"")</f>
        <v/>
      </c>
      <c r="Y1554" t="str">
        <f>IFERROR(VLOOKUP(B1554,'Pre-Summary'!$CR$6:$CT$36,3,FALSE),"")</f>
        <v/>
      </c>
      <c r="Z1554" s="45" t="str">
        <f>IFERROR(VLOOKUP(B1554,'Pre-Summary'!$BZ$6:$CB$63,2,FALSE),"")</f>
        <v/>
      </c>
      <c r="AA1554" s="45" t="str">
        <f>IFERROR(VLOOKUP(B1554,'Pre-Summary'!$CG$6:$CI$70,2,FALSE),"")</f>
        <v/>
      </c>
      <c r="AB1554" s="99">
        <f>IFERROR(VLOOKUP(B1554,'Pre-Summary'!$A$6:$P$178,9,FALSE),AB1555)</f>
        <v>0.44066929429298479</v>
      </c>
      <c r="AC1554" s="10">
        <f>IFERROR(VLOOKUP(Summary!B1554,'Pre-Summary'!$A$6:$P$184,5, FALSE)/100,AC1555)</f>
        <v>0.71589233333333324</v>
      </c>
      <c r="AD1554" s="10">
        <f>IFERROR(VLOOKUP(Summary!B1554,'Pre-Summary'!$A$6:$P$184,3, FALSE)/100,AD1555)</f>
        <v>0.25342833333333331</v>
      </c>
      <c r="AE1554" s="10">
        <f>IFERROR(VLOOKUP(Summary!B1554,'Pre-Summary'!$A$6:$P$184,7, FALSE)/100,AE1555)</f>
        <v>3.0678999999999998E-2</v>
      </c>
      <c r="AF1554" s="99">
        <f t="shared" si="73"/>
        <v>0.11167808480384731</v>
      </c>
      <c r="AG1554" s="99">
        <f t="shared" si="74"/>
        <v>1.3519293279614479E-2</v>
      </c>
      <c r="AH1554" s="10" t="str">
        <f>IFERROR(VLOOKUP(B1554,'Pre-Summary'!$AZ$6:$BE$65,3,FALSE),"")</f>
        <v/>
      </c>
      <c r="AI1554" s="10" t="str">
        <f>IFERROR(VLOOKUP(B1554,'Pre-Summary'!$AZ$6:$BE$65,5,FALSE),"")</f>
        <v/>
      </c>
      <c r="AJ1554" s="10" t="str">
        <f>IFERROR(VLOOKUP(B1554,'Pre-Summary'!$AZ$6:$BE$65,4,FALSE),"")</f>
        <v/>
      </c>
      <c r="AK1554" s="10" t="str">
        <f>IFERROR(VLOOKUP(B1554,'Pre-Summary'!$AZ$6:$BE$65,6,FALSE),"")</f>
        <v/>
      </c>
      <c r="AL1554" s="10" t="str">
        <f>IFERROR(VLOOKUP(B1554,'Pre-Summary'!$BG$6:$BL$44,3,FALSE),"")</f>
        <v/>
      </c>
      <c r="AM1554" s="10" t="str">
        <f>IFERROR(VLOOKUP(B1554,'Pre-Summary'!$BG$6:$BL$44,4,FALSE),"")</f>
        <v/>
      </c>
    </row>
    <row r="1555" spans="2:39" ht="15" customHeight="1" x14ac:dyDescent="0.3">
      <c r="B1555">
        <v>155.19999999999999</v>
      </c>
      <c r="C1555" t="str">
        <f>IFERROR(VLOOKUP(B1555,'Pre-Summary'!$DI$6:$DM$23,4,FALSE),"")</f>
        <v/>
      </c>
      <c r="D1555" s="10" t="str">
        <f>IFERROR(VLOOKUP(B1555,'Pre-Summary'!$AT$6:$AX$14,5,FALSE),D1554)</f>
        <v>Wolfe v3: went back to modified wolfe + EDTA and switched CuSO4 to CUCl2</v>
      </c>
      <c r="E1555" s="10" t="str">
        <f>IFERROR(VLOOKUP(B1555,'Pre-Summary'!$AT$6:$AX$15,4,FALSE),"")</f>
        <v/>
      </c>
      <c r="F1555">
        <f>IFERROR(VLOOKUP(B1555,'Pre-Summary'!$AL$6:$AQ$13,6,FALSE),F1554)</f>
        <v>5.9405263157894746E-2</v>
      </c>
      <c r="G1555" t="str">
        <f>IFERROR(VLOOKUP(B1555,'Pre-Summary'!$AE$6:$AJ$85,3,FALSE),"")</f>
        <v/>
      </c>
      <c r="H1555" t="str">
        <f>IFERROR(VLOOKUP(B1555,'Pre-Summary'!$AE$6:$AJ$85,4,FALSE),"")</f>
        <v/>
      </c>
      <c r="I1555" t="str">
        <f>IFERROR(VLOOKUP(B1555,'Pre-Summary'!$AE$6:$AJ$85,5,FALSE),"")</f>
        <v/>
      </c>
      <c r="J1555" s="45" t="str">
        <f>IFERROR(VLOOKUP(B1555,'Pre-Summary'!$AE$6:$AJ$85,6, FALSE),"")</f>
        <v/>
      </c>
      <c r="K1555" s="45" t="str">
        <f>IFERROR(VLOOKUP(B1555,'Pre-Summary'!$DE$6:$DG$61,3,FALSE),"")</f>
        <v/>
      </c>
      <c r="L1555" s="45" t="str">
        <f>IFERROR(VLOOKUP(B1555,'Pre-Summary'!$CU$6:$CW$36,3,FALSE),"")</f>
        <v/>
      </c>
      <c r="M1555" s="45" t="str">
        <f>IFERROR(VLOOKUP(B1555,'Pre-Summary'!$BW$6:$BY$58,2,FALSE),"")</f>
        <v/>
      </c>
      <c r="N1555" s="45" t="str">
        <f>IFERROR(VLOOKUP(B1555,'Pre-Summary'!$CD$6:$CF$64,2,FALSE),"")</f>
        <v/>
      </c>
      <c r="O1555" s="99">
        <f>IFERROR(VLOOKUP(B1555,'Pre-Summary'!$BO$6:$BQ$48,3, FALSE),O1554)</f>
        <v>1</v>
      </c>
      <c r="P1555" s="99">
        <f>IFERROR(VLOOKUP(B1555,'Pre-Summary'!$BS$6:$BU$35,3,FALSE),P1554)</f>
        <v>0.3</v>
      </c>
      <c r="Q1555" s="54">
        <f t="shared" si="72"/>
        <v>3.3333333333333335</v>
      </c>
      <c r="R1555" s="53">
        <f>IFERROR(VLOOKUP(B1555,'Pre-Summary'!$BG$6:$BM$44,7,FALSE),R1556)</f>
        <v>8.4148491316136567E-2</v>
      </c>
      <c r="S1555" s="53">
        <f>IFERROR(VLOOKUP(B1555,'Pre-Summary'!$BG$6:$BM$44,6,FALSE),S1556)</f>
        <v>0.10600540604063093</v>
      </c>
      <c r="T1555" s="45" t="str">
        <f>IFERROR(VLOOKUP(B1555,'Pre-Summary'!$Y$6:$AC$83, 3,FALSE),"")</f>
        <v/>
      </c>
      <c r="U1555" s="45" t="str">
        <f>IFERROR(VLOOKUP(B1555,'Pre-Summary'!$Y$6:$AC$83, 4,FALSE),"")</f>
        <v/>
      </c>
      <c r="V1555" t="str">
        <f>IFERROR(VLOOKUP(B1555,'Pre-Summary'!$Y$6:$AC$83, 5,FALSE),"")</f>
        <v/>
      </c>
      <c r="W1555" s="45" t="str">
        <f>IFERROR(VLOOKUP(B1555,'Pre-Summary'!$Y$6:$AD$83,6,FALSE),"")</f>
        <v/>
      </c>
      <c r="X1555" t="str">
        <f>IFERROR(VLOOKUP('Pre-Summary'!$DB$6:$DD$63,3,FALSE),"")</f>
        <v/>
      </c>
      <c r="Y1555" t="str">
        <f>IFERROR(VLOOKUP(B1555,'Pre-Summary'!$CR$6:$CT$36,3,FALSE),"")</f>
        <v/>
      </c>
      <c r="Z1555" s="45" t="str">
        <f>IFERROR(VLOOKUP(B1555,'Pre-Summary'!$BZ$6:$CB$63,2,FALSE),"")</f>
        <v/>
      </c>
      <c r="AA1555" s="45" t="str">
        <f>IFERROR(VLOOKUP(B1555,'Pre-Summary'!$CG$6:$CI$70,2,FALSE),"")</f>
        <v/>
      </c>
      <c r="AB1555" s="99">
        <f>IFERROR(VLOOKUP(B1555,'Pre-Summary'!$A$6:$P$178,9,FALSE),AB1556)</f>
        <v>0.44066929429298479</v>
      </c>
      <c r="AC1555" s="10">
        <f>IFERROR(VLOOKUP(Summary!B1555,'Pre-Summary'!$A$6:$P$184,5, FALSE)/100,AC1556)</f>
        <v>0.71589233333333324</v>
      </c>
      <c r="AD1555" s="10">
        <f>IFERROR(VLOOKUP(Summary!B1555,'Pre-Summary'!$A$6:$P$184,3, FALSE)/100,AD1556)</f>
        <v>0.25342833333333331</v>
      </c>
      <c r="AE1555" s="10">
        <f>IFERROR(VLOOKUP(Summary!B1555,'Pre-Summary'!$A$6:$P$184,7, FALSE)/100,AE1556)</f>
        <v>3.0678999999999998E-2</v>
      </c>
      <c r="AF1555" s="99">
        <f t="shared" si="73"/>
        <v>0.11167808480384731</v>
      </c>
      <c r="AG1555" s="99">
        <f t="shared" si="74"/>
        <v>1.3519293279614479E-2</v>
      </c>
      <c r="AH1555" s="10" t="str">
        <f>IFERROR(VLOOKUP(B1555,'Pre-Summary'!$AZ$6:$BE$65,3,FALSE),"")</f>
        <v/>
      </c>
      <c r="AI1555" s="10" t="str">
        <f>IFERROR(VLOOKUP(B1555,'Pre-Summary'!$AZ$6:$BE$65,5,FALSE),"")</f>
        <v/>
      </c>
      <c r="AJ1555" s="10" t="str">
        <f>IFERROR(VLOOKUP(B1555,'Pre-Summary'!$AZ$6:$BE$65,4,FALSE),"")</f>
        <v/>
      </c>
      <c r="AK1555" s="10" t="str">
        <f>IFERROR(VLOOKUP(B1555,'Pre-Summary'!$AZ$6:$BE$65,6,FALSE),"")</f>
        <v/>
      </c>
      <c r="AL1555" s="10" t="str">
        <f>IFERROR(VLOOKUP(B1555,'Pre-Summary'!$BG$6:$BL$44,3,FALSE),"")</f>
        <v/>
      </c>
      <c r="AM1555" s="10" t="str">
        <f>IFERROR(VLOOKUP(B1555,'Pre-Summary'!$BG$6:$BL$44,4,FALSE),"")</f>
        <v/>
      </c>
    </row>
    <row r="1556" spans="2:39" ht="15" customHeight="1" x14ac:dyDescent="0.3">
      <c r="B1556">
        <v>155.30000000000001</v>
      </c>
      <c r="C1556" t="str">
        <f>IFERROR(VLOOKUP(B1556,'Pre-Summary'!$DI$6:$DM$23,4,FALSE),"")</f>
        <v/>
      </c>
      <c r="D1556" s="10" t="str">
        <f>IFERROR(VLOOKUP(B1556,'Pre-Summary'!$AT$6:$AX$14,5,FALSE),D1555)</f>
        <v>Wolfe v3: went back to modified wolfe + EDTA and switched CuSO4 to CUCl2</v>
      </c>
      <c r="E1556" s="10" t="str">
        <f>IFERROR(VLOOKUP(B1556,'Pre-Summary'!$AT$6:$AX$15,4,FALSE),"")</f>
        <v/>
      </c>
      <c r="F1556">
        <f>IFERROR(VLOOKUP(B1556,'Pre-Summary'!$AL$6:$AQ$13,6,FALSE),F1555)</f>
        <v>5.9405263157894746E-2</v>
      </c>
      <c r="G1556" t="str">
        <f>IFERROR(VLOOKUP(B1556,'Pre-Summary'!$AE$6:$AJ$85,3,FALSE),"")</f>
        <v/>
      </c>
      <c r="H1556" t="str">
        <f>IFERROR(VLOOKUP(B1556,'Pre-Summary'!$AE$6:$AJ$85,4,FALSE),"")</f>
        <v/>
      </c>
      <c r="I1556" t="str">
        <f>IFERROR(VLOOKUP(B1556,'Pre-Summary'!$AE$6:$AJ$85,5,FALSE),"")</f>
        <v/>
      </c>
      <c r="J1556" s="45" t="str">
        <f>IFERROR(VLOOKUP(B1556,'Pre-Summary'!$AE$6:$AJ$85,6, FALSE),"")</f>
        <v/>
      </c>
      <c r="K1556" s="45" t="str">
        <f>IFERROR(VLOOKUP(B1556,'Pre-Summary'!$DE$6:$DG$61,3,FALSE),"")</f>
        <v/>
      </c>
      <c r="L1556" s="45" t="str">
        <f>IFERROR(VLOOKUP(B1556,'Pre-Summary'!$CU$6:$CW$36,3,FALSE),"")</f>
        <v/>
      </c>
      <c r="M1556" s="45" t="str">
        <f>IFERROR(VLOOKUP(B1556,'Pre-Summary'!$BW$6:$BY$58,2,FALSE),"")</f>
        <v/>
      </c>
      <c r="N1556" s="45" t="str">
        <f>IFERROR(VLOOKUP(B1556,'Pre-Summary'!$CD$6:$CF$64,2,FALSE),"")</f>
        <v/>
      </c>
      <c r="O1556" s="99">
        <f>IFERROR(VLOOKUP(B1556,'Pre-Summary'!$BO$6:$BQ$48,3, FALSE),O1555)</f>
        <v>1</v>
      </c>
      <c r="P1556" s="99">
        <f>IFERROR(VLOOKUP(B1556,'Pre-Summary'!$BS$6:$BU$35,3,FALSE),P1555)</f>
        <v>0.3</v>
      </c>
      <c r="Q1556" s="54">
        <f t="shared" si="72"/>
        <v>3.3333333333333335</v>
      </c>
      <c r="R1556" s="53">
        <f>IFERROR(VLOOKUP(B1556,'Pre-Summary'!$BG$6:$BM$44,7,FALSE),R1557)</f>
        <v>8.4148491316136567E-2</v>
      </c>
      <c r="S1556" s="53">
        <f>IFERROR(VLOOKUP(B1556,'Pre-Summary'!$BG$6:$BM$44,6,FALSE),S1557)</f>
        <v>0.10600540604063093</v>
      </c>
      <c r="T1556" s="45" t="str">
        <f>IFERROR(VLOOKUP(B1556,'Pre-Summary'!$Y$6:$AC$83, 3,FALSE),"")</f>
        <v/>
      </c>
      <c r="U1556" s="45" t="str">
        <f>IFERROR(VLOOKUP(B1556,'Pre-Summary'!$Y$6:$AC$83, 4,FALSE),"")</f>
        <v/>
      </c>
      <c r="V1556" t="str">
        <f>IFERROR(VLOOKUP(B1556,'Pre-Summary'!$Y$6:$AC$83, 5,FALSE),"")</f>
        <v/>
      </c>
      <c r="W1556" s="45" t="str">
        <f>IFERROR(VLOOKUP(B1556,'Pre-Summary'!$Y$6:$AD$83,6,FALSE),"")</f>
        <v/>
      </c>
      <c r="X1556" t="str">
        <f>IFERROR(VLOOKUP('Pre-Summary'!$DB$6:$DD$63,3,FALSE),"")</f>
        <v/>
      </c>
      <c r="Y1556" t="str">
        <f>IFERROR(VLOOKUP(B1556,'Pre-Summary'!$CR$6:$CT$36,3,FALSE),"")</f>
        <v/>
      </c>
      <c r="Z1556" s="45" t="str">
        <f>IFERROR(VLOOKUP(B1556,'Pre-Summary'!$BZ$6:$CB$63,2,FALSE),"")</f>
        <v/>
      </c>
      <c r="AA1556" s="45" t="str">
        <f>IFERROR(VLOOKUP(B1556,'Pre-Summary'!$CG$6:$CI$70,2,FALSE),"")</f>
        <v/>
      </c>
      <c r="AB1556" s="99">
        <f>IFERROR(VLOOKUP(B1556,'Pre-Summary'!$A$6:$P$178,9,FALSE),AB1557)</f>
        <v>0.44066929429298479</v>
      </c>
      <c r="AC1556" s="10">
        <f>IFERROR(VLOOKUP(Summary!B1556,'Pre-Summary'!$A$6:$P$184,5, FALSE)/100,AC1557)</f>
        <v>0.71589233333333324</v>
      </c>
      <c r="AD1556" s="10">
        <f>IFERROR(VLOOKUP(Summary!B1556,'Pre-Summary'!$A$6:$P$184,3, FALSE)/100,AD1557)</f>
        <v>0.25342833333333331</v>
      </c>
      <c r="AE1556" s="10">
        <f>IFERROR(VLOOKUP(Summary!B1556,'Pre-Summary'!$A$6:$P$184,7, FALSE)/100,AE1557)</f>
        <v>3.0678999999999998E-2</v>
      </c>
      <c r="AF1556" s="99">
        <f t="shared" si="73"/>
        <v>0.11167808480384731</v>
      </c>
      <c r="AG1556" s="99">
        <f t="shared" si="74"/>
        <v>1.3519293279614479E-2</v>
      </c>
      <c r="AH1556" s="10" t="str">
        <f>IFERROR(VLOOKUP(B1556,'Pre-Summary'!$AZ$6:$BE$65,3,FALSE),"")</f>
        <v/>
      </c>
      <c r="AI1556" s="10" t="str">
        <f>IFERROR(VLOOKUP(B1556,'Pre-Summary'!$AZ$6:$BE$65,5,FALSE),"")</f>
        <v/>
      </c>
      <c r="AJ1556" s="10" t="str">
        <f>IFERROR(VLOOKUP(B1556,'Pre-Summary'!$AZ$6:$BE$65,4,FALSE),"")</f>
        <v/>
      </c>
      <c r="AK1556" s="10" t="str">
        <f>IFERROR(VLOOKUP(B1556,'Pre-Summary'!$AZ$6:$BE$65,6,FALSE),"")</f>
        <v/>
      </c>
      <c r="AL1556" s="10" t="str">
        <f>IFERROR(VLOOKUP(B1556,'Pre-Summary'!$BG$6:$BL$44,3,FALSE),"")</f>
        <v/>
      </c>
      <c r="AM1556" s="10" t="str">
        <f>IFERROR(VLOOKUP(B1556,'Pre-Summary'!$BG$6:$BL$44,4,FALSE),"")</f>
        <v/>
      </c>
    </row>
    <row r="1557" spans="2:39" ht="15" customHeight="1" x14ac:dyDescent="0.3">
      <c r="B1557">
        <v>155.4</v>
      </c>
      <c r="C1557" t="str">
        <f>IFERROR(VLOOKUP(B1557,'Pre-Summary'!$DI$6:$DM$23,4,FALSE),"")</f>
        <v/>
      </c>
      <c r="D1557" s="10" t="str">
        <f>IFERROR(VLOOKUP(B1557,'Pre-Summary'!$AT$6:$AX$14,5,FALSE),D1556)</f>
        <v>Wolfe v3: went back to modified wolfe + EDTA and switched CuSO4 to CUCl2</v>
      </c>
      <c r="E1557" s="10" t="str">
        <f>IFERROR(VLOOKUP(B1557,'Pre-Summary'!$AT$6:$AX$15,4,FALSE),"")</f>
        <v/>
      </c>
      <c r="F1557">
        <f>IFERROR(VLOOKUP(B1557,'Pre-Summary'!$AL$6:$AQ$13,6,FALSE),F1556)</f>
        <v>5.9405263157894746E-2</v>
      </c>
      <c r="G1557" t="str">
        <f>IFERROR(VLOOKUP(B1557,'Pre-Summary'!$AE$6:$AJ$85,3,FALSE),"")</f>
        <v/>
      </c>
      <c r="H1557" t="str">
        <f>IFERROR(VLOOKUP(B1557,'Pre-Summary'!$AE$6:$AJ$85,4,FALSE),"")</f>
        <v/>
      </c>
      <c r="I1557" t="str">
        <f>IFERROR(VLOOKUP(B1557,'Pre-Summary'!$AE$6:$AJ$85,5,FALSE),"")</f>
        <v/>
      </c>
      <c r="J1557" s="45" t="str">
        <f>IFERROR(VLOOKUP(B1557,'Pre-Summary'!$AE$6:$AJ$85,6, FALSE),"")</f>
        <v/>
      </c>
      <c r="K1557" s="45" t="str">
        <f>IFERROR(VLOOKUP(B1557,'Pre-Summary'!$DE$6:$DG$61,3,FALSE),"")</f>
        <v/>
      </c>
      <c r="L1557" s="45" t="str">
        <f>IFERROR(VLOOKUP(B1557,'Pre-Summary'!$CU$6:$CW$36,3,FALSE),"")</f>
        <v/>
      </c>
      <c r="M1557" s="45" t="str">
        <f>IFERROR(VLOOKUP(B1557,'Pre-Summary'!$BW$6:$BY$58,2,FALSE),"")</f>
        <v/>
      </c>
      <c r="N1557" s="45" t="str">
        <f>IFERROR(VLOOKUP(B1557,'Pre-Summary'!$CD$6:$CF$64,2,FALSE),"")</f>
        <v/>
      </c>
      <c r="O1557" s="99">
        <f>IFERROR(VLOOKUP(B1557,'Pre-Summary'!$BO$6:$BQ$48,3, FALSE),O1556)</f>
        <v>1</v>
      </c>
      <c r="P1557" s="99">
        <f>IFERROR(VLOOKUP(B1557,'Pre-Summary'!$BS$6:$BU$35,3,FALSE),P1556)</f>
        <v>0.3</v>
      </c>
      <c r="Q1557" s="54">
        <f t="shared" si="72"/>
        <v>3.3333333333333335</v>
      </c>
      <c r="R1557" s="53">
        <f>IFERROR(VLOOKUP(B1557,'Pre-Summary'!$BG$6:$BM$44,7,FALSE),R1558)</f>
        <v>8.4148491316136567E-2</v>
      </c>
      <c r="S1557" s="53">
        <f>IFERROR(VLOOKUP(B1557,'Pre-Summary'!$BG$6:$BM$44,6,FALSE),S1558)</f>
        <v>0.10600540604063093</v>
      </c>
      <c r="T1557" s="45" t="str">
        <f>IFERROR(VLOOKUP(B1557,'Pre-Summary'!$Y$6:$AC$83, 3,FALSE),"")</f>
        <v/>
      </c>
      <c r="U1557" s="45" t="str">
        <f>IFERROR(VLOOKUP(B1557,'Pre-Summary'!$Y$6:$AC$83, 4,FALSE),"")</f>
        <v/>
      </c>
      <c r="V1557" t="str">
        <f>IFERROR(VLOOKUP(B1557,'Pre-Summary'!$Y$6:$AC$83, 5,FALSE),"")</f>
        <v/>
      </c>
      <c r="W1557" s="45" t="str">
        <f>IFERROR(VLOOKUP(B1557,'Pre-Summary'!$Y$6:$AD$83,6,FALSE),"")</f>
        <v/>
      </c>
      <c r="X1557" t="str">
        <f>IFERROR(VLOOKUP('Pre-Summary'!$DB$6:$DD$63,3,FALSE),"")</f>
        <v/>
      </c>
      <c r="Y1557" t="str">
        <f>IFERROR(VLOOKUP(B1557,'Pre-Summary'!$CR$6:$CT$36,3,FALSE),"")</f>
        <v/>
      </c>
      <c r="Z1557" s="45" t="str">
        <f>IFERROR(VLOOKUP(B1557,'Pre-Summary'!$BZ$6:$CB$63,2,FALSE),"")</f>
        <v/>
      </c>
      <c r="AA1557" s="45" t="str">
        <f>IFERROR(VLOOKUP(B1557,'Pre-Summary'!$CG$6:$CI$70,2,FALSE),"")</f>
        <v/>
      </c>
      <c r="AB1557" s="99">
        <f>IFERROR(VLOOKUP(B1557,'Pre-Summary'!$A$6:$P$178,9,FALSE),AB1558)</f>
        <v>0.44066929429298479</v>
      </c>
      <c r="AC1557" s="10">
        <f>IFERROR(VLOOKUP(Summary!B1557,'Pre-Summary'!$A$6:$P$184,5, FALSE)/100,AC1558)</f>
        <v>0.71589233333333324</v>
      </c>
      <c r="AD1557" s="10">
        <f>IFERROR(VLOOKUP(Summary!B1557,'Pre-Summary'!$A$6:$P$184,3, FALSE)/100,AD1558)</f>
        <v>0.25342833333333331</v>
      </c>
      <c r="AE1557" s="10">
        <f>IFERROR(VLOOKUP(Summary!B1557,'Pre-Summary'!$A$6:$P$184,7, FALSE)/100,AE1558)</f>
        <v>3.0678999999999998E-2</v>
      </c>
      <c r="AF1557" s="99">
        <f t="shared" si="73"/>
        <v>0.11167808480384731</v>
      </c>
      <c r="AG1557" s="99">
        <f t="shared" si="74"/>
        <v>1.3519293279614479E-2</v>
      </c>
      <c r="AH1557" s="10" t="str">
        <f>IFERROR(VLOOKUP(B1557,'Pre-Summary'!$AZ$6:$BE$65,3,FALSE),"")</f>
        <v/>
      </c>
      <c r="AI1557" s="10" t="str">
        <f>IFERROR(VLOOKUP(B1557,'Pre-Summary'!$AZ$6:$BE$65,5,FALSE),"")</f>
        <v/>
      </c>
      <c r="AJ1557" s="10" t="str">
        <f>IFERROR(VLOOKUP(B1557,'Pre-Summary'!$AZ$6:$BE$65,4,FALSE),"")</f>
        <v/>
      </c>
      <c r="AK1557" s="10" t="str">
        <f>IFERROR(VLOOKUP(B1557,'Pre-Summary'!$AZ$6:$BE$65,6,FALSE),"")</f>
        <v/>
      </c>
      <c r="AL1557" s="10" t="str">
        <f>IFERROR(VLOOKUP(B1557,'Pre-Summary'!$BG$6:$BL$44,3,FALSE),"")</f>
        <v/>
      </c>
      <c r="AM1557" s="10" t="str">
        <f>IFERROR(VLOOKUP(B1557,'Pre-Summary'!$BG$6:$BL$44,4,FALSE),"")</f>
        <v/>
      </c>
    </row>
    <row r="1558" spans="2:39" ht="15" customHeight="1" x14ac:dyDescent="0.3">
      <c r="B1558">
        <v>155.5</v>
      </c>
      <c r="C1558" t="str">
        <f>IFERROR(VLOOKUP(B1558,'Pre-Summary'!$DI$6:$DM$23,4,FALSE),"")</f>
        <v/>
      </c>
      <c r="D1558" s="10" t="str">
        <f>IFERROR(VLOOKUP(B1558,'Pre-Summary'!$AT$6:$AX$14,5,FALSE),D1557)</f>
        <v>Wolfe v3: went back to modified wolfe + EDTA and switched CuSO4 to CUCl2</v>
      </c>
      <c r="E1558" s="10" t="str">
        <f>IFERROR(VLOOKUP(B1558,'Pre-Summary'!$AT$6:$AX$15,4,FALSE),"")</f>
        <v/>
      </c>
      <c r="F1558">
        <f>IFERROR(VLOOKUP(B1558,'Pre-Summary'!$AL$6:$AQ$13,6,FALSE),F1557)</f>
        <v>5.9405263157894746E-2</v>
      </c>
      <c r="G1558">
        <f>IFERROR(VLOOKUP(B1558,'Pre-Summary'!$AE$6:$AJ$85,3,FALSE),"")</f>
        <v>9.5519999999999996</v>
      </c>
      <c r="H1558" t="str">
        <f>IFERROR(VLOOKUP(B1558,'Pre-Summary'!$AE$6:$AJ$85,4,FALSE),"")</f>
        <v/>
      </c>
      <c r="I1558" t="str">
        <f>IFERROR(VLOOKUP(B1558,'Pre-Summary'!$AE$6:$AJ$85,5,FALSE),"")</f>
        <v/>
      </c>
      <c r="J1558" s="45">
        <f>IFERROR(VLOOKUP(B1558,'Pre-Summary'!$AE$6:$AJ$85,6, FALSE),"")</f>
        <v>10.191984</v>
      </c>
      <c r="K1558" s="45" t="str">
        <f>IFERROR(VLOOKUP(B1558,'Pre-Summary'!$DE$6:$DG$61,3,FALSE),"")</f>
        <v/>
      </c>
      <c r="L1558" s="45" t="str">
        <f>IFERROR(VLOOKUP(B1558,'Pre-Summary'!$CU$6:$CW$36,3,FALSE),"")</f>
        <v/>
      </c>
      <c r="M1558" s="45" t="str">
        <f>IFERROR(VLOOKUP(B1558,'Pre-Summary'!$BW$6:$BY$58,2,FALSE),"")</f>
        <v/>
      </c>
      <c r="N1558" s="45">
        <f>IFERROR(VLOOKUP(B1558,'Pre-Summary'!$CD$6:$CF$64,2,FALSE),"")</f>
        <v>167.0325661863896</v>
      </c>
      <c r="O1558" s="99">
        <f>IFERROR(VLOOKUP(B1558,'Pre-Summary'!$BO$6:$BQ$48,3, FALSE),O1557)</f>
        <v>1</v>
      </c>
      <c r="P1558" s="99">
        <f>IFERROR(VLOOKUP(B1558,'Pre-Summary'!$BS$6:$BU$35,3,FALSE),P1557)</f>
        <v>0.3</v>
      </c>
      <c r="Q1558" s="54">
        <f t="shared" si="72"/>
        <v>3.3333333333333335</v>
      </c>
      <c r="R1558" s="53">
        <f>IFERROR(VLOOKUP(B1558,'Pre-Summary'!$BG$6:$BM$44,7,FALSE),R1559)</f>
        <v>8.4148491316136567E-2</v>
      </c>
      <c r="S1558" s="53">
        <f>IFERROR(VLOOKUP(B1558,'Pre-Summary'!$BG$6:$BM$44,6,FALSE),S1559)</f>
        <v>0.10600540604063093</v>
      </c>
      <c r="T1558" s="45">
        <f>IFERROR(VLOOKUP(B1558,'Pre-Summary'!$Y$6:$AC$83, 3,FALSE),"")</f>
        <v>21.117000000000001</v>
      </c>
      <c r="U1558" s="45">
        <f>IFERROR(VLOOKUP(B1558,'Pre-Summary'!$Y$6:$AC$83, 4,FALSE),"")</f>
        <v>8.1080000000000005</v>
      </c>
      <c r="V1558">
        <f>IFERROR(VLOOKUP(B1558,'Pre-Summary'!$Y$6:$AC$83, 5,FALSE),"")</f>
        <v>1.123</v>
      </c>
      <c r="W1558" s="45">
        <f>IFERROR(VLOOKUP(B1558,'Pre-Summary'!$Y$6:$AD$83,6,FALSE),"")</f>
        <v>36.848965000000007</v>
      </c>
      <c r="X1558" t="str">
        <f>IFERROR(VLOOKUP('Pre-Summary'!$DB$6:$DD$63,3,FALSE),"")</f>
        <v/>
      </c>
      <c r="Y1558" t="str">
        <f>IFERROR(VLOOKUP(B1558,'Pre-Summary'!$CR$6:$CT$36,3,FALSE),"")</f>
        <v/>
      </c>
      <c r="Z1558" s="45" t="str">
        <f>IFERROR(VLOOKUP(B1558,'Pre-Summary'!$BZ$6:$CB$63,2,FALSE),"")</f>
        <v/>
      </c>
      <c r="AA1558" s="45" t="str">
        <f>IFERROR(VLOOKUP(B1558,'Pre-Summary'!$CG$6:$CI$70,2,FALSE),"")</f>
        <v/>
      </c>
      <c r="AB1558" s="99">
        <f>IFERROR(VLOOKUP(B1558,'Pre-Summary'!$A$6:$P$178,9,FALSE),AB1559)</f>
        <v>0.44066929429298479</v>
      </c>
      <c r="AC1558" s="10">
        <f>IFERROR(VLOOKUP(Summary!B1558,'Pre-Summary'!$A$6:$P$184,5, FALSE)/100,AC1559)</f>
        <v>0.71589233333333324</v>
      </c>
      <c r="AD1558" s="10">
        <f>IFERROR(VLOOKUP(Summary!B1558,'Pre-Summary'!$A$6:$P$184,3, FALSE)/100,AD1559)</f>
        <v>0.25342833333333331</v>
      </c>
      <c r="AE1558" s="10">
        <f>IFERROR(VLOOKUP(Summary!B1558,'Pre-Summary'!$A$6:$P$184,7, FALSE)/100,AE1559)</f>
        <v>3.0678999999999998E-2</v>
      </c>
      <c r="AF1558" s="99">
        <f t="shared" si="73"/>
        <v>0.11167808480384731</v>
      </c>
      <c r="AG1558" s="99">
        <f t="shared" si="74"/>
        <v>1.3519293279614479E-2</v>
      </c>
      <c r="AH1558" s="10" t="str">
        <f>IFERROR(VLOOKUP(B1558,'Pre-Summary'!$AZ$6:$BE$65,3,FALSE),"")</f>
        <v/>
      </c>
      <c r="AI1558" s="10" t="str">
        <f>IFERROR(VLOOKUP(B1558,'Pre-Summary'!$AZ$6:$BE$65,5,FALSE),"")</f>
        <v/>
      </c>
      <c r="AJ1558" s="10" t="str">
        <f>IFERROR(VLOOKUP(B1558,'Pre-Summary'!$AZ$6:$BE$65,4,FALSE),"")</f>
        <v/>
      </c>
      <c r="AK1558" s="10" t="str">
        <f>IFERROR(VLOOKUP(B1558,'Pre-Summary'!$AZ$6:$BE$65,6,FALSE),"")</f>
        <v/>
      </c>
      <c r="AL1558" s="10" t="str">
        <f>IFERROR(VLOOKUP(B1558,'Pre-Summary'!$BG$6:$BL$44,3,FALSE),"")</f>
        <v/>
      </c>
      <c r="AM1558" s="10" t="str">
        <f>IFERROR(VLOOKUP(B1558,'Pre-Summary'!$BG$6:$BL$44,4,FALSE),"")</f>
        <v/>
      </c>
    </row>
    <row r="1559" spans="2:39" ht="15" customHeight="1" x14ac:dyDescent="0.3">
      <c r="B1559">
        <v>155.6</v>
      </c>
      <c r="C1559" t="str">
        <f>IFERROR(VLOOKUP(B1559,'Pre-Summary'!$DI$6:$DM$23,4,FALSE),"")</f>
        <v/>
      </c>
      <c r="D1559" s="10" t="str">
        <f>IFERROR(VLOOKUP(B1559,'Pre-Summary'!$AT$6:$AX$14,5,FALSE),D1558)</f>
        <v>Wolfe v3: went back to modified wolfe + EDTA and switched CuSO4 to CUCl2</v>
      </c>
      <c r="E1559" s="10" t="str">
        <f>IFERROR(VLOOKUP(B1559,'Pre-Summary'!$AT$6:$AX$15,4,FALSE),"")</f>
        <v/>
      </c>
      <c r="F1559">
        <f>IFERROR(VLOOKUP(B1559,'Pre-Summary'!$AL$6:$AQ$13,6,FALSE),F1558)</f>
        <v>5.9405263157894746E-2</v>
      </c>
      <c r="G1559" t="str">
        <f>IFERROR(VLOOKUP(B1559,'Pre-Summary'!$AE$6:$AJ$85,3,FALSE),"")</f>
        <v/>
      </c>
      <c r="H1559" t="str">
        <f>IFERROR(VLOOKUP(B1559,'Pre-Summary'!$AE$6:$AJ$85,4,FALSE),"")</f>
        <v/>
      </c>
      <c r="I1559" t="str">
        <f>IFERROR(VLOOKUP(B1559,'Pre-Summary'!$AE$6:$AJ$85,5,FALSE),"")</f>
        <v/>
      </c>
      <c r="J1559" s="45" t="str">
        <f>IFERROR(VLOOKUP(B1559,'Pre-Summary'!$AE$6:$AJ$85,6, FALSE),"")</f>
        <v/>
      </c>
      <c r="K1559" s="45" t="str">
        <f>IFERROR(VLOOKUP(B1559,'Pre-Summary'!$DE$6:$DG$61,3,FALSE),"")</f>
        <v/>
      </c>
      <c r="L1559" s="45" t="str">
        <f>IFERROR(VLOOKUP(B1559,'Pre-Summary'!$CU$6:$CW$36,3,FALSE),"")</f>
        <v/>
      </c>
      <c r="M1559" s="45" t="str">
        <f>IFERROR(VLOOKUP(B1559,'Pre-Summary'!$BW$6:$BY$58,2,FALSE),"")</f>
        <v/>
      </c>
      <c r="N1559" s="45" t="str">
        <f>IFERROR(VLOOKUP(B1559,'Pre-Summary'!$CD$6:$CF$64,2,FALSE),"")</f>
        <v/>
      </c>
      <c r="O1559" s="99">
        <f>IFERROR(VLOOKUP(B1559,'Pre-Summary'!$BO$6:$BQ$48,3, FALSE),O1558)</f>
        <v>1</v>
      </c>
      <c r="P1559" s="99">
        <f>IFERROR(VLOOKUP(B1559,'Pre-Summary'!$BS$6:$BU$35,3,FALSE),P1558)</f>
        <v>0.3</v>
      </c>
      <c r="Q1559" s="54">
        <f t="shared" si="72"/>
        <v>3.3333333333333335</v>
      </c>
      <c r="R1559" s="53">
        <f>IFERROR(VLOOKUP(B1559,'Pre-Summary'!$BG$6:$BM$44,7,FALSE),R1560)</f>
        <v>8.4148491316136567E-2</v>
      </c>
      <c r="S1559" s="53">
        <f>IFERROR(VLOOKUP(B1559,'Pre-Summary'!$BG$6:$BM$44,6,FALSE),S1560)</f>
        <v>0.10600540604063093</v>
      </c>
      <c r="T1559" s="45" t="str">
        <f>IFERROR(VLOOKUP(B1559,'Pre-Summary'!$Y$6:$AC$83, 3,FALSE),"")</f>
        <v/>
      </c>
      <c r="U1559" s="45" t="str">
        <f>IFERROR(VLOOKUP(B1559,'Pre-Summary'!$Y$6:$AC$83, 4,FALSE),"")</f>
        <v/>
      </c>
      <c r="V1559" t="str">
        <f>IFERROR(VLOOKUP(B1559,'Pre-Summary'!$Y$6:$AC$83, 5,FALSE),"")</f>
        <v/>
      </c>
      <c r="W1559" s="45" t="str">
        <f>IFERROR(VLOOKUP(B1559,'Pre-Summary'!$Y$6:$AD$83,6,FALSE),"")</f>
        <v/>
      </c>
      <c r="X1559" t="str">
        <f>IFERROR(VLOOKUP('Pre-Summary'!$DB$6:$DD$63,3,FALSE),"")</f>
        <v/>
      </c>
      <c r="Y1559" t="str">
        <f>IFERROR(VLOOKUP(B1559,'Pre-Summary'!$CR$6:$CT$36,3,FALSE),"")</f>
        <v/>
      </c>
      <c r="Z1559" s="45" t="str">
        <f>IFERROR(VLOOKUP(B1559,'Pre-Summary'!$BZ$6:$CB$63,2,FALSE),"")</f>
        <v/>
      </c>
      <c r="AA1559" s="45" t="str">
        <f>IFERROR(VLOOKUP(B1559,'Pre-Summary'!$CG$6:$CI$70,2,FALSE),"")</f>
        <v/>
      </c>
      <c r="AB1559" s="99">
        <f>IFERROR(VLOOKUP(B1559,'Pre-Summary'!$A$6:$P$178,9,FALSE),AB1560)</f>
        <v>0.44066929429298479</v>
      </c>
      <c r="AC1559" s="10">
        <f>IFERROR(VLOOKUP(Summary!B1559,'Pre-Summary'!$A$6:$P$184,5, FALSE)/100,AC1560)</f>
        <v>0.71589233333333324</v>
      </c>
      <c r="AD1559" s="10">
        <f>IFERROR(VLOOKUP(Summary!B1559,'Pre-Summary'!$A$6:$P$184,3, FALSE)/100,AD1560)</f>
        <v>0.25342833333333331</v>
      </c>
      <c r="AE1559" s="10">
        <f>IFERROR(VLOOKUP(Summary!B1559,'Pre-Summary'!$A$6:$P$184,7, FALSE)/100,AE1560)</f>
        <v>3.0678999999999998E-2</v>
      </c>
      <c r="AF1559" s="99">
        <f t="shared" si="73"/>
        <v>0.11167808480384731</v>
      </c>
      <c r="AG1559" s="99">
        <f t="shared" si="74"/>
        <v>1.3519293279614479E-2</v>
      </c>
      <c r="AH1559" s="10" t="str">
        <f>IFERROR(VLOOKUP(B1559,'Pre-Summary'!$AZ$6:$BE$65,3,FALSE),"")</f>
        <v/>
      </c>
      <c r="AI1559" s="10" t="str">
        <f>IFERROR(VLOOKUP(B1559,'Pre-Summary'!$AZ$6:$BE$65,5,FALSE),"")</f>
        <v/>
      </c>
      <c r="AJ1559" s="10" t="str">
        <f>IFERROR(VLOOKUP(B1559,'Pre-Summary'!$AZ$6:$BE$65,4,FALSE),"")</f>
        <v/>
      </c>
      <c r="AK1559" s="10" t="str">
        <f>IFERROR(VLOOKUP(B1559,'Pre-Summary'!$AZ$6:$BE$65,6,FALSE),"")</f>
        <v/>
      </c>
      <c r="AL1559" s="10" t="str">
        <f>IFERROR(VLOOKUP(B1559,'Pre-Summary'!$BG$6:$BL$44,3,FALSE),"")</f>
        <v/>
      </c>
      <c r="AM1559" s="10" t="str">
        <f>IFERROR(VLOOKUP(B1559,'Pre-Summary'!$BG$6:$BL$44,4,FALSE),"")</f>
        <v/>
      </c>
    </row>
    <row r="1560" spans="2:39" ht="15" customHeight="1" x14ac:dyDescent="0.3">
      <c r="B1560">
        <v>155.69999999999999</v>
      </c>
      <c r="C1560" t="str">
        <f>IFERROR(VLOOKUP(B1560,'Pre-Summary'!$DI$6:$DM$23,4,FALSE),"")</f>
        <v/>
      </c>
      <c r="D1560" s="10" t="str">
        <f>IFERROR(VLOOKUP(B1560,'Pre-Summary'!$AT$6:$AX$14,5,FALSE),D1559)</f>
        <v>Wolfe v3: went back to modified wolfe + EDTA and switched CuSO4 to CUCl2</v>
      </c>
      <c r="E1560" s="10" t="str">
        <f>IFERROR(VLOOKUP(B1560,'Pre-Summary'!$AT$6:$AX$15,4,FALSE),"")</f>
        <v/>
      </c>
      <c r="F1560">
        <f>IFERROR(VLOOKUP(B1560,'Pre-Summary'!$AL$6:$AQ$13,6,FALSE),F1559)</f>
        <v>5.9405263157894746E-2</v>
      </c>
      <c r="G1560" t="str">
        <f>IFERROR(VLOOKUP(B1560,'Pre-Summary'!$AE$6:$AJ$85,3,FALSE),"")</f>
        <v/>
      </c>
      <c r="H1560" t="str">
        <f>IFERROR(VLOOKUP(B1560,'Pre-Summary'!$AE$6:$AJ$85,4,FALSE),"")</f>
        <v/>
      </c>
      <c r="I1560" t="str">
        <f>IFERROR(VLOOKUP(B1560,'Pre-Summary'!$AE$6:$AJ$85,5,FALSE),"")</f>
        <v/>
      </c>
      <c r="J1560" s="45" t="str">
        <f>IFERROR(VLOOKUP(B1560,'Pre-Summary'!$AE$6:$AJ$85,6, FALSE),"")</f>
        <v/>
      </c>
      <c r="K1560" s="45" t="str">
        <f>IFERROR(VLOOKUP(B1560,'Pre-Summary'!$DE$6:$DG$61,3,FALSE),"")</f>
        <v/>
      </c>
      <c r="L1560" s="45" t="str">
        <f>IFERROR(VLOOKUP(B1560,'Pre-Summary'!$CU$6:$CW$36,3,FALSE),"")</f>
        <v/>
      </c>
      <c r="M1560" s="45" t="str">
        <f>IFERROR(VLOOKUP(B1560,'Pre-Summary'!$BW$6:$BY$58,2,FALSE),"")</f>
        <v/>
      </c>
      <c r="N1560" s="45" t="str">
        <f>IFERROR(VLOOKUP(B1560,'Pre-Summary'!$CD$6:$CF$64,2,FALSE),"")</f>
        <v/>
      </c>
      <c r="O1560" s="99">
        <f>IFERROR(VLOOKUP(B1560,'Pre-Summary'!$BO$6:$BQ$48,3, FALSE),O1559)</f>
        <v>1</v>
      </c>
      <c r="P1560" s="99">
        <f>IFERROR(VLOOKUP(B1560,'Pre-Summary'!$BS$6:$BU$35,3,FALSE),P1559)</f>
        <v>0.3</v>
      </c>
      <c r="Q1560" s="54">
        <f t="shared" si="72"/>
        <v>3.3333333333333335</v>
      </c>
      <c r="R1560" s="53">
        <f>IFERROR(VLOOKUP(B1560,'Pre-Summary'!$BG$6:$BM$44,7,FALSE),R1561)</f>
        <v>8.4148491316136567E-2</v>
      </c>
      <c r="S1560" s="53">
        <f>IFERROR(VLOOKUP(B1560,'Pre-Summary'!$BG$6:$BM$44,6,FALSE),S1561)</f>
        <v>0.10600540604063093</v>
      </c>
      <c r="T1560" s="45" t="str">
        <f>IFERROR(VLOOKUP(B1560,'Pre-Summary'!$Y$6:$AC$83, 3,FALSE),"")</f>
        <v/>
      </c>
      <c r="U1560" s="45" t="str">
        <f>IFERROR(VLOOKUP(B1560,'Pre-Summary'!$Y$6:$AC$83, 4,FALSE),"")</f>
        <v/>
      </c>
      <c r="V1560" t="str">
        <f>IFERROR(VLOOKUP(B1560,'Pre-Summary'!$Y$6:$AC$83, 5,FALSE),"")</f>
        <v/>
      </c>
      <c r="W1560" s="45" t="str">
        <f>IFERROR(VLOOKUP(B1560,'Pre-Summary'!$Y$6:$AD$83,6,FALSE),"")</f>
        <v/>
      </c>
      <c r="X1560" t="str">
        <f>IFERROR(VLOOKUP('Pre-Summary'!$DB$6:$DD$63,3,FALSE),"")</f>
        <v/>
      </c>
      <c r="Y1560" t="str">
        <f>IFERROR(VLOOKUP(B1560,'Pre-Summary'!$CR$6:$CT$36,3,FALSE),"")</f>
        <v/>
      </c>
      <c r="Z1560" s="45" t="str">
        <f>IFERROR(VLOOKUP(B1560,'Pre-Summary'!$BZ$6:$CB$63,2,FALSE),"")</f>
        <v/>
      </c>
      <c r="AA1560" s="45" t="str">
        <f>IFERROR(VLOOKUP(B1560,'Pre-Summary'!$CG$6:$CI$70,2,FALSE),"")</f>
        <v/>
      </c>
      <c r="AB1560" s="99">
        <f>IFERROR(VLOOKUP(B1560,'Pre-Summary'!$A$6:$P$178,9,FALSE),AB1561)</f>
        <v>0.44066929429298479</v>
      </c>
      <c r="AC1560" s="10">
        <f>IFERROR(VLOOKUP(Summary!B1560,'Pre-Summary'!$A$6:$P$184,5, FALSE)/100,AC1561)</f>
        <v>0.71589233333333324</v>
      </c>
      <c r="AD1560" s="10">
        <f>IFERROR(VLOOKUP(Summary!B1560,'Pre-Summary'!$A$6:$P$184,3, FALSE)/100,AD1561)</f>
        <v>0.25342833333333331</v>
      </c>
      <c r="AE1560" s="10">
        <f>IFERROR(VLOOKUP(Summary!B1560,'Pre-Summary'!$A$6:$P$184,7, FALSE)/100,AE1561)</f>
        <v>3.0678999999999998E-2</v>
      </c>
      <c r="AF1560" s="99">
        <f t="shared" si="73"/>
        <v>0.11167808480384731</v>
      </c>
      <c r="AG1560" s="99">
        <f t="shared" si="74"/>
        <v>1.3519293279614479E-2</v>
      </c>
      <c r="AH1560" s="10" t="str">
        <f>IFERROR(VLOOKUP(B1560,'Pre-Summary'!$AZ$6:$BE$65,3,FALSE),"")</f>
        <v/>
      </c>
      <c r="AI1560" s="10" t="str">
        <f>IFERROR(VLOOKUP(B1560,'Pre-Summary'!$AZ$6:$BE$65,5,FALSE),"")</f>
        <v/>
      </c>
      <c r="AJ1560" s="10" t="str">
        <f>IFERROR(VLOOKUP(B1560,'Pre-Summary'!$AZ$6:$BE$65,4,FALSE),"")</f>
        <v/>
      </c>
      <c r="AK1560" s="10" t="str">
        <f>IFERROR(VLOOKUP(B1560,'Pre-Summary'!$AZ$6:$BE$65,6,FALSE),"")</f>
        <v/>
      </c>
      <c r="AL1560" s="10" t="str">
        <f>IFERROR(VLOOKUP(B1560,'Pre-Summary'!$BG$6:$BL$44,3,FALSE),"")</f>
        <v/>
      </c>
      <c r="AM1560" s="10" t="str">
        <f>IFERROR(VLOOKUP(B1560,'Pre-Summary'!$BG$6:$BL$44,4,FALSE),"")</f>
        <v/>
      </c>
    </row>
    <row r="1561" spans="2:39" ht="15" customHeight="1" x14ac:dyDescent="0.3">
      <c r="B1561">
        <v>155.80000000000001</v>
      </c>
      <c r="C1561" t="str">
        <f>IFERROR(VLOOKUP(B1561,'Pre-Summary'!$DI$6:$DM$23,4,FALSE),"")</f>
        <v/>
      </c>
      <c r="D1561" s="10" t="str">
        <f>IFERROR(VLOOKUP(B1561,'Pre-Summary'!$AT$6:$AX$14,5,FALSE),D1560)</f>
        <v>Wolfe v3: went back to modified wolfe + EDTA and switched CuSO4 to CUCl2</v>
      </c>
      <c r="E1561" s="10" t="str">
        <f>IFERROR(VLOOKUP(B1561,'Pre-Summary'!$AT$6:$AX$15,4,FALSE),"")</f>
        <v/>
      </c>
      <c r="F1561">
        <f>IFERROR(VLOOKUP(B1561,'Pre-Summary'!$AL$6:$AQ$13,6,FALSE),F1560)</f>
        <v>5.9405263157894746E-2</v>
      </c>
      <c r="G1561" t="str">
        <f>IFERROR(VLOOKUP(B1561,'Pre-Summary'!$AE$6:$AJ$85,3,FALSE),"")</f>
        <v/>
      </c>
      <c r="H1561" t="str">
        <f>IFERROR(VLOOKUP(B1561,'Pre-Summary'!$AE$6:$AJ$85,4,FALSE),"")</f>
        <v/>
      </c>
      <c r="I1561" t="str">
        <f>IFERROR(VLOOKUP(B1561,'Pre-Summary'!$AE$6:$AJ$85,5,FALSE),"")</f>
        <v/>
      </c>
      <c r="J1561" s="45" t="str">
        <f>IFERROR(VLOOKUP(B1561,'Pre-Summary'!$AE$6:$AJ$85,6, FALSE),"")</f>
        <v/>
      </c>
      <c r="K1561" s="45">
        <f>IFERROR(VLOOKUP(B1561,'Pre-Summary'!$DE$6:$DG$61,3,FALSE),"")</f>
        <v>568</v>
      </c>
      <c r="L1561" s="45" t="str">
        <f>IFERROR(VLOOKUP(B1561,'Pre-Summary'!$CU$6:$CW$36,3,FALSE),"")</f>
        <v/>
      </c>
      <c r="M1561" s="45" t="str">
        <f>IFERROR(VLOOKUP(B1561,'Pre-Summary'!$BW$6:$BY$58,2,FALSE),"")</f>
        <v/>
      </c>
      <c r="N1561" s="45" t="str">
        <f>IFERROR(VLOOKUP(B1561,'Pre-Summary'!$CD$6:$CF$64,2,FALSE),"")</f>
        <v/>
      </c>
      <c r="O1561" s="99">
        <f>IFERROR(VLOOKUP(B1561,'Pre-Summary'!$BO$6:$BQ$48,3, FALSE),O1560)</f>
        <v>1</v>
      </c>
      <c r="P1561" s="99">
        <f>IFERROR(VLOOKUP(B1561,'Pre-Summary'!$BS$6:$BU$35,3,FALSE),P1560)</f>
        <v>0.3</v>
      </c>
      <c r="Q1561" s="54">
        <f t="shared" si="72"/>
        <v>3.3333333333333335</v>
      </c>
      <c r="R1561" s="53">
        <f>IFERROR(VLOOKUP(B1561,'Pre-Summary'!$BG$6:$BM$44,7,FALSE),R1562)</f>
        <v>8.4148491316136567E-2</v>
      </c>
      <c r="S1561" s="53">
        <f>IFERROR(VLOOKUP(B1561,'Pre-Summary'!$BG$6:$BM$44,6,FALSE),S1562)</f>
        <v>0.10600540604063093</v>
      </c>
      <c r="T1561" s="45" t="str">
        <f>IFERROR(VLOOKUP(B1561,'Pre-Summary'!$Y$6:$AC$83, 3,FALSE),"")</f>
        <v/>
      </c>
      <c r="U1561" s="45" t="str">
        <f>IFERROR(VLOOKUP(B1561,'Pre-Summary'!$Y$6:$AC$83, 4,FALSE),"")</f>
        <v/>
      </c>
      <c r="V1561" t="str">
        <f>IFERROR(VLOOKUP(B1561,'Pre-Summary'!$Y$6:$AC$83, 5,FALSE),"")</f>
        <v/>
      </c>
      <c r="W1561" s="45" t="str">
        <f>IFERROR(VLOOKUP(B1561,'Pre-Summary'!$Y$6:$AD$83,6,FALSE),"")</f>
        <v/>
      </c>
      <c r="X1561" t="str">
        <f>IFERROR(VLOOKUP('Pre-Summary'!$DB$6:$DD$63,3,FALSE),"")</f>
        <v/>
      </c>
      <c r="Y1561" t="str">
        <f>IFERROR(VLOOKUP(B1561,'Pre-Summary'!$CR$6:$CT$36,3,FALSE),"")</f>
        <v/>
      </c>
      <c r="Z1561" s="45">
        <f>IFERROR(VLOOKUP(B1561,'Pre-Summary'!$BZ$6:$CB$63,2,FALSE),"")</f>
        <v>29.514661654218347</v>
      </c>
      <c r="AA1561" s="45">
        <f>IFERROR(VLOOKUP(B1561,'Pre-Summary'!$CG$6:$CI$70,2,FALSE),"")</f>
        <v>168.01956213659327</v>
      </c>
      <c r="AB1561" s="99">
        <f>IFERROR(VLOOKUP(B1561,'Pre-Summary'!$A$6:$P$178,9,FALSE),AB1562)</f>
        <v>0.44066929429298479</v>
      </c>
      <c r="AC1561" s="10">
        <f>IFERROR(VLOOKUP(Summary!B1561,'Pre-Summary'!$A$6:$P$184,5, FALSE)/100,AC1562)</f>
        <v>0.71589233333333324</v>
      </c>
      <c r="AD1561" s="10">
        <f>IFERROR(VLOOKUP(Summary!B1561,'Pre-Summary'!$A$6:$P$184,3, FALSE)/100,AD1562)</f>
        <v>0.25342833333333331</v>
      </c>
      <c r="AE1561" s="10">
        <f>IFERROR(VLOOKUP(Summary!B1561,'Pre-Summary'!$A$6:$P$184,7, FALSE)/100,AE1562)</f>
        <v>3.0678999999999998E-2</v>
      </c>
      <c r="AF1561" s="99">
        <f t="shared" si="73"/>
        <v>0.11167808480384731</v>
      </c>
      <c r="AG1561" s="99">
        <f t="shared" si="74"/>
        <v>1.3519293279614479E-2</v>
      </c>
      <c r="AH1561" s="10" t="str">
        <f>IFERROR(VLOOKUP(B1561,'Pre-Summary'!$AZ$6:$BE$65,3,FALSE),"")</f>
        <v/>
      </c>
      <c r="AI1561" s="10" t="str">
        <f>IFERROR(VLOOKUP(B1561,'Pre-Summary'!$AZ$6:$BE$65,5,FALSE),"")</f>
        <v/>
      </c>
      <c r="AJ1561" s="10" t="str">
        <f>IFERROR(VLOOKUP(B1561,'Pre-Summary'!$AZ$6:$BE$65,4,FALSE),"")</f>
        <v/>
      </c>
      <c r="AK1561" s="10" t="str">
        <f>IFERROR(VLOOKUP(B1561,'Pre-Summary'!$AZ$6:$BE$65,6,FALSE),"")</f>
        <v/>
      </c>
      <c r="AL1561" s="10" t="str">
        <f>IFERROR(VLOOKUP(B1561,'Pre-Summary'!$BG$6:$BL$44,3,FALSE),"")</f>
        <v/>
      </c>
      <c r="AM1561" s="10" t="str">
        <f>IFERROR(VLOOKUP(B1561,'Pre-Summary'!$BG$6:$BL$44,4,FALSE),"")</f>
        <v/>
      </c>
    </row>
    <row r="1562" spans="2:39" ht="15" customHeight="1" x14ac:dyDescent="0.3">
      <c r="B1562">
        <v>155.9</v>
      </c>
      <c r="C1562" t="str">
        <f>IFERROR(VLOOKUP(B1562,'Pre-Summary'!$DI$6:$DM$23,4,FALSE),"")</f>
        <v/>
      </c>
      <c r="D1562" s="10" t="str">
        <f>IFERROR(VLOOKUP(B1562,'Pre-Summary'!$AT$6:$AX$14,5,FALSE),D1561)</f>
        <v>Wolfe v3: went back to modified wolfe + EDTA and switched CuSO4 to CUCl2</v>
      </c>
      <c r="E1562" s="10" t="str">
        <f>IFERROR(VLOOKUP(B1562,'Pre-Summary'!$AT$6:$AX$15,4,FALSE),"")</f>
        <v/>
      </c>
      <c r="F1562">
        <f>IFERROR(VLOOKUP(B1562,'Pre-Summary'!$AL$6:$AQ$13,6,FALSE),F1561)</f>
        <v>5.9405263157894746E-2</v>
      </c>
      <c r="G1562" t="str">
        <f>IFERROR(VLOOKUP(B1562,'Pre-Summary'!$AE$6:$AJ$85,3,FALSE),"")</f>
        <v/>
      </c>
      <c r="H1562" t="str">
        <f>IFERROR(VLOOKUP(B1562,'Pre-Summary'!$AE$6:$AJ$85,4,FALSE),"")</f>
        <v/>
      </c>
      <c r="I1562" t="str">
        <f>IFERROR(VLOOKUP(B1562,'Pre-Summary'!$AE$6:$AJ$85,5,FALSE),"")</f>
        <v/>
      </c>
      <c r="J1562" s="45" t="str">
        <f>IFERROR(VLOOKUP(B1562,'Pre-Summary'!$AE$6:$AJ$85,6, FALSE),"")</f>
        <v/>
      </c>
      <c r="K1562" s="45" t="str">
        <f>IFERROR(VLOOKUP(B1562,'Pre-Summary'!$DE$6:$DG$61,3,FALSE),"")</f>
        <v/>
      </c>
      <c r="L1562" s="45" t="str">
        <f>IFERROR(VLOOKUP(B1562,'Pre-Summary'!$CU$6:$CW$36,3,FALSE),"")</f>
        <v/>
      </c>
      <c r="M1562" s="45" t="str">
        <f>IFERROR(VLOOKUP(B1562,'Pre-Summary'!$BW$6:$BY$58,2,FALSE),"")</f>
        <v/>
      </c>
      <c r="N1562" s="45" t="str">
        <f>IFERROR(VLOOKUP(B1562,'Pre-Summary'!$CD$6:$CF$64,2,FALSE),"")</f>
        <v/>
      </c>
      <c r="O1562" s="99">
        <f>IFERROR(VLOOKUP(B1562,'Pre-Summary'!$BO$6:$BQ$48,3, FALSE),O1561)</f>
        <v>1</v>
      </c>
      <c r="P1562" s="99">
        <f>IFERROR(VLOOKUP(B1562,'Pre-Summary'!$BS$6:$BU$35,3,FALSE),P1561)</f>
        <v>0.3</v>
      </c>
      <c r="Q1562" s="54">
        <f t="shared" si="72"/>
        <v>3.3333333333333335</v>
      </c>
      <c r="R1562" s="53">
        <f>IFERROR(VLOOKUP(B1562,'Pre-Summary'!$BG$6:$BM$44,7,FALSE),R1563)</f>
        <v>8.4148491316136567E-2</v>
      </c>
      <c r="S1562" s="53">
        <f>IFERROR(VLOOKUP(B1562,'Pre-Summary'!$BG$6:$BM$44,6,FALSE),S1563)</f>
        <v>0.10600540604063093</v>
      </c>
      <c r="T1562" s="45" t="str">
        <f>IFERROR(VLOOKUP(B1562,'Pre-Summary'!$Y$6:$AC$83, 3,FALSE),"")</f>
        <v/>
      </c>
      <c r="U1562" s="45" t="str">
        <f>IFERROR(VLOOKUP(B1562,'Pre-Summary'!$Y$6:$AC$83, 4,FALSE),"")</f>
        <v/>
      </c>
      <c r="V1562" t="str">
        <f>IFERROR(VLOOKUP(B1562,'Pre-Summary'!$Y$6:$AC$83, 5,FALSE),"")</f>
        <v/>
      </c>
      <c r="W1562" s="45" t="str">
        <f>IFERROR(VLOOKUP(B1562,'Pre-Summary'!$Y$6:$AD$83,6,FALSE),"")</f>
        <v/>
      </c>
      <c r="X1562" t="str">
        <f>IFERROR(VLOOKUP('Pre-Summary'!$DB$6:$DD$63,3,FALSE),"")</f>
        <v/>
      </c>
      <c r="Y1562" t="str">
        <f>IFERROR(VLOOKUP(B1562,'Pre-Summary'!$CR$6:$CT$36,3,FALSE),"")</f>
        <v/>
      </c>
      <c r="Z1562" s="45" t="str">
        <f>IFERROR(VLOOKUP(B1562,'Pre-Summary'!$BZ$6:$CB$63,2,FALSE),"")</f>
        <v/>
      </c>
      <c r="AA1562" s="45" t="str">
        <f>IFERROR(VLOOKUP(B1562,'Pre-Summary'!$CG$6:$CI$70,2,FALSE),"")</f>
        <v/>
      </c>
      <c r="AB1562" s="99">
        <f>IFERROR(VLOOKUP(B1562,'Pre-Summary'!$A$6:$P$178,9,FALSE),AB1563)</f>
        <v>0.27830000000003891</v>
      </c>
      <c r="AC1562" s="10">
        <f>IFERROR(VLOOKUP(Summary!B1562,'Pre-Summary'!$A$6:$P$184,5, FALSE)/100,AC1563)</f>
        <v>0.74730599999999991</v>
      </c>
      <c r="AD1562" s="10">
        <f>IFERROR(VLOOKUP(Summary!B1562,'Pre-Summary'!$A$6:$P$184,3, FALSE)/100,AD1563)</f>
        <v>0.22568866666666665</v>
      </c>
      <c r="AE1562" s="10">
        <f>IFERROR(VLOOKUP(Summary!B1562,'Pre-Summary'!$A$6:$P$184,7, FALSE)/100,AE1563)</f>
        <v>2.7005666666666664E-2</v>
      </c>
      <c r="AF1562" s="99">
        <f t="shared" si="73"/>
        <v>6.2809155933342103E-2</v>
      </c>
      <c r="AG1562" s="99">
        <f t="shared" si="74"/>
        <v>7.5156770333343831E-3</v>
      </c>
      <c r="AH1562" s="10" t="str">
        <f>IFERROR(VLOOKUP(B1562,'Pre-Summary'!$AZ$6:$BE$65,3,FALSE),"")</f>
        <v/>
      </c>
      <c r="AI1562" s="10" t="str">
        <f>IFERROR(VLOOKUP(B1562,'Pre-Summary'!$AZ$6:$BE$65,5,FALSE),"")</f>
        <v/>
      </c>
      <c r="AJ1562" s="10" t="str">
        <f>IFERROR(VLOOKUP(B1562,'Pre-Summary'!$AZ$6:$BE$65,4,FALSE),"")</f>
        <v/>
      </c>
      <c r="AK1562" s="10" t="str">
        <f>IFERROR(VLOOKUP(B1562,'Pre-Summary'!$AZ$6:$BE$65,6,FALSE),"")</f>
        <v/>
      </c>
      <c r="AL1562" s="10" t="str">
        <f>IFERROR(VLOOKUP(B1562,'Pre-Summary'!$BG$6:$BL$44,3,FALSE),"")</f>
        <v/>
      </c>
      <c r="AM1562" s="10" t="str">
        <f>IFERROR(VLOOKUP(B1562,'Pre-Summary'!$BG$6:$BL$44,4,FALSE),"")</f>
        <v/>
      </c>
    </row>
    <row r="1563" spans="2:39" ht="15" customHeight="1" x14ac:dyDescent="0.3">
      <c r="B1563">
        <v>156</v>
      </c>
      <c r="C1563" t="str">
        <f>IFERROR(VLOOKUP(B1563,'Pre-Summary'!$DI$6:$DM$23,4,FALSE),"")</f>
        <v/>
      </c>
      <c r="D1563" s="10" t="str">
        <f>IFERROR(VLOOKUP(B1563,'Pre-Summary'!$AT$6:$AX$14,5,FALSE),D1562)</f>
        <v>Wolfe v3: went back to modified wolfe + EDTA and switched CuSO4 to CUCl2</v>
      </c>
      <c r="E1563" s="10" t="str">
        <f>IFERROR(VLOOKUP(B1563,'Pre-Summary'!$AT$6:$AX$15,4,FALSE),"")</f>
        <v/>
      </c>
      <c r="F1563">
        <f>IFERROR(VLOOKUP(B1563,'Pre-Summary'!$AL$6:$AQ$13,6,FALSE),F1562)</f>
        <v>5.9405263157894746E-2</v>
      </c>
      <c r="G1563" t="str">
        <f>IFERROR(VLOOKUP(B1563,'Pre-Summary'!$AE$6:$AJ$85,3,FALSE),"")</f>
        <v/>
      </c>
      <c r="H1563" t="str">
        <f>IFERROR(VLOOKUP(B1563,'Pre-Summary'!$AE$6:$AJ$85,4,FALSE),"")</f>
        <v/>
      </c>
      <c r="I1563" t="str">
        <f>IFERROR(VLOOKUP(B1563,'Pre-Summary'!$AE$6:$AJ$85,5,FALSE),"")</f>
        <v/>
      </c>
      <c r="J1563" s="45" t="str">
        <f>IFERROR(VLOOKUP(B1563,'Pre-Summary'!$AE$6:$AJ$85,6, FALSE),"")</f>
        <v/>
      </c>
      <c r="K1563" s="45" t="str">
        <f>IFERROR(VLOOKUP(B1563,'Pre-Summary'!$DE$6:$DG$61,3,FALSE),"")</f>
        <v/>
      </c>
      <c r="L1563" s="45" t="str">
        <f>IFERROR(VLOOKUP(B1563,'Pre-Summary'!$CU$6:$CW$36,3,FALSE),"")</f>
        <v/>
      </c>
      <c r="M1563" s="45" t="str">
        <f>IFERROR(VLOOKUP(B1563,'Pre-Summary'!$BW$6:$BY$58,2,FALSE),"")</f>
        <v/>
      </c>
      <c r="N1563" s="45" t="str">
        <f>IFERROR(VLOOKUP(B1563,'Pre-Summary'!$CD$6:$CF$64,2,FALSE),"")</f>
        <v/>
      </c>
      <c r="O1563" s="99">
        <f>IFERROR(VLOOKUP(B1563,'Pre-Summary'!$BO$6:$BQ$48,3, FALSE),O1562)</f>
        <v>1</v>
      </c>
      <c r="P1563" s="99">
        <f>IFERROR(VLOOKUP(B1563,'Pre-Summary'!$BS$6:$BU$35,3,FALSE),P1562)</f>
        <v>0.3</v>
      </c>
      <c r="Q1563" s="54">
        <f t="shared" si="72"/>
        <v>3.3333333333333335</v>
      </c>
      <c r="R1563" s="53">
        <f>IFERROR(VLOOKUP(B1563,'Pre-Summary'!$BG$6:$BM$44,7,FALSE),R1564)</f>
        <v>8.4148491316136567E-2</v>
      </c>
      <c r="S1563" s="53">
        <f>IFERROR(VLOOKUP(B1563,'Pre-Summary'!$BG$6:$BM$44,6,FALSE),S1564)</f>
        <v>0.10600540604063093</v>
      </c>
      <c r="T1563" s="45" t="str">
        <f>IFERROR(VLOOKUP(B1563,'Pre-Summary'!$Y$6:$AC$83, 3,FALSE),"")</f>
        <v/>
      </c>
      <c r="U1563" s="45" t="str">
        <f>IFERROR(VLOOKUP(B1563,'Pre-Summary'!$Y$6:$AC$83, 4,FALSE),"")</f>
        <v/>
      </c>
      <c r="V1563" t="str">
        <f>IFERROR(VLOOKUP(B1563,'Pre-Summary'!$Y$6:$AC$83, 5,FALSE),"")</f>
        <v/>
      </c>
      <c r="W1563" s="45" t="str">
        <f>IFERROR(VLOOKUP(B1563,'Pre-Summary'!$Y$6:$AD$83,6,FALSE),"")</f>
        <v/>
      </c>
      <c r="X1563" t="str">
        <f>IFERROR(VLOOKUP('Pre-Summary'!$DB$6:$DD$63,3,FALSE),"")</f>
        <v/>
      </c>
      <c r="Y1563" t="str">
        <f>IFERROR(VLOOKUP(B1563,'Pre-Summary'!$CR$6:$CT$36,3,FALSE),"")</f>
        <v/>
      </c>
      <c r="Z1563" s="45" t="str">
        <f>IFERROR(VLOOKUP(B1563,'Pre-Summary'!$BZ$6:$CB$63,2,FALSE),"")</f>
        <v/>
      </c>
      <c r="AA1563" s="45" t="str">
        <f>IFERROR(VLOOKUP(B1563,'Pre-Summary'!$CG$6:$CI$70,2,FALSE),"")</f>
        <v/>
      </c>
      <c r="AB1563" s="99">
        <f>IFERROR(VLOOKUP(B1563,'Pre-Summary'!$A$6:$P$178,9,FALSE),AB1564)</f>
        <v>0.27830000000003891</v>
      </c>
      <c r="AC1563" s="10">
        <f>IFERROR(VLOOKUP(Summary!B1563,'Pre-Summary'!$A$6:$P$184,5, FALSE)/100,AC1564)</f>
        <v>0.74730599999999991</v>
      </c>
      <c r="AD1563" s="10">
        <f>IFERROR(VLOOKUP(Summary!B1563,'Pre-Summary'!$A$6:$P$184,3, FALSE)/100,AD1564)</f>
        <v>0.22568866666666665</v>
      </c>
      <c r="AE1563" s="10">
        <f>IFERROR(VLOOKUP(Summary!B1563,'Pre-Summary'!$A$6:$P$184,7, FALSE)/100,AE1564)</f>
        <v>2.7005666666666664E-2</v>
      </c>
      <c r="AF1563" s="99">
        <f t="shared" si="73"/>
        <v>6.2809155933342103E-2</v>
      </c>
      <c r="AG1563" s="99">
        <f t="shared" si="74"/>
        <v>7.5156770333343831E-3</v>
      </c>
      <c r="AH1563" s="10" t="str">
        <f>IFERROR(VLOOKUP(B1563,'Pre-Summary'!$AZ$6:$BE$65,3,FALSE),"")</f>
        <v/>
      </c>
      <c r="AI1563" s="10" t="str">
        <f>IFERROR(VLOOKUP(B1563,'Pre-Summary'!$AZ$6:$BE$65,5,FALSE),"")</f>
        <v/>
      </c>
      <c r="AJ1563" s="10" t="str">
        <f>IFERROR(VLOOKUP(B1563,'Pre-Summary'!$AZ$6:$BE$65,4,FALSE),"")</f>
        <v/>
      </c>
      <c r="AK1563" s="10" t="str">
        <f>IFERROR(VLOOKUP(B1563,'Pre-Summary'!$AZ$6:$BE$65,6,FALSE),"")</f>
        <v/>
      </c>
      <c r="AL1563" s="10" t="str">
        <f>IFERROR(VLOOKUP(B1563,'Pre-Summary'!$BG$6:$BL$44,3,FALSE),"")</f>
        <v/>
      </c>
      <c r="AM1563" s="10" t="str">
        <f>IFERROR(VLOOKUP(B1563,'Pre-Summary'!$BG$6:$BL$44,4,FALSE),"")</f>
        <v/>
      </c>
    </row>
    <row r="1564" spans="2:39" ht="15" customHeight="1" x14ac:dyDescent="0.3">
      <c r="B1564">
        <v>156.1</v>
      </c>
      <c r="C1564" t="str">
        <f>IFERROR(VLOOKUP(B1564,'Pre-Summary'!$DI$6:$DM$23,4,FALSE),"")</f>
        <v/>
      </c>
      <c r="D1564" s="10" t="str">
        <f>IFERROR(VLOOKUP(B1564,'Pre-Summary'!$AT$6:$AX$14,5,FALSE),D1563)</f>
        <v>Wolfe v3: went back to modified wolfe + EDTA and switched CuSO4 to CUCl2</v>
      </c>
      <c r="E1564" s="10" t="str">
        <f>IFERROR(VLOOKUP(B1564,'Pre-Summary'!$AT$6:$AX$15,4,FALSE),"")</f>
        <v/>
      </c>
      <c r="F1564">
        <f>IFERROR(VLOOKUP(B1564,'Pre-Summary'!$AL$6:$AQ$13,6,FALSE),F1563)</f>
        <v>5.9405263157894746E-2</v>
      </c>
      <c r="G1564" t="str">
        <f>IFERROR(VLOOKUP(B1564,'Pre-Summary'!$AE$6:$AJ$85,3,FALSE),"")</f>
        <v/>
      </c>
      <c r="H1564" t="str">
        <f>IFERROR(VLOOKUP(B1564,'Pre-Summary'!$AE$6:$AJ$85,4,FALSE),"")</f>
        <v/>
      </c>
      <c r="I1564" t="str">
        <f>IFERROR(VLOOKUP(B1564,'Pre-Summary'!$AE$6:$AJ$85,5,FALSE),"")</f>
        <v/>
      </c>
      <c r="J1564" s="45" t="str">
        <f>IFERROR(VLOOKUP(B1564,'Pre-Summary'!$AE$6:$AJ$85,6, FALSE),"")</f>
        <v/>
      </c>
      <c r="K1564" s="45" t="str">
        <f>IFERROR(VLOOKUP(B1564,'Pre-Summary'!$DE$6:$DG$61,3,FALSE),"")</f>
        <v/>
      </c>
      <c r="L1564" s="45" t="str">
        <f>IFERROR(VLOOKUP(B1564,'Pre-Summary'!$CU$6:$CW$36,3,FALSE),"")</f>
        <v/>
      </c>
      <c r="M1564" s="45" t="str">
        <f>IFERROR(VLOOKUP(B1564,'Pre-Summary'!$BW$6:$BY$58,2,FALSE),"")</f>
        <v/>
      </c>
      <c r="N1564" s="45" t="str">
        <f>IFERROR(VLOOKUP(B1564,'Pre-Summary'!$CD$6:$CF$64,2,FALSE),"")</f>
        <v/>
      </c>
      <c r="O1564" s="99">
        <f>IFERROR(VLOOKUP(B1564,'Pre-Summary'!$BO$6:$BQ$48,3, FALSE),O1563)</f>
        <v>1</v>
      </c>
      <c r="P1564" s="99">
        <f>IFERROR(VLOOKUP(B1564,'Pre-Summary'!$BS$6:$BU$35,3,FALSE),P1563)</f>
        <v>0.3</v>
      </c>
      <c r="Q1564" s="54">
        <f t="shared" si="72"/>
        <v>3.3333333333333335</v>
      </c>
      <c r="R1564" s="53">
        <f>IFERROR(VLOOKUP(B1564,'Pre-Summary'!$BG$6:$BM$44,7,FALSE),R1565)</f>
        <v>8.4148491316136567E-2</v>
      </c>
      <c r="S1564" s="53">
        <f>IFERROR(VLOOKUP(B1564,'Pre-Summary'!$BG$6:$BM$44,6,FALSE),S1565)</f>
        <v>0.10600540604063093</v>
      </c>
      <c r="T1564" s="45" t="str">
        <f>IFERROR(VLOOKUP(B1564,'Pre-Summary'!$Y$6:$AC$83, 3,FALSE),"")</f>
        <v/>
      </c>
      <c r="U1564" s="45" t="str">
        <f>IFERROR(VLOOKUP(B1564,'Pre-Summary'!$Y$6:$AC$83, 4,FALSE),"")</f>
        <v/>
      </c>
      <c r="V1564" t="str">
        <f>IFERROR(VLOOKUP(B1564,'Pre-Summary'!$Y$6:$AC$83, 5,FALSE),"")</f>
        <v/>
      </c>
      <c r="W1564" s="45" t="str">
        <f>IFERROR(VLOOKUP(B1564,'Pre-Summary'!$Y$6:$AD$83,6,FALSE),"")</f>
        <v/>
      </c>
      <c r="X1564" t="str">
        <f>IFERROR(VLOOKUP('Pre-Summary'!$DB$6:$DD$63,3,FALSE),"")</f>
        <v/>
      </c>
      <c r="Y1564" t="str">
        <f>IFERROR(VLOOKUP(B1564,'Pre-Summary'!$CR$6:$CT$36,3,FALSE),"")</f>
        <v/>
      </c>
      <c r="Z1564" s="45" t="str">
        <f>IFERROR(VLOOKUP(B1564,'Pre-Summary'!$BZ$6:$CB$63,2,FALSE),"")</f>
        <v/>
      </c>
      <c r="AA1564" s="45" t="str">
        <f>IFERROR(VLOOKUP(B1564,'Pre-Summary'!$CG$6:$CI$70,2,FALSE),"")</f>
        <v/>
      </c>
      <c r="AB1564" s="99">
        <f>IFERROR(VLOOKUP(B1564,'Pre-Summary'!$A$6:$P$178,9,FALSE),AB1565)</f>
        <v>0.27830000000003891</v>
      </c>
      <c r="AC1564" s="10">
        <f>IFERROR(VLOOKUP(Summary!B1564,'Pre-Summary'!$A$6:$P$184,5, FALSE)/100,AC1565)</f>
        <v>0.74730599999999991</v>
      </c>
      <c r="AD1564" s="10">
        <f>IFERROR(VLOOKUP(Summary!B1564,'Pre-Summary'!$A$6:$P$184,3, FALSE)/100,AD1565)</f>
        <v>0.22568866666666665</v>
      </c>
      <c r="AE1564" s="10">
        <f>IFERROR(VLOOKUP(Summary!B1564,'Pre-Summary'!$A$6:$P$184,7, FALSE)/100,AE1565)</f>
        <v>2.7005666666666664E-2</v>
      </c>
      <c r="AF1564" s="99">
        <f t="shared" si="73"/>
        <v>6.2809155933342103E-2</v>
      </c>
      <c r="AG1564" s="99">
        <f t="shared" si="74"/>
        <v>7.5156770333343831E-3</v>
      </c>
      <c r="AH1564" s="10" t="str">
        <f>IFERROR(VLOOKUP(B1564,'Pre-Summary'!$AZ$6:$BE$65,3,FALSE),"")</f>
        <v/>
      </c>
      <c r="AI1564" s="10" t="str">
        <f>IFERROR(VLOOKUP(B1564,'Pre-Summary'!$AZ$6:$BE$65,5,FALSE),"")</f>
        <v/>
      </c>
      <c r="AJ1564" s="10" t="str">
        <f>IFERROR(VLOOKUP(B1564,'Pre-Summary'!$AZ$6:$BE$65,4,FALSE),"")</f>
        <v/>
      </c>
      <c r="AK1564" s="10" t="str">
        <f>IFERROR(VLOOKUP(B1564,'Pre-Summary'!$AZ$6:$BE$65,6,FALSE),"")</f>
        <v/>
      </c>
      <c r="AL1564" s="10" t="str">
        <f>IFERROR(VLOOKUP(B1564,'Pre-Summary'!$BG$6:$BL$44,3,FALSE),"")</f>
        <v/>
      </c>
      <c r="AM1564" s="10" t="str">
        <f>IFERROR(VLOOKUP(B1564,'Pre-Summary'!$BG$6:$BL$44,4,FALSE),"")</f>
        <v/>
      </c>
    </row>
    <row r="1565" spans="2:39" ht="15" customHeight="1" x14ac:dyDescent="0.3">
      <c r="B1565">
        <v>156.19999999999999</v>
      </c>
      <c r="C1565" t="str">
        <f>IFERROR(VLOOKUP(B1565,'Pre-Summary'!$DI$6:$DM$23,4,FALSE),"")</f>
        <v/>
      </c>
      <c r="D1565" s="10" t="str">
        <f>IFERROR(VLOOKUP(B1565,'Pre-Summary'!$AT$6:$AX$14,5,FALSE),D1564)</f>
        <v>Wolfe v3: went back to modified wolfe + EDTA and switched CuSO4 to CUCl2</v>
      </c>
      <c r="E1565" s="10" t="str">
        <f>IFERROR(VLOOKUP(B1565,'Pre-Summary'!$AT$6:$AX$15,4,FALSE),"")</f>
        <v/>
      </c>
      <c r="F1565">
        <f>IFERROR(VLOOKUP(B1565,'Pre-Summary'!$AL$6:$AQ$13,6,FALSE),F1564)</f>
        <v>5.9405263157894746E-2</v>
      </c>
      <c r="G1565" t="str">
        <f>IFERROR(VLOOKUP(B1565,'Pre-Summary'!$AE$6:$AJ$85,3,FALSE),"")</f>
        <v/>
      </c>
      <c r="H1565" t="str">
        <f>IFERROR(VLOOKUP(B1565,'Pre-Summary'!$AE$6:$AJ$85,4,FALSE),"")</f>
        <v/>
      </c>
      <c r="I1565" t="str">
        <f>IFERROR(VLOOKUP(B1565,'Pre-Summary'!$AE$6:$AJ$85,5,FALSE),"")</f>
        <v/>
      </c>
      <c r="J1565" s="45" t="str">
        <f>IFERROR(VLOOKUP(B1565,'Pre-Summary'!$AE$6:$AJ$85,6, FALSE),"")</f>
        <v/>
      </c>
      <c r="K1565" s="45" t="str">
        <f>IFERROR(VLOOKUP(B1565,'Pre-Summary'!$DE$6:$DG$61,3,FALSE),"")</f>
        <v/>
      </c>
      <c r="L1565" s="45" t="str">
        <f>IFERROR(VLOOKUP(B1565,'Pre-Summary'!$CU$6:$CW$36,3,FALSE),"")</f>
        <v/>
      </c>
      <c r="M1565" s="45" t="str">
        <f>IFERROR(VLOOKUP(B1565,'Pre-Summary'!$BW$6:$BY$58,2,FALSE),"")</f>
        <v/>
      </c>
      <c r="N1565" s="45" t="str">
        <f>IFERROR(VLOOKUP(B1565,'Pre-Summary'!$CD$6:$CF$64,2,FALSE),"")</f>
        <v/>
      </c>
      <c r="O1565" s="99">
        <f>IFERROR(VLOOKUP(B1565,'Pre-Summary'!$BO$6:$BQ$48,3, FALSE),O1564)</f>
        <v>1</v>
      </c>
      <c r="P1565" s="99">
        <f>IFERROR(VLOOKUP(B1565,'Pre-Summary'!$BS$6:$BU$35,3,FALSE),P1564)</f>
        <v>0.3</v>
      </c>
      <c r="Q1565" s="54">
        <f t="shared" si="72"/>
        <v>3.3333333333333335</v>
      </c>
      <c r="R1565" s="53">
        <f>IFERROR(VLOOKUP(B1565,'Pre-Summary'!$BG$6:$BM$44,7,FALSE),R1566)</f>
        <v>8.4148491316136567E-2</v>
      </c>
      <c r="S1565" s="53">
        <f>IFERROR(VLOOKUP(B1565,'Pre-Summary'!$BG$6:$BM$44,6,FALSE),S1566)</f>
        <v>0.10600540604063093</v>
      </c>
      <c r="T1565" s="45" t="str">
        <f>IFERROR(VLOOKUP(B1565,'Pre-Summary'!$Y$6:$AC$83, 3,FALSE),"")</f>
        <v/>
      </c>
      <c r="U1565" s="45" t="str">
        <f>IFERROR(VLOOKUP(B1565,'Pre-Summary'!$Y$6:$AC$83, 4,FALSE),"")</f>
        <v/>
      </c>
      <c r="V1565" t="str">
        <f>IFERROR(VLOOKUP(B1565,'Pre-Summary'!$Y$6:$AC$83, 5,FALSE),"")</f>
        <v/>
      </c>
      <c r="W1565" s="45" t="str">
        <f>IFERROR(VLOOKUP(B1565,'Pre-Summary'!$Y$6:$AD$83,6,FALSE),"")</f>
        <v/>
      </c>
      <c r="X1565" t="str">
        <f>IFERROR(VLOOKUP('Pre-Summary'!$DB$6:$DD$63,3,FALSE),"")</f>
        <v/>
      </c>
      <c r="Y1565" t="str">
        <f>IFERROR(VLOOKUP(B1565,'Pre-Summary'!$CR$6:$CT$36,3,FALSE),"")</f>
        <v/>
      </c>
      <c r="Z1565" s="45" t="str">
        <f>IFERROR(VLOOKUP(B1565,'Pre-Summary'!$BZ$6:$CB$63,2,FALSE),"")</f>
        <v/>
      </c>
      <c r="AA1565" s="45" t="str">
        <f>IFERROR(VLOOKUP(B1565,'Pre-Summary'!$CG$6:$CI$70,2,FALSE),"")</f>
        <v/>
      </c>
      <c r="AB1565" s="99">
        <f>IFERROR(VLOOKUP(B1565,'Pre-Summary'!$A$6:$P$178,9,FALSE),AB1566)</f>
        <v>0.27830000000003891</v>
      </c>
      <c r="AC1565" s="10">
        <f>IFERROR(VLOOKUP(Summary!B1565,'Pre-Summary'!$A$6:$P$184,5, FALSE)/100,AC1566)</f>
        <v>0.74730599999999991</v>
      </c>
      <c r="AD1565" s="10">
        <f>IFERROR(VLOOKUP(Summary!B1565,'Pre-Summary'!$A$6:$P$184,3, FALSE)/100,AD1566)</f>
        <v>0.22568866666666665</v>
      </c>
      <c r="AE1565" s="10">
        <f>IFERROR(VLOOKUP(Summary!B1565,'Pre-Summary'!$A$6:$P$184,7, FALSE)/100,AE1566)</f>
        <v>2.7005666666666664E-2</v>
      </c>
      <c r="AF1565" s="99">
        <f t="shared" si="73"/>
        <v>6.2809155933342103E-2</v>
      </c>
      <c r="AG1565" s="99">
        <f t="shared" si="74"/>
        <v>7.5156770333343831E-3</v>
      </c>
      <c r="AH1565" s="10" t="str">
        <f>IFERROR(VLOOKUP(B1565,'Pre-Summary'!$AZ$6:$BE$65,3,FALSE),"")</f>
        <v/>
      </c>
      <c r="AI1565" s="10" t="str">
        <f>IFERROR(VLOOKUP(B1565,'Pre-Summary'!$AZ$6:$BE$65,5,FALSE),"")</f>
        <v/>
      </c>
      <c r="AJ1565" s="10" t="str">
        <f>IFERROR(VLOOKUP(B1565,'Pre-Summary'!$AZ$6:$BE$65,4,FALSE),"")</f>
        <v/>
      </c>
      <c r="AK1565" s="10" t="str">
        <f>IFERROR(VLOOKUP(B1565,'Pre-Summary'!$AZ$6:$BE$65,6,FALSE),"")</f>
        <v/>
      </c>
      <c r="AL1565" s="10" t="str">
        <f>IFERROR(VLOOKUP(B1565,'Pre-Summary'!$BG$6:$BL$44,3,FALSE),"")</f>
        <v/>
      </c>
      <c r="AM1565" s="10" t="str">
        <f>IFERROR(VLOOKUP(B1565,'Pre-Summary'!$BG$6:$BL$44,4,FALSE),"")</f>
        <v/>
      </c>
    </row>
    <row r="1566" spans="2:39" ht="15" customHeight="1" x14ac:dyDescent="0.3">
      <c r="B1566">
        <v>156.30000000000001</v>
      </c>
      <c r="C1566" t="str">
        <f>IFERROR(VLOOKUP(B1566,'Pre-Summary'!$DI$6:$DM$23,4,FALSE),"")</f>
        <v/>
      </c>
      <c r="D1566" s="10" t="str">
        <f>IFERROR(VLOOKUP(B1566,'Pre-Summary'!$AT$6:$AX$14,5,FALSE),D1565)</f>
        <v>Wolfe v3: went back to modified wolfe + EDTA and switched CuSO4 to CUCl2</v>
      </c>
      <c r="E1566" s="10" t="str">
        <f>IFERROR(VLOOKUP(B1566,'Pre-Summary'!$AT$6:$AX$15,4,FALSE),"")</f>
        <v/>
      </c>
      <c r="F1566">
        <f>IFERROR(VLOOKUP(B1566,'Pre-Summary'!$AL$6:$AQ$13,6,FALSE),F1565)</f>
        <v>5.9405263157894746E-2</v>
      </c>
      <c r="G1566" t="str">
        <f>IFERROR(VLOOKUP(B1566,'Pre-Summary'!$AE$6:$AJ$85,3,FALSE),"")</f>
        <v/>
      </c>
      <c r="H1566" t="str">
        <f>IFERROR(VLOOKUP(B1566,'Pre-Summary'!$AE$6:$AJ$85,4,FALSE),"")</f>
        <v/>
      </c>
      <c r="I1566" t="str">
        <f>IFERROR(VLOOKUP(B1566,'Pre-Summary'!$AE$6:$AJ$85,5,FALSE),"")</f>
        <v/>
      </c>
      <c r="J1566" s="45" t="str">
        <f>IFERROR(VLOOKUP(B1566,'Pre-Summary'!$AE$6:$AJ$85,6, FALSE),"")</f>
        <v/>
      </c>
      <c r="K1566" s="45" t="str">
        <f>IFERROR(VLOOKUP(B1566,'Pre-Summary'!$DE$6:$DG$61,3,FALSE),"")</f>
        <v/>
      </c>
      <c r="L1566" s="45" t="str">
        <f>IFERROR(VLOOKUP(B1566,'Pre-Summary'!$CU$6:$CW$36,3,FALSE),"")</f>
        <v/>
      </c>
      <c r="M1566" s="45" t="str">
        <f>IFERROR(VLOOKUP(B1566,'Pre-Summary'!$BW$6:$BY$58,2,FALSE),"")</f>
        <v/>
      </c>
      <c r="N1566" s="45" t="str">
        <f>IFERROR(VLOOKUP(B1566,'Pre-Summary'!$CD$6:$CF$64,2,FALSE),"")</f>
        <v/>
      </c>
      <c r="O1566" s="99">
        <f>IFERROR(VLOOKUP(B1566,'Pre-Summary'!$BO$6:$BQ$48,3, FALSE),O1565)</f>
        <v>1</v>
      </c>
      <c r="P1566" s="99">
        <f>IFERROR(VLOOKUP(B1566,'Pre-Summary'!$BS$6:$BU$35,3,FALSE),P1565)</f>
        <v>0.3</v>
      </c>
      <c r="Q1566" s="54">
        <f t="shared" si="72"/>
        <v>3.3333333333333335</v>
      </c>
      <c r="R1566" s="53">
        <f>IFERROR(VLOOKUP(B1566,'Pre-Summary'!$BG$6:$BM$44,7,FALSE),R1567)</f>
        <v>8.4148491316136567E-2</v>
      </c>
      <c r="S1566" s="53">
        <f>IFERROR(VLOOKUP(B1566,'Pre-Summary'!$BG$6:$BM$44,6,FALSE),S1567)</f>
        <v>0.10600540604063093</v>
      </c>
      <c r="T1566" s="45" t="str">
        <f>IFERROR(VLOOKUP(B1566,'Pre-Summary'!$Y$6:$AC$83, 3,FALSE),"")</f>
        <v/>
      </c>
      <c r="U1566" s="45" t="str">
        <f>IFERROR(VLOOKUP(B1566,'Pre-Summary'!$Y$6:$AC$83, 4,FALSE),"")</f>
        <v/>
      </c>
      <c r="V1566" t="str">
        <f>IFERROR(VLOOKUP(B1566,'Pre-Summary'!$Y$6:$AC$83, 5,FALSE),"")</f>
        <v/>
      </c>
      <c r="W1566" s="45" t="str">
        <f>IFERROR(VLOOKUP(B1566,'Pre-Summary'!$Y$6:$AD$83,6,FALSE),"")</f>
        <v/>
      </c>
      <c r="X1566" t="str">
        <f>IFERROR(VLOOKUP('Pre-Summary'!$DB$6:$DD$63,3,FALSE),"")</f>
        <v/>
      </c>
      <c r="Y1566" t="str">
        <f>IFERROR(VLOOKUP(B1566,'Pre-Summary'!$CR$6:$CT$36,3,FALSE),"")</f>
        <v/>
      </c>
      <c r="Z1566" s="45" t="str">
        <f>IFERROR(VLOOKUP(B1566,'Pre-Summary'!$BZ$6:$CB$63,2,FALSE),"")</f>
        <v/>
      </c>
      <c r="AA1566" s="45" t="str">
        <f>IFERROR(VLOOKUP(B1566,'Pre-Summary'!$CG$6:$CI$70,2,FALSE),"")</f>
        <v/>
      </c>
      <c r="AB1566" s="99">
        <f>IFERROR(VLOOKUP(B1566,'Pre-Summary'!$A$6:$P$178,9,FALSE),AB1567)</f>
        <v>0.27830000000003891</v>
      </c>
      <c r="AC1566" s="10">
        <f>IFERROR(VLOOKUP(Summary!B1566,'Pre-Summary'!$A$6:$P$184,5, FALSE)/100,AC1567)</f>
        <v>0.74730599999999991</v>
      </c>
      <c r="AD1566" s="10">
        <f>IFERROR(VLOOKUP(Summary!B1566,'Pre-Summary'!$A$6:$P$184,3, FALSE)/100,AD1567)</f>
        <v>0.22568866666666665</v>
      </c>
      <c r="AE1566" s="10">
        <f>IFERROR(VLOOKUP(Summary!B1566,'Pre-Summary'!$A$6:$P$184,7, FALSE)/100,AE1567)</f>
        <v>2.7005666666666664E-2</v>
      </c>
      <c r="AF1566" s="99">
        <f t="shared" si="73"/>
        <v>6.2809155933342103E-2</v>
      </c>
      <c r="AG1566" s="99">
        <f t="shared" si="74"/>
        <v>7.5156770333343831E-3</v>
      </c>
      <c r="AH1566" s="10" t="str">
        <f>IFERROR(VLOOKUP(B1566,'Pre-Summary'!$AZ$6:$BE$65,3,FALSE),"")</f>
        <v/>
      </c>
      <c r="AI1566" s="10" t="str">
        <f>IFERROR(VLOOKUP(B1566,'Pre-Summary'!$AZ$6:$BE$65,5,FALSE),"")</f>
        <v/>
      </c>
      <c r="AJ1566" s="10" t="str">
        <f>IFERROR(VLOOKUP(B1566,'Pre-Summary'!$AZ$6:$BE$65,4,FALSE),"")</f>
        <v/>
      </c>
      <c r="AK1566" s="10" t="str">
        <f>IFERROR(VLOOKUP(B1566,'Pre-Summary'!$AZ$6:$BE$65,6,FALSE),"")</f>
        <v/>
      </c>
      <c r="AL1566" s="10" t="str">
        <f>IFERROR(VLOOKUP(B1566,'Pre-Summary'!$BG$6:$BL$44,3,FALSE),"")</f>
        <v/>
      </c>
      <c r="AM1566" s="10" t="str">
        <f>IFERROR(VLOOKUP(B1566,'Pre-Summary'!$BG$6:$BL$44,4,FALSE),"")</f>
        <v/>
      </c>
    </row>
    <row r="1567" spans="2:39" ht="15" customHeight="1" x14ac:dyDescent="0.3">
      <c r="B1567">
        <v>156.4</v>
      </c>
      <c r="C1567" t="str">
        <f>IFERROR(VLOOKUP(B1567,'Pre-Summary'!$DI$6:$DM$23,4,FALSE),"")</f>
        <v/>
      </c>
      <c r="D1567" s="10" t="str">
        <f>IFERROR(VLOOKUP(B1567,'Pre-Summary'!$AT$6:$AX$14,5,FALSE),D1566)</f>
        <v>Wolfe v3: went back to modified wolfe + EDTA and switched CuSO4 to CUCl2</v>
      </c>
      <c r="E1567" s="10" t="str">
        <f>IFERROR(VLOOKUP(B1567,'Pre-Summary'!$AT$6:$AX$15,4,FALSE),"")</f>
        <v/>
      </c>
      <c r="F1567">
        <f>IFERROR(VLOOKUP(B1567,'Pre-Summary'!$AL$6:$AQ$13,6,FALSE),F1566)</f>
        <v>5.9405263157894746E-2</v>
      </c>
      <c r="G1567" t="str">
        <f>IFERROR(VLOOKUP(B1567,'Pre-Summary'!$AE$6:$AJ$85,3,FALSE),"")</f>
        <v/>
      </c>
      <c r="H1567" t="str">
        <f>IFERROR(VLOOKUP(B1567,'Pre-Summary'!$AE$6:$AJ$85,4,FALSE),"")</f>
        <v/>
      </c>
      <c r="I1567" t="str">
        <f>IFERROR(VLOOKUP(B1567,'Pre-Summary'!$AE$6:$AJ$85,5,FALSE),"")</f>
        <v/>
      </c>
      <c r="J1567" s="45" t="str">
        <f>IFERROR(VLOOKUP(B1567,'Pre-Summary'!$AE$6:$AJ$85,6, FALSE),"")</f>
        <v/>
      </c>
      <c r="K1567" s="45" t="str">
        <f>IFERROR(VLOOKUP(B1567,'Pre-Summary'!$DE$6:$DG$61,3,FALSE),"")</f>
        <v/>
      </c>
      <c r="L1567" s="45" t="str">
        <f>IFERROR(VLOOKUP(B1567,'Pre-Summary'!$CU$6:$CW$36,3,FALSE),"")</f>
        <v/>
      </c>
      <c r="M1567" s="45" t="str">
        <f>IFERROR(VLOOKUP(B1567,'Pre-Summary'!$BW$6:$BY$58,2,FALSE),"")</f>
        <v/>
      </c>
      <c r="N1567" s="45" t="str">
        <f>IFERROR(VLOOKUP(B1567,'Pre-Summary'!$CD$6:$CF$64,2,FALSE),"")</f>
        <v/>
      </c>
      <c r="O1567" s="99">
        <f>IFERROR(VLOOKUP(B1567,'Pre-Summary'!$BO$6:$BQ$48,3, FALSE),O1566)</f>
        <v>1</v>
      </c>
      <c r="P1567" s="99">
        <f>IFERROR(VLOOKUP(B1567,'Pre-Summary'!$BS$6:$BU$35,3,FALSE),P1566)</f>
        <v>0.3</v>
      </c>
      <c r="Q1567" s="54">
        <f t="shared" si="72"/>
        <v>3.3333333333333335</v>
      </c>
      <c r="R1567" s="53">
        <f>IFERROR(VLOOKUP(B1567,'Pre-Summary'!$BG$6:$BM$44,7,FALSE),R1568)</f>
        <v>8.4148491316136567E-2</v>
      </c>
      <c r="S1567" s="53">
        <f>IFERROR(VLOOKUP(B1567,'Pre-Summary'!$BG$6:$BM$44,6,FALSE),S1568)</f>
        <v>0.10600540604063093</v>
      </c>
      <c r="T1567" s="45" t="str">
        <f>IFERROR(VLOOKUP(B1567,'Pre-Summary'!$Y$6:$AC$83, 3,FALSE),"")</f>
        <v/>
      </c>
      <c r="U1567" s="45" t="str">
        <f>IFERROR(VLOOKUP(B1567,'Pre-Summary'!$Y$6:$AC$83, 4,FALSE),"")</f>
        <v/>
      </c>
      <c r="V1567" t="str">
        <f>IFERROR(VLOOKUP(B1567,'Pre-Summary'!$Y$6:$AC$83, 5,FALSE),"")</f>
        <v/>
      </c>
      <c r="W1567" s="45" t="str">
        <f>IFERROR(VLOOKUP(B1567,'Pre-Summary'!$Y$6:$AD$83,6,FALSE),"")</f>
        <v/>
      </c>
      <c r="X1567" t="str">
        <f>IFERROR(VLOOKUP('Pre-Summary'!$DB$6:$DD$63,3,FALSE),"")</f>
        <v/>
      </c>
      <c r="Y1567" t="str">
        <f>IFERROR(VLOOKUP(B1567,'Pre-Summary'!$CR$6:$CT$36,3,FALSE),"")</f>
        <v/>
      </c>
      <c r="Z1567" s="45" t="str">
        <f>IFERROR(VLOOKUP(B1567,'Pre-Summary'!$BZ$6:$CB$63,2,FALSE),"")</f>
        <v/>
      </c>
      <c r="AA1567" s="45" t="str">
        <f>IFERROR(VLOOKUP(B1567,'Pre-Summary'!$CG$6:$CI$70,2,FALSE),"")</f>
        <v/>
      </c>
      <c r="AB1567" s="99">
        <f>IFERROR(VLOOKUP(B1567,'Pre-Summary'!$A$6:$P$178,9,FALSE),AB1568)</f>
        <v>0.27830000000003891</v>
      </c>
      <c r="AC1567" s="10">
        <f>IFERROR(VLOOKUP(Summary!B1567,'Pre-Summary'!$A$6:$P$184,5, FALSE)/100,AC1568)</f>
        <v>0.74730599999999991</v>
      </c>
      <c r="AD1567" s="10">
        <f>IFERROR(VLOOKUP(Summary!B1567,'Pre-Summary'!$A$6:$P$184,3, FALSE)/100,AD1568)</f>
        <v>0.22568866666666665</v>
      </c>
      <c r="AE1567" s="10">
        <f>IFERROR(VLOOKUP(Summary!B1567,'Pre-Summary'!$A$6:$P$184,7, FALSE)/100,AE1568)</f>
        <v>2.7005666666666664E-2</v>
      </c>
      <c r="AF1567" s="99">
        <f t="shared" si="73"/>
        <v>6.2809155933342103E-2</v>
      </c>
      <c r="AG1567" s="99">
        <f t="shared" si="74"/>
        <v>7.5156770333343831E-3</v>
      </c>
      <c r="AH1567" s="10" t="str">
        <f>IFERROR(VLOOKUP(B1567,'Pre-Summary'!$AZ$6:$BE$65,3,FALSE),"")</f>
        <v/>
      </c>
      <c r="AI1567" s="10" t="str">
        <f>IFERROR(VLOOKUP(B1567,'Pre-Summary'!$AZ$6:$BE$65,5,FALSE),"")</f>
        <v/>
      </c>
      <c r="AJ1567" s="10" t="str">
        <f>IFERROR(VLOOKUP(B1567,'Pre-Summary'!$AZ$6:$BE$65,4,FALSE),"")</f>
        <v/>
      </c>
      <c r="AK1567" s="10" t="str">
        <f>IFERROR(VLOOKUP(B1567,'Pre-Summary'!$AZ$6:$BE$65,6,FALSE),"")</f>
        <v/>
      </c>
      <c r="AL1567" s="10" t="str">
        <f>IFERROR(VLOOKUP(B1567,'Pre-Summary'!$BG$6:$BL$44,3,FALSE),"")</f>
        <v/>
      </c>
      <c r="AM1567" s="10" t="str">
        <f>IFERROR(VLOOKUP(B1567,'Pre-Summary'!$BG$6:$BL$44,4,FALSE),"")</f>
        <v/>
      </c>
    </row>
    <row r="1568" spans="2:39" ht="15" customHeight="1" x14ac:dyDescent="0.3">
      <c r="B1568">
        <v>156.5</v>
      </c>
      <c r="C1568" t="str">
        <f>IFERROR(VLOOKUP(B1568,'Pre-Summary'!$DI$6:$DM$23,4,FALSE),"")</f>
        <v/>
      </c>
      <c r="D1568" s="10" t="str">
        <f>IFERROR(VLOOKUP(B1568,'Pre-Summary'!$AT$6:$AX$14,5,FALSE),D1567)</f>
        <v>Wolfe v3: went back to modified wolfe + EDTA and switched CuSO4 to CUCl2</v>
      </c>
      <c r="E1568" s="10" t="str">
        <f>IFERROR(VLOOKUP(B1568,'Pre-Summary'!$AT$6:$AX$15,4,FALSE),"")</f>
        <v/>
      </c>
      <c r="F1568">
        <f>IFERROR(VLOOKUP(B1568,'Pre-Summary'!$AL$6:$AQ$13,6,FALSE),F1567)</f>
        <v>5.9405263157894746E-2</v>
      </c>
      <c r="G1568" t="str">
        <f>IFERROR(VLOOKUP(B1568,'Pre-Summary'!$AE$6:$AJ$85,3,FALSE),"")</f>
        <v/>
      </c>
      <c r="H1568" t="str">
        <f>IFERROR(VLOOKUP(B1568,'Pre-Summary'!$AE$6:$AJ$85,4,FALSE),"")</f>
        <v/>
      </c>
      <c r="I1568" t="str">
        <f>IFERROR(VLOOKUP(B1568,'Pre-Summary'!$AE$6:$AJ$85,5,FALSE),"")</f>
        <v/>
      </c>
      <c r="J1568" s="45" t="str">
        <f>IFERROR(VLOOKUP(B1568,'Pre-Summary'!$AE$6:$AJ$85,6, FALSE),"")</f>
        <v/>
      </c>
      <c r="K1568" s="45" t="str">
        <f>IFERROR(VLOOKUP(B1568,'Pre-Summary'!$DE$6:$DG$61,3,FALSE),"")</f>
        <v/>
      </c>
      <c r="L1568" s="45" t="str">
        <f>IFERROR(VLOOKUP(B1568,'Pre-Summary'!$CU$6:$CW$36,3,FALSE),"")</f>
        <v/>
      </c>
      <c r="M1568" s="45" t="str">
        <f>IFERROR(VLOOKUP(B1568,'Pre-Summary'!$BW$6:$BY$58,2,FALSE),"")</f>
        <v/>
      </c>
      <c r="N1568" s="45" t="str">
        <f>IFERROR(VLOOKUP(B1568,'Pre-Summary'!$CD$6:$CF$64,2,FALSE),"")</f>
        <v/>
      </c>
      <c r="O1568" s="99">
        <f>IFERROR(VLOOKUP(B1568,'Pre-Summary'!$BO$6:$BQ$48,3, FALSE),O1567)</f>
        <v>1</v>
      </c>
      <c r="P1568" s="99">
        <f>IFERROR(VLOOKUP(B1568,'Pre-Summary'!$BS$6:$BU$35,3,FALSE),P1567)</f>
        <v>0.3</v>
      </c>
      <c r="Q1568" s="54">
        <f t="shared" si="72"/>
        <v>3.3333333333333335</v>
      </c>
      <c r="R1568" s="53">
        <f>IFERROR(VLOOKUP(B1568,'Pre-Summary'!$BG$6:$BM$44,7,FALSE),R1569)</f>
        <v>8.4148491316136567E-2</v>
      </c>
      <c r="S1568" s="53">
        <f>IFERROR(VLOOKUP(B1568,'Pre-Summary'!$BG$6:$BM$44,6,FALSE),S1569)</f>
        <v>0.10600540604063093</v>
      </c>
      <c r="T1568" s="45" t="str">
        <f>IFERROR(VLOOKUP(B1568,'Pre-Summary'!$Y$6:$AC$83, 3,FALSE),"")</f>
        <v/>
      </c>
      <c r="U1568" s="45" t="str">
        <f>IFERROR(VLOOKUP(B1568,'Pre-Summary'!$Y$6:$AC$83, 4,FALSE),"")</f>
        <v/>
      </c>
      <c r="V1568" t="str">
        <f>IFERROR(VLOOKUP(B1568,'Pre-Summary'!$Y$6:$AC$83, 5,FALSE),"")</f>
        <v/>
      </c>
      <c r="W1568" s="45" t="str">
        <f>IFERROR(VLOOKUP(B1568,'Pre-Summary'!$Y$6:$AD$83,6,FALSE),"")</f>
        <v/>
      </c>
      <c r="X1568" t="str">
        <f>IFERROR(VLOOKUP('Pre-Summary'!$DB$6:$DD$63,3,FALSE),"")</f>
        <v/>
      </c>
      <c r="Y1568" t="str">
        <f>IFERROR(VLOOKUP(B1568,'Pre-Summary'!$CR$6:$CT$36,3,FALSE),"")</f>
        <v/>
      </c>
      <c r="Z1568" s="45" t="str">
        <f>IFERROR(VLOOKUP(B1568,'Pre-Summary'!$BZ$6:$CB$63,2,FALSE),"")</f>
        <v/>
      </c>
      <c r="AA1568" s="45" t="str">
        <f>IFERROR(VLOOKUP(B1568,'Pre-Summary'!$CG$6:$CI$70,2,FALSE),"")</f>
        <v/>
      </c>
      <c r="AB1568" s="99">
        <f>IFERROR(VLOOKUP(B1568,'Pre-Summary'!$A$6:$P$178,9,FALSE),AB1569)</f>
        <v>0.27830000000003891</v>
      </c>
      <c r="AC1568" s="10">
        <f>IFERROR(VLOOKUP(Summary!B1568,'Pre-Summary'!$A$6:$P$184,5, FALSE)/100,AC1569)</f>
        <v>0.74730599999999991</v>
      </c>
      <c r="AD1568" s="10">
        <f>IFERROR(VLOOKUP(Summary!B1568,'Pre-Summary'!$A$6:$P$184,3, FALSE)/100,AD1569)</f>
        <v>0.22568866666666665</v>
      </c>
      <c r="AE1568" s="10">
        <f>IFERROR(VLOOKUP(Summary!B1568,'Pre-Summary'!$A$6:$P$184,7, FALSE)/100,AE1569)</f>
        <v>2.7005666666666664E-2</v>
      </c>
      <c r="AF1568" s="99">
        <f t="shared" si="73"/>
        <v>6.2809155933342103E-2</v>
      </c>
      <c r="AG1568" s="99">
        <f t="shared" si="74"/>
        <v>7.5156770333343831E-3</v>
      </c>
      <c r="AH1568" s="10" t="str">
        <f>IFERROR(VLOOKUP(B1568,'Pre-Summary'!$AZ$6:$BE$65,3,FALSE),"")</f>
        <v/>
      </c>
      <c r="AI1568" s="10" t="str">
        <f>IFERROR(VLOOKUP(B1568,'Pre-Summary'!$AZ$6:$BE$65,5,FALSE),"")</f>
        <v/>
      </c>
      <c r="AJ1568" s="10" t="str">
        <f>IFERROR(VLOOKUP(B1568,'Pre-Summary'!$AZ$6:$BE$65,4,FALSE),"")</f>
        <v/>
      </c>
      <c r="AK1568" s="10" t="str">
        <f>IFERROR(VLOOKUP(B1568,'Pre-Summary'!$AZ$6:$BE$65,6,FALSE),"")</f>
        <v/>
      </c>
      <c r="AL1568" s="10" t="str">
        <f>IFERROR(VLOOKUP(B1568,'Pre-Summary'!$BG$6:$BL$44,3,FALSE),"")</f>
        <v/>
      </c>
      <c r="AM1568" s="10" t="str">
        <f>IFERROR(VLOOKUP(B1568,'Pre-Summary'!$BG$6:$BL$44,4,FALSE),"")</f>
        <v/>
      </c>
    </row>
    <row r="1569" spans="2:39" ht="15" customHeight="1" x14ac:dyDescent="0.3">
      <c r="B1569">
        <v>156.6</v>
      </c>
      <c r="C1569" t="str">
        <f>IFERROR(VLOOKUP(B1569,'Pre-Summary'!$DI$6:$DM$23,4,FALSE),"")</f>
        <v/>
      </c>
      <c r="D1569" s="10" t="str">
        <f>IFERROR(VLOOKUP(B1569,'Pre-Summary'!$AT$6:$AX$14,5,FALSE),D1568)</f>
        <v>Wolfe v3: went back to modified wolfe + EDTA and switched CuSO4 to CUCl2</v>
      </c>
      <c r="E1569" s="10" t="str">
        <f>IFERROR(VLOOKUP(B1569,'Pre-Summary'!$AT$6:$AX$15,4,FALSE),"")</f>
        <v/>
      </c>
      <c r="F1569">
        <f>IFERROR(VLOOKUP(B1569,'Pre-Summary'!$AL$6:$AQ$13,6,FALSE),F1568)</f>
        <v>5.9405263157894746E-2</v>
      </c>
      <c r="G1569" t="str">
        <f>IFERROR(VLOOKUP(B1569,'Pre-Summary'!$AE$6:$AJ$85,3,FALSE),"")</f>
        <v/>
      </c>
      <c r="H1569" t="str">
        <f>IFERROR(VLOOKUP(B1569,'Pre-Summary'!$AE$6:$AJ$85,4,FALSE),"")</f>
        <v/>
      </c>
      <c r="I1569" t="str">
        <f>IFERROR(VLOOKUP(B1569,'Pre-Summary'!$AE$6:$AJ$85,5,FALSE),"")</f>
        <v/>
      </c>
      <c r="J1569" s="45" t="str">
        <f>IFERROR(VLOOKUP(B1569,'Pre-Summary'!$AE$6:$AJ$85,6, FALSE),"")</f>
        <v/>
      </c>
      <c r="K1569" s="45" t="str">
        <f>IFERROR(VLOOKUP(B1569,'Pre-Summary'!$DE$6:$DG$61,3,FALSE),"")</f>
        <v/>
      </c>
      <c r="L1569" s="45" t="str">
        <f>IFERROR(VLOOKUP(B1569,'Pre-Summary'!$CU$6:$CW$36,3,FALSE),"")</f>
        <v/>
      </c>
      <c r="M1569" s="45" t="str">
        <f>IFERROR(VLOOKUP(B1569,'Pre-Summary'!$BW$6:$BY$58,2,FALSE),"")</f>
        <v/>
      </c>
      <c r="N1569" s="45" t="str">
        <f>IFERROR(VLOOKUP(B1569,'Pre-Summary'!$CD$6:$CF$64,2,FALSE),"")</f>
        <v/>
      </c>
      <c r="O1569" s="99">
        <f>IFERROR(VLOOKUP(B1569,'Pre-Summary'!$BO$6:$BQ$48,3, FALSE),O1568)</f>
        <v>1</v>
      </c>
      <c r="P1569" s="99">
        <f>IFERROR(VLOOKUP(B1569,'Pre-Summary'!$BS$6:$BU$35,3,FALSE),P1568)</f>
        <v>0.3</v>
      </c>
      <c r="Q1569" s="54">
        <f t="shared" si="72"/>
        <v>3.3333333333333335</v>
      </c>
      <c r="R1569" s="53">
        <f>IFERROR(VLOOKUP(B1569,'Pre-Summary'!$BG$6:$BM$44,7,FALSE),R1570)</f>
        <v>8.4148491316136567E-2</v>
      </c>
      <c r="S1569" s="53">
        <f>IFERROR(VLOOKUP(B1569,'Pre-Summary'!$BG$6:$BM$44,6,FALSE),S1570)</f>
        <v>0.10600540604063093</v>
      </c>
      <c r="T1569" s="45" t="str">
        <f>IFERROR(VLOOKUP(B1569,'Pre-Summary'!$Y$6:$AC$83, 3,FALSE),"")</f>
        <v/>
      </c>
      <c r="U1569" s="45" t="str">
        <f>IFERROR(VLOOKUP(B1569,'Pre-Summary'!$Y$6:$AC$83, 4,FALSE),"")</f>
        <v/>
      </c>
      <c r="V1569" t="str">
        <f>IFERROR(VLOOKUP(B1569,'Pre-Summary'!$Y$6:$AC$83, 5,FALSE),"")</f>
        <v/>
      </c>
      <c r="W1569" s="45" t="str">
        <f>IFERROR(VLOOKUP(B1569,'Pre-Summary'!$Y$6:$AD$83,6,FALSE),"")</f>
        <v/>
      </c>
      <c r="X1569" t="str">
        <f>IFERROR(VLOOKUP('Pre-Summary'!$DB$6:$DD$63,3,FALSE),"")</f>
        <v/>
      </c>
      <c r="Y1569" t="str">
        <f>IFERROR(VLOOKUP(B1569,'Pre-Summary'!$CR$6:$CT$36,3,FALSE),"")</f>
        <v/>
      </c>
      <c r="Z1569" s="45" t="str">
        <f>IFERROR(VLOOKUP(B1569,'Pre-Summary'!$BZ$6:$CB$63,2,FALSE),"")</f>
        <v/>
      </c>
      <c r="AA1569" s="45" t="str">
        <f>IFERROR(VLOOKUP(B1569,'Pre-Summary'!$CG$6:$CI$70,2,FALSE),"")</f>
        <v/>
      </c>
      <c r="AB1569" s="99">
        <f>IFERROR(VLOOKUP(B1569,'Pre-Summary'!$A$6:$P$178,9,FALSE),AB1570)</f>
        <v>0.27830000000003891</v>
      </c>
      <c r="AC1569" s="10">
        <f>IFERROR(VLOOKUP(Summary!B1569,'Pre-Summary'!$A$6:$P$184,5, FALSE)/100,AC1570)</f>
        <v>0.74730599999999991</v>
      </c>
      <c r="AD1569" s="10">
        <f>IFERROR(VLOOKUP(Summary!B1569,'Pre-Summary'!$A$6:$P$184,3, FALSE)/100,AD1570)</f>
        <v>0.22568866666666665</v>
      </c>
      <c r="AE1569" s="10">
        <f>IFERROR(VLOOKUP(Summary!B1569,'Pre-Summary'!$A$6:$P$184,7, FALSE)/100,AE1570)</f>
        <v>2.7005666666666664E-2</v>
      </c>
      <c r="AF1569" s="99">
        <f t="shared" si="73"/>
        <v>6.2809155933342103E-2</v>
      </c>
      <c r="AG1569" s="99">
        <f t="shared" si="74"/>
        <v>7.5156770333343831E-3</v>
      </c>
      <c r="AH1569" s="10" t="str">
        <f>IFERROR(VLOOKUP(B1569,'Pre-Summary'!$AZ$6:$BE$65,3,FALSE),"")</f>
        <v/>
      </c>
      <c r="AI1569" s="10" t="str">
        <f>IFERROR(VLOOKUP(B1569,'Pre-Summary'!$AZ$6:$BE$65,5,FALSE),"")</f>
        <v/>
      </c>
      <c r="AJ1569" s="10" t="str">
        <f>IFERROR(VLOOKUP(B1569,'Pre-Summary'!$AZ$6:$BE$65,4,FALSE),"")</f>
        <v/>
      </c>
      <c r="AK1569" s="10" t="str">
        <f>IFERROR(VLOOKUP(B1569,'Pre-Summary'!$AZ$6:$BE$65,6,FALSE),"")</f>
        <v/>
      </c>
      <c r="AL1569" s="10" t="str">
        <f>IFERROR(VLOOKUP(B1569,'Pre-Summary'!$BG$6:$BL$44,3,FALSE),"")</f>
        <v/>
      </c>
      <c r="AM1569" s="10" t="str">
        <f>IFERROR(VLOOKUP(B1569,'Pre-Summary'!$BG$6:$BL$44,4,FALSE),"")</f>
        <v/>
      </c>
    </row>
    <row r="1570" spans="2:39" ht="15" customHeight="1" x14ac:dyDescent="0.3">
      <c r="B1570">
        <v>156.69999999999999</v>
      </c>
      <c r="C1570" t="str">
        <f>IFERROR(VLOOKUP(B1570,'Pre-Summary'!$DI$6:$DM$23,4,FALSE),"")</f>
        <v/>
      </c>
      <c r="D1570" s="10" t="str">
        <f>IFERROR(VLOOKUP(B1570,'Pre-Summary'!$AT$6:$AX$14,5,FALSE),D1569)</f>
        <v>Wolfe v3: went back to modified wolfe + EDTA and switched CuSO4 to CUCl2</v>
      </c>
      <c r="E1570" s="10" t="str">
        <f>IFERROR(VLOOKUP(B1570,'Pre-Summary'!$AT$6:$AX$15,4,FALSE),"")</f>
        <v/>
      </c>
      <c r="F1570">
        <f>IFERROR(VLOOKUP(B1570,'Pre-Summary'!$AL$6:$AQ$13,6,FALSE),F1569)</f>
        <v>5.9405263157894746E-2</v>
      </c>
      <c r="G1570" t="str">
        <f>IFERROR(VLOOKUP(B1570,'Pre-Summary'!$AE$6:$AJ$85,3,FALSE),"")</f>
        <v/>
      </c>
      <c r="H1570" t="str">
        <f>IFERROR(VLOOKUP(B1570,'Pre-Summary'!$AE$6:$AJ$85,4,FALSE),"")</f>
        <v/>
      </c>
      <c r="I1570" t="str">
        <f>IFERROR(VLOOKUP(B1570,'Pre-Summary'!$AE$6:$AJ$85,5,FALSE),"")</f>
        <v/>
      </c>
      <c r="J1570" s="45" t="str">
        <f>IFERROR(VLOOKUP(B1570,'Pre-Summary'!$AE$6:$AJ$85,6, FALSE),"")</f>
        <v/>
      </c>
      <c r="K1570" s="45" t="str">
        <f>IFERROR(VLOOKUP(B1570,'Pre-Summary'!$DE$6:$DG$61,3,FALSE),"")</f>
        <v/>
      </c>
      <c r="L1570" s="45" t="str">
        <f>IFERROR(VLOOKUP(B1570,'Pre-Summary'!$CU$6:$CW$36,3,FALSE),"")</f>
        <v/>
      </c>
      <c r="M1570" s="45" t="str">
        <f>IFERROR(VLOOKUP(B1570,'Pre-Summary'!$BW$6:$BY$58,2,FALSE),"")</f>
        <v/>
      </c>
      <c r="N1570" s="45" t="str">
        <f>IFERROR(VLOOKUP(B1570,'Pre-Summary'!$CD$6:$CF$64,2,FALSE),"")</f>
        <v/>
      </c>
      <c r="O1570" s="99">
        <f>IFERROR(VLOOKUP(B1570,'Pre-Summary'!$BO$6:$BQ$48,3, FALSE),O1569)</f>
        <v>1</v>
      </c>
      <c r="P1570" s="99">
        <f>IFERROR(VLOOKUP(B1570,'Pre-Summary'!$BS$6:$BU$35,3,FALSE),P1569)</f>
        <v>0.3</v>
      </c>
      <c r="Q1570" s="54">
        <f t="shared" si="72"/>
        <v>3.3333333333333335</v>
      </c>
      <c r="R1570" s="53">
        <f>IFERROR(VLOOKUP(B1570,'Pre-Summary'!$BG$6:$BM$44,7,FALSE),R1571)</f>
        <v>8.4148491316136567E-2</v>
      </c>
      <c r="S1570" s="53">
        <f>IFERROR(VLOOKUP(B1570,'Pre-Summary'!$BG$6:$BM$44,6,FALSE),S1571)</f>
        <v>0.10600540604063093</v>
      </c>
      <c r="T1570" s="45" t="str">
        <f>IFERROR(VLOOKUP(B1570,'Pre-Summary'!$Y$6:$AC$83, 3,FALSE),"")</f>
        <v/>
      </c>
      <c r="U1570" s="45" t="str">
        <f>IFERROR(VLOOKUP(B1570,'Pre-Summary'!$Y$6:$AC$83, 4,FALSE),"")</f>
        <v/>
      </c>
      <c r="V1570" t="str">
        <f>IFERROR(VLOOKUP(B1570,'Pre-Summary'!$Y$6:$AC$83, 5,FALSE),"")</f>
        <v/>
      </c>
      <c r="W1570" s="45" t="str">
        <f>IFERROR(VLOOKUP(B1570,'Pre-Summary'!$Y$6:$AD$83,6,FALSE),"")</f>
        <v/>
      </c>
      <c r="X1570" t="str">
        <f>IFERROR(VLOOKUP('Pre-Summary'!$DB$6:$DD$63,3,FALSE),"")</f>
        <v/>
      </c>
      <c r="Y1570" t="str">
        <f>IFERROR(VLOOKUP(B1570,'Pre-Summary'!$CR$6:$CT$36,3,FALSE),"")</f>
        <v/>
      </c>
      <c r="Z1570" s="45" t="str">
        <f>IFERROR(VLOOKUP(B1570,'Pre-Summary'!$BZ$6:$CB$63,2,FALSE),"")</f>
        <v/>
      </c>
      <c r="AA1570" s="45" t="str">
        <f>IFERROR(VLOOKUP(B1570,'Pre-Summary'!$CG$6:$CI$70,2,FALSE),"")</f>
        <v/>
      </c>
      <c r="AB1570" s="99">
        <f>IFERROR(VLOOKUP(B1570,'Pre-Summary'!$A$6:$P$178,9,FALSE),AB1571)</f>
        <v>0.27830000000003891</v>
      </c>
      <c r="AC1570" s="10">
        <f>IFERROR(VLOOKUP(Summary!B1570,'Pre-Summary'!$A$6:$P$184,5, FALSE)/100,AC1571)</f>
        <v>0.74730599999999991</v>
      </c>
      <c r="AD1570" s="10">
        <f>IFERROR(VLOOKUP(Summary!B1570,'Pre-Summary'!$A$6:$P$184,3, FALSE)/100,AD1571)</f>
        <v>0.22568866666666665</v>
      </c>
      <c r="AE1570" s="10">
        <f>IFERROR(VLOOKUP(Summary!B1570,'Pre-Summary'!$A$6:$P$184,7, FALSE)/100,AE1571)</f>
        <v>2.7005666666666664E-2</v>
      </c>
      <c r="AF1570" s="99">
        <f t="shared" si="73"/>
        <v>6.2809155933342103E-2</v>
      </c>
      <c r="AG1570" s="99">
        <f t="shared" si="74"/>
        <v>7.5156770333343831E-3</v>
      </c>
      <c r="AH1570" s="10" t="str">
        <f>IFERROR(VLOOKUP(B1570,'Pre-Summary'!$AZ$6:$BE$65,3,FALSE),"")</f>
        <v/>
      </c>
      <c r="AI1570" s="10" t="str">
        <f>IFERROR(VLOOKUP(B1570,'Pre-Summary'!$AZ$6:$BE$65,5,FALSE),"")</f>
        <v/>
      </c>
      <c r="AJ1570" s="10" t="str">
        <f>IFERROR(VLOOKUP(B1570,'Pre-Summary'!$AZ$6:$BE$65,4,FALSE),"")</f>
        <v/>
      </c>
      <c r="AK1570" s="10" t="str">
        <f>IFERROR(VLOOKUP(B1570,'Pre-Summary'!$AZ$6:$BE$65,6,FALSE),"")</f>
        <v/>
      </c>
      <c r="AL1570" s="10" t="str">
        <f>IFERROR(VLOOKUP(B1570,'Pre-Summary'!$BG$6:$BL$44,3,FALSE),"")</f>
        <v/>
      </c>
      <c r="AM1570" s="10" t="str">
        <f>IFERROR(VLOOKUP(B1570,'Pre-Summary'!$BG$6:$BL$44,4,FALSE),"")</f>
        <v/>
      </c>
    </row>
    <row r="1571" spans="2:39" ht="15" customHeight="1" x14ac:dyDescent="0.3">
      <c r="B1571">
        <v>156.80000000000001</v>
      </c>
      <c r="C1571" t="str">
        <f>IFERROR(VLOOKUP(B1571,'Pre-Summary'!$DI$6:$DM$23,4,FALSE),"")</f>
        <v/>
      </c>
      <c r="D1571" s="10" t="str">
        <f>IFERROR(VLOOKUP(B1571,'Pre-Summary'!$AT$6:$AX$14,5,FALSE),D1570)</f>
        <v>Wolfe v3: went back to modified wolfe + EDTA and switched CuSO4 to CUCl2</v>
      </c>
      <c r="E1571" s="10" t="str">
        <f>IFERROR(VLOOKUP(B1571,'Pre-Summary'!$AT$6:$AX$15,4,FALSE),"")</f>
        <v/>
      </c>
      <c r="F1571">
        <f>IFERROR(VLOOKUP(B1571,'Pre-Summary'!$AL$6:$AQ$13,6,FALSE),F1570)</f>
        <v>5.9405263157894746E-2</v>
      </c>
      <c r="G1571" t="str">
        <f>IFERROR(VLOOKUP(B1571,'Pre-Summary'!$AE$6:$AJ$85,3,FALSE),"")</f>
        <v/>
      </c>
      <c r="H1571" t="str">
        <f>IFERROR(VLOOKUP(B1571,'Pre-Summary'!$AE$6:$AJ$85,4,FALSE),"")</f>
        <v/>
      </c>
      <c r="I1571" t="str">
        <f>IFERROR(VLOOKUP(B1571,'Pre-Summary'!$AE$6:$AJ$85,5,FALSE),"")</f>
        <v/>
      </c>
      <c r="J1571" s="45" t="str">
        <f>IFERROR(VLOOKUP(B1571,'Pre-Summary'!$AE$6:$AJ$85,6, FALSE),"")</f>
        <v/>
      </c>
      <c r="K1571" s="45" t="str">
        <f>IFERROR(VLOOKUP(B1571,'Pre-Summary'!$DE$6:$DG$61,3,FALSE),"")</f>
        <v/>
      </c>
      <c r="L1571" s="45" t="str">
        <f>IFERROR(VLOOKUP(B1571,'Pre-Summary'!$CU$6:$CW$36,3,FALSE),"")</f>
        <v/>
      </c>
      <c r="M1571" s="45" t="str">
        <f>IFERROR(VLOOKUP(B1571,'Pre-Summary'!$BW$6:$BY$58,2,FALSE),"")</f>
        <v/>
      </c>
      <c r="N1571" s="45" t="str">
        <f>IFERROR(VLOOKUP(B1571,'Pre-Summary'!$CD$6:$CF$64,2,FALSE),"")</f>
        <v/>
      </c>
      <c r="O1571" s="99">
        <f>IFERROR(VLOOKUP(B1571,'Pre-Summary'!$BO$6:$BQ$48,3, FALSE),O1570)</f>
        <v>1</v>
      </c>
      <c r="P1571" s="99">
        <f>IFERROR(VLOOKUP(B1571,'Pre-Summary'!$BS$6:$BU$35,3,FALSE),P1570)</f>
        <v>0.3</v>
      </c>
      <c r="Q1571" s="54">
        <f t="shared" si="72"/>
        <v>3.3333333333333335</v>
      </c>
      <c r="R1571" s="53">
        <f>IFERROR(VLOOKUP(B1571,'Pre-Summary'!$BG$6:$BM$44,7,FALSE),R1572)</f>
        <v>8.4148491316136567E-2</v>
      </c>
      <c r="S1571" s="53">
        <f>IFERROR(VLOOKUP(B1571,'Pre-Summary'!$BG$6:$BM$44,6,FALSE),S1572)</f>
        <v>0.10600540604063093</v>
      </c>
      <c r="T1571" s="45" t="str">
        <f>IFERROR(VLOOKUP(B1571,'Pre-Summary'!$Y$6:$AC$83, 3,FALSE),"")</f>
        <v/>
      </c>
      <c r="U1571" s="45" t="str">
        <f>IFERROR(VLOOKUP(B1571,'Pre-Summary'!$Y$6:$AC$83, 4,FALSE),"")</f>
        <v/>
      </c>
      <c r="V1571" t="str">
        <f>IFERROR(VLOOKUP(B1571,'Pre-Summary'!$Y$6:$AC$83, 5,FALSE),"")</f>
        <v/>
      </c>
      <c r="W1571" s="45" t="str">
        <f>IFERROR(VLOOKUP(B1571,'Pre-Summary'!$Y$6:$AD$83,6,FALSE),"")</f>
        <v/>
      </c>
      <c r="X1571" t="str">
        <f>IFERROR(VLOOKUP('Pre-Summary'!$DB$6:$DD$63,3,FALSE),"")</f>
        <v/>
      </c>
      <c r="Y1571" t="str">
        <f>IFERROR(VLOOKUP(B1571,'Pre-Summary'!$CR$6:$CT$36,3,FALSE),"")</f>
        <v/>
      </c>
      <c r="Z1571" s="45" t="str">
        <f>IFERROR(VLOOKUP(B1571,'Pre-Summary'!$BZ$6:$CB$63,2,FALSE),"")</f>
        <v/>
      </c>
      <c r="AA1571" s="45" t="str">
        <f>IFERROR(VLOOKUP(B1571,'Pre-Summary'!$CG$6:$CI$70,2,FALSE),"")</f>
        <v/>
      </c>
      <c r="AB1571" s="99">
        <f>IFERROR(VLOOKUP(B1571,'Pre-Summary'!$A$6:$P$178,9,FALSE),AB1572)</f>
        <v>0.27830000000003891</v>
      </c>
      <c r="AC1571" s="10">
        <f>IFERROR(VLOOKUP(Summary!B1571,'Pre-Summary'!$A$6:$P$184,5, FALSE)/100,AC1572)</f>
        <v>0.74730599999999991</v>
      </c>
      <c r="AD1571" s="10">
        <f>IFERROR(VLOOKUP(Summary!B1571,'Pre-Summary'!$A$6:$P$184,3, FALSE)/100,AD1572)</f>
        <v>0.22568866666666665</v>
      </c>
      <c r="AE1571" s="10">
        <f>IFERROR(VLOOKUP(Summary!B1571,'Pre-Summary'!$A$6:$P$184,7, FALSE)/100,AE1572)</f>
        <v>2.7005666666666664E-2</v>
      </c>
      <c r="AF1571" s="99">
        <f t="shared" si="73"/>
        <v>6.2809155933342103E-2</v>
      </c>
      <c r="AG1571" s="99">
        <f t="shared" si="74"/>
        <v>7.5156770333343831E-3</v>
      </c>
      <c r="AH1571" s="10" t="str">
        <f>IFERROR(VLOOKUP(B1571,'Pre-Summary'!$AZ$6:$BE$65,3,FALSE),"")</f>
        <v/>
      </c>
      <c r="AI1571" s="10" t="str">
        <f>IFERROR(VLOOKUP(B1571,'Pre-Summary'!$AZ$6:$BE$65,5,FALSE),"")</f>
        <v/>
      </c>
      <c r="AJ1571" s="10" t="str">
        <f>IFERROR(VLOOKUP(B1571,'Pre-Summary'!$AZ$6:$BE$65,4,FALSE),"")</f>
        <v/>
      </c>
      <c r="AK1571" s="10" t="str">
        <f>IFERROR(VLOOKUP(B1571,'Pre-Summary'!$AZ$6:$BE$65,6,FALSE),"")</f>
        <v/>
      </c>
      <c r="AL1571" s="10" t="str">
        <f>IFERROR(VLOOKUP(B1571,'Pre-Summary'!$BG$6:$BL$44,3,FALSE),"")</f>
        <v/>
      </c>
      <c r="AM1571" s="10" t="str">
        <f>IFERROR(VLOOKUP(B1571,'Pre-Summary'!$BG$6:$BL$44,4,FALSE),"")</f>
        <v/>
      </c>
    </row>
    <row r="1572" spans="2:39" ht="15" customHeight="1" x14ac:dyDescent="0.3">
      <c r="B1572">
        <v>156.9</v>
      </c>
      <c r="C1572" t="str">
        <f>IFERROR(VLOOKUP(B1572,'Pre-Summary'!$DI$6:$DM$23,4,FALSE),"")</f>
        <v/>
      </c>
      <c r="D1572" s="10" t="str">
        <f>IFERROR(VLOOKUP(B1572,'Pre-Summary'!$AT$6:$AX$14,5,FALSE),D1571)</f>
        <v>Wolfe v3: went back to modified wolfe + EDTA and switched CuSO4 to CUCl2</v>
      </c>
      <c r="E1572" s="10" t="str">
        <f>IFERROR(VLOOKUP(B1572,'Pre-Summary'!$AT$6:$AX$15,4,FALSE),"")</f>
        <v/>
      </c>
      <c r="F1572">
        <f>IFERROR(VLOOKUP(B1572,'Pre-Summary'!$AL$6:$AQ$13,6,FALSE),F1571)</f>
        <v>5.9405263157894746E-2</v>
      </c>
      <c r="G1572" t="str">
        <f>IFERROR(VLOOKUP(B1572,'Pre-Summary'!$AE$6:$AJ$85,3,FALSE),"")</f>
        <v/>
      </c>
      <c r="H1572" t="str">
        <f>IFERROR(VLOOKUP(B1572,'Pre-Summary'!$AE$6:$AJ$85,4,FALSE),"")</f>
        <v/>
      </c>
      <c r="I1572" t="str">
        <f>IFERROR(VLOOKUP(B1572,'Pre-Summary'!$AE$6:$AJ$85,5,FALSE),"")</f>
        <v/>
      </c>
      <c r="J1572" s="45" t="str">
        <f>IFERROR(VLOOKUP(B1572,'Pre-Summary'!$AE$6:$AJ$85,6, FALSE),"")</f>
        <v/>
      </c>
      <c r="K1572" s="45" t="str">
        <f>IFERROR(VLOOKUP(B1572,'Pre-Summary'!$DE$6:$DG$61,3,FALSE),"")</f>
        <v/>
      </c>
      <c r="L1572" s="45" t="str">
        <f>IFERROR(VLOOKUP(B1572,'Pre-Summary'!$CU$6:$CW$36,3,FALSE),"")</f>
        <v/>
      </c>
      <c r="M1572" s="45" t="str">
        <f>IFERROR(VLOOKUP(B1572,'Pre-Summary'!$BW$6:$BY$58,2,FALSE),"")</f>
        <v/>
      </c>
      <c r="N1572" s="45" t="str">
        <f>IFERROR(VLOOKUP(B1572,'Pre-Summary'!$CD$6:$CF$64,2,FALSE),"")</f>
        <v/>
      </c>
      <c r="O1572" s="99">
        <f>IFERROR(VLOOKUP(B1572,'Pre-Summary'!$BO$6:$BQ$48,3, FALSE),O1571)</f>
        <v>1</v>
      </c>
      <c r="P1572" s="99">
        <f>IFERROR(VLOOKUP(B1572,'Pre-Summary'!$BS$6:$BU$35,3,FALSE),P1571)</f>
        <v>0.3</v>
      </c>
      <c r="Q1572" s="54">
        <f t="shared" si="72"/>
        <v>3.3333333333333335</v>
      </c>
      <c r="R1572" s="53">
        <f>IFERROR(VLOOKUP(B1572,'Pre-Summary'!$BG$6:$BM$44,7,FALSE),R1573)</f>
        <v>8.4148491316136567E-2</v>
      </c>
      <c r="S1572" s="53">
        <f>IFERROR(VLOOKUP(B1572,'Pre-Summary'!$BG$6:$BM$44,6,FALSE),S1573)</f>
        <v>0.10600540604063093</v>
      </c>
      <c r="T1572" s="45" t="str">
        <f>IFERROR(VLOOKUP(B1572,'Pre-Summary'!$Y$6:$AC$83, 3,FALSE),"")</f>
        <v/>
      </c>
      <c r="U1572" s="45" t="str">
        <f>IFERROR(VLOOKUP(B1572,'Pre-Summary'!$Y$6:$AC$83, 4,FALSE),"")</f>
        <v/>
      </c>
      <c r="V1572" t="str">
        <f>IFERROR(VLOOKUP(B1572,'Pre-Summary'!$Y$6:$AC$83, 5,FALSE),"")</f>
        <v/>
      </c>
      <c r="W1572" s="45" t="str">
        <f>IFERROR(VLOOKUP(B1572,'Pre-Summary'!$Y$6:$AD$83,6,FALSE),"")</f>
        <v/>
      </c>
      <c r="X1572" t="str">
        <f>IFERROR(VLOOKUP('Pre-Summary'!$DB$6:$DD$63,3,FALSE),"")</f>
        <v/>
      </c>
      <c r="Y1572" t="str">
        <f>IFERROR(VLOOKUP(B1572,'Pre-Summary'!$CR$6:$CT$36,3,FALSE),"")</f>
        <v/>
      </c>
      <c r="Z1572" s="45" t="str">
        <f>IFERROR(VLOOKUP(B1572,'Pre-Summary'!$BZ$6:$CB$63,2,FALSE),"")</f>
        <v/>
      </c>
      <c r="AA1572" s="45" t="str">
        <f>IFERROR(VLOOKUP(B1572,'Pre-Summary'!$CG$6:$CI$70,2,FALSE),"")</f>
        <v/>
      </c>
      <c r="AB1572" s="99">
        <f>IFERROR(VLOOKUP(B1572,'Pre-Summary'!$A$6:$P$178,9,FALSE),AB1573)</f>
        <v>0.27830000000003891</v>
      </c>
      <c r="AC1572" s="10">
        <f>IFERROR(VLOOKUP(Summary!B1572,'Pre-Summary'!$A$6:$P$184,5, FALSE)/100,AC1573)</f>
        <v>0.74730599999999991</v>
      </c>
      <c r="AD1572" s="10">
        <f>IFERROR(VLOOKUP(Summary!B1572,'Pre-Summary'!$A$6:$P$184,3, FALSE)/100,AD1573)</f>
        <v>0.22568866666666665</v>
      </c>
      <c r="AE1572" s="10">
        <f>IFERROR(VLOOKUP(Summary!B1572,'Pre-Summary'!$A$6:$P$184,7, FALSE)/100,AE1573)</f>
        <v>2.7005666666666664E-2</v>
      </c>
      <c r="AF1572" s="99">
        <f t="shared" si="73"/>
        <v>6.2809155933342103E-2</v>
      </c>
      <c r="AG1572" s="99">
        <f t="shared" si="74"/>
        <v>7.5156770333343831E-3</v>
      </c>
      <c r="AH1572" s="10" t="str">
        <f>IFERROR(VLOOKUP(B1572,'Pre-Summary'!$AZ$6:$BE$65,3,FALSE),"")</f>
        <v/>
      </c>
      <c r="AI1572" s="10" t="str">
        <f>IFERROR(VLOOKUP(B1572,'Pre-Summary'!$AZ$6:$BE$65,5,FALSE),"")</f>
        <v/>
      </c>
      <c r="AJ1572" s="10" t="str">
        <f>IFERROR(VLOOKUP(B1572,'Pre-Summary'!$AZ$6:$BE$65,4,FALSE),"")</f>
        <v/>
      </c>
      <c r="AK1572" s="10" t="str">
        <f>IFERROR(VLOOKUP(B1572,'Pre-Summary'!$AZ$6:$BE$65,6,FALSE),"")</f>
        <v/>
      </c>
      <c r="AL1572" s="10" t="str">
        <f>IFERROR(VLOOKUP(B1572,'Pre-Summary'!$BG$6:$BL$44,3,FALSE),"")</f>
        <v/>
      </c>
      <c r="AM1572" s="10" t="str">
        <f>IFERROR(VLOOKUP(B1572,'Pre-Summary'!$BG$6:$BL$44,4,FALSE),"")</f>
        <v/>
      </c>
    </row>
    <row r="1573" spans="2:39" ht="15" customHeight="1" x14ac:dyDescent="0.3">
      <c r="B1573">
        <v>157</v>
      </c>
      <c r="C1573" t="str">
        <f>IFERROR(VLOOKUP(B1573,'Pre-Summary'!$DI$6:$DM$23,4,FALSE),"")</f>
        <v/>
      </c>
      <c r="D1573" s="10" t="str">
        <f>IFERROR(VLOOKUP(B1573,'Pre-Summary'!$AT$6:$AX$14,5,FALSE),D1572)</f>
        <v>Wolfe v3: went back to modified wolfe + EDTA and switched CuSO4 to CUCl2</v>
      </c>
      <c r="E1573" s="10" t="str">
        <f>IFERROR(VLOOKUP(B1573,'Pre-Summary'!$AT$6:$AX$15,4,FALSE),"")</f>
        <v/>
      </c>
      <c r="F1573">
        <f>IFERROR(VLOOKUP(B1573,'Pre-Summary'!$AL$6:$AQ$13,6,FALSE),F1572)</f>
        <v>5.9405263157894746E-2</v>
      </c>
      <c r="G1573" t="str">
        <f>IFERROR(VLOOKUP(B1573,'Pre-Summary'!$AE$6:$AJ$85,3,FALSE),"")</f>
        <v/>
      </c>
      <c r="H1573" t="str">
        <f>IFERROR(VLOOKUP(B1573,'Pre-Summary'!$AE$6:$AJ$85,4,FALSE),"")</f>
        <v/>
      </c>
      <c r="I1573" t="str">
        <f>IFERROR(VLOOKUP(B1573,'Pre-Summary'!$AE$6:$AJ$85,5,FALSE),"")</f>
        <v/>
      </c>
      <c r="J1573" s="45" t="str">
        <f>IFERROR(VLOOKUP(B1573,'Pre-Summary'!$AE$6:$AJ$85,6, FALSE),"")</f>
        <v/>
      </c>
      <c r="K1573" s="45" t="str">
        <f>IFERROR(VLOOKUP(B1573,'Pre-Summary'!$DE$6:$DG$61,3,FALSE),"")</f>
        <v/>
      </c>
      <c r="L1573" s="45" t="str">
        <f>IFERROR(VLOOKUP(B1573,'Pre-Summary'!$CU$6:$CW$36,3,FALSE),"")</f>
        <v/>
      </c>
      <c r="M1573" s="45" t="str">
        <f>IFERROR(VLOOKUP(B1573,'Pre-Summary'!$BW$6:$BY$58,2,FALSE),"")</f>
        <v/>
      </c>
      <c r="N1573" s="45" t="str">
        <f>IFERROR(VLOOKUP(B1573,'Pre-Summary'!$CD$6:$CF$64,2,FALSE),"")</f>
        <v/>
      </c>
      <c r="O1573" s="99">
        <f>IFERROR(VLOOKUP(B1573,'Pre-Summary'!$BO$6:$BQ$48,3, FALSE),O1572)</f>
        <v>1</v>
      </c>
      <c r="P1573" s="99">
        <f>IFERROR(VLOOKUP(B1573,'Pre-Summary'!$BS$6:$BU$35,3,FALSE),P1572)</f>
        <v>0.3</v>
      </c>
      <c r="Q1573" s="54">
        <f t="shared" si="72"/>
        <v>3.3333333333333335</v>
      </c>
      <c r="R1573" s="53">
        <f>IFERROR(VLOOKUP(B1573,'Pre-Summary'!$BG$6:$BM$44,7,FALSE),R1574)</f>
        <v>8.4148491316136567E-2</v>
      </c>
      <c r="S1573" s="53">
        <f>IFERROR(VLOOKUP(B1573,'Pre-Summary'!$BG$6:$BM$44,6,FALSE),S1574)</f>
        <v>0.10600540604063093</v>
      </c>
      <c r="T1573" s="45" t="str">
        <f>IFERROR(VLOOKUP(B1573,'Pre-Summary'!$Y$6:$AC$83, 3,FALSE),"")</f>
        <v/>
      </c>
      <c r="U1573" s="45" t="str">
        <f>IFERROR(VLOOKUP(B1573,'Pre-Summary'!$Y$6:$AC$83, 4,FALSE),"")</f>
        <v/>
      </c>
      <c r="V1573" t="str">
        <f>IFERROR(VLOOKUP(B1573,'Pre-Summary'!$Y$6:$AC$83, 5,FALSE),"")</f>
        <v/>
      </c>
      <c r="W1573" s="45" t="str">
        <f>IFERROR(VLOOKUP(B1573,'Pre-Summary'!$Y$6:$AD$83,6,FALSE),"")</f>
        <v/>
      </c>
      <c r="X1573" t="str">
        <f>IFERROR(VLOOKUP('Pre-Summary'!$DB$6:$DD$63,3,FALSE),"")</f>
        <v/>
      </c>
      <c r="Y1573" t="str">
        <f>IFERROR(VLOOKUP(B1573,'Pre-Summary'!$CR$6:$CT$36,3,FALSE),"")</f>
        <v/>
      </c>
      <c r="Z1573" s="45" t="str">
        <f>IFERROR(VLOOKUP(B1573,'Pre-Summary'!$BZ$6:$CB$63,2,FALSE),"")</f>
        <v/>
      </c>
      <c r="AA1573" s="45" t="str">
        <f>IFERROR(VLOOKUP(B1573,'Pre-Summary'!$CG$6:$CI$70,2,FALSE),"")</f>
        <v/>
      </c>
      <c r="AB1573" s="99">
        <f>IFERROR(VLOOKUP(B1573,'Pre-Summary'!$A$6:$P$178,9,FALSE),AB1574)</f>
        <v>0.28821360766925663</v>
      </c>
      <c r="AC1573" s="10">
        <f>IFERROR(VLOOKUP(Summary!B1573,'Pre-Summary'!$A$6:$P$184,5, FALSE)/100,AC1574)</f>
        <v>0.79926699999999995</v>
      </c>
      <c r="AD1573" s="10">
        <f>IFERROR(VLOOKUP(Summary!B1573,'Pre-Summary'!$A$6:$P$184,3, FALSE)/100,AD1574)</f>
        <v>0.18477833333333332</v>
      </c>
      <c r="AE1573" s="10">
        <f>IFERROR(VLOOKUP(Summary!B1573,'Pre-Summary'!$A$6:$P$184,7, FALSE)/100,AE1574)</f>
        <v>1.5954666666666669E-2</v>
      </c>
      <c r="AF1573" s="99">
        <f t="shared" si="73"/>
        <v>5.3255630069112457E-2</v>
      </c>
      <c r="AG1573" s="99">
        <f t="shared" si="74"/>
        <v>4.5983520391604336E-3</v>
      </c>
      <c r="AH1573" s="10" t="str">
        <f>IFERROR(VLOOKUP(B1573,'Pre-Summary'!$AZ$6:$BE$65,3,FALSE),"")</f>
        <v/>
      </c>
      <c r="AI1573" s="10" t="str">
        <f>IFERROR(VLOOKUP(B1573,'Pre-Summary'!$AZ$6:$BE$65,5,FALSE),"")</f>
        <v/>
      </c>
      <c r="AJ1573" s="10" t="str">
        <f>IFERROR(VLOOKUP(B1573,'Pre-Summary'!$AZ$6:$BE$65,4,FALSE),"")</f>
        <v/>
      </c>
      <c r="AK1573" s="10" t="str">
        <f>IFERROR(VLOOKUP(B1573,'Pre-Summary'!$AZ$6:$BE$65,6,FALSE),"")</f>
        <v/>
      </c>
      <c r="AL1573" s="10" t="str">
        <f>IFERROR(VLOOKUP(B1573,'Pre-Summary'!$BG$6:$BL$44,3,FALSE),"")</f>
        <v/>
      </c>
      <c r="AM1573" s="10" t="str">
        <f>IFERROR(VLOOKUP(B1573,'Pre-Summary'!$BG$6:$BL$44,4,FALSE),"")</f>
        <v/>
      </c>
    </row>
    <row r="1574" spans="2:39" ht="15" customHeight="1" x14ac:dyDescent="0.3">
      <c r="B1574">
        <v>157.1</v>
      </c>
      <c r="C1574" t="str">
        <f>IFERROR(VLOOKUP(B1574,'Pre-Summary'!$DI$6:$DM$23,4,FALSE),"")</f>
        <v/>
      </c>
      <c r="D1574" s="10" t="str">
        <f>IFERROR(VLOOKUP(B1574,'Pre-Summary'!$AT$6:$AX$14,5,FALSE),D1573)</f>
        <v>Wolfe v3: went back to modified wolfe + EDTA and switched CuSO4 to CUCl2</v>
      </c>
      <c r="E1574" s="10" t="str">
        <f>IFERROR(VLOOKUP(B1574,'Pre-Summary'!$AT$6:$AX$15,4,FALSE),"")</f>
        <v/>
      </c>
      <c r="F1574">
        <f>IFERROR(VLOOKUP(B1574,'Pre-Summary'!$AL$6:$AQ$13,6,FALSE),F1573)</f>
        <v>5.9405263157894746E-2</v>
      </c>
      <c r="G1574" t="str">
        <f>IFERROR(VLOOKUP(B1574,'Pre-Summary'!$AE$6:$AJ$85,3,FALSE),"")</f>
        <v/>
      </c>
      <c r="H1574" t="str">
        <f>IFERROR(VLOOKUP(B1574,'Pre-Summary'!$AE$6:$AJ$85,4,FALSE),"")</f>
        <v/>
      </c>
      <c r="I1574" t="str">
        <f>IFERROR(VLOOKUP(B1574,'Pre-Summary'!$AE$6:$AJ$85,5,FALSE),"")</f>
        <v/>
      </c>
      <c r="J1574" s="45" t="str">
        <f>IFERROR(VLOOKUP(B1574,'Pre-Summary'!$AE$6:$AJ$85,6, FALSE),"")</f>
        <v/>
      </c>
      <c r="K1574" s="45" t="str">
        <f>IFERROR(VLOOKUP(B1574,'Pre-Summary'!$DE$6:$DG$61,3,FALSE),"")</f>
        <v/>
      </c>
      <c r="L1574" s="45" t="str">
        <f>IFERROR(VLOOKUP(B1574,'Pre-Summary'!$CU$6:$CW$36,3,FALSE),"")</f>
        <v/>
      </c>
      <c r="M1574" s="45" t="str">
        <f>IFERROR(VLOOKUP(B1574,'Pre-Summary'!$BW$6:$BY$58,2,FALSE),"")</f>
        <v/>
      </c>
      <c r="N1574" s="45" t="str">
        <f>IFERROR(VLOOKUP(B1574,'Pre-Summary'!$CD$6:$CF$64,2,FALSE),"")</f>
        <v/>
      </c>
      <c r="O1574" s="99">
        <f>IFERROR(VLOOKUP(B1574,'Pre-Summary'!$BO$6:$BQ$48,3, FALSE),O1573)</f>
        <v>1</v>
      </c>
      <c r="P1574" s="99">
        <f>IFERROR(VLOOKUP(B1574,'Pre-Summary'!$BS$6:$BU$35,3,FALSE),P1573)</f>
        <v>0.3</v>
      </c>
      <c r="Q1574" s="54">
        <f t="shared" si="72"/>
        <v>3.3333333333333335</v>
      </c>
      <c r="R1574" s="53">
        <f>IFERROR(VLOOKUP(B1574,'Pre-Summary'!$BG$6:$BM$44,7,FALSE),R1575)</f>
        <v>8.4148491316136567E-2</v>
      </c>
      <c r="S1574" s="53">
        <f>IFERROR(VLOOKUP(B1574,'Pre-Summary'!$BG$6:$BM$44,6,FALSE),S1575)</f>
        <v>0.10600540604063093</v>
      </c>
      <c r="T1574" s="45" t="str">
        <f>IFERROR(VLOOKUP(B1574,'Pre-Summary'!$Y$6:$AC$83, 3,FALSE),"")</f>
        <v/>
      </c>
      <c r="U1574" s="45" t="str">
        <f>IFERROR(VLOOKUP(B1574,'Pre-Summary'!$Y$6:$AC$83, 4,FALSE),"")</f>
        <v/>
      </c>
      <c r="V1574" t="str">
        <f>IFERROR(VLOOKUP(B1574,'Pre-Summary'!$Y$6:$AC$83, 5,FALSE),"")</f>
        <v/>
      </c>
      <c r="W1574" s="45" t="str">
        <f>IFERROR(VLOOKUP(B1574,'Pre-Summary'!$Y$6:$AD$83,6,FALSE),"")</f>
        <v/>
      </c>
      <c r="X1574" t="str">
        <f>IFERROR(VLOOKUP('Pre-Summary'!$DB$6:$DD$63,3,FALSE),"")</f>
        <v/>
      </c>
      <c r="Y1574" t="str">
        <f>IFERROR(VLOOKUP(B1574,'Pre-Summary'!$CR$6:$CT$36,3,FALSE),"")</f>
        <v/>
      </c>
      <c r="Z1574" s="45" t="str">
        <f>IFERROR(VLOOKUP(B1574,'Pre-Summary'!$BZ$6:$CB$63,2,FALSE),"")</f>
        <v/>
      </c>
      <c r="AA1574" s="45" t="str">
        <f>IFERROR(VLOOKUP(B1574,'Pre-Summary'!$CG$6:$CI$70,2,FALSE),"")</f>
        <v/>
      </c>
      <c r="AB1574" s="99">
        <f>IFERROR(VLOOKUP(B1574,'Pre-Summary'!$A$6:$P$178,9,FALSE),AB1575)</f>
        <v>0.28821360766925663</v>
      </c>
      <c r="AC1574" s="10">
        <f>IFERROR(VLOOKUP(Summary!B1574,'Pre-Summary'!$A$6:$P$184,5, FALSE)/100,AC1575)</f>
        <v>0.79926699999999995</v>
      </c>
      <c r="AD1574" s="10">
        <f>IFERROR(VLOOKUP(Summary!B1574,'Pre-Summary'!$A$6:$P$184,3, FALSE)/100,AD1575)</f>
        <v>0.18477833333333332</v>
      </c>
      <c r="AE1574" s="10">
        <f>IFERROR(VLOOKUP(Summary!B1574,'Pre-Summary'!$A$6:$P$184,7, FALSE)/100,AE1575)</f>
        <v>1.5954666666666669E-2</v>
      </c>
      <c r="AF1574" s="99">
        <f t="shared" si="73"/>
        <v>5.3255630069112457E-2</v>
      </c>
      <c r="AG1574" s="99">
        <f t="shared" si="74"/>
        <v>4.5983520391604336E-3</v>
      </c>
      <c r="AH1574" s="10" t="str">
        <f>IFERROR(VLOOKUP(B1574,'Pre-Summary'!$AZ$6:$BE$65,3,FALSE),"")</f>
        <v/>
      </c>
      <c r="AI1574" s="10" t="str">
        <f>IFERROR(VLOOKUP(B1574,'Pre-Summary'!$AZ$6:$BE$65,5,FALSE),"")</f>
        <v/>
      </c>
      <c r="AJ1574" s="10" t="str">
        <f>IFERROR(VLOOKUP(B1574,'Pre-Summary'!$AZ$6:$BE$65,4,FALSE),"")</f>
        <v/>
      </c>
      <c r="AK1574" s="10" t="str">
        <f>IFERROR(VLOOKUP(B1574,'Pre-Summary'!$AZ$6:$BE$65,6,FALSE),"")</f>
        <v/>
      </c>
      <c r="AL1574" s="10" t="str">
        <f>IFERROR(VLOOKUP(B1574,'Pre-Summary'!$BG$6:$BL$44,3,FALSE),"")</f>
        <v/>
      </c>
      <c r="AM1574" s="10" t="str">
        <f>IFERROR(VLOOKUP(B1574,'Pre-Summary'!$BG$6:$BL$44,4,FALSE),"")</f>
        <v/>
      </c>
    </row>
    <row r="1575" spans="2:39" ht="15" customHeight="1" x14ac:dyDescent="0.3">
      <c r="B1575">
        <v>157.19999999999999</v>
      </c>
      <c r="C1575" t="str">
        <f>IFERROR(VLOOKUP(B1575,'Pre-Summary'!$DI$6:$DM$23,4,FALSE),"")</f>
        <v/>
      </c>
      <c r="D1575" s="10" t="str">
        <f>IFERROR(VLOOKUP(B1575,'Pre-Summary'!$AT$6:$AX$14,5,FALSE),D1574)</f>
        <v>Wolfe v3: went back to modified wolfe + EDTA and switched CuSO4 to CUCl2</v>
      </c>
      <c r="E1575" s="10" t="str">
        <f>IFERROR(VLOOKUP(B1575,'Pre-Summary'!$AT$6:$AX$15,4,FALSE),"")</f>
        <v/>
      </c>
      <c r="F1575">
        <f>IFERROR(VLOOKUP(B1575,'Pre-Summary'!$AL$6:$AQ$13,6,FALSE),F1574)</f>
        <v>5.9405263157894746E-2</v>
      </c>
      <c r="G1575" t="str">
        <f>IFERROR(VLOOKUP(B1575,'Pre-Summary'!$AE$6:$AJ$85,3,FALSE),"")</f>
        <v/>
      </c>
      <c r="H1575" t="str">
        <f>IFERROR(VLOOKUP(B1575,'Pre-Summary'!$AE$6:$AJ$85,4,FALSE),"")</f>
        <v/>
      </c>
      <c r="I1575" t="str">
        <f>IFERROR(VLOOKUP(B1575,'Pre-Summary'!$AE$6:$AJ$85,5,FALSE),"")</f>
        <v/>
      </c>
      <c r="J1575" s="45" t="str">
        <f>IFERROR(VLOOKUP(B1575,'Pre-Summary'!$AE$6:$AJ$85,6, FALSE),"")</f>
        <v/>
      </c>
      <c r="K1575" s="45" t="str">
        <f>IFERROR(VLOOKUP(B1575,'Pre-Summary'!$DE$6:$DG$61,3,FALSE),"")</f>
        <v/>
      </c>
      <c r="L1575" s="45" t="str">
        <f>IFERROR(VLOOKUP(B1575,'Pre-Summary'!$CU$6:$CW$36,3,FALSE),"")</f>
        <v/>
      </c>
      <c r="M1575" s="45" t="str">
        <f>IFERROR(VLOOKUP(B1575,'Pre-Summary'!$BW$6:$BY$58,2,FALSE),"")</f>
        <v/>
      </c>
      <c r="N1575" s="45" t="str">
        <f>IFERROR(VLOOKUP(B1575,'Pre-Summary'!$CD$6:$CF$64,2,FALSE),"")</f>
        <v/>
      </c>
      <c r="O1575" s="99">
        <f>IFERROR(VLOOKUP(B1575,'Pre-Summary'!$BO$6:$BQ$48,3, FALSE),O1574)</f>
        <v>1</v>
      </c>
      <c r="P1575" s="99">
        <f>IFERROR(VLOOKUP(B1575,'Pre-Summary'!$BS$6:$BU$35,3,FALSE),P1574)</f>
        <v>0.3</v>
      </c>
      <c r="Q1575" s="54">
        <f t="shared" si="72"/>
        <v>3.3333333333333335</v>
      </c>
      <c r="R1575" s="53">
        <f>IFERROR(VLOOKUP(B1575,'Pre-Summary'!$BG$6:$BM$44,7,FALSE),R1576)</f>
        <v>8.4148491316136567E-2</v>
      </c>
      <c r="S1575" s="53">
        <f>IFERROR(VLOOKUP(B1575,'Pre-Summary'!$BG$6:$BM$44,6,FALSE),S1576)</f>
        <v>0.10600540604063093</v>
      </c>
      <c r="T1575" s="45" t="str">
        <f>IFERROR(VLOOKUP(B1575,'Pre-Summary'!$Y$6:$AC$83, 3,FALSE),"")</f>
        <v/>
      </c>
      <c r="U1575" s="45" t="str">
        <f>IFERROR(VLOOKUP(B1575,'Pre-Summary'!$Y$6:$AC$83, 4,FALSE),"")</f>
        <v/>
      </c>
      <c r="V1575" t="str">
        <f>IFERROR(VLOOKUP(B1575,'Pre-Summary'!$Y$6:$AC$83, 5,FALSE),"")</f>
        <v/>
      </c>
      <c r="W1575" s="45" t="str">
        <f>IFERROR(VLOOKUP(B1575,'Pre-Summary'!$Y$6:$AD$83,6,FALSE),"")</f>
        <v/>
      </c>
      <c r="X1575" t="str">
        <f>IFERROR(VLOOKUP('Pre-Summary'!$DB$6:$DD$63,3,FALSE),"")</f>
        <v/>
      </c>
      <c r="Y1575" t="str">
        <f>IFERROR(VLOOKUP(B1575,'Pre-Summary'!$CR$6:$CT$36,3,FALSE),"")</f>
        <v/>
      </c>
      <c r="Z1575" s="45" t="str">
        <f>IFERROR(VLOOKUP(B1575,'Pre-Summary'!$BZ$6:$CB$63,2,FALSE),"")</f>
        <v/>
      </c>
      <c r="AA1575" s="45" t="str">
        <f>IFERROR(VLOOKUP(B1575,'Pre-Summary'!$CG$6:$CI$70,2,FALSE),"")</f>
        <v/>
      </c>
      <c r="AB1575" s="99">
        <f>IFERROR(VLOOKUP(B1575,'Pre-Summary'!$A$6:$P$178,9,FALSE),AB1576)</f>
        <v>0.28821360766925663</v>
      </c>
      <c r="AC1575" s="10">
        <f>IFERROR(VLOOKUP(Summary!B1575,'Pre-Summary'!$A$6:$P$184,5, FALSE)/100,AC1576)</f>
        <v>0.79926699999999995</v>
      </c>
      <c r="AD1575" s="10">
        <f>IFERROR(VLOOKUP(Summary!B1575,'Pre-Summary'!$A$6:$P$184,3, FALSE)/100,AD1576)</f>
        <v>0.18477833333333332</v>
      </c>
      <c r="AE1575" s="10">
        <f>IFERROR(VLOOKUP(Summary!B1575,'Pre-Summary'!$A$6:$P$184,7, FALSE)/100,AE1576)</f>
        <v>1.5954666666666669E-2</v>
      </c>
      <c r="AF1575" s="99">
        <f t="shared" si="73"/>
        <v>5.3255630069112457E-2</v>
      </c>
      <c r="AG1575" s="99">
        <f t="shared" si="74"/>
        <v>4.5983520391604336E-3</v>
      </c>
      <c r="AH1575" s="10" t="str">
        <f>IFERROR(VLOOKUP(B1575,'Pre-Summary'!$AZ$6:$BE$65,3,FALSE),"")</f>
        <v/>
      </c>
      <c r="AI1575" s="10" t="str">
        <f>IFERROR(VLOOKUP(B1575,'Pre-Summary'!$AZ$6:$BE$65,5,FALSE),"")</f>
        <v/>
      </c>
      <c r="AJ1575" s="10" t="str">
        <f>IFERROR(VLOOKUP(B1575,'Pre-Summary'!$AZ$6:$BE$65,4,FALSE),"")</f>
        <v/>
      </c>
      <c r="AK1575" s="10" t="str">
        <f>IFERROR(VLOOKUP(B1575,'Pre-Summary'!$AZ$6:$BE$65,6,FALSE),"")</f>
        <v/>
      </c>
      <c r="AL1575" s="10" t="str">
        <f>IFERROR(VLOOKUP(B1575,'Pre-Summary'!$BG$6:$BL$44,3,FALSE),"")</f>
        <v/>
      </c>
      <c r="AM1575" s="10" t="str">
        <f>IFERROR(VLOOKUP(B1575,'Pre-Summary'!$BG$6:$BL$44,4,FALSE),"")</f>
        <v/>
      </c>
    </row>
    <row r="1576" spans="2:39" ht="15" customHeight="1" x14ac:dyDescent="0.3">
      <c r="B1576">
        <v>157.30000000000001</v>
      </c>
      <c r="C1576" t="str">
        <f>IFERROR(VLOOKUP(B1576,'Pre-Summary'!$DI$6:$DM$23,4,FALSE),"")</f>
        <v/>
      </c>
      <c r="D1576" s="10" t="str">
        <f>IFERROR(VLOOKUP(B1576,'Pre-Summary'!$AT$6:$AX$14,5,FALSE),D1575)</f>
        <v>Wolfe v3: went back to modified wolfe + EDTA and switched CuSO4 to CUCl2</v>
      </c>
      <c r="E1576" s="10" t="str">
        <f>IFERROR(VLOOKUP(B1576,'Pre-Summary'!$AT$6:$AX$15,4,FALSE),"")</f>
        <v/>
      </c>
      <c r="F1576">
        <f>IFERROR(VLOOKUP(B1576,'Pre-Summary'!$AL$6:$AQ$13,6,FALSE),F1575)</f>
        <v>5.9405263157894746E-2</v>
      </c>
      <c r="G1576" t="str">
        <f>IFERROR(VLOOKUP(B1576,'Pre-Summary'!$AE$6:$AJ$85,3,FALSE),"")</f>
        <v/>
      </c>
      <c r="H1576" t="str">
        <f>IFERROR(VLOOKUP(B1576,'Pre-Summary'!$AE$6:$AJ$85,4,FALSE),"")</f>
        <v/>
      </c>
      <c r="I1576" t="str">
        <f>IFERROR(VLOOKUP(B1576,'Pre-Summary'!$AE$6:$AJ$85,5,FALSE),"")</f>
        <v/>
      </c>
      <c r="J1576" s="45" t="str">
        <f>IFERROR(VLOOKUP(B1576,'Pre-Summary'!$AE$6:$AJ$85,6, FALSE),"")</f>
        <v/>
      </c>
      <c r="K1576" s="45" t="str">
        <f>IFERROR(VLOOKUP(B1576,'Pre-Summary'!$DE$6:$DG$61,3,FALSE),"")</f>
        <v/>
      </c>
      <c r="L1576" s="45" t="str">
        <f>IFERROR(VLOOKUP(B1576,'Pre-Summary'!$CU$6:$CW$36,3,FALSE),"")</f>
        <v/>
      </c>
      <c r="M1576" s="45" t="str">
        <f>IFERROR(VLOOKUP(B1576,'Pre-Summary'!$BW$6:$BY$58,2,FALSE),"")</f>
        <v/>
      </c>
      <c r="N1576" s="45" t="str">
        <f>IFERROR(VLOOKUP(B1576,'Pre-Summary'!$CD$6:$CF$64,2,FALSE),"")</f>
        <v/>
      </c>
      <c r="O1576" s="99">
        <f>IFERROR(VLOOKUP(B1576,'Pre-Summary'!$BO$6:$BQ$48,3, FALSE),O1575)</f>
        <v>1</v>
      </c>
      <c r="P1576" s="99">
        <f>IFERROR(VLOOKUP(B1576,'Pre-Summary'!$BS$6:$BU$35,3,FALSE),P1575)</f>
        <v>0.3</v>
      </c>
      <c r="Q1576" s="54">
        <f t="shared" si="72"/>
        <v>3.3333333333333335</v>
      </c>
      <c r="R1576" s="53">
        <f>IFERROR(VLOOKUP(B1576,'Pre-Summary'!$BG$6:$BM$44,7,FALSE),R1577)</f>
        <v>8.4148491316136567E-2</v>
      </c>
      <c r="S1576" s="53">
        <f>IFERROR(VLOOKUP(B1576,'Pre-Summary'!$BG$6:$BM$44,6,FALSE),S1577)</f>
        <v>0.10600540604063093</v>
      </c>
      <c r="T1576" s="45" t="str">
        <f>IFERROR(VLOOKUP(B1576,'Pre-Summary'!$Y$6:$AC$83, 3,FALSE),"")</f>
        <v/>
      </c>
      <c r="U1576" s="45" t="str">
        <f>IFERROR(VLOOKUP(B1576,'Pre-Summary'!$Y$6:$AC$83, 4,FALSE),"")</f>
        <v/>
      </c>
      <c r="V1576" t="str">
        <f>IFERROR(VLOOKUP(B1576,'Pre-Summary'!$Y$6:$AC$83, 5,FALSE),"")</f>
        <v/>
      </c>
      <c r="W1576" s="45" t="str">
        <f>IFERROR(VLOOKUP(B1576,'Pre-Summary'!$Y$6:$AD$83,6,FALSE),"")</f>
        <v/>
      </c>
      <c r="X1576" t="str">
        <f>IFERROR(VLOOKUP('Pre-Summary'!$DB$6:$DD$63,3,FALSE),"")</f>
        <v/>
      </c>
      <c r="Y1576" t="str">
        <f>IFERROR(VLOOKUP(B1576,'Pre-Summary'!$CR$6:$CT$36,3,FALSE),"")</f>
        <v/>
      </c>
      <c r="Z1576" s="45" t="str">
        <f>IFERROR(VLOOKUP(B1576,'Pre-Summary'!$BZ$6:$CB$63,2,FALSE),"")</f>
        <v/>
      </c>
      <c r="AA1576" s="45" t="str">
        <f>IFERROR(VLOOKUP(B1576,'Pre-Summary'!$CG$6:$CI$70,2,FALSE),"")</f>
        <v/>
      </c>
      <c r="AB1576" s="99">
        <f>IFERROR(VLOOKUP(B1576,'Pre-Summary'!$A$6:$P$178,9,FALSE),AB1577)</f>
        <v>0.28821360766925663</v>
      </c>
      <c r="AC1576" s="10">
        <f>IFERROR(VLOOKUP(Summary!B1576,'Pre-Summary'!$A$6:$P$184,5, FALSE)/100,AC1577)</f>
        <v>0.79926699999999995</v>
      </c>
      <c r="AD1576" s="10">
        <f>IFERROR(VLOOKUP(Summary!B1576,'Pre-Summary'!$A$6:$P$184,3, FALSE)/100,AD1577)</f>
        <v>0.18477833333333332</v>
      </c>
      <c r="AE1576" s="10">
        <f>IFERROR(VLOOKUP(Summary!B1576,'Pre-Summary'!$A$6:$P$184,7, FALSE)/100,AE1577)</f>
        <v>1.5954666666666669E-2</v>
      </c>
      <c r="AF1576" s="99">
        <f t="shared" si="73"/>
        <v>5.3255630069112457E-2</v>
      </c>
      <c r="AG1576" s="99">
        <f t="shared" si="74"/>
        <v>4.5983520391604336E-3</v>
      </c>
      <c r="AH1576" s="10" t="str">
        <f>IFERROR(VLOOKUP(B1576,'Pre-Summary'!$AZ$6:$BE$65,3,FALSE),"")</f>
        <v/>
      </c>
      <c r="AI1576" s="10" t="str">
        <f>IFERROR(VLOOKUP(B1576,'Pre-Summary'!$AZ$6:$BE$65,5,FALSE),"")</f>
        <v/>
      </c>
      <c r="AJ1576" s="10" t="str">
        <f>IFERROR(VLOOKUP(B1576,'Pre-Summary'!$AZ$6:$BE$65,4,FALSE),"")</f>
        <v/>
      </c>
      <c r="AK1576" s="10" t="str">
        <f>IFERROR(VLOOKUP(B1576,'Pre-Summary'!$AZ$6:$BE$65,6,FALSE),"")</f>
        <v/>
      </c>
      <c r="AL1576" s="10" t="str">
        <f>IFERROR(VLOOKUP(B1576,'Pre-Summary'!$BG$6:$BL$44,3,FALSE),"")</f>
        <v/>
      </c>
      <c r="AM1576" s="10" t="str">
        <f>IFERROR(VLOOKUP(B1576,'Pre-Summary'!$BG$6:$BL$44,4,FALSE),"")</f>
        <v/>
      </c>
    </row>
    <row r="1577" spans="2:39" ht="15" customHeight="1" x14ac:dyDescent="0.3">
      <c r="B1577">
        <v>157.4</v>
      </c>
      <c r="C1577" t="str">
        <f>IFERROR(VLOOKUP(B1577,'Pre-Summary'!$DI$6:$DM$23,4,FALSE),"")</f>
        <v/>
      </c>
      <c r="D1577" s="10" t="str">
        <f>IFERROR(VLOOKUP(B1577,'Pre-Summary'!$AT$6:$AX$14,5,FALSE),D1576)</f>
        <v>Wolfe v3: went back to modified wolfe + EDTA and switched CuSO4 to CUCl2</v>
      </c>
      <c r="E1577" s="10" t="str">
        <f>IFERROR(VLOOKUP(B1577,'Pre-Summary'!$AT$6:$AX$15,4,FALSE),"")</f>
        <v/>
      </c>
      <c r="F1577">
        <f>IFERROR(VLOOKUP(B1577,'Pre-Summary'!$AL$6:$AQ$13,6,FALSE),F1576)</f>
        <v>5.9405263157894746E-2</v>
      </c>
      <c r="G1577" t="str">
        <f>IFERROR(VLOOKUP(B1577,'Pre-Summary'!$AE$6:$AJ$85,3,FALSE),"")</f>
        <v/>
      </c>
      <c r="H1577" t="str">
        <f>IFERROR(VLOOKUP(B1577,'Pre-Summary'!$AE$6:$AJ$85,4,FALSE),"")</f>
        <v/>
      </c>
      <c r="I1577" t="str">
        <f>IFERROR(VLOOKUP(B1577,'Pre-Summary'!$AE$6:$AJ$85,5,FALSE),"")</f>
        <v/>
      </c>
      <c r="J1577" s="45" t="str">
        <f>IFERROR(VLOOKUP(B1577,'Pre-Summary'!$AE$6:$AJ$85,6, FALSE),"")</f>
        <v/>
      </c>
      <c r="K1577" s="45" t="str">
        <f>IFERROR(VLOOKUP(B1577,'Pre-Summary'!$DE$6:$DG$61,3,FALSE),"")</f>
        <v/>
      </c>
      <c r="L1577" s="45" t="str">
        <f>IFERROR(VLOOKUP(B1577,'Pre-Summary'!$CU$6:$CW$36,3,FALSE),"")</f>
        <v/>
      </c>
      <c r="M1577" s="45" t="str">
        <f>IFERROR(VLOOKUP(B1577,'Pre-Summary'!$BW$6:$BY$58,2,FALSE),"")</f>
        <v/>
      </c>
      <c r="N1577" s="45" t="str">
        <f>IFERROR(VLOOKUP(B1577,'Pre-Summary'!$CD$6:$CF$64,2,FALSE),"")</f>
        <v/>
      </c>
      <c r="O1577" s="99">
        <f>IFERROR(VLOOKUP(B1577,'Pre-Summary'!$BO$6:$BQ$48,3, FALSE),O1576)</f>
        <v>1</v>
      </c>
      <c r="P1577" s="99">
        <f>IFERROR(VLOOKUP(B1577,'Pre-Summary'!$BS$6:$BU$35,3,FALSE),P1576)</f>
        <v>0.3</v>
      </c>
      <c r="Q1577" s="54">
        <f t="shared" si="72"/>
        <v>3.3333333333333335</v>
      </c>
      <c r="R1577" s="53">
        <f>IFERROR(VLOOKUP(B1577,'Pre-Summary'!$BG$6:$BM$44,7,FALSE),R1578)</f>
        <v>8.4148491316136567E-2</v>
      </c>
      <c r="S1577" s="53">
        <f>IFERROR(VLOOKUP(B1577,'Pre-Summary'!$BG$6:$BM$44,6,FALSE),S1578)</f>
        <v>0.10600540604063093</v>
      </c>
      <c r="T1577" s="45" t="str">
        <f>IFERROR(VLOOKUP(B1577,'Pre-Summary'!$Y$6:$AC$83, 3,FALSE),"")</f>
        <v/>
      </c>
      <c r="U1577" s="45" t="str">
        <f>IFERROR(VLOOKUP(B1577,'Pre-Summary'!$Y$6:$AC$83, 4,FALSE),"")</f>
        <v/>
      </c>
      <c r="V1577" t="str">
        <f>IFERROR(VLOOKUP(B1577,'Pre-Summary'!$Y$6:$AC$83, 5,FALSE),"")</f>
        <v/>
      </c>
      <c r="W1577" s="45" t="str">
        <f>IFERROR(VLOOKUP(B1577,'Pre-Summary'!$Y$6:$AD$83,6,FALSE),"")</f>
        <v/>
      </c>
      <c r="X1577" t="str">
        <f>IFERROR(VLOOKUP('Pre-Summary'!$DB$6:$DD$63,3,FALSE),"")</f>
        <v/>
      </c>
      <c r="Y1577" t="str">
        <f>IFERROR(VLOOKUP(B1577,'Pre-Summary'!$CR$6:$CT$36,3,FALSE),"")</f>
        <v/>
      </c>
      <c r="Z1577" s="45" t="str">
        <f>IFERROR(VLOOKUP(B1577,'Pre-Summary'!$BZ$6:$CB$63,2,FALSE),"")</f>
        <v/>
      </c>
      <c r="AA1577" s="45" t="str">
        <f>IFERROR(VLOOKUP(B1577,'Pre-Summary'!$CG$6:$CI$70,2,FALSE),"")</f>
        <v/>
      </c>
      <c r="AB1577" s="99">
        <f>IFERROR(VLOOKUP(B1577,'Pre-Summary'!$A$6:$P$178,9,FALSE),AB1578)</f>
        <v>0.28821360766925663</v>
      </c>
      <c r="AC1577" s="10">
        <f>IFERROR(VLOOKUP(Summary!B1577,'Pre-Summary'!$A$6:$P$184,5, FALSE)/100,AC1578)</f>
        <v>0.79926699999999995</v>
      </c>
      <c r="AD1577" s="10">
        <f>IFERROR(VLOOKUP(Summary!B1577,'Pre-Summary'!$A$6:$P$184,3, FALSE)/100,AD1578)</f>
        <v>0.18477833333333332</v>
      </c>
      <c r="AE1577" s="10">
        <f>IFERROR(VLOOKUP(Summary!B1577,'Pre-Summary'!$A$6:$P$184,7, FALSE)/100,AE1578)</f>
        <v>1.5954666666666669E-2</v>
      </c>
      <c r="AF1577" s="99">
        <f t="shared" si="73"/>
        <v>5.3255630069112457E-2</v>
      </c>
      <c r="AG1577" s="99">
        <f t="shared" si="74"/>
        <v>4.5983520391604336E-3</v>
      </c>
      <c r="AH1577" s="10" t="str">
        <f>IFERROR(VLOOKUP(B1577,'Pre-Summary'!$AZ$6:$BE$65,3,FALSE),"")</f>
        <v/>
      </c>
      <c r="AI1577" s="10" t="str">
        <f>IFERROR(VLOOKUP(B1577,'Pre-Summary'!$AZ$6:$BE$65,5,FALSE),"")</f>
        <v/>
      </c>
      <c r="AJ1577" s="10" t="str">
        <f>IFERROR(VLOOKUP(B1577,'Pre-Summary'!$AZ$6:$BE$65,4,FALSE),"")</f>
        <v/>
      </c>
      <c r="AK1577" s="10" t="str">
        <f>IFERROR(VLOOKUP(B1577,'Pre-Summary'!$AZ$6:$BE$65,6,FALSE),"")</f>
        <v/>
      </c>
      <c r="AL1577" s="10" t="str">
        <f>IFERROR(VLOOKUP(B1577,'Pre-Summary'!$BG$6:$BL$44,3,FALSE),"")</f>
        <v/>
      </c>
      <c r="AM1577" s="10" t="str">
        <f>IFERROR(VLOOKUP(B1577,'Pre-Summary'!$BG$6:$BL$44,4,FALSE),"")</f>
        <v/>
      </c>
    </row>
    <row r="1578" spans="2:39" ht="15" customHeight="1" x14ac:dyDescent="0.3">
      <c r="B1578">
        <v>157.5</v>
      </c>
      <c r="C1578" t="str">
        <f>IFERROR(VLOOKUP(B1578,'Pre-Summary'!$DI$6:$DM$23,4,FALSE),"")</f>
        <v/>
      </c>
      <c r="D1578" s="10" t="str">
        <f>IFERROR(VLOOKUP(B1578,'Pre-Summary'!$AT$6:$AX$14,5,FALSE),D1577)</f>
        <v>Wolfe v3: went back to modified wolfe + EDTA and switched CuSO4 to CUCl2</v>
      </c>
      <c r="E1578" s="10" t="str">
        <f>IFERROR(VLOOKUP(B1578,'Pre-Summary'!$AT$6:$AX$15,4,FALSE),"")</f>
        <v/>
      </c>
      <c r="F1578">
        <f>IFERROR(VLOOKUP(B1578,'Pre-Summary'!$AL$6:$AQ$13,6,FALSE),F1577)</f>
        <v>5.9405263157894746E-2</v>
      </c>
      <c r="G1578" t="str">
        <f>IFERROR(VLOOKUP(B1578,'Pre-Summary'!$AE$6:$AJ$85,3,FALSE),"")</f>
        <v/>
      </c>
      <c r="H1578" t="str">
        <f>IFERROR(VLOOKUP(B1578,'Pre-Summary'!$AE$6:$AJ$85,4,FALSE),"")</f>
        <v/>
      </c>
      <c r="I1578" t="str">
        <f>IFERROR(VLOOKUP(B1578,'Pre-Summary'!$AE$6:$AJ$85,5,FALSE),"")</f>
        <v/>
      </c>
      <c r="J1578" s="45" t="str">
        <f>IFERROR(VLOOKUP(B1578,'Pre-Summary'!$AE$6:$AJ$85,6, FALSE),"")</f>
        <v/>
      </c>
      <c r="K1578" s="45" t="str">
        <f>IFERROR(VLOOKUP(B1578,'Pre-Summary'!$DE$6:$DG$61,3,FALSE),"")</f>
        <v/>
      </c>
      <c r="L1578" s="45" t="str">
        <f>IFERROR(VLOOKUP(B1578,'Pre-Summary'!$CU$6:$CW$36,3,FALSE),"")</f>
        <v/>
      </c>
      <c r="M1578" s="45" t="str">
        <f>IFERROR(VLOOKUP(B1578,'Pre-Summary'!$BW$6:$BY$58,2,FALSE),"")</f>
        <v/>
      </c>
      <c r="N1578" s="45" t="str">
        <f>IFERROR(VLOOKUP(B1578,'Pre-Summary'!$CD$6:$CF$64,2,FALSE),"")</f>
        <v/>
      </c>
      <c r="O1578" s="99">
        <f>IFERROR(VLOOKUP(B1578,'Pre-Summary'!$BO$6:$BQ$48,3, FALSE),O1577)</f>
        <v>1</v>
      </c>
      <c r="P1578" s="99">
        <f>IFERROR(VLOOKUP(B1578,'Pre-Summary'!$BS$6:$BU$35,3,FALSE),P1577)</f>
        <v>0.3</v>
      </c>
      <c r="Q1578" s="54">
        <f t="shared" si="72"/>
        <v>3.3333333333333335</v>
      </c>
      <c r="R1578" s="53">
        <f>IFERROR(VLOOKUP(B1578,'Pre-Summary'!$BG$6:$BM$44,7,FALSE),R1579)</f>
        <v>8.4148491316136567E-2</v>
      </c>
      <c r="S1578" s="53">
        <f>IFERROR(VLOOKUP(B1578,'Pre-Summary'!$BG$6:$BM$44,6,FALSE),S1579)</f>
        <v>0.10600540604063093</v>
      </c>
      <c r="T1578" s="45" t="str">
        <f>IFERROR(VLOOKUP(B1578,'Pre-Summary'!$Y$6:$AC$83, 3,FALSE),"")</f>
        <v/>
      </c>
      <c r="U1578" s="45" t="str">
        <f>IFERROR(VLOOKUP(B1578,'Pre-Summary'!$Y$6:$AC$83, 4,FALSE),"")</f>
        <v/>
      </c>
      <c r="V1578" t="str">
        <f>IFERROR(VLOOKUP(B1578,'Pre-Summary'!$Y$6:$AC$83, 5,FALSE),"")</f>
        <v/>
      </c>
      <c r="W1578" s="45" t="str">
        <f>IFERROR(VLOOKUP(B1578,'Pre-Summary'!$Y$6:$AD$83,6,FALSE),"")</f>
        <v/>
      </c>
      <c r="X1578" t="str">
        <f>IFERROR(VLOOKUP('Pre-Summary'!$DB$6:$DD$63,3,FALSE),"")</f>
        <v/>
      </c>
      <c r="Y1578" t="str">
        <f>IFERROR(VLOOKUP(B1578,'Pre-Summary'!$CR$6:$CT$36,3,FALSE),"")</f>
        <v/>
      </c>
      <c r="Z1578" s="45" t="str">
        <f>IFERROR(VLOOKUP(B1578,'Pre-Summary'!$BZ$6:$CB$63,2,FALSE),"")</f>
        <v/>
      </c>
      <c r="AA1578" s="45" t="str">
        <f>IFERROR(VLOOKUP(B1578,'Pre-Summary'!$CG$6:$CI$70,2,FALSE),"")</f>
        <v/>
      </c>
      <c r="AB1578" s="99">
        <f>IFERROR(VLOOKUP(B1578,'Pre-Summary'!$A$6:$P$178,9,FALSE),AB1579)</f>
        <v>0.28821360766925663</v>
      </c>
      <c r="AC1578" s="10">
        <f>IFERROR(VLOOKUP(Summary!B1578,'Pre-Summary'!$A$6:$P$184,5, FALSE)/100,AC1579)</f>
        <v>0.79926699999999995</v>
      </c>
      <c r="AD1578" s="10">
        <f>IFERROR(VLOOKUP(Summary!B1578,'Pre-Summary'!$A$6:$P$184,3, FALSE)/100,AD1579)</f>
        <v>0.18477833333333332</v>
      </c>
      <c r="AE1578" s="10">
        <f>IFERROR(VLOOKUP(Summary!B1578,'Pre-Summary'!$A$6:$P$184,7, FALSE)/100,AE1579)</f>
        <v>1.5954666666666669E-2</v>
      </c>
      <c r="AF1578" s="99">
        <f t="shared" si="73"/>
        <v>5.3255630069112457E-2</v>
      </c>
      <c r="AG1578" s="99">
        <f t="shared" si="74"/>
        <v>4.5983520391604336E-3</v>
      </c>
      <c r="AH1578" s="10" t="str">
        <f>IFERROR(VLOOKUP(B1578,'Pre-Summary'!$AZ$6:$BE$65,3,FALSE),"")</f>
        <v/>
      </c>
      <c r="AI1578" s="10" t="str">
        <f>IFERROR(VLOOKUP(B1578,'Pre-Summary'!$AZ$6:$BE$65,5,FALSE),"")</f>
        <v/>
      </c>
      <c r="AJ1578" s="10" t="str">
        <f>IFERROR(VLOOKUP(B1578,'Pre-Summary'!$AZ$6:$BE$65,4,FALSE),"")</f>
        <v/>
      </c>
      <c r="AK1578" s="10" t="str">
        <f>IFERROR(VLOOKUP(B1578,'Pre-Summary'!$AZ$6:$BE$65,6,FALSE),"")</f>
        <v/>
      </c>
      <c r="AL1578" s="10" t="str">
        <f>IFERROR(VLOOKUP(B1578,'Pre-Summary'!$BG$6:$BL$44,3,FALSE),"")</f>
        <v/>
      </c>
      <c r="AM1578" s="10" t="str">
        <f>IFERROR(VLOOKUP(B1578,'Pre-Summary'!$BG$6:$BL$44,4,FALSE),"")</f>
        <v/>
      </c>
    </row>
    <row r="1579" spans="2:39" ht="15" customHeight="1" x14ac:dyDescent="0.3">
      <c r="B1579">
        <v>157.6</v>
      </c>
      <c r="C1579" t="str">
        <f>IFERROR(VLOOKUP(B1579,'Pre-Summary'!$DI$6:$DM$23,4,FALSE),"")</f>
        <v/>
      </c>
      <c r="D1579" s="10" t="str">
        <f>IFERROR(VLOOKUP(B1579,'Pre-Summary'!$AT$6:$AX$14,5,FALSE),D1578)</f>
        <v>Wolfe v3: went back to modified wolfe + EDTA and switched CuSO4 to CUCl2</v>
      </c>
      <c r="E1579" s="10" t="str">
        <f>IFERROR(VLOOKUP(B1579,'Pre-Summary'!$AT$6:$AX$15,4,FALSE),"")</f>
        <v/>
      </c>
      <c r="F1579">
        <f>IFERROR(VLOOKUP(B1579,'Pre-Summary'!$AL$6:$AQ$13,6,FALSE),F1578)</f>
        <v>5.9405263157894746E-2</v>
      </c>
      <c r="G1579" t="str">
        <f>IFERROR(VLOOKUP(B1579,'Pre-Summary'!$AE$6:$AJ$85,3,FALSE),"")</f>
        <v/>
      </c>
      <c r="H1579" t="str">
        <f>IFERROR(VLOOKUP(B1579,'Pre-Summary'!$AE$6:$AJ$85,4,FALSE),"")</f>
        <v/>
      </c>
      <c r="I1579" t="str">
        <f>IFERROR(VLOOKUP(B1579,'Pre-Summary'!$AE$6:$AJ$85,5,FALSE),"")</f>
        <v/>
      </c>
      <c r="J1579" s="45" t="str">
        <f>IFERROR(VLOOKUP(B1579,'Pre-Summary'!$AE$6:$AJ$85,6, FALSE),"")</f>
        <v/>
      </c>
      <c r="K1579" s="45" t="str">
        <f>IFERROR(VLOOKUP(B1579,'Pre-Summary'!$DE$6:$DG$61,3,FALSE),"")</f>
        <v/>
      </c>
      <c r="L1579" s="45" t="str">
        <f>IFERROR(VLOOKUP(B1579,'Pre-Summary'!$CU$6:$CW$36,3,FALSE),"")</f>
        <v/>
      </c>
      <c r="M1579" s="45" t="str">
        <f>IFERROR(VLOOKUP(B1579,'Pre-Summary'!$BW$6:$BY$58,2,FALSE),"")</f>
        <v/>
      </c>
      <c r="N1579" s="45" t="str">
        <f>IFERROR(VLOOKUP(B1579,'Pre-Summary'!$CD$6:$CF$64,2,FALSE),"")</f>
        <v/>
      </c>
      <c r="O1579" s="99">
        <f>IFERROR(VLOOKUP(B1579,'Pre-Summary'!$BO$6:$BQ$48,3, FALSE),O1578)</f>
        <v>1</v>
      </c>
      <c r="P1579" s="99">
        <f>IFERROR(VLOOKUP(B1579,'Pre-Summary'!$BS$6:$BU$35,3,FALSE),P1578)</f>
        <v>0.3</v>
      </c>
      <c r="Q1579" s="54">
        <f t="shared" si="72"/>
        <v>3.3333333333333335</v>
      </c>
      <c r="R1579" s="53">
        <f>IFERROR(VLOOKUP(B1579,'Pre-Summary'!$BG$6:$BM$44,7,FALSE),R1580)</f>
        <v>8.4148491316136567E-2</v>
      </c>
      <c r="S1579" s="53">
        <f>IFERROR(VLOOKUP(B1579,'Pre-Summary'!$BG$6:$BM$44,6,FALSE),S1580)</f>
        <v>0.10600540604063093</v>
      </c>
      <c r="T1579" s="45" t="str">
        <f>IFERROR(VLOOKUP(B1579,'Pre-Summary'!$Y$6:$AC$83, 3,FALSE),"")</f>
        <v/>
      </c>
      <c r="U1579" s="45" t="str">
        <f>IFERROR(VLOOKUP(B1579,'Pre-Summary'!$Y$6:$AC$83, 4,FALSE),"")</f>
        <v/>
      </c>
      <c r="V1579" t="str">
        <f>IFERROR(VLOOKUP(B1579,'Pre-Summary'!$Y$6:$AC$83, 5,FALSE),"")</f>
        <v/>
      </c>
      <c r="W1579" s="45" t="str">
        <f>IFERROR(VLOOKUP(B1579,'Pre-Summary'!$Y$6:$AD$83,6,FALSE),"")</f>
        <v/>
      </c>
      <c r="X1579" t="str">
        <f>IFERROR(VLOOKUP('Pre-Summary'!$DB$6:$DD$63,3,FALSE),"")</f>
        <v/>
      </c>
      <c r="Y1579" t="str">
        <f>IFERROR(VLOOKUP(B1579,'Pre-Summary'!$CR$6:$CT$36,3,FALSE),"")</f>
        <v/>
      </c>
      <c r="Z1579" s="45" t="str">
        <f>IFERROR(VLOOKUP(B1579,'Pre-Summary'!$BZ$6:$CB$63,2,FALSE),"")</f>
        <v/>
      </c>
      <c r="AA1579" s="45" t="str">
        <f>IFERROR(VLOOKUP(B1579,'Pre-Summary'!$CG$6:$CI$70,2,FALSE),"")</f>
        <v/>
      </c>
      <c r="AB1579" s="99">
        <f>IFERROR(VLOOKUP(B1579,'Pre-Summary'!$A$6:$P$178,9,FALSE),AB1580)</f>
        <v>0.28821360766925663</v>
      </c>
      <c r="AC1579" s="10">
        <f>IFERROR(VLOOKUP(Summary!B1579,'Pre-Summary'!$A$6:$P$184,5, FALSE)/100,AC1580)</f>
        <v>0.79926699999999995</v>
      </c>
      <c r="AD1579" s="10">
        <f>IFERROR(VLOOKUP(Summary!B1579,'Pre-Summary'!$A$6:$P$184,3, FALSE)/100,AD1580)</f>
        <v>0.18477833333333332</v>
      </c>
      <c r="AE1579" s="10">
        <f>IFERROR(VLOOKUP(Summary!B1579,'Pre-Summary'!$A$6:$P$184,7, FALSE)/100,AE1580)</f>
        <v>1.5954666666666669E-2</v>
      </c>
      <c r="AF1579" s="99">
        <f t="shared" si="73"/>
        <v>5.3255630069112457E-2</v>
      </c>
      <c r="AG1579" s="99">
        <f t="shared" si="74"/>
        <v>4.5983520391604336E-3</v>
      </c>
      <c r="AH1579" s="10" t="str">
        <f>IFERROR(VLOOKUP(B1579,'Pre-Summary'!$AZ$6:$BE$65,3,FALSE),"")</f>
        <v/>
      </c>
      <c r="AI1579" s="10" t="str">
        <f>IFERROR(VLOOKUP(B1579,'Pre-Summary'!$AZ$6:$BE$65,5,FALSE),"")</f>
        <v/>
      </c>
      <c r="AJ1579" s="10" t="str">
        <f>IFERROR(VLOOKUP(B1579,'Pre-Summary'!$AZ$6:$BE$65,4,FALSE),"")</f>
        <v/>
      </c>
      <c r="AK1579" s="10" t="str">
        <f>IFERROR(VLOOKUP(B1579,'Pre-Summary'!$AZ$6:$BE$65,6,FALSE),"")</f>
        <v/>
      </c>
      <c r="AL1579" s="10" t="str">
        <f>IFERROR(VLOOKUP(B1579,'Pre-Summary'!$BG$6:$BL$44,3,FALSE),"")</f>
        <v/>
      </c>
      <c r="AM1579" s="10" t="str">
        <f>IFERROR(VLOOKUP(B1579,'Pre-Summary'!$BG$6:$BL$44,4,FALSE),"")</f>
        <v/>
      </c>
    </row>
    <row r="1580" spans="2:39" ht="15" customHeight="1" x14ac:dyDescent="0.3">
      <c r="B1580">
        <v>157.69999999999999</v>
      </c>
      <c r="C1580" t="str">
        <f>IFERROR(VLOOKUP(B1580,'Pre-Summary'!$DI$6:$DM$23,4,FALSE),"")</f>
        <v/>
      </c>
      <c r="D1580" s="10" t="str">
        <f>IFERROR(VLOOKUP(B1580,'Pre-Summary'!$AT$6:$AX$14,5,FALSE),D1579)</f>
        <v>Wolfe v3: went back to modified wolfe + EDTA and switched CuSO4 to CUCl2</v>
      </c>
      <c r="E1580" s="10" t="str">
        <f>IFERROR(VLOOKUP(B1580,'Pre-Summary'!$AT$6:$AX$15,4,FALSE),"")</f>
        <v/>
      </c>
      <c r="F1580">
        <f>IFERROR(VLOOKUP(B1580,'Pre-Summary'!$AL$6:$AQ$13,6,FALSE),F1579)</f>
        <v>5.9405263157894746E-2</v>
      </c>
      <c r="G1580" t="str">
        <f>IFERROR(VLOOKUP(B1580,'Pre-Summary'!$AE$6:$AJ$85,3,FALSE),"")</f>
        <v/>
      </c>
      <c r="H1580" t="str">
        <f>IFERROR(VLOOKUP(B1580,'Pre-Summary'!$AE$6:$AJ$85,4,FALSE),"")</f>
        <v/>
      </c>
      <c r="I1580" t="str">
        <f>IFERROR(VLOOKUP(B1580,'Pre-Summary'!$AE$6:$AJ$85,5,FALSE),"")</f>
        <v/>
      </c>
      <c r="J1580" s="45" t="str">
        <f>IFERROR(VLOOKUP(B1580,'Pre-Summary'!$AE$6:$AJ$85,6, FALSE),"")</f>
        <v/>
      </c>
      <c r="K1580" s="45" t="str">
        <f>IFERROR(VLOOKUP(B1580,'Pre-Summary'!$DE$6:$DG$61,3,FALSE),"")</f>
        <v/>
      </c>
      <c r="L1580" s="45" t="str">
        <f>IFERROR(VLOOKUP(B1580,'Pre-Summary'!$CU$6:$CW$36,3,FALSE),"")</f>
        <v/>
      </c>
      <c r="M1580" s="45" t="str">
        <f>IFERROR(VLOOKUP(B1580,'Pre-Summary'!$BW$6:$BY$58,2,FALSE),"")</f>
        <v/>
      </c>
      <c r="N1580" s="45" t="str">
        <f>IFERROR(VLOOKUP(B1580,'Pre-Summary'!$CD$6:$CF$64,2,FALSE),"")</f>
        <v/>
      </c>
      <c r="O1580" s="99">
        <f>IFERROR(VLOOKUP(B1580,'Pre-Summary'!$BO$6:$BQ$48,3, FALSE),O1579)</f>
        <v>1</v>
      </c>
      <c r="P1580" s="99">
        <f>IFERROR(VLOOKUP(B1580,'Pre-Summary'!$BS$6:$BU$35,3,FALSE),P1579)</f>
        <v>0.3</v>
      </c>
      <c r="Q1580" s="54">
        <f t="shared" si="72"/>
        <v>3.3333333333333335</v>
      </c>
      <c r="R1580" s="53">
        <f>IFERROR(VLOOKUP(B1580,'Pre-Summary'!$BG$6:$BM$44,7,FALSE),R1581)</f>
        <v>8.4148491316136567E-2</v>
      </c>
      <c r="S1580" s="53">
        <f>IFERROR(VLOOKUP(B1580,'Pre-Summary'!$BG$6:$BM$44,6,FALSE),S1581)</f>
        <v>0.10600540604063093</v>
      </c>
      <c r="T1580" s="45" t="str">
        <f>IFERROR(VLOOKUP(B1580,'Pre-Summary'!$Y$6:$AC$83, 3,FALSE),"")</f>
        <v/>
      </c>
      <c r="U1580" s="45" t="str">
        <f>IFERROR(VLOOKUP(B1580,'Pre-Summary'!$Y$6:$AC$83, 4,FALSE),"")</f>
        <v/>
      </c>
      <c r="V1580" t="str">
        <f>IFERROR(VLOOKUP(B1580,'Pre-Summary'!$Y$6:$AC$83, 5,FALSE),"")</f>
        <v/>
      </c>
      <c r="W1580" s="45" t="str">
        <f>IFERROR(VLOOKUP(B1580,'Pre-Summary'!$Y$6:$AD$83,6,FALSE),"")</f>
        <v/>
      </c>
      <c r="X1580" t="str">
        <f>IFERROR(VLOOKUP('Pre-Summary'!$DB$6:$DD$63,3,FALSE),"")</f>
        <v/>
      </c>
      <c r="Y1580" t="str">
        <f>IFERROR(VLOOKUP(B1580,'Pre-Summary'!$CR$6:$CT$36,3,FALSE),"")</f>
        <v/>
      </c>
      <c r="Z1580" s="45" t="str">
        <f>IFERROR(VLOOKUP(B1580,'Pre-Summary'!$BZ$6:$CB$63,2,FALSE),"")</f>
        <v/>
      </c>
      <c r="AA1580" s="45" t="str">
        <f>IFERROR(VLOOKUP(B1580,'Pre-Summary'!$CG$6:$CI$70,2,FALSE),"")</f>
        <v/>
      </c>
      <c r="AB1580" s="99">
        <f>IFERROR(VLOOKUP(B1580,'Pre-Summary'!$A$6:$P$178,9,FALSE),AB1581)</f>
        <v>0.28821360766925663</v>
      </c>
      <c r="AC1580" s="10">
        <f>IFERROR(VLOOKUP(Summary!B1580,'Pre-Summary'!$A$6:$P$184,5, FALSE)/100,AC1581)</f>
        <v>0.79926699999999995</v>
      </c>
      <c r="AD1580" s="10">
        <f>IFERROR(VLOOKUP(Summary!B1580,'Pre-Summary'!$A$6:$P$184,3, FALSE)/100,AD1581)</f>
        <v>0.18477833333333332</v>
      </c>
      <c r="AE1580" s="10">
        <f>IFERROR(VLOOKUP(Summary!B1580,'Pre-Summary'!$A$6:$P$184,7, FALSE)/100,AE1581)</f>
        <v>1.5954666666666669E-2</v>
      </c>
      <c r="AF1580" s="99">
        <f t="shared" si="73"/>
        <v>5.3255630069112457E-2</v>
      </c>
      <c r="AG1580" s="99">
        <f t="shared" si="74"/>
        <v>4.5983520391604336E-3</v>
      </c>
      <c r="AH1580" s="10" t="str">
        <f>IFERROR(VLOOKUP(B1580,'Pre-Summary'!$AZ$6:$BE$65,3,FALSE),"")</f>
        <v/>
      </c>
      <c r="AI1580" s="10" t="str">
        <f>IFERROR(VLOOKUP(B1580,'Pre-Summary'!$AZ$6:$BE$65,5,FALSE),"")</f>
        <v/>
      </c>
      <c r="AJ1580" s="10" t="str">
        <f>IFERROR(VLOOKUP(B1580,'Pre-Summary'!$AZ$6:$BE$65,4,FALSE),"")</f>
        <v/>
      </c>
      <c r="AK1580" s="10" t="str">
        <f>IFERROR(VLOOKUP(B1580,'Pre-Summary'!$AZ$6:$BE$65,6,FALSE),"")</f>
        <v/>
      </c>
      <c r="AL1580" s="10" t="str">
        <f>IFERROR(VLOOKUP(B1580,'Pre-Summary'!$BG$6:$BL$44,3,FALSE),"")</f>
        <v/>
      </c>
      <c r="AM1580" s="10" t="str">
        <f>IFERROR(VLOOKUP(B1580,'Pre-Summary'!$BG$6:$BL$44,4,FALSE),"")</f>
        <v/>
      </c>
    </row>
    <row r="1581" spans="2:39" ht="15" customHeight="1" x14ac:dyDescent="0.3">
      <c r="B1581">
        <v>157.80000000000001</v>
      </c>
      <c r="C1581" t="str">
        <f>IFERROR(VLOOKUP(B1581,'Pre-Summary'!$DI$6:$DM$23,4,FALSE),"")</f>
        <v/>
      </c>
      <c r="D1581" s="10" t="str">
        <f>IFERROR(VLOOKUP(B1581,'Pre-Summary'!$AT$6:$AX$14,5,FALSE),D1580)</f>
        <v>Wolfe v3: went back to modified wolfe + EDTA and switched CuSO4 to CUCl2</v>
      </c>
      <c r="E1581" s="10" t="str">
        <f>IFERROR(VLOOKUP(B1581,'Pre-Summary'!$AT$6:$AX$15,4,FALSE),"")</f>
        <v/>
      </c>
      <c r="F1581">
        <f>IFERROR(VLOOKUP(B1581,'Pre-Summary'!$AL$6:$AQ$13,6,FALSE),F1580)</f>
        <v>5.9405263157894746E-2</v>
      </c>
      <c r="G1581" t="str">
        <f>IFERROR(VLOOKUP(B1581,'Pre-Summary'!$AE$6:$AJ$85,3,FALSE),"")</f>
        <v/>
      </c>
      <c r="H1581" t="str">
        <f>IFERROR(VLOOKUP(B1581,'Pre-Summary'!$AE$6:$AJ$85,4,FALSE),"")</f>
        <v/>
      </c>
      <c r="I1581" t="str">
        <f>IFERROR(VLOOKUP(B1581,'Pre-Summary'!$AE$6:$AJ$85,5,FALSE),"")</f>
        <v/>
      </c>
      <c r="J1581" s="45" t="str">
        <f>IFERROR(VLOOKUP(B1581,'Pre-Summary'!$AE$6:$AJ$85,6, FALSE),"")</f>
        <v/>
      </c>
      <c r="K1581" s="45" t="str">
        <f>IFERROR(VLOOKUP(B1581,'Pre-Summary'!$DE$6:$DG$61,3,FALSE),"")</f>
        <v/>
      </c>
      <c r="L1581" s="45" t="str">
        <f>IFERROR(VLOOKUP(B1581,'Pre-Summary'!$CU$6:$CW$36,3,FALSE),"")</f>
        <v/>
      </c>
      <c r="M1581" s="45" t="str">
        <f>IFERROR(VLOOKUP(B1581,'Pre-Summary'!$BW$6:$BY$58,2,FALSE),"")</f>
        <v/>
      </c>
      <c r="N1581" s="45" t="str">
        <f>IFERROR(VLOOKUP(B1581,'Pre-Summary'!$CD$6:$CF$64,2,FALSE),"")</f>
        <v/>
      </c>
      <c r="O1581" s="99">
        <f>IFERROR(VLOOKUP(B1581,'Pre-Summary'!$BO$6:$BQ$48,3, FALSE),O1580)</f>
        <v>1</v>
      </c>
      <c r="P1581" s="99">
        <f>IFERROR(VLOOKUP(B1581,'Pre-Summary'!$BS$6:$BU$35,3,FALSE),P1580)</f>
        <v>0.3</v>
      </c>
      <c r="Q1581" s="54">
        <f t="shared" si="72"/>
        <v>3.3333333333333335</v>
      </c>
      <c r="R1581" s="53">
        <f>IFERROR(VLOOKUP(B1581,'Pre-Summary'!$BG$6:$BM$44,7,FALSE),R1582)</f>
        <v>8.4148491316136567E-2</v>
      </c>
      <c r="S1581" s="53">
        <f>IFERROR(VLOOKUP(B1581,'Pre-Summary'!$BG$6:$BM$44,6,FALSE),S1582)</f>
        <v>0.10600540604063093</v>
      </c>
      <c r="T1581" s="45" t="str">
        <f>IFERROR(VLOOKUP(B1581,'Pre-Summary'!$Y$6:$AC$83, 3,FALSE),"")</f>
        <v/>
      </c>
      <c r="U1581" s="45" t="str">
        <f>IFERROR(VLOOKUP(B1581,'Pre-Summary'!$Y$6:$AC$83, 4,FALSE),"")</f>
        <v/>
      </c>
      <c r="V1581" t="str">
        <f>IFERROR(VLOOKUP(B1581,'Pre-Summary'!$Y$6:$AC$83, 5,FALSE),"")</f>
        <v/>
      </c>
      <c r="W1581" s="45" t="str">
        <f>IFERROR(VLOOKUP(B1581,'Pre-Summary'!$Y$6:$AD$83,6,FALSE),"")</f>
        <v/>
      </c>
      <c r="X1581" t="str">
        <f>IFERROR(VLOOKUP('Pre-Summary'!$DB$6:$DD$63,3,FALSE),"")</f>
        <v/>
      </c>
      <c r="Y1581" t="str">
        <f>IFERROR(VLOOKUP(B1581,'Pre-Summary'!$CR$6:$CT$36,3,FALSE),"")</f>
        <v/>
      </c>
      <c r="Z1581" s="45" t="str">
        <f>IFERROR(VLOOKUP(B1581,'Pre-Summary'!$BZ$6:$CB$63,2,FALSE),"")</f>
        <v/>
      </c>
      <c r="AA1581" s="45" t="str">
        <f>IFERROR(VLOOKUP(B1581,'Pre-Summary'!$CG$6:$CI$70,2,FALSE),"")</f>
        <v/>
      </c>
      <c r="AB1581" s="99">
        <f>IFERROR(VLOOKUP(B1581,'Pre-Summary'!$A$6:$P$178,9,FALSE),AB1582)</f>
        <v>0.28821360766925663</v>
      </c>
      <c r="AC1581" s="10">
        <f>IFERROR(VLOOKUP(Summary!B1581,'Pre-Summary'!$A$6:$P$184,5, FALSE)/100,AC1582)</f>
        <v>0.79926699999999995</v>
      </c>
      <c r="AD1581" s="10">
        <f>IFERROR(VLOOKUP(Summary!B1581,'Pre-Summary'!$A$6:$P$184,3, FALSE)/100,AD1582)</f>
        <v>0.18477833333333332</v>
      </c>
      <c r="AE1581" s="10">
        <f>IFERROR(VLOOKUP(Summary!B1581,'Pre-Summary'!$A$6:$P$184,7, FALSE)/100,AE1582)</f>
        <v>1.5954666666666669E-2</v>
      </c>
      <c r="AF1581" s="99">
        <f t="shared" si="73"/>
        <v>5.3255630069112457E-2</v>
      </c>
      <c r="AG1581" s="99">
        <f t="shared" si="74"/>
        <v>4.5983520391604336E-3</v>
      </c>
      <c r="AH1581" s="10" t="str">
        <f>IFERROR(VLOOKUP(B1581,'Pre-Summary'!$AZ$6:$BE$65,3,FALSE),"")</f>
        <v/>
      </c>
      <c r="AI1581" s="10" t="str">
        <f>IFERROR(VLOOKUP(B1581,'Pre-Summary'!$AZ$6:$BE$65,5,FALSE),"")</f>
        <v/>
      </c>
      <c r="AJ1581" s="10" t="str">
        <f>IFERROR(VLOOKUP(B1581,'Pre-Summary'!$AZ$6:$BE$65,4,FALSE),"")</f>
        <v/>
      </c>
      <c r="AK1581" s="10" t="str">
        <f>IFERROR(VLOOKUP(B1581,'Pre-Summary'!$AZ$6:$BE$65,6,FALSE),"")</f>
        <v/>
      </c>
      <c r="AL1581" s="10" t="str">
        <f>IFERROR(VLOOKUP(B1581,'Pre-Summary'!$BG$6:$BL$44,3,FALSE),"")</f>
        <v/>
      </c>
      <c r="AM1581" s="10" t="str">
        <f>IFERROR(VLOOKUP(B1581,'Pre-Summary'!$BG$6:$BL$44,4,FALSE),"")</f>
        <v/>
      </c>
    </row>
    <row r="1582" spans="2:39" ht="15" customHeight="1" x14ac:dyDescent="0.3">
      <c r="B1582">
        <v>157.9</v>
      </c>
      <c r="C1582" t="str">
        <f>IFERROR(VLOOKUP(B1582,'Pre-Summary'!$DI$6:$DM$23,4,FALSE),"")</f>
        <v/>
      </c>
      <c r="D1582" s="10" t="str">
        <f>IFERROR(VLOOKUP(B1582,'Pre-Summary'!$AT$6:$AX$14,5,FALSE),D1581)</f>
        <v>Wolfe v3: went back to modified wolfe + EDTA and switched CuSO4 to CUCl2</v>
      </c>
      <c r="E1582" s="10" t="str">
        <f>IFERROR(VLOOKUP(B1582,'Pre-Summary'!$AT$6:$AX$15,4,FALSE),"")</f>
        <v/>
      </c>
      <c r="F1582">
        <f>IFERROR(VLOOKUP(B1582,'Pre-Summary'!$AL$6:$AQ$13,6,FALSE),F1581)</f>
        <v>5.9405263157894746E-2</v>
      </c>
      <c r="G1582" t="str">
        <f>IFERROR(VLOOKUP(B1582,'Pre-Summary'!$AE$6:$AJ$85,3,FALSE),"")</f>
        <v/>
      </c>
      <c r="H1582" t="str">
        <f>IFERROR(VLOOKUP(B1582,'Pre-Summary'!$AE$6:$AJ$85,4,FALSE),"")</f>
        <v/>
      </c>
      <c r="I1582" t="str">
        <f>IFERROR(VLOOKUP(B1582,'Pre-Summary'!$AE$6:$AJ$85,5,FALSE),"")</f>
        <v/>
      </c>
      <c r="J1582" s="45" t="str">
        <f>IFERROR(VLOOKUP(B1582,'Pre-Summary'!$AE$6:$AJ$85,6, FALSE),"")</f>
        <v/>
      </c>
      <c r="K1582" s="45" t="str">
        <f>IFERROR(VLOOKUP(B1582,'Pre-Summary'!$DE$6:$DG$61,3,FALSE),"")</f>
        <v/>
      </c>
      <c r="L1582" s="45" t="str">
        <f>IFERROR(VLOOKUP(B1582,'Pre-Summary'!$CU$6:$CW$36,3,FALSE),"")</f>
        <v/>
      </c>
      <c r="M1582" s="45" t="str">
        <f>IFERROR(VLOOKUP(B1582,'Pre-Summary'!$BW$6:$BY$58,2,FALSE),"")</f>
        <v/>
      </c>
      <c r="N1582" s="45" t="str">
        <f>IFERROR(VLOOKUP(B1582,'Pre-Summary'!$CD$6:$CF$64,2,FALSE),"")</f>
        <v/>
      </c>
      <c r="O1582" s="99">
        <f>IFERROR(VLOOKUP(B1582,'Pre-Summary'!$BO$6:$BQ$48,3, FALSE),O1581)</f>
        <v>1</v>
      </c>
      <c r="P1582" s="99">
        <f>IFERROR(VLOOKUP(B1582,'Pre-Summary'!$BS$6:$BU$35,3,FALSE),P1581)</f>
        <v>0.3</v>
      </c>
      <c r="Q1582" s="54">
        <f t="shared" si="72"/>
        <v>3.3333333333333335</v>
      </c>
      <c r="R1582" s="53">
        <f>IFERROR(VLOOKUP(B1582,'Pre-Summary'!$BG$6:$BM$44,7,FALSE),R1583)</f>
        <v>8.4148491316136567E-2</v>
      </c>
      <c r="S1582" s="53">
        <f>IFERROR(VLOOKUP(B1582,'Pre-Summary'!$BG$6:$BM$44,6,FALSE),S1583)</f>
        <v>0.10600540604063093</v>
      </c>
      <c r="T1582" s="45" t="str">
        <f>IFERROR(VLOOKUP(B1582,'Pre-Summary'!$Y$6:$AC$83, 3,FALSE),"")</f>
        <v/>
      </c>
      <c r="U1582" s="45" t="str">
        <f>IFERROR(VLOOKUP(B1582,'Pre-Summary'!$Y$6:$AC$83, 4,FALSE),"")</f>
        <v/>
      </c>
      <c r="V1582" t="str">
        <f>IFERROR(VLOOKUP(B1582,'Pre-Summary'!$Y$6:$AC$83, 5,FALSE),"")</f>
        <v/>
      </c>
      <c r="W1582" s="45" t="str">
        <f>IFERROR(VLOOKUP(B1582,'Pre-Summary'!$Y$6:$AD$83,6,FALSE),"")</f>
        <v/>
      </c>
      <c r="X1582" t="str">
        <f>IFERROR(VLOOKUP('Pre-Summary'!$DB$6:$DD$63,3,FALSE),"")</f>
        <v/>
      </c>
      <c r="Y1582" t="str">
        <f>IFERROR(VLOOKUP(B1582,'Pre-Summary'!$CR$6:$CT$36,3,FALSE),"")</f>
        <v/>
      </c>
      <c r="Z1582" s="45" t="str">
        <f>IFERROR(VLOOKUP(B1582,'Pre-Summary'!$BZ$6:$CB$63,2,FALSE),"")</f>
        <v/>
      </c>
      <c r="AA1582" s="45" t="str">
        <f>IFERROR(VLOOKUP(B1582,'Pre-Summary'!$CG$6:$CI$70,2,FALSE),"")</f>
        <v/>
      </c>
      <c r="AB1582" s="99">
        <f>IFERROR(VLOOKUP(B1582,'Pre-Summary'!$A$6:$P$178,9,FALSE),AB1583)</f>
        <v>0.28821360766925663</v>
      </c>
      <c r="AC1582" s="10">
        <f>IFERROR(VLOOKUP(Summary!B1582,'Pre-Summary'!$A$6:$P$184,5, FALSE)/100,AC1583)</f>
        <v>0.79926699999999995</v>
      </c>
      <c r="AD1582" s="10">
        <f>IFERROR(VLOOKUP(Summary!B1582,'Pre-Summary'!$A$6:$P$184,3, FALSE)/100,AD1583)</f>
        <v>0.18477833333333332</v>
      </c>
      <c r="AE1582" s="10">
        <f>IFERROR(VLOOKUP(Summary!B1582,'Pre-Summary'!$A$6:$P$184,7, FALSE)/100,AE1583)</f>
        <v>1.5954666666666669E-2</v>
      </c>
      <c r="AF1582" s="99">
        <f t="shared" si="73"/>
        <v>5.3255630069112457E-2</v>
      </c>
      <c r="AG1582" s="99">
        <f t="shared" si="74"/>
        <v>4.5983520391604336E-3</v>
      </c>
      <c r="AH1582" s="10" t="str">
        <f>IFERROR(VLOOKUP(B1582,'Pre-Summary'!$AZ$6:$BE$65,3,FALSE),"")</f>
        <v/>
      </c>
      <c r="AI1582" s="10" t="str">
        <f>IFERROR(VLOOKUP(B1582,'Pre-Summary'!$AZ$6:$BE$65,5,FALSE),"")</f>
        <v/>
      </c>
      <c r="AJ1582" s="10" t="str">
        <f>IFERROR(VLOOKUP(B1582,'Pre-Summary'!$AZ$6:$BE$65,4,FALSE),"")</f>
        <v/>
      </c>
      <c r="AK1582" s="10" t="str">
        <f>IFERROR(VLOOKUP(B1582,'Pre-Summary'!$AZ$6:$BE$65,6,FALSE),"")</f>
        <v/>
      </c>
      <c r="AL1582" s="10" t="str">
        <f>IFERROR(VLOOKUP(B1582,'Pre-Summary'!$BG$6:$BL$44,3,FALSE),"")</f>
        <v/>
      </c>
      <c r="AM1582" s="10" t="str">
        <f>IFERROR(VLOOKUP(B1582,'Pre-Summary'!$BG$6:$BL$44,4,FALSE),"")</f>
        <v/>
      </c>
    </row>
    <row r="1583" spans="2:39" ht="15" customHeight="1" x14ac:dyDescent="0.3">
      <c r="B1583">
        <v>158</v>
      </c>
      <c r="C1583" t="str">
        <f>IFERROR(VLOOKUP(B1583,'Pre-Summary'!$DI$6:$DM$23,4,FALSE),"")</f>
        <v/>
      </c>
      <c r="D1583" s="10" t="str">
        <f>IFERROR(VLOOKUP(B1583,'Pre-Summary'!$AT$6:$AX$14,5,FALSE),D1582)</f>
        <v>Wolfe v3: went back to modified wolfe + EDTA and switched CuSO4 to CUCl2</v>
      </c>
      <c r="E1583" s="10" t="str">
        <f>IFERROR(VLOOKUP(B1583,'Pre-Summary'!$AT$6:$AX$15,4,FALSE),"")</f>
        <v/>
      </c>
      <c r="F1583">
        <f>IFERROR(VLOOKUP(B1583,'Pre-Summary'!$AL$6:$AQ$13,6,FALSE),F1582)</f>
        <v>5.9405263157894746E-2</v>
      </c>
      <c r="G1583" t="str">
        <f>IFERROR(VLOOKUP(B1583,'Pre-Summary'!$AE$6:$AJ$85,3,FALSE),"")</f>
        <v/>
      </c>
      <c r="H1583" t="str">
        <f>IFERROR(VLOOKUP(B1583,'Pre-Summary'!$AE$6:$AJ$85,4,FALSE),"")</f>
        <v/>
      </c>
      <c r="I1583" t="str">
        <f>IFERROR(VLOOKUP(B1583,'Pre-Summary'!$AE$6:$AJ$85,5,FALSE),"")</f>
        <v/>
      </c>
      <c r="J1583" s="45" t="str">
        <f>IFERROR(VLOOKUP(B1583,'Pre-Summary'!$AE$6:$AJ$85,6, FALSE),"")</f>
        <v/>
      </c>
      <c r="K1583" s="45" t="str">
        <f>IFERROR(VLOOKUP(B1583,'Pre-Summary'!$DE$6:$DG$61,3,FALSE),"")</f>
        <v/>
      </c>
      <c r="L1583" s="45" t="str">
        <f>IFERROR(VLOOKUP(B1583,'Pre-Summary'!$CU$6:$CW$36,3,FALSE),"")</f>
        <v/>
      </c>
      <c r="M1583" s="45" t="str">
        <f>IFERROR(VLOOKUP(B1583,'Pre-Summary'!$BW$6:$BY$58,2,FALSE),"")</f>
        <v/>
      </c>
      <c r="N1583" s="45" t="str">
        <f>IFERROR(VLOOKUP(B1583,'Pre-Summary'!$CD$6:$CF$64,2,FALSE),"")</f>
        <v/>
      </c>
      <c r="O1583" s="99">
        <f>IFERROR(VLOOKUP(B1583,'Pre-Summary'!$BO$6:$BQ$48,3, FALSE),O1582)</f>
        <v>1</v>
      </c>
      <c r="P1583" s="99">
        <f>IFERROR(VLOOKUP(B1583,'Pre-Summary'!$BS$6:$BU$35,3,FALSE),P1582)</f>
        <v>0.3</v>
      </c>
      <c r="Q1583" s="54">
        <f t="shared" si="72"/>
        <v>3.3333333333333335</v>
      </c>
      <c r="R1583" s="53">
        <f>IFERROR(VLOOKUP(B1583,'Pre-Summary'!$BG$6:$BM$44,7,FALSE),R1584)</f>
        <v>8.4148491316136567E-2</v>
      </c>
      <c r="S1583" s="53">
        <f>IFERROR(VLOOKUP(B1583,'Pre-Summary'!$BG$6:$BM$44,6,FALSE),S1584)</f>
        <v>0.10600540604063093</v>
      </c>
      <c r="T1583" s="45" t="str">
        <f>IFERROR(VLOOKUP(B1583,'Pre-Summary'!$Y$6:$AC$83, 3,FALSE),"")</f>
        <v/>
      </c>
      <c r="U1583" s="45" t="str">
        <f>IFERROR(VLOOKUP(B1583,'Pre-Summary'!$Y$6:$AC$83, 4,FALSE),"")</f>
        <v/>
      </c>
      <c r="V1583" t="str">
        <f>IFERROR(VLOOKUP(B1583,'Pre-Summary'!$Y$6:$AC$83, 5,FALSE),"")</f>
        <v/>
      </c>
      <c r="W1583" s="45" t="str">
        <f>IFERROR(VLOOKUP(B1583,'Pre-Summary'!$Y$6:$AD$83,6,FALSE),"")</f>
        <v/>
      </c>
      <c r="X1583" t="str">
        <f>IFERROR(VLOOKUP('Pre-Summary'!$DB$6:$DD$63,3,FALSE),"")</f>
        <v/>
      </c>
      <c r="Y1583" t="str">
        <f>IFERROR(VLOOKUP(B1583,'Pre-Summary'!$CR$6:$CT$36,3,FALSE),"")</f>
        <v/>
      </c>
      <c r="Z1583" s="45" t="str">
        <f>IFERROR(VLOOKUP(B1583,'Pre-Summary'!$BZ$6:$CB$63,2,FALSE),"")</f>
        <v/>
      </c>
      <c r="AA1583" s="45" t="str">
        <f>IFERROR(VLOOKUP(B1583,'Pre-Summary'!$CG$6:$CI$70,2,FALSE),"")</f>
        <v/>
      </c>
      <c r="AB1583" s="99">
        <f>IFERROR(VLOOKUP(B1583,'Pre-Summary'!$A$6:$P$178,9,FALSE),AB1584)</f>
        <v>0.28821360766925663</v>
      </c>
      <c r="AC1583" s="10">
        <f>IFERROR(VLOOKUP(Summary!B1583,'Pre-Summary'!$A$6:$P$184,5, FALSE)/100,AC1584)</f>
        <v>0.79926699999999995</v>
      </c>
      <c r="AD1583" s="10">
        <f>IFERROR(VLOOKUP(Summary!B1583,'Pre-Summary'!$A$6:$P$184,3, FALSE)/100,AD1584)</f>
        <v>0.18477833333333332</v>
      </c>
      <c r="AE1583" s="10">
        <f>IFERROR(VLOOKUP(Summary!B1583,'Pre-Summary'!$A$6:$P$184,7, FALSE)/100,AE1584)</f>
        <v>1.5954666666666669E-2</v>
      </c>
      <c r="AF1583" s="99">
        <f t="shared" si="73"/>
        <v>5.3255630069112457E-2</v>
      </c>
      <c r="AG1583" s="99">
        <f t="shared" si="74"/>
        <v>4.5983520391604336E-3</v>
      </c>
      <c r="AH1583" s="10" t="str">
        <f>IFERROR(VLOOKUP(B1583,'Pre-Summary'!$AZ$6:$BE$65,3,FALSE),"")</f>
        <v/>
      </c>
      <c r="AI1583" s="10" t="str">
        <f>IFERROR(VLOOKUP(B1583,'Pre-Summary'!$AZ$6:$BE$65,5,FALSE),"")</f>
        <v/>
      </c>
      <c r="AJ1583" s="10" t="str">
        <f>IFERROR(VLOOKUP(B1583,'Pre-Summary'!$AZ$6:$BE$65,4,FALSE),"")</f>
        <v/>
      </c>
      <c r="AK1583" s="10" t="str">
        <f>IFERROR(VLOOKUP(B1583,'Pre-Summary'!$AZ$6:$BE$65,6,FALSE),"")</f>
        <v/>
      </c>
      <c r="AL1583" s="10" t="str">
        <f>IFERROR(VLOOKUP(B1583,'Pre-Summary'!$BG$6:$BL$44,3,FALSE),"")</f>
        <v/>
      </c>
      <c r="AM1583" s="10" t="str">
        <f>IFERROR(VLOOKUP(B1583,'Pre-Summary'!$BG$6:$BL$44,4,FALSE),"")</f>
        <v/>
      </c>
    </row>
    <row r="1584" spans="2:39" ht="15" customHeight="1" x14ac:dyDescent="0.3">
      <c r="B1584">
        <v>158.1</v>
      </c>
      <c r="C1584" t="str">
        <f>IFERROR(VLOOKUP(B1584,'Pre-Summary'!$DI$6:$DM$23,4,FALSE),"")</f>
        <v/>
      </c>
      <c r="D1584" s="10" t="str">
        <f>IFERROR(VLOOKUP(B1584,'Pre-Summary'!$AT$6:$AX$14,5,FALSE),D1583)</f>
        <v>Wolfe v3: went back to modified wolfe + EDTA and switched CuSO4 to CUCl2</v>
      </c>
      <c r="E1584" s="10" t="str">
        <f>IFERROR(VLOOKUP(B1584,'Pre-Summary'!$AT$6:$AX$15,4,FALSE),"")</f>
        <v/>
      </c>
      <c r="F1584">
        <f>IFERROR(VLOOKUP(B1584,'Pre-Summary'!$AL$6:$AQ$13,6,FALSE),F1583)</f>
        <v>5.9405263157894746E-2</v>
      </c>
      <c r="G1584" t="str">
        <f>IFERROR(VLOOKUP(B1584,'Pre-Summary'!$AE$6:$AJ$85,3,FALSE),"")</f>
        <v/>
      </c>
      <c r="H1584" t="str">
        <f>IFERROR(VLOOKUP(B1584,'Pre-Summary'!$AE$6:$AJ$85,4,FALSE),"")</f>
        <v/>
      </c>
      <c r="I1584" t="str">
        <f>IFERROR(VLOOKUP(B1584,'Pre-Summary'!$AE$6:$AJ$85,5,FALSE),"")</f>
        <v/>
      </c>
      <c r="J1584" s="45" t="str">
        <f>IFERROR(VLOOKUP(B1584,'Pre-Summary'!$AE$6:$AJ$85,6, FALSE),"")</f>
        <v/>
      </c>
      <c r="K1584" s="45" t="str">
        <f>IFERROR(VLOOKUP(B1584,'Pre-Summary'!$DE$6:$DG$61,3,FALSE),"")</f>
        <v/>
      </c>
      <c r="L1584" s="45" t="str">
        <f>IFERROR(VLOOKUP(B1584,'Pre-Summary'!$CU$6:$CW$36,3,FALSE),"")</f>
        <v/>
      </c>
      <c r="M1584" s="45" t="str">
        <f>IFERROR(VLOOKUP(B1584,'Pre-Summary'!$BW$6:$BY$58,2,FALSE),"")</f>
        <v/>
      </c>
      <c r="N1584" s="45" t="str">
        <f>IFERROR(VLOOKUP(B1584,'Pre-Summary'!$CD$6:$CF$64,2,FALSE),"")</f>
        <v/>
      </c>
      <c r="O1584" s="99">
        <f>IFERROR(VLOOKUP(B1584,'Pre-Summary'!$BO$6:$BQ$48,3, FALSE),O1583)</f>
        <v>1</v>
      </c>
      <c r="P1584" s="99">
        <f>IFERROR(VLOOKUP(B1584,'Pre-Summary'!$BS$6:$BU$35,3,FALSE),P1583)</f>
        <v>0.3</v>
      </c>
      <c r="Q1584" s="54">
        <f t="shared" si="72"/>
        <v>3.3333333333333335</v>
      </c>
      <c r="R1584" s="53">
        <f>IFERROR(VLOOKUP(B1584,'Pre-Summary'!$BG$6:$BM$44,7,FALSE),R1585)</f>
        <v>8.4148491316136567E-2</v>
      </c>
      <c r="S1584" s="53">
        <f>IFERROR(VLOOKUP(B1584,'Pre-Summary'!$BG$6:$BM$44,6,FALSE),S1585)</f>
        <v>0.10600540604063093</v>
      </c>
      <c r="T1584" s="45" t="str">
        <f>IFERROR(VLOOKUP(B1584,'Pre-Summary'!$Y$6:$AC$83, 3,FALSE),"")</f>
        <v/>
      </c>
      <c r="U1584" s="45" t="str">
        <f>IFERROR(VLOOKUP(B1584,'Pre-Summary'!$Y$6:$AC$83, 4,FALSE),"")</f>
        <v/>
      </c>
      <c r="V1584" t="str">
        <f>IFERROR(VLOOKUP(B1584,'Pre-Summary'!$Y$6:$AC$83, 5,FALSE),"")</f>
        <v/>
      </c>
      <c r="W1584" s="45" t="str">
        <f>IFERROR(VLOOKUP(B1584,'Pre-Summary'!$Y$6:$AD$83,6,FALSE),"")</f>
        <v/>
      </c>
      <c r="X1584" t="str">
        <f>IFERROR(VLOOKUP('Pre-Summary'!$DB$6:$DD$63,3,FALSE),"")</f>
        <v/>
      </c>
      <c r="Y1584" t="str">
        <f>IFERROR(VLOOKUP(B1584,'Pre-Summary'!$CR$6:$CT$36,3,FALSE),"")</f>
        <v/>
      </c>
      <c r="Z1584" s="45" t="str">
        <f>IFERROR(VLOOKUP(B1584,'Pre-Summary'!$BZ$6:$CB$63,2,FALSE),"")</f>
        <v/>
      </c>
      <c r="AA1584" s="45" t="str">
        <f>IFERROR(VLOOKUP(B1584,'Pre-Summary'!$CG$6:$CI$70,2,FALSE),"")</f>
        <v/>
      </c>
      <c r="AB1584" s="99">
        <f>IFERROR(VLOOKUP(B1584,'Pre-Summary'!$A$6:$P$178,9,FALSE),AB1585)</f>
        <v>0.28821360766925663</v>
      </c>
      <c r="AC1584" s="10">
        <f>IFERROR(VLOOKUP(Summary!B1584,'Pre-Summary'!$A$6:$P$184,5, FALSE)/100,AC1585)</f>
        <v>0.79926699999999995</v>
      </c>
      <c r="AD1584" s="10">
        <f>IFERROR(VLOOKUP(Summary!B1584,'Pre-Summary'!$A$6:$P$184,3, FALSE)/100,AD1585)</f>
        <v>0.18477833333333332</v>
      </c>
      <c r="AE1584" s="10">
        <f>IFERROR(VLOOKUP(Summary!B1584,'Pre-Summary'!$A$6:$P$184,7, FALSE)/100,AE1585)</f>
        <v>1.5954666666666669E-2</v>
      </c>
      <c r="AF1584" s="99">
        <f t="shared" si="73"/>
        <v>5.3255630069112457E-2</v>
      </c>
      <c r="AG1584" s="99">
        <f t="shared" si="74"/>
        <v>4.5983520391604336E-3</v>
      </c>
      <c r="AH1584" s="10" t="str">
        <f>IFERROR(VLOOKUP(B1584,'Pre-Summary'!$AZ$6:$BE$65,3,FALSE),"")</f>
        <v/>
      </c>
      <c r="AI1584" s="10" t="str">
        <f>IFERROR(VLOOKUP(B1584,'Pre-Summary'!$AZ$6:$BE$65,5,FALSE),"")</f>
        <v/>
      </c>
      <c r="AJ1584" s="10" t="str">
        <f>IFERROR(VLOOKUP(B1584,'Pre-Summary'!$AZ$6:$BE$65,4,FALSE),"")</f>
        <v/>
      </c>
      <c r="AK1584" s="10" t="str">
        <f>IFERROR(VLOOKUP(B1584,'Pre-Summary'!$AZ$6:$BE$65,6,FALSE),"")</f>
        <v/>
      </c>
      <c r="AL1584" s="10" t="str">
        <f>IFERROR(VLOOKUP(B1584,'Pre-Summary'!$BG$6:$BL$44,3,FALSE),"")</f>
        <v/>
      </c>
      <c r="AM1584" s="10" t="str">
        <f>IFERROR(VLOOKUP(B1584,'Pre-Summary'!$BG$6:$BL$44,4,FALSE),"")</f>
        <v/>
      </c>
    </row>
    <row r="1585" spans="2:39" ht="15" customHeight="1" x14ac:dyDescent="0.3">
      <c r="B1585">
        <v>158.19999999999999</v>
      </c>
      <c r="C1585" t="str">
        <f>IFERROR(VLOOKUP(B1585,'Pre-Summary'!$DI$6:$DM$23,4,FALSE),"")</f>
        <v/>
      </c>
      <c r="D1585" s="10" t="str">
        <f>IFERROR(VLOOKUP(B1585,'Pre-Summary'!$AT$6:$AX$14,5,FALSE),D1584)</f>
        <v>Wolfe v3: went back to modified wolfe + EDTA and switched CuSO4 to CUCl2</v>
      </c>
      <c r="E1585" s="10" t="str">
        <f>IFERROR(VLOOKUP(B1585,'Pre-Summary'!$AT$6:$AX$15,4,FALSE),"")</f>
        <v/>
      </c>
      <c r="F1585">
        <f>IFERROR(VLOOKUP(B1585,'Pre-Summary'!$AL$6:$AQ$13,6,FALSE),F1584)</f>
        <v>5.9405263157894746E-2</v>
      </c>
      <c r="G1585" t="str">
        <f>IFERROR(VLOOKUP(B1585,'Pre-Summary'!$AE$6:$AJ$85,3,FALSE),"")</f>
        <v/>
      </c>
      <c r="H1585" t="str">
        <f>IFERROR(VLOOKUP(B1585,'Pre-Summary'!$AE$6:$AJ$85,4,FALSE),"")</f>
        <v/>
      </c>
      <c r="I1585" t="str">
        <f>IFERROR(VLOOKUP(B1585,'Pre-Summary'!$AE$6:$AJ$85,5,FALSE),"")</f>
        <v/>
      </c>
      <c r="J1585" s="45" t="str">
        <f>IFERROR(VLOOKUP(B1585,'Pre-Summary'!$AE$6:$AJ$85,6, FALSE),"")</f>
        <v/>
      </c>
      <c r="K1585" s="45" t="str">
        <f>IFERROR(VLOOKUP(B1585,'Pre-Summary'!$DE$6:$DG$61,3,FALSE),"")</f>
        <v/>
      </c>
      <c r="L1585" s="45" t="str">
        <f>IFERROR(VLOOKUP(B1585,'Pre-Summary'!$CU$6:$CW$36,3,FALSE),"")</f>
        <v/>
      </c>
      <c r="M1585" s="45" t="str">
        <f>IFERROR(VLOOKUP(B1585,'Pre-Summary'!$BW$6:$BY$58,2,FALSE),"")</f>
        <v/>
      </c>
      <c r="N1585" s="45" t="str">
        <f>IFERROR(VLOOKUP(B1585,'Pre-Summary'!$CD$6:$CF$64,2,FALSE),"")</f>
        <v/>
      </c>
      <c r="O1585" s="99">
        <f>IFERROR(VLOOKUP(B1585,'Pre-Summary'!$BO$6:$BQ$48,3, FALSE),O1584)</f>
        <v>1</v>
      </c>
      <c r="P1585" s="99">
        <f>IFERROR(VLOOKUP(B1585,'Pre-Summary'!$BS$6:$BU$35,3,FALSE),P1584)</f>
        <v>0.3</v>
      </c>
      <c r="Q1585" s="54">
        <f t="shared" si="72"/>
        <v>3.3333333333333335</v>
      </c>
      <c r="R1585" s="53">
        <f>IFERROR(VLOOKUP(B1585,'Pre-Summary'!$BG$6:$BM$44,7,FALSE),R1586)</f>
        <v>8.4148491316136567E-2</v>
      </c>
      <c r="S1585" s="53">
        <f>IFERROR(VLOOKUP(B1585,'Pre-Summary'!$BG$6:$BM$44,6,FALSE),S1586)</f>
        <v>0.10600540604063093</v>
      </c>
      <c r="T1585" s="45" t="str">
        <f>IFERROR(VLOOKUP(B1585,'Pre-Summary'!$Y$6:$AC$83, 3,FALSE),"")</f>
        <v/>
      </c>
      <c r="U1585" s="45" t="str">
        <f>IFERROR(VLOOKUP(B1585,'Pre-Summary'!$Y$6:$AC$83, 4,FALSE),"")</f>
        <v/>
      </c>
      <c r="V1585" t="str">
        <f>IFERROR(VLOOKUP(B1585,'Pre-Summary'!$Y$6:$AC$83, 5,FALSE),"")</f>
        <v/>
      </c>
      <c r="W1585" s="45" t="str">
        <f>IFERROR(VLOOKUP(B1585,'Pre-Summary'!$Y$6:$AD$83,6,FALSE),"")</f>
        <v/>
      </c>
      <c r="X1585" t="str">
        <f>IFERROR(VLOOKUP('Pre-Summary'!$DB$6:$DD$63,3,FALSE),"")</f>
        <v/>
      </c>
      <c r="Y1585" t="str">
        <f>IFERROR(VLOOKUP(B1585,'Pre-Summary'!$CR$6:$CT$36,3,FALSE),"")</f>
        <v/>
      </c>
      <c r="Z1585" s="45" t="str">
        <f>IFERROR(VLOOKUP(B1585,'Pre-Summary'!$BZ$6:$CB$63,2,FALSE),"")</f>
        <v/>
      </c>
      <c r="AA1585" s="45" t="str">
        <f>IFERROR(VLOOKUP(B1585,'Pre-Summary'!$CG$6:$CI$70,2,FALSE),"")</f>
        <v/>
      </c>
      <c r="AB1585" s="99">
        <f>IFERROR(VLOOKUP(B1585,'Pre-Summary'!$A$6:$P$178,9,FALSE),AB1586)</f>
        <v>0.28821360766925663</v>
      </c>
      <c r="AC1585" s="10">
        <f>IFERROR(VLOOKUP(Summary!B1585,'Pre-Summary'!$A$6:$P$184,5, FALSE)/100,AC1586)</f>
        <v>0.79926699999999995</v>
      </c>
      <c r="AD1585" s="10">
        <f>IFERROR(VLOOKUP(Summary!B1585,'Pre-Summary'!$A$6:$P$184,3, FALSE)/100,AD1586)</f>
        <v>0.18477833333333332</v>
      </c>
      <c r="AE1585" s="10">
        <f>IFERROR(VLOOKUP(Summary!B1585,'Pre-Summary'!$A$6:$P$184,7, FALSE)/100,AE1586)</f>
        <v>1.5954666666666669E-2</v>
      </c>
      <c r="AF1585" s="99">
        <f t="shared" si="73"/>
        <v>5.3255630069112457E-2</v>
      </c>
      <c r="AG1585" s="99">
        <f t="shared" si="74"/>
        <v>4.5983520391604336E-3</v>
      </c>
      <c r="AH1585" s="10" t="str">
        <f>IFERROR(VLOOKUP(B1585,'Pre-Summary'!$AZ$6:$BE$65,3,FALSE),"")</f>
        <v/>
      </c>
      <c r="AI1585" s="10" t="str">
        <f>IFERROR(VLOOKUP(B1585,'Pre-Summary'!$AZ$6:$BE$65,5,FALSE),"")</f>
        <v/>
      </c>
      <c r="AJ1585" s="10" t="str">
        <f>IFERROR(VLOOKUP(B1585,'Pre-Summary'!$AZ$6:$BE$65,4,FALSE),"")</f>
        <v/>
      </c>
      <c r="AK1585" s="10" t="str">
        <f>IFERROR(VLOOKUP(B1585,'Pre-Summary'!$AZ$6:$BE$65,6,FALSE),"")</f>
        <v/>
      </c>
      <c r="AL1585" s="10" t="str">
        <f>IFERROR(VLOOKUP(B1585,'Pre-Summary'!$BG$6:$BL$44,3,FALSE),"")</f>
        <v/>
      </c>
      <c r="AM1585" s="10" t="str">
        <f>IFERROR(VLOOKUP(B1585,'Pre-Summary'!$BG$6:$BL$44,4,FALSE),"")</f>
        <v/>
      </c>
    </row>
    <row r="1586" spans="2:39" ht="15" customHeight="1" x14ac:dyDescent="0.3">
      <c r="B1586">
        <v>158.30000000000001</v>
      </c>
      <c r="C1586" t="str">
        <f>IFERROR(VLOOKUP(B1586,'Pre-Summary'!$DI$6:$DM$23,4,FALSE),"")</f>
        <v/>
      </c>
      <c r="D1586" s="10" t="str">
        <f>IFERROR(VLOOKUP(B1586,'Pre-Summary'!$AT$6:$AX$14,5,FALSE),D1585)</f>
        <v>Wolfe v3: went back to modified wolfe + EDTA and switched CuSO4 to CUCl2</v>
      </c>
      <c r="E1586" s="10" t="str">
        <f>IFERROR(VLOOKUP(B1586,'Pre-Summary'!$AT$6:$AX$15,4,FALSE),"")</f>
        <v/>
      </c>
      <c r="F1586">
        <f>IFERROR(VLOOKUP(B1586,'Pre-Summary'!$AL$6:$AQ$13,6,FALSE),F1585)</f>
        <v>5.9405263157894746E-2</v>
      </c>
      <c r="G1586" t="str">
        <f>IFERROR(VLOOKUP(B1586,'Pre-Summary'!$AE$6:$AJ$85,3,FALSE),"")</f>
        <v/>
      </c>
      <c r="H1586" t="str">
        <f>IFERROR(VLOOKUP(B1586,'Pre-Summary'!$AE$6:$AJ$85,4,FALSE),"")</f>
        <v/>
      </c>
      <c r="I1586" t="str">
        <f>IFERROR(VLOOKUP(B1586,'Pre-Summary'!$AE$6:$AJ$85,5,FALSE),"")</f>
        <v/>
      </c>
      <c r="J1586" s="45" t="str">
        <f>IFERROR(VLOOKUP(B1586,'Pre-Summary'!$AE$6:$AJ$85,6, FALSE),"")</f>
        <v/>
      </c>
      <c r="K1586" s="45" t="str">
        <f>IFERROR(VLOOKUP(B1586,'Pre-Summary'!$DE$6:$DG$61,3,FALSE),"")</f>
        <v/>
      </c>
      <c r="L1586" s="45" t="str">
        <f>IFERROR(VLOOKUP(B1586,'Pre-Summary'!$CU$6:$CW$36,3,FALSE),"")</f>
        <v/>
      </c>
      <c r="M1586" s="45" t="str">
        <f>IFERROR(VLOOKUP(B1586,'Pre-Summary'!$BW$6:$BY$58,2,FALSE),"")</f>
        <v/>
      </c>
      <c r="N1586" s="45" t="str">
        <f>IFERROR(VLOOKUP(B1586,'Pre-Summary'!$CD$6:$CF$64,2,FALSE),"")</f>
        <v/>
      </c>
      <c r="O1586" s="99">
        <f>IFERROR(VLOOKUP(B1586,'Pre-Summary'!$BO$6:$BQ$48,3, FALSE),O1585)</f>
        <v>1</v>
      </c>
      <c r="P1586" s="99">
        <f>IFERROR(VLOOKUP(B1586,'Pre-Summary'!$BS$6:$BU$35,3,FALSE),P1585)</f>
        <v>0.3</v>
      </c>
      <c r="Q1586" s="54">
        <f t="shared" si="72"/>
        <v>3.3333333333333335</v>
      </c>
      <c r="R1586" s="53">
        <f>IFERROR(VLOOKUP(B1586,'Pre-Summary'!$BG$6:$BM$44,7,FALSE),R1587)</f>
        <v>8.4148491316136567E-2</v>
      </c>
      <c r="S1586" s="53">
        <f>IFERROR(VLOOKUP(B1586,'Pre-Summary'!$BG$6:$BM$44,6,FALSE),S1587)</f>
        <v>0.10600540604063093</v>
      </c>
      <c r="T1586" s="45" t="str">
        <f>IFERROR(VLOOKUP(B1586,'Pre-Summary'!$Y$6:$AC$83, 3,FALSE),"")</f>
        <v/>
      </c>
      <c r="U1586" s="45" t="str">
        <f>IFERROR(VLOOKUP(B1586,'Pre-Summary'!$Y$6:$AC$83, 4,FALSE),"")</f>
        <v/>
      </c>
      <c r="V1586" t="str">
        <f>IFERROR(VLOOKUP(B1586,'Pre-Summary'!$Y$6:$AC$83, 5,FALSE),"")</f>
        <v/>
      </c>
      <c r="W1586" s="45" t="str">
        <f>IFERROR(VLOOKUP(B1586,'Pre-Summary'!$Y$6:$AD$83,6,FALSE),"")</f>
        <v/>
      </c>
      <c r="X1586" t="str">
        <f>IFERROR(VLOOKUP('Pre-Summary'!$DB$6:$DD$63,3,FALSE),"")</f>
        <v/>
      </c>
      <c r="Y1586" t="str">
        <f>IFERROR(VLOOKUP(B1586,'Pre-Summary'!$CR$6:$CT$36,3,FALSE),"")</f>
        <v/>
      </c>
      <c r="Z1586" s="45" t="str">
        <f>IFERROR(VLOOKUP(B1586,'Pre-Summary'!$BZ$6:$CB$63,2,FALSE),"")</f>
        <v/>
      </c>
      <c r="AA1586" s="45" t="str">
        <f>IFERROR(VLOOKUP(B1586,'Pre-Summary'!$CG$6:$CI$70,2,FALSE),"")</f>
        <v/>
      </c>
      <c r="AB1586" s="99">
        <f>IFERROR(VLOOKUP(B1586,'Pre-Summary'!$A$6:$P$178,9,FALSE),AB1587)</f>
        <v>0.28821360766925663</v>
      </c>
      <c r="AC1586" s="10">
        <f>IFERROR(VLOOKUP(Summary!B1586,'Pre-Summary'!$A$6:$P$184,5, FALSE)/100,AC1587)</f>
        <v>0.79926699999999995</v>
      </c>
      <c r="AD1586" s="10">
        <f>IFERROR(VLOOKUP(Summary!B1586,'Pre-Summary'!$A$6:$P$184,3, FALSE)/100,AD1587)</f>
        <v>0.18477833333333332</v>
      </c>
      <c r="AE1586" s="10">
        <f>IFERROR(VLOOKUP(Summary!B1586,'Pre-Summary'!$A$6:$P$184,7, FALSE)/100,AE1587)</f>
        <v>1.5954666666666669E-2</v>
      </c>
      <c r="AF1586" s="99">
        <f t="shared" si="73"/>
        <v>5.3255630069112457E-2</v>
      </c>
      <c r="AG1586" s="99">
        <f t="shared" si="74"/>
        <v>4.5983520391604336E-3</v>
      </c>
      <c r="AH1586" s="10" t="str">
        <f>IFERROR(VLOOKUP(B1586,'Pre-Summary'!$AZ$6:$BE$65,3,FALSE),"")</f>
        <v/>
      </c>
      <c r="AI1586" s="10" t="str">
        <f>IFERROR(VLOOKUP(B1586,'Pre-Summary'!$AZ$6:$BE$65,5,FALSE),"")</f>
        <v/>
      </c>
      <c r="AJ1586" s="10" t="str">
        <f>IFERROR(VLOOKUP(B1586,'Pre-Summary'!$AZ$6:$BE$65,4,FALSE),"")</f>
        <v/>
      </c>
      <c r="AK1586" s="10" t="str">
        <f>IFERROR(VLOOKUP(B1586,'Pre-Summary'!$AZ$6:$BE$65,6,FALSE),"")</f>
        <v/>
      </c>
      <c r="AL1586" s="10" t="str">
        <f>IFERROR(VLOOKUP(B1586,'Pre-Summary'!$BG$6:$BL$44,3,FALSE),"")</f>
        <v/>
      </c>
      <c r="AM1586" s="10" t="str">
        <f>IFERROR(VLOOKUP(B1586,'Pre-Summary'!$BG$6:$BL$44,4,FALSE),"")</f>
        <v/>
      </c>
    </row>
    <row r="1587" spans="2:39" ht="15" customHeight="1" x14ac:dyDescent="0.3">
      <c r="B1587">
        <v>158.4</v>
      </c>
      <c r="C1587" t="str">
        <f>IFERROR(VLOOKUP(B1587,'Pre-Summary'!$DI$6:$DM$23,4,FALSE),"")</f>
        <v/>
      </c>
      <c r="D1587" s="10" t="str">
        <f>IFERROR(VLOOKUP(B1587,'Pre-Summary'!$AT$6:$AX$14,5,FALSE),D1586)</f>
        <v>Wolfe v3: went back to modified wolfe + EDTA and switched CuSO4 to CUCl2</v>
      </c>
      <c r="E1587" s="10" t="str">
        <f>IFERROR(VLOOKUP(B1587,'Pre-Summary'!$AT$6:$AX$15,4,FALSE),"")</f>
        <v/>
      </c>
      <c r="F1587">
        <f>IFERROR(VLOOKUP(B1587,'Pre-Summary'!$AL$6:$AQ$13,6,FALSE),F1586)</f>
        <v>5.9405263157894746E-2</v>
      </c>
      <c r="G1587" t="str">
        <f>IFERROR(VLOOKUP(B1587,'Pre-Summary'!$AE$6:$AJ$85,3,FALSE),"")</f>
        <v/>
      </c>
      <c r="H1587" t="str">
        <f>IFERROR(VLOOKUP(B1587,'Pre-Summary'!$AE$6:$AJ$85,4,FALSE),"")</f>
        <v/>
      </c>
      <c r="I1587" t="str">
        <f>IFERROR(VLOOKUP(B1587,'Pre-Summary'!$AE$6:$AJ$85,5,FALSE),"")</f>
        <v/>
      </c>
      <c r="J1587" s="45" t="str">
        <f>IFERROR(VLOOKUP(B1587,'Pre-Summary'!$AE$6:$AJ$85,6, FALSE),"")</f>
        <v/>
      </c>
      <c r="K1587" s="45" t="str">
        <f>IFERROR(VLOOKUP(B1587,'Pre-Summary'!$DE$6:$DG$61,3,FALSE),"")</f>
        <v/>
      </c>
      <c r="L1587" s="45" t="str">
        <f>IFERROR(VLOOKUP(B1587,'Pre-Summary'!$CU$6:$CW$36,3,FALSE),"")</f>
        <v/>
      </c>
      <c r="M1587" s="45" t="str">
        <f>IFERROR(VLOOKUP(B1587,'Pre-Summary'!$BW$6:$BY$58,2,FALSE),"")</f>
        <v/>
      </c>
      <c r="N1587" s="45" t="str">
        <f>IFERROR(VLOOKUP(B1587,'Pre-Summary'!$CD$6:$CF$64,2,FALSE),"")</f>
        <v/>
      </c>
      <c r="O1587" s="99">
        <f>IFERROR(VLOOKUP(B1587,'Pre-Summary'!$BO$6:$BQ$48,3, FALSE),O1586)</f>
        <v>1</v>
      </c>
      <c r="P1587" s="99">
        <f>IFERROR(VLOOKUP(B1587,'Pre-Summary'!$BS$6:$BU$35,3,FALSE),P1586)</f>
        <v>0.3</v>
      </c>
      <c r="Q1587" s="54">
        <f t="shared" si="72"/>
        <v>3.3333333333333335</v>
      </c>
      <c r="R1587" s="53">
        <f>IFERROR(VLOOKUP(B1587,'Pre-Summary'!$BG$6:$BM$44,7,FALSE),R1588)</f>
        <v>8.4148491316136567E-2</v>
      </c>
      <c r="S1587" s="53">
        <f>IFERROR(VLOOKUP(B1587,'Pre-Summary'!$BG$6:$BM$44,6,FALSE),S1588)</f>
        <v>0.10600540604063093</v>
      </c>
      <c r="T1587" s="45" t="str">
        <f>IFERROR(VLOOKUP(B1587,'Pre-Summary'!$Y$6:$AC$83, 3,FALSE),"")</f>
        <v/>
      </c>
      <c r="U1587" s="45" t="str">
        <f>IFERROR(VLOOKUP(B1587,'Pre-Summary'!$Y$6:$AC$83, 4,FALSE),"")</f>
        <v/>
      </c>
      <c r="V1587" t="str">
        <f>IFERROR(VLOOKUP(B1587,'Pre-Summary'!$Y$6:$AC$83, 5,FALSE),"")</f>
        <v/>
      </c>
      <c r="W1587" s="45" t="str">
        <f>IFERROR(VLOOKUP(B1587,'Pre-Summary'!$Y$6:$AD$83,6,FALSE),"")</f>
        <v/>
      </c>
      <c r="X1587" t="str">
        <f>IFERROR(VLOOKUP('Pre-Summary'!$DB$6:$DD$63,3,FALSE),"")</f>
        <v/>
      </c>
      <c r="Y1587" t="str">
        <f>IFERROR(VLOOKUP(B1587,'Pre-Summary'!$CR$6:$CT$36,3,FALSE),"")</f>
        <v/>
      </c>
      <c r="Z1587" s="45" t="str">
        <f>IFERROR(VLOOKUP(B1587,'Pre-Summary'!$BZ$6:$CB$63,2,FALSE),"")</f>
        <v/>
      </c>
      <c r="AA1587" s="45" t="str">
        <f>IFERROR(VLOOKUP(B1587,'Pre-Summary'!$CG$6:$CI$70,2,FALSE),"")</f>
        <v/>
      </c>
      <c r="AB1587" s="99">
        <f>IFERROR(VLOOKUP(B1587,'Pre-Summary'!$A$6:$P$178,9,FALSE),AB1588)</f>
        <v>0.28821360766925663</v>
      </c>
      <c r="AC1587" s="10">
        <f>IFERROR(VLOOKUP(Summary!B1587,'Pre-Summary'!$A$6:$P$184,5, FALSE)/100,AC1588)</f>
        <v>0.79926699999999995</v>
      </c>
      <c r="AD1587" s="10">
        <f>IFERROR(VLOOKUP(Summary!B1587,'Pre-Summary'!$A$6:$P$184,3, FALSE)/100,AD1588)</f>
        <v>0.18477833333333332</v>
      </c>
      <c r="AE1587" s="10">
        <f>IFERROR(VLOOKUP(Summary!B1587,'Pre-Summary'!$A$6:$P$184,7, FALSE)/100,AE1588)</f>
        <v>1.5954666666666669E-2</v>
      </c>
      <c r="AF1587" s="99">
        <f t="shared" si="73"/>
        <v>5.3255630069112457E-2</v>
      </c>
      <c r="AG1587" s="99">
        <f t="shared" si="74"/>
        <v>4.5983520391604336E-3</v>
      </c>
      <c r="AH1587" s="10" t="str">
        <f>IFERROR(VLOOKUP(B1587,'Pre-Summary'!$AZ$6:$BE$65,3,FALSE),"")</f>
        <v/>
      </c>
      <c r="AI1587" s="10" t="str">
        <f>IFERROR(VLOOKUP(B1587,'Pre-Summary'!$AZ$6:$BE$65,5,FALSE),"")</f>
        <v/>
      </c>
      <c r="AJ1587" s="10" t="str">
        <f>IFERROR(VLOOKUP(B1587,'Pre-Summary'!$AZ$6:$BE$65,4,FALSE),"")</f>
        <v/>
      </c>
      <c r="AK1587" s="10" t="str">
        <f>IFERROR(VLOOKUP(B1587,'Pre-Summary'!$AZ$6:$BE$65,6,FALSE),"")</f>
        <v/>
      </c>
      <c r="AL1587" s="10" t="str">
        <f>IFERROR(VLOOKUP(B1587,'Pre-Summary'!$BG$6:$BL$44,3,FALSE),"")</f>
        <v/>
      </c>
      <c r="AM1587" s="10" t="str">
        <f>IFERROR(VLOOKUP(B1587,'Pre-Summary'!$BG$6:$BL$44,4,FALSE),"")</f>
        <v/>
      </c>
    </row>
    <row r="1588" spans="2:39" ht="15" customHeight="1" x14ac:dyDescent="0.3">
      <c r="B1588">
        <v>158.5</v>
      </c>
      <c r="C1588" t="str">
        <f>IFERROR(VLOOKUP(B1588,'Pre-Summary'!$DI$6:$DM$23,4,FALSE),"")</f>
        <v/>
      </c>
      <c r="D1588" s="10" t="str">
        <f>IFERROR(VLOOKUP(B1588,'Pre-Summary'!$AT$6:$AX$14,5,FALSE),D1587)</f>
        <v>Wolfe v3: went back to modified wolfe + EDTA and switched CuSO4 to CUCl2</v>
      </c>
      <c r="E1588" s="10" t="str">
        <f>IFERROR(VLOOKUP(B1588,'Pre-Summary'!$AT$6:$AX$15,4,FALSE),"")</f>
        <v/>
      </c>
      <c r="F1588">
        <f>IFERROR(VLOOKUP(B1588,'Pre-Summary'!$AL$6:$AQ$13,6,FALSE),F1587)</f>
        <v>5.9405263157894746E-2</v>
      </c>
      <c r="G1588" t="str">
        <f>IFERROR(VLOOKUP(B1588,'Pre-Summary'!$AE$6:$AJ$85,3,FALSE),"")</f>
        <v/>
      </c>
      <c r="H1588" t="str">
        <f>IFERROR(VLOOKUP(B1588,'Pre-Summary'!$AE$6:$AJ$85,4,FALSE),"")</f>
        <v/>
      </c>
      <c r="I1588" t="str">
        <f>IFERROR(VLOOKUP(B1588,'Pre-Summary'!$AE$6:$AJ$85,5,FALSE),"")</f>
        <v/>
      </c>
      <c r="J1588" s="45" t="str">
        <f>IFERROR(VLOOKUP(B1588,'Pre-Summary'!$AE$6:$AJ$85,6, FALSE),"")</f>
        <v/>
      </c>
      <c r="K1588" s="45" t="str">
        <f>IFERROR(VLOOKUP(B1588,'Pre-Summary'!$DE$6:$DG$61,3,FALSE),"")</f>
        <v/>
      </c>
      <c r="L1588" s="45" t="str">
        <f>IFERROR(VLOOKUP(B1588,'Pre-Summary'!$CU$6:$CW$36,3,FALSE),"")</f>
        <v/>
      </c>
      <c r="M1588" s="45" t="str">
        <f>IFERROR(VLOOKUP(B1588,'Pre-Summary'!$BW$6:$BY$58,2,FALSE),"")</f>
        <v/>
      </c>
      <c r="N1588" s="45" t="str">
        <f>IFERROR(VLOOKUP(B1588,'Pre-Summary'!$CD$6:$CF$64,2,FALSE),"")</f>
        <v/>
      </c>
      <c r="O1588" s="99">
        <f>IFERROR(VLOOKUP(B1588,'Pre-Summary'!$BO$6:$BQ$48,3, FALSE),O1587)</f>
        <v>1</v>
      </c>
      <c r="P1588" s="99">
        <f>IFERROR(VLOOKUP(B1588,'Pre-Summary'!$BS$6:$BU$35,3,FALSE),P1587)</f>
        <v>0.3</v>
      </c>
      <c r="Q1588" s="54">
        <f t="shared" si="72"/>
        <v>3.3333333333333335</v>
      </c>
      <c r="R1588" s="53">
        <f>IFERROR(VLOOKUP(B1588,'Pre-Summary'!$BG$6:$BM$44,7,FALSE),R1589)</f>
        <v>8.4148491316136567E-2</v>
      </c>
      <c r="S1588" s="53">
        <f>IFERROR(VLOOKUP(B1588,'Pre-Summary'!$BG$6:$BM$44,6,FALSE),S1589)</f>
        <v>0.10600540604063093</v>
      </c>
      <c r="T1588" s="45" t="str">
        <f>IFERROR(VLOOKUP(B1588,'Pre-Summary'!$Y$6:$AC$83, 3,FALSE),"")</f>
        <v/>
      </c>
      <c r="U1588" s="45" t="str">
        <f>IFERROR(VLOOKUP(B1588,'Pre-Summary'!$Y$6:$AC$83, 4,FALSE),"")</f>
        <v/>
      </c>
      <c r="V1588" t="str">
        <f>IFERROR(VLOOKUP(B1588,'Pre-Summary'!$Y$6:$AC$83, 5,FALSE),"")</f>
        <v/>
      </c>
      <c r="W1588" s="45" t="str">
        <f>IFERROR(VLOOKUP(B1588,'Pre-Summary'!$Y$6:$AD$83,6,FALSE),"")</f>
        <v/>
      </c>
      <c r="X1588" t="str">
        <f>IFERROR(VLOOKUP('Pre-Summary'!$DB$6:$DD$63,3,FALSE),"")</f>
        <v/>
      </c>
      <c r="Y1588" t="str">
        <f>IFERROR(VLOOKUP(B1588,'Pre-Summary'!$CR$6:$CT$36,3,FALSE),"")</f>
        <v/>
      </c>
      <c r="Z1588" s="45" t="str">
        <f>IFERROR(VLOOKUP(B1588,'Pre-Summary'!$BZ$6:$CB$63,2,FALSE),"")</f>
        <v/>
      </c>
      <c r="AA1588" s="45" t="str">
        <f>IFERROR(VLOOKUP(B1588,'Pre-Summary'!$CG$6:$CI$70,2,FALSE),"")</f>
        <v/>
      </c>
      <c r="AB1588" s="99">
        <f>IFERROR(VLOOKUP(B1588,'Pre-Summary'!$A$6:$P$178,9,FALSE),AB1589)</f>
        <v>0.28821360766925663</v>
      </c>
      <c r="AC1588" s="10">
        <f>IFERROR(VLOOKUP(Summary!B1588,'Pre-Summary'!$A$6:$P$184,5, FALSE)/100,AC1589)</f>
        <v>0.79926699999999995</v>
      </c>
      <c r="AD1588" s="10">
        <f>IFERROR(VLOOKUP(Summary!B1588,'Pre-Summary'!$A$6:$P$184,3, FALSE)/100,AD1589)</f>
        <v>0.18477833333333332</v>
      </c>
      <c r="AE1588" s="10">
        <f>IFERROR(VLOOKUP(Summary!B1588,'Pre-Summary'!$A$6:$P$184,7, FALSE)/100,AE1589)</f>
        <v>1.5954666666666669E-2</v>
      </c>
      <c r="AF1588" s="99">
        <f t="shared" si="73"/>
        <v>5.3255630069112457E-2</v>
      </c>
      <c r="AG1588" s="99">
        <f t="shared" si="74"/>
        <v>4.5983520391604336E-3</v>
      </c>
      <c r="AH1588" s="10" t="str">
        <f>IFERROR(VLOOKUP(B1588,'Pre-Summary'!$AZ$6:$BE$65,3,FALSE),"")</f>
        <v/>
      </c>
      <c r="AI1588" s="10" t="str">
        <f>IFERROR(VLOOKUP(B1588,'Pre-Summary'!$AZ$6:$BE$65,5,FALSE),"")</f>
        <v/>
      </c>
      <c r="AJ1588" s="10" t="str">
        <f>IFERROR(VLOOKUP(B1588,'Pre-Summary'!$AZ$6:$BE$65,4,FALSE),"")</f>
        <v/>
      </c>
      <c r="AK1588" s="10" t="str">
        <f>IFERROR(VLOOKUP(B1588,'Pre-Summary'!$AZ$6:$BE$65,6,FALSE),"")</f>
        <v/>
      </c>
      <c r="AL1588" s="10" t="str">
        <f>IFERROR(VLOOKUP(B1588,'Pre-Summary'!$BG$6:$BL$44,3,FALSE),"")</f>
        <v/>
      </c>
      <c r="AM1588" s="10" t="str">
        <f>IFERROR(VLOOKUP(B1588,'Pre-Summary'!$BG$6:$BL$44,4,FALSE),"")</f>
        <v/>
      </c>
    </row>
    <row r="1589" spans="2:39" ht="15" customHeight="1" x14ac:dyDescent="0.3">
      <c r="B1589">
        <v>158.6</v>
      </c>
      <c r="C1589" t="str">
        <f>IFERROR(VLOOKUP(B1589,'Pre-Summary'!$DI$6:$DM$23,4,FALSE),"")</f>
        <v/>
      </c>
      <c r="D1589" s="10" t="str">
        <f>IFERROR(VLOOKUP(B1589,'Pre-Summary'!$AT$6:$AX$14,5,FALSE),D1588)</f>
        <v>Wolfe v3: went back to modified wolfe + EDTA and switched CuSO4 to CUCl2</v>
      </c>
      <c r="E1589" s="10" t="str">
        <f>IFERROR(VLOOKUP(B1589,'Pre-Summary'!$AT$6:$AX$15,4,FALSE),"")</f>
        <v/>
      </c>
      <c r="F1589">
        <f>IFERROR(VLOOKUP(B1589,'Pre-Summary'!$AL$6:$AQ$13,6,FALSE),F1588)</f>
        <v>5.9405263157894746E-2</v>
      </c>
      <c r="G1589" t="str">
        <f>IFERROR(VLOOKUP(B1589,'Pre-Summary'!$AE$6:$AJ$85,3,FALSE),"")</f>
        <v/>
      </c>
      <c r="H1589" t="str">
        <f>IFERROR(VLOOKUP(B1589,'Pre-Summary'!$AE$6:$AJ$85,4,FALSE),"")</f>
        <v/>
      </c>
      <c r="I1589" t="str">
        <f>IFERROR(VLOOKUP(B1589,'Pre-Summary'!$AE$6:$AJ$85,5,FALSE),"")</f>
        <v/>
      </c>
      <c r="J1589" s="45" t="str">
        <f>IFERROR(VLOOKUP(B1589,'Pre-Summary'!$AE$6:$AJ$85,6, FALSE),"")</f>
        <v/>
      </c>
      <c r="K1589" s="45" t="str">
        <f>IFERROR(VLOOKUP(B1589,'Pre-Summary'!$DE$6:$DG$61,3,FALSE),"")</f>
        <v/>
      </c>
      <c r="L1589" s="45" t="str">
        <f>IFERROR(VLOOKUP(B1589,'Pre-Summary'!$CU$6:$CW$36,3,FALSE),"")</f>
        <v/>
      </c>
      <c r="M1589" s="45" t="str">
        <f>IFERROR(VLOOKUP(B1589,'Pre-Summary'!$BW$6:$BY$58,2,FALSE),"")</f>
        <v/>
      </c>
      <c r="N1589" s="45" t="str">
        <f>IFERROR(VLOOKUP(B1589,'Pre-Summary'!$CD$6:$CF$64,2,FALSE),"")</f>
        <v/>
      </c>
      <c r="O1589" s="99">
        <f>IFERROR(VLOOKUP(B1589,'Pre-Summary'!$BO$6:$BQ$48,3, FALSE),O1588)</f>
        <v>1</v>
      </c>
      <c r="P1589" s="99">
        <f>IFERROR(VLOOKUP(B1589,'Pre-Summary'!$BS$6:$BU$35,3,FALSE),P1588)</f>
        <v>0.3</v>
      </c>
      <c r="Q1589" s="54">
        <f t="shared" si="72"/>
        <v>3.3333333333333335</v>
      </c>
      <c r="R1589" s="53">
        <f>IFERROR(VLOOKUP(B1589,'Pre-Summary'!$BG$6:$BM$44,7,FALSE),R1590)</f>
        <v>8.4148491316136567E-2</v>
      </c>
      <c r="S1589" s="53">
        <f>IFERROR(VLOOKUP(B1589,'Pre-Summary'!$BG$6:$BM$44,6,FALSE),S1590)</f>
        <v>0.10600540604063093</v>
      </c>
      <c r="T1589" s="45" t="str">
        <f>IFERROR(VLOOKUP(B1589,'Pre-Summary'!$Y$6:$AC$83, 3,FALSE),"")</f>
        <v/>
      </c>
      <c r="U1589" s="45" t="str">
        <f>IFERROR(VLOOKUP(B1589,'Pre-Summary'!$Y$6:$AC$83, 4,FALSE),"")</f>
        <v/>
      </c>
      <c r="V1589" t="str">
        <f>IFERROR(VLOOKUP(B1589,'Pre-Summary'!$Y$6:$AC$83, 5,FALSE),"")</f>
        <v/>
      </c>
      <c r="W1589" s="45" t="str">
        <f>IFERROR(VLOOKUP(B1589,'Pre-Summary'!$Y$6:$AD$83,6,FALSE),"")</f>
        <v/>
      </c>
      <c r="X1589" t="str">
        <f>IFERROR(VLOOKUP('Pre-Summary'!$DB$6:$DD$63,3,FALSE),"")</f>
        <v/>
      </c>
      <c r="Y1589" t="str">
        <f>IFERROR(VLOOKUP(B1589,'Pre-Summary'!$CR$6:$CT$36,3,FALSE),"")</f>
        <v/>
      </c>
      <c r="Z1589" s="45" t="str">
        <f>IFERROR(VLOOKUP(B1589,'Pre-Summary'!$BZ$6:$CB$63,2,FALSE),"")</f>
        <v/>
      </c>
      <c r="AA1589" s="45" t="str">
        <f>IFERROR(VLOOKUP(B1589,'Pre-Summary'!$CG$6:$CI$70,2,FALSE),"")</f>
        <v/>
      </c>
      <c r="AB1589" s="99">
        <f>IFERROR(VLOOKUP(B1589,'Pre-Summary'!$A$6:$P$178,9,FALSE),AB1590)</f>
        <v>0.28821360766925663</v>
      </c>
      <c r="AC1589" s="10">
        <f>IFERROR(VLOOKUP(Summary!B1589,'Pre-Summary'!$A$6:$P$184,5, FALSE)/100,AC1590)</f>
        <v>0.79926699999999995</v>
      </c>
      <c r="AD1589" s="10">
        <f>IFERROR(VLOOKUP(Summary!B1589,'Pre-Summary'!$A$6:$P$184,3, FALSE)/100,AD1590)</f>
        <v>0.18477833333333332</v>
      </c>
      <c r="AE1589" s="10">
        <f>IFERROR(VLOOKUP(Summary!B1589,'Pre-Summary'!$A$6:$P$184,7, FALSE)/100,AE1590)</f>
        <v>1.5954666666666669E-2</v>
      </c>
      <c r="AF1589" s="99">
        <f t="shared" si="73"/>
        <v>5.3255630069112457E-2</v>
      </c>
      <c r="AG1589" s="99">
        <f t="shared" si="74"/>
        <v>4.5983520391604336E-3</v>
      </c>
      <c r="AH1589" s="10" t="str">
        <f>IFERROR(VLOOKUP(B1589,'Pre-Summary'!$AZ$6:$BE$65,3,FALSE),"")</f>
        <v/>
      </c>
      <c r="AI1589" s="10" t="str">
        <f>IFERROR(VLOOKUP(B1589,'Pre-Summary'!$AZ$6:$BE$65,5,FALSE),"")</f>
        <v/>
      </c>
      <c r="AJ1589" s="10" t="str">
        <f>IFERROR(VLOOKUP(B1589,'Pre-Summary'!$AZ$6:$BE$65,4,FALSE),"")</f>
        <v/>
      </c>
      <c r="AK1589" s="10" t="str">
        <f>IFERROR(VLOOKUP(B1589,'Pre-Summary'!$AZ$6:$BE$65,6,FALSE),"")</f>
        <v/>
      </c>
      <c r="AL1589" s="10" t="str">
        <f>IFERROR(VLOOKUP(B1589,'Pre-Summary'!$BG$6:$BL$44,3,FALSE),"")</f>
        <v/>
      </c>
      <c r="AM1589" s="10" t="str">
        <f>IFERROR(VLOOKUP(B1589,'Pre-Summary'!$BG$6:$BL$44,4,FALSE),"")</f>
        <v/>
      </c>
    </row>
    <row r="1590" spans="2:39" ht="15" customHeight="1" x14ac:dyDescent="0.3">
      <c r="B1590">
        <v>158.69999999999999</v>
      </c>
      <c r="C1590" t="str">
        <f>IFERROR(VLOOKUP(B1590,'Pre-Summary'!$DI$6:$DM$23,4,FALSE),"")</f>
        <v/>
      </c>
      <c r="D1590" s="10" t="str">
        <f>IFERROR(VLOOKUP(B1590,'Pre-Summary'!$AT$6:$AX$14,5,FALSE),D1589)</f>
        <v>Wolfe v3: went back to modified wolfe + EDTA and switched CuSO4 to CUCl2</v>
      </c>
      <c r="E1590" s="10" t="str">
        <f>IFERROR(VLOOKUP(B1590,'Pre-Summary'!$AT$6:$AX$15,4,FALSE),"")</f>
        <v/>
      </c>
      <c r="F1590">
        <f>IFERROR(VLOOKUP(B1590,'Pre-Summary'!$AL$6:$AQ$13,6,FALSE),F1589)</f>
        <v>5.9405263157894746E-2</v>
      </c>
      <c r="G1590" t="str">
        <f>IFERROR(VLOOKUP(B1590,'Pre-Summary'!$AE$6:$AJ$85,3,FALSE),"")</f>
        <v/>
      </c>
      <c r="H1590" t="str">
        <f>IFERROR(VLOOKUP(B1590,'Pre-Summary'!$AE$6:$AJ$85,4,FALSE),"")</f>
        <v/>
      </c>
      <c r="I1590" t="str">
        <f>IFERROR(VLOOKUP(B1590,'Pre-Summary'!$AE$6:$AJ$85,5,FALSE),"")</f>
        <v/>
      </c>
      <c r="J1590" s="45" t="str">
        <f>IFERROR(VLOOKUP(B1590,'Pre-Summary'!$AE$6:$AJ$85,6, FALSE),"")</f>
        <v/>
      </c>
      <c r="K1590" s="45" t="str">
        <f>IFERROR(VLOOKUP(B1590,'Pre-Summary'!$DE$6:$DG$61,3,FALSE),"")</f>
        <v/>
      </c>
      <c r="L1590" s="45" t="str">
        <f>IFERROR(VLOOKUP(B1590,'Pre-Summary'!$CU$6:$CW$36,3,FALSE),"")</f>
        <v/>
      </c>
      <c r="M1590" s="45" t="str">
        <f>IFERROR(VLOOKUP(B1590,'Pre-Summary'!$BW$6:$BY$58,2,FALSE),"")</f>
        <v/>
      </c>
      <c r="N1590" s="45" t="str">
        <f>IFERROR(VLOOKUP(B1590,'Pre-Summary'!$CD$6:$CF$64,2,FALSE),"")</f>
        <v/>
      </c>
      <c r="O1590" s="99">
        <f>IFERROR(VLOOKUP(B1590,'Pre-Summary'!$BO$6:$BQ$48,3, FALSE),O1589)</f>
        <v>1</v>
      </c>
      <c r="P1590" s="99">
        <f>IFERROR(VLOOKUP(B1590,'Pre-Summary'!$BS$6:$BU$35,3,FALSE),P1589)</f>
        <v>0.3</v>
      </c>
      <c r="Q1590" s="54">
        <f t="shared" si="72"/>
        <v>3.3333333333333335</v>
      </c>
      <c r="R1590" s="53">
        <f>IFERROR(VLOOKUP(B1590,'Pre-Summary'!$BG$6:$BM$44,7,FALSE),R1591)</f>
        <v>8.4148491316136567E-2</v>
      </c>
      <c r="S1590" s="53">
        <f>IFERROR(VLOOKUP(B1590,'Pre-Summary'!$BG$6:$BM$44,6,FALSE),S1591)</f>
        <v>0.10600540604063093</v>
      </c>
      <c r="T1590" s="45" t="str">
        <f>IFERROR(VLOOKUP(B1590,'Pre-Summary'!$Y$6:$AC$83, 3,FALSE),"")</f>
        <v/>
      </c>
      <c r="U1590" s="45" t="str">
        <f>IFERROR(VLOOKUP(B1590,'Pre-Summary'!$Y$6:$AC$83, 4,FALSE),"")</f>
        <v/>
      </c>
      <c r="V1590" t="str">
        <f>IFERROR(VLOOKUP(B1590,'Pre-Summary'!$Y$6:$AC$83, 5,FALSE),"")</f>
        <v/>
      </c>
      <c r="W1590" s="45" t="str">
        <f>IFERROR(VLOOKUP(B1590,'Pre-Summary'!$Y$6:$AD$83,6,FALSE),"")</f>
        <v/>
      </c>
      <c r="X1590" t="str">
        <f>IFERROR(VLOOKUP('Pre-Summary'!$DB$6:$DD$63,3,FALSE),"")</f>
        <v/>
      </c>
      <c r="Y1590" t="str">
        <f>IFERROR(VLOOKUP(B1590,'Pre-Summary'!$CR$6:$CT$36,3,FALSE),"")</f>
        <v/>
      </c>
      <c r="Z1590" s="45" t="str">
        <f>IFERROR(VLOOKUP(B1590,'Pre-Summary'!$BZ$6:$CB$63,2,FALSE),"")</f>
        <v/>
      </c>
      <c r="AA1590" s="45" t="str">
        <f>IFERROR(VLOOKUP(B1590,'Pre-Summary'!$CG$6:$CI$70,2,FALSE),"")</f>
        <v/>
      </c>
      <c r="AB1590" s="99">
        <f>IFERROR(VLOOKUP(B1590,'Pre-Summary'!$A$6:$P$178,9,FALSE),AB1591)</f>
        <v>0.28821360766925663</v>
      </c>
      <c r="AC1590" s="10">
        <f>IFERROR(VLOOKUP(Summary!B1590,'Pre-Summary'!$A$6:$P$184,5, FALSE)/100,AC1591)</f>
        <v>0.79926699999999995</v>
      </c>
      <c r="AD1590" s="10">
        <f>IFERROR(VLOOKUP(Summary!B1590,'Pre-Summary'!$A$6:$P$184,3, FALSE)/100,AD1591)</f>
        <v>0.18477833333333332</v>
      </c>
      <c r="AE1590" s="10">
        <f>IFERROR(VLOOKUP(Summary!B1590,'Pre-Summary'!$A$6:$P$184,7, FALSE)/100,AE1591)</f>
        <v>1.5954666666666669E-2</v>
      </c>
      <c r="AF1590" s="99">
        <f t="shared" si="73"/>
        <v>5.3255630069112457E-2</v>
      </c>
      <c r="AG1590" s="99">
        <f t="shared" si="74"/>
        <v>4.5983520391604336E-3</v>
      </c>
      <c r="AH1590" s="10" t="str">
        <f>IFERROR(VLOOKUP(B1590,'Pre-Summary'!$AZ$6:$BE$65,3,FALSE),"")</f>
        <v/>
      </c>
      <c r="AI1590" s="10" t="str">
        <f>IFERROR(VLOOKUP(B1590,'Pre-Summary'!$AZ$6:$BE$65,5,FALSE),"")</f>
        <v/>
      </c>
      <c r="AJ1590" s="10" t="str">
        <f>IFERROR(VLOOKUP(B1590,'Pre-Summary'!$AZ$6:$BE$65,4,FALSE),"")</f>
        <v/>
      </c>
      <c r="AK1590" s="10" t="str">
        <f>IFERROR(VLOOKUP(B1590,'Pre-Summary'!$AZ$6:$BE$65,6,FALSE),"")</f>
        <v/>
      </c>
      <c r="AL1590" s="10" t="str">
        <f>IFERROR(VLOOKUP(B1590,'Pre-Summary'!$BG$6:$BL$44,3,FALSE),"")</f>
        <v/>
      </c>
      <c r="AM1590" s="10" t="str">
        <f>IFERROR(VLOOKUP(B1590,'Pre-Summary'!$BG$6:$BL$44,4,FALSE),"")</f>
        <v/>
      </c>
    </row>
    <row r="1591" spans="2:39" ht="15" customHeight="1" x14ac:dyDescent="0.3">
      <c r="B1591">
        <v>158.80000000000001</v>
      </c>
      <c r="C1591" t="str">
        <f>IFERROR(VLOOKUP(B1591,'Pre-Summary'!$DI$6:$DM$23,4,FALSE),"")</f>
        <v/>
      </c>
      <c r="D1591" s="10" t="str">
        <f>IFERROR(VLOOKUP(B1591,'Pre-Summary'!$AT$6:$AX$14,5,FALSE),D1590)</f>
        <v>Wolfe v3: went back to modified wolfe + EDTA and switched CuSO4 to CUCl2</v>
      </c>
      <c r="E1591" s="10" t="str">
        <f>IFERROR(VLOOKUP(B1591,'Pre-Summary'!$AT$6:$AX$15,4,FALSE),"")</f>
        <v/>
      </c>
      <c r="F1591">
        <f>IFERROR(VLOOKUP(B1591,'Pre-Summary'!$AL$6:$AQ$13,6,FALSE),F1590)</f>
        <v>5.9405263157894746E-2</v>
      </c>
      <c r="G1591" t="str">
        <f>IFERROR(VLOOKUP(B1591,'Pre-Summary'!$AE$6:$AJ$85,3,FALSE),"")</f>
        <v/>
      </c>
      <c r="H1591" t="str">
        <f>IFERROR(VLOOKUP(B1591,'Pre-Summary'!$AE$6:$AJ$85,4,FALSE),"")</f>
        <v/>
      </c>
      <c r="I1591" t="str">
        <f>IFERROR(VLOOKUP(B1591,'Pre-Summary'!$AE$6:$AJ$85,5,FALSE),"")</f>
        <v/>
      </c>
      <c r="J1591" s="45" t="str">
        <f>IFERROR(VLOOKUP(B1591,'Pre-Summary'!$AE$6:$AJ$85,6, FALSE),"")</f>
        <v/>
      </c>
      <c r="K1591" s="45" t="str">
        <f>IFERROR(VLOOKUP(B1591,'Pre-Summary'!$DE$6:$DG$61,3,FALSE),"")</f>
        <v/>
      </c>
      <c r="L1591" s="45" t="str">
        <f>IFERROR(VLOOKUP(B1591,'Pre-Summary'!$CU$6:$CW$36,3,FALSE),"")</f>
        <v/>
      </c>
      <c r="M1591" s="45" t="str">
        <f>IFERROR(VLOOKUP(B1591,'Pre-Summary'!$BW$6:$BY$58,2,FALSE),"")</f>
        <v/>
      </c>
      <c r="N1591" s="45" t="str">
        <f>IFERROR(VLOOKUP(B1591,'Pre-Summary'!$CD$6:$CF$64,2,FALSE),"")</f>
        <v/>
      </c>
      <c r="O1591" s="99">
        <f>IFERROR(VLOOKUP(B1591,'Pre-Summary'!$BO$6:$BQ$48,3, FALSE),O1590)</f>
        <v>1</v>
      </c>
      <c r="P1591" s="99">
        <f>IFERROR(VLOOKUP(B1591,'Pre-Summary'!$BS$6:$BU$35,3,FALSE),P1590)</f>
        <v>0.3</v>
      </c>
      <c r="Q1591" s="54">
        <f t="shared" si="72"/>
        <v>3.3333333333333335</v>
      </c>
      <c r="R1591" s="53">
        <f>IFERROR(VLOOKUP(B1591,'Pre-Summary'!$BG$6:$BM$44,7,FALSE),R1592)</f>
        <v>8.4148491316136567E-2</v>
      </c>
      <c r="S1591" s="53">
        <f>IFERROR(VLOOKUP(B1591,'Pre-Summary'!$BG$6:$BM$44,6,FALSE),S1592)</f>
        <v>0.10600540604063093</v>
      </c>
      <c r="T1591" s="45" t="str">
        <f>IFERROR(VLOOKUP(B1591,'Pre-Summary'!$Y$6:$AC$83, 3,FALSE),"")</f>
        <v/>
      </c>
      <c r="U1591" s="45" t="str">
        <f>IFERROR(VLOOKUP(B1591,'Pre-Summary'!$Y$6:$AC$83, 4,FALSE),"")</f>
        <v/>
      </c>
      <c r="V1591" t="str">
        <f>IFERROR(VLOOKUP(B1591,'Pre-Summary'!$Y$6:$AC$83, 5,FALSE),"")</f>
        <v/>
      </c>
      <c r="W1591" s="45" t="str">
        <f>IFERROR(VLOOKUP(B1591,'Pre-Summary'!$Y$6:$AD$83,6,FALSE),"")</f>
        <v/>
      </c>
      <c r="X1591" t="str">
        <f>IFERROR(VLOOKUP('Pre-Summary'!$DB$6:$DD$63,3,FALSE),"")</f>
        <v/>
      </c>
      <c r="Y1591" t="str">
        <f>IFERROR(VLOOKUP(B1591,'Pre-Summary'!$CR$6:$CT$36,3,FALSE),"")</f>
        <v/>
      </c>
      <c r="Z1591" s="45" t="str">
        <f>IFERROR(VLOOKUP(B1591,'Pre-Summary'!$BZ$6:$CB$63,2,FALSE),"")</f>
        <v/>
      </c>
      <c r="AA1591" s="45" t="str">
        <f>IFERROR(VLOOKUP(B1591,'Pre-Summary'!$CG$6:$CI$70,2,FALSE),"")</f>
        <v/>
      </c>
      <c r="AB1591" s="99">
        <f>IFERROR(VLOOKUP(B1591,'Pre-Summary'!$A$6:$P$178,9,FALSE),AB1592)</f>
        <v>0.28821360766925663</v>
      </c>
      <c r="AC1591" s="10">
        <f>IFERROR(VLOOKUP(Summary!B1591,'Pre-Summary'!$A$6:$P$184,5, FALSE)/100,AC1592)</f>
        <v>0.79926699999999995</v>
      </c>
      <c r="AD1591" s="10">
        <f>IFERROR(VLOOKUP(Summary!B1591,'Pre-Summary'!$A$6:$P$184,3, FALSE)/100,AD1592)</f>
        <v>0.18477833333333332</v>
      </c>
      <c r="AE1591" s="10">
        <f>IFERROR(VLOOKUP(Summary!B1591,'Pre-Summary'!$A$6:$P$184,7, FALSE)/100,AE1592)</f>
        <v>1.5954666666666669E-2</v>
      </c>
      <c r="AF1591" s="99">
        <f t="shared" si="73"/>
        <v>5.3255630069112457E-2</v>
      </c>
      <c r="AG1591" s="99">
        <f t="shared" si="74"/>
        <v>4.5983520391604336E-3</v>
      </c>
      <c r="AH1591" s="10" t="str">
        <f>IFERROR(VLOOKUP(B1591,'Pre-Summary'!$AZ$6:$BE$65,3,FALSE),"")</f>
        <v/>
      </c>
      <c r="AI1591" s="10" t="str">
        <f>IFERROR(VLOOKUP(B1591,'Pre-Summary'!$AZ$6:$BE$65,5,FALSE),"")</f>
        <v/>
      </c>
      <c r="AJ1591" s="10" t="str">
        <f>IFERROR(VLOOKUP(B1591,'Pre-Summary'!$AZ$6:$BE$65,4,FALSE),"")</f>
        <v/>
      </c>
      <c r="AK1591" s="10" t="str">
        <f>IFERROR(VLOOKUP(B1591,'Pre-Summary'!$AZ$6:$BE$65,6,FALSE),"")</f>
        <v/>
      </c>
      <c r="AL1591" s="10" t="str">
        <f>IFERROR(VLOOKUP(B1591,'Pre-Summary'!$BG$6:$BL$44,3,FALSE),"")</f>
        <v/>
      </c>
      <c r="AM1591" s="10" t="str">
        <f>IFERROR(VLOOKUP(B1591,'Pre-Summary'!$BG$6:$BL$44,4,FALSE),"")</f>
        <v/>
      </c>
    </row>
    <row r="1592" spans="2:39" ht="15" customHeight="1" x14ac:dyDescent="0.3">
      <c r="B1592">
        <v>158.9</v>
      </c>
      <c r="C1592" t="str">
        <f>IFERROR(VLOOKUP(B1592,'Pre-Summary'!$DI$6:$DM$23,4,FALSE),"")</f>
        <v/>
      </c>
      <c r="D1592" s="10" t="str">
        <f>IFERROR(VLOOKUP(B1592,'Pre-Summary'!$AT$6:$AX$14,5,FALSE),D1591)</f>
        <v>Wolfe v3: went back to modified wolfe + EDTA and switched CuSO4 to CUCl2</v>
      </c>
      <c r="E1592" s="10" t="str">
        <f>IFERROR(VLOOKUP(B1592,'Pre-Summary'!$AT$6:$AX$15,4,FALSE),"")</f>
        <v/>
      </c>
      <c r="F1592">
        <f>IFERROR(VLOOKUP(B1592,'Pre-Summary'!$AL$6:$AQ$13,6,FALSE),F1591)</f>
        <v>5.9405263157894746E-2</v>
      </c>
      <c r="G1592" t="str">
        <f>IFERROR(VLOOKUP(B1592,'Pre-Summary'!$AE$6:$AJ$85,3,FALSE),"")</f>
        <v/>
      </c>
      <c r="H1592" t="str">
        <f>IFERROR(VLOOKUP(B1592,'Pre-Summary'!$AE$6:$AJ$85,4,FALSE),"")</f>
        <v/>
      </c>
      <c r="I1592" t="str">
        <f>IFERROR(VLOOKUP(B1592,'Pre-Summary'!$AE$6:$AJ$85,5,FALSE),"")</f>
        <v/>
      </c>
      <c r="J1592" s="45" t="str">
        <f>IFERROR(VLOOKUP(B1592,'Pre-Summary'!$AE$6:$AJ$85,6, FALSE),"")</f>
        <v/>
      </c>
      <c r="K1592" s="45" t="str">
        <f>IFERROR(VLOOKUP(B1592,'Pre-Summary'!$DE$6:$DG$61,3,FALSE),"")</f>
        <v/>
      </c>
      <c r="L1592" s="45" t="str">
        <f>IFERROR(VLOOKUP(B1592,'Pre-Summary'!$CU$6:$CW$36,3,FALSE),"")</f>
        <v/>
      </c>
      <c r="M1592" s="45" t="str">
        <f>IFERROR(VLOOKUP(B1592,'Pre-Summary'!$BW$6:$BY$58,2,FALSE),"")</f>
        <v/>
      </c>
      <c r="N1592" s="45" t="str">
        <f>IFERROR(VLOOKUP(B1592,'Pre-Summary'!$CD$6:$CF$64,2,FALSE),"")</f>
        <v/>
      </c>
      <c r="O1592" s="99">
        <f>IFERROR(VLOOKUP(B1592,'Pre-Summary'!$BO$6:$BQ$48,3, FALSE),O1591)</f>
        <v>1</v>
      </c>
      <c r="P1592" s="99">
        <f>IFERROR(VLOOKUP(B1592,'Pre-Summary'!$BS$6:$BU$35,3,FALSE),P1591)</f>
        <v>0.3</v>
      </c>
      <c r="Q1592" s="54">
        <f t="shared" si="72"/>
        <v>3.3333333333333335</v>
      </c>
      <c r="R1592" s="53">
        <f>IFERROR(VLOOKUP(B1592,'Pre-Summary'!$BG$6:$BM$44,7,FALSE),R1593)</f>
        <v>8.4148491316136567E-2</v>
      </c>
      <c r="S1592" s="53">
        <f>IFERROR(VLOOKUP(B1592,'Pre-Summary'!$BG$6:$BM$44,6,FALSE),S1593)</f>
        <v>0.10600540604063093</v>
      </c>
      <c r="T1592" s="45" t="str">
        <f>IFERROR(VLOOKUP(B1592,'Pre-Summary'!$Y$6:$AC$83, 3,FALSE),"")</f>
        <v/>
      </c>
      <c r="U1592" s="45" t="str">
        <f>IFERROR(VLOOKUP(B1592,'Pre-Summary'!$Y$6:$AC$83, 4,FALSE),"")</f>
        <v/>
      </c>
      <c r="V1592" t="str">
        <f>IFERROR(VLOOKUP(B1592,'Pre-Summary'!$Y$6:$AC$83, 5,FALSE),"")</f>
        <v/>
      </c>
      <c r="W1592" s="45" t="str">
        <f>IFERROR(VLOOKUP(B1592,'Pre-Summary'!$Y$6:$AD$83,6,FALSE),"")</f>
        <v/>
      </c>
      <c r="X1592" t="str">
        <f>IFERROR(VLOOKUP('Pre-Summary'!$DB$6:$DD$63,3,FALSE),"")</f>
        <v/>
      </c>
      <c r="Y1592" t="str">
        <f>IFERROR(VLOOKUP(B1592,'Pre-Summary'!$CR$6:$CT$36,3,FALSE),"")</f>
        <v/>
      </c>
      <c r="Z1592" s="45" t="str">
        <f>IFERROR(VLOOKUP(B1592,'Pre-Summary'!$BZ$6:$CB$63,2,FALSE),"")</f>
        <v/>
      </c>
      <c r="AA1592" s="45" t="str">
        <f>IFERROR(VLOOKUP(B1592,'Pre-Summary'!$CG$6:$CI$70,2,FALSE),"")</f>
        <v/>
      </c>
      <c r="AB1592" s="99">
        <f>IFERROR(VLOOKUP(B1592,'Pre-Summary'!$A$6:$P$178,9,FALSE),AB1593)</f>
        <v>0.28821360766925663</v>
      </c>
      <c r="AC1592" s="10">
        <f>IFERROR(VLOOKUP(Summary!B1592,'Pre-Summary'!$A$6:$P$184,5, FALSE)/100,AC1593)</f>
        <v>0.79926699999999995</v>
      </c>
      <c r="AD1592" s="10">
        <f>IFERROR(VLOOKUP(Summary!B1592,'Pre-Summary'!$A$6:$P$184,3, FALSE)/100,AD1593)</f>
        <v>0.18477833333333332</v>
      </c>
      <c r="AE1592" s="10">
        <f>IFERROR(VLOOKUP(Summary!B1592,'Pre-Summary'!$A$6:$P$184,7, FALSE)/100,AE1593)</f>
        <v>1.5954666666666669E-2</v>
      </c>
      <c r="AF1592" s="99">
        <f t="shared" si="73"/>
        <v>5.3255630069112457E-2</v>
      </c>
      <c r="AG1592" s="99">
        <f t="shared" si="74"/>
        <v>4.5983520391604336E-3</v>
      </c>
      <c r="AH1592" s="10" t="str">
        <f>IFERROR(VLOOKUP(B1592,'Pre-Summary'!$AZ$6:$BE$65,3,FALSE),"")</f>
        <v/>
      </c>
      <c r="AI1592" s="10" t="str">
        <f>IFERROR(VLOOKUP(B1592,'Pre-Summary'!$AZ$6:$BE$65,5,FALSE),"")</f>
        <v/>
      </c>
      <c r="AJ1592" s="10" t="str">
        <f>IFERROR(VLOOKUP(B1592,'Pre-Summary'!$AZ$6:$BE$65,4,FALSE),"")</f>
        <v/>
      </c>
      <c r="AK1592" s="10" t="str">
        <f>IFERROR(VLOOKUP(B1592,'Pre-Summary'!$AZ$6:$BE$65,6,FALSE),"")</f>
        <v/>
      </c>
      <c r="AL1592" s="10" t="str">
        <f>IFERROR(VLOOKUP(B1592,'Pre-Summary'!$BG$6:$BL$44,3,FALSE),"")</f>
        <v/>
      </c>
      <c r="AM1592" s="10" t="str">
        <f>IFERROR(VLOOKUP(B1592,'Pre-Summary'!$BG$6:$BL$44,4,FALSE),"")</f>
        <v/>
      </c>
    </row>
    <row r="1593" spans="2:39" ht="15" customHeight="1" x14ac:dyDescent="0.3">
      <c r="B1593">
        <v>159</v>
      </c>
      <c r="C1593" t="str">
        <f>IFERROR(VLOOKUP(B1593,'Pre-Summary'!$DI$6:$DM$23,4,FALSE),"")</f>
        <v/>
      </c>
      <c r="D1593" s="10" t="str">
        <f>IFERROR(VLOOKUP(B1593,'Pre-Summary'!$AT$6:$AX$14,5,FALSE),D1592)</f>
        <v>Wolfe v3: went back to modified wolfe + EDTA and switched CuSO4 to CUCl2</v>
      </c>
      <c r="E1593" s="10" t="str">
        <f>IFERROR(VLOOKUP(B1593,'Pre-Summary'!$AT$6:$AX$15,4,FALSE),"")</f>
        <v/>
      </c>
      <c r="F1593">
        <f>IFERROR(VLOOKUP(B1593,'Pre-Summary'!$AL$6:$AQ$13,6,FALSE),F1592)</f>
        <v>5.9405263157894746E-2</v>
      </c>
      <c r="G1593" t="str">
        <f>IFERROR(VLOOKUP(B1593,'Pre-Summary'!$AE$6:$AJ$85,3,FALSE),"")</f>
        <v/>
      </c>
      <c r="H1593" t="str">
        <f>IFERROR(VLOOKUP(B1593,'Pre-Summary'!$AE$6:$AJ$85,4,FALSE),"")</f>
        <v/>
      </c>
      <c r="I1593" t="str">
        <f>IFERROR(VLOOKUP(B1593,'Pre-Summary'!$AE$6:$AJ$85,5,FALSE),"")</f>
        <v/>
      </c>
      <c r="J1593" s="45" t="str">
        <f>IFERROR(VLOOKUP(B1593,'Pre-Summary'!$AE$6:$AJ$85,6, FALSE),"")</f>
        <v/>
      </c>
      <c r="K1593" s="45" t="str">
        <f>IFERROR(VLOOKUP(B1593,'Pre-Summary'!$DE$6:$DG$61,3,FALSE),"")</f>
        <v/>
      </c>
      <c r="L1593" s="45" t="str">
        <f>IFERROR(VLOOKUP(B1593,'Pre-Summary'!$CU$6:$CW$36,3,FALSE),"")</f>
        <v/>
      </c>
      <c r="M1593" s="45" t="str">
        <f>IFERROR(VLOOKUP(B1593,'Pre-Summary'!$BW$6:$BY$58,2,FALSE),"")</f>
        <v/>
      </c>
      <c r="N1593" s="45" t="str">
        <f>IFERROR(VLOOKUP(B1593,'Pre-Summary'!$CD$6:$CF$64,2,FALSE),"")</f>
        <v/>
      </c>
      <c r="O1593" s="99">
        <f>IFERROR(VLOOKUP(B1593,'Pre-Summary'!$BO$6:$BQ$48,3, FALSE),O1592)</f>
        <v>1</v>
      </c>
      <c r="P1593" s="99">
        <f>IFERROR(VLOOKUP(B1593,'Pre-Summary'!$BS$6:$BU$35,3,FALSE),P1592)</f>
        <v>0.3</v>
      </c>
      <c r="Q1593" s="54">
        <f t="shared" si="72"/>
        <v>3.3333333333333335</v>
      </c>
      <c r="R1593" s="53">
        <f>IFERROR(VLOOKUP(B1593,'Pre-Summary'!$BG$6:$BM$44,7,FALSE),R1594)</f>
        <v>8.4148491316136567E-2</v>
      </c>
      <c r="S1593" s="53">
        <f>IFERROR(VLOOKUP(B1593,'Pre-Summary'!$BG$6:$BM$44,6,FALSE),S1594)</f>
        <v>0.10600540604063093</v>
      </c>
      <c r="T1593" s="45" t="str">
        <f>IFERROR(VLOOKUP(B1593,'Pre-Summary'!$Y$6:$AC$83, 3,FALSE),"")</f>
        <v/>
      </c>
      <c r="U1593" s="45" t="str">
        <f>IFERROR(VLOOKUP(B1593,'Pre-Summary'!$Y$6:$AC$83, 4,FALSE),"")</f>
        <v/>
      </c>
      <c r="V1593" t="str">
        <f>IFERROR(VLOOKUP(B1593,'Pre-Summary'!$Y$6:$AC$83, 5,FALSE),"")</f>
        <v/>
      </c>
      <c r="W1593" s="45" t="str">
        <f>IFERROR(VLOOKUP(B1593,'Pre-Summary'!$Y$6:$AD$83,6,FALSE),"")</f>
        <v/>
      </c>
      <c r="X1593" t="str">
        <f>IFERROR(VLOOKUP('Pre-Summary'!$DB$6:$DD$63,3,FALSE),"")</f>
        <v/>
      </c>
      <c r="Y1593" t="str">
        <f>IFERROR(VLOOKUP(B1593,'Pre-Summary'!$CR$6:$CT$36,3,FALSE),"")</f>
        <v/>
      </c>
      <c r="Z1593" s="45" t="str">
        <f>IFERROR(VLOOKUP(B1593,'Pre-Summary'!$BZ$6:$CB$63,2,FALSE),"")</f>
        <v/>
      </c>
      <c r="AA1593" s="45" t="str">
        <f>IFERROR(VLOOKUP(B1593,'Pre-Summary'!$CG$6:$CI$70,2,FALSE),"")</f>
        <v/>
      </c>
      <c r="AB1593" s="99">
        <f>IFERROR(VLOOKUP(B1593,'Pre-Summary'!$A$6:$P$178,9,FALSE),AB1594)</f>
        <v>0.28821360766925663</v>
      </c>
      <c r="AC1593" s="10">
        <f>IFERROR(VLOOKUP(Summary!B1593,'Pre-Summary'!$A$6:$P$184,5, FALSE)/100,AC1594)</f>
        <v>0.79926699999999995</v>
      </c>
      <c r="AD1593" s="10">
        <f>IFERROR(VLOOKUP(Summary!B1593,'Pre-Summary'!$A$6:$P$184,3, FALSE)/100,AD1594)</f>
        <v>0.18477833333333332</v>
      </c>
      <c r="AE1593" s="10">
        <f>IFERROR(VLOOKUP(Summary!B1593,'Pre-Summary'!$A$6:$P$184,7, FALSE)/100,AE1594)</f>
        <v>1.5954666666666669E-2</v>
      </c>
      <c r="AF1593" s="99">
        <f t="shared" si="73"/>
        <v>5.3255630069112457E-2</v>
      </c>
      <c r="AG1593" s="99">
        <f t="shared" si="74"/>
        <v>4.5983520391604336E-3</v>
      </c>
      <c r="AH1593" s="10" t="str">
        <f>IFERROR(VLOOKUP(B1593,'Pre-Summary'!$AZ$6:$BE$65,3,FALSE),"")</f>
        <v/>
      </c>
      <c r="AI1593" s="10" t="str">
        <f>IFERROR(VLOOKUP(B1593,'Pre-Summary'!$AZ$6:$BE$65,5,FALSE),"")</f>
        <v/>
      </c>
      <c r="AJ1593" s="10" t="str">
        <f>IFERROR(VLOOKUP(B1593,'Pre-Summary'!$AZ$6:$BE$65,4,FALSE),"")</f>
        <v/>
      </c>
      <c r="AK1593" s="10" t="str">
        <f>IFERROR(VLOOKUP(B1593,'Pre-Summary'!$AZ$6:$BE$65,6,FALSE),"")</f>
        <v/>
      </c>
      <c r="AL1593" s="10" t="str">
        <f>IFERROR(VLOOKUP(B1593,'Pre-Summary'!$BG$6:$BL$44,3,FALSE),"")</f>
        <v/>
      </c>
      <c r="AM1593" s="10" t="str">
        <f>IFERROR(VLOOKUP(B1593,'Pre-Summary'!$BG$6:$BL$44,4,FALSE),"")</f>
        <v/>
      </c>
    </row>
    <row r="1594" spans="2:39" ht="15" customHeight="1" x14ac:dyDescent="0.3">
      <c r="B1594">
        <v>159.1</v>
      </c>
      <c r="C1594" t="str">
        <f>IFERROR(VLOOKUP(B1594,'Pre-Summary'!$DI$6:$DM$23,4,FALSE),"")</f>
        <v/>
      </c>
      <c r="D1594" s="10" t="str">
        <f>IFERROR(VLOOKUP(B1594,'Pre-Summary'!$AT$6:$AX$14,5,FALSE),D1593)</f>
        <v>Wolfe v3: went back to modified wolfe + EDTA and switched CuSO4 to CUCl2</v>
      </c>
      <c r="E1594" s="10" t="str">
        <f>IFERROR(VLOOKUP(B1594,'Pre-Summary'!$AT$6:$AX$15,4,FALSE),"")</f>
        <v/>
      </c>
      <c r="F1594">
        <f>IFERROR(VLOOKUP(B1594,'Pre-Summary'!$AL$6:$AQ$13,6,FALSE),F1593)</f>
        <v>5.9405263157894746E-2</v>
      </c>
      <c r="G1594" t="str">
        <f>IFERROR(VLOOKUP(B1594,'Pre-Summary'!$AE$6:$AJ$85,3,FALSE),"")</f>
        <v/>
      </c>
      <c r="H1594" t="str">
        <f>IFERROR(VLOOKUP(B1594,'Pre-Summary'!$AE$6:$AJ$85,4,FALSE),"")</f>
        <v/>
      </c>
      <c r="I1594" t="str">
        <f>IFERROR(VLOOKUP(B1594,'Pre-Summary'!$AE$6:$AJ$85,5,FALSE),"")</f>
        <v/>
      </c>
      <c r="J1594" s="45" t="str">
        <f>IFERROR(VLOOKUP(B1594,'Pre-Summary'!$AE$6:$AJ$85,6, FALSE),"")</f>
        <v/>
      </c>
      <c r="K1594" s="45" t="str">
        <f>IFERROR(VLOOKUP(B1594,'Pre-Summary'!$DE$6:$DG$61,3,FALSE),"")</f>
        <v/>
      </c>
      <c r="L1594" s="45" t="str">
        <f>IFERROR(VLOOKUP(B1594,'Pre-Summary'!$CU$6:$CW$36,3,FALSE),"")</f>
        <v/>
      </c>
      <c r="M1594" s="45" t="str">
        <f>IFERROR(VLOOKUP(B1594,'Pre-Summary'!$BW$6:$BY$58,2,FALSE),"")</f>
        <v/>
      </c>
      <c r="N1594" s="45" t="str">
        <f>IFERROR(VLOOKUP(B1594,'Pre-Summary'!$CD$6:$CF$64,2,FALSE),"")</f>
        <v/>
      </c>
      <c r="O1594" s="99">
        <f>IFERROR(VLOOKUP(B1594,'Pre-Summary'!$BO$6:$BQ$48,3, FALSE),O1593)</f>
        <v>1</v>
      </c>
      <c r="P1594" s="99">
        <f>IFERROR(VLOOKUP(B1594,'Pre-Summary'!$BS$6:$BU$35,3,FALSE),P1593)</f>
        <v>0.3</v>
      </c>
      <c r="Q1594" s="54">
        <f t="shared" si="72"/>
        <v>3.3333333333333335</v>
      </c>
      <c r="R1594" s="53">
        <f>IFERROR(VLOOKUP(B1594,'Pre-Summary'!$BG$6:$BM$44,7,FALSE),R1595)</f>
        <v>8.4148491316136567E-2</v>
      </c>
      <c r="S1594" s="53">
        <f>IFERROR(VLOOKUP(B1594,'Pre-Summary'!$BG$6:$BM$44,6,FALSE),S1595)</f>
        <v>0.10600540604063093</v>
      </c>
      <c r="T1594" s="45" t="str">
        <f>IFERROR(VLOOKUP(B1594,'Pre-Summary'!$Y$6:$AC$83, 3,FALSE),"")</f>
        <v/>
      </c>
      <c r="U1594" s="45" t="str">
        <f>IFERROR(VLOOKUP(B1594,'Pre-Summary'!$Y$6:$AC$83, 4,FALSE),"")</f>
        <v/>
      </c>
      <c r="V1594" t="str">
        <f>IFERROR(VLOOKUP(B1594,'Pre-Summary'!$Y$6:$AC$83, 5,FALSE),"")</f>
        <v/>
      </c>
      <c r="W1594" s="45" t="str">
        <f>IFERROR(VLOOKUP(B1594,'Pre-Summary'!$Y$6:$AD$83,6,FALSE),"")</f>
        <v/>
      </c>
      <c r="X1594" t="str">
        <f>IFERROR(VLOOKUP('Pre-Summary'!$DB$6:$DD$63,3,FALSE),"")</f>
        <v/>
      </c>
      <c r="Y1594" t="str">
        <f>IFERROR(VLOOKUP(B1594,'Pre-Summary'!$CR$6:$CT$36,3,FALSE),"")</f>
        <v/>
      </c>
      <c r="Z1594" s="45" t="str">
        <f>IFERROR(VLOOKUP(B1594,'Pre-Summary'!$BZ$6:$CB$63,2,FALSE),"")</f>
        <v/>
      </c>
      <c r="AA1594" s="45" t="str">
        <f>IFERROR(VLOOKUP(B1594,'Pre-Summary'!$CG$6:$CI$70,2,FALSE),"")</f>
        <v/>
      </c>
      <c r="AB1594" s="99">
        <f>IFERROR(VLOOKUP(B1594,'Pre-Summary'!$A$6:$P$178,9,FALSE),AB1595)</f>
        <v>0.28821360766925663</v>
      </c>
      <c r="AC1594" s="10">
        <f>IFERROR(VLOOKUP(Summary!B1594,'Pre-Summary'!$A$6:$P$184,5, FALSE)/100,AC1595)</f>
        <v>0.79926699999999995</v>
      </c>
      <c r="AD1594" s="10">
        <f>IFERROR(VLOOKUP(Summary!B1594,'Pre-Summary'!$A$6:$P$184,3, FALSE)/100,AD1595)</f>
        <v>0.18477833333333332</v>
      </c>
      <c r="AE1594" s="10">
        <f>IFERROR(VLOOKUP(Summary!B1594,'Pre-Summary'!$A$6:$P$184,7, FALSE)/100,AE1595)</f>
        <v>1.5954666666666669E-2</v>
      </c>
      <c r="AF1594" s="99">
        <f t="shared" si="73"/>
        <v>5.3255630069112457E-2</v>
      </c>
      <c r="AG1594" s="99">
        <f t="shared" si="74"/>
        <v>4.5983520391604336E-3</v>
      </c>
      <c r="AH1594" s="10" t="str">
        <f>IFERROR(VLOOKUP(B1594,'Pre-Summary'!$AZ$6:$BE$65,3,FALSE),"")</f>
        <v/>
      </c>
      <c r="AI1594" s="10" t="str">
        <f>IFERROR(VLOOKUP(B1594,'Pre-Summary'!$AZ$6:$BE$65,5,FALSE),"")</f>
        <v/>
      </c>
      <c r="AJ1594" s="10" t="str">
        <f>IFERROR(VLOOKUP(B1594,'Pre-Summary'!$AZ$6:$BE$65,4,FALSE),"")</f>
        <v/>
      </c>
      <c r="AK1594" s="10" t="str">
        <f>IFERROR(VLOOKUP(B1594,'Pre-Summary'!$AZ$6:$BE$65,6,FALSE),"")</f>
        <v/>
      </c>
      <c r="AL1594" s="10" t="str">
        <f>IFERROR(VLOOKUP(B1594,'Pre-Summary'!$BG$6:$BL$44,3,FALSE),"")</f>
        <v/>
      </c>
      <c r="AM1594" s="10" t="str">
        <f>IFERROR(VLOOKUP(B1594,'Pre-Summary'!$BG$6:$BL$44,4,FALSE),"")</f>
        <v/>
      </c>
    </row>
    <row r="1595" spans="2:39" ht="15" customHeight="1" x14ac:dyDescent="0.3">
      <c r="B1595">
        <v>159.19999999999999</v>
      </c>
      <c r="C1595" t="str">
        <f>IFERROR(VLOOKUP(B1595,'Pre-Summary'!$DI$6:$DM$23,4,FALSE),"")</f>
        <v/>
      </c>
      <c r="D1595" s="10" t="str">
        <f>IFERROR(VLOOKUP(B1595,'Pre-Summary'!$AT$6:$AX$14,5,FALSE),D1594)</f>
        <v>Wolfe v3: went back to modified wolfe + EDTA and switched CuSO4 to CUCl2</v>
      </c>
      <c r="E1595" s="10" t="str">
        <f>IFERROR(VLOOKUP(B1595,'Pre-Summary'!$AT$6:$AX$15,4,FALSE),"")</f>
        <v/>
      </c>
      <c r="F1595">
        <f>IFERROR(VLOOKUP(B1595,'Pre-Summary'!$AL$6:$AQ$13,6,FALSE),F1594)</f>
        <v>5.9405263157894746E-2</v>
      </c>
      <c r="G1595" t="str">
        <f>IFERROR(VLOOKUP(B1595,'Pre-Summary'!$AE$6:$AJ$85,3,FALSE),"")</f>
        <v/>
      </c>
      <c r="H1595" t="str">
        <f>IFERROR(VLOOKUP(B1595,'Pre-Summary'!$AE$6:$AJ$85,4,FALSE),"")</f>
        <v/>
      </c>
      <c r="I1595" t="str">
        <f>IFERROR(VLOOKUP(B1595,'Pre-Summary'!$AE$6:$AJ$85,5,FALSE),"")</f>
        <v/>
      </c>
      <c r="J1595" s="45" t="str">
        <f>IFERROR(VLOOKUP(B1595,'Pre-Summary'!$AE$6:$AJ$85,6, FALSE),"")</f>
        <v/>
      </c>
      <c r="K1595" s="45" t="str">
        <f>IFERROR(VLOOKUP(B1595,'Pre-Summary'!$DE$6:$DG$61,3,FALSE),"")</f>
        <v/>
      </c>
      <c r="L1595" s="45" t="str">
        <f>IFERROR(VLOOKUP(B1595,'Pre-Summary'!$CU$6:$CW$36,3,FALSE),"")</f>
        <v/>
      </c>
      <c r="M1595" s="45" t="str">
        <f>IFERROR(VLOOKUP(B1595,'Pre-Summary'!$BW$6:$BY$58,2,FALSE),"")</f>
        <v/>
      </c>
      <c r="N1595" s="45" t="str">
        <f>IFERROR(VLOOKUP(B1595,'Pre-Summary'!$CD$6:$CF$64,2,FALSE),"")</f>
        <v/>
      </c>
      <c r="O1595" s="99">
        <f>IFERROR(VLOOKUP(B1595,'Pre-Summary'!$BO$6:$BQ$48,3, FALSE),O1594)</f>
        <v>1</v>
      </c>
      <c r="P1595" s="99">
        <f>IFERROR(VLOOKUP(B1595,'Pre-Summary'!$BS$6:$BU$35,3,FALSE),P1594)</f>
        <v>0.3</v>
      </c>
      <c r="Q1595" s="54">
        <f t="shared" si="72"/>
        <v>3.3333333333333335</v>
      </c>
      <c r="R1595" s="53">
        <f>IFERROR(VLOOKUP(B1595,'Pre-Summary'!$BG$6:$BM$44,7,FALSE),R1596)</f>
        <v>8.4148491316136567E-2</v>
      </c>
      <c r="S1595" s="53">
        <f>IFERROR(VLOOKUP(B1595,'Pre-Summary'!$BG$6:$BM$44,6,FALSE),S1596)</f>
        <v>0.10600540604063093</v>
      </c>
      <c r="T1595" s="45" t="str">
        <f>IFERROR(VLOOKUP(B1595,'Pre-Summary'!$Y$6:$AC$83, 3,FALSE),"")</f>
        <v/>
      </c>
      <c r="U1595" s="45" t="str">
        <f>IFERROR(VLOOKUP(B1595,'Pre-Summary'!$Y$6:$AC$83, 4,FALSE),"")</f>
        <v/>
      </c>
      <c r="V1595" t="str">
        <f>IFERROR(VLOOKUP(B1595,'Pre-Summary'!$Y$6:$AC$83, 5,FALSE),"")</f>
        <v/>
      </c>
      <c r="W1595" s="45" t="str">
        <f>IFERROR(VLOOKUP(B1595,'Pre-Summary'!$Y$6:$AD$83,6,FALSE),"")</f>
        <v/>
      </c>
      <c r="X1595" t="str">
        <f>IFERROR(VLOOKUP('Pre-Summary'!$DB$6:$DD$63,3,FALSE),"")</f>
        <v/>
      </c>
      <c r="Y1595" t="str">
        <f>IFERROR(VLOOKUP(B1595,'Pre-Summary'!$CR$6:$CT$36,3,FALSE),"")</f>
        <v/>
      </c>
      <c r="Z1595" s="45" t="str">
        <f>IFERROR(VLOOKUP(B1595,'Pre-Summary'!$BZ$6:$CB$63,2,FALSE),"")</f>
        <v/>
      </c>
      <c r="AA1595" s="45" t="str">
        <f>IFERROR(VLOOKUP(B1595,'Pre-Summary'!$CG$6:$CI$70,2,FALSE),"")</f>
        <v/>
      </c>
      <c r="AB1595" s="99">
        <f>IFERROR(VLOOKUP(B1595,'Pre-Summary'!$A$6:$P$178,9,FALSE),AB1596)</f>
        <v>0.28821360766925663</v>
      </c>
      <c r="AC1595" s="10">
        <f>IFERROR(VLOOKUP(Summary!B1595,'Pre-Summary'!$A$6:$P$184,5, FALSE)/100,AC1596)</f>
        <v>0.79926699999999995</v>
      </c>
      <c r="AD1595" s="10">
        <f>IFERROR(VLOOKUP(Summary!B1595,'Pre-Summary'!$A$6:$P$184,3, FALSE)/100,AD1596)</f>
        <v>0.18477833333333332</v>
      </c>
      <c r="AE1595" s="10">
        <f>IFERROR(VLOOKUP(Summary!B1595,'Pre-Summary'!$A$6:$P$184,7, FALSE)/100,AE1596)</f>
        <v>1.5954666666666669E-2</v>
      </c>
      <c r="AF1595" s="99">
        <f t="shared" si="73"/>
        <v>5.3255630069112457E-2</v>
      </c>
      <c r="AG1595" s="99">
        <f t="shared" si="74"/>
        <v>4.5983520391604336E-3</v>
      </c>
      <c r="AH1595" s="10" t="str">
        <f>IFERROR(VLOOKUP(B1595,'Pre-Summary'!$AZ$6:$BE$65,3,FALSE),"")</f>
        <v/>
      </c>
      <c r="AI1595" s="10" t="str">
        <f>IFERROR(VLOOKUP(B1595,'Pre-Summary'!$AZ$6:$BE$65,5,FALSE),"")</f>
        <v/>
      </c>
      <c r="AJ1595" s="10" t="str">
        <f>IFERROR(VLOOKUP(B1595,'Pre-Summary'!$AZ$6:$BE$65,4,FALSE),"")</f>
        <v/>
      </c>
      <c r="AK1595" s="10" t="str">
        <f>IFERROR(VLOOKUP(B1595,'Pre-Summary'!$AZ$6:$BE$65,6,FALSE),"")</f>
        <v/>
      </c>
      <c r="AL1595" s="10" t="str">
        <f>IFERROR(VLOOKUP(B1595,'Pre-Summary'!$BG$6:$BL$44,3,FALSE),"")</f>
        <v/>
      </c>
      <c r="AM1595" s="10" t="str">
        <f>IFERROR(VLOOKUP(B1595,'Pre-Summary'!$BG$6:$BL$44,4,FALSE),"")</f>
        <v/>
      </c>
    </row>
    <row r="1596" spans="2:39" ht="15" customHeight="1" x14ac:dyDescent="0.3">
      <c r="B1596">
        <v>159.30000000000001</v>
      </c>
      <c r="C1596" t="str">
        <f>IFERROR(VLOOKUP(B1596,'Pre-Summary'!$DI$6:$DM$23,4,FALSE),"")</f>
        <v/>
      </c>
      <c r="D1596" s="10" t="str">
        <f>IFERROR(VLOOKUP(B1596,'Pre-Summary'!$AT$6:$AX$14,5,FALSE),D1595)</f>
        <v>Wolfe v3: went back to modified wolfe + EDTA and switched CuSO4 to CUCl2</v>
      </c>
      <c r="E1596" s="10" t="str">
        <f>IFERROR(VLOOKUP(B1596,'Pre-Summary'!$AT$6:$AX$15,4,FALSE),"")</f>
        <v/>
      </c>
      <c r="F1596">
        <f>IFERROR(VLOOKUP(B1596,'Pre-Summary'!$AL$6:$AQ$13,6,FALSE),F1595)</f>
        <v>5.9405263157894746E-2</v>
      </c>
      <c r="G1596" t="str">
        <f>IFERROR(VLOOKUP(B1596,'Pre-Summary'!$AE$6:$AJ$85,3,FALSE),"")</f>
        <v/>
      </c>
      <c r="H1596" t="str">
        <f>IFERROR(VLOOKUP(B1596,'Pre-Summary'!$AE$6:$AJ$85,4,FALSE),"")</f>
        <v/>
      </c>
      <c r="I1596" t="str">
        <f>IFERROR(VLOOKUP(B1596,'Pre-Summary'!$AE$6:$AJ$85,5,FALSE),"")</f>
        <v/>
      </c>
      <c r="J1596" s="45" t="str">
        <f>IFERROR(VLOOKUP(B1596,'Pre-Summary'!$AE$6:$AJ$85,6, FALSE),"")</f>
        <v/>
      </c>
      <c r="K1596" s="45" t="str">
        <f>IFERROR(VLOOKUP(B1596,'Pre-Summary'!$DE$6:$DG$61,3,FALSE),"")</f>
        <v/>
      </c>
      <c r="L1596" s="45" t="str">
        <f>IFERROR(VLOOKUP(B1596,'Pre-Summary'!$CU$6:$CW$36,3,FALSE),"")</f>
        <v/>
      </c>
      <c r="M1596" s="45" t="str">
        <f>IFERROR(VLOOKUP(B1596,'Pre-Summary'!$BW$6:$BY$58,2,FALSE),"")</f>
        <v/>
      </c>
      <c r="N1596" s="45" t="str">
        <f>IFERROR(VLOOKUP(B1596,'Pre-Summary'!$CD$6:$CF$64,2,FALSE),"")</f>
        <v/>
      </c>
      <c r="O1596" s="99">
        <f>IFERROR(VLOOKUP(B1596,'Pre-Summary'!$BO$6:$BQ$48,3, FALSE),O1595)</f>
        <v>1</v>
      </c>
      <c r="P1596" s="99">
        <f>IFERROR(VLOOKUP(B1596,'Pre-Summary'!$BS$6:$BU$35,3,FALSE),P1595)</f>
        <v>0.3</v>
      </c>
      <c r="Q1596" s="54">
        <f t="shared" si="72"/>
        <v>3.3333333333333335</v>
      </c>
      <c r="R1596" s="53">
        <f>IFERROR(VLOOKUP(B1596,'Pre-Summary'!$BG$6:$BM$44,7,FALSE),R1597)</f>
        <v>8.4148491316136567E-2</v>
      </c>
      <c r="S1596" s="53">
        <f>IFERROR(VLOOKUP(B1596,'Pre-Summary'!$BG$6:$BM$44,6,FALSE),S1597)</f>
        <v>0.10600540604063093</v>
      </c>
      <c r="T1596" s="45" t="str">
        <f>IFERROR(VLOOKUP(B1596,'Pre-Summary'!$Y$6:$AC$83, 3,FALSE),"")</f>
        <v/>
      </c>
      <c r="U1596" s="45" t="str">
        <f>IFERROR(VLOOKUP(B1596,'Pre-Summary'!$Y$6:$AC$83, 4,FALSE),"")</f>
        <v/>
      </c>
      <c r="V1596" t="str">
        <f>IFERROR(VLOOKUP(B1596,'Pre-Summary'!$Y$6:$AC$83, 5,FALSE),"")</f>
        <v/>
      </c>
      <c r="W1596" s="45" t="str">
        <f>IFERROR(VLOOKUP(B1596,'Pre-Summary'!$Y$6:$AD$83,6,FALSE),"")</f>
        <v/>
      </c>
      <c r="X1596" t="str">
        <f>IFERROR(VLOOKUP('Pre-Summary'!$DB$6:$DD$63,3,FALSE),"")</f>
        <v/>
      </c>
      <c r="Y1596" t="str">
        <f>IFERROR(VLOOKUP(B1596,'Pre-Summary'!$CR$6:$CT$36,3,FALSE),"")</f>
        <v/>
      </c>
      <c r="Z1596" s="45" t="str">
        <f>IFERROR(VLOOKUP(B1596,'Pre-Summary'!$BZ$6:$CB$63,2,FALSE),"")</f>
        <v/>
      </c>
      <c r="AA1596" s="45" t="str">
        <f>IFERROR(VLOOKUP(B1596,'Pre-Summary'!$CG$6:$CI$70,2,FALSE),"")</f>
        <v/>
      </c>
      <c r="AB1596" s="99">
        <f>IFERROR(VLOOKUP(B1596,'Pre-Summary'!$A$6:$P$178,9,FALSE),AB1597)</f>
        <v>0.28821360766925663</v>
      </c>
      <c r="AC1596" s="10">
        <f>IFERROR(VLOOKUP(Summary!B1596,'Pre-Summary'!$A$6:$P$184,5, FALSE)/100,AC1597)</f>
        <v>0.79926699999999995</v>
      </c>
      <c r="AD1596" s="10">
        <f>IFERROR(VLOOKUP(Summary!B1596,'Pre-Summary'!$A$6:$P$184,3, FALSE)/100,AD1597)</f>
        <v>0.18477833333333332</v>
      </c>
      <c r="AE1596" s="10">
        <f>IFERROR(VLOOKUP(Summary!B1596,'Pre-Summary'!$A$6:$P$184,7, FALSE)/100,AE1597)</f>
        <v>1.5954666666666669E-2</v>
      </c>
      <c r="AF1596" s="99">
        <f t="shared" si="73"/>
        <v>5.3255630069112457E-2</v>
      </c>
      <c r="AG1596" s="99">
        <f t="shared" si="74"/>
        <v>4.5983520391604336E-3</v>
      </c>
      <c r="AH1596" s="10" t="str">
        <f>IFERROR(VLOOKUP(B1596,'Pre-Summary'!$AZ$6:$BE$65,3,FALSE),"")</f>
        <v/>
      </c>
      <c r="AI1596" s="10" t="str">
        <f>IFERROR(VLOOKUP(B1596,'Pre-Summary'!$AZ$6:$BE$65,5,FALSE),"")</f>
        <v/>
      </c>
      <c r="AJ1596" s="10" t="str">
        <f>IFERROR(VLOOKUP(B1596,'Pre-Summary'!$AZ$6:$BE$65,4,FALSE),"")</f>
        <v/>
      </c>
      <c r="AK1596" s="10" t="str">
        <f>IFERROR(VLOOKUP(B1596,'Pre-Summary'!$AZ$6:$BE$65,6,FALSE),"")</f>
        <v/>
      </c>
      <c r="AL1596" s="10" t="str">
        <f>IFERROR(VLOOKUP(B1596,'Pre-Summary'!$BG$6:$BL$44,3,FALSE),"")</f>
        <v/>
      </c>
      <c r="AM1596" s="10" t="str">
        <f>IFERROR(VLOOKUP(B1596,'Pre-Summary'!$BG$6:$BL$44,4,FALSE),"")</f>
        <v/>
      </c>
    </row>
    <row r="1597" spans="2:39" ht="15" customHeight="1" x14ac:dyDescent="0.3">
      <c r="B1597">
        <v>159.4</v>
      </c>
      <c r="C1597" t="str">
        <f>IFERROR(VLOOKUP(B1597,'Pre-Summary'!$DI$6:$DM$23,4,FALSE),"")</f>
        <v/>
      </c>
      <c r="D1597" s="10" t="str">
        <f>IFERROR(VLOOKUP(B1597,'Pre-Summary'!$AT$6:$AX$14,5,FALSE),D1596)</f>
        <v>Wolfe v3: went back to modified wolfe + EDTA and switched CuSO4 to CUCl2</v>
      </c>
      <c r="E1597" s="10" t="str">
        <f>IFERROR(VLOOKUP(B1597,'Pre-Summary'!$AT$6:$AX$15,4,FALSE),"")</f>
        <v/>
      </c>
      <c r="F1597">
        <f>IFERROR(VLOOKUP(B1597,'Pre-Summary'!$AL$6:$AQ$13,6,FALSE),F1596)</f>
        <v>5.9405263157894746E-2</v>
      </c>
      <c r="G1597" t="str">
        <f>IFERROR(VLOOKUP(B1597,'Pre-Summary'!$AE$6:$AJ$85,3,FALSE),"")</f>
        <v/>
      </c>
      <c r="H1597" t="str">
        <f>IFERROR(VLOOKUP(B1597,'Pre-Summary'!$AE$6:$AJ$85,4,FALSE),"")</f>
        <v/>
      </c>
      <c r="I1597" t="str">
        <f>IFERROR(VLOOKUP(B1597,'Pre-Summary'!$AE$6:$AJ$85,5,FALSE),"")</f>
        <v/>
      </c>
      <c r="J1597" s="45" t="str">
        <f>IFERROR(VLOOKUP(B1597,'Pre-Summary'!$AE$6:$AJ$85,6, FALSE),"")</f>
        <v/>
      </c>
      <c r="K1597" s="45" t="str">
        <f>IFERROR(VLOOKUP(B1597,'Pre-Summary'!$DE$6:$DG$61,3,FALSE),"")</f>
        <v/>
      </c>
      <c r="L1597" s="45" t="str">
        <f>IFERROR(VLOOKUP(B1597,'Pre-Summary'!$CU$6:$CW$36,3,FALSE),"")</f>
        <v/>
      </c>
      <c r="M1597" s="45" t="str">
        <f>IFERROR(VLOOKUP(B1597,'Pre-Summary'!$BW$6:$BY$58,2,FALSE),"")</f>
        <v/>
      </c>
      <c r="N1597" s="45" t="str">
        <f>IFERROR(VLOOKUP(B1597,'Pre-Summary'!$CD$6:$CF$64,2,FALSE),"")</f>
        <v/>
      </c>
      <c r="O1597" s="99">
        <f>IFERROR(VLOOKUP(B1597,'Pre-Summary'!$BO$6:$BQ$48,3, FALSE),O1596)</f>
        <v>1</v>
      </c>
      <c r="P1597" s="99">
        <f>IFERROR(VLOOKUP(B1597,'Pre-Summary'!$BS$6:$BU$35,3,FALSE),P1596)</f>
        <v>0.3</v>
      </c>
      <c r="Q1597" s="54">
        <f t="shared" si="72"/>
        <v>3.3333333333333335</v>
      </c>
      <c r="R1597" s="53">
        <f>IFERROR(VLOOKUP(B1597,'Pre-Summary'!$BG$6:$BM$44,7,FALSE),R1598)</f>
        <v>8.4148491316136567E-2</v>
      </c>
      <c r="S1597" s="53">
        <f>IFERROR(VLOOKUP(B1597,'Pre-Summary'!$BG$6:$BM$44,6,FALSE),S1598)</f>
        <v>0.10600540604063093</v>
      </c>
      <c r="T1597" s="45" t="str">
        <f>IFERROR(VLOOKUP(B1597,'Pre-Summary'!$Y$6:$AC$83, 3,FALSE),"")</f>
        <v/>
      </c>
      <c r="U1597" s="45" t="str">
        <f>IFERROR(VLOOKUP(B1597,'Pre-Summary'!$Y$6:$AC$83, 4,FALSE),"")</f>
        <v/>
      </c>
      <c r="V1597" t="str">
        <f>IFERROR(VLOOKUP(B1597,'Pre-Summary'!$Y$6:$AC$83, 5,FALSE),"")</f>
        <v/>
      </c>
      <c r="W1597" s="45" t="str">
        <f>IFERROR(VLOOKUP(B1597,'Pre-Summary'!$Y$6:$AD$83,6,FALSE),"")</f>
        <v/>
      </c>
      <c r="X1597" t="str">
        <f>IFERROR(VLOOKUP('Pre-Summary'!$DB$6:$DD$63,3,FALSE),"")</f>
        <v/>
      </c>
      <c r="Y1597" t="str">
        <f>IFERROR(VLOOKUP(B1597,'Pre-Summary'!$CR$6:$CT$36,3,FALSE),"")</f>
        <v/>
      </c>
      <c r="Z1597" s="45" t="str">
        <f>IFERROR(VLOOKUP(B1597,'Pre-Summary'!$BZ$6:$CB$63,2,FALSE),"")</f>
        <v/>
      </c>
      <c r="AA1597" s="45" t="str">
        <f>IFERROR(VLOOKUP(B1597,'Pre-Summary'!$CG$6:$CI$70,2,FALSE),"")</f>
        <v/>
      </c>
      <c r="AB1597" s="99">
        <f>IFERROR(VLOOKUP(B1597,'Pre-Summary'!$A$6:$P$178,9,FALSE),AB1598)</f>
        <v>0.28821360766925663</v>
      </c>
      <c r="AC1597" s="10">
        <f>IFERROR(VLOOKUP(Summary!B1597,'Pre-Summary'!$A$6:$P$184,5, FALSE)/100,AC1598)</f>
        <v>0.79926699999999995</v>
      </c>
      <c r="AD1597" s="10">
        <f>IFERROR(VLOOKUP(Summary!B1597,'Pre-Summary'!$A$6:$P$184,3, FALSE)/100,AD1598)</f>
        <v>0.18477833333333332</v>
      </c>
      <c r="AE1597" s="10">
        <f>IFERROR(VLOOKUP(Summary!B1597,'Pre-Summary'!$A$6:$P$184,7, FALSE)/100,AE1598)</f>
        <v>1.5954666666666669E-2</v>
      </c>
      <c r="AF1597" s="99">
        <f t="shared" si="73"/>
        <v>5.3255630069112457E-2</v>
      </c>
      <c r="AG1597" s="99">
        <f t="shared" si="74"/>
        <v>4.5983520391604336E-3</v>
      </c>
      <c r="AH1597" s="10" t="str">
        <f>IFERROR(VLOOKUP(B1597,'Pre-Summary'!$AZ$6:$BE$65,3,FALSE),"")</f>
        <v/>
      </c>
      <c r="AI1597" s="10" t="str">
        <f>IFERROR(VLOOKUP(B1597,'Pre-Summary'!$AZ$6:$BE$65,5,FALSE),"")</f>
        <v/>
      </c>
      <c r="AJ1597" s="10" t="str">
        <f>IFERROR(VLOOKUP(B1597,'Pre-Summary'!$AZ$6:$BE$65,4,FALSE),"")</f>
        <v/>
      </c>
      <c r="AK1597" s="10" t="str">
        <f>IFERROR(VLOOKUP(B1597,'Pre-Summary'!$AZ$6:$BE$65,6,FALSE),"")</f>
        <v/>
      </c>
      <c r="AL1597" s="10" t="str">
        <f>IFERROR(VLOOKUP(B1597,'Pre-Summary'!$BG$6:$BL$44,3,FALSE),"")</f>
        <v/>
      </c>
      <c r="AM1597" s="10" t="str">
        <f>IFERROR(VLOOKUP(B1597,'Pre-Summary'!$BG$6:$BL$44,4,FALSE),"")</f>
        <v/>
      </c>
    </row>
    <row r="1598" spans="2:39" ht="15" customHeight="1" x14ac:dyDescent="0.3">
      <c r="B1598">
        <v>159.5</v>
      </c>
      <c r="C1598" t="str">
        <f>IFERROR(VLOOKUP(B1598,'Pre-Summary'!$DI$6:$DM$23,4,FALSE),"")</f>
        <v/>
      </c>
      <c r="D1598" s="10" t="str">
        <f>IFERROR(VLOOKUP(B1598,'Pre-Summary'!$AT$6:$AX$14,5,FALSE),D1597)</f>
        <v>Wolfe v3: went back to modified wolfe + EDTA and switched CuSO4 to CUCl2</v>
      </c>
      <c r="E1598" s="10" t="str">
        <f>IFERROR(VLOOKUP(B1598,'Pre-Summary'!$AT$6:$AX$15,4,FALSE),"")</f>
        <v/>
      </c>
      <c r="F1598">
        <f>IFERROR(VLOOKUP(B1598,'Pre-Summary'!$AL$6:$AQ$13,6,FALSE),F1597)</f>
        <v>5.9405263157894746E-2</v>
      </c>
      <c r="G1598">
        <f>IFERROR(VLOOKUP(B1598,'Pre-Summary'!$AE$6:$AJ$85,3,FALSE),"")</f>
        <v>107.88930000000001</v>
      </c>
      <c r="H1598">
        <f>IFERROR(VLOOKUP(B1598,'Pre-Summary'!$AE$6:$AJ$85,4,FALSE),"")</f>
        <v>1.52139</v>
      </c>
      <c r="I1598">
        <f>IFERROR(VLOOKUP(B1598,'Pre-Summary'!$AE$6:$AJ$85,5,FALSE),"")</f>
        <v>1.88</v>
      </c>
      <c r="J1598" s="45">
        <f>IFERROR(VLOOKUP(B1598,'Pre-Summary'!$AE$6:$AJ$85,6, FALSE),"")</f>
        <v>120.83910756</v>
      </c>
      <c r="K1598" s="45" t="str">
        <f>IFERROR(VLOOKUP(B1598,'Pre-Summary'!$DE$6:$DG$61,3,FALSE),"")</f>
        <v/>
      </c>
      <c r="L1598" s="45" t="str">
        <f>IFERROR(VLOOKUP(B1598,'Pre-Summary'!$CU$6:$CW$36,3,FALSE),"")</f>
        <v/>
      </c>
      <c r="M1598" s="45" t="str">
        <f>IFERROR(VLOOKUP(B1598,'Pre-Summary'!$BW$6:$BY$58,2,FALSE),"")</f>
        <v/>
      </c>
      <c r="N1598" s="45">
        <f>IFERROR(VLOOKUP(B1598,'Pre-Summary'!$CD$6:$CF$64,2,FALSE),"")</f>
        <v>171.48420893281155</v>
      </c>
      <c r="O1598" s="99">
        <f>IFERROR(VLOOKUP(B1598,'Pre-Summary'!$BO$6:$BQ$48,3, FALSE),O1597)</f>
        <v>1</v>
      </c>
      <c r="P1598" s="99">
        <f>IFERROR(VLOOKUP(B1598,'Pre-Summary'!$BS$6:$BU$35,3,FALSE),P1597)</f>
        <v>0.3</v>
      </c>
      <c r="Q1598" s="54">
        <f t="shared" si="72"/>
        <v>3.3333333333333335</v>
      </c>
      <c r="R1598" s="53">
        <f>IFERROR(VLOOKUP(B1598,'Pre-Summary'!$BG$6:$BM$44,7,FALSE),R1599)</f>
        <v>8.4148491316136567E-2</v>
      </c>
      <c r="S1598" s="53">
        <f>IFERROR(VLOOKUP(B1598,'Pre-Summary'!$BG$6:$BM$44,6,FALSE),S1599)</f>
        <v>0.10600540604063093</v>
      </c>
      <c r="T1598" s="45">
        <f>IFERROR(VLOOKUP(B1598,'Pre-Summary'!$Y$6:$AC$83, 3,FALSE),"")</f>
        <v>5.7185550000000003</v>
      </c>
      <c r="U1598" s="45">
        <f>IFERROR(VLOOKUP(B1598,'Pre-Summary'!$Y$6:$AC$83, 4,FALSE),"")</f>
        <v>6.4004089999999998</v>
      </c>
      <c r="V1598">
        <f>IFERROR(VLOOKUP(B1598,'Pre-Summary'!$Y$6:$AC$83, 5,FALSE),"")</f>
        <v>1.93</v>
      </c>
      <c r="W1598" s="45">
        <f>IFERROR(VLOOKUP(B1598,'Pre-Summary'!$Y$6:$AD$83,6,FALSE),"")</f>
        <v>19.300657411</v>
      </c>
      <c r="X1598" t="str">
        <f>IFERROR(VLOOKUP('Pre-Summary'!$DB$6:$DD$63,3,FALSE),"")</f>
        <v/>
      </c>
      <c r="Y1598" t="str">
        <f>IFERROR(VLOOKUP(B1598,'Pre-Summary'!$CR$6:$CT$36,3,FALSE),"")</f>
        <v/>
      </c>
      <c r="Z1598" s="45" t="str">
        <f>IFERROR(VLOOKUP(B1598,'Pre-Summary'!$BZ$6:$CB$63,2,FALSE),"")</f>
        <v/>
      </c>
      <c r="AA1598" s="45" t="str">
        <f>IFERROR(VLOOKUP(B1598,'Pre-Summary'!$CG$6:$CI$70,2,FALSE),"")</f>
        <v/>
      </c>
      <c r="AB1598" s="99">
        <f>IFERROR(VLOOKUP(B1598,'Pre-Summary'!$A$6:$P$178,9,FALSE),AB1599)</f>
        <v>0.28821360766925663</v>
      </c>
      <c r="AC1598" s="10">
        <f>IFERROR(VLOOKUP(Summary!B1598,'Pre-Summary'!$A$6:$P$184,5, FALSE)/100,AC1599)</f>
        <v>0.79926699999999995</v>
      </c>
      <c r="AD1598" s="10">
        <f>IFERROR(VLOOKUP(Summary!B1598,'Pre-Summary'!$A$6:$P$184,3, FALSE)/100,AD1599)</f>
        <v>0.18477833333333332</v>
      </c>
      <c r="AE1598" s="10">
        <f>IFERROR(VLOOKUP(Summary!B1598,'Pre-Summary'!$A$6:$P$184,7, FALSE)/100,AE1599)</f>
        <v>1.5954666666666669E-2</v>
      </c>
      <c r="AF1598" s="99">
        <f t="shared" si="73"/>
        <v>5.3255630069112457E-2</v>
      </c>
      <c r="AG1598" s="99">
        <f t="shared" si="74"/>
        <v>4.5983520391604336E-3</v>
      </c>
      <c r="AH1598" s="10" t="str">
        <f>IFERROR(VLOOKUP(B1598,'Pre-Summary'!$AZ$6:$BE$65,3,FALSE),"")</f>
        <v/>
      </c>
      <c r="AI1598" s="10" t="str">
        <f>IFERROR(VLOOKUP(B1598,'Pre-Summary'!$AZ$6:$BE$65,5,FALSE),"")</f>
        <v/>
      </c>
      <c r="AJ1598" s="10" t="str">
        <f>IFERROR(VLOOKUP(B1598,'Pre-Summary'!$AZ$6:$BE$65,4,FALSE),"")</f>
        <v/>
      </c>
      <c r="AK1598" s="10" t="str">
        <f>IFERROR(VLOOKUP(B1598,'Pre-Summary'!$AZ$6:$BE$65,6,FALSE),"")</f>
        <v/>
      </c>
      <c r="AL1598" s="10" t="str">
        <f>IFERROR(VLOOKUP(B1598,'Pre-Summary'!$BG$6:$BL$44,3,FALSE),"")</f>
        <v/>
      </c>
      <c r="AM1598" s="10" t="str">
        <f>IFERROR(VLOOKUP(B1598,'Pre-Summary'!$BG$6:$BL$44,4,FALSE),"")</f>
        <v/>
      </c>
    </row>
    <row r="1599" spans="2:39" ht="15" customHeight="1" x14ac:dyDescent="0.3">
      <c r="B1599">
        <v>159.6</v>
      </c>
      <c r="C1599" t="str">
        <f>IFERROR(VLOOKUP(B1599,'Pre-Summary'!$DI$6:$DM$23,4,FALSE),"")</f>
        <v/>
      </c>
      <c r="D1599" s="10" t="str">
        <f>IFERROR(VLOOKUP(B1599,'Pre-Summary'!$AT$6:$AX$14,5,FALSE),D1598)</f>
        <v>Wolfe v3: went back to modified wolfe + EDTA and switched CuSO4 to CUCl2</v>
      </c>
      <c r="E1599" s="10" t="str">
        <f>IFERROR(VLOOKUP(B1599,'Pre-Summary'!$AT$6:$AX$15,4,FALSE),"")</f>
        <v/>
      </c>
      <c r="F1599">
        <f>IFERROR(VLOOKUP(B1599,'Pre-Summary'!$AL$6:$AQ$13,6,FALSE),F1598)</f>
        <v>5.9405263157894746E-2</v>
      </c>
      <c r="G1599" t="str">
        <f>IFERROR(VLOOKUP(B1599,'Pre-Summary'!$AE$6:$AJ$85,3,FALSE),"")</f>
        <v/>
      </c>
      <c r="H1599" t="str">
        <f>IFERROR(VLOOKUP(B1599,'Pre-Summary'!$AE$6:$AJ$85,4,FALSE),"")</f>
        <v/>
      </c>
      <c r="I1599" t="str">
        <f>IFERROR(VLOOKUP(B1599,'Pre-Summary'!$AE$6:$AJ$85,5,FALSE),"")</f>
        <v/>
      </c>
      <c r="J1599" s="45" t="str">
        <f>IFERROR(VLOOKUP(B1599,'Pre-Summary'!$AE$6:$AJ$85,6, FALSE),"")</f>
        <v/>
      </c>
      <c r="K1599" s="45" t="str">
        <f>IFERROR(VLOOKUP(B1599,'Pre-Summary'!$DE$6:$DG$61,3,FALSE),"")</f>
        <v/>
      </c>
      <c r="L1599" s="45" t="str">
        <f>IFERROR(VLOOKUP(B1599,'Pre-Summary'!$CU$6:$CW$36,3,FALSE),"")</f>
        <v/>
      </c>
      <c r="M1599" s="45" t="str">
        <f>IFERROR(VLOOKUP(B1599,'Pre-Summary'!$BW$6:$BY$58,2,FALSE),"")</f>
        <v/>
      </c>
      <c r="N1599" s="45" t="str">
        <f>IFERROR(VLOOKUP(B1599,'Pre-Summary'!$CD$6:$CF$64,2,FALSE),"")</f>
        <v/>
      </c>
      <c r="O1599" s="99">
        <f>IFERROR(VLOOKUP(B1599,'Pre-Summary'!$BO$6:$BQ$48,3, FALSE),O1598)</f>
        <v>1</v>
      </c>
      <c r="P1599" s="99">
        <f>IFERROR(VLOOKUP(B1599,'Pre-Summary'!$BS$6:$BU$35,3,FALSE),P1598)</f>
        <v>0.3</v>
      </c>
      <c r="Q1599" s="54">
        <f t="shared" si="72"/>
        <v>3.3333333333333335</v>
      </c>
      <c r="R1599" s="53">
        <f>IFERROR(VLOOKUP(B1599,'Pre-Summary'!$BG$6:$BM$44,7,FALSE),R1600)</f>
        <v>8.4148491316136567E-2</v>
      </c>
      <c r="S1599" s="53">
        <f>IFERROR(VLOOKUP(B1599,'Pre-Summary'!$BG$6:$BM$44,6,FALSE),S1600)</f>
        <v>0.10600540604063093</v>
      </c>
      <c r="T1599" s="45" t="str">
        <f>IFERROR(VLOOKUP(B1599,'Pre-Summary'!$Y$6:$AC$83, 3,FALSE),"")</f>
        <v/>
      </c>
      <c r="U1599" s="45" t="str">
        <f>IFERROR(VLOOKUP(B1599,'Pre-Summary'!$Y$6:$AC$83, 4,FALSE),"")</f>
        <v/>
      </c>
      <c r="V1599" t="str">
        <f>IFERROR(VLOOKUP(B1599,'Pre-Summary'!$Y$6:$AC$83, 5,FALSE),"")</f>
        <v/>
      </c>
      <c r="W1599" s="45" t="str">
        <f>IFERROR(VLOOKUP(B1599,'Pre-Summary'!$Y$6:$AD$83,6,FALSE),"")</f>
        <v/>
      </c>
      <c r="X1599" t="str">
        <f>IFERROR(VLOOKUP('Pre-Summary'!$DB$6:$DD$63,3,FALSE),"")</f>
        <v/>
      </c>
      <c r="Y1599" t="str">
        <f>IFERROR(VLOOKUP(B1599,'Pre-Summary'!$CR$6:$CT$36,3,FALSE),"")</f>
        <v/>
      </c>
      <c r="Z1599" s="45" t="str">
        <f>IFERROR(VLOOKUP(B1599,'Pre-Summary'!$BZ$6:$CB$63,2,FALSE),"")</f>
        <v/>
      </c>
      <c r="AA1599" s="45" t="str">
        <f>IFERROR(VLOOKUP(B1599,'Pre-Summary'!$CG$6:$CI$70,2,FALSE),"")</f>
        <v/>
      </c>
      <c r="AB1599" s="99">
        <f>IFERROR(VLOOKUP(B1599,'Pre-Summary'!$A$6:$P$178,9,FALSE),AB1600)</f>
        <v>0.28821360766925663</v>
      </c>
      <c r="AC1599" s="10">
        <f>IFERROR(VLOOKUP(Summary!B1599,'Pre-Summary'!$A$6:$P$184,5, FALSE)/100,AC1600)</f>
        <v>0.79926699999999995</v>
      </c>
      <c r="AD1599" s="10">
        <f>IFERROR(VLOOKUP(Summary!B1599,'Pre-Summary'!$A$6:$P$184,3, FALSE)/100,AD1600)</f>
        <v>0.18477833333333332</v>
      </c>
      <c r="AE1599" s="10">
        <f>IFERROR(VLOOKUP(Summary!B1599,'Pre-Summary'!$A$6:$P$184,7, FALSE)/100,AE1600)</f>
        <v>1.5954666666666669E-2</v>
      </c>
      <c r="AF1599" s="99">
        <f t="shared" si="73"/>
        <v>5.3255630069112457E-2</v>
      </c>
      <c r="AG1599" s="99">
        <f t="shared" si="74"/>
        <v>4.5983520391604336E-3</v>
      </c>
      <c r="AH1599" s="10" t="str">
        <f>IFERROR(VLOOKUP(B1599,'Pre-Summary'!$AZ$6:$BE$65,3,FALSE),"")</f>
        <v/>
      </c>
      <c r="AI1599" s="10" t="str">
        <f>IFERROR(VLOOKUP(B1599,'Pre-Summary'!$AZ$6:$BE$65,5,FALSE),"")</f>
        <v/>
      </c>
      <c r="AJ1599" s="10" t="str">
        <f>IFERROR(VLOOKUP(B1599,'Pre-Summary'!$AZ$6:$BE$65,4,FALSE),"")</f>
        <v/>
      </c>
      <c r="AK1599" s="10" t="str">
        <f>IFERROR(VLOOKUP(B1599,'Pre-Summary'!$AZ$6:$BE$65,6,FALSE),"")</f>
        <v/>
      </c>
      <c r="AL1599" s="10" t="str">
        <f>IFERROR(VLOOKUP(B1599,'Pre-Summary'!$BG$6:$BL$44,3,FALSE),"")</f>
        <v/>
      </c>
      <c r="AM1599" s="10" t="str">
        <f>IFERROR(VLOOKUP(B1599,'Pre-Summary'!$BG$6:$BL$44,4,FALSE),"")</f>
        <v/>
      </c>
    </row>
    <row r="1600" spans="2:39" ht="15" customHeight="1" x14ac:dyDescent="0.3">
      <c r="B1600">
        <v>159.69999999999999</v>
      </c>
      <c r="C1600" t="str">
        <f>IFERROR(VLOOKUP(B1600,'Pre-Summary'!$DI$6:$DM$23,4,FALSE),"")</f>
        <v/>
      </c>
      <c r="D1600" s="10" t="str">
        <f>IFERROR(VLOOKUP(B1600,'Pre-Summary'!$AT$6:$AX$14,5,FALSE),D1599)</f>
        <v>Wolfe v3: went back to modified wolfe + EDTA and switched CuSO4 to CUCl2</v>
      </c>
      <c r="E1600" s="10" t="str">
        <f>IFERROR(VLOOKUP(B1600,'Pre-Summary'!$AT$6:$AX$15,4,FALSE),"")</f>
        <v/>
      </c>
      <c r="F1600">
        <f>IFERROR(VLOOKUP(B1600,'Pre-Summary'!$AL$6:$AQ$13,6,FALSE),F1599)</f>
        <v>5.9405263157894746E-2</v>
      </c>
      <c r="G1600" t="str">
        <f>IFERROR(VLOOKUP(B1600,'Pre-Summary'!$AE$6:$AJ$85,3,FALSE),"")</f>
        <v/>
      </c>
      <c r="H1600" t="str">
        <f>IFERROR(VLOOKUP(B1600,'Pre-Summary'!$AE$6:$AJ$85,4,FALSE),"")</f>
        <v/>
      </c>
      <c r="I1600" t="str">
        <f>IFERROR(VLOOKUP(B1600,'Pre-Summary'!$AE$6:$AJ$85,5,FALSE),"")</f>
        <v/>
      </c>
      <c r="J1600" s="45" t="str">
        <f>IFERROR(VLOOKUP(B1600,'Pre-Summary'!$AE$6:$AJ$85,6, FALSE),"")</f>
        <v/>
      </c>
      <c r="K1600" s="45" t="str">
        <f>IFERROR(VLOOKUP(B1600,'Pre-Summary'!$DE$6:$DG$61,3,FALSE),"")</f>
        <v/>
      </c>
      <c r="L1600" s="45" t="str">
        <f>IFERROR(VLOOKUP(B1600,'Pre-Summary'!$CU$6:$CW$36,3,FALSE),"")</f>
        <v/>
      </c>
      <c r="M1600" s="45" t="str">
        <f>IFERROR(VLOOKUP(B1600,'Pre-Summary'!$BW$6:$BY$58,2,FALSE),"")</f>
        <v/>
      </c>
      <c r="N1600" s="45" t="str">
        <f>IFERROR(VLOOKUP(B1600,'Pre-Summary'!$CD$6:$CF$64,2,FALSE),"")</f>
        <v/>
      </c>
      <c r="O1600" s="99">
        <f>IFERROR(VLOOKUP(B1600,'Pre-Summary'!$BO$6:$BQ$48,3, FALSE),O1599)</f>
        <v>1</v>
      </c>
      <c r="P1600" s="99">
        <f>IFERROR(VLOOKUP(B1600,'Pre-Summary'!$BS$6:$BU$35,3,FALSE),P1599)</f>
        <v>0.3</v>
      </c>
      <c r="Q1600" s="54">
        <f t="shared" si="72"/>
        <v>3.3333333333333335</v>
      </c>
      <c r="R1600" s="53">
        <f>IFERROR(VLOOKUP(B1600,'Pre-Summary'!$BG$6:$BM$44,7,FALSE),R1601)</f>
        <v>8.4148491316136567E-2</v>
      </c>
      <c r="S1600" s="53">
        <f>IFERROR(VLOOKUP(B1600,'Pre-Summary'!$BG$6:$BM$44,6,FALSE),S1601)</f>
        <v>0.10600540604063093</v>
      </c>
      <c r="T1600" s="45" t="str">
        <f>IFERROR(VLOOKUP(B1600,'Pre-Summary'!$Y$6:$AC$83, 3,FALSE),"")</f>
        <v/>
      </c>
      <c r="U1600" s="45" t="str">
        <f>IFERROR(VLOOKUP(B1600,'Pre-Summary'!$Y$6:$AC$83, 4,FALSE),"")</f>
        <v/>
      </c>
      <c r="V1600" t="str">
        <f>IFERROR(VLOOKUP(B1600,'Pre-Summary'!$Y$6:$AC$83, 5,FALSE),"")</f>
        <v/>
      </c>
      <c r="W1600" s="45" t="str">
        <f>IFERROR(VLOOKUP(B1600,'Pre-Summary'!$Y$6:$AD$83,6,FALSE),"")</f>
        <v/>
      </c>
      <c r="X1600" t="str">
        <f>IFERROR(VLOOKUP('Pre-Summary'!$DB$6:$DD$63,3,FALSE),"")</f>
        <v/>
      </c>
      <c r="Y1600" t="str">
        <f>IFERROR(VLOOKUP(B1600,'Pre-Summary'!$CR$6:$CT$36,3,FALSE),"")</f>
        <v/>
      </c>
      <c r="Z1600" s="45" t="str">
        <f>IFERROR(VLOOKUP(B1600,'Pre-Summary'!$BZ$6:$CB$63,2,FALSE),"")</f>
        <v/>
      </c>
      <c r="AA1600" s="45" t="str">
        <f>IFERROR(VLOOKUP(B1600,'Pre-Summary'!$CG$6:$CI$70,2,FALSE),"")</f>
        <v/>
      </c>
      <c r="AB1600" s="99">
        <f>IFERROR(VLOOKUP(B1600,'Pre-Summary'!$A$6:$P$178,9,FALSE),AB1601)</f>
        <v>0.28821360766925663</v>
      </c>
      <c r="AC1600" s="10">
        <f>IFERROR(VLOOKUP(Summary!B1600,'Pre-Summary'!$A$6:$P$184,5, FALSE)/100,AC1601)</f>
        <v>0.79926699999999995</v>
      </c>
      <c r="AD1600" s="10">
        <f>IFERROR(VLOOKUP(Summary!B1600,'Pre-Summary'!$A$6:$P$184,3, FALSE)/100,AD1601)</f>
        <v>0.18477833333333332</v>
      </c>
      <c r="AE1600" s="10">
        <f>IFERROR(VLOOKUP(Summary!B1600,'Pre-Summary'!$A$6:$P$184,7, FALSE)/100,AE1601)</f>
        <v>1.5954666666666669E-2</v>
      </c>
      <c r="AF1600" s="99">
        <f t="shared" si="73"/>
        <v>5.3255630069112457E-2</v>
      </c>
      <c r="AG1600" s="99">
        <f t="shared" si="74"/>
        <v>4.5983520391604336E-3</v>
      </c>
      <c r="AH1600" s="10" t="str">
        <f>IFERROR(VLOOKUP(B1600,'Pre-Summary'!$AZ$6:$BE$65,3,FALSE),"")</f>
        <v/>
      </c>
      <c r="AI1600" s="10" t="str">
        <f>IFERROR(VLOOKUP(B1600,'Pre-Summary'!$AZ$6:$BE$65,5,FALSE),"")</f>
        <v/>
      </c>
      <c r="AJ1600" s="10" t="str">
        <f>IFERROR(VLOOKUP(B1600,'Pre-Summary'!$AZ$6:$BE$65,4,FALSE),"")</f>
        <v/>
      </c>
      <c r="AK1600" s="10" t="str">
        <f>IFERROR(VLOOKUP(B1600,'Pre-Summary'!$AZ$6:$BE$65,6,FALSE),"")</f>
        <v/>
      </c>
      <c r="AL1600" s="10" t="str">
        <f>IFERROR(VLOOKUP(B1600,'Pre-Summary'!$BG$6:$BL$44,3,FALSE),"")</f>
        <v/>
      </c>
      <c r="AM1600" s="10" t="str">
        <f>IFERROR(VLOOKUP(B1600,'Pre-Summary'!$BG$6:$BL$44,4,FALSE),"")</f>
        <v/>
      </c>
    </row>
    <row r="1601" spans="2:39" ht="15" customHeight="1" x14ac:dyDescent="0.3">
      <c r="B1601">
        <v>159.80000000000001</v>
      </c>
      <c r="C1601" t="str">
        <f>IFERROR(VLOOKUP(B1601,'Pre-Summary'!$DI$6:$DM$23,4,FALSE),"")</f>
        <v/>
      </c>
      <c r="D1601" s="10" t="str">
        <f>IFERROR(VLOOKUP(B1601,'Pre-Summary'!$AT$6:$AX$14,5,FALSE),D1600)</f>
        <v>Wolfe v3: went back to modified wolfe + EDTA and switched CuSO4 to CUCl2</v>
      </c>
      <c r="E1601" s="10" t="str">
        <f>IFERROR(VLOOKUP(B1601,'Pre-Summary'!$AT$6:$AX$15,4,FALSE),"")</f>
        <v/>
      </c>
      <c r="F1601">
        <f>IFERROR(VLOOKUP(B1601,'Pre-Summary'!$AL$6:$AQ$13,6,FALSE),F1600)</f>
        <v>5.9405263157894746E-2</v>
      </c>
      <c r="G1601" t="str">
        <f>IFERROR(VLOOKUP(B1601,'Pre-Summary'!$AE$6:$AJ$85,3,FALSE),"")</f>
        <v/>
      </c>
      <c r="H1601" t="str">
        <f>IFERROR(VLOOKUP(B1601,'Pre-Summary'!$AE$6:$AJ$85,4,FALSE),"")</f>
        <v/>
      </c>
      <c r="I1601" t="str">
        <f>IFERROR(VLOOKUP(B1601,'Pre-Summary'!$AE$6:$AJ$85,5,FALSE),"")</f>
        <v/>
      </c>
      <c r="J1601" s="45" t="str">
        <f>IFERROR(VLOOKUP(B1601,'Pre-Summary'!$AE$6:$AJ$85,6, FALSE),"")</f>
        <v/>
      </c>
      <c r="K1601" s="45" t="str">
        <f>IFERROR(VLOOKUP(B1601,'Pre-Summary'!$DE$6:$DG$61,3,FALSE),"")</f>
        <v/>
      </c>
      <c r="L1601" s="45" t="str">
        <f>IFERROR(VLOOKUP(B1601,'Pre-Summary'!$CU$6:$CW$36,3,FALSE),"")</f>
        <v/>
      </c>
      <c r="M1601" s="45" t="str">
        <f>IFERROR(VLOOKUP(B1601,'Pre-Summary'!$BW$6:$BY$58,2,FALSE),"")</f>
        <v/>
      </c>
      <c r="N1601" s="45" t="str">
        <f>IFERROR(VLOOKUP(B1601,'Pre-Summary'!$CD$6:$CF$64,2,FALSE),"")</f>
        <v/>
      </c>
      <c r="O1601" s="99">
        <f>IFERROR(VLOOKUP(B1601,'Pre-Summary'!$BO$6:$BQ$48,3, FALSE),O1600)</f>
        <v>1</v>
      </c>
      <c r="P1601" s="99">
        <f>IFERROR(VLOOKUP(B1601,'Pre-Summary'!$BS$6:$BU$35,3,FALSE),P1600)</f>
        <v>0.3</v>
      </c>
      <c r="Q1601" s="54">
        <f t="shared" si="72"/>
        <v>3.3333333333333335</v>
      </c>
      <c r="R1601" s="53">
        <f>IFERROR(VLOOKUP(B1601,'Pre-Summary'!$BG$6:$BM$44,7,FALSE),R1602)</f>
        <v>8.4148491316136567E-2</v>
      </c>
      <c r="S1601" s="53">
        <f>IFERROR(VLOOKUP(B1601,'Pre-Summary'!$BG$6:$BM$44,6,FALSE),S1602)</f>
        <v>0.10600540604063093</v>
      </c>
      <c r="T1601" s="45" t="str">
        <f>IFERROR(VLOOKUP(B1601,'Pre-Summary'!$Y$6:$AC$83, 3,FALSE),"")</f>
        <v/>
      </c>
      <c r="U1601" s="45" t="str">
        <f>IFERROR(VLOOKUP(B1601,'Pre-Summary'!$Y$6:$AC$83, 4,FALSE),"")</f>
        <v/>
      </c>
      <c r="V1601" t="str">
        <f>IFERROR(VLOOKUP(B1601,'Pre-Summary'!$Y$6:$AC$83, 5,FALSE),"")</f>
        <v/>
      </c>
      <c r="W1601" s="45" t="str">
        <f>IFERROR(VLOOKUP(B1601,'Pre-Summary'!$Y$6:$AD$83,6,FALSE),"")</f>
        <v/>
      </c>
      <c r="X1601" t="str">
        <f>IFERROR(VLOOKUP('Pre-Summary'!$DB$6:$DD$63,3,FALSE),"")</f>
        <v/>
      </c>
      <c r="Y1601" t="str">
        <f>IFERROR(VLOOKUP(B1601,'Pre-Summary'!$CR$6:$CT$36,3,FALSE),"")</f>
        <v/>
      </c>
      <c r="Z1601" s="45" t="str">
        <f>IFERROR(VLOOKUP(B1601,'Pre-Summary'!$BZ$6:$CB$63,2,FALSE),"")</f>
        <v/>
      </c>
      <c r="AA1601" s="45" t="str">
        <f>IFERROR(VLOOKUP(B1601,'Pre-Summary'!$CG$6:$CI$70,2,FALSE),"")</f>
        <v/>
      </c>
      <c r="AB1601" s="99">
        <f>IFERROR(VLOOKUP(B1601,'Pre-Summary'!$A$6:$P$178,9,FALSE),AB1602)</f>
        <v>0.28821360766925663</v>
      </c>
      <c r="AC1601" s="10">
        <f>IFERROR(VLOOKUP(Summary!B1601,'Pre-Summary'!$A$6:$P$184,5, FALSE)/100,AC1602)</f>
        <v>0.79926699999999995</v>
      </c>
      <c r="AD1601" s="10">
        <f>IFERROR(VLOOKUP(Summary!B1601,'Pre-Summary'!$A$6:$P$184,3, FALSE)/100,AD1602)</f>
        <v>0.18477833333333332</v>
      </c>
      <c r="AE1601" s="10">
        <f>IFERROR(VLOOKUP(Summary!B1601,'Pre-Summary'!$A$6:$P$184,7, FALSE)/100,AE1602)</f>
        <v>1.5954666666666669E-2</v>
      </c>
      <c r="AF1601" s="99">
        <f t="shared" si="73"/>
        <v>5.3255630069112457E-2</v>
      </c>
      <c r="AG1601" s="99">
        <f t="shared" si="74"/>
        <v>4.5983520391604336E-3</v>
      </c>
      <c r="AH1601" s="10" t="str">
        <f>IFERROR(VLOOKUP(B1601,'Pre-Summary'!$AZ$6:$BE$65,3,FALSE),"")</f>
        <v/>
      </c>
      <c r="AI1601" s="10" t="str">
        <f>IFERROR(VLOOKUP(B1601,'Pre-Summary'!$AZ$6:$BE$65,5,FALSE),"")</f>
        <v/>
      </c>
      <c r="AJ1601" s="10" t="str">
        <f>IFERROR(VLOOKUP(B1601,'Pre-Summary'!$AZ$6:$BE$65,4,FALSE),"")</f>
        <v/>
      </c>
      <c r="AK1601" s="10" t="str">
        <f>IFERROR(VLOOKUP(B1601,'Pre-Summary'!$AZ$6:$BE$65,6,FALSE),"")</f>
        <v/>
      </c>
      <c r="AL1601" s="10" t="str">
        <f>IFERROR(VLOOKUP(B1601,'Pre-Summary'!$BG$6:$BL$44,3,FALSE),"")</f>
        <v/>
      </c>
      <c r="AM1601" s="10" t="str">
        <f>IFERROR(VLOOKUP(B1601,'Pre-Summary'!$BG$6:$BL$44,4,FALSE),"")</f>
        <v/>
      </c>
    </row>
    <row r="1602" spans="2:39" ht="15" customHeight="1" x14ac:dyDescent="0.3">
      <c r="B1602">
        <v>159.9</v>
      </c>
      <c r="C1602" t="str">
        <f>IFERROR(VLOOKUP(B1602,'Pre-Summary'!$DI$6:$DM$23,4,FALSE),"")</f>
        <v/>
      </c>
      <c r="D1602" s="10" t="str">
        <f>IFERROR(VLOOKUP(B1602,'Pre-Summary'!$AT$6:$AX$14,5,FALSE),D1601)</f>
        <v>Wolfe v3: went back to modified wolfe + EDTA and switched CuSO4 to CUCl2</v>
      </c>
      <c r="E1602" s="10" t="str">
        <f>IFERROR(VLOOKUP(B1602,'Pre-Summary'!$AT$6:$AX$15,4,FALSE),"")</f>
        <v/>
      </c>
      <c r="F1602">
        <f>IFERROR(VLOOKUP(B1602,'Pre-Summary'!$AL$6:$AQ$13,6,FALSE),F1601)</f>
        <v>5.9405263157894746E-2</v>
      </c>
      <c r="G1602" t="str">
        <f>IFERROR(VLOOKUP(B1602,'Pre-Summary'!$AE$6:$AJ$85,3,FALSE),"")</f>
        <v/>
      </c>
      <c r="H1602" t="str">
        <f>IFERROR(VLOOKUP(B1602,'Pre-Summary'!$AE$6:$AJ$85,4,FALSE),"")</f>
        <v/>
      </c>
      <c r="I1602" t="str">
        <f>IFERROR(VLOOKUP(B1602,'Pre-Summary'!$AE$6:$AJ$85,5,FALSE),"")</f>
        <v/>
      </c>
      <c r="J1602" s="45" t="str">
        <f>IFERROR(VLOOKUP(B1602,'Pre-Summary'!$AE$6:$AJ$85,6, FALSE),"")</f>
        <v/>
      </c>
      <c r="K1602" s="45">
        <f>IFERROR(VLOOKUP(B1602,'Pre-Summary'!$DE$6:$DG$61,3,FALSE),"")</f>
        <v>324</v>
      </c>
      <c r="L1602" s="45">
        <f>IFERROR(VLOOKUP(B1602,'Pre-Summary'!$CU$6:$CW$36,3,FALSE),"")</f>
        <v>308.60000000000002</v>
      </c>
      <c r="M1602" s="45">
        <f>IFERROR(VLOOKUP(B1602,'Pre-Summary'!$BW$6:$BY$58,2,FALSE),"")</f>
        <v>7.5258770403527533E-2</v>
      </c>
      <c r="N1602" s="45" t="str">
        <f>IFERROR(VLOOKUP(B1602,'Pre-Summary'!$CD$6:$CF$64,2,FALSE),"")</f>
        <v/>
      </c>
      <c r="O1602" s="99">
        <f>IFERROR(VLOOKUP(B1602,'Pre-Summary'!$BO$6:$BQ$48,3, FALSE),O1601)</f>
        <v>1</v>
      </c>
      <c r="P1602" s="99">
        <f>IFERROR(VLOOKUP(B1602,'Pre-Summary'!$BS$6:$BU$35,3,FALSE),P1601)</f>
        <v>0.3</v>
      </c>
      <c r="Q1602" s="54">
        <f t="shared" si="72"/>
        <v>3.3333333333333335</v>
      </c>
      <c r="R1602" s="53">
        <f>IFERROR(VLOOKUP(B1602,'Pre-Summary'!$BG$6:$BM$44,7,FALSE),R1603)</f>
        <v>8.4148491316136567E-2</v>
      </c>
      <c r="S1602" s="53">
        <f>IFERROR(VLOOKUP(B1602,'Pre-Summary'!$BG$6:$BM$44,6,FALSE),S1603)</f>
        <v>0.10600540604063093</v>
      </c>
      <c r="T1602" s="45" t="str">
        <f>IFERROR(VLOOKUP(B1602,'Pre-Summary'!$Y$6:$AC$83, 3,FALSE),"")</f>
        <v/>
      </c>
      <c r="U1602" s="45" t="str">
        <f>IFERROR(VLOOKUP(B1602,'Pre-Summary'!$Y$6:$AC$83, 4,FALSE),"")</f>
        <v/>
      </c>
      <c r="V1602" t="str">
        <f>IFERROR(VLOOKUP(B1602,'Pre-Summary'!$Y$6:$AC$83, 5,FALSE),"")</f>
        <v/>
      </c>
      <c r="W1602" s="45" t="str">
        <f>IFERROR(VLOOKUP(B1602,'Pre-Summary'!$Y$6:$AD$83,6,FALSE),"")</f>
        <v/>
      </c>
      <c r="X1602" t="str">
        <f>IFERROR(VLOOKUP('Pre-Summary'!$DB$6:$DD$63,3,FALSE),"")</f>
        <v/>
      </c>
      <c r="Y1602">
        <f>IFERROR(VLOOKUP(B1602,'Pre-Summary'!$CR$6:$CT$36,3,FALSE),"")</f>
        <v>297.2</v>
      </c>
      <c r="Z1602" s="45">
        <f>IFERROR(VLOOKUP(B1602,'Pre-Summary'!$BZ$6:$CB$63,2,FALSE),"")</f>
        <v>80.97664779300888</v>
      </c>
      <c r="AA1602" s="45">
        <f>IFERROR(VLOOKUP(B1602,'Pre-Summary'!$CG$6:$CI$70,2,FALSE),"")</f>
        <v>207.26415992019705</v>
      </c>
      <c r="AB1602" s="99">
        <f>IFERROR(VLOOKUP(B1602,'Pre-Summary'!$A$6:$P$178,9,FALSE),AB1603)</f>
        <v>0.28821360766925663</v>
      </c>
      <c r="AC1602" s="10">
        <f>IFERROR(VLOOKUP(Summary!B1602,'Pre-Summary'!$A$6:$P$184,5, FALSE)/100,AC1603)</f>
        <v>0.79926699999999995</v>
      </c>
      <c r="AD1602" s="10">
        <f>IFERROR(VLOOKUP(Summary!B1602,'Pre-Summary'!$A$6:$P$184,3, FALSE)/100,AD1603)</f>
        <v>0.18477833333333332</v>
      </c>
      <c r="AE1602" s="10">
        <f>IFERROR(VLOOKUP(Summary!B1602,'Pre-Summary'!$A$6:$P$184,7, FALSE)/100,AE1603)</f>
        <v>1.5954666666666669E-2</v>
      </c>
      <c r="AF1602" s="99">
        <f t="shared" si="73"/>
        <v>5.3255630069112457E-2</v>
      </c>
      <c r="AG1602" s="99">
        <f t="shared" si="74"/>
        <v>4.5983520391604336E-3</v>
      </c>
      <c r="AH1602" s="10">
        <f>IFERROR(VLOOKUP(B1602,'Pre-Summary'!$AZ$6:$BE$65,3,FALSE),"")</f>
        <v>473</v>
      </c>
      <c r="AI1602" s="10">
        <f>IFERROR(VLOOKUP(B1602,'Pre-Summary'!$AZ$6:$BE$65,5,FALSE),"")</f>
        <v>122</v>
      </c>
      <c r="AJ1602" s="10">
        <f>IFERROR(VLOOKUP(B1602,'Pre-Summary'!$AZ$6:$BE$65,4,FALSE),"")</f>
        <v>376</v>
      </c>
      <c r="AK1602" s="10">
        <f>IFERROR(VLOOKUP(B1602,'Pre-Summary'!$AZ$6:$BE$65,6,FALSE),"")</f>
        <v>106</v>
      </c>
      <c r="AL1602" s="10">
        <f>IFERROR(VLOOKUP(B1602,'Pre-Summary'!$BG$6:$BL$44,3,FALSE),"")</f>
        <v>9.3677078755902858</v>
      </c>
      <c r="AM1602" s="10">
        <f>IFERROR(VLOOKUP(B1602,'Pre-Summary'!$BG$6:$BL$44,4,FALSE),"")</f>
        <v>2.9479628603113084</v>
      </c>
    </row>
    <row r="1603" spans="2:39" ht="15" customHeight="1" x14ac:dyDescent="0.3">
      <c r="B1603">
        <v>160</v>
      </c>
      <c r="C1603" t="str">
        <f>IFERROR(VLOOKUP(B1603,'Pre-Summary'!$DI$6:$DM$23,4,FALSE),"")</f>
        <v/>
      </c>
      <c r="D1603" s="10" t="str">
        <f>IFERROR(VLOOKUP(B1603,'Pre-Summary'!$AT$6:$AX$14,5,FALSE),D1602)</f>
        <v>Wolfe v3: went back to modified wolfe + EDTA and switched CuSO4 to CUCl2</v>
      </c>
      <c r="E1603" s="10" t="str">
        <f>IFERROR(VLOOKUP(B1603,'Pre-Summary'!$AT$6:$AX$15,4,FALSE),"")</f>
        <v/>
      </c>
      <c r="F1603">
        <f>IFERROR(VLOOKUP(B1603,'Pre-Summary'!$AL$6:$AQ$13,6,FALSE),F1602)</f>
        <v>5.9405263157894746E-2</v>
      </c>
      <c r="G1603" t="str">
        <f>IFERROR(VLOOKUP(B1603,'Pre-Summary'!$AE$6:$AJ$85,3,FALSE),"")</f>
        <v/>
      </c>
      <c r="H1603" t="str">
        <f>IFERROR(VLOOKUP(B1603,'Pre-Summary'!$AE$6:$AJ$85,4,FALSE),"")</f>
        <v/>
      </c>
      <c r="I1603" t="str">
        <f>IFERROR(VLOOKUP(B1603,'Pre-Summary'!$AE$6:$AJ$85,5,FALSE),"")</f>
        <v/>
      </c>
      <c r="J1603" s="45" t="str">
        <f>IFERROR(VLOOKUP(B1603,'Pre-Summary'!$AE$6:$AJ$85,6, FALSE),"")</f>
        <v/>
      </c>
      <c r="K1603" s="45" t="str">
        <f>IFERROR(VLOOKUP(B1603,'Pre-Summary'!$DE$6:$DG$61,3,FALSE),"")</f>
        <v/>
      </c>
      <c r="L1603" s="45" t="str">
        <f>IFERROR(VLOOKUP(B1603,'Pre-Summary'!$CU$6:$CW$36,3,FALSE),"")</f>
        <v/>
      </c>
      <c r="M1603" s="45" t="str">
        <f>IFERROR(VLOOKUP(B1603,'Pre-Summary'!$BW$6:$BY$58,2,FALSE),"")</f>
        <v/>
      </c>
      <c r="N1603" s="45" t="str">
        <f>IFERROR(VLOOKUP(B1603,'Pre-Summary'!$CD$6:$CF$64,2,FALSE),"")</f>
        <v/>
      </c>
      <c r="O1603" s="99">
        <f>IFERROR(VLOOKUP(B1603,'Pre-Summary'!$BO$6:$BQ$48,3, FALSE),O1602)</f>
        <v>1</v>
      </c>
      <c r="P1603" s="99">
        <f>IFERROR(VLOOKUP(B1603,'Pre-Summary'!$BS$6:$BU$35,3,FALSE),P1602)</f>
        <v>0.4</v>
      </c>
      <c r="Q1603" s="54">
        <f t="shared" ref="Q1603:Q1666" si="75">O1603/P1603</f>
        <v>2.5</v>
      </c>
      <c r="R1603" s="53">
        <f>IFERROR(VLOOKUP(B1603,'Pre-Summary'!$BG$6:$BM$44,7,FALSE),R1604)</f>
        <v>8.3576993058106674E-2</v>
      </c>
      <c r="S1603" s="53">
        <f>IFERROR(VLOOKUP(B1603,'Pre-Summary'!$BG$6:$BM$44,6,FALSE),S1604)</f>
        <v>0.10174646781791266</v>
      </c>
      <c r="T1603" s="45" t="str">
        <f>IFERROR(VLOOKUP(B1603,'Pre-Summary'!$Y$6:$AC$83, 3,FALSE),"")</f>
        <v/>
      </c>
      <c r="U1603" s="45" t="str">
        <f>IFERROR(VLOOKUP(B1603,'Pre-Summary'!$Y$6:$AC$83, 4,FALSE),"")</f>
        <v/>
      </c>
      <c r="V1603" t="str">
        <f>IFERROR(VLOOKUP(B1603,'Pre-Summary'!$Y$6:$AC$83, 5,FALSE),"")</f>
        <v/>
      </c>
      <c r="W1603" s="45" t="str">
        <f>IFERROR(VLOOKUP(B1603,'Pre-Summary'!$Y$6:$AD$83,6,FALSE),"")</f>
        <v/>
      </c>
      <c r="X1603" t="str">
        <f>IFERROR(VLOOKUP('Pre-Summary'!$DB$6:$DD$63,3,FALSE),"")</f>
        <v/>
      </c>
      <c r="Y1603" t="str">
        <f>IFERROR(VLOOKUP(B1603,'Pre-Summary'!$CR$6:$CT$36,3,FALSE),"")</f>
        <v/>
      </c>
      <c r="Z1603" s="45" t="str">
        <f>IFERROR(VLOOKUP(B1603,'Pre-Summary'!$BZ$6:$CB$63,2,FALSE),"")</f>
        <v/>
      </c>
      <c r="AA1603" s="45" t="str">
        <f>IFERROR(VLOOKUP(B1603,'Pre-Summary'!$CG$6:$CI$70,2,FALSE),"")</f>
        <v/>
      </c>
      <c r="AB1603" s="99">
        <f>IFERROR(VLOOKUP(B1603,'Pre-Summary'!$A$6:$P$178,9,FALSE),AB1604)</f>
        <v>0.3585597452218669</v>
      </c>
      <c r="AC1603" s="10">
        <f>IFERROR(VLOOKUP(Summary!B1603,'Pre-Summary'!$A$6:$P$184,5, FALSE)/100,AC1604)</f>
        <v>0.90001266666666668</v>
      </c>
      <c r="AD1603" s="10">
        <f>IFERROR(VLOOKUP(Summary!B1603,'Pre-Summary'!$A$6:$P$184,3, FALSE)/100,AD1604)</f>
        <v>8.2243333333333335E-2</v>
      </c>
      <c r="AE1603" s="10">
        <f>IFERROR(VLOOKUP(Summary!B1603,'Pre-Summary'!$A$6:$P$184,7, FALSE)/100,AE1604)</f>
        <v>1.7743999999999999E-2</v>
      </c>
      <c r="AF1603" s="99">
        <f t="shared" ref="AF1603:AF1666" si="76">AD1603*AB1603</f>
        <v>2.9489148646197075E-2</v>
      </c>
      <c r="AG1603" s="99">
        <f t="shared" ref="AG1603:AG1666" si="77">AB1603*AE1603</f>
        <v>6.3622841192168059E-3</v>
      </c>
      <c r="AH1603" s="10" t="str">
        <f>IFERROR(VLOOKUP(B1603,'Pre-Summary'!$AZ$6:$BE$65,3,FALSE),"")</f>
        <v/>
      </c>
      <c r="AI1603" s="10" t="str">
        <f>IFERROR(VLOOKUP(B1603,'Pre-Summary'!$AZ$6:$BE$65,5,FALSE),"")</f>
        <v/>
      </c>
      <c r="AJ1603" s="10" t="str">
        <f>IFERROR(VLOOKUP(B1603,'Pre-Summary'!$AZ$6:$BE$65,4,FALSE),"")</f>
        <v/>
      </c>
      <c r="AK1603" s="10" t="str">
        <f>IFERROR(VLOOKUP(B1603,'Pre-Summary'!$AZ$6:$BE$65,6,FALSE),"")</f>
        <v/>
      </c>
      <c r="AL1603" s="10" t="str">
        <f>IFERROR(VLOOKUP(B1603,'Pre-Summary'!$BG$6:$BL$44,3,FALSE),"")</f>
        <v/>
      </c>
      <c r="AM1603" s="10" t="str">
        <f>IFERROR(VLOOKUP(B1603,'Pre-Summary'!$BG$6:$BL$44,4,FALSE),"")</f>
        <v/>
      </c>
    </row>
    <row r="1604" spans="2:39" ht="15" customHeight="1" x14ac:dyDescent="0.3">
      <c r="B1604">
        <v>160.1</v>
      </c>
      <c r="C1604" t="str">
        <f>IFERROR(VLOOKUP(B1604,'Pre-Summary'!$DI$6:$DM$23,4,FALSE),"")</f>
        <v/>
      </c>
      <c r="D1604" s="10" t="str">
        <f>IFERROR(VLOOKUP(B1604,'Pre-Summary'!$AT$6:$AX$14,5,FALSE),D1603)</f>
        <v>Wolfe v3: went back to modified wolfe + EDTA and switched CuSO4 to CUCl2</v>
      </c>
      <c r="E1604" s="10" t="str">
        <f>IFERROR(VLOOKUP(B1604,'Pre-Summary'!$AT$6:$AX$15,4,FALSE),"")</f>
        <v/>
      </c>
      <c r="F1604">
        <f>IFERROR(VLOOKUP(B1604,'Pre-Summary'!$AL$6:$AQ$13,6,FALSE),F1603)</f>
        <v>5.9405263157894746E-2</v>
      </c>
      <c r="G1604" t="str">
        <f>IFERROR(VLOOKUP(B1604,'Pre-Summary'!$AE$6:$AJ$85,3,FALSE),"")</f>
        <v/>
      </c>
      <c r="H1604" t="str">
        <f>IFERROR(VLOOKUP(B1604,'Pre-Summary'!$AE$6:$AJ$85,4,FALSE),"")</f>
        <v/>
      </c>
      <c r="I1604" t="str">
        <f>IFERROR(VLOOKUP(B1604,'Pre-Summary'!$AE$6:$AJ$85,5,FALSE),"")</f>
        <v/>
      </c>
      <c r="J1604" s="45" t="str">
        <f>IFERROR(VLOOKUP(B1604,'Pre-Summary'!$AE$6:$AJ$85,6, FALSE),"")</f>
        <v/>
      </c>
      <c r="K1604" s="45" t="str">
        <f>IFERROR(VLOOKUP(B1604,'Pre-Summary'!$DE$6:$DG$61,3,FALSE),"")</f>
        <v/>
      </c>
      <c r="L1604" s="45" t="str">
        <f>IFERROR(VLOOKUP(B1604,'Pre-Summary'!$CU$6:$CW$36,3,FALSE),"")</f>
        <v/>
      </c>
      <c r="M1604" s="45" t="str">
        <f>IFERROR(VLOOKUP(B1604,'Pre-Summary'!$BW$6:$BY$58,2,FALSE),"")</f>
        <v/>
      </c>
      <c r="N1604" s="45" t="str">
        <f>IFERROR(VLOOKUP(B1604,'Pre-Summary'!$CD$6:$CF$64,2,FALSE),"")</f>
        <v/>
      </c>
      <c r="O1604" s="99">
        <f>IFERROR(VLOOKUP(B1604,'Pre-Summary'!$BO$6:$BQ$48,3, FALSE),O1603)</f>
        <v>1</v>
      </c>
      <c r="P1604" s="99">
        <f>IFERROR(VLOOKUP(B1604,'Pre-Summary'!$BS$6:$BU$35,3,FALSE),P1603)</f>
        <v>0.4</v>
      </c>
      <c r="Q1604" s="54">
        <f t="shared" si="75"/>
        <v>2.5</v>
      </c>
      <c r="R1604" s="53">
        <f>IFERROR(VLOOKUP(B1604,'Pre-Summary'!$BG$6:$BM$44,7,FALSE),R1605)</f>
        <v>8.3576993058106674E-2</v>
      </c>
      <c r="S1604" s="53">
        <f>IFERROR(VLOOKUP(B1604,'Pre-Summary'!$BG$6:$BM$44,6,FALSE),S1605)</f>
        <v>0.10174646781791266</v>
      </c>
      <c r="T1604" s="45" t="str">
        <f>IFERROR(VLOOKUP(B1604,'Pre-Summary'!$Y$6:$AC$83, 3,FALSE),"")</f>
        <v/>
      </c>
      <c r="U1604" s="45" t="str">
        <f>IFERROR(VLOOKUP(B1604,'Pre-Summary'!$Y$6:$AC$83, 4,FALSE),"")</f>
        <v/>
      </c>
      <c r="V1604" t="str">
        <f>IFERROR(VLOOKUP(B1604,'Pre-Summary'!$Y$6:$AC$83, 5,FALSE),"")</f>
        <v/>
      </c>
      <c r="W1604" s="45" t="str">
        <f>IFERROR(VLOOKUP(B1604,'Pre-Summary'!$Y$6:$AD$83,6,FALSE),"")</f>
        <v/>
      </c>
      <c r="X1604" t="str">
        <f>IFERROR(VLOOKUP('Pre-Summary'!$DB$6:$DD$63,3,FALSE),"")</f>
        <v/>
      </c>
      <c r="Y1604" t="str">
        <f>IFERROR(VLOOKUP(B1604,'Pre-Summary'!$CR$6:$CT$36,3,FALSE),"")</f>
        <v/>
      </c>
      <c r="Z1604" s="45" t="str">
        <f>IFERROR(VLOOKUP(B1604,'Pre-Summary'!$BZ$6:$CB$63,2,FALSE),"")</f>
        <v/>
      </c>
      <c r="AA1604" s="45" t="str">
        <f>IFERROR(VLOOKUP(B1604,'Pre-Summary'!$CG$6:$CI$70,2,FALSE),"")</f>
        <v/>
      </c>
      <c r="AB1604" s="99">
        <f>IFERROR(VLOOKUP(B1604,'Pre-Summary'!$A$6:$P$178,9,FALSE),AB1605)</f>
        <v>0.3585597452218669</v>
      </c>
      <c r="AC1604" s="10">
        <f>IFERROR(VLOOKUP(Summary!B1604,'Pre-Summary'!$A$6:$P$184,5, FALSE)/100,AC1605)</f>
        <v>0.90001266666666668</v>
      </c>
      <c r="AD1604" s="10">
        <f>IFERROR(VLOOKUP(Summary!B1604,'Pre-Summary'!$A$6:$P$184,3, FALSE)/100,AD1605)</f>
        <v>8.2243333333333335E-2</v>
      </c>
      <c r="AE1604" s="10">
        <f>IFERROR(VLOOKUP(Summary!B1604,'Pre-Summary'!$A$6:$P$184,7, FALSE)/100,AE1605)</f>
        <v>1.7743999999999999E-2</v>
      </c>
      <c r="AF1604" s="99">
        <f t="shared" si="76"/>
        <v>2.9489148646197075E-2</v>
      </c>
      <c r="AG1604" s="99">
        <f t="shared" si="77"/>
        <v>6.3622841192168059E-3</v>
      </c>
      <c r="AH1604" s="10" t="str">
        <f>IFERROR(VLOOKUP(B1604,'Pre-Summary'!$AZ$6:$BE$65,3,FALSE),"")</f>
        <v/>
      </c>
      <c r="AI1604" s="10" t="str">
        <f>IFERROR(VLOOKUP(B1604,'Pre-Summary'!$AZ$6:$BE$65,5,FALSE),"")</f>
        <v/>
      </c>
      <c r="AJ1604" s="10" t="str">
        <f>IFERROR(VLOOKUP(B1604,'Pre-Summary'!$AZ$6:$BE$65,4,FALSE),"")</f>
        <v/>
      </c>
      <c r="AK1604" s="10" t="str">
        <f>IFERROR(VLOOKUP(B1604,'Pre-Summary'!$AZ$6:$BE$65,6,FALSE),"")</f>
        <v/>
      </c>
      <c r="AL1604" s="10" t="str">
        <f>IFERROR(VLOOKUP(B1604,'Pre-Summary'!$BG$6:$BL$44,3,FALSE),"")</f>
        <v/>
      </c>
      <c r="AM1604" s="10" t="str">
        <f>IFERROR(VLOOKUP(B1604,'Pre-Summary'!$BG$6:$BL$44,4,FALSE),"")</f>
        <v/>
      </c>
    </row>
    <row r="1605" spans="2:39" ht="15" customHeight="1" x14ac:dyDescent="0.3">
      <c r="B1605">
        <v>160.19999999999999</v>
      </c>
      <c r="C1605" t="str">
        <f>IFERROR(VLOOKUP(B1605,'Pre-Summary'!$DI$6:$DM$23,4,FALSE),"")</f>
        <v/>
      </c>
      <c r="D1605" s="10" t="str">
        <f>IFERROR(VLOOKUP(B1605,'Pre-Summary'!$AT$6:$AX$14,5,FALSE),D1604)</f>
        <v>Wolfe v3: went back to modified wolfe + EDTA and switched CuSO4 to CUCl2</v>
      </c>
      <c r="E1605" s="10" t="str">
        <f>IFERROR(VLOOKUP(B1605,'Pre-Summary'!$AT$6:$AX$15,4,FALSE),"")</f>
        <v/>
      </c>
      <c r="F1605">
        <f>IFERROR(VLOOKUP(B1605,'Pre-Summary'!$AL$6:$AQ$13,6,FALSE),F1604)</f>
        <v>5.9405263157894746E-2</v>
      </c>
      <c r="G1605" t="str">
        <f>IFERROR(VLOOKUP(B1605,'Pre-Summary'!$AE$6:$AJ$85,3,FALSE),"")</f>
        <v/>
      </c>
      <c r="H1605" t="str">
        <f>IFERROR(VLOOKUP(B1605,'Pre-Summary'!$AE$6:$AJ$85,4,FALSE),"")</f>
        <v/>
      </c>
      <c r="I1605" t="str">
        <f>IFERROR(VLOOKUP(B1605,'Pre-Summary'!$AE$6:$AJ$85,5,FALSE),"")</f>
        <v/>
      </c>
      <c r="J1605" s="45" t="str">
        <f>IFERROR(VLOOKUP(B1605,'Pre-Summary'!$AE$6:$AJ$85,6, FALSE),"")</f>
        <v/>
      </c>
      <c r="K1605" s="45" t="str">
        <f>IFERROR(VLOOKUP(B1605,'Pre-Summary'!$DE$6:$DG$61,3,FALSE),"")</f>
        <v/>
      </c>
      <c r="L1605" s="45" t="str">
        <f>IFERROR(VLOOKUP(B1605,'Pre-Summary'!$CU$6:$CW$36,3,FALSE),"")</f>
        <v/>
      </c>
      <c r="M1605" s="45" t="str">
        <f>IFERROR(VLOOKUP(B1605,'Pre-Summary'!$BW$6:$BY$58,2,FALSE),"")</f>
        <v/>
      </c>
      <c r="N1605" s="45" t="str">
        <f>IFERROR(VLOOKUP(B1605,'Pre-Summary'!$CD$6:$CF$64,2,FALSE),"")</f>
        <v/>
      </c>
      <c r="O1605" s="99">
        <f>IFERROR(VLOOKUP(B1605,'Pre-Summary'!$BO$6:$BQ$48,3, FALSE),O1604)</f>
        <v>1</v>
      </c>
      <c r="P1605" s="99">
        <f>IFERROR(VLOOKUP(B1605,'Pre-Summary'!$BS$6:$BU$35,3,FALSE),P1604)</f>
        <v>0.4</v>
      </c>
      <c r="Q1605" s="54">
        <f t="shared" si="75"/>
        <v>2.5</v>
      </c>
      <c r="R1605" s="53">
        <f>IFERROR(VLOOKUP(B1605,'Pre-Summary'!$BG$6:$BM$44,7,FALSE),R1606)</f>
        <v>8.3576993058106674E-2</v>
      </c>
      <c r="S1605" s="53">
        <f>IFERROR(VLOOKUP(B1605,'Pre-Summary'!$BG$6:$BM$44,6,FALSE),S1606)</f>
        <v>0.10174646781791266</v>
      </c>
      <c r="T1605" s="45" t="str">
        <f>IFERROR(VLOOKUP(B1605,'Pre-Summary'!$Y$6:$AC$83, 3,FALSE),"")</f>
        <v/>
      </c>
      <c r="U1605" s="45" t="str">
        <f>IFERROR(VLOOKUP(B1605,'Pre-Summary'!$Y$6:$AC$83, 4,FALSE),"")</f>
        <v/>
      </c>
      <c r="V1605" t="str">
        <f>IFERROR(VLOOKUP(B1605,'Pre-Summary'!$Y$6:$AC$83, 5,FALSE),"")</f>
        <v/>
      </c>
      <c r="W1605" s="45" t="str">
        <f>IFERROR(VLOOKUP(B1605,'Pre-Summary'!$Y$6:$AD$83,6,FALSE),"")</f>
        <v/>
      </c>
      <c r="X1605" t="str">
        <f>IFERROR(VLOOKUP('Pre-Summary'!$DB$6:$DD$63,3,FALSE),"")</f>
        <v/>
      </c>
      <c r="Y1605" t="str">
        <f>IFERROR(VLOOKUP(B1605,'Pre-Summary'!$CR$6:$CT$36,3,FALSE),"")</f>
        <v/>
      </c>
      <c r="Z1605" s="45" t="str">
        <f>IFERROR(VLOOKUP(B1605,'Pre-Summary'!$BZ$6:$CB$63,2,FALSE),"")</f>
        <v/>
      </c>
      <c r="AA1605" s="45" t="str">
        <f>IFERROR(VLOOKUP(B1605,'Pre-Summary'!$CG$6:$CI$70,2,FALSE),"")</f>
        <v/>
      </c>
      <c r="AB1605" s="99">
        <f>IFERROR(VLOOKUP(B1605,'Pre-Summary'!$A$6:$P$178,9,FALSE),AB1606)</f>
        <v>0.3585597452218669</v>
      </c>
      <c r="AC1605" s="10">
        <f>IFERROR(VLOOKUP(Summary!B1605,'Pre-Summary'!$A$6:$P$184,5, FALSE)/100,AC1606)</f>
        <v>0.90001266666666668</v>
      </c>
      <c r="AD1605" s="10">
        <f>IFERROR(VLOOKUP(Summary!B1605,'Pre-Summary'!$A$6:$P$184,3, FALSE)/100,AD1606)</f>
        <v>8.2243333333333335E-2</v>
      </c>
      <c r="AE1605" s="10">
        <f>IFERROR(VLOOKUP(Summary!B1605,'Pre-Summary'!$A$6:$P$184,7, FALSE)/100,AE1606)</f>
        <v>1.7743999999999999E-2</v>
      </c>
      <c r="AF1605" s="99">
        <f t="shared" si="76"/>
        <v>2.9489148646197075E-2</v>
      </c>
      <c r="AG1605" s="99">
        <f t="shared" si="77"/>
        <v>6.3622841192168059E-3</v>
      </c>
      <c r="AH1605" s="10" t="str">
        <f>IFERROR(VLOOKUP(B1605,'Pre-Summary'!$AZ$6:$BE$65,3,FALSE),"")</f>
        <v/>
      </c>
      <c r="AI1605" s="10" t="str">
        <f>IFERROR(VLOOKUP(B1605,'Pre-Summary'!$AZ$6:$BE$65,5,FALSE),"")</f>
        <v/>
      </c>
      <c r="AJ1605" s="10" t="str">
        <f>IFERROR(VLOOKUP(B1605,'Pre-Summary'!$AZ$6:$BE$65,4,FALSE),"")</f>
        <v/>
      </c>
      <c r="AK1605" s="10" t="str">
        <f>IFERROR(VLOOKUP(B1605,'Pre-Summary'!$AZ$6:$BE$65,6,FALSE),"")</f>
        <v/>
      </c>
      <c r="AL1605" s="10" t="str">
        <f>IFERROR(VLOOKUP(B1605,'Pre-Summary'!$BG$6:$BL$44,3,FALSE),"")</f>
        <v/>
      </c>
      <c r="AM1605" s="10" t="str">
        <f>IFERROR(VLOOKUP(B1605,'Pre-Summary'!$BG$6:$BL$44,4,FALSE),"")</f>
        <v/>
      </c>
    </row>
    <row r="1606" spans="2:39" ht="15" customHeight="1" x14ac:dyDescent="0.3">
      <c r="B1606">
        <v>160.30000000000001</v>
      </c>
      <c r="C1606" t="str">
        <f>IFERROR(VLOOKUP(B1606,'Pre-Summary'!$DI$6:$DM$23,4,FALSE),"")</f>
        <v/>
      </c>
      <c r="D1606" s="10" t="str">
        <f>IFERROR(VLOOKUP(B1606,'Pre-Summary'!$AT$6:$AX$14,5,FALSE),D1605)</f>
        <v>Wolfe v3: went back to modified wolfe + EDTA and switched CuSO4 to CUCl2</v>
      </c>
      <c r="E1606" s="10" t="str">
        <f>IFERROR(VLOOKUP(B1606,'Pre-Summary'!$AT$6:$AX$15,4,FALSE),"")</f>
        <v/>
      </c>
      <c r="F1606">
        <f>IFERROR(VLOOKUP(B1606,'Pre-Summary'!$AL$6:$AQ$13,6,FALSE),F1605)</f>
        <v>5.9405263157894746E-2</v>
      </c>
      <c r="G1606" t="str">
        <f>IFERROR(VLOOKUP(B1606,'Pre-Summary'!$AE$6:$AJ$85,3,FALSE),"")</f>
        <v/>
      </c>
      <c r="H1606" t="str">
        <f>IFERROR(VLOOKUP(B1606,'Pre-Summary'!$AE$6:$AJ$85,4,FALSE),"")</f>
        <v/>
      </c>
      <c r="I1606" t="str">
        <f>IFERROR(VLOOKUP(B1606,'Pre-Summary'!$AE$6:$AJ$85,5,FALSE),"")</f>
        <v/>
      </c>
      <c r="J1606" s="45" t="str">
        <f>IFERROR(VLOOKUP(B1606,'Pre-Summary'!$AE$6:$AJ$85,6, FALSE),"")</f>
        <v/>
      </c>
      <c r="K1606" s="45" t="str">
        <f>IFERROR(VLOOKUP(B1606,'Pre-Summary'!$DE$6:$DG$61,3,FALSE),"")</f>
        <v/>
      </c>
      <c r="L1606" s="45" t="str">
        <f>IFERROR(VLOOKUP(B1606,'Pre-Summary'!$CU$6:$CW$36,3,FALSE),"")</f>
        <v/>
      </c>
      <c r="M1606" s="45" t="str">
        <f>IFERROR(VLOOKUP(B1606,'Pre-Summary'!$BW$6:$BY$58,2,FALSE),"")</f>
        <v/>
      </c>
      <c r="N1606" s="45" t="str">
        <f>IFERROR(VLOOKUP(B1606,'Pre-Summary'!$CD$6:$CF$64,2,FALSE),"")</f>
        <v/>
      </c>
      <c r="O1606" s="99">
        <f>IFERROR(VLOOKUP(B1606,'Pre-Summary'!$BO$6:$BQ$48,3, FALSE),O1605)</f>
        <v>1</v>
      </c>
      <c r="P1606" s="99">
        <f>IFERROR(VLOOKUP(B1606,'Pre-Summary'!$BS$6:$BU$35,3,FALSE),P1605)</f>
        <v>0.4</v>
      </c>
      <c r="Q1606" s="54">
        <f t="shared" si="75"/>
        <v>2.5</v>
      </c>
      <c r="R1606" s="53">
        <f>IFERROR(VLOOKUP(B1606,'Pre-Summary'!$BG$6:$BM$44,7,FALSE),R1607)</f>
        <v>8.3576993058106674E-2</v>
      </c>
      <c r="S1606" s="53">
        <f>IFERROR(VLOOKUP(B1606,'Pre-Summary'!$BG$6:$BM$44,6,FALSE),S1607)</f>
        <v>0.10174646781791266</v>
      </c>
      <c r="T1606" s="45" t="str">
        <f>IFERROR(VLOOKUP(B1606,'Pre-Summary'!$Y$6:$AC$83, 3,FALSE),"")</f>
        <v/>
      </c>
      <c r="U1606" s="45" t="str">
        <f>IFERROR(VLOOKUP(B1606,'Pre-Summary'!$Y$6:$AC$83, 4,FALSE),"")</f>
        <v/>
      </c>
      <c r="V1606" t="str">
        <f>IFERROR(VLOOKUP(B1606,'Pre-Summary'!$Y$6:$AC$83, 5,FALSE),"")</f>
        <v/>
      </c>
      <c r="W1606" s="45" t="str">
        <f>IFERROR(VLOOKUP(B1606,'Pre-Summary'!$Y$6:$AD$83,6,FALSE),"")</f>
        <v/>
      </c>
      <c r="X1606" t="str">
        <f>IFERROR(VLOOKUP('Pre-Summary'!$DB$6:$DD$63,3,FALSE),"")</f>
        <v/>
      </c>
      <c r="Y1606" t="str">
        <f>IFERROR(VLOOKUP(B1606,'Pre-Summary'!$CR$6:$CT$36,3,FALSE),"")</f>
        <v/>
      </c>
      <c r="Z1606" s="45" t="str">
        <f>IFERROR(VLOOKUP(B1606,'Pre-Summary'!$BZ$6:$CB$63,2,FALSE),"")</f>
        <v/>
      </c>
      <c r="AA1606" s="45" t="str">
        <f>IFERROR(VLOOKUP(B1606,'Pre-Summary'!$CG$6:$CI$70,2,FALSE),"")</f>
        <v/>
      </c>
      <c r="AB1606" s="99">
        <f>IFERROR(VLOOKUP(B1606,'Pre-Summary'!$A$6:$P$178,9,FALSE),AB1607)</f>
        <v>0.3585597452218669</v>
      </c>
      <c r="AC1606" s="10">
        <f>IFERROR(VLOOKUP(Summary!B1606,'Pre-Summary'!$A$6:$P$184,5, FALSE)/100,AC1607)</f>
        <v>0.90001266666666668</v>
      </c>
      <c r="AD1606" s="10">
        <f>IFERROR(VLOOKUP(Summary!B1606,'Pre-Summary'!$A$6:$P$184,3, FALSE)/100,AD1607)</f>
        <v>8.2243333333333335E-2</v>
      </c>
      <c r="AE1606" s="10">
        <f>IFERROR(VLOOKUP(Summary!B1606,'Pre-Summary'!$A$6:$P$184,7, FALSE)/100,AE1607)</f>
        <v>1.7743999999999999E-2</v>
      </c>
      <c r="AF1606" s="99">
        <f t="shared" si="76"/>
        <v>2.9489148646197075E-2</v>
      </c>
      <c r="AG1606" s="99">
        <f t="shared" si="77"/>
        <v>6.3622841192168059E-3</v>
      </c>
      <c r="AH1606" s="10" t="str">
        <f>IFERROR(VLOOKUP(B1606,'Pre-Summary'!$AZ$6:$BE$65,3,FALSE),"")</f>
        <v/>
      </c>
      <c r="AI1606" s="10" t="str">
        <f>IFERROR(VLOOKUP(B1606,'Pre-Summary'!$AZ$6:$BE$65,5,FALSE),"")</f>
        <v/>
      </c>
      <c r="AJ1606" s="10" t="str">
        <f>IFERROR(VLOOKUP(B1606,'Pre-Summary'!$AZ$6:$BE$65,4,FALSE),"")</f>
        <v/>
      </c>
      <c r="AK1606" s="10" t="str">
        <f>IFERROR(VLOOKUP(B1606,'Pre-Summary'!$AZ$6:$BE$65,6,FALSE),"")</f>
        <v/>
      </c>
      <c r="AL1606" s="10" t="str">
        <f>IFERROR(VLOOKUP(B1606,'Pre-Summary'!$BG$6:$BL$44,3,FALSE),"")</f>
        <v/>
      </c>
      <c r="AM1606" s="10" t="str">
        <f>IFERROR(VLOOKUP(B1606,'Pre-Summary'!$BG$6:$BL$44,4,FALSE),"")</f>
        <v/>
      </c>
    </row>
    <row r="1607" spans="2:39" ht="15" customHeight="1" x14ac:dyDescent="0.3">
      <c r="B1607">
        <v>160.4</v>
      </c>
      <c r="C1607" t="str">
        <f>IFERROR(VLOOKUP(B1607,'Pre-Summary'!$DI$6:$DM$23,4,FALSE),"")</f>
        <v/>
      </c>
      <c r="D1607" s="10" t="str">
        <f>IFERROR(VLOOKUP(B1607,'Pre-Summary'!$AT$6:$AX$14,5,FALSE),D1606)</f>
        <v>Wolfe v3: went back to modified wolfe + EDTA and switched CuSO4 to CUCl2</v>
      </c>
      <c r="E1607" s="10" t="str">
        <f>IFERROR(VLOOKUP(B1607,'Pre-Summary'!$AT$6:$AX$15,4,FALSE),"")</f>
        <v/>
      </c>
      <c r="F1607">
        <f>IFERROR(VLOOKUP(B1607,'Pre-Summary'!$AL$6:$AQ$13,6,FALSE),F1606)</f>
        <v>5.9405263157894746E-2</v>
      </c>
      <c r="G1607" t="str">
        <f>IFERROR(VLOOKUP(B1607,'Pre-Summary'!$AE$6:$AJ$85,3,FALSE),"")</f>
        <v/>
      </c>
      <c r="H1607" t="str">
        <f>IFERROR(VLOOKUP(B1607,'Pre-Summary'!$AE$6:$AJ$85,4,FALSE),"")</f>
        <v/>
      </c>
      <c r="I1607" t="str">
        <f>IFERROR(VLOOKUP(B1607,'Pre-Summary'!$AE$6:$AJ$85,5,FALSE),"")</f>
        <v/>
      </c>
      <c r="J1607" s="45" t="str">
        <f>IFERROR(VLOOKUP(B1607,'Pre-Summary'!$AE$6:$AJ$85,6, FALSE),"")</f>
        <v/>
      </c>
      <c r="K1607" s="45" t="str">
        <f>IFERROR(VLOOKUP(B1607,'Pre-Summary'!$DE$6:$DG$61,3,FALSE),"")</f>
        <v/>
      </c>
      <c r="L1607" s="45" t="str">
        <f>IFERROR(VLOOKUP(B1607,'Pre-Summary'!$CU$6:$CW$36,3,FALSE),"")</f>
        <v/>
      </c>
      <c r="M1607" s="45" t="str">
        <f>IFERROR(VLOOKUP(B1607,'Pre-Summary'!$BW$6:$BY$58,2,FALSE),"")</f>
        <v/>
      </c>
      <c r="N1607" s="45" t="str">
        <f>IFERROR(VLOOKUP(B1607,'Pre-Summary'!$CD$6:$CF$64,2,FALSE),"")</f>
        <v/>
      </c>
      <c r="O1607" s="99">
        <f>IFERROR(VLOOKUP(B1607,'Pre-Summary'!$BO$6:$BQ$48,3, FALSE),O1606)</f>
        <v>1</v>
      </c>
      <c r="P1607" s="99">
        <f>IFERROR(VLOOKUP(B1607,'Pre-Summary'!$BS$6:$BU$35,3,FALSE),P1606)</f>
        <v>0.4</v>
      </c>
      <c r="Q1607" s="54">
        <f t="shared" si="75"/>
        <v>2.5</v>
      </c>
      <c r="R1607" s="53">
        <f>IFERROR(VLOOKUP(B1607,'Pre-Summary'!$BG$6:$BM$44,7,FALSE),R1608)</f>
        <v>8.3576993058106674E-2</v>
      </c>
      <c r="S1607" s="53">
        <f>IFERROR(VLOOKUP(B1607,'Pre-Summary'!$BG$6:$BM$44,6,FALSE),S1608)</f>
        <v>0.10174646781791266</v>
      </c>
      <c r="T1607" s="45" t="str">
        <f>IFERROR(VLOOKUP(B1607,'Pre-Summary'!$Y$6:$AC$83, 3,FALSE),"")</f>
        <v/>
      </c>
      <c r="U1607" s="45" t="str">
        <f>IFERROR(VLOOKUP(B1607,'Pre-Summary'!$Y$6:$AC$83, 4,FALSE),"")</f>
        <v/>
      </c>
      <c r="V1607" t="str">
        <f>IFERROR(VLOOKUP(B1607,'Pre-Summary'!$Y$6:$AC$83, 5,FALSE),"")</f>
        <v/>
      </c>
      <c r="W1607" s="45" t="str">
        <f>IFERROR(VLOOKUP(B1607,'Pre-Summary'!$Y$6:$AD$83,6,FALSE),"")</f>
        <v/>
      </c>
      <c r="X1607" t="str">
        <f>IFERROR(VLOOKUP('Pre-Summary'!$DB$6:$DD$63,3,FALSE),"")</f>
        <v/>
      </c>
      <c r="Y1607" t="str">
        <f>IFERROR(VLOOKUP(B1607,'Pre-Summary'!$CR$6:$CT$36,3,FALSE),"")</f>
        <v/>
      </c>
      <c r="Z1607" s="45" t="str">
        <f>IFERROR(VLOOKUP(B1607,'Pre-Summary'!$BZ$6:$CB$63,2,FALSE),"")</f>
        <v/>
      </c>
      <c r="AA1607" s="45" t="str">
        <f>IFERROR(VLOOKUP(B1607,'Pre-Summary'!$CG$6:$CI$70,2,FALSE),"")</f>
        <v/>
      </c>
      <c r="AB1607" s="99">
        <f>IFERROR(VLOOKUP(B1607,'Pre-Summary'!$A$6:$P$178,9,FALSE),AB1608)</f>
        <v>0.3585597452218669</v>
      </c>
      <c r="AC1607" s="10">
        <f>IFERROR(VLOOKUP(Summary!B1607,'Pre-Summary'!$A$6:$P$184,5, FALSE)/100,AC1608)</f>
        <v>0.90001266666666668</v>
      </c>
      <c r="AD1607" s="10">
        <f>IFERROR(VLOOKUP(Summary!B1607,'Pre-Summary'!$A$6:$P$184,3, FALSE)/100,AD1608)</f>
        <v>8.2243333333333335E-2</v>
      </c>
      <c r="AE1607" s="10">
        <f>IFERROR(VLOOKUP(Summary!B1607,'Pre-Summary'!$A$6:$P$184,7, FALSE)/100,AE1608)</f>
        <v>1.7743999999999999E-2</v>
      </c>
      <c r="AF1607" s="99">
        <f t="shared" si="76"/>
        <v>2.9489148646197075E-2</v>
      </c>
      <c r="AG1607" s="99">
        <f t="shared" si="77"/>
        <v>6.3622841192168059E-3</v>
      </c>
      <c r="AH1607" s="10" t="str">
        <f>IFERROR(VLOOKUP(B1607,'Pre-Summary'!$AZ$6:$BE$65,3,FALSE),"")</f>
        <v/>
      </c>
      <c r="AI1607" s="10" t="str">
        <f>IFERROR(VLOOKUP(B1607,'Pre-Summary'!$AZ$6:$BE$65,5,FALSE),"")</f>
        <v/>
      </c>
      <c r="AJ1607" s="10" t="str">
        <f>IFERROR(VLOOKUP(B1607,'Pre-Summary'!$AZ$6:$BE$65,4,FALSE),"")</f>
        <v/>
      </c>
      <c r="AK1607" s="10" t="str">
        <f>IFERROR(VLOOKUP(B1607,'Pre-Summary'!$AZ$6:$BE$65,6,FALSE),"")</f>
        <v/>
      </c>
      <c r="AL1607" s="10" t="str">
        <f>IFERROR(VLOOKUP(B1607,'Pre-Summary'!$BG$6:$BL$44,3,FALSE),"")</f>
        <v/>
      </c>
      <c r="AM1607" s="10" t="str">
        <f>IFERROR(VLOOKUP(B1607,'Pre-Summary'!$BG$6:$BL$44,4,FALSE),"")</f>
        <v/>
      </c>
    </row>
    <row r="1608" spans="2:39" ht="15" customHeight="1" x14ac:dyDescent="0.3">
      <c r="B1608">
        <v>160.5</v>
      </c>
      <c r="C1608" t="str">
        <f>IFERROR(VLOOKUP(B1608,'Pre-Summary'!$DI$6:$DM$23,4,FALSE),"")</f>
        <v/>
      </c>
      <c r="D1608" s="10" t="str">
        <f>IFERROR(VLOOKUP(B1608,'Pre-Summary'!$AT$6:$AX$14,5,FALSE),D1607)</f>
        <v>Wolfe v3: went back to modified wolfe + EDTA and switched CuSO4 to CUCl2</v>
      </c>
      <c r="E1608" s="10" t="str">
        <f>IFERROR(VLOOKUP(B1608,'Pre-Summary'!$AT$6:$AX$15,4,FALSE),"")</f>
        <v/>
      </c>
      <c r="F1608">
        <f>IFERROR(VLOOKUP(B1608,'Pre-Summary'!$AL$6:$AQ$13,6,FALSE),F1607)</f>
        <v>5.9405263157894746E-2</v>
      </c>
      <c r="G1608" t="str">
        <f>IFERROR(VLOOKUP(B1608,'Pre-Summary'!$AE$6:$AJ$85,3,FALSE),"")</f>
        <v/>
      </c>
      <c r="H1608" t="str">
        <f>IFERROR(VLOOKUP(B1608,'Pre-Summary'!$AE$6:$AJ$85,4,FALSE),"")</f>
        <v/>
      </c>
      <c r="I1608" t="str">
        <f>IFERROR(VLOOKUP(B1608,'Pre-Summary'!$AE$6:$AJ$85,5,FALSE),"")</f>
        <v/>
      </c>
      <c r="J1608" s="45" t="str">
        <f>IFERROR(VLOOKUP(B1608,'Pre-Summary'!$AE$6:$AJ$85,6, FALSE),"")</f>
        <v/>
      </c>
      <c r="K1608" s="45" t="str">
        <f>IFERROR(VLOOKUP(B1608,'Pre-Summary'!$DE$6:$DG$61,3,FALSE),"")</f>
        <v/>
      </c>
      <c r="L1608" s="45" t="str">
        <f>IFERROR(VLOOKUP(B1608,'Pre-Summary'!$CU$6:$CW$36,3,FALSE),"")</f>
        <v/>
      </c>
      <c r="M1608" s="45" t="str">
        <f>IFERROR(VLOOKUP(B1608,'Pre-Summary'!$BW$6:$BY$58,2,FALSE),"")</f>
        <v/>
      </c>
      <c r="N1608" s="45" t="str">
        <f>IFERROR(VLOOKUP(B1608,'Pre-Summary'!$CD$6:$CF$64,2,FALSE),"")</f>
        <v/>
      </c>
      <c r="O1608" s="99">
        <f>IFERROR(VLOOKUP(B1608,'Pre-Summary'!$BO$6:$BQ$48,3, FALSE),O1607)</f>
        <v>1</v>
      </c>
      <c r="P1608" s="99">
        <f>IFERROR(VLOOKUP(B1608,'Pre-Summary'!$BS$6:$BU$35,3,FALSE),P1607)</f>
        <v>0.4</v>
      </c>
      <c r="Q1608" s="54">
        <f t="shared" si="75"/>
        <v>2.5</v>
      </c>
      <c r="R1608" s="53">
        <f>IFERROR(VLOOKUP(B1608,'Pre-Summary'!$BG$6:$BM$44,7,FALSE),R1609)</f>
        <v>8.3576993058106674E-2</v>
      </c>
      <c r="S1608" s="53">
        <f>IFERROR(VLOOKUP(B1608,'Pre-Summary'!$BG$6:$BM$44,6,FALSE),S1609)</f>
        <v>0.10174646781791266</v>
      </c>
      <c r="T1608" s="45" t="str">
        <f>IFERROR(VLOOKUP(B1608,'Pre-Summary'!$Y$6:$AC$83, 3,FALSE),"")</f>
        <v/>
      </c>
      <c r="U1608" s="45" t="str">
        <f>IFERROR(VLOOKUP(B1608,'Pre-Summary'!$Y$6:$AC$83, 4,FALSE),"")</f>
        <v/>
      </c>
      <c r="V1608" t="str">
        <f>IFERROR(VLOOKUP(B1608,'Pre-Summary'!$Y$6:$AC$83, 5,FALSE),"")</f>
        <v/>
      </c>
      <c r="W1608" s="45" t="str">
        <f>IFERROR(VLOOKUP(B1608,'Pre-Summary'!$Y$6:$AD$83,6,FALSE),"")</f>
        <v/>
      </c>
      <c r="X1608" t="str">
        <f>IFERROR(VLOOKUP('Pre-Summary'!$DB$6:$DD$63,3,FALSE),"")</f>
        <v/>
      </c>
      <c r="Y1608" t="str">
        <f>IFERROR(VLOOKUP(B1608,'Pre-Summary'!$CR$6:$CT$36,3,FALSE),"")</f>
        <v/>
      </c>
      <c r="Z1608" s="45" t="str">
        <f>IFERROR(VLOOKUP(B1608,'Pre-Summary'!$BZ$6:$CB$63,2,FALSE),"")</f>
        <v/>
      </c>
      <c r="AA1608" s="45" t="str">
        <f>IFERROR(VLOOKUP(B1608,'Pre-Summary'!$CG$6:$CI$70,2,FALSE),"")</f>
        <v/>
      </c>
      <c r="AB1608" s="99">
        <f>IFERROR(VLOOKUP(B1608,'Pre-Summary'!$A$6:$P$178,9,FALSE),AB1609)</f>
        <v>0.3585597452218669</v>
      </c>
      <c r="AC1608" s="10">
        <f>IFERROR(VLOOKUP(Summary!B1608,'Pre-Summary'!$A$6:$P$184,5, FALSE)/100,AC1609)</f>
        <v>0.90001266666666668</v>
      </c>
      <c r="AD1608" s="10">
        <f>IFERROR(VLOOKUP(Summary!B1608,'Pre-Summary'!$A$6:$P$184,3, FALSE)/100,AD1609)</f>
        <v>8.2243333333333335E-2</v>
      </c>
      <c r="AE1608" s="10">
        <f>IFERROR(VLOOKUP(Summary!B1608,'Pre-Summary'!$A$6:$P$184,7, FALSE)/100,AE1609)</f>
        <v>1.7743999999999999E-2</v>
      </c>
      <c r="AF1608" s="99">
        <f t="shared" si="76"/>
        <v>2.9489148646197075E-2</v>
      </c>
      <c r="AG1608" s="99">
        <f t="shared" si="77"/>
        <v>6.3622841192168059E-3</v>
      </c>
      <c r="AH1608" s="10" t="str">
        <f>IFERROR(VLOOKUP(B1608,'Pre-Summary'!$AZ$6:$BE$65,3,FALSE),"")</f>
        <v/>
      </c>
      <c r="AI1608" s="10" t="str">
        <f>IFERROR(VLOOKUP(B1608,'Pre-Summary'!$AZ$6:$BE$65,5,FALSE),"")</f>
        <v/>
      </c>
      <c r="AJ1608" s="10" t="str">
        <f>IFERROR(VLOOKUP(B1608,'Pre-Summary'!$AZ$6:$BE$65,4,FALSE),"")</f>
        <v/>
      </c>
      <c r="AK1608" s="10" t="str">
        <f>IFERROR(VLOOKUP(B1608,'Pre-Summary'!$AZ$6:$BE$65,6,FALSE),"")</f>
        <v/>
      </c>
      <c r="AL1608" s="10" t="str">
        <f>IFERROR(VLOOKUP(B1608,'Pre-Summary'!$BG$6:$BL$44,3,FALSE),"")</f>
        <v/>
      </c>
      <c r="AM1608" s="10" t="str">
        <f>IFERROR(VLOOKUP(B1608,'Pre-Summary'!$BG$6:$BL$44,4,FALSE),"")</f>
        <v/>
      </c>
    </row>
    <row r="1609" spans="2:39" ht="15" customHeight="1" x14ac:dyDescent="0.3">
      <c r="B1609">
        <v>160.6</v>
      </c>
      <c r="C1609" t="str">
        <f>IFERROR(VLOOKUP(B1609,'Pre-Summary'!$DI$6:$DM$23,4,FALSE),"")</f>
        <v/>
      </c>
      <c r="D1609" s="10" t="str">
        <f>IFERROR(VLOOKUP(B1609,'Pre-Summary'!$AT$6:$AX$14,5,FALSE),D1608)</f>
        <v>Wolfe v3: went back to modified wolfe + EDTA and switched CuSO4 to CUCl2</v>
      </c>
      <c r="E1609" s="10" t="str">
        <f>IFERROR(VLOOKUP(B1609,'Pre-Summary'!$AT$6:$AX$15,4,FALSE),"")</f>
        <v/>
      </c>
      <c r="F1609">
        <f>IFERROR(VLOOKUP(B1609,'Pre-Summary'!$AL$6:$AQ$13,6,FALSE),F1608)</f>
        <v>5.9405263157894746E-2</v>
      </c>
      <c r="G1609" t="str">
        <f>IFERROR(VLOOKUP(B1609,'Pre-Summary'!$AE$6:$AJ$85,3,FALSE),"")</f>
        <v/>
      </c>
      <c r="H1609" t="str">
        <f>IFERROR(VLOOKUP(B1609,'Pre-Summary'!$AE$6:$AJ$85,4,FALSE),"")</f>
        <v/>
      </c>
      <c r="I1609" t="str">
        <f>IFERROR(VLOOKUP(B1609,'Pre-Summary'!$AE$6:$AJ$85,5,FALSE),"")</f>
        <v/>
      </c>
      <c r="J1609" s="45" t="str">
        <f>IFERROR(VLOOKUP(B1609,'Pre-Summary'!$AE$6:$AJ$85,6, FALSE),"")</f>
        <v/>
      </c>
      <c r="K1609" s="45" t="str">
        <f>IFERROR(VLOOKUP(B1609,'Pre-Summary'!$DE$6:$DG$61,3,FALSE),"")</f>
        <v/>
      </c>
      <c r="L1609" s="45" t="str">
        <f>IFERROR(VLOOKUP(B1609,'Pre-Summary'!$CU$6:$CW$36,3,FALSE),"")</f>
        <v/>
      </c>
      <c r="M1609" s="45" t="str">
        <f>IFERROR(VLOOKUP(B1609,'Pre-Summary'!$BW$6:$BY$58,2,FALSE),"")</f>
        <v/>
      </c>
      <c r="N1609" s="45" t="str">
        <f>IFERROR(VLOOKUP(B1609,'Pre-Summary'!$CD$6:$CF$64,2,FALSE),"")</f>
        <v/>
      </c>
      <c r="O1609" s="99">
        <f>IFERROR(VLOOKUP(B1609,'Pre-Summary'!$BO$6:$BQ$48,3, FALSE),O1608)</f>
        <v>1</v>
      </c>
      <c r="P1609" s="99">
        <f>IFERROR(VLOOKUP(B1609,'Pre-Summary'!$BS$6:$BU$35,3,FALSE),P1608)</f>
        <v>0.4</v>
      </c>
      <c r="Q1609" s="54">
        <f t="shared" si="75"/>
        <v>2.5</v>
      </c>
      <c r="R1609" s="53">
        <f>IFERROR(VLOOKUP(B1609,'Pre-Summary'!$BG$6:$BM$44,7,FALSE),R1610)</f>
        <v>8.3576993058106674E-2</v>
      </c>
      <c r="S1609" s="53">
        <f>IFERROR(VLOOKUP(B1609,'Pre-Summary'!$BG$6:$BM$44,6,FALSE),S1610)</f>
        <v>0.10174646781791266</v>
      </c>
      <c r="T1609" s="45" t="str">
        <f>IFERROR(VLOOKUP(B1609,'Pre-Summary'!$Y$6:$AC$83, 3,FALSE),"")</f>
        <v/>
      </c>
      <c r="U1609" s="45" t="str">
        <f>IFERROR(VLOOKUP(B1609,'Pre-Summary'!$Y$6:$AC$83, 4,FALSE),"")</f>
        <v/>
      </c>
      <c r="V1609" t="str">
        <f>IFERROR(VLOOKUP(B1609,'Pre-Summary'!$Y$6:$AC$83, 5,FALSE),"")</f>
        <v/>
      </c>
      <c r="W1609" s="45" t="str">
        <f>IFERROR(VLOOKUP(B1609,'Pre-Summary'!$Y$6:$AD$83,6,FALSE),"")</f>
        <v/>
      </c>
      <c r="X1609" t="str">
        <f>IFERROR(VLOOKUP('Pre-Summary'!$DB$6:$DD$63,3,FALSE),"")</f>
        <v/>
      </c>
      <c r="Y1609" t="str">
        <f>IFERROR(VLOOKUP(B1609,'Pre-Summary'!$CR$6:$CT$36,3,FALSE),"")</f>
        <v/>
      </c>
      <c r="Z1609" s="45" t="str">
        <f>IFERROR(VLOOKUP(B1609,'Pre-Summary'!$BZ$6:$CB$63,2,FALSE),"")</f>
        <v/>
      </c>
      <c r="AA1609" s="45" t="str">
        <f>IFERROR(VLOOKUP(B1609,'Pre-Summary'!$CG$6:$CI$70,2,FALSE),"")</f>
        <v/>
      </c>
      <c r="AB1609" s="99">
        <f>IFERROR(VLOOKUP(B1609,'Pre-Summary'!$A$6:$P$178,9,FALSE),AB1610)</f>
        <v>0.3585597452218669</v>
      </c>
      <c r="AC1609" s="10">
        <f>IFERROR(VLOOKUP(Summary!B1609,'Pre-Summary'!$A$6:$P$184,5, FALSE)/100,AC1610)</f>
        <v>0.90001266666666668</v>
      </c>
      <c r="AD1609" s="10">
        <f>IFERROR(VLOOKUP(Summary!B1609,'Pre-Summary'!$A$6:$P$184,3, FALSE)/100,AD1610)</f>
        <v>8.2243333333333335E-2</v>
      </c>
      <c r="AE1609" s="10">
        <f>IFERROR(VLOOKUP(Summary!B1609,'Pre-Summary'!$A$6:$P$184,7, FALSE)/100,AE1610)</f>
        <v>1.7743999999999999E-2</v>
      </c>
      <c r="AF1609" s="99">
        <f t="shared" si="76"/>
        <v>2.9489148646197075E-2</v>
      </c>
      <c r="AG1609" s="99">
        <f t="shared" si="77"/>
        <v>6.3622841192168059E-3</v>
      </c>
      <c r="AH1609" s="10" t="str">
        <f>IFERROR(VLOOKUP(B1609,'Pre-Summary'!$AZ$6:$BE$65,3,FALSE),"")</f>
        <v/>
      </c>
      <c r="AI1609" s="10" t="str">
        <f>IFERROR(VLOOKUP(B1609,'Pre-Summary'!$AZ$6:$BE$65,5,FALSE),"")</f>
        <v/>
      </c>
      <c r="AJ1609" s="10" t="str">
        <f>IFERROR(VLOOKUP(B1609,'Pre-Summary'!$AZ$6:$BE$65,4,FALSE),"")</f>
        <v/>
      </c>
      <c r="AK1609" s="10" t="str">
        <f>IFERROR(VLOOKUP(B1609,'Pre-Summary'!$AZ$6:$BE$65,6,FALSE),"")</f>
        <v/>
      </c>
      <c r="AL1609" s="10" t="str">
        <f>IFERROR(VLOOKUP(B1609,'Pre-Summary'!$BG$6:$BL$44,3,FALSE),"")</f>
        <v/>
      </c>
      <c r="AM1609" s="10" t="str">
        <f>IFERROR(VLOOKUP(B1609,'Pre-Summary'!$BG$6:$BL$44,4,FALSE),"")</f>
        <v/>
      </c>
    </row>
    <row r="1610" spans="2:39" ht="15" customHeight="1" x14ac:dyDescent="0.3">
      <c r="B1610">
        <v>160.69999999999999</v>
      </c>
      <c r="C1610" t="str">
        <f>IFERROR(VLOOKUP(B1610,'Pre-Summary'!$DI$6:$DM$23,4,FALSE),"")</f>
        <v/>
      </c>
      <c r="D1610" s="10" t="str">
        <f>IFERROR(VLOOKUP(B1610,'Pre-Summary'!$AT$6:$AX$14,5,FALSE),D1609)</f>
        <v>Wolfe v3: went back to modified wolfe + EDTA and switched CuSO4 to CUCl2</v>
      </c>
      <c r="E1610" s="10" t="str">
        <f>IFERROR(VLOOKUP(B1610,'Pre-Summary'!$AT$6:$AX$15,4,FALSE),"")</f>
        <v/>
      </c>
      <c r="F1610">
        <f>IFERROR(VLOOKUP(B1610,'Pre-Summary'!$AL$6:$AQ$13,6,FALSE),F1609)</f>
        <v>5.9405263157894746E-2</v>
      </c>
      <c r="G1610" t="str">
        <f>IFERROR(VLOOKUP(B1610,'Pre-Summary'!$AE$6:$AJ$85,3,FALSE),"")</f>
        <v/>
      </c>
      <c r="H1610" t="str">
        <f>IFERROR(VLOOKUP(B1610,'Pre-Summary'!$AE$6:$AJ$85,4,FALSE),"")</f>
        <v/>
      </c>
      <c r="I1610" t="str">
        <f>IFERROR(VLOOKUP(B1610,'Pre-Summary'!$AE$6:$AJ$85,5,FALSE),"")</f>
        <v/>
      </c>
      <c r="J1610" s="45" t="str">
        <f>IFERROR(VLOOKUP(B1610,'Pre-Summary'!$AE$6:$AJ$85,6, FALSE),"")</f>
        <v/>
      </c>
      <c r="K1610" s="45" t="str">
        <f>IFERROR(VLOOKUP(B1610,'Pre-Summary'!$DE$6:$DG$61,3,FALSE),"")</f>
        <v/>
      </c>
      <c r="L1610" s="45" t="str">
        <f>IFERROR(VLOOKUP(B1610,'Pre-Summary'!$CU$6:$CW$36,3,FALSE),"")</f>
        <v/>
      </c>
      <c r="M1610" s="45" t="str">
        <f>IFERROR(VLOOKUP(B1610,'Pre-Summary'!$BW$6:$BY$58,2,FALSE),"")</f>
        <v/>
      </c>
      <c r="N1610" s="45" t="str">
        <f>IFERROR(VLOOKUP(B1610,'Pre-Summary'!$CD$6:$CF$64,2,FALSE),"")</f>
        <v/>
      </c>
      <c r="O1610" s="99">
        <f>IFERROR(VLOOKUP(B1610,'Pre-Summary'!$BO$6:$BQ$48,3, FALSE),O1609)</f>
        <v>1</v>
      </c>
      <c r="P1610" s="99">
        <f>IFERROR(VLOOKUP(B1610,'Pre-Summary'!$BS$6:$BU$35,3,FALSE),P1609)</f>
        <v>0.4</v>
      </c>
      <c r="Q1610" s="54">
        <f t="shared" si="75"/>
        <v>2.5</v>
      </c>
      <c r="R1610" s="53">
        <f>IFERROR(VLOOKUP(B1610,'Pre-Summary'!$BG$6:$BM$44,7,FALSE),R1611)</f>
        <v>8.3576993058106674E-2</v>
      </c>
      <c r="S1610" s="53">
        <f>IFERROR(VLOOKUP(B1610,'Pre-Summary'!$BG$6:$BM$44,6,FALSE),S1611)</f>
        <v>0.10174646781791266</v>
      </c>
      <c r="T1610" s="45" t="str">
        <f>IFERROR(VLOOKUP(B1610,'Pre-Summary'!$Y$6:$AC$83, 3,FALSE),"")</f>
        <v/>
      </c>
      <c r="U1610" s="45" t="str">
        <f>IFERROR(VLOOKUP(B1610,'Pre-Summary'!$Y$6:$AC$83, 4,FALSE),"")</f>
        <v/>
      </c>
      <c r="V1610" t="str">
        <f>IFERROR(VLOOKUP(B1610,'Pre-Summary'!$Y$6:$AC$83, 5,FALSE),"")</f>
        <v/>
      </c>
      <c r="W1610" s="45" t="str">
        <f>IFERROR(VLOOKUP(B1610,'Pre-Summary'!$Y$6:$AD$83,6,FALSE),"")</f>
        <v/>
      </c>
      <c r="X1610" t="str">
        <f>IFERROR(VLOOKUP('Pre-Summary'!$DB$6:$DD$63,3,FALSE),"")</f>
        <v/>
      </c>
      <c r="Y1610" t="str">
        <f>IFERROR(VLOOKUP(B1610,'Pre-Summary'!$CR$6:$CT$36,3,FALSE),"")</f>
        <v/>
      </c>
      <c r="Z1610" s="45" t="str">
        <f>IFERROR(VLOOKUP(B1610,'Pre-Summary'!$BZ$6:$CB$63,2,FALSE),"")</f>
        <v/>
      </c>
      <c r="AA1610" s="45" t="str">
        <f>IFERROR(VLOOKUP(B1610,'Pre-Summary'!$CG$6:$CI$70,2,FALSE),"")</f>
        <v/>
      </c>
      <c r="AB1610" s="99">
        <f>IFERROR(VLOOKUP(B1610,'Pre-Summary'!$A$6:$P$178,9,FALSE),AB1611)</f>
        <v>0.3585597452218669</v>
      </c>
      <c r="AC1610" s="10">
        <f>IFERROR(VLOOKUP(Summary!B1610,'Pre-Summary'!$A$6:$P$184,5, FALSE)/100,AC1611)</f>
        <v>0.90001266666666668</v>
      </c>
      <c r="AD1610" s="10">
        <f>IFERROR(VLOOKUP(Summary!B1610,'Pre-Summary'!$A$6:$P$184,3, FALSE)/100,AD1611)</f>
        <v>8.2243333333333335E-2</v>
      </c>
      <c r="AE1610" s="10">
        <f>IFERROR(VLOOKUP(Summary!B1610,'Pre-Summary'!$A$6:$P$184,7, FALSE)/100,AE1611)</f>
        <v>1.7743999999999999E-2</v>
      </c>
      <c r="AF1610" s="99">
        <f t="shared" si="76"/>
        <v>2.9489148646197075E-2</v>
      </c>
      <c r="AG1610" s="99">
        <f t="shared" si="77"/>
        <v>6.3622841192168059E-3</v>
      </c>
      <c r="AH1610" s="10" t="str">
        <f>IFERROR(VLOOKUP(B1610,'Pre-Summary'!$AZ$6:$BE$65,3,FALSE),"")</f>
        <v/>
      </c>
      <c r="AI1610" s="10" t="str">
        <f>IFERROR(VLOOKUP(B1610,'Pre-Summary'!$AZ$6:$BE$65,5,FALSE),"")</f>
        <v/>
      </c>
      <c r="AJ1610" s="10" t="str">
        <f>IFERROR(VLOOKUP(B1610,'Pre-Summary'!$AZ$6:$BE$65,4,FALSE),"")</f>
        <v/>
      </c>
      <c r="AK1610" s="10" t="str">
        <f>IFERROR(VLOOKUP(B1610,'Pre-Summary'!$AZ$6:$BE$65,6,FALSE),"")</f>
        <v/>
      </c>
      <c r="AL1610" s="10" t="str">
        <f>IFERROR(VLOOKUP(B1610,'Pre-Summary'!$BG$6:$BL$44,3,FALSE),"")</f>
        <v/>
      </c>
      <c r="AM1610" s="10" t="str">
        <f>IFERROR(VLOOKUP(B1610,'Pre-Summary'!$BG$6:$BL$44,4,FALSE),"")</f>
        <v/>
      </c>
    </row>
    <row r="1611" spans="2:39" ht="15" customHeight="1" x14ac:dyDescent="0.3">
      <c r="B1611">
        <v>160.80000000000001</v>
      </c>
      <c r="C1611" t="str">
        <f>IFERROR(VLOOKUP(B1611,'Pre-Summary'!$DI$6:$DM$23,4,FALSE),"")</f>
        <v/>
      </c>
      <c r="D1611" s="10" t="str">
        <f>IFERROR(VLOOKUP(B1611,'Pre-Summary'!$AT$6:$AX$14,5,FALSE),D1610)</f>
        <v>Wolfe v3: went back to modified wolfe + EDTA and switched CuSO4 to CUCl2</v>
      </c>
      <c r="E1611" s="10" t="str">
        <f>IFERROR(VLOOKUP(B1611,'Pre-Summary'!$AT$6:$AX$15,4,FALSE),"")</f>
        <v/>
      </c>
      <c r="F1611">
        <f>IFERROR(VLOOKUP(B1611,'Pre-Summary'!$AL$6:$AQ$13,6,FALSE),F1610)</f>
        <v>5.9405263157894746E-2</v>
      </c>
      <c r="G1611" t="str">
        <f>IFERROR(VLOOKUP(B1611,'Pre-Summary'!$AE$6:$AJ$85,3,FALSE),"")</f>
        <v/>
      </c>
      <c r="H1611" t="str">
        <f>IFERROR(VLOOKUP(B1611,'Pre-Summary'!$AE$6:$AJ$85,4,FALSE),"")</f>
        <v/>
      </c>
      <c r="I1611" t="str">
        <f>IFERROR(VLOOKUP(B1611,'Pre-Summary'!$AE$6:$AJ$85,5,FALSE),"")</f>
        <v/>
      </c>
      <c r="J1611" s="45" t="str">
        <f>IFERROR(VLOOKUP(B1611,'Pre-Summary'!$AE$6:$AJ$85,6, FALSE),"")</f>
        <v/>
      </c>
      <c r="K1611" s="45" t="str">
        <f>IFERROR(VLOOKUP(B1611,'Pre-Summary'!$DE$6:$DG$61,3,FALSE),"")</f>
        <v/>
      </c>
      <c r="L1611" s="45" t="str">
        <f>IFERROR(VLOOKUP(B1611,'Pre-Summary'!$CU$6:$CW$36,3,FALSE),"")</f>
        <v/>
      </c>
      <c r="M1611" s="45" t="str">
        <f>IFERROR(VLOOKUP(B1611,'Pre-Summary'!$BW$6:$BY$58,2,FALSE),"")</f>
        <v/>
      </c>
      <c r="N1611" s="45" t="str">
        <f>IFERROR(VLOOKUP(B1611,'Pre-Summary'!$CD$6:$CF$64,2,FALSE),"")</f>
        <v/>
      </c>
      <c r="O1611" s="99">
        <f>IFERROR(VLOOKUP(B1611,'Pre-Summary'!$BO$6:$BQ$48,3, FALSE),O1610)</f>
        <v>1</v>
      </c>
      <c r="P1611" s="99">
        <f>IFERROR(VLOOKUP(B1611,'Pre-Summary'!$BS$6:$BU$35,3,FALSE),P1610)</f>
        <v>0.4</v>
      </c>
      <c r="Q1611" s="54">
        <f t="shared" si="75"/>
        <v>2.5</v>
      </c>
      <c r="R1611" s="53">
        <f>IFERROR(VLOOKUP(B1611,'Pre-Summary'!$BG$6:$BM$44,7,FALSE),R1612)</f>
        <v>8.3576993058106674E-2</v>
      </c>
      <c r="S1611" s="53">
        <f>IFERROR(VLOOKUP(B1611,'Pre-Summary'!$BG$6:$BM$44,6,FALSE),S1612)</f>
        <v>0.10174646781791266</v>
      </c>
      <c r="T1611" s="45" t="str">
        <f>IFERROR(VLOOKUP(B1611,'Pre-Summary'!$Y$6:$AC$83, 3,FALSE),"")</f>
        <v/>
      </c>
      <c r="U1611" s="45" t="str">
        <f>IFERROR(VLOOKUP(B1611,'Pre-Summary'!$Y$6:$AC$83, 4,FALSE),"")</f>
        <v/>
      </c>
      <c r="V1611" t="str">
        <f>IFERROR(VLOOKUP(B1611,'Pre-Summary'!$Y$6:$AC$83, 5,FALSE),"")</f>
        <v/>
      </c>
      <c r="W1611" s="45" t="str">
        <f>IFERROR(VLOOKUP(B1611,'Pre-Summary'!$Y$6:$AD$83,6,FALSE),"")</f>
        <v/>
      </c>
      <c r="X1611" t="str">
        <f>IFERROR(VLOOKUP('Pre-Summary'!$DB$6:$DD$63,3,FALSE),"")</f>
        <v/>
      </c>
      <c r="Y1611" t="str">
        <f>IFERROR(VLOOKUP(B1611,'Pre-Summary'!$CR$6:$CT$36,3,FALSE),"")</f>
        <v/>
      </c>
      <c r="Z1611" s="45" t="str">
        <f>IFERROR(VLOOKUP(B1611,'Pre-Summary'!$BZ$6:$CB$63,2,FALSE),"")</f>
        <v/>
      </c>
      <c r="AA1611" s="45" t="str">
        <f>IFERROR(VLOOKUP(B1611,'Pre-Summary'!$CG$6:$CI$70,2,FALSE),"")</f>
        <v/>
      </c>
      <c r="AB1611" s="99">
        <f>IFERROR(VLOOKUP(B1611,'Pre-Summary'!$A$6:$P$178,9,FALSE),AB1612)</f>
        <v>0.3585597452218669</v>
      </c>
      <c r="AC1611" s="10">
        <f>IFERROR(VLOOKUP(Summary!B1611,'Pre-Summary'!$A$6:$P$184,5, FALSE)/100,AC1612)</f>
        <v>0.90001266666666668</v>
      </c>
      <c r="AD1611" s="10">
        <f>IFERROR(VLOOKUP(Summary!B1611,'Pre-Summary'!$A$6:$P$184,3, FALSE)/100,AD1612)</f>
        <v>8.2243333333333335E-2</v>
      </c>
      <c r="AE1611" s="10">
        <f>IFERROR(VLOOKUP(Summary!B1611,'Pre-Summary'!$A$6:$P$184,7, FALSE)/100,AE1612)</f>
        <v>1.7743999999999999E-2</v>
      </c>
      <c r="AF1611" s="99">
        <f t="shared" si="76"/>
        <v>2.9489148646197075E-2</v>
      </c>
      <c r="AG1611" s="99">
        <f t="shared" si="77"/>
        <v>6.3622841192168059E-3</v>
      </c>
      <c r="AH1611" s="10" t="str">
        <f>IFERROR(VLOOKUP(B1611,'Pre-Summary'!$AZ$6:$BE$65,3,FALSE),"")</f>
        <v/>
      </c>
      <c r="AI1611" s="10" t="str">
        <f>IFERROR(VLOOKUP(B1611,'Pre-Summary'!$AZ$6:$BE$65,5,FALSE),"")</f>
        <v/>
      </c>
      <c r="AJ1611" s="10" t="str">
        <f>IFERROR(VLOOKUP(B1611,'Pre-Summary'!$AZ$6:$BE$65,4,FALSE),"")</f>
        <v/>
      </c>
      <c r="AK1611" s="10" t="str">
        <f>IFERROR(VLOOKUP(B1611,'Pre-Summary'!$AZ$6:$BE$65,6,FALSE),"")</f>
        <v/>
      </c>
      <c r="AL1611" s="10" t="str">
        <f>IFERROR(VLOOKUP(B1611,'Pre-Summary'!$BG$6:$BL$44,3,FALSE),"")</f>
        <v/>
      </c>
      <c r="AM1611" s="10" t="str">
        <f>IFERROR(VLOOKUP(B1611,'Pre-Summary'!$BG$6:$BL$44,4,FALSE),"")</f>
        <v/>
      </c>
    </row>
    <row r="1612" spans="2:39" ht="15" customHeight="1" x14ac:dyDescent="0.3">
      <c r="B1612">
        <v>160.9</v>
      </c>
      <c r="C1612" t="str">
        <f>IFERROR(VLOOKUP(B1612,'Pre-Summary'!$DI$6:$DM$23,4,FALSE),"")</f>
        <v/>
      </c>
      <c r="D1612" s="10" t="str">
        <f>IFERROR(VLOOKUP(B1612,'Pre-Summary'!$AT$6:$AX$14,5,FALSE),D1611)</f>
        <v>Wolfe v3: went back to modified wolfe + EDTA and switched CuSO4 to CUCl2</v>
      </c>
      <c r="E1612" s="10" t="str">
        <f>IFERROR(VLOOKUP(B1612,'Pre-Summary'!$AT$6:$AX$15,4,FALSE),"")</f>
        <v/>
      </c>
      <c r="F1612">
        <f>IFERROR(VLOOKUP(B1612,'Pre-Summary'!$AL$6:$AQ$13,6,FALSE),F1611)</f>
        <v>5.9405263157894746E-2</v>
      </c>
      <c r="G1612" t="str">
        <f>IFERROR(VLOOKUP(B1612,'Pre-Summary'!$AE$6:$AJ$85,3,FALSE),"")</f>
        <v/>
      </c>
      <c r="H1612" t="str">
        <f>IFERROR(VLOOKUP(B1612,'Pre-Summary'!$AE$6:$AJ$85,4,FALSE),"")</f>
        <v/>
      </c>
      <c r="I1612" t="str">
        <f>IFERROR(VLOOKUP(B1612,'Pre-Summary'!$AE$6:$AJ$85,5,FALSE),"")</f>
        <v/>
      </c>
      <c r="J1612" s="45" t="str">
        <f>IFERROR(VLOOKUP(B1612,'Pre-Summary'!$AE$6:$AJ$85,6, FALSE),"")</f>
        <v/>
      </c>
      <c r="K1612" s="45" t="str">
        <f>IFERROR(VLOOKUP(B1612,'Pre-Summary'!$DE$6:$DG$61,3,FALSE),"")</f>
        <v/>
      </c>
      <c r="L1612" s="45" t="str">
        <f>IFERROR(VLOOKUP(B1612,'Pre-Summary'!$CU$6:$CW$36,3,FALSE),"")</f>
        <v/>
      </c>
      <c r="M1612" s="45" t="str">
        <f>IFERROR(VLOOKUP(B1612,'Pre-Summary'!$BW$6:$BY$58,2,FALSE),"")</f>
        <v/>
      </c>
      <c r="N1612" s="45" t="str">
        <f>IFERROR(VLOOKUP(B1612,'Pre-Summary'!$CD$6:$CF$64,2,FALSE),"")</f>
        <v/>
      </c>
      <c r="O1612" s="99">
        <f>IFERROR(VLOOKUP(B1612,'Pre-Summary'!$BO$6:$BQ$48,3, FALSE),O1611)</f>
        <v>1</v>
      </c>
      <c r="P1612" s="99">
        <f>IFERROR(VLOOKUP(B1612,'Pre-Summary'!$BS$6:$BU$35,3,FALSE),P1611)</f>
        <v>0.4</v>
      </c>
      <c r="Q1612" s="54">
        <f t="shared" si="75"/>
        <v>2.5</v>
      </c>
      <c r="R1612" s="53">
        <f>IFERROR(VLOOKUP(B1612,'Pre-Summary'!$BG$6:$BM$44,7,FALSE),R1613)</f>
        <v>8.3576993058106674E-2</v>
      </c>
      <c r="S1612" s="53">
        <f>IFERROR(VLOOKUP(B1612,'Pre-Summary'!$BG$6:$BM$44,6,FALSE),S1613)</f>
        <v>0.10174646781791266</v>
      </c>
      <c r="T1612" s="45" t="str">
        <f>IFERROR(VLOOKUP(B1612,'Pre-Summary'!$Y$6:$AC$83, 3,FALSE),"")</f>
        <v/>
      </c>
      <c r="U1612" s="45" t="str">
        <f>IFERROR(VLOOKUP(B1612,'Pre-Summary'!$Y$6:$AC$83, 4,FALSE),"")</f>
        <v/>
      </c>
      <c r="V1612" t="str">
        <f>IFERROR(VLOOKUP(B1612,'Pre-Summary'!$Y$6:$AC$83, 5,FALSE),"")</f>
        <v/>
      </c>
      <c r="W1612" s="45" t="str">
        <f>IFERROR(VLOOKUP(B1612,'Pre-Summary'!$Y$6:$AD$83,6,FALSE),"")</f>
        <v/>
      </c>
      <c r="X1612" t="str">
        <f>IFERROR(VLOOKUP('Pre-Summary'!$DB$6:$DD$63,3,FALSE),"")</f>
        <v/>
      </c>
      <c r="Y1612" t="str">
        <f>IFERROR(VLOOKUP(B1612,'Pre-Summary'!$CR$6:$CT$36,3,FALSE),"")</f>
        <v/>
      </c>
      <c r="Z1612" s="45" t="str">
        <f>IFERROR(VLOOKUP(B1612,'Pre-Summary'!$BZ$6:$CB$63,2,FALSE),"")</f>
        <v/>
      </c>
      <c r="AA1612" s="45" t="str">
        <f>IFERROR(VLOOKUP(B1612,'Pre-Summary'!$CG$6:$CI$70,2,FALSE),"")</f>
        <v/>
      </c>
      <c r="AB1612" s="99">
        <f>IFERROR(VLOOKUP(B1612,'Pre-Summary'!$A$6:$P$178,9,FALSE),AB1613)</f>
        <v>0.3585597452218669</v>
      </c>
      <c r="AC1612" s="10">
        <f>IFERROR(VLOOKUP(Summary!B1612,'Pre-Summary'!$A$6:$P$184,5, FALSE)/100,AC1613)</f>
        <v>0.90001266666666668</v>
      </c>
      <c r="AD1612" s="10">
        <f>IFERROR(VLOOKUP(Summary!B1612,'Pre-Summary'!$A$6:$P$184,3, FALSE)/100,AD1613)</f>
        <v>8.2243333333333335E-2</v>
      </c>
      <c r="AE1612" s="10">
        <f>IFERROR(VLOOKUP(Summary!B1612,'Pre-Summary'!$A$6:$P$184,7, FALSE)/100,AE1613)</f>
        <v>1.7743999999999999E-2</v>
      </c>
      <c r="AF1612" s="99">
        <f t="shared" si="76"/>
        <v>2.9489148646197075E-2</v>
      </c>
      <c r="AG1612" s="99">
        <f t="shared" si="77"/>
        <v>6.3622841192168059E-3</v>
      </c>
      <c r="AH1612" s="10" t="str">
        <f>IFERROR(VLOOKUP(B1612,'Pre-Summary'!$AZ$6:$BE$65,3,FALSE),"")</f>
        <v/>
      </c>
      <c r="AI1612" s="10" t="str">
        <f>IFERROR(VLOOKUP(B1612,'Pre-Summary'!$AZ$6:$BE$65,5,FALSE),"")</f>
        <v/>
      </c>
      <c r="AJ1612" s="10" t="str">
        <f>IFERROR(VLOOKUP(B1612,'Pre-Summary'!$AZ$6:$BE$65,4,FALSE),"")</f>
        <v/>
      </c>
      <c r="AK1612" s="10" t="str">
        <f>IFERROR(VLOOKUP(B1612,'Pre-Summary'!$AZ$6:$BE$65,6,FALSE),"")</f>
        <v/>
      </c>
      <c r="AL1612" s="10" t="str">
        <f>IFERROR(VLOOKUP(B1612,'Pre-Summary'!$BG$6:$BL$44,3,FALSE),"")</f>
        <v/>
      </c>
      <c r="AM1612" s="10" t="str">
        <f>IFERROR(VLOOKUP(B1612,'Pre-Summary'!$BG$6:$BL$44,4,FALSE),"")</f>
        <v/>
      </c>
    </row>
    <row r="1613" spans="2:39" ht="15" customHeight="1" x14ac:dyDescent="0.3">
      <c r="B1613">
        <v>161</v>
      </c>
      <c r="C1613" t="str">
        <f>IFERROR(VLOOKUP(B1613,'Pre-Summary'!$DI$6:$DM$23,4,FALSE),"")</f>
        <v/>
      </c>
      <c r="D1613" s="10" t="str">
        <f>IFERROR(VLOOKUP(B1613,'Pre-Summary'!$AT$6:$AX$14,5,FALSE),D1612)</f>
        <v>Wolfe v3: went back to modified wolfe + EDTA and switched CuSO4 to CUCl2</v>
      </c>
      <c r="E1613" s="10" t="str">
        <f>IFERROR(VLOOKUP(B1613,'Pre-Summary'!$AT$6:$AX$15,4,FALSE),"")</f>
        <v/>
      </c>
      <c r="F1613">
        <f>IFERROR(VLOOKUP(B1613,'Pre-Summary'!$AL$6:$AQ$13,6,FALSE),F1612)</f>
        <v>5.9405263157894746E-2</v>
      </c>
      <c r="G1613" t="str">
        <f>IFERROR(VLOOKUP(B1613,'Pre-Summary'!$AE$6:$AJ$85,3,FALSE),"")</f>
        <v/>
      </c>
      <c r="H1613" t="str">
        <f>IFERROR(VLOOKUP(B1613,'Pre-Summary'!$AE$6:$AJ$85,4,FALSE),"")</f>
        <v/>
      </c>
      <c r="I1613" t="str">
        <f>IFERROR(VLOOKUP(B1613,'Pre-Summary'!$AE$6:$AJ$85,5,FALSE),"")</f>
        <v/>
      </c>
      <c r="J1613" s="45" t="str">
        <f>IFERROR(VLOOKUP(B1613,'Pre-Summary'!$AE$6:$AJ$85,6, FALSE),"")</f>
        <v/>
      </c>
      <c r="K1613" s="45" t="str">
        <f>IFERROR(VLOOKUP(B1613,'Pre-Summary'!$DE$6:$DG$61,3,FALSE),"")</f>
        <v/>
      </c>
      <c r="L1613" s="45" t="str">
        <f>IFERROR(VLOOKUP(B1613,'Pre-Summary'!$CU$6:$CW$36,3,FALSE),"")</f>
        <v/>
      </c>
      <c r="M1613" s="45" t="str">
        <f>IFERROR(VLOOKUP(B1613,'Pre-Summary'!$BW$6:$BY$58,2,FALSE),"")</f>
        <v/>
      </c>
      <c r="N1613" s="45" t="str">
        <f>IFERROR(VLOOKUP(B1613,'Pre-Summary'!$CD$6:$CF$64,2,FALSE),"")</f>
        <v/>
      </c>
      <c r="O1613" s="99">
        <f>IFERROR(VLOOKUP(B1613,'Pre-Summary'!$BO$6:$BQ$48,3, FALSE),O1612)</f>
        <v>1</v>
      </c>
      <c r="P1613" s="99">
        <f>IFERROR(VLOOKUP(B1613,'Pre-Summary'!$BS$6:$BU$35,3,FALSE),P1612)</f>
        <v>0.4</v>
      </c>
      <c r="Q1613" s="54">
        <f t="shared" si="75"/>
        <v>2.5</v>
      </c>
      <c r="R1613" s="53">
        <f>IFERROR(VLOOKUP(B1613,'Pre-Summary'!$BG$6:$BM$44,7,FALSE),R1614)</f>
        <v>8.3576993058106674E-2</v>
      </c>
      <c r="S1613" s="53">
        <f>IFERROR(VLOOKUP(B1613,'Pre-Summary'!$BG$6:$BM$44,6,FALSE),S1614)</f>
        <v>0.10174646781791266</v>
      </c>
      <c r="T1613" s="45" t="str">
        <f>IFERROR(VLOOKUP(B1613,'Pre-Summary'!$Y$6:$AC$83, 3,FALSE),"")</f>
        <v/>
      </c>
      <c r="U1613" s="45" t="str">
        <f>IFERROR(VLOOKUP(B1613,'Pre-Summary'!$Y$6:$AC$83, 4,FALSE),"")</f>
        <v/>
      </c>
      <c r="V1613" t="str">
        <f>IFERROR(VLOOKUP(B1613,'Pre-Summary'!$Y$6:$AC$83, 5,FALSE),"")</f>
        <v/>
      </c>
      <c r="W1613" s="45" t="str">
        <f>IFERROR(VLOOKUP(B1613,'Pre-Summary'!$Y$6:$AD$83,6,FALSE),"")</f>
        <v/>
      </c>
      <c r="X1613" t="str">
        <f>IFERROR(VLOOKUP('Pre-Summary'!$DB$6:$DD$63,3,FALSE),"")</f>
        <v/>
      </c>
      <c r="Y1613" t="str">
        <f>IFERROR(VLOOKUP(B1613,'Pre-Summary'!$CR$6:$CT$36,3,FALSE),"")</f>
        <v/>
      </c>
      <c r="Z1613" s="45" t="str">
        <f>IFERROR(VLOOKUP(B1613,'Pre-Summary'!$BZ$6:$CB$63,2,FALSE),"")</f>
        <v/>
      </c>
      <c r="AA1613" s="45" t="str">
        <f>IFERROR(VLOOKUP(B1613,'Pre-Summary'!$CG$6:$CI$70,2,FALSE),"")</f>
        <v/>
      </c>
      <c r="AB1613" s="99">
        <f>IFERROR(VLOOKUP(B1613,'Pre-Summary'!$A$6:$P$178,9,FALSE),AB1614)</f>
        <v>0.3585597452218669</v>
      </c>
      <c r="AC1613" s="10">
        <f>IFERROR(VLOOKUP(Summary!B1613,'Pre-Summary'!$A$6:$P$184,5, FALSE)/100,AC1614)</f>
        <v>0.90001266666666668</v>
      </c>
      <c r="AD1613" s="10">
        <f>IFERROR(VLOOKUP(Summary!B1613,'Pre-Summary'!$A$6:$P$184,3, FALSE)/100,AD1614)</f>
        <v>8.2243333333333335E-2</v>
      </c>
      <c r="AE1613" s="10">
        <f>IFERROR(VLOOKUP(Summary!B1613,'Pre-Summary'!$A$6:$P$184,7, FALSE)/100,AE1614)</f>
        <v>1.7743999999999999E-2</v>
      </c>
      <c r="AF1613" s="99">
        <f t="shared" si="76"/>
        <v>2.9489148646197075E-2</v>
      </c>
      <c r="AG1613" s="99">
        <f t="shared" si="77"/>
        <v>6.3622841192168059E-3</v>
      </c>
      <c r="AH1613" s="10" t="str">
        <f>IFERROR(VLOOKUP(B1613,'Pre-Summary'!$AZ$6:$BE$65,3,FALSE),"")</f>
        <v/>
      </c>
      <c r="AI1613" s="10" t="str">
        <f>IFERROR(VLOOKUP(B1613,'Pre-Summary'!$AZ$6:$BE$65,5,FALSE),"")</f>
        <v/>
      </c>
      <c r="AJ1613" s="10" t="str">
        <f>IFERROR(VLOOKUP(B1613,'Pre-Summary'!$AZ$6:$BE$65,4,FALSE),"")</f>
        <v/>
      </c>
      <c r="AK1613" s="10" t="str">
        <f>IFERROR(VLOOKUP(B1613,'Pre-Summary'!$AZ$6:$BE$65,6,FALSE),"")</f>
        <v/>
      </c>
      <c r="AL1613" s="10" t="str">
        <f>IFERROR(VLOOKUP(B1613,'Pre-Summary'!$BG$6:$BL$44,3,FALSE),"")</f>
        <v/>
      </c>
      <c r="AM1613" s="10" t="str">
        <f>IFERROR(VLOOKUP(B1613,'Pre-Summary'!$BG$6:$BL$44,4,FALSE),"")</f>
        <v/>
      </c>
    </row>
    <row r="1614" spans="2:39" ht="15" customHeight="1" x14ac:dyDescent="0.3">
      <c r="B1614">
        <v>161.1</v>
      </c>
      <c r="C1614" t="str">
        <f>IFERROR(VLOOKUP(B1614,'Pre-Summary'!$DI$6:$DM$23,4,FALSE),"")</f>
        <v/>
      </c>
      <c r="D1614" s="10" t="str">
        <f>IFERROR(VLOOKUP(B1614,'Pre-Summary'!$AT$6:$AX$14,5,FALSE),D1613)</f>
        <v>Wolfe v3: went back to modified wolfe + EDTA and switched CuSO4 to CUCl2</v>
      </c>
      <c r="E1614" s="10" t="str">
        <f>IFERROR(VLOOKUP(B1614,'Pre-Summary'!$AT$6:$AX$15,4,FALSE),"")</f>
        <v/>
      </c>
      <c r="F1614">
        <f>IFERROR(VLOOKUP(B1614,'Pre-Summary'!$AL$6:$AQ$13,6,FALSE),F1613)</f>
        <v>5.9405263157894746E-2</v>
      </c>
      <c r="G1614" t="str">
        <f>IFERROR(VLOOKUP(B1614,'Pre-Summary'!$AE$6:$AJ$85,3,FALSE),"")</f>
        <v/>
      </c>
      <c r="H1614" t="str">
        <f>IFERROR(VLOOKUP(B1614,'Pre-Summary'!$AE$6:$AJ$85,4,FALSE),"")</f>
        <v/>
      </c>
      <c r="I1614" t="str">
        <f>IFERROR(VLOOKUP(B1614,'Pre-Summary'!$AE$6:$AJ$85,5,FALSE),"")</f>
        <v/>
      </c>
      <c r="J1614" s="45" t="str">
        <f>IFERROR(VLOOKUP(B1614,'Pre-Summary'!$AE$6:$AJ$85,6, FALSE),"")</f>
        <v/>
      </c>
      <c r="K1614" s="45" t="str">
        <f>IFERROR(VLOOKUP(B1614,'Pre-Summary'!$DE$6:$DG$61,3,FALSE),"")</f>
        <v/>
      </c>
      <c r="L1614" s="45" t="str">
        <f>IFERROR(VLOOKUP(B1614,'Pre-Summary'!$CU$6:$CW$36,3,FALSE),"")</f>
        <v/>
      </c>
      <c r="M1614" s="45" t="str">
        <f>IFERROR(VLOOKUP(B1614,'Pre-Summary'!$BW$6:$BY$58,2,FALSE),"")</f>
        <v/>
      </c>
      <c r="N1614" s="45" t="str">
        <f>IFERROR(VLOOKUP(B1614,'Pre-Summary'!$CD$6:$CF$64,2,FALSE),"")</f>
        <v/>
      </c>
      <c r="O1614" s="99">
        <f>IFERROR(VLOOKUP(B1614,'Pre-Summary'!$BO$6:$BQ$48,3, FALSE),O1613)</f>
        <v>1</v>
      </c>
      <c r="P1614" s="99">
        <f>IFERROR(VLOOKUP(B1614,'Pre-Summary'!$BS$6:$BU$35,3,FALSE),P1613)</f>
        <v>0.4</v>
      </c>
      <c r="Q1614" s="54">
        <f t="shared" si="75"/>
        <v>2.5</v>
      </c>
      <c r="R1614" s="53">
        <f>IFERROR(VLOOKUP(B1614,'Pre-Summary'!$BG$6:$BM$44,7,FALSE),R1615)</f>
        <v>8.3576993058106674E-2</v>
      </c>
      <c r="S1614" s="53">
        <f>IFERROR(VLOOKUP(B1614,'Pre-Summary'!$BG$6:$BM$44,6,FALSE),S1615)</f>
        <v>0.10174646781791266</v>
      </c>
      <c r="T1614" s="45" t="str">
        <f>IFERROR(VLOOKUP(B1614,'Pre-Summary'!$Y$6:$AC$83, 3,FALSE),"")</f>
        <v/>
      </c>
      <c r="U1614" s="45" t="str">
        <f>IFERROR(VLOOKUP(B1614,'Pre-Summary'!$Y$6:$AC$83, 4,FALSE),"")</f>
        <v/>
      </c>
      <c r="V1614" t="str">
        <f>IFERROR(VLOOKUP(B1614,'Pre-Summary'!$Y$6:$AC$83, 5,FALSE),"")</f>
        <v/>
      </c>
      <c r="W1614" s="45" t="str">
        <f>IFERROR(VLOOKUP(B1614,'Pre-Summary'!$Y$6:$AD$83,6,FALSE),"")</f>
        <v/>
      </c>
      <c r="X1614" t="str">
        <f>IFERROR(VLOOKUP('Pre-Summary'!$DB$6:$DD$63,3,FALSE),"")</f>
        <v/>
      </c>
      <c r="Y1614" t="str">
        <f>IFERROR(VLOOKUP(B1614,'Pre-Summary'!$CR$6:$CT$36,3,FALSE),"")</f>
        <v/>
      </c>
      <c r="Z1614" s="45" t="str">
        <f>IFERROR(VLOOKUP(B1614,'Pre-Summary'!$BZ$6:$CB$63,2,FALSE),"")</f>
        <v/>
      </c>
      <c r="AA1614" s="45" t="str">
        <f>IFERROR(VLOOKUP(B1614,'Pre-Summary'!$CG$6:$CI$70,2,FALSE),"")</f>
        <v/>
      </c>
      <c r="AB1614" s="99">
        <f>IFERROR(VLOOKUP(B1614,'Pre-Summary'!$A$6:$P$178,9,FALSE),AB1615)</f>
        <v>0.29318151585396762</v>
      </c>
      <c r="AC1614" s="10">
        <f>IFERROR(VLOOKUP(Summary!B1614,'Pre-Summary'!$A$6:$P$184,5, FALSE)/100,AC1615)</f>
        <v>0.91200566666666694</v>
      </c>
      <c r="AD1614" s="10">
        <f>IFERROR(VLOOKUP(Summary!B1614,'Pre-Summary'!$A$6:$P$184,3, FALSE)/100,AD1615)</f>
        <v>5.1938666666666675E-2</v>
      </c>
      <c r="AE1614" s="10">
        <f>IFERROR(VLOOKUP(Summary!B1614,'Pre-Summary'!$A$6:$P$184,7, FALSE)/100,AE1615)</f>
        <v>3.6055666666666666E-2</v>
      </c>
      <c r="AF1614" s="99">
        <f t="shared" si="76"/>
        <v>1.5227457024767275E-2</v>
      </c>
      <c r="AG1614" s="99">
        <f t="shared" si="77"/>
        <v>1.0570855008458705E-2</v>
      </c>
      <c r="AH1614" s="10" t="str">
        <f>IFERROR(VLOOKUP(B1614,'Pre-Summary'!$AZ$6:$BE$65,3,FALSE),"")</f>
        <v/>
      </c>
      <c r="AI1614" s="10" t="str">
        <f>IFERROR(VLOOKUP(B1614,'Pre-Summary'!$AZ$6:$BE$65,5,FALSE),"")</f>
        <v/>
      </c>
      <c r="AJ1614" s="10" t="str">
        <f>IFERROR(VLOOKUP(B1614,'Pre-Summary'!$AZ$6:$BE$65,4,FALSE),"")</f>
        <v/>
      </c>
      <c r="AK1614" s="10" t="str">
        <f>IFERROR(VLOOKUP(B1614,'Pre-Summary'!$AZ$6:$BE$65,6,FALSE),"")</f>
        <v/>
      </c>
      <c r="AL1614" s="10" t="str">
        <f>IFERROR(VLOOKUP(B1614,'Pre-Summary'!$BG$6:$BL$44,3,FALSE),"")</f>
        <v/>
      </c>
      <c r="AM1614" s="10" t="str">
        <f>IFERROR(VLOOKUP(B1614,'Pre-Summary'!$BG$6:$BL$44,4,FALSE),"")</f>
        <v/>
      </c>
    </row>
    <row r="1615" spans="2:39" ht="15" customHeight="1" x14ac:dyDescent="0.3">
      <c r="B1615">
        <v>161.19999999999999</v>
      </c>
      <c r="C1615" t="str">
        <f>IFERROR(VLOOKUP(B1615,'Pre-Summary'!$DI$6:$DM$23,4,FALSE),"")</f>
        <v/>
      </c>
      <c r="D1615" s="10" t="str">
        <f>IFERROR(VLOOKUP(B1615,'Pre-Summary'!$AT$6:$AX$14,5,FALSE),D1614)</f>
        <v>Wolfe v3: went back to modified wolfe + EDTA and switched CuSO4 to CUCl2</v>
      </c>
      <c r="E1615" s="10" t="str">
        <f>IFERROR(VLOOKUP(B1615,'Pre-Summary'!$AT$6:$AX$15,4,FALSE),"")</f>
        <v/>
      </c>
      <c r="F1615">
        <f>IFERROR(VLOOKUP(B1615,'Pre-Summary'!$AL$6:$AQ$13,6,FALSE),F1614)</f>
        <v>5.9405263157894746E-2</v>
      </c>
      <c r="G1615" t="str">
        <f>IFERROR(VLOOKUP(B1615,'Pre-Summary'!$AE$6:$AJ$85,3,FALSE),"")</f>
        <v/>
      </c>
      <c r="H1615" t="str">
        <f>IFERROR(VLOOKUP(B1615,'Pre-Summary'!$AE$6:$AJ$85,4,FALSE),"")</f>
        <v/>
      </c>
      <c r="I1615" t="str">
        <f>IFERROR(VLOOKUP(B1615,'Pre-Summary'!$AE$6:$AJ$85,5,FALSE),"")</f>
        <v/>
      </c>
      <c r="J1615" s="45" t="str">
        <f>IFERROR(VLOOKUP(B1615,'Pre-Summary'!$AE$6:$AJ$85,6, FALSE),"")</f>
        <v/>
      </c>
      <c r="K1615" s="45" t="str">
        <f>IFERROR(VLOOKUP(B1615,'Pre-Summary'!$DE$6:$DG$61,3,FALSE),"")</f>
        <v/>
      </c>
      <c r="L1615" s="45" t="str">
        <f>IFERROR(VLOOKUP(B1615,'Pre-Summary'!$CU$6:$CW$36,3,FALSE),"")</f>
        <v/>
      </c>
      <c r="M1615" s="45" t="str">
        <f>IFERROR(VLOOKUP(B1615,'Pre-Summary'!$BW$6:$BY$58,2,FALSE),"")</f>
        <v/>
      </c>
      <c r="N1615" s="45" t="str">
        <f>IFERROR(VLOOKUP(B1615,'Pre-Summary'!$CD$6:$CF$64,2,FALSE),"")</f>
        <v/>
      </c>
      <c r="O1615" s="99">
        <f>IFERROR(VLOOKUP(B1615,'Pre-Summary'!$BO$6:$BQ$48,3, FALSE),O1614)</f>
        <v>1</v>
      </c>
      <c r="P1615" s="99">
        <f>IFERROR(VLOOKUP(B1615,'Pre-Summary'!$BS$6:$BU$35,3,FALSE),P1614)</f>
        <v>0.4</v>
      </c>
      <c r="Q1615" s="54">
        <f t="shared" si="75"/>
        <v>2.5</v>
      </c>
      <c r="R1615" s="53">
        <f>IFERROR(VLOOKUP(B1615,'Pre-Summary'!$BG$6:$BM$44,7,FALSE),R1616)</f>
        <v>8.3576993058106674E-2</v>
      </c>
      <c r="S1615" s="53">
        <f>IFERROR(VLOOKUP(B1615,'Pre-Summary'!$BG$6:$BM$44,6,FALSE),S1616)</f>
        <v>0.10174646781791266</v>
      </c>
      <c r="T1615" s="45" t="str">
        <f>IFERROR(VLOOKUP(B1615,'Pre-Summary'!$Y$6:$AC$83, 3,FALSE),"")</f>
        <v/>
      </c>
      <c r="U1615" s="45" t="str">
        <f>IFERROR(VLOOKUP(B1615,'Pre-Summary'!$Y$6:$AC$83, 4,FALSE),"")</f>
        <v/>
      </c>
      <c r="V1615" t="str">
        <f>IFERROR(VLOOKUP(B1615,'Pre-Summary'!$Y$6:$AC$83, 5,FALSE),"")</f>
        <v/>
      </c>
      <c r="W1615" s="45" t="str">
        <f>IFERROR(VLOOKUP(B1615,'Pre-Summary'!$Y$6:$AD$83,6,FALSE),"")</f>
        <v/>
      </c>
      <c r="X1615" t="str">
        <f>IFERROR(VLOOKUP('Pre-Summary'!$DB$6:$DD$63,3,FALSE),"")</f>
        <v/>
      </c>
      <c r="Y1615" t="str">
        <f>IFERROR(VLOOKUP(B1615,'Pre-Summary'!$CR$6:$CT$36,3,FALSE),"")</f>
        <v/>
      </c>
      <c r="Z1615" s="45" t="str">
        <f>IFERROR(VLOOKUP(B1615,'Pre-Summary'!$BZ$6:$CB$63,2,FALSE),"")</f>
        <v/>
      </c>
      <c r="AA1615" s="45" t="str">
        <f>IFERROR(VLOOKUP(B1615,'Pre-Summary'!$CG$6:$CI$70,2,FALSE),"")</f>
        <v/>
      </c>
      <c r="AB1615" s="99">
        <f>IFERROR(VLOOKUP(B1615,'Pre-Summary'!$A$6:$P$178,9,FALSE),AB1616)</f>
        <v>0.29318151585396762</v>
      </c>
      <c r="AC1615" s="10">
        <f>IFERROR(VLOOKUP(Summary!B1615,'Pre-Summary'!$A$6:$P$184,5, FALSE)/100,AC1616)</f>
        <v>0.91200566666666694</v>
      </c>
      <c r="AD1615" s="10">
        <f>IFERROR(VLOOKUP(Summary!B1615,'Pre-Summary'!$A$6:$P$184,3, FALSE)/100,AD1616)</f>
        <v>5.1938666666666675E-2</v>
      </c>
      <c r="AE1615" s="10">
        <f>IFERROR(VLOOKUP(Summary!B1615,'Pre-Summary'!$A$6:$P$184,7, FALSE)/100,AE1616)</f>
        <v>3.6055666666666666E-2</v>
      </c>
      <c r="AF1615" s="99">
        <f t="shared" si="76"/>
        <v>1.5227457024767275E-2</v>
      </c>
      <c r="AG1615" s="99">
        <f t="shared" si="77"/>
        <v>1.0570855008458705E-2</v>
      </c>
      <c r="AH1615" s="10" t="str">
        <f>IFERROR(VLOOKUP(B1615,'Pre-Summary'!$AZ$6:$BE$65,3,FALSE),"")</f>
        <v/>
      </c>
      <c r="AI1615" s="10" t="str">
        <f>IFERROR(VLOOKUP(B1615,'Pre-Summary'!$AZ$6:$BE$65,5,FALSE),"")</f>
        <v/>
      </c>
      <c r="AJ1615" s="10" t="str">
        <f>IFERROR(VLOOKUP(B1615,'Pre-Summary'!$AZ$6:$BE$65,4,FALSE),"")</f>
        <v/>
      </c>
      <c r="AK1615" s="10" t="str">
        <f>IFERROR(VLOOKUP(B1615,'Pre-Summary'!$AZ$6:$BE$65,6,FALSE),"")</f>
        <v/>
      </c>
      <c r="AL1615" s="10" t="str">
        <f>IFERROR(VLOOKUP(B1615,'Pre-Summary'!$BG$6:$BL$44,3,FALSE),"")</f>
        <v/>
      </c>
      <c r="AM1615" s="10" t="str">
        <f>IFERROR(VLOOKUP(B1615,'Pre-Summary'!$BG$6:$BL$44,4,FALSE),"")</f>
        <v/>
      </c>
    </row>
    <row r="1616" spans="2:39" ht="15" customHeight="1" x14ac:dyDescent="0.3">
      <c r="B1616">
        <v>161.30000000000001</v>
      </c>
      <c r="C1616" t="str">
        <f>IFERROR(VLOOKUP(B1616,'Pre-Summary'!$DI$6:$DM$23,4,FALSE),"")</f>
        <v/>
      </c>
      <c r="D1616" s="10" t="str">
        <f>IFERROR(VLOOKUP(B1616,'Pre-Summary'!$AT$6:$AX$14,5,FALSE),D1615)</f>
        <v>Wolfe v3: went back to modified wolfe + EDTA and switched CuSO4 to CUCl2</v>
      </c>
      <c r="E1616" s="10" t="str">
        <f>IFERROR(VLOOKUP(B1616,'Pre-Summary'!$AT$6:$AX$15,4,FALSE),"")</f>
        <v/>
      </c>
      <c r="F1616">
        <f>IFERROR(VLOOKUP(B1616,'Pre-Summary'!$AL$6:$AQ$13,6,FALSE),F1615)</f>
        <v>5.9405263157894746E-2</v>
      </c>
      <c r="G1616" t="str">
        <f>IFERROR(VLOOKUP(B1616,'Pre-Summary'!$AE$6:$AJ$85,3,FALSE),"")</f>
        <v/>
      </c>
      <c r="H1616" t="str">
        <f>IFERROR(VLOOKUP(B1616,'Pre-Summary'!$AE$6:$AJ$85,4,FALSE),"")</f>
        <v/>
      </c>
      <c r="I1616" t="str">
        <f>IFERROR(VLOOKUP(B1616,'Pre-Summary'!$AE$6:$AJ$85,5,FALSE),"")</f>
        <v/>
      </c>
      <c r="J1616" s="45" t="str">
        <f>IFERROR(VLOOKUP(B1616,'Pre-Summary'!$AE$6:$AJ$85,6, FALSE),"")</f>
        <v/>
      </c>
      <c r="K1616" s="45" t="str">
        <f>IFERROR(VLOOKUP(B1616,'Pre-Summary'!$DE$6:$DG$61,3,FALSE),"")</f>
        <v/>
      </c>
      <c r="L1616" s="45" t="str">
        <f>IFERROR(VLOOKUP(B1616,'Pre-Summary'!$CU$6:$CW$36,3,FALSE),"")</f>
        <v/>
      </c>
      <c r="M1616" s="45" t="str">
        <f>IFERROR(VLOOKUP(B1616,'Pre-Summary'!$BW$6:$BY$58,2,FALSE),"")</f>
        <v/>
      </c>
      <c r="N1616" s="45" t="str">
        <f>IFERROR(VLOOKUP(B1616,'Pre-Summary'!$CD$6:$CF$64,2,FALSE),"")</f>
        <v/>
      </c>
      <c r="O1616" s="99">
        <f>IFERROR(VLOOKUP(B1616,'Pre-Summary'!$BO$6:$BQ$48,3, FALSE),O1615)</f>
        <v>1</v>
      </c>
      <c r="P1616" s="99">
        <f>IFERROR(VLOOKUP(B1616,'Pre-Summary'!$BS$6:$BU$35,3,FALSE),P1615)</f>
        <v>0.4</v>
      </c>
      <c r="Q1616" s="54">
        <f t="shared" si="75"/>
        <v>2.5</v>
      </c>
      <c r="R1616" s="53">
        <f>IFERROR(VLOOKUP(B1616,'Pre-Summary'!$BG$6:$BM$44,7,FALSE),R1617)</f>
        <v>8.3576993058106674E-2</v>
      </c>
      <c r="S1616" s="53">
        <f>IFERROR(VLOOKUP(B1616,'Pre-Summary'!$BG$6:$BM$44,6,FALSE),S1617)</f>
        <v>0.10174646781791266</v>
      </c>
      <c r="T1616" s="45" t="str">
        <f>IFERROR(VLOOKUP(B1616,'Pre-Summary'!$Y$6:$AC$83, 3,FALSE),"")</f>
        <v/>
      </c>
      <c r="U1616" s="45" t="str">
        <f>IFERROR(VLOOKUP(B1616,'Pre-Summary'!$Y$6:$AC$83, 4,FALSE),"")</f>
        <v/>
      </c>
      <c r="V1616" t="str">
        <f>IFERROR(VLOOKUP(B1616,'Pre-Summary'!$Y$6:$AC$83, 5,FALSE),"")</f>
        <v/>
      </c>
      <c r="W1616" s="45" t="str">
        <f>IFERROR(VLOOKUP(B1616,'Pre-Summary'!$Y$6:$AD$83,6,FALSE),"")</f>
        <v/>
      </c>
      <c r="X1616" t="str">
        <f>IFERROR(VLOOKUP('Pre-Summary'!$DB$6:$DD$63,3,FALSE),"")</f>
        <v/>
      </c>
      <c r="Y1616" t="str">
        <f>IFERROR(VLOOKUP(B1616,'Pre-Summary'!$CR$6:$CT$36,3,FALSE),"")</f>
        <v/>
      </c>
      <c r="Z1616" s="45" t="str">
        <f>IFERROR(VLOOKUP(B1616,'Pre-Summary'!$BZ$6:$CB$63,2,FALSE),"")</f>
        <v/>
      </c>
      <c r="AA1616" s="45" t="str">
        <f>IFERROR(VLOOKUP(B1616,'Pre-Summary'!$CG$6:$CI$70,2,FALSE),"")</f>
        <v/>
      </c>
      <c r="AB1616" s="99">
        <f>IFERROR(VLOOKUP(B1616,'Pre-Summary'!$A$6:$P$178,9,FALSE),AB1617)</f>
        <v>0.29318151585396762</v>
      </c>
      <c r="AC1616" s="10">
        <f>IFERROR(VLOOKUP(Summary!B1616,'Pre-Summary'!$A$6:$P$184,5, FALSE)/100,AC1617)</f>
        <v>0.91200566666666694</v>
      </c>
      <c r="AD1616" s="10">
        <f>IFERROR(VLOOKUP(Summary!B1616,'Pre-Summary'!$A$6:$P$184,3, FALSE)/100,AD1617)</f>
        <v>5.1938666666666675E-2</v>
      </c>
      <c r="AE1616" s="10">
        <f>IFERROR(VLOOKUP(Summary!B1616,'Pre-Summary'!$A$6:$P$184,7, FALSE)/100,AE1617)</f>
        <v>3.6055666666666666E-2</v>
      </c>
      <c r="AF1616" s="99">
        <f t="shared" si="76"/>
        <v>1.5227457024767275E-2</v>
      </c>
      <c r="AG1616" s="99">
        <f t="shared" si="77"/>
        <v>1.0570855008458705E-2</v>
      </c>
      <c r="AH1616" s="10" t="str">
        <f>IFERROR(VLOOKUP(B1616,'Pre-Summary'!$AZ$6:$BE$65,3,FALSE),"")</f>
        <v/>
      </c>
      <c r="AI1616" s="10" t="str">
        <f>IFERROR(VLOOKUP(B1616,'Pre-Summary'!$AZ$6:$BE$65,5,FALSE),"")</f>
        <v/>
      </c>
      <c r="AJ1616" s="10" t="str">
        <f>IFERROR(VLOOKUP(B1616,'Pre-Summary'!$AZ$6:$BE$65,4,FALSE),"")</f>
        <v/>
      </c>
      <c r="AK1616" s="10" t="str">
        <f>IFERROR(VLOOKUP(B1616,'Pre-Summary'!$AZ$6:$BE$65,6,FALSE),"")</f>
        <v/>
      </c>
      <c r="AL1616" s="10" t="str">
        <f>IFERROR(VLOOKUP(B1616,'Pre-Summary'!$BG$6:$BL$44,3,FALSE),"")</f>
        <v/>
      </c>
      <c r="AM1616" s="10" t="str">
        <f>IFERROR(VLOOKUP(B1616,'Pre-Summary'!$BG$6:$BL$44,4,FALSE),"")</f>
        <v/>
      </c>
    </row>
    <row r="1617" spans="2:39" ht="15" customHeight="1" x14ac:dyDescent="0.3">
      <c r="B1617">
        <v>161.4</v>
      </c>
      <c r="C1617" t="str">
        <f>IFERROR(VLOOKUP(B1617,'Pre-Summary'!$DI$6:$DM$23,4,FALSE),"")</f>
        <v/>
      </c>
      <c r="D1617" s="10" t="str">
        <f>IFERROR(VLOOKUP(B1617,'Pre-Summary'!$AT$6:$AX$14,5,FALSE),D1616)</f>
        <v>Wolfe v3: went back to modified wolfe + EDTA and switched CuSO4 to CUCl2</v>
      </c>
      <c r="E1617" s="10" t="str">
        <f>IFERROR(VLOOKUP(B1617,'Pre-Summary'!$AT$6:$AX$15,4,FALSE),"")</f>
        <v/>
      </c>
      <c r="F1617">
        <f>IFERROR(VLOOKUP(B1617,'Pre-Summary'!$AL$6:$AQ$13,6,FALSE),F1616)</f>
        <v>5.9405263157894746E-2</v>
      </c>
      <c r="G1617" t="str">
        <f>IFERROR(VLOOKUP(B1617,'Pre-Summary'!$AE$6:$AJ$85,3,FALSE),"")</f>
        <v/>
      </c>
      <c r="H1617" t="str">
        <f>IFERROR(VLOOKUP(B1617,'Pre-Summary'!$AE$6:$AJ$85,4,FALSE),"")</f>
        <v/>
      </c>
      <c r="I1617" t="str">
        <f>IFERROR(VLOOKUP(B1617,'Pre-Summary'!$AE$6:$AJ$85,5,FALSE),"")</f>
        <v/>
      </c>
      <c r="J1617" s="45" t="str">
        <f>IFERROR(VLOOKUP(B1617,'Pre-Summary'!$AE$6:$AJ$85,6, FALSE),"")</f>
        <v/>
      </c>
      <c r="K1617" s="45" t="str">
        <f>IFERROR(VLOOKUP(B1617,'Pre-Summary'!$DE$6:$DG$61,3,FALSE),"")</f>
        <v/>
      </c>
      <c r="L1617" s="45" t="str">
        <f>IFERROR(VLOOKUP(B1617,'Pre-Summary'!$CU$6:$CW$36,3,FALSE),"")</f>
        <v/>
      </c>
      <c r="M1617" s="45" t="str">
        <f>IFERROR(VLOOKUP(B1617,'Pre-Summary'!$BW$6:$BY$58,2,FALSE),"")</f>
        <v/>
      </c>
      <c r="N1617" s="45" t="str">
        <f>IFERROR(VLOOKUP(B1617,'Pre-Summary'!$CD$6:$CF$64,2,FALSE),"")</f>
        <v/>
      </c>
      <c r="O1617" s="99">
        <f>IFERROR(VLOOKUP(B1617,'Pre-Summary'!$BO$6:$BQ$48,3, FALSE),O1616)</f>
        <v>1</v>
      </c>
      <c r="P1617" s="99">
        <f>IFERROR(VLOOKUP(B1617,'Pre-Summary'!$BS$6:$BU$35,3,FALSE),P1616)</f>
        <v>0.4</v>
      </c>
      <c r="Q1617" s="54">
        <f t="shared" si="75"/>
        <v>2.5</v>
      </c>
      <c r="R1617" s="53">
        <f>IFERROR(VLOOKUP(B1617,'Pre-Summary'!$BG$6:$BM$44,7,FALSE),R1618)</f>
        <v>8.3576993058106674E-2</v>
      </c>
      <c r="S1617" s="53">
        <f>IFERROR(VLOOKUP(B1617,'Pre-Summary'!$BG$6:$BM$44,6,FALSE),S1618)</f>
        <v>0.10174646781791266</v>
      </c>
      <c r="T1617" s="45" t="str">
        <f>IFERROR(VLOOKUP(B1617,'Pre-Summary'!$Y$6:$AC$83, 3,FALSE),"")</f>
        <v/>
      </c>
      <c r="U1617" s="45" t="str">
        <f>IFERROR(VLOOKUP(B1617,'Pre-Summary'!$Y$6:$AC$83, 4,FALSE),"")</f>
        <v/>
      </c>
      <c r="V1617" t="str">
        <f>IFERROR(VLOOKUP(B1617,'Pre-Summary'!$Y$6:$AC$83, 5,FALSE),"")</f>
        <v/>
      </c>
      <c r="W1617" s="45" t="str">
        <f>IFERROR(VLOOKUP(B1617,'Pre-Summary'!$Y$6:$AD$83,6,FALSE),"")</f>
        <v/>
      </c>
      <c r="X1617" t="str">
        <f>IFERROR(VLOOKUP('Pre-Summary'!$DB$6:$DD$63,3,FALSE),"")</f>
        <v/>
      </c>
      <c r="Y1617" t="str">
        <f>IFERROR(VLOOKUP(B1617,'Pre-Summary'!$CR$6:$CT$36,3,FALSE),"")</f>
        <v/>
      </c>
      <c r="Z1617" s="45" t="str">
        <f>IFERROR(VLOOKUP(B1617,'Pre-Summary'!$BZ$6:$CB$63,2,FALSE),"")</f>
        <v/>
      </c>
      <c r="AA1617" s="45" t="str">
        <f>IFERROR(VLOOKUP(B1617,'Pre-Summary'!$CG$6:$CI$70,2,FALSE),"")</f>
        <v/>
      </c>
      <c r="AB1617" s="99">
        <f>IFERROR(VLOOKUP(B1617,'Pre-Summary'!$A$6:$P$178,9,FALSE),AB1618)</f>
        <v>0.29318151585396762</v>
      </c>
      <c r="AC1617" s="10">
        <f>IFERROR(VLOOKUP(Summary!B1617,'Pre-Summary'!$A$6:$P$184,5, FALSE)/100,AC1618)</f>
        <v>0.91200566666666694</v>
      </c>
      <c r="AD1617" s="10">
        <f>IFERROR(VLOOKUP(Summary!B1617,'Pre-Summary'!$A$6:$P$184,3, FALSE)/100,AD1618)</f>
        <v>5.1938666666666675E-2</v>
      </c>
      <c r="AE1617" s="10">
        <f>IFERROR(VLOOKUP(Summary!B1617,'Pre-Summary'!$A$6:$P$184,7, FALSE)/100,AE1618)</f>
        <v>3.6055666666666666E-2</v>
      </c>
      <c r="AF1617" s="99">
        <f t="shared" si="76"/>
        <v>1.5227457024767275E-2</v>
      </c>
      <c r="AG1617" s="99">
        <f t="shared" si="77"/>
        <v>1.0570855008458705E-2</v>
      </c>
      <c r="AH1617" s="10" t="str">
        <f>IFERROR(VLOOKUP(B1617,'Pre-Summary'!$AZ$6:$BE$65,3,FALSE),"")</f>
        <v/>
      </c>
      <c r="AI1617" s="10" t="str">
        <f>IFERROR(VLOOKUP(B1617,'Pre-Summary'!$AZ$6:$BE$65,5,FALSE),"")</f>
        <v/>
      </c>
      <c r="AJ1617" s="10" t="str">
        <f>IFERROR(VLOOKUP(B1617,'Pre-Summary'!$AZ$6:$BE$65,4,FALSE),"")</f>
        <v/>
      </c>
      <c r="AK1617" s="10" t="str">
        <f>IFERROR(VLOOKUP(B1617,'Pre-Summary'!$AZ$6:$BE$65,6,FALSE),"")</f>
        <v/>
      </c>
      <c r="AL1617" s="10" t="str">
        <f>IFERROR(VLOOKUP(B1617,'Pre-Summary'!$BG$6:$BL$44,3,FALSE),"")</f>
        <v/>
      </c>
      <c r="AM1617" s="10" t="str">
        <f>IFERROR(VLOOKUP(B1617,'Pre-Summary'!$BG$6:$BL$44,4,FALSE),"")</f>
        <v/>
      </c>
    </row>
    <row r="1618" spans="2:39" ht="15" customHeight="1" x14ac:dyDescent="0.3">
      <c r="B1618">
        <v>161.5</v>
      </c>
      <c r="C1618" t="str">
        <f>IFERROR(VLOOKUP(B1618,'Pre-Summary'!$DI$6:$DM$23,4,FALSE),"")</f>
        <v/>
      </c>
      <c r="D1618" s="10" t="str">
        <f>IFERROR(VLOOKUP(B1618,'Pre-Summary'!$AT$6:$AX$14,5,FALSE),D1617)</f>
        <v>Wolfe v3: went back to modified wolfe + EDTA and switched CuSO4 to CUCl2</v>
      </c>
      <c r="E1618" s="10" t="str">
        <f>IFERROR(VLOOKUP(B1618,'Pre-Summary'!$AT$6:$AX$15,4,FALSE),"")</f>
        <v/>
      </c>
      <c r="F1618">
        <f>IFERROR(VLOOKUP(B1618,'Pre-Summary'!$AL$6:$AQ$13,6,FALSE),F1617)</f>
        <v>5.9405263157894746E-2</v>
      </c>
      <c r="G1618" t="str">
        <f>IFERROR(VLOOKUP(B1618,'Pre-Summary'!$AE$6:$AJ$85,3,FALSE),"")</f>
        <v/>
      </c>
      <c r="H1618" t="str">
        <f>IFERROR(VLOOKUP(B1618,'Pre-Summary'!$AE$6:$AJ$85,4,FALSE),"")</f>
        <v/>
      </c>
      <c r="I1618" t="str">
        <f>IFERROR(VLOOKUP(B1618,'Pre-Summary'!$AE$6:$AJ$85,5,FALSE),"")</f>
        <v/>
      </c>
      <c r="J1618" s="45" t="str">
        <f>IFERROR(VLOOKUP(B1618,'Pre-Summary'!$AE$6:$AJ$85,6, FALSE),"")</f>
        <v/>
      </c>
      <c r="K1618" s="45" t="str">
        <f>IFERROR(VLOOKUP(B1618,'Pre-Summary'!$DE$6:$DG$61,3,FALSE),"")</f>
        <v/>
      </c>
      <c r="L1618" s="45" t="str">
        <f>IFERROR(VLOOKUP(B1618,'Pre-Summary'!$CU$6:$CW$36,3,FALSE),"")</f>
        <v/>
      </c>
      <c r="M1618" s="45" t="str">
        <f>IFERROR(VLOOKUP(B1618,'Pre-Summary'!$BW$6:$BY$58,2,FALSE),"")</f>
        <v/>
      </c>
      <c r="N1618" s="45" t="str">
        <f>IFERROR(VLOOKUP(B1618,'Pre-Summary'!$CD$6:$CF$64,2,FALSE),"")</f>
        <v/>
      </c>
      <c r="O1618" s="99">
        <f>IFERROR(VLOOKUP(B1618,'Pre-Summary'!$BO$6:$BQ$48,3, FALSE),O1617)</f>
        <v>1</v>
      </c>
      <c r="P1618" s="99">
        <f>IFERROR(VLOOKUP(B1618,'Pre-Summary'!$BS$6:$BU$35,3,FALSE),P1617)</f>
        <v>0.4</v>
      </c>
      <c r="Q1618" s="54">
        <f t="shared" si="75"/>
        <v>2.5</v>
      </c>
      <c r="R1618" s="53">
        <f>IFERROR(VLOOKUP(B1618,'Pre-Summary'!$BG$6:$BM$44,7,FALSE),R1619)</f>
        <v>8.3576993058106674E-2</v>
      </c>
      <c r="S1618" s="53">
        <f>IFERROR(VLOOKUP(B1618,'Pre-Summary'!$BG$6:$BM$44,6,FALSE),S1619)</f>
        <v>0.10174646781791266</v>
      </c>
      <c r="T1618" s="45" t="str">
        <f>IFERROR(VLOOKUP(B1618,'Pre-Summary'!$Y$6:$AC$83, 3,FALSE),"")</f>
        <v/>
      </c>
      <c r="U1618" s="45" t="str">
        <f>IFERROR(VLOOKUP(B1618,'Pre-Summary'!$Y$6:$AC$83, 4,FALSE),"")</f>
        <v/>
      </c>
      <c r="V1618" t="str">
        <f>IFERROR(VLOOKUP(B1618,'Pre-Summary'!$Y$6:$AC$83, 5,FALSE),"")</f>
        <v/>
      </c>
      <c r="W1618" s="45" t="str">
        <f>IFERROR(VLOOKUP(B1618,'Pre-Summary'!$Y$6:$AD$83,6,FALSE),"")</f>
        <v/>
      </c>
      <c r="X1618" t="str">
        <f>IFERROR(VLOOKUP('Pre-Summary'!$DB$6:$DD$63,3,FALSE),"")</f>
        <v/>
      </c>
      <c r="Y1618" t="str">
        <f>IFERROR(VLOOKUP(B1618,'Pre-Summary'!$CR$6:$CT$36,3,FALSE),"")</f>
        <v/>
      </c>
      <c r="Z1618" s="45" t="str">
        <f>IFERROR(VLOOKUP(B1618,'Pre-Summary'!$BZ$6:$CB$63,2,FALSE),"")</f>
        <v/>
      </c>
      <c r="AA1618" s="45" t="str">
        <f>IFERROR(VLOOKUP(B1618,'Pre-Summary'!$CG$6:$CI$70,2,FALSE),"")</f>
        <v/>
      </c>
      <c r="AB1618" s="99">
        <f>IFERROR(VLOOKUP(B1618,'Pre-Summary'!$A$6:$P$178,9,FALSE),AB1619)</f>
        <v>0.29318151585396762</v>
      </c>
      <c r="AC1618" s="10">
        <f>IFERROR(VLOOKUP(Summary!B1618,'Pre-Summary'!$A$6:$P$184,5, FALSE)/100,AC1619)</f>
        <v>0.91200566666666694</v>
      </c>
      <c r="AD1618" s="10">
        <f>IFERROR(VLOOKUP(Summary!B1618,'Pre-Summary'!$A$6:$P$184,3, FALSE)/100,AD1619)</f>
        <v>5.1938666666666675E-2</v>
      </c>
      <c r="AE1618" s="10">
        <f>IFERROR(VLOOKUP(Summary!B1618,'Pre-Summary'!$A$6:$P$184,7, FALSE)/100,AE1619)</f>
        <v>3.6055666666666666E-2</v>
      </c>
      <c r="AF1618" s="99">
        <f t="shared" si="76"/>
        <v>1.5227457024767275E-2</v>
      </c>
      <c r="AG1618" s="99">
        <f t="shared" si="77"/>
        <v>1.0570855008458705E-2</v>
      </c>
      <c r="AH1618" s="10" t="str">
        <f>IFERROR(VLOOKUP(B1618,'Pre-Summary'!$AZ$6:$BE$65,3,FALSE),"")</f>
        <v/>
      </c>
      <c r="AI1618" s="10" t="str">
        <f>IFERROR(VLOOKUP(B1618,'Pre-Summary'!$AZ$6:$BE$65,5,FALSE),"")</f>
        <v/>
      </c>
      <c r="AJ1618" s="10" t="str">
        <f>IFERROR(VLOOKUP(B1618,'Pre-Summary'!$AZ$6:$BE$65,4,FALSE),"")</f>
        <v/>
      </c>
      <c r="AK1618" s="10" t="str">
        <f>IFERROR(VLOOKUP(B1618,'Pre-Summary'!$AZ$6:$BE$65,6,FALSE),"")</f>
        <v/>
      </c>
      <c r="AL1618" s="10" t="str">
        <f>IFERROR(VLOOKUP(B1618,'Pre-Summary'!$BG$6:$BL$44,3,FALSE),"")</f>
        <v/>
      </c>
      <c r="AM1618" s="10" t="str">
        <f>IFERROR(VLOOKUP(B1618,'Pre-Summary'!$BG$6:$BL$44,4,FALSE),"")</f>
        <v/>
      </c>
    </row>
    <row r="1619" spans="2:39" ht="15" customHeight="1" x14ac:dyDescent="0.3">
      <c r="B1619">
        <v>161.6</v>
      </c>
      <c r="C1619" t="str">
        <f>IFERROR(VLOOKUP(B1619,'Pre-Summary'!$DI$6:$DM$23,4,FALSE),"")</f>
        <v/>
      </c>
      <c r="D1619" s="10" t="str">
        <f>IFERROR(VLOOKUP(B1619,'Pre-Summary'!$AT$6:$AX$14,5,FALSE),D1618)</f>
        <v>Wolfe v3: went back to modified wolfe + EDTA and switched CuSO4 to CUCl2</v>
      </c>
      <c r="E1619" s="10" t="str">
        <f>IFERROR(VLOOKUP(B1619,'Pre-Summary'!$AT$6:$AX$15,4,FALSE),"")</f>
        <v/>
      </c>
      <c r="F1619">
        <f>IFERROR(VLOOKUP(B1619,'Pre-Summary'!$AL$6:$AQ$13,6,FALSE),F1618)</f>
        <v>5.9405263157894746E-2</v>
      </c>
      <c r="G1619" t="str">
        <f>IFERROR(VLOOKUP(B1619,'Pre-Summary'!$AE$6:$AJ$85,3,FALSE),"")</f>
        <v/>
      </c>
      <c r="H1619" t="str">
        <f>IFERROR(VLOOKUP(B1619,'Pre-Summary'!$AE$6:$AJ$85,4,FALSE),"")</f>
        <v/>
      </c>
      <c r="I1619" t="str">
        <f>IFERROR(VLOOKUP(B1619,'Pre-Summary'!$AE$6:$AJ$85,5,FALSE),"")</f>
        <v/>
      </c>
      <c r="J1619" s="45" t="str">
        <f>IFERROR(VLOOKUP(B1619,'Pre-Summary'!$AE$6:$AJ$85,6, FALSE),"")</f>
        <v/>
      </c>
      <c r="K1619" s="45" t="str">
        <f>IFERROR(VLOOKUP(B1619,'Pre-Summary'!$DE$6:$DG$61,3,FALSE),"")</f>
        <v/>
      </c>
      <c r="L1619" s="45" t="str">
        <f>IFERROR(VLOOKUP(B1619,'Pre-Summary'!$CU$6:$CW$36,3,FALSE),"")</f>
        <v/>
      </c>
      <c r="M1619" s="45" t="str">
        <f>IFERROR(VLOOKUP(B1619,'Pre-Summary'!$BW$6:$BY$58,2,FALSE),"")</f>
        <v/>
      </c>
      <c r="N1619" s="45" t="str">
        <f>IFERROR(VLOOKUP(B1619,'Pre-Summary'!$CD$6:$CF$64,2,FALSE),"")</f>
        <v/>
      </c>
      <c r="O1619" s="99">
        <f>IFERROR(VLOOKUP(B1619,'Pre-Summary'!$BO$6:$BQ$48,3, FALSE),O1618)</f>
        <v>1</v>
      </c>
      <c r="P1619" s="99">
        <f>IFERROR(VLOOKUP(B1619,'Pre-Summary'!$BS$6:$BU$35,3,FALSE),P1618)</f>
        <v>0.4</v>
      </c>
      <c r="Q1619" s="54">
        <f t="shared" si="75"/>
        <v>2.5</v>
      </c>
      <c r="R1619" s="53">
        <f>IFERROR(VLOOKUP(B1619,'Pre-Summary'!$BG$6:$BM$44,7,FALSE),R1620)</f>
        <v>8.3576993058106674E-2</v>
      </c>
      <c r="S1619" s="53">
        <f>IFERROR(VLOOKUP(B1619,'Pre-Summary'!$BG$6:$BM$44,6,FALSE),S1620)</f>
        <v>0.10174646781791266</v>
      </c>
      <c r="T1619" s="45" t="str">
        <f>IFERROR(VLOOKUP(B1619,'Pre-Summary'!$Y$6:$AC$83, 3,FALSE),"")</f>
        <v/>
      </c>
      <c r="U1619" s="45" t="str">
        <f>IFERROR(VLOOKUP(B1619,'Pre-Summary'!$Y$6:$AC$83, 4,FALSE),"")</f>
        <v/>
      </c>
      <c r="V1619" t="str">
        <f>IFERROR(VLOOKUP(B1619,'Pre-Summary'!$Y$6:$AC$83, 5,FALSE),"")</f>
        <v/>
      </c>
      <c r="W1619" s="45" t="str">
        <f>IFERROR(VLOOKUP(B1619,'Pre-Summary'!$Y$6:$AD$83,6,FALSE),"")</f>
        <v/>
      </c>
      <c r="X1619" t="str">
        <f>IFERROR(VLOOKUP('Pre-Summary'!$DB$6:$DD$63,3,FALSE),"")</f>
        <v/>
      </c>
      <c r="Y1619" t="str">
        <f>IFERROR(VLOOKUP(B1619,'Pre-Summary'!$CR$6:$CT$36,3,FALSE),"")</f>
        <v/>
      </c>
      <c r="Z1619" s="45" t="str">
        <f>IFERROR(VLOOKUP(B1619,'Pre-Summary'!$BZ$6:$CB$63,2,FALSE),"")</f>
        <v/>
      </c>
      <c r="AA1619" s="45" t="str">
        <f>IFERROR(VLOOKUP(B1619,'Pre-Summary'!$CG$6:$CI$70,2,FALSE),"")</f>
        <v/>
      </c>
      <c r="AB1619" s="99">
        <f>IFERROR(VLOOKUP(B1619,'Pre-Summary'!$A$6:$P$178,9,FALSE),AB1620)</f>
        <v>0.29318151585396762</v>
      </c>
      <c r="AC1619" s="10">
        <f>IFERROR(VLOOKUP(Summary!B1619,'Pre-Summary'!$A$6:$P$184,5, FALSE)/100,AC1620)</f>
        <v>0.91200566666666694</v>
      </c>
      <c r="AD1619" s="10">
        <f>IFERROR(VLOOKUP(Summary!B1619,'Pre-Summary'!$A$6:$P$184,3, FALSE)/100,AD1620)</f>
        <v>5.1938666666666675E-2</v>
      </c>
      <c r="AE1619" s="10">
        <f>IFERROR(VLOOKUP(Summary!B1619,'Pre-Summary'!$A$6:$P$184,7, FALSE)/100,AE1620)</f>
        <v>3.6055666666666666E-2</v>
      </c>
      <c r="AF1619" s="99">
        <f t="shared" si="76"/>
        <v>1.5227457024767275E-2</v>
      </c>
      <c r="AG1619" s="99">
        <f t="shared" si="77"/>
        <v>1.0570855008458705E-2</v>
      </c>
      <c r="AH1619" s="10" t="str">
        <f>IFERROR(VLOOKUP(B1619,'Pre-Summary'!$AZ$6:$BE$65,3,FALSE),"")</f>
        <v/>
      </c>
      <c r="AI1619" s="10" t="str">
        <f>IFERROR(VLOOKUP(B1619,'Pre-Summary'!$AZ$6:$BE$65,5,FALSE),"")</f>
        <v/>
      </c>
      <c r="AJ1619" s="10" t="str">
        <f>IFERROR(VLOOKUP(B1619,'Pre-Summary'!$AZ$6:$BE$65,4,FALSE),"")</f>
        <v/>
      </c>
      <c r="AK1619" s="10" t="str">
        <f>IFERROR(VLOOKUP(B1619,'Pre-Summary'!$AZ$6:$BE$65,6,FALSE),"")</f>
        <v/>
      </c>
      <c r="AL1619" s="10" t="str">
        <f>IFERROR(VLOOKUP(B1619,'Pre-Summary'!$BG$6:$BL$44,3,FALSE),"")</f>
        <v/>
      </c>
      <c r="AM1619" s="10" t="str">
        <f>IFERROR(VLOOKUP(B1619,'Pre-Summary'!$BG$6:$BL$44,4,FALSE),"")</f>
        <v/>
      </c>
    </row>
    <row r="1620" spans="2:39" ht="15" customHeight="1" x14ac:dyDescent="0.3">
      <c r="B1620">
        <v>161.69999999999999</v>
      </c>
      <c r="C1620" t="str">
        <f>IFERROR(VLOOKUP(B1620,'Pre-Summary'!$DI$6:$DM$23,4,FALSE),"")</f>
        <v/>
      </c>
      <c r="D1620" s="10" t="str">
        <f>IFERROR(VLOOKUP(B1620,'Pre-Summary'!$AT$6:$AX$14,5,FALSE),D1619)</f>
        <v>Wolfe v3: went back to modified wolfe + EDTA and switched CuSO4 to CUCl2</v>
      </c>
      <c r="E1620" s="10" t="str">
        <f>IFERROR(VLOOKUP(B1620,'Pre-Summary'!$AT$6:$AX$15,4,FALSE),"")</f>
        <v/>
      </c>
      <c r="F1620">
        <f>IFERROR(VLOOKUP(B1620,'Pre-Summary'!$AL$6:$AQ$13,6,FALSE),F1619)</f>
        <v>5.9405263157894746E-2</v>
      </c>
      <c r="G1620" t="str">
        <f>IFERROR(VLOOKUP(B1620,'Pre-Summary'!$AE$6:$AJ$85,3,FALSE),"")</f>
        <v/>
      </c>
      <c r="H1620" t="str">
        <f>IFERROR(VLOOKUP(B1620,'Pre-Summary'!$AE$6:$AJ$85,4,FALSE),"")</f>
        <v/>
      </c>
      <c r="I1620" t="str">
        <f>IFERROR(VLOOKUP(B1620,'Pre-Summary'!$AE$6:$AJ$85,5,FALSE),"")</f>
        <v/>
      </c>
      <c r="J1620" s="45" t="str">
        <f>IFERROR(VLOOKUP(B1620,'Pre-Summary'!$AE$6:$AJ$85,6, FALSE),"")</f>
        <v/>
      </c>
      <c r="K1620" s="45" t="str">
        <f>IFERROR(VLOOKUP(B1620,'Pre-Summary'!$DE$6:$DG$61,3,FALSE),"")</f>
        <v/>
      </c>
      <c r="L1620" s="45" t="str">
        <f>IFERROR(VLOOKUP(B1620,'Pre-Summary'!$CU$6:$CW$36,3,FALSE),"")</f>
        <v/>
      </c>
      <c r="M1620" s="45" t="str">
        <f>IFERROR(VLOOKUP(B1620,'Pre-Summary'!$BW$6:$BY$58,2,FALSE),"")</f>
        <v/>
      </c>
      <c r="N1620" s="45" t="str">
        <f>IFERROR(VLOOKUP(B1620,'Pre-Summary'!$CD$6:$CF$64,2,FALSE),"")</f>
        <v/>
      </c>
      <c r="O1620" s="99">
        <f>IFERROR(VLOOKUP(B1620,'Pre-Summary'!$BO$6:$BQ$48,3, FALSE),O1619)</f>
        <v>1</v>
      </c>
      <c r="P1620" s="99">
        <f>IFERROR(VLOOKUP(B1620,'Pre-Summary'!$BS$6:$BU$35,3,FALSE),P1619)</f>
        <v>0.4</v>
      </c>
      <c r="Q1620" s="54">
        <f t="shared" si="75"/>
        <v>2.5</v>
      </c>
      <c r="R1620" s="53">
        <f>IFERROR(VLOOKUP(B1620,'Pre-Summary'!$BG$6:$BM$44,7,FALSE),R1621)</f>
        <v>8.3576993058106674E-2</v>
      </c>
      <c r="S1620" s="53">
        <f>IFERROR(VLOOKUP(B1620,'Pre-Summary'!$BG$6:$BM$44,6,FALSE),S1621)</f>
        <v>0.10174646781791266</v>
      </c>
      <c r="T1620" s="45" t="str">
        <f>IFERROR(VLOOKUP(B1620,'Pre-Summary'!$Y$6:$AC$83, 3,FALSE),"")</f>
        <v/>
      </c>
      <c r="U1620" s="45" t="str">
        <f>IFERROR(VLOOKUP(B1620,'Pre-Summary'!$Y$6:$AC$83, 4,FALSE),"")</f>
        <v/>
      </c>
      <c r="V1620" t="str">
        <f>IFERROR(VLOOKUP(B1620,'Pre-Summary'!$Y$6:$AC$83, 5,FALSE),"")</f>
        <v/>
      </c>
      <c r="W1620" s="45" t="str">
        <f>IFERROR(VLOOKUP(B1620,'Pre-Summary'!$Y$6:$AD$83,6,FALSE),"")</f>
        <v/>
      </c>
      <c r="X1620" t="str">
        <f>IFERROR(VLOOKUP('Pre-Summary'!$DB$6:$DD$63,3,FALSE),"")</f>
        <v/>
      </c>
      <c r="Y1620" t="str">
        <f>IFERROR(VLOOKUP(B1620,'Pre-Summary'!$CR$6:$CT$36,3,FALSE),"")</f>
        <v/>
      </c>
      <c r="Z1620" s="45" t="str">
        <f>IFERROR(VLOOKUP(B1620,'Pre-Summary'!$BZ$6:$CB$63,2,FALSE),"")</f>
        <v/>
      </c>
      <c r="AA1620" s="45" t="str">
        <f>IFERROR(VLOOKUP(B1620,'Pre-Summary'!$CG$6:$CI$70,2,FALSE),"")</f>
        <v/>
      </c>
      <c r="AB1620" s="99">
        <f>IFERROR(VLOOKUP(B1620,'Pre-Summary'!$A$6:$P$178,9,FALSE),AB1621)</f>
        <v>0.29318151585396762</v>
      </c>
      <c r="AC1620" s="10">
        <f>IFERROR(VLOOKUP(Summary!B1620,'Pre-Summary'!$A$6:$P$184,5, FALSE)/100,AC1621)</f>
        <v>0.91200566666666694</v>
      </c>
      <c r="AD1620" s="10">
        <f>IFERROR(VLOOKUP(Summary!B1620,'Pre-Summary'!$A$6:$P$184,3, FALSE)/100,AD1621)</f>
        <v>5.1938666666666675E-2</v>
      </c>
      <c r="AE1620" s="10">
        <f>IFERROR(VLOOKUP(Summary!B1620,'Pre-Summary'!$A$6:$P$184,7, FALSE)/100,AE1621)</f>
        <v>3.6055666666666666E-2</v>
      </c>
      <c r="AF1620" s="99">
        <f t="shared" si="76"/>
        <v>1.5227457024767275E-2</v>
      </c>
      <c r="AG1620" s="99">
        <f t="shared" si="77"/>
        <v>1.0570855008458705E-2</v>
      </c>
      <c r="AH1620" s="10" t="str">
        <f>IFERROR(VLOOKUP(B1620,'Pre-Summary'!$AZ$6:$BE$65,3,FALSE),"")</f>
        <v/>
      </c>
      <c r="AI1620" s="10" t="str">
        <f>IFERROR(VLOOKUP(B1620,'Pre-Summary'!$AZ$6:$BE$65,5,FALSE),"")</f>
        <v/>
      </c>
      <c r="AJ1620" s="10" t="str">
        <f>IFERROR(VLOOKUP(B1620,'Pre-Summary'!$AZ$6:$BE$65,4,FALSE),"")</f>
        <v/>
      </c>
      <c r="AK1620" s="10" t="str">
        <f>IFERROR(VLOOKUP(B1620,'Pre-Summary'!$AZ$6:$BE$65,6,FALSE),"")</f>
        <v/>
      </c>
      <c r="AL1620" s="10" t="str">
        <f>IFERROR(VLOOKUP(B1620,'Pre-Summary'!$BG$6:$BL$44,3,FALSE),"")</f>
        <v/>
      </c>
      <c r="AM1620" s="10" t="str">
        <f>IFERROR(VLOOKUP(B1620,'Pre-Summary'!$BG$6:$BL$44,4,FALSE),"")</f>
        <v/>
      </c>
    </row>
    <row r="1621" spans="2:39" ht="15" customHeight="1" x14ac:dyDescent="0.3">
      <c r="B1621">
        <v>161.80000000000001</v>
      </c>
      <c r="C1621" t="str">
        <f>IFERROR(VLOOKUP(B1621,'Pre-Summary'!$DI$6:$DM$23,4,FALSE),"")</f>
        <v/>
      </c>
      <c r="D1621" s="10" t="str">
        <f>IFERROR(VLOOKUP(B1621,'Pre-Summary'!$AT$6:$AX$14,5,FALSE),D1620)</f>
        <v>Wolfe v3: went back to modified wolfe + EDTA and switched CuSO4 to CUCl2</v>
      </c>
      <c r="E1621" s="10" t="str">
        <f>IFERROR(VLOOKUP(B1621,'Pre-Summary'!$AT$6:$AX$15,4,FALSE),"")</f>
        <v/>
      </c>
      <c r="F1621">
        <f>IFERROR(VLOOKUP(B1621,'Pre-Summary'!$AL$6:$AQ$13,6,FALSE),F1620)</f>
        <v>5.9405263157894746E-2</v>
      </c>
      <c r="G1621" t="str">
        <f>IFERROR(VLOOKUP(B1621,'Pre-Summary'!$AE$6:$AJ$85,3,FALSE),"")</f>
        <v/>
      </c>
      <c r="H1621" t="str">
        <f>IFERROR(VLOOKUP(B1621,'Pre-Summary'!$AE$6:$AJ$85,4,FALSE),"")</f>
        <v/>
      </c>
      <c r="I1621" t="str">
        <f>IFERROR(VLOOKUP(B1621,'Pre-Summary'!$AE$6:$AJ$85,5,FALSE),"")</f>
        <v/>
      </c>
      <c r="J1621" s="45" t="str">
        <f>IFERROR(VLOOKUP(B1621,'Pre-Summary'!$AE$6:$AJ$85,6, FALSE),"")</f>
        <v/>
      </c>
      <c r="K1621" s="45" t="str">
        <f>IFERROR(VLOOKUP(B1621,'Pre-Summary'!$DE$6:$DG$61,3,FALSE),"")</f>
        <v/>
      </c>
      <c r="L1621" s="45" t="str">
        <f>IFERROR(VLOOKUP(B1621,'Pre-Summary'!$CU$6:$CW$36,3,FALSE),"")</f>
        <v/>
      </c>
      <c r="M1621" s="45" t="str">
        <f>IFERROR(VLOOKUP(B1621,'Pre-Summary'!$BW$6:$BY$58,2,FALSE),"")</f>
        <v/>
      </c>
      <c r="N1621" s="45" t="str">
        <f>IFERROR(VLOOKUP(B1621,'Pre-Summary'!$CD$6:$CF$64,2,FALSE),"")</f>
        <v/>
      </c>
      <c r="O1621" s="99">
        <f>IFERROR(VLOOKUP(B1621,'Pre-Summary'!$BO$6:$BQ$48,3, FALSE),O1620)</f>
        <v>1</v>
      </c>
      <c r="P1621" s="99">
        <f>IFERROR(VLOOKUP(B1621,'Pre-Summary'!$BS$6:$BU$35,3,FALSE),P1620)</f>
        <v>0.4</v>
      </c>
      <c r="Q1621" s="54">
        <f t="shared" si="75"/>
        <v>2.5</v>
      </c>
      <c r="R1621" s="53">
        <f>IFERROR(VLOOKUP(B1621,'Pre-Summary'!$BG$6:$BM$44,7,FALSE),R1622)</f>
        <v>8.3576993058106674E-2</v>
      </c>
      <c r="S1621" s="53">
        <f>IFERROR(VLOOKUP(B1621,'Pre-Summary'!$BG$6:$BM$44,6,FALSE),S1622)</f>
        <v>0.10174646781791266</v>
      </c>
      <c r="T1621" s="45" t="str">
        <f>IFERROR(VLOOKUP(B1621,'Pre-Summary'!$Y$6:$AC$83, 3,FALSE),"")</f>
        <v/>
      </c>
      <c r="U1621" s="45" t="str">
        <f>IFERROR(VLOOKUP(B1621,'Pre-Summary'!$Y$6:$AC$83, 4,FALSE),"")</f>
        <v/>
      </c>
      <c r="V1621" t="str">
        <f>IFERROR(VLOOKUP(B1621,'Pre-Summary'!$Y$6:$AC$83, 5,FALSE),"")</f>
        <v/>
      </c>
      <c r="W1621" s="45" t="str">
        <f>IFERROR(VLOOKUP(B1621,'Pre-Summary'!$Y$6:$AD$83,6,FALSE),"")</f>
        <v/>
      </c>
      <c r="X1621" t="str">
        <f>IFERROR(VLOOKUP('Pre-Summary'!$DB$6:$DD$63,3,FALSE),"")</f>
        <v/>
      </c>
      <c r="Y1621" t="str">
        <f>IFERROR(VLOOKUP(B1621,'Pre-Summary'!$CR$6:$CT$36,3,FALSE),"")</f>
        <v/>
      </c>
      <c r="Z1621" s="45" t="str">
        <f>IFERROR(VLOOKUP(B1621,'Pre-Summary'!$BZ$6:$CB$63,2,FALSE),"")</f>
        <v/>
      </c>
      <c r="AA1621" s="45" t="str">
        <f>IFERROR(VLOOKUP(B1621,'Pre-Summary'!$CG$6:$CI$70,2,FALSE),"")</f>
        <v/>
      </c>
      <c r="AB1621" s="99">
        <f>IFERROR(VLOOKUP(B1621,'Pre-Summary'!$A$6:$P$178,9,FALSE),AB1622)</f>
        <v>0.29318151585396762</v>
      </c>
      <c r="AC1621" s="10">
        <f>IFERROR(VLOOKUP(Summary!B1621,'Pre-Summary'!$A$6:$P$184,5, FALSE)/100,AC1622)</f>
        <v>0.91200566666666694</v>
      </c>
      <c r="AD1621" s="10">
        <f>IFERROR(VLOOKUP(Summary!B1621,'Pre-Summary'!$A$6:$P$184,3, FALSE)/100,AD1622)</f>
        <v>5.1938666666666675E-2</v>
      </c>
      <c r="AE1621" s="10">
        <f>IFERROR(VLOOKUP(Summary!B1621,'Pre-Summary'!$A$6:$P$184,7, FALSE)/100,AE1622)</f>
        <v>3.6055666666666666E-2</v>
      </c>
      <c r="AF1621" s="99">
        <f t="shared" si="76"/>
        <v>1.5227457024767275E-2</v>
      </c>
      <c r="AG1621" s="99">
        <f t="shared" si="77"/>
        <v>1.0570855008458705E-2</v>
      </c>
      <c r="AH1621" s="10" t="str">
        <f>IFERROR(VLOOKUP(B1621,'Pre-Summary'!$AZ$6:$BE$65,3,FALSE),"")</f>
        <v/>
      </c>
      <c r="AI1621" s="10" t="str">
        <f>IFERROR(VLOOKUP(B1621,'Pre-Summary'!$AZ$6:$BE$65,5,FALSE),"")</f>
        <v/>
      </c>
      <c r="AJ1621" s="10" t="str">
        <f>IFERROR(VLOOKUP(B1621,'Pre-Summary'!$AZ$6:$BE$65,4,FALSE),"")</f>
        <v/>
      </c>
      <c r="AK1621" s="10" t="str">
        <f>IFERROR(VLOOKUP(B1621,'Pre-Summary'!$AZ$6:$BE$65,6,FALSE),"")</f>
        <v/>
      </c>
      <c r="AL1621" s="10" t="str">
        <f>IFERROR(VLOOKUP(B1621,'Pre-Summary'!$BG$6:$BL$44,3,FALSE),"")</f>
        <v/>
      </c>
      <c r="AM1621" s="10" t="str">
        <f>IFERROR(VLOOKUP(B1621,'Pre-Summary'!$BG$6:$BL$44,4,FALSE),"")</f>
        <v/>
      </c>
    </row>
    <row r="1622" spans="2:39" ht="15" customHeight="1" x14ac:dyDescent="0.3">
      <c r="B1622">
        <v>161.9</v>
      </c>
      <c r="C1622" t="str">
        <f>IFERROR(VLOOKUP(B1622,'Pre-Summary'!$DI$6:$DM$23,4,FALSE),"")</f>
        <v/>
      </c>
      <c r="D1622" s="10" t="str">
        <f>IFERROR(VLOOKUP(B1622,'Pre-Summary'!$AT$6:$AX$14,5,FALSE),D1621)</f>
        <v>Wolfe v3: went back to modified wolfe + EDTA and switched CuSO4 to CUCl2</v>
      </c>
      <c r="E1622" s="10" t="str">
        <f>IFERROR(VLOOKUP(B1622,'Pre-Summary'!$AT$6:$AX$15,4,FALSE),"")</f>
        <v/>
      </c>
      <c r="F1622">
        <f>IFERROR(VLOOKUP(B1622,'Pre-Summary'!$AL$6:$AQ$13,6,FALSE),F1621)</f>
        <v>5.9405263157894746E-2</v>
      </c>
      <c r="G1622" t="str">
        <f>IFERROR(VLOOKUP(B1622,'Pre-Summary'!$AE$6:$AJ$85,3,FALSE),"")</f>
        <v/>
      </c>
      <c r="H1622" t="str">
        <f>IFERROR(VLOOKUP(B1622,'Pre-Summary'!$AE$6:$AJ$85,4,FALSE),"")</f>
        <v/>
      </c>
      <c r="I1622" t="str">
        <f>IFERROR(VLOOKUP(B1622,'Pre-Summary'!$AE$6:$AJ$85,5,FALSE),"")</f>
        <v/>
      </c>
      <c r="J1622" s="45" t="str">
        <f>IFERROR(VLOOKUP(B1622,'Pre-Summary'!$AE$6:$AJ$85,6, FALSE),"")</f>
        <v/>
      </c>
      <c r="K1622" s="45" t="str">
        <f>IFERROR(VLOOKUP(B1622,'Pre-Summary'!$DE$6:$DG$61,3,FALSE),"")</f>
        <v/>
      </c>
      <c r="L1622" s="45" t="str">
        <f>IFERROR(VLOOKUP(B1622,'Pre-Summary'!$CU$6:$CW$36,3,FALSE),"")</f>
        <v/>
      </c>
      <c r="M1622" s="45" t="str">
        <f>IFERROR(VLOOKUP(B1622,'Pre-Summary'!$BW$6:$BY$58,2,FALSE),"")</f>
        <v/>
      </c>
      <c r="N1622" s="45" t="str">
        <f>IFERROR(VLOOKUP(B1622,'Pre-Summary'!$CD$6:$CF$64,2,FALSE),"")</f>
        <v/>
      </c>
      <c r="O1622" s="99">
        <f>IFERROR(VLOOKUP(B1622,'Pre-Summary'!$BO$6:$BQ$48,3, FALSE),O1621)</f>
        <v>1</v>
      </c>
      <c r="P1622" s="99">
        <f>IFERROR(VLOOKUP(B1622,'Pre-Summary'!$BS$6:$BU$35,3,FALSE),P1621)</f>
        <v>0.4</v>
      </c>
      <c r="Q1622" s="54">
        <f t="shared" si="75"/>
        <v>2.5</v>
      </c>
      <c r="R1622" s="53">
        <f>IFERROR(VLOOKUP(B1622,'Pre-Summary'!$BG$6:$BM$44,7,FALSE),R1623)</f>
        <v>8.3576993058106674E-2</v>
      </c>
      <c r="S1622" s="53">
        <f>IFERROR(VLOOKUP(B1622,'Pre-Summary'!$BG$6:$BM$44,6,FALSE),S1623)</f>
        <v>0.10174646781791266</v>
      </c>
      <c r="T1622" s="45" t="str">
        <f>IFERROR(VLOOKUP(B1622,'Pre-Summary'!$Y$6:$AC$83, 3,FALSE),"")</f>
        <v/>
      </c>
      <c r="U1622" s="45" t="str">
        <f>IFERROR(VLOOKUP(B1622,'Pre-Summary'!$Y$6:$AC$83, 4,FALSE),"")</f>
        <v/>
      </c>
      <c r="V1622" t="str">
        <f>IFERROR(VLOOKUP(B1622,'Pre-Summary'!$Y$6:$AC$83, 5,FALSE),"")</f>
        <v/>
      </c>
      <c r="W1622" s="45" t="str">
        <f>IFERROR(VLOOKUP(B1622,'Pre-Summary'!$Y$6:$AD$83,6,FALSE),"")</f>
        <v/>
      </c>
      <c r="X1622" t="str">
        <f>IFERROR(VLOOKUP('Pre-Summary'!$DB$6:$DD$63,3,FALSE),"")</f>
        <v/>
      </c>
      <c r="Y1622" t="str">
        <f>IFERROR(VLOOKUP(B1622,'Pre-Summary'!$CR$6:$CT$36,3,FALSE),"")</f>
        <v/>
      </c>
      <c r="Z1622" s="45" t="str">
        <f>IFERROR(VLOOKUP(B1622,'Pre-Summary'!$BZ$6:$CB$63,2,FALSE),"")</f>
        <v/>
      </c>
      <c r="AA1622" s="45" t="str">
        <f>IFERROR(VLOOKUP(B1622,'Pre-Summary'!$CG$6:$CI$70,2,FALSE),"")</f>
        <v/>
      </c>
      <c r="AB1622" s="99">
        <f>IFERROR(VLOOKUP(B1622,'Pre-Summary'!$A$6:$P$178,9,FALSE),AB1623)</f>
        <v>0.29318151585396762</v>
      </c>
      <c r="AC1622" s="10">
        <f>IFERROR(VLOOKUP(Summary!B1622,'Pre-Summary'!$A$6:$P$184,5, FALSE)/100,AC1623)</f>
        <v>0.91200566666666694</v>
      </c>
      <c r="AD1622" s="10">
        <f>IFERROR(VLOOKUP(Summary!B1622,'Pre-Summary'!$A$6:$P$184,3, FALSE)/100,AD1623)</f>
        <v>5.1938666666666675E-2</v>
      </c>
      <c r="AE1622" s="10">
        <f>IFERROR(VLOOKUP(Summary!B1622,'Pre-Summary'!$A$6:$P$184,7, FALSE)/100,AE1623)</f>
        <v>3.6055666666666666E-2</v>
      </c>
      <c r="AF1622" s="99">
        <f t="shared" si="76"/>
        <v>1.5227457024767275E-2</v>
      </c>
      <c r="AG1622" s="99">
        <f t="shared" si="77"/>
        <v>1.0570855008458705E-2</v>
      </c>
      <c r="AH1622" s="10" t="str">
        <f>IFERROR(VLOOKUP(B1622,'Pre-Summary'!$AZ$6:$BE$65,3,FALSE),"")</f>
        <v/>
      </c>
      <c r="AI1622" s="10" t="str">
        <f>IFERROR(VLOOKUP(B1622,'Pre-Summary'!$AZ$6:$BE$65,5,FALSE),"")</f>
        <v/>
      </c>
      <c r="AJ1622" s="10" t="str">
        <f>IFERROR(VLOOKUP(B1622,'Pre-Summary'!$AZ$6:$BE$65,4,FALSE),"")</f>
        <v/>
      </c>
      <c r="AK1622" s="10" t="str">
        <f>IFERROR(VLOOKUP(B1622,'Pre-Summary'!$AZ$6:$BE$65,6,FALSE),"")</f>
        <v/>
      </c>
      <c r="AL1622" s="10" t="str">
        <f>IFERROR(VLOOKUP(B1622,'Pre-Summary'!$BG$6:$BL$44,3,FALSE),"")</f>
        <v/>
      </c>
      <c r="AM1622" s="10" t="str">
        <f>IFERROR(VLOOKUP(B1622,'Pre-Summary'!$BG$6:$BL$44,4,FALSE),"")</f>
        <v/>
      </c>
    </row>
    <row r="1623" spans="2:39" ht="15" customHeight="1" x14ac:dyDescent="0.3">
      <c r="B1623">
        <v>162</v>
      </c>
      <c r="C1623" t="str">
        <f>IFERROR(VLOOKUP(B1623,'Pre-Summary'!$DI$6:$DM$23,4,FALSE),"")</f>
        <v/>
      </c>
      <c r="D1623" s="10" t="str">
        <f>IFERROR(VLOOKUP(B1623,'Pre-Summary'!$AT$6:$AX$14,5,FALSE),D1622)</f>
        <v>Wolfe v3: went back to modified wolfe + EDTA and switched CuSO4 to CUCl2</v>
      </c>
      <c r="E1623" s="10" t="str">
        <f>IFERROR(VLOOKUP(B1623,'Pre-Summary'!$AT$6:$AX$15,4,FALSE),"")</f>
        <v/>
      </c>
      <c r="F1623">
        <f>IFERROR(VLOOKUP(B1623,'Pre-Summary'!$AL$6:$AQ$13,6,FALSE),F1622)</f>
        <v>5.9405263157894746E-2</v>
      </c>
      <c r="G1623" t="str">
        <f>IFERROR(VLOOKUP(B1623,'Pre-Summary'!$AE$6:$AJ$85,3,FALSE),"")</f>
        <v/>
      </c>
      <c r="H1623" t="str">
        <f>IFERROR(VLOOKUP(B1623,'Pre-Summary'!$AE$6:$AJ$85,4,FALSE),"")</f>
        <v/>
      </c>
      <c r="I1623" t="str">
        <f>IFERROR(VLOOKUP(B1623,'Pre-Summary'!$AE$6:$AJ$85,5,FALSE),"")</f>
        <v/>
      </c>
      <c r="J1623" s="45" t="str">
        <f>IFERROR(VLOOKUP(B1623,'Pre-Summary'!$AE$6:$AJ$85,6, FALSE),"")</f>
        <v/>
      </c>
      <c r="K1623" s="45" t="str">
        <f>IFERROR(VLOOKUP(B1623,'Pre-Summary'!$DE$6:$DG$61,3,FALSE),"")</f>
        <v/>
      </c>
      <c r="L1623" s="45" t="str">
        <f>IFERROR(VLOOKUP(B1623,'Pre-Summary'!$CU$6:$CW$36,3,FALSE),"")</f>
        <v/>
      </c>
      <c r="M1623" s="45" t="str">
        <f>IFERROR(VLOOKUP(B1623,'Pre-Summary'!$BW$6:$BY$58,2,FALSE),"")</f>
        <v/>
      </c>
      <c r="N1623" s="45" t="str">
        <f>IFERROR(VLOOKUP(B1623,'Pre-Summary'!$CD$6:$CF$64,2,FALSE),"")</f>
        <v/>
      </c>
      <c r="O1623" s="99">
        <f>IFERROR(VLOOKUP(B1623,'Pre-Summary'!$BO$6:$BQ$48,3, FALSE),O1622)</f>
        <v>1</v>
      </c>
      <c r="P1623" s="99">
        <f>IFERROR(VLOOKUP(B1623,'Pre-Summary'!$BS$6:$BU$35,3,FALSE),P1622)</f>
        <v>0.3</v>
      </c>
      <c r="Q1623" s="54">
        <f t="shared" si="75"/>
        <v>3.3333333333333335</v>
      </c>
      <c r="R1623" s="53">
        <f>IFERROR(VLOOKUP(B1623,'Pre-Summary'!$BG$6:$BM$44,7,FALSE),R1624)</f>
        <v>8.3576993058106674E-2</v>
      </c>
      <c r="S1623" s="53">
        <f>IFERROR(VLOOKUP(B1623,'Pre-Summary'!$BG$6:$BM$44,6,FALSE),S1624)</f>
        <v>0.10174646781791266</v>
      </c>
      <c r="T1623" s="45" t="str">
        <f>IFERROR(VLOOKUP(B1623,'Pre-Summary'!$Y$6:$AC$83, 3,FALSE),"")</f>
        <v/>
      </c>
      <c r="U1623" s="45" t="str">
        <f>IFERROR(VLOOKUP(B1623,'Pre-Summary'!$Y$6:$AC$83, 4,FALSE),"")</f>
        <v/>
      </c>
      <c r="V1623" t="str">
        <f>IFERROR(VLOOKUP(B1623,'Pre-Summary'!$Y$6:$AC$83, 5,FALSE),"")</f>
        <v/>
      </c>
      <c r="W1623" s="45" t="str">
        <f>IFERROR(VLOOKUP(B1623,'Pre-Summary'!$Y$6:$AD$83,6,FALSE),"")</f>
        <v/>
      </c>
      <c r="X1623" t="str">
        <f>IFERROR(VLOOKUP('Pre-Summary'!$DB$6:$DD$63,3,FALSE),"")</f>
        <v/>
      </c>
      <c r="Y1623" t="str">
        <f>IFERROR(VLOOKUP(B1623,'Pre-Summary'!$CR$6:$CT$36,3,FALSE),"")</f>
        <v/>
      </c>
      <c r="Z1623" s="45" t="str">
        <f>IFERROR(VLOOKUP(B1623,'Pre-Summary'!$BZ$6:$CB$63,2,FALSE),"")</f>
        <v/>
      </c>
      <c r="AA1623" s="45" t="str">
        <f>IFERROR(VLOOKUP(B1623,'Pre-Summary'!$CG$6:$CI$70,2,FALSE),"")</f>
        <v/>
      </c>
      <c r="AB1623" s="99">
        <f>IFERROR(VLOOKUP(B1623,'Pre-Summary'!$A$6:$P$178,9,FALSE),AB1624)</f>
        <v>0.27917596741480943</v>
      </c>
      <c r="AC1623" s="10">
        <f>IFERROR(VLOOKUP(Summary!B1623,'Pre-Summary'!$A$6:$P$184,5, FALSE)/100,AC1624)</f>
        <v>0.93713833333333307</v>
      </c>
      <c r="AD1623" s="10">
        <f>IFERROR(VLOOKUP(Summary!B1623,'Pre-Summary'!$A$6:$P$184,3, FALSE)/100,AD1624)</f>
        <v>2.5143999999999996E-2</v>
      </c>
      <c r="AE1623" s="10">
        <f>IFERROR(VLOOKUP(Summary!B1623,'Pre-Summary'!$A$6:$P$184,7, FALSE)/100,AE1624)</f>
        <v>3.771766666666667E-2</v>
      </c>
      <c r="AF1623" s="99">
        <f t="shared" si="76"/>
        <v>7.0196005246779677E-3</v>
      </c>
      <c r="AG1623" s="99">
        <f t="shared" si="77"/>
        <v>1.0529866080295979E-2</v>
      </c>
      <c r="AH1623" s="10" t="str">
        <f>IFERROR(VLOOKUP(B1623,'Pre-Summary'!$AZ$6:$BE$65,3,FALSE),"")</f>
        <v/>
      </c>
      <c r="AI1623" s="10" t="str">
        <f>IFERROR(VLOOKUP(B1623,'Pre-Summary'!$AZ$6:$BE$65,5,FALSE),"")</f>
        <v/>
      </c>
      <c r="AJ1623" s="10" t="str">
        <f>IFERROR(VLOOKUP(B1623,'Pre-Summary'!$AZ$6:$BE$65,4,FALSE),"")</f>
        <v/>
      </c>
      <c r="AK1623" s="10" t="str">
        <f>IFERROR(VLOOKUP(B1623,'Pre-Summary'!$AZ$6:$BE$65,6,FALSE),"")</f>
        <v/>
      </c>
      <c r="AL1623" s="10" t="str">
        <f>IFERROR(VLOOKUP(B1623,'Pre-Summary'!$BG$6:$BL$44,3,FALSE),"")</f>
        <v/>
      </c>
      <c r="AM1623" s="10" t="str">
        <f>IFERROR(VLOOKUP(B1623,'Pre-Summary'!$BG$6:$BL$44,4,FALSE),"")</f>
        <v/>
      </c>
    </row>
    <row r="1624" spans="2:39" ht="15" customHeight="1" x14ac:dyDescent="0.3">
      <c r="B1624">
        <v>162.1</v>
      </c>
      <c r="C1624" t="str">
        <f>IFERROR(VLOOKUP(B1624,'Pre-Summary'!$DI$6:$DM$23,4,FALSE),"")</f>
        <v/>
      </c>
      <c r="D1624" s="10" t="str">
        <f>IFERROR(VLOOKUP(B1624,'Pre-Summary'!$AT$6:$AX$14,5,FALSE),D1623)</f>
        <v>Wolfe v3: went back to modified wolfe + EDTA and switched CuSO4 to CUCl2</v>
      </c>
      <c r="E1624" s="10" t="str">
        <f>IFERROR(VLOOKUP(B1624,'Pre-Summary'!$AT$6:$AX$15,4,FALSE),"")</f>
        <v/>
      </c>
      <c r="F1624">
        <f>IFERROR(VLOOKUP(B1624,'Pre-Summary'!$AL$6:$AQ$13,6,FALSE),F1623)</f>
        <v>5.9405263157894746E-2</v>
      </c>
      <c r="G1624" t="str">
        <f>IFERROR(VLOOKUP(B1624,'Pre-Summary'!$AE$6:$AJ$85,3,FALSE),"")</f>
        <v/>
      </c>
      <c r="H1624" t="str">
        <f>IFERROR(VLOOKUP(B1624,'Pre-Summary'!$AE$6:$AJ$85,4,FALSE),"")</f>
        <v/>
      </c>
      <c r="I1624" t="str">
        <f>IFERROR(VLOOKUP(B1624,'Pre-Summary'!$AE$6:$AJ$85,5,FALSE),"")</f>
        <v/>
      </c>
      <c r="J1624" s="45" t="str">
        <f>IFERROR(VLOOKUP(B1624,'Pre-Summary'!$AE$6:$AJ$85,6, FALSE),"")</f>
        <v/>
      </c>
      <c r="K1624" s="45" t="str">
        <f>IFERROR(VLOOKUP(B1624,'Pre-Summary'!$DE$6:$DG$61,3,FALSE),"")</f>
        <v/>
      </c>
      <c r="L1624" s="45" t="str">
        <f>IFERROR(VLOOKUP(B1624,'Pre-Summary'!$CU$6:$CW$36,3,FALSE),"")</f>
        <v/>
      </c>
      <c r="M1624" s="45" t="str">
        <f>IFERROR(VLOOKUP(B1624,'Pre-Summary'!$BW$6:$BY$58,2,FALSE),"")</f>
        <v/>
      </c>
      <c r="N1624" s="45" t="str">
        <f>IFERROR(VLOOKUP(B1624,'Pre-Summary'!$CD$6:$CF$64,2,FALSE),"")</f>
        <v/>
      </c>
      <c r="O1624" s="99">
        <f>IFERROR(VLOOKUP(B1624,'Pre-Summary'!$BO$6:$BQ$48,3, FALSE),O1623)</f>
        <v>1</v>
      </c>
      <c r="P1624" s="99">
        <f>IFERROR(VLOOKUP(B1624,'Pre-Summary'!$BS$6:$BU$35,3,FALSE),P1623)</f>
        <v>0.3</v>
      </c>
      <c r="Q1624" s="54">
        <f t="shared" si="75"/>
        <v>3.3333333333333335</v>
      </c>
      <c r="R1624" s="53">
        <f>IFERROR(VLOOKUP(B1624,'Pre-Summary'!$BG$6:$BM$44,7,FALSE),R1625)</f>
        <v>8.3576993058106674E-2</v>
      </c>
      <c r="S1624" s="53">
        <f>IFERROR(VLOOKUP(B1624,'Pre-Summary'!$BG$6:$BM$44,6,FALSE),S1625)</f>
        <v>0.10174646781791266</v>
      </c>
      <c r="T1624" s="45" t="str">
        <f>IFERROR(VLOOKUP(B1624,'Pre-Summary'!$Y$6:$AC$83, 3,FALSE),"")</f>
        <v/>
      </c>
      <c r="U1624" s="45" t="str">
        <f>IFERROR(VLOOKUP(B1624,'Pre-Summary'!$Y$6:$AC$83, 4,FALSE),"")</f>
        <v/>
      </c>
      <c r="V1624" t="str">
        <f>IFERROR(VLOOKUP(B1624,'Pre-Summary'!$Y$6:$AC$83, 5,FALSE),"")</f>
        <v/>
      </c>
      <c r="W1624" s="45" t="str">
        <f>IFERROR(VLOOKUP(B1624,'Pre-Summary'!$Y$6:$AD$83,6,FALSE),"")</f>
        <v/>
      </c>
      <c r="X1624" t="str">
        <f>IFERROR(VLOOKUP('Pre-Summary'!$DB$6:$DD$63,3,FALSE),"")</f>
        <v/>
      </c>
      <c r="Y1624" t="str">
        <f>IFERROR(VLOOKUP(B1624,'Pre-Summary'!$CR$6:$CT$36,3,FALSE),"")</f>
        <v/>
      </c>
      <c r="Z1624" s="45" t="str">
        <f>IFERROR(VLOOKUP(B1624,'Pre-Summary'!$BZ$6:$CB$63,2,FALSE),"")</f>
        <v/>
      </c>
      <c r="AA1624" s="45" t="str">
        <f>IFERROR(VLOOKUP(B1624,'Pre-Summary'!$CG$6:$CI$70,2,FALSE),"")</f>
        <v/>
      </c>
      <c r="AB1624" s="99">
        <f>IFERROR(VLOOKUP(B1624,'Pre-Summary'!$A$6:$P$178,9,FALSE),AB1625)</f>
        <v>0.27917596741480943</v>
      </c>
      <c r="AC1624" s="10">
        <f>IFERROR(VLOOKUP(Summary!B1624,'Pre-Summary'!$A$6:$P$184,5, FALSE)/100,AC1625)</f>
        <v>0.93713833333333307</v>
      </c>
      <c r="AD1624" s="10">
        <f>IFERROR(VLOOKUP(Summary!B1624,'Pre-Summary'!$A$6:$P$184,3, FALSE)/100,AD1625)</f>
        <v>2.5143999999999996E-2</v>
      </c>
      <c r="AE1624" s="10">
        <f>IFERROR(VLOOKUP(Summary!B1624,'Pre-Summary'!$A$6:$P$184,7, FALSE)/100,AE1625)</f>
        <v>3.771766666666667E-2</v>
      </c>
      <c r="AF1624" s="99">
        <f t="shared" si="76"/>
        <v>7.0196005246779677E-3</v>
      </c>
      <c r="AG1624" s="99">
        <f t="shared" si="77"/>
        <v>1.0529866080295979E-2</v>
      </c>
      <c r="AH1624" s="10" t="str">
        <f>IFERROR(VLOOKUP(B1624,'Pre-Summary'!$AZ$6:$BE$65,3,FALSE),"")</f>
        <v/>
      </c>
      <c r="AI1624" s="10" t="str">
        <f>IFERROR(VLOOKUP(B1624,'Pre-Summary'!$AZ$6:$BE$65,5,FALSE),"")</f>
        <v/>
      </c>
      <c r="AJ1624" s="10" t="str">
        <f>IFERROR(VLOOKUP(B1624,'Pre-Summary'!$AZ$6:$BE$65,4,FALSE),"")</f>
        <v/>
      </c>
      <c r="AK1624" s="10" t="str">
        <f>IFERROR(VLOOKUP(B1624,'Pre-Summary'!$AZ$6:$BE$65,6,FALSE),"")</f>
        <v/>
      </c>
      <c r="AL1624" s="10" t="str">
        <f>IFERROR(VLOOKUP(B1624,'Pre-Summary'!$BG$6:$BL$44,3,FALSE),"")</f>
        <v/>
      </c>
      <c r="AM1624" s="10" t="str">
        <f>IFERROR(VLOOKUP(B1624,'Pre-Summary'!$BG$6:$BL$44,4,FALSE),"")</f>
        <v/>
      </c>
    </row>
    <row r="1625" spans="2:39" ht="15" customHeight="1" x14ac:dyDescent="0.3">
      <c r="B1625">
        <v>162.19999999999999</v>
      </c>
      <c r="C1625" t="str">
        <f>IFERROR(VLOOKUP(B1625,'Pre-Summary'!$DI$6:$DM$23,4,FALSE),"")</f>
        <v/>
      </c>
      <c r="D1625" s="10" t="str">
        <f>IFERROR(VLOOKUP(B1625,'Pre-Summary'!$AT$6:$AX$14,5,FALSE),D1624)</f>
        <v>Wolfe v3: went back to modified wolfe + EDTA and switched CuSO4 to CUCl2</v>
      </c>
      <c r="E1625" s="10" t="str">
        <f>IFERROR(VLOOKUP(B1625,'Pre-Summary'!$AT$6:$AX$15,4,FALSE),"")</f>
        <v/>
      </c>
      <c r="F1625">
        <f>IFERROR(VLOOKUP(B1625,'Pre-Summary'!$AL$6:$AQ$13,6,FALSE),F1624)</f>
        <v>5.9405263157894746E-2</v>
      </c>
      <c r="G1625" t="str">
        <f>IFERROR(VLOOKUP(B1625,'Pre-Summary'!$AE$6:$AJ$85,3,FALSE),"")</f>
        <v/>
      </c>
      <c r="H1625" t="str">
        <f>IFERROR(VLOOKUP(B1625,'Pre-Summary'!$AE$6:$AJ$85,4,FALSE),"")</f>
        <v/>
      </c>
      <c r="I1625" t="str">
        <f>IFERROR(VLOOKUP(B1625,'Pre-Summary'!$AE$6:$AJ$85,5,FALSE),"")</f>
        <v/>
      </c>
      <c r="J1625" s="45" t="str">
        <f>IFERROR(VLOOKUP(B1625,'Pre-Summary'!$AE$6:$AJ$85,6, FALSE),"")</f>
        <v/>
      </c>
      <c r="K1625" s="45" t="str">
        <f>IFERROR(VLOOKUP(B1625,'Pre-Summary'!$DE$6:$DG$61,3,FALSE),"")</f>
        <v/>
      </c>
      <c r="L1625" s="45" t="str">
        <f>IFERROR(VLOOKUP(B1625,'Pre-Summary'!$CU$6:$CW$36,3,FALSE),"")</f>
        <v/>
      </c>
      <c r="M1625" s="45" t="str">
        <f>IFERROR(VLOOKUP(B1625,'Pre-Summary'!$BW$6:$BY$58,2,FALSE),"")</f>
        <v/>
      </c>
      <c r="N1625" s="45" t="str">
        <f>IFERROR(VLOOKUP(B1625,'Pre-Summary'!$CD$6:$CF$64,2,FALSE),"")</f>
        <v/>
      </c>
      <c r="O1625" s="99">
        <f>IFERROR(VLOOKUP(B1625,'Pre-Summary'!$BO$6:$BQ$48,3, FALSE),O1624)</f>
        <v>1</v>
      </c>
      <c r="P1625" s="99">
        <f>IFERROR(VLOOKUP(B1625,'Pre-Summary'!$BS$6:$BU$35,3,FALSE),P1624)</f>
        <v>0.3</v>
      </c>
      <c r="Q1625" s="54">
        <f t="shared" si="75"/>
        <v>3.3333333333333335</v>
      </c>
      <c r="R1625" s="53">
        <f>IFERROR(VLOOKUP(B1625,'Pre-Summary'!$BG$6:$BM$44,7,FALSE),R1626)</f>
        <v>8.3576993058106674E-2</v>
      </c>
      <c r="S1625" s="53">
        <f>IFERROR(VLOOKUP(B1625,'Pre-Summary'!$BG$6:$BM$44,6,FALSE),S1626)</f>
        <v>0.10174646781791266</v>
      </c>
      <c r="T1625" s="45" t="str">
        <f>IFERROR(VLOOKUP(B1625,'Pre-Summary'!$Y$6:$AC$83, 3,FALSE),"")</f>
        <v/>
      </c>
      <c r="U1625" s="45" t="str">
        <f>IFERROR(VLOOKUP(B1625,'Pre-Summary'!$Y$6:$AC$83, 4,FALSE),"")</f>
        <v/>
      </c>
      <c r="V1625" t="str">
        <f>IFERROR(VLOOKUP(B1625,'Pre-Summary'!$Y$6:$AC$83, 5,FALSE),"")</f>
        <v/>
      </c>
      <c r="W1625" s="45" t="str">
        <f>IFERROR(VLOOKUP(B1625,'Pre-Summary'!$Y$6:$AD$83,6,FALSE),"")</f>
        <v/>
      </c>
      <c r="X1625" t="str">
        <f>IFERROR(VLOOKUP('Pre-Summary'!$DB$6:$DD$63,3,FALSE),"")</f>
        <v/>
      </c>
      <c r="Y1625" t="str">
        <f>IFERROR(VLOOKUP(B1625,'Pre-Summary'!$CR$6:$CT$36,3,FALSE),"")</f>
        <v/>
      </c>
      <c r="Z1625" s="45" t="str">
        <f>IFERROR(VLOOKUP(B1625,'Pre-Summary'!$BZ$6:$CB$63,2,FALSE),"")</f>
        <v/>
      </c>
      <c r="AA1625" s="45" t="str">
        <f>IFERROR(VLOOKUP(B1625,'Pre-Summary'!$CG$6:$CI$70,2,FALSE),"")</f>
        <v/>
      </c>
      <c r="AB1625" s="99">
        <f>IFERROR(VLOOKUP(B1625,'Pre-Summary'!$A$6:$P$178,9,FALSE),AB1626)</f>
        <v>0.27917596741480943</v>
      </c>
      <c r="AC1625" s="10">
        <f>IFERROR(VLOOKUP(Summary!B1625,'Pre-Summary'!$A$6:$P$184,5, FALSE)/100,AC1626)</f>
        <v>0.93713833333333307</v>
      </c>
      <c r="AD1625" s="10">
        <f>IFERROR(VLOOKUP(Summary!B1625,'Pre-Summary'!$A$6:$P$184,3, FALSE)/100,AD1626)</f>
        <v>2.5143999999999996E-2</v>
      </c>
      <c r="AE1625" s="10">
        <f>IFERROR(VLOOKUP(Summary!B1625,'Pre-Summary'!$A$6:$P$184,7, FALSE)/100,AE1626)</f>
        <v>3.771766666666667E-2</v>
      </c>
      <c r="AF1625" s="99">
        <f t="shared" si="76"/>
        <v>7.0196005246779677E-3</v>
      </c>
      <c r="AG1625" s="99">
        <f t="shared" si="77"/>
        <v>1.0529866080295979E-2</v>
      </c>
      <c r="AH1625" s="10" t="str">
        <f>IFERROR(VLOOKUP(B1625,'Pre-Summary'!$AZ$6:$BE$65,3,FALSE),"")</f>
        <v/>
      </c>
      <c r="AI1625" s="10" t="str">
        <f>IFERROR(VLOOKUP(B1625,'Pre-Summary'!$AZ$6:$BE$65,5,FALSE),"")</f>
        <v/>
      </c>
      <c r="AJ1625" s="10" t="str">
        <f>IFERROR(VLOOKUP(B1625,'Pre-Summary'!$AZ$6:$BE$65,4,FALSE),"")</f>
        <v/>
      </c>
      <c r="AK1625" s="10" t="str">
        <f>IFERROR(VLOOKUP(B1625,'Pre-Summary'!$AZ$6:$BE$65,6,FALSE),"")</f>
        <v/>
      </c>
      <c r="AL1625" s="10" t="str">
        <f>IFERROR(VLOOKUP(B1625,'Pre-Summary'!$BG$6:$BL$44,3,FALSE),"")</f>
        <v/>
      </c>
      <c r="AM1625" s="10" t="str">
        <f>IFERROR(VLOOKUP(B1625,'Pre-Summary'!$BG$6:$BL$44,4,FALSE),"")</f>
        <v/>
      </c>
    </row>
    <row r="1626" spans="2:39" ht="15" customHeight="1" x14ac:dyDescent="0.3">
      <c r="B1626">
        <v>162.30000000000001</v>
      </c>
      <c r="C1626" t="str">
        <f>IFERROR(VLOOKUP(B1626,'Pre-Summary'!$DI$6:$DM$23,4,FALSE),"")</f>
        <v/>
      </c>
      <c r="D1626" s="10" t="str">
        <f>IFERROR(VLOOKUP(B1626,'Pre-Summary'!$AT$6:$AX$14,5,FALSE),D1625)</f>
        <v>Wolfe v3: went back to modified wolfe + EDTA and switched CuSO4 to CUCl2</v>
      </c>
      <c r="E1626" s="10" t="str">
        <f>IFERROR(VLOOKUP(B1626,'Pre-Summary'!$AT$6:$AX$15,4,FALSE),"")</f>
        <v/>
      </c>
      <c r="F1626">
        <f>IFERROR(VLOOKUP(B1626,'Pre-Summary'!$AL$6:$AQ$13,6,FALSE),F1625)</f>
        <v>5.9405263157894746E-2</v>
      </c>
      <c r="G1626" t="str">
        <f>IFERROR(VLOOKUP(B1626,'Pre-Summary'!$AE$6:$AJ$85,3,FALSE),"")</f>
        <v/>
      </c>
      <c r="H1626" t="str">
        <f>IFERROR(VLOOKUP(B1626,'Pre-Summary'!$AE$6:$AJ$85,4,FALSE),"")</f>
        <v/>
      </c>
      <c r="I1626" t="str">
        <f>IFERROR(VLOOKUP(B1626,'Pre-Summary'!$AE$6:$AJ$85,5,FALSE),"")</f>
        <v/>
      </c>
      <c r="J1626" s="45" t="str">
        <f>IFERROR(VLOOKUP(B1626,'Pre-Summary'!$AE$6:$AJ$85,6, FALSE),"")</f>
        <v/>
      </c>
      <c r="K1626" s="45" t="str">
        <f>IFERROR(VLOOKUP(B1626,'Pre-Summary'!$DE$6:$DG$61,3,FALSE),"")</f>
        <v/>
      </c>
      <c r="L1626" s="45" t="str">
        <f>IFERROR(VLOOKUP(B1626,'Pre-Summary'!$CU$6:$CW$36,3,FALSE),"")</f>
        <v/>
      </c>
      <c r="M1626" s="45" t="str">
        <f>IFERROR(VLOOKUP(B1626,'Pre-Summary'!$BW$6:$BY$58,2,FALSE),"")</f>
        <v/>
      </c>
      <c r="N1626" s="45" t="str">
        <f>IFERROR(VLOOKUP(B1626,'Pre-Summary'!$CD$6:$CF$64,2,FALSE),"")</f>
        <v/>
      </c>
      <c r="O1626" s="99">
        <f>IFERROR(VLOOKUP(B1626,'Pre-Summary'!$BO$6:$BQ$48,3, FALSE),O1625)</f>
        <v>1</v>
      </c>
      <c r="P1626" s="99">
        <f>IFERROR(VLOOKUP(B1626,'Pre-Summary'!$BS$6:$BU$35,3,FALSE),P1625)</f>
        <v>0.3</v>
      </c>
      <c r="Q1626" s="54">
        <f t="shared" si="75"/>
        <v>3.3333333333333335</v>
      </c>
      <c r="R1626" s="53">
        <f>IFERROR(VLOOKUP(B1626,'Pre-Summary'!$BG$6:$BM$44,7,FALSE),R1627)</f>
        <v>8.3576993058106674E-2</v>
      </c>
      <c r="S1626" s="53">
        <f>IFERROR(VLOOKUP(B1626,'Pre-Summary'!$BG$6:$BM$44,6,FALSE),S1627)</f>
        <v>0.10174646781791266</v>
      </c>
      <c r="T1626" s="45" t="str">
        <f>IFERROR(VLOOKUP(B1626,'Pre-Summary'!$Y$6:$AC$83, 3,FALSE),"")</f>
        <v/>
      </c>
      <c r="U1626" s="45" t="str">
        <f>IFERROR(VLOOKUP(B1626,'Pre-Summary'!$Y$6:$AC$83, 4,FALSE),"")</f>
        <v/>
      </c>
      <c r="V1626" t="str">
        <f>IFERROR(VLOOKUP(B1626,'Pre-Summary'!$Y$6:$AC$83, 5,FALSE),"")</f>
        <v/>
      </c>
      <c r="W1626" s="45" t="str">
        <f>IFERROR(VLOOKUP(B1626,'Pre-Summary'!$Y$6:$AD$83,6,FALSE),"")</f>
        <v/>
      </c>
      <c r="X1626" t="str">
        <f>IFERROR(VLOOKUP('Pre-Summary'!$DB$6:$DD$63,3,FALSE),"")</f>
        <v/>
      </c>
      <c r="Y1626" t="str">
        <f>IFERROR(VLOOKUP(B1626,'Pre-Summary'!$CR$6:$CT$36,3,FALSE),"")</f>
        <v/>
      </c>
      <c r="Z1626" s="45" t="str">
        <f>IFERROR(VLOOKUP(B1626,'Pre-Summary'!$BZ$6:$CB$63,2,FALSE),"")</f>
        <v/>
      </c>
      <c r="AA1626" s="45" t="str">
        <f>IFERROR(VLOOKUP(B1626,'Pre-Summary'!$CG$6:$CI$70,2,FALSE),"")</f>
        <v/>
      </c>
      <c r="AB1626" s="99">
        <f>IFERROR(VLOOKUP(B1626,'Pre-Summary'!$A$6:$P$178,9,FALSE),AB1627)</f>
        <v>0.27917596741480943</v>
      </c>
      <c r="AC1626" s="10">
        <f>IFERROR(VLOOKUP(Summary!B1626,'Pre-Summary'!$A$6:$P$184,5, FALSE)/100,AC1627)</f>
        <v>0.93713833333333307</v>
      </c>
      <c r="AD1626" s="10">
        <f>IFERROR(VLOOKUP(Summary!B1626,'Pre-Summary'!$A$6:$P$184,3, FALSE)/100,AD1627)</f>
        <v>2.5143999999999996E-2</v>
      </c>
      <c r="AE1626" s="10">
        <f>IFERROR(VLOOKUP(Summary!B1626,'Pre-Summary'!$A$6:$P$184,7, FALSE)/100,AE1627)</f>
        <v>3.771766666666667E-2</v>
      </c>
      <c r="AF1626" s="99">
        <f t="shared" si="76"/>
        <v>7.0196005246779677E-3</v>
      </c>
      <c r="AG1626" s="99">
        <f t="shared" si="77"/>
        <v>1.0529866080295979E-2</v>
      </c>
      <c r="AH1626" s="10" t="str">
        <f>IFERROR(VLOOKUP(B1626,'Pre-Summary'!$AZ$6:$BE$65,3,FALSE),"")</f>
        <v/>
      </c>
      <c r="AI1626" s="10" t="str">
        <f>IFERROR(VLOOKUP(B1626,'Pre-Summary'!$AZ$6:$BE$65,5,FALSE),"")</f>
        <v/>
      </c>
      <c r="AJ1626" s="10" t="str">
        <f>IFERROR(VLOOKUP(B1626,'Pre-Summary'!$AZ$6:$BE$65,4,FALSE),"")</f>
        <v/>
      </c>
      <c r="AK1626" s="10" t="str">
        <f>IFERROR(VLOOKUP(B1626,'Pre-Summary'!$AZ$6:$BE$65,6,FALSE),"")</f>
        <v/>
      </c>
      <c r="AL1626" s="10" t="str">
        <f>IFERROR(VLOOKUP(B1626,'Pre-Summary'!$BG$6:$BL$44,3,FALSE),"")</f>
        <v/>
      </c>
      <c r="AM1626" s="10" t="str">
        <f>IFERROR(VLOOKUP(B1626,'Pre-Summary'!$BG$6:$BL$44,4,FALSE),"")</f>
        <v/>
      </c>
    </row>
    <row r="1627" spans="2:39" ht="15" customHeight="1" x14ac:dyDescent="0.3">
      <c r="B1627">
        <v>162.4</v>
      </c>
      <c r="C1627" t="str">
        <f>IFERROR(VLOOKUP(B1627,'Pre-Summary'!$DI$6:$DM$23,4,FALSE),"")</f>
        <v/>
      </c>
      <c r="D1627" s="10" t="str">
        <f>IFERROR(VLOOKUP(B1627,'Pre-Summary'!$AT$6:$AX$14,5,FALSE),D1626)</f>
        <v>Wolfe v3: went back to modified wolfe + EDTA and switched CuSO4 to CUCl2</v>
      </c>
      <c r="E1627" s="10" t="str">
        <f>IFERROR(VLOOKUP(B1627,'Pre-Summary'!$AT$6:$AX$15,4,FALSE),"")</f>
        <v/>
      </c>
      <c r="F1627">
        <f>IFERROR(VLOOKUP(B1627,'Pre-Summary'!$AL$6:$AQ$13,6,FALSE),F1626)</f>
        <v>5.9405263157894746E-2</v>
      </c>
      <c r="G1627" t="str">
        <f>IFERROR(VLOOKUP(B1627,'Pre-Summary'!$AE$6:$AJ$85,3,FALSE),"")</f>
        <v/>
      </c>
      <c r="H1627" t="str">
        <f>IFERROR(VLOOKUP(B1627,'Pre-Summary'!$AE$6:$AJ$85,4,FALSE),"")</f>
        <v/>
      </c>
      <c r="I1627" t="str">
        <f>IFERROR(VLOOKUP(B1627,'Pre-Summary'!$AE$6:$AJ$85,5,FALSE),"")</f>
        <v/>
      </c>
      <c r="J1627" s="45" t="str">
        <f>IFERROR(VLOOKUP(B1627,'Pre-Summary'!$AE$6:$AJ$85,6, FALSE),"")</f>
        <v/>
      </c>
      <c r="K1627" s="45" t="str">
        <f>IFERROR(VLOOKUP(B1627,'Pre-Summary'!$DE$6:$DG$61,3,FALSE),"")</f>
        <v/>
      </c>
      <c r="L1627" s="45" t="str">
        <f>IFERROR(VLOOKUP(B1627,'Pre-Summary'!$CU$6:$CW$36,3,FALSE),"")</f>
        <v/>
      </c>
      <c r="M1627" s="45" t="str">
        <f>IFERROR(VLOOKUP(B1627,'Pre-Summary'!$BW$6:$BY$58,2,FALSE),"")</f>
        <v/>
      </c>
      <c r="N1627" s="45" t="str">
        <f>IFERROR(VLOOKUP(B1627,'Pre-Summary'!$CD$6:$CF$64,2,FALSE),"")</f>
        <v/>
      </c>
      <c r="O1627" s="99">
        <f>IFERROR(VLOOKUP(B1627,'Pre-Summary'!$BO$6:$BQ$48,3, FALSE),O1626)</f>
        <v>1</v>
      </c>
      <c r="P1627" s="99">
        <f>IFERROR(VLOOKUP(B1627,'Pre-Summary'!$BS$6:$BU$35,3,FALSE),P1626)</f>
        <v>0.3</v>
      </c>
      <c r="Q1627" s="54">
        <f t="shared" si="75"/>
        <v>3.3333333333333335</v>
      </c>
      <c r="R1627" s="53">
        <f>IFERROR(VLOOKUP(B1627,'Pre-Summary'!$BG$6:$BM$44,7,FALSE),R1628)</f>
        <v>8.3576993058106674E-2</v>
      </c>
      <c r="S1627" s="53">
        <f>IFERROR(VLOOKUP(B1627,'Pre-Summary'!$BG$6:$BM$44,6,FALSE),S1628)</f>
        <v>0.10174646781791266</v>
      </c>
      <c r="T1627" s="45" t="str">
        <f>IFERROR(VLOOKUP(B1627,'Pre-Summary'!$Y$6:$AC$83, 3,FALSE),"")</f>
        <v/>
      </c>
      <c r="U1627" s="45" t="str">
        <f>IFERROR(VLOOKUP(B1627,'Pre-Summary'!$Y$6:$AC$83, 4,FALSE),"")</f>
        <v/>
      </c>
      <c r="V1627" t="str">
        <f>IFERROR(VLOOKUP(B1627,'Pre-Summary'!$Y$6:$AC$83, 5,FALSE),"")</f>
        <v/>
      </c>
      <c r="W1627" s="45" t="str">
        <f>IFERROR(VLOOKUP(B1627,'Pre-Summary'!$Y$6:$AD$83,6,FALSE),"")</f>
        <v/>
      </c>
      <c r="X1627" t="str">
        <f>IFERROR(VLOOKUP('Pre-Summary'!$DB$6:$DD$63,3,FALSE),"")</f>
        <v/>
      </c>
      <c r="Y1627" t="str">
        <f>IFERROR(VLOOKUP(B1627,'Pre-Summary'!$CR$6:$CT$36,3,FALSE),"")</f>
        <v/>
      </c>
      <c r="Z1627" s="45" t="str">
        <f>IFERROR(VLOOKUP(B1627,'Pre-Summary'!$BZ$6:$CB$63,2,FALSE),"")</f>
        <v/>
      </c>
      <c r="AA1627" s="45" t="str">
        <f>IFERROR(VLOOKUP(B1627,'Pre-Summary'!$CG$6:$CI$70,2,FALSE),"")</f>
        <v/>
      </c>
      <c r="AB1627" s="99">
        <f>IFERROR(VLOOKUP(B1627,'Pre-Summary'!$A$6:$P$178,9,FALSE),AB1628)</f>
        <v>0.27917596741480943</v>
      </c>
      <c r="AC1627" s="10">
        <f>IFERROR(VLOOKUP(Summary!B1627,'Pre-Summary'!$A$6:$P$184,5, FALSE)/100,AC1628)</f>
        <v>0.93713833333333307</v>
      </c>
      <c r="AD1627" s="10">
        <f>IFERROR(VLOOKUP(Summary!B1627,'Pre-Summary'!$A$6:$P$184,3, FALSE)/100,AD1628)</f>
        <v>2.5143999999999996E-2</v>
      </c>
      <c r="AE1627" s="10">
        <f>IFERROR(VLOOKUP(Summary!B1627,'Pre-Summary'!$A$6:$P$184,7, FALSE)/100,AE1628)</f>
        <v>3.771766666666667E-2</v>
      </c>
      <c r="AF1627" s="99">
        <f t="shared" si="76"/>
        <v>7.0196005246779677E-3</v>
      </c>
      <c r="AG1627" s="99">
        <f t="shared" si="77"/>
        <v>1.0529866080295979E-2</v>
      </c>
      <c r="AH1627" s="10" t="str">
        <f>IFERROR(VLOOKUP(B1627,'Pre-Summary'!$AZ$6:$BE$65,3,FALSE),"")</f>
        <v/>
      </c>
      <c r="AI1627" s="10" t="str">
        <f>IFERROR(VLOOKUP(B1627,'Pre-Summary'!$AZ$6:$BE$65,5,FALSE),"")</f>
        <v/>
      </c>
      <c r="AJ1627" s="10" t="str">
        <f>IFERROR(VLOOKUP(B1627,'Pre-Summary'!$AZ$6:$BE$65,4,FALSE),"")</f>
        <v/>
      </c>
      <c r="AK1627" s="10" t="str">
        <f>IFERROR(VLOOKUP(B1627,'Pre-Summary'!$AZ$6:$BE$65,6,FALSE),"")</f>
        <v/>
      </c>
      <c r="AL1627" s="10" t="str">
        <f>IFERROR(VLOOKUP(B1627,'Pre-Summary'!$BG$6:$BL$44,3,FALSE),"")</f>
        <v/>
      </c>
      <c r="AM1627" s="10" t="str">
        <f>IFERROR(VLOOKUP(B1627,'Pre-Summary'!$BG$6:$BL$44,4,FALSE),"")</f>
        <v/>
      </c>
    </row>
    <row r="1628" spans="2:39" ht="15" customHeight="1" x14ac:dyDescent="0.3">
      <c r="B1628">
        <v>162.5</v>
      </c>
      <c r="C1628" t="str">
        <f>IFERROR(VLOOKUP(B1628,'Pre-Summary'!$DI$6:$DM$23,4,FALSE),"")</f>
        <v/>
      </c>
      <c r="D1628" s="10" t="str">
        <f>IFERROR(VLOOKUP(B1628,'Pre-Summary'!$AT$6:$AX$14,5,FALSE),D1627)</f>
        <v>Wolfe v3: went back to modified wolfe + EDTA and switched CuSO4 to CUCl2</v>
      </c>
      <c r="E1628" s="10" t="str">
        <f>IFERROR(VLOOKUP(B1628,'Pre-Summary'!$AT$6:$AX$15,4,FALSE),"")</f>
        <v/>
      </c>
      <c r="F1628">
        <f>IFERROR(VLOOKUP(B1628,'Pre-Summary'!$AL$6:$AQ$13,6,FALSE),F1627)</f>
        <v>5.9405263157894746E-2</v>
      </c>
      <c r="G1628">
        <f>IFERROR(VLOOKUP(B1628,'Pre-Summary'!$AE$6:$AJ$85,3,FALSE),"")</f>
        <v>26.131</v>
      </c>
      <c r="H1628">
        <f>IFERROR(VLOOKUP(B1628,'Pre-Summary'!$AE$6:$AJ$85,4,FALSE),"")</f>
        <v>2.3559999999999999</v>
      </c>
      <c r="I1628">
        <f>IFERROR(VLOOKUP(B1628,'Pre-Summary'!$AE$6:$AJ$85,5,FALSE),"")</f>
        <v>3.4239999999999999</v>
      </c>
      <c r="J1628" s="45">
        <f>IFERROR(VLOOKUP(B1628,'Pre-Summary'!$AE$6:$AJ$85,6, FALSE),"")</f>
        <v>37.673592999999997</v>
      </c>
      <c r="K1628" s="45" t="str">
        <f>IFERROR(VLOOKUP(B1628,'Pre-Summary'!$DE$6:$DG$61,3,FALSE),"")</f>
        <v/>
      </c>
      <c r="L1628" s="45" t="str">
        <f>IFERROR(VLOOKUP(B1628,'Pre-Summary'!$CU$6:$CW$36,3,FALSE),"")</f>
        <v/>
      </c>
      <c r="M1628" s="45" t="str">
        <f>IFERROR(VLOOKUP(B1628,'Pre-Summary'!$BW$6:$BY$58,2,FALSE),"")</f>
        <v/>
      </c>
      <c r="N1628" s="45">
        <f>IFERROR(VLOOKUP(B1628,'Pre-Summary'!$CD$6:$CF$64,2,FALSE),"")</f>
        <v>326.10028200546327</v>
      </c>
      <c r="O1628" s="99">
        <f>IFERROR(VLOOKUP(B1628,'Pre-Summary'!$BO$6:$BQ$48,3, FALSE),O1627)</f>
        <v>1</v>
      </c>
      <c r="P1628" s="99">
        <f>IFERROR(VLOOKUP(B1628,'Pre-Summary'!$BS$6:$BU$35,3,FALSE),P1627)</f>
        <v>0.3</v>
      </c>
      <c r="Q1628" s="54">
        <f t="shared" si="75"/>
        <v>3.3333333333333335</v>
      </c>
      <c r="R1628" s="53">
        <f>IFERROR(VLOOKUP(B1628,'Pre-Summary'!$BG$6:$BM$44,7,FALSE),R1629)</f>
        <v>8.3576993058106674E-2</v>
      </c>
      <c r="S1628" s="53">
        <f>IFERROR(VLOOKUP(B1628,'Pre-Summary'!$BG$6:$BM$44,6,FALSE),S1629)</f>
        <v>0.10174646781791266</v>
      </c>
      <c r="T1628" s="45">
        <f>IFERROR(VLOOKUP(B1628,'Pre-Summary'!$Y$6:$AC$83, 3,FALSE),"")</f>
        <v>9.1549999999999994</v>
      </c>
      <c r="U1628" s="45">
        <f>IFERROR(VLOOKUP(B1628,'Pre-Summary'!$Y$6:$AC$83, 4,FALSE),"")</f>
        <v>7.55</v>
      </c>
      <c r="V1628">
        <f>IFERROR(VLOOKUP(B1628,'Pre-Summary'!$Y$6:$AC$83, 5,FALSE),"")</f>
        <v>3.5179999999999998</v>
      </c>
      <c r="W1628" s="45">
        <f>IFERROR(VLOOKUP(B1628,'Pre-Summary'!$Y$6:$AD$83,6,FALSE),"")</f>
        <v>27.594808999999998</v>
      </c>
      <c r="X1628" t="str">
        <f>IFERROR(VLOOKUP('Pre-Summary'!$DB$6:$DD$63,3,FALSE),"")</f>
        <v/>
      </c>
      <c r="Y1628" t="str">
        <f>IFERROR(VLOOKUP(B1628,'Pre-Summary'!$CR$6:$CT$36,3,FALSE),"")</f>
        <v/>
      </c>
      <c r="Z1628" s="45" t="str">
        <f>IFERROR(VLOOKUP(B1628,'Pre-Summary'!$BZ$6:$CB$63,2,FALSE),"")</f>
        <v/>
      </c>
      <c r="AA1628" s="45" t="str">
        <f>IFERROR(VLOOKUP(B1628,'Pre-Summary'!$CG$6:$CI$70,2,FALSE),"")</f>
        <v/>
      </c>
      <c r="AB1628" s="99">
        <f>IFERROR(VLOOKUP(B1628,'Pre-Summary'!$A$6:$P$178,9,FALSE),AB1629)</f>
        <v>0.27917596741480943</v>
      </c>
      <c r="AC1628" s="10">
        <f>IFERROR(VLOOKUP(Summary!B1628,'Pre-Summary'!$A$6:$P$184,5, FALSE)/100,AC1629)</f>
        <v>0.93713833333333307</v>
      </c>
      <c r="AD1628" s="10">
        <f>IFERROR(VLOOKUP(Summary!B1628,'Pre-Summary'!$A$6:$P$184,3, FALSE)/100,AD1629)</f>
        <v>2.5143999999999996E-2</v>
      </c>
      <c r="AE1628" s="10">
        <f>IFERROR(VLOOKUP(Summary!B1628,'Pre-Summary'!$A$6:$P$184,7, FALSE)/100,AE1629)</f>
        <v>3.771766666666667E-2</v>
      </c>
      <c r="AF1628" s="99">
        <f t="shared" si="76"/>
        <v>7.0196005246779677E-3</v>
      </c>
      <c r="AG1628" s="99">
        <f t="shared" si="77"/>
        <v>1.0529866080295979E-2</v>
      </c>
      <c r="AH1628" s="10" t="str">
        <f>IFERROR(VLOOKUP(B1628,'Pre-Summary'!$AZ$6:$BE$65,3,FALSE),"")</f>
        <v/>
      </c>
      <c r="AI1628" s="10" t="str">
        <f>IFERROR(VLOOKUP(B1628,'Pre-Summary'!$AZ$6:$BE$65,5,FALSE),"")</f>
        <v/>
      </c>
      <c r="AJ1628" s="10" t="str">
        <f>IFERROR(VLOOKUP(B1628,'Pre-Summary'!$AZ$6:$BE$65,4,FALSE),"")</f>
        <v/>
      </c>
      <c r="AK1628" s="10" t="str">
        <f>IFERROR(VLOOKUP(B1628,'Pre-Summary'!$AZ$6:$BE$65,6,FALSE),"")</f>
        <v/>
      </c>
      <c r="AL1628" s="10" t="str">
        <f>IFERROR(VLOOKUP(B1628,'Pre-Summary'!$BG$6:$BL$44,3,FALSE),"")</f>
        <v/>
      </c>
      <c r="AM1628" s="10" t="str">
        <f>IFERROR(VLOOKUP(B1628,'Pre-Summary'!$BG$6:$BL$44,4,FALSE),"")</f>
        <v/>
      </c>
    </row>
    <row r="1629" spans="2:39" ht="15" customHeight="1" x14ac:dyDescent="0.3">
      <c r="B1629">
        <v>162.6</v>
      </c>
      <c r="C1629" t="str">
        <f>IFERROR(VLOOKUP(B1629,'Pre-Summary'!$DI$6:$DM$23,4,FALSE),"")</f>
        <v/>
      </c>
      <c r="D1629" s="10" t="str">
        <f>IFERROR(VLOOKUP(B1629,'Pre-Summary'!$AT$6:$AX$14,5,FALSE),D1628)</f>
        <v>Wolfe v3: went back to modified wolfe + EDTA and switched CuSO4 to CUCl2</v>
      </c>
      <c r="E1629" s="10" t="str">
        <f>IFERROR(VLOOKUP(B1629,'Pre-Summary'!$AT$6:$AX$15,4,FALSE),"")</f>
        <v/>
      </c>
      <c r="F1629">
        <f>IFERROR(VLOOKUP(B1629,'Pre-Summary'!$AL$6:$AQ$13,6,FALSE),F1628)</f>
        <v>5.9405263157894746E-2</v>
      </c>
      <c r="G1629" t="str">
        <f>IFERROR(VLOOKUP(B1629,'Pre-Summary'!$AE$6:$AJ$85,3,FALSE),"")</f>
        <v/>
      </c>
      <c r="H1629" t="str">
        <f>IFERROR(VLOOKUP(B1629,'Pre-Summary'!$AE$6:$AJ$85,4,FALSE),"")</f>
        <v/>
      </c>
      <c r="I1629" t="str">
        <f>IFERROR(VLOOKUP(B1629,'Pre-Summary'!$AE$6:$AJ$85,5,FALSE),"")</f>
        <v/>
      </c>
      <c r="J1629" s="45" t="str">
        <f>IFERROR(VLOOKUP(B1629,'Pre-Summary'!$AE$6:$AJ$85,6, FALSE),"")</f>
        <v/>
      </c>
      <c r="K1629" s="45" t="str">
        <f>IFERROR(VLOOKUP(B1629,'Pre-Summary'!$DE$6:$DG$61,3,FALSE),"")</f>
        <v/>
      </c>
      <c r="L1629" s="45" t="str">
        <f>IFERROR(VLOOKUP(B1629,'Pre-Summary'!$CU$6:$CW$36,3,FALSE),"")</f>
        <v/>
      </c>
      <c r="M1629" s="45" t="str">
        <f>IFERROR(VLOOKUP(B1629,'Pre-Summary'!$BW$6:$BY$58,2,FALSE),"")</f>
        <v/>
      </c>
      <c r="N1629" s="45" t="str">
        <f>IFERROR(VLOOKUP(B1629,'Pre-Summary'!$CD$6:$CF$64,2,FALSE),"")</f>
        <v/>
      </c>
      <c r="O1629" s="99">
        <f>IFERROR(VLOOKUP(B1629,'Pre-Summary'!$BO$6:$BQ$48,3, FALSE),O1628)</f>
        <v>1</v>
      </c>
      <c r="P1629" s="99">
        <f>IFERROR(VLOOKUP(B1629,'Pre-Summary'!$BS$6:$BU$35,3,FALSE),P1628)</f>
        <v>0.3</v>
      </c>
      <c r="Q1629" s="54">
        <f t="shared" si="75"/>
        <v>3.3333333333333335</v>
      </c>
      <c r="R1629" s="53">
        <f>IFERROR(VLOOKUP(B1629,'Pre-Summary'!$BG$6:$BM$44,7,FALSE),R1630)</f>
        <v>8.3576993058106674E-2</v>
      </c>
      <c r="S1629" s="53">
        <f>IFERROR(VLOOKUP(B1629,'Pre-Summary'!$BG$6:$BM$44,6,FALSE),S1630)</f>
        <v>0.10174646781791266</v>
      </c>
      <c r="T1629" s="45" t="str">
        <f>IFERROR(VLOOKUP(B1629,'Pre-Summary'!$Y$6:$AC$83, 3,FALSE),"")</f>
        <v/>
      </c>
      <c r="U1629" s="45" t="str">
        <f>IFERROR(VLOOKUP(B1629,'Pre-Summary'!$Y$6:$AC$83, 4,FALSE),"")</f>
        <v/>
      </c>
      <c r="V1629" t="str">
        <f>IFERROR(VLOOKUP(B1629,'Pre-Summary'!$Y$6:$AC$83, 5,FALSE),"")</f>
        <v/>
      </c>
      <c r="W1629" s="45" t="str">
        <f>IFERROR(VLOOKUP(B1629,'Pre-Summary'!$Y$6:$AD$83,6,FALSE),"")</f>
        <v/>
      </c>
      <c r="X1629" t="str">
        <f>IFERROR(VLOOKUP('Pre-Summary'!$DB$6:$DD$63,3,FALSE),"")</f>
        <v/>
      </c>
      <c r="Y1629" t="str">
        <f>IFERROR(VLOOKUP(B1629,'Pre-Summary'!$CR$6:$CT$36,3,FALSE),"")</f>
        <v/>
      </c>
      <c r="Z1629" s="45" t="str">
        <f>IFERROR(VLOOKUP(B1629,'Pre-Summary'!$BZ$6:$CB$63,2,FALSE),"")</f>
        <v/>
      </c>
      <c r="AA1629" s="45" t="str">
        <f>IFERROR(VLOOKUP(B1629,'Pre-Summary'!$CG$6:$CI$70,2,FALSE),"")</f>
        <v/>
      </c>
      <c r="AB1629" s="99">
        <f>IFERROR(VLOOKUP(B1629,'Pre-Summary'!$A$6:$P$178,9,FALSE),AB1630)</f>
        <v>0.27917596741480943</v>
      </c>
      <c r="AC1629" s="10">
        <f>IFERROR(VLOOKUP(Summary!B1629,'Pre-Summary'!$A$6:$P$184,5, FALSE)/100,AC1630)</f>
        <v>0.93713833333333307</v>
      </c>
      <c r="AD1629" s="10">
        <f>IFERROR(VLOOKUP(Summary!B1629,'Pre-Summary'!$A$6:$P$184,3, FALSE)/100,AD1630)</f>
        <v>2.5143999999999996E-2</v>
      </c>
      <c r="AE1629" s="10">
        <f>IFERROR(VLOOKUP(Summary!B1629,'Pre-Summary'!$A$6:$P$184,7, FALSE)/100,AE1630)</f>
        <v>3.771766666666667E-2</v>
      </c>
      <c r="AF1629" s="99">
        <f t="shared" si="76"/>
        <v>7.0196005246779677E-3</v>
      </c>
      <c r="AG1629" s="99">
        <f t="shared" si="77"/>
        <v>1.0529866080295979E-2</v>
      </c>
      <c r="AH1629" s="10" t="str">
        <f>IFERROR(VLOOKUP(B1629,'Pre-Summary'!$AZ$6:$BE$65,3,FALSE),"")</f>
        <v/>
      </c>
      <c r="AI1629" s="10" t="str">
        <f>IFERROR(VLOOKUP(B1629,'Pre-Summary'!$AZ$6:$BE$65,5,FALSE),"")</f>
        <v/>
      </c>
      <c r="AJ1629" s="10" t="str">
        <f>IFERROR(VLOOKUP(B1629,'Pre-Summary'!$AZ$6:$BE$65,4,FALSE),"")</f>
        <v/>
      </c>
      <c r="AK1629" s="10" t="str">
        <f>IFERROR(VLOOKUP(B1629,'Pre-Summary'!$AZ$6:$BE$65,6,FALSE),"")</f>
        <v/>
      </c>
      <c r="AL1629" s="10" t="str">
        <f>IFERROR(VLOOKUP(B1629,'Pre-Summary'!$BG$6:$BL$44,3,FALSE),"")</f>
        <v/>
      </c>
      <c r="AM1629" s="10" t="str">
        <f>IFERROR(VLOOKUP(B1629,'Pre-Summary'!$BG$6:$BL$44,4,FALSE),"")</f>
        <v/>
      </c>
    </row>
    <row r="1630" spans="2:39" ht="15" customHeight="1" x14ac:dyDescent="0.3">
      <c r="B1630">
        <v>162.69999999999999</v>
      </c>
      <c r="C1630" t="str">
        <f>IFERROR(VLOOKUP(B1630,'Pre-Summary'!$DI$6:$DM$23,4,FALSE),"")</f>
        <v/>
      </c>
      <c r="D1630" s="10" t="str">
        <f>IFERROR(VLOOKUP(B1630,'Pre-Summary'!$AT$6:$AX$14,5,FALSE),D1629)</f>
        <v>Wolfe v3: went back to modified wolfe + EDTA and switched CuSO4 to CUCl2</v>
      </c>
      <c r="E1630" s="10" t="str">
        <f>IFERROR(VLOOKUP(B1630,'Pre-Summary'!$AT$6:$AX$15,4,FALSE),"")</f>
        <v/>
      </c>
      <c r="F1630">
        <f>IFERROR(VLOOKUP(B1630,'Pre-Summary'!$AL$6:$AQ$13,6,FALSE),F1629)</f>
        <v>5.9405263157894746E-2</v>
      </c>
      <c r="G1630" t="str">
        <f>IFERROR(VLOOKUP(B1630,'Pre-Summary'!$AE$6:$AJ$85,3,FALSE),"")</f>
        <v/>
      </c>
      <c r="H1630" t="str">
        <f>IFERROR(VLOOKUP(B1630,'Pre-Summary'!$AE$6:$AJ$85,4,FALSE),"")</f>
        <v/>
      </c>
      <c r="I1630" t="str">
        <f>IFERROR(VLOOKUP(B1630,'Pre-Summary'!$AE$6:$AJ$85,5,FALSE),"")</f>
        <v/>
      </c>
      <c r="J1630" s="45" t="str">
        <f>IFERROR(VLOOKUP(B1630,'Pre-Summary'!$AE$6:$AJ$85,6, FALSE),"")</f>
        <v/>
      </c>
      <c r="K1630" s="45" t="str">
        <f>IFERROR(VLOOKUP(B1630,'Pre-Summary'!$DE$6:$DG$61,3,FALSE),"")</f>
        <v/>
      </c>
      <c r="L1630" s="45" t="str">
        <f>IFERROR(VLOOKUP(B1630,'Pre-Summary'!$CU$6:$CW$36,3,FALSE),"")</f>
        <v/>
      </c>
      <c r="M1630" s="45" t="str">
        <f>IFERROR(VLOOKUP(B1630,'Pre-Summary'!$BW$6:$BY$58,2,FALSE),"")</f>
        <v/>
      </c>
      <c r="N1630" s="45" t="str">
        <f>IFERROR(VLOOKUP(B1630,'Pre-Summary'!$CD$6:$CF$64,2,FALSE),"")</f>
        <v/>
      </c>
      <c r="O1630" s="99">
        <f>IFERROR(VLOOKUP(B1630,'Pre-Summary'!$BO$6:$BQ$48,3, FALSE),O1629)</f>
        <v>1</v>
      </c>
      <c r="P1630" s="99">
        <f>IFERROR(VLOOKUP(B1630,'Pre-Summary'!$BS$6:$BU$35,3,FALSE),P1629)</f>
        <v>0.3</v>
      </c>
      <c r="Q1630" s="54">
        <f t="shared" si="75"/>
        <v>3.3333333333333335</v>
      </c>
      <c r="R1630" s="53">
        <f>IFERROR(VLOOKUP(B1630,'Pre-Summary'!$BG$6:$BM$44,7,FALSE),R1631)</f>
        <v>8.3576993058106674E-2</v>
      </c>
      <c r="S1630" s="53">
        <f>IFERROR(VLOOKUP(B1630,'Pre-Summary'!$BG$6:$BM$44,6,FALSE),S1631)</f>
        <v>0.10174646781791266</v>
      </c>
      <c r="T1630" s="45" t="str">
        <f>IFERROR(VLOOKUP(B1630,'Pre-Summary'!$Y$6:$AC$83, 3,FALSE),"")</f>
        <v/>
      </c>
      <c r="U1630" s="45" t="str">
        <f>IFERROR(VLOOKUP(B1630,'Pre-Summary'!$Y$6:$AC$83, 4,FALSE),"")</f>
        <v/>
      </c>
      <c r="V1630" t="str">
        <f>IFERROR(VLOOKUP(B1630,'Pre-Summary'!$Y$6:$AC$83, 5,FALSE),"")</f>
        <v/>
      </c>
      <c r="W1630" s="45" t="str">
        <f>IFERROR(VLOOKUP(B1630,'Pre-Summary'!$Y$6:$AD$83,6,FALSE),"")</f>
        <v/>
      </c>
      <c r="X1630" t="str">
        <f>IFERROR(VLOOKUP('Pre-Summary'!$DB$6:$DD$63,3,FALSE),"")</f>
        <v/>
      </c>
      <c r="Y1630" t="str">
        <f>IFERROR(VLOOKUP(B1630,'Pre-Summary'!$CR$6:$CT$36,3,FALSE),"")</f>
        <v/>
      </c>
      <c r="Z1630" s="45" t="str">
        <f>IFERROR(VLOOKUP(B1630,'Pre-Summary'!$BZ$6:$CB$63,2,FALSE),"")</f>
        <v/>
      </c>
      <c r="AA1630" s="45" t="str">
        <f>IFERROR(VLOOKUP(B1630,'Pre-Summary'!$CG$6:$CI$70,2,FALSE),"")</f>
        <v/>
      </c>
      <c r="AB1630" s="99">
        <f>IFERROR(VLOOKUP(B1630,'Pre-Summary'!$A$6:$P$178,9,FALSE),AB1631)</f>
        <v>0.27917596741480943</v>
      </c>
      <c r="AC1630" s="10">
        <f>IFERROR(VLOOKUP(Summary!B1630,'Pre-Summary'!$A$6:$P$184,5, FALSE)/100,AC1631)</f>
        <v>0.93713833333333307</v>
      </c>
      <c r="AD1630" s="10">
        <f>IFERROR(VLOOKUP(Summary!B1630,'Pre-Summary'!$A$6:$P$184,3, FALSE)/100,AD1631)</f>
        <v>2.5143999999999996E-2</v>
      </c>
      <c r="AE1630" s="10">
        <f>IFERROR(VLOOKUP(Summary!B1630,'Pre-Summary'!$A$6:$P$184,7, FALSE)/100,AE1631)</f>
        <v>3.771766666666667E-2</v>
      </c>
      <c r="AF1630" s="99">
        <f t="shared" si="76"/>
        <v>7.0196005246779677E-3</v>
      </c>
      <c r="AG1630" s="99">
        <f t="shared" si="77"/>
        <v>1.0529866080295979E-2</v>
      </c>
      <c r="AH1630" s="10" t="str">
        <f>IFERROR(VLOOKUP(B1630,'Pre-Summary'!$AZ$6:$BE$65,3,FALSE),"")</f>
        <v/>
      </c>
      <c r="AI1630" s="10" t="str">
        <f>IFERROR(VLOOKUP(B1630,'Pre-Summary'!$AZ$6:$BE$65,5,FALSE),"")</f>
        <v/>
      </c>
      <c r="AJ1630" s="10" t="str">
        <f>IFERROR(VLOOKUP(B1630,'Pre-Summary'!$AZ$6:$BE$65,4,FALSE),"")</f>
        <v/>
      </c>
      <c r="AK1630" s="10" t="str">
        <f>IFERROR(VLOOKUP(B1630,'Pre-Summary'!$AZ$6:$BE$65,6,FALSE),"")</f>
        <v/>
      </c>
      <c r="AL1630" s="10" t="str">
        <f>IFERROR(VLOOKUP(B1630,'Pre-Summary'!$BG$6:$BL$44,3,FALSE),"")</f>
        <v/>
      </c>
      <c r="AM1630" s="10" t="str">
        <f>IFERROR(VLOOKUP(B1630,'Pre-Summary'!$BG$6:$BL$44,4,FALSE),"")</f>
        <v/>
      </c>
    </row>
    <row r="1631" spans="2:39" ht="15" customHeight="1" x14ac:dyDescent="0.3">
      <c r="B1631">
        <v>162.80000000000001</v>
      </c>
      <c r="C1631" t="str">
        <f>IFERROR(VLOOKUP(B1631,'Pre-Summary'!$DI$6:$DM$23,4,FALSE),"")</f>
        <v/>
      </c>
      <c r="D1631" s="10" t="str">
        <f>IFERROR(VLOOKUP(B1631,'Pre-Summary'!$AT$6:$AX$14,5,FALSE),D1630)</f>
        <v>Wolfe v3: went back to modified wolfe + EDTA and switched CuSO4 to CUCl2</v>
      </c>
      <c r="E1631" s="10" t="str">
        <f>IFERROR(VLOOKUP(B1631,'Pre-Summary'!$AT$6:$AX$15,4,FALSE),"")</f>
        <v/>
      </c>
      <c r="F1631">
        <f>IFERROR(VLOOKUP(B1631,'Pre-Summary'!$AL$6:$AQ$13,6,FALSE),F1630)</f>
        <v>5.9405263157894746E-2</v>
      </c>
      <c r="G1631" t="str">
        <f>IFERROR(VLOOKUP(B1631,'Pre-Summary'!$AE$6:$AJ$85,3,FALSE),"")</f>
        <v/>
      </c>
      <c r="H1631" t="str">
        <f>IFERROR(VLOOKUP(B1631,'Pre-Summary'!$AE$6:$AJ$85,4,FALSE),"")</f>
        <v/>
      </c>
      <c r="I1631" t="str">
        <f>IFERROR(VLOOKUP(B1631,'Pre-Summary'!$AE$6:$AJ$85,5,FALSE),"")</f>
        <v/>
      </c>
      <c r="J1631" s="45" t="str">
        <f>IFERROR(VLOOKUP(B1631,'Pre-Summary'!$AE$6:$AJ$85,6, FALSE),"")</f>
        <v/>
      </c>
      <c r="K1631" s="45" t="str">
        <f>IFERROR(VLOOKUP(B1631,'Pre-Summary'!$DE$6:$DG$61,3,FALSE),"")</f>
        <v/>
      </c>
      <c r="L1631" s="45" t="str">
        <f>IFERROR(VLOOKUP(B1631,'Pre-Summary'!$CU$6:$CW$36,3,FALSE),"")</f>
        <v/>
      </c>
      <c r="M1631" s="45" t="str">
        <f>IFERROR(VLOOKUP(B1631,'Pre-Summary'!$BW$6:$BY$58,2,FALSE),"")</f>
        <v/>
      </c>
      <c r="N1631" s="45" t="str">
        <f>IFERROR(VLOOKUP(B1631,'Pre-Summary'!$CD$6:$CF$64,2,FALSE),"")</f>
        <v/>
      </c>
      <c r="O1631" s="99">
        <f>IFERROR(VLOOKUP(B1631,'Pre-Summary'!$BO$6:$BQ$48,3, FALSE),O1630)</f>
        <v>1</v>
      </c>
      <c r="P1631" s="99">
        <f>IFERROR(VLOOKUP(B1631,'Pre-Summary'!$BS$6:$BU$35,3,FALSE),P1630)</f>
        <v>0.3</v>
      </c>
      <c r="Q1631" s="54">
        <f t="shared" si="75"/>
        <v>3.3333333333333335</v>
      </c>
      <c r="R1631" s="53">
        <f>IFERROR(VLOOKUP(B1631,'Pre-Summary'!$BG$6:$BM$44,7,FALSE),R1632)</f>
        <v>8.3576993058106674E-2</v>
      </c>
      <c r="S1631" s="53">
        <f>IFERROR(VLOOKUP(B1631,'Pre-Summary'!$BG$6:$BM$44,6,FALSE),S1632)</f>
        <v>0.10174646781791266</v>
      </c>
      <c r="T1631" s="45" t="str">
        <f>IFERROR(VLOOKUP(B1631,'Pre-Summary'!$Y$6:$AC$83, 3,FALSE),"")</f>
        <v/>
      </c>
      <c r="U1631" s="45" t="str">
        <f>IFERROR(VLOOKUP(B1631,'Pre-Summary'!$Y$6:$AC$83, 4,FALSE),"")</f>
        <v/>
      </c>
      <c r="V1631" t="str">
        <f>IFERROR(VLOOKUP(B1631,'Pre-Summary'!$Y$6:$AC$83, 5,FALSE),"")</f>
        <v/>
      </c>
      <c r="W1631" s="45" t="str">
        <f>IFERROR(VLOOKUP(B1631,'Pre-Summary'!$Y$6:$AD$83,6,FALSE),"")</f>
        <v/>
      </c>
      <c r="X1631" t="str">
        <f>IFERROR(VLOOKUP('Pre-Summary'!$DB$6:$DD$63,3,FALSE),"")</f>
        <v/>
      </c>
      <c r="Y1631" t="str">
        <f>IFERROR(VLOOKUP(B1631,'Pre-Summary'!$CR$6:$CT$36,3,FALSE),"")</f>
        <v/>
      </c>
      <c r="Z1631" s="45" t="str">
        <f>IFERROR(VLOOKUP(B1631,'Pre-Summary'!$BZ$6:$CB$63,2,FALSE),"")</f>
        <v/>
      </c>
      <c r="AA1631" s="45" t="str">
        <f>IFERROR(VLOOKUP(B1631,'Pre-Summary'!$CG$6:$CI$70,2,FALSE),"")</f>
        <v/>
      </c>
      <c r="AB1631" s="99">
        <f>IFERROR(VLOOKUP(B1631,'Pre-Summary'!$A$6:$P$178,9,FALSE),AB1632)</f>
        <v>0.27917596741480943</v>
      </c>
      <c r="AC1631" s="10">
        <f>IFERROR(VLOOKUP(Summary!B1631,'Pre-Summary'!$A$6:$P$184,5, FALSE)/100,AC1632)</f>
        <v>0.93713833333333307</v>
      </c>
      <c r="AD1631" s="10">
        <f>IFERROR(VLOOKUP(Summary!B1631,'Pre-Summary'!$A$6:$P$184,3, FALSE)/100,AD1632)</f>
        <v>2.5143999999999996E-2</v>
      </c>
      <c r="AE1631" s="10">
        <f>IFERROR(VLOOKUP(Summary!B1631,'Pre-Summary'!$A$6:$P$184,7, FALSE)/100,AE1632)</f>
        <v>3.771766666666667E-2</v>
      </c>
      <c r="AF1631" s="99">
        <f t="shared" si="76"/>
        <v>7.0196005246779677E-3</v>
      </c>
      <c r="AG1631" s="99">
        <f t="shared" si="77"/>
        <v>1.0529866080295979E-2</v>
      </c>
      <c r="AH1631" s="10" t="str">
        <f>IFERROR(VLOOKUP(B1631,'Pre-Summary'!$AZ$6:$BE$65,3,FALSE),"")</f>
        <v/>
      </c>
      <c r="AI1631" s="10" t="str">
        <f>IFERROR(VLOOKUP(B1631,'Pre-Summary'!$AZ$6:$BE$65,5,FALSE),"")</f>
        <v/>
      </c>
      <c r="AJ1631" s="10" t="str">
        <f>IFERROR(VLOOKUP(B1631,'Pre-Summary'!$AZ$6:$BE$65,4,FALSE),"")</f>
        <v/>
      </c>
      <c r="AK1631" s="10" t="str">
        <f>IFERROR(VLOOKUP(B1631,'Pre-Summary'!$AZ$6:$BE$65,6,FALSE),"")</f>
        <v/>
      </c>
      <c r="AL1631" s="10" t="str">
        <f>IFERROR(VLOOKUP(B1631,'Pre-Summary'!$BG$6:$BL$44,3,FALSE),"")</f>
        <v/>
      </c>
      <c r="AM1631" s="10" t="str">
        <f>IFERROR(VLOOKUP(B1631,'Pre-Summary'!$BG$6:$BL$44,4,FALSE),"")</f>
        <v/>
      </c>
    </row>
    <row r="1632" spans="2:39" ht="15" customHeight="1" x14ac:dyDescent="0.3">
      <c r="B1632">
        <v>162.9</v>
      </c>
      <c r="C1632" t="str">
        <f>IFERROR(VLOOKUP(B1632,'Pre-Summary'!$DI$6:$DM$23,4,FALSE),"")</f>
        <v/>
      </c>
      <c r="D1632" s="10" t="str">
        <f>IFERROR(VLOOKUP(B1632,'Pre-Summary'!$AT$6:$AX$14,5,FALSE),D1631)</f>
        <v>Wolfe v3: went back to modified wolfe + EDTA and switched CuSO4 to CUCl2</v>
      </c>
      <c r="E1632" s="10" t="str">
        <f>IFERROR(VLOOKUP(B1632,'Pre-Summary'!$AT$6:$AX$15,4,FALSE),"")</f>
        <v/>
      </c>
      <c r="F1632">
        <f>IFERROR(VLOOKUP(B1632,'Pre-Summary'!$AL$6:$AQ$13,6,FALSE),F1631)</f>
        <v>5.9405263157894746E-2</v>
      </c>
      <c r="G1632" t="str">
        <f>IFERROR(VLOOKUP(B1632,'Pre-Summary'!$AE$6:$AJ$85,3,FALSE),"")</f>
        <v/>
      </c>
      <c r="H1632" t="str">
        <f>IFERROR(VLOOKUP(B1632,'Pre-Summary'!$AE$6:$AJ$85,4,FALSE),"")</f>
        <v/>
      </c>
      <c r="I1632" t="str">
        <f>IFERROR(VLOOKUP(B1632,'Pre-Summary'!$AE$6:$AJ$85,5,FALSE),"")</f>
        <v/>
      </c>
      <c r="J1632" s="45" t="str">
        <f>IFERROR(VLOOKUP(B1632,'Pre-Summary'!$AE$6:$AJ$85,6, FALSE),"")</f>
        <v/>
      </c>
      <c r="K1632" s="45" t="str">
        <f>IFERROR(VLOOKUP(B1632,'Pre-Summary'!$DE$6:$DG$61,3,FALSE),"")</f>
        <v/>
      </c>
      <c r="L1632" s="45" t="str">
        <f>IFERROR(VLOOKUP(B1632,'Pre-Summary'!$CU$6:$CW$36,3,FALSE),"")</f>
        <v/>
      </c>
      <c r="M1632" s="45" t="str">
        <f>IFERROR(VLOOKUP(B1632,'Pre-Summary'!$BW$6:$BY$58,2,FALSE),"")</f>
        <v/>
      </c>
      <c r="N1632" s="45" t="str">
        <f>IFERROR(VLOOKUP(B1632,'Pre-Summary'!$CD$6:$CF$64,2,FALSE),"")</f>
        <v/>
      </c>
      <c r="O1632" s="99">
        <f>IFERROR(VLOOKUP(B1632,'Pre-Summary'!$BO$6:$BQ$48,3, FALSE),O1631)</f>
        <v>1</v>
      </c>
      <c r="P1632" s="99">
        <f>IFERROR(VLOOKUP(B1632,'Pre-Summary'!$BS$6:$BU$35,3,FALSE),P1631)</f>
        <v>0.3</v>
      </c>
      <c r="Q1632" s="54">
        <f t="shared" si="75"/>
        <v>3.3333333333333335</v>
      </c>
      <c r="R1632" s="53">
        <f>IFERROR(VLOOKUP(B1632,'Pre-Summary'!$BG$6:$BM$44,7,FALSE),R1633)</f>
        <v>8.3576993058106674E-2</v>
      </c>
      <c r="S1632" s="53">
        <f>IFERROR(VLOOKUP(B1632,'Pre-Summary'!$BG$6:$BM$44,6,FALSE),S1633)</f>
        <v>0.10174646781791266</v>
      </c>
      <c r="T1632" s="45" t="str">
        <f>IFERROR(VLOOKUP(B1632,'Pre-Summary'!$Y$6:$AC$83, 3,FALSE),"")</f>
        <v/>
      </c>
      <c r="U1632" s="45" t="str">
        <f>IFERROR(VLOOKUP(B1632,'Pre-Summary'!$Y$6:$AC$83, 4,FALSE),"")</f>
        <v/>
      </c>
      <c r="V1632" t="str">
        <f>IFERROR(VLOOKUP(B1632,'Pre-Summary'!$Y$6:$AC$83, 5,FALSE),"")</f>
        <v/>
      </c>
      <c r="W1632" s="45" t="str">
        <f>IFERROR(VLOOKUP(B1632,'Pre-Summary'!$Y$6:$AD$83,6,FALSE),"")</f>
        <v/>
      </c>
      <c r="X1632" t="str">
        <f>IFERROR(VLOOKUP('Pre-Summary'!$DB$6:$DD$63,3,FALSE),"")</f>
        <v/>
      </c>
      <c r="Y1632" t="str">
        <f>IFERROR(VLOOKUP(B1632,'Pre-Summary'!$CR$6:$CT$36,3,FALSE),"")</f>
        <v/>
      </c>
      <c r="Z1632" s="45">
        <f>IFERROR(VLOOKUP(B1632,'Pre-Summary'!$BZ$6:$CB$63,2,FALSE),"")</f>
        <v>66.307486544677772</v>
      </c>
      <c r="AA1632" s="45">
        <f>IFERROR(VLOOKUP(B1632,'Pre-Summary'!$CG$6:$CI$70,2,FALSE),"")</f>
        <v>255.61665414283109</v>
      </c>
      <c r="AB1632" s="99">
        <f>IFERROR(VLOOKUP(B1632,'Pre-Summary'!$A$6:$P$178,9,FALSE),AB1633)</f>
        <v>0.27917596741480943</v>
      </c>
      <c r="AC1632" s="10">
        <f>IFERROR(VLOOKUP(Summary!B1632,'Pre-Summary'!$A$6:$P$184,5, FALSE)/100,AC1633)</f>
        <v>0.93713833333333307</v>
      </c>
      <c r="AD1632" s="10">
        <f>IFERROR(VLOOKUP(Summary!B1632,'Pre-Summary'!$A$6:$P$184,3, FALSE)/100,AD1633)</f>
        <v>2.5143999999999996E-2</v>
      </c>
      <c r="AE1632" s="10">
        <f>IFERROR(VLOOKUP(Summary!B1632,'Pre-Summary'!$A$6:$P$184,7, FALSE)/100,AE1633)</f>
        <v>3.771766666666667E-2</v>
      </c>
      <c r="AF1632" s="99">
        <f t="shared" si="76"/>
        <v>7.0196005246779677E-3</v>
      </c>
      <c r="AG1632" s="99">
        <f t="shared" si="77"/>
        <v>1.0529866080295979E-2</v>
      </c>
      <c r="AH1632" s="10" t="str">
        <f>IFERROR(VLOOKUP(B1632,'Pre-Summary'!$AZ$6:$BE$65,3,FALSE),"")</f>
        <v/>
      </c>
      <c r="AI1632" s="10" t="str">
        <f>IFERROR(VLOOKUP(B1632,'Pre-Summary'!$AZ$6:$BE$65,5,FALSE),"")</f>
        <v/>
      </c>
      <c r="AJ1632" s="10" t="str">
        <f>IFERROR(VLOOKUP(B1632,'Pre-Summary'!$AZ$6:$BE$65,4,FALSE),"")</f>
        <v/>
      </c>
      <c r="AK1632" s="10" t="str">
        <f>IFERROR(VLOOKUP(B1632,'Pre-Summary'!$AZ$6:$BE$65,6,FALSE),"")</f>
        <v/>
      </c>
      <c r="AL1632" s="10" t="str">
        <f>IFERROR(VLOOKUP(B1632,'Pre-Summary'!$BG$6:$BL$44,3,FALSE),"")</f>
        <v/>
      </c>
      <c r="AM1632" s="10" t="str">
        <f>IFERROR(VLOOKUP(B1632,'Pre-Summary'!$BG$6:$BL$44,4,FALSE),"")</f>
        <v/>
      </c>
    </row>
    <row r="1633" spans="2:39" ht="15" customHeight="1" x14ac:dyDescent="0.3">
      <c r="B1633">
        <v>163</v>
      </c>
      <c r="C1633" t="str">
        <f>IFERROR(VLOOKUP(B1633,'Pre-Summary'!$DI$6:$DM$23,4,FALSE),"")</f>
        <v/>
      </c>
      <c r="D1633" s="10" t="str">
        <f>IFERROR(VLOOKUP(B1633,'Pre-Summary'!$AT$6:$AX$14,5,FALSE),D1632)</f>
        <v>Wolfe v3: went back to modified wolfe + EDTA and switched CuSO4 to CUCl2</v>
      </c>
      <c r="E1633" s="10" t="str">
        <f>IFERROR(VLOOKUP(B1633,'Pre-Summary'!$AT$6:$AX$15,4,FALSE),"")</f>
        <v/>
      </c>
      <c r="F1633">
        <f>IFERROR(VLOOKUP(B1633,'Pre-Summary'!$AL$6:$AQ$13,6,FALSE),F1632)</f>
        <v>5.9405263157894746E-2</v>
      </c>
      <c r="G1633" t="str">
        <f>IFERROR(VLOOKUP(B1633,'Pre-Summary'!$AE$6:$AJ$85,3,FALSE),"")</f>
        <v/>
      </c>
      <c r="H1633" t="str">
        <f>IFERROR(VLOOKUP(B1633,'Pre-Summary'!$AE$6:$AJ$85,4,FALSE),"")</f>
        <v/>
      </c>
      <c r="I1633" t="str">
        <f>IFERROR(VLOOKUP(B1633,'Pre-Summary'!$AE$6:$AJ$85,5,FALSE),"")</f>
        <v/>
      </c>
      <c r="J1633" s="45" t="str">
        <f>IFERROR(VLOOKUP(B1633,'Pre-Summary'!$AE$6:$AJ$85,6, FALSE),"")</f>
        <v/>
      </c>
      <c r="K1633" s="45" t="str">
        <f>IFERROR(VLOOKUP(B1633,'Pre-Summary'!$DE$6:$DG$61,3,FALSE),"")</f>
        <v/>
      </c>
      <c r="L1633" s="45" t="str">
        <f>IFERROR(VLOOKUP(B1633,'Pre-Summary'!$CU$6:$CW$36,3,FALSE),"")</f>
        <v/>
      </c>
      <c r="M1633" s="45" t="str">
        <f>IFERROR(VLOOKUP(B1633,'Pre-Summary'!$BW$6:$BY$58,2,FALSE),"")</f>
        <v/>
      </c>
      <c r="N1633" s="45" t="str">
        <f>IFERROR(VLOOKUP(B1633,'Pre-Summary'!$CD$6:$CF$64,2,FALSE),"")</f>
        <v/>
      </c>
      <c r="O1633" s="99">
        <f>IFERROR(VLOOKUP(B1633,'Pre-Summary'!$BO$6:$BQ$48,3, FALSE),O1632)</f>
        <v>1</v>
      </c>
      <c r="P1633" s="99">
        <f>IFERROR(VLOOKUP(B1633,'Pre-Summary'!$BS$6:$BU$35,3,FALSE),P1632)</f>
        <v>0.3</v>
      </c>
      <c r="Q1633" s="54">
        <f t="shared" si="75"/>
        <v>3.3333333333333335</v>
      </c>
      <c r="R1633" s="53">
        <f>IFERROR(VLOOKUP(B1633,'Pre-Summary'!$BG$6:$BM$44,7,FALSE),R1634)</f>
        <v>8.3576993058106674E-2</v>
      </c>
      <c r="S1633" s="53">
        <f>IFERROR(VLOOKUP(B1633,'Pre-Summary'!$BG$6:$BM$44,6,FALSE),S1634)</f>
        <v>0.10174646781791266</v>
      </c>
      <c r="T1633" s="45" t="str">
        <f>IFERROR(VLOOKUP(B1633,'Pre-Summary'!$Y$6:$AC$83, 3,FALSE),"")</f>
        <v/>
      </c>
      <c r="U1633" s="45" t="str">
        <f>IFERROR(VLOOKUP(B1633,'Pre-Summary'!$Y$6:$AC$83, 4,FALSE),"")</f>
        <v/>
      </c>
      <c r="V1633" t="str">
        <f>IFERROR(VLOOKUP(B1633,'Pre-Summary'!$Y$6:$AC$83, 5,FALSE),"")</f>
        <v/>
      </c>
      <c r="W1633" s="45" t="str">
        <f>IFERROR(VLOOKUP(B1633,'Pre-Summary'!$Y$6:$AD$83,6,FALSE),"")</f>
        <v/>
      </c>
      <c r="X1633" t="str">
        <f>IFERROR(VLOOKUP('Pre-Summary'!$DB$6:$DD$63,3,FALSE),"")</f>
        <v/>
      </c>
      <c r="Y1633" t="str">
        <f>IFERROR(VLOOKUP(B1633,'Pre-Summary'!$CR$6:$CT$36,3,FALSE),"")</f>
        <v/>
      </c>
      <c r="Z1633" s="45" t="str">
        <f>IFERROR(VLOOKUP(B1633,'Pre-Summary'!$BZ$6:$CB$63,2,FALSE),"")</f>
        <v/>
      </c>
      <c r="AA1633" s="45" t="str">
        <f>IFERROR(VLOOKUP(B1633,'Pre-Summary'!$CG$6:$CI$70,2,FALSE),"")</f>
        <v/>
      </c>
      <c r="AB1633" s="99">
        <f>IFERROR(VLOOKUP(B1633,'Pre-Summary'!$A$6:$P$178,9,FALSE),AB1634)</f>
        <v>0.30570379928315466</v>
      </c>
      <c r="AC1633" s="10">
        <f>IFERROR(VLOOKUP(Summary!B1633,'Pre-Summary'!$A$6:$P$184,5, FALSE)/100,AC1634)</f>
        <v>0.94147400000000003</v>
      </c>
      <c r="AD1633" s="10">
        <f>IFERROR(VLOOKUP(Summary!B1633,'Pre-Summary'!$A$6:$P$184,3, FALSE)/100,AD1634)</f>
        <v>1.8381333333333333E-2</v>
      </c>
      <c r="AE1633" s="10">
        <f>IFERROR(VLOOKUP(Summary!B1633,'Pre-Summary'!$A$6:$P$184,7, FALSE)/100,AE1634)</f>
        <v>4.0145E-2</v>
      </c>
      <c r="AF1633" s="99">
        <f t="shared" si="76"/>
        <v>5.6192434358900934E-3</v>
      </c>
      <c r="AG1633" s="99">
        <f t="shared" si="77"/>
        <v>1.2272479022222244E-2</v>
      </c>
      <c r="AH1633" s="10" t="str">
        <f>IFERROR(VLOOKUP(B1633,'Pre-Summary'!$AZ$6:$BE$65,3,FALSE),"")</f>
        <v/>
      </c>
      <c r="AI1633" s="10" t="str">
        <f>IFERROR(VLOOKUP(B1633,'Pre-Summary'!$AZ$6:$BE$65,5,FALSE),"")</f>
        <v/>
      </c>
      <c r="AJ1633" s="10" t="str">
        <f>IFERROR(VLOOKUP(B1633,'Pre-Summary'!$AZ$6:$BE$65,4,FALSE),"")</f>
        <v/>
      </c>
      <c r="AK1633" s="10" t="str">
        <f>IFERROR(VLOOKUP(B1633,'Pre-Summary'!$AZ$6:$BE$65,6,FALSE),"")</f>
        <v/>
      </c>
      <c r="AL1633" s="10" t="str">
        <f>IFERROR(VLOOKUP(B1633,'Pre-Summary'!$BG$6:$BL$44,3,FALSE),"")</f>
        <v/>
      </c>
      <c r="AM1633" s="10" t="str">
        <f>IFERROR(VLOOKUP(B1633,'Pre-Summary'!$BG$6:$BL$44,4,FALSE),"")</f>
        <v/>
      </c>
    </row>
    <row r="1634" spans="2:39" ht="15" customHeight="1" x14ac:dyDescent="0.3">
      <c r="B1634">
        <v>163.1</v>
      </c>
      <c r="C1634" t="str">
        <f>IFERROR(VLOOKUP(B1634,'Pre-Summary'!$DI$6:$DM$23,4,FALSE),"")</f>
        <v/>
      </c>
      <c r="D1634" s="10" t="str">
        <f>IFERROR(VLOOKUP(B1634,'Pre-Summary'!$AT$6:$AX$14,5,FALSE),D1633)</f>
        <v>Wolfe v3: went back to modified wolfe + EDTA and switched CuSO4 to CUCl2</v>
      </c>
      <c r="E1634" s="10" t="str">
        <f>IFERROR(VLOOKUP(B1634,'Pre-Summary'!$AT$6:$AX$15,4,FALSE),"")</f>
        <v/>
      </c>
      <c r="F1634">
        <f>IFERROR(VLOOKUP(B1634,'Pre-Summary'!$AL$6:$AQ$13,6,FALSE),F1633)</f>
        <v>5.9405263157894746E-2</v>
      </c>
      <c r="G1634" t="str">
        <f>IFERROR(VLOOKUP(B1634,'Pre-Summary'!$AE$6:$AJ$85,3,FALSE),"")</f>
        <v/>
      </c>
      <c r="H1634" t="str">
        <f>IFERROR(VLOOKUP(B1634,'Pre-Summary'!$AE$6:$AJ$85,4,FALSE),"")</f>
        <v/>
      </c>
      <c r="I1634" t="str">
        <f>IFERROR(VLOOKUP(B1634,'Pre-Summary'!$AE$6:$AJ$85,5,FALSE),"")</f>
        <v/>
      </c>
      <c r="J1634" s="45" t="str">
        <f>IFERROR(VLOOKUP(B1634,'Pre-Summary'!$AE$6:$AJ$85,6, FALSE),"")</f>
        <v/>
      </c>
      <c r="K1634" s="45" t="str">
        <f>IFERROR(VLOOKUP(B1634,'Pre-Summary'!$DE$6:$DG$61,3,FALSE),"")</f>
        <v/>
      </c>
      <c r="L1634" s="45" t="str">
        <f>IFERROR(VLOOKUP(B1634,'Pre-Summary'!$CU$6:$CW$36,3,FALSE),"")</f>
        <v/>
      </c>
      <c r="M1634" s="45" t="str">
        <f>IFERROR(VLOOKUP(B1634,'Pre-Summary'!$BW$6:$BY$58,2,FALSE),"")</f>
        <v/>
      </c>
      <c r="N1634" s="45" t="str">
        <f>IFERROR(VLOOKUP(B1634,'Pre-Summary'!$CD$6:$CF$64,2,FALSE),"")</f>
        <v/>
      </c>
      <c r="O1634" s="99">
        <f>IFERROR(VLOOKUP(B1634,'Pre-Summary'!$BO$6:$BQ$48,3, FALSE),O1633)</f>
        <v>1</v>
      </c>
      <c r="P1634" s="99">
        <f>IFERROR(VLOOKUP(B1634,'Pre-Summary'!$BS$6:$BU$35,3,FALSE),P1633)</f>
        <v>0.3</v>
      </c>
      <c r="Q1634" s="54">
        <f t="shared" si="75"/>
        <v>3.3333333333333335</v>
      </c>
      <c r="R1634" s="53">
        <f>IFERROR(VLOOKUP(B1634,'Pre-Summary'!$BG$6:$BM$44,7,FALSE),R1635)</f>
        <v>8.3576993058106674E-2</v>
      </c>
      <c r="S1634" s="53">
        <f>IFERROR(VLOOKUP(B1634,'Pre-Summary'!$BG$6:$BM$44,6,FALSE),S1635)</f>
        <v>0.10174646781791266</v>
      </c>
      <c r="T1634" s="45" t="str">
        <f>IFERROR(VLOOKUP(B1634,'Pre-Summary'!$Y$6:$AC$83, 3,FALSE),"")</f>
        <v/>
      </c>
      <c r="U1634" s="45" t="str">
        <f>IFERROR(VLOOKUP(B1634,'Pre-Summary'!$Y$6:$AC$83, 4,FALSE),"")</f>
        <v/>
      </c>
      <c r="V1634" t="str">
        <f>IFERROR(VLOOKUP(B1634,'Pre-Summary'!$Y$6:$AC$83, 5,FALSE),"")</f>
        <v/>
      </c>
      <c r="W1634" s="45" t="str">
        <f>IFERROR(VLOOKUP(B1634,'Pre-Summary'!$Y$6:$AD$83,6,FALSE),"")</f>
        <v/>
      </c>
      <c r="X1634" t="str">
        <f>IFERROR(VLOOKUP('Pre-Summary'!$DB$6:$DD$63,3,FALSE),"")</f>
        <v/>
      </c>
      <c r="Y1634" t="str">
        <f>IFERROR(VLOOKUP(B1634,'Pre-Summary'!$CR$6:$CT$36,3,FALSE),"")</f>
        <v/>
      </c>
      <c r="Z1634" s="45" t="str">
        <f>IFERROR(VLOOKUP(B1634,'Pre-Summary'!$BZ$6:$CB$63,2,FALSE),"")</f>
        <v/>
      </c>
      <c r="AA1634" s="45" t="str">
        <f>IFERROR(VLOOKUP(B1634,'Pre-Summary'!$CG$6:$CI$70,2,FALSE),"")</f>
        <v/>
      </c>
      <c r="AB1634" s="99">
        <f>IFERROR(VLOOKUP(B1634,'Pre-Summary'!$A$6:$P$178,9,FALSE),AB1635)</f>
        <v>0.30570379928315466</v>
      </c>
      <c r="AC1634" s="10">
        <f>IFERROR(VLOOKUP(Summary!B1634,'Pre-Summary'!$A$6:$P$184,5, FALSE)/100,AC1635)</f>
        <v>0.94147400000000003</v>
      </c>
      <c r="AD1634" s="10">
        <f>IFERROR(VLOOKUP(Summary!B1634,'Pre-Summary'!$A$6:$P$184,3, FALSE)/100,AD1635)</f>
        <v>1.8381333333333333E-2</v>
      </c>
      <c r="AE1634" s="10">
        <f>IFERROR(VLOOKUP(Summary!B1634,'Pre-Summary'!$A$6:$P$184,7, FALSE)/100,AE1635)</f>
        <v>4.0145E-2</v>
      </c>
      <c r="AF1634" s="99">
        <f t="shared" si="76"/>
        <v>5.6192434358900934E-3</v>
      </c>
      <c r="AG1634" s="99">
        <f t="shared" si="77"/>
        <v>1.2272479022222244E-2</v>
      </c>
      <c r="AH1634" s="10" t="str">
        <f>IFERROR(VLOOKUP(B1634,'Pre-Summary'!$AZ$6:$BE$65,3,FALSE),"")</f>
        <v/>
      </c>
      <c r="AI1634" s="10" t="str">
        <f>IFERROR(VLOOKUP(B1634,'Pre-Summary'!$AZ$6:$BE$65,5,FALSE),"")</f>
        <v/>
      </c>
      <c r="AJ1634" s="10" t="str">
        <f>IFERROR(VLOOKUP(B1634,'Pre-Summary'!$AZ$6:$BE$65,4,FALSE),"")</f>
        <v/>
      </c>
      <c r="AK1634" s="10" t="str">
        <f>IFERROR(VLOOKUP(B1634,'Pre-Summary'!$AZ$6:$BE$65,6,FALSE),"")</f>
        <v/>
      </c>
      <c r="AL1634" s="10" t="str">
        <f>IFERROR(VLOOKUP(B1634,'Pre-Summary'!$BG$6:$BL$44,3,FALSE),"")</f>
        <v/>
      </c>
      <c r="AM1634" s="10" t="str">
        <f>IFERROR(VLOOKUP(B1634,'Pre-Summary'!$BG$6:$BL$44,4,FALSE),"")</f>
        <v/>
      </c>
    </row>
    <row r="1635" spans="2:39" ht="15" customHeight="1" x14ac:dyDescent="0.3">
      <c r="B1635">
        <v>163.19999999999999</v>
      </c>
      <c r="C1635" t="str">
        <f>IFERROR(VLOOKUP(B1635,'Pre-Summary'!$DI$6:$DM$23,4,FALSE),"")</f>
        <v/>
      </c>
      <c r="D1635" s="10" t="str">
        <f>IFERROR(VLOOKUP(B1635,'Pre-Summary'!$AT$6:$AX$14,5,FALSE),D1634)</f>
        <v>Wolfe v3: went back to modified wolfe + EDTA and switched CuSO4 to CUCl2</v>
      </c>
      <c r="E1635" s="10" t="str">
        <f>IFERROR(VLOOKUP(B1635,'Pre-Summary'!$AT$6:$AX$15,4,FALSE),"")</f>
        <v/>
      </c>
      <c r="F1635">
        <f>IFERROR(VLOOKUP(B1635,'Pre-Summary'!$AL$6:$AQ$13,6,FALSE),F1634)</f>
        <v>5.9405263157894746E-2</v>
      </c>
      <c r="G1635" t="str">
        <f>IFERROR(VLOOKUP(B1635,'Pre-Summary'!$AE$6:$AJ$85,3,FALSE),"")</f>
        <v/>
      </c>
      <c r="H1635" t="str">
        <f>IFERROR(VLOOKUP(B1635,'Pre-Summary'!$AE$6:$AJ$85,4,FALSE),"")</f>
        <v/>
      </c>
      <c r="I1635" t="str">
        <f>IFERROR(VLOOKUP(B1635,'Pre-Summary'!$AE$6:$AJ$85,5,FALSE),"")</f>
        <v/>
      </c>
      <c r="J1635" s="45" t="str">
        <f>IFERROR(VLOOKUP(B1635,'Pre-Summary'!$AE$6:$AJ$85,6, FALSE),"")</f>
        <v/>
      </c>
      <c r="K1635" s="45" t="str">
        <f>IFERROR(VLOOKUP(B1635,'Pre-Summary'!$DE$6:$DG$61,3,FALSE),"")</f>
        <v/>
      </c>
      <c r="L1635" s="45" t="str">
        <f>IFERROR(VLOOKUP(B1635,'Pre-Summary'!$CU$6:$CW$36,3,FALSE),"")</f>
        <v/>
      </c>
      <c r="M1635" s="45" t="str">
        <f>IFERROR(VLOOKUP(B1635,'Pre-Summary'!$BW$6:$BY$58,2,FALSE),"")</f>
        <v/>
      </c>
      <c r="N1635" s="45" t="str">
        <f>IFERROR(VLOOKUP(B1635,'Pre-Summary'!$CD$6:$CF$64,2,FALSE),"")</f>
        <v/>
      </c>
      <c r="O1635" s="99">
        <f>IFERROR(VLOOKUP(B1635,'Pre-Summary'!$BO$6:$BQ$48,3, FALSE),O1634)</f>
        <v>1</v>
      </c>
      <c r="P1635" s="99">
        <f>IFERROR(VLOOKUP(B1635,'Pre-Summary'!$BS$6:$BU$35,3,FALSE),P1634)</f>
        <v>0.3</v>
      </c>
      <c r="Q1635" s="54">
        <f t="shared" si="75"/>
        <v>3.3333333333333335</v>
      </c>
      <c r="R1635" s="53">
        <f>IFERROR(VLOOKUP(B1635,'Pre-Summary'!$BG$6:$BM$44,7,FALSE),R1636)</f>
        <v>8.3576993058106674E-2</v>
      </c>
      <c r="S1635" s="53">
        <f>IFERROR(VLOOKUP(B1635,'Pre-Summary'!$BG$6:$BM$44,6,FALSE),S1636)</f>
        <v>0.10174646781791266</v>
      </c>
      <c r="T1635" s="45" t="str">
        <f>IFERROR(VLOOKUP(B1635,'Pre-Summary'!$Y$6:$AC$83, 3,FALSE),"")</f>
        <v/>
      </c>
      <c r="U1635" s="45" t="str">
        <f>IFERROR(VLOOKUP(B1635,'Pre-Summary'!$Y$6:$AC$83, 4,FALSE),"")</f>
        <v/>
      </c>
      <c r="V1635" t="str">
        <f>IFERROR(VLOOKUP(B1635,'Pre-Summary'!$Y$6:$AC$83, 5,FALSE),"")</f>
        <v/>
      </c>
      <c r="W1635" s="45" t="str">
        <f>IFERROR(VLOOKUP(B1635,'Pre-Summary'!$Y$6:$AD$83,6,FALSE),"")</f>
        <v/>
      </c>
      <c r="X1635" t="str">
        <f>IFERROR(VLOOKUP('Pre-Summary'!$DB$6:$DD$63,3,FALSE),"")</f>
        <v/>
      </c>
      <c r="Y1635" t="str">
        <f>IFERROR(VLOOKUP(B1635,'Pre-Summary'!$CR$6:$CT$36,3,FALSE),"")</f>
        <v/>
      </c>
      <c r="Z1635" s="45" t="str">
        <f>IFERROR(VLOOKUP(B1635,'Pre-Summary'!$BZ$6:$CB$63,2,FALSE),"")</f>
        <v/>
      </c>
      <c r="AA1635" s="45" t="str">
        <f>IFERROR(VLOOKUP(B1635,'Pre-Summary'!$CG$6:$CI$70,2,FALSE),"")</f>
        <v/>
      </c>
      <c r="AB1635" s="99">
        <f>IFERROR(VLOOKUP(B1635,'Pre-Summary'!$A$6:$P$178,9,FALSE),AB1636)</f>
        <v>0.30570379928315466</v>
      </c>
      <c r="AC1635" s="10">
        <f>IFERROR(VLOOKUP(Summary!B1635,'Pre-Summary'!$A$6:$P$184,5, FALSE)/100,AC1636)</f>
        <v>0.94147400000000003</v>
      </c>
      <c r="AD1635" s="10">
        <f>IFERROR(VLOOKUP(Summary!B1635,'Pre-Summary'!$A$6:$P$184,3, FALSE)/100,AD1636)</f>
        <v>1.8381333333333333E-2</v>
      </c>
      <c r="AE1635" s="10">
        <f>IFERROR(VLOOKUP(Summary!B1635,'Pre-Summary'!$A$6:$P$184,7, FALSE)/100,AE1636)</f>
        <v>4.0145E-2</v>
      </c>
      <c r="AF1635" s="99">
        <f t="shared" si="76"/>
        <v>5.6192434358900934E-3</v>
      </c>
      <c r="AG1635" s="99">
        <f t="shared" si="77"/>
        <v>1.2272479022222244E-2</v>
      </c>
      <c r="AH1635" s="10" t="str">
        <f>IFERROR(VLOOKUP(B1635,'Pre-Summary'!$AZ$6:$BE$65,3,FALSE),"")</f>
        <v/>
      </c>
      <c r="AI1635" s="10" t="str">
        <f>IFERROR(VLOOKUP(B1635,'Pre-Summary'!$AZ$6:$BE$65,5,FALSE),"")</f>
        <v/>
      </c>
      <c r="AJ1635" s="10" t="str">
        <f>IFERROR(VLOOKUP(B1635,'Pre-Summary'!$AZ$6:$BE$65,4,FALSE),"")</f>
        <v/>
      </c>
      <c r="AK1635" s="10" t="str">
        <f>IFERROR(VLOOKUP(B1635,'Pre-Summary'!$AZ$6:$BE$65,6,FALSE),"")</f>
        <v/>
      </c>
      <c r="AL1635" s="10" t="str">
        <f>IFERROR(VLOOKUP(B1635,'Pre-Summary'!$BG$6:$BL$44,3,FALSE),"")</f>
        <v/>
      </c>
      <c r="AM1635" s="10" t="str">
        <f>IFERROR(VLOOKUP(B1635,'Pre-Summary'!$BG$6:$BL$44,4,FALSE),"")</f>
        <v/>
      </c>
    </row>
    <row r="1636" spans="2:39" ht="15" customHeight="1" x14ac:dyDescent="0.3">
      <c r="B1636">
        <v>163.30000000000001</v>
      </c>
      <c r="C1636" t="str">
        <f>IFERROR(VLOOKUP(B1636,'Pre-Summary'!$DI$6:$DM$23,4,FALSE),"")</f>
        <v/>
      </c>
      <c r="D1636" s="10" t="str">
        <f>IFERROR(VLOOKUP(B1636,'Pre-Summary'!$AT$6:$AX$14,5,FALSE),D1635)</f>
        <v>Wolfe v3: went back to modified wolfe + EDTA and switched CuSO4 to CUCl2</v>
      </c>
      <c r="E1636" s="10" t="str">
        <f>IFERROR(VLOOKUP(B1636,'Pre-Summary'!$AT$6:$AX$15,4,FALSE),"")</f>
        <v/>
      </c>
      <c r="F1636">
        <f>IFERROR(VLOOKUP(B1636,'Pre-Summary'!$AL$6:$AQ$13,6,FALSE),F1635)</f>
        <v>5.9405263157894746E-2</v>
      </c>
      <c r="G1636" t="str">
        <f>IFERROR(VLOOKUP(B1636,'Pre-Summary'!$AE$6:$AJ$85,3,FALSE),"")</f>
        <v/>
      </c>
      <c r="H1636" t="str">
        <f>IFERROR(VLOOKUP(B1636,'Pre-Summary'!$AE$6:$AJ$85,4,FALSE),"")</f>
        <v/>
      </c>
      <c r="I1636" t="str">
        <f>IFERROR(VLOOKUP(B1636,'Pre-Summary'!$AE$6:$AJ$85,5,FALSE),"")</f>
        <v/>
      </c>
      <c r="J1636" s="45" t="str">
        <f>IFERROR(VLOOKUP(B1636,'Pre-Summary'!$AE$6:$AJ$85,6, FALSE),"")</f>
        <v/>
      </c>
      <c r="K1636" s="45" t="str">
        <f>IFERROR(VLOOKUP(B1636,'Pre-Summary'!$DE$6:$DG$61,3,FALSE),"")</f>
        <v/>
      </c>
      <c r="L1636" s="45" t="str">
        <f>IFERROR(VLOOKUP(B1636,'Pre-Summary'!$CU$6:$CW$36,3,FALSE),"")</f>
        <v/>
      </c>
      <c r="M1636" s="45" t="str">
        <f>IFERROR(VLOOKUP(B1636,'Pre-Summary'!$BW$6:$BY$58,2,FALSE),"")</f>
        <v/>
      </c>
      <c r="N1636" s="45" t="str">
        <f>IFERROR(VLOOKUP(B1636,'Pre-Summary'!$CD$6:$CF$64,2,FALSE),"")</f>
        <v/>
      </c>
      <c r="O1636" s="99">
        <f>IFERROR(VLOOKUP(B1636,'Pre-Summary'!$BO$6:$BQ$48,3, FALSE),O1635)</f>
        <v>1</v>
      </c>
      <c r="P1636" s="99">
        <f>IFERROR(VLOOKUP(B1636,'Pre-Summary'!$BS$6:$BU$35,3,FALSE),P1635)</f>
        <v>0.3</v>
      </c>
      <c r="Q1636" s="54">
        <f t="shared" si="75"/>
        <v>3.3333333333333335</v>
      </c>
      <c r="R1636" s="53">
        <f>IFERROR(VLOOKUP(B1636,'Pre-Summary'!$BG$6:$BM$44,7,FALSE),R1637)</f>
        <v>8.3576993058106674E-2</v>
      </c>
      <c r="S1636" s="53">
        <f>IFERROR(VLOOKUP(B1636,'Pre-Summary'!$BG$6:$BM$44,6,FALSE),S1637)</f>
        <v>0.10174646781791266</v>
      </c>
      <c r="T1636" s="45" t="str">
        <f>IFERROR(VLOOKUP(B1636,'Pre-Summary'!$Y$6:$AC$83, 3,FALSE),"")</f>
        <v/>
      </c>
      <c r="U1636" s="45" t="str">
        <f>IFERROR(VLOOKUP(B1636,'Pre-Summary'!$Y$6:$AC$83, 4,FALSE),"")</f>
        <v/>
      </c>
      <c r="V1636" t="str">
        <f>IFERROR(VLOOKUP(B1636,'Pre-Summary'!$Y$6:$AC$83, 5,FALSE),"")</f>
        <v/>
      </c>
      <c r="W1636" s="45" t="str">
        <f>IFERROR(VLOOKUP(B1636,'Pre-Summary'!$Y$6:$AD$83,6,FALSE),"")</f>
        <v/>
      </c>
      <c r="X1636" t="str">
        <f>IFERROR(VLOOKUP('Pre-Summary'!$DB$6:$DD$63,3,FALSE),"")</f>
        <v/>
      </c>
      <c r="Y1636" t="str">
        <f>IFERROR(VLOOKUP(B1636,'Pre-Summary'!$CR$6:$CT$36,3,FALSE),"")</f>
        <v/>
      </c>
      <c r="Z1636" s="45" t="str">
        <f>IFERROR(VLOOKUP(B1636,'Pre-Summary'!$BZ$6:$CB$63,2,FALSE),"")</f>
        <v/>
      </c>
      <c r="AA1636" s="45" t="str">
        <f>IFERROR(VLOOKUP(B1636,'Pre-Summary'!$CG$6:$CI$70,2,FALSE),"")</f>
        <v/>
      </c>
      <c r="AB1636" s="99">
        <f>IFERROR(VLOOKUP(B1636,'Pre-Summary'!$A$6:$P$178,9,FALSE),AB1637)</f>
        <v>0.30570379928315466</v>
      </c>
      <c r="AC1636" s="10">
        <f>IFERROR(VLOOKUP(Summary!B1636,'Pre-Summary'!$A$6:$P$184,5, FALSE)/100,AC1637)</f>
        <v>0.94147400000000003</v>
      </c>
      <c r="AD1636" s="10">
        <f>IFERROR(VLOOKUP(Summary!B1636,'Pre-Summary'!$A$6:$P$184,3, FALSE)/100,AD1637)</f>
        <v>1.8381333333333333E-2</v>
      </c>
      <c r="AE1636" s="10">
        <f>IFERROR(VLOOKUP(Summary!B1636,'Pre-Summary'!$A$6:$P$184,7, FALSE)/100,AE1637)</f>
        <v>4.0145E-2</v>
      </c>
      <c r="AF1636" s="99">
        <f t="shared" si="76"/>
        <v>5.6192434358900934E-3</v>
      </c>
      <c r="AG1636" s="99">
        <f t="shared" si="77"/>
        <v>1.2272479022222244E-2</v>
      </c>
      <c r="AH1636" s="10" t="str">
        <f>IFERROR(VLOOKUP(B1636,'Pre-Summary'!$AZ$6:$BE$65,3,FALSE),"")</f>
        <v/>
      </c>
      <c r="AI1636" s="10" t="str">
        <f>IFERROR(VLOOKUP(B1636,'Pre-Summary'!$AZ$6:$BE$65,5,FALSE),"")</f>
        <v/>
      </c>
      <c r="AJ1636" s="10" t="str">
        <f>IFERROR(VLOOKUP(B1636,'Pre-Summary'!$AZ$6:$BE$65,4,FALSE),"")</f>
        <v/>
      </c>
      <c r="AK1636" s="10" t="str">
        <f>IFERROR(VLOOKUP(B1636,'Pre-Summary'!$AZ$6:$BE$65,6,FALSE),"")</f>
        <v/>
      </c>
      <c r="AL1636" s="10" t="str">
        <f>IFERROR(VLOOKUP(B1636,'Pre-Summary'!$BG$6:$BL$44,3,FALSE),"")</f>
        <v/>
      </c>
      <c r="AM1636" s="10" t="str">
        <f>IFERROR(VLOOKUP(B1636,'Pre-Summary'!$BG$6:$BL$44,4,FALSE),"")</f>
        <v/>
      </c>
    </row>
    <row r="1637" spans="2:39" ht="15" customHeight="1" x14ac:dyDescent="0.3">
      <c r="B1637">
        <v>163.4</v>
      </c>
      <c r="C1637" t="str">
        <f>IFERROR(VLOOKUP(B1637,'Pre-Summary'!$DI$6:$DM$23,4,FALSE),"")</f>
        <v/>
      </c>
      <c r="D1637" s="10" t="str">
        <f>IFERROR(VLOOKUP(B1637,'Pre-Summary'!$AT$6:$AX$14,5,FALSE),D1636)</f>
        <v>Wolfe v3: went back to modified wolfe + EDTA and switched CuSO4 to CUCl2</v>
      </c>
      <c r="E1637" s="10" t="str">
        <f>IFERROR(VLOOKUP(B1637,'Pre-Summary'!$AT$6:$AX$15,4,FALSE),"")</f>
        <v/>
      </c>
      <c r="F1637">
        <f>IFERROR(VLOOKUP(B1637,'Pre-Summary'!$AL$6:$AQ$13,6,FALSE),F1636)</f>
        <v>5.9405263157894746E-2</v>
      </c>
      <c r="G1637" t="str">
        <f>IFERROR(VLOOKUP(B1637,'Pre-Summary'!$AE$6:$AJ$85,3,FALSE),"")</f>
        <v/>
      </c>
      <c r="H1637" t="str">
        <f>IFERROR(VLOOKUP(B1637,'Pre-Summary'!$AE$6:$AJ$85,4,FALSE),"")</f>
        <v/>
      </c>
      <c r="I1637" t="str">
        <f>IFERROR(VLOOKUP(B1637,'Pre-Summary'!$AE$6:$AJ$85,5,FALSE),"")</f>
        <v/>
      </c>
      <c r="J1637" s="45" t="str">
        <f>IFERROR(VLOOKUP(B1637,'Pre-Summary'!$AE$6:$AJ$85,6, FALSE),"")</f>
        <v/>
      </c>
      <c r="K1637" s="45" t="str">
        <f>IFERROR(VLOOKUP(B1637,'Pre-Summary'!$DE$6:$DG$61,3,FALSE),"")</f>
        <v/>
      </c>
      <c r="L1637" s="45" t="str">
        <f>IFERROR(VLOOKUP(B1637,'Pre-Summary'!$CU$6:$CW$36,3,FALSE),"")</f>
        <v/>
      </c>
      <c r="M1637" s="45" t="str">
        <f>IFERROR(VLOOKUP(B1637,'Pre-Summary'!$BW$6:$BY$58,2,FALSE),"")</f>
        <v/>
      </c>
      <c r="N1637" s="45" t="str">
        <f>IFERROR(VLOOKUP(B1637,'Pre-Summary'!$CD$6:$CF$64,2,FALSE),"")</f>
        <v/>
      </c>
      <c r="O1637" s="99">
        <f>IFERROR(VLOOKUP(B1637,'Pre-Summary'!$BO$6:$BQ$48,3, FALSE),O1636)</f>
        <v>1</v>
      </c>
      <c r="P1637" s="99">
        <f>IFERROR(VLOOKUP(B1637,'Pre-Summary'!$BS$6:$BU$35,3,FALSE),P1636)</f>
        <v>0.3</v>
      </c>
      <c r="Q1637" s="54">
        <f t="shared" si="75"/>
        <v>3.3333333333333335</v>
      </c>
      <c r="R1637" s="53">
        <f>IFERROR(VLOOKUP(B1637,'Pre-Summary'!$BG$6:$BM$44,7,FALSE),R1638)</f>
        <v>8.3576993058106674E-2</v>
      </c>
      <c r="S1637" s="53">
        <f>IFERROR(VLOOKUP(B1637,'Pre-Summary'!$BG$6:$BM$44,6,FALSE),S1638)</f>
        <v>0.10174646781791266</v>
      </c>
      <c r="T1637" s="45" t="str">
        <f>IFERROR(VLOOKUP(B1637,'Pre-Summary'!$Y$6:$AC$83, 3,FALSE),"")</f>
        <v/>
      </c>
      <c r="U1637" s="45" t="str">
        <f>IFERROR(VLOOKUP(B1637,'Pre-Summary'!$Y$6:$AC$83, 4,FALSE),"")</f>
        <v/>
      </c>
      <c r="V1637" t="str">
        <f>IFERROR(VLOOKUP(B1637,'Pre-Summary'!$Y$6:$AC$83, 5,FALSE),"")</f>
        <v/>
      </c>
      <c r="W1637" s="45" t="str">
        <f>IFERROR(VLOOKUP(B1637,'Pre-Summary'!$Y$6:$AD$83,6,FALSE),"")</f>
        <v/>
      </c>
      <c r="X1637" t="str">
        <f>IFERROR(VLOOKUP('Pre-Summary'!$DB$6:$DD$63,3,FALSE),"")</f>
        <v/>
      </c>
      <c r="Y1637" t="str">
        <f>IFERROR(VLOOKUP(B1637,'Pre-Summary'!$CR$6:$CT$36,3,FALSE),"")</f>
        <v/>
      </c>
      <c r="Z1637" s="45" t="str">
        <f>IFERROR(VLOOKUP(B1637,'Pre-Summary'!$BZ$6:$CB$63,2,FALSE),"")</f>
        <v/>
      </c>
      <c r="AA1637" s="45" t="str">
        <f>IFERROR(VLOOKUP(B1637,'Pre-Summary'!$CG$6:$CI$70,2,FALSE),"")</f>
        <v/>
      </c>
      <c r="AB1637" s="99">
        <f>IFERROR(VLOOKUP(B1637,'Pre-Summary'!$A$6:$P$178,9,FALSE),AB1638)</f>
        <v>0.30570379928315466</v>
      </c>
      <c r="AC1637" s="10">
        <f>IFERROR(VLOOKUP(Summary!B1637,'Pre-Summary'!$A$6:$P$184,5, FALSE)/100,AC1638)</f>
        <v>0.94147400000000003</v>
      </c>
      <c r="AD1637" s="10">
        <f>IFERROR(VLOOKUP(Summary!B1637,'Pre-Summary'!$A$6:$P$184,3, FALSE)/100,AD1638)</f>
        <v>1.8381333333333333E-2</v>
      </c>
      <c r="AE1637" s="10">
        <f>IFERROR(VLOOKUP(Summary!B1637,'Pre-Summary'!$A$6:$P$184,7, FALSE)/100,AE1638)</f>
        <v>4.0145E-2</v>
      </c>
      <c r="AF1637" s="99">
        <f t="shared" si="76"/>
        <v>5.6192434358900934E-3</v>
      </c>
      <c r="AG1637" s="99">
        <f t="shared" si="77"/>
        <v>1.2272479022222244E-2</v>
      </c>
      <c r="AH1637" s="10" t="str">
        <f>IFERROR(VLOOKUP(B1637,'Pre-Summary'!$AZ$6:$BE$65,3,FALSE),"")</f>
        <v/>
      </c>
      <c r="AI1637" s="10" t="str">
        <f>IFERROR(VLOOKUP(B1637,'Pre-Summary'!$AZ$6:$BE$65,5,FALSE),"")</f>
        <v/>
      </c>
      <c r="AJ1637" s="10" t="str">
        <f>IFERROR(VLOOKUP(B1637,'Pre-Summary'!$AZ$6:$BE$65,4,FALSE),"")</f>
        <v/>
      </c>
      <c r="AK1637" s="10" t="str">
        <f>IFERROR(VLOOKUP(B1637,'Pre-Summary'!$AZ$6:$BE$65,6,FALSE),"")</f>
        <v/>
      </c>
      <c r="AL1637" s="10" t="str">
        <f>IFERROR(VLOOKUP(B1637,'Pre-Summary'!$BG$6:$BL$44,3,FALSE),"")</f>
        <v/>
      </c>
      <c r="AM1637" s="10" t="str">
        <f>IFERROR(VLOOKUP(B1637,'Pre-Summary'!$BG$6:$BL$44,4,FALSE),"")</f>
        <v/>
      </c>
    </row>
    <row r="1638" spans="2:39" ht="15" customHeight="1" x14ac:dyDescent="0.3">
      <c r="B1638">
        <v>163.5</v>
      </c>
      <c r="C1638" t="str">
        <f>IFERROR(VLOOKUP(B1638,'Pre-Summary'!$DI$6:$DM$23,4,FALSE),"")</f>
        <v/>
      </c>
      <c r="D1638" s="10" t="str">
        <f>IFERROR(VLOOKUP(B1638,'Pre-Summary'!$AT$6:$AX$14,5,FALSE),D1637)</f>
        <v>Wolfe v3: went back to modified wolfe + EDTA and switched CuSO4 to CUCl2</v>
      </c>
      <c r="E1638" s="10" t="str">
        <f>IFERROR(VLOOKUP(B1638,'Pre-Summary'!$AT$6:$AX$15,4,FALSE),"")</f>
        <v/>
      </c>
      <c r="F1638">
        <f>IFERROR(VLOOKUP(B1638,'Pre-Summary'!$AL$6:$AQ$13,6,FALSE),F1637)</f>
        <v>5.9405263157894746E-2</v>
      </c>
      <c r="G1638" t="str">
        <f>IFERROR(VLOOKUP(B1638,'Pre-Summary'!$AE$6:$AJ$85,3,FALSE),"")</f>
        <v/>
      </c>
      <c r="H1638" t="str">
        <f>IFERROR(VLOOKUP(B1638,'Pre-Summary'!$AE$6:$AJ$85,4,FALSE),"")</f>
        <v/>
      </c>
      <c r="I1638" t="str">
        <f>IFERROR(VLOOKUP(B1638,'Pre-Summary'!$AE$6:$AJ$85,5,FALSE),"")</f>
        <v/>
      </c>
      <c r="J1638" s="45" t="str">
        <f>IFERROR(VLOOKUP(B1638,'Pre-Summary'!$AE$6:$AJ$85,6, FALSE),"")</f>
        <v/>
      </c>
      <c r="K1638" s="45" t="str">
        <f>IFERROR(VLOOKUP(B1638,'Pre-Summary'!$DE$6:$DG$61,3,FALSE),"")</f>
        <v/>
      </c>
      <c r="L1638" s="45" t="str">
        <f>IFERROR(VLOOKUP(B1638,'Pre-Summary'!$CU$6:$CW$36,3,FALSE),"")</f>
        <v/>
      </c>
      <c r="M1638" s="45" t="str">
        <f>IFERROR(VLOOKUP(B1638,'Pre-Summary'!$BW$6:$BY$58,2,FALSE),"")</f>
        <v/>
      </c>
      <c r="N1638" s="45" t="str">
        <f>IFERROR(VLOOKUP(B1638,'Pre-Summary'!$CD$6:$CF$64,2,FALSE),"")</f>
        <v/>
      </c>
      <c r="O1638" s="99">
        <f>IFERROR(VLOOKUP(B1638,'Pre-Summary'!$BO$6:$BQ$48,3, FALSE),O1637)</f>
        <v>1</v>
      </c>
      <c r="P1638" s="99">
        <f>IFERROR(VLOOKUP(B1638,'Pre-Summary'!$BS$6:$BU$35,3,FALSE),P1637)</f>
        <v>0.3</v>
      </c>
      <c r="Q1638" s="54">
        <f t="shared" si="75"/>
        <v>3.3333333333333335</v>
      </c>
      <c r="R1638" s="53">
        <f>IFERROR(VLOOKUP(B1638,'Pre-Summary'!$BG$6:$BM$44,7,FALSE),R1639)</f>
        <v>8.3576993058106674E-2</v>
      </c>
      <c r="S1638" s="53">
        <f>IFERROR(VLOOKUP(B1638,'Pre-Summary'!$BG$6:$BM$44,6,FALSE),S1639)</f>
        <v>0.10174646781791266</v>
      </c>
      <c r="T1638" s="45" t="str">
        <f>IFERROR(VLOOKUP(B1638,'Pre-Summary'!$Y$6:$AC$83, 3,FALSE),"")</f>
        <v/>
      </c>
      <c r="U1638" s="45" t="str">
        <f>IFERROR(VLOOKUP(B1638,'Pre-Summary'!$Y$6:$AC$83, 4,FALSE),"")</f>
        <v/>
      </c>
      <c r="V1638" t="str">
        <f>IFERROR(VLOOKUP(B1638,'Pre-Summary'!$Y$6:$AC$83, 5,FALSE),"")</f>
        <v/>
      </c>
      <c r="W1638" s="45" t="str">
        <f>IFERROR(VLOOKUP(B1638,'Pre-Summary'!$Y$6:$AD$83,6,FALSE),"")</f>
        <v/>
      </c>
      <c r="X1638" t="str">
        <f>IFERROR(VLOOKUP('Pre-Summary'!$DB$6:$DD$63,3,FALSE),"")</f>
        <v/>
      </c>
      <c r="Y1638" t="str">
        <f>IFERROR(VLOOKUP(B1638,'Pre-Summary'!$CR$6:$CT$36,3,FALSE),"")</f>
        <v/>
      </c>
      <c r="Z1638" s="45" t="str">
        <f>IFERROR(VLOOKUP(B1638,'Pre-Summary'!$BZ$6:$CB$63,2,FALSE),"")</f>
        <v/>
      </c>
      <c r="AA1638" s="45" t="str">
        <f>IFERROR(VLOOKUP(B1638,'Pre-Summary'!$CG$6:$CI$70,2,FALSE),"")</f>
        <v/>
      </c>
      <c r="AB1638" s="99">
        <f>IFERROR(VLOOKUP(B1638,'Pre-Summary'!$A$6:$P$178,9,FALSE),AB1639)</f>
        <v>0.30570379928315466</v>
      </c>
      <c r="AC1638" s="10">
        <f>IFERROR(VLOOKUP(Summary!B1638,'Pre-Summary'!$A$6:$P$184,5, FALSE)/100,AC1639)</f>
        <v>0.94147400000000003</v>
      </c>
      <c r="AD1638" s="10">
        <f>IFERROR(VLOOKUP(Summary!B1638,'Pre-Summary'!$A$6:$P$184,3, FALSE)/100,AD1639)</f>
        <v>1.8381333333333333E-2</v>
      </c>
      <c r="AE1638" s="10">
        <f>IFERROR(VLOOKUP(Summary!B1638,'Pre-Summary'!$A$6:$P$184,7, FALSE)/100,AE1639)</f>
        <v>4.0145E-2</v>
      </c>
      <c r="AF1638" s="99">
        <f t="shared" si="76"/>
        <v>5.6192434358900934E-3</v>
      </c>
      <c r="AG1638" s="99">
        <f t="shared" si="77"/>
        <v>1.2272479022222244E-2</v>
      </c>
      <c r="AH1638" s="10" t="str">
        <f>IFERROR(VLOOKUP(B1638,'Pre-Summary'!$AZ$6:$BE$65,3,FALSE),"")</f>
        <v/>
      </c>
      <c r="AI1638" s="10" t="str">
        <f>IFERROR(VLOOKUP(B1638,'Pre-Summary'!$AZ$6:$BE$65,5,FALSE),"")</f>
        <v/>
      </c>
      <c r="AJ1638" s="10" t="str">
        <f>IFERROR(VLOOKUP(B1638,'Pre-Summary'!$AZ$6:$BE$65,4,FALSE),"")</f>
        <v/>
      </c>
      <c r="AK1638" s="10" t="str">
        <f>IFERROR(VLOOKUP(B1638,'Pre-Summary'!$AZ$6:$BE$65,6,FALSE),"")</f>
        <v/>
      </c>
      <c r="AL1638" s="10" t="str">
        <f>IFERROR(VLOOKUP(B1638,'Pre-Summary'!$BG$6:$BL$44,3,FALSE),"")</f>
        <v/>
      </c>
      <c r="AM1638" s="10" t="str">
        <f>IFERROR(VLOOKUP(B1638,'Pre-Summary'!$BG$6:$BL$44,4,FALSE),"")</f>
        <v/>
      </c>
    </row>
    <row r="1639" spans="2:39" ht="15" customHeight="1" x14ac:dyDescent="0.3">
      <c r="B1639">
        <v>163.6</v>
      </c>
      <c r="C1639" t="str">
        <f>IFERROR(VLOOKUP(B1639,'Pre-Summary'!$DI$6:$DM$23,4,FALSE),"")</f>
        <v/>
      </c>
      <c r="D1639" s="10" t="str">
        <f>IFERROR(VLOOKUP(B1639,'Pre-Summary'!$AT$6:$AX$14,5,FALSE),D1638)</f>
        <v>Wolfe v3: went back to modified wolfe + EDTA and switched CuSO4 to CUCl2</v>
      </c>
      <c r="E1639" s="10" t="str">
        <f>IFERROR(VLOOKUP(B1639,'Pre-Summary'!$AT$6:$AX$15,4,FALSE),"")</f>
        <v/>
      </c>
      <c r="F1639">
        <f>IFERROR(VLOOKUP(B1639,'Pre-Summary'!$AL$6:$AQ$13,6,FALSE),F1638)</f>
        <v>5.9405263157894746E-2</v>
      </c>
      <c r="G1639" t="str">
        <f>IFERROR(VLOOKUP(B1639,'Pre-Summary'!$AE$6:$AJ$85,3,FALSE),"")</f>
        <v/>
      </c>
      <c r="H1639" t="str">
        <f>IFERROR(VLOOKUP(B1639,'Pre-Summary'!$AE$6:$AJ$85,4,FALSE),"")</f>
        <v/>
      </c>
      <c r="I1639" t="str">
        <f>IFERROR(VLOOKUP(B1639,'Pre-Summary'!$AE$6:$AJ$85,5,FALSE),"")</f>
        <v/>
      </c>
      <c r="J1639" s="45" t="str">
        <f>IFERROR(VLOOKUP(B1639,'Pre-Summary'!$AE$6:$AJ$85,6, FALSE),"")</f>
        <v/>
      </c>
      <c r="K1639" s="45" t="str">
        <f>IFERROR(VLOOKUP(B1639,'Pre-Summary'!$DE$6:$DG$61,3,FALSE),"")</f>
        <v/>
      </c>
      <c r="L1639" s="45" t="str">
        <f>IFERROR(VLOOKUP(B1639,'Pre-Summary'!$CU$6:$CW$36,3,FALSE),"")</f>
        <v/>
      </c>
      <c r="M1639" s="45" t="str">
        <f>IFERROR(VLOOKUP(B1639,'Pre-Summary'!$BW$6:$BY$58,2,FALSE),"")</f>
        <v/>
      </c>
      <c r="N1639" s="45" t="str">
        <f>IFERROR(VLOOKUP(B1639,'Pre-Summary'!$CD$6:$CF$64,2,FALSE),"")</f>
        <v/>
      </c>
      <c r="O1639" s="99">
        <f>IFERROR(VLOOKUP(B1639,'Pre-Summary'!$BO$6:$BQ$48,3, FALSE),O1638)</f>
        <v>1</v>
      </c>
      <c r="P1639" s="99">
        <f>IFERROR(VLOOKUP(B1639,'Pre-Summary'!$BS$6:$BU$35,3,FALSE),P1638)</f>
        <v>0.3</v>
      </c>
      <c r="Q1639" s="54">
        <f t="shared" si="75"/>
        <v>3.3333333333333335</v>
      </c>
      <c r="R1639" s="53">
        <f>IFERROR(VLOOKUP(B1639,'Pre-Summary'!$BG$6:$BM$44,7,FALSE),R1640)</f>
        <v>8.3576993058106674E-2</v>
      </c>
      <c r="S1639" s="53">
        <f>IFERROR(VLOOKUP(B1639,'Pre-Summary'!$BG$6:$BM$44,6,FALSE),S1640)</f>
        <v>0.10174646781791266</v>
      </c>
      <c r="T1639" s="45" t="str">
        <f>IFERROR(VLOOKUP(B1639,'Pre-Summary'!$Y$6:$AC$83, 3,FALSE),"")</f>
        <v/>
      </c>
      <c r="U1639" s="45" t="str">
        <f>IFERROR(VLOOKUP(B1639,'Pre-Summary'!$Y$6:$AC$83, 4,FALSE),"")</f>
        <v/>
      </c>
      <c r="V1639" t="str">
        <f>IFERROR(VLOOKUP(B1639,'Pre-Summary'!$Y$6:$AC$83, 5,FALSE),"")</f>
        <v/>
      </c>
      <c r="W1639" s="45" t="str">
        <f>IFERROR(VLOOKUP(B1639,'Pre-Summary'!$Y$6:$AD$83,6,FALSE),"")</f>
        <v/>
      </c>
      <c r="X1639" t="str">
        <f>IFERROR(VLOOKUP('Pre-Summary'!$DB$6:$DD$63,3,FALSE),"")</f>
        <v/>
      </c>
      <c r="Y1639" t="str">
        <f>IFERROR(VLOOKUP(B1639,'Pre-Summary'!$CR$6:$CT$36,3,FALSE),"")</f>
        <v/>
      </c>
      <c r="Z1639" s="45" t="str">
        <f>IFERROR(VLOOKUP(B1639,'Pre-Summary'!$BZ$6:$CB$63,2,FALSE),"")</f>
        <v/>
      </c>
      <c r="AA1639" s="45" t="str">
        <f>IFERROR(VLOOKUP(B1639,'Pre-Summary'!$CG$6:$CI$70,2,FALSE),"")</f>
        <v/>
      </c>
      <c r="AB1639" s="99">
        <f>IFERROR(VLOOKUP(B1639,'Pre-Summary'!$A$6:$P$178,9,FALSE),AB1640)</f>
        <v>0.30570379928315466</v>
      </c>
      <c r="AC1639" s="10">
        <f>IFERROR(VLOOKUP(Summary!B1639,'Pre-Summary'!$A$6:$P$184,5, FALSE)/100,AC1640)</f>
        <v>0.94147400000000003</v>
      </c>
      <c r="AD1639" s="10">
        <f>IFERROR(VLOOKUP(Summary!B1639,'Pre-Summary'!$A$6:$P$184,3, FALSE)/100,AD1640)</f>
        <v>1.8381333333333333E-2</v>
      </c>
      <c r="AE1639" s="10">
        <f>IFERROR(VLOOKUP(Summary!B1639,'Pre-Summary'!$A$6:$P$184,7, FALSE)/100,AE1640)</f>
        <v>4.0145E-2</v>
      </c>
      <c r="AF1639" s="99">
        <f t="shared" si="76"/>
        <v>5.6192434358900934E-3</v>
      </c>
      <c r="AG1639" s="99">
        <f t="shared" si="77"/>
        <v>1.2272479022222244E-2</v>
      </c>
      <c r="AH1639" s="10" t="str">
        <f>IFERROR(VLOOKUP(B1639,'Pre-Summary'!$AZ$6:$BE$65,3,FALSE),"")</f>
        <v/>
      </c>
      <c r="AI1639" s="10" t="str">
        <f>IFERROR(VLOOKUP(B1639,'Pre-Summary'!$AZ$6:$BE$65,5,FALSE),"")</f>
        <v/>
      </c>
      <c r="AJ1639" s="10" t="str">
        <f>IFERROR(VLOOKUP(B1639,'Pre-Summary'!$AZ$6:$BE$65,4,FALSE),"")</f>
        <v/>
      </c>
      <c r="AK1639" s="10" t="str">
        <f>IFERROR(VLOOKUP(B1639,'Pre-Summary'!$AZ$6:$BE$65,6,FALSE),"")</f>
        <v/>
      </c>
      <c r="AL1639" s="10" t="str">
        <f>IFERROR(VLOOKUP(B1639,'Pre-Summary'!$BG$6:$BL$44,3,FALSE),"")</f>
        <v/>
      </c>
      <c r="AM1639" s="10" t="str">
        <f>IFERROR(VLOOKUP(B1639,'Pre-Summary'!$BG$6:$BL$44,4,FALSE),"")</f>
        <v/>
      </c>
    </row>
    <row r="1640" spans="2:39" ht="15" customHeight="1" x14ac:dyDescent="0.3">
      <c r="B1640">
        <v>163.69999999999999</v>
      </c>
      <c r="C1640" t="str">
        <f>IFERROR(VLOOKUP(B1640,'Pre-Summary'!$DI$6:$DM$23,4,FALSE),"")</f>
        <v/>
      </c>
      <c r="D1640" s="10" t="str">
        <f>IFERROR(VLOOKUP(B1640,'Pre-Summary'!$AT$6:$AX$14,5,FALSE),D1639)</f>
        <v>Wolfe v3: went back to modified wolfe + EDTA and switched CuSO4 to CUCl2</v>
      </c>
      <c r="E1640" s="10" t="str">
        <f>IFERROR(VLOOKUP(B1640,'Pre-Summary'!$AT$6:$AX$15,4,FALSE),"")</f>
        <v/>
      </c>
      <c r="F1640">
        <f>IFERROR(VLOOKUP(B1640,'Pre-Summary'!$AL$6:$AQ$13,6,FALSE),F1639)</f>
        <v>5.9405263157894746E-2</v>
      </c>
      <c r="G1640" t="str">
        <f>IFERROR(VLOOKUP(B1640,'Pre-Summary'!$AE$6:$AJ$85,3,FALSE),"")</f>
        <v/>
      </c>
      <c r="H1640" t="str">
        <f>IFERROR(VLOOKUP(B1640,'Pre-Summary'!$AE$6:$AJ$85,4,FALSE),"")</f>
        <v/>
      </c>
      <c r="I1640" t="str">
        <f>IFERROR(VLOOKUP(B1640,'Pre-Summary'!$AE$6:$AJ$85,5,FALSE),"")</f>
        <v/>
      </c>
      <c r="J1640" s="45" t="str">
        <f>IFERROR(VLOOKUP(B1640,'Pre-Summary'!$AE$6:$AJ$85,6, FALSE),"")</f>
        <v/>
      </c>
      <c r="K1640" s="45" t="str">
        <f>IFERROR(VLOOKUP(B1640,'Pre-Summary'!$DE$6:$DG$61,3,FALSE),"")</f>
        <v/>
      </c>
      <c r="L1640" s="45" t="str">
        <f>IFERROR(VLOOKUP(B1640,'Pre-Summary'!$CU$6:$CW$36,3,FALSE),"")</f>
        <v/>
      </c>
      <c r="M1640" s="45" t="str">
        <f>IFERROR(VLOOKUP(B1640,'Pre-Summary'!$BW$6:$BY$58,2,FALSE),"")</f>
        <v/>
      </c>
      <c r="N1640" s="45" t="str">
        <f>IFERROR(VLOOKUP(B1640,'Pre-Summary'!$CD$6:$CF$64,2,FALSE),"")</f>
        <v/>
      </c>
      <c r="O1640" s="99">
        <f>IFERROR(VLOOKUP(B1640,'Pre-Summary'!$BO$6:$BQ$48,3, FALSE),O1639)</f>
        <v>1</v>
      </c>
      <c r="P1640" s="99">
        <f>IFERROR(VLOOKUP(B1640,'Pre-Summary'!$BS$6:$BU$35,3,FALSE),P1639)</f>
        <v>0.3</v>
      </c>
      <c r="Q1640" s="54">
        <f t="shared" si="75"/>
        <v>3.3333333333333335</v>
      </c>
      <c r="R1640" s="53">
        <f>IFERROR(VLOOKUP(B1640,'Pre-Summary'!$BG$6:$BM$44,7,FALSE),R1641)</f>
        <v>8.3576993058106674E-2</v>
      </c>
      <c r="S1640" s="53">
        <f>IFERROR(VLOOKUP(B1640,'Pre-Summary'!$BG$6:$BM$44,6,FALSE),S1641)</f>
        <v>0.10174646781791266</v>
      </c>
      <c r="T1640" s="45" t="str">
        <f>IFERROR(VLOOKUP(B1640,'Pre-Summary'!$Y$6:$AC$83, 3,FALSE),"")</f>
        <v/>
      </c>
      <c r="U1640" s="45" t="str">
        <f>IFERROR(VLOOKUP(B1640,'Pre-Summary'!$Y$6:$AC$83, 4,FALSE),"")</f>
        <v/>
      </c>
      <c r="V1640" t="str">
        <f>IFERROR(VLOOKUP(B1640,'Pre-Summary'!$Y$6:$AC$83, 5,FALSE),"")</f>
        <v/>
      </c>
      <c r="W1640" s="45" t="str">
        <f>IFERROR(VLOOKUP(B1640,'Pre-Summary'!$Y$6:$AD$83,6,FALSE),"")</f>
        <v/>
      </c>
      <c r="X1640" t="str">
        <f>IFERROR(VLOOKUP('Pre-Summary'!$DB$6:$DD$63,3,FALSE),"")</f>
        <v/>
      </c>
      <c r="Y1640" t="str">
        <f>IFERROR(VLOOKUP(B1640,'Pre-Summary'!$CR$6:$CT$36,3,FALSE),"")</f>
        <v/>
      </c>
      <c r="Z1640" s="45" t="str">
        <f>IFERROR(VLOOKUP(B1640,'Pre-Summary'!$BZ$6:$CB$63,2,FALSE),"")</f>
        <v/>
      </c>
      <c r="AA1640" s="45" t="str">
        <f>IFERROR(VLOOKUP(B1640,'Pre-Summary'!$CG$6:$CI$70,2,FALSE),"")</f>
        <v/>
      </c>
      <c r="AB1640" s="99">
        <f>IFERROR(VLOOKUP(B1640,'Pre-Summary'!$A$6:$P$178,9,FALSE),AB1641)</f>
        <v>0.30570379928315466</v>
      </c>
      <c r="AC1640" s="10">
        <f>IFERROR(VLOOKUP(Summary!B1640,'Pre-Summary'!$A$6:$P$184,5, FALSE)/100,AC1641)</f>
        <v>0.94147400000000003</v>
      </c>
      <c r="AD1640" s="10">
        <f>IFERROR(VLOOKUP(Summary!B1640,'Pre-Summary'!$A$6:$P$184,3, FALSE)/100,AD1641)</f>
        <v>1.8381333333333333E-2</v>
      </c>
      <c r="AE1640" s="10">
        <f>IFERROR(VLOOKUP(Summary!B1640,'Pre-Summary'!$A$6:$P$184,7, FALSE)/100,AE1641)</f>
        <v>4.0145E-2</v>
      </c>
      <c r="AF1640" s="99">
        <f t="shared" si="76"/>
        <v>5.6192434358900934E-3</v>
      </c>
      <c r="AG1640" s="99">
        <f t="shared" si="77"/>
        <v>1.2272479022222244E-2</v>
      </c>
      <c r="AH1640" s="10" t="str">
        <f>IFERROR(VLOOKUP(B1640,'Pre-Summary'!$AZ$6:$BE$65,3,FALSE),"")</f>
        <v/>
      </c>
      <c r="AI1640" s="10" t="str">
        <f>IFERROR(VLOOKUP(B1640,'Pre-Summary'!$AZ$6:$BE$65,5,FALSE),"")</f>
        <v/>
      </c>
      <c r="AJ1640" s="10" t="str">
        <f>IFERROR(VLOOKUP(B1640,'Pre-Summary'!$AZ$6:$BE$65,4,FALSE),"")</f>
        <v/>
      </c>
      <c r="AK1640" s="10" t="str">
        <f>IFERROR(VLOOKUP(B1640,'Pre-Summary'!$AZ$6:$BE$65,6,FALSE),"")</f>
        <v/>
      </c>
      <c r="AL1640" s="10" t="str">
        <f>IFERROR(VLOOKUP(B1640,'Pre-Summary'!$BG$6:$BL$44,3,FALSE),"")</f>
        <v/>
      </c>
      <c r="AM1640" s="10" t="str">
        <f>IFERROR(VLOOKUP(B1640,'Pre-Summary'!$BG$6:$BL$44,4,FALSE),"")</f>
        <v/>
      </c>
    </row>
    <row r="1641" spans="2:39" ht="15" customHeight="1" x14ac:dyDescent="0.3">
      <c r="B1641">
        <v>163.80000000000001</v>
      </c>
      <c r="C1641" t="str">
        <f>IFERROR(VLOOKUP(B1641,'Pre-Summary'!$DI$6:$DM$23,4,FALSE),"")</f>
        <v/>
      </c>
      <c r="D1641" s="10" t="str">
        <f>IFERROR(VLOOKUP(B1641,'Pre-Summary'!$AT$6:$AX$14,5,FALSE),D1640)</f>
        <v>Wolfe v3: went back to modified wolfe + EDTA and switched CuSO4 to CUCl2</v>
      </c>
      <c r="E1641" s="10" t="str">
        <f>IFERROR(VLOOKUP(B1641,'Pre-Summary'!$AT$6:$AX$15,4,FALSE),"")</f>
        <v/>
      </c>
      <c r="F1641">
        <f>IFERROR(VLOOKUP(B1641,'Pre-Summary'!$AL$6:$AQ$13,6,FALSE),F1640)</f>
        <v>5.9405263157894746E-2</v>
      </c>
      <c r="G1641" t="str">
        <f>IFERROR(VLOOKUP(B1641,'Pre-Summary'!$AE$6:$AJ$85,3,FALSE),"")</f>
        <v/>
      </c>
      <c r="H1641" t="str">
        <f>IFERROR(VLOOKUP(B1641,'Pre-Summary'!$AE$6:$AJ$85,4,FALSE),"")</f>
        <v/>
      </c>
      <c r="I1641" t="str">
        <f>IFERROR(VLOOKUP(B1641,'Pre-Summary'!$AE$6:$AJ$85,5,FALSE),"")</f>
        <v/>
      </c>
      <c r="J1641" s="45" t="str">
        <f>IFERROR(VLOOKUP(B1641,'Pre-Summary'!$AE$6:$AJ$85,6, FALSE),"")</f>
        <v/>
      </c>
      <c r="K1641" s="45" t="str">
        <f>IFERROR(VLOOKUP(B1641,'Pre-Summary'!$DE$6:$DG$61,3,FALSE),"")</f>
        <v/>
      </c>
      <c r="L1641" s="45" t="str">
        <f>IFERROR(VLOOKUP(B1641,'Pre-Summary'!$CU$6:$CW$36,3,FALSE),"")</f>
        <v/>
      </c>
      <c r="M1641" s="45" t="str">
        <f>IFERROR(VLOOKUP(B1641,'Pre-Summary'!$BW$6:$BY$58,2,FALSE),"")</f>
        <v/>
      </c>
      <c r="N1641" s="45" t="str">
        <f>IFERROR(VLOOKUP(B1641,'Pre-Summary'!$CD$6:$CF$64,2,FALSE),"")</f>
        <v/>
      </c>
      <c r="O1641" s="99">
        <f>IFERROR(VLOOKUP(B1641,'Pre-Summary'!$BO$6:$BQ$48,3, FALSE),O1640)</f>
        <v>1</v>
      </c>
      <c r="P1641" s="99">
        <f>IFERROR(VLOOKUP(B1641,'Pre-Summary'!$BS$6:$BU$35,3,FALSE),P1640)</f>
        <v>0.3</v>
      </c>
      <c r="Q1641" s="54">
        <f t="shared" si="75"/>
        <v>3.3333333333333335</v>
      </c>
      <c r="R1641" s="53">
        <f>IFERROR(VLOOKUP(B1641,'Pre-Summary'!$BG$6:$BM$44,7,FALSE),R1642)</f>
        <v>8.3576993058106674E-2</v>
      </c>
      <c r="S1641" s="53">
        <f>IFERROR(VLOOKUP(B1641,'Pre-Summary'!$BG$6:$BM$44,6,FALSE),S1642)</f>
        <v>0.10174646781791266</v>
      </c>
      <c r="T1641" s="45" t="str">
        <f>IFERROR(VLOOKUP(B1641,'Pre-Summary'!$Y$6:$AC$83, 3,FALSE),"")</f>
        <v/>
      </c>
      <c r="U1641" s="45" t="str">
        <f>IFERROR(VLOOKUP(B1641,'Pre-Summary'!$Y$6:$AC$83, 4,FALSE),"")</f>
        <v/>
      </c>
      <c r="V1641" t="str">
        <f>IFERROR(VLOOKUP(B1641,'Pre-Summary'!$Y$6:$AC$83, 5,FALSE),"")</f>
        <v/>
      </c>
      <c r="W1641" s="45" t="str">
        <f>IFERROR(VLOOKUP(B1641,'Pre-Summary'!$Y$6:$AD$83,6,FALSE),"")</f>
        <v/>
      </c>
      <c r="X1641" t="str">
        <f>IFERROR(VLOOKUP('Pre-Summary'!$DB$6:$DD$63,3,FALSE),"")</f>
        <v/>
      </c>
      <c r="Y1641" t="str">
        <f>IFERROR(VLOOKUP(B1641,'Pre-Summary'!$CR$6:$CT$36,3,FALSE),"")</f>
        <v/>
      </c>
      <c r="Z1641" s="45" t="str">
        <f>IFERROR(VLOOKUP(B1641,'Pre-Summary'!$BZ$6:$CB$63,2,FALSE),"")</f>
        <v/>
      </c>
      <c r="AA1641" s="45" t="str">
        <f>IFERROR(VLOOKUP(B1641,'Pre-Summary'!$CG$6:$CI$70,2,FALSE),"")</f>
        <v/>
      </c>
      <c r="AB1641" s="99">
        <f>IFERROR(VLOOKUP(B1641,'Pre-Summary'!$A$6:$P$178,9,FALSE),AB1642)</f>
        <v>0.30570379928315466</v>
      </c>
      <c r="AC1641" s="10">
        <f>IFERROR(VLOOKUP(Summary!B1641,'Pre-Summary'!$A$6:$P$184,5, FALSE)/100,AC1642)</f>
        <v>0.94147400000000003</v>
      </c>
      <c r="AD1641" s="10">
        <f>IFERROR(VLOOKUP(Summary!B1641,'Pre-Summary'!$A$6:$P$184,3, FALSE)/100,AD1642)</f>
        <v>1.8381333333333333E-2</v>
      </c>
      <c r="AE1641" s="10">
        <f>IFERROR(VLOOKUP(Summary!B1641,'Pre-Summary'!$A$6:$P$184,7, FALSE)/100,AE1642)</f>
        <v>4.0145E-2</v>
      </c>
      <c r="AF1641" s="99">
        <f t="shared" si="76"/>
        <v>5.6192434358900934E-3</v>
      </c>
      <c r="AG1641" s="99">
        <f t="shared" si="77"/>
        <v>1.2272479022222244E-2</v>
      </c>
      <c r="AH1641" s="10" t="str">
        <f>IFERROR(VLOOKUP(B1641,'Pre-Summary'!$AZ$6:$BE$65,3,FALSE),"")</f>
        <v/>
      </c>
      <c r="AI1641" s="10" t="str">
        <f>IFERROR(VLOOKUP(B1641,'Pre-Summary'!$AZ$6:$BE$65,5,FALSE),"")</f>
        <v/>
      </c>
      <c r="AJ1641" s="10" t="str">
        <f>IFERROR(VLOOKUP(B1641,'Pre-Summary'!$AZ$6:$BE$65,4,FALSE),"")</f>
        <v/>
      </c>
      <c r="AK1641" s="10" t="str">
        <f>IFERROR(VLOOKUP(B1641,'Pre-Summary'!$AZ$6:$BE$65,6,FALSE),"")</f>
        <v/>
      </c>
      <c r="AL1641" s="10" t="str">
        <f>IFERROR(VLOOKUP(B1641,'Pre-Summary'!$BG$6:$BL$44,3,FALSE),"")</f>
        <v/>
      </c>
      <c r="AM1641" s="10" t="str">
        <f>IFERROR(VLOOKUP(B1641,'Pre-Summary'!$BG$6:$BL$44,4,FALSE),"")</f>
        <v/>
      </c>
    </row>
    <row r="1642" spans="2:39" ht="15" customHeight="1" x14ac:dyDescent="0.3">
      <c r="B1642">
        <v>163.9</v>
      </c>
      <c r="C1642" t="str">
        <f>IFERROR(VLOOKUP(B1642,'Pre-Summary'!$DI$6:$DM$23,4,FALSE),"")</f>
        <v/>
      </c>
      <c r="D1642" s="10" t="str">
        <f>IFERROR(VLOOKUP(B1642,'Pre-Summary'!$AT$6:$AX$14,5,FALSE),D1641)</f>
        <v>Wolfe v3: went back to modified wolfe + EDTA and switched CuSO4 to CUCl2</v>
      </c>
      <c r="E1642" s="10" t="str">
        <f>IFERROR(VLOOKUP(B1642,'Pre-Summary'!$AT$6:$AX$15,4,FALSE),"")</f>
        <v/>
      </c>
      <c r="F1642">
        <f>IFERROR(VLOOKUP(B1642,'Pre-Summary'!$AL$6:$AQ$13,6,FALSE),F1641)</f>
        <v>5.9405263157894746E-2</v>
      </c>
      <c r="G1642" t="str">
        <f>IFERROR(VLOOKUP(B1642,'Pre-Summary'!$AE$6:$AJ$85,3,FALSE),"")</f>
        <v/>
      </c>
      <c r="H1642" t="str">
        <f>IFERROR(VLOOKUP(B1642,'Pre-Summary'!$AE$6:$AJ$85,4,FALSE),"")</f>
        <v/>
      </c>
      <c r="I1642" t="str">
        <f>IFERROR(VLOOKUP(B1642,'Pre-Summary'!$AE$6:$AJ$85,5,FALSE),"")</f>
        <v/>
      </c>
      <c r="J1642" s="45" t="str">
        <f>IFERROR(VLOOKUP(B1642,'Pre-Summary'!$AE$6:$AJ$85,6, FALSE),"")</f>
        <v/>
      </c>
      <c r="K1642" s="45" t="str">
        <f>IFERROR(VLOOKUP(B1642,'Pre-Summary'!$DE$6:$DG$61,3,FALSE),"")</f>
        <v/>
      </c>
      <c r="L1642" s="45" t="str">
        <f>IFERROR(VLOOKUP(B1642,'Pre-Summary'!$CU$6:$CW$36,3,FALSE),"")</f>
        <v/>
      </c>
      <c r="M1642" s="45" t="str">
        <f>IFERROR(VLOOKUP(B1642,'Pre-Summary'!$BW$6:$BY$58,2,FALSE),"")</f>
        <v/>
      </c>
      <c r="N1642" s="45" t="str">
        <f>IFERROR(VLOOKUP(B1642,'Pre-Summary'!$CD$6:$CF$64,2,FALSE),"")</f>
        <v/>
      </c>
      <c r="O1642" s="99">
        <f>IFERROR(VLOOKUP(B1642,'Pre-Summary'!$BO$6:$BQ$48,3, FALSE),O1641)</f>
        <v>1</v>
      </c>
      <c r="P1642" s="99">
        <f>IFERROR(VLOOKUP(B1642,'Pre-Summary'!$BS$6:$BU$35,3,FALSE),P1641)</f>
        <v>0.3</v>
      </c>
      <c r="Q1642" s="54">
        <f t="shared" si="75"/>
        <v>3.3333333333333335</v>
      </c>
      <c r="R1642" s="53">
        <f>IFERROR(VLOOKUP(B1642,'Pre-Summary'!$BG$6:$BM$44,7,FALSE),R1643)</f>
        <v>8.3576993058106674E-2</v>
      </c>
      <c r="S1642" s="53">
        <f>IFERROR(VLOOKUP(B1642,'Pre-Summary'!$BG$6:$BM$44,6,FALSE),S1643)</f>
        <v>0.10174646781791266</v>
      </c>
      <c r="T1642" s="45" t="str">
        <f>IFERROR(VLOOKUP(B1642,'Pre-Summary'!$Y$6:$AC$83, 3,FALSE),"")</f>
        <v/>
      </c>
      <c r="U1642" s="45" t="str">
        <f>IFERROR(VLOOKUP(B1642,'Pre-Summary'!$Y$6:$AC$83, 4,FALSE),"")</f>
        <v/>
      </c>
      <c r="V1642" t="str">
        <f>IFERROR(VLOOKUP(B1642,'Pre-Summary'!$Y$6:$AC$83, 5,FALSE),"")</f>
        <v/>
      </c>
      <c r="W1642" s="45" t="str">
        <f>IFERROR(VLOOKUP(B1642,'Pre-Summary'!$Y$6:$AD$83,6,FALSE),"")</f>
        <v/>
      </c>
      <c r="X1642" t="str">
        <f>IFERROR(VLOOKUP('Pre-Summary'!$DB$6:$DD$63,3,FALSE),"")</f>
        <v/>
      </c>
      <c r="Y1642" t="str">
        <f>IFERROR(VLOOKUP(B1642,'Pre-Summary'!$CR$6:$CT$36,3,FALSE),"")</f>
        <v/>
      </c>
      <c r="Z1642" s="45" t="str">
        <f>IFERROR(VLOOKUP(B1642,'Pre-Summary'!$BZ$6:$CB$63,2,FALSE),"")</f>
        <v/>
      </c>
      <c r="AA1642" s="45" t="str">
        <f>IFERROR(VLOOKUP(B1642,'Pre-Summary'!$CG$6:$CI$70,2,FALSE),"")</f>
        <v/>
      </c>
      <c r="AB1642" s="99">
        <f>IFERROR(VLOOKUP(B1642,'Pre-Summary'!$A$6:$P$178,9,FALSE),AB1643)</f>
        <v>0.30570379928315466</v>
      </c>
      <c r="AC1642" s="10">
        <f>IFERROR(VLOOKUP(Summary!B1642,'Pre-Summary'!$A$6:$P$184,5, FALSE)/100,AC1643)</f>
        <v>0.94147400000000003</v>
      </c>
      <c r="AD1642" s="10">
        <f>IFERROR(VLOOKUP(Summary!B1642,'Pre-Summary'!$A$6:$P$184,3, FALSE)/100,AD1643)</f>
        <v>1.8381333333333333E-2</v>
      </c>
      <c r="AE1642" s="10">
        <f>IFERROR(VLOOKUP(Summary!B1642,'Pre-Summary'!$A$6:$P$184,7, FALSE)/100,AE1643)</f>
        <v>4.0145E-2</v>
      </c>
      <c r="AF1642" s="99">
        <f t="shared" si="76"/>
        <v>5.6192434358900934E-3</v>
      </c>
      <c r="AG1642" s="99">
        <f t="shared" si="77"/>
        <v>1.2272479022222244E-2</v>
      </c>
      <c r="AH1642" s="10" t="str">
        <f>IFERROR(VLOOKUP(B1642,'Pre-Summary'!$AZ$6:$BE$65,3,FALSE),"")</f>
        <v/>
      </c>
      <c r="AI1642" s="10" t="str">
        <f>IFERROR(VLOOKUP(B1642,'Pre-Summary'!$AZ$6:$BE$65,5,FALSE),"")</f>
        <v/>
      </c>
      <c r="AJ1642" s="10" t="str">
        <f>IFERROR(VLOOKUP(B1642,'Pre-Summary'!$AZ$6:$BE$65,4,FALSE),"")</f>
        <v/>
      </c>
      <c r="AK1642" s="10" t="str">
        <f>IFERROR(VLOOKUP(B1642,'Pre-Summary'!$AZ$6:$BE$65,6,FALSE),"")</f>
        <v/>
      </c>
      <c r="AL1642" s="10" t="str">
        <f>IFERROR(VLOOKUP(B1642,'Pre-Summary'!$BG$6:$BL$44,3,FALSE),"")</f>
        <v/>
      </c>
      <c r="AM1642" s="10" t="str">
        <f>IFERROR(VLOOKUP(B1642,'Pre-Summary'!$BG$6:$BL$44,4,FALSE),"")</f>
        <v/>
      </c>
    </row>
    <row r="1643" spans="2:39" ht="15" customHeight="1" x14ac:dyDescent="0.3">
      <c r="B1643">
        <v>164</v>
      </c>
      <c r="C1643" t="str">
        <f>IFERROR(VLOOKUP(B1643,'Pre-Summary'!$DI$6:$DM$23,4,FALSE),"")</f>
        <v/>
      </c>
      <c r="D1643" s="10" t="str">
        <f>IFERROR(VLOOKUP(B1643,'Pre-Summary'!$AT$6:$AX$14,5,FALSE),D1642)</f>
        <v>Wolfe v3: went back to modified wolfe + EDTA and switched CuSO4 to CUCl2</v>
      </c>
      <c r="E1643" s="10" t="str">
        <f>IFERROR(VLOOKUP(B1643,'Pre-Summary'!$AT$6:$AX$15,4,FALSE),"")</f>
        <v/>
      </c>
      <c r="F1643">
        <f>IFERROR(VLOOKUP(B1643,'Pre-Summary'!$AL$6:$AQ$13,6,FALSE),F1642)</f>
        <v>5.9405263157894746E-2</v>
      </c>
      <c r="G1643" t="str">
        <f>IFERROR(VLOOKUP(B1643,'Pre-Summary'!$AE$6:$AJ$85,3,FALSE),"")</f>
        <v/>
      </c>
      <c r="H1643" t="str">
        <f>IFERROR(VLOOKUP(B1643,'Pre-Summary'!$AE$6:$AJ$85,4,FALSE),"")</f>
        <v/>
      </c>
      <c r="I1643" t="str">
        <f>IFERROR(VLOOKUP(B1643,'Pre-Summary'!$AE$6:$AJ$85,5,FALSE),"")</f>
        <v/>
      </c>
      <c r="J1643" s="45" t="str">
        <f>IFERROR(VLOOKUP(B1643,'Pre-Summary'!$AE$6:$AJ$85,6, FALSE),"")</f>
        <v/>
      </c>
      <c r="K1643" s="45" t="str">
        <f>IFERROR(VLOOKUP(B1643,'Pre-Summary'!$DE$6:$DG$61,3,FALSE),"")</f>
        <v/>
      </c>
      <c r="L1643" s="45" t="str">
        <f>IFERROR(VLOOKUP(B1643,'Pre-Summary'!$CU$6:$CW$36,3,FALSE),"")</f>
        <v/>
      </c>
      <c r="M1643" s="45" t="str">
        <f>IFERROR(VLOOKUP(B1643,'Pre-Summary'!$BW$6:$BY$58,2,FALSE),"")</f>
        <v/>
      </c>
      <c r="N1643" s="45" t="str">
        <f>IFERROR(VLOOKUP(B1643,'Pre-Summary'!$CD$6:$CF$64,2,FALSE),"")</f>
        <v/>
      </c>
      <c r="O1643" s="99">
        <f>IFERROR(VLOOKUP(B1643,'Pre-Summary'!$BO$6:$BQ$48,3, FALSE),O1642)</f>
        <v>1</v>
      </c>
      <c r="P1643" s="99">
        <f>IFERROR(VLOOKUP(B1643,'Pre-Summary'!$BS$6:$BU$35,3,FALSE),P1642)</f>
        <v>0.3</v>
      </c>
      <c r="Q1643" s="54">
        <f t="shared" si="75"/>
        <v>3.3333333333333335</v>
      </c>
      <c r="R1643" s="53">
        <f>IFERROR(VLOOKUP(B1643,'Pre-Summary'!$BG$6:$BM$44,7,FALSE),R1644)</f>
        <v>8.3576993058106674E-2</v>
      </c>
      <c r="S1643" s="53">
        <f>IFERROR(VLOOKUP(B1643,'Pre-Summary'!$BG$6:$BM$44,6,FALSE),S1644)</f>
        <v>0.10174646781791266</v>
      </c>
      <c r="T1643" s="45" t="str">
        <f>IFERROR(VLOOKUP(B1643,'Pre-Summary'!$Y$6:$AC$83, 3,FALSE),"")</f>
        <v/>
      </c>
      <c r="U1643" s="45" t="str">
        <f>IFERROR(VLOOKUP(B1643,'Pre-Summary'!$Y$6:$AC$83, 4,FALSE),"")</f>
        <v/>
      </c>
      <c r="V1643" t="str">
        <f>IFERROR(VLOOKUP(B1643,'Pre-Summary'!$Y$6:$AC$83, 5,FALSE),"")</f>
        <v/>
      </c>
      <c r="W1643" s="45" t="str">
        <f>IFERROR(VLOOKUP(B1643,'Pre-Summary'!$Y$6:$AD$83,6,FALSE),"")</f>
        <v/>
      </c>
      <c r="X1643" t="str">
        <f>IFERROR(VLOOKUP('Pre-Summary'!$DB$6:$DD$63,3,FALSE),"")</f>
        <v/>
      </c>
      <c r="Y1643" t="str">
        <f>IFERROR(VLOOKUP(B1643,'Pre-Summary'!$CR$6:$CT$36,3,FALSE),"")</f>
        <v/>
      </c>
      <c r="Z1643" s="45" t="str">
        <f>IFERROR(VLOOKUP(B1643,'Pre-Summary'!$BZ$6:$CB$63,2,FALSE),"")</f>
        <v/>
      </c>
      <c r="AA1643" s="45" t="str">
        <f>IFERROR(VLOOKUP(B1643,'Pre-Summary'!$CG$6:$CI$70,2,FALSE),"")</f>
        <v/>
      </c>
      <c r="AB1643" s="99">
        <f>IFERROR(VLOOKUP(B1643,'Pre-Summary'!$A$6:$P$178,9,FALSE),AB1644)</f>
        <v>0.2823945757993872</v>
      </c>
      <c r="AC1643" s="10">
        <f>IFERROR(VLOOKUP(Summary!B1643,'Pre-Summary'!$A$6:$P$184,5, FALSE)/100,AC1644)</f>
        <v>0.95646433333333336</v>
      </c>
      <c r="AD1643" s="10">
        <f>IFERROR(VLOOKUP(Summary!B1643,'Pre-Summary'!$A$6:$P$184,3, FALSE)/100,AD1644)</f>
        <v>1.3388333333333334E-2</v>
      </c>
      <c r="AE1643" s="10">
        <f>IFERROR(VLOOKUP(Summary!B1643,'Pre-Summary'!$A$6:$P$184,7, FALSE)/100,AE1644)</f>
        <v>3.0147E-2</v>
      </c>
      <c r="AF1643" s="99">
        <f t="shared" si="76"/>
        <v>3.7807927123274625E-3</v>
      </c>
      <c r="AG1643" s="99">
        <f t="shared" si="77"/>
        <v>8.5133492766241263E-3</v>
      </c>
      <c r="AH1643" s="10" t="str">
        <f>IFERROR(VLOOKUP(B1643,'Pre-Summary'!$AZ$6:$BE$65,3,FALSE),"")</f>
        <v/>
      </c>
      <c r="AI1643" s="10" t="str">
        <f>IFERROR(VLOOKUP(B1643,'Pre-Summary'!$AZ$6:$BE$65,5,FALSE),"")</f>
        <v/>
      </c>
      <c r="AJ1643" s="10" t="str">
        <f>IFERROR(VLOOKUP(B1643,'Pre-Summary'!$AZ$6:$BE$65,4,FALSE),"")</f>
        <v/>
      </c>
      <c r="AK1643" s="10" t="str">
        <f>IFERROR(VLOOKUP(B1643,'Pre-Summary'!$AZ$6:$BE$65,6,FALSE),"")</f>
        <v/>
      </c>
      <c r="AL1643" s="10" t="str">
        <f>IFERROR(VLOOKUP(B1643,'Pre-Summary'!$BG$6:$BL$44,3,FALSE),"")</f>
        <v/>
      </c>
      <c r="AM1643" s="10" t="str">
        <f>IFERROR(VLOOKUP(B1643,'Pre-Summary'!$BG$6:$BL$44,4,FALSE),"")</f>
        <v/>
      </c>
    </row>
    <row r="1644" spans="2:39" ht="15" customHeight="1" x14ac:dyDescent="0.3">
      <c r="B1644">
        <v>164.1</v>
      </c>
      <c r="C1644" t="str">
        <f>IFERROR(VLOOKUP(B1644,'Pre-Summary'!$DI$6:$DM$23,4,FALSE),"")</f>
        <v/>
      </c>
      <c r="D1644" s="10" t="str">
        <f>IFERROR(VLOOKUP(B1644,'Pre-Summary'!$AT$6:$AX$14,5,FALSE),D1643)</f>
        <v>Wolfe v3: went back to modified wolfe + EDTA and switched CuSO4 to CUCl2</v>
      </c>
      <c r="E1644" s="10" t="str">
        <f>IFERROR(VLOOKUP(B1644,'Pre-Summary'!$AT$6:$AX$15,4,FALSE),"")</f>
        <v/>
      </c>
      <c r="F1644">
        <f>IFERROR(VLOOKUP(B1644,'Pre-Summary'!$AL$6:$AQ$13,6,FALSE),F1643)</f>
        <v>5.9405263157894746E-2</v>
      </c>
      <c r="G1644" t="str">
        <f>IFERROR(VLOOKUP(B1644,'Pre-Summary'!$AE$6:$AJ$85,3,FALSE),"")</f>
        <v/>
      </c>
      <c r="H1644" t="str">
        <f>IFERROR(VLOOKUP(B1644,'Pre-Summary'!$AE$6:$AJ$85,4,FALSE),"")</f>
        <v/>
      </c>
      <c r="I1644" t="str">
        <f>IFERROR(VLOOKUP(B1644,'Pre-Summary'!$AE$6:$AJ$85,5,FALSE),"")</f>
        <v/>
      </c>
      <c r="J1644" s="45" t="str">
        <f>IFERROR(VLOOKUP(B1644,'Pre-Summary'!$AE$6:$AJ$85,6, FALSE),"")</f>
        <v/>
      </c>
      <c r="K1644" s="45" t="str">
        <f>IFERROR(VLOOKUP(B1644,'Pre-Summary'!$DE$6:$DG$61,3,FALSE),"")</f>
        <v/>
      </c>
      <c r="L1644" s="45" t="str">
        <f>IFERROR(VLOOKUP(B1644,'Pre-Summary'!$CU$6:$CW$36,3,FALSE),"")</f>
        <v/>
      </c>
      <c r="M1644" s="45" t="str">
        <f>IFERROR(VLOOKUP(B1644,'Pre-Summary'!$BW$6:$BY$58,2,FALSE),"")</f>
        <v/>
      </c>
      <c r="N1644" s="45" t="str">
        <f>IFERROR(VLOOKUP(B1644,'Pre-Summary'!$CD$6:$CF$64,2,FALSE),"")</f>
        <v/>
      </c>
      <c r="O1644" s="99">
        <f>IFERROR(VLOOKUP(B1644,'Pre-Summary'!$BO$6:$BQ$48,3, FALSE),O1643)</f>
        <v>1</v>
      </c>
      <c r="P1644" s="99">
        <f>IFERROR(VLOOKUP(B1644,'Pre-Summary'!$BS$6:$BU$35,3,FALSE),P1643)</f>
        <v>0.3</v>
      </c>
      <c r="Q1644" s="54">
        <f t="shared" si="75"/>
        <v>3.3333333333333335</v>
      </c>
      <c r="R1644" s="53">
        <f>IFERROR(VLOOKUP(B1644,'Pre-Summary'!$BG$6:$BM$44,7,FALSE),R1645)</f>
        <v>8.3576993058106674E-2</v>
      </c>
      <c r="S1644" s="53">
        <f>IFERROR(VLOOKUP(B1644,'Pre-Summary'!$BG$6:$BM$44,6,FALSE),S1645)</f>
        <v>0.10174646781791266</v>
      </c>
      <c r="T1644" s="45" t="str">
        <f>IFERROR(VLOOKUP(B1644,'Pre-Summary'!$Y$6:$AC$83, 3,FALSE),"")</f>
        <v/>
      </c>
      <c r="U1644" s="45" t="str">
        <f>IFERROR(VLOOKUP(B1644,'Pre-Summary'!$Y$6:$AC$83, 4,FALSE),"")</f>
        <v/>
      </c>
      <c r="V1644" t="str">
        <f>IFERROR(VLOOKUP(B1644,'Pre-Summary'!$Y$6:$AC$83, 5,FALSE),"")</f>
        <v/>
      </c>
      <c r="W1644" s="45" t="str">
        <f>IFERROR(VLOOKUP(B1644,'Pre-Summary'!$Y$6:$AD$83,6,FALSE),"")</f>
        <v/>
      </c>
      <c r="X1644" t="str">
        <f>IFERROR(VLOOKUP('Pre-Summary'!$DB$6:$DD$63,3,FALSE),"")</f>
        <v/>
      </c>
      <c r="Y1644" t="str">
        <f>IFERROR(VLOOKUP(B1644,'Pre-Summary'!$CR$6:$CT$36,3,FALSE),"")</f>
        <v/>
      </c>
      <c r="Z1644" s="45" t="str">
        <f>IFERROR(VLOOKUP(B1644,'Pre-Summary'!$BZ$6:$CB$63,2,FALSE),"")</f>
        <v/>
      </c>
      <c r="AA1644" s="45" t="str">
        <f>IFERROR(VLOOKUP(B1644,'Pre-Summary'!$CG$6:$CI$70,2,FALSE),"")</f>
        <v/>
      </c>
      <c r="AB1644" s="99">
        <f>IFERROR(VLOOKUP(B1644,'Pre-Summary'!$A$6:$P$178,9,FALSE),AB1645)</f>
        <v>0.2823945757993872</v>
      </c>
      <c r="AC1644" s="10">
        <f>IFERROR(VLOOKUP(Summary!B1644,'Pre-Summary'!$A$6:$P$184,5, FALSE)/100,AC1645)</f>
        <v>0.95646433333333336</v>
      </c>
      <c r="AD1644" s="10">
        <f>IFERROR(VLOOKUP(Summary!B1644,'Pre-Summary'!$A$6:$P$184,3, FALSE)/100,AD1645)</f>
        <v>1.3388333333333334E-2</v>
      </c>
      <c r="AE1644" s="10">
        <f>IFERROR(VLOOKUP(Summary!B1644,'Pre-Summary'!$A$6:$P$184,7, FALSE)/100,AE1645)</f>
        <v>3.0147E-2</v>
      </c>
      <c r="AF1644" s="99">
        <f t="shared" si="76"/>
        <v>3.7807927123274625E-3</v>
      </c>
      <c r="AG1644" s="99">
        <f t="shared" si="77"/>
        <v>8.5133492766241263E-3</v>
      </c>
      <c r="AH1644" s="10" t="str">
        <f>IFERROR(VLOOKUP(B1644,'Pre-Summary'!$AZ$6:$BE$65,3,FALSE),"")</f>
        <v/>
      </c>
      <c r="AI1644" s="10" t="str">
        <f>IFERROR(VLOOKUP(B1644,'Pre-Summary'!$AZ$6:$BE$65,5,FALSE),"")</f>
        <v/>
      </c>
      <c r="AJ1644" s="10" t="str">
        <f>IFERROR(VLOOKUP(B1644,'Pre-Summary'!$AZ$6:$BE$65,4,FALSE),"")</f>
        <v/>
      </c>
      <c r="AK1644" s="10" t="str">
        <f>IFERROR(VLOOKUP(B1644,'Pre-Summary'!$AZ$6:$BE$65,6,FALSE),"")</f>
        <v/>
      </c>
      <c r="AL1644" s="10" t="str">
        <f>IFERROR(VLOOKUP(B1644,'Pre-Summary'!$BG$6:$BL$44,3,FALSE),"")</f>
        <v/>
      </c>
      <c r="AM1644" s="10" t="str">
        <f>IFERROR(VLOOKUP(B1644,'Pre-Summary'!$BG$6:$BL$44,4,FALSE),"")</f>
        <v/>
      </c>
    </row>
    <row r="1645" spans="2:39" ht="15" customHeight="1" x14ac:dyDescent="0.3">
      <c r="B1645">
        <v>164.2</v>
      </c>
      <c r="C1645" t="str">
        <f>IFERROR(VLOOKUP(B1645,'Pre-Summary'!$DI$6:$DM$23,4,FALSE),"")</f>
        <v/>
      </c>
      <c r="D1645" s="10" t="str">
        <f>IFERROR(VLOOKUP(B1645,'Pre-Summary'!$AT$6:$AX$14,5,FALSE),D1644)</f>
        <v>Wolfe v3: went back to modified wolfe + EDTA and switched CuSO4 to CUCl2</v>
      </c>
      <c r="E1645" s="10" t="str">
        <f>IFERROR(VLOOKUP(B1645,'Pre-Summary'!$AT$6:$AX$15,4,FALSE),"")</f>
        <v/>
      </c>
      <c r="F1645">
        <f>IFERROR(VLOOKUP(B1645,'Pre-Summary'!$AL$6:$AQ$13,6,FALSE),F1644)</f>
        <v>5.9405263157894746E-2</v>
      </c>
      <c r="G1645" t="str">
        <f>IFERROR(VLOOKUP(B1645,'Pre-Summary'!$AE$6:$AJ$85,3,FALSE),"")</f>
        <v/>
      </c>
      <c r="H1645" t="str">
        <f>IFERROR(VLOOKUP(B1645,'Pre-Summary'!$AE$6:$AJ$85,4,FALSE),"")</f>
        <v/>
      </c>
      <c r="I1645" t="str">
        <f>IFERROR(VLOOKUP(B1645,'Pre-Summary'!$AE$6:$AJ$85,5,FALSE),"")</f>
        <v/>
      </c>
      <c r="J1645" s="45" t="str">
        <f>IFERROR(VLOOKUP(B1645,'Pre-Summary'!$AE$6:$AJ$85,6, FALSE),"")</f>
        <v/>
      </c>
      <c r="K1645" s="45" t="str">
        <f>IFERROR(VLOOKUP(B1645,'Pre-Summary'!$DE$6:$DG$61,3,FALSE),"")</f>
        <v/>
      </c>
      <c r="L1645" s="45" t="str">
        <f>IFERROR(VLOOKUP(B1645,'Pre-Summary'!$CU$6:$CW$36,3,FALSE),"")</f>
        <v/>
      </c>
      <c r="M1645" s="45" t="str">
        <f>IFERROR(VLOOKUP(B1645,'Pre-Summary'!$BW$6:$BY$58,2,FALSE),"")</f>
        <v/>
      </c>
      <c r="N1645" s="45" t="str">
        <f>IFERROR(VLOOKUP(B1645,'Pre-Summary'!$CD$6:$CF$64,2,FALSE),"")</f>
        <v/>
      </c>
      <c r="O1645" s="99">
        <f>IFERROR(VLOOKUP(B1645,'Pre-Summary'!$BO$6:$BQ$48,3, FALSE),O1644)</f>
        <v>1</v>
      </c>
      <c r="P1645" s="99">
        <f>IFERROR(VLOOKUP(B1645,'Pre-Summary'!$BS$6:$BU$35,3,FALSE),P1644)</f>
        <v>0.3</v>
      </c>
      <c r="Q1645" s="54">
        <f t="shared" si="75"/>
        <v>3.3333333333333335</v>
      </c>
      <c r="R1645" s="53">
        <f>IFERROR(VLOOKUP(B1645,'Pre-Summary'!$BG$6:$BM$44,7,FALSE),R1646)</f>
        <v>8.3576993058106674E-2</v>
      </c>
      <c r="S1645" s="53">
        <f>IFERROR(VLOOKUP(B1645,'Pre-Summary'!$BG$6:$BM$44,6,FALSE),S1646)</f>
        <v>0.10174646781791266</v>
      </c>
      <c r="T1645" s="45" t="str">
        <f>IFERROR(VLOOKUP(B1645,'Pre-Summary'!$Y$6:$AC$83, 3,FALSE),"")</f>
        <v/>
      </c>
      <c r="U1645" s="45" t="str">
        <f>IFERROR(VLOOKUP(B1645,'Pre-Summary'!$Y$6:$AC$83, 4,FALSE),"")</f>
        <v/>
      </c>
      <c r="V1645" t="str">
        <f>IFERROR(VLOOKUP(B1645,'Pre-Summary'!$Y$6:$AC$83, 5,FALSE),"")</f>
        <v/>
      </c>
      <c r="W1645" s="45" t="str">
        <f>IFERROR(VLOOKUP(B1645,'Pre-Summary'!$Y$6:$AD$83,6,FALSE),"")</f>
        <v/>
      </c>
      <c r="X1645" t="str">
        <f>IFERROR(VLOOKUP('Pre-Summary'!$DB$6:$DD$63,3,FALSE),"")</f>
        <v/>
      </c>
      <c r="Y1645" t="str">
        <f>IFERROR(VLOOKUP(B1645,'Pre-Summary'!$CR$6:$CT$36,3,FALSE),"")</f>
        <v/>
      </c>
      <c r="Z1645" s="45" t="str">
        <f>IFERROR(VLOOKUP(B1645,'Pre-Summary'!$BZ$6:$CB$63,2,FALSE),"")</f>
        <v/>
      </c>
      <c r="AA1645" s="45" t="str">
        <f>IFERROR(VLOOKUP(B1645,'Pre-Summary'!$CG$6:$CI$70,2,FALSE),"")</f>
        <v/>
      </c>
      <c r="AB1645" s="99">
        <f>IFERROR(VLOOKUP(B1645,'Pre-Summary'!$A$6:$P$178,9,FALSE),AB1646)</f>
        <v>0.2823945757993872</v>
      </c>
      <c r="AC1645" s="10">
        <f>IFERROR(VLOOKUP(Summary!B1645,'Pre-Summary'!$A$6:$P$184,5, FALSE)/100,AC1646)</f>
        <v>0.95646433333333336</v>
      </c>
      <c r="AD1645" s="10">
        <f>IFERROR(VLOOKUP(Summary!B1645,'Pre-Summary'!$A$6:$P$184,3, FALSE)/100,AD1646)</f>
        <v>1.3388333333333334E-2</v>
      </c>
      <c r="AE1645" s="10">
        <f>IFERROR(VLOOKUP(Summary!B1645,'Pre-Summary'!$A$6:$P$184,7, FALSE)/100,AE1646)</f>
        <v>3.0147E-2</v>
      </c>
      <c r="AF1645" s="99">
        <f t="shared" si="76"/>
        <v>3.7807927123274625E-3</v>
      </c>
      <c r="AG1645" s="99">
        <f t="shared" si="77"/>
        <v>8.5133492766241263E-3</v>
      </c>
      <c r="AH1645" s="10" t="str">
        <f>IFERROR(VLOOKUP(B1645,'Pre-Summary'!$AZ$6:$BE$65,3,FALSE),"")</f>
        <v/>
      </c>
      <c r="AI1645" s="10" t="str">
        <f>IFERROR(VLOOKUP(B1645,'Pre-Summary'!$AZ$6:$BE$65,5,FALSE),"")</f>
        <v/>
      </c>
      <c r="AJ1645" s="10" t="str">
        <f>IFERROR(VLOOKUP(B1645,'Pre-Summary'!$AZ$6:$BE$65,4,FALSE),"")</f>
        <v/>
      </c>
      <c r="AK1645" s="10" t="str">
        <f>IFERROR(VLOOKUP(B1645,'Pre-Summary'!$AZ$6:$BE$65,6,FALSE),"")</f>
        <v/>
      </c>
      <c r="AL1645" s="10" t="str">
        <f>IFERROR(VLOOKUP(B1645,'Pre-Summary'!$BG$6:$BL$44,3,FALSE),"")</f>
        <v/>
      </c>
      <c r="AM1645" s="10" t="str">
        <f>IFERROR(VLOOKUP(B1645,'Pre-Summary'!$BG$6:$BL$44,4,FALSE),"")</f>
        <v/>
      </c>
    </row>
    <row r="1646" spans="2:39" ht="15" customHeight="1" x14ac:dyDescent="0.3">
      <c r="B1646">
        <v>164.3</v>
      </c>
      <c r="C1646" t="str">
        <f>IFERROR(VLOOKUP(B1646,'Pre-Summary'!$DI$6:$DM$23,4,FALSE),"")</f>
        <v/>
      </c>
      <c r="D1646" s="10" t="str">
        <f>IFERROR(VLOOKUP(B1646,'Pre-Summary'!$AT$6:$AX$14,5,FALSE),D1645)</f>
        <v>Wolfe v3: went back to modified wolfe + EDTA and switched CuSO4 to CUCl2</v>
      </c>
      <c r="E1646" s="10" t="str">
        <f>IFERROR(VLOOKUP(B1646,'Pre-Summary'!$AT$6:$AX$15,4,FALSE),"")</f>
        <v/>
      </c>
      <c r="F1646">
        <f>IFERROR(VLOOKUP(B1646,'Pre-Summary'!$AL$6:$AQ$13,6,FALSE),F1645)</f>
        <v>5.9405263157894746E-2</v>
      </c>
      <c r="G1646" t="str">
        <f>IFERROR(VLOOKUP(B1646,'Pre-Summary'!$AE$6:$AJ$85,3,FALSE),"")</f>
        <v/>
      </c>
      <c r="H1646" t="str">
        <f>IFERROR(VLOOKUP(B1646,'Pre-Summary'!$AE$6:$AJ$85,4,FALSE),"")</f>
        <v/>
      </c>
      <c r="I1646" t="str">
        <f>IFERROR(VLOOKUP(B1646,'Pre-Summary'!$AE$6:$AJ$85,5,FALSE),"")</f>
        <v/>
      </c>
      <c r="J1646" s="45" t="str">
        <f>IFERROR(VLOOKUP(B1646,'Pre-Summary'!$AE$6:$AJ$85,6, FALSE),"")</f>
        <v/>
      </c>
      <c r="K1646" s="45" t="str">
        <f>IFERROR(VLOOKUP(B1646,'Pre-Summary'!$DE$6:$DG$61,3,FALSE),"")</f>
        <v/>
      </c>
      <c r="L1646" s="45" t="str">
        <f>IFERROR(VLOOKUP(B1646,'Pre-Summary'!$CU$6:$CW$36,3,FALSE),"")</f>
        <v/>
      </c>
      <c r="M1646" s="45" t="str">
        <f>IFERROR(VLOOKUP(B1646,'Pre-Summary'!$BW$6:$BY$58,2,FALSE),"")</f>
        <v/>
      </c>
      <c r="N1646" s="45" t="str">
        <f>IFERROR(VLOOKUP(B1646,'Pre-Summary'!$CD$6:$CF$64,2,FALSE),"")</f>
        <v/>
      </c>
      <c r="O1646" s="99">
        <f>IFERROR(VLOOKUP(B1646,'Pre-Summary'!$BO$6:$BQ$48,3, FALSE),O1645)</f>
        <v>1</v>
      </c>
      <c r="P1646" s="99">
        <f>IFERROR(VLOOKUP(B1646,'Pre-Summary'!$BS$6:$BU$35,3,FALSE),P1645)</f>
        <v>0.3</v>
      </c>
      <c r="Q1646" s="54">
        <f t="shared" si="75"/>
        <v>3.3333333333333335</v>
      </c>
      <c r="R1646" s="53">
        <f>IFERROR(VLOOKUP(B1646,'Pre-Summary'!$BG$6:$BM$44,7,FALSE),R1647)</f>
        <v>8.3576993058106674E-2</v>
      </c>
      <c r="S1646" s="53">
        <f>IFERROR(VLOOKUP(B1646,'Pre-Summary'!$BG$6:$BM$44,6,FALSE),S1647)</f>
        <v>0.10174646781791266</v>
      </c>
      <c r="T1646" s="45" t="str">
        <f>IFERROR(VLOOKUP(B1646,'Pre-Summary'!$Y$6:$AC$83, 3,FALSE),"")</f>
        <v/>
      </c>
      <c r="U1646" s="45" t="str">
        <f>IFERROR(VLOOKUP(B1646,'Pre-Summary'!$Y$6:$AC$83, 4,FALSE),"")</f>
        <v/>
      </c>
      <c r="V1646" t="str">
        <f>IFERROR(VLOOKUP(B1646,'Pre-Summary'!$Y$6:$AC$83, 5,FALSE),"")</f>
        <v/>
      </c>
      <c r="W1646" s="45" t="str">
        <f>IFERROR(VLOOKUP(B1646,'Pre-Summary'!$Y$6:$AD$83,6,FALSE),"")</f>
        <v/>
      </c>
      <c r="X1646" t="str">
        <f>IFERROR(VLOOKUP('Pre-Summary'!$DB$6:$DD$63,3,FALSE),"")</f>
        <v/>
      </c>
      <c r="Y1646" t="str">
        <f>IFERROR(VLOOKUP(B1646,'Pre-Summary'!$CR$6:$CT$36,3,FALSE),"")</f>
        <v/>
      </c>
      <c r="Z1646" s="45" t="str">
        <f>IFERROR(VLOOKUP(B1646,'Pre-Summary'!$BZ$6:$CB$63,2,FALSE),"")</f>
        <v/>
      </c>
      <c r="AA1646" s="45" t="str">
        <f>IFERROR(VLOOKUP(B1646,'Pre-Summary'!$CG$6:$CI$70,2,FALSE),"")</f>
        <v/>
      </c>
      <c r="AB1646" s="99">
        <f>IFERROR(VLOOKUP(B1646,'Pre-Summary'!$A$6:$P$178,9,FALSE),AB1647)</f>
        <v>0.2823945757993872</v>
      </c>
      <c r="AC1646" s="10">
        <f>IFERROR(VLOOKUP(Summary!B1646,'Pre-Summary'!$A$6:$P$184,5, FALSE)/100,AC1647)</f>
        <v>0.95646433333333336</v>
      </c>
      <c r="AD1646" s="10">
        <f>IFERROR(VLOOKUP(Summary!B1646,'Pre-Summary'!$A$6:$P$184,3, FALSE)/100,AD1647)</f>
        <v>1.3388333333333334E-2</v>
      </c>
      <c r="AE1646" s="10">
        <f>IFERROR(VLOOKUP(Summary!B1646,'Pre-Summary'!$A$6:$P$184,7, FALSE)/100,AE1647)</f>
        <v>3.0147E-2</v>
      </c>
      <c r="AF1646" s="99">
        <f t="shared" si="76"/>
        <v>3.7807927123274625E-3</v>
      </c>
      <c r="AG1646" s="99">
        <f t="shared" si="77"/>
        <v>8.5133492766241263E-3</v>
      </c>
      <c r="AH1646" s="10" t="str">
        <f>IFERROR(VLOOKUP(B1646,'Pre-Summary'!$AZ$6:$BE$65,3,FALSE),"")</f>
        <v/>
      </c>
      <c r="AI1646" s="10" t="str">
        <f>IFERROR(VLOOKUP(B1646,'Pre-Summary'!$AZ$6:$BE$65,5,FALSE),"")</f>
        <v/>
      </c>
      <c r="AJ1646" s="10" t="str">
        <f>IFERROR(VLOOKUP(B1646,'Pre-Summary'!$AZ$6:$BE$65,4,FALSE),"")</f>
        <v/>
      </c>
      <c r="AK1646" s="10" t="str">
        <f>IFERROR(VLOOKUP(B1646,'Pre-Summary'!$AZ$6:$BE$65,6,FALSE),"")</f>
        <v/>
      </c>
      <c r="AL1646" s="10" t="str">
        <f>IFERROR(VLOOKUP(B1646,'Pre-Summary'!$BG$6:$BL$44,3,FALSE),"")</f>
        <v/>
      </c>
      <c r="AM1646" s="10" t="str">
        <f>IFERROR(VLOOKUP(B1646,'Pre-Summary'!$BG$6:$BL$44,4,FALSE),"")</f>
        <v/>
      </c>
    </row>
    <row r="1647" spans="2:39" ht="15" customHeight="1" x14ac:dyDescent="0.3">
      <c r="B1647">
        <v>164.4</v>
      </c>
      <c r="C1647" t="str">
        <f>IFERROR(VLOOKUP(B1647,'Pre-Summary'!$DI$6:$DM$23,4,FALSE),"")</f>
        <v/>
      </c>
      <c r="D1647" s="10" t="str">
        <f>IFERROR(VLOOKUP(B1647,'Pre-Summary'!$AT$6:$AX$14,5,FALSE),D1646)</f>
        <v>Wolfe v3: went back to modified wolfe + EDTA and switched CuSO4 to CUCl2</v>
      </c>
      <c r="E1647" s="10" t="str">
        <f>IFERROR(VLOOKUP(B1647,'Pre-Summary'!$AT$6:$AX$15,4,FALSE),"")</f>
        <v/>
      </c>
      <c r="F1647">
        <f>IFERROR(VLOOKUP(B1647,'Pre-Summary'!$AL$6:$AQ$13,6,FALSE),F1646)</f>
        <v>5.9405263157894746E-2</v>
      </c>
      <c r="G1647" t="str">
        <f>IFERROR(VLOOKUP(B1647,'Pre-Summary'!$AE$6:$AJ$85,3,FALSE),"")</f>
        <v/>
      </c>
      <c r="H1647" t="str">
        <f>IFERROR(VLOOKUP(B1647,'Pre-Summary'!$AE$6:$AJ$85,4,FALSE),"")</f>
        <v/>
      </c>
      <c r="I1647" t="str">
        <f>IFERROR(VLOOKUP(B1647,'Pre-Summary'!$AE$6:$AJ$85,5,FALSE),"")</f>
        <v/>
      </c>
      <c r="J1647" s="45" t="str">
        <f>IFERROR(VLOOKUP(B1647,'Pre-Summary'!$AE$6:$AJ$85,6, FALSE),"")</f>
        <v/>
      </c>
      <c r="K1647" s="45" t="str">
        <f>IFERROR(VLOOKUP(B1647,'Pre-Summary'!$DE$6:$DG$61,3,FALSE),"")</f>
        <v/>
      </c>
      <c r="L1647" s="45" t="str">
        <f>IFERROR(VLOOKUP(B1647,'Pre-Summary'!$CU$6:$CW$36,3,FALSE),"")</f>
        <v/>
      </c>
      <c r="M1647" s="45" t="str">
        <f>IFERROR(VLOOKUP(B1647,'Pre-Summary'!$BW$6:$BY$58,2,FALSE),"")</f>
        <v/>
      </c>
      <c r="N1647" s="45" t="str">
        <f>IFERROR(VLOOKUP(B1647,'Pre-Summary'!$CD$6:$CF$64,2,FALSE),"")</f>
        <v/>
      </c>
      <c r="O1647" s="99">
        <f>IFERROR(VLOOKUP(B1647,'Pre-Summary'!$BO$6:$BQ$48,3, FALSE),O1646)</f>
        <v>1</v>
      </c>
      <c r="P1647" s="99">
        <f>IFERROR(VLOOKUP(B1647,'Pre-Summary'!$BS$6:$BU$35,3,FALSE),P1646)</f>
        <v>0.3</v>
      </c>
      <c r="Q1647" s="54">
        <f t="shared" si="75"/>
        <v>3.3333333333333335</v>
      </c>
      <c r="R1647" s="53">
        <f>IFERROR(VLOOKUP(B1647,'Pre-Summary'!$BG$6:$BM$44,7,FALSE),R1648)</f>
        <v>8.3576993058106674E-2</v>
      </c>
      <c r="S1647" s="53">
        <f>IFERROR(VLOOKUP(B1647,'Pre-Summary'!$BG$6:$BM$44,6,FALSE),S1648)</f>
        <v>0.10174646781791266</v>
      </c>
      <c r="T1647" s="45" t="str">
        <f>IFERROR(VLOOKUP(B1647,'Pre-Summary'!$Y$6:$AC$83, 3,FALSE),"")</f>
        <v/>
      </c>
      <c r="U1647" s="45" t="str">
        <f>IFERROR(VLOOKUP(B1647,'Pre-Summary'!$Y$6:$AC$83, 4,FALSE),"")</f>
        <v/>
      </c>
      <c r="V1647" t="str">
        <f>IFERROR(VLOOKUP(B1647,'Pre-Summary'!$Y$6:$AC$83, 5,FALSE),"")</f>
        <v/>
      </c>
      <c r="W1647" s="45" t="str">
        <f>IFERROR(VLOOKUP(B1647,'Pre-Summary'!$Y$6:$AD$83,6,FALSE),"")</f>
        <v/>
      </c>
      <c r="X1647" t="str">
        <f>IFERROR(VLOOKUP('Pre-Summary'!$DB$6:$DD$63,3,FALSE),"")</f>
        <v/>
      </c>
      <c r="Y1647" t="str">
        <f>IFERROR(VLOOKUP(B1647,'Pre-Summary'!$CR$6:$CT$36,3,FALSE),"")</f>
        <v/>
      </c>
      <c r="Z1647" s="45" t="str">
        <f>IFERROR(VLOOKUP(B1647,'Pre-Summary'!$BZ$6:$CB$63,2,FALSE),"")</f>
        <v/>
      </c>
      <c r="AA1647" s="45" t="str">
        <f>IFERROR(VLOOKUP(B1647,'Pre-Summary'!$CG$6:$CI$70,2,FALSE),"")</f>
        <v/>
      </c>
      <c r="AB1647" s="99">
        <f>IFERROR(VLOOKUP(B1647,'Pre-Summary'!$A$6:$P$178,9,FALSE),AB1648)</f>
        <v>0.2823945757993872</v>
      </c>
      <c r="AC1647" s="10">
        <f>IFERROR(VLOOKUP(Summary!B1647,'Pre-Summary'!$A$6:$P$184,5, FALSE)/100,AC1648)</f>
        <v>0.95646433333333336</v>
      </c>
      <c r="AD1647" s="10">
        <f>IFERROR(VLOOKUP(Summary!B1647,'Pre-Summary'!$A$6:$P$184,3, FALSE)/100,AD1648)</f>
        <v>1.3388333333333334E-2</v>
      </c>
      <c r="AE1647" s="10">
        <f>IFERROR(VLOOKUP(Summary!B1647,'Pre-Summary'!$A$6:$P$184,7, FALSE)/100,AE1648)</f>
        <v>3.0147E-2</v>
      </c>
      <c r="AF1647" s="99">
        <f t="shared" si="76"/>
        <v>3.7807927123274625E-3</v>
      </c>
      <c r="AG1647" s="99">
        <f t="shared" si="77"/>
        <v>8.5133492766241263E-3</v>
      </c>
      <c r="AH1647" s="10" t="str">
        <f>IFERROR(VLOOKUP(B1647,'Pre-Summary'!$AZ$6:$BE$65,3,FALSE),"")</f>
        <v/>
      </c>
      <c r="AI1647" s="10" t="str">
        <f>IFERROR(VLOOKUP(B1647,'Pre-Summary'!$AZ$6:$BE$65,5,FALSE),"")</f>
        <v/>
      </c>
      <c r="AJ1647" s="10" t="str">
        <f>IFERROR(VLOOKUP(B1647,'Pre-Summary'!$AZ$6:$BE$65,4,FALSE),"")</f>
        <v/>
      </c>
      <c r="AK1647" s="10" t="str">
        <f>IFERROR(VLOOKUP(B1647,'Pre-Summary'!$AZ$6:$BE$65,6,FALSE),"")</f>
        <v/>
      </c>
      <c r="AL1647" s="10" t="str">
        <f>IFERROR(VLOOKUP(B1647,'Pre-Summary'!$BG$6:$BL$44,3,FALSE),"")</f>
        <v/>
      </c>
      <c r="AM1647" s="10" t="str">
        <f>IFERROR(VLOOKUP(B1647,'Pre-Summary'!$BG$6:$BL$44,4,FALSE),"")</f>
        <v/>
      </c>
    </row>
    <row r="1648" spans="2:39" ht="15" customHeight="1" x14ac:dyDescent="0.3">
      <c r="B1648">
        <v>164.5</v>
      </c>
      <c r="C1648" t="str">
        <f>IFERROR(VLOOKUP(B1648,'Pre-Summary'!$DI$6:$DM$23,4,FALSE),"")</f>
        <v/>
      </c>
      <c r="D1648" s="10" t="str">
        <f>IFERROR(VLOOKUP(B1648,'Pre-Summary'!$AT$6:$AX$14,5,FALSE),D1647)</f>
        <v>Wolfe v3: went back to modified wolfe + EDTA and switched CuSO4 to CUCl2</v>
      </c>
      <c r="E1648" s="10" t="str">
        <f>IFERROR(VLOOKUP(B1648,'Pre-Summary'!$AT$6:$AX$15,4,FALSE),"")</f>
        <v/>
      </c>
      <c r="F1648">
        <f>IFERROR(VLOOKUP(B1648,'Pre-Summary'!$AL$6:$AQ$13,6,FALSE),F1647)</f>
        <v>5.9405263157894746E-2</v>
      </c>
      <c r="G1648" t="str">
        <f>IFERROR(VLOOKUP(B1648,'Pre-Summary'!$AE$6:$AJ$85,3,FALSE),"")</f>
        <v/>
      </c>
      <c r="H1648" t="str">
        <f>IFERROR(VLOOKUP(B1648,'Pre-Summary'!$AE$6:$AJ$85,4,FALSE),"")</f>
        <v/>
      </c>
      <c r="I1648" t="str">
        <f>IFERROR(VLOOKUP(B1648,'Pre-Summary'!$AE$6:$AJ$85,5,FALSE),"")</f>
        <v/>
      </c>
      <c r="J1648" s="45" t="str">
        <f>IFERROR(VLOOKUP(B1648,'Pre-Summary'!$AE$6:$AJ$85,6, FALSE),"")</f>
        <v/>
      </c>
      <c r="K1648" s="45" t="str">
        <f>IFERROR(VLOOKUP(B1648,'Pre-Summary'!$DE$6:$DG$61,3,FALSE),"")</f>
        <v/>
      </c>
      <c r="L1648" s="45" t="str">
        <f>IFERROR(VLOOKUP(B1648,'Pre-Summary'!$CU$6:$CW$36,3,FALSE),"")</f>
        <v/>
      </c>
      <c r="M1648" s="45" t="str">
        <f>IFERROR(VLOOKUP(B1648,'Pre-Summary'!$BW$6:$BY$58,2,FALSE),"")</f>
        <v/>
      </c>
      <c r="N1648" s="45" t="str">
        <f>IFERROR(VLOOKUP(B1648,'Pre-Summary'!$CD$6:$CF$64,2,FALSE),"")</f>
        <v/>
      </c>
      <c r="O1648" s="99">
        <f>IFERROR(VLOOKUP(B1648,'Pre-Summary'!$BO$6:$BQ$48,3, FALSE),O1647)</f>
        <v>1</v>
      </c>
      <c r="P1648" s="99">
        <f>IFERROR(VLOOKUP(B1648,'Pre-Summary'!$BS$6:$BU$35,3,FALSE),P1647)</f>
        <v>0.3</v>
      </c>
      <c r="Q1648" s="54">
        <f t="shared" si="75"/>
        <v>3.3333333333333335</v>
      </c>
      <c r="R1648" s="53">
        <f>IFERROR(VLOOKUP(B1648,'Pre-Summary'!$BG$6:$BM$44,7,FALSE),R1649)</f>
        <v>8.3576993058106674E-2</v>
      </c>
      <c r="S1648" s="53">
        <f>IFERROR(VLOOKUP(B1648,'Pre-Summary'!$BG$6:$BM$44,6,FALSE),S1649)</f>
        <v>0.10174646781791266</v>
      </c>
      <c r="T1648" s="45" t="str">
        <f>IFERROR(VLOOKUP(B1648,'Pre-Summary'!$Y$6:$AC$83, 3,FALSE),"")</f>
        <v/>
      </c>
      <c r="U1648" s="45" t="str">
        <f>IFERROR(VLOOKUP(B1648,'Pre-Summary'!$Y$6:$AC$83, 4,FALSE),"")</f>
        <v/>
      </c>
      <c r="V1648" t="str">
        <f>IFERROR(VLOOKUP(B1648,'Pre-Summary'!$Y$6:$AC$83, 5,FALSE),"")</f>
        <v/>
      </c>
      <c r="W1648" s="45" t="str">
        <f>IFERROR(VLOOKUP(B1648,'Pre-Summary'!$Y$6:$AD$83,6,FALSE),"")</f>
        <v/>
      </c>
      <c r="X1648" t="str">
        <f>IFERROR(VLOOKUP('Pre-Summary'!$DB$6:$DD$63,3,FALSE),"")</f>
        <v/>
      </c>
      <c r="Y1648" t="str">
        <f>IFERROR(VLOOKUP(B1648,'Pre-Summary'!$CR$6:$CT$36,3,FALSE),"")</f>
        <v/>
      </c>
      <c r="Z1648" s="45" t="str">
        <f>IFERROR(VLOOKUP(B1648,'Pre-Summary'!$BZ$6:$CB$63,2,FALSE),"")</f>
        <v/>
      </c>
      <c r="AA1648" s="45" t="str">
        <f>IFERROR(VLOOKUP(B1648,'Pre-Summary'!$CG$6:$CI$70,2,FALSE),"")</f>
        <v/>
      </c>
      <c r="AB1648" s="99">
        <f>IFERROR(VLOOKUP(B1648,'Pre-Summary'!$A$6:$P$178,9,FALSE),AB1649)</f>
        <v>0.2823945757993872</v>
      </c>
      <c r="AC1648" s="10">
        <f>IFERROR(VLOOKUP(Summary!B1648,'Pre-Summary'!$A$6:$P$184,5, FALSE)/100,AC1649)</f>
        <v>0.95646433333333336</v>
      </c>
      <c r="AD1648" s="10">
        <f>IFERROR(VLOOKUP(Summary!B1648,'Pre-Summary'!$A$6:$P$184,3, FALSE)/100,AD1649)</f>
        <v>1.3388333333333334E-2</v>
      </c>
      <c r="AE1648" s="10">
        <f>IFERROR(VLOOKUP(Summary!B1648,'Pre-Summary'!$A$6:$P$184,7, FALSE)/100,AE1649)</f>
        <v>3.0147E-2</v>
      </c>
      <c r="AF1648" s="99">
        <f t="shared" si="76"/>
        <v>3.7807927123274625E-3</v>
      </c>
      <c r="AG1648" s="99">
        <f t="shared" si="77"/>
        <v>8.5133492766241263E-3</v>
      </c>
      <c r="AH1648" s="10" t="str">
        <f>IFERROR(VLOOKUP(B1648,'Pre-Summary'!$AZ$6:$BE$65,3,FALSE),"")</f>
        <v/>
      </c>
      <c r="AI1648" s="10" t="str">
        <f>IFERROR(VLOOKUP(B1648,'Pre-Summary'!$AZ$6:$BE$65,5,FALSE),"")</f>
        <v/>
      </c>
      <c r="AJ1648" s="10" t="str">
        <f>IFERROR(VLOOKUP(B1648,'Pre-Summary'!$AZ$6:$BE$65,4,FALSE),"")</f>
        <v/>
      </c>
      <c r="AK1648" s="10" t="str">
        <f>IFERROR(VLOOKUP(B1648,'Pre-Summary'!$AZ$6:$BE$65,6,FALSE),"")</f>
        <v/>
      </c>
      <c r="AL1648" s="10" t="str">
        <f>IFERROR(VLOOKUP(B1648,'Pre-Summary'!$BG$6:$BL$44,3,FALSE),"")</f>
        <v/>
      </c>
      <c r="AM1648" s="10" t="str">
        <f>IFERROR(VLOOKUP(B1648,'Pre-Summary'!$BG$6:$BL$44,4,FALSE),"")</f>
        <v/>
      </c>
    </row>
    <row r="1649" spans="2:39" ht="15" customHeight="1" x14ac:dyDescent="0.3">
      <c r="B1649">
        <v>164.6</v>
      </c>
      <c r="C1649" t="str">
        <f>IFERROR(VLOOKUP(B1649,'Pre-Summary'!$DI$6:$DM$23,4,FALSE),"")</f>
        <v/>
      </c>
      <c r="D1649" s="10" t="str">
        <f>IFERROR(VLOOKUP(B1649,'Pre-Summary'!$AT$6:$AX$14,5,FALSE),D1648)</f>
        <v>Wolfe v3: went back to modified wolfe + EDTA and switched CuSO4 to CUCl2</v>
      </c>
      <c r="E1649" s="10" t="str">
        <f>IFERROR(VLOOKUP(B1649,'Pre-Summary'!$AT$6:$AX$15,4,FALSE),"")</f>
        <v/>
      </c>
      <c r="F1649">
        <f>IFERROR(VLOOKUP(B1649,'Pre-Summary'!$AL$6:$AQ$13,6,FALSE),F1648)</f>
        <v>5.9405263157894746E-2</v>
      </c>
      <c r="G1649" t="str">
        <f>IFERROR(VLOOKUP(B1649,'Pre-Summary'!$AE$6:$AJ$85,3,FALSE),"")</f>
        <v/>
      </c>
      <c r="H1649" t="str">
        <f>IFERROR(VLOOKUP(B1649,'Pre-Summary'!$AE$6:$AJ$85,4,FALSE),"")</f>
        <v/>
      </c>
      <c r="I1649" t="str">
        <f>IFERROR(VLOOKUP(B1649,'Pre-Summary'!$AE$6:$AJ$85,5,FALSE),"")</f>
        <v/>
      </c>
      <c r="J1649" s="45" t="str">
        <f>IFERROR(VLOOKUP(B1649,'Pre-Summary'!$AE$6:$AJ$85,6, FALSE),"")</f>
        <v/>
      </c>
      <c r="K1649" s="45" t="str">
        <f>IFERROR(VLOOKUP(B1649,'Pre-Summary'!$DE$6:$DG$61,3,FALSE),"")</f>
        <v/>
      </c>
      <c r="L1649" s="45" t="str">
        <f>IFERROR(VLOOKUP(B1649,'Pre-Summary'!$CU$6:$CW$36,3,FALSE),"")</f>
        <v/>
      </c>
      <c r="M1649" s="45" t="str">
        <f>IFERROR(VLOOKUP(B1649,'Pre-Summary'!$BW$6:$BY$58,2,FALSE),"")</f>
        <v/>
      </c>
      <c r="N1649" s="45" t="str">
        <f>IFERROR(VLOOKUP(B1649,'Pre-Summary'!$CD$6:$CF$64,2,FALSE),"")</f>
        <v/>
      </c>
      <c r="O1649" s="99">
        <f>IFERROR(VLOOKUP(B1649,'Pre-Summary'!$BO$6:$BQ$48,3, FALSE),O1648)</f>
        <v>1</v>
      </c>
      <c r="P1649" s="99">
        <f>IFERROR(VLOOKUP(B1649,'Pre-Summary'!$BS$6:$BU$35,3,FALSE),P1648)</f>
        <v>0.3</v>
      </c>
      <c r="Q1649" s="54">
        <f t="shared" si="75"/>
        <v>3.3333333333333335</v>
      </c>
      <c r="R1649" s="53">
        <f>IFERROR(VLOOKUP(B1649,'Pre-Summary'!$BG$6:$BM$44,7,FALSE),R1650)</f>
        <v>8.3576993058106674E-2</v>
      </c>
      <c r="S1649" s="53">
        <f>IFERROR(VLOOKUP(B1649,'Pre-Summary'!$BG$6:$BM$44,6,FALSE),S1650)</f>
        <v>0.10174646781791266</v>
      </c>
      <c r="T1649" s="45" t="str">
        <f>IFERROR(VLOOKUP(B1649,'Pre-Summary'!$Y$6:$AC$83, 3,FALSE),"")</f>
        <v/>
      </c>
      <c r="U1649" s="45" t="str">
        <f>IFERROR(VLOOKUP(B1649,'Pre-Summary'!$Y$6:$AC$83, 4,FALSE),"")</f>
        <v/>
      </c>
      <c r="V1649" t="str">
        <f>IFERROR(VLOOKUP(B1649,'Pre-Summary'!$Y$6:$AC$83, 5,FALSE),"")</f>
        <v/>
      </c>
      <c r="W1649" s="45" t="str">
        <f>IFERROR(VLOOKUP(B1649,'Pre-Summary'!$Y$6:$AD$83,6,FALSE),"")</f>
        <v/>
      </c>
      <c r="X1649" t="str">
        <f>IFERROR(VLOOKUP('Pre-Summary'!$DB$6:$DD$63,3,FALSE),"")</f>
        <v/>
      </c>
      <c r="Y1649" t="str">
        <f>IFERROR(VLOOKUP(B1649,'Pre-Summary'!$CR$6:$CT$36,3,FALSE),"")</f>
        <v/>
      </c>
      <c r="Z1649" s="45" t="str">
        <f>IFERROR(VLOOKUP(B1649,'Pre-Summary'!$BZ$6:$CB$63,2,FALSE),"")</f>
        <v/>
      </c>
      <c r="AA1649" s="45" t="str">
        <f>IFERROR(VLOOKUP(B1649,'Pre-Summary'!$CG$6:$CI$70,2,FALSE),"")</f>
        <v/>
      </c>
      <c r="AB1649" s="99">
        <f>IFERROR(VLOOKUP(B1649,'Pre-Summary'!$A$6:$P$178,9,FALSE),AB1650)</f>
        <v>0.2823945757993872</v>
      </c>
      <c r="AC1649" s="10">
        <f>IFERROR(VLOOKUP(Summary!B1649,'Pre-Summary'!$A$6:$P$184,5, FALSE)/100,AC1650)</f>
        <v>0.95646433333333336</v>
      </c>
      <c r="AD1649" s="10">
        <f>IFERROR(VLOOKUP(Summary!B1649,'Pre-Summary'!$A$6:$P$184,3, FALSE)/100,AD1650)</f>
        <v>1.3388333333333334E-2</v>
      </c>
      <c r="AE1649" s="10">
        <f>IFERROR(VLOOKUP(Summary!B1649,'Pre-Summary'!$A$6:$P$184,7, FALSE)/100,AE1650)</f>
        <v>3.0147E-2</v>
      </c>
      <c r="AF1649" s="99">
        <f t="shared" si="76"/>
        <v>3.7807927123274625E-3</v>
      </c>
      <c r="AG1649" s="99">
        <f t="shared" si="77"/>
        <v>8.5133492766241263E-3</v>
      </c>
      <c r="AH1649" s="10" t="str">
        <f>IFERROR(VLOOKUP(B1649,'Pre-Summary'!$AZ$6:$BE$65,3,FALSE),"")</f>
        <v/>
      </c>
      <c r="AI1649" s="10" t="str">
        <f>IFERROR(VLOOKUP(B1649,'Pre-Summary'!$AZ$6:$BE$65,5,FALSE),"")</f>
        <v/>
      </c>
      <c r="AJ1649" s="10" t="str">
        <f>IFERROR(VLOOKUP(B1649,'Pre-Summary'!$AZ$6:$BE$65,4,FALSE),"")</f>
        <v/>
      </c>
      <c r="AK1649" s="10" t="str">
        <f>IFERROR(VLOOKUP(B1649,'Pre-Summary'!$AZ$6:$BE$65,6,FALSE),"")</f>
        <v/>
      </c>
      <c r="AL1649" s="10" t="str">
        <f>IFERROR(VLOOKUP(B1649,'Pre-Summary'!$BG$6:$BL$44,3,FALSE),"")</f>
        <v/>
      </c>
      <c r="AM1649" s="10" t="str">
        <f>IFERROR(VLOOKUP(B1649,'Pre-Summary'!$BG$6:$BL$44,4,FALSE),"")</f>
        <v/>
      </c>
    </row>
    <row r="1650" spans="2:39" ht="15" customHeight="1" x14ac:dyDescent="0.3">
      <c r="B1650">
        <v>164.7</v>
      </c>
      <c r="C1650" t="str">
        <f>IFERROR(VLOOKUP(B1650,'Pre-Summary'!$DI$6:$DM$23,4,FALSE),"")</f>
        <v/>
      </c>
      <c r="D1650" s="10" t="str">
        <f>IFERROR(VLOOKUP(B1650,'Pre-Summary'!$AT$6:$AX$14,5,FALSE),D1649)</f>
        <v>Wolfe v3: went back to modified wolfe + EDTA and switched CuSO4 to CUCl2</v>
      </c>
      <c r="E1650" s="10" t="str">
        <f>IFERROR(VLOOKUP(B1650,'Pre-Summary'!$AT$6:$AX$15,4,FALSE),"")</f>
        <v/>
      </c>
      <c r="F1650">
        <f>IFERROR(VLOOKUP(B1650,'Pre-Summary'!$AL$6:$AQ$13,6,FALSE),F1649)</f>
        <v>5.9405263157894746E-2</v>
      </c>
      <c r="G1650" t="str">
        <f>IFERROR(VLOOKUP(B1650,'Pre-Summary'!$AE$6:$AJ$85,3,FALSE),"")</f>
        <v/>
      </c>
      <c r="H1650" t="str">
        <f>IFERROR(VLOOKUP(B1650,'Pre-Summary'!$AE$6:$AJ$85,4,FALSE),"")</f>
        <v/>
      </c>
      <c r="I1650" t="str">
        <f>IFERROR(VLOOKUP(B1650,'Pre-Summary'!$AE$6:$AJ$85,5,FALSE),"")</f>
        <v/>
      </c>
      <c r="J1650" s="45" t="str">
        <f>IFERROR(VLOOKUP(B1650,'Pre-Summary'!$AE$6:$AJ$85,6, FALSE),"")</f>
        <v/>
      </c>
      <c r="K1650" s="45" t="str">
        <f>IFERROR(VLOOKUP(B1650,'Pre-Summary'!$DE$6:$DG$61,3,FALSE),"")</f>
        <v/>
      </c>
      <c r="L1650" s="45" t="str">
        <f>IFERROR(VLOOKUP(B1650,'Pre-Summary'!$CU$6:$CW$36,3,FALSE),"")</f>
        <v/>
      </c>
      <c r="M1650" s="45" t="str">
        <f>IFERROR(VLOOKUP(B1650,'Pre-Summary'!$BW$6:$BY$58,2,FALSE),"")</f>
        <v/>
      </c>
      <c r="N1650" s="45" t="str">
        <f>IFERROR(VLOOKUP(B1650,'Pre-Summary'!$CD$6:$CF$64,2,FALSE),"")</f>
        <v/>
      </c>
      <c r="O1650" s="99">
        <f>IFERROR(VLOOKUP(B1650,'Pre-Summary'!$BO$6:$BQ$48,3, FALSE),O1649)</f>
        <v>1</v>
      </c>
      <c r="P1650" s="99">
        <f>IFERROR(VLOOKUP(B1650,'Pre-Summary'!$BS$6:$BU$35,3,FALSE),P1649)</f>
        <v>0.3</v>
      </c>
      <c r="Q1650" s="54">
        <f t="shared" si="75"/>
        <v>3.3333333333333335</v>
      </c>
      <c r="R1650" s="53">
        <f>IFERROR(VLOOKUP(B1650,'Pre-Summary'!$BG$6:$BM$44,7,FALSE),R1651)</f>
        <v>8.3576993058106674E-2</v>
      </c>
      <c r="S1650" s="53">
        <f>IFERROR(VLOOKUP(B1650,'Pre-Summary'!$BG$6:$BM$44,6,FALSE),S1651)</f>
        <v>0.10174646781791266</v>
      </c>
      <c r="T1650" s="45" t="str">
        <f>IFERROR(VLOOKUP(B1650,'Pre-Summary'!$Y$6:$AC$83, 3,FALSE),"")</f>
        <v/>
      </c>
      <c r="U1650" s="45" t="str">
        <f>IFERROR(VLOOKUP(B1650,'Pre-Summary'!$Y$6:$AC$83, 4,FALSE),"")</f>
        <v/>
      </c>
      <c r="V1650" t="str">
        <f>IFERROR(VLOOKUP(B1650,'Pre-Summary'!$Y$6:$AC$83, 5,FALSE),"")</f>
        <v/>
      </c>
      <c r="W1650" s="45" t="str">
        <f>IFERROR(VLOOKUP(B1650,'Pre-Summary'!$Y$6:$AD$83,6,FALSE),"")</f>
        <v/>
      </c>
      <c r="X1650" t="str">
        <f>IFERROR(VLOOKUP('Pre-Summary'!$DB$6:$DD$63,3,FALSE),"")</f>
        <v/>
      </c>
      <c r="Y1650" t="str">
        <f>IFERROR(VLOOKUP(B1650,'Pre-Summary'!$CR$6:$CT$36,3,FALSE),"")</f>
        <v/>
      </c>
      <c r="Z1650" s="45" t="str">
        <f>IFERROR(VLOOKUP(B1650,'Pre-Summary'!$BZ$6:$CB$63,2,FALSE),"")</f>
        <v/>
      </c>
      <c r="AA1650" s="45" t="str">
        <f>IFERROR(VLOOKUP(B1650,'Pre-Summary'!$CG$6:$CI$70,2,FALSE),"")</f>
        <v/>
      </c>
      <c r="AB1650" s="99">
        <f>IFERROR(VLOOKUP(B1650,'Pre-Summary'!$A$6:$P$178,9,FALSE),AB1651)</f>
        <v>0.2823945757993872</v>
      </c>
      <c r="AC1650" s="10">
        <f>IFERROR(VLOOKUP(Summary!B1650,'Pre-Summary'!$A$6:$P$184,5, FALSE)/100,AC1651)</f>
        <v>0.95646433333333336</v>
      </c>
      <c r="AD1650" s="10">
        <f>IFERROR(VLOOKUP(Summary!B1650,'Pre-Summary'!$A$6:$P$184,3, FALSE)/100,AD1651)</f>
        <v>1.3388333333333334E-2</v>
      </c>
      <c r="AE1650" s="10">
        <f>IFERROR(VLOOKUP(Summary!B1650,'Pre-Summary'!$A$6:$P$184,7, FALSE)/100,AE1651)</f>
        <v>3.0147E-2</v>
      </c>
      <c r="AF1650" s="99">
        <f t="shared" si="76"/>
        <v>3.7807927123274625E-3</v>
      </c>
      <c r="AG1650" s="99">
        <f t="shared" si="77"/>
        <v>8.5133492766241263E-3</v>
      </c>
      <c r="AH1650" s="10" t="str">
        <f>IFERROR(VLOOKUP(B1650,'Pre-Summary'!$AZ$6:$BE$65,3,FALSE),"")</f>
        <v/>
      </c>
      <c r="AI1650" s="10" t="str">
        <f>IFERROR(VLOOKUP(B1650,'Pre-Summary'!$AZ$6:$BE$65,5,FALSE),"")</f>
        <v/>
      </c>
      <c r="AJ1650" s="10" t="str">
        <f>IFERROR(VLOOKUP(B1650,'Pre-Summary'!$AZ$6:$BE$65,4,FALSE),"")</f>
        <v/>
      </c>
      <c r="AK1650" s="10" t="str">
        <f>IFERROR(VLOOKUP(B1650,'Pre-Summary'!$AZ$6:$BE$65,6,FALSE),"")</f>
        <v/>
      </c>
      <c r="AL1650" s="10" t="str">
        <f>IFERROR(VLOOKUP(B1650,'Pre-Summary'!$BG$6:$BL$44,3,FALSE),"")</f>
        <v/>
      </c>
      <c r="AM1650" s="10" t="str">
        <f>IFERROR(VLOOKUP(B1650,'Pre-Summary'!$BG$6:$BL$44,4,FALSE),"")</f>
        <v/>
      </c>
    </row>
    <row r="1651" spans="2:39" ht="15" customHeight="1" x14ac:dyDescent="0.3">
      <c r="B1651">
        <v>164.8</v>
      </c>
      <c r="C1651" t="str">
        <f>IFERROR(VLOOKUP(B1651,'Pre-Summary'!$DI$6:$DM$23,4,FALSE),"")</f>
        <v/>
      </c>
      <c r="D1651" s="10" t="str">
        <f>IFERROR(VLOOKUP(B1651,'Pre-Summary'!$AT$6:$AX$14,5,FALSE),D1650)</f>
        <v>Wolfe v3: went back to modified wolfe + EDTA and switched CuSO4 to CUCl2</v>
      </c>
      <c r="E1651" s="10" t="str">
        <f>IFERROR(VLOOKUP(B1651,'Pre-Summary'!$AT$6:$AX$15,4,FALSE),"")</f>
        <v/>
      </c>
      <c r="F1651">
        <f>IFERROR(VLOOKUP(B1651,'Pre-Summary'!$AL$6:$AQ$13,6,FALSE),F1650)</f>
        <v>5.9405263157894746E-2</v>
      </c>
      <c r="G1651" t="str">
        <f>IFERROR(VLOOKUP(B1651,'Pre-Summary'!$AE$6:$AJ$85,3,FALSE),"")</f>
        <v/>
      </c>
      <c r="H1651" t="str">
        <f>IFERROR(VLOOKUP(B1651,'Pre-Summary'!$AE$6:$AJ$85,4,FALSE),"")</f>
        <v/>
      </c>
      <c r="I1651" t="str">
        <f>IFERROR(VLOOKUP(B1651,'Pre-Summary'!$AE$6:$AJ$85,5,FALSE),"")</f>
        <v/>
      </c>
      <c r="J1651" s="45" t="str">
        <f>IFERROR(VLOOKUP(B1651,'Pre-Summary'!$AE$6:$AJ$85,6, FALSE),"")</f>
        <v/>
      </c>
      <c r="K1651" s="45" t="str">
        <f>IFERROR(VLOOKUP(B1651,'Pre-Summary'!$DE$6:$DG$61,3,FALSE),"")</f>
        <v/>
      </c>
      <c r="L1651" s="45" t="str">
        <f>IFERROR(VLOOKUP(B1651,'Pre-Summary'!$CU$6:$CW$36,3,FALSE),"")</f>
        <v/>
      </c>
      <c r="M1651" s="45" t="str">
        <f>IFERROR(VLOOKUP(B1651,'Pre-Summary'!$BW$6:$BY$58,2,FALSE),"")</f>
        <v/>
      </c>
      <c r="N1651" s="45" t="str">
        <f>IFERROR(VLOOKUP(B1651,'Pre-Summary'!$CD$6:$CF$64,2,FALSE),"")</f>
        <v/>
      </c>
      <c r="O1651" s="99">
        <f>IFERROR(VLOOKUP(B1651,'Pre-Summary'!$BO$6:$BQ$48,3, FALSE),O1650)</f>
        <v>1</v>
      </c>
      <c r="P1651" s="99">
        <f>IFERROR(VLOOKUP(B1651,'Pre-Summary'!$BS$6:$BU$35,3,FALSE),P1650)</f>
        <v>0.3</v>
      </c>
      <c r="Q1651" s="54">
        <f t="shared" si="75"/>
        <v>3.3333333333333335</v>
      </c>
      <c r="R1651" s="53">
        <f>IFERROR(VLOOKUP(B1651,'Pre-Summary'!$BG$6:$BM$44,7,FALSE),R1652)</f>
        <v>8.3576993058106674E-2</v>
      </c>
      <c r="S1651" s="53">
        <f>IFERROR(VLOOKUP(B1651,'Pre-Summary'!$BG$6:$BM$44,6,FALSE),S1652)</f>
        <v>0.10174646781791266</v>
      </c>
      <c r="T1651" s="45" t="str">
        <f>IFERROR(VLOOKUP(B1651,'Pre-Summary'!$Y$6:$AC$83, 3,FALSE),"")</f>
        <v/>
      </c>
      <c r="U1651" s="45" t="str">
        <f>IFERROR(VLOOKUP(B1651,'Pre-Summary'!$Y$6:$AC$83, 4,FALSE),"")</f>
        <v/>
      </c>
      <c r="V1651" t="str">
        <f>IFERROR(VLOOKUP(B1651,'Pre-Summary'!$Y$6:$AC$83, 5,FALSE),"")</f>
        <v/>
      </c>
      <c r="W1651" s="45" t="str">
        <f>IFERROR(VLOOKUP(B1651,'Pre-Summary'!$Y$6:$AD$83,6,FALSE),"")</f>
        <v/>
      </c>
      <c r="X1651" t="str">
        <f>IFERROR(VLOOKUP('Pre-Summary'!$DB$6:$DD$63,3,FALSE),"")</f>
        <v/>
      </c>
      <c r="Y1651" t="str">
        <f>IFERROR(VLOOKUP(B1651,'Pre-Summary'!$CR$6:$CT$36,3,FALSE),"")</f>
        <v/>
      </c>
      <c r="Z1651" s="45" t="str">
        <f>IFERROR(VLOOKUP(B1651,'Pre-Summary'!$BZ$6:$CB$63,2,FALSE),"")</f>
        <v/>
      </c>
      <c r="AA1651" s="45" t="str">
        <f>IFERROR(VLOOKUP(B1651,'Pre-Summary'!$CG$6:$CI$70,2,FALSE),"")</f>
        <v/>
      </c>
      <c r="AB1651" s="99">
        <f>IFERROR(VLOOKUP(B1651,'Pre-Summary'!$A$6:$P$178,9,FALSE),AB1652)</f>
        <v>0.2823945757993872</v>
      </c>
      <c r="AC1651" s="10">
        <f>IFERROR(VLOOKUP(Summary!B1651,'Pre-Summary'!$A$6:$P$184,5, FALSE)/100,AC1652)</f>
        <v>0.95646433333333336</v>
      </c>
      <c r="AD1651" s="10">
        <f>IFERROR(VLOOKUP(Summary!B1651,'Pre-Summary'!$A$6:$P$184,3, FALSE)/100,AD1652)</f>
        <v>1.3388333333333334E-2</v>
      </c>
      <c r="AE1651" s="10">
        <f>IFERROR(VLOOKUP(Summary!B1651,'Pre-Summary'!$A$6:$P$184,7, FALSE)/100,AE1652)</f>
        <v>3.0147E-2</v>
      </c>
      <c r="AF1651" s="99">
        <f t="shared" si="76"/>
        <v>3.7807927123274625E-3</v>
      </c>
      <c r="AG1651" s="99">
        <f t="shared" si="77"/>
        <v>8.5133492766241263E-3</v>
      </c>
      <c r="AH1651" s="10" t="str">
        <f>IFERROR(VLOOKUP(B1651,'Pre-Summary'!$AZ$6:$BE$65,3,FALSE),"")</f>
        <v/>
      </c>
      <c r="AI1651" s="10" t="str">
        <f>IFERROR(VLOOKUP(B1651,'Pre-Summary'!$AZ$6:$BE$65,5,FALSE),"")</f>
        <v/>
      </c>
      <c r="AJ1651" s="10" t="str">
        <f>IFERROR(VLOOKUP(B1651,'Pre-Summary'!$AZ$6:$BE$65,4,FALSE),"")</f>
        <v/>
      </c>
      <c r="AK1651" s="10" t="str">
        <f>IFERROR(VLOOKUP(B1651,'Pre-Summary'!$AZ$6:$BE$65,6,FALSE),"")</f>
        <v/>
      </c>
      <c r="AL1651" s="10" t="str">
        <f>IFERROR(VLOOKUP(B1651,'Pre-Summary'!$BG$6:$BL$44,3,FALSE),"")</f>
        <v/>
      </c>
      <c r="AM1651" s="10" t="str">
        <f>IFERROR(VLOOKUP(B1651,'Pre-Summary'!$BG$6:$BL$44,4,FALSE),"")</f>
        <v/>
      </c>
    </row>
    <row r="1652" spans="2:39" ht="15" customHeight="1" x14ac:dyDescent="0.3">
      <c r="B1652">
        <v>164.9</v>
      </c>
      <c r="C1652" t="str">
        <f>IFERROR(VLOOKUP(B1652,'Pre-Summary'!$DI$6:$DM$23,4,FALSE),"")</f>
        <v/>
      </c>
      <c r="D1652" s="10" t="str">
        <f>IFERROR(VLOOKUP(B1652,'Pre-Summary'!$AT$6:$AX$14,5,FALSE),D1651)</f>
        <v>Wolfe v3: went back to modified wolfe + EDTA and switched CuSO4 to CUCl2</v>
      </c>
      <c r="E1652" s="10" t="str">
        <f>IFERROR(VLOOKUP(B1652,'Pre-Summary'!$AT$6:$AX$15,4,FALSE),"")</f>
        <v/>
      </c>
      <c r="F1652">
        <f>IFERROR(VLOOKUP(B1652,'Pre-Summary'!$AL$6:$AQ$13,6,FALSE),F1651)</f>
        <v>5.9405263157894746E-2</v>
      </c>
      <c r="G1652" t="str">
        <f>IFERROR(VLOOKUP(B1652,'Pre-Summary'!$AE$6:$AJ$85,3,FALSE),"")</f>
        <v/>
      </c>
      <c r="H1652" t="str">
        <f>IFERROR(VLOOKUP(B1652,'Pre-Summary'!$AE$6:$AJ$85,4,FALSE),"")</f>
        <v/>
      </c>
      <c r="I1652" t="str">
        <f>IFERROR(VLOOKUP(B1652,'Pre-Summary'!$AE$6:$AJ$85,5,FALSE),"")</f>
        <v/>
      </c>
      <c r="J1652" s="45" t="str">
        <f>IFERROR(VLOOKUP(B1652,'Pre-Summary'!$AE$6:$AJ$85,6, FALSE),"")</f>
        <v/>
      </c>
      <c r="K1652" s="45" t="str">
        <f>IFERROR(VLOOKUP(B1652,'Pre-Summary'!$DE$6:$DG$61,3,FALSE),"")</f>
        <v/>
      </c>
      <c r="L1652" s="45" t="str">
        <f>IFERROR(VLOOKUP(B1652,'Pre-Summary'!$CU$6:$CW$36,3,FALSE),"")</f>
        <v/>
      </c>
      <c r="M1652" s="45" t="str">
        <f>IFERROR(VLOOKUP(B1652,'Pre-Summary'!$BW$6:$BY$58,2,FALSE),"")</f>
        <v/>
      </c>
      <c r="N1652" s="45" t="str">
        <f>IFERROR(VLOOKUP(B1652,'Pre-Summary'!$CD$6:$CF$64,2,FALSE),"")</f>
        <v/>
      </c>
      <c r="O1652" s="99">
        <f>IFERROR(VLOOKUP(B1652,'Pre-Summary'!$BO$6:$BQ$48,3, FALSE),O1651)</f>
        <v>1</v>
      </c>
      <c r="P1652" s="99">
        <f>IFERROR(VLOOKUP(B1652,'Pre-Summary'!$BS$6:$BU$35,3,FALSE),P1651)</f>
        <v>0.3</v>
      </c>
      <c r="Q1652" s="54">
        <f t="shared" si="75"/>
        <v>3.3333333333333335</v>
      </c>
      <c r="R1652" s="53">
        <f>IFERROR(VLOOKUP(B1652,'Pre-Summary'!$BG$6:$BM$44,7,FALSE),R1653)</f>
        <v>8.3576993058106674E-2</v>
      </c>
      <c r="S1652" s="53">
        <f>IFERROR(VLOOKUP(B1652,'Pre-Summary'!$BG$6:$BM$44,6,FALSE),S1653)</f>
        <v>0.10174646781791266</v>
      </c>
      <c r="T1652" s="45" t="str">
        <f>IFERROR(VLOOKUP(B1652,'Pre-Summary'!$Y$6:$AC$83, 3,FALSE),"")</f>
        <v/>
      </c>
      <c r="U1652" s="45" t="str">
        <f>IFERROR(VLOOKUP(B1652,'Pre-Summary'!$Y$6:$AC$83, 4,FALSE),"")</f>
        <v/>
      </c>
      <c r="V1652" t="str">
        <f>IFERROR(VLOOKUP(B1652,'Pre-Summary'!$Y$6:$AC$83, 5,FALSE),"")</f>
        <v/>
      </c>
      <c r="W1652" s="45" t="str">
        <f>IFERROR(VLOOKUP(B1652,'Pre-Summary'!$Y$6:$AD$83,6,FALSE),"")</f>
        <v/>
      </c>
      <c r="X1652" t="str">
        <f>IFERROR(VLOOKUP('Pre-Summary'!$DB$6:$DD$63,3,FALSE),"")</f>
        <v/>
      </c>
      <c r="Y1652" t="str">
        <f>IFERROR(VLOOKUP(B1652,'Pre-Summary'!$CR$6:$CT$36,3,FALSE),"")</f>
        <v/>
      </c>
      <c r="Z1652" s="45" t="str">
        <f>IFERROR(VLOOKUP(B1652,'Pre-Summary'!$BZ$6:$CB$63,2,FALSE),"")</f>
        <v/>
      </c>
      <c r="AA1652" s="45" t="str">
        <f>IFERROR(VLOOKUP(B1652,'Pre-Summary'!$CG$6:$CI$70,2,FALSE),"")</f>
        <v/>
      </c>
      <c r="AB1652" s="99">
        <f>IFERROR(VLOOKUP(B1652,'Pre-Summary'!$A$6:$P$178,9,FALSE),AB1653)</f>
        <v>0.2823945757993872</v>
      </c>
      <c r="AC1652" s="10">
        <f>IFERROR(VLOOKUP(Summary!B1652,'Pre-Summary'!$A$6:$P$184,5, FALSE)/100,AC1653)</f>
        <v>0.95646433333333336</v>
      </c>
      <c r="AD1652" s="10">
        <f>IFERROR(VLOOKUP(Summary!B1652,'Pre-Summary'!$A$6:$P$184,3, FALSE)/100,AD1653)</f>
        <v>1.3388333333333334E-2</v>
      </c>
      <c r="AE1652" s="10">
        <f>IFERROR(VLOOKUP(Summary!B1652,'Pre-Summary'!$A$6:$P$184,7, FALSE)/100,AE1653)</f>
        <v>3.0147E-2</v>
      </c>
      <c r="AF1652" s="99">
        <f t="shared" si="76"/>
        <v>3.7807927123274625E-3</v>
      </c>
      <c r="AG1652" s="99">
        <f t="shared" si="77"/>
        <v>8.5133492766241263E-3</v>
      </c>
      <c r="AH1652" s="10" t="str">
        <f>IFERROR(VLOOKUP(B1652,'Pre-Summary'!$AZ$6:$BE$65,3,FALSE),"")</f>
        <v/>
      </c>
      <c r="AI1652" s="10" t="str">
        <f>IFERROR(VLOOKUP(B1652,'Pre-Summary'!$AZ$6:$BE$65,5,FALSE),"")</f>
        <v/>
      </c>
      <c r="AJ1652" s="10" t="str">
        <f>IFERROR(VLOOKUP(B1652,'Pre-Summary'!$AZ$6:$BE$65,4,FALSE),"")</f>
        <v/>
      </c>
      <c r="AK1652" s="10" t="str">
        <f>IFERROR(VLOOKUP(B1652,'Pre-Summary'!$AZ$6:$BE$65,6,FALSE),"")</f>
        <v/>
      </c>
      <c r="AL1652" s="10" t="str">
        <f>IFERROR(VLOOKUP(B1652,'Pre-Summary'!$BG$6:$BL$44,3,FALSE),"")</f>
        <v/>
      </c>
      <c r="AM1652" s="10" t="str">
        <f>IFERROR(VLOOKUP(B1652,'Pre-Summary'!$BG$6:$BL$44,4,FALSE),"")</f>
        <v/>
      </c>
    </row>
    <row r="1653" spans="2:39" ht="15" customHeight="1" x14ac:dyDescent="0.3">
      <c r="B1653">
        <v>165</v>
      </c>
      <c r="C1653" t="str">
        <f>IFERROR(VLOOKUP(B1653,'Pre-Summary'!$DI$6:$DM$23,4,FALSE),"")</f>
        <v/>
      </c>
      <c r="D1653" s="10" t="str">
        <f>IFERROR(VLOOKUP(B1653,'Pre-Summary'!$AT$6:$AX$14,5,FALSE),D1652)</f>
        <v>Wolfe v3: went back to modified wolfe + EDTA and switched CuSO4 to CUCl2</v>
      </c>
      <c r="E1653" s="10" t="str">
        <f>IFERROR(VLOOKUP(B1653,'Pre-Summary'!$AT$6:$AX$15,4,FALSE),"")</f>
        <v/>
      </c>
      <c r="F1653">
        <f>IFERROR(VLOOKUP(B1653,'Pre-Summary'!$AL$6:$AQ$13,6,FALSE),F1652)</f>
        <v>5.9405263157894746E-2</v>
      </c>
      <c r="G1653" t="str">
        <f>IFERROR(VLOOKUP(B1653,'Pre-Summary'!$AE$6:$AJ$85,3,FALSE),"")</f>
        <v/>
      </c>
      <c r="H1653" t="str">
        <f>IFERROR(VLOOKUP(B1653,'Pre-Summary'!$AE$6:$AJ$85,4,FALSE),"")</f>
        <v/>
      </c>
      <c r="I1653" t="str">
        <f>IFERROR(VLOOKUP(B1653,'Pre-Summary'!$AE$6:$AJ$85,5,FALSE),"")</f>
        <v/>
      </c>
      <c r="J1653" s="45" t="str">
        <f>IFERROR(VLOOKUP(B1653,'Pre-Summary'!$AE$6:$AJ$85,6, FALSE),"")</f>
        <v/>
      </c>
      <c r="K1653" s="45" t="str">
        <f>IFERROR(VLOOKUP(B1653,'Pre-Summary'!$DE$6:$DG$61,3,FALSE),"")</f>
        <v/>
      </c>
      <c r="L1653" s="45" t="str">
        <f>IFERROR(VLOOKUP(B1653,'Pre-Summary'!$CU$6:$CW$36,3,FALSE),"")</f>
        <v/>
      </c>
      <c r="M1653" s="45" t="str">
        <f>IFERROR(VLOOKUP(B1653,'Pre-Summary'!$BW$6:$BY$58,2,FALSE),"")</f>
        <v/>
      </c>
      <c r="N1653" s="45" t="str">
        <f>IFERROR(VLOOKUP(B1653,'Pre-Summary'!$CD$6:$CF$64,2,FALSE),"")</f>
        <v/>
      </c>
      <c r="O1653" s="99">
        <f>IFERROR(VLOOKUP(B1653,'Pre-Summary'!$BO$6:$BQ$48,3, FALSE),O1652)</f>
        <v>1</v>
      </c>
      <c r="P1653" s="99">
        <f>IFERROR(VLOOKUP(B1653,'Pre-Summary'!$BS$6:$BU$35,3,FALSE),P1652)</f>
        <v>0.3</v>
      </c>
      <c r="Q1653" s="54">
        <f t="shared" si="75"/>
        <v>3.3333333333333335</v>
      </c>
      <c r="R1653" s="53">
        <f>IFERROR(VLOOKUP(B1653,'Pre-Summary'!$BG$6:$BM$44,7,FALSE),R1654)</f>
        <v>8.3576993058106674E-2</v>
      </c>
      <c r="S1653" s="53">
        <f>IFERROR(VLOOKUP(B1653,'Pre-Summary'!$BG$6:$BM$44,6,FALSE),S1654)</f>
        <v>0.10174646781791266</v>
      </c>
      <c r="T1653" s="45" t="str">
        <f>IFERROR(VLOOKUP(B1653,'Pre-Summary'!$Y$6:$AC$83, 3,FALSE),"")</f>
        <v/>
      </c>
      <c r="U1653" s="45" t="str">
        <f>IFERROR(VLOOKUP(B1653,'Pre-Summary'!$Y$6:$AC$83, 4,FALSE),"")</f>
        <v/>
      </c>
      <c r="V1653" t="str">
        <f>IFERROR(VLOOKUP(B1653,'Pre-Summary'!$Y$6:$AC$83, 5,FALSE),"")</f>
        <v/>
      </c>
      <c r="W1653" s="45" t="str">
        <f>IFERROR(VLOOKUP(B1653,'Pre-Summary'!$Y$6:$AD$83,6,FALSE),"")</f>
        <v/>
      </c>
      <c r="X1653" t="str">
        <f>IFERROR(VLOOKUP('Pre-Summary'!$DB$6:$DD$63,3,FALSE),"")</f>
        <v/>
      </c>
      <c r="Y1653" t="str">
        <f>IFERROR(VLOOKUP(B1653,'Pre-Summary'!$CR$6:$CT$36,3,FALSE),"")</f>
        <v/>
      </c>
      <c r="Z1653" s="45" t="str">
        <f>IFERROR(VLOOKUP(B1653,'Pre-Summary'!$BZ$6:$CB$63,2,FALSE),"")</f>
        <v/>
      </c>
      <c r="AA1653" s="45" t="str">
        <f>IFERROR(VLOOKUP(B1653,'Pre-Summary'!$CG$6:$CI$70,2,FALSE),"")</f>
        <v/>
      </c>
      <c r="AB1653" s="99">
        <f>IFERROR(VLOOKUP(B1653,'Pre-Summary'!$A$6:$P$178,9,FALSE),AB1654)</f>
        <v>0.2823945757993872</v>
      </c>
      <c r="AC1653" s="10">
        <f>IFERROR(VLOOKUP(Summary!B1653,'Pre-Summary'!$A$6:$P$184,5, FALSE)/100,AC1654)</f>
        <v>0.95646433333333336</v>
      </c>
      <c r="AD1653" s="10">
        <f>IFERROR(VLOOKUP(Summary!B1653,'Pre-Summary'!$A$6:$P$184,3, FALSE)/100,AD1654)</f>
        <v>1.3388333333333334E-2</v>
      </c>
      <c r="AE1653" s="10">
        <f>IFERROR(VLOOKUP(Summary!B1653,'Pre-Summary'!$A$6:$P$184,7, FALSE)/100,AE1654)</f>
        <v>3.0147E-2</v>
      </c>
      <c r="AF1653" s="99">
        <f t="shared" si="76"/>
        <v>3.7807927123274625E-3</v>
      </c>
      <c r="AG1653" s="99">
        <f t="shared" si="77"/>
        <v>8.5133492766241263E-3</v>
      </c>
      <c r="AH1653" s="10" t="str">
        <f>IFERROR(VLOOKUP(B1653,'Pre-Summary'!$AZ$6:$BE$65,3,FALSE),"")</f>
        <v/>
      </c>
      <c r="AI1653" s="10" t="str">
        <f>IFERROR(VLOOKUP(B1653,'Pre-Summary'!$AZ$6:$BE$65,5,FALSE),"")</f>
        <v/>
      </c>
      <c r="AJ1653" s="10" t="str">
        <f>IFERROR(VLOOKUP(B1653,'Pre-Summary'!$AZ$6:$BE$65,4,FALSE),"")</f>
        <v/>
      </c>
      <c r="AK1653" s="10" t="str">
        <f>IFERROR(VLOOKUP(B1653,'Pre-Summary'!$AZ$6:$BE$65,6,FALSE),"")</f>
        <v/>
      </c>
      <c r="AL1653" s="10" t="str">
        <f>IFERROR(VLOOKUP(B1653,'Pre-Summary'!$BG$6:$BL$44,3,FALSE),"")</f>
        <v/>
      </c>
      <c r="AM1653" s="10" t="str">
        <f>IFERROR(VLOOKUP(B1653,'Pre-Summary'!$BG$6:$BL$44,4,FALSE),"")</f>
        <v/>
      </c>
    </row>
    <row r="1654" spans="2:39" ht="15" customHeight="1" x14ac:dyDescent="0.3">
      <c r="B1654">
        <v>165.1</v>
      </c>
      <c r="C1654" t="str">
        <f>IFERROR(VLOOKUP(B1654,'Pre-Summary'!$DI$6:$DM$23,4,FALSE),"")</f>
        <v/>
      </c>
      <c r="D1654" s="10" t="str">
        <f>IFERROR(VLOOKUP(B1654,'Pre-Summary'!$AT$6:$AX$14,5,FALSE),D1653)</f>
        <v>Wolfe v3: went back to modified wolfe + EDTA and switched CuSO4 to CUCl2</v>
      </c>
      <c r="E1654" s="10" t="str">
        <f>IFERROR(VLOOKUP(B1654,'Pre-Summary'!$AT$6:$AX$15,4,FALSE),"")</f>
        <v/>
      </c>
      <c r="F1654">
        <f>IFERROR(VLOOKUP(B1654,'Pre-Summary'!$AL$6:$AQ$13,6,FALSE),F1653)</f>
        <v>5.9405263157894746E-2</v>
      </c>
      <c r="G1654" t="str">
        <f>IFERROR(VLOOKUP(B1654,'Pre-Summary'!$AE$6:$AJ$85,3,FALSE),"")</f>
        <v/>
      </c>
      <c r="H1654" t="str">
        <f>IFERROR(VLOOKUP(B1654,'Pre-Summary'!$AE$6:$AJ$85,4,FALSE),"")</f>
        <v/>
      </c>
      <c r="I1654" t="str">
        <f>IFERROR(VLOOKUP(B1654,'Pre-Summary'!$AE$6:$AJ$85,5,FALSE),"")</f>
        <v/>
      </c>
      <c r="J1654" s="45" t="str">
        <f>IFERROR(VLOOKUP(B1654,'Pre-Summary'!$AE$6:$AJ$85,6, FALSE),"")</f>
        <v/>
      </c>
      <c r="K1654" s="45" t="str">
        <f>IFERROR(VLOOKUP(B1654,'Pre-Summary'!$DE$6:$DG$61,3,FALSE),"")</f>
        <v/>
      </c>
      <c r="L1654" s="45" t="str">
        <f>IFERROR(VLOOKUP(B1654,'Pre-Summary'!$CU$6:$CW$36,3,FALSE),"")</f>
        <v/>
      </c>
      <c r="M1654" s="45" t="str">
        <f>IFERROR(VLOOKUP(B1654,'Pre-Summary'!$BW$6:$BY$58,2,FALSE),"")</f>
        <v/>
      </c>
      <c r="N1654" s="45" t="str">
        <f>IFERROR(VLOOKUP(B1654,'Pre-Summary'!$CD$6:$CF$64,2,FALSE),"")</f>
        <v/>
      </c>
      <c r="O1654" s="99">
        <f>IFERROR(VLOOKUP(B1654,'Pre-Summary'!$BO$6:$BQ$48,3, FALSE),O1653)</f>
        <v>1</v>
      </c>
      <c r="P1654" s="99">
        <f>IFERROR(VLOOKUP(B1654,'Pre-Summary'!$BS$6:$BU$35,3,FALSE),P1653)</f>
        <v>0.3</v>
      </c>
      <c r="Q1654" s="54">
        <f t="shared" si="75"/>
        <v>3.3333333333333335</v>
      </c>
      <c r="R1654" s="53">
        <f>IFERROR(VLOOKUP(B1654,'Pre-Summary'!$BG$6:$BM$44,7,FALSE),R1655)</f>
        <v>8.3576993058106674E-2</v>
      </c>
      <c r="S1654" s="53">
        <f>IFERROR(VLOOKUP(B1654,'Pre-Summary'!$BG$6:$BM$44,6,FALSE),S1655)</f>
        <v>0.10174646781791266</v>
      </c>
      <c r="T1654" s="45" t="str">
        <f>IFERROR(VLOOKUP(B1654,'Pre-Summary'!$Y$6:$AC$83, 3,FALSE),"")</f>
        <v/>
      </c>
      <c r="U1654" s="45" t="str">
        <f>IFERROR(VLOOKUP(B1654,'Pre-Summary'!$Y$6:$AC$83, 4,FALSE),"")</f>
        <v/>
      </c>
      <c r="V1654" t="str">
        <f>IFERROR(VLOOKUP(B1654,'Pre-Summary'!$Y$6:$AC$83, 5,FALSE),"")</f>
        <v/>
      </c>
      <c r="W1654" s="45" t="str">
        <f>IFERROR(VLOOKUP(B1654,'Pre-Summary'!$Y$6:$AD$83,6,FALSE),"")</f>
        <v/>
      </c>
      <c r="X1654" t="str">
        <f>IFERROR(VLOOKUP('Pre-Summary'!$DB$6:$DD$63,3,FALSE),"")</f>
        <v/>
      </c>
      <c r="Y1654" t="str">
        <f>IFERROR(VLOOKUP(B1654,'Pre-Summary'!$CR$6:$CT$36,3,FALSE),"")</f>
        <v/>
      </c>
      <c r="Z1654" s="45" t="str">
        <f>IFERROR(VLOOKUP(B1654,'Pre-Summary'!$BZ$6:$CB$63,2,FALSE),"")</f>
        <v/>
      </c>
      <c r="AA1654" s="45" t="str">
        <f>IFERROR(VLOOKUP(B1654,'Pre-Summary'!$CG$6:$CI$70,2,FALSE),"")</f>
        <v/>
      </c>
      <c r="AB1654" s="99">
        <f>IFERROR(VLOOKUP(B1654,'Pre-Summary'!$A$6:$P$178,9,FALSE),AB1655)</f>
        <v>0.2823945757993872</v>
      </c>
      <c r="AC1654" s="10">
        <f>IFERROR(VLOOKUP(Summary!B1654,'Pre-Summary'!$A$6:$P$184,5, FALSE)/100,AC1655)</f>
        <v>0.95646433333333336</v>
      </c>
      <c r="AD1654" s="10">
        <f>IFERROR(VLOOKUP(Summary!B1654,'Pre-Summary'!$A$6:$P$184,3, FALSE)/100,AD1655)</f>
        <v>1.3388333333333334E-2</v>
      </c>
      <c r="AE1654" s="10">
        <f>IFERROR(VLOOKUP(Summary!B1654,'Pre-Summary'!$A$6:$P$184,7, FALSE)/100,AE1655)</f>
        <v>3.0147E-2</v>
      </c>
      <c r="AF1654" s="99">
        <f t="shared" si="76"/>
        <v>3.7807927123274625E-3</v>
      </c>
      <c r="AG1654" s="99">
        <f t="shared" si="77"/>
        <v>8.5133492766241263E-3</v>
      </c>
      <c r="AH1654" s="10" t="str">
        <f>IFERROR(VLOOKUP(B1654,'Pre-Summary'!$AZ$6:$BE$65,3,FALSE),"")</f>
        <v/>
      </c>
      <c r="AI1654" s="10" t="str">
        <f>IFERROR(VLOOKUP(B1654,'Pre-Summary'!$AZ$6:$BE$65,5,FALSE),"")</f>
        <v/>
      </c>
      <c r="AJ1654" s="10" t="str">
        <f>IFERROR(VLOOKUP(B1654,'Pre-Summary'!$AZ$6:$BE$65,4,FALSE),"")</f>
        <v/>
      </c>
      <c r="AK1654" s="10" t="str">
        <f>IFERROR(VLOOKUP(B1654,'Pre-Summary'!$AZ$6:$BE$65,6,FALSE),"")</f>
        <v/>
      </c>
      <c r="AL1654" s="10" t="str">
        <f>IFERROR(VLOOKUP(B1654,'Pre-Summary'!$BG$6:$BL$44,3,FALSE),"")</f>
        <v/>
      </c>
      <c r="AM1654" s="10" t="str">
        <f>IFERROR(VLOOKUP(B1654,'Pre-Summary'!$BG$6:$BL$44,4,FALSE),"")</f>
        <v/>
      </c>
    </row>
    <row r="1655" spans="2:39" ht="15" customHeight="1" x14ac:dyDescent="0.3">
      <c r="B1655">
        <v>165.2</v>
      </c>
      <c r="C1655" t="str">
        <f>IFERROR(VLOOKUP(B1655,'Pre-Summary'!$DI$6:$DM$23,4,FALSE),"")</f>
        <v/>
      </c>
      <c r="D1655" s="10" t="str">
        <f>IFERROR(VLOOKUP(B1655,'Pre-Summary'!$AT$6:$AX$14,5,FALSE),D1654)</f>
        <v>Wolfe v3: went back to modified wolfe + EDTA and switched CuSO4 to CUCl2</v>
      </c>
      <c r="E1655" s="10" t="str">
        <f>IFERROR(VLOOKUP(B1655,'Pre-Summary'!$AT$6:$AX$15,4,FALSE),"")</f>
        <v/>
      </c>
      <c r="F1655">
        <f>IFERROR(VLOOKUP(B1655,'Pre-Summary'!$AL$6:$AQ$13,6,FALSE),F1654)</f>
        <v>5.9405263157894746E-2</v>
      </c>
      <c r="G1655" t="str">
        <f>IFERROR(VLOOKUP(B1655,'Pre-Summary'!$AE$6:$AJ$85,3,FALSE),"")</f>
        <v/>
      </c>
      <c r="H1655" t="str">
        <f>IFERROR(VLOOKUP(B1655,'Pre-Summary'!$AE$6:$AJ$85,4,FALSE),"")</f>
        <v/>
      </c>
      <c r="I1655" t="str">
        <f>IFERROR(VLOOKUP(B1655,'Pre-Summary'!$AE$6:$AJ$85,5,FALSE),"")</f>
        <v/>
      </c>
      <c r="J1655" s="45" t="str">
        <f>IFERROR(VLOOKUP(B1655,'Pre-Summary'!$AE$6:$AJ$85,6, FALSE),"")</f>
        <v/>
      </c>
      <c r="K1655" s="45" t="str">
        <f>IFERROR(VLOOKUP(B1655,'Pre-Summary'!$DE$6:$DG$61,3,FALSE),"")</f>
        <v/>
      </c>
      <c r="L1655" s="45" t="str">
        <f>IFERROR(VLOOKUP(B1655,'Pre-Summary'!$CU$6:$CW$36,3,FALSE),"")</f>
        <v/>
      </c>
      <c r="M1655" s="45" t="str">
        <f>IFERROR(VLOOKUP(B1655,'Pre-Summary'!$BW$6:$BY$58,2,FALSE),"")</f>
        <v/>
      </c>
      <c r="N1655" s="45" t="str">
        <f>IFERROR(VLOOKUP(B1655,'Pre-Summary'!$CD$6:$CF$64,2,FALSE),"")</f>
        <v/>
      </c>
      <c r="O1655" s="99">
        <f>IFERROR(VLOOKUP(B1655,'Pre-Summary'!$BO$6:$BQ$48,3, FALSE),O1654)</f>
        <v>1</v>
      </c>
      <c r="P1655" s="99">
        <f>IFERROR(VLOOKUP(B1655,'Pre-Summary'!$BS$6:$BU$35,3,FALSE),P1654)</f>
        <v>0.3</v>
      </c>
      <c r="Q1655" s="54">
        <f t="shared" si="75"/>
        <v>3.3333333333333335</v>
      </c>
      <c r="R1655" s="53">
        <f>IFERROR(VLOOKUP(B1655,'Pre-Summary'!$BG$6:$BM$44,7,FALSE),R1656)</f>
        <v>8.3576993058106674E-2</v>
      </c>
      <c r="S1655" s="53">
        <f>IFERROR(VLOOKUP(B1655,'Pre-Summary'!$BG$6:$BM$44,6,FALSE),S1656)</f>
        <v>0.10174646781791266</v>
      </c>
      <c r="T1655" s="45" t="str">
        <f>IFERROR(VLOOKUP(B1655,'Pre-Summary'!$Y$6:$AC$83, 3,FALSE),"")</f>
        <v/>
      </c>
      <c r="U1655" s="45" t="str">
        <f>IFERROR(VLOOKUP(B1655,'Pre-Summary'!$Y$6:$AC$83, 4,FALSE),"")</f>
        <v/>
      </c>
      <c r="V1655" t="str">
        <f>IFERROR(VLOOKUP(B1655,'Pre-Summary'!$Y$6:$AC$83, 5,FALSE),"")</f>
        <v/>
      </c>
      <c r="W1655" s="45" t="str">
        <f>IFERROR(VLOOKUP(B1655,'Pre-Summary'!$Y$6:$AD$83,6,FALSE),"")</f>
        <v/>
      </c>
      <c r="X1655" t="str">
        <f>IFERROR(VLOOKUP('Pre-Summary'!$DB$6:$DD$63,3,FALSE),"")</f>
        <v/>
      </c>
      <c r="Y1655" t="str">
        <f>IFERROR(VLOOKUP(B1655,'Pre-Summary'!$CR$6:$CT$36,3,FALSE),"")</f>
        <v/>
      </c>
      <c r="Z1655" s="45" t="str">
        <f>IFERROR(VLOOKUP(B1655,'Pre-Summary'!$BZ$6:$CB$63,2,FALSE),"")</f>
        <v/>
      </c>
      <c r="AA1655" s="45" t="str">
        <f>IFERROR(VLOOKUP(B1655,'Pre-Summary'!$CG$6:$CI$70,2,FALSE),"")</f>
        <v/>
      </c>
      <c r="AB1655" s="99">
        <f>IFERROR(VLOOKUP(B1655,'Pre-Summary'!$A$6:$P$178,9,FALSE),AB1656)</f>
        <v>0.2823945757993872</v>
      </c>
      <c r="AC1655" s="10">
        <f>IFERROR(VLOOKUP(Summary!B1655,'Pre-Summary'!$A$6:$P$184,5, FALSE)/100,AC1656)</f>
        <v>0.95646433333333336</v>
      </c>
      <c r="AD1655" s="10">
        <f>IFERROR(VLOOKUP(Summary!B1655,'Pre-Summary'!$A$6:$P$184,3, FALSE)/100,AD1656)</f>
        <v>1.3388333333333334E-2</v>
      </c>
      <c r="AE1655" s="10">
        <f>IFERROR(VLOOKUP(Summary!B1655,'Pre-Summary'!$A$6:$P$184,7, FALSE)/100,AE1656)</f>
        <v>3.0147E-2</v>
      </c>
      <c r="AF1655" s="99">
        <f t="shared" si="76"/>
        <v>3.7807927123274625E-3</v>
      </c>
      <c r="AG1655" s="99">
        <f t="shared" si="77"/>
        <v>8.5133492766241263E-3</v>
      </c>
      <c r="AH1655" s="10" t="str">
        <f>IFERROR(VLOOKUP(B1655,'Pre-Summary'!$AZ$6:$BE$65,3,FALSE),"")</f>
        <v/>
      </c>
      <c r="AI1655" s="10" t="str">
        <f>IFERROR(VLOOKUP(B1655,'Pre-Summary'!$AZ$6:$BE$65,5,FALSE),"")</f>
        <v/>
      </c>
      <c r="AJ1655" s="10" t="str">
        <f>IFERROR(VLOOKUP(B1655,'Pre-Summary'!$AZ$6:$BE$65,4,FALSE),"")</f>
        <v/>
      </c>
      <c r="AK1655" s="10" t="str">
        <f>IFERROR(VLOOKUP(B1655,'Pre-Summary'!$AZ$6:$BE$65,6,FALSE),"")</f>
        <v/>
      </c>
      <c r="AL1655" s="10" t="str">
        <f>IFERROR(VLOOKUP(B1655,'Pre-Summary'!$BG$6:$BL$44,3,FALSE),"")</f>
        <v/>
      </c>
      <c r="AM1655" s="10" t="str">
        <f>IFERROR(VLOOKUP(B1655,'Pre-Summary'!$BG$6:$BL$44,4,FALSE),"")</f>
        <v/>
      </c>
    </row>
    <row r="1656" spans="2:39" ht="15" customHeight="1" x14ac:dyDescent="0.3">
      <c r="B1656">
        <v>165.3</v>
      </c>
      <c r="C1656" t="str">
        <f>IFERROR(VLOOKUP(B1656,'Pre-Summary'!$DI$6:$DM$23,4,FALSE),"")</f>
        <v/>
      </c>
      <c r="D1656" s="10" t="str">
        <f>IFERROR(VLOOKUP(B1656,'Pre-Summary'!$AT$6:$AX$14,5,FALSE),D1655)</f>
        <v>Wolfe v3: went back to modified wolfe + EDTA and switched CuSO4 to CUCl2</v>
      </c>
      <c r="E1656" s="10" t="str">
        <f>IFERROR(VLOOKUP(B1656,'Pre-Summary'!$AT$6:$AX$15,4,FALSE),"")</f>
        <v/>
      </c>
      <c r="F1656">
        <f>IFERROR(VLOOKUP(B1656,'Pre-Summary'!$AL$6:$AQ$13,6,FALSE),F1655)</f>
        <v>5.9405263157894746E-2</v>
      </c>
      <c r="G1656" t="str">
        <f>IFERROR(VLOOKUP(B1656,'Pre-Summary'!$AE$6:$AJ$85,3,FALSE),"")</f>
        <v/>
      </c>
      <c r="H1656" t="str">
        <f>IFERROR(VLOOKUP(B1656,'Pre-Summary'!$AE$6:$AJ$85,4,FALSE),"")</f>
        <v/>
      </c>
      <c r="I1656" t="str">
        <f>IFERROR(VLOOKUP(B1656,'Pre-Summary'!$AE$6:$AJ$85,5,FALSE),"")</f>
        <v/>
      </c>
      <c r="J1656" s="45" t="str">
        <f>IFERROR(VLOOKUP(B1656,'Pre-Summary'!$AE$6:$AJ$85,6, FALSE),"")</f>
        <v/>
      </c>
      <c r="K1656" s="45" t="str">
        <f>IFERROR(VLOOKUP(B1656,'Pre-Summary'!$DE$6:$DG$61,3,FALSE),"")</f>
        <v/>
      </c>
      <c r="L1656" s="45" t="str">
        <f>IFERROR(VLOOKUP(B1656,'Pre-Summary'!$CU$6:$CW$36,3,FALSE),"")</f>
        <v/>
      </c>
      <c r="M1656" s="45" t="str">
        <f>IFERROR(VLOOKUP(B1656,'Pre-Summary'!$BW$6:$BY$58,2,FALSE),"")</f>
        <v/>
      </c>
      <c r="N1656" s="45" t="str">
        <f>IFERROR(VLOOKUP(B1656,'Pre-Summary'!$CD$6:$CF$64,2,FALSE),"")</f>
        <v/>
      </c>
      <c r="O1656" s="99">
        <f>IFERROR(VLOOKUP(B1656,'Pre-Summary'!$BO$6:$BQ$48,3, FALSE),O1655)</f>
        <v>1</v>
      </c>
      <c r="P1656" s="99">
        <f>IFERROR(VLOOKUP(B1656,'Pre-Summary'!$BS$6:$BU$35,3,FALSE),P1655)</f>
        <v>0.3</v>
      </c>
      <c r="Q1656" s="54">
        <f t="shared" si="75"/>
        <v>3.3333333333333335</v>
      </c>
      <c r="R1656" s="53">
        <f>IFERROR(VLOOKUP(B1656,'Pre-Summary'!$BG$6:$BM$44,7,FALSE),R1657)</f>
        <v>8.3576993058106674E-2</v>
      </c>
      <c r="S1656" s="53">
        <f>IFERROR(VLOOKUP(B1656,'Pre-Summary'!$BG$6:$BM$44,6,FALSE),S1657)</f>
        <v>0.10174646781791266</v>
      </c>
      <c r="T1656" s="45" t="str">
        <f>IFERROR(VLOOKUP(B1656,'Pre-Summary'!$Y$6:$AC$83, 3,FALSE),"")</f>
        <v/>
      </c>
      <c r="U1656" s="45" t="str">
        <f>IFERROR(VLOOKUP(B1656,'Pre-Summary'!$Y$6:$AC$83, 4,FALSE),"")</f>
        <v/>
      </c>
      <c r="V1656" t="str">
        <f>IFERROR(VLOOKUP(B1656,'Pre-Summary'!$Y$6:$AC$83, 5,FALSE),"")</f>
        <v/>
      </c>
      <c r="W1656" s="45" t="str">
        <f>IFERROR(VLOOKUP(B1656,'Pre-Summary'!$Y$6:$AD$83,6,FALSE),"")</f>
        <v/>
      </c>
      <c r="X1656" t="str">
        <f>IFERROR(VLOOKUP('Pre-Summary'!$DB$6:$DD$63,3,FALSE),"")</f>
        <v/>
      </c>
      <c r="Y1656" t="str">
        <f>IFERROR(VLOOKUP(B1656,'Pre-Summary'!$CR$6:$CT$36,3,FALSE),"")</f>
        <v/>
      </c>
      <c r="Z1656" s="45" t="str">
        <f>IFERROR(VLOOKUP(B1656,'Pre-Summary'!$BZ$6:$CB$63,2,FALSE),"")</f>
        <v/>
      </c>
      <c r="AA1656" s="45" t="str">
        <f>IFERROR(VLOOKUP(B1656,'Pre-Summary'!$CG$6:$CI$70,2,FALSE),"")</f>
        <v/>
      </c>
      <c r="AB1656" s="99">
        <f>IFERROR(VLOOKUP(B1656,'Pre-Summary'!$A$6:$P$178,9,FALSE),AB1657)</f>
        <v>0.2823945757993872</v>
      </c>
      <c r="AC1656" s="10">
        <f>IFERROR(VLOOKUP(Summary!B1656,'Pre-Summary'!$A$6:$P$184,5, FALSE)/100,AC1657)</f>
        <v>0.95646433333333336</v>
      </c>
      <c r="AD1656" s="10">
        <f>IFERROR(VLOOKUP(Summary!B1656,'Pre-Summary'!$A$6:$P$184,3, FALSE)/100,AD1657)</f>
        <v>1.3388333333333334E-2</v>
      </c>
      <c r="AE1656" s="10">
        <f>IFERROR(VLOOKUP(Summary!B1656,'Pre-Summary'!$A$6:$P$184,7, FALSE)/100,AE1657)</f>
        <v>3.0147E-2</v>
      </c>
      <c r="AF1656" s="99">
        <f t="shared" si="76"/>
        <v>3.7807927123274625E-3</v>
      </c>
      <c r="AG1656" s="99">
        <f t="shared" si="77"/>
        <v>8.5133492766241263E-3</v>
      </c>
      <c r="AH1656" s="10" t="str">
        <f>IFERROR(VLOOKUP(B1656,'Pre-Summary'!$AZ$6:$BE$65,3,FALSE),"")</f>
        <v/>
      </c>
      <c r="AI1656" s="10" t="str">
        <f>IFERROR(VLOOKUP(B1656,'Pre-Summary'!$AZ$6:$BE$65,5,FALSE),"")</f>
        <v/>
      </c>
      <c r="AJ1656" s="10" t="str">
        <f>IFERROR(VLOOKUP(B1656,'Pre-Summary'!$AZ$6:$BE$65,4,FALSE),"")</f>
        <v/>
      </c>
      <c r="AK1656" s="10" t="str">
        <f>IFERROR(VLOOKUP(B1656,'Pre-Summary'!$AZ$6:$BE$65,6,FALSE),"")</f>
        <v/>
      </c>
      <c r="AL1656" s="10" t="str">
        <f>IFERROR(VLOOKUP(B1656,'Pre-Summary'!$BG$6:$BL$44,3,FALSE),"")</f>
        <v/>
      </c>
      <c r="AM1656" s="10" t="str">
        <f>IFERROR(VLOOKUP(B1656,'Pre-Summary'!$BG$6:$BL$44,4,FALSE),"")</f>
        <v/>
      </c>
    </row>
    <row r="1657" spans="2:39" ht="15" customHeight="1" x14ac:dyDescent="0.3">
      <c r="B1657">
        <v>165.4</v>
      </c>
      <c r="C1657" t="str">
        <f>IFERROR(VLOOKUP(B1657,'Pre-Summary'!$DI$6:$DM$23,4,FALSE),"")</f>
        <v/>
      </c>
      <c r="D1657" s="10" t="str">
        <f>IFERROR(VLOOKUP(B1657,'Pre-Summary'!$AT$6:$AX$14,5,FALSE),D1656)</f>
        <v>Wolfe v3: went back to modified wolfe + EDTA and switched CuSO4 to CUCl2</v>
      </c>
      <c r="E1657" s="10" t="str">
        <f>IFERROR(VLOOKUP(B1657,'Pre-Summary'!$AT$6:$AX$15,4,FALSE),"")</f>
        <v/>
      </c>
      <c r="F1657">
        <f>IFERROR(VLOOKUP(B1657,'Pre-Summary'!$AL$6:$AQ$13,6,FALSE),F1656)</f>
        <v>5.9405263157894746E-2</v>
      </c>
      <c r="G1657" t="str">
        <f>IFERROR(VLOOKUP(B1657,'Pre-Summary'!$AE$6:$AJ$85,3,FALSE),"")</f>
        <v/>
      </c>
      <c r="H1657" t="str">
        <f>IFERROR(VLOOKUP(B1657,'Pre-Summary'!$AE$6:$AJ$85,4,FALSE),"")</f>
        <v/>
      </c>
      <c r="I1657" t="str">
        <f>IFERROR(VLOOKUP(B1657,'Pre-Summary'!$AE$6:$AJ$85,5,FALSE),"")</f>
        <v/>
      </c>
      <c r="J1657" s="45" t="str">
        <f>IFERROR(VLOOKUP(B1657,'Pre-Summary'!$AE$6:$AJ$85,6, FALSE),"")</f>
        <v/>
      </c>
      <c r="K1657" s="45" t="str">
        <f>IFERROR(VLOOKUP(B1657,'Pre-Summary'!$DE$6:$DG$61,3,FALSE),"")</f>
        <v/>
      </c>
      <c r="L1657" s="45" t="str">
        <f>IFERROR(VLOOKUP(B1657,'Pre-Summary'!$CU$6:$CW$36,3,FALSE),"")</f>
        <v/>
      </c>
      <c r="M1657" s="45" t="str">
        <f>IFERROR(VLOOKUP(B1657,'Pre-Summary'!$BW$6:$BY$58,2,FALSE),"")</f>
        <v/>
      </c>
      <c r="N1657" s="45" t="str">
        <f>IFERROR(VLOOKUP(B1657,'Pre-Summary'!$CD$6:$CF$64,2,FALSE),"")</f>
        <v/>
      </c>
      <c r="O1657" s="99">
        <f>IFERROR(VLOOKUP(B1657,'Pre-Summary'!$BO$6:$BQ$48,3, FALSE),O1656)</f>
        <v>1</v>
      </c>
      <c r="P1657" s="99">
        <f>IFERROR(VLOOKUP(B1657,'Pre-Summary'!$BS$6:$BU$35,3,FALSE),P1656)</f>
        <v>0.3</v>
      </c>
      <c r="Q1657" s="54">
        <f t="shared" si="75"/>
        <v>3.3333333333333335</v>
      </c>
      <c r="R1657" s="53">
        <f>IFERROR(VLOOKUP(B1657,'Pre-Summary'!$BG$6:$BM$44,7,FALSE),R1658)</f>
        <v>8.3576993058106674E-2</v>
      </c>
      <c r="S1657" s="53">
        <f>IFERROR(VLOOKUP(B1657,'Pre-Summary'!$BG$6:$BM$44,6,FALSE),S1658)</f>
        <v>0.10174646781791266</v>
      </c>
      <c r="T1657" s="45" t="str">
        <f>IFERROR(VLOOKUP(B1657,'Pre-Summary'!$Y$6:$AC$83, 3,FALSE),"")</f>
        <v/>
      </c>
      <c r="U1657" s="45" t="str">
        <f>IFERROR(VLOOKUP(B1657,'Pre-Summary'!$Y$6:$AC$83, 4,FALSE),"")</f>
        <v/>
      </c>
      <c r="V1657" t="str">
        <f>IFERROR(VLOOKUP(B1657,'Pre-Summary'!$Y$6:$AC$83, 5,FALSE),"")</f>
        <v/>
      </c>
      <c r="W1657" s="45" t="str">
        <f>IFERROR(VLOOKUP(B1657,'Pre-Summary'!$Y$6:$AD$83,6,FALSE),"")</f>
        <v/>
      </c>
      <c r="X1657" t="str">
        <f>IFERROR(VLOOKUP('Pre-Summary'!$DB$6:$DD$63,3,FALSE),"")</f>
        <v/>
      </c>
      <c r="Y1657" t="str">
        <f>IFERROR(VLOOKUP(B1657,'Pre-Summary'!$CR$6:$CT$36,3,FALSE),"")</f>
        <v/>
      </c>
      <c r="Z1657" s="45" t="str">
        <f>IFERROR(VLOOKUP(B1657,'Pre-Summary'!$BZ$6:$CB$63,2,FALSE),"")</f>
        <v/>
      </c>
      <c r="AA1657" s="45" t="str">
        <f>IFERROR(VLOOKUP(B1657,'Pre-Summary'!$CG$6:$CI$70,2,FALSE),"")</f>
        <v/>
      </c>
      <c r="AB1657" s="99">
        <f>IFERROR(VLOOKUP(B1657,'Pre-Summary'!$A$6:$P$178,9,FALSE),AB1658)</f>
        <v>0.2823945757993872</v>
      </c>
      <c r="AC1657" s="10">
        <f>IFERROR(VLOOKUP(Summary!B1657,'Pre-Summary'!$A$6:$P$184,5, FALSE)/100,AC1658)</f>
        <v>0.95646433333333336</v>
      </c>
      <c r="AD1657" s="10">
        <f>IFERROR(VLOOKUP(Summary!B1657,'Pre-Summary'!$A$6:$P$184,3, FALSE)/100,AD1658)</f>
        <v>1.3388333333333334E-2</v>
      </c>
      <c r="AE1657" s="10">
        <f>IFERROR(VLOOKUP(Summary!B1657,'Pre-Summary'!$A$6:$P$184,7, FALSE)/100,AE1658)</f>
        <v>3.0147E-2</v>
      </c>
      <c r="AF1657" s="99">
        <f t="shared" si="76"/>
        <v>3.7807927123274625E-3</v>
      </c>
      <c r="AG1657" s="99">
        <f t="shared" si="77"/>
        <v>8.5133492766241263E-3</v>
      </c>
      <c r="AH1657" s="10" t="str">
        <f>IFERROR(VLOOKUP(B1657,'Pre-Summary'!$AZ$6:$BE$65,3,FALSE),"")</f>
        <v/>
      </c>
      <c r="AI1657" s="10" t="str">
        <f>IFERROR(VLOOKUP(B1657,'Pre-Summary'!$AZ$6:$BE$65,5,FALSE),"")</f>
        <v/>
      </c>
      <c r="AJ1657" s="10" t="str">
        <f>IFERROR(VLOOKUP(B1657,'Pre-Summary'!$AZ$6:$BE$65,4,FALSE),"")</f>
        <v/>
      </c>
      <c r="AK1657" s="10" t="str">
        <f>IFERROR(VLOOKUP(B1657,'Pre-Summary'!$AZ$6:$BE$65,6,FALSE),"")</f>
        <v/>
      </c>
      <c r="AL1657" s="10" t="str">
        <f>IFERROR(VLOOKUP(B1657,'Pre-Summary'!$BG$6:$BL$44,3,FALSE),"")</f>
        <v/>
      </c>
      <c r="AM1657" s="10" t="str">
        <f>IFERROR(VLOOKUP(B1657,'Pre-Summary'!$BG$6:$BL$44,4,FALSE),"")</f>
        <v/>
      </c>
    </row>
    <row r="1658" spans="2:39" ht="15" customHeight="1" x14ac:dyDescent="0.3">
      <c r="B1658">
        <v>165.5</v>
      </c>
      <c r="C1658" t="str">
        <f>IFERROR(VLOOKUP(B1658,'Pre-Summary'!$DI$6:$DM$23,4,FALSE),"")</f>
        <v/>
      </c>
      <c r="D1658" s="10" t="str">
        <f>IFERROR(VLOOKUP(B1658,'Pre-Summary'!$AT$6:$AX$14,5,FALSE),D1657)</f>
        <v>Wolfe v3: went back to modified wolfe + EDTA and switched CuSO4 to CUCl2</v>
      </c>
      <c r="E1658" s="10" t="str">
        <f>IFERROR(VLOOKUP(B1658,'Pre-Summary'!$AT$6:$AX$15,4,FALSE),"")</f>
        <v/>
      </c>
      <c r="F1658">
        <f>IFERROR(VLOOKUP(B1658,'Pre-Summary'!$AL$6:$AQ$13,6,FALSE),F1657)</f>
        <v>5.9405263157894746E-2</v>
      </c>
      <c r="G1658" t="str">
        <f>IFERROR(VLOOKUP(B1658,'Pre-Summary'!$AE$6:$AJ$85,3,FALSE),"")</f>
        <v/>
      </c>
      <c r="H1658" t="str">
        <f>IFERROR(VLOOKUP(B1658,'Pre-Summary'!$AE$6:$AJ$85,4,FALSE),"")</f>
        <v/>
      </c>
      <c r="I1658" t="str">
        <f>IFERROR(VLOOKUP(B1658,'Pre-Summary'!$AE$6:$AJ$85,5,FALSE),"")</f>
        <v/>
      </c>
      <c r="J1658" s="45" t="str">
        <f>IFERROR(VLOOKUP(B1658,'Pre-Summary'!$AE$6:$AJ$85,6, FALSE),"")</f>
        <v/>
      </c>
      <c r="K1658" s="45" t="str">
        <f>IFERROR(VLOOKUP(B1658,'Pre-Summary'!$DE$6:$DG$61,3,FALSE),"")</f>
        <v/>
      </c>
      <c r="L1658" s="45" t="str">
        <f>IFERROR(VLOOKUP(B1658,'Pre-Summary'!$CU$6:$CW$36,3,FALSE),"")</f>
        <v/>
      </c>
      <c r="M1658" s="45" t="str">
        <f>IFERROR(VLOOKUP(B1658,'Pre-Summary'!$BW$6:$BY$58,2,FALSE),"")</f>
        <v/>
      </c>
      <c r="N1658" s="45" t="str">
        <f>IFERROR(VLOOKUP(B1658,'Pre-Summary'!$CD$6:$CF$64,2,FALSE),"")</f>
        <v/>
      </c>
      <c r="O1658" s="99">
        <f>IFERROR(VLOOKUP(B1658,'Pre-Summary'!$BO$6:$BQ$48,3, FALSE),O1657)</f>
        <v>1</v>
      </c>
      <c r="P1658" s="99">
        <f>IFERROR(VLOOKUP(B1658,'Pre-Summary'!$BS$6:$BU$35,3,FALSE),P1657)</f>
        <v>0.3</v>
      </c>
      <c r="Q1658" s="54">
        <f t="shared" si="75"/>
        <v>3.3333333333333335</v>
      </c>
      <c r="R1658" s="53">
        <f>IFERROR(VLOOKUP(B1658,'Pre-Summary'!$BG$6:$BM$44,7,FALSE),R1659)</f>
        <v>8.3576993058106674E-2</v>
      </c>
      <c r="S1658" s="53">
        <f>IFERROR(VLOOKUP(B1658,'Pre-Summary'!$BG$6:$BM$44,6,FALSE),S1659)</f>
        <v>0.10174646781791266</v>
      </c>
      <c r="T1658" s="45" t="str">
        <f>IFERROR(VLOOKUP(B1658,'Pre-Summary'!$Y$6:$AC$83, 3,FALSE),"")</f>
        <v/>
      </c>
      <c r="U1658" s="45" t="str">
        <f>IFERROR(VLOOKUP(B1658,'Pre-Summary'!$Y$6:$AC$83, 4,FALSE),"")</f>
        <v/>
      </c>
      <c r="V1658" t="str">
        <f>IFERROR(VLOOKUP(B1658,'Pre-Summary'!$Y$6:$AC$83, 5,FALSE),"")</f>
        <v/>
      </c>
      <c r="W1658" s="45" t="str">
        <f>IFERROR(VLOOKUP(B1658,'Pre-Summary'!$Y$6:$AD$83,6,FALSE),"")</f>
        <v/>
      </c>
      <c r="X1658" t="str">
        <f>IFERROR(VLOOKUP('Pre-Summary'!$DB$6:$DD$63,3,FALSE),"")</f>
        <v/>
      </c>
      <c r="Y1658" t="str">
        <f>IFERROR(VLOOKUP(B1658,'Pre-Summary'!$CR$6:$CT$36,3,FALSE),"")</f>
        <v/>
      </c>
      <c r="Z1658" s="45" t="str">
        <f>IFERROR(VLOOKUP(B1658,'Pre-Summary'!$BZ$6:$CB$63,2,FALSE),"")</f>
        <v/>
      </c>
      <c r="AA1658" s="45" t="str">
        <f>IFERROR(VLOOKUP(B1658,'Pre-Summary'!$CG$6:$CI$70,2,FALSE),"")</f>
        <v/>
      </c>
      <c r="AB1658" s="99">
        <f>IFERROR(VLOOKUP(B1658,'Pre-Summary'!$A$6:$P$178,9,FALSE),AB1659)</f>
        <v>0.2823945757993872</v>
      </c>
      <c r="AC1658" s="10">
        <f>IFERROR(VLOOKUP(Summary!B1658,'Pre-Summary'!$A$6:$P$184,5, FALSE)/100,AC1659)</f>
        <v>0.95646433333333336</v>
      </c>
      <c r="AD1658" s="10">
        <f>IFERROR(VLOOKUP(Summary!B1658,'Pre-Summary'!$A$6:$P$184,3, FALSE)/100,AD1659)</f>
        <v>1.3388333333333334E-2</v>
      </c>
      <c r="AE1658" s="10">
        <f>IFERROR(VLOOKUP(Summary!B1658,'Pre-Summary'!$A$6:$P$184,7, FALSE)/100,AE1659)</f>
        <v>3.0147E-2</v>
      </c>
      <c r="AF1658" s="99">
        <f t="shared" si="76"/>
        <v>3.7807927123274625E-3</v>
      </c>
      <c r="AG1658" s="99">
        <f t="shared" si="77"/>
        <v>8.5133492766241263E-3</v>
      </c>
      <c r="AH1658" s="10" t="str">
        <f>IFERROR(VLOOKUP(B1658,'Pre-Summary'!$AZ$6:$BE$65,3,FALSE),"")</f>
        <v/>
      </c>
      <c r="AI1658" s="10" t="str">
        <f>IFERROR(VLOOKUP(B1658,'Pre-Summary'!$AZ$6:$BE$65,5,FALSE),"")</f>
        <v/>
      </c>
      <c r="AJ1658" s="10" t="str">
        <f>IFERROR(VLOOKUP(B1658,'Pre-Summary'!$AZ$6:$BE$65,4,FALSE),"")</f>
        <v/>
      </c>
      <c r="AK1658" s="10" t="str">
        <f>IFERROR(VLOOKUP(B1658,'Pre-Summary'!$AZ$6:$BE$65,6,FALSE),"")</f>
        <v/>
      </c>
      <c r="AL1658" s="10" t="str">
        <f>IFERROR(VLOOKUP(B1658,'Pre-Summary'!$BG$6:$BL$44,3,FALSE),"")</f>
        <v/>
      </c>
      <c r="AM1658" s="10" t="str">
        <f>IFERROR(VLOOKUP(B1658,'Pre-Summary'!$BG$6:$BL$44,4,FALSE),"")</f>
        <v/>
      </c>
    </row>
    <row r="1659" spans="2:39" ht="15" customHeight="1" x14ac:dyDescent="0.3">
      <c r="B1659">
        <v>165.6</v>
      </c>
      <c r="C1659" t="str">
        <f>IFERROR(VLOOKUP(B1659,'Pre-Summary'!$DI$6:$DM$23,4,FALSE),"")</f>
        <v/>
      </c>
      <c r="D1659" s="10" t="str">
        <f>IFERROR(VLOOKUP(B1659,'Pre-Summary'!$AT$6:$AX$14,5,FALSE),D1658)</f>
        <v>Wolfe v3: went back to modified wolfe + EDTA and switched CuSO4 to CUCl2</v>
      </c>
      <c r="E1659" s="10" t="str">
        <f>IFERROR(VLOOKUP(B1659,'Pre-Summary'!$AT$6:$AX$15,4,FALSE),"")</f>
        <v/>
      </c>
      <c r="F1659">
        <f>IFERROR(VLOOKUP(B1659,'Pre-Summary'!$AL$6:$AQ$13,6,FALSE),F1658)</f>
        <v>5.9405263157894746E-2</v>
      </c>
      <c r="G1659" t="str">
        <f>IFERROR(VLOOKUP(B1659,'Pre-Summary'!$AE$6:$AJ$85,3,FALSE),"")</f>
        <v/>
      </c>
      <c r="H1659" t="str">
        <f>IFERROR(VLOOKUP(B1659,'Pre-Summary'!$AE$6:$AJ$85,4,FALSE),"")</f>
        <v/>
      </c>
      <c r="I1659" t="str">
        <f>IFERROR(VLOOKUP(B1659,'Pre-Summary'!$AE$6:$AJ$85,5,FALSE),"")</f>
        <v/>
      </c>
      <c r="J1659" s="45" t="str">
        <f>IFERROR(VLOOKUP(B1659,'Pre-Summary'!$AE$6:$AJ$85,6, FALSE),"")</f>
        <v/>
      </c>
      <c r="K1659" s="45" t="str">
        <f>IFERROR(VLOOKUP(B1659,'Pre-Summary'!$DE$6:$DG$61,3,FALSE),"")</f>
        <v/>
      </c>
      <c r="L1659" s="45" t="str">
        <f>IFERROR(VLOOKUP(B1659,'Pre-Summary'!$CU$6:$CW$36,3,FALSE),"")</f>
        <v/>
      </c>
      <c r="M1659" s="45" t="str">
        <f>IFERROR(VLOOKUP(B1659,'Pre-Summary'!$BW$6:$BY$58,2,FALSE),"")</f>
        <v/>
      </c>
      <c r="N1659" s="45" t="str">
        <f>IFERROR(VLOOKUP(B1659,'Pre-Summary'!$CD$6:$CF$64,2,FALSE),"")</f>
        <v/>
      </c>
      <c r="O1659" s="99">
        <f>IFERROR(VLOOKUP(B1659,'Pre-Summary'!$BO$6:$BQ$48,3, FALSE),O1658)</f>
        <v>1</v>
      </c>
      <c r="P1659" s="99">
        <f>IFERROR(VLOOKUP(B1659,'Pre-Summary'!$BS$6:$BU$35,3,FALSE),P1658)</f>
        <v>0.3</v>
      </c>
      <c r="Q1659" s="54">
        <f t="shared" si="75"/>
        <v>3.3333333333333335</v>
      </c>
      <c r="R1659" s="53">
        <f>IFERROR(VLOOKUP(B1659,'Pre-Summary'!$BG$6:$BM$44,7,FALSE),R1660)</f>
        <v>8.3576993058106674E-2</v>
      </c>
      <c r="S1659" s="53">
        <f>IFERROR(VLOOKUP(B1659,'Pre-Summary'!$BG$6:$BM$44,6,FALSE),S1660)</f>
        <v>0.10174646781791266</v>
      </c>
      <c r="T1659" s="45" t="str">
        <f>IFERROR(VLOOKUP(B1659,'Pre-Summary'!$Y$6:$AC$83, 3,FALSE),"")</f>
        <v/>
      </c>
      <c r="U1659" s="45" t="str">
        <f>IFERROR(VLOOKUP(B1659,'Pre-Summary'!$Y$6:$AC$83, 4,FALSE),"")</f>
        <v/>
      </c>
      <c r="V1659" t="str">
        <f>IFERROR(VLOOKUP(B1659,'Pre-Summary'!$Y$6:$AC$83, 5,FALSE),"")</f>
        <v/>
      </c>
      <c r="W1659" s="45" t="str">
        <f>IFERROR(VLOOKUP(B1659,'Pre-Summary'!$Y$6:$AD$83,6,FALSE),"")</f>
        <v/>
      </c>
      <c r="X1659" t="str">
        <f>IFERROR(VLOOKUP('Pre-Summary'!$DB$6:$DD$63,3,FALSE),"")</f>
        <v/>
      </c>
      <c r="Y1659" t="str">
        <f>IFERROR(VLOOKUP(B1659,'Pre-Summary'!$CR$6:$CT$36,3,FALSE),"")</f>
        <v/>
      </c>
      <c r="Z1659" s="45" t="str">
        <f>IFERROR(VLOOKUP(B1659,'Pre-Summary'!$BZ$6:$CB$63,2,FALSE),"")</f>
        <v/>
      </c>
      <c r="AA1659" s="45" t="str">
        <f>IFERROR(VLOOKUP(B1659,'Pre-Summary'!$CG$6:$CI$70,2,FALSE),"")</f>
        <v/>
      </c>
      <c r="AB1659" s="99">
        <f>IFERROR(VLOOKUP(B1659,'Pre-Summary'!$A$6:$P$178,9,FALSE),AB1660)</f>
        <v>0.2823945757993872</v>
      </c>
      <c r="AC1659" s="10">
        <f>IFERROR(VLOOKUP(Summary!B1659,'Pre-Summary'!$A$6:$P$184,5, FALSE)/100,AC1660)</f>
        <v>0.95646433333333336</v>
      </c>
      <c r="AD1659" s="10">
        <f>IFERROR(VLOOKUP(Summary!B1659,'Pre-Summary'!$A$6:$P$184,3, FALSE)/100,AD1660)</f>
        <v>1.3388333333333334E-2</v>
      </c>
      <c r="AE1659" s="10">
        <f>IFERROR(VLOOKUP(Summary!B1659,'Pre-Summary'!$A$6:$P$184,7, FALSE)/100,AE1660)</f>
        <v>3.0147E-2</v>
      </c>
      <c r="AF1659" s="99">
        <f t="shared" si="76"/>
        <v>3.7807927123274625E-3</v>
      </c>
      <c r="AG1659" s="99">
        <f t="shared" si="77"/>
        <v>8.5133492766241263E-3</v>
      </c>
      <c r="AH1659" s="10" t="str">
        <f>IFERROR(VLOOKUP(B1659,'Pre-Summary'!$AZ$6:$BE$65,3,FALSE),"")</f>
        <v/>
      </c>
      <c r="AI1659" s="10" t="str">
        <f>IFERROR(VLOOKUP(B1659,'Pre-Summary'!$AZ$6:$BE$65,5,FALSE),"")</f>
        <v/>
      </c>
      <c r="AJ1659" s="10" t="str">
        <f>IFERROR(VLOOKUP(B1659,'Pre-Summary'!$AZ$6:$BE$65,4,FALSE),"")</f>
        <v/>
      </c>
      <c r="AK1659" s="10" t="str">
        <f>IFERROR(VLOOKUP(B1659,'Pre-Summary'!$AZ$6:$BE$65,6,FALSE),"")</f>
        <v/>
      </c>
      <c r="AL1659" s="10" t="str">
        <f>IFERROR(VLOOKUP(B1659,'Pre-Summary'!$BG$6:$BL$44,3,FALSE),"")</f>
        <v/>
      </c>
      <c r="AM1659" s="10" t="str">
        <f>IFERROR(VLOOKUP(B1659,'Pre-Summary'!$BG$6:$BL$44,4,FALSE),"")</f>
        <v/>
      </c>
    </row>
    <row r="1660" spans="2:39" ht="15" customHeight="1" x14ac:dyDescent="0.3">
      <c r="B1660">
        <v>165.7</v>
      </c>
      <c r="C1660" t="str">
        <f>IFERROR(VLOOKUP(B1660,'Pre-Summary'!$DI$6:$DM$23,4,FALSE),"")</f>
        <v/>
      </c>
      <c r="D1660" s="10" t="str">
        <f>IFERROR(VLOOKUP(B1660,'Pre-Summary'!$AT$6:$AX$14,5,FALSE),D1659)</f>
        <v>Wolfe v3: went back to modified wolfe + EDTA and switched CuSO4 to CUCl2</v>
      </c>
      <c r="E1660" s="10" t="str">
        <f>IFERROR(VLOOKUP(B1660,'Pre-Summary'!$AT$6:$AX$15,4,FALSE),"")</f>
        <v/>
      </c>
      <c r="F1660">
        <f>IFERROR(VLOOKUP(B1660,'Pre-Summary'!$AL$6:$AQ$13,6,FALSE),F1659)</f>
        <v>5.9405263157894746E-2</v>
      </c>
      <c r="G1660" t="str">
        <f>IFERROR(VLOOKUP(B1660,'Pre-Summary'!$AE$6:$AJ$85,3,FALSE),"")</f>
        <v/>
      </c>
      <c r="H1660" t="str">
        <f>IFERROR(VLOOKUP(B1660,'Pre-Summary'!$AE$6:$AJ$85,4,FALSE),"")</f>
        <v/>
      </c>
      <c r="I1660" t="str">
        <f>IFERROR(VLOOKUP(B1660,'Pre-Summary'!$AE$6:$AJ$85,5,FALSE),"")</f>
        <v/>
      </c>
      <c r="J1660" s="45" t="str">
        <f>IFERROR(VLOOKUP(B1660,'Pre-Summary'!$AE$6:$AJ$85,6, FALSE),"")</f>
        <v/>
      </c>
      <c r="K1660" s="45" t="str">
        <f>IFERROR(VLOOKUP(B1660,'Pre-Summary'!$DE$6:$DG$61,3,FALSE),"")</f>
        <v/>
      </c>
      <c r="L1660" s="45" t="str">
        <f>IFERROR(VLOOKUP(B1660,'Pre-Summary'!$CU$6:$CW$36,3,FALSE),"")</f>
        <v/>
      </c>
      <c r="M1660" s="45" t="str">
        <f>IFERROR(VLOOKUP(B1660,'Pre-Summary'!$BW$6:$BY$58,2,FALSE),"")</f>
        <v/>
      </c>
      <c r="N1660" s="45" t="str">
        <f>IFERROR(VLOOKUP(B1660,'Pre-Summary'!$CD$6:$CF$64,2,FALSE),"")</f>
        <v/>
      </c>
      <c r="O1660" s="99">
        <f>IFERROR(VLOOKUP(B1660,'Pre-Summary'!$BO$6:$BQ$48,3, FALSE),O1659)</f>
        <v>1</v>
      </c>
      <c r="P1660" s="99">
        <f>IFERROR(VLOOKUP(B1660,'Pre-Summary'!$BS$6:$BU$35,3,FALSE),P1659)</f>
        <v>0.3</v>
      </c>
      <c r="Q1660" s="54">
        <f t="shared" si="75"/>
        <v>3.3333333333333335</v>
      </c>
      <c r="R1660" s="53">
        <f>IFERROR(VLOOKUP(B1660,'Pre-Summary'!$BG$6:$BM$44,7,FALSE),R1661)</f>
        <v>8.3576993058106674E-2</v>
      </c>
      <c r="S1660" s="53">
        <f>IFERROR(VLOOKUP(B1660,'Pre-Summary'!$BG$6:$BM$44,6,FALSE),S1661)</f>
        <v>0.10174646781791266</v>
      </c>
      <c r="T1660" s="45" t="str">
        <f>IFERROR(VLOOKUP(B1660,'Pre-Summary'!$Y$6:$AC$83, 3,FALSE),"")</f>
        <v/>
      </c>
      <c r="U1660" s="45" t="str">
        <f>IFERROR(VLOOKUP(B1660,'Pre-Summary'!$Y$6:$AC$83, 4,FALSE),"")</f>
        <v/>
      </c>
      <c r="V1660" t="str">
        <f>IFERROR(VLOOKUP(B1660,'Pre-Summary'!$Y$6:$AC$83, 5,FALSE),"")</f>
        <v/>
      </c>
      <c r="W1660" s="45" t="str">
        <f>IFERROR(VLOOKUP(B1660,'Pre-Summary'!$Y$6:$AD$83,6,FALSE),"")</f>
        <v/>
      </c>
      <c r="X1660" t="str">
        <f>IFERROR(VLOOKUP('Pre-Summary'!$DB$6:$DD$63,3,FALSE),"")</f>
        <v/>
      </c>
      <c r="Y1660" t="str">
        <f>IFERROR(VLOOKUP(B1660,'Pre-Summary'!$CR$6:$CT$36,3,FALSE),"")</f>
        <v/>
      </c>
      <c r="Z1660" s="45" t="str">
        <f>IFERROR(VLOOKUP(B1660,'Pre-Summary'!$BZ$6:$CB$63,2,FALSE),"")</f>
        <v/>
      </c>
      <c r="AA1660" s="45" t="str">
        <f>IFERROR(VLOOKUP(B1660,'Pre-Summary'!$CG$6:$CI$70,2,FALSE),"")</f>
        <v/>
      </c>
      <c r="AB1660" s="99">
        <f>IFERROR(VLOOKUP(B1660,'Pre-Summary'!$A$6:$P$178,9,FALSE),AB1661)</f>
        <v>0.2823945757993872</v>
      </c>
      <c r="AC1660" s="10">
        <f>IFERROR(VLOOKUP(Summary!B1660,'Pre-Summary'!$A$6:$P$184,5, FALSE)/100,AC1661)</f>
        <v>0.95646433333333336</v>
      </c>
      <c r="AD1660" s="10">
        <f>IFERROR(VLOOKUP(Summary!B1660,'Pre-Summary'!$A$6:$P$184,3, FALSE)/100,AD1661)</f>
        <v>1.3388333333333334E-2</v>
      </c>
      <c r="AE1660" s="10">
        <f>IFERROR(VLOOKUP(Summary!B1660,'Pre-Summary'!$A$6:$P$184,7, FALSE)/100,AE1661)</f>
        <v>3.0147E-2</v>
      </c>
      <c r="AF1660" s="99">
        <f t="shared" si="76"/>
        <v>3.7807927123274625E-3</v>
      </c>
      <c r="AG1660" s="99">
        <f t="shared" si="77"/>
        <v>8.5133492766241263E-3</v>
      </c>
      <c r="AH1660" s="10" t="str">
        <f>IFERROR(VLOOKUP(B1660,'Pre-Summary'!$AZ$6:$BE$65,3,FALSE),"")</f>
        <v/>
      </c>
      <c r="AI1660" s="10" t="str">
        <f>IFERROR(VLOOKUP(B1660,'Pre-Summary'!$AZ$6:$BE$65,5,FALSE),"")</f>
        <v/>
      </c>
      <c r="AJ1660" s="10" t="str">
        <f>IFERROR(VLOOKUP(B1660,'Pre-Summary'!$AZ$6:$BE$65,4,FALSE),"")</f>
        <v/>
      </c>
      <c r="AK1660" s="10" t="str">
        <f>IFERROR(VLOOKUP(B1660,'Pre-Summary'!$AZ$6:$BE$65,6,FALSE),"")</f>
        <v/>
      </c>
      <c r="AL1660" s="10" t="str">
        <f>IFERROR(VLOOKUP(B1660,'Pre-Summary'!$BG$6:$BL$44,3,FALSE),"")</f>
        <v/>
      </c>
      <c r="AM1660" s="10" t="str">
        <f>IFERROR(VLOOKUP(B1660,'Pre-Summary'!$BG$6:$BL$44,4,FALSE),"")</f>
        <v/>
      </c>
    </row>
    <row r="1661" spans="2:39" ht="15" customHeight="1" x14ac:dyDescent="0.3">
      <c r="B1661">
        <v>165.8</v>
      </c>
      <c r="C1661" t="str">
        <f>IFERROR(VLOOKUP(B1661,'Pre-Summary'!$DI$6:$DM$23,4,FALSE),"")</f>
        <v/>
      </c>
      <c r="D1661" s="10" t="str">
        <f>IFERROR(VLOOKUP(B1661,'Pre-Summary'!$AT$6:$AX$14,5,FALSE),D1660)</f>
        <v>Wolfe v3: went back to modified wolfe + EDTA and switched CuSO4 to CUCl2</v>
      </c>
      <c r="E1661" s="10" t="str">
        <f>IFERROR(VLOOKUP(B1661,'Pre-Summary'!$AT$6:$AX$15,4,FALSE),"")</f>
        <v/>
      </c>
      <c r="F1661">
        <f>IFERROR(VLOOKUP(B1661,'Pre-Summary'!$AL$6:$AQ$13,6,FALSE),F1660)</f>
        <v>5.9405263157894746E-2</v>
      </c>
      <c r="G1661" t="str">
        <f>IFERROR(VLOOKUP(B1661,'Pre-Summary'!$AE$6:$AJ$85,3,FALSE),"")</f>
        <v/>
      </c>
      <c r="H1661" t="str">
        <f>IFERROR(VLOOKUP(B1661,'Pre-Summary'!$AE$6:$AJ$85,4,FALSE),"")</f>
        <v/>
      </c>
      <c r="I1661" t="str">
        <f>IFERROR(VLOOKUP(B1661,'Pre-Summary'!$AE$6:$AJ$85,5,FALSE),"")</f>
        <v/>
      </c>
      <c r="J1661" s="45" t="str">
        <f>IFERROR(VLOOKUP(B1661,'Pre-Summary'!$AE$6:$AJ$85,6, FALSE),"")</f>
        <v/>
      </c>
      <c r="K1661" s="45" t="str">
        <f>IFERROR(VLOOKUP(B1661,'Pre-Summary'!$DE$6:$DG$61,3,FALSE),"")</f>
        <v/>
      </c>
      <c r="L1661" s="45" t="str">
        <f>IFERROR(VLOOKUP(B1661,'Pre-Summary'!$CU$6:$CW$36,3,FALSE),"")</f>
        <v/>
      </c>
      <c r="M1661" s="45" t="str">
        <f>IFERROR(VLOOKUP(B1661,'Pre-Summary'!$BW$6:$BY$58,2,FALSE),"")</f>
        <v/>
      </c>
      <c r="N1661" s="45" t="str">
        <f>IFERROR(VLOOKUP(B1661,'Pre-Summary'!$CD$6:$CF$64,2,FALSE),"")</f>
        <v/>
      </c>
      <c r="O1661" s="99">
        <f>IFERROR(VLOOKUP(B1661,'Pre-Summary'!$BO$6:$BQ$48,3, FALSE),O1660)</f>
        <v>1</v>
      </c>
      <c r="P1661" s="99">
        <f>IFERROR(VLOOKUP(B1661,'Pre-Summary'!$BS$6:$BU$35,3,FALSE),P1660)</f>
        <v>0.3</v>
      </c>
      <c r="Q1661" s="54">
        <f t="shared" si="75"/>
        <v>3.3333333333333335</v>
      </c>
      <c r="R1661" s="53">
        <f>IFERROR(VLOOKUP(B1661,'Pre-Summary'!$BG$6:$BM$44,7,FALSE),R1662)</f>
        <v>8.3576993058106674E-2</v>
      </c>
      <c r="S1661" s="53">
        <f>IFERROR(VLOOKUP(B1661,'Pre-Summary'!$BG$6:$BM$44,6,FALSE),S1662)</f>
        <v>0.10174646781791266</v>
      </c>
      <c r="T1661" s="45" t="str">
        <f>IFERROR(VLOOKUP(B1661,'Pre-Summary'!$Y$6:$AC$83, 3,FALSE),"")</f>
        <v/>
      </c>
      <c r="U1661" s="45" t="str">
        <f>IFERROR(VLOOKUP(B1661,'Pre-Summary'!$Y$6:$AC$83, 4,FALSE),"")</f>
        <v/>
      </c>
      <c r="V1661" t="str">
        <f>IFERROR(VLOOKUP(B1661,'Pre-Summary'!$Y$6:$AC$83, 5,FALSE),"")</f>
        <v/>
      </c>
      <c r="W1661" s="45" t="str">
        <f>IFERROR(VLOOKUP(B1661,'Pre-Summary'!$Y$6:$AD$83,6,FALSE),"")</f>
        <v/>
      </c>
      <c r="X1661" t="str">
        <f>IFERROR(VLOOKUP('Pre-Summary'!$DB$6:$DD$63,3,FALSE),"")</f>
        <v/>
      </c>
      <c r="Y1661" t="str">
        <f>IFERROR(VLOOKUP(B1661,'Pre-Summary'!$CR$6:$CT$36,3,FALSE),"")</f>
        <v/>
      </c>
      <c r="Z1661" s="45" t="str">
        <f>IFERROR(VLOOKUP(B1661,'Pre-Summary'!$BZ$6:$CB$63,2,FALSE),"")</f>
        <v/>
      </c>
      <c r="AA1661" s="45" t="str">
        <f>IFERROR(VLOOKUP(B1661,'Pre-Summary'!$CG$6:$CI$70,2,FALSE),"")</f>
        <v/>
      </c>
      <c r="AB1661" s="99">
        <f>IFERROR(VLOOKUP(B1661,'Pre-Summary'!$A$6:$P$178,9,FALSE),AB1662)</f>
        <v>0.2823945757993872</v>
      </c>
      <c r="AC1661" s="10">
        <f>IFERROR(VLOOKUP(Summary!B1661,'Pre-Summary'!$A$6:$P$184,5, FALSE)/100,AC1662)</f>
        <v>0.95646433333333336</v>
      </c>
      <c r="AD1661" s="10">
        <f>IFERROR(VLOOKUP(Summary!B1661,'Pre-Summary'!$A$6:$P$184,3, FALSE)/100,AD1662)</f>
        <v>1.3388333333333334E-2</v>
      </c>
      <c r="AE1661" s="10">
        <f>IFERROR(VLOOKUP(Summary!B1661,'Pre-Summary'!$A$6:$P$184,7, FALSE)/100,AE1662)</f>
        <v>3.0147E-2</v>
      </c>
      <c r="AF1661" s="99">
        <f t="shared" si="76"/>
        <v>3.7807927123274625E-3</v>
      </c>
      <c r="AG1661" s="99">
        <f t="shared" si="77"/>
        <v>8.5133492766241263E-3</v>
      </c>
      <c r="AH1661" s="10" t="str">
        <f>IFERROR(VLOOKUP(B1661,'Pre-Summary'!$AZ$6:$BE$65,3,FALSE),"")</f>
        <v/>
      </c>
      <c r="AI1661" s="10" t="str">
        <f>IFERROR(VLOOKUP(B1661,'Pre-Summary'!$AZ$6:$BE$65,5,FALSE),"")</f>
        <v/>
      </c>
      <c r="AJ1661" s="10" t="str">
        <f>IFERROR(VLOOKUP(B1661,'Pre-Summary'!$AZ$6:$BE$65,4,FALSE),"")</f>
        <v/>
      </c>
      <c r="AK1661" s="10" t="str">
        <f>IFERROR(VLOOKUP(B1661,'Pre-Summary'!$AZ$6:$BE$65,6,FALSE),"")</f>
        <v/>
      </c>
      <c r="AL1661" s="10" t="str">
        <f>IFERROR(VLOOKUP(B1661,'Pre-Summary'!$BG$6:$BL$44,3,FALSE),"")</f>
        <v/>
      </c>
      <c r="AM1661" s="10" t="str">
        <f>IFERROR(VLOOKUP(B1661,'Pre-Summary'!$BG$6:$BL$44,4,FALSE),"")</f>
        <v/>
      </c>
    </row>
    <row r="1662" spans="2:39" ht="15" customHeight="1" x14ac:dyDescent="0.3">
      <c r="B1662">
        <v>165.9</v>
      </c>
      <c r="C1662" t="str">
        <f>IFERROR(VLOOKUP(B1662,'Pre-Summary'!$DI$6:$DM$23,4,FALSE),"")</f>
        <v/>
      </c>
      <c r="D1662" s="10" t="str">
        <f>IFERROR(VLOOKUP(B1662,'Pre-Summary'!$AT$6:$AX$14,5,FALSE),D1661)</f>
        <v>Wolfe v3: went back to modified wolfe + EDTA and switched CuSO4 to CUCl2</v>
      </c>
      <c r="E1662" s="10" t="str">
        <f>IFERROR(VLOOKUP(B1662,'Pre-Summary'!$AT$6:$AX$15,4,FALSE),"")</f>
        <v/>
      </c>
      <c r="F1662">
        <f>IFERROR(VLOOKUP(B1662,'Pre-Summary'!$AL$6:$AQ$13,6,FALSE),F1661)</f>
        <v>5.9405263157894746E-2</v>
      </c>
      <c r="G1662" t="str">
        <f>IFERROR(VLOOKUP(B1662,'Pre-Summary'!$AE$6:$AJ$85,3,FALSE),"")</f>
        <v/>
      </c>
      <c r="H1662" t="str">
        <f>IFERROR(VLOOKUP(B1662,'Pre-Summary'!$AE$6:$AJ$85,4,FALSE),"")</f>
        <v/>
      </c>
      <c r="I1662" t="str">
        <f>IFERROR(VLOOKUP(B1662,'Pre-Summary'!$AE$6:$AJ$85,5,FALSE),"")</f>
        <v/>
      </c>
      <c r="J1662" s="45" t="str">
        <f>IFERROR(VLOOKUP(B1662,'Pre-Summary'!$AE$6:$AJ$85,6, FALSE),"")</f>
        <v/>
      </c>
      <c r="K1662" s="45" t="str">
        <f>IFERROR(VLOOKUP(B1662,'Pre-Summary'!$DE$6:$DG$61,3,FALSE),"")</f>
        <v/>
      </c>
      <c r="L1662" s="45" t="str">
        <f>IFERROR(VLOOKUP(B1662,'Pre-Summary'!$CU$6:$CW$36,3,FALSE),"")</f>
        <v/>
      </c>
      <c r="M1662" s="45" t="str">
        <f>IFERROR(VLOOKUP(B1662,'Pre-Summary'!$BW$6:$BY$58,2,FALSE),"")</f>
        <v/>
      </c>
      <c r="N1662" s="45" t="str">
        <f>IFERROR(VLOOKUP(B1662,'Pre-Summary'!$CD$6:$CF$64,2,FALSE),"")</f>
        <v/>
      </c>
      <c r="O1662" s="99">
        <f>IFERROR(VLOOKUP(B1662,'Pre-Summary'!$BO$6:$BQ$48,3, FALSE),O1661)</f>
        <v>1</v>
      </c>
      <c r="P1662" s="99">
        <f>IFERROR(VLOOKUP(B1662,'Pre-Summary'!$BS$6:$BU$35,3,FALSE),P1661)</f>
        <v>0.3</v>
      </c>
      <c r="Q1662" s="54">
        <f t="shared" si="75"/>
        <v>3.3333333333333335</v>
      </c>
      <c r="R1662" s="53">
        <f>IFERROR(VLOOKUP(B1662,'Pre-Summary'!$BG$6:$BM$44,7,FALSE),R1663)</f>
        <v>8.3576993058106674E-2</v>
      </c>
      <c r="S1662" s="53">
        <f>IFERROR(VLOOKUP(B1662,'Pre-Summary'!$BG$6:$BM$44,6,FALSE),S1663)</f>
        <v>0.10174646781791266</v>
      </c>
      <c r="T1662" s="45" t="str">
        <f>IFERROR(VLOOKUP(B1662,'Pre-Summary'!$Y$6:$AC$83, 3,FALSE),"")</f>
        <v/>
      </c>
      <c r="U1662" s="45" t="str">
        <f>IFERROR(VLOOKUP(B1662,'Pre-Summary'!$Y$6:$AC$83, 4,FALSE),"")</f>
        <v/>
      </c>
      <c r="V1662" t="str">
        <f>IFERROR(VLOOKUP(B1662,'Pre-Summary'!$Y$6:$AC$83, 5,FALSE),"")</f>
        <v/>
      </c>
      <c r="W1662" s="45" t="str">
        <f>IFERROR(VLOOKUP(B1662,'Pre-Summary'!$Y$6:$AD$83,6,FALSE),"")</f>
        <v/>
      </c>
      <c r="X1662" t="str">
        <f>IFERROR(VLOOKUP('Pre-Summary'!$DB$6:$DD$63,3,FALSE),"")</f>
        <v/>
      </c>
      <c r="Y1662" t="str">
        <f>IFERROR(VLOOKUP(B1662,'Pre-Summary'!$CR$6:$CT$36,3,FALSE),"")</f>
        <v/>
      </c>
      <c r="Z1662" s="45" t="str">
        <f>IFERROR(VLOOKUP(B1662,'Pre-Summary'!$BZ$6:$CB$63,2,FALSE),"")</f>
        <v/>
      </c>
      <c r="AA1662" s="45" t="str">
        <f>IFERROR(VLOOKUP(B1662,'Pre-Summary'!$CG$6:$CI$70,2,FALSE),"")</f>
        <v/>
      </c>
      <c r="AB1662" s="99">
        <f>IFERROR(VLOOKUP(B1662,'Pre-Summary'!$A$6:$P$178,9,FALSE),AB1663)</f>
        <v>0.2823945757993872</v>
      </c>
      <c r="AC1662" s="10">
        <f>IFERROR(VLOOKUP(Summary!B1662,'Pre-Summary'!$A$6:$P$184,5, FALSE)/100,AC1663)</f>
        <v>0.95646433333333336</v>
      </c>
      <c r="AD1662" s="10">
        <f>IFERROR(VLOOKUP(Summary!B1662,'Pre-Summary'!$A$6:$P$184,3, FALSE)/100,AD1663)</f>
        <v>1.3388333333333334E-2</v>
      </c>
      <c r="AE1662" s="10">
        <f>IFERROR(VLOOKUP(Summary!B1662,'Pre-Summary'!$A$6:$P$184,7, FALSE)/100,AE1663)</f>
        <v>3.0147E-2</v>
      </c>
      <c r="AF1662" s="99">
        <f t="shared" si="76"/>
        <v>3.7807927123274625E-3</v>
      </c>
      <c r="AG1662" s="99">
        <f t="shared" si="77"/>
        <v>8.5133492766241263E-3</v>
      </c>
      <c r="AH1662" s="10" t="str">
        <f>IFERROR(VLOOKUP(B1662,'Pre-Summary'!$AZ$6:$BE$65,3,FALSE),"")</f>
        <v/>
      </c>
      <c r="AI1662" s="10" t="str">
        <f>IFERROR(VLOOKUP(B1662,'Pre-Summary'!$AZ$6:$BE$65,5,FALSE),"")</f>
        <v/>
      </c>
      <c r="AJ1662" s="10" t="str">
        <f>IFERROR(VLOOKUP(B1662,'Pre-Summary'!$AZ$6:$BE$65,4,FALSE),"")</f>
        <v/>
      </c>
      <c r="AK1662" s="10" t="str">
        <f>IFERROR(VLOOKUP(B1662,'Pre-Summary'!$AZ$6:$BE$65,6,FALSE),"")</f>
        <v/>
      </c>
      <c r="AL1662" s="10" t="str">
        <f>IFERROR(VLOOKUP(B1662,'Pre-Summary'!$BG$6:$BL$44,3,FALSE),"")</f>
        <v/>
      </c>
      <c r="AM1662" s="10" t="str">
        <f>IFERROR(VLOOKUP(B1662,'Pre-Summary'!$BG$6:$BL$44,4,FALSE),"")</f>
        <v/>
      </c>
    </row>
    <row r="1663" spans="2:39" ht="15" customHeight="1" x14ac:dyDescent="0.3">
      <c r="B1663">
        <v>166</v>
      </c>
      <c r="C1663" t="str">
        <f>IFERROR(VLOOKUP(B1663,'Pre-Summary'!$DI$6:$DM$23,4,FALSE),"")</f>
        <v/>
      </c>
      <c r="D1663" s="10" t="str">
        <f>IFERROR(VLOOKUP(B1663,'Pre-Summary'!$AT$6:$AX$14,5,FALSE),D1662)</f>
        <v>Wolfe v3: went back to modified wolfe + EDTA and switched CuSO4 to CUCl2</v>
      </c>
      <c r="E1663" s="10" t="str">
        <f>IFERROR(VLOOKUP(B1663,'Pre-Summary'!$AT$6:$AX$15,4,FALSE),"")</f>
        <v/>
      </c>
      <c r="F1663">
        <f>IFERROR(VLOOKUP(B1663,'Pre-Summary'!$AL$6:$AQ$13,6,FALSE),F1662)</f>
        <v>5.9405263157894746E-2</v>
      </c>
      <c r="G1663" t="str">
        <f>IFERROR(VLOOKUP(B1663,'Pre-Summary'!$AE$6:$AJ$85,3,FALSE),"")</f>
        <v/>
      </c>
      <c r="H1663" t="str">
        <f>IFERROR(VLOOKUP(B1663,'Pre-Summary'!$AE$6:$AJ$85,4,FALSE),"")</f>
        <v/>
      </c>
      <c r="I1663" t="str">
        <f>IFERROR(VLOOKUP(B1663,'Pre-Summary'!$AE$6:$AJ$85,5,FALSE),"")</f>
        <v/>
      </c>
      <c r="J1663" s="45" t="str">
        <f>IFERROR(VLOOKUP(B1663,'Pre-Summary'!$AE$6:$AJ$85,6, FALSE),"")</f>
        <v/>
      </c>
      <c r="K1663" s="45" t="str">
        <f>IFERROR(VLOOKUP(B1663,'Pre-Summary'!$DE$6:$DG$61,3,FALSE),"")</f>
        <v/>
      </c>
      <c r="L1663" s="45" t="str">
        <f>IFERROR(VLOOKUP(B1663,'Pre-Summary'!$CU$6:$CW$36,3,FALSE),"")</f>
        <v/>
      </c>
      <c r="M1663" s="45" t="str">
        <f>IFERROR(VLOOKUP(B1663,'Pre-Summary'!$BW$6:$BY$58,2,FALSE),"")</f>
        <v/>
      </c>
      <c r="N1663" s="45" t="str">
        <f>IFERROR(VLOOKUP(B1663,'Pre-Summary'!$CD$6:$CF$64,2,FALSE),"")</f>
        <v/>
      </c>
      <c r="O1663" s="99">
        <f>IFERROR(VLOOKUP(B1663,'Pre-Summary'!$BO$6:$BQ$48,3, FALSE),O1662)</f>
        <v>1</v>
      </c>
      <c r="P1663" s="99">
        <f>IFERROR(VLOOKUP(B1663,'Pre-Summary'!$BS$6:$BU$35,3,FALSE),P1662)</f>
        <v>0.3</v>
      </c>
      <c r="Q1663" s="54">
        <f t="shared" si="75"/>
        <v>3.3333333333333335</v>
      </c>
      <c r="R1663" s="53">
        <f>IFERROR(VLOOKUP(B1663,'Pre-Summary'!$BG$6:$BM$44,7,FALSE),R1664)</f>
        <v>8.3576993058106674E-2</v>
      </c>
      <c r="S1663" s="53">
        <f>IFERROR(VLOOKUP(B1663,'Pre-Summary'!$BG$6:$BM$44,6,FALSE),S1664)</f>
        <v>0.10174646781791266</v>
      </c>
      <c r="T1663" s="45" t="str">
        <f>IFERROR(VLOOKUP(B1663,'Pre-Summary'!$Y$6:$AC$83, 3,FALSE),"")</f>
        <v/>
      </c>
      <c r="U1663" s="45" t="str">
        <f>IFERROR(VLOOKUP(B1663,'Pre-Summary'!$Y$6:$AC$83, 4,FALSE),"")</f>
        <v/>
      </c>
      <c r="V1663" t="str">
        <f>IFERROR(VLOOKUP(B1663,'Pre-Summary'!$Y$6:$AC$83, 5,FALSE),"")</f>
        <v/>
      </c>
      <c r="W1663" s="45" t="str">
        <f>IFERROR(VLOOKUP(B1663,'Pre-Summary'!$Y$6:$AD$83,6,FALSE),"")</f>
        <v/>
      </c>
      <c r="X1663" t="str">
        <f>IFERROR(VLOOKUP('Pre-Summary'!$DB$6:$DD$63,3,FALSE),"")</f>
        <v/>
      </c>
      <c r="Y1663" t="str">
        <f>IFERROR(VLOOKUP(B1663,'Pre-Summary'!$CR$6:$CT$36,3,FALSE),"")</f>
        <v/>
      </c>
      <c r="Z1663" s="45" t="str">
        <f>IFERROR(VLOOKUP(B1663,'Pre-Summary'!$BZ$6:$CB$63,2,FALSE),"")</f>
        <v/>
      </c>
      <c r="AA1663" s="45" t="str">
        <f>IFERROR(VLOOKUP(B1663,'Pre-Summary'!$CG$6:$CI$70,2,FALSE),"")</f>
        <v/>
      </c>
      <c r="AB1663" s="99">
        <f>IFERROR(VLOOKUP(B1663,'Pre-Summary'!$A$6:$P$178,9,FALSE),AB1664)</f>
        <v>0.2823945757993872</v>
      </c>
      <c r="AC1663" s="10">
        <f>IFERROR(VLOOKUP(Summary!B1663,'Pre-Summary'!$A$6:$P$184,5, FALSE)/100,AC1664)</f>
        <v>0.95646433333333336</v>
      </c>
      <c r="AD1663" s="10">
        <f>IFERROR(VLOOKUP(Summary!B1663,'Pre-Summary'!$A$6:$P$184,3, FALSE)/100,AD1664)</f>
        <v>1.3388333333333334E-2</v>
      </c>
      <c r="AE1663" s="10">
        <f>IFERROR(VLOOKUP(Summary!B1663,'Pre-Summary'!$A$6:$P$184,7, FALSE)/100,AE1664)</f>
        <v>3.0147E-2</v>
      </c>
      <c r="AF1663" s="99">
        <f t="shared" si="76"/>
        <v>3.7807927123274625E-3</v>
      </c>
      <c r="AG1663" s="99">
        <f t="shared" si="77"/>
        <v>8.5133492766241263E-3</v>
      </c>
      <c r="AH1663" s="10" t="str">
        <f>IFERROR(VLOOKUP(B1663,'Pre-Summary'!$AZ$6:$BE$65,3,FALSE),"")</f>
        <v/>
      </c>
      <c r="AI1663" s="10" t="str">
        <f>IFERROR(VLOOKUP(B1663,'Pre-Summary'!$AZ$6:$BE$65,5,FALSE),"")</f>
        <v/>
      </c>
      <c r="AJ1663" s="10" t="str">
        <f>IFERROR(VLOOKUP(B1663,'Pre-Summary'!$AZ$6:$BE$65,4,FALSE),"")</f>
        <v/>
      </c>
      <c r="AK1663" s="10" t="str">
        <f>IFERROR(VLOOKUP(B1663,'Pre-Summary'!$AZ$6:$BE$65,6,FALSE),"")</f>
        <v/>
      </c>
      <c r="AL1663" s="10" t="str">
        <f>IFERROR(VLOOKUP(B1663,'Pre-Summary'!$BG$6:$BL$44,3,FALSE),"")</f>
        <v/>
      </c>
      <c r="AM1663" s="10" t="str">
        <f>IFERROR(VLOOKUP(B1663,'Pre-Summary'!$BG$6:$BL$44,4,FALSE),"")</f>
        <v/>
      </c>
    </row>
    <row r="1664" spans="2:39" ht="15" customHeight="1" x14ac:dyDescent="0.3">
      <c r="B1664">
        <v>166.1</v>
      </c>
      <c r="C1664" t="str">
        <f>IFERROR(VLOOKUP(B1664,'Pre-Summary'!$DI$6:$DM$23,4,FALSE),"")</f>
        <v/>
      </c>
      <c r="D1664" s="10" t="str">
        <f>IFERROR(VLOOKUP(B1664,'Pre-Summary'!$AT$6:$AX$14,5,FALSE),D1663)</f>
        <v>Wolfe v3: went back to modified wolfe + EDTA and switched CuSO4 to CUCl2</v>
      </c>
      <c r="E1664" s="10" t="str">
        <f>IFERROR(VLOOKUP(B1664,'Pre-Summary'!$AT$6:$AX$15,4,FALSE),"")</f>
        <v/>
      </c>
      <c r="F1664">
        <f>IFERROR(VLOOKUP(B1664,'Pre-Summary'!$AL$6:$AQ$13,6,FALSE),F1663)</f>
        <v>5.9405263157894746E-2</v>
      </c>
      <c r="G1664" t="str">
        <f>IFERROR(VLOOKUP(B1664,'Pre-Summary'!$AE$6:$AJ$85,3,FALSE),"")</f>
        <v/>
      </c>
      <c r="H1664" t="str">
        <f>IFERROR(VLOOKUP(B1664,'Pre-Summary'!$AE$6:$AJ$85,4,FALSE),"")</f>
        <v/>
      </c>
      <c r="I1664" t="str">
        <f>IFERROR(VLOOKUP(B1664,'Pre-Summary'!$AE$6:$AJ$85,5,FALSE),"")</f>
        <v/>
      </c>
      <c r="J1664" s="45" t="str">
        <f>IFERROR(VLOOKUP(B1664,'Pre-Summary'!$AE$6:$AJ$85,6, FALSE),"")</f>
        <v/>
      </c>
      <c r="K1664" s="45" t="str">
        <f>IFERROR(VLOOKUP(B1664,'Pre-Summary'!$DE$6:$DG$61,3,FALSE),"")</f>
        <v/>
      </c>
      <c r="L1664" s="45" t="str">
        <f>IFERROR(VLOOKUP(B1664,'Pre-Summary'!$CU$6:$CW$36,3,FALSE),"")</f>
        <v/>
      </c>
      <c r="M1664" s="45" t="str">
        <f>IFERROR(VLOOKUP(B1664,'Pre-Summary'!$BW$6:$BY$58,2,FALSE),"")</f>
        <v/>
      </c>
      <c r="N1664" s="45" t="str">
        <f>IFERROR(VLOOKUP(B1664,'Pre-Summary'!$CD$6:$CF$64,2,FALSE),"")</f>
        <v/>
      </c>
      <c r="O1664" s="99">
        <f>IFERROR(VLOOKUP(B1664,'Pre-Summary'!$BO$6:$BQ$48,3, FALSE),O1663)</f>
        <v>1</v>
      </c>
      <c r="P1664" s="99">
        <f>IFERROR(VLOOKUP(B1664,'Pre-Summary'!$BS$6:$BU$35,3,FALSE),P1663)</f>
        <v>0.3</v>
      </c>
      <c r="Q1664" s="54">
        <f t="shared" si="75"/>
        <v>3.3333333333333335</v>
      </c>
      <c r="R1664" s="53">
        <f>IFERROR(VLOOKUP(B1664,'Pre-Summary'!$BG$6:$BM$44,7,FALSE),R1665)</f>
        <v>8.3576993058106674E-2</v>
      </c>
      <c r="S1664" s="53">
        <f>IFERROR(VLOOKUP(B1664,'Pre-Summary'!$BG$6:$BM$44,6,FALSE),S1665)</f>
        <v>0.10174646781791266</v>
      </c>
      <c r="T1664" s="45" t="str">
        <f>IFERROR(VLOOKUP(B1664,'Pre-Summary'!$Y$6:$AC$83, 3,FALSE),"")</f>
        <v/>
      </c>
      <c r="U1664" s="45" t="str">
        <f>IFERROR(VLOOKUP(B1664,'Pre-Summary'!$Y$6:$AC$83, 4,FALSE),"")</f>
        <v/>
      </c>
      <c r="V1664" t="str">
        <f>IFERROR(VLOOKUP(B1664,'Pre-Summary'!$Y$6:$AC$83, 5,FALSE),"")</f>
        <v/>
      </c>
      <c r="W1664" s="45" t="str">
        <f>IFERROR(VLOOKUP(B1664,'Pre-Summary'!$Y$6:$AD$83,6,FALSE),"")</f>
        <v/>
      </c>
      <c r="X1664" t="str">
        <f>IFERROR(VLOOKUP('Pre-Summary'!$DB$6:$DD$63,3,FALSE),"")</f>
        <v/>
      </c>
      <c r="Y1664" t="str">
        <f>IFERROR(VLOOKUP(B1664,'Pre-Summary'!$CR$6:$CT$36,3,FALSE),"")</f>
        <v/>
      </c>
      <c r="Z1664" s="45" t="str">
        <f>IFERROR(VLOOKUP(B1664,'Pre-Summary'!$BZ$6:$CB$63,2,FALSE),"")</f>
        <v/>
      </c>
      <c r="AA1664" s="45" t="str">
        <f>IFERROR(VLOOKUP(B1664,'Pre-Summary'!$CG$6:$CI$70,2,FALSE),"")</f>
        <v/>
      </c>
      <c r="AB1664" s="99">
        <f>IFERROR(VLOOKUP(B1664,'Pre-Summary'!$A$6:$P$178,9,FALSE),AB1665)</f>
        <v>0.2823945757993872</v>
      </c>
      <c r="AC1664" s="10">
        <f>IFERROR(VLOOKUP(Summary!B1664,'Pre-Summary'!$A$6:$P$184,5, FALSE)/100,AC1665)</f>
        <v>0.95646433333333336</v>
      </c>
      <c r="AD1664" s="10">
        <f>IFERROR(VLOOKUP(Summary!B1664,'Pre-Summary'!$A$6:$P$184,3, FALSE)/100,AD1665)</f>
        <v>1.3388333333333334E-2</v>
      </c>
      <c r="AE1664" s="10">
        <f>IFERROR(VLOOKUP(Summary!B1664,'Pre-Summary'!$A$6:$P$184,7, FALSE)/100,AE1665)</f>
        <v>3.0147E-2</v>
      </c>
      <c r="AF1664" s="99">
        <f t="shared" si="76"/>
        <v>3.7807927123274625E-3</v>
      </c>
      <c r="AG1664" s="99">
        <f t="shared" si="77"/>
        <v>8.5133492766241263E-3</v>
      </c>
      <c r="AH1664" s="10" t="str">
        <f>IFERROR(VLOOKUP(B1664,'Pre-Summary'!$AZ$6:$BE$65,3,FALSE),"")</f>
        <v/>
      </c>
      <c r="AI1664" s="10" t="str">
        <f>IFERROR(VLOOKUP(B1664,'Pre-Summary'!$AZ$6:$BE$65,5,FALSE),"")</f>
        <v/>
      </c>
      <c r="AJ1664" s="10" t="str">
        <f>IFERROR(VLOOKUP(B1664,'Pre-Summary'!$AZ$6:$BE$65,4,FALSE),"")</f>
        <v/>
      </c>
      <c r="AK1664" s="10" t="str">
        <f>IFERROR(VLOOKUP(B1664,'Pre-Summary'!$AZ$6:$BE$65,6,FALSE),"")</f>
        <v/>
      </c>
      <c r="AL1664" s="10" t="str">
        <f>IFERROR(VLOOKUP(B1664,'Pre-Summary'!$BG$6:$BL$44,3,FALSE),"")</f>
        <v/>
      </c>
      <c r="AM1664" s="10" t="str">
        <f>IFERROR(VLOOKUP(B1664,'Pre-Summary'!$BG$6:$BL$44,4,FALSE),"")</f>
        <v/>
      </c>
    </row>
    <row r="1665" spans="2:39" ht="15" customHeight="1" x14ac:dyDescent="0.3">
      <c r="B1665">
        <v>166.2</v>
      </c>
      <c r="C1665" t="str">
        <f>IFERROR(VLOOKUP(B1665,'Pre-Summary'!$DI$6:$DM$23,4,FALSE),"")</f>
        <v/>
      </c>
      <c r="D1665" s="10" t="str">
        <f>IFERROR(VLOOKUP(B1665,'Pre-Summary'!$AT$6:$AX$14,5,FALSE),D1664)</f>
        <v>Wolfe v3: went back to modified wolfe + EDTA and switched CuSO4 to CUCl2</v>
      </c>
      <c r="E1665" s="10" t="str">
        <f>IFERROR(VLOOKUP(B1665,'Pre-Summary'!$AT$6:$AX$15,4,FALSE),"")</f>
        <v/>
      </c>
      <c r="F1665">
        <f>IFERROR(VLOOKUP(B1665,'Pre-Summary'!$AL$6:$AQ$13,6,FALSE),F1664)</f>
        <v>5.9405263157894746E-2</v>
      </c>
      <c r="G1665" t="str">
        <f>IFERROR(VLOOKUP(B1665,'Pre-Summary'!$AE$6:$AJ$85,3,FALSE),"")</f>
        <v/>
      </c>
      <c r="H1665" t="str">
        <f>IFERROR(VLOOKUP(B1665,'Pre-Summary'!$AE$6:$AJ$85,4,FALSE),"")</f>
        <v/>
      </c>
      <c r="I1665" t="str">
        <f>IFERROR(VLOOKUP(B1665,'Pre-Summary'!$AE$6:$AJ$85,5,FALSE),"")</f>
        <v/>
      </c>
      <c r="J1665" s="45" t="str">
        <f>IFERROR(VLOOKUP(B1665,'Pre-Summary'!$AE$6:$AJ$85,6, FALSE),"")</f>
        <v/>
      </c>
      <c r="K1665" s="45" t="str">
        <f>IFERROR(VLOOKUP(B1665,'Pre-Summary'!$DE$6:$DG$61,3,FALSE),"")</f>
        <v/>
      </c>
      <c r="L1665" s="45" t="str">
        <f>IFERROR(VLOOKUP(B1665,'Pre-Summary'!$CU$6:$CW$36,3,FALSE),"")</f>
        <v/>
      </c>
      <c r="M1665" s="45" t="str">
        <f>IFERROR(VLOOKUP(B1665,'Pre-Summary'!$BW$6:$BY$58,2,FALSE),"")</f>
        <v/>
      </c>
      <c r="N1665" s="45" t="str">
        <f>IFERROR(VLOOKUP(B1665,'Pre-Summary'!$CD$6:$CF$64,2,FALSE),"")</f>
        <v/>
      </c>
      <c r="O1665" s="99">
        <f>IFERROR(VLOOKUP(B1665,'Pre-Summary'!$BO$6:$BQ$48,3, FALSE),O1664)</f>
        <v>1</v>
      </c>
      <c r="P1665" s="99">
        <f>IFERROR(VLOOKUP(B1665,'Pre-Summary'!$BS$6:$BU$35,3,FALSE),P1664)</f>
        <v>0.3</v>
      </c>
      <c r="Q1665" s="54">
        <f t="shared" si="75"/>
        <v>3.3333333333333335</v>
      </c>
      <c r="R1665" s="53">
        <f>IFERROR(VLOOKUP(B1665,'Pre-Summary'!$BG$6:$BM$44,7,FALSE),R1666)</f>
        <v>8.3576993058106674E-2</v>
      </c>
      <c r="S1665" s="53">
        <f>IFERROR(VLOOKUP(B1665,'Pre-Summary'!$BG$6:$BM$44,6,FALSE),S1666)</f>
        <v>0.10174646781791266</v>
      </c>
      <c r="T1665" s="45" t="str">
        <f>IFERROR(VLOOKUP(B1665,'Pre-Summary'!$Y$6:$AC$83, 3,FALSE),"")</f>
        <v/>
      </c>
      <c r="U1665" s="45" t="str">
        <f>IFERROR(VLOOKUP(B1665,'Pre-Summary'!$Y$6:$AC$83, 4,FALSE),"")</f>
        <v/>
      </c>
      <c r="V1665" t="str">
        <f>IFERROR(VLOOKUP(B1665,'Pre-Summary'!$Y$6:$AC$83, 5,FALSE),"")</f>
        <v/>
      </c>
      <c r="W1665" s="45" t="str">
        <f>IFERROR(VLOOKUP(B1665,'Pre-Summary'!$Y$6:$AD$83,6,FALSE),"")</f>
        <v/>
      </c>
      <c r="X1665" t="str">
        <f>IFERROR(VLOOKUP('Pre-Summary'!$DB$6:$DD$63,3,FALSE),"")</f>
        <v/>
      </c>
      <c r="Y1665" t="str">
        <f>IFERROR(VLOOKUP(B1665,'Pre-Summary'!$CR$6:$CT$36,3,FALSE),"")</f>
        <v/>
      </c>
      <c r="Z1665" s="45" t="str">
        <f>IFERROR(VLOOKUP(B1665,'Pre-Summary'!$BZ$6:$CB$63,2,FALSE),"")</f>
        <v/>
      </c>
      <c r="AA1665" s="45" t="str">
        <f>IFERROR(VLOOKUP(B1665,'Pre-Summary'!$CG$6:$CI$70,2,FALSE),"")</f>
        <v/>
      </c>
      <c r="AB1665" s="99">
        <f>IFERROR(VLOOKUP(B1665,'Pre-Summary'!$A$6:$P$178,9,FALSE),AB1666)</f>
        <v>0.2823945757993872</v>
      </c>
      <c r="AC1665" s="10">
        <f>IFERROR(VLOOKUP(Summary!B1665,'Pre-Summary'!$A$6:$P$184,5, FALSE)/100,AC1666)</f>
        <v>0.95646433333333336</v>
      </c>
      <c r="AD1665" s="10">
        <f>IFERROR(VLOOKUP(Summary!B1665,'Pre-Summary'!$A$6:$P$184,3, FALSE)/100,AD1666)</f>
        <v>1.3388333333333334E-2</v>
      </c>
      <c r="AE1665" s="10">
        <f>IFERROR(VLOOKUP(Summary!B1665,'Pre-Summary'!$A$6:$P$184,7, FALSE)/100,AE1666)</f>
        <v>3.0147E-2</v>
      </c>
      <c r="AF1665" s="99">
        <f t="shared" si="76"/>
        <v>3.7807927123274625E-3</v>
      </c>
      <c r="AG1665" s="99">
        <f t="shared" si="77"/>
        <v>8.5133492766241263E-3</v>
      </c>
      <c r="AH1665" s="10" t="str">
        <f>IFERROR(VLOOKUP(B1665,'Pre-Summary'!$AZ$6:$BE$65,3,FALSE),"")</f>
        <v/>
      </c>
      <c r="AI1665" s="10" t="str">
        <f>IFERROR(VLOOKUP(B1665,'Pre-Summary'!$AZ$6:$BE$65,5,FALSE),"")</f>
        <v/>
      </c>
      <c r="AJ1665" s="10" t="str">
        <f>IFERROR(VLOOKUP(B1665,'Pre-Summary'!$AZ$6:$BE$65,4,FALSE),"")</f>
        <v/>
      </c>
      <c r="AK1665" s="10" t="str">
        <f>IFERROR(VLOOKUP(B1665,'Pre-Summary'!$AZ$6:$BE$65,6,FALSE),"")</f>
        <v/>
      </c>
      <c r="AL1665" s="10" t="str">
        <f>IFERROR(VLOOKUP(B1665,'Pre-Summary'!$BG$6:$BL$44,3,FALSE),"")</f>
        <v/>
      </c>
      <c r="AM1665" s="10" t="str">
        <f>IFERROR(VLOOKUP(B1665,'Pre-Summary'!$BG$6:$BL$44,4,FALSE),"")</f>
        <v/>
      </c>
    </row>
    <row r="1666" spans="2:39" ht="15" customHeight="1" x14ac:dyDescent="0.3">
      <c r="B1666">
        <v>166.3</v>
      </c>
      <c r="C1666" t="str">
        <f>IFERROR(VLOOKUP(B1666,'Pre-Summary'!$DI$6:$DM$23,4,FALSE),"")</f>
        <v/>
      </c>
      <c r="D1666" s="10" t="str">
        <f>IFERROR(VLOOKUP(B1666,'Pre-Summary'!$AT$6:$AX$14,5,FALSE),D1665)</f>
        <v>Wolfe v3: went back to modified wolfe + EDTA and switched CuSO4 to CUCl2</v>
      </c>
      <c r="E1666" s="10" t="str">
        <f>IFERROR(VLOOKUP(B1666,'Pre-Summary'!$AT$6:$AX$15,4,FALSE),"")</f>
        <v/>
      </c>
      <c r="F1666">
        <f>IFERROR(VLOOKUP(B1666,'Pre-Summary'!$AL$6:$AQ$13,6,FALSE),F1665)</f>
        <v>5.9405263157894746E-2</v>
      </c>
      <c r="G1666" t="str">
        <f>IFERROR(VLOOKUP(B1666,'Pre-Summary'!$AE$6:$AJ$85,3,FALSE),"")</f>
        <v/>
      </c>
      <c r="H1666" t="str">
        <f>IFERROR(VLOOKUP(B1666,'Pre-Summary'!$AE$6:$AJ$85,4,FALSE),"")</f>
        <v/>
      </c>
      <c r="I1666" t="str">
        <f>IFERROR(VLOOKUP(B1666,'Pre-Summary'!$AE$6:$AJ$85,5,FALSE),"")</f>
        <v/>
      </c>
      <c r="J1666" s="45" t="str">
        <f>IFERROR(VLOOKUP(B1666,'Pre-Summary'!$AE$6:$AJ$85,6, FALSE),"")</f>
        <v/>
      </c>
      <c r="K1666" s="45" t="str">
        <f>IFERROR(VLOOKUP(B1666,'Pre-Summary'!$DE$6:$DG$61,3,FALSE),"")</f>
        <v/>
      </c>
      <c r="L1666" s="45" t="str">
        <f>IFERROR(VLOOKUP(B1666,'Pre-Summary'!$CU$6:$CW$36,3,FALSE),"")</f>
        <v/>
      </c>
      <c r="M1666" s="45" t="str">
        <f>IFERROR(VLOOKUP(B1666,'Pre-Summary'!$BW$6:$BY$58,2,FALSE),"")</f>
        <v/>
      </c>
      <c r="N1666" s="45" t="str">
        <f>IFERROR(VLOOKUP(B1666,'Pre-Summary'!$CD$6:$CF$64,2,FALSE),"")</f>
        <v/>
      </c>
      <c r="O1666" s="99">
        <f>IFERROR(VLOOKUP(B1666,'Pre-Summary'!$BO$6:$BQ$48,3, FALSE),O1665)</f>
        <v>1</v>
      </c>
      <c r="P1666" s="99">
        <f>IFERROR(VLOOKUP(B1666,'Pre-Summary'!$BS$6:$BU$35,3,FALSE),P1665)</f>
        <v>0.3</v>
      </c>
      <c r="Q1666" s="54">
        <f t="shared" si="75"/>
        <v>3.3333333333333335</v>
      </c>
      <c r="R1666" s="53">
        <f>IFERROR(VLOOKUP(B1666,'Pre-Summary'!$BG$6:$BM$44,7,FALSE),R1667)</f>
        <v>8.3576993058106674E-2</v>
      </c>
      <c r="S1666" s="53">
        <f>IFERROR(VLOOKUP(B1666,'Pre-Summary'!$BG$6:$BM$44,6,FALSE),S1667)</f>
        <v>0.10174646781791266</v>
      </c>
      <c r="T1666" s="45" t="str">
        <f>IFERROR(VLOOKUP(B1666,'Pre-Summary'!$Y$6:$AC$83, 3,FALSE),"")</f>
        <v/>
      </c>
      <c r="U1666" s="45" t="str">
        <f>IFERROR(VLOOKUP(B1666,'Pre-Summary'!$Y$6:$AC$83, 4,FALSE),"")</f>
        <v/>
      </c>
      <c r="V1666" t="str">
        <f>IFERROR(VLOOKUP(B1666,'Pre-Summary'!$Y$6:$AC$83, 5,FALSE),"")</f>
        <v/>
      </c>
      <c r="W1666" s="45" t="str">
        <f>IFERROR(VLOOKUP(B1666,'Pre-Summary'!$Y$6:$AD$83,6,FALSE),"")</f>
        <v/>
      </c>
      <c r="X1666" t="str">
        <f>IFERROR(VLOOKUP('Pre-Summary'!$DB$6:$DD$63,3,FALSE),"")</f>
        <v/>
      </c>
      <c r="Y1666" t="str">
        <f>IFERROR(VLOOKUP(B1666,'Pre-Summary'!$CR$6:$CT$36,3,FALSE),"")</f>
        <v/>
      </c>
      <c r="Z1666" s="45" t="str">
        <f>IFERROR(VLOOKUP(B1666,'Pre-Summary'!$BZ$6:$CB$63,2,FALSE),"")</f>
        <v/>
      </c>
      <c r="AA1666" s="45" t="str">
        <f>IFERROR(VLOOKUP(B1666,'Pre-Summary'!$CG$6:$CI$70,2,FALSE),"")</f>
        <v/>
      </c>
      <c r="AB1666" s="99">
        <f>IFERROR(VLOOKUP(B1666,'Pre-Summary'!$A$6:$P$178,9,FALSE),AB1667)</f>
        <v>0.2823945757993872</v>
      </c>
      <c r="AC1666" s="10">
        <f>IFERROR(VLOOKUP(Summary!B1666,'Pre-Summary'!$A$6:$P$184,5, FALSE)/100,AC1667)</f>
        <v>0.95646433333333336</v>
      </c>
      <c r="AD1666" s="10">
        <f>IFERROR(VLOOKUP(Summary!B1666,'Pre-Summary'!$A$6:$P$184,3, FALSE)/100,AD1667)</f>
        <v>1.3388333333333334E-2</v>
      </c>
      <c r="AE1666" s="10">
        <f>IFERROR(VLOOKUP(Summary!B1666,'Pre-Summary'!$A$6:$P$184,7, FALSE)/100,AE1667)</f>
        <v>3.0147E-2</v>
      </c>
      <c r="AF1666" s="99">
        <f t="shared" si="76"/>
        <v>3.7807927123274625E-3</v>
      </c>
      <c r="AG1666" s="99">
        <f t="shared" si="77"/>
        <v>8.5133492766241263E-3</v>
      </c>
      <c r="AH1666" s="10" t="str">
        <f>IFERROR(VLOOKUP(B1666,'Pre-Summary'!$AZ$6:$BE$65,3,FALSE),"")</f>
        <v/>
      </c>
      <c r="AI1666" s="10" t="str">
        <f>IFERROR(VLOOKUP(B1666,'Pre-Summary'!$AZ$6:$BE$65,5,FALSE),"")</f>
        <v/>
      </c>
      <c r="AJ1666" s="10" t="str">
        <f>IFERROR(VLOOKUP(B1666,'Pre-Summary'!$AZ$6:$BE$65,4,FALSE),"")</f>
        <v/>
      </c>
      <c r="AK1666" s="10" t="str">
        <f>IFERROR(VLOOKUP(B1666,'Pre-Summary'!$AZ$6:$BE$65,6,FALSE),"")</f>
        <v/>
      </c>
      <c r="AL1666" s="10" t="str">
        <f>IFERROR(VLOOKUP(B1666,'Pre-Summary'!$BG$6:$BL$44,3,FALSE),"")</f>
        <v/>
      </c>
      <c r="AM1666" s="10" t="str">
        <f>IFERROR(VLOOKUP(B1666,'Pre-Summary'!$BG$6:$BL$44,4,FALSE),"")</f>
        <v/>
      </c>
    </row>
    <row r="1667" spans="2:39" ht="15" customHeight="1" x14ac:dyDescent="0.3">
      <c r="B1667">
        <v>166.4</v>
      </c>
      <c r="C1667" t="str">
        <f>IFERROR(VLOOKUP(B1667,'Pre-Summary'!$DI$6:$DM$23,4,FALSE),"")</f>
        <v/>
      </c>
      <c r="D1667" s="10" t="str">
        <f>IFERROR(VLOOKUP(B1667,'Pre-Summary'!$AT$6:$AX$14,5,FALSE),D1666)</f>
        <v>Wolfe v3: went back to modified wolfe + EDTA and switched CuSO4 to CUCl2</v>
      </c>
      <c r="E1667" s="10" t="str">
        <f>IFERROR(VLOOKUP(B1667,'Pre-Summary'!$AT$6:$AX$15,4,FALSE),"")</f>
        <v/>
      </c>
      <c r="F1667">
        <f>IFERROR(VLOOKUP(B1667,'Pre-Summary'!$AL$6:$AQ$13,6,FALSE),F1666)</f>
        <v>5.9405263157894746E-2</v>
      </c>
      <c r="G1667" t="str">
        <f>IFERROR(VLOOKUP(B1667,'Pre-Summary'!$AE$6:$AJ$85,3,FALSE),"")</f>
        <v/>
      </c>
      <c r="H1667" t="str">
        <f>IFERROR(VLOOKUP(B1667,'Pre-Summary'!$AE$6:$AJ$85,4,FALSE),"")</f>
        <v/>
      </c>
      <c r="I1667" t="str">
        <f>IFERROR(VLOOKUP(B1667,'Pre-Summary'!$AE$6:$AJ$85,5,FALSE),"")</f>
        <v/>
      </c>
      <c r="J1667" s="45" t="str">
        <f>IFERROR(VLOOKUP(B1667,'Pre-Summary'!$AE$6:$AJ$85,6, FALSE),"")</f>
        <v/>
      </c>
      <c r="K1667" s="45" t="str">
        <f>IFERROR(VLOOKUP(B1667,'Pre-Summary'!$DE$6:$DG$61,3,FALSE),"")</f>
        <v/>
      </c>
      <c r="L1667" s="45" t="str">
        <f>IFERROR(VLOOKUP(B1667,'Pre-Summary'!$CU$6:$CW$36,3,FALSE),"")</f>
        <v/>
      </c>
      <c r="M1667" s="45" t="str">
        <f>IFERROR(VLOOKUP(B1667,'Pre-Summary'!$BW$6:$BY$58,2,FALSE),"")</f>
        <v/>
      </c>
      <c r="N1667" s="45" t="str">
        <f>IFERROR(VLOOKUP(B1667,'Pre-Summary'!$CD$6:$CF$64,2,FALSE),"")</f>
        <v/>
      </c>
      <c r="O1667" s="99">
        <f>IFERROR(VLOOKUP(B1667,'Pre-Summary'!$BO$6:$BQ$48,3, FALSE),O1666)</f>
        <v>1</v>
      </c>
      <c r="P1667" s="99">
        <f>IFERROR(VLOOKUP(B1667,'Pre-Summary'!$BS$6:$BU$35,3,FALSE),P1666)</f>
        <v>0.3</v>
      </c>
      <c r="Q1667" s="54">
        <f t="shared" ref="Q1667:Q1730" si="78">O1667/P1667</f>
        <v>3.3333333333333335</v>
      </c>
      <c r="R1667" s="53">
        <f>IFERROR(VLOOKUP(B1667,'Pre-Summary'!$BG$6:$BM$44,7,FALSE),R1668)</f>
        <v>8.3576993058106674E-2</v>
      </c>
      <c r="S1667" s="53">
        <f>IFERROR(VLOOKUP(B1667,'Pre-Summary'!$BG$6:$BM$44,6,FALSE),S1668)</f>
        <v>0.10174646781791266</v>
      </c>
      <c r="T1667" s="45" t="str">
        <f>IFERROR(VLOOKUP(B1667,'Pre-Summary'!$Y$6:$AC$83, 3,FALSE),"")</f>
        <v/>
      </c>
      <c r="U1667" s="45" t="str">
        <f>IFERROR(VLOOKUP(B1667,'Pre-Summary'!$Y$6:$AC$83, 4,FALSE),"")</f>
        <v/>
      </c>
      <c r="V1667" t="str">
        <f>IFERROR(VLOOKUP(B1667,'Pre-Summary'!$Y$6:$AC$83, 5,FALSE),"")</f>
        <v/>
      </c>
      <c r="W1667" s="45" t="str">
        <f>IFERROR(VLOOKUP(B1667,'Pre-Summary'!$Y$6:$AD$83,6,FALSE),"")</f>
        <v/>
      </c>
      <c r="X1667" t="str">
        <f>IFERROR(VLOOKUP('Pre-Summary'!$DB$6:$DD$63,3,FALSE),"")</f>
        <v/>
      </c>
      <c r="Y1667" t="str">
        <f>IFERROR(VLOOKUP(B1667,'Pre-Summary'!$CR$6:$CT$36,3,FALSE),"")</f>
        <v/>
      </c>
      <c r="Z1667" s="45" t="str">
        <f>IFERROR(VLOOKUP(B1667,'Pre-Summary'!$BZ$6:$CB$63,2,FALSE),"")</f>
        <v/>
      </c>
      <c r="AA1667" s="45" t="str">
        <f>IFERROR(VLOOKUP(B1667,'Pre-Summary'!$CG$6:$CI$70,2,FALSE),"")</f>
        <v/>
      </c>
      <c r="AB1667" s="99">
        <f>IFERROR(VLOOKUP(B1667,'Pre-Summary'!$A$6:$P$178,9,FALSE),AB1668)</f>
        <v>0.2823945757993872</v>
      </c>
      <c r="AC1667" s="10">
        <f>IFERROR(VLOOKUP(Summary!B1667,'Pre-Summary'!$A$6:$P$184,5, FALSE)/100,AC1668)</f>
        <v>0.95646433333333336</v>
      </c>
      <c r="AD1667" s="10">
        <f>IFERROR(VLOOKUP(Summary!B1667,'Pre-Summary'!$A$6:$P$184,3, FALSE)/100,AD1668)</f>
        <v>1.3388333333333334E-2</v>
      </c>
      <c r="AE1667" s="10">
        <f>IFERROR(VLOOKUP(Summary!B1667,'Pre-Summary'!$A$6:$P$184,7, FALSE)/100,AE1668)</f>
        <v>3.0147E-2</v>
      </c>
      <c r="AF1667" s="99">
        <f t="shared" ref="AF1667:AF1730" si="79">AD1667*AB1667</f>
        <v>3.7807927123274625E-3</v>
      </c>
      <c r="AG1667" s="99">
        <f t="shared" ref="AG1667:AG1730" si="80">AB1667*AE1667</f>
        <v>8.5133492766241263E-3</v>
      </c>
      <c r="AH1667" s="10" t="str">
        <f>IFERROR(VLOOKUP(B1667,'Pre-Summary'!$AZ$6:$BE$65,3,FALSE),"")</f>
        <v/>
      </c>
      <c r="AI1667" s="10" t="str">
        <f>IFERROR(VLOOKUP(B1667,'Pre-Summary'!$AZ$6:$BE$65,5,FALSE),"")</f>
        <v/>
      </c>
      <c r="AJ1667" s="10" t="str">
        <f>IFERROR(VLOOKUP(B1667,'Pre-Summary'!$AZ$6:$BE$65,4,FALSE),"")</f>
        <v/>
      </c>
      <c r="AK1667" s="10" t="str">
        <f>IFERROR(VLOOKUP(B1667,'Pre-Summary'!$AZ$6:$BE$65,6,FALSE),"")</f>
        <v/>
      </c>
      <c r="AL1667" s="10" t="str">
        <f>IFERROR(VLOOKUP(B1667,'Pre-Summary'!$BG$6:$BL$44,3,FALSE),"")</f>
        <v/>
      </c>
      <c r="AM1667" s="10" t="str">
        <f>IFERROR(VLOOKUP(B1667,'Pre-Summary'!$BG$6:$BL$44,4,FALSE),"")</f>
        <v/>
      </c>
    </row>
    <row r="1668" spans="2:39" ht="15" customHeight="1" x14ac:dyDescent="0.3">
      <c r="B1668">
        <v>166.5</v>
      </c>
      <c r="C1668" t="str">
        <f>IFERROR(VLOOKUP(B1668,'Pre-Summary'!$DI$6:$DM$23,4,FALSE),"")</f>
        <v/>
      </c>
      <c r="D1668" s="10" t="str">
        <f>IFERROR(VLOOKUP(B1668,'Pre-Summary'!$AT$6:$AX$14,5,FALSE),D1667)</f>
        <v>Wolfe v3: went back to modified wolfe + EDTA and switched CuSO4 to CUCl2</v>
      </c>
      <c r="E1668" s="10" t="str">
        <f>IFERROR(VLOOKUP(B1668,'Pre-Summary'!$AT$6:$AX$15,4,FALSE),"")</f>
        <v/>
      </c>
      <c r="F1668">
        <f>IFERROR(VLOOKUP(B1668,'Pre-Summary'!$AL$6:$AQ$13,6,FALSE),F1667)</f>
        <v>5.9405263157894746E-2</v>
      </c>
      <c r="G1668">
        <f>IFERROR(VLOOKUP(B1668,'Pre-Summary'!$AE$6:$AJ$85,3,FALSE),"")</f>
        <v>145.43700000000001</v>
      </c>
      <c r="H1668">
        <f>IFERROR(VLOOKUP(B1668,'Pre-Summary'!$AE$6:$AJ$85,4,FALSE),"")</f>
        <v>0.73668299999999998</v>
      </c>
      <c r="I1668" t="str">
        <f>IFERROR(VLOOKUP(B1668,'Pre-Summary'!$AE$6:$AJ$85,5,FALSE),"")</f>
        <v/>
      </c>
      <c r="J1668" s="45">
        <f>IFERROR(VLOOKUP(B1668,'Pre-Summary'!$AE$6:$AJ$85,6, FALSE),"")</f>
        <v>155.18127900000002</v>
      </c>
      <c r="K1668" s="45">
        <f>IFERROR(VLOOKUP(B1668,'Pre-Summary'!$DE$6:$DG$61,3,FALSE),"")</f>
        <v>614</v>
      </c>
      <c r="L1668" s="45">
        <f>IFERROR(VLOOKUP(B1668,'Pre-Summary'!$CU$6:$CW$36,3,FALSE),"")</f>
        <v>320.79999999999995</v>
      </c>
      <c r="M1668" s="45" t="str">
        <f>IFERROR(VLOOKUP(B1668,'Pre-Summary'!$BW$6:$BY$58,2,FALSE),"")</f>
        <v/>
      </c>
      <c r="N1668" s="45">
        <f>IFERROR(VLOOKUP(B1668,'Pre-Summary'!$CD$6:$CF$64,2,FALSE),"")</f>
        <v>260.89746541471135</v>
      </c>
      <c r="O1668" s="99">
        <f>IFERROR(VLOOKUP(B1668,'Pre-Summary'!$BO$6:$BQ$48,3, FALSE),O1667)</f>
        <v>1</v>
      </c>
      <c r="P1668" s="99">
        <f>IFERROR(VLOOKUP(B1668,'Pre-Summary'!$BS$6:$BU$35,3,FALSE),P1667)</f>
        <v>0.3</v>
      </c>
      <c r="Q1668" s="54">
        <f t="shared" si="78"/>
        <v>3.3333333333333335</v>
      </c>
      <c r="R1668" s="53">
        <f>IFERROR(VLOOKUP(B1668,'Pre-Summary'!$BG$6:$BM$44,7,FALSE),R1669)</f>
        <v>8.3576993058106674E-2</v>
      </c>
      <c r="S1668" s="53">
        <f>IFERROR(VLOOKUP(B1668,'Pre-Summary'!$BG$6:$BM$44,6,FALSE),S1669)</f>
        <v>0.10174646781791266</v>
      </c>
      <c r="T1668" s="45">
        <f>IFERROR(VLOOKUP(B1668,'Pre-Summary'!$Y$6:$AC$83, 3,FALSE),"")</f>
        <v>6.5350169999999999</v>
      </c>
      <c r="U1668" s="45">
        <f>IFERROR(VLOOKUP(B1668,'Pre-Summary'!$Y$6:$AC$83, 4,FALSE),"")</f>
        <v>5.0397259999999999</v>
      </c>
      <c r="V1668" t="str">
        <f>IFERROR(VLOOKUP(B1668,'Pre-Summary'!$Y$6:$AC$83, 5,FALSE),"")</f>
        <v/>
      </c>
      <c r="W1668" s="45">
        <f>IFERROR(VLOOKUP(B1668,'Pre-Summary'!$Y$6:$AD$83,6,FALSE),"")</f>
        <v>6.9728631389999993</v>
      </c>
      <c r="X1668" t="str">
        <f>IFERROR(VLOOKUP('Pre-Summary'!$DB$6:$DD$63,3,FALSE),"")</f>
        <v/>
      </c>
      <c r="Y1668">
        <f>IFERROR(VLOOKUP(B1668,'Pre-Summary'!$CR$6:$CT$36,3,FALSE),"")</f>
        <v>297.8</v>
      </c>
      <c r="Z1668" s="45" t="str">
        <f>IFERROR(VLOOKUP(B1668,'Pre-Summary'!$BZ$6:$CB$63,2,FALSE),"")</f>
        <v/>
      </c>
      <c r="AA1668" s="45" t="str">
        <f>IFERROR(VLOOKUP(B1668,'Pre-Summary'!$CG$6:$CI$70,2,FALSE),"")</f>
        <v/>
      </c>
      <c r="AB1668" s="99">
        <f>IFERROR(VLOOKUP(B1668,'Pre-Summary'!$A$6:$P$178,9,FALSE),AB1669)</f>
        <v>0.2823945757993872</v>
      </c>
      <c r="AC1668" s="10">
        <f>IFERROR(VLOOKUP(Summary!B1668,'Pre-Summary'!$A$6:$P$184,5, FALSE)/100,AC1669)</f>
        <v>0.95646433333333336</v>
      </c>
      <c r="AD1668" s="10">
        <f>IFERROR(VLOOKUP(Summary!B1668,'Pre-Summary'!$A$6:$P$184,3, FALSE)/100,AD1669)</f>
        <v>1.3388333333333334E-2</v>
      </c>
      <c r="AE1668" s="10">
        <f>IFERROR(VLOOKUP(Summary!B1668,'Pre-Summary'!$A$6:$P$184,7, FALSE)/100,AE1669)</f>
        <v>3.0147E-2</v>
      </c>
      <c r="AF1668" s="99">
        <f t="shared" si="79"/>
        <v>3.7807927123274625E-3</v>
      </c>
      <c r="AG1668" s="99">
        <f t="shared" si="80"/>
        <v>8.5133492766241263E-3</v>
      </c>
      <c r="AH1668" s="10" t="str">
        <f>IFERROR(VLOOKUP(B1668,'Pre-Summary'!$AZ$6:$BE$65,3,FALSE),"")</f>
        <v/>
      </c>
      <c r="AI1668" s="10" t="str">
        <f>IFERROR(VLOOKUP(B1668,'Pre-Summary'!$AZ$6:$BE$65,5,FALSE),"")</f>
        <v/>
      </c>
      <c r="AJ1668" s="10" t="str">
        <f>IFERROR(VLOOKUP(B1668,'Pre-Summary'!$AZ$6:$BE$65,4,FALSE),"")</f>
        <v/>
      </c>
      <c r="AK1668" s="10" t="str">
        <f>IFERROR(VLOOKUP(B1668,'Pre-Summary'!$AZ$6:$BE$65,6,FALSE),"")</f>
        <v/>
      </c>
      <c r="AL1668" s="10" t="str">
        <f>IFERROR(VLOOKUP(B1668,'Pre-Summary'!$BG$6:$BL$44,3,FALSE),"")</f>
        <v/>
      </c>
      <c r="AM1668" s="10" t="str">
        <f>IFERROR(VLOOKUP(B1668,'Pre-Summary'!$BG$6:$BL$44,4,FALSE),"")</f>
        <v/>
      </c>
    </row>
    <row r="1669" spans="2:39" ht="15" customHeight="1" x14ac:dyDescent="0.3">
      <c r="B1669">
        <v>166.6</v>
      </c>
      <c r="C1669" t="str">
        <f>IFERROR(VLOOKUP(B1669,'Pre-Summary'!$DI$6:$DM$23,4,FALSE),"")</f>
        <v/>
      </c>
      <c r="D1669" s="10" t="str">
        <f>IFERROR(VLOOKUP(B1669,'Pre-Summary'!$AT$6:$AX$14,5,FALSE),D1668)</f>
        <v>Wolfe v3: went back to modified wolfe + EDTA and switched CuSO4 to CUCl2</v>
      </c>
      <c r="E1669" s="10" t="str">
        <f>IFERROR(VLOOKUP(B1669,'Pre-Summary'!$AT$6:$AX$15,4,FALSE),"")</f>
        <v/>
      </c>
      <c r="F1669">
        <f>IFERROR(VLOOKUP(B1669,'Pre-Summary'!$AL$6:$AQ$13,6,FALSE),F1668)</f>
        <v>5.9405263157894746E-2</v>
      </c>
      <c r="G1669" t="str">
        <f>IFERROR(VLOOKUP(B1669,'Pre-Summary'!$AE$6:$AJ$85,3,FALSE),"")</f>
        <v/>
      </c>
      <c r="H1669" t="str">
        <f>IFERROR(VLOOKUP(B1669,'Pre-Summary'!$AE$6:$AJ$85,4,FALSE),"")</f>
        <v/>
      </c>
      <c r="I1669" t="str">
        <f>IFERROR(VLOOKUP(B1669,'Pre-Summary'!$AE$6:$AJ$85,5,FALSE),"")</f>
        <v/>
      </c>
      <c r="J1669" s="45" t="str">
        <f>IFERROR(VLOOKUP(B1669,'Pre-Summary'!$AE$6:$AJ$85,6, FALSE),"")</f>
        <v/>
      </c>
      <c r="K1669" s="45" t="str">
        <f>IFERROR(VLOOKUP(B1669,'Pre-Summary'!$DE$6:$DG$61,3,FALSE),"")</f>
        <v/>
      </c>
      <c r="L1669" s="45" t="str">
        <f>IFERROR(VLOOKUP(B1669,'Pre-Summary'!$CU$6:$CW$36,3,FALSE),"")</f>
        <v/>
      </c>
      <c r="M1669" s="45" t="str">
        <f>IFERROR(VLOOKUP(B1669,'Pre-Summary'!$BW$6:$BY$58,2,FALSE),"")</f>
        <v/>
      </c>
      <c r="N1669" s="45" t="str">
        <f>IFERROR(VLOOKUP(B1669,'Pre-Summary'!$CD$6:$CF$64,2,FALSE),"")</f>
        <v/>
      </c>
      <c r="O1669" s="99">
        <f>IFERROR(VLOOKUP(B1669,'Pre-Summary'!$BO$6:$BQ$48,3, FALSE),O1668)</f>
        <v>1</v>
      </c>
      <c r="P1669" s="99">
        <f>IFERROR(VLOOKUP(B1669,'Pre-Summary'!$BS$6:$BU$35,3,FALSE),P1668)</f>
        <v>0.3</v>
      </c>
      <c r="Q1669" s="54">
        <f t="shared" si="78"/>
        <v>3.3333333333333335</v>
      </c>
      <c r="R1669" s="53">
        <f>IFERROR(VLOOKUP(B1669,'Pre-Summary'!$BG$6:$BM$44,7,FALSE),R1670)</f>
        <v>8.3576993058106674E-2</v>
      </c>
      <c r="S1669" s="53">
        <f>IFERROR(VLOOKUP(B1669,'Pre-Summary'!$BG$6:$BM$44,6,FALSE),S1670)</f>
        <v>0.10174646781791266</v>
      </c>
      <c r="T1669" s="45" t="str">
        <f>IFERROR(VLOOKUP(B1669,'Pre-Summary'!$Y$6:$AC$83, 3,FALSE),"")</f>
        <v/>
      </c>
      <c r="U1669" s="45" t="str">
        <f>IFERROR(VLOOKUP(B1669,'Pre-Summary'!$Y$6:$AC$83, 4,FALSE),"")</f>
        <v/>
      </c>
      <c r="V1669" t="str">
        <f>IFERROR(VLOOKUP(B1669,'Pre-Summary'!$Y$6:$AC$83, 5,FALSE),"")</f>
        <v/>
      </c>
      <c r="W1669" s="45" t="str">
        <f>IFERROR(VLOOKUP(B1669,'Pre-Summary'!$Y$6:$AD$83,6,FALSE),"")</f>
        <v/>
      </c>
      <c r="X1669" t="str">
        <f>IFERROR(VLOOKUP('Pre-Summary'!$DB$6:$DD$63,3,FALSE),"")</f>
        <v/>
      </c>
      <c r="Y1669" t="str">
        <f>IFERROR(VLOOKUP(B1669,'Pre-Summary'!$CR$6:$CT$36,3,FALSE),"")</f>
        <v/>
      </c>
      <c r="Z1669" s="45" t="str">
        <f>IFERROR(VLOOKUP(B1669,'Pre-Summary'!$BZ$6:$CB$63,2,FALSE),"")</f>
        <v/>
      </c>
      <c r="AA1669" s="45" t="str">
        <f>IFERROR(VLOOKUP(B1669,'Pre-Summary'!$CG$6:$CI$70,2,FALSE),"")</f>
        <v/>
      </c>
      <c r="AB1669" s="99">
        <f>IFERROR(VLOOKUP(B1669,'Pre-Summary'!$A$6:$P$178,9,FALSE),AB1670)</f>
        <v>0.2823945757993872</v>
      </c>
      <c r="AC1669" s="10">
        <f>IFERROR(VLOOKUP(Summary!B1669,'Pre-Summary'!$A$6:$P$184,5, FALSE)/100,AC1670)</f>
        <v>0.95646433333333336</v>
      </c>
      <c r="AD1669" s="10">
        <f>IFERROR(VLOOKUP(Summary!B1669,'Pre-Summary'!$A$6:$P$184,3, FALSE)/100,AD1670)</f>
        <v>1.3388333333333334E-2</v>
      </c>
      <c r="AE1669" s="10">
        <f>IFERROR(VLOOKUP(Summary!B1669,'Pre-Summary'!$A$6:$P$184,7, FALSE)/100,AE1670)</f>
        <v>3.0147E-2</v>
      </c>
      <c r="AF1669" s="99">
        <f t="shared" si="79"/>
        <v>3.7807927123274625E-3</v>
      </c>
      <c r="AG1669" s="99">
        <f t="shared" si="80"/>
        <v>8.5133492766241263E-3</v>
      </c>
      <c r="AH1669" s="10" t="str">
        <f>IFERROR(VLOOKUP(B1669,'Pre-Summary'!$AZ$6:$BE$65,3,FALSE),"")</f>
        <v/>
      </c>
      <c r="AI1669" s="10" t="str">
        <f>IFERROR(VLOOKUP(B1669,'Pre-Summary'!$AZ$6:$BE$65,5,FALSE),"")</f>
        <v/>
      </c>
      <c r="AJ1669" s="10" t="str">
        <f>IFERROR(VLOOKUP(B1669,'Pre-Summary'!$AZ$6:$BE$65,4,FALSE),"")</f>
        <v/>
      </c>
      <c r="AK1669" s="10" t="str">
        <f>IFERROR(VLOOKUP(B1669,'Pre-Summary'!$AZ$6:$BE$65,6,FALSE),"")</f>
        <v/>
      </c>
      <c r="AL1669" s="10" t="str">
        <f>IFERROR(VLOOKUP(B1669,'Pre-Summary'!$BG$6:$BL$44,3,FALSE),"")</f>
        <v/>
      </c>
      <c r="AM1669" s="10" t="str">
        <f>IFERROR(VLOOKUP(B1669,'Pre-Summary'!$BG$6:$BL$44,4,FALSE),"")</f>
        <v/>
      </c>
    </row>
    <row r="1670" spans="2:39" ht="15" customHeight="1" x14ac:dyDescent="0.3">
      <c r="B1670">
        <v>166.7</v>
      </c>
      <c r="C1670" t="str">
        <f>IFERROR(VLOOKUP(B1670,'Pre-Summary'!$DI$6:$DM$23,4,FALSE),"")</f>
        <v/>
      </c>
      <c r="D1670" s="10" t="str">
        <f>IFERROR(VLOOKUP(B1670,'Pre-Summary'!$AT$6:$AX$14,5,FALSE),D1669)</f>
        <v>Wolfe v3: went back to modified wolfe + EDTA and switched CuSO4 to CUCl2</v>
      </c>
      <c r="E1670" s="10" t="str">
        <f>IFERROR(VLOOKUP(B1670,'Pre-Summary'!$AT$6:$AX$15,4,FALSE),"")</f>
        <v/>
      </c>
      <c r="F1670">
        <f>IFERROR(VLOOKUP(B1670,'Pre-Summary'!$AL$6:$AQ$13,6,FALSE),F1669)</f>
        <v>5.9405263157894746E-2</v>
      </c>
      <c r="G1670" t="str">
        <f>IFERROR(VLOOKUP(B1670,'Pre-Summary'!$AE$6:$AJ$85,3,FALSE),"")</f>
        <v/>
      </c>
      <c r="H1670" t="str">
        <f>IFERROR(VLOOKUP(B1670,'Pre-Summary'!$AE$6:$AJ$85,4,FALSE),"")</f>
        <v/>
      </c>
      <c r="I1670" t="str">
        <f>IFERROR(VLOOKUP(B1670,'Pre-Summary'!$AE$6:$AJ$85,5,FALSE),"")</f>
        <v/>
      </c>
      <c r="J1670" s="45" t="str">
        <f>IFERROR(VLOOKUP(B1670,'Pre-Summary'!$AE$6:$AJ$85,6, FALSE),"")</f>
        <v/>
      </c>
      <c r="K1670" s="45" t="str">
        <f>IFERROR(VLOOKUP(B1670,'Pre-Summary'!$DE$6:$DG$61,3,FALSE),"")</f>
        <v/>
      </c>
      <c r="L1670" s="45" t="str">
        <f>IFERROR(VLOOKUP(B1670,'Pre-Summary'!$CU$6:$CW$36,3,FALSE),"")</f>
        <v/>
      </c>
      <c r="M1670" s="45" t="str">
        <f>IFERROR(VLOOKUP(B1670,'Pre-Summary'!$BW$6:$BY$58,2,FALSE),"")</f>
        <v/>
      </c>
      <c r="N1670" s="45" t="str">
        <f>IFERROR(VLOOKUP(B1670,'Pre-Summary'!$CD$6:$CF$64,2,FALSE),"")</f>
        <v/>
      </c>
      <c r="O1670" s="99">
        <f>IFERROR(VLOOKUP(B1670,'Pre-Summary'!$BO$6:$BQ$48,3, FALSE),O1669)</f>
        <v>1</v>
      </c>
      <c r="P1670" s="99">
        <f>IFERROR(VLOOKUP(B1670,'Pre-Summary'!$BS$6:$BU$35,3,FALSE),P1669)</f>
        <v>0.3</v>
      </c>
      <c r="Q1670" s="54">
        <f t="shared" si="78"/>
        <v>3.3333333333333335</v>
      </c>
      <c r="R1670" s="53">
        <f>IFERROR(VLOOKUP(B1670,'Pre-Summary'!$BG$6:$BM$44,7,FALSE),R1671)</f>
        <v>8.3576993058106674E-2</v>
      </c>
      <c r="S1670" s="53">
        <f>IFERROR(VLOOKUP(B1670,'Pre-Summary'!$BG$6:$BM$44,6,FALSE),S1671)</f>
        <v>0.10174646781791266</v>
      </c>
      <c r="T1670" s="45" t="str">
        <f>IFERROR(VLOOKUP(B1670,'Pre-Summary'!$Y$6:$AC$83, 3,FALSE),"")</f>
        <v/>
      </c>
      <c r="U1670" s="45" t="str">
        <f>IFERROR(VLOOKUP(B1670,'Pre-Summary'!$Y$6:$AC$83, 4,FALSE),"")</f>
        <v/>
      </c>
      <c r="V1670" t="str">
        <f>IFERROR(VLOOKUP(B1670,'Pre-Summary'!$Y$6:$AC$83, 5,FALSE),"")</f>
        <v/>
      </c>
      <c r="W1670" s="45" t="str">
        <f>IFERROR(VLOOKUP(B1670,'Pre-Summary'!$Y$6:$AD$83,6,FALSE),"")</f>
        <v/>
      </c>
      <c r="X1670" t="str">
        <f>IFERROR(VLOOKUP('Pre-Summary'!$DB$6:$DD$63,3,FALSE),"")</f>
        <v/>
      </c>
      <c r="Y1670" t="str">
        <f>IFERROR(VLOOKUP(B1670,'Pre-Summary'!$CR$6:$CT$36,3,FALSE),"")</f>
        <v/>
      </c>
      <c r="Z1670" s="45" t="str">
        <f>IFERROR(VLOOKUP(B1670,'Pre-Summary'!$BZ$6:$CB$63,2,FALSE),"")</f>
        <v/>
      </c>
      <c r="AA1670" s="45" t="str">
        <f>IFERROR(VLOOKUP(B1670,'Pre-Summary'!$CG$6:$CI$70,2,FALSE),"")</f>
        <v/>
      </c>
      <c r="AB1670" s="99">
        <f>IFERROR(VLOOKUP(B1670,'Pre-Summary'!$A$6:$P$178,9,FALSE),AB1671)</f>
        <v>0.2823945757993872</v>
      </c>
      <c r="AC1670" s="10">
        <f>IFERROR(VLOOKUP(Summary!B1670,'Pre-Summary'!$A$6:$P$184,5, FALSE)/100,AC1671)</f>
        <v>0.95646433333333336</v>
      </c>
      <c r="AD1670" s="10">
        <f>IFERROR(VLOOKUP(Summary!B1670,'Pre-Summary'!$A$6:$P$184,3, FALSE)/100,AD1671)</f>
        <v>1.3388333333333334E-2</v>
      </c>
      <c r="AE1670" s="10">
        <f>IFERROR(VLOOKUP(Summary!B1670,'Pre-Summary'!$A$6:$P$184,7, FALSE)/100,AE1671)</f>
        <v>3.0147E-2</v>
      </c>
      <c r="AF1670" s="99">
        <f t="shared" si="79"/>
        <v>3.7807927123274625E-3</v>
      </c>
      <c r="AG1670" s="99">
        <f t="shared" si="80"/>
        <v>8.5133492766241263E-3</v>
      </c>
      <c r="AH1670" s="10" t="str">
        <f>IFERROR(VLOOKUP(B1670,'Pre-Summary'!$AZ$6:$BE$65,3,FALSE),"")</f>
        <v/>
      </c>
      <c r="AI1670" s="10" t="str">
        <f>IFERROR(VLOOKUP(B1670,'Pre-Summary'!$AZ$6:$BE$65,5,FALSE),"")</f>
        <v/>
      </c>
      <c r="AJ1670" s="10" t="str">
        <f>IFERROR(VLOOKUP(B1670,'Pre-Summary'!$AZ$6:$BE$65,4,FALSE),"")</f>
        <v/>
      </c>
      <c r="AK1670" s="10" t="str">
        <f>IFERROR(VLOOKUP(B1670,'Pre-Summary'!$AZ$6:$BE$65,6,FALSE),"")</f>
        <v/>
      </c>
      <c r="AL1670" s="10" t="str">
        <f>IFERROR(VLOOKUP(B1670,'Pre-Summary'!$BG$6:$BL$44,3,FALSE),"")</f>
        <v/>
      </c>
      <c r="AM1670" s="10" t="str">
        <f>IFERROR(VLOOKUP(B1670,'Pre-Summary'!$BG$6:$BL$44,4,FALSE),"")</f>
        <v/>
      </c>
    </row>
    <row r="1671" spans="2:39" ht="15" customHeight="1" x14ac:dyDescent="0.3">
      <c r="B1671">
        <v>166.8</v>
      </c>
      <c r="C1671" t="str">
        <f>IFERROR(VLOOKUP(B1671,'Pre-Summary'!$DI$6:$DM$23,4,FALSE),"")</f>
        <v/>
      </c>
      <c r="D1671" s="10" t="str">
        <f>IFERROR(VLOOKUP(B1671,'Pre-Summary'!$AT$6:$AX$14,5,FALSE),D1670)</f>
        <v>Wolfe v3: went back to modified wolfe + EDTA and switched CuSO4 to CUCl2</v>
      </c>
      <c r="E1671" s="10" t="str">
        <f>IFERROR(VLOOKUP(B1671,'Pre-Summary'!$AT$6:$AX$15,4,FALSE),"")</f>
        <v/>
      </c>
      <c r="F1671">
        <f>IFERROR(VLOOKUP(B1671,'Pre-Summary'!$AL$6:$AQ$13,6,FALSE),F1670)</f>
        <v>5.9405263157894746E-2</v>
      </c>
      <c r="G1671" t="str">
        <f>IFERROR(VLOOKUP(B1671,'Pre-Summary'!$AE$6:$AJ$85,3,FALSE),"")</f>
        <v/>
      </c>
      <c r="H1671" t="str">
        <f>IFERROR(VLOOKUP(B1671,'Pre-Summary'!$AE$6:$AJ$85,4,FALSE),"")</f>
        <v/>
      </c>
      <c r="I1671" t="str">
        <f>IFERROR(VLOOKUP(B1671,'Pre-Summary'!$AE$6:$AJ$85,5,FALSE),"")</f>
        <v/>
      </c>
      <c r="J1671" s="45" t="str">
        <f>IFERROR(VLOOKUP(B1671,'Pre-Summary'!$AE$6:$AJ$85,6, FALSE),"")</f>
        <v/>
      </c>
      <c r="K1671" s="45" t="str">
        <f>IFERROR(VLOOKUP(B1671,'Pre-Summary'!$DE$6:$DG$61,3,FALSE),"")</f>
        <v/>
      </c>
      <c r="L1671" s="45" t="str">
        <f>IFERROR(VLOOKUP(B1671,'Pre-Summary'!$CU$6:$CW$36,3,FALSE),"")</f>
        <v/>
      </c>
      <c r="M1671" s="45" t="str">
        <f>IFERROR(VLOOKUP(B1671,'Pre-Summary'!$BW$6:$BY$58,2,FALSE),"")</f>
        <v/>
      </c>
      <c r="N1671" s="45" t="str">
        <f>IFERROR(VLOOKUP(B1671,'Pre-Summary'!$CD$6:$CF$64,2,FALSE),"")</f>
        <v/>
      </c>
      <c r="O1671" s="99">
        <f>IFERROR(VLOOKUP(B1671,'Pre-Summary'!$BO$6:$BQ$48,3, FALSE),O1670)</f>
        <v>1</v>
      </c>
      <c r="P1671" s="99">
        <f>IFERROR(VLOOKUP(B1671,'Pre-Summary'!$BS$6:$BU$35,3,FALSE),P1670)</f>
        <v>0.3</v>
      </c>
      <c r="Q1671" s="54">
        <f t="shared" si="78"/>
        <v>3.3333333333333335</v>
      </c>
      <c r="R1671" s="53">
        <f>IFERROR(VLOOKUP(B1671,'Pre-Summary'!$BG$6:$BM$44,7,FALSE),R1672)</f>
        <v>8.3576993058106674E-2</v>
      </c>
      <c r="S1671" s="53">
        <f>IFERROR(VLOOKUP(B1671,'Pre-Summary'!$BG$6:$BM$44,6,FALSE),S1672)</f>
        <v>0.10174646781791266</v>
      </c>
      <c r="T1671" s="45" t="str">
        <f>IFERROR(VLOOKUP(B1671,'Pre-Summary'!$Y$6:$AC$83, 3,FALSE),"")</f>
        <v/>
      </c>
      <c r="U1671" s="45" t="str">
        <f>IFERROR(VLOOKUP(B1671,'Pre-Summary'!$Y$6:$AC$83, 4,FALSE),"")</f>
        <v/>
      </c>
      <c r="V1671" t="str">
        <f>IFERROR(VLOOKUP(B1671,'Pre-Summary'!$Y$6:$AC$83, 5,FALSE),"")</f>
        <v/>
      </c>
      <c r="W1671" s="45" t="str">
        <f>IFERROR(VLOOKUP(B1671,'Pre-Summary'!$Y$6:$AD$83,6,FALSE),"")</f>
        <v/>
      </c>
      <c r="X1671" t="str">
        <f>IFERROR(VLOOKUP('Pre-Summary'!$DB$6:$DD$63,3,FALSE),"")</f>
        <v/>
      </c>
      <c r="Y1671" t="str">
        <f>IFERROR(VLOOKUP(B1671,'Pre-Summary'!$CR$6:$CT$36,3,FALSE),"")</f>
        <v/>
      </c>
      <c r="Z1671" s="45" t="str">
        <f>IFERROR(VLOOKUP(B1671,'Pre-Summary'!$BZ$6:$CB$63,2,FALSE),"")</f>
        <v/>
      </c>
      <c r="AA1671" s="45" t="str">
        <f>IFERROR(VLOOKUP(B1671,'Pre-Summary'!$CG$6:$CI$70,2,FALSE),"")</f>
        <v/>
      </c>
      <c r="AB1671" s="99">
        <f>IFERROR(VLOOKUP(B1671,'Pre-Summary'!$A$6:$P$178,9,FALSE),AB1672)</f>
        <v>0.2823945757993872</v>
      </c>
      <c r="AC1671" s="10">
        <f>IFERROR(VLOOKUP(Summary!B1671,'Pre-Summary'!$A$6:$P$184,5, FALSE)/100,AC1672)</f>
        <v>0.95646433333333336</v>
      </c>
      <c r="AD1671" s="10">
        <f>IFERROR(VLOOKUP(Summary!B1671,'Pre-Summary'!$A$6:$P$184,3, FALSE)/100,AD1672)</f>
        <v>1.3388333333333334E-2</v>
      </c>
      <c r="AE1671" s="10">
        <f>IFERROR(VLOOKUP(Summary!B1671,'Pre-Summary'!$A$6:$P$184,7, FALSE)/100,AE1672)</f>
        <v>3.0147E-2</v>
      </c>
      <c r="AF1671" s="99">
        <f t="shared" si="79"/>
        <v>3.7807927123274625E-3</v>
      </c>
      <c r="AG1671" s="99">
        <f t="shared" si="80"/>
        <v>8.5133492766241263E-3</v>
      </c>
      <c r="AH1671" s="10" t="str">
        <f>IFERROR(VLOOKUP(B1671,'Pre-Summary'!$AZ$6:$BE$65,3,FALSE),"")</f>
        <v/>
      </c>
      <c r="AI1671" s="10" t="str">
        <f>IFERROR(VLOOKUP(B1671,'Pre-Summary'!$AZ$6:$BE$65,5,FALSE),"")</f>
        <v/>
      </c>
      <c r="AJ1671" s="10" t="str">
        <f>IFERROR(VLOOKUP(B1671,'Pre-Summary'!$AZ$6:$BE$65,4,FALSE),"")</f>
        <v/>
      </c>
      <c r="AK1671" s="10" t="str">
        <f>IFERROR(VLOOKUP(B1671,'Pre-Summary'!$AZ$6:$BE$65,6,FALSE),"")</f>
        <v/>
      </c>
      <c r="AL1671" s="10" t="str">
        <f>IFERROR(VLOOKUP(B1671,'Pre-Summary'!$BG$6:$BL$44,3,FALSE),"")</f>
        <v/>
      </c>
      <c r="AM1671" s="10" t="str">
        <f>IFERROR(VLOOKUP(B1671,'Pre-Summary'!$BG$6:$BL$44,4,FALSE),"")</f>
        <v/>
      </c>
    </row>
    <row r="1672" spans="2:39" ht="15" customHeight="1" x14ac:dyDescent="0.3">
      <c r="B1672">
        <v>166.9</v>
      </c>
      <c r="C1672" t="str">
        <f>IFERROR(VLOOKUP(B1672,'Pre-Summary'!$DI$6:$DM$23,4,FALSE),"")</f>
        <v/>
      </c>
      <c r="D1672" s="10" t="str">
        <f>IFERROR(VLOOKUP(B1672,'Pre-Summary'!$AT$6:$AX$14,5,FALSE),D1671)</f>
        <v>Wolfe v3: went back to modified wolfe + EDTA and switched CuSO4 to CUCl2</v>
      </c>
      <c r="E1672" s="10" t="str">
        <f>IFERROR(VLOOKUP(B1672,'Pre-Summary'!$AT$6:$AX$15,4,FALSE),"")</f>
        <v/>
      </c>
      <c r="F1672">
        <f>IFERROR(VLOOKUP(B1672,'Pre-Summary'!$AL$6:$AQ$13,6,FALSE),F1671)</f>
        <v>5.9405263157894746E-2</v>
      </c>
      <c r="G1672" t="str">
        <f>IFERROR(VLOOKUP(B1672,'Pre-Summary'!$AE$6:$AJ$85,3,FALSE),"")</f>
        <v/>
      </c>
      <c r="H1672" t="str">
        <f>IFERROR(VLOOKUP(B1672,'Pre-Summary'!$AE$6:$AJ$85,4,FALSE),"")</f>
        <v/>
      </c>
      <c r="I1672" t="str">
        <f>IFERROR(VLOOKUP(B1672,'Pre-Summary'!$AE$6:$AJ$85,5,FALSE),"")</f>
        <v/>
      </c>
      <c r="J1672" s="45" t="str">
        <f>IFERROR(VLOOKUP(B1672,'Pre-Summary'!$AE$6:$AJ$85,6, FALSE),"")</f>
        <v/>
      </c>
      <c r="K1672" s="45" t="str">
        <f>IFERROR(VLOOKUP(B1672,'Pre-Summary'!$DE$6:$DG$61,3,FALSE),"")</f>
        <v/>
      </c>
      <c r="L1672" s="45" t="str">
        <f>IFERROR(VLOOKUP(B1672,'Pre-Summary'!$CU$6:$CW$36,3,FALSE),"")</f>
        <v/>
      </c>
      <c r="M1672" s="45" t="str">
        <f>IFERROR(VLOOKUP(B1672,'Pre-Summary'!$BW$6:$BY$58,2,FALSE),"")</f>
        <v/>
      </c>
      <c r="N1672" s="45" t="str">
        <f>IFERROR(VLOOKUP(B1672,'Pre-Summary'!$CD$6:$CF$64,2,FALSE),"")</f>
        <v/>
      </c>
      <c r="O1672" s="99">
        <f>IFERROR(VLOOKUP(B1672,'Pre-Summary'!$BO$6:$BQ$48,3, FALSE),O1671)</f>
        <v>1</v>
      </c>
      <c r="P1672" s="99">
        <f>IFERROR(VLOOKUP(B1672,'Pre-Summary'!$BS$6:$BU$35,3,FALSE),P1671)</f>
        <v>0.3</v>
      </c>
      <c r="Q1672" s="54">
        <f t="shared" si="78"/>
        <v>3.3333333333333335</v>
      </c>
      <c r="R1672" s="53">
        <f>IFERROR(VLOOKUP(B1672,'Pre-Summary'!$BG$6:$BM$44,7,FALSE),R1673)</f>
        <v>8.3576993058106674E-2</v>
      </c>
      <c r="S1672" s="53">
        <f>IFERROR(VLOOKUP(B1672,'Pre-Summary'!$BG$6:$BM$44,6,FALSE),S1673)</f>
        <v>0.10174646781791266</v>
      </c>
      <c r="T1672" s="45" t="str">
        <f>IFERROR(VLOOKUP(B1672,'Pre-Summary'!$Y$6:$AC$83, 3,FALSE),"")</f>
        <v/>
      </c>
      <c r="U1672" s="45" t="str">
        <f>IFERROR(VLOOKUP(B1672,'Pre-Summary'!$Y$6:$AC$83, 4,FALSE),"")</f>
        <v/>
      </c>
      <c r="V1672" t="str">
        <f>IFERROR(VLOOKUP(B1672,'Pre-Summary'!$Y$6:$AC$83, 5,FALSE),"")</f>
        <v/>
      </c>
      <c r="W1672" s="45" t="str">
        <f>IFERROR(VLOOKUP(B1672,'Pre-Summary'!$Y$6:$AD$83,6,FALSE),"")</f>
        <v/>
      </c>
      <c r="X1672" t="str">
        <f>IFERROR(VLOOKUP('Pre-Summary'!$DB$6:$DD$63,3,FALSE),"")</f>
        <v/>
      </c>
      <c r="Y1672" t="str">
        <f>IFERROR(VLOOKUP(B1672,'Pre-Summary'!$CR$6:$CT$36,3,FALSE),"")</f>
        <v/>
      </c>
      <c r="Z1672" s="45">
        <f>IFERROR(VLOOKUP(B1672,'Pre-Summary'!$BZ$6:$CB$63,2,FALSE),"")</f>
        <v>48.130293762734645</v>
      </c>
      <c r="AA1672" s="45">
        <f>IFERROR(VLOOKUP(B1672,'Pre-Summary'!$CG$6:$CI$70,2,FALSE),"")</f>
        <v>225.11734933496976</v>
      </c>
      <c r="AB1672" s="99">
        <f>IFERROR(VLOOKUP(B1672,'Pre-Summary'!$A$6:$P$178,9,FALSE),AB1673)</f>
        <v>0.2823945757993872</v>
      </c>
      <c r="AC1672" s="10">
        <f>IFERROR(VLOOKUP(Summary!B1672,'Pre-Summary'!$A$6:$P$184,5, FALSE)/100,AC1673)</f>
        <v>0.95646433333333336</v>
      </c>
      <c r="AD1672" s="10">
        <f>IFERROR(VLOOKUP(Summary!B1672,'Pre-Summary'!$A$6:$P$184,3, FALSE)/100,AD1673)</f>
        <v>1.3388333333333334E-2</v>
      </c>
      <c r="AE1672" s="10">
        <f>IFERROR(VLOOKUP(Summary!B1672,'Pre-Summary'!$A$6:$P$184,7, FALSE)/100,AE1673)</f>
        <v>3.0147E-2</v>
      </c>
      <c r="AF1672" s="99">
        <f t="shared" si="79"/>
        <v>3.7807927123274625E-3</v>
      </c>
      <c r="AG1672" s="99">
        <f t="shared" si="80"/>
        <v>8.5133492766241263E-3</v>
      </c>
      <c r="AH1672" s="10" t="str">
        <f>IFERROR(VLOOKUP(B1672,'Pre-Summary'!$AZ$6:$BE$65,3,FALSE),"")</f>
        <v/>
      </c>
      <c r="AI1672" s="10" t="str">
        <f>IFERROR(VLOOKUP(B1672,'Pre-Summary'!$AZ$6:$BE$65,5,FALSE),"")</f>
        <v/>
      </c>
      <c r="AJ1672" s="10" t="str">
        <f>IFERROR(VLOOKUP(B1672,'Pre-Summary'!$AZ$6:$BE$65,4,FALSE),"")</f>
        <v/>
      </c>
      <c r="AK1672" s="10" t="str">
        <f>IFERROR(VLOOKUP(B1672,'Pre-Summary'!$AZ$6:$BE$65,6,FALSE),"")</f>
        <v/>
      </c>
      <c r="AL1672" s="10" t="str">
        <f>IFERROR(VLOOKUP(B1672,'Pre-Summary'!$BG$6:$BL$44,3,FALSE),"")</f>
        <v/>
      </c>
      <c r="AM1672" s="10" t="str">
        <f>IFERROR(VLOOKUP(B1672,'Pre-Summary'!$BG$6:$BL$44,4,FALSE),"")</f>
        <v/>
      </c>
    </row>
    <row r="1673" spans="2:39" ht="15" customHeight="1" x14ac:dyDescent="0.3">
      <c r="B1673">
        <v>167</v>
      </c>
      <c r="C1673" t="str">
        <f>IFERROR(VLOOKUP(B1673,'Pre-Summary'!$DI$6:$DM$23,4,FALSE),"")</f>
        <v/>
      </c>
      <c r="D1673" s="10" t="str">
        <f>IFERROR(VLOOKUP(B1673,'Pre-Summary'!$AT$6:$AX$14,5,FALSE),D1672)</f>
        <v>Wolfe v3: went back to modified wolfe + EDTA and switched CuSO4 to CUCl2</v>
      </c>
      <c r="E1673" s="10" t="str">
        <f>IFERROR(VLOOKUP(B1673,'Pre-Summary'!$AT$6:$AX$15,4,FALSE),"")</f>
        <v/>
      </c>
      <c r="F1673">
        <f>IFERROR(VLOOKUP(B1673,'Pre-Summary'!$AL$6:$AQ$13,6,FALSE),F1672)</f>
        <v>5.9405263157894746E-2</v>
      </c>
      <c r="G1673" t="str">
        <f>IFERROR(VLOOKUP(B1673,'Pre-Summary'!$AE$6:$AJ$85,3,FALSE),"")</f>
        <v/>
      </c>
      <c r="H1673" t="str">
        <f>IFERROR(VLOOKUP(B1673,'Pre-Summary'!$AE$6:$AJ$85,4,FALSE),"")</f>
        <v/>
      </c>
      <c r="I1673" t="str">
        <f>IFERROR(VLOOKUP(B1673,'Pre-Summary'!$AE$6:$AJ$85,5,FALSE),"")</f>
        <v/>
      </c>
      <c r="J1673" s="45" t="str">
        <f>IFERROR(VLOOKUP(B1673,'Pre-Summary'!$AE$6:$AJ$85,6, FALSE),"")</f>
        <v/>
      </c>
      <c r="K1673" s="45" t="str">
        <f>IFERROR(VLOOKUP(B1673,'Pre-Summary'!$DE$6:$DG$61,3,FALSE),"")</f>
        <v/>
      </c>
      <c r="L1673" s="45" t="str">
        <f>IFERROR(VLOOKUP(B1673,'Pre-Summary'!$CU$6:$CW$36,3,FALSE),"")</f>
        <v/>
      </c>
      <c r="M1673" s="45" t="str">
        <f>IFERROR(VLOOKUP(B1673,'Pre-Summary'!$BW$6:$BY$58,2,FALSE),"")</f>
        <v/>
      </c>
      <c r="N1673" s="45" t="str">
        <f>IFERROR(VLOOKUP(B1673,'Pre-Summary'!$CD$6:$CF$64,2,FALSE),"")</f>
        <v/>
      </c>
      <c r="O1673" s="99">
        <f>IFERROR(VLOOKUP(B1673,'Pre-Summary'!$BO$6:$BQ$48,3, FALSE),O1672)</f>
        <v>1.25</v>
      </c>
      <c r="P1673" s="99">
        <f>IFERROR(VLOOKUP(B1673,'Pre-Summary'!$BS$6:$BU$35,3,FALSE),P1672)</f>
        <v>0.3</v>
      </c>
      <c r="Q1673" s="54">
        <f t="shared" si="78"/>
        <v>4.166666666666667</v>
      </c>
      <c r="R1673" s="53">
        <f>IFERROR(VLOOKUP(B1673,'Pre-Summary'!$BG$6:$BM$44,7,FALSE),R1674)</f>
        <v>8.3576993058106674E-2</v>
      </c>
      <c r="S1673" s="53">
        <f>IFERROR(VLOOKUP(B1673,'Pre-Summary'!$BG$6:$BM$44,6,FALSE),S1674)</f>
        <v>0.10174646781791266</v>
      </c>
      <c r="T1673" s="45" t="str">
        <f>IFERROR(VLOOKUP(B1673,'Pre-Summary'!$Y$6:$AC$83, 3,FALSE),"")</f>
        <v/>
      </c>
      <c r="U1673" s="45" t="str">
        <f>IFERROR(VLOOKUP(B1673,'Pre-Summary'!$Y$6:$AC$83, 4,FALSE),"")</f>
        <v/>
      </c>
      <c r="V1673" t="str">
        <f>IFERROR(VLOOKUP(B1673,'Pre-Summary'!$Y$6:$AC$83, 5,FALSE),"")</f>
        <v/>
      </c>
      <c r="W1673" s="45" t="str">
        <f>IFERROR(VLOOKUP(B1673,'Pre-Summary'!$Y$6:$AD$83,6,FALSE),"")</f>
        <v/>
      </c>
      <c r="X1673" t="str">
        <f>IFERROR(VLOOKUP('Pre-Summary'!$DB$6:$DD$63,3,FALSE),"")</f>
        <v/>
      </c>
      <c r="Y1673" t="str">
        <f>IFERROR(VLOOKUP(B1673,'Pre-Summary'!$CR$6:$CT$36,3,FALSE),"")</f>
        <v/>
      </c>
      <c r="Z1673" s="45" t="str">
        <f>IFERROR(VLOOKUP(B1673,'Pre-Summary'!$BZ$6:$CB$63,2,FALSE),"")</f>
        <v/>
      </c>
      <c r="AA1673" s="45" t="str">
        <f>IFERROR(VLOOKUP(B1673,'Pre-Summary'!$CG$6:$CI$70,2,FALSE),"")</f>
        <v/>
      </c>
      <c r="AB1673" s="99">
        <f>IFERROR(VLOOKUP(B1673,'Pre-Summary'!$A$6:$P$178,9,FALSE),AB1674)</f>
        <v>0.62070572390572398</v>
      </c>
      <c r="AC1673" s="10">
        <f>IFERROR(VLOOKUP(Summary!B1673,'Pre-Summary'!$A$6:$P$184,5, FALSE)/100,AC1674)</f>
        <v>0.88874066666666651</v>
      </c>
      <c r="AD1673" s="10">
        <f>IFERROR(VLOOKUP(Summary!B1673,'Pre-Summary'!$A$6:$P$184,3, FALSE)/100,AD1674)</f>
        <v>9.7922333333333333E-2</v>
      </c>
      <c r="AE1673" s="10">
        <f>IFERROR(VLOOKUP(Summary!B1673,'Pre-Summary'!$A$6:$P$184,7, FALSE)/100,AE1674)</f>
        <v>1.3337333333333336E-2</v>
      </c>
      <c r="AF1673" s="99">
        <f t="shared" si="79"/>
        <v>6.0780952798204273E-2</v>
      </c>
      <c r="AG1673" s="99">
        <f t="shared" si="80"/>
        <v>8.2785591416386119E-3</v>
      </c>
      <c r="AH1673" s="10">
        <f>IFERROR(VLOOKUP(B1673,'Pre-Summary'!$AZ$6:$BE$65,3,FALSE),"")</f>
        <v>340</v>
      </c>
      <c r="AI1673" s="10">
        <f>IFERROR(VLOOKUP(B1673,'Pre-Summary'!$AZ$6:$BE$65,5,FALSE),"")</f>
        <v>181</v>
      </c>
      <c r="AJ1673" s="10">
        <f>IFERROR(VLOOKUP(B1673,'Pre-Summary'!$AZ$6:$BE$65,4,FALSE),"")</f>
        <v>269</v>
      </c>
      <c r="AK1673" s="10">
        <f>IFERROR(VLOOKUP(B1673,'Pre-Summary'!$AZ$6:$BE$65,6,FALSE),"")</f>
        <v>142</v>
      </c>
      <c r="AL1673" s="10">
        <f>IFERROR(VLOOKUP(B1673,'Pre-Summary'!$BG$6:$BL$44,3,FALSE),"")</f>
        <v>5.2410728978105823</v>
      </c>
      <c r="AM1673" s="10">
        <f>IFERROR(VLOOKUP(B1673,'Pre-Summary'!$BG$6:$BL$44,4,FALSE),"")</f>
        <v>3.0713596914170593</v>
      </c>
    </row>
    <row r="1674" spans="2:39" ht="15" customHeight="1" x14ac:dyDescent="0.3">
      <c r="B1674">
        <v>167.1</v>
      </c>
      <c r="C1674" t="str">
        <f>IFERROR(VLOOKUP(B1674,'Pre-Summary'!$DI$6:$DM$23,4,FALSE),"")</f>
        <v/>
      </c>
      <c r="D1674" s="10" t="str">
        <f>IFERROR(VLOOKUP(B1674,'Pre-Summary'!$AT$6:$AX$14,5,FALSE),D1673)</f>
        <v>Wolfe v3: went back to modified wolfe + EDTA and switched CuSO4 to CUCl2</v>
      </c>
      <c r="E1674" s="10" t="str">
        <f>IFERROR(VLOOKUP(B1674,'Pre-Summary'!$AT$6:$AX$15,4,FALSE),"")</f>
        <v/>
      </c>
      <c r="F1674">
        <f>IFERROR(VLOOKUP(B1674,'Pre-Summary'!$AL$6:$AQ$13,6,FALSE),F1673)</f>
        <v>5.9405263157894746E-2</v>
      </c>
      <c r="G1674" t="str">
        <f>IFERROR(VLOOKUP(B1674,'Pre-Summary'!$AE$6:$AJ$85,3,FALSE),"")</f>
        <v/>
      </c>
      <c r="H1674" t="str">
        <f>IFERROR(VLOOKUP(B1674,'Pre-Summary'!$AE$6:$AJ$85,4,FALSE),"")</f>
        <v/>
      </c>
      <c r="I1674" t="str">
        <f>IFERROR(VLOOKUP(B1674,'Pre-Summary'!$AE$6:$AJ$85,5,FALSE),"")</f>
        <v/>
      </c>
      <c r="J1674" s="45" t="str">
        <f>IFERROR(VLOOKUP(B1674,'Pre-Summary'!$AE$6:$AJ$85,6, FALSE),"")</f>
        <v/>
      </c>
      <c r="K1674" s="45" t="str">
        <f>IFERROR(VLOOKUP(B1674,'Pre-Summary'!$DE$6:$DG$61,3,FALSE),"")</f>
        <v/>
      </c>
      <c r="L1674" s="45" t="str">
        <f>IFERROR(VLOOKUP(B1674,'Pre-Summary'!$CU$6:$CW$36,3,FALSE),"")</f>
        <v/>
      </c>
      <c r="M1674" s="45" t="str">
        <f>IFERROR(VLOOKUP(B1674,'Pre-Summary'!$BW$6:$BY$58,2,FALSE),"")</f>
        <v/>
      </c>
      <c r="N1674" s="45" t="str">
        <f>IFERROR(VLOOKUP(B1674,'Pre-Summary'!$CD$6:$CF$64,2,FALSE),"")</f>
        <v/>
      </c>
      <c r="O1674" s="99">
        <f>IFERROR(VLOOKUP(B1674,'Pre-Summary'!$BO$6:$BQ$48,3, FALSE),O1673)</f>
        <v>1.25</v>
      </c>
      <c r="P1674" s="99">
        <f>IFERROR(VLOOKUP(B1674,'Pre-Summary'!$BS$6:$BU$35,3,FALSE),P1673)</f>
        <v>0.3</v>
      </c>
      <c r="Q1674" s="54">
        <f t="shared" si="78"/>
        <v>4.166666666666667</v>
      </c>
      <c r="R1674" s="53">
        <f>IFERROR(VLOOKUP(B1674,'Pre-Summary'!$BG$6:$BM$44,7,FALSE),R1675)</f>
        <v>8.0894687007659741E-2</v>
      </c>
      <c r="S1674" s="53">
        <f>IFERROR(VLOOKUP(B1674,'Pre-Summary'!$BG$6:$BM$44,6,FALSE),S1675)</f>
        <v>6.1014931296205117E-2</v>
      </c>
      <c r="T1674" s="45" t="str">
        <f>IFERROR(VLOOKUP(B1674,'Pre-Summary'!$Y$6:$AC$83, 3,FALSE),"")</f>
        <v/>
      </c>
      <c r="U1674" s="45" t="str">
        <f>IFERROR(VLOOKUP(B1674,'Pre-Summary'!$Y$6:$AC$83, 4,FALSE),"")</f>
        <v/>
      </c>
      <c r="V1674" t="str">
        <f>IFERROR(VLOOKUP(B1674,'Pre-Summary'!$Y$6:$AC$83, 5,FALSE),"")</f>
        <v/>
      </c>
      <c r="W1674" s="45" t="str">
        <f>IFERROR(VLOOKUP(B1674,'Pre-Summary'!$Y$6:$AD$83,6,FALSE),"")</f>
        <v/>
      </c>
      <c r="X1674" t="str">
        <f>IFERROR(VLOOKUP('Pre-Summary'!$DB$6:$DD$63,3,FALSE),"")</f>
        <v/>
      </c>
      <c r="Y1674" t="str">
        <f>IFERROR(VLOOKUP(B1674,'Pre-Summary'!$CR$6:$CT$36,3,FALSE),"")</f>
        <v/>
      </c>
      <c r="Z1674" s="45" t="str">
        <f>IFERROR(VLOOKUP(B1674,'Pre-Summary'!$BZ$6:$CB$63,2,FALSE),"")</f>
        <v/>
      </c>
      <c r="AA1674" s="45" t="str">
        <f>IFERROR(VLOOKUP(B1674,'Pre-Summary'!$CG$6:$CI$70,2,FALSE),"")</f>
        <v/>
      </c>
      <c r="AB1674" s="99">
        <f>IFERROR(VLOOKUP(B1674,'Pre-Summary'!$A$6:$P$178,9,FALSE),AB1675)</f>
        <v>0.62070572390572398</v>
      </c>
      <c r="AC1674" s="10">
        <f>IFERROR(VLOOKUP(Summary!B1674,'Pre-Summary'!$A$6:$P$184,5, FALSE)/100,AC1675)</f>
        <v>0.88874066666666651</v>
      </c>
      <c r="AD1674" s="10">
        <f>IFERROR(VLOOKUP(Summary!B1674,'Pre-Summary'!$A$6:$P$184,3, FALSE)/100,AD1675)</f>
        <v>9.7922333333333333E-2</v>
      </c>
      <c r="AE1674" s="10">
        <f>IFERROR(VLOOKUP(Summary!B1674,'Pre-Summary'!$A$6:$P$184,7, FALSE)/100,AE1675)</f>
        <v>1.3337333333333336E-2</v>
      </c>
      <c r="AF1674" s="99">
        <f t="shared" si="79"/>
        <v>6.0780952798204273E-2</v>
      </c>
      <c r="AG1674" s="99">
        <f t="shared" si="80"/>
        <v>8.2785591416386119E-3</v>
      </c>
      <c r="AH1674" s="10" t="str">
        <f>IFERROR(VLOOKUP(B1674,'Pre-Summary'!$AZ$6:$BE$65,3,FALSE),"")</f>
        <v/>
      </c>
      <c r="AI1674" s="10" t="str">
        <f>IFERROR(VLOOKUP(B1674,'Pre-Summary'!$AZ$6:$BE$65,5,FALSE),"")</f>
        <v/>
      </c>
      <c r="AJ1674" s="10" t="str">
        <f>IFERROR(VLOOKUP(B1674,'Pre-Summary'!$AZ$6:$BE$65,4,FALSE),"")</f>
        <v/>
      </c>
      <c r="AK1674" s="10" t="str">
        <f>IFERROR(VLOOKUP(B1674,'Pre-Summary'!$AZ$6:$BE$65,6,FALSE),"")</f>
        <v/>
      </c>
      <c r="AL1674" s="10" t="str">
        <f>IFERROR(VLOOKUP(B1674,'Pre-Summary'!$BG$6:$BL$44,3,FALSE),"")</f>
        <v/>
      </c>
      <c r="AM1674" s="10" t="str">
        <f>IFERROR(VLOOKUP(B1674,'Pre-Summary'!$BG$6:$BL$44,4,FALSE),"")</f>
        <v/>
      </c>
    </row>
    <row r="1675" spans="2:39" ht="15" customHeight="1" x14ac:dyDescent="0.3">
      <c r="B1675">
        <v>167.2</v>
      </c>
      <c r="C1675" t="str">
        <f>IFERROR(VLOOKUP(B1675,'Pre-Summary'!$DI$6:$DM$23,4,FALSE),"")</f>
        <v/>
      </c>
      <c r="D1675" s="10" t="str">
        <f>IFERROR(VLOOKUP(B1675,'Pre-Summary'!$AT$6:$AX$14,5,FALSE),D1674)</f>
        <v>Wolfe v3: went back to modified wolfe + EDTA and switched CuSO4 to CUCl2</v>
      </c>
      <c r="E1675" s="10" t="str">
        <f>IFERROR(VLOOKUP(B1675,'Pre-Summary'!$AT$6:$AX$15,4,FALSE),"")</f>
        <v/>
      </c>
      <c r="F1675">
        <f>IFERROR(VLOOKUP(B1675,'Pre-Summary'!$AL$6:$AQ$13,6,FALSE),F1674)</f>
        <v>5.9405263157894746E-2</v>
      </c>
      <c r="G1675" t="str">
        <f>IFERROR(VLOOKUP(B1675,'Pre-Summary'!$AE$6:$AJ$85,3,FALSE),"")</f>
        <v/>
      </c>
      <c r="H1675" t="str">
        <f>IFERROR(VLOOKUP(B1675,'Pre-Summary'!$AE$6:$AJ$85,4,FALSE),"")</f>
        <v/>
      </c>
      <c r="I1675" t="str">
        <f>IFERROR(VLOOKUP(B1675,'Pre-Summary'!$AE$6:$AJ$85,5,FALSE),"")</f>
        <v/>
      </c>
      <c r="J1675" s="45" t="str">
        <f>IFERROR(VLOOKUP(B1675,'Pre-Summary'!$AE$6:$AJ$85,6, FALSE),"")</f>
        <v/>
      </c>
      <c r="K1675" s="45" t="str">
        <f>IFERROR(VLOOKUP(B1675,'Pre-Summary'!$DE$6:$DG$61,3,FALSE),"")</f>
        <v/>
      </c>
      <c r="L1675" s="45" t="str">
        <f>IFERROR(VLOOKUP(B1675,'Pre-Summary'!$CU$6:$CW$36,3,FALSE),"")</f>
        <v/>
      </c>
      <c r="M1675" s="45" t="str">
        <f>IFERROR(VLOOKUP(B1675,'Pre-Summary'!$BW$6:$BY$58,2,FALSE),"")</f>
        <v/>
      </c>
      <c r="N1675" s="45" t="str">
        <f>IFERROR(VLOOKUP(B1675,'Pre-Summary'!$CD$6:$CF$64,2,FALSE),"")</f>
        <v/>
      </c>
      <c r="O1675" s="99">
        <f>IFERROR(VLOOKUP(B1675,'Pre-Summary'!$BO$6:$BQ$48,3, FALSE),O1674)</f>
        <v>1.25</v>
      </c>
      <c r="P1675" s="99">
        <f>IFERROR(VLOOKUP(B1675,'Pre-Summary'!$BS$6:$BU$35,3,FALSE),P1674)</f>
        <v>0.3</v>
      </c>
      <c r="Q1675" s="54">
        <f t="shared" si="78"/>
        <v>4.166666666666667</v>
      </c>
      <c r="R1675" s="53">
        <f>IFERROR(VLOOKUP(B1675,'Pre-Summary'!$BG$6:$BM$44,7,FALSE),R1676)</f>
        <v>8.0894687007659741E-2</v>
      </c>
      <c r="S1675" s="53">
        <f>IFERROR(VLOOKUP(B1675,'Pre-Summary'!$BG$6:$BM$44,6,FALSE),S1676)</f>
        <v>6.1014931296205117E-2</v>
      </c>
      <c r="T1675" s="45" t="str">
        <f>IFERROR(VLOOKUP(B1675,'Pre-Summary'!$Y$6:$AC$83, 3,FALSE),"")</f>
        <v/>
      </c>
      <c r="U1675" s="45" t="str">
        <f>IFERROR(VLOOKUP(B1675,'Pre-Summary'!$Y$6:$AC$83, 4,FALSE),"")</f>
        <v/>
      </c>
      <c r="V1675" t="str">
        <f>IFERROR(VLOOKUP(B1675,'Pre-Summary'!$Y$6:$AC$83, 5,FALSE),"")</f>
        <v/>
      </c>
      <c r="W1675" s="45" t="str">
        <f>IFERROR(VLOOKUP(B1675,'Pre-Summary'!$Y$6:$AD$83,6,FALSE),"")</f>
        <v/>
      </c>
      <c r="X1675" t="str">
        <f>IFERROR(VLOOKUP('Pre-Summary'!$DB$6:$DD$63,3,FALSE),"")</f>
        <v/>
      </c>
      <c r="Y1675" t="str">
        <f>IFERROR(VLOOKUP(B1675,'Pre-Summary'!$CR$6:$CT$36,3,FALSE),"")</f>
        <v/>
      </c>
      <c r="Z1675" s="45" t="str">
        <f>IFERROR(VLOOKUP(B1675,'Pre-Summary'!$BZ$6:$CB$63,2,FALSE),"")</f>
        <v/>
      </c>
      <c r="AA1675" s="45" t="str">
        <f>IFERROR(VLOOKUP(B1675,'Pre-Summary'!$CG$6:$CI$70,2,FALSE),"")</f>
        <v/>
      </c>
      <c r="AB1675" s="99">
        <f>IFERROR(VLOOKUP(B1675,'Pre-Summary'!$A$6:$P$178,9,FALSE),AB1676)</f>
        <v>0.62070572390572398</v>
      </c>
      <c r="AC1675" s="10">
        <f>IFERROR(VLOOKUP(Summary!B1675,'Pre-Summary'!$A$6:$P$184,5, FALSE)/100,AC1676)</f>
        <v>0.88874066666666651</v>
      </c>
      <c r="AD1675" s="10">
        <f>IFERROR(VLOOKUP(Summary!B1675,'Pre-Summary'!$A$6:$P$184,3, FALSE)/100,AD1676)</f>
        <v>9.7922333333333333E-2</v>
      </c>
      <c r="AE1675" s="10">
        <f>IFERROR(VLOOKUP(Summary!B1675,'Pre-Summary'!$A$6:$P$184,7, FALSE)/100,AE1676)</f>
        <v>1.3337333333333336E-2</v>
      </c>
      <c r="AF1675" s="99">
        <f t="shared" si="79"/>
        <v>6.0780952798204273E-2</v>
      </c>
      <c r="AG1675" s="99">
        <f t="shared" si="80"/>
        <v>8.2785591416386119E-3</v>
      </c>
      <c r="AH1675" s="10" t="str">
        <f>IFERROR(VLOOKUP(B1675,'Pre-Summary'!$AZ$6:$BE$65,3,FALSE),"")</f>
        <v/>
      </c>
      <c r="AI1675" s="10" t="str">
        <f>IFERROR(VLOOKUP(B1675,'Pre-Summary'!$AZ$6:$BE$65,5,FALSE),"")</f>
        <v/>
      </c>
      <c r="AJ1675" s="10" t="str">
        <f>IFERROR(VLOOKUP(B1675,'Pre-Summary'!$AZ$6:$BE$65,4,FALSE),"")</f>
        <v/>
      </c>
      <c r="AK1675" s="10" t="str">
        <f>IFERROR(VLOOKUP(B1675,'Pre-Summary'!$AZ$6:$BE$65,6,FALSE),"")</f>
        <v/>
      </c>
      <c r="AL1675" s="10" t="str">
        <f>IFERROR(VLOOKUP(B1675,'Pre-Summary'!$BG$6:$BL$44,3,FALSE),"")</f>
        <v/>
      </c>
      <c r="AM1675" s="10" t="str">
        <f>IFERROR(VLOOKUP(B1675,'Pre-Summary'!$BG$6:$BL$44,4,FALSE),"")</f>
        <v/>
      </c>
    </row>
    <row r="1676" spans="2:39" ht="15" customHeight="1" x14ac:dyDescent="0.3">
      <c r="B1676">
        <v>167.3</v>
      </c>
      <c r="C1676" t="str">
        <f>IFERROR(VLOOKUP(B1676,'Pre-Summary'!$DI$6:$DM$23,4,FALSE),"")</f>
        <v/>
      </c>
      <c r="D1676" s="10" t="str">
        <f>IFERROR(VLOOKUP(B1676,'Pre-Summary'!$AT$6:$AX$14,5,FALSE),D1675)</f>
        <v>Wolfe v3: went back to modified wolfe + EDTA and switched CuSO4 to CUCl2</v>
      </c>
      <c r="E1676" s="10" t="str">
        <f>IFERROR(VLOOKUP(B1676,'Pre-Summary'!$AT$6:$AX$15,4,FALSE),"")</f>
        <v/>
      </c>
      <c r="F1676">
        <f>IFERROR(VLOOKUP(B1676,'Pre-Summary'!$AL$6:$AQ$13,6,FALSE),F1675)</f>
        <v>5.9405263157894746E-2</v>
      </c>
      <c r="G1676" t="str">
        <f>IFERROR(VLOOKUP(B1676,'Pre-Summary'!$AE$6:$AJ$85,3,FALSE),"")</f>
        <v/>
      </c>
      <c r="H1676" t="str">
        <f>IFERROR(VLOOKUP(B1676,'Pre-Summary'!$AE$6:$AJ$85,4,FALSE),"")</f>
        <v/>
      </c>
      <c r="I1676" t="str">
        <f>IFERROR(VLOOKUP(B1676,'Pre-Summary'!$AE$6:$AJ$85,5,FALSE),"")</f>
        <v/>
      </c>
      <c r="J1676" s="45" t="str">
        <f>IFERROR(VLOOKUP(B1676,'Pre-Summary'!$AE$6:$AJ$85,6, FALSE),"")</f>
        <v/>
      </c>
      <c r="K1676" s="45" t="str">
        <f>IFERROR(VLOOKUP(B1676,'Pre-Summary'!$DE$6:$DG$61,3,FALSE),"")</f>
        <v/>
      </c>
      <c r="L1676" s="45" t="str">
        <f>IFERROR(VLOOKUP(B1676,'Pre-Summary'!$CU$6:$CW$36,3,FALSE),"")</f>
        <v/>
      </c>
      <c r="M1676" s="45" t="str">
        <f>IFERROR(VLOOKUP(B1676,'Pre-Summary'!$BW$6:$BY$58,2,FALSE),"")</f>
        <v/>
      </c>
      <c r="N1676" s="45" t="str">
        <f>IFERROR(VLOOKUP(B1676,'Pre-Summary'!$CD$6:$CF$64,2,FALSE),"")</f>
        <v/>
      </c>
      <c r="O1676" s="99">
        <f>IFERROR(VLOOKUP(B1676,'Pre-Summary'!$BO$6:$BQ$48,3, FALSE),O1675)</f>
        <v>1.25</v>
      </c>
      <c r="P1676" s="99">
        <f>IFERROR(VLOOKUP(B1676,'Pre-Summary'!$BS$6:$BU$35,3,FALSE),P1675)</f>
        <v>0.3</v>
      </c>
      <c r="Q1676" s="54">
        <f t="shared" si="78"/>
        <v>4.166666666666667</v>
      </c>
      <c r="R1676" s="53">
        <f>IFERROR(VLOOKUP(B1676,'Pre-Summary'!$BG$6:$BM$44,7,FALSE),R1677)</f>
        <v>8.0894687007659741E-2</v>
      </c>
      <c r="S1676" s="53">
        <f>IFERROR(VLOOKUP(B1676,'Pre-Summary'!$BG$6:$BM$44,6,FALSE),S1677)</f>
        <v>6.1014931296205117E-2</v>
      </c>
      <c r="T1676" s="45" t="str">
        <f>IFERROR(VLOOKUP(B1676,'Pre-Summary'!$Y$6:$AC$83, 3,FALSE),"")</f>
        <v/>
      </c>
      <c r="U1676" s="45" t="str">
        <f>IFERROR(VLOOKUP(B1676,'Pre-Summary'!$Y$6:$AC$83, 4,FALSE),"")</f>
        <v/>
      </c>
      <c r="V1676" t="str">
        <f>IFERROR(VLOOKUP(B1676,'Pre-Summary'!$Y$6:$AC$83, 5,FALSE),"")</f>
        <v/>
      </c>
      <c r="W1676" s="45" t="str">
        <f>IFERROR(VLOOKUP(B1676,'Pre-Summary'!$Y$6:$AD$83,6,FALSE),"")</f>
        <v/>
      </c>
      <c r="X1676" t="str">
        <f>IFERROR(VLOOKUP('Pre-Summary'!$DB$6:$DD$63,3,FALSE),"")</f>
        <v/>
      </c>
      <c r="Y1676" t="str">
        <f>IFERROR(VLOOKUP(B1676,'Pre-Summary'!$CR$6:$CT$36,3,FALSE),"")</f>
        <v/>
      </c>
      <c r="Z1676" s="45" t="str">
        <f>IFERROR(VLOOKUP(B1676,'Pre-Summary'!$BZ$6:$CB$63,2,FALSE),"")</f>
        <v/>
      </c>
      <c r="AA1676" s="45" t="str">
        <f>IFERROR(VLOOKUP(B1676,'Pre-Summary'!$CG$6:$CI$70,2,FALSE),"")</f>
        <v/>
      </c>
      <c r="AB1676" s="99">
        <f>IFERROR(VLOOKUP(B1676,'Pre-Summary'!$A$6:$P$178,9,FALSE),AB1677)</f>
        <v>0.62070572390572398</v>
      </c>
      <c r="AC1676" s="10">
        <f>IFERROR(VLOOKUP(Summary!B1676,'Pre-Summary'!$A$6:$P$184,5, FALSE)/100,AC1677)</f>
        <v>0.88874066666666651</v>
      </c>
      <c r="AD1676" s="10">
        <f>IFERROR(VLOOKUP(Summary!B1676,'Pre-Summary'!$A$6:$P$184,3, FALSE)/100,AD1677)</f>
        <v>9.7922333333333333E-2</v>
      </c>
      <c r="AE1676" s="10">
        <f>IFERROR(VLOOKUP(Summary!B1676,'Pre-Summary'!$A$6:$P$184,7, FALSE)/100,AE1677)</f>
        <v>1.3337333333333336E-2</v>
      </c>
      <c r="AF1676" s="99">
        <f t="shared" si="79"/>
        <v>6.0780952798204273E-2</v>
      </c>
      <c r="AG1676" s="99">
        <f t="shared" si="80"/>
        <v>8.2785591416386119E-3</v>
      </c>
      <c r="AH1676" s="10" t="str">
        <f>IFERROR(VLOOKUP(B1676,'Pre-Summary'!$AZ$6:$BE$65,3,FALSE),"")</f>
        <v/>
      </c>
      <c r="AI1676" s="10" t="str">
        <f>IFERROR(VLOOKUP(B1676,'Pre-Summary'!$AZ$6:$BE$65,5,FALSE),"")</f>
        <v/>
      </c>
      <c r="AJ1676" s="10" t="str">
        <f>IFERROR(VLOOKUP(B1676,'Pre-Summary'!$AZ$6:$BE$65,4,FALSE),"")</f>
        <v/>
      </c>
      <c r="AK1676" s="10" t="str">
        <f>IFERROR(VLOOKUP(B1676,'Pre-Summary'!$AZ$6:$BE$65,6,FALSE),"")</f>
        <v/>
      </c>
      <c r="AL1676" s="10" t="str">
        <f>IFERROR(VLOOKUP(B1676,'Pre-Summary'!$BG$6:$BL$44,3,FALSE),"")</f>
        <v/>
      </c>
      <c r="AM1676" s="10" t="str">
        <f>IFERROR(VLOOKUP(B1676,'Pre-Summary'!$BG$6:$BL$44,4,FALSE),"")</f>
        <v/>
      </c>
    </row>
    <row r="1677" spans="2:39" ht="15" customHeight="1" x14ac:dyDescent="0.3">
      <c r="B1677">
        <v>167.4</v>
      </c>
      <c r="C1677" t="str">
        <f>IFERROR(VLOOKUP(B1677,'Pre-Summary'!$DI$6:$DM$23,4,FALSE),"")</f>
        <v/>
      </c>
      <c r="D1677" s="10" t="str">
        <f>IFERROR(VLOOKUP(B1677,'Pre-Summary'!$AT$6:$AX$14,5,FALSE),D1676)</f>
        <v>Wolfe v3: went back to modified wolfe + EDTA and switched CuSO4 to CUCl2</v>
      </c>
      <c r="E1677" s="10" t="str">
        <f>IFERROR(VLOOKUP(B1677,'Pre-Summary'!$AT$6:$AX$15,4,FALSE),"")</f>
        <v/>
      </c>
      <c r="F1677">
        <f>IFERROR(VLOOKUP(B1677,'Pre-Summary'!$AL$6:$AQ$13,6,FALSE),F1676)</f>
        <v>5.9405263157894746E-2</v>
      </c>
      <c r="G1677" t="str">
        <f>IFERROR(VLOOKUP(B1677,'Pre-Summary'!$AE$6:$AJ$85,3,FALSE),"")</f>
        <v/>
      </c>
      <c r="H1677" t="str">
        <f>IFERROR(VLOOKUP(B1677,'Pre-Summary'!$AE$6:$AJ$85,4,FALSE),"")</f>
        <v/>
      </c>
      <c r="I1677" t="str">
        <f>IFERROR(VLOOKUP(B1677,'Pre-Summary'!$AE$6:$AJ$85,5,FALSE),"")</f>
        <v/>
      </c>
      <c r="J1677" s="45" t="str">
        <f>IFERROR(VLOOKUP(B1677,'Pre-Summary'!$AE$6:$AJ$85,6, FALSE),"")</f>
        <v/>
      </c>
      <c r="K1677" s="45" t="str">
        <f>IFERROR(VLOOKUP(B1677,'Pre-Summary'!$DE$6:$DG$61,3,FALSE),"")</f>
        <v/>
      </c>
      <c r="L1677" s="45" t="str">
        <f>IFERROR(VLOOKUP(B1677,'Pre-Summary'!$CU$6:$CW$36,3,FALSE),"")</f>
        <v/>
      </c>
      <c r="M1677" s="45" t="str">
        <f>IFERROR(VLOOKUP(B1677,'Pre-Summary'!$BW$6:$BY$58,2,FALSE),"")</f>
        <v/>
      </c>
      <c r="N1677" s="45" t="str">
        <f>IFERROR(VLOOKUP(B1677,'Pre-Summary'!$CD$6:$CF$64,2,FALSE),"")</f>
        <v/>
      </c>
      <c r="O1677" s="99">
        <f>IFERROR(VLOOKUP(B1677,'Pre-Summary'!$BO$6:$BQ$48,3, FALSE),O1676)</f>
        <v>1.25</v>
      </c>
      <c r="P1677" s="99">
        <f>IFERROR(VLOOKUP(B1677,'Pre-Summary'!$BS$6:$BU$35,3,FALSE),P1676)</f>
        <v>0.3</v>
      </c>
      <c r="Q1677" s="54">
        <f t="shared" si="78"/>
        <v>4.166666666666667</v>
      </c>
      <c r="R1677" s="53">
        <f>IFERROR(VLOOKUP(B1677,'Pre-Summary'!$BG$6:$BM$44,7,FALSE),R1678)</f>
        <v>8.0894687007659741E-2</v>
      </c>
      <c r="S1677" s="53">
        <f>IFERROR(VLOOKUP(B1677,'Pre-Summary'!$BG$6:$BM$44,6,FALSE),S1678)</f>
        <v>6.1014931296205117E-2</v>
      </c>
      <c r="T1677" s="45" t="str">
        <f>IFERROR(VLOOKUP(B1677,'Pre-Summary'!$Y$6:$AC$83, 3,FALSE),"")</f>
        <v/>
      </c>
      <c r="U1677" s="45" t="str">
        <f>IFERROR(VLOOKUP(B1677,'Pre-Summary'!$Y$6:$AC$83, 4,FALSE),"")</f>
        <v/>
      </c>
      <c r="V1677" t="str">
        <f>IFERROR(VLOOKUP(B1677,'Pre-Summary'!$Y$6:$AC$83, 5,FALSE),"")</f>
        <v/>
      </c>
      <c r="W1677" s="45" t="str">
        <f>IFERROR(VLOOKUP(B1677,'Pre-Summary'!$Y$6:$AD$83,6,FALSE),"")</f>
        <v/>
      </c>
      <c r="X1677" t="str">
        <f>IFERROR(VLOOKUP('Pre-Summary'!$DB$6:$DD$63,3,FALSE),"")</f>
        <v/>
      </c>
      <c r="Y1677" t="str">
        <f>IFERROR(VLOOKUP(B1677,'Pre-Summary'!$CR$6:$CT$36,3,FALSE),"")</f>
        <v/>
      </c>
      <c r="Z1677" s="45" t="str">
        <f>IFERROR(VLOOKUP(B1677,'Pre-Summary'!$BZ$6:$CB$63,2,FALSE),"")</f>
        <v/>
      </c>
      <c r="AA1677" s="45" t="str">
        <f>IFERROR(VLOOKUP(B1677,'Pre-Summary'!$CG$6:$CI$70,2,FALSE),"")</f>
        <v/>
      </c>
      <c r="AB1677" s="99">
        <f>IFERROR(VLOOKUP(B1677,'Pre-Summary'!$A$6:$P$178,9,FALSE),AB1678)</f>
        <v>0.62070572390572398</v>
      </c>
      <c r="AC1677" s="10">
        <f>IFERROR(VLOOKUP(Summary!B1677,'Pre-Summary'!$A$6:$P$184,5, FALSE)/100,AC1678)</f>
        <v>0.88874066666666651</v>
      </c>
      <c r="AD1677" s="10">
        <f>IFERROR(VLOOKUP(Summary!B1677,'Pre-Summary'!$A$6:$P$184,3, FALSE)/100,AD1678)</f>
        <v>9.7922333333333333E-2</v>
      </c>
      <c r="AE1677" s="10">
        <f>IFERROR(VLOOKUP(Summary!B1677,'Pre-Summary'!$A$6:$P$184,7, FALSE)/100,AE1678)</f>
        <v>1.3337333333333336E-2</v>
      </c>
      <c r="AF1677" s="99">
        <f t="shared" si="79"/>
        <v>6.0780952798204273E-2</v>
      </c>
      <c r="AG1677" s="99">
        <f t="shared" si="80"/>
        <v>8.2785591416386119E-3</v>
      </c>
      <c r="AH1677" s="10" t="str">
        <f>IFERROR(VLOOKUP(B1677,'Pre-Summary'!$AZ$6:$BE$65,3,FALSE),"")</f>
        <v/>
      </c>
      <c r="AI1677" s="10" t="str">
        <f>IFERROR(VLOOKUP(B1677,'Pre-Summary'!$AZ$6:$BE$65,5,FALSE),"")</f>
        <v/>
      </c>
      <c r="AJ1677" s="10" t="str">
        <f>IFERROR(VLOOKUP(B1677,'Pre-Summary'!$AZ$6:$BE$65,4,FALSE),"")</f>
        <v/>
      </c>
      <c r="AK1677" s="10" t="str">
        <f>IFERROR(VLOOKUP(B1677,'Pre-Summary'!$AZ$6:$BE$65,6,FALSE),"")</f>
        <v/>
      </c>
      <c r="AL1677" s="10" t="str">
        <f>IFERROR(VLOOKUP(B1677,'Pre-Summary'!$BG$6:$BL$44,3,FALSE),"")</f>
        <v/>
      </c>
      <c r="AM1677" s="10" t="str">
        <f>IFERROR(VLOOKUP(B1677,'Pre-Summary'!$BG$6:$BL$44,4,FALSE),"")</f>
        <v/>
      </c>
    </row>
    <row r="1678" spans="2:39" ht="15" customHeight="1" x14ac:dyDescent="0.3">
      <c r="B1678">
        <v>167.5</v>
      </c>
      <c r="C1678" t="str">
        <f>IFERROR(VLOOKUP(B1678,'Pre-Summary'!$DI$6:$DM$23,4,FALSE),"")</f>
        <v/>
      </c>
      <c r="D1678" s="10" t="str">
        <f>IFERROR(VLOOKUP(B1678,'Pre-Summary'!$AT$6:$AX$14,5,FALSE),D1677)</f>
        <v>Wolfe v3: went back to modified wolfe + EDTA and switched CuSO4 to CUCl2</v>
      </c>
      <c r="E1678" s="10" t="str">
        <f>IFERROR(VLOOKUP(B1678,'Pre-Summary'!$AT$6:$AX$15,4,FALSE),"")</f>
        <v/>
      </c>
      <c r="F1678">
        <f>IFERROR(VLOOKUP(B1678,'Pre-Summary'!$AL$6:$AQ$13,6,FALSE),F1677)</f>
        <v>5.9405263157894746E-2</v>
      </c>
      <c r="G1678" t="str">
        <f>IFERROR(VLOOKUP(B1678,'Pre-Summary'!$AE$6:$AJ$85,3,FALSE),"")</f>
        <v/>
      </c>
      <c r="H1678" t="str">
        <f>IFERROR(VLOOKUP(B1678,'Pre-Summary'!$AE$6:$AJ$85,4,FALSE),"")</f>
        <v/>
      </c>
      <c r="I1678" t="str">
        <f>IFERROR(VLOOKUP(B1678,'Pre-Summary'!$AE$6:$AJ$85,5,FALSE),"")</f>
        <v/>
      </c>
      <c r="J1678" s="45" t="str">
        <f>IFERROR(VLOOKUP(B1678,'Pre-Summary'!$AE$6:$AJ$85,6, FALSE),"")</f>
        <v/>
      </c>
      <c r="K1678" s="45" t="str">
        <f>IFERROR(VLOOKUP(B1678,'Pre-Summary'!$DE$6:$DG$61,3,FALSE),"")</f>
        <v/>
      </c>
      <c r="L1678" s="45" t="str">
        <f>IFERROR(VLOOKUP(B1678,'Pre-Summary'!$CU$6:$CW$36,3,FALSE),"")</f>
        <v/>
      </c>
      <c r="M1678" s="45" t="str">
        <f>IFERROR(VLOOKUP(B1678,'Pre-Summary'!$BW$6:$BY$58,2,FALSE),"")</f>
        <v/>
      </c>
      <c r="N1678" s="45" t="str">
        <f>IFERROR(VLOOKUP(B1678,'Pre-Summary'!$CD$6:$CF$64,2,FALSE),"")</f>
        <v/>
      </c>
      <c r="O1678" s="99">
        <f>IFERROR(VLOOKUP(B1678,'Pre-Summary'!$BO$6:$BQ$48,3, FALSE),O1677)</f>
        <v>1.25</v>
      </c>
      <c r="P1678" s="99">
        <f>IFERROR(VLOOKUP(B1678,'Pre-Summary'!$BS$6:$BU$35,3,FALSE),P1677)</f>
        <v>0.3</v>
      </c>
      <c r="Q1678" s="54">
        <f t="shared" si="78"/>
        <v>4.166666666666667</v>
      </c>
      <c r="R1678" s="53">
        <f>IFERROR(VLOOKUP(B1678,'Pre-Summary'!$BG$6:$BM$44,7,FALSE),R1679)</f>
        <v>8.0894687007659741E-2</v>
      </c>
      <c r="S1678" s="53">
        <f>IFERROR(VLOOKUP(B1678,'Pre-Summary'!$BG$6:$BM$44,6,FALSE),S1679)</f>
        <v>6.1014931296205117E-2</v>
      </c>
      <c r="T1678" s="45" t="str">
        <f>IFERROR(VLOOKUP(B1678,'Pre-Summary'!$Y$6:$AC$83, 3,FALSE),"")</f>
        <v/>
      </c>
      <c r="U1678" s="45" t="str">
        <f>IFERROR(VLOOKUP(B1678,'Pre-Summary'!$Y$6:$AC$83, 4,FALSE),"")</f>
        <v/>
      </c>
      <c r="V1678" t="str">
        <f>IFERROR(VLOOKUP(B1678,'Pre-Summary'!$Y$6:$AC$83, 5,FALSE),"")</f>
        <v/>
      </c>
      <c r="W1678" s="45" t="str">
        <f>IFERROR(VLOOKUP(B1678,'Pre-Summary'!$Y$6:$AD$83,6,FALSE),"")</f>
        <v/>
      </c>
      <c r="X1678" t="str">
        <f>IFERROR(VLOOKUP('Pre-Summary'!$DB$6:$DD$63,3,FALSE),"")</f>
        <v/>
      </c>
      <c r="Y1678" t="str">
        <f>IFERROR(VLOOKUP(B1678,'Pre-Summary'!$CR$6:$CT$36,3,FALSE),"")</f>
        <v/>
      </c>
      <c r="Z1678" s="45" t="str">
        <f>IFERROR(VLOOKUP(B1678,'Pre-Summary'!$BZ$6:$CB$63,2,FALSE),"")</f>
        <v/>
      </c>
      <c r="AA1678" s="45" t="str">
        <f>IFERROR(VLOOKUP(B1678,'Pre-Summary'!$CG$6:$CI$70,2,FALSE),"")</f>
        <v/>
      </c>
      <c r="AB1678" s="99">
        <f>IFERROR(VLOOKUP(B1678,'Pre-Summary'!$A$6:$P$178,9,FALSE),AB1679)</f>
        <v>0.62070572390572398</v>
      </c>
      <c r="AC1678" s="10">
        <f>IFERROR(VLOOKUP(Summary!B1678,'Pre-Summary'!$A$6:$P$184,5, FALSE)/100,AC1679)</f>
        <v>0.88874066666666651</v>
      </c>
      <c r="AD1678" s="10">
        <f>IFERROR(VLOOKUP(Summary!B1678,'Pre-Summary'!$A$6:$P$184,3, FALSE)/100,AD1679)</f>
        <v>9.7922333333333333E-2</v>
      </c>
      <c r="AE1678" s="10">
        <f>IFERROR(VLOOKUP(Summary!B1678,'Pre-Summary'!$A$6:$P$184,7, FALSE)/100,AE1679)</f>
        <v>1.3337333333333336E-2</v>
      </c>
      <c r="AF1678" s="99">
        <f t="shared" si="79"/>
        <v>6.0780952798204273E-2</v>
      </c>
      <c r="AG1678" s="99">
        <f t="shared" si="80"/>
        <v>8.2785591416386119E-3</v>
      </c>
      <c r="AH1678" s="10" t="str">
        <f>IFERROR(VLOOKUP(B1678,'Pre-Summary'!$AZ$6:$BE$65,3,FALSE),"")</f>
        <v/>
      </c>
      <c r="AI1678" s="10" t="str">
        <f>IFERROR(VLOOKUP(B1678,'Pre-Summary'!$AZ$6:$BE$65,5,FALSE),"")</f>
        <v/>
      </c>
      <c r="AJ1678" s="10" t="str">
        <f>IFERROR(VLOOKUP(B1678,'Pre-Summary'!$AZ$6:$BE$65,4,FALSE),"")</f>
        <v/>
      </c>
      <c r="AK1678" s="10" t="str">
        <f>IFERROR(VLOOKUP(B1678,'Pre-Summary'!$AZ$6:$BE$65,6,FALSE),"")</f>
        <v/>
      </c>
      <c r="AL1678" s="10" t="str">
        <f>IFERROR(VLOOKUP(B1678,'Pre-Summary'!$BG$6:$BL$44,3,FALSE),"")</f>
        <v/>
      </c>
      <c r="AM1678" s="10" t="str">
        <f>IFERROR(VLOOKUP(B1678,'Pre-Summary'!$BG$6:$BL$44,4,FALSE),"")</f>
        <v/>
      </c>
    </row>
    <row r="1679" spans="2:39" ht="15" customHeight="1" x14ac:dyDescent="0.3">
      <c r="B1679">
        <v>167.6</v>
      </c>
      <c r="C1679" t="str">
        <f>IFERROR(VLOOKUP(B1679,'Pre-Summary'!$DI$6:$DM$23,4,FALSE),"")</f>
        <v/>
      </c>
      <c r="D1679" s="10" t="str">
        <f>IFERROR(VLOOKUP(B1679,'Pre-Summary'!$AT$6:$AX$14,5,FALSE),D1678)</f>
        <v>Wolfe v3: went back to modified wolfe + EDTA and switched CuSO4 to CUCl2</v>
      </c>
      <c r="E1679" s="10" t="str">
        <f>IFERROR(VLOOKUP(B1679,'Pre-Summary'!$AT$6:$AX$15,4,FALSE),"")</f>
        <v/>
      </c>
      <c r="F1679">
        <f>IFERROR(VLOOKUP(B1679,'Pre-Summary'!$AL$6:$AQ$13,6,FALSE),F1678)</f>
        <v>5.9405263157894746E-2</v>
      </c>
      <c r="G1679" t="str">
        <f>IFERROR(VLOOKUP(B1679,'Pre-Summary'!$AE$6:$AJ$85,3,FALSE),"")</f>
        <v/>
      </c>
      <c r="H1679" t="str">
        <f>IFERROR(VLOOKUP(B1679,'Pre-Summary'!$AE$6:$AJ$85,4,FALSE),"")</f>
        <v/>
      </c>
      <c r="I1679" t="str">
        <f>IFERROR(VLOOKUP(B1679,'Pre-Summary'!$AE$6:$AJ$85,5,FALSE),"")</f>
        <v/>
      </c>
      <c r="J1679" s="45" t="str">
        <f>IFERROR(VLOOKUP(B1679,'Pre-Summary'!$AE$6:$AJ$85,6, FALSE),"")</f>
        <v/>
      </c>
      <c r="K1679" s="45" t="str">
        <f>IFERROR(VLOOKUP(B1679,'Pre-Summary'!$DE$6:$DG$61,3,FALSE),"")</f>
        <v/>
      </c>
      <c r="L1679" s="45" t="str">
        <f>IFERROR(VLOOKUP(B1679,'Pre-Summary'!$CU$6:$CW$36,3,FALSE),"")</f>
        <v/>
      </c>
      <c r="M1679" s="45" t="str">
        <f>IFERROR(VLOOKUP(B1679,'Pre-Summary'!$BW$6:$BY$58,2,FALSE),"")</f>
        <v/>
      </c>
      <c r="N1679" s="45" t="str">
        <f>IFERROR(VLOOKUP(B1679,'Pre-Summary'!$CD$6:$CF$64,2,FALSE),"")</f>
        <v/>
      </c>
      <c r="O1679" s="99">
        <f>IFERROR(VLOOKUP(B1679,'Pre-Summary'!$BO$6:$BQ$48,3, FALSE),O1678)</f>
        <v>1.25</v>
      </c>
      <c r="P1679" s="99">
        <f>IFERROR(VLOOKUP(B1679,'Pre-Summary'!$BS$6:$BU$35,3,FALSE),P1678)</f>
        <v>0.3</v>
      </c>
      <c r="Q1679" s="54">
        <f t="shared" si="78"/>
        <v>4.166666666666667</v>
      </c>
      <c r="R1679" s="53">
        <f>IFERROR(VLOOKUP(B1679,'Pre-Summary'!$BG$6:$BM$44,7,FALSE),R1680)</f>
        <v>8.0894687007659741E-2</v>
      </c>
      <c r="S1679" s="53">
        <f>IFERROR(VLOOKUP(B1679,'Pre-Summary'!$BG$6:$BM$44,6,FALSE),S1680)</f>
        <v>6.1014931296205117E-2</v>
      </c>
      <c r="T1679" s="45" t="str">
        <f>IFERROR(VLOOKUP(B1679,'Pre-Summary'!$Y$6:$AC$83, 3,FALSE),"")</f>
        <v/>
      </c>
      <c r="U1679" s="45" t="str">
        <f>IFERROR(VLOOKUP(B1679,'Pre-Summary'!$Y$6:$AC$83, 4,FALSE),"")</f>
        <v/>
      </c>
      <c r="V1679" t="str">
        <f>IFERROR(VLOOKUP(B1679,'Pre-Summary'!$Y$6:$AC$83, 5,FALSE),"")</f>
        <v/>
      </c>
      <c r="W1679" s="45" t="str">
        <f>IFERROR(VLOOKUP(B1679,'Pre-Summary'!$Y$6:$AD$83,6,FALSE),"")</f>
        <v/>
      </c>
      <c r="X1679" t="str">
        <f>IFERROR(VLOOKUP('Pre-Summary'!$DB$6:$DD$63,3,FALSE),"")</f>
        <v/>
      </c>
      <c r="Y1679" t="str">
        <f>IFERROR(VLOOKUP(B1679,'Pre-Summary'!$CR$6:$CT$36,3,FALSE),"")</f>
        <v/>
      </c>
      <c r="Z1679" s="45" t="str">
        <f>IFERROR(VLOOKUP(B1679,'Pre-Summary'!$BZ$6:$CB$63,2,FALSE),"")</f>
        <v/>
      </c>
      <c r="AA1679" s="45" t="str">
        <f>IFERROR(VLOOKUP(B1679,'Pre-Summary'!$CG$6:$CI$70,2,FALSE),"")</f>
        <v/>
      </c>
      <c r="AB1679" s="99">
        <f>IFERROR(VLOOKUP(B1679,'Pre-Summary'!$A$6:$P$178,9,FALSE),AB1680)</f>
        <v>0.62070572390572398</v>
      </c>
      <c r="AC1679" s="10">
        <f>IFERROR(VLOOKUP(Summary!B1679,'Pre-Summary'!$A$6:$P$184,5, FALSE)/100,AC1680)</f>
        <v>0.88874066666666651</v>
      </c>
      <c r="AD1679" s="10">
        <f>IFERROR(VLOOKUP(Summary!B1679,'Pre-Summary'!$A$6:$P$184,3, FALSE)/100,AD1680)</f>
        <v>9.7922333333333333E-2</v>
      </c>
      <c r="AE1679" s="10">
        <f>IFERROR(VLOOKUP(Summary!B1679,'Pre-Summary'!$A$6:$P$184,7, FALSE)/100,AE1680)</f>
        <v>1.3337333333333336E-2</v>
      </c>
      <c r="AF1679" s="99">
        <f t="shared" si="79"/>
        <v>6.0780952798204273E-2</v>
      </c>
      <c r="AG1679" s="99">
        <f t="shared" si="80"/>
        <v>8.2785591416386119E-3</v>
      </c>
      <c r="AH1679" s="10" t="str">
        <f>IFERROR(VLOOKUP(B1679,'Pre-Summary'!$AZ$6:$BE$65,3,FALSE),"")</f>
        <v/>
      </c>
      <c r="AI1679" s="10" t="str">
        <f>IFERROR(VLOOKUP(B1679,'Pre-Summary'!$AZ$6:$BE$65,5,FALSE),"")</f>
        <v/>
      </c>
      <c r="AJ1679" s="10" t="str">
        <f>IFERROR(VLOOKUP(B1679,'Pre-Summary'!$AZ$6:$BE$65,4,FALSE),"")</f>
        <v/>
      </c>
      <c r="AK1679" s="10" t="str">
        <f>IFERROR(VLOOKUP(B1679,'Pre-Summary'!$AZ$6:$BE$65,6,FALSE),"")</f>
        <v/>
      </c>
      <c r="AL1679" s="10" t="str">
        <f>IFERROR(VLOOKUP(B1679,'Pre-Summary'!$BG$6:$BL$44,3,FALSE),"")</f>
        <v/>
      </c>
      <c r="AM1679" s="10" t="str">
        <f>IFERROR(VLOOKUP(B1679,'Pre-Summary'!$BG$6:$BL$44,4,FALSE),"")</f>
        <v/>
      </c>
    </row>
    <row r="1680" spans="2:39" ht="15" customHeight="1" x14ac:dyDescent="0.3">
      <c r="B1680">
        <v>167.7</v>
      </c>
      <c r="C1680" t="str">
        <f>IFERROR(VLOOKUP(B1680,'Pre-Summary'!$DI$6:$DM$23,4,FALSE),"")</f>
        <v/>
      </c>
      <c r="D1680" s="10" t="str">
        <f>IFERROR(VLOOKUP(B1680,'Pre-Summary'!$AT$6:$AX$14,5,FALSE),D1679)</f>
        <v>Wolfe v3: went back to modified wolfe + EDTA and switched CuSO4 to CUCl2</v>
      </c>
      <c r="E1680" s="10" t="str">
        <f>IFERROR(VLOOKUP(B1680,'Pre-Summary'!$AT$6:$AX$15,4,FALSE),"")</f>
        <v/>
      </c>
      <c r="F1680">
        <f>IFERROR(VLOOKUP(B1680,'Pre-Summary'!$AL$6:$AQ$13,6,FALSE),F1679)</f>
        <v>5.9405263157894746E-2</v>
      </c>
      <c r="G1680" t="str">
        <f>IFERROR(VLOOKUP(B1680,'Pre-Summary'!$AE$6:$AJ$85,3,FALSE),"")</f>
        <v/>
      </c>
      <c r="H1680" t="str">
        <f>IFERROR(VLOOKUP(B1680,'Pre-Summary'!$AE$6:$AJ$85,4,FALSE),"")</f>
        <v/>
      </c>
      <c r="I1680" t="str">
        <f>IFERROR(VLOOKUP(B1680,'Pre-Summary'!$AE$6:$AJ$85,5,FALSE),"")</f>
        <v/>
      </c>
      <c r="J1680" s="45" t="str">
        <f>IFERROR(VLOOKUP(B1680,'Pre-Summary'!$AE$6:$AJ$85,6, FALSE),"")</f>
        <v/>
      </c>
      <c r="K1680" s="45" t="str">
        <f>IFERROR(VLOOKUP(B1680,'Pre-Summary'!$DE$6:$DG$61,3,FALSE),"")</f>
        <v/>
      </c>
      <c r="L1680" s="45" t="str">
        <f>IFERROR(VLOOKUP(B1680,'Pre-Summary'!$CU$6:$CW$36,3,FALSE),"")</f>
        <v/>
      </c>
      <c r="M1680" s="45" t="str">
        <f>IFERROR(VLOOKUP(B1680,'Pre-Summary'!$BW$6:$BY$58,2,FALSE),"")</f>
        <v/>
      </c>
      <c r="N1680" s="45" t="str">
        <f>IFERROR(VLOOKUP(B1680,'Pre-Summary'!$CD$6:$CF$64,2,FALSE),"")</f>
        <v/>
      </c>
      <c r="O1680" s="99">
        <f>IFERROR(VLOOKUP(B1680,'Pre-Summary'!$BO$6:$BQ$48,3, FALSE),O1679)</f>
        <v>1.25</v>
      </c>
      <c r="P1680" s="99">
        <f>IFERROR(VLOOKUP(B1680,'Pre-Summary'!$BS$6:$BU$35,3,FALSE),P1679)</f>
        <v>0.3</v>
      </c>
      <c r="Q1680" s="54">
        <f t="shared" si="78"/>
        <v>4.166666666666667</v>
      </c>
      <c r="R1680" s="53">
        <f>IFERROR(VLOOKUP(B1680,'Pre-Summary'!$BG$6:$BM$44,7,FALSE),R1681)</f>
        <v>8.0894687007659741E-2</v>
      </c>
      <c r="S1680" s="53">
        <f>IFERROR(VLOOKUP(B1680,'Pre-Summary'!$BG$6:$BM$44,6,FALSE),S1681)</f>
        <v>6.1014931296205117E-2</v>
      </c>
      <c r="T1680" s="45" t="str">
        <f>IFERROR(VLOOKUP(B1680,'Pre-Summary'!$Y$6:$AC$83, 3,FALSE),"")</f>
        <v/>
      </c>
      <c r="U1680" s="45" t="str">
        <f>IFERROR(VLOOKUP(B1680,'Pre-Summary'!$Y$6:$AC$83, 4,FALSE),"")</f>
        <v/>
      </c>
      <c r="V1680" t="str">
        <f>IFERROR(VLOOKUP(B1680,'Pre-Summary'!$Y$6:$AC$83, 5,FALSE),"")</f>
        <v/>
      </c>
      <c r="W1680" s="45" t="str">
        <f>IFERROR(VLOOKUP(B1680,'Pre-Summary'!$Y$6:$AD$83,6,FALSE),"")</f>
        <v/>
      </c>
      <c r="X1680" t="str">
        <f>IFERROR(VLOOKUP('Pre-Summary'!$DB$6:$DD$63,3,FALSE),"")</f>
        <v/>
      </c>
      <c r="Y1680" t="str">
        <f>IFERROR(VLOOKUP(B1680,'Pre-Summary'!$CR$6:$CT$36,3,FALSE),"")</f>
        <v/>
      </c>
      <c r="Z1680" s="45" t="str">
        <f>IFERROR(VLOOKUP(B1680,'Pre-Summary'!$BZ$6:$CB$63,2,FALSE),"")</f>
        <v/>
      </c>
      <c r="AA1680" s="45" t="str">
        <f>IFERROR(VLOOKUP(B1680,'Pre-Summary'!$CG$6:$CI$70,2,FALSE),"")</f>
        <v/>
      </c>
      <c r="AB1680" s="99">
        <f>IFERROR(VLOOKUP(B1680,'Pre-Summary'!$A$6:$P$178,9,FALSE),AB1681)</f>
        <v>0.62070572390572398</v>
      </c>
      <c r="AC1680" s="10">
        <f>IFERROR(VLOOKUP(Summary!B1680,'Pre-Summary'!$A$6:$P$184,5, FALSE)/100,AC1681)</f>
        <v>0.88874066666666651</v>
      </c>
      <c r="AD1680" s="10">
        <f>IFERROR(VLOOKUP(Summary!B1680,'Pre-Summary'!$A$6:$P$184,3, FALSE)/100,AD1681)</f>
        <v>9.7922333333333333E-2</v>
      </c>
      <c r="AE1680" s="10">
        <f>IFERROR(VLOOKUP(Summary!B1680,'Pre-Summary'!$A$6:$P$184,7, FALSE)/100,AE1681)</f>
        <v>1.3337333333333336E-2</v>
      </c>
      <c r="AF1680" s="99">
        <f t="shared" si="79"/>
        <v>6.0780952798204273E-2</v>
      </c>
      <c r="AG1680" s="99">
        <f t="shared" si="80"/>
        <v>8.2785591416386119E-3</v>
      </c>
      <c r="AH1680" s="10" t="str">
        <f>IFERROR(VLOOKUP(B1680,'Pre-Summary'!$AZ$6:$BE$65,3,FALSE),"")</f>
        <v/>
      </c>
      <c r="AI1680" s="10" t="str">
        <f>IFERROR(VLOOKUP(B1680,'Pre-Summary'!$AZ$6:$BE$65,5,FALSE),"")</f>
        <v/>
      </c>
      <c r="AJ1680" s="10" t="str">
        <f>IFERROR(VLOOKUP(B1680,'Pre-Summary'!$AZ$6:$BE$65,4,FALSE),"")</f>
        <v/>
      </c>
      <c r="AK1680" s="10" t="str">
        <f>IFERROR(VLOOKUP(B1680,'Pre-Summary'!$AZ$6:$BE$65,6,FALSE),"")</f>
        <v/>
      </c>
      <c r="AL1680" s="10" t="str">
        <f>IFERROR(VLOOKUP(B1680,'Pre-Summary'!$BG$6:$BL$44,3,FALSE),"")</f>
        <v/>
      </c>
      <c r="AM1680" s="10" t="str">
        <f>IFERROR(VLOOKUP(B1680,'Pre-Summary'!$BG$6:$BL$44,4,FALSE),"")</f>
        <v/>
      </c>
    </row>
    <row r="1681" spans="2:39" ht="15" customHeight="1" x14ac:dyDescent="0.3">
      <c r="B1681">
        <v>167.8</v>
      </c>
      <c r="C1681" t="str">
        <f>IFERROR(VLOOKUP(B1681,'Pre-Summary'!$DI$6:$DM$23,4,FALSE),"")</f>
        <v/>
      </c>
      <c r="D1681" s="10" t="str">
        <f>IFERROR(VLOOKUP(B1681,'Pre-Summary'!$AT$6:$AX$14,5,FALSE),D1680)</f>
        <v>Wolfe v3: went back to modified wolfe + EDTA and switched CuSO4 to CUCl2</v>
      </c>
      <c r="E1681" s="10" t="str">
        <f>IFERROR(VLOOKUP(B1681,'Pre-Summary'!$AT$6:$AX$15,4,FALSE),"")</f>
        <v/>
      </c>
      <c r="F1681">
        <f>IFERROR(VLOOKUP(B1681,'Pre-Summary'!$AL$6:$AQ$13,6,FALSE),F1680)</f>
        <v>5.9405263157894746E-2</v>
      </c>
      <c r="G1681" t="str">
        <f>IFERROR(VLOOKUP(B1681,'Pre-Summary'!$AE$6:$AJ$85,3,FALSE),"")</f>
        <v/>
      </c>
      <c r="H1681" t="str">
        <f>IFERROR(VLOOKUP(B1681,'Pre-Summary'!$AE$6:$AJ$85,4,FALSE),"")</f>
        <v/>
      </c>
      <c r="I1681" t="str">
        <f>IFERROR(VLOOKUP(B1681,'Pre-Summary'!$AE$6:$AJ$85,5,FALSE),"")</f>
        <v/>
      </c>
      <c r="J1681" s="45" t="str">
        <f>IFERROR(VLOOKUP(B1681,'Pre-Summary'!$AE$6:$AJ$85,6, FALSE),"")</f>
        <v/>
      </c>
      <c r="K1681" s="45" t="str">
        <f>IFERROR(VLOOKUP(B1681,'Pre-Summary'!$DE$6:$DG$61,3,FALSE),"")</f>
        <v/>
      </c>
      <c r="L1681" s="45" t="str">
        <f>IFERROR(VLOOKUP(B1681,'Pre-Summary'!$CU$6:$CW$36,3,FALSE),"")</f>
        <v/>
      </c>
      <c r="M1681" s="45" t="str">
        <f>IFERROR(VLOOKUP(B1681,'Pre-Summary'!$BW$6:$BY$58,2,FALSE),"")</f>
        <v/>
      </c>
      <c r="N1681" s="45" t="str">
        <f>IFERROR(VLOOKUP(B1681,'Pre-Summary'!$CD$6:$CF$64,2,FALSE),"")</f>
        <v/>
      </c>
      <c r="O1681" s="99">
        <f>IFERROR(VLOOKUP(B1681,'Pre-Summary'!$BO$6:$BQ$48,3, FALSE),O1680)</f>
        <v>1.25</v>
      </c>
      <c r="P1681" s="99">
        <f>IFERROR(VLOOKUP(B1681,'Pre-Summary'!$BS$6:$BU$35,3,FALSE),P1680)</f>
        <v>0.3</v>
      </c>
      <c r="Q1681" s="54">
        <f t="shared" si="78"/>
        <v>4.166666666666667</v>
      </c>
      <c r="R1681" s="53">
        <f>IFERROR(VLOOKUP(B1681,'Pre-Summary'!$BG$6:$BM$44,7,FALSE),R1682)</f>
        <v>8.0894687007659741E-2</v>
      </c>
      <c r="S1681" s="53">
        <f>IFERROR(VLOOKUP(B1681,'Pre-Summary'!$BG$6:$BM$44,6,FALSE),S1682)</f>
        <v>6.1014931296205117E-2</v>
      </c>
      <c r="T1681" s="45" t="str">
        <f>IFERROR(VLOOKUP(B1681,'Pre-Summary'!$Y$6:$AC$83, 3,FALSE),"")</f>
        <v/>
      </c>
      <c r="U1681" s="45" t="str">
        <f>IFERROR(VLOOKUP(B1681,'Pre-Summary'!$Y$6:$AC$83, 4,FALSE),"")</f>
        <v/>
      </c>
      <c r="V1681" t="str">
        <f>IFERROR(VLOOKUP(B1681,'Pre-Summary'!$Y$6:$AC$83, 5,FALSE),"")</f>
        <v/>
      </c>
      <c r="W1681" s="45" t="str">
        <f>IFERROR(VLOOKUP(B1681,'Pre-Summary'!$Y$6:$AD$83,6,FALSE),"")</f>
        <v/>
      </c>
      <c r="X1681" t="str">
        <f>IFERROR(VLOOKUP('Pre-Summary'!$DB$6:$DD$63,3,FALSE),"")</f>
        <v/>
      </c>
      <c r="Y1681" t="str">
        <f>IFERROR(VLOOKUP(B1681,'Pre-Summary'!$CR$6:$CT$36,3,FALSE),"")</f>
        <v/>
      </c>
      <c r="Z1681" s="45" t="str">
        <f>IFERROR(VLOOKUP(B1681,'Pre-Summary'!$BZ$6:$CB$63,2,FALSE),"")</f>
        <v/>
      </c>
      <c r="AA1681" s="45" t="str">
        <f>IFERROR(VLOOKUP(B1681,'Pre-Summary'!$CG$6:$CI$70,2,FALSE),"")</f>
        <v/>
      </c>
      <c r="AB1681" s="99">
        <f>IFERROR(VLOOKUP(B1681,'Pre-Summary'!$A$6:$P$178,9,FALSE),AB1682)</f>
        <v>0.62070572390572398</v>
      </c>
      <c r="AC1681" s="10">
        <f>IFERROR(VLOOKUP(Summary!B1681,'Pre-Summary'!$A$6:$P$184,5, FALSE)/100,AC1682)</f>
        <v>0.88874066666666651</v>
      </c>
      <c r="AD1681" s="10">
        <f>IFERROR(VLOOKUP(Summary!B1681,'Pre-Summary'!$A$6:$P$184,3, FALSE)/100,AD1682)</f>
        <v>9.7922333333333333E-2</v>
      </c>
      <c r="AE1681" s="10">
        <f>IFERROR(VLOOKUP(Summary!B1681,'Pre-Summary'!$A$6:$P$184,7, FALSE)/100,AE1682)</f>
        <v>1.3337333333333336E-2</v>
      </c>
      <c r="AF1681" s="99">
        <f t="shared" si="79"/>
        <v>6.0780952798204273E-2</v>
      </c>
      <c r="AG1681" s="99">
        <f t="shared" si="80"/>
        <v>8.2785591416386119E-3</v>
      </c>
      <c r="AH1681" s="10" t="str">
        <f>IFERROR(VLOOKUP(B1681,'Pre-Summary'!$AZ$6:$BE$65,3,FALSE),"")</f>
        <v/>
      </c>
      <c r="AI1681" s="10" t="str">
        <f>IFERROR(VLOOKUP(B1681,'Pre-Summary'!$AZ$6:$BE$65,5,FALSE),"")</f>
        <v/>
      </c>
      <c r="AJ1681" s="10" t="str">
        <f>IFERROR(VLOOKUP(B1681,'Pre-Summary'!$AZ$6:$BE$65,4,FALSE),"")</f>
        <v/>
      </c>
      <c r="AK1681" s="10" t="str">
        <f>IFERROR(VLOOKUP(B1681,'Pre-Summary'!$AZ$6:$BE$65,6,FALSE),"")</f>
        <v/>
      </c>
      <c r="AL1681" s="10" t="str">
        <f>IFERROR(VLOOKUP(B1681,'Pre-Summary'!$BG$6:$BL$44,3,FALSE),"")</f>
        <v/>
      </c>
      <c r="AM1681" s="10" t="str">
        <f>IFERROR(VLOOKUP(B1681,'Pre-Summary'!$BG$6:$BL$44,4,FALSE),"")</f>
        <v/>
      </c>
    </row>
    <row r="1682" spans="2:39" ht="15" customHeight="1" x14ac:dyDescent="0.3">
      <c r="B1682">
        <v>167.9</v>
      </c>
      <c r="C1682" t="str">
        <f>IFERROR(VLOOKUP(B1682,'Pre-Summary'!$DI$6:$DM$23,4,FALSE),"")</f>
        <v/>
      </c>
      <c r="D1682" s="10" t="str">
        <f>IFERROR(VLOOKUP(B1682,'Pre-Summary'!$AT$6:$AX$14,5,FALSE),D1681)</f>
        <v>Wolfe v3: went back to modified wolfe + EDTA and switched CuSO4 to CUCl2</v>
      </c>
      <c r="E1682" s="10" t="str">
        <f>IFERROR(VLOOKUP(B1682,'Pre-Summary'!$AT$6:$AX$15,4,FALSE),"")</f>
        <v/>
      </c>
      <c r="F1682">
        <f>IFERROR(VLOOKUP(B1682,'Pre-Summary'!$AL$6:$AQ$13,6,FALSE),F1681)</f>
        <v>5.9405263157894746E-2</v>
      </c>
      <c r="G1682" t="str">
        <f>IFERROR(VLOOKUP(B1682,'Pre-Summary'!$AE$6:$AJ$85,3,FALSE),"")</f>
        <v/>
      </c>
      <c r="H1682" t="str">
        <f>IFERROR(VLOOKUP(B1682,'Pre-Summary'!$AE$6:$AJ$85,4,FALSE),"")</f>
        <v/>
      </c>
      <c r="I1682" t="str">
        <f>IFERROR(VLOOKUP(B1682,'Pre-Summary'!$AE$6:$AJ$85,5,FALSE),"")</f>
        <v/>
      </c>
      <c r="J1682" s="45" t="str">
        <f>IFERROR(VLOOKUP(B1682,'Pre-Summary'!$AE$6:$AJ$85,6, FALSE),"")</f>
        <v/>
      </c>
      <c r="K1682" s="45" t="str">
        <f>IFERROR(VLOOKUP(B1682,'Pre-Summary'!$DE$6:$DG$61,3,FALSE),"")</f>
        <v/>
      </c>
      <c r="L1682" s="45" t="str">
        <f>IFERROR(VLOOKUP(B1682,'Pre-Summary'!$CU$6:$CW$36,3,FALSE),"")</f>
        <v/>
      </c>
      <c r="M1682" s="45" t="str">
        <f>IFERROR(VLOOKUP(B1682,'Pre-Summary'!$BW$6:$BY$58,2,FALSE),"")</f>
        <v/>
      </c>
      <c r="N1682" s="45" t="str">
        <f>IFERROR(VLOOKUP(B1682,'Pre-Summary'!$CD$6:$CF$64,2,FALSE),"")</f>
        <v/>
      </c>
      <c r="O1682" s="99">
        <f>IFERROR(VLOOKUP(B1682,'Pre-Summary'!$BO$6:$BQ$48,3, FALSE),O1681)</f>
        <v>1.25</v>
      </c>
      <c r="P1682" s="99">
        <f>IFERROR(VLOOKUP(B1682,'Pre-Summary'!$BS$6:$BU$35,3,FALSE),P1681)</f>
        <v>0.3</v>
      </c>
      <c r="Q1682" s="54">
        <f t="shared" si="78"/>
        <v>4.166666666666667</v>
      </c>
      <c r="R1682" s="53">
        <f>IFERROR(VLOOKUP(B1682,'Pre-Summary'!$BG$6:$BM$44,7,FALSE),R1683)</f>
        <v>8.0894687007659741E-2</v>
      </c>
      <c r="S1682" s="53">
        <f>IFERROR(VLOOKUP(B1682,'Pre-Summary'!$BG$6:$BM$44,6,FALSE),S1683)</f>
        <v>6.1014931296205117E-2</v>
      </c>
      <c r="T1682" s="45" t="str">
        <f>IFERROR(VLOOKUP(B1682,'Pre-Summary'!$Y$6:$AC$83, 3,FALSE),"")</f>
        <v/>
      </c>
      <c r="U1682" s="45" t="str">
        <f>IFERROR(VLOOKUP(B1682,'Pre-Summary'!$Y$6:$AC$83, 4,FALSE),"")</f>
        <v/>
      </c>
      <c r="V1682" t="str">
        <f>IFERROR(VLOOKUP(B1682,'Pre-Summary'!$Y$6:$AC$83, 5,FALSE),"")</f>
        <v/>
      </c>
      <c r="W1682" s="45" t="str">
        <f>IFERROR(VLOOKUP(B1682,'Pre-Summary'!$Y$6:$AD$83,6,FALSE),"")</f>
        <v/>
      </c>
      <c r="X1682" t="str">
        <f>IFERROR(VLOOKUP('Pre-Summary'!$DB$6:$DD$63,3,FALSE),"")</f>
        <v/>
      </c>
      <c r="Y1682" t="str">
        <f>IFERROR(VLOOKUP(B1682,'Pre-Summary'!$CR$6:$CT$36,3,FALSE),"")</f>
        <v/>
      </c>
      <c r="Z1682" s="45" t="str">
        <f>IFERROR(VLOOKUP(B1682,'Pre-Summary'!$BZ$6:$CB$63,2,FALSE),"")</f>
        <v/>
      </c>
      <c r="AA1682" s="45" t="str">
        <f>IFERROR(VLOOKUP(B1682,'Pre-Summary'!$CG$6:$CI$70,2,FALSE),"")</f>
        <v/>
      </c>
      <c r="AB1682" s="99">
        <f>IFERROR(VLOOKUP(B1682,'Pre-Summary'!$A$6:$P$178,9,FALSE),AB1683)</f>
        <v>0.62070572390572398</v>
      </c>
      <c r="AC1682" s="10">
        <f>IFERROR(VLOOKUP(Summary!B1682,'Pre-Summary'!$A$6:$P$184,5, FALSE)/100,AC1683)</f>
        <v>0.88874066666666651</v>
      </c>
      <c r="AD1682" s="10">
        <f>IFERROR(VLOOKUP(Summary!B1682,'Pre-Summary'!$A$6:$P$184,3, FALSE)/100,AD1683)</f>
        <v>9.7922333333333333E-2</v>
      </c>
      <c r="AE1682" s="10">
        <f>IFERROR(VLOOKUP(Summary!B1682,'Pre-Summary'!$A$6:$P$184,7, FALSE)/100,AE1683)</f>
        <v>1.3337333333333336E-2</v>
      </c>
      <c r="AF1682" s="99">
        <f t="shared" si="79"/>
        <v>6.0780952798204273E-2</v>
      </c>
      <c r="AG1682" s="99">
        <f t="shared" si="80"/>
        <v>8.2785591416386119E-3</v>
      </c>
      <c r="AH1682" s="10" t="str">
        <f>IFERROR(VLOOKUP(B1682,'Pre-Summary'!$AZ$6:$BE$65,3,FALSE),"")</f>
        <v/>
      </c>
      <c r="AI1682" s="10" t="str">
        <f>IFERROR(VLOOKUP(B1682,'Pre-Summary'!$AZ$6:$BE$65,5,FALSE),"")</f>
        <v/>
      </c>
      <c r="AJ1682" s="10" t="str">
        <f>IFERROR(VLOOKUP(B1682,'Pre-Summary'!$AZ$6:$BE$65,4,FALSE),"")</f>
        <v/>
      </c>
      <c r="AK1682" s="10" t="str">
        <f>IFERROR(VLOOKUP(B1682,'Pre-Summary'!$AZ$6:$BE$65,6,FALSE),"")</f>
        <v/>
      </c>
      <c r="AL1682" s="10" t="str">
        <f>IFERROR(VLOOKUP(B1682,'Pre-Summary'!$BG$6:$BL$44,3,FALSE),"")</f>
        <v/>
      </c>
      <c r="AM1682" s="10" t="str">
        <f>IFERROR(VLOOKUP(B1682,'Pre-Summary'!$BG$6:$BL$44,4,FALSE),"")</f>
        <v/>
      </c>
    </row>
    <row r="1683" spans="2:39" ht="15" customHeight="1" x14ac:dyDescent="0.3">
      <c r="B1683">
        <v>168</v>
      </c>
      <c r="C1683" t="str">
        <f>IFERROR(VLOOKUP(B1683,'Pre-Summary'!$DI$6:$DM$23,4,FALSE),"")</f>
        <v/>
      </c>
      <c r="D1683" s="10" t="str">
        <f>IFERROR(VLOOKUP(B1683,'Pre-Summary'!$AT$6:$AX$14,5,FALSE),D1682)</f>
        <v>Wolfe v3: went back to modified wolfe + EDTA and switched CuSO4 to CUCl2</v>
      </c>
      <c r="E1683" s="10" t="str">
        <f>IFERROR(VLOOKUP(B1683,'Pre-Summary'!$AT$6:$AX$15,4,FALSE),"")</f>
        <v/>
      </c>
      <c r="F1683">
        <f>IFERROR(VLOOKUP(B1683,'Pre-Summary'!$AL$6:$AQ$13,6,FALSE),F1682)</f>
        <v>5.9405263157894746E-2</v>
      </c>
      <c r="G1683" t="str">
        <f>IFERROR(VLOOKUP(B1683,'Pre-Summary'!$AE$6:$AJ$85,3,FALSE),"")</f>
        <v/>
      </c>
      <c r="H1683" t="str">
        <f>IFERROR(VLOOKUP(B1683,'Pre-Summary'!$AE$6:$AJ$85,4,FALSE),"")</f>
        <v/>
      </c>
      <c r="I1683" t="str">
        <f>IFERROR(VLOOKUP(B1683,'Pre-Summary'!$AE$6:$AJ$85,5,FALSE),"")</f>
        <v/>
      </c>
      <c r="J1683" s="45" t="str">
        <f>IFERROR(VLOOKUP(B1683,'Pre-Summary'!$AE$6:$AJ$85,6, FALSE),"")</f>
        <v/>
      </c>
      <c r="K1683" s="45" t="str">
        <f>IFERROR(VLOOKUP(B1683,'Pre-Summary'!$DE$6:$DG$61,3,FALSE),"")</f>
        <v/>
      </c>
      <c r="L1683" s="45" t="str">
        <f>IFERROR(VLOOKUP(B1683,'Pre-Summary'!$CU$6:$CW$36,3,FALSE),"")</f>
        <v/>
      </c>
      <c r="M1683" s="45" t="str">
        <f>IFERROR(VLOOKUP(B1683,'Pre-Summary'!$BW$6:$BY$58,2,FALSE),"")</f>
        <v/>
      </c>
      <c r="N1683" s="45" t="str">
        <f>IFERROR(VLOOKUP(B1683,'Pre-Summary'!$CD$6:$CF$64,2,FALSE),"")</f>
        <v/>
      </c>
      <c r="O1683" s="99">
        <f>IFERROR(VLOOKUP(B1683,'Pre-Summary'!$BO$6:$BQ$48,3, FALSE),O1682)</f>
        <v>1.25</v>
      </c>
      <c r="P1683" s="99">
        <f>IFERROR(VLOOKUP(B1683,'Pre-Summary'!$BS$6:$BU$35,3,FALSE),P1682)</f>
        <v>0.3</v>
      </c>
      <c r="Q1683" s="54">
        <f t="shared" si="78"/>
        <v>4.166666666666667</v>
      </c>
      <c r="R1683" s="53">
        <f>IFERROR(VLOOKUP(B1683,'Pre-Summary'!$BG$6:$BM$44,7,FALSE),R1684)</f>
        <v>8.0894687007659741E-2</v>
      </c>
      <c r="S1683" s="53">
        <f>IFERROR(VLOOKUP(B1683,'Pre-Summary'!$BG$6:$BM$44,6,FALSE),S1684)</f>
        <v>6.1014931296205117E-2</v>
      </c>
      <c r="T1683" s="45" t="str">
        <f>IFERROR(VLOOKUP(B1683,'Pre-Summary'!$Y$6:$AC$83, 3,FALSE),"")</f>
        <v/>
      </c>
      <c r="U1683" s="45" t="str">
        <f>IFERROR(VLOOKUP(B1683,'Pre-Summary'!$Y$6:$AC$83, 4,FALSE),"")</f>
        <v/>
      </c>
      <c r="V1683" t="str">
        <f>IFERROR(VLOOKUP(B1683,'Pre-Summary'!$Y$6:$AC$83, 5,FALSE),"")</f>
        <v/>
      </c>
      <c r="W1683" s="45" t="str">
        <f>IFERROR(VLOOKUP(B1683,'Pre-Summary'!$Y$6:$AD$83,6,FALSE),"")</f>
        <v/>
      </c>
      <c r="X1683" t="str">
        <f>IFERROR(VLOOKUP('Pre-Summary'!$DB$6:$DD$63,3,FALSE),"")</f>
        <v/>
      </c>
      <c r="Y1683" t="str">
        <f>IFERROR(VLOOKUP(B1683,'Pre-Summary'!$CR$6:$CT$36,3,FALSE),"")</f>
        <v/>
      </c>
      <c r="Z1683" s="45" t="str">
        <f>IFERROR(VLOOKUP(B1683,'Pre-Summary'!$BZ$6:$CB$63,2,FALSE),"")</f>
        <v/>
      </c>
      <c r="AA1683" s="45" t="str">
        <f>IFERROR(VLOOKUP(B1683,'Pre-Summary'!$CG$6:$CI$70,2,FALSE),"")</f>
        <v/>
      </c>
      <c r="AB1683" s="99">
        <f>IFERROR(VLOOKUP(B1683,'Pre-Summary'!$A$6:$P$178,9,FALSE),AB1684)</f>
        <v>0.62070572390572398</v>
      </c>
      <c r="AC1683" s="10">
        <f>IFERROR(VLOOKUP(Summary!B1683,'Pre-Summary'!$A$6:$P$184,5, FALSE)/100,AC1684)</f>
        <v>0.88874066666666651</v>
      </c>
      <c r="AD1683" s="10">
        <f>IFERROR(VLOOKUP(Summary!B1683,'Pre-Summary'!$A$6:$P$184,3, FALSE)/100,AD1684)</f>
        <v>9.7922333333333333E-2</v>
      </c>
      <c r="AE1683" s="10">
        <f>IFERROR(VLOOKUP(Summary!B1683,'Pre-Summary'!$A$6:$P$184,7, FALSE)/100,AE1684)</f>
        <v>1.3337333333333336E-2</v>
      </c>
      <c r="AF1683" s="99">
        <f t="shared" si="79"/>
        <v>6.0780952798204273E-2</v>
      </c>
      <c r="AG1683" s="99">
        <f t="shared" si="80"/>
        <v>8.2785591416386119E-3</v>
      </c>
      <c r="AH1683" s="10" t="str">
        <f>IFERROR(VLOOKUP(B1683,'Pre-Summary'!$AZ$6:$BE$65,3,FALSE),"")</f>
        <v/>
      </c>
      <c r="AI1683" s="10" t="str">
        <f>IFERROR(VLOOKUP(B1683,'Pre-Summary'!$AZ$6:$BE$65,5,FALSE),"")</f>
        <v/>
      </c>
      <c r="AJ1683" s="10" t="str">
        <f>IFERROR(VLOOKUP(B1683,'Pre-Summary'!$AZ$6:$BE$65,4,FALSE),"")</f>
        <v/>
      </c>
      <c r="AK1683" s="10" t="str">
        <f>IFERROR(VLOOKUP(B1683,'Pre-Summary'!$AZ$6:$BE$65,6,FALSE),"")</f>
        <v/>
      </c>
      <c r="AL1683" s="10" t="str">
        <f>IFERROR(VLOOKUP(B1683,'Pre-Summary'!$BG$6:$BL$44,3,FALSE),"")</f>
        <v/>
      </c>
      <c r="AM1683" s="10" t="str">
        <f>IFERROR(VLOOKUP(B1683,'Pre-Summary'!$BG$6:$BL$44,4,FALSE),"")</f>
        <v/>
      </c>
    </row>
    <row r="1684" spans="2:39" ht="15" customHeight="1" x14ac:dyDescent="0.3">
      <c r="B1684">
        <v>168.1</v>
      </c>
      <c r="C1684" t="str">
        <f>IFERROR(VLOOKUP(B1684,'Pre-Summary'!$DI$6:$DM$23,4,FALSE),"")</f>
        <v/>
      </c>
      <c r="D1684" s="10" t="str">
        <f>IFERROR(VLOOKUP(B1684,'Pre-Summary'!$AT$6:$AX$14,5,FALSE),D1683)</f>
        <v>Wolfe v3: went back to modified wolfe + EDTA and switched CuSO4 to CUCl2</v>
      </c>
      <c r="E1684" s="10" t="str">
        <f>IFERROR(VLOOKUP(B1684,'Pre-Summary'!$AT$6:$AX$15,4,FALSE),"")</f>
        <v/>
      </c>
      <c r="F1684">
        <f>IFERROR(VLOOKUP(B1684,'Pre-Summary'!$AL$6:$AQ$13,6,FALSE),F1683)</f>
        <v>5.9405263157894746E-2</v>
      </c>
      <c r="G1684" t="str">
        <f>IFERROR(VLOOKUP(B1684,'Pre-Summary'!$AE$6:$AJ$85,3,FALSE),"")</f>
        <v/>
      </c>
      <c r="H1684" t="str">
        <f>IFERROR(VLOOKUP(B1684,'Pre-Summary'!$AE$6:$AJ$85,4,FALSE),"")</f>
        <v/>
      </c>
      <c r="I1684" t="str">
        <f>IFERROR(VLOOKUP(B1684,'Pre-Summary'!$AE$6:$AJ$85,5,FALSE),"")</f>
        <v/>
      </c>
      <c r="J1684" s="45" t="str">
        <f>IFERROR(VLOOKUP(B1684,'Pre-Summary'!$AE$6:$AJ$85,6, FALSE),"")</f>
        <v/>
      </c>
      <c r="K1684" s="45" t="str">
        <f>IFERROR(VLOOKUP(B1684,'Pre-Summary'!$DE$6:$DG$61,3,FALSE),"")</f>
        <v/>
      </c>
      <c r="L1684" s="45" t="str">
        <f>IFERROR(VLOOKUP(B1684,'Pre-Summary'!$CU$6:$CW$36,3,FALSE),"")</f>
        <v/>
      </c>
      <c r="M1684" s="45" t="str">
        <f>IFERROR(VLOOKUP(B1684,'Pre-Summary'!$BW$6:$BY$58,2,FALSE),"")</f>
        <v/>
      </c>
      <c r="N1684" s="45" t="str">
        <f>IFERROR(VLOOKUP(B1684,'Pre-Summary'!$CD$6:$CF$64,2,FALSE),"")</f>
        <v/>
      </c>
      <c r="O1684" s="99">
        <f>IFERROR(VLOOKUP(B1684,'Pre-Summary'!$BO$6:$BQ$48,3, FALSE),O1683)</f>
        <v>1.25</v>
      </c>
      <c r="P1684" s="99">
        <f>IFERROR(VLOOKUP(B1684,'Pre-Summary'!$BS$6:$BU$35,3,FALSE),P1683)</f>
        <v>0.3</v>
      </c>
      <c r="Q1684" s="54">
        <f t="shared" si="78"/>
        <v>4.166666666666667</v>
      </c>
      <c r="R1684" s="53">
        <f>IFERROR(VLOOKUP(B1684,'Pre-Summary'!$BG$6:$BM$44,7,FALSE),R1685)</f>
        <v>8.0894687007659741E-2</v>
      </c>
      <c r="S1684" s="53">
        <f>IFERROR(VLOOKUP(B1684,'Pre-Summary'!$BG$6:$BM$44,6,FALSE),S1685)</f>
        <v>6.1014931296205117E-2</v>
      </c>
      <c r="T1684" s="45" t="str">
        <f>IFERROR(VLOOKUP(B1684,'Pre-Summary'!$Y$6:$AC$83, 3,FALSE),"")</f>
        <v/>
      </c>
      <c r="U1684" s="45" t="str">
        <f>IFERROR(VLOOKUP(B1684,'Pre-Summary'!$Y$6:$AC$83, 4,FALSE),"")</f>
        <v/>
      </c>
      <c r="V1684" t="str">
        <f>IFERROR(VLOOKUP(B1684,'Pre-Summary'!$Y$6:$AC$83, 5,FALSE),"")</f>
        <v/>
      </c>
      <c r="W1684" s="45" t="str">
        <f>IFERROR(VLOOKUP(B1684,'Pre-Summary'!$Y$6:$AD$83,6,FALSE),"")</f>
        <v/>
      </c>
      <c r="X1684" t="str">
        <f>IFERROR(VLOOKUP('Pre-Summary'!$DB$6:$DD$63,3,FALSE),"")</f>
        <v/>
      </c>
      <c r="Y1684" t="str">
        <f>IFERROR(VLOOKUP(B1684,'Pre-Summary'!$CR$6:$CT$36,3,FALSE),"")</f>
        <v/>
      </c>
      <c r="Z1684" s="45" t="str">
        <f>IFERROR(VLOOKUP(B1684,'Pre-Summary'!$BZ$6:$CB$63,2,FALSE),"")</f>
        <v/>
      </c>
      <c r="AA1684" s="45" t="str">
        <f>IFERROR(VLOOKUP(B1684,'Pre-Summary'!$CG$6:$CI$70,2,FALSE),"")</f>
        <v/>
      </c>
      <c r="AB1684" s="99">
        <f>IFERROR(VLOOKUP(B1684,'Pre-Summary'!$A$6:$P$178,9,FALSE),AB1685)</f>
        <v>0.52497458603258629</v>
      </c>
      <c r="AC1684" s="10">
        <f>IFERROR(VLOOKUP(Summary!B1684,'Pre-Summary'!$A$6:$P$184,5, FALSE)/100,AC1685)</f>
        <v>0.62658066666666667</v>
      </c>
      <c r="AD1684" s="10">
        <f>IFERROR(VLOOKUP(Summary!B1684,'Pre-Summary'!$A$6:$P$184,3, FALSE)/100,AD1685)</f>
        <v>0.37177033333333331</v>
      </c>
      <c r="AE1684" s="10">
        <f>IFERROR(VLOOKUP(Summary!B1684,'Pre-Summary'!$A$6:$P$184,7, FALSE)/100,AE1685)</f>
        <v>1.6493333333333334E-3</v>
      </c>
      <c r="AF1684" s="99">
        <f t="shared" si="79"/>
        <v>0.19516997684086326</v>
      </c>
      <c r="AG1684" s="99">
        <f t="shared" si="80"/>
        <v>8.6585808389641234E-4</v>
      </c>
      <c r="AH1684" s="10" t="str">
        <f>IFERROR(VLOOKUP(B1684,'Pre-Summary'!$AZ$6:$BE$65,3,FALSE),"")</f>
        <v/>
      </c>
      <c r="AI1684" s="10" t="str">
        <f>IFERROR(VLOOKUP(B1684,'Pre-Summary'!$AZ$6:$BE$65,5,FALSE),"")</f>
        <v/>
      </c>
      <c r="AJ1684" s="10" t="str">
        <f>IFERROR(VLOOKUP(B1684,'Pre-Summary'!$AZ$6:$BE$65,4,FALSE),"")</f>
        <v/>
      </c>
      <c r="AK1684" s="10" t="str">
        <f>IFERROR(VLOOKUP(B1684,'Pre-Summary'!$AZ$6:$BE$65,6,FALSE),"")</f>
        <v/>
      </c>
      <c r="AL1684" s="10" t="str">
        <f>IFERROR(VLOOKUP(B1684,'Pre-Summary'!$BG$6:$BL$44,3,FALSE),"")</f>
        <v/>
      </c>
      <c r="AM1684" s="10" t="str">
        <f>IFERROR(VLOOKUP(B1684,'Pre-Summary'!$BG$6:$BL$44,4,FALSE),"")</f>
        <v/>
      </c>
    </row>
    <row r="1685" spans="2:39" ht="15" customHeight="1" x14ac:dyDescent="0.3">
      <c r="B1685">
        <v>168.2</v>
      </c>
      <c r="C1685" t="str">
        <f>IFERROR(VLOOKUP(B1685,'Pre-Summary'!$DI$6:$DM$23,4,FALSE),"")</f>
        <v/>
      </c>
      <c r="D1685" s="10" t="str">
        <f>IFERROR(VLOOKUP(B1685,'Pre-Summary'!$AT$6:$AX$14,5,FALSE),D1684)</f>
        <v>Wolfe v3: went back to modified wolfe + EDTA and switched CuSO4 to CUCl2</v>
      </c>
      <c r="E1685" s="10" t="str">
        <f>IFERROR(VLOOKUP(B1685,'Pre-Summary'!$AT$6:$AX$15,4,FALSE),"")</f>
        <v/>
      </c>
      <c r="F1685">
        <f>IFERROR(VLOOKUP(B1685,'Pre-Summary'!$AL$6:$AQ$13,6,FALSE),F1684)</f>
        <v>5.9405263157894746E-2</v>
      </c>
      <c r="G1685" t="str">
        <f>IFERROR(VLOOKUP(B1685,'Pre-Summary'!$AE$6:$AJ$85,3,FALSE),"")</f>
        <v/>
      </c>
      <c r="H1685" t="str">
        <f>IFERROR(VLOOKUP(B1685,'Pre-Summary'!$AE$6:$AJ$85,4,FALSE),"")</f>
        <v/>
      </c>
      <c r="I1685" t="str">
        <f>IFERROR(VLOOKUP(B1685,'Pre-Summary'!$AE$6:$AJ$85,5,FALSE),"")</f>
        <v/>
      </c>
      <c r="J1685" s="45" t="str">
        <f>IFERROR(VLOOKUP(B1685,'Pre-Summary'!$AE$6:$AJ$85,6, FALSE),"")</f>
        <v/>
      </c>
      <c r="K1685" s="45" t="str">
        <f>IFERROR(VLOOKUP(B1685,'Pre-Summary'!$DE$6:$DG$61,3,FALSE),"")</f>
        <v/>
      </c>
      <c r="L1685" s="45" t="str">
        <f>IFERROR(VLOOKUP(B1685,'Pre-Summary'!$CU$6:$CW$36,3,FALSE),"")</f>
        <v/>
      </c>
      <c r="M1685" s="45" t="str">
        <f>IFERROR(VLOOKUP(B1685,'Pre-Summary'!$BW$6:$BY$58,2,FALSE),"")</f>
        <v/>
      </c>
      <c r="N1685" s="45" t="str">
        <f>IFERROR(VLOOKUP(B1685,'Pre-Summary'!$CD$6:$CF$64,2,FALSE),"")</f>
        <v/>
      </c>
      <c r="O1685" s="99">
        <f>IFERROR(VLOOKUP(B1685,'Pre-Summary'!$BO$6:$BQ$48,3, FALSE),O1684)</f>
        <v>1.25</v>
      </c>
      <c r="P1685" s="99">
        <f>IFERROR(VLOOKUP(B1685,'Pre-Summary'!$BS$6:$BU$35,3,FALSE),P1684)</f>
        <v>0.3</v>
      </c>
      <c r="Q1685" s="54">
        <f t="shared" si="78"/>
        <v>4.166666666666667</v>
      </c>
      <c r="R1685" s="53">
        <f>IFERROR(VLOOKUP(B1685,'Pre-Summary'!$BG$6:$BM$44,7,FALSE),R1686)</f>
        <v>8.0894687007659741E-2</v>
      </c>
      <c r="S1685" s="53">
        <f>IFERROR(VLOOKUP(B1685,'Pre-Summary'!$BG$6:$BM$44,6,FALSE),S1686)</f>
        <v>6.1014931296205117E-2</v>
      </c>
      <c r="T1685" s="45" t="str">
        <f>IFERROR(VLOOKUP(B1685,'Pre-Summary'!$Y$6:$AC$83, 3,FALSE),"")</f>
        <v/>
      </c>
      <c r="U1685" s="45" t="str">
        <f>IFERROR(VLOOKUP(B1685,'Pre-Summary'!$Y$6:$AC$83, 4,FALSE),"")</f>
        <v/>
      </c>
      <c r="V1685" t="str">
        <f>IFERROR(VLOOKUP(B1685,'Pre-Summary'!$Y$6:$AC$83, 5,FALSE),"")</f>
        <v/>
      </c>
      <c r="W1685" s="45" t="str">
        <f>IFERROR(VLOOKUP(B1685,'Pre-Summary'!$Y$6:$AD$83,6,FALSE),"")</f>
        <v/>
      </c>
      <c r="X1685" t="str">
        <f>IFERROR(VLOOKUP('Pre-Summary'!$DB$6:$DD$63,3,FALSE),"")</f>
        <v/>
      </c>
      <c r="Y1685" t="str">
        <f>IFERROR(VLOOKUP(B1685,'Pre-Summary'!$CR$6:$CT$36,3,FALSE),"")</f>
        <v/>
      </c>
      <c r="Z1685" s="45" t="str">
        <f>IFERROR(VLOOKUP(B1685,'Pre-Summary'!$BZ$6:$CB$63,2,FALSE),"")</f>
        <v/>
      </c>
      <c r="AA1685" s="45" t="str">
        <f>IFERROR(VLOOKUP(B1685,'Pre-Summary'!$CG$6:$CI$70,2,FALSE),"")</f>
        <v/>
      </c>
      <c r="AB1685" s="99">
        <f>IFERROR(VLOOKUP(B1685,'Pre-Summary'!$A$6:$P$178,9,FALSE),AB1686)</f>
        <v>0.52497458603258629</v>
      </c>
      <c r="AC1685" s="10">
        <f>IFERROR(VLOOKUP(Summary!B1685,'Pre-Summary'!$A$6:$P$184,5, FALSE)/100,AC1686)</f>
        <v>0.62658066666666667</v>
      </c>
      <c r="AD1685" s="10">
        <f>IFERROR(VLOOKUP(Summary!B1685,'Pre-Summary'!$A$6:$P$184,3, FALSE)/100,AD1686)</f>
        <v>0.37177033333333331</v>
      </c>
      <c r="AE1685" s="10">
        <f>IFERROR(VLOOKUP(Summary!B1685,'Pre-Summary'!$A$6:$P$184,7, FALSE)/100,AE1686)</f>
        <v>1.6493333333333334E-3</v>
      </c>
      <c r="AF1685" s="99">
        <f t="shared" si="79"/>
        <v>0.19516997684086326</v>
      </c>
      <c r="AG1685" s="99">
        <f t="shared" si="80"/>
        <v>8.6585808389641234E-4</v>
      </c>
      <c r="AH1685" s="10" t="str">
        <f>IFERROR(VLOOKUP(B1685,'Pre-Summary'!$AZ$6:$BE$65,3,FALSE),"")</f>
        <v/>
      </c>
      <c r="AI1685" s="10" t="str">
        <f>IFERROR(VLOOKUP(B1685,'Pre-Summary'!$AZ$6:$BE$65,5,FALSE),"")</f>
        <v/>
      </c>
      <c r="AJ1685" s="10" t="str">
        <f>IFERROR(VLOOKUP(B1685,'Pre-Summary'!$AZ$6:$BE$65,4,FALSE),"")</f>
        <v/>
      </c>
      <c r="AK1685" s="10" t="str">
        <f>IFERROR(VLOOKUP(B1685,'Pre-Summary'!$AZ$6:$BE$65,6,FALSE),"")</f>
        <v/>
      </c>
      <c r="AL1685" s="10" t="str">
        <f>IFERROR(VLOOKUP(B1685,'Pre-Summary'!$BG$6:$BL$44,3,FALSE),"")</f>
        <v/>
      </c>
      <c r="AM1685" s="10" t="str">
        <f>IFERROR(VLOOKUP(B1685,'Pre-Summary'!$BG$6:$BL$44,4,FALSE),"")</f>
        <v/>
      </c>
    </row>
    <row r="1686" spans="2:39" ht="15" customHeight="1" x14ac:dyDescent="0.3">
      <c r="B1686">
        <v>168.3</v>
      </c>
      <c r="C1686" t="str">
        <f>IFERROR(VLOOKUP(B1686,'Pre-Summary'!$DI$6:$DM$23,4,FALSE),"")</f>
        <v/>
      </c>
      <c r="D1686" s="10" t="str">
        <f>IFERROR(VLOOKUP(B1686,'Pre-Summary'!$AT$6:$AX$14,5,FALSE),D1685)</f>
        <v>Wolfe v3: went back to modified wolfe + EDTA and switched CuSO4 to CUCl2</v>
      </c>
      <c r="E1686" s="10" t="str">
        <f>IFERROR(VLOOKUP(B1686,'Pre-Summary'!$AT$6:$AX$15,4,FALSE),"")</f>
        <v/>
      </c>
      <c r="F1686">
        <f>IFERROR(VLOOKUP(B1686,'Pre-Summary'!$AL$6:$AQ$13,6,FALSE),F1685)</f>
        <v>5.9405263157894746E-2</v>
      </c>
      <c r="G1686" t="str">
        <f>IFERROR(VLOOKUP(B1686,'Pre-Summary'!$AE$6:$AJ$85,3,FALSE),"")</f>
        <v/>
      </c>
      <c r="H1686" t="str">
        <f>IFERROR(VLOOKUP(B1686,'Pre-Summary'!$AE$6:$AJ$85,4,FALSE),"")</f>
        <v/>
      </c>
      <c r="I1686" t="str">
        <f>IFERROR(VLOOKUP(B1686,'Pre-Summary'!$AE$6:$AJ$85,5,FALSE),"")</f>
        <v/>
      </c>
      <c r="J1686" s="45" t="str">
        <f>IFERROR(VLOOKUP(B1686,'Pre-Summary'!$AE$6:$AJ$85,6, FALSE),"")</f>
        <v/>
      </c>
      <c r="K1686" s="45" t="str">
        <f>IFERROR(VLOOKUP(B1686,'Pre-Summary'!$DE$6:$DG$61,3,FALSE),"")</f>
        <v/>
      </c>
      <c r="L1686" s="45" t="str">
        <f>IFERROR(VLOOKUP(B1686,'Pre-Summary'!$CU$6:$CW$36,3,FALSE),"")</f>
        <v/>
      </c>
      <c r="M1686" s="45" t="str">
        <f>IFERROR(VLOOKUP(B1686,'Pre-Summary'!$BW$6:$BY$58,2,FALSE),"")</f>
        <v/>
      </c>
      <c r="N1686" s="45" t="str">
        <f>IFERROR(VLOOKUP(B1686,'Pre-Summary'!$CD$6:$CF$64,2,FALSE),"")</f>
        <v/>
      </c>
      <c r="O1686" s="99">
        <f>IFERROR(VLOOKUP(B1686,'Pre-Summary'!$BO$6:$BQ$48,3, FALSE),O1685)</f>
        <v>1.25</v>
      </c>
      <c r="P1686" s="99">
        <f>IFERROR(VLOOKUP(B1686,'Pre-Summary'!$BS$6:$BU$35,3,FALSE),P1685)</f>
        <v>0.3</v>
      </c>
      <c r="Q1686" s="54">
        <f t="shared" si="78"/>
        <v>4.166666666666667</v>
      </c>
      <c r="R1686" s="53">
        <f>IFERROR(VLOOKUP(B1686,'Pre-Summary'!$BG$6:$BM$44,7,FALSE),R1687)</f>
        <v>8.0894687007659741E-2</v>
      </c>
      <c r="S1686" s="53">
        <f>IFERROR(VLOOKUP(B1686,'Pre-Summary'!$BG$6:$BM$44,6,FALSE),S1687)</f>
        <v>6.1014931296205117E-2</v>
      </c>
      <c r="T1686" s="45" t="str">
        <f>IFERROR(VLOOKUP(B1686,'Pre-Summary'!$Y$6:$AC$83, 3,FALSE),"")</f>
        <v/>
      </c>
      <c r="U1686" s="45" t="str">
        <f>IFERROR(VLOOKUP(B1686,'Pre-Summary'!$Y$6:$AC$83, 4,FALSE),"")</f>
        <v/>
      </c>
      <c r="V1686" t="str">
        <f>IFERROR(VLOOKUP(B1686,'Pre-Summary'!$Y$6:$AC$83, 5,FALSE),"")</f>
        <v/>
      </c>
      <c r="W1686" s="45" t="str">
        <f>IFERROR(VLOOKUP(B1686,'Pre-Summary'!$Y$6:$AD$83,6,FALSE),"")</f>
        <v/>
      </c>
      <c r="X1686" t="str">
        <f>IFERROR(VLOOKUP('Pre-Summary'!$DB$6:$DD$63,3,FALSE),"")</f>
        <v/>
      </c>
      <c r="Y1686" t="str">
        <f>IFERROR(VLOOKUP(B1686,'Pre-Summary'!$CR$6:$CT$36,3,FALSE),"")</f>
        <v/>
      </c>
      <c r="Z1686" s="45" t="str">
        <f>IFERROR(VLOOKUP(B1686,'Pre-Summary'!$BZ$6:$CB$63,2,FALSE),"")</f>
        <v/>
      </c>
      <c r="AA1686" s="45" t="str">
        <f>IFERROR(VLOOKUP(B1686,'Pre-Summary'!$CG$6:$CI$70,2,FALSE),"")</f>
        <v/>
      </c>
      <c r="AB1686" s="99">
        <f>IFERROR(VLOOKUP(B1686,'Pre-Summary'!$A$6:$P$178,9,FALSE),AB1687)</f>
        <v>0.52497458603258629</v>
      </c>
      <c r="AC1686" s="10">
        <f>IFERROR(VLOOKUP(Summary!B1686,'Pre-Summary'!$A$6:$P$184,5, FALSE)/100,AC1687)</f>
        <v>0.62658066666666667</v>
      </c>
      <c r="AD1686" s="10">
        <f>IFERROR(VLOOKUP(Summary!B1686,'Pre-Summary'!$A$6:$P$184,3, FALSE)/100,AD1687)</f>
        <v>0.37177033333333331</v>
      </c>
      <c r="AE1686" s="10">
        <f>IFERROR(VLOOKUP(Summary!B1686,'Pre-Summary'!$A$6:$P$184,7, FALSE)/100,AE1687)</f>
        <v>1.6493333333333334E-3</v>
      </c>
      <c r="AF1686" s="99">
        <f t="shared" si="79"/>
        <v>0.19516997684086326</v>
      </c>
      <c r="AG1686" s="99">
        <f t="shared" si="80"/>
        <v>8.6585808389641234E-4</v>
      </c>
      <c r="AH1686" s="10" t="str">
        <f>IFERROR(VLOOKUP(B1686,'Pre-Summary'!$AZ$6:$BE$65,3,FALSE),"")</f>
        <v/>
      </c>
      <c r="AI1686" s="10" t="str">
        <f>IFERROR(VLOOKUP(B1686,'Pre-Summary'!$AZ$6:$BE$65,5,FALSE),"")</f>
        <v/>
      </c>
      <c r="AJ1686" s="10" t="str">
        <f>IFERROR(VLOOKUP(B1686,'Pre-Summary'!$AZ$6:$BE$65,4,FALSE),"")</f>
        <v/>
      </c>
      <c r="AK1686" s="10" t="str">
        <f>IFERROR(VLOOKUP(B1686,'Pre-Summary'!$AZ$6:$BE$65,6,FALSE),"")</f>
        <v/>
      </c>
      <c r="AL1686" s="10" t="str">
        <f>IFERROR(VLOOKUP(B1686,'Pre-Summary'!$BG$6:$BL$44,3,FALSE),"")</f>
        <v/>
      </c>
      <c r="AM1686" s="10" t="str">
        <f>IFERROR(VLOOKUP(B1686,'Pre-Summary'!$BG$6:$BL$44,4,FALSE),"")</f>
        <v/>
      </c>
    </row>
    <row r="1687" spans="2:39" ht="15" customHeight="1" x14ac:dyDescent="0.3">
      <c r="B1687">
        <v>168.4</v>
      </c>
      <c r="C1687" t="str">
        <f>IFERROR(VLOOKUP(B1687,'Pre-Summary'!$DI$6:$DM$23,4,FALSE),"")</f>
        <v/>
      </c>
      <c r="D1687" s="10" t="str">
        <f>IFERROR(VLOOKUP(B1687,'Pre-Summary'!$AT$6:$AX$14,5,FALSE),D1686)</f>
        <v>Wolfe v3: went back to modified wolfe + EDTA and switched CuSO4 to CUCl2</v>
      </c>
      <c r="E1687" s="10" t="str">
        <f>IFERROR(VLOOKUP(B1687,'Pre-Summary'!$AT$6:$AX$15,4,FALSE),"")</f>
        <v/>
      </c>
      <c r="F1687">
        <f>IFERROR(VLOOKUP(B1687,'Pre-Summary'!$AL$6:$AQ$13,6,FALSE),F1686)</f>
        <v>5.9405263157894746E-2</v>
      </c>
      <c r="G1687" t="str">
        <f>IFERROR(VLOOKUP(B1687,'Pre-Summary'!$AE$6:$AJ$85,3,FALSE),"")</f>
        <v/>
      </c>
      <c r="H1687" t="str">
        <f>IFERROR(VLOOKUP(B1687,'Pre-Summary'!$AE$6:$AJ$85,4,FALSE),"")</f>
        <v/>
      </c>
      <c r="I1687" t="str">
        <f>IFERROR(VLOOKUP(B1687,'Pre-Summary'!$AE$6:$AJ$85,5,FALSE),"")</f>
        <v/>
      </c>
      <c r="J1687" s="45" t="str">
        <f>IFERROR(VLOOKUP(B1687,'Pre-Summary'!$AE$6:$AJ$85,6, FALSE),"")</f>
        <v/>
      </c>
      <c r="K1687" s="45" t="str">
        <f>IFERROR(VLOOKUP(B1687,'Pre-Summary'!$DE$6:$DG$61,3,FALSE),"")</f>
        <v/>
      </c>
      <c r="L1687" s="45" t="str">
        <f>IFERROR(VLOOKUP(B1687,'Pre-Summary'!$CU$6:$CW$36,3,FALSE),"")</f>
        <v/>
      </c>
      <c r="M1687" s="45" t="str">
        <f>IFERROR(VLOOKUP(B1687,'Pre-Summary'!$BW$6:$BY$58,2,FALSE),"")</f>
        <v/>
      </c>
      <c r="N1687" s="45" t="str">
        <f>IFERROR(VLOOKUP(B1687,'Pre-Summary'!$CD$6:$CF$64,2,FALSE),"")</f>
        <v/>
      </c>
      <c r="O1687" s="99">
        <f>IFERROR(VLOOKUP(B1687,'Pre-Summary'!$BO$6:$BQ$48,3, FALSE),O1686)</f>
        <v>1.25</v>
      </c>
      <c r="P1687" s="99">
        <f>IFERROR(VLOOKUP(B1687,'Pre-Summary'!$BS$6:$BU$35,3,FALSE),P1686)</f>
        <v>0.3</v>
      </c>
      <c r="Q1687" s="54">
        <f t="shared" si="78"/>
        <v>4.166666666666667</v>
      </c>
      <c r="R1687" s="53">
        <f>IFERROR(VLOOKUP(B1687,'Pre-Summary'!$BG$6:$BM$44,7,FALSE),R1688)</f>
        <v>8.0894687007659741E-2</v>
      </c>
      <c r="S1687" s="53">
        <f>IFERROR(VLOOKUP(B1687,'Pre-Summary'!$BG$6:$BM$44,6,FALSE),S1688)</f>
        <v>6.1014931296205117E-2</v>
      </c>
      <c r="T1687" s="45" t="str">
        <f>IFERROR(VLOOKUP(B1687,'Pre-Summary'!$Y$6:$AC$83, 3,FALSE),"")</f>
        <v/>
      </c>
      <c r="U1687" s="45" t="str">
        <f>IFERROR(VLOOKUP(B1687,'Pre-Summary'!$Y$6:$AC$83, 4,FALSE),"")</f>
        <v/>
      </c>
      <c r="V1687" t="str">
        <f>IFERROR(VLOOKUP(B1687,'Pre-Summary'!$Y$6:$AC$83, 5,FALSE),"")</f>
        <v/>
      </c>
      <c r="W1687" s="45" t="str">
        <f>IFERROR(VLOOKUP(B1687,'Pre-Summary'!$Y$6:$AD$83,6,FALSE),"")</f>
        <v/>
      </c>
      <c r="X1687" t="str">
        <f>IFERROR(VLOOKUP('Pre-Summary'!$DB$6:$DD$63,3,FALSE),"")</f>
        <v/>
      </c>
      <c r="Y1687" t="str">
        <f>IFERROR(VLOOKUP(B1687,'Pre-Summary'!$CR$6:$CT$36,3,FALSE),"")</f>
        <v/>
      </c>
      <c r="Z1687" s="45" t="str">
        <f>IFERROR(VLOOKUP(B1687,'Pre-Summary'!$BZ$6:$CB$63,2,FALSE),"")</f>
        <v/>
      </c>
      <c r="AA1687" s="45" t="str">
        <f>IFERROR(VLOOKUP(B1687,'Pre-Summary'!$CG$6:$CI$70,2,FALSE),"")</f>
        <v/>
      </c>
      <c r="AB1687" s="99">
        <f>IFERROR(VLOOKUP(B1687,'Pre-Summary'!$A$6:$P$178,9,FALSE),AB1688)</f>
        <v>0.52497458603258629</v>
      </c>
      <c r="AC1687" s="10">
        <f>IFERROR(VLOOKUP(Summary!B1687,'Pre-Summary'!$A$6:$P$184,5, FALSE)/100,AC1688)</f>
        <v>0.62658066666666667</v>
      </c>
      <c r="AD1687" s="10">
        <f>IFERROR(VLOOKUP(Summary!B1687,'Pre-Summary'!$A$6:$P$184,3, FALSE)/100,AD1688)</f>
        <v>0.37177033333333331</v>
      </c>
      <c r="AE1687" s="10">
        <f>IFERROR(VLOOKUP(Summary!B1687,'Pre-Summary'!$A$6:$P$184,7, FALSE)/100,AE1688)</f>
        <v>1.6493333333333334E-3</v>
      </c>
      <c r="AF1687" s="99">
        <f t="shared" si="79"/>
        <v>0.19516997684086326</v>
      </c>
      <c r="AG1687" s="99">
        <f t="shared" si="80"/>
        <v>8.6585808389641234E-4</v>
      </c>
      <c r="AH1687" s="10" t="str">
        <f>IFERROR(VLOOKUP(B1687,'Pre-Summary'!$AZ$6:$BE$65,3,FALSE),"")</f>
        <v/>
      </c>
      <c r="AI1687" s="10" t="str">
        <f>IFERROR(VLOOKUP(B1687,'Pre-Summary'!$AZ$6:$BE$65,5,FALSE),"")</f>
        <v/>
      </c>
      <c r="AJ1687" s="10" t="str">
        <f>IFERROR(VLOOKUP(B1687,'Pre-Summary'!$AZ$6:$BE$65,4,FALSE),"")</f>
        <v/>
      </c>
      <c r="AK1687" s="10" t="str">
        <f>IFERROR(VLOOKUP(B1687,'Pre-Summary'!$AZ$6:$BE$65,6,FALSE),"")</f>
        <v/>
      </c>
      <c r="AL1687" s="10" t="str">
        <f>IFERROR(VLOOKUP(B1687,'Pre-Summary'!$BG$6:$BL$44,3,FALSE),"")</f>
        <v/>
      </c>
      <c r="AM1687" s="10" t="str">
        <f>IFERROR(VLOOKUP(B1687,'Pre-Summary'!$BG$6:$BL$44,4,FALSE),"")</f>
        <v/>
      </c>
    </row>
    <row r="1688" spans="2:39" ht="15" customHeight="1" x14ac:dyDescent="0.3">
      <c r="B1688">
        <v>168.5</v>
      </c>
      <c r="C1688" t="str">
        <f>IFERROR(VLOOKUP(B1688,'Pre-Summary'!$DI$6:$DM$23,4,FALSE),"")</f>
        <v/>
      </c>
      <c r="D1688" s="10" t="str">
        <f>IFERROR(VLOOKUP(B1688,'Pre-Summary'!$AT$6:$AX$14,5,FALSE),D1687)</f>
        <v>Wolfe v3: went back to modified wolfe + EDTA and switched CuSO4 to CUCl2</v>
      </c>
      <c r="E1688" s="10" t="str">
        <f>IFERROR(VLOOKUP(B1688,'Pre-Summary'!$AT$6:$AX$15,4,FALSE),"")</f>
        <v/>
      </c>
      <c r="F1688">
        <f>IFERROR(VLOOKUP(B1688,'Pre-Summary'!$AL$6:$AQ$13,6,FALSE),F1687)</f>
        <v>5.9405263157894746E-2</v>
      </c>
      <c r="G1688" t="str">
        <f>IFERROR(VLOOKUP(B1688,'Pre-Summary'!$AE$6:$AJ$85,3,FALSE),"")</f>
        <v/>
      </c>
      <c r="H1688" t="str">
        <f>IFERROR(VLOOKUP(B1688,'Pre-Summary'!$AE$6:$AJ$85,4,FALSE),"")</f>
        <v/>
      </c>
      <c r="I1688" t="str">
        <f>IFERROR(VLOOKUP(B1688,'Pre-Summary'!$AE$6:$AJ$85,5,FALSE),"")</f>
        <v/>
      </c>
      <c r="J1688" s="45" t="str">
        <f>IFERROR(VLOOKUP(B1688,'Pre-Summary'!$AE$6:$AJ$85,6, FALSE),"")</f>
        <v/>
      </c>
      <c r="K1688" s="45" t="str">
        <f>IFERROR(VLOOKUP(B1688,'Pre-Summary'!$DE$6:$DG$61,3,FALSE),"")</f>
        <v/>
      </c>
      <c r="L1688" s="45" t="str">
        <f>IFERROR(VLOOKUP(B1688,'Pre-Summary'!$CU$6:$CW$36,3,FALSE),"")</f>
        <v/>
      </c>
      <c r="M1688" s="45" t="str">
        <f>IFERROR(VLOOKUP(B1688,'Pre-Summary'!$BW$6:$BY$58,2,FALSE),"")</f>
        <v/>
      </c>
      <c r="N1688" s="45" t="str">
        <f>IFERROR(VLOOKUP(B1688,'Pre-Summary'!$CD$6:$CF$64,2,FALSE),"")</f>
        <v/>
      </c>
      <c r="O1688" s="99">
        <f>IFERROR(VLOOKUP(B1688,'Pre-Summary'!$BO$6:$BQ$48,3, FALSE),O1687)</f>
        <v>1.25</v>
      </c>
      <c r="P1688" s="99">
        <f>IFERROR(VLOOKUP(B1688,'Pre-Summary'!$BS$6:$BU$35,3,FALSE),P1687)</f>
        <v>0.3</v>
      </c>
      <c r="Q1688" s="54">
        <f t="shared" si="78"/>
        <v>4.166666666666667</v>
      </c>
      <c r="R1688" s="53">
        <f>IFERROR(VLOOKUP(B1688,'Pre-Summary'!$BG$6:$BM$44,7,FALSE),R1689)</f>
        <v>8.0894687007659741E-2</v>
      </c>
      <c r="S1688" s="53">
        <f>IFERROR(VLOOKUP(B1688,'Pre-Summary'!$BG$6:$BM$44,6,FALSE),S1689)</f>
        <v>6.1014931296205117E-2</v>
      </c>
      <c r="T1688" s="45" t="str">
        <f>IFERROR(VLOOKUP(B1688,'Pre-Summary'!$Y$6:$AC$83, 3,FALSE),"")</f>
        <v/>
      </c>
      <c r="U1688" s="45" t="str">
        <f>IFERROR(VLOOKUP(B1688,'Pre-Summary'!$Y$6:$AC$83, 4,FALSE),"")</f>
        <v/>
      </c>
      <c r="V1688" t="str">
        <f>IFERROR(VLOOKUP(B1688,'Pre-Summary'!$Y$6:$AC$83, 5,FALSE),"")</f>
        <v/>
      </c>
      <c r="W1688" s="45" t="str">
        <f>IFERROR(VLOOKUP(B1688,'Pre-Summary'!$Y$6:$AD$83,6,FALSE),"")</f>
        <v/>
      </c>
      <c r="X1688" t="str">
        <f>IFERROR(VLOOKUP('Pre-Summary'!$DB$6:$DD$63,3,FALSE),"")</f>
        <v/>
      </c>
      <c r="Y1688" t="str">
        <f>IFERROR(VLOOKUP(B1688,'Pre-Summary'!$CR$6:$CT$36,3,FALSE),"")</f>
        <v/>
      </c>
      <c r="Z1688" s="45" t="str">
        <f>IFERROR(VLOOKUP(B1688,'Pre-Summary'!$BZ$6:$CB$63,2,FALSE),"")</f>
        <v/>
      </c>
      <c r="AA1688" s="45" t="str">
        <f>IFERROR(VLOOKUP(B1688,'Pre-Summary'!$CG$6:$CI$70,2,FALSE),"")</f>
        <v/>
      </c>
      <c r="AB1688" s="99">
        <f>IFERROR(VLOOKUP(B1688,'Pre-Summary'!$A$6:$P$178,9,FALSE),AB1689)</f>
        <v>0.52497458603258629</v>
      </c>
      <c r="AC1688" s="10">
        <f>IFERROR(VLOOKUP(Summary!B1688,'Pre-Summary'!$A$6:$P$184,5, FALSE)/100,AC1689)</f>
        <v>0.62658066666666667</v>
      </c>
      <c r="AD1688" s="10">
        <f>IFERROR(VLOOKUP(Summary!B1688,'Pre-Summary'!$A$6:$P$184,3, FALSE)/100,AD1689)</f>
        <v>0.37177033333333331</v>
      </c>
      <c r="AE1688" s="10">
        <f>IFERROR(VLOOKUP(Summary!B1688,'Pre-Summary'!$A$6:$P$184,7, FALSE)/100,AE1689)</f>
        <v>1.6493333333333334E-3</v>
      </c>
      <c r="AF1688" s="99">
        <f t="shared" si="79"/>
        <v>0.19516997684086326</v>
      </c>
      <c r="AG1688" s="99">
        <f t="shared" si="80"/>
        <v>8.6585808389641234E-4</v>
      </c>
      <c r="AH1688" s="10" t="str">
        <f>IFERROR(VLOOKUP(B1688,'Pre-Summary'!$AZ$6:$BE$65,3,FALSE),"")</f>
        <v/>
      </c>
      <c r="AI1688" s="10" t="str">
        <f>IFERROR(VLOOKUP(B1688,'Pre-Summary'!$AZ$6:$BE$65,5,FALSE),"")</f>
        <v/>
      </c>
      <c r="AJ1688" s="10" t="str">
        <f>IFERROR(VLOOKUP(B1688,'Pre-Summary'!$AZ$6:$BE$65,4,FALSE),"")</f>
        <v/>
      </c>
      <c r="AK1688" s="10" t="str">
        <f>IFERROR(VLOOKUP(B1688,'Pre-Summary'!$AZ$6:$BE$65,6,FALSE),"")</f>
        <v/>
      </c>
      <c r="AL1688" s="10" t="str">
        <f>IFERROR(VLOOKUP(B1688,'Pre-Summary'!$BG$6:$BL$44,3,FALSE),"")</f>
        <v/>
      </c>
      <c r="AM1688" s="10" t="str">
        <f>IFERROR(VLOOKUP(B1688,'Pre-Summary'!$BG$6:$BL$44,4,FALSE),"")</f>
        <v/>
      </c>
    </row>
    <row r="1689" spans="2:39" ht="15" customHeight="1" x14ac:dyDescent="0.3">
      <c r="B1689">
        <v>168.6</v>
      </c>
      <c r="C1689" t="str">
        <f>IFERROR(VLOOKUP(B1689,'Pre-Summary'!$DI$6:$DM$23,4,FALSE),"")</f>
        <v/>
      </c>
      <c r="D1689" s="10" t="str">
        <f>IFERROR(VLOOKUP(B1689,'Pre-Summary'!$AT$6:$AX$14,5,FALSE),D1688)</f>
        <v>Wolfe v3: went back to modified wolfe + EDTA and switched CuSO4 to CUCl2</v>
      </c>
      <c r="E1689" s="10" t="str">
        <f>IFERROR(VLOOKUP(B1689,'Pre-Summary'!$AT$6:$AX$15,4,FALSE),"")</f>
        <v/>
      </c>
      <c r="F1689">
        <f>IFERROR(VLOOKUP(B1689,'Pre-Summary'!$AL$6:$AQ$13,6,FALSE),F1688)</f>
        <v>5.9405263157894746E-2</v>
      </c>
      <c r="G1689" t="str">
        <f>IFERROR(VLOOKUP(B1689,'Pre-Summary'!$AE$6:$AJ$85,3,FALSE),"")</f>
        <v/>
      </c>
      <c r="H1689" t="str">
        <f>IFERROR(VLOOKUP(B1689,'Pre-Summary'!$AE$6:$AJ$85,4,FALSE),"")</f>
        <v/>
      </c>
      <c r="I1689" t="str">
        <f>IFERROR(VLOOKUP(B1689,'Pre-Summary'!$AE$6:$AJ$85,5,FALSE),"")</f>
        <v/>
      </c>
      <c r="J1689" s="45" t="str">
        <f>IFERROR(VLOOKUP(B1689,'Pre-Summary'!$AE$6:$AJ$85,6, FALSE),"")</f>
        <v/>
      </c>
      <c r="K1689" s="45" t="str">
        <f>IFERROR(VLOOKUP(B1689,'Pre-Summary'!$DE$6:$DG$61,3,FALSE),"")</f>
        <v/>
      </c>
      <c r="L1689" s="45" t="str">
        <f>IFERROR(VLOOKUP(B1689,'Pre-Summary'!$CU$6:$CW$36,3,FALSE),"")</f>
        <v/>
      </c>
      <c r="M1689" s="45" t="str">
        <f>IFERROR(VLOOKUP(B1689,'Pre-Summary'!$BW$6:$BY$58,2,FALSE),"")</f>
        <v/>
      </c>
      <c r="N1689" s="45" t="str">
        <f>IFERROR(VLOOKUP(B1689,'Pre-Summary'!$CD$6:$CF$64,2,FALSE),"")</f>
        <v/>
      </c>
      <c r="O1689" s="99">
        <f>IFERROR(VLOOKUP(B1689,'Pre-Summary'!$BO$6:$BQ$48,3, FALSE),O1688)</f>
        <v>1.25</v>
      </c>
      <c r="P1689" s="99">
        <f>IFERROR(VLOOKUP(B1689,'Pre-Summary'!$BS$6:$BU$35,3,FALSE),P1688)</f>
        <v>0.3</v>
      </c>
      <c r="Q1689" s="54">
        <f t="shared" si="78"/>
        <v>4.166666666666667</v>
      </c>
      <c r="R1689" s="53">
        <f>IFERROR(VLOOKUP(B1689,'Pre-Summary'!$BG$6:$BM$44,7,FALSE),R1690)</f>
        <v>8.0894687007659741E-2</v>
      </c>
      <c r="S1689" s="53">
        <f>IFERROR(VLOOKUP(B1689,'Pre-Summary'!$BG$6:$BM$44,6,FALSE),S1690)</f>
        <v>6.1014931296205117E-2</v>
      </c>
      <c r="T1689" s="45" t="str">
        <f>IFERROR(VLOOKUP(B1689,'Pre-Summary'!$Y$6:$AC$83, 3,FALSE),"")</f>
        <v/>
      </c>
      <c r="U1689" s="45" t="str">
        <f>IFERROR(VLOOKUP(B1689,'Pre-Summary'!$Y$6:$AC$83, 4,FALSE),"")</f>
        <v/>
      </c>
      <c r="V1689" t="str">
        <f>IFERROR(VLOOKUP(B1689,'Pre-Summary'!$Y$6:$AC$83, 5,FALSE),"")</f>
        <v/>
      </c>
      <c r="W1689" s="45" t="str">
        <f>IFERROR(VLOOKUP(B1689,'Pre-Summary'!$Y$6:$AD$83,6,FALSE),"")</f>
        <v/>
      </c>
      <c r="X1689" t="str">
        <f>IFERROR(VLOOKUP('Pre-Summary'!$DB$6:$DD$63,3,FALSE),"")</f>
        <v/>
      </c>
      <c r="Y1689" t="str">
        <f>IFERROR(VLOOKUP(B1689,'Pre-Summary'!$CR$6:$CT$36,3,FALSE),"")</f>
        <v/>
      </c>
      <c r="Z1689" s="45" t="str">
        <f>IFERROR(VLOOKUP(B1689,'Pre-Summary'!$BZ$6:$CB$63,2,FALSE),"")</f>
        <v/>
      </c>
      <c r="AA1689" s="45" t="str">
        <f>IFERROR(VLOOKUP(B1689,'Pre-Summary'!$CG$6:$CI$70,2,FALSE),"")</f>
        <v/>
      </c>
      <c r="AB1689" s="99">
        <f>IFERROR(VLOOKUP(B1689,'Pre-Summary'!$A$6:$P$178,9,FALSE),AB1690)</f>
        <v>0.52497458603258629</v>
      </c>
      <c r="AC1689" s="10">
        <f>IFERROR(VLOOKUP(Summary!B1689,'Pre-Summary'!$A$6:$P$184,5, FALSE)/100,AC1690)</f>
        <v>0.62658066666666667</v>
      </c>
      <c r="AD1689" s="10">
        <f>IFERROR(VLOOKUP(Summary!B1689,'Pre-Summary'!$A$6:$P$184,3, FALSE)/100,AD1690)</f>
        <v>0.37177033333333331</v>
      </c>
      <c r="AE1689" s="10">
        <f>IFERROR(VLOOKUP(Summary!B1689,'Pre-Summary'!$A$6:$P$184,7, FALSE)/100,AE1690)</f>
        <v>1.6493333333333334E-3</v>
      </c>
      <c r="AF1689" s="99">
        <f t="shared" si="79"/>
        <v>0.19516997684086326</v>
      </c>
      <c r="AG1689" s="99">
        <f t="shared" si="80"/>
        <v>8.6585808389641234E-4</v>
      </c>
      <c r="AH1689" s="10" t="str">
        <f>IFERROR(VLOOKUP(B1689,'Pre-Summary'!$AZ$6:$BE$65,3,FALSE),"")</f>
        <v/>
      </c>
      <c r="AI1689" s="10" t="str">
        <f>IFERROR(VLOOKUP(B1689,'Pre-Summary'!$AZ$6:$BE$65,5,FALSE),"")</f>
        <v/>
      </c>
      <c r="AJ1689" s="10" t="str">
        <f>IFERROR(VLOOKUP(B1689,'Pre-Summary'!$AZ$6:$BE$65,4,FALSE),"")</f>
        <v/>
      </c>
      <c r="AK1689" s="10" t="str">
        <f>IFERROR(VLOOKUP(B1689,'Pre-Summary'!$AZ$6:$BE$65,6,FALSE),"")</f>
        <v/>
      </c>
      <c r="AL1689" s="10" t="str">
        <f>IFERROR(VLOOKUP(B1689,'Pre-Summary'!$BG$6:$BL$44,3,FALSE),"")</f>
        <v/>
      </c>
      <c r="AM1689" s="10" t="str">
        <f>IFERROR(VLOOKUP(B1689,'Pre-Summary'!$BG$6:$BL$44,4,FALSE),"")</f>
        <v/>
      </c>
    </row>
    <row r="1690" spans="2:39" ht="15" customHeight="1" x14ac:dyDescent="0.3">
      <c r="B1690">
        <v>168.7</v>
      </c>
      <c r="C1690" t="str">
        <f>IFERROR(VLOOKUP(B1690,'Pre-Summary'!$DI$6:$DM$23,4,FALSE),"")</f>
        <v/>
      </c>
      <c r="D1690" s="10" t="str">
        <f>IFERROR(VLOOKUP(B1690,'Pre-Summary'!$AT$6:$AX$14,5,FALSE),D1689)</f>
        <v>Wolfe v3: went back to modified wolfe + EDTA and switched CuSO4 to CUCl2</v>
      </c>
      <c r="E1690" s="10" t="str">
        <f>IFERROR(VLOOKUP(B1690,'Pre-Summary'!$AT$6:$AX$15,4,FALSE),"")</f>
        <v/>
      </c>
      <c r="F1690">
        <f>IFERROR(VLOOKUP(B1690,'Pre-Summary'!$AL$6:$AQ$13,6,FALSE),F1689)</f>
        <v>5.9405263157894746E-2</v>
      </c>
      <c r="G1690" t="str">
        <f>IFERROR(VLOOKUP(B1690,'Pre-Summary'!$AE$6:$AJ$85,3,FALSE),"")</f>
        <v/>
      </c>
      <c r="H1690" t="str">
        <f>IFERROR(VLOOKUP(B1690,'Pre-Summary'!$AE$6:$AJ$85,4,FALSE),"")</f>
        <v/>
      </c>
      <c r="I1690" t="str">
        <f>IFERROR(VLOOKUP(B1690,'Pre-Summary'!$AE$6:$AJ$85,5,FALSE),"")</f>
        <v/>
      </c>
      <c r="J1690" s="45" t="str">
        <f>IFERROR(VLOOKUP(B1690,'Pre-Summary'!$AE$6:$AJ$85,6, FALSE),"")</f>
        <v/>
      </c>
      <c r="K1690" s="45" t="str">
        <f>IFERROR(VLOOKUP(B1690,'Pre-Summary'!$DE$6:$DG$61,3,FALSE),"")</f>
        <v/>
      </c>
      <c r="L1690" s="45" t="str">
        <f>IFERROR(VLOOKUP(B1690,'Pre-Summary'!$CU$6:$CW$36,3,FALSE),"")</f>
        <v/>
      </c>
      <c r="M1690" s="45" t="str">
        <f>IFERROR(VLOOKUP(B1690,'Pre-Summary'!$BW$6:$BY$58,2,FALSE),"")</f>
        <v/>
      </c>
      <c r="N1690" s="45" t="str">
        <f>IFERROR(VLOOKUP(B1690,'Pre-Summary'!$CD$6:$CF$64,2,FALSE),"")</f>
        <v/>
      </c>
      <c r="O1690" s="99">
        <f>IFERROR(VLOOKUP(B1690,'Pre-Summary'!$BO$6:$BQ$48,3, FALSE),O1689)</f>
        <v>1.25</v>
      </c>
      <c r="P1690" s="99">
        <f>IFERROR(VLOOKUP(B1690,'Pre-Summary'!$BS$6:$BU$35,3,FALSE),P1689)</f>
        <v>0.3</v>
      </c>
      <c r="Q1690" s="54">
        <f t="shared" si="78"/>
        <v>4.166666666666667</v>
      </c>
      <c r="R1690" s="53">
        <f>IFERROR(VLOOKUP(B1690,'Pre-Summary'!$BG$6:$BM$44,7,FALSE),R1691)</f>
        <v>8.0894687007659741E-2</v>
      </c>
      <c r="S1690" s="53">
        <f>IFERROR(VLOOKUP(B1690,'Pre-Summary'!$BG$6:$BM$44,6,FALSE),S1691)</f>
        <v>6.1014931296205117E-2</v>
      </c>
      <c r="T1690" s="45" t="str">
        <f>IFERROR(VLOOKUP(B1690,'Pre-Summary'!$Y$6:$AC$83, 3,FALSE),"")</f>
        <v/>
      </c>
      <c r="U1690" s="45" t="str">
        <f>IFERROR(VLOOKUP(B1690,'Pre-Summary'!$Y$6:$AC$83, 4,FALSE),"")</f>
        <v/>
      </c>
      <c r="V1690" t="str">
        <f>IFERROR(VLOOKUP(B1690,'Pre-Summary'!$Y$6:$AC$83, 5,FALSE),"")</f>
        <v/>
      </c>
      <c r="W1690" s="45" t="str">
        <f>IFERROR(VLOOKUP(B1690,'Pre-Summary'!$Y$6:$AD$83,6,FALSE),"")</f>
        <v/>
      </c>
      <c r="X1690" t="str">
        <f>IFERROR(VLOOKUP('Pre-Summary'!$DB$6:$DD$63,3,FALSE),"")</f>
        <v/>
      </c>
      <c r="Y1690" t="str">
        <f>IFERROR(VLOOKUP(B1690,'Pre-Summary'!$CR$6:$CT$36,3,FALSE),"")</f>
        <v/>
      </c>
      <c r="Z1690" s="45" t="str">
        <f>IFERROR(VLOOKUP(B1690,'Pre-Summary'!$BZ$6:$CB$63,2,FALSE),"")</f>
        <v/>
      </c>
      <c r="AA1690" s="45" t="str">
        <f>IFERROR(VLOOKUP(B1690,'Pre-Summary'!$CG$6:$CI$70,2,FALSE),"")</f>
        <v/>
      </c>
      <c r="AB1690" s="99">
        <f>IFERROR(VLOOKUP(B1690,'Pre-Summary'!$A$6:$P$178,9,FALSE),AB1691)</f>
        <v>0.52497458603258629</v>
      </c>
      <c r="AC1690" s="10">
        <f>IFERROR(VLOOKUP(Summary!B1690,'Pre-Summary'!$A$6:$P$184,5, FALSE)/100,AC1691)</f>
        <v>0.62658066666666667</v>
      </c>
      <c r="AD1690" s="10">
        <f>IFERROR(VLOOKUP(Summary!B1690,'Pre-Summary'!$A$6:$P$184,3, FALSE)/100,AD1691)</f>
        <v>0.37177033333333331</v>
      </c>
      <c r="AE1690" s="10">
        <f>IFERROR(VLOOKUP(Summary!B1690,'Pre-Summary'!$A$6:$P$184,7, FALSE)/100,AE1691)</f>
        <v>1.6493333333333334E-3</v>
      </c>
      <c r="AF1690" s="99">
        <f t="shared" si="79"/>
        <v>0.19516997684086326</v>
      </c>
      <c r="AG1690" s="99">
        <f t="shared" si="80"/>
        <v>8.6585808389641234E-4</v>
      </c>
      <c r="AH1690" s="10" t="str">
        <f>IFERROR(VLOOKUP(B1690,'Pre-Summary'!$AZ$6:$BE$65,3,FALSE),"")</f>
        <v/>
      </c>
      <c r="AI1690" s="10" t="str">
        <f>IFERROR(VLOOKUP(B1690,'Pre-Summary'!$AZ$6:$BE$65,5,FALSE),"")</f>
        <v/>
      </c>
      <c r="AJ1690" s="10" t="str">
        <f>IFERROR(VLOOKUP(B1690,'Pre-Summary'!$AZ$6:$BE$65,4,FALSE),"")</f>
        <v/>
      </c>
      <c r="AK1690" s="10" t="str">
        <f>IFERROR(VLOOKUP(B1690,'Pre-Summary'!$AZ$6:$BE$65,6,FALSE),"")</f>
        <v/>
      </c>
      <c r="AL1690" s="10" t="str">
        <f>IFERROR(VLOOKUP(B1690,'Pre-Summary'!$BG$6:$BL$44,3,FALSE),"")</f>
        <v/>
      </c>
      <c r="AM1690" s="10" t="str">
        <f>IFERROR(VLOOKUP(B1690,'Pre-Summary'!$BG$6:$BL$44,4,FALSE),"")</f>
        <v/>
      </c>
    </row>
    <row r="1691" spans="2:39" ht="15" customHeight="1" x14ac:dyDescent="0.3">
      <c r="B1691">
        <v>168.8</v>
      </c>
      <c r="C1691" t="str">
        <f>IFERROR(VLOOKUP(B1691,'Pre-Summary'!$DI$6:$DM$23,4,FALSE),"")</f>
        <v/>
      </c>
      <c r="D1691" s="10" t="str">
        <f>IFERROR(VLOOKUP(B1691,'Pre-Summary'!$AT$6:$AX$14,5,FALSE),D1690)</f>
        <v>Wolfe v3: went back to modified wolfe + EDTA and switched CuSO4 to CUCl2</v>
      </c>
      <c r="E1691" s="10" t="str">
        <f>IFERROR(VLOOKUP(B1691,'Pre-Summary'!$AT$6:$AX$15,4,FALSE),"")</f>
        <v/>
      </c>
      <c r="F1691">
        <f>IFERROR(VLOOKUP(B1691,'Pre-Summary'!$AL$6:$AQ$13,6,FALSE),F1690)</f>
        <v>5.9405263157894746E-2</v>
      </c>
      <c r="G1691" t="str">
        <f>IFERROR(VLOOKUP(B1691,'Pre-Summary'!$AE$6:$AJ$85,3,FALSE),"")</f>
        <v/>
      </c>
      <c r="H1691" t="str">
        <f>IFERROR(VLOOKUP(B1691,'Pre-Summary'!$AE$6:$AJ$85,4,FALSE),"")</f>
        <v/>
      </c>
      <c r="I1691" t="str">
        <f>IFERROR(VLOOKUP(B1691,'Pre-Summary'!$AE$6:$AJ$85,5,FALSE),"")</f>
        <v/>
      </c>
      <c r="J1691" s="45" t="str">
        <f>IFERROR(VLOOKUP(B1691,'Pre-Summary'!$AE$6:$AJ$85,6, FALSE),"")</f>
        <v/>
      </c>
      <c r="K1691" s="45" t="str">
        <f>IFERROR(VLOOKUP(B1691,'Pre-Summary'!$DE$6:$DG$61,3,FALSE),"")</f>
        <v/>
      </c>
      <c r="L1691" s="45" t="str">
        <f>IFERROR(VLOOKUP(B1691,'Pre-Summary'!$CU$6:$CW$36,3,FALSE),"")</f>
        <v/>
      </c>
      <c r="M1691" s="45" t="str">
        <f>IFERROR(VLOOKUP(B1691,'Pre-Summary'!$BW$6:$BY$58,2,FALSE),"")</f>
        <v/>
      </c>
      <c r="N1691" s="45" t="str">
        <f>IFERROR(VLOOKUP(B1691,'Pre-Summary'!$CD$6:$CF$64,2,FALSE),"")</f>
        <v/>
      </c>
      <c r="O1691" s="99">
        <f>IFERROR(VLOOKUP(B1691,'Pre-Summary'!$BO$6:$BQ$48,3, FALSE),O1690)</f>
        <v>1.25</v>
      </c>
      <c r="P1691" s="99">
        <f>IFERROR(VLOOKUP(B1691,'Pre-Summary'!$BS$6:$BU$35,3,FALSE),P1690)</f>
        <v>0.3</v>
      </c>
      <c r="Q1691" s="54">
        <f t="shared" si="78"/>
        <v>4.166666666666667</v>
      </c>
      <c r="R1691" s="53">
        <f>IFERROR(VLOOKUP(B1691,'Pre-Summary'!$BG$6:$BM$44,7,FALSE),R1692)</f>
        <v>8.0894687007659741E-2</v>
      </c>
      <c r="S1691" s="53">
        <f>IFERROR(VLOOKUP(B1691,'Pre-Summary'!$BG$6:$BM$44,6,FALSE),S1692)</f>
        <v>6.1014931296205117E-2</v>
      </c>
      <c r="T1691" s="45" t="str">
        <f>IFERROR(VLOOKUP(B1691,'Pre-Summary'!$Y$6:$AC$83, 3,FALSE),"")</f>
        <v/>
      </c>
      <c r="U1691" s="45" t="str">
        <f>IFERROR(VLOOKUP(B1691,'Pre-Summary'!$Y$6:$AC$83, 4,FALSE),"")</f>
        <v/>
      </c>
      <c r="V1691" t="str">
        <f>IFERROR(VLOOKUP(B1691,'Pre-Summary'!$Y$6:$AC$83, 5,FALSE),"")</f>
        <v/>
      </c>
      <c r="W1691" s="45" t="str">
        <f>IFERROR(VLOOKUP(B1691,'Pre-Summary'!$Y$6:$AD$83,6,FALSE),"")</f>
        <v/>
      </c>
      <c r="X1691" t="str">
        <f>IFERROR(VLOOKUP('Pre-Summary'!$DB$6:$DD$63,3,FALSE),"")</f>
        <v/>
      </c>
      <c r="Y1691" t="str">
        <f>IFERROR(VLOOKUP(B1691,'Pre-Summary'!$CR$6:$CT$36,3,FALSE),"")</f>
        <v/>
      </c>
      <c r="Z1691" s="45" t="str">
        <f>IFERROR(VLOOKUP(B1691,'Pre-Summary'!$BZ$6:$CB$63,2,FALSE),"")</f>
        <v/>
      </c>
      <c r="AA1691" s="45" t="str">
        <f>IFERROR(VLOOKUP(B1691,'Pre-Summary'!$CG$6:$CI$70,2,FALSE),"")</f>
        <v/>
      </c>
      <c r="AB1691" s="99">
        <f>IFERROR(VLOOKUP(B1691,'Pre-Summary'!$A$6:$P$178,9,FALSE),AB1692)</f>
        <v>0.52497458603258629</v>
      </c>
      <c r="AC1691" s="10">
        <f>IFERROR(VLOOKUP(Summary!B1691,'Pre-Summary'!$A$6:$P$184,5, FALSE)/100,AC1692)</f>
        <v>0.62658066666666667</v>
      </c>
      <c r="AD1691" s="10">
        <f>IFERROR(VLOOKUP(Summary!B1691,'Pre-Summary'!$A$6:$P$184,3, FALSE)/100,AD1692)</f>
        <v>0.37177033333333331</v>
      </c>
      <c r="AE1691" s="10">
        <f>IFERROR(VLOOKUP(Summary!B1691,'Pre-Summary'!$A$6:$P$184,7, FALSE)/100,AE1692)</f>
        <v>1.6493333333333334E-3</v>
      </c>
      <c r="AF1691" s="99">
        <f t="shared" si="79"/>
        <v>0.19516997684086326</v>
      </c>
      <c r="AG1691" s="99">
        <f t="shared" si="80"/>
        <v>8.6585808389641234E-4</v>
      </c>
      <c r="AH1691" s="10" t="str">
        <f>IFERROR(VLOOKUP(B1691,'Pre-Summary'!$AZ$6:$BE$65,3,FALSE),"")</f>
        <v/>
      </c>
      <c r="AI1691" s="10" t="str">
        <f>IFERROR(VLOOKUP(B1691,'Pre-Summary'!$AZ$6:$BE$65,5,FALSE),"")</f>
        <v/>
      </c>
      <c r="AJ1691" s="10" t="str">
        <f>IFERROR(VLOOKUP(B1691,'Pre-Summary'!$AZ$6:$BE$65,4,FALSE),"")</f>
        <v/>
      </c>
      <c r="AK1691" s="10" t="str">
        <f>IFERROR(VLOOKUP(B1691,'Pre-Summary'!$AZ$6:$BE$65,6,FALSE),"")</f>
        <v/>
      </c>
      <c r="AL1691" s="10" t="str">
        <f>IFERROR(VLOOKUP(B1691,'Pre-Summary'!$BG$6:$BL$44,3,FALSE),"")</f>
        <v/>
      </c>
      <c r="AM1691" s="10" t="str">
        <f>IFERROR(VLOOKUP(B1691,'Pre-Summary'!$BG$6:$BL$44,4,FALSE),"")</f>
        <v/>
      </c>
    </row>
    <row r="1692" spans="2:39" ht="15" customHeight="1" x14ac:dyDescent="0.3">
      <c r="B1692">
        <v>168.9</v>
      </c>
      <c r="C1692" t="str">
        <f>IFERROR(VLOOKUP(B1692,'Pre-Summary'!$DI$6:$DM$23,4,FALSE),"")</f>
        <v/>
      </c>
      <c r="D1692" s="10" t="str">
        <f>IFERROR(VLOOKUP(B1692,'Pre-Summary'!$AT$6:$AX$14,5,FALSE),D1691)</f>
        <v>Wolfe v3: went back to modified wolfe + EDTA and switched CuSO4 to CUCl2</v>
      </c>
      <c r="E1692" s="10" t="str">
        <f>IFERROR(VLOOKUP(B1692,'Pre-Summary'!$AT$6:$AX$15,4,FALSE),"")</f>
        <v/>
      </c>
      <c r="F1692">
        <f>IFERROR(VLOOKUP(B1692,'Pre-Summary'!$AL$6:$AQ$13,6,FALSE),F1691)</f>
        <v>5.9405263157894746E-2</v>
      </c>
      <c r="G1692" t="str">
        <f>IFERROR(VLOOKUP(B1692,'Pre-Summary'!$AE$6:$AJ$85,3,FALSE),"")</f>
        <v/>
      </c>
      <c r="H1692" t="str">
        <f>IFERROR(VLOOKUP(B1692,'Pre-Summary'!$AE$6:$AJ$85,4,FALSE),"")</f>
        <v/>
      </c>
      <c r="I1692" t="str">
        <f>IFERROR(VLOOKUP(B1692,'Pre-Summary'!$AE$6:$AJ$85,5,FALSE),"")</f>
        <v/>
      </c>
      <c r="J1692" s="45" t="str">
        <f>IFERROR(VLOOKUP(B1692,'Pre-Summary'!$AE$6:$AJ$85,6, FALSE),"")</f>
        <v/>
      </c>
      <c r="K1692" s="45" t="str">
        <f>IFERROR(VLOOKUP(B1692,'Pre-Summary'!$DE$6:$DG$61,3,FALSE),"")</f>
        <v/>
      </c>
      <c r="L1692" s="45" t="str">
        <f>IFERROR(VLOOKUP(B1692,'Pre-Summary'!$CU$6:$CW$36,3,FALSE),"")</f>
        <v/>
      </c>
      <c r="M1692" s="45" t="str">
        <f>IFERROR(VLOOKUP(B1692,'Pre-Summary'!$BW$6:$BY$58,2,FALSE),"")</f>
        <v/>
      </c>
      <c r="N1692" s="45" t="str">
        <f>IFERROR(VLOOKUP(B1692,'Pre-Summary'!$CD$6:$CF$64,2,FALSE),"")</f>
        <v/>
      </c>
      <c r="O1692" s="99">
        <f>IFERROR(VLOOKUP(B1692,'Pre-Summary'!$BO$6:$BQ$48,3, FALSE),O1691)</f>
        <v>1.25</v>
      </c>
      <c r="P1692" s="99">
        <f>IFERROR(VLOOKUP(B1692,'Pre-Summary'!$BS$6:$BU$35,3,FALSE),P1691)</f>
        <v>0.3</v>
      </c>
      <c r="Q1692" s="54">
        <f t="shared" si="78"/>
        <v>4.166666666666667</v>
      </c>
      <c r="R1692" s="53">
        <f>IFERROR(VLOOKUP(B1692,'Pre-Summary'!$BG$6:$BM$44,7,FALSE),R1693)</f>
        <v>8.0894687007659741E-2</v>
      </c>
      <c r="S1692" s="53">
        <f>IFERROR(VLOOKUP(B1692,'Pre-Summary'!$BG$6:$BM$44,6,FALSE),S1693)</f>
        <v>6.1014931296205117E-2</v>
      </c>
      <c r="T1692" s="45" t="str">
        <f>IFERROR(VLOOKUP(B1692,'Pre-Summary'!$Y$6:$AC$83, 3,FALSE),"")</f>
        <v/>
      </c>
      <c r="U1692" s="45" t="str">
        <f>IFERROR(VLOOKUP(B1692,'Pre-Summary'!$Y$6:$AC$83, 4,FALSE),"")</f>
        <v/>
      </c>
      <c r="V1692" t="str">
        <f>IFERROR(VLOOKUP(B1692,'Pre-Summary'!$Y$6:$AC$83, 5,FALSE),"")</f>
        <v/>
      </c>
      <c r="W1692" s="45" t="str">
        <f>IFERROR(VLOOKUP(B1692,'Pre-Summary'!$Y$6:$AD$83,6,FALSE),"")</f>
        <v/>
      </c>
      <c r="X1692" t="str">
        <f>IFERROR(VLOOKUP('Pre-Summary'!$DB$6:$DD$63,3,FALSE),"")</f>
        <v/>
      </c>
      <c r="Y1692" t="str">
        <f>IFERROR(VLOOKUP(B1692,'Pre-Summary'!$CR$6:$CT$36,3,FALSE),"")</f>
        <v/>
      </c>
      <c r="Z1692" s="45" t="str">
        <f>IFERROR(VLOOKUP(B1692,'Pre-Summary'!$BZ$6:$CB$63,2,FALSE),"")</f>
        <v/>
      </c>
      <c r="AA1692" s="45" t="str">
        <f>IFERROR(VLOOKUP(B1692,'Pre-Summary'!$CG$6:$CI$70,2,FALSE),"")</f>
        <v/>
      </c>
      <c r="AB1692" s="99">
        <f>IFERROR(VLOOKUP(B1692,'Pre-Summary'!$A$6:$P$178,9,FALSE),AB1693)</f>
        <v>0.52497458603258629</v>
      </c>
      <c r="AC1692" s="10">
        <f>IFERROR(VLOOKUP(Summary!B1692,'Pre-Summary'!$A$6:$P$184,5, FALSE)/100,AC1693)</f>
        <v>0.62658066666666667</v>
      </c>
      <c r="AD1692" s="10">
        <f>IFERROR(VLOOKUP(Summary!B1692,'Pre-Summary'!$A$6:$P$184,3, FALSE)/100,AD1693)</f>
        <v>0.37177033333333331</v>
      </c>
      <c r="AE1692" s="10">
        <f>IFERROR(VLOOKUP(Summary!B1692,'Pre-Summary'!$A$6:$P$184,7, FALSE)/100,AE1693)</f>
        <v>1.6493333333333334E-3</v>
      </c>
      <c r="AF1692" s="99">
        <f t="shared" si="79"/>
        <v>0.19516997684086326</v>
      </c>
      <c r="AG1692" s="99">
        <f t="shared" si="80"/>
        <v>8.6585808389641234E-4</v>
      </c>
      <c r="AH1692" s="10" t="str">
        <f>IFERROR(VLOOKUP(B1692,'Pre-Summary'!$AZ$6:$BE$65,3,FALSE),"")</f>
        <v/>
      </c>
      <c r="AI1692" s="10" t="str">
        <f>IFERROR(VLOOKUP(B1692,'Pre-Summary'!$AZ$6:$BE$65,5,FALSE),"")</f>
        <v/>
      </c>
      <c r="AJ1692" s="10" t="str">
        <f>IFERROR(VLOOKUP(B1692,'Pre-Summary'!$AZ$6:$BE$65,4,FALSE),"")</f>
        <v/>
      </c>
      <c r="AK1692" s="10" t="str">
        <f>IFERROR(VLOOKUP(B1692,'Pre-Summary'!$AZ$6:$BE$65,6,FALSE),"")</f>
        <v/>
      </c>
      <c r="AL1692" s="10" t="str">
        <f>IFERROR(VLOOKUP(B1692,'Pre-Summary'!$BG$6:$BL$44,3,FALSE),"")</f>
        <v/>
      </c>
      <c r="AM1692" s="10" t="str">
        <f>IFERROR(VLOOKUP(B1692,'Pre-Summary'!$BG$6:$BL$44,4,FALSE),"")</f>
        <v/>
      </c>
    </row>
    <row r="1693" spans="2:39" ht="15" customHeight="1" x14ac:dyDescent="0.3">
      <c r="B1693">
        <v>169</v>
      </c>
      <c r="C1693" t="str">
        <f>IFERROR(VLOOKUP(B1693,'Pre-Summary'!$DI$6:$DM$23,4,FALSE),"")</f>
        <v/>
      </c>
      <c r="D1693" s="10" t="str">
        <f>IFERROR(VLOOKUP(B1693,'Pre-Summary'!$AT$6:$AX$14,5,FALSE),D1692)</f>
        <v>Wolfe v3: went back to modified wolfe + EDTA and switched CuSO4 to CUCl2</v>
      </c>
      <c r="E1693" s="10" t="str">
        <f>IFERROR(VLOOKUP(B1693,'Pre-Summary'!$AT$6:$AX$15,4,FALSE),"")</f>
        <v/>
      </c>
      <c r="F1693">
        <f>IFERROR(VLOOKUP(B1693,'Pre-Summary'!$AL$6:$AQ$13,6,FALSE),F1692)</f>
        <v>5.9405263157894746E-2</v>
      </c>
      <c r="G1693" t="str">
        <f>IFERROR(VLOOKUP(B1693,'Pre-Summary'!$AE$6:$AJ$85,3,FALSE),"")</f>
        <v/>
      </c>
      <c r="H1693" t="str">
        <f>IFERROR(VLOOKUP(B1693,'Pre-Summary'!$AE$6:$AJ$85,4,FALSE),"")</f>
        <v/>
      </c>
      <c r="I1693" t="str">
        <f>IFERROR(VLOOKUP(B1693,'Pre-Summary'!$AE$6:$AJ$85,5,FALSE),"")</f>
        <v/>
      </c>
      <c r="J1693" s="45" t="str">
        <f>IFERROR(VLOOKUP(B1693,'Pre-Summary'!$AE$6:$AJ$85,6, FALSE),"")</f>
        <v/>
      </c>
      <c r="K1693" s="45" t="str">
        <f>IFERROR(VLOOKUP(B1693,'Pre-Summary'!$DE$6:$DG$61,3,FALSE),"")</f>
        <v/>
      </c>
      <c r="L1693" s="45" t="str">
        <f>IFERROR(VLOOKUP(B1693,'Pre-Summary'!$CU$6:$CW$36,3,FALSE),"")</f>
        <v/>
      </c>
      <c r="M1693" s="45" t="str">
        <f>IFERROR(VLOOKUP(B1693,'Pre-Summary'!$BW$6:$BY$58,2,FALSE),"")</f>
        <v/>
      </c>
      <c r="N1693" s="45" t="str">
        <f>IFERROR(VLOOKUP(B1693,'Pre-Summary'!$CD$6:$CF$64,2,FALSE),"")</f>
        <v/>
      </c>
      <c r="O1693" s="99">
        <f>IFERROR(VLOOKUP(B1693,'Pre-Summary'!$BO$6:$BQ$48,3, FALSE),O1692)</f>
        <v>1.25</v>
      </c>
      <c r="P1693" s="99">
        <f>IFERROR(VLOOKUP(B1693,'Pre-Summary'!$BS$6:$BU$35,3,FALSE),P1692)</f>
        <v>0.3</v>
      </c>
      <c r="Q1693" s="54">
        <f t="shared" si="78"/>
        <v>4.166666666666667</v>
      </c>
      <c r="R1693" s="53">
        <f>IFERROR(VLOOKUP(B1693,'Pre-Summary'!$BG$6:$BM$44,7,FALSE),R1694)</f>
        <v>8.0894687007659741E-2</v>
      </c>
      <c r="S1693" s="53">
        <f>IFERROR(VLOOKUP(B1693,'Pre-Summary'!$BG$6:$BM$44,6,FALSE),S1694)</f>
        <v>6.1014931296205117E-2</v>
      </c>
      <c r="T1693" s="45" t="str">
        <f>IFERROR(VLOOKUP(B1693,'Pre-Summary'!$Y$6:$AC$83, 3,FALSE),"")</f>
        <v/>
      </c>
      <c r="U1693" s="45" t="str">
        <f>IFERROR(VLOOKUP(B1693,'Pre-Summary'!$Y$6:$AC$83, 4,FALSE),"")</f>
        <v/>
      </c>
      <c r="V1693" t="str">
        <f>IFERROR(VLOOKUP(B1693,'Pre-Summary'!$Y$6:$AC$83, 5,FALSE),"")</f>
        <v/>
      </c>
      <c r="W1693" s="45" t="str">
        <f>IFERROR(VLOOKUP(B1693,'Pre-Summary'!$Y$6:$AD$83,6,FALSE),"")</f>
        <v/>
      </c>
      <c r="X1693" t="str">
        <f>IFERROR(VLOOKUP('Pre-Summary'!$DB$6:$DD$63,3,FALSE),"")</f>
        <v/>
      </c>
      <c r="Y1693" t="str">
        <f>IFERROR(VLOOKUP(B1693,'Pre-Summary'!$CR$6:$CT$36,3,FALSE),"")</f>
        <v/>
      </c>
      <c r="Z1693" s="45" t="str">
        <f>IFERROR(VLOOKUP(B1693,'Pre-Summary'!$BZ$6:$CB$63,2,FALSE),"")</f>
        <v/>
      </c>
      <c r="AA1693" s="45" t="str">
        <f>IFERROR(VLOOKUP(B1693,'Pre-Summary'!$CG$6:$CI$70,2,FALSE),"")</f>
        <v/>
      </c>
      <c r="AB1693" s="99">
        <f>IFERROR(VLOOKUP(B1693,'Pre-Summary'!$A$6:$P$178,9,FALSE),AB1694)</f>
        <v>0.53610026791870335</v>
      </c>
      <c r="AC1693" s="10">
        <f>IFERROR(VLOOKUP(Summary!B1693,'Pre-Summary'!$A$6:$P$184,5, FALSE)/100,AC1694)</f>
        <v>0.50542533333333328</v>
      </c>
      <c r="AD1693" s="10">
        <f>IFERROR(VLOOKUP(Summary!B1693,'Pre-Summary'!$A$6:$P$184,3, FALSE)/100,AD1694)</f>
        <v>0.49457466666666666</v>
      </c>
      <c r="AE1693" s="10">
        <f>IFERROR(VLOOKUP(Summary!B1693,'Pre-Summary'!$A$6:$P$184,7, FALSE)/100,AE1694)</f>
        <v>0</v>
      </c>
      <c r="AF1693" s="99">
        <f t="shared" si="79"/>
        <v>0.26514161130580338</v>
      </c>
      <c r="AG1693" s="99">
        <f t="shared" si="80"/>
        <v>0</v>
      </c>
      <c r="AH1693" s="10" t="str">
        <f>IFERROR(VLOOKUP(B1693,'Pre-Summary'!$AZ$6:$BE$65,3,FALSE),"")</f>
        <v/>
      </c>
      <c r="AI1693" s="10" t="str">
        <f>IFERROR(VLOOKUP(B1693,'Pre-Summary'!$AZ$6:$BE$65,5,FALSE),"")</f>
        <v/>
      </c>
      <c r="AJ1693" s="10" t="str">
        <f>IFERROR(VLOOKUP(B1693,'Pre-Summary'!$AZ$6:$BE$65,4,FALSE),"")</f>
        <v/>
      </c>
      <c r="AK1693" s="10" t="str">
        <f>IFERROR(VLOOKUP(B1693,'Pre-Summary'!$AZ$6:$BE$65,6,FALSE),"")</f>
        <v/>
      </c>
      <c r="AL1693" s="10" t="str">
        <f>IFERROR(VLOOKUP(B1693,'Pre-Summary'!$BG$6:$BL$44,3,FALSE),"")</f>
        <v/>
      </c>
      <c r="AM1693" s="10" t="str">
        <f>IFERROR(VLOOKUP(B1693,'Pre-Summary'!$BG$6:$BL$44,4,FALSE),"")</f>
        <v/>
      </c>
    </row>
    <row r="1694" spans="2:39" ht="15" customHeight="1" x14ac:dyDescent="0.3">
      <c r="B1694">
        <v>169.1</v>
      </c>
      <c r="C1694" t="str">
        <f>IFERROR(VLOOKUP(B1694,'Pre-Summary'!$DI$6:$DM$23,4,FALSE),"")</f>
        <v/>
      </c>
      <c r="D1694" s="10" t="str">
        <f>IFERROR(VLOOKUP(B1694,'Pre-Summary'!$AT$6:$AX$14,5,FALSE),D1693)</f>
        <v>Wolfe v3: went back to modified wolfe + EDTA and switched CuSO4 to CUCl2</v>
      </c>
      <c r="E1694" s="10" t="str">
        <f>IFERROR(VLOOKUP(B1694,'Pre-Summary'!$AT$6:$AX$15,4,FALSE),"")</f>
        <v/>
      </c>
      <c r="F1694">
        <f>IFERROR(VLOOKUP(B1694,'Pre-Summary'!$AL$6:$AQ$13,6,FALSE),F1693)</f>
        <v>5.9405263157894746E-2</v>
      </c>
      <c r="G1694" t="str">
        <f>IFERROR(VLOOKUP(B1694,'Pre-Summary'!$AE$6:$AJ$85,3,FALSE),"")</f>
        <v/>
      </c>
      <c r="H1694" t="str">
        <f>IFERROR(VLOOKUP(B1694,'Pre-Summary'!$AE$6:$AJ$85,4,FALSE),"")</f>
        <v/>
      </c>
      <c r="I1694" t="str">
        <f>IFERROR(VLOOKUP(B1694,'Pre-Summary'!$AE$6:$AJ$85,5,FALSE),"")</f>
        <v/>
      </c>
      <c r="J1694" s="45" t="str">
        <f>IFERROR(VLOOKUP(B1694,'Pre-Summary'!$AE$6:$AJ$85,6, FALSE),"")</f>
        <v/>
      </c>
      <c r="K1694" s="45" t="str">
        <f>IFERROR(VLOOKUP(B1694,'Pre-Summary'!$DE$6:$DG$61,3,FALSE),"")</f>
        <v/>
      </c>
      <c r="L1694" s="45" t="str">
        <f>IFERROR(VLOOKUP(B1694,'Pre-Summary'!$CU$6:$CW$36,3,FALSE),"")</f>
        <v/>
      </c>
      <c r="M1694" s="45" t="str">
        <f>IFERROR(VLOOKUP(B1694,'Pre-Summary'!$BW$6:$BY$58,2,FALSE),"")</f>
        <v/>
      </c>
      <c r="N1694" s="45" t="str">
        <f>IFERROR(VLOOKUP(B1694,'Pre-Summary'!$CD$6:$CF$64,2,FALSE),"")</f>
        <v/>
      </c>
      <c r="O1694" s="99">
        <f>IFERROR(VLOOKUP(B1694,'Pre-Summary'!$BO$6:$BQ$48,3, FALSE),O1693)</f>
        <v>1.25</v>
      </c>
      <c r="P1694" s="99">
        <f>IFERROR(VLOOKUP(B1694,'Pre-Summary'!$BS$6:$BU$35,3,FALSE),P1693)</f>
        <v>0.3</v>
      </c>
      <c r="Q1694" s="54">
        <f t="shared" si="78"/>
        <v>4.166666666666667</v>
      </c>
      <c r="R1694" s="53">
        <f>IFERROR(VLOOKUP(B1694,'Pre-Summary'!$BG$6:$BM$44,7,FALSE),R1695)</f>
        <v>8.0894687007659741E-2</v>
      </c>
      <c r="S1694" s="53">
        <f>IFERROR(VLOOKUP(B1694,'Pre-Summary'!$BG$6:$BM$44,6,FALSE),S1695)</f>
        <v>6.1014931296205117E-2</v>
      </c>
      <c r="T1694" s="45" t="str">
        <f>IFERROR(VLOOKUP(B1694,'Pre-Summary'!$Y$6:$AC$83, 3,FALSE),"")</f>
        <v/>
      </c>
      <c r="U1694" s="45" t="str">
        <f>IFERROR(VLOOKUP(B1694,'Pre-Summary'!$Y$6:$AC$83, 4,FALSE),"")</f>
        <v/>
      </c>
      <c r="V1694" t="str">
        <f>IFERROR(VLOOKUP(B1694,'Pre-Summary'!$Y$6:$AC$83, 5,FALSE),"")</f>
        <v/>
      </c>
      <c r="W1694" s="45" t="str">
        <f>IFERROR(VLOOKUP(B1694,'Pre-Summary'!$Y$6:$AD$83,6,FALSE),"")</f>
        <v/>
      </c>
      <c r="X1694" t="str">
        <f>IFERROR(VLOOKUP('Pre-Summary'!$DB$6:$DD$63,3,FALSE),"")</f>
        <v/>
      </c>
      <c r="Y1694" t="str">
        <f>IFERROR(VLOOKUP(B1694,'Pre-Summary'!$CR$6:$CT$36,3,FALSE),"")</f>
        <v/>
      </c>
      <c r="Z1694" s="45" t="str">
        <f>IFERROR(VLOOKUP(B1694,'Pre-Summary'!$BZ$6:$CB$63,2,FALSE),"")</f>
        <v/>
      </c>
      <c r="AA1694" s="45" t="str">
        <f>IFERROR(VLOOKUP(B1694,'Pre-Summary'!$CG$6:$CI$70,2,FALSE),"")</f>
        <v/>
      </c>
      <c r="AB1694" s="99">
        <f>IFERROR(VLOOKUP(B1694,'Pre-Summary'!$A$6:$P$178,9,FALSE),AB1695)</f>
        <v>0.53610026791870335</v>
      </c>
      <c r="AC1694" s="10">
        <f>IFERROR(VLOOKUP(Summary!B1694,'Pre-Summary'!$A$6:$P$184,5, FALSE)/100,AC1695)</f>
        <v>0.50542533333333328</v>
      </c>
      <c r="AD1694" s="10">
        <f>IFERROR(VLOOKUP(Summary!B1694,'Pre-Summary'!$A$6:$P$184,3, FALSE)/100,AD1695)</f>
        <v>0.49457466666666666</v>
      </c>
      <c r="AE1694" s="10">
        <f>IFERROR(VLOOKUP(Summary!B1694,'Pre-Summary'!$A$6:$P$184,7, FALSE)/100,AE1695)</f>
        <v>0</v>
      </c>
      <c r="AF1694" s="99">
        <f t="shared" si="79"/>
        <v>0.26514161130580338</v>
      </c>
      <c r="AG1694" s="99">
        <f t="shared" si="80"/>
        <v>0</v>
      </c>
      <c r="AH1694" s="10" t="str">
        <f>IFERROR(VLOOKUP(B1694,'Pre-Summary'!$AZ$6:$BE$65,3,FALSE),"")</f>
        <v/>
      </c>
      <c r="AI1694" s="10" t="str">
        <f>IFERROR(VLOOKUP(B1694,'Pre-Summary'!$AZ$6:$BE$65,5,FALSE),"")</f>
        <v/>
      </c>
      <c r="AJ1694" s="10" t="str">
        <f>IFERROR(VLOOKUP(B1694,'Pre-Summary'!$AZ$6:$BE$65,4,FALSE),"")</f>
        <v/>
      </c>
      <c r="AK1694" s="10" t="str">
        <f>IFERROR(VLOOKUP(B1694,'Pre-Summary'!$AZ$6:$BE$65,6,FALSE),"")</f>
        <v/>
      </c>
      <c r="AL1694" s="10" t="str">
        <f>IFERROR(VLOOKUP(B1694,'Pre-Summary'!$BG$6:$BL$44,3,FALSE),"")</f>
        <v/>
      </c>
      <c r="AM1694" s="10" t="str">
        <f>IFERROR(VLOOKUP(B1694,'Pre-Summary'!$BG$6:$BL$44,4,FALSE),"")</f>
        <v/>
      </c>
    </row>
    <row r="1695" spans="2:39" ht="15" customHeight="1" x14ac:dyDescent="0.3">
      <c r="B1695">
        <v>169.2</v>
      </c>
      <c r="C1695" t="str">
        <f>IFERROR(VLOOKUP(B1695,'Pre-Summary'!$DI$6:$DM$23,4,FALSE),"")</f>
        <v/>
      </c>
      <c r="D1695" s="10" t="str">
        <f>IFERROR(VLOOKUP(B1695,'Pre-Summary'!$AT$6:$AX$14,5,FALSE),D1694)</f>
        <v>Wolfe v3: went back to modified wolfe + EDTA and switched CuSO4 to CUCl2</v>
      </c>
      <c r="E1695" s="10" t="str">
        <f>IFERROR(VLOOKUP(B1695,'Pre-Summary'!$AT$6:$AX$15,4,FALSE),"")</f>
        <v/>
      </c>
      <c r="F1695">
        <f>IFERROR(VLOOKUP(B1695,'Pre-Summary'!$AL$6:$AQ$13,6,FALSE),F1694)</f>
        <v>5.9405263157894746E-2</v>
      </c>
      <c r="G1695" t="str">
        <f>IFERROR(VLOOKUP(B1695,'Pre-Summary'!$AE$6:$AJ$85,3,FALSE),"")</f>
        <v/>
      </c>
      <c r="H1695" t="str">
        <f>IFERROR(VLOOKUP(B1695,'Pre-Summary'!$AE$6:$AJ$85,4,FALSE),"")</f>
        <v/>
      </c>
      <c r="I1695" t="str">
        <f>IFERROR(VLOOKUP(B1695,'Pre-Summary'!$AE$6:$AJ$85,5,FALSE),"")</f>
        <v/>
      </c>
      <c r="J1695" s="45" t="str">
        <f>IFERROR(VLOOKUP(B1695,'Pre-Summary'!$AE$6:$AJ$85,6, FALSE),"")</f>
        <v/>
      </c>
      <c r="K1695" s="45" t="str">
        <f>IFERROR(VLOOKUP(B1695,'Pre-Summary'!$DE$6:$DG$61,3,FALSE),"")</f>
        <v/>
      </c>
      <c r="L1695" s="45" t="str">
        <f>IFERROR(VLOOKUP(B1695,'Pre-Summary'!$CU$6:$CW$36,3,FALSE),"")</f>
        <v/>
      </c>
      <c r="M1695" s="45" t="str">
        <f>IFERROR(VLOOKUP(B1695,'Pre-Summary'!$BW$6:$BY$58,2,FALSE),"")</f>
        <v/>
      </c>
      <c r="N1695" s="45" t="str">
        <f>IFERROR(VLOOKUP(B1695,'Pre-Summary'!$CD$6:$CF$64,2,FALSE),"")</f>
        <v/>
      </c>
      <c r="O1695" s="99">
        <f>IFERROR(VLOOKUP(B1695,'Pre-Summary'!$BO$6:$BQ$48,3, FALSE),O1694)</f>
        <v>1.25</v>
      </c>
      <c r="P1695" s="99">
        <f>IFERROR(VLOOKUP(B1695,'Pre-Summary'!$BS$6:$BU$35,3,FALSE),P1694)</f>
        <v>0.3</v>
      </c>
      <c r="Q1695" s="54">
        <f t="shared" si="78"/>
        <v>4.166666666666667</v>
      </c>
      <c r="R1695" s="53">
        <f>IFERROR(VLOOKUP(B1695,'Pre-Summary'!$BG$6:$BM$44,7,FALSE),R1696)</f>
        <v>8.0894687007659741E-2</v>
      </c>
      <c r="S1695" s="53">
        <f>IFERROR(VLOOKUP(B1695,'Pre-Summary'!$BG$6:$BM$44,6,FALSE),S1696)</f>
        <v>6.1014931296205117E-2</v>
      </c>
      <c r="T1695" s="45" t="str">
        <f>IFERROR(VLOOKUP(B1695,'Pre-Summary'!$Y$6:$AC$83, 3,FALSE),"")</f>
        <v/>
      </c>
      <c r="U1695" s="45" t="str">
        <f>IFERROR(VLOOKUP(B1695,'Pre-Summary'!$Y$6:$AC$83, 4,FALSE),"")</f>
        <v/>
      </c>
      <c r="V1695" t="str">
        <f>IFERROR(VLOOKUP(B1695,'Pre-Summary'!$Y$6:$AC$83, 5,FALSE),"")</f>
        <v/>
      </c>
      <c r="W1695" s="45" t="str">
        <f>IFERROR(VLOOKUP(B1695,'Pre-Summary'!$Y$6:$AD$83,6,FALSE),"")</f>
        <v/>
      </c>
      <c r="X1695" t="str">
        <f>IFERROR(VLOOKUP('Pre-Summary'!$DB$6:$DD$63,3,FALSE),"")</f>
        <v/>
      </c>
      <c r="Y1695" t="str">
        <f>IFERROR(VLOOKUP(B1695,'Pre-Summary'!$CR$6:$CT$36,3,FALSE),"")</f>
        <v/>
      </c>
      <c r="Z1695" s="45" t="str">
        <f>IFERROR(VLOOKUP(B1695,'Pre-Summary'!$BZ$6:$CB$63,2,FALSE),"")</f>
        <v/>
      </c>
      <c r="AA1695" s="45" t="str">
        <f>IFERROR(VLOOKUP(B1695,'Pre-Summary'!$CG$6:$CI$70,2,FALSE),"")</f>
        <v/>
      </c>
      <c r="AB1695" s="99">
        <f>IFERROR(VLOOKUP(B1695,'Pre-Summary'!$A$6:$P$178,9,FALSE),AB1696)</f>
        <v>0.53610026791870335</v>
      </c>
      <c r="AC1695" s="10">
        <f>IFERROR(VLOOKUP(Summary!B1695,'Pre-Summary'!$A$6:$P$184,5, FALSE)/100,AC1696)</f>
        <v>0.50542533333333328</v>
      </c>
      <c r="AD1695" s="10">
        <f>IFERROR(VLOOKUP(Summary!B1695,'Pre-Summary'!$A$6:$P$184,3, FALSE)/100,AD1696)</f>
        <v>0.49457466666666666</v>
      </c>
      <c r="AE1695" s="10">
        <f>IFERROR(VLOOKUP(Summary!B1695,'Pre-Summary'!$A$6:$P$184,7, FALSE)/100,AE1696)</f>
        <v>0</v>
      </c>
      <c r="AF1695" s="99">
        <f t="shared" si="79"/>
        <v>0.26514161130580338</v>
      </c>
      <c r="AG1695" s="99">
        <f t="shared" si="80"/>
        <v>0</v>
      </c>
      <c r="AH1695" s="10" t="str">
        <f>IFERROR(VLOOKUP(B1695,'Pre-Summary'!$AZ$6:$BE$65,3,FALSE),"")</f>
        <v/>
      </c>
      <c r="AI1695" s="10" t="str">
        <f>IFERROR(VLOOKUP(B1695,'Pre-Summary'!$AZ$6:$BE$65,5,FALSE),"")</f>
        <v/>
      </c>
      <c r="AJ1695" s="10" t="str">
        <f>IFERROR(VLOOKUP(B1695,'Pre-Summary'!$AZ$6:$BE$65,4,FALSE),"")</f>
        <v/>
      </c>
      <c r="AK1695" s="10" t="str">
        <f>IFERROR(VLOOKUP(B1695,'Pre-Summary'!$AZ$6:$BE$65,6,FALSE),"")</f>
        <v/>
      </c>
      <c r="AL1695" s="10" t="str">
        <f>IFERROR(VLOOKUP(B1695,'Pre-Summary'!$BG$6:$BL$44,3,FALSE),"")</f>
        <v/>
      </c>
      <c r="AM1695" s="10" t="str">
        <f>IFERROR(VLOOKUP(B1695,'Pre-Summary'!$BG$6:$BL$44,4,FALSE),"")</f>
        <v/>
      </c>
    </row>
    <row r="1696" spans="2:39" ht="15" customHeight="1" x14ac:dyDescent="0.3">
      <c r="B1696">
        <v>169.3</v>
      </c>
      <c r="C1696" t="str">
        <f>IFERROR(VLOOKUP(B1696,'Pre-Summary'!$DI$6:$DM$23,4,FALSE),"")</f>
        <v/>
      </c>
      <c r="D1696" s="10" t="str">
        <f>IFERROR(VLOOKUP(B1696,'Pre-Summary'!$AT$6:$AX$14,5,FALSE),D1695)</f>
        <v>Wolfe v3: went back to modified wolfe + EDTA and switched CuSO4 to CUCl2</v>
      </c>
      <c r="E1696" s="10" t="str">
        <f>IFERROR(VLOOKUP(B1696,'Pre-Summary'!$AT$6:$AX$15,4,FALSE),"")</f>
        <v/>
      </c>
      <c r="F1696">
        <f>IFERROR(VLOOKUP(B1696,'Pre-Summary'!$AL$6:$AQ$13,6,FALSE),F1695)</f>
        <v>5.9405263157894746E-2</v>
      </c>
      <c r="G1696" t="str">
        <f>IFERROR(VLOOKUP(B1696,'Pre-Summary'!$AE$6:$AJ$85,3,FALSE),"")</f>
        <v/>
      </c>
      <c r="H1696" t="str">
        <f>IFERROR(VLOOKUP(B1696,'Pre-Summary'!$AE$6:$AJ$85,4,FALSE),"")</f>
        <v/>
      </c>
      <c r="I1696" t="str">
        <f>IFERROR(VLOOKUP(B1696,'Pre-Summary'!$AE$6:$AJ$85,5,FALSE),"")</f>
        <v/>
      </c>
      <c r="J1696" s="45" t="str">
        <f>IFERROR(VLOOKUP(B1696,'Pre-Summary'!$AE$6:$AJ$85,6, FALSE),"")</f>
        <v/>
      </c>
      <c r="K1696" s="45" t="str">
        <f>IFERROR(VLOOKUP(B1696,'Pre-Summary'!$DE$6:$DG$61,3,FALSE),"")</f>
        <v/>
      </c>
      <c r="L1696" s="45" t="str">
        <f>IFERROR(VLOOKUP(B1696,'Pre-Summary'!$CU$6:$CW$36,3,FALSE),"")</f>
        <v/>
      </c>
      <c r="M1696" s="45" t="str">
        <f>IFERROR(VLOOKUP(B1696,'Pre-Summary'!$BW$6:$BY$58,2,FALSE),"")</f>
        <v/>
      </c>
      <c r="N1696" s="45" t="str">
        <f>IFERROR(VLOOKUP(B1696,'Pre-Summary'!$CD$6:$CF$64,2,FALSE),"")</f>
        <v/>
      </c>
      <c r="O1696" s="99">
        <f>IFERROR(VLOOKUP(B1696,'Pre-Summary'!$BO$6:$BQ$48,3, FALSE),O1695)</f>
        <v>1.25</v>
      </c>
      <c r="P1696" s="99">
        <f>IFERROR(VLOOKUP(B1696,'Pre-Summary'!$BS$6:$BU$35,3,FALSE),P1695)</f>
        <v>0.3</v>
      </c>
      <c r="Q1696" s="54">
        <f t="shared" si="78"/>
        <v>4.166666666666667</v>
      </c>
      <c r="R1696" s="53">
        <f>IFERROR(VLOOKUP(B1696,'Pre-Summary'!$BG$6:$BM$44,7,FALSE),R1697)</f>
        <v>8.0894687007659741E-2</v>
      </c>
      <c r="S1696" s="53">
        <f>IFERROR(VLOOKUP(B1696,'Pre-Summary'!$BG$6:$BM$44,6,FALSE),S1697)</f>
        <v>6.1014931296205117E-2</v>
      </c>
      <c r="T1696" s="45" t="str">
        <f>IFERROR(VLOOKUP(B1696,'Pre-Summary'!$Y$6:$AC$83, 3,FALSE),"")</f>
        <v/>
      </c>
      <c r="U1696" s="45" t="str">
        <f>IFERROR(VLOOKUP(B1696,'Pre-Summary'!$Y$6:$AC$83, 4,FALSE),"")</f>
        <v/>
      </c>
      <c r="V1696" t="str">
        <f>IFERROR(VLOOKUP(B1696,'Pre-Summary'!$Y$6:$AC$83, 5,FALSE),"")</f>
        <v/>
      </c>
      <c r="W1696" s="45" t="str">
        <f>IFERROR(VLOOKUP(B1696,'Pre-Summary'!$Y$6:$AD$83,6,FALSE),"")</f>
        <v/>
      </c>
      <c r="X1696" t="str">
        <f>IFERROR(VLOOKUP('Pre-Summary'!$DB$6:$DD$63,3,FALSE),"")</f>
        <v/>
      </c>
      <c r="Y1696" t="str">
        <f>IFERROR(VLOOKUP(B1696,'Pre-Summary'!$CR$6:$CT$36,3,FALSE),"")</f>
        <v/>
      </c>
      <c r="Z1696" s="45" t="str">
        <f>IFERROR(VLOOKUP(B1696,'Pre-Summary'!$BZ$6:$CB$63,2,FALSE),"")</f>
        <v/>
      </c>
      <c r="AA1696" s="45" t="str">
        <f>IFERROR(VLOOKUP(B1696,'Pre-Summary'!$CG$6:$CI$70,2,FALSE),"")</f>
        <v/>
      </c>
      <c r="AB1696" s="99">
        <f>IFERROR(VLOOKUP(B1696,'Pre-Summary'!$A$6:$P$178,9,FALSE),AB1697)</f>
        <v>0.53610026791870335</v>
      </c>
      <c r="AC1696" s="10">
        <f>IFERROR(VLOOKUP(Summary!B1696,'Pre-Summary'!$A$6:$P$184,5, FALSE)/100,AC1697)</f>
        <v>0.50542533333333328</v>
      </c>
      <c r="AD1696" s="10">
        <f>IFERROR(VLOOKUP(Summary!B1696,'Pre-Summary'!$A$6:$P$184,3, FALSE)/100,AD1697)</f>
        <v>0.49457466666666666</v>
      </c>
      <c r="AE1696" s="10">
        <f>IFERROR(VLOOKUP(Summary!B1696,'Pre-Summary'!$A$6:$P$184,7, FALSE)/100,AE1697)</f>
        <v>0</v>
      </c>
      <c r="AF1696" s="99">
        <f t="shared" si="79"/>
        <v>0.26514161130580338</v>
      </c>
      <c r="AG1696" s="99">
        <f t="shared" si="80"/>
        <v>0</v>
      </c>
      <c r="AH1696" s="10" t="str">
        <f>IFERROR(VLOOKUP(B1696,'Pre-Summary'!$AZ$6:$BE$65,3,FALSE),"")</f>
        <v/>
      </c>
      <c r="AI1696" s="10" t="str">
        <f>IFERROR(VLOOKUP(B1696,'Pre-Summary'!$AZ$6:$BE$65,5,FALSE),"")</f>
        <v/>
      </c>
      <c r="AJ1696" s="10" t="str">
        <f>IFERROR(VLOOKUP(B1696,'Pre-Summary'!$AZ$6:$BE$65,4,FALSE),"")</f>
        <v/>
      </c>
      <c r="AK1696" s="10" t="str">
        <f>IFERROR(VLOOKUP(B1696,'Pre-Summary'!$AZ$6:$BE$65,6,FALSE),"")</f>
        <v/>
      </c>
      <c r="AL1696" s="10" t="str">
        <f>IFERROR(VLOOKUP(B1696,'Pre-Summary'!$BG$6:$BL$44,3,FALSE),"")</f>
        <v/>
      </c>
      <c r="AM1696" s="10" t="str">
        <f>IFERROR(VLOOKUP(B1696,'Pre-Summary'!$BG$6:$BL$44,4,FALSE),"")</f>
        <v/>
      </c>
    </row>
    <row r="1697" spans="2:39" ht="15" customHeight="1" x14ac:dyDescent="0.3">
      <c r="B1697">
        <v>169.4</v>
      </c>
      <c r="C1697" t="str">
        <f>IFERROR(VLOOKUP(B1697,'Pre-Summary'!$DI$6:$DM$23,4,FALSE),"")</f>
        <v/>
      </c>
      <c r="D1697" s="10" t="str">
        <f>IFERROR(VLOOKUP(B1697,'Pre-Summary'!$AT$6:$AX$14,5,FALSE),D1696)</f>
        <v>Wolfe v3: went back to modified wolfe + EDTA and switched CuSO4 to CUCl2</v>
      </c>
      <c r="E1697" s="10" t="str">
        <f>IFERROR(VLOOKUP(B1697,'Pre-Summary'!$AT$6:$AX$15,4,FALSE),"")</f>
        <v/>
      </c>
      <c r="F1697">
        <f>IFERROR(VLOOKUP(B1697,'Pre-Summary'!$AL$6:$AQ$13,6,FALSE),F1696)</f>
        <v>5.9405263157894746E-2</v>
      </c>
      <c r="G1697" t="str">
        <f>IFERROR(VLOOKUP(B1697,'Pre-Summary'!$AE$6:$AJ$85,3,FALSE),"")</f>
        <v/>
      </c>
      <c r="H1697" t="str">
        <f>IFERROR(VLOOKUP(B1697,'Pre-Summary'!$AE$6:$AJ$85,4,FALSE),"")</f>
        <v/>
      </c>
      <c r="I1697" t="str">
        <f>IFERROR(VLOOKUP(B1697,'Pre-Summary'!$AE$6:$AJ$85,5,FALSE),"")</f>
        <v/>
      </c>
      <c r="J1697" s="45" t="str">
        <f>IFERROR(VLOOKUP(B1697,'Pre-Summary'!$AE$6:$AJ$85,6, FALSE),"")</f>
        <v/>
      </c>
      <c r="K1697" s="45" t="str">
        <f>IFERROR(VLOOKUP(B1697,'Pre-Summary'!$DE$6:$DG$61,3,FALSE),"")</f>
        <v/>
      </c>
      <c r="L1697" s="45" t="str">
        <f>IFERROR(VLOOKUP(B1697,'Pre-Summary'!$CU$6:$CW$36,3,FALSE),"")</f>
        <v/>
      </c>
      <c r="M1697" s="45" t="str">
        <f>IFERROR(VLOOKUP(B1697,'Pre-Summary'!$BW$6:$BY$58,2,FALSE),"")</f>
        <v/>
      </c>
      <c r="N1697" s="45" t="str">
        <f>IFERROR(VLOOKUP(B1697,'Pre-Summary'!$CD$6:$CF$64,2,FALSE),"")</f>
        <v/>
      </c>
      <c r="O1697" s="99">
        <f>IFERROR(VLOOKUP(B1697,'Pre-Summary'!$BO$6:$BQ$48,3, FALSE),O1696)</f>
        <v>1.25</v>
      </c>
      <c r="P1697" s="99">
        <f>IFERROR(VLOOKUP(B1697,'Pre-Summary'!$BS$6:$BU$35,3,FALSE),P1696)</f>
        <v>0.3</v>
      </c>
      <c r="Q1697" s="54">
        <f t="shared" si="78"/>
        <v>4.166666666666667</v>
      </c>
      <c r="R1697" s="53">
        <f>IFERROR(VLOOKUP(B1697,'Pre-Summary'!$BG$6:$BM$44,7,FALSE),R1698)</f>
        <v>8.0894687007659741E-2</v>
      </c>
      <c r="S1697" s="53">
        <f>IFERROR(VLOOKUP(B1697,'Pre-Summary'!$BG$6:$BM$44,6,FALSE),S1698)</f>
        <v>6.1014931296205117E-2</v>
      </c>
      <c r="T1697" s="45" t="str">
        <f>IFERROR(VLOOKUP(B1697,'Pre-Summary'!$Y$6:$AC$83, 3,FALSE),"")</f>
        <v/>
      </c>
      <c r="U1697" s="45" t="str">
        <f>IFERROR(VLOOKUP(B1697,'Pre-Summary'!$Y$6:$AC$83, 4,FALSE),"")</f>
        <v/>
      </c>
      <c r="V1697" t="str">
        <f>IFERROR(VLOOKUP(B1697,'Pre-Summary'!$Y$6:$AC$83, 5,FALSE),"")</f>
        <v/>
      </c>
      <c r="W1697" s="45" t="str">
        <f>IFERROR(VLOOKUP(B1697,'Pre-Summary'!$Y$6:$AD$83,6,FALSE),"")</f>
        <v/>
      </c>
      <c r="X1697" t="str">
        <f>IFERROR(VLOOKUP('Pre-Summary'!$DB$6:$DD$63,3,FALSE),"")</f>
        <v/>
      </c>
      <c r="Y1697" t="str">
        <f>IFERROR(VLOOKUP(B1697,'Pre-Summary'!$CR$6:$CT$36,3,FALSE),"")</f>
        <v/>
      </c>
      <c r="Z1697" s="45" t="str">
        <f>IFERROR(VLOOKUP(B1697,'Pre-Summary'!$BZ$6:$CB$63,2,FALSE),"")</f>
        <v/>
      </c>
      <c r="AA1697" s="45" t="str">
        <f>IFERROR(VLOOKUP(B1697,'Pre-Summary'!$CG$6:$CI$70,2,FALSE),"")</f>
        <v/>
      </c>
      <c r="AB1697" s="99">
        <f>IFERROR(VLOOKUP(B1697,'Pre-Summary'!$A$6:$P$178,9,FALSE),AB1698)</f>
        <v>0.53610026791870335</v>
      </c>
      <c r="AC1697" s="10">
        <f>IFERROR(VLOOKUP(Summary!B1697,'Pre-Summary'!$A$6:$P$184,5, FALSE)/100,AC1698)</f>
        <v>0.50542533333333328</v>
      </c>
      <c r="AD1697" s="10">
        <f>IFERROR(VLOOKUP(Summary!B1697,'Pre-Summary'!$A$6:$P$184,3, FALSE)/100,AD1698)</f>
        <v>0.49457466666666666</v>
      </c>
      <c r="AE1697" s="10">
        <f>IFERROR(VLOOKUP(Summary!B1697,'Pre-Summary'!$A$6:$P$184,7, FALSE)/100,AE1698)</f>
        <v>0</v>
      </c>
      <c r="AF1697" s="99">
        <f t="shared" si="79"/>
        <v>0.26514161130580338</v>
      </c>
      <c r="AG1697" s="99">
        <f t="shared" si="80"/>
        <v>0</v>
      </c>
      <c r="AH1697" s="10" t="str">
        <f>IFERROR(VLOOKUP(B1697,'Pre-Summary'!$AZ$6:$BE$65,3,FALSE),"")</f>
        <v/>
      </c>
      <c r="AI1697" s="10" t="str">
        <f>IFERROR(VLOOKUP(B1697,'Pre-Summary'!$AZ$6:$BE$65,5,FALSE),"")</f>
        <v/>
      </c>
      <c r="AJ1697" s="10" t="str">
        <f>IFERROR(VLOOKUP(B1697,'Pre-Summary'!$AZ$6:$BE$65,4,FALSE),"")</f>
        <v/>
      </c>
      <c r="AK1697" s="10" t="str">
        <f>IFERROR(VLOOKUP(B1697,'Pre-Summary'!$AZ$6:$BE$65,6,FALSE),"")</f>
        <v/>
      </c>
      <c r="AL1697" s="10" t="str">
        <f>IFERROR(VLOOKUP(B1697,'Pre-Summary'!$BG$6:$BL$44,3,FALSE),"")</f>
        <v/>
      </c>
      <c r="AM1697" s="10" t="str">
        <f>IFERROR(VLOOKUP(B1697,'Pre-Summary'!$BG$6:$BL$44,4,FALSE),"")</f>
        <v/>
      </c>
    </row>
    <row r="1698" spans="2:39" ht="15" customHeight="1" x14ac:dyDescent="0.3">
      <c r="B1698">
        <v>169.5</v>
      </c>
      <c r="C1698" t="str">
        <f>IFERROR(VLOOKUP(B1698,'Pre-Summary'!$DI$6:$DM$23,4,FALSE),"")</f>
        <v/>
      </c>
      <c r="D1698" s="10" t="str">
        <f>IFERROR(VLOOKUP(B1698,'Pre-Summary'!$AT$6:$AX$14,5,FALSE),D1697)</f>
        <v>Wolfe v3: went back to modified wolfe + EDTA and switched CuSO4 to CUCl2</v>
      </c>
      <c r="E1698" s="10" t="str">
        <f>IFERROR(VLOOKUP(B1698,'Pre-Summary'!$AT$6:$AX$15,4,FALSE),"")</f>
        <v/>
      </c>
      <c r="F1698">
        <f>IFERROR(VLOOKUP(B1698,'Pre-Summary'!$AL$6:$AQ$13,6,FALSE),F1697)</f>
        <v>5.9405263157894746E-2</v>
      </c>
      <c r="G1698">
        <f>IFERROR(VLOOKUP(B1698,'Pre-Summary'!$AE$6:$AJ$85,3,FALSE),"")</f>
        <v>8.7186880000000002</v>
      </c>
      <c r="H1698">
        <f>IFERROR(VLOOKUP(B1698,'Pre-Summary'!$AE$6:$AJ$85,4,FALSE),"")</f>
        <v>1.7548649999999999</v>
      </c>
      <c r="I1698">
        <f>IFERROR(VLOOKUP(B1698,'Pre-Summary'!$AE$6:$AJ$85,5,FALSE),"")</f>
        <v>2.07579</v>
      </c>
      <c r="J1698" s="45">
        <f>IFERROR(VLOOKUP(B1698,'Pre-Summary'!$AE$6:$AJ$85,6, FALSE),"")</f>
        <v>15.733491926000001</v>
      </c>
      <c r="K1698" s="45" t="str">
        <f>IFERROR(VLOOKUP(B1698,'Pre-Summary'!$DE$6:$DG$61,3,FALSE),"")</f>
        <v/>
      </c>
      <c r="L1698" s="45" t="str">
        <f>IFERROR(VLOOKUP(B1698,'Pre-Summary'!$CU$6:$CW$36,3,FALSE),"")</f>
        <v/>
      </c>
      <c r="M1698" s="45" t="str">
        <f>IFERROR(VLOOKUP(B1698,'Pre-Summary'!$BW$6:$BY$58,2,FALSE),"")</f>
        <v/>
      </c>
      <c r="N1698" s="45" t="str">
        <f>IFERROR(VLOOKUP(B1698,'Pre-Summary'!$CD$6:$CF$64,2,FALSE),"")</f>
        <v/>
      </c>
      <c r="O1698" s="99">
        <f>IFERROR(VLOOKUP(B1698,'Pre-Summary'!$BO$6:$BQ$48,3, FALSE),O1697)</f>
        <v>1.25</v>
      </c>
      <c r="P1698" s="99">
        <f>IFERROR(VLOOKUP(B1698,'Pre-Summary'!$BS$6:$BU$35,3,FALSE),P1697)</f>
        <v>0.3</v>
      </c>
      <c r="Q1698" s="54">
        <f t="shared" si="78"/>
        <v>4.166666666666667</v>
      </c>
      <c r="R1698" s="53">
        <f>IFERROR(VLOOKUP(B1698,'Pre-Summary'!$BG$6:$BM$44,7,FALSE),R1699)</f>
        <v>8.0894687007659741E-2</v>
      </c>
      <c r="S1698" s="53">
        <f>IFERROR(VLOOKUP(B1698,'Pre-Summary'!$BG$6:$BM$44,6,FALSE),S1699)</f>
        <v>6.1014931296205117E-2</v>
      </c>
      <c r="T1698" s="45">
        <f>IFERROR(VLOOKUP(B1698,'Pre-Summary'!$Y$6:$AC$83, 3,FALSE),"")</f>
        <v>18.516940000000002</v>
      </c>
      <c r="U1698" s="45">
        <f>IFERROR(VLOOKUP(B1698,'Pre-Summary'!$Y$6:$AC$83, 4,FALSE),"")</f>
        <v>11.74113</v>
      </c>
      <c r="V1698">
        <f>IFERROR(VLOOKUP(B1698,'Pre-Summary'!$Y$6:$AC$83, 5,FALSE),"")</f>
        <v>5.2359819999999999</v>
      </c>
      <c r="W1698" s="45">
        <f>IFERROR(VLOOKUP(B1698,'Pre-Summary'!$Y$6:$AD$83,6,FALSE),"")</f>
        <v>47.052661076</v>
      </c>
      <c r="X1698" t="str">
        <f>IFERROR(VLOOKUP('Pre-Summary'!$DB$6:$DD$63,3,FALSE),"")</f>
        <v/>
      </c>
      <c r="Y1698" t="str">
        <f>IFERROR(VLOOKUP(B1698,'Pre-Summary'!$CR$6:$CT$36,3,FALSE),"")</f>
        <v/>
      </c>
      <c r="Z1698" s="45" t="str">
        <f>IFERROR(VLOOKUP(B1698,'Pre-Summary'!$BZ$6:$CB$63,2,FALSE),"")</f>
        <v/>
      </c>
      <c r="AA1698" s="45" t="str">
        <f>IFERROR(VLOOKUP(B1698,'Pre-Summary'!$CG$6:$CI$70,2,FALSE),"")</f>
        <v/>
      </c>
      <c r="AB1698" s="99">
        <f>IFERROR(VLOOKUP(B1698,'Pre-Summary'!$A$6:$P$178,9,FALSE),AB1699)</f>
        <v>0.53610026791870335</v>
      </c>
      <c r="AC1698" s="10">
        <f>IFERROR(VLOOKUP(Summary!B1698,'Pre-Summary'!$A$6:$P$184,5, FALSE)/100,AC1699)</f>
        <v>0.50542533333333328</v>
      </c>
      <c r="AD1698" s="10">
        <f>IFERROR(VLOOKUP(Summary!B1698,'Pre-Summary'!$A$6:$P$184,3, FALSE)/100,AD1699)</f>
        <v>0.49457466666666666</v>
      </c>
      <c r="AE1698" s="10">
        <f>IFERROR(VLOOKUP(Summary!B1698,'Pre-Summary'!$A$6:$P$184,7, FALSE)/100,AE1699)</f>
        <v>0</v>
      </c>
      <c r="AF1698" s="99">
        <f t="shared" si="79"/>
        <v>0.26514161130580338</v>
      </c>
      <c r="AG1698" s="99">
        <f t="shared" si="80"/>
        <v>0</v>
      </c>
      <c r="AH1698" s="10" t="str">
        <f>IFERROR(VLOOKUP(B1698,'Pre-Summary'!$AZ$6:$BE$65,3,FALSE),"")</f>
        <v/>
      </c>
      <c r="AI1698" s="10" t="str">
        <f>IFERROR(VLOOKUP(B1698,'Pre-Summary'!$AZ$6:$BE$65,5,FALSE),"")</f>
        <v/>
      </c>
      <c r="AJ1698" s="10" t="str">
        <f>IFERROR(VLOOKUP(B1698,'Pre-Summary'!$AZ$6:$BE$65,4,FALSE),"")</f>
        <v/>
      </c>
      <c r="AK1698" s="10" t="str">
        <f>IFERROR(VLOOKUP(B1698,'Pre-Summary'!$AZ$6:$BE$65,6,FALSE),"")</f>
        <v/>
      </c>
      <c r="AL1698" s="10" t="str">
        <f>IFERROR(VLOOKUP(B1698,'Pre-Summary'!$BG$6:$BL$44,3,FALSE),"")</f>
        <v/>
      </c>
      <c r="AM1698" s="10" t="str">
        <f>IFERROR(VLOOKUP(B1698,'Pre-Summary'!$BG$6:$BL$44,4,FALSE),"")</f>
        <v/>
      </c>
    </row>
    <row r="1699" spans="2:39" ht="15" customHeight="1" x14ac:dyDescent="0.3">
      <c r="B1699">
        <v>169.6</v>
      </c>
      <c r="C1699" t="str">
        <f>IFERROR(VLOOKUP(B1699,'Pre-Summary'!$DI$6:$DM$23,4,FALSE),"")</f>
        <v/>
      </c>
      <c r="D1699" s="10" t="str">
        <f>IFERROR(VLOOKUP(B1699,'Pre-Summary'!$AT$6:$AX$14,5,FALSE),D1698)</f>
        <v>Wolfe v3: went back to modified wolfe + EDTA and switched CuSO4 to CUCl2</v>
      </c>
      <c r="E1699" s="10" t="str">
        <f>IFERROR(VLOOKUP(B1699,'Pre-Summary'!$AT$6:$AX$15,4,FALSE),"")</f>
        <v/>
      </c>
      <c r="F1699">
        <f>IFERROR(VLOOKUP(B1699,'Pre-Summary'!$AL$6:$AQ$13,6,FALSE),F1698)</f>
        <v>5.9405263157894746E-2</v>
      </c>
      <c r="G1699" t="str">
        <f>IFERROR(VLOOKUP(B1699,'Pre-Summary'!$AE$6:$AJ$85,3,FALSE),"")</f>
        <v/>
      </c>
      <c r="H1699" t="str">
        <f>IFERROR(VLOOKUP(B1699,'Pre-Summary'!$AE$6:$AJ$85,4,FALSE),"")</f>
        <v/>
      </c>
      <c r="I1699" t="str">
        <f>IFERROR(VLOOKUP(B1699,'Pre-Summary'!$AE$6:$AJ$85,5,FALSE),"")</f>
        <v/>
      </c>
      <c r="J1699" s="45" t="str">
        <f>IFERROR(VLOOKUP(B1699,'Pre-Summary'!$AE$6:$AJ$85,6, FALSE),"")</f>
        <v/>
      </c>
      <c r="K1699" s="45" t="str">
        <f>IFERROR(VLOOKUP(B1699,'Pre-Summary'!$DE$6:$DG$61,3,FALSE),"")</f>
        <v/>
      </c>
      <c r="L1699" s="45" t="str">
        <f>IFERROR(VLOOKUP(B1699,'Pre-Summary'!$CU$6:$CW$36,3,FALSE),"")</f>
        <v/>
      </c>
      <c r="M1699" s="45" t="str">
        <f>IFERROR(VLOOKUP(B1699,'Pre-Summary'!$BW$6:$BY$58,2,FALSE),"")</f>
        <v/>
      </c>
      <c r="N1699" s="45" t="str">
        <f>IFERROR(VLOOKUP(B1699,'Pre-Summary'!$CD$6:$CF$64,2,FALSE),"")</f>
        <v/>
      </c>
      <c r="O1699" s="99">
        <f>IFERROR(VLOOKUP(B1699,'Pre-Summary'!$BO$6:$BQ$48,3, FALSE),O1698)</f>
        <v>1.25</v>
      </c>
      <c r="P1699" s="99">
        <f>IFERROR(VLOOKUP(B1699,'Pre-Summary'!$BS$6:$BU$35,3,FALSE),P1698)</f>
        <v>0.3</v>
      </c>
      <c r="Q1699" s="54">
        <f t="shared" si="78"/>
        <v>4.166666666666667</v>
      </c>
      <c r="R1699" s="53">
        <f>IFERROR(VLOOKUP(B1699,'Pre-Summary'!$BG$6:$BM$44,7,FALSE),R1700)</f>
        <v>8.0894687007659741E-2</v>
      </c>
      <c r="S1699" s="53">
        <f>IFERROR(VLOOKUP(B1699,'Pre-Summary'!$BG$6:$BM$44,6,FALSE),S1700)</f>
        <v>6.1014931296205117E-2</v>
      </c>
      <c r="T1699" s="45" t="str">
        <f>IFERROR(VLOOKUP(B1699,'Pre-Summary'!$Y$6:$AC$83, 3,FALSE),"")</f>
        <v/>
      </c>
      <c r="U1699" s="45" t="str">
        <f>IFERROR(VLOOKUP(B1699,'Pre-Summary'!$Y$6:$AC$83, 4,FALSE),"")</f>
        <v/>
      </c>
      <c r="V1699" t="str">
        <f>IFERROR(VLOOKUP(B1699,'Pre-Summary'!$Y$6:$AC$83, 5,FALSE),"")</f>
        <v/>
      </c>
      <c r="W1699" s="45" t="str">
        <f>IFERROR(VLOOKUP(B1699,'Pre-Summary'!$Y$6:$AD$83,6,FALSE),"")</f>
        <v/>
      </c>
      <c r="X1699" t="str">
        <f>IFERROR(VLOOKUP('Pre-Summary'!$DB$6:$DD$63,3,FALSE),"")</f>
        <v/>
      </c>
      <c r="Y1699" t="str">
        <f>IFERROR(VLOOKUP(B1699,'Pre-Summary'!$CR$6:$CT$36,3,FALSE),"")</f>
        <v/>
      </c>
      <c r="Z1699" s="45" t="str">
        <f>IFERROR(VLOOKUP(B1699,'Pre-Summary'!$BZ$6:$CB$63,2,FALSE),"")</f>
        <v/>
      </c>
      <c r="AA1699" s="45" t="str">
        <f>IFERROR(VLOOKUP(B1699,'Pre-Summary'!$CG$6:$CI$70,2,FALSE),"")</f>
        <v/>
      </c>
      <c r="AB1699" s="99">
        <f>IFERROR(VLOOKUP(B1699,'Pre-Summary'!$A$6:$P$178,9,FALSE),AB1700)</f>
        <v>0.53610026791870335</v>
      </c>
      <c r="AC1699" s="10">
        <f>IFERROR(VLOOKUP(Summary!B1699,'Pre-Summary'!$A$6:$P$184,5, FALSE)/100,AC1700)</f>
        <v>0.50542533333333328</v>
      </c>
      <c r="AD1699" s="10">
        <f>IFERROR(VLOOKUP(Summary!B1699,'Pre-Summary'!$A$6:$P$184,3, FALSE)/100,AD1700)</f>
        <v>0.49457466666666666</v>
      </c>
      <c r="AE1699" s="10">
        <f>IFERROR(VLOOKUP(Summary!B1699,'Pre-Summary'!$A$6:$P$184,7, FALSE)/100,AE1700)</f>
        <v>0</v>
      </c>
      <c r="AF1699" s="99">
        <f t="shared" si="79"/>
        <v>0.26514161130580338</v>
      </c>
      <c r="AG1699" s="99">
        <f t="shared" si="80"/>
        <v>0</v>
      </c>
      <c r="AH1699" s="10" t="str">
        <f>IFERROR(VLOOKUP(B1699,'Pre-Summary'!$AZ$6:$BE$65,3,FALSE),"")</f>
        <v/>
      </c>
      <c r="AI1699" s="10" t="str">
        <f>IFERROR(VLOOKUP(B1699,'Pre-Summary'!$AZ$6:$BE$65,5,FALSE),"")</f>
        <v/>
      </c>
      <c r="AJ1699" s="10" t="str">
        <f>IFERROR(VLOOKUP(B1699,'Pre-Summary'!$AZ$6:$BE$65,4,FALSE),"")</f>
        <v/>
      </c>
      <c r="AK1699" s="10" t="str">
        <f>IFERROR(VLOOKUP(B1699,'Pre-Summary'!$AZ$6:$BE$65,6,FALSE),"")</f>
        <v/>
      </c>
      <c r="AL1699" s="10" t="str">
        <f>IFERROR(VLOOKUP(B1699,'Pre-Summary'!$BG$6:$BL$44,3,FALSE),"")</f>
        <v/>
      </c>
      <c r="AM1699" s="10" t="str">
        <f>IFERROR(VLOOKUP(B1699,'Pre-Summary'!$BG$6:$BL$44,4,FALSE),"")</f>
        <v/>
      </c>
    </row>
    <row r="1700" spans="2:39" ht="15" customHeight="1" x14ac:dyDescent="0.3">
      <c r="B1700">
        <v>169.7</v>
      </c>
      <c r="C1700" t="str">
        <f>IFERROR(VLOOKUP(B1700,'Pre-Summary'!$DI$6:$DM$23,4,FALSE),"")</f>
        <v/>
      </c>
      <c r="D1700" s="10" t="str">
        <f>IFERROR(VLOOKUP(B1700,'Pre-Summary'!$AT$6:$AX$14,5,FALSE),D1699)</f>
        <v>Wolfe v3: went back to modified wolfe + EDTA and switched CuSO4 to CUCl2</v>
      </c>
      <c r="E1700" s="10" t="str">
        <f>IFERROR(VLOOKUP(B1700,'Pre-Summary'!$AT$6:$AX$15,4,FALSE),"")</f>
        <v/>
      </c>
      <c r="F1700">
        <f>IFERROR(VLOOKUP(B1700,'Pre-Summary'!$AL$6:$AQ$13,6,FALSE),F1699)</f>
        <v>5.9405263157894746E-2</v>
      </c>
      <c r="G1700" t="str">
        <f>IFERROR(VLOOKUP(B1700,'Pre-Summary'!$AE$6:$AJ$85,3,FALSE),"")</f>
        <v/>
      </c>
      <c r="H1700" t="str">
        <f>IFERROR(VLOOKUP(B1700,'Pre-Summary'!$AE$6:$AJ$85,4,FALSE),"")</f>
        <v/>
      </c>
      <c r="I1700" t="str">
        <f>IFERROR(VLOOKUP(B1700,'Pre-Summary'!$AE$6:$AJ$85,5,FALSE),"")</f>
        <v/>
      </c>
      <c r="J1700" s="45" t="str">
        <f>IFERROR(VLOOKUP(B1700,'Pre-Summary'!$AE$6:$AJ$85,6, FALSE),"")</f>
        <v/>
      </c>
      <c r="K1700" s="45" t="str">
        <f>IFERROR(VLOOKUP(B1700,'Pre-Summary'!$DE$6:$DG$61,3,FALSE),"")</f>
        <v/>
      </c>
      <c r="L1700" s="45" t="str">
        <f>IFERROR(VLOOKUP(B1700,'Pre-Summary'!$CU$6:$CW$36,3,FALSE),"")</f>
        <v/>
      </c>
      <c r="M1700" s="45" t="str">
        <f>IFERROR(VLOOKUP(B1700,'Pre-Summary'!$BW$6:$BY$58,2,FALSE),"")</f>
        <v/>
      </c>
      <c r="N1700" s="45" t="str">
        <f>IFERROR(VLOOKUP(B1700,'Pre-Summary'!$CD$6:$CF$64,2,FALSE),"")</f>
        <v/>
      </c>
      <c r="O1700" s="99">
        <f>IFERROR(VLOOKUP(B1700,'Pre-Summary'!$BO$6:$BQ$48,3, FALSE),O1699)</f>
        <v>1.25</v>
      </c>
      <c r="P1700" s="99">
        <f>IFERROR(VLOOKUP(B1700,'Pre-Summary'!$BS$6:$BU$35,3,FALSE),P1699)</f>
        <v>0.3</v>
      </c>
      <c r="Q1700" s="54">
        <f t="shared" si="78"/>
        <v>4.166666666666667</v>
      </c>
      <c r="R1700" s="53">
        <f>IFERROR(VLOOKUP(B1700,'Pre-Summary'!$BG$6:$BM$44,7,FALSE),R1701)</f>
        <v>8.0894687007659741E-2</v>
      </c>
      <c r="S1700" s="53">
        <f>IFERROR(VLOOKUP(B1700,'Pre-Summary'!$BG$6:$BM$44,6,FALSE),S1701)</f>
        <v>6.1014931296205117E-2</v>
      </c>
      <c r="T1700" s="45" t="str">
        <f>IFERROR(VLOOKUP(B1700,'Pre-Summary'!$Y$6:$AC$83, 3,FALSE),"")</f>
        <v/>
      </c>
      <c r="U1700" s="45" t="str">
        <f>IFERROR(VLOOKUP(B1700,'Pre-Summary'!$Y$6:$AC$83, 4,FALSE),"")</f>
        <v/>
      </c>
      <c r="V1700" t="str">
        <f>IFERROR(VLOOKUP(B1700,'Pre-Summary'!$Y$6:$AC$83, 5,FALSE),"")</f>
        <v/>
      </c>
      <c r="W1700" s="45" t="str">
        <f>IFERROR(VLOOKUP(B1700,'Pre-Summary'!$Y$6:$AD$83,6,FALSE),"")</f>
        <v/>
      </c>
      <c r="X1700" t="str">
        <f>IFERROR(VLOOKUP('Pre-Summary'!$DB$6:$DD$63,3,FALSE),"")</f>
        <v/>
      </c>
      <c r="Y1700" t="str">
        <f>IFERROR(VLOOKUP(B1700,'Pre-Summary'!$CR$6:$CT$36,3,FALSE),"")</f>
        <v/>
      </c>
      <c r="Z1700" s="45" t="str">
        <f>IFERROR(VLOOKUP(B1700,'Pre-Summary'!$BZ$6:$CB$63,2,FALSE),"")</f>
        <v/>
      </c>
      <c r="AA1700" s="45" t="str">
        <f>IFERROR(VLOOKUP(B1700,'Pre-Summary'!$CG$6:$CI$70,2,FALSE),"")</f>
        <v/>
      </c>
      <c r="AB1700" s="99">
        <f>IFERROR(VLOOKUP(B1700,'Pre-Summary'!$A$6:$P$178,9,FALSE),AB1701)</f>
        <v>0.53610026791870335</v>
      </c>
      <c r="AC1700" s="10">
        <f>IFERROR(VLOOKUP(Summary!B1700,'Pre-Summary'!$A$6:$P$184,5, FALSE)/100,AC1701)</f>
        <v>0.50542533333333328</v>
      </c>
      <c r="AD1700" s="10">
        <f>IFERROR(VLOOKUP(Summary!B1700,'Pre-Summary'!$A$6:$P$184,3, FALSE)/100,AD1701)</f>
        <v>0.49457466666666666</v>
      </c>
      <c r="AE1700" s="10">
        <f>IFERROR(VLOOKUP(Summary!B1700,'Pre-Summary'!$A$6:$P$184,7, FALSE)/100,AE1701)</f>
        <v>0</v>
      </c>
      <c r="AF1700" s="99">
        <f t="shared" si="79"/>
        <v>0.26514161130580338</v>
      </c>
      <c r="AG1700" s="99">
        <f t="shared" si="80"/>
        <v>0</v>
      </c>
      <c r="AH1700" s="10" t="str">
        <f>IFERROR(VLOOKUP(B1700,'Pre-Summary'!$AZ$6:$BE$65,3,FALSE),"")</f>
        <v/>
      </c>
      <c r="AI1700" s="10" t="str">
        <f>IFERROR(VLOOKUP(B1700,'Pre-Summary'!$AZ$6:$BE$65,5,FALSE),"")</f>
        <v/>
      </c>
      <c r="AJ1700" s="10" t="str">
        <f>IFERROR(VLOOKUP(B1700,'Pre-Summary'!$AZ$6:$BE$65,4,FALSE),"")</f>
        <v/>
      </c>
      <c r="AK1700" s="10" t="str">
        <f>IFERROR(VLOOKUP(B1700,'Pre-Summary'!$AZ$6:$BE$65,6,FALSE),"")</f>
        <v/>
      </c>
      <c r="AL1700" s="10" t="str">
        <f>IFERROR(VLOOKUP(B1700,'Pre-Summary'!$BG$6:$BL$44,3,FALSE),"")</f>
        <v/>
      </c>
      <c r="AM1700" s="10" t="str">
        <f>IFERROR(VLOOKUP(B1700,'Pre-Summary'!$BG$6:$BL$44,4,FALSE),"")</f>
        <v/>
      </c>
    </row>
    <row r="1701" spans="2:39" ht="15" customHeight="1" x14ac:dyDescent="0.3">
      <c r="B1701">
        <v>169.8</v>
      </c>
      <c r="C1701" t="str">
        <f>IFERROR(VLOOKUP(B1701,'Pre-Summary'!$DI$6:$DM$23,4,FALSE),"")</f>
        <v/>
      </c>
      <c r="D1701" s="10" t="str">
        <f>IFERROR(VLOOKUP(B1701,'Pre-Summary'!$AT$6:$AX$14,5,FALSE),D1700)</f>
        <v>Wolfe v3: went back to modified wolfe + EDTA and switched CuSO4 to CUCl2</v>
      </c>
      <c r="E1701" s="10" t="str">
        <f>IFERROR(VLOOKUP(B1701,'Pre-Summary'!$AT$6:$AX$15,4,FALSE),"")</f>
        <v/>
      </c>
      <c r="F1701">
        <f>IFERROR(VLOOKUP(B1701,'Pre-Summary'!$AL$6:$AQ$13,6,FALSE),F1700)</f>
        <v>5.9405263157894746E-2</v>
      </c>
      <c r="G1701" t="str">
        <f>IFERROR(VLOOKUP(B1701,'Pre-Summary'!$AE$6:$AJ$85,3,FALSE),"")</f>
        <v/>
      </c>
      <c r="H1701" t="str">
        <f>IFERROR(VLOOKUP(B1701,'Pre-Summary'!$AE$6:$AJ$85,4,FALSE),"")</f>
        <v/>
      </c>
      <c r="I1701" t="str">
        <f>IFERROR(VLOOKUP(B1701,'Pre-Summary'!$AE$6:$AJ$85,5,FALSE),"")</f>
        <v/>
      </c>
      <c r="J1701" s="45" t="str">
        <f>IFERROR(VLOOKUP(B1701,'Pre-Summary'!$AE$6:$AJ$85,6, FALSE),"")</f>
        <v/>
      </c>
      <c r="K1701" s="45" t="str">
        <f>IFERROR(VLOOKUP(B1701,'Pre-Summary'!$DE$6:$DG$61,3,FALSE),"")</f>
        <v/>
      </c>
      <c r="L1701" s="45" t="str">
        <f>IFERROR(VLOOKUP(B1701,'Pre-Summary'!$CU$6:$CW$36,3,FALSE),"")</f>
        <v/>
      </c>
      <c r="M1701" s="45" t="str">
        <f>IFERROR(VLOOKUP(B1701,'Pre-Summary'!$BW$6:$BY$58,2,FALSE),"")</f>
        <v/>
      </c>
      <c r="N1701" s="45" t="str">
        <f>IFERROR(VLOOKUP(B1701,'Pre-Summary'!$CD$6:$CF$64,2,FALSE),"")</f>
        <v/>
      </c>
      <c r="O1701" s="99">
        <f>IFERROR(VLOOKUP(B1701,'Pre-Summary'!$BO$6:$BQ$48,3, FALSE),O1700)</f>
        <v>1.25</v>
      </c>
      <c r="P1701" s="99">
        <f>IFERROR(VLOOKUP(B1701,'Pre-Summary'!$BS$6:$BU$35,3,FALSE),P1700)</f>
        <v>0.3</v>
      </c>
      <c r="Q1701" s="54">
        <f t="shared" si="78"/>
        <v>4.166666666666667</v>
      </c>
      <c r="R1701" s="53">
        <f>IFERROR(VLOOKUP(B1701,'Pre-Summary'!$BG$6:$BM$44,7,FALSE),R1702)</f>
        <v>8.0894687007659741E-2</v>
      </c>
      <c r="S1701" s="53">
        <f>IFERROR(VLOOKUP(B1701,'Pre-Summary'!$BG$6:$BM$44,6,FALSE),S1702)</f>
        <v>6.1014931296205117E-2</v>
      </c>
      <c r="T1701" s="45" t="str">
        <f>IFERROR(VLOOKUP(B1701,'Pre-Summary'!$Y$6:$AC$83, 3,FALSE),"")</f>
        <v/>
      </c>
      <c r="U1701" s="45" t="str">
        <f>IFERROR(VLOOKUP(B1701,'Pre-Summary'!$Y$6:$AC$83, 4,FALSE),"")</f>
        <v/>
      </c>
      <c r="V1701" t="str">
        <f>IFERROR(VLOOKUP(B1701,'Pre-Summary'!$Y$6:$AC$83, 5,FALSE),"")</f>
        <v/>
      </c>
      <c r="W1701" s="45" t="str">
        <f>IFERROR(VLOOKUP(B1701,'Pre-Summary'!$Y$6:$AD$83,6,FALSE),"")</f>
        <v/>
      </c>
      <c r="X1701" t="str">
        <f>IFERROR(VLOOKUP('Pre-Summary'!$DB$6:$DD$63,3,FALSE),"")</f>
        <v/>
      </c>
      <c r="Y1701" t="str">
        <f>IFERROR(VLOOKUP(B1701,'Pre-Summary'!$CR$6:$CT$36,3,FALSE),"")</f>
        <v/>
      </c>
      <c r="Z1701" s="45" t="str">
        <f>IFERROR(VLOOKUP(B1701,'Pre-Summary'!$BZ$6:$CB$63,2,FALSE),"")</f>
        <v/>
      </c>
      <c r="AA1701" s="45" t="str">
        <f>IFERROR(VLOOKUP(B1701,'Pre-Summary'!$CG$6:$CI$70,2,FALSE),"")</f>
        <v/>
      </c>
      <c r="AB1701" s="99">
        <f>IFERROR(VLOOKUP(B1701,'Pre-Summary'!$A$6:$P$178,9,FALSE),AB1702)</f>
        <v>0.53610026791870335</v>
      </c>
      <c r="AC1701" s="10">
        <f>IFERROR(VLOOKUP(Summary!B1701,'Pre-Summary'!$A$6:$P$184,5, FALSE)/100,AC1702)</f>
        <v>0.50542533333333328</v>
      </c>
      <c r="AD1701" s="10">
        <f>IFERROR(VLOOKUP(Summary!B1701,'Pre-Summary'!$A$6:$P$184,3, FALSE)/100,AD1702)</f>
        <v>0.49457466666666666</v>
      </c>
      <c r="AE1701" s="10">
        <f>IFERROR(VLOOKUP(Summary!B1701,'Pre-Summary'!$A$6:$P$184,7, FALSE)/100,AE1702)</f>
        <v>0</v>
      </c>
      <c r="AF1701" s="99">
        <f t="shared" si="79"/>
        <v>0.26514161130580338</v>
      </c>
      <c r="AG1701" s="99">
        <f t="shared" si="80"/>
        <v>0</v>
      </c>
      <c r="AH1701" s="10" t="str">
        <f>IFERROR(VLOOKUP(B1701,'Pre-Summary'!$AZ$6:$BE$65,3,FALSE),"")</f>
        <v/>
      </c>
      <c r="AI1701" s="10" t="str">
        <f>IFERROR(VLOOKUP(B1701,'Pre-Summary'!$AZ$6:$BE$65,5,FALSE),"")</f>
        <v/>
      </c>
      <c r="AJ1701" s="10" t="str">
        <f>IFERROR(VLOOKUP(B1701,'Pre-Summary'!$AZ$6:$BE$65,4,FALSE),"")</f>
        <v/>
      </c>
      <c r="AK1701" s="10" t="str">
        <f>IFERROR(VLOOKUP(B1701,'Pre-Summary'!$AZ$6:$BE$65,6,FALSE),"")</f>
        <v/>
      </c>
      <c r="AL1701" s="10" t="str">
        <f>IFERROR(VLOOKUP(B1701,'Pre-Summary'!$BG$6:$BL$44,3,FALSE),"")</f>
        <v/>
      </c>
      <c r="AM1701" s="10" t="str">
        <f>IFERROR(VLOOKUP(B1701,'Pre-Summary'!$BG$6:$BL$44,4,FALSE),"")</f>
        <v/>
      </c>
    </row>
    <row r="1702" spans="2:39" ht="15" customHeight="1" x14ac:dyDescent="0.3">
      <c r="B1702">
        <v>169.9</v>
      </c>
      <c r="C1702" t="str">
        <f>IFERROR(VLOOKUP(B1702,'Pre-Summary'!$DI$6:$DM$23,4,FALSE),"")</f>
        <v/>
      </c>
      <c r="D1702" s="10" t="str">
        <f>IFERROR(VLOOKUP(B1702,'Pre-Summary'!$AT$6:$AX$14,5,FALSE),D1701)</f>
        <v>Wolfe v3: went back to modified wolfe + EDTA and switched CuSO4 to CUCl2</v>
      </c>
      <c r="E1702" s="10" t="str">
        <f>IFERROR(VLOOKUP(B1702,'Pre-Summary'!$AT$6:$AX$15,4,FALSE),"")</f>
        <v/>
      </c>
      <c r="F1702">
        <f>IFERROR(VLOOKUP(B1702,'Pre-Summary'!$AL$6:$AQ$13,6,FALSE),F1701)</f>
        <v>5.9405263157894746E-2</v>
      </c>
      <c r="G1702" t="str">
        <f>IFERROR(VLOOKUP(B1702,'Pre-Summary'!$AE$6:$AJ$85,3,FALSE),"")</f>
        <v/>
      </c>
      <c r="H1702" t="str">
        <f>IFERROR(VLOOKUP(B1702,'Pre-Summary'!$AE$6:$AJ$85,4,FALSE),"")</f>
        <v/>
      </c>
      <c r="I1702" t="str">
        <f>IFERROR(VLOOKUP(B1702,'Pre-Summary'!$AE$6:$AJ$85,5,FALSE),"")</f>
        <v/>
      </c>
      <c r="J1702" s="45" t="str">
        <f>IFERROR(VLOOKUP(B1702,'Pre-Summary'!$AE$6:$AJ$85,6, FALSE),"")</f>
        <v/>
      </c>
      <c r="K1702" s="45" t="str">
        <f>IFERROR(VLOOKUP(B1702,'Pre-Summary'!$DE$6:$DG$61,3,FALSE),"")</f>
        <v/>
      </c>
      <c r="L1702" s="45" t="str">
        <f>IFERROR(VLOOKUP(B1702,'Pre-Summary'!$CU$6:$CW$36,3,FALSE),"")</f>
        <v/>
      </c>
      <c r="M1702" s="45" t="str">
        <f>IFERROR(VLOOKUP(B1702,'Pre-Summary'!$BW$6:$BY$58,2,FALSE),"")</f>
        <v/>
      </c>
      <c r="N1702" s="45" t="str">
        <f>IFERROR(VLOOKUP(B1702,'Pre-Summary'!$CD$6:$CF$64,2,FALSE),"")</f>
        <v/>
      </c>
      <c r="O1702" s="99">
        <f>IFERROR(VLOOKUP(B1702,'Pre-Summary'!$BO$6:$BQ$48,3, FALSE),O1701)</f>
        <v>1.25</v>
      </c>
      <c r="P1702" s="99">
        <f>IFERROR(VLOOKUP(B1702,'Pre-Summary'!$BS$6:$BU$35,3,FALSE),P1701)</f>
        <v>0.3</v>
      </c>
      <c r="Q1702" s="54">
        <f t="shared" si="78"/>
        <v>4.166666666666667</v>
      </c>
      <c r="R1702" s="53">
        <f>IFERROR(VLOOKUP(B1702,'Pre-Summary'!$BG$6:$BM$44,7,FALSE),R1703)</f>
        <v>8.0894687007659741E-2</v>
      </c>
      <c r="S1702" s="53">
        <f>IFERROR(VLOOKUP(B1702,'Pre-Summary'!$BG$6:$BM$44,6,FALSE),S1703)</f>
        <v>6.1014931296205117E-2</v>
      </c>
      <c r="T1702" s="45" t="str">
        <f>IFERROR(VLOOKUP(B1702,'Pre-Summary'!$Y$6:$AC$83, 3,FALSE),"")</f>
        <v/>
      </c>
      <c r="U1702" s="45" t="str">
        <f>IFERROR(VLOOKUP(B1702,'Pre-Summary'!$Y$6:$AC$83, 4,FALSE),"")</f>
        <v/>
      </c>
      <c r="V1702" t="str">
        <f>IFERROR(VLOOKUP(B1702,'Pre-Summary'!$Y$6:$AC$83, 5,FALSE),"")</f>
        <v/>
      </c>
      <c r="W1702" s="45" t="str">
        <f>IFERROR(VLOOKUP(B1702,'Pre-Summary'!$Y$6:$AD$83,6,FALSE),"")</f>
        <v/>
      </c>
      <c r="X1702" t="str">
        <f>IFERROR(VLOOKUP('Pre-Summary'!$DB$6:$DD$63,3,FALSE),"")</f>
        <v/>
      </c>
      <c r="Y1702" t="str">
        <f>IFERROR(VLOOKUP(B1702,'Pre-Summary'!$CR$6:$CT$36,3,FALSE),"")</f>
        <v/>
      </c>
      <c r="Z1702" s="45" t="str">
        <f>IFERROR(VLOOKUP(B1702,'Pre-Summary'!$BZ$6:$CB$63,2,FALSE),"")</f>
        <v/>
      </c>
      <c r="AA1702" s="45" t="str">
        <f>IFERROR(VLOOKUP(B1702,'Pre-Summary'!$CG$6:$CI$70,2,FALSE),"")</f>
        <v/>
      </c>
      <c r="AB1702" s="99">
        <f>IFERROR(VLOOKUP(B1702,'Pre-Summary'!$A$6:$P$178,9,FALSE),AB1703)</f>
        <v>0.53610026791870335</v>
      </c>
      <c r="AC1702" s="10">
        <f>IFERROR(VLOOKUP(Summary!B1702,'Pre-Summary'!$A$6:$P$184,5, FALSE)/100,AC1703)</f>
        <v>0.50542533333333328</v>
      </c>
      <c r="AD1702" s="10">
        <f>IFERROR(VLOOKUP(Summary!B1702,'Pre-Summary'!$A$6:$P$184,3, FALSE)/100,AD1703)</f>
        <v>0.49457466666666666</v>
      </c>
      <c r="AE1702" s="10">
        <f>IFERROR(VLOOKUP(Summary!B1702,'Pre-Summary'!$A$6:$P$184,7, FALSE)/100,AE1703)</f>
        <v>0</v>
      </c>
      <c r="AF1702" s="99">
        <f t="shared" si="79"/>
        <v>0.26514161130580338</v>
      </c>
      <c r="AG1702" s="99">
        <f t="shared" si="80"/>
        <v>0</v>
      </c>
      <c r="AH1702" s="10" t="str">
        <f>IFERROR(VLOOKUP(B1702,'Pre-Summary'!$AZ$6:$BE$65,3,FALSE),"")</f>
        <v/>
      </c>
      <c r="AI1702" s="10" t="str">
        <f>IFERROR(VLOOKUP(B1702,'Pre-Summary'!$AZ$6:$BE$65,5,FALSE),"")</f>
        <v/>
      </c>
      <c r="AJ1702" s="10" t="str">
        <f>IFERROR(VLOOKUP(B1702,'Pre-Summary'!$AZ$6:$BE$65,4,FALSE),"")</f>
        <v/>
      </c>
      <c r="AK1702" s="10" t="str">
        <f>IFERROR(VLOOKUP(B1702,'Pre-Summary'!$AZ$6:$BE$65,6,FALSE),"")</f>
        <v/>
      </c>
      <c r="AL1702" s="10" t="str">
        <f>IFERROR(VLOOKUP(B1702,'Pre-Summary'!$BG$6:$BL$44,3,FALSE),"")</f>
        <v/>
      </c>
      <c r="AM1702" s="10" t="str">
        <f>IFERROR(VLOOKUP(B1702,'Pre-Summary'!$BG$6:$BL$44,4,FALSE),"")</f>
        <v/>
      </c>
    </row>
    <row r="1703" spans="2:39" ht="15" customHeight="1" x14ac:dyDescent="0.3">
      <c r="B1703">
        <v>170</v>
      </c>
      <c r="C1703" t="str">
        <f>IFERROR(VLOOKUP(B1703,'Pre-Summary'!$DI$6:$DM$23,4,FALSE),"")</f>
        <v/>
      </c>
      <c r="D1703" s="10" t="str">
        <f>IFERROR(VLOOKUP(B1703,'Pre-Summary'!$AT$6:$AX$14,5,FALSE),D1702)</f>
        <v>Wolfe v3: went back to modified wolfe + EDTA and switched CuSO4 to CUCl2</v>
      </c>
      <c r="E1703" s="10" t="str">
        <f>IFERROR(VLOOKUP(B1703,'Pre-Summary'!$AT$6:$AX$15,4,FALSE),"")</f>
        <v/>
      </c>
      <c r="F1703">
        <f>IFERROR(VLOOKUP(B1703,'Pre-Summary'!$AL$6:$AQ$13,6,FALSE),F1702)</f>
        <v>5.9405263157894746E-2</v>
      </c>
      <c r="G1703" t="str">
        <f>IFERROR(VLOOKUP(B1703,'Pre-Summary'!$AE$6:$AJ$85,3,FALSE),"")</f>
        <v/>
      </c>
      <c r="H1703" t="str">
        <f>IFERROR(VLOOKUP(B1703,'Pre-Summary'!$AE$6:$AJ$85,4,FALSE),"")</f>
        <v/>
      </c>
      <c r="I1703" t="str">
        <f>IFERROR(VLOOKUP(B1703,'Pre-Summary'!$AE$6:$AJ$85,5,FALSE),"")</f>
        <v/>
      </c>
      <c r="J1703" s="45" t="str">
        <f>IFERROR(VLOOKUP(B1703,'Pre-Summary'!$AE$6:$AJ$85,6, FALSE),"")</f>
        <v/>
      </c>
      <c r="K1703" s="45">
        <f>IFERROR(VLOOKUP(B1703,'Pre-Summary'!$DE$6:$DG$61,3,FALSE),"")</f>
        <v>636</v>
      </c>
      <c r="L1703" s="45" t="str">
        <f>IFERROR(VLOOKUP(B1703,'Pre-Summary'!$CU$6:$CW$36,3,FALSE),"")</f>
        <v/>
      </c>
      <c r="M1703" s="45" t="str">
        <f>IFERROR(VLOOKUP(B1703,'Pre-Summary'!$BW$6:$BY$58,2,FALSE),"")</f>
        <v/>
      </c>
      <c r="N1703" s="45" t="str">
        <f>IFERROR(VLOOKUP(B1703,'Pre-Summary'!$CD$6:$CF$64,2,FALSE),"")</f>
        <v/>
      </c>
      <c r="O1703" s="99">
        <f>IFERROR(VLOOKUP(B1703,'Pre-Summary'!$BO$6:$BQ$48,3, FALSE),O1702)</f>
        <v>1.25</v>
      </c>
      <c r="P1703" s="99">
        <f>IFERROR(VLOOKUP(B1703,'Pre-Summary'!$BS$6:$BU$35,3,FALSE),P1702)</f>
        <v>0.33700000000000002</v>
      </c>
      <c r="Q1703" s="54">
        <f t="shared" si="78"/>
        <v>3.7091988130563798</v>
      </c>
      <c r="R1703" s="53">
        <f>IFERROR(VLOOKUP(B1703,'Pre-Summary'!$BG$6:$BM$44,7,FALSE),R1704)</f>
        <v>8.0894687007659741E-2</v>
      </c>
      <c r="S1703" s="53">
        <f>IFERROR(VLOOKUP(B1703,'Pre-Summary'!$BG$6:$BM$44,6,FALSE),S1704)</f>
        <v>6.1014931296205117E-2</v>
      </c>
      <c r="T1703" s="45" t="str">
        <f>IFERROR(VLOOKUP(B1703,'Pre-Summary'!$Y$6:$AC$83, 3,FALSE),"")</f>
        <v/>
      </c>
      <c r="U1703" s="45" t="str">
        <f>IFERROR(VLOOKUP(B1703,'Pre-Summary'!$Y$6:$AC$83, 4,FALSE),"")</f>
        <v/>
      </c>
      <c r="V1703" t="str">
        <f>IFERROR(VLOOKUP(B1703,'Pre-Summary'!$Y$6:$AC$83, 5,FALSE),"")</f>
        <v/>
      </c>
      <c r="W1703" s="45" t="str">
        <f>IFERROR(VLOOKUP(B1703,'Pre-Summary'!$Y$6:$AD$83,6,FALSE),"")</f>
        <v/>
      </c>
      <c r="X1703" t="str">
        <f>IFERROR(VLOOKUP('Pre-Summary'!$DB$6:$DD$63,3,FALSE),"")</f>
        <v/>
      </c>
      <c r="Y1703" t="str">
        <f>IFERROR(VLOOKUP(B1703,'Pre-Summary'!$CR$6:$CT$36,3,FALSE),"")</f>
        <v/>
      </c>
      <c r="Z1703" s="45" t="str">
        <f>IFERROR(VLOOKUP(B1703,'Pre-Summary'!$BZ$6:$CB$63,2,FALSE),"")</f>
        <v/>
      </c>
      <c r="AA1703" s="45" t="str">
        <f>IFERROR(VLOOKUP(B1703,'Pre-Summary'!$CG$6:$CI$70,2,FALSE),"")</f>
        <v/>
      </c>
      <c r="AB1703" s="99">
        <f>IFERROR(VLOOKUP(B1703,'Pre-Summary'!$A$6:$P$178,9,FALSE),AB1704)</f>
        <v>0.53610026791870335</v>
      </c>
      <c r="AC1703" s="10">
        <f>IFERROR(VLOOKUP(Summary!B1703,'Pre-Summary'!$A$6:$P$184,5, FALSE)/100,AC1704)</f>
        <v>0.50542533333333328</v>
      </c>
      <c r="AD1703" s="10">
        <f>IFERROR(VLOOKUP(Summary!B1703,'Pre-Summary'!$A$6:$P$184,3, FALSE)/100,AD1704)</f>
        <v>0.49457466666666666</v>
      </c>
      <c r="AE1703" s="10">
        <f>IFERROR(VLOOKUP(Summary!B1703,'Pre-Summary'!$A$6:$P$184,7, FALSE)/100,AE1704)</f>
        <v>0</v>
      </c>
      <c r="AF1703" s="99">
        <f t="shared" si="79"/>
        <v>0.26514161130580338</v>
      </c>
      <c r="AG1703" s="99">
        <f t="shared" si="80"/>
        <v>0</v>
      </c>
      <c r="AH1703" s="10" t="str">
        <f>IFERROR(VLOOKUP(B1703,'Pre-Summary'!$AZ$6:$BE$65,3,FALSE),"")</f>
        <v/>
      </c>
      <c r="AI1703" s="10" t="str">
        <f>IFERROR(VLOOKUP(B1703,'Pre-Summary'!$AZ$6:$BE$65,5,FALSE),"")</f>
        <v/>
      </c>
      <c r="AJ1703" s="10" t="str">
        <f>IFERROR(VLOOKUP(B1703,'Pre-Summary'!$AZ$6:$BE$65,4,FALSE),"")</f>
        <v/>
      </c>
      <c r="AK1703" s="10" t="str">
        <f>IFERROR(VLOOKUP(B1703,'Pre-Summary'!$AZ$6:$BE$65,6,FALSE),"")</f>
        <v/>
      </c>
      <c r="AL1703" s="10" t="str">
        <f>IFERROR(VLOOKUP(B1703,'Pre-Summary'!$BG$6:$BL$44,3,FALSE),"")</f>
        <v/>
      </c>
      <c r="AM1703" s="10" t="str">
        <f>IFERROR(VLOOKUP(B1703,'Pre-Summary'!$BG$6:$BL$44,4,FALSE),"")</f>
        <v/>
      </c>
    </row>
    <row r="1704" spans="2:39" ht="15" customHeight="1" x14ac:dyDescent="0.3">
      <c r="B1704">
        <v>170.1</v>
      </c>
      <c r="C1704" t="str">
        <f>IFERROR(VLOOKUP(B1704,'Pre-Summary'!$DI$6:$DM$23,4,FALSE),"")</f>
        <v/>
      </c>
      <c r="D1704" s="10" t="str">
        <f>IFERROR(VLOOKUP(B1704,'Pre-Summary'!$AT$6:$AX$14,5,FALSE),D1703)</f>
        <v>Wolfe v3: went back to modified wolfe + EDTA and switched CuSO4 to CUCl2</v>
      </c>
      <c r="E1704" s="10" t="str">
        <f>IFERROR(VLOOKUP(B1704,'Pre-Summary'!$AT$6:$AX$15,4,FALSE),"")</f>
        <v/>
      </c>
      <c r="F1704">
        <f>IFERROR(VLOOKUP(B1704,'Pre-Summary'!$AL$6:$AQ$13,6,FALSE),F1703)</f>
        <v>5.9405263157894746E-2</v>
      </c>
      <c r="G1704" t="str">
        <f>IFERROR(VLOOKUP(B1704,'Pre-Summary'!$AE$6:$AJ$85,3,FALSE),"")</f>
        <v/>
      </c>
      <c r="H1704" t="str">
        <f>IFERROR(VLOOKUP(B1704,'Pre-Summary'!$AE$6:$AJ$85,4,FALSE),"")</f>
        <v/>
      </c>
      <c r="I1704" t="str">
        <f>IFERROR(VLOOKUP(B1704,'Pre-Summary'!$AE$6:$AJ$85,5,FALSE),"")</f>
        <v/>
      </c>
      <c r="J1704" s="45" t="str">
        <f>IFERROR(VLOOKUP(B1704,'Pre-Summary'!$AE$6:$AJ$85,6, FALSE),"")</f>
        <v/>
      </c>
      <c r="K1704" s="45" t="str">
        <f>IFERROR(VLOOKUP(B1704,'Pre-Summary'!$DE$6:$DG$61,3,FALSE),"")</f>
        <v/>
      </c>
      <c r="L1704" s="45" t="str">
        <f>IFERROR(VLOOKUP(B1704,'Pre-Summary'!$CU$6:$CW$36,3,FALSE),"")</f>
        <v/>
      </c>
      <c r="M1704" s="45" t="str">
        <f>IFERROR(VLOOKUP(B1704,'Pre-Summary'!$BW$6:$BY$58,2,FALSE),"")</f>
        <v/>
      </c>
      <c r="N1704" s="45" t="str">
        <f>IFERROR(VLOOKUP(B1704,'Pre-Summary'!$CD$6:$CF$64,2,FALSE),"")</f>
        <v/>
      </c>
      <c r="O1704" s="99">
        <f>IFERROR(VLOOKUP(B1704,'Pre-Summary'!$BO$6:$BQ$48,3, FALSE),O1703)</f>
        <v>1.25</v>
      </c>
      <c r="P1704" s="99">
        <f>IFERROR(VLOOKUP(B1704,'Pre-Summary'!$BS$6:$BU$35,3,FALSE),P1703)</f>
        <v>0.33700000000000002</v>
      </c>
      <c r="Q1704" s="54">
        <f t="shared" si="78"/>
        <v>3.7091988130563798</v>
      </c>
      <c r="R1704" s="53">
        <f>IFERROR(VLOOKUP(B1704,'Pre-Summary'!$BG$6:$BM$44,7,FALSE),R1705)</f>
        <v>8.0894687007659741E-2</v>
      </c>
      <c r="S1704" s="53">
        <f>IFERROR(VLOOKUP(B1704,'Pre-Summary'!$BG$6:$BM$44,6,FALSE),S1705)</f>
        <v>6.1014931296205117E-2</v>
      </c>
      <c r="T1704" s="45" t="str">
        <f>IFERROR(VLOOKUP(B1704,'Pre-Summary'!$Y$6:$AC$83, 3,FALSE),"")</f>
        <v/>
      </c>
      <c r="U1704" s="45" t="str">
        <f>IFERROR(VLOOKUP(B1704,'Pre-Summary'!$Y$6:$AC$83, 4,FALSE),"")</f>
        <v/>
      </c>
      <c r="V1704" t="str">
        <f>IFERROR(VLOOKUP(B1704,'Pre-Summary'!$Y$6:$AC$83, 5,FALSE),"")</f>
        <v/>
      </c>
      <c r="W1704" s="45" t="str">
        <f>IFERROR(VLOOKUP(B1704,'Pre-Summary'!$Y$6:$AD$83,6,FALSE),"")</f>
        <v/>
      </c>
      <c r="X1704" t="str">
        <f>IFERROR(VLOOKUP('Pre-Summary'!$DB$6:$DD$63,3,FALSE),"")</f>
        <v/>
      </c>
      <c r="Y1704" t="str">
        <f>IFERROR(VLOOKUP(B1704,'Pre-Summary'!$CR$6:$CT$36,3,FALSE),"")</f>
        <v/>
      </c>
      <c r="Z1704" s="45" t="str">
        <f>IFERROR(VLOOKUP(B1704,'Pre-Summary'!$BZ$6:$CB$63,2,FALSE),"")</f>
        <v/>
      </c>
      <c r="AA1704" s="45" t="str">
        <f>IFERROR(VLOOKUP(B1704,'Pre-Summary'!$CG$6:$CI$70,2,FALSE),"")</f>
        <v/>
      </c>
      <c r="AB1704" s="99">
        <f>IFERROR(VLOOKUP(B1704,'Pre-Summary'!$A$6:$P$178,9,FALSE),AB1705)</f>
        <v>0.31377326315815007</v>
      </c>
      <c r="AC1704" s="10">
        <f>IFERROR(VLOOKUP(Summary!B1704,'Pre-Summary'!$A$6:$P$184,5, FALSE)/100,AC1705)</f>
        <v>0.46880633333333344</v>
      </c>
      <c r="AD1704" s="10">
        <f>IFERROR(VLOOKUP(Summary!B1704,'Pre-Summary'!$A$6:$P$184,3, FALSE)/100,AD1705)</f>
        <v>0.53119366666666656</v>
      </c>
      <c r="AE1704" s="10">
        <f>IFERROR(VLOOKUP(Summary!B1704,'Pre-Summary'!$A$6:$P$184,7, FALSE)/100,AE1705)</f>
        <v>0</v>
      </c>
      <c r="AF1704" s="99">
        <f t="shared" si="79"/>
        <v>0.16667437015894263</v>
      </c>
      <c r="AG1704" s="99">
        <f t="shared" si="80"/>
        <v>0</v>
      </c>
      <c r="AH1704" s="10" t="str">
        <f>IFERROR(VLOOKUP(B1704,'Pre-Summary'!$AZ$6:$BE$65,3,FALSE),"")</f>
        <v/>
      </c>
      <c r="AI1704" s="10" t="str">
        <f>IFERROR(VLOOKUP(B1704,'Pre-Summary'!$AZ$6:$BE$65,5,FALSE),"")</f>
        <v/>
      </c>
      <c r="AJ1704" s="10" t="str">
        <f>IFERROR(VLOOKUP(B1704,'Pre-Summary'!$AZ$6:$BE$65,4,FALSE),"")</f>
        <v/>
      </c>
      <c r="AK1704" s="10" t="str">
        <f>IFERROR(VLOOKUP(B1704,'Pre-Summary'!$AZ$6:$BE$65,6,FALSE),"")</f>
        <v/>
      </c>
      <c r="AL1704" s="10" t="str">
        <f>IFERROR(VLOOKUP(B1704,'Pre-Summary'!$BG$6:$BL$44,3,FALSE),"")</f>
        <v/>
      </c>
      <c r="AM1704" s="10" t="str">
        <f>IFERROR(VLOOKUP(B1704,'Pre-Summary'!$BG$6:$BL$44,4,FALSE),"")</f>
        <v/>
      </c>
    </row>
    <row r="1705" spans="2:39" ht="15" customHeight="1" x14ac:dyDescent="0.3">
      <c r="B1705">
        <v>170.2</v>
      </c>
      <c r="C1705" t="str">
        <f>IFERROR(VLOOKUP(B1705,'Pre-Summary'!$DI$6:$DM$23,4,FALSE),"")</f>
        <v/>
      </c>
      <c r="D1705" s="10" t="str">
        <f>IFERROR(VLOOKUP(B1705,'Pre-Summary'!$AT$6:$AX$14,5,FALSE),D1704)</f>
        <v>Wolfe v3: went back to modified wolfe + EDTA and switched CuSO4 to CUCl2</v>
      </c>
      <c r="E1705" s="10" t="str">
        <f>IFERROR(VLOOKUP(B1705,'Pre-Summary'!$AT$6:$AX$15,4,FALSE),"")</f>
        <v/>
      </c>
      <c r="F1705">
        <f>IFERROR(VLOOKUP(B1705,'Pre-Summary'!$AL$6:$AQ$13,6,FALSE),F1704)</f>
        <v>5.9405263157894746E-2</v>
      </c>
      <c r="G1705" t="str">
        <f>IFERROR(VLOOKUP(B1705,'Pre-Summary'!$AE$6:$AJ$85,3,FALSE),"")</f>
        <v/>
      </c>
      <c r="H1705" t="str">
        <f>IFERROR(VLOOKUP(B1705,'Pre-Summary'!$AE$6:$AJ$85,4,FALSE),"")</f>
        <v/>
      </c>
      <c r="I1705" t="str">
        <f>IFERROR(VLOOKUP(B1705,'Pre-Summary'!$AE$6:$AJ$85,5,FALSE),"")</f>
        <v/>
      </c>
      <c r="J1705" s="45" t="str">
        <f>IFERROR(VLOOKUP(B1705,'Pre-Summary'!$AE$6:$AJ$85,6, FALSE),"")</f>
        <v/>
      </c>
      <c r="K1705" s="45" t="str">
        <f>IFERROR(VLOOKUP(B1705,'Pre-Summary'!$DE$6:$DG$61,3,FALSE),"")</f>
        <v/>
      </c>
      <c r="L1705" s="45" t="str">
        <f>IFERROR(VLOOKUP(B1705,'Pre-Summary'!$CU$6:$CW$36,3,FALSE),"")</f>
        <v/>
      </c>
      <c r="M1705" s="45" t="str">
        <f>IFERROR(VLOOKUP(B1705,'Pre-Summary'!$BW$6:$BY$58,2,FALSE),"")</f>
        <v/>
      </c>
      <c r="N1705" s="45" t="str">
        <f>IFERROR(VLOOKUP(B1705,'Pre-Summary'!$CD$6:$CF$64,2,FALSE),"")</f>
        <v/>
      </c>
      <c r="O1705" s="99">
        <f>IFERROR(VLOOKUP(B1705,'Pre-Summary'!$BO$6:$BQ$48,3, FALSE),O1704)</f>
        <v>1.25</v>
      </c>
      <c r="P1705" s="99">
        <f>IFERROR(VLOOKUP(B1705,'Pre-Summary'!$BS$6:$BU$35,3,FALSE),P1704)</f>
        <v>0.33700000000000002</v>
      </c>
      <c r="Q1705" s="54">
        <f t="shared" si="78"/>
        <v>3.7091988130563798</v>
      </c>
      <c r="R1705" s="53">
        <f>IFERROR(VLOOKUP(B1705,'Pre-Summary'!$BG$6:$BM$44,7,FALSE),R1706)</f>
        <v>8.0894687007659741E-2</v>
      </c>
      <c r="S1705" s="53">
        <f>IFERROR(VLOOKUP(B1705,'Pre-Summary'!$BG$6:$BM$44,6,FALSE),S1706)</f>
        <v>6.1014931296205117E-2</v>
      </c>
      <c r="T1705" s="45" t="str">
        <f>IFERROR(VLOOKUP(B1705,'Pre-Summary'!$Y$6:$AC$83, 3,FALSE),"")</f>
        <v/>
      </c>
      <c r="U1705" s="45" t="str">
        <f>IFERROR(VLOOKUP(B1705,'Pre-Summary'!$Y$6:$AC$83, 4,FALSE),"")</f>
        <v/>
      </c>
      <c r="V1705" t="str">
        <f>IFERROR(VLOOKUP(B1705,'Pre-Summary'!$Y$6:$AC$83, 5,FALSE),"")</f>
        <v/>
      </c>
      <c r="W1705" s="45" t="str">
        <f>IFERROR(VLOOKUP(B1705,'Pre-Summary'!$Y$6:$AD$83,6,FALSE),"")</f>
        <v/>
      </c>
      <c r="X1705" t="str">
        <f>IFERROR(VLOOKUP('Pre-Summary'!$DB$6:$DD$63,3,FALSE),"")</f>
        <v/>
      </c>
      <c r="Y1705" t="str">
        <f>IFERROR(VLOOKUP(B1705,'Pre-Summary'!$CR$6:$CT$36,3,FALSE),"")</f>
        <v/>
      </c>
      <c r="Z1705" s="45" t="str">
        <f>IFERROR(VLOOKUP(B1705,'Pre-Summary'!$BZ$6:$CB$63,2,FALSE),"")</f>
        <v/>
      </c>
      <c r="AA1705" s="45" t="str">
        <f>IFERROR(VLOOKUP(B1705,'Pre-Summary'!$CG$6:$CI$70,2,FALSE),"")</f>
        <v/>
      </c>
      <c r="AB1705" s="99">
        <f>IFERROR(VLOOKUP(B1705,'Pre-Summary'!$A$6:$P$178,9,FALSE),AB1706)</f>
        <v>0.31377326315815007</v>
      </c>
      <c r="AC1705" s="10">
        <f>IFERROR(VLOOKUP(Summary!B1705,'Pre-Summary'!$A$6:$P$184,5, FALSE)/100,AC1706)</f>
        <v>0.46880633333333344</v>
      </c>
      <c r="AD1705" s="10">
        <f>IFERROR(VLOOKUP(Summary!B1705,'Pre-Summary'!$A$6:$P$184,3, FALSE)/100,AD1706)</f>
        <v>0.53119366666666656</v>
      </c>
      <c r="AE1705" s="10">
        <f>IFERROR(VLOOKUP(Summary!B1705,'Pre-Summary'!$A$6:$P$184,7, FALSE)/100,AE1706)</f>
        <v>0</v>
      </c>
      <c r="AF1705" s="99">
        <f t="shared" si="79"/>
        <v>0.16667437015894263</v>
      </c>
      <c r="AG1705" s="99">
        <f t="shared" si="80"/>
        <v>0</v>
      </c>
      <c r="AH1705" s="10" t="str">
        <f>IFERROR(VLOOKUP(B1705,'Pre-Summary'!$AZ$6:$BE$65,3,FALSE),"")</f>
        <v/>
      </c>
      <c r="AI1705" s="10" t="str">
        <f>IFERROR(VLOOKUP(B1705,'Pre-Summary'!$AZ$6:$BE$65,5,FALSE),"")</f>
        <v/>
      </c>
      <c r="AJ1705" s="10" t="str">
        <f>IFERROR(VLOOKUP(B1705,'Pre-Summary'!$AZ$6:$BE$65,4,FALSE),"")</f>
        <v/>
      </c>
      <c r="AK1705" s="10" t="str">
        <f>IFERROR(VLOOKUP(B1705,'Pre-Summary'!$AZ$6:$BE$65,6,FALSE),"")</f>
        <v/>
      </c>
      <c r="AL1705" s="10" t="str">
        <f>IFERROR(VLOOKUP(B1705,'Pre-Summary'!$BG$6:$BL$44,3,FALSE),"")</f>
        <v/>
      </c>
      <c r="AM1705" s="10" t="str">
        <f>IFERROR(VLOOKUP(B1705,'Pre-Summary'!$BG$6:$BL$44,4,FALSE),"")</f>
        <v/>
      </c>
    </row>
    <row r="1706" spans="2:39" ht="15" customHeight="1" x14ac:dyDescent="0.3">
      <c r="B1706">
        <v>170.3</v>
      </c>
      <c r="C1706" t="str">
        <f>IFERROR(VLOOKUP(B1706,'Pre-Summary'!$DI$6:$DM$23,4,FALSE),"")</f>
        <v/>
      </c>
      <c r="D1706" s="10" t="str">
        <f>IFERROR(VLOOKUP(B1706,'Pre-Summary'!$AT$6:$AX$14,5,FALSE),D1705)</f>
        <v>Wolfe v3: went back to modified wolfe + EDTA and switched CuSO4 to CUCl2</v>
      </c>
      <c r="E1706" s="10" t="str">
        <f>IFERROR(VLOOKUP(B1706,'Pre-Summary'!$AT$6:$AX$15,4,FALSE),"")</f>
        <v/>
      </c>
      <c r="F1706">
        <f>IFERROR(VLOOKUP(B1706,'Pre-Summary'!$AL$6:$AQ$13,6,FALSE),F1705)</f>
        <v>5.9405263157894746E-2</v>
      </c>
      <c r="G1706" t="str">
        <f>IFERROR(VLOOKUP(B1706,'Pre-Summary'!$AE$6:$AJ$85,3,FALSE),"")</f>
        <v/>
      </c>
      <c r="H1706" t="str">
        <f>IFERROR(VLOOKUP(B1706,'Pre-Summary'!$AE$6:$AJ$85,4,FALSE),"")</f>
        <v/>
      </c>
      <c r="I1706" t="str">
        <f>IFERROR(VLOOKUP(B1706,'Pre-Summary'!$AE$6:$AJ$85,5,FALSE),"")</f>
        <v/>
      </c>
      <c r="J1706" s="45" t="str">
        <f>IFERROR(VLOOKUP(B1706,'Pre-Summary'!$AE$6:$AJ$85,6, FALSE),"")</f>
        <v/>
      </c>
      <c r="K1706" s="45" t="str">
        <f>IFERROR(VLOOKUP(B1706,'Pre-Summary'!$DE$6:$DG$61,3,FALSE),"")</f>
        <v/>
      </c>
      <c r="L1706" s="45" t="str">
        <f>IFERROR(VLOOKUP(B1706,'Pre-Summary'!$CU$6:$CW$36,3,FALSE),"")</f>
        <v/>
      </c>
      <c r="M1706" s="45" t="str">
        <f>IFERROR(VLOOKUP(B1706,'Pre-Summary'!$BW$6:$BY$58,2,FALSE),"")</f>
        <v/>
      </c>
      <c r="N1706" s="45" t="str">
        <f>IFERROR(VLOOKUP(B1706,'Pre-Summary'!$CD$6:$CF$64,2,FALSE),"")</f>
        <v/>
      </c>
      <c r="O1706" s="99">
        <f>IFERROR(VLOOKUP(B1706,'Pre-Summary'!$BO$6:$BQ$48,3, FALSE),O1705)</f>
        <v>1.25</v>
      </c>
      <c r="P1706" s="99">
        <f>IFERROR(VLOOKUP(B1706,'Pre-Summary'!$BS$6:$BU$35,3,FALSE),P1705)</f>
        <v>0.33700000000000002</v>
      </c>
      <c r="Q1706" s="54">
        <f t="shared" si="78"/>
        <v>3.7091988130563798</v>
      </c>
      <c r="R1706" s="53">
        <f>IFERROR(VLOOKUP(B1706,'Pre-Summary'!$BG$6:$BM$44,7,FALSE),R1707)</f>
        <v>8.0894687007659741E-2</v>
      </c>
      <c r="S1706" s="53">
        <f>IFERROR(VLOOKUP(B1706,'Pre-Summary'!$BG$6:$BM$44,6,FALSE),S1707)</f>
        <v>6.1014931296205117E-2</v>
      </c>
      <c r="T1706" s="45" t="str">
        <f>IFERROR(VLOOKUP(B1706,'Pre-Summary'!$Y$6:$AC$83, 3,FALSE),"")</f>
        <v/>
      </c>
      <c r="U1706" s="45" t="str">
        <f>IFERROR(VLOOKUP(B1706,'Pre-Summary'!$Y$6:$AC$83, 4,FALSE),"")</f>
        <v/>
      </c>
      <c r="V1706" t="str">
        <f>IFERROR(VLOOKUP(B1706,'Pre-Summary'!$Y$6:$AC$83, 5,FALSE),"")</f>
        <v/>
      </c>
      <c r="W1706" s="45" t="str">
        <f>IFERROR(VLOOKUP(B1706,'Pre-Summary'!$Y$6:$AD$83,6,FALSE),"")</f>
        <v/>
      </c>
      <c r="X1706" t="str">
        <f>IFERROR(VLOOKUP('Pre-Summary'!$DB$6:$DD$63,3,FALSE),"")</f>
        <v/>
      </c>
      <c r="Y1706" t="str">
        <f>IFERROR(VLOOKUP(B1706,'Pre-Summary'!$CR$6:$CT$36,3,FALSE),"")</f>
        <v/>
      </c>
      <c r="Z1706" s="45" t="str">
        <f>IFERROR(VLOOKUP(B1706,'Pre-Summary'!$BZ$6:$CB$63,2,FALSE),"")</f>
        <v/>
      </c>
      <c r="AA1706" s="45" t="str">
        <f>IFERROR(VLOOKUP(B1706,'Pre-Summary'!$CG$6:$CI$70,2,FALSE),"")</f>
        <v/>
      </c>
      <c r="AB1706" s="99">
        <f>IFERROR(VLOOKUP(B1706,'Pre-Summary'!$A$6:$P$178,9,FALSE),AB1707)</f>
        <v>0.31377326315815007</v>
      </c>
      <c r="AC1706" s="10">
        <f>IFERROR(VLOOKUP(Summary!B1706,'Pre-Summary'!$A$6:$P$184,5, FALSE)/100,AC1707)</f>
        <v>0.46880633333333344</v>
      </c>
      <c r="AD1706" s="10">
        <f>IFERROR(VLOOKUP(Summary!B1706,'Pre-Summary'!$A$6:$P$184,3, FALSE)/100,AD1707)</f>
        <v>0.53119366666666656</v>
      </c>
      <c r="AE1706" s="10">
        <f>IFERROR(VLOOKUP(Summary!B1706,'Pre-Summary'!$A$6:$P$184,7, FALSE)/100,AE1707)</f>
        <v>0</v>
      </c>
      <c r="AF1706" s="99">
        <f t="shared" si="79"/>
        <v>0.16667437015894263</v>
      </c>
      <c r="AG1706" s="99">
        <f t="shared" si="80"/>
        <v>0</v>
      </c>
      <c r="AH1706" s="10" t="str">
        <f>IFERROR(VLOOKUP(B1706,'Pre-Summary'!$AZ$6:$BE$65,3,FALSE),"")</f>
        <v/>
      </c>
      <c r="AI1706" s="10" t="str">
        <f>IFERROR(VLOOKUP(B1706,'Pre-Summary'!$AZ$6:$BE$65,5,FALSE),"")</f>
        <v/>
      </c>
      <c r="AJ1706" s="10" t="str">
        <f>IFERROR(VLOOKUP(B1706,'Pre-Summary'!$AZ$6:$BE$65,4,FALSE),"")</f>
        <v/>
      </c>
      <c r="AK1706" s="10" t="str">
        <f>IFERROR(VLOOKUP(B1706,'Pre-Summary'!$AZ$6:$BE$65,6,FALSE),"")</f>
        <v/>
      </c>
      <c r="AL1706" s="10" t="str">
        <f>IFERROR(VLOOKUP(B1706,'Pre-Summary'!$BG$6:$BL$44,3,FALSE),"")</f>
        <v/>
      </c>
      <c r="AM1706" s="10" t="str">
        <f>IFERROR(VLOOKUP(B1706,'Pre-Summary'!$BG$6:$BL$44,4,FALSE),"")</f>
        <v/>
      </c>
    </row>
    <row r="1707" spans="2:39" ht="15" customHeight="1" x14ac:dyDescent="0.3">
      <c r="B1707">
        <v>170.4</v>
      </c>
      <c r="C1707" t="str">
        <f>IFERROR(VLOOKUP(B1707,'Pre-Summary'!$DI$6:$DM$23,4,FALSE),"")</f>
        <v/>
      </c>
      <c r="D1707" s="10" t="str">
        <f>IFERROR(VLOOKUP(B1707,'Pre-Summary'!$AT$6:$AX$14,5,FALSE),D1706)</f>
        <v>Wolfe v3: went back to modified wolfe + EDTA and switched CuSO4 to CUCl2</v>
      </c>
      <c r="E1707" s="10" t="str">
        <f>IFERROR(VLOOKUP(B1707,'Pre-Summary'!$AT$6:$AX$15,4,FALSE),"")</f>
        <v/>
      </c>
      <c r="F1707">
        <f>IFERROR(VLOOKUP(B1707,'Pre-Summary'!$AL$6:$AQ$13,6,FALSE),F1706)</f>
        <v>5.9405263157894746E-2</v>
      </c>
      <c r="G1707" t="str">
        <f>IFERROR(VLOOKUP(B1707,'Pre-Summary'!$AE$6:$AJ$85,3,FALSE),"")</f>
        <v/>
      </c>
      <c r="H1707" t="str">
        <f>IFERROR(VLOOKUP(B1707,'Pre-Summary'!$AE$6:$AJ$85,4,FALSE),"")</f>
        <v/>
      </c>
      <c r="I1707" t="str">
        <f>IFERROR(VLOOKUP(B1707,'Pre-Summary'!$AE$6:$AJ$85,5,FALSE),"")</f>
        <v/>
      </c>
      <c r="J1707" s="45" t="str">
        <f>IFERROR(VLOOKUP(B1707,'Pre-Summary'!$AE$6:$AJ$85,6, FALSE),"")</f>
        <v/>
      </c>
      <c r="K1707" s="45" t="str">
        <f>IFERROR(VLOOKUP(B1707,'Pre-Summary'!$DE$6:$DG$61,3,FALSE),"")</f>
        <v/>
      </c>
      <c r="L1707" s="45" t="str">
        <f>IFERROR(VLOOKUP(B1707,'Pre-Summary'!$CU$6:$CW$36,3,FALSE),"")</f>
        <v/>
      </c>
      <c r="M1707" s="45" t="str">
        <f>IFERROR(VLOOKUP(B1707,'Pre-Summary'!$BW$6:$BY$58,2,FALSE),"")</f>
        <v/>
      </c>
      <c r="N1707" s="45" t="str">
        <f>IFERROR(VLOOKUP(B1707,'Pre-Summary'!$CD$6:$CF$64,2,FALSE),"")</f>
        <v/>
      </c>
      <c r="O1707" s="99">
        <f>IFERROR(VLOOKUP(B1707,'Pre-Summary'!$BO$6:$BQ$48,3, FALSE),O1706)</f>
        <v>1.25</v>
      </c>
      <c r="P1707" s="99">
        <f>IFERROR(VLOOKUP(B1707,'Pre-Summary'!$BS$6:$BU$35,3,FALSE),P1706)</f>
        <v>0.33700000000000002</v>
      </c>
      <c r="Q1707" s="54">
        <f t="shared" si="78"/>
        <v>3.7091988130563798</v>
      </c>
      <c r="R1707" s="53">
        <f>IFERROR(VLOOKUP(B1707,'Pre-Summary'!$BG$6:$BM$44,7,FALSE),R1708)</f>
        <v>8.0894687007659741E-2</v>
      </c>
      <c r="S1707" s="53">
        <f>IFERROR(VLOOKUP(B1707,'Pre-Summary'!$BG$6:$BM$44,6,FALSE),S1708)</f>
        <v>6.1014931296205117E-2</v>
      </c>
      <c r="T1707" s="45" t="str">
        <f>IFERROR(VLOOKUP(B1707,'Pre-Summary'!$Y$6:$AC$83, 3,FALSE),"")</f>
        <v/>
      </c>
      <c r="U1707" s="45" t="str">
        <f>IFERROR(VLOOKUP(B1707,'Pre-Summary'!$Y$6:$AC$83, 4,FALSE),"")</f>
        <v/>
      </c>
      <c r="V1707" t="str">
        <f>IFERROR(VLOOKUP(B1707,'Pre-Summary'!$Y$6:$AC$83, 5,FALSE),"")</f>
        <v/>
      </c>
      <c r="W1707" s="45" t="str">
        <f>IFERROR(VLOOKUP(B1707,'Pre-Summary'!$Y$6:$AD$83,6,FALSE),"")</f>
        <v/>
      </c>
      <c r="X1707" t="str">
        <f>IFERROR(VLOOKUP('Pre-Summary'!$DB$6:$DD$63,3,FALSE),"")</f>
        <v/>
      </c>
      <c r="Y1707" t="str">
        <f>IFERROR(VLOOKUP(B1707,'Pre-Summary'!$CR$6:$CT$36,3,FALSE),"")</f>
        <v/>
      </c>
      <c r="Z1707" s="45" t="str">
        <f>IFERROR(VLOOKUP(B1707,'Pre-Summary'!$BZ$6:$CB$63,2,FALSE),"")</f>
        <v/>
      </c>
      <c r="AA1707" s="45" t="str">
        <f>IFERROR(VLOOKUP(B1707,'Pre-Summary'!$CG$6:$CI$70,2,FALSE),"")</f>
        <v/>
      </c>
      <c r="AB1707" s="99">
        <f>IFERROR(VLOOKUP(B1707,'Pre-Summary'!$A$6:$P$178,9,FALSE),AB1708)</f>
        <v>0.31377326315815007</v>
      </c>
      <c r="AC1707" s="10">
        <f>IFERROR(VLOOKUP(Summary!B1707,'Pre-Summary'!$A$6:$P$184,5, FALSE)/100,AC1708)</f>
        <v>0.46880633333333344</v>
      </c>
      <c r="AD1707" s="10">
        <f>IFERROR(VLOOKUP(Summary!B1707,'Pre-Summary'!$A$6:$P$184,3, FALSE)/100,AD1708)</f>
        <v>0.53119366666666656</v>
      </c>
      <c r="AE1707" s="10">
        <f>IFERROR(VLOOKUP(Summary!B1707,'Pre-Summary'!$A$6:$P$184,7, FALSE)/100,AE1708)</f>
        <v>0</v>
      </c>
      <c r="AF1707" s="99">
        <f t="shared" si="79"/>
        <v>0.16667437015894263</v>
      </c>
      <c r="AG1707" s="99">
        <f t="shared" si="80"/>
        <v>0</v>
      </c>
      <c r="AH1707" s="10" t="str">
        <f>IFERROR(VLOOKUP(B1707,'Pre-Summary'!$AZ$6:$BE$65,3,FALSE),"")</f>
        <v/>
      </c>
      <c r="AI1707" s="10" t="str">
        <f>IFERROR(VLOOKUP(B1707,'Pre-Summary'!$AZ$6:$BE$65,5,FALSE),"")</f>
        <v/>
      </c>
      <c r="AJ1707" s="10" t="str">
        <f>IFERROR(VLOOKUP(B1707,'Pre-Summary'!$AZ$6:$BE$65,4,FALSE),"")</f>
        <v/>
      </c>
      <c r="AK1707" s="10" t="str">
        <f>IFERROR(VLOOKUP(B1707,'Pre-Summary'!$AZ$6:$BE$65,6,FALSE),"")</f>
        <v/>
      </c>
      <c r="AL1707" s="10" t="str">
        <f>IFERROR(VLOOKUP(B1707,'Pre-Summary'!$BG$6:$BL$44,3,FALSE),"")</f>
        <v/>
      </c>
      <c r="AM1707" s="10" t="str">
        <f>IFERROR(VLOOKUP(B1707,'Pre-Summary'!$BG$6:$BL$44,4,FALSE),"")</f>
        <v/>
      </c>
    </row>
    <row r="1708" spans="2:39" ht="15" customHeight="1" x14ac:dyDescent="0.3">
      <c r="B1708">
        <v>170.5</v>
      </c>
      <c r="C1708" t="str">
        <f>IFERROR(VLOOKUP(B1708,'Pre-Summary'!$DI$6:$DM$23,4,FALSE),"")</f>
        <v/>
      </c>
      <c r="D1708" s="10" t="str">
        <f>IFERROR(VLOOKUP(B1708,'Pre-Summary'!$AT$6:$AX$14,5,FALSE),D1707)</f>
        <v>Wolfe v3: went back to modified wolfe + EDTA and switched CuSO4 to CUCl2</v>
      </c>
      <c r="E1708" s="10" t="str">
        <f>IFERROR(VLOOKUP(B1708,'Pre-Summary'!$AT$6:$AX$15,4,FALSE),"")</f>
        <v/>
      </c>
      <c r="F1708">
        <f>IFERROR(VLOOKUP(B1708,'Pre-Summary'!$AL$6:$AQ$13,6,FALSE),F1707)</f>
        <v>5.9405263157894746E-2</v>
      </c>
      <c r="G1708" t="str">
        <f>IFERROR(VLOOKUP(B1708,'Pre-Summary'!$AE$6:$AJ$85,3,FALSE),"")</f>
        <v/>
      </c>
      <c r="H1708" t="str">
        <f>IFERROR(VLOOKUP(B1708,'Pre-Summary'!$AE$6:$AJ$85,4,FALSE),"")</f>
        <v/>
      </c>
      <c r="I1708" t="str">
        <f>IFERROR(VLOOKUP(B1708,'Pre-Summary'!$AE$6:$AJ$85,5,FALSE),"")</f>
        <v/>
      </c>
      <c r="J1708" s="45" t="str">
        <f>IFERROR(VLOOKUP(B1708,'Pre-Summary'!$AE$6:$AJ$85,6, FALSE),"")</f>
        <v/>
      </c>
      <c r="K1708" s="45" t="str">
        <f>IFERROR(VLOOKUP(B1708,'Pre-Summary'!$DE$6:$DG$61,3,FALSE),"")</f>
        <v/>
      </c>
      <c r="L1708" s="45" t="str">
        <f>IFERROR(VLOOKUP(B1708,'Pre-Summary'!$CU$6:$CW$36,3,FALSE),"")</f>
        <v/>
      </c>
      <c r="M1708" s="45" t="str">
        <f>IFERROR(VLOOKUP(B1708,'Pre-Summary'!$BW$6:$BY$58,2,FALSE),"")</f>
        <v/>
      </c>
      <c r="N1708" s="45" t="str">
        <f>IFERROR(VLOOKUP(B1708,'Pre-Summary'!$CD$6:$CF$64,2,FALSE),"")</f>
        <v/>
      </c>
      <c r="O1708" s="99">
        <f>IFERROR(VLOOKUP(B1708,'Pre-Summary'!$BO$6:$BQ$48,3, FALSE),O1707)</f>
        <v>1.25</v>
      </c>
      <c r="P1708" s="99">
        <f>IFERROR(VLOOKUP(B1708,'Pre-Summary'!$BS$6:$BU$35,3,FALSE),P1707)</f>
        <v>0.33700000000000002</v>
      </c>
      <c r="Q1708" s="54">
        <f t="shared" si="78"/>
        <v>3.7091988130563798</v>
      </c>
      <c r="R1708" s="53">
        <f>IFERROR(VLOOKUP(B1708,'Pre-Summary'!$BG$6:$BM$44,7,FALSE),R1709)</f>
        <v>8.0894687007659741E-2</v>
      </c>
      <c r="S1708" s="53">
        <f>IFERROR(VLOOKUP(B1708,'Pre-Summary'!$BG$6:$BM$44,6,FALSE),S1709)</f>
        <v>6.1014931296205117E-2</v>
      </c>
      <c r="T1708" s="45" t="str">
        <f>IFERROR(VLOOKUP(B1708,'Pre-Summary'!$Y$6:$AC$83, 3,FALSE),"")</f>
        <v/>
      </c>
      <c r="U1708" s="45" t="str">
        <f>IFERROR(VLOOKUP(B1708,'Pre-Summary'!$Y$6:$AC$83, 4,FALSE),"")</f>
        <v/>
      </c>
      <c r="V1708" t="str">
        <f>IFERROR(VLOOKUP(B1708,'Pre-Summary'!$Y$6:$AC$83, 5,FALSE),"")</f>
        <v/>
      </c>
      <c r="W1708" s="45" t="str">
        <f>IFERROR(VLOOKUP(B1708,'Pre-Summary'!$Y$6:$AD$83,6,FALSE),"")</f>
        <v/>
      </c>
      <c r="X1708" t="str">
        <f>IFERROR(VLOOKUP('Pre-Summary'!$DB$6:$DD$63,3,FALSE),"")</f>
        <v/>
      </c>
      <c r="Y1708" t="str">
        <f>IFERROR(VLOOKUP(B1708,'Pre-Summary'!$CR$6:$CT$36,3,FALSE),"")</f>
        <v/>
      </c>
      <c r="Z1708" s="45" t="str">
        <f>IFERROR(VLOOKUP(B1708,'Pre-Summary'!$BZ$6:$CB$63,2,FALSE),"")</f>
        <v/>
      </c>
      <c r="AA1708" s="45" t="str">
        <f>IFERROR(VLOOKUP(B1708,'Pre-Summary'!$CG$6:$CI$70,2,FALSE),"")</f>
        <v/>
      </c>
      <c r="AB1708" s="99">
        <f>IFERROR(VLOOKUP(B1708,'Pre-Summary'!$A$6:$P$178,9,FALSE),AB1709)</f>
        <v>0.31377326315815007</v>
      </c>
      <c r="AC1708" s="10">
        <f>IFERROR(VLOOKUP(Summary!B1708,'Pre-Summary'!$A$6:$P$184,5, FALSE)/100,AC1709)</f>
        <v>0.46880633333333344</v>
      </c>
      <c r="AD1708" s="10">
        <f>IFERROR(VLOOKUP(Summary!B1708,'Pre-Summary'!$A$6:$P$184,3, FALSE)/100,AD1709)</f>
        <v>0.53119366666666656</v>
      </c>
      <c r="AE1708" s="10">
        <f>IFERROR(VLOOKUP(Summary!B1708,'Pre-Summary'!$A$6:$P$184,7, FALSE)/100,AE1709)</f>
        <v>0</v>
      </c>
      <c r="AF1708" s="99">
        <f t="shared" si="79"/>
        <v>0.16667437015894263</v>
      </c>
      <c r="AG1708" s="99">
        <f t="shared" si="80"/>
        <v>0</v>
      </c>
      <c r="AH1708" s="10" t="str">
        <f>IFERROR(VLOOKUP(B1708,'Pre-Summary'!$AZ$6:$BE$65,3,FALSE),"")</f>
        <v/>
      </c>
      <c r="AI1708" s="10" t="str">
        <f>IFERROR(VLOOKUP(B1708,'Pre-Summary'!$AZ$6:$BE$65,5,FALSE),"")</f>
        <v/>
      </c>
      <c r="AJ1708" s="10" t="str">
        <f>IFERROR(VLOOKUP(B1708,'Pre-Summary'!$AZ$6:$BE$65,4,FALSE),"")</f>
        <v/>
      </c>
      <c r="AK1708" s="10" t="str">
        <f>IFERROR(VLOOKUP(B1708,'Pre-Summary'!$AZ$6:$BE$65,6,FALSE),"")</f>
        <v/>
      </c>
      <c r="AL1708" s="10" t="str">
        <f>IFERROR(VLOOKUP(B1708,'Pre-Summary'!$BG$6:$BL$44,3,FALSE),"")</f>
        <v/>
      </c>
      <c r="AM1708" s="10" t="str">
        <f>IFERROR(VLOOKUP(B1708,'Pre-Summary'!$BG$6:$BL$44,4,FALSE),"")</f>
        <v/>
      </c>
    </row>
    <row r="1709" spans="2:39" ht="15" customHeight="1" x14ac:dyDescent="0.3">
      <c r="B1709">
        <v>170.6</v>
      </c>
      <c r="C1709" t="str">
        <f>IFERROR(VLOOKUP(B1709,'Pre-Summary'!$DI$6:$DM$23,4,FALSE),"")</f>
        <v/>
      </c>
      <c r="D1709" s="10" t="str">
        <f>IFERROR(VLOOKUP(B1709,'Pre-Summary'!$AT$6:$AX$14,5,FALSE),D1708)</f>
        <v>Wolfe v3: went back to modified wolfe + EDTA and switched CuSO4 to CUCl2</v>
      </c>
      <c r="E1709" s="10" t="str">
        <f>IFERROR(VLOOKUP(B1709,'Pre-Summary'!$AT$6:$AX$15,4,FALSE),"")</f>
        <v/>
      </c>
      <c r="F1709">
        <f>IFERROR(VLOOKUP(B1709,'Pre-Summary'!$AL$6:$AQ$13,6,FALSE),F1708)</f>
        <v>5.9405263157894746E-2</v>
      </c>
      <c r="G1709" t="str">
        <f>IFERROR(VLOOKUP(B1709,'Pre-Summary'!$AE$6:$AJ$85,3,FALSE),"")</f>
        <v/>
      </c>
      <c r="H1709" t="str">
        <f>IFERROR(VLOOKUP(B1709,'Pre-Summary'!$AE$6:$AJ$85,4,FALSE),"")</f>
        <v/>
      </c>
      <c r="I1709" t="str">
        <f>IFERROR(VLOOKUP(B1709,'Pre-Summary'!$AE$6:$AJ$85,5,FALSE),"")</f>
        <v/>
      </c>
      <c r="J1709" s="45" t="str">
        <f>IFERROR(VLOOKUP(B1709,'Pre-Summary'!$AE$6:$AJ$85,6, FALSE),"")</f>
        <v/>
      </c>
      <c r="K1709" s="45" t="str">
        <f>IFERROR(VLOOKUP(B1709,'Pre-Summary'!$DE$6:$DG$61,3,FALSE),"")</f>
        <v/>
      </c>
      <c r="L1709" s="45" t="str">
        <f>IFERROR(VLOOKUP(B1709,'Pre-Summary'!$CU$6:$CW$36,3,FALSE),"")</f>
        <v/>
      </c>
      <c r="M1709" s="45" t="str">
        <f>IFERROR(VLOOKUP(B1709,'Pre-Summary'!$BW$6:$BY$58,2,FALSE),"")</f>
        <v/>
      </c>
      <c r="N1709" s="45" t="str">
        <f>IFERROR(VLOOKUP(B1709,'Pre-Summary'!$CD$6:$CF$64,2,FALSE),"")</f>
        <v/>
      </c>
      <c r="O1709" s="99">
        <f>IFERROR(VLOOKUP(B1709,'Pre-Summary'!$BO$6:$BQ$48,3, FALSE),O1708)</f>
        <v>1.25</v>
      </c>
      <c r="P1709" s="99">
        <f>IFERROR(VLOOKUP(B1709,'Pre-Summary'!$BS$6:$BU$35,3,FALSE),P1708)</f>
        <v>0.33700000000000002</v>
      </c>
      <c r="Q1709" s="54">
        <f t="shared" si="78"/>
        <v>3.7091988130563798</v>
      </c>
      <c r="R1709" s="53">
        <f>IFERROR(VLOOKUP(B1709,'Pre-Summary'!$BG$6:$BM$44,7,FALSE),R1710)</f>
        <v>8.0894687007659741E-2</v>
      </c>
      <c r="S1709" s="53">
        <f>IFERROR(VLOOKUP(B1709,'Pre-Summary'!$BG$6:$BM$44,6,FALSE),S1710)</f>
        <v>6.1014931296205117E-2</v>
      </c>
      <c r="T1709" s="45" t="str">
        <f>IFERROR(VLOOKUP(B1709,'Pre-Summary'!$Y$6:$AC$83, 3,FALSE),"")</f>
        <v/>
      </c>
      <c r="U1709" s="45" t="str">
        <f>IFERROR(VLOOKUP(B1709,'Pre-Summary'!$Y$6:$AC$83, 4,FALSE),"")</f>
        <v/>
      </c>
      <c r="V1709" t="str">
        <f>IFERROR(VLOOKUP(B1709,'Pre-Summary'!$Y$6:$AC$83, 5,FALSE),"")</f>
        <v/>
      </c>
      <c r="W1709" s="45" t="str">
        <f>IFERROR(VLOOKUP(B1709,'Pre-Summary'!$Y$6:$AD$83,6,FALSE),"")</f>
        <v/>
      </c>
      <c r="X1709" t="str">
        <f>IFERROR(VLOOKUP('Pre-Summary'!$DB$6:$DD$63,3,FALSE),"")</f>
        <v/>
      </c>
      <c r="Y1709" t="str">
        <f>IFERROR(VLOOKUP(B1709,'Pre-Summary'!$CR$6:$CT$36,3,FALSE),"")</f>
        <v/>
      </c>
      <c r="Z1709" s="45" t="str">
        <f>IFERROR(VLOOKUP(B1709,'Pre-Summary'!$BZ$6:$CB$63,2,FALSE),"")</f>
        <v/>
      </c>
      <c r="AA1709" s="45" t="str">
        <f>IFERROR(VLOOKUP(B1709,'Pre-Summary'!$CG$6:$CI$70,2,FALSE),"")</f>
        <v/>
      </c>
      <c r="AB1709" s="99">
        <f>IFERROR(VLOOKUP(B1709,'Pre-Summary'!$A$6:$P$178,9,FALSE),AB1710)</f>
        <v>0.31377326315815007</v>
      </c>
      <c r="AC1709" s="10">
        <f>IFERROR(VLOOKUP(Summary!B1709,'Pre-Summary'!$A$6:$P$184,5, FALSE)/100,AC1710)</f>
        <v>0.46880633333333344</v>
      </c>
      <c r="AD1709" s="10">
        <f>IFERROR(VLOOKUP(Summary!B1709,'Pre-Summary'!$A$6:$P$184,3, FALSE)/100,AD1710)</f>
        <v>0.53119366666666656</v>
      </c>
      <c r="AE1709" s="10">
        <f>IFERROR(VLOOKUP(Summary!B1709,'Pre-Summary'!$A$6:$P$184,7, FALSE)/100,AE1710)</f>
        <v>0</v>
      </c>
      <c r="AF1709" s="99">
        <f t="shared" si="79"/>
        <v>0.16667437015894263</v>
      </c>
      <c r="AG1709" s="99">
        <f t="shared" si="80"/>
        <v>0</v>
      </c>
      <c r="AH1709" s="10" t="str">
        <f>IFERROR(VLOOKUP(B1709,'Pre-Summary'!$AZ$6:$BE$65,3,FALSE),"")</f>
        <v/>
      </c>
      <c r="AI1709" s="10" t="str">
        <f>IFERROR(VLOOKUP(B1709,'Pre-Summary'!$AZ$6:$BE$65,5,FALSE),"")</f>
        <v/>
      </c>
      <c r="AJ1709" s="10" t="str">
        <f>IFERROR(VLOOKUP(B1709,'Pre-Summary'!$AZ$6:$BE$65,4,FALSE),"")</f>
        <v/>
      </c>
      <c r="AK1709" s="10" t="str">
        <f>IFERROR(VLOOKUP(B1709,'Pre-Summary'!$AZ$6:$BE$65,6,FALSE),"")</f>
        <v/>
      </c>
      <c r="AL1709" s="10" t="str">
        <f>IFERROR(VLOOKUP(B1709,'Pre-Summary'!$BG$6:$BL$44,3,FALSE),"")</f>
        <v/>
      </c>
      <c r="AM1709" s="10" t="str">
        <f>IFERROR(VLOOKUP(B1709,'Pre-Summary'!$BG$6:$BL$44,4,FALSE),"")</f>
        <v/>
      </c>
    </row>
    <row r="1710" spans="2:39" ht="15" customHeight="1" x14ac:dyDescent="0.3">
      <c r="B1710">
        <v>170.7</v>
      </c>
      <c r="C1710" t="str">
        <f>IFERROR(VLOOKUP(B1710,'Pre-Summary'!$DI$6:$DM$23,4,FALSE),"")</f>
        <v/>
      </c>
      <c r="D1710" s="10" t="str">
        <f>IFERROR(VLOOKUP(B1710,'Pre-Summary'!$AT$6:$AX$14,5,FALSE),D1709)</f>
        <v>Wolfe v3: went back to modified wolfe + EDTA and switched CuSO4 to CUCl2</v>
      </c>
      <c r="E1710" s="10" t="str">
        <f>IFERROR(VLOOKUP(B1710,'Pre-Summary'!$AT$6:$AX$15,4,FALSE),"")</f>
        <v/>
      </c>
      <c r="F1710">
        <f>IFERROR(VLOOKUP(B1710,'Pre-Summary'!$AL$6:$AQ$13,6,FALSE),F1709)</f>
        <v>5.9405263157894746E-2</v>
      </c>
      <c r="G1710" t="str">
        <f>IFERROR(VLOOKUP(B1710,'Pre-Summary'!$AE$6:$AJ$85,3,FALSE),"")</f>
        <v/>
      </c>
      <c r="H1710" t="str">
        <f>IFERROR(VLOOKUP(B1710,'Pre-Summary'!$AE$6:$AJ$85,4,FALSE),"")</f>
        <v/>
      </c>
      <c r="I1710" t="str">
        <f>IFERROR(VLOOKUP(B1710,'Pre-Summary'!$AE$6:$AJ$85,5,FALSE),"")</f>
        <v/>
      </c>
      <c r="J1710" s="45" t="str">
        <f>IFERROR(VLOOKUP(B1710,'Pre-Summary'!$AE$6:$AJ$85,6, FALSE),"")</f>
        <v/>
      </c>
      <c r="K1710" s="45" t="str">
        <f>IFERROR(VLOOKUP(B1710,'Pre-Summary'!$DE$6:$DG$61,3,FALSE),"")</f>
        <v/>
      </c>
      <c r="L1710" s="45" t="str">
        <f>IFERROR(VLOOKUP(B1710,'Pre-Summary'!$CU$6:$CW$36,3,FALSE),"")</f>
        <v/>
      </c>
      <c r="M1710" s="45" t="str">
        <f>IFERROR(VLOOKUP(B1710,'Pre-Summary'!$BW$6:$BY$58,2,FALSE),"")</f>
        <v/>
      </c>
      <c r="N1710" s="45" t="str">
        <f>IFERROR(VLOOKUP(B1710,'Pre-Summary'!$CD$6:$CF$64,2,FALSE),"")</f>
        <v/>
      </c>
      <c r="O1710" s="99">
        <f>IFERROR(VLOOKUP(B1710,'Pre-Summary'!$BO$6:$BQ$48,3, FALSE),O1709)</f>
        <v>1.25</v>
      </c>
      <c r="P1710" s="99">
        <f>IFERROR(VLOOKUP(B1710,'Pre-Summary'!$BS$6:$BU$35,3,FALSE),P1709)</f>
        <v>0.33700000000000002</v>
      </c>
      <c r="Q1710" s="54">
        <f t="shared" si="78"/>
        <v>3.7091988130563798</v>
      </c>
      <c r="R1710" s="53">
        <f>IFERROR(VLOOKUP(B1710,'Pre-Summary'!$BG$6:$BM$44,7,FALSE),R1711)</f>
        <v>8.0894687007659741E-2</v>
      </c>
      <c r="S1710" s="53">
        <f>IFERROR(VLOOKUP(B1710,'Pre-Summary'!$BG$6:$BM$44,6,FALSE),S1711)</f>
        <v>6.1014931296205117E-2</v>
      </c>
      <c r="T1710" s="45" t="str">
        <f>IFERROR(VLOOKUP(B1710,'Pre-Summary'!$Y$6:$AC$83, 3,FALSE),"")</f>
        <v/>
      </c>
      <c r="U1710" s="45" t="str">
        <f>IFERROR(VLOOKUP(B1710,'Pre-Summary'!$Y$6:$AC$83, 4,FALSE),"")</f>
        <v/>
      </c>
      <c r="V1710" t="str">
        <f>IFERROR(VLOOKUP(B1710,'Pre-Summary'!$Y$6:$AC$83, 5,FALSE),"")</f>
        <v/>
      </c>
      <c r="W1710" s="45" t="str">
        <f>IFERROR(VLOOKUP(B1710,'Pre-Summary'!$Y$6:$AD$83,6,FALSE),"")</f>
        <v/>
      </c>
      <c r="X1710" t="str">
        <f>IFERROR(VLOOKUP('Pre-Summary'!$DB$6:$DD$63,3,FALSE),"")</f>
        <v/>
      </c>
      <c r="Y1710" t="str">
        <f>IFERROR(VLOOKUP(B1710,'Pre-Summary'!$CR$6:$CT$36,3,FALSE),"")</f>
        <v/>
      </c>
      <c r="Z1710" s="45" t="str">
        <f>IFERROR(VLOOKUP(B1710,'Pre-Summary'!$BZ$6:$CB$63,2,FALSE),"")</f>
        <v/>
      </c>
      <c r="AA1710" s="45" t="str">
        <f>IFERROR(VLOOKUP(B1710,'Pre-Summary'!$CG$6:$CI$70,2,FALSE),"")</f>
        <v/>
      </c>
      <c r="AB1710" s="99">
        <f>IFERROR(VLOOKUP(B1710,'Pre-Summary'!$A$6:$P$178,9,FALSE),AB1711)</f>
        <v>0.31377326315815007</v>
      </c>
      <c r="AC1710" s="10">
        <f>IFERROR(VLOOKUP(Summary!B1710,'Pre-Summary'!$A$6:$P$184,5, FALSE)/100,AC1711)</f>
        <v>0.46880633333333344</v>
      </c>
      <c r="AD1710" s="10">
        <f>IFERROR(VLOOKUP(Summary!B1710,'Pre-Summary'!$A$6:$P$184,3, FALSE)/100,AD1711)</f>
        <v>0.53119366666666656</v>
      </c>
      <c r="AE1710" s="10">
        <f>IFERROR(VLOOKUP(Summary!B1710,'Pre-Summary'!$A$6:$P$184,7, FALSE)/100,AE1711)</f>
        <v>0</v>
      </c>
      <c r="AF1710" s="99">
        <f t="shared" si="79"/>
        <v>0.16667437015894263</v>
      </c>
      <c r="AG1710" s="99">
        <f t="shared" si="80"/>
        <v>0</v>
      </c>
      <c r="AH1710" s="10" t="str">
        <f>IFERROR(VLOOKUP(B1710,'Pre-Summary'!$AZ$6:$BE$65,3,FALSE),"")</f>
        <v/>
      </c>
      <c r="AI1710" s="10" t="str">
        <f>IFERROR(VLOOKUP(B1710,'Pre-Summary'!$AZ$6:$BE$65,5,FALSE),"")</f>
        <v/>
      </c>
      <c r="AJ1710" s="10" t="str">
        <f>IFERROR(VLOOKUP(B1710,'Pre-Summary'!$AZ$6:$BE$65,4,FALSE),"")</f>
        <v/>
      </c>
      <c r="AK1710" s="10" t="str">
        <f>IFERROR(VLOOKUP(B1710,'Pre-Summary'!$AZ$6:$BE$65,6,FALSE),"")</f>
        <v/>
      </c>
      <c r="AL1710" s="10" t="str">
        <f>IFERROR(VLOOKUP(B1710,'Pre-Summary'!$BG$6:$BL$44,3,FALSE),"")</f>
        <v/>
      </c>
      <c r="AM1710" s="10" t="str">
        <f>IFERROR(VLOOKUP(B1710,'Pre-Summary'!$BG$6:$BL$44,4,FALSE),"")</f>
        <v/>
      </c>
    </row>
    <row r="1711" spans="2:39" ht="15" customHeight="1" x14ac:dyDescent="0.3">
      <c r="B1711">
        <v>170.8</v>
      </c>
      <c r="C1711" t="str">
        <f>IFERROR(VLOOKUP(B1711,'Pre-Summary'!$DI$6:$DM$23,4,FALSE),"")</f>
        <v/>
      </c>
      <c r="D1711" s="10" t="str">
        <f>IFERROR(VLOOKUP(B1711,'Pre-Summary'!$AT$6:$AX$14,5,FALSE),D1710)</f>
        <v>Wolfe v3: went back to modified wolfe + EDTA and switched CuSO4 to CUCl2</v>
      </c>
      <c r="E1711" s="10" t="str">
        <f>IFERROR(VLOOKUP(B1711,'Pre-Summary'!$AT$6:$AX$15,4,FALSE),"")</f>
        <v/>
      </c>
      <c r="F1711">
        <f>IFERROR(VLOOKUP(B1711,'Pre-Summary'!$AL$6:$AQ$13,6,FALSE),F1710)</f>
        <v>5.9405263157894746E-2</v>
      </c>
      <c r="G1711" t="str">
        <f>IFERROR(VLOOKUP(B1711,'Pre-Summary'!$AE$6:$AJ$85,3,FALSE),"")</f>
        <v/>
      </c>
      <c r="H1711" t="str">
        <f>IFERROR(VLOOKUP(B1711,'Pre-Summary'!$AE$6:$AJ$85,4,FALSE),"")</f>
        <v/>
      </c>
      <c r="I1711" t="str">
        <f>IFERROR(VLOOKUP(B1711,'Pre-Summary'!$AE$6:$AJ$85,5,FALSE),"")</f>
        <v/>
      </c>
      <c r="J1711" s="45" t="str">
        <f>IFERROR(VLOOKUP(B1711,'Pre-Summary'!$AE$6:$AJ$85,6, FALSE),"")</f>
        <v/>
      </c>
      <c r="K1711" s="45" t="str">
        <f>IFERROR(VLOOKUP(B1711,'Pre-Summary'!$DE$6:$DG$61,3,FALSE),"")</f>
        <v/>
      </c>
      <c r="L1711" s="45" t="str">
        <f>IFERROR(VLOOKUP(B1711,'Pre-Summary'!$CU$6:$CW$36,3,FALSE),"")</f>
        <v/>
      </c>
      <c r="M1711" s="45" t="str">
        <f>IFERROR(VLOOKUP(B1711,'Pre-Summary'!$BW$6:$BY$58,2,FALSE),"")</f>
        <v/>
      </c>
      <c r="N1711" s="45" t="str">
        <f>IFERROR(VLOOKUP(B1711,'Pre-Summary'!$CD$6:$CF$64,2,FALSE),"")</f>
        <v/>
      </c>
      <c r="O1711" s="99">
        <f>IFERROR(VLOOKUP(B1711,'Pre-Summary'!$BO$6:$BQ$48,3, FALSE),O1710)</f>
        <v>1.25</v>
      </c>
      <c r="P1711" s="99">
        <f>IFERROR(VLOOKUP(B1711,'Pre-Summary'!$BS$6:$BU$35,3,FALSE),P1710)</f>
        <v>0.33700000000000002</v>
      </c>
      <c r="Q1711" s="54">
        <f t="shared" si="78"/>
        <v>3.7091988130563798</v>
      </c>
      <c r="R1711" s="53">
        <f>IFERROR(VLOOKUP(B1711,'Pre-Summary'!$BG$6:$BM$44,7,FALSE),R1712)</f>
        <v>8.0894687007659741E-2</v>
      </c>
      <c r="S1711" s="53">
        <f>IFERROR(VLOOKUP(B1711,'Pre-Summary'!$BG$6:$BM$44,6,FALSE),S1712)</f>
        <v>6.1014931296205117E-2</v>
      </c>
      <c r="T1711" s="45" t="str">
        <f>IFERROR(VLOOKUP(B1711,'Pre-Summary'!$Y$6:$AC$83, 3,FALSE),"")</f>
        <v/>
      </c>
      <c r="U1711" s="45" t="str">
        <f>IFERROR(VLOOKUP(B1711,'Pre-Summary'!$Y$6:$AC$83, 4,FALSE),"")</f>
        <v/>
      </c>
      <c r="V1711" t="str">
        <f>IFERROR(VLOOKUP(B1711,'Pre-Summary'!$Y$6:$AC$83, 5,FALSE),"")</f>
        <v/>
      </c>
      <c r="W1711" s="45" t="str">
        <f>IFERROR(VLOOKUP(B1711,'Pre-Summary'!$Y$6:$AD$83,6,FALSE),"")</f>
        <v/>
      </c>
      <c r="X1711" t="str">
        <f>IFERROR(VLOOKUP('Pre-Summary'!$DB$6:$DD$63,3,FALSE),"")</f>
        <v/>
      </c>
      <c r="Y1711" t="str">
        <f>IFERROR(VLOOKUP(B1711,'Pre-Summary'!$CR$6:$CT$36,3,FALSE),"")</f>
        <v/>
      </c>
      <c r="Z1711" s="45" t="str">
        <f>IFERROR(VLOOKUP(B1711,'Pre-Summary'!$BZ$6:$CB$63,2,FALSE),"")</f>
        <v/>
      </c>
      <c r="AA1711" s="45" t="str">
        <f>IFERROR(VLOOKUP(B1711,'Pre-Summary'!$CG$6:$CI$70,2,FALSE),"")</f>
        <v/>
      </c>
      <c r="AB1711" s="99">
        <f>IFERROR(VLOOKUP(B1711,'Pre-Summary'!$A$6:$P$178,9,FALSE),AB1712)</f>
        <v>0.31377326315815007</v>
      </c>
      <c r="AC1711" s="10">
        <f>IFERROR(VLOOKUP(Summary!B1711,'Pre-Summary'!$A$6:$P$184,5, FALSE)/100,AC1712)</f>
        <v>0.46880633333333344</v>
      </c>
      <c r="AD1711" s="10">
        <f>IFERROR(VLOOKUP(Summary!B1711,'Pre-Summary'!$A$6:$P$184,3, FALSE)/100,AD1712)</f>
        <v>0.53119366666666656</v>
      </c>
      <c r="AE1711" s="10">
        <f>IFERROR(VLOOKUP(Summary!B1711,'Pre-Summary'!$A$6:$P$184,7, FALSE)/100,AE1712)</f>
        <v>0</v>
      </c>
      <c r="AF1711" s="99">
        <f t="shared" si="79"/>
        <v>0.16667437015894263</v>
      </c>
      <c r="AG1711" s="99">
        <f t="shared" si="80"/>
        <v>0</v>
      </c>
      <c r="AH1711" s="10" t="str">
        <f>IFERROR(VLOOKUP(B1711,'Pre-Summary'!$AZ$6:$BE$65,3,FALSE),"")</f>
        <v/>
      </c>
      <c r="AI1711" s="10" t="str">
        <f>IFERROR(VLOOKUP(B1711,'Pre-Summary'!$AZ$6:$BE$65,5,FALSE),"")</f>
        <v/>
      </c>
      <c r="AJ1711" s="10" t="str">
        <f>IFERROR(VLOOKUP(B1711,'Pre-Summary'!$AZ$6:$BE$65,4,FALSE),"")</f>
        <v/>
      </c>
      <c r="AK1711" s="10" t="str">
        <f>IFERROR(VLOOKUP(B1711,'Pre-Summary'!$AZ$6:$BE$65,6,FALSE),"")</f>
        <v/>
      </c>
      <c r="AL1711" s="10" t="str">
        <f>IFERROR(VLOOKUP(B1711,'Pre-Summary'!$BG$6:$BL$44,3,FALSE),"")</f>
        <v/>
      </c>
      <c r="AM1711" s="10" t="str">
        <f>IFERROR(VLOOKUP(B1711,'Pre-Summary'!$BG$6:$BL$44,4,FALSE),"")</f>
        <v/>
      </c>
    </row>
    <row r="1712" spans="2:39" ht="15" customHeight="1" x14ac:dyDescent="0.3">
      <c r="B1712">
        <v>170.9</v>
      </c>
      <c r="C1712" t="str">
        <f>IFERROR(VLOOKUP(B1712,'Pre-Summary'!$DI$6:$DM$23,4,FALSE),"")</f>
        <v/>
      </c>
      <c r="D1712" s="10" t="str">
        <f>IFERROR(VLOOKUP(B1712,'Pre-Summary'!$AT$6:$AX$14,5,FALSE),D1711)</f>
        <v>Wolfe v3: went back to modified wolfe + EDTA and switched CuSO4 to CUCl2</v>
      </c>
      <c r="E1712" s="10" t="str">
        <f>IFERROR(VLOOKUP(B1712,'Pre-Summary'!$AT$6:$AX$15,4,FALSE),"")</f>
        <v/>
      </c>
      <c r="F1712">
        <f>IFERROR(VLOOKUP(B1712,'Pre-Summary'!$AL$6:$AQ$13,6,FALSE),F1711)</f>
        <v>5.9405263157894746E-2</v>
      </c>
      <c r="G1712" t="str">
        <f>IFERROR(VLOOKUP(B1712,'Pre-Summary'!$AE$6:$AJ$85,3,FALSE),"")</f>
        <v/>
      </c>
      <c r="H1712" t="str">
        <f>IFERROR(VLOOKUP(B1712,'Pre-Summary'!$AE$6:$AJ$85,4,FALSE),"")</f>
        <v/>
      </c>
      <c r="I1712" t="str">
        <f>IFERROR(VLOOKUP(B1712,'Pre-Summary'!$AE$6:$AJ$85,5,FALSE),"")</f>
        <v/>
      </c>
      <c r="J1712" s="45" t="str">
        <f>IFERROR(VLOOKUP(B1712,'Pre-Summary'!$AE$6:$AJ$85,6, FALSE),"")</f>
        <v/>
      </c>
      <c r="K1712" s="45" t="str">
        <f>IFERROR(VLOOKUP(B1712,'Pre-Summary'!$DE$6:$DG$61,3,FALSE),"")</f>
        <v/>
      </c>
      <c r="L1712" s="45" t="str">
        <f>IFERROR(VLOOKUP(B1712,'Pre-Summary'!$CU$6:$CW$36,3,FALSE),"")</f>
        <v/>
      </c>
      <c r="M1712" s="45" t="str">
        <f>IFERROR(VLOOKUP(B1712,'Pre-Summary'!$BW$6:$BY$58,2,FALSE),"")</f>
        <v/>
      </c>
      <c r="N1712" s="45" t="str">
        <f>IFERROR(VLOOKUP(B1712,'Pre-Summary'!$CD$6:$CF$64,2,FALSE),"")</f>
        <v/>
      </c>
      <c r="O1712" s="99">
        <f>IFERROR(VLOOKUP(B1712,'Pre-Summary'!$BO$6:$BQ$48,3, FALSE),O1711)</f>
        <v>1.25</v>
      </c>
      <c r="P1712" s="99">
        <f>IFERROR(VLOOKUP(B1712,'Pre-Summary'!$BS$6:$BU$35,3,FALSE),P1711)</f>
        <v>0.33700000000000002</v>
      </c>
      <c r="Q1712" s="54">
        <f t="shared" si="78"/>
        <v>3.7091988130563798</v>
      </c>
      <c r="R1712" s="53">
        <f>IFERROR(VLOOKUP(B1712,'Pre-Summary'!$BG$6:$BM$44,7,FALSE),R1713)</f>
        <v>8.0894687007659741E-2</v>
      </c>
      <c r="S1712" s="53">
        <f>IFERROR(VLOOKUP(B1712,'Pre-Summary'!$BG$6:$BM$44,6,FALSE),S1713)</f>
        <v>6.1014931296205117E-2</v>
      </c>
      <c r="T1712" s="45" t="str">
        <f>IFERROR(VLOOKUP(B1712,'Pre-Summary'!$Y$6:$AC$83, 3,FALSE),"")</f>
        <v/>
      </c>
      <c r="U1712" s="45" t="str">
        <f>IFERROR(VLOOKUP(B1712,'Pre-Summary'!$Y$6:$AC$83, 4,FALSE),"")</f>
        <v/>
      </c>
      <c r="V1712" t="str">
        <f>IFERROR(VLOOKUP(B1712,'Pre-Summary'!$Y$6:$AC$83, 5,FALSE),"")</f>
        <v/>
      </c>
      <c r="W1712" s="45" t="str">
        <f>IFERROR(VLOOKUP(B1712,'Pre-Summary'!$Y$6:$AD$83,6,FALSE),"")</f>
        <v/>
      </c>
      <c r="X1712" t="str">
        <f>IFERROR(VLOOKUP('Pre-Summary'!$DB$6:$DD$63,3,FALSE),"")</f>
        <v/>
      </c>
      <c r="Y1712" t="str">
        <f>IFERROR(VLOOKUP(B1712,'Pre-Summary'!$CR$6:$CT$36,3,FALSE),"")</f>
        <v/>
      </c>
      <c r="Z1712" s="45" t="str">
        <f>IFERROR(VLOOKUP(B1712,'Pre-Summary'!$BZ$6:$CB$63,2,FALSE),"")</f>
        <v/>
      </c>
      <c r="AA1712" s="45" t="str">
        <f>IFERROR(VLOOKUP(B1712,'Pre-Summary'!$CG$6:$CI$70,2,FALSE),"")</f>
        <v/>
      </c>
      <c r="AB1712" s="99">
        <f>IFERROR(VLOOKUP(B1712,'Pre-Summary'!$A$6:$P$178,9,FALSE),AB1713)</f>
        <v>0.31377326315815007</v>
      </c>
      <c r="AC1712" s="10">
        <f>IFERROR(VLOOKUP(Summary!B1712,'Pre-Summary'!$A$6:$P$184,5, FALSE)/100,AC1713)</f>
        <v>0.46880633333333344</v>
      </c>
      <c r="AD1712" s="10">
        <f>IFERROR(VLOOKUP(Summary!B1712,'Pre-Summary'!$A$6:$P$184,3, FALSE)/100,AD1713)</f>
        <v>0.53119366666666656</v>
      </c>
      <c r="AE1712" s="10">
        <f>IFERROR(VLOOKUP(Summary!B1712,'Pre-Summary'!$A$6:$P$184,7, FALSE)/100,AE1713)</f>
        <v>0</v>
      </c>
      <c r="AF1712" s="99">
        <f t="shared" si="79"/>
        <v>0.16667437015894263</v>
      </c>
      <c r="AG1712" s="99">
        <f t="shared" si="80"/>
        <v>0</v>
      </c>
      <c r="AH1712" s="10" t="str">
        <f>IFERROR(VLOOKUP(B1712,'Pre-Summary'!$AZ$6:$BE$65,3,FALSE),"")</f>
        <v/>
      </c>
      <c r="AI1712" s="10" t="str">
        <f>IFERROR(VLOOKUP(B1712,'Pre-Summary'!$AZ$6:$BE$65,5,FALSE),"")</f>
        <v/>
      </c>
      <c r="AJ1712" s="10" t="str">
        <f>IFERROR(VLOOKUP(B1712,'Pre-Summary'!$AZ$6:$BE$65,4,FALSE),"")</f>
        <v/>
      </c>
      <c r="AK1712" s="10" t="str">
        <f>IFERROR(VLOOKUP(B1712,'Pre-Summary'!$AZ$6:$BE$65,6,FALSE),"")</f>
        <v/>
      </c>
      <c r="AL1712" s="10" t="str">
        <f>IFERROR(VLOOKUP(B1712,'Pre-Summary'!$BG$6:$BL$44,3,FALSE),"")</f>
        <v/>
      </c>
      <c r="AM1712" s="10" t="str">
        <f>IFERROR(VLOOKUP(B1712,'Pre-Summary'!$BG$6:$BL$44,4,FALSE),"")</f>
        <v/>
      </c>
    </row>
    <row r="1713" spans="2:39" ht="15" customHeight="1" x14ac:dyDescent="0.3">
      <c r="B1713">
        <v>171</v>
      </c>
      <c r="C1713" t="str">
        <f>IFERROR(VLOOKUP(B1713,'Pre-Summary'!$DI$6:$DM$23,4,FALSE),"")</f>
        <v/>
      </c>
      <c r="D1713" s="10" t="str">
        <f>IFERROR(VLOOKUP(B1713,'Pre-Summary'!$AT$6:$AX$14,5,FALSE),D1712)</f>
        <v>Wolfe v3: went back to modified wolfe + EDTA and switched CuSO4 to CUCl2</v>
      </c>
      <c r="E1713" s="10" t="str">
        <f>IFERROR(VLOOKUP(B1713,'Pre-Summary'!$AT$6:$AX$15,4,FALSE),"")</f>
        <v/>
      </c>
      <c r="F1713">
        <f>IFERROR(VLOOKUP(B1713,'Pre-Summary'!$AL$6:$AQ$13,6,FALSE),F1712)</f>
        <v>5.9405263157894746E-2</v>
      </c>
      <c r="G1713" t="str">
        <f>IFERROR(VLOOKUP(B1713,'Pre-Summary'!$AE$6:$AJ$85,3,FALSE),"")</f>
        <v/>
      </c>
      <c r="H1713" t="str">
        <f>IFERROR(VLOOKUP(B1713,'Pre-Summary'!$AE$6:$AJ$85,4,FALSE),"")</f>
        <v/>
      </c>
      <c r="I1713" t="str">
        <f>IFERROR(VLOOKUP(B1713,'Pre-Summary'!$AE$6:$AJ$85,5,FALSE),"")</f>
        <v/>
      </c>
      <c r="J1713" s="45" t="str">
        <f>IFERROR(VLOOKUP(B1713,'Pre-Summary'!$AE$6:$AJ$85,6, FALSE),"")</f>
        <v/>
      </c>
      <c r="K1713" s="45" t="str">
        <f>IFERROR(VLOOKUP(B1713,'Pre-Summary'!$DE$6:$DG$61,3,FALSE),"")</f>
        <v/>
      </c>
      <c r="L1713" s="45" t="str">
        <f>IFERROR(VLOOKUP(B1713,'Pre-Summary'!$CU$6:$CW$36,3,FALSE),"")</f>
        <v/>
      </c>
      <c r="M1713" s="45" t="str">
        <f>IFERROR(VLOOKUP(B1713,'Pre-Summary'!$BW$6:$BY$58,2,FALSE),"")</f>
        <v/>
      </c>
      <c r="N1713" s="45" t="str">
        <f>IFERROR(VLOOKUP(B1713,'Pre-Summary'!$CD$6:$CF$64,2,FALSE),"")</f>
        <v/>
      </c>
      <c r="O1713" s="99">
        <f>IFERROR(VLOOKUP(B1713,'Pre-Summary'!$BO$6:$BQ$48,3, FALSE),O1712)</f>
        <v>1.25</v>
      </c>
      <c r="P1713" s="99">
        <f>IFERROR(VLOOKUP(B1713,'Pre-Summary'!$BS$6:$BU$35,3,FALSE),P1712)</f>
        <v>0.33700000000000002</v>
      </c>
      <c r="Q1713" s="54">
        <f t="shared" si="78"/>
        <v>3.7091988130563798</v>
      </c>
      <c r="R1713" s="53">
        <f>IFERROR(VLOOKUP(B1713,'Pre-Summary'!$BG$6:$BM$44,7,FALSE),R1714)</f>
        <v>8.0894687007659741E-2</v>
      </c>
      <c r="S1713" s="53">
        <f>IFERROR(VLOOKUP(B1713,'Pre-Summary'!$BG$6:$BM$44,6,FALSE),S1714)</f>
        <v>6.1014931296205117E-2</v>
      </c>
      <c r="T1713" s="45" t="str">
        <f>IFERROR(VLOOKUP(B1713,'Pre-Summary'!$Y$6:$AC$83, 3,FALSE),"")</f>
        <v/>
      </c>
      <c r="U1713" s="45" t="str">
        <f>IFERROR(VLOOKUP(B1713,'Pre-Summary'!$Y$6:$AC$83, 4,FALSE),"")</f>
        <v/>
      </c>
      <c r="V1713" t="str">
        <f>IFERROR(VLOOKUP(B1713,'Pre-Summary'!$Y$6:$AC$83, 5,FALSE),"")</f>
        <v/>
      </c>
      <c r="W1713" s="45" t="str">
        <f>IFERROR(VLOOKUP(B1713,'Pre-Summary'!$Y$6:$AD$83,6,FALSE),"")</f>
        <v/>
      </c>
      <c r="X1713" t="str">
        <f>IFERROR(VLOOKUP('Pre-Summary'!$DB$6:$DD$63,3,FALSE),"")</f>
        <v/>
      </c>
      <c r="Y1713" t="str">
        <f>IFERROR(VLOOKUP(B1713,'Pre-Summary'!$CR$6:$CT$36,3,FALSE),"")</f>
        <v/>
      </c>
      <c r="Z1713" s="45" t="str">
        <f>IFERROR(VLOOKUP(B1713,'Pre-Summary'!$BZ$6:$CB$63,2,FALSE),"")</f>
        <v/>
      </c>
      <c r="AA1713" s="45" t="str">
        <f>IFERROR(VLOOKUP(B1713,'Pre-Summary'!$CG$6:$CI$70,2,FALSE),"")</f>
        <v/>
      </c>
      <c r="AB1713" s="99">
        <f>IFERROR(VLOOKUP(B1713,'Pre-Summary'!$A$6:$P$178,9,FALSE),AB1714)</f>
        <v>0.31377326315815007</v>
      </c>
      <c r="AC1713" s="10">
        <f>IFERROR(VLOOKUP(Summary!B1713,'Pre-Summary'!$A$6:$P$184,5, FALSE)/100,AC1714)</f>
        <v>0.46880633333333344</v>
      </c>
      <c r="AD1713" s="10">
        <f>IFERROR(VLOOKUP(Summary!B1713,'Pre-Summary'!$A$6:$P$184,3, FALSE)/100,AD1714)</f>
        <v>0.53119366666666656</v>
      </c>
      <c r="AE1713" s="10">
        <f>IFERROR(VLOOKUP(Summary!B1713,'Pre-Summary'!$A$6:$P$184,7, FALSE)/100,AE1714)</f>
        <v>0</v>
      </c>
      <c r="AF1713" s="99">
        <f t="shared" si="79"/>
        <v>0.16667437015894263</v>
      </c>
      <c r="AG1713" s="99">
        <f t="shared" si="80"/>
        <v>0</v>
      </c>
      <c r="AH1713" s="10" t="str">
        <f>IFERROR(VLOOKUP(B1713,'Pre-Summary'!$AZ$6:$BE$65,3,FALSE),"")</f>
        <v/>
      </c>
      <c r="AI1713" s="10" t="str">
        <f>IFERROR(VLOOKUP(B1713,'Pre-Summary'!$AZ$6:$BE$65,5,FALSE),"")</f>
        <v/>
      </c>
      <c r="AJ1713" s="10" t="str">
        <f>IFERROR(VLOOKUP(B1713,'Pre-Summary'!$AZ$6:$BE$65,4,FALSE),"")</f>
        <v/>
      </c>
      <c r="AK1713" s="10" t="str">
        <f>IFERROR(VLOOKUP(B1713,'Pre-Summary'!$AZ$6:$BE$65,6,FALSE),"")</f>
        <v/>
      </c>
      <c r="AL1713" s="10" t="str">
        <f>IFERROR(VLOOKUP(B1713,'Pre-Summary'!$BG$6:$BL$44,3,FALSE),"")</f>
        <v/>
      </c>
      <c r="AM1713" s="10" t="str">
        <f>IFERROR(VLOOKUP(B1713,'Pre-Summary'!$BG$6:$BL$44,4,FALSE),"")</f>
        <v/>
      </c>
    </row>
    <row r="1714" spans="2:39" ht="15" customHeight="1" x14ac:dyDescent="0.3">
      <c r="B1714">
        <v>171.1</v>
      </c>
      <c r="C1714" t="str">
        <f>IFERROR(VLOOKUP(B1714,'Pre-Summary'!$DI$6:$DM$23,4,FALSE),"")</f>
        <v/>
      </c>
      <c r="D1714" s="10" t="str">
        <f>IFERROR(VLOOKUP(B1714,'Pre-Summary'!$AT$6:$AX$14,5,FALSE),D1713)</f>
        <v>Wolfe v3: went back to modified wolfe + EDTA and switched CuSO4 to CUCl2</v>
      </c>
      <c r="E1714" s="10" t="str">
        <f>IFERROR(VLOOKUP(B1714,'Pre-Summary'!$AT$6:$AX$15,4,FALSE),"")</f>
        <v/>
      </c>
      <c r="F1714">
        <f>IFERROR(VLOOKUP(B1714,'Pre-Summary'!$AL$6:$AQ$13,6,FALSE),F1713)</f>
        <v>5.9405263157894746E-2</v>
      </c>
      <c r="G1714" t="str">
        <f>IFERROR(VLOOKUP(B1714,'Pre-Summary'!$AE$6:$AJ$85,3,FALSE),"")</f>
        <v/>
      </c>
      <c r="H1714" t="str">
        <f>IFERROR(VLOOKUP(B1714,'Pre-Summary'!$AE$6:$AJ$85,4,FALSE),"")</f>
        <v/>
      </c>
      <c r="I1714" t="str">
        <f>IFERROR(VLOOKUP(B1714,'Pre-Summary'!$AE$6:$AJ$85,5,FALSE),"")</f>
        <v/>
      </c>
      <c r="J1714" s="45" t="str">
        <f>IFERROR(VLOOKUP(B1714,'Pre-Summary'!$AE$6:$AJ$85,6, FALSE),"")</f>
        <v/>
      </c>
      <c r="K1714" s="45" t="str">
        <f>IFERROR(VLOOKUP(B1714,'Pre-Summary'!$DE$6:$DG$61,3,FALSE),"")</f>
        <v/>
      </c>
      <c r="L1714" s="45" t="str">
        <f>IFERROR(VLOOKUP(B1714,'Pre-Summary'!$CU$6:$CW$36,3,FALSE),"")</f>
        <v/>
      </c>
      <c r="M1714" s="45" t="str">
        <f>IFERROR(VLOOKUP(B1714,'Pre-Summary'!$BW$6:$BY$58,2,FALSE),"")</f>
        <v/>
      </c>
      <c r="N1714" s="45" t="str">
        <f>IFERROR(VLOOKUP(B1714,'Pre-Summary'!$CD$6:$CF$64,2,FALSE),"")</f>
        <v/>
      </c>
      <c r="O1714" s="99">
        <f>IFERROR(VLOOKUP(B1714,'Pre-Summary'!$BO$6:$BQ$48,3, FALSE),O1713)</f>
        <v>1.25</v>
      </c>
      <c r="P1714" s="99">
        <f>IFERROR(VLOOKUP(B1714,'Pre-Summary'!$BS$6:$BU$35,3,FALSE),P1713)</f>
        <v>0.33700000000000002</v>
      </c>
      <c r="Q1714" s="54">
        <f t="shared" si="78"/>
        <v>3.7091988130563798</v>
      </c>
      <c r="R1714" s="53">
        <f>IFERROR(VLOOKUP(B1714,'Pre-Summary'!$BG$6:$BM$44,7,FALSE),R1715)</f>
        <v>8.0894687007659741E-2</v>
      </c>
      <c r="S1714" s="53">
        <f>IFERROR(VLOOKUP(B1714,'Pre-Summary'!$BG$6:$BM$44,6,FALSE),S1715)</f>
        <v>6.1014931296205117E-2</v>
      </c>
      <c r="T1714" s="45" t="str">
        <f>IFERROR(VLOOKUP(B1714,'Pre-Summary'!$Y$6:$AC$83, 3,FALSE),"")</f>
        <v/>
      </c>
      <c r="U1714" s="45" t="str">
        <f>IFERROR(VLOOKUP(B1714,'Pre-Summary'!$Y$6:$AC$83, 4,FALSE),"")</f>
        <v/>
      </c>
      <c r="V1714" t="str">
        <f>IFERROR(VLOOKUP(B1714,'Pre-Summary'!$Y$6:$AC$83, 5,FALSE),"")</f>
        <v/>
      </c>
      <c r="W1714" s="45" t="str">
        <f>IFERROR(VLOOKUP(B1714,'Pre-Summary'!$Y$6:$AD$83,6,FALSE),"")</f>
        <v/>
      </c>
      <c r="X1714" t="str">
        <f>IFERROR(VLOOKUP('Pre-Summary'!$DB$6:$DD$63,3,FALSE),"")</f>
        <v/>
      </c>
      <c r="Y1714" t="str">
        <f>IFERROR(VLOOKUP(B1714,'Pre-Summary'!$CR$6:$CT$36,3,FALSE),"")</f>
        <v/>
      </c>
      <c r="Z1714" s="45" t="str">
        <f>IFERROR(VLOOKUP(B1714,'Pre-Summary'!$BZ$6:$CB$63,2,FALSE),"")</f>
        <v/>
      </c>
      <c r="AA1714" s="45" t="str">
        <f>IFERROR(VLOOKUP(B1714,'Pre-Summary'!$CG$6:$CI$70,2,FALSE),"")</f>
        <v/>
      </c>
      <c r="AB1714" s="99">
        <f>IFERROR(VLOOKUP(B1714,'Pre-Summary'!$A$6:$P$178,9,FALSE),AB1715)</f>
        <v>0.31098350443305406</v>
      </c>
      <c r="AC1714" s="10">
        <f>IFERROR(VLOOKUP(Summary!B1714,'Pre-Summary'!$A$6:$P$184,5, FALSE)/100,AC1715)</f>
        <v>0.70126166666666667</v>
      </c>
      <c r="AD1714" s="10">
        <f>IFERROR(VLOOKUP(Summary!B1714,'Pre-Summary'!$A$6:$P$184,3, FALSE)/100,AD1715)</f>
        <v>0.29873833333333333</v>
      </c>
      <c r="AE1714" s="10">
        <f>IFERROR(VLOOKUP(Summary!B1714,'Pre-Summary'!$A$6:$P$184,7, FALSE)/100,AE1715)</f>
        <v>0</v>
      </c>
      <c r="AF1714" s="99">
        <f t="shared" si="79"/>
        <v>9.2902693808489853E-2</v>
      </c>
      <c r="AG1714" s="99">
        <f t="shared" si="80"/>
        <v>0</v>
      </c>
      <c r="AH1714" s="10" t="str">
        <f>IFERROR(VLOOKUP(B1714,'Pre-Summary'!$AZ$6:$BE$65,3,FALSE),"")</f>
        <v/>
      </c>
      <c r="AI1714" s="10" t="str">
        <f>IFERROR(VLOOKUP(B1714,'Pre-Summary'!$AZ$6:$BE$65,5,FALSE),"")</f>
        <v/>
      </c>
      <c r="AJ1714" s="10" t="str">
        <f>IFERROR(VLOOKUP(B1714,'Pre-Summary'!$AZ$6:$BE$65,4,FALSE),"")</f>
        <v/>
      </c>
      <c r="AK1714" s="10" t="str">
        <f>IFERROR(VLOOKUP(B1714,'Pre-Summary'!$AZ$6:$BE$65,6,FALSE),"")</f>
        <v/>
      </c>
      <c r="AL1714" s="10" t="str">
        <f>IFERROR(VLOOKUP(B1714,'Pre-Summary'!$BG$6:$BL$44,3,FALSE),"")</f>
        <v/>
      </c>
      <c r="AM1714" s="10" t="str">
        <f>IFERROR(VLOOKUP(B1714,'Pre-Summary'!$BG$6:$BL$44,4,FALSE),"")</f>
        <v/>
      </c>
    </row>
    <row r="1715" spans="2:39" ht="15" customHeight="1" x14ac:dyDescent="0.3">
      <c r="B1715">
        <v>171.2</v>
      </c>
      <c r="C1715" t="str">
        <f>IFERROR(VLOOKUP(B1715,'Pre-Summary'!$DI$6:$DM$23,4,FALSE),"")</f>
        <v/>
      </c>
      <c r="D1715" s="10" t="str">
        <f>IFERROR(VLOOKUP(B1715,'Pre-Summary'!$AT$6:$AX$14,5,FALSE),D1714)</f>
        <v>Wolfe v3: went back to modified wolfe + EDTA and switched CuSO4 to CUCl2</v>
      </c>
      <c r="E1715" s="10" t="str">
        <f>IFERROR(VLOOKUP(B1715,'Pre-Summary'!$AT$6:$AX$15,4,FALSE),"")</f>
        <v/>
      </c>
      <c r="F1715">
        <f>IFERROR(VLOOKUP(B1715,'Pre-Summary'!$AL$6:$AQ$13,6,FALSE),F1714)</f>
        <v>5.9405263157894746E-2</v>
      </c>
      <c r="G1715" t="str">
        <f>IFERROR(VLOOKUP(B1715,'Pre-Summary'!$AE$6:$AJ$85,3,FALSE),"")</f>
        <v/>
      </c>
      <c r="H1715" t="str">
        <f>IFERROR(VLOOKUP(B1715,'Pre-Summary'!$AE$6:$AJ$85,4,FALSE),"")</f>
        <v/>
      </c>
      <c r="I1715" t="str">
        <f>IFERROR(VLOOKUP(B1715,'Pre-Summary'!$AE$6:$AJ$85,5,FALSE),"")</f>
        <v/>
      </c>
      <c r="J1715" s="45" t="str">
        <f>IFERROR(VLOOKUP(B1715,'Pre-Summary'!$AE$6:$AJ$85,6, FALSE),"")</f>
        <v/>
      </c>
      <c r="K1715" s="45" t="str">
        <f>IFERROR(VLOOKUP(B1715,'Pre-Summary'!$DE$6:$DG$61,3,FALSE),"")</f>
        <v/>
      </c>
      <c r="L1715" s="45" t="str">
        <f>IFERROR(VLOOKUP(B1715,'Pre-Summary'!$CU$6:$CW$36,3,FALSE),"")</f>
        <v/>
      </c>
      <c r="M1715" s="45" t="str">
        <f>IFERROR(VLOOKUP(B1715,'Pre-Summary'!$BW$6:$BY$58,2,FALSE),"")</f>
        <v/>
      </c>
      <c r="N1715" s="45" t="str">
        <f>IFERROR(VLOOKUP(B1715,'Pre-Summary'!$CD$6:$CF$64,2,FALSE),"")</f>
        <v/>
      </c>
      <c r="O1715" s="99">
        <f>IFERROR(VLOOKUP(B1715,'Pre-Summary'!$BO$6:$BQ$48,3, FALSE),O1714)</f>
        <v>1.25</v>
      </c>
      <c r="P1715" s="99">
        <f>IFERROR(VLOOKUP(B1715,'Pre-Summary'!$BS$6:$BU$35,3,FALSE),P1714)</f>
        <v>0.33700000000000002</v>
      </c>
      <c r="Q1715" s="54">
        <f t="shared" si="78"/>
        <v>3.7091988130563798</v>
      </c>
      <c r="R1715" s="53">
        <f>IFERROR(VLOOKUP(B1715,'Pre-Summary'!$BG$6:$BM$44,7,FALSE),R1716)</f>
        <v>8.0894687007659741E-2</v>
      </c>
      <c r="S1715" s="53">
        <f>IFERROR(VLOOKUP(B1715,'Pre-Summary'!$BG$6:$BM$44,6,FALSE),S1716)</f>
        <v>6.1014931296205117E-2</v>
      </c>
      <c r="T1715" s="45" t="str">
        <f>IFERROR(VLOOKUP(B1715,'Pre-Summary'!$Y$6:$AC$83, 3,FALSE),"")</f>
        <v/>
      </c>
      <c r="U1715" s="45" t="str">
        <f>IFERROR(VLOOKUP(B1715,'Pre-Summary'!$Y$6:$AC$83, 4,FALSE),"")</f>
        <v/>
      </c>
      <c r="V1715" t="str">
        <f>IFERROR(VLOOKUP(B1715,'Pre-Summary'!$Y$6:$AC$83, 5,FALSE),"")</f>
        <v/>
      </c>
      <c r="W1715" s="45" t="str">
        <f>IFERROR(VLOOKUP(B1715,'Pre-Summary'!$Y$6:$AD$83,6,FALSE),"")</f>
        <v/>
      </c>
      <c r="X1715" t="str">
        <f>IFERROR(VLOOKUP('Pre-Summary'!$DB$6:$DD$63,3,FALSE),"")</f>
        <v/>
      </c>
      <c r="Y1715" t="str">
        <f>IFERROR(VLOOKUP(B1715,'Pre-Summary'!$CR$6:$CT$36,3,FALSE),"")</f>
        <v/>
      </c>
      <c r="Z1715" s="45" t="str">
        <f>IFERROR(VLOOKUP(B1715,'Pre-Summary'!$BZ$6:$CB$63,2,FALSE),"")</f>
        <v/>
      </c>
      <c r="AA1715" s="45" t="str">
        <f>IFERROR(VLOOKUP(B1715,'Pre-Summary'!$CG$6:$CI$70,2,FALSE),"")</f>
        <v/>
      </c>
      <c r="AB1715" s="99">
        <f>IFERROR(VLOOKUP(B1715,'Pre-Summary'!$A$6:$P$178,9,FALSE),AB1716)</f>
        <v>0.31098350443305406</v>
      </c>
      <c r="AC1715" s="10">
        <f>IFERROR(VLOOKUP(Summary!B1715,'Pre-Summary'!$A$6:$P$184,5, FALSE)/100,AC1716)</f>
        <v>0.70126166666666667</v>
      </c>
      <c r="AD1715" s="10">
        <f>IFERROR(VLOOKUP(Summary!B1715,'Pre-Summary'!$A$6:$P$184,3, FALSE)/100,AD1716)</f>
        <v>0.29873833333333333</v>
      </c>
      <c r="AE1715" s="10">
        <f>IFERROR(VLOOKUP(Summary!B1715,'Pre-Summary'!$A$6:$P$184,7, FALSE)/100,AE1716)</f>
        <v>0</v>
      </c>
      <c r="AF1715" s="99">
        <f t="shared" si="79"/>
        <v>9.2902693808489853E-2</v>
      </c>
      <c r="AG1715" s="99">
        <f t="shared" si="80"/>
        <v>0</v>
      </c>
      <c r="AH1715" s="10" t="str">
        <f>IFERROR(VLOOKUP(B1715,'Pre-Summary'!$AZ$6:$BE$65,3,FALSE),"")</f>
        <v/>
      </c>
      <c r="AI1715" s="10" t="str">
        <f>IFERROR(VLOOKUP(B1715,'Pre-Summary'!$AZ$6:$BE$65,5,FALSE),"")</f>
        <v/>
      </c>
      <c r="AJ1715" s="10" t="str">
        <f>IFERROR(VLOOKUP(B1715,'Pre-Summary'!$AZ$6:$BE$65,4,FALSE),"")</f>
        <v/>
      </c>
      <c r="AK1715" s="10" t="str">
        <f>IFERROR(VLOOKUP(B1715,'Pre-Summary'!$AZ$6:$BE$65,6,FALSE),"")</f>
        <v/>
      </c>
      <c r="AL1715" s="10" t="str">
        <f>IFERROR(VLOOKUP(B1715,'Pre-Summary'!$BG$6:$BL$44,3,FALSE),"")</f>
        <v/>
      </c>
      <c r="AM1715" s="10" t="str">
        <f>IFERROR(VLOOKUP(B1715,'Pre-Summary'!$BG$6:$BL$44,4,FALSE),"")</f>
        <v/>
      </c>
    </row>
    <row r="1716" spans="2:39" ht="15" customHeight="1" x14ac:dyDescent="0.3">
      <c r="B1716">
        <v>171.3</v>
      </c>
      <c r="C1716" t="str">
        <f>IFERROR(VLOOKUP(B1716,'Pre-Summary'!$DI$6:$DM$23,4,FALSE),"")</f>
        <v/>
      </c>
      <c r="D1716" s="10" t="str">
        <f>IFERROR(VLOOKUP(B1716,'Pre-Summary'!$AT$6:$AX$14,5,FALSE),D1715)</f>
        <v>Wolfe v3: went back to modified wolfe + EDTA and switched CuSO4 to CUCl2</v>
      </c>
      <c r="E1716" s="10" t="str">
        <f>IFERROR(VLOOKUP(B1716,'Pre-Summary'!$AT$6:$AX$15,4,FALSE),"")</f>
        <v/>
      </c>
      <c r="F1716">
        <f>IFERROR(VLOOKUP(B1716,'Pre-Summary'!$AL$6:$AQ$13,6,FALSE),F1715)</f>
        <v>5.9405263157894746E-2</v>
      </c>
      <c r="G1716" t="str">
        <f>IFERROR(VLOOKUP(B1716,'Pre-Summary'!$AE$6:$AJ$85,3,FALSE),"")</f>
        <v/>
      </c>
      <c r="H1716" t="str">
        <f>IFERROR(VLOOKUP(B1716,'Pre-Summary'!$AE$6:$AJ$85,4,FALSE),"")</f>
        <v/>
      </c>
      <c r="I1716" t="str">
        <f>IFERROR(VLOOKUP(B1716,'Pre-Summary'!$AE$6:$AJ$85,5,FALSE),"")</f>
        <v/>
      </c>
      <c r="J1716" s="45" t="str">
        <f>IFERROR(VLOOKUP(B1716,'Pre-Summary'!$AE$6:$AJ$85,6, FALSE),"")</f>
        <v/>
      </c>
      <c r="K1716" s="45" t="str">
        <f>IFERROR(VLOOKUP(B1716,'Pre-Summary'!$DE$6:$DG$61,3,FALSE),"")</f>
        <v/>
      </c>
      <c r="L1716" s="45" t="str">
        <f>IFERROR(VLOOKUP(B1716,'Pre-Summary'!$CU$6:$CW$36,3,FALSE),"")</f>
        <v/>
      </c>
      <c r="M1716" s="45" t="str">
        <f>IFERROR(VLOOKUP(B1716,'Pre-Summary'!$BW$6:$BY$58,2,FALSE),"")</f>
        <v/>
      </c>
      <c r="N1716" s="45" t="str">
        <f>IFERROR(VLOOKUP(B1716,'Pre-Summary'!$CD$6:$CF$64,2,FALSE),"")</f>
        <v/>
      </c>
      <c r="O1716" s="99">
        <f>IFERROR(VLOOKUP(B1716,'Pre-Summary'!$BO$6:$BQ$48,3, FALSE),O1715)</f>
        <v>1.25</v>
      </c>
      <c r="P1716" s="99">
        <f>IFERROR(VLOOKUP(B1716,'Pre-Summary'!$BS$6:$BU$35,3,FALSE),P1715)</f>
        <v>0.33700000000000002</v>
      </c>
      <c r="Q1716" s="54">
        <f t="shared" si="78"/>
        <v>3.7091988130563798</v>
      </c>
      <c r="R1716" s="53">
        <f>IFERROR(VLOOKUP(B1716,'Pre-Summary'!$BG$6:$BM$44,7,FALSE),R1717)</f>
        <v>8.0894687007659741E-2</v>
      </c>
      <c r="S1716" s="53">
        <f>IFERROR(VLOOKUP(B1716,'Pre-Summary'!$BG$6:$BM$44,6,FALSE),S1717)</f>
        <v>6.1014931296205117E-2</v>
      </c>
      <c r="T1716" s="45" t="str">
        <f>IFERROR(VLOOKUP(B1716,'Pre-Summary'!$Y$6:$AC$83, 3,FALSE),"")</f>
        <v/>
      </c>
      <c r="U1716" s="45" t="str">
        <f>IFERROR(VLOOKUP(B1716,'Pre-Summary'!$Y$6:$AC$83, 4,FALSE),"")</f>
        <v/>
      </c>
      <c r="V1716" t="str">
        <f>IFERROR(VLOOKUP(B1716,'Pre-Summary'!$Y$6:$AC$83, 5,FALSE),"")</f>
        <v/>
      </c>
      <c r="W1716" s="45" t="str">
        <f>IFERROR(VLOOKUP(B1716,'Pre-Summary'!$Y$6:$AD$83,6,FALSE),"")</f>
        <v/>
      </c>
      <c r="X1716" t="str">
        <f>IFERROR(VLOOKUP('Pre-Summary'!$DB$6:$DD$63,3,FALSE),"")</f>
        <v/>
      </c>
      <c r="Y1716" t="str">
        <f>IFERROR(VLOOKUP(B1716,'Pre-Summary'!$CR$6:$CT$36,3,FALSE),"")</f>
        <v/>
      </c>
      <c r="Z1716" s="45" t="str">
        <f>IFERROR(VLOOKUP(B1716,'Pre-Summary'!$BZ$6:$CB$63,2,FALSE),"")</f>
        <v/>
      </c>
      <c r="AA1716" s="45" t="str">
        <f>IFERROR(VLOOKUP(B1716,'Pre-Summary'!$CG$6:$CI$70,2,FALSE),"")</f>
        <v/>
      </c>
      <c r="AB1716" s="99">
        <f>IFERROR(VLOOKUP(B1716,'Pre-Summary'!$A$6:$P$178,9,FALSE),AB1717)</f>
        <v>0.31098350443305406</v>
      </c>
      <c r="AC1716" s="10">
        <f>IFERROR(VLOOKUP(Summary!B1716,'Pre-Summary'!$A$6:$P$184,5, FALSE)/100,AC1717)</f>
        <v>0.70126166666666667</v>
      </c>
      <c r="AD1716" s="10">
        <f>IFERROR(VLOOKUP(Summary!B1716,'Pre-Summary'!$A$6:$P$184,3, FALSE)/100,AD1717)</f>
        <v>0.29873833333333333</v>
      </c>
      <c r="AE1716" s="10">
        <f>IFERROR(VLOOKUP(Summary!B1716,'Pre-Summary'!$A$6:$P$184,7, FALSE)/100,AE1717)</f>
        <v>0</v>
      </c>
      <c r="AF1716" s="99">
        <f t="shared" si="79"/>
        <v>9.2902693808489853E-2</v>
      </c>
      <c r="AG1716" s="99">
        <f t="shared" si="80"/>
        <v>0</v>
      </c>
      <c r="AH1716" s="10" t="str">
        <f>IFERROR(VLOOKUP(B1716,'Pre-Summary'!$AZ$6:$BE$65,3,FALSE),"")</f>
        <v/>
      </c>
      <c r="AI1716" s="10" t="str">
        <f>IFERROR(VLOOKUP(B1716,'Pre-Summary'!$AZ$6:$BE$65,5,FALSE),"")</f>
        <v/>
      </c>
      <c r="AJ1716" s="10" t="str">
        <f>IFERROR(VLOOKUP(B1716,'Pre-Summary'!$AZ$6:$BE$65,4,FALSE),"")</f>
        <v/>
      </c>
      <c r="AK1716" s="10" t="str">
        <f>IFERROR(VLOOKUP(B1716,'Pre-Summary'!$AZ$6:$BE$65,6,FALSE),"")</f>
        <v/>
      </c>
      <c r="AL1716" s="10" t="str">
        <f>IFERROR(VLOOKUP(B1716,'Pre-Summary'!$BG$6:$BL$44,3,FALSE),"")</f>
        <v/>
      </c>
      <c r="AM1716" s="10" t="str">
        <f>IFERROR(VLOOKUP(B1716,'Pre-Summary'!$BG$6:$BL$44,4,FALSE),"")</f>
        <v/>
      </c>
    </row>
    <row r="1717" spans="2:39" ht="15" customHeight="1" x14ac:dyDescent="0.3">
      <c r="B1717">
        <v>171.4</v>
      </c>
      <c r="C1717" t="str">
        <f>IFERROR(VLOOKUP(B1717,'Pre-Summary'!$DI$6:$DM$23,4,FALSE),"")</f>
        <v/>
      </c>
      <c r="D1717" s="10" t="str">
        <f>IFERROR(VLOOKUP(B1717,'Pre-Summary'!$AT$6:$AX$14,5,FALSE),D1716)</f>
        <v>Wolfe v3: went back to modified wolfe + EDTA and switched CuSO4 to CUCl2</v>
      </c>
      <c r="E1717" s="10" t="str">
        <f>IFERROR(VLOOKUP(B1717,'Pre-Summary'!$AT$6:$AX$15,4,FALSE),"")</f>
        <v/>
      </c>
      <c r="F1717">
        <f>IFERROR(VLOOKUP(B1717,'Pre-Summary'!$AL$6:$AQ$13,6,FALSE),F1716)</f>
        <v>5.9405263157894746E-2</v>
      </c>
      <c r="G1717" t="str">
        <f>IFERROR(VLOOKUP(B1717,'Pre-Summary'!$AE$6:$AJ$85,3,FALSE),"")</f>
        <v/>
      </c>
      <c r="H1717" t="str">
        <f>IFERROR(VLOOKUP(B1717,'Pre-Summary'!$AE$6:$AJ$85,4,FALSE),"")</f>
        <v/>
      </c>
      <c r="I1717" t="str">
        <f>IFERROR(VLOOKUP(B1717,'Pre-Summary'!$AE$6:$AJ$85,5,FALSE),"")</f>
        <v/>
      </c>
      <c r="J1717" s="45" t="str">
        <f>IFERROR(VLOOKUP(B1717,'Pre-Summary'!$AE$6:$AJ$85,6, FALSE),"")</f>
        <v/>
      </c>
      <c r="K1717" s="45" t="str">
        <f>IFERROR(VLOOKUP(B1717,'Pre-Summary'!$DE$6:$DG$61,3,FALSE),"")</f>
        <v/>
      </c>
      <c r="L1717" s="45" t="str">
        <f>IFERROR(VLOOKUP(B1717,'Pre-Summary'!$CU$6:$CW$36,3,FALSE),"")</f>
        <v/>
      </c>
      <c r="M1717" s="45" t="str">
        <f>IFERROR(VLOOKUP(B1717,'Pre-Summary'!$BW$6:$BY$58,2,FALSE),"")</f>
        <v/>
      </c>
      <c r="N1717" s="45" t="str">
        <f>IFERROR(VLOOKUP(B1717,'Pre-Summary'!$CD$6:$CF$64,2,FALSE),"")</f>
        <v/>
      </c>
      <c r="O1717" s="99">
        <f>IFERROR(VLOOKUP(B1717,'Pre-Summary'!$BO$6:$BQ$48,3, FALSE),O1716)</f>
        <v>1.25</v>
      </c>
      <c r="P1717" s="99">
        <f>IFERROR(VLOOKUP(B1717,'Pre-Summary'!$BS$6:$BU$35,3,FALSE),P1716)</f>
        <v>0.33700000000000002</v>
      </c>
      <c r="Q1717" s="54">
        <f t="shared" si="78"/>
        <v>3.7091988130563798</v>
      </c>
      <c r="R1717" s="53">
        <f>IFERROR(VLOOKUP(B1717,'Pre-Summary'!$BG$6:$BM$44,7,FALSE),R1718)</f>
        <v>8.0894687007659741E-2</v>
      </c>
      <c r="S1717" s="53">
        <f>IFERROR(VLOOKUP(B1717,'Pre-Summary'!$BG$6:$BM$44,6,FALSE),S1718)</f>
        <v>6.1014931296205117E-2</v>
      </c>
      <c r="T1717" s="45" t="str">
        <f>IFERROR(VLOOKUP(B1717,'Pre-Summary'!$Y$6:$AC$83, 3,FALSE),"")</f>
        <v/>
      </c>
      <c r="U1717" s="45" t="str">
        <f>IFERROR(VLOOKUP(B1717,'Pre-Summary'!$Y$6:$AC$83, 4,FALSE),"")</f>
        <v/>
      </c>
      <c r="V1717" t="str">
        <f>IFERROR(VLOOKUP(B1717,'Pre-Summary'!$Y$6:$AC$83, 5,FALSE),"")</f>
        <v/>
      </c>
      <c r="W1717" s="45" t="str">
        <f>IFERROR(VLOOKUP(B1717,'Pre-Summary'!$Y$6:$AD$83,6,FALSE),"")</f>
        <v/>
      </c>
      <c r="X1717" t="str">
        <f>IFERROR(VLOOKUP('Pre-Summary'!$DB$6:$DD$63,3,FALSE),"")</f>
        <v/>
      </c>
      <c r="Y1717" t="str">
        <f>IFERROR(VLOOKUP(B1717,'Pre-Summary'!$CR$6:$CT$36,3,FALSE),"")</f>
        <v/>
      </c>
      <c r="Z1717" s="45" t="str">
        <f>IFERROR(VLOOKUP(B1717,'Pre-Summary'!$BZ$6:$CB$63,2,FALSE),"")</f>
        <v/>
      </c>
      <c r="AA1717" s="45" t="str">
        <f>IFERROR(VLOOKUP(B1717,'Pre-Summary'!$CG$6:$CI$70,2,FALSE),"")</f>
        <v/>
      </c>
      <c r="AB1717" s="99">
        <f>IFERROR(VLOOKUP(B1717,'Pre-Summary'!$A$6:$P$178,9,FALSE),AB1718)</f>
        <v>0.31098350443305406</v>
      </c>
      <c r="AC1717" s="10">
        <f>IFERROR(VLOOKUP(Summary!B1717,'Pre-Summary'!$A$6:$P$184,5, FALSE)/100,AC1718)</f>
        <v>0.70126166666666667</v>
      </c>
      <c r="AD1717" s="10">
        <f>IFERROR(VLOOKUP(Summary!B1717,'Pre-Summary'!$A$6:$P$184,3, FALSE)/100,AD1718)</f>
        <v>0.29873833333333333</v>
      </c>
      <c r="AE1717" s="10">
        <f>IFERROR(VLOOKUP(Summary!B1717,'Pre-Summary'!$A$6:$P$184,7, FALSE)/100,AE1718)</f>
        <v>0</v>
      </c>
      <c r="AF1717" s="99">
        <f t="shared" si="79"/>
        <v>9.2902693808489853E-2</v>
      </c>
      <c r="AG1717" s="99">
        <f t="shared" si="80"/>
        <v>0</v>
      </c>
      <c r="AH1717" s="10" t="str">
        <f>IFERROR(VLOOKUP(B1717,'Pre-Summary'!$AZ$6:$BE$65,3,FALSE),"")</f>
        <v/>
      </c>
      <c r="AI1717" s="10" t="str">
        <f>IFERROR(VLOOKUP(B1717,'Pre-Summary'!$AZ$6:$BE$65,5,FALSE),"")</f>
        <v/>
      </c>
      <c r="AJ1717" s="10" t="str">
        <f>IFERROR(VLOOKUP(B1717,'Pre-Summary'!$AZ$6:$BE$65,4,FALSE),"")</f>
        <v/>
      </c>
      <c r="AK1717" s="10" t="str">
        <f>IFERROR(VLOOKUP(B1717,'Pre-Summary'!$AZ$6:$BE$65,6,FALSE),"")</f>
        <v/>
      </c>
      <c r="AL1717" s="10" t="str">
        <f>IFERROR(VLOOKUP(B1717,'Pre-Summary'!$BG$6:$BL$44,3,FALSE),"")</f>
        <v/>
      </c>
      <c r="AM1717" s="10" t="str">
        <f>IFERROR(VLOOKUP(B1717,'Pre-Summary'!$BG$6:$BL$44,4,FALSE),"")</f>
        <v/>
      </c>
    </row>
    <row r="1718" spans="2:39" ht="15" customHeight="1" x14ac:dyDescent="0.3">
      <c r="B1718">
        <v>171.5</v>
      </c>
      <c r="C1718" t="str">
        <f>IFERROR(VLOOKUP(B1718,'Pre-Summary'!$DI$6:$DM$23,4,FALSE),"")</f>
        <v/>
      </c>
      <c r="D1718" s="10" t="str">
        <f>IFERROR(VLOOKUP(B1718,'Pre-Summary'!$AT$6:$AX$14,5,FALSE),D1717)</f>
        <v>Wolfe v3: went back to modified wolfe + EDTA and switched CuSO4 to CUCl2</v>
      </c>
      <c r="E1718" s="10" t="str">
        <f>IFERROR(VLOOKUP(B1718,'Pre-Summary'!$AT$6:$AX$15,4,FALSE),"")</f>
        <v/>
      </c>
      <c r="F1718">
        <f>IFERROR(VLOOKUP(B1718,'Pre-Summary'!$AL$6:$AQ$13,6,FALSE),F1717)</f>
        <v>5.9405263157894746E-2</v>
      </c>
      <c r="G1718" t="str">
        <f>IFERROR(VLOOKUP(B1718,'Pre-Summary'!$AE$6:$AJ$85,3,FALSE),"")</f>
        <v/>
      </c>
      <c r="H1718" t="str">
        <f>IFERROR(VLOOKUP(B1718,'Pre-Summary'!$AE$6:$AJ$85,4,FALSE),"")</f>
        <v/>
      </c>
      <c r="I1718" t="str">
        <f>IFERROR(VLOOKUP(B1718,'Pre-Summary'!$AE$6:$AJ$85,5,FALSE),"")</f>
        <v/>
      </c>
      <c r="J1718" s="45" t="str">
        <f>IFERROR(VLOOKUP(B1718,'Pre-Summary'!$AE$6:$AJ$85,6, FALSE),"")</f>
        <v/>
      </c>
      <c r="K1718" s="45" t="str">
        <f>IFERROR(VLOOKUP(B1718,'Pre-Summary'!$DE$6:$DG$61,3,FALSE),"")</f>
        <v/>
      </c>
      <c r="L1718" s="45" t="str">
        <f>IFERROR(VLOOKUP(B1718,'Pre-Summary'!$CU$6:$CW$36,3,FALSE),"")</f>
        <v/>
      </c>
      <c r="M1718" s="45" t="str">
        <f>IFERROR(VLOOKUP(B1718,'Pre-Summary'!$BW$6:$BY$58,2,FALSE),"")</f>
        <v/>
      </c>
      <c r="N1718" s="45" t="str">
        <f>IFERROR(VLOOKUP(B1718,'Pre-Summary'!$CD$6:$CF$64,2,FALSE),"")</f>
        <v/>
      </c>
      <c r="O1718" s="99">
        <f>IFERROR(VLOOKUP(B1718,'Pre-Summary'!$BO$6:$BQ$48,3, FALSE),O1717)</f>
        <v>1.25</v>
      </c>
      <c r="P1718" s="99">
        <f>IFERROR(VLOOKUP(B1718,'Pre-Summary'!$BS$6:$BU$35,3,FALSE),P1717)</f>
        <v>0.33700000000000002</v>
      </c>
      <c r="Q1718" s="54">
        <f t="shared" si="78"/>
        <v>3.7091988130563798</v>
      </c>
      <c r="R1718" s="53">
        <f>IFERROR(VLOOKUP(B1718,'Pre-Summary'!$BG$6:$BM$44,7,FALSE),R1719)</f>
        <v>8.0894687007659741E-2</v>
      </c>
      <c r="S1718" s="53">
        <f>IFERROR(VLOOKUP(B1718,'Pre-Summary'!$BG$6:$BM$44,6,FALSE),S1719)</f>
        <v>6.1014931296205117E-2</v>
      </c>
      <c r="T1718" s="45" t="str">
        <f>IFERROR(VLOOKUP(B1718,'Pre-Summary'!$Y$6:$AC$83, 3,FALSE),"")</f>
        <v/>
      </c>
      <c r="U1718" s="45" t="str">
        <f>IFERROR(VLOOKUP(B1718,'Pre-Summary'!$Y$6:$AC$83, 4,FALSE),"")</f>
        <v/>
      </c>
      <c r="V1718" t="str">
        <f>IFERROR(VLOOKUP(B1718,'Pre-Summary'!$Y$6:$AC$83, 5,FALSE),"")</f>
        <v/>
      </c>
      <c r="W1718" s="45" t="str">
        <f>IFERROR(VLOOKUP(B1718,'Pre-Summary'!$Y$6:$AD$83,6,FALSE),"")</f>
        <v/>
      </c>
      <c r="X1718" t="str">
        <f>IFERROR(VLOOKUP('Pre-Summary'!$DB$6:$DD$63,3,FALSE),"")</f>
        <v/>
      </c>
      <c r="Y1718" t="str">
        <f>IFERROR(VLOOKUP(B1718,'Pre-Summary'!$CR$6:$CT$36,3,FALSE),"")</f>
        <v/>
      </c>
      <c r="Z1718" s="45" t="str">
        <f>IFERROR(VLOOKUP(B1718,'Pre-Summary'!$BZ$6:$CB$63,2,FALSE),"")</f>
        <v/>
      </c>
      <c r="AA1718" s="45" t="str">
        <f>IFERROR(VLOOKUP(B1718,'Pre-Summary'!$CG$6:$CI$70,2,FALSE),"")</f>
        <v/>
      </c>
      <c r="AB1718" s="99">
        <f>IFERROR(VLOOKUP(B1718,'Pre-Summary'!$A$6:$P$178,9,FALSE),AB1719)</f>
        <v>0.31098350443305406</v>
      </c>
      <c r="AC1718" s="10">
        <f>IFERROR(VLOOKUP(Summary!B1718,'Pre-Summary'!$A$6:$P$184,5, FALSE)/100,AC1719)</f>
        <v>0.70126166666666667</v>
      </c>
      <c r="AD1718" s="10">
        <f>IFERROR(VLOOKUP(Summary!B1718,'Pre-Summary'!$A$6:$P$184,3, FALSE)/100,AD1719)</f>
        <v>0.29873833333333333</v>
      </c>
      <c r="AE1718" s="10">
        <f>IFERROR(VLOOKUP(Summary!B1718,'Pre-Summary'!$A$6:$P$184,7, FALSE)/100,AE1719)</f>
        <v>0</v>
      </c>
      <c r="AF1718" s="99">
        <f t="shared" si="79"/>
        <v>9.2902693808489853E-2</v>
      </c>
      <c r="AG1718" s="99">
        <f t="shared" si="80"/>
        <v>0</v>
      </c>
      <c r="AH1718" s="10" t="str">
        <f>IFERROR(VLOOKUP(B1718,'Pre-Summary'!$AZ$6:$BE$65,3,FALSE),"")</f>
        <v/>
      </c>
      <c r="AI1718" s="10" t="str">
        <f>IFERROR(VLOOKUP(B1718,'Pre-Summary'!$AZ$6:$BE$65,5,FALSE),"")</f>
        <v/>
      </c>
      <c r="AJ1718" s="10" t="str">
        <f>IFERROR(VLOOKUP(B1718,'Pre-Summary'!$AZ$6:$BE$65,4,FALSE),"")</f>
        <v/>
      </c>
      <c r="AK1718" s="10" t="str">
        <f>IFERROR(VLOOKUP(B1718,'Pre-Summary'!$AZ$6:$BE$65,6,FALSE),"")</f>
        <v/>
      </c>
      <c r="AL1718" s="10" t="str">
        <f>IFERROR(VLOOKUP(B1718,'Pre-Summary'!$BG$6:$BL$44,3,FALSE),"")</f>
        <v/>
      </c>
      <c r="AM1718" s="10" t="str">
        <f>IFERROR(VLOOKUP(B1718,'Pre-Summary'!$BG$6:$BL$44,4,FALSE),"")</f>
        <v/>
      </c>
    </row>
    <row r="1719" spans="2:39" ht="15" customHeight="1" x14ac:dyDescent="0.3">
      <c r="B1719">
        <v>171.6</v>
      </c>
      <c r="C1719" t="str">
        <f>IFERROR(VLOOKUP(B1719,'Pre-Summary'!$DI$6:$DM$23,4,FALSE),"")</f>
        <v/>
      </c>
      <c r="D1719" s="10" t="str">
        <f>IFERROR(VLOOKUP(B1719,'Pre-Summary'!$AT$6:$AX$14,5,FALSE),D1718)</f>
        <v>Wolfe v3: went back to modified wolfe + EDTA and switched CuSO4 to CUCl2</v>
      </c>
      <c r="E1719" s="10" t="str">
        <f>IFERROR(VLOOKUP(B1719,'Pre-Summary'!$AT$6:$AX$15,4,FALSE),"")</f>
        <v/>
      </c>
      <c r="F1719">
        <f>IFERROR(VLOOKUP(B1719,'Pre-Summary'!$AL$6:$AQ$13,6,FALSE),F1718)</f>
        <v>5.9405263157894746E-2</v>
      </c>
      <c r="G1719" t="str">
        <f>IFERROR(VLOOKUP(B1719,'Pre-Summary'!$AE$6:$AJ$85,3,FALSE),"")</f>
        <v/>
      </c>
      <c r="H1719" t="str">
        <f>IFERROR(VLOOKUP(B1719,'Pre-Summary'!$AE$6:$AJ$85,4,FALSE),"")</f>
        <v/>
      </c>
      <c r="I1719" t="str">
        <f>IFERROR(VLOOKUP(B1719,'Pre-Summary'!$AE$6:$AJ$85,5,FALSE),"")</f>
        <v/>
      </c>
      <c r="J1719" s="45" t="str">
        <f>IFERROR(VLOOKUP(B1719,'Pre-Summary'!$AE$6:$AJ$85,6, FALSE),"")</f>
        <v/>
      </c>
      <c r="K1719" s="45" t="str">
        <f>IFERROR(VLOOKUP(B1719,'Pre-Summary'!$DE$6:$DG$61,3,FALSE),"")</f>
        <v/>
      </c>
      <c r="L1719" s="45" t="str">
        <f>IFERROR(VLOOKUP(B1719,'Pre-Summary'!$CU$6:$CW$36,3,FALSE),"")</f>
        <v/>
      </c>
      <c r="M1719" s="45" t="str">
        <f>IFERROR(VLOOKUP(B1719,'Pre-Summary'!$BW$6:$BY$58,2,FALSE),"")</f>
        <v/>
      </c>
      <c r="N1719" s="45" t="str">
        <f>IFERROR(VLOOKUP(B1719,'Pre-Summary'!$CD$6:$CF$64,2,FALSE),"")</f>
        <v/>
      </c>
      <c r="O1719" s="99">
        <f>IFERROR(VLOOKUP(B1719,'Pre-Summary'!$BO$6:$BQ$48,3, FALSE),O1718)</f>
        <v>1.25</v>
      </c>
      <c r="P1719" s="99">
        <f>IFERROR(VLOOKUP(B1719,'Pre-Summary'!$BS$6:$BU$35,3,FALSE),P1718)</f>
        <v>0.33700000000000002</v>
      </c>
      <c r="Q1719" s="54">
        <f t="shared" si="78"/>
        <v>3.7091988130563798</v>
      </c>
      <c r="R1719" s="53">
        <f>IFERROR(VLOOKUP(B1719,'Pre-Summary'!$BG$6:$BM$44,7,FALSE),R1720)</f>
        <v>8.0894687007659741E-2</v>
      </c>
      <c r="S1719" s="53">
        <f>IFERROR(VLOOKUP(B1719,'Pre-Summary'!$BG$6:$BM$44,6,FALSE),S1720)</f>
        <v>6.1014931296205117E-2</v>
      </c>
      <c r="T1719" s="45" t="str">
        <f>IFERROR(VLOOKUP(B1719,'Pre-Summary'!$Y$6:$AC$83, 3,FALSE),"")</f>
        <v/>
      </c>
      <c r="U1719" s="45" t="str">
        <f>IFERROR(VLOOKUP(B1719,'Pre-Summary'!$Y$6:$AC$83, 4,FALSE),"")</f>
        <v/>
      </c>
      <c r="V1719" t="str">
        <f>IFERROR(VLOOKUP(B1719,'Pre-Summary'!$Y$6:$AC$83, 5,FALSE),"")</f>
        <v/>
      </c>
      <c r="W1719" s="45" t="str">
        <f>IFERROR(VLOOKUP(B1719,'Pre-Summary'!$Y$6:$AD$83,6,FALSE),"")</f>
        <v/>
      </c>
      <c r="X1719" t="str">
        <f>IFERROR(VLOOKUP('Pre-Summary'!$DB$6:$DD$63,3,FALSE),"")</f>
        <v/>
      </c>
      <c r="Y1719" t="str">
        <f>IFERROR(VLOOKUP(B1719,'Pre-Summary'!$CR$6:$CT$36,3,FALSE),"")</f>
        <v/>
      </c>
      <c r="Z1719" s="45" t="str">
        <f>IFERROR(VLOOKUP(B1719,'Pre-Summary'!$BZ$6:$CB$63,2,FALSE),"")</f>
        <v/>
      </c>
      <c r="AA1719" s="45" t="str">
        <f>IFERROR(VLOOKUP(B1719,'Pre-Summary'!$CG$6:$CI$70,2,FALSE),"")</f>
        <v/>
      </c>
      <c r="AB1719" s="99">
        <f>IFERROR(VLOOKUP(B1719,'Pre-Summary'!$A$6:$P$178,9,FALSE),AB1720)</f>
        <v>0.31098350443305406</v>
      </c>
      <c r="AC1719" s="10">
        <f>IFERROR(VLOOKUP(Summary!B1719,'Pre-Summary'!$A$6:$P$184,5, FALSE)/100,AC1720)</f>
        <v>0.70126166666666667</v>
      </c>
      <c r="AD1719" s="10">
        <f>IFERROR(VLOOKUP(Summary!B1719,'Pre-Summary'!$A$6:$P$184,3, FALSE)/100,AD1720)</f>
        <v>0.29873833333333333</v>
      </c>
      <c r="AE1719" s="10">
        <f>IFERROR(VLOOKUP(Summary!B1719,'Pre-Summary'!$A$6:$P$184,7, FALSE)/100,AE1720)</f>
        <v>0</v>
      </c>
      <c r="AF1719" s="99">
        <f t="shared" si="79"/>
        <v>9.2902693808489853E-2</v>
      </c>
      <c r="AG1719" s="99">
        <f t="shared" si="80"/>
        <v>0</v>
      </c>
      <c r="AH1719" s="10" t="str">
        <f>IFERROR(VLOOKUP(B1719,'Pre-Summary'!$AZ$6:$BE$65,3,FALSE),"")</f>
        <v/>
      </c>
      <c r="AI1719" s="10" t="str">
        <f>IFERROR(VLOOKUP(B1719,'Pre-Summary'!$AZ$6:$BE$65,5,FALSE),"")</f>
        <v/>
      </c>
      <c r="AJ1719" s="10" t="str">
        <f>IFERROR(VLOOKUP(B1719,'Pre-Summary'!$AZ$6:$BE$65,4,FALSE),"")</f>
        <v/>
      </c>
      <c r="AK1719" s="10" t="str">
        <f>IFERROR(VLOOKUP(B1719,'Pre-Summary'!$AZ$6:$BE$65,6,FALSE),"")</f>
        <v/>
      </c>
      <c r="AL1719" s="10" t="str">
        <f>IFERROR(VLOOKUP(B1719,'Pre-Summary'!$BG$6:$BL$44,3,FALSE),"")</f>
        <v/>
      </c>
      <c r="AM1719" s="10" t="str">
        <f>IFERROR(VLOOKUP(B1719,'Pre-Summary'!$BG$6:$BL$44,4,FALSE),"")</f>
        <v/>
      </c>
    </row>
    <row r="1720" spans="2:39" ht="15" customHeight="1" x14ac:dyDescent="0.3">
      <c r="B1720">
        <v>171.7</v>
      </c>
      <c r="C1720" t="str">
        <f>IFERROR(VLOOKUP(B1720,'Pre-Summary'!$DI$6:$DM$23,4,FALSE),"")</f>
        <v/>
      </c>
      <c r="D1720" s="10" t="str">
        <f>IFERROR(VLOOKUP(B1720,'Pre-Summary'!$AT$6:$AX$14,5,FALSE),D1719)</f>
        <v>Wolfe v3: went back to modified wolfe + EDTA and switched CuSO4 to CUCl2</v>
      </c>
      <c r="E1720" s="10" t="str">
        <f>IFERROR(VLOOKUP(B1720,'Pre-Summary'!$AT$6:$AX$15,4,FALSE),"")</f>
        <v/>
      </c>
      <c r="F1720">
        <f>IFERROR(VLOOKUP(B1720,'Pre-Summary'!$AL$6:$AQ$13,6,FALSE),F1719)</f>
        <v>5.9405263157894746E-2</v>
      </c>
      <c r="G1720" t="str">
        <f>IFERROR(VLOOKUP(B1720,'Pre-Summary'!$AE$6:$AJ$85,3,FALSE),"")</f>
        <v/>
      </c>
      <c r="H1720" t="str">
        <f>IFERROR(VLOOKUP(B1720,'Pre-Summary'!$AE$6:$AJ$85,4,FALSE),"")</f>
        <v/>
      </c>
      <c r="I1720" t="str">
        <f>IFERROR(VLOOKUP(B1720,'Pre-Summary'!$AE$6:$AJ$85,5,FALSE),"")</f>
        <v/>
      </c>
      <c r="J1720" s="45" t="str">
        <f>IFERROR(VLOOKUP(B1720,'Pre-Summary'!$AE$6:$AJ$85,6, FALSE),"")</f>
        <v/>
      </c>
      <c r="K1720" s="45" t="str">
        <f>IFERROR(VLOOKUP(B1720,'Pre-Summary'!$DE$6:$DG$61,3,FALSE),"")</f>
        <v/>
      </c>
      <c r="L1720" s="45" t="str">
        <f>IFERROR(VLOOKUP(B1720,'Pre-Summary'!$CU$6:$CW$36,3,FALSE),"")</f>
        <v/>
      </c>
      <c r="M1720" s="45" t="str">
        <f>IFERROR(VLOOKUP(B1720,'Pre-Summary'!$BW$6:$BY$58,2,FALSE),"")</f>
        <v/>
      </c>
      <c r="N1720" s="45" t="str">
        <f>IFERROR(VLOOKUP(B1720,'Pre-Summary'!$CD$6:$CF$64,2,FALSE),"")</f>
        <v/>
      </c>
      <c r="O1720" s="99">
        <f>IFERROR(VLOOKUP(B1720,'Pre-Summary'!$BO$6:$BQ$48,3, FALSE),O1719)</f>
        <v>1.25</v>
      </c>
      <c r="P1720" s="99">
        <f>IFERROR(VLOOKUP(B1720,'Pre-Summary'!$BS$6:$BU$35,3,FALSE),P1719)</f>
        <v>0.33700000000000002</v>
      </c>
      <c r="Q1720" s="54">
        <f t="shared" si="78"/>
        <v>3.7091988130563798</v>
      </c>
      <c r="R1720" s="53">
        <f>IFERROR(VLOOKUP(B1720,'Pre-Summary'!$BG$6:$BM$44,7,FALSE),R1721)</f>
        <v>8.0894687007659741E-2</v>
      </c>
      <c r="S1720" s="53">
        <f>IFERROR(VLOOKUP(B1720,'Pre-Summary'!$BG$6:$BM$44,6,FALSE),S1721)</f>
        <v>6.1014931296205117E-2</v>
      </c>
      <c r="T1720" s="45" t="str">
        <f>IFERROR(VLOOKUP(B1720,'Pre-Summary'!$Y$6:$AC$83, 3,FALSE),"")</f>
        <v/>
      </c>
      <c r="U1720" s="45" t="str">
        <f>IFERROR(VLOOKUP(B1720,'Pre-Summary'!$Y$6:$AC$83, 4,FALSE),"")</f>
        <v/>
      </c>
      <c r="V1720" t="str">
        <f>IFERROR(VLOOKUP(B1720,'Pre-Summary'!$Y$6:$AC$83, 5,FALSE),"")</f>
        <v/>
      </c>
      <c r="W1720" s="45" t="str">
        <f>IFERROR(VLOOKUP(B1720,'Pre-Summary'!$Y$6:$AD$83,6,FALSE),"")</f>
        <v/>
      </c>
      <c r="X1720" t="str">
        <f>IFERROR(VLOOKUP('Pre-Summary'!$DB$6:$DD$63,3,FALSE),"")</f>
        <v/>
      </c>
      <c r="Y1720" t="str">
        <f>IFERROR(VLOOKUP(B1720,'Pre-Summary'!$CR$6:$CT$36,3,FALSE),"")</f>
        <v/>
      </c>
      <c r="Z1720" s="45" t="str">
        <f>IFERROR(VLOOKUP(B1720,'Pre-Summary'!$BZ$6:$CB$63,2,FALSE),"")</f>
        <v/>
      </c>
      <c r="AA1720" s="45" t="str">
        <f>IFERROR(VLOOKUP(B1720,'Pre-Summary'!$CG$6:$CI$70,2,FALSE),"")</f>
        <v/>
      </c>
      <c r="AB1720" s="99">
        <f>IFERROR(VLOOKUP(B1720,'Pre-Summary'!$A$6:$P$178,9,FALSE),AB1721)</f>
        <v>0.31098350443305406</v>
      </c>
      <c r="AC1720" s="10">
        <f>IFERROR(VLOOKUP(Summary!B1720,'Pre-Summary'!$A$6:$P$184,5, FALSE)/100,AC1721)</f>
        <v>0.70126166666666667</v>
      </c>
      <c r="AD1720" s="10">
        <f>IFERROR(VLOOKUP(Summary!B1720,'Pre-Summary'!$A$6:$P$184,3, FALSE)/100,AD1721)</f>
        <v>0.29873833333333333</v>
      </c>
      <c r="AE1720" s="10">
        <f>IFERROR(VLOOKUP(Summary!B1720,'Pre-Summary'!$A$6:$P$184,7, FALSE)/100,AE1721)</f>
        <v>0</v>
      </c>
      <c r="AF1720" s="99">
        <f t="shared" si="79"/>
        <v>9.2902693808489853E-2</v>
      </c>
      <c r="AG1720" s="99">
        <f t="shared" si="80"/>
        <v>0</v>
      </c>
      <c r="AH1720" s="10" t="str">
        <f>IFERROR(VLOOKUP(B1720,'Pre-Summary'!$AZ$6:$BE$65,3,FALSE),"")</f>
        <v/>
      </c>
      <c r="AI1720" s="10" t="str">
        <f>IFERROR(VLOOKUP(B1720,'Pre-Summary'!$AZ$6:$BE$65,5,FALSE),"")</f>
        <v/>
      </c>
      <c r="AJ1720" s="10" t="str">
        <f>IFERROR(VLOOKUP(B1720,'Pre-Summary'!$AZ$6:$BE$65,4,FALSE),"")</f>
        <v/>
      </c>
      <c r="AK1720" s="10" t="str">
        <f>IFERROR(VLOOKUP(B1720,'Pre-Summary'!$AZ$6:$BE$65,6,FALSE),"")</f>
        <v/>
      </c>
      <c r="AL1720" s="10" t="str">
        <f>IFERROR(VLOOKUP(B1720,'Pre-Summary'!$BG$6:$BL$44,3,FALSE),"")</f>
        <v/>
      </c>
      <c r="AM1720" s="10" t="str">
        <f>IFERROR(VLOOKUP(B1720,'Pre-Summary'!$BG$6:$BL$44,4,FALSE),"")</f>
        <v/>
      </c>
    </row>
    <row r="1721" spans="2:39" ht="15" customHeight="1" x14ac:dyDescent="0.3">
      <c r="B1721">
        <v>171.8</v>
      </c>
      <c r="C1721" t="str">
        <f>IFERROR(VLOOKUP(B1721,'Pre-Summary'!$DI$6:$DM$23,4,FALSE),"")</f>
        <v/>
      </c>
      <c r="D1721" s="10" t="str">
        <f>IFERROR(VLOOKUP(B1721,'Pre-Summary'!$AT$6:$AX$14,5,FALSE),D1720)</f>
        <v>Wolfe v3: went back to modified wolfe + EDTA and switched CuSO4 to CUCl2</v>
      </c>
      <c r="E1721" s="10" t="str">
        <f>IFERROR(VLOOKUP(B1721,'Pre-Summary'!$AT$6:$AX$15,4,FALSE),"")</f>
        <v/>
      </c>
      <c r="F1721">
        <f>IFERROR(VLOOKUP(B1721,'Pre-Summary'!$AL$6:$AQ$13,6,FALSE),F1720)</f>
        <v>5.9405263157894746E-2</v>
      </c>
      <c r="G1721" t="str">
        <f>IFERROR(VLOOKUP(B1721,'Pre-Summary'!$AE$6:$AJ$85,3,FALSE),"")</f>
        <v/>
      </c>
      <c r="H1721" t="str">
        <f>IFERROR(VLOOKUP(B1721,'Pre-Summary'!$AE$6:$AJ$85,4,FALSE),"")</f>
        <v/>
      </c>
      <c r="I1721" t="str">
        <f>IFERROR(VLOOKUP(B1721,'Pre-Summary'!$AE$6:$AJ$85,5,FALSE),"")</f>
        <v/>
      </c>
      <c r="J1721" s="45" t="str">
        <f>IFERROR(VLOOKUP(B1721,'Pre-Summary'!$AE$6:$AJ$85,6, FALSE),"")</f>
        <v/>
      </c>
      <c r="K1721" s="45" t="str">
        <f>IFERROR(VLOOKUP(B1721,'Pre-Summary'!$DE$6:$DG$61,3,FALSE),"")</f>
        <v/>
      </c>
      <c r="L1721" s="45" t="str">
        <f>IFERROR(VLOOKUP(B1721,'Pre-Summary'!$CU$6:$CW$36,3,FALSE),"")</f>
        <v/>
      </c>
      <c r="M1721" s="45" t="str">
        <f>IFERROR(VLOOKUP(B1721,'Pre-Summary'!$BW$6:$BY$58,2,FALSE),"")</f>
        <v/>
      </c>
      <c r="N1721" s="45" t="str">
        <f>IFERROR(VLOOKUP(B1721,'Pre-Summary'!$CD$6:$CF$64,2,FALSE),"")</f>
        <v/>
      </c>
      <c r="O1721" s="99">
        <f>IFERROR(VLOOKUP(B1721,'Pre-Summary'!$BO$6:$BQ$48,3, FALSE),O1720)</f>
        <v>1.25</v>
      </c>
      <c r="P1721" s="99">
        <f>IFERROR(VLOOKUP(B1721,'Pre-Summary'!$BS$6:$BU$35,3,FALSE),P1720)</f>
        <v>0.33700000000000002</v>
      </c>
      <c r="Q1721" s="54">
        <f t="shared" si="78"/>
        <v>3.7091988130563798</v>
      </c>
      <c r="R1721" s="53">
        <f>IFERROR(VLOOKUP(B1721,'Pre-Summary'!$BG$6:$BM$44,7,FALSE),R1722)</f>
        <v>8.0894687007659741E-2</v>
      </c>
      <c r="S1721" s="53">
        <f>IFERROR(VLOOKUP(B1721,'Pre-Summary'!$BG$6:$BM$44,6,FALSE),S1722)</f>
        <v>6.1014931296205117E-2</v>
      </c>
      <c r="T1721" s="45" t="str">
        <f>IFERROR(VLOOKUP(B1721,'Pre-Summary'!$Y$6:$AC$83, 3,FALSE),"")</f>
        <v/>
      </c>
      <c r="U1721" s="45" t="str">
        <f>IFERROR(VLOOKUP(B1721,'Pre-Summary'!$Y$6:$AC$83, 4,FALSE),"")</f>
        <v/>
      </c>
      <c r="V1721" t="str">
        <f>IFERROR(VLOOKUP(B1721,'Pre-Summary'!$Y$6:$AC$83, 5,FALSE),"")</f>
        <v/>
      </c>
      <c r="W1721" s="45" t="str">
        <f>IFERROR(VLOOKUP(B1721,'Pre-Summary'!$Y$6:$AD$83,6,FALSE),"")</f>
        <v/>
      </c>
      <c r="X1721" t="str">
        <f>IFERROR(VLOOKUP('Pre-Summary'!$DB$6:$DD$63,3,FALSE),"")</f>
        <v/>
      </c>
      <c r="Y1721" t="str">
        <f>IFERROR(VLOOKUP(B1721,'Pre-Summary'!$CR$6:$CT$36,3,FALSE),"")</f>
        <v/>
      </c>
      <c r="Z1721" s="45" t="str">
        <f>IFERROR(VLOOKUP(B1721,'Pre-Summary'!$BZ$6:$CB$63,2,FALSE),"")</f>
        <v/>
      </c>
      <c r="AA1721" s="45" t="str">
        <f>IFERROR(VLOOKUP(B1721,'Pre-Summary'!$CG$6:$CI$70,2,FALSE),"")</f>
        <v/>
      </c>
      <c r="AB1721" s="99">
        <f>IFERROR(VLOOKUP(B1721,'Pre-Summary'!$A$6:$P$178,9,FALSE),AB1722)</f>
        <v>0.31098350443305406</v>
      </c>
      <c r="AC1721" s="10">
        <f>IFERROR(VLOOKUP(Summary!B1721,'Pre-Summary'!$A$6:$P$184,5, FALSE)/100,AC1722)</f>
        <v>0.70126166666666667</v>
      </c>
      <c r="AD1721" s="10">
        <f>IFERROR(VLOOKUP(Summary!B1721,'Pre-Summary'!$A$6:$P$184,3, FALSE)/100,AD1722)</f>
        <v>0.29873833333333333</v>
      </c>
      <c r="AE1721" s="10">
        <f>IFERROR(VLOOKUP(Summary!B1721,'Pre-Summary'!$A$6:$P$184,7, FALSE)/100,AE1722)</f>
        <v>0</v>
      </c>
      <c r="AF1721" s="99">
        <f t="shared" si="79"/>
        <v>9.2902693808489853E-2</v>
      </c>
      <c r="AG1721" s="99">
        <f t="shared" si="80"/>
        <v>0</v>
      </c>
      <c r="AH1721" s="10" t="str">
        <f>IFERROR(VLOOKUP(B1721,'Pre-Summary'!$AZ$6:$BE$65,3,FALSE),"")</f>
        <v/>
      </c>
      <c r="AI1721" s="10" t="str">
        <f>IFERROR(VLOOKUP(B1721,'Pre-Summary'!$AZ$6:$BE$65,5,FALSE),"")</f>
        <v/>
      </c>
      <c r="AJ1721" s="10" t="str">
        <f>IFERROR(VLOOKUP(B1721,'Pre-Summary'!$AZ$6:$BE$65,4,FALSE),"")</f>
        <v/>
      </c>
      <c r="AK1721" s="10" t="str">
        <f>IFERROR(VLOOKUP(B1721,'Pre-Summary'!$AZ$6:$BE$65,6,FALSE),"")</f>
        <v/>
      </c>
      <c r="AL1721" s="10" t="str">
        <f>IFERROR(VLOOKUP(B1721,'Pre-Summary'!$BG$6:$BL$44,3,FALSE),"")</f>
        <v/>
      </c>
      <c r="AM1721" s="10" t="str">
        <f>IFERROR(VLOOKUP(B1721,'Pre-Summary'!$BG$6:$BL$44,4,FALSE),"")</f>
        <v/>
      </c>
    </row>
    <row r="1722" spans="2:39" ht="15" customHeight="1" x14ac:dyDescent="0.3">
      <c r="B1722">
        <v>171.9</v>
      </c>
      <c r="C1722" t="str">
        <f>IFERROR(VLOOKUP(B1722,'Pre-Summary'!$DI$6:$DM$23,4,FALSE),"")</f>
        <v/>
      </c>
      <c r="D1722" s="10" t="str">
        <f>IFERROR(VLOOKUP(B1722,'Pre-Summary'!$AT$6:$AX$14,5,FALSE),D1721)</f>
        <v>Wolfe v3: went back to modified wolfe + EDTA and switched CuSO4 to CUCl2</v>
      </c>
      <c r="E1722" s="10" t="str">
        <f>IFERROR(VLOOKUP(B1722,'Pre-Summary'!$AT$6:$AX$15,4,FALSE),"")</f>
        <v/>
      </c>
      <c r="F1722">
        <f>IFERROR(VLOOKUP(B1722,'Pre-Summary'!$AL$6:$AQ$13,6,FALSE),F1721)</f>
        <v>5.9405263157894746E-2</v>
      </c>
      <c r="G1722" t="str">
        <f>IFERROR(VLOOKUP(B1722,'Pre-Summary'!$AE$6:$AJ$85,3,FALSE),"")</f>
        <v/>
      </c>
      <c r="H1722" t="str">
        <f>IFERROR(VLOOKUP(B1722,'Pre-Summary'!$AE$6:$AJ$85,4,FALSE),"")</f>
        <v/>
      </c>
      <c r="I1722" t="str">
        <f>IFERROR(VLOOKUP(B1722,'Pre-Summary'!$AE$6:$AJ$85,5,FALSE),"")</f>
        <v/>
      </c>
      <c r="J1722" s="45" t="str">
        <f>IFERROR(VLOOKUP(B1722,'Pre-Summary'!$AE$6:$AJ$85,6, FALSE),"")</f>
        <v/>
      </c>
      <c r="K1722" s="45" t="str">
        <f>IFERROR(VLOOKUP(B1722,'Pre-Summary'!$DE$6:$DG$61,3,FALSE),"")</f>
        <v/>
      </c>
      <c r="L1722" s="45" t="str">
        <f>IFERROR(VLOOKUP(B1722,'Pre-Summary'!$CU$6:$CW$36,3,FALSE),"")</f>
        <v/>
      </c>
      <c r="M1722" s="45" t="str">
        <f>IFERROR(VLOOKUP(B1722,'Pre-Summary'!$BW$6:$BY$58,2,FALSE),"")</f>
        <v/>
      </c>
      <c r="N1722" s="45" t="str">
        <f>IFERROR(VLOOKUP(B1722,'Pre-Summary'!$CD$6:$CF$64,2,FALSE),"")</f>
        <v/>
      </c>
      <c r="O1722" s="99">
        <f>IFERROR(VLOOKUP(B1722,'Pre-Summary'!$BO$6:$BQ$48,3, FALSE),O1721)</f>
        <v>1.25</v>
      </c>
      <c r="P1722" s="99">
        <f>IFERROR(VLOOKUP(B1722,'Pre-Summary'!$BS$6:$BU$35,3,FALSE),P1721)</f>
        <v>0.33700000000000002</v>
      </c>
      <c r="Q1722" s="54">
        <f t="shared" si="78"/>
        <v>3.7091988130563798</v>
      </c>
      <c r="R1722" s="53">
        <f>IFERROR(VLOOKUP(B1722,'Pre-Summary'!$BG$6:$BM$44,7,FALSE),R1723)</f>
        <v>8.0894687007659741E-2</v>
      </c>
      <c r="S1722" s="53">
        <f>IFERROR(VLOOKUP(B1722,'Pre-Summary'!$BG$6:$BM$44,6,FALSE),S1723)</f>
        <v>6.1014931296205117E-2</v>
      </c>
      <c r="T1722" s="45" t="str">
        <f>IFERROR(VLOOKUP(B1722,'Pre-Summary'!$Y$6:$AC$83, 3,FALSE),"")</f>
        <v/>
      </c>
      <c r="U1722" s="45" t="str">
        <f>IFERROR(VLOOKUP(B1722,'Pre-Summary'!$Y$6:$AC$83, 4,FALSE),"")</f>
        <v/>
      </c>
      <c r="V1722" t="str">
        <f>IFERROR(VLOOKUP(B1722,'Pre-Summary'!$Y$6:$AC$83, 5,FALSE),"")</f>
        <v/>
      </c>
      <c r="W1722" s="45" t="str">
        <f>IFERROR(VLOOKUP(B1722,'Pre-Summary'!$Y$6:$AD$83,6,FALSE),"")</f>
        <v/>
      </c>
      <c r="X1722" t="str">
        <f>IFERROR(VLOOKUP('Pre-Summary'!$DB$6:$DD$63,3,FALSE),"")</f>
        <v/>
      </c>
      <c r="Y1722" t="str">
        <f>IFERROR(VLOOKUP(B1722,'Pre-Summary'!$CR$6:$CT$36,3,FALSE),"")</f>
        <v/>
      </c>
      <c r="Z1722" s="45" t="str">
        <f>IFERROR(VLOOKUP(B1722,'Pre-Summary'!$BZ$6:$CB$63,2,FALSE),"")</f>
        <v/>
      </c>
      <c r="AA1722" s="45" t="str">
        <f>IFERROR(VLOOKUP(B1722,'Pre-Summary'!$CG$6:$CI$70,2,FALSE),"")</f>
        <v/>
      </c>
      <c r="AB1722" s="99">
        <f>IFERROR(VLOOKUP(B1722,'Pre-Summary'!$A$6:$P$178,9,FALSE),AB1723)</f>
        <v>0.31098350443305406</v>
      </c>
      <c r="AC1722" s="10">
        <f>IFERROR(VLOOKUP(Summary!B1722,'Pre-Summary'!$A$6:$P$184,5, FALSE)/100,AC1723)</f>
        <v>0.70126166666666667</v>
      </c>
      <c r="AD1722" s="10">
        <f>IFERROR(VLOOKUP(Summary!B1722,'Pre-Summary'!$A$6:$P$184,3, FALSE)/100,AD1723)</f>
        <v>0.29873833333333333</v>
      </c>
      <c r="AE1722" s="10">
        <f>IFERROR(VLOOKUP(Summary!B1722,'Pre-Summary'!$A$6:$P$184,7, FALSE)/100,AE1723)</f>
        <v>0</v>
      </c>
      <c r="AF1722" s="99">
        <f t="shared" si="79"/>
        <v>9.2902693808489853E-2</v>
      </c>
      <c r="AG1722" s="99">
        <f t="shared" si="80"/>
        <v>0</v>
      </c>
      <c r="AH1722" s="10" t="str">
        <f>IFERROR(VLOOKUP(B1722,'Pre-Summary'!$AZ$6:$BE$65,3,FALSE),"")</f>
        <v/>
      </c>
      <c r="AI1722" s="10" t="str">
        <f>IFERROR(VLOOKUP(B1722,'Pre-Summary'!$AZ$6:$BE$65,5,FALSE),"")</f>
        <v/>
      </c>
      <c r="AJ1722" s="10" t="str">
        <f>IFERROR(VLOOKUP(B1722,'Pre-Summary'!$AZ$6:$BE$65,4,FALSE),"")</f>
        <v/>
      </c>
      <c r="AK1722" s="10" t="str">
        <f>IFERROR(VLOOKUP(B1722,'Pre-Summary'!$AZ$6:$BE$65,6,FALSE),"")</f>
        <v/>
      </c>
      <c r="AL1722" s="10" t="str">
        <f>IFERROR(VLOOKUP(B1722,'Pre-Summary'!$BG$6:$BL$44,3,FALSE),"")</f>
        <v/>
      </c>
      <c r="AM1722" s="10" t="str">
        <f>IFERROR(VLOOKUP(B1722,'Pre-Summary'!$BG$6:$BL$44,4,FALSE),"")</f>
        <v/>
      </c>
    </row>
    <row r="1723" spans="2:39" ht="15" customHeight="1" x14ac:dyDescent="0.3">
      <c r="B1723">
        <v>172</v>
      </c>
      <c r="C1723" t="str">
        <f>IFERROR(VLOOKUP(B1723,'Pre-Summary'!$DI$6:$DM$23,4,FALSE),"")</f>
        <v/>
      </c>
      <c r="D1723" s="10" t="str">
        <f>IFERROR(VLOOKUP(B1723,'Pre-Summary'!$AT$6:$AX$14,5,FALSE),D1722)</f>
        <v>Wolfe v3: went back to modified wolfe + EDTA and switched CuSO4 to CUCl2</v>
      </c>
      <c r="E1723" s="10" t="str">
        <f>IFERROR(VLOOKUP(B1723,'Pre-Summary'!$AT$6:$AX$15,4,FALSE),"")</f>
        <v/>
      </c>
      <c r="F1723">
        <f>IFERROR(VLOOKUP(B1723,'Pre-Summary'!$AL$6:$AQ$13,6,FALSE),F1722)</f>
        <v>5.9405263157894746E-2</v>
      </c>
      <c r="G1723" t="str">
        <f>IFERROR(VLOOKUP(B1723,'Pre-Summary'!$AE$6:$AJ$85,3,FALSE),"")</f>
        <v/>
      </c>
      <c r="H1723" t="str">
        <f>IFERROR(VLOOKUP(B1723,'Pre-Summary'!$AE$6:$AJ$85,4,FALSE),"")</f>
        <v/>
      </c>
      <c r="I1723" t="str">
        <f>IFERROR(VLOOKUP(B1723,'Pre-Summary'!$AE$6:$AJ$85,5,FALSE),"")</f>
        <v/>
      </c>
      <c r="J1723" s="45" t="str">
        <f>IFERROR(VLOOKUP(B1723,'Pre-Summary'!$AE$6:$AJ$85,6, FALSE),"")</f>
        <v/>
      </c>
      <c r="K1723" s="45" t="str">
        <f>IFERROR(VLOOKUP(B1723,'Pre-Summary'!$DE$6:$DG$61,3,FALSE),"")</f>
        <v/>
      </c>
      <c r="L1723" s="45" t="str">
        <f>IFERROR(VLOOKUP(B1723,'Pre-Summary'!$CU$6:$CW$36,3,FALSE),"")</f>
        <v/>
      </c>
      <c r="M1723" s="45" t="str">
        <f>IFERROR(VLOOKUP(B1723,'Pre-Summary'!$BW$6:$BY$58,2,FALSE),"")</f>
        <v/>
      </c>
      <c r="N1723" s="45" t="str">
        <f>IFERROR(VLOOKUP(B1723,'Pre-Summary'!$CD$6:$CF$64,2,FALSE),"")</f>
        <v/>
      </c>
      <c r="O1723" s="99">
        <f>IFERROR(VLOOKUP(B1723,'Pre-Summary'!$BO$6:$BQ$48,3, FALSE),O1722)</f>
        <v>1.25</v>
      </c>
      <c r="P1723" s="99">
        <f>IFERROR(VLOOKUP(B1723,'Pre-Summary'!$BS$6:$BU$35,3,FALSE),P1722)</f>
        <v>0.33700000000000002</v>
      </c>
      <c r="Q1723" s="54">
        <f t="shared" si="78"/>
        <v>3.7091988130563798</v>
      </c>
      <c r="R1723" s="53">
        <f>IFERROR(VLOOKUP(B1723,'Pre-Summary'!$BG$6:$BM$44,7,FALSE),R1724)</f>
        <v>8.0894687007659741E-2</v>
      </c>
      <c r="S1723" s="53">
        <f>IFERROR(VLOOKUP(B1723,'Pre-Summary'!$BG$6:$BM$44,6,FALSE),S1724)</f>
        <v>6.1014931296205117E-2</v>
      </c>
      <c r="T1723" s="45" t="str">
        <f>IFERROR(VLOOKUP(B1723,'Pre-Summary'!$Y$6:$AC$83, 3,FALSE),"")</f>
        <v/>
      </c>
      <c r="U1723" s="45" t="str">
        <f>IFERROR(VLOOKUP(B1723,'Pre-Summary'!$Y$6:$AC$83, 4,FALSE),"")</f>
        <v/>
      </c>
      <c r="V1723" t="str">
        <f>IFERROR(VLOOKUP(B1723,'Pre-Summary'!$Y$6:$AC$83, 5,FALSE),"")</f>
        <v/>
      </c>
      <c r="W1723" s="45" t="str">
        <f>IFERROR(VLOOKUP(B1723,'Pre-Summary'!$Y$6:$AD$83,6,FALSE),"")</f>
        <v/>
      </c>
      <c r="X1723" t="str">
        <f>IFERROR(VLOOKUP('Pre-Summary'!$DB$6:$DD$63,3,FALSE),"")</f>
        <v/>
      </c>
      <c r="Y1723" t="str">
        <f>IFERROR(VLOOKUP(B1723,'Pre-Summary'!$CR$6:$CT$36,3,FALSE),"")</f>
        <v/>
      </c>
      <c r="Z1723" s="45" t="str">
        <f>IFERROR(VLOOKUP(B1723,'Pre-Summary'!$BZ$6:$CB$63,2,FALSE),"")</f>
        <v/>
      </c>
      <c r="AA1723" s="45" t="str">
        <f>IFERROR(VLOOKUP(B1723,'Pre-Summary'!$CG$6:$CI$70,2,FALSE),"")</f>
        <v/>
      </c>
      <c r="AB1723" s="99">
        <f>IFERROR(VLOOKUP(B1723,'Pre-Summary'!$A$6:$P$178,9,FALSE),AB1724)</f>
        <v>0.31098350443305406</v>
      </c>
      <c r="AC1723" s="10">
        <f>IFERROR(VLOOKUP(Summary!B1723,'Pre-Summary'!$A$6:$P$184,5, FALSE)/100,AC1724)</f>
        <v>0.70126166666666667</v>
      </c>
      <c r="AD1723" s="10">
        <f>IFERROR(VLOOKUP(Summary!B1723,'Pre-Summary'!$A$6:$P$184,3, FALSE)/100,AD1724)</f>
        <v>0.29873833333333333</v>
      </c>
      <c r="AE1723" s="10">
        <f>IFERROR(VLOOKUP(Summary!B1723,'Pre-Summary'!$A$6:$P$184,7, FALSE)/100,AE1724)</f>
        <v>0</v>
      </c>
      <c r="AF1723" s="99">
        <f t="shared" si="79"/>
        <v>9.2902693808489853E-2</v>
      </c>
      <c r="AG1723" s="99">
        <f t="shared" si="80"/>
        <v>0</v>
      </c>
      <c r="AH1723" s="10" t="str">
        <f>IFERROR(VLOOKUP(B1723,'Pre-Summary'!$AZ$6:$BE$65,3,FALSE),"")</f>
        <v/>
      </c>
      <c r="AI1723" s="10" t="str">
        <f>IFERROR(VLOOKUP(B1723,'Pre-Summary'!$AZ$6:$BE$65,5,FALSE),"")</f>
        <v/>
      </c>
      <c r="AJ1723" s="10" t="str">
        <f>IFERROR(VLOOKUP(B1723,'Pre-Summary'!$AZ$6:$BE$65,4,FALSE),"")</f>
        <v/>
      </c>
      <c r="AK1723" s="10" t="str">
        <f>IFERROR(VLOOKUP(B1723,'Pre-Summary'!$AZ$6:$BE$65,6,FALSE),"")</f>
        <v/>
      </c>
      <c r="AL1723" s="10" t="str">
        <f>IFERROR(VLOOKUP(B1723,'Pre-Summary'!$BG$6:$BL$44,3,FALSE),"")</f>
        <v/>
      </c>
      <c r="AM1723" s="10" t="str">
        <f>IFERROR(VLOOKUP(B1723,'Pre-Summary'!$BG$6:$BL$44,4,FALSE),"")</f>
        <v/>
      </c>
    </row>
    <row r="1724" spans="2:39" ht="15" customHeight="1" x14ac:dyDescent="0.3">
      <c r="B1724">
        <v>172.1</v>
      </c>
      <c r="C1724" t="str">
        <f>IFERROR(VLOOKUP(B1724,'Pre-Summary'!$DI$6:$DM$23,4,FALSE),"")</f>
        <v/>
      </c>
      <c r="D1724" s="10" t="str">
        <f>IFERROR(VLOOKUP(B1724,'Pre-Summary'!$AT$6:$AX$14,5,FALSE),D1723)</f>
        <v>Wolfe v3: went back to modified wolfe + EDTA and switched CuSO4 to CUCl2</v>
      </c>
      <c r="E1724" s="10" t="str">
        <f>IFERROR(VLOOKUP(B1724,'Pre-Summary'!$AT$6:$AX$15,4,FALSE),"")</f>
        <v/>
      </c>
      <c r="F1724">
        <f>IFERROR(VLOOKUP(B1724,'Pre-Summary'!$AL$6:$AQ$13,6,FALSE),F1723)</f>
        <v>5.9405263157894746E-2</v>
      </c>
      <c r="G1724" t="str">
        <f>IFERROR(VLOOKUP(B1724,'Pre-Summary'!$AE$6:$AJ$85,3,FALSE),"")</f>
        <v/>
      </c>
      <c r="H1724" t="str">
        <f>IFERROR(VLOOKUP(B1724,'Pre-Summary'!$AE$6:$AJ$85,4,FALSE),"")</f>
        <v/>
      </c>
      <c r="I1724" t="str">
        <f>IFERROR(VLOOKUP(B1724,'Pre-Summary'!$AE$6:$AJ$85,5,FALSE),"")</f>
        <v/>
      </c>
      <c r="J1724" s="45" t="str">
        <f>IFERROR(VLOOKUP(B1724,'Pre-Summary'!$AE$6:$AJ$85,6, FALSE),"")</f>
        <v/>
      </c>
      <c r="K1724" s="45" t="str">
        <f>IFERROR(VLOOKUP(B1724,'Pre-Summary'!$DE$6:$DG$61,3,FALSE),"")</f>
        <v/>
      </c>
      <c r="L1724" s="45" t="str">
        <f>IFERROR(VLOOKUP(B1724,'Pre-Summary'!$CU$6:$CW$36,3,FALSE),"")</f>
        <v/>
      </c>
      <c r="M1724" s="45" t="str">
        <f>IFERROR(VLOOKUP(B1724,'Pre-Summary'!$BW$6:$BY$58,2,FALSE),"")</f>
        <v/>
      </c>
      <c r="N1724" s="45" t="str">
        <f>IFERROR(VLOOKUP(B1724,'Pre-Summary'!$CD$6:$CF$64,2,FALSE),"")</f>
        <v/>
      </c>
      <c r="O1724" s="99">
        <f>IFERROR(VLOOKUP(B1724,'Pre-Summary'!$BO$6:$BQ$48,3, FALSE),O1723)</f>
        <v>1.25</v>
      </c>
      <c r="P1724" s="99">
        <f>IFERROR(VLOOKUP(B1724,'Pre-Summary'!$BS$6:$BU$35,3,FALSE),P1723)</f>
        <v>0.33700000000000002</v>
      </c>
      <c r="Q1724" s="54">
        <f t="shared" si="78"/>
        <v>3.7091988130563798</v>
      </c>
      <c r="R1724" s="53">
        <f>IFERROR(VLOOKUP(B1724,'Pre-Summary'!$BG$6:$BM$44,7,FALSE),R1725)</f>
        <v>8.0894687007659741E-2</v>
      </c>
      <c r="S1724" s="53">
        <f>IFERROR(VLOOKUP(B1724,'Pre-Summary'!$BG$6:$BM$44,6,FALSE),S1725)</f>
        <v>6.1014931296205117E-2</v>
      </c>
      <c r="T1724" s="45" t="str">
        <f>IFERROR(VLOOKUP(B1724,'Pre-Summary'!$Y$6:$AC$83, 3,FALSE),"")</f>
        <v/>
      </c>
      <c r="U1724" s="45" t="str">
        <f>IFERROR(VLOOKUP(B1724,'Pre-Summary'!$Y$6:$AC$83, 4,FALSE),"")</f>
        <v/>
      </c>
      <c r="V1724" t="str">
        <f>IFERROR(VLOOKUP(B1724,'Pre-Summary'!$Y$6:$AC$83, 5,FALSE),"")</f>
        <v/>
      </c>
      <c r="W1724" s="45" t="str">
        <f>IFERROR(VLOOKUP(B1724,'Pre-Summary'!$Y$6:$AD$83,6,FALSE),"")</f>
        <v/>
      </c>
      <c r="X1724" t="str">
        <f>IFERROR(VLOOKUP('Pre-Summary'!$DB$6:$DD$63,3,FALSE),"")</f>
        <v/>
      </c>
      <c r="Y1724" t="str">
        <f>IFERROR(VLOOKUP(B1724,'Pre-Summary'!$CR$6:$CT$36,3,FALSE),"")</f>
        <v/>
      </c>
      <c r="Z1724" s="45" t="str">
        <f>IFERROR(VLOOKUP(B1724,'Pre-Summary'!$BZ$6:$CB$63,2,FALSE),"")</f>
        <v/>
      </c>
      <c r="AA1724" s="45" t="str">
        <f>IFERROR(VLOOKUP(B1724,'Pre-Summary'!$CG$6:$CI$70,2,FALSE),"")</f>
        <v/>
      </c>
      <c r="AB1724" s="99">
        <f>IFERROR(VLOOKUP(B1724,'Pre-Summary'!$A$6:$P$178,9,FALSE),AB1725)</f>
        <v>0.31098350443305406</v>
      </c>
      <c r="AC1724" s="10">
        <f>IFERROR(VLOOKUP(Summary!B1724,'Pre-Summary'!$A$6:$P$184,5, FALSE)/100,AC1725)</f>
        <v>0.70126166666666667</v>
      </c>
      <c r="AD1724" s="10">
        <f>IFERROR(VLOOKUP(Summary!B1724,'Pre-Summary'!$A$6:$P$184,3, FALSE)/100,AD1725)</f>
        <v>0.29873833333333333</v>
      </c>
      <c r="AE1724" s="10">
        <f>IFERROR(VLOOKUP(Summary!B1724,'Pre-Summary'!$A$6:$P$184,7, FALSE)/100,AE1725)</f>
        <v>0</v>
      </c>
      <c r="AF1724" s="99">
        <f t="shared" si="79"/>
        <v>9.2902693808489853E-2</v>
      </c>
      <c r="AG1724" s="99">
        <f t="shared" si="80"/>
        <v>0</v>
      </c>
      <c r="AH1724" s="10" t="str">
        <f>IFERROR(VLOOKUP(B1724,'Pre-Summary'!$AZ$6:$BE$65,3,FALSE),"")</f>
        <v/>
      </c>
      <c r="AI1724" s="10" t="str">
        <f>IFERROR(VLOOKUP(B1724,'Pre-Summary'!$AZ$6:$BE$65,5,FALSE),"")</f>
        <v/>
      </c>
      <c r="AJ1724" s="10" t="str">
        <f>IFERROR(VLOOKUP(B1724,'Pre-Summary'!$AZ$6:$BE$65,4,FALSE),"")</f>
        <v/>
      </c>
      <c r="AK1724" s="10" t="str">
        <f>IFERROR(VLOOKUP(B1724,'Pre-Summary'!$AZ$6:$BE$65,6,FALSE),"")</f>
        <v/>
      </c>
      <c r="AL1724" s="10" t="str">
        <f>IFERROR(VLOOKUP(B1724,'Pre-Summary'!$BG$6:$BL$44,3,FALSE),"")</f>
        <v/>
      </c>
      <c r="AM1724" s="10" t="str">
        <f>IFERROR(VLOOKUP(B1724,'Pre-Summary'!$BG$6:$BL$44,4,FALSE),"")</f>
        <v/>
      </c>
    </row>
    <row r="1725" spans="2:39" ht="15" customHeight="1" x14ac:dyDescent="0.3">
      <c r="B1725">
        <v>172.2</v>
      </c>
      <c r="C1725" t="str">
        <f>IFERROR(VLOOKUP(B1725,'Pre-Summary'!$DI$6:$DM$23,4,FALSE),"")</f>
        <v/>
      </c>
      <c r="D1725" s="10" t="str">
        <f>IFERROR(VLOOKUP(B1725,'Pre-Summary'!$AT$6:$AX$14,5,FALSE),D1724)</f>
        <v>Wolfe v3: went back to modified wolfe + EDTA and switched CuSO4 to CUCl2</v>
      </c>
      <c r="E1725" s="10" t="str">
        <f>IFERROR(VLOOKUP(B1725,'Pre-Summary'!$AT$6:$AX$15,4,FALSE),"")</f>
        <v/>
      </c>
      <c r="F1725">
        <f>IFERROR(VLOOKUP(B1725,'Pre-Summary'!$AL$6:$AQ$13,6,FALSE),F1724)</f>
        <v>5.9405263157894746E-2</v>
      </c>
      <c r="G1725" t="str">
        <f>IFERROR(VLOOKUP(B1725,'Pre-Summary'!$AE$6:$AJ$85,3,FALSE),"")</f>
        <v/>
      </c>
      <c r="H1725" t="str">
        <f>IFERROR(VLOOKUP(B1725,'Pre-Summary'!$AE$6:$AJ$85,4,FALSE),"")</f>
        <v/>
      </c>
      <c r="I1725" t="str">
        <f>IFERROR(VLOOKUP(B1725,'Pre-Summary'!$AE$6:$AJ$85,5,FALSE),"")</f>
        <v/>
      </c>
      <c r="J1725" s="45" t="str">
        <f>IFERROR(VLOOKUP(B1725,'Pre-Summary'!$AE$6:$AJ$85,6, FALSE),"")</f>
        <v/>
      </c>
      <c r="K1725" s="45" t="str">
        <f>IFERROR(VLOOKUP(B1725,'Pre-Summary'!$DE$6:$DG$61,3,FALSE),"")</f>
        <v/>
      </c>
      <c r="L1725" s="45" t="str">
        <f>IFERROR(VLOOKUP(B1725,'Pre-Summary'!$CU$6:$CW$36,3,FALSE),"")</f>
        <v/>
      </c>
      <c r="M1725" s="45" t="str">
        <f>IFERROR(VLOOKUP(B1725,'Pre-Summary'!$BW$6:$BY$58,2,FALSE),"")</f>
        <v/>
      </c>
      <c r="N1725" s="45" t="str">
        <f>IFERROR(VLOOKUP(B1725,'Pre-Summary'!$CD$6:$CF$64,2,FALSE),"")</f>
        <v/>
      </c>
      <c r="O1725" s="99">
        <f>IFERROR(VLOOKUP(B1725,'Pre-Summary'!$BO$6:$BQ$48,3, FALSE),O1724)</f>
        <v>1.25</v>
      </c>
      <c r="P1725" s="99">
        <f>IFERROR(VLOOKUP(B1725,'Pre-Summary'!$BS$6:$BU$35,3,FALSE),P1724)</f>
        <v>0.33700000000000002</v>
      </c>
      <c r="Q1725" s="54">
        <f t="shared" si="78"/>
        <v>3.7091988130563798</v>
      </c>
      <c r="R1725" s="53">
        <f>IFERROR(VLOOKUP(B1725,'Pre-Summary'!$BG$6:$BM$44,7,FALSE),R1726)</f>
        <v>8.0894687007659741E-2</v>
      </c>
      <c r="S1725" s="53">
        <f>IFERROR(VLOOKUP(B1725,'Pre-Summary'!$BG$6:$BM$44,6,FALSE),S1726)</f>
        <v>6.1014931296205117E-2</v>
      </c>
      <c r="T1725" s="45" t="str">
        <f>IFERROR(VLOOKUP(B1725,'Pre-Summary'!$Y$6:$AC$83, 3,FALSE),"")</f>
        <v/>
      </c>
      <c r="U1725" s="45" t="str">
        <f>IFERROR(VLOOKUP(B1725,'Pre-Summary'!$Y$6:$AC$83, 4,FALSE),"")</f>
        <v/>
      </c>
      <c r="V1725" t="str">
        <f>IFERROR(VLOOKUP(B1725,'Pre-Summary'!$Y$6:$AC$83, 5,FALSE),"")</f>
        <v/>
      </c>
      <c r="W1725" s="45" t="str">
        <f>IFERROR(VLOOKUP(B1725,'Pre-Summary'!$Y$6:$AD$83,6,FALSE),"")</f>
        <v/>
      </c>
      <c r="X1725" t="str">
        <f>IFERROR(VLOOKUP('Pre-Summary'!$DB$6:$DD$63,3,FALSE),"")</f>
        <v/>
      </c>
      <c r="Y1725" t="str">
        <f>IFERROR(VLOOKUP(B1725,'Pre-Summary'!$CR$6:$CT$36,3,FALSE),"")</f>
        <v/>
      </c>
      <c r="Z1725" s="45" t="str">
        <f>IFERROR(VLOOKUP(B1725,'Pre-Summary'!$BZ$6:$CB$63,2,FALSE),"")</f>
        <v/>
      </c>
      <c r="AA1725" s="45" t="str">
        <f>IFERROR(VLOOKUP(B1725,'Pre-Summary'!$CG$6:$CI$70,2,FALSE),"")</f>
        <v/>
      </c>
      <c r="AB1725" s="99">
        <f>IFERROR(VLOOKUP(B1725,'Pre-Summary'!$A$6:$P$178,9,FALSE),AB1726)</f>
        <v>0.31098350443305406</v>
      </c>
      <c r="AC1725" s="10">
        <f>IFERROR(VLOOKUP(Summary!B1725,'Pre-Summary'!$A$6:$P$184,5, FALSE)/100,AC1726)</f>
        <v>0.70126166666666667</v>
      </c>
      <c r="AD1725" s="10">
        <f>IFERROR(VLOOKUP(Summary!B1725,'Pre-Summary'!$A$6:$P$184,3, FALSE)/100,AD1726)</f>
        <v>0.29873833333333333</v>
      </c>
      <c r="AE1725" s="10">
        <f>IFERROR(VLOOKUP(Summary!B1725,'Pre-Summary'!$A$6:$P$184,7, FALSE)/100,AE1726)</f>
        <v>0</v>
      </c>
      <c r="AF1725" s="99">
        <f t="shared" si="79"/>
        <v>9.2902693808489853E-2</v>
      </c>
      <c r="AG1725" s="99">
        <f t="shared" si="80"/>
        <v>0</v>
      </c>
      <c r="AH1725" s="10" t="str">
        <f>IFERROR(VLOOKUP(B1725,'Pre-Summary'!$AZ$6:$BE$65,3,FALSE),"")</f>
        <v/>
      </c>
      <c r="AI1725" s="10" t="str">
        <f>IFERROR(VLOOKUP(B1725,'Pre-Summary'!$AZ$6:$BE$65,5,FALSE),"")</f>
        <v/>
      </c>
      <c r="AJ1725" s="10" t="str">
        <f>IFERROR(VLOOKUP(B1725,'Pre-Summary'!$AZ$6:$BE$65,4,FALSE),"")</f>
        <v/>
      </c>
      <c r="AK1725" s="10" t="str">
        <f>IFERROR(VLOOKUP(B1725,'Pre-Summary'!$AZ$6:$BE$65,6,FALSE),"")</f>
        <v/>
      </c>
      <c r="AL1725" s="10" t="str">
        <f>IFERROR(VLOOKUP(B1725,'Pre-Summary'!$BG$6:$BL$44,3,FALSE),"")</f>
        <v/>
      </c>
      <c r="AM1725" s="10" t="str">
        <f>IFERROR(VLOOKUP(B1725,'Pre-Summary'!$BG$6:$BL$44,4,FALSE),"")</f>
        <v/>
      </c>
    </row>
    <row r="1726" spans="2:39" ht="15" customHeight="1" x14ac:dyDescent="0.3">
      <c r="B1726">
        <v>172.3</v>
      </c>
      <c r="C1726" t="str">
        <f>IFERROR(VLOOKUP(B1726,'Pre-Summary'!$DI$6:$DM$23,4,FALSE),"")</f>
        <v/>
      </c>
      <c r="D1726" s="10" t="str">
        <f>IFERROR(VLOOKUP(B1726,'Pre-Summary'!$AT$6:$AX$14,5,FALSE),D1725)</f>
        <v>Wolfe v3: went back to modified wolfe + EDTA and switched CuSO4 to CUCl2</v>
      </c>
      <c r="E1726" s="10" t="str">
        <f>IFERROR(VLOOKUP(B1726,'Pre-Summary'!$AT$6:$AX$15,4,FALSE),"")</f>
        <v/>
      </c>
      <c r="F1726">
        <f>IFERROR(VLOOKUP(B1726,'Pre-Summary'!$AL$6:$AQ$13,6,FALSE),F1725)</f>
        <v>5.9405263157894746E-2</v>
      </c>
      <c r="G1726" t="str">
        <f>IFERROR(VLOOKUP(B1726,'Pre-Summary'!$AE$6:$AJ$85,3,FALSE),"")</f>
        <v/>
      </c>
      <c r="H1726" t="str">
        <f>IFERROR(VLOOKUP(B1726,'Pre-Summary'!$AE$6:$AJ$85,4,FALSE),"")</f>
        <v/>
      </c>
      <c r="I1726" t="str">
        <f>IFERROR(VLOOKUP(B1726,'Pre-Summary'!$AE$6:$AJ$85,5,FALSE),"")</f>
        <v/>
      </c>
      <c r="J1726" s="45" t="str">
        <f>IFERROR(VLOOKUP(B1726,'Pre-Summary'!$AE$6:$AJ$85,6, FALSE),"")</f>
        <v/>
      </c>
      <c r="K1726" s="45" t="str">
        <f>IFERROR(VLOOKUP(B1726,'Pre-Summary'!$DE$6:$DG$61,3,FALSE),"")</f>
        <v/>
      </c>
      <c r="L1726" s="45" t="str">
        <f>IFERROR(VLOOKUP(B1726,'Pre-Summary'!$CU$6:$CW$36,3,FALSE),"")</f>
        <v/>
      </c>
      <c r="M1726" s="45" t="str">
        <f>IFERROR(VLOOKUP(B1726,'Pre-Summary'!$BW$6:$BY$58,2,FALSE),"")</f>
        <v/>
      </c>
      <c r="N1726" s="45" t="str">
        <f>IFERROR(VLOOKUP(B1726,'Pre-Summary'!$CD$6:$CF$64,2,FALSE),"")</f>
        <v/>
      </c>
      <c r="O1726" s="99">
        <f>IFERROR(VLOOKUP(B1726,'Pre-Summary'!$BO$6:$BQ$48,3, FALSE),O1725)</f>
        <v>1.25</v>
      </c>
      <c r="P1726" s="99">
        <f>IFERROR(VLOOKUP(B1726,'Pre-Summary'!$BS$6:$BU$35,3,FALSE),P1725)</f>
        <v>0.33700000000000002</v>
      </c>
      <c r="Q1726" s="54">
        <f t="shared" si="78"/>
        <v>3.7091988130563798</v>
      </c>
      <c r="R1726" s="53">
        <f>IFERROR(VLOOKUP(B1726,'Pre-Summary'!$BG$6:$BM$44,7,FALSE),R1727)</f>
        <v>8.0894687007659741E-2</v>
      </c>
      <c r="S1726" s="53">
        <f>IFERROR(VLOOKUP(B1726,'Pre-Summary'!$BG$6:$BM$44,6,FALSE),S1727)</f>
        <v>6.1014931296205117E-2</v>
      </c>
      <c r="T1726" s="45" t="str">
        <f>IFERROR(VLOOKUP(B1726,'Pre-Summary'!$Y$6:$AC$83, 3,FALSE),"")</f>
        <v/>
      </c>
      <c r="U1726" s="45" t="str">
        <f>IFERROR(VLOOKUP(B1726,'Pre-Summary'!$Y$6:$AC$83, 4,FALSE),"")</f>
        <v/>
      </c>
      <c r="V1726" t="str">
        <f>IFERROR(VLOOKUP(B1726,'Pre-Summary'!$Y$6:$AC$83, 5,FALSE),"")</f>
        <v/>
      </c>
      <c r="W1726" s="45" t="str">
        <f>IFERROR(VLOOKUP(B1726,'Pre-Summary'!$Y$6:$AD$83,6,FALSE),"")</f>
        <v/>
      </c>
      <c r="X1726" t="str">
        <f>IFERROR(VLOOKUP('Pre-Summary'!$DB$6:$DD$63,3,FALSE),"")</f>
        <v/>
      </c>
      <c r="Y1726" t="str">
        <f>IFERROR(VLOOKUP(B1726,'Pre-Summary'!$CR$6:$CT$36,3,FALSE),"")</f>
        <v/>
      </c>
      <c r="Z1726" s="45" t="str">
        <f>IFERROR(VLOOKUP(B1726,'Pre-Summary'!$BZ$6:$CB$63,2,FALSE),"")</f>
        <v/>
      </c>
      <c r="AA1726" s="45" t="str">
        <f>IFERROR(VLOOKUP(B1726,'Pre-Summary'!$CG$6:$CI$70,2,FALSE),"")</f>
        <v/>
      </c>
      <c r="AB1726" s="99">
        <f>IFERROR(VLOOKUP(B1726,'Pre-Summary'!$A$6:$P$178,9,FALSE),AB1727)</f>
        <v>0.31098350443305406</v>
      </c>
      <c r="AC1726" s="10">
        <f>IFERROR(VLOOKUP(Summary!B1726,'Pre-Summary'!$A$6:$P$184,5, FALSE)/100,AC1727)</f>
        <v>0.70126166666666667</v>
      </c>
      <c r="AD1726" s="10">
        <f>IFERROR(VLOOKUP(Summary!B1726,'Pre-Summary'!$A$6:$P$184,3, FALSE)/100,AD1727)</f>
        <v>0.29873833333333333</v>
      </c>
      <c r="AE1726" s="10">
        <f>IFERROR(VLOOKUP(Summary!B1726,'Pre-Summary'!$A$6:$P$184,7, FALSE)/100,AE1727)</f>
        <v>0</v>
      </c>
      <c r="AF1726" s="99">
        <f t="shared" si="79"/>
        <v>9.2902693808489853E-2</v>
      </c>
      <c r="AG1726" s="99">
        <f t="shared" si="80"/>
        <v>0</v>
      </c>
      <c r="AH1726" s="10" t="str">
        <f>IFERROR(VLOOKUP(B1726,'Pre-Summary'!$AZ$6:$BE$65,3,FALSE),"")</f>
        <v/>
      </c>
      <c r="AI1726" s="10" t="str">
        <f>IFERROR(VLOOKUP(B1726,'Pre-Summary'!$AZ$6:$BE$65,5,FALSE),"")</f>
        <v/>
      </c>
      <c r="AJ1726" s="10" t="str">
        <f>IFERROR(VLOOKUP(B1726,'Pre-Summary'!$AZ$6:$BE$65,4,FALSE),"")</f>
        <v/>
      </c>
      <c r="AK1726" s="10" t="str">
        <f>IFERROR(VLOOKUP(B1726,'Pre-Summary'!$AZ$6:$BE$65,6,FALSE),"")</f>
        <v/>
      </c>
      <c r="AL1726" s="10" t="str">
        <f>IFERROR(VLOOKUP(B1726,'Pre-Summary'!$BG$6:$BL$44,3,FALSE),"")</f>
        <v/>
      </c>
      <c r="AM1726" s="10" t="str">
        <f>IFERROR(VLOOKUP(B1726,'Pre-Summary'!$BG$6:$BL$44,4,FALSE),"")</f>
        <v/>
      </c>
    </row>
    <row r="1727" spans="2:39" ht="15" customHeight="1" x14ac:dyDescent="0.3">
      <c r="B1727">
        <v>172.4</v>
      </c>
      <c r="C1727" t="str">
        <f>IFERROR(VLOOKUP(B1727,'Pre-Summary'!$DI$6:$DM$23,4,FALSE),"")</f>
        <v/>
      </c>
      <c r="D1727" s="10" t="str">
        <f>IFERROR(VLOOKUP(B1727,'Pre-Summary'!$AT$6:$AX$14,5,FALSE),D1726)</f>
        <v>Wolfe v3: went back to modified wolfe + EDTA and switched CuSO4 to CUCl2</v>
      </c>
      <c r="E1727" s="10" t="str">
        <f>IFERROR(VLOOKUP(B1727,'Pre-Summary'!$AT$6:$AX$15,4,FALSE),"")</f>
        <v/>
      </c>
      <c r="F1727">
        <f>IFERROR(VLOOKUP(B1727,'Pre-Summary'!$AL$6:$AQ$13,6,FALSE),F1726)</f>
        <v>5.9405263157894746E-2</v>
      </c>
      <c r="G1727" t="str">
        <f>IFERROR(VLOOKUP(B1727,'Pre-Summary'!$AE$6:$AJ$85,3,FALSE),"")</f>
        <v/>
      </c>
      <c r="H1727" t="str">
        <f>IFERROR(VLOOKUP(B1727,'Pre-Summary'!$AE$6:$AJ$85,4,FALSE),"")</f>
        <v/>
      </c>
      <c r="I1727" t="str">
        <f>IFERROR(VLOOKUP(B1727,'Pre-Summary'!$AE$6:$AJ$85,5,FALSE),"")</f>
        <v/>
      </c>
      <c r="J1727" s="45" t="str">
        <f>IFERROR(VLOOKUP(B1727,'Pre-Summary'!$AE$6:$AJ$85,6, FALSE),"")</f>
        <v/>
      </c>
      <c r="K1727" s="45" t="str">
        <f>IFERROR(VLOOKUP(B1727,'Pre-Summary'!$DE$6:$DG$61,3,FALSE),"")</f>
        <v/>
      </c>
      <c r="L1727" s="45" t="str">
        <f>IFERROR(VLOOKUP(B1727,'Pre-Summary'!$CU$6:$CW$36,3,FALSE),"")</f>
        <v/>
      </c>
      <c r="M1727" s="45" t="str">
        <f>IFERROR(VLOOKUP(B1727,'Pre-Summary'!$BW$6:$BY$58,2,FALSE),"")</f>
        <v/>
      </c>
      <c r="N1727" s="45" t="str">
        <f>IFERROR(VLOOKUP(B1727,'Pre-Summary'!$CD$6:$CF$64,2,FALSE),"")</f>
        <v/>
      </c>
      <c r="O1727" s="99">
        <f>IFERROR(VLOOKUP(B1727,'Pre-Summary'!$BO$6:$BQ$48,3, FALSE),O1726)</f>
        <v>1.25</v>
      </c>
      <c r="P1727" s="99">
        <f>IFERROR(VLOOKUP(B1727,'Pre-Summary'!$BS$6:$BU$35,3,FALSE),P1726)</f>
        <v>0.33700000000000002</v>
      </c>
      <c r="Q1727" s="54">
        <f t="shared" si="78"/>
        <v>3.7091988130563798</v>
      </c>
      <c r="R1727" s="53">
        <f>IFERROR(VLOOKUP(B1727,'Pre-Summary'!$BG$6:$BM$44,7,FALSE),R1728)</f>
        <v>8.0894687007659741E-2</v>
      </c>
      <c r="S1727" s="53">
        <f>IFERROR(VLOOKUP(B1727,'Pre-Summary'!$BG$6:$BM$44,6,FALSE),S1728)</f>
        <v>6.1014931296205117E-2</v>
      </c>
      <c r="T1727" s="45" t="str">
        <f>IFERROR(VLOOKUP(B1727,'Pre-Summary'!$Y$6:$AC$83, 3,FALSE),"")</f>
        <v/>
      </c>
      <c r="U1727" s="45" t="str">
        <f>IFERROR(VLOOKUP(B1727,'Pre-Summary'!$Y$6:$AC$83, 4,FALSE),"")</f>
        <v/>
      </c>
      <c r="V1727" t="str">
        <f>IFERROR(VLOOKUP(B1727,'Pre-Summary'!$Y$6:$AC$83, 5,FALSE),"")</f>
        <v/>
      </c>
      <c r="W1727" s="45" t="str">
        <f>IFERROR(VLOOKUP(B1727,'Pre-Summary'!$Y$6:$AD$83,6,FALSE),"")</f>
        <v/>
      </c>
      <c r="X1727" t="str">
        <f>IFERROR(VLOOKUP('Pre-Summary'!$DB$6:$DD$63,3,FALSE),"")</f>
        <v/>
      </c>
      <c r="Y1727" t="str">
        <f>IFERROR(VLOOKUP(B1727,'Pre-Summary'!$CR$6:$CT$36,3,FALSE),"")</f>
        <v/>
      </c>
      <c r="Z1727" s="45" t="str">
        <f>IFERROR(VLOOKUP(B1727,'Pre-Summary'!$BZ$6:$CB$63,2,FALSE),"")</f>
        <v/>
      </c>
      <c r="AA1727" s="45" t="str">
        <f>IFERROR(VLOOKUP(B1727,'Pre-Summary'!$CG$6:$CI$70,2,FALSE),"")</f>
        <v/>
      </c>
      <c r="AB1727" s="99">
        <f>IFERROR(VLOOKUP(B1727,'Pre-Summary'!$A$6:$P$178,9,FALSE),AB1728)</f>
        <v>0.31098350443305406</v>
      </c>
      <c r="AC1727" s="10">
        <f>IFERROR(VLOOKUP(Summary!B1727,'Pre-Summary'!$A$6:$P$184,5, FALSE)/100,AC1728)</f>
        <v>0.70126166666666667</v>
      </c>
      <c r="AD1727" s="10">
        <f>IFERROR(VLOOKUP(Summary!B1727,'Pre-Summary'!$A$6:$P$184,3, FALSE)/100,AD1728)</f>
        <v>0.29873833333333333</v>
      </c>
      <c r="AE1727" s="10">
        <f>IFERROR(VLOOKUP(Summary!B1727,'Pre-Summary'!$A$6:$P$184,7, FALSE)/100,AE1728)</f>
        <v>0</v>
      </c>
      <c r="AF1727" s="99">
        <f t="shared" si="79"/>
        <v>9.2902693808489853E-2</v>
      </c>
      <c r="AG1727" s="99">
        <f t="shared" si="80"/>
        <v>0</v>
      </c>
      <c r="AH1727" s="10" t="str">
        <f>IFERROR(VLOOKUP(B1727,'Pre-Summary'!$AZ$6:$BE$65,3,FALSE),"")</f>
        <v/>
      </c>
      <c r="AI1727" s="10" t="str">
        <f>IFERROR(VLOOKUP(B1727,'Pre-Summary'!$AZ$6:$BE$65,5,FALSE),"")</f>
        <v/>
      </c>
      <c r="AJ1727" s="10" t="str">
        <f>IFERROR(VLOOKUP(B1727,'Pre-Summary'!$AZ$6:$BE$65,4,FALSE),"")</f>
        <v/>
      </c>
      <c r="AK1727" s="10" t="str">
        <f>IFERROR(VLOOKUP(B1727,'Pre-Summary'!$AZ$6:$BE$65,6,FALSE),"")</f>
        <v/>
      </c>
      <c r="AL1727" s="10" t="str">
        <f>IFERROR(VLOOKUP(B1727,'Pre-Summary'!$BG$6:$BL$44,3,FALSE),"")</f>
        <v/>
      </c>
      <c r="AM1727" s="10" t="str">
        <f>IFERROR(VLOOKUP(B1727,'Pre-Summary'!$BG$6:$BL$44,4,FALSE),"")</f>
        <v/>
      </c>
    </row>
    <row r="1728" spans="2:39" ht="15" customHeight="1" x14ac:dyDescent="0.3">
      <c r="B1728">
        <v>172.5</v>
      </c>
      <c r="C1728" t="str">
        <f>IFERROR(VLOOKUP(B1728,'Pre-Summary'!$DI$6:$DM$23,4,FALSE),"")</f>
        <v/>
      </c>
      <c r="D1728" s="10" t="str">
        <f>IFERROR(VLOOKUP(B1728,'Pre-Summary'!$AT$6:$AX$14,5,FALSE),D1727)</f>
        <v>Wolfe v3: went back to modified wolfe + EDTA and switched CuSO4 to CUCl2</v>
      </c>
      <c r="E1728" s="10" t="str">
        <f>IFERROR(VLOOKUP(B1728,'Pre-Summary'!$AT$6:$AX$15,4,FALSE),"")</f>
        <v/>
      </c>
      <c r="F1728">
        <f>IFERROR(VLOOKUP(B1728,'Pre-Summary'!$AL$6:$AQ$13,6,FALSE),F1727)</f>
        <v>5.9405263157894746E-2</v>
      </c>
      <c r="G1728" t="str">
        <f>IFERROR(VLOOKUP(B1728,'Pre-Summary'!$AE$6:$AJ$85,3,FALSE),"")</f>
        <v/>
      </c>
      <c r="H1728" t="str">
        <f>IFERROR(VLOOKUP(B1728,'Pre-Summary'!$AE$6:$AJ$85,4,FALSE),"")</f>
        <v/>
      </c>
      <c r="I1728" t="str">
        <f>IFERROR(VLOOKUP(B1728,'Pre-Summary'!$AE$6:$AJ$85,5,FALSE),"")</f>
        <v/>
      </c>
      <c r="J1728" s="45" t="str">
        <f>IFERROR(VLOOKUP(B1728,'Pre-Summary'!$AE$6:$AJ$85,6, FALSE),"")</f>
        <v/>
      </c>
      <c r="K1728" s="45" t="str">
        <f>IFERROR(VLOOKUP(B1728,'Pre-Summary'!$DE$6:$DG$61,3,FALSE),"")</f>
        <v/>
      </c>
      <c r="L1728" s="45" t="str">
        <f>IFERROR(VLOOKUP(B1728,'Pre-Summary'!$CU$6:$CW$36,3,FALSE),"")</f>
        <v/>
      </c>
      <c r="M1728" s="45" t="str">
        <f>IFERROR(VLOOKUP(B1728,'Pre-Summary'!$BW$6:$BY$58,2,FALSE),"")</f>
        <v/>
      </c>
      <c r="N1728" s="45" t="str">
        <f>IFERROR(VLOOKUP(B1728,'Pre-Summary'!$CD$6:$CF$64,2,FALSE),"")</f>
        <v/>
      </c>
      <c r="O1728" s="99">
        <f>IFERROR(VLOOKUP(B1728,'Pre-Summary'!$BO$6:$BQ$48,3, FALSE),O1727)</f>
        <v>1.25</v>
      </c>
      <c r="P1728" s="99">
        <f>IFERROR(VLOOKUP(B1728,'Pre-Summary'!$BS$6:$BU$35,3,FALSE),P1727)</f>
        <v>0.33700000000000002</v>
      </c>
      <c r="Q1728" s="54">
        <f t="shared" si="78"/>
        <v>3.7091988130563798</v>
      </c>
      <c r="R1728" s="53">
        <f>IFERROR(VLOOKUP(B1728,'Pre-Summary'!$BG$6:$BM$44,7,FALSE),R1729)</f>
        <v>8.0894687007659741E-2</v>
      </c>
      <c r="S1728" s="53">
        <f>IFERROR(VLOOKUP(B1728,'Pre-Summary'!$BG$6:$BM$44,6,FALSE),S1729)</f>
        <v>6.1014931296205117E-2</v>
      </c>
      <c r="T1728" s="45" t="str">
        <f>IFERROR(VLOOKUP(B1728,'Pre-Summary'!$Y$6:$AC$83, 3,FALSE),"")</f>
        <v/>
      </c>
      <c r="U1728" s="45" t="str">
        <f>IFERROR(VLOOKUP(B1728,'Pre-Summary'!$Y$6:$AC$83, 4,FALSE),"")</f>
        <v/>
      </c>
      <c r="V1728" t="str">
        <f>IFERROR(VLOOKUP(B1728,'Pre-Summary'!$Y$6:$AC$83, 5,FALSE),"")</f>
        <v/>
      </c>
      <c r="W1728" s="45" t="str">
        <f>IFERROR(VLOOKUP(B1728,'Pre-Summary'!$Y$6:$AD$83,6,FALSE),"")</f>
        <v/>
      </c>
      <c r="X1728" t="str">
        <f>IFERROR(VLOOKUP('Pre-Summary'!$DB$6:$DD$63,3,FALSE),"")</f>
        <v/>
      </c>
      <c r="Y1728" t="str">
        <f>IFERROR(VLOOKUP(B1728,'Pre-Summary'!$CR$6:$CT$36,3,FALSE),"")</f>
        <v/>
      </c>
      <c r="Z1728" s="45" t="str">
        <f>IFERROR(VLOOKUP(B1728,'Pre-Summary'!$BZ$6:$CB$63,2,FALSE),"")</f>
        <v/>
      </c>
      <c r="AA1728" s="45" t="str">
        <f>IFERROR(VLOOKUP(B1728,'Pre-Summary'!$CG$6:$CI$70,2,FALSE),"")</f>
        <v/>
      </c>
      <c r="AB1728" s="99">
        <f>IFERROR(VLOOKUP(B1728,'Pre-Summary'!$A$6:$P$178,9,FALSE),AB1729)</f>
        <v>0.31098350443305406</v>
      </c>
      <c r="AC1728" s="10">
        <f>IFERROR(VLOOKUP(Summary!B1728,'Pre-Summary'!$A$6:$P$184,5, FALSE)/100,AC1729)</f>
        <v>0.70126166666666667</v>
      </c>
      <c r="AD1728" s="10">
        <f>IFERROR(VLOOKUP(Summary!B1728,'Pre-Summary'!$A$6:$P$184,3, FALSE)/100,AD1729)</f>
        <v>0.29873833333333333</v>
      </c>
      <c r="AE1728" s="10">
        <f>IFERROR(VLOOKUP(Summary!B1728,'Pre-Summary'!$A$6:$P$184,7, FALSE)/100,AE1729)</f>
        <v>0</v>
      </c>
      <c r="AF1728" s="99">
        <f t="shared" si="79"/>
        <v>9.2902693808489853E-2</v>
      </c>
      <c r="AG1728" s="99">
        <f t="shared" si="80"/>
        <v>0</v>
      </c>
      <c r="AH1728" s="10" t="str">
        <f>IFERROR(VLOOKUP(B1728,'Pre-Summary'!$AZ$6:$BE$65,3,FALSE),"")</f>
        <v/>
      </c>
      <c r="AI1728" s="10" t="str">
        <f>IFERROR(VLOOKUP(B1728,'Pre-Summary'!$AZ$6:$BE$65,5,FALSE),"")</f>
        <v/>
      </c>
      <c r="AJ1728" s="10" t="str">
        <f>IFERROR(VLOOKUP(B1728,'Pre-Summary'!$AZ$6:$BE$65,4,FALSE),"")</f>
        <v/>
      </c>
      <c r="AK1728" s="10" t="str">
        <f>IFERROR(VLOOKUP(B1728,'Pre-Summary'!$AZ$6:$BE$65,6,FALSE),"")</f>
        <v/>
      </c>
      <c r="AL1728" s="10" t="str">
        <f>IFERROR(VLOOKUP(B1728,'Pre-Summary'!$BG$6:$BL$44,3,FALSE),"")</f>
        <v/>
      </c>
      <c r="AM1728" s="10" t="str">
        <f>IFERROR(VLOOKUP(B1728,'Pre-Summary'!$BG$6:$BL$44,4,FALSE),"")</f>
        <v/>
      </c>
    </row>
    <row r="1729" spans="2:39" ht="15" customHeight="1" x14ac:dyDescent="0.3">
      <c r="B1729">
        <v>172.6</v>
      </c>
      <c r="C1729" t="str">
        <f>IFERROR(VLOOKUP(B1729,'Pre-Summary'!$DI$6:$DM$23,4,FALSE),"")</f>
        <v/>
      </c>
      <c r="D1729" s="10" t="str">
        <f>IFERROR(VLOOKUP(B1729,'Pre-Summary'!$AT$6:$AX$14,5,FALSE),D1728)</f>
        <v>Wolfe v3: went back to modified wolfe + EDTA and switched CuSO4 to CUCl2</v>
      </c>
      <c r="E1729" s="10" t="str">
        <f>IFERROR(VLOOKUP(B1729,'Pre-Summary'!$AT$6:$AX$15,4,FALSE),"")</f>
        <v/>
      </c>
      <c r="F1729">
        <f>IFERROR(VLOOKUP(B1729,'Pre-Summary'!$AL$6:$AQ$13,6,FALSE),F1728)</f>
        <v>5.9405263157894746E-2</v>
      </c>
      <c r="G1729" t="str">
        <f>IFERROR(VLOOKUP(B1729,'Pre-Summary'!$AE$6:$AJ$85,3,FALSE),"")</f>
        <v/>
      </c>
      <c r="H1729" t="str">
        <f>IFERROR(VLOOKUP(B1729,'Pre-Summary'!$AE$6:$AJ$85,4,FALSE),"")</f>
        <v/>
      </c>
      <c r="I1729" t="str">
        <f>IFERROR(VLOOKUP(B1729,'Pre-Summary'!$AE$6:$AJ$85,5,FALSE),"")</f>
        <v/>
      </c>
      <c r="J1729" s="45" t="str">
        <f>IFERROR(VLOOKUP(B1729,'Pre-Summary'!$AE$6:$AJ$85,6, FALSE),"")</f>
        <v/>
      </c>
      <c r="K1729" s="45" t="str">
        <f>IFERROR(VLOOKUP(B1729,'Pre-Summary'!$DE$6:$DG$61,3,FALSE),"")</f>
        <v/>
      </c>
      <c r="L1729" s="45" t="str">
        <f>IFERROR(VLOOKUP(B1729,'Pre-Summary'!$CU$6:$CW$36,3,FALSE),"")</f>
        <v/>
      </c>
      <c r="M1729" s="45" t="str">
        <f>IFERROR(VLOOKUP(B1729,'Pre-Summary'!$BW$6:$BY$58,2,FALSE),"")</f>
        <v/>
      </c>
      <c r="N1729" s="45" t="str">
        <f>IFERROR(VLOOKUP(B1729,'Pre-Summary'!$CD$6:$CF$64,2,FALSE),"")</f>
        <v/>
      </c>
      <c r="O1729" s="99">
        <f>IFERROR(VLOOKUP(B1729,'Pre-Summary'!$BO$6:$BQ$48,3, FALSE),O1728)</f>
        <v>1.25</v>
      </c>
      <c r="P1729" s="99">
        <f>IFERROR(VLOOKUP(B1729,'Pre-Summary'!$BS$6:$BU$35,3,FALSE),P1728)</f>
        <v>0.33700000000000002</v>
      </c>
      <c r="Q1729" s="54">
        <f t="shared" si="78"/>
        <v>3.7091988130563798</v>
      </c>
      <c r="R1729" s="53">
        <f>IFERROR(VLOOKUP(B1729,'Pre-Summary'!$BG$6:$BM$44,7,FALSE),R1730)</f>
        <v>8.0894687007659741E-2</v>
      </c>
      <c r="S1729" s="53">
        <f>IFERROR(VLOOKUP(B1729,'Pre-Summary'!$BG$6:$BM$44,6,FALSE),S1730)</f>
        <v>6.1014931296205117E-2</v>
      </c>
      <c r="T1729" s="45" t="str">
        <f>IFERROR(VLOOKUP(B1729,'Pre-Summary'!$Y$6:$AC$83, 3,FALSE),"")</f>
        <v/>
      </c>
      <c r="U1729" s="45" t="str">
        <f>IFERROR(VLOOKUP(B1729,'Pre-Summary'!$Y$6:$AC$83, 4,FALSE),"")</f>
        <v/>
      </c>
      <c r="V1729" t="str">
        <f>IFERROR(VLOOKUP(B1729,'Pre-Summary'!$Y$6:$AC$83, 5,FALSE),"")</f>
        <v/>
      </c>
      <c r="W1729" s="45" t="str">
        <f>IFERROR(VLOOKUP(B1729,'Pre-Summary'!$Y$6:$AD$83,6,FALSE),"")</f>
        <v/>
      </c>
      <c r="X1729" t="str">
        <f>IFERROR(VLOOKUP('Pre-Summary'!$DB$6:$DD$63,3,FALSE),"")</f>
        <v/>
      </c>
      <c r="Y1729" t="str">
        <f>IFERROR(VLOOKUP(B1729,'Pre-Summary'!$CR$6:$CT$36,3,FALSE),"")</f>
        <v/>
      </c>
      <c r="Z1729" s="45" t="str">
        <f>IFERROR(VLOOKUP(B1729,'Pre-Summary'!$BZ$6:$CB$63,2,FALSE),"")</f>
        <v/>
      </c>
      <c r="AA1729" s="45" t="str">
        <f>IFERROR(VLOOKUP(B1729,'Pre-Summary'!$CG$6:$CI$70,2,FALSE),"")</f>
        <v/>
      </c>
      <c r="AB1729" s="99">
        <f>IFERROR(VLOOKUP(B1729,'Pre-Summary'!$A$6:$P$178,9,FALSE),AB1730)</f>
        <v>0.31098350443305406</v>
      </c>
      <c r="AC1729" s="10">
        <f>IFERROR(VLOOKUP(Summary!B1729,'Pre-Summary'!$A$6:$P$184,5, FALSE)/100,AC1730)</f>
        <v>0.70126166666666667</v>
      </c>
      <c r="AD1729" s="10">
        <f>IFERROR(VLOOKUP(Summary!B1729,'Pre-Summary'!$A$6:$P$184,3, FALSE)/100,AD1730)</f>
        <v>0.29873833333333333</v>
      </c>
      <c r="AE1729" s="10">
        <f>IFERROR(VLOOKUP(Summary!B1729,'Pre-Summary'!$A$6:$P$184,7, FALSE)/100,AE1730)</f>
        <v>0</v>
      </c>
      <c r="AF1729" s="99">
        <f t="shared" si="79"/>
        <v>9.2902693808489853E-2</v>
      </c>
      <c r="AG1729" s="99">
        <f t="shared" si="80"/>
        <v>0</v>
      </c>
      <c r="AH1729" s="10" t="str">
        <f>IFERROR(VLOOKUP(B1729,'Pre-Summary'!$AZ$6:$BE$65,3,FALSE),"")</f>
        <v/>
      </c>
      <c r="AI1729" s="10" t="str">
        <f>IFERROR(VLOOKUP(B1729,'Pre-Summary'!$AZ$6:$BE$65,5,FALSE),"")</f>
        <v/>
      </c>
      <c r="AJ1729" s="10" t="str">
        <f>IFERROR(VLOOKUP(B1729,'Pre-Summary'!$AZ$6:$BE$65,4,FALSE),"")</f>
        <v/>
      </c>
      <c r="AK1729" s="10" t="str">
        <f>IFERROR(VLOOKUP(B1729,'Pre-Summary'!$AZ$6:$BE$65,6,FALSE),"")</f>
        <v/>
      </c>
      <c r="AL1729" s="10" t="str">
        <f>IFERROR(VLOOKUP(B1729,'Pre-Summary'!$BG$6:$BL$44,3,FALSE),"")</f>
        <v/>
      </c>
      <c r="AM1729" s="10" t="str">
        <f>IFERROR(VLOOKUP(B1729,'Pre-Summary'!$BG$6:$BL$44,4,FALSE),"")</f>
        <v/>
      </c>
    </row>
    <row r="1730" spans="2:39" ht="15" customHeight="1" x14ac:dyDescent="0.3">
      <c r="B1730">
        <v>172.7</v>
      </c>
      <c r="C1730" t="str">
        <f>IFERROR(VLOOKUP(B1730,'Pre-Summary'!$DI$6:$DM$23,4,FALSE),"")</f>
        <v/>
      </c>
      <c r="D1730" s="10" t="str">
        <f>IFERROR(VLOOKUP(B1730,'Pre-Summary'!$AT$6:$AX$14,5,FALSE),D1729)</f>
        <v>Wolfe v3: went back to modified wolfe + EDTA and switched CuSO4 to CUCl2</v>
      </c>
      <c r="E1730" s="10" t="str">
        <f>IFERROR(VLOOKUP(B1730,'Pre-Summary'!$AT$6:$AX$15,4,FALSE),"")</f>
        <v/>
      </c>
      <c r="F1730">
        <f>IFERROR(VLOOKUP(B1730,'Pre-Summary'!$AL$6:$AQ$13,6,FALSE),F1729)</f>
        <v>5.9405263157894746E-2</v>
      </c>
      <c r="G1730" t="str">
        <f>IFERROR(VLOOKUP(B1730,'Pre-Summary'!$AE$6:$AJ$85,3,FALSE),"")</f>
        <v/>
      </c>
      <c r="H1730" t="str">
        <f>IFERROR(VLOOKUP(B1730,'Pre-Summary'!$AE$6:$AJ$85,4,FALSE),"")</f>
        <v/>
      </c>
      <c r="I1730" t="str">
        <f>IFERROR(VLOOKUP(B1730,'Pre-Summary'!$AE$6:$AJ$85,5,FALSE),"")</f>
        <v/>
      </c>
      <c r="J1730" s="45" t="str">
        <f>IFERROR(VLOOKUP(B1730,'Pre-Summary'!$AE$6:$AJ$85,6, FALSE),"")</f>
        <v/>
      </c>
      <c r="K1730" s="45" t="str">
        <f>IFERROR(VLOOKUP(B1730,'Pre-Summary'!$DE$6:$DG$61,3,FALSE),"")</f>
        <v/>
      </c>
      <c r="L1730" s="45" t="str">
        <f>IFERROR(VLOOKUP(B1730,'Pre-Summary'!$CU$6:$CW$36,3,FALSE),"")</f>
        <v/>
      </c>
      <c r="M1730" s="45" t="str">
        <f>IFERROR(VLOOKUP(B1730,'Pre-Summary'!$BW$6:$BY$58,2,FALSE),"")</f>
        <v/>
      </c>
      <c r="N1730" s="45" t="str">
        <f>IFERROR(VLOOKUP(B1730,'Pre-Summary'!$CD$6:$CF$64,2,FALSE),"")</f>
        <v/>
      </c>
      <c r="O1730" s="99">
        <f>IFERROR(VLOOKUP(B1730,'Pre-Summary'!$BO$6:$BQ$48,3, FALSE),O1729)</f>
        <v>1.25</v>
      </c>
      <c r="P1730" s="99">
        <f>IFERROR(VLOOKUP(B1730,'Pre-Summary'!$BS$6:$BU$35,3,FALSE),P1729)</f>
        <v>0.33700000000000002</v>
      </c>
      <c r="Q1730" s="54">
        <f t="shared" si="78"/>
        <v>3.7091988130563798</v>
      </c>
      <c r="R1730" s="53">
        <f>IFERROR(VLOOKUP(B1730,'Pre-Summary'!$BG$6:$BM$44,7,FALSE),R1731)</f>
        <v>8.0894687007659741E-2</v>
      </c>
      <c r="S1730" s="53">
        <f>IFERROR(VLOOKUP(B1730,'Pre-Summary'!$BG$6:$BM$44,6,FALSE),S1731)</f>
        <v>6.1014931296205117E-2</v>
      </c>
      <c r="T1730" s="45" t="str">
        <f>IFERROR(VLOOKUP(B1730,'Pre-Summary'!$Y$6:$AC$83, 3,FALSE),"")</f>
        <v/>
      </c>
      <c r="U1730" s="45" t="str">
        <f>IFERROR(VLOOKUP(B1730,'Pre-Summary'!$Y$6:$AC$83, 4,FALSE),"")</f>
        <v/>
      </c>
      <c r="V1730" t="str">
        <f>IFERROR(VLOOKUP(B1730,'Pre-Summary'!$Y$6:$AC$83, 5,FALSE),"")</f>
        <v/>
      </c>
      <c r="W1730" s="45" t="str">
        <f>IFERROR(VLOOKUP(B1730,'Pre-Summary'!$Y$6:$AD$83,6,FALSE),"")</f>
        <v/>
      </c>
      <c r="X1730" t="str">
        <f>IFERROR(VLOOKUP('Pre-Summary'!$DB$6:$DD$63,3,FALSE),"")</f>
        <v/>
      </c>
      <c r="Y1730" t="str">
        <f>IFERROR(VLOOKUP(B1730,'Pre-Summary'!$CR$6:$CT$36,3,FALSE),"")</f>
        <v/>
      </c>
      <c r="Z1730" s="45" t="str">
        <f>IFERROR(VLOOKUP(B1730,'Pre-Summary'!$BZ$6:$CB$63,2,FALSE),"")</f>
        <v/>
      </c>
      <c r="AA1730" s="45" t="str">
        <f>IFERROR(VLOOKUP(B1730,'Pre-Summary'!$CG$6:$CI$70,2,FALSE),"")</f>
        <v/>
      </c>
      <c r="AB1730" s="99">
        <f>IFERROR(VLOOKUP(B1730,'Pre-Summary'!$A$6:$P$178,9,FALSE),AB1731)</f>
        <v>0.31098350443305406</v>
      </c>
      <c r="AC1730" s="10">
        <f>IFERROR(VLOOKUP(Summary!B1730,'Pre-Summary'!$A$6:$P$184,5, FALSE)/100,AC1731)</f>
        <v>0.70126166666666667</v>
      </c>
      <c r="AD1730" s="10">
        <f>IFERROR(VLOOKUP(Summary!B1730,'Pre-Summary'!$A$6:$P$184,3, FALSE)/100,AD1731)</f>
        <v>0.29873833333333333</v>
      </c>
      <c r="AE1730" s="10">
        <f>IFERROR(VLOOKUP(Summary!B1730,'Pre-Summary'!$A$6:$P$184,7, FALSE)/100,AE1731)</f>
        <v>0</v>
      </c>
      <c r="AF1730" s="99">
        <f t="shared" si="79"/>
        <v>9.2902693808489853E-2</v>
      </c>
      <c r="AG1730" s="99">
        <f t="shared" si="80"/>
        <v>0</v>
      </c>
      <c r="AH1730" s="10" t="str">
        <f>IFERROR(VLOOKUP(B1730,'Pre-Summary'!$AZ$6:$BE$65,3,FALSE),"")</f>
        <v/>
      </c>
      <c r="AI1730" s="10" t="str">
        <f>IFERROR(VLOOKUP(B1730,'Pre-Summary'!$AZ$6:$BE$65,5,FALSE),"")</f>
        <v/>
      </c>
      <c r="AJ1730" s="10" t="str">
        <f>IFERROR(VLOOKUP(B1730,'Pre-Summary'!$AZ$6:$BE$65,4,FALSE),"")</f>
        <v/>
      </c>
      <c r="AK1730" s="10" t="str">
        <f>IFERROR(VLOOKUP(B1730,'Pre-Summary'!$AZ$6:$BE$65,6,FALSE),"")</f>
        <v/>
      </c>
      <c r="AL1730" s="10" t="str">
        <f>IFERROR(VLOOKUP(B1730,'Pre-Summary'!$BG$6:$BL$44,3,FALSE),"")</f>
        <v/>
      </c>
      <c r="AM1730" s="10" t="str">
        <f>IFERROR(VLOOKUP(B1730,'Pre-Summary'!$BG$6:$BL$44,4,FALSE),"")</f>
        <v/>
      </c>
    </row>
    <row r="1731" spans="2:39" ht="15" customHeight="1" x14ac:dyDescent="0.3">
      <c r="B1731">
        <v>172.8</v>
      </c>
      <c r="C1731" t="str">
        <f>IFERROR(VLOOKUP(B1731,'Pre-Summary'!$DI$6:$DM$23,4,FALSE),"")</f>
        <v/>
      </c>
      <c r="D1731" s="10" t="str">
        <f>IFERROR(VLOOKUP(B1731,'Pre-Summary'!$AT$6:$AX$14,5,FALSE),D1730)</f>
        <v>Wolfe v3: went back to modified wolfe + EDTA and switched CuSO4 to CUCl2</v>
      </c>
      <c r="E1731" s="10" t="str">
        <f>IFERROR(VLOOKUP(B1731,'Pre-Summary'!$AT$6:$AX$15,4,FALSE),"")</f>
        <v/>
      </c>
      <c r="F1731">
        <f>IFERROR(VLOOKUP(B1731,'Pre-Summary'!$AL$6:$AQ$13,6,FALSE),F1730)</f>
        <v>5.9405263157894746E-2</v>
      </c>
      <c r="G1731" t="str">
        <f>IFERROR(VLOOKUP(B1731,'Pre-Summary'!$AE$6:$AJ$85,3,FALSE),"")</f>
        <v/>
      </c>
      <c r="H1731" t="str">
        <f>IFERROR(VLOOKUP(B1731,'Pre-Summary'!$AE$6:$AJ$85,4,FALSE),"")</f>
        <v/>
      </c>
      <c r="I1731" t="str">
        <f>IFERROR(VLOOKUP(B1731,'Pre-Summary'!$AE$6:$AJ$85,5,FALSE),"")</f>
        <v/>
      </c>
      <c r="J1731" s="45" t="str">
        <f>IFERROR(VLOOKUP(B1731,'Pre-Summary'!$AE$6:$AJ$85,6, FALSE),"")</f>
        <v/>
      </c>
      <c r="K1731" s="45" t="str">
        <f>IFERROR(VLOOKUP(B1731,'Pre-Summary'!$DE$6:$DG$61,3,FALSE),"")</f>
        <v/>
      </c>
      <c r="L1731" s="45" t="str">
        <f>IFERROR(VLOOKUP(B1731,'Pre-Summary'!$CU$6:$CW$36,3,FALSE),"")</f>
        <v/>
      </c>
      <c r="M1731" s="45" t="str">
        <f>IFERROR(VLOOKUP(B1731,'Pre-Summary'!$BW$6:$BY$58,2,FALSE),"")</f>
        <v/>
      </c>
      <c r="N1731" s="45" t="str">
        <f>IFERROR(VLOOKUP(B1731,'Pre-Summary'!$CD$6:$CF$64,2,FALSE),"")</f>
        <v/>
      </c>
      <c r="O1731" s="99">
        <f>IFERROR(VLOOKUP(B1731,'Pre-Summary'!$BO$6:$BQ$48,3, FALSE),O1730)</f>
        <v>1.25</v>
      </c>
      <c r="P1731" s="99">
        <f>IFERROR(VLOOKUP(B1731,'Pre-Summary'!$BS$6:$BU$35,3,FALSE),P1730)</f>
        <v>0.33700000000000002</v>
      </c>
      <c r="Q1731" s="54">
        <f t="shared" ref="Q1731:Q1794" si="81">O1731/P1731</f>
        <v>3.7091988130563798</v>
      </c>
      <c r="R1731" s="53">
        <f>IFERROR(VLOOKUP(B1731,'Pre-Summary'!$BG$6:$BM$44,7,FALSE),R1732)</f>
        <v>8.0894687007659741E-2</v>
      </c>
      <c r="S1731" s="53">
        <f>IFERROR(VLOOKUP(B1731,'Pre-Summary'!$BG$6:$BM$44,6,FALSE),S1732)</f>
        <v>6.1014931296205117E-2</v>
      </c>
      <c r="T1731" s="45" t="str">
        <f>IFERROR(VLOOKUP(B1731,'Pre-Summary'!$Y$6:$AC$83, 3,FALSE),"")</f>
        <v/>
      </c>
      <c r="U1731" s="45" t="str">
        <f>IFERROR(VLOOKUP(B1731,'Pre-Summary'!$Y$6:$AC$83, 4,FALSE),"")</f>
        <v/>
      </c>
      <c r="V1731" t="str">
        <f>IFERROR(VLOOKUP(B1731,'Pre-Summary'!$Y$6:$AC$83, 5,FALSE),"")</f>
        <v/>
      </c>
      <c r="W1731" s="45" t="str">
        <f>IFERROR(VLOOKUP(B1731,'Pre-Summary'!$Y$6:$AD$83,6,FALSE),"")</f>
        <v/>
      </c>
      <c r="X1731" t="str">
        <f>IFERROR(VLOOKUP('Pre-Summary'!$DB$6:$DD$63,3,FALSE),"")</f>
        <v/>
      </c>
      <c r="Y1731" t="str">
        <f>IFERROR(VLOOKUP(B1731,'Pre-Summary'!$CR$6:$CT$36,3,FALSE),"")</f>
        <v/>
      </c>
      <c r="Z1731" s="45" t="str">
        <f>IFERROR(VLOOKUP(B1731,'Pre-Summary'!$BZ$6:$CB$63,2,FALSE),"")</f>
        <v/>
      </c>
      <c r="AA1731" s="45" t="str">
        <f>IFERROR(VLOOKUP(B1731,'Pre-Summary'!$CG$6:$CI$70,2,FALSE),"")</f>
        <v/>
      </c>
      <c r="AB1731" s="99">
        <f>IFERROR(VLOOKUP(B1731,'Pre-Summary'!$A$6:$P$178,9,FALSE),AB1732)</f>
        <v>0.31098350443305406</v>
      </c>
      <c r="AC1731" s="10">
        <f>IFERROR(VLOOKUP(Summary!B1731,'Pre-Summary'!$A$6:$P$184,5, FALSE)/100,AC1732)</f>
        <v>0.70126166666666667</v>
      </c>
      <c r="AD1731" s="10">
        <f>IFERROR(VLOOKUP(Summary!B1731,'Pre-Summary'!$A$6:$P$184,3, FALSE)/100,AD1732)</f>
        <v>0.29873833333333333</v>
      </c>
      <c r="AE1731" s="10">
        <f>IFERROR(VLOOKUP(Summary!B1731,'Pre-Summary'!$A$6:$P$184,7, FALSE)/100,AE1732)</f>
        <v>0</v>
      </c>
      <c r="AF1731" s="99">
        <f t="shared" ref="AF1731:AF1794" si="82">AD1731*AB1731</f>
        <v>9.2902693808489853E-2</v>
      </c>
      <c r="AG1731" s="99">
        <f t="shared" ref="AG1731:AG1794" si="83">AB1731*AE1731</f>
        <v>0</v>
      </c>
      <c r="AH1731" s="10" t="str">
        <f>IFERROR(VLOOKUP(B1731,'Pre-Summary'!$AZ$6:$BE$65,3,FALSE),"")</f>
        <v/>
      </c>
      <c r="AI1731" s="10" t="str">
        <f>IFERROR(VLOOKUP(B1731,'Pre-Summary'!$AZ$6:$BE$65,5,FALSE),"")</f>
        <v/>
      </c>
      <c r="AJ1731" s="10" t="str">
        <f>IFERROR(VLOOKUP(B1731,'Pre-Summary'!$AZ$6:$BE$65,4,FALSE),"")</f>
        <v/>
      </c>
      <c r="AK1731" s="10" t="str">
        <f>IFERROR(VLOOKUP(B1731,'Pre-Summary'!$AZ$6:$BE$65,6,FALSE),"")</f>
        <v/>
      </c>
      <c r="AL1731" s="10" t="str">
        <f>IFERROR(VLOOKUP(B1731,'Pre-Summary'!$BG$6:$BL$44,3,FALSE),"")</f>
        <v/>
      </c>
      <c r="AM1731" s="10" t="str">
        <f>IFERROR(VLOOKUP(B1731,'Pre-Summary'!$BG$6:$BL$44,4,FALSE),"")</f>
        <v/>
      </c>
    </row>
    <row r="1732" spans="2:39" ht="15" customHeight="1" x14ac:dyDescent="0.3">
      <c r="B1732">
        <v>172.9</v>
      </c>
      <c r="C1732" t="str">
        <f>IFERROR(VLOOKUP(B1732,'Pre-Summary'!$DI$6:$DM$23,4,FALSE),"")</f>
        <v/>
      </c>
      <c r="D1732" s="10" t="str">
        <f>IFERROR(VLOOKUP(B1732,'Pre-Summary'!$AT$6:$AX$14,5,FALSE),D1731)</f>
        <v>Wolfe v3: went back to modified wolfe + EDTA and switched CuSO4 to CUCl2</v>
      </c>
      <c r="E1732" s="10" t="str">
        <f>IFERROR(VLOOKUP(B1732,'Pre-Summary'!$AT$6:$AX$15,4,FALSE),"")</f>
        <v/>
      </c>
      <c r="F1732">
        <f>IFERROR(VLOOKUP(B1732,'Pre-Summary'!$AL$6:$AQ$13,6,FALSE),F1731)</f>
        <v>5.9405263157894746E-2</v>
      </c>
      <c r="G1732" t="str">
        <f>IFERROR(VLOOKUP(B1732,'Pre-Summary'!$AE$6:$AJ$85,3,FALSE),"")</f>
        <v/>
      </c>
      <c r="H1732" t="str">
        <f>IFERROR(VLOOKUP(B1732,'Pre-Summary'!$AE$6:$AJ$85,4,FALSE),"")</f>
        <v/>
      </c>
      <c r="I1732" t="str">
        <f>IFERROR(VLOOKUP(B1732,'Pre-Summary'!$AE$6:$AJ$85,5,FALSE),"")</f>
        <v/>
      </c>
      <c r="J1732" s="45" t="str">
        <f>IFERROR(VLOOKUP(B1732,'Pre-Summary'!$AE$6:$AJ$85,6, FALSE),"")</f>
        <v/>
      </c>
      <c r="K1732" s="45" t="str">
        <f>IFERROR(VLOOKUP(B1732,'Pre-Summary'!$DE$6:$DG$61,3,FALSE),"")</f>
        <v/>
      </c>
      <c r="L1732" s="45" t="str">
        <f>IFERROR(VLOOKUP(B1732,'Pre-Summary'!$CU$6:$CW$36,3,FALSE),"")</f>
        <v/>
      </c>
      <c r="M1732" s="45" t="str">
        <f>IFERROR(VLOOKUP(B1732,'Pre-Summary'!$BW$6:$BY$58,2,FALSE),"")</f>
        <v/>
      </c>
      <c r="N1732" s="45" t="str">
        <f>IFERROR(VLOOKUP(B1732,'Pre-Summary'!$CD$6:$CF$64,2,FALSE),"")</f>
        <v/>
      </c>
      <c r="O1732" s="99">
        <f>IFERROR(VLOOKUP(B1732,'Pre-Summary'!$BO$6:$BQ$48,3, FALSE),O1731)</f>
        <v>1.25</v>
      </c>
      <c r="P1732" s="99">
        <f>IFERROR(VLOOKUP(B1732,'Pre-Summary'!$BS$6:$BU$35,3,FALSE),P1731)</f>
        <v>0.33700000000000002</v>
      </c>
      <c r="Q1732" s="54">
        <f t="shared" si="81"/>
        <v>3.7091988130563798</v>
      </c>
      <c r="R1732" s="53">
        <f>IFERROR(VLOOKUP(B1732,'Pre-Summary'!$BG$6:$BM$44,7,FALSE),R1733)</f>
        <v>8.0894687007659741E-2</v>
      </c>
      <c r="S1732" s="53">
        <f>IFERROR(VLOOKUP(B1732,'Pre-Summary'!$BG$6:$BM$44,6,FALSE),S1733)</f>
        <v>6.1014931296205117E-2</v>
      </c>
      <c r="T1732" s="45" t="str">
        <f>IFERROR(VLOOKUP(B1732,'Pre-Summary'!$Y$6:$AC$83, 3,FALSE),"")</f>
        <v/>
      </c>
      <c r="U1732" s="45" t="str">
        <f>IFERROR(VLOOKUP(B1732,'Pre-Summary'!$Y$6:$AC$83, 4,FALSE),"")</f>
        <v/>
      </c>
      <c r="V1732" t="str">
        <f>IFERROR(VLOOKUP(B1732,'Pre-Summary'!$Y$6:$AC$83, 5,FALSE),"")</f>
        <v/>
      </c>
      <c r="W1732" s="45" t="str">
        <f>IFERROR(VLOOKUP(B1732,'Pre-Summary'!$Y$6:$AD$83,6,FALSE),"")</f>
        <v/>
      </c>
      <c r="X1732" t="str">
        <f>IFERROR(VLOOKUP('Pre-Summary'!$DB$6:$DD$63,3,FALSE),"")</f>
        <v/>
      </c>
      <c r="Y1732" t="str">
        <f>IFERROR(VLOOKUP(B1732,'Pre-Summary'!$CR$6:$CT$36,3,FALSE),"")</f>
        <v/>
      </c>
      <c r="Z1732" s="45" t="str">
        <f>IFERROR(VLOOKUP(B1732,'Pre-Summary'!$BZ$6:$CB$63,2,FALSE),"")</f>
        <v/>
      </c>
      <c r="AA1732" s="45" t="str">
        <f>IFERROR(VLOOKUP(B1732,'Pre-Summary'!$CG$6:$CI$70,2,FALSE),"")</f>
        <v/>
      </c>
      <c r="AB1732" s="99">
        <f>IFERROR(VLOOKUP(B1732,'Pre-Summary'!$A$6:$P$178,9,FALSE),AB1733)</f>
        <v>0.31098350443305406</v>
      </c>
      <c r="AC1732" s="10">
        <f>IFERROR(VLOOKUP(Summary!B1732,'Pre-Summary'!$A$6:$P$184,5, FALSE)/100,AC1733)</f>
        <v>0.70126166666666667</v>
      </c>
      <c r="AD1732" s="10">
        <f>IFERROR(VLOOKUP(Summary!B1732,'Pre-Summary'!$A$6:$P$184,3, FALSE)/100,AD1733)</f>
        <v>0.29873833333333333</v>
      </c>
      <c r="AE1732" s="10">
        <f>IFERROR(VLOOKUP(Summary!B1732,'Pre-Summary'!$A$6:$P$184,7, FALSE)/100,AE1733)</f>
        <v>0</v>
      </c>
      <c r="AF1732" s="99">
        <f t="shared" si="82"/>
        <v>9.2902693808489853E-2</v>
      </c>
      <c r="AG1732" s="99">
        <f t="shared" si="83"/>
        <v>0</v>
      </c>
      <c r="AH1732" s="10" t="str">
        <f>IFERROR(VLOOKUP(B1732,'Pre-Summary'!$AZ$6:$BE$65,3,FALSE),"")</f>
        <v/>
      </c>
      <c r="AI1732" s="10" t="str">
        <f>IFERROR(VLOOKUP(B1732,'Pre-Summary'!$AZ$6:$BE$65,5,FALSE),"")</f>
        <v/>
      </c>
      <c r="AJ1732" s="10" t="str">
        <f>IFERROR(VLOOKUP(B1732,'Pre-Summary'!$AZ$6:$BE$65,4,FALSE),"")</f>
        <v/>
      </c>
      <c r="AK1732" s="10" t="str">
        <f>IFERROR(VLOOKUP(B1732,'Pre-Summary'!$AZ$6:$BE$65,6,FALSE),"")</f>
        <v/>
      </c>
      <c r="AL1732" s="10" t="str">
        <f>IFERROR(VLOOKUP(B1732,'Pre-Summary'!$BG$6:$BL$44,3,FALSE),"")</f>
        <v/>
      </c>
      <c r="AM1732" s="10" t="str">
        <f>IFERROR(VLOOKUP(B1732,'Pre-Summary'!$BG$6:$BL$44,4,FALSE),"")</f>
        <v/>
      </c>
    </row>
    <row r="1733" spans="2:39" ht="15" customHeight="1" x14ac:dyDescent="0.3">
      <c r="B1733">
        <v>173</v>
      </c>
      <c r="C1733" t="str">
        <f>IFERROR(VLOOKUP(B1733,'Pre-Summary'!$DI$6:$DM$23,4,FALSE),"")</f>
        <v/>
      </c>
      <c r="D1733" s="10" t="str">
        <f>IFERROR(VLOOKUP(B1733,'Pre-Summary'!$AT$6:$AX$14,5,FALSE),D1732)</f>
        <v>Wolfe v3: went back to modified wolfe + EDTA and switched CuSO4 to CUCl2</v>
      </c>
      <c r="E1733" s="10" t="str">
        <f>IFERROR(VLOOKUP(B1733,'Pre-Summary'!$AT$6:$AX$15,4,FALSE),"")</f>
        <v/>
      </c>
      <c r="F1733">
        <f>IFERROR(VLOOKUP(B1733,'Pre-Summary'!$AL$6:$AQ$13,6,FALSE),F1732)</f>
        <v>5.9405263157894746E-2</v>
      </c>
      <c r="G1733" t="str">
        <f>IFERROR(VLOOKUP(B1733,'Pre-Summary'!$AE$6:$AJ$85,3,FALSE),"")</f>
        <v/>
      </c>
      <c r="H1733" t="str">
        <f>IFERROR(VLOOKUP(B1733,'Pre-Summary'!$AE$6:$AJ$85,4,FALSE),"")</f>
        <v/>
      </c>
      <c r="I1733" t="str">
        <f>IFERROR(VLOOKUP(B1733,'Pre-Summary'!$AE$6:$AJ$85,5,FALSE),"")</f>
        <v/>
      </c>
      <c r="J1733" s="45" t="str">
        <f>IFERROR(VLOOKUP(B1733,'Pre-Summary'!$AE$6:$AJ$85,6, FALSE),"")</f>
        <v/>
      </c>
      <c r="K1733" s="45" t="str">
        <f>IFERROR(VLOOKUP(B1733,'Pre-Summary'!$DE$6:$DG$61,3,FALSE),"")</f>
        <v/>
      </c>
      <c r="L1733" s="45" t="str">
        <f>IFERROR(VLOOKUP(B1733,'Pre-Summary'!$CU$6:$CW$36,3,FALSE),"")</f>
        <v/>
      </c>
      <c r="M1733" s="45" t="str">
        <f>IFERROR(VLOOKUP(B1733,'Pre-Summary'!$BW$6:$BY$58,2,FALSE),"")</f>
        <v/>
      </c>
      <c r="N1733" s="45" t="str">
        <f>IFERROR(VLOOKUP(B1733,'Pre-Summary'!$CD$6:$CF$64,2,FALSE),"")</f>
        <v/>
      </c>
      <c r="O1733" s="99">
        <f>IFERROR(VLOOKUP(B1733,'Pre-Summary'!$BO$6:$BQ$48,3, FALSE),O1732)</f>
        <v>1.25</v>
      </c>
      <c r="P1733" s="99">
        <f>IFERROR(VLOOKUP(B1733,'Pre-Summary'!$BS$6:$BU$35,3,FALSE),P1732)</f>
        <v>0.33700000000000002</v>
      </c>
      <c r="Q1733" s="54">
        <f t="shared" si="81"/>
        <v>3.7091988130563798</v>
      </c>
      <c r="R1733" s="53">
        <f>IFERROR(VLOOKUP(B1733,'Pre-Summary'!$BG$6:$BM$44,7,FALSE),R1734)</f>
        <v>8.0894687007659741E-2</v>
      </c>
      <c r="S1733" s="53">
        <f>IFERROR(VLOOKUP(B1733,'Pre-Summary'!$BG$6:$BM$44,6,FALSE),S1734)</f>
        <v>6.1014931296205117E-2</v>
      </c>
      <c r="T1733" s="45" t="str">
        <f>IFERROR(VLOOKUP(B1733,'Pre-Summary'!$Y$6:$AC$83, 3,FALSE),"")</f>
        <v/>
      </c>
      <c r="U1733" s="45" t="str">
        <f>IFERROR(VLOOKUP(B1733,'Pre-Summary'!$Y$6:$AC$83, 4,FALSE),"")</f>
        <v/>
      </c>
      <c r="V1733" t="str">
        <f>IFERROR(VLOOKUP(B1733,'Pre-Summary'!$Y$6:$AC$83, 5,FALSE),"")</f>
        <v/>
      </c>
      <c r="W1733" s="45" t="str">
        <f>IFERROR(VLOOKUP(B1733,'Pre-Summary'!$Y$6:$AD$83,6,FALSE),"")</f>
        <v/>
      </c>
      <c r="X1733" t="str">
        <f>IFERROR(VLOOKUP('Pre-Summary'!$DB$6:$DD$63,3,FALSE),"")</f>
        <v/>
      </c>
      <c r="Y1733" t="str">
        <f>IFERROR(VLOOKUP(B1733,'Pre-Summary'!$CR$6:$CT$36,3,FALSE),"")</f>
        <v/>
      </c>
      <c r="Z1733" s="45" t="str">
        <f>IFERROR(VLOOKUP(B1733,'Pre-Summary'!$BZ$6:$CB$63,2,FALSE),"")</f>
        <v/>
      </c>
      <c r="AA1733" s="45" t="str">
        <f>IFERROR(VLOOKUP(B1733,'Pre-Summary'!$CG$6:$CI$70,2,FALSE),"")</f>
        <v/>
      </c>
      <c r="AB1733" s="99">
        <f>IFERROR(VLOOKUP(B1733,'Pre-Summary'!$A$6:$P$178,9,FALSE),AB1734)</f>
        <v>0.31098350443305406</v>
      </c>
      <c r="AC1733" s="10">
        <f>IFERROR(VLOOKUP(Summary!B1733,'Pre-Summary'!$A$6:$P$184,5, FALSE)/100,AC1734)</f>
        <v>0.70126166666666667</v>
      </c>
      <c r="AD1733" s="10">
        <f>IFERROR(VLOOKUP(Summary!B1733,'Pre-Summary'!$A$6:$P$184,3, FALSE)/100,AD1734)</f>
        <v>0.29873833333333333</v>
      </c>
      <c r="AE1733" s="10">
        <f>IFERROR(VLOOKUP(Summary!B1733,'Pre-Summary'!$A$6:$P$184,7, FALSE)/100,AE1734)</f>
        <v>0</v>
      </c>
      <c r="AF1733" s="99">
        <f t="shared" si="82"/>
        <v>9.2902693808489853E-2</v>
      </c>
      <c r="AG1733" s="99">
        <f t="shared" si="83"/>
        <v>0</v>
      </c>
      <c r="AH1733" s="10" t="str">
        <f>IFERROR(VLOOKUP(B1733,'Pre-Summary'!$AZ$6:$BE$65,3,FALSE),"")</f>
        <v/>
      </c>
      <c r="AI1733" s="10" t="str">
        <f>IFERROR(VLOOKUP(B1733,'Pre-Summary'!$AZ$6:$BE$65,5,FALSE),"")</f>
        <v/>
      </c>
      <c r="AJ1733" s="10" t="str">
        <f>IFERROR(VLOOKUP(B1733,'Pre-Summary'!$AZ$6:$BE$65,4,FALSE),"")</f>
        <v/>
      </c>
      <c r="AK1733" s="10" t="str">
        <f>IFERROR(VLOOKUP(B1733,'Pre-Summary'!$AZ$6:$BE$65,6,FALSE),"")</f>
        <v/>
      </c>
      <c r="AL1733" s="10" t="str">
        <f>IFERROR(VLOOKUP(B1733,'Pre-Summary'!$BG$6:$BL$44,3,FALSE),"")</f>
        <v/>
      </c>
      <c r="AM1733" s="10" t="str">
        <f>IFERROR(VLOOKUP(B1733,'Pre-Summary'!$BG$6:$BL$44,4,FALSE),"")</f>
        <v/>
      </c>
    </row>
    <row r="1734" spans="2:39" ht="15" customHeight="1" x14ac:dyDescent="0.3">
      <c r="B1734">
        <v>173.1</v>
      </c>
      <c r="C1734" t="str">
        <f>IFERROR(VLOOKUP(B1734,'Pre-Summary'!$DI$6:$DM$23,4,FALSE),"")</f>
        <v/>
      </c>
      <c r="D1734" s="10" t="str">
        <f>IFERROR(VLOOKUP(B1734,'Pre-Summary'!$AT$6:$AX$14,5,FALSE),D1733)</f>
        <v>Wolfe v3: went back to modified wolfe + EDTA and switched CuSO4 to CUCl2</v>
      </c>
      <c r="E1734" s="10" t="str">
        <f>IFERROR(VLOOKUP(B1734,'Pre-Summary'!$AT$6:$AX$15,4,FALSE),"")</f>
        <v/>
      </c>
      <c r="F1734">
        <f>IFERROR(VLOOKUP(B1734,'Pre-Summary'!$AL$6:$AQ$13,6,FALSE),F1733)</f>
        <v>5.9405263157894746E-2</v>
      </c>
      <c r="G1734" t="str">
        <f>IFERROR(VLOOKUP(B1734,'Pre-Summary'!$AE$6:$AJ$85,3,FALSE),"")</f>
        <v/>
      </c>
      <c r="H1734" t="str">
        <f>IFERROR(VLOOKUP(B1734,'Pre-Summary'!$AE$6:$AJ$85,4,FALSE),"")</f>
        <v/>
      </c>
      <c r="I1734" t="str">
        <f>IFERROR(VLOOKUP(B1734,'Pre-Summary'!$AE$6:$AJ$85,5,FALSE),"")</f>
        <v/>
      </c>
      <c r="J1734" s="45" t="str">
        <f>IFERROR(VLOOKUP(B1734,'Pre-Summary'!$AE$6:$AJ$85,6, FALSE),"")</f>
        <v/>
      </c>
      <c r="K1734" s="45" t="str">
        <f>IFERROR(VLOOKUP(B1734,'Pre-Summary'!$DE$6:$DG$61,3,FALSE),"")</f>
        <v/>
      </c>
      <c r="L1734" s="45" t="str">
        <f>IFERROR(VLOOKUP(B1734,'Pre-Summary'!$CU$6:$CW$36,3,FALSE),"")</f>
        <v/>
      </c>
      <c r="M1734" s="45" t="str">
        <f>IFERROR(VLOOKUP(B1734,'Pre-Summary'!$BW$6:$BY$58,2,FALSE),"")</f>
        <v/>
      </c>
      <c r="N1734" s="45" t="str">
        <f>IFERROR(VLOOKUP(B1734,'Pre-Summary'!$CD$6:$CF$64,2,FALSE),"")</f>
        <v/>
      </c>
      <c r="O1734" s="99">
        <f>IFERROR(VLOOKUP(B1734,'Pre-Summary'!$BO$6:$BQ$48,3, FALSE),O1733)</f>
        <v>1.25</v>
      </c>
      <c r="P1734" s="99">
        <f>IFERROR(VLOOKUP(B1734,'Pre-Summary'!$BS$6:$BU$35,3,FALSE),P1733)</f>
        <v>0.33700000000000002</v>
      </c>
      <c r="Q1734" s="54">
        <f t="shared" si="81"/>
        <v>3.7091988130563798</v>
      </c>
      <c r="R1734" s="53">
        <f>IFERROR(VLOOKUP(B1734,'Pre-Summary'!$BG$6:$BM$44,7,FALSE),R1735)</f>
        <v>8.0894687007659741E-2</v>
      </c>
      <c r="S1734" s="53">
        <f>IFERROR(VLOOKUP(B1734,'Pre-Summary'!$BG$6:$BM$44,6,FALSE),S1735)</f>
        <v>6.1014931296205117E-2</v>
      </c>
      <c r="T1734" s="45" t="str">
        <f>IFERROR(VLOOKUP(B1734,'Pre-Summary'!$Y$6:$AC$83, 3,FALSE),"")</f>
        <v/>
      </c>
      <c r="U1734" s="45" t="str">
        <f>IFERROR(VLOOKUP(B1734,'Pre-Summary'!$Y$6:$AC$83, 4,FALSE),"")</f>
        <v/>
      </c>
      <c r="V1734" t="str">
        <f>IFERROR(VLOOKUP(B1734,'Pre-Summary'!$Y$6:$AC$83, 5,FALSE),"")</f>
        <v/>
      </c>
      <c r="W1734" s="45" t="str">
        <f>IFERROR(VLOOKUP(B1734,'Pre-Summary'!$Y$6:$AD$83,6,FALSE),"")</f>
        <v/>
      </c>
      <c r="X1734" t="str">
        <f>IFERROR(VLOOKUP('Pre-Summary'!$DB$6:$DD$63,3,FALSE),"")</f>
        <v/>
      </c>
      <c r="Y1734" t="str">
        <f>IFERROR(VLOOKUP(B1734,'Pre-Summary'!$CR$6:$CT$36,3,FALSE),"")</f>
        <v/>
      </c>
      <c r="Z1734" s="45" t="str">
        <f>IFERROR(VLOOKUP(B1734,'Pre-Summary'!$BZ$6:$CB$63,2,FALSE),"")</f>
        <v/>
      </c>
      <c r="AA1734" s="45" t="str">
        <f>IFERROR(VLOOKUP(B1734,'Pre-Summary'!$CG$6:$CI$70,2,FALSE),"")</f>
        <v/>
      </c>
      <c r="AB1734" s="99">
        <f>IFERROR(VLOOKUP(B1734,'Pre-Summary'!$A$6:$P$178,9,FALSE),AB1735)</f>
        <v>0.31098350443305406</v>
      </c>
      <c r="AC1734" s="10">
        <f>IFERROR(VLOOKUP(Summary!B1734,'Pre-Summary'!$A$6:$P$184,5, FALSE)/100,AC1735)</f>
        <v>0.70126166666666667</v>
      </c>
      <c r="AD1734" s="10">
        <f>IFERROR(VLOOKUP(Summary!B1734,'Pre-Summary'!$A$6:$P$184,3, FALSE)/100,AD1735)</f>
        <v>0.29873833333333333</v>
      </c>
      <c r="AE1734" s="10">
        <f>IFERROR(VLOOKUP(Summary!B1734,'Pre-Summary'!$A$6:$P$184,7, FALSE)/100,AE1735)</f>
        <v>0</v>
      </c>
      <c r="AF1734" s="99">
        <f t="shared" si="82"/>
        <v>9.2902693808489853E-2</v>
      </c>
      <c r="AG1734" s="99">
        <f t="shared" si="83"/>
        <v>0</v>
      </c>
      <c r="AH1734" s="10" t="str">
        <f>IFERROR(VLOOKUP(B1734,'Pre-Summary'!$AZ$6:$BE$65,3,FALSE),"")</f>
        <v/>
      </c>
      <c r="AI1734" s="10" t="str">
        <f>IFERROR(VLOOKUP(B1734,'Pre-Summary'!$AZ$6:$BE$65,5,FALSE),"")</f>
        <v/>
      </c>
      <c r="AJ1734" s="10" t="str">
        <f>IFERROR(VLOOKUP(B1734,'Pre-Summary'!$AZ$6:$BE$65,4,FALSE),"")</f>
        <v/>
      </c>
      <c r="AK1734" s="10" t="str">
        <f>IFERROR(VLOOKUP(B1734,'Pre-Summary'!$AZ$6:$BE$65,6,FALSE),"")</f>
        <v/>
      </c>
      <c r="AL1734" s="10" t="str">
        <f>IFERROR(VLOOKUP(B1734,'Pre-Summary'!$BG$6:$BL$44,3,FALSE),"")</f>
        <v/>
      </c>
      <c r="AM1734" s="10" t="str">
        <f>IFERROR(VLOOKUP(B1734,'Pre-Summary'!$BG$6:$BL$44,4,FALSE),"")</f>
        <v/>
      </c>
    </row>
    <row r="1735" spans="2:39" ht="15" customHeight="1" x14ac:dyDescent="0.3">
      <c r="B1735">
        <v>173.2</v>
      </c>
      <c r="C1735" t="str">
        <f>IFERROR(VLOOKUP(B1735,'Pre-Summary'!$DI$6:$DM$23,4,FALSE),"")</f>
        <v/>
      </c>
      <c r="D1735" s="10" t="str">
        <f>IFERROR(VLOOKUP(B1735,'Pre-Summary'!$AT$6:$AX$14,5,FALSE),D1734)</f>
        <v>Wolfe v3: went back to modified wolfe + EDTA and switched CuSO4 to CUCl2</v>
      </c>
      <c r="E1735" s="10" t="str">
        <f>IFERROR(VLOOKUP(B1735,'Pre-Summary'!$AT$6:$AX$15,4,FALSE),"")</f>
        <v/>
      </c>
      <c r="F1735">
        <f>IFERROR(VLOOKUP(B1735,'Pre-Summary'!$AL$6:$AQ$13,6,FALSE),F1734)</f>
        <v>5.9405263157894746E-2</v>
      </c>
      <c r="G1735" t="str">
        <f>IFERROR(VLOOKUP(B1735,'Pre-Summary'!$AE$6:$AJ$85,3,FALSE),"")</f>
        <v/>
      </c>
      <c r="H1735" t="str">
        <f>IFERROR(VLOOKUP(B1735,'Pre-Summary'!$AE$6:$AJ$85,4,FALSE),"")</f>
        <v/>
      </c>
      <c r="I1735" t="str">
        <f>IFERROR(VLOOKUP(B1735,'Pre-Summary'!$AE$6:$AJ$85,5,FALSE),"")</f>
        <v/>
      </c>
      <c r="J1735" s="45" t="str">
        <f>IFERROR(VLOOKUP(B1735,'Pre-Summary'!$AE$6:$AJ$85,6, FALSE),"")</f>
        <v/>
      </c>
      <c r="K1735" s="45" t="str">
        <f>IFERROR(VLOOKUP(B1735,'Pre-Summary'!$DE$6:$DG$61,3,FALSE),"")</f>
        <v/>
      </c>
      <c r="L1735" s="45" t="str">
        <f>IFERROR(VLOOKUP(B1735,'Pre-Summary'!$CU$6:$CW$36,3,FALSE),"")</f>
        <v/>
      </c>
      <c r="M1735" s="45" t="str">
        <f>IFERROR(VLOOKUP(B1735,'Pre-Summary'!$BW$6:$BY$58,2,FALSE),"")</f>
        <v/>
      </c>
      <c r="N1735" s="45" t="str">
        <f>IFERROR(VLOOKUP(B1735,'Pre-Summary'!$CD$6:$CF$64,2,FALSE),"")</f>
        <v/>
      </c>
      <c r="O1735" s="99">
        <f>IFERROR(VLOOKUP(B1735,'Pre-Summary'!$BO$6:$BQ$48,3, FALSE),O1734)</f>
        <v>1.25</v>
      </c>
      <c r="P1735" s="99">
        <f>IFERROR(VLOOKUP(B1735,'Pre-Summary'!$BS$6:$BU$35,3,FALSE),P1734)</f>
        <v>0.33700000000000002</v>
      </c>
      <c r="Q1735" s="54">
        <f t="shared" si="81"/>
        <v>3.7091988130563798</v>
      </c>
      <c r="R1735" s="53">
        <f>IFERROR(VLOOKUP(B1735,'Pre-Summary'!$BG$6:$BM$44,7,FALSE),R1736)</f>
        <v>8.0894687007659741E-2</v>
      </c>
      <c r="S1735" s="53">
        <f>IFERROR(VLOOKUP(B1735,'Pre-Summary'!$BG$6:$BM$44,6,FALSE),S1736)</f>
        <v>6.1014931296205117E-2</v>
      </c>
      <c r="T1735" s="45" t="str">
        <f>IFERROR(VLOOKUP(B1735,'Pre-Summary'!$Y$6:$AC$83, 3,FALSE),"")</f>
        <v/>
      </c>
      <c r="U1735" s="45" t="str">
        <f>IFERROR(VLOOKUP(B1735,'Pre-Summary'!$Y$6:$AC$83, 4,FALSE),"")</f>
        <v/>
      </c>
      <c r="V1735" t="str">
        <f>IFERROR(VLOOKUP(B1735,'Pre-Summary'!$Y$6:$AC$83, 5,FALSE),"")</f>
        <v/>
      </c>
      <c r="W1735" s="45" t="str">
        <f>IFERROR(VLOOKUP(B1735,'Pre-Summary'!$Y$6:$AD$83,6,FALSE),"")</f>
        <v/>
      </c>
      <c r="X1735" t="str">
        <f>IFERROR(VLOOKUP('Pre-Summary'!$DB$6:$DD$63,3,FALSE),"")</f>
        <v/>
      </c>
      <c r="Y1735" t="str">
        <f>IFERROR(VLOOKUP(B1735,'Pre-Summary'!$CR$6:$CT$36,3,FALSE),"")</f>
        <v/>
      </c>
      <c r="Z1735" s="45" t="str">
        <f>IFERROR(VLOOKUP(B1735,'Pre-Summary'!$BZ$6:$CB$63,2,FALSE),"")</f>
        <v/>
      </c>
      <c r="AA1735" s="45" t="str">
        <f>IFERROR(VLOOKUP(B1735,'Pre-Summary'!$CG$6:$CI$70,2,FALSE),"")</f>
        <v/>
      </c>
      <c r="AB1735" s="99">
        <f>IFERROR(VLOOKUP(B1735,'Pre-Summary'!$A$6:$P$178,9,FALSE),AB1736)</f>
        <v>0.31098350443305406</v>
      </c>
      <c r="AC1735" s="10">
        <f>IFERROR(VLOOKUP(Summary!B1735,'Pre-Summary'!$A$6:$P$184,5, FALSE)/100,AC1736)</f>
        <v>0.70126166666666667</v>
      </c>
      <c r="AD1735" s="10">
        <f>IFERROR(VLOOKUP(Summary!B1735,'Pre-Summary'!$A$6:$P$184,3, FALSE)/100,AD1736)</f>
        <v>0.29873833333333333</v>
      </c>
      <c r="AE1735" s="10">
        <f>IFERROR(VLOOKUP(Summary!B1735,'Pre-Summary'!$A$6:$P$184,7, FALSE)/100,AE1736)</f>
        <v>0</v>
      </c>
      <c r="AF1735" s="99">
        <f t="shared" si="82"/>
        <v>9.2902693808489853E-2</v>
      </c>
      <c r="AG1735" s="99">
        <f t="shared" si="83"/>
        <v>0</v>
      </c>
      <c r="AH1735" s="10" t="str">
        <f>IFERROR(VLOOKUP(B1735,'Pre-Summary'!$AZ$6:$BE$65,3,FALSE),"")</f>
        <v/>
      </c>
      <c r="AI1735" s="10" t="str">
        <f>IFERROR(VLOOKUP(B1735,'Pre-Summary'!$AZ$6:$BE$65,5,FALSE),"")</f>
        <v/>
      </c>
      <c r="AJ1735" s="10" t="str">
        <f>IFERROR(VLOOKUP(B1735,'Pre-Summary'!$AZ$6:$BE$65,4,FALSE),"")</f>
        <v/>
      </c>
      <c r="AK1735" s="10" t="str">
        <f>IFERROR(VLOOKUP(B1735,'Pre-Summary'!$AZ$6:$BE$65,6,FALSE),"")</f>
        <v/>
      </c>
      <c r="AL1735" s="10" t="str">
        <f>IFERROR(VLOOKUP(B1735,'Pre-Summary'!$BG$6:$BL$44,3,FALSE),"")</f>
        <v/>
      </c>
      <c r="AM1735" s="10" t="str">
        <f>IFERROR(VLOOKUP(B1735,'Pre-Summary'!$BG$6:$BL$44,4,FALSE),"")</f>
        <v/>
      </c>
    </row>
    <row r="1736" spans="2:39" ht="15" customHeight="1" x14ac:dyDescent="0.3">
      <c r="B1736">
        <v>173.3</v>
      </c>
      <c r="C1736" t="str">
        <f>IFERROR(VLOOKUP(B1736,'Pre-Summary'!$DI$6:$DM$23,4,FALSE),"")</f>
        <v/>
      </c>
      <c r="D1736" s="10" t="str">
        <f>IFERROR(VLOOKUP(B1736,'Pre-Summary'!$AT$6:$AX$14,5,FALSE),D1735)</f>
        <v>Wolfe v3: went back to modified wolfe + EDTA and switched CuSO4 to CUCl2</v>
      </c>
      <c r="E1736" s="10" t="str">
        <f>IFERROR(VLOOKUP(B1736,'Pre-Summary'!$AT$6:$AX$15,4,FALSE),"")</f>
        <v/>
      </c>
      <c r="F1736">
        <f>IFERROR(VLOOKUP(B1736,'Pre-Summary'!$AL$6:$AQ$13,6,FALSE),F1735)</f>
        <v>5.9405263157894746E-2</v>
      </c>
      <c r="G1736" t="str">
        <f>IFERROR(VLOOKUP(B1736,'Pre-Summary'!$AE$6:$AJ$85,3,FALSE),"")</f>
        <v/>
      </c>
      <c r="H1736" t="str">
        <f>IFERROR(VLOOKUP(B1736,'Pre-Summary'!$AE$6:$AJ$85,4,FALSE),"")</f>
        <v/>
      </c>
      <c r="I1736" t="str">
        <f>IFERROR(VLOOKUP(B1736,'Pre-Summary'!$AE$6:$AJ$85,5,FALSE),"")</f>
        <v/>
      </c>
      <c r="J1736" s="45" t="str">
        <f>IFERROR(VLOOKUP(B1736,'Pre-Summary'!$AE$6:$AJ$85,6, FALSE),"")</f>
        <v/>
      </c>
      <c r="K1736" s="45" t="str">
        <f>IFERROR(VLOOKUP(B1736,'Pre-Summary'!$DE$6:$DG$61,3,FALSE),"")</f>
        <v/>
      </c>
      <c r="L1736" s="45" t="str">
        <f>IFERROR(VLOOKUP(B1736,'Pre-Summary'!$CU$6:$CW$36,3,FALSE),"")</f>
        <v/>
      </c>
      <c r="M1736" s="45" t="str">
        <f>IFERROR(VLOOKUP(B1736,'Pre-Summary'!$BW$6:$BY$58,2,FALSE),"")</f>
        <v/>
      </c>
      <c r="N1736" s="45" t="str">
        <f>IFERROR(VLOOKUP(B1736,'Pre-Summary'!$CD$6:$CF$64,2,FALSE),"")</f>
        <v/>
      </c>
      <c r="O1736" s="99">
        <f>IFERROR(VLOOKUP(B1736,'Pre-Summary'!$BO$6:$BQ$48,3, FALSE),O1735)</f>
        <v>1.25</v>
      </c>
      <c r="P1736" s="99">
        <f>IFERROR(VLOOKUP(B1736,'Pre-Summary'!$BS$6:$BU$35,3,FALSE),P1735)</f>
        <v>0.33700000000000002</v>
      </c>
      <c r="Q1736" s="54">
        <f t="shared" si="81"/>
        <v>3.7091988130563798</v>
      </c>
      <c r="R1736" s="53">
        <f>IFERROR(VLOOKUP(B1736,'Pre-Summary'!$BG$6:$BM$44,7,FALSE),R1737)</f>
        <v>8.0894687007659741E-2</v>
      </c>
      <c r="S1736" s="53">
        <f>IFERROR(VLOOKUP(B1736,'Pre-Summary'!$BG$6:$BM$44,6,FALSE),S1737)</f>
        <v>6.1014931296205117E-2</v>
      </c>
      <c r="T1736" s="45" t="str">
        <f>IFERROR(VLOOKUP(B1736,'Pre-Summary'!$Y$6:$AC$83, 3,FALSE),"")</f>
        <v/>
      </c>
      <c r="U1736" s="45" t="str">
        <f>IFERROR(VLOOKUP(B1736,'Pre-Summary'!$Y$6:$AC$83, 4,FALSE),"")</f>
        <v/>
      </c>
      <c r="V1736" t="str">
        <f>IFERROR(VLOOKUP(B1736,'Pre-Summary'!$Y$6:$AC$83, 5,FALSE),"")</f>
        <v/>
      </c>
      <c r="W1736" s="45" t="str">
        <f>IFERROR(VLOOKUP(B1736,'Pre-Summary'!$Y$6:$AD$83,6,FALSE),"")</f>
        <v/>
      </c>
      <c r="X1736" t="str">
        <f>IFERROR(VLOOKUP('Pre-Summary'!$DB$6:$DD$63,3,FALSE),"")</f>
        <v/>
      </c>
      <c r="Y1736" t="str">
        <f>IFERROR(VLOOKUP(B1736,'Pre-Summary'!$CR$6:$CT$36,3,FALSE),"")</f>
        <v/>
      </c>
      <c r="Z1736" s="45" t="str">
        <f>IFERROR(VLOOKUP(B1736,'Pre-Summary'!$BZ$6:$CB$63,2,FALSE),"")</f>
        <v/>
      </c>
      <c r="AA1736" s="45" t="str">
        <f>IFERROR(VLOOKUP(B1736,'Pre-Summary'!$CG$6:$CI$70,2,FALSE),"")</f>
        <v/>
      </c>
      <c r="AB1736" s="99">
        <f>IFERROR(VLOOKUP(B1736,'Pre-Summary'!$A$6:$P$178,9,FALSE),AB1737)</f>
        <v>0.31098350443305406</v>
      </c>
      <c r="AC1736" s="10">
        <f>IFERROR(VLOOKUP(Summary!B1736,'Pre-Summary'!$A$6:$P$184,5, FALSE)/100,AC1737)</f>
        <v>0.70126166666666667</v>
      </c>
      <c r="AD1736" s="10">
        <f>IFERROR(VLOOKUP(Summary!B1736,'Pre-Summary'!$A$6:$P$184,3, FALSE)/100,AD1737)</f>
        <v>0.29873833333333333</v>
      </c>
      <c r="AE1736" s="10">
        <f>IFERROR(VLOOKUP(Summary!B1736,'Pre-Summary'!$A$6:$P$184,7, FALSE)/100,AE1737)</f>
        <v>0</v>
      </c>
      <c r="AF1736" s="99">
        <f t="shared" si="82"/>
        <v>9.2902693808489853E-2</v>
      </c>
      <c r="AG1736" s="99">
        <f t="shared" si="83"/>
        <v>0</v>
      </c>
      <c r="AH1736" s="10" t="str">
        <f>IFERROR(VLOOKUP(B1736,'Pre-Summary'!$AZ$6:$BE$65,3,FALSE),"")</f>
        <v/>
      </c>
      <c r="AI1736" s="10" t="str">
        <f>IFERROR(VLOOKUP(B1736,'Pre-Summary'!$AZ$6:$BE$65,5,FALSE),"")</f>
        <v/>
      </c>
      <c r="AJ1736" s="10" t="str">
        <f>IFERROR(VLOOKUP(B1736,'Pre-Summary'!$AZ$6:$BE$65,4,FALSE),"")</f>
        <v/>
      </c>
      <c r="AK1736" s="10" t="str">
        <f>IFERROR(VLOOKUP(B1736,'Pre-Summary'!$AZ$6:$BE$65,6,FALSE),"")</f>
        <v/>
      </c>
      <c r="AL1736" s="10" t="str">
        <f>IFERROR(VLOOKUP(B1736,'Pre-Summary'!$BG$6:$BL$44,3,FALSE),"")</f>
        <v/>
      </c>
      <c r="AM1736" s="10" t="str">
        <f>IFERROR(VLOOKUP(B1736,'Pre-Summary'!$BG$6:$BL$44,4,FALSE),"")</f>
        <v/>
      </c>
    </row>
    <row r="1737" spans="2:39" ht="15" customHeight="1" x14ac:dyDescent="0.3">
      <c r="B1737">
        <v>173.4</v>
      </c>
      <c r="C1737" t="str">
        <f>IFERROR(VLOOKUP(B1737,'Pre-Summary'!$DI$6:$DM$23,4,FALSE),"")</f>
        <v/>
      </c>
      <c r="D1737" s="10" t="str">
        <f>IFERROR(VLOOKUP(B1737,'Pre-Summary'!$AT$6:$AX$14,5,FALSE),D1736)</f>
        <v>Wolfe v3: went back to modified wolfe + EDTA and switched CuSO4 to CUCl2</v>
      </c>
      <c r="E1737" s="10" t="str">
        <f>IFERROR(VLOOKUP(B1737,'Pre-Summary'!$AT$6:$AX$15,4,FALSE),"")</f>
        <v/>
      </c>
      <c r="F1737">
        <f>IFERROR(VLOOKUP(B1737,'Pre-Summary'!$AL$6:$AQ$13,6,FALSE),F1736)</f>
        <v>5.9405263157894746E-2</v>
      </c>
      <c r="G1737" t="str">
        <f>IFERROR(VLOOKUP(B1737,'Pre-Summary'!$AE$6:$AJ$85,3,FALSE),"")</f>
        <v/>
      </c>
      <c r="H1737" t="str">
        <f>IFERROR(VLOOKUP(B1737,'Pre-Summary'!$AE$6:$AJ$85,4,FALSE),"")</f>
        <v/>
      </c>
      <c r="I1737" t="str">
        <f>IFERROR(VLOOKUP(B1737,'Pre-Summary'!$AE$6:$AJ$85,5,FALSE),"")</f>
        <v/>
      </c>
      <c r="J1737" s="45" t="str">
        <f>IFERROR(VLOOKUP(B1737,'Pre-Summary'!$AE$6:$AJ$85,6, FALSE),"")</f>
        <v/>
      </c>
      <c r="K1737" s="45" t="str">
        <f>IFERROR(VLOOKUP(B1737,'Pre-Summary'!$DE$6:$DG$61,3,FALSE),"")</f>
        <v/>
      </c>
      <c r="L1737" s="45" t="str">
        <f>IFERROR(VLOOKUP(B1737,'Pre-Summary'!$CU$6:$CW$36,3,FALSE),"")</f>
        <v/>
      </c>
      <c r="M1737" s="45" t="str">
        <f>IFERROR(VLOOKUP(B1737,'Pre-Summary'!$BW$6:$BY$58,2,FALSE),"")</f>
        <v/>
      </c>
      <c r="N1737" s="45" t="str">
        <f>IFERROR(VLOOKUP(B1737,'Pre-Summary'!$CD$6:$CF$64,2,FALSE),"")</f>
        <v/>
      </c>
      <c r="O1737" s="99">
        <f>IFERROR(VLOOKUP(B1737,'Pre-Summary'!$BO$6:$BQ$48,3, FALSE),O1736)</f>
        <v>1.25</v>
      </c>
      <c r="P1737" s="99">
        <f>IFERROR(VLOOKUP(B1737,'Pre-Summary'!$BS$6:$BU$35,3,FALSE),P1736)</f>
        <v>0.33700000000000002</v>
      </c>
      <c r="Q1737" s="54">
        <f t="shared" si="81"/>
        <v>3.7091988130563798</v>
      </c>
      <c r="R1737" s="53">
        <f>IFERROR(VLOOKUP(B1737,'Pre-Summary'!$BG$6:$BM$44,7,FALSE),R1738)</f>
        <v>8.0894687007659741E-2</v>
      </c>
      <c r="S1737" s="53">
        <f>IFERROR(VLOOKUP(B1737,'Pre-Summary'!$BG$6:$BM$44,6,FALSE),S1738)</f>
        <v>6.1014931296205117E-2</v>
      </c>
      <c r="T1737" s="45" t="str">
        <f>IFERROR(VLOOKUP(B1737,'Pre-Summary'!$Y$6:$AC$83, 3,FALSE),"")</f>
        <v/>
      </c>
      <c r="U1737" s="45" t="str">
        <f>IFERROR(VLOOKUP(B1737,'Pre-Summary'!$Y$6:$AC$83, 4,FALSE),"")</f>
        <v/>
      </c>
      <c r="V1737" t="str">
        <f>IFERROR(VLOOKUP(B1737,'Pre-Summary'!$Y$6:$AC$83, 5,FALSE),"")</f>
        <v/>
      </c>
      <c r="W1737" s="45" t="str">
        <f>IFERROR(VLOOKUP(B1737,'Pre-Summary'!$Y$6:$AD$83,6,FALSE),"")</f>
        <v/>
      </c>
      <c r="X1737" t="str">
        <f>IFERROR(VLOOKUP('Pre-Summary'!$DB$6:$DD$63,3,FALSE),"")</f>
        <v/>
      </c>
      <c r="Y1737" t="str">
        <f>IFERROR(VLOOKUP(B1737,'Pre-Summary'!$CR$6:$CT$36,3,FALSE),"")</f>
        <v/>
      </c>
      <c r="Z1737" s="45" t="str">
        <f>IFERROR(VLOOKUP(B1737,'Pre-Summary'!$BZ$6:$CB$63,2,FALSE),"")</f>
        <v/>
      </c>
      <c r="AA1737" s="45" t="str">
        <f>IFERROR(VLOOKUP(B1737,'Pre-Summary'!$CG$6:$CI$70,2,FALSE),"")</f>
        <v/>
      </c>
      <c r="AB1737" s="99">
        <f>IFERROR(VLOOKUP(B1737,'Pre-Summary'!$A$6:$P$178,9,FALSE),AB1738)</f>
        <v>0.31098350443305406</v>
      </c>
      <c r="AC1737" s="10">
        <f>IFERROR(VLOOKUP(Summary!B1737,'Pre-Summary'!$A$6:$P$184,5, FALSE)/100,AC1738)</f>
        <v>0.70126166666666667</v>
      </c>
      <c r="AD1737" s="10">
        <f>IFERROR(VLOOKUP(Summary!B1737,'Pre-Summary'!$A$6:$P$184,3, FALSE)/100,AD1738)</f>
        <v>0.29873833333333333</v>
      </c>
      <c r="AE1737" s="10">
        <f>IFERROR(VLOOKUP(Summary!B1737,'Pre-Summary'!$A$6:$P$184,7, FALSE)/100,AE1738)</f>
        <v>0</v>
      </c>
      <c r="AF1737" s="99">
        <f t="shared" si="82"/>
        <v>9.2902693808489853E-2</v>
      </c>
      <c r="AG1737" s="99">
        <f t="shared" si="83"/>
        <v>0</v>
      </c>
      <c r="AH1737" s="10" t="str">
        <f>IFERROR(VLOOKUP(B1737,'Pre-Summary'!$AZ$6:$BE$65,3,FALSE),"")</f>
        <v/>
      </c>
      <c r="AI1737" s="10" t="str">
        <f>IFERROR(VLOOKUP(B1737,'Pre-Summary'!$AZ$6:$BE$65,5,FALSE),"")</f>
        <v/>
      </c>
      <c r="AJ1737" s="10" t="str">
        <f>IFERROR(VLOOKUP(B1737,'Pre-Summary'!$AZ$6:$BE$65,4,FALSE),"")</f>
        <v/>
      </c>
      <c r="AK1737" s="10" t="str">
        <f>IFERROR(VLOOKUP(B1737,'Pre-Summary'!$AZ$6:$BE$65,6,FALSE),"")</f>
        <v/>
      </c>
      <c r="AL1737" s="10" t="str">
        <f>IFERROR(VLOOKUP(B1737,'Pre-Summary'!$BG$6:$BL$44,3,FALSE),"")</f>
        <v/>
      </c>
      <c r="AM1737" s="10" t="str">
        <f>IFERROR(VLOOKUP(B1737,'Pre-Summary'!$BG$6:$BL$44,4,FALSE),"")</f>
        <v/>
      </c>
    </row>
    <row r="1738" spans="2:39" ht="15" customHeight="1" x14ac:dyDescent="0.3">
      <c r="B1738">
        <v>173.5</v>
      </c>
      <c r="C1738" t="str">
        <f>IFERROR(VLOOKUP(B1738,'Pre-Summary'!$DI$6:$DM$23,4,FALSE),"")</f>
        <v/>
      </c>
      <c r="D1738" s="10" t="str">
        <f>IFERROR(VLOOKUP(B1738,'Pre-Summary'!$AT$6:$AX$14,5,FALSE),D1737)</f>
        <v>Wolfe v3: went back to modified wolfe + EDTA and switched CuSO4 to CUCl2</v>
      </c>
      <c r="E1738" s="10" t="str">
        <f>IFERROR(VLOOKUP(B1738,'Pre-Summary'!$AT$6:$AX$15,4,FALSE),"")</f>
        <v/>
      </c>
      <c r="F1738">
        <f>IFERROR(VLOOKUP(B1738,'Pre-Summary'!$AL$6:$AQ$13,6,FALSE),F1737)</f>
        <v>5.9405263157894746E-2</v>
      </c>
      <c r="G1738" t="str">
        <f>IFERROR(VLOOKUP(B1738,'Pre-Summary'!$AE$6:$AJ$85,3,FALSE),"")</f>
        <v/>
      </c>
      <c r="H1738" t="str">
        <f>IFERROR(VLOOKUP(B1738,'Pre-Summary'!$AE$6:$AJ$85,4,FALSE),"")</f>
        <v/>
      </c>
      <c r="I1738" t="str">
        <f>IFERROR(VLOOKUP(B1738,'Pre-Summary'!$AE$6:$AJ$85,5,FALSE),"")</f>
        <v/>
      </c>
      <c r="J1738" s="45" t="str">
        <f>IFERROR(VLOOKUP(B1738,'Pre-Summary'!$AE$6:$AJ$85,6, FALSE),"")</f>
        <v/>
      </c>
      <c r="K1738" s="45" t="str">
        <f>IFERROR(VLOOKUP(B1738,'Pre-Summary'!$DE$6:$DG$61,3,FALSE),"")</f>
        <v/>
      </c>
      <c r="L1738" s="45" t="str">
        <f>IFERROR(VLOOKUP(B1738,'Pre-Summary'!$CU$6:$CW$36,3,FALSE),"")</f>
        <v/>
      </c>
      <c r="M1738" s="45" t="str">
        <f>IFERROR(VLOOKUP(B1738,'Pre-Summary'!$BW$6:$BY$58,2,FALSE),"")</f>
        <v/>
      </c>
      <c r="N1738" s="45" t="str">
        <f>IFERROR(VLOOKUP(B1738,'Pre-Summary'!$CD$6:$CF$64,2,FALSE),"")</f>
        <v/>
      </c>
      <c r="O1738" s="99">
        <f>IFERROR(VLOOKUP(B1738,'Pre-Summary'!$BO$6:$BQ$48,3, FALSE),O1737)</f>
        <v>1.25</v>
      </c>
      <c r="P1738" s="99">
        <f>IFERROR(VLOOKUP(B1738,'Pre-Summary'!$BS$6:$BU$35,3,FALSE),P1737)</f>
        <v>0.33700000000000002</v>
      </c>
      <c r="Q1738" s="54">
        <f t="shared" si="81"/>
        <v>3.7091988130563798</v>
      </c>
      <c r="R1738" s="53">
        <f>IFERROR(VLOOKUP(B1738,'Pre-Summary'!$BG$6:$BM$44,7,FALSE),R1739)</f>
        <v>8.0894687007659741E-2</v>
      </c>
      <c r="S1738" s="53">
        <f>IFERROR(VLOOKUP(B1738,'Pre-Summary'!$BG$6:$BM$44,6,FALSE),S1739)</f>
        <v>6.1014931296205117E-2</v>
      </c>
      <c r="T1738" s="45">
        <f>IFERROR(VLOOKUP(B1738,'Pre-Summary'!$Y$6:$AC$83, 3,FALSE),"")</f>
        <v>9.4538779999999996</v>
      </c>
      <c r="U1738" s="45">
        <f>IFERROR(VLOOKUP(B1738,'Pre-Summary'!$Y$6:$AC$83, 4,FALSE),"")</f>
        <v>12.119529999999999</v>
      </c>
      <c r="V1738">
        <f>IFERROR(VLOOKUP(B1738,'Pre-Summary'!$Y$6:$AC$83, 5,FALSE),"")</f>
        <v>0.86917800000000001</v>
      </c>
      <c r="W1738" s="45">
        <f>IFERROR(VLOOKUP(B1738,'Pre-Summary'!$Y$6:$AD$83,6,FALSE),"")</f>
        <v>30.01642185</v>
      </c>
      <c r="X1738" t="str">
        <f>IFERROR(VLOOKUP('Pre-Summary'!$DB$6:$DD$63,3,FALSE),"")</f>
        <v/>
      </c>
      <c r="Y1738" t="str">
        <f>IFERROR(VLOOKUP(B1738,'Pre-Summary'!$CR$6:$CT$36,3,FALSE),"")</f>
        <v/>
      </c>
      <c r="Z1738" s="45" t="str">
        <f>IFERROR(VLOOKUP(B1738,'Pre-Summary'!$BZ$6:$CB$63,2,FALSE),"")</f>
        <v/>
      </c>
      <c r="AA1738" s="45" t="str">
        <f>IFERROR(VLOOKUP(B1738,'Pre-Summary'!$CG$6:$CI$70,2,FALSE),"")</f>
        <v/>
      </c>
      <c r="AB1738" s="99">
        <f>IFERROR(VLOOKUP(B1738,'Pre-Summary'!$A$6:$P$178,9,FALSE),AB1739)</f>
        <v>0.31098350443305406</v>
      </c>
      <c r="AC1738" s="10">
        <f>IFERROR(VLOOKUP(Summary!B1738,'Pre-Summary'!$A$6:$P$184,5, FALSE)/100,AC1739)</f>
        <v>0.70126166666666667</v>
      </c>
      <c r="AD1738" s="10">
        <f>IFERROR(VLOOKUP(Summary!B1738,'Pre-Summary'!$A$6:$P$184,3, FALSE)/100,AD1739)</f>
        <v>0.29873833333333333</v>
      </c>
      <c r="AE1738" s="10">
        <f>IFERROR(VLOOKUP(Summary!B1738,'Pre-Summary'!$A$6:$P$184,7, FALSE)/100,AE1739)</f>
        <v>0</v>
      </c>
      <c r="AF1738" s="99">
        <f t="shared" si="82"/>
        <v>9.2902693808489853E-2</v>
      </c>
      <c r="AG1738" s="99">
        <f t="shared" si="83"/>
        <v>0</v>
      </c>
      <c r="AH1738" s="10" t="str">
        <f>IFERROR(VLOOKUP(B1738,'Pre-Summary'!$AZ$6:$BE$65,3,FALSE),"")</f>
        <v/>
      </c>
      <c r="AI1738" s="10" t="str">
        <f>IFERROR(VLOOKUP(B1738,'Pre-Summary'!$AZ$6:$BE$65,5,FALSE),"")</f>
        <v/>
      </c>
      <c r="AJ1738" s="10" t="str">
        <f>IFERROR(VLOOKUP(B1738,'Pre-Summary'!$AZ$6:$BE$65,4,FALSE),"")</f>
        <v/>
      </c>
      <c r="AK1738" s="10" t="str">
        <f>IFERROR(VLOOKUP(B1738,'Pre-Summary'!$AZ$6:$BE$65,6,FALSE),"")</f>
        <v/>
      </c>
      <c r="AL1738" s="10" t="str">
        <f>IFERROR(VLOOKUP(B1738,'Pre-Summary'!$BG$6:$BL$44,3,FALSE),"")</f>
        <v/>
      </c>
      <c r="AM1738" s="10" t="str">
        <f>IFERROR(VLOOKUP(B1738,'Pre-Summary'!$BG$6:$BL$44,4,FALSE),"")</f>
        <v/>
      </c>
    </row>
    <row r="1739" spans="2:39" ht="15" customHeight="1" x14ac:dyDescent="0.3">
      <c r="B1739">
        <v>173.6</v>
      </c>
      <c r="C1739" t="str">
        <f>IFERROR(VLOOKUP(B1739,'Pre-Summary'!$DI$6:$DM$23,4,FALSE),"")</f>
        <v/>
      </c>
      <c r="D1739" s="10" t="str">
        <f>IFERROR(VLOOKUP(B1739,'Pre-Summary'!$AT$6:$AX$14,5,FALSE),D1738)</f>
        <v>Wolfe v3: went back to modified wolfe + EDTA and switched CuSO4 to CUCl2</v>
      </c>
      <c r="E1739" s="10" t="str">
        <f>IFERROR(VLOOKUP(B1739,'Pre-Summary'!$AT$6:$AX$15,4,FALSE),"")</f>
        <v/>
      </c>
      <c r="F1739">
        <f>IFERROR(VLOOKUP(B1739,'Pre-Summary'!$AL$6:$AQ$13,6,FALSE),F1738)</f>
        <v>5.9405263157894746E-2</v>
      </c>
      <c r="G1739" t="str">
        <f>IFERROR(VLOOKUP(B1739,'Pre-Summary'!$AE$6:$AJ$85,3,FALSE),"")</f>
        <v/>
      </c>
      <c r="H1739" t="str">
        <f>IFERROR(VLOOKUP(B1739,'Pre-Summary'!$AE$6:$AJ$85,4,FALSE),"")</f>
        <v/>
      </c>
      <c r="I1739" t="str">
        <f>IFERROR(VLOOKUP(B1739,'Pre-Summary'!$AE$6:$AJ$85,5,FALSE),"")</f>
        <v/>
      </c>
      <c r="J1739" s="45" t="str">
        <f>IFERROR(VLOOKUP(B1739,'Pre-Summary'!$AE$6:$AJ$85,6, FALSE),"")</f>
        <v/>
      </c>
      <c r="K1739" s="45" t="str">
        <f>IFERROR(VLOOKUP(B1739,'Pre-Summary'!$DE$6:$DG$61,3,FALSE),"")</f>
        <v/>
      </c>
      <c r="L1739" s="45" t="str">
        <f>IFERROR(VLOOKUP(B1739,'Pre-Summary'!$CU$6:$CW$36,3,FALSE),"")</f>
        <v/>
      </c>
      <c r="M1739" s="45" t="str">
        <f>IFERROR(VLOOKUP(B1739,'Pre-Summary'!$BW$6:$BY$58,2,FALSE),"")</f>
        <v/>
      </c>
      <c r="N1739" s="45" t="str">
        <f>IFERROR(VLOOKUP(B1739,'Pre-Summary'!$CD$6:$CF$64,2,FALSE),"")</f>
        <v/>
      </c>
      <c r="O1739" s="99">
        <f>IFERROR(VLOOKUP(B1739,'Pre-Summary'!$BO$6:$BQ$48,3, FALSE),O1738)</f>
        <v>1.25</v>
      </c>
      <c r="P1739" s="99">
        <f>IFERROR(VLOOKUP(B1739,'Pre-Summary'!$BS$6:$BU$35,3,FALSE),P1738)</f>
        <v>0.33700000000000002</v>
      </c>
      <c r="Q1739" s="54">
        <f t="shared" si="81"/>
        <v>3.7091988130563798</v>
      </c>
      <c r="R1739" s="53">
        <f>IFERROR(VLOOKUP(B1739,'Pre-Summary'!$BG$6:$BM$44,7,FALSE),R1740)</f>
        <v>8.0894687007659741E-2</v>
      </c>
      <c r="S1739" s="53">
        <f>IFERROR(VLOOKUP(B1739,'Pre-Summary'!$BG$6:$BM$44,6,FALSE),S1740)</f>
        <v>6.1014931296205117E-2</v>
      </c>
      <c r="T1739" s="45" t="str">
        <f>IFERROR(VLOOKUP(B1739,'Pre-Summary'!$Y$6:$AC$83, 3,FALSE),"")</f>
        <v/>
      </c>
      <c r="U1739" s="45" t="str">
        <f>IFERROR(VLOOKUP(B1739,'Pre-Summary'!$Y$6:$AC$83, 4,FALSE),"")</f>
        <v/>
      </c>
      <c r="V1739" t="str">
        <f>IFERROR(VLOOKUP(B1739,'Pre-Summary'!$Y$6:$AC$83, 5,FALSE),"")</f>
        <v/>
      </c>
      <c r="W1739" s="45" t="str">
        <f>IFERROR(VLOOKUP(B1739,'Pre-Summary'!$Y$6:$AD$83,6,FALSE),"")</f>
        <v/>
      </c>
      <c r="X1739" t="str">
        <f>IFERROR(VLOOKUP('Pre-Summary'!$DB$6:$DD$63,3,FALSE),"")</f>
        <v/>
      </c>
      <c r="Y1739" t="str">
        <f>IFERROR(VLOOKUP(B1739,'Pre-Summary'!$CR$6:$CT$36,3,FALSE),"")</f>
        <v/>
      </c>
      <c r="Z1739" s="45" t="str">
        <f>IFERROR(VLOOKUP(B1739,'Pre-Summary'!$BZ$6:$CB$63,2,FALSE),"")</f>
        <v/>
      </c>
      <c r="AA1739" s="45" t="str">
        <f>IFERROR(VLOOKUP(B1739,'Pre-Summary'!$CG$6:$CI$70,2,FALSE),"")</f>
        <v/>
      </c>
      <c r="AB1739" s="99">
        <f>IFERROR(VLOOKUP(B1739,'Pre-Summary'!$A$6:$P$178,9,FALSE),AB1740)</f>
        <v>0.31098350443305406</v>
      </c>
      <c r="AC1739" s="10">
        <f>IFERROR(VLOOKUP(Summary!B1739,'Pre-Summary'!$A$6:$P$184,5, FALSE)/100,AC1740)</f>
        <v>0.70126166666666667</v>
      </c>
      <c r="AD1739" s="10">
        <f>IFERROR(VLOOKUP(Summary!B1739,'Pre-Summary'!$A$6:$P$184,3, FALSE)/100,AD1740)</f>
        <v>0.29873833333333333</v>
      </c>
      <c r="AE1739" s="10">
        <f>IFERROR(VLOOKUP(Summary!B1739,'Pre-Summary'!$A$6:$P$184,7, FALSE)/100,AE1740)</f>
        <v>0</v>
      </c>
      <c r="AF1739" s="99">
        <f t="shared" si="82"/>
        <v>9.2902693808489853E-2</v>
      </c>
      <c r="AG1739" s="99">
        <f t="shared" si="83"/>
        <v>0</v>
      </c>
      <c r="AH1739" s="10" t="str">
        <f>IFERROR(VLOOKUP(B1739,'Pre-Summary'!$AZ$6:$BE$65,3,FALSE),"")</f>
        <v/>
      </c>
      <c r="AI1739" s="10" t="str">
        <f>IFERROR(VLOOKUP(B1739,'Pre-Summary'!$AZ$6:$BE$65,5,FALSE),"")</f>
        <v/>
      </c>
      <c r="AJ1739" s="10" t="str">
        <f>IFERROR(VLOOKUP(B1739,'Pre-Summary'!$AZ$6:$BE$65,4,FALSE),"")</f>
        <v/>
      </c>
      <c r="AK1739" s="10" t="str">
        <f>IFERROR(VLOOKUP(B1739,'Pre-Summary'!$AZ$6:$BE$65,6,FALSE),"")</f>
        <v/>
      </c>
      <c r="AL1739" s="10" t="str">
        <f>IFERROR(VLOOKUP(B1739,'Pre-Summary'!$BG$6:$BL$44,3,FALSE),"")</f>
        <v/>
      </c>
      <c r="AM1739" s="10" t="str">
        <f>IFERROR(VLOOKUP(B1739,'Pre-Summary'!$BG$6:$BL$44,4,FALSE),"")</f>
        <v/>
      </c>
    </row>
    <row r="1740" spans="2:39" ht="15" customHeight="1" x14ac:dyDescent="0.3">
      <c r="B1740">
        <v>173.7</v>
      </c>
      <c r="C1740" t="str">
        <f>IFERROR(VLOOKUP(B1740,'Pre-Summary'!$DI$6:$DM$23,4,FALSE),"")</f>
        <v/>
      </c>
      <c r="D1740" s="10" t="str">
        <f>IFERROR(VLOOKUP(B1740,'Pre-Summary'!$AT$6:$AX$14,5,FALSE),D1739)</f>
        <v>Wolfe v3: went back to modified wolfe + EDTA and switched CuSO4 to CUCl2</v>
      </c>
      <c r="E1740" s="10" t="str">
        <f>IFERROR(VLOOKUP(B1740,'Pre-Summary'!$AT$6:$AX$15,4,FALSE),"")</f>
        <v/>
      </c>
      <c r="F1740">
        <f>IFERROR(VLOOKUP(B1740,'Pre-Summary'!$AL$6:$AQ$13,6,FALSE),F1739)</f>
        <v>5.9405263157894746E-2</v>
      </c>
      <c r="G1740" t="str">
        <f>IFERROR(VLOOKUP(B1740,'Pre-Summary'!$AE$6:$AJ$85,3,FALSE),"")</f>
        <v/>
      </c>
      <c r="H1740" t="str">
        <f>IFERROR(VLOOKUP(B1740,'Pre-Summary'!$AE$6:$AJ$85,4,FALSE),"")</f>
        <v/>
      </c>
      <c r="I1740" t="str">
        <f>IFERROR(VLOOKUP(B1740,'Pre-Summary'!$AE$6:$AJ$85,5,FALSE),"")</f>
        <v/>
      </c>
      <c r="J1740" s="45" t="str">
        <f>IFERROR(VLOOKUP(B1740,'Pre-Summary'!$AE$6:$AJ$85,6, FALSE),"")</f>
        <v/>
      </c>
      <c r="K1740" s="45" t="str">
        <f>IFERROR(VLOOKUP(B1740,'Pre-Summary'!$DE$6:$DG$61,3,FALSE),"")</f>
        <v/>
      </c>
      <c r="L1740" s="45" t="str">
        <f>IFERROR(VLOOKUP(B1740,'Pre-Summary'!$CU$6:$CW$36,3,FALSE),"")</f>
        <v/>
      </c>
      <c r="M1740" s="45" t="str">
        <f>IFERROR(VLOOKUP(B1740,'Pre-Summary'!$BW$6:$BY$58,2,FALSE),"")</f>
        <v/>
      </c>
      <c r="N1740" s="45" t="str">
        <f>IFERROR(VLOOKUP(B1740,'Pre-Summary'!$CD$6:$CF$64,2,FALSE),"")</f>
        <v/>
      </c>
      <c r="O1740" s="99">
        <f>IFERROR(VLOOKUP(B1740,'Pre-Summary'!$BO$6:$BQ$48,3, FALSE),O1739)</f>
        <v>1.25</v>
      </c>
      <c r="P1740" s="99">
        <f>IFERROR(VLOOKUP(B1740,'Pre-Summary'!$BS$6:$BU$35,3,FALSE),P1739)</f>
        <v>0.33700000000000002</v>
      </c>
      <c r="Q1740" s="54">
        <f t="shared" si="81"/>
        <v>3.7091988130563798</v>
      </c>
      <c r="R1740" s="53">
        <f>IFERROR(VLOOKUP(B1740,'Pre-Summary'!$BG$6:$BM$44,7,FALSE),R1741)</f>
        <v>8.0894687007659741E-2</v>
      </c>
      <c r="S1740" s="53">
        <f>IFERROR(VLOOKUP(B1740,'Pre-Summary'!$BG$6:$BM$44,6,FALSE),S1741)</f>
        <v>6.1014931296205117E-2</v>
      </c>
      <c r="T1740" s="45" t="str">
        <f>IFERROR(VLOOKUP(B1740,'Pre-Summary'!$Y$6:$AC$83, 3,FALSE),"")</f>
        <v/>
      </c>
      <c r="U1740" s="45" t="str">
        <f>IFERROR(VLOOKUP(B1740,'Pre-Summary'!$Y$6:$AC$83, 4,FALSE),"")</f>
        <v/>
      </c>
      <c r="V1740" t="str">
        <f>IFERROR(VLOOKUP(B1740,'Pre-Summary'!$Y$6:$AC$83, 5,FALSE),"")</f>
        <v/>
      </c>
      <c r="W1740" s="45" t="str">
        <f>IFERROR(VLOOKUP(B1740,'Pre-Summary'!$Y$6:$AD$83,6,FALSE),"")</f>
        <v/>
      </c>
      <c r="X1740" t="str">
        <f>IFERROR(VLOOKUP('Pre-Summary'!$DB$6:$DD$63,3,FALSE),"")</f>
        <v/>
      </c>
      <c r="Y1740" t="str">
        <f>IFERROR(VLOOKUP(B1740,'Pre-Summary'!$CR$6:$CT$36,3,FALSE),"")</f>
        <v/>
      </c>
      <c r="Z1740" s="45" t="str">
        <f>IFERROR(VLOOKUP(B1740,'Pre-Summary'!$BZ$6:$CB$63,2,FALSE),"")</f>
        <v/>
      </c>
      <c r="AA1740" s="45" t="str">
        <f>IFERROR(VLOOKUP(B1740,'Pre-Summary'!$CG$6:$CI$70,2,FALSE),"")</f>
        <v/>
      </c>
      <c r="AB1740" s="99">
        <f>IFERROR(VLOOKUP(B1740,'Pre-Summary'!$A$6:$P$178,9,FALSE),AB1741)</f>
        <v>0.31098350443305406</v>
      </c>
      <c r="AC1740" s="10">
        <f>IFERROR(VLOOKUP(Summary!B1740,'Pre-Summary'!$A$6:$P$184,5, FALSE)/100,AC1741)</f>
        <v>0.70126166666666667</v>
      </c>
      <c r="AD1740" s="10">
        <f>IFERROR(VLOOKUP(Summary!B1740,'Pre-Summary'!$A$6:$P$184,3, FALSE)/100,AD1741)</f>
        <v>0.29873833333333333</v>
      </c>
      <c r="AE1740" s="10">
        <f>IFERROR(VLOOKUP(Summary!B1740,'Pre-Summary'!$A$6:$P$184,7, FALSE)/100,AE1741)</f>
        <v>0</v>
      </c>
      <c r="AF1740" s="99">
        <f t="shared" si="82"/>
        <v>9.2902693808489853E-2</v>
      </c>
      <c r="AG1740" s="99">
        <f t="shared" si="83"/>
        <v>0</v>
      </c>
      <c r="AH1740" s="10" t="str">
        <f>IFERROR(VLOOKUP(B1740,'Pre-Summary'!$AZ$6:$BE$65,3,FALSE),"")</f>
        <v/>
      </c>
      <c r="AI1740" s="10" t="str">
        <f>IFERROR(VLOOKUP(B1740,'Pre-Summary'!$AZ$6:$BE$65,5,FALSE),"")</f>
        <v/>
      </c>
      <c r="AJ1740" s="10" t="str">
        <f>IFERROR(VLOOKUP(B1740,'Pre-Summary'!$AZ$6:$BE$65,4,FALSE),"")</f>
        <v/>
      </c>
      <c r="AK1740" s="10" t="str">
        <f>IFERROR(VLOOKUP(B1740,'Pre-Summary'!$AZ$6:$BE$65,6,FALSE),"")</f>
        <v/>
      </c>
      <c r="AL1740" s="10" t="str">
        <f>IFERROR(VLOOKUP(B1740,'Pre-Summary'!$BG$6:$BL$44,3,FALSE),"")</f>
        <v/>
      </c>
      <c r="AM1740" s="10" t="str">
        <f>IFERROR(VLOOKUP(B1740,'Pre-Summary'!$BG$6:$BL$44,4,FALSE),"")</f>
        <v/>
      </c>
    </row>
    <row r="1741" spans="2:39" ht="15" customHeight="1" x14ac:dyDescent="0.3">
      <c r="B1741">
        <v>173.8</v>
      </c>
      <c r="C1741" t="str">
        <f>IFERROR(VLOOKUP(B1741,'Pre-Summary'!$DI$6:$DM$23,4,FALSE),"")</f>
        <v/>
      </c>
      <c r="D1741" s="10" t="str">
        <f>IFERROR(VLOOKUP(B1741,'Pre-Summary'!$AT$6:$AX$14,5,FALSE),D1740)</f>
        <v>Wolfe v3: went back to modified wolfe + EDTA and switched CuSO4 to CUCl2</v>
      </c>
      <c r="E1741" s="10" t="str">
        <f>IFERROR(VLOOKUP(B1741,'Pre-Summary'!$AT$6:$AX$15,4,FALSE),"")</f>
        <v/>
      </c>
      <c r="F1741">
        <f>IFERROR(VLOOKUP(B1741,'Pre-Summary'!$AL$6:$AQ$13,6,FALSE),F1740)</f>
        <v>5.9405263157894746E-2</v>
      </c>
      <c r="G1741" t="str">
        <f>IFERROR(VLOOKUP(B1741,'Pre-Summary'!$AE$6:$AJ$85,3,FALSE),"")</f>
        <v/>
      </c>
      <c r="H1741" t="str">
        <f>IFERROR(VLOOKUP(B1741,'Pre-Summary'!$AE$6:$AJ$85,4,FALSE),"")</f>
        <v/>
      </c>
      <c r="I1741" t="str">
        <f>IFERROR(VLOOKUP(B1741,'Pre-Summary'!$AE$6:$AJ$85,5,FALSE),"")</f>
        <v/>
      </c>
      <c r="J1741" s="45" t="str">
        <f>IFERROR(VLOOKUP(B1741,'Pre-Summary'!$AE$6:$AJ$85,6, FALSE),"")</f>
        <v/>
      </c>
      <c r="K1741" s="45" t="str">
        <f>IFERROR(VLOOKUP(B1741,'Pre-Summary'!$DE$6:$DG$61,3,FALSE),"")</f>
        <v/>
      </c>
      <c r="L1741" s="45" t="str">
        <f>IFERROR(VLOOKUP(B1741,'Pre-Summary'!$CU$6:$CW$36,3,FALSE),"")</f>
        <v/>
      </c>
      <c r="M1741" s="45" t="str">
        <f>IFERROR(VLOOKUP(B1741,'Pre-Summary'!$BW$6:$BY$58,2,FALSE),"")</f>
        <v/>
      </c>
      <c r="N1741" s="45" t="str">
        <f>IFERROR(VLOOKUP(B1741,'Pre-Summary'!$CD$6:$CF$64,2,FALSE),"")</f>
        <v/>
      </c>
      <c r="O1741" s="99">
        <f>IFERROR(VLOOKUP(B1741,'Pre-Summary'!$BO$6:$BQ$48,3, FALSE),O1740)</f>
        <v>1.25</v>
      </c>
      <c r="P1741" s="99">
        <f>IFERROR(VLOOKUP(B1741,'Pre-Summary'!$BS$6:$BU$35,3,FALSE),P1740)</f>
        <v>0.33700000000000002</v>
      </c>
      <c r="Q1741" s="54">
        <f t="shared" si="81"/>
        <v>3.7091988130563798</v>
      </c>
      <c r="R1741" s="53">
        <f>IFERROR(VLOOKUP(B1741,'Pre-Summary'!$BG$6:$BM$44,7,FALSE),R1742)</f>
        <v>8.0894687007659741E-2</v>
      </c>
      <c r="S1741" s="53">
        <f>IFERROR(VLOOKUP(B1741,'Pre-Summary'!$BG$6:$BM$44,6,FALSE),S1742)</f>
        <v>6.1014931296205117E-2</v>
      </c>
      <c r="T1741" s="45" t="str">
        <f>IFERROR(VLOOKUP(B1741,'Pre-Summary'!$Y$6:$AC$83, 3,FALSE),"")</f>
        <v/>
      </c>
      <c r="U1741" s="45" t="str">
        <f>IFERROR(VLOOKUP(B1741,'Pre-Summary'!$Y$6:$AC$83, 4,FALSE),"")</f>
        <v/>
      </c>
      <c r="V1741" t="str">
        <f>IFERROR(VLOOKUP(B1741,'Pre-Summary'!$Y$6:$AC$83, 5,FALSE),"")</f>
        <v/>
      </c>
      <c r="W1741" s="45" t="str">
        <f>IFERROR(VLOOKUP(B1741,'Pre-Summary'!$Y$6:$AD$83,6,FALSE),"")</f>
        <v/>
      </c>
      <c r="X1741" t="str">
        <f>IFERROR(VLOOKUP('Pre-Summary'!$DB$6:$DD$63,3,FALSE),"")</f>
        <v/>
      </c>
      <c r="Y1741" t="str">
        <f>IFERROR(VLOOKUP(B1741,'Pre-Summary'!$CR$6:$CT$36,3,FALSE),"")</f>
        <v/>
      </c>
      <c r="Z1741" s="45" t="str">
        <f>IFERROR(VLOOKUP(B1741,'Pre-Summary'!$BZ$6:$CB$63,2,FALSE),"")</f>
        <v/>
      </c>
      <c r="AA1741" s="45" t="str">
        <f>IFERROR(VLOOKUP(B1741,'Pre-Summary'!$CG$6:$CI$70,2,FALSE),"")</f>
        <v/>
      </c>
      <c r="AB1741" s="99">
        <f>IFERROR(VLOOKUP(B1741,'Pre-Summary'!$A$6:$P$178,9,FALSE),AB1742)</f>
        <v>0.31098350443305406</v>
      </c>
      <c r="AC1741" s="10">
        <f>IFERROR(VLOOKUP(Summary!B1741,'Pre-Summary'!$A$6:$P$184,5, FALSE)/100,AC1742)</f>
        <v>0.70126166666666667</v>
      </c>
      <c r="AD1741" s="10">
        <f>IFERROR(VLOOKUP(Summary!B1741,'Pre-Summary'!$A$6:$P$184,3, FALSE)/100,AD1742)</f>
        <v>0.29873833333333333</v>
      </c>
      <c r="AE1741" s="10">
        <f>IFERROR(VLOOKUP(Summary!B1741,'Pre-Summary'!$A$6:$P$184,7, FALSE)/100,AE1742)</f>
        <v>0</v>
      </c>
      <c r="AF1741" s="99">
        <f t="shared" si="82"/>
        <v>9.2902693808489853E-2</v>
      </c>
      <c r="AG1741" s="99">
        <f t="shared" si="83"/>
        <v>0</v>
      </c>
      <c r="AH1741" s="10" t="str">
        <f>IFERROR(VLOOKUP(B1741,'Pre-Summary'!$AZ$6:$BE$65,3,FALSE),"")</f>
        <v/>
      </c>
      <c r="AI1741" s="10" t="str">
        <f>IFERROR(VLOOKUP(B1741,'Pre-Summary'!$AZ$6:$BE$65,5,FALSE),"")</f>
        <v/>
      </c>
      <c r="AJ1741" s="10" t="str">
        <f>IFERROR(VLOOKUP(B1741,'Pre-Summary'!$AZ$6:$BE$65,4,FALSE),"")</f>
        <v/>
      </c>
      <c r="AK1741" s="10" t="str">
        <f>IFERROR(VLOOKUP(B1741,'Pre-Summary'!$AZ$6:$BE$65,6,FALSE),"")</f>
        <v/>
      </c>
      <c r="AL1741" s="10" t="str">
        <f>IFERROR(VLOOKUP(B1741,'Pre-Summary'!$BG$6:$BL$44,3,FALSE),"")</f>
        <v/>
      </c>
      <c r="AM1741" s="10" t="str">
        <f>IFERROR(VLOOKUP(B1741,'Pre-Summary'!$BG$6:$BL$44,4,FALSE),"")</f>
        <v/>
      </c>
    </row>
    <row r="1742" spans="2:39" ht="15" customHeight="1" x14ac:dyDescent="0.3">
      <c r="B1742">
        <v>173.9</v>
      </c>
      <c r="C1742" t="str">
        <f>IFERROR(VLOOKUP(B1742,'Pre-Summary'!$DI$6:$DM$23,4,FALSE),"")</f>
        <v/>
      </c>
      <c r="D1742" s="10" t="str">
        <f>IFERROR(VLOOKUP(B1742,'Pre-Summary'!$AT$6:$AX$14,5,FALSE),D1741)</f>
        <v>Wolfe v3: went back to modified wolfe + EDTA and switched CuSO4 to CUCl2</v>
      </c>
      <c r="E1742" s="10" t="str">
        <f>IFERROR(VLOOKUP(B1742,'Pre-Summary'!$AT$6:$AX$15,4,FALSE),"")</f>
        <v/>
      </c>
      <c r="F1742">
        <f>IFERROR(VLOOKUP(B1742,'Pre-Summary'!$AL$6:$AQ$13,6,FALSE),F1741)</f>
        <v>5.9405263157894746E-2</v>
      </c>
      <c r="G1742" t="str">
        <f>IFERROR(VLOOKUP(B1742,'Pre-Summary'!$AE$6:$AJ$85,3,FALSE),"")</f>
        <v/>
      </c>
      <c r="H1742" t="str">
        <f>IFERROR(VLOOKUP(B1742,'Pre-Summary'!$AE$6:$AJ$85,4,FALSE),"")</f>
        <v/>
      </c>
      <c r="I1742" t="str">
        <f>IFERROR(VLOOKUP(B1742,'Pre-Summary'!$AE$6:$AJ$85,5,FALSE),"")</f>
        <v/>
      </c>
      <c r="J1742" s="45" t="str">
        <f>IFERROR(VLOOKUP(B1742,'Pre-Summary'!$AE$6:$AJ$85,6, FALSE),"")</f>
        <v/>
      </c>
      <c r="K1742" s="45" t="str">
        <f>IFERROR(VLOOKUP(B1742,'Pre-Summary'!$DE$6:$DG$61,3,FALSE),"")</f>
        <v/>
      </c>
      <c r="L1742" s="45" t="str">
        <f>IFERROR(VLOOKUP(B1742,'Pre-Summary'!$CU$6:$CW$36,3,FALSE),"")</f>
        <v/>
      </c>
      <c r="M1742" s="45" t="str">
        <f>IFERROR(VLOOKUP(B1742,'Pre-Summary'!$BW$6:$BY$58,2,FALSE),"")</f>
        <v/>
      </c>
      <c r="N1742" s="45" t="str">
        <f>IFERROR(VLOOKUP(B1742,'Pre-Summary'!$CD$6:$CF$64,2,FALSE),"")</f>
        <v/>
      </c>
      <c r="O1742" s="99">
        <f>IFERROR(VLOOKUP(B1742,'Pre-Summary'!$BO$6:$BQ$48,3, FALSE),O1741)</f>
        <v>1.25</v>
      </c>
      <c r="P1742" s="99">
        <f>IFERROR(VLOOKUP(B1742,'Pre-Summary'!$BS$6:$BU$35,3,FALSE),P1741)</f>
        <v>0.33700000000000002</v>
      </c>
      <c r="Q1742" s="54">
        <f t="shared" si="81"/>
        <v>3.7091988130563798</v>
      </c>
      <c r="R1742" s="53">
        <f>IFERROR(VLOOKUP(B1742,'Pre-Summary'!$BG$6:$BM$44,7,FALSE),R1743)</f>
        <v>8.0894687007659741E-2</v>
      </c>
      <c r="S1742" s="53">
        <f>IFERROR(VLOOKUP(B1742,'Pre-Summary'!$BG$6:$BM$44,6,FALSE),S1743)</f>
        <v>6.1014931296205117E-2</v>
      </c>
      <c r="T1742" s="45" t="str">
        <f>IFERROR(VLOOKUP(B1742,'Pre-Summary'!$Y$6:$AC$83, 3,FALSE),"")</f>
        <v/>
      </c>
      <c r="U1742" s="45" t="str">
        <f>IFERROR(VLOOKUP(B1742,'Pre-Summary'!$Y$6:$AC$83, 4,FALSE),"")</f>
        <v/>
      </c>
      <c r="V1742" t="str">
        <f>IFERROR(VLOOKUP(B1742,'Pre-Summary'!$Y$6:$AC$83, 5,FALSE),"")</f>
        <v/>
      </c>
      <c r="W1742" s="45" t="str">
        <f>IFERROR(VLOOKUP(B1742,'Pre-Summary'!$Y$6:$AD$83,6,FALSE),"")</f>
        <v/>
      </c>
      <c r="X1742" t="str">
        <f>IFERROR(VLOOKUP('Pre-Summary'!$DB$6:$DD$63,3,FALSE),"")</f>
        <v/>
      </c>
      <c r="Y1742">
        <f>IFERROR(VLOOKUP(B1742,'Pre-Summary'!$CR$6:$CT$36,3,FALSE),"")</f>
        <v>311.60000000000002</v>
      </c>
      <c r="Z1742" s="45">
        <f>IFERROR(VLOOKUP(B1742,'Pre-Summary'!$BZ$6:$CB$63,2,FALSE),"")</f>
        <v>69.173808593605557</v>
      </c>
      <c r="AA1742" s="45">
        <f>IFERROR(VLOOKUP(B1742,'Pre-Summary'!$CG$6:$CI$70,2,FALSE),"")</f>
        <v>251.77154700127167</v>
      </c>
      <c r="AB1742" s="99">
        <f>IFERROR(VLOOKUP(B1742,'Pre-Summary'!$A$6:$P$178,9,FALSE),AB1743)</f>
        <v>0.31098350443305406</v>
      </c>
      <c r="AC1742" s="10">
        <f>IFERROR(VLOOKUP(Summary!B1742,'Pre-Summary'!$A$6:$P$184,5, FALSE)/100,AC1743)</f>
        <v>0.70126166666666667</v>
      </c>
      <c r="AD1742" s="10">
        <f>IFERROR(VLOOKUP(Summary!B1742,'Pre-Summary'!$A$6:$P$184,3, FALSE)/100,AD1743)</f>
        <v>0.29873833333333333</v>
      </c>
      <c r="AE1742" s="10">
        <f>IFERROR(VLOOKUP(Summary!B1742,'Pre-Summary'!$A$6:$P$184,7, FALSE)/100,AE1743)</f>
        <v>0</v>
      </c>
      <c r="AF1742" s="99">
        <f t="shared" si="82"/>
        <v>9.2902693808489853E-2</v>
      </c>
      <c r="AG1742" s="99">
        <f t="shared" si="83"/>
        <v>0</v>
      </c>
      <c r="AH1742" s="10" t="str">
        <f>IFERROR(VLOOKUP(B1742,'Pre-Summary'!$AZ$6:$BE$65,3,FALSE),"")</f>
        <v/>
      </c>
      <c r="AI1742" s="10" t="str">
        <f>IFERROR(VLOOKUP(B1742,'Pre-Summary'!$AZ$6:$BE$65,5,FALSE),"")</f>
        <v/>
      </c>
      <c r="AJ1742" s="10" t="str">
        <f>IFERROR(VLOOKUP(B1742,'Pre-Summary'!$AZ$6:$BE$65,4,FALSE),"")</f>
        <v/>
      </c>
      <c r="AK1742" s="10" t="str">
        <f>IFERROR(VLOOKUP(B1742,'Pre-Summary'!$AZ$6:$BE$65,6,FALSE),"")</f>
        <v/>
      </c>
      <c r="AL1742" s="10" t="str">
        <f>IFERROR(VLOOKUP(B1742,'Pre-Summary'!$BG$6:$BL$44,3,FALSE),"")</f>
        <v/>
      </c>
      <c r="AM1742" s="10" t="str">
        <f>IFERROR(VLOOKUP(B1742,'Pre-Summary'!$BG$6:$BL$44,4,FALSE),"")</f>
        <v/>
      </c>
    </row>
    <row r="1743" spans="2:39" ht="15" customHeight="1" x14ac:dyDescent="0.3">
      <c r="B1743">
        <v>174</v>
      </c>
      <c r="C1743" t="str">
        <f>IFERROR(VLOOKUP(B1743,'Pre-Summary'!$DI$6:$DM$23,4,FALSE),"")</f>
        <v/>
      </c>
      <c r="D1743" s="10" t="str">
        <f>IFERROR(VLOOKUP(B1743,'Pre-Summary'!$AT$6:$AX$14,5,FALSE),D1742)</f>
        <v>Wolfe v3: went back to modified wolfe + EDTA and switched CuSO4 to CUCl2</v>
      </c>
      <c r="E1743" s="10" t="str">
        <f>IFERROR(VLOOKUP(B1743,'Pre-Summary'!$AT$6:$AX$15,4,FALSE),"")</f>
        <v/>
      </c>
      <c r="F1743">
        <f>IFERROR(VLOOKUP(B1743,'Pre-Summary'!$AL$6:$AQ$13,6,FALSE),F1742)</f>
        <v>5.9405263157894746E-2</v>
      </c>
      <c r="G1743" t="str">
        <f>IFERROR(VLOOKUP(B1743,'Pre-Summary'!$AE$6:$AJ$85,3,FALSE),"")</f>
        <v/>
      </c>
      <c r="H1743" t="str">
        <f>IFERROR(VLOOKUP(B1743,'Pre-Summary'!$AE$6:$AJ$85,4,FALSE),"")</f>
        <v/>
      </c>
      <c r="I1743" t="str">
        <f>IFERROR(VLOOKUP(B1743,'Pre-Summary'!$AE$6:$AJ$85,5,FALSE),"")</f>
        <v/>
      </c>
      <c r="J1743" s="45" t="str">
        <f>IFERROR(VLOOKUP(B1743,'Pre-Summary'!$AE$6:$AJ$85,6, FALSE),"")</f>
        <v/>
      </c>
      <c r="K1743" s="45" t="str">
        <f>IFERROR(VLOOKUP(B1743,'Pre-Summary'!$DE$6:$DG$61,3,FALSE),"")</f>
        <v/>
      </c>
      <c r="L1743" s="45" t="str">
        <f>IFERROR(VLOOKUP(B1743,'Pre-Summary'!$CU$6:$CW$36,3,FALSE),"")</f>
        <v/>
      </c>
      <c r="M1743" s="45" t="str">
        <f>IFERROR(VLOOKUP(B1743,'Pre-Summary'!$BW$6:$BY$58,2,FALSE),"")</f>
        <v/>
      </c>
      <c r="N1743" s="45" t="str">
        <f>IFERROR(VLOOKUP(B1743,'Pre-Summary'!$CD$6:$CF$64,2,FALSE),"")</f>
        <v/>
      </c>
      <c r="O1743" s="99">
        <f>IFERROR(VLOOKUP(B1743,'Pre-Summary'!$BO$6:$BQ$48,3, FALSE),O1742)</f>
        <v>1.25</v>
      </c>
      <c r="P1743" s="99">
        <f>IFERROR(VLOOKUP(B1743,'Pre-Summary'!$BS$6:$BU$35,3,FALSE),P1742)</f>
        <v>0.33700000000000002</v>
      </c>
      <c r="Q1743" s="54">
        <f t="shared" si="81"/>
        <v>3.7091988130563798</v>
      </c>
      <c r="R1743" s="53">
        <f>IFERROR(VLOOKUP(B1743,'Pre-Summary'!$BG$6:$BM$44,7,FALSE),R1744)</f>
        <v>8.0894687007659741E-2</v>
      </c>
      <c r="S1743" s="53">
        <f>IFERROR(VLOOKUP(B1743,'Pre-Summary'!$BG$6:$BM$44,6,FALSE),S1744)</f>
        <v>6.1014931296205117E-2</v>
      </c>
      <c r="T1743" s="45" t="str">
        <f>IFERROR(VLOOKUP(B1743,'Pre-Summary'!$Y$6:$AC$83, 3,FALSE),"")</f>
        <v/>
      </c>
      <c r="U1743" s="45" t="str">
        <f>IFERROR(VLOOKUP(B1743,'Pre-Summary'!$Y$6:$AC$83, 4,FALSE),"")</f>
        <v/>
      </c>
      <c r="V1743" t="str">
        <f>IFERROR(VLOOKUP(B1743,'Pre-Summary'!$Y$6:$AC$83, 5,FALSE),"")</f>
        <v/>
      </c>
      <c r="W1743" s="45" t="str">
        <f>IFERROR(VLOOKUP(B1743,'Pre-Summary'!$Y$6:$AD$83,6,FALSE),"")</f>
        <v/>
      </c>
      <c r="X1743" t="str">
        <f>IFERROR(VLOOKUP('Pre-Summary'!$DB$6:$DD$63,3,FALSE),"")</f>
        <v/>
      </c>
      <c r="Y1743" t="str">
        <f>IFERROR(VLOOKUP(B1743,'Pre-Summary'!$CR$6:$CT$36,3,FALSE),"")</f>
        <v/>
      </c>
      <c r="Z1743" s="45" t="str">
        <f>IFERROR(VLOOKUP(B1743,'Pre-Summary'!$BZ$6:$CB$63,2,FALSE),"")</f>
        <v/>
      </c>
      <c r="AA1743" s="45" t="str">
        <f>IFERROR(VLOOKUP(B1743,'Pre-Summary'!$CG$6:$CI$70,2,FALSE),"")</f>
        <v/>
      </c>
      <c r="AB1743" s="99">
        <f>IFERROR(VLOOKUP(B1743,'Pre-Summary'!$A$6:$P$178,9,FALSE),AB1744)</f>
        <v>0.34666474670289782</v>
      </c>
      <c r="AC1743" s="10">
        <f>IFERROR(VLOOKUP(Summary!B1743,'Pre-Summary'!$A$6:$P$184,5, FALSE)/100,AC1744)</f>
        <v>0.84628766666666666</v>
      </c>
      <c r="AD1743" s="10">
        <f>IFERROR(VLOOKUP(Summary!B1743,'Pre-Summary'!$A$6:$P$184,3, FALSE)/100,AD1744)</f>
        <v>0.14595033333333332</v>
      </c>
      <c r="AE1743" s="10">
        <f>IFERROR(VLOOKUP(Summary!B1743,'Pre-Summary'!$A$6:$P$184,7, FALSE)/100,AE1744)</f>
        <v>7.7619999999999989E-3</v>
      </c>
      <c r="AF1743" s="99">
        <f t="shared" si="82"/>
        <v>5.0595835336203501E-2</v>
      </c>
      <c r="AG1743" s="99">
        <f t="shared" si="83"/>
        <v>2.6908117639078927E-3</v>
      </c>
      <c r="AH1743" s="10">
        <f>IFERROR(VLOOKUP(B1743,'Pre-Summary'!$AZ$6:$BE$65,3,FALSE),"")</f>
        <v>562</v>
      </c>
      <c r="AI1743" s="10">
        <f>IFERROR(VLOOKUP(B1743,'Pre-Summary'!$AZ$6:$BE$65,5,FALSE),"")</f>
        <v>181</v>
      </c>
      <c r="AJ1743" s="10">
        <f>IFERROR(VLOOKUP(B1743,'Pre-Summary'!$AZ$6:$BE$65,4,FALSE),"")</f>
        <v>462</v>
      </c>
      <c r="AK1743" s="10">
        <f>IFERROR(VLOOKUP(B1743,'Pre-Summary'!$AZ$6:$BE$65,6,FALSE),"")</f>
        <v>149</v>
      </c>
      <c r="AL1743" s="10" t="str">
        <f>IFERROR(VLOOKUP(B1743,'Pre-Summary'!$BG$6:$BL$44,3,FALSE),"")</f>
        <v/>
      </c>
      <c r="AM1743" s="10" t="str">
        <f>IFERROR(VLOOKUP(B1743,'Pre-Summary'!$BG$6:$BL$44,4,FALSE),"")</f>
        <v/>
      </c>
    </row>
    <row r="1744" spans="2:39" ht="15" customHeight="1" x14ac:dyDescent="0.3">
      <c r="B1744">
        <v>174.1</v>
      </c>
      <c r="C1744" t="str">
        <f>IFERROR(VLOOKUP(B1744,'Pre-Summary'!$DI$6:$DM$23,4,FALSE),"")</f>
        <v/>
      </c>
      <c r="D1744" s="10" t="str">
        <f>IFERROR(VLOOKUP(B1744,'Pre-Summary'!$AT$6:$AX$14,5,FALSE),D1743)</f>
        <v>Wolfe v3: went back to modified wolfe + EDTA and switched CuSO4 to CUCl2</v>
      </c>
      <c r="E1744" s="10" t="str">
        <f>IFERROR(VLOOKUP(B1744,'Pre-Summary'!$AT$6:$AX$15,4,FALSE),"")</f>
        <v/>
      </c>
      <c r="F1744">
        <f>IFERROR(VLOOKUP(B1744,'Pre-Summary'!$AL$6:$AQ$13,6,FALSE),F1743)</f>
        <v>5.9405263157894746E-2</v>
      </c>
      <c r="G1744" t="str">
        <f>IFERROR(VLOOKUP(B1744,'Pre-Summary'!$AE$6:$AJ$85,3,FALSE),"")</f>
        <v/>
      </c>
      <c r="H1744" t="str">
        <f>IFERROR(VLOOKUP(B1744,'Pre-Summary'!$AE$6:$AJ$85,4,FALSE),"")</f>
        <v/>
      </c>
      <c r="I1744" t="str">
        <f>IFERROR(VLOOKUP(B1744,'Pre-Summary'!$AE$6:$AJ$85,5,FALSE),"")</f>
        <v/>
      </c>
      <c r="J1744" s="45" t="str">
        <f>IFERROR(VLOOKUP(B1744,'Pre-Summary'!$AE$6:$AJ$85,6, FALSE),"")</f>
        <v/>
      </c>
      <c r="K1744" s="45" t="str">
        <f>IFERROR(VLOOKUP(B1744,'Pre-Summary'!$DE$6:$DG$61,3,FALSE),"")</f>
        <v/>
      </c>
      <c r="L1744" s="45" t="str">
        <f>IFERROR(VLOOKUP(B1744,'Pre-Summary'!$CU$6:$CW$36,3,FALSE),"")</f>
        <v/>
      </c>
      <c r="M1744" s="45" t="str">
        <f>IFERROR(VLOOKUP(B1744,'Pre-Summary'!$BW$6:$BY$58,2,FALSE),"")</f>
        <v/>
      </c>
      <c r="N1744" s="45" t="str">
        <f>IFERROR(VLOOKUP(B1744,'Pre-Summary'!$CD$6:$CF$64,2,FALSE),"")</f>
        <v/>
      </c>
      <c r="O1744" s="99">
        <f>IFERROR(VLOOKUP(B1744,'Pre-Summary'!$BO$6:$BQ$48,3, FALSE),O1743)</f>
        <v>1.25</v>
      </c>
      <c r="P1744" s="99">
        <f>IFERROR(VLOOKUP(B1744,'Pre-Summary'!$BS$6:$BU$35,3,FALSE),P1743)</f>
        <v>0.33700000000000002</v>
      </c>
      <c r="Q1744" s="54">
        <f t="shared" si="81"/>
        <v>3.7091988130563798</v>
      </c>
      <c r="R1744" s="53">
        <f>IFERROR(VLOOKUP(B1744,'Pre-Summary'!$BG$6:$BM$44,7,FALSE),R1745)</f>
        <v>8.0894687007659741E-2</v>
      </c>
      <c r="S1744" s="53">
        <f>IFERROR(VLOOKUP(B1744,'Pre-Summary'!$BG$6:$BM$44,6,FALSE),S1745)</f>
        <v>6.1014931296205117E-2</v>
      </c>
      <c r="T1744" s="45" t="str">
        <f>IFERROR(VLOOKUP(B1744,'Pre-Summary'!$Y$6:$AC$83, 3,FALSE),"")</f>
        <v/>
      </c>
      <c r="U1744" s="45" t="str">
        <f>IFERROR(VLOOKUP(B1744,'Pre-Summary'!$Y$6:$AC$83, 4,FALSE),"")</f>
        <v/>
      </c>
      <c r="V1744" t="str">
        <f>IFERROR(VLOOKUP(B1744,'Pre-Summary'!$Y$6:$AC$83, 5,FALSE),"")</f>
        <v/>
      </c>
      <c r="W1744" s="45" t="str">
        <f>IFERROR(VLOOKUP(B1744,'Pre-Summary'!$Y$6:$AD$83,6,FALSE),"")</f>
        <v/>
      </c>
      <c r="X1744" t="str">
        <f>IFERROR(VLOOKUP('Pre-Summary'!$DB$6:$DD$63,3,FALSE),"")</f>
        <v/>
      </c>
      <c r="Y1744" t="str">
        <f>IFERROR(VLOOKUP(B1744,'Pre-Summary'!$CR$6:$CT$36,3,FALSE),"")</f>
        <v/>
      </c>
      <c r="Z1744" s="45" t="str">
        <f>IFERROR(VLOOKUP(B1744,'Pre-Summary'!$BZ$6:$CB$63,2,FALSE),"")</f>
        <v/>
      </c>
      <c r="AA1744" s="45" t="str">
        <f>IFERROR(VLOOKUP(B1744,'Pre-Summary'!$CG$6:$CI$70,2,FALSE),"")</f>
        <v/>
      </c>
      <c r="AB1744" s="99">
        <f>IFERROR(VLOOKUP(B1744,'Pre-Summary'!$A$6:$P$178,9,FALSE),AB1745)</f>
        <v>0.34666474670289782</v>
      </c>
      <c r="AC1744" s="10">
        <f>IFERROR(VLOOKUP(Summary!B1744,'Pre-Summary'!$A$6:$P$184,5, FALSE)/100,AC1745)</f>
        <v>0.84628766666666666</v>
      </c>
      <c r="AD1744" s="10">
        <f>IFERROR(VLOOKUP(Summary!B1744,'Pre-Summary'!$A$6:$P$184,3, FALSE)/100,AD1745)</f>
        <v>0.14595033333333332</v>
      </c>
      <c r="AE1744" s="10">
        <f>IFERROR(VLOOKUP(Summary!B1744,'Pre-Summary'!$A$6:$P$184,7, FALSE)/100,AE1745)</f>
        <v>7.7619999999999989E-3</v>
      </c>
      <c r="AF1744" s="99">
        <f t="shared" si="82"/>
        <v>5.0595835336203501E-2</v>
      </c>
      <c r="AG1744" s="99">
        <f t="shared" si="83"/>
        <v>2.6908117639078927E-3</v>
      </c>
      <c r="AH1744" s="10" t="str">
        <f>IFERROR(VLOOKUP(B1744,'Pre-Summary'!$AZ$6:$BE$65,3,FALSE),"")</f>
        <v/>
      </c>
      <c r="AI1744" s="10" t="str">
        <f>IFERROR(VLOOKUP(B1744,'Pre-Summary'!$AZ$6:$BE$65,5,FALSE),"")</f>
        <v/>
      </c>
      <c r="AJ1744" s="10" t="str">
        <f>IFERROR(VLOOKUP(B1744,'Pre-Summary'!$AZ$6:$BE$65,4,FALSE),"")</f>
        <v/>
      </c>
      <c r="AK1744" s="10" t="str">
        <f>IFERROR(VLOOKUP(B1744,'Pre-Summary'!$AZ$6:$BE$65,6,FALSE),"")</f>
        <v/>
      </c>
      <c r="AL1744" s="10" t="str">
        <f>IFERROR(VLOOKUP(B1744,'Pre-Summary'!$BG$6:$BL$44,3,FALSE),"")</f>
        <v/>
      </c>
      <c r="AM1744" s="10" t="str">
        <f>IFERROR(VLOOKUP(B1744,'Pre-Summary'!$BG$6:$BL$44,4,FALSE),"")</f>
        <v/>
      </c>
    </row>
    <row r="1745" spans="2:39" ht="15" customHeight="1" x14ac:dyDescent="0.3">
      <c r="B1745">
        <v>174.2</v>
      </c>
      <c r="C1745" t="str">
        <f>IFERROR(VLOOKUP(B1745,'Pre-Summary'!$DI$6:$DM$23,4,FALSE),"")</f>
        <v/>
      </c>
      <c r="D1745" s="10" t="str">
        <f>IFERROR(VLOOKUP(B1745,'Pre-Summary'!$AT$6:$AX$14,5,FALSE),D1744)</f>
        <v>Wolfe v3: went back to modified wolfe + EDTA and switched CuSO4 to CUCl2</v>
      </c>
      <c r="E1745" s="10" t="str">
        <f>IFERROR(VLOOKUP(B1745,'Pre-Summary'!$AT$6:$AX$15,4,FALSE),"")</f>
        <v/>
      </c>
      <c r="F1745">
        <f>IFERROR(VLOOKUP(B1745,'Pre-Summary'!$AL$6:$AQ$13,6,FALSE),F1744)</f>
        <v>5.9405263157894746E-2</v>
      </c>
      <c r="G1745" t="str">
        <f>IFERROR(VLOOKUP(B1745,'Pre-Summary'!$AE$6:$AJ$85,3,FALSE),"")</f>
        <v/>
      </c>
      <c r="H1745" t="str">
        <f>IFERROR(VLOOKUP(B1745,'Pre-Summary'!$AE$6:$AJ$85,4,FALSE),"")</f>
        <v/>
      </c>
      <c r="I1745" t="str">
        <f>IFERROR(VLOOKUP(B1745,'Pre-Summary'!$AE$6:$AJ$85,5,FALSE),"")</f>
        <v/>
      </c>
      <c r="J1745" s="45" t="str">
        <f>IFERROR(VLOOKUP(B1745,'Pre-Summary'!$AE$6:$AJ$85,6, FALSE),"")</f>
        <v/>
      </c>
      <c r="K1745" s="45" t="str">
        <f>IFERROR(VLOOKUP(B1745,'Pre-Summary'!$DE$6:$DG$61,3,FALSE),"")</f>
        <v/>
      </c>
      <c r="L1745" s="45" t="str">
        <f>IFERROR(VLOOKUP(B1745,'Pre-Summary'!$CU$6:$CW$36,3,FALSE),"")</f>
        <v/>
      </c>
      <c r="M1745" s="45" t="str">
        <f>IFERROR(VLOOKUP(B1745,'Pre-Summary'!$BW$6:$BY$58,2,FALSE),"")</f>
        <v/>
      </c>
      <c r="N1745" s="45" t="str">
        <f>IFERROR(VLOOKUP(B1745,'Pre-Summary'!$CD$6:$CF$64,2,FALSE),"")</f>
        <v/>
      </c>
      <c r="O1745" s="99">
        <f>IFERROR(VLOOKUP(B1745,'Pre-Summary'!$BO$6:$BQ$48,3, FALSE),O1744)</f>
        <v>1.25</v>
      </c>
      <c r="P1745" s="99">
        <f>IFERROR(VLOOKUP(B1745,'Pre-Summary'!$BS$6:$BU$35,3,FALSE),P1744)</f>
        <v>0.33700000000000002</v>
      </c>
      <c r="Q1745" s="54">
        <f t="shared" si="81"/>
        <v>3.7091988130563798</v>
      </c>
      <c r="R1745" s="53">
        <f>IFERROR(VLOOKUP(B1745,'Pre-Summary'!$BG$6:$BM$44,7,FALSE),R1746)</f>
        <v>8.0894687007659741E-2</v>
      </c>
      <c r="S1745" s="53">
        <f>IFERROR(VLOOKUP(B1745,'Pre-Summary'!$BG$6:$BM$44,6,FALSE),S1746)</f>
        <v>6.1014931296205117E-2</v>
      </c>
      <c r="T1745" s="45" t="str">
        <f>IFERROR(VLOOKUP(B1745,'Pre-Summary'!$Y$6:$AC$83, 3,FALSE),"")</f>
        <v/>
      </c>
      <c r="U1745" s="45" t="str">
        <f>IFERROR(VLOOKUP(B1745,'Pre-Summary'!$Y$6:$AC$83, 4,FALSE),"")</f>
        <v/>
      </c>
      <c r="V1745" t="str">
        <f>IFERROR(VLOOKUP(B1745,'Pre-Summary'!$Y$6:$AC$83, 5,FALSE),"")</f>
        <v/>
      </c>
      <c r="W1745" s="45" t="str">
        <f>IFERROR(VLOOKUP(B1745,'Pre-Summary'!$Y$6:$AD$83,6,FALSE),"")</f>
        <v/>
      </c>
      <c r="X1745" t="str">
        <f>IFERROR(VLOOKUP('Pre-Summary'!$DB$6:$DD$63,3,FALSE),"")</f>
        <v/>
      </c>
      <c r="Y1745" t="str">
        <f>IFERROR(VLOOKUP(B1745,'Pre-Summary'!$CR$6:$CT$36,3,FALSE),"")</f>
        <v/>
      </c>
      <c r="Z1745" s="45" t="str">
        <f>IFERROR(VLOOKUP(B1745,'Pre-Summary'!$BZ$6:$CB$63,2,FALSE),"")</f>
        <v/>
      </c>
      <c r="AA1745" s="45" t="str">
        <f>IFERROR(VLOOKUP(B1745,'Pre-Summary'!$CG$6:$CI$70,2,FALSE),"")</f>
        <v/>
      </c>
      <c r="AB1745" s="99">
        <f>IFERROR(VLOOKUP(B1745,'Pre-Summary'!$A$6:$P$178,9,FALSE),AB1746)</f>
        <v>0.34666474670289782</v>
      </c>
      <c r="AC1745" s="10">
        <f>IFERROR(VLOOKUP(Summary!B1745,'Pre-Summary'!$A$6:$P$184,5, FALSE)/100,AC1746)</f>
        <v>0.84628766666666666</v>
      </c>
      <c r="AD1745" s="10">
        <f>IFERROR(VLOOKUP(Summary!B1745,'Pre-Summary'!$A$6:$P$184,3, FALSE)/100,AD1746)</f>
        <v>0.14595033333333332</v>
      </c>
      <c r="AE1745" s="10">
        <f>IFERROR(VLOOKUP(Summary!B1745,'Pre-Summary'!$A$6:$P$184,7, FALSE)/100,AE1746)</f>
        <v>7.7619999999999989E-3</v>
      </c>
      <c r="AF1745" s="99">
        <f t="shared" si="82"/>
        <v>5.0595835336203501E-2</v>
      </c>
      <c r="AG1745" s="99">
        <f t="shared" si="83"/>
        <v>2.6908117639078927E-3</v>
      </c>
      <c r="AH1745" s="10" t="str">
        <f>IFERROR(VLOOKUP(B1745,'Pre-Summary'!$AZ$6:$BE$65,3,FALSE),"")</f>
        <v/>
      </c>
      <c r="AI1745" s="10" t="str">
        <f>IFERROR(VLOOKUP(B1745,'Pre-Summary'!$AZ$6:$BE$65,5,FALSE),"")</f>
        <v/>
      </c>
      <c r="AJ1745" s="10" t="str">
        <f>IFERROR(VLOOKUP(B1745,'Pre-Summary'!$AZ$6:$BE$65,4,FALSE),"")</f>
        <v/>
      </c>
      <c r="AK1745" s="10" t="str">
        <f>IFERROR(VLOOKUP(B1745,'Pre-Summary'!$AZ$6:$BE$65,6,FALSE),"")</f>
        <v/>
      </c>
      <c r="AL1745" s="10" t="str">
        <f>IFERROR(VLOOKUP(B1745,'Pre-Summary'!$BG$6:$BL$44,3,FALSE),"")</f>
        <v/>
      </c>
      <c r="AM1745" s="10" t="str">
        <f>IFERROR(VLOOKUP(B1745,'Pre-Summary'!$BG$6:$BL$44,4,FALSE),"")</f>
        <v/>
      </c>
    </row>
    <row r="1746" spans="2:39" ht="15" customHeight="1" x14ac:dyDescent="0.3">
      <c r="B1746">
        <v>174.3</v>
      </c>
      <c r="C1746" t="str">
        <f>IFERROR(VLOOKUP(B1746,'Pre-Summary'!$DI$6:$DM$23,4,FALSE),"")</f>
        <v/>
      </c>
      <c r="D1746" s="10" t="str">
        <f>IFERROR(VLOOKUP(B1746,'Pre-Summary'!$AT$6:$AX$14,5,FALSE),D1745)</f>
        <v>Wolfe v3: went back to modified wolfe + EDTA and switched CuSO4 to CUCl2</v>
      </c>
      <c r="E1746" s="10" t="str">
        <f>IFERROR(VLOOKUP(B1746,'Pre-Summary'!$AT$6:$AX$15,4,FALSE),"")</f>
        <v/>
      </c>
      <c r="F1746">
        <f>IFERROR(VLOOKUP(B1746,'Pre-Summary'!$AL$6:$AQ$13,6,FALSE),F1745)</f>
        <v>5.9405263157894746E-2</v>
      </c>
      <c r="G1746" t="str">
        <f>IFERROR(VLOOKUP(B1746,'Pre-Summary'!$AE$6:$AJ$85,3,FALSE),"")</f>
        <v/>
      </c>
      <c r="H1746" t="str">
        <f>IFERROR(VLOOKUP(B1746,'Pre-Summary'!$AE$6:$AJ$85,4,FALSE),"")</f>
        <v/>
      </c>
      <c r="I1746" t="str">
        <f>IFERROR(VLOOKUP(B1746,'Pre-Summary'!$AE$6:$AJ$85,5,FALSE),"")</f>
        <v/>
      </c>
      <c r="J1746" s="45" t="str">
        <f>IFERROR(VLOOKUP(B1746,'Pre-Summary'!$AE$6:$AJ$85,6, FALSE),"")</f>
        <v/>
      </c>
      <c r="K1746" s="45" t="str">
        <f>IFERROR(VLOOKUP(B1746,'Pre-Summary'!$DE$6:$DG$61,3,FALSE),"")</f>
        <v/>
      </c>
      <c r="L1746" s="45" t="str">
        <f>IFERROR(VLOOKUP(B1746,'Pre-Summary'!$CU$6:$CW$36,3,FALSE),"")</f>
        <v/>
      </c>
      <c r="M1746" s="45" t="str">
        <f>IFERROR(VLOOKUP(B1746,'Pre-Summary'!$BW$6:$BY$58,2,FALSE),"")</f>
        <v/>
      </c>
      <c r="N1746" s="45" t="str">
        <f>IFERROR(VLOOKUP(B1746,'Pre-Summary'!$CD$6:$CF$64,2,FALSE),"")</f>
        <v/>
      </c>
      <c r="O1746" s="99">
        <f>IFERROR(VLOOKUP(B1746,'Pre-Summary'!$BO$6:$BQ$48,3, FALSE),O1745)</f>
        <v>1.25</v>
      </c>
      <c r="P1746" s="99">
        <f>IFERROR(VLOOKUP(B1746,'Pre-Summary'!$BS$6:$BU$35,3,FALSE),P1745)</f>
        <v>0.33700000000000002</v>
      </c>
      <c r="Q1746" s="54">
        <f t="shared" si="81"/>
        <v>3.7091988130563798</v>
      </c>
      <c r="R1746" s="53">
        <f>IFERROR(VLOOKUP(B1746,'Pre-Summary'!$BG$6:$BM$44,7,FALSE),R1747)</f>
        <v>8.0894687007659741E-2</v>
      </c>
      <c r="S1746" s="53">
        <f>IFERROR(VLOOKUP(B1746,'Pre-Summary'!$BG$6:$BM$44,6,FALSE),S1747)</f>
        <v>6.1014931296205117E-2</v>
      </c>
      <c r="T1746" s="45" t="str">
        <f>IFERROR(VLOOKUP(B1746,'Pre-Summary'!$Y$6:$AC$83, 3,FALSE),"")</f>
        <v/>
      </c>
      <c r="U1746" s="45" t="str">
        <f>IFERROR(VLOOKUP(B1746,'Pre-Summary'!$Y$6:$AC$83, 4,FALSE),"")</f>
        <v/>
      </c>
      <c r="V1746" t="str">
        <f>IFERROR(VLOOKUP(B1746,'Pre-Summary'!$Y$6:$AC$83, 5,FALSE),"")</f>
        <v/>
      </c>
      <c r="W1746" s="45" t="str">
        <f>IFERROR(VLOOKUP(B1746,'Pre-Summary'!$Y$6:$AD$83,6,FALSE),"")</f>
        <v/>
      </c>
      <c r="X1746" t="str">
        <f>IFERROR(VLOOKUP('Pre-Summary'!$DB$6:$DD$63,3,FALSE),"")</f>
        <v/>
      </c>
      <c r="Y1746" t="str">
        <f>IFERROR(VLOOKUP(B1746,'Pre-Summary'!$CR$6:$CT$36,3,FALSE),"")</f>
        <v/>
      </c>
      <c r="Z1746" s="45" t="str">
        <f>IFERROR(VLOOKUP(B1746,'Pre-Summary'!$BZ$6:$CB$63,2,FALSE),"")</f>
        <v/>
      </c>
      <c r="AA1746" s="45" t="str">
        <f>IFERROR(VLOOKUP(B1746,'Pre-Summary'!$CG$6:$CI$70,2,FALSE),"")</f>
        <v/>
      </c>
      <c r="AB1746" s="99">
        <f>IFERROR(VLOOKUP(B1746,'Pre-Summary'!$A$6:$P$178,9,FALSE),AB1747)</f>
        <v>0.34666474670289782</v>
      </c>
      <c r="AC1746" s="10">
        <f>IFERROR(VLOOKUP(Summary!B1746,'Pre-Summary'!$A$6:$P$184,5, FALSE)/100,AC1747)</f>
        <v>0.84628766666666666</v>
      </c>
      <c r="AD1746" s="10">
        <f>IFERROR(VLOOKUP(Summary!B1746,'Pre-Summary'!$A$6:$P$184,3, FALSE)/100,AD1747)</f>
        <v>0.14595033333333332</v>
      </c>
      <c r="AE1746" s="10">
        <f>IFERROR(VLOOKUP(Summary!B1746,'Pre-Summary'!$A$6:$P$184,7, FALSE)/100,AE1747)</f>
        <v>7.7619999999999989E-3</v>
      </c>
      <c r="AF1746" s="99">
        <f t="shared" si="82"/>
        <v>5.0595835336203501E-2</v>
      </c>
      <c r="AG1746" s="99">
        <f t="shared" si="83"/>
        <v>2.6908117639078927E-3</v>
      </c>
      <c r="AH1746" s="10" t="str">
        <f>IFERROR(VLOOKUP(B1746,'Pre-Summary'!$AZ$6:$BE$65,3,FALSE),"")</f>
        <v/>
      </c>
      <c r="AI1746" s="10" t="str">
        <f>IFERROR(VLOOKUP(B1746,'Pre-Summary'!$AZ$6:$BE$65,5,FALSE),"")</f>
        <v/>
      </c>
      <c r="AJ1746" s="10" t="str">
        <f>IFERROR(VLOOKUP(B1746,'Pre-Summary'!$AZ$6:$BE$65,4,FALSE),"")</f>
        <v/>
      </c>
      <c r="AK1746" s="10" t="str">
        <f>IFERROR(VLOOKUP(B1746,'Pre-Summary'!$AZ$6:$BE$65,6,FALSE),"")</f>
        <v/>
      </c>
      <c r="AL1746" s="10" t="str">
        <f>IFERROR(VLOOKUP(B1746,'Pre-Summary'!$BG$6:$BL$44,3,FALSE),"")</f>
        <v/>
      </c>
      <c r="AM1746" s="10" t="str">
        <f>IFERROR(VLOOKUP(B1746,'Pre-Summary'!$BG$6:$BL$44,4,FALSE),"")</f>
        <v/>
      </c>
    </row>
    <row r="1747" spans="2:39" ht="15" customHeight="1" x14ac:dyDescent="0.3">
      <c r="B1747">
        <v>174.4</v>
      </c>
      <c r="C1747" t="str">
        <f>IFERROR(VLOOKUP(B1747,'Pre-Summary'!$DI$6:$DM$23,4,FALSE),"")</f>
        <v/>
      </c>
      <c r="D1747" s="10" t="str">
        <f>IFERROR(VLOOKUP(B1747,'Pre-Summary'!$AT$6:$AX$14,5,FALSE),D1746)</f>
        <v>Wolfe v3: went back to modified wolfe + EDTA and switched CuSO4 to CUCl2</v>
      </c>
      <c r="E1747" s="10" t="str">
        <f>IFERROR(VLOOKUP(B1747,'Pre-Summary'!$AT$6:$AX$15,4,FALSE),"")</f>
        <v/>
      </c>
      <c r="F1747">
        <f>IFERROR(VLOOKUP(B1747,'Pre-Summary'!$AL$6:$AQ$13,6,FALSE),F1746)</f>
        <v>5.9405263157894746E-2</v>
      </c>
      <c r="G1747" t="str">
        <f>IFERROR(VLOOKUP(B1747,'Pre-Summary'!$AE$6:$AJ$85,3,FALSE),"")</f>
        <v/>
      </c>
      <c r="H1747" t="str">
        <f>IFERROR(VLOOKUP(B1747,'Pre-Summary'!$AE$6:$AJ$85,4,FALSE),"")</f>
        <v/>
      </c>
      <c r="I1747" t="str">
        <f>IFERROR(VLOOKUP(B1747,'Pre-Summary'!$AE$6:$AJ$85,5,FALSE),"")</f>
        <v/>
      </c>
      <c r="J1747" s="45" t="str">
        <f>IFERROR(VLOOKUP(B1747,'Pre-Summary'!$AE$6:$AJ$85,6, FALSE),"")</f>
        <v/>
      </c>
      <c r="K1747" s="45" t="str">
        <f>IFERROR(VLOOKUP(B1747,'Pre-Summary'!$DE$6:$DG$61,3,FALSE),"")</f>
        <v/>
      </c>
      <c r="L1747" s="45" t="str">
        <f>IFERROR(VLOOKUP(B1747,'Pre-Summary'!$CU$6:$CW$36,3,FALSE),"")</f>
        <v/>
      </c>
      <c r="M1747" s="45" t="str">
        <f>IFERROR(VLOOKUP(B1747,'Pre-Summary'!$BW$6:$BY$58,2,FALSE),"")</f>
        <v/>
      </c>
      <c r="N1747" s="45" t="str">
        <f>IFERROR(VLOOKUP(B1747,'Pre-Summary'!$CD$6:$CF$64,2,FALSE),"")</f>
        <v/>
      </c>
      <c r="O1747" s="99">
        <f>IFERROR(VLOOKUP(B1747,'Pre-Summary'!$BO$6:$BQ$48,3, FALSE),O1746)</f>
        <v>1.25</v>
      </c>
      <c r="P1747" s="99">
        <f>IFERROR(VLOOKUP(B1747,'Pre-Summary'!$BS$6:$BU$35,3,FALSE),P1746)</f>
        <v>0.33700000000000002</v>
      </c>
      <c r="Q1747" s="54">
        <f t="shared" si="81"/>
        <v>3.7091988130563798</v>
      </c>
      <c r="R1747" s="53">
        <f>IFERROR(VLOOKUP(B1747,'Pre-Summary'!$BG$6:$BM$44,7,FALSE),R1748)</f>
        <v>8.0894687007659741E-2</v>
      </c>
      <c r="S1747" s="53">
        <f>IFERROR(VLOOKUP(B1747,'Pre-Summary'!$BG$6:$BM$44,6,FALSE),S1748)</f>
        <v>6.1014931296205117E-2</v>
      </c>
      <c r="T1747" s="45" t="str">
        <f>IFERROR(VLOOKUP(B1747,'Pre-Summary'!$Y$6:$AC$83, 3,FALSE),"")</f>
        <v/>
      </c>
      <c r="U1747" s="45" t="str">
        <f>IFERROR(VLOOKUP(B1747,'Pre-Summary'!$Y$6:$AC$83, 4,FALSE),"")</f>
        <v/>
      </c>
      <c r="V1747" t="str">
        <f>IFERROR(VLOOKUP(B1747,'Pre-Summary'!$Y$6:$AC$83, 5,FALSE),"")</f>
        <v/>
      </c>
      <c r="W1747" s="45" t="str">
        <f>IFERROR(VLOOKUP(B1747,'Pre-Summary'!$Y$6:$AD$83,6,FALSE),"")</f>
        <v/>
      </c>
      <c r="X1747" t="str">
        <f>IFERROR(VLOOKUP('Pre-Summary'!$DB$6:$DD$63,3,FALSE),"")</f>
        <v/>
      </c>
      <c r="Y1747" t="str">
        <f>IFERROR(VLOOKUP(B1747,'Pre-Summary'!$CR$6:$CT$36,3,FALSE),"")</f>
        <v/>
      </c>
      <c r="Z1747" s="45" t="str">
        <f>IFERROR(VLOOKUP(B1747,'Pre-Summary'!$BZ$6:$CB$63,2,FALSE),"")</f>
        <v/>
      </c>
      <c r="AA1747" s="45" t="str">
        <f>IFERROR(VLOOKUP(B1747,'Pre-Summary'!$CG$6:$CI$70,2,FALSE),"")</f>
        <v/>
      </c>
      <c r="AB1747" s="99">
        <f>IFERROR(VLOOKUP(B1747,'Pre-Summary'!$A$6:$P$178,9,FALSE),AB1748)</f>
        <v>0.34666474670289782</v>
      </c>
      <c r="AC1747" s="10">
        <f>IFERROR(VLOOKUP(Summary!B1747,'Pre-Summary'!$A$6:$P$184,5, FALSE)/100,AC1748)</f>
        <v>0.84628766666666666</v>
      </c>
      <c r="AD1747" s="10">
        <f>IFERROR(VLOOKUP(Summary!B1747,'Pre-Summary'!$A$6:$P$184,3, FALSE)/100,AD1748)</f>
        <v>0.14595033333333332</v>
      </c>
      <c r="AE1747" s="10">
        <f>IFERROR(VLOOKUP(Summary!B1747,'Pre-Summary'!$A$6:$P$184,7, FALSE)/100,AE1748)</f>
        <v>7.7619999999999989E-3</v>
      </c>
      <c r="AF1747" s="99">
        <f t="shared" si="82"/>
        <v>5.0595835336203501E-2</v>
      </c>
      <c r="AG1747" s="99">
        <f t="shared" si="83"/>
        <v>2.6908117639078927E-3</v>
      </c>
      <c r="AH1747" s="10" t="str">
        <f>IFERROR(VLOOKUP(B1747,'Pre-Summary'!$AZ$6:$BE$65,3,FALSE),"")</f>
        <v/>
      </c>
      <c r="AI1747" s="10" t="str">
        <f>IFERROR(VLOOKUP(B1747,'Pre-Summary'!$AZ$6:$BE$65,5,FALSE),"")</f>
        <v/>
      </c>
      <c r="AJ1747" s="10" t="str">
        <f>IFERROR(VLOOKUP(B1747,'Pre-Summary'!$AZ$6:$BE$65,4,FALSE),"")</f>
        <v/>
      </c>
      <c r="AK1747" s="10" t="str">
        <f>IFERROR(VLOOKUP(B1747,'Pre-Summary'!$AZ$6:$BE$65,6,FALSE),"")</f>
        <v/>
      </c>
      <c r="AL1747" s="10" t="str">
        <f>IFERROR(VLOOKUP(B1747,'Pre-Summary'!$BG$6:$BL$44,3,FALSE),"")</f>
        <v/>
      </c>
      <c r="AM1747" s="10" t="str">
        <f>IFERROR(VLOOKUP(B1747,'Pre-Summary'!$BG$6:$BL$44,4,FALSE),"")</f>
        <v/>
      </c>
    </row>
    <row r="1748" spans="2:39" ht="15" customHeight="1" x14ac:dyDescent="0.3">
      <c r="B1748">
        <v>174.5</v>
      </c>
      <c r="C1748" t="str">
        <f>IFERROR(VLOOKUP(B1748,'Pre-Summary'!$DI$6:$DM$23,4,FALSE),"")</f>
        <v/>
      </c>
      <c r="D1748" s="10" t="str">
        <f>IFERROR(VLOOKUP(B1748,'Pre-Summary'!$AT$6:$AX$14,5,FALSE),D1747)</f>
        <v>Wolfe v3: went back to modified wolfe + EDTA and switched CuSO4 to CUCl2</v>
      </c>
      <c r="E1748" s="10" t="str">
        <f>IFERROR(VLOOKUP(B1748,'Pre-Summary'!$AT$6:$AX$15,4,FALSE),"")</f>
        <v/>
      </c>
      <c r="F1748">
        <f>IFERROR(VLOOKUP(B1748,'Pre-Summary'!$AL$6:$AQ$13,6,FALSE),F1747)</f>
        <v>5.9405263157894746E-2</v>
      </c>
      <c r="G1748" t="str">
        <f>IFERROR(VLOOKUP(B1748,'Pre-Summary'!$AE$6:$AJ$85,3,FALSE),"")</f>
        <v/>
      </c>
      <c r="H1748" t="str">
        <f>IFERROR(VLOOKUP(B1748,'Pre-Summary'!$AE$6:$AJ$85,4,FALSE),"")</f>
        <v/>
      </c>
      <c r="I1748" t="str">
        <f>IFERROR(VLOOKUP(B1748,'Pre-Summary'!$AE$6:$AJ$85,5,FALSE),"")</f>
        <v/>
      </c>
      <c r="J1748" s="45" t="str">
        <f>IFERROR(VLOOKUP(B1748,'Pre-Summary'!$AE$6:$AJ$85,6, FALSE),"")</f>
        <v/>
      </c>
      <c r="K1748" s="45" t="str">
        <f>IFERROR(VLOOKUP(B1748,'Pre-Summary'!$DE$6:$DG$61,3,FALSE),"")</f>
        <v/>
      </c>
      <c r="L1748" s="45" t="str">
        <f>IFERROR(VLOOKUP(B1748,'Pre-Summary'!$CU$6:$CW$36,3,FALSE),"")</f>
        <v/>
      </c>
      <c r="M1748" s="45" t="str">
        <f>IFERROR(VLOOKUP(B1748,'Pre-Summary'!$BW$6:$BY$58,2,FALSE),"")</f>
        <v/>
      </c>
      <c r="N1748" s="45" t="str">
        <f>IFERROR(VLOOKUP(B1748,'Pre-Summary'!$CD$6:$CF$64,2,FALSE),"")</f>
        <v/>
      </c>
      <c r="O1748" s="99">
        <f>IFERROR(VLOOKUP(B1748,'Pre-Summary'!$BO$6:$BQ$48,3, FALSE),O1747)</f>
        <v>1.25</v>
      </c>
      <c r="P1748" s="99">
        <f>IFERROR(VLOOKUP(B1748,'Pre-Summary'!$BS$6:$BU$35,3,FALSE),P1747)</f>
        <v>0.33700000000000002</v>
      </c>
      <c r="Q1748" s="54">
        <f t="shared" si="81"/>
        <v>3.7091988130563798</v>
      </c>
      <c r="R1748" s="53">
        <f>IFERROR(VLOOKUP(B1748,'Pre-Summary'!$BG$6:$BM$44,7,FALSE),R1749)</f>
        <v>8.0894687007659741E-2</v>
      </c>
      <c r="S1748" s="53">
        <f>IFERROR(VLOOKUP(B1748,'Pre-Summary'!$BG$6:$BM$44,6,FALSE),S1749)</f>
        <v>6.1014931296205117E-2</v>
      </c>
      <c r="T1748" s="45" t="str">
        <f>IFERROR(VLOOKUP(B1748,'Pre-Summary'!$Y$6:$AC$83, 3,FALSE),"")</f>
        <v/>
      </c>
      <c r="U1748" s="45" t="str">
        <f>IFERROR(VLOOKUP(B1748,'Pre-Summary'!$Y$6:$AC$83, 4,FALSE),"")</f>
        <v/>
      </c>
      <c r="V1748" t="str">
        <f>IFERROR(VLOOKUP(B1748,'Pre-Summary'!$Y$6:$AC$83, 5,FALSE),"")</f>
        <v/>
      </c>
      <c r="W1748" s="45" t="str">
        <f>IFERROR(VLOOKUP(B1748,'Pre-Summary'!$Y$6:$AD$83,6,FALSE),"")</f>
        <v/>
      </c>
      <c r="X1748" t="str">
        <f>IFERROR(VLOOKUP('Pre-Summary'!$DB$6:$DD$63,3,FALSE),"")</f>
        <v/>
      </c>
      <c r="Y1748" t="str">
        <f>IFERROR(VLOOKUP(B1748,'Pre-Summary'!$CR$6:$CT$36,3,FALSE),"")</f>
        <v/>
      </c>
      <c r="Z1748" s="45" t="str">
        <f>IFERROR(VLOOKUP(B1748,'Pre-Summary'!$BZ$6:$CB$63,2,FALSE),"")</f>
        <v/>
      </c>
      <c r="AA1748" s="45" t="str">
        <f>IFERROR(VLOOKUP(B1748,'Pre-Summary'!$CG$6:$CI$70,2,FALSE),"")</f>
        <v/>
      </c>
      <c r="AB1748" s="99">
        <f>IFERROR(VLOOKUP(B1748,'Pre-Summary'!$A$6:$P$178,9,FALSE),AB1749)</f>
        <v>0.34666474670289782</v>
      </c>
      <c r="AC1748" s="10">
        <f>IFERROR(VLOOKUP(Summary!B1748,'Pre-Summary'!$A$6:$P$184,5, FALSE)/100,AC1749)</f>
        <v>0.84628766666666666</v>
      </c>
      <c r="AD1748" s="10">
        <f>IFERROR(VLOOKUP(Summary!B1748,'Pre-Summary'!$A$6:$P$184,3, FALSE)/100,AD1749)</f>
        <v>0.14595033333333332</v>
      </c>
      <c r="AE1748" s="10">
        <f>IFERROR(VLOOKUP(Summary!B1748,'Pre-Summary'!$A$6:$P$184,7, FALSE)/100,AE1749)</f>
        <v>7.7619999999999989E-3</v>
      </c>
      <c r="AF1748" s="99">
        <f t="shared" si="82"/>
        <v>5.0595835336203501E-2</v>
      </c>
      <c r="AG1748" s="99">
        <f t="shared" si="83"/>
        <v>2.6908117639078927E-3</v>
      </c>
      <c r="AH1748" s="10" t="str">
        <f>IFERROR(VLOOKUP(B1748,'Pre-Summary'!$AZ$6:$BE$65,3,FALSE),"")</f>
        <v/>
      </c>
      <c r="AI1748" s="10" t="str">
        <f>IFERROR(VLOOKUP(B1748,'Pre-Summary'!$AZ$6:$BE$65,5,FALSE),"")</f>
        <v/>
      </c>
      <c r="AJ1748" s="10" t="str">
        <f>IFERROR(VLOOKUP(B1748,'Pre-Summary'!$AZ$6:$BE$65,4,FALSE),"")</f>
        <v/>
      </c>
      <c r="AK1748" s="10" t="str">
        <f>IFERROR(VLOOKUP(B1748,'Pre-Summary'!$AZ$6:$BE$65,6,FALSE),"")</f>
        <v/>
      </c>
      <c r="AL1748" s="10" t="str">
        <f>IFERROR(VLOOKUP(B1748,'Pre-Summary'!$BG$6:$BL$44,3,FALSE),"")</f>
        <v/>
      </c>
      <c r="AM1748" s="10" t="str">
        <f>IFERROR(VLOOKUP(B1748,'Pre-Summary'!$BG$6:$BL$44,4,FALSE),"")</f>
        <v/>
      </c>
    </row>
    <row r="1749" spans="2:39" ht="15" customHeight="1" x14ac:dyDescent="0.3">
      <c r="B1749">
        <v>174.6</v>
      </c>
      <c r="C1749" t="str">
        <f>IFERROR(VLOOKUP(B1749,'Pre-Summary'!$DI$6:$DM$23,4,FALSE),"")</f>
        <v/>
      </c>
      <c r="D1749" s="10" t="str">
        <f>IFERROR(VLOOKUP(B1749,'Pre-Summary'!$AT$6:$AX$14,5,FALSE),D1748)</f>
        <v>Wolfe v3: went back to modified wolfe + EDTA and switched CuSO4 to CUCl2</v>
      </c>
      <c r="E1749" s="10" t="str">
        <f>IFERROR(VLOOKUP(B1749,'Pre-Summary'!$AT$6:$AX$15,4,FALSE),"")</f>
        <v/>
      </c>
      <c r="F1749">
        <f>IFERROR(VLOOKUP(B1749,'Pre-Summary'!$AL$6:$AQ$13,6,FALSE),F1748)</f>
        <v>5.9405263157894746E-2</v>
      </c>
      <c r="G1749" t="str">
        <f>IFERROR(VLOOKUP(B1749,'Pre-Summary'!$AE$6:$AJ$85,3,FALSE),"")</f>
        <v/>
      </c>
      <c r="H1749" t="str">
        <f>IFERROR(VLOOKUP(B1749,'Pre-Summary'!$AE$6:$AJ$85,4,FALSE),"")</f>
        <v/>
      </c>
      <c r="I1749" t="str">
        <f>IFERROR(VLOOKUP(B1749,'Pre-Summary'!$AE$6:$AJ$85,5,FALSE),"")</f>
        <v/>
      </c>
      <c r="J1749" s="45" t="str">
        <f>IFERROR(VLOOKUP(B1749,'Pre-Summary'!$AE$6:$AJ$85,6, FALSE),"")</f>
        <v/>
      </c>
      <c r="K1749" s="45" t="str">
        <f>IFERROR(VLOOKUP(B1749,'Pre-Summary'!$DE$6:$DG$61,3,FALSE),"")</f>
        <v/>
      </c>
      <c r="L1749" s="45" t="str">
        <f>IFERROR(VLOOKUP(B1749,'Pre-Summary'!$CU$6:$CW$36,3,FALSE),"")</f>
        <v/>
      </c>
      <c r="M1749" s="45" t="str">
        <f>IFERROR(VLOOKUP(B1749,'Pre-Summary'!$BW$6:$BY$58,2,FALSE),"")</f>
        <v/>
      </c>
      <c r="N1749" s="45" t="str">
        <f>IFERROR(VLOOKUP(B1749,'Pre-Summary'!$CD$6:$CF$64,2,FALSE),"")</f>
        <v/>
      </c>
      <c r="O1749" s="99">
        <f>IFERROR(VLOOKUP(B1749,'Pre-Summary'!$BO$6:$BQ$48,3, FALSE),O1748)</f>
        <v>1.25</v>
      </c>
      <c r="P1749" s="99">
        <f>IFERROR(VLOOKUP(B1749,'Pre-Summary'!$BS$6:$BU$35,3,FALSE),P1748)</f>
        <v>0.33700000000000002</v>
      </c>
      <c r="Q1749" s="54">
        <f t="shared" si="81"/>
        <v>3.7091988130563798</v>
      </c>
      <c r="R1749" s="53">
        <f>IFERROR(VLOOKUP(B1749,'Pre-Summary'!$BG$6:$BM$44,7,FALSE),R1750)</f>
        <v>8.0894687007659741E-2</v>
      </c>
      <c r="S1749" s="53">
        <f>IFERROR(VLOOKUP(B1749,'Pre-Summary'!$BG$6:$BM$44,6,FALSE),S1750)</f>
        <v>6.1014931296205117E-2</v>
      </c>
      <c r="T1749" s="45" t="str">
        <f>IFERROR(VLOOKUP(B1749,'Pre-Summary'!$Y$6:$AC$83, 3,FALSE),"")</f>
        <v/>
      </c>
      <c r="U1749" s="45" t="str">
        <f>IFERROR(VLOOKUP(B1749,'Pre-Summary'!$Y$6:$AC$83, 4,FALSE),"")</f>
        <v/>
      </c>
      <c r="V1749" t="str">
        <f>IFERROR(VLOOKUP(B1749,'Pre-Summary'!$Y$6:$AC$83, 5,FALSE),"")</f>
        <v/>
      </c>
      <c r="W1749" s="45" t="str">
        <f>IFERROR(VLOOKUP(B1749,'Pre-Summary'!$Y$6:$AD$83,6,FALSE),"")</f>
        <v/>
      </c>
      <c r="X1749" t="str">
        <f>IFERROR(VLOOKUP('Pre-Summary'!$DB$6:$DD$63,3,FALSE),"")</f>
        <v/>
      </c>
      <c r="Y1749" t="str">
        <f>IFERROR(VLOOKUP(B1749,'Pre-Summary'!$CR$6:$CT$36,3,FALSE),"")</f>
        <v/>
      </c>
      <c r="Z1749" s="45" t="str">
        <f>IFERROR(VLOOKUP(B1749,'Pre-Summary'!$BZ$6:$CB$63,2,FALSE),"")</f>
        <v/>
      </c>
      <c r="AA1749" s="45" t="str">
        <f>IFERROR(VLOOKUP(B1749,'Pre-Summary'!$CG$6:$CI$70,2,FALSE),"")</f>
        <v/>
      </c>
      <c r="AB1749" s="99">
        <f>IFERROR(VLOOKUP(B1749,'Pre-Summary'!$A$6:$P$178,9,FALSE),AB1750)</f>
        <v>0.34666474670289782</v>
      </c>
      <c r="AC1749" s="10">
        <f>IFERROR(VLOOKUP(Summary!B1749,'Pre-Summary'!$A$6:$P$184,5, FALSE)/100,AC1750)</f>
        <v>0.84628766666666666</v>
      </c>
      <c r="AD1749" s="10">
        <f>IFERROR(VLOOKUP(Summary!B1749,'Pre-Summary'!$A$6:$P$184,3, FALSE)/100,AD1750)</f>
        <v>0.14595033333333332</v>
      </c>
      <c r="AE1749" s="10">
        <f>IFERROR(VLOOKUP(Summary!B1749,'Pre-Summary'!$A$6:$P$184,7, FALSE)/100,AE1750)</f>
        <v>7.7619999999999989E-3</v>
      </c>
      <c r="AF1749" s="99">
        <f t="shared" si="82"/>
        <v>5.0595835336203501E-2</v>
      </c>
      <c r="AG1749" s="99">
        <f t="shared" si="83"/>
        <v>2.6908117639078927E-3</v>
      </c>
      <c r="AH1749" s="10" t="str">
        <f>IFERROR(VLOOKUP(B1749,'Pre-Summary'!$AZ$6:$BE$65,3,FALSE),"")</f>
        <v/>
      </c>
      <c r="AI1749" s="10" t="str">
        <f>IFERROR(VLOOKUP(B1749,'Pre-Summary'!$AZ$6:$BE$65,5,FALSE),"")</f>
        <v/>
      </c>
      <c r="AJ1749" s="10" t="str">
        <f>IFERROR(VLOOKUP(B1749,'Pre-Summary'!$AZ$6:$BE$65,4,FALSE),"")</f>
        <v/>
      </c>
      <c r="AK1749" s="10" t="str">
        <f>IFERROR(VLOOKUP(B1749,'Pre-Summary'!$AZ$6:$BE$65,6,FALSE),"")</f>
        <v/>
      </c>
      <c r="AL1749" s="10" t="str">
        <f>IFERROR(VLOOKUP(B1749,'Pre-Summary'!$BG$6:$BL$44,3,FALSE),"")</f>
        <v/>
      </c>
      <c r="AM1749" s="10" t="str">
        <f>IFERROR(VLOOKUP(B1749,'Pre-Summary'!$BG$6:$BL$44,4,FALSE),"")</f>
        <v/>
      </c>
    </row>
    <row r="1750" spans="2:39" ht="15" customHeight="1" x14ac:dyDescent="0.3">
      <c r="B1750">
        <v>174.7</v>
      </c>
      <c r="C1750" t="str">
        <f>IFERROR(VLOOKUP(B1750,'Pre-Summary'!$DI$6:$DM$23,4,FALSE),"")</f>
        <v/>
      </c>
      <c r="D1750" s="10" t="str">
        <f>IFERROR(VLOOKUP(B1750,'Pre-Summary'!$AT$6:$AX$14,5,FALSE),D1749)</f>
        <v>Wolfe v3: went back to modified wolfe + EDTA and switched CuSO4 to CUCl2</v>
      </c>
      <c r="E1750" s="10" t="str">
        <f>IFERROR(VLOOKUP(B1750,'Pre-Summary'!$AT$6:$AX$15,4,FALSE),"")</f>
        <v/>
      </c>
      <c r="F1750">
        <f>IFERROR(VLOOKUP(B1750,'Pre-Summary'!$AL$6:$AQ$13,6,FALSE),F1749)</f>
        <v>5.9405263157894746E-2</v>
      </c>
      <c r="G1750" t="str">
        <f>IFERROR(VLOOKUP(B1750,'Pre-Summary'!$AE$6:$AJ$85,3,FALSE),"")</f>
        <v/>
      </c>
      <c r="H1750" t="str">
        <f>IFERROR(VLOOKUP(B1750,'Pre-Summary'!$AE$6:$AJ$85,4,FALSE),"")</f>
        <v/>
      </c>
      <c r="I1750" t="str">
        <f>IFERROR(VLOOKUP(B1750,'Pre-Summary'!$AE$6:$AJ$85,5,FALSE),"")</f>
        <v/>
      </c>
      <c r="J1750" s="45" t="str">
        <f>IFERROR(VLOOKUP(B1750,'Pre-Summary'!$AE$6:$AJ$85,6, FALSE),"")</f>
        <v/>
      </c>
      <c r="K1750" s="45" t="str">
        <f>IFERROR(VLOOKUP(B1750,'Pre-Summary'!$DE$6:$DG$61,3,FALSE),"")</f>
        <v/>
      </c>
      <c r="L1750" s="45" t="str">
        <f>IFERROR(VLOOKUP(B1750,'Pre-Summary'!$CU$6:$CW$36,3,FALSE),"")</f>
        <v/>
      </c>
      <c r="M1750" s="45" t="str">
        <f>IFERROR(VLOOKUP(B1750,'Pre-Summary'!$BW$6:$BY$58,2,FALSE),"")</f>
        <v/>
      </c>
      <c r="N1750" s="45" t="str">
        <f>IFERROR(VLOOKUP(B1750,'Pre-Summary'!$CD$6:$CF$64,2,FALSE),"")</f>
        <v/>
      </c>
      <c r="O1750" s="99">
        <f>IFERROR(VLOOKUP(B1750,'Pre-Summary'!$BO$6:$BQ$48,3, FALSE),O1749)</f>
        <v>1.25</v>
      </c>
      <c r="P1750" s="99">
        <f>IFERROR(VLOOKUP(B1750,'Pre-Summary'!$BS$6:$BU$35,3,FALSE),P1749)</f>
        <v>0.33700000000000002</v>
      </c>
      <c r="Q1750" s="54">
        <f t="shared" si="81"/>
        <v>3.7091988130563798</v>
      </c>
      <c r="R1750" s="53">
        <f>IFERROR(VLOOKUP(B1750,'Pre-Summary'!$BG$6:$BM$44,7,FALSE),R1751)</f>
        <v>8.0894687007659741E-2</v>
      </c>
      <c r="S1750" s="53">
        <f>IFERROR(VLOOKUP(B1750,'Pre-Summary'!$BG$6:$BM$44,6,FALSE),S1751)</f>
        <v>6.1014931296205117E-2</v>
      </c>
      <c r="T1750" s="45" t="str">
        <f>IFERROR(VLOOKUP(B1750,'Pre-Summary'!$Y$6:$AC$83, 3,FALSE),"")</f>
        <v/>
      </c>
      <c r="U1750" s="45" t="str">
        <f>IFERROR(VLOOKUP(B1750,'Pre-Summary'!$Y$6:$AC$83, 4,FALSE),"")</f>
        <v/>
      </c>
      <c r="V1750" t="str">
        <f>IFERROR(VLOOKUP(B1750,'Pre-Summary'!$Y$6:$AC$83, 5,FALSE),"")</f>
        <v/>
      </c>
      <c r="W1750" s="45" t="str">
        <f>IFERROR(VLOOKUP(B1750,'Pre-Summary'!$Y$6:$AD$83,6,FALSE),"")</f>
        <v/>
      </c>
      <c r="X1750" t="str">
        <f>IFERROR(VLOOKUP('Pre-Summary'!$DB$6:$DD$63,3,FALSE),"")</f>
        <v/>
      </c>
      <c r="Y1750" t="str">
        <f>IFERROR(VLOOKUP(B1750,'Pre-Summary'!$CR$6:$CT$36,3,FALSE),"")</f>
        <v/>
      </c>
      <c r="Z1750" s="45" t="str">
        <f>IFERROR(VLOOKUP(B1750,'Pre-Summary'!$BZ$6:$CB$63,2,FALSE),"")</f>
        <v/>
      </c>
      <c r="AA1750" s="45" t="str">
        <f>IFERROR(VLOOKUP(B1750,'Pre-Summary'!$CG$6:$CI$70,2,FALSE),"")</f>
        <v/>
      </c>
      <c r="AB1750" s="99">
        <f>IFERROR(VLOOKUP(B1750,'Pre-Summary'!$A$6:$P$178,9,FALSE),AB1751)</f>
        <v>0.34666474670289782</v>
      </c>
      <c r="AC1750" s="10">
        <f>IFERROR(VLOOKUP(Summary!B1750,'Pre-Summary'!$A$6:$P$184,5, FALSE)/100,AC1751)</f>
        <v>0.84628766666666666</v>
      </c>
      <c r="AD1750" s="10">
        <f>IFERROR(VLOOKUP(Summary!B1750,'Pre-Summary'!$A$6:$P$184,3, FALSE)/100,AD1751)</f>
        <v>0.14595033333333332</v>
      </c>
      <c r="AE1750" s="10">
        <f>IFERROR(VLOOKUP(Summary!B1750,'Pre-Summary'!$A$6:$P$184,7, FALSE)/100,AE1751)</f>
        <v>7.7619999999999989E-3</v>
      </c>
      <c r="AF1750" s="99">
        <f t="shared" si="82"/>
        <v>5.0595835336203501E-2</v>
      </c>
      <c r="AG1750" s="99">
        <f t="shared" si="83"/>
        <v>2.6908117639078927E-3</v>
      </c>
      <c r="AH1750" s="10" t="str">
        <f>IFERROR(VLOOKUP(B1750,'Pre-Summary'!$AZ$6:$BE$65,3,FALSE),"")</f>
        <v/>
      </c>
      <c r="AI1750" s="10" t="str">
        <f>IFERROR(VLOOKUP(B1750,'Pre-Summary'!$AZ$6:$BE$65,5,FALSE),"")</f>
        <v/>
      </c>
      <c r="AJ1750" s="10" t="str">
        <f>IFERROR(VLOOKUP(B1750,'Pre-Summary'!$AZ$6:$BE$65,4,FALSE),"")</f>
        <v/>
      </c>
      <c r="AK1750" s="10" t="str">
        <f>IFERROR(VLOOKUP(B1750,'Pre-Summary'!$AZ$6:$BE$65,6,FALSE),"")</f>
        <v/>
      </c>
      <c r="AL1750" s="10" t="str">
        <f>IFERROR(VLOOKUP(B1750,'Pre-Summary'!$BG$6:$BL$44,3,FALSE),"")</f>
        <v/>
      </c>
      <c r="AM1750" s="10" t="str">
        <f>IFERROR(VLOOKUP(B1750,'Pre-Summary'!$BG$6:$BL$44,4,FALSE),"")</f>
        <v/>
      </c>
    </row>
    <row r="1751" spans="2:39" ht="15" customHeight="1" x14ac:dyDescent="0.3">
      <c r="B1751">
        <v>174.8</v>
      </c>
      <c r="C1751" t="str">
        <f>IFERROR(VLOOKUP(B1751,'Pre-Summary'!$DI$6:$DM$23,4,FALSE),"")</f>
        <v/>
      </c>
      <c r="D1751" s="10" t="str">
        <f>IFERROR(VLOOKUP(B1751,'Pre-Summary'!$AT$6:$AX$14,5,FALSE),D1750)</f>
        <v>Wolfe v3: went back to modified wolfe + EDTA and switched CuSO4 to CUCl2</v>
      </c>
      <c r="E1751" s="10" t="str">
        <f>IFERROR(VLOOKUP(B1751,'Pre-Summary'!$AT$6:$AX$15,4,FALSE),"")</f>
        <v/>
      </c>
      <c r="F1751">
        <f>IFERROR(VLOOKUP(B1751,'Pre-Summary'!$AL$6:$AQ$13,6,FALSE),F1750)</f>
        <v>5.9405263157894746E-2</v>
      </c>
      <c r="G1751" t="str">
        <f>IFERROR(VLOOKUP(B1751,'Pre-Summary'!$AE$6:$AJ$85,3,FALSE),"")</f>
        <v/>
      </c>
      <c r="H1751" t="str">
        <f>IFERROR(VLOOKUP(B1751,'Pre-Summary'!$AE$6:$AJ$85,4,FALSE),"")</f>
        <v/>
      </c>
      <c r="I1751" t="str">
        <f>IFERROR(VLOOKUP(B1751,'Pre-Summary'!$AE$6:$AJ$85,5,FALSE),"")</f>
        <v/>
      </c>
      <c r="J1751" s="45" t="str">
        <f>IFERROR(VLOOKUP(B1751,'Pre-Summary'!$AE$6:$AJ$85,6, FALSE),"")</f>
        <v/>
      </c>
      <c r="K1751" s="45" t="str">
        <f>IFERROR(VLOOKUP(B1751,'Pre-Summary'!$DE$6:$DG$61,3,FALSE),"")</f>
        <v/>
      </c>
      <c r="L1751" s="45" t="str">
        <f>IFERROR(VLOOKUP(B1751,'Pre-Summary'!$CU$6:$CW$36,3,FALSE),"")</f>
        <v/>
      </c>
      <c r="M1751" s="45" t="str">
        <f>IFERROR(VLOOKUP(B1751,'Pre-Summary'!$BW$6:$BY$58,2,FALSE),"")</f>
        <v/>
      </c>
      <c r="N1751" s="45" t="str">
        <f>IFERROR(VLOOKUP(B1751,'Pre-Summary'!$CD$6:$CF$64,2,FALSE),"")</f>
        <v/>
      </c>
      <c r="O1751" s="99">
        <f>IFERROR(VLOOKUP(B1751,'Pre-Summary'!$BO$6:$BQ$48,3, FALSE),O1750)</f>
        <v>1.25</v>
      </c>
      <c r="P1751" s="99">
        <f>IFERROR(VLOOKUP(B1751,'Pre-Summary'!$BS$6:$BU$35,3,FALSE),P1750)</f>
        <v>0.33700000000000002</v>
      </c>
      <c r="Q1751" s="54">
        <f t="shared" si="81"/>
        <v>3.7091988130563798</v>
      </c>
      <c r="R1751" s="53">
        <f>IFERROR(VLOOKUP(B1751,'Pre-Summary'!$BG$6:$BM$44,7,FALSE),R1752)</f>
        <v>8.0894687007659741E-2</v>
      </c>
      <c r="S1751" s="53">
        <f>IFERROR(VLOOKUP(B1751,'Pre-Summary'!$BG$6:$BM$44,6,FALSE),S1752)</f>
        <v>6.1014931296205117E-2</v>
      </c>
      <c r="T1751" s="45" t="str">
        <f>IFERROR(VLOOKUP(B1751,'Pre-Summary'!$Y$6:$AC$83, 3,FALSE),"")</f>
        <v/>
      </c>
      <c r="U1751" s="45" t="str">
        <f>IFERROR(VLOOKUP(B1751,'Pre-Summary'!$Y$6:$AC$83, 4,FALSE),"")</f>
        <v/>
      </c>
      <c r="V1751" t="str">
        <f>IFERROR(VLOOKUP(B1751,'Pre-Summary'!$Y$6:$AC$83, 5,FALSE),"")</f>
        <v/>
      </c>
      <c r="W1751" s="45" t="str">
        <f>IFERROR(VLOOKUP(B1751,'Pre-Summary'!$Y$6:$AD$83,6,FALSE),"")</f>
        <v/>
      </c>
      <c r="X1751" t="str">
        <f>IFERROR(VLOOKUP('Pre-Summary'!$DB$6:$DD$63,3,FALSE),"")</f>
        <v/>
      </c>
      <c r="Y1751" t="str">
        <f>IFERROR(VLOOKUP(B1751,'Pre-Summary'!$CR$6:$CT$36,3,FALSE),"")</f>
        <v/>
      </c>
      <c r="Z1751" s="45" t="str">
        <f>IFERROR(VLOOKUP(B1751,'Pre-Summary'!$BZ$6:$CB$63,2,FALSE),"")</f>
        <v/>
      </c>
      <c r="AA1751" s="45" t="str">
        <f>IFERROR(VLOOKUP(B1751,'Pre-Summary'!$CG$6:$CI$70,2,FALSE),"")</f>
        <v/>
      </c>
      <c r="AB1751" s="99">
        <f>IFERROR(VLOOKUP(B1751,'Pre-Summary'!$A$6:$P$178,9,FALSE),AB1752)</f>
        <v>0.34666474670289782</v>
      </c>
      <c r="AC1751" s="10">
        <f>IFERROR(VLOOKUP(Summary!B1751,'Pre-Summary'!$A$6:$P$184,5, FALSE)/100,AC1752)</f>
        <v>0.84628766666666666</v>
      </c>
      <c r="AD1751" s="10">
        <f>IFERROR(VLOOKUP(Summary!B1751,'Pre-Summary'!$A$6:$P$184,3, FALSE)/100,AD1752)</f>
        <v>0.14595033333333332</v>
      </c>
      <c r="AE1751" s="10">
        <f>IFERROR(VLOOKUP(Summary!B1751,'Pre-Summary'!$A$6:$P$184,7, FALSE)/100,AE1752)</f>
        <v>7.7619999999999989E-3</v>
      </c>
      <c r="AF1751" s="99">
        <f t="shared" si="82"/>
        <v>5.0595835336203501E-2</v>
      </c>
      <c r="AG1751" s="99">
        <f t="shared" si="83"/>
        <v>2.6908117639078927E-3</v>
      </c>
      <c r="AH1751" s="10" t="str">
        <f>IFERROR(VLOOKUP(B1751,'Pre-Summary'!$AZ$6:$BE$65,3,FALSE),"")</f>
        <v/>
      </c>
      <c r="AI1751" s="10" t="str">
        <f>IFERROR(VLOOKUP(B1751,'Pre-Summary'!$AZ$6:$BE$65,5,FALSE),"")</f>
        <v/>
      </c>
      <c r="AJ1751" s="10" t="str">
        <f>IFERROR(VLOOKUP(B1751,'Pre-Summary'!$AZ$6:$BE$65,4,FALSE),"")</f>
        <v/>
      </c>
      <c r="AK1751" s="10" t="str">
        <f>IFERROR(VLOOKUP(B1751,'Pre-Summary'!$AZ$6:$BE$65,6,FALSE),"")</f>
        <v/>
      </c>
      <c r="AL1751" s="10" t="str">
        <f>IFERROR(VLOOKUP(B1751,'Pre-Summary'!$BG$6:$BL$44,3,FALSE),"")</f>
        <v/>
      </c>
      <c r="AM1751" s="10" t="str">
        <f>IFERROR(VLOOKUP(B1751,'Pre-Summary'!$BG$6:$BL$44,4,FALSE),"")</f>
        <v/>
      </c>
    </row>
    <row r="1752" spans="2:39" ht="15" customHeight="1" x14ac:dyDescent="0.3">
      <c r="B1752">
        <v>174.9</v>
      </c>
      <c r="C1752" t="str">
        <f>IFERROR(VLOOKUP(B1752,'Pre-Summary'!$DI$6:$DM$23,4,FALSE),"")</f>
        <v/>
      </c>
      <c r="D1752" s="10" t="str">
        <f>IFERROR(VLOOKUP(B1752,'Pre-Summary'!$AT$6:$AX$14,5,FALSE),D1751)</f>
        <v>Wolfe v3: went back to modified wolfe + EDTA and switched CuSO4 to CUCl2</v>
      </c>
      <c r="E1752" s="10" t="str">
        <f>IFERROR(VLOOKUP(B1752,'Pre-Summary'!$AT$6:$AX$15,4,FALSE),"")</f>
        <v/>
      </c>
      <c r="F1752">
        <f>IFERROR(VLOOKUP(B1752,'Pre-Summary'!$AL$6:$AQ$13,6,FALSE),F1751)</f>
        <v>5.9405263157894746E-2</v>
      </c>
      <c r="G1752" t="str">
        <f>IFERROR(VLOOKUP(B1752,'Pre-Summary'!$AE$6:$AJ$85,3,FALSE),"")</f>
        <v/>
      </c>
      <c r="H1752" t="str">
        <f>IFERROR(VLOOKUP(B1752,'Pre-Summary'!$AE$6:$AJ$85,4,FALSE),"")</f>
        <v/>
      </c>
      <c r="I1752" t="str">
        <f>IFERROR(VLOOKUP(B1752,'Pre-Summary'!$AE$6:$AJ$85,5,FALSE),"")</f>
        <v/>
      </c>
      <c r="J1752" s="45" t="str">
        <f>IFERROR(VLOOKUP(B1752,'Pre-Summary'!$AE$6:$AJ$85,6, FALSE),"")</f>
        <v/>
      </c>
      <c r="K1752" s="45" t="str">
        <f>IFERROR(VLOOKUP(B1752,'Pre-Summary'!$DE$6:$DG$61,3,FALSE),"")</f>
        <v/>
      </c>
      <c r="L1752" s="45" t="str">
        <f>IFERROR(VLOOKUP(B1752,'Pre-Summary'!$CU$6:$CW$36,3,FALSE),"")</f>
        <v/>
      </c>
      <c r="M1752" s="45" t="str">
        <f>IFERROR(VLOOKUP(B1752,'Pre-Summary'!$BW$6:$BY$58,2,FALSE),"")</f>
        <v/>
      </c>
      <c r="N1752" s="45" t="str">
        <f>IFERROR(VLOOKUP(B1752,'Pre-Summary'!$CD$6:$CF$64,2,FALSE),"")</f>
        <v/>
      </c>
      <c r="O1752" s="99">
        <f>IFERROR(VLOOKUP(B1752,'Pre-Summary'!$BO$6:$BQ$48,3, FALSE),O1751)</f>
        <v>1.25</v>
      </c>
      <c r="P1752" s="99">
        <f>IFERROR(VLOOKUP(B1752,'Pre-Summary'!$BS$6:$BU$35,3,FALSE),P1751)</f>
        <v>0.33700000000000002</v>
      </c>
      <c r="Q1752" s="54">
        <f t="shared" si="81"/>
        <v>3.7091988130563798</v>
      </c>
      <c r="R1752" s="53">
        <f>IFERROR(VLOOKUP(B1752,'Pre-Summary'!$BG$6:$BM$44,7,FALSE),R1753)</f>
        <v>8.0894687007659741E-2</v>
      </c>
      <c r="S1752" s="53">
        <f>IFERROR(VLOOKUP(B1752,'Pre-Summary'!$BG$6:$BM$44,6,FALSE),S1753)</f>
        <v>6.1014931296205117E-2</v>
      </c>
      <c r="T1752" s="45" t="str">
        <f>IFERROR(VLOOKUP(B1752,'Pre-Summary'!$Y$6:$AC$83, 3,FALSE),"")</f>
        <v/>
      </c>
      <c r="U1752" s="45" t="str">
        <f>IFERROR(VLOOKUP(B1752,'Pre-Summary'!$Y$6:$AC$83, 4,FALSE),"")</f>
        <v/>
      </c>
      <c r="V1752" t="str">
        <f>IFERROR(VLOOKUP(B1752,'Pre-Summary'!$Y$6:$AC$83, 5,FALSE),"")</f>
        <v/>
      </c>
      <c r="W1752" s="45" t="str">
        <f>IFERROR(VLOOKUP(B1752,'Pre-Summary'!$Y$6:$AD$83,6,FALSE),"")</f>
        <v/>
      </c>
      <c r="X1752" t="str">
        <f>IFERROR(VLOOKUP('Pre-Summary'!$DB$6:$DD$63,3,FALSE),"")</f>
        <v/>
      </c>
      <c r="Y1752" t="str">
        <f>IFERROR(VLOOKUP(B1752,'Pre-Summary'!$CR$6:$CT$36,3,FALSE),"")</f>
        <v/>
      </c>
      <c r="Z1752" s="45" t="str">
        <f>IFERROR(VLOOKUP(B1752,'Pre-Summary'!$BZ$6:$CB$63,2,FALSE),"")</f>
        <v/>
      </c>
      <c r="AA1752" s="45" t="str">
        <f>IFERROR(VLOOKUP(B1752,'Pre-Summary'!$CG$6:$CI$70,2,FALSE),"")</f>
        <v/>
      </c>
      <c r="AB1752" s="99">
        <f>IFERROR(VLOOKUP(B1752,'Pre-Summary'!$A$6:$P$178,9,FALSE),AB1753)</f>
        <v>0.34666474670289782</v>
      </c>
      <c r="AC1752" s="10">
        <f>IFERROR(VLOOKUP(Summary!B1752,'Pre-Summary'!$A$6:$P$184,5, FALSE)/100,AC1753)</f>
        <v>0.84628766666666666</v>
      </c>
      <c r="AD1752" s="10">
        <f>IFERROR(VLOOKUP(Summary!B1752,'Pre-Summary'!$A$6:$P$184,3, FALSE)/100,AD1753)</f>
        <v>0.14595033333333332</v>
      </c>
      <c r="AE1752" s="10">
        <f>IFERROR(VLOOKUP(Summary!B1752,'Pre-Summary'!$A$6:$P$184,7, FALSE)/100,AE1753)</f>
        <v>7.7619999999999989E-3</v>
      </c>
      <c r="AF1752" s="99">
        <f t="shared" si="82"/>
        <v>5.0595835336203501E-2</v>
      </c>
      <c r="AG1752" s="99">
        <f t="shared" si="83"/>
        <v>2.6908117639078927E-3</v>
      </c>
      <c r="AH1752" s="10" t="str">
        <f>IFERROR(VLOOKUP(B1752,'Pre-Summary'!$AZ$6:$BE$65,3,FALSE),"")</f>
        <v/>
      </c>
      <c r="AI1752" s="10" t="str">
        <f>IFERROR(VLOOKUP(B1752,'Pre-Summary'!$AZ$6:$BE$65,5,FALSE),"")</f>
        <v/>
      </c>
      <c r="AJ1752" s="10" t="str">
        <f>IFERROR(VLOOKUP(B1752,'Pre-Summary'!$AZ$6:$BE$65,4,FALSE),"")</f>
        <v/>
      </c>
      <c r="AK1752" s="10" t="str">
        <f>IFERROR(VLOOKUP(B1752,'Pre-Summary'!$AZ$6:$BE$65,6,FALSE),"")</f>
        <v/>
      </c>
      <c r="AL1752" s="10" t="str">
        <f>IFERROR(VLOOKUP(B1752,'Pre-Summary'!$BG$6:$BL$44,3,FALSE),"")</f>
        <v/>
      </c>
      <c r="AM1752" s="10" t="str">
        <f>IFERROR(VLOOKUP(B1752,'Pre-Summary'!$BG$6:$BL$44,4,FALSE),"")</f>
        <v/>
      </c>
    </row>
    <row r="1753" spans="2:39" ht="15" customHeight="1" x14ac:dyDescent="0.3">
      <c r="B1753">
        <v>175</v>
      </c>
      <c r="C1753" t="str">
        <f>IFERROR(VLOOKUP(B1753,'Pre-Summary'!$DI$6:$DM$23,4,FALSE),"")</f>
        <v/>
      </c>
      <c r="D1753" s="10" t="str">
        <f>IFERROR(VLOOKUP(B1753,'Pre-Summary'!$AT$6:$AX$14,5,FALSE),D1752)</f>
        <v>Wolfe v3: went back to modified wolfe + EDTA and switched CuSO4 to CUCl2</v>
      </c>
      <c r="E1753" s="10" t="str">
        <f>IFERROR(VLOOKUP(B1753,'Pre-Summary'!$AT$6:$AX$15,4,FALSE),"")</f>
        <v/>
      </c>
      <c r="F1753">
        <f>IFERROR(VLOOKUP(B1753,'Pre-Summary'!$AL$6:$AQ$13,6,FALSE),F1752)</f>
        <v>5.9405263157894746E-2</v>
      </c>
      <c r="G1753" t="str">
        <f>IFERROR(VLOOKUP(B1753,'Pre-Summary'!$AE$6:$AJ$85,3,FALSE),"")</f>
        <v/>
      </c>
      <c r="H1753" t="str">
        <f>IFERROR(VLOOKUP(B1753,'Pre-Summary'!$AE$6:$AJ$85,4,FALSE),"")</f>
        <v/>
      </c>
      <c r="I1753" t="str">
        <f>IFERROR(VLOOKUP(B1753,'Pre-Summary'!$AE$6:$AJ$85,5,FALSE),"")</f>
        <v/>
      </c>
      <c r="J1753" s="45" t="str">
        <f>IFERROR(VLOOKUP(B1753,'Pre-Summary'!$AE$6:$AJ$85,6, FALSE),"")</f>
        <v/>
      </c>
      <c r="K1753" s="45" t="str">
        <f>IFERROR(VLOOKUP(B1753,'Pre-Summary'!$DE$6:$DG$61,3,FALSE),"")</f>
        <v/>
      </c>
      <c r="L1753" s="45" t="str">
        <f>IFERROR(VLOOKUP(B1753,'Pre-Summary'!$CU$6:$CW$36,3,FALSE),"")</f>
        <v/>
      </c>
      <c r="M1753" s="45" t="str">
        <f>IFERROR(VLOOKUP(B1753,'Pre-Summary'!$BW$6:$BY$58,2,FALSE),"")</f>
        <v/>
      </c>
      <c r="N1753" s="45" t="str">
        <f>IFERROR(VLOOKUP(B1753,'Pre-Summary'!$CD$6:$CF$64,2,FALSE),"")</f>
        <v/>
      </c>
      <c r="O1753" s="99">
        <f>IFERROR(VLOOKUP(B1753,'Pre-Summary'!$BO$6:$BQ$48,3, FALSE),O1752)</f>
        <v>1.25</v>
      </c>
      <c r="P1753" s="99">
        <f>IFERROR(VLOOKUP(B1753,'Pre-Summary'!$BS$6:$BU$35,3,FALSE),P1752)</f>
        <v>0.33700000000000002</v>
      </c>
      <c r="Q1753" s="54">
        <f t="shared" si="81"/>
        <v>3.7091988130563798</v>
      </c>
      <c r="R1753" s="53">
        <f>IFERROR(VLOOKUP(B1753,'Pre-Summary'!$BG$6:$BM$44,7,FALSE),R1754)</f>
        <v>8.0894687007659741E-2</v>
      </c>
      <c r="S1753" s="53">
        <f>IFERROR(VLOOKUP(B1753,'Pre-Summary'!$BG$6:$BM$44,6,FALSE),S1754)</f>
        <v>6.1014931296205117E-2</v>
      </c>
      <c r="T1753" s="45" t="str">
        <f>IFERROR(VLOOKUP(B1753,'Pre-Summary'!$Y$6:$AC$83, 3,FALSE),"")</f>
        <v/>
      </c>
      <c r="U1753" s="45" t="str">
        <f>IFERROR(VLOOKUP(B1753,'Pre-Summary'!$Y$6:$AC$83, 4,FALSE),"")</f>
        <v/>
      </c>
      <c r="V1753" t="str">
        <f>IFERROR(VLOOKUP(B1753,'Pre-Summary'!$Y$6:$AC$83, 5,FALSE),"")</f>
        <v/>
      </c>
      <c r="W1753" s="45" t="str">
        <f>IFERROR(VLOOKUP(B1753,'Pre-Summary'!$Y$6:$AD$83,6,FALSE),"")</f>
        <v/>
      </c>
      <c r="X1753" t="str">
        <f>IFERROR(VLOOKUP('Pre-Summary'!$DB$6:$DD$63,3,FALSE),"")</f>
        <v/>
      </c>
      <c r="Y1753" t="str">
        <f>IFERROR(VLOOKUP(B1753,'Pre-Summary'!$CR$6:$CT$36,3,FALSE),"")</f>
        <v/>
      </c>
      <c r="Z1753" s="45" t="str">
        <f>IFERROR(VLOOKUP(B1753,'Pre-Summary'!$BZ$6:$CB$63,2,FALSE),"")</f>
        <v/>
      </c>
      <c r="AA1753" s="45" t="str">
        <f>IFERROR(VLOOKUP(B1753,'Pre-Summary'!$CG$6:$CI$70,2,FALSE),"")</f>
        <v/>
      </c>
      <c r="AB1753" s="99">
        <f>IFERROR(VLOOKUP(B1753,'Pre-Summary'!$A$6:$P$178,9,FALSE),AB1754)</f>
        <v>0.31800916249195121</v>
      </c>
      <c r="AC1753" s="10">
        <f>IFERROR(VLOOKUP(Summary!B1753,'Pre-Summary'!$A$6:$P$184,5, FALSE)/100,AC1754)</f>
        <v>0.86597933333333332</v>
      </c>
      <c r="AD1753" s="10">
        <f>IFERROR(VLOOKUP(Summary!B1753,'Pre-Summary'!$A$6:$P$184,3, FALSE)/100,AD1754)</f>
        <v>0.12393833333333333</v>
      </c>
      <c r="AE1753" s="10">
        <f>IFERROR(VLOOKUP(Summary!B1753,'Pre-Summary'!$A$6:$P$184,7, FALSE)/100,AE1754)</f>
        <v>1.0083E-2</v>
      </c>
      <c r="AF1753" s="99">
        <f t="shared" si="82"/>
        <v>3.9413525583981611E-2</v>
      </c>
      <c r="AG1753" s="99">
        <f t="shared" si="83"/>
        <v>3.2064863854063441E-3</v>
      </c>
      <c r="AH1753" s="10" t="str">
        <f>IFERROR(VLOOKUP(B1753,'Pre-Summary'!$AZ$6:$BE$65,3,FALSE),"")</f>
        <v/>
      </c>
      <c r="AI1753" s="10" t="str">
        <f>IFERROR(VLOOKUP(B1753,'Pre-Summary'!$AZ$6:$BE$65,5,FALSE),"")</f>
        <v/>
      </c>
      <c r="AJ1753" s="10" t="str">
        <f>IFERROR(VLOOKUP(B1753,'Pre-Summary'!$AZ$6:$BE$65,4,FALSE),"")</f>
        <v/>
      </c>
      <c r="AK1753" s="10" t="str">
        <f>IFERROR(VLOOKUP(B1753,'Pre-Summary'!$AZ$6:$BE$65,6,FALSE),"")</f>
        <v/>
      </c>
      <c r="AL1753" s="10" t="str">
        <f>IFERROR(VLOOKUP(B1753,'Pre-Summary'!$BG$6:$BL$44,3,FALSE),"")</f>
        <v/>
      </c>
      <c r="AM1753" s="10" t="str">
        <f>IFERROR(VLOOKUP(B1753,'Pre-Summary'!$BG$6:$BL$44,4,FALSE),"")</f>
        <v/>
      </c>
    </row>
    <row r="1754" spans="2:39" ht="15" customHeight="1" x14ac:dyDescent="0.3">
      <c r="B1754">
        <v>175.1</v>
      </c>
      <c r="C1754" t="str">
        <f>IFERROR(VLOOKUP(B1754,'Pre-Summary'!$DI$6:$DM$23,4,FALSE),"")</f>
        <v/>
      </c>
      <c r="D1754" s="10" t="str">
        <f>IFERROR(VLOOKUP(B1754,'Pre-Summary'!$AT$6:$AX$14,5,FALSE),D1753)</f>
        <v>Wolfe v3: went back to modified wolfe + EDTA and switched CuSO4 to CUCl2</v>
      </c>
      <c r="E1754" s="10" t="str">
        <f>IFERROR(VLOOKUP(B1754,'Pre-Summary'!$AT$6:$AX$15,4,FALSE),"")</f>
        <v/>
      </c>
      <c r="F1754">
        <f>IFERROR(VLOOKUP(B1754,'Pre-Summary'!$AL$6:$AQ$13,6,FALSE),F1753)</f>
        <v>5.9405263157894746E-2</v>
      </c>
      <c r="G1754" t="str">
        <f>IFERROR(VLOOKUP(B1754,'Pre-Summary'!$AE$6:$AJ$85,3,FALSE),"")</f>
        <v/>
      </c>
      <c r="H1754" t="str">
        <f>IFERROR(VLOOKUP(B1754,'Pre-Summary'!$AE$6:$AJ$85,4,FALSE),"")</f>
        <v/>
      </c>
      <c r="I1754" t="str">
        <f>IFERROR(VLOOKUP(B1754,'Pre-Summary'!$AE$6:$AJ$85,5,FALSE),"")</f>
        <v/>
      </c>
      <c r="J1754" s="45" t="str">
        <f>IFERROR(VLOOKUP(B1754,'Pre-Summary'!$AE$6:$AJ$85,6, FALSE),"")</f>
        <v/>
      </c>
      <c r="K1754" s="45" t="str">
        <f>IFERROR(VLOOKUP(B1754,'Pre-Summary'!$DE$6:$DG$61,3,FALSE),"")</f>
        <v/>
      </c>
      <c r="L1754" s="45" t="str">
        <f>IFERROR(VLOOKUP(B1754,'Pre-Summary'!$CU$6:$CW$36,3,FALSE),"")</f>
        <v/>
      </c>
      <c r="M1754" s="45" t="str">
        <f>IFERROR(VLOOKUP(B1754,'Pre-Summary'!$BW$6:$BY$58,2,FALSE),"")</f>
        <v/>
      </c>
      <c r="N1754" s="45" t="str">
        <f>IFERROR(VLOOKUP(B1754,'Pre-Summary'!$CD$6:$CF$64,2,FALSE),"")</f>
        <v/>
      </c>
      <c r="O1754" s="99">
        <f>IFERROR(VLOOKUP(B1754,'Pre-Summary'!$BO$6:$BQ$48,3, FALSE),O1753)</f>
        <v>1.25</v>
      </c>
      <c r="P1754" s="99">
        <f>IFERROR(VLOOKUP(B1754,'Pre-Summary'!$BS$6:$BU$35,3,FALSE),P1753)</f>
        <v>0.33700000000000002</v>
      </c>
      <c r="Q1754" s="54">
        <f t="shared" si="81"/>
        <v>3.7091988130563798</v>
      </c>
      <c r="R1754" s="53">
        <f>IFERROR(VLOOKUP(B1754,'Pre-Summary'!$BG$6:$BM$44,7,FALSE),R1755)</f>
        <v>8.0894687007659741E-2</v>
      </c>
      <c r="S1754" s="53">
        <f>IFERROR(VLOOKUP(B1754,'Pre-Summary'!$BG$6:$BM$44,6,FALSE),S1755)</f>
        <v>6.1014931296205117E-2</v>
      </c>
      <c r="T1754" s="45" t="str">
        <f>IFERROR(VLOOKUP(B1754,'Pre-Summary'!$Y$6:$AC$83, 3,FALSE),"")</f>
        <v/>
      </c>
      <c r="U1754" s="45" t="str">
        <f>IFERROR(VLOOKUP(B1754,'Pre-Summary'!$Y$6:$AC$83, 4,FALSE),"")</f>
        <v/>
      </c>
      <c r="V1754" t="str">
        <f>IFERROR(VLOOKUP(B1754,'Pre-Summary'!$Y$6:$AC$83, 5,FALSE),"")</f>
        <v/>
      </c>
      <c r="W1754" s="45" t="str">
        <f>IFERROR(VLOOKUP(B1754,'Pre-Summary'!$Y$6:$AD$83,6,FALSE),"")</f>
        <v/>
      </c>
      <c r="X1754" t="str">
        <f>IFERROR(VLOOKUP('Pre-Summary'!$DB$6:$DD$63,3,FALSE),"")</f>
        <v/>
      </c>
      <c r="Y1754" t="str">
        <f>IFERROR(VLOOKUP(B1754,'Pre-Summary'!$CR$6:$CT$36,3,FALSE),"")</f>
        <v/>
      </c>
      <c r="Z1754" s="45" t="str">
        <f>IFERROR(VLOOKUP(B1754,'Pre-Summary'!$BZ$6:$CB$63,2,FALSE),"")</f>
        <v/>
      </c>
      <c r="AA1754" s="45" t="str">
        <f>IFERROR(VLOOKUP(B1754,'Pre-Summary'!$CG$6:$CI$70,2,FALSE),"")</f>
        <v/>
      </c>
      <c r="AB1754" s="99">
        <f>IFERROR(VLOOKUP(B1754,'Pre-Summary'!$A$6:$P$178,9,FALSE),AB1755)</f>
        <v>0.31800916249195121</v>
      </c>
      <c r="AC1754" s="10">
        <f>IFERROR(VLOOKUP(Summary!B1754,'Pre-Summary'!$A$6:$P$184,5, FALSE)/100,AC1755)</f>
        <v>0.86597933333333332</v>
      </c>
      <c r="AD1754" s="10">
        <f>IFERROR(VLOOKUP(Summary!B1754,'Pre-Summary'!$A$6:$P$184,3, FALSE)/100,AD1755)</f>
        <v>0.12393833333333333</v>
      </c>
      <c r="AE1754" s="10">
        <f>IFERROR(VLOOKUP(Summary!B1754,'Pre-Summary'!$A$6:$P$184,7, FALSE)/100,AE1755)</f>
        <v>1.0083E-2</v>
      </c>
      <c r="AF1754" s="99">
        <f t="shared" si="82"/>
        <v>3.9413525583981611E-2</v>
      </c>
      <c r="AG1754" s="99">
        <f t="shared" si="83"/>
        <v>3.2064863854063441E-3</v>
      </c>
      <c r="AH1754" s="10" t="str">
        <f>IFERROR(VLOOKUP(B1754,'Pre-Summary'!$AZ$6:$BE$65,3,FALSE),"")</f>
        <v/>
      </c>
      <c r="AI1754" s="10" t="str">
        <f>IFERROR(VLOOKUP(B1754,'Pre-Summary'!$AZ$6:$BE$65,5,FALSE),"")</f>
        <v/>
      </c>
      <c r="AJ1754" s="10" t="str">
        <f>IFERROR(VLOOKUP(B1754,'Pre-Summary'!$AZ$6:$BE$65,4,FALSE),"")</f>
        <v/>
      </c>
      <c r="AK1754" s="10" t="str">
        <f>IFERROR(VLOOKUP(B1754,'Pre-Summary'!$AZ$6:$BE$65,6,FALSE),"")</f>
        <v/>
      </c>
      <c r="AL1754" s="10" t="str">
        <f>IFERROR(VLOOKUP(B1754,'Pre-Summary'!$BG$6:$BL$44,3,FALSE),"")</f>
        <v/>
      </c>
      <c r="AM1754" s="10" t="str">
        <f>IFERROR(VLOOKUP(B1754,'Pre-Summary'!$BG$6:$BL$44,4,FALSE),"")</f>
        <v/>
      </c>
    </row>
    <row r="1755" spans="2:39" ht="15" customHeight="1" x14ac:dyDescent="0.3">
      <c r="B1755">
        <v>175.2</v>
      </c>
      <c r="C1755" t="str">
        <f>IFERROR(VLOOKUP(B1755,'Pre-Summary'!$DI$6:$DM$23,4,FALSE),"")</f>
        <v/>
      </c>
      <c r="D1755" s="10" t="str">
        <f>IFERROR(VLOOKUP(B1755,'Pre-Summary'!$AT$6:$AX$14,5,FALSE),D1754)</f>
        <v>Wolfe v3: went back to modified wolfe + EDTA and switched CuSO4 to CUCl2</v>
      </c>
      <c r="E1755" s="10" t="str">
        <f>IFERROR(VLOOKUP(B1755,'Pre-Summary'!$AT$6:$AX$15,4,FALSE),"")</f>
        <v/>
      </c>
      <c r="F1755">
        <f>IFERROR(VLOOKUP(B1755,'Pre-Summary'!$AL$6:$AQ$13,6,FALSE),F1754)</f>
        <v>5.9405263157894746E-2</v>
      </c>
      <c r="G1755" t="str">
        <f>IFERROR(VLOOKUP(B1755,'Pre-Summary'!$AE$6:$AJ$85,3,FALSE),"")</f>
        <v/>
      </c>
      <c r="H1755" t="str">
        <f>IFERROR(VLOOKUP(B1755,'Pre-Summary'!$AE$6:$AJ$85,4,FALSE),"")</f>
        <v/>
      </c>
      <c r="I1755" t="str">
        <f>IFERROR(VLOOKUP(B1755,'Pre-Summary'!$AE$6:$AJ$85,5,FALSE),"")</f>
        <v/>
      </c>
      <c r="J1755" s="45" t="str">
        <f>IFERROR(VLOOKUP(B1755,'Pre-Summary'!$AE$6:$AJ$85,6, FALSE),"")</f>
        <v/>
      </c>
      <c r="K1755" s="45" t="str">
        <f>IFERROR(VLOOKUP(B1755,'Pre-Summary'!$DE$6:$DG$61,3,FALSE),"")</f>
        <v/>
      </c>
      <c r="L1755" s="45" t="str">
        <f>IFERROR(VLOOKUP(B1755,'Pre-Summary'!$CU$6:$CW$36,3,FALSE),"")</f>
        <v/>
      </c>
      <c r="M1755" s="45" t="str">
        <f>IFERROR(VLOOKUP(B1755,'Pre-Summary'!$BW$6:$BY$58,2,FALSE),"")</f>
        <v/>
      </c>
      <c r="N1755" s="45" t="str">
        <f>IFERROR(VLOOKUP(B1755,'Pre-Summary'!$CD$6:$CF$64,2,FALSE),"")</f>
        <v/>
      </c>
      <c r="O1755" s="99">
        <f>IFERROR(VLOOKUP(B1755,'Pre-Summary'!$BO$6:$BQ$48,3, FALSE),O1754)</f>
        <v>1.25</v>
      </c>
      <c r="P1755" s="99">
        <f>IFERROR(VLOOKUP(B1755,'Pre-Summary'!$BS$6:$BU$35,3,FALSE),P1754)</f>
        <v>0.33700000000000002</v>
      </c>
      <c r="Q1755" s="54">
        <f t="shared" si="81"/>
        <v>3.7091988130563798</v>
      </c>
      <c r="R1755" s="53">
        <f>IFERROR(VLOOKUP(B1755,'Pre-Summary'!$BG$6:$BM$44,7,FALSE),R1756)</f>
        <v>8.0894687007659741E-2</v>
      </c>
      <c r="S1755" s="53">
        <f>IFERROR(VLOOKUP(B1755,'Pre-Summary'!$BG$6:$BM$44,6,FALSE),S1756)</f>
        <v>6.1014931296205117E-2</v>
      </c>
      <c r="T1755" s="45" t="str">
        <f>IFERROR(VLOOKUP(B1755,'Pre-Summary'!$Y$6:$AC$83, 3,FALSE),"")</f>
        <v/>
      </c>
      <c r="U1755" s="45" t="str">
        <f>IFERROR(VLOOKUP(B1755,'Pre-Summary'!$Y$6:$AC$83, 4,FALSE),"")</f>
        <v/>
      </c>
      <c r="V1755" t="str">
        <f>IFERROR(VLOOKUP(B1755,'Pre-Summary'!$Y$6:$AC$83, 5,FALSE),"")</f>
        <v/>
      </c>
      <c r="W1755" s="45" t="str">
        <f>IFERROR(VLOOKUP(B1755,'Pre-Summary'!$Y$6:$AD$83,6,FALSE),"")</f>
        <v/>
      </c>
      <c r="X1755" t="str">
        <f>IFERROR(VLOOKUP('Pre-Summary'!$DB$6:$DD$63,3,FALSE),"")</f>
        <v/>
      </c>
      <c r="Y1755" t="str">
        <f>IFERROR(VLOOKUP(B1755,'Pre-Summary'!$CR$6:$CT$36,3,FALSE),"")</f>
        <v/>
      </c>
      <c r="Z1755" s="45" t="str">
        <f>IFERROR(VLOOKUP(B1755,'Pre-Summary'!$BZ$6:$CB$63,2,FALSE),"")</f>
        <v/>
      </c>
      <c r="AA1755" s="45" t="str">
        <f>IFERROR(VLOOKUP(B1755,'Pre-Summary'!$CG$6:$CI$70,2,FALSE),"")</f>
        <v/>
      </c>
      <c r="AB1755" s="99">
        <f>IFERROR(VLOOKUP(B1755,'Pre-Summary'!$A$6:$P$178,9,FALSE),AB1756)</f>
        <v>0.31800916249195121</v>
      </c>
      <c r="AC1755" s="10">
        <f>IFERROR(VLOOKUP(Summary!B1755,'Pre-Summary'!$A$6:$P$184,5, FALSE)/100,AC1756)</f>
        <v>0.86597933333333332</v>
      </c>
      <c r="AD1755" s="10">
        <f>IFERROR(VLOOKUP(Summary!B1755,'Pre-Summary'!$A$6:$P$184,3, FALSE)/100,AD1756)</f>
        <v>0.12393833333333333</v>
      </c>
      <c r="AE1755" s="10">
        <f>IFERROR(VLOOKUP(Summary!B1755,'Pre-Summary'!$A$6:$P$184,7, FALSE)/100,AE1756)</f>
        <v>1.0083E-2</v>
      </c>
      <c r="AF1755" s="99">
        <f t="shared" si="82"/>
        <v>3.9413525583981611E-2</v>
      </c>
      <c r="AG1755" s="99">
        <f t="shared" si="83"/>
        <v>3.2064863854063441E-3</v>
      </c>
      <c r="AH1755" s="10" t="str">
        <f>IFERROR(VLOOKUP(B1755,'Pre-Summary'!$AZ$6:$BE$65,3,FALSE),"")</f>
        <v/>
      </c>
      <c r="AI1755" s="10" t="str">
        <f>IFERROR(VLOOKUP(B1755,'Pre-Summary'!$AZ$6:$BE$65,5,FALSE),"")</f>
        <v/>
      </c>
      <c r="AJ1755" s="10" t="str">
        <f>IFERROR(VLOOKUP(B1755,'Pre-Summary'!$AZ$6:$BE$65,4,FALSE),"")</f>
        <v/>
      </c>
      <c r="AK1755" s="10" t="str">
        <f>IFERROR(VLOOKUP(B1755,'Pre-Summary'!$AZ$6:$BE$65,6,FALSE),"")</f>
        <v/>
      </c>
      <c r="AL1755" s="10" t="str">
        <f>IFERROR(VLOOKUP(B1755,'Pre-Summary'!$BG$6:$BL$44,3,FALSE),"")</f>
        <v/>
      </c>
      <c r="AM1755" s="10" t="str">
        <f>IFERROR(VLOOKUP(B1755,'Pre-Summary'!$BG$6:$BL$44,4,FALSE),"")</f>
        <v/>
      </c>
    </row>
    <row r="1756" spans="2:39" ht="15" customHeight="1" x14ac:dyDescent="0.3">
      <c r="B1756">
        <v>175.3</v>
      </c>
      <c r="C1756" t="str">
        <f>IFERROR(VLOOKUP(B1756,'Pre-Summary'!$DI$6:$DM$23,4,FALSE),"")</f>
        <v/>
      </c>
      <c r="D1756" s="10" t="str">
        <f>IFERROR(VLOOKUP(B1756,'Pre-Summary'!$AT$6:$AX$14,5,FALSE),D1755)</f>
        <v>Wolfe v3: went back to modified wolfe + EDTA and switched CuSO4 to CUCl2</v>
      </c>
      <c r="E1756" s="10" t="str">
        <f>IFERROR(VLOOKUP(B1756,'Pre-Summary'!$AT$6:$AX$15,4,FALSE),"")</f>
        <v/>
      </c>
      <c r="F1756">
        <f>IFERROR(VLOOKUP(B1756,'Pre-Summary'!$AL$6:$AQ$13,6,FALSE),F1755)</f>
        <v>5.9405263157894746E-2</v>
      </c>
      <c r="G1756" t="str">
        <f>IFERROR(VLOOKUP(B1756,'Pre-Summary'!$AE$6:$AJ$85,3,FALSE),"")</f>
        <v/>
      </c>
      <c r="H1756" t="str">
        <f>IFERROR(VLOOKUP(B1756,'Pre-Summary'!$AE$6:$AJ$85,4,FALSE),"")</f>
        <v/>
      </c>
      <c r="I1756" t="str">
        <f>IFERROR(VLOOKUP(B1756,'Pre-Summary'!$AE$6:$AJ$85,5,FALSE),"")</f>
        <v/>
      </c>
      <c r="J1756" s="45" t="str">
        <f>IFERROR(VLOOKUP(B1756,'Pre-Summary'!$AE$6:$AJ$85,6, FALSE),"")</f>
        <v/>
      </c>
      <c r="K1756" s="45" t="str">
        <f>IFERROR(VLOOKUP(B1756,'Pre-Summary'!$DE$6:$DG$61,3,FALSE),"")</f>
        <v/>
      </c>
      <c r="L1756" s="45" t="str">
        <f>IFERROR(VLOOKUP(B1756,'Pre-Summary'!$CU$6:$CW$36,3,FALSE),"")</f>
        <v/>
      </c>
      <c r="M1756" s="45" t="str">
        <f>IFERROR(VLOOKUP(B1756,'Pre-Summary'!$BW$6:$BY$58,2,FALSE),"")</f>
        <v/>
      </c>
      <c r="N1756" s="45" t="str">
        <f>IFERROR(VLOOKUP(B1756,'Pre-Summary'!$CD$6:$CF$64,2,FALSE),"")</f>
        <v/>
      </c>
      <c r="O1756" s="99">
        <f>IFERROR(VLOOKUP(B1756,'Pre-Summary'!$BO$6:$BQ$48,3, FALSE),O1755)</f>
        <v>1.25</v>
      </c>
      <c r="P1756" s="99">
        <f>IFERROR(VLOOKUP(B1756,'Pre-Summary'!$BS$6:$BU$35,3,FALSE),P1755)</f>
        <v>0.33700000000000002</v>
      </c>
      <c r="Q1756" s="54">
        <f t="shared" si="81"/>
        <v>3.7091988130563798</v>
      </c>
      <c r="R1756" s="53">
        <f>IFERROR(VLOOKUP(B1756,'Pre-Summary'!$BG$6:$BM$44,7,FALSE),R1757)</f>
        <v>8.0894687007659741E-2</v>
      </c>
      <c r="S1756" s="53">
        <f>IFERROR(VLOOKUP(B1756,'Pre-Summary'!$BG$6:$BM$44,6,FALSE),S1757)</f>
        <v>6.1014931296205117E-2</v>
      </c>
      <c r="T1756" s="45" t="str">
        <f>IFERROR(VLOOKUP(B1756,'Pre-Summary'!$Y$6:$AC$83, 3,FALSE),"")</f>
        <v/>
      </c>
      <c r="U1756" s="45" t="str">
        <f>IFERROR(VLOOKUP(B1756,'Pre-Summary'!$Y$6:$AC$83, 4,FALSE),"")</f>
        <v/>
      </c>
      <c r="V1756" t="str">
        <f>IFERROR(VLOOKUP(B1756,'Pre-Summary'!$Y$6:$AC$83, 5,FALSE),"")</f>
        <v/>
      </c>
      <c r="W1756" s="45" t="str">
        <f>IFERROR(VLOOKUP(B1756,'Pre-Summary'!$Y$6:$AD$83,6,FALSE),"")</f>
        <v/>
      </c>
      <c r="X1756" t="str">
        <f>IFERROR(VLOOKUP('Pre-Summary'!$DB$6:$DD$63,3,FALSE),"")</f>
        <v/>
      </c>
      <c r="Y1756" t="str">
        <f>IFERROR(VLOOKUP(B1756,'Pre-Summary'!$CR$6:$CT$36,3,FALSE),"")</f>
        <v/>
      </c>
      <c r="Z1756" s="45" t="str">
        <f>IFERROR(VLOOKUP(B1756,'Pre-Summary'!$BZ$6:$CB$63,2,FALSE),"")</f>
        <v/>
      </c>
      <c r="AA1756" s="45" t="str">
        <f>IFERROR(VLOOKUP(B1756,'Pre-Summary'!$CG$6:$CI$70,2,FALSE),"")</f>
        <v/>
      </c>
      <c r="AB1756" s="99">
        <f>IFERROR(VLOOKUP(B1756,'Pre-Summary'!$A$6:$P$178,9,FALSE),AB1757)</f>
        <v>0.31800916249195121</v>
      </c>
      <c r="AC1756" s="10">
        <f>IFERROR(VLOOKUP(Summary!B1756,'Pre-Summary'!$A$6:$P$184,5, FALSE)/100,AC1757)</f>
        <v>0.86597933333333332</v>
      </c>
      <c r="AD1756" s="10">
        <f>IFERROR(VLOOKUP(Summary!B1756,'Pre-Summary'!$A$6:$P$184,3, FALSE)/100,AD1757)</f>
        <v>0.12393833333333333</v>
      </c>
      <c r="AE1756" s="10">
        <f>IFERROR(VLOOKUP(Summary!B1756,'Pre-Summary'!$A$6:$P$184,7, FALSE)/100,AE1757)</f>
        <v>1.0083E-2</v>
      </c>
      <c r="AF1756" s="99">
        <f t="shared" si="82"/>
        <v>3.9413525583981611E-2</v>
      </c>
      <c r="AG1756" s="99">
        <f t="shared" si="83"/>
        <v>3.2064863854063441E-3</v>
      </c>
      <c r="AH1756" s="10" t="str">
        <f>IFERROR(VLOOKUP(B1756,'Pre-Summary'!$AZ$6:$BE$65,3,FALSE),"")</f>
        <v/>
      </c>
      <c r="AI1756" s="10" t="str">
        <f>IFERROR(VLOOKUP(B1756,'Pre-Summary'!$AZ$6:$BE$65,5,FALSE),"")</f>
        <v/>
      </c>
      <c r="AJ1756" s="10" t="str">
        <f>IFERROR(VLOOKUP(B1756,'Pre-Summary'!$AZ$6:$BE$65,4,FALSE),"")</f>
        <v/>
      </c>
      <c r="AK1756" s="10" t="str">
        <f>IFERROR(VLOOKUP(B1756,'Pre-Summary'!$AZ$6:$BE$65,6,FALSE),"")</f>
        <v/>
      </c>
      <c r="AL1756" s="10" t="str">
        <f>IFERROR(VLOOKUP(B1756,'Pre-Summary'!$BG$6:$BL$44,3,FALSE),"")</f>
        <v/>
      </c>
      <c r="AM1756" s="10" t="str">
        <f>IFERROR(VLOOKUP(B1756,'Pre-Summary'!$BG$6:$BL$44,4,FALSE),"")</f>
        <v/>
      </c>
    </row>
    <row r="1757" spans="2:39" ht="15" customHeight="1" x14ac:dyDescent="0.3">
      <c r="B1757">
        <v>175.4</v>
      </c>
      <c r="C1757" t="str">
        <f>IFERROR(VLOOKUP(B1757,'Pre-Summary'!$DI$6:$DM$23,4,FALSE),"")</f>
        <v/>
      </c>
      <c r="D1757" s="10" t="str">
        <f>IFERROR(VLOOKUP(B1757,'Pre-Summary'!$AT$6:$AX$14,5,FALSE),D1756)</f>
        <v>Wolfe v3: went back to modified wolfe + EDTA and switched CuSO4 to CUCl2</v>
      </c>
      <c r="E1757" s="10" t="str">
        <f>IFERROR(VLOOKUP(B1757,'Pre-Summary'!$AT$6:$AX$15,4,FALSE),"")</f>
        <v/>
      </c>
      <c r="F1757">
        <f>IFERROR(VLOOKUP(B1757,'Pre-Summary'!$AL$6:$AQ$13,6,FALSE),F1756)</f>
        <v>5.9405263157894746E-2</v>
      </c>
      <c r="G1757" t="str">
        <f>IFERROR(VLOOKUP(B1757,'Pre-Summary'!$AE$6:$AJ$85,3,FALSE),"")</f>
        <v/>
      </c>
      <c r="H1757" t="str">
        <f>IFERROR(VLOOKUP(B1757,'Pre-Summary'!$AE$6:$AJ$85,4,FALSE),"")</f>
        <v/>
      </c>
      <c r="I1757" t="str">
        <f>IFERROR(VLOOKUP(B1757,'Pre-Summary'!$AE$6:$AJ$85,5,FALSE),"")</f>
        <v/>
      </c>
      <c r="J1757" s="45" t="str">
        <f>IFERROR(VLOOKUP(B1757,'Pre-Summary'!$AE$6:$AJ$85,6, FALSE),"")</f>
        <v/>
      </c>
      <c r="K1757" s="45" t="str">
        <f>IFERROR(VLOOKUP(B1757,'Pre-Summary'!$DE$6:$DG$61,3,FALSE),"")</f>
        <v/>
      </c>
      <c r="L1757" s="45" t="str">
        <f>IFERROR(VLOOKUP(B1757,'Pre-Summary'!$CU$6:$CW$36,3,FALSE),"")</f>
        <v/>
      </c>
      <c r="M1757" s="45" t="str">
        <f>IFERROR(VLOOKUP(B1757,'Pre-Summary'!$BW$6:$BY$58,2,FALSE),"")</f>
        <v/>
      </c>
      <c r="N1757" s="45" t="str">
        <f>IFERROR(VLOOKUP(B1757,'Pre-Summary'!$CD$6:$CF$64,2,FALSE),"")</f>
        <v/>
      </c>
      <c r="O1757" s="99">
        <f>IFERROR(VLOOKUP(B1757,'Pre-Summary'!$BO$6:$BQ$48,3, FALSE),O1756)</f>
        <v>1.25</v>
      </c>
      <c r="P1757" s="99">
        <f>IFERROR(VLOOKUP(B1757,'Pre-Summary'!$BS$6:$BU$35,3,FALSE),P1756)</f>
        <v>0.33700000000000002</v>
      </c>
      <c r="Q1757" s="54">
        <f t="shared" si="81"/>
        <v>3.7091988130563798</v>
      </c>
      <c r="R1757" s="53">
        <f>IFERROR(VLOOKUP(B1757,'Pre-Summary'!$BG$6:$BM$44,7,FALSE),R1758)</f>
        <v>8.0894687007659741E-2</v>
      </c>
      <c r="S1757" s="53">
        <f>IFERROR(VLOOKUP(B1757,'Pre-Summary'!$BG$6:$BM$44,6,FALSE),S1758)</f>
        <v>6.1014931296205117E-2</v>
      </c>
      <c r="T1757" s="45" t="str">
        <f>IFERROR(VLOOKUP(B1757,'Pre-Summary'!$Y$6:$AC$83, 3,FALSE),"")</f>
        <v/>
      </c>
      <c r="U1757" s="45" t="str">
        <f>IFERROR(VLOOKUP(B1757,'Pre-Summary'!$Y$6:$AC$83, 4,FALSE),"")</f>
        <v/>
      </c>
      <c r="V1757" t="str">
        <f>IFERROR(VLOOKUP(B1757,'Pre-Summary'!$Y$6:$AC$83, 5,FALSE),"")</f>
        <v/>
      </c>
      <c r="W1757" s="45" t="str">
        <f>IFERROR(VLOOKUP(B1757,'Pre-Summary'!$Y$6:$AD$83,6,FALSE),"")</f>
        <v/>
      </c>
      <c r="X1757" t="str">
        <f>IFERROR(VLOOKUP('Pre-Summary'!$DB$6:$DD$63,3,FALSE),"")</f>
        <v/>
      </c>
      <c r="Y1757" t="str">
        <f>IFERROR(VLOOKUP(B1757,'Pre-Summary'!$CR$6:$CT$36,3,FALSE),"")</f>
        <v/>
      </c>
      <c r="Z1757" s="45" t="str">
        <f>IFERROR(VLOOKUP(B1757,'Pre-Summary'!$BZ$6:$CB$63,2,FALSE),"")</f>
        <v/>
      </c>
      <c r="AA1757" s="45" t="str">
        <f>IFERROR(VLOOKUP(B1757,'Pre-Summary'!$CG$6:$CI$70,2,FALSE),"")</f>
        <v/>
      </c>
      <c r="AB1757" s="99">
        <f>IFERROR(VLOOKUP(B1757,'Pre-Summary'!$A$6:$P$178,9,FALSE),AB1758)</f>
        <v>0.31800916249195121</v>
      </c>
      <c r="AC1757" s="10">
        <f>IFERROR(VLOOKUP(Summary!B1757,'Pre-Summary'!$A$6:$P$184,5, FALSE)/100,AC1758)</f>
        <v>0.86597933333333332</v>
      </c>
      <c r="AD1757" s="10">
        <f>IFERROR(VLOOKUP(Summary!B1757,'Pre-Summary'!$A$6:$P$184,3, FALSE)/100,AD1758)</f>
        <v>0.12393833333333333</v>
      </c>
      <c r="AE1757" s="10">
        <f>IFERROR(VLOOKUP(Summary!B1757,'Pre-Summary'!$A$6:$P$184,7, FALSE)/100,AE1758)</f>
        <v>1.0083E-2</v>
      </c>
      <c r="AF1757" s="99">
        <f t="shared" si="82"/>
        <v>3.9413525583981611E-2</v>
      </c>
      <c r="AG1757" s="99">
        <f t="shared" si="83"/>
        <v>3.2064863854063441E-3</v>
      </c>
      <c r="AH1757" s="10" t="str">
        <f>IFERROR(VLOOKUP(B1757,'Pre-Summary'!$AZ$6:$BE$65,3,FALSE),"")</f>
        <v/>
      </c>
      <c r="AI1757" s="10" t="str">
        <f>IFERROR(VLOOKUP(B1757,'Pre-Summary'!$AZ$6:$BE$65,5,FALSE),"")</f>
        <v/>
      </c>
      <c r="AJ1757" s="10" t="str">
        <f>IFERROR(VLOOKUP(B1757,'Pre-Summary'!$AZ$6:$BE$65,4,FALSE),"")</f>
        <v/>
      </c>
      <c r="AK1757" s="10" t="str">
        <f>IFERROR(VLOOKUP(B1757,'Pre-Summary'!$AZ$6:$BE$65,6,FALSE),"")</f>
        <v/>
      </c>
      <c r="AL1757" s="10" t="str">
        <f>IFERROR(VLOOKUP(B1757,'Pre-Summary'!$BG$6:$BL$44,3,FALSE),"")</f>
        <v/>
      </c>
      <c r="AM1757" s="10" t="str">
        <f>IFERROR(VLOOKUP(B1757,'Pre-Summary'!$BG$6:$BL$44,4,FALSE),"")</f>
        <v/>
      </c>
    </row>
    <row r="1758" spans="2:39" ht="15" customHeight="1" x14ac:dyDescent="0.3">
      <c r="B1758">
        <v>175.5</v>
      </c>
      <c r="C1758" t="str">
        <f>IFERROR(VLOOKUP(B1758,'Pre-Summary'!$DI$6:$DM$23,4,FALSE),"")</f>
        <v/>
      </c>
      <c r="D1758" s="10" t="str">
        <f>IFERROR(VLOOKUP(B1758,'Pre-Summary'!$AT$6:$AX$14,5,FALSE),D1757)</f>
        <v>Wolfe v3: went back to modified wolfe + EDTA and switched CuSO4 to CUCl2</v>
      </c>
      <c r="E1758" s="10" t="str">
        <f>IFERROR(VLOOKUP(B1758,'Pre-Summary'!$AT$6:$AX$15,4,FALSE),"")</f>
        <v/>
      </c>
      <c r="F1758">
        <f>IFERROR(VLOOKUP(B1758,'Pre-Summary'!$AL$6:$AQ$13,6,FALSE),F1757)</f>
        <v>5.9405263157894746E-2</v>
      </c>
      <c r="G1758" t="str">
        <f>IFERROR(VLOOKUP(B1758,'Pre-Summary'!$AE$6:$AJ$85,3,FALSE),"")</f>
        <v/>
      </c>
      <c r="H1758" t="str">
        <f>IFERROR(VLOOKUP(B1758,'Pre-Summary'!$AE$6:$AJ$85,4,FALSE),"")</f>
        <v/>
      </c>
      <c r="I1758" t="str">
        <f>IFERROR(VLOOKUP(B1758,'Pre-Summary'!$AE$6:$AJ$85,5,FALSE),"")</f>
        <v/>
      </c>
      <c r="J1758" s="45" t="str">
        <f>IFERROR(VLOOKUP(B1758,'Pre-Summary'!$AE$6:$AJ$85,6, FALSE),"")</f>
        <v/>
      </c>
      <c r="K1758" s="45" t="str">
        <f>IFERROR(VLOOKUP(B1758,'Pre-Summary'!$DE$6:$DG$61,3,FALSE),"")</f>
        <v/>
      </c>
      <c r="L1758" s="45" t="str">
        <f>IFERROR(VLOOKUP(B1758,'Pre-Summary'!$CU$6:$CW$36,3,FALSE),"")</f>
        <v/>
      </c>
      <c r="M1758" s="45" t="str">
        <f>IFERROR(VLOOKUP(B1758,'Pre-Summary'!$BW$6:$BY$58,2,FALSE),"")</f>
        <v/>
      </c>
      <c r="N1758" s="45" t="str">
        <f>IFERROR(VLOOKUP(B1758,'Pre-Summary'!$CD$6:$CF$64,2,FALSE),"")</f>
        <v/>
      </c>
      <c r="O1758" s="99">
        <f>IFERROR(VLOOKUP(B1758,'Pre-Summary'!$BO$6:$BQ$48,3, FALSE),O1757)</f>
        <v>1.25</v>
      </c>
      <c r="P1758" s="99">
        <f>IFERROR(VLOOKUP(B1758,'Pre-Summary'!$BS$6:$BU$35,3,FALSE),P1757)</f>
        <v>0.33700000000000002</v>
      </c>
      <c r="Q1758" s="54">
        <f t="shared" si="81"/>
        <v>3.7091988130563798</v>
      </c>
      <c r="R1758" s="53">
        <f>IFERROR(VLOOKUP(B1758,'Pre-Summary'!$BG$6:$BM$44,7,FALSE),R1759)</f>
        <v>8.0894687007659741E-2</v>
      </c>
      <c r="S1758" s="53">
        <f>IFERROR(VLOOKUP(B1758,'Pre-Summary'!$BG$6:$BM$44,6,FALSE),S1759)</f>
        <v>6.1014931296205117E-2</v>
      </c>
      <c r="T1758" s="45" t="str">
        <f>IFERROR(VLOOKUP(B1758,'Pre-Summary'!$Y$6:$AC$83, 3,FALSE),"")</f>
        <v/>
      </c>
      <c r="U1758" s="45" t="str">
        <f>IFERROR(VLOOKUP(B1758,'Pre-Summary'!$Y$6:$AC$83, 4,FALSE),"")</f>
        <v/>
      </c>
      <c r="V1758" t="str">
        <f>IFERROR(VLOOKUP(B1758,'Pre-Summary'!$Y$6:$AC$83, 5,FALSE),"")</f>
        <v/>
      </c>
      <c r="W1758" s="45" t="str">
        <f>IFERROR(VLOOKUP(B1758,'Pre-Summary'!$Y$6:$AD$83,6,FALSE),"")</f>
        <v/>
      </c>
      <c r="X1758" t="str">
        <f>IFERROR(VLOOKUP('Pre-Summary'!$DB$6:$DD$63,3,FALSE),"")</f>
        <v/>
      </c>
      <c r="Y1758" t="str">
        <f>IFERROR(VLOOKUP(B1758,'Pre-Summary'!$CR$6:$CT$36,3,FALSE),"")</f>
        <v/>
      </c>
      <c r="Z1758" s="45" t="str">
        <f>IFERROR(VLOOKUP(B1758,'Pre-Summary'!$BZ$6:$CB$63,2,FALSE),"")</f>
        <v/>
      </c>
      <c r="AA1758" s="45" t="str">
        <f>IFERROR(VLOOKUP(B1758,'Pre-Summary'!$CG$6:$CI$70,2,FALSE),"")</f>
        <v/>
      </c>
      <c r="AB1758" s="99">
        <f>IFERROR(VLOOKUP(B1758,'Pre-Summary'!$A$6:$P$178,9,FALSE),AB1759)</f>
        <v>0.31800916249195121</v>
      </c>
      <c r="AC1758" s="10">
        <f>IFERROR(VLOOKUP(Summary!B1758,'Pre-Summary'!$A$6:$P$184,5, FALSE)/100,AC1759)</f>
        <v>0.86597933333333332</v>
      </c>
      <c r="AD1758" s="10">
        <f>IFERROR(VLOOKUP(Summary!B1758,'Pre-Summary'!$A$6:$P$184,3, FALSE)/100,AD1759)</f>
        <v>0.12393833333333333</v>
      </c>
      <c r="AE1758" s="10">
        <f>IFERROR(VLOOKUP(Summary!B1758,'Pre-Summary'!$A$6:$P$184,7, FALSE)/100,AE1759)</f>
        <v>1.0083E-2</v>
      </c>
      <c r="AF1758" s="99">
        <f t="shared" si="82"/>
        <v>3.9413525583981611E-2</v>
      </c>
      <c r="AG1758" s="99">
        <f t="shared" si="83"/>
        <v>3.2064863854063441E-3</v>
      </c>
      <c r="AH1758" s="10" t="str">
        <f>IFERROR(VLOOKUP(B1758,'Pre-Summary'!$AZ$6:$BE$65,3,FALSE),"")</f>
        <v/>
      </c>
      <c r="AI1758" s="10" t="str">
        <f>IFERROR(VLOOKUP(B1758,'Pre-Summary'!$AZ$6:$BE$65,5,FALSE),"")</f>
        <v/>
      </c>
      <c r="AJ1758" s="10" t="str">
        <f>IFERROR(VLOOKUP(B1758,'Pre-Summary'!$AZ$6:$BE$65,4,FALSE),"")</f>
        <v/>
      </c>
      <c r="AK1758" s="10" t="str">
        <f>IFERROR(VLOOKUP(B1758,'Pre-Summary'!$AZ$6:$BE$65,6,FALSE),"")</f>
        <v/>
      </c>
      <c r="AL1758" s="10" t="str">
        <f>IFERROR(VLOOKUP(B1758,'Pre-Summary'!$BG$6:$BL$44,3,FALSE),"")</f>
        <v/>
      </c>
      <c r="AM1758" s="10" t="str">
        <f>IFERROR(VLOOKUP(B1758,'Pre-Summary'!$BG$6:$BL$44,4,FALSE),"")</f>
        <v/>
      </c>
    </row>
    <row r="1759" spans="2:39" ht="15" customHeight="1" x14ac:dyDescent="0.3">
      <c r="B1759">
        <v>175.6</v>
      </c>
      <c r="C1759" t="str">
        <f>IFERROR(VLOOKUP(B1759,'Pre-Summary'!$DI$6:$DM$23,4,FALSE),"")</f>
        <v/>
      </c>
      <c r="D1759" s="10" t="str">
        <f>IFERROR(VLOOKUP(B1759,'Pre-Summary'!$AT$6:$AX$14,5,FALSE),D1758)</f>
        <v>Wolfe v3: went back to modified wolfe + EDTA and switched CuSO4 to CUCl2</v>
      </c>
      <c r="E1759" s="10" t="str">
        <f>IFERROR(VLOOKUP(B1759,'Pre-Summary'!$AT$6:$AX$15,4,FALSE),"")</f>
        <v/>
      </c>
      <c r="F1759">
        <f>IFERROR(VLOOKUP(B1759,'Pre-Summary'!$AL$6:$AQ$13,6,FALSE),F1758)</f>
        <v>5.9405263157894746E-2</v>
      </c>
      <c r="G1759" t="str">
        <f>IFERROR(VLOOKUP(B1759,'Pre-Summary'!$AE$6:$AJ$85,3,FALSE),"")</f>
        <v/>
      </c>
      <c r="H1759" t="str">
        <f>IFERROR(VLOOKUP(B1759,'Pre-Summary'!$AE$6:$AJ$85,4,FALSE),"")</f>
        <v/>
      </c>
      <c r="I1759" t="str">
        <f>IFERROR(VLOOKUP(B1759,'Pre-Summary'!$AE$6:$AJ$85,5,FALSE),"")</f>
        <v/>
      </c>
      <c r="J1759" s="45" t="str">
        <f>IFERROR(VLOOKUP(B1759,'Pre-Summary'!$AE$6:$AJ$85,6, FALSE),"")</f>
        <v/>
      </c>
      <c r="K1759" s="45" t="str">
        <f>IFERROR(VLOOKUP(B1759,'Pre-Summary'!$DE$6:$DG$61,3,FALSE),"")</f>
        <v/>
      </c>
      <c r="L1759" s="45" t="str">
        <f>IFERROR(VLOOKUP(B1759,'Pre-Summary'!$CU$6:$CW$36,3,FALSE),"")</f>
        <v/>
      </c>
      <c r="M1759" s="45" t="str">
        <f>IFERROR(VLOOKUP(B1759,'Pre-Summary'!$BW$6:$BY$58,2,FALSE),"")</f>
        <v/>
      </c>
      <c r="N1759" s="45" t="str">
        <f>IFERROR(VLOOKUP(B1759,'Pre-Summary'!$CD$6:$CF$64,2,FALSE),"")</f>
        <v/>
      </c>
      <c r="O1759" s="99">
        <f>IFERROR(VLOOKUP(B1759,'Pre-Summary'!$BO$6:$BQ$48,3, FALSE),O1758)</f>
        <v>1.25</v>
      </c>
      <c r="P1759" s="99">
        <f>IFERROR(VLOOKUP(B1759,'Pre-Summary'!$BS$6:$BU$35,3,FALSE),P1758)</f>
        <v>0.33700000000000002</v>
      </c>
      <c r="Q1759" s="54">
        <f t="shared" si="81"/>
        <v>3.7091988130563798</v>
      </c>
      <c r="R1759" s="53">
        <f>IFERROR(VLOOKUP(B1759,'Pre-Summary'!$BG$6:$BM$44,7,FALSE),R1760)</f>
        <v>8.0894687007659741E-2</v>
      </c>
      <c r="S1759" s="53">
        <f>IFERROR(VLOOKUP(B1759,'Pre-Summary'!$BG$6:$BM$44,6,FALSE),S1760)</f>
        <v>6.1014931296205117E-2</v>
      </c>
      <c r="T1759" s="45" t="str">
        <f>IFERROR(VLOOKUP(B1759,'Pre-Summary'!$Y$6:$AC$83, 3,FALSE),"")</f>
        <v/>
      </c>
      <c r="U1759" s="45" t="str">
        <f>IFERROR(VLOOKUP(B1759,'Pre-Summary'!$Y$6:$AC$83, 4,FALSE),"")</f>
        <v/>
      </c>
      <c r="V1759" t="str">
        <f>IFERROR(VLOOKUP(B1759,'Pre-Summary'!$Y$6:$AC$83, 5,FALSE),"")</f>
        <v/>
      </c>
      <c r="W1759" s="45" t="str">
        <f>IFERROR(VLOOKUP(B1759,'Pre-Summary'!$Y$6:$AD$83,6,FALSE),"")</f>
        <v/>
      </c>
      <c r="X1759" t="str">
        <f>IFERROR(VLOOKUP('Pre-Summary'!$DB$6:$DD$63,3,FALSE),"")</f>
        <v/>
      </c>
      <c r="Y1759" t="str">
        <f>IFERROR(VLOOKUP(B1759,'Pre-Summary'!$CR$6:$CT$36,3,FALSE),"")</f>
        <v/>
      </c>
      <c r="Z1759" s="45" t="str">
        <f>IFERROR(VLOOKUP(B1759,'Pre-Summary'!$BZ$6:$CB$63,2,FALSE),"")</f>
        <v/>
      </c>
      <c r="AA1759" s="45" t="str">
        <f>IFERROR(VLOOKUP(B1759,'Pre-Summary'!$CG$6:$CI$70,2,FALSE),"")</f>
        <v/>
      </c>
      <c r="AB1759" s="99">
        <f>IFERROR(VLOOKUP(B1759,'Pre-Summary'!$A$6:$P$178,9,FALSE),AB1760)</f>
        <v>0.31800916249195121</v>
      </c>
      <c r="AC1759" s="10">
        <f>IFERROR(VLOOKUP(Summary!B1759,'Pre-Summary'!$A$6:$P$184,5, FALSE)/100,AC1760)</f>
        <v>0.86597933333333332</v>
      </c>
      <c r="AD1759" s="10">
        <f>IFERROR(VLOOKUP(Summary!B1759,'Pre-Summary'!$A$6:$P$184,3, FALSE)/100,AD1760)</f>
        <v>0.12393833333333333</v>
      </c>
      <c r="AE1759" s="10">
        <f>IFERROR(VLOOKUP(Summary!B1759,'Pre-Summary'!$A$6:$P$184,7, FALSE)/100,AE1760)</f>
        <v>1.0083E-2</v>
      </c>
      <c r="AF1759" s="99">
        <f t="shared" si="82"/>
        <v>3.9413525583981611E-2</v>
      </c>
      <c r="AG1759" s="99">
        <f t="shared" si="83"/>
        <v>3.2064863854063441E-3</v>
      </c>
      <c r="AH1759" s="10" t="str">
        <f>IFERROR(VLOOKUP(B1759,'Pre-Summary'!$AZ$6:$BE$65,3,FALSE),"")</f>
        <v/>
      </c>
      <c r="AI1759" s="10" t="str">
        <f>IFERROR(VLOOKUP(B1759,'Pre-Summary'!$AZ$6:$BE$65,5,FALSE),"")</f>
        <v/>
      </c>
      <c r="AJ1759" s="10" t="str">
        <f>IFERROR(VLOOKUP(B1759,'Pre-Summary'!$AZ$6:$BE$65,4,FALSE),"")</f>
        <v/>
      </c>
      <c r="AK1759" s="10" t="str">
        <f>IFERROR(VLOOKUP(B1759,'Pre-Summary'!$AZ$6:$BE$65,6,FALSE),"")</f>
        <v/>
      </c>
      <c r="AL1759" s="10" t="str">
        <f>IFERROR(VLOOKUP(B1759,'Pre-Summary'!$BG$6:$BL$44,3,FALSE),"")</f>
        <v/>
      </c>
      <c r="AM1759" s="10" t="str">
        <f>IFERROR(VLOOKUP(B1759,'Pre-Summary'!$BG$6:$BL$44,4,FALSE),"")</f>
        <v/>
      </c>
    </row>
    <row r="1760" spans="2:39" ht="15" customHeight="1" x14ac:dyDescent="0.3">
      <c r="B1760">
        <v>175.7</v>
      </c>
      <c r="C1760" t="str">
        <f>IFERROR(VLOOKUP(B1760,'Pre-Summary'!$DI$6:$DM$23,4,FALSE),"")</f>
        <v/>
      </c>
      <c r="D1760" s="10" t="str">
        <f>IFERROR(VLOOKUP(B1760,'Pre-Summary'!$AT$6:$AX$14,5,FALSE),D1759)</f>
        <v>Wolfe v3: went back to modified wolfe + EDTA and switched CuSO4 to CUCl2</v>
      </c>
      <c r="E1760" s="10" t="str">
        <f>IFERROR(VLOOKUP(B1760,'Pre-Summary'!$AT$6:$AX$15,4,FALSE),"")</f>
        <v/>
      </c>
      <c r="F1760">
        <f>IFERROR(VLOOKUP(B1760,'Pre-Summary'!$AL$6:$AQ$13,6,FALSE),F1759)</f>
        <v>5.9405263157894746E-2</v>
      </c>
      <c r="G1760" t="str">
        <f>IFERROR(VLOOKUP(B1760,'Pre-Summary'!$AE$6:$AJ$85,3,FALSE),"")</f>
        <v/>
      </c>
      <c r="H1760" t="str">
        <f>IFERROR(VLOOKUP(B1760,'Pre-Summary'!$AE$6:$AJ$85,4,FALSE),"")</f>
        <v/>
      </c>
      <c r="I1760" t="str">
        <f>IFERROR(VLOOKUP(B1760,'Pre-Summary'!$AE$6:$AJ$85,5,FALSE),"")</f>
        <v/>
      </c>
      <c r="J1760" s="45" t="str">
        <f>IFERROR(VLOOKUP(B1760,'Pre-Summary'!$AE$6:$AJ$85,6, FALSE),"")</f>
        <v/>
      </c>
      <c r="K1760" s="45" t="str">
        <f>IFERROR(VLOOKUP(B1760,'Pre-Summary'!$DE$6:$DG$61,3,FALSE),"")</f>
        <v/>
      </c>
      <c r="L1760" s="45" t="str">
        <f>IFERROR(VLOOKUP(B1760,'Pre-Summary'!$CU$6:$CW$36,3,FALSE),"")</f>
        <v/>
      </c>
      <c r="M1760" s="45" t="str">
        <f>IFERROR(VLOOKUP(B1760,'Pre-Summary'!$BW$6:$BY$58,2,FALSE),"")</f>
        <v/>
      </c>
      <c r="N1760" s="45" t="str">
        <f>IFERROR(VLOOKUP(B1760,'Pre-Summary'!$CD$6:$CF$64,2,FALSE),"")</f>
        <v/>
      </c>
      <c r="O1760" s="99">
        <f>IFERROR(VLOOKUP(B1760,'Pre-Summary'!$BO$6:$BQ$48,3, FALSE),O1759)</f>
        <v>1.25</v>
      </c>
      <c r="P1760" s="99">
        <f>IFERROR(VLOOKUP(B1760,'Pre-Summary'!$BS$6:$BU$35,3,FALSE),P1759)</f>
        <v>0.33700000000000002</v>
      </c>
      <c r="Q1760" s="54">
        <f t="shared" si="81"/>
        <v>3.7091988130563798</v>
      </c>
      <c r="R1760" s="53">
        <f>IFERROR(VLOOKUP(B1760,'Pre-Summary'!$BG$6:$BM$44,7,FALSE),R1761)</f>
        <v>8.0894687007659741E-2</v>
      </c>
      <c r="S1760" s="53">
        <f>IFERROR(VLOOKUP(B1760,'Pre-Summary'!$BG$6:$BM$44,6,FALSE),S1761)</f>
        <v>6.1014931296205117E-2</v>
      </c>
      <c r="T1760" s="45" t="str">
        <f>IFERROR(VLOOKUP(B1760,'Pre-Summary'!$Y$6:$AC$83, 3,FALSE),"")</f>
        <v/>
      </c>
      <c r="U1760" s="45" t="str">
        <f>IFERROR(VLOOKUP(B1760,'Pre-Summary'!$Y$6:$AC$83, 4,FALSE),"")</f>
        <v/>
      </c>
      <c r="V1760" t="str">
        <f>IFERROR(VLOOKUP(B1760,'Pre-Summary'!$Y$6:$AC$83, 5,FALSE),"")</f>
        <v/>
      </c>
      <c r="W1760" s="45" t="str">
        <f>IFERROR(VLOOKUP(B1760,'Pre-Summary'!$Y$6:$AD$83,6,FALSE),"")</f>
        <v/>
      </c>
      <c r="X1760" t="str">
        <f>IFERROR(VLOOKUP('Pre-Summary'!$DB$6:$DD$63,3,FALSE),"")</f>
        <v/>
      </c>
      <c r="Y1760" t="str">
        <f>IFERROR(VLOOKUP(B1760,'Pre-Summary'!$CR$6:$CT$36,3,FALSE),"")</f>
        <v/>
      </c>
      <c r="Z1760" s="45" t="str">
        <f>IFERROR(VLOOKUP(B1760,'Pre-Summary'!$BZ$6:$CB$63,2,FALSE),"")</f>
        <v/>
      </c>
      <c r="AA1760" s="45" t="str">
        <f>IFERROR(VLOOKUP(B1760,'Pre-Summary'!$CG$6:$CI$70,2,FALSE),"")</f>
        <v/>
      </c>
      <c r="AB1760" s="99">
        <f>IFERROR(VLOOKUP(B1760,'Pre-Summary'!$A$6:$P$178,9,FALSE),AB1761)</f>
        <v>0.31800916249195121</v>
      </c>
      <c r="AC1760" s="10">
        <f>IFERROR(VLOOKUP(Summary!B1760,'Pre-Summary'!$A$6:$P$184,5, FALSE)/100,AC1761)</f>
        <v>0.86597933333333332</v>
      </c>
      <c r="AD1760" s="10">
        <f>IFERROR(VLOOKUP(Summary!B1760,'Pre-Summary'!$A$6:$P$184,3, FALSE)/100,AD1761)</f>
        <v>0.12393833333333333</v>
      </c>
      <c r="AE1760" s="10">
        <f>IFERROR(VLOOKUP(Summary!B1760,'Pre-Summary'!$A$6:$P$184,7, FALSE)/100,AE1761)</f>
        <v>1.0083E-2</v>
      </c>
      <c r="AF1760" s="99">
        <f t="shared" si="82"/>
        <v>3.9413525583981611E-2</v>
      </c>
      <c r="AG1760" s="99">
        <f t="shared" si="83"/>
        <v>3.2064863854063441E-3</v>
      </c>
      <c r="AH1760" s="10" t="str">
        <f>IFERROR(VLOOKUP(B1760,'Pre-Summary'!$AZ$6:$BE$65,3,FALSE),"")</f>
        <v/>
      </c>
      <c r="AI1760" s="10" t="str">
        <f>IFERROR(VLOOKUP(B1760,'Pre-Summary'!$AZ$6:$BE$65,5,FALSE),"")</f>
        <v/>
      </c>
      <c r="AJ1760" s="10" t="str">
        <f>IFERROR(VLOOKUP(B1760,'Pre-Summary'!$AZ$6:$BE$65,4,FALSE),"")</f>
        <v/>
      </c>
      <c r="AK1760" s="10" t="str">
        <f>IFERROR(VLOOKUP(B1760,'Pre-Summary'!$AZ$6:$BE$65,6,FALSE),"")</f>
        <v/>
      </c>
      <c r="AL1760" s="10" t="str">
        <f>IFERROR(VLOOKUP(B1760,'Pre-Summary'!$BG$6:$BL$44,3,FALSE),"")</f>
        <v/>
      </c>
      <c r="AM1760" s="10" t="str">
        <f>IFERROR(VLOOKUP(B1760,'Pre-Summary'!$BG$6:$BL$44,4,FALSE),"")</f>
        <v/>
      </c>
    </row>
    <row r="1761" spans="2:39" ht="15" customHeight="1" x14ac:dyDescent="0.3">
      <c r="B1761">
        <v>175.8</v>
      </c>
      <c r="C1761" t="str">
        <f>IFERROR(VLOOKUP(B1761,'Pre-Summary'!$DI$6:$DM$23,4,FALSE),"")</f>
        <v/>
      </c>
      <c r="D1761" s="10" t="str">
        <f>IFERROR(VLOOKUP(B1761,'Pre-Summary'!$AT$6:$AX$14,5,FALSE),D1760)</f>
        <v>Wolfe v3: went back to modified wolfe + EDTA and switched CuSO4 to CUCl2</v>
      </c>
      <c r="E1761" s="10" t="str">
        <f>IFERROR(VLOOKUP(B1761,'Pre-Summary'!$AT$6:$AX$15,4,FALSE),"")</f>
        <v/>
      </c>
      <c r="F1761">
        <f>IFERROR(VLOOKUP(B1761,'Pre-Summary'!$AL$6:$AQ$13,6,FALSE),F1760)</f>
        <v>5.9405263157894746E-2</v>
      </c>
      <c r="G1761" t="str">
        <f>IFERROR(VLOOKUP(B1761,'Pre-Summary'!$AE$6:$AJ$85,3,FALSE),"")</f>
        <v/>
      </c>
      <c r="H1761" t="str">
        <f>IFERROR(VLOOKUP(B1761,'Pre-Summary'!$AE$6:$AJ$85,4,FALSE),"")</f>
        <v/>
      </c>
      <c r="I1761" t="str">
        <f>IFERROR(VLOOKUP(B1761,'Pre-Summary'!$AE$6:$AJ$85,5,FALSE),"")</f>
        <v/>
      </c>
      <c r="J1761" s="45" t="str">
        <f>IFERROR(VLOOKUP(B1761,'Pre-Summary'!$AE$6:$AJ$85,6, FALSE),"")</f>
        <v/>
      </c>
      <c r="K1761" s="45" t="str">
        <f>IFERROR(VLOOKUP(B1761,'Pre-Summary'!$DE$6:$DG$61,3,FALSE),"")</f>
        <v/>
      </c>
      <c r="L1761" s="45" t="str">
        <f>IFERROR(VLOOKUP(B1761,'Pre-Summary'!$CU$6:$CW$36,3,FALSE),"")</f>
        <v/>
      </c>
      <c r="M1761" s="45" t="str">
        <f>IFERROR(VLOOKUP(B1761,'Pre-Summary'!$BW$6:$BY$58,2,FALSE),"")</f>
        <v/>
      </c>
      <c r="N1761" s="45" t="str">
        <f>IFERROR(VLOOKUP(B1761,'Pre-Summary'!$CD$6:$CF$64,2,FALSE),"")</f>
        <v/>
      </c>
      <c r="O1761" s="99">
        <f>IFERROR(VLOOKUP(B1761,'Pre-Summary'!$BO$6:$BQ$48,3, FALSE),O1760)</f>
        <v>1.25</v>
      </c>
      <c r="P1761" s="99">
        <f>IFERROR(VLOOKUP(B1761,'Pre-Summary'!$BS$6:$BU$35,3,FALSE),P1760)</f>
        <v>0.33700000000000002</v>
      </c>
      <c r="Q1761" s="54">
        <f t="shared" si="81"/>
        <v>3.7091988130563798</v>
      </c>
      <c r="R1761" s="53">
        <f>IFERROR(VLOOKUP(B1761,'Pre-Summary'!$BG$6:$BM$44,7,FALSE),R1762)</f>
        <v>8.0894687007659741E-2</v>
      </c>
      <c r="S1761" s="53">
        <f>IFERROR(VLOOKUP(B1761,'Pre-Summary'!$BG$6:$BM$44,6,FALSE),S1762)</f>
        <v>6.1014931296205117E-2</v>
      </c>
      <c r="T1761" s="45" t="str">
        <f>IFERROR(VLOOKUP(B1761,'Pre-Summary'!$Y$6:$AC$83, 3,FALSE),"")</f>
        <v/>
      </c>
      <c r="U1761" s="45" t="str">
        <f>IFERROR(VLOOKUP(B1761,'Pre-Summary'!$Y$6:$AC$83, 4,FALSE),"")</f>
        <v/>
      </c>
      <c r="V1761" t="str">
        <f>IFERROR(VLOOKUP(B1761,'Pre-Summary'!$Y$6:$AC$83, 5,FALSE),"")</f>
        <v/>
      </c>
      <c r="W1761" s="45" t="str">
        <f>IFERROR(VLOOKUP(B1761,'Pre-Summary'!$Y$6:$AD$83,6,FALSE),"")</f>
        <v/>
      </c>
      <c r="X1761" t="str">
        <f>IFERROR(VLOOKUP('Pre-Summary'!$DB$6:$DD$63,3,FALSE),"")</f>
        <v/>
      </c>
      <c r="Y1761" t="str">
        <f>IFERROR(VLOOKUP(B1761,'Pre-Summary'!$CR$6:$CT$36,3,FALSE),"")</f>
        <v/>
      </c>
      <c r="Z1761" s="45" t="str">
        <f>IFERROR(VLOOKUP(B1761,'Pre-Summary'!$BZ$6:$CB$63,2,FALSE),"")</f>
        <v/>
      </c>
      <c r="AA1761" s="45" t="str">
        <f>IFERROR(VLOOKUP(B1761,'Pre-Summary'!$CG$6:$CI$70,2,FALSE),"")</f>
        <v/>
      </c>
      <c r="AB1761" s="99">
        <f>IFERROR(VLOOKUP(B1761,'Pre-Summary'!$A$6:$P$178,9,FALSE),AB1762)</f>
        <v>0.31800916249195121</v>
      </c>
      <c r="AC1761" s="10">
        <f>IFERROR(VLOOKUP(Summary!B1761,'Pre-Summary'!$A$6:$P$184,5, FALSE)/100,AC1762)</f>
        <v>0.86597933333333332</v>
      </c>
      <c r="AD1761" s="10">
        <f>IFERROR(VLOOKUP(Summary!B1761,'Pre-Summary'!$A$6:$P$184,3, FALSE)/100,AD1762)</f>
        <v>0.12393833333333333</v>
      </c>
      <c r="AE1761" s="10">
        <f>IFERROR(VLOOKUP(Summary!B1761,'Pre-Summary'!$A$6:$P$184,7, FALSE)/100,AE1762)</f>
        <v>1.0083E-2</v>
      </c>
      <c r="AF1761" s="99">
        <f t="shared" si="82"/>
        <v>3.9413525583981611E-2</v>
      </c>
      <c r="AG1761" s="99">
        <f t="shared" si="83"/>
        <v>3.2064863854063441E-3</v>
      </c>
      <c r="AH1761" s="10" t="str">
        <f>IFERROR(VLOOKUP(B1761,'Pre-Summary'!$AZ$6:$BE$65,3,FALSE),"")</f>
        <v/>
      </c>
      <c r="AI1761" s="10" t="str">
        <f>IFERROR(VLOOKUP(B1761,'Pre-Summary'!$AZ$6:$BE$65,5,FALSE),"")</f>
        <v/>
      </c>
      <c r="AJ1761" s="10" t="str">
        <f>IFERROR(VLOOKUP(B1761,'Pre-Summary'!$AZ$6:$BE$65,4,FALSE),"")</f>
        <v/>
      </c>
      <c r="AK1761" s="10" t="str">
        <f>IFERROR(VLOOKUP(B1761,'Pre-Summary'!$AZ$6:$BE$65,6,FALSE),"")</f>
        <v/>
      </c>
      <c r="AL1761" s="10" t="str">
        <f>IFERROR(VLOOKUP(B1761,'Pre-Summary'!$BG$6:$BL$44,3,FALSE),"")</f>
        <v/>
      </c>
      <c r="AM1761" s="10" t="str">
        <f>IFERROR(VLOOKUP(B1761,'Pre-Summary'!$BG$6:$BL$44,4,FALSE),"")</f>
        <v/>
      </c>
    </row>
    <row r="1762" spans="2:39" ht="15" customHeight="1" x14ac:dyDescent="0.3">
      <c r="B1762">
        <v>175.9</v>
      </c>
      <c r="C1762" t="str">
        <f>IFERROR(VLOOKUP(B1762,'Pre-Summary'!$DI$6:$DM$23,4,FALSE),"")</f>
        <v/>
      </c>
      <c r="D1762" s="10" t="str">
        <f>IFERROR(VLOOKUP(B1762,'Pre-Summary'!$AT$6:$AX$14,5,FALSE),D1761)</f>
        <v>Wolfe v3: went back to modified wolfe + EDTA and switched CuSO4 to CUCl2</v>
      </c>
      <c r="E1762" s="10" t="str">
        <f>IFERROR(VLOOKUP(B1762,'Pre-Summary'!$AT$6:$AX$15,4,FALSE),"")</f>
        <v/>
      </c>
      <c r="F1762">
        <f>IFERROR(VLOOKUP(B1762,'Pre-Summary'!$AL$6:$AQ$13,6,FALSE),F1761)</f>
        <v>5.9405263157894746E-2</v>
      </c>
      <c r="G1762" t="str">
        <f>IFERROR(VLOOKUP(B1762,'Pre-Summary'!$AE$6:$AJ$85,3,FALSE),"")</f>
        <v/>
      </c>
      <c r="H1762" t="str">
        <f>IFERROR(VLOOKUP(B1762,'Pre-Summary'!$AE$6:$AJ$85,4,FALSE),"")</f>
        <v/>
      </c>
      <c r="I1762" t="str">
        <f>IFERROR(VLOOKUP(B1762,'Pre-Summary'!$AE$6:$AJ$85,5,FALSE),"")</f>
        <v/>
      </c>
      <c r="J1762" s="45" t="str">
        <f>IFERROR(VLOOKUP(B1762,'Pre-Summary'!$AE$6:$AJ$85,6, FALSE),"")</f>
        <v/>
      </c>
      <c r="K1762" s="45" t="str">
        <f>IFERROR(VLOOKUP(B1762,'Pre-Summary'!$DE$6:$DG$61,3,FALSE),"")</f>
        <v/>
      </c>
      <c r="L1762" s="45" t="str">
        <f>IFERROR(VLOOKUP(B1762,'Pre-Summary'!$CU$6:$CW$36,3,FALSE),"")</f>
        <v/>
      </c>
      <c r="M1762" s="45" t="str">
        <f>IFERROR(VLOOKUP(B1762,'Pre-Summary'!$BW$6:$BY$58,2,FALSE),"")</f>
        <v/>
      </c>
      <c r="N1762" s="45" t="str">
        <f>IFERROR(VLOOKUP(B1762,'Pre-Summary'!$CD$6:$CF$64,2,FALSE),"")</f>
        <v/>
      </c>
      <c r="O1762" s="99">
        <f>IFERROR(VLOOKUP(B1762,'Pre-Summary'!$BO$6:$BQ$48,3, FALSE),O1761)</f>
        <v>1.25</v>
      </c>
      <c r="P1762" s="99">
        <f>IFERROR(VLOOKUP(B1762,'Pre-Summary'!$BS$6:$BU$35,3,FALSE),P1761)</f>
        <v>0.33700000000000002</v>
      </c>
      <c r="Q1762" s="54">
        <f t="shared" si="81"/>
        <v>3.7091988130563798</v>
      </c>
      <c r="R1762" s="53">
        <f>IFERROR(VLOOKUP(B1762,'Pre-Summary'!$BG$6:$BM$44,7,FALSE),R1763)</f>
        <v>8.0894687007659741E-2</v>
      </c>
      <c r="S1762" s="53">
        <f>IFERROR(VLOOKUP(B1762,'Pre-Summary'!$BG$6:$BM$44,6,FALSE),S1763)</f>
        <v>6.1014931296205117E-2</v>
      </c>
      <c r="T1762" s="45" t="str">
        <f>IFERROR(VLOOKUP(B1762,'Pre-Summary'!$Y$6:$AC$83, 3,FALSE),"")</f>
        <v/>
      </c>
      <c r="U1762" s="45" t="str">
        <f>IFERROR(VLOOKUP(B1762,'Pre-Summary'!$Y$6:$AC$83, 4,FALSE),"")</f>
        <v/>
      </c>
      <c r="V1762" t="str">
        <f>IFERROR(VLOOKUP(B1762,'Pre-Summary'!$Y$6:$AC$83, 5,FALSE),"")</f>
        <v/>
      </c>
      <c r="W1762" s="45" t="str">
        <f>IFERROR(VLOOKUP(B1762,'Pre-Summary'!$Y$6:$AD$83,6,FALSE),"")</f>
        <v/>
      </c>
      <c r="X1762" t="str">
        <f>IFERROR(VLOOKUP('Pre-Summary'!$DB$6:$DD$63,3,FALSE),"")</f>
        <v/>
      </c>
      <c r="Y1762" t="str">
        <f>IFERROR(VLOOKUP(B1762,'Pre-Summary'!$CR$6:$CT$36,3,FALSE),"")</f>
        <v/>
      </c>
      <c r="Z1762" s="45" t="str">
        <f>IFERROR(VLOOKUP(B1762,'Pre-Summary'!$BZ$6:$CB$63,2,FALSE),"")</f>
        <v/>
      </c>
      <c r="AA1762" s="45" t="str">
        <f>IFERROR(VLOOKUP(B1762,'Pre-Summary'!$CG$6:$CI$70,2,FALSE),"")</f>
        <v/>
      </c>
      <c r="AB1762" s="99">
        <f>IFERROR(VLOOKUP(B1762,'Pre-Summary'!$A$6:$P$178,9,FALSE),AB1763)</f>
        <v>0.31800916249195121</v>
      </c>
      <c r="AC1762" s="10">
        <f>IFERROR(VLOOKUP(Summary!B1762,'Pre-Summary'!$A$6:$P$184,5, FALSE)/100,AC1763)</f>
        <v>0.86597933333333332</v>
      </c>
      <c r="AD1762" s="10">
        <f>IFERROR(VLOOKUP(Summary!B1762,'Pre-Summary'!$A$6:$P$184,3, FALSE)/100,AD1763)</f>
        <v>0.12393833333333333</v>
      </c>
      <c r="AE1762" s="10">
        <f>IFERROR(VLOOKUP(Summary!B1762,'Pre-Summary'!$A$6:$P$184,7, FALSE)/100,AE1763)</f>
        <v>1.0083E-2</v>
      </c>
      <c r="AF1762" s="99">
        <f t="shared" si="82"/>
        <v>3.9413525583981611E-2</v>
      </c>
      <c r="AG1762" s="99">
        <f t="shared" si="83"/>
        <v>3.2064863854063441E-3</v>
      </c>
      <c r="AH1762" s="10" t="str">
        <f>IFERROR(VLOOKUP(B1762,'Pre-Summary'!$AZ$6:$BE$65,3,FALSE),"")</f>
        <v/>
      </c>
      <c r="AI1762" s="10" t="str">
        <f>IFERROR(VLOOKUP(B1762,'Pre-Summary'!$AZ$6:$BE$65,5,FALSE),"")</f>
        <v/>
      </c>
      <c r="AJ1762" s="10" t="str">
        <f>IFERROR(VLOOKUP(B1762,'Pre-Summary'!$AZ$6:$BE$65,4,FALSE),"")</f>
        <v/>
      </c>
      <c r="AK1762" s="10" t="str">
        <f>IFERROR(VLOOKUP(B1762,'Pre-Summary'!$AZ$6:$BE$65,6,FALSE),"")</f>
        <v/>
      </c>
      <c r="AL1762" s="10" t="str">
        <f>IFERROR(VLOOKUP(B1762,'Pre-Summary'!$BG$6:$BL$44,3,FALSE),"")</f>
        <v/>
      </c>
      <c r="AM1762" s="10" t="str">
        <f>IFERROR(VLOOKUP(B1762,'Pre-Summary'!$BG$6:$BL$44,4,FALSE),"")</f>
        <v/>
      </c>
    </row>
    <row r="1763" spans="2:39" ht="15" customHeight="1" x14ac:dyDescent="0.3">
      <c r="B1763">
        <v>176</v>
      </c>
      <c r="C1763" t="str">
        <f>IFERROR(VLOOKUP(B1763,'Pre-Summary'!$DI$6:$DM$23,4,FALSE),"")</f>
        <v/>
      </c>
      <c r="D1763" s="10" t="str">
        <f>IFERROR(VLOOKUP(B1763,'Pre-Summary'!$AT$6:$AX$14,5,FALSE),D1762)</f>
        <v>Wolfe v3: went back to modified wolfe + EDTA and switched CuSO4 to CUCl2</v>
      </c>
      <c r="E1763" s="10" t="str">
        <f>IFERROR(VLOOKUP(B1763,'Pre-Summary'!$AT$6:$AX$15,4,FALSE),"")</f>
        <v/>
      </c>
      <c r="F1763">
        <f>IFERROR(VLOOKUP(B1763,'Pre-Summary'!$AL$6:$AQ$13,6,FALSE),F1762)</f>
        <v>5.9405263157894746E-2</v>
      </c>
      <c r="G1763" t="str">
        <f>IFERROR(VLOOKUP(B1763,'Pre-Summary'!$AE$6:$AJ$85,3,FALSE),"")</f>
        <v/>
      </c>
      <c r="H1763" t="str">
        <f>IFERROR(VLOOKUP(B1763,'Pre-Summary'!$AE$6:$AJ$85,4,FALSE),"")</f>
        <v/>
      </c>
      <c r="I1763" t="str">
        <f>IFERROR(VLOOKUP(B1763,'Pre-Summary'!$AE$6:$AJ$85,5,FALSE),"")</f>
        <v/>
      </c>
      <c r="J1763" s="45" t="str">
        <f>IFERROR(VLOOKUP(B1763,'Pre-Summary'!$AE$6:$AJ$85,6, FALSE),"")</f>
        <v/>
      </c>
      <c r="K1763" s="45" t="str">
        <f>IFERROR(VLOOKUP(B1763,'Pre-Summary'!$DE$6:$DG$61,3,FALSE),"")</f>
        <v/>
      </c>
      <c r="L1763" s="45" t="str">
        <f>IFERROR(VLOOKUP(B1763,'Pre-Summary'!$CU$6:$CW$36,3,FALSE),"")</f>
        <v/>
      </c>
      <c r="M1763" s="45" t="str">
        <f>IFERROR(VLOOKUP(B1763,'Pre-Summary'!$BW$6:$BY$58,2,FALSE),"")</f>
        <v/>
      </c>
      <c r="N1763" s="45" t="str">
        <f>IFERROR(VLOOKUP(B1763,'Pre-Summary'!$CD$6:$CF$64,2,FALSE),"")</f>
        <v/>
      </c>
      <c r="O1763" s="99">
        <f>IFERROR(VLOOKUP(B1763,'Pre-Summary'!$BO$6:$BQ$48,3, FALSE),O1762)</f>
        <v>1.25</v>
      </c>
      <c r="P1763" s="99">
        <f>IFERROR(VLOOKUP(B1763,'Pre-Summary'!$BS$6:$BU$35,3,FALSE),P1762)</f>
        <v>0.33700000000000002</v>
      </c>
      <c r="Q1763" s="54">
        <f t="shared" si="81"/>
        <v>3.7091988130563798</v>
      </c>
      <c r="R1763" s="53">
        <f>IFERROR(VLOOKUP(B1763,'Pre-Summary'!$BG$6:$BM$44,7,FALSE),R1764)</f>
        <v>8.0894687007659741E-2</v>
      </c>
      <c r="S1763" s="53">
        <f>IFERROR(VLOOKUP(B1763,'Pre-Summary'!$BG$6:$BM$44,6,FALSE),S1764)</f>
        <v>6.1014931296205117E-2</v>
      </c>
      <c r="T1763" s="45" t="str">
        <f>IFERROR(VLOOKUP(B1763,'Pre-Summary'!$Y$6:$AC$83, 3,FALSE),"")</f>
        <v/>
      </c>
      <c r="U1763" s="45" t="str">
        <f>IFERROR(VLOOKUP(B1763,'Pre-Summary'!$Y$6:$AC$83, 4,FALSE),"")</f>
        <v/>
      </c>
      <c r="V1763" t="str">
        <f>IFERROR(VLOOKUP(B1763,'Pre-Summary'!$Y$6:$AC$83, 5,FALSE),"")</f>
        <v/>
      </c>
      <c r="W1763" s="45" t="str">
        <f>IFERROR(VLOOKUP(B1763,'Pre-Summary'!$Y$6:$AD$83,6,FALSE),"")</f>
        <v/>
      </c>
      <c r="X1763" t="str">
        <f>IFERROR(VLOOKUP('Pre-Summary'!$DB$6:$DD$63,3,FALSE),"")</f>
        <v/>
      </c>
      <c r="Y1763" t="str">
        <f>IFERROR(VLOOKUP(B1763,'Pre-Summary'!$CR$6:$CT$36,3,FALSE),"")</f>
        <v/>
      </c>
      <c r="Z1763" s="45" t="str">
        <f>IFERROR(VLOOKUP(B1763,'Pre-Summary'!$BZ$6:$CB$63,2,FALSE),"")</f>
        <v/>
      </c>
      <c r="AA1763" s="45" t="str">
        <f>IFERROR(VLOOKUP(B1763,'Pre-Summary'!$CG$6:$CI$70,2,FALSE),"")</f>
        <v/>
      </c>
      <c r="AB1763" s="99">
        <f>IFERROR(VLOOKUP(B1763,'Pre-Summary'!$A$6:$P$178,9,FALSE),AB1764)</f>
        <v>0.31425425318102462</v>
      </c>
      <c r="AC1763" s="10">
        <f>IFERROR(VLOOKUP(Summary!B1763,'Pre-Summary'!$A$6:$P$184,5, FALSE)/100,AC1764)</f>
        <v>0.88067666666666655</v>
      </c>
      <c r="AD1763" s="10">
        <f>IFERROR(VLOOKUP(Summary!B1763,'Pre-Summary'!$A$6:$P$184,3, FALSE)/100,AD1764)</f>
        <v>9.1757333333333316E-2</v>
      </c>
      <c r="AE1763" s="10">
        <f>IFERROR(VLOOKUP(Summary!B1763,'Pre-Summary'!$A$6:$P$184,7, FALSE)/100,AE1764)</f>
        <v>2.7566E-2</v>
      </c>
      <c r="AF1763" s="99">
        <f t="shared" si="82"/>
        <v>2.8835132260548998E-2</v>
      </c>
      <c r="AG1763" s="99">
        <f t="shared" si="83"/>
        <v>8.662732743188125E-3</v>
      </c>
      <c r="AH1763" s="10" t="str">
        <f>IFERROR(VLOOKUP(B1763,'Pre-Summary'!$AZ$6:$BE$65,3,FALSE),"")</f>
        <v/>
      </c>
      <c r="AI1763" s="10" t="str">
        <f>IFERROR(VLOOKUP(B1763,'Pre-Summary'!$AZ$6:$BE$65,5,FALSE),"")</f>
        <v/>
      </c>
      <c r="AJ1763" s="10" t="str">
        <f>IFERROR(VLOOKUP(B1763,'Pre-Summary'!$AZ$6:$BE$65,4,FALSE),"")</f>
        <v/>
      </c>
      <c r="AK1763" s="10" t="str">
        <f>IFERROR(VLOOKUP(B1763,'Pre-Summary'!$AZ$6:$BE$65,6,FALSE),"")</f>
        <v/>
      </c>
      <c r="AL1763" s="10" t="str">
        <f>IFERROR(VLOOKUP(B1763,'Pre-Summary'!$BG$6:$BL$44,3,FALSE),"")</f>
        <v/>
      </c>
      <c r="AM1763" s="10" t="str">
        <f>IFERROR(VLOOKUP(B1763,'Pre-Summary'!$BG$6:$BL$44,4,FALSE),"")</f>
        <v/>
      </c>
    </row>
    <row r="1764" spans="2:39" ht="15" customHeight="1" x14ac:dyDescent="0.3">
      <c r="B1764">
        <v>176.1</v>
      </c>
      <c r="C1764" t="str">
        <f>IFERROR(VLOOKUP(B1764,'Pre-Summary'!$DI$6:$DM$23,4,FALSE),"")</f>
        <v/>
      </c>
      <c r="D1764" s="10" t="str">
        <f>IFERROR(VLOOKUP(B1764,'Pre-Summary'!$AT$6:$AX$14,5,FALSE),D1763)</f>
        <v>Wolfe v3: went back to modified wolfe + EDTA and switched CuSO4 to CUCl2</v>
      </c>
      <c r="E1764" s="10" t="str">
        <f>IFERROR(VLOOKUP(B1764,'Pre-Summary'!$AT$6:$AX$15,4,FALSE),"")</f>
        <v/>
      </c>
      <c r="F1764">
        <f>IFERROR(VLOOKUP(B1764,'Pre-Summary'!$AL$6:$AQ$13,6,FALSE),F1763)</f>
        <v>5.9405263157894746E-2</v>
      </c>
      <c r="G1764" t="str">
        <f>IFERROR(VLOOKUP(B1764,'Pre-Summary'!$AE$6:$AJ$85,3,FALSE),"")</f>
        <v/>
      </c>
      <c r="H1764" t="str">
        <f>IFERROR(VLOOKUP(B1764,'Pre-Summary'!$AE$6:$AJ$85,4,FALSE),"")</f>
        <v/>
      </c>
      <c r="I1764" t="str">
        <f>IFERROR(VLOOKUP(B1764,'Pre-Summary'!$AE$6:$AJ$85,5,FALSE),"")</f>
        <v/>
      </c>
      <c r="J1764" s="45" t="str">
        <f>IFERROR(VLOOKUP(B1764,'Pre-Summary'!$AE$6:$AJ$85,6, FALSE),"")</f>
        <v/>
      </c>
      <c r="K1764" s="45" t="str">
        <f>IFERROR(VLOOKUP(B1764,'Pre-Summary'!$DE$6:$DG$61,3,FALSE),"")</f>
        <v/>
      </c>
      <c r="L1764" s="45" t="str">
        <f>IFERROR(VLOOKUP(B1764,'Pre-Summary'!$CU$6:$CW$36,3,FALSE),"")</f>
        <v/>
      </c>
      <c r="M1764" s="45" t="str">
        <f>IFERROR(VLOOKUP(B1764,'Pre-Summary'!$BW$6:$BY$58,2,FALSE),"")</f>
        <v/>
      </c>
      <c r="N1764" s="45" t="str">
        <f>IFERROR(VLOOKUP(B1764,'Pre-Summary'!$CD$6:$CF$64,2,FALSE),"")</f>
        <v/>
      </c>
      <c r="O1764" s="99">
        <f>IFERROR(VLOOKUP(B1764,'Pre-Summary'!$BO$6:$BQ$48,3, FALSE),O1763)</f>
        <v>1.25</v>
      </c>
      <c r="P1764" s="99">
        <f>IFERROR(VLOOKUP(B1764,'Pre-Summary'!$BS$6:$BU$35,3,FALSE),P1763)</f>
        <v>0.33700000000000002</v>
      </c>
      <c r="Q1764" s="54">
        <f t="shared" si="81"/>
        <v>3.7091988130563798</v>
      </c>
      <c r="R1764" s="53">
        <f>IFERROR(VLOOKUP(B1764,'Pre-Summary'!$BG$6:$BM$44,7,FALSE),R1765)</f>
        <v>8.0894687007659741E-2</v>
      </c>
      <c r="S1764" s="53">
        <f>IFERROR(VLOOKUP(B1764,'Pre-Summary'!$BG$6:$BM$44,6,FALSE),S1765)</f>
        <v>6.1014931296205117E-2</v>
      </c>
      <c r="T1764" s="45" t="str">
        <f>IFERROR(VLOOKUP(B1764,'Pre-Summary'!$Y$6:$AC$83, 3,FALSE),"")</f>
        <v/>
      </c>
      <c r="U1764" s="45" t="str">
        <f>IFERROR(VLOOKUP(B1764,'Pre-Summary'!$Y$6:$AC$83, 4,FALSE),"")</f>
        <v/>
      </c>
      <c r="V1764" t="str">
        <f>IFERROR(VLOOKUP(B1764,'Pre-Summary'!$Y$6:$AC$83, 5,FALSE),"")</f>
        <v/>
      </c>
      <c r="W1764" s="45" t="str">
        <f>IFERROR(VLOOKUP(B1764,'Pre-Summary'!$Y$6:$AD$83,6,FALSE),"")</f>
        <v/>
      </c>
      <c r="X1764" t="str">
        <f>IFERROR(VLOOKUP('Pre-Summary'!$DB$6:$DD$63,3,FALSE),"")</f>
        <v/>
      </c>
      <c r="Y1764" t="str">
        <f>IFERROR(VLOOKUP(B1764,'Pre-Summary'!$CR$6:$CT$36,3,FALSE),"")</f>
        <v/>
      </c>
      <c r="Z1764" s="45" t="str">
        <f>IFERROR(VLOOKUP(B1764,'Pre-Summary'!$BZ$6:$CB$63,2,FALSE),"")</f>
        <v/>
      </c>
      <c r="AA1764" s="45" t="str">
        <f>IFERROR(VLOOKUP(B1764,'Pre-Summary'!$CG$6:$CI$70,2,FALSE),"")</f>
        <v/>
      </c>
      <c r="AB1764" s="99">
        <f>IFERROR(VLOOKUP(B1764,'Pre-Summary'!$A$6:$P$178,9,FALSE),AB1765)</f>
        <v>0.31425425318102462</v>
      </c>
      <c r="AC1764" s="10">
        <f>IFERROR(VLOOKUP(Summary!B1764,'Pre-Summary'!$A$6:$P$184,5, FALSE)/100,AC1765)</f>
        <v>0.88067666666666655</v>
      </c>
      <c r="AD1764" s="10">
        <f>IFERROR(VLOOKUP(Summary!B1764,'Pre-Summary'!$A$6:$P$184,3, FALSE)/100,AD1765)</f>
        <v>9.1757333333333316E-2</v>
      </c>
      <c r="AE1764" s="10">
        <f>IFERROR(VLOOKUP(Summary!B1764,'Pre-Summary'!$A$6:$P$184,7, FALSE)/100,AE1765)</f>
        <v>2.7566E-2</v>
      </c>
      <c r="AF1764" s="99">
        <f t="shared" si="82"/>
        <v>2.8835132260548998E-2</v>
      </c>
      <c r="AG1764" s="99">
        <f t="shared" si="83"/>
        <v>8.662732743188125E-3</v>
      </c>
      <c r="AH1764" s="10" t="str">
        <f>IFERROR(VLOOKUP(B1764,'Pre-Summary'!$AZ$6:$BE$65,3,FALSE),"")</f>
        <v/>
      </c>
      <c r="AI1764" s="10" t="str">
        <f>IFERROR(VLOOKUP(B1764,'Pre-Summary'!$AZ$6:$BE$65,5,FALSE),"")</f>
        <v/>
      </c>
      <c r="AJ1764" s="10" t="str">
        <f>IFERROR(VLOOKUP(B1764,'Pre-Summary'!$AZ$6:$BE$65,4,FALSE),"")</f>
        <v/>
      </c>
      <c r="AK1764" s="10" t="str">
        <f>IFERROR(VLOOKUP(B1764,'Pre-Summary'!$AZ$6:$BE$65,6,FALSE),"")</f>
        <v/>
      </c>
      <c r="AL1764" s="10" t="str">
        <f>IFERROR(VLOOKUP(B1764,'Pre-Summary'!$BG$6:$BL$44,3,FALSE),"")</f>
        <v/>
      </c>
      <c r="AM1764" s="10" t="str">
        <f>IFERROR(VLOOKUP(B1764,'Pre-Summary'!$BG$6:$BL$44,4,FALSE),"")</f>
        <v/>
      </c>
    </row>
    <row r="1765" spans="2:39" ht="15" customHeight="1" x14ac:dyDescent="0.3">
      <c r="B1765">
        <v>176.2</v>
      </c>
      <c r="C1765" t="str">
        <f>IFERROR(VLOOKUP(B1765,'Pre-Summary'!$DI$6:$DM$23,4,FALSE),"")</f>
        <v/>
      </c>
      <c r="D1765" s="10" t="str">
        <f>IFERROR(VLOOKUP(B1765,'Pre-Summary'!$AT$6:$AX$14,5,FALSE),D1764)</f>
        <v>Wolfe v3: went back to modified wolfe + EDTA and switched CuSO4 to CUCl2</v>
      </c>
      <c r="E1765" s="10" t="str">
        <f>IFERROR(VLOOKUP(B1765,'Pre-Summary'!$AT$6:$AX$15,4,FALSE),"")</f>
        <v/>
      </c>
      <c r="F1765">
        <f>IFERROR(VLOOKUP(B1765,'Pre-Summary'!$AL$6:$AQ$13,6,FALSE),F1764)</f>
        <v>5.9405263157894746E-2</v>
      </c>
      <c r="G1765" t="str">
        <f>IFERROR(VLOOKUP(B1765,'Pre-Summary'!$AE$6:$AJ$85,3,FALSE),"")</f>
        <v/>
      </c>
      <c r="H1765" t="str">
        <f>IFERROR(VLOOKUP(B1765,'Pre-Summary'!$AE$6:$AJ$85,4,FALSE),"")</f>
        <v/>
      </c>
      <c r="I1765" t="str">
        <f>IFERROR(VLOOKUP(B1765,'Pre-Summary'!$AE$6:$AJ$85,5,FALSE),"")</f>
        <v/>
      </c>
      <c r="J1765" s="45" t="str">
        <f>IFERROR(VLOOKUP(B1765,'Pre-Summary'!$AE$6:$AJ$85,6, FALSE),"")</f>
        <v/>
      </c>
      <c r="K1765" s="45" t="str">
        <f>IFERROR(VLOOKUP(B1765,'Pre-Summary'!$DE$6:$DG$61,3,FALSE),"")</f>
        <v/>
      </c>
      <c r="L1765" s="45" t="str">
        <f>IFERROR(VLOOKUP(B1765,'Pre-Summary'!$CU$6:$CW$36,3,FALSE),"")</f>
        <v/>
      </c>
      <c r="M1765" s="45" t="str">
        <f>IFERROR(VLOOKUP(B1765,'Pre-Summary'!$BW$6:$BY$58,2,FALSE),"")</f>
        <v/>
      </c>
      <c r="N1765" s="45" t="str">
        <f>IFERROR(VLOOKUP(B1765,'Pre-Summary'!$CD$6:$CF$64,2,FALSE),"")</f>
        <v/>
      </c>
      <c r="O1765" s="99">
        <f>IFERROR(VLOOKUP(B1765,'Pre-Summary'!$BO$6:$BQ$48,3, FALSE),O1764)</f>
        <v>1.25</v>
      </c>
      <c r="P1765" s="99">
        <f>IFERROR(VLOOKUP(B1765,'Pre-Summary'!$BS$6:$BU$35,3,FALSE),P1764)</f>
        <v>0.33700000000000002</v>
      </c>
      <c r="Q1765" s="54">
        <f t="shared" si="81"/>
        <v>3.7091988130563798</v>
      </c>
      <c r="R1765" s="53">
        <f>IFERROR(VLOOKUP(B1765,'Pre-Summary'!$BG$6:$BM$44,7,FALSE),R1766)</f>
        <v>8.0894687007659741E-2</v>
      </c>
      <c r="S1765" s="53">
        <f>IFERROR(VLOOKUP(B1765,'Pre-Summary'!$BG$6:$BM$44,6,FALSE),S1766)</f>
        <v>6.1014931296205117E-2</v>
      </c>
      <c r="T1765" s="45" t="str">
        <f>IFERROR(VLOOKUP(B1765,'Pre-Summary'!$Y$6:$AC$83, 3,FALSE),"")</f>
        <v/>
      </c>
      <c r="U1765" s="45" t="str">
        <f>IFERROR(VLOOKUP(B1765,'Pre-Summary'!$Y$6:$AC$83, 4,FALSE),"")</f>
        <v/>
      </c>
      <c r="V1765" t="str">
        <f>IFERROR(VLOOKUP(B1765,'Pre-Summary'!$Y$6:$AC$83, 5,FALSE),"")</f>
        <v/>
      </c>
      <c r="W1765" s="45" t="str">
        <f>IFERROR(VLOOKUP(B1765,'Pre-Summary'!$Y$6:$AD$83,6,FALSE),"")</f>
        <v/>
      </c>
      <c r="X1765" t="str">
        <f>IFERROR(VLOOKUP('Pre-Summary'!$DB$6:$DD$63,3,FALSE),"")</f>
        <v/>
      </c>
      <c r="Y1765" t="str">
        <f>IFERROR(VLOOKUP(B1765,'Pre-Summary'!$CR$6:$CT$36,3,FALSE),"")</f>
        <v/>
      </c>
      <c r="Z1765" s="45" t="str">
        <f>IFERROR(VLOOKUP(B1765,'Pre-Summary'!$BZ$6:$CB$63,2,FALSE),"")</f>
        <v/>
      </c>
      <c r="AA1765" s="45" t="str">
        <f>IFERROR(VLOOKUP(B1765,'Pre-Summary'!$CG$6:$CI$70,2,FALSE),"")</f>
        <v/>
      </c>
      <c r="AB1765" s="99">
        <f>IFERROR(VLOOKUP(B1765,'Pre-Summary'!$A$6:$P$178,9,FALSE),AB1766)</f>
        <v>0.31425425318102462</v>
      </c>
      <c r="AC1765" s="10">
        <f>IFERROR(VLOOKUP(Summary!B1765,'Pre-Summary'!$A$6:$P$184,5, FALSE)/100,AC1766)</f>
        <v>0.88067666666666655</v>
      </c>
      <c r="AD1765" s="10">
        <f>IFERROR(VLOOKUP(Summary!B1765,'Pre-Summary'!$A$6:$P$184,3, FALSE)/100,AD1766)</f>
        <v>9.1757333333333316E-2</v>
      </c>
      <c r="AE1765" s="10">
        <f>IFERROR(VLOOKUP(Summary!B1765,'Pre-Summary'!$A$6:$P$184,7, FALSE)/100,AE1766)</f>
        <v>2.7566E-2</v>
      </c>
      <c r="AF1765" s="99">
        <f t="shared" si="82"/>
        <v>2.8835132260548998E-2</v>
      </c>
      <c r="AG1765" s="99">
        <f t="shared" si="83"/>
        <v>8.662732743188125E-3</v>
      </c>
      <c r="AH1765" s="10" t="str">
        <f>IFERROR(VLOOKUP(B1765,'Pre-Summary'!$AZ$6:$BE$65,3,FALSE),"")</f>
        <v/>
      </c>
      <c r="AI1765" s="10" t="str">
        <f>IFERROR(VLOOKUP(B1765,'Pre-Summary'!$AZ$6:$BE$65,5,FALSE),"")</f>
        <v/>
      </c>
      <c r="AJ1765" s="10" t="str">
        <f>IFERROR(VLOOKUP(B1765,'Pre-Summary'!$AZ$6:$BE$65,4,FALSE),"")</f>
        <v/>
      </c>
      <c r="AK1765" s="10" t="str">
        <f>IFERROR(VLOOKUP(B1765,'Pre-Summary'!$AZ$6:$BE$65,6,FALSE),"")</f>
        <v/>
      </c>
      <c r="AL1765" s="10" t="str">
        <f>IFERROR(VLOOKUP(B1765,'Pre-Summary'!$BG$6:$BL$44,3,FALSE),"")</f>
        <v/>
      </c>
      <c r="AM1765" s="10" t="str">
        <f>IFERROR(VLOOKUP(B1765,'Pre-Summary'!$BG$6:$BL$44,4,FALSE),"")</f>
        <v/>
      </c>
    </row>
    <row r="1766" spans="2:39" ht="15" customHeight="1" x14ac:dyDescent="0.3">
      <c r="B1766">
        <v>176.3</v>
      </c>
      <c r="C1766" t="str">
        <f>IFERROR(VLOOKUP(B1766,'Pre-Summary'!$DI$6:$DM$23,4,FALSE),"")</f>
        <v/>
      </c>
      <c r="D1766" s="10" t="str">
        <f>IFERROR(VLOOKUP(B1766,'Pre-Summary'!$AT$6:$AX$14,5,FALSE),D1765)</f>
        <v>Wolfe v3: went back to modified wolfe + EDTA and switched CuSO4 to CUCl2</v>
      </c>
      <c r="E1766" s="10" t="str">
        <f>IFERROR(VLOOKUP(B1766,'Pre-Summary'!$AT$6:$AX$15,4,FALSE),"")</f>
        <v/>
      </c>
      <c r="F1766">
        <f>IFERROR(VLOOKUP(B1766,'Pre-Summary'!$AL$6:$AQ$13,6,FALSE),F1765)</f>
        <v>5.9405263157894746E-2</v>
      </c>
      <c r="G1766" t="str">
        <f>IFERROR(VLOOKUP(B1766,'Pre-Summary'!$AE$6:$AJ$85,3,FALSE),"")</f>
        <v/>
      </c>
      <c r="H1766" t="str">
        <f>IFERROR(VLOOKUP(B1766,'Pre-Summary'!$AE$6:$AJ$85,4,FALSE),"")</f>
        <v/>
      </c>
      <c r="I1766" t="str">
        <f>IFERROR(VLOOKUP(B1766,'Pre-Summary'!$AE$6:$AJ$85,5,FALSE),"")</f>
        <v/>
      </c>
      <c r="J1766" s="45" t="str">
        <f>IFERROR(VLOOKUP(B1766,'Pre-Summary'!$AE$6:$AJ$85,6, FALSE),"")</f>
        <v/>
      </c>
      <c r="K1766" s="45" t="str">
        <f>IFERROR(VLOOKUP(B1766,'Pre-Summary'!$DE$6:$DG$61,3,FALSE),"")</f>
        <v/>
      </c>
      <c r="L1766" s="45" t="str">
        <f>IFERROR(VLOOKUP(B1766,'Pre-Summary'!$CU$6:$CW$36,3,FALSE),"")</f>
        <v/>
      </c>
      <c r="M1766" s="45" t="str">
        <f>IFERROR(VLOOKUP(B1766,'Pre-Summary'!$BW$6:$BY$58,2,FALSE),"")</f>
        <v/>
      </c>
      <c r="N1766" s="45" t="str">
        <f>IFERROR(VLOOKUP(B1766,'Pre-Summary'!$CD$6:$CF$64,2,FALSE),"")</f>
        <v/>
      </c>
      <c r="O1766" s="99">
        <f>IFERROR(VLOOKUP(B1766,'Pre-Summary'!$BO$6:$BQ$48,3, FALSE),O1765)</f>
        <v>1.25</v>
      </c>
      <c r="P1766" s="99">
        <f>IFERROR(VLOOKUP(B1766,'Pre-Summary'!$BS$6:$BU$35,3,FALSE),P1765)</f>
        <v>0.33700000000000002</v>
      </c>
      <c r="Q1766" s="54">
        <f t="shared" si="81"/>
        <v>3.7091988130563798</v>
      </c>
      <c r="R1766" s="53">
        <f>IFERROR(VLOOKUP(B1766,'Pre-Summary'!$BG$6:$BM$44,7,FALSE),R1767)</f>
        <v>8.0894687007659741E-2</v>
      </c>
      <c r="S1766" s="53">
        <f>IFERROR(VLOOKUP(B1766,'Pre-Summary'!$BG$6:$BM$44,6,FALSE),S1767)</f>
        <v>6.1014931296205117E-2</v>
      </c>
      <c r="T1766" s="45" t="str">
        <f>IFERROR(VLOOKUP(B1766,'Pre-Summary'!$Y$6:$AC$83, 3,FALSE),"")</f>
        <v/>
      </c>
      <c r="U1766" s="45" t="str">
        <f>IFERROR(VLOOKUP(B1766,'Pre-Summary'!$Y$6:$AC$83, 4,FALSE),"")</f>
        <v/>
      </c>
      <c r="V1766" t="str">
        <f>IFERROR(VLOOKUP(B1766,'Pre-Summary'!$Y$6:$AC$83, 5,FALSE),"")</f>
        <v/>
      </c>
      <c r="W1766" s="45" t="str">
        <f>IFERROR(VLOOKUP(B1766,'Pre-Summary'!$Y$6:$AD$83,6,FALSE),"")</f>
        <v/>
      </c>
      <c r="X1766" t="str">
        <f>IFERROR(VLOOKUP('Pre-Summary'!$DB$6:$DD$63,3,FALSE),"")</f>
        <v/>
      </c>
      <c r="Y1766" t="str">
        <f>IFERROR(VLOOKUP(B1766,'Pre-Summary'!$CR$6:$CT$36,3,FALSE),"")</f>
        <v/>
      </c>
      <c r="Z1766" s="45" t="str">
        <f>IFERROR(VLOOKUP(B1766,'Pre-Summary'!$BZ$6:$CB$63,2,FALSE),"")</f>
        <v/>
      </c>
      <c r="AA1766" s="45" t="str">
        <f>IFERROR(VLOOKUP(B1766,'Pre-Summary'!$CG$6:$CI$70,2,FALSE),"")</f>
        <v/>
      </c>
      <c r="AB1766" s="99">
        <f>IFERROR(VLOOKUP(B1766,'Pre-Summary'!$A$6:$P$178,9,FALSE),AB1767)</f>
        <v>0.31425425318102462</v>
      </c>
      <c r="AC1766" s="10">
        <f>IFERROR(VLOOKUP(Summary!B1766,'Pre-Summary'!$A$6:$P$184,5, FALSE)/100,AC1767)</f>
        <v>0.88067666666666655</v>
      </c>
      <c r="AD1766" s="10">
        <f>IFERROR(VLOOKUP(Summary!B1766,'Pre-Summary'!$A$6:$P$184,3, FALSE)/100,AD1767)</f>
        <v>9.1757333333333316E-2</v>
      </c>
      <c r="AE1766" s="10">
        <f>IFERROR(VLOOKUP(Summary!B1766,'Pre-Summary'!$A$6:$P$184,7, FALSE)/100,AE1767)</f>
        <v>2.7566E-2</v>
      </c>
      <c r="AF1766" s="99">
        <f t="shared" si="82"/>
        <v>2.8835132260548998E-2</v>
      </c>
      <c r="AG1766" s="99">
        <f t="shared" si="83"/>
        <v>8.662732743188125E-3</v>
      </c>
      <c r="AH1766" s="10" t="str">
        <f>IFERROR(VLOOKUP(B1766,'Pre-Summary'!$AZ$6:$BE$65,3,FALSE),"")</f>
        <v/>
      </c>
      <c r="AI1766" s="10" t="str">
        <f>IFERROR(VLOOKUP(B1766,'Pre-Summary'!$AZ$6:$BE$65,5,FALSE),"")</f>
        <v/>
      </c>
      <c r="AJ1766" s="10" t="str">
        <f>IFERROR(VLOOKUP(B1766,'Pre-Summary'!$AZ$6:$BE$65,4,FALSE),"")</f>
        <v/>
      </c>
      <c r="AK1766" s="10" t="str">
        <f>IFERROR(VLOOKUP(B1766,'Pre-Summary'!$AZ$6:$BE$65,6,FALSE),"")</f>
        <v/>
      </c>
      <c r="AL1766" s="10" t="str">
        <f>IFERROR(VLOOKUP(B1766,'Pre-Summary'!$BG$6:$BL$44,3,FALSE),"")</f>
        <v/>
      </c>
      <c r="AM1766" s="10" t="str">
        <f>IFERROR(VLOOKUP(B1766,'Pre-Summary'!$BG$6:$BL$44,4,FALSE),"")</f>
        <v/>
      </c>
    </row>
    <row r="1767" spans="2:39" ht="15" customHeight="1" x14ac:dyDescent="0.3">
      <c r="B1767">
        <v>176.4</v>
      </c>
      <c r="C1767" t="str">
        <f>IFERROR(VLOOKUP(B1767,'Pre-Summary'!$DI$6:$DM$23,4,FALSE),"")</f>
        <v/>
      </c>
      <c r="D1767" s="10" t="str">
        <f>IFERROR(VLOOKUP(B1767,'Pre-Summary'!$AT$6:$AX$14,5,FALSE),D1766)</f>
        <v>Wolfe v3: went back to modified wolfe + EDTA and switched CuSO4 to CUCl2</v>
      </c>
      <c r="E1767" s="10" t="str">
        <f>IFERROR(VLOOKUP(B1767,'Pre-Summary'!$AT$6:$AX$15,4,FALSE),"")</f>
        <v/>
      </c>
      <c r="F1767">
        <f>IFERROR(VLOOKUP(B1767,'Pre-Summary'!$AL$6:$AQ$13,6,FALSE),F1766)</f>
        <v>5.9405263157894746E-2</v>
      </c>
      <c r="G1767" t="str">
        <f>IFERROR(VLOOKUP(B1767,'Pre-Summary'!$AE$6:$AJ$85,3,FALSE),"")</f>
        <v/>
      </c>
      <c r="H1767" t="str">
        <f>IFERROR(VLOOKUP(B1767,'Pre-Summary'!$AE$6:$AJ$85,4,FALSE),"")</f>
        <v/>
      </c>
      <c r="I1767" t="str">
        <f>IFERROR(VLOOKUP(B1767,'Pre-Summary'!$AE$6:$AJ$85,5,FALSE),"")</f>
        <v/>
      </c>
      <c r="J1767" s="45" t="str">
        <f>IFERROR(VLOOKUP(B1767,'Pre-Summary'!$AE$6:$AJ$85,6, FALSE),"")</f>
        <v/>
      </c>
      <c r="K1767" s="45" t="str">
        <f>IFERROR(VLOOKUP(B1767,'Pre-Summary'!$DE$6:$DG$61,3,FALSE),"")</f>
        <v/>
      </c>
      <c r="L1767" s="45" t="str">
        <f>IFERROR(VLOOKUP(B1767,'Pre-Summary'!$CU$6:$CW$36,3,FALSE),"")</f>
        <v/>
      </c>
      <c r="M1767" s="45" t="str">
        <f>IFERROR(VLOOKUP(B1767,'Pre-Summary'!$BW$6:$BY$58,2,FALSE),"")</f>
        <v/>
      </c>
      <c r="N1767" s="45" t="str">
        <f>IFERROR(VLOOKUP(B1767,'Pre-Summary'!$CD$6:$CF$64,2,FALSE),"")</f>
        <v/>
      </c>
      <c r="O1767" s="99">
        <f>IFERROR(VLOOKUP(B1767,'Pre-Summary'!$BO$6:$BQ$48,3, FALSE),O1766)</f>
        <v>1.25</v>
      </c>
      <c r="P1767" s="99">
        <f>IFERROR(VLOOKUP(B1767,'Pre-Summary'!$BS$6:$BU$35,3,FALSE),P1766)</f>
        <v>0.33700000000000002</v>
      </c>
      <c r="Q1767" s="54">
        <f t="shared" si="81"/>
        <v>3.7091988130563798</v>
      </c>
      <c r="R1767" s="53">
        <f>IFERROR(VLOOKUP(B1767,'Pre-Summary'!$BG$6:$BM$44,7,FALSE),R1768)</f>
        <v>8.0894687007659741E-2</v>
      </c>
      <c r="S1767" s="53">
        <f>IFERROR(VLOOKUP(B1767,'Pre-Summary'!$BG$6:$BM$44,6,FALSE),S1768)</f>
        <v>6.1014931296205117E-2</v>
      </c>
      <c r="T1767" s="45" t="str">
        <f>IFERROR(VLOOKUP(B1767,'Pre-Summary'!$Y$6:$AC$83, 3,FALSE),"")</f>
        <v/>
      </c>
      <c r="U1767" s="45" t="str">
        <f>IFERROR(VLOOKUP(B1767,'Pre-Summary'!$Y$6:$AC$83, 4,FALSE),"")</f>
        <v/>
      </c>
      <c r="V1767" t="str">
        <f>IFERROR(VLOOKUP(B1767,'Pre-Summary'!$Y$6:$AC$83, 5,FALSE),"")</f>
        <v/>
      </c>
      <c r="W1767" s="45" t="str">
        <f>IFERROR(VLOOKUP(B1767,'Pre-Summary'!$Y$6:$AD$83,6,FALSE),"")</f>
        <v/>
      </c>
      <c r="X1767" t="str">
        <f>IFERROR(VLOOKUP('Pre-Summary'!$DB$6:$DD$63,3,FALSE),"")</f>
        <v/>
      </c>
      <c r="Y1767" t="str">
        <f>IFERROR(VLOOKUP(B1767,'Pre-Summary'!$CR$6:$CT$36,3,FALSE),"")</f>
        <v/>
      </c>
      <c r="Z1767" s="45" t="str">
        <f>IFERROR(VLOOKUP(B1767,'Pre-Summary'!$BZ$6:$CB$63,2,FALSE),"")</f>
        <v/>
      </c>
      <c r="AA1767" s="45" t="str">
        <f>IFERROR(VLOOKUP(B1767,'Pre-Summary'!$CG$6:$CI$70,2,FALSE),"")</f>
        <v/>
      </c>
      <c r="AB1767" s="99">
        <f>IFERROR(VLOOKUP(B1767,'Pre-Summary'!$A$6:$P$178,9,FALSE),AB1768)</f>
        <v>0.31425425318102462</v>
      </c>
      <c r="AC1767" s="10">
        <f>IFERROR(VLOOKUP(Summary!B1767,'Pre-Summary'!$A$6:$P$184,5, FALSE)/100,AC1768)</f>
        <v>0.88067666666666655</v>
      </c>
      <c r="AD1767" s="10">
        <f>IFERROR(VLOOKUP(Summary!B1767,'Pre-Summary'!$A$6:$P$184,3, FALSE)/100,AD1768)</f>
        <v>9.1757333333333316E-2</v>
      </c>
      <c r="AE1767" s="10">
        <f>IFERROR(VLOOKUP(Summary!B1767,'Pre-Summary'!$A$6:$P$184,7, FALSE)/100,AE1768)</f>
        <v>2.7566E-2</v>
      </c>
      <c r="AF1767" s="99">
        <f t="shared" si="82"/>
        <v>2.8835132260548998E-2</v>
      </c>
      <c r="AG1767" s="99">
        <f t="shared" si="83"/>
        <v>8.662732743188125E-3</v>
      </c>
      <c r="AH1767" s="10" t="str">
        <f>IFERROR(VLOOKUP(B1767,'Pre-Summary'!$AZ$6:$BE$65,3,FALSE),"")</f>
        <v/>
      </c>
      <c r="AI1767" s="10" t="str">
        <f>IFERROR(VLOOKUP(B1767,'Pre-Summary'!$AZ$6:$BE$65,5,FALSE),"")</f>
        <v/>
      </c>
      <c r="AJ1767" s="10" t="str">
        <f>IFERROR(VLOOKUP(B1767,'Pre-Summary'!$AZ$6:$BE$65,4,FALSE),"")</f>
        <v/>
      </c>
      <c r="AK1767" s="10" t="str">
        <f>IFERROR(VLOOKUP(B1767,'Pre-Summary'!$AZ$6:$BE$65,6,FALSE),"")</f>
        <v/>
      </c>
      <c r="AL1767" s="10" t="str">
        <f>IFERROR(VLOOKUP(B1767,'Pre-Summary'!$BG$6:$BL$44,3,FALSE),"")</f>
        <v/>
      </c>
      <c r="AM1767" s="10" t="str">
        <f>IFERROR(VLOOKUP(B1767,'Pre-Summary'!$BG$6:$BL$44,4,FALSE),"")</f>
        <v/>
      </c>
    </row>
    <row r="1768" spans="2:39" ht="15" customHeight="1" x14ac:dyDescent="0.3">
      <c r="B1768">
        <v>176.5</v>
      </c>
      <c r="C1768" t="str">
        <f>IFERROR(VLOOKUP(B1768,'Pre-Summary'!$DI$6:$DM$23,4,FALSE),"")</f>
        <v/>
      </c>
      <c r="D1768" s="10" t="str">
        <f>IFERROR(VLOOKUP(B1768,'Pre-Summary'!$AT$6:$AX$14,5,FALSE),D1767)</f>
        <v>Wolfe v3: went back to modified wolfe + EDTA and switched CuSO4 to CUCl2</v>
      </c>
      <c r="E1768" s="10" t="str">
        <f>IFERROR(VLOOKUP(B1768,'Pre-Summary'!$AT$6:$AX$15,4,FALSE),"")</f>
        <v/>
      </c>
      <c r="F1768">
        <f>IFERROR(VLOOKUP(B1768,'Pre-Summary'!$AL$6:$AQ$13,6,FALSE),F1767)</f>
        <v>5.9405263157894746E-2</v>
      </c>
      <c r="G1768">
        <f>IFERROR(VLOOKUP(B1768,'Pre-Summary'!$AE$6:$AJ$85,3,FALSE),"")</f>
        <v>2.7340749999999998</v>
      </c>
      <c r="H1768" t="str">
        <f>IFERROR(VLOOKUP(B1768,'Pre-Summary'!$AE$6:$AJ$85,4,FALSE),"")</f>
        <v/>
      </c>
      <c r="I1768" t="str">
        <f>IFERROR(VLOOKUP(B1768,'Pre-Summary'!$AE$6:$AJ$85,5,FALSE),"")</f>
        <v/>
      </c>
      <c r="J1768" s="45">
        <f>IFERROR(VLOOKUP(B1768,'Pre-Summary'!$AE$6:$AJ$85,6, FALSE),"")</f>
        <v>2.9172580249999998</v>
      </c>
      <c r="K1768" s="45" t="str">
        <f>IFERROR(VLOOKUP(B1768,'Pre-Summary'!$DE$6:$DG$61,3,FALSE),"")</f>
        <v/>
      </c>
      <c r="L1768" s="45" t="str">
        <f>IFERROR(VLOOKUP(B1768,'Pre-Summary'!$CU$6:$CW$36,3,FALSE),"")</f>
        <v/>
      </c>
      <c r="M1768" s="45" t="str">
        <f>IFERROR(VLOOKUP(B1768,'Pre-Summary'!$BW$6:$BY$58,2,FALSE),"")</f>
        <v/>
      </c>
      <c r="N1768" s="45">
        <f>IFERROR(VLOOKUP(B1768,'Pre-Summary'!$CD$6:$CF$64,2,FALSE),"")</f>
        <v>227.24339847468309</v>
      </c>
      <c r="O1768" s="99">
        <f>IFERROR(VLOOKUP(B1768,'Pre-Summary'!$BO$6:$BQ$48,3, FALSE),O1767)</f>
        <v>1.25</v>
      </c>
      <c r="P1768" s="99">
        <f>IFERROR(VLOOKUP(B1768,'Pre-Summary'!$BS$6:$BU$35,3,FALSE),P1767)</f>
        <v>0.33700000000000002</v>
      </c>
      <c r="Q1768" s="54">
        <f t="shared" si="81"/>
        <v>3.7091988130563798</v>
      </c>
      <c r="R1768" s="53">
        <f>IFERROR(VLOOKUP(B1768,'Pre-Summary'!$BG$6:$BM$44,7,FALSE),R1769)</f>
        <v>8.0894687007659741E-2</v>
      </c>
      <c r="S1768" s="53">
        <f>IFERROR(VLOOKUP(B1768,'Pre-Summary'!$BG$6:$BM$44,6,FALSE),S1769)</f>
        <v>6.1014931296205117E-2</v>
      </c>
      <c r="T1768" s="45">
        <f>IFERROR(VLOOKUP(B1768,'Pre-Summary'!$Y$6:$AC$83, 3,FALSE),"")</f>
        <v>18.852160000000001</v>
      </c>
      <c r="U1768" s="45">
        <f>IFERROR(VLOOKUP(B1768,'Pre-Summary'!$Y$6:$AC$83, 4,FALSE),"")</f>
        <v>18.186440000000001</v>
      </c>
      <c r="V1768">
        <f>IFERROR(VLOOKUP(B1768,'Pre-Summary'!$Y$6:$AC$83, 5,FALSE),"")</f>
        <v>0.90529099999999996</v>
      </c>
      <c r="W1768" s="45">
        <f>IFERROR(VLOOKUP(B1768,'Pre-Summary'!$Y$6:$AD$83,6,FALSE),"")</f>
        <v>49.295343918</v>
      </c>
      <c r="X1768" t="str">
        <f>IFERROR(VLOOKUP('Pre-Summary'!$DB$6:$DD$63,3,FALSE),"")</f>
        <v/>
      </c>
      <c r="Y1768" t="str">
        <f>IFERROR(VLOOKUP(B1768,'Pre-Summary'!$CR$6:$CT$36,3,FALSE),"")</f>
        <v/>
      </c>
      <c r="Z1768" s="45" t="str">
        <f>IFERROR(VLOOKUP(B1768,'Pre-Summary'!$BZ$6:$CB$63,2,FALSE),"")</f>
        <v/>
      </c>
      <c r="AA1768" s="45" t="str">
        <f>IFERROR(VLOOKUP(B1768,'Pre-Summary'!$CG$6:$CI$70,2,FALSE),"")</f>
        <v/>
      </c>
      <c r="AB1768" s="99">
        <f>IFERROR(VLOOKUP(B1768,'Pre-Summary'!$A$6:$P$178,9,FALSE),AB1769)</f>
        <v>0.31425425318102462</v>
      </c>
      <c r="AC1768" s="10">
        <f>IFERROR(VLOOKUP(Summary!B1768,'Pre-Summary'!$A$6:$P$184,5, FALSE)/100,AC1769)</f>
        <v>0.88067666666666655</v>
      </c>
      <c r="AD1768" s="10">
        <f>IFERROR(VLOOKUP(Summary!B1768,'Pre-Summary'!$A$6:$P$184,3, FALSE)/100,AD1769)</f>
        <v>9.1757333333333316E-2</v>
      </c>
      <c r="AE1768" s="10">
        <f>IFERROR(VLOOKUP(Summary!B1768,'Pre-Summary'!$A$6:$P$184,7, FALSE)/100,AE1769)</f>
        <v>2.7566E-2</v>
      </c>
      <c r="AF1768" s="99">
        <f t="shared" si="82"/>
        <v>2.8835132260548998E-2</v>
      </c>
      <c r="AG1768" s="99">
        <f t="shared" si="83"/>
        <v>8.662732743188125E-3</v>
      </c>
      <c r="AH1768" s="10" t="str">
        <f>IFERROR(VLOOKUP(B1768,'Pre-Summary'!$AZ$6:$BE$65,3,FALSE),"")</f>
        <v/>
      </c>
      <c r="AI1768" s="10" t="str">
        <f>IFERROR(VLOOKUP(B1768,'Pre-Summary'!$AZ$6:$BE$65,5,FALSE),"")</f>
        <v/>
      </c>
      <c r="AJ1768" s="10" t="str">
        <f>IFERROR(VLOOKUP(B1768,'Pre-Summary'!$AZ$6:$BE$65,4,FALSE),"")</f>
        <v/>
      </c>
      <c r="AK1768" s="10" t="str">
        <f>IFERROR(VLOOKUP(B1768,'Pre-Summary'!$AZ$6:$BE$65,6,FALSE),"")</f>
        <v/>
      </c>
      <c r="AL1768" s="10" t="str">
        <f>IFERROR(VLOOKUP(B1768,'Pre-Summary'!$BG$6:$BL$44,3,FALSE),"")</f>
        <v/>
      </c>
      <c r="AM1768" s="10" t="str">
        <f>IFERROR(VLOOKUP(B1768,'Pre-Summary'!$BG$6:$BL$44,4,FALSE),"")</f>
        <v/>
      </c>
    </row>
    <row r="1769" spans="2:39" ht="15" customHeight="1" x14ac:dyDescent="0.3">
      <c r="B1769">
        <v>176.6</v>
      </c>
      <c r="C1769" t="str">
        <f>IFERROR(VLOOKUP(B1769,'Pre-Summary'!$DI$6:$DM$23,4,FALSE),"")</f>
        <v/>
      </c>
      <c r="D1769" s="10" t="str">
        <f>IFERROR(VLOOKUP(B1769,'Pre-Summary'!$AT$6:$AX$14,5,FALSE),D1768)</f>
        <v>Wolfe v3: went back to modified wolfe + EDTA and switched CuSO4 to CUCl2</v>
      </c>
      <c r="E1769" s="10" t="str">
        <f>IFERROR(VLOOKUP(B1769,'Pre-Summary'!$AT$6:$AX$15,4,FALSE),"")</f>
        <v/>
      </c>
      <c r="F1769">
        <f>IFERROR(VLOOKUP(B1769,'Pre-Summary'!$AL$6:$AQ$13,6,FALSE),F1768)</f>
        <v>5.9405263157894746E-2</v>
      </c>
      <c r="G1769" t="str">
        <f>IFERROR(VLOOKUP(B1769,'Pre-Summary'!$AE$6:$AJ$85,3,FALSE),"")</f>
        <v/>
      </c>
      <c r="H1769" t="str">
        <f>IFERROR(VLOOKUP(B1769,'Pre-Summary'!$AE$6:$AJ$85,4,FALSE),"")</f>
        <v/>
      </c>
      <c r="I1769" t="str">
        <f>IFERROR(VLOOKUP(B1769,'Pre-Summary'!$AE$6:$AJ$85,5,FALSE),"")</f>
        <v/>
      </c>
      <c r="J1769" s="45" t="str">
        <f>IFERROR(VLOOKUP(B1769,'Pre-Summary'!$AE$6:$AJ$85,6, FALSE),"")</f>
        <v/>
      </c>
      <c r="K1769" s="45" t="str">
        <f>IFERROR(VLOOKUP(B1769,'Pre-Summary'!$DE$6:$DG$61,3,FALSE),"")</f>
        <v/>
      </c>
      <c r="L1769" s="45" t="str">
        <f>IFERROR(VLOOKUP(B1769,'Pre-Summary'!$CU$6:$CW$36,3,FALSE),"")</f>
        <v/>
      </c>
      <c r="M1769" s="45" t="str">
        <f>IFERROR(VLOOKUP(B1769,'Pre-Summary'!$BW$6:$BY$58,2,FALSE),"")</f>
        <v/>
      </c>
      <c r="N1769" s="45" t="str">
        <f>IFERROR(VLOOKUP(B1769,'Pre-Summary'!$CD$6:$CF$64,2,FALSE),"")</f>
        <v/>
      </c>
      <c r="O1769" s="99">
        <f>IFERROR(VLOOKUP(B1769,'Pre-Summary'!$BO$6:$BQ$48,3, FALSE),O1768)</f>
        <v>1.25</v>
      </c>
      <c r="P1769" s="99">
        <f>IFERROR(VLOOKUP(B1769,'Pre-Summary'!$BS$6:$BU$35,3,FALSE),P1768)</f>
        <v>0.33700000000000002</v>
      </c>
      <c r="Q1769" s="54">
        <f t="shared" si="81"/>
        <v>3.7091988130563798</v>
      </c>
      <c r="R1769" s="53">
        <f>IFERROR(VLOOKUP(B1769,'Pre-Summary'!$BG$6:$BM$44,7,FALSE),R1770)</f>
        <v>8.0894687007659741E-2</v>
      </c>
      <c r="S1769" s="53">
        <f>IFERROR(VLOOKUP(B1769,'Pre-Summary'!$BG$6:$BM$44,6,FALSE),S1770)</f>
        <v>6.1014931296205117E-2</v>
      </c>
      <c r="T1769" s="45" t="str">
        <f>IFERROR(VLOOKUP(B1769,'Pre-Summary'!$Y$6:$AC$83, 3,FALSE),"")</f>
        <v/>
      </c>
      <c r="U1769" s="45" t="str">
        <f>IFERROR(VLOOKUP(B1769,'Pre-Summary'!$Y$6:$AC$83, 4,FALSE),"")</f>
        <v/>
      </c>
      <c r="V1769" t="str">
        <f>IFERROR(VLOOKUP(B1769,'Pre-Summary'!$Y$6:$AC$83, 5,FALSE),"")</f>
        <v/>
      </c>
      <c r="W1769" s="45" t="str">
        <f>IFERROR(VLOOKUP(B1769,'Pre-Summary'!$Y$6:$AD$83,6,FALSE),"")</f>
        <v/>
      </c>
      <c r="X1769" t="str">
        <f>IFERROR(VLOOKUP('Pre-Summary'!$DB$6:$DD$63,3,FALSE),"")</f>
        <v/>
      </c>
      <c r="Y1769" t="str">
        <f>IFERROR(VLOOKUP(B1769,'Pre-Summary'!$CR$6:$CT$36,3,FALSE),"")</f>
        <v/>
      </c>
      <c r="Z1769" s="45" t="str">
        <f>IFERROR(VLOOKUP(B1769,'Pre-Summary'!$BZ$6:$CB$63,2,FALSE),"")</f>
        <v/>
      </c>
      <c r="AA1769" s="45" t="str">
        <f>IFERROR(VLOOKUP(B1769,'Pre-Summary'!$CG$6:$CI$70,2,FALSE),"")</f>
        <v/>
      </c>
      <c r="AB1769" s="99">
        <f>IFERROR(VLOOKUP(B1769,'Pre-Summary'!$A$6:$P$178,9,FALSE),AB1770)</f>
        <v>0.31425425318102462</v>
      </c>
      <c r="AC1769" s="10">
        <f>IFERROR(VLOOKUP(Summary!B1769,'Pre-Summary'!$A$6:$P$184,5, FALSE)/100,AC1770)</f>
        <v>0.88067666666666655</v>
      </c>
      <c r="AD1769" s="10">
        <f>IFERROR(VLOOKUP(Summary!B1769,'Pre-Summary'!$A$6:$P$184,3, FALSE)/100,AD1770)</f>
        <v>9.1757333333333316E-2</v>
      </c>
      <c r="AE1769" s="10">
        <f>IFERROR(VLOOKUP(Summary!B1769,'Pre-Summary'!$A$6:$P$184,7, FALSE)/100,AE1770)</f>
        <v>2.7566E-2</v>
      </c>
      <c r="AF1769" s="99">
        <f t="shared" si="82"/>
        <v>2.8835132260548998E-2</v>
      </c>
      <c r="AG1769" s="99">
        <f t="shared" si="83"/>
        <v>8.662732743188125E-3</v>
      </c>
      <c r="AH1769" s="10" t="str">
        <f>IFERROR(VLOOKUP(B1769,'Pre-Summary'!$AZ$6:$BE$65,3,FALSE),"")</f>
        <v/>
      </c>
      <c r="AI1769" s="10" t="str">
        <f>IFERROR(VLOOKUP(B1769,'Pre-Summary'!$AZ$6:$BE$65,5,FALSE),"")</f>
        <v/>
      </c>
      <c r="AJ1769" s="10" t="str">
        <f>IFERROR(VLOOKUP(B1769,'Pre-Summary'!$AZ$6:$BE$65,4,FALSE),"")</f>
        <v/>
      </c>
      <c r="AK1769" s="10" t="str">
        <f>IFERROR(VLOOKUP(B1769,'Pre-Summary'!$AZ$6:$BE$65,6,FALSE),"")</f>
        <v/>
      </c>
      <c r="AL1769" s="10" t="str">
        <f>IFERROR(VLOOKUP(B1769,'Pre-Summary'!$BG$6:$BL$44,3,FALSE),"")</f>
        <v/>
      </c>
      <c r="AM1769" s="10" t="str">
        <f>IFERROR(VLOOKUP(B1769,'Pre-Summary'!$BG$6:$BL$44,4,FALSE),"")</f>
        <v/>
      </c>
    </row>
    <row r="1770" spans="2:39" ht="15" customHeight="1" x14ac:dyDescent="0.3">
      <c r="B1770">
        <v>176.7</v>
      </c>
      <c r="C1770" t="str">
        <f>IFERROR(VLOOKUP(B1770,'Pre-Summary'!$DI$6:$DM$23,4,FALSE),"")</f>
        <v/>
      </c>
      <c r="D1770" s="10" t="str">
        <f>IFERROR(VLOOKUP(B1770,'Pre-Summary'!$AT$6:$AX$14,5,FALSE),D1769)</f>
        <v>Wolfe v3: went back to modified wolfe + EDTA and switched CuSO4 to CUCl2</v>
      </c>
      <c r="E1770" s="10" t="str">
        <f>IFERROR(VLOOKUP(B1770,'Pre-Summary'!$AT$6:$AX$15,4,FALSE),"")</f>
        <v/>
      </c>
      <c r="F1770">
        <f>IFERROR(VLOOKUP(B1770,'Pre-Summary'!$AL$6:$AQ$13,6,FALSE),F1769)</f>
        <v>5.9405263157894746E-2</v>
      </c>
      <c r="G1770" t="str">
        <f>IFERROR(VLOOKUP(B1770,'Pre-Summary'!$AE$6:$AJ$85,3,FALSE),"")</f>
        <v/>
      </c>
      <c r="H1770" t="str">
        <f>IFERROR(VLOOKUP(B1770,'Pre-Summary'!$AE$6:$AJ$85,4,FALSE),"")</f>
        <v/>
      </c>
      <c r="I1770" t="str">
        <f>IFERROR(VLOOKUP(B1770,'Pre-Summary'!$AE$6:$AJ$85,5,FALSE),"")</f>
        <v/>
      </c>
      <c r="J1770" s="45" t="str">
        <f>IFERROR(VLOOKUP(B1770,'Pre-Summary'!$AE$6:$AJ$85,6, FALSE),"")</f>
        <v/>
      </c>
      <c r="K1770" s="45" t="str">
        <f>IFERROR(VLOOKUP(B1770,'Pre-Summary'!$DE$6:$DG$61,3,FALSE),"")</f>
        <v/>
      </c>
      <c r="L1770" s="45" t="str">
        <f>IFERROR(VLOOKUP(B1770,'Pre-Summary'!$CU$6:$CW$36,3,FALSE),"")</f>
        <v/>
      </c>
      <c r="M1770" s="45" t="str">
        <f>IFERROR(VLOOKUP(B1770,'Pre-Summary'!$BW$6:$BY$58,2,FALSE),"")</f>
        <v/>
      </c>
      <c r="N1770" s="45" t="str">
        <f>IFERROR(VLOOKUP(B1770,'Pre-Summary'!$CD$6:$CF$64,2,FALSE),"")</f>
        <v/>
      </c>
      <c r="O1770" s="99">
        <f>IFERROR(VLOOKUP(B1770,'Pre-Summary'!$BO$6:$BQ$48,3, FALSE),O1769)</f>
        <v>1.25</v>
      </c>
      <c r="P1770" s="99">
        <f>IFERROR(VLOOKUP(B1770,'Pre-Summary'!$BS$6:$BU$35,3,FALSE),P1769)</f>
        <v>0.33700000000000002</v>
      </c>
      <c r="Q1770" s="54">
        <f t="shared" si="81"/>
        <v>3.7091988130563798</v>
      </c>
      <c r="R1770" s="53">
        <f>IFERROR(VLOOKUP(B1770,'Pre-Summary'!$BG$6:$BM$44,7,FALSE),R1771)</f>
        <v>8.0894687007659741E-2</v>
      </c>
      <c r="S1770" s="53">
        <f>IFERROR(VLOOKUP(B1770,'Pre-Summary'!$BG$6:$BM$44,6,FALSE),S1771)</f>
        <v>6.1014931296205117E-2</v>
      </c>
      <c r="T1770" s="45" t="str">
        <f>IFERROR(VLOOKUP(B1770,'Pre-Summary'!$Y$6:$AC$83, 3,FALSE),"")</f>
        <v/>
      </c>
      <c r="U1770" s="45" t="str">
        <f>IFERROR(VLOOKUP(B1770,'Pre-Summary'!$Y$6:$AC$83, 4,FALSE),"")</f>
        <v/>
      </c>
      <c r="V1770" t="str">
        <f>IFERROR(VLOOKUP(B1770,'Pre-Summary'!$Y$6:$AC$83, 5,FALSE),"")</f>
        <v/>
      </c>
      <c r="W1770" s="45" t="str">
        <f>IFERROR(VLOOKUP(B1770,'Pre-Summary'!$Y$6:$AD$83,6,FALSE),"")</f>
        <v/>
      </c>
      <c r="X1770" t="str">
        <f>IFERROR(VLOOKUP('Pre-Summary'!$DB$6:$DD$63,3,FALSE),"")</f>
        <v/>
      </c>
      <c r="Y1770" t="str">
        <f>IFERROR(VLOOKUP(B1770,'Pre-Summary'!$CR$6:$CT$36,3,FALSE),"")</f>
        <v/>
      </c>
      <c r="Z1770" s="45" t="str">
        <f>IFERROR(VLOOKUP(B1770,'Pre-Summary'!$BZ$6:$CB$63,2,FALSE),"")</f>
        <v/>
      </c>
      <c r="AA1770" s="45" t="str">
        <f>IFERROR(VLOOKUP(B1770,'Pre-Summary'!$CG$6:$CI$70,2,FALSE),"")</f>
        <v/>
      </c>
      <c r="AB1770" s="99">
        <f>IFERROR(VLOOKUP(B1770,'Pre-Summary'!$A$6:$P$178,9,FALSE),AB1771)</f>
        <v>0.31425425318102462</v>
      </c>
      <c r="AC1770" s="10">
        <f>IFERROR(VLOOKUP(Summary!B1770,'Pre-Summary'!$A$6:$P$184,5, FALSE)/100,AC1771)</f>
        <v>0.88067666666666655</v>
      </c>
      <c r="AD1770" s="10">
        <f>IFERROR(VLOOKUP(Summary!B1770,'Pre-Summary'!$A$6:$P$184,3, FALSE)/100,AD1771)</f>
        <v>9.1757333333333316E-2</v>
      </c>
      <c r="AE1770" s="10">
        <f>IFERROR(VLOOKUP(Summary!B1770,'Pre-Summary'!$A$6:$P$184,7, FALSE)/100,AE1771)</f>
        <v>2.7566E-2</v>
      </c>
      <c r="AF1770" s="99">
        <f t="shared" si="82"/>
        <v>2.8835132260548998E-2</v>
      </c>
      <c r="AG1770" s="99">
        <f t="shared" si="83"/>
        <v>8.662732743188125E-3</v>
      </c>
      <c r="AH1770" s="10" t="str">
        <f>IFERROR(VLOOKUP(B1770,'Pre-Summary'!$AZ$6:$BE$65,3,FALSE),"")</f>
        <v/>
      </c>
      <c r="AI1770" s="10" t="str">
        <f>IFERROR(VLOOKUP(B1770,'Pre-Summary'!$AZ$6:$BE$65,5,FALSE),"")</f>
        <v/>
      </c>
      <c r="AJ1770" s="10" t="str">
        <f>IFERROR(VLOOKUP(B1770,'Pre-Summary'!$AZ$6:$BE$65,4,FALSE),"")</f>
        <v/>
      </c>
      <c r="AK1770" s="10" t="str">
        <f>IFERROR(VLOOKUP(B1770,'Pre-Summary'!$AZ$6:$BE$65,6,FALSE),"")</f>
        <v/>
      </c>
      <c r="AL1770" s="10" t="str">
        <f>IFERROR(VLOOKUP(B1770,'Pre-Summary'!$BG$6:$BL$44,3,FALSE),"")</f>
        <v/>
      </c>
      <c r="AM1770" s="10" t="str">
        <f>IFERROR(VLOOKUP(B1770,'Pre-Summary'!$BG$6:$BL$44,4,FALSE),"")</f>
        <v/>
      </c>
    </row>
    <row r="1771" spans="2:39" ht="15" customHeight="1" x14ac:dyDescent="0.3">
      <c r="B1771">
        <v>176.8</v>
      </c>
      <c r="C1771" t="str">
        <f>IFERROR(VLOOKUP(B1771,'Pre-Summary'!$DI$6:$DM$23,4,FALSE),"")</f>
        <v/>
      </c>
      <c r="D1771" s="10" t="str">
        <f>IFERROR(VLOOKUP(B1771,'Pre-Summary'!$AT$6:$AX$14,5,FALSE),D1770)</f>
        <v>Wolfe v3: went back to modified wolfe + EDTA and switched CuSO4 to CUCl2</v>
      </c>
      <c r="E1771" s="10" t="str">
        <f>IFERROR(VLOOKUP(B1771,'Pre-Summary'!$AT$6:$AX$15,4,FALSE),"")</f>
        <v/>
      </c>
      <c r="F1771">
        <f>IFERROR(VLOOKUP(B1771,'Pre-Summary'!$AL$6:$AQ$13,6,FALSE),F1770)</f>
        <v>5.9405263157894746E-2</v>
      </c>
      <c r="G1771" t="str">
        <f>IFERROR(VLOOKUP(B1771,'Pre-Summary'!$AE$6:$AJ$85,3,FALSE),"")</f>
        <v/>
      </c>
      <c r="H1771" t="str">
        <f>IFERROR(VLOOKUP(B1771,'Pre-Summary'!$AE$6:$AJ$85,4,FALSE),"")</f>
        <v/>
      </c>
      <c r="I1771" t="str">
        <f>IFERROR(VLOOKUP(B1771,'Pre-Summary'!$AE$6:$AJ$85,5,FALSE),"")</f>
        <v/>
      </c>
      <c r="J1771" s="45" t="str">
        <f>IFERROR(VLOOKUP(B1771,'Pre-Summary'!$AE$6:$AJ$85,6, FALSE),"")</f>
        <v/>
      </c>
      <c r="K1771" s="45" t="str">
        <f>IFERROR(VLOOKUP(B1771,'Pre-Summary'!$DE$6:$DG$61,3,FALSE),"")</f>
        <v/>
      </c>
      <c r="L1771" s="45" t="str">
        <f>IFERROR(VLOOKUP(B1771,'Pre-Summary'!$CU$6:$CW$36,3,FALSE),"")</f>
        <v/>
      </c>
      <c r="M1771" s="45" t="str">
        <f>IFERROR(VLOOKUP(B1771,'Pre-Summary'!$BW$6:$BY$58,2,FALSE),"")</f>
        <v/>
      </c>
      <c r="N1771" s="45" t="str">
        <f>IFERROR(VLOOKUP(B1771,'Pre-Summary'!$CD$6:$CF$64,2,FALSE),"")</f>
        <v/>
      </c>
      <c r="O1771" s="99">
        <f>IFERROR(VLOOKUP(B1771,'Pre-Summary'!$BO$6:$BQ$48,3, FALSE),O1770)</f>
        <v>1.25</v>
      </c>
      <c r="P1771" s="99">
        <f>IFERROR(VLOOKUP(B1771,'Pre-Summary'!$BS$6:$BU$35,3,FALSE),P1770)</f>
        <v>0.33700000000000002</v>
      </c>
      <c r="Q1771" s="54">
        <f t="shared" si="81"/>
        <v>3.7091988130563798</v>
      </c>
      <c r="R1771" s="53">
        <f>IFERROR(VLOOKUP(B1771,'Pre-Summary'!$BG$6:$BM$44,7,FALSE),R1772)</f>
        <v>8.0894687007659741E-2</v>
      </c>
      <c r="S1771" s="53">
        <f>IFERROR(VLOOKUP(B1771,'Pre-Summary'!$BG$6:$BM$44,6,FALSE),S1772)</f>
        <v>6.1014931296205117E-2</v>
      </c>
      <c r="T1771" s="45" t="str">
        <f>IFERROR(VLOOKUP(B1771,'Pre-Summary'!$Y$6:$AC$83, 3,FALSE),"")</f>
        <v/>
      </c>
      <c r="U1771" s="45" t="str">
        <f>IFERROR(VLOOKUP(B1771,'Pre-Summary'!$Y$6:$AC$83, 4,FALSE),"")</f>
        <v/>
      </c>
      <c r="V1771" t="str">
        <f>IFERROR(VLOOKUP(B1771,'Pre-Summary'!$Y$6:$AC$83, 5,FALSE),"")</f>
        <v/>
      </c>
      <c r="W1771" s="45" t="str">
        <f>IFERROR(VLOOKUP(B1771,'Pre-Summary'!$Y$6:$AD$83,6,FALSE),"")</f>
        <v/>
      </c>
      <c r="X1771" t="str">
        <f>IFERROR(VLOOKUP('Pre-Summary'!$DB$6:$DD$63,3,FALSE),"")</f>
        <v/>
      </c>
      <c r="Y1771" t="str">
        <f>IFERROR(VLOOKUP(B1771,'Pre-Summary'!$CR$6:$CT$36,3,FALSE),"")</f>
        <v/>
      </c>
      <c r="Z1771" s="45" t="str">
        <f>IFERROR(VLOOKUP(B1771,'Pre-Summary'!$BZ$6:$CB$63,2,FALSE),"")</f>
        <v/>
      </c>
      <c r="AA1771" s="45" t="str">
        <f>IFERROR(VLOOKUP(B1771,'Pre-Summary'!$CG$6:$CI$70,2,FALSE),"")</f>
        <v/>
      </c>
      <c r="AB1771" s="99">
        <f>IFERROR(VLOOKUP(B1771,'Pre-Summary'!$A$6:$P$178,9,FALSE),AB1772)</f>
        <v>0.31425425318102462</v>
      </c>
      <c r="AC1771" s="10">
        <f>IFERROR(VLOOKUP(Summary!B1771,'Pre-Summary'!$A$6:$P$184,5, FALSE)/100,AC1772)</f>
        <v>0.88067666666666655</v>
      </c>
      <c r="AD1771" s="10">
        <f>IFERROR(VLOOKUP(Summary!B1771,'Pre-Summary'!$A$6:$P$184,3, FALSE)/100,AD1772)</f>
        <v>9.1757333333333316E-2</v>
      </c>
      <c r="AE1771" s="10">
        <f>IFERROR(VLOOKUP(Summary!B1771,'Pre-Summary'!$A$6:$P$184,7, FALSE)/100,AE1772)</f>
        <v>2.7566E-2</v>
      </c>
      <c r="AF1771" s="99">
        <f t="shared" si="82"/>
        <v>2.8835132260548998E-2</v>
      </c>
      <c r="AG1771" s="99">
        <f t="shared" si="83"/>
        <v>8.662732743188125E-3</v>
      </c>
      <c r="AH1771" s="10" t="str">
        <f>IFERROR(VLOOKUP(B1771,'Pre-Summary'!$AZ$6:$BE$65,3,FALSE),"")</f>
        <v/>
      </c>
      <c r="AI1771" s="10" t="str">
        <f>IFERROR(VLOOKUP(B1771,'Pre-Summary'!$AZ$6:$BE$65,5,FALSE),"")</f>
        <v/>
      </c>
      <c r="AJ1771" s="10" t="str">
        <f>IFERROR(VLOOKUP(B1771,'Pre-Summary'!$AZ$6:$BE$65,4,FALSE),"")</f>
        <v/>
      </c>
      <c r="AK1771" s="10" t="str">
        <f>IFERROR(VLOOKUP(B1771,'Pre-Summary'!$AZ$6:$BE$65,6,FALSE),"")</f>
        <v/>
      </c>
      <c r="AL1771" s="10" t="str">
        <f>IFERROR(VLOOKUP(B1771,'Pre-Summary'!$BG$6:$BL$44,3,FALSE),"")</f>
        <v/>
      </c>
      <c r="AM1771" s="10" t="str">
        <f>IFERROR(VLOOKUP(B1771,'Pre-Summary'!$BG$6:$BL$44,4,FALSE),"")</f>
        <v/>
      </c>
    </row>
    <row r="1772" spans="2:39" ht="15" customHeight="1" x14ac:dyDescent="0.3">
      <c r="B1772">
        <v>176.9</v>
      </c>
      <c r="C1772" t="str">
        <f>IFERROR(VLOOKUP(B1772,'Pre-Summary'!$DI$6:$DM$23,4,FALSE),"")</f>
        <v/>
      </c>
      <c r="D1772" s="10" t="str">
        <f>IFERROR(VLOOKUP(B1772,'Pre-Summary'!$AT$6:$AX$14,5,FALSE),D1771)</f>
        <v>Wolfe v3: went back to modified wolfe + EDTA and switched CuSO4 to CUCl2</v>
      </c>
      <c r="E1772" s="10" t="str">
        <f>IFERROR(VLOOKUP(B1772,'Pre-Summary'!$AT$6:$AX$15,4,FALSE),"")</f>
        <v/>
      </c>
      <c r="F1772">
        <f>IFERROR(VLOOKUP(B1772,'Pre-Summary'!$AL$6:$AQ$13,6,FALSE),F1771)</f>
        <v>5.9405263157894746E-2</v>
      </c>
      <c r="G1772" t="str">
        <f>IFERROR(VLOOKUP(B1772,'Pre-Summary'!$AE$6:$AJ$85,3,FALSE),"")</f>
        <v/>
      </c>
      <c r="H1772" t="str">
        <f>IFERROR(VLOOKUP(B1772,'Pre-Summary'!$AE$6:$AJ$85,4,FALSE),"")</f>
        <v/>
      </c>
      <c r="I1772" t="str">
        <f>IFERROR(VLOOKUP(B1772,'Pre-Summary'!$AE$6:$AJ$85,5,FALSE),"")</f>
        <v/>
      </c>
      <c r="J1772" s="45" t="str">
        <f>IFERROR(VLOOKUP(B1772,'Pre-Summary'!$AE$6:$AJ$85,6, FALSE),"")</f>
        <v/>
      </c>
      <c r="K1772" s="45" t="str">
        <f>IFERROR(VLOOKUP(B1772,'Pre-Summary'!$DE$6:$DG$61,3,FALSE),"")</f>
        <v/>
      </c>
      <c r="L1772" s="45" t="str">
        <f>IFERROR(VLOOKUP(B1772,'Pre-Summary'!$CU$6:$CW$36,3,FALSE),"")</f>
        <v/>
      </c>
      <c r="M1772" s="45">
        <f>IFERROR(VLOOKUP(B1772,'Pre-Summary'!$BW$6:$BY$58,2,FALSE),"")</f>
        <v>0</v>
      </c>
      <c r="N1772" s="45" t="str">
        <f>IFERROR(VLOOKUP(B1772,'Pre-Summary'!$CD$6:$CF$64,2,FALSE),"")</f>
        <v/>
      </c>
      <c r="O1772" s="99">
        <f>IFERROR(VLOOKUP(B1772,'Pre-Summary'!$BO$6:$BQ$48,3, FALSE),O1771)</f>
        <v>1.25</v>
      </c>
      <c r="P1772" s="99">
        <f>IFERROR(VLOOKUP(B1772,'Pre-Summary'!$BS$6:$BU$35,3,FALSE),P1771)</f>
        <v>0.33700000000000002</v>
      </c>
      <c r="Q1772" s="54">
        <f t="shared" si="81"/>
        <v>3.7091988130563798</v>
      </c>
      <c r="R1772" s="53">
        <f>IFERROR(VLOOKUP(B1772,'Pre-Summary'!$BG$6:$BM$44,7,FALSE),R1773)</f>
        <v>8.0894687007659741E-2</v>
      </c>
      <c r="S1772" s="53">
        <f>IFERROR(VLOOKUP(B1772,'Pre-Summary'!$BG$6:$BM$44,6,FALSE),S1773)</f>
        <v>6.1014931296205117E-2</v>
      </c>
      <c r="T1772" s="45" t="str">
        <f>IFERROR(VLOOKUP(B1772,'Pre-Summary'!$Y$6:$AC$83, 3,FALSE),"")</f>
        <v/>
      </c>
      <c r="U1772" s="45" t="str">
        <f>IFERROR(VLOOKUP(B1772,'Pre-Summary'!$Y$6:$AC$83, 4,FALSE),"")</f>
        <v/>
      </c>
      <c r="V1772" t="str">
        <f>IFERROR(VLOOKUP(B1772,'Pre-Summary'!$Y$6:$AC$83, 5,FALSE),"")</f>
        <v/>
      </c>
      <c r="W1772" s="45" t="str">
        <f>IFERROR(VLOOKUP(B1772,'Pre-Summary'!$Y$6:$AD$83,6,FALSE),"")</f>
        <v/>
      </c>
      <c r="X1772" t="str">
        <f>IFERROR(VLOOKUP('Pre-Summary'!$DB$6:$DD$63,3,FALSE),"")</f>
        <v/>
      </c>
      <c r="Y1772" t="str">
        <f>IFERROR(VLOOKUP(B1772,'Pre-Summary'!$CR$6:$CT$36,3,FALSE),"")</f>
        <v/>
      </c>
      <c r="Z1772" s="45">
        <f>IFERROR(VLOOKUP(B1772,'Pre-Summary'!$BZ$6:$CB$63,2,FALSE),"")</f>
        <v>78.991855150279306</v>
      </c>
      <c r="AA1772" s="45">
        <f>IFERROR(VLOOKUP(B1772,'Pre-Summary'!$CG$6:$CI$70,2,FALSE),"")</f>
        <v>269.37040717901533</v>
      </c>
      <c r="AB1772" s="99">
        <f>IFERROR(VLOOKUP(B1772,'Pre-Summary'!$A$6:$P$178,9,FALSE),AB1773)</f>
        <v>0.31425425318102462</v>
      </c>
      <c r="AC1772" s="10">
        <f>IFERROR(VLOOKUP(Summary!B1772,'Pre-Summary'!$A$6:$P$184,5, FALSE)/100,AC1773)</f>
        <v>0.88067666666666655</v>
      </c>
      <c r="AD1772" s="10">
        <f>IFERROR(VLOOKUP(Summary!B1772,'Pre-Summary'!$A$6:$P$184,3, FALSE)/100,AD1773)</f>
        <v>9.1757333333333316E-2</v>
      </c>
      <c r="AE1772" s="10">
        <f>IFERROR(VLOOKUP(Summary!B1772,'Pre-Summary'!$A$6:$P$184,7, FALSE)/100,AE1773)</f>
        <v>2.7566E-2</v>
      </c>
      <c r="AF1772" s="99">
        <f t="shared" si="82"/>
        <v>2.8835132260548998E-2</v>
      </c>
      <c r="AG1772" s="99">
        <f t="shared" si="83"/>
        <v>8.662732743188125E-3</v>
      </c>
      <c r="AH1772" s="10" t="str">
        <f>IFERROR(VLOOKUP(B1772,'Pre-Summary'!$AZ$6:$BE$65,3,FALSE),"")</f>
        <v/>
      </c>
      <c r="AI1772" s="10" t="str">
        <f>IFERROR(VLOOKUP(B1772,'Pre-Summary'!$AZ$6:$BE$65,5,FALSE),"")</f>
        <v/>
      </c>
      <c r="AJ1772" s="10" t="str">
        <f>IFERROR(VLOOKUP(B1772,'Pre-Summary'!$AZ$6:$BE$65,4,FALSE),"")</f>
        <v/>
      </c>
      <c r="AK1772" s="10" t="str">
        <f>IFERROR(VLOOKUP(B1772,'Pre-Summary'!$AZ$6:$BE$65,6,FALSE),"")</f>
        <v/>
      </c>
      <c r="AL1772" s="10" t="str">
        <f>IFERROR(VLOOKUP(B1772,'Pre-Summary'!$BG$6:$BL$44,3,FALSE),"")</f>
        <v/>
      </c>
      <c r="AM1772" s="10" t="str">
        <f>IFERROR(VLOOKUP(B1772,'Pre-Summary'!$BG$6:$BL$44,4,FALSE),"")</f>
        <v/>
      </c>
    </row>
    <row r="1773" spans="2:39" ht="15" customHeight="1" x14ac:dyDescent="0.3">
      <c r="B1773">
        <v>177</v>
      </c>
      <c r="C1773" t="str">
        <f>IFERROR(VLOOKUP(B1773,'Pre-Summary'!$DI$6:$DM$23,4,FALSE),"")</f>
        <v/>
      </c>
      <c r="D1773" s="10" t="str">
        <f>IFERROR(VLOOKUP(B1773,'Pre-Summary'!$AT$6:$AX$14,5,FALSE),D1772)</f>
        <v>Wolfe v3: went back to modified wolfe + EDTA and switched CuSO4 to CUCl2</v>
      </c>
      <c r="E1773" s="10" t="str">
        <f>IFERROR(VLOOKUP(B1773,'Pre-Summary'!$AT$6:$AX$15,4,FALSE),"")</f>
        <v/>
      </c>
      <c r="F1773">
        <f>IFERROR(VLOOKUP(B1773,'Pre-Summary'!$AL$6:$AQ$13,6,FALSE),F1772)</f>
        <v>5.9405263157894746E-2</v>
      </c>
      <c r="G1773" t="str">
        <f>IFERROR(VLOOKUP(B1773,'Pre-Summary'!$AE$6:$AJ$85,3,FALSE),"")</f>
        <v/>
      </c>
      <c r="H1773" t="str">
        <f>IFERROR(VLOOKUP(B1773,'Pre-Summary'!$AE$6:$AJ$85,4,FALSE),"")</f>
        <v/>
      </c>
      <c r="I1773" t="str">
        <f>IFERROR(VLOOKUP(B1773,'Pre-Summary'!$AE$6:$AJ$85,5,FALSE),"")</f>
        <v/>
      </c>
      <c r="J1773" s="45" t="str">
        <f>IFERROR(VLOOKUP(B1773,'Pre-Summary'!$AE$6:$AJ$85,6, FALSE),"")</f>
        <v/>
      </c>
      <c r="K1773" s="45" t="str">
        <f>IFERROR(VLOOKUP(B1773,'Pre-Summary'!$DE$6:$DG$61,3,FALSE),"")</f>
        <v/>
      </c>
      <c r="L1773" s="45" t="str">
        <f>IFERROR(VLOOKUP(B1773,'Pre-Summary'!$CU$6:$CW$36,3,FALSE),"")</f>
        <v/>
      </c>
      <c r="M1773" s="45" t="str">
        <f>IFERROR(VLOOKUP(B1773,'Pre-Summary'!$BW$6:$BY$58,2,FALSE),"")</f>
        <v/>
      </c>
      <c r="N1773" s="45" t="str">
        <f>IFERROR(VLOOKUP(B1773,'Pre-Summary'!$CD$6:$CF$64,2,FALSE),"")</f>
        <v/>
      </c>
      <c r="O1773" s="99">
        <f>IFERROR(VLOOKUP(B1773,'Pre-Summary'!$BO$6:$BQ$48,3, FALSE),O1772)</f>
        <v>1.25</v>
      </c>
      <c r="P1773" s="99">
        <f>IFERROR(VLOOKUP(B1773,'Pre-Summary'!$BS$6:$BU$35,3,FALSE),P1772)</f>
        <v>0.33700000000000002</v>
      </c>
      <c r="Q1773" s="54">
        <f t="shared" si="81"/>
        <v>3.7091988130563798</v>
      </c>
      <c r="R1773" s="53">
        <f>IFERROR(VLOOKUP(B1773,'Pre-Summary'!$BG$6:$BM$44,7,FALSE),R1774)</f>
        <v>8.0894687007659741E-2</v>
      </c>
      <c r="S1773" s="53">
        <f>IFERROR(VLOOKUP(B1773,'Pre-Summary'!$BG$6:$BM$44,6,FALSE),S1774)</f>
        <v>6.1014931296205117E-2</v>
      </c>
      <c r="T1773" s="45" t="str">
        <f>IFERROR(VLOOKUP(B1773,'Pre-Summary'!$Y$6:$AC$83, 3,FALSE),"")</f>
        <v/>
      </c>
      <c r="U1773" s="45" t="str">
        <f>IFERROR(VLOOKUP(B1773,'Pre-Summary'!$Y$6:$AC$83, 4,FALSE),"")</f>
        <v/>
      </c>
      <c r="V1773" t="str">
        <f>IFERROR(VLOOKUP(B1773,'Pre-Summary'!$Y$6:$AC$83, 5,FALSE),"")</f>
        <v/>
      </c>
      <c r="W1773" s="45" t="str">
        <f>IFERROR(VLOOKUP(B1773,'Pre-Summary'!$Y$6:$AD$83,6,FALSE),"")</f>
        <v/>
      </c>
      <c r="X1773" t="str">
        <f>IFERROR(VLOOKUP('Pre-Summary'!$DB$6:$DD$63,3,FALSE),"")</f>
        <v/>
      </c>
      <c r="Y1773" t="str">
        <f>IFERROR(VLOOKUP(B1773,'Pre-Summary'!$CR$6:$CT$36,3,FALSE),"")</f>
        <v/>
      </c>
      <c r="Z1773" s="45" t="str">
        <f>IFERROR(VLOOKUP(B1773,'Pre-Summary'!$BZ$6:$CB$63,2,FALSE),"")</f>
        <v/>
      </c>
      <c r="AA1773" s="45" t="str">
        <f>IFERROR(VLOOKUP(B1773,'Pre-Summary'!$CG$6:$CI$70,2,FALSE),"")</f>
        <v/>
      </c>
      <c r="AB1773" s="99">
        <f>IFERROR(VLOOKUP(B1773,'Pre-Summary'!$A$6:$P$178,9,FALSE),AB1774)</f>
        <v>0.31425425318102462</v>
      </c>
      <c r="AC1773" s="10">
        <f>IFERROR(VLOOKUP(Summary!B1773,'Pre-Summary'!$A$6:$P$184,5, FALSE)/100,AC1774)</f>
        <v>0.88067666666666655</v>
      </c>
      <c r="AD1773" s="10">
        <f>IFERROR(VLOOKUP(Summary!B1773,'Pre-Summary'!$A$6:$P$184,3, FALSE)/100,AD1774)</f>
        <v>9.1757333333333316E-2</v>
      </c>
      <c r="AE1773" s="10">
        <f>IFERROR(VLOOKUP(Summary!B1773,'Pre-Summary'!$A$6:$P$184,7, FALSE)/100,AE1774)</f>
        <v>2.7566E-2</v>
      </c>
      <c r="AF1773" s="99">
        <f t="shared" si="82"/>
        <v>2.8835132260548998E-2</v>
      </c>
      <c r="AG1773" s="99">
        <f t="shared" si="83"/>
        <v>8.662732743188125E-3</v>
      </c>
      <c r="AH1773" s="10" t="str">
        <f>IFERROR(VLOOKUP(B1773,'Pre-Summary'!$AZ$6:$BE$65,3,FALSE),"")</f>
        <v/>
      </c>
      <c r="AI1773" s="10" t="str">
        <f>IFERROR(VLOOKUP(B1773,'Pre-Summary'!$AZ$6:$BE$65,5,FALSE),"")</f>
        <v/>
      </c>
      <c r="AJ1773" s="10" t="str">
        <f>IFERROR(VLOOKUP(B1773,'Pre-Summary'!$AZ$6:$BE$65,4,FALSE),"")</f>
        <v/>
      </c>
      <c r="AK1773" s="10" t="str">
        <f>IFERROR(VLOOKUP(B1773,'Pre-Summary'!$AZ$6:$BE$65,6,FALSE),"")</f>
        <v/>
      </c>
      <c r="AL1773" s="10" t="str">
        <f>IFERROR(VLOOKUP(B1773,'Pre-Summary'!$BG$6:$BL$44,3,FALSE),"")</f>
        <v/>
      </c>
      <c r="AM1773" s="10" t="str">
        <f>IFERROR(VLOOKUP(B1773,'Pre-Summary'!$BG$6:$BL$44,4,FALSE),"")</f>
        <v/>
      </c>
    </row>
    <row r="1774" spans="2:39" ht="15" customHeight="1" x14ac:dyDescent="0.3">
      <c r="B1774">
        <v>177.1</v>
      </c>
      <c r="C1774" t="str">
        <f>IFERROR(VLOOKUP(B1774,'Pre-Summary'!$DI$6:$DM$23,4,FALSE),"")</f>
        <v/>
      </c>
      <c r="D1774" s="10" t="str">
        <f>IFERROR(VLOOKUP(B1774,'Pre-Summary'!$AT$6:$AX$14,5,FALSE),D1773)</f>
        <v>Wolfe v3: went back to modified wolfe + EDTA and switched CuSO4 to CUCl2</v>
      </c>
      <c r="E1774" s="10" t="str">
        <f>IFERROR(VLOOKUP(B1774,'Pre-Summary'!$AT$6:$AX$15,4,FALSE),"")</f>
        <v/>
      </c>
      <c r="F1774">
        <f>IFERROR(VLOOKUP(B1774,'Pre-Summary'!$AL$6:$AQ$13,6,FALSE),F1773)</f>
        <v>5.9405263157894746E-2</v>
      </c>
      <c r="G1774" t="str">
        <f>IFERROR(VLOOKUP(B1774,'Pre-Summary'!$AE$6:$AJ$85,3,FALSE),"")</f>
        <v/>
      </c>
      <c r="H1774" t="str">
        <f>IFERROR(VLOOKUP(B1774,'Pre-Summary'!$AE$6:$AJ$85,4,FALSE),"")</f>
        <v/>
      </c>
      <c r="I1774" t="str">
        <f>IFERROR(VLOOKUP(B1774,'Pre-Summary'!$AE$6:$AJ$85,5,FALSE),"")</f>
        <v/>
      </c>
      <c r="J1774" s="45" t="str">
        <f>IFERROR(VLOOKUP(B1774,'Pre-Summary'!$AE$6:$AJ$85,6, FALSE),"")</f>
        <v/>
      </c>
      <c r="K1774" s="45" t="str">
        <f>IFERROR(VLOOKUP(B1774,'Pre-Summary'!$DE$6:$DG$61,3,FALSE),"")</f>
        <v/>
      </c>
      <c r="L1774" s="45" t="str">
        <f>IFERROR(VLOOKUP(B1774,'Pre-Summary'!$CU$6:$CW$36,3,FALSE),"")</f>
        <v/>
      </c>
      <c r="M1774" s="45" t="str">
        <f>IFERROR(VLOOKUP(B1774,'Pre-Summary'!$BW$6:$BY$58,2,FALSE),"")</f>
        <v/>
      </c>
      <c r="N1774" s="45" t="str">
        <f>IFERROR(VLOOKUP(B1774,'Pre-Summary'!$CD$6:$CF$64,2,FALSE),"")</f>
        <v/>
      </c>
      <c r="O1774" s="99">
        <f>IFERROR(VLOOKUP(B1774,'Pre-Summary'!$BO$6:$BQ$48,3, FALSE),O1773)</f>
        <v>1.25</v>
      </c>
      <c r="P1774" s="99">
        <f>IFERROR(VLOOKUP(B1774,'Pre-Summary'!$BS$6:$BU$35,3,FALSE),P1773)</f>
        <v>0.33700000000000002</v>
      </c>
      <c r="Q1774" s="54">
        <f t="shared" si="81"/>
        <v>3.7091988130563798</v>
      </c>
      <c r="R1774" s="53">
        <f>IFERROR(VLOOKUP(B1774,'Pre-Summary'!$BG$6:$BM$44,7,FALSE),R1775)</f>
        <v>8.0894687007659741E-2</v>
      </c>
      <c r="S1774" s="53">
        <f>IFERROR(VLOOKUP(B1774,'Pre-Summary'!$BG$6:$BM$44,6,FALSE),S1775)</f>
        <v>6.1014931296205117E-2</v>
      </c>
      <c r="T1774" s="45" t="str">
        <f>IFERROR(VLOOKUP(B1774,'Pre-Summary'!$Y$6:$AC$83, 3,FALSE),"")</f>
        <v/>
      </c>
      <c r="U1774" s="45" t="str">
        <f>IFERROR(VLOOKUP(B1774,'Pre-Summary'!$Y$6:$AC$83, 4,FALSE),"")</f>
        <v/>
      </c>
      <c r="V1774" t="str">
        <f>IFERROR(VLOOKUP(B1774,'Pre-Summary'!$Y$6:$AC$83, 5,FALSE),"")</f>
        <v/>
      </c>
      <c r="W1774" s="45" t="str">
        <f>IFERROR(VLOOKUP(B1774,'Pre-Summary'!$Y$6:$AD$83,6,FALSE),"")</f>
        <v/>
      </c>
      <c r="X1774" t="str">
        <f>IFERROR(VLOOKUP('Pre-Summary'!$DB$6:$DD$63,3,FALSE),"")</f>
        <v/>
      </c>
      <c r="Y1774" t="str">
        <f>IFERROR(VLOOKUP(B1774,'Pre-Summary'!$CR$6:$CT$36,3,FALSE),"")</f>
        <v/>
      </c>
      <c r="Z1774" s="45" t="str">
        <f>IFERROR(VLOOKUP(B1774,'Pre-Summary'!$BZ$6:$CB$63,2,FALSE),"")</f>
        <v/>
      </c>
      <c r="AA1774" s="45" t="str">
        <f>IFERROR(VLOOKUP(B1774,'Pre-Summary'!$CG$6:$CI$70,2,FALSE),"")</f>
        <v/>
      </c>
      <c r="AB1774" s="99">
        <f>IFERROR(VLOOKUP(B1774,'Pre-Summary'!$A$6:$P$178,9,FALSE),AB1775)</f>
        <v>0.32924401709450951</v>
      </c>
      <c r="AC1774" s="10">
        <f>IFERROR(VLOOKUP(Summary!B1774,'Pre-Summary'!$A$6:$P$184,5, FALSE)/100,AC1775)</f>
        <v>0.88793699999999998</v>
      </c>
      <c r="AD1774" s="10">
        <f>IFERROR(VLOOKUP(Summary!B1774,'Pre-Summary'!$A$6:$P$184,3, FALSE)/100,AD1775)</f>
        <v>8.1131900000000007E-2</v>
      </c>
      <c r="AE1774" s="10">
        <f>IFERROR(VLOOKUP(Summary!B1774,'Pre-Summary'!$A$6:$P$184,7, FALSE)/100,AE1775)</f>
        <v>3.0946333333333329E-2</v>
      </c>
      <c r="AF1774" s="99">
        <f t="shared" si="82"/>
        <v>2.6712192670510039E-2</v>
      </c>
      <c r="AG1774" s="99">
        <f t="shared" si="83"/>
        <v>1.0188895101012388E-2</v>
      </c>
      <c r="AH1774" s="10" t="str">
        <f>IFERROR(VLOOKUP(B1774,'Pre-Summary'!$AZ$6:$BE$65,3,FALSE),"")</f>
        <v/>
      </c>
      <c r="AI1774" s="10" t="str">
        <f>IFERROR(VLOOKUP(B1774,'Pre-Summary'!$AZ$6:$BE$65,5,FALSE),"")</f>
        <v/>
      </c>
      <c r="AJ1774" s="10" t="str">
        <f>IFERROR(VLOOKUP(B1774,'Pre-Summary'!$AZ$6:$BE$65,4,FALSE),"")</f>
        <v/>
      </c>
      <c r="AK1774" s="10" t="str">
        <f>IFERROR(VLOOKUP(B1774,'Pre-Summary'!$AZ$6:$BE$65,6,FALSE),"")</f>
        <v/>
      </c>
      <c r="AL1774" s="10" t="str">
        <f>IFERROR(VLOOKUP(B1774,'Pre-Summary'!$BG$6:$BL$44,3,FALSE),"")</f>
        <v/>
      </c>
      <c r="AM1774" s="10" t="str">
        <f>IFERROR(VLOOKUP(B1774,'Pre-Summary'!$BG$6:$BL$44,4,FALSE),"")</f>
        <v/>
      </c>
    </row>
    <row r="1775" spans="2:39" ht="15" customHeight="1" x14ac:dyDescent="0.3">
      <c r="B1775">
        <v>177.2</v>
      </c>
      <c r="C1775" t="str">
        <f>IFERROR(VLOOKUP(B1775,'Pre-Summary'!$DI$6:$DM$23,4,FALSE),"")</f>
        <v/>
      </c>
      <c r="D1775" s="10" t="str">
        <f>IFERROR(VLOOKUP(B1775,'Pre-Summary'!$AT$6:$AX$14,5,FALSE),D1774)</f>
        <v>Wolfe v3: went back to modified wolfe + EDTA and switched CuSO4 to CUCl2</v>
      </c>
      <c r="E1775" s="10" t="str">
        <f>IFERROR(VLOOKUP(B1775,'Pre-Summary'!$AT$6:$AX$15,4,FALSE),"")</f>
        <v/>
      </c>
      <c r="F1775">
        <f>IFERROR(VLOOKUP(B1775,'Pre-Summary'!$AL$6:$AQ$13,6,FALSE),F1774)</f>
        <v>5.9405263157894746E-2</v>
      </c>
      <c r="G1775" t="str">
        <f>IFERROR(VLOOKUP(B1775,'Pre-Summary'!$AE$6:$AJ$85,3,FALSE),"")</f>
        <v/>
      </c>
      <c r="H1775" t="str">
        <f>IFERROR(VLOOKUP(B1775,'Pre-Summary'!$AE$6:$AJ$85,4,FALSE),"")</f>
        <v/>
      </c>
      <c r="I1775" t="str">
        <f>IFERROR(VLOOKUP(B1775,'Pre-Summary'!$AE$6:$AJ$85,5,FALSE),"")</f>
        <v/>
      </c>
      <c r="J1775" s="45" t="str">
        <f>IFERROR(VLOOKUP(B1775,'Pre-Summary'!$AE$6:$AJ$85,6, FALSE),"")</f>
        <v/>
      </c>
      <c r="K1775" s="45" t="str">
        <f>IFERROR(VLOOKUP(B1775,'Pre-Summary'!$DE$6:$DG$61,3,FALSE),"")</f>
        <v/>
      </c>
      <c r="L1775" s="45" t="str">
        <f>IFERROR(VLOOKUP(B1775,'Pre-Summary'!$CU$6:$CW$36,3,FALSE),"")</f>
        <v/>
      </c>
      <c r="M1775" s="45" t="str">
        <f>IFERROR(VLOOKUP(B1775,'Pre-Summary'!$BW$6:$BY$58,2,FALSE),"")</f>
        <v/>
      </c>
      <c r="N1775" s="45" t="str">
        <f>IFERROR(VLOOKUP(B1775,'Pre-Summary'!$CD$6:$CF$64,2,FALSE),"")</f>
        <v/>
      </c>
      <c r="O1775" s="99">
        <f>IFERROR(VLOOKUP(B1775,'Pre-Summary'!$BO$6:$BQ$48,3, FALSE),O1774)</f>
        <v>1.25</v>
      </c>
      <c r="P1775" s="99">
        <f>IFERROR(VLOOKUP(B1775,'Pre-Summary'!$BS$6:$BU$35,3,FALSE),P1774)</f>
        <v>0.33700000000000002</v>
      </c>
      <c r="Q1775" s="54">
        <f t="shared" si="81"/>
        <v>3.7091988130563798</v>
      </c>
      <c r="R1775" s="53">
        <f>IFERROR(VLOOKUP(B1775,'Pre-Summary'!$BG$6:$BM$44,7,FALSE),R1776)</f>
        <v>8.0894687007659741E-2</v>
      </c>
      <c r="S1775" s="53">
        <f>IFERROR(VLOOKUP(B1775,'Pre-Summary'!$BG$6:$BM$44,6,FALSE),S1776)</f>
        <v>6.1014931296205117E-2</v>
      </c>
      <c r="T1775" s="45" t="str">
        <f>IFERROR(VLOOKUP(B1775,'Pre-Summary'!$Y$6:$AC$83, 3,FALSE),"")</f>
        <v/>
      </c>
      <c r="U1775" s="45" t="str">
        <f>IFERROR(VLOOKUP(B1775,'Pre-Summary'!$Y$6:$AC$83, 4,FALSE),"")</f>
        <v/>
      </c>
      <c r="V1775" t="str">
        <f>IFERROR(VLOOKUP(B1775,'Pre-Summary'!$Y$6:$AC$83, 5,FALSE),"")</f>
        <v/>
      </c>
      <c r="W1775" s="45" t="str">
        <f>IFERROR(VLOOKUP(B1775,'Pre-Summary'!$Y$6:$AD$83,6,FALSE),"")</f>
        <v/>
      </c>
      <c r="X1775" t="str">
        <f>IFERROR(VLOOKUP('Pre-Summary'!$DB$6:$DD$63,3,FALSE),"")</f>
        <v/>
      </c>
      <c r="Y1775" t="str">
        <f>IFERROR(VLOOKUP(B1775,'Pre-Summary'!$CR$6:$CT$36,3,FALSE),"")</f>
        <v/>
      </c>
      <c r="Z1775" s="45" t="str">
        <f>IFERROR(VLOOKUP(B1775,'Pre-Summary'!$BZ$6:$CB$63,2,FALSE),"")</f>
        <v/>
      </c>
      <c r="AA1775" s="45" t="str">
        <f>IFERROR(VLOOKUP(B1775,'Pre-Summary'!$CG$6:$CI$70,2,FALSE),"")</f>
        <v/>
      </c>
      <c r="AB1775" s="99">
        <f>IFERROR(VLOOKUP(B1775,'Pre-Summary'!$A$6:$P$178,9,FALSE),AB1776)</f>
        <v>0.32924401709450951</v>
      </c>
      <c r="AC1775" s="10">
        <f>IFERROR(VLOOKUP(Summary!B1775,'Pre-Summary'!$A$6:$P$184,5, FALSE)/100,AC1776)</f>
        <v>0.88793699999999998</v>
      </c>
      <c r="AD1775" s="10">
        <f>IFERROR(VLOOKUP(Summary!B1775,'Pre-Summary'!$A$6:$P$184,3, FALSE)/100,AD1776)</f>
        <v>8.1131900000000007E-2</v>
      </c>
      <c r="AE1775" s="10">
        <f>IFERROR(VLOOKUP(Summary!B1775,'Pre-Summary'!$A$6:$P$184,7, FALSE)/100,AE1776)</f>
        <v>3.0946333333333329E-2</v>
      </c>
      <c r="AF1775" s="99">
        <f t="shared" si="82"/>
        <v>2.6712192670510039E-2</v>
      </c>
      <c r="AG1775" s="99">
        <f t="shared" si="83"/>
        <v>1.0188895101012388E-2</v>
      </c>
      <c r="AH1775" s="10" t="str">
        <f>IFERROR(VLOOKUP(B1775,'Pre-Summary'!$AZ$6:$BE$65,3,FALSE),"")</f>
        <v/>
      </c>
      <c r="AI1775" s="10" t="str">
        <f>IFERROR(VLOOKUP(B1775,'Pre-Summary'!$AZ$6:$BE$65,5,FALSE),"")</f>
        <v/>
      </c>
      <c r="AJ1775" s="10" t="str">
        <f>IFERROR(VLOOKUP(B1775,'Pre-Summary'!$AZ$6:$BE$65,4,FALSE),"")</f>
        <v/>
      </c>
      <c r="AK1775" s="10" t="str">
        <f>IFERROR(VLOOKUP(B1775,'Pre-Summary'!$AZ$6:$BE$65,6,FALSE),"")</f>
        <v/>
      </c>
      <c r="AL1775" s="10" t="str">
        <f>IFERROR(VLOOKUP(B1775,'Pre-Summary'!$BG$6:$BL$44,3,FALSE),"")</f>
        <v/>
      </c>
      <c r="AM1775" s="10" t="str">
        <f>IFERROR(VLOOKUP(B1775,'Pre-Summary'!$BG$6:$BL$44,4,FALSE),"")</f>
        <v/>
      </c>
    </row>
    <row r="1776" spans="2:39" ht="15" customHeight="1" x14ac:dyDescent="0.3">
      <c r="B1776">
        <v>177.3</v>
      </c>
      <c r="C1776" t="str">
        <f>IFERROR(VLOOKUP(B1776,'Pre-Summary'!$DI$6:$DM$23,4,FALSE),"")</f>
        <v/>
      </c>
      <c r="D1776" s="10" t="str">
        <f>IFERROR(VLOOKUP(B1776,'Pre-Summary'!$AT$6:$AX$14,5,FALSE),D1775)</f>
        <v>Wolfe v3: went back to modified wolfe + EDTA and switched CuSO4 to CUCl2</v>
      </c>
      <c r="E1776" s="10" t="str">
        <f>IFERROR(VLOOKUP(B1776,'Pre-Summary'!$AT$6:$AX$15,4,FALSE),"")</f>
        <v/>
      </c>
      <c r="F1776">
        <f>IFERROR(VLOOKUP(B1776,'Pre-Summary'!$AL$6:$AQ$13,6,FALSE),F1775)</f>
        <v>5.9405263157894746E-2</v>
      </c>
      <c r="G1776" t="str">
        <f>IFERROR(VLOOKUP(B1776,'Pre-Summary'!$AE$6:$AJ$85,3,FALSE),"")</f>
        <v/>
      </c>
      <c r="H1776" t="str">
        <f>IFERROR(VLOOKUP(B1776,'Pre-Summary'!$AE$6:$AJ$85,4,FALSE),"")</f>
        <v/>
      </c>
      <c r="I1776" t="str">
        <f>IFERROR(VLOOKUP(B1776,'Pre-Summary'!$AE$6:$AJ$85,5,FALSE),"")</f>
        <v/>
      </c>
      <c r="J1776" s="45" t="str">
        <f>IFERROR(VLOOKUP(B1776,'Pre-Summary'!$AE$6:$AJ$85,6, FALSE),"")</f>
        <v/>
      </c>
      <c r="K1776" s="45" t="str">
        <f>IFERROR(VLOOKUP(B1776,'Pre-Summary'!$DE$6:$DG$61,3,FALSE),"")</f>
        <v/>
      </c>
      <c r="L1776" s="45" t="str">
        <f>IFERROR(VLOOKUP(B1776,'Pre-Summary'!$CU$6:$CW$36,3,FALSE),"")</f>
        <v/>
      </c>
      <c r="M1776" s="45" t="str">
        <f>IFERROR(VLOOKUP(B1776,'Pre-Summary'!$BW$6:$BY$58,2,FALSE),"")</f>
        <v/>
      </c>
      <c r="N1776" s="45" t="str">
        <f>IFERROR(VLOOKUP(B1776,'Pre-Summary'!$CD$6:$CF$64,2,FALSE),"")</f>
        <v/>
      </c>
      <c r="O1776" s="99">
        <f>IFERROR(VLOOKUP(B1776,'Pre-Summary'!$BO$6:$BQ$48,3, FALSE),O1775)</f>
        <v>1.25</v>
      </c>
      <c r="P1776" s="99">
        <f>IFERROR(VLOOKUP(B1776,'Pre-Summary'!$BS$6:$BU$35,3,FALSE),P1775)</f>
        <v>0.33700000000000002</v>
      </c>
      <c r="Q1776" s="54">
        <f t="shared" si="81"/>
        <v>3.7091988130563798</v>
      </c>
      <c r="R1776" s="53">
        <f>IFERROR(VLOOKUP(B1776,'Pre-Summary'!$BG$6:$BM$44,7,FALSE),R1777)</f>
        <v>8.0894687007659741E-2</v>
      </c>
      <c r="S1776" s="53">
        <f>IFERROR(VLOOKUP(B1776,'Pre-Summary'!$BG$6:$BM$44,6,FALSE),S1777)</f>
        <v>6.1014931296205117E-2</v>
      </c>
      <c r="T1776" s="45" t="str">
        <f>IFERROR(VLOOKUP(B1776,'Pre-Summary'!$Y$6:$AC$83, 3,FALSE),"")</f>
        <v/>
      </c>
      <c r="U1776" s="45" t="str">
        <f>IFERROR(VLOOKUP(B1776,'Pre-Summary'!$Y$6:$AC$83, 4,FALSE),"")</f>
        <v/>
      </c>
      <c r="V1776" t="str">
        <f>IFERROR(VLOOKUP(B1776,'Pre-Summary'!$Y$6:$AC$83, 5,FALSE),"")</f>
        <v/>
      </c>
      <c r="W1776" s="45" t="str">
        <f>IFERROR(VLOOKUP(B1776,'Pre-Summary'!$Y$6:$AD$83,6,FALSE),"")</f>
        <v/>
      </c>
      <c r="X1776" t="str">
        <f>IFERROR(VLOOKUP('Pre-Summary'!$DB$6:$DD$63,3,FALSE),"")</f>
        <v/>
      </c>
      <c r="Y1776" t="str">
        <f>IFERROR(VLOOKUP(B1776,'Pre-Summary'!$CR$6:$CT$36,3,FALSE),"")</f>
        <v/>
      </c>
      <c r="Z1776" s="45" t="str">
        <f>IFERROR(VLOOKUP(B1776,'Pre-Summary'!$BZ$6:$CB$63,2,FALSE),"")</f>
        <v/>
      </c>
      <c r="AA1776" s="45" t="str">
        <f>IFERROR(VLOOKUP(B1776,'Pre-Summary'!$CG$6:$CI$70,2,FALSE),"")</f>
        <v/>
      </c>
      <c r="AB1776" s="99">
        <f>IFERROR(VLOOKUP(B1776,'Pre-Summary'!$A$6:$P$178,9,FALSE),AB1777)</f>
        <v>0.32924401709450951</v>
      </c>
      <c r="AC1776" s="10">
        <f>IFERROR(VLOOKUP(Summary!B1776,'Pre-Summary'!$A$6:$P$184,5, FALSE)/100,AC1777)</f>
        <v>0.88793699999999998</v>
      </c>
      <c r="AD1776" s="10">
        <f>IFERROR(VLOOKUP(Summary!B1776,'Pre-Summary'!$A$6:$P$184,3, FALSE)/100,AD1777)</f>
        <v>8.1131900000000007E-2</v>
      </c>
      <c r="AE1776" s="10">
        <f>IFERROR(VLOOKUP(Summary!B1776,'Pre-Summary'!$A$6:$P$184,7, FALSE)/100,AE1777)</f>
        <v>3.0946333333333329E-2</v>
      </c>
      <c r="AF1776" s="99">
        <f t="shared" si="82"/>
        <v>2.6712192670510039E-2</v>
      </c>
      <c r="AG1776" s="99">
        <f t="shared" si="83"/>
        <v>1.0188895101012388E-2</v>
      </c>
      <c r="AH1776" s="10" t="str">
        <f>IFERROR(VLOOKUP(B1776,'Pre-Summary'!$AZ$6:$BE$65,3,FALSE),"")</f>
        <v/>
      </c>
      <c r="AI1776" s="10" t="str">
        <f>IFERROR(VLOOKUP(B1776,'Pre-Summary'!$AZ$6:$BE$65,5,FALSE),"")</f>
        <v/>
      </c>
      <c r="AJ1776" s="10" t="str">
        <f>IFERROR(VLOOKUP(B1776,'Pre-Summary'!$AZ$6:$BE$65,4,FALSE),"")</f>
        <v/>
      </c>
      <c r="AK1776" s="10" t="str">
        <f>IFERROR(VLOOKUP(B1776,'Pre-Summary'!$AZ$6:$BE$65,6,FALSE),"")</f>
        <v/>
      </c>
      <c r="AL1776" s="10" t="str">
        <f>IFERROR(VLOOKUP(B1776,'Pre-Summary'!$BG$6:$BL$44,3,FALSE),"")</f>
        <v/>
      </c>
      <c r="AM1776" s="10" t="str">
        <f>IFERROR(VLOOKUP(B1776,'Pre-Summary'!$BG$6:$BL$44,4,FALSE),"")</f>
        <v/>
      </c>
    </row>
    <row r="1777" spans="2:39" ht="15" customHeight="1" x14ac:dyDescent="0.3">
      <c r="B1777">
        <v>177.4</v>
      </c>
      <c r="C1777" t="str">
        <f>IFERROR(VLOOKUP(B1777,'Pre-Summary'!$DI$6:$DM$23,4,FALSE),"")</f>
        <v/>
      </c>
      <c r="D1777" s="10" t="str">
        <f>IFERROR(VLOOKUP(B1777,'Pre-Summary'!$AT$6:$AX$14,5,FALSE),D1776)</f>
        <v>Wolfe v3: went back to modified wolfe + EDTA and switched CuSO4 to CUCl2</v>
      </c>
      <c r="E1777" s="10" t="str">
        <f>IFERROR(VLOOKUP(B1777,'Pre-Summary'!$AT$6:$AX$15,4,FALSE),"")</f>
        <v/>
      </c>
      <c r="F1777">
        <f>IFERROR(VLOOKUP(B1777,'Pre-Summary'!$AL$6:$AQ$13,6,FALSE),F1776)</f>
        <v>5.9405263157894746E-2</v>
      </c>
      <c r="G1777" t="str">
        <f>IFERROR(VLOOKUP(B1777,'Pre-Summary'!$AE$6:$AJ$85,3,FALSE),"")</f>
        <v/>
      </c>
      <c r="H1777" t="str">
        <f>IFERROR(VLOOKUP(B1777,'Pre-Summary'!$AE$6:$AJ$85,4,FALSE),"")</f>
        <v/>
      </c>
      <c r="I1777" t="str">
        <f>IFERROR(VLOOKUP(B1777,'Pre-Summary'!$AE$6:$AJ$85,5,FALSE),"")</f>
        <v/>
      </c>
      <c r="J1777" s="45" t="str">
        <f>IFERROR(VLOOKUP(B1777,'Pre-Summary'!$AE$6:$AJ$85,6, FALSE),"")</f>
        <v/>
      </c>
      <c r="K1777" s="45" t="str">
        <f>IFERROR(VLOOKUP(B1777,'Pre-Summary'!$DE$6:$DG$61,3,FALSE),"")</f>
        <v/>
      </c>
      <c r="L1777" s="45" t="str">
        <f>IFERROR(VLOOKUP(B1777,'Pre-Summary'!$CU$6:$CW$36,3,FALSE),"")</f>
        <v/>
      </c>
      <c r="M1777" s="45" t="str">
        <f>IFERROR(VLOOKUP(B1777,'Pre-Summary'!$BW$6:$BY$58,2,FALSE),"")</f>
        <v/>
      </c>
      <c r="N1777" s="45" t="str">
        <f>IFERROR(VLOOKUP(B1777,'Pre-Summary'!$CD$6:$CF$64,2,FALSE),"")</f>
        <v/>
      </c>
      <c r="O1777" s="99">
        <f>IFERROR(VLOOKUP(B1777,'Pre-Summary'!$BO$6:$BQ$48,3, FALSE),O1776)</f>
        <v>1.25</v>
      </c>
      <c r="P1777" s="99">
        <f>IFERROR(VLOOKUP(B1777,'Pre-Summary'!$BS$6:$BU$35,3,FALSE),P1776)</f>
        <v>0.33700000000000002</v>
      </c>
      <c r="Q1777" s="54">
        <f t="shared" si="81"/>
        <v>3.7091988130563798</v>
      </c>
      <c r="R1777" s="53">
        <f>IFERROR(VLOOKUP(B1777,'Pre-Summary'!$BG$6:$BM$44,7,FALSE),R1778)</f>
        <v>8.0894687007659741E-2</v>
      </c>
      <c r="S1777" s="53">
        <f>IFERROR(VLOOKUP(B1777,'Pre-Summary'!$BG$6:$BM$44,6,FALSE),S1778)</f>
        <v>6.1014931296205117E-2</v>
      </c>
      <c r="T1777" s="45" t="str">
        <f>IFERROR(VLOOKUP(B1777,'Pre-Summary'!$Y$6:$AC$83, 3,FALSE),"")</f>
        <v/>
      </c>
      <c r="U1777" s="45" t="str">
        <f>IFERROR(VLOOKUP(B1777,'Pre-Summary'!$Y$6:$AC$83, 4,FALSE),"")</f>
        <v/>
      </c>
      <c r="V1777" t="str">
        <f>IFERROR(VLOOKUP(B1777,'Pre-Summary'!$Y$6:$AC$83, 5,FALSE),"")</f>
        <v/>
      </c>
      <c r="W1777" s="45" t="str">
        <f>IFERROR(VLOOKUP(B1777,'Pre-Summary'!$Y$6:$AD$83,6,FALSE),"")</f>
        <v/>
      </c>
      <c r="X1777" t="str">
        <f>IFERROR(VLOOKUP('Pre-Summary'!$DB$6:$DD$63,3,FALSE),"")</f>
        <v/>
      </c>
      <c r="Y1777" t="str">
        <f>IFERROR(VLOOKUP(B1777,'Pre-Summary'!$CR$6:$CT$36,3,FALSE),"")</f>
        <v/>
      </c>
      <c r="Z1777" s="45" t="str">
        <f>IFERROR(VLOOKUP(B1777,'Pre-Summary'!$BZ$6:$CB$63,2,FALSE),"")</f>
        <v/>
      </c>
      <c r="AA1777" s="45" t="str">
        <f>IFERROR(VLOOKUP(B1777,'Pre-Summary'!$CG$6:$CI$70,2,FALSE),"")</f>
        <v/>
      </c>
      <c r="AB1777" s="99">
        <f>IFERROR(VLOOKUP(B1777,'Pre-Summary'!$A$6:$P$178,9,FALSE),AB1778)</f>
        <v>0.32924401709450951</v>
      </c>
      <c r="AC1777" s="10">
        <f>IFERROR(VLOOKUP(Summary!B1777,'Pre-Summary'!$A$6:$P$184,5, FALSE)/100,AC1778)</f>
        <v>0.88793699999999998</v>
      </c>
      <c r="AD1777" s="10">
        <f>IFERROR(VLOOKUP(Summary!B1777,'Pre-Summary'!$A$6:$P$184,3, FALSE)/100,AD1778)</f>
        <v>8.1131900000000007E-2</v>
      </c>
      <c r="AE1777" s="10">
        <f>IFERROR(VLOOKUP(Summary!B1777,'Pre-Summary'!$A$6:$P$184,7, FALSE)/100,AE1778)</f>
        <v>3.0946333333333329E-2</v>
      </c>
      <c r="AF1777" s="99">
        <f t="shared" si="82"/>
        <v>2.6712192670510039E-2</v>
      </c>
      <c r="AG1777" s="99">
        <f t="shared" si="83"/>
        <v>1.0188895101012388E-2</v>
      </c>
      <c r="AH1777" s="10" t="str">
        <f>IFERROR(VLOOKUP(B1777,'Pre-Summary'!$AZ$6:$BE$65,3,FALSE),"")</f>
        <v/>
      </c>
      <c r="AI1777" s="10" t="str">
        <f>IFERROR(VLOOKUP(B1777,'Pre-Summary'!$AZ$6:$BE$65,5,FALSE),"")</f>
        <v/>
      </c>
      <c r="AJ1777" s="10" t="str">
        <f>IFERROR(VLOOKUP(B1777,'Pre-Summary'!$AZ$6:$BE$65,4,FALSE),"")</f>
        <v/>
      </c>
      <c r="AK1777" s="10" t="str">
        <f>IFERROR(VLOOKUP(B1777,'Pre-Summary'!$AZ$6:$BE$65,6,FALSE),"")</f>
        <v/>
      </c>
      <c r="AL1777" s="10" t="str">
        <f>IFERROR(VLOOKUP(B1777,'Pre-Summary'!$BG$6:$BL$44,3,FALSE),"")</f>
        <v/>
      </c>
      <c r="AM1777" s="10" t="str">
        <f>IFERROR(VLOOKUP(B1777,'Pre-Summary'!$BG$6:$BL$44,4,FALSE),"")</f>
        <v/>
      </c>
    </row>
    <row r="1778" spans="2:39" ht="15" customHeight="1" x14ac:dyDescent="0.3">
      <c r="B1778">
        <v>177.5</v>
      </c>
      <c r="C1778" t="str">
        <f>IFERROR(VLOOKUP(B1778,'Pre-Summary'!$DI$6:$DM$23,4,FALSE),"")</f>
        <v/>
      </c>
      <c r="D1778" s="10" t="str">
        <f>IFERROR(VLOOKUP(B1778,'Pre-Summary'!$AT$6:$AX$14,5,FALSE),D1777)</f>
        <v>Wolfe v3: went back to modified wolfe + EDTA and switched CuSO4 to CUCl2</v>
      </c>
      <c r="E1778" s="10" t="str">
        <f>IFERROR(VLOOKUP(B1778,'Pre-Summary'!$AT$6:$AX$15,4,FALSE),"")</f>
        <v/>
      </c>
      <c r="F1778">
        <f>IFERROR(VLOOKUP(B1778,'Pre-Summary'!$AL$6:$AQ$13,6,FALSE),F1777)</f>
        <v>5.9405263157894746E-2</v>
      </c>
      <c r="G1778" t="str">
        <f>IFERROR(VLOOKUP(B1778,'Pre-Summary'!$AE$6:$AJ$85,3,FALSE),"")</f>
        <v/>
      </c>
      <c r="H1778" t="str">
        <f>IFERROR(VLOOKUP(B1778,'Pre-Summary'!$AE$6:$AJ$85,4,FALSE),"")</f>
        <v/>
      </c>
      <c r="I1778" t="str">
        <f>IFERROR(VLOOKUP(B1778,'Pre-Summary'!$AE$6:$AJ$85,5,FALSE),"")</f>
        <v/>
      </c>
      <c r="J1778" s="45" t="str">
        <f>IFERROR(VLOOKUP(B1778,'Pre-Summary'!$AE$6:$AJ$85,6, FALSE),"")</f>
        <v/>
      </c>
      <c r="K1778" s="45" t="str">
        <f>IFERROR(VLOOKUP(B1778,'Pre-Summary'!$DE$6:$DG$61,3,FALSE),"")</f>
        <v/>
      </c>
      <c r="L1778" s="45" t="str">
        <f>IFERROR(VLOOKUP(B1778,'Pre-Summary'!$CU$6:$CW$36,3,FALSE),"")</f>
        <v/>
      </c>
      <c r="M1778" s="45" t="str">
        <f>IFERROR(VLOOKUP(B1778,'Pre-Summary'!$BW$6:$BY$58,2,FALSE),"")</f>
        <v/>
      </c>
      <c r="N1778" s="45" t="str">
        <f>IFERROR(VLOOKUP(B1778,'Pre-Summary'!$CD$6:$CF$64,2,FALSE),"")</f>
        <v/>
      </c>
      <c r="O1778" s="99">
        <f>IFERROR(VLOOKUP(B1778,'Pre-Summary'!$BO$6:$BQ$48,3, FALSE),O1777)</f>
        <v>1.25</v>
      </c>
      <c r="P1778" s="99">
        <f>IFERROR(VLOOKUP(B1778,'Pre-Summary'!$BS$6:$BU$35,3,FALSE),P1777)</f>
        <v>0.33700000000000002</v>
      </c>
      <c r="Q1778" s="54">
        <f t="shared" si="81"/>
        <v>3.7091988130563798</v>
      </c>
      <c r="R1778" s="53">
        <f>IFERROR(VLOOKUP(B1778,'Pre-Summary'!$BG$6:$BM$44,7,FALSE),R1779)</f>
        <v>8.0894687007659741E-2</v>
      </c>
      <c r="S1778" s="53">
        <f>IFERROR(VLOOKUP(B1778,'Pre-Summary'!$BG$6:$BM$44,6,FALSE),S1779)</f>
        <v>6.1014931296205117E-2</v>
      </c>
      <c r="T1778" s="45" t="str">
        <f>IFERROR(VLOOKUP(B1778,'Pre-Summary'!$Y$6:$AC$83, 3,FALSE),"")</f>
        <v/>
      </c>
      <c r="U1778" s="45" t="str">
        <f>IFERROR(VLOOKUP(B1778,'Pre-Summary'!$Y$6:$AC$83, 4,FALSE),"")</f>
        <v/>
      </c>
      <c r="V1778" t="str">
        <f>IFERROR(VLOOKUP(B1778,'Pre-Summary'!$Y$6:$AC$83, 5,FALSE),"")</f>
        <v/>
      </c>
      <c r="W1778" s="45" t="str">
        <f>IFERROR(VLOOKUP(B1778,'Pre-Summary'!$Y$6:$AD$83,6,FALSE),"")</f>
        <v/>
      </c>
      <c r="X1778" t="str">
        <f>IFERROR(VLOOKUP('Pre-Summary'!$DB$6:$DD$63,3,FALSE),"")</f>
        <v/>
      </c>
      <c r="Y1778" t="str">
        <f>IFERROR(VLOOKUP(B1778,'Pre-Summary'!$CR$6:$CT$36,3,FALSE),"")</f>
        <v/>
      </c>
      <c r="Z1778" s="45" t="str">
        <f>IFERROR(VLOOKUP(B1778,'Pre-Summary'!$BZ$6:$CB$63,2,FALSE),"")</f>
        <v/>
      </c>
      <c r="AA1778" s="45" t="str">
        <f>IFERROR(VLOOKUP(B1778,'Pre-Summary'!$CG$6:$CI$70,2,FALSE),"")</f>
        <v/>
      </c>
      <c r="AB1778" s="99">
        <f>IFERROR(VLOOKUP(B1778,'Pre-Summary'!$A$6:$P$178,9,FALSE),AB1779)</f>
        <v>0.32924401709450951</v>
      </c>
      <c r="AC1778" s="10">
        <f>IFERROR(VLOOKUP(Summary!B1778,'Pre-Summary'!$A$6:$P$184,5, FALSE)/100,AC1779)</f>
        <v>0.88793699999999998</v>
      </c>
      <c r="AD1778" s="10">
        <f>IFERROR(VLOOKUP(Summary!B1778,'Pre-Summary'!$A$6:$P$184,3, FALSE)/100,AD1779)</f>
        <v>8.1131900000000007E-2</v>
      </c>
      <c r="AE1778" s="10">
        <f>IFERROR(VLOOKUP(Summary!B1778,'Pre-Summary'!$A$6:$P$184,7, FALSE)/100,AE1779)</f>
        <v>3.0946333333333329E-2</v>
      </c>
      <c r="AF1778" s="99">
        <f t="shared" si="82"/>
        <v>2.6712192670510039E-2</v>
      </c>
      <c r="AG1778" s="99">
        <f t="shared" si="83"/>
        <v>1.0188895101012388E-2</v>
      </c>
      <c r="AH1778" s="10" t="str">
        <f>IFERROR(VLOOKUP(B1778,'Pre-Summary'!$AZ$6:$BE$65,3,FALSE),"")</f>
        <v/>
      </c>
      <c r="AI1778" s="10" t="str">
        <f>IFERROR(VLOOKUP(B1778,'Pre-Summary'!$AZ$6:$BE$65,5,FALSE),"")</f>
        <v/>
      </c>
      <c r="AJ1778" s="10" t="str">
        <f>IFERROR(VLOOKUP(B1778,'Pre-Summary'!$AZ$6:$BE$65,4,FALSE),"")</f>
        <v/>
      </c>
      <c r="AK1778" s="10" t="str">
        <f>IFERROR(VLOOKUP(B1778,'Pre-Summary'!$AZ$6:$BE$65,6,FALSE),"")</f>
        <v/>
      </c>
      <c r="AL1778" s="10" t="str">
        <f>IFERROR(VLOOKUP(B1778,'Pre-Summary'!$BG$6:$BL$44,3,FALSE),"")</f>
        <v/>
      </c>
      <c r="AM1778" s="10" t="str">
        <f>IFERROR(VLOOKUP(B1778,'Pre-Summary'!$BG$6:$BL$44,4,FALSE),"")</f>
        <v/>
      </c>
    </row>
    <row r="1779" spans="2:39" ht="15" customHeight="1" x14ac:dyDescent="0.3">
      <c r="B1779">
        <v>177.6</v>
      </c>
      <c r="C1779" t="str">
        <f>IFERROR(VLOOKUP(B1779,'Pre-Summary'!$DI$6:$DM$23,4,FALSE),"")</f>
        <v/>
      </c>
      <c r="D1779" s="10" t="str">
        <f>IFERROR(VLOOKUP(B1779,'Pre-Summary'!$AT$6:$AX$14,5,FALSE),D1778)</f>
        <v>Wolfe v3: went back to modified wolfe + EDTA and switched CuSO4 to CUCl2</v>
      </c>
      <c r="E1779" s="10" t="str">
        <f>IFERROR(VLOOKUP(B1779,'Pre-Summary'!$AT$6:$AX$15,4,FALSE),"")</f>
        <v/>
      </c>
      <c r="F1779">
        <f>IFERROR(VLOOKUP(B1779,'Pre-Summary'!$AL$6:$AQ$13,6,FALSE),F1778)</f>
        <v>5.9405263157894746E-2</v>
      </c>
      <c r="G1779" t="str">
        <f>IFERROR(VLOOKUP(B1779,'Pre-Summary'!$AE$6:$AJ$85,3,FALSE),"")</f>
        <v/>
      </c>
      <c r="H1779" t="str">
        <f>IFERROR(VLOOKUP(B1779,'Pre-Summary'!$AE$6:$AJ$85,4,FALSE),"")</f>
        <v/>
      </c>
      <c r="I1779" t="str">
        <f>IFERROR(VLOOKUP(B1779,'Pre-Summary'!$AE$6:$AJ$85,5,FALSE),"")</f>
        <v/>
      </c>
      <c r="J1779" s="45" t="str">
        <f>IFERROR(VLOOKUP(B1779,'Pre-Summary'!$AE$6:$AJ$85,6, FALSE),"")</f>
        <v/>
      </c>
      <c r="K1779" s="45" t="str">
        <f>IFERROR(VLOOKUP(B1779,'Pre-Summary'!$DE$6:$DG$61,3,FALSE),"")</f>
        <v/>
      </c>
      <c r="L1779" s="45" t="str">
        <f>IFERROR(VLOOKUP(B1779,'Pre-Summary'!$CU$6:$CW$36,3,FALSE),"")</f>
        <v/>
      </c>
      <c r="M1779" s="45" t="str">
        <f>IFERROR(VLOOKUP(B1779,'Pre-Summary'!$BW$6:$BY$58,2,FALSE),"")</f>
        <v/>
      </c>
      <c r="N1779" s="45" t="str">
        <f>IFERROR(VLOOKUP(B1779,'Pre-Summary'!$CD$6:$CF$64,2,FALSE),"")</f>
        <v/>
      </c>
      <c r="O1779" s="99">
        <f>IFERROR(VLOOKUP(B1779,'Pre-Summary'!$BO$6:$BQ$48,3, FALSE),O1778)</f>
        <v>1.25</v>
      </c>
      <c r="P1779" s="99">
        <f>IFERROR(VLOOKUP(B1779,'Pre-Summary'!$BS$6:$BU$35,3,FALSE),P1778)</f>
        <v>0.33700000000000002</v>
      </c>
      <c r="Q1779" s="54">
        <f t="shared" si="81"/>
        <v>3.7091988130563798</v>
      </c>
      <c r="R1779" s="53">
        <f>IFERROR(VLOOKUP(B1779,'Pre-Summary'!$BG$6:$BM$44,7,FALSE),R1780)</f>
        <v>8.0894687007659741E-2</v>
      </c>
      <c r="S1779" s="53">
        <f>IFERROR(VLOOKUP(B1779,'Pre-Summary'!$BG$6:$BM$44,6,FALSE),S1780)</f>
        <v>6.1014931296205117E-2</v>
      </c>
      <c r="T1779" s="45" t="str">
        <f>IFERROR(VLOOKUP(B1779,'Pre-Summary'!$Y$6:$AC$83, 3,FALSE),"")</f>
        <v/>
      </c>
      <c r="U1779" s="45" t="str">
        <f>IFERROR(VLOOKUP(B1779,'Pre-Summary'!$Y$6:$AC$83, 4,FALSE),"")</f>
        <v/>
      </c>
      <c r="V1779" t="str">
        <f>IFERROR(VLOOKUP(B1779,'Pre-Summary'!$Y$6:$AC$83, 5,FALSE),"")</f>
        <v/>
      </c>
      <c r="W1779" s="45" t="str">
        <f>IFERROR(VLOOKUP(B1779,'Pre-Summary'!$Y$6:$AD$83,6,FALSE),"")</f>
        <v/>
      </c>
      <c r="X1779" t="str">
        <f>IFERROR(VLOOKUP('Pre-Summary'!$DB$6:$DD$63,3,FALSE),"")</f>
        <v/>
      </c>
      <c r="Y1779" t="str">
        <f>IFERROR(VLOOKUP(B1779,'Pre-Summary'!$CR$6:$CT$36,3,FALSE),"")</f>
        <v/>
      </c>
      <c r="Z1779" s="45" t="str">
        <f>IFERROR(VLOOKUP(B1779,'Pre-Summary'!$BZ$6:$CB$63,2,FALSE),"")</f>
        <v/>
      </c>
      <c r="AA1779" s="45" t="str">
        <f>IFERROR(VLOOKUP(B1779,'Pre-Summary'!$CG$6:$CI$70,2,FALSE),"")</f>
        <v/>
      </c>
      <c r="AB1779" s="99">
        <f>IFERROR(VLOOKUP(B1779,'Pre-Summary'!$A$6:$P$178,9,FALSE),AB1780)</f>
        <v>0.32924401709450951</v>
      </c>
      <c r="AC1779" s="10">
        <f>IFERROR(VLOOKUP(Summary!B1779,'Pre-Summary'!$A$6:$P$184,5, FALSE)/100,AC1780)</f>
        <v>0.88793699999999998</v>
      </c>
      <c r="AD1779" s="10">
        <f>IFERROR(VLOOKUP(Summary!B1779,'Pre-Summary'!$A$6:$P$184,3, FALSE)/100,AD1780)</f>
        <v>8.1131900000000007E-2</v>
      </c>
      <c r="AE1779" s="10">
        <f>IFERROR(VLOOKUP(Summary!B1779,'Pre-Summary'!$A$6:$P$184,7, FALSE)/100,AE1780)</f>
        <v>3.0946333333333329E-2</v>
      </c>
      <c r="AF1779" s="99">
        <f t="shared" si="82"/>
        <v>2.6712192670510039E-2</v>
      </c>
      <c r="AG1779" s="99">
        <f t="shared" si="83"/>
        <v>1.0188895101012388E-2</v>
      </c>
      <c r="AH1779" s="10" t="str">
        <f>IFERROR(VLOOKUP(B1779,'Pre-Summary'!$AZ$6:$BE$65,3,FALSE),"")</f>
        <v/>
      </c>
      <c r="AI1779" s="10" t="str">
        <f>IFERROR(VLOOKUP(B1779,'Pre-Summary'!$AZ$6:$BE$65,5,FALSE),"")</f>
        <v/>
      </c>
      <c r="AJ1779" s="10" t="str">
        <f>IFERROR(VLOOKUP(B1779,'Pre-Summary'!$AZ$6:$BE$65,4,FALSE),"")</f>
        <v/>
      </c>
      <c r="AK1779" s="10" t="str">
        <f>IFERROR(VLOOKUP(B1779,'Pre-Summary'!$AZ$6:$BE$65,6,FALSE),"")</f>
        <v/>
      </c>
      <c r="AL1779" s="10" t="str">
        <f>IFERROR(VLOOKUP(B1779,'Pre-Summary'!$BG$6:$BL$44,3,FALSE),"")</f>
        <v/>
      </c>
      <c r="AM1779" s="10" t="str">
        <f>IFERROR(VLOOKUP(B1779,'Pre-Summary'!$BG$6:$BL$44,4,FALSE),"")</f>
        <v/>
      </c>
    </row>
    <row r="1780" spans="2:39" ht="15" customHeight="1" x14ac:dyDescent="0.3">
      <c r="B1780">
        <v>177.7</v>
      </c>
      <c r="C1780" t="str">
        <f>IFERROR(VLOOKUP(B1780,'Pre-Summary'!$DI$6:$DM$23,4,FALSE),"")</f>
        <v/>
      </c>
      <c r="D1780" s="10" t="str">
        <f>IFERROR(VLOOKUP(B1780,'Pre-Summary'!$AT$6:$AX$14,5,FALSE),D1779)</f>
        <v>Wolfe v3: went back to modified wolfe + EDTA and switched CuSO4 to CUCl2</v>
      </c>
      <c r="E1780" s="10" t="str">
        <f>IFERROR(VLOOKUP(B1780,'Pre-Summary'!$AT$6:$AX$15,4,FALSE),"")</f>
        <v/>
      </c>
      <c r="F1780">
        <f>IFERROR(VLOOKUP(B1780,'Pre-Summary'!$AL$6:$AQ$13,6,FALSE),F1779)</f>
        <v>5.9405263157894746E-2</v>
      </c>
      <c r="G1780" t="str">
        <f>IFERROR(VLOOKUP(B1780,'Pre-Summary'!$AE$6:$AJ$85,3,FALSE),"")</f>
        <v/>
      </c>
      <c r="H1780" t="str">
        <f>IFERROR(VLOOKUP(B1780,'Pre-Summary'!$AE$6:$AJ$85,4,FALSE),"")</f>
        <v/>
      </c>
      <c r="I1780" t="str">
        <f>IFERROR(VLOOKUP(B1780,'Pre-Summary'!$AE$6:$AJ$85,5,FALSE),"")</f>
        <v/>
      </c>
      <c r="J1780" s="45" t="str">
        <f>IFERROR(VLOOKUP(B1780,'Pre-Summary'!$AE$6:$AJ$85,6, FALSE),"")</f>
        <v/>
      </c>
      <c r="K1780" s="45" t="str">
        <f>IFERROR(VLOOKUP(B1780,'Pre-Summary'!$DE$6:$DG$61,3,FALSE),"")</f>
        <v/>
      </c>
      <c r="L1780" s="45" t="str">
        <f>IFERROR(VLOOKUP(B1780,'Pre-Summary'!$CU$6:$CW$36,3,FALSE),"")</f>
        <v/>
      </c>
      <c r="M1780" s="45" t="str">
        <f>IFERROR(VLOOKUP(B1780,'Pre-Summary'!$BW$6:$BY$58,2,FALSE),"")</f>
        <v/>
      </c>
      <c r="N1780" s="45" t="str">
        <f>IFERROR(VLOOKUP(B1780,'Pre-Summary'!$CD$6:$CF$64,2,FALSE),"")</f>
        <v/>
      </c>
      <c r="O1780" s="99">
        <f>IFERROR(VLOOKUP(B1780,'Pre-Summary'!$BO$6:$BQ$48,3, FALSE),O1779)</f>
        <v>1.25</v>
      </c>
      <c r="P1780" s="99">
        <f>IFERROR(VLOOKUP(B1780,'Pre-Summary'!$BS$6:$BU$35,3,FALSE),P1779)</f>
        <v>0.33700000000000002</v>
      </c>
      <c r="Q1780" s="54">
        <f t="shared" si="81"/>
        <v>3.7091988130563798</v>
      </c>
      <c r="R1780" s="53">
        <f>IFERROR(VLOOKUP(B1780,'Pre-Summary'!$BG$6:$BM$44,7,FALSE),R1781)</f>
        <v>8.0894687007659741E-2</v>
      </c>
      <c r="S1780" s="53">
        <f>IFERROR(VLOOKUP(B1780,'Pre-Summary'!$BG$6:$BM$44,6,FALSE),S1781)</f>
        <v>6.1014931296205117E-2</v>
      </c>
      <c r="T1780" s="45" t="str">
        <f>IFERROR(VLOOKUP(B1780,'Pre-Summary'!$Y$6:$AC$83, 3,FALSE),"")</f>
        <v/>
      </c>
      <c r="U1780" s="45" t="str">
        <f>IFERROR(VLOOKUP(B1780,'Pre-Summary'!$Y$6:$AC$83, 4,FALSE),"")</f>
        <v/>
      </c>
      <c r="V1780" t="str">
        <f>IFERROR(VLOOKUP(B1780,'Pre-Summary'!$Y$6:$AC$83, 5,FALSE),"")</f>
        <v/>
      </c>
      <c r="W1780" s="45" t="str">
        <f>IFERROR(VLOOKUP(B1780,'Pre-Summary'!$Y$6:$AD$83,6,FALSE),"")</f>
        <v/>
      </c>
      <c r="X1780" t="str">
        <f>IFERROR(VLOOKUP('Pre-Summary'!$DB$6:$DD$63,3,FALSE),"")</f>
        <v/>
      </c>
      <c r="Y1780" t="str">
        <f>IFERROR(VLOOKUP(B1780,'Pre-Summary'!$CR$6:$CT$36,3,FALSE),"")</f>
        <v/>
      </c>
      <c r="Z1780" s="45" t="str">
        <f>IFERROR(VLOOKUP(B1780,'Pre-Summary'!$BZ$6:$CB$63,2,FALSE),"")</f>
        <v/>
      </c>
      <c r="AA1780" s="45" t="str">
        <f>IFERROR(VLOOKUP(B1780,'Pre-Summary'!$CG$6:$CI$70,2,FALSE),"")</f>
        <v/>
      </c>
      <c r="AB1780" s="99">
        <f>IFERROR(VLOOKUP(B1780,'Pre-Summary'!$A$6:$P$178,9,FALSE),AB1781)</f>
        <v>0.32924401709450951</v>
      </c>
      <c r="AC1780" s="10">
        <f>IFERROR(VLOOKUP(Summary!B1780,'Pre-Summary'!$A$6:$P$184,5, FALSE)/100,AC1781)</f>
        <v>0.88793699999999998</v>
      </c>
      <c r="AD1780" s="10">
        <f>IFERROR(VLOOKUP(Summary!B1780,'Pre-Summary'!$A$6:$P$184,3, FALSE)/100,AD1781)</f>
        <v>8.1131900000000007E-2</v>
      </c>
      <c r="AE1780" s="10">
        <f>IFERROR(VLOOKUP(Summary!B1780,'Pre-Summary'!$A$6:$P$184,7, FALSE)/100,AE1781)</f>
        <v>3.0946333333333329E-2</v>
      </c>
      <c r="AF1780" s="99">
        <f t="shared" si="82"/>
        <v>2.6712192670510039E-2</v>
      </c>
      <c r="AG1780" s="99">
        <f t="shared" si="83"/>
        <v>1.0188895101012388E-2</v>
      </c>
      <c r="AH1780" s="10" t="str">
        <f>IFERROR(VLOOKUP(B1780,'Pre-Summary'!$AZ$6:$BE$65,3,FALSE),"")</f>
        <v/>
      </c>
      <c r="AI1780" s="10" t="str">
        <f>IFERROR(VLOOKUP(B1780,'Pre-Summary'!$AZ$6:$BE$65,5,FALSE),"")</f>
        <v/>
      </c>
      <c r="AJ1780" s="10" t="str">
        <f>IFERROR(VLOOKUP(B1780,'Pre-Summary'!$AZ$6:$BE$65,4,FALSE),"")</f>
        <v/>
      </c>
      <c r="AK1780" s="10" t="str">
        <f>IFERROR(VLOOKUP(B1780,'Pre-Summary'!$AZ$6:$BE$65,6,FALSE),"")</f>
        <v/>
      </c>
      <c r="AL1780" s="10" t="str">
        <f>IFERROR(VLOOKUP(B1780,'Pre-Summary'!$BG$6:$BL$44,3,FALSE),"")</f>
        <v/>
      </c>
      <c r="AM1780" s="10" t="str">
        <f>IFERROR(VLOOKUP(B1780,'Pre-Summary'!$BG$6:$BL$44,4,FALSE),"")</f>
        <v/>
      </c>
    </row>
    <row r="1781" spans="2:39" ht="15" customHeight="1" x14ac:dyDescent="0.3">
      <c r="B1781">
        <v>177.8</v>
      </c>
      <c r="C1781" t="str">
        <f>IFERROR(VLOOKUP(B1781,'Pre-Summary'!$DI$6:$DM$23,4,FALSE),"")</f>
        <v/>
      </c>
      <c r="D1781" s="10" t="str">
        <f>IFERROR(VLOOKUP(B1781,'Pre-Summary'!$AT$6:$AX$14,5,FALSE),D1780)</f>
        <v>Wolfe v3: went back to modified wolfe + EDTA and switched CuSO4 to CUCl2</v>
      </c>
      <c r="E1781" s="10" t="str">
        <f>IFERROR(VLOOKUP(B1781,'Pre-Summary'!$AT$6:$AX$15,4,FALSE),"")</f>
        <v/>
      </c>
      <c r="F1781">
        <f>IFERROR(VLOOKUP(B1781,'Pre-Summary'!$AL$6:$AQ$13,6,FALSE),F1780)</f>
        <v>5.9405263157894746E-2</v>
      </c>
      <c r="G1781" t="str">
        <f>IFERROR(VLOOKUP(B1781,'Pre-Summary'!$AE$6:$AJ$85,3,FALSE),"")</f>
        <v/>
      </c>
      <c r="H1781" t="str">
        <f>IFERROR(VLOOKUP(B1781,'Pre-Summary'!$AE$6:$AJ$85,4,FALSE),"")</f>
        <v/>
      </c>
      <c r="I1781" t="str">
        <f>IFERROR(VLOOKUP(B1781,'Pre-Summary'!$AE$6:$AJ$85,5,FALSE),"")</f>
        <v/>
      </c>
      <c r="J1781" s="45" t="str">
        <f>IFERROR(VLOOKUP(B1781,'Pre-Summary'!$AE$6:$AJ$85,6, FALSE),"")</f>
        <v/>
      </c>
      <c r="K1781" s="45" t="str">
        <f>IFERROR(VLOOKUP(B1781,'Pre-Summary'!$DE$6:$DG$61,3,FALSE),"")</f>
        <v/>
      </c>
      <c r="L1781" s="45" t="str">
        <f>IFERROR(VLOOKUP(B1781,'Pre-Summary'!$CU$6:$CW$36,3,FALSE),"")</f>
        <v/>
      </c>
      <c r="M1781" s="45" t="str">
        <f>IFERROR(VLOOKUP(B1781,'Pre-Summary'!$BW$6:$BY$58,2,FALSE),"")</f>
        <v/>
      </c>
      <c r="N1781" s="45" t="str">
        <f>IFERROR(VLOOKUP(B1781,'Pre-Summary'!$CD$6:$CF$64,2,FALSE),"")</f>
        <v/>
      </c>
      <c r="O1781" s="99">
        <f>IFERROR(VLOOKUP(B1781,'Pre-Summary'!$BO$6:$BQ$48,3, FALSE),O1780)</f>
        <v>1.25</v>
      </c>
      <c r="P1781" s="99">
        <f>IFERROR(VLOOKUP(B1781,'Pre-Summary'!$BS$6:$BU$35,3,FALSE),P1780)</f>
        <v>0.33700000000000002</v>
      </c>
      <c r="Q1781" s="54">
        <f t="shared" si="81"/>
        <v>3.7091988130563798</v>
      </c>
      <c r="R1781" s="53">
        <f>IFERROR(VLOOKUP(B1781,'Pre-Summary'!$BG$6:$BM$44,7,FALSE),R1782)</f>
        <v>8.0894687007659741E-2</v>
      </c>
      <c r="S1781" s="53">
        <f>IFERROR(VLOOKUP(B1781,'Pre-Summary'!$BG$6:$BM$44,6,FALSE),S1782)</f>
        <v>6.1014931296205117E-2</v>
      </c>
      <c r="T1781" s="45" t="str">
        <f>IFERROR(VLOOKUP(B1781,'Pre-Summary'!$Y$6:$AC$83, 3,FALSE),"")</f>
        <v/>
      </c>
      <c r="U1781" s="45" t="str">
        <f>IFERROR(VLOOKUP(B1781,'Pre-Summary'!$Y$6:$AC$83, 4,FALSE),"")</f>
        <v/>
      </c>
      <c r="V1781" t="str">
        <f>IFERROR(VLOOKUP(B1781,'Pre-Summary'!$Y$6:$AC$83, 5,FALSE),"")</f>
        <v/>
      </c>
      <c r="W1781" s="45" t="str">
        <f>IFERROR(VLOOKUP(B1781,'Pre-Summary'!$Y$6:$AD$83,6,FALSE),"")</f>
        <v/>
      </c>
      <c r="X1781" t="str">
        <f>IFERROR(VLOOKUP('Pre-Summary'!$DB$6:$DD$63,3,FALSE),"")</f>
        <v/>
      </c>
      <c r="Y1781" t="str">
        <f>IFERROR(VLOOKUP(B1781,'Pre-Summary'!$CR$6:$CT$36,3,FALSE),"")</f>
        <v/>
      </c>
      <c r="Z1781" s="45" t="str">
        <f>IFERROR(VLOOKUP(B1781,'Pre-Summary'!$BZ$6:$CB$63,2,FALSE),"")</f>
        <v/>
      </c>
      <c r="AA1781" s="45" t="str">
        <f>IFERROR(VLOOKUP(B1781,'Pre-Summary'!$CG$6:$CI$70,2,FALSE),"")</f>
        <v/>
      </c>
      <c r="AB1781" s="99">
        <f>IFERROR(VLOOKUP(B1781,'Pre-Summary'!$A$6:$P$178,9,FALSE),AB1782)</f>
        <v>0.32924401709450951</v>
      </c>
      <c r="AC1781" s="10">
        <f>IFERROR(VLOOKUP(Summary!B1781,'Pre-Summary'!$A$6:$P$184,5, FALSE)/100,AC1782)</f>
        <v>0.88793699999999998</v>
      </c>
      <c r="AD1781" s="10">
        <f>IFERROR(VLOOKUP(Summary!B1781,'Pre-Summary'!$A$6:$P$184,3, FALSE)/100,AD1782)</f>
        <v>8.1131900000000007E-2</v>
      </c>
      <c r="AE1781" s="10">
        <f>IFERROR(VLOOKUP(Summary!B1781,'Pre-Summary'!$A$6:$P$184,7, FALSE)/100,AE1782)</f>
        <v>3.0946333333333329E-2</v>
      </c>
      <c r="AF1781" s="99">
        <f t="shared" si="82"/>
        <v>2.6712192670510039E-2</v>
      </c>
      <c r="AG1781" s="99">
        <f t="shared" si="83"/>
        <v>1.0188895101012388E-2</v>
      </c>
      <c r="AH1781" s="10" t="str">
        <f>IFERROR(VLOOKUP(B1781,'Pre-Summary'!$AZ$6:$BE$65,3,FALSE),"")</f>
        <v/>
      </c>
      <c r="AI1781" s="10" t="str">
        <f>IFERROR(VLOOKUP(B1781,'Pre-Summary'!$AZ$6:$BE$65,5,FALSE),"")</f>
        <v/>
      </c>
      <c r="AJ1781" s="10" t="str">
        <f>IFERROR(VLOOKUP(B1781,'Pre-Summary'!$AZ$6:$BE$65,4,FALSE),"")</f>
        <v/>
      </c>
      <c r="AK1781" s="10" t="str">
        <f>IFERROR(VLOOKUP(B1781,'Pre-Summary'!$AZ$6:$BE$65,6,FALSE),"")</f>
        <v/>
      </c>
      <c r="AL1781" s="10" t="str">
        <f>IFERROR(VLOOKUP(B1781,'Pre-Summary'!$BG$6:$BL$44,3,FALSE),"")</f>
        <v/>
      </c>
      <c r="AM1781" s="10" t="str">
        <f>IFERROR(VLOOKUP(B1781,'Pre-Summary'!$BG$6:$BL$44,4,FALSE),"")</f>
        <v/>
      </c>
    </row>
    <row r="1782" spans="2:39" ht="15" customHeight="1" x14ac:dyDescent="0.3">
      <c r="B1782">
        <v>177.9</v>
      </c>
      <c r="C1782" t="str">
        <f>IFERROR(VLOOKUP(B1782,'Pre-Summary'!$DI$6:$DM$23,4,FALSE),"")</f>
        <v/>
      </c>
      <c r="D1782" s="10" t="str">
        <f>IFERROR(VLOOKUP(B1782,'Pre-Summary'!$AT$6:$AX$14,5,FALSE),D1781)</f>
        <v>Wolfe v3: went back to modified wolfe + EDTA and switched CuSO4 to CUCl2</v>
      </c>
      <c r="E1782" s="10" t="str">
        <f>IFERROR(VLOOKUP(B1782,'Pre-Summary'!$AT$6:$AX$15,4,FALSE),"")</f>
        <v/>
      </c>
      <c r="F1782">
        <f>IFERROR(VLOOKUP(B1782,'Pre-Summary'!$AL$6:$AQ$13,6,FALSE),F1781)</f>
        <v>5.9405263157894746E-2</v>
      </c>
      <c r="G1782" t="str">
        <f>IFERROR(VLOOKUP(B1782,'Pre-Summary'!$AE$6:$AJ$85,3,FALSE),"")</f>
        <v/>
      </c>
      <c r="H1782" t="str">
        <f>IFERROR(VLOOKUP(B1782,'Pre-Summary'!$AE$6:$AJ$85,4,FALSE),"")</f>
        <v/>
      </c>
      <c r="I1782" t="str">
        <f>IFERROR(VLOOKUP(B1782,'Pre-Summary'!$AE$6:$AJ$85,5,FALSE),"")</f>
        <v/>
      </c>
      <c r="J1782" s="45" t="str">
        <f>IFERROR(VLOOKUP(B1782,'Pre-Summary'!$AE$6:$AJ$85,6, FALSE),"")</f>
        <v/>
      </c>
      <c r="K1782" s="45" t="str">
        <f>IFERROR(VLOOKUP(B1782,'Pre-Summary'!$DE$6:$DG$61,3,FALSE),"")</f>
        <v/>
      </c>
      <c r="L1782" s="45" t="str">
        <f>IFERROR(VLOOKUP(B1782,'Pre-Summary'!$CU$6:$CW$36,3,FALSE),"")</f>
        <v/>
      </c>
      <c r="M1782" s="45" t="str">
        <f>IFERROR(VLOOKUP(B1782,'Pre-Summary'!$BW$6:$BY$58,2,FALSE),"")</f>
        <v/>
      </c>
      <c r="N1782" s="45" t="str">
        <f>IFERROR(VLOOKUP(B1782,'Pre-Summary'!$CD$6:$CF$64,2,FALSE),"")</f>
        <v/>
      </c>
      <c r="O1782" s="99">
        <f>IFERROR(VLOOKUP(B1782,'Pre-Summary'!$BO$6:$BQ$48,3, FALSE),O1781)</f>
        <v>1.25</v>
      </c>
      <c r="P1782" s="99">
        <f>IFERROR(VLOOKUP(B1782,'Pre-Summary'!$BS$6:$BU$35,3,FALSE),P1781)</f>
        <v>0.33700000000000002</v>
      </c>
      <c r="Q1782" s="54">
        <f t="shared" si="81"/>
        <v>3.7091988130563798</v>
      </c>
      <c r="R1782" s="53">
        <f>IFERROR(VLOOKUP(B1782,'Pre-Summary'!$BG$6:$BM$44,7,FALSE),R1783)</f>
        <v>8.0894687007659741E-2</v>
      </c>
      <c r="S1782" s="53">
        <f>IFERROR(VLOOKUP(B1782,'Pre-Summary'!$BG$6:$BM$44,6,FALSE),S1783)</f>
        <v>6.1014931296205117E-2</v>
      </c>
      <c r="T1782" s="45" t="str">
        <f>IFERROR(VLOOKUP(B1782,'Pre-Summary'!$Y$6:$AC$83, 3,FALSE),"")</f>
        <v/>
      </c>
      <c r="U1782" s="45" t="str">
        <f>IFERROR(VLOOKUP(B1782,'Pre-Summary'!$Y$6:$AC$83, 4,FALSE),"")</f>
        <v/>
      </c>
      <c r="V1782" t="str">
        <f>IFERROR(VLOOKUP(B1782,'Pre-Summary'!$Y$6:$AC$83, 5,FALSE),"")</f>
        <v/>
      </c>
      <c r="W1782" s="45" t="str">
        <f>IFERROR(VLOOKUP(B1782,'Pre-Summary'!$Y$6:$AD$83,6,FALSE),"")</f>
        <v/>
      </c>
      <c r="X1782" t="str">
        <f>IFERROR(VLOOKUP('Pre-Summary'!$DB$6:$DD$63,3,FALSE),"")</f>
        <v/>
      </c>
      <c r="Y1782" t="str">
        <f>IFERROR(VLOOKUP(B1782,'Pre-Summary'!$CR$6:$CT$36,3,FALSE),"")</f>
        <v/>
      </c>
      <c r="Z1782" s="45" t="str">
        <f>IFERROR(VLOOKUP(B1782,'Pre-Summary'!$BZ$6:$CB$63,2,FALSE),"")</f>
        <v/>
      </c>
      <c r="AA1782" s="45" t="str">
        <f>IFERROR(VLOOKUP(B1782,'Pre-Summary'!$CG$6:$CI$70,2,FALSE),"")</f>
        <v/>
      </c>
      <c r="AB1782" s="99">
        <f>IFERROR(VLOOKUP(B1782,'Pre-Summary'!$A$6:$P$178,9,FALSE),AB1783)</f>
        <v>0.32924401709450951</v>
      </c>
      <c r="AC1782" s="10">
        <f>IFERROR(VLOOKUP(Summary!B1782,'Pre-Summary'!$A$6:$P$184,5, FALSE)/100,AC1783)</f>
        <v>0.88793699999999998</v>
      </c>
      <c r="AD1782" s="10">
        <f>IFERROR(VLOOKUP(Summary!B1782,'Pre-Summary'!$A$6:$P$184,3, FALSE)/100,AD1783)</f>
        <v>8.1131900000000007E-2</v>
      </c>
      <c r="AE1782" s="10">
        <f>IFERROR(VLOOKUP(Summary!B1782,'Pre-Summary'!$A$6:$P$184,7, FALSE)/100,AE1783)</f>
        <v>3.0946333333333329E-2</v>
      </c>
      <c r="AF1782" s="99">
        <f t="shared" si="82"/>
        <v>2.6712192670510039E-2</v>
      </c>
      <c r="AG1782" s="99">
        <f t="shared" si="83"/>
        <v>1.0188895101012388E-2</v>
      </c>
      <c r="AH1782" s="10" t="str">
        <f>IFERROR(VLOOKUP(B1782,'Pre-Summary'!$AZ$6:$BE$65,3,FALSE),"")</f>
        <v/>
      </c>
      <c r="AI1782" s="10" t="str">
        <f>IFERROR(VLOOKUP(B1782,'Pre-Summary'!$AZ$6:$BE$65,5,FALSE),"")</f>
        <v/>
      </c>
      <c r="AJ1782" s="10" t="str">
        <f>IFERROR(VLOOKUP(B1782,'Pre-Summary'!$AZ$6:$BE$65,4,FALSE),"")</f>
        <v/>
      </c>
      <c r="AK1782" s="10" t="str">
        <f>IFERROR(VLOOKUP(B1782,'Pre-Summary'!$AZ$6:$BE$65,6,FALSE),"")</f>
        <v/>
      </c>
      <c r="AL1782" s="10" t="str">
        <f>IFERROR(VLOOKUP(B1782,'Pre-Summary'!$BG$6:$BL$44,3,FALSE),"")</f>
        <v/>
      </c>
      <c r="AM1782" s="10" t="str">
        <f>IFERROR(VLOOKUP(B1782,'Pre-Summary'!$BG$6:$BL$44,4,FALSE),"")</f>
        <v/>
      </c>
    </row>
    <row r="1783" spans="2:39" ht="15" customHeight="1" x14ac:dyDescent="0.3">
      <c r="B1783">
        <v>178</v>
      </c>
      <c r="C1783" t="str">
        <f>IFERROR(VLOOKUP(B1783,'Pre-Summary'!$DI$6:$DM$23,4,FALSE),"")</f>
        <v/>
      </c>
      <c r="D1783" s="10" t="str">
        <f>IFERROR(VLOOKUP(B1783,'Pre-Summary'!$AT$6:$AX$14,5,FALSE),D1782)</f>
        <v>Wolfe v3: went back to modified wolfe + EDTA and switched CuSO4 to CUCl2</v>
      </c>
      <c r="E1783" s="10" t="str">
        <f>IFERROR(VLOOKUP(B1783,'Pre-Summary'!$AT$6:$AX$15,4,FALSE),"")</f>
        <v/>
      </c>
      <c r="F1783">
        <f>IFERROR(VLOOKUP(B1783,'Pre-Summary'!$AL$6:$AQ$13,6,FALSE),F1782)</f>
        <v>5.9405263157894746E-2</v>
      </c>
      <c r="G1783" t="str">
        <f>IFERROR(VLOOKUP(B1783,'Pre-Summary'!$AE$6:$AJ$85,3,FALSE),"")</f>
        <v/>
      </c>
      <c r="H1783" t="str">
        <f>IFERROR(VLOOKUP(B1783,'Pre-Summary'!$AE$6:$AJ$85,4,FALSE),"")</f>
        <v/>
      </c>
      <c r="I1783" t="str">
        <f>IFERROR(VLOOKUP(B1783,'Pre-Summary'!$AE$6:$AJ$85,5,FALSE),"")</f>
        <v/>
      </c>
      <c r="J1783" s="45" t="str">
        <f>IFERROR(VLOOKUP(B1783,'Pre-Summary'!$AE$6:$AJ$85,6, FALSE),"")</f>
        <v/>
      </c>
      <c r="K1783" s="45" t="str">
        <f>IFERROR(VLOOKUP(B1783,'Pre-Summary'!$DE$6:$DG$61,3,FALSE),"")</f>
        <v/>
      </c>
      <c r="L1783" s="45" t="str">
        <f>IFERROR(VLOOKUP(B1783,'Pre-Summary'!$CU$6:$CW$36,3,FALSE),"")</f>
        <v/>
      </c>
      <c r="M1783" s="45" t="str">
        <f>IFERROR(VLOOKUP(B1783,'Pre-Summary'!$BW$6:$BY$58,2,FALSE),"")</f>
        <v/>
      </c>
      <c r="N1783" s="45" t="str">
        <f>IFERROR(VLOOKUP(B1783,'Pre-Summary'!$CD$6:$CF$64,2,FALSE),"")</f>
        <v/>
      </c>
      <c r="O1783" s="99">
        <f>IFERROR(VLOOKUP(B1783,'Pre-Summary'!$BO$6:$BQ$48,3, FALSE),O1782)</f>
        <v>1.25</v>
      </c>
      <c r="P1783" s="99">
        <f>IFERROR(VLOOKUP(B1783,'Pre-Summary'!$BS$6:$BU$35,3,FALSE),P1782)</f>
        <v>0.33700000000000002</v>
      </c>
      <c r="Q1783" s="54">
        <f t="shared" si="81"/>
        <v>3.7091988130563798</v>
      </c>
      <c r="R1783" s="53">
        <f>IFERROR(VLOOKUP(B1783,'Pre-Summary'!$BG$6:$BM$44,7,FALSE),R1784)</f>
        <v>8.0894687007659741E-2</v>
      </c>
      <c r="S1783" s="53">
        <f>IFERROR(VLOOKUP(B1783,'Pre-Summary'!$BG$6:$BM$44,6,FALSE),S1784)</f>
        <v>6.1014931296205117E-2</v>
      </c>
      <c r="T1783" s="45" t="str">
        <f>IFERROR(VLOOKUP(B1783,'Pre-Summary'!$Y$6:$AC$83, 3,FALSE),"")</f>
        <v/>
      </c>
      <c r="U1783" s="45" t="str">
        <f>IFERROR(VLOOKUP(B1783,'Pre-Summary'!$Y$6:$AC$83, 4,FALSE),"")</f>
        <v/>
      </c>
      <c r="V1783" t="str">
        <f>IFERROR(VLOOKUP(B1783,'Pre-Summary'!$Y$6:$AC$83, 5,FALSE),"")</f>
        <v/>
      </c>
      <c r="W1783" s="45" t="str">
        <f>IFERROR(VLOOKUP(B1783,'Pre-Summary'!$Y$6:$AD$83,6,FALSE),"")</f>
        <v/>
      </c>
      <c r="X1783" t="str">
        <f>IFERROR(VLOOKUP('Pre-Summary'!$DB$6:$DD$63,3,FALSE),"")</f>
        <v/>
      </c>
      <c r="Y1783" t="str">
        <f>IFERROR(VLOOKUP(B1783,'Pre-Summary'!$CR$6:$CT$36,3,FALSE),"")</f>
        <v/>
      </c>
      <c r="Z1783" s="45" t="str">
        <f>IFERROR(VLOOKUP(B1783,'Pre-Summary'!$BZ$6:$CB$63,2,FALSE),"")</f>
        <v/>
      </c>
      <c r="AA1783" s="45" t="str">
        <f>IFERROR(VLOOKUP(B1783,'Pre-Summary'!$CG$6:$CI$70,2,FALSE),"")</f>
        <v/>
      </c>
      <c r="AB1783" s="99">
        <f>IFERROR(VLOOKUP(B1783,'Pre-Summary'!$A$6:$P$178,9,FALSE),AB1784)</f>
        <v>0.30142939521754147</v>
      </c>
      <c r="AC1783" s="10">
        <f>IFERROR(VLOOKUP(Summary!B1783,'Pre-Summary'!$A$6:$P$184,5, FALSE)/100,AC1784)</f>
        <v>0.88337933333333341</v>
      </c>
      <c r="AD1783" s="10">
        <f>IFERROR(VLOOKUP(Summary!B1783,'Pre-Summary'!$A$6:$P$184,3, FALSE)/100,AD1784)</f>
        <v>6.6985666666666666E-2</v>
      </c>
      <c r="AE1783" s="10">
        <f>IFERROR(VLOOKUP(Summary!B1783,'Pre-Summary'!$A$6:$P$184,7, FALSE)/100,AE1784)</f>
        <v>4.9634999999999999E-2</v>
      </c>
      <c r="AF1783" s="99">
        <f t="shared" si="82"/>
        <v>2.0191448991577161E-2</v>
      </c>
      <c r="AG1783" s="99">
        <f t="shared" si="83"/>
        <v>1.496144803162267E-2</v>
      </c>
      <c r="AH1783" s="10" t="str">
        <f>IFERROR(VLOOKUP(B1783,'Pre-Summary'!$AZ$6:$BE$65,3,FALSE),"")</f>
        <v/>
      </c>
      <c r="AI1783" s="10" t="str">
        <f>IFERROR(VLOOKUP(B1783,'Pre-Summary'!$AZ$6:$BE$65,5,FALSE),"")</f>
        <v/>
      </c>
      <c r="AJ1783" s="10" t="str">
        <f>IFERROR(VLOOKUP(B1783,'Pre-Summary'!$AZ$6:$BE$65,4,FALSE),"")</f>
        <v/>
      </c>
      <c r="AK1783" s="10" t="str">
        <f>IFERROR(VLOOKUP(B1783,'Pre-Summary'!$AZ$6:$BE$65,6,FALSE),"")</f>
        <v/>
      </c>
      <c r="AL1783" s="10" t="str">
        <f>IFERROR(VLOOKUP(B1783,'Pre-Summary'!$BG$6:$BL$44,3,FALSE),"")</f>
        <v/>
      </c>
      <c r="AM1783" s="10" t="str">
        <f>IFERROR(VLOOKUP(B1783,'Pre-Summary'!$BG$6:$BL$44,4,FALSE),"")</f>
        <v/>
      </c>
    </row>
    <row r="1784" spans="2:39" ht="15" customHeight="1" x14ac:dyDescent="0.3">
      <c r="B1784">
        <v>178.1</v>
      </c>
      <c r="C1784" t="str">
        <f>IFERROR(VLOOKUP(B1784,'Pre-Summary'!$DI$6:$DM$23,4,FALSE),"")</f>
        <v/>
      </c>
      <c r="D1784" s="10" t="str">
        <f>IFERROR(VLOOKUP(B1784,'Pre-Summary'!$AT$6:$AX$14,5,FALSE),D1783)</f>
        <v>Wolfe v3: went back to modified wolfe + EDTA and switched CuSO4 to CUCl2</v>
      </c>
      <c r="E1784" s="10" t="str">
        <f>IFERROR(VLOOKUP(B1784,'Pre-Summary'!$AT$6:$AX$15,4,FALSE),"")</f>
        <v/>
      </c>
      <c r="F1784">
        <f>IFERROR(VLOOKUP(B1784,'Pre-Summary'!$AL$6:$AQ$13,6,FALSE),F1783)</f>
        <v>5.9405263157894746E-2</v>
      </c>
      <c r="G1784" t="str">
        <f>IFERROR(VLOOKUP(B1784,'Pre-Summary'!$AE$6:$AJ$85,3,FALSE),"")</f>
        <v/>
      </c>
      <c r="H1784" t="str">
        <f>IFERROR(VLOOKUP(B1784,'Pre-Summary'!$AE$6:$AJ$85,4,FALSE),"")</f>
        <v/>
      </c>
      <c r="I1784" t="str">
        <f>IFERROR(VLOOKUP(B1784,'Pre-Summary'!$AE$6:$AJ$85,5,FALSE),"")</f>
        <v/>
      </c>
      <c r="J1784" s="45" t="str">
        <f>IFERROR(VLOOKUP(B1784,'Pre-Summary'!$AE$6:$AJ$85,6, FALSE),"")</f>
        <v/>
      </c>
      <c r="K1784" s="45" t="str">
        <f>IFERROR(VLOOKUP(B1784,'Pre-Summary'!$DE$6:$DG$61,3,FALSE),"")</f>
        <v/>
      </c>
      <c r="L1784" s="45" t="str">
        <f>IFERROR(VLOOKUP(B1784,'Pre-Summary'!$CU$6:$CW$36,3,FALSE),"")</f>
        <v/>
      </c>
      <c r="M1784" s="45" t="str">
        <f>IFERROR(VLOOKUP(B1784,'Pre-Summary'!$BW$6:$BY$58,2,FALSE),"")</f>
        <v/>
      </c>
      <c r="N1784" s="45" t="str">
        <f>IFERROR(VLOOKUP(B1784,'Pre-Summary'!$CD$6:$CF$64,2,FALSE),"")</f>
        <v/>
      </c>
      <c r="O1784" s="99">
        <f>IFERROR(VLOOKUP(B1784,'Pre-Summary'!$BO$6:$BQ$48,3, FALSE),O1783)</f>
        <v>1.25</v>
      </c>
      <c r="P1784" s="99">
        <f>IFERROR(VLOOKUP(B1784,'Pre-Summary'!$BS$6:$BU$35,3,FALSE),P1783)</f>
        <v>0.33700000000000002</v>
      </c>
      <c r="Q1784" s="54">
        <f t="shared" si="81"/>
        <v>3.7091988130563798</v>
      </c>
      <c r="R1784" s="53">
        <f>IFERROR(VLOOKUP(B1784,'Pre-Summary'!$BG$6:$BM$44,7,FALSE),R1785)</f>
        <v>8.0894687007659741E-2</v>
      </c>
      <c r="S1784" s="53">
        <f>IFERROR(VLOOKUP(B1784,'Pre-Summary'!$BG$6:$BM$44,6,FALSE),S1785)</f>
        <v>6.1014931296205117E-2</v>
      </c>
      <c r="T1784" s="45" t="str">
        <f>IFERROR(VLOOKUP(B1784,'Pre-Summary'!$Y$6:$AC$83, 3,FALSE),"")</f>
        <v/>
      </c>
      <c r="U1784" s="45" t="str">
        <f>IFERROR(VLOOKUP(B1784,'Pre-Summary'!$Y$6:$AC$83, 4,FALSE),"")</f>
        <v/>
      </c>
      <c r="V1784" t="str">
        <f>IFERROR(VLOOKUP(B1784,'Pre-Summary'!$Y$6:$AC$83, 5,FALSE),"")</f>
        <v/>
      </c>
      <c r="W1784" s="45" t="str">
        <f>IFERROR(VLOOKUP(B1784,'Pre-Summary'!$Y$6:$AD$83,6,FALSE),"")</f>
        <v/>
      </c>
      <c r="X1784" t="str">
        <f>IFERROR(VLOOKUP('Pre-Summary'!$DB$6:$DD$63,3,FALSE),"")</f>
        <v/>
      </c>
      <c r="Y1784" t="str">
        <f>IFERROR(VLOOKUP(B1784,'Pre-Summary'!$CR$6:$CT$36,3,FALSE),"")</f>
        <v/>
      </c>
      <c r="Z1784" s="45" t="str">
        <f>IFERROR(VLOOKUP(B1784,'Pre-Summary'!$BZ$6:$CB$63,2,FALSE),"")</f>
        <v/>
      </c>
      <c r="AA1784" s="45" t="str">
        <f>IFERROR(VLOOKUP(B1784,'Pre-Summary'!$CG$6:$CI$70,2,FALSE),"")</f>
        <v/>
      </c>
      <c r="AB1784" s="99">
        <f>IFERROR(VLOOKUP(B1784,'Pre-Summary'!$A$6:$P$178,9,FALSE),AB1785)</f>
        <v>0.30142939521754147</v>
      </c>
      <c r="AC1784" s="10">
        <f>IFERROR(VLOOKUP(Summary!B1784,'Pre-Summary'!$A$6:$P$184,5, FALSE)/100,AC1785)</f>
        <v>0.88337933333333341</v>
      </c>
      <c r="AD1784" s="10">
        <f>IFERROR(VLOOKUP(Summary!B1784,'Pre-Summary'!$A$6:$P$184,3, FALSE)/100,AD1785)</f>
        <v>6.6985666666666666E-2</v>
      </c>
      <c r="AE1784" s="10">
        <f>IFERROR(VLOOKUP(Summary!B1784,'Pre-Summary'!$A$6:$P$184,7, FALSE)/100,AE1785)</f>
        <v>4.9634999999999999E-2</v>
      </c>
      <c r="AF1784" s="99">
        <f t="shared" si="82"/>
        <v>2.0191448991577161E-2</v>
      </c>
      <c r="AG1784" s="99">
        <f t="shared" si="83"/>
        <v>1.496144803162267E-2</v>
      </c>
      <c r="AH1784" s="10" t="str">
        <f>IFERROR(VLOOKUP(B1784,'Pre-Summary'!$AZ$6:$BE$65,3,FALSE),"")</f>
        <v/>
      </c>
      <c r="AI1784" s="10" t="str">
        <f>IFERROR(VLOOKUP(B1784,'Pre-Summary'!$AZ$6:$BE$65,5,FALSE),"")</f>
        <v/>
      </c>
      <c r="AJ1784" s="10" t="str">
        <f>IFERROR(VLOOKUP(B1784,'Pre-Summary'!$AZ$6:$BE$65,4,FALSE),"")</f>
        <v/>
      </c>
      <c r="AK1784" s="10" t="str">
        <f>IFERROR(VLOOKUP(B1784,'Pre-Summary'!$AZ$6:$BE$65,6,FALSE),"")</f>
        <v/>
      </c>
      <c r="AL1784" s="10" t="str">
        <f>IFERROR(VLOOKUP(B1784,'Pre-Summary'!$BG$6:$BL$44,3,FALSE),"")</f>
        <v/>
      </c>
      <c r="AM1784" s="10" t="str">
        <f>IFERROR(VLOOKUP(B1784,'Pre-Summary'!$BG$6:$BL$44,4,FALSE),"")</f>
        <v/>
      </c>
    </row>
    <row r="1785" spans="2:39" ht="15" customHeight="1" x14ac:dyDescent="0.3">
      <c r="B1785">
        <v>178.2</v>
      </c>
      <c r="C1785" t="str">
        <f>IFERROR(VLOOKUP(B1785,'Pre-Summary'!$DI$6:$DM$23,4,FALSE),"")</f>
        <v/>
      </c>
      <c r="D1785" s="10" t="str">
        <f>IFERROR(VLOOKUP(B1785,'Pre-Summary'!$AT$6:$AX$14,5,FALSE),D1784)</f>
        <v>Wolfe v3: went back to modified wolfe + EDTA and switched CuSO4 to CUCl2</v>
      </c>
      <c r="E1785" s="10" t="str">
        <f>IFERROR(VLOOKUP(B1785,'Pre-Summary'!$AT$6:$AX$15,4,FALSE),"")</f>
        <v/>
      </c>
      <c r="F1785">
        <f>IFERROR(VLOOKUP(B1785,'Pre-Summary'!$AL$6:$AQ$13,6,FALSE),F1784)</f>
        <v>5.9405263157894746E-2</v>
      </c>
      <c r="G1785" t="str">
        <f>IFERROR(VLOOKUP(B1785,'Pre-Summary'!$AE$6:$AJ$85,3,FALSE),"")</f>
        <v/>
      </c>
      <c r="H1785" t="str">
        <f>IFERROR(VLOOKUP(B1785,'Pre-Summary'!$AE$6:$AJ$85,4,FALSE),"")</f>
        <v/>
      </c>
      <c r="I1785" t="str">
        <f>IFERROR(VLOOKUP(B1785,'Pre-Summary'!$AE$6:$AJ$85,5,FALSE),"")</f>
        <v/>
      </c>
      <c r="J1785" s="45" t="str">
        <f>IFERROR(VLOOKUP(B1785,'Pre-Summary'!$AE$6:$AJ$85,6, FALSE),"")</f>
        <v/>
      </c>
      <c r="K1785" s="45" t="str">
        <f>IFERROR(VLOOKUP(B1785,'Pre-Summary'!$DE$6:$DG$61,3,FALSE),"")</f>
        <v/>
      </c>
      <c r="L1785" s="45" t="str">
        <f>IFERROR(VLOOKUP(B1785,'Pre-Summary'!$CU$6:$CW$36,3,FALSE),"")</f>
        <v/>
      </c>
      <c r="M1785" s="45" t="str">
        <f>IFERROR(VLOOKUP(B1785,'Pre-Summary'!$BW$6:$BY$58,2,FALSE),"")</f>
        <v/>
      </c>
      <c r="N1785" s="45" t="str">
        <f>IFERROR(VLOOKUP(B1785,'Pre-Summary'!$CD$6:$CF$64,2,FALSE),"")</f>
        <v/>
      </c>
      <c r="O1785" s="99">
        <f>IFERROR(VLOOKUP(B1785,'Pre-Summary'!$BO$6:$BQ$48,3, FALSE),O1784)</f>
        <v>1.25</v>
      </c>
      <c r="P1785" s="99">
        <f>IFERROR(VLOOKUP(B1785,'Pre-Summary'!$BS$6:$BU$35,3,FALSE),P1784)</f>
        <v>0.33700000000000002</v>
      </c>
      <c r="Q1785" s="54">
        <f t="shared" si="81"/>
        <v>3.7091988130563798</v>
      </c>
      <c r="R1785" s="53">
        <f>IFERROR(VLOOKUP(B1785,'Pre-Summary'!$BG$6:$BM$44,7,FALSE),R1786)</f>
        <v>8.0894687007659741E-2</v>
      </c>
      <c r="S1785" s="53">
        <f>IFERROR(VLOOKUP(B1785,'Pre-Summary'!$BG$6:$BM$44,6,FALSE),S1786)</f>
        <v>6.1014931296205117E-2</v>
      </c>
      <c r="T1785" s="45" t="str">
        <f>IFERROR(VLOOKUP(B1785,'Pre-Summary'!$Y$6:$AC$83, 3,FALSE),"")</f>
        <v/>
      </c>
      <c r="U1785" s="45" t="str">
        <f>IFERROR(VLOOKUP(B1785,'Pre-Summary'!$Y$6:$AC$83, 4,FALSE),"")</f>
        <v/>
      </c>
      <c r="V1785" t="str">
        <f>IFERROR(VLOOKUP(B1785,'Pre-Summary'!$Y$6:$AC$83, 5,FALSE),"")</f>
        <v/>
      </c>
      <c r="W1785" s="45" t="str">
        <f>IFERROR(VLOOKUP(B1785,'Pre-Summary'!$Y$6:$AD$83,6,FALSE),"")</f>
        <v/>
      </c>
      <c r="X1785" t="str">
        <f>IFERROR(VLOOKUP('Pre-Summary'!$DB$6:$DD$63,3,FALSE),"")</f>
        <v/>
      </c>
      <c r="Y1785" t="str">
        <f>IFERROR(VLOOKUP(B1785,'Pre-Summary'!$CR$6:$CT$36,3,FALSE),"")</f>
        <v/>
      </c>
      <c r="Z1785" s="45" t="str">
        <f>IFERROR(VLOOKUP(B1785,'Pre-Summary'!$BZ$6:$CB$63,2,FALSE),"")</f>
        <v/>
      </c>
      <c r="AA1785" s="45" t="str">
        <f>IFERROR(VLOOKUP(B1785,'Pre-Summary'!$CG$6:$CI$70,2,FALSE),"")</f>
        <v/>
      </c>
      <c r="AB1785" s="99">
        <f>IFERROR(VLOOKUP(B1785,'Pre-Summary'!$A$6:$P$178,9,FALSE),AB1786)</f>
        <v>0.30142939521754147</v>
      </c>
      <c r="AC1785" s="10">
        <f>IFERROR(VLOOKUP(Summary!B1785,'Pre-Summary'!$A$6:$P$184,5, FALSE)/100,AC1786)</f>
        <v>0.88337933333333341</v>
      </c>
      <c r="AD1785" s="10">
        <f>IFERROR(VLOOKUP(Summary!B1785,'Pre-Summary'!$A$6:$P$184,3, FALSE)/100,AD1786)</f>
        <v>6.6985666666666666E-2</v>
      </c>
      <c r="AE1785" s="10">
        <f>IFERROR(VLOOKUP(Summary!B1785,'Pre-Summary'!$A$6:$P$184,7, FALSE)/100,AE1786)</f>
        <v>4.9634999999999999E-2</v>
      </c>
      <c r="AF1785" s="99">
        <f t="shared" si="82"/>
        <v>2.0191448991577161E-2</v>
      </c>
      <c r="AG1785" s="99">
        <f t="shared" si="83"/>
        <v>1.496144803162267E-2</v>
      </c>
      <c r="AH1785" s="10" t="str">
        <f>IFERROR(VLOOKUP(B1785,'Pre-Summary'!$AZ$6:$BE$65,3,FALSE),"")</f>
        <v/>
      </c>
      <c r="AI1785" s="10" t="str">
        <f>IFERROR(VLOOKUP(B1785,'Pre-Summary'!$AZ$6:$BE$65,5,FALSE),"")</f>
        <v/>
      </c>
      <c r="AJ1785" s="10" t="str">
        <f>IFERROR(VLOOKUP(B1785,'Pre-Summary'!$AZ$6:$BE$65,4,FALSE),"")</f>
        <v/>
      </c>
      <c r="AK1785" s="10" t="str">
        <f>IFERROR(VLOOKUP(B1785,'Pre-Summary'!$AZ$6:$BE$65,6,FALSE),"")</f>
        <v/>
      </c>
      <c r="AL1785" s="10" t="str">
        <f>IFERROR(VLOOKUP(B1785,'Pre-Summary'!$BG$6:$BL$44,3,FALSE),"")</f>
        <v/>
      </c>
      <c r="AM1785" s="10" t="str">
        <f>IFERROR(VLOOKUP(B1785,'Pre-Summary'!$BG$6:$BL$44,4,FALSE),"")</f>
        <v/>
      </c>
    </row>
    <row r="1786" spans="2:39" ht="15" customHeight="1" x14ac:dyDescent="0.3">
      <c r="B1786">
        <v>178.3</v>
      </c>
      <c r="C1786" t="str">
        <f>IFERROR(VLOOKUP(B1786,'Pre-Summary'!$DI$6:$DM$23,4,FALSE),"")</f>
        <v/>
      </c>
      <c r="D1786" s="10" t="str">
        <f>IFERROR(VLOOKUP(B1786,'Pre-Summary'!$AT$6:$AX$14,5,FALSE),D1785)</f>
        <v>Wolfe v3: went back to modified wolfe + EDTA and switched CuSO4 to CUCl2</v>
      </c>
      <c r="E1786" s="10" t="str">
        <f>IFERROR(VLOOKUP(B1786,'Pre-Summary'!$AT$6:$AX$15,4,FALSE),"")</f>
        <v/>
      </c>
      <c r="F1786">
        <f>IFERROR(VLOOKUP(B1786,'Pre-Summary'!$AL$6:$AQ$13,6,FALSE),F1785)</f>
        <v>5.9405263157894746E-2</v>
      </c>
      <c r="G1786" t="str">
        <f>IFERROR(VLOOKUP(B1786,'Pre-Summary'!$AE$6:$AJ$85,3,FALSE),"")</f>
        <v/>
      </c>
      <c r="H1786" t="str">
        <f>IFERROR(VLOOKUP(B1786,'Pre-Summary'!$AE$6:$AJ$85,4,FALSE),"")</f>
        <v/>
      </c>
      <c r="I1786" t="str">
        <f>IFERROR(VLOOKUP(B1786,'Pre-Summary'!$AE$6:$AJ$85,5,FALSE),"")</f>
        <v/>
      </c>
      <c r="J1786" s="45" t="str">
        <f>IFERROR(VLOOKUP(B1786,'Pre-Summary'!$AE$6:$AJ$85,6, FALSE),"")</f>
        <v/>
      </c>
      <c r="K1786" s="45" t="str">
        <f>IFERROR(VLOOKUP(B1786,'Pre-Summary'!$DE$6:$DG$61,3,FALSE),"")</f>
        <v/>
      </c>
      <c r="L1786" s="45" t="str">
        <f>IFERROR(VLOOKUP(B1786,'Pre-Summary'!$CU$6:$CW$36,3,FALSE),"")</f>
        <v/>
      </c>
      <c r="M1786" s="45" t="str">
        <f>IFERROR(VLOOKUP(B1786,'Pre-Summary'!$BW$6:$BY$58,2,FALSE),"")</f>
        <v/>
      </c>
      <c r="N1786" s="45" t="str">
        <f>IFERROR(VLOOKUP(B1786,'Pre-Summary'!$CD$6:$CF$64,2,FALSE),"")</f>
        <v/>
      </c>
      <c r="O1786" s="99">
        <f>IFERROR(VLOOKUP(B1786,'Pre-Summary'!$BO$6:$BQ$48,3, FALSE),O1785)</f>
        <v>1.25</v>
      </c>
      <c r="P1786" s="99">
        <f>IFERROR(VLOOKUP(B1786,'Pre-Summary'!$BS$6:$BU$35,3,FALSE),P1785)</f>
        <v>0.33700000000000002</v>
      </c>
      <c r="Q1786" s="54">
        <f t="shared" si="81"/>
        <v>3.7091988130563798</v>
      </c>
      <c r="R1786" s="53">
        <f>IFERROR(VLOOKUP(B1786,'Pre-Summary'!$BG$6:$BM$44,7,FALSE),R1787)</f>
        <v>8.0894687007659741E-2</v>
      </c>
      <c r="S1786" s="53">
        <f>IFERROR(VLOOKUP(B1786,'Pre-Summary'!$BG$6:$BM$44,6,FALSE),S1787)</f>
        <v>6.1014931296205117E-2</v>
      </c>
      <c r="T1786" s="45" t="str">
        <f>IFERROR(VLOOKUP(B1786,'Pre-Summary'!$Y$6:$AC$83, 3,FALSE),"")</f>
        <v/>
      </c>
      <c r="U1786" s="45" t="str">
        <f>IFERROR(VLOOKUP(B1786,'Pre-Summary'!$Y$6:$AC$83, 4,FALSE),"")</f>
        <v/>
      </c>
      <c r="V1786" t="str">
        <f>IFERROR(VLOOKUP(B1786,'Pre-Summary'!$Y$6:$AC$83, 5,FALSE),"")</f>
        <v/>
      </c>
      <c r="W1786" s="45" t="str">
        <f>IFERROR(VLOOKUP(B1786,'Pre-Summary'!$Y$6:$AD$83,6,FALSE),"")</f>
        <v/>
      </c>
      <c r="X1786" t="str">
        <f>IFERROR(VLOOKUP('Pre-Summary'!$DB$6:$DD$63,3,FALSE),"")</f>
        <v/>
      </c>
      <c r="Y1786" t="str">
        <f>IFERROR(VLOOKUP(B1786,'Pre-Summary'!$CR$6:$CT$36,3,FALSE),"")</f>
        <v/>
      </c>
      <c r="Z1786" s="45" t="str">
        <f>IFERROR(VLOOKUP(B1786,'Pre-Summary'!$BZ$6:$CB$63,2,FALSE),"")</f>
        <v/>
      </c>
      <c r="AA1786" s="45" t="str">
        <f>IFERROR(VLOOKUP(B1786,'Pre-Summary'!$CG$6:$CI$70,2,FALSE),"")</f>
        <v/>
      </c>
      <c r="AB1786" s="99">
        <f>IFERROR(VLOOKUP(B1786,'Pre-Summary'!$A$6:$P$178,9,FALSE),AB1787)</f>
        <v>0.30142939521754147</v>
      </c>
      <c r="AC1786" s="10">
        <f>IFERROR(VLOOKUP(Summary!B1786,'Pre-Summary'!$A$6:$P$184,5, FALSE)/100,AC1787)</f>
        <v>0.88337933333333341</v>
      </c>
      <c r="AD1786" s="10">
        <f>IFERROR(VLOOKUP(Summary!B1786,'Pre-Summary'!$A$6:$P$184,3, FALSE)/100,AD1787)</f>
        <v>6.6985666666666666E-2</v>
      </c>
      <c r="AE1786" s="10">
        <f>IFERROR(VLOOKUP(Summary!B1786,'Pre-Summary'!$A$6:$P$184,7, FALSE)/100,AE1787)</f>
        <v>4.9634999999999999E-2</v>
      </c>
      <c r="AF1786" s="99">
        <f t="shared" si="82"/>
        <v>2.0191448991577161E-2</v>
      </c>
      <c r="AG1786" s="99">
        <f t="shared" si="83"/>
        <v>1.496144803162267E-2</v>
      </c>
      <c r="AH1786" s="10" t="str">
        <f>IFERROR(VLOOKUP(B1786,'Pre-Summary'!$AZ$6:$BE$65,3,FALSE),"")</f>
        <v/>
      </c>
      <c r="AI1786" s="10" t="str">
        <f>IFERROR(VLOOKUP(B1786,'Pre-Summary'!$AZ$6:$BE$65,5,FALSE),"")</f>
        <v/>
      </c>
      <c r="AJ1786" s="10" t="str">
        <f>IFERROR(VLOOKUP(B1786,'Pre-Summary'!$AZ$6:$BE$65,4,FALSE),"")</f>
        <v/>
      </c>
      <c r="AK1786" s="10" t="str">
        <f>IFERROR(VLOOKUP(B1786,'Pre-Summary'!$AZ$6:$BE$65,6,FALSE),"")</f>
        <v/>
      </c>
      <c r="AL1786" s="10" t="str">
        <f>IFERROR(VLOOKUP(B1786,'Pre-Summary'!$BG$6:$BL$44,3,FALSE),"")</f>
        <v/>
      </c>
      <c r="AM1786" s="10" t="str">
        <f>IFERROR(VLOOKUP(B1786,'Pre-Summary'!$BG$6:$BL$44,4,FALSE),"")</f>
        <v/>
      </c>
    </row>
    <row r="1787" spans="2:39" ht="15" customHeight="1" x14ac:dyDescent="0.3">
      <c r="B1787">
        <v>178.4</v>
      </c>
      <c r="C1787" t="str">
        <f>IFERROR(VLOOKUP(B1787,'Pre-Summary'!$DI$6:$DM$23,4,FALSE),"")</f>
        <v/>
      </c>
      <c r="D1787" s="10" t="str">
        <f>IFERROR(VLOOKUP(B1787,'Pre-Summary'!$AT$6:$AX$14,5,FALSE),D1786)</f>
        <v>Wolfe v3: went back to modified wolfe + EDTA and switched CuSO4 to CUCl2</v>
      </c>
      <c r="E1787" s="10" t="str">
        <f>IFERROR(VLOOKUP(B1787,'Pre-Summary'!$AT$6:$AX$15,4,FALSE),"")</f>
        <v/>
      </c>
      <c r="F1787">
        <f>IFERROR(VLOOKUP(B1787,'Pre-Summary'!$AL$6:$AQ$13,6,FALSE),F1786)</f>
        <v>5.9405263157894746E-2</v>
      </c>
      <c r="G1787" t="str">
        <f>IFERROR(VLOOKUP(B1787,'Pre-Summary'!$AE$6:$AJ$85,3,FALSE),"")</f>
        <v/>
      </c>
      <c r="H1787" t="str">
        <f>IFERROR(VLOOKUP(B1787,'Pre-Summary'!$AE$6:$AJ$85,4,FALSE),"")</f>
        <v/>
      </c>
      <c r="I1787" t="str">
        <f>IFERROR(VLOOKUP(B1787,'Pre-Summary'!$AE$6:$AJ$85,5,FALSE),"")</f>
        <v/>
      </c>
      <c r="J1787" s="45" t="str">
        <f>IFERROR(VLOOKUP(B1787,'Pre-Summary'!$AE$6:$AJ$85,6, FALSE),"")</f>
        <v/>
      </c>
      <c r="K1787" s="45" t="str">
        <f>IFERROR(VLOOKUP(B1787,'Pre-Summary'!$DE$6:$DG$61,3,FALSE),"")</f>
        <v/>
      </c>
      <c r="L1787" s="45" t="str">
        <f>IFERROR(VLOOKUP(B1787,'Pre-Summary'!$CU$6:$CW$36,3,FALSE),"")</f>
        <v/>
      </c>
      <c r="M1787" s="45" t="str">
        <f>IFERROR(VLOOKUP(B1787,'Pre-Summary'!$BW$6:$BY$58,2,FALSE),"")</f>
        <v/>
      </c>
      <c r="N1787" s="45" t="str">
        <f>IFERROR(VLOOKUP(B1787,'Pre-Summary'!$CD$6:$CF$64,2,FALSE),"")</f>
        <v/>
      </c>
      <c r="O1787" s="99">
        <f>IFERROR(VLOOKUP(B1787,'Pre-Summary'!$BO$6:$BQ$48,3, FALSE),O1786)</f>
        <v>1.25</v>
      </c>
      <c r="P1787" s="99">
        <f>IFERROR(VLOOKUP(B1787,'Pre-Summary'!$BS$6:$BU$35,3,FALSE),P1786)</f>
        <v>0.33700000000000002</v>
      </c>
      <c r="Q1787" s="54">
        <f t="shared" si="81"/>
        <v>3.7091988130563798</v>
      </c>
      <c r="R1787" s="53">
        <f>IFERROR(VLOOKUP(B1787,'Pre-Summary'!$BG$6:$BM$44,7,FALSE),R1788)</f>
        <v>8.0894687007659741E-2</v>
      </c>
      <c r="S1787" s="53">
        <f>IFERROR(VLOOKUP(B1787,'Pre-Summary'!$BG$6:$BM$44,6,FALSE),S1788)</f>
        <v>6.1014931296205117E-2</v>
      </c>
      <c r="T1787" s="45" t="str">
        <f>IFERROR(VLOOKUP(B1787,'Pre-Summary'!$Y$6:$AC$83, 3,FALSE),"")</f>
        <v/>
      </c>
      <c r="U1787" s="45" t="str">
        <f>IFERROR(VLOOKUP(B1787,'Pre-Summary'!$Y$6:$AC$83, 4,FALSE),"")</f>
        <v/>
      </c>
      <c r="V1787" t="str">
        <f>IFERROR(VLOOKUP(B1787,'Pre-Summary'!$Y$6:$AC$83, 5,FALSE),"")</f>
        <v/>
      </c>
      <c r="W1787" s="45" t="str">
        <f>IFERROR(VLOOKUP(B1787,'Pre-Summary'!$Y$6:$AD$83,6,FALSE),"")</f>
        <v/>
      </c>
      <c r="X1787" t="str">
        <f>IFERROR(VLOOKUP('Pre-Summary'!$DB$6:$DD$63,3,FALSE),"")</f>
        <v/>
      </c>
      <c r="Y1787" t="str">
        <f>IFERROR(VLOOKUP(B1787,'Pre-Summary'!$CR$6:$CT$36,3,FALSE),"")</f>
        <v/>
      </c>
      <c r="Z1787" s="45" t="str">
        <f>IFERROR(VLOOKUP(B1787,'Pre-Summary'!$BZ$6:$CB$63,2,FALSE),"")</f>
        <v/>
      </c>
      <c r="AA1787" s="45" t="str">
        <f>IFERROR(VLOOKUP(B1787,'Pre-Summary'!$CG$6:$CI$70,2,FALSE),"")</f>
        <v/>
      </c>
      <c r="AB1787" s="99">
        <f>IFERROR(VLOOKUP(B1787,'Pre-Summary'!$A$6:$P$178,9,FALSE),AB1788)</f>
        <v>0.30142939521754147</v>
      </c>
      <c r="AC1787" s="10">
        <f>IFERROR(VLOOKUP(Summary!B1787,'Pre-Summary'!$A$6:$P$184,5, FALSE)/100,AC1788)</f>
        <v>0.88337933333333341</v>
      </c>
      <c r="AD1787" s="10">
        <f>IFERROR(VLOOKUP(Summary!B1787,'Pre-Summary'!$A$6:$P$184,3, FALSE)/100,AD1788)</f>
        <v>6.6985666666666666E-2</v>
      </c>
      <c r="AE1787" s="10">
        <f>IFERROR(VLOOKUP(Summary!B1787,'Pre-Summary'!$A$6:$P$184,7, FALSE)/100,AE1788)</f>
        <v>4.9634999999999999E-2</v>
      </c>
      <c r="AF1787" s="99">
        <f t="shared" si="82"/>
        <v>2.0191448991577161E-2</v>
      </c>
      <c r="AG1787" s="99">
        <f t="shared" si="83"/>
        <v>1.496144803162267E-2</v>
      </c>
      <c r="AH1787" s="10" t="str">
        <f>IFERROR(VLOOKUP(B1787,'Pre-Summary'!$AZ$6:$BE$65,3,FALSE),"")</f>
        <v/>
      </c>
      <c r="AI1787" s="10" t="str">
        <f>IFERROR(VLOOKUP(B1787,'Pre-Summary'!$AZ$6:$BE$65,5,FALSE),"")</f>
        <v/>
      </c>
      <c r="AJ1787" s="10" t="str">
        <f>IFERROR(VLOOKUP(B1787,'Pre-Summary'!$AZ$6:$BE$65,4,FALSE),"")</f>
        <v/>
      </c>
      <c r="AK1787" s="10" t="str">
        <f>IFERROR(VLOOKUP(B1787,'Pre-Summary'!$AZ$6:$BE$65,6,FALSE),"")</f>
        <v/>
      </c>
      <c r="AL1787" s="10" t="str">
        <f>IFERROR(VLOOKUP(B1787,'Pre-Summary'!$BG$6:$BL$44,3,FALSE),"")</f>
        <v/>
      </c>
      <c r="AM1787" s="10" t="str">
        <f>IFERROR(VLOOKUP(B1787,'Pre-Summary'!$BG$6:$BL$44,4,FALSE),"")</f>
        <v/>
      </c>
    </row>
    <row r="1788" spans="2:39" ht="15" customHeight="1" x14ac:dyDescent="0.3">
      <c r="B1788">
        <v>178.5</v>
      </c>
      <c r="C1788" t="str">
        <f>IFERROR(VLOOKUP(B1788,'Pre-Summary'!$DI$6:$DM$23,4,FALSE),"")</f>
        <v/>
      </c>
      <c r="D1788" s="10" t="str">
        <f>IFERROR(VLOOKUP(B1788,'Pre-Summary'!$AT$6:$AX$14,5,FALSE),D1787)</f>
        <v>Wolfe v3: went back to modified wolfe + EDTA and switched CuSO4 to CUCl2</v>
      </c>
      <c r="E1788" s="10" t="str">
        <f>IFERROR(VLOOKUP(B1788,'Pre-Summary'!$AT$6:$AX$15,4,FALSE),"")</f>
        <v/>
      </c>
      <c r="F1788">
        <f>IFERROR(VLOOKUP(B1788,'Pre-Summary'!$AL$6:$AQ$13,6,FALSE),F1787)</f>
        <v>5.9405263157894746E-2</v>
      </c>
      <c r="G1788" t="str">
        <f>IFERROR(VLOOKUP(B1788,'Pre-Summary'!$AE$6:$AJ$85,3,FALSE),"")</f>
        <v/>
      </c>
      <c r="H1788" t="str">
        <f>IFERROR(VLOOKUP(B1788,'Pre-Summary'!$AE$6:$AJ$85,4,FALSE),"")</f>
        <v/>
      </c>
      <c r="I1788" t="str">
        <f>IFERROR(VLOOKUP(B1788,'Pre-Summary'!$AE$6:$AJ$85,5,FALSE),"")</f>
        <v/>
      </c>
      <c r="J1788" s="45" t="str">
        <f>IFERROR(VLOOKUP(B1788,'Pre-Summary'!$AE$6:$AJ$85,6, FALSE),"")</f>
        <v/>
      </c>
      <c r="K1788" s="45" t="str">
        <f>IFERROR(VLOOKUP(B1788,'Pre-Summary'!$DE$6:$DG$61,3,FALSE),"")</f>
        <v/>
      </c>
      <c r="L1788" s="45" t="str">
        <f>IFERROR(VLOOKUP(B1788,'Pre-Summary'!$CU$6:$CW$36,3,FALSE),"")</f>
        <v/>
      </c>
      <c r="M1788" s="45" t="str">
        <f>IFERROR(VLOOKUP(B1788,'Pre-Summary'!$BW$6:$BY$58,2,FALSE),"")</f>
        <v/>
      </c>
      <c r="N1788" s="45" t="str">
        <f>IFERROR(VLOOKUP(B1788,'Pre-Summary'!$CD$6:$CF$64,2,FALSE),"")</f>
        <v/>
      </c>
      <c r="O1788" s="99">
        <f>IFERROR(VLOOKUP(B1788,'Pre-Summary'!$BO$6:$BQ$48,3, FALSE),O1787)</f>
        <v>1.25</v>
      </c>
      <c r="P1788" s="99">
        <f>IFERROR(VLOOKUP(B1788,'Pre-Summary'!$BS$6:$BU$35,3,FALSE),P1787)</f>
        <v>0.33700000000000002</v>
      </c>
      <c r="Q1788" s="54">
        <f t="shared" si="81"/>
        <v>3.7091988130563798</v>
      </c>
      <c r="R1788" s="53">
        <f>IFERROR(VLOOKUP(B1788,'Pre-Summary'!$BG$6:$BM$44,7,FALSE),R1789)</f>
        <v>8.0894687007659741E-2</v>
      </c>
      <c r="S1788" s="53">
        <f>IFERROR(VLOOKUP(B1788,'Pre-Summary'!$BG$6:$BM$44,6,FALSE),S1789)</f>
        <v>6.1014931296205117E-2</v>
      </c>
      <c r="T1788" s="45" t="str">
        <f>IFERROR(VLOOKUP(B1788,'Pre-Summary'!$Y$6:$AC$83, 3,FALSE),"")</f>
        <v/>
      </c>
      <c r="U1788" s="45" t="str">
        <f>IFERROR(VLOOKUP(B1788,'Pre-Summary'!$Y$6:$AC$83, 4,FALSE),"")</f>
        <v/>
      </c>
      <c r="V1788" t="str">
        <f>IFERROR(VLOOKUP(B1788,'Pre-Summary'!$Y$6:$AC$83, 5,FALSE),"")</f>
        <v/>
      </c>
      <c r="W1788" s="45" t="str">
        <f>IFERROR(VLOOKUP(B1788,'Pre-Summary'!$Y$6:$AD$83,6,FALSE),"")</f>
        <v/>
      </c>
      <c r="X1788" t="str">
        <f>IFERROR(VLOOKUP('Pre-Summary'!$DB$6:$DD$63,3,FALSE),"")</f>
        <v/>
      </c>
      <c r="Y1788" t="str">
        <f>IFERROR(VLOOKUP(B1788,'Pre-Summary'!$CR$6:$CT$36,3,FALSE),"")</f>
        <v/>
      </c>
      <c r="Z1788" s="45" t="str">
        <f>IFERROR(VLOOKUP(B1788,'Pre-Summary'!$BZ$6:$CB$63,2,FALSE),"")</f>
        <v/>
      </c>
      <c r="AA1788" s="45" t="str">
        <f>IFERROR(VLOOKUP(B1788,'Pre-Summary'!$CG$6:$CI$70,2,FALSE),"")</f>
        <v/>
      </c>
      <c r="AB1788" s="99">
        <f>IFERROR(VLOOKUP(B1788,'Pre-Summary'!$A$6:$P$178,9,FALSE),AB1789)</f>
        <v>0.30142939521754147</v>
      </c>
      <c r="AC1788" s="10">
        <f>IFERROR(VLOOKUP(Summary!B1788,'Pre-Summary'!$A$6:$P$184,5, FALSE)/100,AC1789)</f>
        <v>0.88337933333333341</v>
      </c>
      <c r="AD1788" s="10">
        <f>IFERROR(VLOOKUP(Summary!B1788,'Pre-Summary'!$A$6:$P$184,3, FALSE)/100,AD1789)</f>
        <v>6.6985666666666666E-2</v>
      </c>
      <c r="AE1788" s="10">
        <f>IFERROR(VLOOKUP(Summary!B1788,'Pre-Summary'!$A$6:$P$184,7, FALSE)/100,AE1789)</f>
        <v>4.9634999999999999E-2</v>
      </c>
      <c r="AF1788" s="99">
        <f t="shared" si="82"/>
        <v>2.0191448991577161E-2</v>
      </c>
      <c r="AG1788" s="99">
        <f t="shared" si="83"/>
        <v>1.496144803162267E-2</v>
      </c>
      <c r="AH1788" s="10" t="str">
        <f>IFERROR(VLOOKUP(B1788,'Pre-Summary'!$AZ$6:$BE$65,3,FALSE),"")</f>
        <v/>
      </c>
      <c r="AI1788" s="10" t="str">
        <f>IFERROR(VLOOKUP(B1788,'Pre-Summary'!$AZ$6:$BE$65,5,FALSE),"")</f>
        <v/>
      </c>
      <c r="AJ1788" s="10" t="str">
        <f>IFERROR(VLOOKUP(B1788,'Pre-Summary'!$AZ$6:$BE$65,4,FALSE),"")</f>
        <v/>
      </c>
      <c r="AK1788" s="10" t="str">
        <f>IFERROR(VLOOKUP(B1788,'Pre-Summary'!$AZ$6:$BE$65,6,FALSE),"")</f>
        <v/>
      </c>
      <c r="AL1788" s="10" t="str">
        <f>IFERROR(VLOOKUP(B1788,'Pre-Summary'!$BG$6:$BL$44,3,FALSE),"")</f>
        <v/>
      </c>
      <c r="AM1788" s="10" t="str">
        <f>IFERROR(VLOOKUP(B1788,'Pre-Summary'!$BG$6:$BL$44,4,FALSE),"")</f>
        <v/>
      </c>
    </row>
    <row r="1789" spans="2:39" ht="15" customHeight="1" x14ac:dyDescent="0.3">
      <c r="B1789">
        <v>178.6</v>
      </c>
      <c r="C1789" t="str">
        <f>IFERROR(VLOOKUP(B1789,'Pre-Summary'!$DI$6:$DM$23,4,FALSE),"")</f>
        <v/>
      </c>
      <c r="D1789" s="10" t="str">
        <f>IFERROR(VLOOKUP(B1789,'Pre-Summary'!$AT$6:$AX$14,5,FALSE),D1788)</f>
        <v>Wolfe v3: went back to modified wolfe + EDTA and switched CuSO4 to CUCl2</v>
      </c>
      <c r="E1789" s="10" t="str">
        <f>IFERROR(VLOOKUP(B1789,'Pre-Summary'!$AT$6:$AX$15,4,FALSE),"")</f>
        <v/>
      </c>
      <c r="F1789">
        <f>IFERROR(VLOOKUP(B1789,'Pre-Summary'!$AL$6:$AQ$13,6,FALSE),F1788)</f>
        <v>5.9405263157894746E-2</v>
      </c>
      <c r="G1789" t="str">
        <f>IFERROR(VLOOKUP(B1789,'Pre-Summary'!$AE$6:$AJ$85,3,FALSE),"")</f>
        <v/>
      </c>
      <c r="H1789" t="str">
        <f>IFERROR(VLOOKUP(B1789,'Pre-Summary'!$AE$6:$AJ$85,4,FALSE),"")</f>
        <v/>
      </c>
      <c r="I1789" t="str">
        <f>IFERROR(VLOOKUP(B1789,'Pre-Summary'!$AE$6:$AJ$85,5,FALSE),"")</f>
        <v/>
      </c>
      <c r="J1789" s="45" t="str">
        <f>IFERROR(VLOOKUP(B1789,'Pre-Summary'!$AE$6:$AJ$85,6, FALSE),"")</f>
        <v/>
      </c>
      <c r="K1789" s="45" t="str">
        <f>IFERROR(VLOOKUP(B1789,'Pre-Summary'!$DE$6:$DG$61,3,FALSE),"")</f>
        <v/>
      </c>
      <c r="L1789" s="45" t="str">
        <f>IFERROR(VLOOKUP(B1789,'Pre-Summary'!$CU$6:$CW$36,3,FALSE),"")</f>
        <v/>
      </c>
      <c r="M1789" s="45" t="str">
        <f>IFERROR(VLOOKUP(B1789,'Pre-Summary'!$BW$6:$BY$58,2,FALSE),"")</f>
        <v/>
      </c>
      <c r="N1789" s="45" t="str">
        <f>IFERROR(VLOOKUP(B1789,'Pre-Summary'!$CD$6:$CF$64,2,FALSE),"")</f>
        <v/>
      </c>
      <c r="O1789" s="99">
        <f>IFERROR(VLOOKUP(B1789,'Pre-Summary'!$BO$6:$BQ$48,3, FALSE),O1788)</f>
        <v>1.25</v>
      </c>
      <c r="P1789" s="99">
        <f>IFERROR(VLOOKUP(B1789,'Pre-Summary'!$BS$6:$BU$35,3,FALSE),P1788)</f>
        <v>0.33700000000000002</v>
      </c>
      <c r="Q1789" s="54">
        <f t="shared" si="81"/>
        <v>3.7091988130563798</v>
      </c>
      <c r="R1789" s="53">
        <f>IFERROR(VLOOKUP(B1789,'Pre-Summary'!$BG$6:$BM$44,7,FALSE),R1790)</f>
        <v>8.0894687007659741E-2</v>
      </c>
      <c r="S1789" s="53">
        <f>IFERROR(VLOOKUP(B1789,'Pre-Summary'!$BG$6:$BM$44,6,FALSE),S1790)</f>
        <v>6.1014931296205117E-2</v>
      </c>
      <c r="T1789" s="45" t="str">
        <f>IFERROR(VLOOKUP(B1789,'Pre-Summary'!$Y$6:$AC$83, 3,FALSE),"")</f>
        <v/>
      </c>
      <c r="U1789" s="45" t="str">
        <f>IFERROR(VLOOKUP(B1789,'Pre-Summary'!$Y$6:$AC$83, 4,FALSE),"")</f>
        <v/>
      </c>
      <c r="V1789" t="str">
        <f>IFERROR(VLOOKUP(B1789,'Pre-Summary'!$Y$6:$AC$83, 5,FALSE),"")</f>
        <v/>
      </c>
      <c r="W1789" s="45" t="str">
        <f>IFERROR(VLOOKUP(B1789,'Pre-Summary'!$Y$6:$AD$83,6,FALSE),"")</f>
        <v/>
      </c>
      <c r="X1789" t="str">
        <f>IFERROR(VLOOKUP('Pre-Summary'!$DB$6:$DD$63,3,FALSE),"")</f>
        <v/>
      </c>
      <c r="Y1789" t="str">
        <f>IFERROR(VLOOKUP(B1789,'Pre-Summary'!$CR$6:$CT$36,3,FALSE),"")</f>
        <v/>
      </c>
      <c r="Z1789" s="45" t="str">
        <f>IFERROR(VLOOKUP(B1789,'Pre-Summary'!$BZ$6:$CB$63,2,FALSE),"")</f>
        <v/>
      </c>
      <c r="AA1789" s="45" t="str">
        <f>IFERROR(VLOOKUP(B1789,'Pre-Summary'!$CG$6:$CI$70,2,FALSE),"")</f>
        <v/>
      </c>
      <c r="AB1789" s="99">
        <f>IFERROR(VLOOKUP(B1789,'Pre-Summary'!$A$6:$P$178,9,FALSE),AB1790)</f>
        <v>0.30142939521754147</v>
      </c>
      <c r="AC1789" s="10">
        <f>IFERROR(VLOOKUP(Summary!B1789,'Pre-Summary'!$A$6:$P$184,5, FALSE)/100,AC1790)</f>
        <v>0.88337933333333341</v>
      </c>
      <c r="AD1789" s="10">
        <f>IFERROR(VLOOKUP(Summary!B1789,'Pre-Summary'!$A$6:$P$184,3, FALSE)/100,AD1790)</f>
        <v>6.6985666666666666E-2</v>
      </c>
      <c r="AE1789" s="10">
        <f>IFERROR(VLOOKUP(Summary!B1789,'Pre-Summary'!$A$6:$P$184,7, FALSE)/100,AE1790)</f>
        <v>4.9634999999999999E-2</v>
      </c>
      <c r="AF1789" s="99">
        <f t="shared" si="82"/>
        <v>2.0191448991577161E-2</v>
      </c>
      <c r="AG1789" s="99">
        <f t="shared" si="83"/>
        <v>1.496144803162267E-2</v>
      </c>
      <c r="AH1789" s="10" t="str">
        <f>IFERROR(VLOOKUP(B1789,'Pre-Summary'!$AZ$6:$BE$65,3,FALSE),"")</f>
        <v/>
      </c>
      <c r="AI1789" s="10" t="str">
        <f>IFERROR(VLOOKUP(B1789,'Pre-Summary'!$AZ$6:$BE$65,5,FALSE),"")</f>
        <v/>
      </c>
      <c r="AJ1789" s="10" t="str">
        <f>IFERROR(VLOOKUP(B1789,'Pre-Summary'!$AZ$6:$BE$65,4,FALSE),"")</f>
        <v/>
      </c>
      <c r="AK1789" s="10" t="str">
        <f>IFERROR(VLOOKUP(B1789,'Pre-Summary'!$AZ$6:$BE$65,6,FALSE),"")</f>
        <v/>
      </c>
      <c r="AL1789" s="10" t="str">
        <f>IFERROR(VLOOKUP(B1789,'Pre-Summary'!$BG$6:$BL$44,3,FALSE),"")</f>
        <v/>
      </c>
      <c r="AM1789" s="10" t="str">
        <f>IFERROR(VLOOKUP(B1789,'Pre-Summary'!$BG$6:$BL$44,4,FALSE),"")</f>
        <v/>
      </c>
    </row>
    <row r="1790" spans="2:39" ht="15" customHeight="1" x14ac:dyDescent="0.3">
      <c r="B1790">
        <v>178.7</v>
      </c>
      <c r="C1790" t="str">
        <f>IFERROR(VLOOKUP(B1790,'Pre-Summary'!$DI$6:$DM$23,4,FALSE),"")</f>
        <v/>
      </c>
      <c r="D1790" s="10" t="str">
        <f>IFERROR(VLOOKUP(B1790,'Pre-Summary'!$AT$6:$AX$14,5,FALSE),D1789)</f>
        <v>Wolfe v3: went back to modified wolfe + EDTA and switched CuSO4 to CUCl2</v>
      </c>
      <c r="E1790" s="10" t="str">
        <f>IFERROR(VLOOKUP(B1790,'Pre-Summary'!$AT$6:$AX$15,4,FALSE),"")</f>
        <v/>
      </c>
      <c r="F1790">
        <f>IFERROR(VLOOKUP(B1790,'Pre-Summary'!$AL$6:$AQ$13,6,FALSE),F1789)</f>
        <v>5.9405263157894746E-2</v>
      </c>
      <c r="G1790" t="str">
        <f>IFERROR(VLOOKUP(B1790,'Pre-Summary'!$AE$6:$AJ$85,3,FALSE),"")</f>
        <v/>
      </c>
      <c r="H1790" t="str">
        <f>IFERROR(VLOOKUP(B1790,'Pre-Summary'!$AE$6:$AJ$85,4,FALSE),"")</f>
        <v/>
      </c>
      <c r="I1790" t="str">
        <f>IFERROR(VLOOKUP(B1790,'Pre-Summary'!$AE$6:$AJ$85,5,FALSE),"")</f>
        <v/>
      </c>
      <c r="J1790" s="45" t="str">
        <f>IFERROR(VLOOKUP(B1790,'Pre-Summary'!$AE$6:$AJ$85,6, FALSE),"")</f>
        <v/>
      </c>
      <c r="K1790" s="45" t="str">
        <f>IFERROR(VLOOKUP(B1790,'Pre-Summary'!$DE$6:$DG$61,3,FALSE),"")</f>
        <v/>
      </c>
      <c r="L1790" s="45" t="str">
        <f>IFERROR(VLOOKUP(B1790,'Pre-Summary'!$CU$6:$CW$36,3,FALSE),"")</f>
        <v/>
      </c>
      <c r="M1790" s="45" t="str">
        <f>IFERROR(VLOOKUP(B1790,'Pre-Summary'!$BW$6:$BY$58,2,FALSE),"")</f>
        <v/>
      </c>
      <c r="N1790" s="45" t="str">
        <f>IFERROR(VLOOKUP(B1790,'Pre-Summary'!$CD$6:$CF$64,2,FALSE),"")</f>
        <v/>
      </c>
      <c r="O1790" s="99">
        <f>IFERROR(VLOOKUP(B1790,'Pre-Summary'!$BO$6:$BQ$48,3, FALSE),O1789)</f>
        <v>1.25</v>
      </c>
      <c r="P1790" s="99">
        <f>IFERROR(VLOOKUP(B1790,'Pre-Summary'!$BS$6:$BU$35,3,FALSE),P1789)</f>
        <v>0.33700000000000002</v>
      </c>
      <c r="Q1790" s="54">
        <f t="shared" si="81"/>
        <v>3.7091988130563798</v>
      </c>
      <c r="R1790" s="53">
        <f>IFERROR(VLOOKUP(B1790,'Pre-Summary'!$BG$6:$BM$44,7,FALSE),R1791)</f>
        <v>8.0894687007659741E-2</v>
      </c>
      <c r="S1790" s="53">
        <f>IFERROR(VLOOKUP(B1790,'Pre-Summary'!$BG$6:$BM$44,6,FALSE),S1791)</f>
        <v>6.1014931296205117E-2</v>
      </c>
      <c r="T1790" s="45" t="str">
        <f>IFERROR(VLOOKUP(B1790,'Pre-Summary'!$Y$6:$AC$83, 3,FALSE),"")</f>
        <v/>
      </c>
      <c r="U1790" s="45" t="str">
        <f>IFERROR(VLOOKUP(B1790,'Pre-Summary'!$Y$6:$AC$83, 4,FALSE),"")</f>
        <v/>
      </c>
      <c r="V1790" t="str">
        <f>IFERROR(VLOOKUP(B1790,'Pre-Summary'!$Y$6:$AC$83, 5,FALSE),"")</f>
        <v/>
      </c>
      <c r="W1790" s="45" t="str">
        <f>IFERROR(VLOOKUP(B1790,'Pre-Summary'!$Y$6:$AD$83,6,FALSE),"")</f>
        <v/>
      </c>
      <c r="X1790" t="str">
        <f>IFERROR(VLOOKUP('Pre-Summary'!$DB$6:$DD$63,3,FALSE),"")</f>
        <v/>
      </c>
      <c r="Y1790" t="str">
        <f>IFERROR(VLOOKUP(B1790,'Pre-Summary'!$CR$6:$CT$36,3,FALSE),"")</f>
        <v/>
      </c>
      <c r="Z1790" s="45" t="str">
        <f>IFERROR(VLOOKUP(B1790,'Pre-Summary'!$BZ$6:$CB$63,2,FALSE),"")</f>
        <v/>
      </c>
      <c r="AA1790" s="45" t="str">
        <f>IFERROR(VLOOKUP(B1790,'Pre-Summary'!$CG$6:$CI$70,2,FALSE),"")</f>
        <v/>
      </c>
      <c r="AB1790" s="99">
        <f>IFERROR(VLOOKUP(B1790,'Pre-Summary'!$A$6:$P$178,9,FALSE),AB1791)</f>
        <v>0.30142939521754147</v>
      </c>
      <c r="AC1790" s="10">
        <f>IFERROR(VLOOKUP(Summary!B1790,'Pre-Summary'!$A$6:$P$184,5, FALSE)/100,AC1791)</f>
        <v>0.88337933333333341</v>
      </c>
      <c r="AD1790" s="10">
        <f>IFERROR(VLOOKUP(Summary!B1790,'Pre-Summary'!$A$6:$P$184,3, FALSE)/100,AD1791)</f>
        <v>6.6985666666666666E-2</v>
      </c>
      <c r="AE1790" s="10">
        <f>IFERROR(VLOOKUP(Summary!B1790,'Pre-Summary'!$A$6:$P$184,7, FALSE)/100,AE1791)</f>
        <v>4.9634999999999999E-2</v>
      </c>
      <c r="AF1790" s="99">
        <f t="shared" si="82"/>
        <v>2.0191448991577161E-2</v>
      </c>
      <c r="AG1790" s="99">
        <f t="shared" si="83"/>
        <v>1.496144803162267E-2</v>
      </c>
      <c r="AH1790" s="10" t="str">
        <f>IFERROR(VLOOKUP(B1790,'Pre-Summary'!$AZ$6:$BE$65,3,FALSE),"")</f>
        <v/>
      </c>
      <c r="AI1790" s="10" t="str">
        <f>IFERROR(VLOOKUP(B1790,'Pre-Summary'!$AZ$6:$BE$65,5,FALSE),"")</f>
        <v/>
      </c>
      <c r="AJ1790" s="10" t="str">
        <f>IFERROR(VLOOKUP(B1790,'Pre-Summary'!$AZ$6:$BE$65,4,FALSE),"")</f>
        <v/>
      </c>
      <c r="AK1790" s="10" t="str">
        <f>IFERROR(VLOOKUP(B1790,'Pre-Summary'!$AZ$6:$BE$65,6,FALSE),"")</f>
        <v/>
      </c>
      <c r="AL1790" s="10" t="str">
        <f>IFERROR(VLOOKUP(B1790,'Pre-Summary'!$BG$6:$BL$44,3,FALSE),"")</f>
        <v/>
      </c>
      <c r="AM1790" s="10" t="str">
        <f>IFERROR(VLOOKUP(B1790,'Pre-Summary'!$BG$6:$BL$44,4,FALSE),"")</f>
        <v/>
      </c>
    </row>
    <row r="1791" spans="2:39" ht="15" customHeight="1" x14ac:dyDescent="0.3">
      <c r="B1791">
        <v>178.8</v>
      </c>
      <c r="C1791" t="str">
        <f>IFERROR(VLOOKUP(B1791,'Pre-Summary'!$DI$6:$DM$23,4,FALSE),"")</f>
        <v/>
      </c>
      <c r="D1791" s="10" t="str">
        <f>IFERROR(VLOOKUP(B1791,'Pre-Summary'!$AT$6:$AX$14,5,FALSE),D1790)</f>
        <v>Wolfe v3: went back to modified wolfe + EDTA and switched CuSO4 to CUCl2</v>
      </c>
      <c r="E1791" s="10" t="str">
        <f>IFERROR(VLOOKUP(B1791,'Pre-Summary'!$AT$6:$AX$15,4,FALSE),"")</f>
        <v/>
      </c>
      <c r="F1791">
        <f>IFERROR(VLOOKUP(B1791,'Pre-Summary'!$AL$6:$AQ$13,6,FALSE),F1790)</f>
        <v>5.9405263157894746E-2</v>
      </c>
      <c r="G1791" t="str">
        <f>IFERROR(VLOOKUP(B1791,'Pre-Summary'!$AE$6:$AJ$85,3,FALSE),"")</f>
        <v/>
      </c>
      <c r="H1791" t="str">
        <f>IFERROR(VLOOKUP(B1791,'Pre-Summary'!$AE$6:$AJ$85,4,FALSE),"")</f>
        <v/>
      </c>
      <c r="I1791" t="str">
        <f>IFERROR(VLOOKUP(B1791,'Pre-Summary'!$AE$6:$AJ$85,5,FALSE),"")</f>
        <v/>
      </c>
      <c r="J1791" s="45" t="str">
        <f>IFERROR(VLOOKUP(B1791,'Pre-Summary'!$AE$6:$AJ$85,6, FALSE),"")</f>
        <v/>
      </c>
      <c r="K1791" s="45" t="str">
        <f>IFERROR(VLOOKUP(B1791,'Pre-Summary'!$DE$6:$DG$61,3,FALSE),"")</f>
        <v/>
      </c>
      <c r="L1791" s="45" t="str">
        <f>IFERROR(VLOOKUP(B1791,'Pre-Summary'!$CU$6:$CW$36,3,FALSE),"")</f>
        <v/>
      </c>
      <c r="M1791" s="45" t="str">
        <f>IFERROR(VLOOKUP(B1791,'Pre-Summary'!$BW$6:$BY$58,2,FALSE),"")</f>
        <v/>
      </c>
      <c r="N1791" s="45" t="str">
        <f>IFERROR(VLOOKUP(B1791,'Pre-Summary'!$CD$6:$CF$64,2,FALSE),"")</f>
        <v/>
      </c>
      <c r="O1791" s="99">
        <f>IFERROR(VLOOKUP(B1791,'Pre-Summary'!$BO$6:$BQ$48,3, FALSE),O1790)</f>
        <v>1.25</v>
      </c>
      <c r="P1791" s="99">
        <f>IFERROR(VLOOKUP(B1791,'Pre-Summary'!$BS$6:$BU$35,3,FALSE),P1790)</f>
        <v>0.33700000000000002</v>
      </c>
      <c r="Q1791" s="54">
        <f t="shared" si="81"/>
        <v>3.7091988130563798</v>
      </c>
      <c r="R1791" s="53">
        <f>IFERROR(VLOOKUP(B1791,'Pre-Summary'!$BG$6:$BM$44,7,FALSE),R1792)</f>
        <v>8.0894687007659741E-2</v>
      </c>
      <c r="S1791" s="53">
        <f>IFERROR(VLOOKUP(B1791,'Pre-Summary'!$BG$6:$BM$44,6,FALSE),S1792)</f>
        <v>6.1014931296205117E-2</v>
      </c>
      <c r="T1791" s="45" t="str">
        <f>IFERROR(VLOOKUP(B1791,'Pre-Summary'!$Y$6:$AC$83, 3,FALSE),"")</f>
        <v/>
      </c>
      <c r="U1791" s="45" t="str">
        <f>IFERROR(VLOOKUP(B1791,'Pre-Summary'!$Y$6:$AC$83, 4,FALSE),"")</f>
        <v/>
      </c>
      <c r="V1791" t="str">
        <f>IFERROR(VLOOKUP(B1791,'Pre-Summary'!$Y$6:$AC$83, 5,FALSE),"")</f>
        <v/>
      </c>
      <c r="W1791" s="45" t="str">
        <f>IFERROR(VLOOKUP(B1791,'Pre-Summary'!$Y$6:$AD$83,6,FALSE),"")</f>
        <v/>
      </c>
      <c r="X1791" t="str">
        <f>IFERROR(VLOOKUP('Pre-Summary'!$DB$6:$DD$63,3,FALSE),"")</f>
        <v/>
      </c>
      <c r="Y1791" t="str">
        <f>IFERROR(VLOOKUP(B1791,'Pre-Summary'!$CR$6:$CT$36,3,FALSE),"")</f>
        <v/>
      </c>
      <c r="Z1791" s="45" t="str">
        <f>IFERROR(VLOOKUP(B1791,'Pre-Summary'!$BZ$6:$CB$63,2,FALSE),"")</f>
        <v/>
      </c>
      <c r="AA1791" s="45" t="str">
        <f>IFERROR(VLOOKUP(B1791,'Pre-Summary'!$CG$6:$CI$70,2,FALSE),"")</f>
        <v/>
      </c>
      <c r="AB1791" s="99">
        <f>IFERROR(VLOOKUP(B1791,'Pre-Summary'!$A$6:$P$178,9,FALSE),AB1792)</f>
        <v>0.30142939521754147</v>
      </c>
      <c r="AC1791" s="10">
        <f>IFERROR(VLOOKUP(Summary!B1791,'Pre-Summary'!$A$6:$P$184,5, FALSE)/100,AC1792)</f>
        <v>0.88337933333333341</v>
      </c>
      <c r="AD1791" s="10">
        <f>IFERROR(VLOOKUP(Summary!B1791,'Pre-Summary'!$A$6:$P$184,3, FALSE)/100,AD1792)</f>
        <v>6.6985666666666666E-2</v>
      </c>
      <c r="AE1791" s="10">
        <f>IFERROR(VLOOKUP(Summary!B1791,'Pre-Summary'!$A$6:$P$184,7, FALSE)/100,AE1792)</f>
        <v>4.9634999999999999E-2</v>
      </c>
      <c r="AF1791" s="99">
        <f t="shared" si="82"/>
        <v>2.0191448991577161E-2</v>
      </c>
      <c r="AG1791" s="99">
        <f t="shared" si="83"/>
        <v>1.496144803162267E-2</v>
      </c>
      <c r="AH1791" s="10" t="str">
        <f>IFERROR(VLOOKUP(B1791,'Pre-Summary'!$AZ$6:$BE$65,3,FALSE),"")</f>
        <v/>
      </c>
      <c r="AI1791" s="10" t="str">
        <f>IFERROR(VLOOKUP(B1791,'Pre-Summary'!$AZ$6:$BE$65,5,FALSE),"")</f>
        <v/>
      </c>
      <c r="AJ1791" s="10" t="str">
        <f>IFERROR(VLOOKUP(B1791,'Pre-Summary'!$AZ$6:$BE$65,4,FALSE),"")</f>
        <v/>
      </c>
      <c r="AK1791" s="10" t="str">
        <f>IFERROR(VLOOKUP(B1791,'Pre-Summary'!$AZ$6:$BE$65,6,FALSE),"")</f>
        <v/>
      </c>
      <c r="AL1791" s="10" t="str">
        <f>IFERROR(VLOOKUP(B1791,'Pre-Summary'!$BG$6:$BL$44,3,FALSE),"")</f>
        <v/>
      </c>
      <c r="AM1791" s="10" t="str">
        <f>IFERROR(VLOOKUP(B1791,'Pre-Summary'!$BG$6:$BL$44,4,FALSE),"")</f>
        <v/>
      </c>
    </row>
    <row r="1792" spans="2:39" ht="15" customHeight="1" x14ac:dyDescent="0.3">
      <c r="B1792">
        <v>178.9</v>
      </c>
      <c r="C1792" t="str">
        <f>IFERROR(VLOOKUP(B1792,'Pre-Summary'!$DI$6:$DM$23,4,FALSE),"")</f>
        <v/>
      </c>
      <c r="D1792" s="10" t="str">
        <f>IFERROR(VLOOKUP(B1792,'Pre-Summary'!$AT$6:$AX$14,5,FALSE),D1791)</f>
        <v>Wolfe v3: went back to modified wolfe + EDTA and switched CuSO4 to CUCl2</v>
      </c>
      <c r="E1792" s="10" t="str">
        <f>IFERROR(VLOOKUP(B1792,'Pre-Summary'!$AT$6:$AX$15,4,FALSE),"")</f>
        <v/>
      </c>
      <c r="F1792">
        <f>IFERROR(VLOOKUP(B1792,'Pre-Summary'!$AL$6:$AQ$13,6,FALSE),F1791)</f>
        <v>5.9405263157894746E-2</v>
      </c>
      <c r="G1792" t="str">
        <f>IFERROR(VLOOKUP(B1792,'Pre-Summary'!$AE$6:$AJ$85,3,FALSE),"")</f>
        <v/>
      </c>
      <c r="H1792" t="str">
        <f>IFERROR(VLOOKUP(B1792,'Pre-Summary'!$AE$6:$AJ$85,4,FALSE),"")</f>
        <v/>
      </c>
      <c r="I1792" t="str">
        <f>IFERROR(VLOOKUP(B1792,'Pre-Summary'!$AE$6:$AJ$85,5,FALSE),"")</f>
        <v/>
      </c>
      <c r="J1792" s="45" t="str">
        <f>IFERROR(VLOOKUP(B1792,'Pre-Summary'!$AE$6:$AJ$85,6, FALSE),"")</f>
        <v/>
      </c>
      <c r="K1792" s="45" t="str">
        <f>IFERROR(VLOOKUP(B1792,'Pre-Summary'!$DE$6:$DG$61,3,FALSE),"")</f>
        <v/>
      </c>
      <c r="L1792" s="45" t="str">
        <f>IFERROR(VLOOKUP(B1792,'Pre-Summary'!$CU$6:$CW$36,3,FALSE),"")</f>
        <v/>
      </c>
      <c r="M1792" s="45" t="str">
        <f>IFERROR(VLOOKUP(B1792,'Pre-Summary'!$BW$6:$BY$58,2,FALSE),"")</f>
        <v/>
      </c>
      <c r="N1792" s="45" t="str">
        <f>IFERROR(VLOOKUP(B1792,'Pre-Summary'!$CD$6:$CF$64,2,FALSE),"")</f>
        <v/>
      </c>
      <c r="O1792" s="99">
        <f>IFERROR(VLOOKUP(B1792,'Pre-Summary'!$BO$6:$BQ$48,3, FALSE),O1791)</f>
        <v>1.25</v>
      </c>
      <c r="P1792" s="99">
        <f>IFERROR(VLOOKUP(B1792,'Pre-Summary'!$BS$6:$BU$35,3,FALSE),P1791)</f>
        <v>0.33700000000000002</v>
      </c>
      <c r="Q1792" s="54">
        <f t="shared" si="81"/>
        <v>3.7091988130563798</v>
      </c>
      <c r="R1792" s="53">
        <f>IFERROR(VLOOKUP(B1792,'Pre-Summary'!$BG$6:$BM$44,7,FALSE),R1793)</f>
        <v>8.0894687007659741E-2</v>
      </c>
      <c r="S1792" s="53">
        <f>IFERROR(VLOOKUP(B1792,'Pre-Summary'!$BG$6:$BM$44,6,FALSE),S1793)</f>
        <v>6.1014931296205117E-2</v>
      </c>
      <c r="T1792" s="45" t="str">
        <f>IFERROR(VLOOKUP(B1792,'Pre-Summary'!$Y$6:$AC$83, 3,FALSE),"")</f>
        <v/>
      </c>
      <c r="U1792" s="45" t="str">
        <f>IFERROR(VLOOKUP(B1792,'Pre-Summary'!$Y$6:$AC$83, 4,FALSE),"")</f>
        <v/>
      </c>
      <c r="V1792" t="str">
        <f>IFERROR(VLOOKUP(B1792,'Pre-Summary'!$Y$6:$AC$83, 5,FALSE),"")</f>
        <v/>
      </c>
      <c r="W1792" s="45" t="str">
        <f>IFERROR(VLOOKUP(B1792,'Pre-Summary'!$Y$6:$AD$83,6,FALSE),"")</f>
        <v/>
      </c>
      <c r="X1792" t="str">
        <f>IFERROR(VLOOKUP('Pre-Summary'!$DB$6:$DD$63,3,FALSE),"")</f>
        <v/>
      </c>
      <c r="Y1792" t="str">
        <f>IFERROR(VLOOKUP(B1792,'Pre-Summary'!$CR$6:$CT$36,3,FALSE),"")</f>
        <v/>
      </c>
      <c r="Z1792" s="45" t="str">
        <f>IFERROR(VLOOKUP(B1792,'Pre-Summary'!$BZ$6:$CB$63,2,FALSE),"")</f>
        <v/>
      </c>
      <c r="AA1792" s="45" t="str">
        <f>IFERROR(VLOOKUP(B1792,'Pre-Summary'!$CG$6:$CI$70,2,FALSE),"")</f>
        <v/>
      </c>
      <c r="AB1792" s="99">
        <f>IFERROR(VLOOKUP(B1792,'Pre-Summary'!$A$6:$P$178,9,FALSE),AB1793)</f>
        <v>0.30142939521754147</v>
      </c>
      <c r="AC1792" s="10">
        <f>IFERROR(VLOOKUP(Summary!B1792,'Pre-Summary'!$A$6:$P$184,5, FALSE)/100,AC1793)</f>
        <v>0.88337933333333341</v>
      </c>
      <c r="AD1792" s="10">
        <f>IFERROR(VLOOKUP(Summary!B1792,'Pre-Summary'!$A$6:$P$184,3, FALSE)/100,AD1793)</f>
        <v>6.6985666666666666E-2</v>
      </c>
      <c r="AE1792" s="10">
        <f>IFERROR(VLOOKUP(Summary!B1792,'Pre-Summary'!$A$6:$P$184,7, FALSE)/100,AE1793)</f>
        <v>4.9634999999999999E-2</v>
      </c>
      <c r="AF1792" s="99">
        <f t="shared" si="82"/>
        <v>2.0191448991577161E-2</v>
      </c>
      <c r="AG1792" s="99">
        <f t="shared" si="83"/>
        <v>1.496144803162267E-2</v>
      </c>
      <c r="AH1792" s="10" t="str">
        <f>IFERROR(VLOOKUP(B1792,'Pre-Summary'!$AZ$6:$BE$65,3,FALSE),"")</f>
        <v/>
      </c>
      <c r="AI1792" s="10" t="str">
        <f>IFERROR(VLOOKUP(B1792,'Pre-Summary'!$AZ$6:$BE$65,5,FALSE),"")</f>
        <v/>
      </c>
      <c r="AJ1792" s="10" t="str">
        <f>IFERROR(VLOOKUP(B1792,'Pre-Summary'!$AZ$6:$BE$65,4,FALSE),"")</f>
        <v/>
      </c>
      <c r="AK1792" s="10" t="str">
        <f>IFERROR(VLOOKUP(B1792,'Pre-Summary'!$AZ$6:$BE$65,6,FALSE),"")</f>
        <v/>
      </c>
      <c r="AL1792" s="10" t="str">
        <f>IFERROR(VLOOKUP(B1792,'Pre-Summary'!$BG$6:$BL$44,3,FALSE),"")</f>
        <v/>
      </c>
      <c r="AM1792" s="10" t="str">
        <f>IFERROR(VLOOKUP(B1792,'Pre-Summary'!$BG$6:$BL$44,4,FALSE),"")</f>
        <v/>
      </c>
    </row>
    <row r="1793" spans="2:39" ht="15" customHeight="1" x14ac:dyDescent="0.3">
      <c r="B1793">
        <v>179</v>
      </c>
      <c r="C1793" t="str">
        <f>IFERROR(VLOOKUP(B1793,'Pre-Summary'!$DI$6:$DM$23,4,FALSE),"")</f>
        <v/>
      </c>
      <c r="D1793" s="10" t="str">
        <f>IFERROR(VLOOKUP(B1793,'Pre-Summary'!$AT$6:$AX$14,5,FALSE),D1792)</f>
        <v>Wolfe v3: went back to modified wolfe + EDTA and switched CuSO4 to CUCl2</v>
      </c>
      <c r="E1793" s="10" t="str">
        <f>IFERROR(VLOOKUP(B1793,'Pre-Summary'!$AT$6:$AX$15,4,FALSE),"")</f>
        <v/>
      </c>
      <c r="F1793">
        <f>IFERROR(VLOOKUP(B1793,'Pre-Summary'!$AL$6:$AQ$13,6,FALSE),F1792)</f>
        <v>5.9405263157894746E-2</v>
      </c>
      <c r="G1793" t="str">
        <f>IFERROR(VLOOKUP(B1793,'Pre-Summary'!$AE$6:$AJ$85,3,FALSE),"")</f>
        <v/>
      </c>
      <c r="H1793" t="str">
        <f>IFERROR(VLOOKUP(B1793,'Pre-Summary'!$AE$6:$AJ$85,4,FALSE),"")</f>
        <v/>
      </c>
      <c r="I1793" t="str">
        <f>IFERROR(VLOOKUP(B1793,'Pre-Summary'!$AE$6:$AJ$85,5,FALSE),"")</f>
        <v/>
      </c>
      <c r="J1793" s="45" t="str">
        <f>IFERROR(VLOOKUP(B1793,'Pre-Summary'!$AE$6:$AJ$85,6, FALSE),"")</f>
        <v/>
      </c>
      <c r="K1793" s="45" t="str">
        <f>IFERROR(VLOOKUP(B1793,'Pre-Summary'!$DE$6:$DG$61,3,FALSE),"")</f>
        <v/>
      </c>
      <c r="L1793" s="45" t="str">
        <f>IFERROR(VLOOKUP(B1793,'Pre-Summary'!$CU$6:$CW$36,3,FALSE),"")</f>
        <v/>
      </c>
      <c r="M1793" s="45" t="str">
        <f>IFERROR(VLOOKUP(B1793,'Pre-Summary'!$BW$6:$BY$58,2,FALSE),"")</f>
        <v/>
      </c>
      <c r="N1793" s="45" t="str">
        <f>IFERROR(VLOOKUP(B1793,'Pre-Summary'!$CD$6:$CF$64,2,FALSE),"")</f>
        <v/>
      </c>
      <c r="O1793" s="99">
        <f>IFERROR(VLOOKUP(B1793,'Pre-Summary'!$BO$6:$BQ$48,3, FALSE),O1792)</f>
        <v>1.25</v>
      </c>
      <c r="P1793" s="99">
        <f>IFERROR(VLOOKUP(B1793,'Pre-Summary'!$BS$6:$BU$35,3,FALSE),P1792)</f>
        <v>0.33700000000000002</v>
      </c>
      <c r="Q1793" s="54">
        <f t="shared" si="81"/>
        <v>3.7091988130563798</v>
      </c>
      <c r="R1793" s="53">
        <f>IFERROR(VLOOKUP(B1793,'Pre-Summary'!$BG$6:$BM$44,7,FALSE),R1794)</f>
        <v>8.0894687007659741E-2</v>
      </c>
      <c r="S1793" s="53">
        <f>IFERROR(VLOOKUP(B1793,'Pre-Summary'!$BG$6:$BM$44,6,FALSE),S1794)</f>
        <v>6.1014931296205117E-2</v>
      </c>
      <c r="T1793" s="45" t="str">
        <f>IFERROR(VLOOKUP(B1793,'Pre-Summary'!$Y$6:$AC$83, 3,FALSE),"")</f>
        <v/>
      </c>
      <c r="U1793" s="45" t="str">
        <f>IFERROR(VLOOKUP(B1793,'Pre-Summary'!$Y$6:$AC$83, 4,FALSE),"")</f>
        <v/>
      </c>
      <c r="V1793" t="str">
        <f>IFERROR(VLOOKUP(B1793,'Pre-Summary'!$Y$6:$AC$83, 5,FALSE),"")</f>
        <v/>
      </c>
      <c r="W1793" s="45" t="str">
        <f>IFERROR(VLOOKUP(B1793,'Pre-Summary'!$Y$6:$AD$83,6,FALSE),"")</f>
        <v/>
      </c>
      <c r="X1793" t="str">
        <f>IFERROR(VLOOKUP('Pre-Summary'!$DB$6:$DD$63,3,FALSE),"")</f>
        <v/>
      </c>
      <c r="Y1793" t="str">
        <f>IFERROR(VLOOKUP(B1793,'Pre-Summary'!$CR$6:$CT$36,3,FALSE),"")</f>
        <v/>
      </c>
      <c r="Z1793" s="45" t="str">
        <f>IFERROR(VLOOKUP(B1793,'Pre-Summary'!$BZ$6:$CB$63,2,FALSE),"")</f>
        <v/>
      </c>
      <c r="AA1793" s="45" t="str">
        <f>IFERROR(VLOOKUP(B1793,'Pre-Summary'!$CG$6:$CI$70,2,FALSE),"")</f>
        <v/>
      </c>
      <c r="AB1793" s="99">
        <f>IFERROR(VLOOKUP(B1793,'Pre-Summary'!$A$6:$P$178,9,FALSE),AB1794)</f>
        <v>0.30142939521754147</v>
      </c>
      <c r="AC1793" s="10">
        <f>IFERROR(VLOOKUP(Summary!B1793,'Pre-Summary'!$A$6:$P$184,5, FALSE)/100,AC1794)</f>
        <v>0.88337933333333341</v>
      </c>
      <c r="AD1793" s="10">
        <f>IFERROR(VLOOKUP(Summary!B1793,'Pre-Summary'!$A$6:$P$184,3, FALSE)/100,AD1794)</f>
        <v>6.6985666666666666E-2</v>
      </c>
      <c r="AE1793" s="10">
        <f>IFERROR(VLOOKUP(Summary!B1793,'Pre-Summary'!$A$6:$P$184,7, FALSE)/100,AE1794)</f>
        <v>4.9634999999999999E-2</v>
      </c>
      <c r="AF1793" s="99">
        <f t="shared" si="82"/>
        <v>2.0191448991577161E-2</v>
      </c>
      <c r="AG1793" s="99">
        <f t="shared" si="83"/>
        <v>1.496144803162267E-2</v>
      </c>
      <c r="AH1793" s="10" t="str">
        <f>IFERROR(VLOOKUP(B1793,'Pre-Summary'!$AZ$6:$BE$65,3,FALSE),"")</f>
        <v/>
      </c>
      <c r="AI1793" s="10" t="str">
        <f>IFERROR(VLOOKUP(B1793,'Pre-Summary'!$AZ$6:$BE$65,5,FALSE),"")</f>
        <v/>
      </c>
      <c r="AJ1793" s="10" t="str">
        <f>IFERROR(VLOOKUP(B1793,'Pre-Summary'!$AZ$6:$BE$65,4,FALSE),"")</f>
        <v/>
      </c>
      <c r="AK1793" s="10" t="str">
        <f>IFERROR(VLOOKUP(B1793,'Pre-Summary'!$AZ$6:$BE$65,6,FALSE),"")</f>
        <v/>
      </c>
      <c r="AL1793" s="10" t="str">
        <f>IFERROR(VLOOKUP(B1793,'Pre-Summary'!$BG$6:$BL$44,3,FALSE),"")</f>
        <v/>
      </c>
      <c r="AM1793" s="10" t="str">
        <f>IFERROR(VLOOKUP(B1793,'Pre-Summary'!$BG$6:$BL$44,4,FALSE),"")</f>
        <v/>
      </c>
    </row>
    <row r="1794" spans="2:39" ht="15" customHeight="1" x14ac:dyDescent="0.3">
      <c r="B1794">
        <v>179.1</v>
      </c>
      <c r="C1794" t="str">
        <f>IFERROR(VLOOKUP(B1794,'Pre-Summary'!$DI$6:$DM$23,4,FALSE),"")</f>
        <v/>
      </c>
      <c r="D1794" s="10" t="str">
        <f>IFERROR(VLOOKUP(B1794,'Pre-Summary'!$AT$6:$AX$14,5,FALSE),D1793)</f>
        <v>Wolfe v3: went back to modified wolfe + EDTA and switched CuSO4 to CUCl2</v>
      </c>
      <c r="E1794" s="10" t="str">
        <f>IFERROR(VLOOKUP(B1794,'Pre-Summary'!$AT$6:$AX$15,4,FALSE),"")</f>
        <v/>
      </c>
      <c r="F1794">
        <f>IFERROR(VLOOKUP(B1794,'Pre-Summary'!$AL$6:$AQ$13,6,FALSE),F1793)</f>
        <v>5.9405263157894746E-2</v>
      </c>
      <c r="G1794" t="str">
        <f>IFERROR(VLOOKUP(B1794,'Pre-Summary'!$AE$6:$AJ$85,3,FALSE),"")</f>
        <v/>
      </c>
      <c r="H1794" t="str">
        <f>IFERROR(VLOOKUP(B1794,'Pre-Summary'!$AE$6:$AJ$85,4,FALSE),"")</f>
        <v/>
      </c>
      <c r="I1794" t="str">
        <f>IFERROR(VLOOKUP(B1794,'Pre-Summary'!$AE$6:$AJ$85,5,FALSE),"")</f>
        <v/>
      </c>
      <c r="J1794" s="45" t="str">
        <f>IFERROR(VLOOKUP(B1794,'Pre-Summary'!$AE$6:$AJ$85,6, FALSE),"")</f>
        <v/>
      </c>
      <c r="K1794" s="45" t="str">
        <f>IFERROR(VLOOKUP(B1794,'Pre-Summary'!$DE$6:$DG$61,3,FALSE),"")</f>
        <v/>
      </c>
      <c r="L1794" s="45" t="str">
        <f>IFERROR(VLOOKUP(B1794,'Pre-Summary'!$CU$6:$CW$36,3,FALSE),"")</f>
        <v/>
      </c>
      <c r="M1794" s="45" t="str">
        <f>IFERROR(VLOOKUP(B1794,'Pre-Summary'!$BW$6:$BY$58,2,FALSE),"")</f>
        <v/>
      </c>
      <c r="N1794" s="45" t="str">
        <f>IFERROR(VLOOKUP(B1794,'Pre-Summary'!$CD$6:$CF$64,2,FALSE),"")</f>
        <v/>
      </c>
      <c r="O1794" s="99">
        <f>IFERROR(VLOOKUP(B1794,'Pre-Summary'!$BO$6:$BQ$48,3, FALSE),O1793)</f>
        <v>1.25</v>
      </c>
      <c r="P1794" s="99">
        <f>IFERROR(VLOOKUP(B1794,'Pre-Summary'!$BS$6:$BU$35,3,FALSE),P1793)</f>
        <v>0.33700000000000002</v>
      </c>
      <c r="Q1794" s="54">
        <f t="shared" si="81"/>
        <v>3.7091988130563798</v>
      </c>
      <c r="R1794" s="53">
        <f>IFERROR(VLOOKUP(B1794,'Pre-Summary'!$BG$6:$BM$44,7,FALSE),R1795)</f>
        <v>8.0894687007659741E-2</v>
      </c>
      <c r="S1794" s="53">
        <f>IFERROR(VLOOKUP(B1794,'Pre-Summary'!$BG$6:$BM$44,6,FALSE),S1795)</f>
        <v>6.1014931296205117E-2</v>
      </c>
      <c r="T1794" s="45" t="str">
        <f>IFERROR(VLOOKUP(B1794,'Pre-Summary'!$Y$6:$AC$83, 3,FALSE),"")</f>
        <v/>
      </c>
      <c r="U1794" s="45" t="str">
        <f>IFERROR(VLOOKUP(B1794,'Pre-Summary'!$Y$6:$AC$83, 4,FALSE),"")</f>
        <v/>
      </c>
      <c r="V1794" t="str">
        <f>IFERROR(VLOOKUP(B1794,'Pre-Summary'!$Y$6:$AC$83, 5,FALSE),"")</f>
        <v/>
      </c>
      <c r="W1794" s="45" t="str">
        <f>IFERROR(VLOOKUP(B1794,'Pre-Summary'!$Y$6:$AD$83,6,FALSE),"")</f>
        <v/>
      </c>
      <c r="X1794" t="str">
        <f>IFERROR(VLOOKUP('Pre-Summary'!$DB$6:$DD$63,3,FALSE),"")</f>
        <v/>
      </c>
      <c r="Y1794" t="str">
        <f>IFERROR(VLOOKUP(B1794,'Pre-Summary'!$CR$6:$CT$36,3,FALSE),"")</f>
        <v/>
      </c>
      <c r="Z1794" s="45" t="str">
        <f>IFERROR(VLOOKUP(B1794,'Pre-Summary'!$BZ$6:$CB$63,2,FALSE),"")</f>
        <v/>
      </c>
      <c r="AA1794" s="45" t="str">
        <f>IFERROR(VLOOKUP(B1794,'Pre-Summary'!$CG$6:$CI$70,2,FALSE),"")</f>
        <v/>
      </c>
      <c r="AB1794" s="99">
        <f>IFERROR(VLOOKUP(B1794,'Pre-Summary'!$A$6:$P$178,9,FALSE),AB1795)</f>
        <v>0.30142939521754147</v>
      </c>
      <c r="AC1794" s="10">
        <f>IFERROR(VLOOKUP(Summary!B1794,'Pre-Summary'!$A$6:$P$184,5, FALSE)/100,AC1795)</f>
        <v>0.88337933333333341</v>
      </c>
      <c r="AD1794" s="10">
        <f>IFERROR(VLOOKUP(Summary!B1794,'Pre-Summary'!$A$6:$P$184,3, FALSE)/100,AD1795)</f>
        <v>6.6985666666666666E-2</v>
      </c>
      <c r="AE1794" s="10">
        <f>IFERROR(VLOOKUP(Summary!B1794,'Pre-Summary'!$A$6:$P$184,7, FALSE)/100,AE1795)</f>
        <v>4.9634999999999999E-2</v>
      </c>
      <c r="AF1794" s="99">
        <f t="shared" si="82"/>
        <v>2.0191448991577161E-2</v>
      </c>
      <c r="AG1794" s="99">
        <f t="shared" si="83"/>
        <v>1.496144803162267E-2</v>
      </c>
      <c r="AH1794" s="10" t="str">
        <f>IFERROR(VLOOKUP(B1794,'Pre-Summary'!$AZ$6:$BE$65,3,FALSE),"")</f>
        <v/>
      </c>
      <c r="AI1794" s="10" t="str">
        <f>IFERROR(VLOOKUP(B1794,'Pre-Summary'!$AZ$6:$BE$65,5,FALSE),"")</f>
        <v/>
      </c>
      <c r="AJ1794" s="10" t="str">
        <f>IFERROR(VLOOKUP(B1794,'Pre-Summary'!$AZ$6:$BE$65,4,FALSE),"")</f>
        <v/>
      </c>
      <c r="AK1794" s="10" t="str">
        <f>IFERROR(VLOOKUP(B1794,'Pre-Summary'!$AZ$6:$BE$65,6,FALSE),"")</f>
        <v/>
      </c>
      <c r="AL1794" s="10" t="str">
        <f>IFERROR(VLOOKUP(B1794,'Pre-Summary'!$BG$6:$BL$44,3,FALSE),"")</f>
        <v/>
      </c>
      <c r="AM1794" s="10" t="str">
        <f>IFERROR(VLOOKUP(B1794,'Pre-Summary'!$BG$6:$BL$44,4,FALSE),"")</f>
        <v/>
      </c>
    </row>
    <row r="1795" spans="2:39" ht="15" customHeight="1" x14ac:dyDescent="0.3">
      <c r="B1795">
        <v>179.2</v>
      </c>
      <c r="C1795" t="str">
        <f>IFERROR(VLOOKUP(B1795,'Pre-Summary'!$DI$6:$DM$23,4,FALSE),"")</f>
        <v/>
      </c>
      <c r="D1795" s="10" t="str">
        <f>IFERROR(VLOOKUP(B1795,'Pre-Summary'!$AT$6:$AX$14,5,FALSE),D1794)</f>
        <v>Wolfe v3: went back to modified wolfe + EDTA and switched CuSO4 to CUCl2</v>
      </c>
      <c r="E1795" s="10" t="str">
        <f>IFERROR(VLOOKUP(B1795,'Pre-Summary'!$AT$6:$AX$15,4,FALSE),"")</f>
        <v/>
      </c>
      <c r="F1795">
        <f>IFERROR(VLOOKUP(B1795,'Pre-Summary'!$AL$6:$AQ$13,6,FALSE),F1794)</f>
        <v>5.9405263157894746E-2</v>
      </c>
      <c r="G1795" t="str">
        <f>IFERROR(VLOOKUP(B1795,'Pre-Summary'!$AE$6:$AJ$85,3,FALSE),"")</f>
        <v/>
      </c>
      <c r="H1795" t="str">
        <f>IFERROR(VLOOKUP(B1795,'Pre-Summary'!$AE$6:$AJ$85,4,FALSE),"")</f>
        <v/>
      </c>
      <c r="I1795" t="str">
        <f>IFERROR(VLOOKUP(B1795,'Pre-Summary'!$AE$6:$AJ$85,5,FALSE),"")</f>
        <v/>
      </c>
      <c r="J1795" s="45" t="str">
        <f>IFERROR(VLOOKUP(B1795,'Pre-Summary'!$AE$6:$AJ$85,6, FALSE),"")</f>
        <v/>
      </c>
      <c r="K1795" s="45" t="str">
        <f>IFERROR(VLOOKUP(B1795,'Pre-Summary'!$DE$6:$DG$61,3,FALSE),"")</f>
        <v/>
      </c>
      <c r="L1795" s="45" t="str">
        <f>IFERROR(VLOOKUP(B1795,'Pre-Summary'!$CU$6:$CW$36,3,FALSE),"")</f>
        <v/>
      </c>
      <c r="M1795" s="45" t="str">
        <f>IFERROR(VLOOKUP(B1795,'Pre-Summary'!$BW$6:$BY$58,2,FALSE),"")</f>
        <v/>
      </c>
      <c r="N1795" s="45" t="str">
        <f>IFERROR(VLOOKUP(B1795,'Pre-Summary'!$CD$6:$CF$64,2,FALSE),"")</f>
        <v/>
      </c>
      <c r="O1795" s="99">
        <f>IFERROR(VLOOKUP(B1795,'Pre-Summary'!$BO$6:$BQ$48,3, FALSE),O1794)</f>
        <v>1.25</v>
      </c>
      <c r="P1795" s="99">
        <f>IFERROR(VLOOKUP(B1795,'Pre-Summary'!$BS$6:$BU$35,3,FALSE),P1794)</f>
        <v>0.33700000000000002</v>
      </c>
      <c r="Q1795" s="54">
        <f t="shared" ref="Q1795:Q1858" si="84">O1795/P1795</f>
        <v>3.7091988130563798</v>
      </c>
      <c r="R1795" s="53">
        <f>IFERROR(VLOOKUP(B1795,'Pre-Summary'!$BG$6:$BM$44,7,FALSE),R1796)</f>
        <v>8.0894687007659741E-2</v>
      </c>
      <c r="S1795" s="53">
        <f>IFERROR(VLOOKUP(B1795,'Pre-Summary'!$BG$6:$BM$44,6,FALSE),S1796)</f>
        <v>6.1014931296205117E-2</v>
      </c>
      <c r="T1795" s="45" t="str">
        <f>IFERROR(VLOOKUP(B1795,'Pre-Summary'!$Y$6:$AC$83, 3,FALSE),"")</f>
        <v/>
      </c>
      <c r="U1795" s="45" t="str">
        <f>IFERROR(VLOOKUP(B1795,'Pre-Summary'!$Y$6:$AC$83, 4,FALSE),"")</f>
        <v/>
      </c>
      <c r="V1795" t="str">
        <f>IFERROR(VLOOKUP(B1795,'Pre-Summary'!$Y$6:$AC$83, 5,FALSE),"")</f>
        <v/>
      </c>
      <c r="W1795" s="45" t="str">
        <f>IFERROR(VLOOKUP(B1795,'Pre-Summary'!$Y$6:$AD$83,6,FALSE),"")</f>
        <v/>
      </c>
      <c r="X1795" t="str">
        <f>IFERROR(VLOOKUP('Pre-Summary'!$DB$6:$DD$63,3,FALSE),"")</f>
        <v/>
      </c>
      <c r="Y1795" t="str">
        <f>IFERROR(VLOOKUP(B1795,'Pre-Summary'!$CR$6:$CT$36,3,FALSE),"")</f>
        <v/>
      </c>
      <c r="Z1795" s="45" t="str">
        <f>IFERROR(VLOOKUP(B1795,'Pre-Summary'!$BZ$6:$CB$63,2,FALSE),"")</f>
        <v/>
      </c>
      <c r="AA1795" s="45" t="str">
        <f>IFERROR(VLOOKUP(B1795,'Pre-Summary'!$CG$6:$CI$70,2,FALSE),"")</f>
        <v/>
      </c>
      <c r="AB1795" s="99">
        <f>IFERROR(VLOOKUP(B1795,'Pre-Summary'!$A$6:$P$178,9,FALSE),AB1796)</f>
        <v>0.30142939521754147</v>
      </c>
      <c r="AC1795" s="10">
        <f>IFERROR(VLOOKUP(Summary!B1795,'Pre-Summary'!$A$6:$P$184,5, FALSE)/100,AC1796)</f>
        <v>0.88337933333333341</v>
      </c>
      <c r="AD1795" s="10">
        <f>IFERROR(VLOOKUP(Summary!B1795,'Pre-Summary'!$A$6:$P$184,3, FALSE)/100,AD1796)</f>
        <v>6.6985666666666666E-2</v>
      </c>
      <c r="AE1795" s="10">
        <f>IFERROR(VLOOKUP(Summary!B1795,'Pre-Summary'!$A$6:$P$184,7, FALSE)/100,AE1796)</f>
        <v>4.9634999999999999E-2</v>
      </c>
      <c r="AF1795" s="99">
        <f t="shared" ref="AF1795:AF1858" si="85">AD1795*AB1795</f>
        <v>2.0191448991577161E-2</v>
      </c>
      <c r="AG1795" s="99">
        <f t="shared" ref="AG1795:AG1858" si="86">AB1795*AE1795</f>
        <v>1.496144803162267E-2</v>
      </c>
      <c r="AH1795" s="10" t="str">
        <f>IFERROR(VLOOKUP(B1795,'Pre-Summary'!$AZ$6:$BE$65,3,FALSE),"")</f>
        <v/>
      </c>
      <c r="AI1795" s="10" t="str">
        <f>IFERROR(VLOOKUP(B1795,'Pre-Summary'!$AZ$6:$BE$65,5,FALSE),"")</f>
        <v/>
      </c>
      <c r="AJ1795" s="10" t="str">
        <f>IFERROR(VLOOKUP(B1795,'Pre-Summary'!$AZ$6:$BE$65,4,FALSE),"")</f>
        <v/>
      </c>
      <c r="AK1795" s="10" t="str">
        <f>IFERROR(VLOOKUP(B1795,'Pre-Summary'!$AZ$6:$BE$65,6,FALSE),"")</f>
        <v/>
      </c>
      <c r="AL1795" s="10" t="str">
        <f>IFERROR(VLOOKUP(B1795,'Pre-Summary'!$BG$6:$BL$44,3,FALSE),"")</f>
        <v/>
      </c>
      <c r="AM1795" s="10" t="str">
        <f>IFERROR(VLOOKUP(B1795,'Pre-Summary'!$BG$6:$BL$44,4,FALSE),"")</f>
        <v/>
      </c>
    </row>
    <row r="1796" spans="2:39" ht="15" customHeight="1" x14ac:dyDescent="0.3">
      <c r="B1796">
        <v>179.3</v>
      </c>
      <c r="C1796" t="str">
        <f>IFERROR(VLOOKUP(B1796,'Pre-Summary'!$DI$6:$DM$23,4,FALSE),"")</f>
        <v/>
      </c>
      <c r="D1796" s="10" t="str">
        <f>IFERROR(VLOOKUP(B1796,'Pre-Summary'!$AT$6:$AX$14,5,FALSE),D1795)</f>
        <v>Wolfe v3: went back to modified wolfe + EDTA and switched CuSO4 to CUCl2</v>
      </c>
      <c r="E1796" s="10" t="str">
        <f>IFERROR(VLOOKUP(B1796,'Pre-Summary'!$AT$6:$AX$15,4,FALSE),"")</f>
        <v/>
      </c>
      <c r="F1796">
        <f>IFERROR(VLOOKUP(B1796,'Pre-Summary'!$AL$6:$AQ$13,6,FALSE),F1795)</f>
        <v>5.9405263157894746E-2</v>
      </c>
      <c r="G1796" t="str">
        <f>IFERROR(VLOOKUP(B1796,'Pre-Summary'!$AE$6:$AJ$85,3,FALSE),"")</f>
        <v/>
      </c>
      <c r="H1796" t="str">
        <f>IFERROR(VLOOKUP(B1796,'Pre-Summary'!$AE$6:$AJ$85,4,FALSE),"")</f>
        <v/>
      </c>
      <c r="I1796" t="str">
        <f>IFERROR(VLOOKUP(B1796,'Pre-Summary'!$AE$6:$AJ$85,5,FALSE),"")</f>
        <v/>
      </c>
      <c r="J1796" s="45" t="str">
        <f>IFERROR(VLOOKUP(B1796,'Pre-Summary'!$AE$6:$AJ$85,6, FALSE),"")</f>
        <v/>
      </c>
      <c r="K1796" s="45" t="str">
        <f>IFERROR(VLOOKUP(B1796,'Pre-Summary'!$DE$6:$DG$61,3,FALSE),"")</f>
        <v/>
      </c>
      <c r="L1796" s="45" t="str">
        <f>IFERROR(VLOOKUP(B1796,'Pre-Summary'!$CU$6:$CW$36,3,FALSE),"")</f>
        <v/>
      </c>
      <c r="M1796" s="45" t="str">
        <f>IFERROR(VLOOKUP(B1796,'Pre-Summary'!$BW$6:$BY$58,2,FALSE),"")</f>
        <v/>
      </c>
      <c r="N1796" s="45" t="str">
        <f>IFERROR(VLOOKUP(B1796,'Pre-Summary'!$CD$6:$CF$64,2,FALSE),"")</f>
        <v/>
      </c>
      <c r="O1796" s="99">
        <f>IFERROR(VLOOKUP(B1796,'Pre-Summary'!$BO$6:$BQ$48,3, FALSE),O1795)</f>
        <v>1.25</v>
      </c>
      <c r="P1796" s="99">
        <f>IFERROR(VLOOKUP(B1796,'Pre-Summary'!$BS$6:$BU$35,3,FALSE),P1795)</f>
        <v>0.33700000000000002</v>
      </c>
      <c r="Q1796" s="54">
        <f t="shared" si="84"/>
        <v>3.7091988130563798</v>
      </c>
      <c r="R1796" s="53">
        <f>IFERROR(VLOOKUP(B1796,'Pre-Summary'!$BG$6:$BM$44,7,FALSE),R1797)</f>
        <v>8.0894687007659741E-2</v>
      </c>
      <c r="S1796" s="53">
        <f>IFERROR(VLOOKUP(B1796,'Pre-Summary'!$BG$6:$BM$44,6,FALSE),S1797)</f>
        <v>6.1014931296205117E-2</v>
      </c>
      <c r="T1796" s="45" t="str">
        <f>IFERROR(VLOOKUP(B1796,'Pre-Summary'!$Y$6:$AC$83, 3,FALSE),"")</f>
        <v/>
      </c>
      <c r="U1796" s="45" t="str">
        <f>IFERROR(VLOOKUP(B1796,'Pre-Summary'!$Y$6:$AC$83, 4,FALSE),"")</f>
        <v/>
      </c>
      <c r="V1796" t="str">
        <f>IFERROR(VLOOKUP(B1796,'Pre-Summary'!$Y$6:$AC$83, 5,FALSE),"")</f>
        <v/>
      </c>
      <c r="W1796" s="45" t="str">
        <f>IFERROR(VLOOKUP(B1796,'Pre-Summary'!$Y$6:$AD$83,6,FALSE),"")</f>
        <v/>
      </c>
      <c r="X1796" t="str">
        <f>IFERROR(VLOOKUP('Pre-Summary'!$DB$6:$DD$63,3,FALSE),"")</f>
        <v/>
      </c>
      <c r="Y1796" t="str">
        <f>IFERROR(VLOOKUP(B1796,'Pre-Summary'!$CR$6:$CT$36,3,FALSE),"")</f>
        <v/>
      </c>
      <c r="Z1796" s="45" t="str">
        <f>IFERROR(VLOOKUP(B1796,'Pre-Summary'!$BZ$6:$CB$63,2,FALSE),"")</f>
        <v/>
      </c>
      <c r="AA1796" s="45" t="str">
        <f>IFERROR(VLOOKUP(B1796,'Pre-Summary'!$CG$6:$CI$70,2,FALSE),"")</f>
        <v/>
      </c>
      <c r="AB1796" s="99">
        <f>IFERROR(VLOOKUP(B1796,'Pre-Summary'!$A$6:$P$178,9,FALSE),AB1797)</f>
        <v>0.30142939521754147</v>
      </c>
      <c r="AC1796" s="10">
        <f>IFERROR(VLOOKUP(Summary!B1796,'Pre-Summary'!$A$6:$P$184,5, FALSE)/100,AC1797)</f>
        <v>0.88337933333333341</v>
      </c>
      <c r="AD1796" s="10">
        <f>IFERROR(VLOOKUP(Summary!B1796,'Pre-Summary'!$A$6:$P$184,3, FALSE)/100,AD1797)</f>
        <v>6.6985666666666666E-2</v>
      </c>
      <c r="AE1796" s="10">
        <f>IFERROR(VLOOKUP(Summary!B1796,'Pre-Summary'!$A$6:$P$184,7, FALSE)/100,AE1797)</f>
        <v>4.9634999999999999E-2</v>
      </c>
      <c r="AF1796" s="99">
        <f t="shared" si="85"/>
        <v>2.0191448991577161E-2</v>
      </c>
      <c r="AG1796" s="99">
        <f t="shared" si="86"/>
        <v>1.496144803162267E-2</v>
      </c>
      <c r="AH1796" s="10" t="str">
        <f>IFERROR(VLOOKUP(B1796,'Pre-Summary'!$AZ$6:$BE$65,3,FALSE),"")</f>
        <v/>
      </c>
      <c r="AI1796" s="10" t="str">
        <f>IFERROR(VLOOKUP(B1796,'Pre-Summary'!$AZ$6:$BE$65,5,FALSE),"")</f>
        <v/>
      </c>
      <c r="AJ1796" s="10" t="str">
        <f>IFERROR(VLOOKUP(B1796,'Pre-Summary'!$AZ$6:$BE$65,4,FALSE),"")</f>
        <v/>
      </c>
      <c r="AK1796" s="10" t="str">
        <f>IFERROR(VLOOKUP(B1796,'Pre-Summary'!$AZ$6:$BE$65,6,FALSE),"")</f>
        <v/>
      </c>
      <c r="AL1796" s="10" t="str">
        <f>IFERROR(VLOOKUP(B1796,'Pre-Summary'!$BG$6:$BL$44,3,FALSE),"")</f>
        <v/>
      </c>
      <c r="AM1796" s="10" t="str">
        <f>IFERROR(VLOOKUP(B1796,'Pre-Summary'!$BG$6:$BL$44,4,FALSE),"")</f>
        <v/>
      </c>
    </row>
    <row r="1797" spans="2:39" ht="15" customHeight="1" x14ac:dyDescent="0.3">
      <c r="B1797">
        <v>179.4</v>
      </c>
      <c r="C1797" t="str">
        <f>IFERROR(VLOOKUP(B1797,'Pre-Summary'!$DI$6:$DM$23,4,FALSE),"")</f>
        <v/>
      </c>
      <c r="D1797" s="10" t="str">
        <f>IFERROR(VLOOKUP(B1797,'Pre-Summary'!$AT$6:$AX$14,5,FALSE),D1796)</f>
        <v>Wolfe v3: went back to modified wolfe + EDTA and switched CuSO4 to CUCl2</v>
      </c>
      <c r="E1797" s="10" t="str">
        <f>IFERROR(VLOOKUP(B1797,'Pre-Summary'!$AT$6:$AX$15,4,FALSE),"")</f>
        <v/>
      </c>
      <c r="F1797">
        <f>IFERROR(VLOOKUP(B1797,'Pre-Summary'!$AL$6:$AQ$13,6,FALSE),F1796)</f>
        <v>5.9405263157894746E-2</v>
      </c>
      <c r="G1797" t="str">
        <f>IFERROR(VLOOKUP(B1797,'Pre-Summary'!$AE$6:$AJ$85,3,FALSE),"")</f>
        <v/>
      </c>
      <c r="H1797" t="str">
        <f>IFERROR(VLOOKUP(B1797,'Pre-Summary'!$AE$6:$AJ$85,4,FALSE),"")</f>
        <v/>
      </c>
      <c r="I1797" t="str">
        <f>IFERROR(VLOOKUP(B1797,'Pre-Summary'!$AE$6:$AJ$85,5,FALSE),"")</f>
        <v/>
      </c>
      <c r="J1797" s="45" t="str">
        <f>IFERROR(VLOOKUP(B1797,'Pre-Summary'!$AE$6:$AJ$85,6, FALSE),"")</f>
        <v/>
      </c>
      <c r="K1797" s="45" t="str">
        <f>IFERROR(VLOOKUP(B1797,'Pre-Summary'!$DE$6:$DG$61,3,FALSE),"")</f>
        <v/>
      </c>
      <c r="L1797" s="45" t="str">
        <f>IFERROR(VLOOKUP(B1797,'Pre-Summary'!$CU$6:$CW$36,3,FALSE),"")</f>
        <v/>
      </c>
      <c r="M1797" s="45" t="str">
        <f>IFERROR(VLOOKUP(B1797,'Pre-Summary'!$BW$6:$BY$58,2,FALSE),"")</f>
        <v/>
      </c>
      <c r="N1797" s="45" t="str">
        <f>IFERROR(VLOOKUP(B1797,'Pre-Summary'!$CD$6:$CF$64,2,FALSE),"")</f>
        <v/>
      </c>
      <c r="O1797" s="99">
        <f>IFERROR(VLOOKUP(B1797,'Pre-Summary'!$BO$6:$BQ$48,3, FALSE),O1796)</f>
        <v>1.25</v>
      </c>
      <c r="P1797" s="99">
        <f>IFERROR(VLOOKUP(B1797,'Pre-Summary'!$BS$6:$BU$35,3,FALSE),P1796)</f>
        <v>0.33700000000000002</v>
      </c>
      <c r="Q1797" s="54">
        <f t="shared" si="84"/>
        <v>3.7091988130563798</v>
      </c>
      <c r="R1797" s="53">
        <f>IFERROR(VLOOKUP(B1797,'Pre-Summary'!$BG$6:$BM$44,7,FALSE),R1798)</f>
        <v>8.0894687007659741E-2</v>
      </c>
      <c r="S1797" s="53">
        <f>IFERROR(VLOOKUP(B1797,'Pre-Summary'!$BG$6:$BM$44,6,FALSE),S1798)</f>
        <v>6.1014931296205117E-2</v>
      </c>
      <c r="T1797" s="45" t="str">
        <f>IFERROR(VLOOKUP(B1797,'Pre-Summary'!$Y$6:$AC$83, 3,FALSE),"")</f>
        <v/>
      </c>
      <c r="U1797" s="45" t="str">
        <f>IFERROR(VLOOKUP(B1797,'Pre-Summary'!$Y$6:$AC$83, 4,FALSE),"")</f>
        <v/>
      </c>
      <c r="V1797" t="str">
        <f>IFERROR(VLOOKUP(B1797,'Pre-Summary'!$Y$6:$AC$83, 5,FALSE),"")</f>
        <v/>
      </c>
      <c r="W1797" s="45" t="str">
        <f>IFERROR(VLOOKUP(B1797,'Pre-Summary'!$Y$6:$AD$83,6,FALSE),"")</f>
        <v/>
      </c>
      <c r="X1797" t="str">
        <f>IFERROR(VLOOKUP('Pre-Summary'!$DB$6:$DD$63,3,FALSE),"")</f>
        <v/>
      </c>
      <c r="Y1797" t="str">
        <f>IFERROR(VLOOKUP(B1797,'Pre-Summary'!$CR$6:$CT$36,3,FALSE),"")</f>
        <v/>
      </c>
      <c r="Z1797" s="45" t="str">
        <f>IFERROR(VLOOKUP(B1797,'Pre-Summary'!$BZ$6:$CB$63,2,FALSE),"")</f>
        <v/>
      </c>
      <c r="AA1797" s="45" t="str">
        <f>IFERROR(VLOOKUP(B1797,'Pre-Summary'!$CG$6:$CI$70,2,FALSE),"")</f>
        <v/>
      </c>
      <c r="AB1797" s="99">
        <f>IFERROR(VLOOKUP(B1797,'Pre-Summary'!$A$6:$P$178,9,FALSE),AB1798)</f>
        <v>0.30142939521754147</v>
      </c>
      <c r="AC1797" s="10">
        <f>IFERROR(VLOOKUP(Summary!B1797,'Pre-Summary'!$A$6:$P$184,5, FALSE)/100,AC1798)</f>
        <v>0.88337933333333341</v>
      </c>
      <c r="AD1797" s="10">
        <f>IFERROR(VLOOKUP(Summary!B1797,'Pre-Summary'!$A$6:$P$184,3, FALSE)/100,AD1798)</f>
        <v>6.6985666666666666E-2</v>
      </c>
      <c r="AE1797" s="10">
        <f>IFERROR(VLOOKUP(Summary!B1797,'Pre-Summary'!$A$6:$P$184,7, FALSE)/100,AE1798)</f>
        <v>4.9634999999999999E-2</v>
      </c>
      <c r="AF1797" s="99">
        <f t="shared" si="85"/>
        <v>2.0191448991577161E-2</v>
      </c>
      <c r="AG1797" s="99">
        <f t="shared" si="86"/>
        <v>1.496144803162267E-2</v>
      </c>
      <c r="AH1797" s="10" t="str">
        <f>IFERROR(VLOOKUP(B1797,'Pre-Summary'!$AZ$6:$BE$65,3,FALSE),"")</f>
        <v/>
      </c>
      <c r="AI1797" s="10" t="str">
        <f>IFERROR(VLOOKUP(B1797,'Pre-Summary'!$AZ$6:$BE$65,5,FALSE),"")</f>
        <v/>
      </c>
      <c r="AJ1797" s="10" t="str">
        <f>IFERROR(VLOOKUP(B1797,'Pre-Summary'!$AZ$6:$BE$65,4,FALSE),"")</f>
        <v/>
      </c>
      <c r="AK1797" s="10" t="str">
        <f>IFERROR(VLOOKUP(B1797,'Pre-Summary'!$AZ$6:$BE$65,6,FALSE),"")</f>
        <v/>
      </c>
      <c r="AL1797" s="10" t="str">
        <f>IFERROR(VLOOKUP(B1797,'Pre-Summary'!$BG$6:$BL$44,3,FALSE),"")</f>
        <v/>
      </c>
      <c r="AM1797" s="10" t="str">
        <f>IFERROR(VLOOKUP(B1797,'Pre-Summary'!$BG$6:$BL$44,4,FALSE),"")</f>
        <v/>
      </c>
    </row>
    <row r="1798" spans="2:39" ht="15" customHeight="1" x14ac:dyDescent="0.3">
      <c r="B1798">
        <v>179.5</v>
      </c>
      <c r="C1798" t="str">
        <f>IFERROR(VLOOKUP(B1798,'Pre-Summary'!$DI$6:$DM$23,4,FALSE),"")</f>
        <v/>
      </c>
      <c r="D1798" s="10" t="str">
        <f>IFERROR(VLOOKUP(B1798,'Pre-Summary'!$AT$6:$AX$14,5,FALSE),D1797)</f>
        <v>Wolfe v3: went back to modified wolfe + EDTA and switched CuSO4 to CUCl2</v>
      </c>
      <c r="E1798" s="10" t="str">
        <f>IFERROR(VLOOKUP(B1798,'Pre-Summary'!$AT$6:$AX$15,4,FALSE),"")</f>
        <v/>
      </c>
      <c r="F1798">
        <f>IFERROR(VLOOKUP(B1798,'Pre-Summary'!$AL$6:$AQ$13,6,FALSE),F1797)</f>
        <v>5.9405263157894746E-2</v>
      </c>
      <c r="G1798" t="str">
        <f>IFERROR(VLOOKUP(B1798,'Pre-Summary'!$AE$6:$AJ$85,3,FALSE),"")</f>
        <v/>
      </c>
      <c r="H1798" t="str">
        <f>IFERROR(VLOOKUP(B1798,'Pre-Summary'!$AE$6:$AJ$85,4,FALSE),"")</f>
        <v/>
      </c>
      <c r="I1798" t="str">
        <f>IFERROR(VLOOKUP(B1798,'Pre-Summary'!$AE$6:$AJ$85,5,FALSE),"")</f>
        <v/>
      </c>
      <c r="J1798" s="45" t="str">
        <f>IFERROR(VLOOKUP(B1798,'Pre-Summary'!$AE$6:$AJ$85,6, FALSE),"")</f>
        <v/>
      </c>
      <c r="K1798" s="45" t="str">
        <f>IFERROR(VLOOKUP(B1798,'Pre-Summary'!$DE$6:$DG$61,3,FALSE),"")</f>
        <v/>
      </c>
      <c r="L1798" s="45" t="str">
        <f>IFERROR(VLOOKUP(B1798,'Pre-Summary'!$CU$6:$CW$36,3,FALSE),"")</f>
        <v/>
      </c>
      <c r="M1798" s="45" t="str">
        <f>IFERROR(VLOOKUP(B1798,'Pre-Summary'!$BW$6:$BY$58,2,FALSE),"")</f>
        <v/>
      </c>
      <c r="N1798" s="45" t="str">
        <f>IFERROR(VLOOKUP(B1798,'Pre-Summary'!$CD$6:$CF$64,2,FALSE),"")</f>
        <v/>
      </c>
      <c r="O1798" s="99">
        <f>IFERROR(VLOOKUP(B1798,'Pre-Summary'!$BO$6:$BQ$48,3, FALSE),O1797)</f>
        <v>1.25</v>
      </c>
      <c r="P1798" s="99">
        <f>IFERROR(VLOOKUP(B1798,'Pre-Summary'!$BS$6:$BU$35,3,FALSE),P1797)</f>
        <v>0.33700000000000002</v>
      </c>
      <c r="Q1798" s="54">
        <f t="shared" si="84"/>
        <v>3.7091988130563798</v>
      </c>
      <c r="R1798" s="53">
        <f>IFERROR(VLOOKUP(B1798,'Pre-Summary'!$BG$6:$BM$44,7,FALSE),R1799)</f>
        <v>8.0894687007659741E-2</v>
      </c>
      <c r="S1798" s="53">
        <f>IFERROR(VLOOKUP(B1798,'Pre-Summary'!$BG$6:$BM$44,6,FALSE),S1799)</f>
        <v>6.1014931296205117E-2</v>
      </c>
      <c r="T1798" s="45" t="str">
        <f>IFERROR(VLOOKUP(B1798,'Pre-Summary'!$Y$6:$AC$83, 3,FALSE),"")</f>
        <v/>
      </c>
      <c r="U1798" s="45" t="str">
        <f>IFERROR(VLOOKUP(B1798,'Pre-Summary'!$Y$6:$AC$83, 4,FALSE),"")</f>
        <v/>
      </c>
      <c r="V1798" t="str">
        <f>IFERROR(VLOOKUP(B1798,'Pre-Summary'!$Y$6:$AC$83, 5,FALSE),"")</f>
        <v/>
      </c>
      <c r="W1798" s="45" t="str">
        <f>IFERROR(VLOOKUP(B1798,'Pre-Summary'!$Y$6:$AD$83,6,FALSE),"")</f>
        <v/>
      </c>
      <c r="X1798" t="str">
        <f>IFERROR(VLOOKUP('Pre-Summary'!$DB$6:$DD$63,3,FALSE),"")</f>
        <v/>
      </c>
      <c r="Y1798" t="str">
        <f>IFERROR(VLOOKUP(B1798,'Pre-Summary'!$CR$6:$CT$36,3,FALSE),"")</f>
        <v/>
      </c>
      <c r="Z1798" s="45" t="str">
        <f>IFERROR(VLOOKUP(B1798,'Pre-Summary'!$BZ$6:$CB$63,2,FALSE),"")</f>
        <v/>
      </c>
      <c r="AA1798" s="45" t="str">
        <f>IFERROR(VLOOKUP(B1798,'Pre-Summary'!$CG$6:$CI$70,2,FALSE),"")</f>
        <v/>
      </c>
      <c r="AB1798" s="99">
        <f>IFERROR(VLOOKUP(B1798,'Pre-Summary'!$A$6:$P$178,9,FALSE),AB1799)</f>
        <v>0.30142939521754147</v>
      </c>
      <c r="AC1798" s="10">
        <f>IFERROR(VLOOKUP(Summary!B1798,'Pre-Summary'!$A$6:$P$184,5, FALSE)/100,AC1799)</f>
        <v>0.88337933333333341</v>
      </c>
      <c r="AD1798" s="10">
        <f>IFERROR(VLOOKUP(Summary!B1798,'Pre-Summary'!$A$6:$P$184,3, FALSE)/100,AD1799)</f>
        <v>6.6985666666666666E-2</v>
      </c>
      <c r="AE1798" s="10">
        <f>IFERROR(VLOOKUP(Summary!B1798,'Pre-Summary'!$A$6:$P$184,7, FALSE)/100,AE1799)</f>
        <v>4.9634999999999999E-2</v>
      </c>
      <c r="AF1798" s="99">
        <f t="shared" si="85"/>
        <v>2.0191448991577161E-2</v>
      </c>
      <c r="AG1798" s="99">
        <f t="shared" si="86"/>
        <v>1.496144803162267E-2</v>
      </c>
      <c r="AH1798" s="10" t="str">
        <f>IFERROR(VLOOKUP(B1798,'Pre-Summary'!$AZ$6:$BE$65,3,FALSE),"")</f>
        <v/>
      </c>
      <c r="AI1798" s="10" t="str">
        <f>IFERROR(VLOOKUP(B1798,'Pre-Summary'!$AZ$6:$BE$65,5,FALSE),"")</f>
        <v/>
      </c>
      <c r="AJ1798" s="10" t="str">
        <f>IFERROR(VLOOKUP(B1798,'Pre-Summary'!$AZ$6:$BE$65,4,FALSE),"")</f>
        <v/>
      </c>
      <c r="AK1798" s="10" t="str">
        <f>IFERROR(VLOOKUP(B1798,'Pre-Summary'!$AZ$6:$BE$65,6,FALSE),"")</f>
        <v/>
      </c>
      <c r="AL1798" s="10" t="str">
        <f>IFERROR(VLOOKUP(B1798,'Pre-Summary'!$BG$6:$BL$44,3,FALSE),"")</f>
        <v/>
      </c>
      <c r="AM1798" s="10" t="str">
        <f>IFERROR(VLOOKUP(B1798,'Pre-Summary'!$BG$6:$BL$44,4,FALSE),"")</f>
        <v/>
      </c>
    </row>
    <row r="1799" spans="2:39" ht="15" customHeight="1" x14ac:dyDescent="0.3">
      <c r="B1799">
        <v>179.6</v>
      </c>
      <c r="C1799" t="str">
        <f>IFERROR(VLOOKUP(B1799,'Pre-Summary'!$DI$6:$DM$23,4,FALSE),"")</f>
        <v/>
      </c>
      <c r="D1799" s="10" t="str">
        <f>IFERROR(VLOOKUP(B1799,'Pre-Summary'!$AT$6:$AX$14,5,FALSE),D1798)</f>
        <v>Wolfe v3: went back to modified wolfe + EDTA and switched CuSO4 to CUCl2</v>
      </c>
      <c r="E1799" s="10" t="str">
        <f>IFERROR(VLOOKUP(B1799,'Pre-Summary'!$AT$6:$AX$15,4,FALSE),"")</f>
        <v/>
      </c>
      <c r="F1799">
        <f>IFERROR(VLOOKUP(B1799,'Pre-Summary'!$AL$6:$AQ$13,6,FALSE),F1798)</f>
        <v>5.9405263157894746E-2</v>
      </c>
      <c r="G1799" t="str">
        <f>IFERROR(VLOOKUP(B1799,'Pre-Summary'!$AE$6:$AJ$85,3,FALSE),"")</f>
        <v/>
      </c>
      <c r="H1799" t="str">
        <f>IFERROR(VLOOKUP(B1799,'Pre-Summary'!$AE$6:$AJ$85,4,FALSE),"")</f>
        <v/>
      </c>
      <c r="I1799" t="str">
        <f>IFERROR(VLOOKUP(B1799,'Pre-Summary'!$AE$6:$AJ$85,5,FALSE),"")</f>
        <v/>
      </c>
      <c r="J1799" s="45" t="str">
        <f>IFERROR(VLOOKUP(B1799,'Pre-Summary'!$AE$6:$AJ$85,6, FALSE),"")</f>
        <v/>
      </c>
      <c r="K1799" s="45" t="str">
        <f>IFERROR(VLOOKUP(B1799,'Pre-Summary'!$DE$6:$DG$61,3,FALSE),"")</f>
        <v/>
      </c>
      <c r="L1799" s="45" t="str">
        <f>IFERROR(VLOOKUP(B1799,'Pre-Summary'!$CU$6:$CW$36,3,FALSE),"")</f>
        <v/>
      </c>
      <c r="M1799" s="45" t="str">
        <f>IFERROR(VLOOKUP(B1799,'Pre-Summary'!$BW$6:$BY$58,2,FALSE),"")</f>
        <v/>
      </c>
      <c r="N1799" s="45" t="str">
        <f>IFERROR(VLOOKUP(B1799,'Pre-Summary'!$CD$6:$CF$64,2,FALSE),"")</f>
        <v/>
      </c>
      <c r="O1799" s="99">
        <f>IFERROR(VLOOKUP(B1799,'Pre-Summary'!$BO$6:$BQ$48,3, FALSE),O1798)</f>
        <v>1.25</v>
      </c>
      <c r="P1799" s="99">
        <f>IFERROR(VLOOKUP(B1799,'Pre-Summary'!$BS$6:$BU$35,3,FALSE),P1798)</f>
        <v>0.33700000000000002</v>
      </c>
      <c r="Q1799" s="54">
        <f t="shared" si="84"/>
        <v>3.7091988130563798</v>
      </c>
      <c r="R1799" s="53">
        <f>IFERROR(VLOOKUP(B1799,'Pre-Summary'!$BG$6:$BM$44,7,FALSE),R1800)</f>
        <v>8.0894687007659741E-2</v>
      </c>
      <c r="S1799" s="53">
        <f>IFERROR(VLOOKUP(B1799,'Pre-Summary'!$BG$6:$BM$44,6,FALSE),S1800)</f>
        <v>6.1014931296205117E-2</v>
      </c>
      <c r="T1799" s="45" t="str">
        <f>IFERROR(VLOOKUP(B1799,'Pre-Summary'!$Y$6:$AC$83, 3,FALSE),"")</f>
        <v/>
      </c>
      <c r="U1799" s="45" t="str">
        <f>IFERROR(VLOOKUP(B1799,'Pre-Summary'!$Y$6:$AC$83, 4,FALSE),"")</f>
        <v/>
      </c>
      <c r="V1799" t="str">
        <f>IFERROR(VLOOKUP(B1799,'Pre-Summary'!$Y$6:$AC$83, 5,FALSE),"")</f>
        <v/>
      </c>
      <c r="W1799" s="45" t="str">
        <f>IFERROR(VLOOKUP(B1799,'Pre-Summary'!$Y$6:$AD$83,6,FALSE),"")</f>
        <v/>
      </c>
      <c r="X1799" t="str">
        <f>IFERROR(VLOOKUP('Pre-Summary'!$DB$6:$DD$63,3,FALSE),"")</f>
        <v/>
      </c>
      <c r="Y1799" t="str">
        <f>IFERROR(VLOOKUP(B1799,'Pre-Summary'!$CR$6:$CT$36,3,FALSE),"")</f>
        <v/>
      </c>
      <c r="Z1799" s="45" t="str">
        <f>IFERROR(VLOOKUP(B1799,'Pre-Summary'!$BZ$6:$CB$63,2,FALSE),"")</f>
        <v/>
      </c>
      <c r="AA1799" s="45" t="str">
        <f>IFERROR(VLOOKUP(B1799,'Pre-Summary'!$CG$6:$CI$70,2,FALSE),"")</f>
        <v/>
      </c>
      <c r="AB1799" s="99">
        <f>IFERROR(VLOOKUP(B1799,'Pre-Summary'!$A$6:$P$178,9,FALSE),AB1800)</f>
        <v>0.30142939521754147</v>
      </c>
      <c r="AC1799" s="10">
        <f>IFERROR(VLOOKUP(Summary!B1799,'Pre-Summary'!$A$6:$P$184,5, FALSE)/100,AC1800)</f>
        <v>0.88337933333333341</v>
      </c>
      <c r="AD1799" s="10">
        <f>IFERROR(VLOOKUP(Summary!B1799,'Pre-Summary'!$A$6:$P$184,3, FALSE)/100,AD1800)</f>
        <v>6.6985666666666666E-2</v>
      </c>
      <c r="AE1799" s="10">
        <f>IFERROR(VLOOKUP(Summary!B1799,'Pre-Summary'!$A$6:$P$184,7, FALSE)/100,AE1800)</f>
        <v>4.9634999999999999E-2</v>
      </c>
      <c r="AF1799" s="99">
        <f t="shared" si="85"/>
        <v>2.0191448991577161E-2</v>
      </c>
      <c r="AG1799" s="99">
        <f t="shared" si="86"/>
        <v>1.496144803162267E-2</v>
      </c>
      <c r="AH1799" s="10" t="str">
        <f>IFERROR(VLOOKUP(B1799,'Pre-Summary'!$AZ$6:$BE$65,3,FALSE),"")</f>
        <v/>
      </c>
      <c r="AI1799" s="10" t="str">
        <f>IFERROR(VLOOKUP(B1799,'Pre-Summary'!$AZ$6:$BE$65,5,FALSE),"")</f>
        <v/>
      </c>
      <c r="AJ1799" s="10" t="str">
        <f>IFERROR(VLOOKUP(B1799,'Pre-Summary'!$AZ$6:$BE$65,4,FALSE),"")</f>
        <v/>
      </c>
      <c r="AK1799" s="10" t="str">
        <f>IFERROR(VLOOKUP(B1799,'Pre-Summary'!$AZ$6:$BE$65,6,FALSE),"")</f>
        <v/>
      </c>
      <c r="AL1799" s="10" t="str">
        <f>IFERROR(VLOOKUP(B1799,'Pre-Summary'!$BG$6:$BL$44,3,FALSE),"")</f>
        <v/>
      </c>
      <c r="AM1799" s="10" t="str">
        <f>IFERROR(VLOOKUP(B1799,'Pre-Summary'!$BG$6:$BL$44,4,FALSE),"")</f>
        <v/>
      </c>
    </row>
    <row r="1800" spans="2:39" ht="15" customHeight="1" x14ac:dyDescent="0.3">
      <c r="B1800">
        <v>179.7</v>
      </c>
      <c r="C1800" t="str">
        <f>IFERROR(VLOOKUP(B1800,'Pre-Summary'!$DI$6:$DM$23,4,FALSE),"")</f>
        <v/>
      </c>
      <c r="D1800" s="10" t="str">
        <f>IFERROR(VLOOKUP(B1800,'Pre-Summary'!$AT$6:$AX$14,5,FALSE),D1799)</f>
        <v>Wolfe v3: went back to modified wolfe + EDTA and switched CuSO4 to CUCl2</v>
      </c>
      <c r="E1800" s="10" t="str">
        <f>IFERROR(VLOOKUP(B1800,'Pre-Summary'!$AT$6:$AX$15,4,FALSE),"")</f>
        <v/>
      </c>
      <c r="F1800">
        <f>IFERROR(VLOOKUP(B1800,'Pre-Summary'!$AL$6:$AQ$13,6,FALSE),F1799)</f>
        <v>5.9405263157894746E-2</v>
      </c>
      <c r="G1800" t="str">
        <f>IFERROR(VLOOKUP(B1800,'Pre-Summary'!$AE$6:$AJ$85,3,FALSE),"")</f>
        <v/>
      </c>
      <c r="H1800" t="str">
        <f>IFERROR(VLOOKUP(B1800,'Pre-Summary'!$AE$6:$AJ$85,4,FALSE),"")</f>
        <v/>
      </c>
      <c r="I1800" t="str">
        <f>IFERROR(VLOOKUP(B1800,'Pre-Summary'!$AE$6:$AJ$85,5,FALSE),"")</f>
        <v/>
      </c>
      <c r="J1800" s="45" t="str">
        <f>IFERROR(VLOOKUP(B1800,'Pre-Summary'!$AE$6:$AJ$85,6, FALSE),"")</f>
        <v/>
      </c>
      <c r="K1800" s="45" t="str">
        <f>IFERROR(VLOOKUP(B1800,'Pre-Summary'!$DE$6:$DG$61,3,FALSE),"")</f>
        <v/>
      </c>
      <c r="L1800" s="45" t="str">
        <f>IFERROR(VLOOKUP(B1800,'Pre-Summary'!$CU$6:$CW$36,3,FALSE),"")</f>
        <v/>
      </c>
      <c r="M1800" s="45" t="str">
        <f>IFERROR(VLOOKUP(B1800,'Pre-Summary'!$BW$6:$BY$58,2,FALSE),"")</f>
        <v/>
      </c>
      <c r="N1800" s="45" t="str">
        <f>IFERROR(VLOOKUP(B1800,'Pre-Summary'!$CD$6:$CF$64,2,FALSE),"")</f>
        <v/>
      </c>
      <c r="O1800" s="99">
        <f>IFERROR(VLOOKUP(B1800,'Pre-Summary'!$BO$6:$BQ$48,3, FALSE),O1799)</f>
        <v>1.25</v>
      </c>
      <c r="P1800" s="99">
        <f>IFERROR(VLOOKUP(B1800,'Pre-Summary'!$BS$6:$BU$35,3,FALSE),P1799)</f>
        <v>0.33700000000000002</v>
      </c>
      <c r="Q1800" s="54">
        <f t="shared" si="84"/>
        <v>3.7091988130563798</v>
      </c>
      <c r="R1800" s="53">
        <f>IFERROR(VLOOKUP(B1800,'Pre-Summary'!$BG$6:$BM$44,7,FALSE),R1801)</f>
        <v>8.0894687007659741E-2</v>
      </c>
      <c r="S1800" s="53">
        <f>IFERROR(VLOOKUP(B1800,'Pre-Summary'!$BG$6:$BM$44,6,FALSE),S1801)</f>
        <v>6.1014931296205117E-2</v>
      </c>
      <c r="T1800" s="45" t="str">
        <f>IFERROR(VLOOKUP(B1800,'Pre-Summary'!$Y$6:$AC$83, 3,FALSE),"")</f>
        <v/>
      </c>
      <c r="U1800" s="45" t="str">
        <f>IFERROR(VLOOKUP(B1800,'Pre-Summary'!$Y$6:$AC$83, 4,FALSE),"")</f>
        <v/>
      </c>
      <c r="V1800" t="str">
        <f>IFERROR(VLOOKUP(B1800,'Pre-Summary'!$Y$6:$AC$83, 5,FALSE),"")</f>
        <v/>
      </c>
      <c r="W1800" s="45" t="str">
        <f>IFERROR(VLOOKUP(B1800,'Pre-Summary'!$Y$6:$AD$83,6,FALSE),"")</f>
        <v/>
      </c>
      <c r="X1800" t="str">
        <f>IFERROR(VLOOKUP('Pre-Summary'!$DB$6:$DD$63,3,FALSE),"")</f>
        <v/>
      </c>
      <c r="Y1800" t="str">
        <f>IFERROR(VLOOKUP(B1800,'Pre-Summary'!$CR$6:$CT$36,3,FALSE),"")</f>
        <v/>
      </c>
      <c r="Z1800" s="45" t="str">
        <f>IFERROR(VLOOKUP(B1800,'Pre-Summary'!$BZ$6:$CB$63,2,FALSE),"")</f>
        <v/>
      </c>
      <c r="AA1800" s="45" t="str">
        <f>IFERROR(VLOOKUP(B1800,'Pre-Summary'!$CG$6:$CI$70,2,FALSE),"")</f>
        <v/>
      </c>
      <c r="AB1800" s="99">
        <f>IFERROR(VLOOKUP(B1800,'Pre-Summary'!$A$6:$P$178,9,FALSE),AB1801)</f>
        <v>0.30142939521754147</v>
      </c>
      <c r="AC1800" s="10">
        <f>IFERROR(VLOOKUP(Summary!B1800,'Pre-Summary'!$A$6:$P$184,5, FALSE)/100,AC1801)</f>
        <v>0.88337933333333341</v>
      </c>
      <c r="AD1800" s="10">
        <f>IFERROR(VLOOKUP(Summary!B1800,'Pre-Summary'!$A$6:$P$184,3, FALSE)/100,AD1801)</f>
        <v>6.6985666666666666E-2</v>
      </c>
      <c r="AE1800" s="10">
        <f>IFERROR(VLOOKUP(Summary!B1800,'Pre-Summary'!$A$6:$P$184,7, FALSE)/100,AE1801)</f>
        <v>4.9634999999999999E-2</v>
      </c>
      <c r="AF1800" s="99">
        <f t="shared" si="85"/>
        <v>2.0191448991577161E-2</v>
      </c>
      <c r="AG1800" s="99">
        <f t="shared" si="86"/>
        <v>1.496144803162267E-2</v>
      </c>
      <c r="AH1800" s="10" t="str">
        <f>IFERROR(VLOOKUP(B1800,'Pre-Summary'!$AZ$6:$BE$65,3,FALSE),"")</f>
        <v/>
      </c>
      <c r="AI1800" s="10" t="str">
        <f>IFERROR(VLOOKUP(B1800,'Pre-Summary'!$AZ$6:$BE$65,5,FALSE),"")</f>
        <v/>
      </c>
      <c r="AJ1800" s="10" t="str">
        <f>IFERROR(VLOOKUP(B1800,'Pre-Summary'!$AZ$6:$BE$65,4,FALSE),"")</f>
        <v/>
      </c>
      <c r="AK1800" s="10" t="str">
        <f>IFERROR(VLOOKUP(B1800,'Pre-Summary'!$AZ$6:$BE$65,6,FALSE),"")</f>
        <v/>
      </c>
      <c r="AL1800" s="10" t="str">
        <f>IFERROR(VLOOKUP(B1800,'Pre-Summary'!$BG$6:$BL$44,3,FALSE),"")</f>
        <v/>
      </c>
      <c r="AM1800" s="10" t="str">
        <f>IFERROR(VLOOKUP(B1800,'Pre-Summary'!$BG$6:$BL$44,4,FALSE),"")</f>
        <v/>
      </c>
    </row>
    <row r="1801" spans="2:39" ht="15" customHeight="1" x14ac:dyDescent="0.3">
      <c r="B1801">
        <v>179.8</v>
      </c>
      <c r="C1801" t="str">
        <f>IFERROR(VLOOKUP(B1801,'Pre-Summary'!$DI$6:$DM$23,4,FALSE),"")</f>
        <v/>
      </c>
      <c r="D1801" s="10" t="str">
        <f>IFERROR(VLOOKUP(B1801,'Pre-Summary'!$AT$6:$AX$14,5,FALSE),D1800)</f>
        <v>Wolfe v3: went back to modified wolfe + EDTA and switched CuSO4 to CUCl2</v>
      </c>
      <c r="E1801" s="10" t="str">
        <f>IFERROR(VLOOKUP(B1801,'Pre-Summary'!$AT$6:$AX$15,4,FALSE),"")</f>
        <v/>
      </c>
      <c r="F1801">
        <f>IFERROR(VLOOKUP(B1801,'Pre-Summary'!$AL$6:$AQ$13,6,FALSE),F1800)</f>
        <v>5.9405263157894746E-2</v>
      </c>
      <c r="G1801" t="str">
        <f>IFERROR(VLOOKUP(B1801,'Pre-Summary'!$AE$6:$AJ$85,3,FALSE),"")</f>
        <v/>
      </c>
      <c r="H1801" t="str">
        <f>IFERROR(VLOOKUP(B1801,'Pre-Summary'!$AE$6:$AJ$85,4,FALSE),"")</f>
        <v/>
      </c>
      <c r="I1801" t="str">
        <f>IFERROR(VLOOKUP(B1801,'Pre-Summary'!$AE$6:$AJ$85,5,FALSE),"")</f>
        <v/>
      </c>
      <c r="J1801" s="45" t="str">
        <f>IFERROR(VLOOKUP(B1801,'Pre-Summary'!$AE$6:$AJ$85,6, FALSE),"")</f>
        <v/>
      </c>
      <c r="K1801" s="45" t="str">
        <f>IFERROR(VLOOKUP(B1801,'Pre-Summary'!$DE$6:$DG$61,3,FALSE),"")</f>
        <v/>
      </c>
      <c r="L1801" s="45" t="str">
        <f>IFERROR(VLOOKUP(B1801,'Pre-Summary'!$CU$6:$CW$36,3,FALSE),"")</f>
        <v/>
      </c>
      <c r="M1801" s="45" t="str">
        <f>IFERROR(VLOOKUP(B1801,'Pre-Summary'!$BW$6:$BY$58,2,FALSE),"")</f>
        <v/>
      </c>
      <c r="N1801" s="45" t="str">
        <f>IFERROR(VLOOKUP(B1801,'Pre-Summary'!$CD$6:$CF$64,2,FALSE),"")</f>
        <v/>
      </c>
      <c r="O1801" s="99">
        <f>IFERROR(VLOOKUP(B1801,'Pre-Summary'!$BO$6:$BQ$48,3, FALSE),O1800)</f>
        <v>1.25</v>
      </c>
      <c r="P1801" s="99">
        <f>IFERROR(VLOOKUP(B1801,'Pre-Summary'!$BS$6:$BU$35,3,FALSE),P1800)</f>
        <v>0.33700000000000002</v>
      </c>
      <c r="Q1801" s="54">
        <f t="shared" si="84"/>
        <v>3.7091988130563798</v>
      </c>
      <c r="R1801" s="53">
        <f>IFERROR(VLOOKUP(B1801,'Pre-Summary'!$BG$6:$BM$44,7,FALSE),R1802)</f>
        <v>8.0894687007659741E-2</v>
      </c>
      <c r="S1801" s="53">
        <f>IFERROR(VLOOKUP(B1801,'Pre-Summary'!$BG$6:$BM$44,6,FALSE),S1802)</f>
        <v>6.1014931296205117E-2</v>
      </c>
      <c r="T1801" s="45" t="str">
        <f>IFERROR(VLOOKUP(B1801,'Pre-Summary'!$Y$6:$AC$83, 3,FALSE),"")</f>
        <v/>
      </c>
      <c r="U1801" s="45" t="str">
        <f>IFERROR(VLOOKUP(B1801,'Pre-Summary'!$Y$6:$AC$83, 4,FALSE),"")</f>
        <v/>
      </c>
      <c r="V1801" t="str">
        <f>IFERROR(VLOOKUP(B1801,'Pre-Summary'!$Y$6:$AC$83, 5,FALSE),"")</f>
        <v/>
      </c>
      <c r="W1801" s="45" t="str">
        <f>IFERROR(VLOOKUP(B1801,'Pre-Summary'!$Y$6:$AD$83,6,FALSE),"")</f>
        <v/>
      </c>
      <c r="X1801" t="str">
        <f>IFERROR(VLOOKUP('Pre-Summary'!$DB$6:$DD$63,3,FALSE),"")</f>
        <v/>
      </c>
      <c r="Y1801" t="str">
        <f>IFERROR(VLOOKUP(B1801,'Pre-Summary'!$CR$6:$CT$36,3,FALSE),"")</f>
        <v/>
      </c>
      <c r="Z1801" s="45" t="str">
        <f>IFERROR(VLOOKUP(B1801,'Pre-Summary'!$BZ$6:$CB$63,2,FALSE),"")</f>
        <v/>
      </c>
      <c r="AA1801" s="45" t="str">
        <f>IFERROR(VLOOKUP(B1801,'Pre-Summary'!$CG$6:$CI$70,2,FALSE),"")</f>
        <v/>
      </c>
      <c r="AB1801" s="99">
        <f>IFERROR(VLOOKUP(B1801,'Pre-Summary'!$A$6:$P$178,9,FALSE),AB1802)</f>
        <v>0.30142939521754147</v>
      </c>
      <c r="AC1801" s="10">
        <f>IFERROR(VLOOKUP(Summary!B1801,'Pre-Summary'!$A$6:$P$184,5, FALSE)/100,AC1802)</f>
        <v>0.88337933333333341</v>
      </c>
      <c r="AD1801" s="10">
        <f>IFERROR(VLOOKUP(Summary!B1801,'Pre-Summary'!$A$6:$P$184,3, FALSE)/100,AD1802)</f>
        <v>6.6985666666666666E-2</v>
      </c>
      <c r="AE1801" s="10">
        <f>IFERROR(VLOOKUP(Summary!B1801,'Pre-Summary'!$A$6:$P$184,7, FALSE)/100,AE1802)</f>
        <v>4.9634999999999999E-2</v>
      </c>
      <c r="AF1801" s="99">
        <f t="shared" si="85"/>
        <v>2.0191448991577161E-2</v>
      </c>
      <c r="AG1801" s="99">
        <f t="shared" si="86"/>
        <v>1.496144803162267E-2</v>
      </c>
      <c r="AH1801" s="10" t="str">
        <f>IFERROR(VLOOKUP(B1801,'Pre-Summary'!$AZ$6:$BE$65,3,FALSE),"")</f>
        <v/>
      </c>
      <c r="AI1801" s="10" t="str">
        <f>IFERROR(VLOOKUP(B1801,'Pre-Summary'!$AZ$6:$BE$65,5,FALSE),"")</f>
        <v/>
      </c>
      <c r="AJ1801" s="10" t="str">
        <f>IFERROR(VLOOKUP(B1801,'Pre-Summary'!$AZ$6:$BE$65,4,FALSE),"")</f>
        <v/>
      </c>
      <c r="AK1801" s="10" t="str">
        <f>IFERROR(VLOOKUP(B1801,'Pre-Summary'!$AZ$6:$BE$65,6,FALSE),"")</f>
        <v/>
      </c>
      <c r="AL1801" s="10" t="str">
        <f>IFERROR(VLOOKUP(B1801,'Pre-Summary'!$BG$6:$BL$44,3,FALSE),"")</f>
        <v/>
      </c>
      <c r="AM1801" s="10" t="str">
        <f>IFERROR(VLOOKUP(B1801,'Pre-Summary'!$BG$6:$BL$44,4,FALSE),"")</f>
        <v/>
      </c>
    </row>
    <row r="1802" spans="2:39" ht="15" customHeight="1" x14ac:dyDescent="0.3">
      <c r="B1802">
        <v>179.9</v>
      </c>
      <c r="C1802" t="str">
        <f>IFERROR(VLOOKUP(B1802,'Pre-Summary'!$DI$6:$DM$23,4,FALSE),"")</f>
        <v/>
      </c>
      <c r="D1802" s="10" t="str">
        <f>IFERROR(VLOOKUP(B1802,'Pre-Summary'!$AT$6:$AX$14,5,FALSE),D1801)</f>
        <v>Wolfe v3: went back to modified wolfe + EDTA and switched CuSO4 to CUCl2</v>
      </c>
      <c r="E1802" s="10" t="str">
        <f>IFERROR(VLOOKUP(B1802,'Pre-Summary'!$AT$6:$AX$15,4,FALSE),"")</f>
        <v/>
      </c>
      <c r="F1802">
        <f>IFERROR(VLOOKUP(B1802,'Pre-Summary'!$AL$6:$AQ$13,6,FALSE),F1801)</f>
        <v>5.9405263157894746E-2</v>
      </c>
      <c r="G1802" t="str">
        <f>IFERROR(VLOOKUP(B1802,'Pre-Summary'!$AE$6:$AJ$85,3,FALSE),"")</f>
        <v/>
      </c>
      <c r="H1802" t="str">
        <f>IFERROR(VLOOKUP(B1802,'Pre-Summary'!$AE$6:$AJ$85,4,FALSE),"")</f>
        <v/>
      </c>
      <c r="I1802" t="str">
        <f>IFERROR(VLOOKUP(B1802,'Pre-Summary'!$AE$6:$AJ$85,5,FALSE),"")</f>
        <v/>
      </c>
      <c r="J1802" s="45" t="str">
        <f>IFERROR(VLOOKUP(B1802,'Pre-Summary'!$AE$6:$AJ$85,6, FALSE),"")</f>
        <v/>
      </c>
      <c r="K1802" s="45" t="str">
        <f>IFERROR(VLOOKUP(B1802,'Pre-Summary'!$DE$6:$DG$61,3,FALSE),"")</f>
        <v/>
      </c>
      <c r="L1802" s="45" t="str">
        <f>IFERROR(VLOOKUP(B1802,'Pre-Summary'!$CU$6:$CW$36,3,FALSE),"")</f>
        <v/>
      </c>
      <c r="M1802" s="45" t="str">
        <f>IFERROR(VLOOKUP(B1802,'Pre-Summary'!$BW$6:$BY$58,2,FALSE),"")</f>
        <v/>
      </c>
      <c r="N1802" s="45" t="str">
        <f>IFERROR(VLOOKUP(B1802,'Pre-Summary'!$CD$6:$CF$64,2,FALSE),"")</f>
        <v/>
      </c>
      <c r="O1802" s="99">
        <f>IFERROR(VLOOKUP(B1802,'Pre-Summary'!$BO$6:$BQ$48,3, FALSE),O1801)</f>
        <v>1.25</v>
      </c>
      <c r="P1802" s="99">
        <f>IFERROR(VLOOKUP(B1802,'Pre-Summary'!$BS$6:$BU$35,3,FALSE),P1801)</f>
        <v>0.33700000000000002</v>
      </c>
      <c r="Q1802" s="54">
        <f t="shared" si="84"/>
        <v>3.7091988130563798</v>
      </c>
      <c r="R1802" s="53">
        <f>IFERROR(VLOOKUP(B1802,'Pre-Summary'!$BG$6:$BM$44,7,FALSE),R1803)</f>
        <v>8.0894687007659741E-2</v>
      </c>
      <c r="S1802" s="53">
        <f>IFERROR(VLOOKUP(B1802,'Pre-Summary'!$BG$6:$BM$44,6,FALSE),S1803)</f>
        <v>6.1014931296205117E-2</v>
      </c>
      <c r="T1802" s="45" t="str">
        <f>IFERROR(VLOOKUP(B1802,'Pre-Summary'!$Y$6:$AC$83, 3,FALSE),"")</f>
        <v/>
      </c>
      <c r="U1802" s="45" t="str">
        <f>IFERROR(VLOOKUP(B1802,'Pre-Summary'!$Y$6:$AC$83, 4,FALSE),"")</f>
        <v/>
      </c>
      <c r="V1802" t="str">
        <f>IFERROR(VLOOKUP(B1802,'Pre-Summary'!$Y$6:$AC$83, 5,FALSE),"")</f>
        <v/>
      </c>
      <c r="W1802" s="45" t="str">
        <f>IFERROR(VLOOKUP(B1802,'Pre-Summary'!$Y$6:$AD$83,6,FALSE),"")</f>
        <v/>
      </c>
      <c r="X1802" t="str">
        <f>IFERROR(VLOOKUP('Pre-Summary'!$DB$6:$DD$63,3,FALSE),"")</f>
        <v/>
      </c>
      <c r="Y1802" t="str">
        <f>IFERROR(VLOOKUP(B1802,'Pre-Summary'!$CR$6:$CT$36,3,FALSE),"")</f>
        <v/>
      </c>
      <c r="Z1802" s="45" t="str">
        <f>IFERROR(VLOOKUP(B1802,'Pre-Summary'!$BZ$6:$CB$63,2,FALSE),"")</f>
        <v/>
      </c>
      <c r="AA1802" s="45" t="str">
        <f>IFERROR(VLOOKUP(B1802,'Pre-Summary'!$CG$6:$CI$70,2,FALSE),"")</f>
        <v/>
      </c>
      <c r="AB1802" s="99">
        <f>IFERROR(VLOOKUP(B1802,'Pre-Summary'!$A$6:$P$178,9,FALSE),AB1803)</f>
        <v>0.30142939521754147</v>
      </c>
      <c r="AC1802" s="10">
        <f>IFERROR(VLOOKUP(Summary!B1802,'Pre-Summary'!$A$6:$P$184,5, FALSE)/100,AC1803)</f>
        <v>0.88337933333333341</v>
      </c>
      <c r="AD1802" s="10">
        <f>IFERROR(VLOOKUP(Summary!B1802,'Pre-Summary'!$A$6:$P$184,3, FALSE)/100,AD1803)</f>
        <v>6.6985666666666666E-2</v>
      </c>
      <c r="AE1802" s="10">
        <f>IFERROR(VLOOKUP(Summary!B1802,'Pre-Summary'!$A$6:$P$184,7, FALSE)/100,AE1803)</f>
        <v>4.9634999999999999E-2</v>
      </c>
      <c r="AF1802" s="99">
        <f t="shared" si="85"/>
        <v>2.0191448991577161E-2</v>
      </c>
      <c r="AG1802" s="99">
        <f t="shared" si="86"/>
        <v>1.496144803162267E-2</v>
      </c>
      <c r="AH1802" s="10" t="str">
        <f>IFERROR(VLOOKUP(B1802,'Pre-Summary'!$AZ$6:$BE$65,3,FALSE),"")</f>
        <v/>
      </c>
      <c r="AI1802" s="10" t="str">
        <f>IFERROR(VLOOKUP(B1802,'Pre-Summary'!$AZ$6:$BE$65,5,FALSE),"")</f>
        <v/>
      </c>
      <c r="AJ1802" s="10" t="str">
        <f>IFERROR(VLOOKUP(B1802,'Pre-Summary'!$AZ$6:$BE$65,4,FALSE),"")</f>
        <v/>
      </c>
      <c r="AK1802" s="10" t="str">
        <f>IFERROR(VLOOKUP(B1802,'Pre-Summary'!$AZ$6:$BE$65,6,FALSE),"")</f>
        <v/>
      </c>
      <c r="AL1802" s="10" t="str">
        <f>IFERROR(VLOOKUP(B1802,'Pre-Summary'!$BG$6:$BL$44,3,FALSE),"")</f>
        <v/>
      </c>
      <c r="AM1802" s="10" t="str">
        <f>IFERROR(VLOOKUP(B1802,'Pre-Summary'!$BG$6:$BL$44,4,FALSE),"")</f>
        <v/>
      </c>
    </row>
    <row r="1803" spans="2:39" ht="15" customHeight="1" x14ac:dyDescent="0.3">
      <c r="B1803">
        <v>180</v>
      </c>
      <c r="C1803" t="str">
        <f>IFERROR(VLOOKUP(B1803,'Pre-Summary'!$DI$6:$DM$23,4,FALSE),"")</f>
        <v/>
      </c>
      <c r="D1803" s="10" t="str">
        <f>IFERROR(VLOOKUP(B1803,'Pre-Summary'!$AT$6:$AX$14,5,FALSE),D1802)</f>
        <v>Wolfe v3: went back to modified wolfe + EDTA and switched CuSO4 to CUCl2</v>
      </c>
      <c r="E1803" s="10" t="str">
        <f>IFERROR(VLOOKUP(B1803,'Pre-Summary'!$AT$6:$AX$15,4,FALSE),"")</f>
        <v/>
      </c>
      <c r="F1803">
        <f>IFERROR(VLOOKUP(B1803,'Pre-Summary'!$AL$6:$AQ$13,6,FALSE),F1802)</f>
        <v>5.9405263157894746E-2</v>
      </c>
      <c r="G1803" t="str">
        <f>IFERROR(VLOOKUP(B1803,'Pre-Summary'!$AE$6:$AJ$85,3,FALSE),"")</f>
        <v/>
      </c>
      <c r="H1803" t="str">
        <f>IFERROR(VLOOKUP(B1803,'Pre-Summary'!$AE$6:$AJ$85,4,FALSE),"")</f>
        <v/>
      </c>
      <c r="I1803" t="str">
        <f>IFERROR(VLOOKUP(B1803,'Pre-Summary'!$AE$6:$AJ$85,5,FALSE),"")</f>
        <v/>
      </c>
      <c r="J1803" s="45" t="str">
        <f>IFERROR(VLOOKUP(B1803,'Pre-Summary'!$AE$6:$AJ$85,6, FALSE),"")</f>
        <v/>
      </c>
      <c r="K1803" s="45" t="str">
        <f>IFERROR(VLOOKUP(B1803,'Pre-Summary'!$DE$6:$DG$61,3,FALSE),"")</f>
        <v/>
      </c>
      <c r="L1803" s="45" t="str">
        <f>IFERROR(VLOOKUP(B1803,'Pre-Summary'!$CU$6:$CW$36,3,FALSE),"")</f>
        <v/>
      </c>
      <c r="M1803" s="45" t="str">
        <f>IFERROR(VLOOKUP(B1803,'Pre-Summary'!$BW$6:$BY$58,2,FALSE),"")</f>
        <v/>
      </c>
      <c r="N1803" s="45" t="str">
        <f>IFERROR(VLOOKUP(B1803,'Pre-Summary'!$CD$6:$CF$64,2,FALSE),"")</f>
        <v/>
      </c>
      <c r="O1803" s="99">
        <f>IFERROR(VLOOKUP(B1803,'Pre-Summary'!$BO$6:$BQ$48,3, FALSE),O1802)</f>
        <v>1.25</v>
      </c>
      <c r="P1803" s="99">
        <f>IFERROR(VLOOKUP(B1803,'Pre-Summary'!$BS$6:$BU$35,3,FALSE),P1802)</f>
        <v>0.33700000000000002</v>
      </c>
      <c r="Q1803" s="54">
        <f t="shared" si="84"/>
        <v>3.7091988130563798</v>
      </c>
      <c r="R1803" s="53">
        <f>IFERROR(VLOOKUP(B1803,'Pre-Summary'!$BG$6:$BM$44,7,FALSE),R1804)</f>
        <v>8.0894687007659741E-2</v>
      </c>
      <c r="S1803" s="53">
        <f>IFERROR(VLOOKUP(B1803,'Pre-Summary'!$BG$6:$BM$44,6,FALSE),S1804)</f>
        <v>6.1014931296205117E-2</v>
      </c>
      <c r="T1803" s="45" t="str">
        <f>IFERROR(VLOOKUP(B1803,'Pre-Summary'!$Y$6:$AC$83, 3,FALSE),"")</f>
        <v/>
      </c>
      <c r="U1803" s="45" t="str">
        <f>IFERROR(VLOOKUP(B1803,'Pre-Summary'!$Y$6:$AC$83, 4,FALSE),"")</f>
        <v/>
      </c>
      <c r="V1803" t="str">
        <f>IFERROR(VLOOKUP(B1803,'Pre-Summary'!$Y$6:$AC$83, 5,FALSE),"")</f>
        <v/>
      </c>
      <c r="W1803" s="45" t="str">
        <f>IFERROR(VLOOKUP(B1803,'Pre-Summary'!$Y$6:$AD$83,6,FALSE),"")</f>
        <v/>
      </c>
      <c r="X1803" t="str">
        <f>IFERROR(VLOOKUP('Pre-Summary'!$DB$6:$DD$63,3,FALSE),"")</f>
        <v/>
      </c>
      <c r="Y1803" t="str">
        <f>IFERROR(VLOOKUP(B1803,'Pre-Summary'!$CR$6:$CT$36,3,FALSE),"")</f>
        <v/>
      </c>
      <c r="Z1803" s="45" t="str">
        <f>IFERROR(VLOOKUP(B1803,'Pre-Summary'!$BZ$6:$CB$63,2,FALSE),"")</f>
        <v/>
      </c>
      <c r="AA1803" s="45" t="str">
        <f>IFERROR(VLOOKUP(B1803,'Pre-Summary'!$CG$6:$CI$70,2,FALSE),"")</f>
        <v/>
      </c>
      <c r="AB1803" s="99">
        <f>IFERROR(VLOOKUP(B1803,'Pre-Summary'!$A$6:$P$178,9,FALSE),AB1804)</f>
        <v>0.30142939521754147</v>
      </c>
      <c r="AC1803" s="10">
        <f>IFERROR(VLOOKUP(Summary!B1803,'Pre-Summary'!$A$6:$P$184,5, FALSE)/100,AC1804)</f>
        <v>0.88337933333333341</v>
      </c>
      <c r="AD1803" s="10">
        <f>IFERROR(VLOOKUP(Summary!B1803,'Pre-Summary'!$A$6:$P$184,3, FALSE)/100,AD1804)</f>
        <v>6.6985666666666666E-2</v>
      </c>
      <c r="AE1803" s="10">
        <f>IFERROR(VLOOKUP(Summary!B1803,'Pre-Summary'!$A$6:$P$184,7, FALSE)/100,AE1804)</f>
        <v>4.9634999999999999E-2</v>
      </c>
      <c r="AF1803" s="99">
        <f t="shared" si="85"/>
        <v>2.0191448991577161E-2</v>
      </c>
      <c r="AG1803" s="99">
        <f t="shared" si="86"/>
        <v>1.496144803162267E-2</v>
      </c>
      <c r="AH1803" s="10" t="str">
        <f>IFERROR(VLOOKUP(B1803,'Pre-Summary'!$AZ$6:$BE$65,3,FALSE),"")</f>
        <v/>
      </c>
      <c r="AI1803" s="10" t="str">
        <f>IFERROR(VLOOKUP(B1803,'Pre-Summary'!$AZ$6:$BE$65,5,FALSE),"")</f>
        <v/>
      </c>
      <c r="AJ1803" s="10" t="str">
        <f>IFERROR(VLOOKUP(B1803,'Pre-Summary'!$AZ$6:$BE$65,4,FALSE),"")</f>
        <v/>
      </c>
      <c r="AK1803" s="10" t="str">
        <f>IFERROR(VLOOKUP(B1803,'Pre-Summary'!$AZ$6:$BE$65,6,FALSE),"")</f>
        <v/>
      </c>
      <c r="AL1803" s="10" t="str">
        <f>IFERROR(VLOOKUP(B1803,'Pre-Summary'!$BG$6:$BL$44,3,FALSE),"")</f>
        <v/>
      </c>
      <c r="AM1803" s="10" t="str">
        <f>IFERROR(VLOOKUP(B1803,'Pre-Summary'!$BG$6:$BL$44,4,FALSE),"")</f>
        <v/>
      </c>
    </row>
    <row r="1804" spans="2:39" ht="15" customHeight="1" x14ac:dyDescent="0.3">
      <c r="B1804">
        <v>180.1</v>
      </c>
      <c r="C1804" t="str">
        <f>IFERROR(VLOOKUP(B1804,'Pre-Summary'!$DI$6:$DM$23,4,FALSE),"")</f>
        <v/>
      </c>
      <c r="D1804" s="10" t="str">
        <f>IFERROR(VLOOKUP(B1804,'Pre-Summary'!$AT$6:$AX$14,5,FALSE),D1803)</f>
        <v>Wolfe v3: went back to modified wolfe + EDTA and switched CuSO4 to CUCl2</v>
      </c>
      <c r="E1804" s="10" t="str">
        <f>IFERROR(VLOOKUP(B1804,'Pre-Summary'!$AT$6:$AX$15,4,FALSE),"")</f>
        <v/>
      </c>
      <c r="F1804">
        <f>IFERROR(VLOOKUP(B1804,'Pre-Summary'!$AL$6:$AQ$13,6,FALSE),F1803)</f>
        <v>5.9405263157894746E-2</v>
      </c>
      <c r="G1804" t="str">
        <f>IFERROR(VLOOKUP(B1804,'Pre-Summary'!$AE$6:$AJ$85,3,FALSE),"")</f>
        <v/>
      </c>
      <c r="H1804" t="str">
        <f>IFERROR(VLOOKUP(B1804,'Pre-Summary'!$AE$6:$AJ$85,4,FALSE),"")</f>
        <v/>
      </c>
      <c r="I1804" t="str">
        <f>IFERROR(VLOOKUP(B1804,'Pre-Summary'!$AE$6:$AJ$85,5,FALSE),"")</f>
        <v/>
      </c>
      <c r="J1804" s="45" t="str">
        <f>IFERROR(VLOOKUP(B1804,'Pre-Summary'!$AE$6:$AJ$85,6, FALSE),"")</f>
        <v/>
      </c>
      <c r="K1804" s="45" t="str">
        <f>IFERROR(VLOOKUP(B1804,'Pre-Summary'!$DE$6:$DG$61,3,FALSE),"")</f>
        <v/>
      </c>
      <c r="L1804" s="45" t="str">
        <f>IFERROR(VLOOKUP(B1804,'Pre-Summary'!$CU$6:$CW$36,3,FALSE),"")</f>
        <v/>
      </c>
      <c r="M1804" s="45" t="str">
        <f>IFERROR(VLOOKUP(B1804,'Pre-Summary'!$BW$6:$BY$58,2,FALSE),"")</f>
        <v/>
      </c>
      <c r="N1804" s="45" t="str">
        <f>IFERROR(VLOOKUP(B1804,'Pre-Summary'!$CD$6:$CF$64,2,FALSE),"")</f>
        <v/>
      </c>
      <c r="O1804" s="99">
        <f>IFERROR(VLOOKUP(B1804,'Pre-Summary'!$BO$6:$BQ$48,3, FALSE),O1803)</f>
        <v>1.25</v>
      </c>
      <c r="P1804" s="99">
        <f>IFERROR(VLOOKUP(B1804,'Pre-Summary'!$BS$6:$BU$35,3,FALSE),P1803)</f>
        <v>0.33700000000000002</v>
      </c>
      <c r="Q1804" s="54">
        <f t="shared" si="84"/>
        <v>3.7091988130563798</v>
      </c>
      <c r="R1804" s="53">
        <f>IFERROR(VLOOKUP(B1804,'Pre-Summary'!$BG$6:$BM$44,7,FALSE),R1805)</f>
        <v>8.0894687007659741E-2</v>
      </c>
      <c r="S1804" s="53">
        <f>IFERROR(VLOOKUP(B1804,'Pre-Summary'!$BG$6:$BM$44,6,FALSE),S1805)</f>
        <v>6.1014931296205117E-2</v>
      </c>
      <c r="T1804" s="45" t="str">
        <f>IFERROR(VLOOKUP(B1804,'Pre-Summary'!$Y$6:$AC$83, 3,FALSE),"")</f>
        <v/>
      </c>
      <c r="U1804" s="45" t="str">
        <f>IFERROR(VLOOKUP(B1804,'Pre-Summary'!$Y$6:$AC$83, 4,FALSE),"")</f>
        <v/>
      </c>
      <c r="V1804" t="str">
        <f>IFERROR(VLOOKUP(B1804,'Pre-Summary'!$Y$6:$AC$83, 5,FALSE),"")</f>
        <v/>
      </c>
      <c r="W1804" s="45" t="str">
        <f>IFERROR(VLOOKUP(B1804,'Pre-Summary'!$Y$6:$AD$83,6,FALSE),"")</f>
        <v/>
      </c>
      <c r="X1804" t="str">
        <f>IFERROR(VLOOKUP('Pre-Summary'!$DB$6:$DD$63,3,FALSE),"")</f>
        <v/>
      </c>
      <c r="Y1804" t="str">
        <f>IFERROR(VLOOKUP(B1804,'Pre-Summary'!$CR$6:$CT$36,3,FALSE),"")</f>
        <v/>
      </c>
      <c r="Z1804" s="45" t="str">
        <f>IFERROR(VLOOKUP(B1804,'Pre-Summary'!$BZ$6:$CB$63,2,FALSE),"")</f>
        <v/>
      </c>
      <c r="AA1804" s="45" t="str">
        <f>IFERROR(VLOOKUP(B1804,'Pre-Summary'!$CG$6:$CI$70,2,FALSE),"")</f>
        <v/>
      </c>
      <c r="AB1804" s="99">
        <f>IFERROR(VLOOKUP(B1804,'Pre-Summary'!$A$6:$P$178,9,FALSE),AB1805)</f>
        <v>0.30142939521754147</v>
      </c>
      <c r="AC1804" s="10">
        <f>IFERROR(VLOOKUP(Summary!B1804,'Pre-Summary'!$A$6:$P$184,5, FALSE)/100,AC1805)</f>
        <v>0.88337933333333341</v>
      </c>
      <c r="AD1804" s="10">
        <f>IFERROR(VLOOKUP(Summary!B1804,'Pre-Summary'!$A$6:$P$184,3, FALSE)/100,AD1805)</f>
        <v>6.6985666666666666E-2</v>
      </c>
      <c r="AE1804" s="10">
        <f>IFERROR(VLOOKUP(Summary!B1804,'Pre-Summary'!$A$6:$P$184,7, FALSE)/100,AE1805)</f>
        <v>4.9634999999999999E-2</v>
      </c>
      <c r="AF1804" s="99">
        <f t="shared" si="85"/>
        <v>2.0191448991577161E-2</v>
      </c>
      <c r="AG1804" s="99">
        <f t="shared" si="86"/>
        <v>1.496144803162267E-2</v>
      </c>
      <c r="AH1804" s="10" t="str">
        <f>IFERROR(VLOOKUP(B1804,'Pre-Summary'!$AZ$6:$BE$65,3,FALSE),"")</f>
        <v/>
      </c>
      <c r="AI1804" s="10" t="str">
        <f>IFERROR(VLOOKUP(B1804,'Pre-Summary'!$AZ$6:$BE$65,5,FALSE),"")</f>
        <v/>
      </c>
      <c r="AJ1804" s="10" t="str">
        <f>IFERROR(VLOOKUP(B1804,'Pre-Summary'!$AZ$6:$BE$65,4,FALSE),"")</f>
        <v/>
      </c>
      <c r="AK1804" s="10" t="str">
        <f>IFERROR(VLOOKUP(B1804,'Pre-Summary'!$AZ$6:$BE$65,6,FALSE),"")</f>
        <v/>
      </c>
      <c r="AL1804" s="10" t="str">
        <f>IFERROR(VLOOKUP(B1804,'Pre-Summary'!$BG$6:$BL$44,3,FALSE),"")</f>
        <v/>
      </c>
      <c r="AM1804" s="10" t="str">
        <f>IFERROR(VLOOKUP(B1804,'Pre-Summary'!$BG$6:$BL$44,4,FALSE),"")</f>
        <v/>
      </c>
    </row>
    <row r="1805" spans="2:39" ht="15" customHeight="1" x14ac:dyDescent="0.3">
      <c r="B1805">
        <v>180.2</v>
      </c>
      <c r="C1805" t="str">
        <f>IFERROR(VLOOKUP(B1805,'Pre-Summary'!$DI$6:$DM$23,4,FALSE),"")</f>
        <v/>
      </c>
      <c r="D1805" s="10" t="str">
        <f>IFERROR(VLOOKUP(B1805,'Pre-Summary'!$AT$6:$AX$14,5,FALSE),D1804)</f>
        <v>Wolfe v3: went back to modified wolfe + EDTA and switched CuSO4 to CUCl2</v>
      </c>
      <c r="E1805" s="10" t="str">
        <f>IFERROR(VLOOKUP(B1805,'Pre-Summary'!$AT$6:$AX$15,4,FALSE),"")</f>
        <v/>
      </c>
      <c r="F1805">
        <f>IFERROR(VLOOKUP(B1805,'Pre-Summary'!$AL$6:$AQ$13,6,FALSE),F1804)</f>
        <v>5.9405263157894746E-2</v>
      </c>
      <c r="G1805" t="str">
        <f>IFERROR(VLOOKUP(B1805,'Pre-Summary'!$AE$6:$AJ$85,3,FALSE),"")</f>
        <v/>
      </c>
      <c r="H1805" t="str">
        <f>IFERROR(VLOOKUP(B1805,'Pre-Summary'!$AE$6:$AJ$85,4,FALSE),"")</f>
        <v/>
      </c>
      <c r="I1805" t="str">
        <f>IFERROR(VLOOKUP(B1805,'Pre-Summary'!$AE$6:$AJ$85,5,FALSE),"")</f>
        <v/>
      </c>
      <c r="J1805" s="45" t="str">
        <f>IFERROR(VLOOKUP(B1805,'Pre-Summary'!$AE$6:$AJ$85,6, FALSE),"")</f>
        <v/>
      </c>
      <c r="K1805" s="45" t="str">
        <f>IFERROR(VLOOKUP(B1805,'Pre-Summary'!$DE$6:$DG$61,3,FALSE),"")</f>
        <v/>
      </c>
      <c r="L1805" s="45" t="str">
        <f>IFERROR(VLOOKUP(B1805,'Pre-Summary'!$CU$6:$CW$36,3,FALSE),"")</f>
        <v/>
      </c>
      <c r="M1805" s="45" t="str">
        <f>IFERROR(VLOOKUP(B1805,'Pre-Summary'!$BW$6:$BY$58,2,FALSE),"")</f>
        <v/>
      </c>
      <c r="N1805" s="45" t="str">
        <f>IFERROR(VLOOKUP(B1805,'Pre-Summary'!$CD$6:$CF$64,2,FALSE),"")</f>
        <v/>
      </c>
      <c r="O1805" s="99">
        <f>IFERROR(VLOOKUP(B1805,'Pre-Summary'!$BO$6:$BQ$48,3, FALSE),O1804)</f>
        <v>1.25</v>
      </c>
      <c r="P1805" s="99">
        <f>IFERROR(VLOOKUP(B1805,'Pre-Summary'!$BS$6:$BU$35,3,FALSE),P1804)</f>
        <v>0.33700000000000002</v>
      </c>
      <c r="Q1805" s="54">
        <f t="shared" si="84"/>
        <v>3.7091988130563798</v>
      </c>
      <c r="R1805" s="53">
        <f>IFERROR(VLOOKUP(B1805,'Pre-Summary'!$BG$6:$BM$44,7,FALSE),R1806)</f>
        <v>8.0894687007659741E-2</v>
      </c>
      <c r="S1805" s="53">
        <f>IFERROR(VLOOKUP(B1805,'Pre-Summary'!$BG$6:$BM$44,6,FALSE),S1806)</f>
        <v>6.1014931296205117E-2</v>
      </c>
      <c r="T1805" s="45" t="str">
        <f>IFERROR(VLOOKUP(B1805,'Pre-Summary'!$Y$6:$AC$83, 3,FALSE),"")</f>
        <v/>
      </c>
      <c r="U1805" s="45" t="str">
        <f>IFERROR(VLOOKUP(B1805,'Pre-Summary'!$Y$6:$AC$83, 4,FALSE),"")</f>
        <v/>
      </c>
      <c r="V1805" t="str">
        <f>IFERROR(VLOOKUP(B1805,'Pre-Summary'!$Y$6:$AC$83, 5,FALSE),"")</f>
        <v/>
      </c>
      <c r="W1805" s="45" t="str">
        <f>IFERROR(VLOOKUP(B1805,'Pre-Summary'!$Y$6:$AD$83,6,FALSE),"")</f>
        <v/>
      </c>
      <c r="X1805" t="str">
        <f>IFERROR(VLOOKUP('Pre-Summary'!$DB$6:$DD$63,3,FALSE),"")</f>
        <v/>
      </c>
      <c r="Y1805" t="str">
        <f>IFERROR(VLOOKUP(B1805,'Pre-Summary'!$CR$6:$CT$36,3,FALSE),"")</f>
        <v/>
      </c>
      <c r="Z1805" s="45" t="str">
        <f>IFERROR(VLOOKUP(B1805,'Pre-Summary'!$BZ$6:$CB$63,2,FALSE),"")</f>
        <v/>
      </c>
      <c r="AA1805" s="45" t="str">
        <f>IFERROR(VLOOKUP(B1805,'Pre-Summary'!$CG$6:$CI$70,2,FALSE),"")</f>
        <v/>
      </c>
      <c r="AB1805" s="99">
        <f>IFERROR(VLOOKUP(B1805,'Pre-Summary'!$A$6:$P$178,9,FALSE),AB1806)</f>
        <v>0.30142939521754147</v>
      </c>
      <c r="AC1805" s="10">
        <f>IFERROR(VLOOKUP(Summary!B1805,'Pre-Summary'!$A$6:$P$184,5, FALSE)/100,AC1806)</f>
        <v>0.88337933333333341</v>
      </c>
      <c r="AD1805" s="10">
        <f>IFERROR(VLOOKUP(Summary!B1805,'Pre-Summary'!$A$6:$P$184,3, FALSE)/100,AD1806)</f>
        <v>6.6985666666666666E-2</v>
      </c>
      <c r="AE1805" s="10">
        <f>IFERROR(VLOOKUP(Summary!B1805,'Pre-Summary'!$A$6:$P$184,7, FALSE)/100,AE1806)</f>
        <v>4.9634999999999999E-2</v>
      </c>
      <c r="AF1805" s="99">
        <f t="shared" si="85"/>
        <v>2.0191448991577161E-2</v>
      </c>
      <c r="AG1805" s="99">
        <f t="shared" si="86"/>
        <v>1.496144803162267E-2</v>
      </c>
      <c r="AH1805" s="10" t="str">
        <f>IFERROR(VLOOKUP(B1805,'Pre-Summary'!$AZ$6:$BE$65,3,FALSE),"")</f>
        <v/>
      </c>
      <c r="AI1805" s="10" t="str">
        <f>IFERROR(VLOOKUP(B1805,'Pre-Summary'!$AZ$6:$BE$65,5,FALSE),"")</f>
        <v/>
      </c>
      <c r="AJ1805" s="10" t="str">
        <f>IFERROR(VLOOKUP(B1805,'Pre-Summary'!$AZ$6:$BE$65,4,FALSE),"")</f>
        <v/>
      </c>
      <c r="AK1805" s="10" t="str">
        <f>IFERROR(VLOOKUP(B1805,'Pre-Summary'!$AZ$6:$BE$65,6,FALSE),"")</f>
        <v/>
      </c>
      <c r="AL1805" s="10" t="str">
        <f>IFERROR(VLOOKUP(B1805,'Pre-Summary'!$BG$6:$BL$44,3,FALSE),"")</f>
        <v/>
      </c>
      <c r="AM1805" s="10" t="str">
        <f>IFERROR(VLOOKUP(B1805,'Pre-Summary'!$BG$6:$BL$44,4,FALSE),"")</f>
        <v/>
      </c>
    </row>
    <row r="1806" spans="2:39" ht="15" customHeight="1" x14ac:dyDescent="0.3">
      <c r="B1806">
        <v>180.3</v>
      </c>
      <c r="C1806" t="str">
        <f>IFERROR(VLOOKUP(B1806,'Pre-Summary'!$DI$6:$DM$23,4,FALSE),"")</f>
        <v/>
      </c>
      <c r="D1806" s="10" t="str">
        <f>IFERROR(VLOOKUP(B1806,'Pre-Summary'!$AT$6:$AX$14,5,FALSE),D1805)</f>
        <v>Wolfe v3: went back to modified wolfe + EDTA and switched CuSO4 to CUCl2</v>
      </c>
      <c r="E1806" s="10" t="str">
        <f>IFERROR(VLOOKUP(B1806,'Pre-Summary'!$AT$6:$AX$15,4,FALSE),"")</f>
        <v/>
      </c>
      <c r="F1806">
        <f>IFERROR(VLOOKUP(B1806,'Pre-Summary'!$AL$6:$AQ$13,6,FALSE),F1805)</f>
        <v>5.9405263157894746E-2</v>
      </c>
      <c r="G1806" t="str">
        <f>IFERROR(VLOOKUP(B1806,'Pre-Summary'!$AE$6:$AJ$85,3,FALSE),"")</f>
        <v/>
      </c>
      <c r="H1806" t="str">
        <f>IFERROR(VLOOKUP(B1806,'Pre-Summary'!$AE$6:$AJ$85,4,FALSE),"")</f>
        <v/>
      </c>
      <c r="I1806" t="str">
        <f>IFERROR(VLOOKUP(B1806,'Pre-Summary'!$AE$6:$AJ$85,5,FALSE),"")</f>
        <v/>
      </c>
      <c r="J1806" s="45" t="str">
        <f>IFERROR(VLOOKUP(B1806,'Pre-Summary'!$AE$6:$AJ$85,6, FALSE),"")</f>
        <v/>
      </c>
      <c r="K1806" s="45" t="str">
        <f>IFERROR(VLOOKUP(B1806,'Pre-Summary'!$DE$6:$DG$61,3,FALSE),"")</f>
        <v/>
      </c>
      <c r="L1806" s="45" t="str">
        <f>IFERROR(VLOOKUP(B1806,'Pre-Summary'!$CU$6:$CW$36,3,FALSE),"")</f>
        <v/>
      </c>
      <c r="M1806" s="45" t="str">
        <f>IFERROR(VLOOKUP(B1806,'Pre-Summary'!$BW$6:$BY$58,2,FALSE),"")</f>
        <v/>
      </c>
      <c r="N1806" s="45" t="str">
        <f>IFERROR(VLOOKUP(B1806,'Pre-Summary'!$CD$6:$CF$64,2,FALSE),"")</f>
        <v/>
      </c>
      <c r="O1806" s="99">
        <f>IFERROR(VLOOKUP(B1806,'Pre-Summary'!$BO$6:$BQ$48,3, FALSE),O1805)</f>
        <v>1.25</v>
      </c>
      <c r="P1806" s="99">
        <f>IFERROR(VLOOKUP(B1806,'Pre-Summary'!$BS$6:$BU$35,3,FALSE),P1805)</f>
        <v>0.33700000000000002</v>
      </c>
      <c r="Q1806" s="54">
        <f t="shared" si="84"/>
        <v>3.7091988130563798</v>
      </c>
      <c r="R1806" s="53">
        <f>IFERROR(VLOOKUP(B1806,'Pre-Summary'!$BG$6:$BM$44,7,FALSE),R1807)</f>
        <v>8.0894687007659741E-2</v>
      </c>
      <c r="S1806" s="53">
        <f>IFERROR(VLOOKUP(B1806,'Pre-Summary'!$BG$6:$BM$44,6,FALSE),S1807)</f>
        <v>6.1014931296205117E-2</v>
      </c>
      <c r="T1806" s="45" t="str">
        <f>IFERROR(VLOOKUP(B1806,'Pre-Summary'!$Y$6:$AC$83, 3,FALSE),"")</f>
        <v/>
      </c>
      <c r="U1806" s="45" t="str">
        <f>IFERROR(VLOOKUP(B1806,'Pre-Summary'!$Y$6:$AC$83, 4,FALSE),"")</f>
        <v/>
      </c>
      <c r="V1806" t="str">
        <f>IFERROR(VLOOKUP(B1806,'Pre-Summary'!$Y$6:$AC$83, 5,FALSE),"")</f>
        <v/>
      </c>
      <c r="W1806" s="45" t="str">
        <f>IFERROR(VLOOKUP(B1806,'Pre-Summary'!$Y$6:$AD$83,6,FALSE),"")</f>
        <v/>
      </c>
      <c r="X1806" t="str">
        <f>IFERROR(VLOOKUP('Pre-Summary'!$DB$6:$DD$63,3,FALSE),"")</f>
        <v/>
      </c>
      <c r="Y1806" t="str">
        <f>IFERROR(VLOOKUP(B1806,'Pre-Summary'!$CR$6:$CT$36,3,FALSE),"")</f>
        <v/>
      </c>
      <c r="Z1806" s="45" t="str">
        <f>IFERROR(VLOOKUP(B1806,'Pre-Summary'!$BZ$6:$CB$63,2,FALSE),"")</f>
        <v/>
      </c>
      <c r="AA1806" s="45" t="str">
        <f>IFERROR(VLOOKUP(B1806,'Pre-Summary'!$CG$6:$CI$70,2,FALSE),"")</f>
        <v/>
      </c>
      <c r="AB1806" s="99">
        <f>IFERROR(VLOOKUP(B1806,'Pre-Summary'!$A$6:$P$178,9,FALSE),AB1807)</f>
        <v>0.30142939521754147</v>
      </c>
      <c r="AC1806" s="10">
        <f>IFERROR(VLOOKUP(Summary!B1806,'Pre-Summary'!$A$6:$P$184,5, FALSE)/100,AC1807)</f>
        <v>0.88337933333333341</v>
      </c>
      <c r="AD1806" s="10">
        <f>IFERROR(VLOOKUP(Summary!B1806,'Pre-Summary'!$A$6:$P$184,3, FALSE)/100,AD1807)</f>
        <v>6.6985666666666666E-2</v>
      </c>
      <c r="AE1806" s="10">
        <f>IFERROR(VLOOKUP(Summary!B1806,'Pre-Summary'!$A$6:$P$184,7, FALSE)/100,AE1807)</f>
        <v>4.9634999999999999E-2</v>
      </c>
      <c r="AF1806" s="99">
        <f t="shared" si="85"/>
        <v>2.0191448991577161E-2</v>
      </c>
      <c r="AG1806" s="99">
        <f t="shared" si="86"/>
        <v>1.496144803162267E-2</v>
      </c>
      <c r="AH1806" s="10" t="str">
        <f>IFERROR(VLOOKUP(B1806,'Pre-Summary'!$AZ$6:$BE$65,3,FALSE),"")</f>
        <v/>
      </c>
      <c r="AI1806" s="10" t="str">
        <f>IFERROR(VLOOKUP(B1806,'Pre-Summary'!$AZ$6:$BE$65,5,FALSE),"")</f>
        <v/>
      </c>
      <c r="AJ1806" s="10" t="str">
        <f>IFERROR(VLOOKUP(B1806,'Pre-Summary'!$AZ$6:$BE$65,4,FALSE),"")</f>
        <v/>
      </c>
      <c r="AK1806" s="10" t="str">
        <f>IFERROR(VLOOKUP(B1806,'Pre-Summary'!$AZ$6:$BE$65,6,FALSE),"")</f>
        <v/>
      </c>
      <c r="AL1806" s="10" t="str">
        <f>IFERROR(VLOOKUP(B1806,'Pre-Summary'!$BG$6:$BL$44,3,FALSE),"")</f>
        <v/>
      </c>
      <c r="AM1806" s="10" t="str">
        <f>IFERROR(VLOOKUP(B1806,'Pre-Summary'!$BG$6:$BL$44,4,FALSE),"")</f>
        <v/>
      </c>
    </row>
    <row r="1807" spans="2:39" ht="15" customHeight="1" x14ac:dyDescent="0.3">
      <c r="B1807">
        <v>180.4</v>
      </c>
      <c r="C1807" t="str">
        <f>IFERROR(VLOOKUP(B1807,'Pre-Summary'!$DI$6:$DM$23,4,FALSE),"")</f>
        <v/>
      </c>
      <c r="D1807" s="10" t="str">
        <f>IFERROR(VLOOKUP(B1807,'Pre-Summary'!$AT$6:$AX$14,5,FALSE),D1806)</f>
        <v>Wolfe v3: went back to modified wolfe + EDTA and switched CuSO4 to CUCl2</v>
      </c>
      <c r="E1807" s="10" t="str">
        <f>IFERROR(VLOOKUP(B1807,'Pre-Summary'!$AT$6:$AX$15,4,FALSE),"")</f>
        <v/>
      </c>
      <c r="F1807">
        <f>IFERROR(VLOOKUP(B1807,'Pre-Summary'!$AL$6:$AQ$13,6,FALSE),F1806)</f>
        <v>5.9405263157894746E-2</v>
      </c>
      <c r="G1807" t="str">
        <f>IFERROR(VLOOKUP(B1807,'Pre-Summary'!$AE$6:$AJ$85,3,FALSE),"")</f>
        <v/>
      </c>
      <c r="H1807" t="str">
        <f>IFERROR(VLOOKUP(B1807,'Pre-Summary'!$AE$6:$AJ$85,4,FALSE),"")</f>
        <v/>
      </c>
      <c r="I1807" t="str">
        <f>IFERROR(VLOOKUP(B1807,'Pre-Summary'!$AE$6:$AJ$85,5,FALSE),"")</f>
        <v/>
      </c>
      <c r="J1807" s="45" t="str">
        <f>IFERROR(VLOOKUP(B1807,'Pre-Summary'!$AE$6:$AJ$85,6, FALSE),"")</f>
        <v/>
      </c>
      <c r="K1807" s="45" t="str">
        <f>IFERROR(VLOOKUP(B1807,'Pre-Summary'!$DE$6:$DG$61,3,FALSE),"")</f>
        <v/>
      </c>
      <c r="L1807" s="45" t="str">
        <f>IFERROR(VLOOKUP(B1807,'Pre-Summary'!$CU$6:$CW$36,3,FALSE),"")</f>
        <v/>
      </c>
      <c r="M1807" s="45" t="str">
        <f>IFERROR(VLOOKUP(B1807,'Pre-Summary'!$BW$6:$BY$58,2,FALSE),"")</f>
        <v/>
      </c>
      <c r="N1807" s="45" t="str">
        <f>IFERROR(VLOOKUP(B1807,'Pre-Summary'!$CD$6:$CF$64,2,FALSE),"")</f>
        <v/>
      </c>
      <c r="O1807" s="99">
        <f>IFERROR(VLOOKUP(B1807,'Pre-Summary'!$BO$6:$BQ$48,3, FALSE),O1806)</f>
        <v>1.25</v>
      </c>
      <c r="P1807" s="99">
        <f>IFERROR(VLOOKUP(B1807,'Pre-Summary'!$BS$6:$BU$35,3,FALSE),P1806)</f>
        <v>0.33700000000000002</v>
      </c>
      <c r="Q1807" s="54">
        <f t="shared" si="84"/>
        <v>3.7091988130563798</v>
      </c>
      <c r="R1807" s="53">
        <f>IFERROR(VLOOKUP(B1807,'Pre-Summary'!$BG$6:$BM$44,7,FALSE),R1808)</f>
        <v>8.0894687007659741E-2</v>
      </c>
      <c r="S1807" s="53">
        <f>IFERROR(VLOOKUP(B1807,'Pre-Summary'!$BG$6:$BM$44,6,FALSE),S1808)</f>
        <v>6.1014931296205117E-2</v>
      </c>
      <c r="T1807" s="45" t="str">
        <f>IFERROR(VLOOKUP(B1807,'Pre-Summary'!$Y$6:$AC$83, 3,FALSE),"")</f>
        <v/>
      </c>
      <c r="U1807" s="45" t="str">
        <f>IFERROR(VLOOKUP(B1807,'Pre-Summary'!$Y$6:$AC$83, 4,FALSE),"")</f>
        <v/>
      </c>
      <c r="V1807" t="str">
        <f>IFERROR(VLOOKUP(B1807,'Pre-Summary'!$Y$6:$AC$83, 5,FALSE),"")</f>
        <v/>
      </c>
      <c r="W1807" s="45" t="str">
        <f>IFERROR(VLOOKUP(B1807,'Pre-Summary'!$Y$6:$AD$83,6,FALSE),"")</f>
        <v/>
      </c>
      <c r="X1807" t="str">
        <f>IFERROR(VLOOKUP('Pre-Summary'!$DB$6:$DD$63,3,FALSE),"")</f>
        <v/>
      </c>
      <c r="Y1807" t="str">
        <f>IFERROR(VLOOKUP(B1807,'Pre-Summary'!$CR$6:$CT$36,3,FALSE),"")</f>
        <v/>
      </c>
      <c r="Z1807" s="45" t="str">
        <f>IFERROR(VLOOKUP(B1807,'Pre-Summary'!$BZ$6:$CB$63,2,FALSE),"")</f>
        <v/>
      </c>
      <c r="AA1807" s="45" t="str">
        <f>IFERROR(VLOOKUP(B1807,'Pre-Summary'!$CG$6:$CI$70,2,FALSE),"")</f>
        <v/>
      </c>
      <c r="AB1807" s="99">
        <f>IFERROR(VLOOKUP(B1807,'Pre-Summary'!$A$6:$P$178,9,FALSE),AB1808)</f>
        <v>0.30142939521754147</v>
      </c>
      <c r="AC1807" s="10">
        <f>IFERROR(VLOOKUP(Summary!B1807,'Pre-Summary'!$A$6:$P$184,5, FALSE)/100,AC1808)</f>
        <v>0.88337933333333341</v>
      </c>
      <c r="AD1807" s="10">
        <f>IFERROR(VLOOKUP(Summary!B1807,'Pre-Summary'!$A$6:$P$184,3, FALSE)/100,AD1808)</f>
        <v>6.6985666666666666E-2</v>
      </c>
      <c r="AE1807" s="10">
        <f>IFERROR(VLOOKUP(Summary!B1807,'Pre-Summary'!$A$6:$P$184,7, FALSE)/100,AE1808)</f>
        <v>4.9634999999999999E-2</v>
      </c>
      <c r="AF1807" s="99">
        <f t="shared" si="85"/>
        <v>2.0191448991577161E-2</v>
      </c>
      <c r="AG1807" s="99">
        <f t="shared" si="86"/>
        <v>1.496144803162267E-2</v>
      </c>
      <c r="AH1807" s="10" t="str">
        <f>IFERROR(VLOOKUP(B1807,'Pre-Summary'!$AZ$6:$BE$65,3,FALSE),"")</f>
        <v/>
      </c>
      <c r="AI1807" s="10" t="str">
        <f>IFERROR(VLOOKUP(B1807,'Pre-Summary'!$AZ$6:$BE$65,5,FALSE),"")</f>
        <v/>
      </c>
      <c r="AJ1807" s="10" t="str">
        <f>IFERROR(VLOOKUP(B1807,'Pre-Summary'!$AZ$6:$BE$65,4,FALSE),"")</f>
        <v/>
      </c>
      <c r="AK1807" s="10" t="str">
        <f>IFERROR(VLOOKUP(B1807,'Pre-Summary'!$AZ$6:$BE$65,6,FALSE),"")</f>
        <v/>
      </c>
      <c r="AL1807" s="10" t="str">
        <f>IFERROR(VLOOKUP(B1807,'Pre-Summary'!$BG$6:$BL$44,3,FALSE),"")</f>
        <v/>
      </c>
      <c r="AM1807" s="10" t="str">
        <f>IFERROR(VLOOKUP(B1807,'Pre-Summary'!$BG$6:$BL$44,4,FALSE),"")</f>
        <v/>
      </c>
    </row>
    <row r="1808" spans="2:39" ht="15" customHeight="1" x14ac:dyDescent="0.3">
      <c r="B1808">
        <v>180.5</v>
      </c>
      <c r="C1808" t="str">
        <f>IFERROR(VLOOKUP(B1808,'Pre-Summary'!$DI$6:$DM$23,4,FALSE),"")</f>
        <v/>
      </c>
      <c r="D1808" s="10" t="str">
        <f>IFERROR(VLOOKUP(B1808,'Pre-Summary'!$AT$6:$AX$14,5,FALSE),D1807)</f>
        <v>Wolfe v3: went back to modified wolfe + EDTA and switched CuSO4 to CUCl2</v>
      </c>
      <c r="E1808" s="10" t="str">
        <f>IFERROR(VLOOKUP(B1808,'Pre-Summary'!$AT$6:$AX$15,4,FALSE),"")</f>
        <v/>
      </c>
      <c r="F1808">
        <f>IFERROR(VLOOKUP(B1808,'Pre-Summary'!$AL$6:$AQ$13,6,FALSE),F1807)</f>
        <v>5.9405263157894746E-2</v>
      </c>
      <c r="G1808">
        <f>IFERROR(VLOOKUP(B1808,'Pre-Summary'!$AE$6:$AJ$85,3,FALSE),"")</f>
        <v>60.743020000000001</v>
      </c>
      <c r="H1808" t="str">
        <f>IFERROR(VLOOKUP(B1808,'Pre-Summary'!$AE$6:$AJ$85,4,FALSE),"")</f>
        <v/>
      </c>
      <c r="I1808" t="str">
        <f>IFERROR(VLOOKUP(B1808,'Pre-Summary'!$AE$6:$AJ$85,5,FALSE),"")</f>
        <v/>
      </c>
      <c r="J1808" s="45">
        <f>IFERROR(VLOOKUP(B1808,'Pre-Summary'!$AE$6:$AJ$85,6, FALSE),"")</f>
        <v>64.812802340000005</v>
      </c>
      <c r="K1808" s="45" t="str">
        <f>IFERROR(VLOOKUP(B1808,'Pre-Summary'!$DE$6:$DG$61,3,FALSE),"")</f>
        <v/>
      </c>
      <c r="L1808" s="45" t="str">
        <f>IFERROR(VLOOKUP(B1808,'Pre-Summary'!$CU$6:$CW$36,3,FALSE),"")</f>
        <v/>
      </c>
      <c r="M1808" s="45" t="str">
        <f>IFERROR(VLOOKUP(B1808,'Pre-Summary'!$BW$6:$BY$58,2,FALSE),"")</f>
        <v/>
      </c>
      <c r="N1808" s="45">
        <f>IFERROR(VLOOKUP(B1808,'Pre-Summary'!$CD$6:$CF$64,2,FALSE),"")</f>
        <v>240.75796787283062</v>
      </c>
      <c r="O1808" s="99">
        <f>IFERROR(VLOOKUP(B1808,'Pre-Summary'!$BO$6:$BQ$48,3, FALSE),O1807)</f>
        <v>1.25</v>
      </c>
      <c r="P1808" s="99">
        <f>IFERROR(VLOOKUP(B1808,'Pre-Summary'!$BS$6:$BU$35,3,FALSE),P1807)</f>
        <v>0.33700000000000002</v>
      </c>
      <c r="Q1808" s="54">
        <f t="shared" si="84"/>
        <v>3.7091988130563798</v>
      </c>
      <c r="R1808" s="53">
        <f>IFERROR(VLOOKUP(B1808,'Pre-Summary'!$BG$6:$BM$44,7,FALSE),R1809)</f>
        <v>8.0894687007659741E-2</v>
      </c>
      <c r="S1808" s="53">
        <f>IFERROR(VLOOKUP(B1808,'Pre-Summary'!$BG$6:$BM$44,6,FALSE),S1809)</f>
        <v>6.1014931296205117E-2</v>
      </c>
      <c r="T1808" s="45">
        <f>IFERROR(VLOOKUP(B1808,'Pre-Summary'!$Y$6:$AC$83, 3,FALSE),"")</f>
        <v>10.27979</v>
      </c>
      <c r="U1808" s="45">
        <f>IFERROR(VLOOKUP(B1808,'Pre-Summary'!$Y$6:$AC$83, 4,FALSE),"")</f>
        <v>14.63678</v>
      </c>
      <c r="V1808">
        <f>IFERROR(VLOOKUP(B1808,'Pre-Summary'!$Y$6:$AC$83, 5,FALSE),"")</f>
        <v>0.45016400000000001</v>
      </c>
      <c r="W1808" s="45">
        <f>IFERROR(VLOOKUP(B1808,'Pre-Summary'!$Y$6:$AD$83,6,FALSE),"")</f>
        <v>33.947019001999998</v>
      </c>
      <c r="X1808" t="str">
        <f>IFERROR(VLOOKUP('Pre-Summary'!$DB$6:$DD$63,3,FALSE),"")</f>
        <v/>
      </c>
      <c r="Y1808" t="str">
        <f>IFERROR(VLOOKUP(B1808,'Pre-Summary'!$CR$6:$CT$36,3,FALSE),"")</f>
        <v/>
      </c>
      <c r="Z1808" s="45" t="str">
        <f>IFERROR(VLOOKUP(B1808,'Pre-Summary'!$BZ$6:$CB$63,2,FALSE),"")</f>
        <v/>
      </c>
      <c r="AA1808" s="45" t="str">
        <f>IFERROR(VLOOKUP(B1808,'Pre-Summary'!$CG$6:$CI$70,2,FALSE),"")</f>
        <v/>
      </c>
      <c r="AB1808" s="99">
        <f>IFERROR(VLOOKUP(B1808,'Pre-Summary'!$A$6:$P$178,9,FALSE),AB1809)</f>
        <v>0.30142939521754147</v>
      </c>
      <c r="AC1808" s="10">
        <f>IFERROR(VLOOKUP(Summary!B1808,'Pre-Summary'!$A$6:$P$184,5, FALSE)/100,AC1809)</f>
        <v>0.88337933333333341</v>
      </c>
      <c r="AD1808" s="10">
        <f>IFERROR(VLOOKUP(Summary!B1808,'Pre-Summary'!$A$6:$P$184,3, FALSE)/100,AD1809)</f>
        <v>6.6985666666666666E-2</v>
      </c>
      <c r="AE1808" s="10">
        <f>IFERROR(VLOOKUP(Summary!B1808,'Pre-Summary'!$A$6:$P$184,7, FALSE)/100,AE1809)</f>
        <v>4.9634999999999999E-2</v>
      </c>
      <c r="AF1808" s="99">
        <f t="shared" si="85"/>
        <v>2.0191448991577161E-2</v>
      </c>
      <c r="AG1808" s="99">
        <f t="shared" si="86"/>
        <v>1.496144803162267E-2</v>
      </c>
      <c r="AH1808" s="10" t="str">
        <f>IFERROR(VLOOKUP(B1808,'Pre-Summary'!$AZ$6:$BE$65,3,FALSE),"")</f>
        <v/>
      </c>
      <c r="AI1808" s="10" t="str">
        <f>IFERROR(VLOOKUP(B1808,'Pre-Summary'!$AZ$6:$BE$65,5,FALSE),"")</f>
        <v/>
      </c>
      <c r="AJ1808" s="10" t="str">
        <f>IFERROR(VLOOKUP(B1808,'Pre-Summary'!$AZ$6:$BE$65,4,FALSE),"")</f>
        <v/>
      </c>
      <c r="AK1808" s="10" t="str">
        <f>IFERROR(VLOOKUP(B1808,'Pre-Summary'!$AZ$6:$BE$65,6,FALSE),"")</f>
        <v/>
      </c>
      <c r="AL1808" s="10" t="str">
        <f>IFERROR(VLOOKUP(B1808,'Pre-Summary'!$BG$6:$BL$44,3,FALSE),"")</f>
        <v/>
      </c>
      <c r="AM1808" s="10" t="str">
        <f>IFERROR(VLOOKUP(B1808,'Pre-Summary'!$BG$6:$BL$44,4,FALSE),"")</f>
        <v/>
      </c>
    </row>
    <row r="1809" spans="2:39" ht="15" customHeight="1" x14ac:dyDescent="0.3">
      <c r="B1809">
        <v>180.6</v>
      </c>
      <c r="C1809" t="str">
        <f>IFERROR(VLOOKUP(B1809,'Pre-Summary'!$DI$6:$DM$23,4,FALSE),"")</f>
        <v/>
      </c>
      <c r="D1809" s="10" t="str">
        <f>IFERROR(VLOOKUP(B1809,'Pre-Summary'!$AT$6:$AX$14,5,FALSE),D1808)</f>
        <v>Wolfe v3: went back to modified wolfe + EDTA and switched CuSO4 to CUCl2</v>
      </c>
      <c r="E1809" s="10" t="str">
        <f>IFERROR(VLOOKUP(B1809,'Pre-Summary'!$AT$6:$AX$15,4,FALSE),"")</f>
        <v/>
      </c>
      <c r="F1809">
        <f>IFERROR(VLOOKUP(B1809,'Pre-Summary'!$AL$6:$AQ$13,6,FALSE),F1808)</f>
        <v>5.9405263157894746E-2</v>
      </c>
      <c r="G1809" t="str">
        <f>IFERROR(VLOOKUP(B1809,'Pre-Summary'!$AE$6:$AJ$85,3,FALSE),"")</f>
        <v/>
      </c>
      <c r="H1809" t="str">
        <f>IFERROR(VLOOKUP(B1809,'Pre-Summary'!$AE$6:$AJ$85,4,FALSE),"")</f>
        <v/>
      </c>
      <c r="I1809" t="str">
        <f>IFERROR(VLOOKUP(B1809,'Pre-Summary'!$AE$6:$AJ$85,5,FALSE),"")</f>
        <v/>
      </c>
      <c r="J1809" s="45" t="str">
        <f>IFERROR(VLOOKUP(B1809,'Pre-Summary'!$AE$6:$AJ$85,6, FALSE),"")</f>
        <v/>
      </c>
      <c r="K1809" s="45" t="str">
        <f>IFERROR(VLOOKUP(B1809,'Pre-Summary'!$DE$6:$DG$61,3,FALSE),"")</f>
        <v/>
      </c>
      <c r="L1809" s="45" t="str">
        <f>IFERROR(VLOOKUP(B1809,'Pre-Summary'!$CU$6:$CW$36,3,FALSE),"")</f>
        <v/>
      </c>
      <c r="M1809" s="45" t="str">
        <f>IFERROR(VLOOKUP(B1809,'Pre-Summary'!$BW$6:$BY$58,2,FALSE),"")</f>
        <v/>
      </c>
      <c r="N1809" s="45" t="str">
        <f>IFERROR(VLOOKUP(B1809,'Pre-Summary'!$CD$6:$CF$64,2,FALSE),"")</f>
        <v/>
      </c>
      <c r="O1809" s="99">
        <f>IFERROR(VLOOKUP(B1809,'Pre-Summary'!$BO$6:$BQ$48,3, FALSE),O1808)</f>
        <v>1.25</v>
      </c>
      <c r="P1809" s="99">
        <f>IFERROR(VLOOKUP(B1809,'Pre-Summary'!$BS$6:$BU$35,3,FALSE),P1808)</f>
        <v>0.33700000000000002</v>
      </c>
      <c r="Q1809" s="54">
        <f t="shared" si="84"/>
        <v>3.7091988130563798</v>
      </c>
      <c r="R1809" s="53">
        <f>IFERROR(VLOOKUP(B1809,'Pre-Summary'!$BG$6:$BM$44,7,FALSE),R1810)</f>
        <v>8.0894687007659741E-2</v>
      </c>
      <c r="S1809" s="53">
        <f>IFERROR(VLOOKUP(B1809,'Pre-Summary'!$BG$6:$BM$44,6,FALSE),S1810)</f>
        <v>6.1014931296205117E-2</v>
      </c>
      <c r="T1809" s="45" t="str">
        <f>IFERROR(VLOOKUP(B1809,'Pre-Summary'!$Y$6:$AC$83, 3,FALSE),"")</f>
        <v/>
      </c>
      <c r="U1809" s="45" t="str">
        <f>IFERROR(VLOOKUP(B1809,'Pre-Summary'!$Y$6:$AC$83, 4,FALSE),"")</f>
        <v/>
      </c>
      <c r="V1809" t="str">
        <f>IFERROR(VLOOKUP(B1809,'Pre-Summary'!$Y$6:$AC$83, 5,FALSE),"")</f>
        <v/>
      </c>
      <c r="W1809" s="45" t="str">
        <f>IFERROR(VLOOKUP(B1809,'Pre-Summary'!$Y$6:$AD$83,6,FALSE),"")</f>
        <v/>
      </c>
      <c r="X1809" t="str">
        <f>IFERROR(VLOOKUP('Pre-Summary'!$DB$6:$DD$63,3,FALSE),"")</f>
        <v/>
      </c>
      <c r="Y1809" t="str">
        <f>IFERROR(VLOOKUP(B1809,'Pre-Summary'!$CR$6:$CT$36,3,FALSE),"")</f>
        <v/>
      </c>
      <c r="Z1809" s="45" t="str">
        <f>IFERROR(VLOOKUP(B1809,'Pre-Summary'!$BZ$6:$CB$63,2,FALSE),"")</f>
        <v/>
      </c>
      <c r="AA1809" s="45" t="str">
        <f>IFERROR(VLOOKUP(B1809,'Pre-Summary'!$CG$6:$CI$70,2,FALSE),"")</f>
        <v/>
      </c>
      <c r="AB1809" s="99">
        <f>IFERROR(VLOOKUP(B1809,'Pre-Summary'!$A$6:$P$178,9,FALSE),AB1810)</f>
        <v>0.30142939521754147</v>
      </c>
      <c r="AC1809" s="10">
        <f>IFERROR(VLOOKUP(Summary!B1809,'Pre-Summary'!$A$6:$P$184,5, FALSE)/100,AC1810)</f>
        <v>0.88337933333333341</v>
      </c>
      <c r="AD1809" s="10">
        <f>IFERROR(VLOOKUP(Summary!B1809,'Pre-Summary'!$A$6:$P$184,3, FALSE)/100,AD1810)</f>
        <v>6.6985666666666666E-2</v>
      </c>
      <c r="AE1809" s="10">
        <f>IFERROR(VLOOKUP(Summary!B1809,'Pre-Summary'!$A$6:$P$184,7, FALSE)/100,AE1810)</f>
        <v>4.9634999999999999E-2</v>
      </c>
      <c r="AF1809" s="99">
        <f t="shared" si="85"/>
        <v>2.0191448991577161E-2</v>
      </c>
      <c r="AG1809" s="99">
        <f t="shared" si="86"/>
        <v>1.496144803162267E-2</v>
      </c>
      <c r="AH1809" s="10" t="str">
        <f>IFERROR(VLOOKUP(B1809,'Pre-Summary'!$AZ$6:$BE$65,3,FALSE),"")</f>
        <v/>
      </c>
      <c r="AI1809" s="10" t="str">
        <f>IFERROR(VLOOKUP(B1809,'Pre-Summary'!$AZ$6:$BE$65,5,FALSE),"")</f>
        <v/>
      </c>
      <c r="AJ1809" s="10" t="str">
        <f>IFERROR(VLOOKUP(B1809,'Pre-Summary'!$AZ$6:$BE$65,4,FALSE),"")</f>
        <v/>
      </c>
      <c r="AK1809" s="10" t="str">
        <f>IFERROR(VLOOKUP(B1809,'Pre-Summary'!$AZ$6:$BE$65,6,FALSE),"")</f>
        <v/>
      </c>
      <c r="AL1809" s="10" t="str">
        <f>IFERROR(VLOOKUP(B1809,'Pre-Summary'!$BG$6:$BL$44,3,FALSE),"")</f>
        <v/>
      </c>
      <c r="AM1809" s="10" t="str">
        <f>IFERROR(VLOOKUP(B1809,'Pre-Summary'!$BG$6:$BL$44,4,FALSE),"")</f>
        <v/>
      </c>
    </row>
    <row r="1810" spans="2:39" ht="15" customHeight="1" x14ac:dyDescent="0.3">
      <c r="B1810">
        <v>180.7</v>
      </c>
      <c r="C1810" t="str">
        <f>IFERROR(VLOOKUP(B1810,'Pre-Summary'!$DI$6:$DM$23,4,FALSE),"")</f>
        <v/>
      </c>
      <c r="D1810" s="10" t="str">
        <f>IFERROR(VLOOKUP(B1810,'Pre-Summary'!$AT$6:$AX$14,5,FALSE),D1809)</f>
        <v>Wolfe v3: went back to modified wolfe + EDTA and switched CuSO4 to CUCl2</v>
      </c>
      <c r="E1810" s="10" t="str">
        <f>IFERROR(VLOOKUP(B1810,'Pre-Summary'!$AT$6:$AX$15,4,FALSE),"")</f>
        <v/>
      </c>
      <c r="F1810">
        <f>IFERROR(VLOOKUP(B1810,'Pre-Summary'!$AL$6:$AQ$13,6,FALSE),F1809)</f>
        <v>5.9405263157894746E-2</v>
      </c>
      <c r="G1810" t="str">
        <f>IFERROR(VLOOKUP(B1810,'Pre-Summary'!$AE$6:$AJ$85,3,FALSE),"")</f>
        <v/>
      </c>
      <c r="H1810" t="str">
        <f>IFERROR(VLOOKUP(B1810,'Pre-Summary'!$AE$6:$AJ$85,4,FALSE),"")</f>
        <v/>
      </c>
      <c r="I1810" t="str">
        <f>IFERROR(VLOOKUP(B1810,'Pre-Summary'!$AE$6:$AJ$85,5,FALSE),"")</f>
        <v/>
      </c>
      <c r="J1810" s="45" t="str">
        <f>IFERROR(VLOOKUP(B1810,'Pre-Summary'!$AE$6:$AJ$85,6, FALSE),"")</f>
        <v/>
      </c>
      <c r="K1810" s="45" t="str">
        <f>IFERROR(VLOOKUP(B1810,'Pre-Summary'!$DE$6:$DG$61,3,FALSE),"")</f>
        <v/>
      </c>
      <c r="L1810" s="45" t="str">
        <f>IFERROR(VLOOKUP(B1810,'Pre-Summary'!$CU$6:$CW$36,3,FALSE),"")</f>
        <v/>
      </c>
      <c r="M1810" s="45" t="str">
        <f>IFERROR(VLOOKUP(B1810,'Pre-Summary'!$BW$6:$BY$58,2,FALSE),"")</f>
        <v/>
      </c>
      <c r="N1810" s="45" t="str">
        <f>IFERROR(VLOOKUP(B1810,'Pre-Summary'!$CD$6:$CF$64,2,FALSE),"")</f>
        <v/>
      </c>
      <c r="O1810" s="99">
        <f>IFERROR(VLOOKUP(B1810,'Pre-Summary'!$BO$6:$BQ$48,3, FALSE),O1809)</f>
        <v>1.25</v>
      </c>
      <c r="P1810" s="99">
        <f>IFERROR(VLOOKUP(B1810,'Pre-Summary'!$BS$6:$BU$35,3,FALSE),P1809)</f>
        <v>0.33700000000000002</v>
      </c>
      <c r="Q1810" s="54">
        <f t="shared" si="84"/>
        <v>3.7091988130563798</v>
      </c>
      <c r="R1810" s="53">
        <f>IFERROR(VLOOKUP(B1810,'Pre-Summary'!$BG$6:$BM$44,7,FALSE),R1811)</f>
        <v>8.0894687007659741E-2</v>
      </c>
      <c r="S1810" s="53">
        <f>IFERROR(VLOOKUP(B1810,'Pre-Summary'!$BG$6:$BM$44,6,FALSE),S1811)</f>
        <v>6.1014931296205117E-2</v>
      </c>
      <c r="T1810" s="45" t="str">
        <f>IFERROR(VLOOKUP(B1810,'Pre-Summary'!$Y$6:$AC$83, 3,FALSE),"")</f>
        <v/>
      </c>
      <c r="U1810" s="45" t="str">
        <f>IFERROR(VLOOKUP(B1810,'Pre-Summary'!$Y$6:$AC$83, 4,FALSE),"")</f>
        <v/>
      </c>
      <c r="V1810" t="str">
        <f>IFERROR(VLOOKUP(B1810,'Pre-Summary'!$Y$6:$AC$83, 5,FALSE),"")</f>
        <v/>
      </c>
      <c r="W1810" s="45" t="str">
        <f>IFERROR(VLOOKUP(B1810,'Pre-Summary'!$Y$6:$AD$83,6,FALSE),"")</f>
        <v/>
      </c>
      <c r="X1810" t="str">
        <f>IFERROR(VLOOKUP('Pre-Summary'!$DB$6:$DD$63,3,FALSE),"")</f>
        <v/>
      </c>
      <c r="Y1810" t="str">
        <f>IFERROR(VLOOKUP(B1810,'Pre-Summary'!$CR$6:$CT$36,3,FALSE),"")</f>
        <v/>
      </c>
      <c r="Z1810" s="45" t="str">
        <f>IFERROR(VLOOKUP(B1810,'Pre-Summary'!$BZ$6:$CB$63,2,FALSE),"")</f>
        <v/>
      </c>
      <c r="AA1810" s="45" t="str">
        <f>IFERROR(VLOOKUP(B1810,'Pre-Summary'!$CG$6:$CI$70,2,FALSE),"")</f>
        <v/>
      </c>
      <c r="AB1810" s="99">
        <f>IFERROR(VLOOKUP(B1810,'Pre-Summary'!$A$6:$P$178,9,FALSE),AB1811)</f>
        <v>0.30142939521754147</v>
      </c>
      <c r="AC1810" s="10">
        <f>IFERROR(VLOOKUP(Summary!B1810,'Pre-Summary'!$A$6:$P$184,5, FALSE)/100,AC1811)</f>
        <v>0.88337933333333341</v>
      </c>
      <c r="AD1810" s="10">
        <f>IFERROR(VLOOKUP(Summary!B1810,'Pre-Summary'!$A$6:$P$184,3, FALSE)/100,AD1811)</f>
        <v>6.6985666666666666E-2</v>
      </c>
      <c r="AE1810" s="10">
        <f>IFERROR(VLOOKUP(Summary!B1810,'Pre-Summary'!$A$6:$P$184,7, FALSE)/100,AE1811)</f>
        <v>4.9634999999999999E-2</v>
      </c>
      <c r="AF1810" s="99">
        <f t="shared" si="85"/>
        <v>2.0191448991577161E-2</v>
      </c>
      <c r="AG1810" s="99">
        <f t="shared" si="86"/>
        <v>1.496144803162267E-2</v>
      </c>
      <c r="AH1810" s="10" t="str">
        <f>IFERROR(VLOOKUP(B1810,'Pre-Summary'!$AZ$6:$BE$65,3,FALSE),"")</f>
        <v/>
      </c>
      <c r="AI1810" s="10" t="str">
        <f>IFERROR(VLOOKUP(B1810,'Pre-Summary'!$AZ$6:$BE$65,5,FALSE),"")</f>
        <v/>
      </c>
      <c r="AJ1810" s="10" t="str">
        <f>IFERROR(VLOOKUP(B1810,'Pre-Summary'!$AZ$6:$BE$65,4,FALSE),"")</f>
        <v/>
      </c>
      <c r="AK1810" s="10" t="str">
        <f>IFERROR(VLOOKUP(B1810,'Pre-Summary'!$AZ$6:$BE$65,6,FALSE),"")</f>
        <v/>
      </c>
      <c r="AL1810" s="10" t="str">
        <f>IFERROR(VLOOKUP(B1810,'Pre-Summary'!$BG$6:$BL$44,3,FALSE),"")</f>
        <v/>
      </c>
      <c r="AM1810" s="10" t="str">
        <f>IFERROR(VLOOKUP(B1810,'Pre-Summary'!$BG$6:$BL$44,4,FALSE),"")</f>
        <v/>
      </c>
    </row>
    <row r="1811" spans="2:39" ht="15" customHeight="1" x14ac:dyDescent="0.3">
      <c r="B1811">
        <v>180.8</v>
      </c>
      <c r="C1811" t="str">
        <f>IFERROR(VLOOKUP(B1811,'Pre-Summary'!$DI$6:$DM$23,4,FALSE),"")</f>
        <v/>
      </c>
      <c r="D1811" s="10" t="str">
        <f>IFERROR(VLOOKUP(B1811,'Pre-Summary'!$AT$6:$AX$14,5,FALSE),D1810)</f>
        <v>Wolfe v3: went back to modified wolfe + EDTA and switched CuSO4 to CUCl2</v>
      </c>
      <c r="E1811" s="10" t="str">
        <f>IFERROR(VLOOKUP(B1811,'Pre-Summary'!$AT$6:$AX$15,4,FALSE),"")</f>
        <v/>
      </c>
      <c r="F1811">
        <f>IFERROR(VLOOKUP(B1811,'Pre-Summary'!$AL$6:$AQ$13,6,FALSE),F1810)</f>
        <v>5.9405263157894746E-2</v>
      </c>
      <c r="G1811" t="str">
        <f>IFERROR(VLOOKUP(B1811,'Pre-Summary'!$AE$6:$AJ$85,3,FALSE),"")</f>
        <v/>
      </c>
      <c r="H1811" t="str">
        <f>IFERROR(VLOOKUP(B1811,'Pre-Summary'!$AE$6:$AJ$85,4,FALSE),"")</f>
        <v/>
      </c>
      <c r="I1811" t="str">
        <f>IFERROR(VLOOKUP(B1811,'Pre-Summary'!$AE$6:$AJ$85,5,FALSE),"")</f>
        <v/>
      </c>
      <c r="J1811" s="45" t="str">
        <f>IFERROR(VLOOKUP(B1811,'Pre-Summary'!$AE$6:$AJ$85,6, FALSE),"")</f>
        <v/>
      </c>
      <c r="K1811" s="45" t="str">
        <f>IFERROR(VLOOKUP(B1811,'Pre-Summary'!$DE$6:$DG$61,3,FALSE),"")</f>
        <v/>
      </c>
      <c r="L1811" s="45" t="str">
        <f>IFERROR(VLOOKUP(B1811,'Pre-Summary'!$CU$6:$CW$36,3,FALSE),"")</f>
        <v/>
      </c>
      <c r="M1811" s="45" t="str">
        <f>IFERROR(VLOOKUP(B1811,'Pre-Summary'!$BW$6:$BY$58,2,FALSE),"")</f>
        <v/>
      </c>
      <c r="N1811" s="45" t="str">
        <f>IFERROR(VLOOKUP(B1811,'Pre-Summary'!$CD$6:$CF$64,2,FALSE),"")</f>
        <v/>
      </c>
      <c r="O1811" s="99">
        <f>IFERROR(VLOOKUP(B1811,'Pre-Summary'!$BO$6:$BQ$48,3, FALSE),O1810)</f>
        <v>1.25</v>
      </c>
      <c r="P1811" s="99">
        <f>IFERROR(VLOOKUP(B1811,'Pre-Summary'!$BS$6:$BU$35,3,FALSE),P1810)</f>
        <v>0.33700000000000002</v>
      </c>
      <c r="Q1811" s="54">
        <f t="shared" si="84"/>
        <v>3.7091988130563798</v>
      </c>
      <c r="R1811" s="53">
        <f>IFERROR(VLOOKUP(B1811,'Pre-Summary'!$BG$6:$BM$44,7,FALSE),R1812)</f>
        <v>8.0894687007659741E-2</v>
      </c>
      <c r="S1811" s="53">
        <f>IFERROR(VLOOKUP(B1811,'Pre-Summary'!$BG$6:$BM$44,6,FALSE),S1812)</f>
        <v>6.1014931296205117E-2</v>
      </c>
      <c r="T1811" s="45" t="str">
        <f>IFERROR(VLOOKUP(B1811,'Pre-Summary'!$Y$6:$AC$83, 3,FALSE),"")</f>
        <v/>
      </c>
      <c r="U1811" s="45" t="str">
        <f>IFERROR(VLOOKUP(B1811,'Pre-Summary'!$Y$6:$AC$83, 4,FALSE),"")</f>
        <v/>
      </c>
      <c r="V1811" t="str">
        <f>IFERROR(VLOOKUP(B1811,'Pre-Summary'!$Y$6:$AC$83, 5,FALSE),"")</f>
        <v/>
      </c>
      <c r="W1811" s="45" t="str">
        <f>IFERROR(VLOOKUP(B1811,'Pre-Summary'!$Y$6:$AD$83,6,FALSE),"")</f>
        <v/>
      </c>
      <c r="X1811" t="str">
        <f>IFERROR(VLOOKUP('Pre-Summary'!$DB$6:$DD$63,3,FALSE),"")</f>
        <v/>
      </c>
      <c r="Y1811" t="str">
        <f>IFERROR(VLOOKUP(B1811,'Pre-Summary'!$CR$6:$CT$36,3,FALSE),"")</f>
        <v/>
      </c>
      <c r="Z1811" s="45" t="str">
        <f>IFERROR(VLOOKUP(B1811,'Pre-Summary'!$BZ$6:$CB$63,2,FALSE),"")</f>
        <v/>
      </c>
      <c r="AA1811" s="45" t="str">
        <f>IFERROR(VLOOKUP(B1811,'Pre-Summary'!$CG$6:$CI$70,2,FALSE),"")</f>
        <v/>
      </c>
      <c r="AB1811" s="99">
        <f>IFERROR(VLOOKUP(B1811,'Pre-Summary'!$A$6:$P$178,9,FALSE),AB1812)</f>
        <v>0.30142939521754147</v>
      </c>
      <c r="AC1811" s="10">
        <f>IFERROR(VLOOKUP(Summary!B1811,'Pre-Summary'!$A$6:$P$184,5, FALSE)/100,AC1812)</f>
        <v>0.88337933333333341</v>
      </c>
      <c r="AD1811" s="10">
        <f>IFERROR(VLOOKUP(Summary!B1811,'Pre-Summary'!$A$6:$P$184,3, FALSE)/100,AD1812)</f>
        <v>6.6985666666666666E-2</v>
      </c>
      <c r="AE1811" s="10">
        <f>IFERROR(VLOOKUP(Summary!B1811,'Pre-Summary'!$A$6:$P$184,7, FALSE)/100,AE1812)</f>
        <v>4.9634999999999999E-2</v>
      </c>
      <c r="AF1811" s="99">
        <f t="shared" si="85"/>
        <v>2.0191448991577161E-2</v>
      </c>
      <c r="AG1811" s="99">
        <f t="shared" si="86"/>
        <v>1.496144803162267E-2</v>
      </c>
      <c r="AH1811" s="10" t="str">
        <f>IFERROR(VLOOKUP(B1811,'Pre-Summary'!$AZ$6:$BE$65,3,FALSE),"")</f>
        <v/>
      </c>
      <c r="AI1811" s="10" t="str">
        <f>IFERROR(VLOOKUP(B1811,'Pre-Summary'!$AZ$6:$BE$65,5,FALSE),"")</f>
        <v/>
      </c>
      <c r="AJ1811" s="10" t="str">
        <f>IFERROR(VLOOKUP(B1811,'Pre-Summary'!$AZ$6:$BE$65,4,FALSE),"")</f>
        <v/>
      </c>
      <c r="AK1811" s="10" t="str">
        <f>IFERROR(VLOOKUP(B1811,'Pre-Summary'!$AZ$6:$BE$65,6,FALSE),"")</f>
        <v/>
      </c>
      <c r="AL1811" s="10" t="str">
        <f>IFERROR(VLOOKUP(B1811,'Pre-Summary'!$BG$6:$BL$44,3,FALSE),"")</f>
        <v/>
      </c>
      <c r="AM1811" s="10" t="str">
        <f>IFERROR(VLOOKUP(B1811,'Pre-Summary'!$BG$6:$BL$44,4,FALSE),"")</f>
        <v/>
      </c>
    </row>
    <row r="1812" spans="2:39" ht="15" customHeight="1" x14ac:dyDescent="0.3">
      <c r="B1812">
        <v>180.9</v>
      </c>
      <c r="C1812" t="str">
        <f>IFERROR(VLOOKUP(B1812,'Pre-Summary'!$DI$6:$DM$23,4,FALSE),"")</f>
        <v/>
      </c>
      <c r="D1812" s="10" t="str">
        <f>IFERROR(VLOOKUP(B1812,'Pre-Summary'!$AT$6:$AX$14,5,FALSE),D1811)</f>
        <v>Wolfe v3: went back to modified wolfe + EDTA and switched CuSO4 to CUCl2</v>
      </c>
      <c r="E1812" s="10" t="str">
        <f>IFERROR(VLOOKUP(B1812,'Pre-Summary'!$AT$6:$AX$15,4,FALSE),"")</f>
        <v/>
      </c>
      <c r="F1812">
        <f>IFERROR(VLOOKUP(B1812,'Pre-Summary'!$AL$6:$AQ$13,6,FALSE),F1811)</f>
        <v>5.9405263157894746E-2</v>
      </c>
      <c r="G1812" t="str">
        <f>IFERROR(VLOOKUP(B1812,'Pre-Summary'!$AE$6:$AJ$85,3,FALSE),"")</f>
        <v/>
      </c>
      <c r="H1812" t="str">
        <f>IFERROR(VLOOKUP(B1812,'Pre-Summary'!$AE$6:$AJ$85,4,FALSE),"")</f>
        <v/>
      </c>
      <c r="I1812" t="str">
        <f>IFERROR(VLOOKUP(B1812,'Pre-Summary'!$AE$6:$AJ$85,5,FALSE),"")</f>
        <v/>
      </c>
      <c r="J1812" s="45" t="str">
        <f>IFERROR(VLOOKUP(B1812,'Pre-Summary'!$AE$6:$AJ$85,6, FALSE),"")</f>
        <v/>
      </c>
      <c r="K1812" s="45">
        <f>IFERROR(VLOOKUP(B1812,'Pre-Summary'!$DE$6:$DG$61,3,FALSE),"")</f>
        <v>530</v>
      </c>
      <c r="L1812" s="45">
        <f>IFERROR(VLOOKUP(B1812,'Pre-Summary'!$CU$6:$CW$36,3,FALSE),"")</f>
        <v>295</v>
      </c>
      <c r="M1812" s="45" t="str">
        <f>IFERROR(VLOOKUP(B1812,'Pre-Summary'!$BW$6:$BY$58,2,FALSE),"")</f>
        <v/>
      </c>
      <c r="N1812" s="45" t="str">
        <f>IFERROR(VLOOKUP(B1812,'Pre-Summary'!$CD$6:$CF$64,2,FALSE),"")</f>
        <v/>
      </c>
      <c r="O1812" s="99">
        <f>IFERROR(VLOOKUP(B1812,'Pre-Summary'!$BO$6:$BQ$48,3, FALSE),O1811)</f>
        <v>1.25</v>
      </c>
      <c r="P1812" s="99">
        <f>IFERROR(VLOOKUP(B1812,'Pre-Summary'!$BS$6:$BU$35,3,FALSE),P1811)</f>
        <v>0.33700000000000002</v>
      </c>
      <c r="Q1812" s="54">
        <f t="shared" si="84"/>
        <v>3.7091988130563798</v>
      </c>
      <c r="R1812" s="53">
        <f>IFERROR(VLOOKUP(B1812,'Pre-Summary'!$BG$6:$BM$44,7,FALSE),R1813)</f>
        <v>8.0894687007659741E-2</v>
      </c>
      <c r="S1812" s="53">
        <f>IFERROR(VLOOKUP(B1812,'Pre-Summary'!$BG$6:$BM$44,6,FALSE),S1813)</f>
        <v>6.1014931296205117E-2</v>
      </c>
      <c r="T1812" s="45" t="str">
        <f>IFERROR(VLOOKUP(B1812,'Pre-Summary'!$Y$6:$AC$83, 3,FALSE),"")</f>
        <v/>
      </c>
      <c r="U1812" s="45" t="str">
        <f>IFERROR(VLOOKUP(B1812,'Pre-Summary'!$Y$6:$AC$83, 4,FALSE),"")</f>
        <v/>
      </c>
      <c r="V1812" t="str">
        <f>IFERROR(VLOOKUP(B1812,'Pre-Summary'!$Y$6:$AC$83, 5,FALSE),"")</f>
        <v/>
      </c>
      <c r="W1812" s="45" t="str">
        <f>IFERROR(VLOOKUP(B1812,'Pre-Summary'!$Y$6:$AD$83,6,FALSE),"")</f>
        <v/>
      </c>
      <c r="X1812" t="str">
        <f>IFERROR(VLOOKUP('Pre-Summary'!$DB$6:$DD$63,3,FALSE),"")</f>
        <v/>
      </c>
      <c r="Y1812">
        <f>IFERROR(VLOOKUP(B1812,'Pre-Summary'!$CR$6:$CT$36,3,FALSE),"")</f>
        <v>294.5</v>
      </c>
      <c r="Z1812" s="45">
        <f>IFERROR(VLOOKUP(B1812,'Pre-Summary'!$BZ$6:$CB$63,2,FALSE),"")</f>
        <v>69.948249865407931</v>
      </c>
      <c r="AA1812" s="45">
        <f>IFERROR(VLOOKUP(B1812,'Pre-Summary'!$CG$6:$CI$70,2,FALSE),"")</f>
        <v>285.82864095399816</v>
      </c>
      <c r="AB1812" s="99">
        <f>IFERROR(VLOOKUP(B1812,'Pre-Summary'!$A$6:$P$178,9,FALSE),AB1813)</f>
        <v>0.30142939521754147</v>
      </c>
      <c r="AC1812" s="10">
        <f>IFERROR(VLOOKUP(Summary!B1812,'Pre-Summary'!$A$6:$P$184,5, FALSE)/100,AC1813)</f>
        <v>0.88337933333333341</v>
      </c>
      <c r="AD1812" s="10">
        <f>IFERROR(VLOOKUP(Summary!B1812,'Pre-Summary'!$A$6:$P$184,3, FALSE)/100,AD1813)</f>
        <v>6.6985666666666666E-2</v>
      </c>
      <c r="AE1812" s="10">
        <f>IFERROR(VLOOKUP(Summary!B1812,'Pre-Summary'!$A$6:$P$184,7, FALSE)/100,AE1813)</f>
        <v>4.9634999999999999E-2</v>
      </c>
      <c r="AF1812" s="99">
        <f t="shared" si="85"/>
        <v>2.0191448991577161E-2</v>
      </c>
      <c r="AG1812" s="99">
        <f t="shared" si="86"/>
        <v>1.496144803162267E-2</v>
      </c>
      <c r="AH1812" s="10" t="str">
        <f>IFERROR(VLOOKUP(B1812,'Pre-Summary'!$AZ$6:$BE$65,3,FALSE),"")</f>
        <v/>
      </c>
      <c r="AI1812" s="10" t="str">
        <f>IFERROR(VLOOKUP(B1812,'Pre-Summary'!$AZ$6:$BE$65,5,FALSE),"")</f>
        <v/>
      </c>
      <c r="AJ1812" s="10" t="str">
        <f>IFERROR(VLOOKUP(B1812,'Pre-Summary'!$AZ$6:$BE$65,4,FALSE),"")</f>
        <v/>
      </c>
      <c r="AK1812" s="10" t="str">
        <f>IFERROR(VLOOKUP(B1812,'Pre-Summary'!$AZ$6:$BE$65,6,FALSE),"")</f>
        <v/>
      </c>
      <c r="AL1812" s="10" t="str">
        <f>IFERROR(VLOOKUP(B1812,'Pre-Summary'!$BG$6:$BL$44,3,FALSE),"")</f>
        <v/>
      </c>
      <c r="AM1812" s="10" t="str">
        <f>IFERROR(VLOOKUP(B1812,'Pre-Summary'!$BG$6:$BL$44,4,FALSE),"")</f>
        <v/>
      </c>
    </row>
    <row r="1813" spans="2:39" ht="15" customHeight="1" x14ac:dyDescent="0.3">
      <c r="B1813">
        <v>181</v>
      </c>
      <c r="C1813" t="str">
        <f>IFERROR(VLOOKUP(B1813,'Pre-Summary'!$DI$6:$DM$23,4,FALSE),"")</f>
        <v/>
      </c>
      <c r="D1813" s="10" t="str">
        <f>IFERROR(VLOOKUP(B1813,'Pre-Summary'!$AT$6:$AX$14,5,FALSE),D1812)</f>
        <v>Wolfe v3: went back to modified wolfe + EDTA and switched CuSO4 to CUCl2</v>
      </c>
      <c r="E1813" s="10" t="str">
        <f>IFERROR(VLOOKUP(B1813,'Pre-Summary'!$AT$6:$AX$15,4,FALSE),"")</f>
        <v/>
      </c>
      <c r="F1813">
        <f>IFERROR(VLOOKUP(B1813,'Pre-Summary'!$AL$6:$AQ$13,6,FALSE),F1812)</f>
        <v>5.9405263157894746E-2</v>
      </c>
      <c r="G1813" t="str">
        <f>IFERROR(VLOOKUP(B1813,'Pre-Summary'!$AE$6:$AJ$85,3,FALSE),"")</f>
        <v/>
      </c>
      <c r="H1813" t="str">
        <f>IFERROR(VLOOKUP(B1813,'Pre-Summary'!$AE$6:$AJ$85,4,FALSE),"")</f>
        <v/>
      </c>
      <c r="I1813" t="str">
        <f>IFERROR(VLOOKUP(B1813,'Pre-Summary'!$AE$6:$AJ$85,5,FALSE),"")</f>
        <v/>
      </c>
      <c r="J1813" s="45" t="str">
        <f>IFERROR(VLOOKUP(B1813,'Pre-Summary'!$AE$6:$AJ$85,6, FALSE),"")</f>
        <v/>
      </c>
      <c r="K1813" s="45" t="str">
        <f>IFERROR(VLOOKUP(B1813,'Pre-Summary'!$DE$6:$DG$61,3,FALSE),"")</f>
        <v/>
      </c>
      <c r="L1813" s="45" t="str">
        <f>IFERROR(VLOOKUP(B1813,'Pre-Summary'!$CU$6:$CW$36,3,FALSE),"")</f>
        <v/>
      </c>
      <c r="M1813" s="45" t="str">
        <f>IFERROR(VLOOKUP(B1813,'Pre-Summary'!$BW$6:$BY$58,2,FALSE),"")</f>
        <v/>
      </c>
      <c r="N1813" s="45" t="str">
        <f>IFERROR(VLOOKUP(B1813,'Pre-Summary'!$CD$6:$CF$64,2,FALSE),"")</f>
        <v/>
      </c>
      <c r="O1813" s="99">
        <f>IFERROR(VLOOKUP(B1813,'Pre-Summary'!$BO$6:$BQ$48,3, FALSE),O1812)</f>
        <v>1.25</v>
      </c>
      <c r="P1813" s="99">
        <f>IFERROR(VLOOKUP(B1813,'Pre-Summary'!$BS$6:$BU$35,3,FALSE),P1812)</f>
        <v>0.33700000000000002</v>
      </c>
      <c r="Q1813" s="54">
        <f t="shared" si="84"/>
        <v>3.7091988130563798</v>
      </c>
      <c r="R1813" s="53">
        <f>IFERROR(VLOOKUP(B1813,'Pre-Summary'!$BG$6:$BM$44,7,FALSE),R1814)</f>
        <v>8.0894687007659741E-2</v>
      </c>
      <c r="S1813" s="53">
        <f>IFERROR(VLOOKUP(B1813,'Pre-Summary'!$BG$6:$BM$44,6,FALSE),S1814)</f>
        <v>6.1014931296205117E-2</v>
      </c>
      <c r="T1813" s="45" t="str">
        <f>IFERROR(VLOOKUP(B1813,'Pre-Summary'!$Y$6:$AC$83, 3,FALSE),"")</f>
        <v/>
      </c>
      <c r="U1813" s="45" t="str">
        <f>IFERROR(VLOOKUP(B1813,'Pre-Summary'!$Y$6:$AC$83, 4,FALSE),"")</f>
        <v/>
      </c>
      <c r="V1813" t="str">
        <f>IFERROR(VLOOKUP(B1813,'Pre-Summary'!$Y$6:$AC$83, 5,FALSE),"")</f>
        <v/>
      </c>
      <c r="W1813" s="45" t="str">
        <f>IFERROR(VLOOKUP(B1813,'Pre-Summary'!$Y$6:$AD$83,6,FALSE),"")</f>
        <v/>
      </c>
      <c r="X1813" t="str">
        <f>IFERROR(VLOOKUP('Pre-Summary'!$DB$6:$DD$63,3,FALSE),"")</f>
        <v/>
      </c>
      <c r="Y1813" t="str">
        <f>IFERROR(VLOOKUP(B1813,'Pre-Summary'!$CR$6:$CT$36,3,FALSE),"")</f>
        <v/>
      </c>
      <c r="Z1813" s="45" t="str">
        <f>IFERROR(VLOOKUP(B1813,'Pre-Summary'!$BZ$6:$CB$63,2,FALSE),"")</f>
        <v/>
      </c>
      <c r="AA1813" s="45" t="str">
        <f>IFERROR(VLOOKUP(B1813,'Pre-Summary'!$CG$6:$CI$70,2,FALSE),"")</f>
        <v/>
      </c>
      <c r="AB1813" s="99">
        <f>IFERROR(VLOOKUP(B1813,'Pre-Summary'!$A$6:$P$178,9,FALSE),AB1814)</f>
        <v>0.30351342329535314</v>
      </c>
      <c r="AC1813" s="10">
        <f>IFERROR(VLOOKUP(Summary!B1813,'Pre-Summary'!$A$6:$P$184,5, FALSE)/100,AC1814)</f>
        <v>0.91960399999999998</v>
      </c>
      <c r="AD1813" s="10">
        <f>IFERROR(VLOOKUP(Summary!B1813,'Pre-Summary'!$A$6:$P$184,3, FALSE)/100,AD1814)</f>
        <v>4.9340333333333326E-2</v>
      </c>
      <c r="AE1813" s="10">
        <f>IFERROR(VLOOKUP(Summary!B1813,'Pre-Summary'!$A$6:$P$184,7, FALSE)/100,AE1814)</f>
        <v>3.1055333333333338E-2</v>
      </c>
      <c r="AF1813" s="99">
        <f t="shared" si="85"/>
        <v>1.4975453476533821E-2</v>
      </c>
      <c r="AG1813" s="99">
        <f t="shared" si="86"/>
        <v>9.4257105315782921E-3</v>
      </c>
      <c r="AH1813" s="10">
        <f>IFERROR(VLOOKUP(B1813,'Pre-Summary'!$AZ$6:$BE$65,3,FALSE),"")</f>
        <v>542</v>
      </c>
      <c r="AI1813" s="10">
        <f>IFERROR(VLOOKUP(B1813,'Pre-Summary'!$AZ$6:$BE$65,5,FALSE),"")</f>
        <v>126</v>
      </c>
      <c r="AJ1813" s="10">
        <f>IFERROR(VLOOKUP(B1813,'Pre-Summary'!$AZ$6:$BE$65,4,FALSE),"")</f>
        <v>424</v>
      </c>
      <c r="AK1813" s="10">
        <f>IFERROR(VLOOKUP(B1813,'Pre-Summary'!$AZ$6:$BE$65,6,FALSE),"")</f>
        <v>87</v>
      </c>
      <c r="AL1813" s="10">
        <f>IFERROR(VLOOKUP(B1813,'Pre-Summary'!$BG$6:$BL$44,3,FALSE),"")</f>
        <v>14.113649844577006</v>
      </c>
      <c r="AM1813" s="10">
        <f>IFERROR(VLOOKUP(B1813,'Pre-Summary'!$BG$6:$BL$44,4,FALSE),"")</f>
        <v>5.1216971544707164</v>
      </c>
    </row>
    <row r="1814" spans="2:39" ht="15" customHeight="1" x14ac:dyDescent="0.3">
      <c r="B1814">
        <v>181.1</v>
      </c>
      <c r="C1814" t="str">
        <f>IFERROR(VLOOKUP(B1814,'Pre-Summary'!$DI$6:$DM$23,4,FALSE),"")</f>
        <v/>
      </c>
      <c r="D1814" s="10" t="str">
        <f>IFERROR(VLOOKUP(B1814,'Pre-Summary'!$AT$6:$AX$14,5,FALSE),D1813)</f>
        <v>Wolfe v3: went back to modified wolfe + EDTA and switched CuSO4 to CUCl2</v>
      </c>
      <c r="E1814" s="10" t="str">
        <f>IFERROR(VLOOKUP(B1814,'Pre-Summary'!$AT$6:$AX$15,4,FALSE),"")</f>
        <v/>
      </c>
      <c r="F1814">
        <f>IFERROR(VLOOKUP(B1814,'Pre-Summary'!$AL$6:$AQ$13,6,FALSE),F1813)</f>
        <v>5.9405263157894746E-2</v>
      </c>
      <c r="G1814" t="str">
        <f>IFERROR(VLOOKUP(B1814,'Pre-Summary'!$AE$6:$AJ$85,3,FALSE),"")</f>
        <v/>
      </c>
      <c r="H1814" t="str">
        <f>IFERROR(VLOOKUP(B1814,'Pre-Summary'!$AE$6:$AJ$85,4,FALSE),"")</f>
        <v/>
      </c>
      <c r="I1814" t="str">
        <f>IFERROR(VLOOKUP(B1814,'Pre-Summary'!$AE$6:$AJ$85,5,FALSE),"")</f>
        <v/>
      </c>
      <c r="J1814" s="45" t="str">
        <f>IFERROR(VLOOKUP(B1814,'Pre-Summary'!$AE$6:$AJ$85,6, FALSE),"")</f>
        <v/>
      </c>
      <c r="K1814" s="45" t="str">
        <f>IFERROR(VLOOKUP(B1814,'Pre-Summary'!$DE$6:$DG$61,3,FALSE),"")</f>
        <v/>
      </c>
      <c r="L1814" s="45" t="str">
        <f>IFERROR(VLOOKUP(B1814,'Pre-Summary'!$CU$6:$CW$36,3,FALSE),"")</f>
        <v/>
      </c>
      <c r="M1814" s="45" t="str">
        <f>IFERROR(VLOOKUP(B1814,'Pre-Summary'!$BW$6:$BY$58,2,FALSE),"")</f>
        <v/>
      </c>
      <c r="N1814" s="45" t="str">
        <f>IFERROR(VLOOKUP(B1814,'Pre-Summary'!$CD$6:$CF$64,2,FALSE),"")</f>
        <v/>
      </c>
      <c r="O1814" s="99">
        <f>IFERROR(VLOOKUP(B1814,'Pre-Summary'!$BO$6:$BQ$48,3, FALSE),O1813)</f>
        <v>1.25</v>
      </c>
      <c r="P1814" s="99">
        <f>IFERROR(VLOOKUP(B1814,'Pre-Summary'!$BS$6:$BU$35,3,FALSE),P1813)</f>
        <v>0.33700000000000002</v>
      </c>
      <c r="Q1814" s="54">
        <f t="shared" si="84"/>
        <v>3.7091988130563798</v>
      </c>
      <c r="R1814" s="53">
        <f>IFERROR(VLOOKUP(B1814,'Pre-Summary'!$BG$6:$BM$44,7,FALSE),R1815)</f>
        <v>7.9325362566443819E-2</v>
      </c>
      <c r="S1814" s="53">
        <f>IFERROR(VLOOKUP(B1814,'Pre-Summary'!$BG$6:$BM$44,6,FALSE),S1815)</f>
        <v>0.10333499253358684</v>
      </c>
      <c r="T1814" s="45" t="str">
        <f>IFERROR(VLOOKUP(B1814,'Pre-Summary'!$Y$6:$AC$83, 3,FALSE),"")</f>
        <v/>
      </c>
      <c r="U1814" s="45" t="str">
        <f>IFERROR(VLOOKUP(B1814,'Pre-Summary'!$Y$6:$AC$83, 4,FALSE),"")</f>
        <v/>
      </c>
      <c r="V1814" t="str">
        <f>IFERROR(VLOOKUP(B1814,'Pre-Summary'!$Y$6:$AC$83, 5,FALSE),"")</f>
        <v/>
      </c>
      <c r="W1814" s="45" t="str">
        <f>IFERROR(VLOOKUP(B1814,'Pre-Summary'!$Y$6:$AD$83,6,FALSE),"")</f>
        <v/>
      </c>
      <c r="X1814" t="str">
        <f>IFERROR(VLOOKUP('Pre-Summary'!$DB$6:$DD$63,3,FALSE),"")</f>
        <v/>
      </c>
      <c r="Y1814" t="str">
        <f>IFERROR(VLOOKUP(B1814,'Pre-Summary'!$CR$6:$CT$36,3,FALSE),"")</f>
        <v/>
      </c>
      <c r="Z1814" s="45" t="str">
        <f>IFERROR(VLOOKUP(B1814,'Pre-Summary'!$BZ$6:$CB$63,2,FALSE),"")</f>
        <v/>
      </c>
      <c r="AA1814" s="45" t="str">
        <f>IFERROR(VLOOKUP(B1814,'Pre-Summary'!$CG$6:$CI$70,2,FALSE),"")</f>
        <v/>
      </c>
      <c r="AB1814" s="99">
        <f>IFERROR(VLOOKUP(B1814,'Pre-Summary'!$A$6:$P$178,9,FALSE),AB1815)</f>
        <v>0.30351342329535314</v>
      </c>
      <c r="AC1814" s="10">
        <f>IFERROR(VLOOKUP(Summary!B1814,'Pre-Summary'!$A$6:$P$184,5, FALSE)/100,AC1815)</f>
        <v>0.91960399999999998</v>
      </c>
      <c r="AD1814" s="10">
        <f>IFERROR(VLOOKUP(Summary!B1814,'Pre-Summary'!$A$6:$P$184,3, FALSE)/100,AD1815)</f>
        <v>4.9340333333333326E-2</v>
      </c>
      <c r="AE1814" s="10">
        <f>IFERROR(VLOOKUP(Summary!B1814,'Pre-Summary'!$A$6:$P$184,7, FALSE)/100,AE1815)</f>
        <v>3.1055333333333338E-2</v>
      </c>
      <c r="AF1814" s="99">
        <f t="shared" si="85"/>
        <v>1.4975453476533821E-2</v>
      </c>
      <c r="AG1814" s="99">
        <f t="shared" si="86"/>
        <v>9.4257105315782921E-3</v>
      </c>
      <c r="AH1814" s="10" t="str">
        <f>IFERROR(VLOOKUP(B1814,'Pre-Summary'!$AZ$6:$BE$65,3,FALSE),"")</f>
        <v/>
      </c>
      <c r="AI1814" s="10" t="str">
        <f>IFERROR(VLOOKUP(B1814,'Pre-Summary'!$AZ$6:$BE$65,5,FALSE),"")</f>
        <v/>
      </c>
      <c r="AJ1814" s="10" t="str">
        <f>IFERROR(VLOOKUP(B1814,'Pre-Summary'!$AZ$6:$BE$65,4,FALSE),"")</f>
        <v/>
      </c>
      <c r="AK1814" s="10" t="str">
        <f>IFERROR(VLOOKUP(B1814,'Pre-Summary'!$AZ$6:$BE$65,6,FALSE),"")</f>
        <v/>
      </c>
      <c r="AL1814" s="10" t="str">
        <f>IFERROR(VLOOKUP(B1814,'Pre-Summary'!$BG$6:$BL$44,3,FALSE),"")</f>
        <v/>
      </c>
      <c r="AM1814" s="10" t="str">
        <f>IFERROR(VLOOKUP(B1814,'Pre-Summary'!$BG$6:$BL$44,4,FALSE),"")</f>
        <v/>
      </c>
    </row>
    <row r="1815" spans="2:39" ht="15" customHeight="1" x14ac:dyDescent="0.3">
      <c r="B1815">
        <v>181.2</v>
      </c>
      <c r="C1815" t="str">
        <f>IFERROR(VLOOKUP(B1815,'Pre-Summary'!$DI$6:$DM$23,4,FALSE),"")</f>
        <v/>
      </c>
      <c r="D1815" s="10" t="str">
        <f>IFERROR(VLOOKUP(B1815,'Pre-Summary'!$AT$6:$AX$14,5,FALSE),D1814)</f>
        <v>Wolfe v3: went back to modified wolfe + EDTA and switched CuSO4 to CUCl2</v>
      </c>
      <c r="E1815" s="10" t="str">
        <f>IFERROR(VLOOKUP(B1815,'Pre-Summary'!$AT$6:$AX$15,4,FALSE),"")</f>
        <v/>
      </c>
      <c r="F1815">
        <f>IFERROR(VLOOKUP(B1815,'Pre-Summary'!$AL$6:$AQ$13,6,FALSE),F1814)</f>
        <v>5.9405263157894746E-2</v>
      </c>
      <c r="G1815" t="str">
        <f>IFERROR(VLOOKUP(B1815,'Pre-Summary'!$AE$6:$AJ$85,3,FALSE),"")</f>
        <v/>
      </c>
      <c r="H1815" t="str">
        <f>IFERROR(VLOOKUP(B1815,'Pre-Summary'!$AE$6:$AJ$85,4,FALSE),"")</f>
        <v/>
      </c>
      <c r="I1815" t="str">
        <f>IFERROR(VLOOKUP(B1815,'Pre-Summary'!$AE$6:$AJ$85,5,FALSE),"")</f>
        <v/>
      </c>
      <c r="J1815" s="45" t="str">
        <f>IFERROR(VLOOKUP(B1815,'Pre-Summary'!$AE$6:$AJ$85,6, FALSE),"")</f>
        <v/>
      </c>
      <c r="K1815" s="45" t="str">
        <f>IFERROR(VLOOKUP(B1815,'Pre-Summary'!$DE$6:$DG$61,3,FALSE),"")</f>
        <v/>
      </c>
      <c r="L1815" s="45" t="str">
        <f>IFERROR(VLOOKUP(B1815,'Pre-Summary'!$CU$6:$CW$36,3,FALSE),"")</f>
        <v/>
      </c>
      <c r="M1815" s="45" t="str">
        <f>IFERROR(VLOOKUP(B1815,'Pre-Summary'!$BW$6:$BY$58,2,FALSE),"")</f>
        <v/>
      </c>
      <c r="N1815" s="45" t="str">
        <f>IFERROR(VLOOKUP(B1815,'Pre-Summary'!$CD$6:$CF$64,2,FALSE),"")</f>
        <v/>
      </c>
      <c r="O1815" s="99">
        <f>IFERROR(VLOOKUP(B1815,'Pre-Summary'!$BO$6:$BQ$48,3, FALSE),O1814)</f>
        <v>1.25</v>
      </c>
      <c r="P1815" s="99">
        <f>IFERROR(VLOOKUP(B1815,'Pre-Summary'!$BS$6:$BU$35,3,FALSE),P1814)</f>
        <v>0.33700000000000002</v>
      </c>
      <c r="Q1815" s="54">
        <f t="shared" si="84"/>
        <v>3.7091988130563798</v>
      </c>
      <c r="R1815" s="53">
        <f>IFERROR(VLOOKUP(B1815,'Pre-Summary'!$BG$6:$BM$44,7,FALSE),R1816)</f>
        <v>7.9325362566443819E-2</v>
      </c>
      <c r="S1815" s="53">
        <f>IFERROR(VLOOKUP(B1815,'Pre-Summary'!$BG$6:$BM$44,6,FALSE),S1816)</f>
        <v>0.10333499253358684</v>
      </c>
      <c r="T1815" s="45" t="str">
        <f>IFERROR(VLOOKUP(B1815,'Pre-Summary'!$Y$6:$AC$83, 3,FALSE),"")</f>
        <v/>
      </c>
      <c r="U1815" s="45" t="str">
        <f>IFERROR(VLOOKUP(B1815,'Pre-Summary'!$Y$6:$AC$83, 4,FALSE),"")</f>
        <v/>
      </c>
      <c r="V1815" t="str">
        <f>IFERROR(VLOOKUP(B1815,'Pre-Summary'!$Y$6:$AC$83, 5,FALSE),"")</f>
        <v/>
      </c>
      <c r="W1815" s="45" t="str">
        <f>IFERROR(VLOOKUP(B1815,'Pre-Summary'!$Y$6:$AD$83,6,FALSE),"")</f>
        <v/>
      </c>
      <c r="X1815" t="str">
        <f>IFERROR(VLOOKUP('Pre-Summary'!$DB$6:$DD$63,3,FALSE),"")</f>
        <v/>
      </c>
      <c r="Y1815" t="str">
        <f>IFERROR(VLOOKUP(B1815,'Pre-Summary'!$CR$6:$CT$36,3,FALSE),"")</f>
        <v/>
      </c>
      <c r="Z1815" s="45" t="str">
        <f>IFERROR(VLOOKUP(B1815,'Pre-Summary'!$BZ$6:$CB$63,2,FALSE),"")</f>
        <v/>
      </c>
      <c r="AA1815" s="45" t="str">
        <f>IFERROR(VLOOKUP(B1815,'Pre-Summary'!$CG$6:$CI$70,2,FALSE),"")</f>
        <v/>
      </c>
      <c r="AB1815" s="99">
        <f>IFERROR(VLOOKUP(B1815,'Pre-Summary'!$A$6:$P$178,9,FALSE),AB1816)</f>
        <v>0.30351342329535314</v>
      </c>
      <c r="AC1815" s="10">
        <f>IFERROR(VLOOKUP(Summary!B1815,'Pre-Summary'!$A$6:$P$184,5, FALSE)/100,AC1816)</f>
        <v>0.91960399999999998</v>
      </c>
      <c r="AD1815" s="10">
        <f>IFERROR(VLOOKUP(Summary!B1815,'Pre-Summary'!$A$6:$P$184,3, FALSE)/100,AD1816)</f>
        <v>4.9340333333333326E-2</v>
      </c>
      <c r="AE1815" s="10">
        <f>IFERROR(VLOOKUP(Summary!B1815,'Pre-Summary'!$A$6:$P$184,7, FALSE)/100,AE1816)</f>
        <v>3.1055333333333338E-2</v>
      </c>
      <c r="AF1815" s="99">
        <f t="shared" si="85"/>
        <v>1.4975453476533821E-2</v>
      </c>
      <c r="AG1815" s="99">
        <f t="shared" si="86"/>
        <v>9.4257105315782921E-3</v>
      </c>
      <c r="AH1815" s="10" t="str">
        <f>IFERROR(VLOOKUP(B1815,'Pre-Summary'!$AZ$6:$BE$65,3,FALSE),"")</f>
        <v/>
      </c>
      <c r="AI1815" s="10" t="str">
        <f>IFERROR(VLOOKUP(B1815,'Pre-Summary'!$AZ$6:$BE$65,5,FALSE),"")</f>
        <v/>
      </c>
      <c r="AJ1815" s="10" t="str">
        <f>IFERROR(VLOOKUP(B1815,'Pre-Summary'!$AZ$6:$BE$65,4,FALSE),"")</f>
        <v/>
      </c>
      <c r="AK1815" s="10" t="str">
        <f>IFERROR(VLOOKUP(B1815,'Pre-Summary'!$AZ$6:$BE$65,6,FALSE),"")</f>
        <v/>
      </c>
      <c r="AL1815" s="10" t="str">
        <f>IFERROR(VLOOKUP(B1815,'Pre-Summary'!$BG$6:$BL$44,3,FALSE),"")</f>
        <v/>
      </c>
      <c r="AM1815" s="10" t="str">
        <f>IFERROR(VLOOKUP(B1815,'Pre-Summary'!$BG$6:$BL$44,4,FALSE),"")</f>
        <v/>
      </c>
    </row>
    <row r="1816" spans="2:39" ht="15" customHeight="1" x14ac:dyDescent="0.3">
      <c r="B1816">
        <v>181.3</v>
      </c>
      <c r="C1816" t="str">
        <f>IFERROR(VLOOKUP(B1816,'Pre-Summary'!$DI$6:$DM$23,4,FALSE),"")</f>
        <v/>
      </c>
      <c r="D1816" s="10" t="str">
        <f>IFERROR(VLOOKUP(B1816,'Pre-Summary'!$AT$6:$AX$14,5,FALSE),D1815)</f>
        <v>Wolfe v3: went back to modified wolfe + EDTA and switched CuSO4 to CUCl2</v>
      </c>
      <c r="E1816" s="10" t="str">
        <f>IFERROR(VLOOKUP(B1816,'Pre-Summary'!$AT$6:$AX$15,4,FALSE),"")</f>
        <v/>
      </c>
      <c r="F1816">
        <f>IFERROR(VLOOKUP(B1816,'Pre-Summary'!$AL$6:$AQ$13,6,FALSE),F1815)</f>
        <v>5.9405263157894746E-2</v>
      </c>
      <c r="G1816" t="str">
        <f>IFERROR(VLOOKUP(B1816,'Pre-Summary'!$AE$6:$AJ$85,3,FALSE),"")</f>
        <v/>
      </c>
      <c r="H1816" t="str">
        <f>IFERROR(VLOOKUP(B1816,'Pre-Summary'!$AE$6:$AJ$85,4,FALSE),"")</f>
        <v/>
      </c>
      <c r="I1816" t="str">
        <f>IFERROR(VLOOKUP(B1816,'Pre-Summary'!$AE$6:$AJ$85,5,FALSE),"")</f>
        <v/>
      </c>
      <c r="J1816" s="45" t="str">
        <f>IFERROR(VLOOKUP(B1816,'Pre-Summary'!$AE$6:$AJ$85,6, FALSE),"")</f>
        <v/>
      </c>
      <c r="K1816" s="45" t="str">
        <f>IFERROR(VLOOKUP(B1816,'Pre-Summary'!$DE$6:$DG$61,3,FALSE),"")</f>
        <v/>
      </c>
      <c r="L1816" s="45" t="str">
        <f>IFERROR(VLOOKUP(B1816,'Pre-Summary'!$CU$6:$CW$36,3,FALSE),"")</f>
        <v/>
      </c>
      <c r="M1816" s="45" t="str">
        <f>IFERROR(VLOOKUP(B1816,'Pre-Summary'!$BW$6:$BY$58,2,FALSE),"")</f>
        <v/>
      </c>
      <c r="N1816" s="45" t="str">
        <f>IFERROR(VLOOKUP(B1816,'Pre-Summary'!$CD$6:$CF$64,2,FALSE),"")</f>
        <v/>
      </c>
      <c r="O1816" s="99">
        <f>IFERROR(VLOOKUP(B1816,'Pre-Summary'!$BO$6:$BQ$48,3, FALSE),O1815)</f>
        <v>1.25</v>
      </c>
      <c r="P1816" s="99">
        <f>IFERROR(VLOOKUP(B1816,'Pre-Summary'!$BS$6:$BU$35,3,FALSE),P1815)</f>
        <v>0.33700000000000002</v>
      </c>
      <c r="Q1816" s="54">
        <f t="shared" si="84"/>
        <v>3.7091988130563798</v>
      </c>
      <c r="R1816" s="53">
        <f>IFERROR(VLOOKUP(B1816,'Pre-Summary'!$BG$6:$BM$44,7,FALSE),R1817)</f>
        <v>7.9325362566443819E-2</v>
      </c>
      <c r="S1816" s="53">
        <f>IFERROR(VLOOKUP(B1816,'Pre-Summary'!$BG$6:$BM$44,6,FALSE),S1817)</f>
        <v>0.10333499253358684</v>
      </c>
      <c r="T1816" s="45" t="str">
        <f>IFERROR(VLOOKUP(B1816,'Pre-Summary'!$Y$6:$AC$83, 3,FALSE),"")</f>
        <v/>
      </c>
      <c r="U1816" s="45" t="str">
        <f>IFERROR(VLOOKUP(B1816,'Pre-Summary'!$Y$6:$AC$83, 4,FALSE),"")</f>
        <v/>
      </c>
      <c r="V1816" t="str">
        <f>IFERROR(VLOOKUP(B1816,'Pre-Summary'!$Y$6:$AC$83, 5,FALSE),"")</f>
        <v/>
      </c>
      <c r="W1816" s="45" t="str">
        <f>IFERROR(VLOOKUP(B1816,'Pre-Summary'!$Y$6:$AD$83,6,FALSE),"")</f>
        <v/>
      </c>
      <c r="X1816" t="str">
        <f>IFERROR(VLOOKUP('Pre-Summary'!$DB$6:$DD$63,3,FALSE),"")</f>
        <v/>
      </c>
      <c r="Y1816" t="str">
        <f>IFERROR(VLOOKUP(B1816,'Pre-Summary'!$CR$6:$CT$36,3,FALSE),"")</f>
        <v/>
      </c>
      <c r="Z1816" s="45" t="str">
        <f>IFERROR(VLOOKUP(B1816,'Pre-Summary'!$BZ$6:$CB$63,2,FALSE),"")</f>
        <v/>
      </c>
      <c r="AA1816" s="45" t="str">
        <f>IFERROR(VLOOKUP(B1816,'Pre-Summary'!$CG$6:$CI$70,2,FALSE),"")</f>
        <v/>
      </c>
      <c r="AB1816" s="99">
        <f>IFERROR(VLOOKUP(B1816,'Pre-Summary'!$A$6:$P$178,9,FALSE),AB1817)</f>
        <v>0.30351342329535314</v>
      </c>
      <c r="AC1816" s="10">
        <f>IFERROR(VLOOKUP(Summary!B1816,'Pre-Summary'!$A$6:$P$184,5, FALSE)/100,AC1817)</f>
        <v>0.91960399999999998</v>
      </c>
      <c r="AD1816" s="10">
        <f>IFERROR(VLOOKUP(Summary!B1816,'Pre-Summary'!$A$6:$P$184,3, FALSE)/100,AD1817)</f>
        <v>4.9340333333333326E-2</v>
      </c>
      <c r="AE1816" s="10">
        <f>IFERROR(VLOOKUP(Summary!B1816,'Pre-Summary'!$A$6:$P$184,7, FALSE)/100,AE1817)</f>
        <v>3.1055333333333338E-2</v>
      </c>
      <c r="AF1816" s="99">
        <f t="shared" si="85"/>
        <v>1.4975453476533821E-2</v>
      </c>
      <c r="AG1816" s="99">
        <f t="shared" si="86"/>
        <v>9.4257105315782921E-3</v>
      </c>
      <c r="AH1816" s="10" t="str">
        <f>IFERROR(VLOOKUP(B1816,'Pre-Summary'!$AZ$6:$BE$65,3,FALSE),"")</f>
        <v/>
      </c>
      <c r="AI1816" s="10" t="str">
        <f>IFERROR(VLOOKUP(B1816,'Pre-Summary'!$AZ$6:$BE$65,5,FALSE),"")</f>
        <v/>
      </c>
      <c r="AJ1816" s="10" t="str">
        <f>IFERROR(VLOOKUP(B1816,'Pre-Summary'!$AZ$6:$BE$65,4,FALSE),"")</f>
        <v/>
      </c>
      <c r="AK1816" s="10" t="str">
        <f>IFERROR(VLOOKUP(B1816,'Pre-Summary'!$AZ$6:$BE$65,6,FALSE),"")</f>
        <v/>
      </c>
      <c r="AL1816" s="10" t="str">
        <f>IFERROR(VLOOKUP(B1816,'Pre-Summary'!$BG$6:$BL$44,3,FALSE),"")</f>
        <v/>
      </c>
      <c r="AM1816" s="10" t="str">
        <f>IFERROR(VLOOKUP(B1816,'Pre-Summary'!$BG$6:$BL$44,4,FALSE),"")</f>
        <v/>
      </c>
    </row>
    <row r="1817" spans="2:39" ht="15" customHeight="1" x14ac:dyDescent="0.3">
      <c r="B1817">
        <v>181.4</v>
      </c>
      <c r="C1817" t="str">
        <f>IFERROR(VLOOKUP(B1817,'Pre-Summary'!$DI$6:$DM$23,4,FALSE),"")</f>
        <v/>
      </c>
      <c r="D1817" s="10" t="str">
        <f>IFERROR(VLOOKUP(B1817,'Pre-Summary'!$AT$6:$AX$14,5,FALSE),D1816)</f>
        <v>Wolfe v3: went back to modified wolfe + EDTA and switched CuSO4 to CUCl2</v>
      </c>
      <c r="E1817" s="10" t="str">
        <f>IFERROR(VLOOKUP(B1817,'Pre-Summary'!$AT$6:$AX$15,4,FALSE),"")</f>
        <v/>
      </c>
      <c r="F1817">
        <f>IFERROR(VLOOKUP(B1817,'Pre-Summary'!$AL$6:$AQ$13,6,FALSE),F1816)</f>
        <v>5.9405263157894746E-2</v>
      </c>
      <c r="G1817" t="str">
        <f>IFERROR(VLOOKUP(B1817,'Pre-Summary'!$AE$6:$AJ$85,3,FALSE),"")</f>
        <v/>
      </c>
      <c r="H1817" t="str">
        <f>IFERROR(VLOOKUP(B1817,'Pre-Summary'!$AE$6:$AJ$85,4,FALSE),"")</f>
        <v/>
      </c>
      <c r="I1817" t="str">
        <f>IFERROR(VLOOKUP(B1817,'Pre-Summary'!$AE$6:$AJ$85,5,FALSE),"")</f>
        <v/>
      </c>
      <c r="J1817" s="45" t="str">
        <f>IFERROR(VLOOKUP(B1817,'Pre-Summary'!$AE$6:$AJ$85,6, FALSE),"")</f>
        <v/>
      </c>
      <c r="K1817" s="45" t="str">
        <f>IFERROR(VLOOKUP(B1817,'Pre-Summary'!$DE$6:$DG$61,3,FALSE),"")</f>
        <v/>
      </c>
      <c r="L1817" s="45" t="str">
        <f>IFERROR(VLOOKUP(B1817,'Pre-Summary'!$CU$6:$CW$36,3,FALSE),"")</f>
        <v/>
      </c>
      <c r="M1817" s="45" t="str">
        <f>IFERROR(VLOOKUP(B1817,'Pre-Summary'!$BW$6:$BY$58,2,FALSE),"")</f>
        <v/>
      </c>
      <c r="N1817" s="45" t="str">
        <f>IFERROR(VLOOKUP(B1817,'Pre-Summary'!$CD$6:$CF$64,2,FALSE),"")</f>
        <v/>
      </c>
      <c r="O1817" s="99">
        <f>IFERROR(VLOOKUP(B1817,'Pre-Summary'!$BO$6:$BQ$48,3, FALSE),O1816)</f>
        <v>1.25</v>
      </c>
      <c r="P1817" s="99">
        <f>IFERROR(VLOOKUP(B1817,'Pre-Summary'!$BS$6:$BU$35,3,FALSE),P1816)</f>
        <v>0.33700000000000002</v>
      </c>
      <c r="Q1817" s="54">
        <f t="shared" si="84"/>
        <v>3.7091988130563798</v>
      </c>
      <c r="R1817" s="53">
        <f>IFERROR(VLOOKUP(B1817,'Pre-Summary'!$BG$6:$BM$44,7,FALSE),R1818)</f>
        <v>7.9325362566443819E-2</v>
      </c>
      <c r="S1817" s="53">
        <f>IFERROR(VLOOKUP(B1817,'Pre-Summary'!$BG$6:$BM$44,6,FALSE),S1818)</f>
        <v>0.10333499253358684</v>
      </c>
      <c r="T1817" s="45" t="str">
        <f>IFERROR(VLOOKUP(B1817,'Pre-Summary'!$Y$6:$AC$83, 3,FALSE),"")</f>
        <v/>
      </c>
      <c r="U1817" s="45" t="str">
        <f>IFERROR(VLOOKUP(B1817,'Pre-Summary'!$Y$6:$AC$83, 4,FALSE),"")</f>
        <v/>
      </c>
      <c r="V1817" t="str">
        <f>IFERROR(VLOOKUP(B1817,'Pre-Summary'!$Y$6:$AC$83, 5,FALSE),"")</f>
        <v/>
      </c>
      <c r="W1817" s="45" t="str">
        <f>IFERROR(VLOOKUP(B1817,'Pre-Summary'!$Y$6:$AD$83,6,FALSE),"")</f>
        <v/>
      </c>
      <c r="X1817" t="str">
        <f>IFERROR(VLOOKUP('Pre-Summary'!$DB$6:$DD$63,3,FALSE),"")</f>
        <v/>
      </c>
      <c r="Y1817" t="str">
        <f>IFERROR(VLOOKUP(B1817,'Pre-Summary'!$CR$6:$CT$36,3,FALSE),"")</f>
        <v/>
      </c>
      <c r="Z1817" s="45" t="str">
        <f>IFERROR(VLOOKUP(B1817,'Pre-Summary'!$BZ$6:$CB$63,2,FALSE),"")</f>
        <v/>
      </c>
      <c r="AA1817" s="45" t="str">
        <f>IFERROR(VLOOKUP(B1817,'Pre-Summary'!$CG$6:$CI$70,2,FALSE),"")</f>
        <v/>
      </c>
      <c r="AB1817" s="99">
        <f>IFERROR(VLOOKUP(B1817,'Pre-Summary'!$A$6:$P$178,9,FALSE),AB1818)</f>
        <v>0.30351342329535314</v>
      </c>
      <c r="AC1817" s="10">
        <f>IFERROR(VLOOKUP(Summary!B1817,'Pre-Summary'!$A$6:$P$184,5, FALSE)/100,AC1818)</f>
        <v>0.91960399999999998</v>
      </c>
      <c r="AD1817" s="10">
        <f>IFERROR(VLOOKUP(Summary!B1817,'Pre-Summary'!$A$6:$P$184,3, FALSE)/100,AD1818)</f>
        <v>4.9340333333333326E-2</v>
      </c>
      <c r="AE1817" s="10">
        <f>IFERROR(VLOOKUP(Summary!B1817,'Pre-Summary'!$A$6:$P$184,7, FALSE)/100,AE1818)</f>
        <v>3.1055333333333338E-2</v>
      </c>
      <c r="AF1817" s="99">
        <f t="shared" si="85"/>
        <v>1.4975453476533821E-2</v>
      </c>
      <c r="AG1817" s="99">
        <f t="shared" si="86"/>
        <v>9.4257105315782921E-3</v>
      </c>
      <c r="AH1817" s="10" t="str">
        <f>IFERROR(VLOOKUP(B1817,'Pre-Summary'!$AZ$6:$BE$65,3,FALSE),"")</f>
        <v/>
      </c>
      <c r="AI1817" s="10" t="str">
        <f>IFERROR(VLOOKUP(B1817,'Pre-Summary'!$AZ$6:$BE$65,5,FALSE),"")</f>
        <v/>
      </c>
      <c r="AJ1817" s="10" t="str">
        <f>IFERROR(VLOOKUP(B1817,'Pre-Summary'!$AZ$6:$BE$65,4,FALSE),"")</f>
        <v/>
      </c>
      <c r="AK1817" s="10" t="str">
        <f>IFERROR(VLOOKUP(B1817,'Pre-Summary'!$AZ$6:$BE$65,6,FALSE),"")</f>
        <v/>
      </c>
      <c r="AL1817" s="10" t="str">
        <f>IFERROR(VLOOKUP(B1817,'Pre-Summary'!$BG$6:$BL$44,3,FALSE),"")</f>
        <v/>
      </c>
      <c r="AM1817" s="10" t="str">
        <f>IFERROR(VLOOKUP(B1817,'Pre-Summary'!$BG$6:$BL$44,4,FALSE),"")</f>
        <v/>
      </c>
    </row>
    <row r="1818" spans="2:39" ht="15" customHeight="1" x14ac:dyDescent="0.3">
      <c r="B1818">
        <v>181.5</v>
      </c>
      <c r="C1818" t="str">
        <f>IFERROR(VLOOKUP(B1818,'Pre-Summary'!$DI$6:$DM$23,4,FALSE),"")</f>
        <v/>
      </c>
      <c r="D1818" s="10" t="str">
        <f>IFERROR(VLOOKUP(B1818,'Pre-Summary'!$AT$6:$AX$14,5,FALSE),D1817)</f>
        <v>Wolfe v3: went back to modified wolfe + EDTA and switched CuSO4 to CUCl2</v>
      </c>
      <c r="E1818" s="10" t="str">
        <f>IFERROR(VLOOKUP(B1818,'Pre-Summary'!$AT$6:$AX$15,4,FALSE),"")</f>
        <v/>
      </c>
      <c r="F1818">
        <f>IFERROR(VLOOKUP(B1818,'Pre-Summary'!$AL$6:$AQ$13,6,FALSE),F1817)</f>
        <v>5.9405263157894746E-2</v>
      </c>
      <c r="G1818" t="str">
        <f>IFERROR(VLOOKUP(B1818,'Pre-Summary'!$AE$6:$AJ$85,3,FALSE),"")</f>
        <v/>
      </c>
      <c r="H1818" t="str">
        <f>IFERROR(VLOOKUP(B1818,'Pre-Summary'!$AE$6:$AJ$85,4,FALSE),"")</f>
        <v/>
      </c>
      <c r="I1818" t="str">
        <f>IFERROR(VLOOKUP(B1818,'Pre-Summary'!$AE$6:$AJ$85,5,FALSE),"")</f>
        <v/>
      </c>
      <c r="J1818" s="45" t="str">
        <f>IFERROR(VLOOKUP(B1818,'Pre-Summary'!$AE$6:$AJ$85,6, FALSE),"")</f>
        <v/>
      </c>
      <c r="K1818" s="45" t="str">
        <f>IFERROR(VLOOKUP(B1818,'Pre-Summary'!$DE$6:$DG$61,3,FALSE),"")</f>
        <v/>
      </c>
      <c r="L1818" s="45" t="str">
        <f>IFERROR(VLOOKUP(B1818,'Pre-Summary'!$CU$6:$CW$36,3,FALSE),"")</f>
        <v/>
      </c>
      <c r="M1818" s="45" t="str">
        <f>IFERROR(VLOOKUP(B1818,'Pre-Summary'!$BW$6:$BY$58,2,FALSE),"")</f>
        <v/>
      </c>
      <c r="N1818" s="45" t="str">
        <f>IFERROR(VLOOKUP(B1818,'Pre-Summary'!$CD$6:$CF$64,2,FALSE),"")</f>
        <v/>
      </c>
      <c r="O1818" s="99">
        <f>IFERROR(VLOOKUP(B1818,'Pre-Summary'!$BO$6:$BQ$48,3, FALSE),O1817)</f>
        <v>1.25</v>
      </c>
      <c r="P1818" s="99">
        <f>IFERROR(VLOOKUP(B1818,'Pre-Summary'!$BS$6:$BU$35,3,FALSE),P1817)</f>
        <v>0.33700000000000002</v>
      </c>
      <c r="Q1818" s="54">
        <f t="shared" si="84"/>
        <v>3.7091988130563798</v>
      </c>
      <c r="R1818" s="53">
        <f>IFERROR(VLOOKUP(B1818,'Pre-Summary'!$BG$6:$BM$44,7,FALSE),R1819)</f>
        <v>7.9325362566443819E-2</v>
      </c>
      <c r="S1818" s="53">
        <f>IFERROR(VLOOKUP(B1818,'Pre-Summary'!$BG$6:$BM$44,6,FALSE),S1819)</f>
        <v>0.10333499253358684</v>
      </c>
      <c r="T1818" s="45" t="str">
        <f>IFERROR(VLOOKUP(B1818,'Pre-Summary'!$Y$6:$AC$83, 3,FALSE),"")</f>
        <v/>
      </c>
      <c r="U1818" s="45" t="str">
        <f>IFERROR(VLOOKUP(B1818,'Pre-Summary'!$Y$6:$AC$83, 4,FALSE),"")</f>
        <v/>
      </c>
      <c r="V1818" t="str">
        <f>IFERROR(VLOOKUP(B1818,'Pre-Summary'!$Y$6:$AC$83, 5,FALSE),"")</f>
        <v/>
      </c>
      <c r="W1818" s="45" t="str">
        <f>IFERROR(VLOOKUP(B1818,'Pre-Summary'!$Y$6:$AD$83,6,FALSE),"")</f>
        <v/>
      </c>
      <c r="X1818" t="str">
        <f>IFERROR(VLOOKUP('Pre-Summary'!$DB$6:$DD$63,3,FALSE),"")</f>
        <v/>
      </c>
      <c r="Y1818" t="str">
        <f>IFERROR(VLOOKUP(B1818,'Pre-Summary'!$CR$6:$CT$36,3,FALSE),"")</f>
        <v/>
      </c>
      <c r="Z1818" s="45" t="str">
        <f>IFERROR(VLOOKUP(B1818,'Pre-Summary'!$BZ$6:$CB$63,2,FALSE),"")</f>
        <v/>
      </c>
      <c r="AA1818" s="45" t="str">
        <f>IFERROR(VLOOKUP(B1818,'Pre-Summary'!$CG$6:$CI$70,2,FALSE),"")</f>
        <v/>
      </c>
      <c r="AB1818" s="99">
        <f>IFERROR(VLOOKUP(B1818,'Pre-Summary'!$A$6:$P$178,9,FALSE),AB1819)</f>
        <v>0.30351342329535314</v>
      </c>
      <c r="AC1818" s="10">
        <f>IFERROR(VLOOKUP(Summary!B1818,'Pre-Summary'!$A$6:$P$184,5, FALSE)/100,AC1819)</f>
        <v>0.91960399999999998</v>
      </c>
      <c r="AD1818" s="10">
        <f>IFERROR(VLOOKUP(Summary!B1818,'Pre-Summary'!$A$6:$P$184,3, FALSE)/100,AD1819)</f>
        <v>4.9340333333333326E-2</v>
      </c>
      <c r="AE1818" s="10">
        <f>IFERROR(VLOOKUP(Summary!B1818,'Pre-Summary'!$A$6:$P$184,7, FALSE)/100,AE1819)</f>
        <v>3.1055333333333338E-2</v>
      </c>
      <c r="AF1818" s="99">
        <f t="shared" si="85"/>
        <v>1.4975453476533821E-2</v>
      </c>
      <c r="AG1818" s="99">
        <f t="shared" si="86"/>
        <v>9.4257105315782921E-3</v>
      </c>
      <c r="AH1818" s="10" t="str">
        <f>IFERROR(VLOOKUP(B1818,'Pre-Summary'!$AZ$6:$BE$65,3,FALSE),"")</f>
        <v/>
      </c>
      <c r="AI1818" s="10" t="str">
        <f>IFERROR(VLOOKUP(B1818,'Pre-Summary'!$AZ$6:$BE$65,5,FALSE),"")</f>
        <v/>
      </c>
      <c r="AJ1818" s="10" t="str">
        <f>IFERROR(VLOOKUP(B1818,'Pre-Summary'!$AZ$6:$BE$65,4,FALSE),"")</f>
        <v/>
      </c>
      <c r="AK1818" s="10" t="str">
        <f>IFERROR(VLOOKUP(B1818,'Pre-Summary'!$AZ$6:$BE$65,6,FALSE),"")</f>
        <v/>
      </c>
      <c r="AL1818" s="10" t="str">
        <f>IFERROR(VLOOKUP(B1818,'Pre-Summary'!$BG$6:$BL$44,3,FALSE),"")</f>
        <v/>
      </c>
      <c r="AM1818" s="10" t="str">
        <f>IFERROR(VLOOKUP(B1818,'Pre-Summary'!$BG$6:$BL$44,4,FALSE),"")</f>
        <v/>
      </c>
    </row>
    <row r="1819" spans="2:39" ht="15" customHeight="1" x14ac:dyDescent="0.3">
      <c r="B1819">
        <v>181.6</v>
      </c>
      <c r="C1819" t="str">
        <f>IFERROR(VLOOKUP(B1819,'Pre-Summary'!$DI$6:$DM$23,4,FALSE),"")</f>
        <v/>
      </c>
      <c r="D1819" s="10" t="str">
        <f>IFERROR(VLOOKUP(B1819,'Pre-Summary'!$AT$6:$AX$14,5,FALSE),D1818)</f>
        <v>Wolfe v3: went back to modified wolfe + EDTA and switched CuSO4 to CUCl2</v>
      </c>
      <c r="E1819" s="10" t="str">
        <f>IFERROR(VLOOKUP(B1819,'Pre-Summary'!$AT$6:$AX$15,4,FALSE),"")</f>
        <v/>
      </c>
      <c r="F1819">
        <f>IFERROR(VLOOKUP(B1819,'Pre-Summary'!$AL$6:$AQ$13,6,FALSE),F1818)</f>
        <v>5.9405263157894746E-2</v>
      </c>
      <c r="G1819" t="str">
        <f>IFERROR(VLOOKUP(B1819,'Pre-Summary'!$AE$6:$AJ$85,3,FALSE),"")</f>
        <v/>
      </c>
      <c r="H1819" t="str">
        <f>IFERROR(VLOOKUP(B1819,'Pre-Summary'!$AE$6:$AJ$85,4,FALSE),"")</f>
        <v/>
      </c>
      <c r="I1819" t="str">
        <f>IFERROR(VLOOKUP(B1819,'Pre-Summary'!$AE$6:$AJ$85,5,FALSE),"")</f>
        <v/>
      </c>
      <c r="J1819" s="45" t="str">
        <f>IFERROR(VLOOKUP(B1819,'Pre-Summary'!$AE$6:$AJ$85,6, FALSE),"")</f>
        <v/>
      </c>
      <c r="K1819" s="45" t="str">
        <f>IFERROR(VLOOKUP(B1819,'Pre-Summary'!$DE$6:$DG$61,3,FALSE),"")</f>
        <v/>
      </c>
      <c r="L1819" s="45" t="str">
        <f>IFERROR(VLOOKUP(B1819,'Pre-Summary'!$CU$6:$CW$36,3,FALSE),"")</f>
        <v/>
      </c>
      <c r="M1819" s="45" t="str">
        <f>IFERROR(VLOOKUP(B1819,'Pre-Summary'!$BW$6:$BY$58,2,FALSE),"")</f>
        <v/>
      </c>
      <c r="N1819" s="45" t="str">
        <f>IFERROR(VLOOKUP(B1819,'Pre-Summary'!$CD$6:$CF$64,2,FALSE),"")</f>
        <v/>
      </c>
      <c r="O1819" s="99">
        <f>IFERROR(VLOOKUP(B1819,'Pre-Summary'!$BO$6:$BQ$48,3, FALSE),O1818)</f>
        <v>1.25</v>
      </c>
      <c r="P1819" s="99">
        <f>IFERROR(VLOOKUP(B1819,'Pre-Summary'!$BS$6:$BU$35,3,FALSE),P1818)</f>
        <v>0.33700000000000002</v>
      </c>
      <c r="Q1819" s="54">
        <f t="shared" si="84"/>
        <v>3.7091988130563798</v>
      </c>
      <c r="R1819" s="53">
        <f>IFERROR(VLOOKUP(B1819,'Pre-Summary'!$BG$6:$BM$44,7,FALSE),R1820)</f>
        <v>7.9325362566443819E-2</v>
      </c>
      <c r="S1819" s="53">
        <f>IFERROR(VLOOKUP(B1819,'Pre-Summary'!$BG$6:$BM$44,6,FALSE),S1820)</f>
        <v>0.10333499253358684</v>
      </c>
      <c r="T1819" s="45" t="str">
        <f>IFERROR(VLOOKUP(B1819,'Pre-Summary'!$Y$6:$AC$83, 3,FALSE),"")</f>
        <v/>
      </c>
      <c r="U1819" s="45" t="str">
        <f>IFERROR(VLOOKUP(B1819,'Pre-Summary'!$Y$6:$AC$83, 4,FALSE),"")</f>
        <v/>
      </c>
      <c r="V1819" t="str">
        <f>IFERROR(VLOOKUP(B1819,'Pre-Summary'!$Y$6:$AC$83, 5,FALSE),"")</f>
        <v/>
      </c>
      <c r="W1819" s="45" t="str">
        <f>IFERROR(VLOOKUP(B1819,'Pre-Summary'!$Y$6:$AD$83,6,FALSE),"")</f>
        <v/>
      </c>
      <c r="X1819" t="str">
        <f>IFERROR(VLOOKUP('Pre-Summary'!$DB$6:$DD$63,3,FALSE),"")</f>
        <v/>
      </c>
      <c r="Y1819" t="str">
        <f>IFERROR(VLOOKUP(B1819,'Pre-Summary'!$CR$6:$CT$36,3,FALSE),"")</f>
        <v/>
      </c>
      <c r="Z1819" s="45" t="str">
        <f>IFERROR(VLOOKUP(B1819,'Pre-Summary'!$BZ$6:$CB$63,2,FALSE),"")</f>
        <v/>
      </c>
      <c r="AA1819" s="45" t="str">
        <f>IFERROR(VLOOKUP(B1819,'Pre-Summary'!$CG$6:$CI$70,2,FALSE),"")</f>
        <v/>
      </c>
      <c r="AB1819" s="99">
        <f>IFERROR(VLOOKUP(B1819,'Pre-Summary'!$A$6:$P$178,9,FALSE),AB1820)</f>
        <v>0.30351342329535314</v>
      </c>
      <c r="AC1819" s="10">
        <f>IFERROR(VLOOKUP(Summary!B1819,'Pre-Summary'!$A$6:$P$184,5, FALSE)/100,AC1820)</f>
        <v>0.91960399999999998</v>
      </c>
      <c r="AD1819" s="10">
        <f>IFERROR(VLOOKUP(Summary!B1819,'Pre-Summary'!$A$6:$P$184,3, FALSE)/100,AD1820)</f>
        <v>4.9340333333333326E-2</v>
      </c>
      <c r="AE1819" s="10">
        <f>IFERROR(VLOOKUP(Summary!B1819,'Pre-Summary'!$A$6:$P$184,7, FALSE)/100,AE1820)</f>
        <v>3.1055333333333338E-2</v>
      </c>
      <c r="AF1819" s="99">
        <f t="shared" si="85"/>
        <v>1.4975453476533821E-2</v>
      </c>
      <c r="AG1819" s="99">
        <f t="shared" si="86"/>
        <v>9.4257105315782921E-3</v>
      </c>
      <c r="AH1819" s="10" t="str">
        <f>IFERROR(VLOOKUP(B1819,'Pre-Summary'!$AZ$6:$BE$65,3,FALSE),"")</f>
        <v/>
      </c>
      <c r="AI1819" s="10" t="str">
        <f>IFERROR(VLOOKUP(B1819,'Pre-Summary'!$AZ$6:$BE$65,5,FALSE),"")</f>
        <v/>
      </c>
      <c r="AJ1819" s="10" t="str">
        <f>IFERROR(VLOOKUP(B1819,'Pre-Summary'!$AZ$6:$BE$65,4,FALSE),"")</f>
        <v/>
      </c>
      <c r="AK1819" s="10" t="str">
        <f>IFERROR(VLOOKUP(B1819,'Pre-Summary'!$AZ$6:$BE$65,6,FALSE),"")</f>
        <v/>
      </c>
      <c r="AL1819" s="10" t="str">
        <f>IFERROR(VLOOKUP(B1819,'Pre-Summary'!$BG$6:$BL$44,3,FALSE),"")</f>
        <v/>
      </c>
      <c r="AM1819" s="10" t="str">
        <f>IFERROR(VLOOKUP(B1819,'Pre-Summary'!$BG$6:$BL$44,4,FALSE),"")</f>
        <v/>
      </c>
    </row>
    <row r="1820" spans="2:39" ht="15" customHeight="1" x14ac:dyDescent="0.3">
      <c r="B1820">
        <v>181.7</v>
      </c>
      <c r="C1820" t="str">
        <f>IFERROR(VLOOKUP(B1820,'Pre-Summary'!$DI$6:$DM$23,4,FALSE),"")</f>
        <v/>
      </c>
      <c r="D1820" s="10" t="str">
        <f>IFERROR(VLOOKUP(B1820,'Pre-Summary'!$AT$6:$AX$14,5,FALSE),D1819)</f>
        <v>Wolfe v3: went back to modified wolfe + EDTA and switched CuSO4 to CUCl2</v>
      </c>
      <c r="E1820" s="10" t="str">
        <f>IFERROR(VLOOKUP(B1820,'Pre-Summary'!$AT$6:$AX$15,4,FALSE),"")</f>
        <v/>
      </c>
      <c r="F1820">
        <f>IFERROR(VLOOKUP(B1820,'Pre-Summary'!$AL$6:$AQ$13,6,FALSE),F1819)</f>
        <v>5.9405263157894746E-2</v>
      </c>
      <c r="G1820" t="str">
        <f>IFERROR(VLOOKUP(B1820,'Pre-Summary'!$AE$6:$AJ$85,3,FALSE),"")</f>
        <v/>
      </c>
      <c r="H1820" t="str">
        <f>IFERROR(VLOOKUP(B1820,'Pre-Summary'!$AE$6:$AJ$85,4,FALSE),"")</f>
        <v/>
      </c>
      <c r="I1820" t="str">
        <f>IFERROR(VLOOKUP(B1820,'Pre-Summary'!$AE$6:$AJ$85,5,FALSE),"")</f>
        <v/>
      </c>
      <c r="J1820" s="45" t="str">
        <f>IFERROR(VLOOKUP(B1820,'Pre-Summary'!$AE$6:$AJ$85,6, FALSE),"")</f>
        <v/>
      </c>
      <c r="K1820" s="45" t="str">
        <f>IFERROR(VLOOKUP(B1820,'Pre-Summary'!$DE$6:$DG$61,3,FALSE),"")</f>
        <v/>
      </c>
      <c r="L1820" s="45" t="str">
        <f>IFERROR(VLOOKUP(B1820,'Pre-Summary'!$CU$6:$CW$36,3,FALSE),"")</f>
        <v/>
      </c>
      <c r="M1820" s="45" t="str">
        <f>IFERROR(VLOOKUP(B1820,'Pre-Summary'!$BW$6:$BY$58,2,FALSE),"")</f>
        <v/>
      </c>
      <c r="N1820" s="45" t="str">
        <f>IFERROR(VLOOKUP(B1820,'Pre-Summary'!$CD$6:$CF$64,2,FALSE),"")</f>
        <v/>
      </c>
      <c r="O1820" s="99">
        <f>IFERROR(VLOOKUP(B1820,'Pre-Summary'!$BO$6:$BQ$48,3, FALSE),O1819)</f>
        <v>1.25</v>
      </c>
      <c r="P1820" s="99">
        <f>IFERROR(VLOOKUP(B1820,'Pre-Summary'!$BS$6:$BU$35,3,FALSE),P1819)</f>
        <v>0.33700000000000002</v>
      </c>
      <c r="Q1820" s="54">
        <f t="shared" si="84"/>
        <v>3.7091988130563798</v>
      </c>
      <c r="R1820" s="53">
        <f>IFERROR(VLOOKUP(B1820,'Pre-Summary'!$BG$6:$BM$44,7,FALSE),R1821)</f>
        <v>7.9325362566443819E-2</v>
      </c>
      <c r="S1820" s="53">
        <f>IFERROR(VLOOKUP(B1820,'Pre-Summary'!$BG$6:$BM$44,6,FALSE),S1821)</f>
        <v>0.10333499253358684</v>
      </c>
      <c r="T1820" s="45" t="str">
        <f>IFERROR(VLOOKUP(B1820,'Pre-Summary'!$Y$6:$AC$83, 3,FALSE),"")</f>
        <v/>
      </c>
      <c r="U1820" s="45" t="str">
        <f>IFERROR(VLOOKUP(B1820,'Pre-Summary'!$Y$6:$AC$83, 4,FALSE),"")</f>
        <v/>
      </c>
      <c r="V1820" t="str">
        <f>IFERROR(VLOOKUP(B1820,'Pre-Summary'!$Y$6:$AC$83, 5,FALSE),"")</f>
        <v/>
      </c>
      <c r="W1820" s="45" t="str">
        <f>IFERROR(VLOOKUP(B1820,'Pre-Summary'!$Y$6:$AD$83,6,FALSE),"")</f>
        <v/>
      </c>
      <c r="X1820" t="str">
        <f>IFERROR(VLOOKUP('Pre-Summary'!$DB$6:$DD$63,3,FALSE),"")</f>
        <v/>
      </c>
      <c r="Y1820" t="str">
        <f>IFERROR(VLOOKUP(B1820,'Pre-Summary'!$CR$6:$CT$36,3,FALSE),"")</f>
        <v/>
      </c>
      <c r="Z1820" s="45" t="str">
        <f>IFERROR(VLOOKUP(B1820,'Pre-Summary'!$BZ$6:$CB$63,2,FALSE),"")</f>
        <v/>
      </c>
      <c r="AA1820" s="45" t="str">
        <f>IFERROR(VLOOKUP(B1820,'Pre-Summary'!$CG$6:$CI$70,2,FALSE),"")</f>
        <v/>
      </c>
      <c r="AB1820" s="99">
        <f>IFERROR(VLOOKUP(B1820,'Pre-Summary'!$A$6:$P$178,9,FALSE),AB1821)</f>
        <v>0.30351342329535314</v>
      </c>
      <c r="AC1820" s="10">
        <f>IFERROR(VLOOKUP(Summary!B1820,'Pre-Summary'!$A$6:$P$184,5, FALSE)/100,AC1821)</f>
        <v>0.91960399999999998</v>
      </c>
      <c r="AD1820" s="10">
        <f>IFERROR(VLOOKUP(Summary!B1820,'Pre-Summary'!$A$6:$P$184,3, FALSE)/100,AD1821)</f>
        <v>4.9340333333333326E-2</v>
      </c>
      <c r="AE1820" s="10">
        <f>IFERROR(VLOOKUP(Summary!B1820,'Pre-Summary'!$A$6:$P$184,7, FALSE)/100,AE1821)</f>
        <v>3.1055333333333338E-2</v>
      </c>
      <c r="AF1820" s="99">
        <f t="shared" si="85"/>
        <v>1.4975453476533821E-2</v>
      </c>
      <c r="AG1820" s="99">
        <f t="shared" si="86"/>
        <v>9.4257105315782921E-3</v>
      </c>
      <c r="AH1820" s="10" t="str">
        <f>IFERROR(VLOOKUP(B1820,'Pre-Summary'!$AZ$6:$BE$65,3,FALSE),"")</f>
        <v/>
      </c>
      <c r="AI1820" s="10" t="str">
        <f>IFERROR(VLOOKUP(B1820,'Pre-Summary'!$AZ$6:$BE$65,5,FALSE),"")</f>
        <v/>
      </c>
      <c r="AJ1820" s="10" t="str">
        <f>IFERROR(VLOOKUP(B1820,'Pre-Summary'!$AZ$6:$BE$65,4,FALSE),"")</f>
        <v/>
      </c>
      <c r="AK1820" s="10" t="str">
        <f>IFERROR(VLOOKUP(B1820,'Pre-Summary'!$AZ$6:$BE$65,6,FALSE),"")</f>
        <v/>
      </c>
      <c r="AL1820" s="10" t="str">
        <f>IFERROR(VLOOKUP(B1820,'Pre-Summary'!$BG$6:$BL$44,3,FALSE),"")</f>
        <v/>
      </c>
      <c r="AM1820" s="10" t="str">
        <f>IFERROR(VLOOKUP(B1820,'Pre-Summary'!$BG$6:$BL$44,4,FALSE),"")</f>
        <v/>
      </c>
    </row>
    <row r="1821" spans="2:39" ht="15" customHeight="1" x14ac:dyDescent="0.3">
      <c r="B1821">
        <v>181.8</v>
      </c>
      <c r="C1821" t="str">
        <f>IFERROR(VLOOKUP(B1821,'Pre-Summary'!$DI$6:$DM$23,4,FALSE),"")</f>
        <v/>
      </c>
      <c r="D1821" s="10" t="str">
        <f>IFERROR(VLOOKUP(B1821,'Pre-Summary'!$AT$6:$AX$14,5,FALSE),D1820)</f>
        <v>Wolfe v3: went back to modified wolfe + EDTA and switched CuSO4 to CUCl2</v>
      </c>
      <c r="E1821" s="10" t="str">
        <f>IFERROR(VLOOKUP(B1821,'Pre-Summary'!$AT$6:$AX$15,4,FALSE),"")</f>
        <v/>
      </c>
      <c r="F1821">
        <f>IFERROR(VLOOKUP(B1821,'Pre-Summary'!$AL$6:$AQ$13,6,FALSE),F1820)</f>
        <v>5.9405263157894746E-2</v>
      </c>
      <c r="G1821" t="str">
        <f>IFERROR(VLOOKUP(B1821,'Pre-Summary'!$AE$6:$AJ$85,3,FALSE),"")</f>
        <v/>
      </c>
      <c r="H1821" t="str">
        <f>IFERROR(VLOOKUP(B1821,'Pre-Summary'!$AE$6:$AJ$85,4,FALSE),"")</f>
        <v/>
      </c>
      <c r="I1821" t="str">
        <f>IFERROR(VLOOKUP(B1821,'Pre-Summary'!$AE$6:$AJ$85,5,FALSE),"")</f>
        <v/>
      </c>
      <c r="J1821" s="45" t="str">
        <f>IFERROR(VLOOKUP(B1821,'Pre-Summary'!$AE$6:$AJ$85,6, FALSE),"")</f>
        <v/>
      </c>
      <c r="K1821" s="45" t="str">
        <f>IFERROR(VLOOKUP(B1821,'Pre-Summary'!$DE$6:$DG$61,3,FALSE),"")</f>
        <v/>
      </c>
      <c r="L1821" s="45" t="str">
        <f>IFERROR(VLOOKUP(B1821,'Pre-Summary'!$CU$6:$CW$36,3,FALSE),"")</f>
        <v/>
      </c>
      <c r="M1821" s="45" t="str">
        <f>IFERROR(VLOOKUP(B1821,'Pre-Summary'!$BW$6:$BY$58,2,FALSE),"")</f>
        <v/>
      </c>
      <c r="N1821" s="45" t="str">
        <f>IFERROR(VLOOKUP(B1821,'Pre-Summary'!$CD$6:$CF$64,2,FALSE),"")</f>
        <v/>
      </c>
      <c r="O1821" s="99">
        <f>IFERROR(VLOOKUP(B1821,'Pre-Summary'!$BO$6:$BQ$48,3, FALSE),O1820)</f>
        <v>1.25</v>
      </c>
      <c r="P1821" s="99">
        <f>IFERROR(VLOOKUP(B1821,'Pre-Summary'!$BS$6:$BU$35,3,FALSE),P1820)</f>
        <v>0.33700000000000002</v>
      </c>
      <c r="Q1821" s="54">
        <f t="shared" si="84"/>
        <v>3.7091988130563798</v>
      </c>
      <c r="R1821" s="53">
        <f>IFERROR(VLOOKUP(B1821,'Pre-Summary'!$BG$6:$BM$44,7,FALSE),R1822)</f>
        <v>7.9325362566443819E-2</v>
      </c>
      <c r="S1821" s="53">
        <f>IFERROR(VLOOKUP(B1821,'Pre-Summary'!$BG$6:$BM$44,6,FALSE),S1822)</f>
        <v>0.10333499253358684</v>
      </c>
      <c r="T1821" s="45" t="str">
        <f>IFERROR(VLOOKUP(B1821,'Pre-Summary'!$Y$6:$AC$83, 3,FALSE),"")</f>
        <v/>
      </c>
      <c r="U1821" s="45" t="str">
        <f>IFERROR(VLOOKUP(B1821,'Pre-Summary'!$Y$6:$AC$83, 4,FALSE),"")</f>
        <v/>
      </c>
      <c r="V1821" t="str">
        <f>IFERROR(VLOOKUP(B1821,'Pre-Summary'!$Y$6:$AC$83, 5,FALSE),"")</f>
        <v/>
      </c>
      <c r="W1821" s="45" t="str">
        <f>IFERROR(VLOOKUP(B1821,'Pre-Summary'!$Y$6:$AD$83,6,FALSE),"")</f>
        <v/>
      </c>
      <c r="X1821" t="str">
        <f>IFERROR(VLOOKUP('Pre-Summary'!$DB$6:$DD$63,3,FALSE),"")</f>
        <v/>
      </c>
      <c r="Y1821" t="str">
        <f>IFERROR(VLOOKUP(B1821,'Pre-Summary'!$CR$6:$CT$36,3,FALSE),"")</f>
        <v/>
      </c>
      <c r="Z1821" s="45" t="str">
        <f>IFERROR(VLOOKUP(B1821,'Pre-Summary'!$BZ$6:$CB$63,2,FALSE),"")</f>
        <v/>
      </c>
      <c r="AA1821" s="45" t="str">
        <f>IFERROR(VLOOKUP(B1821,'Pre-Summary'!$CG$6:$CI$70,2,FALSE),"")</f>
        <v/>
      </c>
      <c r="AB1821" s="99">
        <f>IFERROR(VLOOKUP(B1821,'Pre-Summary'!$A$6:$P$178,9,FALSE),AB1822)</f>
        <v>0.30351342329535314</v>
      </c>
      <c r="AC1821" s="10">
        <f>IFERROR(VLOOKUP(Summary!B1821,'Pre-Summary'!$A$6:$P$184,5, FALSE)/100,AC1822)</f>
        <v>0.91960399999999998</v>
      </c>
      <c r="AD1821" s="10">
        <f>IFERROR(VLOOKUP(Summary!B1821,'Pre-Summary'!$A$6:$P$184,3, FALSE)/100,AD1822)</f>
        <v>4.9340333333333326E-2</v>
      </c>
      <c r="AE1821" s="10">
        <f>IFERROR(VLOOKUP(Summary!B1821,'Pre-Summary'!$A$6:$P$184,7, FALSE)/100,AE1822)</f>
        <v>3.1055333333333338E-2</v>
      </c>
      <c r="AF1821" s="99">
        <f t="shared" si="85"/>
        <v>1.4975453476533821E-2</v>
      </c>
      <c r="AG1821" s="99">
        <f t="shared" si="86"/>
        <v>9.4257105315782921E-3</v>
      </c>
      <c r="AH1821" s="10" t="str">
        <f>IFERROR(VLOOKUP(B1821,'Pre-Summary'!$AZ$6:$BE$65,3,FALSE),"")</f>
        <v/>
      </c>
      <c r="AI1821" s="10" t="str">
        <f>IFERROR(VLOOKUP(B1821,'Pre-Summary'!$AZ$6:$BE$65,5,FALSE),"")</f>
        <v/>
      </c>
      <c r="AJ1821" s="10" t="str">
        <f>IFERROR(VLOOKUP(B1821,'Pre-Summary'!$AZ$6:$BE$65,4,FALSE),"")</f>
        <v/>
      </c>
      <c r="AK1821" s="10" t="str">
        <f>IFERROR(VLOOKUP(B1821,'Pre-Summary'!$AZ$6:$BE$65,6,FALSE),"")</f>
        <v/>
      </c>
      <c r="AL1821" s="10" t="str">
        <f>IFERROR(VLOOKUP(B1821,'Pre-Summary'!$BG$6:$BL$44,3,FALSE),"")</f>
        <v/>
      </c>
      <c r="AM1821" s="10" t="str">
        <f>IFERROR(VLOOKUP(B1821,'Pre-Summary'!$BG$6:$BL$44,4,FALSE),"")</f>
        <v/>
      </c>
    </row>
    <row r="1822" spans="2:39" ht="15" customHeight="1" x14ac:dyDescent="0.3">
      <c r="B1822">
        <v>181.9</v>
      </c>
      <c r="C1822" t="str">
        <f>IFERROR(VLOOKUP(B1822,'Pre-Summary'!$DI$6:$DM$23,4,FALSE),"")</f>
        <v>K12</v>
      </c>
      <c r="D1822" s="10" t="str">
        <f>IFERROR(VLOOKUP(B1822,'Pre-Summary'!$AT$6:$AX$14,5,FALSE),D1821)</f>
        <v>Wolfe v3: went back to modified wolfe + EDTA and switched CuSO4 to CUCl2</v>
      </c>
      <c r="E1822" s="10" t="str">
        <f>IFERROR(VLOOKUP(B1822,'Pre-Summary'!$AT$6:$AX$15,4,FALSE),"")</f>
        <v/>
      </c>
      <c r="F1822">
        <f>IFERROR(VLOOKUP(B1822,'Pre-Summary'!$AL$6:$AQ$13,6,FALSE),F1821)</f>
        <v>5.9405263157894746E-2</v>
      </c>
      <c r="G1822" t="str">
        <f>IFERROR(VLOOKUP(B1822,'Pre-Summary'!$AE$6:$AJ$85,3,FALSE),"")</f>
        <v/>
      </c>
      <c r="H1822" t="str">
        <f>IFERROR(VLOOKUP(B1822,'Pre-Summary'!$AE$6:$AJ$85,4,FALSE),"")</f>
        <v/>
      </c>
      <c r="I1822" t="str">
        <f>IFERROR(VLOOKUP(B1822,'Pre-Summary'!$AE$6:$AJ$85,5,FALSE),"")</f>
        <v/>
      </c>
      <c r="J1822" s="45" t="str">
        <f>IFERROR(VLOOKUP(B1822,'Pre-Summary'!$AE$6:$AJ$85,6, FALSE),"")</f>
        <v/>
      </c>
      <c r="K1822" s="45" t="str">
        <f>IFERROR(VLOOKUP(B1822,'Pre-Summary'!$DE$6:$DG$61,3,FALSE),"")</f>
        <v/>
      </c>
      <c r="L1822" s="45" t="str">
        <f>IFERROR(VLOOKUP(B1822,'Pre-Summary'!$CU$6:$CW$36,3,FALSE),"")</f>
        <v/>
      </c>
      <c r="M1822" s="45" t="str">
        <f>IFERROR(VLOOKUP(B1822,'Pre-Summary'!$BW$6:$BY$58,2,FALSE),"")</f>
        <v/>
      </c>
      <c r="N1822" s="45" t="str">
        <f>IFERROR(VLOOKUP(B1822,'Pre-Summary'!$CD$6:$CF$64,2,FALSE),"")</f>
        <v/>
      </c>
      <c r="O1822" s="99">
        <f>IFERROR(VLOOKUP(B1822,'Pre-Summary'!$BO$6:$BQ$48,3, FALSE),O1821)</f>
        <v>1.25</v>
      </c>
      <c r="P1822" s="99">
        <f>IFERROR(VLOOKUP(B1822,'Pre-Summary'!$BS$6:$BU$35,3,FALSE),P1821)</f>
        <v>0.33700000000000002</v>
      </c>
      <c r="Q1822" s="54">
        <f t="shared" si="84"/>
        <v>3.7091988130563798</v>
      </c>
      <c r="R1822" s="53">
        <f>IFERROR(VLOOKUP(B1822,'Pre-Summary'!$BG$6:$BM$44,7,FALSE),R1823)</f>
        <v>7.9325362566443819E-2</v>
      </c>
      <c r="S1822" s="53">
        <f>IFERROR(VLOOKUP(B1822,'Pre-Summary'!$BG$6:$BM$44,6,FALSE),S1823)</f>
        <v>0.10333499253358684</v>
      </c>
      <c r="T1822" s="45" t="str">
        <f>IFERROR(VLOOKUP(B1822,'Pre-Summary'!$Y$6:$AC$83, 3,FALSE),"")</f>
        <v/>
      </c>
      <c r="U1822" s="45" t="str">
        <f>IFERROR(VLOOKUP(B1822,'Pre-Summary'!$Y$6:$AC$83, 4,FALSE),"")</f>
        <v/>
      </c>
      <c r="V1822" t="str">
        <f>IFERROR(VLOOKUP(B1822,'Pre-Summary'!$Y$6:$AC$83, 5,FALSE),"")</f>
        <v/>
      </c>
      <c r="W1822" s="45" t="str">
        <f>IFERROR(VLOOKUP(B1822,'Pre-Summary'!$Y$6:$AD$83,6,FALSE),"")</f>
        <v/>
      </c>
      <c r="X1822" t="str">
        <f>IFERROR(VLOOKUP('Pre-Summary'!$DB$6:$DD$63,3,FALSE),"")</f>
        <v/>
      </c>
      <c r="Y1822" t="str">
        <f>IFERROR(VLOOKUP(B1822,'Pre-Summary'!$CR$6:$CT$36,3,FALSE),"")</f>
        <v/>
      </c>
      <c r="Z1822" s="45" t="str">
        <f>IFERROR(VLOOKUP(B1822,'Pre-Summary'!$BZ$6:$CB$63,2,FALSE),"")</f>
        <v/>
      </c>
      <c r="AA1822" s="45" t="str">
        <f>IFERROR(VLOOKUP(B1822,'Pre-Summary'!$CG$6:$CI$70,2,FALSE),"")</f>
        <v/>
      </c>
      <c r="AB1822" s="99">
        <f>IFERROR(VLOOKUP(B1822,'Pre-Summary'!$A$6:$P$178,9,FALSE),AB1823)</f>
        <v>0.30351342329535314</v>
      </c>
      <c r="AC1822" s="10">
        <f>IFERROR(VLOOKUP(Summary!B1822,'Pre-Summary'!$A$6:$P$184,5, FALSE)/100,AC1823)</f>
        <v>0.91960399999999998</v>
      </c>
      <c r="AD1822" s="10">
        <f>IFERROR(VLOOKUP(Summary!B1822,'Pre-Summary'!$A$6:$P$184,3, FALSE)/100,AD1823)</f>
        <v>4.9340333333333326E-2</v>
      </c>
      <c r="AE1822" s="10">
        <f>IFERROR(VLOOKUP(Summary!B1822,'Pre-Summary'!$A$6:$P$184,7, FALSE)/100,AE1823)</f>
        <v>3.1055333333333338E-2</v>
      </c>
      <c r="AF1822" s="99">
        <f t="shared" si="85"/>
        <v>1.4975453476533821E-2</v>
      </c>
      <c r="AG1822" s="99">
        <f t="shared" si="86"/>
        <v>9.4257105315782921E-3</v>
      </c>
      <c r="AH1822" s="10" t="str">
        <f>IFERROR(VLOOKUP(B1822,'Pre-Summary'!$AZ$6:$BE$65,3,FALSE),"")</f>
        <v/>
      </c>
      <c r="AI1822" s="10" t="str">
        <f>IFERROR(VLOOKUP(B1822,'Pre-Summary'!$AZ$6:$BE$65,5,FALSE),"")</f>
        <v/>
      </c>
      <c r="AJ1822" s="10" t="str">
        <f>IFERROR(VLOOKUP(B1822,'Pre-Summary'!$AZ$6:$BE$65,4,FALSE),"")</f>
        <v/>
      </c>
      <c r="AK1822" s="10" t="str">
        <f>IFERROR(VLOOKUP(B1822,'Pre-Summary'!$AZ$6:$BE$65,6,FALSE),"")</f>
        <v/>
      </c>
      <c r="AL1822" s="10" t="str">
        <f>IFERROR(VLOOKUP(B1822,'Pre-Summary'!$BG$6:$BL$44,3,FALSE),"")</f>
        <v/>
      </c>
      <c r="AM1822" s="10" t="str">
        <f>IFERROR(VLOOKUP(B1822,'Pre-Summary'!$BG$6:$BL$44,4,FALSE),"")</f>
        <v/>
      </c>
    </row>
    <row r="1823" spans="2:39" ht="15" customHeight="1" x14ac:dyDescent="0.3">
      <c r="B1823">
        <v>182</v>
      </c>
      <c r="C1823" t="str">
        <f>IFERROR(VLOOKUP(B1823,'Pre-Summary'!$DI$6:$DM$23,4,FALSE),"")</f>
        <v/>
      </c>
      <c r="D1823" s="10" t="str">
        <f>IFERROR(VLOOKUP(B1823,'Pre-Summary'!$AT$6:$AX$14,5,FALSE),D1822)</f>
        <v>Wolfe v3: went back to modified wolfe + EDTA and switched CuSO4 to CUCl2</v>
      </c>
      <c r="E1823" s="10" t="str">
        <f>IFERROR(VLOOKUP(B1823,'Pre-Summary'!$AT$6:$AX$15,4,FALSE),"")</f>
        <v/>
      </c>
      <c r="F1823">
        <f>IFERROR(VLOOKUP(B1823,'Pre-Summary'!$AL$6:$AQ$13,6,FALSE),F1822)</f>
        <v>5.9405263157894746E-2</v>
      </c>
      <c r="G1823" t="str">
        <f>IFERROR(VLOOKUP(B1823,'Pre-Summary'!$AE$6:$AJ$85,3,FALSE),"")</f>
        <v/>
      </c>
      <c r="H1823" t="str">
        <f>IFERROR(VLOOKUP(B1823,'Pre-Summary'!$AE$6:$AJ$85,4,FALSE),"")</f>
        <v/>
      </c>
      <c r="I1823" t="str">
        <f>IFERROR(VLOOKUP(B1823,'Pre-Summary'!$AE$6:$AJ$85,5,FALSE),"")</f>
        <v/>
      </c>
      <c r="J1823" s="45" t="str">
        <f>IFERROR(VLOOKUP(B1823,'Pre-Summary'!$AE$6:$AJ$85,6, FALSE),"")</f>
        <v/>
      </c>
      <c r="K1823" s="45" t="str">
        <f>IFERROR(VLOOKUP(B1823,'Pre-Summary'!$DE$6:$DG$61,3,FALSE),"")</f>
        <v/>
      </c>
      <c r="L1823" s="45" t="str">
        <f>IFERROR(VLOOKUP(B1823,'Pre-Summary'!$CU$6:$CW$36,3,FALSE),"")</f>
        <v/>
      </c>
      <c r="M1823" s="45" t="str">
        <f>IFERROR(VLOOKUP(B1823,'Pre-Summary'!$BW$6:$BY$58,2,FALSE),"")</f>
        <v/>
      </c>
      <c r="N1823" s="45" t="str">
        <f>IFERROR(VLOOKUP(B1823,'Pre-Summary'!$CD$6:$CF$64,2,FALSE),"")</f>
        <v/>
      </c>
      <c r="O1823" s="99">
        <f>IFERROR(VLOOKUP(B1823,'Pre-Summary'!$BO$6:$BQ$48,3, FALSE),O1822)</f>
        <v>1.25</v>
      </c>
      <c r="P1823" s="99">
        <f>IFERROR(VLOOKUP(B1823,'Pre-Summary'!$BS$6:$BU$35,3,FALSE),P1822)</f>
        <v>0.33700000000000002</v>
      </c>
      <c r="Q1823" s="54">
        <f t="shared" si="84"/>
        <v>3.7091988130563798</v>
      </c>
      <c r="R1823" s="53">
        <f>IFERROR(VLOOKUP(B1823,'Pre-Summary'!$BG$6:$BM$44,7,FALSE),R1824)</f>
        <v>7.9325362566443819E-2</v>
      </c>
      <c r="S1823" s="53">
        <f>IFERROR(VLOOKUP(B1823,'Pre-Summary'!$BG$6:$BM$44,6,FALSE),S1824)</f>
        <v>0.10333499253358684</v>
      </c>
      <c r="T1823" s="45" t="str">
        <f>IFERROR(VLOOKUP(B1823,'Pre-Summary'!$Y$6:$AC$83, 3,FALSE),"")</f>
        <v/>
      </c>
      <c r="U1823" s="45" t="str">
        <f>IFERROR(VLOOKUP(B1823,'Pre-Summary'!$Y$6:$AC$83, 4,FALSE),"")</f>
        <v/>
      </c>
      <c r="V1823" t="str">
        <f>IFERROR(VLOOKUP(B1823,'Pre-Summary'!$Y$6:$AC$83, 5,FALSE),"")</f>
        <v/>
      </c>
      <c r="W1823" s="45" t="str">
        <f>IFERROR(VLOOKUP(B1823,'Pre-Summary'!$Y$6:$AD$83,6,FALSE),"")</f>
        <v/>
      </c>
      <c r="X1823" t="str">
        <f>IFERROR(VLOOKUP('Pre-Summary'!$DB$6:$DD$63,3,FALSE),"")</f>
        <v/>
      </c>
      <c r="Y1823" t="str">
        <f>IFERROR(VLOOKUP(B1823,'Pre-Summary'!$CR$6:$CT$36,3,FALSE),"")</f>
        <v/>
      </c>
      <c r="Z1823" s="45" t="str">
        <f>IFERROR(VLOOKUP(B1823,'Pre-Summary'!$BZ$6:$CB$63,2,FALSE),"")</f>
        <v/>
      </c>
      <c r="AA1823" s="45" t="str">
        <f>IFERROR(VLOOKUP(B1823,'Pre-Summary'!$CG$6:$CI$70,2,FALSE),"")</f>
        <v/>
      </c>
      <c r="AB1823" s="99">
        <f>IFERROR(VLOOKUP(B1823,'Pre-Summary'!$A$6:$P$178,9,FALSE),AB1824)</f>
        <v>0.29703412162278986</v>
      </c>
      <c r="AC1823" s="10">
        <f>IFERROR(VLOOKUP(Summary!B1823,'Pre-Summary'!$A$6:$P$184,5, FALSE)/100,AC1824)</f>
        <v>0.91568833333333333</v>
      </c>
      <c r="AD1823" s="10">
        <f>IFERROR(VLOOKUP(Summary!B1823,'Pre-Summary'!$A$6:$P$184,3, FALSE)/100,AD1824)</f>
        <v>5.4185666666666667E-2</v>
      </c>
      <c r="AE1823" s="10">
        <f>IFERROR(VLOOKUP(Summary!B1823,'Pre-Summary'!$A$6:$P$184,7, FALSE)/100,AE1824)</f>
        <v>3.0125999999999997E-2</v>
      </c>
      <c r="AF1823" s="99">
        <f t="shared" si="85"/>
        <v>1.6094991902878619E-2</v>
      </c>
      <c r="AG1823" s="99">
        <f t="shared" si="86"/>
        <v>8.9484499480081657E-3</v>
      </c>
      <c r="AH1823" s="10" t="str">
        <f>IFERROR(VLOOKUP(B1823,'Pre-Summary'!$AZ$6:$BE$65,3,FALSE),"")</f>
        <v/>
      </c>
      <c r="AI1823" s="10" t="str">
        <f>IFERROR(VLOOKUP(B1823,'Pre-Summary'!$AZ$6:$BE$65,5,FALSE),"")</f>
        <v/>
      </c>
      <c r="AJ1823" s="10" t="str">
        <f>IFERROR(VLOOKUP(B1823,'Pre-Summary'!$AZ$6:$BE$65,4,FALSE),"")</f>
        <v/>
      </c>
      <c r="AK1823" s="10" t="str">
        <f>IFERROR(VLOOKUP(B1823,'Pre-Summary'!$AZ$6:$BE$65,6,FALSE),"")</f>
        <v/>
      </c>
      <c r="AL1823" s="10" t="str">
        <f>IFERROR(VLOOKUP(B1823,'Pre-Summary'!$BG$6:$BL$44,3,FALSE),"")</f>
        <v/>
      </c>
      <c r="AM1823" s="10" t="str">
        <f>IFERROR(VLOOKUP(B1823,'Pre-Summary'!$BG$6:$BL$44,4,FALSE),"")</f>
        <v/>
      </c>
    </row>
    <row r="1824" spans="2:39" ht="15" customHeight="1" x14ac:dyDescent="0.3">
      <c r="B1824">
        <v>182.1</v>
      </c>
      <c r="C1824" t="str">
        <f>IFERROR(VLOOKUP(B1824,'Pre-Summary'!$DI$6:$DM$23,4,FALSE),"")</f>
        <v/>
      </c>
      <c r="D1824" s="10" t="str">
        <f>IFERROR(VLOOKUP(B1824,'Pre-Summary'!$AT$6:$AX$14,5,FALSE),D1823)</f>
        <v>Wolfe v3: went back to modified wolfe + EDTA and switched CuSO4 to CUCl2</v>
      </c>
      <c r="E1824" s="10" t="str">
        <f>IFERROR(VLOOKUP(B1824,'Pre-Summary'!$AT$6:$AX$15,4,FALSE),"")</f>
        <v/>
      </c>
      <c r="F1824">
        <f>IFERROR(VLOOKUP(B1824,'Pre-Summary'!$AL$6:$AQ$13,6,FALSE),F1823)</f>
        <v>5.9405263157894746E-2</v>
      </c>
      <c r="G1824" t="str">
        <f>IFERROR(VLOOKUP(B1824,'Pre-Summary'!$AE$6:$AJ$85,3,FALSE),"")</f>
        <v/>
      </c>
      <c r="H1824" t="str">
        <f>IFERROR(VLOOKUP(B1824,'Pre-Summary'!$AE$6:$AJ$85,4,FALSE),"")</f>
        <v/>
      </c>
      <c r="I1824" t="str">
        <f>IFERROR(VLOOKUP(B1824,'Pre-Summary'!$AE$6:$AJ$85,5,FALSE),"")</f>
        <v/>
      </c>
      <c r="J1824" s="45" t="str">
        <f>IFERROR(VLOOKUP(B1824,'Pre-Summary'!$AE$6:$AJ$85,6, FALSE),"")</f>
        <v/>
      </c>
      <c r="K1824" s="45" t="str">
        <f>IFERROR(VLOOKUP(B1824,'Pre-Summary'!$DE$6:$DG$61,3,FALSE),"")</f>
        <v/>
      </c>
      <c r="L1824" s="45" t="str">
        <f>IFERROR(VLOOKUP(B1824,'Pre-Summary'!$CU$6:$CW$36,3,FALSE),"")</f>
        <v/>
      </c>
      <c r="M1824" s="45" t="str">
        <f>IFERROR(VLOOKUP(B1824,'Pre-Summary'!$BW$6:$BY$58,2,FALSE),"")</f>
        <v/>
      </c>
      <c r="N1824" s="45" t="str">
        <f>IFERROR(VLOOKUP(B1824,'Pre-Summary'!$CD$6:$CF$64,2,FALSE),"")</f>
        <v/>
      </c>
      <c r="O1824" s="99">
        <f>IFERROR(VLOOKUP(B1824,'Pre-Summary'!$BO$6:$BQ$48,3, FALSE),O1823)</f>
        <v>1.25</v>
      </c>
      <c r="P1824" s="99">
        <f>IFERROR(VLOOKUP(B1824,'Pre-Summary'!$BS$6:$BU$35,3,FALSE),P1823)</f>
        <v>0.33700000000000002</v>
      </c>
      <c r="Q1824" s="54">
        <f t="shared" si="84"/>
        <v>3.7091988130563798</v>
      </c>
      <c r="R1824" s="53">
        <f>IFERROR(VLOOKUP(B1824,'Pre-Summary'!$BG$6:$BM$44,7,FALSE),R1825)</f>
        <v>7.9325362566443819E-2</v>
      </c>
      <c r="S1824" s="53">
        <f>IFERROR(VLOOKUP(B1824,'Pre-Summary'!$BG$6:$BM$44,6,FALSE),S1825)</f>
        <v>0.10333499253358684</v>
      </c>
      <c r="T1824" s="45" t="str">
        <f>IFERROR(VLOOKUP(B1824,'Pre-Summary'!$Y$6:$AC$83, 3,FALSE),"")</f>
        <v/>
      </c>
      <c r="U1824" s="45" t="str">
        <f>IFERROR(VLOOKUP(B1824,'Pre-Summary'!$Y$6:$AC$83, 4,FALSE),"")</f>
        <v/>
      </c>
      <c r="V1824" t="str">
        <f>IFERROR(VLOOKUP(B1824,'Pre-Summary'!$Y$6:$AC$83, 5,FALSE),"")</f>
        <v/>
      </c>
      <c r="W1824" s="45" t="str">
        <f>IFERROR(VLOOKUP(B1824,'Pre-Summary'!$Y$6:$AD$83,6,FALSE),"")</f>
        <v/>
      </c>
      <c r="X1824" t="str">
        <f>IFERROR(VLOOKUP('Pre-Summary'!$DB$6:$DD$63,3,FALSE),"")</f>
        <v/>
      </c>
      <c r="Y1824" t="str">
        <f>IFERROR(VLOOKUP(B1824,'Pre-Summary'!$CR$6:$CT$36,3,FALSE),"")</f>
        <v/>
      </c>
      <c r="Z1824" s="45" t="str">
        <f>IFERROR(VLOOKUP(B1824,'Pre-Summary'!$BZ$6:$CB$63,2,FALSE),"")</f>
        <v/>
      </c>
      <c r="AA1824" s="45" t="str">
        <f>IFERROR(VLOOKUP(B1824,'Pre-Summary'!$CG$6:$CI$70,2,FALSE),"")</f>
        <v/>
      </c>
      <c r="AB1824" s="99">
        <f>IFERROR(VLOOKUP(B1824,'Pre-Summary'!$A$6:$P$178,9,FALSE),AB1825)</f>
        <v>0.29703412162278986</v>
      </c>
      <c r="AC1824" s="10">
        <f>IFERROR(VLOOKUP(Summary!B1824,'Pre-Summary'!$A$6:$P$184,5, FALSE)/100,AC1825)</f>
        <v>0.91568833333333333</v>
      </c>
      <c r="AD1824" s="10">
        <f>IFERROR(VLOOKUP(Summary!B1824,'Pre-Summary'!$A$6:$P$184,3, FALSE)/100,AD1825)</f>
        <v>5.4185666666666667E-2</v>
      </c>
      <c r="AE1824" s="10">
        <f>IFERROR(VLOOKUP(Summary!B1824,'Pre-Summary'!$A$6:$P$184,7, FALSE)/100,AE1825)</f>
        <v>3.0125999999999997E-2</v>
      </c>
      <c r="AF1824" s="99">
        <f t="shared" si="85"/>
        <v>1.6094991902878619E-2</v>
      </c>
      <c r="AG1824" s="99">
        <f t="shared" si="86"/>
        <v>8.9484499480081657E-3</v>
      </c>
      <c r="AH1824" s="10" t="str">
        <f>IFERROR(VLOOKUP(B1824,'Pre-Summary'!$AZ$6:$BE$65,3,FALSE),"")</f>
        <v/>
      </c>
      <c r="AI1824" s="10" t="str">
        <f>IFERROR(VLOOKUP(B1824,'Pre-Summary'!$AZ$6:$BE$65,5,FALSE),"")</f>
        <v/>
      </c>
      <c r="AJ1824" s="10" t="str">
        <f>IFERROR(VLOOKUP(B1824,'Pre-Summary'!$AZ$6:$BE$65,4,FALSE),"")</f>
        <v/>
      </c>
      <c r="AK1824" s="10" t="str">
        <f>IFERROR(VLOOKUP(B1824,'Pre-Summary'!$AZ$6:$BE$65,6,FALSE),"")</f>
        <v/>
      </c>
      <c r="AL1824" s="10" t="str">
        <f>IFERROR(VLOOKUP(B1824,'Pre-Summary'!$BG$6:$BL$44,3,FALSE),"")</f>
        <v/>
      </c>
      <c r="AM1824" s="10" t="str">
        <f>IFERROR(VLOOKUP(B1824,'Pre-Summary'!$BG$6:$BL$44,4,FALSE),"")</f>
        <v/>
      </c>
    </row>
    <row r="1825" spans="2:39" ht="15" customHeight="1" x14ac:dyDescent="0.3">
      <c r="B1825">
        <v>182.2</v>
      </c>
      <c r="C1825" t="str">
        <f>IFERROR(VLOOKUP(B1825,'Pre-Summary'!$DI$6:$DM$23,4,FALSE),"")</f>
        <v/>
      </c>
      <c r="D1825" s="10" t="str">
        <f>IFERROR(VLOOKUP(B1825,'Pre-Summary'!$AT$6:$AX$14,5,FALSE),D1824)</f>
        <v>Wolfe v3: went back to modified wolfe + EDTA and switched CuSO4 to CUCl2</v>
      </c>
      <c r="E1825" s="10" t="str">
        <f>IFERROR(VLOOKUP(B1825,'Pre-Summary'!$AT$6:$AX$15,4,FALSE),"")</f>
        <v/>
      </c>
      <c r="F1825">
        <f>IFERROR(VLOOKUP(B1825,'Pre-Summary'!$AL$6:$AQ$13,6,FALSE),F1824)</f>
        <v>5.9405263157894746E-2</v>
      </c>
      <c r="G1825" t="str">
        <f>IFERROR(VLOOKUP(B1825,'Pre-Summary'!$AE$6:$AJ$85,3,FALSE),"")</f>
        <v/>
      </c>
      <c r="H1825" t="str">
        <f>IFERROR(VLOOKUP(B1825,'Pre-Summary'!$AE$6:$AJ$85,4,FALSE),"")</f>
        <v/>
      </c>
      <c r="I1825" t="str">
        <f>IFERROR(VLOOKUP(B1825,'Pre-Summary'!$AE$6:$AJ$85,5,FALSE),"")</f>
        <v/>
      </c>
      <c r="J1825" s="45" t="str">
        <f>IFERROR(VLOOKUP(B1825,'Pre-Summary'!$AE$6:$AJ$85,6, FALSE),"")</f>
        <v/>
      </c>
      <c r="K1825" s="45" t="str">
        <f>IFERROR(VLOOKUP(B1825,'Pre-Summary'!$DE$6:$DG$61,3,FALSE),"")</f>
        <v/>
      </c>
      <c r="L1825" s="45" t="str">
        <f>IFERROR(VLOOKUP(B1825,'Pre-Summary'!$CU$6:$CW$36,3,FALSE),"")</f>
        <v/>
      </c>
      <c r="M1825" s="45" t="str">
        <f>IFERROR(VLOOKUP(B1825,'Pre-Summary'!$BW$6:$BY$58,2,FALSE),"")</f>
        <v/>
      </c>
      <c r="N1825" s="45" t="str">
        <f>IFERROR(VLOOKUP(B1825,'Pre-Summary'!$CD$6:$CF$64,2,FALSE),"")</f>
        <v/>
      </c>
      <c r="O1825" s="99">
        <f>IFERROR(VLOOKUP(B1825,'Pre-Summary'!$BO$6:$BQ$48,3, FALSE),O1824)</f>
        <v>1.25</v>
      </c>
      <c r="P1825" s="99">
        <f>IFERROR(VLOOKUP(B1825,'Pre-Summary'!$BS$6:$BU$35,3,FALSE),P1824)</f>
        <v>0.33700000000000002</v>
      </c>
      <c r="Q1825" s="54">
        <f t="shared" si="84"/>
        <v>3.7091988130563798</v>
      </c>
      <c r="R1825" s="53">
        <f>IFERROR(VLOOKUP(B1825,'Pre-Summary'!$BG$6:$BM$44,7,FALSE),R1826)</f>
        <v>7.9325362566443819E-2</v>
      </c>
      <c r="S1825" s="53">
        <f>IFERROR(VLOOKUP(B1825,'Pre-Summary'!$BG$6:$BM$44,6,FALSE),S1826)</f>
        <v>0.10333499253358684</v>
      </c>
      <c r="T1825" s="45" t="str">
        <f>IFERROR(VLOOKUP(B1825,'Pre-Summary'!$Y$6:$AC$83, 3,FALSE),"")</f>
        <v/>
      </c>
      <c r="U1825" s="45" t="str">
        <f>IFERROR(VLOOKUP(B1825,'Pre-Summary'!$Y$6:$AC$83, 4,FALSE),"")</f>
        <v/>
      </c>
      <c r="V1825" t="str">
        <f>IFERROR(VLOOKUP(B1825,'Pre-Summary'!$Y$6:$AC$83, 5,FALSE),"")</f>
        <v/>
      </c>
      <c r="W1825" s="45" t="str">
        <f>IFERROR(VLOOKUP(B1825,'Pre-Summary'!$Y$6:$AD$83,6,FALSE),"")</f>
        <v/>
      </c>
      <c r="X1825" t="str">
        <f>IFERROR(VLOOKUP('Pre-Summary'!$DB$6:$DD$63,3,FALSE),"")</f>
        <v/>
      </c>
      <c r="Y1825" t="str">
        <f>IFERROR(VLOOKUP(B1825,'Pre-Summary'!$CR$6:$CT$36,3,FALSE),"")</f>
        <v/>
      </c>
      <c r="Z1825" s="45" t="str">
        <f>IFERROR(VLOOKUP(B1825,'Pre-Summary'!$BZ$6:$CB$63,2,FALSE),"")</f>
        <v/>
      </c>
      <c r="AA1825" s="45" t="str">
        <f>IFERROR(VLOOKUP(B1825,'Pre-Summary'!$CG$6:$CI$70,2,FALSE),"")</f>
        <v/>
      </c>
      <c r="AB1825" s="99">
        <f>IFERROR(VLOOKUP(B1825,'Pre-Summary'!$A$6:$P$178,9,FALSE),AB1826)</f>
        <v>0.29703412162278986</v>
      </c>
      <c r="AC1825" s="10">
        <f>IFERROR(VLOOKUP(Summary!B1825,'Pre-Summary'!$A$6:$P$184,5, FALSE)/100,AC1826)</f>
        <v>0.91568833333333333</v>
      </c>
      <c r="AD1825" s="10">
        <f>IFERROR(VLOOKUP(Summary!B1825,'Pre-Summary'!$A$6:$P$184,3, FALSE)/100,AD1826)</f>
        <v>5.4185666666666667E-2</v>
      </c>
      <c r="AE1825" s="10">
        <f>IFERROR(VLOOKUP(Summary!B1825,'Pre-Summary'!$A$6:$P$184,7, FALSE)/100,AE1826)</f>
        <v>3.0125999999999997E-2</v>
      </c>
      <c r="AF1825" s="99">
        <f t="shared" si="85"/>
        <v>1.6094991902878619E-2</v>
      </c>
      <c r="AG1825" s="99">
        <f t="shared" si="86"/>
        <v>8.9484499480081657E-3</v>
      </c>
      <c r="AH1825" s="10" t="str">
        <f>IFERROR(VLOOKUP(B1825,'Pre-Summary'!$AZ$6:$BE$65,3,FALSE),"")</f>
        <v/>
      </c>
      <c r="AI1825" s="10" t="str">
        <f>IFERROR(VLOOKUP(B1825,'Pre-Summary'!$AZ$6:$BE$65,5,FALSE),"")</f>
        <v/>
      </c>
      <c r="AJ1825" s="10" t="str">
        <f>IFERROR(VLOOKUP(B1825,'Pre-Summary'!$AZ$6:$BE$65,4,FALSE),"")</f>
        <v/>
      </c>
      <c r="AK1825" s="10" t="str">
        <f>IFERROR(VLOOKUP(B1825,'Pre-Summary'!$AZ$6:$BE$65,6,FALSE),"")</f>
        <v/>
      </c>
      <c r="AL1825" s="10" t="str">
        <f>IFERROR(VLOOKUP(B1825,'Pre-Summary'!$BG$6:$BL$44,3,FALSE),"")</f>
        <v/>
      </c>
      <c r="AM1825" s="10" t="str">
        <f>IFERROR(VLOOKUP(B1825,'Pre-Summary'!$BG$6:$BL$44,4,FALSE),"")</f>
        <v/>
      </c>
    </row>
    <row r="1826" spans="2:39" ht="15" customHeight="1" x14ac:dyDescent="0.3">
      <c r="B1826">
        <v>182.3</v>
      </c>
      <c r="C1826" t="str">
        <f>IFERROR(VLOOKUP(B1826,'Pre-Summary'!$DI$6:$DM$23,4,FALSE),"")</f>
        <v/>
      </c>
      <c r="D1826" s="10" t="str">
        <f>IFERROR(VLOOKUP(B1826,'Pre-Summary'!$AT$6:$AX$14,5,FALSE),D1825)</f>
        <v>Wolfe v3: went back to modified wolfe + EDTA and switched CuSO4 to CUCl2</v>
      </c>
      <c r="E1826" s="10" t="str">
        <f>IFERROR(VLOOKUP(B1826,'Pre-Summary'!$AT$6:$AX$15,4,FALSE),"")</f>
        <v/>
      </c>
      <c r="F1826">
        <f>IFERROR(VLOOKUP(B1826,'Pre-Summary'!$AL$6:$AQ$13,6,FALSE),F1825)</f>
        <v>5.9405263157894746E-2</v>
      </c>
      <c r="G1826" t="str">
        <f>IFERROR(VLOOKUP(B1826,'Pre-Summary'!$AE$6:$AJ$85,3,FALSE),"")</f>
        <v/>
      </c>
      <c r="H1826" t="str">
        <f>IFERROR(VLOOKUP(B1826,'Pre-Summary'!$AE$6:$AJ$85,4,FALSE),"")</f>
        <v/>
      </c>
      <c r="I1826" t="str">
        <f>IFERROR(VLOOKUP(B1826,'Pre-Summary'!$AE$6:$AJ$85,5,FALSE),"")</f>
        <v/>
      </c>
      <c r="J1826" s="45" t="str">
        <f>IFERROR(VLOOKUP(B1826,'Pre-Summary'!$AE$6:$AJ$85,6, FALSE),"")</f>
        <v/>
      </c>
      <c r="K1826" s="45" t="str">
        <f>IFERROR(VLOOKUP(B1826,'Pre-Summary'!$DE$6:$DG$61,3,FALSE),"")</f>
        <v/>
      </c>
      <c r="L1826" s="45" t="str">
        <f>IFERROR(VLOOKUP(B1826,'Pre-Summary'!$CU$6:$CW$36,3,FALSE),"")</f>
        <v/>
      </c>
      <c r="M1826" s="45" t="str">
        <f>IFERROR(VLOOKUP(B1826,'Pre-Summary'!$BW$6:$BY$58,2,FALSE),"")</f>
        <v/>
      </c>
      <c r="N1826" s="45" t="str">
        <f>IFERROR(VLOOKUP(B1826,'Pre-Summary'!$CD$6:$CF$64,2,FALSE),"")</f>
        <v/>
      </c>
      <c r="O1826" s="99">
        <f>IFERROR(VLOOKUP(B1826,'Pre-Summary'!$BO$6:$BQ$48,3, FALSE),O1825)</f>
        <v>1.25</v>
      </c>
      <c r="P1826" s="99">
        <f>IFERROR(VLOOKUP(B1826,'Pre-Summary'!$BS$6:$BU$35,3,FALSE),P1825)</f>
        <v>0.33700000000000002</v>
      </c>
      <c r="Q1826" s="54">
        <f t="shared" si="84"/>
        <v>3.7091988130563798</v>
      </c>
      <c r="R1826" s="53">
        <f>IFERROR(VLOOKUP(B1826,'Pre-Summary'!$BG$6:$BM$44,7,FALSE),R1827)</f>
        <v>7.9325362566443819E-2</v>
      </c>
      <c r="S1826" s="53">
        <f>IFERROR(VLOOKUP(B1826,'Pre-Summary'!$BG$6:$BM$44,6,FALSE),S1827)</f>
        <v>0.10333499253358684</v>
      </c>
      <c r="T1826" s="45" t="str">
        <f>IFERROR(VLOOKUP(B1826,'Pre-Summary'!$Y$6:$AC$83, 3,FALSE),"")</f>
        <v/>
      </c>
      <c r="U1826" s="45" t="str">
        <f>IFERROR(VLOOKUP(B1826,'Pre-Summary'!$Y$6:$AC$83, 4,FALSE),"")</f>
        <v/>
      </c>
      <c r="V1826" t="str">
        <f>IFERROR(VLOOKUP(B1826,'Pre-Summary'!$Y$6:$AC$83, 5,FALSE),"")</f>
        <v/>
      </c>
      <c r="W1826" s="45" t="str">
        <f>IFERROR(VLOOKUP(B1826,'Pre-Summary'!$Y$6:$AD$83,6,FALSE),"")</f>
        <v/>
      </c>
      <c r="X1826" t="str">
        <f>IFERROR(VLOOKUP('Pre-Summary'!$DB$6:$DD$63,3,FALSE),"")</f>
        <v/>
      </c>
      <c r="Y1826" t="str">
        <f>IFERROR(VLOOKUP(B1826,'Pre-Summary'!$CR$6:$CT$36,3,FALSE),"")</f>
        <v/>
      </c>
      <c r="Z1826" s="45" t="str">
        <f>IFERROR(VLOOKUP(B1826,'Pre-Summary'!$BZ$6:$CB$63,2,FALSE),"")</f>
        <v/>
      </c>
      <c r="AA1826" s="45" t="str">
        <f>IFERROR(VLOOKUP(B1826,'Pre-Summary'!$CG$6:$CI$70,2,FALSE),"")</f>
        <v/>
      </c>
      <c r="AB1826" s="99">
        <f>IFERROR(VLOOKUP(B1826,'Pre-Summary'!$A$6:$P$178,9,FALSE),AB1827)</f>
        <v>0.29703412162278986</v>
      </c>
      <c r="AC1826" s="10">
        <f>IFERROR(VLOOKUP(Summary!B1826,'Pre-Summary'!$A$6:$P$184,5, FALSE)/100,AC1827)</f>
        <v>0.91568833333333333</v>
      </c>
      <c r="AD1826" s="10">
        <f>IFERROR(VLOOKUP(Summary!B1826,'Pre-Summary'!$A$6:$P$184,3, FALSE)/100,AD1827)</f>
        <v>5.4185666666666667E-2</v>
      </c>
      <c r="AE1826" s="10">
        <f>IFERROR(VLOOKUP(Summary!B1826,'Pre-Summary'!$A$6:$P$184,7, FALSE)/100,AE1827)</f>
        <v>3.0125999999999997E-2</v>
      </c>
      <c r="AF1826" s="99">
        <f t="shared" si="85"/>
        <v>1.6094991902878619E-2</v>
      </c>
      <c r="AG1826" s="99">
        <f t="shared" si="86"/>
        <v>8.9484499480081657E-3</v>
      </c>
      <c r="AH1826" s="10" t="str">
        <f>IFERROR(VLOOKUP(B1826,'Pre-Summary'!$AZ$6:$BE$65,3,FALSE),"")</f>
        <v/>
      </c>
      <c r="AI1826" s="10" t="str">
        <f>IFERROR(VLOOKUP(B1826,'Pre-Summary'!$AZ$6:$BE$65,5,FALSE),"")</f>
        <v/>
      </c>
      <c r="AJ1826" s="10" t="str">
        <f>IFERROR(VLOOKUP(B1826,'Pre-Summary'!$AZ$6:$BE$65,4,FALSE),"")</f>
        <v/>
      </c>
      <c r="AK1826" s="10" t="str">
        <f>IFERROR(VLOOKUP(B1826,'Pre-Summary'!$AZ$6:$BE$65,6,FALSE),"")</f>
        <v/>
      </c>
      <c r="AL1826" s="10" t="str">
        <f>IFERROR(VLOOKUP(B1826,'Pre-Summary'!$BG$6:$BL$44,3,FALSE),"")</f>
        <v/>
      </c>
      <c r="AM1826" s="10" t="str">
        <f>IFERROR(VLOOKUP(B1826,'Pre-Summary'!$BG$6:$BL$44,4,FALSE),"")</f>
        <v/>
      </c>
    </row>
    <row r="1827" spans="2:39" ht="15" customHeight="1" x14ac:dyDescent="0.3">
      <c r="B1827">
        <v>182.4</v>
      </c>
      <c r="C1827" t="str">
        <f>IFERROR(VLOOKUP(B1827,'Pre-Summary'!$DI$6:$DM$23,4,FALSE),"")</f>
        <v/>
      </c>
      <c r="D1827" s="10" t="str">
        <f>IFERROR(VLOOKUP(B1827,'Pre-Summary'!$AT$6:$AX$14,5,FALSE),D1826)</f>
        <v>Wolfe v3: went back to modified wolfe + EDTA and switched CuSO4 to CUCl2</v>
      </c>
      <c r="E1827" s="10" t="str">
        <f>IFERROR(VLOOKUP(B1827,'Pre-Summary'!$AT$6:$AX$15,4,FALSE),"")</f>
        <v/>
      </c>
      <c r="F1827">
        <f>IFERROR(VLOOKUP(B1827,'Pre-Summary'!$AL$6:$AQ$13,6,FALSE),F1826)</f>
        <v>5.9405263157894746E-2</v>
      </c>
      <c r="G1827" t="str">
        <f>IFERROR(VLOOKUP(B1827,'Pre-Summary'!$AE$6:$AJ$85,3,FALSE),"")</f>
        <v/>
      </c>
      <c r="H1827" t="str">
        <f>IFERROR(VLOOKUP(B1827,'Pre-Summary'!$AE$6:$AJ$85,4,FALSE),"")</f>
        <v/>
      </c>
      <c r="I1827" t="str">
        <f>IFERROR(VLOOKUP(B1827,'Pre-Summary'!$AE$6:$AJ$85,5,FALSE),"")</f>
        <v/>
      </c>
      <c r="J1827" s="45" t="str">
        <f>IFERROR(VLOOKUP(B1827,'Pre-Summary'!$AE$6:$AJ$85,6, FALSE),"")</f>
        <v/>
      </c>
      <c r="K1827" s="45" t="str">
        <f>IFERROR(VLOOKUP(B1827,'Pre-Summary'!$DE$6:$DG$61,3,FALSE),"")</f>
        <v/>
      </c>
      <c r="L1827" s="45" t="str">
        <f>IFERROR(VLOOKUP(B1827,'Pre-Summary'!$CU$6:$CW$36,3,FALSE),"")</f>
        <v/>
      </c>
      <c r="M1827" s="45" t="str">
        <f>IFERROR(VLOOKUP(B1827,'Pre-Summary'!$BW$6:$BY$58,2,FALSE),"")</f>
        <v/>
      </c>
      <c r="N1827" s="45" t="str">
        <f>IFERROR(VLOOKUP(B1827,'Pre-Summary'!$CD$6:$CF$64,2,FALSE),"")</f>
        <v/>
      </c>
      <c r="O1827" s="99">
        <f>IFERROR(VLOOKUP(B1827,'Pre-Summary'!$BO$6:$BQ$48,3, FALSE),O1826)</f>
        <v>1.25</v>
      </c>
      <c r="P1827" s="99">
        <f>IFERROR(VLOOKUP(B1827,'Pre-Summary'!$BS$6:$BU$35,3,FALSE),P1826)</f>
        <v>0.33700000000000002</v>
      </c>
      <c r="Q1827" s="54">
        <f t="shared" si="84"/>
        <v>3.7091988130563798</v>
      </c>
      <c r="R1827" s="53">
        <f>IFERROR(VLOOKUP(B1827,'Pre-Summary'!$BG$6:$BM$44,7,FALSE),R1828)</f>
        <v>7.9325362566443819E-2</v>
      </c>
      <c r="S1827" s="53">
        <f>IFERROR(VLOOKUP(B1827,'Pre-Summary'!$BG$6:$BM$44,6,FALSE),S1828)</f>
        <v>0.10333499253358684</v>
      </c>
      <c r="T1827" s="45" t="str">
        <f>IFERROR(VLOOKUP(B1827,'Pre-Summary'!$Y$6:$AC$83, 3,FALSE),"")</f>
        <v/>
      </c>
      <c r="U1827" s="45" t="str">
        <f>IFERROR(VLOOKUP(B1827,'Pre-Summary'!$Y$6:$AC$83, 4,FALSE),"")</f>
        <v/>
      </c>
      <c r="V1827" t="str">
        <f>IFERROR(VLOOKUP(B1827,'Pre-Summary'!$Y$6:$AC$83, 5,FALSE),"")</f>
        <v/>
      </c>
      <c r="W1827" s="45" t="str">
        <f>IFERROR(VLOOKUP(B1827,'Pre-Summary'!$Y$6:$AD$83,6,FALSE),"")</f>
        <v/>
      </c>
      <c r="X1827" t="str">
        <f>IFERROR(VLOOKUP('Pre-Summary'!$DB$6:$DD$63,3,FALSE),"")</f>
        <v/>
      </c>
      <c r="Y1827" t="str">
        <f>IFERROR(VLOOKUP(B1827,'Pre-Summary'!$CR$6:$CT$36,3,FALSE),"")</f>
        <v/>
      </c>
      <c r="Z1827" s="45" t="str">
        <f>IFERROR(VLOOKUP(B1827,'Pre-Summary'!$BZ$6:$CB$63,2,FALSE),"")</f>
        <v/>
      </c>
      <c r="AA1827" s="45" t="str">
        <f>IFERROR(VLOOKUP(B1827,'Pre-Summary'!$CG$6:$CI$70,2,FALSE),"")</f>
        <v/>
      </c>
      <c r="AB1827" s="99">
        <f>IFERROR(VLOOKUP(B1827,'Pre-Summary'!$A$6:$P$178,9,FALSE),AB1828)</f>
        <v>0.29703412162278986</v>
      </c>
      <c r="AC1827" s="10">
        <f>IFERROR(VLOOKUP(Summary!B1827,'Pre-Summary'!$A$6:$P$184,5, FALSE)/100,AC1828)</f>
        <v>0.91568833333333333</v>
      </c>
      <c r="AD1827" s="10">
        <f>IFERROR(VLOOKUP(Summary!B1827,'Pre-Summary'!$A$6:$P$184,3, FALSE)/100,AD1828)</f>
        <v>5.4185666666666667E-2</v>
      </c>
      <c r="AE1827" s="10">
        <f>IFERROR(VLOOKUP(Summary!B1827,'Pre-Summary'!$A$6:$P$184,7, FALSE)/100,AE1828)</f>
        <v>3.0125999999999997E-2</v>
      </c>
      <c r="AF1827" s="99">
        <f t="shared" si="85"/>
        <v>1.6094991902878619E-2</v>
      </c>
      <c r="AG1827" s="99">
        <f t="shared" si="86"/>
        <v>8.9484499480081657E-3</v>
      </c>
      <c r="AH1827" s="10" t="str">
        <f>IFERROR(VLOOKUP(B1827,'Pre-Summary'!$AZ$6:$BE$65,3,FALSE),"")</f>
        <v/>
      </c>
      <c r="AI1827" s="10" t="str">
        <f>IFERROR(VLOOKUP(B1827,'Pre-Summary'!$AZ$6:$BE$65,5,FALSE),"")</f>
        <v/>
      </c>
      <c r="AJ1827" s="10" t="str">
        <f>IFERROR(VLOOKUP(B1827,'Pre-Summary'!$AZ$6:$BE$65,4,FALSE),"")</f>
        <v/>
      </c>
      <c r="AK1827" s="10" t="str">
        <f>IFERROR(VLOOKUP(B1827,'Pre-Summary'!$AZ$6:$BE$65,6,FALSE),"")</f>
        <v/>
      </c>
      <c r="AL1827" s="10" t="str">
        <f>IFERROR(VLOOKUP(B1827,'Pre-Summary'!$BG$6:$BL$44,3,FALSE),"")</f>
        <v/>
      </c>
      <c r="AM1827" s="10" t="str">
        <f>IFERROR(VLOOKUP(B1827,'Pre-Summary'!$BG$6:$BL$44,4,FALSE),"")</f>
        <v/>
      </c>
    </row>
    <row r="1828" spans="2:39" ht="15" customHeight="1" x14ac:dyDescent="0.3">
      <c r="B1828">
        <v>182.5</v>
      </c>
      <c r="C1828" t="str">
        <f>IFERROR(VLOOKUP(B1828,'Pre-Summary'!$DI$6:$DM$23,4,FALSE),"")</f>
        <v/>
      </c>
      <c r="D1828" s="10" t="str">
        <f>IFERROR(VLOOKUP(B1828,'Pre-Summary'!$AT$6:$AX$14,5,FALSE),D1827)</f>
        <v>Wolfe v3: went back to modified wolfe + EDTA and switched CuSO4 to CUCl2</v>
      </c>
      <c r="E1828" s="10" t="str">
        <f>IFERROR(VLOOKUP(B1828,'Pre-Summary'!$AT$6:$AX$15,4,FALSE),"")</f>
        <v/>
      </c>
      <c r="F1828">
        <f>IFERROR(VLOOKUP(B1828,'Pre-Summary'!$AL$6:$AQ$13,6,FALSE),F1827)</f>
        <v>5.9405263157894746E-2</v>
      </c>
      <c r="G1828" t="str">
        <f>IFERROR(VLOOKUP(B1828,'Pre-Summary'!$AE$6:$AJ$85,3,FALSE),"")</f>
        <v/>
      </c>
      <c r="H1828" t="str">
        <f>IFERROR(VLOOKUP(B1828,'Pre-Summary'!$AE$6:$AJ$85,4,FALSE),"")</f>
        <v/>
      </c>
      <c r="I1828" t="str">
        <f>IFERROR(VLOOKUP(B1828,'Pre-Summary'!$AE$6:$AJ$85,5,FALSE),"")</f>
        <v/>
      </c>
      <c r="J1828" s="45" t="str">
        <f>IFERROR(VLOOKUP(B1828,'Pre-Summary'!$AE$6:$AJ$85,6, FALSE),"")</f>
        <v/>
      </c>
      <c r="K1828" s="45" t="str">
        <f>IFERROR(VLOOKUP(B1828,'Pre-Summary'!$DE$6:$DG$61,3,FALSE),"")</f>
        <v/>
      </c>
      <c r="L1828" s="45" t="str">
        <f>IFERROR(VLOOKUP(B1828,'Pre-Summary'!$CU$6:$CW$36,3,FALSE),"")</f>
        <v/>
      </c>
      <c r="M1828" s="45" t="str">
        <f>IFERROR(VLOOKUP(B1828,'Pre-Summary'!$BW$6:$BY$58,2,FALSE),"")</f>
        <v/>
      </c>
      <c r="N1828" s="45" t="str">
        <f>IFERROR(VLOOKUP(B1828,'Pre-Summary'!$CD$6:$CF$64,2,FALSE),"")</f>
        <v/>
      </c>
      <c r="O1828" s="99">
        <f>IFERROR(VLOOKUP(B1828,'Pre-Summary'!$BO$6:$BQ$48,3, FALSE),O1827)</f>
        <v>1.25</v>
      </c>
      <c r="P1828" s="99">
        <f>IFERROR(VLOOKUP(B1828,'Pre-Summary'!$BS$6:$BU$35,3,FALSE),P1827)</f>
        <v>0.33700000000000002</v>
      </c>
      <c r="Q1828" s="54">
        <f t="shared" si="84"/>
        <v>3.7091988130563798</v>
      </c>
      <c r="R1828" s="53">
        <f>IFERROR(VLOOKUP(B1828,'Pre-Summary'!$BG$6:$BM$44,7,FALSE),R1829)</f>
        <v>7.9325362566443819E-2</v>
      </c>
      <c r="S1828" s="53">
        <f>IFERROR(VLOOKUP(B1828,'Pre-Summary'!$BG$6:$BM$44,6,FALSE),S1829)</f>
        <v>0.10333499253358684</v>
      </c>
      <c r="T1828" s="45" t="str">
        <f>IFERROR(VLOOKUP(B1828,'Pre-Summary'!$Y$6:$AC$83, 3,FALSE),"")</f>
        <v/>
      </c>
      <c r="U1828" s="45" t="str">
        <f>IFERROR(VLOOKUP(B1828,'Pre-Summary'!$Y$6:$AC$83, 4,FALSE),"")</f>
        <v/>
      </c>
      <c r="V1828" t="str">
        <f>IFERROR(VLOOKUP(B1828,'Pre-Summary'!$Y$6:$AC$83, 5,FALSE),"")</f>
        <v/>
      </c>
      <c r="W1828" s="45" t="str">
        <f>IFERROR(VLOOKUP(B1828,'Pre-Summary'!$Y$6:$AD$83,6,FALSE),"")</f>
        <v/>
      </c>
      <c r="X1828" t="str">
        <f>IFERROR(VLOOKUP('Pre-Summary'!$DB$6:$DD$63,3,FALSE),"")</f>
        <v/>
      </c>
      <c r="Y1828" t="str">
        <f>IFERROR(VLOOKUP(B1828,'Pre-Summary'!$CR$6:$CT$36,3,FALSE),"")</f>
        <v/>
      </c>
      <c r="Z1828" s="45" t="str">
        <f>IFERROR(VLOOKUP(B1828,'Pre-Summary'!$BZ$6:$CB$63,2,FALSE),"")</f>
        <v/>
      </c>
      <c r="AA1828" s="45" t="str">
        <f>IFERROR(VLOOKUP(B1828,'Pre-Summary'!$CG$6:$CI$70,2,FALSE),"")</f>
        <v/>
      </c>
      <c r="AB1828" s="99">
        <f>IFERROR(VLOOKUP(B1828,'Pre-Summary'!$A$6:$P$178,9,FALSE),AB1829)</f>
        <v>0.29703412162278986</v>
      </c>
      <c r="AC1828" s="10">
        <f>IFERROR(VLOOKUP(Summary!B1828,'Pre-Summary'!$A$6:$P$184,5, FALSE)/100,AC1829)</f>
        <v>0.91568833333333333</v>
      </c>
      <c r="AD1828" s="10">
        <f>IFERROR(VLOOKUP(Summary!B1828,'Pre-Summary'!$A$6:$P$184,3, FALSE)/100,AD1829)</f>
        <v>5.4185666666666667E-2</v>
      </c>
      <c r="AE1828" s="10">
        <f>IFERROR(VLOOKUP(Summary!B1828,'Pre-Summary'!$A$6:$P$184,7, FALSE)/100,AE1829)</f>
        <v>3.0125999999999997E-2</v>
      </c>
      <c r="AF1828" s="99">
        <f t="shared" si="85"/>
        <v>1.6094991902878619E-2</v>
      </c>
      <c r="AG1828" s="99">
        <f t="shared" si="86"/>
        <v>8.9484499480081657E-3</v>
      </c>
      <c r="AH1828" s="10" t="str">
        <f>IFERROR(VLOOKUP(B1828,'Pre-Summary'!$AZ$6:$BE$65,3,FALSE),"")</f>
        <v/>
      </c>
      <c r="AI1828" s="10" t="str">
        <f>IFERROR(VLOOKUP(B1828,'Pre-Summary'!$AZ$6:$BE$65,5,FALSE),"")</f>
        <v/>
      </c>
      <c r="AJ1828" s="10" t="str">
        <f>IFERROR(VLOOKUP(B1828,'Pre-Summary'!$AZ$6:$BE$65,4,FALSE),"")</f>
        <v/>
      </c>
      <c r="AK1828" s="10" t="str">
        <f>IFERROR(VLOOKUP(B1828,'Pre-Summary'!$AZ$6:$BE$65,6,FALSE),"")</f>
        <v/>
      </c>
      <c r="AL1828" s="10" t="str">
        <f>IFERROR(VLOOKUP(B1828,'Pre-Summary'!$BG$6:$BL$44,3,FALSE),"")</f>
        <v/>
      </c>
      <c r="AM1828" s="10" t="str">
        <f>IFERROR(VLOOKUP(B1828,'Pre-Summary'!$BG$6:$BL$44,4,FALSE),"")</f>
        <v/>
      </c>
    </row>
    <row r="1829" spans="2:39" ht="15" customHeight="1" x14ac:dyDescent="0.3">
      <c r="B1829">
        <v>182.6</v>
      </c>
      <c r="C1829" t="str">
        <f>IFERROR(VLOOKUP(B1829,'Pre-Summary'!$DI$6:$DM$23,4,FALSE),"")</f>
        <v/>
      </c>
      <c r="D1829" s="10" t="str">
        <f>IFERROR(VLOOKUP(B1829,'Pre-Summary'!$AT$6:$AX$14,5,FALSE),D1828)</f>
        <v>Wolfe v3: went back to modified wolfe + EDTA and switched CuSO4 to CUCl2</v>
      </c>
      <c r="E1829" s="10" t="str">
        <f>IFERROR(VLOOKUP(B1829,'Pre-Summary'!$AT$6:$AX$15,4,FALSE),"")</f>
        <v/>
      </c>
      <c r="F1829">
        <f>IFERROR(VLOOKUP(B1829,'Pre-Summary'!$AL$6:$AQ$13,6,FALSE),F1828)</f>
        <v>5.9405263157894746E-2</v>
      </c>
      <c r="G1829" t="str">
        <f>IFERROR(VLOOKUP(B1829,'Pre-Summary'!$AE$6:$AJ$85,3,FALSE),"")</f>
        <v/>
      </c>
      <c r="H1829" t="str">
        <f>IFERROR(VLOOKUP(B1829,'Pre-Summary'!$AE$6:$AJ$85,4,FALSE),"")</f>
        <v/>
      </c>
      <c r="I1829" t="str">
        <f>IFERROR(VLOOKUP(B1829,'Pre-Summary'!$AE$6:$AJ$85,5,FALSE),"")</f>
        <v/>
      </c>
      <c r="J1829" s="45" t="str">
        <f>IFERROR(VLOOKUP(B1829,'Pre-Summary'!$AE$6:$AJ$85,6, FALSE),"")</f>
        <v/>
      </c>
      <c r="K1829" s="45" t="str">
        <f>IFERROR(VLOOKUP(B1829,'Pre-Summary'!$DE$6:$DG$61,3,FALSE),"")</f>
        <v/>
      </c>
      <c r="L1829" s="45" t="str">
        <f>IFERROR(VLOOKUP(B1829,'Pre-Summary'!$CU$6:$CW$36,3,FALSE),"")</f>
        <v/>
      </c>
      <c r="M1829" s="45" t="str">
        <f>IFERROR(VLOOKUP(B1829,'Pre-Summary'!$BW$6:$BY$58,2,FALSE),"")</f>
        <v/>
      </c>
      <c r="N1829" s="45" t="str">
        <f>IFERROR(VLOOKUP(B1829,'Pre-Summary'!$CD$6:$CF$64,2,FALSE),"")</f>
        <v/>
      </c>
      <c r="O1829" s="99">
        <f>IFERROR(VLOOKUP(B1829,'Pre-Summary'!$BO$6:$BQ$48,3, FALSE),O1828)</f>
        <v>1.25</v>
      </c>
      <c r="P1829" s="99">
        <f>IFERROR(VLOOKUP(B1829,'Pre-Summary'!$BS$6:$BU$35,3,FALSE),P1828)</f>
        <v>0.33700000000000002</v>
      </c>
      <c r="Q1829" s="54">
        <f t="shared" si="84"/>
        <v>3.7091988130563798</v>
      </c>
      <c r="R1829" s="53">
        <f>IFERROR(VLOOKUP(B1829,'Pre-Summary'!$BG$6:$BM$44,7,FALSE),R1830)</f>
        <v>7.9325362566443819E-2</v>
      </c>
      <c r="S1829" s="53">
        <f>IFERROR(VLOOKUP(B1829,'Pre-Summary'!$BG$6:$BM$44,6,FALSE),S1830)</f>
        <v>0.10333499253358684</v>
      </c>
      <c r="T1829" s="45" t="str">
        <f>IFERROR(VLOOKUP(B1829,'Pre-Summary'!$Y$6:$AC$83, 3,FALSE),"")</f>
        <v/>
      </c>
      <c r="U1829" s="45" t="str">
        <f>IFERROR(VLOOKUP(B1829,'Pre-Summary'!$Y$6:$AC$83, 4,FALSE),"")</f>
        <v/>
      </c>
      <c r="V1829" t="str">
        <f>IFERROR(VLOOKUP(B1829,'Pre-Summary'!$Y$6:$AC$83, 5,FALSE),"")</f>
        <v/>
      </c>
      <c r="W1829" s="45" t="str">
        <f>IFERROR(VLOOKUP(B1829,'Pre-Summary'!$Y$6:$AD$83,6,FALSE),"")</f>
        <v/>
      </c>
      <c r="X1829" t="str">
        <f>IFERROR(VLOOKUP('Pre-Summary'!$DB$6:$DD$63,3,FALSE),"")</f>
        <v/>
      </c>
      <c r="Y1829" t="str">
        <f>IFERROR(VLOOKUP(B1829,'Pre-Summary'!$CR$6:$CT$36,3,FALSE),"")</f>
        <v/>
      </c>
      <c r="Z1829" s="45" t="str">
        <f>IFERROR(VLOOKUP(B1829,'Pre-Summary'!$BZ$6:$CB$63,2,FALSE),"")</f>
        <v/>
      </c>
      <c r="AA1829" s="45" t="str">
        <f>IFERROR(VLOOKUP(B1829,'Pre-Summary'!$CG$6:$CI$70,2,FALSE),"")</f>
        <v/>
      </c>
      <c r="AB1829" s="99">
        <f>IFERROR(VLOOKUP(B1829,'Pre-Summary'!$A$6:$P$178,9,FALSE),AB1830)</f>
        <v>0.29703412162278986</v>
      </c>
      <c r="AC1829" s="10">
        <f>IFERROR(VLOOKUP(Summary!B1829,'Pre-Summary'!$A$6:$P$184,5, FALSE)/100,AC1830)</f>
        <v>0.91568833333333333</v>
      </c>
      <c r="AD1829" s="10">
        <f>IFERROR(VLOOKUP(Summary!B1829,'Pre-Summary'!$A$6:$P$184,3, FALSE)/100,AD1830)</f>
        <v>5.4185666666666667E-2</v>
      </c>
      <c r="AE1829" s="10">
        <f>IFERROR(VLOOKUP(Summary!B1829,'Pre-Summary'!$A$6:$P$184,7, FALSE)/100,AE1830)</f>
        <v>3.0125999999999997E-2</v>
      </c>
      <c r="AF1829" s="99">
        <f t="shared" si="85"/>
        <v>1.6094991902878619E-2</v>
      </c>
      <c r="AG1829" s="99">
        <f t="shared" si="86"/>
        <v>8.9484499480081657E-3</v>
      </c>
      <c r="AH1829" s="10" t="str">
        <f>IFERROR(VLOOKUP(B1829,'Pre-Summary'!$AZ$6:$BE$65,3,FALSE),"")</f>
        <v/>
      </c>
      <c r="AI1829" s="10" t="str">
        <f>IFERROR(VLOOKUP(B1829,'Pre-Summary'!$AZ$6:$BE$65,5,FALSE),"")</f>
        <v/>
      </c>
      <c r="AJ1829" s="10" t="str">
        <f>IFERROR(VLOOKUP(B1829,'Pre-Summary'!$AZ$6:$BE$65,4,FALSE),"")</f>
        <v/>
      </c>
      <c r="AK1829" s="10" t="str">
        <f>IFERROR(VLOOKUP(B1829,'Pre-Summary'!$AZ$6:$BE$65,6,FALSE),"")</f>
        <v/>
      </c>
      <c r="AL1829" s="10" t="str">
        <f>IFERROR(VLOOKUP(B1829,'Pre-Summary'!$BG$6:$BL$44,3,FALSE),"")</f>
        <v/>
      </c>
      <c r="AM1829" s="10" t="str">
        <f>IFERROR(VLOOKUP(B1829,'Pre-Summary'!$BG$6:$BL$44,4,FALSE),"")</f>
        <v/>
      </c>
    </row>
    <row r="1830" spans="2:39" ht="15" customHeight="1" x14ac:dyDescent="0.3">
      <c r="B1830">
        <v>182.7</v>
      </c>
      <c r="C1830" t="str">
        <f>IFERROR(VLOOKUP(B1830,'Pre-Summary'!$DI$6:$DM$23,4,FALSE),"")</f>
        <v/>
      </c>
      <c r="D1830" s="10" t="str">
        <f>IFERROR(VLOOKUP(B1830,'Pre-Summary'!$AT$6:$AX$14,5,FALSE),D1829)</f>
        <v>Wolfe v3: went back to modified wolfe + EDTA and switched CuSO4 to CUCl2</v>
      </c>
      <c r="E1830" s="10" t="str">
        <f>IFERROR(VLOOKUP(B1830,'Pre-Summary'!$AT$6:$AX$15,4,FALSE),"")</f>
        <v/>
      </c>
      <c r="F1830">
        <f>IFERROR(VLOOKUP(B1830,'Pre-Summary'!$AL$6:$AQ$13,6,FALSE),F1829)</f>
        <v>5.9405263157894746E-2</v>
      </c>
      <c r="G1830" t="str">
        <f>IFERROR(VLOOKUP(B1830,'Pre-Summary'!$AE$6:$AJ$85,3,FALSE),"")</f>
        <v/>
      </c>
      <c r="H1830" t="str">
        <f>IFERROR(VLOOKUP(B1830,'Pre-Summary'!$AE$6:$AJ$85,4,FALSE),"")</f>
        <v/>
      </c>
      <c r="I1830" t="str">
        <f>IFERROR(VLOOKUP(B1830,'Pre-Summary'!$AE$6:$AJ$85,5,FALSE),"")</f>
        <v/>
      </c>
      <c r="J1830" s="45" t="str">
        <f>IFERROR(VLOOKUP(B1830,'Pre-Summary'!$AE$6:$AJ$85,6, FALSE),"")</f>
        <v/>
      </c>
      <c r="K1830" s="45" t="str">
        <f>IFERROR(VLOOKUP(B1830,'Pre-Summary'!$DE$6:$DG$61,3,FALSE),"")</f>
        <v/>
      </c>
      <c r="L1830" s="45" t="str">
        <f>IFERROR(VLOOKUP(B1830,'Pre-Summary'!$CU$6:$CW$36,3,FALSE),"")</f>
        <v/>
      </c>
      <c r="M1830" s="45" t="str">
        <f>IFERROR(VLOOKUP(B1830,'Pre-Summary'!$BW$6:$BY$58,2,FALSE),"")</f>
        <v/>
      </c>
      <c r="N1830" s="45" t="str">
        <f>IFERROR(VLOOKUP(B1830,'Pre-Summary'!$CD$6:$CF$64,2,FALSE),"")</f>
        <v/>
      </c>
      <c r="O1830" s="99">
        <f>IFERROR(VLOOKUP(B1830,'Pre-Summary'!$BO$6:$BQ$48,3, FALSE),O1829)</f>
        <v>1.25</v>
      </c>
      <c r="P1830" s="99">
        <f>IFERROR(VLOOKUP(B1830,'Pre-Summary'!$BS$6:$BU$35,3,FALSE),P1829)</f>
        <v>0.33700000000000002</v>
      </c>
      <c r="Q1830" s="54">
        <f t="shared" si="84"/>
        <v>3.7091988130563798</v>
      </c>
      <c r="R1830" s="53">
        <f>IFERROR(VLOOKUP(B1830,'Pre-Summary'!$BG$6:$BM$44,7,FALSE),R1831)</f>
        <v>7.9325362566443819E-2</v>
      </c>
      <c r="S1830" s="53">
        <f>IFERROR(VLOOKUP(B1830,'Pre-Summary'!$BG$6:$BM$44,6,FALSE),S1831)</f>
        <v>0.10333499253358684</v>
      </c>
      <c r="T1830" s="45" t="str">
        <f>IFERROR(VLOOKUP(B1830,'Pre-Summary'!$Y$6:$AC$83, 3,FALSE),"")</f>
        <v/>
      </c>
      <c r="U1830" s="45" t="str">
        <f>IFERROR(VLOOKUP(B1830,'Pre-Summary'!$Y$6:$AC$83, 4,FALSE),"")</f>
        <v/>
      </c>
      <c r="V1830" t="str">
        <f>IFERROR(VLOOKUP(B1830,'Pre-Summary'!$Y$6:$AC$83, 5,FALSE),"")</f>
        <v/>
      </c>
      <c r="W1830" s="45" t="str">
        <f>IFERROR(VLOOKUP(B1830,'Pre-Summary'!$Y$6:$AD$83,6,FALSE),"")</f>
        <v/>
      </c>
      <c r="X1830" t="str">
        <f>IFERROR(VLOOKUP('Pre-Summary'!$DB$6:$DD$63,3,FALSE),"")</f>
        <v/>
      </c>
      <c r="Y1830" t="str">
        <f>IFERROR(VLOOKUP(B1830,'Pre-Summary'!$CR$6:$CT$36,3,FALSE),"")</f>
        <v/>
      </c>
      <c r="Z1830" s="45" t="str">
        <f>IFERROR(VLOOKUP(B1830,'Pre-Summary'!$BZ$6:$CB$63,2,FALSE),"")</f>
        <v/>
      </c>
      <c r="AA1830" s="45" t="str">
        <f>IFERROR(VLOOKUP(B1830,'Pre-Summary'!$CG$6:$CI$70,2,FALSE),"")</f>
        <v/>
      </c>
      <c r="AB1830" s="99">
        <f>IFERROR(VLOOKUP(B1830,'Pre-Summary'!$A$6:$P$178,9,FALSE),AB1831)</f>
        <v>0.29703412162278986</v>
      </c>
      <c r="AC1830" s="10">
        <f>IFERROR(VLOOKUP(Summary!B1830,'Pre-Summary'!$A$6:$P$184,5, FALSE)/100,AC1831)</f>
        <v>0.91568833333333333</v>
      </c>
      <c r="AD1830" s="10">
        <f>IFERROR(VLOOKUP(Summary!B1830,'Pre-Summary'!$A$6:$P$184,3, FALSE)/100,AD1831)</f>
        <v>5.4185666666666667E-2</v>
      </c>
      <c r="AE1830" s="10">
        <f>IFERROR(VLOOKUP(Summary!B1830,'Pre-Summary'!$A$6:$P$184,7, FALSE)/100,AE1831)</f>
        <v>3.0125999999999997E-2</v>
      </c>
      <c r="AF1830" s="99">
        <f t="shared" si="85"/>
        <v>1.6094991902878619E-2</v>
      </c>
      <c r="AG1830" s="99">
        <f t="shared" si="86"/>
        <v>8.9484499480081657E-3</v>
      </c>
      <c r="AH1830" s="10" t="str">
        <f>IFERROR(VLOOKUP(B1830,'Pre-Summary'!$AZ$6:$BE$65,3,FALSE),"")</f>
        <v/>
      </c>
      <c r="AI1830" s="10" t="str">
        <f>IFERROR(VLOOKUP(B1830,'Pre-Summary'!$AZ$6:$BE$65,5,FALSE),"")</f>
        <v/>
      </c>
      <c r="AJ1830" s="10" t="str">
        <f>IFERROR(VLOOKUP(B1830,'Pre-Summary'!$AZ$6:$BE$65,4,FALSE),"")</f>
        <v/>
      </c>
      <c r="AK1830" s="10" t="str">
        <f>IFERROR(VLOOKUP(B1830,'Pre-Summary'!$AZ$6:$BE$65,6,FALSE),"")</f>
        <v/>
      </c>
      <c r="AL1830" s="10" t="str">
        <f>IFERROR(VLOOKUP(B1830,'Pre-Summary'!$BG$6:$BL$44,3,FALSE),"")</f>
        <v/>
      </c>
      <c r="AM1830" s="10" t="str">
        <f>IFERROR(VLOOKUP(B1830,'Pre-Summary'!$BG$6:$BL$44,4,FALSE),"")</f>
        <v/>
      </c>
    </row>
    <row r="1831" spans="2:39" ht="15" customHeight="1" x14ac:dyDescent="0.3">
      <c r="B1831">
        <v>182.8</v>
      </c>
      <c r="C1831" t="str">
        <f>IFERROR(VLOOKUP(B1831,'Pre-Summary'!$DI$6:$DM$23,4,FALSE),"")</f>
        <v/>
      </c>
      <c r="D1831" s="10" t="str">
        <f>IFERROR(VLOOKUP(B1831,'Pre-Summary'!$AT$6:$AX$14,5,FALSE),D1830)</f>
        <v>Wolfe v3: went back to modified wolfe + EDTA and switched CuSO4 to CUCl2</v>
      </c>
      <c r="E1831" s="10" t="str">
        <f>IFERROR(VLOOKUP(B1831,'Pre-Summary'!$AT$6:$AX$15,4,FALSE),"")</f>
        <v/>
      </c>
      <c r="F1831">
        <f>IFERROR(VLOOKUP(B1831,'Pre-Summary'!$AL$6:$AQ$13,6,FALSE),F1830)</f>
        <v>5.9405263157894746E-2</v>
      </c>
      <c r="G1831" t="str">
        <f>IFERROR(VLOOKUP(B1831,'Pre-Summary'!$AE$6:$AJ$85,3,FALSE),"")</f>
        <v/>
      </c>
      <c r="H1831" t="str">
        <f>IFERROR(VLOOKUP(B1831,'Pre-Summary'!$AE$6:$AJ$85,4,FALSE),"")</f>
        <v/>
      </c>
      <c r="I1831" t="str">
        <f>IFERROR(VLOOKUP(B1831,'Pre-Summary'!$AE$6:$AJ$85,5,FALSE),"")</f>
        <v/>
      </c>
      <c r="J1831" s="45" t="str">
        <f>IFERROR(VLOOKUP(B1831,'Pre-Summary'!$AE$6:$AJ$85,6, FALSE),"")</f>
        <v/>
      </c>
      <c r="K1831" s="45" t="str">
        <f>IFERROR(VLOOKUP(B1831,'Pre-Summary'!$DE$6:$DG$61,3,FALSE),"")</f>
        <v/>
      </c>
      <c r="L1831" s="45" t="str">
        <f>IFERROR(VLOOKUP(B1831,'Pre-Summary'!$CU$6:$CW$36,3,FALSE),"")</f>
        <v/>
      </c>
      <c r="M1831" s="45" t="str">
        <f>IFERROR(VLOOKUP(B1831,'Pre-Summary'!$BW$6:$BY$58,2,FALSE),"")</f>
        <v/>
      </c>
      <c r="N1831" s="45" t="str">
        <f>IFERROR(VLOOKUP(B1831,'Pre-Summary'!$CD$6:$CF$64,2,FALSE),"")</f>
        <v/>
      </c>
      <c r="O1831" s="99">
        <f>IFERROR(VLOOKUP(B1831,'Pre-Summary'!$BO$6:$BQ$48,3, FALSE),O1830)</f>
        <v>1.25</v>
      </c>
      <c r="P1831" s="99">
        <f>IFERROR(VLOOKUP(B1831,'Pre-Summary'!$BS$6:$BU$35,3,FALSE),P1830)</f>
        <v>0.33700000000000002</v>
      </c>
      <c r="Q1831" s="54">
        <f t="shared" si="84"/>
        <v>3.7091988130563798</v>
      </c>
      <c r="R1831" s="53">
        <f>IFERROR(VLOOKUP(B1831,'Pre-Summary'!$BG$6:$BM$44,7,FALSE),R1832)</f>
        <v>7.9325362566443819E-2</v>
      </c>
      <c r="S1831" s="53">
        <f>IFERROR(VLOOKUP(B1831,'Pre-Summary'!$BG$6:$BM$44,6,FALSE),S1832)</f>
        <v>0.10333499253358684</v>
      </c>
      <c r="T1831" s="45" t="str">
        <f>IFERROR(VLOOKUP(B1831,'Pre-Summary'!$Y$6:$AC$83, 3,FALSE),"")</f>
        <v/>
      </c>
      <c r="U1831" s="45" t="str">
        <f>IFERROR(VLOOKUP(B1831,'Pre-Summary'!$Y$6:$AC$83, 4,FALSE),"")</f>
        <v/>
      </c>
      <c r="V1831" t="str">
        <f>IFERROR(VLOOKUP(B1831,'Pre-Summary'!$Y$6:$AC$83, 5,FALSE),"")</f>
        <v/>
      </c>
      <c r="W1831" s="45" t="str">
        <f>IFERROR(VLOOKUP(B1831,'Pre-Summary'!$Y$6:$AD$83,6,FALSE),"")</f>
        <v/>
      </c>
      <c r="X1831" t="str">
        <f>IFERROR(VLOOKUP('Pre-Summary'!$DB$6:$DD$63,3,FALSE),"")</f>
        <v/>
      </c>
      <c r="Y1831" t="str">
        <f>IFERROR(VLOOKUP(B1831,'Pre-Summary'!$CR$6:$CT$36,3,FALSE),"")</f>
        <v/>
      </c>
      <c r="Z1831" s="45" t="str">
        <f>IFERROR(VLOOKUP(B1831,'Pre-Summary'!$BZ$6:$CB$63,2,FALSE),"")</f>
        <v/>
      </c>
      <c r="AA1831" s="45" t="str">
        <f>IFERROR(VLOOKUP(B1831,'Pre-Summary'!$CG$6:$CI$70,2,FALSE),"")</f>
        <v/>
      </c>
      <c r="AB1831" s="99">
        <f>IFERROR(VLOOKUP(B1831,'Pre-Summary'!$A$6:$P$178,9,FALSE),AB1832)</f>
        <v>0.29703412162278986</v>
      </c>
      <c r="AC1831" s="10">
        <f>IFERROR(VLOOKUP(Summary!B1831,'Pre-Summary'!$A$6:$P$184,5, FALSE)/100,AC1832)</f>
        <v>0.91568833333333333</v>
      </c>
      <c r="AD1831" s="10">
        <f>IFERROR(VLOOKUP(Summary!B1831,'Pre-Summary'!$A$6:$P$184,3, FALSE)/100,AD1832)</f>
        <v>5.4185666666666667E-2</v>
      </c>
      <c r="AE1831" s="10">
        <f>IFERROR(VLOOKUP(Summary!B1831,'Pre-Summary'!$A$6:$P$184,7, FALSE)/100,AE1832)</f>
        <v>3.0125999999999997E-2</v>
      </c>
      <c r="AF1831" s="99">
        <f t="shared" si="85"/>
        <v>1.6094991902878619E-2</v>
      </c>
      <c r="AG1831" s="99">
        <f t="shared" si="86"/>
        <v>8.9484499480081657E-3</v>
      </c>
      <c r="AH1831" s="10" t="str">
        <f>IFERROR(VLOOKUP(B1831,'Pre-Summary'!$AZ$6:$BE$65,3,FALSE),"")</f>
        <v/>
      </c>
      <c r="AI1831" s="10" t="str">
        <f>IFERROR(VLOOKUP(B1831,'Pre-Summary'!$AZ$6:$BE$65,5,FALSE),"")</f>
        <v/>
      </c>
      <c r="AJ1831" s="10" t="str">
        <f>IFERROR(VLOOKUP(B1831,'Pre-Summary'!$AZ$6:$BE$65,4,FALSE),"")</f>
        <v/>
      </c>
      <c r="AK1831" s="10" t="str">
        <f>IFERROR(VLOOKUP(B1831,'Pre-Summary'!$AZ$6:$BE$65,6,FALSE),"")</f>
        <v/>
      </c>
      <c r="AL1831" s="10" t="str">
        <f>IFERROR(VLOOKUP(B1831,'Pre-Summary'!$BG$6:$BL$44,3,FALSE),"")</f>
        <v/>
      </c>
      <c r="AM1831" s="10" t="str">
        <f>IFERROR(VLOOKUP(B1831,'Pre-Summary'!$BG$6:$BL$44,4,FALSE),"")</f>
        <v/>
      </c>
    </row>
    <row r="1832" spans="2:39" ht="15" customHeight="1" x14ac:dyDescent="0.3">
      <c r="B1832">
        <v>182.9</v>
      </c>
      <c r="C1832" t="str">
        <f>IFERROR(VLOOKUP(B1832,'Pre-Summary'!$DI$6:$DM$23,4,FALSE),"")</f>
        <v/>
      </c>
      <c r="D1832" s="10" t="str">
        <f>IFERROR(VLOOKUP(B1832,'Pre-Summary'!$AT$6:$AX$14,5,FALSE),D1831)</f>
        <v>Wolfe v3: went back to modified wolfe + EDTA and switched CuSO4 to CUCl2</v>
      </c>
      <c r="E1832" s="10" t="str">
        <f>IFERROR(VLOOKUP(B1832,'Pre-Summary'!$AT$6:$AX$15,4,FALSE),"")</f>
        <v/>
      </c>
      <c r="F1832">
        <f>IFERROR(VLOOKUP(B1832,'Pre-Summary'!$AL$6:$AQ$13,6,FALSE),F1831)</f>
        <v>5.9405263157894746E-2</v>
      </c>
      <c r="G1832" t="str">
        <f>IFERROR(VLOOKUP(B1832,'Pre-Summary'!$AE$6:$AJ$85,3,FALSE),"")</f>
        <v/>
      </c>
      <c r="H1832" t="str">
        <f>IFERROR(VLOOKUP(B1832,'Pre-Summary'!$AE$6:$AJ$85,4,FALSE),"")</f>
        <v/>
      </c>
      <c r="I1832" t="str">
        <f>IFERROR(VLOOKUP(B1832,'Pre-Summary'!$AE$6:$AJ$85,5,FALSE),"")</f>
        <v/>
      </c>
      <c r="J1832" s="45" t="str">
        <f>IFERROR(VLOOKUP(B1832,'Pre-Summary'!$AE$6:$AJ$85,6, FALSE),"")</f>
        <v/>
      </c>
      <c r="K1832" s="45" t="str">
        <f>IFERROR(VLOOKUP(B1832,'Pre-Summary'!$DE$6:$DG$61,3,FALSE),"")</f>
        <v/>
      </c>
      <c r="L1832" s="45" t="str">
        <f>IFERROR(VLOOKUP(B1832,'Pre-Summary'!$CU$6:$CW$36,3,FALSE),"")</f>
        <v/>
      </c>
      <c r="M1832" s="45" t="str">
        <f>IFERROR(VLOOKUP(B1832,'Pre-Summary'!$BW$6:$BY$58,2,FALSE),"")</f>
        <v/>
      </c>
      <c r="N1832" s="45" t="str">
        <f>IFERROR(VLOOKUP(B1832,'Pre-Summary'!$CD$6:$CF$64,2,FALSE),"")</f>
        <v/>
      </c>
      <c r="O1832" s="99">
        <f>IFERROR(VLOOKUP(B1832,'Pre-Summary'!$BO$6:$BQ$48,3, FALSE),O1831)</f>
        <v>1.25</v>
      </c>
      <c r="P1832" s="99">
        <f>IFERROR(VLOOKUP(B1832,'Pre-Summary'!$BS$6:$BU$35,3,FALSE),P1831)</f>
        <v>0.33700000000000002</v>
      </c>
      <c r="Q1832" s="54">
        <f t="shared" si="84"/>
        <v>3.7091988130563798</v>
      </c>
      <c r="R1832" s="53">
        <f>IFERROR(VLOOKUP(B1832,'Pre-Summary'!$BG$6:$BM$44,7,FALSE),R1833)</f>
        <v>7.9325362566443819E-2</v>
      </c>
      <c r="S1832" s="53">
        <f>IFERROR(VLOOKUP(B1832,'Pre-Summary'!$BG$6:$BM$44,6,FALSE),S1833)</f>
        <v>0.10333499253358684</v>
      </c>
      <c r="T1832" s="45" t="str">
        <f>IFERROR(VLOOKUP(B1832,'Pre-Summary'!$Y$6:$AC$83, 3,FALSE),"")</f>
        <v/>
      </c>
      <c r="U1832" s="45" t="str">
        <f>IFERROR(VLOOKUP(B1832,'Pre-Summary'!$Y$6:$AC$83, 4,FALSE),"")</f>
        <v/>
      </c>
      <c r="V1832" t="str">
        <f>IFERROR(VLOOKUP(B1832,'Pre-Summary'!$Y$6:$AC$83, 5,FALSE),"")</f>
        <v/>
      </c>
      <c r="W1832" s="45" t="str">
        <f>IFERROR(VLOOKUP(B1832,'Pre-Summary'!$Y$6:$AD$83,6,FALSE),"")</f>
        <v/>
      </c>
      <c r="X1832" t="str">
        <f>IFERROR(VLOOKUP('Pre-Summary'!$DB$6:$DD$63,3,FALSE),"")</f>
        <v/>
      </c>
      <c r="Y1832" t="str">
        <f>IFERROR(VLOOKUP(B1832,'Pre-Summary'!$CR$6:$CT$36,3,FALSE),"")</f>
        <v/>
      </c>
      <c r="Z1832" s="45" t="str">
        <f>IFERROR(VLOOKUP(B1832,'Pre-Summary'!$BZ$6:$CB$63,2,FALSE),"")</f>
        <v/>
      </c>
      <c r="AA1832" s="45" t="str">
        <f>IFERROR(VLOOKUP(B1832,'Pre-Summary'!$CG$6:$CI$70,2,FALSE),"")</f>
        <v/>
      </c>
      <c r="AB1832" s="99">
        <f>IFERROR(VLOOKUP(B1832,'Pre-Summary'!$A$6:$P$178,9,FALSE),AB1833)</f>
        <v>0.29703412162278986</v>
      </c>
      <c r="AC1832" s="10">
        <f>IFERROR(VLOOKUP(Summary!B1832,'Pre-Summary'!$A$6:$P$184,5, FALSE)/100,AC1833)</f>
        <v>0.91568833333333333</v>
      </c>
      <c r="AD1832" s="10">
        <f>IFERROR(VLOOKUP(Summary!B1832,'Pre-Summary'!$A$6:$P$184,3, FALSE)/100,AD1833)</f>
        <v>5.4185666666666667E-2</v>
      </c>
      <c r="AE1832" s="10">
        <f>IFERROR(VLOOKUP(Summary!B1832,'Pre-Summary'!$A$6:$P$184,7, FALSE)/100,AE1833)</f>
        <v>3.0125999999999997E-2</v>
      </c>
      <c r="AF1832" s="99">
        <f t="shared" si="85"/>
        <v>1.6094991902878619E-2</v>
      </c>
      <c r="AG1832" s="99">
        <f t="shared" si="86"/>
        <v>8.9484499480081657E-3</v>
      </c>
      <c r="AH1832" s="10" t="str">
        <f>IFERROR(VLOOKUP(B1832,'Pre-Summary'!$AZ$6:$BE$65,3,FALSE),"")</f>
        <v/>
      </c>
      <c r="AI1832" s="10" t="str">
        <f>IFERROR(VLOOKUP(B1832,'Pre-Summary'!$AZ$6:$BE$65,5,FALSE),"")</f>
        <v/>
      </c>
      <c r="AJ1832" s="10" t="str">
        <f>IFERROR(VLOOKUP(B1832,'Pre-Summary'!$AZ$6:$BE$65,4,FALSE),"")</f>
        <v/>
      </c>
      <c r="AK1832" s="10" t="str">
        <f>IFERROR(VLOOKUP(B1832,'Pre-Summary'!$AZ$6:$BE$65,6,FALSE),"")</f>
        <v/>
      </c>
      <c r="AL1832" s="10" t="str">
        <f>IFERROR(VLOOKUP(B1832,'Pre-Summary'!$BG$6:$BL$44,3,FALSE),"")</f>
        <v/>
      </c>
      <c r="AM1832" s="10" t="str">
        <f>IFERROR(VLOOKUP(B1832,'Pre-Summary'!$BG$6:$BL$44,4,FALSE),"")</f>
        <v/>
      </c>
    </row>
    <row r="1833" spans="2:39" ht="15" customHeight="1" x14ac:dyDescent="0.3">
      <c r="B1833">
        <v>183</v>
      </c>
      <c r="C1833" t="str">
        <f>IFERROR(VLOOKUP(B1833,'Pre-Summary'!$DI$6:$DM$23,4,FALSE),"")</f>
        <v/>
      </c>
      <c r="D1833" s="10" t="str">
        <f>IFERROR(VLOOKUP(B1833,'Pre-Summary'!$AT$6:$AX$14,5,FALSE),D1832)</f>
        <v>Wolfe v3: went back to modified wolfe + EDTA and switched CuSO4 to CUCl2</v>
      </c>
      <c r="E1833" s="10" t="str">
        <f>IFERROR(VLOOKUP(B1833,'Pre-Summary'!$AT$6:$AX$15,4,FALSE),"")</f>
        <v/>
      </c>
      <c r="F1833">
        <f>IFERROR(VLOOKUP(B1833,'Pre-Summary'!$AL$6:$AQ$13,6,FALSE),F1832)</f>
        <v>5.9405263157894746E-2</v>
      </c>
      <c r="G1833" t="str">
        <f>IFERROR(VLOOKUP(B1833,'Pre-Summary'!$AE$6:$AJ$85,3,FALSE),"")</f>
        <v/>
      </c>
      <c r="H1833" t="str">
        <f>IFERROR(VLOOKUP(B1833,'Pre-Summary'!$AE$6:$AJ$85,4,FALSE),"")</f>
        <v/>
      </c>
      <c r="I1833" t="str">
        <f>IFERROR(VLOOKUP(B1833,'Pre-Summary'!$AE$6:$AJ$85,5,FALSE),"")</f>
        <v/>
      </c>
      <c r="J1833" s="45" t="str">
        <f>IFERROR(VLOOKUP(B1833,'Pre-Summary'!$AE$6:$AJ$85,6, FALSE),"")</f>
        <v/>
      </c>
      <c r="K1833" s="45" t="str">
        <f>IFERROR(VLOOKUP(B1833,'Pre-Summary'!$DE$6:$DG$61,3,FALSE),"")</f>
        <v/>
      </c>
      <c r="L1833" s="45" t="str">
        <f>IFERROR(VLOOKUP(B1833,'Pre-Summary'!$CU$6:$CW$36,3,FALSE),"")</f>
        <v/>
      </c>
      <c r="M1833" s="45" t="str">
        <f>IFERROR(VLOOKUP(B1833,'Pre-Summary'!$BW$6:$BY$58,2,FALSE),"")</f>
        <v/>
      </c>
      <c r="N1833" s="45" t="str">
        <f>IFERROR(VLOOKUP(B1833,'Pre-Summary'!$CD$6:$CF$64,2,FALSE),"")</f>
        <v/>
      </c>
      <c r="O1833" s="99">
        <f>IFERROR(VLOOKUP(B1833,'Pre-Summary'!$BO$6:$BQ$48,3, FALSE),O1832)</f>
        <v>1.25</v>
      </c>
      <c r="P1833" s="99">
        <f>IFERROR(VLOOKUP(B1833,'Pre-Summary'!$BS$6:$BU$35,3,FALSE),P1832)</f>
        <v>0.33700000000000002</v>
      </c>
      <c r="Q1833" s="54">
        <f t="shared" si="84"/>
        <v>3.7091988130563798</v>
      </c>
      <c r="R1833" s="53">
        <f>IFERROR(VLOOKUP(B1833,'Pre-Summary'!$BG$6:$BM$44,7,FALSE),R1834)</f>
        <v>7.9325362566443819E-2</v>
      </c>
      <c r="S1833" s="53">
        <f>IFERROR(VLOOKUP(B1833,'Pre-Summary'!$BG$6:$BM$44,6,FALSE),S1834)</f>
        <v>0.10333499253358684</v>
      </c>
      <c r="T1833" s="45" t="str">
        <f>IFERROR(VLOOKUP(B1833,'Pre-Summary'!$Y$6:$AC$83, 3,FALSE),"")</f>
        <v/>
      </c>
      <c r="U1833" s="45" t="str">
        <f>IFERROR(VLOOKUP(B1833,'Pre-Summary'!$Y$6:$AC$83, 4,FALSE),"")</f>
        <v/>
      </c>
      <c r="V1833" t="str">
        <f>IFERROR(VLOOKUP(B1833,'Pre-Summary'!$Y$6:$AC$83, 5,FALSE),"")</f>
        <v/>
      </c>
      <c r="W1833" s="45" t="str">
        <f>IFERROR(VLOOKUP(B1833,'Pre-Summary'!$Y$6:$AD$83,6,FALSE),"")</f>
        <v/>
      </c>
      <c r="X1833" t="str">
        <f>IFERROR(VLOOKUP('Pre-Summary'!$DB$6:$DD$63,3,FALSE),"")</f>
        <v/>
      </c>
      <c r="Y1833" t="str">
        <f>IFERROR(VLOOKUP(B1833,'Pre-Summary'!$CR$6:$CT$36,3,FALSE),"")</f>
        <v/>
      </c>
      <c r="Z1833" s="45" t="str">
        <f>IFERROR(VLOOKUP(B1833,'Pre-Summary'!$BZ$6:$CB$63,2,FALSE),"")</f>
        <v/>
      </c>
      <c r="AA1833" s="45" t="str">
        <f>IFERROR(VLOOKUP(B1833,'Pre-Summary'!$CG$6:$CI$70,2,FALSE),"")</f>
        <v/>
      </c>
      <c r="AB1833" s="99">
        <f>IFERROR(VLOOKUP(B1833,'Pre-Summary'!$A$6:$P$178,9,FALSE),AB1834)</f>
        <v>0.29796794871705928</v>
      </c>
      <c r="AC1833" s="10">
        <f>IFERROR(VLOOKUP(Summary!B1833,'Pre-Summary'!$A$6:$P$184,5, FALSE)/100,AC1834)</f>
        <v>0.93164333333333327</v>
      </c>
      <c r="AD1833" s="10">
        <f>IFERROR(VLOOKUP(Summary!B1833,'Pre-Summary'!$A$6:$P$184,3, FALSE)/100,AD1834)</f>
        <v>4.0443666666666669E-2</v>
      </c>
      <c r="AE1833" s="10">
        <f>IFERROR(VLOOKUP(Summary!B1833,'Pre-Summary'!$A$6:$P$184,7, FALSE)/100,AE1834)</f>
        <v>2.7912999999999997E-2</v>
      </c>
      <c r="AF1833" s="99">
        <f t="shared" si="85"/>
        <v>1.2050916395263175E-2</v>
      </c>
      <c r="AG1833" s="99">
        <f t="shared" si="86"/>
        <v>8.3171793525392747E-3</v>
      </c>
      <c r="AH1833" s="10" t="str">
        <f>IFERROR(VLOOKUP(B1833,'Pre-Summary'!$AZ$6:$BE$65,3,FALSE),"")</f>
        <v/>
      </c>
      <c r="AI1833" s="10" t="str">
        <f>IFERROR(VLOOKUP(B1833,'Pre-Summary'!$AZ$6:$BE$65,5,FALSE),"")</f>
        <v/>
      </c>
      <c r="AJ1833" s="10" t="str">
        <f>IFERROR(VLOOKUP(B1833,'Pre-Summary'!$AZ$6:$BE$65,4,FALSE),"")</f>
        <v/>
      </c>
      <c r="AK1833" s="10" t="str">
        <f>IFERROR(VLOOKUP(B1833,'Pre-Summary'!$AZ$6:$BE$65,6,FALSE),"")</f>
        <v/>
      </c>
      <c r="AL1833" s="10" t="str">
        <f>IFERROR(VLOOKUP(B1833,'Pre-Summary'!$BG$6:$BL$44,3,FALSE),"")</f>
        <v/>
      </c>
      <c r="AM1833" s="10" t="str">
        <f>IFERROR(VLOOKUP(B1833,'Pre-Summary'!$BG$6:$BL$44,4,FALSE),"")</f>
        <v/>
      </c>
    </row>
    <row r="1834" spans="2:39" ht="15" customHeight="1" x14ac:dyDescent="0.3">
      <c r="B1834">
        <v>183.1</v>
      </c>
      <c r="C1834" t="str">
        <f>IFERROR(VLOOKUP(B1834,'Pre-Summary'!$DI$6:$DM$23,4,FALSE),"")</f>
        <v/>
      </c>
      <c r="D1834" s="10" t="str">
        <f>IFERROR(VLOOKUP(B1834,'Pre-Summary'!$AT$6:$AX$14,5,FALSE),D1833)</f>
        <v>Wolfe v3: went back to modified wolfe + EDTA and switched CuSO4 to CUCl2</v>
      </c>
      <c r="E1834" s="10" t="str">
        <f>IFERROR(VLOOKUP(B1834,'Pre-Summary'!$AT$6:$AX$15,4,FALSE),"")</f>
        <v/>
      </c>
      <c r="F1834">
        <f>IFERROR(VLOOKUP(B1834,'Pre-Summary'!$AL$6:$AQ$13,6,FALSE),F1833)</f>
        <v>5.9405263157894746E-2</v>
      </c>
      <c r="G1834" t="str">
        <f>IFERROR(VLOOKUP(B1834,'Pre-Summary'!$AE$6:$AJ$85,3,FALSE),"")</f>
        <v/>
      </c>
      <c r="H1834" t="str">
        <f>IFERROR(VLOOKUP(B1834,'Pre-Summary'!$AE$6:$AJ$85,4,FALSE),"")</f>
        <v/>
      </c>
      <c r="I1834" t="str">
        <f>IFERROR(VLOOKUP(B1834,'Pre-Summary'!$AE$6:$AJ$85,5,FALSE),"")</f>
        <v/>
      </c>
      <c r="J1834" s="45" t="str">
        <f>IFERROR(VLOOKUP(B1834,'Pre-Summary'!$AE$6:$AJ$85,6, FALSE),"")</f>
        <v/>
      </c>
      <c r="K1834" s="45" t="str">
        <f>IFERROR(VLOOKUP(B1834,'Pre-Summary'!$DE$6:$DG$61,3,FALSE),"")</f>
        <v/>
      </c>
      <c r="L1834" s="45" t="str">
        <f>IFERROR(VLOOKUP(B1834,'Pre-Summary'!$CU$6:$CW$36,3,FALSE),"")</f>
        <v/>
      </c>
      <c r="M1834" s="45" t="str">
        <f>IFERROR(VLOOKUP(B1834,'Pre-Summary'!$BW$6:$BY$58,2,FALSE),"")</f>
        <v/>
      </c>
      <c r="N1834" s="45" t="str">
        <f>IFERROR(VLOOKUP(B1834,'Pre-Summary'!$CD$6:$CF$64,2,FALSE),"")</f>
        <v/>
      </c>
      <c r="O1834" s="99">
        <f>IFERROR(VLOOKUP(B1834,'Pre-Summary'!$BO$6:$BQ$48,3, FALSE),O1833)</f>
        <v>1.25</v>
      </c>
      <c r="P1834" s="99">
        <f>IFERROR(VLOOKUP(B1834,'Pre-Summary'!$BS$6:$BU$35,3,FALSE),P1833)</f>
        <v>0.33700000000000002</v>
      </c>
      <c r="Q1834" s="54">
        <f t="shared" si="84"/>
        <v>3.7091988130563798</v>
      </c>
      <c r="R1834" s="53">
        <f>IFERROR(VLOOKUP(B1834,'Pre-Summary'!$BG$6:$BM$44,7,FALSE),R1835)</f>
        <v>7.9325362566443819E-2</v>
      </c>
      <c r="S1834" s="53">
        <f>IFERROR(VLOOKUP(B1834,'Pre-Summary'!$BG$6:$BM$44,6,FALSE),S1835)</f>
        <v>0.10333499253358684</v>
      </c>
      <c r="T1834" s="45" t="str">
        <f>IFERROR(VLOOKUP(B1834,'Pre-Summary'!$Y$6:$AC$83, 3,FALSE),"")</f>
        <v/>
      </c>
      <c r="U1834" s="45" t="str">
        <f>IFERROR(VLOOKUP(B1834,'Pre-Summary'!$Y$6:$AC$83, 4,FALSE),"")</f>
        <v/>
      </c>
      <c r="V1834" t="str">
        <f>IFERROR(VLOOKUP(B1834,'Pre-Summary'!$Y$6:$AC$83, 5,FALSE),"")</f>
        <v/>
      </c>
      <c r="W1834" s="45" t="str">
        <f>IFERROR(VLOOKUP(B1834,'Pre-Summary'!$Y$6:$AD$83,6,FALSE),"")</f>
        <v/>
      </c>
      <c r="X1834" t="str">
        <f>IFERROR(VLOOKUP('Pre-Summary'!$DB$6:$DD$63,3,FALSE),"")</f>
        <v/>
      </c>
      <c r="Y1834" t="str">
        <f>IFERROR(VLOOKUP(B1834,'Pre-Summary'!$CR$6:$CT$36,3,FALSE),"")</f>
        <v/>
      </c>
      <c r="Z1834" s="45" t="str">
        <f>IFERROR(VLOOKUP(B1834,'Pre-Summary'!$BZ$6:$CB$63,2,FALSE),"")</f>
        <v/>
      </c>
      <c r="AA1834" s="45" t="str">
        <f>IFERROR(VLOOKUP(B1834,'Pre-Summary'!$CG$6:$CI$70,2,FALSE),"")</f>
        <v/>
      </c>
      <c r="AB1834" s="99">
        <f>IFERROR(VLOOKUP(B1834,'Pre-Summary'!$A$6:$P$178,9,FALSE),AB1835)</f>
        <v>0.29796794871705928</v>
      </c>
      <c r="AC1834" s="10">
        <f>IFERROR(VLOOKUP(Summary!B1834,'Pre-Summary'!$A$6:$P$184,5, FALSE)/100,AC1835)</f>
        <v>0.93164333333333327</v>
      </c>
      <c r="AD1834" s="10">
        <f>IFERROR(VLOOKUP(Summary!B1834,'Pre-Summary'!$A$6:$P$184,3, FALSE)/100,AD1835)</f>
        <v>4.0443666666666669E-2</v>
      </c>
      <c r="AE1834" s="10">
        <f>IFERROR(VLOOKUP(Summary!B1834,'Pre-Summary'!$A$6:$P$184,7, FALSE)/100,AE1835)</f>
        <v>2.7912999999999997E-2</v>
      </c>
      <c r="AF1834" s="99">
        <f t="shared" si="85"/>
        <v>1.2050916395263175E-2</v>
      </c>
      <c r="AG1834" s="99">
        <f t="shared" si="86"/>
        <v>8.3171793525392747E-3</v>
      </c>
      <c r="AH1834" s="10" t="str">
        <f>IFERROR(VLOOKUP(B1834,'Pre-Summary'!$AZ$6:$BE$65,3,FALSE),"")</f>
        <v/>
      </c>
      <c r="AI1834" s="10" t="str">
        <f>IFERROR(VLOOKUP(B1834,'Pre-Summary'!$AZ$6:$BE$65,5,FALSE),"")</f>
        <v/>
      </c>
      <c r="AJ1834" s="10" t="str">
        <f>IFERROR(VLOOKUP(B1834,'Pre-Summary'!$AZ$6:$BE$65,4,FALSE),"")</f>
        <v/>
      </c>
      <c r="AK1834" s="10" t="str">
        <f>IFERROR(VLOOKUP(B1834,'Pre-Summary'!$AZ$6:$BE$65,6,FALSE),"")</f>
        <v/>
      </c>
      <c r="AL1834" s="10" t="str">
        <f>IFERROR(VLOOKUP(B1834,'Pre-Summary'!$BG$6:$BL$44,3,FALSE),"")</f>
        <v/>
      </c>
      <c r="AM1834" s="10" t="str">
        <f>IFERROR(VLOOKUP(B1834,'Pre-Summary'!$BG$6:$BL$44,4,FALSE),"")</f>
        <v/>
      </c>
    </row>
    <row r="1835" spans="2:39" ht="15" customHeight="1" x14ac:dyDescent="0.3">
      <c r="B1835">
        <v>183.2</v>
      </c>
      <c r="C1835" t="str">
        <f>IFERROR(VLOOKUP(B1835,'Pre-Summary'!$DI$6:$DM$23,4,FALSE),"")</f>
        <v/>
      </c>
      <c r="D1835" s="10" t="str">
        <f>IFERROR(VLOOKUP(B1835,'Pre-Summary'!$AT$6:$AX$14,5,FALSE),D1834)</f>
        <v>Wolfe v3: went back to modified wolfe + EDTA and switched CuSO4 to CUCl2</v>
      </c>
      <c r="E1835" s="10" t="str">
        <f>IFERROR(VLOOKUP(B1835,'Pre-Summary'!$AT$6:$AX$15,4,FALSE),"")</f>
        <v/>
      </c>
      <c r="F1835">
        <f>IFERROR(VLOOKUP(B1835,'Pre-Summary'!$AL$6:$AQ$13,6,FALSE),F1834)</f>
        <v>5.9405263157894746E-2</v>
      </c>
      <c r="G1835" t="str">
        <f>IFERROR(VLOOKUP(B1835,'Pre-Summary'!$AE$6:$AJ$85,3,FALSE),"")</f>
        <v/>
      </c>
      <c r="H1835" t="str">
        <f>IFERROR(VLOOKUP(B1835,'Pre-Summary'!$AE$6:$AJ$85,4,FALSE),"")</f>
        <v/>
      </c>
      <c r="I1835" t="str">
        <f>IFERROR(VLOOKUP(B1835,'Pre-Summary'!$AE$6:$AJ$85,5,FALSE),"")</f>
        <v/>
      </c>
      <c r="J1835" s="45" t="str">
        <f>IFERROR(VLOOKUP(B1835,'Pre-Summary'!$AE$6:$AJ$85,6, FALSE),"")</f>
        <v/>
      </c>
      <c r="K1835" s="45" t="str">
        <f>IFERROR(VLOOKUP(B1835,'Pre-Summary'!$DE$6:$DG$61,3,FALSE),"")</f>
        <v/>
      </c>
      <c r="L1835" s="45" t="str">
        <f>IFERROR(VLOOKUP(B1835,'Pre-Summary'!$CU$6:$CW$36,3,FALSE),"")</f>
        <v/>
      </c>
      <c r="M1835" s="45" t="str">
        <f>IFERROR(VLOOKUP(B1835,'Pre-Summary'!$BW$6:$BY$58,2,FALSE),"")</f>
        <v/>
      </c>
      <c r="N1835" s="45" t="str">
        <f>IFERROR(VLOOKUP(B1835,'Pre-Summary'!$CD$6:$CF$64,2,FALSE),"")</f>
        <v/>
      </c>
      <c r="O1835" s="99">
        <f>IFERROR(VLOOKUP(B1835,'Pre-Summary'!$BO$6:$BQ$48,3, FALSE),O1834)</f>
        <v>1.25</v>
      </c>
      <c r="P1835" s="99">
        <f>IFERROR(VLOOKUP(B1835,'Pre-Summary'!$BS$6:$BU$35,3,FALSE),P1834)</f>
        <v>0.33700000000000002</v>
      </c>
      <c r="Q1835" s="54">
        <f t="shared" si="84"/>
        <v>3.7091988130563798</v>
      </c>
      <c r="R1835" s="53">
        <f>IFERROR(VLOOKUP(B1835,'Pre-Summary'!$BG$6:$BM$44,7,FALSE),R1836)</f>
        <v>7.9325362566443819E-2</v>
      </c>
      <c r="S1835" s="53">
        <f>IFERROR(VLOOKUP(B1835,'Pre-Summary'!$BG$6:$BM$44,6,FALSE),S1836)</f>
        <v>0.10333499253358684</v>
      </c>
      <c r="T1835" s="45" t="str">
        <f>IFERROR(VLOOKUP(B1835,'Pre-Summary'!$Y$6:$AC$83, 3,FALSE),"")</f>
        <v/>
      </c>
      <c r="U1835" s="45" t="str">
        <f>IFERROR(VLOOKUP(B1835,'Pre-Summary'!$Y$6:$AC$83, 4,FALSE),"")</f>
        <v/>
      </c>
      <c r="V1835" t="str">
        <f>IFERROR(VLOOKUP(B1835,'Pre-Summary'!$Y$6:$AC$83, 5,FALSE),"")</f>
        <v/>
      </c>
      <c r="W1835" s="45" t="str">
        <f>IFERROR(VLOOKUP(B1835,'Pre-Summary'!$Y$6:$AD$83,6,FALSE),"")</f>
        <v/>
      </c>
      <c r="X1835" t="str">
        <f>IFERROR(VLOOKUP('Pre-Summary'!$DB$6:$DD$63,3,FALSE),"")</f>
        <v/>
      </c>
      <c r="Y1835" t="str">
        <f>IFERROR(VLOOKUP(B1835,'Pre-Summary'!$CR$6:$CT$36,3,FALSE),"")</f>
        <v/>
      </c>
      <c r="Z1835" s="45" t="str">
        <f>IFERROR(VLOOKUP(B1835,'Pre-Summary'!$BZ$6:$CB$63,2,FALSE),"")</f>
        <v/>
      </c>
      <c r="AA1835" s="45" t="str">
        <f>IFERROR(VLOOKUP(B1835,'Pre-Summary'!$CG$6:$CI$70,2,FALSE),"")</f>
        <v/>
      </c>
      <c r="AB1835" s="99">
        <f>IFERROR(VLOOKUP(B1835,'Pre-Summary'!$A$6:$P$178,9,FALSE),AB1836)</f>
        <v>0.29796794871705928</v>
      </c>
      <c r="AC1835" s="10">
        <f>IFERROR(VLOOKUP(Summary!B1835,'Pre-Summary'!$A$6:$P$184,5, FALSE)/100,AC1836)</f>
        <v>0.93164333333333327</v>
      </c>
      <c r="AD1835" s="10">
        <f>IFERROR(VLOOKUP(Summary!B1835,'Pre-Summary'!$A$6:$P$184,3, FALSE)/100,AD1836)</f>
        <v>4.0443666666666669E-2</v>
      </c>
      <c r="AE1835" s="10">
        <f>IFERROR(VLOOKUP(Summary!B1835,'Pre-Summary'!$A$6:$P$184,7, FALSE)/100,AE1836)</f>
        <v>2.7912999999999997E-2</v>
      </c>
      <c r="AF1835" s="99">
        <f t="shared" si="85"/>
        <v>1.2050916395263175E-2</v>
      </c>
      <c r="AG1835" s="99">
        <f t="shared" si="86"/>
        <v>8.3171793525392747E-3</v>
      </c>
      <c r="AH1835" s="10" t="str">
        <f>IFERROR(VLOOKUP(B1835,'Pre-Summary'!$AZ$6:$BE$65,3,FALSE),"")</f>
        <v/>
      </c>
      <c r="AI1835" s="10" t="str">
        <f>IFERROR(VLOOKUP(B1835,'Pre-Summary'!$AZ$6:$BE$65,5,FALSE),"")</f>
        <v/>
      </c>
      <c r="AJ1835" s="10" t="str">
        <f>IFERROR(VLOOKUP(B1835,'Pre-Summary'!$AZ$6:$BE$65,4,FALSE),"")</f>
        <v/>
      </c>
      <c r="AK1835" s="10" t="str">
        <f>IFERROR(VLOOKUP(B1835,'Pre-Summary'!$AZ$6:$BE$65,6,FALSE),"")</f>
        <v/>
      </c>
      <c r="AL1835" s="10" t="str">
        <f>IFERROR(VLOOKUP(B1835,'Pre-Summary'!$BG$6:$BL$44,3,FALSE),"")</f>
        <v/>
      </c>
      <c r="AM1835" s="10" t="str">
        <f>IFERROR(VLOOKUP(B1835,'Pre-Summary'!$BG$6:$BL$44,4,FALSE),"")</f>
        <v/>
      </c>
    </row>
    <row r="1836" spans="2:39" ht="15" customHeight="1" x14ac:dyDescent="0.3">
      <c r="B1836">
        <v>183.3</v>
      </c>
      <c r="C1836" t="str">
        <f>IFERROR(VLOOKUP(B1836,'Pre-Summary'!$DI$6:$DM$23,4,FALSE),"")</f>
        <v/>
      </c>
      <c r="D1836" s="10" t="str">
        <f>IFERROR(VLOOKUP(B1836,'Pre-Summary'!$AT$6:$AX$14,5,FALSE),D1835)</f>
        <v>Wolfe v3: went back to modified wolfe + EDTA and switched CuSO4 to CUCl2</v>
      </c>
      <c r="E1836" s="10" t="str">
        <f>IFERROR(VLOOKUP(B1836,'Pre-Summary'!$AT$6:$AX$15,4,FALSE),"")</f>
        <v/>
      </c>
      <c r="F1836">
        <f>IFERROR(VLOOKUP(B1836,'Pre-Summary'!$AL$6:$AQ$13,6,FALSE),F1835)</f>
        <v>5.9405263157894746E-2</v>
      </c>
      <c r="G1836" t="str">
        <f>IFERROR(VLOOKUP(B1836,'Pre-Summary'!$AE$6:$AJ$85,3,FALSE),"")</f>
        <v/>
      </c>
      <c r="H1836" t="str">
        <f>IFERROR(VLOOKUP(B1836,'Pre-Summary'!$AE$6:$AJ$85,4,FALSE),"")</f>
        <v/>
      </c>
      <c r="I1836" t="str">
        <f>IFERROR(VLOOKUP(B1836,'Pre-Summary'!$AE$6:$AJ$85,5,FALSE),"")</f>
        <v/>
      </c>
      <c r="J1836" s="45" t="str">
        <f>IFERROR(VLOOKUP(B1836,'Pre-Summary'!$AE$6:$AJ$85,6, FALSE),"")</f>
        <v/>
      </c>
      <c r="K1836" s="45" t="str">
        <f>IFERROR(VLOOKUP(B1836,'Pre-Summary'!$DE$6:$DG$61,3,FALSE),"")</f>
        <v/>
      </c>
      <c r="L1836" s="45" t="str">
        <f>IFERROR(VLOOKUP(B1836,'Pre-Summary'!$CU$6:$CW$36,3,FALSE),"")</f>
        <v/>
      </c>
      <c r="M1836" s="45" t="str">
        <f>IFERROR(VLOOKUP(B1836,'Pre-Summary'!$BW$6:$BY$58,2,FALSE),"")</f>
        <v/>
      </c>
      <c r="N1836" s="45" t="str">
        <f>IFERROR(VLOOKUP(B1836,'Pre-Summary'!$CD$6:$CF$64,2,FALSE),"")</f>
        <v/>
      </c>
      <c r="O1836" s="99">
        <f>IFERROR(VLOOKUP(B1836,'Pre-Summary'!$BO$6:$BQ$48,3, FALSE),O1835)</f>
        <v>1.25</v>
      </c>
      <c r="P1836" s="99">
        <f>IFERROR(VLOOKUP(B1836,'Pre-Summary'!$BS$6:$BU$35,3,FALSE),P1835)</f>
        <v>0.33700000000000002</v>
      </c>
      <c r="Q1836" s="54">
        <f t="shared" si="84"/>
        <v>3.7091988130563798</v>
      </c>
      <c r="R1836" s="53">
        <f>IFERROR(VLOOKUP(B1836,'Pre-Summary'!$BG$6:$BM$44,7,FALSE),R1837)</f>
        <v>7.9325362566443819E-2</v>
      </c>
      <c r="S1836" s="53">
        <f>IFERROR(VLOOKUP(B1836,'Pre-Summary'!$BG$6:$BM$44,6,FALSE),S1837)</f>
        <v>0.10333499253358684</v>
      </c>
      <c r="T1836" s="45" t="str">
        <f>IFERROR(VLOOKUP(B1836,'Pre-Summary'!$Y$6:$AC$83, 3,FALSE),"")</f>
        <v/>
      </c>
      <c r="U1836" s="45" t="str">
        <f>IFERROR(VLOOKUP(B1836,'Pre-Summary'!$Y$6:$AC$83, 4,FALSE),"")</f>
        <v/>
      </c>
      <c r="V1836" t="str">
        <f>IFERROR(VLOOKUP(B1836,'Pre-Summary'!$Y$6:$AC$83, 5,FALSE),"")</f>
        <v/>
      </c>
      <c r="W1836" s="45" t="str">
        <f>IFERROR(VLOOKUP(B1836,'Pre-Summary'!$Y$6:$AD$83,6,FALSE),"")</f>
        <v/>
      </c>
      <c r="X1836" t="str">
        <f>IFERROR(VLOOKUP('Pre-Summary'!$DB$6:$DD$63,3,FALSE),"")</f>
        <v/>
      </c>
      <c r="Y1836" t="str">
        <f>IFERROR(VLOOKUP(B1836,'Pre-Summary'!$CR$6:$CT$36,3,FALSE),"")</f>
        <v/>
      </c>
      <c r="Z1836" s="45" t="str">
        <f>IFERROR(VLOOKUP(B1836,'Pre-Summary'!$BZ$6:$CB$63,2,FALSE),"")</f>
        <v/>
      </c>
      <c r="AA1836" s="45" t="str">
        <f>IFERROR(VLOOKUP(B1836,'Pre-Summary'!$CG$6:$CI$70,2,FALSE),"")</f>
        <v/>
      </c>
      <c r="AB1836" s="99">
        <f>IFERROR(VLOOKUP(B1836,'Pre-Summary'!$A$6:$P$178,9,FALSE),AB1837)</f>
        <v>0.29796794871705928</v>
      </c>
      <c r="AC1836" s="10">
        <f>IFERROR(VLOOKUP(Summary!B1836,'Pre-Summary'!$A$6:$P$184,5, FALSE)/100,AC1837)</f>
        <v>0.93164333333333327</v>
      </c>
      <c r="AD1836" s="10">
        <f>IFERROR(VLOOKUP(Summary!B1836,'Pre-Summary'!$A$6:$P$184,3, FALSE)/100,AD1837)</f>
        <v>4.0443666666666669E-2</v>
      </c>
      <c r="AE1836" s="10">
        <f>IFERROR(VLOOKUP(Summary!B1836,'Pre-Summary'!$A$6:$P$184,7, FALSE)/100,AE1837)</f>
        <v>2.7912999999999997E-2</v>
      </c>
      <c r="AF1836" s="99">
        <f t="shared" si="85"/>
        <v>1.2050916395263175E-2</v>
      </c>
      <c r="AG1836" s="99">
        <f t="shared" si="86"/>
        <v>8.3171793525392747E-3</v>
      </c>
      <c r="AH1836" s="10" t="str">
        <f>IFERROR(VLOOKUP(B1836,'Pre-Summary'!$AZ$6:$BE$65,3,FALSE),"")</f>
        <v/>
      </c>
      <c r="AI1836" s="10" t="str">
        <f>IFERROR(VLOOKUP(B1836,'Pre-Summary'!$AZ$6:$BE$65,5,FALSE),"")</f>
        <v/>
      </c>
      <c r="AJ1836" s="10" t="str">
        <f>IFERROR(VLOOKUP(B1836,'Pre-Summary'!$AZ$6:$BE$65,4,FALSE),"")</f>
        <v/>
      </c>
      <c r="AK1836" s="10" t="str">
        <f>IFERROR(VLOOKUP(B1836,'Pre-Summary'!$AZ$6:$BE$65,6,FALSE),"")</f>
        <v/>
      </c>
      <c r="AL1836" s="10" t="str">
        <f>IFERROR(VLOOKUP(B1836,'Pre-Summary'!$BG$6:$BL$44,3,FALSE),"")</f>
        <v/>
      </c>
      <c r="AM1836" s="10" t="str">
        <f>IFERROR(VLOOKUP(B1836,'Pre-Summary'!$BG$6:$BL$44,4,FALSE),"")</f>
        <v/>
      </c>
    </row>
    <row r="1837" spans="2:39" ht="15" customHeight="1" x14ac:dyDescent="0.3">
      <c r="B1837">
        <v>183.4</v>
      </c>
      <c r="C1837" t="str">
        <f>IFERROR(VLOOKUP(B1837,'Pre-Summary'!$DI$6:$DM$23,4,FALSE),"")</f>
        <v/>
      </c>
      <c r="D1837" s="10" t="str">
        <f>IFERROR(VLOOKUP(B1837,'Pre-Summary'!$AT$6:$AX$14,5,FALSE),D1836)</f>
        <v>Wolfe v3: went back to modified wolfe + EDTA and switched CuSO4 to CUCl2</v>
      </c>
      <c r="E1837" s="10" t="str">
        <f>IFERROR(VLOOKUP(B1837,'Pre-Summary'!$AT$6:$AX$15,4,FALSE),"")</f>
        <v/>
      </c>
      <c r="F1837">
        <f>IFERROR(VLOOKUP(B1837,'Pre-Summary'!$AL$6:$AQ$13,6,FALSE),F1836)</f>
        <v>5.9405263157894746E-2</v>
      </c>
      <c r="G1837" t="str">
        <f>IFERROR(VLOOKUP(B1837,'Pre-Summary'!$AE$6:$AJ$85,3,FALSE),"")</f>
        <v/>
      </c>
      <c r="H1837" t="str">
        <f>IFERROR(VLOOKUP(B1837,'Pre-Summary'!$AE$6:$AJ$85,4,FALSE),"")</f>
        <v/>
      </c>
      <c r="I1837" t="str">
        <f>IFERROR(VLOOKUP(B1837,'Pre-Summary'!$AE$6:$AJ$85,5,FALSE),"")</f>
        <v/>
      </c>
      <c r="J1837" s="45" t="str">
        <f>IFERROR(VLOOKUP(B1837,'Pre-Summary'!$AE$6:$AJ$85,6, FALSE),"")</f>
        <v/>
      </c>
      <c r="K1837" s="45" t="str">
        <f>IFERROR(VLOOKUP(B1837,'Pre-Summary'!$DE$6:$DG$61,3,FALSE),"")</f>
        <v/>
      </c>
      <c r="L1837" s="45" t="str">
        <f>IFERROR(VLOOKUP(B1837,'Pre-Summary'!$CU$6:$CW$36,3,FALSE),"")</f>
        <v/>
      </c>
      <c r="M1837" s="45" t="str">
        <f>IFERROR(VLOOKUP(B1837,'Pre-Summary'!$BW$6:$BY$58,2,FALSE),"")</f>
        <v/>
      </c>
      <c r="N1837" s="45" t="str">
        <f>IFERROR(VLOOKUP(B1837,'Pre-Summary'!$CD$6:$CF$64,2,FALSE),"")</f>
        <v/>
      </c>
      <c r="O1837" s="99">
        <f>IFERROR(VLOOKUP(B1837,'Pre-Summary'!$BO$6:$BQ$48,3, FALSE),O1836)</f>
        <v>1.25</v>
      </c>
      <c r="P1837" s="99">
        <f>IFERROR(VLOOKUP(B1837,'Pre-Summary'!$BS$6:$BU$35,3,FALSE),P1836)</f>
        <v>0.33700000000000002</v>
      </c>
      <c r="Q1837" s="54">
        <f t="shared" si="84"/>
        <v>3.7091988130563798</v>
      </c>
      <c r="R1837" s="53">
        <f>IFERROR(VLOOKUP(B1837,'Pre-Summary'!$BG$6:$BM$44,7,FALSE),R1838)</f>
        <v>7.9325362566443819E-2</v>
      </c>
      <c r="S1837" s="53">
        <f>IFERROR(VLOOKUP(B1837,'Pre-Summary'!$BG$6:$BM$44,6,FALSE),S1838)</f>
        <v>0.10333499253358684</v>
      </c>
      <c r="T1837" s="45" t="str">
        <f>IFERROR(VLOOKUP(B1837,'Pre-Summary'!$Y$6:$AC$83, 3,FALSE),"")</f>
        <v/>
      </c>
      <c r="U1837" s="45" t="str">
        <f>IFERROR(VLOOKUP(B1837,'Pre-Summary'!$Y$6:$AC$83, 4,FALSE),"")</f>
        <v/>
      </c>
      <c r="V1837" t="str">
        <f>IFERROR(VLOOKUP(B1837,'Pre-Summary'!$Y$6:$AC$83, 5,FALSE),"")</f>
        <v/>
      </c>
      <c r="W1837" s="45" t="str">
        <f>IFERROR(VLOOKUP(B1837,'Pre-Summary'!$Y$6:$AD$83,6,FALSE),"")</f>
        <v/>
      </c>
      <c r="X1837" t="str">
        <f>IFERROR(VLOOKUP('Pre-Summary'!$DB$6:$DD$63,3,FALSE),"")</f>
        <v/>
      </c>
      <c r="Y1837" t="str">
        <f>IFERROR(VLOOKUP(B1837,'Pre-Summary'!$CR$6:$CT$36,3,FALSE),"")</f>
        <v/>
      </c>
      <c r="Z1837" s="45" t="str">
        <f>IFERROR(VLOOKUP(B1837,'Pre-Summary'!$BZ$6:$CB$63,2,FALSE),"")</f>
        <v/>
      </c>
      <c r="AA1837" s="45" t="str">
        <f>IFERROR(VLOOKUP(B1837,'Pre-Summary'!$CG$6:$CI$70,2,FALSE),"")</f>
        <v/>
      </c>
      <c r="AB1837" s="99">
        <f>IFERROR(VLOOKUP(B1837,'Pre-Summary'!$A$6:$P$178,9,FALSE),AB1838)</f>
        <v>0.29796794871705928</v>
      </c>
      <c r="AC1837" s="10">
        <f>IFERROR(VLOOKUP(Summary!B1837,'Pre-Summary'!$A$6:$P$184,5, FALSE)/100,AC1838)</f>
        <v>0.93164333333333327</v>
      </c>
      <c r="AD1837" s="10">
        <f>IFERROR(VLOOKUP(Summary!B1837,'Pre-Summary'!$A$6:$P$184,3, FALSE)/100,AD1838)</f>
        <v>4.0443666666666669E-2</v>
      </c>
      <c r="AE1837" s="10">
        <f>IFERROR(VLOOKUP(Summary!B1837,'Pre-Summary'!$A$6:$P$184,7, FALSE)/100,AE1838)</f>
        <v>2.7912999999999997E-2</v>
      </c>
      <c r="AF1837" s="99">
        <f t="shared" si="85"/>
        <v>1.2050916395263175E-2</v>
      </c>
      <c r="AG1837" s="99">
        <f t="shared" si="86"/>
        <v>8.3171793525392747E-3</v>
      </c>
      <c r="AH1837" s="10" t="str">
        <f>IFERROR(VLOOKUP(B1837,'Pre-Summary'!$AZ$6:$BE$65,3,FALSE),"")</f>
        <v/>
      </c>
      <c r="AI1837" s="10" t="str">
        <f>IFERROR(VLOOKUP(B1837,'Pre-Summary'!$AZ$6:$BE$65,5,FALSE),"")</f>
        <v/>
      </c>
      <c r="AJ1837" s="10" t="str">
        <f>IFERROR(VLOOKUP(B1837,'Pre-Summary'!$AZ$6:$BE$65,4,FALSE),"")</f>
        <v/>
      </c>
      <c r="AK1837" s="10" t="str">
        <f>IFERROR(VLOOKUP(B1837,'Pre-Summary'!$AZ$6:$BE$65,6,FALSE),"")</f>
        <v/>
      </c>
      <c r="AL1837" s="10" t="str">
        <f>IFERROR(VLOOKUP(B1837,'Pre-Summary'!$BG$6:$BL$44,3,FALSE),"")</f>
        <v/>
      </c>
      <c r="AM1837" s="10" t="str">
        <f>IFERROR(VLOOKUP(B1837,'Pre-Summary'!$BG$6:$BL$44,4,FALSE),"")</f>
        <v/>
      </c>
    </row>
    <row r="1838" spans="2:39" ht="15" customHeight="1" x14ac:dyDescent="0.3">
      <c r="B1838">
        <v>183.5</v>
      </c>
      <c r="C1838" t="str">
        <f>IFERROR(VLOOKUP(B1838,'Pre-Summary'!$DI$6:$DM$23,4,FALSE),"")</f>
        <v/>
      </c>
      <c r="D1838" s="10" t="str">
        <f>IFERROR(VLOOKUP(B1838,'Pre-Summary'!$AT$6:$AX$14,5,FALSE),D1837)</f>
        <v>Wolfe v3: went back to modified wolfe + EDTA and switched CuSO4 to CUCl2</v>
      </c>
      <c r="E1838" s="10" t="str">
        <f>IFERROR(VLOOKUP(B1838,'Pre-Summary'!$AT$6:$AX$15,4,FALSE),"")</f>
        <v/>
      </c>
      <c r="F1838">
        <f>IFERROR(VLOOKUP(B1838,'Pre-Summary'!$AL$6:$AQ$13,6,FALSE),F1837)</f>
        <v>5.9405263157894746E-2</v>
      </c>
      <c r="G1838" t="str">
        <f>IFERROR(VLOOKUP(B1838,'Pre-Summary'!$AE$6:$AJ$85,3,FALSE),"")</f>
        <v/>
      </c>
      <c r="H1838" t="str">
        <f>IFERROR(VLOOKUP(B1838,'Pre-Summary'!$AE$6:$AJ$85,4,FALSE),"")</f>
        <v/>
      </c>
      <c r="I1838" t="str">
        <f>IFERROR(VLOOKUP(B1838,'Pre-Summary'!$AE$6:$AJ$85,5,FALSE),"")</f>
        <v/>
      </c>
      <c r="J1838" s="45" t="str">
        <f>IFERROR(VLOOKUP(B1838,'Pre-Summary'!$AE$6:$AJ$85,6, FALSE),"")</f>
        <v/>
      </c>
      <c r="K1838" s="45" t="str">
        <f>IFERROR(VLOOKUP(B1838,'Pre-Summary'!$DE$6:$DG$61,3,FALSE),"")</f>
        <v/>
      </c>
      <c r="L1838" s="45" t="str">
        <f>IFERROR(VLOOKUP(B1838,'Pre-Summary'!$CU$6:$CW$36,3,FALSE),"")</f>
        <v/>
      </c>
      <c r="M1838" s="45" t="str">
        <f>IFERROR(VLOOKUP(B1838,'Pre-Summary'!$BW$6:$BY$58,2,FALSE),"")</f>
        <v/>
      </c>
      <c r="N1838" s="45">
        <f>IFERROR(VLOOKUP(B1838,'Pre-Summary'!$CD$6:$CF$64,2,FALSE),"")</f>
        <v>230.8642365855645</v>
      </c>
      <c r="O1838" s="99">
        <f>IFERROR(VLOOKUP(B1838,'Pre-Summary'!$BO$6:$BQ$48,3, FALSE),O1837)</f>
        <v>1.25</v>
      </c>
      <c r="P1838" s="99">
        <f>IFERROR(VLOOKUP(B1838,'Pre-Summary'!$BS$6:$BU$35,3,FALSE),P1837)</f>
        <v>0.33700000000000002</v>
      </c>
      <c r="Q1838" s="54">
        <f t="shared" si="84"/>
        <v>3.7091988130563798</v>
      </c>
      <c r="R1838" s="53">
        <f>IFERROR(VLOOKUP(B1838,'Pre-Summary'!$BG$6:$BM$44,7,FALSE),R1839)</f>
        <v>7.9325362566443819E-2</v>
      </c>
      <c r="S1838" s="53">
        <f>IFERROR(VLOOKUP(B1838,'Pre-Summary'!$BG$6:$BM$44,6,FALSE),S1839)</f>
        <v>0.10333499253358684</v>
      </c>
      <c r="T1838" s="45" t="str">
        <f>IFERROR(VLOOKUP(B1838,'Pre-Summary'!$Y$6:$AC$83, 3,FALSE),"")</f>
        <v/>
      </c>
      <c r="U1838" s="45" t="str">
        <f>IFERROR(VLOOKUP(B1838,'Pre-Summary'!$Y$6:$AC$83, 4,FALSE),"")</f>
        <v/>
      </c>
      <c r="V1838" t="str">
        <f>IFERROR(VLOOKUP(B1838,'Pre-Summary'!$Y$6:$AC$83, 5,FALSE),"")</f>
        <v/>
      </c>
      <c r="W1838" s="45" t="str">
        <f>IFERROR(VLOOKUP(B1838,'Pre-Summary'!$Y$6:$AD$83,6,FALSE),"")</f>
        <v/>
      </c>
      <c r="X1838" t="str">
        <f>IFERROR(VLOOKUP('Pre-Summary'!$DB$6:$DD$63,3,FALSE),"")</f>
        <v/>
      </c>
      <c r="Y1838" t="str">
        <f>IFERROR(VLOOKUP(B1838,'Pre-Summary'!$CR$6:$CT$36,3,FALSE),"")</f>
        <v/>
      </c>
      <c r="Z1838" s="45" t="str">
        <f>IFERROR(VLOOKUP(B1838,'Pre-Summary'!$BZ$6:$CB$63,2,FALSE),"")</f>
        <v/>
      </c>
      <c r="AA1838" s="45" t="str">
        <f>IFERROR(VLOOKUP(B1838,'Pre-Summary'!$CG$6:$CI$70,2,FALSE),"")</f>
        <v/>
      </c>
      <c r="AB1838" s="99">
        <f>IFERROR(VLOOKUP(B1838,'Pre-Summary'!$A$6:$P$178,9,FALSE),AB1839)</f>
        <v>0.29796794871705928</v>
      </c>
      <c r="AC1838" s="10">
        <f>IFERROR(VLOOKUP(Summary!B1838,'Pre-Summary'!$A$6:$P$184,5, FALSE)/100,AC1839)</f>
        <v>0.93164333333333327</v>
      </c>
      <c r="AD1838" s="10">
        <f>IFERROR(VLOOKUP(Summary!B1838,'Pre-Summary'!$A$6:$P$184,3, FALSE)/100,AD1839)</f>
        <v>4.0443666666666669E-2</v>
      </c>
      <c r="AE1838" s="10">
        <f>IFERROR(VLOOKUP(Summary!B1838,'Pre-Summary'!$A$6:$P$184,7, FALSE)/100,AE1839)</f>
        <v>2.7912999999999997E-2</v>
      </c>
      <c r="AF1838" s="99">
        <f t="shared" si="85"/>
        <v>1.2050916395263175E-2</v>
      </c>
      <c r="AG1838" s="99">
        <f t="shared" si="86"/>
        <v>8.3171793525392747E-3</v>
      </c>
      <c r="AH1838" s="10" t="str">
        <f>IFERROR(VLOOKUP(B1838,'Pre-Summary'!$AZ$6:$BE$65,3,FALSE),"")</f>
        <v/>
      </c>
      <c r="AI1838" s="10" t="str">
        <f>IFERROR(VLOOKUP(B1838,'Pre-Summary'!$AZ$6:$BE$65,5,FALSE),"")</f>
        <v/>
      </c>
      <c r="AJ1838" s="10" t="str">
        <f>IFERROR(VLOOKUP(B1838,'Pre-Summary'!$AZ$6:$BE$65,4,FALSE),"")</f>
        <v/>
      </c>
      <c r="AK1838" s="10" t="str">
        <f>IFERROR(VLOOKUP(B1838,'Pre-Summary'!$AZ$6:$BE$65,6,FALSE),"")</f>
        <v/>
      </c>
      <c r="AL1838" s="10" t="str">
        <f>IFERROR(VLOOKUP(B1838,'Pre-Summary'!$BG$6:$BL$44,3,FALSE),"")</f>
        <v/>
      </c>
      <c r="AM1838" s="10" t="str">
        <f>IFERROR(VLOOKUP(B1838,'Pre-Summary'!$BG$6:$BL$44,4,FALSE),"")</f>
        <v/>
      </c>
    </row>
    <row r="1839" spans="2:39" ht="15" customHeight="1" x14ac:dyDescent="0.3">
      <c r="B1839">
        <v>183.6</v>
      </c>
      <c r="C1839" t="str">
        <f>IFERROR(VLOOKUP(B1839,'Pre-Summary'!$DI$6:$DM$23,4,FALSE),"")</f>
        <v/>
      </c>
      <c r="D1839" s="10" t="str">
        <f>IFERROR(VLOOKUP(B1839,'Pre-Summary'!$AT$6:$AX$14,5,FALSE),D1838)</f>
        <v>Wolfe v3: went back to modified wolfe + EDTA and switched CuSO4 to CUCl2</v>
      </c>
      <c r="E1839" s="10" t="str">
        <f>IFERROR(VLOOKUP(B1839,'Pre-Summary'!$AT$6:$AX$15,4,FALSE),"")</f>
        <v/>
      </c>
      <c r="F1839">
        <f>IFERROR(VLOOKUP(B1839,'Pre-Summary'!$AL$6:$AQ$13,6,FALSE),F1838)</f>
        <v>5.9405263157894746E-2</v>
      </c>
      <c r="G1839" t="str">
        <f>IFERROR(VLOOKUP(B1839,'Pre-Summary'!$AE$6:$AJ$85,3,FALSE),"")</f>
        <v/>
      </c>
      <c r="H1839" t="str">
        <f>IFERROR(VLOOKUP(B1839,'Pre-Summary'!$AE$6:$AJ$85,4,FALSE),"")</f>
        <v/>
      </c>
      <c r="I1839" t="str">
        <f>IFERROR(VLOOKUP(B1839,'Pre-Summary'!$AE$6:$AJ$85,5,FALSE),"")</f>
        <v/>
      </c>
      <c r="J1839" s="45" t="str">
        <f>IFERROR(VLOOKUP(B1839,'Pre-Summary'!$AE$6:$AJ$85,6, FALSE),"")</f>
        <v/>
      </c>
      <c r="K1839" s="45" t="str">
        <f>IFERROR(VLOOKUP(B1839,'Pre-Summary'!$DE$6:$DG$61,3,FALSE),"")</f>
        <v/>
      </c>
      <c r="L1839" s="45" t="str">
        <f>IFERROR(VLOOKUP(B1839,'Pre-Summary'!$CU$6:$CW$36,3,FALSE),"")</f>
        <v/>
      </c>
      <c r="M1839" s="45" t="str">
        <f>IFERROR(VLOOKUP(B1839,'Pre-Summary'!$BW$6:$BY$58,2,FALSE),"")</f>
        <v/>
      </c>
      <c r="N1839" s="45" t="str">
        <f>IFERROR(VLOOKUP(B1839,'Pre-Summary'!$CD$6:$CF$64,2,FALSE),"")</f>
        <v/>
      </c>
      <c r="O1839" s="99">
        <f>IFERROR(VLOOKUP(B1839,'Pre-Summary'!$BO$6:$BQ$48,3, FALSE),O1838)</f>
        <v>1.25</v>
      </c>
      <c r="P1839" s="99">
        <f>IFERROR(VLOOKUP(B1839,'Pre-Summary'!$BS$6:$BU$35,3,FALSE),P1838)</f>
        <v>0.33700000000000002</v>
      </c>
      <c r="Q1839" s="54">
        <f t="shared" si="84"/>
        <v>3.7091988130563798</v>
      </c>
      <c r="R1839" s="53">
        <f>IFERROR(VLOOKUP(B1839,'Pre-Summary'!$BG$6:$BM$44,7,FALSE),R1840)</f>
        <v>7.9325362566443819E-2</v>
      </c>
      <c r="S1839" s="53">
        <f>IFERROR(VLOOKUP(B1839,'Pre-Summary'!$BG$6:$BM$44,6,FALSE),S1840)</f>
        <v>0.10333499253358684</v>
      </c>
      <c r="T1839" s="45" t="str">
        <f>IFERROR(VLOOKUP(B1839,'Pre-Summary'!$Y$6:$AC$83, 3,FALSE),"")</f>
        <v/>
      </c>
      <c r="U1839" s="45" t="str">
        <f>IFERROR(VLOOKUP(B1839,'Pre-Summary'!$Y$6:$AC$83, 4,FALSE),"")</f>
        <v/>
      </c>
      <c r="V1839" t="str">
        <f>IFERROR(VLOOKUP(B1839,'Pre-Summary'!$Y$6:$AC$83, 5,FALSE),"")</f>
        <v/>
      </c>
      <c r="W1839" s="45" t="str">
        <f>IFERROR(VLOOKUP(B1839,'Pre-Summary'!$Y$6:$AD$83,6,FALSE),"")</f>
        <v/>
      </c>
      <c r="X1839" t="str">
        <f>IFERROR(VLOOKUP('Pre-Summary'!$DB$6:$DD$63,3,FALSE),"")</f>
        <v/>
      </c>
      <c r="Y1839" t="str">
        <f>IFERROR(VLOOKUP(B1839,'Pre-Summary'!$CR$6:$CT$36,3,FALSE),"")</f>
        <v/>
      </c>
      <c r="Z1839" s="45" t="str">
        <f>IFERROR(VLOOKUP(B1839,'Pre-Summary'!$BZ$6:$CB$63,2,FALSE),"")</f>
        <v/>
      </c>
      <c r="AA1839" s="45" t="str">
        <f>IFERROR(VLOOKUP(B1839,'Pre-Summary'!$CG$6:$CI$70,2,FALSE),"")</f>
        <v/>
      </c>
      <c r="AB1839" s="99">
        <f>IFERROR(VLOOKUP(B1839,'Pre-Summary'!$A$6:$P$178,9,FALSE),AB1840)</f>
        <v>0.29796794871705928</v>
      </c>
      <c r="AC1839" s="10">
        <f>IFERROR(VLOOKUP(Summary!B1839,'Pre-Summary'!$A$6:$P$184,5, FALSE)/100,AC1840)</f>
        <v>0.93164333333333327</v>
      </c>
      <c r="AD1839" s="10">
        <f>IFERROR(VLOOKUP(Summary!B1839,'Pre-Summary'!$A$6:$P$184,3, FALSE)/100,AD1840)</f>
        <v>4.0443666666666669E-2</v>
      </c>
      <c r="AE1839" s="10">
        <f>IFERROR(VLOOKUP(Summary!B1839,'Pre-Summary'!$A$6:$P$184,7, FALSE)/100,AE1840)</f>
        <v>2.7912999999999997E-2</v>
      </c>
      <c r="AF1839" s="99">
        <f t="shared" si="85"/>
        <v>1.2050916395263175E-2</v>
      </c>
      <c r="AG1839" s="99">
        <f t="shared" si="86"/>
        <v>8.3171793525392747E-3</v>
      </c>
      <c r="AH1839" s="10" t="str">
        <f>IFERROR(VLOOKUP(B1839,'Pre-Summary'!$AZ$6:$BE$65,3,FALSE),"")</f>
        <v/>
      </c>
      <c r="AI1839" s="10" t="str">
        <f>IFERROR(VLOOKUP(B1839,'Pre-Summary'!$AZ$6:$BE$65,5,FALSE),"")</f>
        <v/>
      </c>
      <c r="AJ1839" s="10" t="str">
        <f>IFERROR(VLOOKUP(B1839,'Pre-Summary'!$AZ$6:$BE$65,4,FALSE),"")</f>
        <v/>
      </c>
      <c r="AK1839" s="10" t="str">
        <f>IFERROR(VLOOKUP(B1839,'Pre-Summary'!$AZ$6:$BE$65,6,FALSE),"")</f>
        <v/>
      </c>
      <c r="AL1839" s="10" t="str">
        <f>IFERROR(VLOOKUP(B1839,'Pre-Summary'!$BG$6:$BL$44,3,FALSE),"")</f>
        <v/>
      </c>
      <c r="AM1839" s="10" t="str">
        <f>IFERROR(VLOOKUP(B1839,'Pre-Summary'!$BG$6:$BL$44,4,FALSE),"")</f>
        <v/>
      </c>
    </row>
    <row r="1840" spans="2:39" ht="15" customHeight="1" x14ac:dyDescent="0.3">
      <c r="B1840">
        <v>183.7</v>
      </c>
      <c r="C1840" t="str">
        <f>IFERROR(VLOOKUP(B1840,'Pre-Summary'!$DI$6:$DM$23,4,FALSE),"")</f>
        <v/>
      </c>
      <c r="D1840" s="10" t="str">
        <f>IFERROR(VLOOKUP(B1840,'Pre-Summary'!$AT$6:$AX$14,5,FALSE),D1839)</f>
        <v>Wolfe v3: went back to modified wolfe + EDTA and switched CuSO4 to CUCl2</v>
      </c>
      <c r="E1840" s="10" t="str">
        <f>IFERROR(VLOOKUP(B1840,'Pre-Summary'!$AT$6:$AX$15,4,FALSE),"")</f>
        <v/>
      </c>
      <c r="F1840">
        <f>IFERROR(VLOOKUP(B1840,'Pre-Summary'!$AL$6:$AQ$13,6,FALSE),F1839)</f>
        <v>5.9405263157894746E-2</v>
      </c>
      <c r="G1840" t="str">
        <f>IFERROR(VLOOKUP(B1840,'Pre-Summary'!$AE$6:$AJ$85,3,FALSE),"")</f>
        <v/>
      </c>
      <c r="H1840" t="str">
        <f>IFERROR(VLOOKUP(B1840,'Pre-Summary'!$AE$6:$AJ$85,4,FALSE),"")</f>
        <v/>
      </c>
      <c r="I1840" t="str">
        <f>IFERROR(VLOOKUP(B1840,'Pre-Summary'!$AE$6:$AJ$85,5,FALSE),"")</f>
        <v/>
      </c>
      <c r="J1840" s="45" t="str">
        <f>IFERROR(VLOOKUP(B1840,'Pre-Summary'!$AE$6:$AJ$85,6, FALSE),"")</f>
        <v/>
      </c>
      <c r="K1840" s="45" t="str">
        <f>IFERROR(VLOOKUP(B1840,'Pre-Summary'!$DE$6:$DG$61,3,FALSE),"")</f>
        <v/>
      </c>
      <c r="L1840" s="45" t="str">
        <f>IFERROR(VLOOKUP(B1840,'Pre-Summary'!$CU$6:$CW$36,3,FALSE),"")</f>
        <v/>
      </c>
      <c r="M1840" s="45" t="str">
        <f>IFERROR(VLOOKUP(B1840,'Pre-Summary'!$BW$6:$BY$58,2,FALSE),"")</f>
        <v/>
      </c>
      <c r="N1840" s="45" t="str">
        <f>IFERROR(VLOOKUP(B1840,'Pre-Summary'!$CD$6:$CF$64,2,FALSE),"")</f>
        <v/>
      </c>
      <c r="O1840" s="99">
        <f>IFERROR(VLOOKUP(B1840,'Pre-Summary'!$BO$6:$BQ$48,3, FALSE),O1839)</f>
        <v>1.25</v>
      </c>
      <c r="P1840" s="99">
        <f>IFERROR(VLOOKUP(B1840,'Pre-Summary'!$BS$6:$BU$35,3,FALSE),P1839)</f>
        <v>0.33700000000000002</v>
      </c>
      <c r="Q1840" s="54">
        <f t="shared" si="84"/>
        <v>3.7091988130563798</v>
      </c>
      <c r="R1840" s="53">
        <f>IFERROR(VLOOKUP(B1840,'Pre-Summary'!$BG$6:$BM$44,7,FALSE),R1841)</f>
        <v>7.9325362566443819E-2</v>
      </c>
      <c r="S1840" s="53">
        <f>IFERROR(VLOOKUP(B1840,'Pre-Summary'!$BG$6:$BM$44,6,FALSE),S1841)</f>
        <v>0.10333499253358684</v>
      </c>
      <c r="T1840" s="45" t="str">
        <f>IFERROR(VLOOKUP(B1840,'Pre-Summary'!$Y$6:$AC$83, 3,FALSE),"")</f>
        <v/>
      </c>
      <c r="U1840" s="45" t="str">
        <f>IFERROR(VLOOKUP(B1840,'Pre-Summary'!$Y$6:$AC$83, 4,FALSE),"")</f>
        <v/>
      </c>
      <c r="V1840" t="str">
        <f>IFERROR(VLOOKUP(B1840,'Pre-Summary'!$Y$6:$AC$83, 5,FALSE),"")</f>
        <v/>
      </c>
      <c r="W1840" s="45" t="str">
        <f>IFERROR(VLOOKUP(B1840,'Pre-Summary'!$Y$6:$AD$83,6,FALSE),"")</f>
        <v/>
      </c>
      <c r="X1840" t="str">
        <f>IFERROR(VLOOKUP('Pre-Summary'!$DB$6:$DD$63,3,FALSE),"")</f>
        <v/>
      </c>
      <c r="Y1840" t="str">
        <f>IFERROR(VLOOKUP(B1840,'Pre-Summary'!$CR$6:$CT$36,3,FALSE),"")</f>
        <v/>
      </c>
      <c r="Z1840" s="45" t="str">
        <f>IFERROR(VLOOKUP(B1840,'Pre-Summary'!$BZ$6:$CB$63,2,FALSE),"")</f>
        <v/>
      </c>
      <c r="AA1840" s="45" t="str">
        <f>IFERROR(VLOOKUP(B1840,'Pre-Summary'!$CG$6:$CI$70,2,FALSE),"")</f>
        <v/>
      </c>
      <c r="AB1840" s="99">
        <f>IFERROR(VLOOKUP(B1840,'Pre-Summary'!$A$6:$P$178,9,FALSE),AB1841)</f>
        <v>0.29796794871705928</v>
      </c>
      <c r="AC1840" s="10">
        <f>IFERROR(VLOOKUP(Summary!B1840,'Pre-Summary'!$A$6:$P$184,5, FALSE)/100,AC1841)</f>
        <v>0.93164333333333327</v>
      </c>
      <c r="AD1840" s="10">
        <f>IFERROR(VLOOKUP(Summary!B1840,'Pre-Summary'!$A$6:$P$184,3, FALSE)/100,AD1841)</f>
        <v>4.0443666666666669E-2</v>
      </c>
      <c r="AE1840" s="10">
        <f>IFERROR(VLOOKUP(Summary!B1840,'Pre-Summary'!$A$6:$P$184,7, FALSE)/100,AE1841)</f>
        <v>2.7912999999999997E-2</v>
      </c>
      <c r="AF1840" s="99">
        <f t="shared" si="85"/>
        <v>1.2050916395263175E-2</v>
      </c>
      <c r="AG1840" s="99">
        <f t="shared" si="86"/>
        <v>8.3171793525392747E-3</v>
      </c>
      <c r="AH1840" s="10" t="str">
        <f>IFERROR(VLOOKUP(B1840,'Pre-Summary'!$AZ$6:$BE$65,3,FALSE),"")</f>
        <v/>
      </c>
      <c r="AI1840" s="10" t="str">
        <f>IFERROR(VLOOKUP(B1840,'Pre-Summary'!$AZ$6:$BE$65,5,FALSE),"")</f>
        <v/>
      </c>
      <c r="AJ1840" s="10" t="str">
        <f>IFERROR(VLOOKUP(B1840,'Pre-Summary'!$AZ$6:$BE$65,4,FALSE),"")</f>
        <v/>
      </c>
      <c r="AK1840" s="10" t="str">
        <f>IFERROR(VLOOKUP(B1840,'Pre-Summary'!$AZ$6:$BE$65,6,FALSE),"")</f>
        <v/>
      </c>
      <c r="AL1840" s="10" t="str">
        <f>IFERROR(VLOOKUP(B1840,'Pre-Summary'!$BG$6:$BL$44,3,FALSE),"")</f>
        <v/>
      </c>
      <c r="AM1840" s="10" t="str">
        <f>IFERROR(VLOOKUP(B1840,'Pre-Summary'!$BG$6:$BL$44,4,FALSE),"")</f>
        <v/>
      </c>
    </row>
    <row r="1841" spans="2:39" ht="15" customHeight="1" x14ac:dyDescent="0.3">
      <c r="B1841">
        <v>183.8</v>
      </c>
      <c r="C1841" t="str">
        <f>IFERROR(VLOOKUP(B1841,'Pre-Summary'!$DI$6:$DM$23,4,FALSE),"")</f>
        <v/>
      </c>
      <c r="D1841" s="10" t="str">
        <f>IFERROR(VLOOKUP(B1841,'Pre-Summary'!$AT$6:$AX$14,5,FALSE),D1840)</f>
        <v>Wolfe v3: went back to modified wolfe + EDTA and switched CuSO4 to CUCl2</v>
      </c>
      <c r="E1841" s="10" t="str">
        <f>IFERROR(VLOOKUP(B1841,'Pre-Summary'!$AT$6:$AX$15,4,FALSE),"")</f>
        <v/>
      </c>
      <c r="F1841">
        <f>IFERROR(VLOOKUP(B1841,'Pre-Summary'!$AL$6:$AQ$13,6,FALSE),F1840)</f>
        <v>5.9405263157894746E-2</v>
      </c>
      <c r="G1841" t="str">
        <f>IFERROR(VLOOKUP(B1841,'Pre-Summary'!$AE$6:$AJ$85,3,FALSE),"")</f>
        <v/>
      </c>
      <c r="H1841" t="str">
        <f>IFERROR(VLOOKUP(B1841,'Pre-Summary'!$AE$6:$AJ$85,4,FALSE),"")</f>
        <v/>
      </c>
      <c r="I1841" t="str">
        <f>IFERROR(VLOOKUP(B1841,'Pre-Summary'!$AE$6:$AJ$85,5,FALSE),"")</f>
        <v/>
      </c>
      <c r="J1841" s="45" t="str">
        <f>IFERROR(VLOOKUP(B1841,'Pre-Summary'!$AE$6:$AJ$85,6, FALSE),"")</f>
        <v/>
      </c>
      <c r="K1841" s="45" t="str">
        <f>IFERROR(VLOOKUP(B1841,'Pre-Summary'!$DE$6:$DG$61,3,FALSE),"")</f>
        <v/>
      </c>
      <c r="L1841" s="45" t="str">
        <f>IFERROR(VLOOKUP(B1841,'Pre-Summary'!$CU$6:$CW$36,3,FALSE),"")</f>
        <v/>
      </c>
      <c r="M1841" s="45" t="str">
        <f>IFERROR(VLOOKUP(B1841,'Pre-Summary'!$BW$6:$BY$58,2,FALSE),"")</f>
        <v/>
      </c>
      <c r="N1841" s="45" t="str">
        <f>IFERROR(VLOOKUP(B1841,'Pre-Summary'!$CD$6:$CF$64,2,FALSE),"")</f>
        <v/>
      </c>
      <c r="O1841" s="99">
        <f>IFERROR(VLOOKUP(B1841,'Pre-Summary'!$BO$6:$BQ$48,3, FALSE),O1840)</f>
        <v>1.25</v>
      </c>
      <c r="P1841" s="99">
        <f>IFERROR(VLOOKUP(B1841,'Pre-Summary'!$BS$6:$BU$35,3,FALSE),P1840)</f>
        <v>0.33700000000000002</v>
      </c>
      <c r="Q1841" s="54">
        <f t="shared" si="84"/>
        <v>3.7091988130563798</v>
      </c>
      <c r="R1841" s="53">
        <f>IFERROR(VLOOKUP(B1841,'Pre-Summary'!$BG$6:$BM$44,7,FALSE),R1842)</f>
        <v>7.9325362566443819E-2</v>
      </c>
      <c r="S1841" s="53">
        <f>IFERROR(VLOOKUP(B1841,'Pre-Summary'!$BG$6:$BM$44,6,FALSE),S1842)</f>
        <v>0.10333499253358684</v>
      </c>
      <c r="T1841" s="45" t="str">
        <f>IFERROR(VLOOKUP(B1841,'Pre-Summary'!$Y$6:$AC$83, 3,FALSE),"")</f>
        <v/>
      </c>
      <c r="U1841" s="45" t="str">
        <f>IFERROR(VLOOKUP(B1841,'Pre-Summary'!$Y$6:$AC$83, 4,FALSE),"")</f>
        <v/>
      </c>
      <c r="V1841" t="str">
        <f>IFERROR(VLOOKUP(B1841,'Pre-Summary'!$Y$6:$AC$83, 5,FALSE),"")</f>
        <v/>
      </c>
      <c r="W1841" s="45" t="str">
        <f>IFERROR(VLOOKUP(B1841,'Pre-Summary'!$Y$6:$AD$83,6,FALSE),"")</f>
        <v/>
      </c>
      <c r="X1841" t="str">
        <f>IFERROR(VLOOKUP('Pre-Summary'!$DB$6:$DD$63,3,FALSE),"")</f>
        <v/>
      </c>
      <c r="Y1841" t="str">
        <f>IFERROR(VLOOKUP(B1841,'Pre-Summary'!$CR$6:$CT$36,3,FALSE),"")</f>
        <v/>
      </c>
      <c r="Z1841" s="45" t="str">
        <f>IFERROR(VLOOKUP(B1841,'Pre-Summary'!$BZ$6:$CB$63,2,FALSE),"")</f>
        <v/>
      </c>
      <c r="AA1841" s="45" t="str">
        <f>IFERROR(VLOOKUP(B1841,'Pre-Summary'!$CG$6:$CI$70,2,FALSE),"")</f>
        <v/>
      </c>
      <c r="AB1841" s="99">
        <f>IFERROR(VLOOKUP(B1841,'Pre-Summary'!$A$6:$P$178,9,FALSE),AB1842)</f>
        <v>0.29796794871705928</v>
      </c>
      <c r="AC1841" s="10">
        <f>IFERROR(VLOOKUP(Summary!B1841,'Pre-Summary'!$A$6:$P$184,5, FALSE)/100,AC1842)</f>
        <v>0.93164333333333327</v>
      </c>
      <c r="AD1841" s="10">
        <f>IFERROR(VLOOKUP(Summary!B1841,'Pre-Summary'!$A$6:$P$184,3, FALSE)/100,AD1842)</f>
        <v>4.0443666666666669E-2</v>
      </c>
      <c r="AE1841" s="10">
        <f>IFERROR(VLOOKUP(Summary!B1841,'Pre-Summary'!$A$6:$P$184,7, FALSE)/100,AE1842)</f>
        <v>2.7912999999999997E-2</v>
      </c>
      <c r="AF1841" s="99">
        <f t="shared" si="85"/>
        <v>1.2050916395263175E-2</v>
      </c>
      <c r="AG1841" s="99">
        <f t="shared" si="86"/>
        <v>8.3171793525392747E-3</v>
      </c>
      <c r="AH1841" s="10" t="str">
        <f>IFERROR(VLOOKUP(B1841,'Pre-Summary'!$AZ$6:$BE$65,3,FALSE),"")</f>
        <v/>
      </c>
      <c r="AI1841" s="10" t="str">
        <f>IFERROR(VLOOKUP(B1841,'Pre-Summary'!$AZ$6:$BE$65,5,FALSE),"")</f>
        <v/>
      </c>
      <c r="AJ1841" s="10" t="str">
        <f>IFERROR(VLOOKUP(B1841,'Pre-Summary'!$AZ$6:$BE$65,4,FALSE),"")</f>
        <v/>
      </c>
      <c r="AK1841" s="10" t="str">
        <f>IFERROR(VLOOKUP(B1841,'Pre-Summary'!$AZ$6:$BE$65,6,FALSE),"")</f>
        <v/>
      </c>
      <c r="AL1841" s="10" t="str">
        <f>IFERROR(VLOOKUP(B1841,'Pre-Summary'!$BG$6:$BL$44,3,FALSE),"")</f>
        <v/>
      </c>
      <c r="AM1841" s="10" t="str">
        <f>IFERROR(VLOOKUP(B1841,'Pre-Summary'!$BG$6:$BL$44,4,FALSE),"")</f>
        <v/>
      </c>
    </row>
    <row r="1842" spans="2:39" ht="15" customHeight="1" x14ac:dyDescent="0.3">
      <c r="B1842">
        <v>183.9</v>
      </c>
      <c r="C1842" t="str">
        <f>IFERROR(VLOOKUP(B1842,'Pre-Summary'!$DI$6:$DM$23,4,FALSE),"")</f>
        <v/>
      </c>
      <c r="D1842" s="10" t="str">
        <f>IFERROR(VLOOKUP(B1842,'Pre-Summary'!$AT$6:$AX$14,5,FALSE),D1841)</f>
        <v>Wolfe v3: went back to modified wolfe + EDTA and switched CuSO4 to CUCl2</v>
      </c>
      <c r="E1842" s="10" t="str">
        <f>IFERROR(VLOOKUP(B1842,'Pre-Summary'!$AT$6:$AX$15,4,FALSE),"")</f>
        <v/>
      </c>
      <c r="F1842">
        <f>IFERROR(VLOOKUP(B1842,'Pre-Summary'!$AL$6:$AQ$13,6,FALSE),F1841)</f>
        <v>5.9405263157894746E-2</v>
      </c>
      <c r="G1842" t="str">
        <f>IFERROR(VLOOKUP(B1842,'Pre-Summary'!$AE$6:$AJ$85,3,FALSE),"")</f>
        <v/>
      </c>
      <c r="H1842" t="str">
        <f>IFERROR(VLOOKUP(B1842,'Pre-Summary'!$AE$6:$AJ$85,4,FALSE),"")</f>
        <v/>
      </c>
      <c r="I1842" t="str">
        <f>IFERROR(VLOOKUP(B1842,'Pre-Summary'!$AE$6:$AJ$85,5,FALSE),"")</f>
        <v/>
      </c>
      <c r="J1842" s="45" t="str">
        <f>IFERROR(VLOOKUP(B1842,'Pre-Summary'!$AE$6:$AJ$85,6, FALSE),"")</f>
        <v/>
      </c>
      <c r="K1842" s="45" t="str">
        <f>IFERROR(VLOOKUP(B1842,'Pre-Summary'!$DE$6:$DG$61,3,FALSE),"")</f>
        <v/>
      </c>
      <c r="L1842" s="45" t="str">
        <f>IFERROR(VLOOKUP(B1842,'Pre-Summary'!$CU$6:$CW$36,3,FALSE),"")</f>
        <v/>
      </c>
      <c r="M1842" s="45" t="str">
        <f>IFERROR(VLOOKUP(B1842,'Pre-Summary'!$BW$6:$BY$58,2,FALSE),"")</f>
        <v/>
      </c>
      <c r="N1842" s="45" t="str">
        <f>IFERROR(VLOOKUP(B1842,'Pre-Summary'!$CD$6:$CF$64,2,FALSE),"")</f>
        <v/>
      </c>
      <c r="O1842" s="99">
        <f>IFERROR(VLOOKUP(B1842,'Pre-Summary'!$BO$6:$BQ$48,3, FALSE),O1841)</f>
        <v>1.25</v>
      </c>
      <c r="P1842" s="99">
        <f>IFERROR(VLOOKUP(B1842,'Pre-Summary'!$BS$6:$BU$35,3,FALSE),P1841)</f>
        <v>0.33700000000000002</v>
      </c>
      <c r="Q1842" s="54">
        <f t="shared" si="84"/>
        <v>3.7091988130563798</v>
      </c>
      <c r="R1842" s="53">
        <f>IFERROR(VLOOKUP(B1842,'Pre-Summary'!$BG$6:$BM$44,7,FALSE),R1843)</f>
        <v>7.9325362566443819E-2</v>
      </c>
      <c r="S1842" s="53">
        <f>IFERROR(VLOOKUP(B1842,'Pre-Summary'!$BG$6:$BM$44,6,FALSE),S1843)</f>
        <v>0.10333499253358684</v>
      </c>
      <c r="T1842" s="45" t="str">
        <f>IFERROR(VLOOKUP(B1842,'Pre-Summary'!$Y$6:$AC$83, 3,FALSE),"")</f>
        <v/>
      </c>
      <c r="U1842" s="45" t="str">
        <f>IFERROR(VLOOKUP(B1842,'Pre-Summary'!$Y$6:$AC$83, 4,FALSE),"")</f>
        <v/>
      </c>
      <c r="V1842" t="str">
        <f>IFERROR(VLOOKUP(B1842,'Pre-Summary'!$Y$6:$AC$83, 5,FALSE),"")</f>
        <v/>
      </c>
      <c r="W1842" s="45" t="str">
        <f>IFERROR(VLOOKUP(B1842,'Pre-Summary'!$Y$6:$AD$83,6,FALSE),"")</f>
        <v/>
      </c>
      <c r="X1842" t="str">
        <f>IFERROR(VLOOKUP('Pre-Summary'!$DB$6:$DD$63,3,FALSE),"")</f>
        <v/>
      </c>
      <c r="Y1842" t="str">
        <f>IFERROR(VLOOKUP(B1842,'Pre-Summary'!$CR$6:$CT$36,3,FALSE),"")</f>
        <v/>
      </c>
      <c r="Z1842" s="45" t="str">
        <f>IFERROR(VLOOKUP(B1842,'Pre-Summary'!$BZ$6:$CB$63,2,FALSE),"")</f>
        <v/>
      </c>
      <c r="AA1842" s="45" t="str">
        <f>IFERROR(VLOOKUP(B1842,'Pre-Summary'!$CG$6:$CI$70,2,FALSE),"")</f>
        <v/>
      </c>
      <c r="AB1842" s="99">
        <f>IFERROR(VLOOKUP(B1842,'Pre-Summary'!$A$6:$P$178,9,FALSE),AB1843)</f>
        <v>0.29796794871705928</v>
      </c>
      <c r="AC1842" s="10">
        <f>IFERROR(VLOOKUP(Summary!B1842,'Pre-Summary'!$A$6:$P$184,5, FALSE)/100,AC1843)</f>
        <v>0.93164333333333327</v>
      </c>
      <c r="AD1842" s="10">
        <f>IFERROR(VLOOKUP(Summary!B1842,'Pre-Summary'!$A$6:$P$184,3, FALSE)/100,AD1843)</f>
        <v>4.0443666666666669E-2</v>
      </c>
      <c r="AE1842" s="10">
        <f>IFERROR(VLOOKUP(Summary!B1842,'Pre-Summary'!$A$6:$P$184,7, FALSE)/100,AE1843)</f>
        <v>2.7912999999999997E-2</v>
      </c>
      <c r="AF1842" s="99">
        <f t="shared" si="85"/>
        <v>1.2050916395263175E-2</v>
      </c>
      <c r="AG1842" s="99">
        <f t="shared" si="86"/>
        <v>8.3171793525392747E-3</v>
      </c>
      <c r="AH1842" s="10" t="str">
        <f>IFERROR(VLOOKUP(B1842,'Pre-Summary'!$AZ$6:$BE$65,3,FALSE),"")</f>
        <v/>
      </c>
      <c r="AI1842" s="10" t="str">
        <f>IFERROR(VLOOKUP(B1842,'Pre-Summary'!$AZ$6:$BE$65,5,FALSE),"")</f>
        <v/>
      </c>
      <c r="AJ1842" s="10" t="str">
        <f>IFERROR(VLOOKUP(B1842,'Pre-Summary'!$AZ$6:$BE$65,4,FALSE),"")</f>
        <v/>
      </c>
      <c r="AK1842" s="10" t="str">
        <f>IFERROR(VLOOKUP(B1842,'Pre-Summary'!$AZ$6:$BE$65,6,FALSE),"")</f>
        <v/>
      </c>
      <c r="AL1842" s="10" t="str">
        <f>IFERROR(VLOOKUP(B1842,'Pre-Summary'!$BG$6:$BL$44,3,FALSE),"")</f>
        <v/>
      </c>
      <c r="AM1842" s="10" t="str">
        <f>IFERROR(VLOOKUP(B1842,'Pre-Summary'!$BG$6:$BL$44,4,FALSE),"")</f>
        <v/>
      </c>
    </row>
    <row r="1843" spans="2:39" ht="15" customHeight="1" x14ac:dyDescent="0.3">
      <c r="B1843">
        <v>184</v>
      </c>
      <c r="C1843" t="str">
        <f>IFERROR(VLOOKUP(B1843,'Pre-Summary'!$DI$6:$DM$23,4,FALSE),"")</f>
        <v/>
      </c>
      <c r="D1843" s="10" t="str">
        <f>IFERROR(VLOOKUP(B1843,'Pre-Summary'!$AT$6:$AX$14,5,FALSE),D1842)</f>
        <v>Wolfe v3: went back to modified wolfe + EDTA and switched CuSO4 to CUCl2</v>
      </c>
      <c r="E1843" s="10" t="str">
        <f>IFERROR(VLOOKUP(B1843,'Pre-Summary'!$AT$6:$AX$15,4,FALSE),"")</f>
        <v/>
      </c>
      <c r="F1843">
        <f>IFERROR(VLOOKUP(B1843,'Pre-Summary'!$AL$6:$AQ$13,6,FALSE),F1842)</f>
        <v>5.9405263157894746E-2</v>
      </c>
      <c r="G1843" t="str">
        <f>IFERROR(VLOOKUP(B1843,'Pre-Summary'!$AE$6:$AJ$85,3,FALSE),"")</f>
        <v/>
      </c>
      <c r="H1843" t="str">
        <f>IFERROR(VLOOKUP(B1843,'Pre-Summary'!$AE$6:$AJ$85,4,FALSE),"")</f>
        <v/>
      </c>
      <c r="I1843" t="str">
        <f>IFERROR(VLOOKUP(B1843,'Pre-Summary'!$AE$6:$AJ$85,5,FALSE),"")</f>
        <v/>
      </c>
      <c r="J1843" s="45" t="str">
        <f>IFERROR(VLOOKUP(B1843,'Pre-Summary'!$AE$6:$AJ$85,6, FALSE),"")</f>
        <v/>
      </c>
      <c r="K1843" s="45">
        <f>IFERROR(VLOOKUP(B1843,'Pre-Summary'!$DE$6:$DG$61,3,FALSE),"")</f>
        <v>874</v>
      </c>
      <c r="L1843" s="45" t="str">
        <f>IFERROR(VLOOKUP(B1843,'Pre-Summary'!$CU$6:$CW$36,3,FALSE),"")</f>
        <v/>
      </c>
      <c r="M1843" s="45" t="str">
        <f>IFERROR(VLOOKUP(B1843,'Pre-Summary'!$BW$6:$BY$58,2,FALSE),"")</f>
        <v/>
      </c>
      <c r="N1843" s="45" t="str">
        <f>IFERROR(VLOOKUP(B1843,'Pre-Summary'!$CD$6:$CF$64,2,FALSE),"")</f>
        <v/>
      </c>
      <c r="O1843" s="99">
        <f>IFERROR(VLOOKUP(B1843,'Pre-Summary'!$BO$6:$BQ$48,3, FALSE),O1842)</f>
        <v>1.25</v>
      </c>
      <c r="P1843" s="99">
        <f>IFERROR(VLOOKUP(B1843,'Pre-Summary'!$BS$6:$BU$35,3,FALSE),P1842)</f>
        <v>0.33700000000000002</v>
      </c>
      <c r="Q1843" s="54">
        <f t="shared" si="84"/>
        <v>3.7091988130563798</v>
      </c>
      <c r="R1843" s="53">
        <f>IFERROR(VLOOKUP(B1843,'Pre-Summary'!$BG$6:$BM$44,7,FALSE),R1844)</f>
        <v>7.9325362566443819E-2</v>
      </c>
      <c r="S1843" s="53">
        <f>IFERROR(VLOOKUP(B1843,'Pre-Summary'!$BG$6:$BM$44,6,FALSE),S1844)</f>
        <v>0.10333499253358684</v>
      </c>
      <c r="T1843" s="45" t="str">
        <f>IFERROR(VLOOKUP(B1843,'Pre-Summary'!$Y$6:$AC$83, 3,FALSE),"")</f>
        <v/>
      </c>
      <c r="U1843" s="45" t="str">
        <f>IFERROR(VLOOKUP(B1843,'Pre-Summary'!$Y$6:$AC$83, 4,FALSE),"")</f>
        <v/>
      </c>
      <c r="V1843" t="str">
        <f>IFERROR(VLOOKUP(B1843,'Pre-Summary'!$Y$6:$AC$83, 5,FALSE),"")</f>
        <v/>
      </c>
      <c r="W1843" s="45" t="str">
        <f>IFERROR(VLOOKUP(B1843,'Pre-Summary'!$Y$6:$AD$83,6,FALSE),"")</f>
        <v/>
      </c>
      <c r="X1843" t="str">
        <f>IFERROR(VLOOKUP('Pre-Summary'!$DB$6:$DD$63,3,FALSE),"")</f>
        <v/>
      </c>
      <c r="Y1843" t="str">
        <f>IFERROR(VLOOKUP(B1843,'Pre-Summary'!$CR$6:$CT$36,3,FALSE),"")</f>
        <v/>
      </c>
      <c r="Z1843" s="45">
        <f>IFERROR(VLOOKUP(B1843,'Pre-Summary'!$BZ$6:$CB$63,2,FALSE),"")</f>
        <v>62.72686540936062</v>
      </c>
      <c r="AA1843" s="45">
        <f>IFERROR(VLOOKUP(B1843,'Pre-Summary'!$CG$6:$CI$70,2,FALSE),"")</f>
        <v>283.80088319681823</v>
      </c>
      <c r="AB1843" s="99">
        <f>IFERROR(VLOOKUP(B1843,'Pre-Summary'!$A$6:$P$178,9,FALSE),AB1844)</f>
        <v>0.29796794871705928</v>
      </c>
      <c r="AC1843" s="10">
        <f>IFERROR(VLOOKUP(Summary!B1843,'Pre-Summary'!$A$6:$P$184,5, FALSE)/100,AC1844)</f>
        <v>0.93164333333333327</v>
      </c>
      <c r="AD1843" s="10">
        <f>IFERROR(VLOOKUP(Summary!B1843,'Pre-Summary'!$A$6:$P$184,3, FALSE)/100,AD1844)</f>
        <v>4.0443666666666669E-2</v>
      </c>
      <c r="AE1843" s="10">
        <f>IFERROR(VLOOKUP(Summary!B1843,'Pre-Summary'!$A$6:$P$184,7, FALSE)/100,AE1844)</f>
        <v>2.7912999999999997E-2</v>
      </c>
      <c r="AF1843" s="99">
        <f t="shared" si="85"/>
        <v>1.2050916395263175E-2</v>
      </c>
      <c r="AG1843" s="99">
        <f t="shared" si="86"/>
        <v>8.3171793525392747E-3</v>
      </c>
      <c r="AH1843" s="10" t="str">
        <f>IFERROR(VLOOKUP(B1843,'Pre-Summary'!$AZ$6:$BE$65,3,FALSE),"")</f>
        <v/>
      </c>
      <c r="AI1843" s="10" t="str">
        <f>IFERROR(VLOOKUP(B1843,'Pre-Summary'!$AZ$6:$BE$65,5,FALSE),"")</f>
        <v/>
      </c>
      <c r="AJ1843" s="10" t="str">
        <f>IFERROR(VLOOKUP(B1843,'Pre-Summary'!$AZ$6:$BE$65,4,FALSE),"")</f>
        <v/>
      </c>
      <c r="AK1843" s="10" t="str">
        <f>IFERROR(VLOOKUP(B1843,'Pre-Summary'!$AZ$6:$BE$65,6,FALSE),"")</f>
        <v/>
      </c>
      <c r="AL1843" s="10" t="str">
        <f>IFERROR(VLOOKUP(B1843,'Pre-Summary'!$BG$6:$BL$44,3,FALSE),"")</f>
        <v/>
      </c>
      <c r="AM1843" s="10" t="str">
        <f>IFERROR(VLOOKUP(B1843,'Pre-Summary'!$BG$6:$BL$44,4,FALSE),"")</f>
        <v/>
      </c>
    </row>
    <row r="1844" spans="2:39" ht="15" customHeight="1" x14ac:dyDescent="0.3">
      <c r="B1844">
        <v>184.1</v>
      </c>
      <c r="C1844" t="str">
        <f>IFERROR(VLOOKUP(B1844,'Pre-Summary'!$DI$6:$DM$23,4,FALSE),"")</f>
        <v/>
      </c>
      <c r="D1844" s="10" t="str">
        <f>IFERROR(VLOOKUP(B1844,'Pre-Summary'!$AT$6:$AX$14,5,FALSE),D1843)</f>
        <v>Wolfe v3: went back to modified wolfe + EDTA and switched CuSO4 to CUCl2</v>
      </c>
      <c r="E1844" s="10" t="str">
        <f>IFERROR(VLOOKUP(B1844,'Pre-Summary'!$AT$6:$AX$15,4,FALSE),"")</f>
        <v/>
      </c>
      <c r="F1844">
        <f>IFERROR(VLOOKUP(B1844,'Pre-Summary'!$AL$6:$AQ$13,6,FALSE),F1843)</f>
        <v>5.9405263157894746E-2</v>
      </c>
      <c r="G1844" t="str">
        <f>IFERROR(VLOOKUP(B1844,'Pre-Summary'!$AE$6:$AJ$85,3,FALSE),"")</f>
        <v/>
      </c>
      <c r="H1844" t="str">
        <f>IFERROR(VLOOKUP(B1844,'Pre-Summary'!$AE$6:$AJ$85,4,FALSE),"")</f>
        <v/>
      </c>
      <c r="I1844" t="str">
        <f>IFERROR(VLOOKUP(B1844,'Pre-Summary'!$AE$6:$AJ$85,5,FALSE),"")</f>
        <v/>
      </c>
      <c r="J1844" s="45" t="str">
        <f>IFERROR(VLOOKUP(B1844,'Pre-Summary'!$AE$6:$AJ$85,6, FALSE),"")</f>
        <v/>
      </c>
      <c r="K1844" s="45" t="str">
        <f>IFERROR(VLOOKUP(B1844,'Pre-Summary'!$DE$6:$DG$61,3,FALSE),"")</f>
        <v/>
      </c>
      <c r="L1844" s="45" t="str">
        <f>IFERROR(VLOOKUP(B1844,'Pre-Summary'!$CU$6:$CW$36,3,FALSE),"")</f>
        <v/>
      </c>
      <c r="M1844" s="45" t="str">
        <f>IFERROR(VLOOKUP(B1844,'Pre-Summary'!$BW$6:$BY$58,2,FALSE),"")</f>
        <v/>
      </c>
      <c r="N1844" s="45" t="str">
        <f>IFERROR(VLOOKUP(B1844,'Pre-Summary'!$CD$6:$CF$64,2,FALSE),"")</f>
        <v/>
      </c>
      <c r="O1844" s="99">
        <f>IFERROR(VLOOKUP(B1844,'Pre-Summary'!$BO$6:$BQ$48,3, FALSE),O1843)</f>
        <v>1.25</v>
      </c>
      <c r="P1844" s="99">
        <f>IFERROR(VLOOKUP(B1844,'Pre-Summary'!$BS$6:$BU$35,3,FALSE),P1843)</f>
        <v>0.33700000000000002</v>
      </c>
      <c r="Q1844" s="54">
        <f t="shared" si="84"/>
        <v>3.7091988130563798</v>
      </c>
      <c r="R1844" s="53">
        <f>IFERROR(VLOOKUP(B1844,'Pre-Summary'!$BG$6:$BM$44,7,FALSE),R1845)</f>
        <v>7.9325362566443819E-2</v>
      </c>
      <c r="S1844" s="53">
        <f>IFERROR(VLOOKUP(B1844,'Pre-Summary'!$BG$6:$BM$44,6,FALSE),S1845)</f>
        <v>0.10333499253358684</v>
      </c>
      <c r="T1844" s="45" t="str">
        <f>IFERROR(VLOOKUP(B1844,'Pre-Summary'!$Y$6:$AC$83, 3,FALSE),"")</f>
        <v/>
      </c>
      <c r="U1844" s="45" t="str">
        <f>IFERROR(VLOOKUP(B1844,'Pre-Summary'!$Y$6:$AC$83, 4,FALSE),"")</f>
        <v/>
      </c>
      <c r="V1844" t="str">
        <f>IFERROR(VLOOKUP(B1844,'Pre-Summary'!$Y$6:$AC$83, 5,FALSE),"")</f>
        <v/>
      </c>
      <c r="W1844" s="45" t="str">
        <f>IFERROR(VLOOKUP(B1844,'Pre-Summary'!$Y$6:$AD$83,6,FALSE),"")</f>
        <v/>
      </c>
      <c r="X1844" t="str">
        <f>IFERROR(VLOOKUP('Pre-Summary'!$DB$6:$DD$63,3,FALSE),"")</f>
        <v/>
      </c>
      <c r="Y1844" t="str">
        <f>IFERROR(VLOOKUP(B1844,'Pre-Summary'!$CR$6:$CT$36,3,FALSE),"")</f>
        <v/>
      </c>
      <c r="Z1844" s="45" t="str">
        <f>IFERROR(VLOOKUP(B1844,'Pre-Summary'!$BZ$6:$CB$63,2,FALSE),"")</f>
        <v/>
      </c>
      <c r="AA1844" s="45" t="str">
        <f>IFERROR(VLOOKUP(B1844,'Pre-Summary'!$CG$6:$CI$70,2,FALSE),"")</f>
        <v/>
      </c>
      <c r="AB1844" s="99">
        <f>IFERROR(VLOOKUP(B1844,'Pre-Summary'!$A$6:$P$178,9,FALSE),AB1845)</f>
        <v>0.30718939394020672</v>
      </c>
      <c r="AC1844" s="10">
        <f>IFERROR(VLOOKUP(Summary!B1844,'Pre-Summary'!$A$6:$P$184,5, FALSE)/100,AC1845)</f>
        <v>0.92946966666666653</v>
      </c>
      <c r="AD1844" s="10">
        <f>IFERROR(VLOOKUP(Summary!B1844,'Pre-Summary'!$A$6:$P$184,3, FALSE)/100,AD1845)</f>
        <v>3.7964333333333336E-2</v>
      </c>
      <c r="AE1844" s="10">
        <f>IFERROR(VLOOKUP(Summary!B1844,'Pre-Summary'!$A$6:$P$184,7, FALSE)/100,AE1845)</f>
        <v>3.2565666666666666E-2</v>
      </c>
      <c r="AF1844" s="99">
        <f t="shared" si="85"/>
        <v>1.1662240548010655E-2</v>
      </c>
      <c r="AG1844" s="99">
        <f t="shared" si="86"/>
        <v>1.0003827406592126E-2</v>
      </c>
      <c r="AH1844" s="10" t="str">
        <f>IFERROR(VLOOKUP(B1844,'Pre-Summary'!$AZ$6:$BE$65,3,FALSE),"")</f>
        <v/>
      </c>
      <c r="AI1844" s="10" t="str">
        <f>IFERROR(VLOOKUP(B1844,'Pre-Summary'!$AZ$6:$BE$65,5,FALSE),"")</f>
        <v/>
      </c>
      <c r="AJ1844" s="10" t="str">
        <f>IFERROR(VLOOKUP(B1844,'Pre-Summary'!$AZ$6:$BE$65,4,FALSE),"")</f>
        <v/>
      </c>
      <c r="AK1844" s="10" t="str">
        <f>IFERROR(VLOOKUP(B1844,'Pre-Summary'!$AZ$6:$BE$65,6,FALSE),"")</f>
        <v/>
      </c>
      <c r="AL1844" s="10" t="str">
        <f>IFERROR(VLOOKUP(B1844,'Pre-Summary'!$BG$6:$BL$44,3,FALSE),"")</f>
        <v/>
      </c>
      <c r="AM1844" s="10" t="str">
        <f>IFERROR(VLOOKUP(B1844,'Pre-Summary'!$BG$6:$BL$44,4,FALSE),"")</f>
        <v/>
      </c>
    </row>
    <row r="1845" spans="2:39" ht="15" customHeight="1" x14ac:dyDescent="0.3">
      <c r="B1845">
        <v>184.2</v>
      </c>
      <c r="C1845" t="str">
        <f>IFERROR(VLOOKUP(B1845,'Pre-Summary'!$DI$6:$DM$23,4,FALSE),"")</f>
        <v/>
      </c>
      <c r="D1845" s="10" t="str">
        <f>IFERROR(VLOOKUP(B1845,'Pre-Summary'!$AT$6:$AX$14,5,FALSE),D1844)</f>
        <v>Wolfe v3: went back to modified wolfe + EDTA and switched CuSO4 to CUCl2</v>
      </c>
      <c r="E1845" s="10" t="str">
        <f>IFERROR(VLOOKUP(B1845,'Pre-Summary'!$AT$6:$AX$15,4,FALSE),"")</f>
        <v/>
      </c>
      <c r="F1845">
        <f>IFERROR(VLOOKUP(B1845,'Pre-Summary'!$AL$6:$AQ$13,6,FALSE),F1844)</f>
        <v>5.9405263157894746E-2</v>
      </c>
      <c r="G1845" t="str">
        <f>IFERROR(VLOOKUP(B1845,'Pre-Summary'!$AE$6:$AJ$85,3,FALSE),"")</f>
        <v/>
      </c>
      <c r="H1845" t="str">
        <f>IFERROR(VLOOKUP(B1845,'Pre-Summary'!$AE$6:$AJ$85,4,FALSE),"")</f>
        <v/>
      </c>
      <c r="I1845" t="str">
        <f>IFERROR(VLOOKUP(B1845,'Pre-Summary'!$AE$6:$AJ$85,5,FALSE),"")</f>
        <v/>
      </c>
      <c r="J1845" s="45" t="str">
        <f>IFERROR(VLOOKUP(B1845,'Pre-Summary'!$AE$6:$AJ$85,6, FALSE),"")</f>
        <v/>
      </c>
      <c r="K1845" s="45" t="str">
        <f>IFERROR(VLOOKUP(B1845,'Pre-Summary'!$DE$6:$DG$61,3,FALSE),"")</f>
        <v/>
      </c>
      <c r="L1845" s="45" t="str">
        <f>IFERROR(VLOOKUP(B1845,'Pre-Summary'!$CU$6:$CW$36,3,FALSE),"")</f>
        <v/>
      </c>
      <c r="M1845" s="45" t="str">
        <f>IFERROR(VLOOKUP(B1845,'Pre-Summary'!$BW$6:$BY$58,2,FALSE),"")</f>
        <v/>
      </c>
      <c r="N1845" s="45" t="str">
        <f>IFERROR(VLOOKUP(B1845,'Pre-Summary'!$CD$6:$CF$64,2,FALSE),"")</f>
        <v/>
      </c>
      <c r="O1845" s="99">
        <f>IFERROR(VLOOKUP(B1845,'Pre-Summary'!$BO$6:$BQ$48,3, FALSE),O1844)</f>
        <v>1.25</v>
      </c>
      <c r="P1845" s="99">
        <f>IFERROR(VLOOKUP(B1845,'Pre-Summary'!$BS$6:$BU$35,3,FALSE),P1844)</f>
        <v>0.33700000000000002</v>
      </c>
      <c r="Q1845" s="54">
        <f t="shared" si="84"/>
        <v>3.7091988130563798</v>
      </c>
      <c r="R1845" s="53">
        <f>IFERROR(VLOOKUP(B1845,'Pre-Summary'!$BG$6:$BM$44,7,FALSE),R1846)</f>
        <v>7.9325362566443819E-2</v>
      </c>
      <c r="S1845" s="53">
        <f>IFERROR(VLOOKUP(B1845,'Pre-Summary'!$BG$6:$BM$44,6,FALSE),S1846)</f>
        <v>0.10333499253358684</v>
      </c>
      <c r="T1845" s="45" t="str">
        <f>IFERROR(VLOOKUP(B1845,'Pre-Summary'!$Y$6:$AC$83, 3,FALSE),"")</f>
        <v/>
      </c>
      <c r="U1845" s="45" t="str">
        <f>IFERROR(VLOOKUP(B1845,'Pre-Summary'!$Y$6:$AC$83, 4,FALSE),"")</f>
        <v/>
      </c>
      <c r="V1845" t="str">
        <f>IFERROR(VLOOKUP(B1845,'Pre-Summary'!$Y$6:$AC$83, 5,FALSE),"")</f>
        <v/>
      </c>
      <c r="W1845" s="45" t="str">
        <f>IFERROR(VLOOKUP(B1845,'Pre-Summary'!$Y$6:$AD$83,6,FALSE),"")</f>
        <v/>
      </c>
      <c r="X1845" t="str">
        <f>IFERROR(VLOOKUP('Pre-Summary'!$DB$6:$DD$63,3,FALSE),"")</f>
        <v/>
      </c>
      <c r="Y1845" t="str">
        <f>IFERROR(VLOOKUP(B1845,'Pre-Summary'!$CR$6:$CT$36,3,FALSE),"")</f>
        <v/>
      </c>
      <c r="Z1845" s="45" t="str">
        <f>IFERROR(VLOOKUP(B1845,'Pre-Summary'!$BZ$6:$CB$63,2,FALSE),"")</f>
        <v/>
      </c>
      <c r="AA1845" s="45" t="str">
        <f>IFERROR(VLOOKUP(B1845,'Pre-Summary'!$CG$6:$CI$70,2,FALSE),"")</f>
        <v/>
      </c>
      <c r="AB1845" s="99">
        <f>IFERROR(VLOOKUP(B1845,'Pre-Summary'!$A$6:$P$178,9,FALSE),AB1846)</f>
        <v>0.30718939394020672</v>
      </c>
      <c r="AC1845" s="10">
        <f>IFERROR(VLOOKUP(Summary!B1845,'Pre-Summary'!$A$6:$P$184,5, FALSE)/100,AC1846)</f>
        <v>0.92946966666666653</v>
      </c>
      <c r="AD1845" s="10">
        <f>IFERROR(VLOOKUP(Summary!B1845,'Pre-Summary'!$A$6:$P$184,3, FALSE)/100,AD1846)</f>
        <v>3.7964333333333336E-2</v>
      </c>
      <c r="AE1845" s="10">
        <f>IFERROR(VLOOKUP(Summary!B1845,'Pre-Summary'!$A$6:$P$184,7, FALSE)/100,AE1846)</f>
        <v>3.2565666666666666E-2</v>
      </c>
      <c r="AF1845" s="99">
        <f t="shared" si="85"/>
        <v>1.1662240548010655E-2</v>
      </c>
      <c r="AG1845" s="99">
        <f t="shared" si="86"/>
        <v>1.0003827406592126E-2</v>
      </c>
      <c r="AH1845" s="10" t="str">
        <f>IFERROR(VLOOKUP(B1845,'Pre-Summary'!$AZ$6:$BE$65,3,FALSE),"")</f>
        <v/>
      </c>
      <c r="AI1845" s="10" t="str">
        <f>IFERROR(VLOOKUP(B1845,'Pre-Summary'!$AZ$6:$BE$65,5,FALSE),"")</f>
        <v/>
      </c>
      <c r="AJ1845" s="10" t="str">
        <f>IFERROR(VLOOKUP(B1845,'Pre-Summary'!$AZ$6:$BE$65,4,FALSE),"")</f>
        <v/>
      </c>
      <c r="AK1845" s="10" t="str">
        <f>IFERROR(VLOOKUP(B1845,'Pre-Summary'!$AZ$6:$BE$65,6,FALSE),"")</f>
        <v/>
      </c>
      <c r="AL1845" s="10" t="str">
        <f>IFERROR(VLOOKUP(B1845,'Pre-Summary'!$BG$6:$BL$44,3,FALSE),"")</f>
        <v/>
      </c>
      <c r="AM1845" s="10" t="str">
        <f>IFERROR(VLOOKUP(B1845,'Pre-Summary'!$BG$6:$BL$44,4,FALSE),"")</f>
        <v/>
      </c>
    </row>
    <row r="1846" spans="2:39" ht="15" customHeight="1" x14ac:dyDescent="0.3">
      <c r="B1846">
        <v>184.3</v>
      </c>
      <c r="C1846" t="str">
        <f>IFERROR(VLOOKUP(B1846,'Pre-Summary'!$DI$6:$DM$23,4,FALSE),"")</f>
        <v/>
      </c>
      <c r="D1846" s="10" t="str">
        <f>IFERROR(VLOOKUP(B1846,'Pre-Summary'!$AT$6:$AX$14,5,FALSE),D1845)</f>
        <v>Wolfe v3: went back to modified wolfe + EDTA and switched CuSO4 to CUCl2</v>
      </c>
      <c r="E1846" s="10" t="str">
        <f>IFERROR(VLOOKUP(B1846,'Pre-Summary'!$AT$6:$AX$15,4,FALSE),"")</f>
        <v/>
      </c>
      <c r="F1846">
        <f>IFERROR(VLOOKUP(B1846,'Pre-Summary'!$AL$6:$AQ$13,6,FALSE),F1845)</f>
        <v>5.9405263157894746E-2</v>
      </c>
      <c r="G1846" t="str">
        <f>IFERROR(VLOOKUP(B1846,'Pre-Summary'!$AE$6:$AJ$85,3,FALSE),"")</f>
        <v/>
      </c>
      <c r="H1846" t="str">
        <f>IFERROR(VLOOKUP(B1846,'Pre-Summary'!$AE$6:$AJ$85,4,FALSE),"")</f>
        <v/>
      </c>
      <c r="I1846" t="str">
        <f>IFERROR(VLOOKUP(B1846,'Pre-Summary'!$AE$6:$AJ$85,5,FALSE),"")</f>
        <v/>
      </c>
      <c r="J1846" s="45" t="str">
        <f>IFERROR(VLOOKUP(B1846,'Pre-Summary'!$AE$6:$AJ$85,6, FALSE),"")</f>
        <v/>
      </c>
      <c r="K1846" s="45" t="str">
        <f>IFERROR(VLOOKUP(B1846,'Pre-Summary'!$DE$6:$DG$61,3,FALSE),"")</f>
        <v/>
      </c>
      <c r="L1846" s="45" t="str">
        <f>IFERROR(VLOOKUP(B1846,'Pre-Summary'!$CU$6:$CW$36,3,FALSE),"")</f>
        <v/>
      </c>
      <c r="M1846" s="45" t="str">
        <f>IFERROR(VLOOKUP(B1846,'Pre-Summary'!$BW$6:$BY$58,2,FALSE),"")</f>
        <v/>
      </c>
      <c r="N1846" s="45" t="str">
        <f>IFERROR(VLOOKUP(B1846,'Pre-Summary'!$CD$6:$CF$64,2,FALSE),"")</f>
        <v/>
      </c>
      <c r="O1846" s="99">
        <f>IFERROR(VLOOKUP(B1846,'Pre-Summary'!$BO$6:$BQ$48,3, FALSE),O1845)</f>
        <v>1.25</v>
      </c>
      <c r="P1846" s="99">
        <f>IFERROR(VLOOKUP(B1846,'Pre-Summary'!$BS$6:$BU$35,3,FALSE),P1845)</f>
        <v>0.33700000000000002</v>
      </c>
      <c r="Q1846" s="54">
        <f t="shared" si="84"/>
        <v>3.7091988130563798</v>
      </c>
      <c r="R1846" s="53">
        <f>IFERROR(VLOOKUP(B1846,'Pre-Summary'!$BG$6:$BM$44,7,FALSE),R1847)</f>
        <v>7.9325362566443819E-2</v>
      </c>
      <c r="S1846" s="53">
        <f>IFERROR(VLOOKUP(B1846,'Pre-Summary'!$BG$6:$BM$44,6,FALSE),S1847)</f>
        <v>0.10333499253358684</v>
      </c>
      <c r="T1846" s="45" t="str">
        <f>IFERROR(VLOOKUP(B1846,'Pre-Summary'!$Y$6:$AC$83, 3,FALSE),"")</f>
        <v/>
      </c>
      <c r="U1846" s="45" t="str">
        <f>IFERROR(VLOOKUP(B1846,'Pre-Summary'!$Y$6:$AC$83, 4,FALSE),"")</f>
        <v/>
      </c>
      <c r="V1846" t="str">
        <f>IFERROR(VLOOKUP(B1846,'Pre-Summary'!$Y$6:$AC$83, 5,FALSE),"")</f>
        <v/>
      </c>
      <c r="W1846" s="45" t="str">
        <f>IFERROR(VLOOKUP(B1846,'Pre-Summary'!$Y$6:$AD$83,6,FALSE),"")</f>
        <v/>
      </c>
      <c r="X1846" t="str">
        <f>IFERROR(VLOOKUP('Pre-Summary'!$DB$6:$DD$63,3,FALSE),"")</f>
        <v/>
      </c>
      <c r="Y1846" t="str">
        <f>IFERROR(VLOOKUP(B1846,'Pre-Summary'!$CR$6:$CT$36,3,FALSE),"")</f>
        <v/>
      </c>
      <c r="Z1846" s="45" t="str">
        <f>IFERROR(VLOOKUP(B1846,'Pre-Summary'!$BZ$6:$CB$63,2,FALSE),"")</f>
        <v/>
      </c>
      <c r="AA1846" s="45" t="str">
        <f>IFERROR(VLOOKUP(B1846,'Pre-Summary'!$CG$6:$CI$70,2,FALSE),"")</f>
        <v/>
      </c>
      <c r="AB1846" s="99">
        <f>IFERROR(VLOOKUP(B1846,'Pre-Summary'!$A$6:$P$178,9,FALSE),AB1847)</f>
        <v>0.30718939394020672</v>
      </c>
      <c r="AC1846" s="10">
        <f>IFERROR(VLOOKUP(Summary!B1846,'Pre-Summary'!$A$6:$P$184,5, FALSE)/100,AC1847)</f>
        <v>0.92946966666666653</v>
      </c>
      <c r="AD1846" s="10">
        <f>IFERROR(VLOOKUP(Summary!B1846,'Pre-Summary'!$A$6:$P$184,3, FALSE)/100,AD1847)</f>
        <v>3.7964333333333336E-2</v>
      </c>
      <c r="AE1846" s="10">
        <f>IFERROR(VLOOKUP(Summary!B1846,'Pre-Summary'!$A$6:$P$184,7, FALSE)/100,AE1847)</f>
        <v>3.2565666666666666E-2</v>
      </c>
      <c r="AF1846" s="99">
        <f t="shared" si="85"/>
        <v>1.1662240548010655E-2</v>
      </c>
      <c r="AG1846" s="99">
        <f t="shared" si="86"/>
        <v>1.0003827406592126E-2</v>
      </c>
      <c r="AH1846" s="10" t="str">
        <f>IFERROR(VLOOKUP(B1846,'Pre-Summary'!$AZ$6:$BE$65,3,FALSE),"")</f>
        <v/>
      </c>
      <c r="AI1846" s="10" t="str">
        <f>IFERROR(VLOOKUP(B1846,'Pre-Summary'!$AZ$6:$BE$65,5,FALSE),"")</f>
        <v/>
      </c>
      <c r="AJ1846" s="10" t="str">
        <f>IFERROR(VLOOKUP(B1846,'Pre-Summary'!$AZ$6:$BE$65,4,FALSE),"")</f>
        <v/>
      </c>
      <c r="AK1846" s="10" t="str">
        <f>IFERROR(VLOOKUP(B1846,'Pre-Summary'!$AZ$6:$BE$65,6,FALSE),"")</f>
        <v/>
      </c>
      <c r="AL1846" s="10" t="str">
        <f>IFERROR(VLOOKUP(B1846,'Pre-Summary'!$BG$6:$BL$44,3,FALSE),"")</f>
        <v/>
      </c>
      <c r="AM1846" s="10" t="str">
        <f>IFERROR(VLOOKUP(B1846,'Pre-Summary'!$BG$6:$BL$44,4,FALSE),"")</f>
        <v/>
      </c>
    </row>
    <row r="1847" spans="2:39" ht="15" customHeight="1" x14ac:dyDescent="0.3">
      <c r="B1847">
        <v>184.4</v>
      </c>
      <c r="C1847" t="str">
        <f>IFERROR(VLOOKUP(B1847,'Pre-Summary'!$DI$6:$DM$23,4,FALSE),"")</f>
        <v/>
      </c>
      <c r="D1847" s="10" t="str">
        <f>IFERROR(VLOOKUP(B1847,'Pre-Summary'!$AT$6:$AX$14,5,FALSE),D1846)</f>
        <v>Wolfe v3: went back to modified wolfe + EDTA and switched CuSO4 to CUCl2</v>
      </c>
      <c r="E1847" s="10" t="str">
        <f>IFERROR(VLOOKUP(B1847,'Pre-Summary'!$AT$6:$AX$15,4,FALSE),"")</f>
        <v/>
      </c>
      <c r="F1847">
        <f>IFERROR(VLOOKUP(B1847,'Pre-Summary'!$AL$6:$AQ$13,6,FALSE),F1846)</f>
        <v>5.9405263157894746E-2</v>
      </c>
      <c r="G1847" t="str">
        <f>IFERROR(VLOOKUP(B1847,'Pre-Summary'!$AE$6:$AJ$85,3,FALSE),"")</f>
        <v/>
      </c>
      <c r="H1847" t="str">
        <f>IFERROR(VLOOKUP(B1847,'Pre-Summary'!$AE$6:$AJ$85,4,FALSE),"")</f>
        <v/>
      </c>
      <c r="I1847" t="str">
        <f>IFERROR(VLOOKUP(B1847,'Pre-Summary'!$AE$6:$AJ$85,5,FALSE),"")</f>
        <v/>
      </c>
      <c r="J1847" s="45" t="str">
        <f>IFERROR(VLOOKUP(B1847,'Pre-Summary'!$AE$6:$AJ$85,6, FALSE),"")</f>
        <v/>
      </c>
      <c r="K1847" s="45" t="str">
        <f>IFERROR(VLOOKUP(B1847,'Pre-Summary'!$DE$6:$DG$61,3,FALSE),"")</f>
        <v/>
      </c>
      <c r="L1847" s="45" t="str">
        <f>IFERROR(VLOOKUP(B1847,'Pre-Summary'!$CU$6:$CW$36,3,FALSE),"")</f>
        <v/>
      </c>
      <c r="M1847" s="45" t="str">
        <f>IFERROR(VLOOKUP(B1847,'Pre-Summary'!$BW$6:$BY$58,2,FALSE),"")</f>
        <v/>
      </c>
      <c r="N1847" s="45" t="str">
        <f>IFERROR(VLOOKUP(B1847,'Pre-Summary'!$CD$6:$CF$64,2,FALSE),"")</f>
        <v/>
      </c>
      <c r="O1847" s="99">
        <f>IFERROR(VLOOKUP(B1847,'Pre-Summary'!$BO$6:$BQ$48,3, FALSE),O1846)</f>
        <v>1.25</v>
      </c>
      <c r="P1847" s="99">
        <f>IFERROR(VLOOKUP(B1847,'Pre-Summary'!$BS$6:$BU$35,3,FALSE),P1846)</f>
        <v>0.33700000000000002</v>
      </c>
      <c r="Q1847" s="54">
        <f t="shared" si="84"/>
        <v>3.7091988130563798</v>
      </c>
      <c r="R1847" s="53">
        <f>IFERROR(VLOOKUP(B1847,'Pre-Summary'!$BG$6:$BM$44,7,FALSE),R1848)</f>
        <v>7.9325362566443819E-2</v>
      </c>
      <c r="S1847" s="53">
        <f>IFERROR(VLOOKUP(B1847,'Pre-Summary'!$BG$6:$BM$44,6,FALSE),S1848)</f>
        <v>0.10333499253358684</v>
      </c>
      <c r="T1847" s="45" t="str">
        <f>IFERROR(VLOOKUP(B1847,'Pre-Summary'!$Y$6:$AC$83, 3,FALSE),"")</f>
        <v/>
      </c>
      <c r="U1847" s="45" t="str">
        <f>IFERROR(VLOOKUP(B1847,'Pre-Summary'!$Y$6:$AC$83, 4,FALSE),"")</f>
        <v/>
      </c>
      <c r="V1847" t="str">
        <f>IFERROR(VLOOKUP(B1847,'Pre-Summary'!$Y$6:$AC$83, 5,FALSE),"")</f>
        <v/>
      </c>
      <c r="W1847" s="45" t="str">
        <f>IFERROR(VLOOKUP(B1847,'Pre-Summary'!$Y$6:$AD$83,6,FALSE),"")</f>
        <v/>
      </c>
      <c r="X1847" t="str">
        <f>IFERROR(VLOOKUP('Pre-Summary'!$DB$6:$DD$63,3,FALSE),"")</f>
        <v/>
      </c>
      <c r="Y1847" t="str">
        <f>IFERROR(VLOOKUP(B1847,'Pre-Summary'!$CR$6:$CT$36,3,FALSE),"")</f>
        <v/>
      </c>
      <c r="Z1847" s="45" t="str">
        <f>IFERROR(VLOOKUP(B1847,'Pre-Summary'!$BZ$6:$CB$63,2,FALSE),"")</f>
        <v/>
      </c>
      <c r="AA1847" s="45" t="str">
        <f>IFERROR(VLOOKUP(B1847,'Pre-Summary'!$CG$6:$CI$70,2,FALSE),"")</f>
        <v/>
      </c>
      <c r="AB1847" s="99">
        <f>IFERROR(VLOOKUP(B1847,'Pre-Summary'!$A$6:$P$178,9,FALSE),AB1848)</f>
        <v>0.30718939394020672</v>
      </c>
      <c r="AC1847" s="10">
        <f>IFERROR(VLOOKUP(Summary!B1847,'Pre-Summary'!$A$6:$P$184,5, FALSE)/100,AC1848)</f>
        <v>0.92946966666666653</v>
      </c>
      <c r="AD1847" s="10">
        <f>IFERROR(VLOOKUP(Summary!B1847,'Pre-Summary'!$A$6:$P$184,3, FALSE)/100,AD1848)</f>
        <v>3.7964333333333336E-2</v>
      </c>
      <c r="AE1847" s="10">
        <f>IFERROR(VLOOKUP(Summary!B1847,'Pre-Summary'!$A$6:$P$184,7, FALSE)/100,AE1848)</f>
        <v>3.2565666666666666E-2</v>
      </c>
      <c r="AF1847" s="99">
        <f t="shared" si="85"/>
        <v>1.1662240548010655E-2</v>
      </c>
      <c r="AG1847" s="99">
        <f t="shared" si="86"/>
        <v>1.0003827406592126E-2</v>
      </c>
      <c r="AH1847" s="10" t="str">
        <f>IFERROR(VLOOKUP(B1847,'Pre-Summary'!$AZ$6:$BE$65,3,FALSE),"")</f>
        <v/>
      </c>
      <c r="AI1847" s="10" t="str">
        <f>IFERROR(VLOOKUP(B1847,'Pre-Summary'!$AZ$6:$BE$65,5,FALSE),"")</f>
        <v/>
      </c>
      <c r="AJ1847" s="10" t="str">
        <f>IFERROR(VLOOKUP(B1847,'Pre-Summary'!$AZ$6:$BE$65,4,FALSE),"")</f>
        <v/>
      </c>
      <c r="AK1847" s="10" t="str">
        <f>IFERROR(VLOOKUP(B1847,'Pre-Summary'!$AZ$6:$BE$65,6,FALSE),"")</f>
        <v/>
      </c>
      <c r="AL1847" s="10" t="str">
        <f>IFERROR(VLOOKUP(B1847,'Pre-Summary'!$BG$6:$BL$44,3,FALSE),"")</f>
        <v/>
      </c>
      <c r="AM1847" s="10" t="str">
        <f>IFERROR(VLOOKUP(B1847,'Pre-Summary'!$BG$6:$BL$44,4,FALSE),"")</f>
        <v/>
      </c>
    </row>
    <row r="1848" spans="2:39" ht="15" customHeight="1" x14ac:dyDescent="0.3">
      <c r="B1848">
        <v>184.5</v>
      </c>
      <c r="C1848" t="str">
        <f>IFERROR(VLOOKUP(B1848,'Pre-Summary'!$DI$6:$DM$23,4,FALSE),"")</f>
        <v/>
      </c>
      <c r="D1848" s="10" t="str">
        <f>IFERROR(VLOOKUP(B1848,'Pre-Summary'!$AT$6:$AX$14,5,FALSE),D1847)</f>
        <v>Wolfe v3: went back to modified wolfe + EDTA and switched CuSO4 to CUCl2</v>
      </c>
      <c r="E1848" s="10" t="str">
        <f>IFERROR(VLOOKUP(B1848,'Pre-Summary'!$AT$6:$AX$15,4,FALSE),"")</f>
        <v/>
      </c>
      <c r="F1848">
        <f>IFERROR(VLOOKUP(B1848,'Pre-Summary'!$AL$6:$AQ$13,6,FALSE),F1847)</f>
        <v>5.9405263157894746E-2</v>
      </c>
      <c r="G1848" t="str">
        <f>IFERROR(VLOOKUP(B1848,'Pre-Summary'!$AE$6:$AJ$85,3,FALSE),"")</f>
        <v/>
      </c>
      <c r="H1848" t="str">
        <f>IFERROR(VLOOKUP(B1848,'Pre-Summary'!$AE$6:$AJ$85,4,FALSE),"")</f>
        <v/>
      </c>
      <c r="I1848" t="str">
        <f>IFERROR(VLOOKUP(B1848,'Pre-Summary'!$AE$6:$AJ$85,5,FALSE),"")</f>
        <v/>
      </c>
      <c r="J1848" s="45" t="str">
        <f>IFERROR(VLOOKUP(B1848,'Pre-Summary'!$AE$6:$AJ$85,6, FALSE),"")</f>
        <v/>
      </c>
      <c r="K1848" s="45" t="str">
        <f>IFERROR(VLOOKUP(B1848,'Pre-Summary'!$DE$6:$DG$61,3,FALSE),"")</f>
        <v/>
      </c>
      <c r="L1848" s="45" t="str">
        <f>IFERROR(VLOOKUP(B1848,'Pre-Summary'!$CU$6:$CW$36,3,FALSE),"")</f>
        <v/>
      </c>
      <c r="M1848" s="45" t="str">
        <f>IFERROR(VLOOKUP(B1848,'Pre-Summary'!$BW$6:$BY$58,2,FALSE),"")</f>
        <v/>
      </c>
      <c r="N1848" s="45" t="str">
        <f>IFERROR(VLOOKUP(B1848,'Pre-Summary'!$CD$6:$CF$64,2,FALSE),"")</f>
        <v/>
      </c>
      <c r="O1848" s="99">
        <f>IFERROR(VLOOKUP(B1848,'Pre-Summary'!$BO$6:$BQ$48,3, FALSE),O1847)</f>
        <v>1.25</v>
      </c>
      <c r="P1848" s="99">
        <f>IFERROR(VLOOKUP(B1848,'Pre-Summary'!$BS$6:$BU$35,3,FALSE),P1847)</f>
        <v>0.33700000000000002</v>
      </c>
      <c r="Q1848" s="54">
        <f t="shared" si="84"/>
        <v>3.7091988130563798</v>
      </c>
      <c r="R1848" s="53">
        <f>IFERROR(VLOOKUP(B1848,'Pre-Summary'!$BG$6:$BM$44,7,FALSE),R1849)</f>
        <v>7.9325362566443819E-2</v>
      </c>
      <c r="S1848" s="53">
        <f>IFERROR(VLOOKUP(B1848,'Pre-Summary'!$BG$6:$BM$44,6,FALSE),S1849)</f>
        <v>0.10333499253358684</v>
      </c>
      <c r="T1848" s="45" t="str">
        <f>IFERROR(VLOOKUP(B1848,'Pre-Summary'!$Y$6:$AC$83, 3,FALSE),"")</f>
        <v/>
      </c>
      <c r="U1848" s="45" t="str">
        <f>IFERROR(VLOOKUP(B1848,'Pre-Summary'!$Y$6:$AC$83, 4,FALSE),"")</f>
        <v/>
      </c>
      <c r="V1848" t="str">
        <f>IFERROR(VLOOKUP(B1848,'Pre-Summary'!$Y$6:$AC$83, 5,FALSE),"")</f>
        <v/>
      </c>
      <c r="W1848" s="45" t="str">
        <f>IFERROR(VLOOKUP(B1848,'Pre-Summary'!$Y$6:$AD$83,6,FALSE),"")</f>
        <v/>
      </c>
      <c r="X1848" t="str">
        <f>IFERROR(VLOOKUP('Pre-Summary'!$DB$6:$DD$63,3,FALSE),"")</f>
        <v/>
      </c>
      <c r="Y1848" t="str">
        <f>IFERROR(VLOOKUP(B1848,'Pre-Summary'!$CR$6:$CT$36,3,FALSE),"")</f>
        <v/>
      </c>
      <c r="Z1848" s="45" t="str">
        <f>IFERROR(VLOOKUP(B1848,'Pre-Summary'!$BZ$6:$CB$63,2,FALSE),"")</f>
        <v/>
      </c>
      <c r="AA1848" s="45" t="str">
        <f>IFERROR(VLOOKUP(B1848,'Pre-Summary'!$CG$6:$CI$70,2,FALSE),"")</f>
        <v/>
      </c>
      <c r="AB1848" s="99">
        <f>IFERROR(VLOOKUP(B1848,'Pre-Summary'!$A$6:$P$178,9,FALSE),AB1849)</f>
        <v>0.30718939394020672</v>
      </c>
      <c r="AC1848" s="10">
        <f>IFERROR(VLOOKUP(Summary!B1848,'Pre-Summary'!$A$6:$P$184,5, FALSE)/100,AC1849)</f>
        <v>0.92946966666666653</v>
      </c>
      <c r="AD1848" s="10">
        <f>IFERROR(VLOOKUP(Summary!B1848,'Pre-Summary'!$A$6:$P$184,3, FALSE)/100,AD1849)</f>
        <v>3.7964333333333336E-2</v>
      </c>
      <c r="AE1848" s="10">
        <f>IFERROR(VLOOKUP(Summary!B1848,'Pre-Summary'!$A$6:$P$184,7, FALSE)/100,AE1849)</f>
        <v>3.2565666666666666E-2</v>
      </c>
      <c r="AF1848" s="99">
        <f t="shared" si="85"/>
        <v>1.1662240548010655E-2</v>
      </c>
      <c r="AG1848" s="99">
        <f t="shared" si="86"/>
        <v>1.0003827406592126E-2</v>
      </c>
      <c r="AH1848" s="10" t="str">
        <f>IFERROR(VLOOKUP(B1848,'Pre-Summary'!$AZ$6:$BE$65,3,FALSE),"")</f>
        <v/>
      </c>
      <c r="AI1848" s="10" t="str">
        <f>IFERROR(VLOOKUP(B1848,'Pre-Summary'!$AZ$6:$BE$65,5,FALSE),"")</f>
        <v/>
      </c>
      <c r="AJ1848" s="10" t="str">
        <f>IFERROR(VLOOKUP(B1848,'Pre-Summary'!$AZ$6:$BE$65,4,FALSE),"")</f>
        <v/>
      </c>
      <c r="AK1848" s="10" t="str">
        <f>IFERROR(VLOOKUP(B1848,'Pre-Summary'!$AZ$6:$BE$65,6,FALSE),"")</f>
        <v/>
      </c>
      <c r="AL1848" s="10" t="str">
        <f>IFERROR(VLOOKUP(B1848,'Pre-Summary'!$BG$6:$BL$44,3,FALSE),"")</f>
        <v/>
      </c>
      <c r="AM1848" s="10" t="str">
        <f>IFERROR(VLOOKUP(B1848,'Pre-Summary'!$BG$6:$BL$44,4,FALSE),"")</f>
        <v/>
      </c>
    </row>
    <row r="1849" spans="2:39" ht="15" customHeight="1" x14ac:dyDescent="0.3">
      <c r="B1849">
        <v>184.6</v>
      </c>
      <c r="C1849" t="str">
        <f>IFERROR(VLOOKUP(B1849,'Pre-Summary'!$DI$6:$DM$23,4,FALSE),"")</f>
        <v/>
      </c>
      <c r="D1849" s="10" t="str">
        <f>IFERROR(VLOOKUP(B1849,'Pre-Summary'!$AT$6:$AX$14,5,FALSE),D1848)</f>
        <v>Wolfe v3: went back to modified wolfe + EDTA and switched CuSO4 to CUCl2</v>
      </c>
      <c r="E1849" s="10" t="str">
        <f>IFERROR(VLOOKUP(B1849,'Pre-Summary'!$AT$6:$AX$15,4,FALSE),"")</f>
        <v/>
      </c>
      <c r="F1849">
        <f>IFERROR(VLOOKUP(B1849,'Pre-Summary'!$AL$6:$AQ$13,6,FALSE),F1848)</f>
        <v>5.9405263157894746E-2</v>
      </c>
      <c r="G1849" t="str">
        <f>IFERROR(VLOOKUP(B1849,'Pre-Summary'!$AE$6:$AJ$85,3,FALSE),"")</f>
        <v/>
      </c>
      <c r="H1849" t="str">
        <f>IFERROR(VLOOKUP(B1849,'Pre-Summary'!$AE$6:$AJ$85,4,FALSE),"")</f>
        <v/>
      </c>
      <c r="I1849" t="str">
        <f>IFERROR(VLOOKUP(B1849,'Pre-Summary'!$AE$6:$AJ$85,5,FALSE),"")</f>
        <v/>
      </c>
      <c r="J1849" s="45" t="str">
        <f>IFERROR(VLOOKUP(B1849,'Pre-Summary'!$AE$6:$AJ$85,6, FALSE),"")</f>
        <v/>
      </c>
      <c r="K1849" s="45" t="str">
        <f>IFERROR(VLOOKUP(B1849,'Pre-Summary'!$DE$6:$DG$61,3,FALSE),"")</f>
        <v/>
      </c>
      <c r="L1849" s="45" t="str">
        <f>IFERROR(VLOOKUP(B1849,'Pre-Summary'!$CU$6:$CW$36,3,FALSE),"")</f>
        <v/>
      </c>
      <c r="M1849" s="45" t="str">
        <f>IFERROR(VLOOKUP(B1849,'Pre-Summary'!$BW$6:$BY$58,2,FALSE),"")</f>
        <v/>
      </c>
      <c r="N1849" s="45" t="str">
        <f>IFERROR(VLOOKUP(B1849,'Pre-Summary'!$CD$6:$CF$64,2,FALSE),"")</f>
        <v/>
      </c>
      <c r="O1849" s="99">
        <f>IFERROR(VLOOKUP(B1849,'Pre-Summary'!$BO$6:$BQ$48,3, FALSE),O1848)</f>
        <v>1.25</v>
      </c>
      <c r="P1849" s="99">
        <f>IFERROR(VLOOKUP(B1849,'Pre-Summary'!$BS$6:$BU$35,3,FALSE),P1848)</f>
        <v>0.33700000000000002</v>
      </c>
      <c r="Q1849" s="54">
        <f t="shared" si="84"/>
        <v>3.7091988130563798</v>
      </c>
      <c r="R1849" s="53">
        <f>IFERROR(VLOOKUP(B1849,'Pre-Summary'!$BG$6:$BM$44,7,FALSE),R1850)</f>
        <v>7.9325362566443819E-2</v>
      </c>
      <c r="S1849" s="53">
        <f>IFERROR(VLOOKUP(B1849,'Pre-Summary'!$BG$6:$BM$44,6,FALSE),S1850)</f>
        <v>0.10333499253358684</v>
      </c>
      <c r="T1849" s="45" t="str">
        <f>IFERROR(VLOOKUP(B1849,'Pre-Summary'!$Y$6:$AC$83, 3,FALSE),"")</f>
        <v/>
      </c>
      <c r="U1849" s="45" t="str">
        <f>IFERROR(VLOOKUP(B1849,'Pre-Summary'!$Y$6:$AC$83, 4,FALSE),"")</f>
        <v/>
      </c>
      <c r="V1849" t="str">
        <f>IFERROR(VLOOKUP(B1849,'Pre-Summary'!$Y$6:$AC$83, 5,FALSE),"")</f>
        <v/>
      </c>
      <c r="W1849" s="45" t="str">
        <f>IFERROR(VLOOKUP(B1849,'Pre-Summary'!$Y$6:$AD$83,6,FALSE),"")</f>
        <v/>
      </c>
      <c r="X1849" t="str">
        <f>IFERROR(VLOOKUP('Pre-Summary'!$DB$6:$DD$63,3,FALSE),"")</f>
        <v/>
      </c>
      <c r="Y1849" t="str">
        <f>IFERROR(VLOOKUP(B1849,'Pre-Summary'!$CR$6:$CT$36,3,FALSE),"")</f>
        <v/>
      </c>
      <c r="Z1849" s="45" t="str">
        <f>IFERROR(VLOOKUP(B1849,'Pre-Summary'!$BZ$6:$CB$63,2,FALSE),"")</f>
        <v/>
      </c>
      <c r="AA1849" s="45" t="str">
        <f>IFERROR(VLOOKUP(B1849,'Pre-Summary'!$CG$6:$CI$70,2,FALSE),"")</f>
        <v/>
      </c>
      <c r="AB1849" s="99">
        <f>IFERROR(VLOOKUP(B1849,'Pre-Summary'!$A$6:$P$178,9,FALSE),AB1850)</f>
        <v>0.30718939394020672</v>
      </c>
      <c r="AC1849" s="10">
        <f>IFERROR(VLOOKUP(Summary!B1849,'Pre-Summary'!$A$6:$P$184,5, FALSE)/100,AC1850)</f>
        <v>0.92946966666666653</v>
      </c>
      <c r="AD1849" s="10">
        <f>IFERROR(VLOOKUP(Summary!B1849,'Pre-Summary'!$A$6:$P$184,3, FALSE)/100,AD1850)</f>
        <v>3.7964333333333336E-2</v>
      </c>
      <c r="AE1849" s="10">
        <f>IFERROR(VLOOKUP(Summary!B1849,'Pre-Summary'!$A$6:$P$184,7, FALSE)/100,AE1850)</f>
        <v>3.2565666666666666E-2</v>
      </c>
      <c r="AF1849" s="99">
        <f t="shared" si="85"/>
        <v>1.1662240548010655E-2</v>
      </c>
      <c r="AG1849" s="99">
        <f t="shared" si="86"/>
        <v>1.0003827406592126E-2</v>
      </c>
      <c r="AH1849" s="10" t="str">
        <f>IFERROR(VLOOKUP(B1849,'Pre-Summary'!$AZ$6:$BE$65,3,FALSE),"")</f>
        <v/>
      </c>
      <c r="AI1849" s="10" t="str">
        <f>IFERROR(VLOOKUP(B1849,'Pre-Summary'!$AZ$6:$BE$65,5,FALSE),"")</f>
        <v/>
      </c>
      <c r="AJ1849" s="10" t="str">
        <f>IFERROR(VLOOKUP(B1849,'Pre-Summary'!$AZ$6:$BE$65,4,FALSE),"")</f>
        <v/>
      </c>
      <c r="AK1849" s="10" t="str">
        <f>IFERROR(VLOOKUP(B1849,'Pre-Summary'!$AZ$6:$BE$65,6,FALSE),"")</f>
        <v/>
      </c>
      <c r="AL1849" s="10" t="str">
        <f>IFERROR(VLOOKUP(B1849,'Pre-Summary'!$BG$6:$BL$44,3,FALSE),"")</f>
        <v/>
      </c>
      <c r="AM1849" s="10" t="str">
        <f>IFERROR(VLOOKUP(B1849,'Pre-Summary'!$BG$6:$BL$44,4,FALSE),"")</f>
        <v/>
      </c>
    </row>
    <row r="1850" spans="2:39" ht="15" customHeight="1" x14ac:dyDescent="0.3">
      <c r="B1850">
        <v>184.7</v>
      </c>
      <c r="C1850" t="str">
        <f>IFERROR(VLOOKUP(B1850,'Pre-Summary'!$DI$6:$DM$23,4,FALSE),"")</f>
        <v/>
      </c>
      <c r="D1850" s="10" t="str">
        <f>IFERROR(VLOOKUP(B1850,'Pre-Summary'!$AT$6:$AX$14,5,FALSE),D1849)</f>
        <v>Wolfe v3: went back to modified wolfe + EDTA and switched CuSO4 to CUCl2</v>
      </c>
      <c r="E1850" s="10" t="str">
        <f>IFERROR(VLOOKUP(B1850,'Pre-Summary'!$AT$6:$AX$15,4,FALSE),"")</f>
        <v/>
      </c>
      <c r="F1850">
        <f>IFERROR(VLOOKUP(B1850,'Pre-Summary'!$AL$6:$AQ$13,6,FALSE),F1849)</f>
        <v>5.9405263157894746E-2</v>
      </c>
      <c r="G1850" t="str">
        <f>IFERROR(VLOOKUP(B1850,'Pre-Summary'!$AE$6:$AJ$85,3,FALSE),"")</f>
        <v/>
      </c>
      <c r="H1850" t="str">
        <f>IFERROR(VLOOKUP(B1850,'Pre-Summary'!$AE$6:$AJ$85,4,FALSE),"")</f>
        <v/>
      </c>
      <c r="I1850" t="str">
        <f>IFERROR(VLOOKUP(B1850,'Pre-Summary'!$AE$6:$AJ$85,5,FALSE),"")</f>
        <v/>
      </c>
      <c r="J1850" s="45" t="str">
        <f>IFERROR(VLOOKUP(B1850,'Pre-Summary'!$AE$6:$AJ$85,6, FALSE),"")</f>
        <v/>
      </c>
      <c r="K1850" s="45" t="str">
        <f>IFERROR(VLOOKUP(B1850,'Pre-Summary'!$DE$6:$DG$61,3,FALSE),"")</f>
        <v/>
      </c>
      <c r="L1850" s="45" t="str">
        <f>IFERROR(VLOOKUP(B1850,'Pre-Summary'!$CU$6:$CW$36,3,FALSE),"")</f>
        <v/>
      </c>
      <c r="M1850" s="45" t="str">
        <f>IFERROR(VLOOKUP(B1850,'Pre-Summary'!$BW$6:$BY$58,2,FALSE),"")</f>
        <v/>
      </c>
      <c r="N1850" s="45" t="str">
        <f>IFERROR(VLOOKUP(B1850,'Pre-Summary'!$CD$6:$CF$64,2,FALSE),"")</f>
        <v/>
      </c>
      <c r="O1850" s="99">
        <f>IFERROR(VLOOKUP(B1850,'Pre-Summary'!$BO$6:$BQ$48,3, FALSE),O1849)</f>
        <v>1.25</v>
      </c>
      <c r="P1850" s="99">
        <f>IFERROR(VLOOKUP(B1850,'Pre-Summary'!$BS$6:$BU$35,3,FALSE),P1849)</f>
        <v>0.33700000000000002</v>
      </c>
      <c r="Q1850" s="54">
        <f t="shared" si="84"/>
        <v>3.7091988130563798</v>
      </c>
      <c r="R1850" s="53">
        <f>IFERROR(VLOOKUP(B1850,'Pre-Summary'!$BG$6:$BM$44,7,FALSE),R1851)</f>
        <v>7.9325362566443819E-2</v>
      </c>
      <c r="S1850" s="53">
        <f>IFERROR(VLOOKUP(B1850,'Pre-Summary'!$BG$6:$BM$44,6,FALSE),S1851)</f>
        <v>0.10333499253358684</v>
      </c>
      <c r="T1850" s="45" t="str">
        <f>IFERROR(VLOOKUP(B1850,'Pre-Summary'!$Y$6:$AC$83, 3,FALSE),"")</f>
        <v/>
      </c>
      <c r="U1850" s="45" t="str">
        <f>IFERROR(VLOOKUP(B1850,'Pre-Summary'!$Y$6:$AC$83, 4,FALSE),"")</f>
        <v/>
      </c>
      <c r="V1850" t="str">
        <f>IFERROR(VLOOKUP(B1850,'Pre-Summary'!$Y$6:$AC$83, 5,FALSE),"")</f>
        <v/>
      </c>
      <c r="W1850" s="45" t="str">
        <f>IFERROR(VLOOKUP(B1850,'Pre-Summary'!$Y$6:$AD$83,6,FALSE),"")</f>
        <v/>
      </c>
      <c r="X1850" t="str">
        <f>IFERROR(VLOOKUP('Pre-Summary'!$DB$6:$DD$63,3,FALSE),"")</f>
        <v/>
      </c>
      <c r="Y1850" t="str">
        <f>IFERROR(VLOOKUP(B1850,'Pre-Summary'!$CR$6:$CT$36,3,FALSE),"")</f>
        <v/>
      </c>
      <c r="Z1850" s="45" t="str">
        <f>IFERROR(VLOOKUP(B1850,'Pre-Summary'!$BZ$6:$CB$63,2,FALSE),"")</f>
        <v/>
      </c>
      <c r="AA1850" s="45" t="str">
        <f>IFERROR(VLOOKUP(B1850,'Pre-Summary'!$CG$6:$CI$70,2,FALSE),"")</f>
        <v/>
      </c>
      <c r="AB1850" s="99">
        <f>IFERROR(VLOOKUP(B1850,'Pre-Summary'!$A$6:$P$178,9,FALSE),AB1851)</f>
        <v>0.30718939394020672</v>
      </c>
      <c r="AC1850" s="10">
        <f>IFERROR(VLOOKUP(Summary!B1850,'Pre-Summary'!$A$6:$P$184,5, FALSE)/100,AC1851)</f>
        <v>0.92946966666666653</v>
      </c>
      <c r="AD1850" s="10">
        <f>IFERROR(VLOOKUP(Summary!B1850,'Pre-Summary'!$A$6:$P$184,3, FALSE)/100,AD1851)</f>
        <v>3.7964333333333336E-2</v>
      </c>
      <c r="AE1850" s="10">
        <f>IFERROR(VLOOKUP(Summary!B1850,'Pre-Summary'!$A$6:$P$184,7, FALSE)/100,AE1851)</f>
        <v>3.2565666666666666E-2</v>
      </c>
      <c r="AF1850" s="99">
        <f t="shared" si="85"/>
        <v>1.1662240548010655E-2</v>
      </c>
      <c r="AG1850" s="99">
        <f t="shared" si="86"/>
        <v>1.0003827406592126E-2</v>
      </c>
      <c r="AH1850" s="10" t="str">
        <f>IFERROR(VLOOKUP(B1850,'Pre-Summary'!$AZ$6:$BE$65,3,FALSE),"")</f>
        <v/>
      </c>
      <c r="AI1850" s="10" t="str">
        <f>IFERROR(VLOOKUP(B1850,'Pre-Summary'!$AZ$6:$BE$65,5,FALSE),"")</f>
        <v/>
      </c>
      <c r="AJ1850" s="10" t="str">
        <f>IFERROR(VLOOKUP(B1850,'Pre-Summary'!$AZ$6:$BE$65,4,FALSE),"")</f>
        <v/>
      </c>
      <c r="AK1850" s="10" t="str">
        <f>IFERROR(VLOOKUP(B1850,'Pre-Summary'!$AZ$6:$BE$65,6,FALSE),"")</f>
        <v/>
      </c>
      <c r="AL1850" s="10" t="str">
        <f>IFERROR(VLOOKUP(B1850,'Pre-Summary'!$BG$6:$BL$44,3,FALSE),"")</f>
        <v/>
      </c>
      <c r="AM1850" s="10" t="str">
        <f>IFERROR(VLOOKUP(B1850,'Pre-Summary'!$BG$6:$BL$44,4,FALSE),"")</f>
        <v/>
      </c>
    </row>
    <row r="1851" spans="2:39" ht="15" customHeight="1" x14ac:dyDescent="0.3">
      <c r="B1851">
        <v>184.8</v>
      </c>
      <c r="C1851" t="str">
        <f>IFERROR(VLOOKUP(B1851,'Pre-Summary'!$DI$6:$DM$23,4,FALSE),"")</f>
        <v/>
      </c>
      <c r="D1851" s="10" t="str">
        <f>IFERROR(VLOOKUP(B1851,'Pre-Summary'!$AT$6:$AX$14,5,FALSE),D1850)</f>
        <v>Wolfe v3: went back to modified wolfe + EDTA and switched CuSO4 to CUCl2</v>
      </c>
      <c r="E1851" s="10" t="str">
        <f>IFERROR(VLOOKUP(B1851,'Pre-Summary'!$AT$6:$AX$15,4,FALSE),"")</f>
        <v/>
      </c>
      <c r="F1851">
        <f>IFERROR(VLOOKUP(B1851,'Pre-Summary'!$AL$6:$AQ$13,6,FALSE),F1850)</f>
        <v>5.9405263157894746E-2</v>
      </c>
      <c r="G1851" t="str">
        <f>IFERROR(VLOOKUP(B1851,'Pre-Summary'!$AE$6:$AJ$85,3,FALSE),"")</f>
        <v/>
      </c>
      <c r="H1851" t="str">
        <f>IFERROR(VLOOKUP(B1851,'Pre-Summary'!$AE$6:$AJ$85,4,FALSE),"")</f>
        <v/>
      </c>
      <c r="I1851" t="str">
        <f>IFERROR(VLOOKUP(B1851,'Pre-Summary'!$AE$6:$AJ$85,5,FALSE),"")</f>
        <v/>
      </c>
      <c r="J1851" s="45" t="str">
        <f>IFERROR(VLOOKUP(B1851,'Pre-Summary'!$AE$6:$AJ$85,6, FALSE),"")</f>
        <v/>
      </c>
      <c r="K1851" s="45" t="str">
        <f>IFERROR(VLOOKUP(B1851,'Pre-Summary'!$DE$6:$DG$61,3,FALSE),"")</f>
        <v/>
      </c>
      <c r="L1851" s="45" t="str">
        <f>IFERROR(VLOOKUP(B1851,'Pre-Summary'!$CU$6:$CW$36,3,FALSE),"")</f>
        <v/>
      </c>
      <c r="M1851" s="45" t="str">
        <f>IFERROR(VLOOKUP(B1851,'Pre-Summary'!$BW$6:$BY$58,2,FALSE),"")</f>
        <v/>
      </c>
      <c r="N1851" s="45" t="str">
        <f>IFERROR(VLOOKUP(B1851,'Pre-Summary'!$CD$6:$CF$64,2,FALSE),"")</f>
        <v/>
      </c>
      <c r="O1851" s="99">
        <f>IFERROR(VLOOKUP(B1851,'Pre-Summary'!$BO$6:$BQ$48,3, FALSE),O1850)</f>
        <v>1.25</v>
      </c>
      <c r="P1851" s="99">
        <f>IFERROR(VLOOKUP(B1851,'Pre-Summary'!$BS$6:$BU$35,3,FALSE),P1850)</f>
        <v>0.33700000000000002</v>
      </c>
      <c r="Q1851" s="54">
        <f t="shared" si="84"/>
        <v>3.7091988130563798</v>
      </c>
      <c r="R1851" s="53">
        <f>IFERROR(VLOOKUP(B1851,'Pre-Summary'!$BG$6:$BM$44,7,FALSE),R1852)</f>
        <v>7.9325362566443819E-2</v>
      </c>
      <c r="S1851" s="53">
        <f>IFERROR(VLOOKUP(B1851,'Pre-Summary'!$BG$6:$BM$44,6,FALSE),S1852)</f>
        <v>0.10333499253358684</v>
      </c>
      <c r="T1851" s="45" t="str">
        <f>IFERROR(VLOOKUP(B1851,'Pre-Summary'!$Y$6:$AC$83, 3,FALSE),"")</f>
        <v/>
      </c>
      <c r="U1851" s="45" t="str">
        <f>IFERROR(VLOOKUP(B1851,'Pre-Summary'!$Y$6:$AC$83, 4,FALSE),"")</f>
        <v/>
      </c>
      <c r="V1851" t="str">
        <f>IFERROR(VLOOKUP(B1851,'Pre-Summary'!$Y$6:$AC$83, 5,FALSE),"")</f>
        <v/>
      </c>
      <c r="W1851" s="45" t="str">
        <f>IFERROR(VLOOKUP(B1851,'Pre-Summary'!$Y$6:$AD$83,6,FALSE),"")</f>
        <v/>
      </c>
      <c r="X1851" t="str">
        <f>IFERROR(VLOOKUP('Pre-Summary'!$DB$6:$DD$63,3,FALSE),"")</f>
        <v/>
      </c>
      <c r="Y1851" t="str">
        <f>IFERROR(VLOOKUP(B1851,'Pre-Summary'!$CR$6:$CT$36,3,FALSE),"")</f>
        <v/>
      </c>
      <c r="Z1851" s="45" t="str">
        <f>IFERROR(VLOOKUP(B1851,'Pre-Summary'!$BZ$6:$CB$63,2,FALSE),"")</f>
        <v/>
      </c>
      <c r="AA1851" s="45" t="str">
        <f>IFERROR(VLOOKUP(B1851,'Pre-Summary'!$CG$6:$CI$70,2,FALSE),"")</f>
        <v/>
      </c>
      <c r="AB1851" s="99">
        <f>IFERROR(VLOOKUP(B1851,'Pre-Summary'!$A$6:$P$178,9,FALSE),AB1852)</f>
        <v>0.30718939394020672</v>
      </c>
      <c r="AC1851" s="10">
        <f>IFERROR(VLOOKUP(Summary!B1851,'Pre-Summary'!$A$6:$P$184,5, FALSE)/100,AC1852)</f>
        <v>0.92946966666666653</v>
      </c>
      <c r="AD1851" s="10">
        <f>IFERROR(VLOOKUP(Summary!B1851,'Pre-Summary'!$A$6:$P$184,3, FALSE)/100,AD1852)</f>
        <v>3.7964333333333336E-2</v>
      </c>
      <c r="AE1851" s="10">
        <f>IFERROR(VLOOKUP(Summary!B1851,'Pre-Summary'!$A$6:$P$184,7, FALSE)/100,AE1852)</f>
        <v>3.2565666666666666E-2</v>
      </c>
      <c r="AF1851" s="99">
        <f t="shared" si="85"/>
        <v>1.1662240548010655E-2</v>
      </c>
      <c r="AG1851" s="99">
        <f t="shared" si="86"/>
        <v>1.0003827406592126E-2</v>
      </c>
      <c r="AH1851" s="10" t="str">
        <f>IFERROR(VLOOKUP(B1851,'Pre-Summary'!$AZ$6:$BE$65,3,FALSE),"")</f>
        <v/>
      </c>
      <c r="AI1851" s="10" t="str">
        <f>IFERROR(VLOOKUP(B1851,'Pre-Summary'!$AZ$6:$BE$65,5,FALSE),"")</f>
        <v/>
      </c>
      <c r="AJ1851" s="10" t="str">
        <f>IFERROR(VLOOKUP(B1851,'Pre-Summary'!$AZ$6:$BE$65,4,FALSE),"")</f>
        <v/>
      </c>
      <c r="AK1851" s="10" t="str">
        <f>IFERROR(VLOOKUP(B1851,'Pre-Summary'!$AZ$6:$BE$65,6,FALSE),"")</f>
        <v/>
      </c>
      <c r="AL1851" s="10" t="str">
        <f>IFERROR(VLOOKUP(B1851,'Pre-Summary'!$BG$6:$BL$44,3,FALSE),"")</f>
        <v/>
      </c>
      <c r="AM1851" s="10" t="str">
        <f>IFERROR(VLOOKUP(B1851,'Pre-Summary'!$BG$6:$BL$44,4,FALSE),"")</f>
        <v/>
      </c>
    </row>
    <row r="1852" spans="2:39" ht="15" customHeight="1" x14ac:dyDescent="0.3">
      <c r="B1852">
        <v>184.9</v>
      </c>
      <c r="C1852" t="str">
        <f>IFERROR(VLOOKUP(B1852,'Pre-Summary'!$DI$6:$DM$23,4,FALSE),"")</f>
        <v/>
      </c>
      <c r="D1852" s="10" t="str">
        <f>IFERROR(VLOOKUP(B1852,'Pre-Summary'!$AT$6:$AX$14,5,FALSE),D1851)</f>
        <v>Wolfe v3: went back to modified wolfe + EDTA and switched CuSO4 to CUCl2</v>
      </c>
      <c r="E1852" s="10" t="str">
        <f>IFERROR(VLOOKUP(B1852,'Pre-Summary'!$AT$6:$AX$15,4,FALSE),"")</f>
        <v/>
      </c>
      <c r="F1852">
        <f>IFERROR(VLOOKUP(B1852,'Pre-Summary'!$AL$6:$AQ$13,6,FALSE),F1851)</f>
        <v>5.9405263157894746E-2</v>
      </c>
      <c r="G1852" t="str">
        <f>IFERROR(VLOOKUP(B1852,'Pre-Summary'!$AE$6:$AJ$85,3,FALSE),"")</f>
        <v/>
      </c>
      <c r="H1852" t="str">
        <f>IFERROR(VLOOKUP(B1852,'Pre-Summary'!$AE$6:$AJ$85,4,FALSE),"")</f>
        <v/>
      </c>
      <c r="I1852" t="str">
        <f>IFERROR(VLOOKUP(B1852,'Pre-Summary'!$AE$6:$AJ$85,5,FALSE),"")</f>
        <v/>
      </c>
      <c r="J1852" s="45" t="str">
        <f>IFERROR(VLOOKUP(B1852,'Pre-Summary'!$AE$6:$AJ$85,6, FALSE),"")</f>
        <v/>
      </c>
      <c r="K1852" s="45" t="str">
        <f>IFERROR(VLOOKUP(B1852,'Pre-Summary'!$DE$6:$DG$61,3,FALSE),"")</f>
        <v/>
      </c>
      <c r="L1852" s="45" t="str">
        <f>IFERROR(VLOOKUP(B1852,'Pre-Summary'!$CU$6:$CW$36,3,FALSE),"")</f>
        <v/>
      </c>
      <c r="M1852" s="45" t="str">
        <f>IFERROR(VLOOKUP(B1852,'Pre-Summary'!$BW$6:$BY$58,2,FALSE),"")</f>
        <v/>
      </c>
      <c r="N1852" s="45" t="str">
        <f>IFERROR(VLOOKUP(B1852,'Pre-Summary'!$CD$6:$CF$64,2,FALSE),"")</f>
        <v/>
      </c>
      <c r="O1852" s="99">
        <f>IFERROR(VLOOKUP(B1852,'Pre-Summary'!$BO$6:$BQ$48,3, FALSE),O1851)</f>
        <v>1.25</v>
      </c>
      <c r="P1852" s="99">
        <f>IFERROR(VLOOKUP(B1852,'Pre-Summary'!$BS$6:$BU$35,3,FALSE),P1851)</f>
        <v>0.33700000000000002</v>
      </c>
      <c r="Q1852" s="54">
        <f t="shared" si="84"/>
        <v>3.7091988130563798</v>
      </c>
      <c r="R1852" s="53">
        <f>IFERROR(VLOOKUP(B1852,'Pre-Summary'!$BG$6:$BM$44,7,FALSE),R1853)</f>
        <v>7.9325362566443819E-2</v>
      </c>
      <c r="S1852" s="53">
        <f>IFERROR(VLOOKUP(B1852,'Pre-Summary'!$BG$6:$BM$44,6,FALSE),S1853)</f>
        <v>0.10333499253358684</v>
      </c>
      <c r="T1852" s="45" t="str">
        <f>IFERROR(VLOOKUP(B1852,'Pre-Summary'!$Y$6:$AC$83, 3,FALSE),"")</f>
        <v/>
      </c>
      <c r="U1852" s="45" t="str">
        <f>IFERROR(VLOOKUP(B1852,'Pre-Summary'!$Y$6:$AC$83, 4,FALSE),"")</f>
        <v/>
      </c>
      <c r="V1852" t="str">
        <f>IFERROR(VLOOKUP(B1852,'Pre-Summary'!$Y$6:$AC$83, 5,FALSE),"")</f>
        <v/>
      </c>
      <c r="W1852" s="45" t="str">
        <f>IFERROR(VLOOKUP(B1852,'Pre-Summary'!$Y$6:$AD$83,6,FALSE),"")</f>
        <v/>
      </c>
      <c r="X1852" t="str">
        <f>IFERROR(VLOOKUP('Pre-Summary'!$DB$6:$DD$63,3,FALSE),"")</f>
        <v/>
      </c>
      <c r="Y1852" t="str">
        <f>IFERROR(VLOOKUP(B1852,'Pre-Summary'!$CR$6:$CT$36,3,FALSE),"")</f>
        <v/>
      </c>
      <c r="Z1852" s="45" t="str">
        <f>IFERROR(VLOOKUP(B1852,'Pre-Summary'!$BZ$6:$CB$63,2,FALSE),"")</f>
        <v/>
      </c>
      <c r="AA1852" s="45" t="str">
        <f>IFERROR(VLOOKUP(B1852,'Pre-Summary'!$CG$6:$CI$70,2,FALSE),"")</f>
        <v/>
      </c>
      <c r="AB1852" s="99">
        <f>IFERROR(VLOOKUP(B1852,'Pre-Summary'!$A$6:$P$178,9,FALSE),AB1853)</f>
        <v>0.30718939394020672</v>
      </c>
      <c r="AC1852" s="10">
        <f>IFERROR(VLOOKUP(Summary!B1852,'Pre-Summary'!$A$6:$P$184,5, FALSE)/100,AC1853)</f>
        <v>0.92946966666666653</v>
      </c>
      <c r="AD1852" s="10">
        <f>IFERROR(VLOOKUP(Summary!B1852,'Pre-Summary'!$A$6:$P$184,3, FALSE)/100,AD1853)</f>
        <v>3.7964333333333336E-2</v>
      </c>
      <c r="AE1852" s="10">
        <f>IFERROR(VLOOKUP(Summary!B1852,'Pre-Summary'!$A$6:$P$184,7, FALSE)/100,AE1853)</f>
        <v>3.2565666666666666E-2</v>
      </c>
      <c r="AF1852" s="99">
        <f t="shared" si="85"/>
        <v>1.1662240548010655E-2</v>
      </c>
      <c r="AG1852" s="99">
        <f t="shared" si="86"/>
        <v>1.0003827406592126E-2</v>
      </c>
      <c r="AH1852" s="10" t="str">
        <f>IFERROR(VLOOKUP(B1852,'Pre-Summary'!$AZ$6:$BE$65,3,FALSE),"")</f>
        <v/>
      </c>
      <c r="AI1852" s="10" t="str">
        <f>IFERROR(VLOOKUP(B1852,'Pre-Summary'!$AZ$6:$BE$65,5,FALSE),"")</f>
        <v/>
      </c>
      <c r="AJ1852" s="10" t="str">
        <f>IFERROR(VLOOKUP(B1852,'Pre-Summary'!$AZ$6:$BE$65,4,FALSE),"")</f>
        <v/>
      </c>
      <c r="AK1852" s="10" t="str">
        <f>IFERROR(VLOOKUP(B1852,'Pre-Summary'!$AZ$6:$BE$65,6,FALSE),"")</f>
        <v/>
      </c>
      <c r="AL1852" s="10" t="str">
        <f>IFERROR(VLOOKUP(B1852,'Pre-Summary'!$BG$6:$BL$44,3,FALSE),"")</f>
        <v/>
      </c>
      <c r="AM1852" s="10" t="str">
        <f>IFERROR(VLOOKUP(B1852,'Pre-Summary'!$BG$6:$BL$44,4,FALSE),"")</f>
        <v/>
      </c>
    </row>
    <row r="1853" spans="2:39" ht="15" customHeight="1" x14ac:dyDescent="0.3">
      <c r="B1853">
        <v>185</v>
      </c>
      <c r="C1853" t="str">
        <f>IFERROR(VLOOKUP(B1853,'Pre-Summary'!$DI$6:$DM$23,4,FALSE),"")</f>
        <v/>
      </c>
      <c r="D1853" s="10" t="str">
        <f>IFERROR(VLOOKUP(B1853,'Pre-Summary'!$AT$6:$AX$14,5,FALSE),D1852)</f>
        <v>Wolfe v3: went back to modified wolfe + EDTA and switched CuSO4 to CUCl2</v>
      </c>
      <c r="E1853" s="10" t="str">
        <f>IFERROR(VLOOKUP(B1853,'Pre-Summary'!$AT$6:$AX$15,4,FALSE),"")</f>
        <v/>
      </c>
      <c r="F1853">
        <f>IFERROR(VLOOKUP(B1853,'Pre-Summary'!$AL$6:$AQ$13,6,FALSE),F1852)</f>
        <v>5.9405263157894746E-2</v>
      </c>
      <c r="G1853" t="str">
        <f>IFERROR(VLOOKUP(B1853,'Pre-Summary'!$AE$6:$AJ$85,3,FALSE),"")</f>
        <v/>
      </c>
      <c r="H1853" t="str">
        <f>IFERROR(VLOOKUP(B1853,'Pre-Summary'!$AE$6:$AJ$85,4,FALSE),"")</f>
        <v/>
      </c>
      <c r="I1853" t="str">
        <f>IFERROR(VLOOKUP(B1853,'Pre-Summary'!$AE$6:$AJ$85,5,FALSE),"")</f>
        <v/>
      </c>
      <c r="J1853" s="45" t="str">
        <f>IFERROR(VLOOKUP(B1853,'Pre-Summary'!$AE$6:$AJ$85,6, FALSE),"")</f>
        <v/>
      </c>
      <c r="K1853" s="45" t="str">
        <f>IFERROR(VLOOKUP(B1853,'Pre-Summary'!$DE$6:$DG$61,3,FALSE),"")</f>
        <v/>
      </c>
      <c r="L1853" s="45" t="str">
        <f>IFERROR(VLOOKUP(B1853,'Pre-Summary'!$CU$6:$CW$36,3,FALSE),"")</f>
        <v/>
      </c>
      <c r="M1853" s="45" t="str">
        <f>IFERROR(VLOOKUP(B1853,'Pre-Summary'!$BW$6:$BY$58,2,FALSE),"")</f>
        <v/>
      </c>
      <c r="N1853" s="45" t="str">
        <f>IFERROR(VLOOKUP(B1853,'Pre-Summary'!$CD$6:$CF$64,2,FALSE),"")</f>
        <v/>
      </c>
      <c r="O1853" s="99">
        <f>IFERROR(VLOOKUP(B1853,'Pre-Summary'!$BO$6:$BQ$48,3, FALSE),O1852)</f>
        <v>1.25</v>
      </c>
      <c r="P1853" s="99">
        <f>IFERROR(VLOOKUP(B1853,'Pre-Summary'!$BS$6:$BU$35,3,FALSE),P1852)</f>
        <v>0.33700000000000002</v>
      </c>
      <c r="Q1853" s="54">
        <f t="shared" si="84"/>
        <v>3.7091988130563798</v>
      </c>
      <c r="R1853" s="53">
        <f>IFERROR(VLOOKUP(B1853,'Pre-Summary'!$BG$6:$BM$44,7,FALSE),R1854)</f>
        <v>7.9325362566443819E-2</v>
      </c>
      <c r="S1853" s="53">
        <f>IFERROR(VLOOKUP(B1853,'Pre-Summary'!$BG$6:$BM$44,6,FALSE),S1854)</f>
        <v>0.10333499253358684</v>
      </c>
      <c r="T1853" s="45" t="str">
        <f>IFERROR(VLOOKUP(B1853,'Pre-Summary'!$Y$6:$AC$83, 3,FALSE),"")</f>
        <v/>
      </c>
      <c r="U1853" s="45" t="str">
        <f>IFERROR(VLOOKUP(B1853,'Pre-Summary'!$Y$6:$AC$83, 4,FALSE),"")</f>
        <v/>
      </c>
      <c r="V1853" t="str">
        <f>IFERROR(VLOOKUP(B1853,'Pre-Summary'!$Y$6:$AC$83, 5,FALSE),"")</f>
        <v/>
      </c>
      <c r="W1853" s="45" t="str">
        <f>IFERROR(VLOOKUP(B1853,'Pre-Summary'!$Y$6:$AD$83,6,FALSE),"")</f>
        <v/>
      </c>
      <c r="X1853" t="str">
        <f>IFERROR(VLOOKUP('Pre-Summary'!$DB$6:$DD$63,3,FALSE),"")</f>
        <v/>
      </c>
      <c r="Y1853" t="str">
        <f>IFERROR(VLOOKUP(B1853,'Pre-Summary'!$CR$6:$CT$36,3,FALSE),"")</f>
        <v/>
      </c>
      <c r="Z1853" s="45" t="str">
        <f>IFERROR(VLOOKUP(B1853,'Pre-Summary'!$BZ$6:$CB$63,2,FALSE),"")</f>
        <v/>
      </c>
      <c r="AA1853" s="45" t="str">
        <f>IFERROR(VLOOKUP(B1853,'Pre-Summary'!$CG$6:$CI$70,2,FALSE),"")</f>
        <v/>
      </c>
      <c r="AB1853" s="99">
        <f>IFERROR(VLOOKUP(B1853,'Pre-Summary'!$A$6:$P$178,9,FALSE),AB1854)</f>
        <v>0.31225386628581325</v>
      </c>
      <c r="AC1853" s="10">
        <f>IFERROR(VLOOKUP(Summary!B1853,'Pre-Summary'!$A$6:$P$184,5, FALSE)/100,AC1854)</f>
        <v>0.94007200000000002</v>
      </c>
      <c r="AD1853" s="10">
        <f>IFERROR(VLOOKUP(Summary!B1853,'Pre-Summary'!$A$6:$P$184,3, FALSE)/100,AD1854)</f>
        <v>3.2489000000000004E-2</v>
      </c>
      <c r="AE1853" s="10">
        <f>IFERROR(VLOOKUP(Summary!B1853,'Pre-Summary'!$A$6:$P$184,7, FALSE)/100,AE1854)</f>
        <v>2.7439000000000002E-2</v>
      </c>
      <c r="AF1853" s="99">
        <f t="shared" si="85"/>
        <v>1.0144815861759788E-2</v>
      </c>
      <c r="AG1853" s="99">
        <f t="shared" si="86"/>
        <v>8.5679338370164299E-3</v>
      </c>
      <c r="AH1853" s="10" t="str">
        <f>IFERROR(VLOOKUP(B1853,'Pre-Summary'!$AZ$6:$BE$65,3,FALSE),"")</f>
        <v/>
      </c>
      <c r="AI1853" s="10" t="str">
        <f>IFERROR(VLOOKUP(B1853,'Pre-Summary'!$AZ$6:$BE$65,5,FALSE),"")</f>
        <v/>
      </c>
      <c r="AJ1853" s="10" t="str">
        <f>IFERROR(VLOOKUP(B1853,'Pre-Summary'!$AZ$6:$BE$65,4,FALSE),"")</f>
        <v/>
      </c>
      <c r="AK1853" s="10" t="str">
        <f>IFERROR(VLOOKUP(B1853,'Pre-Summary'!$AZ$6:$BE$65,6,FALSE),"")</f>
        <v/>
      </c>
      <c r="AL1853" s="10" t="str">
        <f>IFERROR(VLOOKUP(B1853,'Pre-Summary'!$BG$6:$BL$44,3,FALSE),"")</f>
        <v/>
      </c>
      <c r="AM1853" s="10" t="str">
        <f>IFERROR(VLOOKUP(B1853,'Pre-Summary'!$BG$6:$BL$44,4,FALSE),"")</f>
        <v/>
      </c>
    </row>
    <row r="1854" spans="2:39" ht="15" customHeight="1" x14ac:dyDescent="0.3">
      <c r="B1854">
        <v>185.1</v>
      </c>
      <c r="C1854" t="str">
        <f>IFERROR(VLOOKUP(B1854,'Pre-Summary'!$DI$6:$DM$23,4,FALSE),"")</f>
        <v/>
      </c>
      <c r="D1854" s="10" t="str">
        <f>IFERROR(VLOOKUP(B1854,'Pre-Summary'!$AT$6:$AX$14,5,FALSE),D1853)</f>
        <v>Wolfe v3: went back to modified wolfe + EDTA and switched CuSO4 to CUCl2</v>
      </c>
      <c r="E1854" s="10" t="str">
        <f>IFERROR(VLOOKUP(B1854,'Pre-Summary'!$AT$6:$AX$15,4,FALSE),"")</f>
        <v/>
      </c>
      <c r="F1854">
        <f>IFERROR(VLOOKUP(B1854,'Pre-Summary'!$AL$6:$AQ$13,6,FALSE),F1853)</f>
        <v>5.9405263157894746E-2</v>
      </c>
      <c r="G1854" t="str">
        <f>IFERROR(VLOOKUP(B1854,'Pre-Summary'!$AE$6:$AJ$85,3,FALSE),"")</f>
        <v/>
      </c>
      <c r="H1854" t="str">
        <f>IFERROR(VLOOKUP(B1854,'Pre-Summary'!$AE$6:$AJ$85,4,FALSE),"")</f>
        <v/>
      </c>
      <c r="I1854" t="str">
        <f>IFERROR(VLOOKUP(B1854,'Pre-Summary'!$AE$6:$AJ$85,5,FALSE),"")</f>
        <v/>
      </c>
      <c r="J1854" s="45" t="str">
        <f>IFERROR(VLOOKUP(B1854,'Pre-Summary'!$AE$6:$AJ$85,6, FALSE),"")</f>
        <v/>
      </c>
      <c r="K1854" s="45" t="str">
        <f>IFERROR(VLOOKUP(B1854,'Pre-Summary'!$DE$6:$DG$61,3,FALSE),"")</f>
        <v/>
      </c>
      <c r="L1854" s="45" t="str">
        <f>IFERROR(VLOOKUP(B1854,'Pre-Summary'!$CU$6:$CW$36,3,FALSE),"")</f>
        <v/>
      </c>
      <c r="M1854" s="45" t="str">
        <f>IFERROR(VLOOKUP(B1854,'Pre-Summary'!$BW$6:$BY$58,2,FALSE),"")</f>
        <v/>
      </c>
      <c r="N1854" s="45" t="str">
        <f>IFERROR(VLOOKUP(B1854,'Pre-Summary'!$CD$6:$CF$64,2,FALSE),"")</f>
        <v/>
      </c>
      <c r="O1854" s="99">
        <f>IFERROR(VLOOKUP(B1854,'Pre-Summary'!$BO$6:$BQ$48,3, FALSE),O1853)</f>
        <v>1.25</v>
      </c>
      <c r="P1854" s="99">
        <f>IFERROR(VLOOKUP(B1854,'Pre-Summary'!$BS$6:$BU$35,3,FALSE),P1853)</f>
        <v>0.33700000000000002</v>
      </c>
      <c r="Q1854" s="54">
        <f t="shared" si="84"/>
        <v>3.7091988130563798</v>
      </c>
      <c r="R1854" s="53">
        <f>IFERROR(VLOOKUP(B1854,'Pre-Summary'!$BG$6:$BM$44,7,FALSE),R1855)</f>
        <v>7.9325362566443819E-2</v>
      </c>
      <c r="S1854" s="53">
        <f>IFERROR(VLOOKUP(B1854,'Pre-Summary'!$BG$6:$BM$44,6,FALSE),S1855)</f>
        <v>0.10333499253358684</v>
      </c>
      <c r="T1854" s="45" t="str">
        <f>IFERROR(VLOOKUP(B1854,'Pre-Summary'!$Y$6:$AC$83, 3,FALSE),"")</f>
        <v/>
      </c>
      <c r="U1854" s="45" t="str">
        <f>IFERROR(VLOOKUP(B1854,'Pre-Summary'!$Y$6:$AC$83, 4,FALSE),"")</f>
        <v/>
      </c>
      <c r="V1854" t="str">
        <f>IFERROR(VLOOKUP(B1854,'Pre-Summary'!$Y$6:$AC$83, 5,FALSE),"")</f>
        <v/>
      </c>
      <c r="W1854" s="45" t="str">
        <f>IFERROR(VLOOKUP(B1854,'Pre-Summary'!$Y$6:$AD$83,6,FALSE),"")</f>
        <v/>
      </c>
      <c r="X1854" t="str">
        <f>IFERROR(VLOOKUP('Pre-Summary'!$DB$6:$DD$63,3,FALSE),"")</f>
        <v/>
      </c>
      <c r="Y1854" t="str">
        <f>IFERROR(VLOOKUP(B1854,'Pre-Summary'!$CR$6:$CT$36,3,FALSE),"")</f>
        <v/>
      </c>
      <c r="Z1854" s="45" t="str">
        <f>IFERROR(VLOOKUP(B1854,'Pre-Summary'!$BZ$6:$CB$63,2,FALSE),"")</f>
        <v/>
      </c>
      <c r="AA1854" s="45" t="str">
        <f>IFERROR(VLOOKUP(B1854,'Pre-Summary'!$CG$6:$CI$70,2,FALSE),"")</f>
        <v/>
      </c>
      <c r="AB1854" s="99">
        <f>IFERROR(VLOOKUP(B1854,'Pre-Summary'!$A$6:$P$178,9,FALSE),AB1855)</f>
        <v>0.31225386628581325</v>
      </c>
      <c r="AC1854" s="10">
        <f>IFERROR(VLOOKUP(Summary!B1854,'Pre-Summary'!$A$6:$P$184,5, FALSE)/100,AC1855)</f>
        <v>0.94007200000000002</v>
      </c>
      <c r="AD1854" s="10">
        <f>IFERROR(VLOOKUP(Summary!B1854,'Pre-Summary'!$A$6:$P$184,3, FALSE)/100,AD1855)</f>
        <v>3.2489000000000004E-2</v>
      </c>
      <c r="AE1854" s="10">
        <f>IFERROR(VLOOKUP(Summary!B1854,'Pre-Summary'!$A$6:$P$184,7, FALSE)/100,AE1855)</f>
        <v>2.7439000000000002E-2</v>
      </c>
      <c r="AF1854" s="99">
        <f t="shared" si="85"/>
        <v>1.0144815861759788E-2</v>
      </c>
      <c r="AG1854" s="99">
        <f t="shared" si="86"/>
        <v>8.5679338370164299E-3</v>
      </c>
      <c r="AH1854" s="10" t="str">
        <f>IFERROR(VLOOKUP(B1854,'Pre-Summary'!$AZ$6:$BE$65,3,FALSE),"")</f>
        <v/>
      </c>
      <c r="AI1854" s="10" t="str">
        <f>IFERROR(VLOOKUP(B1854,'Pre-Summary'!$AZ$6:$BE$65,5,FALSE),"")</f>
        <v/>
      </c>
      <c r="AJ1854" s="10" t="str">
        <f>IFERROR(VLOOKUP(B1854,'Pre-Summary'!$AZ$6:$BE$65,4,FALSE),"")</f>
        <v/>
      </c>
      <c r="AK1854" s="10" t="str">
        <f>IFERROR(VLOOKUP(B1854,'Pre-Summary'!$AZ$6:$BE$65,6,FALSE),"")</f>
        <v/>
      </c>
      <c r="AL1854" s="10" t="str">
        <f>IFERROR(VLOOKUP(B1854,'Pre-Summary'!$BG$6:$BL$44,3,FALSE),"")</f>
        <v/>
      </c>
      <c r="AM1854" s="10" t="str">
        <f>IFERROR(VLOOKUP(B1854,'Pre-Summary'!$BG$6:$BL$44,4,FALSE),"")</f>
        <v/>
      </c>
    </row>
    <row r="1855" spans="2:39" ht="15" customHeight="1" x14ac:dyDescent="0.3">
      <c r="B1855">
        <v>185.2</v>
      </c>
      <c r="C1855" t="str">
        <f>IFERROR(VLOOKUP(B1855,'Pre-Summary'!$DI$6:$DM$23,4,FALSE),"")</f>
        <v/>
      </c>
      <c r="D1855" s="10" t="str">
        <f>IFERROR(VLOOKUP(B1855,'Pre-Summary'!$AT$6:$AX$14,5,FALSE),D1854)</f>
        <v>Wolfe v3: went back to modified wolfe + EDTA and switched CuSO4 to CUCl2</v>
      </c>
      <c r="E1855" s="10" t="str">
        <f>IFERROR(VLOOKUP(B1855,'Pre-Summary'!$AT$6:$AX$15,4,FALSE),"")</f>
        <v/>
      </c>
      <c r="F1855">
        <f>IFERROR(VLOOKUP(B1855,'Pre-Summary'!$AL$6:$AQ$13,6,FALSE),F1854)</f>
        <v>5.9405263157894746E-2</v>
      </c>
      <c r="G1855" t="str">
        <f>IFERROR(VLOOKUP(B1855,'Pre-Summary'!$AE$6:$AJ$85,3,FALSE),"")</f>
        <v/>
      </c>
      <c r="H1855" t="str">
        <f>IFERROR(VLOOKUP(B1855,'Pre-Summary'!$AE$6:$AJ$85,4,FALSE),"")</f>
        <v/>
      </c>
      <c r="I1855" t="str">
        <f>IFERROR(VLOOKUP(B1855,'Pre-Summary'!$AE$6:$AJ$85,5,FALSE),"")</f>
        <v/>
      </c>
      <c r="J1855" s="45" t="str">
        <f>IFERROR(VLOOKUP(B1855,'Pre-Summary'!$AE$6:$AJ$85,6, FALSE),"")</f>
        <v/>
      </c>
      <c r="K1855" s="45" t="str">
        <f>IFERROR(VLOOKUP(B1855,'Pre-Summary'!$DE$6:$DG$61,3,FALSE),"")</f>
        <v/>
      </c>
      <c r="L1855" s="45" t="str">
        <f>IFERROR(VLOOKUP(B1855,'Pre-Summary'!$CU$6:$CW$36,3,FALSE),"")</f>
        <v/>
      </c>
      <c r="M1855" s="45" t="str">
        <f>IFERROR(VLOOKUP(B1855,'Pre-Summary'!$BW$6:$BY$58,2,FALSE),"")</f>
        <v/>
      </c>
      <c r="N1855" s="45" t="str">
        <f>IFERROR(VLOOKUP(B1855,'Pre-Summary'!$CD$6:$CF$64,2,FALSE),"")</f>
        <v/>
      </c>
      <c r="O1855" s="99">
        <f>IFERROR(VLOOKUP(B1855,'Pre-Summary'!$BO$6:$BQ$48,3, FALSE),O1854)</f>
        <v>1.25</v>
      </c>
      <c r="P1855" s="99">
        <f>IFERROR(VLOOKUP(B1855,'Pre-Summary'!$BS$6:$BU$35,3,FALSE),P1854)</f>
        <v>0.33700000000000002</v>
      </c>
      <c r="Q1855" s="54">
        <f t="shared" si="84"/>
        <v>3.7091988130563798</v>
      </c>
      <c r="R1855" s="53">
        <f>IFERROR(VLOOKUP(B1855,'Pre-Summary'!$BG$6:$BM$44,7,FALSE),R1856)</f>
        <v>7.9325362566443819E-2</v>
      </c>
      <c r="S1855" s="53">
        <f>IFERROR(VLOOKUP(B1855,'Pre-Summary'!$BG$6:$BM$44,6,FALSE),S1856)</f>
        <v>0.10333499253358684</v>
      </c>
      <c r="T1855" s="45" t="str">
        <f>IFERROR(VLOOKUP(B1855,'Pre-Summary'!$Y$6:$AC$83, 3,FALSE),"")</f>
        <v/>
      </c>
      <c r="U1855" s="45" t="str">
        <f>IFERROR(VLOOKUP(B1855,'Pre-Summary'!$Y$6:$AC$83, 4,FALSE),"")</f>
        <v/>
      </c>
      <c r="V1855" t="str">
        <f>IFERROR(VLOOKUP(B1855,'Pre-Summary'!$Y$6:$AC$83, 5,FALSE),"")</f>
        <v/>
      </c>
      <c r="W1855" s="45" t="str">
        <f>IFERROR(VLOOKUP(B1855,'Pre-Summary'!$Y$6:$AD$83,6,FALSE),"")</f>
        <v/>
      </c>
      <c r="X1855" t="str">
        <f>IFERROR(VLOOKUP('Pre-Summary'!$DB$6:$DD$63,3,FALSE),"")</f>
        <v/>
      </c>
      <c r="Y1855" t="str">
        <f>IFERROR(VLOOKUP(B1855,'Pre-Summary'!$CR$6:$CT$36,3,FALSE),"")</f>
        <v/>
      </c>
      <c r="Z1855" s="45" t="str">
        <f>IFERROR(VLOOKUP(B1855,'Pre-Summary'!$BZ$6:$CB$63,2,FALSE),"")</f>
        <v/>
      </c>
      <c r="AA1855" s="45" t="str">
        <f>IFERROR(VLOOKUP(B1855,'Pre-Summary'!$CG$6:$CI$70,2,FALSE),"")</f>
        <v/>
      </c>
      <c r="AB1855" s="99">
        <f>IFERROR(VLOOKUP(B1855,'Pre-Summary'!$A$6:$P$178,9,FALSE),AB1856)</f>
        <v>0.31225386628581325</v>
      </c>
      <c r="AC1855" s="10">
        <f>IFERROR(VLOOKUP(Summary!B1855,'Pre-Summary'!$A$6:$P$184,5, FALSE)/100,AC1856)</f>
        <v>0.94007200000000002</v>
      </c>
      <c r="AD1855" s="10">
        <f>IFERROR(VLOOKUP(Summary!B1855,'Pre-Summary'!$A$6:$P$184,3, FALSE)/100,AD1856)</f>
        <v>3.2489000000000004E-2</v>
      </c>
      <c r="AE1855" s="10">
        <f>IFERROR(VLOOKUP(Summary!B1855,'Pre-Summary'!$A$6:$P$184,7, FALSE)/100,AE1856)</f>
        <v>2.7439000000000002E-2</v>
      </c>
      <c r="AF1855" s="99">
        <f t="shared" si="85"/>
        <v>1.0144815861759788E-2</v>
      </c>
      <c r="AG1855" s="99">
        <f t="shared" si="86"/>
        <v>8.5679338370164299E-3</v>
      </c>
      <c r="AH1855" s="10" t="str">
        <f>IFERROR(VLOOKUP(B1855,'Pre-Summary'!$AZ$6:$BE$65,3,FALSE),"")</f>
        <v/>
      </c>
      <c r="AI1855" s="10" t="str">
        <f>IFERROR(VLOOKUP(B1855,'Pre-Summary'!$AZ$6:$BE$65,5,FALSE),"")</f>
        <v/>
      </c>
      <c r="AJ1855" s="10" t="str">
        <f>IFERROR(VLOOKUP(B1855,'Pre-Summary'!$AZ$6:$BE$65,4,FALSE),"")</f>
        <v/>
      </c>
      <c r="AK1855" s="10" t="str">
        <f>IFERROR(VLOOKUP(B1855,'Pre-Summary'!$AZ$6:$BE$65,6,FALSE),"")</f>
        <v/>
      </c>
      <c r="AL1855" s="10" t="str">
        <f>IFERROR(VLOOKUP(B1855,'Pre-Summary'!$BG$6:$BL$44,3,FALSE),"")</f>
        <v/>
      </c>
      <c r="AM1855" s="10" t="str">
        <f>IFERROR(VLOOKUP(B1855,'Pre-Summary'!$BG$6:$BL$44,4,FALSE),"")</f>
        <v/>
      </c>
    </row>
    <row r="1856" spans="2:39" ht="15" customHeight="1" x14ac:dyDescent="0.3">
      <c r="B1856">
        <v>185.3</v>
      </c>
      <c r="C1856" t="str">
        <f>IFERROR(VLOOKUP(B1856,'Pre-Summary'!$DI$6:$DM$23,4,FALSE),"")</f>
        <v/>
      </c>
      <c r="D1856" s="10" t="str">
        <f>IFERROR(VLOOKUP(B1856,'Pre-Summary'!$AT$6:$AX$14,5,FALSE),D1855)</f>
        <v>Wolfe v3: went back to modified wolfe + EDTA and switched CuSO4 to CUCl2</v>
      </c>
      <c r="E1856" s="10" t="str">
        <f>IFERROR(VLOOKUP(B1856,'Pre-Summary'!$AT$6:$AX$15,4,FALSE),"")</f>
        <v/>
      </c>
      <c r="F1856">
        <f>IFERROR(VLOOKUP(B1856,'Pre-Summary'!$AL$6:$AQ$13,6,FALSE),F1855)</f>
        <v>5.9405263157894746E-2</v>
      </c>
      <c r="G1856" t="str">
        <f>IFERROR(VLOOKUP(B1856,'Pre-Summary'!$AE$6:$AJ$85,3,FALSE),"")</f>
        <v/>
      </c>
      <c r="H1856" t="str">
        <f>IFERROR(VLOOKUP(B1856,'Pre-Summary'!$AE$6:$AJ$85,4,FALSE),"")</f>
        <v/>
      </c>
      <c r="I1856" t="str">
        <f>IFERROR(VLOOKUP(B1856,'Pre-Summary'!$AE$6:$AJ$85,5,FALSE),"")</f>
        <v/>
      </c>
      <c r="J1856" s="45" t="str">
        <f>IFERROR(VLOOKUP(B1856,'Pre-Summary'!$AE$6:$AJ$85,6, FALSE),"")</f>
        <v/>
      </c>
      <c r="K1856" s="45" t="str">
        <f>IFERROR(VLOOKUP(B1856,'Pre-Summary'!$DE$6:$DG$61,3,FALSE),"")</f>
        <v/>
      </c>
      <c r="L1856" s="45" t="str">
        <f>IFERROR(VLOOKUP(B1856,'Pre-Summary'!$CU$6:$CW$36,3,FALSE),"")</f>
        <v/>
      </c>
      <c r="M1856" s="45" t="str">
        <f>IFERROR(VLOOKUP(B1856,'Pre-Summary'!$BW$6:$BY$58,2,FALSE),"")</f>
        <v/>
      </c>
      <c r="N1856" s="45" t="str">
        <f>IFERROR(VLOOKUP(B1856,'Pre-Summary'!$CD$6:$CF$64,2,FALSE),"")</f>
        <v/>
      </c>
      <c r="O1856" s="99">
        <f>IFERROR(VLOOKUP(B1856,'Pre-Summary'!$BO$6:$BQ$48,3, FALSE),O1855)</f>
        <v>1.25</v>
      </c>
      <c r="P1856" s="99">
        <f>IFERROR(VLOOKUP(B1856,'Pre-Summary'!$BS$6:$BU$35,3,FALSE),P1855)</f>
        <v>0.33700000000000002</v>
      </c>
      <c r="Q1856" s="54">
        <f t="shared" si="84"/>
        <v>3.7091988130563798</v>
      </c>
      <c r="R1856" s="53">
        <f>IFERROR(VLOOKUP(B1856,'Pre-Summary'!$BG$6:$BM$44,7,FALSE),R1857)</f>
        <v>7.9325362566443819E-2</v>
      </c>
      <c r="S1856" s="53">
        <f>IFERROR(VLOOKUP(B1856,'Pre-Summary'!$BG$6:$BM$44,6,FALSE),S1857)</f>
        <v>0.10333499253358684</v>
      </c>
      <c r="T1856" s="45" t="str">
        <f>IFERROR(VLOOKUP(B1856,'Pre-Summary'!$Y$6:$AC$83, 3,FALSE),"")</f>
        <v/>
      </c>
      <c r="U1856" s="45" t="str">
        <f>IFERROR(VLOOKUP(B1856,'Pre-Summary'!$Y$6:$AC$83, 4,FALSE),"")</f>
        <v/>
      </c>
      <c r="V1856" t="str">
        <f>IFERROR(VLOOKUP(B1856,'Pre-Summary'!$Y$6:$AC$83, 5,FALSE),"")</f>
        <v/>
      </c>
      <c r="W1856" s="45" t="str">
        <f>IFERROR(VLOOKUP(B1856,'Pre-Summary'!$Y$6:$AD$83,6,FALSE),"")</f>
        <v/>
      </c>
      <c r="X1856" t="str">
        <f>IFERROR(VLOOKUP('Pre-Summary'!$DB$6:$DD$63,3,FALSE),"")</f>
        <v/>
      </c>
      <c r="Y1856" t="str">
        <f>IFERROR(VLOOKUP(B1856,'Pre-Summary'!$CR$6:$CT$36,3,FALSE),"")</f>
        <v/>
      </c>
      <c r="Z1856" s="45" t="str">
        <f>IFERROR(VLOOKUP(B1856,'Pre-Summary'!$BZ$6:$CB$63,2,FALSE),"")</f>
        <v/>
      </c>
      <c r="AA1856" s="45" t="str">
        <f>IFERROR(VLOOKUP(B1856,'Pre-Summary'!$CG$6:$CI$70,2,FALSE),"")</f>
        <v/>
      </c>
      <c r="AB1856" s="99">
        <f>IFERROR(VLOOKUP(B1856,'Pre-Summary'!$A$6:$P$178,9,FALSE),AB1857)</f>
        <v>0.31225386628581325</v>
      </c>
      <c r="AC1856" s="10">
        <f>IFERROR(VLOOKUP(Summary!B1856,'Pre-Summary'!$A$6:$P$184,5, FALSE)/100,AC1857)</f>
        <v>0.94007200000000002</v>
      </c>
      <c r="AD1856" s="10">
        <f>IFERROR(VLOOKUP(Summary!B1856,'Pre-Summary'!$A$6:$P$184,3, FALSE)/100,AD1857)</f>
        <v>3.2489000000000004E-2</v>
      </c>
      <c r="AE1856" s="10">
        <f>IFERROR(VLOOKUP(Summary!B1856,'Pre-Summary'!$A$6:$P$184,7, FALSE)/100,AE1857)</f>
        <v>2.7439000000000002E-2</v>
      </c>
      <c r="AF1856" s="99">
        <f t="shared" si="85"/>
        <v>1.0144815861759788E-2</v>
      </c>
      <c r="AG1856" s="99">
        <f t="shared" si="86"/>
        <v>8.5679338370164299E-3</v>
      </c>
      <c r="AH1856" s="10" t="str">
        <f>IFERROR(VLOOKUP(B1856,'Pre-Summary'!$AZ$6:$BE$65,3,FALSE),"")</f>
        <v/>
      </c>
      <c r="AI1856" s="10" t="str">
        <f>IFERROR(VLOOKUP(B1856,'Pre-Summary'!$AZ$6:$BE$65,5,FALSE),"")</f>
        <v/>
      </c>
      <c r="AJ1856" s="10" t="str">
        <f>IFERROR(VLOOKUP(B1856,'Pre-Summary'!$AZ$6:$BE$65,4,FALSE),"")</f>
        <v/>
      </c>
      <c r="AK1856" s="10" t="str">
        <f>IFERROR(VLOOKUP(B1856,'Pre-Summary'!$AZ$6:$BE$65,6,FALSE),"")</f>
        <v/>
      </c>
      <c r="AL1856" s="10" t="str">
        <f>IFERROR(VLOOKUP(B1856,'Pre-Summary'!$BG$6:$BL$44,3,FALSE),"")</f>
        <v/>
      </c>
      <c r="AM1856" s="10" t="str">
        <f>IFERROR(VLOOKUP(B1856,'Pre-Summary'!$BG$6:$BL$44,4,FALSE),"")</f>
        <v/>
      </c>
    </row>
    <row r="1857" spans="2:39" ht="15" customHeight="1" x14ac:dyDescent="0.3">
      <c r="B1857">
        <v>185.4</v>
      </c>
      <c r="C1857" t="str">
        <f>IFERROR(VLOOKUP(B1857,'Pre-Summary'!$DI$6:$DM$23,4,FALSE),"")</f>
        <v/>
      </c>
      <c r="D1857" s="10" t="str">
        <f>IFERROR(VLOOKUP(B1857,'Pre-Summary'!$AT$6:$AX$14,5,FALSE),D1856)</f>
        <v>Wolfe v3: went back to modified wolfe + EDTA and switched CuSO4 to CUCl2</v>
      </c>
      <c r="E1857" s="10" t="str">
        <f>IFERROR(VLOOKUP(B1857,'Pre-Summary'!$AT$6:$AX$15,4,FALSE),"")</f>
        <v/>
      </c>
      <c r="F1857">
        <f>IFERROR(VLOOKUP(B1857,'Pre-Summary'!$AL$6:$AQ$13,6,FALSE),F1856)</f>
        <v>5.9405263157894746E-2</v>
      </c>
      <c r="G1857" t="str">
        <f>IFERROR(VLOOKUP(B1857,'Pre-Summary'!$AE$6:$AJ$85,3,FALSE),"")</f>
        <v/>
      </c>
      <c r="H1857" t="str">
        <f>IFERROR(VLOOKUP(B1857,'Pre-Summary'!$AE$6:$AJ$85,4,FALSE),"")</f>
        <v/>
      </c>
      <c r="I1857" t="str">
        <f>IFERROR(VLOOKUP(B1857,'Pre-Summary'!$AE$6:$AJ$85,5,FALSE),"")</f>
        <v/>
      </c>
      <c r="J1857" s="45" t="str">
        <f>IFERROR(VLOOKUP(B1857,'Pre-Summary'!$AE$6:$AJ$85,6, FALSE),"")</f>
        <v/>
      </c>
      <c r="K1857" s="45" t="str">
        <f>IFERROR(VLOOKUP(B1857,'Pre-Summary'!$DE$6:$DG$61,3,FALSE),"")</f>
        <v/>
      </c>
      <c r="L1857" s="45" t="str">
        <f>IFERROR(VLOOKUP(B1857,'Pre-Summary'!$CU$6:$CW$36,3,FALSE),"")</f>
        <v/>
      </c>
      <c r="M1857" s="45" t="str">
        <f>IFERROR(VLOOKUP(B1857,'Pre-Summary'!$BW$6:$BY$58,2,FALSE),"")</f>
        <v/>
      </c>
      <c r="N1857" s="45" t="str">
        <f>IFERROR(VLOOKUP(B1857,'Pre-Summary'!$CD$6:$CF$64,2,FALSE),"")</f>
        <v/>
      </c>
      <c r="O1857" s="99">
        <f>IFERROR(VLOOKUP(B1857,'Pre-Summary'!$BO$6:$BQ$48,3, FALSE),O1856)</f>
        <v>1.25</v>
      </c>
      <c r="P1857" s="99">
        <f>IFERROR(VLOOKUP(B1857,'Pre-Summary'!$BS$6:$BU$35,3,FALSE),P1856)</f>
        <v>0.33700000000000002</v>
      </c>
      <c r="Q1857" s="54">
        <f t="shared" si="84"/>
        <v>3.7091988130563798</v>
      </c>
      <c r="R1857" s="53">
        <f>IFERROR(VLOOKUP(B1857,'Pre-Summary'!$BG$6:$BM$44,7,FALSE),R1858)</f>
        <v>7.9325362566443819E-2</v>
      </c>
      <c r="S1857" s="53">
        <f>IFERROR(VLOOKUP(B1857,'Pre-Summary'!$BG$6:$BM$44,6,FALSE),S1858)</f>
        <v>0.10333499253358684</v>
      </c>
      <c r="T1857" s="45" t="str">
        <f>IFERROR(VLOOKUP(B1857,'Pre-Summary'!$Y$6:$AC$83, 3,FALSE),"")</f>
        <v/>
      </c>
      <c r="U1857" s="45" t="str">
        <f>IFERROR(VLOOKUP(B1857,'Pre-Summary'!$Y$6:$AC$83, 4,FALSE),"")</f>
        <v/>
      </c>
      <c r="V1857" t="str">
        <f>IFERROR(VLOOKUP(B1857,'Pre-Summary'!$Y$6:$AC$83, 5,FALSE),"")</f>
        <v/>
      </c>
      <c r="W1857" s="45" t="str">
        <f>IFERROR(VLOOKUP(B1857,'Pre-Summary'!$Y$6:$AD$83,6,FALSE),"")</f>
        <v/>
      </c>
      <c r="X1857" t="str">
        <f>IFERROR(VLOOKUP('Pre-Summary'!$DB$6:$DD$63,3,FALSE),"")</f>
        <v/>
      </c>
      <c r="Y1857" t="str">
        <f>IFERROR(VLOOKUP(B1857,'Pre-Summary'!$CR$6:$CT$36,3,FALSE),"")</f>
        <v/>
      </c>
      <c r="Z1857" s="45" t="str">
        <f>IFERROR(VLOOKUP(B1857,'Pre-Summary'!$BZ$6:$CB$63,2,FALSE),"")</f>
        <v/>
      </c>
      <c r="AA1857" s="45" t="str">
        <f>IFERROR(VLOOKUP(B1857,'Pre-Summary'!$CG$6:$CI$70,2,FALSE),"")</f>
        <v/>
      </c>
      <c r="AB1857" s="99">
        <f>IFERROR(VLOOKUP(B1857,'Pre-Summary'!$A$6:$P$178,9,FALSE),AB1858)</f>
        <v>0.31225386628581325</v>
      </c>
      <c r="AC1857" s="10">
        <f>IFERROR(VLOOKUP(Summary!B1857,'Pre-Summary'!$A$6:$P$184,5, FALSE)/100,AC1858)</f>
        <v>0.94007200000000002</v>
      </c>
      <c r="AD1857" s="10">
        <f>IFERROR(VLOOKUP(Summary!B1857,'Pre-Summary'!$A$6:$P$184,3, FALSE)/100,AD1858)</f>
        <v>3.2489000000000004E-2</v>
      </c>
      <c r="AE1857" s="10">
        <f>IFERROR(VLOOKUP(Summary!B1857,'Pre-Summary'!$A$6:$P$184,7, FALSE)/100,AE1858)</f>
        <v>2.7439000000000002E-2</v>
      </c>
      <c r="AF1857" s="99">
        <f t="shared" si="85"/>
        <v>1.0144815861759788E-2</v>
      </c>
      <c r="AG1857" s="99">
        <f t="shared" si="86"/>
        <v>8.5679338370164299E-3</v>
      </c>
      <c r="AH1857" s="10" t="str">
        <f>IFERROR(VLOOKUP(B1857,'Pre-Summary'!$AZ$6:$BE$65,3,FALSE),"")</f>
        <v/>
      </c>
      <c r="AI1857" s="10" t="str">
        <f>IFERROR(VLOOKUP(B1857,'Pre-Summary'!$AZ$6:$BE$65,5,FALSE),"")</f>
        <v/>
      </c>
      <c r="AJ1857" s="10" t="str">
        <f>IFERROR(VLOOKUP(B1857,'Pre-Summary'!$AZ$6:$BE$65,4,FALSE),"")</f>
        <v/>
      </c>
      <c r="AK1857" s="10" t="str">
        <f>IFERROR(VLOOKUP(B1857,'Pre-Summary'!$AZ$6:$BE$65,6,FALSE),"")</f>
        <v/>
      </c>
      <c r="AL1857" s="10" t="str">
        <f>IFERROR(VLOOKUP(B1857,'Pre-Summary'!$BG$6:$BL$44,3,FALSE),"")</f>
        <v/>
      </c>
      <c r="AM1857" s="10" t="str">
        <f>IFERROR(VLOOKUP(B1857,'Pre-Summary'!$BG$6:$BL$44,4,FALSE),"")</f>
        <v/>
      </c>
    </row>
    <row r="1858" spans="2:39" ht="15" customHeight="1" x14ac:dyDescent="0.3">
      <c r="B1858">
        <v>185.5</v>
      </c>
      <c r="C1858" t="str">
        <f>IFERROR(VLOOKUP(B1858,'Pre-Summary'!$DI$6:$DM$23,4,FALSE),"")</f>
        <v/>
      </c>
      <c r="D1858" s="10" t="str">
        <f>IFERROR(VLOOKUP(B1858,'Pre-Summary'!$AT$6:$AX$14,5,FALSE),D1857)</f>
        <v>Wolfe v3: went back to modified wolfe + EDTA and switched CuSO4 to CUCl2</v>
      </c>
      <c r="E1858" s="10" t="str">
        <f>IFERROR(VLOOKUP(B1858,'Pre-Summary'!$AT$6:$AX$15,4,FALSE),"")</f>
        <v/>
      </c>
      <c r="F1858">
        <f>IFERROR(VLOOKUP(B1858,'Pre-Summary'!$AL$6:$AQ$13,6,FALSE),F1857)</f>
        <v>5.9405263157894746E-2</v>
      </c>
      <c r="G1858" t="str">
        <f>IFERROR(VLOOKUP(B1858,'Pre-Summary'!$AE$6:$AJ$85,3,FALSE),"")</f>
        <v/>
      </c>
      <c r="H1858" t="str">
        <f>IFERROR(VLOOKUP(B1858,'Pre-Summary'!$AE$6:$AJ$85,4,FALSE),"")</f>
        <v/>
      </c>
      <c r="I1858" t="str">
        <f>IFERROR(VLOOKUP(B1858,'Pre-Summary'!$AE$6:$AJ$85,5,FALSE),"")</f>
        <v/>
      </c>
      <c r="J1858" s="45" t="str">
        <f>IFERROR(VLOOKUP(B1858,'Pre-Summary'!$AE$6:$AJ$85,6, FALSE),"")</f>
        <v/>
      </c>
      <c r="K1858" s="45" t="str">
        <f>IFERROR(VLOOKUP(B1858,'Pre-Summary'!$DE$6:$DG$61,3,FALSE),"")</f>
        <v/>
      </c>
      <c r="L1858" s="45" t="str">
        <f>IFERROR(VLOOKUP(B1858,'Pre-Summary'!$CU$6:$CW$36,3,FALSE),"")</f>
        <v/>
      </c>
      <c r="M1858" s="45" t="str">
        <f>IFERROR(VLOOKUP(B1858,'Pre-Summary'!$BW$6:$BY$58,2,FALSE),"")</f>
        <v/>
      </c>
      <c r="N1858" s="45" t="str">
        <f>IFERROR(VLOOKUP(B1858,'Pre-Summary'!$CD$6:$CF$64,2,FALSE),"")</f>
        <v/>
      </c>
      <c r="O1858" s="99">
        <f>IFERROR(VLOOKUP(B1858,'Pre-Summary'!$BO$6:$BQ$48,3, FALSE),O1857)</f>
        <v>1.25</v>
      </c>
      <c r="P1858" s="99">
        <f>IFERROR(VLOOKUP(B1858,'Pre-Summary'!$BS$6:$BU$35,3,FALSE),P1857)</f>
        <v>0.33700000000000002</v>
      </c>
      <c r="Q1858" s="54">
        <f t="shared" si="84"/>
        <v>3.7091988130563798</v>
      </c>
      <c r="R1858" s="53">
        <f>IFERROR(VLOOKUP(B1858,'Pre-Summary'!$BG$6:$BM$44,7,FALSE),R1859)</f>
        <v>7.9325362566443819E-2</v>
      </c>
      <c r="S1858" s="53">
        <f>IFERROR(VLOOKUP(B1858,'Pre-Summary'!$BG$6:$BM$44,6,FALSE),S1859)</f>
        <v>0.10333499253358684</v>
      </c>
      <c r="T1858" s="45" t="str">
        <f>IFERROR(VLOOKUP(B1858,'Pre-Summary'!$Y$6:$AC$83, 3,FALSE),"")</f>
        <v/>
      </c>
      <c r="U1858" s="45" t="str">
        <f>IFERROR(VLOOKUP(B1858,'Pre-Summary'!$Y$6:$AC$83, 4,FALSE),"")</f>
        <v/>
      </c>
      <c r="V1858" t="str">
        <f>IFERROR(VLOOKUP(B1858,'Pre-Summary'!$Y$6:$AC$83, 5,FALSE),"")</f>
        <v/>
      </c>
      <c r="W1858" s="45" t="str">
        <f>IFERROR(VLOOKUP(B1858,'Pre-Summary'!$Y$6:$AD$83,6,FALSE),"")</f>
        <v/>
      </c>
      <c r="X1858" t="str">
        <f>IFERROR(VLOOKUP('Pre-Summary'!$DB$6:$DD$63,3,FALSE),"")</f>
        <v/>
      </c>
      <c r="Y1858" t="str">
        <f>IFERROR(VLOOKUP(B1858,'Pre-Summary'!$CR$6:$CT$36,3,FALSE),"")</f>
        <v/>
      </c>
      <c r="Z1858" s="45" t="str">
        <f>IFERROR(VLOOKUP(B1858,'Pre-Summary'!$BZ$6:$CB$63,2,FALSE),"")</f>
        <v/>
      </c>
      <c r="AA1858" s="45" t="str">
        <f>IFERROR(VLOOKUP(B1858,'Pre-Summary'!$CG$6:$CI$70,2,FALSE),"")</f>
        <v/>
      </c>
      <c r="AB1858" s="99">
        <f>IFERROR(VLOOKUP(B1858,'Pre-Summary'!$A$6:$P$178,9,FALSE),AB1859)</f>
        <v>0.31225386628581325</v>
      </c>
      <c r="AC1858" s="10">
        <f>IFERROR(VLOOKUP(Summary!B1858,'Pre-Summary'!$A$6:$P$184,5, FALSE)/100,AC1859)</f>
        <v>0.94007200000000002</v>
      </c>
      <c r="AD1858" s="10">
        <f>IFERROR(VLOOKUP(Summary!B1858,'Pre-Summary'!$A$6:$P$184,3, FALSE)/100,AD1859)</f>
        <v>3.2489000000000004E-2</v>
      </c>
      <c r="AE1858" s="10">
        <f>IFERROR(VLOOKUP(Summary!B1858,'Pre-Summary'!$A$6:$P$184,7, FALSE)/100,AE1859)</f>
        <v>2.7439000000000002E-2</v>
      </c>
      <c r="AF1858" s="99">
        <f t="shared" si="85"/>
        <v>1.0144815861759788E-2</v>
      </c>
      <c r="AG1858" s="99">
        <f t="shared" si="86"/>
        <v>8.5679338370164299E-3</v>
      </c>
      <c r="AH1858" s="10" t="str">
        <f>IFERROR(VLOOKUP(B1858,'Pre-Summary'!$AZ$6:$BE$65,3,FALSE),"")</f>
        <v/>
      </c>
      <c r="AI1858" s="10" t="str">
        <f>IFERROR(VLOOKUP(B1858,'Pre-Summary'!$AZ$6:$BE$65,5,FALSE),"")</f>
        <v/>
      </c>
      <c r="AJ1858" s="10" t="str">
        <f>IFERROR(VLOOKUP(B1858,'Pre-Summary'!$AZ$6:$BE$65,4,FALSE),"")</f>
        <v/>
      </c>
      <c r="AK1858" s="10" t="str">
        <f>IFERROR(VLOOKUP(B1858,'Pre-Summary'!$AZ$6:$BE$65,6,FALSE),"")</f>
        <v/>
      </c>
      <c r="AL1858" s="10" t="str">
        <f>IFERROR(VLOOKUP(B1858,'Pre-Summary'!$BG$6:$BL$44,3,FALSE),"")</f>
        <v/>
      </c>
      <c r="AM1858" s="10" t="str">
        <f>IFERROR(VLOOKUP(B1858,'Pre-Summary'!$BG$6:$BL$44,4,FALSE),"")</f>
        <v/>
      </c>
    </row>
    <row r="1859" spans="2:39" ht="15" customHeight="1" x14ac:dyDescent="0.3">
      <c r="B1859">
        <v>185.6</v>
      </c>
      <c r="C1859" t="str">
        <f>IFERROR(VLOOKUP(B1859,'Pre-Summary'!$DI$6:$DM$23,4,FALSE),"")</f>
        <v/>
      </c>
      <c r="D1859" s="10" t="str">
        <f>IFERROR(VLOOKUP(B1859,'Pre-Summary'!$AT$6:$AX$14,5,FALSE),D1858)</f>
        <v>Wolfe v3: went back to modified wolfe + EDTA and switched CuSO4 to CUCl2</v>
      </c>
      <c r="E1859" s="10" t="str">
        <f>IFERROR(VLOOKUP(B1859,'Pre-Summary'!$AT$6:$AX$15,4,FALSE),"")</f>
        <v/>
      </c>
      <c r="F1859">
        <f>IFERROR(VLOOKUP(B1859,'Pre-Summary'!$AL$6:$AQ$13,6,FALSE),F1858)</f>
        <v>5.9405263157894746E-2</v>
      </c>
      <c r="G1859" t="str">
        <f>IFERROR(VLOOKUP(B1859,'Pre-Summary'!$AE$6:$AJ$85,3,FALSE),"")</f>
        <v/>
      </c>
      <c r="H1859" t="str">
        <f>IFERROR(VLOOKUP(B1859,'Pre-Summary'!$AE$6:$AJ$85,4,FALSE),"")</f>
        <v/>
      </c>
      <c r="I1859" t="str">
        <f>IFERROR(VLOOKUP(B1859,'Pre-Summary'!$AE$6:$AJ$85,5,FALSE),"")</f>
        <v/>
      </c>
      <c r="J1859" s="45" t="str">
        <f>IFERROR(VLOOKUP(B1859,'Pre-Summary'!$AE$6:$AJ$85,6, FALSE),"")</f>
        <v/>
      </c>
      <c r="K1859" s="45" t="str">
        <f>IFERROR(VLOOKUP(B1859,'Pre-Summary'!$DE$6:$DG$61,3,FALSE),"")</f>
        <v/>
      </c>
      <c r="L1859" s="45" t="str">
        <f>IFERROR(VLOOKUP(B1859,'Pre-Summary'!$CU$6:$CW$36,3,FALSE),"")</f>
        <v/>
      </c>
      <c r="M1859" s="45" t="str">
        <f>IFERROR(VLOOKUP(B1859,'Pre-Summary'!$BW$6:$BY$58,2,FALSE),"")</f>
        <v/>
      </c>
      <c r="N1859" s="45" t="str">
        <f>IFERROR(VLOOKUP(B1859,'Pre-Summary'!$CD$6:$CF$64,2,FALSE),"")</f>
        <v/>
      </c>
      <c r="O1859" s="99">
        <f>IFERROR(VLOOKUP(B1859,'Pre-Summary'!$BO$6:$BQ$48,3, FALSE),O1858)</f>
        <v>1.25</v>
      </c>
      <c r="P1859" s="99">
        <f>IFERROR(VLOOKUP(B1859,'Pre-Summary'!$BS$6:$BU$35,3,FALSE),P1858)</f>
        <v>0.33700000000000002</v>
      </c>
      <c r="Q1859" s="54">
        <f t="shared" ref="Q1859:Q1922" si="87">O1859/P1859</f>
        <v>3.7091988130563798</v>
      </c>
      <c r="R1859" s="53">
        <f>IFERROR(VLOOKUP(B1859,'Pre-Summary'!$BG$6:$BM$44,7,FALSE),R1860)</f>
        <v>7.9325362566443819E-2</v>
      </c>
      <c r="S1859" s="53">
        <f>IFERROR(VLOOKUP(B1859,'Pre-Summary'!$BG$6:$BM$44,6,FALSE),S1860)</f>
        <v>0.10333499253358684</v>
      </c>
      <c r="T1859" s="45" t="str">
        <f>IFERROR(VLOOKUP(B1859,'Pre-Summary'!$Y$6:$AC$83, 3,FALSE),"")</f>
        <v/>
      </c>
      <c r="U1859" s="45" t="str">
        <f>IFERROR(VLOOKUP(B1859,'Pre-Summary'!$Y$6:$AC$83, 4,FALSE),"")</f>
        <v/>
      </c>
      <c r="V1859" t="str">
        <f>IFERROR(VLOOKUP(B1859,'Pre-Summary'!$Y$6:$AC$83, 5,FALSE),"")</f>
        <v/>
      </c>
      <c r="W1859" s="45" t="str">
        <f>IFERROR(VLOOKUP(B1859,'Pre-Summary'!$Y$6:$AD$83,6,FALSE),"")</f>
        <v/>
      </c>
      <c r="X1859" t="str">
        <f>IFERROR(VLOOKUP('Pre-Summary'!$DB$6:$DD$63,3,FALSE),"")</f>
        <v/>
      </c>
      <c r="Y1859" t="str">
        <f>IFERROR(VLOOKUP(B1859,'Pre-Summary'!$CR$6:$CT$36,3,FALSE),"")</f>
        <v/>
      </c>
      <c r="Z1859" s="45" t="str">
        <f>IFERROR(VLOOKUP(B1859,'Pre-Summary'!$BZ$6:$CB$63,2,FALSE),"")</f>
        <v/>
      </c>
      <c r="AA1859" s="45" t="str">
        <f>IFERROR(VLOOKUP(B1859,'Pre-Summary'!$CG$6:$CI$70,2,FALSE),"")</f>
        <v/>
      </c>
      <c r="AB1859" s="99">
        <f>IFERROR(VLOOKUP(B1859,'Pre-Summary'!$A$6:$P$178,9,FALSE),AB1860)</f>
        <v>0.31225386628581325</v>
      </c>
      <c r="AC1859" s="10">
        <f>IFERROR(VLOOKUP(Summary!B1859,'Pre-Summary'!$A$6:$P$184,5, FALSE)/100,AC1860)</f>
        <v>0.94007200000000002</v>
      </c>
      <c r="AD1859" s="10">
        <f>IFERROR(VLOOKUP(Summary!B1859,'Pre-Summary'!$A$6:$P$184,3, FALSE)/100,AD1860)</f>
        <v>3.2489000000000004E-2</v>
      </c>
      <c r="AE1859" s="10">
        <f>IFERROR(VLOOKUP(Summary!B1859,'Pre-Summary'!$A$6:$P$184,7, FALSE)/100,AE1860)</f>
        <v>2.7439000000000002E-2</v>
      </c>
      <c r="AF1859" s="99">
        <f t="shared" ref="AF1859:AF1922" si="88">AD1859*AB1859</f>
        <v>1.0144815861759788E-2</v>
      </c>
      <c r="AG1859" s="99">
        <f t="shared" ref="AG1859:AG1922" si="89">AB1859*AE1859</f>
        <v>8.5679338370164299E-3</v>
      </c>
      <c r="AH1859" s="10" t="str">
        <f>IFERROR(VLOOKUP(B1859,'Pre-Summary'!$AZ$6:$BE$65,3,FALSE),"")</f>
        <v/>
      </c>
      <c r="AI1859" s="10" t="str">
        <f>IFERROR(VLOOKUP(B1859,'Pre-Summary'!$AZ$6:$BE$65,5,FALSE),"")</f>
        <v/>
      </c>
      <c r="AJ1859" s="10" t="str">
        <f>IFERROR(VLOOKUP(B1859,'Pre-Summary'!$AZ$6:$BE$65,4,FALSE),"")</f>
        <v/>
      </c>
      <c r="AK1859" s="10" t="str">
        <f>IFERROR(VLOOKUP(B1859,'Pre-Summary'!$AZ$6:$BE$65,6,FALSE),"")</f>
        <v/>
      </c>
      <c r="AL1859" s="10" t="str">
        <f>IFERROR(VLOOKUP(B1859,'Pre-Summary'!$BG$6:$BL$44,3,FALSE),"")</f>
        <v/>
      </c>
      <c r="AM1859" s="10" t="str">
        <f>IFERROR(VLOOKUP(B1859,'Pre-Summary'!$BG$6:$BL$44,4,FALSE),"")</f>
        <v/>
      </c>
    </row>
    <row r="1860" spans="2:39" ht="15" customHeight="1" x14ac:dyDescent="0.3">
      <c r="B1860">
        <v>185.7</v>
      </c>
      <c r="C1860" t="str">
        <f>IFERROR(VLOOKUP(B1860,'Pre-Summary'!$DI$6:$DM$23,4,FALSE),"")</f>
        <v/>
      </c>
      <c r="D1860" s="10" t="str">
        <f>IFERROR(VLOOKUP(B1860,'Pre-Summary'!$AT$6:$AX$14,5,FALSE),D1859)</f>
        <v>Wolfe v3: went back to modified wolfe + EDTA and switched CuSO4 to CUCl2</v>
      </c>
      <c r="E1860" s="10" t="str">
        <f>IFERROR(VLOOKUP(B1860,'Pre-Summary'!$AT$6:$AX$15,4,FALSE),"")</f>
        <v/>
      </c>
      <c r="F1860">
        <f>IFERROR(VLOOKUP(B1860,'Pre-Summary'!$AL$6:$AQ$13,6,FALSE),F1859)</f>
        <v>5.9405263157894746E-2</v>
      </c>
      <c r="G1860" t="str">
        <f>IFERROR(VLOOKUP(B1860,'Pre-Summary'!$AE$6:$AJ$85,3,FALSE),"")</f>
        <v/>
      </c>
      <c r="H1860" t="str">
        <f>IFERROR(VLOOKUP(B1860,'Pre-Summary'!$AE$6:$AJ$85,4,FALSE),"")</f>
        <v/>
      </c>
      <c r="I1860" t="str">
        <f>IFERROR(VLOOKUP(B1860,'Pre-Summary'!$AE$6:$AJ$85,5,FALSE),"")</f>
        <v/>
      </c>
      <c r="J1860" s="45" t="str">
        <f>IFERROR(VLOOKUP(B1860,'Pre-Summary'!$AE$6:$AJ$85,6, FALSE),"")</f>
        <v/>
      </c>
      <c r="K1860" s="45" t="str">
        <f>IFERROR(VLOOKUP(B1860,'Pre-Summary'!$DE$6:$DG$61,3,FALSE),"")</f>
        <v/>
      </c>
      <c r="L1860" s="45" t="str">
        <f>IFERROR(VLOOKUP(B1860,'Pre-Summary'!$CU$6:$CW$36,3,FALSE),"")</f>
        <v/>
      </c>
      <c r="M1860" s="45" t="str">
        <f>IFERROR(VLOOKUP(B1860,'Pre-Summary'!$BW$6:$BY$58,2,FALSE),"")</f>
        <v/>
      </c>
      <c r="N1860" s="45" t="str">
        <f>IFERROR(VLOOKUP(B1860,'Pre-Summary'!$CD$6:$CF$64,2,FALSE),"")</f>
        <v/>
      </c>
      <c r="O1860" s="99">
        <f>IFERROR(VLOOKUP(B1860,'Pre-Summary'!$BO$6:$BQ$48,3, FALSE),O1859)</f>
        <v>1.25</v>
      </c>
      <c r="P1860" s="99">
        <f>IFERROR(VLOOKUP(B1860,'Pre-Summary'!$BS$6:$BU$35,3,FALSE),P1859)</f>
        <v>0.33700000000000002</v>
      </c>
      <c r="Q1860" s="54">
        <f t="shared" si="87"/>
        <v>3.7091988130563798</v>
      </c>
      <c r="R1860" s="53">
        <f>IFERROR(VLOOKUP(B1860,'Pre-Summary'!$BG$6:$BM$44,7,FALSE),R1861)</f>
        <v>7.9325362566443819E-2</v>
      </c>
      <c r="S1860" s="53">
        <f>IFERROR(VLOOKUP(B1860,'Pre-Summary'!$BG$6:$BM$44,6,FALSE),S1861)</f>
        <v>0.10333499253358684</v>
      </c>
      <c r="T1860" s="45" t="str">
        <f>IFERROR(VLOOKUP(B1860,'Pre-Summary'!$Y$6:$AC$83, 3,FALSE),"")</f>
        <v/>
      </c>
      <c r="U1860" s="45" t="str">
        <f>IFERROR(VLOOKUP(B1860,'Pre-Summary'!$Y$6:$AC$83, 4,FALSE),"")</f>
        <v/>
      </c>
      <c r="V1860" t="str">
        <f>IFERROR(VLOOKUP(B1860,'Pre-Summary'!$Y$6:$AC$83, 5,FALSE),"")</f>
        <v/>
      </c>
      <c r="W1860" s="45" t="str">
        <f>IFERROR(VLOOKUP(B1860,'Pre-Summary'!$Y$6:$AD$83,6,FALSE),"")</f>
        <v/>
      </c>
      <c r="X1860" t="str">
        <f>IFERROR(VLOOKUP('Pre-Summary'!$DB$6:$DD$63,3,FALSE),"")</f>
        <v/>
      </c>
      <c r="Y1860" t="str">
        <f>IFERROR(VLOOKUP(B1860,'Pre-Summary'!$CR$6:$CT$36,3,FALSE),"")</f>
        <v/>
      </c>
      <c r="Z1860" s="45" t="str">
        <f>IFERROR(VLOOKUP(B1860,'Pre-Summary'!$BZ$6:$CB$63,2,FALSE),"")</f>
        <v/>
      </c>
      <c r="AA1860" s="45" t="str">
        <f>IFERROR(VLOOKUP(B1860,'Pre-Summary'!$CG$6:$CI$70,2,FALSE),"")</f>
        <v/>
      </c>
      <c r="AB1860" s="99">
        <f>IFERROR(VLOOKUP(B1860,'Pre-Summary'!$A$6:$P$178,9,FALSE),AB1861)</f>
        <v>0.31225386628581325</v>
      </c>
      <c r="AC1860" s="10">
        <f>IFERROR(VLOOKUP(Summary!B1860,'Pre-Summary'!$A$6:$P$184,5, FALSE)/100,AC1861)</f>
        <v>0.94007200000000002</v>
      </c>
      <c r="AD1860" s="10">
        <f>IFERROR(VLOOKUP(Summary!B1860,'Pre-Summary'!$A$6:$P$184,3, FALSE)/100,AD1861)</f>
        <v>3.2489000000000004E-2</v>
      </c>
      <c r="AE1860" s="10">
        <f>IFERROR(VLOOKUP(Summary!B1860,'Pre-Summary'!$A$6:$P$184,7, FALSE)/100,AE1861)</f>
        <v>2.7439000000000002E-2</v>
      </c>
      <c r="AF1860" s="99">
        <f t="shared" si="88"/>
        <v>1.0144815861759788E-2</v>
      </c>
      <c r="AG1860" s="99">
        <f t="shared" si="89"/>
        <v>8.5679338370164299E-3</v>
      </c>
      <c r="AH1860" s="10" t="str">
        <f>IFERROR(VLOOKUP(B1860,'Pre-Summary'!$AZ$6:$BE$65,3,FALSE),"")</f>
        <v/>
      </c>
      <c r="AI1860" s="10" t="str">
        <f>IFERROR(VLOOKUP(B1860,'Pre-Summary'!$AZ$6:$BE$65,5,FALSE),"")</f>
        <v/>
      </c>
      <c r="AJ1860" s="10" t="str">
        <f>IFERROR(VLOOKUP(B1860,'Pre-Summary'!$AZ$6:$BE$65,4,FALSE),"")</f>
        <v/>
      </c>
      <c r="AK1860" s="10" t="str">
        <f>IFERROR(VLOOKUP(B1860,'Pre-Summary'!$AZ$6:$BE$65,6,FALSE),"")</f>
        <v/>
      </c>
      <c r="AL1860" s="10" t="str">
        <f>IFERROR(VLOOKUP(B1860,'Pre-Summary'!$BG$6:$BL$44,3,FALSE),"")</f>
        <v/>
      </c>
      <c r="AM1860" s="10" t="str">
        <f>IFERROR(VLOOKUP(B1860,'Pre-Summary'!$BG$6:$BL$44,4,FALSE),"")</f>
        <v/>
      </c>
    </row>
    <row r="1861" spans="2:39" ht="15" customHeight="1" x14ac:dyDescent="0.3">
      <c r="B1861">
        <v>185.8</v>
      </c>
      <c r="C1861" t="str">
        <f>IFERROR(VLOOKUP(B1861,'Pre-Summary'!$DI$6:$DM$23,4,FALSE),"")</f>
        <v/>
      </c>
      <c r="D1861" s="10" t="str">
        <f>IFERROR(VLOOKUP(B1861,'Pre-Summary'!$AT$6:$AX$14,5,FALSE),D1860)</f>
        <v>Wolfe v3: went back to modified wolfe + EDTA and switched CuSO4 to CUCl2</v>
      </c>
      <c r="E1861" s="10" t="str">
        <f>IFERROR(VLOOKUP(B1861,'Pre-Summary'!$AT$6:$AX$15,4,FALSE),"")</f>
        <v/>
      </c>
      <c r="F1861">
        <f>IFERROR(VLOOKUP(B1861,'Pre-Summary'!$AL$6:$AQ$13,6,FALSE),F1860)</f>
        <v>5.9405263157894746E-2</v>
      </c>
      <c r="G1861" t="str">
        <f>IFERROR(VLOOKUP(B1861,'Pre-Summary'!$AE$6:$AJ$85,3,FALSE),"")</f>
        <v/>
      </c>
      <c r="H1861" t="str">
        <f>IFERROR(VLOOKUP(B1861,'Pre-Summary'!$AE$6:$AJ$85,4,FALSE),"")</f>
        <v/>
      </c>
      <c r="I1861" t="str">
        <f>IFERROR(VLOOKUP(B1861,'Pre-Summary'!$AE$6:$AJ$85,5,FALSE),"")</f>
        <v/>
      </c>
      <c r="J1861" s="45" t="str">
        <f>IFERROR(VLOOKUP(B1861,'Pre-Summary'!$AE$6:$AJ$85,6, FALSE),"")</f>
        <v/>
      </c>
      <c r="K1861" s="45" t="str">
        <f>IFERROR(VLOOKUP(B1861,'Pre-Summary'!$DE$6:$DG$61,3,FALSE),"")</f>
        <v/>
      </c>
      <c r="L1861" s="45" t="str">
        <f>IFERROR(VLOOKUP(B1861,'Pre-Summary'!$CU$6:$CW$36,3,FALSE),"")</f>
        <v/>
      </c>
      <c r="M1861" s="45" t="str">
        <f>IFERROR(VLOOKUP(B1861,'Pre-Summary'!$BW$6:$BY$58,2,FALSE),"")</f>
        <v/>
      </c>
      <c r="N1861" s="45" t="str">
        <f>IFERROR(VLOOKUP(B1861,'Pre-Summary'!$CD$6:$CF$64,2,FALSE),"")</f>
        <v/>
      </c>
      <c r="O1861" s="99">
        <f>IFERROR(VLOOKUP(B1861,'Pre-Summary'!$BO$6:$BQ$48,3, FALSE),O1860)</f>
        <v>1.25</v>
      </c>
      <c r="P1861" s="99">
        <f>IFERROR(VLOOKUP(B1861,'Pre-Summary'!$BS$6:$BU$35,3,FALSE),P1860)</f>
        <v>0.33700000000000002</v>
      </c>
      <c r="Q1861" s="54">
        <f t="shared" si="87"/>
        <v>3.7091988130563798</v>
      </c>
      <c r="R1861" s="53">
        <f>IFERROR(VLOOKUP(B1861,'Pre-Summary'!$BG$6:$BM$44,7,FALSE),R1862)</f>
        <v>7.9325362566443819E-2</v>
      </c>
      <c r="S1861" s="53">
        <f>IFERROR(VLOOKUP(B1861,'Pre-Summary'!$BG$6:$BM$44,6,FALSE),S1862)</f>
        <v>0.10333499253358684</v>
      </c>
      <c r="T1861" s="45" t="str">
        <f>IFERROR(VLOOKUP(B1861,'Pre-Summary'!$Y$6:$AC$83, 3,FALSE),"")</f>
        <v/>
      </c>
      <c r="U1861" s="45" t="str">
        <f>IFERROR(VLOOKUP(B1861,'Pre-Summary'!$Y$6:$AC$83, 4,FALSE),"")</f>
        <v/>
      </c>
      <c r="V1861" t="str">
        <f>IFERROR(VLOOKUP(B1861,'Pre-Summary'!$Y$6:$AC$83, 5,FALSE),"")</f>
        <v/>
      </c>
      <c r="W1861" s="45" t="str">
        <f>IFERROR(VLOOKUP(B1861,'Pre-Summary'!$Y$6:$AD$83,6,FALSE),"")</f>
        <v/>
      </c>
      <c r="X1861" t="str">
        <f>IFERROR(VLOOKUP('Pre-Summary'!$DB$6:$DD$63,3,FALSE),"")</f>
        <v/>
      </c>
      <c r="Y1861" t="str">
        <f>IFERROR(VLOOKUP(B1861,'Pre-Summary'!$CR$6:$CT$36,3,FALSE),"")</f>
        <v/>
      </c>
      <c r="Z1861" s="45" t="str">
        <f>IFERROR(VLOOKUP(B1861,'Pre-Summary'!$BZ$6:$CB$63,2,FALSE),"")</f>
        <v/>
      </c>
      <c r="AA1861" s="45" t="str">
        <f>IFERROR(VLOOKUP(B1861,'Pre-Summary'!$CG$6:$CI$70,2,FALSE),"")</f>
        <v/>
      </c>
      <c r="AB1861" s="99">
        <f>IFERROR(VLOOKUP(B1861,'Pre-Summary'!$A$6:$P$178,9,FALSE),AB1862)</f>
        <v>0.31225386628581325</v>
      </c>
      <c r="AC1861" s="10">
        <f>IFERROR(VLOOKUP(Summary!B1861,'Pre-Summary'!$A$6:$P$184,5, FALSE)/100,AC1862)</f>
        <v>0.94007200000000002</v>
      </c>
      <c r="AD1861" s="10">
        <f>IFERROR(VLOOKUP(Summary!B1861,'Pre-Summary'!$A$6:$P$184,3, FALSE)/100,AD1862)</f>
        <v>3.2489000000000004E-2</v>
      </c>
      <c r="AE1861" s="10">
        <f>IFERROR(VLOOKUP(Summary!B1861,'Pre-Summary'!$A$6:$P$184,7, FALSE)/100,AE1862)</f>
        <v>2.7439000000000002E-2</v>
      </c>
      <c r="AF1861" s="99">
        <f t="shared" si="88"/>
        <v>1.0144815861759788E-2</v>
      </c>
      <c r="AG1861" s="99">
        <f t="shared" si="89"/>
        <v>8.5679338370164299E-3</v>
      </c>
      <c r="AH1861" s="10" t="str">
        <f>IFERROR(VLOOKUP(B1861,'Pre-Summary'!$AZ$6:$BE$65,3,FALSE),"")</f>
        <v/>
      </c>
      <c r="AI1861" s="10" t="str">
        <f>IFERROR(VLOOKUP(B1861,'Pre-Summary'!$AZ$6:$BE$65,5,FALSE),"")</f>
        <v/>
      </c>
      <c r="AJ1861" s="10" t="str">
        <f>IFERROR(VLOOKUP(B1861,'Pre-Summary'!$AZ$6:$BE$65,4,FALSE),"")</f>
        <v/>
      </c>
      <c r="AK1861" s="10" t="str">
        <f>IFERROR(VLOOKUP(B1861,'Pre-Summary'!$AZ$6:$BE$65,6,FALSE),"")</f>
        <v/>
      </c>
      <c r="AL1861" s="10" t="str">
        <f>IFERROR(VLOOKUP(B1861,'Pre-Summary'!$BG$6:$BL$44,3,FALSE),"")</f>
        <v/>
      </c>
      <c r="AM1861" s="10" t="str">
        <f>IFERROR(VLOOKUP(B1861,'Pre-Summary'!$BG$6:$BL$44,4,FALSE),"")</f>
        <v/>
      </c>
    </row>
    <row r="1862" spans="2:39" ht="15" customHeight="1" x14ac:dyDescent="0.3">
      <c r="B1862">
        <v>185.9</v>
      </c>
      <c r="C1862" t="str">
        <f>IFERROR(VLOOKUP(B1862,'Pre-Summary'!$DI$6:$DM$23,4,FALSE),"")</f>
        <v/>
      </c>
      <c r="D1862" s="10" t="str">
        <f>IFERROR(VLOOKUP(B1862,'Pre-Summary'!$AT$6:$AX$14,5,FALSE),D1861)</f>
        <v>Wolfe v3: went back to modified wolfe + EDTA and switched CuSO4 to CUCl2</v>
      </c>
      <c r="E1862" s="10" t="str">
        <f>IFERROR(VLOOKUP(B1862,'Pre-Summary'!$AT$6:$AX$15,4,FALSE),"")</f>
        <v/>
      </c>
      <c r="F1862">
        <f>IFERROR(VLOOKUP(B1862,'Pre-Summary'!$AL$6:$AQ$13,6,FALSE),F1861)</f>
        <v>5.9405263157894746E-2</v>
      </c>
      <c r="G1862" t="str">
        <f>IFERROR(VLOOKUP(B1862,'Pre-Summary'!$AE$6:$AJ$85,3,FALSE),"")</f>
        <v/>
      </c>
      <c r="H1862" t="str">
        <f>IFERROR(VLOOKUP(B1862,'Pre-Summary'!$AE$6:$AJ$85,4,FALSE),"")</f>
        <v/>
      </c>
      <c r="I1862" t="str">
        <f>IFERROR(VLOOKUP(B1862,'Pre-Summary'!$AE$6:$AJ$85,5,FALSE),"")</f>
        <v/>
      </c>
      <c r="J1862" s="45" t="str">
        <f>IFERROR(VLOOKUP(B1862,'Pre-Summary'!$AE$6:$AJ$85,6, FALSE),"")</f>
        <v/>
      </c>
      <c r="K1862" s="45" t="str">
        <f>IFERROR(VLOOKUP(B1862,'Pre-Summary'!$DE$6:$DG$61,3,FALSE),"")</f>
        <v/>
      </c>
      <c r="L1862" s="45" t="str">
        <f>IFERROR(VLOOKUP(B1862,'Pre-Summary'!$CU$6:$CW$36,3,FALSE),"")</f>
        <v/>
      </c>
      <c r="M1862" s="45" t="str">
        <f>IFERROR(VLOOKUP(B1862,'Pre-Summary'!$BW$6:$BY$58,2,FALSE),"")</f>
        <v/>
      </c>
      <c r="N1862" s="45" t="str">
        <f>IFERROR(VLOOKUP(B1862,'Pre-Summary'!$CD$6:$CF$64,2,FALSE),"")</f>
        <v/>
      </c>
      <c r="O1862" s="99">
        <f>IFERROR(VLOOKUP(B1862,'Pre-Summary'!$BO$6:$BQ$48,3, FALSE),O1861)</f>
        <v>1.25</v>
      </c>
      <c r="P1862" s="99">
        <f>IFERROR(VLOOKUP(B1862,'Pre-Summary'!$BS$6:$BU$35,3,FALSE),P1861)</f>
        <v>0.33700000000000002</v>
      </c>
      <c r="Q1862" s="54">
        <f t="shared" si="87"/>
        <v>3.7091988130563798</v>
      </c>
      <c r="R1862" s="53">
        <f>IFERROR(VLOOKUP(B1862,'Pre-Summary'!$BG$6:$BM$44,7,FALSE),R1863)</f>
        <v>7.9325362566443819E-2</v>
      </c>
      <c r="S1862" s="53">
        <f>IFERROR(VLOOKUP(B1862,'Pre-Summary'!$BG$6:$BM$44,6,FALSE),S1863)</f>
        <v>0.10333499253358684</v>
      </c>
      <c r="T1862" s="45" t="str">
        <f>IFERROR(VLOOKUP(B1862,'Pre-Summary'!$Y$6:$AC$83, 3,FALSE),"")</f>
        <v/>
      </c>
      <c r="U1862" s="45" t="str">
        <f>IFERROR(VLOOKUP(B1862,'Pre-Summary'!$Y$6:$AC$83, 4,FALSE),"")</f>
        <v/>
      </c>
      <c r="V1862" t="str">
        <f>IFERROR(VLOOKUP(B1862,'Pre-Summary'!$Y$6:$AC$83, 5,FALSE),"")</f>
        <v/>
      </c>
      <c r="W1862" s="45" t="str">
        <f>IFERROR(VLOOKUP(B1862,'Pre-Summary'!$Y$6:$AD$83,6,FALSE),"")</f>
        <v/>
      </c>
      <c r="X1862" t="str">
        <f>IFERROR(VLOOKUP('Pre-Summary'!$DB$6:$DD$63,3,FALSE),"")</f>
        <v/>
      </c>
      <c r="Y1862" t="str">
        <f>IFERROR(VLOOKUP(B1862,'Pre-Summary'!$CR$6:$CT$36,3,FALSE),"")</f>
        <v/>
      </c>
      <c r="Z1862" s="45" t="str">
        <f>IFERROR(VLOOKUP(B1862,'Pre-Summary'!$BZ$6:$CB$63,2,FALSE),"")</f>
        <v/>
      </c>
      <c r="AA1862" s="45" t="str">
        <f>IFERROR(VLOOKUP(B1862,'Pre-Summary'!$CG$6:$CI$70,2,FALSE),"")</f>
        <v/>
      </c>
      <c r="AB1862" s="99">
        <f>IFERROR(VLOOKUP(B1862,'Pre-Summary'!$A$6:$P$178,9,FALSE),AB1863)</f>
        <v>0.31225386628581325</v>
      </c>
      <c r="AC1862" s="10">
        <f>IFERROR(VLOOKUP(Summary!B1862,'Pre-Summary'!$A$6:$P$184,5, FALSE)/100,AC1863)</f>
        <v>0.94007200000000002</v>
      </c>
      <c r="AD1862" s="10">
        <f>IFERROR(VLOOKUP(Summary!B1862,'Pre-Summary'!$A$6:$P$184,3, FALSE)/100,AD1863)</f>
        <v>3.2489000000000004E-2</v>
      </c>
      <c r="AE1862" s="10">
        <f>IFERROR(VLOOKUP(Summary!B1862,'Pre-Summary'!$A$6:$P$184,7, FALSE)/100,AE1863)</f>
        <v>2.7439000000000002E-2</v>
      </c>
      <c r="AF1862" s="99">
        <f t="shared" si="88"/>
        <v>1.0144815861759788E-2</v>
      </c>
      <c r="AG1862" s="99">
        <f t="shared" si="89"/>
        <v>8.5679338370164299E-3</v>
      </c>
      <c r="AH1862" s="10" t="str">
        <f>IFERROR(VLOOKUP(B1862,'Pre-Summary'!$AZ$6:$BE$65,3,FALSE),"")</f>
        <v/>
      </c>
      <c r="AI1862" s="10" t="str">
        <f>IFERROR(VLOOKUP(B1862,'Pre-Summary'!$AZ$6:$BE$65,5,FALSE),"")</f>
        <v/>
      </c>
      <c r="AJ1862" s="10" t="str">
        <f>IFERROR(VLOOKUP(B1862,'Pre-Summary'!$AZ$6:$BE$65,4,FALSE),"")</f>
        <v/>
      </c>
      <c r="AK1862" s="10" t="str">
        <f>IFERROR(VLOOKUP(B1862,'Pre-Summary'!$AZ$6:$BE$65,6,FALSE),"")</f>
        <v/>
      </c>
      <c r="AL1862" s="10" t="str">
        <f>IFERROR(VLOOKUP(B1862,'Pre-Summary'!$BG$6:$BL$44,3,FALSE),"")</f>
        <v/>
      </c>
      <c r="AM1862" s="10" t="str">
        <f>IFERROR(VLOOKUP(B1862,'Pre-Summary'!$BG$6:$BL$44,4,FALSE),"")</f>
        <v/>
      </c>
    </row>
    <row r="1863" spans="2:39" ht="15" customHeight="1" x14ac:dyDescent="0.3">
      <c r="B1863">
        <v>186</v>
      </c>
      <c r="C1863" t="str">
        <f>IFERROR(VLOOKUP(B1863,'Pre-Summary'!$DI$6:$DM$23,4,FALSE),"")</f>
        <v/>
      </c>
      <c r="D1863" s="10" t="str">
        <f>IFERROR(VLOOKUP(B1863,'Pre-Summary'!$AT$6:$AX$14,5,FALSE),D1862)</f>
        <v>Wolfe v3: went back to modified wolfe + EDTA and switched CuSO4 to CUCl2</v>
      </c>
      <c r="E1863" s="10" t="str">
        <f>IFERROR(VLOOKUP(B1863,'Pre-Summary'!$AT$6:$AX$15,4,FALSE),"")</f>
        <v/>
      </c>
      <c r="F1863">
        <f>IFERROR(VLOOKUP(B1863,'Pre-Summary'!$AL$6:$AQ$13,6,FALSE),F1862)</f>
        <v>5.9405263157894746E-2</v>
      </c>
      <c r="G1863" t="str">
        <f>IFERROR(VLOOKUP(B1863,'Pre-Summary'!$AE$6:$AJ$85,3,FALSE),"")</f>
        <v/>
      </c>
      <c r="H1863" t="str">
        <f>IFERROR(VLOOKUP(B1863,'Pre-Summary'!$AE$6:$AJ$85,4,FALSE),"")</f>
        <v/>
      </c>
      <c r="I1863" t="str">
        <f>IFERROR(VLOOKUP(B1863,'Pre-Summary'!$AE$6:$AJ$85,5,FALSE),"")</f>
        <v/>
      </c>
      <c r="J1863" s="45" t="str">
        <f>IFERROR(VLOOKUP(B1863,'Pre-Summary'!$AE$6:$AJ$85,6, FALSE),"")</f>
        <v/>
      </c>
      <c r="K1863" s="45" t="str">
        <f>IFERROR(VLOOKUP(B1863,'Pre-Summary'!$DE$6:$DG$61,3,FALSE),"")</f>
        <v/>
      </c>
      <c r="L1863" s="45" t="str">
        <f>IFERROR(VLOOKUP(B1863,'Pre-Summary'!$CU$6:$CW$36,3,FALSE),"")</f>
        <v/>
      </c>
      <c r="M1863" s="45" t="str">
        <f>IFERROR(VLOOKUP(B1863,'Pre-Summary'!$BW$6:$BY$58,2,FALSE),"")</f>
        <v/>
      </c>
      <c r="N1863" s="45" t="str">
        <f>IFERROR(VLOOKUP(B1863,'Pre-Summary'!$CD$6:$CF$64,2,FALSE),"")</f>
        <v/>
      </c>
      <c r="O1863" s="99">
        <f>IFERROR(VLOOKUP(B1863,'Pre-Summary'!$BO$6:$BQ$48,3, FALSE),O1862)</f>
        <v>1.25</v>
      </c>
      <c r="P1863" s="99">
        <f>IFERROR(VLOOKUP(B1863,'Pre-Summary'!$BS$6:$BU$35,3,FALSE),P1862)</f>
        <v>0.33700000000000002</v>
      </c>
      <c r="Q1863" s="54">
        <f t="shared" si="87"/>
        <v>3.7091988130563798</v>
      </c>
      <c r="R1863" s="53">
        <f>IFERROR(VLOOKUP(B1863,'Pre-Summary'!$BG$6:$BM$44,7,FALSE),R1864)</f>
        <v>7.9325362566443819E-2</v>
      </c>
      <c r="S1863" s="53">
        <f>IFERROR(VLOOKUP(B1863,'Pre-Summary'!$BG$6:$BM$44,6,FALSE),S1864)</f>
        <v>0.10333499253358684</v>
      </c>
      <c r="T1863" s="45" t="str">
        <f>IFERROR(VLOOKUP(B1863,'Pre-Summary'!$Y$6:$AC$83, 3,FALSE),"")</f>
        <v/>
      </c>
      <c r="U1863" s="45" t="str">
        <f>IFERROR(VLOOKUP(B1863,'Pre-Summary'!$Y$6:$AC$83, 4,FALSE),"")</f>
        <v/>
      </c>
      <c r="V1863" t="str">
        <f>IFERROR(VLOOKUP(B1863,'Pre-Summary'!$Y$6:$AC$83, 5,FALSE),"")</f>
        <v/>
      </c>
      <c r="W1863" s="45" t="str">
        <f>IFERROR(VLOOKUP(B1863,'Pre-Summary'!$Y$6:$AD$83,6,FALSE),"")</f>
        <v/>
      </c>
      <c r="X1863" t="str">
        <f>IFERROR(VLOOKUP('Pre-Summary'!$DB$6:$DD$63,3,FALSE),"")</f>
        <v/>
      </c>
      <c r="Y1863" t="str">
        <f>IFERROR(VLOOKUP(B1863,'Pre-Summary'!$CR$6:$CT$36,3,FALSE),"")</f>
        <v/>
      </c>
      <c r="Z1863" s="45" t="str">
        <f>IFERROR(VLOOKUP(B1863,'Pre-Summary'!$BZ$6:$CB$63,2,FALSE),"")</f>
        <v/>
      </c>
      <c r="AA1863" s="45" t="str">
        <f>IFERROR(VLOOKUP(B1863,'Pre-Summary'!$CG$6:$CI$70,2,FALSE),"")</f>
        <v/>
      </c>
      <c r="AB1863" s="99">
        <f>IFERROR(VLOOKUP(B1863,'Pre-Summary'!$A$6:$P$178,9,FALSE),AB1864)</f>
        <v>0.31225386628581325</v>
      </c>
      <c r="AC1863" s="10">
        <f>IFERROR(VLOOKUP(Summary!B1863,'Pre-Summary'!$A$6:$P$184,5, FALSE)/100,AC1864)</f>
        <v>0.94007200000000002</v>
      </c>
      <c r="AD1863" s="10">
        <f>IFERROR(VLOOKUP(Summary!B1863,'Pre-Summary'!$A$6:$P$184,3, FALSE)/100,AD1864)</f>
        <v>3.2489000000000004E-2</v>
      </c>
      <c r="AE1863" s="10">
        <f>IFERROR(VLOOKUP(Summary!B1863,'Pre-Summary'!$A$6:$P$184,7, FALSE)/100,AE1864)</f>
        <v>2.7439000000000002E-2</v>
      </c>
      <c r="AF1863" s="99">
        <f t="shared" si="88"/>
        <v>1.0144815861759788E-2</v>
      </c>
      <c r="AG1863" s="99">
        <f t="shared" si="89"/>
        <v>8.5679338370164299E-3</v>
      </c>
      <c r="AH1863" s="10" t="str">
        <f>IFERROR(VLOOKUP(B1863,'Pre-Summary'!$AZ$6:$BE$65,3,FALSE),"")</f>
        <v/>
      </c>
      <c r="AI1863" s="10" t="str">
        <f>IFERROR(VLOOKUP(B1863,'Pre-Summary'!$AZ$6:$BE$65,5,FALSE),"")</f>
        <v/>
      </c>
      <c r="AJ1863" s="10" t="str">
        <f>IFERROR(VLOOKUP(B1863,'Pre-Summary'!$AZ$6:$BE$65,4,FALSE),"")</f>
        <v/>
      </c>
      <c r="AK1863" s="10" t="str">
        <f>IFERROR(VLOOKUP(B1863,'Pre-Summary'!$AZ$6:$BE$65,6,FALSE),"")</f>
        <v/>
      </c>
      <c r="AL1863" s="10" t="str">
        <f>IFERROR(VLOOKUP(B1863,'Pre-Summary'!$BG$6:$BL$44,3,FALSE),"")</f>
        <v/>
      </c>
      <c r="AM1863" s="10" t="str">
        <f>IFERROR(VLOOKUP(B1863,'Pre-Summary'!$BG$6:$BL$44,4,FALSE),"")</f>
        <v/>
      </c>
    </row>
    <row r="1864" spans="2:39" ht="15" customHeight="1" x14ac:dyDescent="0.3">
      <c r="B1864">
        <v>186.1</v>
      </c>
      <c r="C1864" t="str">
        <f>IFERROR(VLOOKUP(B1864,'Pre-Summary'!$DI$6:$DM$23,4,FALSE),"")</f>
        <v/>
      </c>
      <c r="D1864" s="10" t="str">
        <f>IFERROR(VLOOKUP(B1864,'Pre-Summary'!$AT$6:$AX$14,5,FALSE),D1863)</f>
        <v>Wolfe v3: went back to modified wolfe + EDTA and switched CuSO4 to CUCl2</v>
      </c>
      <c r="E1864" s="10" t="str">
        <f>IFERROR(VLOOKUP(B1864,'Pre-Summary'!$AT$6:$AX$15,4,FALSE),"")</f>
        <v/>
      </c>
      <c r="F1864">
        <f>IFERROR(VLOOKUP(B1864,'Pre-Summary'!$AL$6:$AQ$13,6,FALSE),F1863)</f>
        <v>5.9405263157894746E-2</v>
      </c>
      <c r="G1864" t="str">
        <f>IFERROR(VLOOKUP(B1864,'Pre-Summary'!$AE$6:$AJ$85,3,FALSE),"")</f>
        <v/>
      </c>
      <c r="H1864" t="str">
        <f>IFERROR(VLOOKUP(B1864,'Pre-Summary'!$AE$6:$AJ$85,4,FALSE),"")</f>
        <v/>
      </c>
      <c r="I1864" t="str">
        <f>IFERROR(VLOOKUP(B1864,'Pre-Summary'!$AE$6:$AJ$85,5,FALSE),"")</f>
        <v/>
      </c>
      <c r="J1864" s="45" t="str">
        <f>IFERROR(VLOOKUP(B1864,'Pre-Summary'!$AE$6:$AJ$85,6, FALSE),"")</f>
        <v/>
      </c>
      <c r="K1864" s="45" t="str">
        <f>IFERROR(VLOOKUP(B1864,'Pre-Summary'!$DE$6:$DG$61,3,FALSE),"")</f>
        <v/>
      </c>
      <c r="L1864" s="45" t="str">
        <f>IFERROR(VLOOKUP(B1864,'Pre-Summary'!$CU$6:$CW$36,3,FALSE),"")</f>
        <v/>
      </c>
      <c r="M1864" s="45" t="str">
        <f>IFERROR(VLOOKUP(B1864,'Pre-Summary'!$BW$6:$BY$58,2,FALSE),"")</f>
        <v/>
      </c>
      <c r="N1864" s="45" t="str">
        <f>IFERROR(VLOOKUP(B1864,'Pre-Summary'!$CD$6:$CF$64,2,FALSE),"")</f>
        <v/>
      </c>
      <c r="O1864" s="99">
        <f>IFERROR(VLOOKUP(B1864,'Pre-Summary'!$BO$6:$BQ$48,3, FALSE),O1863)</f>
        <v>1.25</v>
      </c>
      <c r="P1864" s="99">
        <f>IFERROR(VLOOKUP(B1864,'Pre-Summary'!$BS$6:$BU$35,3,FALSE),P1863)</f>
        <v>0.33700000000000002</v>
      </c>
      <c r="Q1864" s="54">
        <f t="shared" si="87"/>
        <v>3.7091988130563798</v>
      </c>
      <c r="R1864" s="53">
        <f>IFERROR(VLOOKUP(B1864,'Pre-Summary'!$BG$6:$BM$44,7,FALSE),R1865)</f>
        <v>7.9325362566443819E-2</v>
      </c>
      <c r="S1864" s="53">
        <f>IFERROR(VLOOKUP(B1864,'Pre-Summary'!$BG$6:$BM$44,6,FALSE),S1865)</f>
        <v>0.10333499253358684</v>
      </c>
      <c r="T1864" s="45" t="str">
        <f>IFERROR(VLOOKUP(B1864,'Pre-Summary'!$Y$6:$AC$83, 3,FALSE),"")</f>
        <v/>
      </c>
      <c r="U1864" s="45" t="str">
        <f>IFERROR(VLOOKUP(B1864,'Pre-Summary'!$Y$6:$AC$83, 4,FALSE),"")</f>
        <v/>
      </c>
      <c r="V1864" t="str">
        <f>IFERROR(VLOOKUP(B1864,'Pre-Summary'!$Y$6:$AC$83, 5,FALSE),"")</f>
        <v/>
      </c>
      <c r="W1864" s="45" t="str">
        <f>IFERROR(VLOOKUP(B1864,'Pre-Summary'!$Y$6:$AD$83,6,FALSE),"")</f>
        <v/>
      </c>
      <c r="X1864" t="str">
        <f>IFERROR(VLOOKUP('Pre-Summary'!$DB$6:$DD$63,3,FALSE),"")</f>
        <v/>
      </c>
      <c r="Y1864" t="str">
        <f>IFERROR(VLOOKUP(B1864,'Pre-Summary'!$CR$6:$CT$36,3,FALSE),"")</f>
        <v/>
      </c>
      <c r="Z1864" s="45" t="str">
        <f>IFERROR(VLOOKUP(B1864,'Pre-Summary'!$BZ$6:$CB$63,2,FALSE),"")</f>
        <v/>
      </c>
      <c r="AA1864" s="45" t="str">
        <f>IFERROR(VLOOKUP(B1864,'Pre-Summary'!$CG$6:$CI$70,2,FALSE),"")</f>
        <v/>
      </c>
      <c r="AB1864" s="99">
        <f>IFERROR(VLOOKUP(B1864,'Pre-Summary'!$A$6:$P$178,9,FALSE),AB1865)</f>
        <v>0.31225386628581325</v>
      </c>
      <c r="AC1864" s="10">
        <f>IFERROR(VLOOKUP(Summary!B1864,'Pre-Summary'!$A$6:$P$184,5, FALSE)/100,AC1865)</f>
        <v>0.94007200000000002</v>
      </c>
      <c r="AD1864" s="10">
        <f>IFERROR(VLOOKUP(Summary!B1864,'Pre-Summary'!$A$6:$P$184,3, FALSE)/100,AD1865)</f>
        <v>3.2489000000000004E-2</v>
      </c>
      <c r="AE1864" s="10">
        <f>IFERROR(VLOOKUP(Summary!B1864,'Pre-Summary'!$A$6:$P$184,7, FALSE)/100,AE1865)</f>
        <v>2.7439000000000002E-2</v>
      </c>
      <c r="AF1864" s="99">
        <f t="shared" si="88"/>
        <v>1.0144815861759788E-2</v>
      </c>
      <c r="AG1864" s="99">
        <f t="shared" si="89"/>
        <v>8.5679338370164299E-3</v>
      </c>
      <c r="AH1864" s="10" t="str">
        <f>IFERROR(VLOOKUP(B1864,'Pre-Summary'!$AZ$6:$BE$65,3,FALSE),"")</f>
        <v/>
      </c>
      <c r="AI1864" s="10" t="str">
        <f>IFERROR(VLOOKUP(B1864,'Pre-Summary'!$AZ$6:$BE$65,5,FALSE),"")</f>
        <v/>
      </c>
      <c r="AJ1864" s="10" t="str">
        <f>IFERROR(VLOOKUP(B1864,'Pre-Summary'!$AZ$6:$BE$65,4,FALSE),"")</f>
        <v/>
      </c>
      <c r="AK1864" s="10" t="str">
        <f>IFERROR(VLOOKUP(B1864,'Pre-Summary'!$AZ$6:$BE$65,6,FALSE),"")</f>
        <v/>
      </c>
      <c r="AL1864" s="10" t="str">
        <f>IFERROR(VLOOKUP(B1864,'Pre-Summary'!$BG$6:$BL$44,3,FALSE),"")</f>
        <v/>
      </c>
      <c r="AM1864" s="10" t="str">
        <f>IFERROR(VLOOKUP(B1864,'Pre-Summary'!$BG$6:$BL$44,4,FALSE),"")</f>
        <v/>
      </c>
    </row>
    <row r="1865" spans="2:39" ht="15" customHeight="1" x14ac:dyDescent="0.3">
      <c r="B1865">
        <v>186.2</v>
      </c>
      <c r="C1865" t="str">
        <f>IFERROR(VLOOKUP(B1865,'Pre-Summary'!$DI$6:$DM$23,4,FALSE),"")</f>
        <v/>
      </c>
      <c r="D1865" s="10" t="str">
        <f>IFERROR(VLOOKUP(B1865,'Pre-Summary'!$AT$6:$AX$14,5,FALSE),D1864)</f>
        <v>Wolfe v3: went back to modified wolfe + EDTA and switched CuSO4 to CUCl2</v>
      </c>
      <c r="E1865" s="10" t="str">
        <f>IFERROR(VLOOKUP(B1865,'Pre-Summary'!$AT$6:$AX$15,4,FALSE),"")</f>
        <v/>
      </c>
      <c r="F1865">
        <f>IFERROR(VLOOKUP(B1865,'Pre-Summary'!$AL$6:$AQ$13,6,FALSE),F1864)</f>
        <v>5.9405263157894746E-2</v>
      </c>
      <c r="G1865" t="str">
        <f>IFERROR(VLOOKUP(B1865,'Pre-Summary'!$AE$6:$AJ$85,3,FALSE),"")</f>
        <v/>
      </c>
      <c r="H1865" t="str">
        <f>IFERROR(VLOOKUP(B1865,'Pre-Summary'!$AE$6:$AJ$85,4,FALSE),"")</f>
        <v/>
      </c>
      <c r="I1865" t="str">
        <f>IFERROR(VLOOKUP(B1865,'Pre-Summary'!$AE$6:$AJ$85,5,FALSE),"")</f>
        <v/>
      </c>
      <c r="J1865" s="45" t="str">
        <f>IFERROR(VLOOKUP(B1865,'Pre-Summary'!$AE$6:$AJ$85,6, FALSE),"")</f>
        <v/>
      </c>
      <c r="K1865" s="45" t="str">
        <f>IFERROR(VLOOKUP(B1865,'Pre-Summary'!$DE$6:$DG$61,3,FALSE),"")</f>
        <v/>
      </c>
      <c r="L1865" s="45" t="str">
        <f>IFERROR(VLOOKUP(B1865,'Pre-Summary'!$CU$6:$CW$36,3,FALSE),"")</f>
        <v/>
      </c>
      <c r="M1865" s="45" t="str">
        <f>IFERROR(VLOOKUP(B1865,'Pre-Summary'!$BW$6:$BY$58,2,FALSE),"")</f>
        <v/>
      </c>
      <c r="N1865" s="45" t="str">
        <f>IFERROR(VLOOKUP(B1865,'Pre-Summary'!$CD$6:$CF$64,2,FALSE),"")</f>
        <v/>
      </c>
      <c r="O1865" s="99">
        <f>IFERROR(VLOOKUP(B1865,'Pre-Summary'!$BO$6:$BQ$48,3, FALSE),O1864)</f>
        <v>1.25</v>
      </c>
      <c r="P1865" s="99">
        <f>IFERROR(VLOOKUP(B1865,'Pre-Summary'!$BS$6:$BU$35,3,FALSE),P1864)</f>
        <v>0.33700000000000002</v>
      </c>
      <c r="Q1865" s="54">
        <f t="shared" si="87"/>
        <v>3.7091988130563798</v>
      </c>
      <c r="R1865" s="53">
        <f>IFERROR(VLOOKUP(B1865,'Pre-Summary'!$BG$6:$BM$44,7,FALSE),R1866)</f>
        <v>7.9325362566443819E-2</v>
      </c>
      <c r="S1865" s="53">
        <f>IFERROR(VLOOKUP(B1865,'Pre-Summary'!$BG$6:$BM$44,6,FALSE),S1866)</f>
        <v>0.10333499253358684</v>
      </c>
      <c r="T1865" s="45" t="str">
        <f>IFERROR(VLOOKUP(B1865,'Pre-Summary'!$Y$6:$AC$83, 3,FALSE),"")</f>
        <v/>
      </c>
      <c r="U1865" s="45" t="str">
        <f>IFERROR(VLOOKUP(B1865,'Pre-Summary'!$Y$6:$AC$83, 4,FALSE),"")</f>
        <v/>
      </c>
      <c r="V1865" t="str">
        <f>IFERROR(VLOOKUP(B1865,'Pre-Summary'!$Y$6:$AC$83, 5,FALSE),"")</f>
        <v/>
      </c>
      <c r="W1865" s="45" t="str">
        <f>IFERROR(VLOOKUP(B1865,'Pre-Summary'!$Y$6:$AD$83,6,FALSE),"")</f>
        <v/>
      </c>
      <c r="X1865" t="str">
        <f>IFERROR(VLOOKUP('Pre-Summary'!$DB$6:$DD$63,3,FALSE),"")</f>
        <v/>
      </c>
      <c r="Y1865" t="str">
        <f>IFERROR(VLOOKUP(B1865,'Pre-Summary'!$CR$6:$CT$36,3,FALSE),"")</f>
        <v/>
      </c>
      <c r="Z1865" s="45" t="str">
        <f>IFERROR(VLOOKUP(B1865,'Pre-Summary'!$BZ$6:$CB$63,2,FALSE),"")</f>
        <v/>
      </c>
      <c r="AA1865" s="45" t="str">
        <f>IFERROR(VLOOKUP(B1865,'Pre-Summary'!$CG$6:$CI$70,2,FALSE),"")</f>
        <v/>
      </c>
      <c r="AB1865" s="99">
        <f>IFERROR(VLOOKUP(B1865,'Pre-Summary'!$A$6:$P$178,9,FALSE),AB1866)</f>
        <v>0.31225386628581325</v>
      </c>
      <c r="AC1865" s="10">
        <f>IFERROR(VLOOKUP(Summary!B1865,'Pre-Summary'!$A$6:$P$184,5, FALSE)/100,AC1866)</f>
        <v>0.94007200000000002</v>
      </c>
      <c r="AD1865" s="10">
        <f>IFERROR(VLOOKUP(Summary!B1865,'Pre-Summary'!$A$6:$P$184,3, FALSE)/100,AD1866)</f>
        <v>3.2489000000000004E-2</v>
      </c>
      <c r="AE1865" s="10">
        <f>IFERROR(VLOOKUP(Summary!B1865,'Pre-Summary'!$A$6:$P$184,7, FALSE)/100,AE1866)</f>
        <v>2.7439000000000002E-2</v>
      </c>
      <c r="AF1865" s="99">
        <f t="shared" si="88"/>
        <v>1.0144815861759788E-2</v>
      </c>
      <c r="AG1865" s="99">
        <f t="shared" si="89"/>
        <v>8.5679338370164299E-3</v>
      </c>
      <c r="AH1865" s="10" t="str">
        <f>IFERROR(VLOOKUP(B1865,'Pre-Summary'!$AZ$6:$BE$65,3,FALSE),"")</f>
        <v/>
      </c>
      <c r="AI1865" s="10" t="str">
        <f>IFERROR(VLOOKUP(B1865,'Pre-Summary'!$AZ$6:$BE$65,5,FALSE),"")</f>
        <v/>
      </c>
      <c r="AJ1865" s="10" t="str">
        <f>IFERROR(VLOOKUP(B1865,'Pre-Summary'!$AZ$6:$BE$65,4,FALSE),"")</f>
        <v/>
      </c>
      <c r="AK1865" s="10" t="str">
        <f>IFERROR(VLOOKUP(B1865,'Pre-Summary'!$AZ$6:$BE$65,6,FALSE),"")</f>
        <v/>
      </c>
      <c r="AL1865" s="10" t="str">
        <f>IFERROR(VLOOKUP(B1865,'Pre-Summary'!$BG$6:$BL$44,3,FALSE),"")</f>
        <v/>
      </c>
      <c r="AM1865" s="10" t="str">
        <f>IFERROR(VLOOKUP(B1865,'Pre-Summary'!$BG$6:$BL$44,4,FALSE),"")</f>
        <v/>
      </c>
    </row>
    <row r="1866" spans="2:39" ht="15" customHeight="1" x14ac:dyDescent="0.3">
      <c r="B1866">
        <v>186.3</v>
      </c>
      <c r="C1866" t="str">
        <f>IFERROR(VLOOKUP(B1866,'Pre-Summary'!$DI$6:$DM$23,4,FALSE),"")</f>
        <v/>
      </c>
      <c r="D1866" s="10" t="str">
        <f>IFERROR(VLOOKUP(B1866,'Pre-Summary'!$AT$6:$AX$14,5,FALSE),D1865)</f>
        <v>Wolfe v3: went back to modified wolfe + EDTA and switched CuSO4 to CUCl2</v>
      </c>
      <c r="E1866" s="10" t="str">
        <f>IFERROR(VLOOKUP(B1866,'Pre-Summary'!$AT$6:$AX$15,4,FALSE),"")</f>
        <v/>
      </c>
      <c r="F1866">
        <f>IFERROR(VLOOKUP(B1866,'Pre-Summary'!$AL$6:$AQ$13,6,FALSE),F1865)</f>
        <v>5.9405263157894746E-2</v>
      </c>
      <c r="G1866" t="str">
        <f>IFERROR(VLOOKUP(B1866,'Pre-Summary'!$AE$6:$AJ$85,3,FALSE),"")</f>
        <v/>
      </c>
      <c r="H1866" t="str">
        <f>IFERROR(VLOOKUP(B1866,'Pre-Summary'!$AE$6:$AJ$85,4,FALSE),"")</f>
        <v/>
      </c>
      <c r="I1866" t="str">
        <f>IFERROR(VLOOKUP(B1866,'Pre-Summary'!$AE$6:$AJ$85,5,FALSE),"")</f>
        <v/>
      </c>
      <c r="J1866" s="45" t="str">
        <f>IFERROR(VLOOKUP(B1866,'Pre-Summary'!$AE$6:$AJ$85,6, FALSE),"")</f>
        <v/>
      </c>
      <c r="K1866" s="45" t="str">
        <f>IFERROR(VLOOKUP(B1866,'Pre-Summary'!$DE$6:$DG$61,3,FALSE),"")</f>
        <v/>
      </c>
      <c r="L1866" s="45" t="str">
        <f>IFERROR(VLOOKUP(B1866,'Pre-Summary'!$CU$6:$CW$36,3,FALSE),"")</f>
        <v/>
      </c>
      <c r="M1866" s="45" t="str">
        <f>IFERROR(VLOOKUP(B1866,'Pre-Summary'!$BW$6:$BY$58,2,FALSE),"")</f>
        <v/>
      </c>
      <c r="N1866" s="45" t="str">
        <f>IFERROR(VLOOKUP(B1866,'Pre-Summary'!$CD$6:$CF$64,2,FALSE),"")</f>
        <v/>
      </c>
      <c r="O1866" s="99">
        <f>IFERROR(VLOOKUP(B1866,'Pre-Summary'!$BO$6:$BQ$48,3, FALSE),O1865)</f>
        <v>1.25</v>
      </c>
      <c r="P1866" s="99">
        <f>IFERROR(VLOOKUP(B1866,'Pre-Summary'!$BS$6:$BU$35,3,FALSE),P1865)</f>
        <v>0.33700000000000002</v>
      </c>
      <c r="Q1866" s="54">
        <f t="shared" si="87"/>
        <v>3.7091988130563798</v>
      </c>
      <c r="R1866" s="53">
        <f>IFERROR(VLOOKUP(B1866,'Pre-Summary'!$BG$6:$BM$44,7,FALSE),R1867)</f>
        <v>7.9325362566443819E-2</v>
      </c>
      <c r="S1866" s="53">
        <f>IFERROR(VLOOKUP(B1866,'Pre-Summary'!$BG$6:$BM$44,6,FALSE),S1867)</f>
        <v>0.10333499253358684</v>
      </c>
      <c r="T1866" s="45" t="str">
        <f>IFERROR(VLOOKUP(B1866,'Pre-Summary'!$Y$6:$AC$83, 3,FALSE),"")</f>
        <v/>
      </c>
      <c r="U1866" s="45" t="str">
        <f>IFERROR(VLOOKUP(B1866,'Pre-Summary'!$Y$6:$AC$83, 4,FALSE),"")</f>
        <v/>
      </c>
      <c r="V1866" t="str">
        <f>IFERROR(VLOOKUP(B1866,'Pre-Summary'!$Y$6:$AC$83, 5,FALSE),"")</f>
        <v/>
      </c>
      <c r="W1866" s="45" t="str">
        <f>IFERROR(VLOOKUP(B1866,'Pre-Summary'!$Y$6:$AD$83,6,FALSE),"")</f>
        <v/>
      </c>
      <c r="X1866" t="str">
        <f>IFERROR(VLOOKUP('Pre-Summary'!$DB$6:$DD$63,3,FALSE),"")</f>
        <v/>
      </c>
      <c r="Y1866" t="str">
        <f>IFERROR(VLOOKUP(B1866,'Pre-Summary'!$CR$6:$CT$36,3,FALSE),"")</f>
        <v/>
      </c>
      <c r="Z1866" s="45" t="str">
        <f>IFERROR(VLOOKUP(B1866,'Pre-Summary'!$BZ$6:$CB$63,2,FALSE),"")</f>
        <v/>
      </c>
      <c r="AA1866" s="45" t="str">
        <f>IFERROR(VLOOKUP(B1866,'Pre-Summary'!$CG$6:$CI$70,2,FALSE),"")</f>
        <v/>
      </c>
      <c r="AB1866" s="99">
        <f>IFERROR(VLOOKUP(B1866,'Pre-Summary'!$A$6:$P$178,9,FALSE),AB1867)</f>
        <v>0.31225386628581325</v>
      </c>
      <c r="AC1866" s="10">
        <f>IFERROR(VLOOKUP(Summary!B1866,'Pre-Summary'!$A$6:$P$184,5, FALSE)/100,AC1867)</f>
        <v>0.94007200000000002</v>
      </c>
      <c r="AD1866" s="10">
        <f>IFERROR(VLOOKUP(Summary!B1866,'Pre-Summary'!$A$6:$P$184,3, FALSE)/100,AD1867)</f>
        <v>3.2489000000000004E-2</v>
      </c>
      <c r="AE1866" s="10">
        <f>IFERROR(VLOOKUP(Summary!B1866,'Pre-Summary'!$A$6:$P$184,7, FALSE)/100,AE1867)</f>
        <v>2.7439000000000002E-2</v>
      </c>
      <c r="AF1866" s="99">
        <f t="shared" si="88"/>
        <v>1.0144815861759788E-2</v>
      </c>
      <c r="AG1866" s="99">
        <f t="shared" si="89"/>
        <v>8.5679338370164299E-3</v>
      </c>
      <c r="AH1866" s="10" t="str">
        <f>IFERROR(VLOOKUP(B1866,'Pre-Summary'!$AZ$6:$BE$65,3,FALSE),"")</f>
        <v/>
      </c>
      <c r="AI1866" s="10" t="str">
        <f>IFERROR(VLOOKUP(B1866,'Pre-Summary'!$AZ$6:$BE$65,5,FALSE),"")</f>
        <v/>
      </c>
      <c r="AJ1866" s="10" t="str">
        <f>IFERROR(VLOOKUP(B1866,'Pre-Summary'!$AZ$6:$BE$65,4,FALSE),"")</f>
        <v/>
      </c>
      <c r="AK1866" s="10" t="str">
        <f>IFERROR(VLOOKUP(B1866,'Pre-Summary'!$AZ$6:$BE$65,6,FALSE),"")</f>
        <v/>
      </c>
      <c r="AL1866" s="10" t="str">
        <f>IFERROR(VLOOKUP(B1866,'Pre-Summary'!$BG$6:$BL$44,3,FALSE),"")</f>
        <v/>
      </c>
      <c r="AM1866" s="10" t="str">
        <f>IFERROR(VLOOKUP(B1866,'Pre-Summary'!$BG$6:$BL$44,4,FALSE),"")</f>
        <v/>
      </c>
    </row>
    <row r="1867" spans="2:39" ht="15" customHeight="1" x14ac:dyDescent="0.3">
      <c r="B1867">
        <v>186.4</v>
      </c>
      <c r="C1867" t="str">
        <f>IFERROR(VLOOKUP(B1867,'Pre-Summary'!$DI$6:$DM$23,4,FALSE),"")</f>
        <v/>
      </c>
      <c r="D1867" s="10" t="str">
        <f>IFERROR(VLOOKUP(B1867,'Pre-Summary'!$AT$6:$AX$14,5,FALSE),D1866)</f>
        <v>Wolfe v3: went back to modified wolfe + EDTA and switched CuSO4 to CUCl2</v>
      </c>
      <c r="E1867" s="10" t="str">
        <f>IFERROR(VLOOKUP(B1867,'Pre-Summary'!$AT$6:$AX$15,4,FALSE),"")</f>
        <v/>
      </c>
      <c r="F1867">
        <f>IFERROR(VLOOKUP(B1867,'Pre-Summary'!$AL$6:$AQ$13,6,FALSE),F1866)</f>
        <v>5.9405263157894746E-2</v>
      </c>
      <c r="G1867" t="str">
        <f>IFERROR(VLOOKUP(B1867,'Pre-Summary'!$AE$6:$AJ$85,3,FALSE),"")</f>
        <v/>
      </c>
      <c r="H1867" t="str">
        <f>IFERROR(VLOOKUP(B1867,'Pre-Summary'!$AE$6:$AJ$85,4,FALSE),"")</f>
        <v/>
      </c>
      <c r="I1867" t="str">
        <f>IFERROR(VLOOKUP(B1867,'Pre-Summary'!$AE$6:$AJ$85,5,FALSE),"")</f>
        <v/>
      </c>
      <c r="J1867" s="45" t="str">
        <f>IFERROR(VLOOKUP(B1867,'Pre-Summary'!$AE$6:$AJ$85,6, FALSE),"")</f>
        <v/>
      </c>
      <c r="K1867" s="45" t="str">
        <f>IFERROR(VLOOKUP(B1867,'Pre-Summary'!$DE$6:$DG$61,3,FALSE),"")</f>
        <v/>
      </c>
      <c r="L1867" s="45" t="str">
        <f>IFERROR(VLOOKUP(B1867,'Pre-Summary'!$CU$6:$CW$36,3,FALSE),"")</f>
        <v/>
      </c>
      <c r="M1867" s="45" t="str">
        <f>IFERROR(VLOOKUP(B1867,'Pre-Summary'!$BW$6:$BY$58,2,FALSE),"")</f>
        <v/>
      </c>
      <c r="N1867" s="45" t="str">
        <f>IFERROR(VLOOKUP(B1867,'Pre-Summary'!$CD$6:$CF$64,2,FALSE),"")</f>
        <v/>
      </c>
      <c r="O1867" s="99">
        <f>IFERROR(VLOOKUP(B1867,'Pre-Summary'!$BO$6:$BQ$48,3, FALSE),O1866)</f>
        <v>1.25</v>
      </c>
      <c r="P1867" s="99">
        <f>IFERROR(VLOOKUP(B1867,'Pre-Summary'!$BS$6:$BU$35,3,FALSE),P1866)</f>
        <v>0.33700000000000002</v>
      </c>
      <c r="Q1867" s="54">
        <f t="shared" si="87"/>
        <v>3.7091988130563798</v>
      </c>
      <c r="R1867" s="53">
        <f>IFERROR(VLOOKUP(B1867,'Pre-Summary'!$BG$6:$BM$44,7,FALSE),R1868)</f>
        <v>7.9325362566443819E-2</v>
      </c>
      <c r="S1867" s="53">
        <f>IFERROR(VLOOKUP(B1867,'Pre-Summary'!$BG$6:$BM$44,6,FALSE),S1868)</f>
        <v>0.10333499253358684</v>
      </c>
      <c r="T1867" s="45" t="str">
        <f>IFERROR(VLOOKUP(B1867,'Pre-Summary'!$Y$6:$AC$83, 3,FALSE),"")</f>
        <v/>
      </c>
      <c r="U1867" s="45" t="str">
        <f>IFERROR(VLOOKUP(B1867,'Pre-Summary'!$Y$6:$AC$83, 4,FALSE),"")</f>
        <v/>
      </c>
      <c r="V1867" t="str">
        <f>IFERROR(VLOOKUP(B1867,'Pre-Summary'!$Y$6:$AC$83, 5,FALSE),"")</f>
        <v/>
      </c>
      <c r="W1867" s="45" t="str">
        <f>IFERROR(VLOOKUP(B1867,'Pre-Summary'!$Y$6:$AD$83,6,FALSE),"")</f>
        <v/>
      </c>
      <c r="X1867" t="str">
        <f>IFERROR(VLOOKUP('Pre-Summary'!$DB$6:$DD$63,3,FALSE),"")</f>
        <v/>
      </c>
      <c r="Y1867" t="str">
        <f>IFERROR(VLOOKUP(B1867,'Pre-Summary'!$CR$6:$CT$36,3,FALSE),"")</f>
        <v/>
      </c>
      <c r="Z1867" s="45" t="str">
        <f>IFERROR(VLOOKUP(B1867,'Pre-Summary'!$BZ$6:$CB$63,2,FALSE),"")</f>
        <v/>
      </c>
      <c r="AA1867" s="45" t="str">
        <f>IFERROR(VLOOKUP(B1867,'Pre-Summary'!$CG$6:$CI$70,2,FALSE),"")</f>
        <v/>
      </c>
      <c r="AB1867" s="99">
        <f>IFERROR(VLOOKUP(B1867,'Pre-Summary'!$A$6:$P$178,9,FALSE),AB1868)</f>
        <v>0.31225386628581325</v>
      </c>
      <c r="AC1867" s="10">
        <f>IFERROR(VLOOKUP(Summary!B1867,'Pre-Summary'!$A$6:$P$184,5, FALSE)/100,AC1868)</f>
        <v>0.94007200000000002</v>
      </c>
      <c r="AD1867" s="10">
        <f>IFERROR(VLOOKUP(Summary!B1867,'Pre-Summary'!$A$6:$P$184,3, FALSE)/100,AD1868)</f>
        <v>3.2489000000000004E-2</v>
      </c>
      <c r="AE1867" s="10">
        <f>IFERROR(VLOOKUP(Summary!B1867,'Pre-Summary'!$A$6:$P$184,7, FALSE)/100,AE1868)</f>
        <v>2.7439000000000002E-2</v>
      </c>
      <c r="AF1867" s="99">
        <f t="shared" si="88"/>
        <v>1.0144815861759788E-2</v>
      </c>
      <c r="AG1867" s="99">
        <f t="shared" si="89"/>
        <v>8.5679338370164299E-3</v>
      </c>
      <c r="AH1867" s="10" t="str">
        <f>IFERROR(VLOOKUP(B1867,'Pre-Summary'!$AZ$6:$BE$65,3,FALSE),"")</f>
        <v/>
      </c>
      <c r="AI1867" s="10" t="str">
        <f>IFERROR(VLOOKUP(B1867,'Pre-Summary'!$AZ$6:$BE$65,5,FALSE),"")</f>
        <v/>
      </c>
      <c r="AJ1867" s="10" t="str">
        <f>IFERROR(VLOOKUP(B1867,'Pre-Summary'!$AZ$6:$BE$65,4,FALSE),"")</f>
        <v/>
      </c>
      <c r="AK1867" s="10" t="str">
        <f>IFERROR(VLOOKUP(B1867,'Pre-Summary'!$AZ$6:$BE$65,6,FALSE),"")</f>
        <v/>
      </c>
      <c r="AL1867" s="10" t="str">
        <f>IFERROR(VLOOKUP(B1867,'Pre-Summary'!$BG$6:$BL$44,3,FALSE),"")</f>
        <v/>
      </c>
      <c r="AM1867" s="10" t="str">
        <f>IFERROR(VLOOKUP(B1867,'Pre-Summary'!$BG$6:$BL$44,4,FALSE),"")</f>
        <v/>
      </c>
    </row>
    <row r="1868" spans="2:39" ht="15" customHeight="1" x14ac:dyDescent="0.3">
      <c r="B1868">
        <v>186.5</v>
      </c>
      <c r="C1868" t="str">
        <f>IFERROR(VLOOKUP(B1868,'Pre-Summary'!$DI$6:$DM$23,4,FALSE),"")</f>
        <v/>
      </c>
      <c r="D1868" s="10" t="str">
        <f>IFERROR(VLOOKUP(B1868,'Pre-Summary'!$AT$6:$AX$14,5,FALSE),D1867)</f>
        <v>Wolfe v3: went back to modified wolfe + EDTA and switched CuSO4 to CUCl2</v>
      </c>
      <c r="E1868" s="10" t="str">
        <f>IFERROR(VLOOKUP(B1868,'Pre-Summary'!$AT$6:$AX$15,4,FALSE),"")</f>
        <v/>
      </c>
      <c r="F1868">
        <f>IFERROR(VLOOKUP(B1868,'Pre-Summary'!$AL$6:$AQ$13,6,FALSE),F1867)</f>
        <v>5.9405263157894746E-2</v>
      </c>
      <c r="G1868" t="str">
        <f>IFERROR(VLOOKUP(B1868,'Pre-Summary'!$AE$6:$AJ$85,3,FALSE),"")</f>
        <v/>
      </c>
      <c r="H1868" t="str">
        <f>IFERROR(VLOOKUP(B1868,'Pre-Summary'!$AE$6:$AJ$85,4,FALSE),"")</f>
        <v/>
      </c>
      <c r="I1868" t="str">
        <f>IFERROR(VLOOKUP(B1868,'Pre-Summary'!$AE$6:$AJ$85,5,FALSE),"")</f>
        <v/>
      </c>
      <c r="J1868" s="45" t="str">
        <f>IFERROR(VLOOKUP(B1868,'Pre-Summary'!$AE$6:$AJ$85,6, FALSE),"")</f>
        <v/>
      </c>
      <c r="K1868" s="45" t="str">
        <f>IFERROR(VLOOKUP(B1868,'Pre-Summary'!$DE$6:$DG$61,3,FALSE),"")</f>
        <v/>
      </c>
      <c r="L1868" s="45" t="str">
        <f>IFERROR(VLOOKUP(B1868,'Pre-Summary'!$CU$6:$CW$36,3,FALSE),"")</f>
        <v/>
      </c>
      <c r="M1868" s="45" t="str">
        <f>IFERROR(VLOOKUP(B1868,'Pre-Summary'!$BW$6:$BY$58,2,FALSE),"")</f>
        <v/>
      </c>
      <c r="N1868" s="45" t="str">
        <f>IFERROR(VLOOKUP(B1868,'Pre-Summary'!$CD$6:$CF$64,2,FALSE),"")</f>
        <v/>
      </c>
      <c r="O1868" s="99">
        <f>IFERROR(VLOOKUP(B1868,'Pre-Summary'!$BO$6:$BQ$48,3, FALSE),O1867)</f>
        <v>1.25</v>
      </c>
      <c r="P1868" s="99">
        <f>IFERROR(VLOOKUP(B1868,'Pre-Summary'!$BS$6:$BU$35,3,FALSE),P1867)</f>
        <v>0.33700000000000002</v>
      </c>
      <c r="Q1868" s="54">
        <f t="shared" si="87"/>
        <v>3.7091988130563798</v>
      </c>
      <c r="R1868" s="53">
        <f>IFERROR(VLOOKUP(B1868,'Pre-Summary'!$BG$6:$BM$44,7,FALSE),R1869)</f>
        <v>7.9325362566443819E-2</v>
      </c>
      <c r="S1868" s="53">
        <f>IFERROR(VLOOKUP(B1868,'Pre-Summary'!$BG$6:$BM$44,6,FALSE),S1869)</f>
        <v>0.10333499253358684</v>
      </c>
      <c r="T1868" s="45" t="str">
        <f>IFERROR(VLOOKUP(B1868,'Pre-Summary'!$Y$6:$AC$83, 3,FALSE),"")</f>
        <v/>
      </c>
      <c r="U1868" s="45" t="str">
        <f>IFERROR(VLOOKUP(B1868,'Pre-Summary'!$Y$6:$AC$83, 4,FALSE),"")</f>
        <v/>
      </c>
      <c r="V1868" t="str">
        <f>IFERROR(VLOOKUP(B1868,'Pre-Summary'!$Y$6:$AC$83, 5,FALSE),"")</f>
        <v/>
      </c>
      <c r="W1868" s="45" t="str">
        <f>IFERROR(VLOOKUP(B1868,'Pre-Summary'!$Y$6:$AD$83,6,FALSE),"")</f>
        <v/>
      </c>
      <c r="X1868" t="str">
        <f>IFERROR(VLOOKUP('Pre-Summary'!$DB$6:$DD$63,3,FALSE),"")</f>
        <v/>
      </c>
      <c r="Y1868" t="str">
        <f>IFERROR(VLOOKUP(B1868,'Pre-Summary'!$CR$6:$CT$36,3,FALSE),"")</f>
        <v/>
      </c>
      <c r="Z1868" s="45" t="str">
        <f>IFERROR(VLOOKUP(B1868,'Pre-Summary'!$BZ$6:$CB$63,2,FALSE),"")</f>
        <v/>
      </c>
      <c r="AA1868" s="45" t="str">
        <f>IFERROR(VLOOKUP(B1868,'Pre-Summary'!$CG$6:$CI$70,2,FALSE),"")</f>
        <v/>
      </c>
      <c r="AB1868" s="99">
        <f>IFERROR(VLOOKUP(B1868,'Pre-Summary'!$A$6:$P$178,9,FALSE),AB1869)</f>
        <v>0.31225386628581325</v>
      </c>
      <c r="AC1868" s="10">
        <f>IFERROR(VLOOKUP(Summary!B1868,'Pre-Summary'!$A$6:$P$184,5, FALSE)/100,AC1869)</f>
        <v>0.94007200000000002</v>
      </c>
      <c r="AD1868" s="10">
        <f>IFERROR(VLOOKUP(Summary!B1868,'Pre-Summary'!$A$6:$P$184,3, FALSE)/100,AD1869)</f>
        <v>3.2489000000000004E-2</v>
      </c>
      <c r="AE1868" s="10">
        <f>IFERROR(VLOOKUP(Summary!B1868,'Pre-Summary'!$A$6:$P$184,7, FALSE)/100,AE1869)</f>
        <v>2.7439000000000002E-2</v>
      </c>
      <c r="AF1868" s="99">
        <f t="shared" si="88"/>
        <v>1.0144815861759788E-2</v>
      </c>
      <c r="AG1868" s="99">
        <f t="shared" si="89"/>
        <v>8.5679338370164299E-3</v>
      </c>
      <c r="AH1868" s="10" t="str">
        <f>IFERROR(VLOOKUP(B1868,'Pre-Summary'!$AZ$6:$BE$65,3,FALSE),"")</f>
        <v/>
      </c>
      <c r="AI1868" s="10" t="str">
        <f>IFERROR(VLOOKUP(B1868,'Pre-Summary'!$AZ$6:$BE$65,5,FALSE),"")</f>
        <v/>
      </c>
      <c r="AJ1868" s="10" t="str">
        <f>IFERROR(VLOOKUP(B1868,'Pre-Summary'!$AZ$6:$BE$65,4,FALSE),"")</f>
        <v/>
      </c>
      <c r="AK1868" s="10" t="str">
        <f>IFERROR(VLOOKUP(B1868,'Pre-Summary'!$AZ$6:$BE$65,6,FALSE),"")</f>
        <v/>
      </c>
      <c r="AL1868" s="10" t="str">
        <f>IFERROR(VLOOKUP(B1868,'Pre-Summary'!$BG$6:$BL$44,3,FALSE),"")</f>
        <v/>
      </c>
      <c r="AM1868" s="10" t="str">
        <f>IFERROR(VLOOKUP(B1868,'Pre-Summary'!$BG$6:$BL$44,4,FALSE),"")</f>
        <v/>
      </c>
    </row>
    <row r="1869" spans="2:39" ht="15" customHeight="1" x14ac:dyDescent="0.3">
      <c r="B1869">
        <v>186.6</v>
      </c>
      <c r="C1869" t="str">
        <f>IFERROR(VLOOKUP(B1869,'Pre-Summary'!$DI$6:$DM$23,4,FALSE),"")</f>
        <v/>
      </c>
      <c r="D1869" s="10" t="str">
        <f>IFERROR(VLOOKUP(B1869,'Pre-Summary'!$AT$6:$AX$14,5,FALSE),D1868)</f>
        <v>Wolfe v3: went back to modified wolfe + EDTA and switched CuSO4 to CUCl2</v>
      </c>
      <c r="E1869" s="10" t="str">
        <f>IFERROR(VLOOKUP(B1869,'Pre-Summary'!$AT$6:$AX$15,4,FALSE),"")</f>
        <v/>
      </c>
      <c r="F1869">
        <f>IFERROR(VLOOKUP(B1869,'Pre-Summary'!$AL$6:$AQ$13,6,FALSE),F1868)</f>
        <v>5.9405263157894746E-2</v>
      </c>
      <c r="G1869" t="str">
        <f>IFERROR(VLOOKUP(B1869,'Pre-Summary'!$AE$6:$AJ$85,3,FALSE),"")</f>
        <v/>
      </c>
      <c r="H1869" t="str">
        <f>IFERROR(VLOOKUP(B1869,'Pre-Summary'!$AE$6:$AJ$85,4,FALSE),"")</f>
        <v/>
      </c>
      <c r="I1869" t="str">
        <f>IFERROR(VLOOKUP(B1869,'Pre-Summary'!$AE$6:$AJ$85,5,FALSE),"")</f>
        <v/>
      </c>
      <c r="J1869" s="45" t="str">
        <f>IFERROR(VLOOKUP(B1869,'Pre-Summary'!$AE$6:$AJ$85,6, FALSE),"")</f>
        <v/>
      </c>
      <c r="K1869" s="45" t="str">
        <f>IFERROR(VLOOKUP(B1869,'Pre-Summary'!$DE$6:$DG$61,3,FALSE),"")</f>
        <v/>
      </c>
      <c r="L1869" s="45" t="str">
        <f>IFERROR(VLOOKUP(B1869,'Pre-Summary'!$CU$6:$CW$36,3,FALSE),"")</f>
        <v/>
      </c>
      <c r="M1869" s="45" t="str">
        <f>IFERROR(VLOOKUP(B1869,'Pre-Summary'!$BW$6:$BY$58,2,FALSE),"")</f>
        <v/>
      </c>
      <c r="N1869" s="45" t="str">
        <f>IFERROR(VLOOKUP(B1869,'Pre-Summary'!$CD$6:$CF$64,2,FALSE),"")</f>
        <v/>
      </c>
      <c r="O1869" s="99">
        <f>IFERROR(VLOOKUP(B1869,'Pre-Summary'!$BO$6:$BQ$48,3, FALSE),O1868)</f>
        <v>1.25</v>
      </c>
      <c r="P1869" s="99">
        <f>IFERROR(VLOOKUP(B1869,'Pre-Summary'!$BS$6:$BU$35,3,FALSE),P1868)</f>
        <v>0.33700000000000002</v>
      </c>
      <c r="Q1869" s="54">
        <f t="shared" si="87"/>
        <v>3.7091988130563798</v>
      </c>
      <c r="R1869" s="53">
        <f>IFERROR(VLOOKUP(B1869,'Pre-Summary'!$BG$6:$BM$44,7,FALSE),R1870)</f>
        <v>7.9325362566443819E-2</v>
      </c>
      <c r="S1869" s="53">
        <f>IFERROR(VLOOKUP(B1869,'Pre-Summary'!$BG$6:$BM$44,6,FALSE),S1870)</f>
        <v>0.10333499253358684</v>
      </c>
      <c r="T1869" s="45" t="str">
        <f>IFERROR(VLOOKUP(B1869,'Pre-Summary'!$Y$6:$AC$83, 3,FALSE),"")</f>
        <v/>
      </c>
      <c r="U1869" s="45" t="str">
        <f>IFERROR(VLOOKUP(B1869,'Pre-Summary'!$Y$6:$AC$83, 4,FALSE),"")</f>
        <v/>
      </c>
      <c r="V1869" t="str">
        <f>IFERROR(VLOOKUP(B1869,'Pre-Summary'!$Y$6:$AC$83, 5,FALSE),"")</f>
        <v/>
      </c>
      <c r="W1869" s="45" t="str">
        <f>IFERROR(VLOOKUP(B1869,'Pre-Summary'!$Y$6:$AD$83,6,FALSE),"")</f>
        <v/>
      </c>
      <c r="X1869" t="str">
        <f>IFERROR(VLOOKUP('Pre-Summary'!$DB$6:$DD$63,3,FALSE),"")</f>
        <v/>
      </c>
      <c r="Y1869" t="str">
        <f>IFERROR(VLOOKUP(B1869,'Pre-Summary'!$CR$6:$CT$36,3,FALSE),"")</f>
        <v/>
      </c>
      <c r="Z1869" s="45" t="str">
        <f>IFERROR(VLOOKUP(B1869,'Pre-Summary'!$BZ$6:$CB$63,2,FALSE),"")</f>
        <v/>
      </c>
      <c r="AA1869" s="45" t="str">
        <f>IFERROR(VLOOKUP(B1869,'Pre-Summary'!$CG$6:$CI$70,2,FALSE),"")</f>
        <v/>
      </c>
      <c r="AB1869" s="99">
        <f>IFERROR(VLOOKUP(B1869,'Pre-Summary'!$A$6:$P$178,9,FALSE),AB1870)</f>
        <v>0.31225386628581325</v>
      </c>
      <c r="AC1869" s="10">
        <f>IFERROR(VLOOKUP(Summary!B1869,'Pre-Summary'!$A$6:$P$184,5, FALSE)/100,AC1870)</f>
        <v>0.94007200000000002</v>
      </c>
      <c r="AD1869" s="10">
        <f>IFERROR(VLOOKUP(Summary!B1869,'Pre-Summary'!$A$6:$P$184,3, FALSE)/100,AD1870)</f>
        <v>3.2489000000000004E-2</v>
      </c>
      <c r="AE1869" s="10">
        <f>IFERROR(VLOOKUP(Summary!B1869,'Pre-Summary'!$A$6:$P$184,7, FALSE)/100,AE1870)</f>
        <v>2.7439000000000002E-2</v>
      </c>
      <c r="AF1869" s="99">
        <f t="shared" si="88"/>
        <v>1.0144815861759788E-2</v>
      </c>
      <c r="AG1869" s="99">
        <f t="shared" si="89"/>
        <v>8.5679338370164299E-3</v>
      </c>
      <c r="AH1869" s="10" t="str">
        <f>IFERROR(VLOOKUP(B1869,'Pre-Summary'!$AZ$6:$BE$65,3,FALSE),"")</f>
        <v/>
      </c>
      <c r="AI1869" s="10" t="str">
        <f>IFERROR(VLOOKUP(B1869,'Pre-Summary'!$AZ$6:$BE$65,5,FALSE),"")</f>
        <v/>
      </c>
      <c r="AJ1869" s="10" t="str">
        <f>IFERROR(VLOOKUP(B1869,'Pre-Summary'!$AZ$6:$BE$65,4,FALSE),"")</f>
        <v/>
      </c>
      <c r="AK1869" s="10" t="str">
        <f>IFERROR(VLOOKUP(B1869,'Pre-Summary'!$AZ$6:$BE$65,6,FALSE),"")</f>
        <v/>
      </c>
      <c r="AL1869" s="10" t="str">
        <f>IFERROR(VLOOKUP(B1869,'Pre-Summary'!$BG$6:$BL$44,3,FALSE),"")</f>
        <v/>
      </c>
      <c r="AM1869" s="10" t="str">
        <f>IFERROR(VLOOKUP(B1869,'Pre-Summary'!$BG$6:$BL$44,4,FALSE),"")</f>
        <v/>
      </c>
    </row>
    <row r="1870" spans="2:39" ht="15" customHeight="1" x14ac:dyDescent="0.3">
      <c r="B1870">
        <v>186.7</v>
      </c>
      <c r="C1870" t="str">
        <f>IFERROR(VLOOKUP(B1870,'Pre-Summary'!$DI$6:$DM$23,4,FALSE),"")</f>
        <v/>
      </c>
      <c r="D1870" s="10" t="str">
        <f>IFERROR(VLOOKUP(B1870,'Pre-Summary'!$AT$6:$AX$14,5,FALSE),D1869)</f>
        <v>Wolfe v3: went back to modified wolfe + EDTA and switched CuSO4 to CUCl2</v>
      </c>
      <c r="E1870" s="10" t="str">
        <f>IFERROR(VLOOKUP(B1870,'Pre-Summary'!$AT$6:$AX$15,4,FALSE),"")</f>
        <v/>
      </c>
      <c r="F1870">
        <f>IFERROR(VLOOKUP(B1870,'Pre-Summary'!$AL$6:$AQ$13,6,FALSE),F1869)</f>
        <v>5.9405263157894746E-2</v>
      </c>
      <c r="G1870" t="str">
        <f>IFERROR(VLOOKUP(B1870,'Pre-Summary'!$AE$6:$AJ$85,3,FALSE),"")</f>
        <v/>
      </c>
      <c r="H1870" t="str">
        <f>IFERROR(VLOOKUP(B1870,'Pre-Summary'!$AE$6:$AJ$85,4,FALSE),"")</f>
        <v/>
      </c>
      <c r="I1870" t="str">
        <f>IFERROR(VLOOKUP(B1870,'Pre-Summary'!$AE$6:$AJ$85,5,FALSE),"")</f>
        <v/>
      </c>
      <c r="J1870" s="45" t="str">
        <f>IFERROR(VLOOKUP(B1870,'Pre-Summary'!$AE$6:$AJ$85,6, FALSE),"")</f>
        <v/>
      </c>
      <c r="K1870" s="45" t="str">
        <f>IFERROR(VLOOKUP(B1870,'Pre-Summary'!$DE$6:$DG$61,3,FALSE),"")</f>
        <v/>
      </c>
      <c r="L1870" s="45" t="str">
        <f>IFERROR(VLOOKUP(B1870,'Pre-Summary'!$CU$6:$CW$36,3,FALSE),"")</f>
        <v/>
      </c>
      <c r="M1870" s="45" t="str">
        <f>IFERROR(VLOOKUP(B1870,'Pre-Summary'!$BW$6:$BY$58,2,FALSE),"")</f>
        <v/>
      </c>
      <c r="N1870" s="45" t="str">
        <f>IFERROR(VLOOKUP(B1870,'Pre-Summary'!$CD$6:$CF$64,2,FALSE),"")</f>
        <v/>
      </c>
      <c r="O1870" s="99">
        <f>IFERROR(VLOOKUP(B1870,'Pre-Summary'!$BO$6:$BQ$48,3, FALSE),O1869)</f>
        <v>1.25</v>
      </c>
      <c r="P1870" s="99">
        <f>IFERROR(VLOOKUP(B1870,'Pre-Summary'!$BS$6:$BU$35,3,FALSE),P1869)</f>
        <v>0.33700000000000002</v>
      </c>
      <c r="Q1870" s="54">
        <f t="shared" si="87"/>
        <v>3.7091988130563798</v>
      </c>
      <c r="R1870" s="53">
        <f>IFERROR(VLOOKUP(B1870,'Pre-Summary'!$BG$6:$BM$44,7,FALSE),R1871)</f>
        <v>7.9325362566443819E-2</v>
      </c>
      <c r="S1870" s="53">
        <f>IFERROR(VLOOKUP(B1870,'Pre-Summary'!$BG$6:$BM$44,6,FALSE),S1871)</f>
        <v>0.10333499253358684</v>
      </c>
      <c r="T1870" s="45" t="str">
        <f>IFERROR(VLOOKUP(B1870,'Pre-Summary'!$Y$6:$AC$83, 3,FALSE),"")</f>
        <v/>
      </c>
      <c r="U1870" s="45" t="str">
        <f>IFERROR(VLOOKUP(B1870,'Pre-Summary'!$Y$6:$AC$83, 4,FALSE),"")</f>
        <v/>
      </c>
      <c r="V1870" t="str">
        <f>IFERROR(VLOOKUP(B1870,'Pre-Summary'!$Y$6:$AC$83, 5,FALSE),"")</f>
        <v/>
      </c>
      <c r="W1870" s="45" t="str">
        <f>IFERROR(VLOOKUP(B1870,'Pre-Summary'!$Y$6:$AD$83,6,FALSE),"")</f>
        <v/>
      </c>
      <c r="X1870" t="str">
        <f>IFERROR(VLOOKUP('Pre-Summary'!$DB$6:$DD$63,3,FALSE),"")</f>
        <v/>
      </c>
      <c r="Y1870" t="str">
        <f>IFERROR(VLOOKUP(B1870,'Pre-Summary'!$CR$6:$CT$36,3,FALSE),"")</f>
        <v/>
      </c>
      <c r="Z1870" s="45" t="str">
        <f>IFERROR(VLOOKUP(B1870,'Pre-Summary'!$BZ$6:$CB$63,2,FALSE),"")</f>
        <v/>
      </c>
      <c r="AA1870" s="45" t="str">
        <f>IFERROR(VLOOKUP(B1870,'Pre-Summary'!$CG$6:$CI$70,2,FALSE),"")</f>
        <v/>
      </c>
      <c r="AB1870" s="99">
        <f>IFERROR(VLOOKUP(B1870,'Pre-Summary'!$A$6:$P$178,9,FALSE),AB1871)</f>
        <v>0.31225386628581325</v>
      </c>
      <c r="AC1870" s="10">
        <f>IFERROR(VLOOKUP(Summary!B1870,'Pre-Summary'!$A$6:$P$184,5, FALSE)/100,AC1871)</f>
        <v>0.94007200000000002</v>
      </c>
      <c r="AD1870" s="10">
        <f>IFERROR(VLOOKUP(Summary!B1870,'Pre-Summary'!$A$6:$P$184,3, FALSE)/100,AD1871)</f>
        <v>3.2489000000000004E-2</v>
      </c>
      <c r="AE1870" s="10">
        <f>IFERROR(VLOOKUP(Summary!B1870,'Pre-Summary'!$A$6:$P$184,7, FALSE)/100,AE1871)</f>
        <v>2.7439000000000002E-2</v>
      </c>
      <c r="AF1870" s="99">
        <f t="shared" si="88"/>
        <v>1.0144815861759788E-2</v>
      </c>
      <c r="AG1870" s="99">
        <f t="shared" si="89"/>
        <v>8.5679338370164299E-3</v>
      </c>
      <c r="AH1870" s="10" t="str">
        <f>IFERROR(VLOOKUP(B1870,'Pre-Summary'!$AZ$6:$BE$65,3,FALSE),"")</f>
        <v/>
      </c>
      <c r="AI1870" s="10" t="str">
        <f>IFERROR(VLOOKUP(B1870,'Pre-Summary'!$AZ$6:$BE$65,5,FALSE),"")</f>
        <v/>
      </c>
      <c r="AJ1870" s="10" t="str">
        <f>IFERROR(VLOOKUP(B1870,'Pre-Summary'!$AZ$6:$BE$65,4,FALSE),"")</f>
        <v/>
      </c>
      <c r="AK1870" s="10" t="str">
        <f>IFERROR(VLOOKUP(B1870,'Pre-Summary'!$AZ$6:$BE$65,6,FALSE),"")</f>
        <v/>
      </c>
      <c r="AL1870" s="10" t="str">
        <f>IFERROR(VLOOKUP(B1870,'Pre-Summary'!$BG$6:$BL$44,3,FALSE),"")</f>
        <v/>
      </c>
      <c r="AM1870" s="10" t="str">
        <f>IFERROR(VLOOKUP(B1870,'Pre-Summary'!$BG$6:$BL$44,4,FALSE),"")</f>
        <v/>
      </c>
    </row>
    <row r="1871" spans="2:39" ht="15" customHeight="1" x14ac:dyDescent="0.3">
      <c r="B1871">
        <v>186.8</v>
      </c>
      <c r="C1871" t="str">
        <f>IFERROR(VLOOKUP(B1871,'Pre-Summary'!$DI$6:$DM$23,4,FALSE),"")</f>
        <v/>
      </c>
      <c r="D1871" s="10" t="str">
        <f>IFERROR(VLOOKUP(B1871,'Pre-Summary'!$AT$6:$AX$14,5,FALSE),D1870)</f>
        <v>Wolfe v3: went back to modified wolfe + EDTA and switched CuSO4 to CUCl2</v>
      </c>
      <c r="E1871" s="10" t="str">
        <f>IFERROR(VLOOKUP(B1871,'Pre-Summary'!$AT$6:$AX$15,4,FALSE),"")</f>
        <v/>
      </c>
      <c r="F1871">
        <f>IFERROR(VLOOKUP(B1871,'Pre-Summary'!$AL$6:$AQ$13,6,FALSE),F1870)</f>
        <v>5.9405263157894746E-2</v>
      </c>
      <c r="G1871" t="str">
        <f>IFERROR(VLOOKUP(B1871,'Pre-Summary'!$AE$6:$AJ$85,3,FALSE),"")</f>
        <v/>
      </c>
      <c r="H1871" t="str">
        <f>IFERROR(VLOOKUP(B1871,'Pre-Summary'!$AE$6:$AJ$85,4,FALSE),"")</f>
        <v/>
      </c>
      <c r="I1871" t="str">
        <f>IFERROR(VLOOKUP(B1871,'Pre-Summary'!$AE$6:$AJ$85,5,FALSE),"")</f>
        <v/>
      </c>
      <c r="J1871" s="45" t="str">
        <f>IFERROR(VLOOKUP(B1871,'Pre-Summary'!$AE$6:$AJ$85,6, FALSE),"")</f>
        <v/>
      </c>
      <c r="K1871" s="45" t="str">
        <f>IFERROR(VLOOKUP(B1871,'Pre-Summary'!$DE$6:$DG$61,3,FALSE),"")</f>
        <v/>
      </c>
      <c r="L1871" s="45" t="str">
        <f>IFERROR(VLOOKUP(B1871,'Pre-Summary'!$CU$6:$CW$36,3,FALSE),"")</f>
        <v/>
      </c>
      <c r="M1871" s="45" t="str">
        <f>IFERROR(VLOOKUP(B1871,'Pre-Summary'!$BW$6:$BY$58,2,FALSE),"")</f>
        <v/>
      </c>
      <c r="N1871" s="45" t="str">
        <f>IFERROR(VLOOKUP(B1871,'Pre-Summary'!$CD$6:$CF$64,2,FALSE),"")</f>
        <v/>
      </c>
      <c r="O1871" s="99">
        <f>IFERROR(VLOOKUP(B1871,'Pre-Summary'!$BO$6:$BQ$48,3, FALSE),O1870)</f>
        <v>1.25</v>
      </c>
      <c r="P1871" s="99">
        <f>IFERROR(VLOOKUP(B1871,'Pre-Summary'!$BS$6:$BU$35,3,FALSE),P1870)</f>
        <v>0.33700000000000002</v>
      </c>
      <c r="Q1871" s="54">
        <f t="shared" si="87"/>
        <v>3.7091988130563798</v>
      </c>
      <c r="R1871" s="53">
        <f>IFERROR(VLOOKUP(B1871,'Pre-Summary'!$BG$6:$BM$44,7,FALSE),R1872)</f>
        <v>7.9325362566443819E-2</v>
      </c>
      <c r="S1871" s="53">
        <f>IFERROR(VLOOKUP(B1871,'Pre-Summary'!$BG$6:$BM$44,6,FALSE),S1872)</f>
        <v>0.10333499253358684</v>
      </c>
      <c r="T1871" s="45" t="str">
        <f>IFERROR(VLOOKUP(B1871,'Pre-Summary'!$Y$6:$AC$83, 3,FALSE),"")</f>
        <v/>
      </c>
      <c r="U1871" s="45" t="str">
        <f>IFERROR(VLOOKUP(B1871,'Pre-Summary'!$Y$6:$AC$83, 4,FALSE),"")</f>
        <v/>
      </c>
      <c r="V1871" t="str">
        <f>IFERROR(VLOOKUP(B1871,'Pre-Summary'!$Y$6:$AC$83, 5,FALSE),"")</f>
        <v/>
      </c>
      <c r="W1871" s="45" t="str">
        <f>IFERROR(VLOOKUP(B1871,'Pre-Summary'!$Y$6:$AD$83,6,FALSE),"")</f>
        <v/>
      </c>
      <c r="X1871" t="str">
        <f>IFERROR(VLOOKUP('Pre-Summary'!$DB$6:$DD$63,3,FALSE),"")</f>
        <v/>
      </c>
      <c r="Y1871" t="str">
        <f>IFERROR(VLOOKUP(B1871,'Pre-Summary'!$CR$6:$CT$36,3,FALSE),"")</f>
        <v/>
      </c>
      <c r="Z1871" s="45" t="str">
        <f>IFERROR(VLOOKUP(B1871,'Pre-Summary'!$BZ$6:$CB$63,2,FALSE),"")</f>
        <v/>
      </c>
      <c r="AA1871" s="45" t="str">
        <f>IFERROR(VLOOKUP(B1871,'Pre-Summary'!$CG$6:$CI$70,2,FALSE),"")</f>
        <v/>
      </c>
      <c r="AB1871" s="99">
        <f>IFERROR(VLOOKUP(B1871,'Pre-Summary'!$A$6:$P$178,9,FALSE),AB1872)</f>
        <v>0.31225386628581325</v>
      </c>
      <c r="AC1871" s="10">
        <f>IFERROR(VLOOKUP(Summary!B1871,'Pre-Summary'!$A$6:$P$184,5, FALSE)/100,AC1872)</f>
        <v>0.94007200000000002</v>
      </c>
      <c r="AD1871" s="10">
        <f>IFERROR(VLOOKUP(Summary!B1871,'Pre-Summary'!$A$6:$P$184,3, FALSE)/100,AD1872)</f>
        <v>3.2489000000000004E-2</v>
      </c>
      <c r="AE1871" s="10">
        <f>IFERROR(VLOOKUP(Summary!B1871,'Pre-Summary'!$A$6:$P$184,7, FALSE)/100,AE1872)</f>
        <v>2.7439000000000002E-2</v>
      </c>
      <c r="AF1871" s="99">
        <f t="shared" si="88"/>
        <v>1.0144815861759788E-2</v>
      </c>
      <c r="AG1871" s="99">
        <f t="shared" si="89"/>
        <v>8.5679338370164299E-3</v>
      </c>
      <c r="AH1871" s="10" t="str">
        <f>IFERROR(VLOOKUP(B1871,'Pre-Summary'!$AZ$6:$BE$65,3,FALSE),"")</f>
        <v/>
      </c>
      <c r="AI1871" s="10" t="str">
        <f>IFERROR(VLOOKUP(B1871,'Pre-Summary'!$AZ$6:$BE$65,5,FALSE),"")</f>
        <v/>
      </c>
      <c r="AJ1871" s="10" t="str">
        <f>IFERROR(VLOOKUP(B1871,'Pre-Summary'!$AZ$6:$BE$65,4,FALSE),"")</f>
        <v/>
      </c>
      <c r="AK1871" s="10" t="str">
        <f>IFERROR(VLOOKUP(B1871,'Pre-Summary'!$AZ$6:$BE$65,6,FALSE),"")</f>
        <v/>
      </c>
      <c r="AL1871" s="10" t="str">
        <f>IFERROR(VLOOKUP(B1871,'Pre-Summary'!$BG$6:$BL$44,3,FALSE),"")</f>
        <v/>
      </c>
      <c r="AM1871" s="10" t="str">
        <f>IFERROR(VLOOKUP(B1871,'Pre-Summary'!$BG$6:$BL$44,4,FALSE),"")</f>
        <v/>
      </c>
    </row>
    <row r="1872" spans="2:39" ht="15" customHeight="1" x14ac:dyDescent="0.3">
      <c r="B1872">
        <v>186.9</v>
      </c>
      <c r="C1872" t="str">
        <f>IFERROR(VLOOKUP(B1872,'Pre-Summary'!$DI$6:$DM$23,4,FALSE),"")</f>
        <v/>
      </c>
      <c r="D1872" s="10" t="str">
        <f>IFERROR(VLOOKUP(B1872,'Pre-Summary'!$AT$6:$AX$14,5,FALSE),D1871)</f>
        <v>Wolfe v3: went back to modified wolfe + EDTA and switched CuSO4 to CUCl2</v>
      </c>
      <c r="E1872" s="10" t="str">
        <f>IFERROR(VLOOKUP(B1872,'Pre-Summary'!$AT$6:$AX$15,4,FALSE),"")</f>
        <v/>
      </c>
      <c r="F1872">
        <f>IFERROR(VLOOKUP(B1872,'Pre-Summary'!$AL$6:$AQ$13,6,FALSE),F1871)</f>
        <v>5.9405263157894746E-2</v>
      </c>
      <c r="G1872" t="str">
        <f>IFERROR(VLOOKUP(B1872,'Pre-Summary'!$AE$6:$AJ$85,3,FALSE),"")</f>
        <v/>
      </c>
      <c r="H1872" t="str">
        <f>IFERROR(VLOOKUP(B1872,'Pre-Summary'!$AE$6:$AJ$85,4,FALSE),"")</f>
        <v/>
      </c>
      <c r="I1872" t="str">
        <f>IFERROR(VLOOKUP(B1872,'Pre-Summary'!$AE$6:$AJ$85,5,FALSE),"")</f>
        <v/>
      </c>
      <c r="J1872" s="45" t="str">
        <f>IFERROR(VLOOKUP(B1872,'Pre-Summary'!$AE$6:$AJ$85,6, FALSE),"")</f>
        <v/>
      </c>
      <c r="K1872" s="45" t="str">
        <f>IFERROR(VLOOKUP(B1872,'Pre-Summary'!$DE$6:$DG$61,3,FALSE),"")</f>
        <v/>
      </c>
      <c r="L1872" s="45" t="str">
        <f>IFERROR(VLOOKUP(B1872,'Pre-Summary'!$CU$6:$CW$36,3,FALSE),"")</f>
        <v/>
      </c>
      <c r="M1872" s="45" t="str">
        <f>IFERROR(VLOOKUP(B1872,'Pre-Summary'!$BW$6:$BY$58,2,FALSE),"")</f>
        <v/>
      </c>
      <c r="N1872" s="45" t="str">
        <f>IFERROR(VLOOKUP(B1872,'Pre-Summary'!$CD$6:$CF$64,2,FALSE),"")</f>
        <v/>
      </c>
      <c r="O1872" s="99">
        <f>IFERROR(VLOOKUP(B1872,'Pre-Summary'!$BO$6:$BQ$48,3, FALSE),O1871)</f>
        <v>1.25</v>
      </c>
      <c r="P1872" s="99">
        <f>IFERROR(VLOOKUP(B1872,'Pre-Summary'!$BS$6:$BU$35,3,FALSE),P1871)</f>
        <v>0.33700000000000002</v>
      </c>
      <c r="Q1872" s="54">
        <f t="shared" si="87"/>
        <v>3.7091988130563798</v>
      </c>
      <c r="R1872" s="53">
        <f>IFERROR(VLOOKUP(B1872,'Pre-Summary'!$BG$6:$BM$44,7,FALSE),R1873)</f>
        <v>7.9325362566443819E-2</v>
      </c>
      <c r="S1872" s="53">
        <f>IFERROR(VLOOKUP(B1872,'Pre-Summary'!$BG$6:$BM$44,6,FALSE),S1873)</f>
        <v>0.10333499253358684</v>
      </c>
      <c r="T1872" s="45" t="str">
        <f>IFERROR(VLOOKUP(B1872,'Pre-Summary'!$Y$6:$AC$83, 3,FALSE),"")</f>
        <v/>
      </c>
      <c r="U1872" s="45" t="str">
        <f>IFERROR(VLOOKUP(B1872,'Pre-Summary'!$Y$6:$AC$83, 4,FALSE),"")</f>
        <v/>
      </c>
      <c r="V1872" t="str">
        <f>IFERROR(VLOOKUP(B1872,'Pre-Summary'!$Y$6:$AC$83, 5,FALSE),"")</f>
        <v/>
      </c>
      <c r="W1872" s="45" t="str">
        <f>IFERROR(VLOOKUP(B1872,'Pre-Summary'!$Y$6:$AD$83,6,FALSE),"")</f>
        <v/>
      </c>
      <c r="X1872" t="str">
        <f>IFERROR(VLOOKUP('Pre-Summary'!$DB$6:$DD$63,3,FALSE),"")</f>
        <v/>
      </c>
      <c r="Y1872" t="str">
        <f>IFERROR(VLOOKUP(B1872,'Pre-Summary'!$CR$6:$CT$36,3,FALSE),"")</f>
        <v/>
      </c>
      <c r="Z1872" s="45" t="str">
        <f>IFERROR(VLOOKUP(B1872,'Pre-Summary'!$BZ$6:$CB$63,2,FALSE),"")</f>
        <v/>
      </c>
      <c r="AA1872" s="45" t="str">
        <f>IFERROR(VLOOKUP(B1872,'Pre-Summary'!$CG$6:$CI$70,2,FALSE),"")</f>
        <v/>
      </c>
      <c r="AB1872" s="99">
        <f>IFERROR(VLOOKUP(B1872,'Pre-Summary'!$A$6:$P$178,9,FALSE),AB1873)</f>
        <v>0.31225386628581325</v>
      </c>
      <c r="AC1872" s="10">
        <f>IFERROR(VLOOKUP(Summary!B1872,'Pre-Summary'!$A$6:$P$184,5, FALSE)/100,AC1873)</f>
        <v>0.94007200000000002</v>
      </c>
      <c r="AD1872" s="10">
        <f>IFERROR(VLOOKUP(Summary!B1872,'Pre-Summary'!$A$6:$P$184,3, FALSE)/100,AD1873)</f>
        <v>3.2489000000000004E-2</v>
      </c>
      <c r="AE1872" s="10">
        <f>IFERROR(VLOOKUP(Summary!B1872,'Pre-Summary'!$A$6:$P$184,7, FALSE)/100,AE1873)</f>
        <v>2.7439000000000002E-2</v>
      </c>
      <c r="AF1872" s="99">
        <f t="shared" si="88"/>
        <v>1.0144815861759788E-2</v>
      </c>
      <c r="AG1872" s="99">
        <f t="shared" si="89"/>
        <v>8.5679338370164299E-3</v>
      </c>
      <c r="AH1872" s="10" t="str">
        <f>IFERROR(VLOOKUP(B1872,'Pre-Summary'!$AZ$6:$BE$65,3,FALSE),"")</f>
        <v/>
      </c>
      <c r="AI1872" s="10" t="str">
        <f>IFERROR(VLOOKUP(B1872,'Pre-Summary'!$AZ$6:$BE$65,5,FALSE),"")</f>
        <v/>
      </c>
      <c r="AJ1872" s="10" t="str">
        <f>IFERROR(VLOOKUP(B1872,'Pre-Summary'!$AZ$6:$BE$65,4,FALSE),"")</f>
        <v/>
      </c>
      <c r="AK1872" s="10" t="str">
        <f>IFERROR(VLOOKUP(B1872,'Pre-Summary'!$AZ$6:$BE$65,6,FALSE),"")</f>
        <v/>
      </c>
      <c r="AL1872" s="10" t="str">
        <f>IFERROR(VLOOKUP(B1872,'Pre-Summary'!$BG$6:$BL$44,3,FALSE),"")</f>
        <v/>
      </c>
      <c r="AM1872" s="10" t="str">
        <f>IFERROR(VLOOKUP(B1872,'Pre-Summary'!$BG$6:$BL$44,4,FALSE),"")</f>
        <v/>
      </c>
    </row>
    <row r="1873" spans="2:39" ht="15" customHeight="1" x14ac:dyDescent="0.3">
      <c r="B1873">
        <v>187</v>
      </c>
      <c r="C1873" t="str">
        <f>IFERROR(VLOOKUP(B1873,'Pre-Summary'!$DI$6:$DM$23,4,FALSE),"")</f>
        <v/>
      </c>
      <c r="D1873" s="10" t="str">
        <f>IFERROR(VLOOKUP(B1873,'Pre-Summary'!$AT$6:$AX$14,5,FALSE),D1872)</f>
        <v>Wolfe v3: went back to modified wolfe + EDTA and switched CuSO4 to CUCl2</v>
      </c>
      <c r="E1873" s="10" t="str">
        <f>IFERROR(VLOOKUP(B1873,'Pre-Summary'!$AT$6:$AX$15,4,FALSE),"")</f>
        <v/>
      </c>
      <c r="F1873">
        <f>IFERROR(VLOOKUP(B1873,'Pre-Summary'!$AL$6:$AQ$13,6,FALSE),F1872)</f>
        <v>5.9405263157894746E-2</v>
      </c>
      <c r="G1873" t="str">
        <f>IFERROR(VLOOKUP(B1873,'Pre-Summary'!$AE$6:$AJ$85,3,FALSE),"")</f>
        <v/>
      </c>
      <c r="H1873" t="str">
        <f>IFERROR(VLOOKUP(B1873,'Pre-Summary'!$AE$6:$AJ$85,4,FALSE),"")</f>
        <v/>
      </c>
      <c r="I1873" t="str">
        <f>IFERROR(VLOOKUP(B1873,'Pre-Summary'!$AE$6:$AJ$85,5,FALSE),"")</f>
        <v/>
      </c>
      <c r="J1873" s="45" t="str">
        <f>IFERROR(VLOOKUP(B1873,'Pre-Summary'!$AE$6:$AJ$85,6, FALSE),"")</f>
        <v/>
      </c>
      <c r="K1873" s="45" t="str">
        <f>IFERROR(VLOOKUP(B1873,'Pre-Summary'!$DE$6:$DG$61,3,FALSE),"")</f>
        <v/>
      </c>
      <c r="L1873" s="45" t="str">
        <f>IFERROR(VLOOKUP(B1873,'Pre-Summary'!$CU$6:$CW$36,3,FALSE),"")</f>
        <v/>
      </c>
      <c r="M1873" s="45" t="str">
        <f>IFERROR(VLOOKUP(B1873,'Pre-Summary'!$BW$6:$BY$58,2,FALSE),"")</f>
        <v/>
      </c>
      <c r="N1873" s="45" t="str">
        <f>IFERROR(VLOOKUP(B1873,'Pre-Summary'!$CD$6:$CF$64,2,FALSE),"")</f>
        <v/>
      </c>
      <c r="O1873" s="99">
        <f>IFERROR(VLOOKUP(B1873,'Pre-Summary'!$BO$6:$BQ$48,3, FALSE),O1872)</f>
        <v>1.25</v>
      </c>
      <c r="P1873" s="99">
        <f>IFERROR(VLOOKUP(B1873,'Pre-Summary'!$BS$6:$BU$35,3,FALSE),P1872)</f>
        <v>0.33700000000000002</v>
      </c>
      <c r="Q1873" s="54">
        <f t="shared" si="87"/>
        <v>3.7091988130563798</v>
      </c>
      <c r="R1873" s="53">
        <f>IFERROR(VLOOKUP(B1873,'Pre-Summary'!$BG$6:$BM$44,7,FALSE),R1874)</f>
        <v>7.9325362566443819E-2</v>
      </c>
      <c r="S1873" s="53">
        <f>IFERROR(VLOOKUP(B1873,'Pre-Summary'!$BG$6:$BM$44,6,FALSE),S1874)</f>
        <v>0.10333499253358684</v>
      </c>
      <c r="T1873" s="45" t="str">
        <f>IFERROR(VLOOKUP(B1873,'Pre-Summary'!$Y$6:$AC$83, 3,FALSE),"")</f>
        <v/>
      </c>
      <c r="U1873" s="45" t="str">
        <f>IFERROR(VLOOKUP(B1873,'Pre-Summary'!$Y$6:$AC$83, 4,FALSE),"")</f>
        <v/>
      </c>
      <c r="V1873" t="str">
        <f>IFERROR(VLOOKUP(B1873,'Pre-Summary'!$Y$6:$AC$83, 5,FALSE),"")</f>
        <v/>
      </c>
      <c r="W1873" s="45" t="str">
        <f>IFERROR(VLOOKUP(B1873,'Pre-Summary'!$Y$6:$AD$83,6,FALSE),"")</f>
        <v/>
      </c>
      <c r="X1873" t="str">
        <f>IFERROR(VLOOKUP('Pre-Summary'!$DB$6:$DD$63,3,FALSE),"")</f>
        <v/>
      </c>
      <c r="Y1873" t="str">
        <f>IFERROR(VLOOKUP(B1873,'Pre-Summary'!$CR$6:$CT$36,3,FALSE),"")</f>
        <v/>
      </c>
      <c r="Z1873" s="45" t="str">
        <f>IFERROR(VLOOKUP(B1873,'Pre-Summary'!$BZ$6:$CB$63,2,FALSE),"")</f>
        <v/>
      </c>
      <c r="AA1873" s="45" t="str">
        <f>IFERROR(VLOOKUP(B1873,'Pre-Summary'!$CG$6:$CI$70,2,FALSE),"")</f>
        <v/>
      </c>
      <c r="AB1873" s="99">
        <f>IFERROR(VLOOKUP(B1873,'Pre-Summary'!$A$6:$P$178,9,FALSE),AB1874)</f>
        <v>0.31225386628581325</v>
      </c>
      <c r="AC1873" s="10">
        <f>IFERROR(VLOOKUP(Summary!B1873,'Pre-Summary'!$A$6:$P$184,5, FALSE)/100,AC1874)</f>
        <v>0.94007200000000002</v>
      </c>
      <c r="AD1873" s="10">
        <f>IFERROR(VLOOKUP(Summary!B1873,'Pre-Summary'!$A$6:$P$184,3, FALSE)/100,AD1874)</f>
        <v>3.2489000000000004E-2</v>
      </c>
      <c r="AE1873" s="10">
        <f>IFERROR(VLOOKUP(Summary!B1873,'Pre-Summary'!$A$6:$P$184,7, FALSE)/100,AE1874)</f>
        <v>2.7439000000000002E-2</v>
      </c>
      <c r="AF1873" s="99">
        <f t="shared" si="88"/>
        <v>1.0144815861759788E-2</v>
      </c>
      <c r="AG1873" s="99">
        <f t="shared" si="89"/>
        <v>8.5679338370164299E-3</v>
      </c>
      <c r="AH1873" s="10" t="str">
        <f>IFERROR(VLOOKUP(B1873,'Pre-Summary'!$AZ$6:$BE$65,3,FALSE),"")</f>
        <v/>
      </c>
      <c r="AI1873" s="10" t="str">
        <f>IFERROR(VLOOKUP(B1873,'Pre-Summary'!$AZ$6:$BE$65,5,FALSE),"")</f>
        <v/>
      </c>
      <c r="AJ1873" s="10" t="str">
        <f>IFERROR(VLOOKUP(B1873,'Pre-Summary'!$AZ$6:$BE$65,4,FALSE),"")</f>
        <v/>
      </c>
      <c r="AK1873" s="10" t="str">
        <f>IFERROR(VLOOKUP(B1873,'Pre-Summary'!$AZ$6:$BE$65,6,FALSE),"")</f>
        <v/>
      </c>
      <c r="AL1873" s="10" t="str">
        <f>IFERROR(VLOOKUP(B1873,'Pre-Summary'!$BG$6:$BL$44,3,FALSE),"")</f>
        <v/>
      </c>
      <c r="AM1873" s="10" t="str">
        <f>IFERROR(VLOOKUP(B1873,'Pre-Summary'!$BG$6:$BL$44,4,FALSE),"")</f>
        <v/>
      </c>
    </row>
    <row r="1874" spans="2:39" ht="15" customHeight="1" x14ac:dyDescent="0.3">
      <c r="B1874">
        <v>187.1</v>
      </c>
      <c r="C1874" t="str">
        <f>IFERROR(VLOOKUP(B1874,'Pre-Summary'!$DI$6:$DM$23,4,FALSE),"")</f>
        <v/>
      </c>
      <c r="D1874" s="10" t="str">
        <f>IFERROR(VLOOKUP(B1874,'Pre-Summary'!$AT$6:$AX$14,5,FALSE),D1873)</f>
        <v>Wolfe v3: went back to modified wolfe + EDTA and switched CuSO4 to CUCl2</v>
      </c>
      <c r="E1874" s="10" t="str">
        <f>IFERROR(VLOOKUP(B1874,'Pre-Summary'!$AT$6:$AX$15,4,FALSE),"")</f>
        <v/>
      </c>
      <c r="F1874">
        <f>IFERROR(VLOOKUP(B1874,'Pre-Summary'!$AL$6:$AQ$13,6,FALSE),F1873)</f>
        <v>5.9405263157894746E-2</v>
      </c>
      <c r="G1874" t="str">
        <f>IFERROR(VLOOKUP(B1874,'Pre-Summary'!$AE$6:$AJ$85,3,FALSE),"")</f>
        <v/>
      </c>
      <c r="H1874" t="str">
        <f>IFERROR(VLOOKUP(B1874,'Pre-Summary'!$AE$6:$AJ$85,4,FALSE),"")</f>
        <v/>
      </c>
      <c r="I1874" t="str">
        <f>IFERROR(VLOOKUP(B1874,'Pre-Summary'!$AE$6:$AJ$85,5,FALSE),"")</f>
        <v/>
      </c>
      <c r="J1874" s="45" t="str">
        <f>IFERROR(VLOOKUP(B1874,'Pre-Summary'!$AE$6:$AJ$85,6, FALSE),"")</f>
        <v/>
      </c>
      <c r="K1874" s="45" t="str">
        <f>IFERROR(VLOOKUP(B1874,'Pre-Summary'!$DE$6:$DG$61,3,FALSE),"")</f>
        <v/>
      </c>
      <c r="L1874" s="45" t="str">
        <f>IFERROR(VLOOKUP(B1874,'Pre-Summary'!$CU$6:$CW$36,3,FALSE),"")</f>
        <v/>
      </c>
      <c r="M1874" s="45" t="str">
        <f>IFERROR(VLOOKUP(B1874,'Pre-Summary'!$BW$6:$BY$58,2,FALSE),"")</f>
        <v/>
      </c>
      <c r="N1874" s="45" t="str">
        <f>IFERROR(VLOOKUP(B1874,'Pre-Summary'!$CD$6:$CF$64,2,FALSE),"")</f>
        <v/>
      </c>
      <c r="O1874" s="99">
        <f>IFERROR(VLOOKUP(B1874,'Pre-Summary'!$BO$6:$BQ$48,3, FALSE),O1873)</f>
        <v>1.25</v>
      </c>
      <c r="P1874" s="99">
        <f>IFERROR(VLOOKUP(B1874,'Pre-Summary'!$BS$6:$BU$35,3,FALSE),P1873)</f>
        <v>0.33700000000000002</v>
      </c>
      <c r="Q1874" s="54">
        <f t="shared" si="87"/>
        <v>3.7091988130563798</v>
      </c>
      <c r="R1874" s="53">
        <f>IFERROR(VLOOKUP(B1874,'Pre-Summary'!$BG$6:$BM$44,7,FALSE),R1875)</f>
        <v>7.9325362566443819E-2</v>
      </c>
      <c r="S1874" s="53">
        <f>IFERROR(VLOOKUP(B1874,'Pre-Summary'!$BG$6:$BM$44,6,FALSE),S1875)</f>
        <v>0.10333499253358684</v>
      </c>
      <c r="T1874" s="45" t="str">
        <f>IFERROR(VLOOKUP(B1874,'Pre-Summary'!$Y$6:$AC$83, 3,FALSE),"")</f>
        <v/>
      </c>
      <c r="U1874" s="45" t="str">
        <f>IFERROR(VLOOKUP(B1874,'Pre-Summary'!$Y$6:$AC$83, 4,FALSE),"")</f>
        <v/>
      </c>
      <c r="V1874" t="str">
        <f>IFERROR(VLOOKUP(B1874,'Pre-Summary'!$Y$6:$AC$83, 5,FALSE),"")</f>
        <v/>
      </c>
      <c r="W1874" s="45" t="str">
        <f>IFERROR(VLOOKUP(B1874,'Pre-Summary'!$Y$6:$AD$83,6,FALSE),"")</f>
        <v/>
      </c>
      <c r="X1874" t="str">
        <f>IFERROR(VLOOKUP('Pre-Summary'!$DB$6:$DD$63,3,FALSE),"")</f>
        <v/>
      </c>
      <c r="Y1874" t="str">
        <f>IFERROR(VLOOKUP(B1874,'Pre-Summary'!$CR$6:$CT$36,3,FALSE),"")</f>
        <v/>
      </c>
      <c r="Z1874" s="45" t="str">
        <f>IFERROR(VLOOKUP(B1874,'Pre-Summary'!$BZ$6:$CB$63,2,FALSE),"")</f>
        <v/>
      </c>
      <c r="AA1874" s="45" t="str">
        <f>IFERROR(VLOOKUP(B1874,'Pre-Summary'!$CG$6:$CI$70,2,FALSE),"")</f>
        <v/>
      </c>
      <c r="AB1874" s="99">
        <f>IFERROR(VLOOKUP(B1874,'Pre-Summary'!$A$6:$P$178,9,FALSE),AB1875)</f>
        <v>0.31225386628581325</v>
      </c>
      <c r="AC1874" s="10">
        <f>IFERROR(VLOOKUP(Summary!B1874,'Pre-Summary'!$A$6:$P$184,5, FALSE)/100,AC1875)</f>
        <v>0.94007200000000002</v>
      </c>
      <c r="AD1874" s="10">
        <f>IFERROR(VLOOKUP(Summary!B1874,'Pre-Summary'!$A$6:$P$184,3, FALSE)/100,AD1875)</f>
        <v>3.2489000000000004E-2</v>
      </c>
      <c r="AE1874" s="10">
        <f>IFERROR(VLOOKUP(Summary!B1874,'Pre-Summary'!$A$6:$P$184,7, FALSE)/100,AE1875)</f>
        <v>2.7439000000000002E-2</v>
      </c>
      <c r="AF1874" s="99">
        <f t="shared" si="88"/>
        <v>1.0144815861759788E-2</v>
      </c>
      <c r="AG1874" s="99">
        <f t="shared" si="89"/>
        <v>8.5679338370164299E-3</v>
      </c>
      <c r="AH1874" s="10" t="str">
        <f>IFERROR(VLOOKUP(B1874,'Pre-Summary'!$AZ$6:$BE$65,3,FALSE),"")</f>
        <v/>
      </c>
      <c r="AI1874" s="10" t="str">
        <f>IFERROR(VLOOKUP(B1874,'Pre-Summary'!$AZ$6:$BE$65,5,FALSE),"")</f>
        <v/>
      </c>
      <c r="AJ1874" s="10" t="str">
        <f>IFERROR(VLOOKUP(B1874,'Pre-Summary'!$AZ$6:$BE$65,4,FALSE),"")</f>
        <v/>
      </c>
      <c r="AK1874" s="10" t="str">
        <f>IFERROR(VLOOKUP(B1874,'Pre-Summary'!$AZ$6:$BE$65,6,FALSE),"")</f>
        <v/>
      </c>
      <c r="AL1874" s="10" t="str">
        <f>IFERROR(VLOOKUP(B1874,'Pre-Summary'!$BG$6:$BL$44,3,FALSE),"")</f>
        <v/>
      </c>
      <c r="AM1874" s="10" t="str">
        <f>IFERROR(VLOOKUP(B1874,'Pre-Summary'!$BG$6:$BL$44,4,FALSE),"")</f>
        <v/>
      </c>
    </row>
    <row r="1875" spans="2:39" ht="15" customHeight="1" x14ac:dyDescent="0.3">
      <c r="B1875">
        <v>187.2</v>
      </c>
      <c r="C1875" t="str">
        <f>IFERROR(VLOOKUP(B1875,'Pre-Summary'!$DI$6:$DM$23,4,FALSE),"")</f>
        <v/>
      </c>
      <c r="D1875" s="10" t="str">
        <f>IFERROR(VLOOKUP(B1875,'Pre-Summary'!$AT$6:$AX$14,5,FALSE),D1874)</f>
        <v>Wolfe v3: went back to modified wolfe + EDTA and switched CuSO4 to CUCl2</v>
      </c>
      <c r="E1875" s="10" t="str">
        <f>IFERROR(VLOOKUP(B1875,'Pre-Summary'!$AT$6:$AX$15,4,FALSE),"")</f>
        <v/>
      </c>
      <c r="F1875">
        <f>IFERROR(VLOOKUP(B1875,'Pre-Summary'!$AL$6:$AQ$13,6,FALSE),F1874)</f>
        <v>5.9405263157894746E-2</v>
      </c>
      <c r="G1875" t="str">
        <f>IFERROR(VLOOKUP(B1875,'Pre-Summary'!$AE$6:$AJ$85,3,FALSE),"")</f>
        <v/>
      </c>
      <c r="H1875" t="str">
        <f>IFERROR(VLOOKUP(B1875,'Pre-Summary'!$AE$6:$AJ$85,4,FALSE),"")</f>
        <v/>
      </c>
      <c r="I1875" t="str">
        <f>IFERROR(VLOOKUP(B1875,'Pre-Summary'!$AE$6:$AJ$85,5,FALSE),"")</f>
        <v/>
      </c>
      <c r="J1875" s="45" t="str">
        <f>IFERROR(VLOOKUP(B1875,'Pre-Summary'!$AE$6:$AJ$85,6, FALSE),"")</f>
        <v/>
      </c>
      <c r="K1875" s="45" t="str">
        <f>IFERROR(VLOOKUP(B1875,'Pre-Summary'!$DE$6:$DG$61,3,FALSE),"")</f>
        <v/>
      </c>
      <c r="L1875" s="45" t="str">
        <f>IFERROR(VLOOKUP(B1875,'Pre-Summary'!$CU$6:$CW$36,3,FALSE),"")</f>
        <v/>
      </c>
      <c r="M1875" s="45" t="str">
        <f>IFERROR(VLOOKUP(B1875,'Pre-Summary'!$BW$6:$BY$58,2,FALSE),"")</f>
        <v/>
      </c>
      <c r="N1875" s="45" t="str">
        <f>IFERROR(VLOOKUP(B1875,'Pre-Summary'!$CD$6:$CF$64,2,FALSE),"")</f>
        <v/>
      </c>
      <c r="O1875" s="99">
        <f>IFERROR(VLOOKUP(B1875,'Pre-Summary'!$BO$6:$BQ$48,3, FALSE),O1874)</f>
        <v>1.25</v>
      </c>
      <c r="P1875" s="99">
        <f>IFERROR(VLOOKUP(B1875,'Pre-Summary'!$BS$6:$BU$35,3,FALSE),P1874)</f>
        <v>0.33700000000000002</v>
      </c>
      <c r="Q1875" s="54">
        <f t="shared" si="87"/>
        <v>3.7091988130563798</v>
      </c>
      <c r="R1875" s="53">
        <f>IFERROR(VLOOKUP(B1875,'Pre-Summary'!$BG$6:$BM$44,7,FALSE),R1876)</f>
        <v>7.9325362566443819E-2</v>
      </c>
      <c r="S1875" s="53">
        <f>IFERROR(VLOOKUP(B1875,'Pre-Summary'!$BG$6:$BM$44,6,FALSE),S1876)</f>
        <v>0.10333499253358684</v>
      </c>
      <c r="T1875" s="45" t="str">
        <f>IFERROR(VLOOKUP(B1875,'Pre-Summary'!$Y$6:$AC$83, 3,FALSE),"")</f>
        <v/>
      </c>
      <c r="U1875" s="45" t="str">
        <f>IFERROR(VLOOKUP(B1875,'Pre-Summary'!$Y$6:$AC$83, 4,FALSE),"")</f>
        <v/>
      </c>
      <c r="V1875" t="str">
        <f>IFERROR(VLOOKUP(B1875,'Pre-Summary'!$Y$6:$AC$83, 5,FALSE),"")</f>
        <v/>
      </c>
      <c r="W1875" s="45" t="str">
        <f>IFERROR(VLOOKUP(B1875,'Pre-Summary'!$Y$6:$AD$83,6,FALSE),"")</f>
        <v/>
      </c>
      <c r="X1875" t="str">
        <f>IFERROR(VLOOKUP('Pre-Summary'!$DB$6:$DD$63,3,FALSE),"")</f>
        <v/>
      </c>
      <c r="Y1875" t="str">
        <f>IFERROR(VLOOKUP(B1875,'Pre-Summary'!$CR$6:$CT$36,3,FALSE),"")</f>
        <v/>
      </c>
      <c r="Z1875" s="45" t="str">
        <f>IFERROR(VLOOKUP(B1875,'Pre-Summary'!$BZ$6:$CB$63,2,FALSE),"")</f>
        <v/>
      </c>
      <c r="AA1875" s="45" t="str">
        <f>IFERROR(VLOOKUP(B1875,'Pre-Summary'!$CG$6:$CI$70,2,FALSE),"")</f>
        <v/>
      </c>
      <c r="AB1875" s="99">
        <f>IFERROR(VLOOKUP(B1875,'Pre-Summary'!$A$6:$P$178,9,FALSE),AB1876)</f>
        <v>0.31225386628581325</v>
      </c>
      <c r="AC1875" s="10">
        <f>IFERROR(VLOOKUP(Summary!B1875,'Pre-Summary'!$A$6:$P$184,5, FALSE)/100,AC1876)</f>
        <v>0.94007200000000002</v>
      </c>
      <c r="AD1875" s="10">
        <f>IFERROR(VLOOKUP(Summary!B1875,'Pre-Summary'!$A$6:$P$184,3, FALSE)/100,AD1876)</f>
        <v>3.2489000000000004E-2</v>
      </c>
      <c r="AE1875" s="10">
        <f>IFERROR(VLOOKUP(Summary!B1875,'Pre-Summary'!$A$6:$P$184,7, FALSE)/100,AE1876)</f>
        <v>2.7439000000000002E-2</v>
      </c>
      <c r="AF1875" s="99">
        <f t="shared" si="88"/>
        <v>1.0144815861759788E-2</v>
      </c>
      <c r="AG1875" s="99">
        <f t="shared" si="89"/>
        <v>8.5679338370164299E-3</v>
      </c>
      <c r="AH1875" s="10" t="str">
        <f>IFERROR(VLOOKUP(B1875,'Pre-Summary'!$AZ$6:$BE$65,3,FALSE),"")</f>
        <v/>
      </c>
      <c r="AI1875" s="10" t="str">
        <f>IFERROR(VLOOKUP(B1875,'Pre-Summary'!$AZ$6:$BE$65,5,FALSE),"")</f>
        <v/>
      </c>
      <c r="AJ1875" s="10" t="str">
        <f>IFERROR(VLOOKUP(B1875,'Pre-Summary'!$AZ$6:$BE$65,4,FALSE),"")</f>
        <v/>
      </c>
      <c r="AK1875" s="10" t="str">
        <f>IFERROR(VLOOKUP(B1875,'Pre-Summary'!$AZ$6:$BE$65,6,FALSE),"")</f>
        <v/>
      </c>
      <c r="AL1875" s="10" t="str">
        <f>IFERROR(VLOOKUP(B1875,'Pre-Summary'!$BG$6:$BL$44,3,FALSE),"")</f>
        <v/>
      </c>
      <c r="AM1875" s="10" t="str">
        <f>IFERROR(VLOOKUP(B1875,'Pre-Summary'!$BG$6:$BL$44,4,FALSE),"")</f>
        <v/>
      </c>
    </row>
    <row r="1876" spans="2:39" ht="15" customHeight="1" x14ac:dyDescent="0.3">
      <c r="B1876">
        <v>187.3</v>
      </c>
      <c r="C1876" t="str">
        <f>IFERROR(VLOOKUP(B1876,'Pre-Summary'!$DI$6:$DM$23,4,FALSE),"")</f>
        <v/>
      </c>
      <c r="D1876" s="10" t="str">
        <f>IFERROR(VLOOKUP(B1876,'Pre-Summary'!$AT$6:$AX$14,5,FALSE),D1875)</f>
        <v>Wolfe v3: went back to modified wolfe + EDTA and switched CuSO4 to CUCl2</v>
      </c>
      <c r="E1876" s="10" t="str">
        <f>IFERROR(VLOOKUP(B1876,'Pre-Summary'!$AT$6:$AX$15,4,FALSE),"")</f>
        <v/>
      </c>
      <c r="F1876">
        <f>IFERROR(VLOOKUP(B1876,'Pre-Summary'!$AL$6:$AQ$13,6,FALSE),F1875)</f>
        <v>5.9405263157894746E-2</v>
      </c>
      <c r="G1876" t="str">
        <f>IFERROR(VLOOKUP(B1876,'Pre-Summary'!$AE$6:$AJ$85,3,FALSE),"")</f>
        <v/>
      </c>
      <c r="H1876" t="str">
        <f>IFERROR(VLOOKUP(B1876,'Pre-Summary'!$AE$6:$AJ$85,4,FALSE),"")</f>
        <v/>
      </c>
      <c r="I1876" t="str">
        <f>IFERROR(VLOOKUP(B1876,'Pre-Summary'!$AE$6:$AJ$85,5,FALSE),"")</f>
        <v/>
      </c>
      <c r="J1876" s="45" t="str">
        <f>IFERROR(VLOOKUP(B1876,'Pre-Summary'!$AE$6:$AJ$85,6, FALSE),"")</f>
        <v/>
      </c>
      <c r="K1876" s="45" t="str">
        <f>IFERROR(VLOOKUP(B1876,'Pre-Summary'!$DE$6:$DG$61,3,FALSE),"")</f>
        <v/>
      </c>
      <c r="L1876" s="45" t="str">
        <f>IFERROR(VLOOKUP(B1876,'Pre-Summary'!$CU$6:$CW$36,3,FALSE),"")</f>
        <v/>
      </c>
      <c r="M1876" s="45" t="str">
        <f>IFERROR(VLOOKUP(B1876,'Pre-Summary'!$BW$6:$BY$58,2,FALSE),"")</f>
        <v/>
      </c>
      <c r="N1876" s="45" t="str">
        <f>IFERROR(VLOOKUP(B1876,'Pre-Summary'!$CD$6:$CF$64,2,FALSE),"")</f>
        <v/>
      </c>
      <c r="O1876" s="99">
        <f>IFERROR(VLOOKUP(B1876,'Pre-Summary'!$BO$6:$BQ$48,3, FALSE),O1875)</f>
        <v>1.25</v>
      </c>
      <c r="P1876" s="99">
        <f>IFERROR(VLOOKUP(B1876,'Pre-Summary'!$BS$6:$BU$35,3,FALSE),P1875)</f>
        <v>0.33700000000000002</v>
      </c>
      <c r="Q1876" s="54">
        <f t="shared" si="87"/>
        <v>3.7091988130563798</v>
      </c>
      <c r="R1876" s="53">
        <f>IFERROR(VLOOKUP(B1876,'Pre-Summary'!$BG$6:$BM$44,7,FALSE),R1877)</f>
        <v>7.9325362566443819E-2</v>
      </c>
      <c r="S1876" s="53">
        <f>IFERROR(VLOOKUP(B1876,'Pre-Summary'!$BG$6:$BM$44,6,FALSE),S1877)</f>
        <v>0.10333499253358684</v>
      </c>
      <c r="T1876" s="45" t="str">
        <f>IFERROR(VLOOKUP(B1876,'Pre-Summary'!$Y$6:$AC$83, 3,FALSE),"")</f>
        <v/>
      </c>
      <c r="U1876" s="45" t="str">
        <f>IFERROR(VLOOKUP(B1876,'Pre-Summary'!$Y$6:$AC$83, 4,FALSE),"")</f>
        <v/>
      </c>
      <c r="V1876" t="str">
        <f>IFERROR(VLOOKUP(B1876,'Pre-Summary'!$Y$6:$AC$83, 5,FALSE),"")</f>
        <v/>
      </c>
      <c r="W1876" s="45" t="str">
        <f>IFERROR(VLOOKUP(B1876,'Pre-Summary'!$Y$6:$AD$83,6,FALSE),"")</f>
        <v/>
      </c>
      <c r="X1876" t="str">
        <f>IFERROR(VLOOKUP('Pre-Summary'!$DB$6:$DD$63,3,FALSE),"")</f>
        <v/>
      </c>
      <c r="Y1876" t="str">
        <f>IFERROR(VLOOKUP(B1876,'Pre-Summary'!$CR$6:$CT$36,3,FALSE),"")</f>
        <v/>
      </c>
      <c r="Z1876" s="45" t="str">
        <f>IFERROR(VLOOKUP(B1876,'Pre-Summary'!$BZ$6:$CB$63,2,FALSE),"")</f>
        <v/>
      </c>
      <c r="AA1876" s="45" t="str">
        <f>IFERROR(VLOOKUP(B1876,'Pre-Summary'!$CG$6:$CI$70,2,FALSE),"")</f>
        <v/>
      </c>
      <c r="AB1876" s="99">
        <f>IFERROR(VLOOKUP(B1876,'Pre-Summary'!$A$6:$P$178,9,FALSE),AB1877)</f>
        <v>0.31225386628581325</v>
      </c>
      <c r="AC1876" s="10">
        <f>IFERROR(VLOOKUP(Summary!B1876,'Pre-Summary'!$A$6:$P$184,5, FALSE)/100,AC1877)</f>
        <v>0.94007200000000002</v>
      </c>
      <c r="AD1876" s="10">
        <f>IFERROR(VLOOKUP(Summary!B1876,'Pre-Summary'!$A$6:$P$184,3, FALSE)/100,AD1877)</f>
        <v>3.2489000000000004E-2</v>
      </c>
      <c r="AE1876" s="10">
        <f>IFERROR(VLOOKUP(Summary!B1876,'Pre-Summary'!$A$6:$P$184,7, FALSE)/100,AE1877)</f>
        <v>2.7439000000000002E-2</v>
      </c>
      <c r="AF1876" s="99">
        <f t="shared" si="88"/>
        <v>1.0144815861759788E-2</v>
      </c>
      <c r="AG1876" s="99">
        <f t="shared" si="89"/>
        <v>8.5679338370164299E-3</v>
      </c>
      <c r="AH1876" s="10" t="str">
        <f>IFERROR(VLOOKUP(B1876,'Pre-Summary'!$AZ$6:$BE$65,3,FALSE),"")</f>
        <v/>
      </c>
      <c r="AI1876" s="10" t="str">
        <f>IFERROR(VLOOKUP(B1876,'Pre-Summary'!$AZ$6:$BE$65,5,FALSE),"")</f>
        <v/>
      </c>
      <c r="AJ1876" s="10" t="str">
        <f>IFERROR(VLOOKUP(B1876,'Pre-Summary'!$AZ$6:$BE$65,4,FALSE),"")</f>
        <v/>
      </c>
      <c r="AK1876" s="10" t="str">
        <f>IFERROR(VLOOKUP(B1876,'Pre-Summary'!$AZ$6:$BE$65,6,FALSE),"")</f>
        <v/>
      </c>
      <c r="AL1876" s="10" t="str">
        <f>IFERROR(VLOOKUP(B1876,'Pre-Summary'!$BG$6:$BL$44,3,FALSE),"")</f>
        <v/>
      </c>
      <c r="AM1876" s="10" t="str">
        <f>IFERROR(VLOOKUP(B1876,'Pre-Summary'!$BG$6:$BL$44,4,FALSE),"")</f>
        <v/>
      </c>
    </row>
    <row r="1877" spans="2:39" ht="15" customHeight="1" x14ac:dyDescent="0.3">
      <c r="B1877">
        <v>187.4</v>
      </c>
      <c r="C1877" t="str">
        <f>IFERROR(VLOOKUP(B1877,'Pre-Summary'!$DI$6:$DM$23,4,FALSE),"")</f>
        <v/>
      </c>
      <c r="D1877" s="10" t="str">
        <f>IFERROR(VLOOKUP(B1877,'Pre-Summary'!$AT$6:$AX$14,5,FALSE),D1876)</f>
        <v>Wolfe v3: went back to modified wolfe + EDTA and switched CuSO4 to CUCl2</v>
      </c>
      <c r="E1877" s="10" t="str">
        <f>IFERROR(VLOOKUP(B1877,'Pre-Summary'!$AT$6:$AX$15,4,FALSE),"")</f>
        <v/>
      </c>
      <c r="F1877">
        <f>IFERROR(VLOOKUP(B1877,'Pre-Summary'!$AL$6:$AQ$13,6,FALSE),F1876)</f>
        <v>5.9405263157894746E-2</v>
      </c>
      <c r="G1877" t="str">
        <f>IFERROR(VLOOKUP(B1877,'Pre-Summary'!$AE$6:$AJ$85,3,FALSE),"")</f>
        <v/>
      </c>
      <c r="H1877" t="str">
        <f>IFERROR(VLOOKUP(B1877,'Pre-Summary'!$AE$6:$AJ$85,4,FALSE),"")</f>
        <v/>
      </c>
      <c r="I1877" t="str">
        <f>IFERROR(VLOOKUP(B1877,'Pre-Summary'!$AE$6:$AJ$85,5,FALSE),"")</f>
        <v/>
      </c>
      <c r="J1877" s="45" t="str">
        <f>IFERROR(VLOOKUP(B1877,'Pre-Summary'!$AE$6:$AJ$85,6, FALSE),"")</f>
        <v/>
      </c>
      <c r="K1877" s="45" t="str">
        <f>IFERROR(VLOOKUP(B1877,'Pre-Summary'!$DE$6:$DG$61,3,FALSE),"")</f>
        <v/>
      </c>
      <c r="L1877" s="45" t="str">
        <f>IFERROR(VLOOKUP(B1877,'Pre-Summary'!$CU$6:$CW$36,3,FALSE),"")</f>
        <v/>
      </c>
      <c r="M1877" s="45" t="str">
        <f>IFERROR(VLOOKUP(B1877,'Pre-Summary'!$BW$6:$BY$58,2,FALSE),"")</f>
        <v/>
      </c>
      <c r="N1877" s="45" t="str">
        <f>IFERROR(VLOOKUP(B1877,'Pre-Summary'!$CD$6:$CF$64,2,FALSE),"")</f>
        <v/>
      </c>
      <c r="O1877" s="99">
        <f>IFERROR(VLOOKUP(B1877,'Pre-Summary'!$BO$6:$BQ$48,3, FALSE),O1876)</f>
        <v>1.25</v>
      </c>
      <c r="P1877" s="99">
        <f>IFERROR(VLOOKUP(B1877,'Pre-Summary'!$BS$6:$BU$35,3,FALSE),P1876)</f>
        <v>0.33700000000000002</v>
      </c>
      <c r="Q1877" s="54">
        <f t="shared" si="87"/>
        <v>3.7091988130563798</v>
      </c>
      <c r="R1877" s="53">
        <f>IFERROR(VLOOKUP(B1877,'Pre-Summary'!$BG$6:$BM$44,7,FALSE),R1878)</f>
        <v>7.9325362566443819E-2</v>
      </c>
      <c r="S1877" s="53">
        <f>IFERROR(VLOOKUP(B1877,'Pre-Summary'!$BG$6:$BM$44,6,FALSE),S1878)</f>
        <v>0.10333499253358684</v>
      </c>
      <c r="T1877" s="45" t="str">
        <f>IFERROR(VLOOKUP(B1877,'Pre-Summary'!$Y$6:$AC$83, 3,FALSE),"")</f>
        <v/>
      </c>
      <c r="U1877" s="45" t="str">
        <f>IFERROR(VLOOKUP(B1877,'Pre-Summary'!$Y$6:$AC$83, 4,FALSE),"")</f>
        <v/>
      </c>
      <c r="V1877" t="str">
        <f>IFERROR(VLOOKUP(B1877,'Pre-Summary'!$Y$6:$AC$83, 5,FALSE),"")</f>
        <v/>
      </c>
      <c r="W1877" s="45" t="str">
        <f>IFERROR(VLOOKUP(B1877,'Pre-Summary'!$Y$6:$AD$83,6,FALSE),"")</f>
        <v/>
      </c>
      <c r="X1877" t="str">
        <f>IFERROR(VLOOKUP('Pre-Summary'!$DB$6:$DD$63,3,FALSE),"")</f>
        <v/>
      </c>
      <c r="Y1877" t="str">
        <f>IFERROR(VLOOKUP(B1877,'Pre-Summary'!$CR$6:$CT$36,3,FALSE),"")</f>
        <v/>
      </c>
      <c r="Z1877" s="45" t="str">
        <f>IFERROR(VLOOKUP(B1877,'Pre-Summary'!$BZ$6:$CB$63,2,FALSE),"")</f>
        <v/>
      </c>
      <c r="AA1877" s="45" t="str">
        <f>IFERROR(VLOOKUP(B1877,'Pre-Summary'!$CG$6:$CI$70,2,FALSE),"")</f>
        <v/>
      </c>
      <c r="AB1877" s="99">
        <f>IFERROR(VLOOKUP(B1877,'Pre-Summary'!$A$6:$P$178,9,FALSE),AB1878)</f>
        <v>0.31225386628581325</v>
      </c>
      <c r="AC1877" s="10">
        <f>IFERROR(VLOOKUP(Summary!B1877,'Pre-Summary'!$A$6:$P$184,5, FALSE)/100,AC1878)</f>
        <v>0.94007200000000002</v>
      </c>
      <c r="AD1877" s="10">
        <f>IFERROR(VLOOKUP(Summary!B1877,'Pre-Summary'!$A$6:$P$184,3, FALSE)/100,AD1878)</f>
        <v>3.2489000000000004E-2</v>
      </c>
      <c r="AE1877" s="10">
        <f>IFERROR(VLOOKUP(Summary!B1877,'Pre-Summary'!$A$6:$P$184,7, FALSE)/100,AE1878)</f>
        <v>2.7439000000000002E-2</v>
      </c>
      <c r="AF1877" s="99">
        <f t="shared" si="88"/>
        <v>1.0144815861759788E-2</v>
      </c>
      <c r="AG1877" s="99">
        <f t="shared" si="89"/>
        <v>8.5679338370164299E-3</v>
      </c>
      <c r="AH1877" s="10" t="str">
        <f>IFERROR(VLOOKUP(B1877,'Pre-Summary'!$AZ$6:$BE$65,3,FALSE),"")</f>
        <v/>
      </c>
      <c r="AI1877" s="10" t="str">
        <f>IFERROR(VLOOKUP(B1877,'Pre-Summary'!$AZ$6:$BE$65,5,FALSE),"")</f>
        <v/>
      </c>
      <c r="AJ1877" s="10" t="str">
        <f>IFERROR(VLOOKUP(B1877,'Pre-Summary'!$AZ$6:$BE$65,4,FALSE),"")</f>
        <v/>
      </c>
      <c r="AK1877" s="10" t="str">
        <f>IFERROR(VLOOKUP(B1877,'Pre-Summary'!$AZ$6:$BE$65,6,FALSE),"")</f>
        <v/>
      </c>
      <c r="AL1877" s="10" t="str">
        <f>IFERROR(VLOOKUP(B1877,'Pre-Summary'!$BG$6:$BL$44,3,FALSE),"")</f>
        <v/>
      </c>
      <c r="AM1877" s="10" t="str">
        <f>IFERROR(VLOOKUP(B1877,'Pre-Summary'!$BG$6:$BL$44,4,FALSE),"")</f>
        <v/>
      </c>
    </row>
    <row r="1878" spans="2:39" ht="15" customHeight="1" x14ac:dyDescent="0.3">
      <c r="B1878">
        <v>187.5</v>
      </c>
      <c r="C1878" t="str">
        <f>IFERROR(VLOOKUP(B1878,'Pre-Summary'!$DI$6:$DM$23,4,FALSE),"")</f>
        <v/>
      </c>
      <c r="D1878" s="10" t="str">
        <f>IFERROR(VLOOKUP(B1878,'Pre-Summary'!$AT$6:$AX$14,5,FALSE),D1877)</f>
        <v>Wolfe v3: went back to modified wolfe + EDTA and switched CuSO4 to CUCl2</v>
      </c>
      <c r="E1878" s="10" t="str">
        <f>IFERROR(VLOOKUP(B1878,'Pre-Summary'!$AT$6:$AX$15,4,FALSE),"")</f>
        <v/>
      </c>
      <c r="F1878">
        <f>IFERROR(VLOOKUP(B1878,'Pre-Summary'!$AL$6:$AQ$13,6,FALSE),F1877)</f>
        <v>5.9405263157894746E-2</v>
      </c>
      <c r="G1878">
        <f>IFERROR(VLOOKUP(B1878,'Pre-Summary'!$AE$6:$AJ$85,3,FALSE),"")</f>
        <v>35.286059999999999</v>
      </c>
      <c r="H1878" t="str">
        <f>IFERROR(VLOOKUP(B1878,'Pre-Summary'!$AE$6:$AJ$85,4,FALSE),"")</f>
        <v/>
      </c>
      <c r="I1878" t="str">
        <f>IFERROR(VLOOKUP(B1878,'Pre-Summary'!$AE$6:$AJ$85,5,FALSE),"")</f>
        <v/>
      </c>
      <c r="J1878" s="45">
        <f>IFERROR(VLOOKUP(B1878,'Pre-Summary'!$AE$6:$AJ$85,6, FALSE),"")</f>
        <v>37.650226019999998</v>
      </c>
      <c r="K1878" s="45" t="str">
        <f>IFERROR(VLOOKUP(B1878,'Pre-Summary'!$DE$6:$DG$61,3,FALSE),"")</f>
        <v/>
      </c>
      <c r="L1878" s="45" t="str">
        <f>IFERROR(VLOOKUP(B1878,'Pre-Summary'!$CU$6:$CW$36,3,FALSE),"")</f>
        <v/>
      </c>
      <c r="M1878" s="45" t="str">
        <f>IFERROR(VLOOKUP(B1878,'Pre-Summary'!$BW$6:$BY$58,2,FALSE),"")</f>
        <v/>
      </c>
      <c r="N1878" s="45">
        <f>IFERROR(VLOOKUP(B1878,'Pre-Summary'!$CD$6:$CF$64,2,FALSE),"")</f>
        <v>179.35068786687268</v>
      </c>
      <c r="O1878" s="99">
        <f>IFERROR(VLOOKUP(B1878,'Pre-Summary'!$BO$6:$BQ$48,3, FALSE),O1877)</f>
        <v>1.25</v>
      </c>
      <c r="P1878" s="99">
        <f>IFERROR(VLOOKUP(B1878,'Pre-Summary'!$BS$6:$BU$35,3,FALSE),P1877)</f>
        <v>0.33700000000000002</v>
      </c>
      <c r="Q1878" s="54">
        <f t="shared" si="87"/>
        <v>3.7091988130563798</v>
      </c>
      <c r="R1878" s="53">
        <f>IFERROR(VLOOKUP(B1878,'Pre-Summary'!$BG$6:$BM$44,7,FALSE),R1879)</f>
        <v>7.9325362566443819E-2</v>
      </c>
      <c r="S1878" s="53">
        <f>IFERROR(VLOOKUP(B1878,'Pre-Summary'!$BG$6:$BM$44,6,FALSE),S1879)</f>
        <v>0.10333499253358684</v>
      </c>
      <c r="T1878" s="45">
        <f>IFERROR(VLOOKUP(B1878,'Pre-Summary'!$Y$6:$AC$83, 3,FALSE),"")</f>
        <v>7.1880600000000001</v>
      </c>
      <c r="U1878" s="45">
        <f>IFERROR(VLOOKUP(B1878,'Pre-Summary'!$Y$6:$AC$83, 4,FALSE),"")</f>
        <v>8.1899479999999993</v>
      </c>
      <c r="V1878" t="str">
        <f>IFERROR(VLOOKUP(B1878,'Pre-Summary'!$Y$6:$AC$83, 5,FALSE),"")</f>
        <v/>
      </c>
      <c r="W1878" s="45">
        <f>IFERROR(VLOOKUP(B1878,'Pre-Summary'!$Y$6:$AD$83,6,FALSE),"")</f>
        <v>7.6696600199999994</v>
      </c>
      <c r="X1878" t="str">
        <f>IFERROR(VLOOKUP('Pre-Summary'!$DB$6:$DD$63,3,FALSE),"")</f>
        <v/>
      </c>
      <c r="Y1878" t="str">
        <f>IFERROR(VLOOKUP(B1878,'Pre-Summary'!$CR$6:$CT$36,3,FALSE),"")</f>
        <v/>
      </c>
      <c r="Z1878" s="45" t="str">
        <f>IFERROR(VLOOKUP(B1878,'Pre-Summary'!$BZ$6:$CB$63,2,FALSE),"")</f>
        <v/>
      </c>
      <c r="AA1878" s="45" t="str">
        <f>IFERROR(VLOOKUP(B1878,'Pre-Summary'!$CG$6:$CI$70,2,FALSE),"")</f>
        <v/>
      </c>
      <c r="AB1878" s="99">
        <f>IFERROR(VLOOKUP(B1878,'Pre-Summary'!$A$6:$P$178,9,FALSE),AB1879)</f>
        <v>0.31225386628581325</v>
      </c>
      <c r="AC1878" s="10">
        <f>IFERROR(VLOOKUP(Summary!B1878,'Pre-Summary'!$A$6:$P$184,5, FALSE)/100,AC1879)</f>
        <v>0.94007200000000002</v>
      </c>
      <c r="AD1878" s="10">
        <f>IFERROR(VLOOKUP(Summary!B1878,'Pre-Summary'!$A$6:$P$184,3, FALSE)/100,AD1879)</f>
        <v>3.2489000000000004E-2</v>
      </c>
      <c r="AE1878" s="10">
        <f>IFERROR(VLOOKUP(Summary!B1878,'Pre-Summary'!$A$6:$P$184,7, FALSE)/100,AE1879)</f>
        <v>2.7439000000000002E-2</v>
      </c>
      <c r="AF1878" s="99">
        <f t="shared" si="88"/>
        <v>1.0144815861759788E-2</v>
      </c>
      <c r="AG1878" s="99">
        <f t="shared" si="89"/>
        <v>8.5679338370164299E-3</v>
      </c>
      <c r="AH1878" s="10" t="str">
        <f>IFERROR(VLOOKUP(B1878,'Pre-Summary'!$AZ$6:$BE$65,3,FALSE),"")</f>
        <v/>
      </c>
      <c r="AI1878" s="10" t="str">
        <f>IFERROR(VLOOKUP(B1878,'Pre-Summary'!$AZ$6:$BE$65,5,FALSE),"")</f>
        <v/>
      </c>
      <c r="AJ1878" s="10" t="str">
        <f>IFERROR(VLOOKUP(B1878,'Pre-Summary'!$AZ$6:$BE$65,4,FALSE),"")</f>
        <v/>
      </c>
      <c r="AK1878" s="10" t="str">
        <f>IFERROR(VLOOKUP(B1878,'Pre-Summary'!$AZ$6:$BE$65,6,FALSE),"")</f>
        <v/>
      </c>
      <c r="AL1878" s="10" t="str">
        <f>IFERROR(VLOOKUP(B1878,'Pre-Summary'!$BG$6:$BL$44,3,FALSE),"")</f>
        <v/>
      </c>
      <c r="AM1878" s="10" t="str">
        <f>IFERROR(VLOOKUP(B1878,'Pre-Summary'!$BG$6:$BL$44,4,FALSE),"")</f>
        <v/>
      </c>
    </row>
    <row r="1879" spans="2:39" ht="15" customHeight="1" x14ac:dyDescent="0.3">
      <c r="B1879">
        <v>187.6</v>
      </c>
      <c r="C1879" t="str">
        <f>IFERROR(VLOOKUP(B1879,'Pre-Summary'!$DI$6:$DM$23,4,FALSE),"")</f>
        <v/>
      </c>
      <c r="D1879" s="10" t="str">
        <f>IFERROR(VLOOKUP(B1879,'Pre-Summary'!$AT$6:$AX$14,5,FALSE),D1878)</f>
        <v>Wolfe v3: went back to modified wolfe + EDTA and switched CuSO4 to CUCl2</v>
      </c>
      <c r="E1879" s="10" t="str">
        <f>IFERROR(VLOOKUP(B1879,'Pre-Summary'!$AT$6:$AX$15,4,FALSE),"")</f>
        <v/>
      </c>
      <c r="F1879">
        <f>IFERROR(VLOOKUP(B1879,'Pre-Summary'!$AL$6:$AQ$13,6,FALSE),F1878)</f>
        <v>5.9405263157894746E-2</v>
      </c>
      <c r="G1879" t="str">
        <f>IFERROR(VLOOKUP(B1879,'Pre-Summary'!$AE$6:$AJ$85,3,FALSE),"")</f>
        <v/>
      </c>
      <c r="H1879" t="str">
        <f>IFERROR(VLOOKUP(B1879,'Pre-Summary'!$AE$6:$AJ$85,4,FALSE),"")</f>
        <v/>
      </c>
      <c r="I1879" t="str">
        <f>IFERROR(VLOOKUP(B1879,'Pre-Summary'!$AE$6:$AJ$85,5,FALSE),"")</f>
        <v/>
      </c>
      <c r="J1879" s="45" t="str">
        <f>IFERROR(VLOOKUP(B1879,'Pre-Summary'!$AE$6:$AJ$85,6, FALSE),"")</f>
        <v/>
      </c>
      <c r="K1879" s="45" t="str">
        <f>IFERROR(VLOOKUP(B1879,'Pre-Summary'!$DE$6:$DG$61,3,FALSE),"")</f>
        <v/>
      </c>
      <c r="L1879" s="45" t="str">
        <f>IFERROR(VLOOKUP(B1879,'Pre-Summary'!$CU$6:$CW$36,3,FALSE),"")</f>
        <v/>
      </c>
      <c r="M1879" s="45" t="str">
        <f>IFERROR(VLOOKUP(B1879,'Pre-Summary'!$BW$6:$BY$58,2,FALSE),"")</f>
        <v/>
      </c>
      <c r="N1879" s="45" t="str">
        <f>IFERROR(VLOOKUP(B1879,'Pre-Summary'!$CD$6:$CF$64,2,FALSE),"")</f>
        <v/>
      </c>
      <c r="O1879" s="99">
        <f>IFERROR(VLOOKUP(B1879,'Pre-Summary'!$BO$6:$BQ$48,3, FALSE),O1878)</f>
        <v>1.25</v>
      </c>
      <c r="P1879" s="99">
        <f>IFERROR(VLOOKUP(B1879,'Pre-Summary'!$BS$6:$BU$35,3,FALSE),P1878)</f>
        <v>0.33700000000000002</v>
      </c>
      <c r="Q1879" s="54">
        <f t="shared" si="87"/>
        <v>3.7091988130563798</v>
      </c>
      <c r="R1879" s="53">
        <f>IFERROR(VLOOKUP(B1879,'Pre-Summary'!$BG$6:$BM$44,7,FALSE),R1880)</f>
        <v>7.9325362566443819E-2</v>
      </c>
      <c r="S1879" s="53">
        <f>IFERROR(VLOOKUP(B1879,'Pre-Summary'!$BG$6:$BM$44,6,FALSE),S1880)</f>
        <v>0.10333499253358684</v>
      </c>
      <c r="T1879" s="45" t="str">
        <f>IFERROR(VLOOKUP(B1879,'Pre-Summary'!$Y$6:$AC$83, 3,FALSE),"")</f>
        <v/>
      </c>
      <c r="U1879" s="45" t="str">
        <f>IFERROR(VLOOKUP(B1879,'Pre-Summary'!$Y$6:$AC$83, 4,FALSE),"")</f>
        <v/>
      </c>
      <c r="V1879" t="str">
        <f>IFERROR(VLOOKUP(B1879,'Pre-Summary'!$Y$6:$AC$83, 5,FALSE),"")</f>
        <v/>
      </c>
      <c r="W1879" s="45" t="str">
        <f>IFERROR(VLOOKUP(B1879,'Pre-Summary'!$Y$6:$AD$83,6,FALSE),"")</f>
        <v/>
      </c>
      <c r="X1879" t="str">
        <f>IFERROR(VLOOKUP('Pre-Summary'!$DB$6:$DD$63,3,FALSE),"")</f>
        <v/>
      </c>
      <c r="Y1879" t="str">
        <f>IFERROR(VLOOKUP(B1879,'Pre-Summary'!$CR$6:$CT$36,3,FALSE),"")</f>
        <v/>
      </c>
      <c r="Z1879" s="45" t="str">
        <f>IFERROR(VLOOKUP(B1879,'Pre-Summary'!$BZ$6:$CB$63,2,FALSE),"")</f>
        <v/>
      </c>
      <c r="AA1879" s="45" t="str">
        <f>IFERROR(VLOOKUP(B1879,'Pre-Summary'!$CG$6:$CI$70,2,FALSE),"")</f>
        <v/>
      </c>
      <c r="AB1879" s="99">
        <f>IFERROR(VLOOKUP(B1879,'Pre-Summary'!$A$6:$P$178,9,FALSE),AB1880)</f>
        <v>0.31225386628581325</v>
      </c>
      <c r="AC1879" s="10">
        <f>IFERROR(VLOOKUP(Summary!B1879,'Pre-Summary'!$A$6:$P$184,5, FALSE)/100,AC1880)</f>
        <v>0.94007200000000002</v>
      </c>
      <c r="AD1879" s="10">
        <f>IFERROR(VLOOKUP(Summary!B1879,'Pre-Summary'!$A$6:$P$184,3, FALSE)/100,AD1880)</f>
        <v>3.2489000000000004E-2</v>
      </c>
      <c r="AE1879" s="10">
        <f>IFERROR(VLOOKUP(Summary!B1879,'Pre-Summary'!$A$6:$P$184,7, FALSE)/100,AE1880)</f>
        <v>2.7439000000000002E-2</v>
      </c>
      <c r="AF1879" s="99">
        <f t="shared" si="88"/>
        <v>1.0144815861759788E-2</v>
      </c>
      <c r="AG1879" s="99">
        <f t="shared" si="89"/>
        <v>8.5679338370164299E-3</v>
      </c>
      <c r="AH1879" s="10" t="str">
        <f>IFERROR(VLOOKUP(B1879,'Pre-Summary'!$AZ$6:$BE$65,3,FALSE),"")</f>
        <v/>
      </c>
      <c r="AI1879" s="10" t="str">
        <f>IFERROR(VLOOKUP(B1879,'Pre-Summary'!$AZ$6:$BE$65,5,FALSE),"")</f>
        <v/>
      </c>
      <c r="AJ1879" s="10" t="str">
        <f>IFERROR(VLOOKUP(B1879,'Pre-Summary'!$AZ$6:$BE$65,4,FALSE),"")</f>
        <v/>
      </c>
      <c r="AK1879" s="10" t="str">
        <f>IFERROR(VLOOKUP(B1879,'Pre-Summary'!$AZ$6:$BE$65,6,FALSE),"")</f>
        <v/>
      </c>
      <c r="AL1879" s="10" t="str">
        <f>IFERROR(VLOOKUP(B1879,'Pre-Summary'!$BG$6:$BL$44,3,FALSE),"")</f>
        <v/>
      </c>
      <c r="AM1879" s="10" t="str">
        <f>IFERROR(VLOOKUP(B1879,'Pre-Summary'!$BG$6:$BL$44,4,FALSE),"")</f>
        <v/>
      </c>
    </row>
    <row r="1880" spans="2:39" ht="15" customHeight="1" x14ac:dyDescent="0.3">
      <c r="B1880">
        <v>187.7</v>
      </c>
      <c r="C1880" t="str">
        <f>IFERROR(VLOOKUP(B1880,'Pre-Summary'!$DI$6:$DM$23,4,FALSE),"")</f>
        <v/>
      </c>
      <c r="D1880" s="10" t="str">
        <f>IFERROR(VLOOKUP(B1880,'Pre-Summary'!$AT$6:$AX$14,5,FALSE),D1879)</f>
        <v>Wolfe v3: went back to modified wolfe + EDTA and switched CuSO4 to CUCl2</v>
      </c>
      <c r="E1880" s="10" t="str">
        <f>IFERROR(VLOOKUP(B1880,'Pre-Summary'!$AT$6:$AX$15,4,FALSE),"")</f>
        <v/>
      </c>
      <c r="F1880">
        <f>IFERROR(VLOOKUP(B1880,'Pre-Summary'!$AL$6:$AQ$13,6,FALSE),F1879)</f>
        <v>5.9405263157894746E-2</v>
      </c>
      <c r="G1880" t="str">
        <f>IFERROR(VLOOKUP(B1880,'Pre-Summary'!$AE$6:$AJ$85,3,FALSE),"")</f>
        <v/>
      </c>
      <c r="H1880" t="str">
        <f>IFERROR(VLOOKUP(B1880,'Pre-Summary'!$AE$6:$AJ$85,4,FALSE),"")</f>
        <v/>
      </c>
      <c r="I1880" t="str">
        <f>IFERROR(VLOOKUP(B1880,'Pre-Summary'!$AE$6:$AJ$85,5,FALSE),"")</f>
        <v/>
      </c>
      <c r="J1880" s="45" t="str">
        <f>IFERROR(VLOOKUP(B1880,'Pre-Summary'!$AE$6:$AJ$85,6, FALSE),"")</f>
        <v/>
      </c>
      <c r="K1880" s="45" t="str">
        <f>IFERROR(VLOOKUP(B1880,'Pre-Summary'!$DE$6:$DG$61,3,FALSE),"")</f>
        <v/>
      </c>
      <c r="L1880" s="45" t="str">
        <f>IFERROR(VLOOKUP(B1880,'Pre-Summary'!$CU$6:$CW$36,3,FALSE),"")</f>
        <v/>
      </c>
      <c r="M1880" s="45" t="str">
        <f>IFERROR(VLOOKUP(B1880,'Pre-Summary'!$BW$6:$BY$58,2,FALSE),"")</f>
        <v/>
      </c>
      <c r="N1880" s="45" t="str">
        <f>IFERROR(VLOOKUP(B1880,'Pre-Summary'!$CD$6:$CF$64,2,FALSE),"")</f>
        <v/>
      </c>
      <c r="O1880" s="99">
        <f>IFERROR(VLOOKUP(B1880,'Pre-Summary'!$BO$6:$BQ$48,3, FALSE),O1879)</f>
        <v>1.25</v>
      </c>
      <c r="P1880" s="99">
        <f>IFERROR(VLOOKUP(B1880,'Pre-Summary'!$BS$6:$BU$35,3,FALSE),P1879)</f>
        <v>0.33700000000000002</v>
      </c>
      <c r="Q1880" s="54">
        <f t="shared" si="87"/>
        <v>3.7091988130563798</v>
      </c>
      <c r="R1880" s="53">
        <f>IFERROR(VLOOKUP(B1880,'Pre-Summary'!$BG$6:$BM$44,7,FALSE),R1881)</f>
        <v>7.9325362566443819E-2</v>
      </c>
      <c r="S1880" s="53">
        <f>IFERROR(VLOOKUP(B1880,'Pre-Summary'!$BG$6:$BM$44,6,FALSE),S1881)</f>
        <v>0.10333499253358684</v>
      </c>
      <c r="T1880" s="45" t="str">
        <f>IFERROR(VLOOKUP(B1880,'Pre-Summary'!$Y$6:$AC$83, 3,FALSE),"")</f>
        <v/>
      </c>
      <c r="U1880" s="45" t="str">
        <f>IFERROR(VLOOKUP(B1880,'Pre-Summary'!$Y$6:$AC$83, 4,FALSE),"")</f>
        <v/>
      </c>
      <c r="V1880" t="str">
        <f>IFERROR(VLOOKUP(B1880,'Pre-Summary'!$Y$6:$AC$83, 5,FALSE),"")</f>
        <v/>
      </c>
      <c r="W1880" s="45" t="str">
        <f>IFERROR(VLOOKUP(B1880,'Pre-Summary'!$Y$6:$AD$83,6,FALSE),"")</f>
        <v/>
      </c>
      <c r="X1880" t="str">
        <f>IFERROR(VLOOKUP('Pre-Summary'!$DB$6:$DD$63,3,FALSE),"")</f>
        <v/>
      </c>
      <c r="Y1880" t="str">
        <f>IFERROR(VLOOKUP(B1880,'Pre-Summary'!$CR$6:$CT$36,3,FALSE),"")</f>
        <v/>
      </c>
      <c r="Z1880" s="45" t="str">
        <f>IFERROR(VLOOKUP(B1880,'Pre-Summary'!$BZ$6:$CB$63,2,FALSE),"")</f>
        <v/>
      </c>
      <c r="AA1880" s="45" t="str">
        <f>IFERROR(VLOOKUP(B1880,'Pre-Summary'!$CG$6:$CI$70,2,FALSE),"")</f>
        <v/>
      </c>
      <c r="AB1880" s="99">
        <f>IFERROR(VLOOKUP(B1880,'Pre-Summary'!$A$6:$P$178,9,FALSE),AB1881)</f>
        <v>0.31225386628581325</v>
      </c>
      <c r="AC1880" s="10">
        <f>IFERROR(VLOOKUP(Summary!B1880,'Pre-Summary'!$A$6:$P$184,5, FALSE)/100,AC1881)</f>
        <v>0.94007200000000002</v>
      </c>
      <c r="AD1880" s="10">
        <f>IFERROR(VLOOKUP(Summary!B1880,'Pre-Summary'!$A$6:$P$184,3, FALSE)/100,AD1881)</f>
        <v>3.2489000000000004E-2</v>
      </c>
      <c r="AE1880" s="10">
        <f>IFERROR(VLOOKUP(Summary!B1880,'Pre-Summary'!$A$6:$P$184,7, FALSE)/100,AE1881)</f>
        <v>2.7439000000000002E-2</v>
      </c>
      <c r="AF1880" s="99">
        <f t="shared" si="88"/>
        <v>1.0144815861759788E-2</v>
      </c>
      <c r="AG1880" s="99">
        <f t="shared" si="89"/>
        <v>8.5679338370164299E-3</v>
      </c>
      <c r="AH1880" s="10" t="str">
        <f>IFERROR(VLOOKUP(B1880,'Pre-Summary'!$AZ$6:$BE$65,3,FALSE),"")</f>
        <v/>
      </c>
      <c r="AI1880" s="10" t="str">
        <f>IFERROR(VLOOKUP(B1880,'Pre-Summary'!$AZ$6:$BE$65,5,FALSE),"")</f>
        <v/>
      </c>
      <c r="AJ1880" s="10" t="str">
        <f>IFERROR(VLOOKUP(B1880,'Pre-Summary'!$AZ$6:$BE$65,4,FALSE),"")</f>
        <v/>
      </c>
      <c r="AK1880" s="10" t="str">
        <f>IFERROR(VLOOKUP(B1880,'Pre-Summary'!$AZ$6:$BE$65,6,FALSE),"")</f>
        <v/>
      </c>
      <c r="AL1880" s="10" t="str">
        <f>IFERROR(VLOOKUP(B1880,'Pre-Summary'!$BG$6:$BL$44,3,FALSE),"")</f>
        <v/>
      </c>
      <c r="AM1880" s="10" t="str">
        <f>IFERROR(VLOOKUP(B1880,'Pre-Summary'!$BG$6:$BL$44,4,FALSE),"")</f>
        <v/>
      </c>
    </row>
    <row r="1881" spans="2:39" ht="15" customHeight="1" x14ac:dyDescent="0.3">
      <c r="B1881">
        <v>187.8</v>
      </c>
      <c r="C1881" t="str">
        <f>IFERROR(VLOOKUP(B1881,'Pre-Summary'!$DI$6:$DM$23,4,FALSE),"")</f>
        <v/>
      </c>
      <c r="D1881" s="10" t="str">
        <f>IFERROR(VLOOKUP(B1881,'Pre-Summary'!$AT$6:$AX$14,5,FALSE),D1880)</f>
        <v>Wolfe v3: went back to modified wolfe + EDTA and switched CuSO4 to CUCl2</v>
      </c>
      <c r="E1881" s="10" t="str">
        <f>IFERROR(VLOOKUP(B1881,'Pre-Summary'!$AT$6:$AX$15,4,FALSE),"")</f>
        <v/>
      </c>
      <c r="F1881">
        <f>IFERROR(VLOOKUP(B1881,'Pre-Summary'!$AL$6:$AQ$13,6,FALSE),F1880)</f>
        <v>5.9405263157894746E-2</v>
      </c>
      <c r="G1881" t="str">
        <f>IFERROR(VLOOKUP(B1881,'Pre-Summary'!$AE$6:$AJ$85,3,FALSE),"")</f>
        <v/>
      </c>
      <c r="H1881" t="str">
        <f>IFERROR(VLOOKUP(B1881,'Pre-Summary'!$AE$6:$AJ$85,4,FALSE),"")</f>
        <v/>
      </c>
      <c r="I1881" t="str">
        <f>IFERROR(VLOOKUP(B1881,'Pre-Summary'!$AE$6:$AJ$85,5,FALSE),"")</f>
        <v/>
      </c>
      <c r="J1881" s="45" t="str">
        <f>IFERROR(VLOOKUP(B1881,'Pre-Summary'!$AE$6:$AJ$85,6, FALSE),"")</f>
        <v/>
      </c>
      <c r="K1881" s="45">
        <f>IFERROR(VLOOKUP(B1881,'Pre-Summary'!$DE$6:$DG$61,3,FALSE),"")</f>
        <v>506</v>
      </c>
      <c r="L1881" s="45">
        <f>IFERROR(VLOOKUP(B1881,'Pre-Summary'!$CU$6:$CW$36,3,FALSE),"")</f>
        <v>270.2</v>
      </c>
      <c r="M1881" s="45" t="str">
        <f>IFERROR(VLOOKUP(B1881,'Pre-Summary'!$BW$6:$BY$58,2,FALSE),"")</f>
        <v/>
      </c>
      <c r="N1881" s="45" t="str">
        <f>IFERROR(VLOOKUP(B1881,'Pre-Summary'!$CD$6:$CF$64,2,FALSE),"")</f>
        <v/>
      </c>
      <c r="O1881" s="99">
        <f>IFERROR(VLOOKUP(B1881,'Pre-Summary'!$BO$6:$BQ$48,3, FALSE),O1880)</f>
        <v>1.25</v>
      </c>
      <c r="P1881" s="99">
        <f>IFERROR(VLOOKUP(B1881,'Pre-Summary'!$BS$6:$BU$35,3,FALSE),P1880)</f>
        <v>0.33700000000000002</v>
      </c>
      <c r="Q1881" s="54">
        <f t="shared" si="87"/>
        <v>3.7091988130563798</v>
      </c>
      <c r="R1881" s="53">
        <f>IFERROR(VLOOKUP(B1881,'Pre-Summary'!$BG$6:$BM$44,7,FALSE),R1882)</f>
        <v>7.9325362566443819E-2</v>
      </c>
      <c r="S1881" s="53">
        <f>IFERROR(VLOOKUP(B1881,'Pre-Summary'!$BG$6:$BM$44,6,FALSE),S1882)</f>
        <v>0.10333499253358684</v>
      </c>
      <c r="T1881" s="45" t="str">
        <f>IFERROR(VLOOKUP(B1881,'Pre-Summary'!$Y$6:$AC$83, 3,FALSE),"")</f>
        <v/>
      </c>
      <c r="U1881" s="45" t="str">
        <f>IFERROR(VLOOKUP(B1881,'Pre-Summary'!$Y$6:$AC$83, 4,FALSE),"")</f>
        <v/>
      </c>
      <c r="V1881" t="str">
        <f>IFERROR(VLOOKUP(B1881,'Pre-Summary'!$Y$6:$AC$83, 5,FALSE),"")</f>
        <v/>
      </c>
      <c r="W1881" s="45" t="str">
        <f>IFERROR(VLOOKUP(B1881,'Pre-Summary'!$Y$6:$AD$83,6,FALSE),"")</f>
        <v/>
      </c>
      <c r="X1881" t="str">
        <f>IFERROR(VLOOKUP('Pre-Summary'!$DB$6:$DD$63,3,FALSE),"")</f>
        <v/>
      </c>
      <c r="Y1881">
        <f>IFERROR(VLOOKUP(B1881,'Pre-Summary'!$CR$6:$CT$36,3,FALSE),"")</f>
        <v>290.2</v>
      </c>
      <c r="Z1881" s="45">
        <f>IFERROR(VLOOKUP(B1881,'Pre-Summary'!$BZ$6:$CB$63,2,FALSE),"")</f>
        <v>28.863939254583229</v>
      </c>
      <c r="AA1881" s="45">
        <f>IFERROR(VLOOKUP(B1881,'Pre-Summary'!$CG$6:$CI$70,2,FALSE),"")</f>
        <v>196.4606241999675</v>
      </c>
      <c r="AB1881" s="99">
        <f>IFERROR(VLOOKUP(B1881,'Pre-Summary'!$A$6:$P$178,9,FALSE),AB1882)</f>
        <v>0.31225386628581325</v>
      </c>
      <c r="AC1881" s="10">
        <f>IFERROR(VLOOKUP(Summary!B1881,'Pre-Summary'!$A$6:$P$184,5, FALSE)/100,AC1882)</f>
        <v>0.94007200000000002</v>
      </c>
      <c r="AD1881" s="10">
        <f>IFERROR(VLOOKUP(Summary!B1881,'Pre-Summary'!$A$6:$P$184,3, FALSE)/100,AD1882)</f>
        <v>3.2489000000000004E-2</v>
      </c>
      <c r="AE1881" s="10">
        <f>IFERROR(VLOOKUP(Summary!B1881,'Pre-Summary'!$A$6:$P$184,7, FALSE)/100,AE1882)</f>
        <v>2.7439000000000002E-2</v>
      </c>
      <c r="AF1881" s="99">
        <f t="shared" si="88"/>
        <v>1.0144815861759788E-2</v>
      </c>
      <c r="AG1881" s="99">
        <f t="shared" si="89"/>
        <v>8.5679338370164299E-3</v>
      </c>
      <c r="AH1881" s="10" t="str">
        <f>IFERROR(VLOOKUP(B1881,'Pre-Summary'!$AZ$6:$BE$65,3,FALSE),"")</f>
        <v/>
      </c>
      <c r="AI1881" s="10" t="str">
        <f>IFERROR(VLOOKUP(B1881,'Pre-Summary'!$AZ$6:$BE$65,5,FALSE),"")</f>
        <v/>
      </c>
      <c r="AJ1881" s="10" t="str">
        <f>IFERROR(VLOOKUP(B1881,'Pre-Summary'!$AZ$6:$BE$65,4,FALSE),"")</f>
        <v/>
      </c>
      <c r="AK1881" s="10" t="str">
        <f>IFERROR(VLOOKUP(B1881,'Pre-Summary'!$AZ$6:$BE$65,6,FALSE),"")</f>
        <v/>
      </c>
      <c r="AL1881" s="10" t="str">
        <f>IFERROR(VLOOKUP(B1881,'Pre-Summary'!$BG$6:$BL$44,3,FALSE),"")</f>
        <v/>
      </c>
      <c r="AM1881" s="10" t="str">
        <f>IFERROR(VLOOKUP(B1881,'Pre-Summary'!$BG$6:$BL$44,4,FALSE),"")</f>
        <v/>
      </c>
    </row>
    <row r="1882" spans="2:39" ht="15" customHeight="1" x14ac:dyDescent="0.3">
      <c r="B1882">
        <v>187.9</v>
      </c>
      <c r="C1882" t="str">
        <f>IFERROR(VLOOKUP(B1882,'Pre-Summary'!$DI$6:$DM$23,4,FALSE),"")</f>
        <v/>
      </c>
      <c r="D1882" s="10" t="str">
        <f>IFERROR(VLOOKUP(B1882,'Pre-Summary'!$AT$6:$AX$14,5,FALSE),D1881)</f>
        <v>Wolfe v3: went back to modified wolfe + EDTA and switched CuSO4 to CUCl2</v>
      </c>
      <c r="E1882" s="10" t="str">
        <f>IFERROR(VLOOKUP(B1882,'Pre-Summary'!$AT$6:$AX$15,4,FALSE),"")</f>
        <v/>
      </c>
      <c r="F1882">
        <f>IFERROR(VLOOKUP(B1882,'Pre-Summary'!$AL$6:$AQ$13,6,FALSE),F1881)</f>
        <v>5.9405263157894746E-2</v>
      </c>
      <c r="G1882" t="str">
        <f>IFERROR(VLOOKUP(B1882,'Pre-Summary'!$AE$6:$AJ$85,3,FALSE),"")</f>
        <v/>
      </c>
      <c r="H1882" t="str">
        <f>IFERROR(VLOOKUP(B1882,'Pre-Summary'!$AE$6:$AJ$85,4,FALSE),"")</f>
        <v/>
      </c>
      <c r="I1882" t="str">
        <f>IFERROR(VLOOKUP(B1882,'Pre-Summary'!$AE$6:$AJ$85,5,FALSE),"")</f>
        <v/>
      </c>
      <c r="J1882" s="45" t="str">
        <f>IFERROR(VLOOKUP(B1882,'Pre-Summary'!$AE$6:$AJ$85,6, FALSE),"")</f>
        <v/>
      </c>
      <c r="K1882" s="45" t="str">
        <f>IFERROR(VLOOKUP(B1882,'Pre-Summary'!$DE$6:$DG$61,3,FALSE),"")</f>
        <v/>
      </c>
      <c r="L1882" s="45" t="str">
        <f>IFERROR(VLOOKUP(B1882,'Pre-Summary'!$CU$6:$CW$36,3,FALSE),"")</f>
        <v/>
      </c>
      <c r="M1882" s="45" t="str">
        <f>IFERROR(VLOOKUP(B1882,'Pre-Summary'!$BW$6:$BY$58,2,FALSE),"")</f>
        <v/>
      </c>
      <c r="N1882" s="45" t="str">
        <f>IFERROR(VLOOKUP(B1882,'Pre-Summary'!$CD$6:$CF$64,2,FALSE),"")</f>
        <v/>
      </c>
      <c r="O1882" s="99">
        <f>IFERROR(VLOOKUP(B1882,'Pre-Summary'!$BO$6:$BQ$48,3, FALSE),O1881)</f>
        <v>1.25</v>
      </c>
      <c r="P1882" s="99">
        <f>IFERROR(VLOOKUP(B1882,'Pre-Summary'!$BS$6:$BU$35,3,FALSE),P1881)</f>
        <v>0.33700000000000002</v>
      </c>
      <c r="Q1882" s="54">
        <f t="shared" si="87"/>
        <v>3.7091988130563798</v>
      </c>
      <c r="R1882" s="53">
        <f>IFERROR(VLOOKUP(B1882,'Pre-Summary'!$BG$6:$BM$44,7,FALSE),R1883)</f>
        <v>7.9325362566443819E-2</v>
      </c>
      <c r="S1882" s="53">
        <f>IFERROR(VLOOKUP(B1882,'Pre-Summary'!$BG$6:$BM$44,6,FALSE),S1883)</f>
        <v>0.10333499253358684</v>
      </c>
      <c r="T1882" s="45" t="str">
        <f>IFERROR(VLOOKUP(B1882,'Pre-Summary'!$Y$6:$AC$83, 3,FALSE),"")</f>
        <v/>
      </c>
      <c r="U1882" s="45" t="str">
        <f>IFERROR(VLOOKUP(B1882,'Pre-Summary'!$Y$6:$AC$83, 4,FALSE),"")</f>
        <v/>
      </c>
      <c r="V1882" t="str">
        <f>IFERROR(VLOOKUP(B1882,'Pre-Summary'!$Y$6:$AC$83, 5,FALSE),"")</f>
        <v/>
      </c>
      <c r="W1882" s="45" t="str">
        <f>IFERROR(VLOOKUP(B1882,'Pre-Summary'!$Y$6:$AD$83,6,FALSE),"")</f>
        <v/>
      </c>
      <c r="X1882" t="str">
        <f>IFERROR(VLOOKUP('Pre-Summary'!$DB$6:$DD$63,3,FALSE),"")</f>
        <v/>
      </c>
      <c r="Y1882" t="str">
        <f>IFERROR(VLOOKUP(B1882,'Pre-Summary'!$CR$6:$CT$36,3,FALSE),"")</f>
        <v/>
      </c>
      <c r="Z1882" s="45" t="str">
        <f>IFERROR(VLOOKUP(B1882,'Pre-Summary'!$BZ$6:$CB$63,2,FALSE),"")</f>
        <v/>
      </c>
      <c r="AA1882" s="45" t="str">
        <f>IFERROR(VLOOKUP(B1882,'Pre-Summary'!$CG$6:$CI$70,2,FALSE),"")</f>
        <v/>
      </c>
      <c r="AB1882" s="99">
        <f>IFERROR(VLOOKUP(B1882,'Pre-Summary'!$A$6:$P$178,9,FALSE),AB1883)</f>
        <v>0.34089867256607242</v>
      </c>
      <c r="AC1882" s="10">
        <f>IFERROR(VLOOKUP(Summary!B1882,'Pre-Summary'!$A$6:$P$184,5, FALSE)/100,AC1883)</f>
        <v>0.9485446666666667</v>
      </c>
      <c r="AD1882" s="10">
        <f>IFERROR(VLOOKUP(Summary!B1882,'Pre-Summary'!$A$6:$P$184,3, FALSE)/100,AD1883)</f>
        <v>3.172033333333333E-2</v>
      </c>
      <c r="AE1882" s="10">
        <f>IFERROR(VLOOKUP(Summary!B1882,'Pre-Summary'!$A$6:$P$184,7, FALSE)/100,AE1883)</f>
        <v>1.9735333333333334E-2</v>
      </c>
      <c r="AF1882" s="99">
        <f t="shared" si="88"/>
        <v>1.0813419526686671E-2</v>
      </c>
      <c r="AG1882" s="99">
        <f t="shared" si="89"/>
        <v>6.7277489359822947E-3</v>
      </c>
      <c r="AH1882" s="10" t="str">
        <f>IFERROR(VLOOKUP(B1882,'Pre-Summary'!$AZ$6:$BE$65,3,FALSE),"")</f>
        <v/>
      </c>
      <c r="AI1882" s="10" t="str">
        <f>IFERROR(VLOOKUP(B1882,'Pre-Summary'!$AZ$6:$BE$65,5,FALSE),"")</f>
        <v/>
      </c>
      <c r="AJ1882" s="10" t="str">
        <f>IFERROR(VLOOKUP(B1882,'Pre-Summary'!$AZ$6:$BE$65,4,FALSE),"")</f>
        <v/>
      </c>
      <c r="AK1882" s="10" t="str">
        <f>IFERROR(VLOOKUP(B1882,'Pre-Summary'!$AZ$6:$BE$65,6,FALSE),"")</f>
        <v/>
      </c>
      <c r="AL1882" s="10" t="str">
        <f>IFERROR(VLOOKUP(B1882,'Pre-Summary'!$BG$6:$BL$44,3,FALSE),"")</f>
        <v/>
      </c>
      <c r="AM1882" s="10" t="str">
        <f>IFERROR(VLOOKUP(B1882,'Pre-Summary'!$BG$6:$BL$44,4,FALSE),"")</f>
        <v/>
      </c>
    </row>
    <row r="1883" spans="2:39" ht="15" customHeight="1" x14ac:dyDescent="0.3">
      <c r="B1883">
        <v>188</v>
      </c>
      <c r="C1883" t="str">
        <f>IFERROR(VLOOKUP(B1883,'Pre-Summary'!$DI$6:$DM$23,4,FALSE),"")</f>
        <v/>
      </c>
      <c r="D1883" s="10" t="str">
        <f>IFERROR(VLOOKUP(B1883,'Pre-Summary'!$AT$6:$AX$14,5,FALSE),D1882)</f>
        <v>Wolfe v3: went back to modified wolfe + EDTA and switched CuSO4 to CUCl2</v>
      </c>
      <c r="E1883" s="10" t="str">
        <f>IFERROR(VLOOKUP(B1883,'Pre-Summary'!$AT$6:$AX$15,4,FALSE),"")</f>
        <v/>
      </c>
      <c r="F1883">
        <f>IFERROR(VLOOKUP(B1883,'Pre-Summary'!$AL$6:$AQ$13,6,FALSE),F1882)</f>
        <v>5.9405263157894746E-2</v>
      </c>
      <c r="G1883" t="str">
        <f>IFERROR(VLOOKUP(B1883,'Pre-Summary'!$AE$6:$AJ$85,3,FALSE),"")</f>
        <v/>
      </c>
      <c r="H1883" t="str">
        <f>IFERROR(VLOOKUP(B1883,'Pre-Summary'!$AE$6:$AJ$85,4,FALSE),"")</f>
        <v/>
      </c>
      <c r="I1883" t="str">
        <f>IFERROR(VLOOKUP(B1883,'Pre-Summary'!$AE$6:$AJ$85,5,FALSE),"")</f>
        <v/>
      </c>
      <c r="J1883" s="45" t="str">
        <f>IFERROR(VLOOKUP(B1883,'Pre-Summary'!$AE$6:$AJ$85,6, FALSE),"")</f>
        <v/>
      </c>
      <c r="K1883" s="45" t="str">
        <f>IFERROR(VLOOKUP(B1883,'Pre-Summary'!$DE$6:$DG$61,3,FALSE),"")</f>
        <v/>
      </c>
      <c r="L1883" s="45" t="str">
        <f>IFERROR(VLOOKUP(B1883,'Pre-Summary'!$CU$6:$CW$36,3,FALSE),"")</f>
        <v/>
      </c>
      <c r="M1883" s="45" t="str">
        <f>IFERROR(VLOOKUP(B1883,'Pre-Summary'!$BW$6:$BY$58,2,FALSE),"")</f>
        <v/>
      </c>
      <c r="N1883" s="45" t="str">
        <f>IFERROR(VLOOKUP(B1883,'Pre-Summary'!$CD$6:$CF$64,2,FALSE),"")</f>
        <v/>
      </c>
      <c r="O1883" s="99">
        <f>IFERROR(VLOOKUP(B1883,'Pre-Summary'!$BO$6:$BQ$48,3, FALSE),O1882)</f>
        <v>1.25</v>
      </c>
      <c r="P1883" s="99">
        <f>IFERROR(VLOOKUP(B1883,'Pre-Summary'!$BS$6:$BU$35,3,FALSE),P1882)</f>
        <v>0.33700000000000002</v>
      </c>
      <c r="Q1883" s="54">
        <f t="shared" si="87"/>
        <v>3.7091988130563798</v>
      </c>
      <c r="R1883" s="53">
        <f>IFERROR(VLOOKUP(B1883,'Pre-Summary'!$BG$6:$BM$44,7,FALSE),R1884)</f>
        <v>7.9325362566443819E-2</v>
      </c>
      <c r="S1883" s="53">
        <f>IFERROR(VLOOKUP(B1883,'Pre-Summary'!$BG$6:$BM$44,6,FALSE),S1884)</f>
        <v>0.10333499253358684</v>
      </c>
      <c r="T1883" s="45" t="str">
        <f>IFERROR(VLOOKUP(B1883,'Pre-Summary'!$Y$6:$AC$83, 3,FALSE),"")</f>
        <v/>
      </c>
      <c r="U1883" s="45" t="str">
        <f>IFERROR(VLOOKUP(B1883,'Pre-Summary'!$Y$6:$AC$83, 4,FALSE),"")</f>
        <v/>
      </c>
      <c r="V1883" t="str">
        <f>IFERROR(VLOOKUP(B1883,'Pre-Summary'!$Y$6:$AC$83, 5,FALSE),"")</f>
        <v/>
      </c>
      <c r="W1883" s="45" t="str">
        <f>IFERROR(VLOOKUP(B1883,'Pre-Summary'!$Y$6:$AD$83,6,FALSE),"")</f>
        <v/>
      </c>
      <c r="X1883" t="str">
        <f>IFERROR(VLOOKUP('Pre-Summary'!$DB$6:$DD$63,3,FALSE),"")</f>
        <v/>
      </c>
      <c r="Y1883" t="str">
        <f>IFERROR(VLOOKUP(B1883,'Pre-Summary'!$CR$6:$CT$36,3,FALSE),"")</f>
        <v/>
      </c>
      <c r="Z1883" s="45" t="str">
        <f>IFERROR(VLOOKUP(B1883,'Pre-Summary'!$BZ$6:$CB$63,2,FALSE),"")</f>
        <v/>
      </c>
      <c r="AA1883" s="45" t="str">
        <f>IFERROR(VLOOKUP(B1883,'Pre-Summary'!$CG$6:$CI$70,2,FALSE),"")</f>
        <v/>
      </c>
      <c r="AB1883" s="99">
        <f>IFERROR(VLOOKUP(B1883,'Pre-Summary'!$A$6:$P$178,9,FALSE),AB1884)</f>
        <v>0.34089867256607242</v>
      </c>
      <c r="AC1883" s="10">
        <f>IFERROR(VLOOKUP(Summary!B1883,'Pre-Summary'!$A$6:$P$184,5, FALSE)/100,AC1884)</f>
        <v>0.9485446666666667</v>
      </c>
      <c r="AD1883" s="10">
        <f>IFERROR(VLOOKUP(Summary!B1883,'Pre-Summary'!$A$6:$P$184,3, FALSE)/100,AD1884)</f>
        <v>3.172033333333333E-2</v>
      </c>
      <c r="AE1883" s="10">
        <f>IFERROR(VLOOKUP(Summary!B1883,'Pre-Summary'!$A$6:$P$184,7, FALSE)/100,AE1884)</f>
        <v>1.9735333333333334E-2</v>
      </c>
      <c r="AF1883" s="99">
        <f t="shared" si="88"/>
        <v>1.0813419526686671E-2</v>
      </c>
      <c r="AG1883" s="99">
        <f t="shared" si="89"/>
        <v>6.7277489359822947E-3</v>
      </c>
      <c r="AH1883" s="10">
        <f>IFERROR(VLOOKUP(B1883,'Pre-Summary'!$AZ$6:$BE$65,3,FALSE),"")</f>
        <v>247</v>
      </c>
      <c r="AI1883" s="10">
        <f>IFERROR(VLOOKUP(B1883,'Pre-Summary'!$AZ$6:$BE$65,5,FALSE),"")</f>
        <v>86</v>
      </c>
      <c r="AJ1883" s="10">
        <f>IFERROR(VLOOKUP(B1883,'Pre-Summary'!$AZ$6:$BE$65,4,FALSE),"")</f>
        <v>176</v>
      </c>
      <c r="AK1883" s="10">
        <f>IFERROR(VLOOKUP(B1883,'Pre-Summary'!$AZ$6:$BE$65,6,FALSE),"")</f>
        <v>58</v>
      </c>
      <c r="AL1883" s="10">
        <f>IFERROR(VLOOKUP(B1883,'Pre-Summary'!$BG$6:$BL$44,3,FALSE),"")</f>
        <v>7.2696185634196837</v>
      </c>
      <c r="AM1883" s="10">
        <f>IFERROR(VLOOKUP(B1883,'Pre-Summary'!$BG$6:$BL$44,4,FALSE),"")</f>
        <v>3.0241449903664388</v>
      </c>
    </row>
    <row r="1884" spans="2:39" ht="15" customHeight="1" x14ac:dyDescent="0.3">
      <c r="B1884">
        <v>188.1</v>
      </c>
      <c r="C1884" t="str">
        <f>IFERROR(VLOOKUP(B1884,'Pre-Summary'!$DI$6:$DM$23,4,FALSE),"")</f>
        <v/>
      </c>
      <c r="D1884" s="10" t="str">
        <f>IFERROR(VLOOKUP(B1884,'Pre-Summary'!$AT$6:$AX$14,5,FALSE),D1883)</f>
        <v>Wolfe v3: went back to modified wolfe + EDTA and switched CuSO4 to CUCl2</v>
      </c>
      <c r="E1884" s="10" t="str">
        <f>IFERROR(VLOOKUP(B1884,'Pre-Summary'!$AT$6:$AX$15,4,FALSE),"")</f>
        <v/>
      </c>
      <c r="F1884">
        <f>IFERROR(VLOOKUP(B1884,'Pre-Summary'!$AL$6:$AQ$13,6,FALSE),F1883)</f>
        <v>5.9405263157894746E-2</v>
      </c>
      <c r="G1884" t="str">
        <f>IFERROR(VLOOKUP(B1884,'Pre-Summary'!$AE$6:$AJ$85,3,FALSE),"")</f>
        <v/>
      </c>
      <c r="H1884" t="str">
        <f>IFERROR(VLOOKUP(B1884,'Pre-Summary'!$AE$6:$AJ$85,4,FALSE),"")</f>
        <v/>
      </c>
      <c r="I1884" t="str">
        <f>IFERROR(VLOOKUP(B1884,'Pre-Summary'!$AE$6:$AJ$85,5,FALSE),"")</f>
        <v/>
      </c>
      <c r="J1884" s="45" t="str">
        <f>IFERROR(VLOOKUP(B1884,'Pre-Summary'!$AE$6:$AJ$85,6, FALSE),"")</f>
        <v/>
      </c>
      <c r="K1884" s="45" t="str">
        <f>IFERROR(VLOOKUP(B1884,'Pre-Summary'!$DE$6:$DG$61,3,FALSE),"")</f>
        <v/>
      </c>
      <c r="L1884" s="45" t="str">
        <f>IFERROR(VLOOKUP(B1884,'Pre-Summary'!$CU$6:$CW$36,3,FALSE),"")</f>
        <v/>
      </c>
      <c r="M1884" s="45" t="str">
        <f>IFERROR(VLOOKUP(B1884,'Pre-Summary'!$BW$6:$BY$58,2,FALSE),"")</f>
        <v/>
      </c>
      <c r="N1884" s="45" t="str">
        <f>IFERROR(VLOOKUP(B1884,'Pre-Summary'!$CD$6:$CF$64,2,FALSE),"")</f>
        <v/>
      </c>
      <c r="O1884" s="99">
        <f>IFERROR(VLOOKUP(B1884,'Pre-Summary'!$BO$6:$BQ$48,3, FALSE),O1883)</f>
        <v>1.25</v>
      </c>
      <c r="P1884" s="99">
        <f>IFERROR(VLOOKUP(B1884,'Pre-Summary'!$BS$6:$BU$35,3,FALSE),P1883)</f>
        <v>0.33700000000000002</v>
      </c>
      <c r="Q1884" s="54">
        <f t="shared" si="87"/>
        <v>3.7091988130563798</v>
      </c>
      <c r="R1884" s="53">
        <f>IFERROR(VLOOKUP(B1884,'Pre-Summary'!$BG$6:$BM$44,7,FALSE),R1885)</f>
        <v>6.3359901615733558E-2</v>
      </c>
      <c r="S1884" s="53">
        <f>IFERROR(VLOOKUP(B1884,'Pre-Summary'!$BG$6:$BM$44,6,FALSE),S1885)</f>
        <v>9.0755969483796467E-2</v>
      </c>
      <c r="T1884" s="45" t="str">
        <f>IFERROR(VLOOKUP(B1884,'Pre-Summary'!$Y$6:$AC$83, 3,FALSE),"")</f>
        <v/>
      </c>
      <c r="U1884" s="45" t="str">
        <f>IFERROR(VLOOKUP(B1884,'Pre-Summary'!$Y$6:$AC$83, 4,FALSE),"")</f>
        <v/>
      </c>
      <c r="V1884" t="str">
        <f>IFERROR(VLOOKUP(B1884,'Pre-Summary'!$Y$6:$AC$83, 5,FALSE),"")</f>
        <v/>
      </c>
      <c r="W1884" s="45" t="str">
        <f>IFERROR(VLOOKUP(B1884,'Pre-Summary'!$Y$6:$AD$83,6,FALSE),"")</f>
        <v/>
      </c>
      <c r="X1884" t="str">
        <f>IFERROR(VLOOKUP('Pre-Summary'!$DB$6:$DD$63,3,FALSE),"")</f>
        <v/>
      </c>
      <c r="Y1884" t="str">
        <f>IFERROR(VLOOKUP(B1884,'Pre-Summary'!$CR$6:$CT$36,3,FALSE),"")</f>
        <v/>
      </c>
      <c r="Z1884" s="45" t="str">
        <f>IFERROR(VLOOKUP(B1884,'Pre-Summary'!$BZ$6:$CB$63,2,FALSE),"")</f>
        <v/>
      </c>
      <c r="AA1884" s="45" t="str">
        <f>IFERROR(VLOOKUP(B1884,'Pre-Summary'!$CG$6:$CI$70,2,FALSE),"")</f>
        <v/>
      </c>
      <c r="AB1884" s="99">
        <f>IFERROR(VLOOKUP(B1884,'Pre-Summary'!$A$6:$P$178,9,FALSE),AB1885)</f>
        <v>0.34089867256607242</v>
      </c>
      <c r="AC1884" s="10">
        <f>IFERROR(VLOOKUP(Summary!B1884,'Pre-Summary'!$A$6:$P$184,5, FALSE)/100,AC1885)</f>
        <v>0.9485446666666667</v>
      </c>
      <c r="AD1884" s="10">
        <f>IFERROR(VLOOKUP(Summary!B1884,'Pre-Summary'!$A$6:$P$184,3, FALSE)/100,AD1885)</f>
        <v>3.172033333333333E-2</v>
      </c>
      <c r="AE1884" s="10">
        <f>IFERROR(VLOOKUP(Summary!B1884,'Pre-Summary'!$A$6:$P$184,7, FALSE)/100,AE1885)</f>
        <v>1.9735333333333334E-2</v>
      </c>
      <c r="AF1884" s="99">
        <f t="shared" si="88"/>
        <v>1.0813419526686671E-2</v>
      </c>
      <c r="AG1884" s="99">
        <f t="shared" si="89"/>
        <v>6.7277489359822947E-3</v>
      </c>
      <c r="AH1884" s="10" t="str">
        <f>IFERROR(VLOOKUP(B1884,'Pre-Summary'!$AZ$6:$BE$65,3,FALSE),"")</f>
        <v/>
      </c>
      <c r="AI1884" s="10" t="str">
        <f>IFERROR(VLOOKUP(B1884,'Pre-Summary'!$AZ$6:$BE$65,5,FALSE),"")</f>
        <v/>
      </c>
      <c r="AJ1884" s="10" t="str">
        <f>IFERROR(VLOOKUP(B1884,'Pre-Summary'!$AZ$6:$BE$65,4,FALSE),"")</f>
        <v/>
      </c>
      <c r="AK1884" s="10" t="str">
        <f>IFERROR(VLOOKUP(B1884,'Pre-Summary'!$AZ$6:$BE$65,6,FALSE),"")</f>
        <v/>
      </c>
      <c r="AL1884" s="10" t="str">
        <f>IFERROR(VLOOKUP(B1884,'Pre-Summary'!$BG$6:$BL$44,3,FALSE),"")</f>
        <v/>
      </c>
      <c r="AM1884" s="10" t="str">
        <f>IFERROR(VLOOKUP(B1884,'Pre-Summary'!$BG$6:$BL$44,4,FALSE),"")</f>
        <v/>
      </c>
    </row>
    <row r="1885" spans="2:39" ht="15" customHeight="1" x14ac:dyDescent="0.3">
      <c r="B1885">
        <v>188.2</v>
      </c>
      <c r="C1885" t="str">
        <f>IFERROR(VLOOKUP(B1885,'Pre-Summary'!$DI$6:$DM$23,4,FALSE),"")</f>
        <v/>
      </c>
      <c r="D1885" s="10" t="str">
        <f>IFERROR(VLOOKUP(B1885,'Pre-Summary'!$AT$6:$AX$14,5,FALSE),D1884)</f>
        <v>Wolfe v3: went back to modified wolfe + EDTA and switched CuSO4 to CUCl2</v>
      </c>
      <c r="E1885" s="10" t="str">
        <f>IFERROR(VLOOKUP(B1885,'Pre-Summary'!$AT$6:$AX$15,4,FALSE),"")</f>
        <v/>
      </c>
      <c r="F1885">
        <f>IFERROR(VLOOKUP(B1885,'Pre-Summary'!$AL$6:$AQ$13,6,FALSE),F1884)</f>
        <v>5.9405263157894746E-2</v>
      </c>
      <c r="G1885" t="str">
        <f>IFERROR(VLOOKUP(B1885,'Pre-Summary'!$AE$6:$AJ$85,3,FALSE),"")</f>
        <v/>
      </c>
      <c r="H1885" t="str">
        <f>IFERROR(VLOOKUP(B1885,'Pre-Summary'!$AE$6:$AJ$85,4,FALSE),"")</f>
        <v/>
      </c>
      <c r="I1885" t="str">
        <f>IFERROR(VLOOKUP(B1885,'Pre-Summary'!$AE$6:$AJ$85,5,FALSE),"")</f>
        <v/>
      </c>
      <c r="J1885" s="45" t="str">
        <f>IFERROR(VLOOKUP(B1885,'Pre-Summary'!$AE$6:$AJ$85,6, FALSE),"")</f>
        <v/>
      </c>
      <c r="K1885" s="45" t="str">
        <f>IFERROR(VLOOKUP(B1885,'Pre-Summary'!$DE$6:$DG$61,3,FALSE),"")</f>
        <v/>
      </c>
      <c r="L1885" s="45" t="str">
        <f>IFERROR(VLOOKUP(B1885,'Pre-Summary'!$CU$6:$CW$36,3,FALSE),"")</f>
        <v/>
      </c>
      <c r="M1885" s="45" t="str">
        <f>IFERROR(VLOOKUP(B1885,'Pre-Summary'!$BW$6:$BY$58,2,FALSE),"")</f>
        <v/>
      </c>
      <c r="N1885" s="45" t="str">
        <f>IFERROR(VLOOKUP(B1885,'Pre-Summary'!$CD$6:$CF$64,2,FALSE),"")</f>
        <v/>
      </c>
      <c r="O1885" s="99">
        <f>IFERROR(VLOOKUP(B1885,'Pre-Summary'!$BO$6:$BQ$48,3, FALSE),O1884)</f>
        <v>1.25</v>
      </c>
      <c r="P1885" s="99">
        <f>IFERROR(VLOOKUP(B1885,'Pre-Summary'!$BS$6:$BU$35,3,FALSE),P1884)</f>
        <v>0.33700000000000002</v>
      </c>
      <c r="Q1885" s="54">
        <f t="shared" si="87"/>
        <v>3.7091988130563798</v>
      </c>
      <c r="R1885" s="53">
        <f>IFERROR(VLOOKUP(B1885,'Pre-Summary'!$BG$6:$BM$44,7,FALSE),R1886)</f>
        <v>6.3359901615733558E-2</v>
      </c>
      <c r="S1885" s="53">
        <f>IFERROR(VLOOKUP(B1885,'Pre-Summary'!$BG$6:$BM$44,6,FALSE),S1886)</f>
        <v>9.0755969483796467E-2</v>
      </c>
      <c r="T1885" s="45" t="str">
        <f>IFERROR(VLOOKUP(B1885,'Pre-Summary'!$Y$6:$AC$83, 3,FALSE),"")</f>
        <v/>
      </c>
      <c r="U1885" s="45" t="str">
        <f>IFERROR(VLOOKUP(B1885,'Pre-Summary'!$Y$6:$AC$83, 4,FALSE),"")</f>
        <v/>
      </c>
      <c r="V1885" t="str">
        <f>IFERROR(VLOOKUP(B1885,'Pre-Summary'!$Y$6:$AC$83, 5,FALSE),"")</f>
        <v/>
      </c>
      <c r="W1885" s="45" t="str">
        <f>IFERROR(VLOOKUP(B1885,'Pre-Summary'!$Y$6:$AD$83,6,FALSE),"")</f>
        <v/>
      </c>
      <c r="X1885" t="str">
        <f>IFERROR(VLOOKUP('Pre-Summary'!$DB$6:$DD$63,3,FALSE),"")</f>
        <v/>
      </c>
      <c r="Y1885" t="str">
        <f>IFERROR(VLOOKUP(B1885,'Pre-Summary'!$CR$6:$CT$36,3,FALSE),"")</f>
        <v/>
      </c>
      <c r="Z1885" s="45" t="str">
        <f>IFERROR(VLOOKUP(B1885,'Pre-Summary'!$BZ$6:$CB$63,2,FALSE),"")</f>
        <v/>
      </c>
      <c r="AA1885" s="45" t="str">
        <f>IFERROR(VLOOKUP(B1885,'Pre-Summary'!$CG$6:$CI$70,2,FALSE),"")</f>
        <v/>
      </c>
      <c r="AB1885" s="99">
        <f>IFERROR(VLOOKUP(B1885,'Pre-Summary'!$A$6:$P$178,9,FALSE),AB1886)</f>
        <v>0.34089867256607242</v>
      </c>
      <c r="AC1885" s="10">
        <f>IFERROR(VLOOKUP(Summary!B1885,'Pre-Summary'!$A$6:$P$184,5, FALSE)/100,AC1886)</f>
        <v>0.9485446666666667</v>
      </c>
      <c r="AD1885" s="10">
        <f>IFERROR(VLOOKUP(Summary!B1885,'Pre-Summary'!$A$6:$P$184,3, FALSE)/100,AD1886)</f>
        <v>3.172033333333333E-2</v>
      </c>
      <c r="AE1885" s="10">
        <f>IFERROR(VLOOKUP(Summary!B1885,'Pre-Summary'!$A$6:$P$184,7, FALSE)/100,AE1886)</f>
        <v>1.9735333333333334E-2</v>
      </c>
      <c r="AF1885" s="99">
        <f t="shared" si="88"/>
        <v>1.0813419526686671E-2</v>
      </c>
      <c r="AG1885" s="99">
        <f t="shared" si="89"/>
        <v>6.7277489359822947E-3</v>
      </c>
      <c r="AH1885" s="10" t="str">
        <f>IFERROR(VLOOKUP(B1885,'Pre-Summary'!$AZ$6:$BE$65,3,FALSE),"")</f>
        <v/>
      </c>
      <c r="AI1885" s="10" t="str">
        <f>IFERROR(VLOOKUP(B1885,'Pre-Summary'!$AZ$6:$BE$65,5,FALSE),"")</f>
        <v/>
      </c>
      <c r="AJ1885" s="10" t="str">
        <f>IFERROR(VLOOKUP(B1885,'Pre-Summary'!$AZ$6:$BE$65,4,FALSE),"")</f>
        <v/>
      </c>
      <c r="AK1885" s="10" t="str">
        <f>IFERROR(VLOOKUP(B1885,'Pre-Summary'!$AZ$6:$BE$65,6,FALSE),"")</f>
        <v/>
      </c>
      <c r="AL1885" s="10" t="str">
        <f>IFERROR(VLOOKUP(B1885,'Pre-Summary'!$BG$6:$BL$44,3,FALSE),"")</f>
        <v/>
      </c>
      <c r="AM1885" s="10" t="str">
        <f>IFERROR(VLOOKUP(B1885,'Pre-Summary'!$BG$6:$BL$44,4,FALSE),"")</f>
        <v/>
      </c>
    </row>
    <row r="1886" spans="2:39" ht="15" customHeight="1" x14ac:dyDescent="0.3">
      <c r="B1886">
        <v>188.3</v>
      </c>
      <c r="C1886" t="str">
        <f>IFERROR(VLOOKUP(B1886,'Pre-Summary'!$DI$6:$DM$23,4,FALSE),"")</f>
        <v/>
      </c>
      <c r="D1886" s="10" t="str">
        <f>IFERROR(VLOOKUP(B1886,'Pre-Summary'!$AT$6:$AX$14,5,FALSE),D1885)</f>
        <v>Wolfe v3: went back to modified wolfe + EDTA and switched CuSO4 to CUCl2</v>
      </c>
      <c r="E1886" s="10" t="str">
        <f>IFERROR(VLOOKUP(B1886,'Pre-Summary'!$AT$6:$AX$15,4,FALSE),"")</f>
        <v/>
      </c>
      <c r="F1886">
        <f>IFERROR(VLOOKUP(B1886,'Pre-Summary'!$AL$6:$AQ$13,6,FALSE),F1885)</f>
        <v>5.9405263157894746E-2</v>
      </c>
      <c r="G1886" t="str">
        <f>IFERROR(VLOOKUP(B1886,'Pre-Summary'!$AE$6:$AJ$85,3,FALSE),"")</f>
        <v/>
      </c>
      <c r="H1886" t="str">
        <f>IFERROR(VLOOKUP(B1886,'Pre-Summary'!$AE$6:$AJ$85,4,FALSE),"")</f>
        <v/>
      </c>
      <c r="I1886" t="str">
        <f>IFERROR(VLOOKUP(B1886,'Pre-Summary'!$AE$6:$AJ$85,5,FALSE),"")</f>
        <v/>
      </c>
      <c r="J1886" s="45" t="str">
        <f>IFERROR(VLOOKUP(B1886,'Pre-Summary'!$AE$6:$AJ$85,6, FALSE),"")</f>
        <v/>
      </c>
      <c r="K1886" s="45" t="str">
        <f>IFERROR(VLOOKUP(B1886,'Pre-Summary'!$DE$6:$DG$61,3,FALSE),"")</f>
        <v/>
      </c>
      <c r="L1886" s="45" t="str">
        <f>IFERROR(VLOOKUP(B1886,'Pre-Summary'!$CU$6:$CW$36,3,FALSE),"")</f>
        <v/>
      </c>
      <c r="M1886" s="45" t="str">
        <f>IFERROR(VLOOKUP(B1886,'Pre-Summary'!$BW$6:$BY$58,2,FALSE),"")</f>
        <v/>
      </c>
      <c r="N1886" s="45" t="str">
        <f>IFERROR(VLOOKUP(B1886,'Pre-Summary'!$CD$6:$CF$64,2,FALSE),"")</f>
        <v/>
      </c>
      <c r="O1886" s="99">
        <f>IFERROR(VLOOKUP(B1886,'Pre-Summary'!$BO$6:$BQ$48,3, FALSE),O1885)</f>
        <v>1.25</v>
      </c>
      <c r="P1886" s="99">
        <f>IFERROR(VLOOKUP(B1886,'Pre-Summary'!$BS$6:$BU$35,3,FALSE),P1885)</f>
        <v>0.33700000000000002</v>
      </c>
      <c r="Q1886" s="54">
        <f t="shared" si="87"/>
        <v>3.7091988130563798</v>
      </c>
      <c r="R1886" s="53">
        <f>IFERROR(VLOOKUP(B1886,'Pre-Summary'!$BG$6:$BM$44,7,FALSE),R1887)</f>
        <v>6.3359901615733558E-2</v>
      </c>
      <c r="S1886" s="53">
        <f>IFERROR(VLOOKUP(B1886,'Pre-Summary'!$BG$6:$BM$44,6,FALSE),S1887)</f>
        <v>9.0755969483796467E-2</v>
      </c>
      <c r="T1886" s="45" t="str">
        <f>IFERROR(VLOOKUP(B1886,'Pre-Summary'!$Y$6:$AC$83, 3,FALSE),"")</f>
        <v/>
      </c>
      <c r="U1886" s="45" t="str">
        <f>IFERROR(VLOOKUP(B1886,'Pre-Summary'!$Y$6:$AC$83, 4,FALSE),"")</f>
        <v/>
      </c>
      <c r="V1886" t="str">
        <f>IFERROR(VLOOKUP(B1886,'Pre-Summary'!$Y$6:$AC$83, 5,FALSE),"")</f>
        <v/>
      </c>
      <c r="W1886" s="45" t="str">
        <f>IFERROR(VLOOKUP(B1886,'Pre-Summary'!$Y$6:$AD$83,6,FALSE),"")</f>
        <v/>
      </c>
      <c r="X1886" t="str">
        <f>IFERROR(VLOOKUP('Pre-Summary'!$DB$6:$DD$63,3,FALSE),"")</f>
        <v/>
      </c>
      <c r="Y1886" t="str">
        <f>IFERROR(VLOOKUP(B1886,'Pre-Summary'!$CR$6:$CT$36,3,FALSE),"")</f>
        <v/>
      </c>
      <c r="Z1886" s="45" t="str">
        <f>IFERROR(VLOOKUP(B1886,'Pre-Summary'!$BZ$6:$CB$63,2,FALSE),"")</f>
        <v/>
      </c>
      <c r="AA1886" s="45" t="str">
        <f>IFERROR(VLOOKUP(B1886,'Pre-Summary'!$CG$6:$CI$70,2,FALSE),"")</f>
        <v/>
      </c>
      <c r="AB1886" s="99">
        <f>IFERROR(VLOOKUP(B1886,'Pre-Summary'!$A$6:$P$178,9,FALSE),AB1887)</f>
        <v>0.34089867256607242</v>
      </c>
      <c r="AC1886" s="10">
        <f>IFERROR(VLOOKUP(Summary!B1886,'Pre-Summary'!$A$6:$P$184,5, FALSE)/100,AC1887)</f>
        <v>0.9485446666666667</v>
      </c>
      <c r="AD1886" s="10">
        <f>IFERROR(VLOOKUP(Summary!B1886,'Pre-Summary'!$A$6:$P$184,3, FALSE)/100,AD1887)</f>
        <v>3.172033333333333E-2</v>
      </c>
      <c r="AE1886" s="10">
        <f>IFERROR(VLOOKUP(Summary!B1886,'Pre-Summary'!$A$6:$P$184,7, FALSE)/100,AE1887)</f>
        <v>1.9735333333333334E-2</v>
      </c>
      <c r="AF1886" s="99">
        <f t="shared" si="88"/>
        <v>1.0813419526686671E-2</v>
      </c>
      <c r="AG1886" s="99">
        <f t="shared" si="89"/>
        <v>6.7277489359822947E-3</v>
      </c>
      <c r="AH1886" s="10" t="str">
        <f>IFERROR(VLOOKUP(B1886,'Pre-Summary'!$AZ$6:$BE$65,3,FALSE),"")</f>
        <v/>
      </c>
      <c r="AI1886" s="10" t="str">
        <f>IFERROR(VLOOKUP(B1886,'Pre-Summary'!$AZ$6:$BE$65,5,FALSE),"")</f>
        <v/>
      </c>
      <c r="AJ1886" s="10" t="str">
        <f>IFERROR(VLOOKUP(B1886,'Pre-Summary'!$AZ$6:$BE$65,4,FALSE),"")</f>
        <v/>
      </c>
      <c r="AK1886" s="10" t="str">
        <f>IFERROR(VLOOKUP(B1886,'Pre-Summary'!$AZ$6:$BE$65,6,FALSE),"")</f>
        <v/>
      </c>
      <c r="AL1886" s="10" t="str">
        <f>IFERROR(VLOOKUP(B1886,'Pre-Summary'!$BG$6:$BL$44,3,FALSE),"")</f>
        <v/>
      </c>
      <c r="AM1886" s="10" t="str">
        <f>IFERROR(VLOOKUP(B1886,'Pre-Summary'!$BG$6:$BL$44,4,FALSE),"")</f>
        <v/>
      </c>
    </row>
    <row r="1887" spans="2:39" ht="15" customHeight="1" x14ac:dyDescent="0.3">
      <c r="B1887">
        <v>188.4</v>
      </c>
      <c r="C1887" t="str">
        <f>IFERROR(VLOOKUP(B1887,'Pre-Summary'!$DI$6:$DM$23,4,FALSE),"")</f>
        <v/>
      </c>
      <c r="D1887" s="10" t="str">
        <f>IFERROR(VLOOKUP(B1887,'Pre-Summary'!$AT$6:$AX$14,5,FALSE),D1886)</f>
        <v>Wolfe v3: went back to modified wolfe + EDTA and switched CuSO4 to CUCl2</v>
      </c>
      <c r="E1887" s="10" t="str">
        <f>IFERROR(VLOOKUP(B1887,'Pre-Summary'!$AT$6:$AX$15,4,FALSE),"")</f>
        <v/>
      </c>
      <c r="F1887">
        <f>IFERROR(VLOOKUP(B1887,'Pre-Summary'!$AL$6:$AQ$13,6,FALSE),F1886)</f>
        <v>5.9405263157894746E-2</v>
      </c>
      <c r="G1887" t="str">
        <f>IFERROR(VLOOKUP(B1887,'Pre-Summary'!$AE$6:$AJ$85,3,FALSE),"")</f>
        <v/>
      </c>
      <c r="H1887" t="str">
        <f>IFERROR(VLOOKUP(B1887,'Pre-Summary'!$AE$6:$AJ$85,4,FALSE),"")</f>
        <v/>
      </c>
      <c r="I1887" t="str">
        <f>IFERROR(VLOOKUP(B1887,'Pre-Summary'!$AE$6:$AJ$85,5,FALSE),"")</f>
        <v/>
      </c>
      <c r="J1887" s="45" t="str">
        <f>IFERROR(VLOOKUP(B1887,'Pre-Summary'!$AE$6:$AJ$85,6, FALSE),"")</f>
        <v/>
      </c>
      <c r="K1887" s="45" t="str">
        <f>IFERROR(VLOOKUP(B1887,'Pre-Summary'!$DE$6:$DG$61,3,FALSE),"")</f>
        <v/>
      </c>
      <c r="L1887" s="45" t="str">
        <f>IFERROR(VLOOKUP(B1887,'Pre-Summary'!$CU$6:$CW$36,3,FALSE),"")</f>
        <v/>
      </c>
      <c r="M1887" s="45" t="str">
        <f>IFERROR(VLOOKUP(B1887,'Pre-Summary'!$BW$6:$BY$58,2,FALSE),"")</f>
        <v/>
      </c>
      <c r="N1887" s="45" t="str">
        <f>IFERROR(VLOOKUP(B1887,'Pre-Summary'!$CD$6:$CF$64,2,FALSE),"")</f>
        <v/>
      </c>
      <c r="O1887" s="99">
        <f>IFERROR(VLOOKUP(B1887,'Pre-Summary'!$BO$6:$BQ$48,3, FALSE),O1886)</f>
        <v>1.25</v>
      </c>
      <c r="P1887" s="99">
        <f>IFERROR(VLOOKUP(B1887,'Pre-Summary'!$BS$6:$BU$35,3,FALSE),P1886)</f>
        <v>0.33700000000000002</v>
      </c>
      <c r="Q1887" s="54">
        <f t="shared" si="87"/>
        <v>3.7091988130563798</v>
      </c>
      <c r="R1887" s="53">
        <f>IFERROR(VLOOKUP(B1887,'Pre-Summary'!$BG$6:$BM$44,7,FALSE),R1888)</f>
        <v>6.3359901615733558E-2</v>
      </c>
      <c r="S1887" s="53">
        <f>IFERROR(VLOOKUP(B1887,'Pre-Summary'!$BG$6:$BM$44,6,FALSE),S1888)</f>
        <v>9.0755969483796467E-2</v>
      </c>
      <c r="T1887" s="45" t="str">
        <f>IFERROR(VLOOKUP(B1887,'Pre-Summary'!$Y$6:$AC$83, 3,FALSE),"")</f>
        <v/>
      </c>
      <c r="U1887" s="45" t="str">
        <f>IFERROR(VLOOKUP(B1887,'Pre-Summary'!$Y$6:$AC$83, 4,FALSE),"")</f>
        <v/>
      </c>
      <c r="V1887" t="str">
        <f>IFERROR(VLOOKUP(B1887,'Pre-Summary'!$Y$6:$AC$83, 5,FALSE),"")</f>
        <v/>
      </c>
      <c r="W1887" s="45" t="str">
        <f>IFERROR(VLOOKUP(B1887,'Pre-Summary'!$Y$6:$AD$83,6,FALSE),"")</f>
        <v/>
      </c>
      <c r="X1887" t="str">
        <f>IFERROR(VLOOKUP('Pre-Summary'!$DB$6:$DD$63,3,FALSE),"")</f>
        <v/>
      </c>
      <c r="Y1887" t="str">
        <f>IFERROR(VLOOKUP(B1887,'Pre-Summary'!$CR$6:$CT$36,3,FALSE),"")</f>
        <v/>
      </c>
      <c r="Z1887" s="45" t="str">
        <f>IFERROR(VLOOKUP(B1887,'Pre-Summary'!$BZ$6:$CB$63,2,FALSE),"")</f>
        <v/>
      </c>
      <c r="AA1887" s="45" t="str">
        <f>IFERROR(VLOOKUP(B1887,'Pre-Summary'!$CG$6:$CI$70,2,FALSE),"")</f>
        <v/>
      </c>
      <c r="AB1887" s="99">
        <f>IFERROR(VLOOKUP(B1887,'Pre-Summary'!$A$6:$P$178,9,FALSE),AB1888)</f>
        <v>0.34089867256607242</v>
      </c>
      <c r="AC1887" s="10">
        <f>IFERROR(VLOOKUP(Summary!B1887,'Pre-Summary'!$A$6:$P$184,5, FALSE)/100,AC1888)</f>
        <v>0.9485446666666667</v>
      </c>
      <c r="AD1887" s="10">
        <f>IFERROR(VLOOKUP(Summary!B1887,'Pre-Summary'!$A$6:$P$184,3, FALSE)/100,AD1888)</f>
        <v>3.172033333333333E-2</v>
      </c>
      <c r="AE1887" s="10">
        <f>IFERROR(VLOOKUP(Summary!B1887,'Pre-Summary'!$A$6:$P$184,7, FALSE)/100,AE1888)</f>
        <v>1.9735333333333334E-2</v>
      </c>
      <c r="AF1887" s="99">
        <f t="shared" si="88"/>
        <v>1.0813419526686671E-2</v>
      </c>
      <c r="AG1887" s="99">
        <f t="shared" si="89"/>
        <v>6.7277489359822947E-3</v>
      </c>
      <c r="AH1887" s="10" t="str">
        <f>IFERROR(VLOOKUP(B1887,'Pre-Summary'!$AZ$6:$BE$65,3,FALSE),"")</f>
        <v/>
      </c>
      <c r="AI1887" s="10" t="str">
        <f>IFERROR(VLOOKUP(B1887,'Pre-Summary'!$AZ$6:$BE$65,5,FALSE),"")</f>
        <v/>
      </c>
      <c r="AJ1887" s="10" t="str">
        <f>IFERROR(VLOOKUP(B1887,'Pre-Summary'!$AZ$6:$BE$65,4,FALSE),"")</f>
        <v/>
      </c>
      <c r="AK1887" s="10" t="str">
        <f>IFERROR(VLOOKUP(B1887,'Pre-Summary'!$AZ$6:$BE$65,6,FALSE),"")</f>
        <v/>
      </c>
      <c r="AL1887" s="10" t="str">
        <f>IFERROR(VLOOKUP(B1887,'Pre-Summary'!$BG$6:$BL$44,3,FALSE),"")</f>
        <v/>
      </c>
      <c r="AM1887" s="10" t="str">
        <f>IFERROR(VLOOKUP(B1887,'Pre-Summary'!$BG$6:$BL$44,4,FALSE),"")</f>
        <v/>
      </c>
    </row>
    <row r="1888" spans="2:39" ht="15" customHeight="1" x14ac:dyDescent="0.3">
      <c r="B1888">
        <v>188.5</v>
      </c>
      <c r="C1888" t="str">
        <f>IFERROR(VLOOKUP(B1888,'Pre-Summary'!$DI$6:$DM$23,4,FALSE),"")</f>
        <v/>
      </c>
      <c r="D1888" s="10" t="str">
        <f>IFERROR(VLOOKUP(B1888,'Pre-Summary'!$AT$6:$AX$14,5,FALSE),D1887)</f>
        <v>Wolfe v3: went back to modified wolfe + EDTA and switched CuSO4 to CUCl2</v>
      </c>
      <c r="E1888" s="10" t="str">
        <f>IFERROR(VLOOKUP(B1888,'Pre-Summary'!$AT$6:$AX$15,4,FALSE),"")</f>
        <v/>
      </c>
      <c r="F1888">
        <f>IFERROR(VLOOKUP(B1888,'Pre-Summary'!$AL$6:$AQ$13,6,FALSE),F1887)</f>
        <v>5.9405263157894746E-2</v>
      </c>
      <c r="G1888" t="str">
        <f>IFERROR(VLOOKUP(B1888,'Pre-Summary'!$AE$6:$AJ$85,3,FALSE),"")</f>
        <v/>
      </c>
      <c r="H1888" t="str">
        <f>IFERROR(VLOOKUP(B1888,'Pre-Summary'!$AE$6:$AJ$85,4,FALSE),"")</f>
        <v/>
      </c>
      <c r="I1888" t="str">
        <f>IFERROR(VLOOKUP(B1888,'Pre-Summary'!$AE$6:$AJ$85,5,FALSE),"")</f>
        <v/>
      </c>
      <c r="J1888" s="45" t="str">
        <f>IFERROR(VLOOKUP(B1888,'Pre-Summary'!$AE$6:$AJ$85,6, FALSE),"")</f>
        <v/>
      </c>
      <c r="K1888" s="45" t="str">
        <f>IFERROR(VLOOKUP(B1888,'Pre-Summary'!$DE$6:$DG$61,3,FALSE),"")</f>
        <v/>
      </c>
      <c r="L1888" s="45" t="str">
        <f>IFERROR(VLOOKUP(B1888,'Pre-Summary'!$CU$6:$CW$36,3,FALSE),"")</f>
        <v/>
      </c>
      <c r="M1888" s="45" t="str">
        <f>IFERROR(VLOOKUP(B1888,'Pre-Summary'!$BW$6:$BY$58,2,FALSE),"")</f>
        <v/>
      </c>
      <c r="N1888" s="45" t="str">
        <f>IFERROR(VLOOKUP(B1888,'Pre-Summary'!$CD$6:$CF$64,2,FALSE),"")</f>
        <v/>
      </c>
      <c r="O1888" s="99">
        <f>IFERROR(VLOOKUP(B1888,'Pre-Summary'!$BO$6:$BQ$48,3, FALSE),O1887)</f>
        <v>1.25</v>
      </c>
      <c r="P1888" s="99">
        <f>IFERROR(VLOOKUP(B1888,'Pre-Summary'!$BS$6:$BU$35,3,FALSE),P1887)</f>
        <v>0.33700000000000002</v>
      </c>
      <c r="Q1888" s="54">
        <f t="shared" si="87"/>
        <v>3.7091988130563798</v>
      </c>
      <c r="R1888" s="53">
        <f>IFERROR(VLOOKUP(B1888,'Pre-Summary'!$BG$6:$BM$44,7,FALSE),R1889)</f>
        <v>6.3359901615733558E-2</v>
      </c>
      <c r="S1888" s="53">
        <f>IFERROR(VLOOKUP(B1888,'Pre-Summary'!$BG$6:$BM$44,6,FALSE),S1889)</f>
        <v>9.0755969483796467E-2</v>
      </c>
      <c r="T1888" s="45" t="str">
        <f>IFERROR(VLOOKUP(B1888,'Pre-Summary'!$Y$6:$AC$83, 3,FALSE),"")</f>
        <v/>
      </c>
      <c r="U1888" s="45" t="str">
        <f>IFERROR(VLOOKUP(B1888,'Pre-Summary'!$Y$6:$AC$83, 4,FALSE),"")</f>
        <v/>
      </c>
      <c r="V1888" t="str">
        <f>IFERROR(VLOOKUP(B1888,'Pre-Summary'!$Y$6:$AC$83, 5,FALSE),"")</f>
        <v/>
      </c>
      <c r="W1888" s="45" t="str">
        <f>IFERROR(VLOOKUP(B1888,'Pre-Summary'!$Y$6:$AD$83,6,FALSE),"")</f>
        <v/>
      </c>
      <c r="X1888" t="str">
        <f>IFERROR(VLOOKUP('Pre-Summary'!$DB$6:$DD$63,3,FALSE),"")</f>
        <v/>
      </c>
      <c r="Y1888" t="str">
        <f>IFERROR(VLOOKUP(B1888,'Pre-Summary'!$CR$6:$CT$36,3,FALSE),"")</f>
        <v/>
      </c>
      <c r="Z1888" s="45" t="str">
        <f>IFERROR(VLOOKUP(B1888,'Pre-Summary'!$BZ$6:$CB$63,2,FALSE),"")</f>
        <v/>
      </c>
      <c r="AA1888" s="45" t="str">
        <f>IFERROR(VLOOKUP(B1888,'Pre-Summary'!$CG$6:$CI$70,2,FALSE),"")</f>
        <v/>
      </c>
      <c r="AB1888" s="99">
        <f>IFERROR(VLOOKUP(B1888,'Pre-Summary'!$A$6:$P$178,9,FALSE),AB1889)</f>
        <v>0.34089867256607242</v>
      </c>
      <c r="AC1888" s="10">
        <f>IFERROR(VLOOKUP(Summary!B1888,'Pre-Summary'!$A$6:$P$184,5, FALSE)/100,AC1889)</f>
        <v>0.9485446666666667</v>
      </c>
      <c r="AD1888" s="10">
        <f>IFERROR(VLOOKUP(Summary!B1888,'Pre-Summary'!$A$6:$P$184,3, FALSE)/100,AD1889)</f>
        <v>3.172033333333333E-2</v>
      </c>
      <c r="AE1888" s="10">
        <f>IFERROR(VLOOKUP(Summary!B1888,'Pre-Summary'!$A$6:$P$184,7, FALSE)/100,AE1889)</f>
        <v>1.9735333333333334E-2</v>
      </c>
      <c r="AF1888" s="99">
        <f t="shared" si="88"/>
        <v>1.0813419526686671E-2</v>
      </c>
      <c r="AG1888" s="99">
        <f t="shared" si="89"/>
        <v>6.7277489359822947E-3</v>
      </c>
      <c r="AH1888" s="10" t="str">
        <f>IFERROR(VLOOKUP(B1888,'Pre-Summary'!$AZ$6:$BE$65,3,FALSE),"")</f>
        <v/>
      </c>
      <c r="AI1888" s="10" t="str">
        <f>IFERROR(VLOOKUP(B1888,'Pre-Summary'!$AZ$6:$BE$65,5,FALSE),"")</f>
        <v/>
      </c>
      <c r="AJ1888" s="10" t="str">
        <f>IFERROR(VLOOKUP(B1888,'Pre-Summary'!$AZ$6:$BE$65,4,FALSE),"")</f>
        <v/>
      </c>
      <c r="AK1888" s="10" t="str">
        <f>IFERROR(VLOOKUP(B1888,'Pre-Summary'!$AZ$6:$BE$65,6,FALSE),"")</f>
        <v/>
      </c>
      <c r="AL1888" s="10" t="str">
        <f>IFERROR(VLOOKUP(B1888,'Pre-Summary'!$BG$6:$BL$44,3,FALSE),"")</f>
        <v/>
      </c>
      <c r="AM1888" s="10" t="str">
        <f>IFERROR(VLOOKUP(B1888,'Pre-Summary'!$BG$6:$BL$44,4,FALSE),"")</f>
        <v/>
      </c>
    </row>
    <row r="1889" spans="2:39" ht="15" customHeight="1" x14ac:dyDescent="0.3">
      <c r="B1889">
        <v>188.6</v>
      </c>
      <c r="C1889" t="str">
        <f>IFERROR(VLOOKUP(B1889,'Pre-Summary'!$DI$6:$DM$23,4,FALSE),"")</f>
        <v/>
      </c>
      <c r="D1889" s="10" t="str">
        <f>IFERROR(VLOOKUP(B1889,'Pre-Summary'!$AT$6:$AX$14,5,FALSE),D1888)</f>
        <v>Wolfe v3: went back to modified wolfe + EDTA and switched CuSO4 to CUCl2</v>
      </c>
      <c r="E1889" s="10" t="str">
        <f>IFERROR(VLOOKUP(B1889,'Pre-Summary'!$AT$6:$AX$15,4,FALSE),"")</f>
        <v/>
      </c>
      <c r="F1889">
        <f>IFERROR(VLOOKUP(B1889,'Pre-Summary'!$AL$6:$AQ$13,6,FALSE),F1888)</f>
        <v>5.9405263157894746E-2</v>
      </c>
      <c r="G1889" t="str">
        <f>IFERROR(VLOOKUP(B1889,'Pre-Summary'!$AE$6:$AJ$85,3,FALSE),"")</f>
        <v/>
      </c>
      <c r="H1889" t="str">
        <f>IFERROR(VLOOKUP(B1889,'Pre-Summary'!$AE$6:$AJ$85,4,FALSE),"")</f>
        <v/>
      </c>
      <c r="I1889" t="str">
        <f>IFERROR(VLOOKUP(B1889,'Pre-Summary'!$AE$6:$AJ$85,5,FALSE),"")</f>
        <v/>
      </c>
      <c r="J1889" s="45" t="str">
        <f>IFERROR(VLOOKUP(B1889,'Pre-Summary'!$AE$6:$AJ$85,6, FALSE),"")</f>
        <v/>
      </c>
      <c r="K1889" s="45" t="str">
        <f>IFERROR(VLOOKUP(B1889,'Pre-Summary'!$DE$6:$DG$61,3,FALSE),"")</f>
        <v/>
      </c>
      <c r="L1889" s="45" t="str">
        <f>IFERROR(VLOOKUP(B1889,'Pre-Summary'!$CU$6:$CW$36,3,FALSE),"")</f>
        <v/>
      </c>
      <c r="M1889" s="45" t="str">
        <f>IFERROR(VLOOKUP(B1889,'Pre-Summary'!$BW$6:$BY$58,2,FALSE),"")</f>
        <v/>
      </c>
      <c r="N1889" s="45" t="str">
        <f>IFERROR(VLOOKUP(B1889,'Pre-Summary'!$CD$6:$CF$64,2,FALSE),"")</f>
        <v/>
      </c>
      <c r="O1889" s="99">
        <f>IFERROR(VLOOKUP(B1889,'Pre-Summary'!$BO$6:$BQ$48,3, FALSE),O1888)</f>
        <v>1.25</v>
      </c>
      <c r="P1889" s="99">
        <f>IFERROR(VLOOKUP(B1889,'Pre-Summary'!$BS$6:$BU$35,3,FALSE),P1888)</f>
        <v>0.33700000000000002</v>
      </c>
      <c r="Q1889" s="54">
        <f t="shared" si="87"/>
        <v>3.7091988130563798</v>
      </c>
      <c r="R1889" s="53">
        <f>IFERROR(VLOOKUP(B1889,'Pre-Summary'!$BG$6:$BM$44,7,FALSE),R1890)</f>
        <v>6.3359901615733558E-2</v>
      </c>
      <c r="S1889" s="53">
        <f>IFERROR(VLOOKUP(B1889,'Pre-Summary'!$BG$6:$BM$44,6,FALSE),S1890)</f>
        <v>9.0755969483796467E-2</v>
      </c>
      <c r="T1889" s="45" t="str">
        <f>IFERROR(VLOOKUP(B1889,'Pre-Summary'!$Y$6:$AC$83, 3,FALSE),"")</f>
        <v/>
      </c>
      <c r="U1889" s="45" t="str">
        <f>IFERROR(VLOOKUP(B1889,'Pre-Summary'!$Y$6:$AC$83, 4,FALSE),"")</f>
        <v/>
      </c>
      <c r="V1889" t="str">
        <f>IFERROR(VLOOKUP(B1889,'Pre-Summary'!$Y$6:$AC$83, 5,FALSE),"")</f>
        <v/>
      </c>
      <c r="W1889" s="45" t="str">
        <f>IFERROR(VLOOKUP(B1889,'Pre-Summary'!$Y$6:$AD$83,6,FALSE),"")</f>
        <v/>
      </c>
      <c r="X1889" t="str">
        <f>IFERROR(VLOOKUP('Pre-Summary'!$DB$6:$DD$63,3,FALSE),"")</f>
        <v/>
      </c>
      <c r="Y1889" t="str">
        <f>IFERROR(VLOOKUP(B1889,'Pre-Summary'!$CR$6:$CT$36,3,FALSE),"")</f>
        <v/>
      </c>
      <c r="Z1889" s="45" t="str">
        <f>IFERROR(VLOOKUP(B1889,'Pre-Summary'!$BZ$6:$CB$63,2,FALSE),"")</f>
        <v/>
      </c>
      <c r="AA1889" s="45" t="str">
        <f>IFERROR(VLOOKUP(B1889,'Pre-Summary'!$CG$6:$CI$70,2,FALSE),"")</f>
        <v/>
      </c>
      <c r="AB1889" s="99">
        <f>IFERROR(VLOOKUP(B1889,'Pre-Summary'!$A$6:$P$178,9,FALSE),AB1890)</f>
        <v>0.34089867256607242</v>
      </c>
      <c r="AC1889" s="10">
        <f>IFERROR(VLOOKUP(Summary!B1889,'Pre-Summary'!$A$6:$P$184,5, FALSE)/100,AC1890)</f>
        <v>0.9485446666666667</v>
      </c>
      <c r="AD1889" s="10">
        <f>IFERROR(VLOOKUP(Summary!B1889,'Pre-Summary'!$A$6:$P$184,3, FALSE)/100,AD1890)</f>
        <v>3.172033333333333E-2</v>
      </c>
      <c r="AE1889" s="10">
        <f>IFERROR(VLOOKUP(Summary!B1889,'Pre-Summary'!$A$6:$P$184,7, FALSE)/100,AE1890)</f>
        <v>1.9735333333333334E-2</v>
      </c>
      <c r="AF1889" s="99">
        <f t="shared" si="88"/>
        <v>1.0813419526686671E-2</v>
      </c>
      <c r="AG1889" s="99">
        <f t="shared" si="89"/>
        <v>6.7277489359822947E-3</v>
      </c>
      <c r="AH1889" s="10" t="str">
        <f>IFERROR(VLOOKUP(B1889,'Pre-Summary'!$AZ$6:$BE$65,3,FALSE),"")</f>
        <v/>
      </c>
      <c r="AI1889" s="10" t="str">
        <f>IFERROR(VLOOKUP(B1889,'Pre-Summary'!$AZ$6:$BE$65,5,FALSE),"")</f>
        <v/>
      </c>
      <c r="AJ1889" s="10" t="str">
        <f>IFERROR(VLOOKUP(B1889,'Pre-Summary'!$AZ$6:$BE$65,4,FALSE),"")</f>
        <v/>
      </c>
      <c r="AK1889" s="10" t="str">
        <f>IFERROR(VLOOKUP(B1889,'Pre-Summary'!$AZ$6:$BE$65,6,FALSE),"")</f>
        <v/>
      </c>
      <c r="AL1889" s="10" t="str">
        <f>IFERROR(VLOOKUP(B1889,'Pre-Summary'!$BG$6:$BL$44,3,FALSE),"")</f>
        <v/>
      </c>
      <c r="AM1889" s="10" t="str">
        <f>IFERROR(VLOOKUP(B1889,'Pre-Summary'!$BG$6:$BL$44,4,FALSE),"")</f>
        <v/>
      </c>
    </row>
    <row r="1890" spans="2:39" ht="15" customHeight="1" x14ac:dyDescent="0.3">
      <c r="B1890">
        <v>188.7</v>
      </c>
      <c r="C1890" t="str">
        <f>IFERROR(VLOOKUP(B1890,'Pre-Summary'!$DI$6:$DM$23,4,FALSE),"")</f>
        <v/>
      </c>
      <c r="D1890" s="10" t="str">
        <f>IFERROR(VLOOKUP(B1890,'Pre-Summary'!$AT$6:$AX$14,5,FALSE),D1889)</f>
        <v>Wolfe v3: went back to modified wolfe + EDTA and switched CuSO4 to CUCl2</v>
      </c>
      <c r="E1890" s="10" t="str">
        <f>IFERROR(VLOOKUP(B1890,'Pre-Summary'!$AT$6:$AX$15,4,FALSE),"")</f>
        <v/>
      </c>
      <c r="F1890">
        <f>IFERROR(VLOOKUP(B1890,'Pre-Summary'!$AL$6:$AQ$13,6,FALSE),F1889)</f>
        <v>5.9405263157894746E-2</v>
      </c>
      <c r="G1890" t="str">
        <f>IFERROR(VLOOKUP(B1890,'Pre-Summary'!$AE$6:$AJ$85,3,FALSE),"")</f>
        <v/>
      </c>
      <c r="H1890" t="str">
        <f>IFERROR(VLOOKUP(B1890,'Pre-Summary'!$AE$6:$AJ$85,4,FALSE),"")</f>
        <v/>
      </c>
      <c r="I1890" t="str">
        <f>IFERROR(VLOOKUP(B1890,'Pre-Summary'!$AE$6:$AJ$85,5,FALSE),"")</f>
        <v/>
      </c>
      <c r="J1890" s="45" t="str">
        <f>IFERROR(VLOOKUP(B1890,'Pre-Summary'!$AE$6:$AJ$85,6, FALSE),"")</f>
        <v/>
      </c>
      <c r="K1890" s="45" t="str">
        <f>IFERROR(VLOOKUP(B1890,'Pre-Summary'!$DE$6:$DG$61,3,FALSE),"")</f>
        <v/>
      </c>
      <c r="L1890" s="45" t="str">
        <f>IFERROR(VLOOKUP(B1890,'Pre-Summary'!$CU$6:$CW$36,3,FALSE),"")</f>
        <v/>
      </c>
      <c r="M1890" s="45" t="str">
        <f>IFERROR(VLOOKUP(B1890,'Pre-Summary'!$BW$6:$BY$58,2,FALSE),"")</f>
        <v/>
      </c>
      <c r="N1890" s="45" t="str">
        <f>IFERROR(VLOOKUP(B1890,'Pre-Summary'!$CD$6:$CF$64,2,FALSE),"")</f>
        <v/>
      </c>
      <c r="O1890" s="99">
        <f>IFERROR(VLOOKUP(B1890,'Pre-Summary'!$BO$6:$BQ$48,3, FALSE),O1889)</f>
        <v>1.25</v>
      </c>
      <c r="P1890" s="99">
        <f>IFERROR(VLOOKUP(B1890,'Pre-Summary'!$BS$6:$BU$35,3,FALSE),P1889)</f>
        <v>0.33700000000000002</v>
      </c>
      <c r="Q1890" s="54">
        <f t="shared" si="87"/>
        <v>3.7091988130563798</v>
      </c>
      <c r="R1890" s="53">
        <f>IFERROR(VLOOKUP(B1890,'Pre-Summary'!$BG$6:$BM$44,7,FALSE),R1891)</f>
        <v>6.3359901615733558E-2</v>
      </c>
      <c r="S1890" s="53">
        <f>IFERROR(VLOOKUP(B1890,'Pre-Summary'!$BG$6:$BM$44,6,FALSE),S1891)</f>
        <v>9.0755969483796467E-2</v>
      </c>
      <c r="T1890" s="45" t="str">
        <f>IFERROR(VLOOKUP(B1890,'Pre-Summary'!$Y$6:$AC$83, 3,FALSE),"")</f>
        <v/>
      </c>
      <c r="U1890" s="45" t="str">
        <f>IFERROR(VLOOKUP(B1890,'Pre-Summary'!$Y$6:$AC$83, 4,FALSE),"")</f>
        <v/>
      </c>
      <c r="V1890" t="str">
        <f>IFERROR(VLOOKUP(B1890,'Pre-Summary'!$Y$6:$AC$83, 5,FALSE),"")</f>
        <v/>
      </c>
      <c r="W1890" s="45" t="str">
        <f>IFERROR(VLOOKUP(B1890,'Pre-Summary'!$Y$6:$AD$83,6,FALSE),"")</f>
        <v/>
      </c>
      <c r="X1890" t="str">
        <f>IFERROR(VLOOKUP('Pre-Summary'!$DB$6:$DD$63,3,FALSE),"")</f>
        <v/>
      </c>
      <c r="Y1890" t="str">
        <f>IFERROR(VLOOKUP(B1890,'Pre-Summary'!$CR$6:$CT$36,3,FALSE),"")</f>
        <v/>
      </c>
      <c r="Z1890" s="45" t="str">
        <f>IFERROR(VLOOKUP(B1890,'Pre-Summary'!$BZ$6:$CB$63,2,FALSE),"")</f>
        <v/>
      </c>
      <c r="AA1890" s="45" t="str">
        <f>IFERROR(VLOOKUP(B1890,'Pre-Summary'!$CG$6:$CI$70,2,FALSE),"")</f>
        <v/>
      </c>
      <c r="AB1890" s="99">
        <f>IFERROR(VLOOKUP(B1890,'Pre-Summary'!$A$6:$P$178,9,FALSE),AB1891)</f>
        <v>0.34089867256607242</v>
      </c>
      <c r="AC1890" s="10">
        <f>IFERROR(VLOOKUP(Summary!B1890,'Pre-Summary'!$A$6:$P$184,5, FALSE)/100,AC1891)</f>
        <v>0.9485446666666667</v>
      </c>
      <c r="AD1890" s="10">
        <f>IFERROR(VLOOKUP(Summary!B1890,'Pre-Summary'!$A$6:$P$184,3, FALSE)/100,AD1891)</f>
        <v>3.172033333333333E-2</v>
      </c>
      <c r="AE1890" s="10">
        <f>IFERROR(VLOOKUP(Summary!B1890,'Pre-Summary'!$A$6:$P$184,7, FALSE)/100,AE1891)</f>
        <v>1.9735333333333334E-2</v>
      </c>
      <c r="AF1890" s="99">
        <f t="shared" si="88"/>
        <v>1.0813419526686671E-2</v>
      </c>
      <c r="AG1890" s="99">
        <f t="shared" si="89"/>
        <v>6.7277489359822947E-3</v>
      </c>
      <c r="AH1890" s="10" t="str">
        <f>IFERROR(VLOOKUP(B1890,'Pre-Summary'!$AZ$6:$BE$65,3,FALSE),"")</f>
        <v/>
      </c>
      <c r="AI1890" s="10" t="str">
        <f>IFERROR(VLOOKUP(B1890,'Pre-Summary'!$AZ$6:$BE$65,5,FALSE),"")</f>
        <v/>
      </c>
      <c r="AJ1890" s="10" t="str">
        <f>IFERROR(VLOOKUP(B1890,'Pre-Summary'!$AZ$6:$BE$65,4,FALSE),"")</f>
        <v/>
      </c>
      <c r="AK1890" s="10" t="str">
        <f>IFERROR(VLOOKUP(B1890,'Pre-Summary'!$AZ$6:$BE$65,6,FALSE),"")</f>
        <v/>
      </c>
      <c r="AL1890" s="10" t="str">
        <f>IFERROR(VLOOKUP(B1890,'Pre-Summary'!$BG$6:$BL$44,3,FALSE),"")</f>
        <v/>
      </c>
      <c r="AM1890" s="10" t="str">
        <f>IFERROR(VLOOKUP(B1890,'Pre-Summary'!$BG$6:$BL$44,4,FALSE),"")</f>
        <v/>
      </c>
    </row>
    <row r="1891" spans="2:39" ht="15" customHeight="1" x14ac:dyDescent="0.3">
      <c r="B1891">
        <v>188.8</v>
      </c>
      <c r="C1891" t="str">
        <f>IFERROR(VLOOKUP(B1891,'Pre-Summary'!$DI$6:$DM$23,4,FALSE),"")</f>
        <v/>
      </c>
      <c r="D1891" s="10" t="str">
        <f>IFERROR(VLOOKUP(B1891,'Pre-Summary'!$AT$6:$AX$14,5,FALSE),D1890)</f>
        <v>Wolfe v3: went back to modified wolfe + EDTA and switched CuSO4 to CUCl2</v>
      </c>
      <c r="E1891" s="10" t="str">
        <f>IFERROR(VLOOKUP(B1891,'Pre-Summary'!$AT$6:$AX$15,4,FALSE),"")</f>
        <v/>
      </c>
      <c r="F1891">
        <f>IFERROR(VLOOKUP(B1891,'Pre-Summary'!$AL$6:$AQ$13,6,FALSE),F1890)</f>
        <v>5.9405263157894746E-2</v>
      </c>
      <c r="G1891" t="str">
        <f>IFERROR(VLOOKUP(B1891,'Pre-Summary'!$AE$6:$AJ$85,3,FALSE),"")</f>
        <v/>
      </c>
      <c r="H1891" t="str">
        <f>IFERROR(VLOOKUP(B1891,'Pre-Summary'!$AE$6:$AJ$85,4,FALSE),"")</f>
        <v/>
      </c>
      <c r="I1891" t="str">
        <f>IFERROR(VLOOKUP(B1891,'Pre-Summary'!$AE$6:$AJ$85,5,FALSE),"")</f>
        <v/>
      </c>
      <c r="J1891" s="45" t="str">
        <f>IFERROR(VLOOKUP(B1891,'Pre-Summary'!$AE$6:$AJ$85,6, FALSE),"")</f>
        <v/>
      </c>
      <c r="K1891" s="45" t="str">
        <f>IFERROR(VLOOKUP(B1891,'Pre-Summary'!$DE$6:$DG$61,3,FALSE),"")</f>
        <v/>
      </c>
      <c r="L1891" s="45" t="str">
        <f>IFERROR(VLOOKUP(B1891,'Pre-Summary'!$CU$6:$CW$36,3,FALSE),"")</f>
        <v/>
      </c>
      <c r="M1891" s="45" t="str">
        <f>IFERROR(VLOOKUP(B1891,'Pre-Summary'!$BW$6:$BY$58,2,FALSE),"")</f>
        <v/>
      </c>
      <c r="N1891" s="45" t="str">
        <f>IFERROR(VLOOKUP(B1891,'Pre-Summary'!$CD$6:$CF$64,2,FALSE),"")</f>
        <v/>
      </c>
      <c r="O1891" s="99">
        <f>IFERROR(VLOOKUP(B1891,'Pre-Summary'!$BO$6:$BQ$48,3, FALSE),O1890)</f>
        <v>1.25</v>
      </c>
      <c r="P1891" s="99">
        <f>IFERROR(VLOOKUP(B1891,'Pre-Summary'!$BS$6:$BU$35,3,FALSE),P1890)</f>
        <v>0.33700000000000002</v>
      </c>
      <c r="Q1891" s="54">
        <f t="shared" si="87"/>
        <v>3.7091988130563798</v>
      </c>
      <c r="R1891" s="53">
        <f>IFERROR(VLOOKUP(B1891,'Pre-Summary'!$BG$6:$BM$44,7,FALSE),R1892)</f>
        <v>6.3359901615733558E-2</v>
      </c>
      <c r="S1891" s="53">
        <f>IFERROR(VLOOKUP(B1891,'Pre-Summary'!$BG$6:$BM$44,6,FALSE),S1892)</f>
        <v>9.0755969483796467E-2</v>
      </c>
      <c r="T1891" s="45" t="str">
        <f>IFERROR(VLOOKUP(B1891,'Pre-Summary'!$Y$6:$AC$83, 3,FALSE),"")</f>
        <v/>
      </c>
      <c r="U1891" s="45" t="str">
        <f>IFERROR(VLOOKUP(B1891,'Pre-Summary'!$Y$6:$AC$83, 4,FALSE),"")</f>
        <v/>
      </c>
      <c r="V1891" t="str">
        <f>IFERROR(VLOOKUP(B1891,'Pre-Summary'!$Y$6:$AC$83, 5,FALSE),"")</f>
        <v/>
      </c>
      <c r="W1891" s="45" t="str">
        <f>IFERROR(VLOOKUP(B1891,'Pre-Summary'!$Y$6:$AD$83,6,FALSE),"")</f>
        <v/>
      </c>
      <c r="X1891" t="str">
        <f>IFERROR(VLOOKUP('Pre-Summary'!$DB$6:$DD$63,3,FALSE),"")</f>
        <v/>
      </c>
      <c r="Y1891" t="str">
        <f>IFERROR(VLOOKUP(B1891,'Pre-Summary'!$CR$6:$CT$36,3,FALSE),"")</f>
        <v/>
      </c>
      <c r="Z1891" s="45" t="str">
        <f>IFERROR(VLOOKUP(B1891,'Pre-Summary'!$BZ$6:$CB$63,2,FALSE),"")</f>
        <v/>
      </c>
      <c r="AA1891" s="45" t="str">
        <f>IFERROR(VLOOKUP(B1891,'Pre-Summary'!$CG$6:$CI$70,2,FALSE),"")</f>
        <v/>
      </c>
      <c r="AB1891" s="99">
        <f>IFERROR(VLOOKUP(B1891,'Pre-Summary'!$A$6:$P$178,9,FALSE),AB1892)</f>
        <v>0.34089867256607242</v>
      </c>
      <c r="AC1891" s="10">
        <f>IFERROR(VLOOKUP(Summary!B1891,'Pre-Summary'!$A$6:$P$184,5, FALSE)/100,AC1892)</f>
        <v>0.9485446666666667</v>
      </c>
      <c r="AD1891" s="10">
        <f>IFERROR(VLOOKUP(Summary!B1891,'Pre-Summary'!$A$6:$P$184,3, FALSE)/100,AD1892)</f>
        <v>3.172033333333333E-2</v>
      </c>
      <c r="AE1891" s="10">
        <f>IFERROR(VLOOKUP(Summary!B1891,'Pre-Summary'!$A$6:$P$184,7, FALSE)/100,AE1892)</f>
        <v>1.9735333333333334E-2</v>
      </c>
      <c r="AF1891" s="99">
        <f t="shared" si="88"/>
        <v>1.0813419526686671E-2</v>
      </c>
      <c r="AG1891" s="99">
        <f t="shared" si="89"/>
        <v>6.7277489359822947E-3</v>
      </c>
      <c r="AH1891" s="10" t="str">
        <f>IFERROR(VLOOKUP(B1891,'Pre-Summary'!$AZ$6:$BE$65,3,FALSE),"")</f>
        <v/>
      </c>
      <c r="AI1891" s="10" t="str">
        <f>IFERROR(VLOOKUP(B1891,'Pre-Summary'!$AZ$6:$BE$65,5,FALSE),"")</f>
        <v/>
      </c>
      <c r="AJ1891" s="10" t="str">
        <f>IFERROR(VLOOKUP(B1891,'Pre-Summary'!$AZ$6:$BE$65,4,FALSE),"")</f>
        <v/>
      </c>
      <c r="AK1891" s="10" t="str">
        <f>IFERROR(VLOOKUP(B1891,'Pre-Summary'!$AZ$6:$BE$65,6,FALSE),"")</f>
        <v/>
      </c>
      <c r="AL1891" s="10" t="str">
        <f>IFERROR(VLOOKUP(B1891,'Pre-Summary'!$BG$6:$BL$44,3,FALSE),"")</f>
        <v/>
      </c>
      <c r="AM1891" s="10" t="str">
        <f>IFERROR(VLOOKUP(B1891,'Pre-Summary'!$BG$6:$BL$44,4,FALSE),"")</f>
        <v/>
      </c>
    </row>
    <row r="1892" spans="2:39" ht="15" customHeight="1" x14ac:dyDescent="0.3">
      <c r="B1892">
        <v>188.9</v>
      </c>
      <c r="C1892" t="str">
        <f>IFERROR(VLOOKUP(B1892,'Pre-Summary'!$DI$6:$DM$23,4,FALSE),"")</f>
        <v/>
      </c>
      <c r="D1892" s="10" t="str">
        <f>IFERROR(VLOOKUP(B1892,'Pre-Summary'!$AT$6:$AX$14,5,FALSE),D1891)</f>
        <v>Wolfe v3: went back to modified wolfe + EDTA and switched CuSO4 to CUCl2</v>
      </c>
      <c r="E1892" s="10" t="str">
        <f>IFERROR(VLOOKUP(B1892,'Pre-Summary'!$AT$6:$AX$15,4,FALSE),"")</f>
        <v/>
      </c>
      <c r="F1892">
        <f>IFERROR(VLOOKUP(B1892,'Pre-Summary'!$AL$6:$AQ$13,6,FALSE),F1891)</f>
        <v>5.9405263157894746E-2</v>
      </c>
      <c r="G1892" t="str">
        <f>IFERROR(VLOOKUP(B1892,'Pre-Summary'!$AE$6:$AJ$85,3,FALSE),"")</f>
        <v/>
      </c>
      <c r="H1892" t="str">
        <f>IFERROR(VLOOKUP(B1892,'Pre-Summary'!$AE$6:$AJ$85,4,FALSE),"")</f>
        <v/>
      </c>
      <c r="I1892" t="str">
        <f>IFERROR(VLOOKUP(B1892,'Pre-Summary'!$AE$6:$AJ$85,5,FALSE),"")</f>
        <v/>
      </c>
      <c r="J1892" s="45" t="str">
        <f>IFERROR(VLOOKUP(B1892,'Pre-Summary'!$AE$6:$AJ$85,6, FALSE),"")</f>
        <v/>
      </c>
      <c r="K1892" s="45" t="str">
        <f>IFERROR(VLOOKUP(B1892,'Pre-Summary'!$DE$6:$DG$61,3,FALSE),"")</f>
        <v/>
      </c>
      <c r="L1892" s="45" t="str">
        <f>IFERROR(VLOOKUP(B1892,'Pre-Summary'!$CU$6:$CW$36,3,FALSE),"")</f>
        <v/>
      </c>
      <c r="M1892" s="45" t="str">
        <f>IFERROR(VLOOKUP(B1892,'Pre-Summary'!$BW$6:$BY$58,2,FALSE),"")</f>
        <v/>
      </c>
      <c r="N1892" s="45" t="str">
        <f>IFERROR(VLOOKUP(B1892,'Pre-Summary'!$CD$6:$CF$64,2,FALSE),"")</f>
        <v/>
      </c>
      <c r="O1892" s="99">
        <f>IFERROR(VLOOKUP(B1892,'Pre-Summary'!$BO$6:$BQ$48,3, FALSE),O1891)</f>
        <v>1.25</v>
      </c>
      <c r="P1892" s="99">
        <f>IFERROR(VLOOKUP(B1892,'Pre-Summary'!$BS$6:$BU$35,3,FALSE),P1891)</f>
        <v>0.33700000000000002</v>
      </c>
      <c r="Q1892" s="54">
        <f t="shared" si="87"/>
        <v>3.7091988130563798</v>
      </c>
      <c r="R1892" s="53">
        <f>IFERROR(VLOOKUP(B1892,'Pre-Summary'!$BG$6:$BM$44,7,FALSE),R1893)</f>
        <v>6.3359901615733558E-2</v>
      </c>
      <c r="S1892" s="53">
        <f>IFERROR(VLOOKUP(B1892,'Pre-Summary'!$BG$6:$BM$44,6,FALSE),S1893)</f>
        <v>9.0755969483796467E-2</v>
      </c>
      <c r="T1892" s="45" t="str">
        <f>IFERROR(VLOOKUP(B1892,'Pre-Summary'!$Y$6:$AC$83, 3,FALSE),"")</f>
        <v/>
      </c>
      <c r="U1892" s="45" t="str">
        <f>IFERROR(VLOOKUP(B1892,'Pre-Summary'!$Y$6:$AC$83, 4,FALSE),"")</f>
        <v/>
      </c>
      <c r="V1892" t="str">
        <f>IFERROR(VLOOKUP(B1892,'Pre-Summary'!$Y$6:$AC$83, 5,FALSE),"")</f>
        <v/>
      </c>
      <c r="W1892" s="45" t="str">
        <f>IFERROR(VLOOKUP(B1892,'Pre-Summary'!$Y$6:$AD$83,6,FALSE),"")</f>
        <v/>
      </c>
      <c r="X1892" t="str">
        <f>IFERROR(VLOOKUP('Pre-Summary'!$DB$6:$DD$63,3,FALSE),"")</f>
        <v/>
      </c>
      <c r="Y1892" t="str">
        <f>IFERROR(VLOOKUP(B1892,'Pre-Summary'!$CR$6:$CT$36,3,FALSE),"")</f>
        <v/>
      </c>
      <c r="Z1892" s="45" t="str">
        <f>IFERROR(VLOOKUP(B1892,'Pre-Summary'!$BZ$6:$CB$63,2,FALSE),"")</f>
        <v/>
      </c>
      <c r="AA1892" s="45" t="str">
        <f>IFERROR(VLOOKUP(B1892,'Pre-Summary'!$CG$6:$CI$70,2,FALSE),"")</f>
        <v/>
      </c>
      <c r="AB1892" s="99">
        <f>IFERROR(VLOOKUP(B1892,'Pre-Summary'!$A$6:$P$178,9,FALSE),AB1893)</f>
        <v>0.34089867256607242</v>
      </c>
      <c r="AC1892" s="10">
        <f>IFERROR(VLOOKUP(Summary!B1892,'Pre-Summary'!$A$6:$P$184,5, FALSE)/100,AC1893)</f>
        <v>0.9485446666666667</v>
      </c>
      <c r="AD1892" s="10">
        <f>IFERROR(VLOOKUP(Summary!B1892,'Pre-Summary'!$A$6:$P$184,3, FALSE)/100,AD1893)</f>
        <v>3.172033333333333E-2</v>
      </c>
      <c r="AE1892" s="10">
        <f>IFERROR(VLOOKUP(Summary!B1892,'Pre-Summary'!$A$6:$P$184,7, FALSE)/100,AE1893)</f>
        <v>1.9735333333333334E-2</v>
      </c>
      <c r="AF1892" s="99">
        <f t="shared" si="88"/>
        <v>1.0813419526686671E-2</v>
      </c>
      <c r="AG1892" s="99">
        <f t="shared" si="89"/>
        <v>6.7277489359822947E-3</v>
      </c>
      <c r="AH1892" s="10" t="str">
        <f>IFERROR(VLOOKUP(B1892,'Pre-Summary'!$AZ$6:$BE$65,3,FALSE),"")</f>
        <v/>
      </c>
      <c r="AI1892" s="10" t="str">
        <f>IFERROR(VLOOKUP(B1892,'Pre-Summary'!$AZ$6:$BE$65,5,FALSE),"")</f>
        <v/>
      </c>
      <c r="AJ1892" s="10" t="str">
        <f>IFERROR(VLOOKUP(B1892,'Pre-Summary'!$AZ$6:$BE$65,4,FALSE),"")</f>
        <v/>
      </c>
      <c r="AK1892" s="10" t="str">
        <f>IFERROR(VLOOKUP(B1892,'Pre-Summary'!$AZ$6:$BE$65,6,FALSE),"")</f>
        <v/>
      </c>
      <c r="AL1892" s="10" t="str">
        <f>IFERROR(VLOOKUP(B1892,'Pre-Summary'!$BG$6:$BL$44,3,FALSE),"")</f>
        <v/>
      </c>
      <c r="AM1892" s="10" t="str">
        <f>IFERROR(VLOOKUP(B1892,'Pre-Summary'!$BG$6:$BL$44,4,FALSE),"")</f>
        <v/>
      </c>
    </row>
    <row r="1893" spans="2:39" ht="15" customHeight="1" x14ac:dyDescent="0.3">
      <c r="B1893">
        <v>189</v>
      </c>
      <c r="C1893" t="str">
        <f>IFERROR(VLOOKUP(B1893,'Pre-Summary'!$DI$6:$DM$23,4,FALSE),"")</f>
        <v/>
      </c>
      <c r="D1893" s="10" t="str">
        <f>IFERROR(VLOOKUP(B1893,'Pre-Summary'!$AT$6:$AX$14,5,FALSE),D1892)</f>
        <v>Wolfe v3: went back to modified wolfe + EDTA and switched CuSO4 to CUCl2</v>
      </c>
      <c r="E1893" s="10" t="str">
        <f>IFERROR(VLOOKUP(B1893,'Pre-Summary'!$AT$6:$AX$15,4,FALSE),"")</f>
        <v/>
      </c>
      <c r="F1893">
        <f>IFERROR(VLOOKUP(B1893,'Pre-Summary'!$AL$6:$AQ$13,6,FALSE),F1892)</f>
        <v>5.9405263157894746E-2</v>
      </c>
      <c r="G1893" t="str">
        <f>IFERROR(VLOOKUP(B1893,'Pre-Summary'!$AE$6:$AJ$85,3,FALSE),"")</f>
        <v/>
      </c>
      <c r="H1893" t="str">
        <f>IFERROR(VLOOKUP(B1893,'Pre-Summary'!$AE$6:$AJ$85,4,FALSE),"")</f>
        <v/>
      </c>
      <c r="I1893" t="str">
        <f>IFERROR(VLOOKUP(B1893,'Pre-Summary'!$AE$6:$AJ$85,5,FALSE),"")</f>
        <v/>
      </c>
      <c r="J1893" s="45" t="str">
        <f>IFERROR(VLOOKUP(B1893,'Pre-Summary'!$AE$6:$AJ$85,6, FALSE),"")</f>
        <v/>
      </c>
      <c r="K1893" s="45" t="str">
        <f>IFERROR(VLOOKUP(B1893,'Pre-Summary'!$DE$6:$DG$61,3,FALSE),"")</f>
        <v/>
      </c>
      <c r="L1893" s="45" t="str">
        <f>IFERROR(VLOOKUP(B1893,'Pre-Summary'!$CU$6:$CW$36,3,FALSE),"")</f>
        <v/>
      </c>
      <c r="M1893" s="45" t="str">
        <f>IFERROR(VLOOKUP(B1893,'Pre-Summary'!$BW$6:$BY$58,2,FALSE),"")</f>
        <v/>
      </c>
      <c r="N1893" s="45" t="str">
        <f>IFERROR(VLOOKUP(B1893,'Pre-Summary'!$CD$6:$CF$64,2,FALSE),"")</f>
        <v/>
      </c>
      <c r="O1893" s="99">
        <f>IFERROR(VLOOKUP(B1893,'Pre-Summary'!$BO$6:$BQ$48,3, FALSE),O1892)</f>
        <v>1.25</v>
      </c>
      <c r="P1893" s="99">
        <f>IFERROR(VLOOKUP(B1893,'Pre-Summary'!$BS$6:$BU$35,3,FALSE),P1892)</f>
        <v>0.33700000000000002</v>
      </c>
      <c r="Q1893" s="54">
        <f t="shared" si="87"/>
        <v>3.7091988130563798</v>
      </c>
      <c r="R1893" s="53">
        <f>IFERROR(VLOOKUP(B1893,'Pre-Summary'!$BG$6:$BM$44,7,FALSE),R1894)</f>
        <v>6.3359901615733558E-2</v>
      </c>
      <c r="S1893" s="53">
        <f>IFERROR(VLOOKUP(B1893,'Pre-Summary'!$BG$6:$BM$44,6,FALSE),S1894)</f>
        <v>9.0755969483796467E-2</v>
      </c>
      <c r="T1893" s="45" t="str">
        <f>IFERROR(VLOOKUP(B1893,'Pre-Summary'!$Y$6:$AC$83, 3,FALSE),"")</f>
        <v/>
      </c>
      <c r="U1893" s="45" t="str">
        <f>IFERROR(VLOOKUP(B1893,'Pre-Summary'!$Y$6:$AC$83, 4,FALSE),"")</f>
        <v/>
      </c>
      <c r="V1893" t="str">
        <f>IFERROR(VLOOKUP(B1893,'Pre-Summary'!$Y$6:$AC$83, 5,FALSE),"")</f>
        <v/>
      </c>
      <c r="W1893" s="45" t="str">
        <f>IFERROR(VLOOKUP(B1893,'Pre-Summary'!$Y$6:$AD$83,6,FALSE),"")</f>
        <v/>
      </c>
      <c r="X1893" t="str">
        <f>IFERROR(VLOOKUP('Pre-Summary'!$DB$6:$DD$63,3,FALSE),"")</f>
        <v/>
      </c>
      <c r="Y1893" t="str">
        <f>IFERROR(VLOOKUP(B1893,'Pre-Summary'!$CR$6:$CT$36,3,FALSE),"")</f>
        <v/>
      </c>
      <c r="Z1893" s="45" t="str">
        <f>IFERROR(VLOOKUP(B1893,'Pre-Summary'!$BZ$6:$CB$63,2,FALSE),"")</f>
        <v/>
      </c>
      <c r="AA1893" s="45" t="str">
        <f>IFERROR(VLOOKUP(B1893,'Pre-Summary'!$CG$6:$CI$70,2,FALSE),"")</f>
        <v/>
      </c>
      <c r="AB1893" s="99">
        <f>IFERROR(VLOOKUP(B1893,'Pre-Summary'!$A$6:$P$178,9,FALSE),AB1894)</f>
        <v>0.30348214016770225</v>
      </c>
      <c r="AC1893" s="10">
        <f>IFERROR(VLOOKUP(Summary!B1893,'Pre-Summary'!$A$6:$P$184,5, FALSE)/100,AC1894)</f>
        <v>0.94832299999999992</v>
      </c>
      <c r="AD1893" s="10">
        <f>IFERROR(VLOOKUP(Summary!B1893,'Pre-Summary'!$A$6:$P$184,3, FALSE)/100,AD1894)</f>
        <v>3.5070333333333335E-2</v>
      </c>
      <c r="AE1893" s="10">
        <f>IFERROR(VLOOKUP(Summary!B1893,'Pre-Summary'!$A$6:$P$184,7, FALSE)/100,AE1894)</f>
        <v>1.6606666666666669E-2</v>
      </c>
      <c r="AF1893" s="99">
        <f t="shared" si="88"/>
        <v>1.0643219816394708E-2</v>
      </c>
      <c r="AG1893" s="99">
        <f t="shared" si="89"/>
        <v>5.0398267410516426E-3</v>
      </c>
      <c r="AH1893" s="10" t="str">
        <f>IFERROR(VLOOKUP(B1893,'Pre-Summary'!$AZ$6:$BE$65,3,FALSE),"")</f>
        <v/>
      </c>
      <c r="AI1893" s="10" t="str">
        <f>IFERROR(VLOOKUP(B1893,'Pre-Summary'!$AZ$6:$BE$65,5,FALSE),"")</f>
        <v/>
      </c>
      <c r="AJ1893" s="10" t="str">
        <f>IFERROR(VLOOKUP(B1893,'Pre-Summary'!$AZ$6:$BE$65,4,FALSE),"")</f>
        <v/>
      </c>
      <c r="AK1893" s="10" t="str">
        <f>IFERROR(VLOOKUP(B1893,'Pre-Summary'!$AZ$6:$BE$65,6,FALSE),"")</f>
        <v/>
      </c>
      <c r="AL1893" s="10" t="str">
        <f>IFERROR(VLOOKUP(B1893,'Pre-Summary'!$BG$6:$BL$44,3,FALSE),"")</f>
        <v/>
      </c>
      <c r="AM1893" s="10" t="str">
        <f>IFERROR(VLOOKUP(B1893,'Pre-Summary'!$BG$6:$BL$44,4,FALSE),"")</f>
        <v/>
      </c>
    </row>
    <row r="1894" spans="2:39" ht="15" customHeight="1" x14ac:dyDescent="0.3">
      <c r="B1894">
        <v>189.1</v>
      </c>
      <c r="C1894" t="str">
        <f>IFERROR(VLOOKUP(B1894,'Pre-Summary'!$DI$6:$DM$23,4,FALSE),"")</f>
        <v/>
      </c>
      <c r="D1894" s="10" t="str">
        <f>IFERROR(VLOOKUP(B1894,'Pre-Summary'!$AT$6:$AX$14,5,FALSE),D1893)</f>
        <v>Wolfe v3: went back to modified wolfe + EDTA and switched CuSO4 to CUCl2</v>
      </c>
      <c r="E1894" s="10" t="str">
        <f>IFERROR(VLOOKUP(B1894,'Pre-Summary'!$AT$6:$AX$15,4,FALSE),"")</f>
        <v/>
      </c>
      <c r="F1894">
        <f>IFERROR(VLOOKUP(B1894,'Pre-Summary'!$AL$6:$AQ$13,6,FALSE),F1893)</f>
        <v>5.9405263157894746E-2</v>
      </c>
      <c r="G1894" t="str">
        <f>IFERROR(VLOOKUP(B1894,'Pre-Summary'!$AE$6:$AJ$85,3,FALSE),"")</f>
        <v/>
      </c>
      <c r="H1894" t="str">
        <f>IFERROR(VLOOKUP(B1894,'Pre-Summary'!$AE$6:$AJ$85,4,FALSE),"")</f>
        <v/>
      </c>
      <c r="I1894" t="str">
        <f>IFERROR(VLOOKUP(B1894,'Pre-Summary'!$AE$6:$AJ$85,5,FALSE),"")</f>
        <v/>
      </c>
      <c r="J1894" s="45" t="str">
        <f>IFERROR(VLOOKUP(B1894,'Pre-Summary'!$AE$6:$AJ$85,6, FALSE),"")</f>
        <v/>
      </c>
      <c r="K1894" s="45" t="str">
        <f>IFERROR(VLOOKUP(B1894,'Pre-Summary'!$DE$6:$DG$61,3,FALSE),"")</f>
        <v/>
      </c>
      <c r="L1894" s="45" t="str">
        <f>IFERROR(VLOOKUP(B1894,'Pre-Summary'!$CU$6:$CW$36,3,FALSE),"")</f>
        <v/>
      </c>
      <c r="M1894" s="45" t="str">
        <f>IFERROR(VLOOKUP(B1894,'Pre-Summary'!$BW$6:$BY$58,2,FALSE),"")</f>
        <v/>
      </c>
      <c r="N1894" s="45" t="str">
        <f>IFERROR(VLOOKUP(B1894,'Pre-Summary'!$CD$6:$CF$64,2,FALSE),"")</f>
        <v/>
      </c>
      <c r="O1894" s="99">
        <f>IFERROR(VLOOKUP(B1894,'Pre-Summary'!$BO$6:$BQ$48,3, FALSE),O1893)</f>
        <v>1.25</v>
      </c>
      <c r="P1894" s="99">
        <f>IFERROR(VLOOKUP(B1894,'Pre-Summary'!$BS$6:$BU$35,3,FALSE),P1893)</f>
        <v>0.33700000000000002</v>
      </c>
      <c r="Q1894" s="54">
        <f t="shared" si="87"/>
        <v>3.7091988130563798</v>
      </c>
      <c r="R1894" s="53">
        <f>IFERROR(VLOOKUP(B1894,'Pre-Summary'!$BG$6:$BM$44,7,FALSE),R1895)</f>
        <v>6.3359901615733558E-2</v>
      </c>
      <c r="S1894" s="53">
        <f>IFERROR(VLOOKUP(B1894,'Pre-Summary'!$BG$6:$BM$44,6,FALSE),S1895)</f>
        <v>9.0755969483796467E-2</v>
      </c>
      <c r="T1894" s="45" t="str">
        <f>IFERROR(VLOOKUP(B1894,'Pre-Summary'!$Y$6:$AC$83, 3,FALSE),"")</f>
        <v/>
      </c>
      <c r="U1894" s="45" t="str">
        <f>IFERROR(VLOOKUP(B1894,'Pre-Summary'!$Y$6:$AC$83, 4,FALSE),"")</f>
        <v/>
      </c>
      <c r="V1894" t="str">
        <f>IFERROR(VLOOKUP(B1894,'Pre-Summary'!$Y$6:$AC$83, 5,FALSE),"")</f>
        <v/>
      </c>
      <c r="W1894" s="45" t="str">
        <f>IFERROR(VLOOKUP(B1894,'Pre-Summary'!$Y$6:$AD$83,6,FALSE),"")</f>
        <v/>
      </c>
      <c r="X1894" t="str">
        <f>IFERROR(VLOOKUP('Pre-Summary'!$DB$6:$DD$63,3,FALSE),"")</f>
        <v/>
      </c>
      <c r="Y1894" t="str">
        <f>IFERROR(VLOOKUP(B1894,'Pre-Summary'!$CR$6:$CT$36,3,FALSE),"")</f>
        <v/>
      </c>
      <c r="Z1894" s="45" t="str">
        <f>IFERROR(VLOOKUP(B1894,'Pre-Summary'!$BZ$6:$CB$63,2,FALSE),"")</f>
        <v/>
      </c>
      <c r="AA1894" s="45" t="str">
        <f>IFERROR(VLOOKUP(B1894,'Pre-Summary'!$CG$6:$CI$70,2,FALSE),"")</f>
        <v/>
      </c>
      <c r="AB1894" s="99">
        <f>IFERROR(VLOOKUP(B1894,'Pre-Summary'!$A$6:$P$178,9,FALSE),AB1895)</f>
        <v>0.30348214016770225</v>
      </c>
      <c r="AC1894" s="10">
        <f>IFERROR(VLOOKUP(Summary!B1894,'Pre-Summary'!$A$6:$P$184,5, FALSE)/100,AC1895)</f>
        <v>0.94832299999999992</v>
      </c>
      <c r="AD1894" s="10">
        <f>IFERROR(VLOOKUP(Summary!B1894,'Pre-Summary'!$A$6:$P$184,3, FALSE)/100,AD1895)</f>
        <v>3.5070333333333335E-2</v>
      </c>
      <c r="AE1894" s="10">
        <f>IFERROR(VLOOKUP(Summary!B1894,'Pre-Summary'!$A$6:$P$184,7, FALSE)/100,AE1895)</f>
        <v>1.6606666666666669E-2</v>
      </c>
      <c r="AF1894" s="99">
        <f t="shared" si="88"/>
        <v>1.0643219816394708E-2</v>
      </c>
      <c r="AG1894" s="99">
        <f t="shared" si="89"/>
        <v>5.0398267410516426E-3</v>
      </c>
      <c r="AH1894" s="10" t="str">
        <f>IFERROR(VLOOKUP(B1894,'Pre-Summary'!$AZ$6:$BE$65,3,FALSE),"")</f>
        <v/>
      </c>
      <c r="AI1894" s="10" t="str">
        <f>IFERROR(VLOOKUP(B1894,'Pre-Summary'!$AZ$6:$BE$65,5,FALSE),"")</f>
        <v/>
      </c>
      <c r="AJ1894" s="10" t="str">
        <f>IFERROR(VLOOKUP(B1894,'Pre-Summary'!$AZ$6:$BE$65,4,FALSE),"")</f>
        <v/>
      </c>
      <c r="AK1894" s="10" t="str">
        <f>IFERROR(VLOOKUP(B1894,'Pre-Summary'!$AZ$6:$BE$65,6,FALSE),"")</f>
        <v/>
      </c>
      <c r="AL1894" s="10" t="str">
        <f>IFERROR(VLOOKUP(B1894,'Pre-Summary'!$BG$6:$BL$44,3,FALSE),"")</f>
        <v/>
      </c>
      <c r="AM1894" s="10" t="str">
        <f>IFERROR(VLOOKUP(B1894,'Pre-Summary'!$BG$6:$BL$44,4,FALSE),"")</f>
        <v/>
      </c>
    </row>
    <row r="1895" spans="2:39" ht="15" customHeight="1" x14ac:dyDescent="0.3">
      <c r="B1895">
        <v>189.2</v>
      </c>
      <c r="C1895" t="str">
        <f>IFERROR(VLOOKUP(B1895,'Pre-Summary'!$DI$6:$DM$23,4,FALSE),"")</f>
        <v/>
      </c>
      <c r="D1895" s="10" t="str">
        <f>IFERROR(VLOOKUP(B1895,'Pre-Summary'!$AT$6:$AX$14,5,FALSE),D1894)</f>
        <v>Wolfe v3: went back to modified wolfe + EDTA and switched CuSO4 to CUCl2</v>
      </c>
      <c r="E1895" s="10" t="str">
        <f>IFERROR(VLOOKUP(B1895,'Pre-Summary'!$AT$6:$AX$15,4,FALSE),"")</f>
        <v/>
      </c>
      <c r="F1895">
        <f>IFERROR(VLOOKUP(B1895,'Pre-Summary'!$AL$6:$AQ$13,6,FALSE),F1894)</f>
        <v>5.9405263157894746E-2</v>
      </c>
      <c r="G1895" t="str">
        <f>IFERROR(VLOOKUP(B1895,'Pre-Summary'!$AE$6:$AJ$85,3,FALSE),"")</f>
        <v/>
      </c>
      <c r="H1895" t="str">
        <f>IFERROR(VLOOKUP(B1895,'Pre-Summary'!$AE$6:$AJ$85,4,FALSE),"")</f>
        <v/>
      </c>
      <c r="I1895" t="str">
        <f>IFERROR(VLOOKUP(B1895,'Pre-Summary'!$AE$6:$AJ$85,5,FALSE),"")</f>
        <v/>
      </c>
      <c r="J1895" s="45" t="str">
        <f>IFERROR(VLOOKUP(B1895,'Pre-Summary'!$AE$6:$AJ$85,6, FALSE),"")</f>
        <v/>
      </c>
      <c r="K1895" s="45" t="str">
        <f>IFERROR(VLOOKUP(B1895,'Pre-Summary'!$DE$6:$DG$61,3,FALSE),"")</f>
        <v/>
      </c>
      <c r="L1895" s="45" t="str">
        <f>IFERROR(VLOOKUP(B1895,'Pre-Summary'!$CU$6:$CW$36,3,FALSE),"")</f>
        <v/>
      </c>
      <c r="M1895" s="45" t="str">
        <f>IFERROR(VLOOKUP(B1895,'Pre-Summary'!$BW$6:$BY$58,2,FALSE),"")</f>
        <v/>
      </c>
      <c r="N1895" s="45" t="str">
        <f>IFERROR(VLOOKUP(B1895,'Pre-Summary'!$CD$6:$CF$64,2,FALSE),"")</f>
        <v/>
      </c>
      <c r="O1895" s="99">
        <f>IFERROR(VLOOKUP(B1895,'Pre-Summary'!$BO$6:$BQ$48,3, FALSE),O1894)</f>
        <v>1.25</v>
      </c>
      <c r="P1895" s="99">
        <f>IFERROR(VLOOKUP(B1895,'Pre-Summary'!$BS$6:$BU$35,3,FALSE),P1894)</f>
        <v>0.33700000000000002</v>
      </c>
      <c r="Q1895" s="54">
        <f t="shared" si="87"/>
        <v>3.7091988130563798</v>
      </c>
      <c r="R1895" s="53">
        <f>IFERROR(VLOOKUP(B1895,'Pre-Summary'!$BG$6:$BM$44,7,FALSE),R1896)</f>
        <v>6.3359901615733558E-2</v>
      </c>
      <c r="S1895" s="53">
        <f>IFERROR(VLOOKUP(B1895,'Pre-Summary'!$BG$6:$BM$44,6,FALSE),S1896)</f>
        <v>9.0755969483796467E-2</v>
      </c>
      <c r="T1895" s="45" t="str">
        <f>IFERROR(VLOOKUP(B1895,'Pre-Summary'!$Y$6:$AC$83, 3,FALSE),"")</f>
        <v/>
      </c>
      <c r="U1895" s="45" t="str">
        <f>IFERROR(VLOOKUP(B1895,'Pre-Summary'!$Y$6:$AC$83, 4,FALSE),"")</f>
        <v/>
      </c>
      <c r="V1895" t="str">
        <f>IFERROR(VLOOKUP(B1895,'Pre-Summary'!$Y$6:$AC$83, 5,FALSE),"")</f>
        <v/>
      </c>
      <c r="W1895" s="45" t="str">
        <f>IFERROR(VLOOKUP(B1895,'Pre-Summary'!$Y$6:$AD$83,6,FALSE),"")</f>
        <v/>
      </c>
      <c r="X1895" t="str">
        <f>IFERROR(VLOOKUP('Pre-Summary'!$DB$6:$DD$63,3,FALSE),"")</f>
        <v/>
      </c>
      <c r="Y1895" t="str">
        <f>IFERROR(VLOOKUP(B1895,'Pre-Summary'!$CR$6:$CT$36,3,FALSE),"")</f>
        <v/>
      </c>
      <c r="Z1895" s="45" t="str">
        <f>IFERROR(VLOOKUP(B1895,'Pre-Summary'!$BZ$6:$CB$63,2,FALSE),"")</f>
        <v/>
      </c>
      <c r="AA1895" s="45" t="str">
        <f>IFERROR(VLOOKUP(B1895,'Pre-Summary'!$CG$6:$CI$70,2,FALSE),"")</f>
        <v/>
      </c>
      <c r="AB1895" s="99">
        <f>IFERROR(VLOOKUP(B1895,'Pre-Summary'!$A$6:$P$178,9,FALSE),AB1896)</f>
        <v>0.30348214016770225</v>
      </c>
      <c r="AC1895" s="10">
        <f>IFERROR(VLOOKUP(Summary!B1895,'Pre-Summary'!$A$6:$P$184,5, FALSE)/100,AC1896)</f>
        <v>0.94832299999999992</v>
      </c>
      <c r="AD1895" s="10">
        <f>IFERROR(VLOOKUP(Summary!B1895,'Pre-Summary'!$A$6:$P$184,3, FALSE)/100,AD1896)</f>
        <v>3.5070333333333335E-2</v>
      </c>
      <c r="AE1895" s="10">
        <f>IFERROR(VLOOKUP(Summary!B1895,'Pre-Summary'!$A$6:$P$184,7, FALSE)/100,AE1896)</f>
        <v>1.6606666666666669E-2</v>
      </c>
      <c r="AF1895" s="99">
        <f t="shared" si="88"/>
        <v>1.0643219816394708E-2</v>
      </c>
      <c r="AG1895" s="99">
        <f t="shared" si="89"/>
        <v>5.0398267410516426E-3</v>
      </c>
      <c r="AH1895" s="10" t="str">
        <f>IFERROR(VLOOKUP(B1895,'Pre-Summary'!$AZ$6:$BE$65,3,FALSE),"")</f>
        <v/>
      </c>
      <c r="AI1895" s="10" t="str">
        <f>IFERROR(VLOOKUP(B1895,'Pre-Summary'!$AZ$6:$BE$65,5,FALSE),"")</f>
        <v/>
      </c>
      <c r="AJ1895" s="10" t="str">
        <f>IFERROR(VLOOKUP(B1895,'Pre-Summary'!$AZ$6:$BE$65,4,FALSE),"")</f>
        <v/>
      </c>
      <c r="AK1895" s="10" t="str">
        <f>IFERROR(VLOOKUP(B1895,'Pre-Summary'!$AZ$6:$BE$65,6,FALSE),"")</f>
        <v/>
      </c>
      <c r="AL1895" s="10" t="str">
        <f>IFERROR(VLOOKUP(B1895,'Pre-Summary'!$BG$6:$BL$44,3,FALSE),"")</f>
        <v/>
      </c>
      <c r="AM1895" s="10" t="str">
        <f>IFERROR(VLOOKUP(B1895,'Pre-Summary'!$BG$6:$BL$44,4,FALSE),"")</f>
        <v/>
      </c>
    </row>
    <row r="1896" spans="2:39" ht="15" customHeight="1" x14ac:dyDescent="0.3">
      <c r="B1896">
        <v>189.3</v>
      </c>
      <c r="C1896" t="str">
        <f>IFERROR(VLOOKUP(B1896,'Pre-Summary'!$DI$6:$DM$23,4,FALSE),"")</f>
        <v/>
      </c>
      <c r="D1896" s="10" t="str">
        <f>IFERROR(VLOOKUP(B1896,'Pre-Summary'!$AT$6:$AX$14,5,FALSE),D1895)</f>
        <v>Wolfe v3: went back to modified wolfe + EDTA and switched CuSO4 to CUCl2</v>
      </c>
      <c r="E1896" s="10" t="str">
        <f>IFERROR(VLOOKUP(B1896,'Pre-Summary'!$AT$6:$AX$15,4,FALSE),"")</f>
        <v/>
      </c>
      <c r="F1896">
        <f>IFERROR(VLOOKUP(B1896,'Pre-Summary'!$AL$6:$AQ$13,6,FALSE),F1895)</f>
        <v>5.9405263157894746E-2</v>
      </c>
      <c r="G1896" t="str">
        <f>IFERROR(VLOOKUP(B1896,'Pre-Summary'!$AE$6:$AJ$85,3,FALSE),"")</f>
        <v/>
      </c>
      <c r="H1896" t="str">
        <f>IFERROR(VLOOKUP(B1896,'Pre-Summary'!$AE$6:$AJ$85,4,FALSE),"")</f>
        <v/>
      </c>
      <c r="I1896" t="str">
        <f>IFERROR(VLOOKUP(B1896,'Pre-Summary'!$AE$6:$AJ$85,5,FALSE),"")</f>
        <v/>
      </c>
      <c r="J1896" s="45" t="str">
        <f>IFERROR(VLOOKUP(B1896,'Pre-Summary'!$AE$6:$AJ$85,6, FALSE),"")</f>
        <v/>
      </c>
      <c r="K1896" s="45" t="str">
        <f>IFERROR(VLOOKUP(B1896,'Pre-Summary'!$DE$6:$DG$61,3,FALSE),"")</f>
        <v/>
      </c>
      <c r="L1896" s="45" t="str">
        <f>IFERROR(VLOOKUP(B1896,'Pre-Summary'!$CU$6:$CW$36,3,FALSE),"")</f>
        <v/>
      </c>
      <c r="M1896" s="45" t="str">
        <f>IFERROR(VLOOKUP(B1896,'Pre-Summary'!$BW$6:$BY$58,2,FALSE),"")</f>
        <v/>
      </c>
      <c r="N1896" s="45" t="str">
        <f>IFERROR(VLOOKUP(B1896,'Pre-Summary'!$CD$6:$CF$64,2,FALSE),"")</f>
        <v/>
      </c>
      <c r="O1896" s="99">
        <f>IFERROR(VLOOKUP(B1896,'Pre-Summary'!$BO$6:$BQ$48,3, FALSE),O1895)</f>
        <v>1.25</v>
      </c>
      <c r="P1896" s="99">
        <f>IFERROR(VLOOKUP(B1896,'Pre-Summary'!$BS$6:$BU$35,3,FALSE),P1895)</f>
        <v>0.33700000000000002</v>
      </c>
      <c r="Q1896" s="54">
        <f t="shared" si="87"/>
        <v>3.7091988130563798</v>
      </c>
      <c r="R1896" s="53">
        <f>IFERROR(VLOOKUP(B1896,'Pre-Summary'!$BG$6:$BM$44,7,FALSE),R1897)</f>
        <v>6.3359901615733558E-2</v>
      </c>
      <c r="S1896" s="53">
        <f>IFERROR(VLOOKUP(B1896,'Pre-Summary'!$BG$6:$BM$44,6,FALSE),S1897)</f>
        <v>9.0755969483796467E-2</v>
      </c>
      <c r="T1896" s="45" t="str">
        <f>IFERROR(VLOOKUP(B1896,'Pre-Summary'!$Y$6:$AC$83, 3,FALSE),"")</f>
        <v/>
      </c>
      <c r="U1896" s="45" t="str">
        <f>IFERROR(VLOOKUP(B1896,'Pre-Summary'!$Y$6:$AC$83, 4,FALSE),"")</f>
        <v/>
      </c>
      <c r="V1896" t="str">
        <f>IFERROR(VLOOKUP(B1896,'Pre-Summary'!$Y$6:$AC$83, 5,FALSE),"")</f>
        <v/>
      </c>
      <c r="W1896" s="45" t="str">
        <f>IFERROR(VLOOKUP(B1896,'Pre-Summary'!$Y$6:$AD$83,6,FALSE),"")</f>
        <v/>
      </c>
      <c r="X1896" t="str">
        <f>IFERROR(VLOOKUP('Pre-Summary'!$DB$6:$DD$63,3,FALSE),"")</f>
        <v/>
      </c>
      <c r="Y1896" t="str">
        <f>IFERROR(VLOOKUP(B1896,'Pre-Summary'!$CR$6:$CT$36,3,FALSE),"")</f>
        <v/>
      </c>
      <c r="Z1896" s="45" t="str">
        <f>IFERROR(VLOOKUP(B1896,'Pre-Summary'!$BZ$6:$CB$63,2,FALSE),"")</f>
        <v/>
      </c>
      <c r="AA1896" s="45" t="str">
        <f>IFERROR(VLOOKUP(B1896,'Pre-Summary'!$CG$6:$CI$70,2,FALSE),"")</f>
        <v/>
      </c>
      <c r="AB1896" s="99">
        <f>IFERROR(VLOOKUP(B1896,'Pre-Summary'!$A$6:$P$178,9,FALSE),AB1897)</f>
        <v>0.30348214016770225</v>
      </c>
      <c r="AC1896" s="10">
        <f>IFERROR(VLOOKUP(Summary!B1896,'Pre-Summary'!$A$6:$P$184,5, FALSE)/100,AC1897)</f>
        <v>0.94832299999999992</v>
      </c>
      <c r="AD1896" s="10">
        <f>IFERROR(VLOOKUP(Summary!B1896,'Pre-Summary'!$A$6:$P$184,3, FALSE)/100,AD1897)</f>
        <v>3.5070333333333335E-2</v>
      </c>
      <c r="AE1896" s="10">
        <f>IFERROR(VLOOKUP(Summary!B1896,'Pre-Summary'!$A$6:$P$184,7, FALSE)/100,AE1897)</f>
        <v>1.6606666666666669E-2</v>
      </c>
      <c r="AF1896" s="99">
        <f t="shared" si="88"/>
        <v>1.0643219816394708E-2</v>
      </c>
      <c r="AG1896" s="99">
        <f t="shared" si="89"/>
        <v>5.0398267410516426E-3</v>
      </c>
      <c r="AH1896" s="10" t="str">
        <f>IFERROR(VLOOKUP(B1896,'Pre-Summary'!$AZ$6:$BE$65,3,FALSE),"")</f>
        <v/>
      </c>
      <c r="AI1896" s="10" t="str">
        <f>IFERROR(VLOOKUP(B1896,'Pre-Summary'!$AZ$6:$BE$65,5,FALSE),"")</f>
        <v/>
      </c>
      <c r="AJ1896" s="10" t="str">
        <f>IFERROR(VLOOKUP(B1896,'Pre-Summary'!$AZ$6:$BE$65,4,FALSE),"")</f>
        <v/>
      </c>
      <c r="AK1896" s="10" t="str">
        <f>IFERROR(VLOOKUP(B1896,'Pre-Summary'!$AZ$6:$BE$65,6,FALSE),"")</f>
        <v/>
      </c>
      <c r="AL1896" s="10" t="str">
        <f>IFERROR(VLOOKUP(B1896,'Pre-Summary'!$BG$6:$BL$44,3,FALSE),"")</f>
        <v/>
      </c>
      <c r="AM1896" s="10" t="str">
        <f>IFERROR(VLOOKUP(B1896,'Pre-Summary'!$BG$6:$BL$44,4,FALSE),"")</f>
        <v/>
      </c>
    </row>
    <row r="1897" spans="2:39" ht="15" customHeight="1" x14ac:dyDescent="0.3">
      <c r="B1897">
        <v>189.4</v>
      </c>
      <c r="C1897" t="str">
        <f>IFERROR(VLOOKUP(B1897,'Pre-Summary'!$DI$6:$DM$23,4,FALSE),"")</f>
        <v/>
      </c>
      <c r="D1897" s="10" t="str">
        <f>IFERROR(VLOOKUP(B1897,'Pre-Summary'!$AT$6:$AX$14,5,FALSE),D1896)</f>
        <v>Wolfe v3: went back to modified wolfe + EDTA and switched CuSO4 to CUCl2</v>
      </c>
      <c r="E1897" s="10" t="str">
        <f>IFERROR(VLOOKUP(B1897,'Pre-Summary'!$AT$6:$AX$15,4,FALSE),"")</f>
        <v/>
      </c>
      <c r="F1897">
        <f>IFERROR(VLOOKUP(B1897,'Pre-Summary'!$AL$6:$AQ$13,6,FALSE),F1896)</f>
        <v>5.9405263157894746E-2</v>
      </c>
      <c r="G1897" t="str">
        <f>IFERROR(VLOOKUP(B1897,'Pre-Summary'!$AE$6:$AJ$85,3,FALSE),"")</f>
        <v/>
      </c>
      <c r="H1897" t="str">
        <f>IFERROR(VLOOKUP(B1897,'Pre-Summary'!$AE$6:$AJ$85,4,FALSE),"")</f>
        <v/>
      </c>
      <c r="I1897" t="str">
        <f>IFERROR(VLOOKUP(B1897,'Pre-Summary'!$AE$6:$AJ$85,5,FALSE),"")</f>
        <v/>
      </c>
      <c r="J1897" s="45" t="str">
        <f>IFERROR(VLOOKUP(B1897,'Pre-Summary'!$AE$6:$AJ$85,6, FALSE),"")</f>
        <v/>
      </c>
      <c r="K1897" s="45" t="str">
        <f>IFERROR(VLOOKUP(B1897,'Pre-Summary'!$DE$6:$DG$61,3,FALSE),"")</f>
        <v/>
      </c>
      <c r="L1897" s="45" t="str">
        <f>IFERROR(VLOOKUP(B1897,'Pre-Summary'!$CU$6:$CW$36,3,FALSE),"")</f>
        <v/>
      </c>
      <c r="M1897" s="45" t="str">
        <f>IFERROR(VLOOKUP(B1897,'Pre-Summary'!$BW$6:$BY$58,2,FALSE),"")</f>
        <v/>
      </c>
      <c r="N1897" s="45" t="str">
        <f>IFERROR(VLOOKUP(B1897,'Pre-Summary'!$CD$6:$CF$64,2,FALSE),"")</f>
        <v/>
      </c>
      <c r="O1897" s="99">
        <f>IFERROR(VLOOKUP(B1897,'Pre-Summary'!$BO$6:$BQ$48,3, FALSE),O1896)</f>
        <v>1.25</v>
      </c>
      <c r="P1897" s="99">
        <f>IFERROR(VLOOKUP(B1897,'Pre-Summary'!$BS$6:$BU$35,3,FALSE),P1896)</f>
        <v>0.33700000000000002</v>
      </c>
      <c r="Q1897" s="54">
        <f t="shared" si="87"/>
        <v>3.7091988130563798</v>
      </c>
      <c r="R1897" s="53">
        <f>IFERROR(VLOOKUP(B1897,'Pre-Summary'!$BG$6:$BM$44,7,FALSE),R1898)</f>
        <v>6.3359901615733558E-2</v>
      </c>
      <c r="S1897" s="53">
        <f>IFERROR(VLOOKUP(B1897,'Pre-Summary'!$BG$6:$BM$44,6,FALSE),S1898)</f>
        <v>9.0755969483796467E-2</v>
      </c>
      <c r="T1897" s="45" t="str">
        <f>IFERROR(VLOOKUP(B1897,'Pre-Summary'!$Y$6:$AC$83, 3,FALSE),"")</f>
        <v/>
      </c>
      <c r="U1897" s="45" t="str">
        <f>IFERROR(VLOOKUP(B1897,'Pre-Summary'!$Y$6:$AC$83, 4,FALSE),"")</f>
        <v/>
      </c>
      <c r="V1897" t="str">
        <f>IFERROR(VLOOKUP(B1897,'Pre-Summary'!$Y$6:$AC$83, 5,FALSE),"")</f>
        <v/>
      </c>
      <c r="W1897" s="45" t="str">
        <f>IFERROR(VLOOKUP(B1897,'Pre-Summary'!$Y$6:$AD$83,6,FALSE),"")</f>
        <v/>
      </c>
      <c r="X1897" t="str">
        <f>IFERROR(VLOOKUP('Pre-Summary'!$DB$6:$DD$63,3,FALSE),"")</f>
        <v/>
      </c>
      <c r="Y1897" t="str">
        <f>IFERROR(VLOOKUP(B1897,'Pre-Summary'!$CR$6:$CT$36,3,FALSE),"")</f>
        <v/>
      </c>
      <c r="Z1897" s="45" t="str">
        <f>IFERROR(VLOOKUP(B1897,'Pre-Summary'!$BZ$6:$CB$63,2,FALSE),"")</f>
        <v/>
      </c>
      <c r="AA1897" s="45" t="str">
        <f>IFERROR(VLOOKUP(B1897,'Pre-Summary'!$CG$6:$CI$70,2,FALSE),"")</f>
        <v/>
      </c>
      <c r="AB1897" s="99">
        <f>IFERROR(VLOOKUP(B1897,'Pre-Summary'!$A$6:$P$178,9,FALSE),AB1898)</f>
        <v>0.30348214016770225</v>
      </c>
      <c r="AC1897" s="10">
        <f>IFERROR(VLOOKUP(Summary!B1897,'Pre-Summary'!$A$6:$P$184,5, FALSE)/100,AC1898)</f>
        <v>0.94832299999999992</v>
      </c>
      <c r="AD1897" s="10">
        <f>IFERROR(VLOOKUP(Summary!B1897,'Pre-Summary'!$A$6:$P$184,3, FALSE)/100,AD1898)</f>
        <v>3.5070333333333335E-2</v>
      </c>
      <c r="AE1897" s="10">
        <f>IFERROR(VLOOKUP(Summary!B1897,'Pre-Summary'!$A$6:$P$184,7, FALSE)/100,AE1898)</f>
        <v>1.6606666666666669E-2</v>
      </c>
      <c r="AF1897" s="99">
        <f t="shared" si="88"/>
        <v>1.0643219816394708E-2</v>
      </c>
      <c r="AG1897" s="99">
        <f t="shared" si="89"/>
        <v>5.0398267410516426E-3</v>
      </c>
      <c r="AH1897" s="10" t="str">
        <f>IFERROR(VLOOKUP(B1897,'Pre-Summary'!$AZ$6:$BE$65,3,FALSE),"")</f>
        <v/>
      </c>
      <c r="AI1897" s="10" t="str">
        <f>IFERROR(VLOOKUP(B1897,'Pre-Summary'!$AZ$6:$BE$65,5,FALSE),"")</f>
        <v/>
      </c>
      <c r="AJ1897" s="10" t="str">
        <f>IFERROR(VLOOKUP(B1897,'Pre-Summary'!$AZ$6:$BE$65,4,FALSE),"")</f>
        <v/>
      </c>
      <c r="AK1897" s="10" t="str">
        <f>IFERROR(VLOOKUP(B1897,'Pre-Summary'!$AZ$6:$BE$65,6,FALSE),"")</f>
        <v/>
      </c>
      <c r="AL1897" s="10" t="str">
        <f>IFERROR(VLOOKUP(B1897,'Pre-Summary'!$BG$6:$BL$44,3,FALSE),"")</f>
        <v/>
      </c>
      <c r="AM1897" s="10" t="str">
        <f>IFERROR(VLOOKUP(B1897,'Pre-Summary'!$BG$6:$BL$44,4,FALSE),"")</f>
        <v/>
      </c>
    </row>
    <row r="1898" spans="2:39" ht="15" customHeight="1" x14ac:dyDescent="0.3">
      <c r="B1898">
        <v>189.5</v>
      </c>
      <c r="C1898" t="str">
        <f>IFERROR(VLOOKUP(B1898,'Pre-Summary'!$DI$6:$DM$23,4,FALSE),"")</f>
        <v/>
      </c>
      <c r="D1898" s="10" t="str">
        <f>IFERROR(VLOOKUP(B1898,'Pre-Summary'!$AT$6:$AX$14,5,FALSE),D1897)</f>
        <v>Wolfe v3: went back to modified wolfe + EDTA and switched CuSO4 to CUCl2</v>
      </c>
      <c r="E1898" s="10" t="str">
        <f>IFERROR(VLOOKUP(B1898,'Pre-Summary'!$AT$6:$AX$15,4,FALSE),"")</f>
        <v/>
      </c>
      <c r="F1898">
        <f>IFERROR(VLOOKUP(B1898,'Pre-Summary'!$AL$6:$AQ$13,6,FALSE),F1897)</f>
        <v>5.9405263157894746E-2</v>
      </c>
      <c r="G1898" t="str">
        <f>IFERROR(VLOOKUP(B1898,'Pre-Summary'!$AE$6:$AJ$85,3,FALSE),"")</f>
        <v/>
      </c>
      <c r="H1898" t="str">
        <f>IFERROR(VLOOKUP(B1898,'Pre-Summary'!$AE$6:$AJ$85,4,FALSE),"")</f>
        <v/>
      </c>
      <c r="I1898" t="str">
        <f>IFERROR(VLOOKUP(B1898,'Pre-Summary'!$AE$6:$AJ$85,5,FALSE),"")</f>
        <v/>
      </c>
      <c r="J1898" s="45" t="str">
        <f>IFERROR(VLOOKUP(B1898,'Pre-Summary'!$AE$6:$AJ$85,6, FALSE),"")</f>
        <v/>
      </c>
      <c r="K1898" s="45" t="str">
        <f>IFERROR(VLOOKUP(B1898,'Pre-Summary'!$DE$6:$DG$61,3,FALSE),"")</f>
        <v/>
      </c>
      <c r="L1898" s="45" t="str">
        <f>IFERROR(VLOOKUP(B1898,'Pre-Summary'!$CU$6:$CW$36,3,FALSE),"")</f>
        <v/>
      </c>
      <c r="M1898" s="45" t="str">
        <f>IFERROR(VLOOKUP(B1898,'Pre-Summary'!$BW$6:$BY$58,2,FALSE),"")</f>
        <v/>
      </c>
      <c r="N1898" s="45" t="str">
        <f>IFERROR(VLOOKUP(B1898,'Pre-Summary'!$CD$6:$CF$64,2,FALSE),"")</f>
        <v/>
      </c>
      <c r="O1898" s="99">
        <f>IFERROR(VLOOKUP(B1898,'Pre-Summary'!$BO$6:$BQ$48,3, FALSE),O1897)</f>
        <v>1.25</v>
      </c>
      <c r="P1898" s="99">
        <f>IFERROR(VLOOKUP(B1898,'Pre-Summary'!$BS$6:$BU$35,3,FALSE),P1897)</f>
        <v>0.33700000000000002</v>
      </c>
      <c r="Q1898" s="54">
        <f t="shared" si="87"/>
        <v>3.7091988130563798</v>
      </c>
      <c r="R1898" s="53">
        <f>IFERROR(VLOOKUP(B1898,'Pre-Summary'!$BG$6:$BM$44,7,FALSE),R1899)</f>
        <v>6.3359901615733558E-2</v>
      </c>
      <c r="S1898" s="53">
        <f>IFERROR(VLOOKUP(B1898,'Pre-Summary'!$BG$6:$BM$44,6,FALSE),S1899)</f>
        <v>9.0755969483796467E-2</v>
      </c>
      <c r="T1898" s="45" t="str">
        <f>IFERROR(VLOOKUP(B1898,'Pre-Summary'!$Y$6:$AC$83, 3,FALSE),"")</f>
        <v/>
      </c>
      <c r="U1898" s="45" t="str">
        <f>IFERROR(VLOOKUP(B1898,'Pre-Summary'!$Y$6:$AC$83, 4,FALSE),"")</f>
        <v/>
      </c>
      <c r="V1898" t="str">
        <f>IFERROR(VLOOKUP(B1898,'Pre-Summary'!$Y$6:$AC$83, 5,FALSE),"")</f>
        <v/>
      </c>
      <c r="W1898" s="45" t="str">
        <f>IFERROR(VLOOKUP(B1898,'Pre-Summary'!$Y$6:$AD$83,6,FALSE),"")</f>
        <v/>
      </c>
      <c r="X1898" t="str">
        <f>IFERROR(VLOOKUP('Pre-Summary'!$DB$6:$DD$63,3,FALSE),"")</f>
        <v/>
      </c>
      <c r="Y1898" t="str">
        <f>IFERROR(VLOOKUP(B1898,'Pre-Summary'!$CR$6:$CT$36,3,FALSE),"")</f>
        <v/>
      </c>
      <c r="Z1898" s="45" t="str">
        <f>IFERROR(VLOOKUP(B1898,'Pre-Summary'!$BZ$6:$CB$63,2,FALSE),"")</f>
        <v/>
      </c>
      <c r="AA1898" s="45" t="str">
        <f>IFERROR(VLOOKUP(B1898,'Pre-Summary'!$CG$6:$CI$70,2,FALSE),"")</f>
        <v/>
      </c>
      <c r="AB1898" s="99">
        <f>IFERROR(VLOOKUP(B1898,'Pre-Summary'!$A$6:$P$178,9,FALSE),AB1899)</f>
        <v>0.30348214016770225</v>
      </c>
      <c r="AC1898" s="10">
        <f>IFERROR(VLOOKUP(Summary!B1898,'Pre-Summary'!$A$6:$P$184,5, FALSE)/100,AC1899)</f>
        <v>0.94832299999999992</v>
      </c>
      <c r="AD1898" s="10">
        <f>IFERROR(VLOOKUP(Summary!B1898,'Pre-Summary'!$A$6:$P$184,3, FALSE)/100,AD1899)</f>
        <v>3.5070333333333335E-2</v>
      </c>
      <c r="AE1898" s="10">
        <f>IFERROR(VLOOKUP(Summary!B1898,'Pre-Summary'!$A$6:$P$184,7, FALSE)/100,AE1899)</f>
        <v>1.6606666666666669E-2</v>
      </c>
      <c r="AF1898" s="99">
        <f t="shared" si="88"/>
        <v>1.0643219816394708E-2</v>
      </c>
      <c r="AG1898" s="99">
        <f t="shared" si="89"/>
        <v>5.0398267410516426E-3</v>
      </c>
      <c r="AH1898" s="10" t="str">
        <f>IFERROR(VLOOKUP(B1898,'Pre-Summary'!$AZ$6:$BE$65,3,FALSE),"")</f>
        <v/>
      </c>
      <c r="AI1898" s="10" t="str">
        <f>IFERROR(VLOOKUP(B1898,'Pre-Summary'!$AZ$6:$BE$65,5,FALSE),"")</f>
        <v/>
      </c>
      <c r="AJ1898" s="10" t="str">
        <f>IFERROR(VLOOKUP(B1898,'Pre-Summary'!$AZ$6:$BE$65,4,FALSE),"")</f>
        <v/>
      </c>
      <c r="AK1898" s="10" t="str">
        <f>IFERROR(VLOOKUP(B1898,'Pre-Summary'!$AZ$6:$BE$65,6,FALSE),"")</f>
        <v/>
      </c>
      <c r="AL1898" s="10" t="str">
        <f>IFERROR(VLOOKUP(B1898,'Pre-Summary'!$BG$6:$BL$44,3,FALSE),"")</f>
        <v/>
      </c>
      <c r="AM1898" s="10" t="str">
        <f>IFERROR(VLOOKUP(B1898,'Pre-Summary'!$BG$6:$BL$44,4,FALSE),"")</f>
        <v/>
      </c>
    </row>
    <row r="1899" spans="2:39" ht="15" customHeight="1" x14ac:dyDescent="0.3">
      <c r="B1899">
        <v>189.6</v>
      </c>
      <c r="C1899" t="str">
        <f>IFERROR(VLOOKUP(B1899,'Pre-Summary'!$DI$6:$DM$23,4,FALSE),"")</f>
        <v/>
      </c>
      <c r="D1899" s="10" t="str">
        <f>IFERROR(VLOOKUP(B1899,'Pre-Summary'!$AT$6:$AX$14,5,FALSE),D1898)</f>
        <v>Wolfe v3: went back to modified wolfe + EDTA and switched CuSO4 to CUCl2</v>
      </c>
      <c r="E1899" s="10" t="str">
        <f>IFERROR(VLOOKUP(B1899,'Pre-Summary'!$AT$6:$AX$15,4,FALSE),"")</f>
        <v/>
      </c>
      <c r="F1899">
        <f>IFERROR(VLOOKUP(B1899,'Pre-Summary'!$AL$6:$AQ$13,6,FALSE),F1898)</f>
        <v>5.9405263157894746E-2</v>
      </c>
      <c r="G1899" t="str">
        <f>IFERROR(VLOOKUP(B1899,'Pre-Summary'!$AE$6:$AJ$85,3,FALSE),"")</f>
        <v/>
      </c>
      <c r="H1899" t="str">
        <f>IFERROR(VLOOKUP(B1899,'Pre-Summary'!$AE$6:$AJ$85,4,FALSE),"")</f>
        <v/>
      </c>
      <c r="I1899" t="str">
        <f>IFERROR(VLOOKUP(B1899,'Pre-Summary'!$AE$6:$AJ$85,5,FALSE),"")</f>
        <v/>
      </c>
      <c r="J1899" s="45" t="str">
        <f>IFERROR(VLOOKUP(B1899,'Pre-Summary'!$AE$6:$AJ$85,6, FALSE),"")</f>
        <v/>
      </c>
      <c r="K1899" s="45" t="str">
        <f>IFERROR(VLOOKUP(B1899,'Pre-Summary'!$DE$6:$DG$61,3,FALSE),"")</f>
        <v/>
      </c>
      <c r="L1899" s="45" t="str">
        <f>IFERROR(VLOOKUP(B1899,'Pre-Summary'!$CU$6:$CW$36,3,FALSE),"")</f>
        <v/>
      </c>
      <c r="M1899" s="45" t="str">
        <f>IFERROR(VLOOKUP(B1899,'Pre-Summary'!$BW$6:$BY$58,2,FALSE),"")</f>
        <v/>
      </c>
      <c r="N1899" s="45" t="str">
        <f>IFERROR(VLOOKUP(B1899,'Pre-Summary'!$CD$6:$CF$64,2,FALSE),"")</f>
        <v/>
      </c>
      <c r="O1899" s="99">
        <f>IFERROR(VLOOKUP(B1899,'Pre-Summary'!$BO$6:$BQ$48,3, FALSE),O1898)</f>
        <v>1.25</v>
      </c>
      <c r="P1899" s="99">
        <f>IFERROR(VLOOKUP(B1899,'Pre-Summary'!$BS$6:$BU$35,3,FALSE),P1898)</f>
        <v>0.33700000000000002</v>
      </c>
      <c r="Q1899" s="54">
        <f t="shared" si="87"/>
        <v>3.7091988130563798</v>
      </c>
      <c r="R1899" s="53">
        <f>IFERROR(VLOOKUP(B1899,'Pre-Summary'!$BG$6:$BM$44,7,FALSE),R1900)</f>
        <v>6.3359901615733558E-2</v>
      </c>
      <c r="S1899" s="53">
        <f>IFERROR(VLOOKUP(B1899,'Pre-Summary'!$BG$6:$BM$44,6,FALSE),S1900)</f>
        <v>9.0755969483796467E-2</v>
      </c>
      <c r="T1899" s="45" t="str">
        <f>IFERROR(VLOOKUP(B1899,'Pre-Summary'!$Y$6:$AC$83, 3,FALSE),"")</f>
        <v/>
      </c>
      <c r="U1899" s="45" t="str">
        <f>IFERROR(VLOOKUP(B1899,'Pre-Summary'!$Y$6:$AC$83, 4,FALSE),"")</f>
        <v/>
      </c>
      <c r="V1899" t="str">
        <f>IFERROR(VLOOKUP(B1899,'Pre-Summary'!$Y$6:$AC$83, 5,FALSE),"")</f>
        <v/>
      </c>
      <c r="W1899" s="45" t="str">
        <f>IFERROR(VLOOKUP(B1899,'Pre-Summary'!$Y$6:$AD$83,6,FALSE),"")</f>
        <v/>
      </c>
      <c r="X1899" t="str">
        <f>IFERROR(VLOOKUP('Pre-Summary'!$DB$6:$DD$63,3,FALSE),"")</f>
        <v/>
      </c>
      <c r="Y1899" t="str">
        <f>IFERROR(VLOOKUP(B1899,'Pre-Summary'!$CR$6:$CT$36,3,FALSE),"")</f>
        <v/>
      </c>
      <c r="Z1899" s="45" t="str">
        <f>IFERROR(VLOOKUP(B1899,'Pre-Summary'!$BZ$6:$CB$63,2,FALSE),"")</f>
        <v/>
      </c>
      <c r="AA1899" s="45" t="str">
        <f>IFERROR(VLOOKUP(B1899,'Pre-Summary'!$CG$6:$CI$70,2,FALSE),"")</f>
        <v/>
      </c>
      <c r="AB1899" s="99">
        <f>IFERROR(VLOOKUP(B1899,'Pre-Summary'!$A$6:$P$178,9,FALSE),AB1900)</f>
        <v>0.30348214016770225</v>
      </c>
      <c r="AC1899" s="10">
        <f>IFERROR(VLOOKUP(Summary!B1899,'Pre-Summary'!$A$6:$P$184,5, FALSE)/100,AC1900)</f>
        <v>0.94832299999999992</v>
      </c>
      <c r="AD1899" s="10">
        <f>IFERROR(VLOOKUP(Summary!B1899,'Pre-Summary'!$A$6:$P$184,3, FALSE)/100,AD1900)</f>
        <v>3.5070333333333335E-2</v>
      </c>
      <c r="AE1899" s="10">
        <f>IFERROR(VLOOKUP(Summary!B1899,'Pre-Summary'!$A$6:$P$184,7, FALSE)/100,AE1900)</f>
        <v>1.6606666666666669E-2</v>
      </c>
      <c r="AF1899" s="99">
        <f t="shared" si="88"/>
        <v>1.0643219816394708E-2</v>
      </c>
      <c r="AG1899" s="99">
        <f t="shared" si="89"/>
        <v>5.0398267410516426E-3</v>
      </c>
      <c r="AH1899" s="10" t="str">
        <f>IFERROR(VLOOKUP(B1899,'Pre-Summary'!$AZ$6:$BE$65,3,FALSE),"")</f>
        <v/>
      </c>
      <c r="AI1899" s="10" t="str">
        <f>IFERROR(VLOOKUP(B1899,'Pre-Summary'!$AZ$6:$BE$65,5,FALSE),"")</f>
        <v/>
      </c>
      <c r="AJ1899" s="10" t="str">
        <f>IFERROR(VLOOKUP(B1899,'Pre-Summary'!$AZ$6:$BE$65,4,FALSE),"")</f>
        <v/>
      </c>
      <c r="AK1899" s="10" t="str">
        <f>IFERROR(VLOOKUP(B1899,'Pre-Summary'!$AZ$6:$BE$65,6,FALSE),"")</f>
        <v/>
      </c>
      <c r="AL1899" s="10" t="str">
        <f>IFERROR(VLOOKUP(B1899,'Pre-Summary'!$BG$6:$BL$44,3,FALSE),"")</f>
        <v/>
      </c>
      <c r="AM1899" s="10" t="str">
        <f>IFERROR(VLOOKUP(B1899,'Pre-Summary'!$BG$6:$BL$44,4,FALSE),"")</f>
        <v/>
      </c>
    </row>
    <row r="1900" spans="2:39" ht="15" customHeight="1" x14ac:dyDescent="0.3">
      <c r="B1900">
        <v>189.7</v>
      </c>
      <c r="C1900" t="str">
        <f>IFERROR(VLOOKUP(B1900,'Pre-Summary'!$DI$6:$DM$23,4,FALSE),"")</f>
        <v/>
      </c>
      <c r="D1900" s="10" t="str">
        <f>IFERROR(VLOOKUP(B1900,'Pre-Summary'!$AT$6:$AX$14,5,FALSE),D1899)</f>
        <v>Wolfe v3: went back to modified wolfe + EDTA and switched CuSO4 to CUCl2</v>
      </c>
      <c r="E1900" s="10" t="str">
        <f>IFERROR(VLOOKUP(B1900,'Pre-Summary'!$AT$6:$AX$15,4,FALSE),"")</f>
        <v/>
      </c>
      <c r="F1900">
        <f>IFERROR(VLOOKUP(B1900,'Pre-Summary'!$AL$6:$AQ$13,6,FALSE),F1899)</f>
        <v>5.9405263157894746E-2</v>
      </c>
      <c r="G1900" t="str">
        <f>IFERROR(VLOOKUP(B1900,'Pre-Summary'!$AE$6:$AJ$85,3,FALSE),"")</f>
        <v/>
      </c>
      <c r="H1900" t="str">
        <f>IFERROR(VLOOKUP(B1900,'Pre-Summary'!$AE$6:$AJ$85,4,FALSE),"")</f>
        <v/>
      </c>
      <c r="I1900" t="str">
        <f>IFERROR(VLOOKUP(B1900,'Pre-Summary'!$AE$6:$AJ$85,5,FALSE),"")</f>
        <v/>
      </c>
      <c r="J1900" s="45" t="str">
        <f>IFERROR(VLOOKUP(B1900,'Pre-Summary'!$AE$6:$AJ$85,6, FALSE),"")</f>
        <v/>
      </c>
      <c r="K1900" s="45" t="str">
        <f>IFERROR(VLOOKUP(B1900,'Pre-Summary'!$DE$6:$DG$61,3,FALSE),"")</f>
        <v/>
      </c>
      <c r="L1900" s="45" t="str">
        <f>IFERROR(VLOOKUP(B1900,'Pre-Summary'!$CU$6:$CW$36,3,FALSE),"")</f>
        <v/>
      </c>
      <c r="M1900" s="45" t="str">
        <f>IFERROR(VLOOKUP(B1900,'Pre-Summary'!$BW$6:$BY$58,2,FALSE),"")</f>
        <v/>
      </c>
      <c r="N1900" s="45" t="str">
        <f>IFERROR(VLOOKUP(B1900,'Pre-Summary'!$CD$6:$CF$64,2,FALSE),"")</f>
        <v/>
      </c>
      <c r="O1900" s="99">
        <f>IFERROR(VLOOKUP(B1900,'Pre-Summary'!$BO$6:$BQ$48,3, FALSE),O1899)</f>
        <v>1.25</v>
      </c>
      <c r="P1900" s="99">
        <f>IFERROR(VLOOKUP(B1900,'Pre-Summary'!$BS$6:$BU$35,3,FALSE),P1899)</f>
        <v>0.33700000000000002</v>
      </c>
      <c r="Q1900" s="54">
        <f t="shared" si="87"/>
        <v>3.7091988130563798</v>
      </c>
      <c r="R1900" s="53">
        <f>IFERROR(VLOOKUP(B1900,'Pre-Summary'!$BG$6:$BM$44,7,FALSE),R1901)</f>
        <v>6.3359901615733558E-2</v>
      </c>
      <c r="S1900" s="53">
        <f>IFERROR(VLOOKUP(B1900,'Pre-Summary'!$BG$6:$BM$44,6,FALSE),S1901)</f>
        <v>9.0755969483796467E-2</v>
      </c>
      <c r="T1900" s="45" t="str">
        <f>IFERROR(VLOOKUP(B1900,'Pre-Summary'!$Y$6:$AC$83, 3,FALSE),"")</f>
        <v/>
      </c>
      <c r="U1900" s="45" t="str">
        <f>IFERROR(VLOOKUP(B1900,'Pre-Summary'!$Y$6:$AC$83, 4,FALSE),"")</f>
        <v/>
      </c>
      <c r="V1900" t="str">
        <f>IFERROR(VLOOKUP(B1900,'Pre-Summary'!$Y$6:$AC$83, 5,FALSE),"")</f>
        <v/>
      </c>
      <c r="W1900" s="45" t="str">
        <f>IFERROR(VLOOKUP(B1900,'Pre-Summary'!$Y$6:$AD$83,6,FALSE),"")</f>
        <v/>
      </c>
      <c r="X1900" t="str">
        <f>IFERROR(VLOOKUP('Pre-Summary'!$DB$6:$DD$63,3,FALSE),"")</f>
        <v/>
      </c>
      <c r="Y1900" t="str">
        <f>IFERROR(VLOOKUP(B1900,'Pre-Summary'!$CR$6:$CT$36,3,FALSE),"")</f>
        <v/>
      </c>
      <c r="Z1900" s="45" t="str">
        <f>IFERROR(VLOOKUP(B1900,'Pre-Summary'!$BZ$6:$CB$63,2,FALSE),"")</f>
        <v/>
      </c>
      <c r="AA1900" s="45" t="str">
        <f>IFERROR(VLOOKUP(B1900,'Pre-Summary'!$CG$6:$CI$70,2,FALSE),"")</f>
        <v/>
      </c>
      <c r="AB1900" s="99">
        <f>IFERROR(VLOOKUP(B1900,'Pre-Summary'!$A$6:$P$178,9,FALSE),AB1901)</f>
        <v>0.30348214016770225</v>
      </c>
      <c r="AC1900" s="10">
        <f>IFERROR(VLOOKUP(Summary!B1900,'Pre-Summary'!$A$6:$P$184,5, FALSE)/100,AC1901)</f>
        <v>0.94832299999999992</v>
      </c>
      <c r="AD1900" s="10">
        <f>IFERROR(VLOOKUP(Summary!B1900,'Pre-Summary'!$A$6:$P$184,3, FALSE)/100,AD1901)</f>
        <v>3.5070333333333335E-2</v>
      </c>
      <c r="AE1900" s="10">
        <f>IFERROR(VLOOKUP(Summary!B1900,'Pre-Summary'!$A$6:$P$184,7, FALSE)/100,AE1901)</f>
        <v>1.6606666666666669E-2</v>
      </c>
      <c r="AF1900" s="99">
        <f t="shared" si="88"/>
        <v>1.0643219816394708E-2</v>
      </c>
      <c r="AG1900" s="99">
        <f t="shared" si="89"/>
        <v>5.0398267410516426E-3</v>
      </c>
      <c r="AH1900" s="10" t="str">
        <f>IFERROR(VLOOKUP(B1900,'Pre-Summary'!$AZ$6:$BE$65,3,FALSE),"")</f>
        <v/>
      </c>
      <c r="AI1900" s="10" t="str">
        <f>IFERROR(VLOOKUP(B1900,'Pre-Summary'!$AZ$6:$BE$65,5,FALSE),"")</f>
        <v/>
      </c>
      <c r="AJ1900" s="10" t="str">
        <f>IFERROR(VLOOKUP(B1900,'Pre-Summary'!$AZ$6:$BE$65,4,FALSE),"")</f>
        <v/>
      </c>
      <c r="AK1900" s="10" t="str">
        <f>IFERROR(VLOOKUP(B1900,'Pre-Summary'!$AZ$6:$BE$65,6,FALSE),"")</f>
        <v/>
      </c>
      <c r="AL1900" s="10" t="str">
        <f>IFERROR(VLOOKUP(B1900,'Pre-Summary'!$BG$6:$BL$44,3,FALSE),"")</f>
        <v/>
      </c>
      <c r="AM1900" s="10" t="str">
        <f>IFERROR(VLOOKUP(B1900,'Pre-Summary'!$BG$6:$BL$44,4,FALSE),"")</f>
        <v/>
      </c>
    </row>
    <row r="1901" spans="2:39" ht="15" customHeight="1" x14ac:dyDescent="0.3">
      <c r="B1901">
        <v>189.8</v>
      </c>
      <c r="C1901" t="str">
        <f>IFERROR(VLOOKUP(B1901,'Pre-Summary'!$DI$6:$DM$23,4,FALSE),"")</f>
        <v/>
      </c>
      <c r="D1901" s="10" t="str">
        <f>IFERROR(VLOOKUP(B1901,'Pre-Summary'!$AT$6:$AX$14,5,FALSE),D1900)</f>
        <v>Wolfe v3: went back to modified wolfe + EDTA and switched CuSO4 to CUCl2</v>
      </c>
      <c r="E1901" s="10" t="str">
        <f>IFERROR(VLOOKUP(B1901,'Pre-Summary'!$AT$6:$AX$15,4,FALSE),"")</f>
        <v/>
      </c>
      <c r="F1901">
        <f>IFERROR(VLOOKUP(B1901,'Pre-Summary'!$AL$6:$AQ$13,6,FALSE),F1900)</f>
        <v>5.9405263157894746E-2</v>
      </c>
      <c r="G1901" t="str">
        <f>IFERROR(VLOOKUP(B1901,'Pre-Summary'!$AE$6:$AJ$85,3,FALSE),"")</f>
        <v/>
      </c>
      <c r="H1901" t="str">
        <f>IFERROR(VLOOKUP(B1901,'Pre-Summary'!$AE$6:$AJ$85,4,FALSE),"")</f>
        <v/>
      </c>
      <c r="I1901" t="str">
        <f>IFERROR(VLOOKUP(B1901,'Pre-Summary'!$AE$6:$AJ$85,5,FALSE),"")</f>
        <v/>
      </c>
      <c r="J1901" s="45" t="str">
        <f>IFERROR(VLOOKUP(B1901,'Pre-Summary'!$AE$6:$AJ$85,6, FALSE),"")</f>
        <v/>
      </c>
      <c r="K1901" s="45" t="str">
        <f>IFERROR(VLOOKUP(B1901,'Pre-Summary'!$DE$6:$DG$61,3,FALSE),"")</f>
        <v/>
      </c>
      <c r="L1901" s="45" t="str">
        <f>IFERROR(VLOOKUP(B1901,'Pre-Summary'!$CU$6:$CW$36,3,FALSE),"")</f>
        <v/>
      </c>
      <c r="M1901" s="45" t="str">
        <f>IFERROR(VLOOKUP(B1901,'Pre-Summary'!$BW$6:$BY$58,2,FALSE),"")</f>
        <v/>
      </c>
      <c r="N1901" s="45" t="str">
        <f>IFERROR(VLOOKUP(B1901,'Pre-Summary'!$CD$6:$CF$64,2,FALSE),"")</f>
        <v/>
      </c>
      <c r="O1901" s="99">
        <f>IFERROR(VLOOKUP(B1901,'Pre-Summary'!$BO$6:$BQ$48,3, FALSE),O1900)</f>
        <v>1.25</v>
      </c>
      <c r="P1901" s="99">
        <f>IFERROR(VLOOKUP(B1901,'Pre-Summary'!$BS$6:$BU$35,3,FALSE),P1900)</f>
        <v>0.33700000000000002</v>
      </c>
      <c r="Q1901" s="54">
        <f t="shared" si="87"/>
        <v>3.7091988130563798</v>
      </c>
      <c r="R1901" s="53">
        <f>IFERROR(VLOOKUP(B1901,'Pre-Summary'!$BG$6:$BM$44,7,FALSE),R1902)</f>
        <v>6.3359901615733558E-2</v>
      </c>
      <c r="S1901" s="53">
        <f>IFERROR(VLOOKUP(B1901,'Pre-Summary'!$BG$6:$BM$44,6,FALSE),S1902)</f>
        <v>9.0755969483796467E-2</v>
      </c>
      <c r="T1901" s="45" t="str">
        <f>IFERROR(VLOOKUP(B1901,'Pre-Summary'!$Y$6:$AC$83, 3,FALSE),"")</f>
        <v/>
      </c>
      <c r="U1901" s="45" t="str">
        <f>IFERROR(VLOOKUP(B1901,'Pre-Summary'!$Y$6:$AC$83, 4,FALSE),"")</f>
        <v/>
      </c>
      <c r="V1901" t="str">
        <f>IFERROR(VLOOKUP(B1901,'Pre-Summary'!$Y$6:$AC$83, 5,FALSE),"")</f>
        <v/>
      </c>
      <c r="W1901" s="45" t="str">
        <f>IFERROR(VLOOKUP(B1901,'Pre-Summary'!$Y$6:$AD$83,6,FALSE),"")</f>
        <v/>
      </c>
      <c r="X1901" t="str">
        <f>IFERROR(VLOOKUP('Pre-Summary'!$DB$6:$DD$63,3,FALSE),"")</f>
        <v/>
      </c>
      <c r="Y1901" t="str">
        <f>IFERROR(VLOOKUP(B1901,'Pre-Summary'!$CR$6:$CT$36,3,FALSE),"")</f>
        <v/>
      </c>
      <c r="Z1901" s="45" t="str">
        <f>IFERROR(VLOOKUP(B1901,'Pre-Summary'!$BZ$6:$CB$63,2,FALSE),"")</f>
        <v/>
      </c>
      <c r="AA1901" s="45" t="str">
        <f>IFERROR(VLOOKUP(B1901,'Pre-Summary'!$CG$6:$CI$70,2,FALSE),"")</f>
        <v/>
      </c>
      <c r="AB1901" s="99">
        <f>IFERROR(VLOOKUP(B1901,'Pre-Summary'!$A$6:$P$178,9,FALSE),AB1902)</f>
        <v>0.30348214016770225</v>
      </c>
      <c r="AC1901" s="10">
        <f>IFERROR(VLOOKUP(Summary!B1901,'Pre-Summary'!$A$6:$P$184,5, FALSE)/100,AC1902)</f>
        <v>0.94832299999999992</v>
      </c>
      <c r="AD1901" s="10">
        <f>IFERROR(VLOOKUP(Summary!B1901,'Pre-Summary'!$A$6:$P$184,3, FALSE)/100,AD1902)</f>
        <v>3.5070333333333335E-2</v>
      </c>
      <c r="AE1901" s="10">
        <f>IFERROR(VLOOKUP(Summary!B1901,'Pre-Summary'!$A$6:$P$184,7, FALSE)/100,AE1902)</f>
        <v>1.6606666666666669E-2</v>
      </c>
      <c r="AF1901" s="99">
        <f t="shared" si="88"/>
        <v>1.0643219816394708E-2</v>
      </c>
      <c r="AG1901" s="99">
        <f t="shared" si="89"/>
        <v>5.0398267410516426E-3</v>
      </c>
      <c r="AH1901" s="10" t="str">
        <f>IFERROR(VLOOKUP(B1901,'Pre-Summary'!$AZ$6:$BE$65,3,FALSE),"")</f>
        <v/>
      </c>
      <c r="AI1901" s="10" t="str">
        <f>IFERROR(VLOOKUP(B1901,'Pre-Summary'!$AZ$6:$BE$65,5,FALSE),"")</f>
        <v/>
      </c>
      <c r="AJ1901" s="10" t="str">
        <f>IFERROR(VLOOKUP(B1901,'Pre-Summary'!$AZ$6:$BE$65,4,FALSE),"")</f>
        <v/>
      </c>
      <c r="AK1901" s="10" t="str">
        <f>IFERROR(VLOOKUP(B1901,'Pre-Summary'!$AZ$6:$BE$65,6,FALSE),"")</f>
        <v/>
      </c>
      <c r="AL1901" s="10" t="str">
        <f>IFERROR(VLOOKUP(B1901,'Pre-Summary'!$BG$6:$BL$44,3,FALSE),"")</f>
        <v/>
      </c>
      <c r="AM1901" s="10" t="str">
        <f>IFERROR(VLOOKUP(B1901,'Pre-Summary'!$BG$6:$BL$44,4,FALSE),"")</f>
        <v/>
      </c>
    </row>
    <row r="1902" spans="2:39" ht="15" customHeight="1" x14ac:dyDescent="0.3">
      <c r="B1902">
        <v>189.9</v>
      </c>
      <c r="C1902" t="str">
        <f>IFERROR(VLOOKUP(B1902,'Pre-Summary'!$DI$6:$DM$23,4,FALSE),"")</f>
        <v/>
      </c>
      <c r="D1902" s="10" t="str">
        <f>IFERROR(VLOOKUP(B1902,'Pre-Summary'!$AT$6:$AX$14,5,FALSE),D1901)</f>
        <v>Wolfe v3: went back to modified wolfe + EDTA and switched CuSO4 to CUCl2</v>
      </c>
      <c r="E1902" s="10" t="str">
        <f>IFERROR(VLOOKUP(B1902,'Pre-Summary'!$AT$6:$AX$15,4,FALSE),"")</f>
        <v/>
      </c>
      <c r="F1902">
        <f>IFERROR(VLOOKUP(B1902,'Pre-Summary'!$AL$6:$AQ$13,6,FALSE),F1901)</f>
        <v>5.9405263157894746E-2</v>
      </c>
      <c r="G1902" t="str">
        <f>IFERROR(VLOOKUP(B1902,'Pre-Summary'!$AE$6:$AJ$85,3,FALSE),"")</f>
        <v/>
      </c>
      <c r="H1902" t="str">
        <f>IFERROR(VLOOKUP(B1902,'Pre-Summary'!$AE$6:$AJ$85,4,FALSE),"")</f>
        <v/>
      </c>
      <c r="I1902" t="str">
        <f>IFERROR(VLOOKUP(B1902,'Pre-Summary'!$AE$6:$AJ$85,5,FALSE),"")</f>
        <v/>
      </c>
      <c r="J1902" s="45" t="str">
        <f>IFERROR(VLOOKUP(B1902,'Pre-Summary'!$AE$6:$AJ$85,6, FALSE),"")</f>
        <v/>
      </c>
      <c r="K1902" s="45" t="str">
        <f>IFERROR(VLOOKUP(B1902,'Pre-Summary'!$DE$6:$DG$61,3,FALSE),"")</f>
        <v/>
      </c>
      <c r="L1902" s="45" t="str">
        <f>IFERROR(VLOOKUP(B1902,'Pre-Summary'!$CU$6:$CW$36,3,FALSE),"")</f>
        <v/>
      </c>
      <c r="M1902" s="45" t="str">
        <f>IFERROR(VLOOKUP(B1902,'Pre-Summary'!$BW$6:$BY$58,2,FALSE),"")</f>
        <v/>
      </c>
      <c r="N1902" s="45" t="str">
        <f>IFERROR(VLOOKUP(B1902,'Pre-Summary'!$CD$6:$CF$64,2,FALSE),"")</f>
        <v/>
      </c>
      <c r="O1902" s="99">
        <f>IFERROR(VLOOKUP(B1902,'Pre-Summary'!$BO$6:$BQ$48,3, FALSE),O1901)</f>
        <v>1.3480000000000001</v>
      </c>
      <c r="P1902" s="99">
        <f>IFERROR(VLOOKUP(B1902,'Pre-Summary'!$BS$6:$BU$35,3,FALSE),P1901)</f>
        <v>0.33700000000000002</v>
      </c>
      <c r="Q1902" s="54">
        <f t="shared" si="87"/>
        <v>4</v>
      </c>
      <c r="R1902" s="53">
        <f>IFERROR(VLOOKUP(B1902,'Pre-Summary'!$BG$6:$BM$44,7,FALSE),R1903)</f>
        <v>6.3359901615733558E-2</v>
      </c>
      <c r="S1902" s="53">
        <f>IFERROR(VLOOKUP(B1902,'Pre-Summary'!$BG$6:$BM$44,6,FALSE),S1903)</f>
        <v>9.0755969483796467E-2</v>
      </c>
      <c r="T1902" s="45" t="str">
        <f>IFERROR(VLOOKUP(B1902,'Pre-Summary'!$Y$6:$AC$83, 3,FALSE),"")</f>
        <v/>
      </c>
      <c r="U1902" s="45" t="str">
        <f>IFERROR(VLOOKUP(B1902,'Pre-Summary'!$Y$6:$AC$83, 4,FALSE),"")</f>
        <v/>
      </c>
      <c r="V1902" t="str">
        <f>IFERROR(VLOOKUP(B1902,'Pre-Summary'!$Y$6:$AC$83, 5,FALSE),"")</f>
        <v/>
      </c>
      <c r="W1902" s="45" t="str">
        <f>IFERROR(VLOOKUP(B1902,'Pre-Summary'!$Y$6:$AD$83,6,FALSE),"")</f>
        <v/>
      </c>
      <c r="X1902" t="str">
        <f>IFERROR(VLOOKUP('Pre-Summary'!$DB$6:$DD$63,3,FALSE),"")</f>
        <v/>
      </c>
      <c r="Y1902" t="str">
        <f>IFERROR(VLOOKUP(B1902,'Pre-Summary'!$CR$6:$CT$36,3,FALSE),"")</f>
        <v/>
      </c>
      <c r="Z1902" s="45" t="str">
        <f>IFERROR(VLOOKUP(B1902,'Pre-Summary'!$BZ$6:$CB$63,2,FALSE),"")</f>
        <v/>
      </c>
      <c r="AA1902" s="45" t="str">
        <f>IFERROR(VLOOKUP(B1902,'Pre-Summary'!$CG$6:$CI$70,2,FALSE),"")</f>
        <v/>
      </c>
      <c r="AB1902" s="99">
        <f>IFERROR(VLOOKUP(B1902,'Pre-Summary'!$A$6:$P$178,9,FALSE),AB1903)</f>
        <v>0.30348214016770225</v>
      </c>
      <c r="AC1902" s="10">
        <f>IFERROR(VLOOKUP(Summary!B1902,'Pre-Summary'!$A$6:$P$184,5, FALSE)/100,AC1903)</f>
        <v>0.94832299999999992</v>
      </c>
      <c r="AD1902" s="10">
        <f>IFERROR(VLOOKUP(Summary!B1902,'Pre-Summary'!$A$6:$P$184,3, FALSE)/100,AD1903)</f>
        <v>3.5070333333333335E-2</v>
      </c>
      <c r="AE1902" s="10">
        <f>IFERROR(VLOOKUP(Summary!B1902,'Pre-Summary'!$A$6:$P$184,7, FALSE)/100,AE1903)</f>
        <v>1.6606666666666669E-2</v>
      </c>
      <c r="AF1902" s="99">
        <f t="shared" si="88"/>
        <v>1.0643219816394708E-2</v>
      </c>
      <c r="AG1902" s="99">
        <f t="shared" si="89"/>
        <v>5.0398267410516426E-3</v>
      </c>
      <c r="AH1902" s="10" t="str">
        <f>IFERROR(VLOOKUP(B1902,'Pre-Summary'!$AZ$6:$BE$65,3,FALSE),"")</f>
        <v/>
      </c>
      <c r="AI1902" s="10" t="str">
        <f>IFERROR(VLOOKUP(B1902,'Pre-Summary'!$AZ$6:$BE$65,5,FALSE),"")</f>
        <v/>
      </c>
      <c r="AJ1902" s="10" t="str">
        <f>IFERROR(VLOOKUP(B1902,'Pre-Summary'!$AZ$6:$BE$65,4,FALSE),"")</f>
        <v/>
      </c>
      <c r="AK1902" s="10" t="str">
        <f>IFERROR(VLOOKUP(B1902,'Pre-Summary'!$AZ$6:$BE$65,6,FALSE),"")</f>
        <v/>
      </c>
      <c r="AL1902" s="10" t="str">
        <f>IFERROR(VLOOKUP(B1902,'Pre-Summary'!$BG$6:$BL$44,3,FALSE),"")</f>
        <v/>
      </c>
      <c r="AM1902" s="10" t="str">
        <f>IFERROR(VLOOKUP(B1902,'Pre-Summary'!$BG$6:$BL$44,4,FALSE),"")</f>
        <v/>
      </c>
    </row>
    <row r="1903" spans="2:39" ht="15" customHeight="1" x14ac:dyDescent="0.3">
      <c r="B1903">
        <v>190</v>
      </c>
      <c r="C1903" t="str">
        <f>IFERROR(VLOOKUP(B1903,'Pre-Summary'!$DI$6:$DM$23,4,FALSE),"")</f>
        <v/>
      </c>
      <c r="D1903" s="10" t="str">
        <f>IFERROR(VLOOKUP(B1903,'Pre-Summary'!$AT$6:$AX$14,5,FALSE),D1902)</f>
        <v>Wolfe v3: went back to modified wolfe + EDTA and switched CuSO4 to CUCl2</v>
      </c>
      <c r="E1903" s="10" t="str">
        <f>IFERROR(VLOOKUP(B1903,'Pre-Summary'!$AT$6:$AX$15,4,FALSE),"")</f>
        <v/>
      </c>
      <c r="F1903">
        <f>IFERROR(VLOOKUP(B1903,'Pre-Summary'!$AL$6:$AQ$13,6,FALSE),F1902)</f>
        <v>5.9405263157894746E-2</v>
      </c>
      <c r="G1903" t="str">
        <f>IFERROR(VLOOKUP(B1903,'Pre-Summary'!$AE$6:$AJ$85,3,FALSE),"")</f>
        <v/>
      </c>
      <c r="H1903" t="str">
        <f>IFERROR(VLOOKUP(B1903,'Pre-Summary'!$AE$6:$AJ$85,4,FALSE),"")</f>
        <v/>
      </c>
      <c r="I1903" t="str">
        <f>IFERROR(VLOOKUP(B1903,'Pre-Summary'!$AE$6:$AJ$85,5,FALSE),"")</f>
        <v/>
      </c>
      <c r="J1903" s="45" t="str">
        <f>IFERROR(VLOOKUP(B1903,'Pre-Summary'!$AE$6:$AJ$85,6, FALSE),"")</f>
        <v/>
      </c>
      <c r="K1903" s="45" t="str">
        <f>IFERROR(VLOOKUP(B1903,'Pre-Summary'!$DE$6:$DG$61,3,FALSE),"")</f>
        <v/>
      </c>
      <c r="L1903" s="45" t="str">
        <f>IFERROR(VLOOKUP(B1903,'Pre-Summary'!$CU$6:$CW$36,3,FALSE),"")</f>
        <v/>
      </c>
      <c r="M1903" s="45" t="str">
        <f>IFERROR(VLOOKUP(B1903,'Pre-Summary'!$BW$6:$BY$58,2,FALSE),"")</f>
        <v/>
      </c>
      <c r="N1903" s="45" t="str">
        <f>IFERROR(VLOOKUP(B1903,'Pre-Summary'!$CD$6:$CF$64,2,FALSE),"")</f>
        <v/>
      </c>
      <c r="O1903" s="99">
        <f>IFERROR(VLOOKUP(B1903,'Pre-Summary'!$BO$6:$BQ$48,3, FALSE),O1902)</f>
        <v>1.3480000000000001</v>
      </c>
      <c r="P1903" s="99">
        <f>IFERROR(VLOOKUP(B1903,'Pre-Summary'!$BS$6:$BU$35,3,FALSE),P1902)</f>
        <v>0.33700000000000002</v>
      </c>
      <c r="Q1903" s="54">
        <f t="shared" si="87"/>
        <v>4</v>
      </c>
      <c r="R1903" s="53">
        <f>IFERROR(VLOOKUP(B1903,'Pre-Summary'!$BG$6:$BM$44,7,FALSE),R1904)</f>
        <v>6.3359901615733558E-2</v>
      </c>
      <c r="S1903" s="53">
        <f>IFERROR(VLOOKUP(B1903,'Pre-Summary'!$BG$6:$BM$44,6,FALSE),S1904)</f>
        <v>9.0755969483796467E-2</v>
      </c>
      <c r="T1903" s="45" t="str">
        <f>IFERROR(VLOOKUP(B1903,'Pre-Summary'!$Y$6:$AC$83, 3,FALSE),"")</f>
        <v/>
      </c>
      <c r="U1903" s="45" t="str">
        <f>IFERROR(VLOOKUP(B1903,'Pre-Summary'!$Y$6:$AC$83, 4,FALSE),"")</f>
        <v/>
      </c>
      <c r="V1903" t="str">
        <f>IFERROR(VLOOKUP(B1903,'Pre-Summary'!$Y$6:$AC$83, 5,FALSE),"")</f>
        <v/>
      </c>
      <c r="W1903" s="45" t="str">
        <f>IFERROR(VLOOKUP(B1903,'Pre-Summary'!$Y$6:$AD$83,6,FALSE),"")</f>
        <v/>
      </c>
      <c r="X1903" t="str">
        <f>IFERROR(VLOOKUP('Pre-Summary'!$DB$6:$DD$63,3,FALSE),"")</f>
        <v/>
      </c>
      <c r="Y1903" t="str">
        <f>IFERROR(VLOOKUP(B1903,'Pre-Summary'!$CR$6:$CT$36,3,FALSE),"")</f>
        <v/>
      </c>
      <c r="Z1903" s="45" t="str">
        <f>IFERROR(VLOOKUP(B1903,'Pre-Summary'!$BZ$6:$CB$63,2,FALSE),"")</f>
        <v/>
      </c>
      <c r="AA1903" s="45" t="str">
        <f>IFERROR(VLOOKUP(B1903,'Pre-Summary'!$CG$6:$CI$70,2,FALSE),"")</f>
        <v/>
      </c>
      <c r="AB1903" s="99">
        <f>IFERROR(VLOOKUP(B1903,'Pre-Summary'!$A$6:$P$178,9,FALSE),AB1904)</f>
        <v>0.31918922872137928</v>
      </c>
      <c r="AC1903" s="10">
        <f>IFERROR(VLOOKUP(Summary!B1903,'Pre-Summary'!$A$6:$P$184,5, FALSE)/100,AC1904)</f>
        <v>0.95474533333333322</v>
      </c>
      <c r="AD1903" s="10">
        <f>IFERROR(VLOOKUP(Summary!B1903,'Pre-Summary'!$A$6:$P$184,3, FALSE)/100,AD1904)</f>
        <v>2.9022000000000003E-2</v>
      </c>
      <c r="AE1903" s="10">
        <f>IFERROR(VLOOKUP(Summary!B1903,'Pre-Summary'!$A$6:$P$184,7, FALSE)/100,AE1904)</f>
        <v>1.6232666666666666E-2</v>
      </c>
      <c r="AF1903" s="99">
        <f t="shared" si="88"/>
        <v>9.26350979595187E-3</v>
      </c>
      <c r="AG1903" s="99">
        <f t="shared" si="89"/>
        <v>5.1812923534245757E-3</v>
      </c>
      <c r="AH1903" s="10" t="str">
        <f>IFERROR(VLOOKUP(B1903,'Pre-Summary'!$AZ$6:$BE$65,3,FALSE),"")</f>
        <v/>
      </c>
      <c r="AI1903" s="10" t="str">
        <f>IFERROR(VLOOKUP(B1903,'Pre-Summary'!$AZ$6:$BE$65,5,FALSE),"")</f>
        <v/>
      </c>
      <c r="AJ1903" s="10" t="str">
        <f>IFERROR(VLOOKUP(B1903,'Pre-Summary'!$AZ$6:$BE$65,4,FALSE),"")</f>
        <v/>
      </c>
      <c r="AK1903" s="10" t="str">
        <f>IFERROR(VLOOKUP(B1903,'Pre-Summary'!$AZ$6:$BE$65,6,FALSE),"")</f>
        <v/>
      </c>
      <c r="AL1903" s="10" t="str">
        <f>IFERROR(VLOOKUP(B1903,'Pre-Summary'!$BG$6:$BL$44,3,FALSE),"")</f>
        <v/>
      </c>
      <c r="AM1903" s="10" t="str">
        <f>IFERROR(VLOOKUP(B1903,'Pre-Summary'!$BG$6:$BL$44,4,FALSE),"")</f>
        <v/>
      </c>
    </row>
    <row r="1904" spans="2:39" ht="15" customHeight="1" x14ac:dyDescent="0.3">
      <c r="B1904">
        <v>190.1</v>
      </c>
      <c r="C1904" t="str">
        <f>IFERROR(VLOOKUP(B1904,'Pre-Summary'!$DI$6:$DM$23,4,FALSE),"")</f>
        <v/>
      </c>
      <c r="D1904" s="10" t="str">
        <f>IFERROR(VLOOKUP(B1904,'Pre-Summary'!$AT$6:$AX$14,5,FALSE),D1903)</f>
        <v>Wolfe v3: went back to modified wolfe + EDTA and switched CuSO4 to CUCl2</v>
      </c>
      <c r="E1904" s="10" t="str">
        <f>IFERROR(VLOOKUP(B1904,'Pre-Summary'!$AT$6:$AX$15,4,FALSE),"")</f>
        <v/>
      </c>
      <c r="F1904">
        <f>IFERROR(VLOOKUP(B1904,'Pre-Summary'!$AL$6:$AQ$13,6,FALSE),F1903)</f>
        <v>5.9405263157894746E-2</v>
      </c>
      <c r="G1904" t="str">
        <f>IFERROR(VLOOKUP(B1904,'Pre-Summary'!$AE$6:$AJ$85,3,FALSE),"")</f>
        <v/>
      </c>
      <c r="H1904" t="str">
        <f>IFERROR(VLOOKUP(B1904,'Pre-Summary'!$AE$6:$AJ$85,4,FALSE),"")</f>
        <v/>
      </c>
      <c r="I1904" t="str">
        <f>IFERROR(VLOOKUP(B1904,'Pre-Summary'!$AE$6:$AJ$85,5,FALSE),"")</f>
        <v/>
      </c>
      <c r="J1904" s="45" t="str">
        <f>IFERROR(VLOOKUP(B1904,'Pre-Summary'!$AE$6:$AJ$85,6, FALSE),"")</f>
        <v/>
      </c>
      <c r="K1904" s="45" t="str">
        <f>IFERROR(VLOOKUP(B1904,'Pre-Summary'!$DE$6:$DG$61,3,FALSE),"")</f>
        <v/>
      </c>
      <c r="L1904" s="45" t="str">
        <f>IFERROR(VLOOKUP(B1904,'Pre-Summary'!$CU$6:$CW$36,3,FALSE),"")</f>
        <v/>
      </c>
      <c r="M1904" s="45" t="str">
        <f>IFERROR(VLOOKUP(B1904,'Pre-Summary'!$BW$6:$BY$58,2,FALSE),"")</f>
        <v/>
      </c>
      <c r="N1904" s="45" t="str">
        <f>IFERROR(VLOOKUP(B1904,'Pre-Summary'!$CD$6:$CF$64,2,FALSE),"")</f>
        <v/>
      </c>
      <c r="O1904" s="99">
        <f>IFERROR(VLOOKUP(B1904,'Pre-Summary'!$BO$6:$BQ$48,3, FALSE),O1903)</f>
        <v>1.3480000000000001</v>
      </c>
      <c r="P1904" s="99">
        <f>IFERROR(VLOOKUP(B1904,'Pre-Summary'!$BS$6:$BU$35,3,FALSE),P1903)</f>
        <v>0.33700000000000002</v>
      </c>
      <c r="Q1904" s="54">
        <f t="shared" si="87"/>
        <v>4</v>
      </c>
      <c r="R1904" s="53">
        <f>IFERROR(VLOOKUP(B1904,'Pre-Summary'!$BG$6:$BM$44,7,FALSE),R1905)</f>
        <v>6.3359901615733558E-2</v>
      </c>
      <c r="S1904" s="53">
        <f>IFERROR(VLOOKUP(B1904,'Pre-Summary'!$BG$6:$BM$44,6,FALSE),S1905)</f>
        <v>9.0755969483796467E-2</v>
      </c>
      <c r="T1904" s="45" t="str">
        <f>IFERROR(VLOOKUP(B1904,'Pre-Summary'!$Y$6:$AC$83, 3,FALSE),"")</f>
        <v/>
      </c>
      <c r="U1904" s="45" t="str">
        <f>IFERROR(VLOOKUP(B1904,'Pre-Summary'!$Y$6:$AC$83, 4,FALSE),"")</f>
        <v/>
      </c>
      <c r="V1904" t="str">
        <f>IFERROR(VLOOKUP(B1904,'Pre-Summary'!$Y$6:$AC$83, 5,FALSE),"")</f>
        <v/>
      </c>
      <c r="W1904" s="45" t="str">
        <f>IFERROR(VLOOKUP(B1904,'Pre-Summary'!$Y$6:$AD$83,6,FALSE),"")</f>
        <v/>
      </c>
      <c r="X1904" t="str">
        <f>IFERROR(VLOOKUP('Pre-Summary'!$DB$6:$DD$63,3,FALSE),"")</f>
        <v/>
      </c>
      <c r="Y1904" t="str">
        <f>IFERROR(VLOOKUP(B1904,'Pre-Summary'!$CR$6:$CT$36,3,FALSE),"")</f>
        <v/>
      </c>
      <c r="Z1904" s="45" t="str">
        <f>IFERROR(VLOOKUP(B1904,'Pre-Summary'!$BZ$6:$CB$63,2,FALSE),"")</f>
        <v/>
      </c>
      <c r="AA1904" s="45" t="str">
        <f>IFERROR(VLOOKUP(B1904,'Pre-Summary'!$CG$6:$CI$70,2,FALSE),"")</f>
        <v/>
      </c>
      <c r="AB1904" s="99">
        <f>IFERROR(VLOOKUP(B1904,'Pre-Summary'!$A$6:$P$178,9,FALSE),AB1905)</f>
        <v>0.31918922872137928</v>
      </c>
      <c r="AC1904" s="10">
        <f>IFERROR(VLOOKUP(Summary!B1904,'Pre-Summary'!$A$6:$P$184,5, FALSE)/100,AC1905)</f>
        <v>0.95474533333333322</v>
      </c>
      <c r="AD1904" s="10">
        <f>IFERROR(VLOOKUP(Summary!B1904,'Pre-Summary'!$A$6:$P$184,3, FALSE)/100,AD1905)</f>
        <v>2.9022000000000003E-2</v>
      </c>
      <c r="AE1904" s="10">
        <f>IFERROR(VLOOKUP(Summary!B1904,'Pre-Summary'!$A$6:$P$184,7, FALSE)/100,AE1905)</f>
        <v>1.6232666666666666E-2</v>
      </c>
      <c r="AF1904" s="99">
        <f t="shared" si="88"/>
        <v>9.26350979595187E-3</v>
      </c>
      <c r="AG1904" s="99">
        <f t="shared" si="89"/>
        <v>5.1812923534245757E-3</v>
      </c>
      <c r="AH1904" s="10" t="str">
        <f>IFERROR(VLOOKUP(B1904,'Pre-Summary'!$AZ$6:$BE$65,3,FALSE),"")</f>
        <v/>
      </c>
      <c r="AI1904" s="10" t="str">
        <f>IFERROR(VLOOKUP(B1904,'Pre-Summary'!$AZ$6:$BE$65,5,FALSE),"")</f>
        <v/>
      </c>
      <c r="AJ1904" s="10" t="str">
        <f>IFERROR(VLOOKUP(B1904,'Pre-Summary'!$AZ$6:$BE$65,4,FALSE),"")</f>
        <v/>
      </c>
      <c r="AK1904" s="10" t="str">
        <f>IFERROR(VLOOKUP(B1904,'Pre-Summary'!$AZ$6:$BE$65,6,FALSE),"")</f>
        <v/>
      </c>
      <c r="AL1904" s="10" t="str">
        <f>IFERROR(VLOOKUP(B1904,'Pre-Summary'!$BG$6:$BL$44,3,FALSE),"")</f>
        <v/>
      </c>
      <c r="AM1904" s="10" t="str">
        <f>IFERROR(VLOOKUP(B1904,'Pre-Summary'!$BG$6:$BL$44,4,FALSE),"")</f>
        <v/>
      </c>
    </row>
    <row r="1905" spans="2:39" ht="15" customHeight="1" x14ac:dyDescent="0.3">
      <c r="B1905">
        <v>190.2</v>
      </c>
      <c r="C1905" t="str">
        <f>IFERROR(VLOOKUP(B1905,'Pre-Summary'!$DI$6:$DM$23,4,FALSE),"")</f>
        <v/>
      </c>
      <c r="D1905" s="10" t="str">
        <f>IFERROR(VLOOKUP(B1905,'Pre-Summary'!$AT$6:$AX$14,5,FALSE),D1904)</f>
        <v>Wolfe v3: went back to modified wolfe + EDTA and switched CuSO4 to CUCl2</v>
      </c>
      <c r="E1905" s="10" t="str">
        <f>IFERROR(VLOOKUP(B1905,'Pre-Summary'!$AT$6:$AX$15,4,FALSE),"")</f>
        <v/>
      </c>
      <c r="F1905">
        <f>IFERROR(VLOOKUP(B1905,'Pre-Summary'!$AL$6:$AQ$13,6,FALSE),F1904)</f>
        <v>5.9405263157894746E-2</v>
      </c>
      <c r="G1905" t="str">
        <f>IFERROR(VLOOKUP(B1905,'Pre-Summary'!$AE$6:$AJ$85,3,FALSE),"")</f>
        <v/>
      </c>
      <c r="H1905" t="str">
        <f>IFERROR(VLOOKUP(B1905,'Pre-Summary'!$AE$6:$AJ$85,4,FALSE),"")</f>
        <v/>
      </c>
      <c r="I1905" t="str">
        <f>IFERROR(VLOOKUP(B1905,'Pre-Summary'!$AE$6:$AJ$85,5,FALSE),"")</f>
        <v/>
      </c>
      <c r="J1905" s="45" t="str">
        <f>IFERROR(VLOOKUP(B1905,'Pre-Summary'!$AE$6:$AJ$85,6, FALSE),"")</f>
        <v/>
      </c>
      <c r="K1905" s="45" t="str">
        <f>IFERROR(VLOOKUP(B1905,'Pre-Summary'!$DE$6:$DG$61,3,FALSE),"")</f>
        <v/>
      </c>
      <c r="L1905" s="45" t="str">
        <f>IFERROR(VLOOKUP(B1905,'Pre-Summary'!$CU$6:$CW$36,3,FALSE),"")</f>
        <v/>
      </c>
      <c r="M1905" s="45" t="str">
        <f>IFERROR(VLOOKUP(B1905,'Pre-Summary'!$BW$6:$BY$58,2,FALSE),"")</f>
        <v/>
      </c>
      <c r="N1905" s="45" t="str">
        <f>IFERROR(VLOOKUP(B1905,'Pre-Summary'!$CD$6:$CF$64,2,FALSE),"")</f>
        <v/>
      </c>
      <c r="O1905" s="99">
        <f>IFERROR(VLOOKUP(B1905,'Pre-Summary'!$BO$6:$BQ$48,3, FALSE),O1904)</f>
        <v>1.3480000000000001</v>
      </c>
      <c r="P1905" s="99">
        <f>IFERROR(VLOOKUP(B1905,'Pre-Summary'!$BS$6:$BU$35,3,FALSE),P1904)</f>
        <v>0.33700000000000002</v>
      </c>
      <c r="Q1905" s="54">
        <f t="shared" si="87"/>
        <v>4</v>
      </c>
      <c r="R1905" s="53">
        <f>IFERROR(VLOOKUP(B1905,'Pre-Summary'!$BG$6:$BM$44,7,FALSE),R1906)</f>
        <v>6.3359901615733558E-2</v>
      </c>
      <c r="S1905" s="53">
        <f>IFERROR(VLOOKUP(B1905,'Pre-Summary'!$BG$6:$BM$44,6,FALSE),S1906)</f>
        <v>9.0755969483796467E-2</v>
      </c>
      <c r="T1905" s="45" t="str">
        <f>IFERROR(VLOOKUP(B1905,'Pre-Summary'!$Y$6:$AC$83, 3,FALSE),"")</f>
        <v/>
      </c>
      <c r="U1905" s="45" t="str">
        <f>IFERROR(VLOOKUP(B1905,'Pre-Summary'!$Y$6:$AC$83, 4,FALSE),"")</f>
        <v/>
      </c>
      <c r="V1905" t="str">
        <f>IFERROR(VLOOKUP(B1905,'Pre-Summary'!$Y$6:$AC$83, 5,FALSE),"")</f>
        <v/>
      </c>
      <c r="W1905" s="45" t="str">
        <f>IFERROR(VLOOKUP(B1905,'Pre-Summary'!$Y$6:$AD$83,6,FALSE),"")</f>
        <v/>
      </c>
      <c r="X1905" t="str">
        <f>IFERROR(VLOOKUP('Pre-Summary'!$DB$6:$DD$63,3,FALSE),"")</f>
        <v/>
      </c>
      <c r="Y1905" t="str">
        <f>IFERROR(VLOOKUP(B1905,'Pre-Summary'!$CR$6:$CT$36,3,FALSE),"")</f>
        <v/>
      </c>
      <c r="Z1905" s="45" t="str">
        <f>IFERROR(VLOOKUP(B1905,'Pre-Summary'!$BZ$6:$CB$63,2,FALSE),"")</f>
        <v/>
      </c>
      <c r="AA1905" s="45" t="str">
        <f>IFERROR(VLOOKUP(B1905,'Pre-Summary'!$CG$6:$CI$70,2,FALSE),"")</f>
        <v/>
      </c>
      <c r="AB1905" s="99">
        <f>IFERROR(VLOOKUP(B1905,'Pre-Summary'!$A$6:$P$178,9,FALSE),AB1906)</f>
        <v>0.31918922872137928</v>
      </c>
      <c r="AC1905" s="10">
        <f>IFERROR(VLOOKUP(Summary!B1905,'Pre-Summary'!$A$6:$P$184,5, FALSE)/100,AC1906)</f>
        <v>0.95474533333333322</v>
      </c>
      <c r="AD1905" s="10">
        <f>IFERROR(VLOOKUP(Summary!B1905,'Pre-Summary'!$A$6:$P$184,3, FALSE)/100,AD1906)</f>
        <v>2.9022000000000003E-2</v>
      </c>
      <c r="AE1905" s="10">
        <f>IFERROR(VLOOKUP(Summary!B1905,'Pre-Summary'!$A$6:$P$184,7, FALSE)/100,AE1906)</f>
        <v>1.6232666666666666E-2</v>
      </c>
      <c r="AF1905" s="99">
        <f t="shared" si="88"/>
        <v>9.26350979595187E-3</v>
      </c>
      <c r="AG1905" s="99">
        <f t="shared" si="89"/>
        <v>5.1812923534245757E-3</v>
      </c>
      <c r="AH1905" s="10" t="str">
        <f>IFERROR(VLOOKUP(B1905,'Pre-Summary'!$AZ$6:$BE$65,3,FALSE),"")</f>
        <v/>
      </c>
      <c r="AI1905" s="10" t="str">
        <f>IFERROR(VLOOKUP(B1905,'Pre-Summary'!$AZ$6:$BE$65,5,FALSE),"")</f>
        <v/>
      </c>
      <c r="AJ1905" s="10" t="str">
        <f>IFERROR(VLOOKUP(B1905,'Pre-Summary'!$AZ$6:$BE$65,4,FALSE),"")</f>
        <v/>
      </c>
      <c r="AK1905" s="10" t="str">
        <f>IFERROR(VLOOKUP(B1905,'Pre-Summary'!$AZ$6:$BE$65,6,FALSE),"")</f>
        <v/>
      </c>
      <c r="AL1905" s="10" t="str">
        <f>IFERROR(VLOOKUP(B1905,'Pre-Summary'!$BG$6:$BL$44,3,FALSE),"")</f>
        <v/>
      </c>
      <c r="AM1905" s="10" t="str">
        <f>IFERROR(VLOOKUP(B1905,'Pre-Summary'!$BG$6:$BL$44,4,FALSE),"")</f>
        <v/>
      </c>
    </row>
    <row r="1906" spans="2:39" ht="15" customHeight="1" x14ac:dyDescent="0.3">
      <c r="B1906">
        <v>190.3</v>
      </c>
      <c r="C1906" t="str">
        <f>IFERROR(VLOOKUP(B1906,'Pre-Summary'!$DI$6:$DM$23,4,FALSE),"")</f>
        <v/>
      </c>
      <c r="D1906" s="10" t="str">
        <f>IFERROR(VLOOKUP(B1906,'Pre-Summary'!$AT$6:$AX$14,5,FALSE),D1905)</f>
        <v>Wolfe v3: went back to modified wolfe + EDTA and switched CuSO4 to CUCl2</v>
      </c>
      <c r="E1906" s="10" t="str">
        <f>IFERROR(VLOOKUP(B1906,'Pre-Summary'!$AT$6:$AX$15,4,FALSE),"")</f>
        <v/>
      </c>
      <c r="F1906">
        <f>IFERROR(VLOOKUP(B1906,'Pre-Summary'!$AL$6:$AQ$13,6,FALSE),F1905)</f>
        <v>5.9405263157894746E-2</v>
      </c>
      <c r="G1906" t="str">
        <f>IFERROR(VLOOKUP(B1906,'Pre-Summary'!$AE$6:$AJ$85,3,FALSE),"")</f>
        <v/>
      </c>
      <c r="H1906" t="str">
        <f>IFERROR(VLOOKUP(B1906,'Pre-Summary'!$AE$6:$AJ$85,4,FALSE),"")</f>
        <v/>
      </c>
      <c r="I1906" t="str">
        <f>IFERROR(VLOOKUP(B1906,'Pre-Summary'!$AE$6:$AJ$85,5,FALSE),"")</f>
        <v/>
      </c>
      <c r="J1906" s="45" t="str">
        <f>IFERROR(VLOOKUP(B1906,'Pre-Summary'!$AE$6:$AJ$85,6, FALSE),"")</f>
        <v/>
      </c>
      <c r="K1906" s="45" t="str">
        <f>IFERROR(VLOOKUP(B1906,'Pre-Summary'!$DE$6:$DG$61,3,FALSE),"")</f>
        <v/>
      </c>
      <c r="L1906" s="45" t="str">
        <f>IFERROR(VLOOKUP(B1906,'Pre-Summary'!$CU$6:$CW$36,3,FALSE),"")</f>
        <v/>
      </c>
      <c r="M1906" s="45" t="str">
        <f>IFERROR(VLOOKUP(B1906,'Pre-Summary'!$BW$6:$BY$58,2,FALSE),"")</f>
        <v/>
      </c>
      <c r="N1906" s="45" t="str">
        <f>IFERROR(VLOOKUP(B1906,'Pre-Summary'!$CD$6:$CF$64,2,FALSE),"")</f>
        <v/>
      </c>
      <c r="O1906" s="99">
        <f>IFERROR(VLOOKUP(B1906,'Pre-Summary'!$BO$6:$BQ$48,3, FALSE),O1905)</f>
        <v>1.3480000000000001</v>
      </c>
      <c r="P1906" s="99">
        <f>IFERROR(VLOOKUP(B1906,'Pre-Summary'!$BS$6:$BU$35,3,FALSE),P1905)</f>
        <v>0.33700000000000002</v>
      </c>
      <c r="Q1906" s="54">
        <f t="shared" si="87"/>
        <v>4</v>
      </c>
      <c r="R1906" s="53">
        <f>IFERROR(VLOOKUP(B1906,'Pre-Summary'!$BG$6:$BM$44,7,FALSE),R1907)</f>
        <v>6.3359901615733558E-2</v>
      </c>
      <c r="S1906" s="53">
        <f>IFERROR(VLOOKUP(B1906,'Pre-Summary'!$BG$6:$BM$44,6,FALSE),S1907)</f>
        <v>9.0755969483796467E-2</v>
      </c>
      <c r="T1906" s="45" t="str">
        <f>IFERROR(VLOOKUP(B1906,'Pre-Summary'!$Y$6:$AC$83, 3,FALSE),"")</f>
        <v/>
      </c>
      <c r="U1906" s="45" t="str">
        <f>IFERROR(VLOOKUP(B1906,'Pre-Summary'!$Y$6:$AC$83, 4,FALSE),"")</f>
        <v/>
      </c>
      <c r="V1906" t="str">
        <f>IFERROR(VLOOKUP(B1906,'Pre-Summary'!$Y$6:$AC$83, 5,FALSE),"")</f>
        <v/>
      </c>
      <c r="W1906" s="45" t="str">
        <f>IFERROR(VLOOKUP(B1906,'Pre-Summary'!$Y$6:$AD$83,6,FALSE),"")</f>
        <v/>
      </c>
      <c r="X1906" t="str">
        <f>IFERROR(VLOOKUP('Pre-Summary'!$DB$6:$DD$63,3,FALSE),"")</f>
        <v/>
      </c>
      <c r="Y1906" t="str">
        <f>IFERROR(VLOOKUP(B1906,'Pre-Summary'!$CR$6:$CT$36,3,FALSE),"")</f>
        <v/>
      </c>
      <c r="Z1906" s="45" t="str">
        <f>IFERROR(VLOOKUP(B1906,'Pre-Summary'!$BZ$6:$CB$63,2,FALSE),"")</f>
        <v/>
      </c>
      <c r="AA1906" s="45" t="str">
        <f>IFERROR(VLOOKUP(B1906,'Pre-Summary'!$CG$6:$CI$70,2,FALSE),"")</f>
        <v/>
      </c>
      <c r="AB1906" s="99">
        <f>IFERROR(VLOOKUP(B1906,'Pre-Summary'!$A$6:$P$178,9,FALSE),AB1907)</f>
        <v>0.31918922872137928</v>
      </c>
      <c r="AC1906" s="10">
        <f>IFERROR(VLOOKUP(Summary!B1906,'Pre-Summary'!$A$6:$P$184,5, FALSE)/100,AC1907)</f>
        <v>0.95474533333333322</v>
      </c>
      <c r="AD1906" s="10">
        <f>IFERROR(VLOOKUP(Summary!B1906,'Pre-Summary'!$A$6:$P$184,3, FALSE)/100,AD1907)</f>
        <v>2.9022000000000003E-2</v>
      </c>
      <c r="AE1906" s="10">
        <f>IFERROR(VLOOKUP(Summary!B1906,'Pre-Summary'!$A$6:$P$184,7, FALSE)/100,AE1907)</f>
        <v>1.6232666666666666E-2</v>
      </c>
      <c r="AF1906" s="99">
        <f t="shared" si="88"/>
        <v>9.26350979595187E-3</v>
      </c>
      <c r="AG1906" s="99">
        <f t="shared" si="89"/>
        <v>5.1812923534245757E-3</v>
      </c>
      <c r="AH1906" s="10" t="str">
        <f>IFERROR(VLOOKUP(B1906,'Pre-Summary'!$AZ$6:$BE$65,3,FALSE),"")</f>
        <v/>
      </c>
      <c r="AI1906" s="10" t="str">
        <f>IFERROR(VLOOKUP(B1906,'Pre-Summary'!$AZ$6:$BE$65,5,FALSE),"")</f>
        <v/>
      </c>
      <c r="AJ1906" s="10" t="str">
        <f>IFERROR(VLOOKUP(B1906,'Pre-Summary'!$AZ$6:$BE$65,4,FALSE),"")</f>
        <v/>
      </c>
      <c r="AK1906" s="10" t="str">
        <f>IFERROR(VLOOKUP(B1906,'Pre-Summary'!$AZ$6:$BE$65,6,FALSE),"")</f>
        <v/>
      </c>
      <c r="AL1906" s="10" t="str">
        <f>IFERROR(VLOOKUP(B1906,'Pre-Summary'!$BG$6:$BL$44,3,FALSE),"")</f>
        <v/>
      </c>
      <c r="AM1906" s="10" t="str">
        <f>IFERROR(VLOOKUP(B1906,'Pre-Summary'!$BG$6:$BL$44,4,FALSE),"")</f>
        <v/>
      </c>
    </row>
    <row r="1907" spans="2:39" ht="15" customHeight="1" x14ac:dyDescent="0.3">
      <c r="B1907">
        <v>190.4</v>
      </c>
      <c r="C1907" t="str">
        <f>IFERROR(VLOOKUP(B1907,'Pre-Summary'!$DI$6:$DM$23,4,FALSE),"")</f>
        <v/>
      </c>
      <c r="D1907" s="10" t="str">
        <f>IFERROR(VLOOKUP(B1907,'Pre-Summary'!$AT$6:$AX$14,5,FALSE),D1906)</f>
        <v>Wolfe v3: went back to modified wolfe + EDTA and switched CuSO4 to CUCl2</v>
      </c>
      <c r="E1907" s="10" t="str">
        <f>IFERROR(VLOOKUP(B1907,'Pre-Summary'!$AT$6:$AX$15,4,FALSE),"")</f>
        <v/>
      </c>
      <c r="F1907">
        <f>IFERROR(VLOOKUP(B1907,'Pre-Summary'!$AL$6:$AQ$13,6,FALSE),F1906)</f>
        <v>5.9405263157894746E-2</v>
      </c>
      <c r="G1907" t="str">
        <f>IFERROR(VLOOKUP(B1907,'Pre-Summary'!$AE$6:$AJ$85,3,FALSE),"")</f>
        <v/>
      </c>
      <c r="H1907" t="str">
        <f>IFERROR(VLOOKUP(B1907,'Pre-Summary'!$AE$6:$AJ$85,4,FALSE),"")</f>
        <v/>
      </c>
      <c r="I1907" t="str">
        <f>IFERROR(VLOOKUP(B1907,'Pre-Summary'!$AE$6:$AJ$85,5,FALSE),"")</f>
        <v/>
      </c>
      <c r="J1907" s="45" t="str">
        <f>IFERROR(VLOOKUP(B1907,'Pre-Summary'!$AE$6:$AJ$85,6, FALSE),"")</f>
        <v/>
      </c>
      <c r="K1907" s="45" t="str">
        <f>IFERROR(VLOOKUP(B1907,'Pre-Summary'!$DE$6:$DG$61,3,FALSE),"")</f>
        <v/>
      </c>
      <c r="L1907" s="45" t="str">
        <f>IFERROR(VLOOKUP(B1907,'Pre-Summary'!$CU$6:$CW$36,3,FALSE),"")</f>
        <v/>
      </c>
      <c r="M1907" s="45" t="str">
        <f>IFERROR(VLOOKUP(B1907,'Pre-Summary'!$BW$6:$BY$58,2,FALSE),"")</f>
        <v/>
      </c>
      <c r="N1907" s="45" t="str">
        <f>IFERROR(VLOOKUP(B1907,'Pre-Summary'!$CD$6:$CF$64,2,FALSE),"")</f>
        <v/>
      </c>
      <c r="O1907" s="99">
        <f>IFERROR(VLOOKUP(B1907,'Pre-Summary'!$BO$6:$BQ$48,3, FALSE),O1906)</f>
        <v>1.3480000000000001</v>
      </c>
      <c r="P1907" s="99">
        <f>IFERROR(VLOOKUP(B1907,'Pre-Summary'!$BS$6:$BU$35,3,FALSE),P1906)</f>
        <v>0.33700000000000002</v>
      </c>
      <c r="Q1907" s="54">
        <f t="shared" si="87"/>
        <v>4</v>
      </c>
      <c r="R1907" s="53">
        <f>IFERROR(VLOOKUP(B1907,'Pre-Summary'!$BG$6:$BM$44,7,FALSE),R1908)</f>
        <v>6.3359901615733558E-2</v>
      </c>
      <c r="S1907" s="53">
        <f>IFERROR(VLOOKUP(B1907,'Pre-Summary'!$BG$6:$BM$44,6,FALSE),S1908)</f>
        <v>9.0755969483796467E-2</v>
      </c>
      <c r="T1907" s="45" t="str">
        <f>IFERROR(VLOOKUP(B1907,'Pre-Summary'!$Y$6:$AC$83, 3,FALSE),"")</f>
        <v/>
      </c>
      <c r="U1907" s="45" t="str">
        <f>IFERROR(VLOOKUP(B1907,'Pre-Summary'!$Y$6:$AC$83, 4,FALSE),"")</f>
        <v/>
      </c>
      <c r="V1907" t="str">
        <f>IFERROR(VLOOKUP(B1907,'Pre-Summary'!$Y$6:$AC$83, 5,FALSE),"")</f>
        <v/>
      </c>
      <c r="W1907" s="45" t="str">
        <f>IFERROR(VLOOKUP(B1907,'Pre-Summary'!$Y$6:$AD$83,6,FALSE),"")</f>
        <v/>
      </c>
      <c r="X1907" t="str">
        <f>IFERROR(VLOOKUP('Pre-Summary'!$DB$6:$DD$63,3,FALSE),"")</f>
        <v/>
      </c>
      <c r="Y1907" t="str">
        <f>IFERROR(VLOOKUP(B1907,'Pre-Summary'!$CR$6:$CT$36,3,FALSE),"")</f>
        <v/>
      </c>
      <c r="Z1907" s="45" t="str">
        <f>IFERROR(VLOOKUP(B1907,'Pre-Summary'!$BZ$6:$CB$63,2,FALSE),"")</f>
        <v/>
      </c>
      <c r="AA1907" s="45" t="str">
        <f>IFERROR(VLOOKUP(B1907,'Pre-Summary'!$CG$6:$CI$70,2,FALSE),"")</f>
        <v/>
      </c>
      <c r="AB1907" s="99">
        <f>IFERROR(VLOOKUP(B1907,'Pre-Summary'!$A$6:$P$178,9,FALSE),AB1908)</f>
        <v>0.31918922872137928</v>
      </c>
      <c r="AC1907" s="10">
        <f>IFERROR(VLOOKUP(Summary!B1907,'Pre-Summary'!$A$6:$P$184,5, FALSE)/100,AC1908)</f>
        <v>0.95474533333333322</v>
      </c>
      <c r="AD1907" s="10">
        <f>IFERROR(VLOOKUP(Summary!B1907,'Pre-Summary'!$A$6:$P$184,3, FALSE)/100,AD1908)</f>
        <v>2.9022000000000003E-2</v>
      </c>
      <c r="AE1907" s="10">
        <f>IFERROR(VLOOKUP(Summary!B1907,'Pre-Summary'!$A$6:$P$184,7, FALSE)/100,AE1908)</f>
        <v>1.6232666666666666E-2</v>
      </c>
      <c r="AF1907" s="99">
        <f t="shared" si="88"/>
        <v>9.26350979595187E-3</v>
      </c>
      <c r="AG1907" s="99">
        <f t="shared" si="89"/>
        <v>5.1812923534245757E-3</v>
      </c>
      <c r="AH1907" s="10" t="str">
        <f>IFERROR(VLOOKUP(B1907,'Pre-Summary'!$AZ$6:$BE$65,3,FALSE),"")</f>
        <v/>
      </c>
      <c r="AI1907" s="10" t="str">
        <f>IFERROR(VLOOKUP(B1907,'Pre-Summary'!$AZ$6:$BE$65,5,FALSE),"")</f>
        <v/>
      </c>
      <c r="AJ1907" s="10" t="str">
        <f>IFERROR(VLOOKUP(B1907,'Pre-Summary'!$AZ$6:$BE$65,4,FALSE),"")</f>
        <v/>
      </c>
      <c r="AK1907" s="10" t="str">
        <f>IFERROR(VLOOKUP(B1907,'Pre-Summary'!$AZ$6:$BE$65,6,FALSE),"")</f>
        <v/>
      </c>
      <c r="AL1907" s="10" t="str">
        <f>IFERROR(VLOOKUP(B1907,'Pre-Summary'!$BG$6:$BL$44,3,FALSE),"")</f>
        <v/>
      </c>
      <c r="AM1907" s="10" t="str">
        <f>IFERROR(VLOOKUP(B1907,'Pre-Summary'!$BG$6:$BL$44,4,FALSE),"")</f>
        <v/>
      </c>
    </row>
    <row r="1908" spans="2:39" ht="15" customHeight="1" x14ac:dyDescent="0.3">
      <c r="B1908">
        <v>190.5</v>
      </c>
      <c r="C1908" t="str">
        <f>IFERROR(VLOOKUP(B1908,'Pre-Summary'!$DI$6:$DM$23,4,FALSE),"")</f>
        <v/>
      </c>
      <c r="D1908" s="10" t="str">
        <f>IFERROR(VLOOKUP(B1908,'Pre-Summary'!$AT$6:$AX$14,5,FALSE),D1907)</f>
        <v>Wolfe v3: went back to modified wolfe + EDTA and switched CuSO4 to CUCl2</v>
      </c>
      <c r="E1908" s="10" t="str">
        <f>IFERROR(VLOOKUP(B1908,'Pre-Summary'!$AT$6:$AX$15,4,FALSE),"")</f>
        <v/>
      </c>
      <c r="F1908">
        <f>IFERROR(VLOOKUP(B1908,'Pre-Summary'!$AL$6:$AQ$13,6,FALSE),F1907)</f>
        <v>5.9405263157894746E-2</v>
      </c>
      <c r="G1908">
        <f>IFERROR(VLOOKUP(B1908,'Pre-Summary'!$AE$6:$AJ$85,3,FALSE),"")</f>
        <v>113.86969999999999</v>
      </c>
      <c r="H1908" t="str">
        <f>IFERROR(VLOOKUP(B1908,'Pre-Summary'!$AE$6:$AJ$85,4,FALSE),"")</f>
        <v/>
      </c>
      <c r="I1908" t="str">
        <f>IFERROR(VLOOKUP(B1908,'Pre-Summary'!$AE$6:$AJ$85,5,FALSE),"")</f>
        <v/>
      </c>
      <c r="J1908" s="45">
        <f>IFERROR(VLOOKUP(B1908,'Pre-Summary'!$AE$6:$AJ$85,6, FALSE),"")</f>
        <v>121.49896989999999</v>
      </c>
      <c r="K1908" s="45" t="str">
        <f>IFERROR(VLOOKUP(B1908,'Pre-Summary'!$DE$6:$DG$61,3,FALSE),"")</f>
        <v/>
      </c>
      <c r="L1908" s="45" t="str">
        <f>IFERROR(VLOOKUP(B1908,'Pre-Summary'!$CU$6:$CW$36,3,FALSE),"")</f>
        <v/>
      </c>
      <c r="M1908" s="45" t="str">
        <f>IFERROR(VLOOKUP(B1908,'Pre-Summary'!$BW$6:$BY$58,2,FALSE),"")</f>
        <v/>
      </c>
      <c r="N1908" s="45">
        <f>IFERROR(VLOOKUP(B1908,'Pre-Summary'!$CD$6:$CF$64,2,FALSE),"")</f>
        <v>202.39334657147518</v>
      </c>
      <c r="O1908" s="99">
        <f>IFERROR(VLOOKUP(B1908,'Pre-Summary'!$BO$6:$BQ$48,3, FALSE),O1907)</f>
        <v>1.3480000000000001</v>
      </c>
      <c r="P1908" s="99">
        <f>IFERROR(VLOOKUP(B1908,'Pre-Summary'!$BS$6:$BU$35,3,FALSE),P1907)</f>
        <v>0.33700000000000002</v>
      </c>
      <c r="Q1908" s="54">
        <f t="shared" si="87"/>
        <v>4</v>
      </c>
      <c r="R1908" s="53">
        <f>IFERROR(VLOOKUP(B1908,'Pre-Summary'!$BG$6:$BM$44,7,FALSE),R1909)</f>
        <v>6.3359901615733558E-2</v>
      </c>
      <c r="S1908" s="53">
        <f>IFERROR(VLOOKUP(B1908,'Pre-Summary'!$BG$6:$BM$44,6,FALSE),S1909)</f>
        <v>9.0755969483796467E-2</v>
      </c>
      <c r="T1908" s="45">
        <f>IFERROR(VLOOKUP(B1908,'Pre-Summary'!$Y$6:$AC$83, 3,FALSE),"")</f>
        <v>6.9628860000000001</v>
      </c>
      <c r="U1908" s="45">
        <f>IFERROR(VLOOKUP(B1908,'Pre-Summary'!$Y$6:$AC$83, 4,FALSE),"")</f>
        <v>4.284281</v>
      </c>
      <c r="V1908" t="str">
        <f>IFERROR(VLOOKUP(B1908,'Pre-Summary'!$Y$6:$AC$83, 5,FALSE),"")</f>
        <v/>
      </c>
      <c r="W1908" s="45">
        <f>IFERROR(VLOOKUP(B1908,'Pre-Summary'!$Y$6:$AD$83,6,FALSE),"")</f>
        <v>7.4293993619999998</v>
      </c>
      <c r="X1908" t="str">
        <f>IFERROR(VLOOKUP('Pre-Summary'!$DB$6:$DD$63,3,FALSE),"")</f>
        <v/>
      </c>
      <c r="Y1908" t="str">
        <f>IFERROR(VLOOKUP(B1908,'Pre-Summary'!$CR$6:$CT$36,3,FALSE),"")</f>
        <v/>
      </c>
      <c r="Z1908" s="45" t="str">
        <f>IFERROR(VLOOKUP(B1908,'Pre-Summary'!$BZ$6:$CB$63,2,FALSE),"")</f>
        <v/>
      </c>
      <c r="AA1908" s="45" t="str">
        <f>IFERROR(VLOOKUP(B1908,'Pre-Summary'!$CG$6:$CI$70,2,FALSE),"")</f>
        <v/>
      </c>
      <c r="AB1908" s="99">
        <f>IFERROR(VLOOKUP(B1908,'Pre-Summary'!$A$6:$P$178,9,FALSE),AB1909)</f>
        <v>0.31918922872137928</v>
      </c>
      <c r="AC1908" s="10">
        <f>IFERROR(VLOOKUP(Summary!B1908,'Pre-Summary'!$A$6:$P$184,5, FALSE)/100,AC1909)</f>
        <v>0.95474533333333322</v>
      </c>
      <c r="AD1908" s="10">
        <f>IFERROR(VLOOKUP(Summary!B1908,'Pre-Summary'!$A$6:$P$184,3, FALSE)/100,AD1909)</f>
        <v>2.9022000000000003E-2</v>
      </c>
      <c r="AE1908" s="10">
        <f>IFERROR(VLOOKUP(Summary!B1908,'Pre-Summary'!$A$6:$P$184,7, FALSE)/100,AE1909)</f>
        <v>1.6232666666666666E-2</v>
      </c>
      <c r="AF1908" s="99">
        <f t="shared" si="88"/>
        <v>9.26350979595187E-3</v>
      </c>
      <c r="AG1908" s="99">
        <f t="shared" si="89"/>
        <v>5.1812923534245757E-3</v>
      </c>
      <c r="AH1908" s="10" t="str">
        <f>IFERROR(VLOOKUP(B1908,'Pre-Summary'!$AZ$6:$BE$65,3,FALSE),"")</f>
        <v/>
      </c>
      <c r="AI1908" s="10" t="str">
        <f>IFERROR(VLOOKUP(B1908,'Pre-Summary'!$AZ$6:$BE$65,5,FALSE),"")</f>
        <v/>
      </c>
      <c r="AJ1908" s="10" t="str">
        <f>IFERROR(VLOOKUP(B1908,'Pre-Summary'!$AZ$6:$BE$65,4,FALSE),"")</f>
        <v/>
      </c>
      <c r="AK1908" s="10" t="str">
        <f>IFERROR(VLOOKUP(B1908,'Pre-Summary'!$AZ$6:$BE$65,6,FALSE),"")</f>
        <v/>
      </c>
      <c r="AL1908" s="10" t="str">
        <f>IFERROR(VLOOKUP(B1908,'Pre-Summary'!$BG$6:$BL$44,3,FALSE),"")</f>
        <v/>
      </c>
      <c r="AM1908" s="10" t="str">
        <f>IFERROR(VLOOKUP(B1908,'Pre-Summary'!$BG$6:$BL$44,4,FALSE),"")</f>
        <v/>
      </c>
    </row>
    <row r="1909" spans="2:39" ht="15" customHeight="1" x14ac:dyDescent="0.3">
      <c r="B1909">
        <v>190.6</v>
      </c>
      <c r="C1909" t="str">
        <f>IFERROR(VLOOKUP(B1909,'Pre-Summary'!$DI$6:$DM$23,4,FALSE),"")</f>
        <v/>
      </c>
      <c r="D1909" s="10" t="str">
        <f>IFERROR(VLOOKUP(B1909,'Pre-Summary'!$AT$6:$AX$14,5,FALSE),D1908)</f>
        <v>Wolfe v3: went back to modified wolfe + EDTA and switched CuSO4 to CUCl2</v>
      </c>
      <c r="E1909" s="10" t="str">
        <f>IFERROR(VLOOKUP(B1909,'Pre-Summary'!$AT$6:$AX$15,4,FALSE),"")</f>
        <v/>
      </c>
      <c r="F1909">
        <f>IFERROR(VLOOKUP(B1909,'Pre-Summary'!$AL$6:$AQ$13,6,FALSE),F1908)</f>
        <v>5.9405263157894746E-2</v>
      </c>
      <c r="G1909" t="str">
        <f>IFERROR(VLOOKUP(B1909,'Pre-Summary'!$AE$6:$AJ$85,3,FALSE),"")</f>
        <v/>
      </c>
      <c r="H1909" t="str">
        <f>IFERROR(VLOOKUP(B1909,'Pre-Summary'!$AE$6:$AJ$85,4,FALSE),"")</f>
        <v/>
      </c>
      <c r="I1909" t="str">
        <f>IFERROR(VLOOKUP(B1909,'Pre-Summary'!$AE$6:$AJ$85,5,FALSE),"")</f>
        <v/>
      </c>
      <c r="J1909" s="45" t="str">
        <f>IFERROR(VLOOKUP(B1909,'Pre-Summary'!$AE$6:$AJ$85,6, FALSE),"")</f>
        <v/>
      </c>
      <c r="K1909" s="45" t="str">
        <f>IFERROR(VLOOKUP(B1909,'Pre-Summary'!$DE$6:$DG$61,3,FALSE),"")</f>
        <v/>
      </c>
      <c r="L1909" s="45" t="str">
        <f>IFERROR(VLOOKUP(B1909,'Pre-Summary'!$CU$6:$CW$36,3,FALSE),"")</f>
        <v/>
      </c>
      <c r="M1909" s="45" t="str">
        <f>IFERROR(VLOOKUP(B1909,'Pre-Summary'!$BW$6:$BY$58,2,FALSE),"")</f>
        <v/>
      </c>
      <c r="N1909" s="45" t="str">
        <f>IFERROR(VLOOKUP(B1909,'Pre-Summary'!$CD$6:$CF$64,2,FALSE),"")</f>
        <v/>
      </c>
      <c r="O1909" s="99">
        <f>IFERROR(VLOOKUP(B1909,'Pre-Summary'!$BO$6:$BQ$48,3, FALSE),O1908)</f>
        <v>1.3480000000000001</v>
      </c>
      <c r="P1909" s="99">
        <f>IFERROR(VLOOKUP(B1909,'Pre-Summary'!$BS$6:$BU$35,3,FALSE),P1908)</f>
        <v>0.33700000000000002</v>
      </c>
      <c r="Q1909" s="54">
        <f t="shared" si="87"/>
        <v>4</v>
      </c>
      <c r="R1909" s="53">
        <f>IFERROR(VLOOKUP(B1909,'Pre-Summary'!$BG$6:$BM$44,7,FALSE),R1910)</f>
        <v>6.3359901615733558E-2</v>
      </c>
      <c r="S1909" s="53">
        <f>IFERROR(VLOOKUP(B1909,'Pre-Summary'!$BG$6:$BM$44,6,FALSE),S1910)</f>
        <v>9.0755969483796467E-2</v>
      </c>
      <c r="T1909" s="45" t="str">
        <f>IFERROR(VLOOKUP(B1909,'Pre-Summary'!$Y$6:$AC$83, 3,FALSE),"")</f>
        <v/>
      </c>
      <c r="U1909" s="45" t="str">
        <f>IFERROR(VLOOKUP(B1909,'Pre-Summary'!$Y$6:$AC$83, 4,FALSE),"")</f>
        <v/>
      </c>
      <c r="V1909" t="str">
        <f>IFERROR(VLOOKUP(B1909,'Pre-Summary'!$Y$6:$AC$83, 5,FALSE),"")</f>
        <v/>
      </c>
      <c r="W1909" s="45" t="str">
        <f>IFERROR(VLOOKUP(B1909,'Pre-Summary'!$Y$6:$AD$83,6,FALSE),"")</f>
        <v/>
      </c>
      <c r="X1909" t="str">
        <f>IFERROR(VLOOKUP('Pre-Summary'!$DB$6:$DD$63,3,FALSE),"")</f>
        <v/>
      </c>
      <c r="Y1909" t="str">
        <f>IFERROR(VLOOKUP(B1909,'Pre-Summary'!$CR$6:$CT$36,3,FALSE),"")</f>
        <v/>
      </c>
      <c r="Z1909" s="45" t="str">
        <f>IFERROR(VLOOKUP(B1909,'Pre-Summary'!$BZ$6:$CB$63,2,FALSE),"")</f>
        <v/>
      </c>
      <c r="AA1909" s="45" t="str">
        <f>IFERROR(VLOOKUP(B1909,'Pre-Summary'!$CG$6:$CI$70,2,FALSE),"")</f>
        <v/>
      </c>
      <c r="AB1909" s="99">
        <f>IFERROR(VLOOKUP(B1909,'Pre-Summary'!$A$6:$P$178,9,FALSE),AB1910)</f>
        <v>0.31918922872137928</v>
      </c>
      <c r="AC1909" s="10">
        <f>IFERROR(VLOOKUP(Summary!B1909,'Pre-Summary'!$A$6:$P$184,5, FALSE)/100,AC1910)</f>
        <v>0.95474533333333322</v>
      </c>
      <c r="AD1909" s="10">
        <f>IFERROR(VLOOKUP(Summary!B1909,'Pre-Summary'!$A$6:$P$184,3, FALSE)/100,AD1910)</f>
        <v>2.9022000000000003E-2</v>
      </c>
      <c r="AE1909" s="10">
        <f>IFERROR(VLOOKUP(Summary!B1909,'Pre-Summary'!$A$6:$P$184,7, FALSE)/100,AE1910)</f>
        <v>1.6232666666666666E-2</v>
      </c>
      <c r="AF1909" s="99">
        <f t="shared" si="88"/>
        <v>9.26350979595187E-3</v>
      </c>
      <c r="AG1909" s="99">
        <f t="shared" si="89"/>
        <v>5.1812923534245757E-3</v>
      </c>
      <c r="AH1909" s="10" t="str">
        <f>IFERROR(VLOOKUP(B1909,'Pre-Summary'!$AZ$6:$BE$65,3,FALSE),"")</f>
        <v/>
      </c>
      <c r="AI1909" s="10" t="str">
        <f>IFERROR(VLOOKUP(B1909,'Pre-Summary'!$AZ$6:$BE$65,5,FALSE),"")</f>
        <v/>
      </c>
      <c r="AJ1909" s="10" t="str">
        <f>IFERROR(VLOOKUP(B1909,'Pre-Summary'!$AZ$6:$BE$65,4,FALSE),"")</f>
        <v/>
      </c>
      <c r="AK1909" s="10" t="str">
        <f>IFERROR(VLOOKUP(B1909,'Pre-Summary'!$AZ$6:$BE$65,6,FALSE),"")</f>
        <v/>
      </c>
      <c r="AL1909" s="10" t="str">
        <f>IFERROR(VLOOKUP(B1909,'Pre-Summary'!$BG$6:$BL$44,3,FALSE),"")</f>
        <v/>
      </c>
      <c r="AM1909" s="10" t="str">
        <f>IFERROR(VLOOKUP(B1909,'Pre-Summary'!$BG$6:$BL$44,4,FALSE),"")</f>
        <v/>
      </c>
    </row>
    <row r="1910" spans="2:39" ht="15" customHeight="1" x14ac:dyDescent="0.3">
      <c r="B1910">
        <v>190.7</v>
      </c>
      <c r="C1910" t="str">
        <f>IFERROR(VLOOKUP(B1910,'Pre-Summary'!$DI$6:$DM$23,4,FALSE),"")</f>
        <v/>
      </c>
      <c r="D1910" s="10" t="str">
        <f>IFERROR(VLOOKUP(B1910,'Pre-Summary'!$AT$6:$AX$14,5,FALSE),D1909)</f>
        <v>Wolfe v3: went back to modified wolfe + EDTA and switched CuSO4 to CUCl2</v>
      </c>
      <c r="E1910" s="10" t="str">
        <f>IFERROR(VLOOKUP(B1910,'Pre-Summary'!$AT$6:$AX$15,4,FALSE),"")</f>
        <v/>
      </c>
      <c r="F1910">
        <f>IFERROR(VLOOKUP(B1910,'Pre-Summary'!$AL$6:$AQ$13,6,FALSE),F1909)</f>
        <v>5.9405263157894746E-2</v>
      </c>
      <c r="G1910" t="str">
        <f>IFERROR(VLOOKUP(B1910,'Pre-Summary'!$AE$6:$AJ$85,3,FALSE),"")</f>
        <v/>
      </c>
      <c r="H1910" t="str">
        <f>IFERROR(VLOOKUP(B1910,'Pre-Summary'!$AE$6:$AJ$85,4,FALSE),"")</f>
        <v/>
      </c>
      <c r="I1910" t="str">
        <f>IFERROR(VLOOKUP(B1910,'Pre-Summary'!$AE$6:$AJ$85,5,FALSE),"")</f>
        <v/>
      </c>
      <c r="J1910" s="45" t="str">
        <f>IFERROR(VLOOKUP(B1910,'Pre-Summary'!$AE$6:$AJ$85,6, FALSE),"")</f>
        <v/>
      </c>
      <c r="K1910" s="45" t="str">
        <f>IFERROR(VLOOKUP(B1910,'Pre-Summary'!$DE$6:$DG$61,3,FALSE),"")</f>
        <v/>
      </c>
      <c r="L1910" s="45" t="str">
        <f>IFERROR(VLOOKUP(B1910,'Pre-Summary'!$CU$6:$CW$36,3,FALSE),"")</f>
        <v/>
      </c>
      <c r="M1910" s="45" t="str">
        <f>IFERROR(VLOOKUP(B1910,'Pre-Summary'!$BW$6:$BY$58,2,FALSE),"")</f>
        <v/>
      </c>
      <c r="N1910" s="45" t="str">
        <f>IFERROR(VLOOKUP(B1910,'Pre-Summary'!$CD$6:$CF$64,2,FALSE),"")</f>
        <v/>
      </c>
      <c r="O1910" s="99">
        <f>IFERROR(VLOOKUP(B1910,'Pre-Summary'!$BO$6:$BQ$48,3, FALSE),O1909)</f>
        <v>1.3480000000000001</v>
      </c>
      <c r="P1910" s="99">
        <f>IFERROR(VLOOKUP(B1910,'Pre-Summary'!$BS$6:$BU$35,3,FALSE),P1909)</f>
        <v>0.33700000000000002</v>
      </c>
      <c r="Q1910" s="54">
        <f t="shared" si="87"/>
        <v>4</v>
      </c>
      <c r="R1910" s="53">
        <f>IFERROR(VLOOKUP(B1910,'Pre-Summary'!$BG$6:$BM$44,7,FALSE),R1911)</f>
        <v>6.3359901615733558E-2</v>
      </c>
      <c r="S1910" s="53">
        <f>IFERROR(VLOOKUP(B1910,'Pre-Summary'!$BG$6:$BM$44,6,FALSE),S1911)</f>
        <v>9.0755969483796467E-2</v>
      </c>
      <c r="T1910" s="45" t="str">
        <f>IFERROR(VLOOKUP(B1910,'Pre-Summary'!$Y$6:$AC$83, 3,FALSE),"")</f>
        <v/>
      </c>
      <c r="U1910" s="45" t="str">
        <f>IFERROR(VLOOKUP(B1910,'Pre-Summary'!$Y$6:$AC$83, 4,FALSE),"")</f>
        <v/>
      </c>
      <c r="V1910" t="str">
        <f>IFERROR(VLOOKUP(B1910,'Pre-Summary'!$Y$6:$AC$83, 5,FALSE),"")</f>
        <v/>
      </c>
      <c r="W1910" s="45" t="str">
        <f>IFERROR(VLOOKUP(B1910,'Pre-Summary'!$Y$6:$AD$83,6,FALSE),"")</f>
        <v/>
      </c>
      <c r="X1910" t="str">
        <f>IFERROR(VLOOKUP('Pre-Summary'!$DB$6:$DD$63,3,FALSE),"")</f>
        <v/>
      </c>
      <c r="Y1910" t="str">
        <f>IFERROR(VLOOKUP(B1910,'Pre-Summary'!$CR$6:$CT$36,3,FALSE),"")</f>
        <v/>
      </c>
      <c r="Z1910" s="45" t="str">
        <f>IFERROR(VLOOKUP(B1910,'Pre-Summary'!$BZ$6:$CB$63,2,FALSE),"")</f>
        <v/>
      </c>
      <c r="AA1910" s="45" t="str">
        <f>IFERROR(VLOOKUP(B1910,'Pre-Summary'!$CG$6:$CI$70,2,FALSE),"")</f>
        <v/>
      </c>
      <c r="AB1910" s="99">
        <f>IFERROR(VLOOKUP(B1910,'Pre-Summary'!$A$6:$P$178,9,FALSE),AB1911)</f>
        <v>0.31918922872137928</v>
      </c>
      <c r="AC1910" s="10">
        <f>IFERROR(VLOOKUP(Summary!B1910,'Pre-Summary'!$A$6:$P$184,5, FALSE)/100,AC1911)</f>
        <v>0.95474533333333322</v>
      </c>
      <c r="AD1910" s="10">
        <f>IFERROR(VLOOKUP(Summary!B1910,'Pre-Summary'!$A$6:$P$184,3, FALSE)/100,AD1911)</f>
        <v>2.9022000000000003E-2</v>
      </c>
      <c r="AE1910" s="10">
        <f>IFERROR(VLOOKUP(Summary!B1910,'Pre-Summary'!$A$6:$P$184,7, FALSE)/100,AE1911)</f>
        <v>1.6232666666666666E-2</v>
      </c>
      <c r="AF1910" s="99">
        <f t="shared" si="88"/>
        <v>9.26350979595187E-3</v>
      </c>
      <c r="AG1910" s="99">
        <f t="shared" si="89"/>
        <v>5.1812923534245757E-3</v>
      </c>
      <c r="AH1910" s="10" t="str">
        <f>IFERROR(VLOOKUP(B1910,'Pre-Summary'!$AZ$6:$BE$65,3,FALSE),"")</f>
        <v/>
      </c>
      <c r="AI1910" s="10" t="str">
        <f>IFERROR(VLOOKUP(B1910,'Pre-Summary'!$AZ$6:$BE$65,5,FALSE),"")</f>
        <v/>
      </c>
      <c r="AJ1910" s="10" t="str">
        <f>IFERROR(VLOOKUP(B1910,'Pre-Summary'!$AZ$6:$BE$65,4,FALSE),"")</f>
        <v/>
      </c>
      <c r="AK1910" s="10" t="str">
        <f>IFERROR(VLOOKUP(B1910,'Pre-Summary'!$AZ$6:$BE$65,6,FALSE),"")</f>
        <v/>
      </c>
      <c r="AL1910" s="10" t="str">
        <f>IFERROR(VLOOKUP(B1910,'Pre-Summary'!$BG$6:$BL$44,3,FALSE),"")</f>
        <v/>
      </c>
      <c r="AM1910" s="10" t="str">
        <f>IFERROR(VLOOKUP(B1910,'Pre-Summary'!$BG$6:$BL$44,4,FALSE),"")</f>
        <v/>
      </c>
    </row>
    <row r="1911" spans="2:39" ht="15" customHeight="1" x14ac:dyDescent="0.3">
      <c r="B1911">
        <v>190.8</v>
      </c>
      <c r="C1911" t="str">
        <f>IFERROR(VLOOKUP(B1911,'Pre-Summary'!$DI$6:$DM$23,4,FALSE),"")</f>
        <v/>
      </c>
      <c r="D1911" s="10" t="str">
        <f>IFERROR(VLOOKUP(B1911,'Pre-Summary'!$AT$6:$AX$14,5,FALSE),D1910)</f>
        <v>Wolfe v3: went back to modified wolfe + EDTA and switched CuSO4 to CUCl2</v>
      </c>
      <c r="E1911" s="10" t="str">
        <f>IFERROR(VLOOKUP(B1911,'Pre-Summary'!$AT$6:$AX$15,4,FALSE),"")</f>
        <v/>
      </c>
      <c r="F1911">
        <f>IFERROR(VLOOKUP(B1911,'Pre-Summary'!$AL$6:$AQ$13,6,FALSE),F1910)</f>
        <v>5.9405263157894746E-2</v>
      </c>
      <c r="G1911" t="str">
        <f>IFERROR(VLOOKUP(B1911,'Pre-Summary'!$AE$6:$AJ$85,3,FALSE),"")</f>
        <v/>
      </c>
      <c r="H1911" t="str">
        <f>IFERROR(VLOOKUP(B1911,'Pre-Summary'!$AE$6:$AJ$85,4,FALSE),"")</f>
        <v/>
      </c>
      <c r="I1911" t="str">
        <f>IFERROR(VLOOKUP(B1911,'Pre-Summary'!$AE$6:$AJ$85,5,FALSE),"")</f>
        <v/>
      </c>
      <c r="J1911" s="45" t="str">
        <f>IFERROR(VLOOKUP(B1911,'Pre-Summary'!$AE$6:$AJ$85,6, FALSE),"")</f>
        <v/>
      </c>
      <c r="K1911" s="45" t="str">
        <f>IFERROR(VLOOKUP(B1911,'Pre-Summary'!$DE$6:$DG$61,3,FALSE),"")</f>
        <v/>
      </c>
      <c r="L1911" s="45" t="str">
        <f>IFERROR(VLOOKUP(B1911,'Pre-Summary'!$CU$6:$CW$36,3,FALSE),"")</f>
        <v/>
      </c>
      <c r="M1911" s="45" t="str">
        <f>IFERROR(VLOOKUP(B1911,'Pre-Summary'!$BW$6:$BY$58,2,FALSE),"")</f>
        <v/>
      </c>
      <c r="N1911" s="45" t="str">
        <f>IFERROR(VLOOKUP(B1911,'Pre-Summary'!$CD$6:$CF$64,2,FALSE),"")</f>
        <v/>
      </c>
      <c r="O1911" s="99">
        <f>IFERROR(VLOOKUP(B1911,'Pre-Summary'!$BO$6:$BQ$48,3, FALSE),O1910)</f>
        <v>1.3480000000000001</v>
      </c>
      <c r="P1911" s="99">
        <f>IFERROR(VLOOKUP(B1911,'Pre-Summary'!$BS$6:$BU$35,3,FALSE),P1910)</f>
        <v>0.33700000000000002</v>
      </c>
      <c r="Q1911" s="54">
        <f t="shared" si="87"/>
        <v>4</v>
      </c>
      <c r="R1911" s="53">
        <f>IFERROR(VLOOKUP(B1911,'Pre-Summary'!$BG$6:$BM$44,7,FALSE),R1912)</f>
        <v>6.3359901615733558E-2</v>
      </c>
      <c r="S1911" s="53">
        <f>IFERROR(VLOOKUP(B1911,'Pre-Summary'!$BG$6:$BM$44,6,FALSE),S1912)</f>
        <v>9.0755969483796467E-2</v>
      </c>
      <c r="T1911" s="45" t="str">
        <f>IFERROR(VLOOKUP(B1911,'Pre-Summary'!$Y$6:$AC$83, 3,FALSE),"")</f>
        <v/>
      </c>
      <c r="U1911" s="45" t="str">
        <f>IFERROR(VLOOKUP(B1911,'Pre-Summary'!$Y$6:$AC$83, 4,FALSE),"")</f>
        <v/>
      </c>
      <c r="V1911" t="str">
        <f>IFERROR(VLOOKUP(B1911,'Pre-Summary'!$Y$6:$AC$83, 5,FALSE),"")</f>
        <v/>
      </c>
      <c r="W1911" s="45" t="str">
        <f>IFERROR(VLOOKUP(B1911,'Pre-Summary'!$Y$6:$AD$83,6,FALSE),"")</f>
        <v/>
      </c>
      <c r="X1911" t="str">
        <f>IFERROR(VLOOKUP('Pre-Summary'!$DB$6:$DD$63,3,FALSE),"")</f>
        <v/>
      </c>
      <c r="Y1911" t="str">
        <f>IFERROR(VLOOKUP(B1911,'Pre-Summary'!$CR$6:$CT$36,3,FALSE),"")</f>
        <v/>
      </c>
      <c r="Z1911" s="45" t="str">
        <f>IFERROR(VLOOKUP(B1911,'Pre-Summary'!$BZ$6:$CB$63,2,FALSE),"")</f>
        <v/>
      </c>
      <c r="AA1911" s="45" t="str">
        <f>IFERROR(VLOOKUP(B1911,'Pre-Summary'!$CG$6:$CI$70,2,FALSE),"")</f>
        <v/>
      </c>
      <c r="AB1911" s="99">
        <f>IFERROR(VLOOKUP(B1911,'Pre-Summary'!$A$6:$P$178,9,FALSE),AB1912)</f>
        <v>0.31918922872137928</v>
      </c>
      <c r="AC1911" s="10">
        <f>IFERROR(VLOOKUP(Summary!B1911,'Pre-Summary'!$A$6:$P$184,5, FALSE)/100,AC1912)</f>
        <v>0.95474533333333322</v>
      </c>
      <c r="AD1911" s="10">
        <f>IFERROR(VLOOKUP(Summary!B1911,'Pre-Summary'!$A$6:$P$184,3, FALSE)/100,AD1912)</f>
        <v>2.9022000000000003E-2</v>
      </c>
      <c r="AE1911" s="10">
        <f>IFERROR(VLOOKUP(Summary!B1911,'Pre-Summary'!$A$6:$P$184,7, FALSE)/100,AE1912)</f>
        <v>1.6232666666666666E-2</v>
      </c>
      <c r="AF1911" s="99">
        <f t="shared" si="88"/>
        <v>9.26350979595187E-3</v>
      </c>
      <c r="AG1911" s="99">
        <f t="shared" si="89"/>
        <v>5.1812923534245757E-3</v>
      </c>
      <c r="AH1911" s="10" t="str">
        <f>IFERROR(VLOOKUP(B1911,'Pre-Summary'!$AZ$6:$BE$65,3,FALSE),"")</f>
        <v/>
      </c>
      <c r="AI1911" s="10" t="str">
        <f>IFERROR(VLOOKUP(B1911,'Pre-Summary'!$AZ$6:$BE$65,5,FALSE),"")</f>
        <v/>
      </c>
      <c r="AJ1911" s="10" t="str">
        <f>IFERROR(VLOOKUP(B1911,'Pre-Summary'!$AZ$6:$BE$65,4,FALSE),"")</f>
        <v/>
      </c>
      <c r="AK1911" s="10" t="str">
        <f>IFERROR(VLOOKUP(B1911,'Pre-Summary'!$AZ$6:$BE$65,6,FALSE),"")</f>
        <v/>
      </c>
      <c r="AL1911" s="10" t="str">
        <f>IFERROR(VLOOKUP(B1911,'Pre-Summary'!$BG$6:$BL$44,3,FALSE),"")</f>
        <v/>
      </c>
      <c r="AM1911" s="10" t="str">
        <f>IFERROR(VLOOKUP(B1911,'Pre-Summary'!$BG$6:$BL$44,4,FALSE),"")</f>
        <v/>
      </c>
    </row>
    <row r="1912" spans="2:39" ht="15" customHeight="1" x14ac:dyDescent="0.3">
      <c r="B1912">
        <v>190.9</v>
      </c>
      <c r="C1912" t="str">
        <f>IFERROR(VLOOKUP(B1912,'Pre-Summary'!$DI$6:$DM$23,4,FALSE),"")</f>
        <v/>
      </c>
      <c r="D1912" s="10" t="str">
        <f>IFERROR(VLOOKUP(B1912,'Pre-Summary'!$AT$6:$AX$14,5,FALSE),D1911)</f>
        <v>Wolfe v3: went back to modified wolfe + EDTA and switched CuSO4 to CUCl2</v>
      </c>
      <c r="E1912" s="10" t="str">
        <f>IFERROR(VLOOKUP(B1912,'Pre-Summary'!$AT$6:$AX$15,4,FALSE),"")</f>
        <v/>
      </c>
      <c r="F1912">
        <f>IFERROR(VLOOKUP(B1912,'Pre-Summary'!$AL$6:$AQ$13,6,FALSE),F1911)</f>
        <v>5.9405263157894746E-2</v>
      </c>
      <c r="G1912" t="str">
        <f>IFERROR(VLOOKUP(B1912,'Pre-Summary'!$AE$6:$AJ$85,3,FALSE),"")</f>
        <v/>
      </c>
      <c r="H1912" t="str">
        <f>IFERROR(VLOOKUP(B1912,'Pre-Summary'!$AE$6:$AJ$85,4,FALSE),"")</f>
        <v/>
      </c>
      <c r="I1912" t="str">
        <f>IFERROR(VLOOKUP(B1912,'Pre-Summary'!$AE$6:$AJ$85,5,FALSE),"")</f>
        <v/>
      </c>
      <c r="J1912" s="45" t="str">
        <f>IFERROR(VLOOKUP(B1912,'Pre-Summary'!$AE$6:$AJ$85,6, FALSE),"")</f>
        <v/>
      </c>
      <c r="K1912" s="45" t="str">
        <f>IFERROR(VLOOKUP(B1912,'Pre-Summary'!$DE$6:$DG$61,3,FALSE),"")</f>
        <v/>
      </c>
      <c r="L1912" s="45" t="str">
        <f>IFERROR(VLOOKUP(B1912,'Pre-Summary'!$CU$6:$CW$36,3,FALSE),"")</f>
        <v/>
      </c>
      <c r="M1912" s="45" t="str">
        <f>IFERROR(VLOOKUP(B1912,'Pre-Summary'!$BW$6:$BY$58,2,FALSE),"")</f>
        <v/>
      </c>
      <c r="N1912" s="45" t="str">
        <f>IFERROR(VLOOKUP(B1912,'Pre-Summary'!$CD$6:$CF$64,2,FALSE),"")</f>
        <v/>
      </c>
      <c r="O1912" s="99">
        <f>IFERROR(VLOOKUP(B1912,'Pre-Summary'!$BO$6:$BQ$48,3, FALSE),O1911)</f>
        <v>1.3480000000000001</v>
      </c>
      <c r="P1912" s="99">
        <f>IFERROR(VLOOKUP(B1912,'Pre-Summary'!$BS$6:$BU$35,3,FALSE),P1911)</f>
        <v>0.33700000000000002</v>
      </c>
      <c r="Q1912" s="54">
        <f t="shared" si="87"/>
        <v>4</v>
      </c>
      <c r="R1912" s="53">
        <f>IFERROR(VLOOKUP(B1912,'Pre-Summary'!$BG$6:$BM$44,7,FALSE),R1913)</f>
        <v>6.3359901615733558E-2</v>
      </c>
      <c r="S1912" s="53">
        <f>IFERROR(VLOOKUP(B1912,'Pre-Summary'!$BG$6:$BM$44,6,FALSE),S1913)</f>
        <v>9.0755969483796467E-2</v>
      </c>
      <c r="T1912" s="45" t="str">
        <f>IFERROR(VLOOKUP(B1912,'Pre-Summary'!$Y$6:$AC$83, 3,FALSE),"")</f>
        <v/>
      </c>
      <c r="U1912" s="45" t="str">
        <f>IFERROR(VLOOKUP(B1912,'Pre-Summary'!$Y$6:$AC$83, 4,FALSE),"")</f>
        <v/>
      </c>
      <c r="V1912" t="str">
        <f>IFERROR(VLOOKUP(B1912,'Pre-Summary'!$Y$6:$AC$83, 5,FALSE),"")</f>
        <v/>
      </c>
      <c r="W1912" s="45" t="str">
        <f>IFERROR(VLOOKUP(B1912,'Pre-Summary'!$Y$6:$AD$83,6,FALSE),"")</f>
        <v/>
      </c>
      <c r="X1912" t="str">
        <f>IFERROR(VLOOKUP('Pre-Summary'!$DB$6:$DD$63,3,FALSE),"")</f>
        <v/>
      </c>
      <c r="Y1912" t="str">
        <f>IFERROR(VLOOKUP(B1912,'Pre-Summary'!$CR$6:$CT$36,3,FALSE),"")</f>
        <v/>
      </c>
      <c r="Z1912" s="45" t="str">
        <f>IFERROR(VLOOKUP(B1912,'Pre-Summary'!$BZ$6:$CB$63,2,FALSE),"")</f>
        <v/>
      </c>
      <c r="AA1912" s="45" t="str">
        <f>IFERROR(VLOOKUP(B1912,'Pre-Summary'!$CG$6:$CI$70,2,FALSE),"")</f>
        <v/>
      </c>
      <c r="AB1912" s="99">
        <f>IFERROR(VLOOKUP(B1912,'Pre-Summary'!$A$6:$P$178,9,FALSE),AB1913)</f>
        <v>0.31918922872137928</v>
      </c>
      <c r="AC1912" s="10">
        <f>IFERROR(VLOOKUP(Summary!B1912,'Pre-Summary'!$A$6:$P$184,5, FALSE)/100,AC1913)</f>
        <v>0.95474533333333322</v>
      </c>
      <c r="AD1912" s="10">
        <f>IFERROR(VLOOKUP(Summary!B1912,'Pre-Summary'!$A$6:$P$184,3, FALSE)/100,AD1913)</f>
        <v>2.9022000000000003E-2</v>
      </c>
      <c r="AE1912" s="10">
        <f>IFERROR(VLOOKUP(Summary!B1912,'Pre-Summary'!$A$6:$P$184,7, FALSE)/100,AE1913)</f>
        <v>1.6232666666666666E-2</v>
      </c>
      <c r="AF1912" s="99">
        <f t="shared" si="88"/>
        <v>9.26350979595187E-3</v>
      </c>
      <c r="AG1912" s="99">
        <f t="shared" si="89"/>
        <v>5.1812923534245757E-3</v>
      </c>
      <c r="AH1912" s="10" t="str">
        <f>IFERROR(VLOOKUP(B1912,'Pre-Summary'!$AZ$6:$BE$65,3,FALSE),"")</f>
        <v/>
      </c>
      <c r="AI1912" s="10" t="str">
        <f>IFERROR(VLOOKUP(B1912,'Pre-Summary'!$AZ$6:$BE$65,5,FALSE),"")</f>
        <v/>
      </c>
      <c r="AJ1912" s="10" t="str">
        <f>IFERROR(VLOOKUP(B1912,'Pre-Summary'!$AZ$6:$BE$65,4,FALSE),"")</f>
        <v/>
      </c>
      <c r="AK1912" s="10" t="str">
        <f>IFERROR(VLOOKUP(B1912,'Pre-Summary'!$AZ$6:$BE$65,6,FALSE),"")</f>
        <v/>
      </c>
      <c r="AL1912" s="10" t="str">
        <f>IFERROR(VLOOKUP(B1912,'Pre-Summary'!$BG$6:$BL$44,3,FALSE),"")</f>
        <v/>
      </c>
      <c r="AM1912" s="10" t="str">
        <f>IFERROR(VLOOKUP(B1912,'Pre-Summary'!$BG$6:$BL$44,4,FALSE),"")</f>
        <v/>
      </c>
    </row>
    <row r="1913" spans="2:39" ht="15" customHeight="1" x14ac:dyDescent="0.3">
      <c r="B1913">
        <v>191</v>
      </c>
      <c r="C1913" t="str">
        <f>IFERROR(VLOOKUP(B1913,'Pre-Summary'!$DI$6:$DM$23,4,FALSE),"")</f>
        <v/>
      </c>
      <c r="D1913" s="10" t="str">
        <f>IFERROR(VLOOKUP(B1913,'Pre-Summary'!$AT$6:$AX$14,5,FALSE),D1912)</f>
        <v>Wolfe v3: went back to modified wolfe + EDTA and switched CuSO4 to CUCl2</v>
      </c>
      <c r="E1913" s="10" t="str">
        <f>IFERROR(VLOOKUP(B1913,'Pre-Summary'!$AT$6:$AX$15,4,FALSE),"")</f>
        <v/>
      </c>
      <c r="F1913">
        <f>IFERROR(VLOOKUP(B1913,'Pre-Summary'!$AL$6:$AQ$13,6,FALSE),F1912)</f>
        <v>5.9405263157894746E-2</v>
      </c>
      <c r="G1913" t="str">
        <f>IFERROR(VLOOKUP(B1913,'Pre-Summary'!$AE$6:$AJ$85,3,FALSE),"")</f>
        <v/>
      </c>
      <c r="H1913" t="str">
        <f>IFERROR(VLOOKUP(B1913,'Pre-Summary'!$AE$6:$AJ$85,4,FALSE),"")</f>
        <v/>
      </c>
      <c r="I1913" t="str">
        <f>IFERROR(VLOOKUP(B1913,'Pre-Summary'!$AE$6:$AJ$85,5,FALSE),"")</f>
        <v/>
      </c>
      <c r="J1913" s="45" t="str">
        <f>IFERROR(VLOOKUP(B1913,'Pre-Summary'!$AE$6:$AJ$85,6, FALSE),"")</f>
        <v/>
      </c>
      <c r="K1913" s="45">
        <f>IFERROR(VLOOKUP(B1913,'Pre-Summary'!$DE$6:$DG$61,3,FALSE),"")</f>
        <v>338</v>
      </c>
      <c r="L1913" s="45" t="str">
        <f>IFERROR(VLOOKUP(B1913,'Pre-Summary'!$CU$6:$CW$36,3,FALSE),"")</f>
        <v/>
      </c>
      <c r="M1913" s="45">
        <f>IFERROR(VLOOKUP(B1913,'Pre-Summary'!$BW$6:$BY$58,2,FALSE),"")</f>
        <v>4.3015481749792874</v>
      </c>
      <c r="N1913" s="45" t="str">
        <f>IFERROR(VLOOKUP(B1913,'Pre-Summary'!$CD$6:$CF$64,2,FALSE),"")</f>
        <v/>
      </c>
      <c r="O1913" s="99">
        <f>IFERROR(VLOOKUP(B1913,'Pre-Summary'!$BO$6:$BQ$48,3, FALSE),O1912)</f>
        <v>1.3480000000000001</v>
      </c>
      <c r="P1913" s="99">
        <f>IFERROR(VLOOKUP(B1913,'Pre-Summary'!$BS$6:$BU$35,3,FALSE),P1912)</f>
        <v>0.33700000000000002</v>
      </c>
      <c r="Q1913" s="54">
        <f t="shared" si="87"/>
        <v>4</v>
      </c>
      <c r="R1913" s="53">
        <f>IFERROR(VLOOKUP(B1913,'Pre-Summary'!$BG$6:$BM$44,7,FALSE),R1914)</f>
        <v>6.3359901615733558E-2</v>
      </c>
      <c r="S1913" s="53">
        <f>IFERROR(VLOOKUP(B1913,'Pre-Summary'!$BG$6:$BM$44,6,FALSE),S1914)</f>
        <v>9.0755969483796467E-2</v>
      </c>
      <c r="T1913" s="45" t="str">
        <f>IFERROR(VLOOKUP(B1913,'Pre-Summary'!$Y$6:$AC$83, 3,FALSE),"")</f>
        <v/>
      </c>
      <c r="U1913" s="45" t="str">
        <f>IFERROR(VLOOKUP(B1913,'Pre-Summary'!$Y$6:$AC$83, 4,FALSE),"")</f>
        <v/>
      </c>
      <c r="V1913" t="str">
        <f>IFERROR(VLOOKUP(B1913,'Pre-Summary'!$Y$6:$AC$83, 5,FALSE),"")</f>
        <v/>
      </c>
      <c r="W1913" s="45" t="str">
        <f>IFERROR(VLOOKUP(B1913,'Pre-Summary'!$Y$6:$AD$83,6,FALSE),"")</f>
        <v/>
      </c>
      <c r="X1913" t="str">
        <f>IFERROR(VLOOKUP('Pre-Summary'!$DB$6:$DD$63,3,FALSE),"")</f>
        <v/>
      </c>
      <c r="Y1913" t="str">
        <f>IFERROR(VLOOKUP(B1913,'Pre-Summary'!$CR$6:$CT$36,3,FALSE),"")</f>
        <v/>
      </c>
      <c r="Z1913" s="45">
        <f>IFERROR(VLOOKUP(B1913,'Pre-Summary'!$BZ$6:$CB$63,2,FALSE),"")</f>
        <v>17.995872161990921</v>
      </c>
      <c r="AA1913" s="45">
        <f>IFERROR(VLOOKUP(B1913,'Pre-Summary'!$CG$6:$CI$70,2,FALSE),"")</f>
        <v>180.23955507348975</v>
      </c>
      <c r="AB1913" s="99">
        <f>IFERROR(VLOOKUP(B1913,'Pre-Summary'!$A$6:$P$178,9,FALSE),AB1914)</f>
        <v>0.29626780772112643</v>
      </c>
      <c r="AC1913" s="10">
        <f>IFERROR(VLOOKUP(Summary!B1913,'Pre-Summary'!$A$6:$P$184,5, FALSE)/100,AC1914)</f>
        <v>0.95596300000000001</v>
      </c>
      <c r="AD1913" s="10">
        <f>IFERROR(VLOOKUP(Summary!B1913,'Pre-Summary'!$A$6:$P$184,3, FALSE)/100,AD1914)</f>
        <v>3.0977333333333336E-2</v>
      </c>
      <c r="AE1913" s="10">
        <f>IFERROR(VLOOKUP(Summary!B1913,'Pre-Summary'!$A$6:$P$184,7, FALSE)/100,AE1914)</f>
        <v>1.3059666666666667E-2</v>
      </c>
      <c r="AF1913" s="99">
        <f t="shared" si="88"/>
        <v>9.1775866357132405E-3</v>
      </c>
      <c r="AG1913" s="99">
        <f t="shared" si="89"/>
        <v>3.8691588129020045E-3</v>
      </c>
      <c r="AH1913" s="10" t="str">
        <f>IFERROR(VLOOKUP(B1913,'Pre-Summary'!$AZ$6:$BE$65,3,FALSE),"")</f>
        <v/>
      </c>
      <c r="AI1913" s="10" t="str">
        <f>IFERROR(VLOOKUP(B1913,'Pre-Summary'!$AZ$6:$BE$65,5,FALSE),"")</f>
        <v/>
      </c>
      <c r="AJ1913" s="10" t="str">
        <f>IFERROR(VLOOKUP(B1913,'Pre-Summary'!$AZ$6:$BE$65,4,FALSE),"")</f>
        <v/>
      </c>
      <c r="AK1913" s="10" t="str">
        <f>IFERROR(VLOOKUP(B1913,'Pre-Summary'!$AZ$6:$BE$65,6,FALSE),"")</f>
        <v/>
      </c>
      <c r="AL1913" s="10" t="str">
        <f>IFERROR(VLOOKUP(B1913,'Pre-Summary'!$BG$6:$BL$44,3,FALSE),"")</f>
        <v/>
      </c>
      <c r="AM1913" s="10" t="str">
        <f>IFERROR(VLOOKUP(B1913,'Pre-Summary'!$BG$6:$BL$44,4,FALSE),"")</f>
        <v/>
      </c>
    </row>
    <row r="1914" spans="2:39" ht="15" customHeight="1" x14ac:dyDescent="0.3">
      <c r="B1914">
        <v>191.1</v>
      </c>
      <c r="C1914" t="str">
        <f>IFERROR(VLOOKUP(B1914,'Pre-Summary'!$DI$6:$DM$23,4,FALSE),"")</f>
        <v/>
      </c>
      <c r="D1914" s="10" t="str">
        <f>IFERROR(VLOOKUP(B1914,'Pre-Summary'!$AT$6:$AX$14,5,FALSE),D1913)</f>
        <v>Wolfe v3: went back to modified wolfe + EDTA and switched CuSO4 to CUCl2</v>
      </c>
      <c r="E1914" s="10" t="str">
        <f>IFERROR(VLOOKUP(B1914,'Pre-Summary'!$AT$6:$AX$15,4,FALSE),"")</f>
        <v/>
      </c>
      <c r="F1914">
        <f>IFERROR(VLOOKUP(B1914,'Pre-Summary'!$AL$6:$AQ$13,6,FALSE),F1913)</f>
        <v>5.9405263157894746E-2</v>
      </c>
      <c r="G1914" t="str">
        <f>IFERROR(VLOOKUP(B1914,'Pre-Summary'!$AE$6:$AJ$85,3,FALSE),"")</f>
        <v/>
      </c>
      <c r="H1914" t="str">
        <f>IFERROR(VLOOKUP(B1914,'Pre-Summary'!$AE$6:$AJ$85,4,FALSE),"")</f>
        <v/>
      </c>
      <c r="I1914" t="str">
        <f>IFERROR(VLOOKUP(B1914,'Pre-Summary'!$AE$6:$AJ$85,5,FALSE),"")</f>
        <v/>
      </c>
      <c r="J1914" s="45" t="str">
        <f>IFERROR(VLOOKUP(B1914,'Pre-Summary'!$AE$6:$AJ$85,6, FALSE),"")</f>
        <v/>
      </c>
      <c r="K1914" s="45" t="str">
        <f>IFERROR(VLOOKUP(B1914,'Pre-Summary'!$DE$6:$DG$61,3,FALSE),"")</f>
        <v/>
      </c>
      <c r="L1914" s="45" t="str">
        <f>IFERROR(VLOOKUP(B1914,'Pre-Summary'!$CU$6:$CW$36,3,FALSE),"")</f>
        <v/>
      </c>
      <c r="M1914" s="45" t="str">
        <f>IFERROR(VLOOKUP(B1914,'Pre-Summary'!$BW$6:$BY$58,2,FALSE),"")</f>
        <v/>
      </c>
      <c r="N1914" s="45" t="str">
        <f>IFERROR(VLOOKUP(B1914,'Pre-Summary'!$CD$6:$CF$64,2,FALSE),"")</f>
        <v/>
      </c>
      <c r="O1914" s="99">
        <f>IFERROR(VLOOKUP(B1914,'Pre-Summary'!$BO$6:$BQ$48,3, FALSE),O1913)</f>
        <v>1.3480000000000001</v>
      </c>
      <c r="P1914" s="99">
        <f>IFERROR(VLOOKUP(B1914,'Pre-Summary'!$BS$6:$BU$35,3,FALSE),P1913)</f>
        <v>0.33700000000000002</v>
      </c>
      <c r="Q1914" s="54">
        <f t="shared" si="87"/>
        <v>4</v>
      </c>
      <c r="R1914" s="53">
        <f>IFERROR(VLOOKUP(B1914,'Pre-Summary'!$BG$6:$BM$44,7,FALSE),R1915)</f>
        <v>6.3359901615733558E-2</v>
      </c>
      <c r="S1914" s="53">
        <f>IFERROR(VLOOKUP(B1914,'Pre-Summary'!$BG$6:$BM$44,6,FALSE),S1915)</f>
        <v>9.0755969483796467E-2</v>
      </c>
      <c r="T1914" s="45" t="str">
        <f>IFERROR(VLOOKUP(B1914,'Pre-Summary'!$Y$6:$AC$83, 3,FALSE),"")</f>
        <v/>
      </c>
      <c r="U1914" s="45" t="str">
        <f>IFERROR(VLOOKUP(B1914,'Pre-Summary'!$Y$6:$AC$83, 4,FALSE),"")</f>
        <v/>
      </c>
      <c r="V1914" t="str">
        <f>IFERROR(VLOOKUP(B1914,'Pre-Summary'!$Y$6:$AC$83, 5,FALSE),"")</f>
        <v/>
      </c>
      <c r="W1914" s="45" t="str">
        <f>IFERROR(VLOOKUP(B1914,'Pre-Summary'!$Y$6:$AD$83,6,FALSE),"")</f>
        <v/>
      </c>
      <c r="X1914" t="str">
        <f>IFERROR(VLOOKUP('Pre-Summary'!$DB$6:$DD$63,3,FALSE),"")</f>
        <v/>
      </c>
      <c r="Y1914" t="str">
        <f>IFERROR(VLOOKUP(B1914,'Pre-Summary'!$CR$6:$CT$36,3,FALSE),"")</f>
        <v/>
      </c>
      <c r="Z1914" s="45" t="str">
        <f>IFERROR(VLOOKUP(B1914,'Pre-Summary'!$BZ$6:$CB$63,2,FALSE),"")</f>
        <v/>
      </c>
      <c r="AA1914" s="45" t="str">
        <f>IFERROR(VLOOKUP(B1914,'Pre-Summary'!$CG$6:$CI$70,2,FALSE),"")</f>
        <v/>
      </c>
      <c r="AB1914" s="99">
        <f>IFERROR(VLOOKUP(B1914,'Pre-Summary'!$A$6:$P$178,9,FALSE),AB1915)</f>
        <v>0.29626780772112643</v>
      </c>
      <c r="AC1914" s="10">
        <f>IFERROR(VLOOKUP(Summary!B1914,'Pre-Summary'!$A$6:$P$184,5, FALSE)/100,AC1915)</f>
        <v>0.95596300000000001</v>
      </c>
      <c r="AD1914" s="10">
        <f>IFERROR(VLOOKUP(Summary!B1914,'Pre-Summary'!$A$6:$P$184,3, FALSE)/100,AD1915)</f>
        <v>3.0977333333333336E-2</v>
      </c>
      <c r="AE1914" s="10">
        <f>IFERROR(VLOOKUP(Summary!B1914,'Pre-Summary'!$A$6:$P$184,7, FALSE)/100,AE1915)</f>
        <v>1.3059666666666667E-2</v>
      </c>
      <c r="AF1914" s="99">
        <f t="shared" si="88"/>
        <v>9.1775866357132405E-3</v>
      </c>
      <c r="AG1914" s="99">
        <f t="shared" si="89"/>
        <v>3.8691588129020045E-3</v>
      </c>
      <c r="AH1914" s="10" t="str">
        <f>IFERROR(VLOOKUP(B1914,'Pre-Summary'!$AZ$6:$BE$65,3,FALSE),"")</f>
        <v/>
      </c>
      <c r="AI1914" s="10" t="str">
        <f>IFERROR(VLOOKUP(B1914,'Pre-Summary'!$AZ$6:$BE$65,5,FALSE),"")</f>
        <v/>
      </c>
      <c r="AJ1914" s="10" t="str">
        <f>IFERROR(VLOOKUP(B1914,'Pre-Summary'!$AZ$6:$BE$65,4,FALSE),"")</f>
        <v/>
      </c>
      <c r="AK1914" s="10" t="str">
        <f>IFERROR(VLOOKUP(B1914,'Pre-Summary'!$AZ$6:$BE$65,6,FALSE),"")</f>
        <v/>
      </c>
      <c r="AL1914" s="10" t="str">
        <f>IFERROR(VLOOKUP(B1914,'Pre-Summary'!$BG$6:$BL$44,3,FALSE),"")</f>
        <v/>
      </c>
      <c r="AM1914" s="10" t="str">
        <f>IFERROR(VLOOKUP(B1914,'Pre-Summary'!$BG$6:$BL$44,4,FALSE),"")</f>
        <v/>
      </c>
    </row>
    <row r="1915" spans="2:39" ht="15" customHeight="1" x14ac:dyDescent="0.3">
      <c r="B1915">
        <v>191.2</v>
      </c>
      <c r="C1915" t="str">
        <f>IFERROR(VLOOKUP(B1915,'Pre-Summary'!$DI$6:$DM$23,4,FALSE),"")</f>
        <v/>
      </c>
      <c r="D1915" s="10" t="str">
        <f>IFERROR(VLOOKUP(B1915,'Pre-Summary'!$AT$6:$AX$14,5,FALSE),D1914)</f>
        <v>Wolfe v3: went back to modified wolfe + EDTA and switched CuSO4 to CUCl2</v>
      </c>
      <c r="E1915" s="10" t="str">
        <f>IFERROR(VLOOKUP(B1915,'Pre-Summary'!$AT$6:$AX$15,4,FALSE),"")</f>
        <v/>
      </c>
      <c r="F1915">
        <f>IFERROR(VLOOKUP(B1915,'Pre-Summary'!$AL$6:$AQ$13,6,FALSE),F1914)</f>
        <v>5.9405263157894746E-2</v>
      </c>
      <c r="G1915" t="str">
        <f>IFERROR(VLOOKUP(B1915,'Pre-Summary'!$AE$6:$AJ$85,3,FALSE),"")</f>
        <v/>
      </c>
      <c r="H1915" t="str">
        <f>IFERROR(VLOOKUP(B1915,'Pre-Summary'!$AE$6:$AJ$85,4,FALSE),"")</f>
        <v/>
      </c>
      <c r="I1915" t="str">
        <f>IFERROR(VLOOKUP(B1915,'Pre-Summary'!$AE$6:$AJ$85,5,FALSE),"")</f>
        <v/>
      </c>
      <c r="J1915" s="45" t="str">
        <f>IFERROR(VLOOKUP(B1915,'Pre-Summary'!$AE$6:$AJ$85,6, FALSE),"")</f>
        <v/>
      </c>
      <c r="K1915" s="45" t="str">
        <f>IFERROR(VLOOKUP(B1915,'Pre-Summary'!$DE$6:$DG$61,3,FALSE),"")</f>
        <v/>
      </c>
      <c r="L1915" s="45" t="str">
        <f>IFERROR(VLOOKUP(B1915,'Pre-Summary'!$CU$6:$CW$36,3,FALSE),"")</f>
        <v/>
      </c>
      <c r="M1915" s="45" t="str">
        <f>IFERROR(VLOOKUP(B1915,'Pre-Summary'!$BW$6:$BY$58,2,FALSE),"")</f>
        <v/>
      </c>
      <c r="N1915" s="45" t="str">
        <f>IFERROR(VLOOKUP(B1915,'Pre-Summary'!$CD$6:$CF$64,2,FALSE),"")</f>
        <v/>
      </c>
      <c r="O1915" s="99">
        <f>IFERROR(VLOOKUP(B1915,'Pre-Summary'!$BO$6:$BQ$48,3, FALSE),O1914)</f>
        <v>1.3480000000000001</v>
      </c>
      <c r="P1915" s="99">
        <f>IFERROR(VLOOKUP(B1915,'Pre-Summary'!$BS$6:$BU$35,3,FALSE),P1914)</f>
        <v>0.33700000000000002</v>
      </c>
      <c r="Q1915" s="54">
        <f t="shared" si="87"/>
        <v>4</v>
      </c>
      <c r="R1915" s="53">
        <f>IFERROR(VLOOKUP(B1915,'Pre-Summary'!$BG$6:$BM$44,7,FALSE),R1916)</f>
        <v>6.3359901615733558E-2</v>
      </c>
      <c r="S1915" s="53">
        <f>IFERROR(VLOOKUP(B1915,'Pre-Summary'!$BG$6:$BM$44,6,FALSE),S1916)</f>
        <v>9.0755969483796467E-2</v>
      </c>
      <c r="T1915" s="45" t="str">
        <f>IFERROR(VLOOKUP(B1915,'Pre-Summary'!$Y$6:$AC$83, 3,FALSE),"")</f>
        <v/>
      </c>
      <c r="U1915" s="45" t="str">
        <f>IFERROR(VLOOKUP(B1915,'Pre-Summary'!$Y$6:$AC$83, 4,FALSE),"")</f>
        <v/>
      </c>
      <c r="V1915" t="str">
        <f>IFERROR(VLOOKUP(B1915,'Pre-Summary'!$Y$6:$AC$83, 5,FALSE),"")</f>
        <v/>
      </c>
      <c r="W1915" s="45" t="str">
        <f>IFERROR(VLOOKUP(B1915,'Pre-Summary'!$Y$6:$AD$83,6,FALSE),"")</f>
        <v/>
      </c>
      <c r="X1915" t="str">
        <f>IFERROR(VLOOKUP('Pre-Summary'!$DB$6:$DD$63,3,FALSE),"")</f>
        <v/>
      </c>
      <c r="Y1915" t="str">
        <f>IFERROR(VLOOKUP(B1915,'Pre-Summary'!$CR$6:$CT$36,3,FALSE),"")</f>
        <v/>
      </c>
      <c r="Z1915" s="45" t="str">
        <f>IFERROR(VLOOKUP(B1915,'Pre-Summary'!$BZ$6:$CB$63,2,FALSE),"")</f>
        <v/>
      </c>
      <c r="AA1915" s="45" t="str">
        <f>IFERROR(VLOOKUP(B1915,'Pre-Summary'!$CG$6:$CI$70,2,FALSE),"")</f>
        <v/>
      </c>
      <c r="AB1915" s="99">
        <f>IFERROR(VLOOKUP(B1915,'Pre-Summary'!$A$6:$P$178,9,FALSE),AB1916)</f>
        <v>0.29626780772112643</v>
      </c>
      <c r="AC1915" s="10">
        <f>IFERROR(VLOOKUP(Summary!B1915,'Pre-Summary'!$A$6:$P$184,5, FALSE)/100,AC1916)</f>
        <v>0.95596300000000001</v>
      </c>
      <c r="AD1915" s="10">
        <f>IFERROR(VLOOKUP(Summary!B1915,'Pre-Summary'!$A$6:$P$184,3, FALSE)/100,AD1916)</f>
        <v>3.0977333333333336E-2</v>
      </c>
      <c r="AE1915" s="10">
        <f>IFERROR(VLOOKUP(Summary!B1915,'Pre-Summary'!$A$6:$P$184,7, FALSE)/100,AE1916)</f>
        <v>1.3059666666666667E-2</v>
      </c>
      <c r="AF1915" s="99">
        <f t="shared" si="88"/>
        <v>9.1775866357132405E-3</v>
      </c>
      <c r="AG1915" s="99">
        <f t="shared" si="89"/>
        <v>3.8691588129020045E-3</v>
      </c>
      <c r="AH1915" s="10" t="str">
        <f>IFERROR(VLOOKUP(B1915,'Pre-Summary'!$AZ$6:$BE$65,3,FALSE),"")</f>
        <v/>
      </c>
      <c r="AI1915" s="10" t="str">
        <f>IFERROR(VLOOKUP(B1915,'Pre-Summary'!$AZ$6:$BE$65,5,FALSE),"")</f>
        <v/>
      </c>
      <c r="AJ1915" s="10" t="str">
        <f>IFERROR(VLOOKUP(B1915,'Pre-Summary'!$AZ$6:$BE$65,4,FALSE),"")</f>
        <v/>
      </c>
      <c r="AK1915" s="10" t="str">
        <f>IFERROR(VLOOKUP(B1915,'Pre-Summary'!$AZ$6:$BE$65,6,FALSE),"")</f>
        <v/>
      </c>
      <c r="AL1915" s="10" t="str">
        <f>IFERROR(VLOOKUP(B1915,'Pre-Summary'!$BG$6:$BL$44,3,FALSE),"")</f>
        <v/>
      </c>
      <c r="AM1915" s="10" t="str">
        <f>IFERROR(VLOOKUP(B1915,'Pre-Summary'!$BG$6:$BL$44,4,FALSE),"")</f>
        <v/>
      </c>
    </row>
    <row r="1916" spans="2:39" ht="15" customHeight="1" x14ac:dyDescent="0.3">
      <c r="B1916">
        <v>191.3</v>
      </c>
      <c r="C1916" t="str">
        <f>IFERROR(VLOOKUP(B1916,'Pre-Summary'!$DI$6:$DM$23,4,FALSE),"")</f>
        <v/>
      </c>
      <c r="D1916" s="10" t="str">
        <f>IFERROR(VLOOKUP(B1916,'Pre-Summary'!$AT$6:$AX$14,5,FALSE),D1915)</f>
        <v>Wolfe v3: went back to modified wolfe + EDTA and switched CuSO4 to CUCl2</v>
      </c>
      <c r="E1916" s="10" t="str">
        <f>IFERROR(VLOOKUP(B1916,'Pre-Summary'!$AT$6:$AX$15,4,FALSE),"")</f>
        <v/>
      </c>
      <c r="F1916">
        <f>IFERROR(VLOOKUP(B1916,'Pre-Summary'!$AL$6:$AQ$13,6,FALSE),F1915)</f>
        <v>5.9405263157894746E-2</v>
      </c>
      <c r="G1916" t="str">
        <f>IFERROR(VLOOKUP(B1916,'Pre-Summary'!$AE$6:$AJ$85,3,FALSE),"")</f>
        <v/>
      </c>
      <c r="H1916" t="str">
        <f>IFERROR(VLOOKUP(B1916,'Pre-Summary'!$AE$6:$AJ$85,4,FALSE),"")</f>
        <v/>
      </c>
      <c r="I1916" t="str">
        <f>IFERROR(VLOOKUP(B1916,'Pre-Summary'!$AE$6:$AJ$85,5,FALSE),"")</f>
        <v/>
      </c>
      <c r="J1916" s="45" t="str">
        <f>IFERROR(VLOOKUP(B1916,'Pre-Summary'!$AE$6:$AJ$85,6, FALSE),"")</f>
        <v/>
      </c>
      <c r="K1916" s="45" t="str">
        <f>IFERROR(VLOOKUP(B1916,'Pre-Summary'!$DE$6:$DG$61,3,FALSE),"")</f>
        <v/>
      </c>
      <c r="L1916" s="45" t="str">
        <f>IFERROR(VLOOKUP(B1916,'Pre-Summary'!$CU$6:$CW$36,3,FALSE),"")</f>
        <v/>
      </c>
      <c r="M1916" s="45" t="str">
        <f>IFERROR(VLOOKUP(B1916,'Pre-Summary'!$BW$6:$BY$58,2,FALSE),"")</f>
        <v/>
      </c>
      <c r="N1916" s="45" t="str">
        <f>IFERROR(VLOOKUP(B1916,'Pre-Summary'!$CD$6:$CF$64,2,FALSE),"")</f>
        <v/>
      </c>
      <c r="O1916" s="99">
        <f>IFERROR(VLOOKUP(B1916,'Pre-Summary'!$BO$6:$BQ$48,3, FALSE),O1915)</f>
        <v>1.3480000000000001</v>
      </c>
      <c r="P1916" s="99">
        <f>IFERROR(VLOOKUP(B1916,'Pre-Summary'!$BS$6:$BU$35,3,FALSE),P1915)</f>
        <v>0.33700000000000002</v>
      </c>
      <c r="Q1916" s="54">
        <f t="shared" si="87"/>
        <v>4</v>
      </c>
      <c r="R1916" s="53">
        <f>IFERROR(VLOOKUP(B1916,'Pre-Summary'!$BG$6:$BM$44,7,FALSE),R1917)</f>
        <v>6.3359901615733558E-2</v>
      </c>
      <c r="S1916" s="53">
        <f>IFERROR(VLOOKUP(B1916,'Pre-Summary'!$BG$6:$BM$44,6,FALSE),S1917)</f>
        <v>9.0755969483796467E-2</v>
      </c>
      <c r="T1916" s="45" t="str">
        <f>IFERROR(VLOOKUP(B1916,'Pre-Summary'!$Y$6:$AC$83, 3,FALSE),"")</f>
        <v/>
      </c>
      <c r="U1916" s="45" t="str">
        <f>IFERROR(VLOOKUP(B1916,'Pre-Summary'!$Y$6:$AC$83, 4,FALSE),"")</f>
        <v/>
      </c>
      <c r="V1916" t="str">
        <f>IFERROR(VLOOKUP(B1916,'Pre-Summary'!$Y$6:$AC$83, 5,FALSE),"")</f>
        <v/>
      </c>
      <c r="W1916" s="45" t="str">
        <f>IFERROR(VLOOKUP(B1916,'Pre-Summary'!$Y$6:$AD$83,6,FALSE),"")</f>
        <v/>
      </c>
      <c r="X1916" t="str">
        <f>IFERROR(VLOOKUP('Pre-Summary'!$DB$6:$DD$63,3,FALSE),"")</f>
        <v/>
      </c>
      <c r="Y1916" t="str">
        <f>IFERROR(VLOOKUP(B1916,'Pre-Summary'!$CR$6:$CT$36,3,FALSE),"")</f>
        <v/>
      </c>
      <c r="Z1916" s="45" t="str">
        <f>IFERROR(VLOOKUP(B1916,'Pre-Summary'!$BZ$6:$CB$63,2,FALSE),"")</f>
        <v/>
      </c>
      <c r="AA1916" s="45" t="str">
        <f>IFERROR(VLOOKUP(B1916,'Pre-Summary'!$CG$6:$CI$70,2,FALSE),"")</f>
        <v/>
      </c>
      <c r="AB1916" s="99">
        <f>IFERROR(VLOOKUP(B1916,'Pre-Summary'!$A$6:$P$178,9,FALSE),AB1917)</f>
        <v>0.29626780772112643</v>
      </c>
      <c r="AC1916" s="10">
        <f>IFERROR(VLOOKUP(Summary!B1916,'Pre-Summary'!$A$6:$P$184,5, FALSE)/100,AC1917)</f>
        <v>0.95596300000000001</v>
      </c>
      <c r="AD1916" s="10">
        <f>IFERROR(VLOOKUP(Summary!B1916,'Pre-Summary'!$A$6:$P$184,3, FALSE)/100,AD1917)</f>
        <v>3.0977333333333336E-2</v>
      </c>
      <c r="AE1916" s="10">
        <f>IFERROR(VLOOKUP(Summary!B1916,'Pre-Summary'!$A$6:$P$184,7, FALSE)/100,AE1917)</f>
        <v>1.3059666666666667E-2</v>
      </c>
      <c r="AF1916" s="99">
        <f t="shared" si="88"/>
        <v>9.1775866357132405E-3</v>
      </c>
      <c r="AG1916" s="99">
        <f t="shared" si="89"/>
        <v>3.8691588129020045E-3</v>
      </c>
      <c r="AH1916" s="10" t="str">
        <f>IFERROR(VLOOKUP(B1916,'Pre-Summary'!$AZ$6:$BE$65,3,FALSE),"")</f>
        <v/>
      </c>
      <c r="AI1916" s="10" t="str">
        <f>IFERROR(VLOOKUP(B1916,'Pre-Summary'!$AZ$6:$BE$65,5,FALSE),"")</f>
        <v/>
      </c>
      <c r="AJ1916" s="10" t="str">
        <f>IFERROR(VLOOKUP(B1916,'Pre-Summary'!$AZ$6:$BE$65,4,FALSE),"")</f>
        <v/>
      </c>
      <c r="AK1916" s="10" t="str">
        <f>IFERROR(VLOOKUP(B1916,'Pre-Summary'!$AZ$6:$BE$65,6,FALSE),"")</f>
        <v/>
      </c>
      <c r="AL1916" s="10" t="str">
        <f>IFERROR(VLOOKUP(B1916,'Pre-Summary'!$BG$6:$BL$44,3,FALSE),"")</f>
        <v/>
      </c>
      <c r="AM1916" s="10" t="str">
        <f>IFERROR(VLOOKUP(B1916,'Pre-Summary'!$BG$6:$BL$44,4,FALSE),"")</f>
        <v/>
      </c>
    </row>
    <row r="1917" spans="2:39" ht="15" customHeight="1" x14ac:dyDescent="0.3">
      <c r="B1917">
        <v>191.4</v>
      </c>
      <c r="C1917" t="str">
        <f>IFERROR(VLOOKUP(B1917,'Pre-Summary'!$DI$6:$DM$23,4,FALSE),"")</f>
        <v/>
      </c>
      <c r="D1917" s="10" t="str">
        <f>IFERROR(VLOOKUP(B1917,'Pre-Summary'!$AT$6:$AX$14,5,FALSE),D1916)</f>
        <v>Wolfe v3: went back to modified wolfe + EDTA and switched CuSO4 to CUCl2</v>
      </c>
      <c r="E1917" s="10" t="str">
        <f>IFERROR(VLOOKUP(B1917,'Pre-Summary'!$AT$6:$AX$15,4,FALSE),"")</f>
        <v/>
      </c>
      <c r="F1917">
        <f>IFERROR(VLOOKUP(B1917,'Pre-Summary'!$AL$6:$AQ$13,6,FALSE),F1916)</f>
        <v>5.9405263157894746E-2</v>
      </c>
      <c r="G1917" t="str">
        <f>IFERROR(VLOOKUP(B1917,'Pre-Summary'!$AE$6:$AJ$85,3,FALSE),"")</f>
        <v/>
      </c>
      <c r="H1917" t="str">
        <f>IFERROR(VLOOKUP(B1917,'Pre-Summary'!$AE$6:$AJ$85,4,FALSE),"")</f>
        <v/>
      </c>
      <c r="I1917" t="str">
        <f>IFERROR(VLOOKUP(B1917,'Pre-Summary'!$AE$6:$AJ$85,5,FALSE),"")</f>
        <v/>
      </c>
      <c r="J1917" s="45" t="str">
        <f>IFERROR(VLOOKUP(B1917,'Pre-Summary'!$AE$6:$AJ$85,6, FALSE),"")</f>
        <v/>
      </c>
      <c r="K1917" s="45" t="str">
        <f>IFERROR(VLOOKUP(B1917,'Pre-Summary'!$DE$6:$DG$61,3,FALSE),"")</f>
        <v/>
      </c>
      <c r="L1917" s="45" t="str">
        <f>IFERROR(VLOOKUP(B1917,'Pre-Summary'!$CU$6:$CW$36,3,FALSE),"")</f>
        <v/>
      </c>
      <c r="M1917" s="45" t="str">
        <f>IFERROR(VLOOKUP(B1917,'Pre-Summary'!$BW$6:$BY$58,2,FALSE),"")</f>
        <v/>
      </c>
      <c r="N1917" s="45" t="str">
        <f>IFERROR(VLOOKUP(B1917,'Pre-Summary'!$CD$6:$CF$64,2,FALSE),"")</f>
        <v/>
      </c>
      <c r="O1917" s="99">
        <f>IFERROR(VLOOKUP(B1917,'Pre-Summary'!$BO$6:$BQ$48,3, FALSE),O1916)</f>
        <v>1.3480000000000001</v>
      </c>
      <c r="P1917" s="99">
        <f>IFERROR(VLOOKUP(B1917,'Pre-Summary'!$BS$6:$BU$35,3,FALSE),P1916)</f>
        <v>0.33700000000000002</v>
      </c>
      <c r="Q1917" s="54">
        <f t="shared" si="87"/>
        <v>4</v>
      </c>
      <c r="R1917" s="53">
        <f>IFERROR(VLOOKUP(B1917,'Pre-Summary'!$BG$6:$BM$44,7,FALSE),R1918)</f>
        <v>6.3359901615733558E-2</v>
      </c>
      <c r="S1917" s="53">
        <f>IFERROR(VLOOKUP(B1917,'Pre-Summary'!$BG$6:$BM$44,6,FALSE),S1918)</f>
        <v>9.0755969483796467E-2</v>
      </c>
      <c r="T1917" s="45" t="str">
        <f>IFERROR(VLOOKUP(B1917,'Pre-Summary'!$Y$6:$AC$83, 3,FALSE),"")</f>
        <v/>
      </c>
      <c r="U1917" s="45" t="str">
        <f>IFERROR(VLOOKUP(B1917,'Pre-Summary'!$Y$6:$AC$83, 4,FALSE),"")</f>
        <v/>
      </c>
      <c r="V1917" t="str">
        <f>IFERROR(VLOOKUP(B1917,'Pre-Summary'!$Y$6:$AC$83, 5,FALSE),"")</f>
        <v/>
      </c>
      <c r="W1917" s="45" t="str">
        <f>IFERROR(VLOOKUP(B1917,'Pre-Summary'!$Y$6:$AD$83,6,FALSE),"")</f>
        <v/>
      </c>
      <c r="X1917" t="str">
        <f>IFERROR(VLOOKUP('Pre-Summary'!$DB$6:$DD$63,3,FALSE),"")</f>
        <v/>
      </c>
      <c r="Y1917" t="str">
        <f>IFERROR(VLOOKUP(B1917,'Pre-Summary'!$CR$6:$CT$36,3,FALSE),"")</f>
        <v/>
      </c>
      <c r="Z1917" s="45" t="str">
        <f>IFERROR(VLOOKUP(B1917,'Pre-Summary'!$BZ$6:$CB$63,2,FALSE),"")</f>
        <v/>
      </c>
      <c r="AA1917" s="45" t="str">
        <f>IFERROR(VLOOKUP(B1917,'Pre-Summary'!$CG$6:$CI$70,2,FALSE),"")</f>
        <v/>
      </c>
      <c r="AB1917" s="99">
        <f>IFERROR(VLOOKUP(B1917,'Pre-Summary'!$A$6:$P$178,9,FALSE),AB1918)</f>
        <v>0.29626780772112643</v>
      </c>
      <c r="AC1917" s="10">
        <f>IFERROR(VLOOKUP(Summary!B1917,'Pre-Summary'!$A$6:$P$184,5, FALSE)/100,AC1918)</f>
        <v>0.95596300000000001</v>
      </c>
      <c r="AD1917" s="10">
        <f>IFERROR(VLOOKUP(Summary!B1917,'Pre-Summary'!$A$6:$P$184,3, FALSE)/100,AD1918)</f>
        <v>3.0977333333333336E-2</v>
      </c>
      <c r="AE1917" s="10">
        <f>IFERROR(VLOOKUP(Summary!B1917,'Pre-Summary'!$A$6:$P$184,7, FALSE)/100,AE1918)</f>
        <v>1.3059666666666667E-2</v>
      </c>
      <c r="AF1917" s="99">
        <f t="shared" si="88"/>
        <v>9.1775866357132405E-3</v>
      </c>
      <c r="AG1917" s="99">
        <f t="shared" si="89"/>
        <v>3.8691588129020045E-3</v>
      </c>
      <c r="AH1917" s="10" t="str">
        <f>IFERROR(VLOOKUP(B1917,'Pre-Summary'!$AZ$6:$BE$65,3,FALSE),"")</f>
        <v/>
      </c>
      <c r="AI1917" s="10" t="str">
        <f>IFERROR(VLOOKUP(B1917,'Pre-Summary'!$AZ$6:$BE$65,5,FALSE),"")</f>
        <v/>
      </c>
      <c r="AJ1917" s="10" t="str">
        <f>IFERROR(VLOOKUP(B1917,'Pre-Summary'!$AZ$6:$BE$65,4,FALSE),"")</f>
        <v/>
      </c>
      <c r="AK1917" s="10" t="str">
        <f>IFERROR(VLOOKUP(B1917,'Pre-Summary'!$AZ$6:$BE$65,6,FALSE),"")</f>
        <v/>
      </c>
      <c r="AL1917" s="10" t="str">
        <f>IFERROR(VLOOKUP(B1917,'Pre-Summary'!$BG$6:$BL$44,3,FALSE),"")</f>
        <v/>
      </c>
      <c r="AM1917" s="10" t="str">
        <f>IFERROR(VLOOKUP(B1917,'Pre-Summary'!$BG$6:$BL$44,4,FALSE),"")</f>
        <v/>
      </c>
    </row>
    <row r="1918" spans="2:39" ht="15" customHeight="1" x14ac:dyDescent="0.3">
      <c r="B1918">
        <v>191.5</v>
      </c>
      <c r="C1918" t="str">
        <f>IFERROR(VLOOKUP(B1918,'Pre-Summary'!$DI$6:$DM$23,4,FALSE),"")</f>
        <v/>
      </c>
      <c r="D1918" s="10" t="str">
        <f>IFERROR(VLOOKUP(B1918,'Pre-Summary'!$AT$6:$AX$14,5,FALSE),D1917)</f>
        <v>Wolfe v3: went back to modified wolfe + EDTA and switched CuSO4 to CUCl2</v>
      </c>
      <c r="E1918" s="10" t="str">
        <f>IFERROR(VLOOKUP(B1918,'Pre-Summary'!$AT$6:$AX$15,4,FALSE),"")</f>
        <v/>
      </c>
      <c r="F1918">
        <f>IFERROR(VLOOKUP(B1918,'Pre-Summary'!$AL$6:$AQ$13,6,FALSE),F1917)</f>
        <v>5.9405263157894746E-2</v>
      </c>
      <c r="G1918" t="str">
        <f>IFERROR(VLOOKUP(B1918,'Pre-Summary'!$AE$6:$AJ$85,3,FALSE),"")</f>
        <v/>
      </c>
      <c r="H1918" t="str">
        <f>IFERROR(VLOOKUP(B1918,'Pre-Summary'!$AE$6:$AJ$85,4,FALSE),"")</f>
        <v/>
      </c>
      <c r="I1918" t="str">
        <f>IFERROR(VLOOKUP(B1918,'Pre-Summary'!$AE$6:$AJ$85,5,FALSE),"")</f>
        <v/>
      </c>
      <c r="J1918" s="45" t="str">
        <f>IFERROR(VLOOKUP(B1918,'Pre-Summary'!$AE$6:$AJ$85,6, FALSE),"")</f>
        <v/>
      </c>
      <c r="K1918" s="45" t="str">
        <f>IFERROR(VLOOKUP(B1918,'Pre-Summary'!$DE$6:$DG$61,3,FALSE),"")</f>
        <v/>
      </c>
      <c r="L1918" s="45" t="str">
        <f>IFERROR(VLOOKUP(B1918,'Pre-Summary'!$CU$6:$CW$36,3,FALSE),"")</f>
        <v/>
      </c>
      <c r="M1918" s="45" t="str">
        <f>IFERROR(VLOOKUP(B1918,'Pre-Summary'!$BW$6:$BY$58,2,FALSE),"")</f>
        <v/>
      </c>
      <c r="N1918" s="45" t="str">
        <f>IFERROR(VLOOKUP(B1918,'Pre-Summary'!$CD$6:$CF$64,2,FALSE),"")</f>
        <v/>
      </c>
      <c r="O1918" s="99">
        <f>IFERROR(VLOOKUP(B1918,'Pre-Summary'!$BO$6:$BQ$48,3, FALSE),O1917)</f>
        <v>1.3480000000000001</v>
      </c>
      <c r="P1918" s="99">
        <f>IFERROR(VLOOKUP(B1918,'Pre-Summary'!$BS$6:$BU$35,3,FALSE),P1917)</f>
        <v>0.33700000000000002</v>
      </c>
      <c r="Q1918" s="54">
        <f t="shared" si="87"/>
        <v>4</v>
      </c>
      <c r="R1918" s="53">
        <f>IFERROR(VLOOKUP(B1918,'Pre-Summary'!$BG$6:$BM$44,7,FALSE),R1919)</f>
        <v>6.3359901615733558E-2</v>
      </c>
      <c r="S1918" s="53">
        <f>IFERROR(VLOOKUP(B1918,'Pre-Summary'!$BG$6:$BM$44,6,FALSE),S1919)</f>
        <v>9.0755969483796467E-2</v>
      </c>
      <c r="T1918" s="45" t="str">
        <f>IFERROR(VLOOKUP(B1918,'Pre-Summary'!$Y$6:$AC$83, 3,FALSE),"")</f>
        <v/>
      </c>
      <c r="U1918" s="45" t="str">
        <f>IFERROR(VLOOKUP(B1918,'Pre-Summary'!$Y$6:$AC$83, 4,FALSE),"")</f>
        <v/>
      </c>
      <c r="V1918" t="str">
        <f>IFERROR(VLOOKUP(B1918,'Pre-Summary'!$Y$6:$AC$83, 5,FALSE),"")</f>
        <v/>
      </c>
      <c r="W1918" s="45" t="str">
        <f>IFERROR(VLOOKUP(B1918,'Pre-Summary'!$Y$6:$AD$83,6,FALSE),"")</f>
        <v/>
      </c>
      <c r="X1918" t="str">
        <f>IFERROR(VLOOKUP('Pre-Summary'!$DB$6:$DD$63,3,FALSE),"")</f>
        <v/>
      </c>
      <c r="Y1918" t="str">
        <f>IFERROR(VLOOKUP(B1918,'Pre-Summary'!$CR$6:$CT$36,3,FALSE),"")</f>
        <v/>
      </c>
      <c r="Z1918" s="45" t="str">
        <f>IFERROR(VLOOKUP(B1918,'Pre-Summary'!$BZ$6:$CB$63,2,FALSE),"")</f>
        <v/>
      </c>
      <c r="AA1918" s="45" t="str">
        <f>IFERROR(VLOOKUP(B1918,'Pre-Summary'!$CG$6:$CI$70,2,FALSE),"")</f>
        <v/>
      </c>
      <c r="AB1918" s="99">
        <f>IFERROR(VLOOKUP(B1918,'Pre-Summary'!$A$6:$P$178,9,FALSE),AB1919)</f>
        <v>0.29626780772112643</v>
      </c>
      <c r="AC1918" s="10">
        <f>IFERROR(VLOOKUP(Summary!B1918,'Pre-Summary'!$A$6:$P$184,5, FALSE)/100,AC1919)</f>
        <v>0.95596300000000001</v>
      </c>
      <c r="AD1918" s="10">
        <f>IFERROR(VLOOKUP(Summary!B1918,'Pre-Summary'!$A$6:$P$184,3, FALSE)/100,AD1919)</f>
        <v>3.0977333333333336E-2</v>
      </c>
      <c r="AE1918" s="10">
        <f>IFERROR(VLOOKUP(Summary!B1918,'Pre-Summary'!$A$6:$P$184,7, FALSE)/100,AE1919)</f>
        <v>1.3059666666666667E-2</v>
      </c>
      <c r="AF1918" s="99">
        <f t="shared" si="88"/>
        <v>9.1775866357132405E-3</v>
      </c>
      <c r="AG1918" s="99">
        <f t="shared" si="89"/>
        <v>3.8691588129020045E-3</v>
      </c>
      <c r="AH1918" s="10" t="str">
        <f>IFERROR(VLOOKUP(B1918,'Pre-Summary'!$AZ$6:$BE$65,3,FALSE),"")</f>
        <v/>
      </c>
      <c r="AI1918" s="10" t="str">
        <f>IFERROR(VLOOKUP(B1918,'Pre-Summary'!$AZ$6:$BE$65,5,FALSE),"")</f>
        <v/>
      </c>
      <c r="AJ1918" s="10" t="str">
        <f>IFERROR(VLOOKUP(B1918,'Pre-Summary'!$AZ$6:$BE$65,4,FALSE),"")</f>
        <v/>
      </c>
      <c r="AK1918" s="10" t="str">
        <f>IFERROR(VLOOKUP(B1918,'Pre-Summary'!$AZ$6:$BE$65,6,FALSE),"")</f>
        <v/>
      </c>
      <c r="AL1918" s="10" t="str">
        <f>IFERROR(VLOOKUP(B1918,'Pre-Summary'!$BG$6:$BL$44,3,FALSE),"")</f>
        <v/>
      </c>
      <c r="AM1918" s="10" t="str">
        <f>IFERROR(VLOOKUP(B1918,'Pre-Summary'!$BG$6:$BL$44,4,FALSE),"")</f>
        <v/>
      </c>
    </row>
    <row r="1919" spans="2:39" ht="15" customHeight="1" x14ac:dyDescent="0.3">
      <c r="B1919">
        <v>191.6</v>
      </c>
      <c r="C1919" t="str">
        <f>IFERROR(VLOOKUP(B1919,'Pre-Summary'!$DI$6:$DM$23,4,FALSE),"")</f>
        <v/>
      </c>
      <c r="D1919" s="10" t="str">
        <f>IFERROR(VLOOKUP(B1919,'Pre-Summary'!$AT$6:$AX$14,5,FALSE),D1918)</f>
        <v>Wolfe v3: went back to modified wolfe + EDTA and switched CuSO4 to CUCl2</v>
      </c>
      <c r="E1919" s="10" t="str">
        <f>IFERROR(VLOOKUP(B1919,'Pre-Summary'!$AT$6:$AX$15,4,FALSE),"")</f>
        <v/>
      </c>
      <c r="F1919">
        <f>IFERROR(VLOOKUP(B1919,'Pre-Summary'!$AL$6:$AQ$13,6,FALSE),F1918)</f>
        <v>5.9405263157894746E-2</v>
      </c>
      <c r="G1919" t="str">
        <f>IFERROR(VLOOKUP(B1919,'Pre-Summary'!$AE$6:$AJ$85,3,FALSE),"")</f>
        <v/>
      </c>
      <c r="H1919" t="str">
        <f>IFERROR(VLOOKUP(B1919,'Pre-Summary'!$AE$6:$AJ$85,4,FALSE),"")</f>
        <v/>
      </c>
      <c r="I1919" t="str">
        <f>IFERROR(VLOOKUP(B1919,'Pre-Summary'!$AE$6:$AJ$85,5,FALSE),"")</f>
        <v/>
      </c>
      <c r="J1919" s="45" t="str">
        <f>IFERROR(VLOOKUP(B1919,'Pre-Summary'!$AE$6:$AJ$85,6, FALSE),"")</f>
        <v/>
      </c>
      <c r="K1919" s="45" t="str">
        <f>IFERROR(VLOOKUP(B1919,'Pre-Summary'!$DE$6:$DG$61,3,FALSE),"")</f>
        <v/>
      </c>
      <c r="L1919" s="45" t="str">
        <f>IFERROR(VLOOKUP(B1919,'Pre-Summary'!$CU$6:$CW$36,3,FALSE),"")</f>
        <v/>
      </c>
      <c r="M1919" s="45" t="str">
        <f>IFERROR(VLOOKUP(B1919,'Pre-Summary'!$BW$6:$BY$58,2,FALSE),"")</f>
        <v/>
      </c>
      <c r="N1919" s="45" t="str">
        <f>IFERROR(VLOOKUP(B1919,'Pre-Summary'!$CD$6:$CF$64,2,FALSE),"")</f>
        <v/>
      </c>
      <c r="O1919" s="99">
        <f>IFERROR(VLOOKUP(B1919,'Pre-Summary'!$BO$6:$BQ$48,3, FALSE),O1918)</f>
        <v>1.3480000000000001</v>
      </c>
      <c r="P1919" s="99">
        <f>IFERROR(VLOOKUP(B1919,'Pre-Summary'!$BS$6:$BU$35,3,FALSE),P1918)</f>
        <v>0.33700000000000002</v>
      </c>
      <c r="Q1919" s="54">
        <f t="shared" si="87"/>
        <v>4</v>
      </c>
      <c r="R1919" s="53">
        <f>IFERROR(VLOOKUP(B1919,'Pre-Summary'!$BG$6:$BM$44,7,FALSE),R1920)</f>
        <v>6.3359901615733558E-2</v>
      </c>
      <c r="S1919" s="53">
        <f>IFERROR(VLOOKUP(B1919,'Pre-Summary'!$BG$6:$BM$44,6,FALSE),S1920)</f>
        <v>9.0755969483796467E-2</v>
      </c>
      <c r="T1919" s="45" t="str">
        <f>IFERROR(VLOOKUP(B1919,'Pre-Summary'!$Y$6:$AC$83, 3,FALSE),"")</f>
        <v/>
      </c>
      <c r="U1919" s="45" t="str">
        <f>IFERROR(VLOOKUP(B1919,'Pre-Summary'!$Y$6:$AC$83, 4,FALSE),"")</f>
        <v/>
      </c>
      <c r="V1919" t="str">
        <f>IFERROR(VLOOKUP(B1919,'Pre-Summary'!$Y$6:$AC$83, 5,FALSE),"")</f>
        <v/>
      </c>
      <c r="W1919" s="45" t="str">
        <f>IFERROR(VLOOKUP(B1919,'Pre-Summary'!$Y$6:$AD$83,6,FALSE),"")</f>
        <v/>
      </c>
      <c r="X1919" t="str">
        <f>IFERROR(VLOOKUP('Pre-Summary'!$DB$6:$DD$63,3,FALSE),"")</f>
        <v/>
      </c>
      <c r="Y1919" t="str">
        <f>IFERROR(VLOOKUP(B1919,'Pre-Summary'!$CR$6:$CT$36,3,FALSE),"")</f>
        <v/>
      </c>
      <c r="Z1919" s="45" t="str">
        <f>IFERROR(VLOOKUP(B1919,'Pre-Summary'!$BZ$6:$CB$63,2,FALSE),"")</f>
        <v/>
      </c>
      <c r="AA1919" s="45" t="str">
        <f>IFERROR(VLOOKUP(B1919,'Pre-Summary'!$CG$6:$CI$70,2,FALSE),"")</f>
        <v/>
      </c>
      <c r="AB1919" s="99">
        <f>IFERROR(VLOOKUP(B1919,'Pre-Summary'!$A$6:$P$178,9,FALSE),AB1920)</f>
        <v>0.29626780772112643</v>
      </c>
      <c r="AC1919" s="10">
        <f>IFERROR(VLOOKUP(Summary!B1919,'Pre-Summary'!$A$6:$P$184,5, FALSE)/100,AC1920)</f>
        <v>0.95596300000000001</v>
      </c>
      <c r="AD1919" s="10">
        <f>IFERROR(VLOOKUP(Summary!B1919,'Pre-Summary'!$A$6:$P$184,3, FALSE)/100,AD1920)</f>
        <v>3.0977333333333336E-2</v>
      </c>
      <c r="AE1919" s="10">
        <f>IFERROR(VLOOKUP(Summary!B1919,'Pre-Summary'!$A$6:$P$184,7, FALSE)/100,AE1920)</f>
        <v>1.3059666666666667E-2</v>
      </c>
      <c r="AF1919" s="99">
        <f t="shared" si="88"/>
        <v>9.1775866357132405E-3</v>
      </c>
      <c r="AG1919" s="99">
        <f t="shared" si="89"/>
        <v>3.8691588129020045E-3</v>
      </c>
      <c r="AH1919" s="10" t="str">
        <f>IFERROR(VLOOKUP(B1919,'Pre-Summary'!$AZ$6:$BE$65,3,FALSE),"")</f>
        <v/>
      </c>
      <c r="AI1919" s="10" t="str">
        <f>IFERROR(VLOOKUP(B1919,'Pre-Summary'!$AZ$6:$BE$65,5,FALSE),"")</f>
        <v/>
      </c>
      <c r="AJ1919" s="10" t="str">
        <f>IFERROR(VLOOKUP(B1919,'Pre-Summary'!$AZ$6:$BE$65,4,FALSE),"")</f>
        <v/>
      </c>
      <c r="AK1919" s="10" t="str">
        <f>IFERROR(VLOOKUP(B1919,'Pre-Summary'!$AZ$6:$BE$65,6,FALSE),"")</f>
        <v/>
      </c>
      <c r="AL1919" s="10" t="str">
        <f>IFERROR(VLOOKUP(B1919,'Pre-Summary'!$BG$6:$BL$44,3,FALSE),"")</f>
        <v/>
      </c>
      <c r="AM1919" s="10" t="str">
        <f>IFERROR(VLOOKUP(B1919,'Pre-Summary'!$BG$6:$BL$44,4,FALSE),"")</f>
        <v/>
      </c>
    </row>
    <row r="1920" spans="2:39" ht="15" customHeight="1" x14ac:dyDescent="0.3">
      <c r="B1920">
        <v>191.7</v>
      </c>
      <c r="C1920" t="str">
        <f>IFERROR(VLOOKUP(B1920,'Pre-Summary'!$DI$6:$DM$23,4,FALSE),"")</f>
        <v/>
      </c>
      <c r="D1920" s="10" t="str">
        <f>IFERROR(VLOOKUP(B1920,'Pre-Summary'!$AT$6:$AX$14,5,FALSE),D1919)</f>
        <v>Wolfe v3: went back to modified wolfe + EDTA and switched CuSO4 to CUCl2</v>
      </c>
      <c r="E1920" s="10" t="str">
        <f>IFERROR(VLOOKUP(B1920,'Pre-Summary'!$AT$6:$AX$15,4,FALSE),"")</f>
        <v/>
      </c>
      <c r="F1920">
        <f>IFERROR(VLOOKUP(B1920,'Pre-Summary'!$AL$6:$AQ$13,6,FALSE),F1919)</f>
        <v>5.9405263157894746E-2</v>
      </c>
      <c r="G1920" t="str">
        <f>IFERROR(VLOOKUP(B1920,'Pre-Summary'!$AE$6:$AJ$85,3,FALSE),"")</f>
        <v/>
      </c>
      <c r="H1920" t="str">
        <f>IFERROR(VLOOKUP(B1920,'Pre-Summary'!$AE$6:$AJ$85,4,FALSE),"")</f>
        <v/>
      </c>
      <c r="I1920" t="str">
        <f>IFERROR(VLOOKUP(B1920,'Pre-Summary'!$AE$6:$AJ$85,5,FALSE),"")</f>
        <v/>
      </c>
      <c r="J1920" s="45" t="str">
        <f>IFERROR(VLOOKUP(B1920,'Pre-Summary'!$AE$6:$AJ$85,6, FALSE),"")</f>
        <v/>
      </c>
      <c r="K1920" s="45" t="str">
        <f>IFERROR(VLOOKUP(B1920,'Pre-Summary'!$DE$6:$DG$61,3,FALSE),"")</f>
        <v/>
      </c>
      <c r="L1920" s="45" t="str">
        <f>IFERROR(VLOOKUP(B1920,'Pre-Summary'!$CU$6:$CW$36,3,FALSE),"")</f>
        <v/>
      </c>
      <c r="M1920" s="45" t="str">
        <f>IFERROR(VLOOKUP(B1920,'Pre-Summary'!$BW$6:$BY$58,2,FALSE),"")</f>
        <v/>
      </c>
      <c r="N1920" s="45" t="str">
        <f>IFERROR(VLOOKUP(B1920,'Pre-Summary'!$CD$6:$CF$64,2,FALSE),"")</f>
        <v/>
      </c>
      <c r="O1920" s="99">
        <f>IFERROR(VLOOKUP(B1920,'Pre-Summary'!$BO$6:$BQ$48,3, FALSE),O1919)</f>
        <v>1.3480000000000001</v>
      </c>
      <c r="P1920" s="99">
        <f>IFERROR(VLOOKUP(B1920,'Pre-Summary'!$BS$6:$BU$35,3,FALSE),P1919)</f>
        <v>0.33700000000000002</v>
      </c>
      <c r="Q1920" s="54">
        <f t="shared" si="87"/>
        <v>4</v>
      </c>
      <c r="R1920" s="53">
        <f>IFERROR(VLOOKUP(B1920,'Pre-Summary'!$BG$6:$BM$44,7,FALSE),R1921)</f>
        <v>6.3359901615733558E-2</v>
      </c>
      <c r="S1920" s="53">
        <f>IFERROR(VLOOKUP(B1920,'Pre-Summary'!$BG$6:$BM$44,6,FALSE),S1921)</f>
        <v>9.0755969483796467E-2</v>
      </c>
      <c r="T1920" s="45" t="str">
        <f>IFERROR(VLOOKUP(B1920,'Pre-Summary'!$Y$6:$AC$83, 3,FALSE),"")</f>
        <v/>
      </c>
      <c r="U1920" s="45" t="str">
        <f>IFERROR(VLOOKUP(B1920,'Pre-Summary'!$Y$6:$AC$83, 4,FALSE),"")</f>
        <v/>
      </c>
      <c r="V1920" t="str">
        <f>IFERROR(VLOOKUP(B1920,'Pre-Summary'!$Y$6:$AC$83, 5,FALSE),"")</f>
        <v/>
      </c>
      <c r="W1920" s="45" t="str">
        <f>IFERROR(VLOOKUP(B1920,'Pre-Summary'!$Y$6:$AD$83,6,FALSE),"")</f>
        <v/>
      </c>
      <c r="X1920" t="str">
        <f>IFERROR(VLOOKUP('Pre-Summary'!$DB$6:$DD$63,3,FALSE),"")</f>
        <v/>
      </c>
      <c r="Y1920" t="str">
        <f>IFERROR(VLOOKUP(B1920,'Pre-Summary'!$CR$6:$CT$36,3,FALSE),"")</f>
        <v/>
      </c>
      <c r="Z1920" s="45" t="str">
        <f>IFERROR(VLOOKUP(B1920,'Pre-Summary'!$BZ$6:$CB$63,2,FALSE),"")</f>
        <v/>
      </c>
      <c r="AA1920" s="45" t="str">
        <f>IFERROR(VLOOKUP(B1920,'Pre-Summary'!$CG$6:$CI$70,2,FALSE),"")</f>
        <v/>
      </c>
      <c r="AB1920" s="99">
        <f>IFERROR(VLOOKUP(B1920,'Pre-Summary'!$A$6:$P$178,9,FALSE),AB1921)</f>
        <v>0.29626780772112643</v>
      </c>
      <c r="AC1920" s="10">
        <f>IFERROR(VLOOKUP(Summary!B1920,'Pre-Summary'!$A$6:$P$184,5, FALSE)/100,AC1921)</f>
        <v>0.95596300000000001</v>
      </c>
      <c r="AD1920" s="10">
        <f>IFERROR(VLOOKUP(Summary!B1920,'Pre-Summary'!$A$6:$P$184,3, FALSE)/100,AD1921)</f>
        <v>3.0977333333333336E-2</v>
      </c>
      <c r="AE1920" s="10">
        <f>IFERROR(VLOOKUP(Summary!B1920,'Pre-Summary'!$A$6:$P$184,7, FALSE)/100,AE1921)</f>
        <v>1.3059666666666667E-2</v>
      </c>
      <c r="AF1920" s="99">
        <f t="shared" si="88"/>
        <v>9.1775866357132405E-3</v>
      </c>
      <c r="AG1920" s="99">
        <f t="shared" si="89"/>
        <v>3.8691588129020045E-3</v>
      </c>
      <c r="AH1920" s="10" t="str">
        <f>IFERROR(VLOOKUP(B1920,'Pre-Summary'!$AZ$6:$BE$65,3,FALSE),"")</f>
        <v/>
      </c>
      <c r="AI1920" s="10" t="str">
        <f>IFERROR(VLOOKUP(B1920,'Pre-Summary'!$AZ$6:$BE$65,5,FALSE),"")</f>
        <v/>
      </c>
      <c r="AJ1920" s="10" t="str">
        <f>IFERROR(VLOOKUP(B1920,'Pre-Summary'!$AZ$6:$BE$65,4,FALSE),"")</f>
        <v/>
      </c>
      <c r="AK1920" s="10" t="str">
        <f>IFERROR(VLOOKUP(B1920,'Pre-Summary'!$AZ$6:$BE$65,6,FALSE),"")</f>
        <v/>
      </c>
      <c r="AL1920" s="10" t="str">
        <f>IFERROR(VLOOKUP(B1920,'Pre-Summary'!$BG$6:$BL$44,3,FALSE),"")</f>
        <v/>
      </c>
      <c r="AM1920" s="10" t="str">
        <f>IFERROR(VLOOKUP(B1920,'Pre-Summary'!$BG$6:$BL$44,4,FALSE),"")</f>
        <v/>
      </c>
    </row>
    <row r="1921" spans="2:39" ht="15" customHeight="1" x14ac:dyDescent="0.3">
      <c r="B1921">
        <v>191.8</v>
      </c>
      <c r="C1921" t="str">
        <f>IFERROR(VLOOKUP(B1921,'Pre-Summary'!$DI$6:$DM$23,4,FALSE),"")</f>
        <v/>
      </c>
      <c r="D1921" s="10" t="str">
        <f>IFERROR(VLOOKUP(B1921,'Pre-Summary'!$AT$6:$AX$14,5,FALSE),D1920)</f>
        <v>Wolfe v3: went back to modified wolfe + EDTA and switched CuSO4 to CUCl2</v>
      </c>
      <c r="E1921" s="10" t="str">
        <f>IFERROR(VLOOKUP(B1921,'Pre-Summary'!$AT$6:$AX$15,4,FALSE),"")</f>
        <v/>
      </c>
      <c r="F1921">
        <f>IFERROR(VLOOKUP(B1921,'Pre-Summary'!$AL$6:$AQ$13,6,FALSE),F1920)</f>
        <v>5.9405263157894746E-2</v>
      </c>
      <c r="G1921" t="str">
        <f>IFERROR(VLOOKUP(B1921,'Pre-Summary'!$AE$6:$AJ$85,3,FALSE),"")</f>
        <v/>
      </c>
      <c r="H1921" t="str">
        <f>IFERROR(VLOOKUP(B1921,'Pre-Summary'!$AE$6:$AJ$85,4,FALSE),"")</f>
        <v/>
      </c>
      <c r="I1921" t="str">
        <f>IFERROR(VLOOKUP(B1921,'Pre-Summary'!$AE$6:$AJ$85,5,FALSE),"")</f>
        <v/>
      </c>
      <c r="J1921" s="45" t="str">
        <f>IFERROR(VLOOKUP(B1921,'Pre-Summary'!$AE$6:$AJ$85,6, FALSE),"")</f>
        <v/>
      </c>
      <c r="K1921" s="45" t="str">
        <f>IFERROR(VLOOKUP(B1921,'Pre-Summary'!$DE$6:$DG$61,3,FALSE),"")</f>
        <v/>
      </c>
      <c r="L1921" s="45" t="str">
        <f>IFERROR(VLOOKUP(B1921,'Pre-Summary'!$CU$6:$CW$36,3,FALSE),"")</f>
        <v/>
      </c>
      <c r="M1921" s="45" t="str">
        <f>IFERROR(VLOOKUP(B1921,'Pre-Summary'!$BW$6:$BY$58,2,FALSE),"")</f>
        <v/>
      </c>
      <c r="N1921" s="45" t="str">
        <f>IFERROR(VLOOKUP(B1921,'Pre-Summary'!$CD$6:$CF$64,2,FALSE),"")</f>
        <v/>
      </c>
      <c r="O1921" s="99">
        <f>IFERROR(VLOOKUP(B1921,'Pre-Summary'!$BO$6:$BQ$48,3, FALSE),O1920)</f>
        <v>1.3480000000000001</v>
      </c>
      <c r="P1921" s="99">
        <f>IFERROR(VLOOKUP(B1921,'Pre-Summary'!$BS$6:$BU$35,3,FALSE),P1920)</f>
        <v>0.33700000000000002</v>
      </c>
      <c r="Q1921" s="54">
        <f t="shared" si="87"/>
        <v>4</v>
      </c>
      <c r="R1921" s="53">
        <f>IFERROR(VLOOKUP(B1921,'Pre-Summary'!$BG$6:$BM$44,7,FALSE),R1922)</f>
        <v>6.3359901615733558E-2</v>
      </c>
      <c r="S1921" s="53">
        <f>IFERROR(VLOOKUP(B1921,'Pre-Summary'!$BG$6:$BM$44,6,FALSE),S1922)</f>
        <v>9.0755969483796467E-2</v>
      </c>
      <c r="T1921" s="45" t="str">
        <f>IFERROR(VLOOKUP(B1921,'Pre-Summary'!$Y$6:$AC$83, 3,FALSE),"")</f>
        <v/>
      </c>
      <c r="U1921" s="45" t="str">
        <f>IFERROR(VLOOKUP(B1921,'Pre-Summary'!$Y$6:$AC$83, 4,FALSE),"")</f>
        <v/>
      </c>
      <c r="V1921" t="str">
        <f>IFERROR(VLOOKUP(B1921,'Pre-Summary'!$Y$6:$AC$83, 5,FALSE),"")</f>
        <v/>
      </c>
      <c r="W1921" s="45" t="str">
        <f>IFERROR(VLOOKUP(B1921,'Pre-Summary'!$Y$6:$AD$83,6,FALSE),"")</f>
        <v/>
      </c>
      <c r="X1921" t="str">
        <f>IFERROR(VLOOKUP('Pre-Summary'!$DB$6:$DD$63,3,FALSE),"")</f>
        <v/>
      </c>
      <c r="Y1921" t="str">
        <f>IFERROR(VLOOKUP(B1921,'Pre-Summary'!$CR$6:$CT$36,3,FALSE),"")</f>
        <v/>
      </c>
      <c r="Z1921" s="45" t="str">
        <f>IFERROR(VLOOKUP(B1921,'Pre-Summary'!$BZ$6:$CB$63,2,FALSE),"")</f>
        <v/>
      </c>
      <c r="AA1921" s="45" t="str">
        <f>IFERROR(VLOOKUP(B1921,'Pre-Summary'!$CG$6:$CI$70,2,FALSE),"")</f>
        <v/>
      </c>
      <c r="AB1921" s="99">
        <f>IFERROR(VLOOKUP(B1921,'Pre-Summary'!$A$6:$P$178,9,FALSE),AB1922)</f>
        <v>0.29626780772112643</v>
      </c>
      <c r="AC1921" s="10">
        <f>IFERROR(VLOOKUP(Summary!B1921,'Pre-Summary'!$A$6:$P$184,5, FALSE)/100,AC1922)</f>
        <v>0.95596300000000001</v>
      </c>
      <c r="AD1921" s="10">
        <f>IFERROR(VLOOKUP(Summary!B1921,'Pre-Summary'!$A$6:$P$184,3, FALSE)/100,AD1922)</f>
        <v>3.0977333333333336E-2</v>
      </c>
      <c r="AE1921" s="10">
        <f>IFERROR(VLOOKUP(Summary!B1921,'Pre-Summary'!$A$6:$P$184,7, FALSE)/100,AE1922)</f>
        <v>1.3059666666666667E-2</v>
      </c>
      <c r="AF1921" s="99">
        <f t="shared" si="88"/>
        <v>9.1775866357132405E-3</v>
      </c>
      <c r="AG1921" s="99">
        <f t="shared" si="89"/>
        <v>3.8691588129020045E-3</v>
      </c>
      <c r="AH1921" s="10" t="str">
        <f>IFERROR(VLOOKUP(B1921,'Pre-Summary'!$AZ$6:$BE$65,3,FALSE),"")</f>
        <v/>
      </c>
      <c r="AI1921" s="10" t="str">
        <f>IFERROR(VLOOKUP(B1921,'Pre-Summary'!$AZ$6:$BE$65,5,FALSE),"")</f>
        <v/>
      </c>
      <c r="AJ1921" s="10" t="str">
        <f>IFERROR(VLOOKUP(B1921,'Pre-Summary'!$AZ$6:$BE$65,4,FALSE),"")</f>
        <v/>
      </c>
      <c r="AK1921" s="10" t="str">
        <f>IFERROR(VLOOKUP(B1921,'Pre-Summary'!$AZ$6:$BE$65,6,FALSE),"")</f>
        <v/>
      </c>
      <c r="AL1921" s="10" t="str">
        <f>IFERROR(VLOOKUP(B1921,'Pre-Summary'!$BG$6:$BL$44,3,FALSE),"")</f>
        <v/>
      </c>
      <c r="AM1921" s="10" t="str">
        <f>IFERROR(VLOOKUP(B1921,'Pre-Summary'!$BG$6:$BL$44,4,FALSE),"")</f>
        <v/>
      </c>
    </row>
    <row r="1922" spans="2:39" ht="15" customHeight="1" x14ac:dyDescent="0.3">
      <c r="B1922">
        <v>191.9</v>
      </c>
      <c r="C1922" t="str">
        <f>IFERROR(VLOOKUP(B1922,'Pre-Summary'!$DI$6:$DM$23,4,FALSE),"")</f>
        <v/>
      </c>
      <c r="D1922" s="10" t="str">
        <f>IFERROR(VLOOKUP(B1922,'Pre-Summary'!$AT$6:$AX$14,5,FALSE),D1921)</f>
        <v>Wolfe v3: went back to modified wolfe + EDTA and switched CuSO4 to CUCl2</v>
      </c>
      <c r="E1922" s="10" t="str">
        <f>IFERROR(VLOOKUP(B1922,'Pre-Summary'!$AT$6:$AX$15,4,FALSE),"")</f>
        <v/>
      </c>
      <c r="F1922">
        <f>IFERROR(VLOOKUP(B1922,'Pre-Summary'!$AL$6:$AQ$13,6,FALSE),F1921)</f>
        <v>5.9405263157894746E-2</v>
      </c>
      <c r="G1922" t="str">
        <f>IFERROR(VLOOKUP(B1922,'Pre-Summary'!$AE$6:$AJ$85,3,FALSE),"")</f>
        <v/>
      </c>
      <c r="H1922" t="str">
        <f>IFERROR(VLOOKUP(B1922,'Pre-Summary'!$AE$6:$AJ$85,4,FALSE),"")</f>
        <v/>
      </c>
      <c r="I1922" t="str">
        <f>IFERROR(VLOOKUP(B1922,'Pre-Summary'!$AE$6:$AJ$85,5,FALSE),"")</f>
        <v/>
      </c>
      <c r="J1922" s="45" t="str">
        <f>IFERROR(VLOOKUP(B1922,'Pre-Summary'!$AE$6:$AJ$85,6, FALSE),"")</f>
        <v/>
      </c>
      <c r="K1922" s="45" t="str">
        <f>IFERROR(VLOOKUP(B1922,'Pre-Summary'!$DE$6:$DG$61,3,FALSE),"")</f>
        <v/>
      </c>
      <c r="L1922" s="45" t="str">
        <f>IFERROR(VLOOKUP(B1922,'Pre-Summary'!$CU$6:$CW$36,3,FALSE),"")</f>
        <v/>
      </c>
      <c r="M1922" s="45" t="str">
        <f>IFERROR(VLOOKUP(B1922,'Pre-Summary'!$BW$6:$BY$58,2,FALSE),"")</f>
        <v/>
      </c>
      <c r="N1922" s="45" t="str">
        <f>IFERROR(VLOOKUP(B1922,'Pre-Summary'!$CD$6:$CF$64,2,FALSE),"")</f>
        <v/>
      </c>
      <c r="O1922" s="99">
        <f>IFERROR(VLOOKUP(B1922,'Pre-Summary'!$BO$6:$BQ$48,3, FALSE),O1921)</f>
        <v>1.3480000000000001</v>
      </c>
      <c r="P1922" s="99">
        <f>IFERROR(VLOOKUP(B1922,'Pre-Summary'!$BS$6:$BU$35,3,FALSE),P1921)</f>
        <v>0.33700000000000002</v>
      </c>
      <c r="Q1922" s="54">
        <f t="shared" si="87"/>
        <v>4</v>
      </c>
      <c r="R1922" s="53">
        <f>IFERROR(VLOOKUP(B1922,'Pre-Summary'!$BG$6:$BM$44,7,FALSE),R1923)</f>
        <v>6.3359901615733558E-2</v>
      </c>
      <c r="S1922" s="53">
        <f>IFERROR(VLOOKUP(B1922,'Pre-Summary'!$BG$6:$BM$44,6,FALSE),S1923)</f>
        <v>9.0755969483796467E-2</v>
      </c>
      <c r="T1922" s="45" t="str">
        <f>IFERROR(VLOOKUP(B1922,'Pre-Summary'!$Y$6:$AC$83, 3,FALSE),"")</f>
        <v/>
      </c>
      <c r="U1922" s="45" t="str">
        <f>IFERROR(VLOOKUP(B1922,'Pre-Summary'!$Y$6:$AC$83, 4,FALSE),"")</f>
        <v/>
      </c>
      <c r="V1922" t="str">
        <f>IFERROR(VLOOKUP(B1922,'Pre-Summary'!$Y$6:$AC$83, 5,FALSE),"")</f>
        <v/>
      </c>
      <c r="W1922" s="45" t="str">
        <f>IFERROR(VLOOKUP(B1922,'Pre-Summary'!$Y$6:$AD$83,6,FALSE),"")</f>
        <v/>
      </c>
      <c r="X1922" t="str">
        <f>IFERROR(VLOOKUP('Pre-Summary'!$DB$6:$DD$63,3,FALSE),"")</f>
        <v/>
      </c>
      <c r="Y1922" t="str">
        <f>IFERROR(VLOOKUP(B1922,'Pre-Summary'!$CR$6:$CT$36,3,FALSE),"")</f>
        <v/>
      </c>
      <c r="Z1922" s="45" t="str">
        <f>IFERROR(VLOOKUP(B1922,'Pre-Summary'!$BZ$6:$CB$63,2,FALSE),"")</f>
        <v/>
      </c>
      <c r="AA1922" s="45" t="str">
        <f>IFERROR(VLOOKUP(B1922,'Pre-Summary'!$CG$6:$CI$70,2,FALSE),"")</f>
        <v/>
      </c>
      <c r="AB1922" s="99">
        <f>IFERROR(VLOOKUP(B1922,'Pre-Summary'!$A$6:$P$178,9,FALSE),AB1923)</f>
        <v>0.29626780772112643</v>
      </c>
      <c r="AC1922" s="10">
        <f>IFERROR(VLOOKUP(Summary!B1922,'Pre-Summary'!$A$6:$P$184,5, FALSE)/100,AC1923)</f>
        <v>0.95596300000000001</v>
      </c>
      <c r="AD1922" s="10">
        <f>IFERROR(VLOOKUP(Summary!B1922,'Pre-Summary'!$A$6:$P$184,3, FALSE)/100,AD1923)</f>
        <v>3.0977333333333336E-2</v>
      </c>
      <c r="AE1922" s="10">
        <f>IFERROR(VLOOKUP(Summary!B1922,'Pre-Summary'!$A$6:$P$184,7, FALSE)/100,AE1923)</f>
        <v>1.3059666666666667E-2</v>
      </c>
      <c r="AF1922" s="99">
        <f t="shared" si="88"/>
        <v>9.1775866357132405E-3</v>
      </c>
      <c r="AG1922" s="99">
        <f t="shared" si="89"/>
        <v>3.8691588129020045E-3</v>
      </c>
      <c r="AH1922" s="10" t="str">
        <f>IFERROR(VLOOKUP(B1922,'Pre-Summary'!$AZ$6:$BE$65,3,FALSE),"")</f>
        <v/>
      </c>
      <c r="AI1922" s="10" t="str">
        <f>IFERROR(VLOOKUP(B1922,'Pre-Summary'!$AZ$6:$BE$65,5,FALSE),"")</f>
        <v/>
      </c>
      <c r="AJ1922" s="10" t="str">
        <f>IFERROR(VLOOKUP(B1922,'Pre-Summary'!$AZ$6:$BE$65,4,FALSE),"")</f>
        <v/>
      </c>
      <c r="AK1922" s="10" t="str">
        <f>IFERROR(VLOOKUP(B1922,'Pre-Summary'!$AZ$6:$BE$65,6,FALSE),"")</f>
        <v/>
      </c>
      <c r="AL1922" s="10" t="str">
        <f>IFERROR(VLOOKUP(B1922,'Pre-Summary'!$BG$6:$BL$44,3,FALSE),"")</f>
        <v/>
      </c>
      <c r="AM1922" s="10" t="str">
        <f>IFERROR(VLOOKUP(B1922,'Pre-Summary'!$BG$6:$BL$44,4,FALSE),"")</f>
        <v/>
      </c>
    </row>
    <row r="1923" spans="2:39" ht="15" customHeight="1" x14ac:dyDescent="0.3">
      <c r="B1923">
        <v>192</v>
      </c>
      <c r="C1923" t="str">
        <f>IFERROR(VLOOKUP(B1923,'Pre-Summary'!$DI$6:$DM$23,4,FALSE),"")</f>
        <v/>
      </c>
      <c r="D1923" s="10" t="str">
        <f>IFERROR(VLOOKUP(B1923,'Pre-Summary'!$AT$6:$AX$14,5,FALSE),D1922)</f>
        <v>Wolfe v3: went back to modified wolfe + EDTA and switched CuSO4 to CUCl2</v>
      </c>
      <c r="E1923" s="10" t="str">
        <f>IFERROR(VLOOKUP(B1923,'Pre-Summary'!$AT$6:$AX$15,4,FALSE),"")</f>
        <v/>
      </c>
      <c r="F1923">
        <f>IFERROR(VLOOKUP(B1923,'Pre-Summary'!$AL$6:$AQ$13,6,FALSE),F1922)</f>
        <v>5.9405263157894746E-2</v>
      </c>
      <c r="G1923" t="str">
        <f>IFERROR(VLOOKUP(B1923,'Pre-Summary'!$AE$6:$AJ$85,3,FALSE),"")</f>
        <v/>
      </c>
      <c r="H1923" t="str">
        <f>IFERROR(VLOOKUP(B1923,'Pre-Summary'!$AE$6:$AJ$85,4,FALSE),"")</f>
        <v/>
      </c>
      <c r="I1923" t="str">
        <f>IFERROR(VLOOKUP(B1923,'Pre-Summary'!$AE$6:$AJ$85,5,FALSE),"")</f>
        <v/>
      </c>
      <c r="J1923" s="45" t="str">
        <f>IFERROR(VLOOKUP(B1923,'Pre-Summary'!$AE$6:$AJ$85,6, FALSE),"")</f>
        <v/>
      </c>
      <c r="K1923" s="45" t="str">
        <f>IFERROR(VLOOKUP(B1923,'Pre-Summary'!$DE$6:$DG$61,3,FALSE),"")</f>
        <v/>
      </c>
      <c r="L1923" s="45" t="str">
        <f>IFERROR(VLOOKUP(B1923,'Pre-Summary'!$CU$6:$CW$36,3,FALSE),"")</f>
        <v/>
      </c>
      <c r="M1923" s="45" t="str">
        <f>IFERROR(VLOOKUP(B1923,'Pre-Summary'!$BW$6:$BY$58,2,FALSE),"")</f>
        <v/>
      </c>
      <c r="N1923" s="45" t="str">
        <f>IFERROR(VLOOKUP(B1923,'Pre-Summary'!$CD$6:$CF$64,2,FALSE),"")</f>
        <v/>
      </c>
      <c r="O1923" s="99">
        <f>IFERROR(VLOOKUP(B1923,'Pre-Summary'!$BO$6:$BQ$48,3, FALSE),O1922)</f>
        <v>1.3480000000000001</v>
      </c>
      <c r="P1923" s="99">
        <f>IFERROR(VLOOKUP(B1923,'Pre-Summary'!$BS$6:$BU$35,3,FALSE),P1922)</f>
        <v>0.33700000000000002</v>
      </c>
      <c r="Q1923" s="54">
        <f t="shared" ref="Q1923:Q1986" si="90">O1923/P1923</f>
        <v>4</v>
      </c>
      <c r="R1923" s="53">
        <f>IFERROR(VLOOKUP(B1923,'Pre-Summary'!$BG$6:$BM$44,7,FALSE),R1924)</f>
        <v>6.3359901615733558E-2</v>
      </c>
      <c r="S1923" s="53">
        <f>IFERROR(VLOOKUP(B1923,'Pre-Summary'!$BG$6:$BM$44,6,FALSE),S1924)</f>
        <v>9.0755969483796467E-2</v>
      </c>
      <c r="T1923" s="45" t="str">
        <f>IFERROR(VLOOKUP(B1923,'Pre-Summary'!$Y$6:$AC$83, 3,FALSE),"")</f>
        <v/>
      </c>
      <c r="U1923" s="45" t="str">
        <f>IFERROR(VLOOKUP(B1923,'Pre-Summary'!$Y$6:$AC$83, 4,FALSE),"")</f>
        <v/>
      </c>
      <c r="V1923" t="str">
        <f>IFERROR(VLOOKUP(B1923,'Pre-Summary'!$Y$6:$AC$83, 5,FALSE),"")</f>
        <v/>
      </c>
      <c r="W1923" s="45" t="str">
        <f>IFERROR(VLOOKUP(B1923,'Pre-Summary'!$Y$6:$AD$83,6,FALSE),"")</f>
        <v/>
      </c>
      <c r="X1923" t="str">
        <f>IFERROR(VLOOKUP('Pre-Summary'!$DB$6:$DD$63,3,FALSE),"")</f>
        <v/>
      </c>
      <c r="Y1923" t="str">
        <f>IFERROR(VLOOKUP(B1923,'Pre-Summary'!$CR$6:$CT$36,3,FALSE),"")</f>
        <v/>
      </c>
      <c r="Z1923" s="45" t="str">
        <f>IFERROR(VLOOKUP(B1923,'Pre-Summary'!$BZ$6:$CB$63,2,FALSE),"")</f>
        <v/>
      </c>
      <c r="AA1923" s="45" t="str">
        <f>IFERROR(VLOOKUP(B1923,'Pre-Summary'!$CG$6:$CI$70,2,FALSE),"")</f>
        <v/>
      </c>
      <c r="AB1923" s="99">
        <f>IFERROR(VLOOKUP(B1923,'Pre-Summary'!$A$6:$P$178,9,FALSE),AB1924)</f>
        <v>0.30044327255958808</v>
      </c>
      <c r="AC1923" s="10">
        <f>IFERROR(VLOOKUP(Summary!B1923,'Pre-Summary'!$A$6:$P$184,5, FALSE)/100,AC1924)</f>
        <v>0.96390199999999993</v>
      </c>
      <c r="AD1923" s="10">
        <f>IFERROR(VLOOKUP(Summary!B1923,'Pre-Summary'!$A$6:$P$184,3, FALSE)/100,AD1924)</f>
        <v>2.2943666666666664E-2</v>
      </c>
      <c r="AE1923" s="10">
        <f>IFERROR(VLOOKUP(Summary!B1923,'Pre-Summary'!$A$6:$P$184,7, FALSE)/100,AE1924)</f>
        <v>1.3154333333333332E-2</v>
      </c>
      <c r="AF1923" s="99">
        <f t="shared" ref="AF1923:AF1986" si="91">AD1923*AB1923</f>
        <v>6.8932702978496685E-3</v>
      </c>
      <c r="AG1923" s="99">
        <f t="shared" ref="AG1923:AG1986" si="92">AB1923*AE1923</f>
        <v>3.9521309550063412E-3</v>
      </c>
      <c r="AH1923" s="10" t="str">
        <f>IFERROR(VLOOKUP(B1923,'Pre-Summary'!$AZ$6:$BE$65,3,FALSE),"")</f>
        <v/>
      </c>
      <c r="AI1923" s="10" t="str">
        <f>IFERROR(VLOOKUP(B1923,'Pre-Summary'!$AZ$6:$BE$65,5,FALSE),"")</f>
        <v/>
      </c>
      <c r="AJ1923" s="10" t="str">
        <f>IFERROR(VLOOKUP(B1923,'Pre-Summary'!$AZ$6:$BE$65,4,FALSE),"")</f>
        <v/>
      </c>
      <c r="AK1923" s="10" t="str">
        <f>IFERROR(VLOOKUP(B1923,'Pre-Summary'!$AZ$6:$BE$65,6,FALSE),"")</f>
        <v/>
      </c>
      <c r="AL1923" s="10" t="str">
        <f>IFERROR(VLOOKUP(B1923,'Pre-Summary'!$BG$6:$BL$44,3,FALSE),"")</f>
        <v/>
      </c>
      <c r="AM1923" s="10" t="str">
        <f>IFERROR(VLOOKUP(B1923,'Pre-Summary'!$BG$6:$BL$44,4,FALSE),"")</f>
        <v/>
      </c>
    </row>
    <row r="1924" spans="2:39" ht="15" customHeight="1" x14ac:dyDescent="0.3">
      <c r="B1924">
        <v>192.1</v>
      </c>
      <c r="C1924" t="str">
        <f>IFERROR(VLOOKUP(B1924,'Pre-Summary'!$DI$6:$DM$23,4,FALSE),"")</f>
        <v/>
      </c>
      <c r="D1924" s="10" t="str">
        <f>IFERROR(VLOOKUP(B1924,'Pre-Summary'!$AT$6:$AX$14,5,FALSE),D1923)</f>
        <v>Wolfe v3: went back to modified wolfe + EDTA and switched CuSO4 to CUCl2</v>
      </c>
      <c r="E1924" s="10" t="str">
        <f>IFERROR(VLOOKUP(B1924,'Pre-Summary'!$AT$6:$AX$15,4,FALSE),"")</f>
        <v/>
      </c>
      <c r="F1924">
        <f>IFERROR(VLOOKUP(B1924,'Pre-Summary'!$AL$6:$AQ$13,6,FALSE),F1923)</f>
        <v>5.9405263157894746E-2</v>
      </c>
      <c r="G1924" t="str">
        <f>IFERROR(VLOOKUP(B1924,'Pre-Summary'!$AE$6:$AJ$85,3,FALSE),"")</f>
        <v/>
      </c>
      <c r="H1924" t="str">
        <f>IFERROR(VLOOKUP(B1924,'Pre-Summary'!$AE$6:$AJ$85,4,FALSE),"")</f>
        <v/>
      </c>
      <c r="I1924" t="str">
        <f>IFERROR(VLOOKUP(B1924,'Pre-Summary'!$AE$6:$AJ$85,5,FALSE),"")</f>
        <v/>
      </c>
      <c r="J1924" s="45" t="str">
        <f>IFERROR(VLOOKUP(B1924,'Pre-Summary'!$AE$6:$AJ$85,6, FALSE),"")</f>
        <v/>
      </c>
      <c r="K1924" s="45" t="str">
        <f>IFERROR(VLOOKUP(B1924,'Pre-Summary'!$DE$6:$DG$61,3,FALSE),"")</f>
        <v/>
      </c>
      <c r="L1924" s="45" t="str">
        <f>IFERROR(VLOOKUP(B1924,'Pre-Summary'!$CU$6:$CW$36,3,FALSE),"")</f>
        <v/>
      </c>
      <c r="M1924" s="45" t="str">
        <f>IFERROR(VLOOKUP(B1924,'Pre-Summary'!$BW$6:$BY$58,2,FALSE),"")</f>
        <v/>
      </c>
      <c r="N1924" s="45" t="str">
        <f>IFERROR(VLOOKUP(B1924,'Pre-Summary'!$CD$6:$CF$64,2,FALSE),"")</f>
        <v/>
      </c>
      <c r="O1924" s="99">
        <f>IFERROR(VLOOKUP(B1924,'Pre-Summary'!$BO$6:$BQ$48,3, FALSE),O1923)</f>
        <v>1.3480000000000001</v>
      </c>
      <c r="P1924" s="99">
        <f>IFERROR(VLOOKUP(B1924,'Pre-Summary'!$BS$6:$BU$35,3,FALSE),P1923)</f>
        <v>0.33700000000000002</v>
      </c>
      <c r="Q1924" s="54">
        <f t="shared" si="90"/>
        <v>4</v>
      </c>
      <c r="R1924" s="53">
        <f>IFERROR(VLOOKUP(B1924,'Pre-Summary'!$BG$6:$BM$44,7,FALSE),R1925)</f>
        <v>6.3359901615733558E-2</v>
      </c>
      <c r="S1924" s="53">
        <f>IFERROR(VLOOKUP(B1924,'Pre-Summary'!$BG$6:$BM$44,6,FALSE),S1925)</f>
        <v>9.0755969483796467E-2</v>
      </c>
      <c r="T1924" s="45" t="str">
        <f>IFERROR(VLOOKUP(B1924,'Pre-Summary'!$Y$6:$AC$83, 3,FALSE),"")</f>
        <v/>
      </c>
      <c r="U1924" s="45" t="str">
        <f>IFERROR(VLOOKUP(B1924,'Pre-Summary'!$Y$6:$AC$83, 4,FALSE),"")</f>
        <v/>
      </c>
      <c r="V1924" t="str">
        <f>IFERROR(VLOOKUP(B1924,'Pre-Summary'!$Y$6:$AC$83, 5,FALSE),"")</f>
        <v/>
      </c>
      <c r="W1924" s="45" t="str">
        <f>IFERROR(VLOOKUP(B1924,'Pre-Summary'!$Y$6:$AD$83,6,FALSE),"")</f>
        <v/>
      </c>
      <c r="X1924" t="str">
        <f>IFERROR(VLOOKUP('Pre-Summary'!$DB$6:$DD$63,3,FALSE),"")</f>
        <v/>
      </c>
      <c r="Y1924" t="str">
        <f>IFERROR(VLOOKUP(B1924,'Pre-Summary'!$CR$6:$CT$36,3,FALSE),"")</f>
        <v/>
      </c>
      <c r="Z1924" s="45" t="str">
        <f>IFERROR(VLOOKUP(B1924,'Pre-Summary'!$BZ$6:$CB$63,2,FALSE),"")</f>
        <v/>
      </c>
      <c r="AA1924" s="45" t="str">
        <f>IFERROR(VLOOKUP(B1924,'Pre-Summary'!$CG$6:$CI$70,2,FALSE),"")</f>
        <v/>
      </c>
      <c r="AB1924" s="99">
        <f>IFERROR(VLOOKUP(B1924,'Pre-Summary'!$A$6:$P$178,9,FALSE),AB1925)</f>
        <v>0.30044327255958808</v>
      </c>
      <c r="AC1924" s="10">
        <f>IFERROR(VLOOKUP(Summary!B1924,'Pre-Summary'!$A$6:$P$184,5, FALSE)/100,AC1925)</f>
        <v>0.96390199999999993</v>
      </c>
      <c r="AD1924" s="10">
        <f>IFERROR(VLOOKUP(Summary!B1924,'Pre-Summary'!$A$6:$P$184,3, FALSE)/100,AD1925)</f>
        <v>2.2943666666666664E-2</v>
      </c>
      <c r="AE1924" s="10">
        <f>IFERROR(VLOOKUP(Summary!B1924,'Pre-Summary'!$A$6:$P$184,7, FALSE)/100,AE1925)</f>
        <v>1.3154333333333332E-2</v>
      </c>
      <c r="AF1924" s="99">
        <f t="shared" si="91"/>
        <v>6.8932702978496685E-3</v>
      </c>
      <c r="AG1924" s="99">
        <f t="shared" si="92"/>
        <v>3.9521309550063412E-3</v>
      </c>
      <c r="AH1924" s="10" t="str">
        <f>IFERROR(VLOOKUP(B1924,'Pre-Summary'!$AZ$6:$BE$65,3,FALSE),"")</f>
        <v/>
      </c>
      <c r="AI1924" s="10" t="str">
        <f>IFERROR(VLOOKUP(B1924,'Pre-Summary'!$AZ$6:$BE$65,5,FALSE),"")</f>
        <v/>
      </c>
      <c r="AJ1924" s="10" t="str">
        <f>IFERROR(VLOOKUP(B1924,'Pre-Summary'!$AZ$6:$BE$65,4,FALSE),"")</f>
        <v/>
      </c>
      <c r="AK1924" s="10" t="str">
        <f>IFERROR(VLOOKUP(B1924,'Pre-Summary'!$AZ$6:$BE$65,6,FALSE),"")</f>
        <v/>
      </c>
      <c r="AL1924" s="10" t="str">
        <f>IFERROR(VLOOKUP(B1924,'Pre-Summary'!$BG$6:$BL$44,3,FALSE),"")</f>
        <v/>
      </c>
      <c r="AM1924" s="10" t="str">
        <f>IFERROR(VLOOKUP(B1924,'Pre-Summary'!$BG$6:$BL$44,4,FALSE),"")</f>
        <v/>
      </c>
    </row>
    <row r="1925" spans="2:39" ht="15" customHeight="1" x14ac:dyDescent="0.3">
      <c r="B1925">
        <v>192.2</v>
      </c>
      <c r="C1925" t="str">
        <f>IFERROR(VLOOKUP(B1925,'Pre-Summary'!$DI$6:$DM$23,4,FALSE),"")</f>
        <v/>
      </c>
      <c r="D1925" s="10" t="str">
        <f>IFERROR(VLOOKUP(B1925,'Pre-Summary'!$AT$6:$AX$14,5,FALSE),D1924)</f>
        <v>Wolfe v3: went back to modified wolfe + EDTA and switched CuSO4 to CUCl2</v>
      </c>
      <c r="E1925" s="10" t="str">
        <f>IFERROR(VLOOKUP(B1925,'Pre-Summary'!$AT$6:$AX$15,4,FALSE),"")</f>
        <v/>
      </c>
      <c r="F1925">
        <f>IFERROR(VLOOKUP(B1925,'Pre-Summary'!$AL$6:$AQ$13,6,FALSE),F1924)</f>
        <v>5.9405263157894746E-2</v>
      </c>
      <c r="G1925" t="str">
        <f>IFERROR(VLOOKUP(B1925,'Pre-Summary'!$AE$6:$AJ$85,3,FALSE),"")</f>
        <v/>
      </c>
      <c r="H1925" t="str">
        <f>IFERROR(VLOOKUP(B1925,'Pre-Summary'!$AE$6:$AJ$85,4,FALSE),"")</f>
        <v/>
      </c>
      <c r="I1925" t="str">
        <f>IFERROR(VLOOKUP(B1925,'Pre-Summary'!$AE$6:$AJ$85,5,FALSE),"")</f>
        <v/>
      </c>
      <c r="J1925" s="45" t="str">
        <f>IFERROR(VLOOKUP(B1925,'Pre-Summary'!$AE$6:$AJ$85,6, FALSE),"")</f>
        <v/>
      </c>
      <c r="K1925" s="45" t="str">
        <f>IFERROR(VLOOKUP(B1925,'Pre-Summary'!$DE$6:$DG$61,3,FALSE),"")</f>
        <v/>
      </c>
      <c r="L1925" s="45" t="str">
        <f>IFERROR(VLOOKUP(B1925,'Pre-Summary'!$CU$6:$CW$36,3,FALSE),"")</f>
        <v/>
      </c>
      <c r="M1925" s="45" t="str">
        <f>IFERROR(VLOOKUP(B1925,'Pre-Summary'!$BW$6:$BY$58,2,FALSE),"")</f>
        <v/>
      </c>
      <c r="N1925" s="45" t="str">
        <f>IFERROR(VLOOKUP(B1925,'Pre-Summary'!$CD$6:$CF$64,2,FALSE),"")</f>
        <v/>
      </c>
      <c r="O1925" s="99">
        <f>IFERROR(VLOOKUP(B1925,'Pre-Summary'!$BO$6:$BQ$48,3, FALSE),O1924)</f>
        <v>1.3480000000000001</v>
      </c>
      <c r="P1925" s="99">
        <f>IFERROR(VLOOKUP(B1925,'Pre-Summary'!$BS$6:$BU$35,3,FALSE),P1924)</f>
        <v>0.33700000000000002</v>
      </c>
      <c r="Q1925" s="54">
        <f t="shared" si="90"/>
        <v>4</v>
      </c>
      <c r="R1925" s="53">
        <f>IFERROR(VLOOKUP(B1925,'Pre-Summary'!$BG$6:$BM$44,7,FALSE),R1926)</f>
        <v>6.3359901615733558E-2</v>
      </c>
      <c r="S1925" s="53">
        <f>IFERROR(VLOOKUP(B1925,'Pre-Summary'!$BG$6:$BM$44,6,FALSE),S1926)</f>
        <v>9.0755969483796467E-2</v>
      </c>
      <c r="T1925" s="45" t="str">
        <f>IFERROR(VLOOKUP(B1925,'Pre-Summary'!$Y$6:$AC$83, 3,FALSE),"")</f>
        <v/>
      </c>
      <c r="U1925" s="45" t="str">
        <f>IFERROR(VLOOKUP(B1925,'Pre-Summary'!$Y$6:$AC$83, 4,FALSE),"")</f>
        <v/>
      </c>
      <c r="V1925" t="str">
        <f>IFERROR(VLOOKUP(B1925,'Pre-Summary'!$Y$6:$AC$83, 5,FALSE),"")</f>
        <v/>
      </c>
      <c r="W1925" s="45" t="str">
        <f>IFERROR(VLOOKUP(B1925,'Pre-Summary'!$Y$6:$AD$83,6,FALSE),"")</f>
        <v/>
      </c>
      <c r="X1925" t="str">
        <f>IFERROR(VLOOKUP('Pre-Summary'!$DB$6:$DD$63,3,FALSE),"")</f>
        <v/>
      </c>
      <c r="Y1925" t="str">
        <f>IFERROR(VLOOKUP(B1925,'Pre-Summary'!$CR$6:$CT$36,3,FALSE),"")</f>
        <v/>
      </c>
      <c r="Z1925" s="45" t="str">
        <f>IFERROR(VLOOKUP(B1925,'Pre-Summary'!$BZ$6:$CB$63,2,FALSE),"")</f>
        <v/>
      </c>
      <c r="AA1925" s="45" t="str">
        <f>IFERROR(VLOOKUP(B1925,'Pre-Summary'!$CG$6:$CI$70,2,FALSE),"")</f>
        <v/>
      </c>
      <c r="AB1925" s="99">
        <f>IFERROR(VLOOKUP(B1925,'Pre-Summary'!$A$6:$P$178,9,FALSE),AB1926)</f>
        <v>0.30044327255958808</v>
      </c>
      <c r="AC1925" s="10">
        <f>IFERROR(VLOOKUP(Summary!B1925,'Pre-Summary'!$A$6:$P$184,5, FALSE)/100,AC1926)</f>
        <v>0.96390199999999993</v>
      </c>
      <c r="AD1925" s="10">
        <f>IFERROR(VLOOKUP(Summary!B1925,'Pre-Summary'!$A$6:$P$184,3, FALSE)/100,AD1926)</f>
        <v>2.2943666666666664E-2</v>
      </c>
      <c r="AE1925" s="10">
        <f>IFERROR(VLOOKUP(Summary!B1925,'Pre-Summary'!$A$6:$P$184,7, FALSE)/100,AE1926)</f>
        <v>1.3154333333333332E-2</v>
      </c>
      <c r="AF1925" s="99">
        <f t="shared" si="91"/>
        <v>6.8932702978496685E-3</v>
      </c>
      <c r="AG1925" s="99">
        <f t="shared" si="92"/>
        <v>3.9521309550063412E-3</v>
      </c>
      <c r="AH1925" s="10" t="str">
        <f>IFERROR(VLOOKUP(B1925,'Pre-Summary'!$AZ$6:$BE$65,3,FALSE),"")</f>
        <v/>
      </c>
      <c r="AI1925" s="10" t="str">
        <f>IFERROR(VLOOKUP(B1925,'Pre-Summary'!$AZ$6:$BE$65,5,FALSE),"")</f>
        <v/>
      </c>
      <c r="AJ1925" s="10" t="str">
        <f>IFERROR(VLOOKUP(B1925,'Pre-Summary'!$AZ$6:$BE$65,4,FALSE),"")</f>
        <v/>
      </c>
      <c r="AK1925" s="10" t="str">
        <f>IFERROR(VLOOKUP(B1925,'Pre-Summary'!$AZ$6:$BE$65,6,FALSE),"")</f>
        <v/>
      </c>
      <c r="AL1925" s="10" t="str">
        <f>IFERROR(VLOOKUP(B1925,'Pre-Summary'!$BG$6:$BL$44,3,FALSE),"")</f>
        <v/>
      </c>
      <c r="AM1925" s="10" t="str">
        <f>IFERROR(VLOOKUP(B1925,'Pre-Summary'!$BG$6:$BL$44,4,FALSE),"")</f>
        <v/>
      </c>
    </row>
    <row r="1926" spans="2:39" ht="15" customHeight="1" x14ac:dyDescent="0.3">
      <c r="B1926">
        <v>192.3</v>
      </c>
      <c r="C1926" t="str">
        <f>IFERROR(VLOOKUP(B1926,'Pre-Summary'!$DI$6:$DM$23,4,FALSE),"")</f>
        <v/>
      </c>
      <c r="D1926" s="10" t="str">
        <f>IFERROR(VLOOKUP(B1926,'Pre-Summary'!$AT$6:$AX$14,5,FALSE),D1925)</f>
        <v>Wolfe v3: went back to modified wolfe + EDTA and switched CuSO4 to CUCl2</v>
      </c>
      <c r="E1926" s="10" t="str">
        <f>IFERROR(VLOOKUP(B1926,'Pre-Summary'!$AT$6:$AX$15,4,FALSE),"")</f>
        <v/>
      </c>
      <c r="F1926">
        <f>IFERROR(VLOOKUP(B1926,'Pre-Summary'!$AL$6:$AQ$13,6,FALSE),F1925)</f>
        <v>5.9405263157894746E-2</v>
      </c>
      <c r="G1926" t="str">
        <f>IFERROR(VLOOKUP(B1926,'Pre-Summary'!$AE$6:$AJ$85,3,FALSE),"")</f>
        <v/>
      </c>
      <c r="H1926" t="str">
        <f>IFERROR(VLOOKUP(B1926,'Pre-Summary'!$AE$6:$AJ$85,4,FALSE),"")</f>
        <v/>
      </c>
      <c r="I1926" t="str">
        <f>IFERROR(VLOOKUP(B1926,'Pre-Summary'!$AE$6:$AJ$85,5,FALSE),"")</f>
        <v/>
      </c>
      <c r="J1926" s="45" t="str">
        <f>IFERROR(VLOOKUP(B1926,'Pre-Summary'!$AE$6:$AJ$85,6, FALSE),"")</f>
        <v/>
      </c>
      <c r="K1926" s="45" t="str">
        <f>IFERROR(VLOOKUP(B1926,'Pre-Summary'!$DE$6:$DG$61,3,FALSE),"")</f>
        <v/>
      </c>
      <c r="L1926" s="45" t="str">
        <f>IFERROR(VLOOKUP(B1926,'Pre-Summary'!$CU$6:$CW$36,3,FALSE),"")</f>
        <v/>
      </c>
      <c r="M1926" s="45" t="str">
        <f>IFERROR(VLOOKUP(B1926,'Pre-Summary'!$BW$6:$BY$58,2,FALSE),"")</f>
        <v/>
      </c>
      <c r="N1926" s="45" t="str">
        <f>IFERROR(VLOOKUP(B1926,'Pre-Summary'!$CD$6:$CF$64,2,FALSE),"")</f>
        <v/>
      </c>
      <c r="O1926" s="99">
        <f>IFERROR(VLOOKUP(B1926,'Pre-Summary'!$BO$6:$BQ$48,3, FALSE),O1925)</f>
        <v>1.3480000000000001</v>
      </c>
      <c r="P1926" s="99">
        <f>IFERROR(VLOOKUP(B1926,'Pre-Summary'!$BS$6:$BU$35,3,FALSE),P1925)</f>
        <v>0.33700000000000002</v>
      </c>
      <c r="Q1926" s="54">
        <f t="shared" si="90"/>
        <v>4</v>
      </c>
      <c r="R1926" s="53">
        <f>IFERROR(VLOOKUP(B1926,'Pre-Summary'!$BG$6:$BM$44,7,FALSE),R1927)</f>
        <v>6.3359901615733558E-2</v>
      </c>
      <c r="S1926" s="53">
        <f>IFERROR(VLOOKUP(B1926,'Pre-Summary'!$BG$6:$BM$44,6,FALSE),S1927)</f>
        <v>9.0755969483796467E-2</v>
      </c>
      <c r="T1926" s="45" t="str">
        <f>IFERROR(VLOOKUP(B1926,'Pre-Summary'!$Y$6:$AC$83, 3,FALSE),"")</f>
        <v/>
      </c>
      <c r="U1926" s="45" t="str">
        <f>IFERROR(VLOOKUP(B1926,'Pre-Summary'!$Y$6:$AC$83, 4,FALSE),"")</f>
        <v/>
      </c>
      <c r="V1926" t="str">
        <f>IFERROR(VLOOKUP(B1926,'Pre-Summary'!$Y$6:$AC$83, 5,FALSE),"")</f>
        <v/>
      </c>
      <c r="W1926" s="45" t="str">
        <f>IFERROR(VLOOKUP(B1926,'Pre-Summary'!$Y$6:$AD$83,6,FALSE),"")</f>
        <v/>
      </c>
      <c r="X1926" t="str">
        <f>IFERROR(VLOOKUP('Pre-Summary'!$DB$6:$DD$63,3,FALSE),"")</f>
        <v/>
      </c>
      <c r="Y1926" t="str">
        <f>IFERROR(VLOOKUP(B1926,'Pre-Summary'!$CR$6:$CT$36,3,FALSE),"")</f>
        <v/>
      </c>
      <c r="Z1926" s="45" t="str">
        <f>IFERROR(VLOOKUP(B1926,'Pre-Summary'!$BZ$6:$CB$63,2,FALSE),"")</f>
        <v/>
      </c>
      <c r="AA1926" s="45" t="str">
        <f>IFERROR(VLOOKUP(B1926,'Pre-Summary'!$CG$6:$CI$70,2,FALSE),"")</f>
        <v/>
      </c>
      <c r="AB1926" s="99">
        <f>IFERROR(VLOOKUP(B1926,'Pre-Summary'!$A$6:$P$178,9,FALSE),AB1927)</f>
        <v>0.30044327255958808</v>
      </c>
      <c r="AC1926" s="10">
        <f>IFERROR(VLOOKUP(Summary!B1926,'Pre-Summary'!$A$6:$P$184,5, FALSE)/100,AC1927)</f>
        <v>0.96390199999999993</v>
      </c>
      <c r="AD1926" s="10">
        <f>IFERROR(VLOOKUP(Summary!B1926,'Pre-Summary'!$A$6:$P$184,3, FALSE)/100,AD1927)</f>
        <v>2.2943666666666664E-2</v>
      </c>
      <c r="AE1926" s="10">
        <f>IFERROR(VLOOKUP(Summary!B1926,'Pre-Summary'!$A$6:$P$184,7, FALSE)/100,AE1927)</f>
        <v>1.3154333333333332E-2</v>
      </c>
      <c r="AF1926" s="99">
        <f t="shared" si="91"/>
        <v>6.8932702978496685E-3</v>
      </c>
      <c r="AG1926" s="99">
        <f t="shared" si="92"/>
        <v>3.9521309550063412E-3</v>
      </c>
      <c r="AH1926" s="10" t="str">
        <f>IFERROR(VLOOKUP(B1926,'Pre-Summary'!$AZ$6:$BE$65,3,FALSE),"")</f>
        <v/>
      </c>
      <c r="AI1926" s="10" t="str">
        <f>IFERROR(VLOOKUP(B1926,'Pre-Summary'!$AZ$6:$BE$65,5,FALSE),"")</f>
        <v/>
      </c>
      <c r="AJ1926" s="10" t="str">
        <f>IFERROR(VLOOKUP(B1926,'Pre-Summary'!$AZ$6:$BE$65,4,FALSE),"")</f>
        <v/>
      </c>
      <c r="AK1926" s="10" t="str">
        <f>IFERROR(VLOOKUP(B1926,'Pre-Summary'!$AZ$6:$BE$65,6,FALSE),"")</f>
        <v/>
      </c>
      <c r="AL1926" s="10" t="str">
        <f>IFERROR(VLOOKUP(B1926,'Pre-Summary'!$BG$6:$BL$44,3,FALSE),"")</f>
        <v/>
      </c>
      <c r="AM1926" s="10" t="str">
        <f>IFERROR(VLOOKUP(B1926,'Pre-Summary'!$BG$6:$BL$44,4,FALSE),"")</f>
        <v/>
      </c>
    </row>
    <row r="1927" spans="2:39" ht="15" customHeight="1" x14ac:dyDescent="0.3">
      <c r="B1927">
        <v>192.4</v>
      </c>
      <c r="C1927" t="str">
        <f>IFERROR(VLOOKUP(B1927,'Pre-Summary'!$DI$6:$DM$23,4,FALSE),"")</f>
        <v/>
      </c>
      <c r="D1927" s="10" t="str">
        <f>IFERROR(VLOOKUP(B1927,'Pre-Summary'!$AT$6:$AX$14,5,FALSE),D1926)</f>
        <v>Wolfe v3: went back to modified wolfe + EDTA and switched CuSO4 to CUCl2</v>
      </c>
      <c r="E1927" s="10" t="str">
        <f>IFERROR(VLOOKUP(B1927,'Pre-Summary'!$AT$6:$AX$15,4,FALSE),"")</f>
        <v/>
      </c>
      <c r="F1927">
        <f>IFERROR(VLOOKUP(B1927,'Pre-Summary'!$AL$6:$AQ$13,6,FALSE),F1926)</f>
        <v>5.9405263157894746E-2</v>
      </c>
      <c r="G1927" t="str">
        <f>IFERROR(VLOOKUP(B1927,'Pre-Summary'!$AE$6:$AJ$85,3,FALSE),"")</f>
        <v/>
      </c>
      <c r="H1927" t="str">
        <f>IFERROR(VLOOKUP(B1927,'Pre-Summary'!$AE$6:$AJ$85,4,FALSE),"")</f>
        <v/>
      </c>
      <c r="I1927" t="str">
        <f>IFERROR(VLOOKUP(B1927,'Pre-Summary'!$AE$6:$AJ$85,5,FALSE),"")</f>
        <v/>
      </c>
      <c r="J1927" s="45" t="str">
        <f>IFERROR(VLOOKUP(B1927,'Pre-Summary'!$AE$6:$AJ$85,6, FALSE),"")</f>
        <v/>
      </c>
      <c r="K1927" s="45" t="str">
        <f>IFERROR(VLOOKUP(B1927,'Pre-Summary'!$DE$6:$DG$61,3,FALSE),"")</f>
        <v/>
      </c>
      <c r="L1927" s="45" t="str">
        <f>IFERROR(VLOOKUP(B1927,'Pre-Summary'!$CU$6:$CW$36,3,FALSE),"")</f>
        <v/>
      </c>
      <c r="M1927" s="45" t="str">
        <f>IFERROR(VLOOKUP(B1927,'Pre-Summary'!$BW$6:$BY$58,2,FALSE),"")</f>
        <v/>
      </c>
      <c r="N1927" s="45" t="str">
        <f>IFERROR(VLOOKUP(B1927,'Pre-Summary'!$CD$6:$CF$64,2,FALSE),"")</f>
        <v/>
      </c>
      <c r="O1927" s="99">
        <f>IFERROR(VLOOKUP(B1927,'Pre-Summary'!$BO$6:$BQ$48,3, FALSE),O1926)</f>
        <v>1.3480000000000001</v>
      </c>
      <c r="P1927" s="99">
        <f>IFERROR(VLOOKUP(B1927,'Pre-Summary'!$BS$6:$BU$35,3,FALSE),P1926)</f>
        <v>0.33700000000000002</v>
      </c>
      <c r="Q1927" s="54">
        <f t="shared" si="90"/>
        <v>4</v>
      </c>
      <c r="R1927" s="53">
        <f>IFERROR(VLOOKUP(B1927,'Pre-Summary'!$BG$6:$BM$44,7,FALSE),R1928)</f>
        <v>6.3359901615733558E-2</v>
      </c>
      <c r="S1927" s="53">
        <f>IFERROR(VLOOKUP(B1927,'Pre-Summary'!$BG$6:$BM$44,6,FALSE),S1928)</f>
        <v>9.0755969483796467E-2</v>
      </c>
      <c r="T1927" s="45" t="str">
        <f>IFERROR(VLOOKUP(B1927,'Pre-Summary'!$Y$6:$AC$83, 3,FALSE),"")</f>
        <v/>
      </c>
      <c r="U1927" s="45" t="str">
        <f>IFERROR(VLOOKUP(B1927,'Pre-Summary'!$Y$6:$AC$83, 4,FALSE),"")</f>
        <v/>
      </c>
      <c r="V1927" t="str">
        <f>IFERROR(VLOOKUP(B1927,'Pre-Summary'!$Y$6:$AC$83, 5,FALSE),"")</f>
        <v/>
      </c>
      <c r="W1927" s="45" t="str">
        <f>IFERROR(VLOOKUP(B1927,'Pre-Summary'!$Y$6:$AD$83,6,FALSE),"")</f>
        <v/>
      </c>
      <c r="X1927" t="str">
        <f>IFERROR(VLOOKUP('Pre-Summary'!$DB$6:$DD$63,3,FALSE),"")</f>
        <v/>
      </c>
      <c r="Y1927" t="str">
        <f>IFERROR(VLOOKUP(B1927,'Pre-Summary'!$CR$6:$CT$36,3,FALSE),"")</f>
        <v/>
      </c>
      <c r="Z1927" s="45" t="str">
        <f>IFERROR(VLOOKUP(B1927,'Pre-Summary'!$BZ$6:$CB$63,2,FALSE),"")</f>
        <v/>
      </c>
      <c r="AA1927" s="45" t="str">
        <f>IFERROR(VLOOKUP(B1927,'Pre-Summary'!$CG$6:$CI$70,2,FALSE),"")</f>
        <v/>
      </c>
      <c r="AB1927" s="99">
        <f>IFERROR(VLOOKUP(B1927,'Pre-Summary'!$A$6:$P$178,9,FALSE),AB1928)</f>
        <v>0.30044327255958808</v>
      </c>
      <c r="AC1927" s="10">
        <f>IFERROR(VLOOKUP(Summary!B1927,'Pre-Summary'!$A$6:$P$184,5, FALSE)/100,AC1928)</f>
        <v>0.96390199999999993</v>
      </c>
      <c r="AD1927" s="10">
        <f>IFERROR(VLOOKUP(Summary!B1927,'Pre-Summary'!$A$6:$P$184,3, FALSE)/100,AD1928)</f>
        <v>2.2943666666666664E-2</v>
      </c>
      <c r="AE1927" s="10">
        <f>IFERROR(VLOOKUP(Summary!B1927,'Pre-Summary'!$A$6:$P$184,7, FALSE)/100,AE1928)</f>
        <v>1.3154333333333332E-2</v>
      </c>
      <c r="AF1927" s="99">
        <f t="shared" si="91"/>
        <v>6.8932702978496685E-3</v>
      </c>
      <c r="AG1927" s="99">
        <f t="shared" si="92"/>
        <v>3.9521309550063412E-3</v>
      </c>
      <c r="AH1927" s="10" t="str">
        <f>IFERROR(VLOOKUP(B1927,'Pre-Summary'!$AZ$6:$BE$65,3,FALSE),"")</f>
        <v/>
      </c>
      <c r="AI1927" s="10" t="str">
        <f>IFERROR(VLOOKUP(B1927,'Pre-Summary'!$AZ$6:$BE$65,5,FALSE),"")</f>
        <v/>
      </c>
      <c r="AJ1927" s="10" t="str">
        <f>IFERROR(VLOOKUP(B1927,'Pre-Summary'!$AZ$6:$BE$65,4,FALSE),"")</f>
        <v/>
      </c>
      <c r="AK1927" s="10" t="str">
        <f>IFERROR(VLOOKUP(B1927,'Pre-Summary'!$AZ$6:$BE$65,6,FALSE),"")</f>
        <v/>
      </c>
      <c r="AL1927" s="10" t="str">
        <f>IFERROR(VLOOKUP(B1927,'Pre-Summary'!$BG$6:$BL$44,3,FALSE),"")</f>
        <v/>
      </c>
      <c r="AM1927" s="10" t="str">
        <f>IFERROR(VLOOKUP(B1927,'Pre-Summary'!$BG$6:$BL$44,4,FALSE),"")</f>
        <v/>
      </c>
    </row>
    <row r="1928" spans="2:39" ht="15" customHeight="1" x14ac:dyDescent="0.3">
      <c r="B1928">
        <v>192.5</v>
      </c>
      <c r="C1928" t="str">
        <f>IFERROR(VLOOKUP(B1928,'Pre-Summary'!$DI$6:$DM$23,4,FALSE),"")</f>
        <v/>
      </c>
      <c r="D1928" s="10" t="str">
        <f>IFERROR(VLOOKUP(B1928,'Pre-Summary'!$AT$6:$AX$14,5,FALSE),D1927)</f>
        <v>Wolfe v3: went back to modified wolfe + EDTA and switched CuSO4 to CUCl2</v>
      </c>
      <c r="E1928" s="10" t="str">
        <f>IFERROR(VLOOKUP(B1928,'Pre-Summary'!$AT$6:$AX$15,4,FALSE),"")</f>
        <v/>
      </c>
      <c r="F1928">
        <f>IFERROR(VLOOKUP(B1928,'Pre-Summary'!$AL$6:$AQ$13,6,FALSE),F1927)</f>
        <v>5.9405263157894746E-2</v>
      </c>
      <c r="G1928" t="str">
        <f>IFERROR(VLOOKUP(B1928,'Pre-Summary'!$AE$6:$AJ$85,3,FALSE),"")</f>
        <v/>
      </c>
      <c r="H1928" t="str">
        <f>IFERROR(VLOOKUP(B1928,'Pre-Summary'!$AE$6:$AJ$85,4,FALSE),"")</f>
        <v/>
      </c>
      <c r="I1928" t="str">
        <f>IFERROR(VLOOKUP(B1928,'Pre-Summary'!$AE$6:$AJ$85,5,FALSE),"")</f>
        <v/>
      </c>
      <c r="J1928" s="45" t="str">
        <f>IFERROR(VLOOKUP(B1928,'Pre-Summary'!$AE$6:$AJ$85,6, FALSE),"")</f>
        <v/>
      </c>
      <c r="K1928" s="45" t="str">
        <f>IFERROR(VLOOKUP(B1928,'Pre-Summary'!$DE$6:$DG$61,3,FALSE),"")</f>
        <v/>
      </c>
      <c r="L1928" s="45" t="str">
        <f>IFERROR(VLOOKUP(B1928,'Pre-Summary'!$CU$6:$CW$36,3,FALSE),"")</f>
        <v/>
      </c>
      <c r="M1928" s="45" t="str">
        <f>IFERROR(VLOOKUP(B1928,'Pre-Summary'!$BW$6:$BY$58,2,FALSE),"")</f>
        <v/>
      </c>
      <c r="N1928" s="45" t="str">
        <f>IFERROR(VLOOKUP(B1928,'Pre-Summary'!$CD$6:$CF$64,2,FALSE),"")</f>
        <v/>
      </c>
      <c r="O1928" s="99">
        <f>IFERROR(VLOOKUP(B1928,'Pre-Summary'!$BO$6:$BQ$48,3, FALSE),O1927)</f>
        <v>1.3480000000000001</v>
      </c>
      <c r="P1928" s="99">
        <f>IFERROR(VLOOKUP(B1928,'Pre-Summary'!$BS$6:$BU$35,3,FALSE),P1927)</f>
        <v>0.33700000000000002</v>
      </c>
      <c r="Q1928" s="54">
        <f t="shared" si="90"/>
        <v>4</v>
      </c>
      <c r="R1928" s="53">
        <f>IFERROR(VLOOKUP(B1928,'Pre-Summary'!$BG$6:$BM$44,7,FALSE),R1929)</f>
        <v>6.3359901615733558E-2</v>
      </c>
      <c r="S1928" s="53">
        <f>IFERROR(VLOOKUP(B1928,'Pre-Summary'!$BG$6:$BM$44,6,FALSE),S1929)</f>
        <v>9.0755969483796467E-2</v>
      </c>
      <c r="T1928" s="45" t="str">
        <f>IFERROR(VLOOKUP(B1928,'Pre-Summary'!$Y$6:$AC$83, 3,FALSE),"")</f>
        <v/>
      </c>
      <c r="U1928" s="45" t="str">
        <f>IFERROR(VLOOKUP(B1928,'Pre-Summary'!$Y$6:$AC$83, 4,FALSE),"")</f>
        <v/>
      </c>
      <c r="V1928" t="str">
        <f>IFERROR(VLOOKUP(B1928,'Pre-Summary'!$Y$6:$AC$83, 5,FALSE),"")</f>
        <v/>
      </c>
      <c r="W1928" s="45" t="str">
        <f>IFERROR(VLOOKUP(B1928,'Pre-Summary'!$Y$6:$AD$83,6,FALSE),"")</f>
        <v/>
      </c>
      <c r="X1928" t="str">
        <f>IFERROR(VLOOKUP('Pre-Summary'!$DB$6:$DD$63,3,FALSE),"")</f>
        <v/>
      </c>
      <c r="Y1928" t="str">
        <f>IFERROR(VLOOKUP(B1928,'Pre-Summary'!$CR$6:$CT$36,3,FALSE),"")</f>
        <v/>
      </c>
      <c r="Z1928" s="45" t="str">
        <f>IFERROR(VLOOKUP(B1928,'Pre-Summary'!$BZ$6:$CB$63,2,FALSE),"")</f>
        <v/>
      </c>
      <c r="AA1928" s="45" t="str">
        <f>IFERROR(VLOOKUP(B1928,'Pre-Summary'!$CG$6:$CI$70,2,FALSE),"")</f>
        <v/>
      </c>
      <c r="AB1928" s="99">
        <f>IFERROR(VLOOKUP(B1928,'Pre-Summary'!$A$6:$P$178,9,FALSE),AB1929)</f>
        <v>0.30044327255958808</v>
      </c>
      <c r="AC1928" s="10">
        <f>IFERROR(VLOOKUP(Summary!B1928,'Pre-Summary'!$A$6:$P$184,5, FALSE)/100,AC1929)</f>
        <v>0.96390199999999993</v>
      </c>
      <c r="AD1928" s="10">
        <f>IFERROR(VLOOKUP(Summary!B1928,'Pre-Summary'!$A$6:$P$184,3, FALSE)/100,AD1929)</f>
        <v>2.2943666666666664E-2</v>
      </c>
      <c r="AE1928" s="10">
        <f>IFERROR(VLOOKUP(Summary!B1928,'Pre-Summary'!$A$6:$P$184,7, FALSE)/100,AE1929)</f>
        <v>1.3154333333333332E-2</v>
      </c>
      <c r="AF1928" s="99">
        <f t="shared" si="91"/>
        <v>6.8932702978496685E-3</v>
      </c>
      <c r="AG1928" s="99">
        <f t="shared" si="92"/>
        <v>3.9521309550063412E-3</v>
      </c>
      <c r="AH1928" s="10" t="str">
        <f>IFERROR(VLOOKUP(B1928,'Pre-Summary'!$AZ$6:$BE$65,3,FALSE),"")</f>
        <v/>
      </c>
      <c r="AI1928" s="10" t="str">
        <f>IFERROR(VLOOKUP(B1928,'Pre-Summary'!$AZ$6:$BE$65,5,FALSE),"")</f>
        <v/>
      </c>
      <c r="AJ1928" s="10" t="str">
        <f>IFERROR(VLOOKUP(B1928,'Pre-Summary'!$AZ$6:$BE$65,4,FALSE),"")</f>
        <v/>
      </c>
      <c r="AK1928" s="10" t="str">
        <f>IFERROR(VLOOKUP(B1928,'Pre-Summary'!$AZ$6:$BE$65,6,FALSE),"")</f>
        <v/>
      </c>
      <c r="AL1928" s="10" t="str">
        <f>IFERROR(VLOOKUP(B1928,'Pre-Summary'!$BG$6:$BL$44,3,FALSE),"")</f>
        <v/>
      </c>
      <c r="AM1928" s="10" t="str">
        <f>IFERROR(VLOOKUP(B1928,'Pre-Summary'!$BG$6:$BL$44,4,FALSE),"")</f>
        <v/>
      </c>
    </row>
    <row r="1929" spans="2:39" ht="15" customHeight="1" x14ac:dyDescent="0.3">
      <c r="B1929">
        <v>192.6</v>
      </c>
      <c r="C1929" t="str">
        <f>IFERROR(VLOOKUP(B1929,'Pre-Summary'!$DI$6:$DM$23,4,FALSE),"")</f>
        <v/>
      </c>
      <c r="D1929" s="10" t="str">
        <f>IFERROR(VLOOKUP(B1929,'Pre-Summary'!$AT$6:$AX$14,5,FALSE),D1928)</f>
        <v>Wolfe v3: went back to modified wolfe + EDTA and switched CuSO4 to CUCl2</v>
      </c>
      <c r="E1929" s="10" t="str">
        <f>IFERROR(VLOOKUP(B1929,'Pre-Summary'!$AT$6:$AX$15,4,FALSE),"")</f>
        <v/>
      </c>
      <c r="F1929">
        <f>IFERROR(VLOOKUP(B1929,'Pre-Summary'!$AL$6:$AQ$13,6,FALSE),F1928)</f>
        <v>5.9405263157894746E-2</v>
      </c>
      <c r="G1929" t="str">
        <f>IFERROR(VLOOKUP(B1929,'Pre-Summary'!$AE$6:$AJ$85,3,FALSE),"")</f>
        <v/>
      </c>
      <c r="H1929" t="str">
        <f>IFERROR(VLOOKUP(B1929,'Pre-Summary'!$AE$6:$AJ$85,4,FALSE),"")</f>
        <v/>
      </c>
      <c r="I1929" t="str">
        <f>IFERROR(VLOOKUP(B1929,'Pre-Summary'!$AE$6:$AJ$85,5,FALSE),"")</f>
        <v/>
      </c>
      <c r="J1929" s="45" t="str">
        <f>IFERROR(VLOOKUP(B1929,'Pre-Summary'!$AE$6:$AJ$85,6, FALSE),"")</f>
        <v/>
      </c>
      <c r="K1929" s="45" t="str">
        <f>IFERROR(VLOOKUP(B1929,'Pre-Summary'!$DE$6:$DG$61,3,FALSE),"")</f>
        <v/>
      </c>
      <c r="L1929" s="45" t="str">
        <f>IFERROR(VLOOKUP(B1929,'Pre-Summary'!$CU$6:$CW$36,3,FALSE),"")</f>
        <v/>
      </c>
      <c r="M1929" s="45" t="str">
        <f>IFERROR(VLOOKUP(B1929,'Pre-Summary'!$BW$6:$BY$58,2,FALSE),"")</f>
        <v/>
      </c>
      <c r="N1929" s="45" t="str">
        <f>IFERROR(VLOOKUP(B1929,'Pre-Summary'!$CD$6:$CF$64,2,FALSE),"")</f>
        <v/>
      </c>
      <c r="O1929" s="99">
        <f>IFERROR(VLOOKUP(B1929,'Pre-Summary'!$BO$6:$BQ$48,3, FALSE),O1928)</f>
        <v>1.3480000000000001</v>
      </c>
      <c r="P1929" s="99">
        <f>IFERROR(VLOOKUP(B1929,'Pre-Summary'!$BS$6:$BU$35,3,FALSE),P1928)</f>
        <v>0.33700000000000002</v>
      </c>
      <c r="Q1929" s="54">
        <f t="shared" si="90"/>
        <v>4</v>
      </c>
      <c r="R1929" s="53">
        <f>IFERROR(VLOOKUP(B1929,'Pre-Summary'!$BG$6:$BM$44,7,FALSE),R1930)</f>
        <v>6.3359901615733558E-2</v>
      </c>
      <c r="S1929" s="53">
        <f>IFERROR(VLOOKUP(B1929,'Pre-Summary'!$BG$6:$BM$44,6,FALSE),S1930)</f>
        <v>9.0755969483796467E-2</v>
      </c>
      <c r="T1929" s="45" t="str">
        <f>IFERROR(VLOOKUP(B1929,'Pre-Summary'!$Y$6:$AC$83, 3,FALSE),"")</f>
        <v/>
      </c>
      <c r="U1929" s="45" t="str">
        <f>IFERROR(VLOOKUP(B1929,'Pre-Summary'!$Y$6:$AC$83, 4,FALSE),"")</f>
        <v/>
      </c>
      <c r="V1929" t="str">
        <f>IFERROR(VLOOKUP(B1929,'Pre-Summary'!$Y$6:$AC$83, 5,FALSE),"")</f>
        <v/>
      </c>
      <c r="W1929" s="45" t="str">
        <f>IFERROR(VLOOKUP(B1929,'Pre-Summary'!$Y$6:$AD$83,6,FALSE),"")</f>
        <v/>
      </c>
      <c r="X1929" t="str">
        <f>IFERROR(VLOOKUP('Pre-Summary'!$DB$6:$DD$63,3,FALSE),"")</f>
        <v/>
      </c>
      <c r="Y1929" t="str">
        <f>IFERROR(VLOOKUP(B1929,'Pre-Summary'!$CR$6:$CT$36,3,FALSE),"")</f>
        <v/>
      </c>
      <c r="Z1929" s="45" t="str">
        <f>IFERROR(VLOOKUP(B1929,'Pre-Summary'!$BZ$6:$CB$63,2,FALSE),"")</f>
        <v/>
      </c>
      <c r="AA1929" s="45" t="str">
        <f>IFERROR(VLOOKUP(B1929,'Pre-Summary'!$CG$6:$CI$70,2,FALSE),"")</f>
        <v/>
      </c>
      <c r="AB1929" s="99">
        <f>IFERROR(VLOOKUP(B1929,'Pre-Summary'!$A$6:$P$178,9,FALSE),AB1930)</f>
        <v>0.30044327255958808</v>
      </c>
      <c r="AC1929" s="10">
        <f>IFERROR(VLOOKUP(Summary!B1929,'Pre-Summary'!$A$6:$P$184,5, FALSE)/100,AC1930)</f>
        <v>0.96390199999999993</v>
      </c>
      <c r="AD1929" s="10">
        <f>IFERROR(VLOOKUP(Summary!B1929,'Pre-Summary'!$A$6:$P$184,3, FALSE)/100,AD1930)</f>
        <v>2.2943666666666664E-2</v>
      </c>
      <c r="AE1929" s="10">
        <f>IFERROR(VLOOKUP(Summary!B1929,'Pre-Summary'!$A$6:$P$184,7, FALSE)/100,AE1930)</f>
        <v>1.3154333333333332E-2</v>
      </c>
      <c r="AF1929" s="99">
        <f t="shared" si="91"/>
        <v>6.8932702978496685E-3</v>
      </c>
      <c r="AG1929" s="99">
        <f t="shared" si="92"/>
        <v>3.9521309550063412E-3</v>
      </c>
      <c r="AH1929" s="10" t="str">
        <f>IFERROR(VLOOKUP(B1929,'Pre-Summary'!$AZ$6:$BE$65,3,FALSE),"")</f>
        <v/>
      </c>
      <c r="AI1929" s="10" t="str">
        <f>IFERROR(VLOOKUP(B1929,'Pre-Summary'!$AZ$6:$BE$65,5,FALSE),"")</f>
        <v/>
      </c>
      <c r="AJ1929" s="10" t="str">
        <f>IFERROR(VLOOKUP(B1929,'Pre-Summary'!$AZ$6:$BE$65,4,FALSE),"")</f>
        <v/>
      </c>
      <c r="AK1929" s="10" t="str">
        <f>IFERROR(VLOOKUP(B1929,'Pre-Summary'!$AZ$6:$BE$65,6,FALSE),"")</f>
        <v/>
      </c>
      <c r="AL1929" s="10" t="str">
        <f>IFERROR(VLOOKUP(B1929,'Pre-Summary'!$BG$6:$BL$44,3,FALSE),"")</f>
        <v/>
      </c>
      <c r="AM1929" s="10" t="str">
        <f>IFERROR(VLOOKUP(B1929,'Pre-Summary'!$BG$6:$BL$44,4,FALSE),"")</f>
        <v/>
      </c>
    </row>
    <row r="1930" spans="2:39" ht="15" customHeight="1" x14ac:dyDescent="0.3">
      <c r="B1930">
        <v>192.7</v>
      </c>
      <c r="C1930" t="str">
        <f>IFERROR(VLOOKUP(B1930,'Pre-Summary'!$DI$6:$DM$23,4,FALSE),"")</f>
        <v/>
      </c>
      <c r="D1930" s="10" t="str">
        <f>IFERROR(VLOOKUP(B1930,'Pre-Summary'!$AT$6:$AX$14,5,FALSE),D1929)</f>
        <v>Wolfe v3: went back to modified wolfe + EDTA and switched CuSO4 to CUCl2</v>
      </c>
      <c r="E1930" s="10" t="str">
        <f>IFERROR(VLOOKUP(B1930,'Pre-Summary'!$AT$6:$AX$15,4,FALSE),"")</f>
        <v/>
      </c>
      <c r="F1930">
        <f>IFERROR(VLOOKUP(B1930,'Pre-Summary'!$AL$6:$AQ$13,6,FALSE),F1929)</f>
        <v>5.9405263157894746E-2</v>
      </c>
      <c r="G1930" t="str">
        <f>IFERROR(VLOOKUP(B1930,'Pre-Summary'!$AE$6:$AJ$85,3,FALSE),"")</f>
        <v/>
      </c>
      <c r="H1930" t="str">
        <f>IFERROR(VLOOKUP(B1930,'Pre-Summary'!$AE$6:$AJ$85,4,FALSE),"")</f>
        <v/>
      </c>
      <c r="I1930" t="str">
        <f>IFERROR(VLOOKUP(B1930,'Pre-Summary'!$AE$6:$AJ$85,5,FALSE),"")</f>
        <v/>
      </c>
      <c r="J1930" s="45" t="str">
        <f>IFERROR(VLOOKUP(B1930,'Pre-Summary'!$AE$6:$AJ$85,6, FALSE),"")</f>
        <v/>
      </c>
      <c r="K1930" s="45" t="str">
        <f>IFERROR(VLOOKUP(B1930,'Pre-Summary'!$DE$6:$DG$61,3,FALSE),"")</f>
        <v/>
      </c>
      <c r="L1930" s="45" t="str">
        <f>IFERROR(VLOOKUP(B1930,'Pre-Summary'!$CU$6:$CW$36,3,FALSE),"")</f>
        <v/>
      </c>
      <c r="M1930" s="45" t="str">
        <f>IFERROR(VLOOKUP(B1930,'Pre-Summary'!$BW$6:$BY$58,2,FALSE),"")</f>
        <v/>
      </c>
      <c r="N1930" s="45" t="str">
        <f>IFERROR(VLOOKUP(B1930,'Pre-Summary'!$CD$6:$CF$64,2,FALSE),"")</f>
        <v/>
      </c>
      <c r="O1930" s="99">
        <f>IFERROR(VLOOKUP(B1930,'Pre-Summary'!$BO$6:$BQ$48,3, FALSE),O1929)</f>
        <v>1.3480000000000001</v>
      </c>
      <c r="P1930" s="99">
        <f>IFERROR(VLOOKUP(B1930,'Pre-Summary'!$BS$6:$BU$35,3,FALSE),P1929)</f>
        <v>0.33700000000000002</v>
      </c>
      <c r="Q1930" s="54">
        <f t="shared" si="90"/>
        <v>4</v>
      </c>
      <c r="R1930" s="53">
        <f>IFERROR(VLOOKUP(B1930,'Pre-Summary'!$BG$6:$BM$44,7,FALSE),R1931)</f>
        <v>6.3359901615733558E-2</v>
      </c>
      <c r="S1930" s="53">
        <f>IFERROR(VLOOKUP(B1930,'Pre-Summary'!$BG$6:$BM$44,6,FALSE),S1931)</f>
        <v>9.0755969483796467E-2</v>
      </c>
      <c r="T1930" s="45" t="str">
        <f>IFERROR(VLOOKUP(B1930,'Pre-Summary'!$Y$6:$AC$83, 3,FALSE),"")</f>
        <v/>
      </c>
      <c r="U1930" s="45" t="str">
        <f>IFERROR(VLOOKUP(B1930,'Pre-Summary'!$Y$6:$AC$83, 4,FALSE),"")</f>
        <v/>
      </c>
      <c r="V1930" t="str">
        <f>IFERROR(VLOOKUP(B1930,'Pre-Summary'!$Y$6:$AC$83, 5,FALSE),"")</f>
        <v/>
      </c>
      <c r="W1930" s="45" t="str">
        <f>IFERROR(VLOOKUP(B1930,'Pre-Summary'!$Y$6:$AD$83,6,FALSE),"")</f>
        <v/>
      </c>
      <c r="X1930" t="str">
        <f>IFERROR(VLOOKUP('Pre-Summary'!$DB$6:$DD$63,3,FALSE),"")</f>
        <v/>
      </c>
      <c r="Y1930" t="str">
        <f>IFERROR(VLOOKUP(B1930,'Pre-Summary'!$CR$6:$CT$36,3,FALSE),"")</f>
        <v/>
      </c>
      <c r="Z1930" s="45" t="str">
        <f>IFERROR(VLOOKUP(B1930,'Pre-Summary'!$BZ$6:$CB$63,2,FALSE),"")</f>
        <v/>
      </c>
      <c r="AA1930" s="45" t="str">
        <f>IFERROR(VLOOKUP(B1930,'Pre-Summary'!$CG$6:$CI$70,2,FALSE),"")</f>
        <v/>
      </c>
      <c r="AB1930" s="99">
        <f>IFERROR(VLOOKUP(B1930,'Pre-Summary'!$A$6:$P$178,9,FALSE),AB1931)</f>
        <v>0.30044327255958808</v>
      </c>
      <c r="AC1930" s="10">
        <f>IFERROR(VLOOKUP(Summary!B1930,'Pre-Summary'!$A$6:$P$184,5, FALSE)/100,AC1931)</f>
        <v>0.96390199999999993</v>
      </c>
      <c r="AD1930" s="10">
        <f>IFERROR(VLOOKUP(Summary!B1930,'Pre-Summary'!$A$6:$P$184,3, FALSE)/100,AD1931)</f>
        <v>2.2943666666666664E-2</v>
      </c>
      <c r="AE1930" s="10">
        <f>IFERROR(VLOOKUP(Summary!B1930,'Pre-Summary'!$A$6:$P$184,7, FALSE)/100,AE1931)</f>
        <v>1.3154333333333332E-2</v>
      </c>
      <c r="AF1930" s="99">
        <f t="shared" si="91"/>
        <v>6.8932702978496685E-3</v>
      </c>
      <c r="AG1930" s="99">
        <f t="shared" si="92"/>
        <v>3.9521309550063412E-3</v>
      </c>
      <c r="AH1930" s="10" t="str">
        <f>IFERROR(VLOOKUP(B1930,'Pre-Summary'!$AZ$6:$BE$65,3,FALSE),"")</f>
        <v/>
      </c>
      <c r="AI1930" s="10" t="str">
        <f>IFERROR(VLOOKUP(B1930,'Pre-Summary'!$AZ$6:$BE$65,5,FALSE),"")</f>
        <v/>
      </c>
      <c r="AJ1930" s="10" t="str">
        <f>IFERROR(VLOOKUP(B1930,'Pre-Summary'!$AZ$6:$BE$65,4,FALSE),"")</f>
        <v/>
      </c>
      <c r="AK1930" s="10" t="str">
        <f>IFERROR(VLOOKUP(B1930,'Pre-Summary'!$AZ$6:$BE$65,6,FALSE),"")</f>
        <v/>
      </c>
      <c r="AL1930" s="10" t="str">
        <f>IFERROR(VLOOKUP(B1930,'Pre-Summary'!$BG$6:$BL$44,3,FALSE),"")</f>
        <v/>
      </c>
      <c r="AM1930" s="10" t="str">
        <f>IFERROR(VLOOKUP(B1930,'Pre-Summary'!$BG$6:$BL$44,4,FALSE),"")</f>
        <v/>
      </c>
    </row>
    <row r="1931" spans="2:39" ht="15" customHeight="1" x14ac:dyDescent="0.3">
      <c r="B1931">
        <v>192.8</v>
      </c>
      <c r="C1931" t="str">
        <f>IFERROR(VLOOKUP(B1931,'Pre-Summary'!$DI$6:$DM$23,4,FALSE),"")</f>
        <v/>
      </c>
      <c r="D1931" s="10" t="str">
        <f>IFERROR(VLOOKUP(B1931,'Pre-Summary'!$AT$6:$AX$14,5,FALSE),D1930)</f>
        <v>Wolfe v3: went back to modified wolfe + EDTA and switched CuSO4 to CUCl2</v>
      </c>
      <c r="E1931" s="10" t="str">
        <f>IFERROR(VLOOKUP(B1931,'Pre-Summary'!$AT$6:$AX$15,4,FALSE),"")</f>
        <v/>
      </c>
      <c r="F1931">
        <f>IFERROR(VLOOKUP(B1931,'Pre-Summary'!$AL$6:$AQ$13,6,FALSE),F1930)</f>
        <v>5.9405263157894746E-2</v>
      </c>
      <c r="G1931" t="str">
        <f>IFERROR(VLOOKUP(B1931,'Pre-Summary'!$AE$6:$AJ$85,3,FALSE),"")</f>
        <v/>
      </c>
      <c r="H1931" t="str">
        <f>IFERROR(VLOOKUP(B1931,'Pre-Summary'!$AE$6:$AJ$85,4,FALSE),"")</f>
        <v/>
      </c>
      <c r="I1931" t="str">
        <f>IFERROR(VLOOKUP(B1931,'Pre-Summary'!$AE$6:$AJ$85,5,FALSE),"")</f>
        <v/>
      </c>
      <c r="J1931" s="45" t="str">
        <f>IFERROR(VLOOKUP(B1931,'Pre-Summary'!$AE$6:$AJ$85,6, FALSE),"")</f>
        <v/>
      </c>
      <c r="K1931" s="45" t="str">
        <f>IFERROR(VLOOKUP(B1931,'Pre-Summary'!$DE$6:$DG$61,3,FALSE),"")</f>
        <v/>
      </c>
      <c r="L1931" s="45" t="str">
        <f>IFERROR(VLOOKUP(B1931,'Pre-Summary'!$CU$6:$CW$36,3,FALSE),"")</f>
        <v/>
      </c>
      <c r="M1931" s="45" t="str">
        <f>IFERROR(VLOOKUP(B1931,'Pre-Summary'!$BW$6:$BY$58,2,FALSE),"")</f>
        <v/>
      </c>
      <c r="N1931" s="45" t="str">
        <f>IFERROR(VLOOKUP(B1931,'Pre-Summary'!$CD$6:$CF$64,2,FALSE),"")</f>
        <v/>
      </c>
      <c r="O1931" s="99">
        <f>IFERROR(VLOOKUP(B1931,'Pre-Summary'!$BO$6:$BQ$48,3, FALSE),O1930)</f>
        <v>1.3480000000000001</v>
      </c>
      <c r="P1931" s="99">
        <f>IFERROR(VLOOKUP(B1931,'Pre-Summary'!$BS$6:$BU$35,3,FALSE),P1930)</f>
        <v>0.33700000000000002</v>
      </c>
      <c r="Q1931" s="54">
        <f t="shared" si="90"/>
        <v>4</v>
      </c>
      <c r="R1931" s="53">
        <f>IFERROR(VLOOKUP(B1931,'Pre-Summary'!$BG$6:$BM$44,7,FALSE),R1932)</f>
        <v>6.3359901615733558E-2</v>
      </c>
      <c r="S1931" s="53">
        <f>IFERROR(VLOOKUP(B1931,'Pre-Summary'!$BG$6:$BM$44,6,FALSE),S1932)</f>
        <v>9.0755969483796467E-2</v>
      </c>
      <c r="T1931" s="45" t="str">
        <f>IFERROR(VLOOKUP(B1931,'Pre-Summary'!$Y$6:$AC$83, 3,FALSE),"")</f>
        <v/>
      </c>
      <c r="U1931" s="45" t="str">
        <f>IFERROR(VLOOKUP(B1931,'Pre-Summary'!$Y$6:$AC$83, 4,FALSE),"")</f>
        <v/>
      </c>
      <c r="V1931" t="str">
        <f>IFERROR(VLOOKUP(B1931,'Pre-Summary'!$Y$6:$AC$83, 5,FALSE),"")</f>
        <v/>
      </c>
      <c r="W1931" s="45" t="str">
        <f>IFERROR(VLOOKUP(B1931,'Pre-Summary'!$Y$6:$AD$83,6,FALSE),"")</f>
        <v/>
      </c>
      <c r="X1931" t="str">
        <f>IFERROR(VLOOKUP('Pre-Summary'!$DB$6:$DD$63,3,FALSE),"")</f>
        <v/>
      </c>
      <c r="Y1931" t="str">
        <f>IFERROR(VLOOKUP(B1931,'Pre-Summary'!$CR$6:$CT$36,3,FALSE),"")</f>
        <v/>
      </c>
      <c r="Z1931" s="45" t="str">
        <f>IFERROR(VLOOKUP(B1931,'Pre-Summary'!$BZ$6:$CB$63,2,FALSE),"")</f>
        <v/>
      </c>
      <c r="AA1931" s="45" t="str">
        <f>IFERROR(VLOOKUP(B1931,'Pre-Summary'!$CG$6:$CI$70,2,FALSE),"")</f>
        <v/>
      </c>
      <c r="AB1931" s="99">
        <f>IFERROR(VLOOKUP(B1931,'Pre-Summary'!$A$6:$P$178,9,FALSE),AB1932)</f>
        <v>0.30044327255958808</v>
      </c>
      <c r="AC1931" s="10">
        <f>IFERROR(VLOOKUP(Summary!B1931,'Pre-Summary'!$A$6:$P$184,5, FALSE)/100,AC1932)</f>
        <v>0.96390199999999993</v>
      </c>
      <c r="AD1931" s="10">
        <f>IFERROR(VLOOKUP(Summary!B1931,'Pre-Summary'!$A$6:$P$184,3, FALSE)/100,AD1932)</f>
        <v>2.2943666666666664E-2</v>
      </c>
      <c r="AE1931" s="10">
        <f>IFERROR(VLOOKUP(Summary!B1931,'Pre-Summary'!$A$6:$P$184,7, FALSE)/100,AE1932)</f>
        <v>1.3154333333333332E-2</v>
      </c>
      <c r="AF1931" s="99">
        <f t="shared" si="91"/>
        <v>6.8932702978496685E-3</v>
      </c>
      <c r="AG1931" s="99">
        <f t="shared" si="92"/>
        <v>3.9521309550063412E-3</v>
      </c>
      <c r="AH1931" s="10" t="str">
        <f>IFERROR(VLOOKUP(B1931,'Pre-Summary'!$AZ$6:$BE$65,3,FALSE),"")</f>
        <v/>
      </c>
      <c r="AI1931" s="10" t="str">
        <f>IFERROR(VLOOKUP(B1931,'Pre-Summary'!$AZ$6:$BE$65,5,FALSE),"")</f>
        <v/>
      </c>
      <c r="AJ1931" s="10" t="str">
        <f>IFERROR(VLOOKUP(B1931,'Pre-Summary'!$AZ$6:$BE$65,4,FALSE),"")</f>
        <v/>
      </c>
      <c r="AK1931" s="10" t="str">
        <f>IFERROR(VLOOKUP(B1931,'Pre-Summary'!$AZ$6:$BE$65,6,FALSE),"")</f>
        <v/>
      </c>
      <c r="AL1931" s="10" t="str">
        <f>IFERROR(VLOOKUP(B1931,'Pre-Summary'!$BG$6:$BL$44,3,FALSE),"")</f>
        <v/>
      </c>
      <c r="AM1931" s="10" t="str">
        <f>IFERROR(VLOOKUP(B1931,'Pre-Summary'!$BG$6:$BL$44,4,FALSE),"")</f>
        <v/>
      </c>
    </row>
    <row r="1932" spans="2:39" ht="15" customHeight="1" x14ac:dyDescent="0.3">
      <c r="B1932">
        <v>192.9</v>
      </c>
      <c r="C1932" t="str">
        <f>IFERROR(VLOOKUP(B1932,'Pre-Summary'!$DI$6:$DM$23,4,FALSE),"")</f>
        <v/>
      </c>
      <c r="D1932" s="10" t="str">
        <f>IFERROR(VLOOKUP(B1932,'Pre-Summary'!$AT$6:$AX$14,5,FALSE),D1931)</f>
        <v>Wolfe v3: went back to modified wolfe + EDTA and switched CuSO4 to CUCl2</v>
      </c>
      <c r="E1932" s="10" t="str">
        <f>IFERROR(VLOOKUP(B1932,'Pre-Summary'!$AT$6:$AX$15,4,FALSE),"")</f>
        <v/>
      </c>
      <c r="F1932">
        <f>IFERROR(VLOOKUP(B1932,'Pre-Summary'!$AL$6:$AQ$13,6,FALSE),F1931)</f>
        <v>5.9405263157894746E-2</v>
      </c>
      <c r="G1932" t="str">
        <f>IFERROR(VLOOKUP(B1932,'Pre-Summary'!$AE$6:$AJ$85,3,FALSE),"")</f>
        <v/>
      </c>
      <c r="H1932" t="str">
        <f>IFERROR(VLOOKUP(B1932,'Pre-Summary'!$AE$6:$AJ$85,4,FALSE),"")</f>
        <v/>
      </c>
      <c r="I1932" t="str">
        <f>IFERROR(VLOOKUP(B1932,'Pre-Summary'!$AE$6:$AJ$85,5,FALSE),"")</f>
        <v/>
      </c>
      <c r="J1932" s="45" t="str">
        <f>IFERROR(VLOOKUP(B1932,'Pre-Summary'!$AE$6:$AJ$85,6, FALSE),"")</f>
        <v/>
      </c>
      <c r="K1932" s="45" t="str">
        <f>IFERROR(VLOOKUP(B1932,'Pre-Summary'!$DE$6:$DG$61,3,FALSE),"")</f>
        <v/>
      </c>
      <c r="L1932" s="45" t="str">
        <f>IFERROR(VLOOKUP(B1932,'Pre-Summary'!$CU$6:$CW$36,3,FALSE),"")</f>
        <v/>
      </c>
      <c r="M1932" s="45" t="str">
        <f>IFERROR(VLOOKUP(B1932,'Pre-Summary'!$BW$6:$BY$58,2,FALSE),"")</f>
        <v/>
      </c>
      <c r="N1932" s="45" t="str">
        <f>IFERROR(VLOOKUP(B1932,'Pre-Summary'!$CD$6:$CF$64,2,FALSE),"")</f>
        <v/>
      </c>
      <c r="O1932" s="99">
        <f>IFERROR(VLOOKUP(B1932,'Pre-Summary'!$BO$6:$BQ$48,3, FALSE),O1931)</f>
        <v>1.3480000000000001</v>
      </c>
      <c r="P1932" s="99">
        <f>IFERROR(VLOOKUP(B1932,'Pre-Summary'!$BS$6:$BU$35,3,FALSE),P1931)</f>
        <v>0.33700000000000002</v>
      </c>
      <c r="Q1932" s="54">
        <f t="shared" si="90"/>
        <v>4</v>
      </c>
      <c r="R1932" s="53">
        <f>IFERROR(VLOOKUP(B1932,'Pre-Summary'!$BG$6:$BM$44,7,FALSE),R1933)</f>
        <v>6.3359901615733558E-2</v>
      </c>
      <c r="S1932" s="53">
        <f>IFERROR(VLOOKUP(B1932,'Pre-Summary'!$BG$6:$BM$44,6,FALSE),S1933)</f>
        <v>9.0755969483796467E-2</v>
      </c>
      <c r="T1932" s="45" t="str">
        <f>IFERROR(VLOOKUP(B1932,'Pre-Summary'!$Y$6:$AC$83, 3,FALSE),"")</f>
        <v/>
      </c>
      <c r="U1932" s="45" t="str">
        <f>IFERROR(VLOOKUP(B1932,'Pre-Summary'!$Y$6:$AC$83, 4,FALSE),"")</f>
        <v/>
      </c>
      <c r="V1932" t="str">
        <f>IFERROR(VLOOKUP(B1932,'Pre-Summary'!$Y$6:$AC$83, 5,FALSE),"")</f>
        <v/>
      </c>
      <c r="W1932" s="45" t="str">
        <f>IFERROR(VLOOKUP(B1932,'Pre-Summary'!$Y$6:$AD$83,6,FALSE),"")</f>
        <v/>
      </c>
      <c r="X1932" t="str">
        <f>IFERROR(VLOOKUP('Pre-Summary'!$DB$6:$DD$63,3,FALSE),"")</f>
        <v/>
      </c>
      <c r="Y1932" t="str">
        <f>IFERROR(VLOOKUP(B1932,'Pre-Summary'!$CR$6:$CT$36,3,FALSE),"")</f>
        <v/>
      </c>
      <c r="Z1932" s="45" t="str">
        <f>IFERROR(VLOOKUP(B1932,'Pre-Summary'!$BZ$6:$CB$63,2,FALSE),"")</f>
        <v/>
      </c>
      <c r="AA1932" s="45" t="str">
        <f>IFERROR(VLOOKUP(B1932,'Pre-Summary'!$CG$6:$CI$70,2,FALSE),"")</f>
        <v/>
      </c>
      <c r="AB1932" s="99">
        <f>IFERROR(VLOOKUP(B1932,'Pre-Summary'!$A$6:$P$178,9,FALSE),AB1933)</f>
        <v>0.30044327255958808</v>
      </c>
      <c r="AC1932" s="10">
        <f>IFERROR(VLOOKUP(Summary!B1932,'Pre-Summary'!$A$6:$P$184,5, FALSE)/100,AC1933)</f>
        <v>0.96390199999999993</v>
      </c>
      <c r="AD1932" s="10">
        <f>IFERROR(VLOOKUP(Summary!B1932,'Pre-Summary'!$A$6:$P$184,3, FALSE)/100,AD1933)</f>
        <v>2.2943666666666664E-2</v>
      </c>
      <c r="AE1932" s="10">
        <f>IFERROR(VLOOKUP(Summary!B1932,'Pre-Summary'!$A$6:$P$184,7, FALSE)/100,AE1933)</f>
        <v>1.3154333333333332E-2</v>
      </c>
      <c r="AF1932" s="99">
        <f t="shared" si="91"/>
        <v>6.8932702978496685E-3</v>
      </c>
      <c r="AG1932" s="99">
        <f t="shared" si="92"/>
        <v>3.9521309550063412E-3</v>
      </c>
      <c r="AH1932" s="10" t="str">
        <f>IFERROR(VLOOKUP(B1932,'Pre-Summary'!$AZ$6:$BE$65,3,FALSE),"")</f>
        <v/>
      </c>
      <c r="AI1932" s="10" t="str">
        <f>IFERROR(VLOOKUP(B1932,'Pre-Summary'!$AZ$6:$BE$65,5,FALSE),"")</f>
        <v/>
      </c>
      <c r="AJ1932" s="10" t="str">
        <f>IFERROR(VLOOKUP(B1932,'Pre-Summary'!$AZ$6:$BE$65,4,FALSE),"")</f>
        <v/>
      </c>
      <c r="AK1932" s="10" t="str">
        <f>IFERROR(VLOOKUP(B1932,'Pre-Summary'!$AZ$6:$BE$65,6,FALSE),"")</f>
        <v/>
      </c>
      <c r="AL1932" s="10" t="str">
        <f>IFERROR(VLOOKUP(B1932,'Pre-Summary'!$BG$6:$BL$44,3,FALSE),"")</f>
        <v/>
      </c>
      <c r="AM1932" s="10" t="str">
        <f>IFERROR(VLOOKUP(B1932,'Pre-Summary'!$BG$6:$BL$44,4,FALSE),"")</f>
        <v/>
      </c>
    </row>
    <row r="1933" spans="2:39" ht="15" customHeight="1" x14ac:dyDescent="0.3">
      <c r="B1933">
        <v>193</v>
      </c>
      <c r="C1933" t="str">
        <f>IFERROR(VLOOKUP(B1933,'Pre-Summary'!$DI$6:$DM$23,4,FALSE),"")</f>
        <v/>
      </c>
      <c r="D1933" s="10" t="str">
        <f>IFERROR(VLOOKUP(B1933,'Pre-Summary'!$AT$6:$AX$14,5,FALSE),D1932)</f>
        <v>Wolfe v3: went back to modified wolfe + EDTA and switched CuSO4 to CUCl2</v>
      </c>
      <c r="E1933" s="10" t="str">
        <f>IFERROR(VLOOKUP(B1933,'Pre-Summary'!$AT$6:$AX$15,4,FALSE),"")</f>
        <v/>
      </c>
      <c r="F1933">
        <f>IFERROR(VLOOKUP(B1933,'Pre-Summary'!$AL$6:$AQ$13,6,FALSE),F1932)</f>
        <v>5.9405263157894746E-2</v>
      </c>
      <c r="G1933" t="str">
        <f>IFERROR(VLOOKUP(B1933,'Pre-Summary'!$AE$6:$AJ$85,3,FALSE),"")</f>
        <v/>
      </c>
      <c r="H1933" t="str">
        <f>IFERROR(VLOOKUP(B1933,'Pre-Summary'!$AE$6:$AJ$85,4,FALSE),"")</f>
        <v/>
      </c>
      <c r="I1933" t="str">
        <f>IFERROR(VLOOKUP(B1933,'Pre-Summary'!$AE$6:$AJ$85,5,FALSE),"")</f>
        <v/>
      </c>
      <c r="J1933" s="45" t="str">
        <f>IFERROR(VLOOKUP(B1933,'Pre-Summary'!$AE$6:$AJ$85,6, FALSE),"")</f>
        <v/>
      </c>
      <c r="K1933" s="45" t="str">
        <f>IFERROR(VLOOKUP(B1933,'Pre-Summary'!$DE$6:$DG$61,3,FALSE),"")</f>
        <v/>
      </c>
      <c r="L1933" s="45" t="str">
        <f>IFERROR(VLOOKUP(B1933,'Pre-Summary'!$CU$6:$CW$36,3,FALSE),"")</f>
        <v/>
      </c>
      <c r="M1933" s="45" t="str">
        <f>IFERROR(VLOOKUP(B1933,'Pre-Summary'!$BW$6:$BY$58,2,FALSE),"")</f>
        <v/>
      </c>
      <c r="N1933" s="45" t="str">
        <f>IFERROR(VLOOKUP(B1933,'Pre-Summary'!$CD$6:$CF$64,2,FALSE),"")</f>
        <v/>
      </c>
      <c r="O1933" s="99">
        <f>IFERROR(VLOOKUP(B1933,'Pre-Summary'!$BO$6:$BQ$48,3, FALSE),O1932)</f>
        <v>1.3480000000000001</v>
      </c>
      <c r="P1933" s="99">
        <f>IFERROR(VLOOKUP(B1933,'Pre-Summary'!$BS$6:$BU$35,3,FALSE),P1932)</f>
        <v>0.33700000000000002</v>
      </c>
      <c r="Q1933" s="54">
        <f t="shared" si="90"/>
        <v>4</v>
      </c>
      <c r="R1933" s="53">
        <f>IFERROR(VLOOKUP(B1933,'Pre-Summary'!$BG$6:$BM$44,7,FALSE),R1934)</f>
        <v>6.3359901615733558E-2</v>
      </c>
      <c r="S1933" s="53">
        <f>IFERROR(VLOOKUP(B1933,'Pre-Summary'!$BG$6:$BM$44,6,FALSE),S1934)</f>
        <v>9.0755969483796467E-2</v>
      </c>
      <c r="T1933" s="45" t="str">
        <f>IFERROR(VLOOKUP(B1933,'Pre-Summary'!$Y$6:$AC$83, 3,FALSE),"")</f>
        <v/>
      </c>
      <c r="U1933" s="45" t="str">
        <f>IFERROR(VLOOKUP(B1933,'Pre-Summary'!$Y$6:$AC$83, 4,FALSE),"")</f>
        <v/>
      </c>
      <c r="V1933" t="str">
        <f>IFERROR(VLOOKUP(B1933,'Pre-Summary'!$Y$6:$AC$83, 5,FALSE),"")</f>
        <v/>
      </c>
      <c r="W1933" s="45" t="str">
        <f>IFERROR(VLOOKUP(B1933,'Pre-Summary'!$Y$6:$AD$83,6,FALSE),"")</f>
        <v/>
      </c>
      <c r="X1933" t="str">
        <f>IFERROR(VLOOKUP('Pre-Summary'!$DB$6:$DD$63,3,FALSE),"")</f>
        <v/>
      </c>
      <c r="Y1933" t="str">
        <f>IFERROR(VLOOKUP(B1933,'Pre-Summary'!$CR$6:$CT$36,3,FALSE),"")</f>
        <v/>
      </c>
      <c r="Z1933" s="45" t="str">
        <f>IFERROR(VLOOKUP(B1933,'Pre-Summary'!$BZ$6:$CB$63,2,FALSE),"")</f>
        <v/>
      </c>
      <c r="AA1933" s="45" t="str">
        <f>IFERROR(VLOOKUP(B1933,'Pre-Summary'!$CG$6:$CI$70,2,FALSE),"")</f>
        <v/>
      </c>
      <c r="AB1933" s="99">
        <f>IFERROR(VLOOKUP(B1933,'Pre-Summary'!$A$6:$P$178,9,FALSE),AB1934)</f>
        <v>0.30044327255958808</v>
      </c>
      <c r="AC1933" s="10">
        <f>IFERROR(VLOOKUP(Summary!B1933,'Pre-Summary'!$A$6:$P$184,5, FALSE)/100,AC1934)</f>
        <v>0.96390199999999993</v>
      </c>
      <c r="AD1933" s="10">
        <f>IFERROR(VLOOKUP(Summary!B1933,'Pre-Summary'!$A$6:$P$184,3, FALSE)/100,AD1934)</f>
        <v>2.2943666666666664E-2</v>
      </c>
      <c r="AE1933" s="10">
        <f>IFERROR(VLOOKUP(Summary!B1933,'Pre-Summary'!$A$6:$P$184,7, FALSE)/100,AE1934)</f>
        <v>1.3154333333333332E-2</v>
      </c>
      <c r="AF1933" s="99">
        <f t="shared" si="91"/>
        <v>6.8932702978496685E-3</v>
      </c>
      <c r="AG1933" s="99">
        <f t="shared" si="92"/>
        <v>3.9521309550063412E-3</v>
      </c>
      <c r="AH1933" s="10" t="str">
        <f>IFERROR(VLOOKUP(B1933,'Pre-Summary'!$AZ$6:$BE$65,3,FALSE),"")</f>
        <v/>
      </c>
      <c r="AI1933" s="10" t="str">
        <f>IFERROR(VLOOKUP(B1933,'Pre-Summary'!$AZ$6:$BE$65,5,FALSE),"")</f>
        <v/>
      </c>
      <c r="AJ1933" s="10" t="str">
        <f>IFERROR(VLOOKUP(B1933,'Pre-Summary'!$AZ$6:$BE$65,4,FALSE),"")</f>
        <v/>
      </c>
      <c r="AK1933" s="10" t="str">
        <f>IFERROR(VLOOKUP(B1933,'Pre-Summary'!$AZ$6:$BE$65,6,FALSE),"")</f>
        <v/>
      </c>
      <c r="AL1933" s="10" t="str">
        <f>IFERROR(VLOOKUP(B1933,'Pre-Summary'!$BG$6:$BL$44,3,FALSE),"")</f>
        <v/>
      </c>
      <c r="AM1933" s="10" t="str">
        <f>IFERROR(VLOOKUP(B1933,'Pre-Summary'!$BG$6:$BL$44,4,FALSE),"")</f>
        <v/>
      </c>
    </row>
    <row r="1934" spans="2:39" ht="15" customHeight="1" x14ac:dyDescent="0.3">
      <c r="B1934">
        <v>193.1</v>
      </c>
      <c r="C1934" t="str">
        <f>IFERROR(VLOOKUP(B1934,'Pre-Summary'!$DI$6:$DM$23,4,FALSE),"")</f>
        <v/>
      </c>
      <c r="D1934" s="10" t="str">
        <f>IFERROR(VLOOKUP(B1934,'Pre-Summary'!$AT$6:$AX$14,5,FALSE),D1933)</f>
        <v>Wolfe v3: went back to modified wolfe + EDTA and switched CuSO4 to CUCl2</v>
      </c>
      <c r="E1934" s="10" t="str">
        <f>IFERROR(VLOOKUP(B1934,'Pre-Summary'!$AT$6:$AX$15,4,FALSE),"")</f>
        <v/>
      </c>
      <c r="F1934">
        <f>IFERROR(VLOOKUP(B1934,'Pre-Summary'!$AL$6:$AQ$13,6,FALSE),F1933)</f>
        <v>5.9405263157894746E-2</v>
      </c>
      <c r="G1934" t="str">
        <f>IFERROR(VLOOKUP(B1934,'Pre-Summary'!$AE$6:$AJ$85,3,FALSE),"")</f>
        <v/>
      </c>
      <c r="H1934" t="str">
        <f>IFERROR(VLOOKUP(B1934,'Pre-Summary'!$AE$6:$AJ$85,4,FALSE),"")</f>
        <v/>
      </c>
      <c r="I1934" t="str">
        <f>IFERROR(VLOOKUP(B1934,'Pre-Summary'!$AE$6:$AJ$85,5,FALSE),"")</f>
        <v/>
      </c>
      <c r="J1934" s="45" t="str">
        <f>IFERROR(VLOOKUP(B1934,'Pre-Summary'!$AE$6:$AJ$85,6, FALSE),"")</f>
        <v/>
      </c>
      <c r="K1934" s="45" t="str">
        <f>IFERROR(VLOOKUP(B1934,'Pre-Summary'!$DE$6:$DG$61,3,FALSE),"")</f>
        <v/>
      </c>
      <c r="L1934" s="45" t="str">
        <f>IFERROR(VLOOKUP(B1934,'Pre-Summary'!$CU$6:$CW$36,3,FALSE),"")</f>
        <v/>
      </c>
      <c r="M1934" s="45" t="str">
        <f>IFERROR(VLOOKUP(B1934,'Pre-Summary'!$BW$6:$BY$58,2,FALSE),"")</f>
        <v/>
      </c>
      <c r="N1934" s="45" t="str">
        <f>IFERROR(VLOOKUP(B1934,'Pre-Summary'!$CD$6:$CF$64,2,FALSE),"")</f>
        <v/>
      </c>
      <c r="O1934" s="99">
        <f>IFERROR(VLOOKUP(B1934,'Pre-Summary'!$BO$6:$BQ$48,3, FALSE),O1933)</f>
        <v>1.3480000000000001</v>
      </c>
      <c r="P1934" s="99">
        <f>IFERROR(VLOOKUP(B1934,'Pre-Summary'!$BS$6:$BU$35,3,FALSE),P1933)</f>
        <v>0.33700000000000002</v>
      </c>
      <c r="Q1934" s="54">
        <f t="shared" si="90"/>
        <v>4</v>
      </c>
      <c r="R1934" s="53">
        <f>IFERROR(VLOOKUP(B1934,'Pre-Summary'!$BG$6:$BM$44,7,FALSE),R1935)</f>
        <v>6.3359901615733558E-2</v>
      </c>
      <c r="S1934" s="53">
        <f>IFERROR(VLOOKUP(B1934,'Pre-Summary'!$BG$6:$BM$44,6,FALSE),S1935)</f>
        <v>9.0755969483796467E-2</v>
      </c>
      <c r="T1934" s="45" t="str">
        <f>IFERROR(VLOOKUP(B1934,'Pre-Summary'!$Y$6:$AC$83, 3,FALSE),"")</f>
        <v/>
      </c>
      <c r="U1934" s="45" t="str">
        <f>IFERROR(VLOOKUP(B1934,'Pre-Summary'!$Y$6:$AC$83, 4,FALSE),"")</f>
        <v/>
      </c>
      <c r="V1934" t="str">
        <f>IFERROR(VLOOKUP(B1934,'Pre-Summary'!$Y$6:$AC$83, 5,FALSE),"")</f>
        <v/>
      </c>
      <c r="W1934" s="45" t="str">
        <f>IFERROR(VLOOKUP(B1934,'Pre-Summary'!$Y$6:$AD$83,6,FALSE),"")</f>
        <v/>
      </c>
      <c r="X1934" t="str">
        <f>IFERROR(VLOOKUP('Pre-Summary'!$DB$6:$DD$63,3,FALSE),"")</f>
        <v/>
      </c>
      <c r="Y1934" t="str">
        <f>IFERROR(VLOOKUP(B1934,'Pre-Summary'!$CR$6:$CT$36,3,FALSE),"")</f>
        <v/>
      </c>
      <c r="Z1934" s="45" t="str">
        <f>IFERROR(VLOOKUP(B1934,'Pre-Summary'!$BZ$6:$CB$63,2,FALSE),"")</f>
        <v/>
      </c>
      <c r="AA1934" s="45" t="str">
        <f>IFERROR(VLOOKUP(B1934,'Pre-Summary'!$CG$6:$CI$70,2,FALSE),"")</f>
        <v/>
      </c>
      <c r="AB1934" s="99">
        <f>IFERROR(VLOOKUP(B1934,'Pre-Summary'!$A$6:$P$178,9,FALSE),AB1935)</f>
        <v>0.30044327255958808</v>
      </c>
      <c r="AC1934" s="10">
        <f>IFERROR(VLOOKUP(Summary!B1934,'Pre-Summary'!$A$6:$P$184,5, FALSE)/100,AC1935)</f>
        <v>0.96390199999999993</v>
      </c>
      <c r="AD1934" s="10">
        <f>IFERROR(VLOOKUP(Summary!B1934,'Pre-Summary'!$A$6:$P$184,3, FALSE)/100,AD1935)</f>
        <v>2.2943666666666664E-2</v>
      </c>
      <c r="AE1934" s="10">
        <f>IFERROR(VLOOKUP(Summary!B1934,'Pre-Summary'!$A$6:$P$184,7, FALSE)/100,AE1935)</f>
        <v>1.3154333333333332E-2</v>
      </c>
      <c r="AF1934" s="99">
        <f t="shared" si="91"/>
        <v>6.8932702978496685E-3</v>
      </c>
      <c r="AG1934" s="99">
        <f t="shared" si="92"/>
        <v>3.9521309550063412E-3</v>
      </c>
      <c r="AH1934" s="10" t="str">
        <f>IFERROR(VLOOKUP(B1934,'Pre-Summary'!$AZ$6:$BE$65,3,FALSE),"")</f>
        <v/>
      </c>
      <c r="AI1934" s="10" t="str">
        <f>IFERROR(VLOOKUP(B1934,'Pre-Summary'!$AZ$6:$BE$65,5,FALSE),"")</f>
        <v/>
      </c>
      <c r="AJ1934" s="10" t="str">
        <f>IFERROR(VLOOKUP(B1934,'Pre-Summary'!$AZ$6:$BE$65,4,FALSE),"")</f>
        <v/>
      </c>
      <c r="AK1934" s="10" t="str">
        <f>IFERROR(VLOOKUP(B1934,'Pre-Summary'!$AZ$6:$BE$65,6,FALSE),"")</f>
        <v/>
      </c>
      <c r="AL1934" s="10" t="str">
        <f>IFERROR(VLOOKUP(B1934,'Pre-Summary'!$BG$6:$BL$44,3,FALSE),"")</f>
        <v/>
      </c>
      <c r="AM1934" s="10" t="str">
        <f>IFERROR(VLOOKUP(B1934,'Pre-Summary'!$BG$6:$BL$44,4,FALSE),"")</f>
        <v/>
      </c>
    </row>
    <row r="1935" spans="2:39" ht="15" customHeight="1" x14ac:dyDescent="0.3">
      <c r="B1935">
        <v>193.2</v>
      </c>
      <c r="C1935" t="str">
        <f>IFERROR(VLOOKUP(B1935,'Pre-Summary'!$DI$6:$DM$23,4,FALSE),"")</f>
        <v/>
      </c>
      <c r="D1935" s="10" t="str">
        <f>IFERROR(VLOOKUP(B1935,'Pre-Summary'!$AT$6:$AX$14,5,FALSE),D1934)</f>
        <v>Wolfe v3: went back to modified wolfe + EDTA and switched CuSO4 to CUCl2</v>
      </c>
      <c r="E1935" s="10" t="str">
        <f>IFERROR(VLOOKUP(B1935,'Pre-Summary'!$AT$6:$AX$15,4,FALSE),"")</f>
        <v/>
      </c>
      <c r="F1935">
        <f>IFERROR(VLOOKUP(B1935,'Pre-Summary'!$AL$6:$AQ$13,6,FALSE),F1934)</f>
        <v>5.9405263157894746E-2</v>
      </c>
      <c r="G1935" t="str">
        <f>IFERROR(VLOOKUP(B1935,'Pre-Summary'!$AE$6:$AJ$85,3,FALSE),"")</f>
        <v/>
      </c>
      <c r="H1935" t="str">
        <f>IFERROR(VLOOKUP(B1935,'Pre-Summary'!$AE$6:$AJ$85,4,FALSE),"")</f>
        <v/>
      </c>
      <c r="I1935" t="str">
        <f>IFERROR(VLOOKUP(B1935,'Pre-Summary'!$AE$6:$AJ$85,5,FALSE),"")</f>
        <v/>
      </c>
      <c r="J1935" s="45" t="str">
        <f>IFERROR(VLOOKUP(B1935,'Pre-Summary'!$AE$6:$AJ$85,6, FALSE),"")</f>
        <v/>
      </c>
      <c r="K1935" s="45" t="str">
        <f>IFERROR(VLOOKUP(B1935,'Pre-Summary'!$DE$6:$DG$61,3,FALSE),"")</f>
        <v/>
      </c>
      <c r="L1935" s="45" t="str">
        <f>IFERROR(VLOOKUP(B1935,'Pre-Summary'!$CU$6:$CW$36,3,FALSE),"")</f>
        <v/>
      </c>
      <c r="M1935" s="45" t="str">
        <f>IFERROR(VLOOKUP(B1935,'Pre-Summary'!$BW$6:$BY$58,2,FALSE),"")</f>
        <v/>
      </c>
      <c r="N1935" s="45" t="str">
        <f>IFERROR(VLOOKUP(B1935,'Pre-Summary'!$CD$6:$CF$64,2,FALSE),"")</f>
        <v/>
      </c>
      <c r="O1935" s="99">
        <f>IFERROR(VLOOKUP(B1935,'Pre-Summary'!$BO$6:$BQ$48,3, FALSE),O1934)</f>
        <v>1.3480000000000001</v>
      </c>
      <c r="P1935" s="99">
        <f>IFERROR(VLOOKUP(B1935,'Pre-Summary'!$BS$6:$BU$35,3,FALSE),P1934)</f>
        <v>0.33700000000000002</v>
      </c>
      <c r="Q1935" s="54">
        <f t="shared" si="90"/>
        <v>4</v>
      </c>
      <c r="R1935" s="53">
        <f>IFERROR(VLOOKUP(B1935,'Pre-Summary'!$BG$6:$BM$44,7,FALSE),R1936)</f>
        <v>6.3359901615733558E-2</v>
      </c>
      <c r="S1935" s="53">
        <f>IFERROR(VLOOKUP(B1935,'Pre-Summary'!$BG$6:$BM$44,6,FALSE),S1936)</f>
        <v>9.0755969483796467E-2</v>
      </c>
      <c r="T1935" s="45" t="str">
        <f>IFERROR(VLOOKUP(B1935,'Pre-Summary'!$Y$6:$AC$83, 3,FALSE),"")</f>
        <v/>
      </c>
      <c r="U1935" s="45" t="str">
        <f>IFERROR(VLOOKUP(B1935,'Pre-Summary'!$Y$6:$AC$83, 4,FALSE),"")</f>
        <v/>
      </c>
      <c r="V1935" t="str">
        <f>IFERROR(VLOOKUP(B1935,'Pre-Summary'!$Y$6:$AC$83, 5,FALSE),"")</f>
        <v/>
      </c>
      <c r="W1935" s="45" t="str">
        <f>IFERROR(VLOOKUP(B1935,'Pre-Summary'!$Y$6:$AD$83,6,FALSE),"")</f>
        <v/>
      </c>
      <c r="X1935" t="str">
        <f>IFERROR(VLOOKUP('Pre-Summary'!$DB$6:$DD$63,3,FALSE),"")</f>
        <v/>
      </c>
      <c r="Y1935" t="str">
        <f>IFERROR(VLOOKUP(B1935,'Pre-Summary'!$CR$6:$CT$36,3,FALSE),"")</f>
        <v/>
      </c>
      <c r="Z1935" s="45" t="str">
        <f>IFERROR(VLOOKUP(B1935,'Pre-Summary'!$BZ$6:$CB$63,2,FALSE),"")</f>
        <v/>
      </c>
      <c r="AA1935" s="45" t="str">
        <f>IFERROR(VLOOKUP(B1935,'Pre-Summary'!$CG$6:$CI$70,2,FALSE),"")</f>
        <v/>
      </c>
      <c r="AB1935" s="99">
        <f>IFERROR(VLOOKUP(B1935,'Pre-Summary'!$A$6:$P$178,9,FALSE),AB1936)</f>
        <v>0.30044327255958808</v>
      </c>
      <c r="AC1935" s="10">
        <f>IFERROR(VLOOKUP(Summary!B1935,'Pre-Summary'!$A$6:$P$184,5, FALSE)/100,AC1936)</f>
        <v>0.96390199999999993</v>
      </c>
      <c r="AD1935" s="10">
        <f>IFERROR(VLOOKUP(Summary!B1935,'Pre-Summary'!$A$6:$P$184,3, FALSE)/100,AD1936)</f>
        <v>2.2943666666666664E-2</v>
      </c>
      <c r="AE1935" s="10">
        <f>IFERROR(VLOOKUP(Summary!B1935,'Pre-Summary'!$A$6:$P$184,7, FALSE)/100,AE1936)</f>
        <v>1.3154333333333332E-2</v>
      </c>
      <c r="AF1935" s="99">
        <f t="shared" si="91"/>
        <v>6.8932702978496685E-3</v>
      </c>
      <c r="AG1935" s="99">
        <f t="shared" si="92"/>
        <v>3.9521309550063412E-3</v>
      </c>
      <c r="AH1935" s="10" t="str">
        <f>IFERROR(VLOOKUP(B1935,'Pre-Summary'!$AZ$6:$BE$65,3,FALSE),"")</f>
        <v/>
      </c>
      <c r="AI1935" s="10" t="str">
        <f>IFERROR(VLOOKUP(B1935,'Pre-Summary'!$AZ$6:$BE$65,5,FALSE),"")</f>
        <v/>
      </c>
      <c r="AJ1935" s="10" t="str">
        <f>IFERROR(VLOOKUP(B1935,'Pre-Summary'!$AZ$6:$BE$65,4,FALSE),"")</f>
        <v/>
      </c>
      <c r="AK1935" s="10" t="str">
        <f>IFERROR(VLOOKUP(B1935,'Pre-Summary'!$AZ$6:$BE$65,6,FALSE),"")</f>
        <v/>
      </c>
      <c r="AL1935" s="10" t="str">
        <f>IFERROR(VLOOKUP(B1935,'Pre-Summary'!$BG$6:$BL$44,3,FALSE),"")</f>
        <v/>
      </c>
      <c r="AM1935" s="10" t="str">
        <f>IFERROR(VLOOKUP(B1935,'Pre-Summary'!$BG$6:$BL$44,4,FALSE),"")</f>
        <v/>
      </c>
    </row>
    <row r="1936" spans="2:39" ht="15" customHeight="1" x14ac:dyDescent="0.3">
      <c r="B1936">
        <v>193.3</v>
      </c>
      <c r="C1936" t="str">
        <f>IFERROR(VLOOKUP(B1936,'Pre-Summary'!$DI$6:$DM$23,4,FALSE),"")</f>
        <v/>
      </c>
      <c r="D1936" s="10" t="str">
        <f>IFERROR(VLOOKUP(B1936,'Pre-Summary'!$AT$6:$AX$14,5,FALSE),D1935)</f>
        <v>Wolfe v3: went back to modified wolfe + EDTA and switched CuSO4 to CUCl2</v>
      </c>
      <c r="E1936" s="10" t="str">
        <f>IFERROR(VLOOKUP(B1936,'Pre-Summary'!$AT$6:$AX$15,4,FALSE),"")</f>
        <v/>
      </c>
      <c r="F1936">
        <f>IFERROR(VLOOKUP(B1936,'Pre-Summary'!$AL$6:$AQ$13,6,FALSE),F1935)</f>
        <v>5.9405263157894746E-2</v>
      </c>
      <c r="G1936" t="str">
        <f>IFERROR(VLOOKUP(B1936,'Pre-Summary'!$AE$6:$AJ$85,3,FALSE),"")</f>
        <v/>
      </c>
      <c r="H1936" t="str">
        <f>IFERROR(VLOOKUP(B1936,'Pre-Summary'!$AE$6:$AJ$85,4,FALSE),"")</f>
        <v/>
      </c>
      <c r="I1936" t="str">
        <f>IFERROR(VLOOKUP(B1936,'Pre-Summary'!$AE$6:$AJ$85,5,FALSE),"")</f>
        <v/>
      </c>
      <c r="J1936" s="45" t="str">
        <f>IFERROR(VLOOKUP(B1936,'Pre-Summary'!$AE$6:$AJ$85,6, FALSE),"")</f>
        <v/>
      </c>
      <c r="K1936" s="45" t="str">
        <f>IFERROR(VLOOKUP(B1936,'Pre-Summary'!$DE$6:$DG$61,3,FALSE),"")</f>
        <v/>
      </c>
      <c r="L1936" s="45" t="str">
        <f>IFERROR(VLOOKUP(B1936,'Pre-Summary'!$CU$6:$CW$36,3,FALSE),"")</f>
        <v/>
      </c>
      <c r="M1936" s="45" t="str">
        <f>IFERROR(VLOOKUP(B1936,'Pre-Summary'!$BW$6:$BY$58,2,FALSE),"")</f>
        <v/>
      </c>
      <c r="N1936" s="45" t="str">
        <f>IFERROR(VLOOKUP(B1936,'Pre-Summary'!$CD$6:$CF$64,2,FALSE),"")</f>
        <v/>
      </c>
      <c r="O1936" s="99">
        <f>IFERROR(VLOOKUP(B1936,'Pre-Summary'!$BO$6:$BQ$48,3, FALSE),O1935)</f>
        <v>1.3480000000000001</v>
      </c>
      <c r="P1936" s="99">
        <f>IFERROR(VLOOKUP(B1936,'Pre-Summary'!$BS$6:$BU$35,3,FALSE),P1935)</f>
        <v>0.33700000000000002</v>
      </c>
      <c r="Q1936" s="54">
        <f t="shared" si="90"/>
        <v>4</v>
      </c>
      <c r="R1936" s="53">
        <f>IFERROR(VLOOKUP(B1936,'Pre-Summary'!$BG$6:$BM$44,7,FALSE),R1937)</f>
        <v>6.3359901615733558E-2</v>
      </c>
      <c r="S1936" s="53">
        <f>IFERROR(VLOOKUP(B1936,'Pre-Summary'!$BG$6:$BM$44,6,FALSE),S1937)</f>
        <v>9.0755969483796467E-2</v>
      </c>
      <c r="T1936" s="45" t="str">
        <f>IFERROR(VLOOKUP(B1936,'Pre-Summary'!$Y$6:$AC$83, 3,FALSE),"")</f>
        <v/>
      </c>
      <c r="U1936" s="45" t="str">
        <f>IFERROR(VLOOKUP(B1936,'Pre-Summary'!$Y$6:$AC$83, 4,FALSE),"")</f>
        <v/>
      </c>
      <c r="V1936" t="str">
        <f>IFERROR(VLOOKUP(B1936,'Pre-Summary'!$Y$6:$AC$83, 5,FALSE),"")</f>
        <v/>
      </c>
      <c r="W1936" s="45" t="str">
        <f>IFERROR(VLOOKUP(B1936,'Pre-Summary'!$Y$6:$AD$83,6,FALSE),"")</f>
        <v/>
      </c>
      <c r="X1936" t="str">
        <f>IFERROR(VLOOKUP('Pre-Summary'!$DB$6:$DD$63,3,FALSE),"")</f>
        <v/>
      </c>
      <c r="Y1936" t="str">
        <f>IFERROR(VLOOKUP(B1936,'Pre-Summary'!$CR$6:$CT$36,3,FALSE),"")</f>
        <v/>
      </c>
      <c r="Z1936" s="45" t="str">
        <f>IFERROR(VLOOKUP(B1936,'Pre-Summary'!$BZ$6:$CB$63,2,FALSE),"")</f>
        <v/>
      </c>
      <c r="AA1936" s="45" t="str">
        <f>IFERROR(VLOOKUP(B1936,'Pre-Summary'!$CG$6:$CI$70,2,FALSE),"")</f>
        <v/>
      </c>
      <c r="AB1936" s="99">
        <f>IFERROR(VLOOKUP(B1936,'Pre-Summary'!$A$6:$P$178,9,FALSE),AB1937)</f>
        <v>0.30044327255958808</v>
      </c>
      <c r="AC1936" s="10">
        <f>IFERROR(VLOOKUP(Summary!B1936,'Pre-Summary'!$A$6:$P$184,5, FALSE)/100,AC1937)</f>
        <v>0.96390199999999993</v>
      </c>
      <c r="AD1936" s="10">
        <f>IFERROR(VLOOKUP(Summary!B1936,'Pre-Summary'!$A$6:$P$184,3, FALSE)/100,AD1937)</f>
        <v>2.2943666666666664E-2</v>
      </c>
      <c r="AE1936" s="10">
        <f>IFERROR(VLOOKUP(Summary!B1936,'Pre-Summary'!$A$6:$P$184,7, FALSE)/100,AE1937)</f>
        <v>1.3154333333333332E-2</v>
      </c>
      <c r="AF1936" s="99">
        <f t="shared" si="91"/>
        <v>6.8932702978496685E-3</v>
      </c>
      <c r="AG1936" s="99">
        <f t="shared" si="92"/>
        <v>3.9521309550063412E-3</v>
      </c>
      <c r="AH1936" s="10" t="str">
        <f>IFERROR(VLOOKUP(B1936,'Pre-Summary'!$AZ$6:$BE$65,3,FALSE),"")</f>
        <v/>
      </c>
      <c r="AI1936" s="10" t="str">
        <f>IFERROR(VLOOKUP(B1936,'Pre-Summary'!$AZ$6:$BE$65,5,FALSE),"")</f>
        <v/>
      </c>
      <c r="AJ1936" s="10" t="str">
        <f>IFERROR(VLOOKUP(B1936,'Pre-Summary'!$AZ$6:$BE$65,4,FALSE),"")</f>
        <v/>
      </c>
      <c r="AK1936" s="10" t="str">
        <f>IFERROR(VLOOKUP(B1936,'Pre-Summary'!$AZ$6:$BE$65,6,FALSE),"")</f>
        <v/>
      </c>
      <c r="AL1936" s="10" t="str">
        <f>IFERROR(VLOOKUP(B1936,'Pre-Summary'!$BG$6:$BL$44,3,FALSE),"")</f>
        <v/>
      </c>
      <c r="AM1936" s="10" t="str">
        <f>IFERROR(VLOOKUP(B1936,'Pre-Summary'!$BG$6:$BL$44,4,FALSE),"")</f>
        <v/>
      </c>
    </row>
    <row r="1937" spans="2:39" ht="15" customHeight="1" x14ac:dyDescent="0.3">
      <c r="B1937">
        <v>193.4</v>
      </c>
      <c r="C1937" t="str">
        <f>IFERROR(VLOOKUP(B1937,'Pre-Summary'!$DI$6:$DM$23,4,FALSE),"")</f>
        <v/>
      </c>
      <c r="D1937" s="10" t="str">
        <f>IFERROR(VLOOKUP(B1937,'Pre-Summary'!$AT$6:$AX$14,5,FALSE),D1936)</f>
        <v>Wolfe v3: went back to modified wolfe + EDTA and switched CuSO4 to CUCl2</v>
      </c>
      <c r="E1937" s="10" t="str">
        <f>IFERROR(VLOOKUP(B1937,'Pre-Summary'!$AT$6:$AX$15,4,FALSE),"")</f>
        <v/>
      </c>
      <c r="F1937">
        <f>IFERROR(VLOOKUP(B1937,'Pre-Summary'!$AL$6:$AQ$13,6,FALSE),F1936)</f>
        <v>5.9405263157894746E-2</v>
      </c>
      <c r="G1937" t="str">
        <f>IFERROR(VLOOKUP(B1937,'Pre-Summary'!$AE$6:$AJ$85,3,FALSE),"")</f>
        <v/>
      </c>
      <c r="H1937" t="str">
        <f>IFERROR(VLOOKUP(B1937,'Pre-Summary'!$AE$6:$AJ$85,4,FALSE),"")</f>
        <v/>
      </c>
      <c r="I1937" t="str">
        <f>IFERROR(VLOOKUP(B1937,'Pre-Summary'!$AE$6:$AJ$85,5,FALSE),"")</f>
        <v/>
      </c>
      <c r="J1937" s="45" t="str">
        <f>IFERROR(VLOOKUP(B1937,'Pre-Summary'!$AE$6:$AJ$85,6, FALSE),"")</f>
        <v/>
      </c>
      <c r="K1937" s="45" t="str">
        <f>IFERROR(VLOOKUP(B1937,'Pre-Summary'!$DE$6:$DG$61,3,FALSE),"")</f>
        <v/>
      </c>
      <c r="L1937" s="45" t="str">
        <f>IFERROR(VLOOKUP(B1937,'Pre-Summary'!$CU$6:$CW$36,3,FALSE),"")</f>
        <v/>
      </c>
      <c r="M1937" s="45" t="str">
        <f>IFERROR(VLOOKUP(B1937,'Pre-Summary'!$BW$6:$BY$58,2,FALSE),"")</f>
        <v/>
      </c>
      <c r="N1937" s="45" t="str">
        <f>IFERROR(VLOOKUP(B1937,'Pre-Summary'!$CD$6:$CF$64,2,FALSE),"")</f>
        <v/>
      </c>
      <c r="O1937" s="99">
        <f>IFERROR(VLOOKUP(B1937,'Pre-Summary'!$BO$6:$BQ$48,3, FALSE),O1936)</f>
        <v>1.3480000000000001</v>
      </c>
      <c r="P1937" s="99">
        <f>IFERROR(VLOOKUP(B1937,'Pre-Summary'!$BS$6:$BU$35,3,FALSE),P1936)</f>
        <v>0.33700000000000002</v>
      </c>
      <c r="Q1937" s="54">
        <f t="shared" si="90"/>
        <v>4</v>
      </c>
      <c r="R1937" s="53">
        <f>IFERROR(VLOOKUP(B1937,'Pre-Summary'!$BG$6:$BM$44,7,FALSE),R1938)</f>
        <v>6.3359901615733558E-2</v>
      </c>
      <c r="S1937" s="53">
        <f>IFERROR(VLOOKUP(B1937,'Pre-Summary'!$BG$6:$BM$44,6,FALSE),S1938)</f>
        <v>9.0755969483796467E-2</v>
      </c>
      <c r="T1937" s="45" t="str">
        <f>IFERROR(VLOOKUP(B1937,'Pre-Summary'!$Y$6:$AC$83, 3,FALSE),"")</f>
        <v/>
      </c>
      <c r="U1937" s="45" t="str">
        <f>IFERROR(VLOOKUP(B1937,'Pre-Summary'!$Y$6:$AC$83, 4,FALSE),"")</f>
        <v/>
      </c>
      <c r="V1937" t="str">
        <f>IFERROR(VLOOKUP(B1937,'Pre-Summary'!$Y$6:$AC$83, 5,FALSE),"")</f>
        <v/>
      </c>
      <c r="W1937" s="45" t="str">
        <f>IFERROR(VLOOKUP(B1937,'Pre-Summary'!$Y$6:$AD$83,6,FALSE),"")</f>
        <v/>
      </c>
      <c r="X1937" t="str">
        <f>IFERROR(VLOOKUP('Pre-Summary'!$DB$6:$DD$63,3,FALSE),"")</f>
        <v/>
      </c>
      <c r="Y1937" t="str">
        <f>IFERROR(VLOOKUP(B1937,'Pre-Summary'!$CR$6:$CT$36,3,FALSE),"")</f>
        <v/>
      </c>
      <c r="Z1937" s="45" t="str">
        <f>IFERROR(VLOOKUP(B1937,'Pre-Summary'!$BZ$6:$CB$63,2,FALSE),"")</f>
        <v/>
      </c>
      <c r="AA1937" s="45" t="str">
        <f>IFERROR(VLOOKUP(B1937,'Pre-Summary'!$CG$6:$CI$70,2,FALSE),"")</f>
        <v/>
      </c>
      <c r="AB1937" s="99">
        <f>IFERROR(VLOOKUP(B1937,'Pre-Summary'!$A$6:$P$178,9,FALSE),AB1938)</f>
        <v>0.30044327255958808</v>
      </c>
      <c r="AC1937" s="10">
        <f>IFERROR(VLOOKUP(Summary!B1937,'Pre-Summary'!$A$6:$P$184,5, FALSE)/100,AC1938)</f>
        <v>0.96390199999999993</v>
      </c>
      <c r="AD1937" s="10">
        <f>IFERROR(VLOOKUP(Summary!B1937,'Pre-Summary'!$A$6:$P$184,3, FALSE)/100,AD1938)</f>
        <v>2.2943666666666664E-2</v>
      </c>
      <c r="AE1937" s="10">
        <f>IFERROR(VLOOKUP(Summary!B1937,'Pre-Summary'!$A$6:$P$184,7, FALSE)/100,AE1938)</f>
        <v>1.3154333333333332E-2</v>
      </c>
      <c r="AF1937" s="99">
        <f t="shared" si="91"/>
        <v>6.8932702978496685E-3</v>
      </c>
      <c r="AG1937" s="99">
        <f t="shared" si="92"/>
        <v>3.9521309550063412E-3</v>
      </c>
      <c r="AH1937" s="10" t="str">
        <f>IFERROR(VLOOKUP(B1937,'Pre-Summary'!$AZ$6:$BE$65,3,FALSE),"")</f>
        <v/>
      </c>
      <c r="AI1937" s="10" t="str">
        <f>IFERROR(VLOOKUP(B1937,'Pre-Summary'!$AZ$6:$BE$65,5,FALSE),"")</f>
        <v/>
      </c>
      <c r="AJ1937" s="10" t="str">
        <f>IFERROR(VLOOKUP(B1937,'Pre-Summary'!$AZ$6:$BE$65,4,FALSE),"")</f>
        <v/>
      </c>
      <c r="AK1937" s="10" t="str">
        <f>IFERROR(VLOOKUP(B1937,'Pre-Summary'!$AZ$6:$BE$65,6,FALSE),"")</f>
        <v/>
      </c>
      <c r="AL1937" s="10" t="str">
        <f>IFERROR(VLOOKUP(B1937,'Pre-Summary'!$BG$6:$BL$44,3,FALSE),"")</f>
        <v/>
      </c>
      <c r="AM1937" s="10" t="str">
        <f>IFERROR(VLOOKUP(B1937,'Pre-Summary'!$BG$6:$BL$44,4,FALSE),"")</f>
        <v/>
      </c>
    </row>
    <row r="1938" spans="2:39" ht="15" customHeight="1" x14ac:dyDescent="0.3">
      <c r="B1938">
        <v>193.5</v>
      </c>
      <c r="C1938" t="str">
        <f>IFERROR(VLOOKUP(B1938,'Pre-Summary'!$DI$6:$DM$23,4,FALSE),"")</f>
        <v/>
      </c>
      <c r="D1938" s="10" t="str">
        <f>IFERROR(VLOOKUP(B1938,'Pre-Summary'!$AT$6:$AX$14,5,FALSE),D1937)</f>
        <v>Wolfe v3: went back to modified wolfe + EDTA and switched CuSO4 to CUCl2</v>
      </c>
      <c r="E1938" s="10" t="str">
        <f>IFERROR(VLOOKUP(B1938,'Pre-Summary'!$AT$6:$AX$15,4,FALSE),"")</f>
        <v/>
      </c>
      <c r="F1938">
        <f>IFERROR(VLOOKUP(B1938,'Pre-Summary'!$AL$6:$AQ$13,6,FALSE),F1937)</f>
        <v>5.9405263157894746E-2</v>
      </c>
      <c r="G1938" t="str">
        <f>IFERROR(VLOOKUP(B1938,'Pre-Summary'!$AE$6:$AJ$85,3,FALSE),"")</f>
        <v/>
      </c>
      <c r="H1938" t="str">
        <f>IFERROR(VLOOKUP(B1938,'Pre-Summary'!$AE$6:$AJ$85,4,FALSE),"")</f>
        <v/>
      </c>
      <c r="I1938" t="str">
        <f>IFERROR(VLOOKUP(B1938,'Pre-Summary'!$AE$6:$AJ$85,5,FALSE),"")</f>
        <v/>
      </c>
      <c r="J1938" s="45" t="str">
        <f>IFERROR(VLOOKUP(B1938,'Pre-Summary'!$AE$6:$AJ$85,6, FALSE),"")</f>
        <v/>
      </c>
      <c r="K1938" s="45" t="str">
        <f>IFERROR(VLOOKUP(B1938,'Pre-Summary'!$DE$6:$DG$61,3,FALSE),"")</f>
        <v/>
      </c>
      <c r="L1938" s="45" t="str">
        <f>IFERROR(VLOOKUP(B1938,'Pre-Summary'!$CU$6:$CW$36,3,FALSE),"")</f>
        <v/>
      </c>
      <c r="M1938" s="45" t="str">
        <f>IFERROR(VLOOKUP(B1938,'Pre-Summary'!$BW$6:$BY$58,2,FALSE),"")</f>
        <v/>
      </c>
      <c r="N1938" s="45" t="str">
        <f>IFERROR(VLOOKUP(B1938,'Pre-Summary'!$CD$6:$CF$64,2,FALSE),"")</f>
        <v/>
      </c>
      <c r="O1938" s="99">
        <f>IFERROR(VLOOKUP(B1938,'Pre-Summary'!$BO$6:$BQ$48,3, FALSE),O1937)</f>
        <v>1.3480000000000001</v>
      </c>
      <c r="P1938" s="99">
        <f>IFERROR(VLOOKUP(B1938,'Pre-Summary'!$BS$6:$BU$35,3,FALSE),P1937)</f>
        <v>0.33700000000000002</v>
      </c>
      <c r="Q1938" s="54">
        <f t="shared" si="90"/>
        <v>4</v>
      </c>
      <c r="R1938" s="53">
        <f>IFERROR(VLOOKUP(B1938,'Pre-Summary'!$BG$6:$BM$44,7,FALSE),R1939)</f>
        <v>6.3359901615733558E-2</v>
      </c>
      <c r="S1938" s="53">
        <f>IFERROR(VLOOKUP(B1938,'Pre-Summary'!$BG$6:$BM$44,6,FALSE),S1939)</f>
        <v>9.0755969483796467E-2</v>
      </c>
      <c r="T1938" s="45" t="str">
        <f>IFERROR(VLOOKUP(B1938,'Pre-Summary'!$Y$6:$AC$83, 3,FALSE),"")</f>
        <v/>
      </c>
      <c r="U1938" s="45" t="str">
        <f>IFERROR(VLOOKUP(B1938,'Pre-Summary'!$Y$6:$AC$83, 4,FALSE),"")</f>
        <v/>
      </c>
      <c r="V1938" t="str">
        <f>IFERROR(VLOOKUP(B1938,'Pre-Summary'!$Y$6:$AC$83, 5,FALSE),"")</f>
        <v/>
      </c>
      <c r="W1938" s="45" t="str">
        <f>IFERROR(VLOOKUP(B1938,'Pre-Summary'!$Y$6:$AD$83,6,FALSE),"")</f>
        <v/>
      </c>
      <c r="X1938" t="str">
        <f>IFERROR(VLOOKUP('Pre-Summary'!$DB$6:$DD$63,3,FALSE),"")</f>
        <v/>
      </c>
      <c r="Y1938" t="str">
        <f>IFERROR(VLOOKUP(B1938,'Pre-Summary'!$CR$6:$CT$36,3,FALSE),"")</f>
        <v/>
      </c>
      <c r="Z1938" s="45" t="str">
        <f>IFERROR(VLOOKUP(B1938,'Pre-Summary'!$BZ$6:$CB$63,2,FALSE),"")</f>
        <v/>
      </c>
      <c r="AA1938" s="45" t="str">
        <f>IFERROR(VLOOKUP(B1938,'Pre-Summary'!$CG$6:$CI$70,2,FALSE),"")</f>
        <v/>
      </c>
      <c r="AB1938" s="99">
        <f>IFERROR(VLOOKUP(B1938,'Pre-Summary'!$A$6:$P$178,9,FALSE),AB1939)</f>
        <v>0.30044327255958808</v>
      </c>
      <c r="AC1938" s="10">
        <f>IFERROR(VLOOKUP(Summary!B1938,'Pre-Summary'!$A$6:$P$184,5, FALSE)/100,AC1939)</f>
        <v>0.96390199999999993</v>
      </c>
      <c r="AD1938" s="10">
        <f>IFERROR(VLOOKUP(Summary!B1938,'Pre-Summary'!$A$6:$P$184,3, FALSE)/100,AD1939)</f>
        <v>2.2943666666666664E-2</v>
      </c>
      <c r="AE1938" s="10">
        <f>IFERROR(VLOOKUP(Summary!B1938,'Pre-Summary'!$A$6:$P$184,7, FALSE)/100,AE1939)</f>
        <v>1.3154333333333332E-2</v>
      </c>
      <c r="AF1938" s="99">
        <f t="shared" si="91"/>
        <v>6.8932702978496685E-3</v>
      </c>
      <c r="AG1938" s="99">
        <f t="shared" si="92"/>
        <v>3.9521309550063412E-3</v>
      </c>
      <c r="AH1938" s="10" t="str">
        <f>IFERROR(VLOOKUP(B1938,'Pre-Summary'!$AZ$6:$BE$65,3,FALSE),"")</f>
        <v/>
      </c>
      <c r="AI1938" s="10" t="str">
        <f>IFERROR(VLOOKUP(B1938,'Pre-Summary'!$AZ$6:$BE$65,5,FALSE),"")</f>
        <v/>
      </c>
      <c r="AJ1938" s="10" t="str">
        <f>IFERROR(VLOOKUP(B1938,'Pre-Summary'!$AZ$6:$BE$65,4,FALSE),"")</f>
        <v/>
      </c>
      <c r="AK1938" s="10" t="str">
        <f>IFERROR(VLOOKUP(B1938,'Pre-Summary'!$AZ$6:$BE$65,6,FALSE),"")</f>
        <v/>
      </c>
      <c r="AL1938" s="10" t="str">
        <f>IFERROR(VLOOKUP(B1938,'Pre-Summary'!$BG$6:$BL$44,3,FALSE),"")</f>
        <v/>
      </c>
      <c r="AM1938" s="10" t="str">
        <f>IFERROR(VLOOKUP(B1938,'Pre-Summary'!$BG$6:$BL$44,4,FALSE),"")</f>
        <v/>
      </c>
    </row>
    <row r="1939" spans="2:39" ht="15" customHeight="1" x14ac:dyDescent="0.3">
      <c r="B1939">
        <v>193.6</v>
      </c>
      <c r="C1939" t="str">
        <f>IFERROR(VLOOKUP(B1939,'Pre-Summary'!$DI$6:$DM$23,4,FALSE),"")</f>
        <v/>
      </c>
      <c r="D1939" s="10" t="str">
        <f>IFERROR(VLOOKUP(B1939,'Pre-Summary'!$AT$6:$AX$14,5,FALSE),D1938)</f>
        <v>Wolfe v3: went back to modified wolfe + EDTA and switched CuSO4 to CUCl2</v>
      </c>
      <c r="E1939" s="10" t="str">
        <f>IFERROR(VLOOKUP(B1939,'Pre-Summary'!$AT$6:$AX$15,4,FALSE),"")</f>
        <v/>
      </c>
      <c r="F1939">
        <f>IFERROR(VLOOKUP(B1939,'Pre-Summary'!$AL$6:$AQ$13,6,FALSE),F1938)</f>
        <v>5.9405263157894746E-2</v>
      </c>
      <c r="G1939" t="str">
        <f>IFERROR(VLOOKUP(B1939,'Pre-Summary'!$AE$6:$AJ$85,3,FALSE),"")</f>
        <v/>
      </c>
      <c r="H1939" t="str">
        <f>IFERROR(VLOOKUP(B1939,'Pre-Summary'!$AE$6:$AJ$85,4,FALSE),"")</f>
        <v/>
      </c>
      <c r="I1939" t="str">
        <f>IFERROR(VLOOKUP(B1939,'Pre-Summary'!$AE$6:$AJ$85,5,FALSE),"")</f>
        <v/>
      </c>
      <c r="J1939" s="45" t="str">
        <f>IFERROR(VLOOKUP(B1939,'Pre-Summary'!$AE$6:$AJ$85,6, FALSE),"")</f>
        <v/>
      </c>
      <c r="K1939" s="45" t="str">
        <f>IFERROR(VLOOKUP(B1939,'Pre-Summary'!$DE$6:$DG$61,3,FALSE),"")</f>
        <v/>
      </c>
      <c r="L1939" s="45" t="str">
        <f>IFERROR(VLOOKUP(B1939,'Pre-Summary'!$CU$6:$CW$36,3,FALSE),"")</f>
        <v/>
      </c>
      <c r="M1939" s="45" t="str">
        <f>IFERROR(VLOOKUP(B1939,'Pre-Summary'!$BW$6:$BY$58,2,FALSE),"")</f>
        <v/>
      </c>
      <c r="N1939" s="45" t="str">
        <f>IFERROR(VLOOKUP(B1939,'Pre-Summary'!$CD$6:$CF$64,2,FALSE),"")</f>
        <v/>
      </c>
      <c r="O1939" s="99">
        <f>IFERROR(VLOOKUP(B1939,'Pre-Summary'!$BO$6:$BQ$48,3, FALSE),O1938)</f>
        <v>1.3480000000000001</v>
      </c>
      <c r="P1939" s="99">
        <f>IFERROR(VLOOKUP(B1939,'Pre-Summary'!$BS$6:$BU$35,3,FALSE),P1938)</f>
        <v>0.33700000000000002</v>
      </c>
      <c r="Q1939" s="54">
        <f t="shared" si="90"/>
        <v>4</v>
      </c>
      <c r="R1939" s="53">
        <f>IFERROR(VLOOKUP(B1939,'Pre-Summary'!$BG$6:$BM$44,7,FALSE),R1940)</f>
        <v>6.3359901615733558E-2</v>
      </c>
      <c r="S1939" s="53">
        <f>IFERROR(VLOOKUP(B1939,'Pre-Summary'!$BG$6:$BM$44,6,FALSE),S1940)</f>
        <v>9.0755969483796467E-2</v>
      </c>
      <c r="T1939" s="45" t="str">
        <f>IFERROR(VLOOKUP(B1939,'Pre-Summary'!$Y$6:$AC$83, 3,FALSE),"")</f>
        <v/>
      </c>
      <c r="U1939" s="45" t="str">
        <f>IFERROR(VLOOKUP(B1939,'Pre-Summary'!$Y$6:$AC$83, 4,FALSE),"")</f>
        <v/>
      </c>
      <c r="V1939" t="str">
        <f>IFERROR(VLOOKUP(B1939,'Pre-Summary'!$Y$6:$AC$83, 5,FALSE),"")</f>
        <v/>
      </c>
      <c r="W1939" s="45" t="str">
        <f>IFERROR(VLOOKUP(B1939,'Pre-Summary'!$Y$6:$AD$83,6,FALSE),"")</f>
        <v/>
      </c>
      <c r="X1939" t="str">
        <f>IFERROR(VLOOKUP('Pre-Summary'!$DB$6:$DD$63,3,FALSE),"")</f>
        <v/>
      </c>
      <c r="Y1939" t="str">
        <f>IFERROR(VLOOKUP(B1939,'Pre-Summary'!$CR$6:$CT$36,3,FALSE),"")</f>
        <v/>
      </c>
      <c r="Z1939" s="45" t="str">
        <f>IFERROR(VLOOKUP(B1939,'Pre-Summary'!$BZ$6:$CB$63,2,FALSE),"")</f>
        <v/>
      </c>
      <c r="AA1939" s="45" t="str">
        <f>IFERROR(VLOOKUP(B1939,'Pre-Summary'!$CG$6:$CI$70,2,FALSE),"")</f>
        <v/>
      </c>
      <c r="AB1939" s="99">
        <f>IFERROR(VLOOKUP(B1939,'Pre-Summary'!$A$6:$P$178,9,FALSE),AB1940)</f>
        <v>0.30044327255958808</v>
      </c>
      <c r="AC1939" s="10">
        <f>IFERROR(VLOOKUP(Summary!B1939,'Pre-Summary'!$A$6:$P$184,5, FALSE)/100,AC1940)</f>
        <v>0.96390199999999993</v>
      </c>
      <c r="AD1939" s="10">
        <f>IFERROR(VLOOKUP(Summary!B1939,'Pre-Summary'!$A$6:$P$184,3, FALSE)/100,AD1940)</f>
        <v>2.2943666666666664E-2</v>
      </c>
      <c r="AE1939" s="10">
        <f>IFERROR(VLOOKUP(Summary!B1939,'Pre-Summary'!$A$6:$P$184,7, FALSE)/100,AE1940)</f>
        <v>1.3154333333333332E-2</v>
      </c>
      <c r="AF1939" s="99">
        <f t="shared" si="91"/>
        <v>6.8932702978496685E-3</v>
      </c>
      <c r="AG1939" s="99">
        <f t="shared" si="92"/>
        <v>3.9521309550063412E-3</v>
      </c>
      <c r="AH1939" s="10" t="str">
        <f>IFERROR(VLOOKUP(B1939,'Pre-Summary'!$AZ$6:$BE$65,3,FALSE),"")</f>
        <v/>
      </c>
      <c r="AI1939" s="10" t="str">
        <f>IFERROR(VLOOKUP(B1939,'Pre-Summary'!$AZ$6:$BE$65,5,FALSE),"")</f>
        <v/>
      </c>
      <c r="AJ1939" s="10" t="str">
        <f>IFERROR(VLOOKUP(B1939,'Pre-Summary'!$AZ$6:$BE$65,4,FALSE),"")</f>
        <v/>
      </c>
      <c r="AK1939" s="10" t="str">
        <f>IFERROR(VLOOKUP(B1939,'Pre-Summary'!$AZ$6:$BE$65,6,FALSE),"")</f>
        <v/>
      </c>
      <c r="AL1939" s="10" t="str">
        <f>IFERROR(VLOOKUP(B1939,'Pre-Summary'!$BG$6:$BL$44,3,FALSE),"")</f>
        <v/>
      </c>
      <c r="AM1939" s="10" t="str">
        <f>IFERROR(VLOOKUP(B1939,'Pre-Summary'!$BG$6:$BL$44,4,FALSE),"")</f>
        <v/>
      </c>
    </row>
    <row r="1940" spans="2:39" ht="15" customHeight="1" x14ac:dyDescent="0.3">
      <c r="B1940">
        <v>193.7</v>
      </c>
      <c r="C1940" t="str">
        <f>IFERROR(VLOOKUP(B1940,'Pre-Summary'!$DI$6:$DM$23,4,FALSE),"")</f>
        <v/>
      </c>
      <c r="D1940" s="10" t="str">
        <f>IFERROR(VLOOKUP(B1940,'Pre-Summary'!$AT$6:$AX$14,5,FALSE),D1939)</f>
        <v>Wolfe v3: went back to modified wolfe + EDTA and switched CuSO4 to CUCl2</v>
      </c>
      <c r="E1940" s="10" t="str">
        <f>IFERROR(VLOOKUP(B1940,'Pre-Summary'!$AT$6:$AX$15,4,FALSE),"")</f>
        <v/>
      </c>
      <c r="F1940">
        <f>IFERROR(VLOOKUP(B1940,'Pre-Summary'!$AL$6:$AQ$13,6,FALSE),F1939)</f>
        <v>5.9405263157894746E-2</v>
      </c>
      <c r="G1940" t="str">
        <f>IFERROR(VLOOKUP(B1940,'Pre-Summary'!$AE$6:$AJ$85,3,FALSE),"")</f>
        <v/>
      </c>
      <c r="H1940" t="str">
        <f>IFERROR(VLOOKUP(B1940,'Pre-Summary'!$AE$6:$AJ$85,4,FALSE),"")</f>
        <v/>
      </c>
      <c r="I1940" t="str">
        <f>IFERROR(VLOOKUP(B1940,'Pre-Summary'!$AE$6:$AJ$85,5,FALSE),"")</f>
        <v/>
      </c>
      <c r="J1940" s="45" t="str">
        <f>IFERROR(VLOOKUP(B1940,'Pre-Summary'!$AE$6:$AJ$85,6, FALSE),"")</f>
        <v/>
      </c>
      <c r="K1940" s="45" t="str">
        <f>IFERROR(VLOOKUP(B1940,'Pre-Summary'!$DE$6:$DG$61,3,FALSE),"")</f>
        <v/>
      </c>
      <c r="L1940" s="45" t="str">
        <f>IFERROR(VLOOKUP(B1940,'Pre-Summary'!$CU$6:$CW$36,3,FALSE),"")</f>
        <v/>
      </c>
      <c r="M1940" s="45" t="str">
        <f>IFERROR(VLOOKUP(B1940,'Pre-Summary'!$BW$6:$BY$58,2,FALSE),"")</f>
        <v/>
      </c>
      <c r="N1940" s="45" t="str">
        <f>IFERROR(VLOOKUP(B1940,'Pre-Summary'!$CD$6:$CF$64,2,FALSE),"")</f>
        <v/>
      </c>
      <c r="O1940" s="99">
        <f>IFERROR(VLOOKUP(B1940,'Pre-Summary'!$BO$6:$BQ$48,3, FALSE),O1939)</f>
        <v>1.3480000000000001</v>
      </c>
      <c r="P1940" s="99">
        <f>IFERROR(VLOOKUP(B1940,'Pre-Summary'!$BS$6:$BU$35,3,FALSE),P1939)</f>
        <v>0.33700000000000002</v>
      </c>
      <c r="Q1940" s="54">
        <f t="shared" si="90"/>
        <v>4</v>
      </c>
      <c r="R1940" s="53">
        <f>IFERROR(VLOOKUP(B1940,'Pre-Summary'!$BG$6:$BM$44,7,FALSE),R1941)</f>
        <v>6.3359901615733558E-2</v>
      </c>
      <c r="S1940" s="53">
        <f>IFERROR(VLOOKUP(B1940,'Pre-Summary'!$BG$6:$BM$44,6,FALSE),S1941)</f>
        <v>9.0755969483796467E-2</v>
      </c>
      <c r="T1940" s="45" t="str">
        <f>IFERROR(VLOOKUP(B1940,'Pre-Summary'!$Y$6:$AC$83, 3,FALSE),"")</f>
        <v/>
      </c>
      <c r="U1940" s="45" t="str">
        <f>IFERROR(VLOOKUP(B1940,'Pre-Summary'!$Y$6:$AC$83, 4,FALSE),"")</f>
        <v/>
      </c>
      <c r="V1940" t="str">
        <f>IFERROR(VLOOKUP(B1940,'Pre-Summary'!$Y$6:$AC$83, 5,FALSE),"")</f>
        <v/>
      </c>
      <c r="W1940" s="45" t="str">
        <f>IFERROR(VLOOKUP(B1940,'Pre-Summary'!$Y$6:$AD$83,6,FALSE),"")</f>
        <v/>
      </c>
      <c r="X1940" t="str">
        <f>IFERROR(VLOOKUP('Pre-Summary'!$DB$6:$DD$63,3,FALSE),"")</f>
        <v/>
      </c>
      <c r="Y1940" t="str">
        <f>IFERROR(VLOOKUP(B1940,'Pre-Summary'!$CR$6:$CT$36,3,FALSE),"")</f>
        <v/>
      </c>
      <c r="Z1940" s="45" t="str">
        <f>IFERROR(VLOOKUP(B1940,'Pre-Summary'!$BZ$6:$CB$63,2,FALSE),"")</f>
        <v/>
      </c>
      <c r="AA1940" s="45" t="str">
        <f>IFERROR(VLOOKUP(B1940,'Pre-Summary'!$CG$6:$CI$70,2,FALSE),"")</f>
        <v/>
      </c>
      <c r="AB1940" s="99">
        <f>IFERROR(VLOOKUP(B1940,'Pre-Summary'!$A$6:$P$178,9,FALSE),AB1941)</f>
        <v>0.30044327255958808</v>
      </c>
      <c r="AC1940" s="10">
        <f>IFERROR(VLOOKUP(Summary!B1940,'Pre-Summary'!$A$6:$P$184,5, FALSE)/100,AC1941)</f>
        <v>0.96390199999999993</v>
      </c>
      <c r="AD1940" s="10">
        <f>IFERROR(VLOOKUP(Summary!B1940,'Pre-Summary'!$A$6:$P$184,3, FALSE)/100,AD1941)</f>
        <v>2.2943666666666664E-2</v>
      </c>
      <c r="AE1940" s="10">
        <f>IFERROR(VLOOKUP(Summary!B1940,'Pre-Summary'!$A$6:$P$184,7, FALSE)/100,AE1941)</f>
        <v>1.3154333333333332E-2</v>
      </c>
      <c r="AF1940" s="99">
        <f t="shared" si="91"/>
        <v>6.8932702978496685E-3</v>
      </c>
      <c r="AG1940" s="99">
        <f t="shared" si="92"/>
        <v>3.9521309550063412E-3</v>
      </c>
      <c r="AH1940" s="10" t="str">
        <f>IFERROR(VLOOKUP(B1940,'Pre-Summary'!$AZ$6:$BE$65,3,FALSE),"")</f>
        <v/>
      </c>
      <c r="AI1940" s="10" t="str">
        <f>IFERROR(VLOOKUP(B1940,'Pre-Summary'!$AZ$6:$BE$65,5,FALSE),"")</f>
        <v/>
      </c>
      <c r="AJ1940" s="10" t="str">
        <f>IFERROR(VLOOKUP(B1940,'Pre-Summary'!$AZ$6:$BE$65,4,FALSE),"")</f>
        <v/>
      </c>
      <c r="AK1940" s="10" t="str">
        <f>IFERROR(VLOOKUP(B1940,'Pre-Summary'!$AZ$6:$BE$65,6,FALSE),"")</f>
        <v/>
      </c>
      <c r="AL1940" s="10" t="str">
        <f>IFERROR(VLOOKUP(B1940,'Pre-Summary'!$BG$6:$BL$44,3,FALSE),"")</f>
        <v/>
      </c>
      <c r="AM1940" s="10" t="str">
        <f>IFERROR(VLOOKUP(B1940,'Pre-Summary'!$BG$6:$BL$44,4,FALSE),"")</f>
        <v/>
      </c>
    </row>
    <row r="1941" spans="2:39" ht="15" customHeight="1" x14ac:dyDescent="0.3">
      <c r="B1941">
        <v>193.8</v>
      </c>
      <c r="C1941" t="str">
        <f>IFERROR(VLOOKUP(B1941,'Pre-Summary'!$DI$6:$DM$23,4,FALSE),"")</f>
        <v/>
      </c>
      <c r="D1941" s="10" t="str">
        <f>IFERROR(VLOOKUP(B1941,'Pre-Summary'!$AT$6:$AX$14,5,FALSE),D1940)</f>
        <v>Wolfe v3: went back to modified wolfe + EDTA and switched CuSO4 to CUCl2</v>
      </c>
      <c r="E1941" s="10" t="str">
        <f>IFERROR(VLOOKUP(B1941,'Pre-Summary'!$AT$6:$AX$15,4,FALSE),"")</f>
        <v/>
      </c>
      <c r="F1941">
        <f>IFERROR(VLOOKUP(B1941,'Pre-Summary'!$AL$6:$AQ$13,6,FALSE),F1940)</f>
        <v>5.9405263157894746E-2</v>
      </c>
      <c r="G1941" t="str">
        <f>IFERROR(VLOOKUP(B1941,'Pre-Summary'!$AE$6:$AJ$85,3,FALSE),"")</f>
        <v/>
      </c>
      <c r="H1941" t="str">
        <f>IFERROR(VLOOKUP(B1941,'Pre-Summary'!$AE$6:$AJ$85,4,FALSE),"")</f>
        <v/>
      </c>
      <c r="I1941" t="str">
        <f>IFERROR(VLOOKUP(B1941,'Pre-Summary'!$AE$6:$AJ$85,5,FALSE),"")</f>
        <v/>
      </c>
      <c r="J1941" s="45" t="str">
        <f>IFERROR(VLOOKUP(B1941,'Pre-Summary'!$AE$6:$AJ$85,6, FALSE),"")</f>
        <v/>
      </c>
      <c r="K1941" s="45" t="str">
        <f>IFERROR(VLOOKUP(B1941,'Pre-Summary'!$DE$6:$DG$61,3,FALSE),"")</f>
        <v/>
      </c>
      <c r="L1941" s="45" t="str">
        <f>IFERROR(VLOOKUP(B1941,'Pre-Summary'!$CU$6:$CW$36,3,FALSE),"")</f>
        <v/>
      </c>
      <c r="M1941" s="45" t="str">
        <f>IFERROR(VLOOKUP(B1941,'Pre-Summary'!$BW$6:$BY$58,2,FALSE),"")</f>
        <v/>
      </c>
      <c r="N1941" s="45" t="str">
        <f>IFERROR(VLOOKUP(B1941,'Pre-Summary'!$CD$6:$CF$64,2,FALSE),"")</f>
        <v/>
      </c>
      <c r="O1941" s="99">
        <f>IFERROR(VLOOKUP(B1941,'Pre-Summary'!$BO$6:$BQ$48,3, FALSE),O1940)</f>
        <v>1.3480000000000001</v>
      </c>
      <c r="P1941" s="99">
        <f>IFERROR(VLOOKUP(B1941,'Pre-Summary'!$BS$6:$BU$35,3,FALSE),P1940)</f>
        <v>0.33700000000000002</v>
      </c>
      <c r="Q1941" s="54">
        <f t="shared" si="90"/>
        <v>4</v>
      </c>
      <c r="R1941" s="53">
        <f>IFERROR(VLOOKUP(B1941,'Pre-Summary'!$BG$6:$BM$44,7,FALSE),R1942)</f>
        <v>6.3359901615733558E-2</v>
      </c>
      <c r="S1941" s="53">
        <f>IFERROR(VLOOKUP(B1941,'Pre-Summary'!$BG$6:$BM$44,6,FALSE),S1942)</f>
        <v>9.0755969483796467E-2</v>
      </c>
      <c r="T1941" s="45" t="str">
        <f>IFERROR(VLOOKUP(B1941,'Pre-Summary'!$Y$6:$AC$83, 3,FALSE),"")</f>
        <v/>
      </c>
      <c r="U1941" s="45" t="str">
        <f>IFERROR(VLOOKUP(B1941,'Pre-Summary'!$Y$6:$AC$83, 4,FALSE),"")</f>
        <v/>
      </c>
      <c r="V1941" t="str">
        <f>IFERROR(VLOOKUP(B1941,'Pre-Summary'!$Y$6:$AC$83, 5,FALSE),"")</f>
        <v/>
      </c>
      <c r="W1941" s="45" t="str">
        <f>IFERROR(VLOOKUP(B1941,'Pre-Summary'!$Y$6:$AD$83,6,FALSE),"")</f>
        <v/>
      </c>
      <c r="X1941" t="str">
        <f>IFERROR(VLOOKUP('Pre-Summary'!$DB$6:$DD$63,3,FALSE),"")</f>
        <v/>
      </c>
      <c r="Y1941" t="str">
        <f>IFERROR(VLOOKUP(B1941,'Pre-Summary'!$CR$6:$CT$36,3,FALSE),"")</f>
        <v/>
      </c>
      <c r="Z1941" s="45" t="str">
        <f>IFERROR(VLOOKUP(B1941,'Pre-Summary'!$BZ$6:$CB$63,2,FALSE),"")</f>
        <v/>
      </c>
      <c r="AA1941" s="45" t="str">
        <f>IFERROR(VLOOKUP(B1941,'Pre-Summary'!$CG$6:$CI$70,2,FALSE),"")</f>
        <v/>
      </c>
      <c r="AB1941" s="99">
        <f>IFERROR(VLOOKUP(B1941,'Pre-Summary'!$A$6:$P$178,9,FALSE),AB1942)</f>
        <v>0.30044327255958808</v>
      </c>
      <c r="AC1941" s="10">
        <f>IFERROR(VLOOKUP(Summary!B1941,'Pre-Summary'!$A$6:$P$184,5, FALSE)/100,AC1942)</f>
        <v>0.96390199999999993</v>
      </c>
      <c r="AD1941" s="10">
        <f>IFERROR(VLOOKUP(Summary!B1941,'Pre-Summary'!$A$6:$P$184,3, FALSE)/100,AD1942)</f>
        <v>2.2943666666666664E-2</v>
      </c>
      <c r="AE1941" s="10">
        <f>IFERROR(VLOOKUP(Summary!B1941,'Pre-Summary'!$A$6:$P$184,7, FALSE)/100,AE1942)</f>
        <v>1.3154333333333332E-2</v>
      </c>
      <c r="AF1941" s="99">
        <f t="shared" si="91"/>
        <v>6.8932702978496685E-3</v>
      </c>
      <c r="AG1941" s="99">
        <f t="shared" si="92"/>
        <v>3.9521309550063412E-3</v>
      </c>
      <c r="AH1941" s="10" t="str">
        <f>IFERROR(VLOOKUP(B1941,'Pre-Summary'!$AZ$6:$BE$65,3,FALSE),"")</f>
        <v/>
      </c>
      <c r="AI1941" s="10" t="str">
        <f>IFERROR(VLOOKUP(B1941,'Pre-Summary'!$AZ$6:$BE$65,5,FALSE),"")</f>
        <v/>
      </c>
      <c r="AJ1941" s="10" t="str">
        <f>IFERROR(VLOOKUP(B1941,'Pre-Summary'!$AZ$6:$BE$65,4,FALSE),"")</f>
        <v/>
      </c>
      <c r="AK1941" s="10" t="str">
        <f>IFERROR(VLOOKUP(B1941,'Pre-Summary'!$AZ$6:$BE$65,6,FALSE),"")</f>
        <v/>
      </c>
      <c r="AL1941" s="10" t="str">
        <f>IFERROR(VLOOKUP(B1941,'Pre-Summary'!$BG$6:$BL$44,3,FALSE),"")</f>
        <v/>
      </c>
      <c r="AM1941" s="10" t="str">
        <f>IFERROR(VLOOKUP(B1941,'Pre-Summary'!$BG$6:$BL$44,4,FALSE),"")</f>
        <v/>
      </c>
    </row>
    <row r="1942" spans="2:39" ht="15" customHeight="1" x14ac:dyDescent="0.3">
      <c r="B1942">
        <v>193.9</v>
      </c>
      <c r="C1942" t="str">
        <f>IFERROR(VLOOKUP(B1942,'Pre-Summary'!$DI$6:$DM$23,4,FALSE),"")</f>
        <v/>
      </c>
      <c r="D1942" s="10" t="str">
        <f>IFERROR(VLOOKUP(B1942,'Pre-Summary'!$AT$6:$AX$14,5,FALSE),D1941)</f>
        <v>Wolfe v3: went back to modified wolfe + EDTA and switched CuSO4 to CUCl2</v>
      </c>
      <c r="E1942" s="10" t="str">
        <f>IFERROR(VLOOKUP(B1942,'Pre-Summary'!$AT$6:$AX$15,4,FALSE),"")</f>
        <v/>
      </c>
      <c r="F1942">
        <f>IFERROR(VLOOKUP(B1942,'Pre-Summary'!$AL$6:$AQ$13,6,FALSE),F1941)</f>
        <v>5.9405263157894746E-2</v>
      </c>
      <c r="G1942" t="str">
        <f>IFERROR(VLOOKUP(B1942,'Pre-Summary'!$AE$6:$AJ$85,3,FALSE),"")</f>
        <v/>
      </c>
      <c r="H1942" t="str">
        <f>IFERROR(VLOOKUP(B1942,'Pre-Summary'!$AE$6:$AJ$85,4,FALSE),"")</f>
        <v/>
      </c>
      <c r="I1942" t="str">
        <f>IFERROR(VLOOKUP(B1942,'Pre-Summary'!$AE$6:$AJ$85,5,FALSE),"")</f>
        <v/>
      </c>
      <c r="J1942" s="45" t="str">
        <f>IFERROR(VLOOKUP(B1942,'Pre-Summary'!$AE$6:$AJ$85,6, FALSE),"")</f>
        <v/>
      </c>
      <c r="K1942" s="45" t="str">
        <f>IFERROR(VLOOKUP(B1942,'Pre-Summary'!$DE$6:$DG$61,3,FALSE),"")</f>
        <v/>
      </c>
      <c r="L1942" s="45" t="str">
        <f>IFERROR(VLOOKUP(B1942,'Pre-Summary'!$CU$6:$CW$36,3,FALSE),"")</f>
        <v/>
      </c>
      <c r="M1942" s="45" t="str">
        <f>IFERROR(VLOOKUP(B1942,'Pre-Summary'!$BW$6:$BY$58,2,FALSE),"")</f>
        <v/>
      </c>
      <c r="N1942" s="45" t="str">
        <f>IFERROR(VLOOKUP(B1942,'Pre-Summary'!$CD$6:$CF$64,2,FALSE),"")</f>
        <v/>
      </c>
      <c r="O1942" s="99">
        <f>IFERROR(VLOOKUP(B1942,'Pre-Summary'!$BO$6:$BQ$48,3, FALSE),O1941)</f>
        <v>1.3480000000000001</v>
      </c>
      <c r="P1942" s="99">
        <f>IFERROR(VLOOKUP(B1942,'Pre-Summary'!$BS$6:$BU$35,3,FALSE),P1941)</f>
        <v>0.33700000000000002</v>
      </c>
      <c r="Q1942" s="54">
        <f t="shared" si="90"/>
        <v>4</v>
      </c>
      <c r="R1942" s="53">
        <f>IFERROR(VLOOKUP(B1942,'Pre-Summary'!$BG$6:$BM$44,7,FALSE),R1943)</f>
        <v>6.3359901615733558E-2</v>
      </c>
      <c r="S1942" s="53">
        <f>IFERROR(VLOOKUP(B1942,'Pre-Summary'!$BG$6:$BM$44,6,FALSE),S1943)</f>
        <v>9.0755969483796467E-2</v>
      </c>
      <c r="T1942" s="45" t="str">
        <f>IFERROR(VLOOKUP(B1942,'Pre-Summary'!$Y$6:$AC$83, 3,FALSE),"")</f>
        <v/>
      </c>
      <c r="U1942" s="45" t="str">
        <f>IFERROR(VLOOKUP(B1942,'Pre-Summary'!$Y$6:$AC$83, 4,FALSE),"")</f>
        <v/>
      </c>
      <c r="V1942" t="str">
        <f>IFERROR(VLOOKUP(B1942,'Pre-Summary'!$Y$6:$AC$83, 5,FALSE),"")</f>
        <v/>
      </c>
      <c r="W1942" s="45" t="str">
        <f>IFERROR(VLOOKUP(B1942,'Pre-Summary'!$Y$6:$AD$83,6,FALSE),"")</f>
        <v/>
      </c>
      <c r="X1942" t="str">
        <f>IFERROR(VLOOKUP('Pre-Summary'!$DB$6:$DD$63,3,FALSE),"")</f>
        <v/>
      </c>
      <c r="Y1942" t="str">
        <f>IFERROR(VLOOKUP(B1942,'Pre-Summary'!$CR$6:$CT$36,3,FALSE),"")</f>
        <v/>
      </c>
      <c r="Z1942" s="45" t="str">
        <f>IFERROR(VLOOKUP(B1942,'Pre-Summary'!$BZ$6:$CB$63,2,FALSE),"")</f>
        <v/>
      </c>
      <c r="AA1942" s="45" t="str">
        <f>IFERROR(VLOOKUP(B1942,'Pre-Summary'!$CG$6:$CI$70,2,FALSE),"")</f>
        <v/>
      </c>
      <c r="AB1942" s="99">
        <f>IFERROR(VLOOKUP(B1942,'Pre-Summary'!$A$6:$P$178,9,FALSE),AB1943)</f>
        <v>0.30044327255958808</v>
      </c>
      <c r="AC1942" s="10">
        <f>IFERROR(VLOOKUP(Summary!B1942,'Pre-Summary'!$A$6:$P$184,5, FALSE)/100,AC1943)</f>
        <v>0.96390199999999993</v>
      </c>
      <c r="AD1942" s="10">
        <f>IFERROR(VLOOKUP(Summary!B1942,'Pre-Summary'!$A$6:$P$184,3, FALSE)/100,AD1943)</f>
        <v>2.2943666666666664E-2</v>
      </c>
      <c r="AE1942" s="10">
        <f>IFERROR(VLOOKUP(Summary!B1942,'Pre-Summary'!$A$6:$P$184,7, FALSE)/100,AE1943)</f>
        <v>1.3154333333333332E-2</v>
      </c>
      <c r="AF1942" s="99">
        <f t="shared" si="91"/>
        <v>6.8932702978496685E-3</v>
      </c>
      <c r="AG1942" s="99">
        <f t="shared" si="92"/>
        <v>3.9521309550063412E-3</v>
      </c>
      <c r="AH1942" s="10" t="str">
        <f>IFERROR(VLOOKUP(B1942,'Pre-Summary'!$AZ$6:$BE$65,3,FALSE),"")</f>
        <v/>
      </c>
      <c r="AI1942" s="10" t="str">
        <f>IFERROR(VLOOKUP(B1942,'Pre-Summary'!$AZ$6:$BE$65,5,FALSE),"")</f>
        <v/>
      </c>
      <c r="AJ1942" s="10" t="str">
        <f>IFERROR(VLOOKUP(B1942,'Pre-Summary'!$AZ$6:$BE$65,4,FALSE),"")</f>
        <v/>
      </c>
      <c r="AK1942" s="10" t="str">
        <f>IFERROR(VLOOKUP(B1942,'Pre-Summary'!$AZ$6:$BE$65,6,FALSE),"")</f>
        <v/>
      </c>
      <c r="AL1942" s="10" t="str">
        <f>IFERROR(VLOOKUP(B1942,'Pre-Summary'!$BG$6:$BL$44,3,FALSE),"")</f>
        <v/>
      </c>
      <c r="AM1942" s="10" t="str">
        <f>IFERROR(VLOOKUP(B1942,'Pre-Summary'!$BG$6:$BL$44,4,FALSE),"")</f>
        <v/>
      </c>
    </row>
    <row r="1943" spans="2:39" ht="15" customHeight="1" x14ac:dyDescent="0.3">
      <c r="B1943">
        <v>194</v>
      </c>
      <c r="C1943" t="str">
        <f>IFERROR(VLOOKUP(B1943,'Pre-Summary'!$DI$6:$DM$23,4,FALSE),"")</f>
        <v/>
      </c>
      <c r="D1943" s="10" t="str">
        <f>IFERROR(VLOOKUP(B1943,'Pre-Summary'!$AT$6:$AX$14,5,FALSE),D1942)</f>
        <v>Wolfe v3: went back to modified wolfe + EDTA and switched CuSO4 to CUCl2</v>
      </c>
      <c r="E1943" s="10" t="str">
        <f>IFERROR(VLOOKUP(B1943,'Pre-Summary'!$AT$6:$AX$15,4,FALSE),"")</f>
        <v/>
      </c>
      <c r="F1943">
        <f>IFERROR(VLOOKUP(B1943,'Pre-Summary'!$AL$6:$AQ$13,6,FALSE),F1942)</f>
        <v>5.9405263157894746E-2</v>
      </c>
      <c r="G1943" t="str">
        <f>IFERROR(VLOOKUP(B1943,'Pre-Summary'!$AE$6:$AJ$85,3,FALSE),"")</f>
        <v/>
      </c>
      <c r="H1943" t="str">
        <f>IFERROR(VLOOKUP(B1943,'Pre-Summary'!$AE$6:$AJ$85,4,FALSE),"")</f>
        <v/>
      </c>
      <c r="I1943" t="str">
        <f>IFERROR(VLOOKUP(B1943,'Pre-Summary'!$AE$6:$AJ$85,5,FALSE),"")</f>
        <v/>
      </c>
      <c r="J1943" s="45" t="str">
        <f>IFERROR(VLOOKUP(B1943,'Pre-Summary'!$AE$6:$AJ$85,6, FALSE),"")</f>
        <v/>
      </c>
      <c r="K1943" s="45" t="str">
        <f>IFERROR(VLOOKUP(B1943,'Pre-Summary'!$DE$6:$DG$61,3,FALSE),"")</f>
        <v/>
      </c>
      <c r="L1943" s="45" t="str">
        <f>IFERROR(VLOOKUP(B1943,'Pre-Summary'!$CU$6:$CW$36,3,FALSE),"")</f>
        <v/>
      </c>
      <c r="M1943" s="45" t="str">
        <f>IFERROR(VLOOKUP(B1943,'Pre-Summary'!$BW$6:$BY$58,2,FALSE),"")</f>
        <v/>
      </c>
      <c r="N1943" s="45" t="str">
        <f>IFERROR(VLOOKUP(B1943,'Pre-Summary'!$CD$6:$CF$64,2,FALSE),"")</f>
        <v/>
      </c>
      <c r="O1943" s="99">
        <f>IFERROR(VLOOKUP(B1943,'Pre-Summary'!$BO$6:$BQ$48,3, FALSE),O1942)</f>
        <v>1.3480000000000001</v>
      </c>
      <c r="P1943" s="99">
        <f>IFERROR(VLOOKUP(B1943,'Pre-Summary'!$BS$6:$BU$35,3,FALSE),P1942)</f>
        <v>0.33700000000000002</v>
      </c>
      <c r="Q1943" s="54">
        <f t="shared" si="90"/>
        <v>4</v>
      </c>
      <c r="R1943" s="53">
        <f>IFERROR(VLOOKUP(B1943,'Pre-Summary'!$BG$6:$BM$44,7,FALSE),R1944)</f>
        <v>6.3359901615733558E-2</v>
      </c>
      <c r="S1943" s="53">
        <f>IFERROR(VLOOKUP(B1943,'Pre-Summary'!$BG$6:$BM$44,6,FALSE),S1944)</f>
        <v>9.0755969483796467E-2</v>
      </c>
      <c r="T1943" s="45" t="str">
        <f>IFERROR(VLOOKUP(B1943,'Pre-Summary'!$Y$6:$AC$83, 3,FALSE),"")</f>
        <v/>
      </c>
      <c r="U1943" s="45" t="str">
        <f>IFERROR(VLOOKUP(B1943,'Pre-Summary'!$Y$6:$AC$83, 4,FALSE),"")</f>
        <v/>
      </c>
      <c r="V1943" t="str">
        <f>IFERROR(VLOOKUP(B1943,'Pre-Summary'!$Y$6:$AC$83, 5,FALSE),"")</f>
        <v/>
      </c>
      <c r="W1943" s="45" t="str">
        <f>IFERROR(VLOOKUP(B1943,'Pre-Summary'!$Y$6:$AD$83,6,FALSE),"")</f>
        <v/>
      </c>
      <c r="X1943" t="str">
        <f>IFERROR(VLOOKUP('Pre-Summary'!$DB$6:$DD$63,3,FALSE),"")</f>
        <v/>
      </c>
      <c r="Y1943" t="str">
        <f>IFERROR(VLOOKUP(B1943,'Pre-Summary'!$CR$6:$CT$36,3,FALSE),"")</f>
        <v/>
      </c>
      <c r="Z1943" s="45" t="str">
        <f>IFERROR(VLOOKUP(B1943,'Pre-Summary'!$BZ$6:$CB$63,2,FALSE),"")</f>
        <v/>
      </c>
      <c r="AA1943" s="45" t="str">
        <f>IFERROR(VLOOKUP(B1943,'Pre-Summary'!$CG$6:$CI$70,2,FALSE),"")</f>
        <v/>
      </c>
      <c r="AB1943" s="99">
        <f>IFERROR(VLOOKUP(B1943,'Pre-Summary'!$A$6:$P$178,9,FALSE),AB1944)</f>
        <v>0.30044327255958808</v>
      </c>
      <c r="AC1943" s="10">
        <f>IFERROR(VLOOKUP(Summary!B1943,'Pre-Summary'!$A$6:$P$184,5, FALSE)/100,AC1944)</f>
        <v>0.96390199999999993</v>
      </c>
      <c r="AD1943" s="10">
        <f>IFERROR(VLOOKUP(Summary!B1943,'Pre-Summary'!$A$6:$P$184,3, FALSE)/100,AD1944)</f>
        <v>2.2943666666666664E-2</v>
      </c>
      <c r="AE1943" s="10">
        <f>IFERROR(VLOOKUP(Summary!B1943,'Pre-Summary'!$A$6:$P$184,7, FALSE)/100,AE1944)</f>
        <v>1.3154333333333332E-2</v>
      </c>
      <c r="AF1943" s="99">
        <f t="shared" si="91"/>
        <v>6.8932702978496685E-3</v>
      </c>
      <c r="AG1943" s="99">
        <f t="shared" si="92"/>
        <v>3.9521309550063412E-3</v>
      </c>
      <c r="AH1943" s="10" t="str">
        <f>IFERROR(VLOOKUP(B1943,'Pre-Summary'!$AZ$6:$BE$65,3,FALSE),"")</f>
        <v/>
      </c>
      <c r="AI1943" s="10" t="str">
        <f>IFERROR(VLOOKUP(B1943,'Pre-Summary'!$AZ$6:$BE$65,5,FALSE),"")</f>
        <v/>
      </c>
      <c r="AJ1943" s="10" t="str">
        <f>IFERROR(VLOOKUP(B1943,'Pre-Summary'!$AZ$6:$BE$65,4,FALSE),"")</f>
        <v/>
      </c>
      <c r="AK1943" s="10" t="str">
        <f>IFERROR(VLOOKUP(B1943,'Pre-Summary'!$AZ$6:$BE$65,6,FALSE),"")</f>
        <v/>
      </c>
      <c r="AL1943" s="10" t="str">
        <f>IFERROR(VLOOKUP(B1943,'Pre-Summary'!$BG$6:$BL$44,3,FALSE),"")</f>
        <v/>
      </c>
      <c r="AM1943" s="10" t="str">
        <f>IFERROR(VLOOKUP(B1943,'Pre-Summary'!$BG$6:$BL$44,4,FALSE),"")</f>
        <v/>
      </c>
    </row>
    <row r="1944" spans="2:39" ht="15" customHeight="1" x14ac:dyDescent="0.3">
      <c r="B1944">
        <v>194.1</v>
      </c>
      <c r="C1944" t="str">
        <f>IFERROR(VLOOKUP(B1944,'Pre-Summary'!$DI$6:$DM$23,4,FALSE),"")</f>
        <v/>
      </c>
      <c r="D1944" s="10" t="str">
        <f>IFERROR(VLOOKUP(B1944,'Pre-Summary'!$AT$6:$AX$14,5,FALSE),D1943)</f>
        <v>Wolfe v3: went back to modified wolfe + EDTA and switched CuSO4 to CUCl2</v>
      </c>
      <c r="E1944" s="10" t="str">
        <f>IFERROR(VLOOKUP(B1944,'Pre-Summary'!$AT$6:$AX$15,4,FALSE),"")</f>
        <v/>
      </c>
      <c r="F1944">
        <f>IFERROR(VLOOKUP(B1944,'Pre-Summary'!$AL$6:$AQ$13,6,FALSE),F1943)</f>
        <v>5.9405263157894746E-2</v>
      </c>
      <c r="G1944" t="str">
        <f>IFERROR(VLOOKUP(B1944,'Pre-Summary'!$AE$6:$AJ$85,3,FALSE),"")</f>
        <v/>
      </c>
      <c r="H1944" t="str">
        <f>IFERROR(VLOOKUP(B1944,'Pre-Summary'!$AE$6:$AJ$85,4,FALSE),"")</f>
        <v/>
      </c>
      <c r="I1944" t="str">
        <f>IFERROR(VLOOKUP(B1944,'Pre-Summary'!$AE$6:$AJ$85,5,FALSE),"")</f>
        <v/>
      </c>
      <c r="J1944" s="45" t="str">
        <f>IFERROR(VLOOKUP(B1944,'Pre-Summary'!$AE$6:$AJ$85,6, FALSE),"")</f>
        <v/>
      </c>
      <c r="K1944" s="45" t="str">
        <f>IFERROR(VLOOKUP(B1944,'Pre-Summary'!$DE$6:$DG$61,3,FALSE),"")</f>
        <v/>
      </c>
      <c r="L1944" s="45" t="str">
        <f>IFERROR(VLOOKUP(B1944,'Pre-Summary'!$CU$6:$CW$36,3,FALSE),"")</f>
        <v/>
      </c>
      <c r="M1944" s="45" t="str">
        <f>IFERROR(VLOOKUP(B1944,'Pre-Summary'!$BW$6:$BY$58,2,FALSE),"")</f>
        <v/>
      </c>
      <c r="N1944" s="45" t="str">
        <f>IFERROR(VLOOKUP(B1944,'Pre-Summary'!$CD$6:$CF$64,2,FALSE),"")</f>
        <v/>
      </c>
      <c r="O1944" s="99">
        <f>IFERROR(VLOOKUP(B1944,'Pre-Summary'!$BO$6:$BQ$48,3, FALSE),O1943)</f>
        <v>1.3480000000000001</v>
      </c>
      <c r="P1944" s="99">
        <f>IFERROR(VLOOKUP(B1944,'Pre-Summary'!$BS$6:$BU$35,3,FALSE),P1943)</f>
        <v>0.33700000000000002</v>
      </c>
      <c r="Q1944" s="54">
        <f t="shared" si="90"/>
        <v>4</v>
      </c>
      <c r="R1944" s="53">
        <f>IFERROR(VLOOKUP(B1944,'Pre-Summary'!$BG$6:$BM$44,7,FALSE),R1945)</f>
        <v>6.3359901615733558E-2</v>
      </c>
      <c r="S1944" s="53">
        <f>IFERROR(VLOOKUP(B1944,'Pre-Summary'!$BG$6:$BM$44,6,FALSE),S1945)</f>
        <v>9.0755969483796467E-2</v>
      </c>
      <c r="T1944" s="45" t="str">
        <f>IFERROR(VLOOKUP(B1944,'Pre-Summary'!$Y$6:$AC$83, 3,FALSE),"")</f>
        <v/>
      </c>
      <c r="U1944" s="45" t="str">
        <f>IFERROR(VLOOKUP(B1944,'Pre-Summary'!$Y$6:$AC$83, 4,FALSE),"")</f>
        <v/>
      </c>
      <c r="V1944" t="str">
        <f>IFERROR(VLOOKUP(B1944,'Pre-Summary'!$Y$6:$AC$83, 5,FALSE),"")</f>
        <v/>
      </c>
      <c r="W1944" s="45" t="str">
        <f>IFERROR(VLOOKUP(B1944,'Pre-Summary'!$Y$6:$AD$83,6,FALSE),"")</f>
        <v/>
      </c>
      <c r="X1944" t="str">
        <f>IFERROR(VLOOKUP('Pre-Summary'!$DB$6:$DD$63,3,FALSE),"")</f>
        <v/>
      </c>
      <c r="Y1944" t="str">
        <f>IFERROR(VLOOKUP(B1944,'Pre-Summary'!$CR$6:$CT$36,3,FALSE),"")</f>
        <v/>
      </c>
      <c r="Z1944" s="45" t="str">
        <f>IFERROR(VLOOKUP(B1944,'Pre-Summary'!$BZ$6:$CB$63,2,FALSE),"")</f>
        <v/>
      </c>
      <c r="AA1944" s="45" t="str">
        <f>IFERROR(VLOOKUP(B1944,'Pre-Summary'!$CG$6:$CI$70,2,FALSE),"")</f>
        <v/>
      </c>
      <c r="AB1944" s="99">
        <f>IFERROR(VLOOKUP(B1944,'Pre-Summary'!$A$6:$P$178,9,FALSE),AB1945)</f>
        <v>0.30044327255958808</v>
      </c>
      <c r="AC1944" s="10">
        <f>IFERROR(VLOOKUP(Summary!B1944,'Pre-Summary'!$A$6:$P$184,5, FALSE)/100,AC1945)</f>
        <v>0.96390199999999993</v>
      </c>
      <c r="AD1944" s="10">
        <f>IFERROR(VLOOKUP(Summary!B1944,'Pre-Summary'!$A$6:$P$184,3, FALSE)/100,AD1945)</f>
        <v>2.2943666666666664E-2</v>
      </c>
      <c r="AE1944" s="10">
        <f>IFERROR(VLOOKUP(Summary!B1944,'Pre-Summary'!$A$6:$P$184,7, FALSE)/100,AE1945)</f>
        <v>1.3154333333333332E-2</v>
      </c>
      <c r="AF1944" s="99">
        <f t="shared" si="91"/>
        <v>6.8932702978496685E-3</v>
      </c>
      <c r="AG1944" s="99">
        <f t="shared" si="92"/>
        <v>3.9521309550063412E-3</v>
      </c>
      <c r="AH1944" s="10" t="str">
        <f>IFERROR(VLOOKUP(B1944,'Pre-Summary'!$AZ$6:$BE$65,3,FALSE),"")</f>
        <v/>
      </c>
      <c r="AI1944" s="10" t="str">
        <f>IFERROR(VLOOKUP(B1944,'Pre-Summary'!$AZ$6:$BE$65,5,FALSE),"")</f>
        <v/>
      </c>
      <c r="AJ1944" s="10" t="str">
        <f>IFERROR(VLOOKUP(B1944,'Pre-Summary'!$AZ$6:$BE$65,4,FALSE),"")</f>
        <v/>
      </c>
      <c r="AK1944" s="10" t="str">
        <f>IFERROR(VLOOKUP(B1944,'Pre-Summary'!$AZ$6:$BE$65,6,FALSE),"")</f>
        <v/>
      </c>
      <c r="AL1944" s="10" t="str">
        <f>IFERROR(VLOOKUP(B1944,'Pre-Summary'!$BG$6:$BL$44,3,FALSE),"")</f>
        <v/>
      </c>
      <c r="AM1944" s="10" t="str">
        <f>IFERROR(VLOOKUP(B1944,'Pre-Summary'!$BG$6:$BL$44,4,FALSE),"")</f>
        <v/>
      </c>
    </row>
    <row r="1945" spans="2:39" ht="15" customHeight="1" x14ac:dyDescent="0.3">
      <c r="B1945">
        <v>194.2</v>
      </c>
      <c r="C1945" t="str">
        <f>IFERROR(VLOOKUP(B1945,'Pre-Summary'!$DI$6:$DM$23,4,FALSE),"")</f>
        <v/>
      </c>
      <c r="D1945" s="10" t="str">
        <f>IFERROR(VLOOKUP(B1945,'Pre-Summary'!$AT$6:$AX$14,5,FALSE),D1944)</f>
        <v>Wolfe v3: went back to modified wolfe + EDTA and switched CuSO4 to CUCl2</v>
      </c>
      <c r="E1945" s="10" t="str">
        <f>IFERROR(VLOOKUP(B1945,'Pre-Summary'!$AT$6:$AX$15,4,FALSE),"")</f>
        <v/>
      </c>
      <c r="F1945">
        <f>IFERROR(VLOOKUP(B1945,'Pre-Summary'!$AL$6:$AQ$13,6,FALSE),F1944)</f>
        <v>5.9405263157894746E-2</v>
      </c>
      <c r="G1945" t="str">
        <f>IFERROR(VLOOKUP(B1945,'Pre-Summary'!$AE$6:$AJ$85,3,FALSE),"")</f>
        <v/>
      </c>
      <c r="H1945" t="str">
        <f>IFERROR(VLOOKUP(B1945,'Pre-Summary'!$AE$6:$AJ$85,4,FALSE),"")</f>
        <v/>
      </c>
      <c r="I1945" t="str">
        <f>IFERROR(VLOOKUP(B1945,'Pre-Summary'!$AE$6:$AJ$85,5,FALSE),"")</f>
        <v/>
      </c>
      <c r="J1945" s="45" t="str">
        <f>IFERROR(VLOOKUP(B1945,'Pre-Summary'!$AE$6:$AJ$85,6, FALSE),"")</f>
        <v/>
      </c>
      <c r="K1945" s="45" t="str">
        <f>IFERROR(VLOOKUP(B1945,'Pre-Summary'!$DE$6:$DG$61,3,FALSE),"")</f>
        <v/>
      </c>
      <c r="L1945" s="45" t="str">
        <f>IFERROR(VLOOKUP(B1945,'Pre-Summary'!$CU$6:$CW$36,3,FALSE),"")</f>
        <v/>
      </c>
      <c r="M1945" s="45" t="str">
        <f>IFERROR(VLOOKUP(B1945,'Pre-Summary'!$BW$6:$BY$58,2,FALSE),"")</f>
        <v/>
      </c>
      <c r="N1945" s="45" t="str">
        <f>IFERROR(VLOOKUP(B1945,'Pre-Summary'!$CD$6:$CF$64,2,FALSE),"")</f>
        <v/>
      </c>
      <c r="O1945" s="99">
        <f>IFERROR(VLOOKUP(B1945,'Pre-Summary'!$BO$6:$BQ$48,3, FALSE),O1944)</f>
        <v>1.3480000000000001</v>
      </c>
      <c r="P1945" s="99">
        <f>IFERROR(VLOOKUP(B1945,'Pre-Summary'!$BS$6:$BU$35,3,FALSE),P1944)</f>
        <v>0.33700000000000002</v>
      </c>
      <c r="Q1945" s="54">
        <f t="shared" si="90"/>
        <v>4</v>
      </c>
      <c r="R1945" s="53">
        <f>IFERROR(VLOOKUP(B1945,'Pre-Summary'!$BG$6:$BM$44,7,FALSE),R1946)</f>
        <v>6.3359901615733558E-2</v>
      </c>
      <c r="S1945" s="53">
        <f>IFERROR(VLOOKUP(B1945,'Pre-Summary'!$BG$6:$BM$44,6,FALSE),S1946)</f>
        <v>9.0755969483796467E-2</v>
      </c>
      <c r="T1945" s="45" t="str">
        <f>IFERROR(VLOOKUP(B1945,'Pre-Summary'!$Y$6:$AC$83, 3,FALSE),"")</f>
        <v/>
      </c>
      <c r="U1945" s="45" t="str">
        <f>IFERROR(VLOOKUP(B1945,'Pre-Summary'!$Y$6:$AC$83, 4,FALSE),"")</f>
        <v/>
      </c>
      <c r="V1945" t="str">
        <f>IFERROR(VLOOKUP(B1945,'Pre-Summary'!$Y$6:$AC$83, 5,FALSE),"")</f>
        <v/>
      </c>
      <c r="W1945" s="45" t="str">
        <f>IFERROR(VLOOKUP(B1945,'Pre-Summary'!$Y$6:$AD$83,6,FALSE),"")</f>
        <v/>
      </c>
      <c r="X1945" t="str">
        <f>IFERROR(VLOOKUP('Pre-Summary'!$DB$6:$DD$63,3,FALSE),"")</f>
        <v/>
      </c>
      <c r="Y1945" t="str">
        <f>IFERROR(VLOOKUP(B1945,'Pre-Summary'!$CR$6:$CT$36,3,FALSE),"")</f>
        <v/>
      </c>
      <c r="Z1945" s="45" t="str">
        <f>IFERROR(VLOOKUP(B1945,'Pre-Summary'!$BZ$6:$CB$63,2,FALSE),"")</f>
        <v/>
      </c>
      <c r="AA1945" s="45" t="str">
        <f>IFERROR(VLOOKUP(B1945,'Pre-Summary'!$CG$6:$CI$70,2,FALSE),"")</f>
        <v/>
      </c>
      <c r="AB1945" s="99">
        <f>IFERROR(VLOOKUP(B1945,'Pre-Summary'!$A$6:$P$178,9,FALSE),AB1946)</f>
        <v>0.30044327255958808</v>
      </c>
      <c r="AC1945" s="10">
        <f>IFERROR(VLOOKUP(Summary!B1945,'Pre-Summary'!$A$6:$P$184,5, FALSE)/100,AC1946)</f>
        <v>0.96390199999999993</v>
      </c>
      <c r="AD1945" s="10">
        <f>IFERROR(VLOOKUP(Summary!B1945,'Pre-Summary'!$A$6:$P$184,3, FALSE)/100,AD1946)</f>
        <v>2.2943666666666664E-2</v>
      </c>
      <c r="AE1945" s="10">
        <f>IFERROR(VLOOKUP(Summary!B1945,'Pre-Summary'!$A$6:$P$184,7, FALSE)/100,AE1946)</f>
        <v>1.3154333333333332E-2</v>
      </c>
      <c r="AF1945" s="99">
        <f t="shared" si="91"/>
        <v>6.8932702978496685E-3</v>
      </c>
      <c r="AG1945" s="99">
        <f t="shared" si="92"/>
        <v>3.9521309550063412E-3</v>
      </c>
      <c r="AH1945" s="10" t="str">
        <f>IFERROR(VLOOKUP(B1945,'Pre-Summary'!$AZ$6:$BE$65,3,FALSE),"")</f>
        <v/>
      </c>
      <c r="AI1945" s="10" t="str">
        <f>IFERROR(VLOOKUP(B1945,'Pre-Summary'!$AZ$6:$BE$65,5,FALSE),"")</f>
        <v/>
      </c>
      <c r="AJ1945" s="10" t="str">
        <f>IFERROR(VLOOKUP(B1945,'Pre-Summary'!$AZ$6:$BE$65,4,FALSE),"")</f>
        <v/>
      </c>
      <c r="AK1945" s="10" t="str">
        <f>IFERROR(VLOOKUP(B1945,'Pre-Summary'!$AZ$6:$BE$65,6,FALSE),"")</f>
        <v/>
      </c>
      <c r="AL1945" s="10" t="str">
        <f>IFERROR(VLOOKUP(B1945,'Pre-Summary'!$BG$6:$BL$44,3,FALSE),"")</f>
        <v/>
      </c>
      <c r="AM1945" s="10" t="str">
        <f>IFERROR(VLOOKUP(B1945,'Pre-Summary'!$BG$6:$BL$44,4,FALSE),"")</f>
        <v/>
      </c>
    </row>
    <row r="1946" spans="2:39" ht="15" customHeight="1" x14ac:dyDescent="0.3">
      <c r="B1946">
        <v>194.3</v>
      </c>
      <c r="C1946" t="str">
        <f>IFERROR(VLOOKUP(B1946,'Pre-Summary'!$DI$6:$DM$23,4,FALSE),"")</f>
        <v/>
      </c>
      <c r="D1946" s="10" t="str">
        <f>IFERROR(VLOOKUP(B1946,'Pre-Summary'!$AT$6:$AX$14,5,FALSE),D1945)</f>
        <v>Wolfe v3: went back to modified wolfe + EDTA and switched CuSO4 to CUCl2</v>
      </c>
      <c r="E1946" s="10" t="str">
        <f>IFERROR(VLOOKUP(B1946,'Pre-Summary'!$AT$6:$AX$15,4,FALSE),"")</f>
        <v/>
      </c>
      <c r="F1946">
        <f>IFERROR(VLOOKUP(B1946,'Pre-Summary'!$AL$6:$AQ$13,6,FALSE),F1945)</f>
        <v>5.9405263157894746E-2</v>
      </c>
      <c r="G1946" t="str">
        <f>IFERROR(VLOOKUP(B1946,'Pre-Summary'!$AE$6:$AJ$85,3,FALSE),"")</f>
        <v/>
      </c>
      <c r="H1946" t="str">
        <f>IFERROR(VLOOKUP(B1946,'Pre-Summary'!$AE$6:$AJ$85,4,FALSE),"")</f>
        <v/>
      </c>
      <c r="I1946" t="str">
        <f>IFERROR(VLOOKUP(B1946,'Pre-Summary'!$AE$6:$AJ$85,5,FALSE),"")</f>
        <v/>
      </c>
      <c r="J1946" s="45" t="str">
        <f>IFERROR(VLOOKUP(B1946,'Pre-Summary'!$AE$6:$AJ$85,6, FALSE),"")</f>
        <v/>
      </c>
      <c r="K1946" s="45" t="str">
        <f>IFERROR(VLOOKUP(B1946,'Pre-Summary'!$DE$6:$DG$61,3,FALSE),"")</f>
        <v/>
      </c>
      <c r="L1946" s="45" t="str">
        <f>IFERROR(VLOOKUP(B1946,'Pre-Summary'!$CU$6:$CW$36,3,FALSE),"")</f>
        <v/>
      </c>
      <c r="M1946" s="45" t="str">
        <f>IFERROR(VLOOKUP(B1946,'Pre-Summary'!$BW$6:$BY$58,2,FALSE),"")</f>
        <v/>
      </c>
      <c r="N1946" s="45" t="str">
        <f>IFERROR(VLOOKUP(B1946,'Pre-Summary'!$CD$6:$CF$64,2,FALSE),"")</f>
        <v/>
      </c>
      <c r="O1946" s="99">
        <f>IFERROR(VLOOKUP(B1946,'Pre-Summary'!$BO$6:$BQ$48,3, FALSE),O1945)</f>
        <v>1.3480000000000001</v>
      </c>
      <c r="P1946" s="99">
        <f>IFERROR(VLOOKUP(B1946,'Pre-Summary'!$BS$6:$BU$35,3,FALSE),P1945)</f>
        <v>0.33700000000000002</v>
      </c>
      <c r="Q1946" s="54">
        <f t="shared" si="90"/>
        <v>4</v>
      </c>
      <c r="R1946" s="53">
        <f>IFERROR(VLOOKUP(B1946,'Pre-Summary'!$BG$6:$BM$44,7,FALSE),R1947)</f>
        <v>6.3359901615733558E-2</v>
      </c>
      <c r="S1946" s="53">
        <f>IFERROR(VLOOKUP(B1946,'Pre-Summary'!$BG$6:$BM$44,6,FALSE),S1947)</f>
        <v>9.0755969483796467E-2</v>
      </c>
      <c r="T1946" s="45" t="str">
        <f>IFERROR(VLOOKUP(B1946,'Pre-Summary'!$Y$6:$AC$83, 3,FALSE),"")</f>
        <v/>
      </c>
      <c r="U1946" s="45" t="str">
        <f>IFERROR(VLOOKUP(B1946,'Pre-Summary'!$Y$6:$AC$83, 4,FALSE),"")</f>
        <v/>
      </c>
      <c r="V1946" t="str">
        <f>IFERROR(VLOOKUP(B1946,'Pre-Summary'!$Y$6:$AC$83, 5,FALSE),"")</f>
        <v/>
      </c>
      <c r="W1946" s="45" t="str">
        <f>IFERROR(VLOOKUP(B1946,'Pre-Summary'!$Y$6:$AD$83,6,FALSE),"")</f>
        <v/>
      </c>
      <c r="X1946" t="str">
        <f>IFERROR(VLOOKUP('Pre-Summary'!$DB$6:$DD$63,3,FALSE),"")</f>
        <v/>
      </c>
      <c r="Y1946" t="str">
        <f>IFERROR(VLOOKUP(B1946,'Pre-Summary'!$CR$6:$CT$36,3,FALSE),"")</f>
        <v/>
      </c>
      <c r="Z1946" s="45" t="str">
        <f>IFERROR(VLOOKUP(B1946,'Pre-Summary'!$BZ$6:$CB$63,2,FALSE),"")</f>
        <v/>
      </c>
      <c r="AA1946" s="45" t="str">
        <f>IFERROR(VLOOKUP(B1946,'Pre-Summary'!$CG$6:$CI$70,2,FALSE),"")</f>
        <v/>
      </c>
      <c r="AB1946" s="99">
        <f>IFERROR(VLOOKUP(B1946,'Pre-Summary'!$A$6:$P$178,9,FALSE),AB1947)</f>
        <v>0.30044327255958808</v>
      </c>
      <c r="AC1946" s="10">
        <f>IFERROR(VLOOKUP(Summary!B1946,'Pre-Summary'!$A$6:$P$184,5, FALSE)/100,AC1947)</f>
        <v>0.96390199999999993</v>
      </c>
      <c r="AD1946" s="10">
        <f>IFERROR(VLOOKUP(Summary!B1946,'Pre-Summary'!$A$6:$P$184,3, FALSE)/100,AD1947)</f>
        <v>2.2943666666666664E-2</v>
      </c>
      <c r="AE1946" s="10">
        <f>IFERROR(VLOOKUP(Summary!B1946,'Pre-Summary'!$A$6:$P$184,7, FALSE)/100,AE1947)</f>
        <v>1.3154333333333332E-2</v>
      </c>
      <c r="AF1946" s="99">
        <f t="shared" si="91"/>
        <v>6.8932702978496685E-3</v>
      </c>
      <c r="AG1946" s="99">
        <f t="shared" si="92"/>
        <v>3.9521309550063412E-3</v>
      </c>
      <c r="AH1946" s="10" t="str">
        <f>IFERROR(VLOOKUP(B1946,'Pre-Summary'!$AZ$6:$BE$65,3,FALSE),"")</f>
        <v/>
      </c>
      <c r="AI1946" s="10" t="str">
        <f>IFERROR(VLOOKUP(B1946,'Pre-Summary'!$AZ$6:$BE$65,5,FALSE),"")</f>
        <v/>
      </c>
      <c r="AJ1946" s="10" t="str">
        <f>IFERROR(VLOOKUP(B1946,'Pre-Summary'!$AZ$6:$BE$65,4,FALSE),"")</f>
        <v/>
      </c>
      <c r="AK1946" s="10" t="str">
        <f>IFERROR(VLOOKUP(B1946,'Pre-Summary'!$AZ$6:$BE$65,6,FALSE),"")</f>
        <v/>
      </c>
      <c r="AL1946" s="10" t="str">
        <f>IFERROR(VLOOKUP(B1946,'Pre-Summary'!$BG$6:$BL$44,3,FALSE),"")</f>
        <v/>
      </c>
      <c r="AM1946" s="10" t="str">
        <f>IFERROR(VLOOKUP(B1946,'Pre-Summary'!$BG$6:$BL$44,4,FALSE),"")</f>
        <v/>
      </c>
    </row>
    <row r="1947" spans="2:39" ht="15" customHeight="1" x14ac:dyDescent="0.3">
      <c r="B1947">
        <v>194.4</v>
      </c>
      <c r="C1947" t="str">
        <f>IFERROR(VLOOKUP(B1947,'Pre-Summary'!$DI$6:$DM$23,4,FALSE),"")</f>
        <v/>
      </c>
      <c r="D1947" s="10" t="str">
        <f>IFERROR(VLOOKUP(B1947,'Pre-Summary'!$AT$6:$AX$14,5,FALSE),D1946)</f>
        <v>Wolfe v3: went back to modified wolfe + EDTA and switched CuSO4 to CUCl2</v>
      </c>
      <c r="E1947" s="10" t="str">
        <f>IFERROR(VLOOKUP(B1947,'Pre-Summary'!$AT$6:$AX$15,4,FALSE),"")</f>
        <v/>
      </c>
      <c r="F1947">
        <f>IFERROR(VLOOKUP(B1947,'Pre-Summary'!$AL$6:$AQ$13,6,FALSE),F1946)</f>
        <v>5.9405263157894746E-2</v>
      </c>
      <c r="G1947" t="str">
        <f>IFERROR(VLOOKUP(B1947,'Pre-Summary'!$AE$6:$AJ$85,3,FALSE),"")</f>
        <v/>
      </c>
      <c r="H1947" t="str">
        <f>IFERROR(VLOOKUP(B1947,'Pre-Summary'!$AE$6:$AJ$85,4,FALSE),"")</f>
        <v/>
      </c>
      <c r="I1947" t="str">
        <f>IFERROR(VLOOKUP(B1947,'Pre-Summary'!$AE$6:$AJ$85,5,FALSE),"")</f>
        <v/>
      </c>
      <c r="J1947" s="45" t="str">
        <f>IFERROR(VLOOKUP(B1947,'Pre-Summary'!$AE$6:$AJ$85,6, FALSE),"")</f>
        <v/>
      </c>
      <c r="K1947" s="45" t="str">
        <f>IFERROR(VLOOKUP(B1947,'Pre-Summary'!$DE$6:$DG$61,3,FALSE),"")</f>
        <v/>
      </c>
      <c r="L1947" s="45" t="str">
        <f>IFERROR(VLOOKUP(B1947,'Pre-Summary'!$CU$6:$CW$36,3,FALSE),"")</f>
        <v/>
      </c>
      <c r="M1947" s="45" t="str">
        <f>IFERROR(VLOOKUP(B1947,'Pre-Summary'!$BW$6:$BY$58,2,FALSE),"")</f>
        <v/>
      </c>
      <c r="N1947" s="45" t="str">
        <f>IFERROR(VLOOKUP(B1947,'Pre-Summary'!$CD$6:$CF$64,2,FALSE),"")</f>
        <v/>
      </c>
      <c r="O1947" s="99">
        <f>IFERROR(VLOOKUP(B1947,'Pre-Summary'!$BO$6:$BQ$48,3, FALSE),O1946)</f>
        <v>1.3480000000000001</v>
      </c>
      <c r="P1947" s="99">
        <f>IFERROR(VLOOKUP(B1947,'Pre-Summary'!$BS$6:$BU$35,3,FALSE),P1946)</f>
        <v>0.33700000000000002</v>
      </c>
      <c r="Q1947" s="54">
        <f t="shared" si="90"/>
        <v>4</v>
      </c>
      <c r="R1947" s="53">
        <f>IFERROR(VLOOKUP(B1947,'Pre-Summary'!$BG$6:$BM$44,7,FALSE),R1948)</f>
        <v>6.3359901615733558E-2</v>
      </c>
      <c r="S1947" s="53">
        <f>IFERROR(VLOOKUP(B1947,'Pre-Summary'!$BG$6:$BM$44,6,FALSE),S1948)</f>
        <v>9.0755969483796467E-2</v>
      </c>
      <c r="T1947" s="45" t="str">
        <f>IFERROR(VLOOKUP(B1947,'Pre-Summary'!$Y$6:$AC$83, 3,FALSE),"")</f>
        <v/>
      </c>
      <c r="U1947" s="45" t="str">
        <f>IFERROR(VLOOKUP(B1947,'Pre-Summary'!$Y$6:$AC$83, 4,FALSE),"")</f>
        <v/>
      </c>
      <c r="V1947" t="str">
        <f>IFERROR(VLOOKUP(B1947,'Pre-Summary'!$Y$6:$AC$83, 5,FALSE),"")</f>
        <v/>
      </c>
      <c r="W1947" s="45" t="str">
        <f>IFERROR(VLOOKUP(B1947,'Pre-Summary'!$Y$6:$AD$83,6,FALSE),"")</f>
        <v/>
      </c>
      <c r="X1947" t="str">
        <f>IFERROR(VLOOKUP('Pre-Summary'!$DB$6:$DD$63,3,FALSE),"")</f>
        <v/>
      </c>
      <c r="Y1947" t="str">
        <f>IFERROR(VLOOKUP(B1947,'Pre-Summary'!$CR$6:$CT$36,3,FALSE),"")</f>
        <v/>
      </c>
      <c r="Z1947" s="45" t="str">
        <f>IFERROR(VLOOKUP(B1947,'Pre-Summary'!$BZ$6:$CB$63,2,FALSE),"")</f>
        <v/>
      </c>
      <c r="AA1947" s="45" t="str">
        <f>IFERROR(VLOOKUP(B1947,'Pre-Summary'!$CG$6:$CI$70,2,FALSE),"")</f>
        <v/>
      </c>
      <c r="AB1947" s="99">
        <f>IFERROR(VLOOKUP(B1947,'Pre-Summary'!$A$6:$P$178,9,FALSE),AB1948)</f>
        <v>0.30044327255958808</v>
      </c>
      <c r="AC1947" s="10">
        <f>IFERROR(VLOOKUP(Summary!B1947,'Pre-Summary'!$A$6:$P$184,5, FALSE)/100,AC1948)</f>
        <v>0.96390199999999993</v>
      </c>
      <c r="AD1947" s="10">
        <f>IFERROR(VLOOKUP(Summary!B1947,'Pre-Summary'!$A$6:$P$184,3, FALSE)/100,AD1948)</f>
        <v>2.2943666666666664E-2</v>
      </c>
      <c r="AE1947" s="10">
        <f>IFERROR(VLOOKUP(Summary!B1947,'Pre-Summary'!$A$6:$P$184,7, FALSE)/100,AE1948)</f>
        <v>1.3154333333333332E-2</v>
      </c>
      <c r="AF1947" s="99">
        <f t="shared" si="91"/>
        <v>6.8932702978496685E-3</v>
      </c>
      <c r="AG1947" s="99">
        <f t="shared" si="92"/>
        <v>3.9521309550063412E-3</v>
      </c>
      <c r="AH1947" s="10" t="str">
        <f>IFERROR(VLOOKUP(B1947,'Pre-Summary'!$AZ$6:$BE$65,3,FALSE),"")</f>
        <v/>
      </c>
      <c r="AI1947" s="10" t="str">
        <f>IFERROR(VLOOKUP(B1947,'Pre-Summary'!$AZ$6:$BE$65,5,FALSE),"")</f>
        <v/>
      </c>
      <c r="AJ1947" s="10" t="str">
        <f>IFERROR(VLOOKUP(B1947,'Pre-Summary'!$AZ$6:$BE$65,4,FALSE),"")</f>
        <v/>
      </c>
      <c r="AK1947" s="10" t="str">
        <f>IFERROR(VLOOKUP(B1947,'Pre-Summary'!$AZ$6:$BE$65,6,FALSE),"")</f>
        <v/>
      </c>
      <c r="AL1947" s="10" t="str">
        <f>IFERROR(VLOOKUP(B1947,'Pre-Summary'!$BG$6:$BL$44,3,FALSE),"")</f>
        <v/>
      </c>
      <c r="AM1947" s="10" t="str">
        <f>IFERROR(VLOOKUP(B1947,'Pre-Summary'!$BG$6:$BL$44,4,FALSE),"")</f>
        <v/>
      </c>
    </row>
    <row r="1948" spans="2:39" ht="15" customHeight="1" x14ac:dyDescent="0.3">
      <c r="B1948">
        <v>194.5</v>
      </c>
      <c r="C1948" t="str">
        <f>IFERROR(VLOOKUP(B1948,'Pre-Summary'!$DI$6:$DM$23,4,FALSE),"")</f>
        <v/>
      </c>
      <c r="D1948" s="10" t="str">
        <f>IFERROR(VLOOKUP(B1948,'Pre-Summary'!$AT$6:$AX$14,5,FALSE),D1947)</f>
        <v>Wolfe v3: went back to modified wolfe + EDTA and switched CuSO4 to CUCl2</v>
      </c>
      <c r="E1948" s="10" t="str">
        <f>IFERROR(VLOOKUP(B1948,'Pre-Summary'!$AT$6:$AX$15,4,FALSE),"")</f>
        <v/>
      </c>
      <c r="F1948">
        <f>IFERROR(VLOOKUP(B1948,'Pre-Summary'!$AL$6:$AQ$13,6,FALSE),F1947)</f>
        <v>5.9405263157894746E-2</v>
      </c>
      <c r="G1948">
        <f>IFERROR(VLOOKUP(B1948,'Pre-Summary'!$AE$6:$AJ$85,3,FALSE),"")</f>
        <v>34.109760000000001</v>
      </c>
      <c r="H1948" t="str">
        <f>IFERROR(VLOOKUP(B1948,'Pre-Summary'!$AE$6:$AJ$85,4,FALSE),"")</f>
        <v/>
      </c>
      <c r="I1948" t="str">
        <f>IFERROR(VLOOKUP(B1948,'Pre-Summary'!$AE$6:$AJ$85,5,FALSE),"")</f>
        <v/>
      </c>
      <c r="J1948" s="45">
        <f>IFERROR(VLOOKUP(B1948,'Pre-Summary'!$AE$6:$AJ$85,6, FALSE),"")</f>
        <v>36.39511392</v>
      </c>
      <c r="K1948" s="45" t="str">
        <f>IFERROR(VLOOKUP(B1948,'Pre-Summary'!$DE$6:$DG$61,3,FALSE),"")</f>
        <v/>
      </c>
      <c r="L1948" s="45" t="str">
        <f>IFERROR(VLOOKUP(B1948,'Pre-Summary'!$CU$6:$CW$36,3,FALSE),"")</f>
        <v/>
      </c>
      <c r="M1948" s="45" t="str">
        <f>IFERROR(VLOOKUP(B1948,'Pre-Summary'!$BW$6:$BY$58,2,FALSE),"")</f>
        <v/>
      </c>
      <c r="N1948" s="45">
        <f>IFERROR(VLOOKUP(B1948,'Pre-Summary'!$CD$6:$CF$64,2,FALSE),"")</f>
        <v>258.36224862564137</v>
      </c>
      <c r="O1948" s="99">
        <f>IFERROR(VLOOKUP(B1948,'Pre-Summary'!$BO$6:$BQ$48,3, FALSE),O1947)</f>
        <v>1.3480000000000001</v>
      </c>
      <c r="P1948" s="99">
        <f>IFERROR(VLOOKUP(B1948,'Pre-Summary'!$BS$6:$BU$35,3,FALSE),P1947)</f>
        <v>0.33700000000000002</v>
      </c>
      <c r="Q1948" s="54">
        <f t="shared" si="90"/>
        <v>4</v>
      </c>
      <c r="R1948" s="53">
        <f>IFERROR(VLOOKUP(B1948,'Pre-Summary'!$BG$6:$BM$44,7,FALSE),R1949)</f>
        <v>6.3359901615733558E-2</v>
      </c>
      <c r="S1948" s="53">
        <f>IFERROR(VLOOKUP(B1948,'Pre-Summary'!$BG$6:$BM$44,6,FALSE),S1949)</f>
        <v>9.0755969483796467E-2</v>
      </c>
      <c r="T1948" s="45">
        <f>IFERROR(VLOOKUP(B1948,'Pre-Summary'!$Y$6:$AC$83, 3,FALSE),"")</f>
        <v>5.925529</v>
      </c>
      <c r="U1948" s="45">
        <f>IFERROR(VLOOKUP(B1948,'Pre-Summary'!$Y$6:$AC$83, 4,FALSE),"")</f>
        <v>0.43364799999999998</v>
      </c>
      <c r="V1948" t="str">
        <f>IFERROR(VLOOKUP(B1948,'Pre-Summary'!$Y$6:$AC$83, 5,FALSE),"")</f>
        <v/>
      </c>
      <c r="W1948" s="45">
        <f>IFERROR(VLOOKUP(B1948,'Pre-Summary'!$Y$6:$AD$83,6,FALSE),"")</f>
        <v>6.3225394430000001</v>
      </c>
      <c r="X1948" t="str">
        <f>IFERROR(VLOOKUP('Pre-Summary'!$DB$6:$DD$63,3,FALSE),"")</f>
        <v/>
      </c>
      <c r="Y1948" t="str">
        <f>IFERROR(VLOOKUP(B1948,'Pre-Summary'!$CR$6:$CT$36,3,FALSE),"")</f>
        <v/>
      </c>
      <c r="Z1948" s="45" t="str">
        <f>IFERROR(VLOOKUP(B1948,'Pre-Summary'!$BZ$6:$CB$63,2,FALSE),"")</f>
        <v/>
      </c>
      <c r="AA1948" s="45" t="str">
        <f>IFERROR(VLOOKUP(B1948,'Pre-Summary'!$CG$6:$CI$70,2,FALSE),"")</f>
        <v/>
      </c>
      <c r="AB1948" s="99">
        <f>IFERROR(VLOOKUP(B1948,'Pre-Summary'!$A$6:$P$178,9,FALSE),AB1949)</f>
        <v>0.30044327255958808</v>
      </c>
      <c r="AC1948" s="10">
        <f>IFERROR(VLOOKUP(Summary!B1948,'Pre-Summary'!$A$6:$P$184,5, FALSE)/100,AC1949)</f>
        <v>0.96390199999999993</v>
      </c>
      <c r="AD1948" s="10">
        <f>IFERROR(VLOOKUP(Summary!B1948,'Pre-Summary'!$A$6:$P$184,3, FALSE)/100,AD1949)</f>
        <v>2.2943666666666664E-2</v>
      </c>
      <c r="AE1948" s="10">
        <f>IFERROR(VLOOKUP(Summary!B1948,'Pre-Summary'!$A$6:$P$184,7, FALSE)/100,AE1949)</f>
        <v>1.3154333333333332E-2</v>
      </c>
      <c r="AF1948" s="99">
        <f t="shared" si="91"/>
        <v>6.8932702978496685E-3</v>
      </c>
      <c r="AG1948" s="99">
        <f t="shared" si="92"/>
        <v>3.9521309550063412E-3</v>
      </c>
      <c r="AH1948" s="10" t="str">
        <f>IFERROR(VLOOKUP(B1948,'Pre-Summary'!$AZ$6:$BE$65,3,FALSE),"")</f>
        <v/>
      </c>
      <c r="AI1948" s="10" t="str">
        <f>IFERROR(VLOOKUP(B1948,'Pre-Summary'!$AZ$6:$BE$65,5,FALSE),"")</f>
        <v/>
      </c>
      <c r="AJ1948" s="10" t="str">
        <f>IFERROR(VLOOKUP(B1948,'Pre-Summary'!$AZ$6:$BE$65,4,FALSE),"")</f>
        <v/>
      </c>
      <c r="AK1948" s="10" t="str">
        <f>IFERROR(VLOOKUP(B1948,'Pre-Summary'!$AZ$6:$BE$65,6,FALSE),"")</f>
        <v/>
      </c>
      <c r="AL1948" s="10" t="str">
        <f>IFERROR(VLOOKUP(B1948,'Pre-Summary'!$BG$6:$BL$44,3,FALSE),"")</f>
        <v/>
      </c>
      <c r="AM1948" s="10" t="str">
        <f>IFERROR(VLOOKUP(B1948,'Pre-Summary'!$BG$6:$BL$44,4,FALSE),"")</f>
        <v/>
      </c>
    </row>
    <row r="1949" spans="2:39" ht="15" customHeight="1" x14ac:dyDescent="0.3">
      <c r="B1949">
        <v>194.6</v>
      </c>
      <c r="C1949" t="str">
        <f>IFERROR(VLOOKUP(B1949,'Pre-Summary'!$DI$6:$DM$23,4,FALSE),"")</f>
        <v/>
      </c>
      <c r="D1949" s="10" t="str">
        <f>IFERROR(VLOOKUP(B1949,'Pre-Summary'!$AT$6:$AX$14,5,FALSE),D1948)</f>
        <v>Wolfe v3: went back to modified wolfe + EDTA and switched CuSO4 to CUCl2</v>
      </c>
      <c r="E1949" s="10" t="str">
        <f>IFERROR(VLOOKUP(B1949,'Pre-Summary'!$AT$6:$AX$15,4,FALSE),"")</f>
        <v/>
      </c>
      <c r="F1949">
        <f>IFERROR(VLOOKUP(B1949,'Pre-Summary'!$AL$6:$AQ$13,6,FALSE),F1948)</f>
        <v>5.9405263157894746E-2</v>
      </c>
      <c r="G1949" t="str">
        <f>IFERROR(VLOOKUP(B1949,'Pre-Summary'!$AE$6:$AJ$85,3,FALSE),"")</f>
        <v/>
      </c>
      <c r="H1949" t="str">
        <f>IFERROR(VLOOKUP(B1949,'Pre-Summary'!$AE$6:$AJ$85,4,FALSE),"")</f>
        <v/>
      </c>
      <c r="I1949" t="str">
        <f>IFERROR(VLOOKUP(B1949,'Pre-Summary'!$AE$6:$AJ$85,5,FALSE),"")</f>
        <v/>
      </c>
      <c r="J1949" s="45" t="str">
        <f>IFERROR(VLOOKUP(B1949,'Pre-Summary'!$AE$6:$AJ$85,6, FALSE),"")</f>
        <v/>
      </c>
      <c r="K1949" s="45" t="str">
        <f>IFERROR(VLOOKUP(B1949,'Pre-Summary'!$DE$6:$DG$61,3,FALSE),"")</f>
        <v/>
      </c>
      <c r="L1949" s="45" t="str">
        <f>IFERROR(VLOOKUP(B1949,'Pre-Summary'!$CU$6:$CW$36,3,FALSE),"")</f>
        <v/>
      </c>
      <c r="M1949" s="45" t="str">
        <f>IFERROR(VLOOKUP(B1949,'Pre-Summary'!$BW$6:$BY$58,2,FALSE),"")</f>
        <v/>
      </c>
      <c r="N1949" s="45" t="str">
        <f>IFERROR(VLOOKUP(B1949,'Pre-Summary'!$CD$6:$CF$64,2,FALSE),"")</f>
        <v/>
      </c>
      <c r="O1949" s="99">
        <f>IFERROR(VLOOKUP(B1949,'Pre-Summary'!$BO$6:$BQ$48,3, FALSE),O1948)</f>
        <v>1.3480000000000001</v>
      </c>
      <c r="P1949" s="99">
        <f>IFERROR(VLOOKUP(B1949,'Pre-Summary'!$BS$6:$BU$35,3,FALSE),P1948)</f>
        <v>0.33700000000000002</v>
      </c>
      <c r="Q1949" s="54">
        <f t="shared" si="90"/>
        <v>4</v>
      </c>
      <c r="R1949" s="53">
        <f>IFERROR(VLOOKUP(B1949,'Pre-Summary'!$BG$6:$BM$44,7,FALSE),R1950)</f>
        <v>6.3359901615733558E-2</v>
      </c>
      <c r="S1949" s="53">
        <f>IFERROR(VLOOKUP(B1949,'Pre-Summary'!$BG$6:$BM$44,6,FALSE),S1950)</f>
        <v>9.0755969483796467E-2</v>
      </c>
      <c r="T1949" s="45" t="str">
        <f>IFERROR(VLOOKUP(B1949,'Pre-Summary'!$Y$6:$AC$83, 3,FALSE),"")</f>
        <v/>
      </c>
      <c r="U1949" s="45" t="str">
        <f>IFERROR(VLOOKUP(B1949,'Pre-Summary'!$Y$6:$AC$83, 4,FALSE),"")</f>
        <v/>
      </c>
      <c r="V1949" t="str">
        <f>IFERROR(VLOOKUP(B1949,'Pre-Summary'!$Y$6:$AC$83, 5,FALSE),"")</f>
        <v/>
      </c>
      <c r="W1949" s="45" t="str">
        <f>IFERROR(VLOOKUP(B1949,'Pre-Summary'!$Y$6:$AD$83,6,FALSE),"")</f>
        <v/>
      </c>
      <c r="X1949" t="str">
        <f>IFERROR(VLOOKUP('Pre-Summary'!$DB$6:$DD$63,3,FALSE),"")</f>
        <v/>
      </c>
      <c r="Y1949" t="str">
        <f>IFERROR(VLOOKUP(B1949,'Pre-Summary'!$CR$6:$CT$36,3,FALSE),"")</f>
        <v/>
      </c>
      <c r="Z1949" s="45" t="str">
        <f>IFERROR(VLOOKUP(B1949,'Pre-Summary'!$BZ$6:$CB$63,2,FALSE),"")</f>
        <v/>
      </c>
      <c r="AA1949" s="45" t="str">
        <f>IFERROR(VLOOKUP(B1949,'Pre-Summary'!$CG$6:$CI$70,2,FALSE),"")</f>
        <v/>
      </c>
      <c r="AB1949" s="99">
        <f>IFERROR(VLOOKUP(B1949,'Pre-Summary'!$A$6:$P$178,9,FALSE),AB1950)</f>
        <v>0.30044327255958808</v>
      </c>
      <c r="AC1949" s="10">
        <f>IFERROR(VLOOKUP(Summary!B1949,'Pre-Summary'!$A$6:$P$184,5, FALSE)/100,AC1950)</f>
        <v>0.96390199999999993</v>
      </c>
      <c r="AD1949" s="10">
        <f>IFERROR(VLOOKUP(Summary!B1949,'Pre-Summary'!$A$6:$P$184,3, FALSE)/100,AD1950)</f>
        <v>2.2943666666666664E-2</v>
      </c>
      <c r="AE1949" s="10">
        <f>IFERROR(VLOOKUP(Summary!B1949,'Pre-Summary'!$A$6:$P$184,7, FALSE)/100,AE1950)</f>
        <v>1.3154333333333332E-2</v>
      </c>
      <c r="AF1949" s="99">
        <f t="shared" si="91"/>
        <v>6.8932702978496685E-3</v>
      </c>
      <c r="AG1949" s="99">
        <f t="shared" si="92"/>
        <v>3.9521309550063412E-3</v>
      </c>
      <c r="AH1949" s="10" t="str">
        <f>IFERROR(VLOOKUP(B1949,'Pre-Summary'!$AZ$6:$BE$65,3,FALSE),"")</f>
        <v/>
      </c>
      <c r="AI1949" s="10" t="str">
        <f>IFERROR(VLOOKUP(B1949,'Pre-Summary'!$AZ$6:$BE$65,5,FALSE),"")</f>
        <v/>
      </c>
      <c r="AJ1949" s="10" t="str">
        <f>IFERROR(VLOOKUP(B1949,'Pre-Summary'!$AZ$6:$BE$65,4,FALSE),"")</f>
        <v/>
      </c>
      <c r="AK1949" s="10" t="str">
        <f>IFERROR(VLOOKUP(B1949,'Pre-Summary'!$AZ$6:$BE$65,6,FALSE),"")</f>
        <v/>
      </c>
      <c r="AL1949" s="10" t="str">
        <f>IFERROR(VLOOKUP(B1949,'Pre-Summary'!$BG$6:$BL$44,3,FALSE),"")</f>
        <v/>
      </c>
      <c r="AM1949" s="10" t="str">
        <f>IFERROR(VLOOKUP(B1949,'Pre-Summary'!$BG$6:$BL$44,4,FALSE),"")</f>
        <v/>
      </c>
    </row>
    <row r="1950" spans="2:39" ht="15" customHeight="1" x14ac:dyDescent="0.3">
      <c r="B1950">
        <v>194.7</v>
      </c>
      <c r="C1950" t="str">
        <f>IFERROR(VLOOKUP(B1950,'Pre-Summary'!$DI$6:$DM$23,4,FALSE),"")</f>
        <v/>
      </c>
      <c r="D1950" s="10" t="str">
        <f>IFERROR(VLOOKUP(B1950,'Pre-Summary'!$AT$6:$AX$14,5,FALSE),D1949)</f>
        <v>Wolfe v3: went back to modified wolfe + EDTA and switched CuSO4 to CUCl2</v>
      </c>
      <c r="E1950" s="10" t="str">
        <f>IFERROR(VLOOKUP(B1950,'Pre-Summary'!$AT$6:$AX$15,4,FALSE),"")</f>
        <v/>
      </c>
      <c r="F1950">
        <f>IFERROR(VLOOKUP(B1950,'Pre-Summary'!$AL$6:$AQ$13,6,FALSE),F1949)</f>
        <v>5.9405263157894746E-2</v>
      </c>
      <c r="G1950" t="str">
        <f>IFERROR(VLOOKUP(B1950,'Pre-Summary'!$AE$6:$AJ$85,3,FALSE),"")</f>
        <v/>
      </c>
      <c r="H1950" t="str">
        <f>IFERROR(VLOOKUP(B1950,'Pre-Summary'!$AE$6:$AJ$85,4,FALSE),"")</f>
        <v/>
      </c>
      <c r="I1950" t="str">
        <f>IFERROR(VLOOKUP(B1950,'Pre-Summary'!$AE$6:$AJ$85,5,FALSE),"")</f>
        <v/>
      </c>
      <c r="J1950" s="45" t="str">
        <f>IFERROR(VLOOKUP(B1950,'Pre-Summary'!$AE$6:$AJ$85,6, FALSE),"")</f>
        <v/>
      </c>
      <c r="K1950" s="45" t="str">
        <f>IFERROR(VLOOKUP(B1950,'Pre-Summary'!$DE$6:$DG$61,3,FALSE),"")</f>
        <v/>
      </c>
      <c r="L1950" s="45" t="str">
        <f>IFERROR(VLOOKUP(B1950,'Pre-Summary'!$CU$6:$CW$36,3,FALSE),"")</f>
        <v/>
      </c>
      <c r="M1950" s="45" t="str">
        <f>IFERROR(VLOOKUP(B1950,'Pre-Summary'!$BW$6:$BY$58,2,FALSE),"")</f>
        <v/>
      </c>
      <c r="N1950" s="45" t="str">
        <f>IFERROR(VLOOKUP(B1950,'Pre-Summary'!$CD$6:$CF$64,2,FALSE),"")</f>
        <v/>
      </c>
      <c r="O1950" s="99">
        <f>IFERROR(VLOOKUP(B1950,'Pre-Summary'!$BO$6:$BQ$48,3, FALSE),O1949)</f>
        <v>1.3480000000000001</v>
      </c>
      <c r="P1950" s="99">
        <f>IFERROR(VLOOKUP(B1950,'Pre-Summary'!$BS$6:$BU$35,3,FALSE),P1949)</f>
        <v>0.33700000000000002</v>
      </c>
      <c r="Q1950" s="54">
        <f t="shared" si="90"/>
        <v>4</v>
      </c>
      <c r="R1950" s="53">
        <f>IFERROR(VLOOKUP(B1950,'Pre-Summary'!$BG$6:$BM$44,7,FALSE),R1951)</f>
        <v>6.3359901615733558E-2</v>
      </c>
      <c r="S1950" s="53">
        <f>IFERROR(VLOOKUP(B1950,'Pre-Summary'!$BG$6:$BM$44,6,FALSE),S1951)</f>
        <v>9.0755969483796467E-2</v>
      </c>
      <c r="T1950" s="45" t="str">
        <f>IFERROR(VLOOKUP(B1950,'Pre-Summary'!$Y$6:$AC$83, 3,FALSE),"")</f>
        <v/>
      </c>
      <c r="U1950" s="45" t="str">
        <f>IFERROR(VLOOKUP(B1950,'Pre-Summary'!$Y$6:$AC$83, 4,FALSE),"")</f>
        <v/>
      </c>
      <c r="V1950" t="str">
        <f>IFERROR(VLOOKUP(B1950,'Pre-Summary'!$Y$6:$AC$83, 5,FALSE),"")</f>
        <v/>
      </c>
      <c r="W1950" s="45" t="str">
        <f>IFERROR(VLOOKUP(B1950,'Pre-Summary'!$Y$6:$AD$83,6,FALSE),"")</f>
        <v/>
      </c>
      <c r="X1950" t="str">
        <f>IFERROR(VLOOKUP('Pre-Summary'!$DB$6:$DD$63,3,FALSE),"")</f>
        <v/>
      </c>
      <c r="Y1950" t="str">
        <f>IFERROR(VLOOKUP(B1950,'Pre-Summary'!$CR$6:$CT$36,3,FALSE),"")</f>
        <v/>
      </c>
      <c r="Z1950" s="45" t="str">
        <f>IFERROR(VLOOKUP(B1950,'Pre-Summary'!$BZ$6:$CB$63,2,FALSE),"")</f>
        <v/>
      </c>
      <c r="AA1950" s="45" t="str">
        <f>IFERROR(VLOOKUP(B1950,'Pre-Summary'!$CG$6:$CI$70,2,FALSE),"")</f>
        <v/>
      </c>
      <c r="AB1950" s="99">
        <f>IFERROR(VLOOKUP(B1950,'Pre-Summary'!$A$6:$P$178,9,FALSE),AB1951)</f>
        <v>0.30044327255958808</v>
      </c>
      <c r="AC1950" s="10">
        <f>IFERROR(VLOOKUP(Summary!B1950,'Pre-Summary'!$A$6:$P$184,5, FALSE)/100,AC1951)</f>
        <v>0.96390199999999993</v>
      </c>
      <c r="AD1950" s="10">
        <f>IFERROR(VLOOKUP(Summary!B1950,'Pre-Summary'!$A$6:$P$184,3, FALSE)/100,AD1951)</f>
        <v>2.2943666666666664E-2</v>
      </c>
      <c r="AE1950" s="10">
        <f>IFERROR(VLOOKUP(Summary!B1950,'Pre-Summary'!$A$6:$P$184,7, FALSE)/100,AE1951)</f>
        <v>1.3154333333333332E-2</v>
      </c>
      <c r="AF1950" s="99">
        <f t="shared" si="91"/>
        <v>6.8932702978496685E-3</v>
      </c>
      <c r="AG1950" s="99">
        <f t="shared" si="92"/>
        <v>3.9521309550063412E-3</v>
      </c>
      <c r="AH1950" s="10" t="str">
        <f>IFERROR(VLOOKUP(B1950,'Pre-Summary'!$AZ$6:$BE$65,3,FALSE),"")</f>
        <v/>
      </c>
      <c r="AI1950" s="10" t="str">
        <f>IFERROR(VLOOKUP(B1950,'Pre-Summary'!$AZ$6:$BE$65,5,FALSE),"")</f>
        <v/>
      </c>
      <c r="AJ1950" s="10" t="str">
        <f>IFERROR(VLOOKUP(B1950,'Pre-Summary'!$AZ$6:$BE$65,4,FALSE),"")</f>
        <v/>
      </c>
      <c r="AK1950" s="10" t="str">
        <f>IFERROR(VLOOKUP(B1950,'Pre-Summary'!$AZ$6:$BE$65,6,FALSE),"")</f>
        <v/>
      </c>
      <c r="AL1950" s="10" t="str">
        <f>IFERROR(VLOOKUP(B1950,'Pre-Summary'!$BG$6:$BL$44,3,FALSE),"")</f>
        <v/>
      </c>
      <c r="AM1950" s="10" t="str">
        <f>IFERROR(VLOOKUP(B1950,'Pre-Summary'!$BG$6:$BL$44,4,FALSE),"")</f>
        <v/>
      </c>
    </row>
    <row r="1951" spans="2:39" ht="15" customHeight="1" x14ac:dyDescent="0.3">
      <c r="B1951">
        <v>194.8</v>
      </c>
      <c r="C1951" t="str">
        <f>IFERROR(VLOOKUP(B1951,'Pre-Summary'!$DI$6:$DM$23,4,FALSE),"")</f>
        <v/>
      </c>
      <c r="D1951" s="10" t="str">
        <f>IFERROR(VLOOKUP(B1951,'Pre-Summary'!$AT$6:$AX$14,5,FALSE),D1950)</f>
        <v>Wolfe v3: went back to modified wolfe + EDTA and switched CuSO4 to CUCl2</v>
      </c>
      <c r="E1951" s="10" t="str">
        <f>IFERROR(VLOOKUP(B1951,'Pre-Summary'!$AT$6:$AX$15,4,FALSE),"")</f>
        <v/>
      </c>
      <c r="F1951">
        <f>IFERROR(VLOOKUP(B1951,'Pre-Summary'!$AL$6:$AQ$13,6,FALSE),F1950)</f>
        <v>5.9405263157894746E-2</v>
      </c>
      <c r="G1951" t="str">
        <f>IFERROR(VLOOKUP(B1951,'Pre-Summary'!$AE$6:$AJ$85,3,FALSE),"")</f>
        <v/>
      </c>
      <c r="H1951" t="str">
        <f>IFERROR(VLOOKUP(B1951,'Pre-Summary'!$AE$6:$AJ$85,4,FALSE),"")</f>
        <v/>
      </c>
      <c r="I1951" t="str">
        <f>IFERROR(VLOOKUP(B1951,'Pre-Summary'!$AE$6:$AJ$85,5,FALSE),"")</f>
        <v/>
      </c>
      <c r="J1951" s="45" t="str">
        <f>IFERROR(VLOOKUP(B1951,'Pre-Summary'!$AE$6:$AJ$85,6, FALSE),"")</f>
        <v/>
      </c>
      <c r="K1951" s="45" t="str">
        <f>IFERROR(VLOOKUP(B1951,'Pre-Summary'!$DE$6:$DG$61,3,FALSE),"")</f>
        <v/>
      </c>
      <c r="L1951" s="45" t="str">
        <f>IFERROR(VLOOKUP(B1951,'Pre-Summary'!$CU$6:$CW$36,3,FALSE),"")</f>
        <v/>
      </c>
      <c r="M1951" s="45" t="str">
        <f>IFERROR(VLOOKUP(B1951,'Pre-Summary'!$BW$6:$BY$58,2,FALSE),"")</f>
        <v/>
      </c>
      <c r="N1951" s="45" t="str">
        <f>IFERROR(VLOOKUP(B1951,'Pre-Summary'!$CD$6:$CF$64,2,FALSE),"")</f>
        <v/>
      </c>
      <c r="O1951" s="99">
        <f>IFERROR(VLOOKUP(B1951,'Pre-Summary'!$BO$6:$BQ$48,3, FALSE),O1950)</f>
        <v>1.3480000000000001</v>
      </c>
      <c r="P1951" s="99">
        <f>IFERROR(VLOOKUP(B1951,'Pre-Summary'!$BS$6:$BU$35,3,FALSE),P1950)</f>
        <v>0.33700000000000002</v>
      </c>
      <c r="Q1951" s="54">
        <f t="shared" si="90"/>
        <v>4</v>
      </c>
      <c r="R1951" s="53">
        <f>IFERROR(VLOOKUP(B1951,'Pre-Summary'!$BG$6:$BM$44,7,FALSE),R1952)</f>
        <v>6.3359901615733558E-2</v>
      </c>
      <c r="S1951" s="53">
        <f>IFERROR(VLOOKUP(B1951,'Pre-Summary'!$BG$6:$BM$44,6,FALSE),S1952)</f>
        <v>9.0755969483796467E-2</v>
      </c>
      <c r="T1951" s="45" t="str">
        <f>IFERROR(VLOOKUP(B1951,'Pre-Summary'!$Y$6:$AC$83, 3,FALSE),"")</f>
        <v/>
      </c>
      <c r="U1951" s="45" t="str">
        <f>IFERROR(VLOOKUP(B1951,'Pre-Summary'!$Y$6:$AC$83, 4,FALSE),"")</f>
        <v/>
      </c>
      <c r="V1951" t="str">
        <f>IFERROR(VLOOKUP(B1951,'Pre-Summary'!$Y$6:$AC$83, 5,FALSE),"")</f>
        <v/>
      </c>
      <c r="W1951" s="45" t="str">
        <f>IFERROR(VLOOKUP(B1951,'Pre-Summary'!$Y$6:$AD$83,6,FALSE),"")</f>
        <v/>
      </c>
      <c r="X1951" t="str">
        <f>IFERROR(VLOOKUP('Pre-Summary'!$DB$6:$DD$63,3,FALSE),"")</f>
        <v/>
      </c>
      <c r="Y1951" t="str">
        <f>IFERROR(VLOOKUP(B1951,'Pre-Summary'!$CR$6:$CT$36,3,FALSE),"")</f>
        <v/>
      </c>
      <c r="Z1951" s="45" t="str">
        <f>IFERROR(VLOOKUP(B1951,'Pre-Summary'!$BZ$6:$CB$63,2,FALSE),"")</f>
        <v/>
      </c>
      <c r="AA1951" s="45" t="str">
        <f>IFERROR(VLOOKUP(B1951,'Pre-Summary'!$CG$6:$CI$70,2,FALSE),"")</f>
        <v/>
      </c>
      <c r="AB1951" s="99">
        <f>IFERROR(VLOOKUP(B1951,'Pre-Summary'!$A$6:$P$178,9,FALSE),AB1952)</f>
        <v>0.30044327255958808</v>
      </c>
      <c r="AC1951" s="10">
        <f>IFERROR(VLOOKUP(Summary!B1951,'Pre-Summary'!$A$6:$P$184,5, FALSE)/100,AC1952)</f>
        <v>0.96390199999999993</v>
      </c>
      <c r="AD1951" s="10">
        <f>IFERROR(VLOOKUP(Summary!B1951,'Pre-Summary'!$A$6:$P$184,3, FALSE)/100,AD1952)</f>
        <v>2.2943666666666664E-2</v>
      </c>
      <c r="AE1951" s="10">
        <f>IFERROR(VLOOKUP(Summary!B1951,'Pre-Summary'!$A$6:$P$184,7, FALSE)/100,AE1952)</f>
        <v>1.3154333333333332E-2</v>
      </c>
      <c r="AF1951" s="99">
        <f t="shared" si="91"/>
        <v>6.8932702978496685E-3</v>
      </c>
      <c r="AG1951" s="99">
        <f t="shared" si="92"/>
        <v>3.9521309550063412E-3</v>
      </c>
      <c r="AH1951" s="10" t="str">
        <f>IFERROR(VLOOKUP(B1951,'Pre-Summary'!$AZ$6:$BE$65,3,FALSE),"")</f>
        <v/>
      </c>
      <c r="AI1951" s="10" t="str">
        <f>IFERROR(VLOOKUP(B1951,'Pre-Summary'!$AZ$6:$BE$65,5,FALSE),"")</f>
        <v/>
      </c>
      <c r="AJ1951" s="10" t="str">
        <f>IFERROR(VLOOKUP(B1951,'Pre-Summary'!$AZ$6:$BE$65,4,FALSE),"")</f>
        <v/>
      </c>
      <c r="AK1951" s="10" t="str">
        <f>IFERROR(VLOOKUP(B1951,'Pre-Summary'!$AZ$6:$BE$65,6,FALSE),"")</f>
        <v/>
      </c>
      <c r="AL1951" s="10" t="str">
        <f>IFERROR(VLOOKUP(B1951,'Pre-Summary'!$BG$6:$BL$44,3,FALSE),"")</f>
        <v/>
      </c>
      <c r="AM1951" s="10" t="str">
        <f>IFERROR(VLOOKUP(B1951,'Pre-Summary'!$BG$6:$BL$44,4,FALSE),"")</f>
        <v/>
      </c>
    </row>
    <row r="1952" spans="2:39" ht="15" customHeight="1" x14ac:dyDescent="0.3">
      <c r="B1952">
        <v>194.9</v>
      </c>
      <c r="C1952" t="str">
        <f>IFERROR(VLOOKUP(B1952,'Pre-Summary'!$DI$6:$DM$23,4,FALSE),"")</f>
        <v/>
      </c>
      <c r="D1952" s="10" t="str">
        <f>IFERROR(VLOOKUP(B1952,'Pre-Summary'!$AT$6:$AX$14,5,FALSE),D1951)</f>
        <v>Wolfe v3: went back to modified wolfe + EDTA and switched CuSO4 to CUCl2</v>
      </c>
      <c r="E1952" s="10" t="str">
        <f>IFERROR(VLOOKUP(B1952,'Pre-Summary'!$AT$6:$AX$15,4,FALSE),"")</f>
        <v/>
      </c>
      <c r="F1952">
        <f>IFERROR(VLOOKUP(B1952,'Pre-Summary'!$AL$6:$AQ$13,6,FALSE),F1951)</f>
        <v>5.9405263157894746E-2</v>
      </c>
      <c r="G1952" t="str">
        <f>IFERROR(VLOOKUP(B1952,'Pre-Summary'!$AE$6:$AJ$85,3,FALSE),"")</f>
        <v/>
      </c>
      <c r="H1952" t="str">
        <f>IFERROR(VLOOKUP(B1952,'Pre-Summary'!$AE$6:$AJ$85,4,FALSE),"")</f>
        <v/>
      </c>
      <c r="I1952" t="str">
        <f>IFERROR(VLOOKUP(B1952,'Pre-Summary'!$AE$6:$AJ$85,5,FALSE),"")</f>
        <v/>
      </c>
      <c r="J1952" s="45" t="str">
        <f>IFERROR(VLOOKUP(B1952,'Pre-Summary'!$AE$6:$AJ$85,6, FALSE),"")</f>
        <v/>
      </c>
      <c r="K1952" s="45">
        <f>IFERROR(VLOOKUP(B1952,'Pre-Summary'!$DE$6:$DG$61,3,FALSE),"")</f>
        <v>554</v>
      </c>
      <c r="L1952" s="45">
        <f>IFERROR(VLOOKUP(B1952,'Pre-Summary'!$CU$6:$CW$36,3,FALSE),"")</f>
        <v>273.59999999999997</v>
      </c>
      <c r="M1952" s="45" t="str">
        <f>IFERROR(VLOOKUP(B1952,'Pre-Summary'!$BW$6:$BY$58,2,FALSE),"")</f>
        <v/>
      </c>
      <c r="N1952" s="45" t="str">
        <f>IFERROR(VLOOKUP(B1952,'Pre-Summary'!$CD$6:$CF$64,2,FALSE),"")</f>
        <v/>
      </c>
      <c r="O1952" s="99">
        <f>IFERROR(VLOOKUP(B1952,'Pre-Summary'!$BO$6:$BQ$48,3, FALSE),O1951)</f>
        <v>1.3480000000000001</v>
      </c>
      <c r="P1952" s="99">
        <f>IFERROR(VLOOKUP(B1952,'Pre-Summary'!$BS$6:$BU$35,3,FALSE),P1951)</f>
        <v>0.33700000000000002</v>
      </c>
      <c r="Q1952" s="54">
        <f t="shared" si="90"/>
        <v>4</v>
      </c>
      <c r="R1952" s="53">
        <f>IFERROR(VLOOKUP(B1952,'Pre-Summary'!$BG$6:$BM$44,7,FALSE),R1953)</f>
        <v>6.3359901615733558E-2</v>
      </c>
      <c r="S1952" s="53">
        <f>IFERROR(VLOOKUP(B1952,'Pre-Summary'!$BG$6:$BM$44,6,FALSE),S1953)</f>
        <v>9.0755969483796467E-2</v>
      </c>
      <c r="T1952" s="45" t="str">
        <f>IFERROR(VLOOKUP(B1952,'Pre-Summary'!$Y$6:$AC$83, 3,FALSE),"")</f>
        <v/>
      </c>
      <c r="U1952" s="45" t="str">
        <f>IFERROR(VLOOKUP(B1952,'Pre-Summary'!$Y$6:$AC$83, 4,FALSE),"")</f>
        <v/>
      </c>
      <c r="V1952" t="str">
        <f>IFERROR(VLOOKUP(B1952,'Pre-Summary'!$Y$6:$AC$83, 5,FALSE),"")</f>
        <v/>
      </c>
      <c r="W1952" s="45" t="str">
        <f>IFERROR(VLOOKUP(B1952,'Pre-Summary'!$Y$6:$AD$83,6,FALSE),"")</f>
        <v/>
      </c>
      <c r="X1952" t="str">
        <f>IFERROR(VLOOKUP('Pre-Summary'!$DB$6:$DD$63,3,FALSE),"")</f>
        <v/>
      </c>
      <c r="Y1952">
        <f>IFERROR(VLOOKUP(B1952,'Pre-Summary'!$CR$6:$CT$36,3,FALSE),"")</f>
        <v>311.8</v>
      </c>
      <c r="Z1952" s="45">
        <f>IFERROR(VLOOKUP(B1952,'Pre-Summary'!$BZ$6:$CB$63,2,FALSE),"")</f>
        <v>24.147235404228425</v>
      </c>
      <c r="AA1952" s="45">
        <f>IFERROR(VLOOKUP(B1952,'Pre-Summary'!$CG$6:$CI$70,2,FALSE),"")</f>
        <v>177.49689401825532</v>
      </c>
      <c r="AB1952" s="99">
        <f>IFERROR(VLOOKUP(B1952,'Pre-Summary'!$A$6:$P$178,9,FALSE),AB1953)</f>
        <v>0.30044327255958808</v>
      </c>
      <c r="AC1952" s="10">
        <f>IFERROR(VLOOKUP(Summary!B1952,'Pre-Summary'!$A$6:$P$184,5, FALSE)/100,AC1953)</f>
        <v>0.96390199999999993</v>
      </c>
      <c r="AD1952" s="10">
        <f>IFERROR(VLOOKUP(Summary!B1952,'Pre-Summary'!$A$6:$P$184,3, FALSE)/100,AD1953)</f>
        <v>2.2943666666666664E-2</v>
      </c>
      <c r="AE1952" s="10">
        <f>IFERROR(VLOOKUP(Summary!B1952,'Pre-Summary'!$A$6:$P$184,7, FALSE)/100,AE1953)</f>
        <v>1.3154333333333332E-2</v>
      </c>
      <c r="AF1952" s="99">
        <f t="shared" si="91"/>
        <v>6.8932702978496685E-3</v>
      </c>
      <c r="AG1952" s="99">
        <f t="shared" si="92"/>
        <v>3.9521309550063412E-3</v>
      </c>
      <c r="AH1952" s="10" t="str">
        <f>IFERROR(VLOOKUP(B1952,'Pre-Summary'!$AZ$6:$BE$65,3,FALSE),"")</f>
        <v/>
      </c>
      <c r="AI1952" s="10" t="str">
        <f>IFERROR(VLOOKUP(B1952,'Pre-Summary'!$AZ$6:$BE$65,5,FALSE),"")</f>
        <v/>
      </c>
      <c r="AJ1952" s="10" t="str">
        <f>IFERROR(VLOOKUP(B1952,'Pre-Summary'!$AZ$6:$BE$65,4,FALSE),"")</f>
        <v/>
      </c>
      <c r="AK1952" s="10" t="str">
        <f>IFERROR(VLOOKUP(B1952,'Pre-Summary'!$AZ$6:$BE$65,6,FALSE),"")</f>
        <v/>
      </c>
      <c r="AL1952" s="10" t="str">
        <f>IFERROR(VLOOKUP(B1952,'Pre-Summary'!$BG$6:$BL$44,3,FALSE),"")</f>
        <v/>
      </c>
      <c r="AM1952" s="10" t="str">
        <f>IFERROR(VLOOKUP(B1952,'Pre-Summary'!$BG$6:$BL$44,4,FALSE),"")</f>
        <v/>
      </c>
    </row>
    <row r="1953" spans="2:39" ht="15" customHeight="1" x14ac:dyDescent="0.3">
      <c r="B1953">
        <v>195</v>
      </c>
      <c r="C1953" t="str">
        <f>IFERROR(VLOOKUP(B1953,'Pre-Summary'!$DI$6:$DM$23,4,FALSE),"")</f>
        <v/>
      </c>
      <c r="D1953" s="10" t="str">
        <f>IFERROR(VLOOKUP(B1953,'Pre-Summary'!$AT$6:$AX$14,5,FALSE),D1952)</f>
        <v>Wolfe v3: went back to modified wolfe + EDTA and switched CuSO4 to CUCl2</v>
      </c>
      <c r="E1953" s="10" t="str">
        <f>IFERROR(VLOOKUP(B1953,'Pre-Summary'!$AT$6:$AX$15,4,FALSE),"")</f>
        <v/>
      </c>
      <c r="F1953">
        <f>IFERROR(VLOOKUP(B1953,'Pre-Summary'!$AL$6:$AQ$13,6,FALSE),F1952)</f>
        <v>5.9405263157894746E-2</v>
      </c>
      <c r="G1953" t="str">
        <f>IFERROR(VLOOKUP(B1953,'Pre-Summary'!$AE$6:$AJ$85,3,FALSE),"")</f>
        <v/>
      </c>
      <c r="H1953" t="str">
        <f>IFERROR(VLOOKUP(B1953,'Pre-Summary'!$AE$6:$AJ$85,4,FALSE),"")</f>
        <v/>
      </c>
      <c r="I1953" t="str">
        <f>IFERROR(VLOOKUP(B1953,'Pre-Summary'!$AE$6:$AJ$85,5,FALSE),"")</f>
        <v/>
      </c>
      <c r="J1953" s="45" t="str">
        <f>IFERROR(VLOOKUP(B1953,'Pre-Summary'!$AE$6:$AJ$85,6, FALSE),"")</f>
        <v/>
      </c>
      <c r="K1953" s="45" t="str">
        <f>IFERROR(VLOOKUP(B1953,'Pre-Summary'!$DE$6:$DG$61,3,FALSE),"")</f>
        <v/>
      </c>
      <c r="L1953" s="45" t="str">
        <f>IFERROR(VLOOKUP(B1953,'Pre-Summary'!$CU$6:$CW$36,3,FALSE),"")</f>
        <v/>
      </c>
      <c r="M1953" s="45" t="str">
        <f>IFERROR(VLOOKUP(B1953,'Pre-Summary'!$BW$6:$BY$58,2,FALSE),"")</f>
        <v/>
      </c>
      <c r="N1953" s="45" t="str">
        <f>IFERROR(VLOOKUP(B1953,'Pre-Summary'!$CD$6:$CF$64,2,FALSE),"")</f>
        <v/>
      </c>
      <c r="O1953" s="99">
        <f>IFERROR(VLOOKUP(B1953,'Pre-Summary'!$BO$6:$BQ$48,3, FALSE),O1952)</f>
        <v>1.3480000000000001</v>
      </c>
      <c r="P1953" s="99">
        <f>IFERROR(VLOOKUP(B1953,'Pre-Summary'!$BS$6:$BU$35,3,FALSE),P1952)</f>
        <v>0.33700000000000002</v>
      </c>
      <c r="Q1953" s="54">
        <f t="shared" si="90"/>
        <v>4</v>
      </c>
      <c r="R1953" s="53">
        <f>IFERROR(VLOOKUP(B1953,'Pre-Summary'!$BG$6:$BM$44,7,FALSE),R1954)</f>
        <v>6.3359901615733558E-2</v>
      </c>
      <c r="S1953" s="53">
        <f>IFERROR(VLOOKUP(B1953,'Pre-Summary'!$BG$6:$BM$44,6,FALSE),S1954)</f>
        <v>9.0755969483796467E-2</v>
      </c>
      <c r="T1953" s="45" t="str">
        <f>IFERROR(VLOOKUP(B1953,'Pre-Summary'!$Y$6:$AC$83, 3,FALSE),"")</f>
        <v/>
      </c>
      <c r="U1953" s="45" t="str">
        <f>IFERROR(VLOOKUP(B1953,'Pre-Summary'!$Y$6:$AC$83, 4,FALSE),"")</f>
        <v/>
      </c>
      <c r="V1953" t="str">
        <f>IFERROR(VLOOKUP(B1953,'Pre-Summary'!$Y$6:$AC$83, 5,FALSE),"")</f>
        <v/>
      </c>
      <c r="W1953" s="45" t="str">
        <f>IFERROR(VLOOKUP(B1953,'Pre-Summary'!$Y$6:$AD$83,6,FALSE),"")</f>
        <v/>
      </c>
      <c r="X1953" t="str">
        <f>IFERROR(VLOOKUP('Pre-Summary'!$DB$6:$DD$63,3,FALSE),"")</f>
        <v/>
      </c>
      <c r="Y1953" t="str">
        <f>IFERROR(VLOOKUP(B1953,'Pre-Summary'!$CR$6:$CT$36,3,FALSE),"")</f>
        <v/>
      </c>
      <c r="Z1953" s="45" t="str">
        <f>IFERROR(VLOOKUP(B1953,'Pre-Summary'!$BZ$6:$CB$63,2,FALSE),"")</f>
        <v/>
      </c>
      <c r="AA1953" s="45" t="str">
        <f>IFERROR(VLOOKUP(B1953,'Pre-Summary'!$CG$6:$CI$70,2,FALSE),"")</f>
        <v/>
      </c>
      <c r="AB1953" s="99">
        <f>IFERROR(VLOOKUP(B1953,'Pre-Summary'!$A$6:$P$178,9,FALSE),AB1954)</f>
        <v>0.28650277594241247</v>
      </c>
      <c r="AC1953" s="10">
        <f>IFERROR(VLOOKUP(Summary!B1953,'Pre-Summary'!$A$6:$P$184,5, FALSE)/100,AC1954)</f>
        <v>0.98345599999999989</v>
      </c>
      <c r="AD1953" s="10">
        <f>IFERROR(VLOOKUP(Summary!B1953,'Pre-Summary'!$A$6:$P$184,3, FALSE)/100,AD1954)</f>
        <v>1.2428333333333333E-2</v>
      </c>
      <c r="AE1953" s="10">
        <f>IFERROR(VLOOKUP(Summary!B1953,'Pre-Summary'!$A$6:$P$184,7, FALSE)/100,AE1954)</f>
        <v>4.1156666666666668E-3</v>
      </c>
      <c r="AF1953" s="99">
        <f t="shared" si="91"/>
        <v>3.5607520003376161E-3</v>
      </c>
      <c r="AG1953" s="99">
        <f t="shared" si="92"/>
        <v>1.1791499248536557E-3</v>
      </c>
      <c r="AH1953" s="10">
        <f>IFERROR(VLOOKUP(B1953,'Pre-Summary'!$AZ$6:$BE$65,3,FALSE),"")</f>
        <v>216</v>
      </c>
      <c r="AI1953" s="10">
        <f>IFERROR(VLOOKUP(B1953,'Pre-Summary'!$AZ$6:$BE$65,5,FALSE),"")</f>
        <v>82</v>
      </c>
      <c r="AJ1953" s="10">
        <f>IFERROR(VLOOKUP(B1953,'Pre-Summary'!$AZ$6:$BE$65,4,FALSE),"")</f>
        <v>167</v>
      </c>
      <c r="AK1953" s="10">
        <f>IFERROR(VLOOKUP(B1953,'Pre-Summary'!$AZ$6:$BE$65,6,FALSE),"")</f>
        <v>66</v>
      </c>
      <c r="AL1953" s="10">
        <f>IFERROR(VLOOKUP(B1953,'Pre-Summary'!$BG$6:$BL$44,3,FALSE),"")</f>
        <v>7.6506771628788011</v>
      </c>
      <c r="AM1953" s="10">
        <f>IFERROR(VLOOKUP(B1953,'Pre-Summary'!$BG$6:$BL$44,4,FALSE),"")</f>
        <v>3.4432996724892417</v>
      </c>
    </row>
    <row r="1954" spans="2:39" ht="15" customHeight="1" x14ac:dyDescent="0.3">
      <c r="B1954">
        <v>195.1</v>
      </c>
      <c r="C1954" t="str">
        <f>IFERROR(VLOOKUP(B1954,'Pre-Summary'!$DI$6:$DM$23,4,FALSE),"")</f>
        <v/>
      </c>
      <c r="D1954" s="10" t="str">
        <f>IFERROR(VLOOKUP(B1954,'Pre-Summary'!$AT$6:$AX$14,5,FALSE),D1953)</f>
        <v>Wolfe v3: went back to modified wolfe + EDTA and switched CuSO4 to CUCl2</v>
      </c>
      <c r="E1954" s="10" t="str">
        <f>IFERROR(VLOOKUP(B1954,'Pre-Summary'!$AT$6:$AX$15,4,FALSE),"")</f>
        <v/>
      </c>
      <c r="F1954">
        <f>IFERROR(VLOOKUP(B1954,'Pre-Summary'!$AL$6:$AQ$13,6,FALSE),F1953)</f>
        <v>5.9405263157894746E-2</v>
      </c>
      <c r="G1954" t="str">
        <f>IFERROR(VLOOKUP(B1954,'Pre-Summary'!$AE$6:$AJ$85,3,FALSE),"")</f>
        <v/>
      </c>
      <c r="H1954" t="str">
        <f>IFERROR(VLOOKUP(B1954,'Pre-Summary'!$AE$6:$AJ$85,4,FALSE),"")</f>
        <v/>
      </c>
      <c r="I1954" t="str">
        <f>IFERROR(VLOOKUP(B1954,'Pre-Summary'!$AE$6:$AJ$85,5,FALSE),"")</f>
        <v/>
      </c>
      <c r="J1954" s="45" t="str">
        <f>IFERROR(VLOOKUP(B1954,'Pre-Summary'!$AE$6:$AJ$85,6, FALSE),"")</f>
        <v/>
      </c>
      <c r="K1954" s="45" t="str">
        <f>IFERROR(VLOOKUP(B1954,'Pre-Summary'!$DE$6:$DG$61,3,FALSE),"")</f>
        <v/>
      </c>
      <c r="L1954" s="45" t="str">
        <f>IFERROR(VLOOKUP(B1954,'Pre-Summary'!$CU$6:$CW$36,3,FALSE),"")</f>
        <v/>
      </c>
      <c r="M1954" s="45" t="str">
        <f>IFERROR(VLOOKUP(B1954,'Pre-Summary'!$BW$6:$BY$58,2,FALSE),"")</f>
        <v/>
      </c>
      <c r="N1954" s="45" t="str">
        <f>IFERROR(VLOOKUP(B1954,'Pre-Summary'!$CD$6:$CF$64,2,FALSE),"")</f>
        <v/>
      </c>
      <c r="O1954" s="99">
        <f>IFERROR(VLOOKUP(B1954,'Pre-Summary'!$BO$6:$BQ$48,3, FALSE),O1953)</f>
        <v>1.3480000000000001</v>
      </c>
      <c r="P1954" s="99">
        <f>IFERROR(VLOOKUP(B1954,'Pre-Summary'!$BS$6:$BU$35,3,FALSE),P1953)</f>
        <v>0.33700000000000002</v>
      </c>
      <c r="Q1954" s="54">
        <f t="shared" si="90"/>
        <v>4</v>
      </c>
      <c r="R1954" s="53">
        <f>IFERROR(VLOOKUP(B1954,'Pre-Summary'!$BG$6:$BM$44,7,FALSE),R1955)</f>
        <v>6.2037889674656205E-2</v>
      </c>
      <c r="S1954" s="53">
        <f>IFERROR(VLOOKUP(B1954,'Pre-Summary'!$BG$6:$BM$44,6,FALSE),S1955)</f>
        <v>5.8400630293479062E-2</v>
      </c>
      <c r="T1954" s="45" t="str">
        <f>IFERROR(VLOOKUP(B1954,'Pre-Summary'!$Y$6:$AC$83, 3,FALSE),"")</f>
        <v/>
      </c>
      <c r="U1954" s="45" t="str">
        <f>IFERROR(VLOOKUP(B1954,'Pre-Summary'!$Y$6:$AC$83, 4,FALSE),"")</f>
        <v/>
      </c>
      <c r="V1954" t="str">
        <f>IFERROR(VLOOKUP(B1954,'Pre-Summary'!$Y$6:$AC$83, 5,FALSE),"")</f>
        <v/>
      </c>
      <c r="W1954" s="45" t="str">
        <f>IFERROR(VLOOKUP(B1954,'Pre-Summary'!$Y$6:$AD$83,6,FALSE),"")</f>
        <v/>
      </c>
      <c r="X1954" t="str">
        <f>IFERROR(VLOOKUP('Pre-Summary'!$DB$6:$DD$63,3,FALSE),"")</f>
        <v/>
      </c>
      <c r="Y1954" t="str">
        <f>IFERROR(VLOOKUP(B1954,'Pre-Summary'!$CR$6:$CT$36,3,FALSE),"")</f>
        <v/>
      </c>
      <c r="Z1954" s="45" t="str">
        <f>IFERROR(VLOOKUP(B1954,'Pre-Summary'!$BZ$6:$CB$63,2,FALSE),"")</f>
        <v/>
      </c>
      <c r="AA1954" s="45" t="str">
        <f>IFERROR(VLOOKUP(B1954,'Pre-Summary'!$CG$6:$CI$70,2,FALSE),"")</f>
        <v/>
      </c>
      <c r="AB1954" s="99">
        <f>IFERROR(VLOOKUP(B1954,'Pre-Summary'!$A$6:$P$178,9,FALSE),AB1955)</f>
        <v>0.28650277594241247</v>
      </c>
      <c r="AC1954" s="10">
        <f>IFERROR(VLOOKUP(Summary!B1954,'Pre-Summary'!$A$6:$P$184,5, FALSE)/100,AC1955)</f>
        <v>0.98345599999999989</v>
      </c>
      <c r="AD1954" s="10">
        <f>IFERROR(VLOOKUP(Summary!B1954,'Pre-Summary'!$A$6:$P$184,3, FALSE)/100,AD1955)</f>
        <v>1.2428333333333333E-2</v>
      </c>
      <c r="AE1954" s="10">
        <f>IFERROR(VLOOKUP(Summary!B1954,'Pre-Summary'!$A$6:$P$184,7, FALSE)/100,AE1955)</f>
        <v>4.1156666666666668E-3</v>
      </c>
      <c r="AF1954" s="99">
        <f t="shared" si="91"/>
        <v>3.5607520003376161E-3</v>
      </c>
      <c r="AG1954" s="99">
        <f t="shared" si="92"/>
        <v>1.1791499248536557E-3</v>
      </c>
      <c r="AH1954" s="10" t="str">
        <f>IFERROR(VLOOKUP(B1954,'Pre-Summary'!$AZ$6:$BE$65,3,FALSE),"")</f>
        <v/>
      </c>
      <c r="AI1954" s="10" t="str">
        <f>IFERROR(VLOOKUP(B1954,'Pre-Summary'!$AZ$6:$BE$65,5,FALSE),"")</f>
        <v/>
      </c>
      <c r="AJ1954" s="10" t="str">
        <f>IFERROR(VLOOKUP(B1954,'Pre-Summary'!$AZ$6:$BE$65,4,FALSE),"")</f>
        <v/>
      </c>
      <c r="AK1954" s="10" t="str">
        <f>IFERROR(VLOOKUP(B1954,'Pre-Summary'!$AZ$6:$BE$65,6,FALSE),"")</f>
        <v/>
      </c>
      <c r="AL1954" s="10" t="str">
        <f>IFERROR(VLOOKUP(B1954,'Pre-Summary'!$BG$6:$BL$44,3,FALSE),"")</f>
        <v/>
      </c>
      <c r="AM1954" s="10" t="str">
        <f>IFERROR(VLOOKUP(B1954,'Pre-Summary'!$BG$6:$BL$44,4,FALSE),"")</f>
        <v/>
      </c>
    </row>
    <row r="1955" spans="2:39" ht="15" customHeight="1" x14ac:dyDescent="0.3">
      <c r="B1955">
        <v>195.2</v>
      </c>
      <c r="C1955" t="str">
        <f>IFERROR(VLOOKUP(B1955,'Pre-Summary'!$DI$6:$DM$23,4,FALSE),"")</f>
        <v/>
      </c>
      <c r="D1955" s="10" t="str">
        <f>IFERROR(VLOOKUP(B1955,'Pre-Summary'!$AT$6:$AX$14,5,FALSE),D1954)</f>
        <v>Wolfe v3: went back to modified wolfe + EDTA and switched CuSO4 to CUCl2</v>
      </c>
      <c r="E1955" s="10" t="str">
        <f>IFERROR(VLOOKUP(B1955,'Pre-Summary'!$AT$6:$AX$15,4,FALSE),"")</f>
        <v/>
      </c>
      <c r="F1955">
        <f>IFERROR(VLOOKUP(B1955,'Pre-Summary'!$AL$6:$AQ$13,6,FALSE),F1954)</f>
        <v>5.9405263157894746E-2</v>
      </c>
      <c r="G1955" t="str">
        <f>IFERROR(VLOOKUP(B1955,'Pre-Summary'!$AE$6:$AJ$85,3,FALSE),"")</f>
        <v/>
      </c>
      <c r="H1955" t="str">
        <f>IFERROR(VLOOKUP(B1955,'Pre-Summary'!$AE$6:$AJ$85,4,FALSE),"")</f>
        <v/>
      </c>
      <c r="I1955" t="str">
        <f>IFERROR(VLOOKUP(B1955,'Pre-Summary'!$AE$6:$AJ$85,5,FALSE),"")</f>
        <v/>
      </c>
      <c r="J1955" s="45" t="str">
        <f>IFERROR(VLOOKUP(B1955,'Pre-Summary'!$AE$6:$AJ$85,6, FALSE),"")</f>
        <v/>
      </c>
      <c r="K1955" s="45" t="str">
        <f>IFERROR(VLOOKUP(B1955,'Pre-Summary'!$DE$6:$DG$61,3,FALSE),"")</f>
        <v/>
      </c>
      <c r="L1955" s="45" t="str">
        <f>IFERROR(VLOOKUP(B1955,'Pre-Summary'!$CU$6:$CW$36,3,FALSE),"")</f>
        <v/>
      </c>
      <c r="M1955" s="45" t="str">
        <f>IFERROR(VLOOKUP(B1955,'Pre-Summary'!$BW$6:$BY$58,2,FALSE),"")</f>
        <v/>
      </c>
      <c r="N1955" s="45" t="str">
        <f>IFERROR(VLOOKUP(B1955,'Pre-Summary'!$CD$6:$CF$64,2,FALSE),"")</f>
        <v/>
      </c>
      <c r="O1955" s="99">
        <f>IFERROR(VLOOKUP(B1955,'Pre-Summary'!$BO$6:$BQ$48,3, FALSE),O1954)</f>
        <v>1.3480000000000001</v>
      </c>
      <c r="P1955" s="99">
        <f>IFERROR(VLOOKUP(B1955,'Pre-Summary'!$BS$6:$BU$35,3,FALSE),P1954)</f>
        <v>0.33700000000000002</v>
      </c>
      <c r="Q1955" s="54">
        <f t="shared" si="90"/>
        <v>4</v>
      </c>
      <c r="R1955" s="53">
        <f>IFERROR(VLOOKUP(B1955,'Pre-Summary'!$BG$6:$BM$44,7,FALSE),R1956)</f>
        <v>6.2037889674656205E-2</v>
      </c>
      <c r="S1955" s="53">
        <f>IFERROR(VLOOKUP(B1955,'Pre-Summary'!$BG$6:$BM$44,6,FALSE),S1956)</f>
        <v>5.8400630293479062E-2</v>
      </c>
      <c r="T1955" s="45" t="str">
        <f>IFERROR(VLOOKUP(B1955,'Pre-Summary'!$Y$6:$AC$83, 3,FALSE),"")</f>
        <v/>
      </c>
      <c r="U1955" s="45" t="str">
        <f>IFERROR(VLOOKUP(B1955,'Pre-Summary'!$Y$6:$AC$83, 4,FALSE),"")</f>
        <v/>
      </c>
      <c r="V1955" t="str">
        <f>IFERROR(VLOOKUP(B1955,'Pre-Summary'!$Y$6:$AC$83, 5,FALSE),"")</f>
        <v/>
      </c>
      <c r="W1955" s="45" t="str">
        <f>IFERROR(VLOOKUP(B1955,'Pre-Summary'!$Y$6:$AD$83,6,FALSE),"")</f>
        <v/>
      </c>
      <c r="X1955" t="str">
        <f>IFERROR(VLOOKUP('Pre-Summary'!$DB$6:$DD$63,3,FALSE),"")</f>
        <v/>
      </c>
      <c r="Y1955" t="str">
        <f>IFERROR(VLOOKUP(B1955,'Pre-Summary'!$CR$6:$CT$36,3,FALSE),"")</f>
        <v/>
      </c>
      <c r="Z1955" s="45" t="str">
        <f>IFERROR(VLOOKUP(B1955,'Pre-Summary'!$BZ$6:$CB$63,2,FALSE),"")</f>
        <v/>
      </c>
      <c r="AA1955" s="45" t="str">
        <f>IFERROR(VLOOKUP(B1955,'Pre-Summary'!$CG$6:$CI$70,2,FALSE),"")</f>
        <v/>
      </c>
      <c r="AB1955" s="99">
        <f>IFERROR(VLOOKUP(B1955,'Pre-Summary'!$A$6:$P$178,9,FALSE),AB1956)</f>
        <v>0.28650277594241247</v>
      </c>
      <c r="AC1955" s="10">
        <f>IFERROR(VLOOKUP(Summary!B1955,'Pre-Summary'!$A$6:$P$184,5, FALSE)/100,AC1956)</f>
        <v>0.98345599999999989</v>
      </c>
      <c r="AD1955" s="10">
        <f>IFERROR(VLOOKUP(Summary!B1955,'Pre-Summary'!$A$6:$P$184,3, FALSE)/100,AD1956)</f>
        <v>1.2428333333333333E-2</v>
      </c>
      <c r="AE1955" s="10">
        <f>IFERROR(VLOOKUP(Summary!B1955,'Pre-Summary'!$A$6:$P$184,7, FALSE)/100,AE1956)</f>
        <v>4.1156666666666668E-3</v>
      </c>
      <c r="AF1955" s="99">
        <f t="shared" si="91"/>
        <v>3.5607520003376161E-3</v>
      </c>
      <c r="AG1955" s="99">
        <f t="shared" si="92"/>
        <v>1.1791499248536557E-3</v>
      </c>
      <c r="AH1955" s="10" t="str">
        <f>IFERROR(VLOOKUP(B1955,'Pre-Summary'!$AZ$6:$BE$65,3,FALSE),"")</f>
        <v/>
      </c>
      <c r="AI1955" s="10" t="str">
        <f>IFERROR(VLOOKUP(B1955,'Pre-Summary'!$AZ$6:$BE$65,5,FALSE),"")</f>
        <v/>
      </c>
      <c r="AJ1955" s="10" t="str">
        <f>IFERROR(VLOOKUP(B1955,'Pre-Summary'!$AZ$6:$BE$65,4,FALSE),"")</f>
        <v/>
      </c>
      <c r="AK1955" s="10" t="str">
        <f>IFERROR(VLOOKUP(B1955,'Pre-Summary'!$AZ$6:$BE$65,6,FALSE),"")</f>
        <v/>
      </c>
      <c r="AL1955" s="10" t="str">
        <f>IFERROR(VLOOKUP(B1955,'Pre-Summary'!$BG$6:$BL$44,3,FALSE),"")</f>
        <v/>
      </c>
      <c r="AM1955" s="10" t="str">
        <f>IFERROR(VLOOKUP(B1955,'Pre-Summary'!$BG$6:$BL$44,4,FALSE),"")</f>
        <v/>
      </c>
    </row>
    <row r="1956" spans="2:39" ht="15" customHeight="1" x14ac:dyDescent="0.3">
      <c r="B1956">
        <v>195.3</v>
      </c>
      <c r="C1956" t="str">
        <f>IFERROR(VLOOKUP(B1956,'Pre-Summary'!$DI$6:$DM$23,4,FALSE),"")</f>
        <v/>
      </c>
      <c r="D1956" s="10" t="str">
        <f>IFERROR(VLOOKUP(B1956,'Pre-Summary'!$AT$6:$AX$14,5,FALSE),D1955)</f>
        <v>Wolfe v3: went back to modified wolfe + EDTA and switched CuSO4 to CUCl2</v>
      </c>
      <c r="E1956" s="10" t="str">
        <f>IFERROR(VLOOKUP(B1956,'Pre-Summary'!$AT$6:$AX$15,4,FALSE),"")</f>
        <v/>
      </c>
      <c r="F1956">
        <f>IFERROR(VLOOKUP(B1956,'Pre-Summary'!$AL$6:$AQ$13,6,FALSE),F1955)</f>
        <v>5.9405263157894746E-2</v>
      </c>
      <c r="G1956" t="str">
        <f>IFERROR(VLOOKUP(B1956,'Pre-Summary'!$AE$6:$AJ$85,3,FALSE),"")</f>
        <v/>
      </c>
      <c r="H1956" t="str">
        <f>IFERROR(VLOOKUP(B1956,'Pre-Summary'!$AE$6:$AJ$85,4,FALSE),"")</f>
        <v/>
      </c>
      <c r="I1956" t="str">
        <f>IFERROR(VLOOKUP(B1956,'Pre-Summary'!$AE$6:$AJ$85,5,FALSE),"")</f>
        <v/>
      </c>
      <c r="J1956" s="45" t="str">
        <f>IFERROR(VLOOKUP(B1956,'Pre-Summary'!$AE$6:$AJ$85,6, FALSE),"")</f>
        <v/>
      </c>
      <c r="K1956" s="45" t="str">
        <f>IFERROR(VLOOKUP(B1956,'Pre-Summary'!$DE$6:$DG$61,3,FALSE),"")</f>
        <v/>
      </c>
      <c r="L1956" s="45" t="str">
        <f>IFERROR(VLOOKUP(B1956,'Pre-Summary'!$CU$6:$CW$36,3,FALSE),"")</f>
        <v/>
      </c>
      <c r="M1956" s="45" t="str">
        <f>IFERROR(VLOOKUP(B1956,'Pre-Summary'!$BW$6:$BY$58,2,FALSE),"")</f>
        <v/>
      </c>
      <c r="N1956" s="45" t="str">
        <f>IFERROR(VLOOKUP(B1956,'Pre-Summary'!$CD$6:$CF$64,2,FALSE),"")</f>
        <v/>
      </c>
      <c r="O1956" s="99">
        <f>IFERROR(VLOOKUP(B1956,'Pre-Summary'!$BO$6:$BQ$48,3, FALSE),O1955)</f>
        <v>1.3480000000000001</v>
      </c>
      <c r="P1956" s="99">
        <f>IFERROR(VLOOKUP(B1956,'Pre-Summary'!$BS$6:$BU$35,3,FALSE),P1955)</f>
        <v>0.33700000000000002</v>
      </c>
      <c r="Q1956" s="54">
        <f t="shared" si="90"/>
        <v>4</v>
      </c>
      <c r="R1956" s="53">
        <f>IFERROR(VLOOKUP(B1956,'Pre-Summary'!$BG$6:$BM$44,7,FALSE),R1957)</f>
        <v>6.2037889674656205E-2</v>
      </c>
      <c r="S1956" s="53">
        <f>IFERROR(VLOOKUP(B1956,'Pre-Summary'!$BG$6:$BM$44,6,FALSE),S1957)</f>
        <v>5.8400630293479062E-2</v>
      </c>
      <c r="T1956" s="45" t="str">
        <f>IFERROR(VLOOKUP(B1956,'Pre-Summary'!$Y$6:$AC$83, 3,FALSE),"")</f>
        <v/>
      </c>
      <c r="U1956" s="45" t="str">
        <f>IFERROR(VLOOKUP(B1956,'Pre-Summary'!$Y$6:$AC$83, 4,FALSE),"")</f>
        <v/>
      </c>
      <c r="V1956" t="str">
        <f>IFERROR(VLOOKUP(B1956,'Pre-Summary'!$Y$6:$AC$83, 5,FALSE),"")</f>
        <v/>
      </c>
      <c r="W1956" s="45" t="str">
        <f>IFERROR(VLOOKUP(B1956,'Pre-Summary'!$Y$6:$AD$83,6,FALSE),"")</f>
        <v/>
      </c>
      <c r="X1956" t="str">
        <f>IFERROR(VLOOKUP('Pre-Summary'!$DB$6:$DD$63,3,FALSE),"")</f>
        <v/>
      </c>
      <c r="Y1956" t="str">
        <f>IFERROR(VLOOKUP(B1956,'Pre-Summary'!$CR$6:$CT$36,3,FALSE),"")</f>
        <v/>
      </c>
      <c r="Z1956" s="45" t="str">
        <f>IFERROR(VLOOKUP(B1956,'Pre-Summary'!$BZ$6:$CB$63,2,FALSE),"")</f>
        <v/>
      </c>
      <c r="AA1956" s="45" t="str">
        <f>IFERROR(VLOOKUP(B1956,'Pre-Summary'!$CG$6:$CI$70,2,FALSE),"")</f>
        <v/>
      </c>
      <c r="AB1956" s="99">
        <f>IFERROR(VLOOKUP(B1956,'Pre-Summary'!$A$6:$P$178,9,FALSE),AB1957)</f>
        <v>0.28650277594241247</v>
      </c>
      <c r="AC1956" s="10">
        <f>IFERROR(VLOOKUP(Summary!B1956,'Pre-Summary'!$A$6:$P$184,5, FALSE)/100,AC1957)</f>
        <v>0.98345599999999989</v>
      </c>
      <c r="AD1956" s="10">
        <f>IFERROR(VLOOKUP(Summary!B1956,'Pre-Summary'!$A$6:$P$184,3, FALSE)/100,AD1957)</f>
        <v>1.2428333333333333E-2</v>
      </c>
      <c r="AE1956" s="10">
        <f>IFERROR(VLOOKUP(Summary!B1956,'Pre-Summary'!$A$6:$P$184,7, FALSE)/100,AE1957)</f>
        <v>4.1156666666666668E-3</v>
      </c>
      <c r="AF1956" s="99">
        <f t="shared" si="91"/>
        <v>3.5607520003376161E-3</v>
      </c>
      <c r="AG1956" s="99">
        <f t="shared" si="92"/>
        <v>1.1791499248536557E-3</v>
      </c>
      <c r="AH1956" s="10" t="str">
        <f>IFERROR(VLOOKUP(B1956,'Pre-Summary'!$AZ$6:$BE$65,3,FALSE),"")</f>
        <v/>
      </c>
      <c r="AI1956" s="10" t="str">
        <f>IFERROR(VLOOKUP(B1956,'Pre-Summary'!$AZ$6:$BE$65,5,FALSE),"")</f>
        <v/>
      </c>
      <c r="AJ1956" s="10" t="str">
        <f>IFERROR(VLOOKUP(B1956,'Pre-Summary'!$AZ$6:$BE$65,4,FALSE),"")</f>
        <v/>
      </c>
      <c r="AK1956" s="10" t="str">
        <f>IFERROR(VLOOKUP(B1956,'Pre-Summary'!$AZ$6:$BE$65,6,FALSE),"")</f>
        <v/>
      </c>
      <c r="AL1956" s="10" t="str">
        <f>IFERROR(VLOOKUP(B1956,'Pre-Summary'!$BG$6:$BL$44,3,FALSE),"")</f>
        <v/>
      </c>
      <c r="AM1956" s="10" t="str">
        <f>IFERROR(VLOOKUP(B1956,'Pre-Summary'!$BG$6:$BL$44,4,FALSE),"")</f>
        <v/>
      </c>
    </row>
    <row r="1957" spans="2:39" ht="15" customHeight="1" x14ac:dyDescent="0.3">
      <c r="B1957">
        <v>195.4</v>
      </c>
      <c r="C1957" t="str">
        <f>IFERROR(VLOOKUP(B1957,'Pre-Summary'!$DI$6:$DM$23,4,FALSE),"")</f>
        <v/>
      </c>
      <c r="D1957" s="10" t="str">
        <f>IFERROR(VLOOKUP(B1957,'Pre-Summary'!$AT$6:$AX$14,5,FALSE),D1956)</f>
        <v>Wolfe v3: went back to modified wolfe + EDTA and switched CuSO4 to CUCl2</v>
      </c>
      <c r="E1957" s="10" t="str">
        <f>IFERROR(VLOOKUP(B1957,'Pre-Summary'!$AT$6:$AX$15,4,FALSE),"")</f>
        <v/>
      </c>
      <c r="F1957">
        <f>IFERROR(VLOOKUP(B1957,'Pre-Summary'!$AL$6:$AQ$13,6,FALSE),F1956)</f>
        <v>5.9405263157894746E-2</v>
      </c>
      <c r="G1957" t="str">
        <f>IFERROR(VLOOKUP(B1957,'Pre-Summary'!$AE$6:$AJ$85,3,FALSE),"")</f>
        <v/>
      </c>
      <c r="H1957" t="str">
        <f>IFERROR(VLOOKUP(B1957,'Pre-Summary'!$AE$6:$AJ$85,4,FALSE),"")</f>
        <v/>
      </c>
      <c r="I1957" t="str">
        <f>IFERROR(VLOOKUP(B1957,'Pre-Summary'!$AE$6:$AJ$85,5,FALSE),"")</f>
        <v/>
      </c>
      <c r="J1957" s="45" t="str">
        <f>IFERROR(VLOOKUP(B1957,'Pre-Summary'!$AE$6:$AJ$85,6, FALSE),"")</f>
        <v/>
      </c>
      <c r="K1957" s="45" t="str">
        <f>IFERROR(VLOOKUP(B1957,'Pre-Summary'!$DE$6:$DG$61,3,FALSE),"")</f>
        <v/>
      </c>
      <c r="L1957" s="45" t="str">
        <f>IFERROR(VLOOKUP(B1957,'Pre-Summary'!$CU$6:$CW$36,3,FALSE),"")</f>
        <v/>
      </c>
      <c r="M1957" s="45" t="str">
        <f>IFERROR(VLOOKUP(B1957,'Pre-Summary'!$BW$6:$BY$58,2,FALSE),"")</f>
        <v/>
      </c>
      <c r="N1957" s="45" t="str">
        <f>IFERROR(VLOOKUP(B1957,'Pre-Summary'!$CD$6:$CF$64,2,FALSE),"")</f>
        <v/>
      </c>
      <c r="O1957" s="99">
        <f>IFERROR(VLOOKUP(B1957,'Pre-Summary'!$BO$6:$BQ$48,3, FALSE),O1956)</f>
        <v>1.3480000000000001</v>
      </c>
      <c r="P1957" s="99">
        <f>IFERROR(VLOOKUP(B1957,'Pre-Summary'!$BS$6:$BU$35,3,FALSE),P1956)</f>
        <v>0.33700000000000002</v>
      </c>
      <c r="Q1957" s="54">
        <f t="shared" si="90"/>
        <v>4</v>
      </c>
      <c r="R1957" s="53">
        <f>IFERROR(VLOOKUP(B1957,'Pre-Summary'!$BG$6:$BM$44,7,FALSE),R1958)</f>
        <v>6.2037889674656205E-2</v>
      </c>
      <c r="S1957" s="53">
        <f>IFERROR(VLOOKUP(B1957,'Pre-Summary'!$BG$6:$BM$44,6,FALSE),S1958)</f>
        <v>5.8400630293479062E-2</v>
      </c>
      <c r="T1957" s="45" t="str">
        <f>IFERROR(VLOOKUP(B1957,'Pre-Summary'!$Y$6:$AC$83, 3,FALSE),"")</f>
        <v/>
      </c>
      <c r="U1957" s="45" t="str">
        <f>IFERROR(VLOOKUP(B1957,'Pre-Summary'!$Y$6:$AC$83, 4,FALSE),"")</f>
        <v/>
      </c>
      <c r="V1957" t="str">
        <f>IFERROR(VLOOKUP(B1957,'Pre-Summary'!$Y$6:$AC$83, 5,FALSE),"")</f>
        <v/>
      </c>
      <c r="W1957" s="45" t="str">
        <f>IFERROR(VLOOKUP(B1957,'Pre-Summary'!$Y$6:$AD$83,6,FALSE),"")</f>
        <v/>
      </c>
      <c r="X1957" t="str">
        <f>IFERROR(VLOOKUP('Pre-Summary'!$DB$6:$DD$63,3,FALSE),"")</f>
        <v/>
      </c>
      <c r="Y1957" t="str">
        <f>IFERROR(VLOOKUP(B1957,'Pre-Summary'!$CR$6:$CT$36,3,FALSE),"")</f>
        <v/>
      </c>
      <c r="Z1957" s="45" t="str">
        <f>IFERROR(VLOOKUP(B1957,'Pre-Summary'!$BZ$6:$CB$63,2,FALSE),"")</f>
        <v/>
      </c>
      <c r="AA1957" s="45" t="str">
        <f>IFERROR(VLOOKUP(B1957,'Pre-Summary'!$CG$6:$CI$70,2,FALSE),"")</f>
        <v/>
      </c>
      <c r="AB1957" s="99">
        <f>IFERROR(VLOOKUP(B1957,'Pre-Summary'!$A$6:$P$178,9,FALSE),AB1958)</f>
        <v>0.28650277594241247</v>
      </c>
      <c r="AC1957" s="10">
        <f>IFERROR(VLOOKUP(Summary!B1957,'Pre-Summary'!$A$6:$P$184,5, FALSE)/100,AC1958)</f>
        <v>0.98345599999999989</v>
      </c>
      <c r="AD1957" s="10">
        <f>IFERROR(VLOOKUP(Summary!B1957,'Pre-Summary'!$A$6:$P$184,3, FALSE)/100,AD1958)</f>
        <v>1.2428333333333333E-2</v>
      </c>
      <c r="AE1957" s="10">
        <f>IFERROR(VLOOKUP(Summary!B1957,'Pre-Summary'!$A$6:$P$184,7, FALSE)/100,AE1958)</f>
        <v>4.1156666666666668E-3</v>
      </c>
      <c r="AF1957" s="99">
        <f t="shared" si="91"/>
        <v>3.5607520003376161E-3</v>
      </c>
      <c r="AG1957" s="99">
        <f t="shared" si="92"/>
        <v>1.1791499248536557E-3</v>
      </c>
      <c r="AH1957" s="10" t="str">
        <f>IFERROR(VLOOKUP(B1957,'Pre-Summary'!$AZ$6:$BE$65,3,FALSE),"")</f>
        <v/>
      </c>
      <c r="AI1957" s="10" t="str">
        <f>IFERROR(VLOOKUP(B1957,'Pre-Summary'!$AZ$6:$BE$65,5,FALSE),"")</f>
        <v/>
      </c>
      <c r="AJ1957" s="10" t="str">
        <f>IFERROR(VLOOKUP(B1957,'Pre-Summary'!$AZ$6:$BE$65,4,FALSE),"")</f>
        <v/>
      </c>
      <c r="AK1957" s="10" t="str">
        <f>IFERROR(VLOOKUP(B1957,'Pre-Summary'!$AZ$6:$BE$65,6,FALSE),"")</f>
        <v/>
      </c>
      <c r="AL1957" s="10" t="str">
        <f>IFERROR(VLOOKUP(B1957,'Pre-Summary'!$BG$6:$BL$44,3,FALSE),"")</f>
        <v/>
      </c>
      <c r="AM1957" s="10" t="str">
        <f>IFERROR(VLOOKUP(B1957,'Pre-Summary'!$BG$6:$BL$44,4,FALSE),"")</f>
        <v/>
      </c>
    </row>
    <row r="1958" spans="2:39" ht="15" customHeight="1" x14ac:dyDescent="0.3">
      <c r="B1958">
        <v>195.5</v>
      </c>
      <c r="C1958" t="str">
        <f>IFERROR(VLOOKUP(B1958,'Pre-Summary'!$DI$6:$DM$23,4,FALSE),"")</f>
        <v/>
      </c>
      <c r="D1958" s="10" t="str">
        <f>IFERROR(VLOOKUP(B1958,'Pre-Summary'!$AT$6:$AX$14,5,FALSE),D1957)</f>
        <v>Wolfe v3: went back to modified wolfe + EDTA and switched CuSO4 to CUCl2</v>
      </c>
      <c r="E1958" s="10" t="str">
        <f>IFERROR(VLOOKUP(B1958,'Pre-Summary'!$AT$6:$AX$15,4,FALSE),"")</f>
        <v/>
      </c>
      <c r="F1958">
        <f>IFERROR(VLOOKUP(B1958,'Pre-Summary'!$AL$6:$AQ$13,6,FALSE),F1957)</f>
        <v>5.9405263157894746E-2</v>
      </c>
      <c r="G1958" t="str">
        <f>IFERROR(VLOOKUP(B1958,'Pre-Summary'!$AE$6:$AJ$85,3,FALSE),"")</f>
        <v/>
      </c>
      <c r="H1958" t="str">
        <f>IFERROR(VLOOKUP(B1958,'Pre-Summary'!$AE$6:$AJ$85,4,FALSE),"")</f>
        <v/>
      </c>
      <c r="I1958" t="str">
        <f>IFERROR(VLOOKUP(B1958,'Pre-Summary'!$AE$6:$AJ$85,5,FALSE),"")</f>
        <v/>
      </c>
      <c r="J1958" s="45" t="str">
        <f>IFERROR(VLOOKUP(B1958,'Pre-Summary'!$AE$6:$AJ$85,6, FALSE),"")</f>
        <v/>
      </c>
      <c r="K1958" s="45" t="str">
        <f>IFERROR(VLOOKUP(B1958,'Pre-Summary'!$DE$6:$DG$61,3,FALSE),"")</f>
        <v/>
      </c>
      <c r="L1958" s="45" t="str">
        <f>IFERROR(VLOOKUP(B1958,'Pre-Summary'!$CU$6:$CW$36,3,FALSE),"")</f>
        <v/>
      </c>
      <c r="M1958" s="45" t="str">
        <f>IFERROR(VLOOKUP(B1958,'Pre-Summary'!$BW$6:$BY$58,2,FALSE),"")</f>
        <v/>
      </c>
      <c r="N1958" s="45" t="str">
        <f>IFERROR(VLOOKUP(B1958,'Pre-Summary'!$CD$6:$CF$64,2,FALSE),"")</f>
        <v/>
      </c>
      <c r="O1958" s="99">
        <f>IFERROR(VLOOKUP(B1958,'Pre-Summary'!$BO$6:$BQ$48,3, FALSE),O1957)</f>
        <v>1.3480000000000001</v>
      </c>
      <c r="P1958" s="99">
        <f>IFERROR(VLOOKUP(B1958,'Pre-Summary'!$BS$6:$BU$35,3,FALSE),P1957)</f>
        <v>0.33700000000000002</v>
      </c>
      <c r="Q1958" s="54">
        <f t="shared" si="90"/>
        <v>4</v>
      </c>
      <c r="R1958" s="53">
        <f>IFERROR(VLOOKUP(B1958,'Pre-Summary'!$BG$6:$BM$44,7,FALSE),R1959)</f>
        <v>6.2037889674656205E-2</v>
      </c>
      <c r="S1958" s="53">
        <f>IFERROR(VLOOKUP(B1958,'Pre-Summary'!$BG$6:$BM$44,6,FALSE),S1959)</f>
        <v>5.8400630293479062E-2</v>
      </c>
      <c r="T1958" s="45" t="str">
        <f>IFERROR(VLOOKUP(B1958,'Pre-Summary'!$Y$6:$AC$83, 3,FALSE),"")</f>
        <v/>
      </c>
      <c r="U1958" s="45" t="str">
        <f>IFERROR(VLOOKUP(B1958,'Pre-Summary'!$Y$6:$AC$83, 4,FALSE),"")</f>
        <v/>
      </c>
      <c r="V1958" t="str">
        <f>IFERROR(VLOOKUP(B1958,'Pre-Summary'!$Y$6:$AC$83, 5,FALSE),"")</f>
        <v/>
      </c>
      <c r="W1958" s="45" t="str">
        <f>IFERROR(VLOOKUP(B1958,'Pre-Summary'!$Y$6:$AD$83,6,FALSE),"")</f>
        <v/>
      </c>
      <c r="X1958" t="str">
        <f>IFERROR(VLOOKUP('Pre-Summary'!$DB$6:$DD$63,3,FALSE),"")</f>
        <v/>
      </c>
      <c r="Y1958" t="str">
        <f>IFERROR(VLOOKUP(B1958,'Pre-Summary'!$CR$6:$CT$36,3,FALSE),"")</f>
        <v/>
      </c>
      <c r="Z1958" s="45" t="str">
        <f>IFERROR(VLOOKUP(B1958,'Pre-Summary'!$BZ$6:$CB$63,2,FALSE),"")</f>
        <v/>
      </c>
      <c r="AA1958" s="45" t="str">
        <f>IFERROR(VLOOKUP(B1958,'Pre-Summary'!$CG$6:$CI$70,2,FALSE),"")</f>
        <v/>
      </c>
      <c r="AB1958" s="99">
        <f>IFERROR(VLOOKUP(B1958,'Pre-Summary'!$A$6:$P$178,9,FALSE),AB1959)</f>
        <v>0.28650277594241247</v>
      </c>
      <c r="AC1958" s="10">
        <f>IFERROR(VLOOKUP(Summary!B1958,'Pre-Summary'!$A$6:$P$184,5, FALSE)/100,AC1959)</f>
        <v>0.98345599999999989</v>
      </c>
      <c r="AD1958" s="10">
        <f>IFERROR(VLOOKUP(Summary!B1958,'Pre-Summary'!$A$6:$P$184,3, FALSE)/100,AD1959)</f>
        <v>1.2428333333333333E-2</v>
      </c>
      <c r="AE1958" s="10">
        <f>IFERROR(VLOOKUP(Summary!B1958,'Pre-Summary'!$A$6:$P$184,7, FALSE)/100,AE1959)</f>
        <v>4.1156666666666668E-3</v>
      </c>
      <c r="AF1958" s="99">
        <f t="shared" si="91"/>
        <v>3.5607520003376161E-3</v>
      </c>
      <c r="AG1958" s="99">
        <f t="shared" si="92"/>
        <v>1.1791499248536557E-3</v>
      </c>
      <c r="AH1958" s="10" t="str">
        <f>IFERROR(VLOOKUP(B1958,'Pre-Summary'!$AZ$6:$BE$65,3,FALSE),"")</f>
        <v/>
      </c>
      <c r="AI1958" s="10" t="str">
        <f>IFERROR(VLOOKUP(B1958,'Pre-Summary'!$AZ$6:$BE$65,5,FALSE),"")</f>
        <v/>
      </c>
      <c r="AJ1958" s="10" t="str">
        <f>IFERROR(VLOOKUP(B1958,'Pre-Summary'!$AZ$6:$BE$65,4,FALSE),"")</f>
        <v/>
      </c>
      <c r="AK1958" s="10" t="str">
        <f>IFERROR(VLOOKUP(B1958,'Pre-Summary'!$AZ$6:$BE$65,6,FALSE),"")</f>
        <v/>
      </c>
      <c r="AL1958" s="10" t="str">
        <f>IFERROR(VLOOKUP(B1958,'Pre-Summary'!$BG$6:$BL$44,3,FALSE),"")</f>
        <v/>
      </c>
      <c r="AM1958" s="10" t="str">
        <f>IFERROR(VLOOKUP(B1958,'Pre-Summary'!$BG$6:$BL$44,4,FALSE),"")</f>
        <v/>
      </c>
    </row>
    <row r="1959" spans="2:39" ht="15" customHeight="1" x14ac:dyDescent="0.3">
      <c r="B1959">
        <v>195.6</v>
      </c>
      <c r="C1959" t="str">
        <f>IFERROR(VLOOKUP(B1959,'Pre-Summary'!$DI$6:$DM$23,4,FALSE),"")</f>
        <v/>
      </c>
      <c r="D1959" s="10" t="str">
        <f>IFERROR(VLOOKUP(B1959,'Pre-Summary'!$AT$6:$AX$14,5,FALSE),D1958)</f>
        <v>Wolfe v3: went back to modified wolfe + EDTA and switched CuSO4 to CUCl2</v>
      </c>
      <c r="E1959" s="10" t="str">
        <f>IFERROR(VLOOKUP(B1959,'Pre-Summary'!$AT$6:$AX$15,4,FALSE),"")</f>
        <v/>
      </c>
      <c r="F1959">
        <f>IFERROR(VLOOKUP(B1959,'Pre-Summary'!$AL$6:$AQ$13,6,FALSE),F1958)</f>
        <v>5.9405263157894746E-2</v>
      </c>
      <c r="G1959" t="str">
        <f>IFERROR(VLOOKUP(B1959,'Pre-Summary'!$AE$6:$AJ$85,3,FALSE),"")</f>
        <v/>
      </c>
      <c r="H1959" t="str">
        <f>IFERROR(VLOOKUP(B1959,'Pre-Summary'!$AE$6:$AJ$85,4,FALSE),"")</f>
        <v/>
      </c>
      <c r="I1959" t="str">
        <f>IFERROR(VLOOKUP(B1959,'Pre-Summary'!$AE$6:$AJ$85,5,FALSE),"")</f>
        <v/>
      </c>
      <c r="J1959" s="45" t="str">
        <f>IFERROR(VLOOKUP(B1959,'Pre-Summary'!$AE$6:$AJ$85,6, FALSE),"")</f>
        <v/>
      </c>
      <c r="K1959" s="45" t="str">
        <f>IFERROR(VLOOKUP(B1959,'Pre-Summary'!$DE$6:$DG$61,3,FALSE),"")</f>
        <v/>
      </c>
      <c r="L1959" s="45" t="str">
        <f>IFERROR(VLOOKUP(B1959,'Pre-Summary'!$CU$6:$CW$36,3,FALSE),"")</f>
        <v/>
      </c>
      <c r="M1959" s="45" t="str">
        <f>IFERROR(VLOOKUP(B1959,'Pre-Summary'!$BW$6:$BY$58,2,FALSE),"")</f>
        <v/>
      </c>
      <c r="N1959" s="45" t="str">
        <f>IFERROR(VLOOKUP(B1959,'Pre-Summary'!$CD$6:$CF$64,2,FALSE),"")</f>
        <v/>
      </c>
      <c r="O1959" s="99">
        <f>IFERROR(VLOOKUP(B1959,'Pre-Summary'!$BO$6:$BQ$48,3, FALSE),O1958)</f>
        <v>1.3480000000000001</v>
      </c>
      <c r="P1959" s="99">
        <f>IFERROR(VLOOKUP(B1959,'Pre-Summary'!$BS$6:$BU$35,3,FALSE),P1958)</f>
        <v>0.33700000000000002</v>
      </c>
      <c r="Q1959" s="54">
        <f t="shared" si="90"/>
        <v>4</v>
      </c>
      <c r="R1959" s="53">
        <f>IFERROR(VLOOKUP(B1959,'Pre-Summary'!$BG$6:$BM$44,7,FALSE),R1960)</f>
        <v>6.2037889674656205E-2</v>
      </c>
      <c r="S1959" s="53">
        <f>IFERROR(VLOOKUP(B1959,'Pre-Summary'!$BG$6:$BM$44,6,FALSE),S1960)</f>
        <v>5.8400630293479062E-2</v>
      </c>
      <c r="T1959" s="45" t="str">
        <f>IFERROR(VLOOKUP(B1959,'Pre-Summary'!$Y$6:$AC$83, 3,FALSE),"")</f>
        <v/>
      </c>
      <c r="U1959" s="45" t="str">
        <f>IFERROR(VLOOKUP(B1959,'Pre-Summary'!$Y$6:$AC$83, 4,FALSE),"")</f>
        <v/>
      </c>
      <c r="V1959" t="str">
        <f>IFERROR(VLOOKUP(B1959,'Pre-Summary'!$Y$6:$AC$83, 5,FALSE),"")</f>
        <v/>
      </c>
      <c r="W1959" s="45" t="str">
        <f>IFERROR(VLOOKUP(B1959,'Pre-Summary'!$Y$6:$AD$83,6,FALSE),"")</f>
        <v/>
      </c>
      <c r="X1959" t="str">
        <f>IFERROR(VLOOKUP('Pre-Summary'!$DB$6:$DD$63,3,FALSE),"")</f>
        <v/>
      </c>
      <c r="Y1959" t="str">
        <f>IFERROR(VLOOKUP(B1959,'Pre-Summary'!$CR$6:$CT$36,3,FALSE),"")</f>
        <v/>
      </c>
      <c r="Z1959" s="45" t="str">
        <f>IFERROR(VLOOKUP(B1959,'Pre-Summary'!$BZ$6:$CB$63,2,FALSE),"")</f>
        <v/>
      </c>
      <c r="AA1959" s="45" t="str">
        <f>IFERROR(VLOOKUP(B1959,'Pre-Summary'!$CG$6:$CI$70,2,FALSE),"")</f>
        <v/>
      </c>
      <c r="AB1959" s="99">
        <f>IFERROR(VLOOKUP(B1959,'Pre-Summary'!$A$6:$P$178,9,FALSE),AB1960)</f>
        <v>0.28650277594241247</v>
      </c>
      <c r="AC1959" s="10">
        <f>IFERROR(VLOOKUP(Summary!B1959,'Pre-Summary'!$A$6:$P$184,5, FALSE)/100,AC1960)</f>
        <v>0.98345599999999989</v>
      </c>
      <c r="AD1959" s="10">
        <f>IFERROR(VLOOKUP(Summary!B1959,'Pre-Summary'!$A$6:$P$184,3, FALSE)/100,AD1960)</f>
        <v>1.2428333333333333E-2</v>
      </c>
      <c r="AE1959" s="10">
        <f>IFERROR(VLOOKUP(Summary!B1959,'Pre-Summary'!$A$6:$P$184,7, FALSE)/100,AE1960)</f>
        <v>4.1156666666666668E-3</v>
      </c>
      <c r="AF1959" s="99">
        <f t="shared" si="91"/>
        <v>3.5607520003376161E-3</v>
      </c>
      <c r="AG1959" s="99">
        <f t="shared" si="92"/>
        <v>1.1791499248536557E-3</v>
      </c>
      <c r="AH1959" s="10" t="str">
        <f>IFERROR(VLOOKUP(B1959,'Pre-Summary'!$AZ$6:$BE$65,3,FALSE),"")</f>
        <v/>
      </c>
      <c r="AI1959" s="10" t="str">
        <f>IFERROR(VLOOKUP(B1959,'Pre-Summary'!$AZ$6:$BE$65,5,FALSE),"")</f>
        <v/>
      </c>
      <c r="AJ1959" s="10" t="str">
        <f>IFERROR(VLOOKUP(B1959,'Pre-Summary'!$AZ$6:$BE$65,4,FALSE),"")</f>
        <v/>
      </c>
      <c r="AK1959" s="10" t="str">
        <f>IFERROR(VLOOKUP(B1959,'Pre-Summary'!$AZ$6:$BE$65,6,FALSE),"")</f>
        <v/>
      </c>
      <c r="AL1959" s="10" t="str">
        <f>IFERROR(VLOOKUP(B1959,'Pre-Summary'!$BG$6:$BL$44,3,FALSE),"")</f>
        <v/>
      </c>
      <c r="AM1959" s="10" t="str">
        <f>IFERROR(VLOOKUP(B1959,'Pre-Summary'!$BG$6:$BL$44,4,FALSE),"")</f>
        <v/>
      </c>
    </row>
    <row r="1960" spans="2:39" ht="15" customHeight="1" x14ac:dyDescent="0.3">
      <c r="B1960">
        <v>195.7</v>
      </c>
      <c r="C1960" t="str">
        <f>IFERROR(VLOOKUP(B1960,'Pre-Summary'!$DI$6:$DM$23,4,FALSE),"")</f>
        <v/>
      </c>
      <c r="D1960" s="10" t="str">
        <f>IFERROR(VLOOKUP(B1960,'Pre-Summary'!$AT$6:$AX$14,5,FALSE),D1959)</f>
        <v>Wolfe v3: went back to modified wolfe + EDTA and switched CuSO4 to CUCl2</v>
      </c>
      <c r="E1960" s="10" t="str">
        <f>IFERROR(VLOOKUP(B1960,'Pre-Summary'!$AT$6:$AX$15,4,FALSE),"")</f>
        <v/>
      </c>
      <c r="F1960">
        <f>IFERROR(VLOOKUP(B1960,'Pre-Summary'!$AL$6:$AQ$13,6,FALSE),F1959)</f>
        <v>5.9405263157894746E-2</v>
      </c>
      <c r="G1960" t="str">
        <f>IFERROR(VLOOKUP(B1960,'Pre-Summary'!$AE$6:$AJ$85,3,FALSE),"")</f>
        <v/>
      </c>
      <c r="H1960" t="str">
        <f>IFERROR(VLOOKUP(B1960,'Pre-Summary'!$AE$6:$AJ$85,4,FALSE),"")</f>
        <v/>
      </c>
      <c r="I1960" t="str">
        <f>IFERROR(VLOOKUP(B1960,'Pre-Summary'!$AE$6:$AJ$85,5,FALSE),"")</f>
        <v/>
      </c>
      <c r="J1960" s="45" t="str">
        <f>IFERROR(VLOOKUP(B1960,'Pre-Summary'!$AE$6:$AJ$85,6, FALSE),"")</f>
        <v/>
      </c>
      <c r="K1960" s="45" t="str">
        <f>IFERROR(VLOOKUP(B1960,'Pre-Summary'!$DE$6:$DG$61,3,FALSE),"")</f>
        <v/>
      </c>
      <c r="L1960" s="45" t="str">
        <f>IFERROR(VLOOKUP(B1960,'Pre-Summary'!$CU$6:$CW$36,3,FALSE),"")</f>
        <v/>
      </c>
      <c r="M1960" s="45" t="str">
        <f>IFERROR(VLOOKUP(B1960,'Pre-Summary'!$BW$6:$BY$58,2,FALSE),"")</f>
        <v/>
      </c>
      <c r="N1960" s="45" t="str">
        <f>IFERROR(VLOOKUP(B1960,'Pre-Summary'!$CD$6:$CF$64,2,FALSE),"")</f>
        <v/>
      </c>
      <c r="O1960" s="99">
        <f>IFERROR(VLOOKUP(B1960,'Pre-Summary'!$BO$6:$BQ$48,3, FALSE),O1959)</f>
        <v>1.3480000000000001</v>
      </c>
      <c r="P1960" s="99">
        <f>IFERROR(VLOOKUP(B1960,'Pre-Summary'!$BS$6:$BU$35,3,FALSE),P1959)</f>
        <v>0.33700000000000002</v>
      </c>
      <c r="Q1960" s="54">
        <f t="shared" si="90"/>
        <v>4</v>
      </c>
      <c r="R1960" s="53">
        <f>IFERROR(VLOOKUP(B1960,'Pre-Summary'!$BG$6:$BM$44,7,FALSE),R1961)</f>
        <v>6.2037889674656205E-2</v>
      </c>
      <c r="S1960" s="53">
        <f>IFERROR(VLOOKUP(B1960,'Pre-Summary'!$BG$6:$BM$44,6,FALSE),S1961)</f>
        <v>5.8400630293479062E-2</v>
      </c>
      <c r="T1960" s="45" t="str">
        <f>IFERROR(VLOOKUP(B1960,'Pre-Summary'!$Y$6:$AC$83, 3,FALSE),"")</f>
        <v/>
      </c>
      <c r="U1960" s="45" t="str">
        <f>IFERROR(VLOOKUP(B1960,'Pre-Summary'!$Y$6:$AC$83, 4,FALSE),"")</f>
        <v/>
      </c>
      <c r="V1960" t="str">
        <f>IFERROR(VLOOKUP(B1960,'Pre-Summary'!$Y$6:$AC$83, 5,FALSE),"")</f>
        <v/>
      </c>
      <c r="W1960" s="45" t="str">
        <f>IFERROR(VLOOKUP(B1960,'Pre-Summary'!$Y$6:$AD$83,6,FALSE),"")</f>
        <v/>
      </c>
      <c r="X1960" t="str">
        <f>IFERROR(VLOOKUP('Pre-Summary'!$DB$6:$DD$63,3,FALSE),"")</f>
        <v/>
      </c>
      <c r="Y1960" t="str">
        <f>IFERROR(VLOOKUP(B1960,'Pre-Summary'!$CR$6:$CT$36,3,FALSE),"")</f>
        <v/>
      </c>
      <c r="Z1960" s="45" t="str">
        <f>IFERROR(VLOOKUP(B1960,'Pre-Summary'!$BZ$6:$CB$63,2,FALSE),"")</f>
        <v/>
      </c>
      <c r="AA1960" s="45" t="str">
        <f>IFERROR(VLOOKUP(B1960,'Pre-Summary'!$CG$6:$CI$70,2,FALSE),"")</f>
        <v/>
      </c>
      <c r="AB1960" s="99">
        <f>IFERROR(VLOOKUP(B1960,'Pre-Summary'!$A$6:$P$178,9,FALSE),AB1961)</f>
        <v>0.28650277594241247</v>
      </c>
      <c r="AC1960" s="10">
        <f>IFERROR(VLOOKUP(Summary!B1960,'Pre-Summary'!$A$6:$P$184,5, FALSE)/100,AC1961)</f>
        <v>0.98345599999999989</v>
      </c>
      <c r="AD1960" s="10">
        <f>IFERROR(VLOOKUP(Summary!B1960,'Pre-Summary'!$A$6:$P$184,3, FALSE)/100,AD1961)</f>
        <v>1.2428333333333333E-2</v>
      </c>
      <c r="AE1960" s="10">
        <f>IFERROR(VLOOKUP(Summary!B1960,'Pre-Summary'!$A$6:$P$184,7, FALSE)/100,AE1961)</f>
        <v>4.1156666666666668E-3</v>
      </c>
      <c r="AF1960" s="99">
        <f t="shared" si="91"/>
        <v>3.5607520003376161E-3</v>
      </c>
      <c r="AG1960" s="99">
        <f t="shared" si="92"/>
        <v>1.1791499248536557E-3</v>
      </c>
      <c r="AH1960" s="10" t="str">
        <f>IFERROR(VLOOKUP(B1960,'Pre-Summary'!$AZ$6:$BE$65,3,FALSE),"")</f>
        <v/>
      </c>
      <c r="AI1960" s="10" t="str">
        <f>IFERROR(VLOOKUP(B1960,'Pre-Summary'!$AZ$6:$BE$65,5,FALSE),"")</f>
        <v/>
      </c>
      <c r="AJ1960" s="10" t="str">
        <f>IFERROR(VLOOKUP(B1960,'Pre-Summary'!$AZ$6:$BE$65,4,FALSE),"")</f>
        <v/>
      </c>
      <c r="AK1960" s="10" t="str">
        <f>IFERROR(VLOOKUP(B1960,'Pre-Summary'!$AZ$6:$BE$65,6,FALSE),"")</f>
        <v/>
      </c>
      <c r="AL1960" s="10" t="str">
        <f>IFERROR(VLOOKUP(B1960,'Pre-Summary'!$BG$6:$BL$44,3,FALSE),"")</f>
        <v/>
      </c>
      <c r="AM1960" s="10" t="str">
        <f>IFERROR(VLOOKUP(B1960,'Pre-Summary'!$BG$6:$BL$44,4,FALSE),"")</f>
        <v/>
      </c>
    </row>
    <row r="1961" spans="2:39" ht="15" customHeight="1" x14ac:dyDescent="0.3">
      <c r="B1961">
        <v>195.8</v>
      </c>
      <c r="C1961" t="str">
        <f>IFERROR(VLOOKUP(B1961,'Pre-Summary'!$DI$6:$DM$23,4,FALSE),"")</f>
        <v/>
      </c>
      <c r="D1961" s="10" t="str">
        <f>IFERROR(VLOOKUP(B1961,'Pre-Summary'!$AT$6:$AX$14,5,FALSE),D1960)</f>
        <v>Wolfe v3: went back to modified wolfe + EDTA and switched CuSO4 to CUCl2</v>
      </c>
      <c r="E1961" s="10" t="str">
        <f>IFERROR(VLOOKUP(B1961,'Pre-Summary'!$AT$6:$AX$15,4,FALSE),"")</f>
        <v/>
      </c>
      <c r="F1961">
        <f>IFERROR(VLOOKUP(B1961,'Pre-Summary'!$AL$6:$AQ$13,6,FALSE),F1960)</f>
        <v>5.9405263157894746E-2</v>
      </c>
      <c r="G1961" t="str">
        <f>IFERROR(VLOOKUP(B1961,'Pre-Summary'!$AE$6:$AJ$85,3,FALSE),"")</f>
        <v/>
      </c>
      <c r="H1961" t="str">
        <f>IFERROR(VLOOKUP(B1961,'Pre-Summary'!$AE$6:$AJ$85,4,FALSE),"")</f>
        <v/>
      </c>
      <c r="I1961" t="str">
        <f>IFERROR(VLOOKUP(B1961,'Pre-Summary'!$AE$6:$AJ$85,5,FALSE),"")</f>
        <v/>
      </c>
      <c r="J1961" s="45" t="str">
        <f>IFERROR(VLOOKUP(B1961,'Pre-Summary'!$AE$6:$AJ$85,6, FALSE),"")</f>
        <v/>
      </c>
      <c r="K1961" s="45" t="str">
        <f>IFERROR(VLOOKUP(B1961,'Pre-Summary'!$DE$6:$DG$61,3,FALSE),"")</f>
        <v/>
      </c>
      <c r="L1961" s="45" t="str">
        <f>IFERROR(VLOOKUP(B1961,'Pre-Summary'!$CU$6:$CW$36,3,FALSE),"")</f>
        <v/>
      </c>
      <c r="M1961" s="45" t="str">
        <f>IFERROR(VLOOKUP(B1961,'Pre-Summary'!$BW$6:$BY$58,2,FALSE),"")</f>
        <v/>
      </c>
      <c r="N1961" s="45" t="str">
        <f>IFERROR(VLOOKUP(B1961,'Pre-Summary'!$CD$6:$CF$64,2,FALSE),"")</f>
        <v/>
      </c>
      <c r="O1961" s="99">
        <f>IFERROR(VLOOKUP(B1961,'Pre-Summary'!$BO$6:$BQ$48,3, FALSE),O1960)</f>
        <v>1.3480000000000001</v>
      </c>
      <c r="P1961" s="99">
        <f>IFERROR(VLOOKUP(B1961,'Pre-Summary'!$BS$6:$BU$35,3,FALSE),P1960)</f>
        <v>0.33700000000000002</v>
      </c>
      <c r="Q1961" s="54">
        <f t="shared" si="90"/>
        <v>4</v>
      </c>
      <c r="R1961" s="53">
        <f>IFERROR(VLOOKUP(B1961,'Pre-Summary'!$BG$6:$BM$44,7,FALSE),R1962)</f>
        <v>6.2037889674656205E-2</v>
      </c>
      <c r="S1961" s="53">
        <f>IFERROR(VLOOKUP(B1961,'Pre-Summary'!$BG$6:$BM$44,6,FALSE),S1962)</f>
        <v>5.8400630293479062E-2</v>
      </c>
      <c r="T1961" s="45" t="str">
        <f>IFERROR(VLOOKUP(B1961,'Pre-Summary'!$Y$6:$AC$83, 3,FALSE),"")</f>
        <v/>
      </c>
      <c r="U1961" s="45" t="str">
        <f>IFERROR(VLOOKUP(B1961,'Pre-Summary'!$Y$6:$AC$83, 4,FALSE),"")</f>
        <v/>
      </c>
      <c r="V1961" t="str">
        <f>IFERROR(VLOOKUP(B1961,'Pre-Summary'!$Y$6:$AC$83, 5,FALSE),"")</f>
        <v/>
      </c>
      <c r="W1961" s="45" t="str">
        <f>IFERROR(VLOOKUP(B1961,'Pre-Summary'!$Y$6:$AD$83,6,FALSE),"")</f>
        <v/>
      </c>
      <c r="X1961" t="str">
        <f>IFERROR(VLOOKUP('Pre-Summary'!$DB$6:$DD$63,3,FALSE),"")</f>
        <v/>
      </c>
      <c r="Y1961" t="str">
        <f>IFERROR(VLOOKUP(B1961,'Pre-Summary'!$CR$6:$CT$36,3,FALSE),"")</f>
        <v/>
      </c>
      <c r="Z1961" s="45" t="str">
        <f>IFERROR(VLOOKUP(B1961,'Pre-Summary'!$BZ$6:$CB$63,2,FALSE),"")</f>
        <v/>
      </c>
      <c r="AA1961" s="45" t="str">
        <f>IFERROR(VLOOKUP(B1961,'Pre-Summary'!$CG$6:$CI$70,2,FALSE),"")</f>
        <v/>
      </c>
      <c r="AB1961" s="99">
        <f>IFERROR(VLOOKUP(B1961,'Pre-Summary'!$A$6:$P$178,9,FALSE),AB1962)</f>
        <v>0.28650277594241247</v>
      </c>
      <c r="AC1961" s="10">
        <f>IFERROR(VLOOKUP(Summary!B1961,'Pre-Summary'!$A$6:$P$184,5, FALSE)/100,AC1962)</f>
        <v>0.98345599999999989</v>
      </c>
      <c r="AD1961" s="10">
        <f>IFERROR(VLOOKUP(Summary!B1961,'Pre-Summary'!$A$6:$P$184,3, FALSE)/100,AD1962)</f>
        <v>1.2428333333333333E-2</v>
      </c>
      <c r="AE1961" s="10">
        <f>IFERROR(VLOOKUP(Summary!B1961,'Pre-Summary'!$A$6:$P$184,7, FALSE)/100,AE1962)</f>
        <v>4.1156666666666668E-3</v>
      </c>
      <c r="AF1961" s="99">
        <f t="shared" si="91"/>
        <v>3.5607520003376161E-3</v>
      </c>
      <c r="AG1961" s="99">
        <f t="shared" si="92"/>
        <v>1.1791499248536557E-3</v>
      </c>
      <c r="AH1961" s="10" t="str">
        <f>IFERROR(VLOOKUP(B1961,'Pre-Summary'!$AZ$6:$BE$65,3,FALSE),"")</f>
        <v/>
      </c>
      <c r="AI1961" s="10" t="str">
        <f>IFERROR(VLOOKUP(B1961,'Pre-Summary'!$AZ$6:$BE$65,5,FALSE),"")</f>
        <v/>
      </c>
      <c r="AJ1961" s="10" t="str">
        <f>IFERROR(VLOOKUP(B1961,'Pre-Summary'!$AZ$6:$BE$65,4,FALSE),"")</f>
        <v/>
      </c>
      <c r="AK1961" s="10" t="str">
        <f>IFERROR(VLOOKUP(B1961,'Pre-Summary'!$AZ$6:$BE$65,6,FALSE),"")</f>
        <v/>
      </c>
      <c r="AL1961" s="10" t="str">
        <f>IFERROR(VLOOKUP(B1961,'Pre-Summary'!$BG$6:$BL$44,3,FALSE),"")</f>
        <v/>
      </c>
      <c r="AM1961" s="10" t="str">
        <f>IFERROR(VLOOKUP(B1961,'Pre-Summary'!$BG$6:$BL$44,4,FALSE),"")</f>
        <v/>
      </c>
    </row>
    <row r="1962" spans="2:39" ht="15" customHeight="1" x14ac:dyDescent="0.3">
      <c r="B1962">
        <v>195.9</v>
      </c>
      <c r="C1962" t="str">
        <f>IFERROR(VLOOKUP(B1962,'Pre-Summary'!$DI$6:$DM$23,4,FALSE),"")</f>
        <v/>
      </c>
      <c r="D1962" s="10" t="str">
        <f>IFERROR(VLOOKUP(B1962,'Pre-Summary'!$AT$6:$AX$14,5,FALSE),D1961)</f>
        <v>Wolfe v3: went back to modified wolfe + EDTA and switched CuSO4 to CUCl2</v>
      </c>
      <c r="E1962" s="10" t="str">
        <f>IFERROR(VLOOKUP(B1962,'Pre-Summary'!$AT$6:$AX$15,4,FALSE),"")</f>
        <v/>
      </c>
      <c r="F1962">
        <f>IFERROR(VLOOKUP(B1962,'Pre-Summary'!$AL$6:$AQ$13,6,FALSE),F1961)</f>
        <v>5.9405263157894746E-2</v>
      </c>
      <c r="G1962" t="str">
        <f>IFERROR(VLOOKUP(B1962,'Pre-Summary'!$AE$6:$AJ$85,3,FALSE),"")</f>
        <v/>
      </c>
      <c r="H1962" t="str">
        <f>IFERROR(VLOOKUP(B1962,'Pre-Summary'!$AE$6:$AJ$85,4,FALSE),"")</f>
        <v/>
      </c>
      <c r="I1962" t="str">
        <f>IFERROR(VLOOKUP(B1962,'Pre-Summary'!$AE$6:$AJ$85,5,FALSE),"")</f>
        <v/>
      </c>
      <c r="J1962" s="45" t="str">
        <f>IFERROR(VLOOKUP(B1962,'Pre-Summary'!$AE$6:$AJ$85,6, FALSE),"")</f>
        <v/>
      </c>
      <c r="K1962" s="45" t="str">
        <f>IFERROR(VLOOKUP(B1962,'Pre-Summary'!$DE$6:$DG$61,3,FALSE),"")</f>
        <v/>
      </c>
      <c r="L1962" s="45" t="str">
        <f>IFERROR(VLOOKUP(B1962,'Pre-Summary'!$CU$6:$CW$36,3,FALSE),"")</f>
        <v/>
      </c>
      <c r="M1962" s="45" t="str">
        <f>IFERROR(VLOOKUP(B1962,'Pre-Summary'!$BW$6:$BY$58,2,FALSE),"")</f>
        <v/>
      </c>
      <c r="N1962" s="45" t="str">
        <f>IFERROR(VLOOKUP(B1962,'Pre-Summary'!$CD$6:$CF$64,2,FALSE),"")</f>
        <v/>
      </c>
      <c r="O1962" s="99">
        <f>IFERROR(VLOOKUP(B1962,'Pre-Summary'!$BO$6:$BQ$48,3, FALSE),O1961)</f>
        <v>1.3480000000000001</v>
      </c>
      <c r="P1962" s="99">
        <f>IFERROR(VLOOKUP(B1962,'Pre-Summary'!$BS$6:$BU$35,3,FALSE),P1961)</f>
        <v>0.33700000000000002</v>
      </c>
      <c r="Q1962" s="54">
        <f t="shared" si="90"/>
        <v>4</v>
      </c>
      <c r="R1962" s="53">
        <f>IFERROR(VLOOKUP(B1962,'Pre-Summary'!$BG$6:$BM$44,7,FALSE),R1963)</f>
        <v>6.2037889674656205E-2</v>
      </c>
      <c r="S1962" s="53">
        <f>IFERROR(VLOOKUP(B1962,'Pre-Summary'!$BG$6:$BM$44,6,FALSE),S1963)</f>
        <v>5.8400630293479062E-2</v>
      </c>
      <c r="T1962" s="45" t="str">
        <f>IFERROR(VLOOKUP(B1962,'Pre-Summary'!$Y$6:$AC$83, 3,FALSE),"")</f>
        <v/>
      </c>
      <c r="U1962" s="45" t="str">
        <f>IFERROR(VLOOKUP(B1962,'Pre-Summary'!$Y$6:$AC$83, 4,FALSE),"")</f>
        <v/>
      </c>
      <c r="V1962" t="str">
        <f>IFERROR(VLOOKUP(B1962,'Pre-Summary'!$Y$6:$AC$83, 5,FALSE),"")</f>
        <v/>
      </c>
      <c r="W1962" s="45" t="str">
        <f>IFERROR(VLOOKUP(B1962,'Pre-Summary'!$Y$6:$AD$83,6,FALSE),"")</f>
        <v/>
      </c>
      <c r="X1962" t="str">
        <f>IFERROR(VLOOKUP('Pre-Summary'!$DB$6:$DD$63,3,FALSE),"")</f>
        <v/>
      </c>
      <c r="Y1962" t="str">
        <f>IFERROR(VLOOKUP(B1962,'Pre-Summary'!$CR$6:$CT$36,3,FALSE),"")</f>
        <v/>
      </c>
      <c r="Z1962" s="45" t="str">
        <f>IFERROR(VLOOKUP(B1962,'Pre-Summary'!$BZ$6:$CB$63,2,FALSE),"")</f>
        <v/>
      </c>
      <c r="AA1962" s="45" t="str">
        <f>IFERROR(VLOOKUP(B1962,'Pre-Summary'!$CG$6:$CI$70,2,FALSE),"")</f>
        <v/>
      </c>
      <c r="AB1962" s="99">
        <f>IFERROR(VLOOKUP(B1962,'Pre-Summary'!$A$6:$P$178,9,FALSE),AB1963)</f>
        <v>0.28650277594241247</v>
      </c>
      <c r="AC1962" s="10">
        <f>IFERROR(VLOOKUP(Summary!B1962,'Pre-Summary'!$A$6:$P$184,5, FALSE)/100,AC1963)</f>
        <v>0.98345599999999989</v>
      </c>
      <c r="AD1962" s="10">
        <f>IFERROR(VLOOKUP(Summary!B1962,'Pre-Summary'!$A$6:$P$184,3, FALSE)/100,AD1963)</f>
        <v>1.2428333333333333E-2</v>
      </c>
      <c r="AE1962" s="10">
        <f>IFERROR(VLOOKUP(Summary!B1962,'Pre-Summary'!$A$6:$P$184,7, FALSE)/100,AE1963)</f>
        <v>4.1156666666666668E-3</v>
      </c>
      <c r="AF1962" s="99">
        <f t="shared" si="91"/>
        <v>3.5607520003376161E-3</v>
      </c>
      <c r="AG1962" s="99">
        <f t="shared" si="92"/>
        <v>1.1791499248536557E-3</v>
      </c>
      <c r="AH1962" s="10" t="str">
        <f>IFERROR(VLOOKUP(B1962,'Pre-Summary'!$AZ$6:$BE$65,3,FALSE),"")</f>
        <v/>
      </c>
      <c r="AI1962" s="10" t="str">
        <f>IFERROR(VLOOKUP(B1962,'Pre-Summary'!$AZ$6:$BE$65,5,FALSE),"")</f>
        <v/>
      </c>
      <c r="AJ1962" s="10" t="str">
        <f>IFERROR(VLOOKUP(B1962,'Pre-Summary'!$AZ$6:$BE$65,4,FALSE),"")</f>
        <v/>
      </c>
      <c r="AK1962" s="10" t="str">
        <f>IFERROR(VLOOKUP(B1962,'Pre-Summary'!$AZ$6:$BE$65,6,FALSE),"")</f>
        <v/>
      </c>
      <c r="AL1962" s="10" t="str">
        <f>IFERROR(VLOOKUP(B1962,'Pre-Summary'!$BG$6:$BL$44,3,FALSE),"")</f>
        <v/>
      </c>
      <c r="AM1962" s="10" t="str">
        <f>IFERROR(VLOOKUP(B1962,'Pre-Summary'!$BG$6:$BL$44,4,FALSE),"")</f>
        <v/>
      </c>
    </row>
    <row r="1963" spans="2:39" ht="15" customHeight="1" x14ac:dyDescent="0.3">
      <c r="B1963">
        <v>196</v>
      </c>
      <c r="C1963" t="str">
        <f>IFERROR(VLOOKUP(B1963,'Pre-Summary'!$DI$6:$DM$23,4,FALSE),"")</f>
        <v/>
      </c>
      <c r="D1963" s="10" t="str">
        <f>IFERROR(VLOOKUP(B1963,'Pre-Summary'!$AT$6:$AX$14,5,FALSE),D1962)</f>
        <v>Wolfe v3: went back to modified wolfe + EDTA and switched CuSO4 to CUCl2</v>
      </c>
      <c r="E1963" s="10" t="str">
        <f>IFERROR(VLOOKUP(B1963,'Pre-Summary'!$AT$6:$AX$15,4,FALSE),"")</f>
        <v/>
      </c>
      <c r="F1963">
        <f>IFERROR(VLOOKUP(B1963,'Pre-Summary'!$AL$6:$AQ$13,6,FALSE),F1962)</f>
        <v>5.9405263157894746E-2</v>
      </c>
      <c r="G1963" t="str">
        <f>IFERROR(VLOOKUP(B1963,'Pre-Summary'!$AE$6:$AJ$85,3,FALSE),"")</f>
        <v/>
      </c>
      <c r="H1963" t="str">
        <f>IFERROR(VLOOKUP(B1963,'Pre-Summary'!$AE$6:$AJ$85,4,FALSE),"")</f>
        <v/>
      </c>
      <c r="I1963" t="str">
        <f>IFERROR(VLOOKUP(B1963,'Pre-Summary'!$AE$6:$AJ$85,5,FALSE),"")</f>
        <v/>
      </c>
      <c r="J1963" s="45" t="str">
        <f>IFERROR(VLOOKUP(B1963,'Pre-Summary'!$AE$6:$AJ$85,6, FALSE),"")</f>
        <v/>
      </c>
      <c r="K1963" s="45" t="str">
        <f>IFERROR(VLOOKUP(B1963,'Pre-Summary'!$DE$6:$DG$61,3,FALSE),"")</f>
        <v/>
      </c>
      <c r="L1963" s="45" t="str">
        <f>IFERROR(VLOOKUP(B1963,'Pre-Summary'!$CU$6:$CW$36,3,FALSE),"")</f>
        <v/>
      </c>
      <c r="M1963" s="45" t="str">
        <f>IFERROR(VLOOKUP(B1963,'Pre-Summary'!$BW$6:$BY$58,2,FALSE),"")</f>
        <v/>
      </c>
      <c r="N1963" s="45" t="str">
        <f>IFERROR(VLOOKUP(B1963,'Pre-Summary'!$CD$6:$CF$64,2,FALSE),"")</f>
        <v/>
      </c>
      <c r="O1963" s="99">
        <f>IFERROR(VLOOKUP(B1963,'Pre-Summary'!$BO$6:$BQ$48,3, FALSE),O1962)</f>
        <v>1.3480000000000001</v>
      </c>
      <c r="P1963" s="99">
        <f>IFERROR(VLOOKUP(B1963,'Pre-Summary'!$BS$6:$BU$35,3,FALSE),P1962)</f>
        <v>0.33700000000000002</v>
      </c>
      <c r="Q1963" s="54">
        <f t="shared" si="90"/>
        <v>4</v>
      </c>
      <c r="R1963" s="53">
        <f>IFERROR(VLOOKUP(B1963,'Pre-Summary'!$BG$6:$BM$44,7,FALSE),R1964)</f>
        <v>6.2037889674656205E-2</v>
      </c>
      <c r="S1963" s="53">
        <f>IFERROR(VLOOKUP(B1963,'Pre-Summary'!$BG$6:$BM$44,6,FALSE),S1964)</f>
        <v>5.8400630293479062E-2</v>
      </c>
      <c r="T1963" s="45" t="str">
        <f>IFERROR(VLOOKUP(B1963,'Pre-Summary'!$Y$6:$AC$83, 3,FALSE),"")</f>
        <v/>
      </c>
      <c r="U1963" s="45" t="str">
        <f>IFERROR(VLOOKUP(B1963,'Pre-Summary'!$Y$6:$AC$83, 4,FALSE),"")</f>
        <v/>
      </c>
      <c r="V1963" t="str">
        <f>IFERROR(VLOOKUP(B1963,'Pre-Summary'!$Y$6:$AC$83, 5,FALSE),"")</f>
        <v/>
      </c>
      <c r="W1963" s="45" t="str">
        <f>IFERROR(VLOOKUP(B1963,'Pre-Summary'!$Y$6:$AD$83,6,FALSE),"")</f>
        <v/>
      </c>
      <c r="X1963" t="str">
        <f>IFERROR(VLOOKUP('Pre-Summary'!$DB$6:$DD$63,3,FALSE),"")</f>
        <v/>
      </c>
      <c r="Y1963" t="str">
        <f>IFERROR(VLOOKUP(B1963,'Pre-Summary'!$CR$6:$CT$36,3,FALSE),"")</f>
        <v/>
      </c>
      <c r="Z1963" s="45" t="str">
        <f>IFERROR(VLOOKUP(B1963,'Pre-Summary'!$BZ$6:$CB$63,2,FALSE),"")</f>
        <v/>
      </c>
      <c r="AA1963" s="45" t="str">
        <f>IFERROR(VLOOKUP(B1963,'Pre-Summary'!$CG$6:$CI$70,2,FALSE),"")</f>
        <v/>
      </c>
      <c r="AB1963" s="99">
        <f>IFERROR(VLOOKUP(B1963,'Pre-Summary'!$A$6:$P$178,9,FALSE),AB1964)</f>
        <v>0.28650277594241247</v>
      </c>
      <c r="AC1963" s="10">
        <f>IFERROR(VLOOKUP(Summary!B1963,'Pre-Summary'!$A$6:$P$184,5, FALSE)/100,AC1964)</f>
        <v>0.98345599999999989</v>
      </c>
      <c r="AD1963" s="10">
        <f>IFERROR(VLOOKUP(Summary!B1963,'Pre-Summary'!$A$6:$P$184,3, FALSE)/100,AD1964)</f>
        <v>1.2428333333333333E-2</v>
      </c>
      <c r="AE1963" s="10">
        <f>IFERROR(VLOOKUP(Summary!B1963,'Pre-Summary'!$A$6:$P$184,7, FALSE)/100,AE1964)</f>
        <v>4.1156666666666668E-3</v>
      </c>
      <c r="AF1963" s="99">
        <f t="shared" si="91"/>
        <v>3.5607520003376161E-3</v>
      </c>
      <c r="AG1963" s="99">
        <f t="shared" si="92"/>
        <v>1.1791499248536557E-3</v>
      </c>
      <c r="AH1963" s="10" t="str">
        <f>IFERROR(VLOOKUP(B1963,'Pre-Summary'!$AZ$6:$BE$65,3,FALSE),"")</f>
        <v/>
      </c>
      <c r="AI1963" s="10" t="str">
        <f>IFERROR(VLOOKUP(B1963,'Pre-Summary'!$AZ$6:$BE$65,5,FALSE),"")</f>
        <v/>
      </c>
      <c r="AJ1963" s="10" t="str">
        <f>IFERROR(VLOOKUP(B1963,'Pre-Summary'!$AZ$6:$BE$65,4,FALSE),"")</f>
        <v/>
      </c>
      <c r="AK1963" s="10" t="str">
        <f>IFERROR(VLOOKUP(B1963,'Pre-Summary'!$AZ$6:$BE$65,6,FALSE),"")</f>
        <v/>
      </c>
      <c r="AL1963" s="10" t="str">
        <f>IFERROR(VLOOKUP(B1963,'Pre-Summary'!$BG$6:$BL$44,3,FALSE),"")</f>
        <v/>
      </c>
      <c r="AM1963" s="10" t="str">
        <f>IFERROR(VLOOKUP(B1963,'Pre-Summary'!$BG$6:$BL$44,4,FALSE),"")</f>
        <v/>
      </c>
    </row>
    <row r="1964" spans="2:39" ht="15" customHeight="1" x14ac:dyDescent="0.3">
      <c r="B1964">
        <v>196.1</v>
      </c>
      <c r="C1964" t="str">
        <f>IFERROR(VLOOKUP(B1964,'Pre-Summary'!$DI$6:$DM$23,4,FALSE),"")</f>
        <v/>
      </c>
      <c r="D1964" s="10" t="str">
        <f>IFERROR(VLOOKUP(B1964,'Pre-Summary'!$AT$6:$AX$14,5,FALSE),D1963)</f>
        <v>Wolfe v3: went back to modified wolfe + EDTA and switched CuSO4 to CUCl2</v>
      </c>
      <c r="E1964" s="10" t="str">
        <f>IFERROR(VLOOKUP(B1964,'Pre-Summary'!$AT$6:$AX$15,4,FALSE),"")</f>
        <v/>
      </c>
      <c r="F1964">
        <f>IFERROR(VLOOKUP(B1964,'Pre-Summary'!$AL$6:$AQ$13,6,FALSE),F1963)</f>
        <v>5.9405263157894746E-2</v>
      </c>
      <c r="G1964" t="str">
        <f>IFERROR(VLOOKUP(B1964,'Pre-Summary'!$AE$6:$AJ$85,3,FALSE),"")</f>
        <v/>
      </c>
      <c r="H1964" t="str">
        <f>IFERROR(VLOOKUP(B1964,'Pre-Summary'!$AE$6:$AJ$85,4,FALSE),"")</f>
        <v/>
      </c>
      <c r="I1964" t="str">
        <f>IFERROR(VLOOKUP(B1964,'Pre-Summary'!$AE$6:$AJ$85,5,FALSE),"")</f>
        <v/>
      </c>
      <c r="J1964" s="45" t="str">
        <f>IFERROR(VLOOKUP(B1964,'Pre-Summary'!$AE$6:$AJ$85,6, FALSE),"")</f>
        <v/>
      </c>
      <c r="K1964" s="45" t="str">
        <f>IFERROR(VLOOKUP(B1964,'Pre-Summary'!$DE$6:$DG$61,3,FALSE),"")</f>
        <v/>
      </c>
      <c r="L1964" s="45" t="str">
        <f>IFERROR(VLOOKUP(B1964,'Pre-Summary'!$CU$6:$CW$36,3,FALSE),"")</f>
        <v/>
      </c>
      <c r="M1964" s="45" t="str">
        <f>IFERROR(VLOOKUP(B1964,'Pre-Summary'!$BW$6:$BY$58,2,FALSE),"")</f>
        <v/>
      </c>
      <c r="N1964" s="45" t="str">
        <f>IFERROR(VLOOKUP(B1964,'Pre-Summary'!$CD$6:$CF$64,2,FALSE),"")</f>
        <v/>
      </c>
      <c r="O1964" s="99">
        <f>IFERROR(VLOOKUP(B1964,'Pre-Summary'!$BO$6:$BQ$48,3, FALSE),O1963)</f>
        <v>1.3480000000000001</v>
      </c>
      <c r="P1964" s="99">
        <f>IFERROR(VLOOKUP(B1964,'Pre-Summary'!$BS$6:$BU$35,3,FALSE),P1963)</f>
        <v>0.33700000000000002</v>
      </c>
      <c r="Q1964" s="54">
        <f t="shared" si="90"/>
        <v>4</v>
      </c>
      <c r="R1964" s="53">
        <f>IFERROR(VLOOKUP(B1964,'Pre-Summary'!$BG$6:$BM$44,7,FALSE),R1965)</f>
        <v>6.2037889674656205E-2</v>
      </c>
      <c r="S1964" s="53">
        <f>IFERROR(VLOOKUP(B1964,'Pre-Summary'!$BG$6:$BM$44,6,FALSE),S1965)</f>
        <v>5.8400630293479062E-2</v>
      </c>
      <c r="T1964" s="45" t="str">
        <f>IFERROR(VLOOKUP(B1964,'Pre-Summary'!$Y$6:$AC$83, 3,FALSE),"")</f>
        <v/>
      </c>
      <c r="U1964" s="45" t="str">
        <f>IFERROR(VLOOKUP(B1964,'Pre-Summary'!$Y$6:$AC$83, 4,FALSE),"")</f>
        <v/>
      </c>
      <c r="V1964" t="str">
        <f>IFERROR(VLOOKUP(B1964,'Pre-Summary'!$Y$6:$AC$83, 5,FALSE),"")</f>
        <v/>
      </c>
      <c r="W1964" s="45" t="str">
        <f>IFERROR(VLOOKUP(B1964,'Pre-Summary'!$Y$6:$AD$83,6,FALSE),"")</f>
        <v/>
      </c>
      <c r="X1964" t="str">
        <f>IFERROR(VLOOKUP('Pre-Summary'!$DB$6:$DD$63,3,FALSE),"")</f>
        <v/>
      </c>
      <c r="Y1964" t="str">
        <f>IFERROR(VLOOKUP(B1964,'Pre-Summary'!$CR$6:$CT$36,3,FALSE),"")</f>
        <v/>
      </c>
      <c r="Z1964" s="45" t="str">
        <f>IFERROR(VLOOKUP(B1964,'Pre-Summary'!$BZ$6:$CB$63,2,FALSE),"")</f>
        <v/>
      </c>
      <c r="AA1964" s="45" t="str">
        <f>IFERROR(VLOOKUP(B1964,'Pre-Summary'!$CG$6:$CI$70,2,FALSE),"")</f>
        <v/>
      </c>
      <c r="AB1964" s="99">
        <f>IFERROR(VLOOKUP(B1964,'Pre-Summary'!$A$6:$P$178,9,FALSE),AB1965)</f>
        <v>0.28971323731013532</v>
      </c>
      <c r="AC1964" s="10">
        <f>IFERROR(VLOOKUP(Summary!B1964,'Pre-Summary'!$A$6:$P$184,5, FALSE)/100,AC1965)</f>
        <v>0.97274333333333329</v>
      </c>
      <c r="AD1964" s="10">
        <f>IFERROR(VLOOKUP(Summary!B1964,'Pre-Summary'!$A$6:$P$184,3, FALSE)/100,AD1965)</f>
        <v>1.8589666666666668E-2</v>
      </c>
      <c r="AE1964" s="10">
        <f>IFERROR(VLOOKUP(Summary!B1964,'Pre-Summary'!$A$6:$P$184,7, FALSE)/100,AE1965)</f>
        <v>8.679000000000001E-3</v>
      </c>
      <c r="AF1964" s="99">
        <f t="shared" si="91"/>
        <v>5.3856725105163126E-3</v>
      </c>
      <c r="AG1964" s="99">
        <f t="shared" si="92"/>
        <v>2.5144211866146649E-3</v>
      </c>
      <c r="AH1964" s="10" t="str">
        <f>IFERROR(VLOOKUP(B1964,'Pre-Summary'!$AZ$6:$BE$65,3,FALSE),"")</f>
        <v/>
      </c>
      <c r="AI1964" s="10" t="str">
        <f>IFERROR(VLOOKUP(B1964,'Pre-Summary'!$AZ$6:$BE$65,5,FALSE),"")</f>
        <v/>
      </c>
      <c r="AJ1964" s="10" t="str">
        <f>IFERROR(VLOOKUP(B1964,'Pre-Summary'!$AZ$6:$BE$65,4,FALSE),"")</f>
        <v/>
      </c>
      <c r="AK1964" s="10" t="str">
        <f>IFERROR(VLOOKUP(B1964,'Pre-Summary'!$AZ$6:$BE$65,6,FALSE),"")</f>
        <v/>
      </c>
      <c r="AL1964" s="10" t="str">
        <f>IFERROR(VLOOKUP(B1964,'Pre-Summary'!$BG$6:$BL$44,3,FALSE),"")</f>
        <v/>
      </c>
      <c r="AM1964" s="10" t="str">
        <f>IFERROR(VLOOKUP(B1964,'Pre-Summary'!$BG$6:$BL$44,4,FALSE),"")</f>
        <v/>
      </c>
    </row>
    <row r="1965" spans="2:39" ht="15" customHeight="1" x14ac:dyDescent="0.3">
      <c r="B1965">
        <v>196.2</v>
      </c>
      <c r="C1965" t="str">
        <f>IFERROR(VLOOKUP(B1965,'Pre-Summary'!$DI$6:$DM$23,4,FALSE),"")</f>
        <v/>
      </c>
      <c r="D1965" s="10" t="str">
        <f>IFERROR(VLOOKUP(B1965,'Pre-Summary'!$AT$6:$AX$14,5,FALSE),D1964)</f>
        <v>Wolfe v3: went back to modified wolfe + EDTA and switched CuSO4 to CUCl2</v>
      </c>
      <c r="E1965" s="10" t="str">
        <f>IFERROR(VLOOKUP(B1965,'Pre-Summary'!$AT$6:$AX$15,4,FALSE),"")</f>
        <v/>
      </c>
      <c r="F1965">
        <f>IFERROR(VLOOKUP(B1965,'Pre-Summary'!$AL$6:$AQ$13,6,FALSE),F1964)</f>
        <v>5.9405263157894746E-2</v>
      </c>
      <c r="G1965" t="str">
        <f>IFERROR(VLOOKUP(B1965,'Pre-Summary'!$AE$6:$AJ$85,3,FALSE),"")</f>
        <v/>
      </c>
      <c r="H1965" t="str">
        <f>IFERROR(VLOOKUP(B1965,'Pre-Summary'!$AE$6:$AJ$85,4,FALSE),"")</f>
        <v/>
      </c>
      <c r="I1965" t="str">
        <f>IFERROR(VLOOKUP(B1965,'Pre-Summary'!$AE$6:$AJ$85,5,FALSE),"")</f>
        <v/>
      </c>
      <c r="J1965" s="45" t="str">
        <f>IFERROR(VLOOKUP(B1965,'Pre-Summary'!$AE$6:$AJ$85,6, FALSE),"")</f>
        <v/>
      </c>
      <c r="K1965" s="45" t="str">
        <f>IFERROR(VLOOKUP(B1965,'Pre-Summary'!$DE$6:$DG$61,3,FALSE),"")</f>
        <v/>
      </c>
      <c r="L1965" s="45" t="str">
        <f>IFERROR(VLOOKUP(B1965,'Pre-Summary'!$CU$6:$CW$36,3,FALSE),"")</f>
        <v/>
      </c>
      <c r="M1965" s="45" t="str">
        <f>IFERROR(VLOOKUP(B1965,'Pre-Summary'!$BW$6:$BY$58,2,FALSE),"")</f>
        <v/>
      </c>
      <c r="N1965" s="45" t="str">
        <f>IFERROR(VLOOKUP(B1965,'Pre-Summary'!$CD$6:$CF$64,2,FALSE),"")</f>
        <v/>
      </c>
      <c r="O1965" s="99">
        <f>IFERROR(VLOOKUP(B1965,'Pre-Summary'!$BO$6:$BQ$48,3, FALSE),O1964)</f>
        <v>1.3480000000000001</v>
      </c>
      <c r="P1965" s="99">
        <f>IFERROR(VLOOKUP(B1965,'Pre-Summary'!$BS$6:$BU$35,3,FALSE),P1964)</f>
        <v>0.33700000000000002</v>
      </c>
      <c r="Q1965" s="54">
        <f t="shared" si="90"/>
        <v>4</v>
      </c>
      <c r="R1965" s="53">
        <f>IFERROR(VLOOKUP(B1965,'Pre-Summary'!$BG$6:$BM$44,7,FALSE),R1966)</f>
        <v>6.2037889674656205E-2</v>
      </c>
      <c r="S1965" s="53">
        <f>IFERROR(VLOOKUP(B1965,'Pre-Summary'!$BG$6:$BM$44,6,FALSE),S1966)</f>
        <v>5.8400630293479062E-2</v>
      </c>
      <c r="T1965" s="45" t="str">
        <f>IFERROR(VLOOKUP(B1965,'Pre-Summary'!$Y$6:$AC$83, 3,FALSE),"")</f>
        <v/>
      </c>
      <c r="U1965" s="45" t="str">
        <f>IFERROR(VLOOKUP(B1965,'Pre-Summary'!$Y$6:$AC$83, 4,FALSE),"")</f>
        <v/>
      </c>
      <c r="V1965" t="str">
        <f>IFERROR(VLOOKUP(B1965,'Pre-Summary'!$Y$6:$AC$83, 5,FALSE),"")</f>
        <v/>
      </c>
      <c r="W1965" s="45" t="str">
        <f>IFERROR(VLOOKUP(B1965,'Pre-Summary'!$Y$6:$AD$83,6,FALSE),"")</f>
        <v/>
      </c>
      <c r="X1965" t="str">
        <f>IFERROR(VLOOKUP('Pre-Summary'!$DB$6:$DD$63,3,FALSE),"")</f>
        <v/>
      </c>
      <c r="Y1965" t="str">
        <f>IFERROR(VLOOKUP(B1965,'Pre-Summary'!$CR$6:$CT$36,3,FALSE),"")</f>
        <v/>
      </c>
      <c r="Z1965" s="45" t="str">
        <f>IFERROR(VLOOKUP(B1965,'Pre-Summary'!$BZ$6:$CB$63,2,FALSE),"")</f>
        <v/>
      </c>
      <c r="AA1965" s="45" t="str">
        <f>IFERROR(VLOOKUP(B1965,'Pre-Summary'!$CG$6:$CI$70,2,FALSE),"")</f>
        <v/>
      </c>
      <c r="AB1965" s="99">
        <f>IFERROR(VLOOKUP(B1965,'Pre-Summary'!$A$6:$P$178,9,FALSE),AB1966)</f>
        <v>0.28971323731013532</v>
      </c>
      <c r="AC1965" s="10">
        <f>IFERROR(VLOOKUP(Summary!B1965,'Pre-Summary'!$A$6:$P$184,5, FALSE)/100,AC1966)</f>
        <v>0.97274333333333329</v>
      </c>
      <c r="AD1965" s="10">
        <f>IFERROR(VLOOKUP(Summary!B1965,'Pre-Summary'!$A$6:$P$184,3, FALSE)/100,AD1966)</f>
        <v>1.8589666666666668E-2</v>
      </c>
      <c r="AE1965" s="10">
        <f>IFERROR(VLOOKUP(Summary!B1965,'Pre-Summary'!$A$6:$P$184,7, FALSE)/100,AE1966)</f>
        <v>8.679000000000001E-3</v>
      </c>
      <c r="AF1965" s="99">
        <f t="shared" si="91"/>
        <v>5.3856725105163126E-3</v>
      </c>
      <c r="AG1965" s="99">
        <f t="shared" si="92"/>
        <v>2.5144211866146649E-3</v>
      </c>
      <c r="AH1965" s="10" t="str">
        <f>IFERROR(VLOOKUP(B1965,'Pre-Summary'!$AZ$6:$BE$65,3,FALSE),"")</f>
        <v/>
      </c>
      <c r="AI1965" s="10" t="str">
        <f>IFERROR(VLOOKUP(B1965,'Pre-Summary'!$AZ$6:$BE$65,5,FALSE),"")</f>
        <v/>
      </c>
      <c r="AJ1965" s="10" t="str">
        <f>IFERROR(VLOOKUP(B1965,'Pre-Summary'!$AZ$6:$BE$65,4,FALSE),"")</f>
        <v/>
      </c>
      <c r="AK1965" s="10" t="str">
        <f>IFERROR(VLOOKUP(B1965,'Pre-Summary'!$AZ$6:$BE$65,6,FALSE),"")</f>
        <v/>
      </c>
      <c r="AL1965" s="10" t="str">
        <f>IFERROR(VLOOKUP(B1965,'Pre-Summary'!$BG$6:$BL$44,3,FALSE),"")</f>
        <v/>
      </c>
      <c r="AM1965" s="10" t="str">
        <f>IFERROR(VLOOKUP(B1965,'Pre-Summary'!$BG$6:$BL$44,4,FALSE),"")</f>
        <v/>
      </c>
    </row>
    <row r="1966" spans="2:39" ht="15" customHeight="1" x14ac:dyDescent="0.3">
      <c r="B1966">
        <v>196.3</v>
      </c>
      <c r="C1966" t="str">
        <f>IFERROR(VLOOKUP(B1966,'Pre-Summary'!$DI$6:$DM$23,4,FALSE),"")</f>
        <v/>
      </c>
      <c r="D1966" s="10" t="str">
        <f>IFERROR(VLOOKUP(B1966,'Pre-Summary'!$AT$6:$AX$14,5,FALSE),D1965)</f>
        <v>Wolfe v3: went back to modified wolfe + EDTA and switched CuSO4 to CUCl2</v>
      </c>
      <c r="E1966" s="10" t="str">
        <f>IFERROR(VLOOKUP(B1966,'Pre-Summary'!$AT$6:$AX$15,4,FALSE),"")</f>
        <v/>
      </c>
      <c r="F1966">
        <f>IFERROR(VLOOKUP(B1966,'Pre-Summary'!$AL$6:$AQ$13,6,FALSE),F1965)</f>
        <v>5.9405263157894746E-2</v>
      </c>
      <c r="G1966" t="str">
        <f>IFERROR(VLOOKUP(B1966,'Pre-Summary'!$AE$6:$AJ$85,3,FALSE),"")</f>
        <v/>
      </c>
      <c r="H1966" t="str">
        <f>IFERROR(VLOOKUP(B1966,'Pre-Summary'!$AE$6:$AJ$85,4,FALSE),"")</f>
        <v/>
      </c>
      <c r="I1966" t="str">
        <f>IFERROR(VLOOKUP(B1966,'Pre-Summary'!$AE$6:$AJ$85,5,FALSE),"")</f>
        <v/>
      </c>
      <c r="J1966" s="45" t="str">
        <f>IFERROR(VLOOKUP(B1966,'Pre-Summary'!$AE$6:$AJ$85,6, FALSE),"")</f>
        <v/>
      </c>
      <c r="K1966" s="45" t="str">
        <f>IFERROR(VLOOKUP(B1966,'Pre-Summary'!$DE$6:$DG$61,3,FALSE),"")</f>
        <v/>
      </c>
      <c r="L1966" s="45" t="str">
        <f>IFERROR(VLOOKUP(B1966,'Pre-Summary'!$CU$6:$CW$36,3,FALSE),"")</f>
        <v/>
      </c>
      <c r="M1966" s="45" t="str">
        <f>IFERROR(VLOOKUP(B1966,'Pre-Summary'!$BW$6:$BY$58,2,FALSE),"")</f>
        <v/>
      </c>
      <c r="N1966" s="45" t="str">
        <f>IFERROR(VLOOKUP(B1966,'Pre-Summary'!$CD$6:$CF$64,2,FALSE),"")</f>
        <v/>
      </c>
      <c r="O1966" s="99">
        <f>IFERROR(VLOOKUP(B1966,'Pre-Summary'!$BO$6:$BQ$48,3, FALSE),O1965)</f>
        <v>1.3480000000000001</v>
      </c>
      <c r="P1966" s="99">
        <f>IFERROR(VLOOKUP(B1966,'Pre-Summary'!$BS$6:$BU$35,3,FALSE),P1965)</f>
        <v>0.33700000000000002</v>
      </c>
      <c r="Q1966" s="54">
        <f t="shared" si="90"/>
        <v>4</v>
      </c>
      <c r="R1966" s="53">
        <f>IFERROR(VLOOKUP(B1966,'Pre-Summary'!$BG$6:$BM$44,7,FALSE),R1967)</f>
        <v>6.2037889674656205E-2</v>
      </c>
      <c r="S1966" s="53">
        <f>IFERROR(VLOOKUP(B1966,'Pre-Summary'!$BG$6:$BM$44,6,FALSE),S1967)</f>
        <v>5.8400630293479062E-2</v>
      </c>
      <c r="T1966" s="45" t="str">
        <f>IFERROR(VLOOKUP(B1966,'Pre-Summary'!$Y$6:$AC$83, 3,FALSE),"")</f>
        <v/>
      </c>
      <c r="U1966" s="45" t="str">
        <f>IFERROR(VLOOKUP(B1966,'Pre-Summary'!$Y$6:$AC$83, 4,FALSE),"")</f>
        <v/>
      </c>
      <c r="V1966" t="str">
        <f>IFERROR(VLOOKUP(B1966,'Pre-Summary'!$Y$6:$AC$83, 5,FALSE),"")</f>
        <v/>
      </c>
      <c r="W1966" s="45" t="str">
        <f>IFERROR(VLOOKUP(B1966,'Pre-Summary'!$Y$6:$AD$83,6,FALSE),"")</f>
        <v/>
      </c>
      <c r="X1966" t="str">
        <f>IFERROR(VLOOKUP('Pre-Summary'!$DB$6:$DD$63,3,FALSE),"")</f>
        <v/>
      </c>
      <c r="Y1966" t="str">
        <f>IFERROR(VLOOKUP(B1966,'Pre-Summary'!$CR$6:$CT$36,3,FALSE),"")</f>
        <v/>
      </c>
      <c r="Z1966" s="45" t="str">
        <f>IFERROR(VLOOKUP(B1966,'Pre-Summary'!$BZ$6:$CB$63,2,FALSE),"")</f>
        <v/>
      </c>
      <c r="AA1966" s="45" t="str">
        <f>IFERROR(VLOOKUP(B1966,'Pre-Summary'!$CG$6:$CI$70,2,FALSE),"")</f>
        <v/>
      </c>
      <c r="AB1966" s="99">
        <f>IFERROR(VLOOKUP(B1966,'Pre-Summary'!$A$6:$P$178,9,FALSE),AB1967)</f>
        <v>0.28971323731013532</v>
      </c>
      <c r="AC1966" s="10">
        <f>IFERROR(VLOOKUP(Summary!B1966,'Pre-Summary'!$A$6:$P$184,5, FALSE)/100,AC1967)</f>
        <v>0.97274333333333329</v>
      </c>
      <c r="AD1966" s="10">
        <f>IFERROR(VLOOKUP(Summary!B1966,'Pre-Summary'!$A$6:$P$184,3, FALSE)/100,AD1967)</f>
        <v>1.8589666666666668E-2</v>
      </c>
      <c r="AE1966" s="10">
        <f>IFERROR(VLOOKUP(Summary!B1966,'Pre-Summary'!$A$6:$P$184,7, FALSE)/100,AE1967)</f>
        <v>8.679000000000001E-3</v>
      </c>
      <c r="AF1966" s="99">
        <f t="shared" si="91"/>
        <v>5.3856725105163126E-3</v>
      </c>
      <c r="AG1966" s="99">
        <f t="shared" si="92"/>
        <v>2.5144211866146649E-3</v>
      </c>
      <c r="AH1966" s="10" t="str">
        <f>IFERROR(VLOOKUP(B1966,'Pre-Summary'!$AZ$6:$BE$65,3,FALSE),"")</f>
        <v/>
      </c>
      <c r="AI1966" s="10" t="str">
        <f>IFERROR(VLOOKUP(B1966,'Pre-Summary'!$AZ$6:$BE$65,5,FALSE),"")</f>
        <v/>
      </c>
      <c r="AJ1966" s="10" t="str">
        <f>IFERROR(VLOOKUP(B1966,'Pre-Summary'!$AZ$6:$BE$65,4,FALSE),"")</f>
        <v/>
      </c>
      <c r="AK1966" s="10" t="str">
        <f>IFERROR(VLOOKUP(B1966,'Pre-Summary'!$AZ$6:$BE$65,6,FALSE),"")</f>
        <v/>
      </c>
      <c r="AL1966" s="10" t="str">
        <f>IFERROR(VLOOKUP(B1966,'Pre-Summary'!$BG$6:$BL$44,3,FALSE),"")</f>
        <v/>
      </c>
      <c r="AM1966" s="10" t="str">
        <f>IFERROR(VLOOKUP(B1966,'Pre-Summary'!$BG$6:$BL$44,4,FALSE),"")</f>
        <v/>
      </c>
    </row>
    <row r="1967" spans="2:39" ht="15" customHeight="1" x14ac:dyDescent="0.3">
      <c r="B1967">
        <v>196.4</v>
      </c>
      <c r="C1967" t="str">
        <f>IFERROR(VLOOKUP(B1967,'Pre-Summary'!$DI$6:$DM$23,4,FALSE),"")</f>
        <v/>
      </c>
      <c r="D1967" s="10" t="str">
        <f>IFERROR(VLOOKUP(B1967,'Pre-Summary'!$AT$6:$AX$14,5,FALSE),D1966)</f>
        <v>Wolfe v3: went back to modified wolfe + EDTA and switched CuSO4 to CUCl2</v>
      </c>
      <c r="E1967" s="10" t="str">
        <f>IFERROR(VLOOKUP(B1967,'Pre-Summary'!$AT$6:$AX$15,4,FALSE),"")</f>
        <v/>
      </c>
      <c r="F1967">
        <f>IFERROR(VLOOKUP(B1967,'Pre-Summary'!$AL$6:$AQ$13,6,FALSE),F1966)</f>
        <v>5.9405263157894746E-2</v>
      </c>
      <c r="G1967" t="str">
        <f>IFERROR(VLOOKUP(B1967,'Pre-Summary'!$AE$6:$AJ$85,3,FALSE),"")</f>
        <v/>
      </c>
      <c r="H1967" t="str">
        <f>IFERROR(VLOOKUP(B1967,'Pre-Summary'!$AE$6:$AJ$85,4,FALSE),"")</f>
        <v/>
      </c>
      <c r="I1967" t="str">
        <f>IFERROR(VLOOKUP(B1967,'Pre-Summary'!$AE$6:$AJ$85,5,FALSE),"")</f>
        <v/>
      </c>
      <c r="J1967" s="45" t="str">
        <f>IFERROR(VLOOKUP(B1967,'Pre-Summary'!$AE$6:$AJ$85,6, FALSE),"")</f>
        <v/>
      </c>
      <c r="K1967" s="45" t="str">
        <f>IFERROR(VLOOKUP(B1967,'Pre-Summary'!$DE$6:$DG$61,3,FALSE),"")</f>
        <v/>
      </c>
      <c r="L1967" s="45" t="str">
        <f>IFERROR(VLOOKUP(B1967,'Pre-Summary'!$CU$6:$CW$36,3,FALSE),"")</f>
        <v/>
      </c>
      <c r="M1967" s="45" t="str">
        <f>IFERROR(VLOOKUP(B1967,'Pre-Summary'!$BW$6:$BY$58,2,FALSE),"")</f>
        <v/>
      </c>
      <c r="N1967" s="45" t="str">
        <f>IFERROR(VLOOKUP(B1967,'Pre-Summary'!$CD$6:$CF$64,2,FALSE),"")</f>
        <v/>
      </c>
      <c r="O1967" s="99">
        <f>IFERROR(VLOOKUP(B1967,'Pre-Summary'!$BO$6:$BQ$48,3, FALSE),O1966)</f>
        <v>1.3480000000000001</v>
      </c>
      <c r="P1967" s="99">
        <f>IFERROR(VLOOKUP(B1967,'Pre-Summary'!$BS$6:$BU$35,3,FALSE),P1966)</f>
        <v>0.33700000000000002</v>
      </c>
      <c r="Q1967" s="54">
        <f t="shared" si="90"/>
        <v>4</v>
      </c>
      <c r="R1967" s="53">
        <f>IFERROR(VLOOKUP(B1967,'Pre-Summary'!$BG$6:$BM$44,7,FALSE),R1968)</f>
        <v>6.2037889674656205E-2</v>
      </c>
      <c r="S1967" s="53">
        <f>IFERROR(VLOOKUP(B1967,'Pre-Summary'!$BG$6:$BM$44,6,FALSE),S1968)</f>
        <v>5.8400630293479062E-2</v>
      </c>
      <c r="T1967" s="45" t="str">
        <f>IFERROR(VLOOKUP(B1967,'Pre-Summary'!$Y$6:$AC$83, 3,FALSE),"")</f>
        <v/>
      </c>
      <c r="U1967" s="45" t="str">
        <f>IFERROR(VLOOKUP(B1967,'Pre-Summary'!$Y$6:$AC$83, 4,FALSE),"")</f>
        <v/>
      </c>
      <c r="V1967" t="str">
        <f>IFERROR(VLOOKUP(B1967,'Pre-Summary'!$Y$6:$AC$83, 5,FALSE),"")</f>
        <v/>
      </c>
      <c r="W1967" s="45" t="str">
        <f>IFERROR(VLOOKUP(B1967,'Pre-Summary'!$Y$6:$AD$83,6,FALSE),"")</f>
        <v/>
      </c>
      <c r="X1967" t="str">
        <f>IFERROR(VLOOKUP('Pre-Summary'!$DB$6:$DD$63,3,FALSE),"")</f>
        <v/>
      </c>
      <c r="Y1967" t="str">
        <f>IFERROR(VLOOKUP(B1967,'Pre-Summary'!$CR$6:$CT$36,3,FALSE),"")</f>
        <v/>
      </c>
      <c r="Z1967" s="45" t="str">
        <f>IFERROR(VLOOKUP(B1967,'Pre-Summary'!$BZ$6:$CB$63,2,FALSE),"")</f>
        <v/>
      </c>
      <c r="AA1967" s="45" t="str">
        <f>IFERROR(VLOOKUP(B1967,'Pre-Summary'!$CG$6:$CI$70,2,FALSE),"")</f>
        <v/>
      </c>
      <c r="AB1967" s="99">
        <f>IFERROR(VLOOKUP(B1967,'Pre-Summary'!$A$6:$P$178,9,FALSE),AB1968)</f>
        <v>0.28971323731013532</v>
      </c>
      <c r="AC1967" s="10">
        <f>IFERROR(VLOOKUP(Summary!B1967,'Pre-Summary'!$A$6:$P$184,5, FALSE)/100,AC1968)</f>
        <v>0.97274333333333329</v>
      </c>
      <c r="AD1967" s="10">
        <f>IFERROR(VLOOKUP(Summary!B1967,'Pre-Summary'!$A$6:$P$184,3, FALSE)/100,AD1968)</f>
        <v>1.8589666666666668E-2</v>
      </c>
      <c r="AE1967" s="10">
        <f>IFERROR(VLOOKUP(Summary!B1967,'Pre-Summary'!$A$6:$P$184,7, FALSE)/100,AE1968)</f>
        <v>8.679000000000001E-3</v>
      </c>
      <c r="AF1967" s="99">
        <f t="shared" si="91"/>
        <v>5.3856725105163126E-3</v>
      </c>
      <c r="AG1967" s="99">
        <f t="shared" si="92"/>
        <v>2.5144211866146649E-3</v>
      </c>
      <c r="AH1967" s="10" t="str">
        <f>IFERROR(VLOOKUP(B1967,'Pre-Summary'!$AZ$6:$BE$65,3,FALSE),"")</f>
        <v/>
      </c>
      <c r="AI1967" s="10" t="str">
        <f>IFERROR(VLOOKUP(B1967,'Pre-Summary'!$AZ$6:$BE$65,5,FALSE),"")</f>
        <v/>
      </c>
      <c r="AJ1967" s="10" t="str">
        <f>IFERROR(VLOOKUP(B1967,'Pre-Summary'!$AZ$6:$BE$65,4,FALSE),"")</f>
        <v/>
      </c>
      <c r="AK1967" s="10" t="str">
        <f>IFERROR(VLOOKUP(B1967,'Pre-Summary'!$AZ$6:$BE$65,6,FALSE),"")</f>
        <v/>
      </c>
      <c r="AL1967" s="10" t="str">
        <f>IFERROR(VLOOKUP(B1967,'Pre-Summary'!$BG$6:$BL$44,3,FALSE),"")</f>
        <v/>
      </c>
      <c r="AM1967" s="10" t="str">
        <f>IFERROR(VLOOKUP(B1967,'Pre-Summary'!$BG$6:$BL$44,4,FALSE),"")</f>
        <v/>
      </c>
    </row>
    <row r="1968" spans="2:39" ht="15" customHeight="1" x14ac:dyDescent="0.3">
      <c r="B1968">
        <v>196.5</v>
      </c>
      <c r="C1968" t="str">
        <f>IFERROR(VLOOKUP(B1968,'Pre-Summary'!$DI$6:$DM$23,4,FALSE),"")</f>
        <v/>
      </c>
      <c r="D1968" s="10" t="str">
        <f>IFERROR(VLOOKUP(B1968,'Pre-Summary'!$AT$6:$AX$14,5,FALSE),D1967)</f>
        <v>Wolfe v3: went back to modified wolfe + EDTA and switched CuSO4 to CUCl2</v>
      </c>
      <c r="E1968" s="10" t="str">
        <f>IFERROR(VLOOKUP(B1968,'Pre-Summary'!$AT$6:$AX$15,4,FALSE),"")</f>
        <v/>
      </c>
      <c r="F1968">
        <f>IFERROR(VLOOKUP(B1968,'Pre-Summary'!$AL$6:$AQ$13,6,FALSE),F1967)</f>
        <v>5.9405263157894746E-2</v>
      </c>
      <c r="G1968" t="str">
        <f>IFERROR(VLOOKUP(B1968,'Pre-Summary'!$AE$6:$AJ$85,3,FALSE),"")</f>
        <v/>
      </c>
      <c r="H1968" t="str">
        <f>IFERROR(VLOOKUP(B1968,'Pre-Summary'!$AE$6:$AJ$85,4,FALSE),"")</f>
        <v/>
      </c>
      <c r="I1968" t="str">
        <f>IFERROR(VLOOKUP(B1968,'Pre-Summary'!$AE$6:$AJ$85,5,FALSE),"")</f>
        <v/>
      </c>
      <c r="J1968" s="45" t="str">
        <f>IFERROR(VLOOKUP(B1968,'Pre-Summary'!$AE$6:$AJ$85,6, FALSE),"")</f>
        <v/>
      </c>
      <c r="K1968" s="45" t="str">
        <f>IFERROR(VLOOKUP(B1968,'Pre-Summary'!$DE$6:$DG$61,3,FALSE),"")</f>
        <v/>
      </c>
      <c r="L1968" s="45" t="str">
        <f>IFERROR(VLOOKUP(B1968,'Pre-Summary'!$CU$6:$CW$36,3,FALSE),"")</f>
        <v/>
      </c>
      <c r="M1968" s="45" t="str">
        <f>IFERROR(VLOOKUP(B1968,'Pre-Summary'!$BW$6:$BY$58,2,FALSE),"")</f>
        <v/>
      </c>
      <c r="N1968" s="45" t="str">
        <f>IFERROR(VLOOKUP(B1968,'Pre-Summary'!$CD$6:$CF$64,2,FALSE),"")</f>
        <v/>
      </c>
      <c r="O1968" s="99">
        <f>IFERROR(VLOOKUP(B1968,'Pre-Summary'!$BO$6:$BQ$48,3, FALSE),O1967)</f>
        <v>1.3480000000000001</v>
      </c>
      <c r="P1968" s="99">
        <f>IFERROR(VLOOKUP(B1968,'Pre-Summary'!$BS$6:$BU$35,3,FALSE),P1967)</f>
        <v>0.33700000000000002</v>
      </c>
      <c r="Q1968" s="54">
        <f t="shared" si="90"/>
        <v>4</v>
      </c>
      <c r="R1968" s="53">
        <f>IFERROR(VLOOKUP(B1968,'Pre-Summary'!$BG$6:$BM$44,7,FALSE),R1969)</f>
        <v>6.2037889674656205E-2</v>
      </c>
      <c r="S1968" s="53">
        <f>IFERROR(VLOOKUP(B1968,'Pre-Summary'!$BG$6:$BM$44,6,FALSE),S1969)</f>
        <v>5.8400630293479062E-2</v>
      </c>
      <c r="T1968" s="45" t="str">
        <f>IFERROR(VLOOKUP(B1968,'Pre-Summary'!$Y$6:$AC$83, 3,FALSE),"")</f>
        <v/>
      </c>
      <c r="U1968" s="45" t="str">
        <f>IFERROR(VLOOKUP(B1968,'Pre-Summary'!$Y$6:$AC$83, 4,FALSE),"")</f>
        <v/>
      </c>
      <c r="V1968" t="str">
        <f>IFERROR(VLOOKUP(B1968,'Pre-Summary'!$Y$6:$AC$83, 5,FALSE),"")</f>
        <v/>
      </c>
      <c r="W1968" s="45" t="str">
        <f>IFERROR(VLOOKUP(B1968,'Pre-Summary'!$Y$6:$AD$83,6,FALSE),"")</f>
        <v/>
      </c>
      <c r="X1968" t="str">
        <f>IFERROR(VLOOKUP('Pre-Summary'!$DB$6:$DD$63,3,FALSE),"")</f>
        <v/>
      </c>
      <c r="Y1968" t="str">
        <f>IFERROR(VLOOKUP(B1968,'Pre-Summary'!$CR$6:$CT$36,3,FALSE),"")</f>
        <v/>
      </c>
      <c r="Z1968" s="45" t="str">
        <f>IFERROR(VLOOKUP(B1968,'Pre-Summary'!$BZ$6:$CB$63,2,FALSE),"")</f>
        <v/>
      </c>
      <c r="AA1968" s="45" t="str">
        <f>IFERROR(VLOOKUP(B1968,'Pre-Summary'!$CG$6:$CI$70,2,FALSE),"")</f>
        <v/>
      </c>
      <c r="AB1968" s="99">
        <f>IFERROR(VLOOKUP(B1968,'Pre-Summary'!$A$6:$P$178,9,FALSE),AB1969)</f>
        <v>0.28971323731013532</v>
      </c>
      <c r="AC1968" s="10">
        <f>IFERROR(VLOOKUP(Summary!B1968,'Pre-Summary'!$A$6:$P$184,5, FALSE)/100,AC1969)</f>
        <v>0.97274333333333329</v>
      </c>
      <c r="AD1968" s="10">
        <f>IFERROR(VLOOKUP(Summary!B1968,'Pre-Summary'!$A$6:$P$184,3, FALSE)/100,AD1969)</f>
        <v>1.8589666666666668E-2</v>
      </c>
      <c r="AE1968" s="10">
        <f>IFERROR(VLOOKUP(Summary!B1968,'Pre-Summary'!$A$6:$P$184,7, FALSE)/100,AE1969)</f>
        <v>8.679000000000001E-3</v>
      </c>
      <c r="AF1968" s="99">
        <f t="shared" si="91"/>
        <v>5.3856725105163126E-3</v>
      </c>
      <c r="AG1968" s="99">
        <f t="shared" si="92"/>
        <v>2.5144211866146649E-3</v>
      </c>
      <c r="AH1968" s="10" t="str">
        <f>IFERROR(VLOOKUP(B1968,'Pre-Summary'!$AZ$6:$BE$65,3,FALSE),"")</f>
        <v/>
      </c>
      <c r="AI1968" s="10" t="str">
        <f>IFERROR(VLOOKUP(B1968,'Pre-Summary'!$AZ$6:$BE$65,5,FALSE),"")</f>
        <v/>
      </c>
      <c r="AJ1968" s="10" t="str">
        <f>IFERROR(VLOOKUP(B1968,'Pre-Summary'!$AZ$6:$BE$65,4,FALSE),"")</f>
        <v/>
      </c>
      <c r="AK1968" s="10" t="str">
        <f>IFERROR(VLOOKUP(B1968,'Pre-Summary'!$AZ$6:$BE$65,6,FALSE),"")</f>
        <v/>
      </c>
      <c r="AL1968" s="10" t="str">
        <f>IFERROR(VLOOKUP(B1968,'Pre-Summary'!$BG$6:$BL$44,3,FALSE),"")</f>
        <v/>
      </c>
      <c r="AM1968" s="10" t="str">
        <f>IFERROR(VLOOKUP(B1968,'Pre-Summary'!$BG$6:$BL$44,4,FALSE),"")</f>
        <v/>
      </c>
    </row>
    <row r="1969" spans="2:39" ht="15" customHeight="1" x14ac:dyDescent="0.3">
      <c r="B1969">
        <v>196.6</v>
      </c>
      <c r="C1969" t="str">
        <f>IFERROR(VLOOKUP(B1969,'Pre-Summary'!$DI$6:$DM$23,4,FALSE),"")</f>
        <v/>
      </c>
      <c r="D1969" s="10" t="str">
        <f>IFERROR(VLOOKUP(B1969,'Pre-Summary'!$AT$6:$AX$14,5,FALSE),D1968)</f>
        <v>Wolfe v3: went back to modified wolfe + EDTA and switched CuSO4 to CUCl2</v>
      </c>
      <c r="E1969" s="10" t="str">
        <f>IFERROR(VLOOKUP(B1969,'Pre-Summary'!$AT$6:$AX$15,4,FALSE),"")</f>
        <v/>
      </c>
      <c r="F1969">
        <f>IFERROR(VLOOKUP(B1969,'Pre-Summary'!$AL$6:$AQ$13,6,FALSE),F1968)</f>
        <v>5.9405263157894746E-2</v>
      </c>
      <c r="G1969" t="str">
        <f>IFERROR(VLOOKUP(B1969,'Pre-Summary'!$AE$6:$AJ$85,3,FALSE),"")</f>
        <v/>
      </c>
      <c r="H1969" t="str">
        <f>IFERROR(VLOOKUP(B1969,'Pre-Summary'!$AE$6:$AJ$85,4,FALSE),"")</f>
        <v/>
      </c>
      <c r="I1969" t="str">
        <f>IFERROR(VLOOKUP(B1969,'Pre-Summary'!$AE$6:$AJ$85,5,FALSE),"")</f>
        <v/>
      </c>
      <c r="J1969" s="45" t="str">
        <f>IFERROR(VLOOKUP(B1969,'Pre-Summary'!$AE$6:$AJ$85,6, FALSE),"")</f>
        <v/>
      </c>
      <c r="K1969" s="45" t="str">
        <f>IFERROR(VLOOKUP(B1969,'Pre-Summary'!$DE$6:$DG$61,3,FALSE),"")</f>
        <v/>
      </c>
      <c r="L1969" s="45" t="str">
        <f>IFERROR(VLOOKUP(B1969,'Pre-Summary'!$CU$6:$CW$36,3,FALSE),"")</f>
        <v/>
      </c>
      <c r="M1969" s="45" t="str">
        <f>IFERROR(VLOOKUP(B1969,'Pre-Summary'!$BW$6:$BY$58,2,FALSE),"")</f>
        <v/>
      </c>
      <c r="N1969" s="45" t="str">
        <f>IFERROR(VLOOKUP(B1969,'Pre-Summary'!$CD$6:$CF$64,2,FALSE),"")</f>
        <v/>
      </c>
      <c r="O1969" s="99">
        <f>IFERROR(VLOOKUP(B1969,'Pre-Summary'!$BO$6:$BQ$48,3, FALSE),O1968)</f>
        <v>1.3480000000000001</v>
      </c>
      <c r="P1969" s="99">
        <f>IFERROR(VLOOKUP(B1969,'Pre-Summary'!$BS$6:$BU$35,3,FALSE),P1968)</f>
        <v>0.33700000000000002</v>
      </c>
      <c r="Q1969" s="54">
        <f t="shared" si="90"/>
        <v>4</v>
      </c>
      <c r="R1969" s="53">
        <f>IFERROR(VLOOKUP(B1969,'Pre-Summary'!$BG$6:$BM$44,7,FALSE),R1970)</f>
        <v>6.2037889674656205E-2</v>
      </c>
      <c r="S1969" s="53">
        <f>IFERROR(VLOOKUP(B1969,'Pre-Summary'!$BG$6:$BM$44,6,FALSE),S1970)</f>
        <v>5.8400630293479062E-2</v>
      </c>
      <c r="T1969" s="45" t="str">
        <f>IFERROR(VLOOKUP(B1969,'Pre-Summary'!$Y$6:$AC$83, 3,FALSE),"")</f>
        <v/>
      </c>
      <c r="U1969" s="45" t="str">
        <f>IFERROR(VLOOKUP(B1969,'Pre-Summary'!$Y$6:$AC$83, 4,FALSE),"")</f>
        <v/>
      </c>
      <c r="V1969" t="str">
        <f>IFERROR(VLOOKUP(B1969,'Pre-Summary'!$Y$6:$AC$83, 5,FALSE),"")</f>
        <v/>
      </c>
      <c r="W1969" s="45" t="str">
        <f>IFERROR(VLOOKUP(B1969,'Pre-Summary'!$Y$6:$AD$83,6,FALSE),"")</f>
        <v/>
      </c>
      <c r="X1969" t="str">
        <f>IFERROR(VLOOKUP('Pre-Summary'!$DB$6:$DD$63,3,FALSE),"")</f>
        <v/>
      </c>
      <c r="Y1969" t="str">
        <f>IFERROR(VLOOKUP(B1969,'Pre-Summary'!$CR$6:$CT$36,3,FALSE),"")</f>
        <v/>
      </c>
      <c r="Z1969" s="45" t="str">
        <f>IFERROR(VLOOKUP(B1969,'Pre-Summary'!$BZ$6:$CB$63,2,FALSE),"")</f>
        <v/>
      </c>
      <c r="AA1969" s="45" t="str">
        <f>IFERROR(VLOOKUP(B1969,'Pre-Summary'!$CG$6:$CI$70,2,FALSE),"")</f>
        <v/>
      </c>
      <c r="AB1969" s="99">
        <f>IFERROR(VLOOKUP(B1969,'Pre-Summary'!$A$6:$P$178,9,FALSE),AB1970)</f>
        <v>0.28971323731013532</v>
      </c>
      <c r="AC1969" s="10">
        <f>IFERROR(VLOOKUP(Summary!B1969,'Pre-Summary'!$A$6:$P$184,5, FALSE)/100,AC1970)</f>
        <v>0.97274333333333329</v>
      </c>
      <c r="AD1969" s="10">
        <f>IFERROR(VLOOKUP(Summary!B1969,'Pre-Summary'!$A$6:$P$184,3, FALSE)/100,AD1970)</f>
        <v>1.8589666666666668E-2</v>
      </c>
      <c r="AE1969" s="10">
        <f>IFERROR(VLOOKUP(Summary!B1969,'Pre-Summary'!$A$6:$P$184,7, FALSE)/100,AE1970)</f>
        <v>8.679000000000001E-3</v>
      </c>
      <c r="AF1969" s="99">
        <f t="shared" si="91"/>
        <v>5.3856725105163126E-3</v>
      </c>
      <c r="AG1969" s="99">
        <f t="shared" si="92"/>
        <v>2.5144211866146649E-3</v>
      </c>
      <c r="AH1969" s="10" t="str">
        <f>IFERROR(VLOOKUP(B1969,'Pre-Summary'!$AZ$6:$BE$65,3,FALSE),"")</f>
        <v/>
      </c>
      <c r="AI1969" s="10" t="str">
        <f>IFERROR(VLOOKUP(B1969,'Pre-Summary'!$AZ$6:$BE$65,5,FALSE),"")</f>
        <v/>
      </c>
      <c r="AJ1969" s="10" t="str">
        <f>IFERROR(VLOOKUP(B1969,'Pre-Summary'!$AZ$6:$BE$65,4,FALSE),"")</f>
        <v/>
      </c>
      <c r="AK1969" s="10" t="str">
        <f>IFERROR(VLOOKUP(B1969,'Pre-Summary'!$AZ$6:$BE$65,6,FALSE),"")</f>
        <v/>
      </c>
      <c r="AL1969" s="10" t="str">
        <f>IFERROR(VLOOKUP(B1969,'Pre-Summary'!$BG$6:$BL$44,3,FALSE),"")</f>
        <v/>
      </c>
      <c r="AM1969" s="10" t="str">
        <f>IFERROR(VLOOKUP(B1969,'Pre-Summary'!$BG$6:$BL$44,4,FALSE),"")</f>
        <v/>
      </c>
    </row>
    <row r="1970" spans="2:39" ht="15" customHeight="1" x14ac:dyDescent="0.3">
      <c r="B1970">
        <v>196.7</v>
      </c>
      <c r="C1970" t="str">
        <f>IFERROR(VLOOKUP(B1970,'Pre-Summary'!$DI$6:$DM$23,4,FALSE),"")</f>
        <v/>
      </c>
      <c r="D1970" s="10" t="str">
        <f>IFERROR(VLOOKUP(B1970,'Pre-Summary'!$AT$6:$AX$14,5,FALSE),D1969)</f>
        <v>Wolfe v3: went back to modified wolfe + EDTA and switched CuSO4 to CUCl2</v>
      </c>
      <c r="E1970" s="10" t="str">
        <f>IFERROR(VLOOKUP(B1970,'Pre-Summary'!$AT$6:$AX$15,4,FALSE),"")</f>
        <v/>
      </c>
      <c r="F1970">
        <f>IFERROR(VLOOKUP(B1970,'Pre-Summary'!$AL$6:$AQ$13,6,FALSE),F1969)</f>
        <v>5.9405263157894746E-2</v>
      </c>
      <c r="G1970" t="str">
        <f>IFERROR(VLOOKUP(B1970,'Pre-Summary'!$AE$6:$AJ$85,3,FALSE),"")</f>
        <v/>
      </c>
      <c r="H1970" t="str">
        <f>IFERROR(VLOOKUP(B1970,'Pre-Summary'!$AE$6:$AJ$85,4,FALSE),"")</f>
        <v/>
      </c>
      <c r="I1970" t="str">
        <f>IFERROR(VLOOKUP(B1970,'Pre-Summary'!$AE$6:$AJ$85,5,FALSE),"")</f>
        <v/>
      </c>
      <c r="J1970" s="45" t="str">
        <f>IFERROR(VLOOKUP(B1970,'Pre-Summary'!$AE$6:$AJ$85,6, FALSE),"")</f>
        <v/>
      </c>
      <c r="K1970" s="45" t="str">
        <f>IFERROR(VLOOKUP(B1970,'Pre-Summary'!$DE$6:$DG$61,3,FALSE),"")</f>
        <v/>
      </c>
      <c r="L1970" s="45" t="str">
        <f>IFERROR(VLOOKUP(B1970,'Pre-Summary'!$CU$6:$CW$36,3,FALSE),"")</f>
        <v/>
      </c>
      <c r="M1970" s="45" t="str">
        <f>IFERROR(VLOOKUP(B1970,'Pre-Summary'!$BW$6:$BY$58,2,FALSE),"")</f>
        <v/>
      </c>
      <c r="N1970" s="45" t="str">
        <f>IFERROR(VLOOKUP(B1970,'Pre-Summary'!$CD$6:$CF$64,2,FALSE),"")</f>
        <v/>
      </c>
      <c r="O1970" s="99">
        <f>IFERROR(VLOOKUP(B1970,'Pre-Summary'!$BO$6:$BQ$48,3, FALSE),O1969)</f>
        <v>1.3480000000000001</v>
      </c>
      <c r="P1970" s="99">
        <f>IFERROR(VLOOKUP(B1970,'Pre-Summary'!$BS$6:$BU$35,3,FALSE),P1969)</f>
        <v>0.33700000000000002</v>
      </c>
      <c r="Q1970" s="54">
        <f t="shared" si="90"/>
        <v>4</v>
      </c>
      <c r="R1970" s="53">
        <f>IFERROR(VLOOKUP(B1970,'Pre-Summary'!$BG$6:$BM$44,7,FALSE),R1971)</f>
        <v>6.2037889674656205E-2</v>
      </c>
      <c r="S1970" s="53">
        <f>IFERROR(VLOOKUP(B1970,'Pre-Summary'!$BG$6:$BM$44,6,FALSE),S1971)</f>
        <v>5.8400630293479062E-2</v>
      </c>
      <c r="T1970" s="45" t="str">
        <f>IFERROR(VLOOKUP(B1970,'Pre-Summary'!$Y$6:$AC$83, 3,FALSE),"")</f>
        <v/>
      </c>
      <c r="U1970" s="45" t="str">
        <f>IFERROR(VLOOKUP(B1970,'Pre-Summary'!$Y$6:$AC$83, 4,FALSE),"")</f>
        <v/>
      </c>
      <c r="V1970" t="str">
        <f>IFERROR(VLOOKUP(B1970,'Pre-Summary'!$Y$6:$AC$83, 5,FALSE),"")</f>
        <v/>
      </c>
      <c r="W1970" s="45" t="str">
        <f>IFERROR(VLOOKUP(B1970,'Pre-Summary'!$Y$6:$AD$83,6,FALSE),"")</f>
        <v/>
      </c>
      <c r="X1970" t="str">
        <f>IFERROR(VLOOKUP('Pre-Summary'!$DB$6:$DD$63,3,FALSE),"")</f>
        <v/>
      </c>
      <c r="Y1970" t="str">
        <f>IFERROR(VLOOKUP(B1970,'Pre-Summary'!$CR$6:$CT$36,3,FALSE),"")</f>
        <v/>
      </c>
      <c r="Z1970" s="45" t="str">
        <f>IFERROR(VLOOKUP(B1970,'Pre-Summary'!$BZ$6:$CB$63,2,FALSE),"")</f>
        <v/>
      </c>
      <c r="AA1970" s="45" t="str">
        <f>IFERROR(VLOOKUP(B1970,'Pre-Summary'!$CG$6:$CI$70,2,FALSE),"")</f>
        <v/>
      </c>
      <c r="AB1970" s="99">
        <f>IFERROR(VLOOKUP(B1970,'Pre-Summary'!$A$6:$P$178,9,FALSE),AB1971)</f>
        <v>0.28971323731013532</v>
      </c>
      <c r="AC1970" s="10">
        <f>IFERROR(VLOOKUP(Summary!B1970,'Pre-Summary'!$A$6:$P$184,5, FALSE)/100,AC1971)</f>
        <v>0.97274333333333329</v>
      </c>
      <c r="AD1970" s="10">
        <f>IFERROR(VLOOKUP(Summary!B1970,'Pre-Summary'!$A$6:$P$184,3, FALSE)/100,AD1971)</f>
        <v>1.8589666666666668E-2</v>
      </c>
      <c r="AE1970" s="10">
        <f>IFERROR(VLOOKUP(Summary!B1970,'Pre-Summary'!$A$6:$P$184,7, FALSE)/100,AE1971)</f>
        <v>8.679000000000001E-3</v>
      </c>
      <c r="AF1970" s="99">
        <f t="shared" si="91"/>
        <v>5.3856725105163126E-3</v>
      </c>
      <c r="AG1970" s="99">
        <f t="shared" si="92"/>
        <v>2.5144211866146649E-3</v>
      </c>
      <c r="AH1970" s="10" t="str">
        <f>IFERROR(VLOOKUP(B1970,'Pre-Summary'!$AZ$6:$BE$65,3,FALSE),"")</f>
        <v/>
      </c>
      <c r="AI1970" s="10" t="str">
        <f>IFERROR(VLOOKUP(B1970,'Pre-Summary'!$AZ$6:$BE$65,5,FALSE),"")</f>
        <v/>
      </c>
      <c r="AJ1970" s="10" t="str">
        <f>IFERROR(VLOOKUP(B1970,'Pre-Summary'!$AZ$6:$BE$65,4,FALSE),"")</f>
        <v/>
      </c>
      <c r="AK1970" s="10" t="str">
        <f>IFERROR(VLOOKUP(B1970,'Pre-Summary'!$AZ$6:$BE$65,6,FALSE),"")</f>
        <v/>
      </c>
      <c r="AL1970" s="10" t="str">
        <f>IFERROR(VLOOKUP(B1970,'Pre-Summary'!$BG$6:$BL$44,3,FALSE),"")</f>
        <v/>
      </c>
      <c r="AM1970" s="10" t="str">
        <f>IFERROR(VLOOKUP(B1970,'Pre-Summary'!$BG$6:$BL$44,4,FALSE),"")</f>
        <v/>
      </c>
    </row>
    <row r="1971" spans="2:39" ht="15" customHeight="1" x14ac:dyDescent="0.3">
      <c r="B1971">
        <v>196.8</v>
      </c>
      <c r="C1971" t="str">
        <f>IFERROR(VLOOKUP(B1971,'Pre-Summary'!$DI$6:$DM$23,4,FALSE),"")</f>
        <v/>
      </c>
      <c r="D1971" s="10" t="str">
        <f>IFERROR(VLOOKUP(B1971,'Pre-Summary'!$AT$6:$AX$14,5,FALSE),D1970)</f>
        <v>Wolfe v3: went back to modified wolfe + EDTA and switched CuSO4 to CUCl2</v>
      </c>
      <c r="E1971" s="10" t="str">
        <f>IFERROR(VLOOKUP(B1971,'Pre-Summary'!$AT$6:$AX$15,4,FALSE),"")</f>
        <v/>
      </c>
      <c r="F1971">
        <f>IFERROR(VLOOKUP(B1971,'Pre-Summary'!$AL$6:$AQ$13,6,FALSE),F1970)</f>
        <v>5.9405263157894746E-2</v>
      </c>
      <c r="G1971" t="str">
        <f>IFERROR(VLOOKUP(B1971,'Pre-Summary'!$AE$6:$AJ$85,3,FALSE),"")</f>
        <v/>
      </c>
      <c r="H1971" t="str">
        <f>IFERROR(VLOOKUP(B1971,'Pre-Summary'!$AE$6:$AJ$85,4,FALSE),"")</f>
        <v/>
      </c>
      <c r="I1971" t="str">
        <f>IFERROR(VLOOKUP(B1971,'Pre-Summary'!$AE$6:$AJ$85,5,FALSE),"")</f>
        <v/>
      </c>
      <c r="J1971" s="45" t="str">
        <f>IFERROR(VLOOKUP(B1971,'Pre-Summary'!$AE$6:$AJ$85,6, FALSE),"")</f>
        <v/>
      </c>
      <c r="K1971" s="45" t="str">
        <f>IFERROR(VLOOKUP(B1971,'Pre-Summary'!$DE$6:$DG$61,3,FALSE),"")</f>
        <v/>
      </c>
      <c r="L1971" s="45" t="str">
        <f>IFERROR(VLOOKUP(B1971,'Pre-Summary'!$CU$6:$CW$36,3,FALSE),"")</f>
        <v/>
      </c>
      <c r="M1971" s="45" t="str">
        <f>IFERROR(VLOOKUP(B1971,'Pre-Summary'!$BW$6:$BY$58,2,FALSE),"")</f>
        <v/>
      </c>
      <c r="N1971" s="45" t="str">
        <f>IFERROR(VLOOKUP(B1971,'Pre-Summary'!$CD$6:$CF$64,2,FALSE),"")</f>
        <v/>
      </c>
      <c r="O1971" s="99">
        <f>IFERROR(VLOOKUP(B1971,'Pre-Summary'!$BO$6:$BQ$48,3, FALSE),O1970)</f>
        <v>1.3480000000000001</v>
      </c>
      <c r="P1971" s="99">
        <f>IFERROR(VLOOKUP(B1971,'Pre-Summary'!$BS$6:$BU$35,3,FALSE),P1970)</f>
        <v>0.33700000000000002</v>
      </c>
      <c r="Q1971" s="54">
        <f t="shared" si="90"/>
        <v>4</v>
      </c>
      <c r="R1971" s="53">
        <f>IFERROR(VLOOKUP(B1971,'Pre-Summary'!$BG$6:$BM$44,7,FALSE),R1972)</f>
        <v>6.2037889674656205E-2</v>
      </c>
      <c r="S1971" s="53">
        <f>IFERROR(VLOOKUP(B1971,'Pre-Summary'!$BG$6:$BM$44,6,FALSE),S1972)</f>
        <v>5.8400630293479062E-2</v>
      </c>
      <c r="T1971" s="45" t="str">
        <f>IFERROR(VLOOKUP(B1971,'Pre-Summary'!$Y$6:$AC$83, 3,FALSE),"")</f>
        <v/>
      </c>
      <c r="U1971" s="45" t="str">
        <f>IFERROR(VLOOKUP(B1971,'Pre-Summary'!$Y$6:$AC$83, 4,FALSE),"")</f>
        <v/>
      </c>
      <c r="V1971" t="str">
        <f>IFERROR(VLOOKUP(B1971,'Pre-Summary'!$Y$6:$AC$83, 5,FALSE),"")</f>
        <v/>
      </c>
      <c r="W1971" s="45" t="str">
        <f>IFERROR(VLOOKUP(B1971,'Pre-Summary'!$Y$6:$AD$83,6,FALSE),"")</f>
        <v/>
      </c>
      <c r="X1971" t="str">
        <f>IFERROR(VLOOKUP('Pre-Summary'!$DB$6:$DD$63,3,FALSE),"")</f>
        <v/>
      </c>
      <c r="Y1971" t="str">
        <f>IFERROR(VLOOKUP(B1971,'Pre-Summary'!$CR$6:$CT$36,3,FALSE),"")</f>
        <v/>
      </c>
      <c r="Z1971" s="45" t="str">
        <f>IFERROR(VLOOKUP(B1971,'Pre-Summary'!$BZ$6:$CB$63,2,FALSE),"")</f>
        <v/>
      </c>
      <c r="AA1971" s="45" t="str">
        <f>IFERROR(VLOOKUP(B1971,'Pre-Summary'!$CG$6:$CI$70,2,FALSE),"")</f>
        <v/>
      </c>
      <c r="AB1971" s="99">
        <f>IFERROR(VLOOKUP(B1971,'Pre-Summary'!$A$6:$P$178,9,FALSE),AB1972)</f>
        <v>0.28971323731013532</v>
      </c>
      <c r="AC1971" s="10">
        <f>IFERROR(VLOOKUP(Summary!B1971,'Pre-Summary'!$A$6:$P$184,5, FALSE)/100,AC1972)</f>
        <v>0.97274333333333329</v>
      </c>
      <c r="AD1971" s="10">
        <f>IFERROR(VLOOKUP(Summary!B1971,'Pre-Summary'!$A$6:$P$184,3, FALSE)/100,AD1972)</f>
        <v>1.8589666666666668E-2</v>
      </c>
      <c r="AE1971" s="10">
        <f>IFERROR(VLOOKUP(Summary!B1971,'Pre-Summary'!$A$6:$P$184,7, FALSE)/100,AE1972)</f>
        <v>8.679000000000001E-3</v>
      </c>
      <c r="AF1971" s="99">
        <f t="shared" si="91"/>
        <v>5.3856725105163126E-3</v>
      </c>
      <c r="AG1971" s="99">
        <f t="shared" si="92"/>
        <v>2.5144211866146649E-3</v>
      </c>
      <c r="AH1971" s="10" t="str">
        <f>IFERROR(VLOOKUP(B1971,'Pre-Summary'!$AZ$6:$BE$65,3,FALSE),"")</f>
        <v/>
      </c>
      <c r="AI1971" s="10" t="str">
        <f>IFERROR(VLOOKUP(B1971,'Pre-Summary'!$AZ$6:$BE$65,5,FALSE),"")</f>
        <v/>
      </c>
      <c r="AJ1971" s="10" t="str">
        <f>IFERROR(VLOOKUP(B1971,'Pre-Summary'!$AZ$6:$BE$65,4,FALSE),"")</f>
        <v/>
      </c>
      <c r="AK1971" s="10" t="str">
        <f>IFERROR(VLOOKUP(B1971,'Pre-Summary'!$AZ$6:$BE$65,6,FALSE),"")</f>
        <v/>
      </c>
      <c r="AL1971" s="10" t="str">
        <f>IFERROR(VLOOKUP(B1971,'Pre-Summary'!$BG$6:$BL$44,3,FALSE),"")</f>
        <v/>
      </c>
      <c r="AM1971" s="10" t="str">
        <f>IFERROR(VLOOKUP(B1971,'Pre-Summary'!$BG$6:$BL$44,4,FALSE),"")</f>
        <v/>
      </c>
    </row>
    <row r="1972" spans="2:39" ht="15" customHeight="1" x14ac:dyDescent="0.3">
      <c r="B1972">
        <v>196.9</v>
      </c>
      <c r="C1972" t="str">
        <f>IFERROR(VLOOKUP(B1972,'Pre-Summary'!$DI$6:$DM$23,4,FALSE),"")</f>
        <v/>
      </c>
      <c r="D1972" s="10" t="str">
        <f>IFERROR(VLOOKUP(B1972,'Pre-Summary'!$AT$6:$AX$14,5,FALSE),D1971)</f>
        <v>Wolfe v3: went back to modified wolfe + EDTA and switched CuSO4 to CUCl2</v>
      </c>
      <c r="E1972" s="10" t="str">
        <f>IFERROR(VLOOKUP(B1972,'Pre-Summary'!$AT$6:$AX$15,4,FALSE),"")</f>
        <v/>
      </c>
      <c r="F1972">
        <f>IFERROR(VLOOKUP(B1972,'Pre-Summary'!$AL$6:$AQ$13,6,FALSE),F1971)</f>
        <v>5.9405263157894746E-2</v>
      </c>
      <c r="G1972" t="str">
        <f>IFERROR(VLOOKUP(B1972,'Pre-Summary'!$AE$6:$AJ$85,3,FALSE),"")</f>
        <v/>
      </c>
      <c r="H1972" t="str">
        <f>IFERROR(VLOOKUP(B1972,'Pre-Summary'!$AE$6:$AJ$85,4,FALSE),"")</f>
        <v/>
      </c>
      <c r="I1972" t="str">
        <f>IFERROR(VLOOKUP(B1972,'Pre-Summary'!$AE$6:$AJ$85,5,FALSE),"")</f>
        <v/>
      </c>
      <c r="J1972" s="45" t="str">
        <f>IFERROR(VLOOKUP(B1972,'Pre-Summary'!$AE$6:$AJ$85,6, FALSE),"")</f>
        <v/>
      </c>
      <c r="K1972" s="45" t="str">
        <f>IFERROR(VLOOKUP(B1972,'Pre-Summary'!$DE$6:$DG$61,3,FALSE),"")</f>
        <v/>
      </c>
      <c r="L1972" s="45" t="str">
        <f>IFERROR(VLOOKUP(B1972,'Pre-Summary'!$CU$6:$CW$36,3,FALSE),"")</f>
        <v/>
      </c>
      <c r="M1972" s="45" t="str">
        <f>IFERROR(VLOOKUP(B1972,'Pre-Summary'!$BW$6:$BY$58,2,FALSE),"")</f>
        <v/>
      </c>
      <c r="N1972" s="45" t="str">
        <f>IFERROR(VLOOKUP(B1972,'Pre-Summary'!$CD$6:$CF$64,2,FALSE),"")</f>
        <v/>
      </c>
      <c r="O1972" s="99">
        <f>IFERROR(VLOOKUP(B1972,'Pre-Summary'!$BO$6:$BQ$48,3, FALSE),O1971)</f>
        <v>1.3480000000000001</v>
      </c>
      <c r="P1972" s="99">
        <f>IFERROR(VLOOKUP(B1972,'Pre-Summary'!$BS$6:$BU$35,3,FALSE),P1971)</f>
        <v>0.33700000000000002</v>
      </c>
      <c r="Q1972" s="54">
        <f t="shared" si="90"/>
        <v>4</v>
      </c>
      <c r="R1972" s="53">
        <f>IFERROR(VLOOKUP(B1972,'Pre-Summary'!$BG$6:$BM$44,7,FALSE),R1973)</f>
        <v>6.2037889674656205E-2</v>
      </c>
      <c r="S1972" s="53">
        <f>IFERROR(VLOOKUP(B1972,'Pre-Summary'!$BG$6:$BM$44,6,FALSE),S1973)</f>
        <v>5.8400630293479062E-2</v>
      </c>
      <c r="T1972" s="45" t="str">
        <f>IFERROR(VLOOKUP(B1972,'Pre-Summary'!$Y$6:$AC$83, 3,FALSE),"")</f>
        <v/>
      </c>
      <c r="U1972" s="45" t="str">
        <f>IFERROR(VLOOKUP(B1972,'Pre-Summary'!$Y$6:$AC$83, 4,FALSE),"")</f>
        <v/>
      </c>
      <c r="V1972" t="str">
        <f>IFERROR(VLOOKUP(B1972,'Pre-Summary'!$Y$6:$AC$83, 5,FALSE),"")</f>
        <v/>
      </c>
      <c r="W1972" s="45" t="str">
        <f>IFERROR(VLOOKUP(B1972,'Pre-Summary'!$Y$6:$AD$83,6,FALSE),"")</f>
        <v/>
      </c>
      <c r="X1972" t="str">
        <f>IFERROR(VLOOKUP('Pre-Summary'!$DB$6:$DD$63,3,FALSE),"")</f>
        <v/>
      </c>
      <c r="Y1972" t="str">
        <f>IFERROR(VLOOKUP(B1972,'Pre-Summary'!$CR$6:$CT$36,3,FALSE),"")</f>
        <v/>
      </c>
      <c r="Z1972" s="45" t="str">
        <f>IFERROR(VLOOKUP(B1972,'Pre-Summary'!$BZ$6:$CB$63,2,FALSE),"")</f>
        <v/>
      </c>
      <c r="AA1972" s="45" t="str">
        <f>IFERROR(VLOOKUP(B1972,'Pre-Summary'!$CG$6:$CI$70,2,FALSE),"")</f>
        <v/>
      </c>
      <c r="AB1972" s="99">
        <f>IFERROR(VLOOKUP(B1972,'Pre-Summary'!$A$6:$P$178,9,FALSE),AB1973)</f>
        <v>0.28971323731013532</v>
      </c>
      <c r="AC1972" s="10">
        <f>IFERROR(VLOOKUP(Summary!B1972,'Pre-Summary'!$A$6:$P$184,5, FALSE)/100,AC1973)</f>
        <v>0.97274333333333329</v>
      </c>
      <c r="AD1972" s="10">
        <f>IFERROR(VLOOKUP(Summary!B1972,'Pre-Summary'!$A$6:$P$184,3, FALSE)/100,AD1973)</f>
        <v>1.8589666666666668E-2</v>
      </c>
      <c r="AE1972" s="10">
        <f>IFERROR(VLOOKUP(Summary!B1972,'Pre-Summary'!$A$6:$P$184,7, FALSE)/100,AE1973)</f>
        <v>8.679000000000001E-3</v>
      </c>
      <c r="AF1972" s="99">
        <f t="shared" si="91"/>
        <v>5.3856725105163126E-3</v>
      </c>
      <c r="AG1972" s="99">
        <f t="shared" si="92"/>
        <v>2.5144211866146649E-3</v>
      </c>
      <c r="AH1972" s="10" t="str">
        <f>IFERROR(VLOOKUP(B1972,'Pre-Summary'!$AZ$6:$BE$65,3,FALSE),"")</f>
        <v/>
      </c>
      <c r="AI1972" s="10" t="str">
        <f>IFERROR(VLOOKUP(B1972,'Pre-Summary'!$AZ$6:$BE$65,5,FALSE),"")</f>
        <v/>
      </c>
      <c r="AJ1972" s="10" t="str">
        <f>IFERROR(VLOOKUP(B1972,'Pre-Summary'!$AZ$6:$BE$65,4,FALSE),"")</f>
        <v/>
      </c>
      <c r="AK1972" s="10" t="str">
        <f>IFERROR(VLOOKUP(B1972,'Pre-Summary'!$AZ$6:$BE$65,6,FALSE),"")</f>
        <v/>
      </c>
      <c r="AL1972" s="10" t="str">
        <f>IFERROR(VLOOKUP(B1972,'Pre-Summary'!$BG$6:$BL$44,3,FALSE),"")</f>
        <v/>
      </c>
      <c r="AM1972" s="10" t="str">
        <f>IFERROR(VLOOKUP(B1972,'Pre-Summary'!$BG$6:$BL$44,4,FALSE),"")</f>
        <v/>
      </c>
    </row>
    <row r="1973" spans="2:39" ht="15" customHeight="1" x14ac:dyDescent="0.3">
      <c r="B1973">
        <v>197</v>
      </c>
      <c r="C1973" t="str">
        <f>IFERROR(VLOOKUP(B1973,'Pre-Summary'!$DI$6:$DM$23,4,FALSE),"")</f>
        <v/>
      </c>
      <c r="D1973" s="10" t="str">
        <f>IFERROR(VLOOKUP(B1973,'Pre-Summary'!$AT$6:$AX$14,5,FALSE),D1972)</f>
        <v>Wolfe v3: went back to modified wolfe + EDTA and switched CuSO4 to CUCl2</v>
      </c>
      <c r="E1973" s="10" t="str">
        <f>IFERROR(VLOOKUP(B1973,'Pre-Summary'!$AT$6:$AX$15,4,FALSE),"")</f>
        <v/>
      </c>
      <c r="F1973">
        <f>IFERROR(VLOOKUP(B1973,'Pre-Summary'!$AL$6:$AQ$13,6,FALSE),F1972)</f>
        <v>5.9405263157894746E-2</v>
      </c>
      <c r="G1973" t="str">
        <f>IFERROR(VLOOKUP(B1973,'Pre-Summary'!$AE$6:$AJ$85,3,FALSE),"")</f>
        <v/>
      </c>
      <c r="H1973" t="str">
        <f>IFERROR(VLOOKUP(B1973,'Pre-Summary'!$AE$6:$AJ$85,4,FALSE),"")</f>
        <v/>
      </c>
      <c r="I1973" t="str">
        <f>IFERROR(VLOOKUP(B1973,'Pre-Summary'!$AE$6:$AJ$85,5,FALSE),"")</f>
        <v/>
      </c>
      <c r="J1973" s="45" t="str">
        <f>IFERROR(VLOOKUP(B1973,'Pre-Summary'!$AE$6:$AJ$85,6, FALSE),"")</f>
        <v/>
      </c>
      <c r="K1973" s="45" t="str">
        <f>IFERROR(VLOOKUP(B1973,'Pre-Summary'!$DE$6:$DG$61,3,FALSE),"")</f>
        <v/>
      </c>
      <c r="L1973" s="45" t="str">
        <f>IFERROR(VLOOKUP(B1973,'Pre-Summary'!$CU$6:$CW$36,3,FALSE),"")</f>
        <v/>
      </c>
      <c r="M1973" s="45" t="str">
        <f>IFERROR(VLOOKUP(B1973,'Pre-Summary'!$BW$6:$BY$58,2,FALSE),"")</f>
        <v/>
      </c>
      <c r="N1973" s="45" t="str">
        <f>IFERROR(VLOOKUP(B1973,'Pre-Summary'!$CD$6:$CF$64,2,FALSE),"")</f>
        <v/>
      </c>
      <c r="O1973" s="99">
        <f>IFERROR(VLOOKUP(B1973,'Pre-Summary'!$BO$6:$BQ$48,3, FALSE),O1972)</f>
        <v>1.3480000000000001</v>
      </c>
      <c r="P1973" s="99">
        <f>IFERROR(VLOOKUP(B1973,'Pre-Summary'!$BS$6:$BU$35,3,FALSE),P1972)</f>
        <v>0.33700000000000002</v>
      </c>
      <c r="Q1973" s="54">
        <f t="shared" si="90"/>
        <v>4</v>
      </c>
      <c r="R1973" s="53">
        <f>IFERROR(VLOOKUP(B1973,'Pre-Summary'!$BG$6:$BM$44,7,FALSE),R1974)</f>
        <v>6.2037889674656205E-2</v>
      </c>
      <c r="S1973" s="53">
        <f>IFERROR(VLOOKUP(B1973,'Pre-Summary'!$BG$6:$BM$44,6,FALSE),S1974)</f>
        <v>5.8400630293479062E-2</v>
      </c>
      <c r="T1973" s="45" t="str">
        <f>IFERROR(VLOOKUP(B1973,'Pre-Summary'!$Y$6:$AC$83, 3,FALSE),"")</f>
        <v/>
      </c>
      <c r="U1973" s="45" t="str">
        <f>IFERROR(VLOOKUP(B1973,'Pre-Summary'!$Y$6:$AC$83, 4,FALSE),"")</f>
        <v/>
      </c>
      <c r="V1973" t="str">
        <f>IFERROR(VLOOKUP(B1973,'Pre-Summary'!$Y$6:$AC$83, 5,FALSE),"")</f>
        <v/>
      </c>
      <c r="W1973" s="45" t="str">
        <f>IFERROR(VLOOKUP(B1973,'Pre-Summary'!$Y$6:$AD$83,6,FALSE),"")</f>
        <v/>
      </c>
      <c r="X1973" t="str">
        <f>IFERROR(VLOOKUP('Pre-Summary'!$DB$6:$DD$63,3,FALSE),"")</f>
        <v/>
      </c>
      <c r="Y1973" t="str">
        <f>IFERROR(VLOOKUP(B1973,'Pre-Summary'!$CR$6:$CT$36,3,FALSE),"")</f>
        <v/>
      </c>
      <c r="Z1973" s="45" t="str">
        <f>IFERROR(VLOOKUP(B1973,'Pre-Summary'!$BZ$6:$CB$63,2,FALSE),"")</f>
        <v/>
      </c>
      <c r="AA1973" s="45" t="str">
        <f>IFERROR(VLOOKUP(B1973,'Pre-Summary'!$CG$6:$CI$70,2,FALSE),"")</f>
        <v/>
      </c>
      <c r="AB1973" s="99">
        <f>IFERROR(VLOOKUP(B1973,'Pre-Summary'!$A$6:$P$178,9,FALSE),AB1974)</f>
        <v>0.28971323731013532</v>
      </c>
      <c r="AC1973" s="10">
        <f>IFERROR(VLOOKUP(Summary!B1973,'Pre-Summary'!$A$6:$P$184,5, FALSE)/100,AC1974)</f>
        <v>0.97274333333333329</v>
      </c>
      <c r="AD1973" s="10">
        <f>IFERROR(VLOOKUP(Summary!B1973,'Pre-Summary'!$A$6:$P$184,3, FALSE)/100,AD1974)</f>
        <v>1.8589666666666668E-2</v>
      </c>
      <c r="AE1973" s="10">
        <f>IFERROR(VLOOKUP(Summary!B1973,'Pre-Summary'!$A$6:$P$184,7, FALSE)/100,AE1974)</f>
        <v>8.679000000000001E-3</v>
      </c>
      <c r="AF1973" s="99">
        <f t="shared" si="91"/>
        <v>5.3856725105163126E-3</v>
      </c>
      <c r="AG1973" s="99">
        <f t="shared" si="92"/>
        <v>2.5144211866146649E-3</v>
      </c>
      <c r="AH1973" s="10" t="str">
        <f>IFERROR(VLOOKUP(B1973,'Pre-Summary'!$AZ$6:$BE$65,3,FALSE),"")</f>
        <v/>
      </c>
      <c r="AI1973" s="10" t="str">
        <f>IFERROR(VLOOKUP(B1973,'Pre-Summary'!$AZ$6:$BE$65,5,FALSE),"")</f>
        <v/>
      </c>
      <c r="AJ1973" s="10" t="str">
        <f>IFERROR(VLOOKUP(B1973,'Pre-Summary'!$AZ$6:$BE$65,4,FALSE),"")</f>
        <v/>
      </c>
      <c r="AK1973" s="10" t="str">
        <f>IFERROR(VLOOKUP(B1973,'Pre-Summary'!$AZ$6:$BE$65,6,FALSE),"")</f>
        <v/>
      </c>
      <c r="AL1973" s="10" t="str">
        <f>IFERROR(VLOOKUP(B1973,'Pre-Summary'!$BG$6:$BL$44,3,FALSE),"")</f>
        <v/>
      </c>
      <c r="AM1973" s="10" t="str">
        <f>IFERROR(VLOOKUP(B1973,'Pre-Summary'!$BG$6:$BL$44,4,FALSE),"")</f>
        <v/>
      </c>
    </row>
    <row r="1974" spans="2:39" ht="15" customHeight="1" x14ac:dyDescent="0.3">
      <c r="B1974">
        <v>197.1</v>
      </c>
      <c r="C1974" t="str">
        <f>IFERROR(VLOOKUP(B1974,'Pre-Summary'!$DI$6:$DM$23,4,FALSE),"")</f>
        <v/>
      </c>
      <c r="D1974" s="10" t="str">
        <f>IFERROR(VLOOKUP(B1974,'Pre-Summary'!$AT$6:$AX$14,5,FALSE),D1973)</f>
        <v>Wolfe v3: went back to modified wolfe + EDTA and switched CuSO4 to CUCl2</v>
      </c>
      <c r="E1974" s="10" t="str">
        <f>IFERROR(VLOOKUP(B1974,'Pre-Summary'!$AT$6:$AX$15,4,FALSE),"")</f>
        <v/>
      </c>
      <c r="F1974">
        <f>IFERROR(VLOOKUP(B1974,'Pre-Summary'!$AL$6:$AQ$13,6,FALSE),F1973)</f>
        <v>5.9405263157894746E-2</v>
      </c>
      <c r="G1974" t="str">
        <f>IFERROR(VLOOKUP(B1974,'Pre-Summary'!$AE$6:$AJ$85,3,FALSE),"")</f>
        <v/>
      </c>
      <c r="H1974" t="str">
        <f>IFERROR(VLOOKUP(B1974,'Pre-Summary'!$AE$6:$AJ$85,4,FALSE),"")</f>
        <v/>
      </c>
      <c r="I1974" t="str">
        <f>IFERROR(VLOOKUP(B1974,'Pre-Summary'!$AE$6:$AJ$85,5,FALSE),"")</f>
        <v/>
      </c>
      <c r="J1974" s="45" t="str">
        <f>IFERROR(VLOOKUP(B1974,'Pre-Summary'!$AE$6:$AJ$85,6, FALSE),"")</f>
        <v/>
      </c>
      <c r="K1974" s="45" t="str">
        <f>IFERROR(VLOOKUP(B1974,'Pre-Summary'!$DE$6:$DG$61,3,FALSE),"")</f>
        <v/>
      </c>
      <c r="L1974" s="45" t="str">
        <f>IFERROR(VLOOKUP(B1974,'Pre-Summary'!$CU$6:$CW$36,3,FALSE),"")</f>
        <v/>
      </c>
      <c r="M1974" s="45" t="str">
        <f>IFERROR(VLOOKUP(B1974,'Pre-Summary'!$BW$6:$BY$58,2,FALSE),"")</f>
        <v/>
      </c>
      <c r="N1974" s="45" t="str">
        <f>IFERROR(VLOOKUP(B1974,'Pre-Summary'!$CD$6:$CF$64,2,FALSE),"")</f>
        <v/>
      </c>
      <c r="O1974" s="99">
        <f>IFERROR(VLOOKUP(B1974,'Pre-Summary'!$BO$6:$BQ$48,3, FALSE),O1973)</f>
        <v>1.3480000000000001</v>
      </c>
      <c r="P1974" s="99">
        <f>IFERROR(VLOOKUP(B1974,'Pre-Summary'!$BS$6:$BU$35,3,FALSE),P1973)</f>
        <v>0.33700000000000002</v>
      </c>
      <c r="Q1974" s="54">
        <f t="shared" si="90"/>
        <v>4</v>
      </c>
      <c r="R1974" s="53">
        <f>IFERROR(VLOOKUP(B1974,'Pre-Summary'!$BG$6:$BM$44,7,FALSE),R1975)</f>
        <v>6.2037889674656205E-2</v>
      </c>
      <c r="S1974" s="53">
        <f>IFERROR(VLOOKUP(B1974,'Pre-Summary'!$BG$6:$BM$44,6,FALSE),S1975)</f>
        <v>5.8400630293479062E-2</v>
      </c>
      <c r="T1974" s="45" t="str">
        <f>IFERROR(VLOOKUP(B1974,'Pre-Summary'!$Y$6:$AC$83, 3,FALSE),"")</f>
        <v/>
      </c>
      <c r="U1974" s="45" t="str">
        <f>IFERROR(VLOOKUP(B1974,'Pre-Summary'!$Y$6:$AC$83, 4,FALSE),"")</f>
        <v/>
      </c>
      <c r="V1974" t="str">
        <f>IFERROR(VLOOKUP(B1974,'Pre-Summary'!$Y$6:$AC$83, 5,FALSE),"")</f>
        <v/>
      </c>
      <c r="W1974" s="45" t="str">
        <f>IFERROR(VLOOKUP(B1974,'Pre-Summary'!$Y$6:$AD$83,6,FALSE),"")</f>
        <v/>
      </c>
      <c r="X1974" t="str">
        <f>IFERROR(VLOOKUP('Pre-Summary'!$DB$6:$DD$63,3,FALSE),"")</f>
        <v/>
      </c>
      <c r="Y1974" t="str">
        <f>IFERROR(VLOOKUP(B1974,'Pre-Summary'!$CR$6:$CT$36,3,FALSE),"")</f>
        <v/>
      </c>
      <c r="Z1974" s="45" t="str">
        <f>IFERROR(VLOOKUP(B1974,'Pre-Summary'!$BZ$6:$CB$63,2,FALSE),"")</f>
        <v/>
      </c>
      <c r="AA1974" s="45" t="str">
        <f>IFERROR(VLOOKUP(B1974,'Pre-Summary'!$CG$6:$CI$70,2,FALSE),"")</f>
        <v/>
      </c>
      <c r="AB1974" s="99">
        <f>IFERROR(VLOOKUP(B1974,'Pre-Summary'!$A$6:$P$178,9,FALSE),AB1975)</f>
        <v>0.34645337423384143</v>
      </c>
      <c r="AC1974" s="10">
        <f>IFERROR(VLOOKUP(Summary!B1974,'Pre-Summary'!$A$6:$P$184,5, FALSE)/100,AC1975)</f>
        <v>0.95914699999999997</v>
      </c>
      <c r="AD1974" s="10">
        <f>IFERROR(VLOOKUP(Summary!B1974,'Pre-Summary'!$A$6:$P$184,3, FALSE)/100,AD1975)</f>
        <v>3.5208666666666666E-2</v>
      </c>
      <c r="AE1974" s="10">
        <f>IFERROR(VLOOKUP(Summary!B1974,'Pre-Summary'!$A$6:$P$184,7, FALSE)/100,AE1975)</f>
        <v>5.6443333333333337E-3</v>
      </c>
      <c r="AF1974" s="99">
        <f t="shared" si="91"/>
        <v>1.2198161368941245E-2</v>
      </c>
      <c r="AG1974" s="99">
        <f t="shared" si="92"/>
        <v>1.9554983286338792E-3</v>
      </c>
      <c r="AH1974" s="10" t="str">
        <f>IFERROR(VLOOKUP(B1974,'Pre-Summary'!$AZ$6:$BE$65,3,FALSE),"")</f>
        <v/>
      </c>
      <c r="AI1974" s="10" t="str">
        <f>IFERROR(VLOOKUP(B1974,'Pre-Summary'!$AZ$6:$BE$65,5,FALSE),"")</f>
        <v/>
      </c>
      <c r="AJ1974" s="10" t="str">
        <f>IFERROR(VLOOKUP(B1974,'Pre-Summary'!$AZ$6:$BE$65,4,FALSE),"")</f>
        <v/>
      </c>
      <c r="AK1974" s="10" t="str">
        <f>IFERROR(VLOOKUP(B1974,'Pre-Summary'!$AZ$6:$BE$65,6,FALSE),"")</f>
        <v/>
      </c>
      <c r="AL1974" s="10" t="str">
        <f>IFERROR(VLOOKUP(B1974,'Pre-Summary'!$BG$6:$BL$44,3,FALSE),"")</f>
        <v/>
      </c>
      <c r="AM1974" s="10" t="str">
        <f>IFERROR(VLOOKUP(B1974,'Pre-Summary'!$BG$6:$BL$44,4,FALSE),"")</f>
        <v/>
      </c>
    </row>
    <row r="1975" spans="2:39" ht="15" customHeight="1" x14ac:dyDescent="0.3">
      <c r="B1975">
        <v>197.2</v>
      </c>
      <c r="C1975" t="str">
        <f>IFERROR(VLOOKUP(B1975,'Pre-Summary'!$DI$6:$DM$23,4,FALSE),"")</f>
        <v/>
      </c>
      <c r="D1975" s="10" t="str">
        <f>IFERROR(VLOOKUP(B1975,'Pre-Summary'!$AT$6:$AX$14,5,FALSE),D1974)</f>
        <v>Wolfe v3: went back to modified wolfe + EDTA and switched CuSO4 to CUCl2</v>
      </c>
      <c r="E1975" s="10" t="str">
        <f>IFERROR(VLOOKUP(B1975,'Pre-Summary'!$AT$6:$AX$15,4,FALSE),"")</f>
        <v/>
      </c>
      <c r="F1975">
        <f>IFERROR(VLOOKUP(B1975,'Pre-Summary'!$AL$6:$AQ$13,6,FALSE),F1974)</f>
        <v>5.9405263157894746E-2</v>
      </c>
      <c r="G1975" t="str">
        <f>IFERROR(VLOOKUP(B1975,'Pre-Summary'!$AE$6:$AJ$85,3,FALSE),"")</f>
        <v/>
      </c>
      <c r="H1975" t="str">
        <f>IFERROR(VLOOKUP(B1975,'Pre-Summary'!$AE$6:$AJ$85,4,FALSE),"")</f>
        <v/>
      </c>
      <c r="I1975" t="str">
        <f>IFERROR(VLOOKUP(B1975,'Pre-Summary'!$AE$6:$AJ$85,5,FALSE),"")</f>
        <v/>
      </c>
      <c r="J1975" s="45" t="str">
        <f>IFERROR(VLOOKUP(B1975,'Pre-Summary'!$AE$6:$AJ$85,6, FALSE),"")</f>
        <v/>
      </c>
      <c r="K1975" s="45" t="str">
        <f>IFERROR(VLOOKUP(B1975,'Pre-Summary'!$DE$6:$DG$61,3,FALSE),"")</f>
        <v/>
      </c>
      <c r="L1975" s="45" t="str">
        <f>IFERROR(VLOOKUP(B1975,'Pre-Summary'!$CU$6:$CW$36,3,FALSE),"")</f>
        <v/>
      </c>
      <c r="M1975" s="45" t="str">
        <f>IFERROR(VLOOKUP(B1975,'Pre-Summary'!$BW$6:$BY$58,2,FALSE),"")</f>
        <v/>
      </c>
      <c r="N1975" s="45" t="str">
        <f>IFERROR(VLOOKUP(B1975,'Pre-Summary'!$CD$6:$CF$64,2,FALSE),"")</f>
        <v/>
      </c>
      <c r="O1975" s="99">
        <f>IFERROR(VLOOKUP(B1975,'Pre-Summary'!$BO$6:$BQ$48,3, FALSE),O1974)</f>
        <v>1.3480000000000001</v>
      </c>
      <c r="P1975" s="99">
        <f>IFERROR(VLOOKUP(B1975,'Pre-Summary'!$BS$6:$BU$35,3,FALSE),P1974)</f>
        <v>0.33700000000000002</v>
      </c>
      <c r="Q1975" s="54">
        <f t="shared" si="90"/>
        <v>4</v>
      </c>
      <c r="R1975" s="53">
        <f>IFERROR(VLOOKUP(B1975,'Pre-Summary'!$BG$6:$BM$44,7,FALSE),R1976)</f>
        <v>6.2037889674656205E-2</v>
      </c>
      <c r="S1975" s="53">
        <f>IFERROR(VLOOKUP(B1975,'Pre-Summary'!$BG$6:$BM$44,6,FALSE),S1976)</f>
        <v>5.8400630293479062E-2</v>
      </c>
      <c r="T1975" s="45" t="str">
        <f>IFERROR(VLOOKUP(B1975,'Pre-Summary'!$Y$6:$AC$83, 3,FALSE),"")</f>
        <v/>
      </c>
      <c r="U1975" s="45" t="str">
        <f>IFERROR(VLOOKUP(B1975,'Pre-Summary'!$Y$6:$AC$83, 4,FALSE),"")</f>
        <v/>
      </c>
      <c r="V1975" t="str">
        <f>IFERROR(VLOOKUP(B1975,'Pre-Summary'!$Y$6:$AC$83, 5,FALSE),"")</f>
        <v/>
      </c>
      <c r="W1975" s="45" t="str">
        <f>IFERROR(VLOOKUP(B1975,'Pre-Summary'!$Y$6:$AD$83,6,FALSE),"")</f>
        <v/>
      </c>
      <c r="X1975" t="str">
        <f>IFERROR(VLOOKUP('Pre-Summary'!$DB$6:$DD$63,3,FALSE),"")</f>
        <v/>
      </c>
      <c r="Y1975" t="str">
        <f>IFERROR(VLOOKUP(B1975,'Pre-Summary'!$CR$6:$CT$36,3,FALSE),"")</f>
        <v/>
      </c>
      <c r="Z1975" s="45" t="str">
        <f>IFERROR(VLOOKUP(B1975,'Pre-Summary'!$BZ$6:$CB$63,2,FALSE),"")</f>
        <v/>
      </c>
      <c r="AA1975" s="45" t="str">
        <f>IFERROR(VLOOKUP(B1975,'Pre-Summary'!$CG$6:$CI$70,2,FALSE),"")</f>
        <v/>
      </c>
      <c r="AB1975" s="99">
        <f>IFERROR(VLOOKUP(B1975,'Pre-Summary'!$A$6:$P$178,9,FALSE),AB1976)</f>
        <v>0.34645337423384143</v>
      </c>
      <c r="AC1975" s="10">
        <f>IFERROR(VLOOKUP(Summary!B1975,'Pre-Summary'!$A$6:$P$184,5, FALSE)/100,AC1976)</f>
        <v>0.95914699999999997</v>
      </c>
      <c r="AD1975" s="10">
        <f>IFERROR(VLOOKUP(Summary!B1975,'Pre-Summary'!$A$6:$P$184,3, FALSE)/100,AD1976)</f>
        <v>3.5208666666666666E-2</v>
      </c>
      <c r="AE1975" s="10">
        <f>IFERROR(VLOOKUP(Summary!B1975,'Pre-Summary'!$A$6:$P$184,7, FALSE)/100,AE1976)</f>
        <v>5.6443333333333337E-3</v>
      </c>
      <c r="AF1975" s="99">
        <f t="shared" si="91"/>
        <v>1.2198161368941245E-2</v>
      </c>
      <c r="AG1975" s="99">
        <f t="shared" si="92"/>
        <v>1.9554983286338792E-3</v>
      </c>
      <c r="AH1975" s="10" t="str">
        <f>IFERROR(VLOOKUP(B1975,'Pre-Summary'!$AZ$6:$BE$65,3,FALSE),"")</f>
        <v/>
      </c>
      <c r="AI1975" s="10" t="str">
        <f>IFERROR(VLOOKUP(B1975,'Pre-Summary'!$AZ$6:$BE$65,5,FALSE),"")</f>
        <v/>
      </c>
      <c r="AJ1975" s="10" t="str">
        <f>IFERROR(VLOOKUP(B1975,'Pre-Summary'!$AZ$6:$BE$65,4,FALSE),"")</f>
        <v/>
      </c>
      <c r="AK1975" s="10" t="str">
        <f>IFERROR(VLOOKUP(B1975,'Pre-Summary'!$AZ$6:$BE$65,6,FALSE),"")</f>
        <v/>
      </c>
      <c r="AL1975" s="10" t="str">
        <f>IFERROR(VLOOKUP(B1975,'Pre-Summary'!$BG$6:$BL$44,3,FALSE),"")</f>
        <v/>
      </c>
      <c r="AM1975" s="10" t="str">
        <f>IFERROR(VLOOKUP(B1975,'Pre-Summary'!$BG$6:$BL$44,4,FALSE),"")</f>
        <v/>
      </c>
    </row>
    <row r="1976" spans="2:39" ht="15" customHeight="1" x14ac:dyDescent="0.3">
      <c r="B1976">
        <v>197.3</v>
      </c>
      <c r="C1976" t="str">
        <f>IFERROR(VLOOKUP(B1976,'Pre-Summary'!$DI$6:$DM$23,4,FALSE),"")</f>
        <v/>
      </c>
      <c r="D1976" s="10" t="str">
        <f>IFERROR(VLOOKUP(B1976,'Pre-Summary'!$AT$6:$AX$14,5,FALSE),D1975)</f>
        <v>Wolfe v3: went back to modified wolfe + EDTA and switched CuSO4 to CUCl2</v>
      </c>
      <c r="E1976" s="10" t="str">
        <f>IFERROR(VLOOKUP(B1976,'Pre-Summary'!$AT$6:$AX$15,4,FALSE),"")</f>
        <v/>
      </c>
      <c r="F1976">
        <f>IFERROR(VLOOKUP(B1976,'Pre-Summary'!$AL$6:$AQ$13,6,FALSE),F1975)</f>
        <v>5.9405263157894746E-2</v>
      </c>
      <c r="G1976" t="str">
        <f>IFERROR(VLOOKUP(B1976,'Pre-Summary'!$AE$6:$AJ$85,3,FALSE),"")</f>
        <v/>
      </c>
      <c r="H1976" t="str">
        <f>IFERROR(VLOOKUP(B1976,'Pre-Summary'!$AE$6:$AJ$85,4,FALSE),"")</f>
        <v/>
      </c>
      <c r="I1976" t="str">
        <f>IFERROR(VLOOKUP(B1976,'Pre-Summary'!$AE$6:$AJ$85,5,FALSE),"")</f>
        <v/>
      </c>
      <c r="J1976" s="45" t="str">
        <f>IFERROR(VLOOKUP(B1976,'Pre-Summary'!$AE$6:$AJ$85,6, FALSE),"")</f>
        <v/>
      </c>
      <c r="K1976" s="45" t="str">
        <f>IFERROR(VLOOKUP(B1976,'Pre-Summary'!$DE$6:$DG$61,3,FALSE),"")</f>
        <v/>
      </c>
      <c r="L1976" s="45" t="str">
        <f>IFERROR(VLOOKUP(B1976,'Pre-Summary'!$CU$6:$CW$36,3,FALSE),"")</f>
        <v/>
      </c>
      <c r="M1976" s="45" t="str">
        <f>IFERROR(VLOOKUP(B1976,'Pre-Summary'!$BW$6:$BY$58,2,FALSE),"")</f>
        <v/>
      </c>
      <c r="N1976" s="45" t="str">
        <f>IFERROR(VLOOKUP(B1976,'Pre-Summary'!$CD$6:$CF$64,2,FALSE),"")</f>
        <v/>
      </c>
      <c r="O1976" s="99">
        <f>IFERROR(VLOOKUP(B1976,'Pre-Summary'!$BO$6:$BQ$48,3, FALSE),O1975)</f>
        <v>1.3480000000000001</v>
      </c>
      <c r="P1976" s="99">
        <f>IFERROR(VLOOKUP(B1976,'Pre-Summary'!$BS$6:$BU$35,3,FALSE),P1975)</f>
        <v>0.33700000000000002</v>
      </c>
      <c r="Q1976" s="54">
        <f t="shared" si="90"/>
        <v>4</v>
      </c>
      <c r="R1976" s="53">
        <f>IFERROR(VLOOKUP(B1976,'Pre-Summary'!$BG$6:$BM$44,7,FALSE),R1977)</f>
        <v>6.2037889674656205E-2</v>
      </c>
      <c r="S1976" s="53">
        <f>IFERROR(VLOOKUP(B1976,'Pre-Summary'!$BG$6:$BM$44,6,FALSE),S1977)</f>
        <v>5.8400630293479062E-2</v>
      </c>
      <c r="T1976" s="45" t="str">
        <f>IFERROR(VLOOKUP(B1976,'Pre-Summary'!$Y$6:$AC$83, 3,FALSE),"")</f>
        <v/>
      </c>
      <c r="U1976" s="45" t="str">
        <f>IFERROR(VLOOKUP(B1976,'Pre-Summary'!$Y$6:$AC$83, 4,FALSE),"")</f>
        <v/>
      </c>
      <c r="V1976" t="str">
        <f>IFERROR(VLOOKUP(B1976,'Pre-Summary'!$Y$6:$AC$83, 5,FALSE),"")</f>
        <v/>
      </c>
      <c r="W1976" s="45" t="str">
        <f>IFERROR(VLOOKUP(B1976,'Pre-Summary'!$Y$6:$AD$83,6,FALSE),"")</f>
        <v/>
      </c>
      <c r="X1976" t="str">
        <f>IFERROR(VLOOKUP('Pre-Summary'!$DB$6:$DD$63,3,FALSE),"")</f>
        <v/>
      </c>
      <c r="Y1976" t="str">
        <f>IFERROR(VLOOKUP(B1976,'Pre-Summary'!$CR$6:$CT$36,3,FALSE),"")</f>
        <v/>
      </c>
      <c r="Z1976" s="45" t="str">
        <f>IFERROR(VLOOKUP(B1976,'Pre-Summary'!$BZ$6:$CB$63,2,FALSE),"")</f>
        <v/>
      </c>
      <c r="AA1976" s="45" t="str">
        <f>IFERROR(VLOOKUP(B1976,'Pre-Summary'!$CG$6:$CI$70,2,FALSE),"")</f>
        <v/>
      </c>
      <c r="AB1976" s="99">
        <f>IFERROR(VLOOKUP(B1976,'Pre-Summary'!$A$6:$P$178,9,FALSE),AB1977)</f>
        <v>0.34645337423384143</v>
      </c>
      <c r="AC1976" s="10">
        <f>IFERROR(VLOOKUP(Summary!B1976,'Pre-Summary'!$A$6:$P$184,5, FALSE)/100,AC1977)</f>
        <v>0.95914699999999997</v>
      </c>
      <c r="AD1976" s="10">
        <f>IFERROR(VLOOKUP(Summary!B1976,'Pre-Summary'!$A$6:$P$184,3, FALSE)/100,AD1977)</f>
        <v>3.5208666666666666E-2</v>
      </c>
      <c r="AE1976" s="10">
        <f>IFERROR(VLOOKUP(Summary!B1976,'Pre-Summary'!$A$6:$P$184,7, FALSE)/100,AE1977)</f>
        <v>5.6443333333333337E-3</v>
      </c>
      <c r="AF1976" s="99">
        <f t="shared" si="91"/>
        <v>1.2198161368941245E-2</v>
      </c>
      <c r="AG1976" s="99">
        <f t="shared" si="92"/>
        <v>1.9554983286338792E-3</v>
      </c>
      <c r="AH1976" s="10" t="str">
        <f>IFERROR(VLOOKUP(B1976,'Pre-Summary'!$AZ$6:$BE$65,3,FALSE),"")</f>
        <v/>
      </c>
      <c r="AI1976" s="10" t="str">
        <f>IFERROR(VLOOKUP(B1976,'Pre-Summary'!$AZ$6:$BE$65,5,FALSE),"")</f>
        <v/>
      </c>
      <c r="AJ1976" s="10" t="str">
        <f>IFERROR(VLOOKUP(B1976,'Pre-Summary'!$AZ$6:$BE$65,4,FALSE),"")</f>
        <v/>
      </c>
      <c r="AK1976" s="10" t="str">
        <f>IFERROR(VLOOKUP(B1976,'Pre-Summary'!$AZ$6:$BE$65,6,FALSE),"")</f>
        <v/>
      </c>
      <c r="AL1976" s="10" t="str">
        <f>IFERROR(VLOOKUP(B1976,'Pre-Summary'!$BG$6:$BL$44,3,FALSE),"")</f>
        <v/>
      </c>
      <c r="AM1976" s="10" t="str">
        <f>IFERROR(VLOOKUP(B1976,'Pre-Summary'!$BG$6:$BL$44,4,FALSE),"")</f>
        <v/>
      </c>
    </row>
    <row r="1977" spans="2:39" ht="15" customHeight="1" x14ac:dyDescent="0.3">
      <c r="B1977">
        <v>197.4</v>
      </c>
      <c r="C1977" t="str">
        <f>IFERROR(VLOOKUP(B1977,'Pre-Summary'!$DI$6:$DM$23,4,FALSE),"")</f>
        <v/>
      </c>
      <c r="D1977" s="10" t="str">
        <f>IFERROR(VLOOKUP(B1977,'Pre-Summary'!$AT$6:$AX$14,5,FALSE),D1976)</f>
        <v>Wolfe v3: went back to modified wolfe + EDTA and switched CuSO4 to CUCl2</v>
      </c>
      <c r="E1977" s="10" t="str">
        <f>IFERROR(VLOOKUP(B1977,'Pre-Summary'!$AT$6:$AX$15,4,FALSE),"")</f>
        <v/>
      </c>
      <c r="F1977">
        <f>IFERROR(VLOOKUP(B1977,'Pre-Summary'!$AL$6:$AQ$13,6,FALSE),F1976)</f>
        <v>5.9405263157894746E-2</v>
      </c>
      <c r="G1977" t="str">
        <f>IFERROR(VLOOKUP(B1977,'Pre-Summary'!$AE$6:$AJ$85,3,FALSE),"")</f>
        <v/>
      </c>
      <c r="H1977" t="str">
        <f>IFERROR(VLOOKUP(B1977,'Pre-Summary'!$AE$6:$AJ$85,4,FALSE),"")</f>
        <v/>
      </c>
      <c r="I1977" t="str">
        <f>IFERROR(VLOOKUP(B1977,'Pre-Summary'!$AE$6:$AJ$85,5,FALSE),"")</f>
        <v/>
      </c>
      <c r="J1977" s="45" t="str">
        <f>IFERROR(VLOOKUP(B1977,'Pre-Summary'!$AE$6:$AJ$85,6, FALSE),"")</f>
        <v/>
      </c>
      <c r="K1977" s="45" t="str">
        <f>IFERROR(VLOOKUP(B1977,'Pre-Summary'!$DE$6:$DG$61,3,FALSE),"")</f>
        <v/>
      </c>
      <c r="L1977" s="45" t="str">
        <f>IFERROR(VLOOKUP(B1977,'Pre-Summary'!$CU$6:$CW$36,3,FALSE),"")</f>
        <v/>
      </c>
      <c r="M1977" s="45" t="str">
        <f>IFERROR(VLOOKUP(B1977,'Pre-Summary'!$BW$6:$BY$58,2,FALSE),"")</f>
        <v/>
      </c>
      <c r="N1977" s="45" t="str">
        <f>IFERROR(VLOOKUP(B1977,'Pre-Summary'!$CD$6:$CF$64,2,FALSE),"")</f>
        <v/>
      </c>
      <c r="O1977" s="99">
        <f>IFERROR(VLOOKUP(B1977,'Pre-Summary'!$BO$6:$BQ$48,3, FALSE),O1976)</f>
        <v>1.3480000000000001</v>
      </c>
      <c r="P1977" s="99">
        <f>IFERROR(VLOOKUP(B1977,'Pre-Summary'!$BS$6:$BU$35,3,FALSE),P1976)</f>
        <v>0.33700000000000002</v>
      </c>
      <c r="Q1977" s="54">
        <f t="shared" si="90"/>
        <v>4</v>
      </c>
      <c r="R1977" s="53">
        <f>IFERROR(VLOOKUP(B1977,'Pre-Summary'!$BG$6:$BM$44,7,FALSE),R1978)</f>
        <v>6.2037889674656205E-2</v>
      </c>
      <c r="S1977" s="53">
        <f>IFERROR(VLOOKUP(B1977,'Pre-Summary'!$BG$6:$BM$44,6,FALSE),S1978)</f>
        <v>5.8400630293479062E-2</v>
      </c>
      <c r="T1977" s="45" t="str">
        <f>IFERROR(VLOOKUP(B1977,'Pre-Summary'!$Y$6:$AC$83, 3,FALSE),"")</f>
        <v/>
      </c>
      <c r="U1977" s="45" t="str">
        <f>IFERROR(VLOOKUP(B1977,'Pre-Summary'!$Y$6:$AC$83, 4,FALSE),"")</f>
        <v/>
      </c>
      <c r="V1977" t="str">
        <f>IFERROR(VLOOKUP(B1977,'Pre-Summary'!$Y$6:$AC$83, 5,FALSE),"")</f>
        <v/>
      </c>
      <c r="W1977" s="45" t="str">
        <f>IFERROR(VLOOKUP(B1977,'Pre-Summary'!$Y$6:$AD$83,6,FALSE),"")</f>
        <v/>
      </c>
      <c r="X1977" t="str">
        <f>IFERROR(VLOOKUP('Pre-Summary'!$DB$6:$DD$63,3,FALSE),"")</f>
        <v/>
      </c>
      <c r="Y1977" t="str">
        <f>IFERROR(VLOOKUP(B1977,'Pre-Summary'!$CR$6:$CT$36,3,FALSE),"")</f>
        <v/>
      </c>
      <c r="Z1977" s="45" t="str">
        <f>IFERROR(VLOOKUP(B1977,'Pre-Summary'!$BZ$6:$CB$63,2,FALSE),"")</f>
        <v/>
      </c>
      <c r="AA1977" s="45" t="str">
        <f>IFERROR(VLOOKUP(B1977,'Pre-Summary'!$CG$6:$CI$70,2,FALSE),"")</f>
        <v/>
      </c>
      <c r="AB1977" s="99">
        <f>IFERROR(VLOOKUP(B1977,'Pre-Summary'!$A$6:$P$178,9,FALSE),AB1978)</f>
        <v>0.34645337423384143</v>
      </c>
      <c r="AC1977" s="10">
        <f>IFERROR(VLOOKUP(Summary!B1977,'Pre-Summary'!$A$6:$P$184,5, FALSE)/100,AC1978)</f>
        <v>0.95914699999999997</v>
      </c>
      <c r="AD1977" s="10">
        <f>IFERROR(VLOOKUP(Summary!B1977,'Pre-Summary'!$A$6:$P$184,3, FALSE)/100,AD1978)</f>
        <v>3.5208666666666666E-2</v>
      </c>
      <c r="AE1977" s="10">
        <f>IFERROR(VLOOKUP(Summary!B1977,'Pre-Summary'!$A$6:$P$184,7, FALSE)/100,AE1978)</f>
        <v>5.6443333333333337E-3</v>
      </c>
      <c r="AF1977" s="99">
        <f t="shared" si="91"/>
        <v>1.2198161368941245E-2</v>
      </c>
      <c r="AG1977" s="99">
        <f t="shared" si="92"/>
        <v>1.9554983286338792E-3</v>
      </c>
      <c r="AH1977" s="10" t="str">
        <f>IFERROR(VLOOKUP(B1977,'Pre-Summary'!$AZ$6:$BE$65,3,FALSE),"")</f>
        <v/>
      </c>
      <c r="AI1977" s="10" t="str">
        <f>IFERROR(VLOOKUP(B1977,'Pre-Summary'!$AZ$6:$BE$65,5,FALSE),"")</f>
        <v/>
      </c>
      <c r="AJ1977" s="10" t="str">
        <f>IFERROR(VLOOKUP(B1977,'Pre-Summary'!$AZ$6:$BE$65,4,FALSE),"")</f>
        <v/>
      </c>
      <c r="AK1977" s="10" t="str">
        <f>IFERROR(VLOOKUP(B1977,'Pre-Summary'!$AZ$6:$BE$65,6,FALSE),"")</f>
        <v/>
      </c>
      <c r="AL1977" s="10" t="str">
        <f>IFERROR(VLOOKUP(B1977,'Pre-Summary'!$BG$6:$BL$44,3,FALSE),"")</f>
        <v/>
      </c>
      <c r="AM1977" s="10" t="str">
        <f>IFERROR(VLOOKUP(B1977,'Pre-Summary'!$BG$6:$BL$44,4,FALSE),"")</f>
        <v/>
      </c>
    </row>
    <row r="1978" spans="2:39" ht="15" customHeight="1" x14ac:dyDescent="0.3">
      <c r="B1978">
        <v>197.5</v>
      </c>
      <c r="C1978" t="str">
        <f>IFERROR(VLOOKUP(B1978,'Pre-Summary'!$DI$6:$DM$23,4,FALSE),"")</f>
        <v/>
      </c>
      <c r="D1978" s="10" t="str">
        <f>IFERROR(VLOOKUP(B1978,'Pre-Summary'!$AT$6:$AX$14,5,FALSE),D1977)</f>
        <v>Wolfe v3: went back to modified wolfe + EDTA and switched CuSO4 to CUCl2</v>
      </c>
      <c r="E1978" s="10" t="str">
        <f>IFERROR(VLOOKUP(B1978,'Pre-Summary'!$AT$6:$AX$15,4,FALSE),"")</f>
        <v/>
      </c>
      <c r="F1978">
        <f>IFERROR(VLOOKUP(B1978,'Pre-Summary'!$AL$6:$AQ$13,6,FALSE),F1977)</f>
        <v>5.9405263157894746E-2</v>
      </c>
      <c r="G1978" t="str">
        <f>IFERROR(VLOOKUP(B1978,'Pre-Summary'!$AE$6:$AJ$85,3,FALSE),"")</f>
        <v/>
      </c>
      <c r="H1978" t="str">
        <f>IFERROR(VLOOKUP(B1978,'Pre-Summary'!$AE$6:$AJ$85,4,FALSE),"")</f>
        <v/>
      </c>
      <c r="I1978" t="str">
        <f>IFERROR(VLOOKUP(B1978,'Pre-Summary'!$AE$6:$AJ$85,5,FALSE),"")</f>
        <v/>
      </c>
      <c r="J1978" s="45" t="str">
        <f>IFERROR(VLOOKUP(B1978,'Pre-Summary'!$AE$6:$AJ$85,6, FALSE),"")</f>
        <v/>
      </c>
      <c r="K1978" s="45" t="str">
        <f>IFERROR(VLOOKUP(B1978,'Pre-Summary'!$DE$6:$DG$61,3,FALSE),"")</f>
        <v/>
      </c>
      <c r="L1978" s="45" t="str">
        <f>IFERROR(VLOOKUP(B1978,'Pre-Summary'!$CU$6:$CW$36,3,FALSE),"")</f>
        <v/>
      </c>
      <c r="M1978" s="45" t="str">
        <f>IFERROR(VLOOKUP(B1978,'Pre-Summary'!$BW$6:$BY$58,2,FALSE),"")</f>
        <v/>
      </c>
      <c r="N1978" s="45" t="str">
        <f>IFERROR(VLOOKUP(B1978,'Pre-Summary'!$CD$6:$CF$64,2,FALSE),"")</f>
        <v/>
      </c>
      <c r="O1978" s="99">
        <f>IFERROR(VLOOKUP(B1978,'Pre-Summary'!$BO$6:$BQ$48,3, FALSE),O1977)</f>
        <v>1.3480000000000001</v>
      </c>
      <c r="P1978" s="99">
        <f>IFERROR(VLOOKUP(B1978,'Pre-Summary'!$BS$6:$BU$35,3,FALSE),P1977)</f>
        <v>0.33700000000000002</v>
      </c>
      <c r="Q1978" s="54">
        <f t="shared" si="90"/>
        <v>4</v>
      </c>
      <c r="R1978" s="53">
        <f>IFERROR(VLOOKUP(B1978,'Pre-Summary'!$BG$6:$BM$44,7,FALSE),R1979)</f>
        <v>6.2037889674656205E-2</v>
      </c>
      <c r="S1978" s="53">
        <f>IFERROR(VLOOKUP(B1978,'Pre-Summary'!$BG$6:$BM$44,6,FALSE),S1979)</f>
        <v>5.8400630293479062E-2</v>
      </c>
      <c r="T1978" s="45" t="str">
        <f>IFERROR(VLOOKUP(B1978,'Pre-Summary'!$Y$6:$AC$83, 3,FALSE),"")</f>
        <v/>
      </c>
      <c r="U1978" s="45" t="str">
        <f>IFERROR(VLOOKUP(B1978,'Pre-Summary'!$Y$6:$AC$83, 4,FALSE),"")</f>
        <v/>
      </c>
      <c r="V1978" t="str">
        <f>IFERROR(VLOOKUP(B1978,'Pre-Summary'!$Y$6:$AC$83, 5,FALSE),"")</f>
        <v/>
      </c>
      <c r="W1978" s="45" t="str">
        <f>IFERROR(VLOOKUP(B1978,'Pre-Summary'!$Y$6:$AD$83,6,FALSE),"")</f>
        <v/>
      </c>
      <c r="X1978" t="str">
        <f>IFERROR(VLOOKUP('Pre-Summary'!$DB$6:$DD$63,3,FALSE),"")</f>
        <v/>
      </c>
      <c r="Y1978" t="str">
        <f>IFERROR(VLOOKUP(B1978,'Pre-Summary'!$CR$6:$CT$36,3,FALSE),"")</f>
        <v/>
      </c>
      <c r="Z1978" s="45" t="str">
        <f>IFERROR(VLOOKUP(B1978,'Pre-Summary'!$BZ$6:$CB$63,2,FALSE),"")</f>
        <v/>
      </c>
      <c r="AA1978" s="45" t="str">
        <f>IFERROR(VLOOKUP(B1978,'Pre-Summary'!$CG$6:$CI$70,2,FALSE),"")</f>
        <v/>
      </c>
      <c r="AB1978" s="99">
        <f>IFERROR(VLOOKUP(B1978,'Pre-Summary'!$A$6:$P$178,9,FALSE),AB1979)</f>
        <v>0.34645337423384143</v>
      </c>
      <c r="AC1978" s="10">
        <f>IFERROR(VLOOKUP(Summary!B1978,'Pre-Summary'!$A$6:$P$184,5, FALSE)/100,AC1979)</f>
        <v>0.95914699999999997</v>
      </c>
      <c r="AD1978" s="10">
        <f>IFERROR(VLOOKUP(Summary!B1978,'Pre-Summary'!$A$6:$P$184,3, FALSE)/100,AD1979)</f>
        <v>3.5208666666666666E-2</v>
      </c>
      <c r="AE1978" s="10">
        <f>IFERROR(VLOOKUP(Summary!B1978,'Pre-Summary'!$A$6:$P$184,7, FALSE)/100,AE1979)</f>
        <v>5.6443333333333337E-3</v>
      </c>
      <c r="AF1978" s="99">
        <f t="shared" si="91"/>
        <v>1.2198161368941245E-2</v>
      </c>
      <c r="AG1978" s="99">
        <f t="shared" si="92"/>
        <v>1.9554983286338792E-3</v>
      </c>
      <c r="AH1978" s="10" t="str">
        <f>IFERROR(VLOOKUP(B1978,'Pre-Summary'!$AZ$6:$BE$65,3,FALSE),"")</f>
        <v/>
      </c>
      <c r="AI1978" s="10" t="str">
        <f>IFERROR(VLOOKUP(B1978,'Pre-Summary'!$AZ$6:$BE$65,5,FALSE),"")</f>
        <v/>
      </c>
      <c r="AJ1978" s="10" t="str">
        <f>IFERROR(VLOOKUP(B1978,'Pre-Summary'!$AZ$6:$BE$65,4,FALSE),"")</f>
        <v/>
      </c>
      <c r="AK1978" s="10" t="str">
        <f>IFERROR(VLOOKUP(B1978,'Pre-Summary'!$AZ$6:$BE$65,6,FALSE),"")</f>
        <v/>
      </c>
      <c r="AL1978" s="10" t="str">
        <f>IFERROR(VLOOKUP(B1978,'Pre-Summary'!$BG$6:$BL$44,3,FALSE),"")</f>
        <v/>
      </c>
      <c r="AM1978" s="10" t="str">
        <f>IFERROR(VLOOKUP(B1978,'Pre-Summary'!$BG$6:$BL$44,4,FALSE),"")</f>
        <v/>
      </c>
    </row>
    <row r="1979" spans="2:39" ht="15" customHeight="1" x14ac:dyDescent="0.3">
      <c r="B1979">
        <v>197.6</v>
      </c>
      <c r="C1979" t="str">
        <f>IFERROR(VLOOKUP(B1979,'Pre-Summary'!$DI$6:$DM$23,4,FALSE),"")</f>
        <v/>
      </c>
      <c r="D1979" s="10" t="str">
        <f>IFERROR(VLOOKUP(B1979,'Pre-Summary'!$AT$6:$AX$14,5,FALSE),D1978)</f>
        <v>Wolfe v3: went back to modified wolfe + EDTA and switched CuSO4 to CUCl2</v>
      </c>
      <c r="E1979" s="10" t="str">
        <f>IFERROR(VLOOKUP(B1979,'Pre-Summary'!$AT$6:$AX$15,4,FALSE),"")</f>
        <v/>
      </c>
      <c r="F1979">
        <f>IFERROR(VLOOKUP(B1979,'Pre-Summary'!$AL$6:$AQ$13,6,FALSE),F1978)</f>
        <v>5.9405263157894746E-2</v>
      </c>
      <c r="G1979" t="str">
        <f>IFERROR(VLOOKUP(B1979,'Pre-Summary'!$AE$6:$AJ$85,3,FALSE),"")</f>
        <v/>
      </c>
      <c r="H1979" t="str">
        <f>IFERROR(VLOOKUP(B1979,'Pre-Summary'!$AE$6:$AJ$85,4,FALSE),"")</f>
        <v/>
      </c>
      <c r="I1979" t="str">
        <f>IFERROR(VLOOKUP(B1979,'Pre-Summary'!$AE$6:$AJ$85,5,FALSE),"")</f>
        <v/>
      </c>
      <c r="J1979" s="45" t="str">
        <f>IFERROR(VLOOKUP(B1979,'Pre-Summary'!$AE$6:$AJ$85,6, FALSE),"")</f>
        <v/>
      </c>
      <c r="K1979" s="45" t="str">
        <f>IFERROR(VLOOKUP(B1979,'Pre-Summary'!$DE$6:$DG$61,3,FALSE),"")</f>
        <v/>
      </c>
      <c r="L1979" s="45" t="str">
        <f>IFERROR(VLOOKUP(B1979,'Pre-Summary'!$CU$6:$CW$36,3,FALSE),"")</f>
        <v/>
      </c>
      <c r="M1979" s="45" t="str">
        <f>IFERROR(VLOOKUP(B1979,'Pre-Summary'!$BW$6:$BY$58,2,FALSE),"")</f>
        <v/>
      </c>
      <c r="N1979" s="45" t="str">
        <f>IFERROR(VLOOKUP(B1979,'Pre-Summary'!$CD$6:$CF$64,2,FALSE),"")</f>
        <v/>
      </c>
      <c r="O1979" s="99">
        <f>IFERROR(VLOOKUP(B1979,'Pre-Summary'!$BO$6:$BQ$48,3, FALSE),O1978)</f>
        <v>1.3480000000000001</v>
      </c>
      <c r="P1979" s="99">
        <f>IFERROR(VLOOKUP(B1979,'Pre-Summary'!$BS$6:$BU$35,3,FALSE),P1978)</f>
        <v>0.33700000000000002</v>
      </c>
      <c r="Q1979" s="54">
        <f t="shared" si="90"/>
        <v>4</v>
      </c>
      <c r="R1979" s="53">
        <f>IFERROR(VLOOKUP(B1979,'Pre-Summary'!$BG$6:$BM$44,7,FALSE),R1980)</f>
        <v>6.2037889674656205E-2</v>
      </c>
      <c r="S1979" s="53">
        <f>IFERROR(VLOOKUP(B1979,'Pre-Summary'!$BG$6:$BM$44,6,FALSE),S1980)</f>
        <v>5.8400630293479062E-2</v>
      </c>
      <c r="T1979" s="45" t="str">
        <f>IFERROR(VLOOKUP(B1979,'Pre-Summary'!$Y$6:$AC$83, 3,FALSE),"")</f>
        <v/>
      </c>
      <c r="U1979" s="45" t="str">
        <f>IFERROR(VLOOKUP(B1979,'Pre-Summary'!$Y$6:$AC$83, 4,FALSE),"")</f>
        <v/>
      </c>
      <c r="V1979" t="str">
        <f>IFERROR(VLOOKUP(B1979,'Pre-Summary'!$Y$6:$AC$83, 5,FALSE),"")</f>
        <v/>
      </c>
      <c r="W1979" s="45" t="str">
        <f>IFERROR(VLOOKUP(B1979,'Pre-Summary'!$Y$6:$AD$83,6,FALSE),"")</f>
        <v/>
      </c>
      <c r="X1979" t="str">
        <f>IFERROR(VLOOKUP('Pre-Summary'!$DB$6:$DD$63,3,FALSE),"")</f>
        <v/>
      </c>
      <c r="Y1979" t="str">
        <f>IFERROR(VLOOKUP(B1979,'Pre-Summary'!$CR$6:$CT$36,3,FALSE),"")</f>
        <v/>
      </c>
      <c r="Z1979" s="45" t="str">
        <f>IFERROR(VLOOKUP(B1979,'Pre-Summary'!$BZ$6:$CB$63,2,FALSE),"")</f>
        <v/>
      </c>
      <c r="AA1979" s="45" t="str">
        <f>IFERROR(VLOOKUP(B1979,'Pre-Summary'!$CG$6:$CI$70,2,FALSE),"")</f>
        <v/>
      </c>
      <c r="AB1979" s="99">
        <f>IFERROR(VLOOKUP(B1979,'Pre-Summary'!$A$6:$P$178,9,FALSE),AB1980)</f>
        <v>0.34645337423384143</v>
      </c>
      <c r="AC1979" s="10">
        <f>IFERROR(VLOOKUP(Summary!B1979,'Pre-Summary'!$A$6:$P$184,5, FALSE)/100,AC1980)</f>
        <v>0.95914699999999997</v>
      </c>
      <c r="AD1979" s="10">
        <f>IFERROR(VLOOKUP(Summary!B1979,'Pre-Summary'!$A$6:$P$184,3, FALSE)/100,AD1980)</f>
        <v>3.5208666666666666E-2</v>
      </c>
      <c r="AE1979" s="10">
        <f>IFERROR(VLOOKUP(Summary!B1979,'Pre-Summary'!$A$6:$P$184,7, FALSE)/100,AE1980)</f>
        <v>5.6443333333333337E-3</v>
      </c>
      <c r="AF1979" s="99">
        <f t="shared" si="91"/>
        <v>1.2198161368941245E-2</v>
      </c>
      <c r="AG1979" s="99">
        <f t="shared" si="92"/>
        <v>1.9554983286338792E-3</v>
      </c>
      <c r="AH1979" s="10" t="str">
        <f>IFERROR(VLOOKUP(B1979,'Pre-Summary'!$AZ$6:$BE$65,3,FALSE),"")</f>
        <v/>
      </c>
      <c r="AI1979" s="10" t="str">
        <f>IFERROR(VLOOKUP(B1979,'Pre-Summary'!$AZ$6:$BE$65,5,FALSE),"")</f>
        <v/>
      </c>
      <c r="AJ1979" s="10" t="str">
        <f>IFERROR(VLOOKUP(B1979,'Pre-Summary'!$AZ$6:$BE$65,4,FALSE),"")</f>
        <v/>
      </c>
      <c r="AK1979" s="10" t="str">
        <f>IFERROR(VLOOKUP(B1979,'Pre-Summary'!$AZ$6:$BE$65,6,FALSE),"")</f>
        <v/>
      </c>
      <c r="AL1979" s="10" t="str">
        <f>IFERROR(VLOOKUP(B1979,'Pre-Summary'!$BG$6:$BL$44,3,FALSE),"")</f>
        <v/>
      </c>
      <c r="AM1979" s="10" t="str">
        <f>IFERROR(VLOOKUP(B1979,'Pre-Summary'!$BG$6:$BL$44,4,FALSE),"")</f>
        <v/>
      </c>
    </row>
    <row r="1980" spans="2:39" ht="15" customHeight="1" x14ac:dyDescent="0.3">
      <c r="B1980">
        <v>197.7</v>
      </c>
      <c r="C1980" t="str">
        <f>IFERROR(VLOOKUP(B1980,'Pre-Summary'!$DI$6:$DM$23,4,FALSE),"")</f>
        <v/>
      </c>
      <c r="D1980" s="10" t="str">
        <f>IFERROR(VLOOKUP(B1980,'Pre-Summary'!$AT$6:$AX$14,5,FALSE),D1979)</f>
        <v>Wolfe v3: went back to modified wolfe + EDTA and switched CuSO4 to CUCl2</v>
      </c>
      <c r="E1980" s="10" t="str">
        <f>IFERROR(VLOOKUP(B1980,'Pre-Summary'!$AT$6:$AX$15,4,FALSE),"")</f>
        <v/>
      </c>
      <c r="F1980">
        <f>IFERROR(VLOOKUP(B1980,'Pre-Summary'!$AL$6:$AQ$13,6,FALSE),F1979)</f>
        <v>5.9405263157894746E-2</v>
      </c>
      <c r="G1980" t="str">
        <f>IFERROR(VLOOKUP(B1980,'Pre-Summary'!$AE$6:$AJ$85,3,FALSE),"")</f>
        <v/>
      </c>
      <c r="H1980" t="str">
        <f>IFERROR(VLOOKUP(B1980,'Pre-Summary'!$AE$6:$AJ$85,4,FALSE),"")</f>
        <v/>
      </c>
      <c r="I1980" t="str">
        <f>IFERROR(VLOOKUP(B1980,'Pre-Summary'!$AE$6:$AJ$85,5,FALSE),"")</f>
        <v/>
      </c>
      <c r="J1980" s="45" t="str">
        <f>IFERROR(VLOOKUP(B1980,'Pre-Summary'!$AE$6:$AJ$85,6, FALSE),"")</f>
        <v/>
      </c>
      <c r="K1980" s="45" t="str">
        <f>IFERROR(VLOOKUP(B1980,'Pre-Summary'!$DE$6:$DG$61,3,FALSE),"")</f>
        <v/>
      </c>
      <c r="L1980" s="45" t="str">
        <f>IFERROR(VLOOKUP(B1980,'Pre-Summary'!$CU$6:$CW$36,3,FALSE),"")</f>
        <v/>
      </c>
      <c r="M1980" s="45" t="str">
        <f>IFERROR(VLOOKUP(B1980,'Pre-Summary'!$BW$6:$BY$58,2,FALSE),"")</f>
        <v/>
      </c>
      <c r="N1980" s="45" t="str">
        <f>IFERROR(VLOOKUP(B1980,'Pre-Summary'!$CD$6:$CF$64,2,FALSE),"")</f>
        <v/>
      </c>
      <c r="O1980" s="99">
        <f>IFERROR(VLOOKUP(B1980,'Pre-Summary'!$BO$6:$BQ$48,3, FALSE),O1979)</f>
        <v>1.3480000000000001</v>
      </c>
      <c r="P1980" s="99">
        <f>IFERROR(VLOOKUP(B1980,'Pre-Summary'!$BS$6:$BU$35,3,FALSE),P1979)</f>
        <v>0.33700000000000002</v>
      </c>
      <c r="Q1980" s="54">
        <f t="shared" si="90"/>
        <v>4</v>
      </c>
      <c r="R1980" s="53">
        <f>IFERROR(VLOOKUP(B1980,'Pre-Summary'!$BG$6:$BM$44,7,FALSE),R1981)</f>
        <v>6.2037889674656205E-2</v>
      </c>
      <c r="S1980" s="53">
        <f>IFERROR(VLOOKUP(B1980,'Pre-Summary'!$BG$6:$BM$44,6,FALSE),S1981)</f>
        <v>5.8400630293479062E-2</v>
      </c>
      <c r="T1980" s="45" t="str">
        <f>IFERROR(VLOOKUP(B1980,'Pre-Summary'!$Y$6:$AC$83, 3,FALSE),"")</f>
        <v/>
      </c>
      <c r="U1980" s="45" t="str">
        <f>IFERROR(VLOOKUP(B1980,'Pre-Summary'!$Y$6:$AC$83, 4,FALSE),"")</f>
        <v/>
      </c>
      <c r="V1980" t="str">
        <f>IFERROR(VLOOKUP(B1980,'Pre-Summary'!$Y$6:$AC$83, 5,FALSE),"")</f>
        <v/>
      </c>
      <c r="W1980" s="45" t="str">
        <f>IFERROR(VLOOKUP(B1980,'Pre-Summary'!$Y$6:$AD$83,6,FALSE),"")</f>
        <v/>
      </c>
      <c r="X1980" t="str">
        <f>IFERROR(VLOOKUP('Pre-Summary'!$DB$6:$DD$63,3,FALSE),"")</f>
        <v/>
      </c>
      <c r="Y1980" t="str">
        <f>IFERROR(VLOOKUP(B1980,'Pre-Summary'!$CR$6:$CT$36,3,FALSE),"")</f>
        <v/>
      </c>
      <c r="Z1980" s="45" t="str">
        <f>IFERROR(VLOOKUP(B1980,'Pre-Summary'!$BZ$6:$CB$63,2,FALSE),"")</f>
        <v/>
      </c>
      <c r="AA1980" s="45" t="str">
        <f>IFERROR(VLOOKUP(B1980,'Pre-Summary'!$CG$6:$CI$70,2,FALSE),"")</f>
        <v/>
      </c>
      <c r="AB1980" s="99">
        <f>IFERROR(VLOOKUP(B1980,'Pre-Summary'!$A$6:$P$178,9,FALSE),AB1981)</f>
        <v>0.34645337423384143</v>
      </c>
      <c r="AC1980" s="10">
        <f>IFERROR(VLOOKUP(Summary!B1980,'Pre-Summary'!$A$6:$P$184,5, FALSE)/100,AC1981)</f>
        <v>0.95914699999999997</v>
      </c>
      <c r="AD1980" s="10">
        <f>IFERROR(VLOOKUP(Summary!B1980,'Pre-Summary'!$A$6:$P$184,3, FALSE)/100,AD1981)</f>
        <v>3.5208666666666666E-2</v>
      </c>
      <c r="AE1980" s="10">
        <f>IFERROR(VLOOKUP(Summary!B1980,'Pre-Summary'!$A$6:$P$184,7, FALSE)/100,AE1981)</f>
        <v>5.6443333333333337E-3</v>
      </c>
      <c r="AF1980" s="99">
        <f t="shared" si="91"/>
        <v>1.2198161368941245E-2</v>
      </c>
      <c r="AG1980" s="99">
        <f t="shared" si="92"/>
        <v>1.9554983286338792E-3</v>
      </c>
      <c r="AH1980" s="10" t="str">
        <f>IFERROR(VLOOKUP(B1980,'Pre-Summary'!$AZ$6:$BE$65,3,FALSE),"")</f>
        <v/>
      </c>
      <c r="AI1980" s="10" t="str">
        <f>IFERROR(VLOOKUP(B1980,'Pre-Summary'!$AZ$6:$BE$65,5,FALSE),"")</f>
        <v/>
      </c>
      <c r="AJ1980" s="10" t="str">
        <f>IFERROR(VLOOKUP(B1980,'Pre-Summary'!$AZ$6:$BE$65,4,FALSE),"")</f>
        <v/>
      </c>
      <c r="AK1980" s="10" t="str">
        <f>IFERROR(VLOOKUP(B1980,'Pre-Summary'!$AZ$6:$BE$65,6,FALSE),"")</f>
        <v/>
      </c>
      <c r="AL1980" s="10" t="str">
        <f>IFERROR(VLOOKUP(B1980,'Pre-Summary'!$BG$6:$BL$44,3,FALSE),"")</f>
        <v/>
      </c>
      <c r="AM1980" s="10" t="str">
        <f>IFERROR(VLOOKUP(B1980,'Pre-Summary'!$BG$6:$BL$44,4,FALSE),"")</f>
        <v/>
      </c>
    </row>
    <row r="1981" spans="2:39" ht="15" customHeight="1" x14ac:dyDescent="0.3">
      <c r="B1981">
        <v>197.8</v>
      </c>
      <c r="C1981" t="str">
        <f>IFERROR(VLOOKUP(B1981,'Pre-Summary'!$DI$6:$DM$23,4,FALSE),"")</f>
        <v/>
      </c>
      <c r="D1981" s="10" t="str">
        <f>IFERROR(VLOOKUP(B1981,'Pre-Summary'!$AT$6:$AX$14,5,FALSE),D1980)</f>
        <v>Wolfe v3: went back to modified wolfe + EDTA and switched CuSO4 to CUCl2</v>
      </c>
      <c r="E1981" s="10" t="str">
        <f>IFERROR(VLOOKUP(B1981,'Pre-Summary'!$AT$6:$AX$15,4,FALSE),"")</f>
        <v/>
      </c>
      <c r="F1981">
        <f>IFERROR(VLOOKUP(B1981,'Pre-Summary'!$AL$6:$AQ$13,6,FALSE),F1980)</f>
        <v>5.9405263157894746E-2</v>
      </c>
      <c r="G1981" t="str">
        <f>IFERROR(VLOOKUP(B1981,'Pre-Summary'!$AE$6:$AJ$85,3,FALSE),"")</f>
        <v/>
      </c>
      <c r="H1981" t="str">
        <f>IFERROR(VLOOKUP(B1981,'Pre-Summary'!$AE$6:$AJ$85,4,FALSE),"")</f>
        <v/>
      </c>
      <c r="I1981" t="str">
        <f>IFERROR(VLOOKUP(B1981,'Pre-Summary'!$AE$6:$AJ$85,5,FALSE),"")</f>
        <v/>
      </c>
      <c r="J1981" s="45" t="str">
        <f>IFERROR(VLOOKUP(B1981,'Pre-Summary'!$AE$6:$AJ$85,6, FALSE),"")</f>
        <v/>
      </c>
      <c r="K1981" s="45" t="str">
        <f>IFERROR(VLOOKUP(B1981,'Pre-Summary'!$DE$6:$DG$61,3,FALSE),"")</f>
        <v/>
      </c>
      <c r="L1981" s="45" t="str">
        <f>IFERROR(VLOOKUP(B1981,'Pre-Summary'!$CU$6:$CW$36,3,FALSE),"")</f>
        <v/>
      </c>
      <c r="M1981" s="45" t="str">
        <f>IFERROR(VLOOKUP(B1981,'Pre-Summary'!$BW$6:$BY$58,2,FALSE),"")</f>
        <v/>
      </c>
      <c r="N1981" s="45" t="str">
        <f>IFERROR(VLOOKUP(B1981,'Pre-Summary'!$CD$6:$CF$64,2,FALSE),"")</f>
        <v/>
      </c>
      <c r="O1981" s="99">
        <f>IFERROR(VLOOKUP(B1981,'Pre-Summary'!$BO$6:$BQ$48,3, FALSE),O1980)</f>
        <v>1.3480000000000001</v>
      </c>
      <c r="P1981" s="99">
        <f>IFERROR(VLOOKUP(B1981,'Pre-Summary'!$BS$6:$BU$35,3,FALSE),P1980)</f>
        <v>0.33700000000000002</v>
      </c>
      <c r="Q1981" s="54">
        <f t="shared" si="90"/>
        <v>4</v>
      </c>
      <c r="R1981" s="53">
        <f>IFERROR(VLOOKUP(B1981,'Pre-Summary'!$BG$6:$BM$44,7,FALSE),R1982)</f>
        <v>6.2037889674656205E-2</v>
      </c>
      <c r="S1981" s="53">
        <f>IFERROR(VLOOKUP(B1981,'Pre-Summary'!$BG$6:$BM$44,6,FALSE),S1982)</f>
        <v>5.8400630293479062E-2</v>
      </c>
      <c r="T1981" s="45" t="str">
        <f>IFERROR(VLOOKUP(B1981,'Pre-Summary'!$Y$6:$AC$83, 3,FALSE),"")</f>
        <v/>
      </c>
      <c r="U1981" s="45" t="str">
        <f>IFERROR(VLOOKUP(B1981,'Pre-Summary'!$Y$6:$AC$83, 4,FALSE),"")</f>
        <v/>
      </c>
      <c r="V1981" t="str">
        <f>IFERROR(VLOOKUP(B1981,'Pre-Summary'!$Y$6:$AC$83, 5,FALSE),"")</f>
        <v/>
      </c>
      <c r="W1981" s="45" t="str">
        <f>IFERROR(VLOOKUP(B1981,'Pre-Summary'!$Y$6:$AD$83,6,FALSE),"")</f>
        <v/>
      </c>
      <c r="X1981" t="str">
        <f>IFERROR(VLOOKUP('Pre-Summary'!$DB$6:$DD$63,3,FALSE),"")</f>
        <v/>
      </c>
      <c r="Y1981" t="str">
        <f>IFERROR(VLOOKUP(B1981,'Pre-Summary'!$CR$6:$CT$36,3,FALSE),"")</f>
        <v/>
      </c>
      <c r="Z1981" s="45" t="str">
        <f>IFERROR(VLOOKUP(B1981,'Pre-Summary'!$BZ$6:$CB$63,2,FALSE),"")</f>
        <v/>
      </c>
      <c r="AA1981" s="45" t="str">
        <f>IFERROR(VLOOKUP(B1981,'Pre-Summary'!$CG$6:$CI$70,2,FALSE),"")</f>
        <v/>
      </c>
      <c r="AB1981" s="99">
        <f>IFERROR(VLOOKUP(B1981,'Pre-Summary'!$A$6:$P$178,9,FALSE),AB1982)</f>
        <v>0.34645337423384143</v>
      </c>
      <c r="AC1981" s="10">
        <f>IFERROR(VLOOKUP(Summary!B1981,'Pre-Summary'!$A$6:$P$184,5, FALSE)/100,AC1982)</f>
        <v>0.95914699999999997</v>
      </c>
      <c r="AD1981" s="10">
        <f>IFERROR(VLOOKUP(Summary!B1981,'Pre-Summary'!$A$6:$P$184,3, FALSE)/100,AD1982)</f>
        <v>3.5208666666666666E-2</v>
      </c>
      <c r="AE1981" s="10">
        <f>IFERROR(VLOOKUP(Summary!B1981,'Pre-Summary'!$A$6:$P$184,7, FALSE)/100,AE1982)</f>
        <v>5.6443333333333337E-3</v>
      </c>
      <c r="AF1981" s="99">
        <f t="shared" si="91"/>
        <v>1.2198161368941245E-2</v>
      </c>
      <c r="AG1981" s="99">
        <f t="shared" si="92"/>
        <v>1.9554983286338792E-3</v>
      </c>
      <c r="AH1981" s="10" t="str">
        <f>IFERROR(VLOOKUP(B1981,'Pre-Summary'!$AZ$6:$BE$65,3,FALSE),"")</f>
        <v/>
      </c>
      <c r="AI1981" s="10" t="str">
        <f>IFERROR(VLOOKUP(B1981,'Pre-Summary'!$AZ$6:$BE$65,5,FALSE),"")</f>
        <v/>
      </c>
      <c r="AJ1981" s="10" t="str">
        <f>IFERROR(VLOOKUP(B1981,'Pre-Summary'!$AZ$6:$BE$65,4,FALSE),"")</f>
        <v/>
      </c>
      <c r="AK1981" s="10" t="str">
        <f>IFERROR(VLOOKUP(B1981,'Pre-Summary'!$AZ$6:$BE$65,6,FALSE),"")</f>
        <v/>
      </c>
      <c r="AL1981" s="10" t="str">
        <f>IFERROR(VLOOKUP(B1981,'Pre-Summary'!$BG$6:$BL$44,3,FALSE),"")</f>
        <v/>
      </c>
      <c r="AM1981" s="10" t="str">
        <f>IFERROR(VLOOKUP(B1981,'Pre-Summary'!$BG$6:$BL$44,4,FALSE),"")</f>
        <v/>
      </c>
    </row>
    <row r="1982" spans="2:39" ht="15" customHeight="1" x14ac:dyDescent="0.3">
      <c r="B1982">
        <v>197.9</v>
      </c>
      <c r="C1982" t="str">
        <f>IFERROR(VLOOKUP(B1982,'Pre-Summary'!$DI$6:$DM$23,4,FALSE),"")</f>
        <v/>
      </c>
      <c r="D1982" s="10" t="str">
        <f>IFERROR(VLOOKUP(B1982,'Pre-Summary'!$AT$6:$AX$14,5,FALSE),D1981)</f>
        <v>Wolfe v3: went back to modified wolfe + EDTA and switched CuSO4 to CUCl2</v>
      </c>
      <c r="E1982" s="10" t="str">
        <f>IFERROR(VLOOKUP(B1982,'Pre-Summary'!$AT$6:$AX$15,4,FALSE),"")</f>
        <v/>
      </c>
      <c r="F1982">
        <f>IFERROR(VLOOKUP(B1982,'Pre-Summary'!$AL$6:$AQ$13,6,FALSE),F1981)</f>
        <v>5.9405263157894746E-2</v>
      </c>
      <c r="G1982" t="str">
        <f>IFERROR(VLOOKUP(B1982,'Pre-Summary'!$AE$6:$AJ$85,3,FALSE),"")</f>
        <v/>
      </c>
      <c r="H1982" t="str">
        <f>IFERROR(VLOOKUP(B1982,'Pre-Summary'!$AE$6:$AJ$85,4,FALSE),"")</f>
        <v/>
      </c>
      <c r="I1982" t="str">
        <f>IFERROR(VLOOKUP(B1982,'Pre-Summary'!$AE$6:$AJ$85,5,FALSE),"")</f>
        <v/>
      </c>
      <c r="J1982" s="45" t="str">
        <f>IFERROR(VLOOKUP(B1982,'Pre-Summary'!$AE$6:$AJ$85,6, FALSE),"")</f>
        <v/>
      </c>
      <c r="K1982" s="45" t="str">
        <f>IFERROR(VLOOKUP(B1982,'Pre-Summary'!$DE$6:$DG$61,3,FALSE),"")</f>
        <v/>
      </c>
      <c r="L1982" s="45" t="str">
        <f>IFERROR(VLOOKUP(B1982,'Pre-Summary'!$CU$6:$CW$36,3,FALSE),"")</f>
        <v/>
      </c>
      <c r="M1982" s="45" t="str">
        <f>IFERROR(VLOOKUP(B1982,'Pre-Summary'!$BW$6:$BY$58,2,FALSE),"")</f>
        <v/>
      </c>
      <c r="N1982" s="45" t="str">
        <f>IFERROR(VLOOKUP(B1982,'Pre-Summary'!$CD$6:$CF$64,2,FALSE),"")</f>
        <v/>
      </c>
      <c r="O1982" s="99">
        <f>IFERROR(VLOOKUP(B1982,'Pre-Summary'!$BO$6:$BQ$48,3, FALSE),O1981)</f>
        <v>1.3480000000000001</v>
      </c>
      <c r="P1982" s="99">
        <f>IFERROR(VLOOKUP(B1982,'Pre-Summary'!$BS$6:$BU$35,3,FALSE),P1981)</f>
        <v>0.33700000000000002</v>
      </c>
      <c r="Q1982" s="54">
        <f t="shared" si="90"/>
        <v>4</v>
      </c>
      <c r="R1982" s="53">
        <f>IFERROR(VLOOKUP(B1982,'Pre-Summary'!$BG$6:$BM$44,7,FALSE),R1983)</f>
        <v>6.2037889674656205E-2</v>
      </c>
      <c r="S1982" s="53">
        <f>IFERROR(VLOOKUP(B1982,'Pre-Summary'!$BG$6:$BM$44,6,FALSE),S1983)</f>
        <v>5.8400630293479062E-2</v>
      </c>
      <c r="T1982" s="45" t="str">
        <f>IFERROR(VLOOKUP(B1982,'Pre-Summary'!$Y$6:$AC$83, 3,FALSE),"")</f>
        <v/>
      </c>
      <c r="U1982" s="45" t="str">
        <f>IFERROR(VLOOKUP(B1982,'Pre-Summary'!$Y$6:$AC$83, 4,FALSE),"")</f>
        <v/>
      </c>
      <c r="V1982" t="str">
        <f>IFERROR(VLOOKUP(B1982,'Pre-Summary'!$Y$6:$AC$83, 5,FALSE),"")</f>
        <v/>
      </c>
      <c r="W1982" s="45" t="str">
        <f>IFERROR(VLOOKUP(B1982,'Pre-Summary'!$Y$6:$AD$83,6,FALSE),"")</f>
        <v/>
      </c>
      <c r="X1982" t="str">
        <f>IFERROR(VLOOKUP('Pre-Summary'!$DB$6:$DD$63,3,FALSE),"")</f>
        <v/>
      </c>
      <c r="Y1982" t="str">
        <f>IFERROR(VLOOKUP(B1982,'Pre-Summary'!$CR$6:$CT$36,3,FALSE),"")</f>
        <v/>
      </c>
      <c r="Z1982" s="45" t="str">
        <f>IFERROR(VLOOKUP(B1982,'Pre-Summary'!$BZ$6:$CB$63,2,FALSE),"")</f>
        <v/>
      </c>
      <c r="AA1982" s="45" t="str">
        <f>IFERROR(VLOOKUP(B1982,'Pre-Summary'!$CG$6:$CI$70,2,FALSE),"")</f>
        <v/>
      </c>
      <c r="AB1982" s="99">
        <f>IFERROR(VLOOKUP(B1982,'Pre-Summary'!$A$6:$P$178,9,FALSE),AB1983)</f>
        <v>0.34645337423384143</v>
      </c>
      <c r="AC1982" s="10">
        <f>IFERROR(VLOOKUP(Summary!B1982,'Pre-Summary'!$A$6:$P$184,5, FALSE)/100,AC1983)</f>
        <v>0.95914699999999997</v>
      </c>
      <c r="AD1982" s="10">
        <f>IFERROR(VLOOKUP(Summary!B1982,'Pre-Summary'!$A$6:$P$184,3, FALSE)/100,AD1983)</f>
        <v>3.5208666666666666E-2</v>
      </c>
      <c r="AE1982" s="10">
        <f>IFERROR(VLOOKUP(Summary!B1982,'Pre-Summary'!$A$6:$P$184,7, FALSE)/100,AE1983)</f>
        <v>5.6443333333333337E-3</v>
      </c>
      <c r="AF1982" s="99">
        <f t="shared" si="91"/>
        <v>1.2198161368941245E-2</v>
      </c>
      <c r="AG1982" s="99">
        <f t="shared" si="92"/>
        <v>1.9554983286338792E-3</v>
      </c>
      <c r="AH1982" s="10" t="str">
        <f>IFERROR(VLOOKUP(B1982,'Pre-Summary'!$AZ$6:$BE$65,3,FALSE),"")</f>
        <v/>
      </c>
      <c r="AI1982" s="10" t="str">
        <f>IFERROR(VLOOKUP(B1982,'Pre-Summary'!$AZ$6:$BE$65,5,FALSE),"")</f>
        <v/>
      </c>
      <c r="AJ1982" s="10" t="str">
        <f>IFERROR(VLOOKUP(B1982,'Pre-Summary'!$AZ$6:$BE$65,4,FALSE),"")</f>
        <v/>
      </c>
      <c r="AK1982" s="10" t="str">
        <f>IFERROR(VLOOKUP(B1982,'Pre-Summary'!$AZ$6:$BE$65,6,FALSE),"")</f>
        <v/>
      </c>
      <c r="AL1982" s="10" t="str">
        <f>IFERROR(VLOOKUP(B1982,'Pre-Summary'!$BG$6:$BL$44,3,FALSE),"")</f>
        <v/>
      </c>
      <c r="AM1982" s="10" t="str">
        <f>IFERROR(VLOOKUP(B1982,'Pre-Summary'!$BG$6:$BL$44,4,FALSE),"")</f>
        <v/>
      </c>
    </row>
    <row r="1983" spans="2:39" ht="15" customHeight="1" x14ac:dyDescent="0.3">
      <c r="B1983">
        <v>198</v>
      </c>
      <c r="C1983" t="str">
        <f>IFERROR(VLOOKUP(B1983,'Pre-Summary'!$DI$6:$DM$23,4,FALSE),"")</f>
        <v/>
      </c>
      <c r="D1983" s="10" t="str">
        <f>IFERROR(VLOOKUP(B1983,'Pre-Summary'!$AT$6:$AX$14,5,FALSE),D1982)</f>
        <v>Wolfe v3: went back to modified wolfe + EDTA and switched CuSO4 to CUCl2</v>
      </c>
      <c r="E1983" s="10" t="str">
        <f>IFERROR(VLOOKUP(B1983,'Pre-Summary'!$AT$6:$AX$15,4,FALSE),"")</f>
        <v/>
      </c>
      <c r="F1983">
        <f>IFERROR(VLOOKUP(B1983,'Pre-Summary'!$AL$6:$AQ$13,6,FALSE),F1982)</f>
        <v>5.9405263157894746E-2</v>
      </c>
      <c r="G1983" t="str">
        <f>IFERROR(VLOOKUP(B1983,'Pre-Summary'!$AE$6:$AJ$85,3,FALSE),"")</f>
        <v/>
      </c>
      <c r="H1983" t="str">
        <f>IFERROR(VLOOKUP(B1983,'Pre-Summary'!$AE$6:$AJ$85,4,FALSE),"")</f>
        <v/>
      </c>
      <c r="I1983" t="str">
        <f>IFERROR(VLOOKUP(B1983,'Pre-Summary'!$AE$6:$AJ$85,5,FALSE),"")</f>
        <v/>
      </c>
      <c r="J1983" s="45" t="str">
        <f>IFERROR(VLOOKUP(B1983,'Pre-Summary'!$AE$6:$AJ$85,6, FALSE),"")</f>
        <v/>
      </c>
      <c r="K1983" s="45" t="str">
        <f>IFERROR(VLOOKUP(B1983,'Pre-Summary'!$DE$6:$DG$61,3,FALSE),"")</f>
        <v/>
      </c>
      <c r="L1983" s="45" t="str">
        <f>IFERROR(VLOOKUP(B1983,'Pre-Summary'!$CU$6:$CW$36,3,FALSE),"")</f>
        <v/>
      </c>
      <c r="M1983" s="45" t="str">
        <f>IFERROR(VLOOKUP(B1983,'Pre-Summary'!$BW$6:$BY$58,2,FALSE),"")</f>
        <v/>
      </c>
      <c r="N1983" s="45" t="str">
        <f>IFERROR(VLOOKUP(B1983,'Pre-Summary'!$CD$6:$CF$64,2,FALSE),"")</f>
        <v/>
      </c>
      <c r="O1983" s="99">
        <f>IFERROR(VLOOKUP(B1983,'Pre-Summary'!$BO$6:$BQ$48,3, FALSE),O1982)</f>
        <v>1.3480000000000001</v>
      </c>
      <c r="P1983" s="99">
        <f>IFERROR(VLOOKUP(B1983,'Pre-Summary'!$BS$6:$BU$35,3,FALSE),P1982)</f>
        <v>0.33700000000000002</v>
      </c>
      <c r="Q1983" s="54">
        <f t="shared" si="90"/>
        <v>4</v>
      </c>
      <c r="R1983" s="53">
        <f>IFERROR(VLOOKUP(B1983,'Pre-Summary'!$BG$6:$BM$44,7,FALSE),R1984)</f>
        <v>6.2037889674656205E-2</v>
      </c>
      <c r="S1983" s="53">
        <f>IFERROR(VLOOKUP(B1983,'Pre-Summary'!$BG$6:$BM$44,6,FALSE),S1984)</f>
        <v>5.8400630293479062E-2</v>
      </c>
      <c r="T1983" s="45" t="str">
        <f>IFERROR(VLOOKUP(B1983,'Pre-Summary'!$Y$6:$AC$83, 3,FALSE),"")</f>
        <v/>
      </c>
      <c r="U1983" s="45" t="str">
        <f>IFERROR(VLOOKUP(B1983,'Pre-Summary'!$Y$6:$AC$83, 4,FALSE),"")</f>
        <v/>
      </c>
      <c r="V1983" t="str">
        <f>IFERROR(VLOOKUP(B1983,'Pre-Summary'!$Y$6:$AC$83, 5,FALSE),"")</f>
        <v/>
      </c>
      <c r="W1983" s="45" t="str">
        <f>IFERROR(VLOOKUP(B1983,'Pre-Summary'!$Y$6:$AD$83,6,FALSE),"")</f>
        <v/>
      </c>
      <c r="X1983" t="str">
        <f>IFERROR(VLOOKUP('Pre-Summary'!$DB$6:$DD$63,3,FALSE),"")</f>
        <v/>
      </c>
      <c r="Y1983" t="str">
        <f>IFERROR(VLOOKUP(B1983,'Pre-Summary'!$CR$6:$CT$36,3,FALSE),"")</f>
        <v/>
      </c>
      <c r="Z1983" s="45" t="str">
        <f>IFERROR(VLOOKUP(B1983,'Pre-Summary'!$BZ$6:$CB$63,2,FALSE),"")</f>
        <v/>
      </c>
      <c r="AA1983" s="45" t="str">
        <f>IFERROR(VLOOKUP(B1983,'Pre-Summary'!$CG$6:$CI$70,2,FALSE),"")</f>
        <v/>
      </c>
      <c r="AB1983" s="99">
        <f>IFERROR(VLOOKUP(B1983,'Pre-Summary'!$A$6:$P$178,9,FALSE),AB1984)</f>
        <v>0.34645337423384143</v>
      </c>
      <c r="AC1983" s="10">
        <f>IFERROR(VLOOKUP(Summary!B1983,'Pre-Summary'!$A$6:$P$184,5, FALSE)/100,AC1984)</f>
        <v>0.95914699999999997</v>
      </c>
      <c r="AD1983" s="10">
        <f>IFERROR(VLOOKUP(Summary!B1983,'Pre-Summary'!$A$6:$P$184,3, FALSE)/100,AD1984)</f>
        <v>3.5208666666666666E-2</v>
      </c>
      <c r="AE1983" s="10">
        <f>IFERROR(VLOOKUP(Summary!B1983,'Pre-Summary'!$A$6:$P$184,7, FALSE)/100,AE1984)</f>
        <v>5.6443333333333337E-3</v>
      </c>
      <c r="AF1983" s="99">
        <f t="shared" si="91"/>
        <v>1.2198161368941245E-2</v>
      </c>
      <c r="AG1983" s="99">
        <f t="shared" si="92"/>
        <v>1.9554983286338792E-3</v>
      </c>
      <c r="AH1983" s="10" t="str">
        <f>IFERROR(VLOOKUP(B1983,'Pre-Summary'!$AZ$6:$BE$65,3,FALSE),"")</f>
        <v/>
      </c>
      <c r="AI1983" s="10" t="str">
        <f>IFERROR(VLOOKUP(B1983,'Pre-Summary'!$AZ$6:$BE$65,5,FALSE),"")</f>
        <v/>
      </c>
      <c r="AJ1983" s="10" t="str">
        <f>IFERROR(VLOOKUP(B1983,'Pre-Summary'!$AZ$6:$BE$65,4,FALSE),"")</f>
        <v/>
      </c>
      <c r="AK1983" s="10" t="str">
        <f>IFERROR(VLOOKUP(B1983,'Pre-Summary'!$AZ$6:$BE$65,6,FALSE),"")</f>
        <v/>
      </c>
      <c r="AL1983" s="10" t="str">
        <f>IFERROR(VLOOKUP(B1983,'Pre-Summary'!$BG$6:$BL$44,3,FALSE),"")</f>
        <v/>
      </c>
      <c r="AM1983" s="10" t="str">
        <f>IFERROR(VLOOKUP(B1983,'Pre-Summary'!$BG$6:$BL$44,4,FALSE),"")</f>
        <v/>
      </c>
    </row>
    <row r="1984" spans="2:39" ht="15" customHeight="1" x14ac:dyDescent="0.3">
      <c r="B1984">
        <v>198.1</v>
      </c>
      <c r="C1984" t="str">
        <f>IFERROR(VLOOKUP(B1984,'Pre-Summary'!$DI$6:$DM$23,4,FALSE),"")</f>
        <v/>
      </c>
      <c r="D1984" s="10" t="str">
        <f>IFERROR(VLOOKUP(B1984,'Pre-Summary'!$AT$6:$AX$14,5,FALSE),D1983)</f>
        <v>Wolfe v3: went back to modified wolfe + EDTA and switched CuSO4 to CUCl2</v>
      </c>
      <c r="E1984" s="10" t="str">
        <f>IFERROR(VLOOKUP(B1984,'Pre-Summary'!$AT$6:$AX$15,4,FALSE),"")</f>
        <v/>
      </c>
      <c r="F1984">
        <f>IFERROR(VLOOKUP(B1984,'Pre-Summary'!$AL$6:$AQ$13,6,FALSE),F1983)</f>
        <v>5.9405263157894746E-2</v>
      </c>
      <c r="G1984" t="str">
        <f>IFERROR(VLOOKUP(B1984,'Pre-Summary'!$AE$6:$AJ$85,3,FALSE),"")</f>
        <v/>
      </c>
      <c r="H1984" t="str">
        <f>IFERROR(VLOOKUP(B1984,'Pre-Summary'!$AE$6:$AJ$85,4,FALSE),"")</f>
        <v/>
      </c>
      <c r="I1984" t="str">
        <f>IFERROR(VLOOKUP(B1984,'Pre-Summary'!$AE$6:$AJ$85,5,FALSE),"")</f>
        <v/>
      </c>
      <c r="J1984" s="45" t="str">
        <f>IFERROR(VLOOKUP(B1984,'Pre-Summary'!$AE$6:$AJ$85,6, FALSE),"")</f>
        <v/>
      </c>
      <c r="K1984" s="45" t="str">
        <f>IFERROR(VLOOKUP(B1984,'Pre-Summary'!$DE$6:$DG$61,3,FALSE),"")</f>
        <v/>
      </c>
      <c r="L1984" s="45" t="str">
        <f>IFERROR(VLOOKUP(B1984,'Pre-Summary'!$CU$6:$CW$36,3,FALSE),"")</f>
        <v/>
      </c>
      <c r="M1984" s="45" t="str">
        <f>IFERROR(VLOOKUP(B1984,'Pre-Summary'!$BW$6:$BY$58,2,FALSE),"")</f>
        <v/>
      </c>
      <c r="N1984" s="45" t="str">
        <f>IFERROR(VLOOKUP(B1984,'Pre-Summary'!$CD$6:$CF$64,2,FALSE),"")</f>
        <v/>
      </c>
      <c r="O1984" s="99">
        <f>IFERROR(VLOOKUP(B1984,'Pre-Summary'!$BO$6:$BQ$48,3, FALSE),O1983)</f>
        <v>1.3480000000000001</v>
      </c>
      <c r="P1984" s="99">
        <f>IFERROR(VLOOKUP(B1984,'Pre-Summary'!$BS$6:$BU$35,3,FALSE),P1983)</f>
        <v>0.33700000000000002</v>
      </c>
      <c r="Q1984" s="54">
        <f t="shared" si="90"/>
        <v>4</v>
      </c>
      <c r="R1984" s="53">
        <f>IFERROR(VLOOKUP(B1984,'Pre-Summary'!$BG$6:$BM$44,7,FALSE),R1985)</f>
        <v>6.2037889674656205E-2</v>
      </c>
      <c r="S1984" s="53">
        <f>IFERROR(VLOOKUP(B1984,'Pre-Summary'!$BG$6:$BM$44,6,FALSE),S1985)</f>
        <v>5.8400630293479062E-2</v>
      </c>
      <c r="T1984" s="45" t="str">
        <f>IFERROR(VLOOKUP(B1984,'Pre-Summary'!$Y$6:$AC$83, 3,FALSE),"")</f>
        <v/>
      </c>
      <c r="U1984" s="45" t="str">
        <f>IFERROR(VLOOKUP(B1984,'Pre-Summary'!$Y$6:$AC$83, 4,FALSE),"")</f>
        <v/>
      </c>
      <c r="V1984" t="str">
        <f>IFERROR(VLOOKUP(B1984,'Pre-Summary'!$Y$6:$AC$83, 5,FALSE),"")</f>
        <v/>
      </c>
      <c r="W1984" s="45" t="str">
        <f>IFERROR(VLOOKUP(B1984,'Pre-Summary'!$Y$6:$AD$83,6,FALSE),"")</f>
        <v/>
      </c>
      <c r="X1984" t="str">
        <f>IFERROR(VLOOKUP('Pre-Summary'!$DB$6:$DD$63,3,FALSE),"")</f>
        <v/>
      </c>
      <c r="Y1984" t="str">
        <f>IFERROR(VLOOKUP(B1984,'Pre-Summary'!$CR$6:$CT$36,3,FALSE),"")</f>
        <v/>
      </c>
      <c r="Z1984" s="45" t="str">
        <f>IFERROR(VLOOKUP(B1984,'Pre-Summary'!$BZ$6:$CB$63,2,FALSE),"")</f>
        <v/>
      </c>
      <c r="AA1984" s="45" t="str">
        <f>IFERROR(VLOOKUP(B1984,'Pre-Summary'!$CG$6:$CI$70,2,FALSE),"")</f>
        <v/>
      </c>
      <c r="AB1984" s="99">
        <f>IFERROR(VLOOKUP(B1984,'Pre-Summary'!$A$6:$P$178,9,FALSE),AB1985)</f>
        <v>0.34645337423384143</v>
      </c>
      <c r="AC1984" s="10">
        <f>IFERROR(VLOOKUP(Summary!B1984,'Pre-Summary'!$A$6:$P$184,5, FALSE)/100,AC1985)</f>
        <v>0.95914699999999997</v>
      </c>
      <c r="AD1984" s="10">
        <f>IFERROR(VLOOKUP(Summary!B1984,'Pre-Summary'!$A$6:$P$184,3, FALSE)/100,AD1985)</f>
        <v>3.5208666666666666E-2</v>
      </c>
      <c r="AE1984" s="10">
        <f>IFERROR(VLOOKUP(Summary!B1984,'Pre-Summary'!$A$6:$P$184,7, FALSE)/100,AE1985)</f>
        <v>5.6443333333333337E-3</v>
      </c>
      <c r="AF1984" s="99">
        <f t="shared" si="91"/>
        <v>1.2198161368941245E-2</v>
      </c>
      <c r="AG1984" s="99">
        <f t="shared" si="92"/>
        <v>1.9554983286338792E-3</v>
      </c>
      <c r="AH1984" s="10" t="str">
        <f>IFERROR(VLOOKUP(B1984,'Pre-Summary'!$AZ$6:$BE$65,3,FALSE),"")</f>
        <v/>
      </c>
      <c r="AI1984" s="10" t="str">
        <f>IFERROR(VLOOKUP(B1984,'Pre-Summary'!$AZ$6:$BE$65,5,FALSE),"")</f>
        <v/>
      </c>
      <c r="AJ1984" s="10" t="str">
        <f>IFERROR(VLOOKUP(B1984,'Pre-Summary'!$AZ$6:$BE$65,4,FALSE),"")</f>
        <v/>
      </c>
      <c r="AK1984" s="10" t="str">
        <f>IFERROR(VLOOKUP(B1984,'Pre-Summary'!$AZ$6:$BE$65,6,FALSE),"")</f>
        <v/>
      </c>
      <c r="AL1984" s="10" t="str">
        <f>IFERROR(VLOOKUP(B1984,'Pre-Summary'!$BG$6:$BL$44,3,FALSE),"")</f>
        <v/>
      </c>
      <c r="AM1984" s="10" t="str">
        <f>IFERROR(VLOOKUP(B1984,'Pre-Summary'!$BG$6:$BL$44,4,FALSE),"")</f>
        <v/>
      </c>
    </row>
    <row r="1985" spans="2:39" ht="15" customHeight="1" x14ac:dyDescent="0.3">
      <c r="B1985">
        <v>198.2</v>
      </c>
      <c r="C1985" t="str">
        <f>IFERROR(VLOOKUP(B1985,'Pre-Summary'!$DI$6:$DM$23,4,FALSE),"")</f>
        <v/>
      </c>
      <c r="D1985" s="10" t="str">
        <f>IFERROR(VLOOKUP(B1985,'Pre-Summary'!$AT$6:$AX$14,5,FALSE),D1984)</f>
        <v>Wolfe v3: went back to modified wolfe + EDTA and switched CuSO4 to CUCl2</v>
      </c>
      <c r="E1985" s="10" t="str">
        <f>IFERROR(VLOOKUP(B1985,'Pre-Summary'!$AT$6:$AX$15,4,FALSE),"")</f>
        <v/>
      </c>
      <c r="F1985">
        <f>IFERROR(VLOOKUP(B1985,'Pre-Summary'!$AL$6:$AQ$13,6,FALSE),F1984)</f>
        <v>5.9405263157894746E-2</v>
      </c>
      <c r="G1985" t="str">
        <f>IFERROR(VLOOKUP(B1985,'Pre-Summary'!$AE$6:$AJ$85,3,FALSE),"")</f>
        <v/>
      </c>
      <c r="H1985" t="str">
        <f>IFERROR(VLOOKUP(B1985,'Pre-Summary'!$AE$6:$AJ$85,4,FALSE),"")</f>
        <v/>
      </c>
      <c r="I1985" t="str">
        <f>IFERROR(VLOOKUP(B1985,'Pre-Summary'!$AE$6:$AJ$85,5,FALSE),"")</f>
        <v/>
      </c>
      <c r="J1985" s="45" t="str">
        <f>IFERROR(VLOOKUP(B1985,'Pre-Summary'!$AE$6:$AJ$85,6, FALSE),"")</f>
        <v/>
      </c>
      <c r="K1985" s="45" t="str">
        <f>IFERROR(VLOOKUP(B1985,'Pre-Summary'!$DE$6:$DG$61,3,FALSE),"")</f>
        <v/>
      </c>
      <c r="L1985" s="45" t="str">
        <f>IFERROR(VLOOKUP(B1985,'Pre-Summary'!$CU$6:$CW$36,3,FALSE),"")</f>
        <v/>
      </c>
      <c r="M1985" s="45" t="str">
        <f>IFERROR(VLOOKUP(B1985,'Pre-Summary'!$BW$6:$BY$58,2,FALSE),"")</f>
        <v/>
      </c>
      <c r="N1985" s="45" t="str">
        <f>IFERROR(VLOOKUP(B1985,'Pre-Summary'!$CD$6:$CF$64,2,FALSE),"")</f>
        <v/>
      </c>
      <c r="O1985" s="99">
        <f>IFERROR(VLOOKUP(B1985,'Pre-Summary'!$BO$6:$BQ$48,3, FALSE),O1984)</f>
        <v>1.3480000000000001</v>
      </c>
      <c r="P1985" s="99">
        <f>IFERROR(VLOOKUP(B1985,'Pre-Summary'!$BS$6:$BU$35,3,FALSE),P1984)</f>
        <v>0.33700000000000002</v>
      </c>
      <c r="Q1985" s="54">
        <f t="shared" si="90"/>
        <v>4</v>
      </c>
      <c r="R1985" s="53">
        <f>IFERROR(VLOOKUP(B1985,'Pre-Summary'!$BG$6:$BM$44,7,FALSE),R1986)</f>
        <v>6.2037889674656205E-2</v>
      </c>
      <c r="S1985" s="53">
        <f>IFERROR(VLOOKUP(B1985,'Pre-Summary'!$BG$6:$BM$44,6,FALSE),S1986)</f>
        <v>5.8400630293479062E-2</v>
      </c>
      <c r="T1985" s="45" t="str">
        <f>IFERROR(VLOOKUP(B1985,'Pre-Summary'!$Y$6:$AC$83, 3,FALSE),"")</f>
        <v/>
      </c>
      <c r="U1985" s="45" t="str">
        <f>IFERROR(VLOOKUP(B1985,'Pre-Summary'!$Y$6:$AC$83, 4,FALSE),"")</f>
        <v/>
      </c>
      <c r="V1985" t="str">
        <f>IFERROR(VLOOKUP(B1985,'Pre-Summary'!$Y$6:$AC$83, 5,FALSE),"")</f>
        <v/>
      </c>
      <c r="W1985" s="45" t="str">
        <f>IFERROR(VLOOKUP(B1985,'Pre-Summary'!$Y$6:$AD$83,6,FALSE),"")</f>
        <v/>
      </c>
      <c r="X1985" t="str">
        <f>IFERROR(VLOOKUP('Pre-Summary'!$DB$6:$DD$63,3,FALSE),"")</f>
        <v/>
      </c>
      <c r="Y1985" t="str">
        <f>IFERROR(VLOOKUP(B1985,'Pre-Summary'!$CR$6:$CT$36,3,FALSE),"")</f>
        <v/>
      </c>
      <c r="Z1985" s="45" t="str">
        <f>IFERROR(VLOOKUP(B1985,'Pre-Summary'!$BZ$6:$CB$63,2,FALSE),"")</f>
        <v/>
      </c>
      <c r="AA1985" s="45" t="str">
        <f>IFERROR(VLOOKUP(B1985,'Pre-Summary'!$CG$6:$CI$70,2,FALSE),"")</f>
        <v/>
      </c>
      <c r="AB1985" s="99">
        <f>IFERROR(VLOOKUP(B1985,'Pre-Summary'!$A$6:$P$178,9,FALSE),AB1986)</f>
        <v>0.34645337423384143</v>
      </c>
      <c r="AC1985" s="10">
        <f>IFERROR(VLOOKUP(Summary!B1985,'Pre-Summary'!$A$6:$P$184,5, FALSE)/100,AC1986)</f>
        <v>0.95914699999999997</v>
      </c>
      <c r="AD1985" s="10">
        <f>IFERROR(VLOOKUP(Summary!B1985,'Pre-Summary'!$A$6:$P$184,3, FALSE)/100,AD1986)</f>
        <v>3.5208666666666666E-2</v>
      </c>
      <c r="AE1985" s="10">
        <f>IFERROR(VLOOKUP(Summary!B1985,'Pre-Summary'!$A$6:$P$184,7, FALSE)/100,AE1986)</f>
        <v>5.6443333333333337E-3</v>
      </c>
      <c r="AF1985" s="99">
        <f t="shared" si="91"/>
        <v>1.2198161368941245E-2</v>
      </c>
      <c r="AG1985" s="99">
        <f t="shared" si="92"/>
        <v>1.9554983286338792E-3</v>
      </c>
      <c r="AH1985" s="10" t="str">
        <f>IFERROR(VLOOKUP(B1985,'Pre-Summary'!$AZ$6:$BE$65,3,FALSE),"")</f>
        <v/>
      </c>
      <c r="AI1985" s="10" t="str">
        <f>IFERROR(VLOOKUP(B1985,'Pre-Summary'!$AZ$6:$BE$65,5,FALSE),"")</f>
        <v/>
      </c>
      <c r="AJ1985" s="10" t="str">
        <f>IFERROR(VLOOKUP(B1985,'Pre-Summary'!$AZ$6:$BE$65,4,FALSE),"")</f>
        <v/>
      </c>
      <c r="AK1985" s="10" t="str">
        <f>IFERROR(VLOOKUP(B1985,'Pre-Summary'!$AZ$6:$BE$65,6,FALSE),"")</f>
        <v/>
      </c>
      <c r="AL1985" s="10" t="str">
        <f>IFERROR(VLOOKUP(B1985,'Pre-Summary'!$BG$6:$BL$44,3,FALSE),"")</f>
        <v/>
      </c>
      <c r="AM1985" s="10" t="str">
        <f>IFERROR(VLOOKUP(B1985,'Pre-Summary'!$BG$6:$BL$44,4,FALSE),"")</f>
        <v/>
      </c>
    </row>
    <row r="1986" spans="2:39" ht="15" customHeight="1" x14ac:dyDescent="0.3">
      <c r="B1986">
        <v>198.3</v>
      </c>
      <c r="C1986" t="str">
        <f>IFERROR(VLOOKUP(B1986,'Pre-Summary'!$DI$6:$DM$23,4,FALSE),"")</f>
        <v/>
      </c>
      <c r="D1986" s="10" t="str">
        <f>IFERROR(VLOOKUP(B1986,'Pre-Summary'!$AT$6:$AX$14,5,FALSE),D1985)</f>
        <v>Wolfe v3: went back to modified wolfe + EDTA and switched CuSO4 to CUCl2</v>
      </c>
      <c r="E1986" s="10" t="str">
        <f>IFERROR(VLOOKUP(B1986,'Pre-Summary'!$AT$6:$AX$15,4,FALSE),"")</f>
        <v/>
      </c>
      <c r="F1986">
        <f>IFERROR(VLOOKUP(B1986,'Pre-Summary'!$AL$6:$AQ$13,6,FALSE),F1985)</f>
        <v>5.9405263157894746E-2</v>
      </c>
      <c r="G1986" t="str">
        <f>IFERROR(VLOOKUP(B1986,'Pre-Summary'!$AE$6:$AJ$85,3,FALSE),"")</f>
        <v/>
      </c>
      <c r="H1986" t="str">
        <f>IFERROR(VLOOKUP(B1986,'Pre-Summary'!$AE$6:$AJ$85,4,FALSE),"")</f>
        <v/>
      </c>
      <c r="I1986" t="str">
        <f>IFERROR(VLOOKUP(B1986,'Pre-Summary'!$AE$6:$AJ$85,5,FALSE),"")</f>
        <v/>
      </c>
      <c r="J1986" s="45" t="str">
        <f>IFERROR(VLOOKUP(B1986,'Pre-Summary'!$AE$6:$AJ$85,6, FALSE),"")</f>
        <v/>
      </c>
      <c r="K1986" s="45" t="str">
        <f>IFERROR(VLOOKUP(B1986,'Pre-Summary'!$DE$6:$DG$61,3,FALSE),"")</f>
        <v/>
      </c>
      <c r="L1986" s="45" t="str">
        <f>IFERROR(VLOOKUP(B1986,'Pre-Summary'!$CU$6:$CW$36,3,FALSE),"")</f>
        <v/>
      </c>
      <c r="M1986" s="45" t="str">
        <f>IFERROR(VLOOKUP(B1986,'Pre-Summary'!$BW$6:$BY$58,2,FALSE),"")</f>
        <v/>
      </c>
      <c r="N1986" s="45" t="str">
        <f>IFERROR(VLOOKUP(B1986,'Pre-Summary'!$CD$6:$CF$64,2,FALSE),"")</f>
        <v/>
      </c>
      <c r="O1986" s="99">
        <f>IFERROR(VLOOKUP(B1986,'Pre-Summary'!$BO$6:$BQ$48,3, FALSE),O1985)</f>
        <v>1.3480000000000001</v>
      </c>
      <c r="P1986" s="99">
        <f>IFERROR(VLOOKUP(B1986,'Pre-Summary'!$BS$6:$BU$35,3,FALSE),P1985)</f>
        <v>0.33700000000000002</v>
      </c>
      <c r="Q1986" s="54">
        <f t="shared" si="90"/>
        <v>4</v>
      </c>
      <c r="R1986" s="53">
        <f>IFERROR(VLOOKUP(B1986,'Pre-Summary'!$BG$6:$BM$44,7,FALSE),R1987)</f>
        <v>6.2037889674656205E-2</v>
      </c>
      <c r="S1986" s="53">
        <f>IFERROR(VLOOKUP(B1986,'Pre-Summary'!$BG$6:$BM$44,6,FALSE),S1987)</f>
        <v>5.8400630293479062E-2</v>
      </c>
      <c r="T1986" s="45" t="str">
        <f>IFERROR(VLOOKUP(B1986,'Pre-Summary'!$Y$6:$AC$83, 3,FALSE),"")</f>
        <v/>
      </c>
      <c r="U1986" s="45" t="str">
        <f>IFERROR(VLOOKUP(B1986,'Pre-Summary'!$Y$6:$AC$83, 4,FALSE),"")</f>
        <v/>
      </c>
      <c r="V1986" t="str">
        <f>IFERROR(VLOOKUP(B1986,'Pre-Summary'!$Y$6:$AC$83, 5,FALSE),"")</f>
        <v/>
      </c>
      <c r="W1986" s="45" t="str">
        <f>IFERROR(VLOOKUP(B1986,'Pre-Summary'!$Y$6:$AD$83,6,FALSE),"")</f>
        <v/>
      </c>
      <c r="X1986" t="str">
        <f>IFERROR(VLOOKUP('Pre-Summary'!$DB$6:$DD$63,3,FALSE),"")</f>
        <v/>
      </c>
      <c r="Y1986" t="str">
        <f>IFERROR(VLOOKUP(B1986,'Pre-Summary'!$CR$6:$CT$36,3,FALSE),"")</f>
        <v/>
      </c>
      <c r="Z1986" s="45" t="str">
        <f>IFERROR(VLOOKUP(B1986,'Pre-Summary'!$BZ$6:$CB$63,2,FALSE),"")</f>
        <v/>
      </c>
      <c r="AA1986" s="45" t="str">
        <f>IFERROR(VLOOKUP(B1986,'Pre-Summary'!$CG$6:$CI$70,2,FALSE),"")</f>
        <v/>
      </c>
      <c r="AB1986" s="99">
        <f>IFERROR(VLOOKUP(B1986,'Pre-Summary'!$A$6:$P$178,9,FALSE),AB1987)</f>
        <v>0.34645337423384143</v>
      </c>
      <c r="AC1986" s="10">
        <f>IFERROR(VLOOKUP(Summary!B1986,'Pre-Summary'!$A$6:$P$184,5, FALSE)/100,AC1987)</f>
        <v>0.95914699999999997</v>
      </c>
      <c r="AD1986" s="10">
        <f>IFERROR(VLOOKUP(Summary!B1986,'Pre-Summary'!$A$6:$P$184,3, FALSE)/100,AD1987)</f>
        <v>3.5208666666666666E-2</v>
      </c>
      <c r="AE1986" s="10">
        <f>IFERROR(VLOOKUP(Summary!B1986,'Pre-Summary'!$A$6:$P$184,7, FALSE)/100,AE1987)</f>
        <v>5.6443333333333337E-3</v>
      </c>
      <c r="AF1986" s="99">
        <f t="shared" si="91"/>
        <v>1.2198161368941245E-2</v>
      </c>
      <c r="AG1986" s="99">
        <f t="shared" si="92"/>
        <v>1.9554983286338792E-3</v>
      </c>
      <c r="AH1986" s="10" t="str">
        <f>IFERROR(VLOOKUP(B1986,'Pre-Summary'!$AZ$6:$BE$65,3,FALSE),"")</f>
        <v/>
      </c>
      <c r="AI1986" s="10" t="str">
        <f>IFERROR(VLOOKUP(B1986,'Pre-Summary'!$AZ$6:$BE$65,5,FALSE),"")</f>
        <v/>
      </c>
      <c r="AJ1986" s="10" t="str">
        <f>IFERROR(VLOOKUP(B1986,'Pre-Summary'!$AZ$6:$BE$65,4,FALSE),"")</f>
        <v/>
      </c>
      <c r="AK1986" s="10" t="str">
        <f>IFERROR(VLOOKUP(B1986,'Pre-Summary'!$AZ$6:$BE$65,6,FALSE),"")</f>
        <v/>
      </c>
      <c r="AL1986" s="10" t="str">
        <f>IFERROR(VLOOKUP(B1986,'Pre-Summary'!$BG$6:$BL$44,3,FALSE),"")</f>
        <v/>
      </c>
      <c r="AM1986" s="10" t="str">
        <f>IFERROR(VLOOKUP(B1986,'Pre-Summary'!$BG$6:$BL$44,4,FALSE),"")</f>
        <v/>
      </c>
    </row>
    <row r="1987" spans="2:39" ht="15" customHeight="1" x14ac:dyDescent="0.3">
      <c r="B1987">
        <v>198.4</v>
      </c>
      <c r="C1987" t="str">
        <f>IFERROR(VLOOKUP(B1987,'Pre-Summary'!$DI$6:$DM$23,4,FALSE),"")</f>
        <v/>
      </c>
      <c r="D1987" s="10" t="str">
        <f>IFERROR(VLOOKUP(B1987,'Pre-Summary'!$AT$6:$AX$14,5,FALSE),D1986)</f>
        <v>Wolfe v3: went back to modified wolfe + EDTA and switched CuSO4 to CUCl2</v>
      </c>
      <c r="E1987" s="10" t="str">
        <f>IFERROR(VLOOKUP(B1987,'Pre-Summary'!$AT$6:$AX$15,4,FALSE),"")</f>
        <v/>
      </c>
      <c r="F1987">
        <f>IFERROR(VLOOKUP(B1987,'Pre-Summary'!$AL$6:$AQ$13,6,FALSE),F1986)</f>
        <v>5.9405263157894746E-2</v>
      </c>
      <c r="G1987" t="str">
        <f>IFERROR(VLOOKUP(B1987,'Pre-Summary'!$AE$6:$AJ$85,3,FALSE),"")</f>
        <v/>
      </c>
      <c r="H1987" t="str">
        <f>IFERROR(VLOOKUP(B1987,'Pre-Summary'!$AE$6:$AJ$85,4,FALSE),"")</f>
        <v/>
      </c>
      <c r="I1987" t="str">
        <f>IFERROR(VLOOKUP(B1987,'Pre-Summary'!$AE$6:$AJ$85,5,FALSE),"")</f>
        <v/>
      </c>
      <c r="J1987" s="45" t="str">
        <f>IFERROR(VLOOKUP(B1987,'Pre-Summary'!$AE$6:$AJ$85,6, FALSE),"")</f>
        <v/>
      </c>
      <c r="K1987" s="45" t="str">
        <f>IFERROR(VLOOKUP(B1987,'Pre-Summary'!$DE$6:$DG$61,3,FALSE),"")</f>
        <v/>
      </c>
      <c r="L1987" s="45" t="str">
        <f>IFERROR(VLOOKUP(B1987,'Pre-Summary'!$CU$6:$CW$36,3,FALSE),"")</f>
        <v/>
      </c>
      <c r="M1987" s="45" t="str">
        <f>IFERROR(VLOOKUP(B1987,'Pre-Summary'!$BW$6:$BY$58,2,FALSE),"")</f>
        <v/>
      </c>
      <c r="N1987" s="45" t="str">
        <f>IFERROR(VLOOKUP(B1987,'Pre-Summary'!$CD$6:$CF$64,2,FALSE),"")</f>
        <v/>
      </c>
      <c r="O1987" s="99">
        <f>IFERROR(VLOOKUP(B1987,'Pre-Summary'!$BO$6:$BQ$48,3, FALSE),O1986)</f>
        <v>1.3480000000000001</v>
      </c>
      <c r="P1987" s="99">
        <f>IFERROR(VLOOKUP(B1987,'Pre-Summary'!$BS$6:$BU$35,3,FALSE),P1986)</f>
        <v>0.33700000000000002</v>
      </c>
      <c r="Q1987" s="54">
        <f t="shared" ref="Q1987:Q2050" si="93">O1987/P1987</f>
        <v>4</v>
      </c>
      <c r="R1987" s="53">
        <f>IFERROR(VLOOKUP(B1987,'Pre-Summary'!$BG$6:$BM$44,7,FALSE),R1988)</f>
        <v>6.2037889674656205E-2</v>
      </c>
      <c r="S1987" s="53">
        <f>IFERROR(VLOOKUP(B1987,'Pre-Summary'!$BG$6:$BM$44,6,FALSE),S1988)</f>
        <v>5.8400630293479062E-2</v>
      </c>
      <c r="T1987" s="45" t="str">
        <f>IFERROR(VLOOKUP(B1987,'Pre-Summary'!$Y$6:$AC$83, 3,FALSE),"")</f>
        <v/>
      </c>
      <c r="U1987" s="45" t="str">
        <f>IFERROR(VLOOKUP(B1987,'Pre-Summary'!$Y$6:$AC$83, 4,FALSE),"")</f>
        <v/>
      </c>
      <c r="V1987" t="str">
        <f>IFERROR(VLOOKUP(B1987,'Pre-Summary'!$Y$6:$AC$83, 5,FALSE),"")</f>
        <v/>
      </c>
      <c r="W1987" s="45" t="str">
        <f>IFERROR(VLOOKUP(B1987,'Pre-Summary'!$Y$6:$AD$83,6,FALSE),"")</f>
        <v/>
      </c>
      <c r="X1987" t="str">
        <f>IFERROR(VLOOKUP('Pre-Summary'!$DB$6:$DD$63,3,FALSE),"")</f>
        <v/>
      </c>
      <c r="Y1987" t="str">
        <f>IFERROR(VLOOKUP(B1987,'Pre-Summary'!$CR$6:$CT$36,3,FALSE),"")</f>
        <v/>
      </c>
      <c r="Z1987" s="45" t="str">
        <f>IFERROR(VLOOKUP(B1987,'Pre-Summary'!$BZ$6:$CB$63,2,FALSE),"")</f>
        <v/>
      </c>
      <c r="AA1987" s="45" t="str">
        <f>IFERROR(VLOOKUP(B1987,'Pre-Summary'!$CG$6:$CI$70,2,FALSE),"")</f>
        <v/>
      </c>
      <c r="AB1987" s="99">
        <f>IFERROR(VLOOKUP(B1987,'Pre-Summary'!$A$6:$P$178,9,FALSE),AB1988)</f>
        <v>0.34645337423384143</v>
      </c>
      <c r="AC1987" s="10">
        <f>IFERROR(VLOOKUP(Summary!B1987,'Pre-Summary'!$A$6:$P$184,5, FALSE)/100,AC1988)</f>
        <v>0.95914699999999997</v>
      </c>
      <c r="AD1987" s="10">
        <f>IFERROR(VLOOKUP(Summary!B1987,'Pre-Summary'!$A$6:$P$184,3, FALSE)/100,AD1988)</f>
        <v>3.5208666666666666E-2</v>
      </c>
      <c r="AE1987" s="10">
        <f>IFERROR(VLOOKUP(Summary!B1987,'Pre-Summary'!$A$6:$P$184,7, FALSE)/100,AE1988)</f>
        <v>5.6443333333333337E-3</v>
      </c>
      <c r="AF1987" s="99">
        <f t="shared" ref="AF1987:AF2050" si="94">AD1987*AB1987</f>
        <v>1.2198161368941245E-2</v>
      </c>
      <c r="AG1987" s="99">
        <f t="shared" ref="AG1987:AG2050" si="95">AB1987*AE1987</f>
        <v>1.9554983286338792E-3</v>
      </c>
      <c r="AH1987" s="10" t="str">
        <f>IFERROR(VLOOKUP(B1987,'Pre-Summary'!$AZ$6:$BE$65,3,FALSE),"")</f>
        <v/>
      </c>
      <c r="AI1987" s="10" t="str">
        <f>IFERROR(VLOOKUP(B1987,'Pre-Summary'!$AZ$6:$BE$65,5,FALSE),"")</f>
        <v/>
      </c>
      <c r="AJ1987" s="10" t="str">
        <f>IFERROR(VLOOKUP(B1987,'Pre-Summary'!$AZ$6:$BE$65,4,FALSE),"")</f>
        <v/>
      </c>
      <c r="AK1987" s="10" t="str">
        <f>IFERROR(VLOOKUP(B1987,'Pre-Summary'!$AZ$6:$BE$65,6,FALSE),"")</f>
        <v/>
      </c>
      <c r="AL1987" s="10" t="str">
        <f>IFERROR(VLOOKUP(B1987,'Pre-Summary'!$BG$6:$BL$44,3,FALSE),"")</f>
        <v/>
      </c>
      <c r="AM1987" s="10" t="str">
        <f>IFERROR(VLOOKUP(B1987,'Pre-Summary'!$BG$6:$BL$44,4,FALSE),"")</f>
        <v/>
      </c>
    </row>
    <row r="1988" spans="2:39" ht="15" customHeight="1" x14ac:dyDescent="0.3">
      <c r="B1988">
        <v>198.5</v>
      </c>
      <c r="C1988" t="str">
        <f>IFERROR(VLOOKUP(B1988,'Pre-Summary'!$DI$6:$DM$23,4,FALSE),"")</f>
        <v/>
      </c>
      <c r="D1988" s="10" t="str">
        <f>IFERROR(VLOOKUP(B1988,'Pre-Summary'!$AT$6:$AX$14,5,FALSE),D1987)</f>
        <v>Wolfe v3: went back to modified wolfe + EDTA and switched CuSO4 to CUCl2</v>
      </c>
      <c r="E1988" s="10" t="str">
        <f>IFERROR(VLOOKUP(B1988,'Pre-Summary'!$AT$6:$AX$15,4,FALSE),"")</f>
        <v/>
      </c>
      <c r="F1988">
        <f>IFERROR(VLOOKUP(B1988,'Pre-Summary'!$AL$6:$AQ$13,6,FALSE),F1987)</f>
        <v>5.9405263157894746E-2</v>
      </c>
      <c r="G1988" t="str">
        <f>IFERROR(VLOOKUP(B1988,'Pre-Summary'!$AE$6:$AJ$85,3,FALSE),"")</f>
        <v/>
      </c>
      <c r="H1988" t="str">
        <f>IFERROR(VLOOKUP(B1988,'Pre-Summary'!$AE$6:$AJ$85,4,FALSE),"")</f>
        <v/>
      </c>
      <c r="I1988" t="str">
        <f>IFERROR(VLOOKUP(B1988,'Pre-Summary'!$AE$6:$AJ$85,5,FALSE),"")</f>
        <v/>
      </c>
      <c r="J1988" s="45" t="str">
        <f>IFERROR(VLOOKUP(B1988,'Pre-Summary'!$AE$6:$AJ$85,6, FALSE),"")</f>
        <v/>
      </c>
      <c r="K1988" s="45" t="str">
        <f>IFERROR(VLOOKUP(B1988,'Pre-Summary'!$DE$6:$DG$61,3,FALSE),"")</f>
        <v/>
      </c>
      <c r="L1988" s="45" t="str">
        <f>IFERROR(VLOOKUP(B1988,'Pre-Summary'!$CU$6:$CW$36,3,FALSE),"")</f>
        <v/>
      </c>
      <c r="M1988" s="45" t="str">
        <f>IFERROR(VLOOKUP(B1988,'Pre-Summary'!$BW$6:$BY$58,2,FALSE),"")</f>
        <v/>
      </c>
      <c r="N1988" s="45" t="str">
        <f>IFERROR(VLOOKUP(B1988,'Pre-Summary'!$CD$6:$CF$64,2,FALSE),"")</f>
        <v/>
      </c>
      <c r="O1988" s="99">
        <f>IFERROR(VLOOKUP(B1988,'Pre-Summary'!$BO$6:$BQ$48,3, FALSE),O1987)</f>
        <v>1.3480000000000001</v>
      </c>
      <c r="P1988" s="99">
        <f>IFERROR(VLOOKUP(B1988,'Pre-Summary'!$BS$6:$BU$35,3,FALSE),P1987)</f>
        <v>0.33700000000000002</v>
      </c>
      <c r="Q1988" s="54">
        <f t="shared" si="93"/>
        <v>4</v>
      </c>
      <c r="R1988" s="53">
        <f>IFERROR(VLOOKUP(B1988,'Pre-Summary'!$BG$6:$BM$44,7,FALSE),R1989)</f>
        <v>6.2037889674656205E-2</v>
      </c>
      <c r="S1988" s="53">
        <f>IFERROR(VLOOKUP(B1988,'Pre-Summary'!$BG$6:$BM$44,6,FALSE),S1989)</f>
        <v>5.8400630293479062E-2</v>
      </c>
      <c r="T1988" s="45" t="str">
        <f>IFERROR(VLOOKUP(B1988,'Pre-Summary'!$Y$6:$AC$83, 3,FALSE),"")</f>
        <v/>
      </c>
      <c r="U1988" s="45" t="str">
        <f>IFERROR(VLOOKUP(B1988,'Pre-Summary'!$Y$6:$AC$83, 4,FALSE),"")</f>
        <v/>
      </c>
      <c r="V1988" t="str">
        <f>IFERROR(VLOOKUP(B1988,'Pre-Summary'!$Y$6:$AC$83, 5,FALSE),"")</f>
        <v/>
      </c>
      <c r="W1988" s="45" t="str">
        <f>IFERROR(VLOOKUP(B1988,'Pre-Summary'!$Y$6:$AD$83,6,FALSE),"")</f>
        <v/>
      </c>
      <c r="X1988" t="str">
        <f>IFERROR(VLOOKUP('Pre-Summary'!$DB$6:$DD$63,3,FALSE),"")</f>
        <v/>
      </c>
      <c r="Y1988" t="str">
        <f>IFERROR(VLOOKUP(B1988,'Pre-Summary'!$CR$6:$CT$36,3,FALSE),"")</f>
        <v/>
      </c>
      <c r="Z1988" s="45" t="str">
        <f>IFERROR(VLOOKUP(B1988,'Pre-Summary'!$BZ$6:$CB$63,2,FALSE),"")</f>
        <v/>
      </c>
      <c r="AA1988" s="45" t="str">
        <f>IFERROR(VLOOKUP(B1988,'Pre-Summary'!$CG$6:$CI$70,2,FALSE),"")</f>
        <v/>
      </c>
      <c r="AB1988" s="99">
        <f>IFERROR(VLOOKUP(B1988,'Pre-Summary'!$A$6:$P$178,9,FALSE),AB1989)</f>
        <v>0.34645337423384143</v>
      </c>
      <c r="AC1988" s="10">
        <f>IFERROR(VLOOKUP(Summary!B1988,'Pre-Summary'!$A$6:$P$184,5, FALSE)/100,AC1989)</f>
        <v>0.95914699999999997</v>
      </c>
      <c r="AD1988" s="10">
        <f>IFERROR(VLOOKUP(Summary!B1988,'Pre-Summary'!$A$6:$P$184,3, FALSE)/100,AD1989)</f>
        <v>3.5208666666666666E-2</v>
      </c>
      <c r="AE1988" s="10">
        <f>IFERROR(VLOOKUP(Summary!B1988,'Pre-Summary'!$A$6:$P$184,7, FALSE)/100,AE1989)</f>
        <v>5.6443333333333337E-3</v>
      </c>
      <c r="AF1988" s="99">
        <f t="shared" si="94"/>
        <v>1.2198161368941245E-2</v>
      </c>
      <c r="AG1988" s="99">
        <f t="shared" si="95"/>
        <v>1.9554983286338792E-3</v>
      </c>
      <c r="AH1988" s="10" t="str">
        <f>IFERROR(VLOOKUP(B1988,'Pre-Summary'!$AZ$6:$BE$65,3,FALSE),"")</f>
        <v/>
      </c>
      <c r="AI1988" s="10" t="str">
        <f>IFERROR(VLOOKUP(B1988,'Pre-Summary'!$AZ$6:$BE$65,5,FALSE),"")</f>
        <v/>
      </c>
      <c r="AJ1988" s="10" t="str">
        <f>IFERROR(VLOOKUP(B1988,'Pre-Summary'!$AZ$6:$BE$65,4,FALSE),"")</f>
        <v/>
      </c>
      <c r="AK1988" s="10" t="str">
        <f>IFERROR(VLOOKUP(B1988,'Pre-Summary'!$AZ$6:$BE$65,6,FALSE),"")</f>
        <v/>
      </c>
      <c r="AL1988" s="10" t="str">
        <f>IFERROR(VLOOKUP(B1988,'Pre-Summary'!$BG$6:$BL$44,3,FALSE),"")</f>
        <v/>
      </c>
      <c r="AM1988" s="10" t="str">
        <f>IFERROR(VLOOKUP(B1988,'Pre-Summary'!$BG$6:$BL$44,4,FALSE),"")</f>
        <v/>
      </c>
    </row>
    <row r="1989" spans="2:39" ht="15" customHeight="1" x14ac:dyDescent="0.3">
      <c r="B1989">
        <v>198.6</v>
      </c>
      <c r="C1989" t="str">
        <f>IFERROR(VLOOKUP(B1989,'Pre-Summary'!$DI$6:$DM$23,4,FALSE),"")</f>
        <v/>
      </c>
      <c r="D1989" s="10" t="str">
        <f>IFERROR(VLOOKUP(B1989,'Pre-Summary'!$AT$6:$AX$14,5,FALSE),D1988)</f>
        <v>Wolfe v3: went back to modified wolfe + EDTA and switched CuSO4 to CUCl2</v>
      </c>
      <c r="E1989" s="10" t="str">
        <f>IFERROR(VLOOKUP(B1989,'Pre-Summary'!$AT$6:$AX$15,4,FALSE),"")</f>
        <v/>
      </c>
      <c r="F1989">
        <f>IFERROR(VLOOKUP(B1989,'Pre-Summary'!$AL$6:$AQ$13,6,FALSE),F1988)</f>
        <v>5.9405263157894746E-2</v>
      </c>
      <c r="G1989" t="str">
        <f>IFERROR(VLOOKUP(B1989,'Pre-Summary'!$AE$6:$AJ$85,3,FALSE),"")</f>
        <v/>
      </c>
      <c r="H1989" t="str">
        <f>IFERROR(VLOOKUP(B1989,'Pre-Summary'!$AE$6:$AJ$85,4,FALSE),"")</f>
        <v/>
      </c>
      <c r="I1989" t="str">
        <f>IFERROR(VLOOKUP(B1989,'Pre-Summary'!$AE$6:$AJ$85,5,FALSE),"")</f>
        <v/>
      </c>
      <c r="J1989" s="45" t="str">
        <f>IFERROR(VLOOKUP(B1989,'Pre-Summary'!$AE$6:$AJ$85,6, FALSE),"")</f>
        <v/>
      </c>
      <c r="K1989" s="45" t="str">
        <f>IFERROR(VLOOKUP(B1989,'Pre-Summary'!$DE$6:$DG$61,3,FALSE),"")</f>
        <v/>
      </c>
      <c r="L1989" s="45" t="str">
        <f>IFERROR(VLOOKUP(B1989,'Pre-Summary'!$CU$6:$CW$36,3,FALSE),"")</f>
        <v/>
      </c>
      <c r="M1989" s="45" t="str">
        <f>IFERROR(VLOOKUP(B1989,'Pre-Summary'!$BW$6:$BY$58,2,FALSE),"")</f>
        <v/>
      </c>
      <c r="N1989" s="45" t="str">
        <f>IFERROR(VLOOKUP(B1989,'Pre-Summary'!$CD$6:$CF$64,2,FALSE),"")</f>
        <v/>
      </c>
      <c r="O1989" s="99">
        <f>IFERROR(VLOOKUP(B1989,'Pre-Summary'!$BO$6:$BQ$48,3, FALSE),O1988)</f>
        <v>1.3480000000000001</v>
      </c>
      <c r="P1989" s="99">
        <f>IFERROR(VLOOKUP(B1989,'Pre-Summary'!$BS$6:$BU$35,3,FALSE),P1988)</f>
        <v>0.33700000000000002</v>
      </c>
      <c r="Q1989" s="54">
        <f t="shared" si="93"/>
        <v>4</v>
      </c>
      <c r="R1989" s="53">
        <f>IFERROR(VLOOKUP(B1989,'Pre-Summary'!$BG$6:$BM$44,7,FALSE),R1990)</f>
        <v>6.2037889674656205E-2</v>
      </c>
      <c r="S1989" s="53">
        <f>IFERROR(VLOOKUP(B1989,'Pre-Summary'!$BG$6:$BM$44,6,FALSE),S1990)</f>
        <v>5.8400630293479062E-2</v>
      </c>
      <c r="T1989" s="45" t="str">
        <f>IFERROR(VLOOKUP(B1989,'Pre-Summary'!$Y$6:$AC$83, 3,FALSE),"")</f>
        <v/>
      </c>
      <c r="U1989" s="45" t="str">
        <f>IFERROR(VLOOKUP(B1989,'Pre-Summary'!$Y$6:$AC$83, 4,FALSE),"")</f>
        <v/>
      </c>
      <c r="V1989" t="str">
        <f>IFERROR(VLOOKUP(B1989,'Pre-Summary'!$Y$6:$AC$83, 5,FALSE),"")</f>
        <v/>
      </c>
      <c r="W1989" s="45" t="str">
        <f>IFERROR(VLOOKUP(B1989,'Pre-Summary'!$Y$6:$AD$83,6,FALSE),"")</f>
        <v/>
      </c>
      <c r="X1989" t="str">
        <f>IFERROR(VLOOKUP('Pre-Summary'!$DB$6:$DD$63,3,FALSE),"")</f>
        <v/>
      </c>
      <c r="Y1989" t="str">
        <f>IFERROR(VLOOKUP(B1989,'Pre-Summary'!$CR$6:$CT$36,3,FALSE),"")</f>
        <v/>
      </c>
      <c r="Z1989" s="45" t="str">
        <f>IFERROR(VLOOKUP(B1989,'Pre-Summary'!$BZ$6:$CB$63,2,FALSE),"")</f>
        <v/>
      </c>
      <c r="AA1989" s="45" t="str">
        <f>IFERROR(VLOOKUP(B1989,'Pre-Summary'!$CG$6:$CI$70,2,FALSE),"")</f>
        <v/>
      </c>
      <c r="AB1989" s="99">
        <f>IFERROR(VLOOKUP(B1989,'Pre-Summary'!$A$6:$P$178,9,FALSE),AB1990)</f>
        <v>0.34645337423384143</v>
      </c>
      <c r="AC1989" s="10">
        <f>IFERROR(VLOOKUP(Summary!B1989,'Pre-Summary'!$A$6:$P$184,5, FALSE)/100,AC1990)</f>
        <v>0.95914699999999997</v>
      </c>
      <c r="AD1989" s="10">
        <f>IFERROR(VLOOKUP(Summary!B1989,'Pre-Summary'!$A$6:$P$184,3, FALSE)/100,AD1990)</f>
        <v>3.5208666666666666E-2</v>
      </c>
      <c r="AE1989" s="10">
        <f>IFERROR(VLOOKUP(Summary!B1989,'Pre-Summary'!$A$6:$P$184,7, FALSE)/100,AE1990)</f>
        <v>5.6443333333333337E-3</v>
      </c>
      <c r="AF1989" s="99">
        <f t="shared" si="94"/>
        <v>1.2198161368941245E-2</v>
      </c>
      <c r="AG1989" s="99">
        <f t="shared" si="95"/>
        <v>1.9554983286338792E-3</v>
      </c>
      <c r="AH1989" s="10" t="str">
        <f>IFERROR(VLOOKUP(B1989,'Pre-Summary'!$AZ$6:$BE$65,3,FALSE),"")</f>
        <v/>
      </c>
      <c r="AI1989" s="10" t="str">
        <f>IFERROR(VLOOKUP(B1989,'Pre-Summary'!$AZ$6:$BE$65,5,FALSE),"")</f>
        <v/>
      </c>
      <c r="AJ1989" s="10" t="str">
        <f>IFERROR(VLOOKUP(B1989,'Pre-Summary'!$AZ$6:$BE$65,4,FALSE),"")</f>
        <v/>
      </c>
      <c r="AK1989" s="10" t="str">
        <f>IFERROR(VLOOKUP(B1989,'Pre-Summary'!$AZ$6:$BE$65,6,FALSE),"")</f>
        <v/>
      </c>
      <c r="AL1989" s="10" t="str">
        <f>IFERROR(VLOOKUP(B1989,'Pre-Summary'!$BG$6:$BL$44,3,FALSE),"")</f>
        <v/>
      </c>
      <c r="AM1989" s="10" t="str">
        <f>IFERROR(VLOOKUP(B1989,'Pre-Summary'!$BG$6:$BL$44,4,FALSE),"")</f>
        <v/>
      </c>
    </row>
    <row r="1990" spans="2:39" ht="15" customHeight="1" x14ac:dyDescent="0.3">
      <c r="B1990">
        <v>198.7</v>
      </c>
      <c r="C1990" t="str">
        <f>IFERROR(VLOOKUP(B1990,'Pre-Summary'!$DI$6:$DM$23,4,FALSE),"")</f>
        <v/>
      </c>
      <c r="D1990" s="10" t="str">
        <f>IFERROR(VLOOKUP(B1990,'Pre-Summary'!$AT$6:$AX$14,5,FALSE),D1989)</f>
        <v>Wolfe v3: went back to modified wolfe + EDTA and switched CuSO4 to CUCl2</v>
      </c>
      <c r="E1990" s="10" t="str">
        <f>IFERROR(VLOOKUP(B1990,'Pre-Summary'!$AT$6:$AX$15,4,FALSE),"")</f>
        <v/>
      </c>
      <c r="F1990">
        <f>IFERROR(VLOOKUP(B1990,'Pre-Summary'!$AL$6:$AQ$13,6,FALSE),F1989)</f>
        <v>5.9405263157894746E-2</v>
      </c>
      <c r="G1990" t="str">
        <f>IFERROR(VLOOKUP(B1990,'Pre-Summary'!$AE$6:$AJ$85,3,FALSE),"")</f>
        <v/>
      </c>
      <c r="H1990" t="str">
        <f>IFERROR(VLOOKUP(B1990,'Pre-Summary'!$AE$6:$AJ$85,4,FALSE),"")</f>
        <v/>
      </c>
      <c r="I1990" t="str">
        <f>IFERROR(VLOOKUP(B1990,'Pre-Summary'!$AE$6:$AJ$85,5,FALSE),"")</f>
        <v/>
      </c>
      <c r="J1990" s="45" t="str">
        <f>IFERROR(VLOOKUP(B1990,'Pre-Summary'!$AE$6:$AJ$85,6, FALSE),"")</f>
        <v/>
      </c>
      <c r="K1990" s="45" t="str">
        <f>IFERROR(VLOOKUP(B1990,'Pre-Summary'!$DE$6:$DG$61,3,FALSE),"")</f>
        <v/>
      </c>
      <c r="L1990" s="45" t="str">
        <f>IFERROR(VLOOKUP(B1990,'Pre-Summary'!$CU$6:$CW$36,3,FALSE),"")</f>
        <v/>
      </c>
      <c r="M1990" s="45" t="str">
        <f>IFERROR(VLOOKUP(B1990,'Pre-Summary'!$BW$6:$BY$58,2,FALSE),"")</f>
        <v/>
      </c>
      <c r="N1990" s="45" t="str">
        <f>IFERROR(VLOOKUP(B1990,'Pre-Summary'!$CD$6:$CF$64,2,FALSE),"")</f>
        <v/>
      </c>
      <c r="O1990" s="99">
        <f>IFERROR(VLOOKUP(B1990,'Pre-Summary'!$BO$6:$BQ$48,3, FALSE),O1989)</f>
        <v>1.3480000000000001</v>
      </c>
      <c r="P1990" s="99">
        <f>IFERROR(VLOOKUP(B1990,'Pre-Summary'!$BS$6:$BU$35,3,FALSE),P1989)</f>
        <v>0.33700000000000002</v>
      </c>
      <c r="Q1990" s="54">
        <f t="shared" si="93"/>
        <v>4</v>
      </c>
      <c r="R1990" s="53">
        <f>IFERROR(VLOOKUP(B1990,'Pre-Summary'!$BG$6:$BM$44,7,FALSE),R1991)</f>
        <v>6.2037889674656205E-2</v>
      </c>
      <c r="S1990" s="53">
        <f>IFERROR(VLOOKUP(B1990,'Pre-Summary'!$BG$6:$BM$44,6,FALSE),S1991)</f>
        <v>5.8400630293479062E-2</v>
      </c>
      <c r="T1990" s="45" t="str">
        <f>IFERROR(VLOOKUP(B1990,'Pre-Summary'!$Y$6:$AC$83, 3,FALSE),"")</f>
        <v/>
      </c>
      <c r="U1990" s="45" t="str">
        <f>IFERROR(VLOOKUP(B1990,'Pre-Summary'!$Y$6:$AC$83, 4,FALSE),"")</f>
        <v/>
      </c>
      <c r="V1990" t="str">
        <f>IFERROR(VLOOKUP(B1990,'Pre-Summary'!$Y$6:$AC$83, 5,FALSE),"")</f>
        <v/>
      </c>
      <c r="W1990" s="45" t="str">
        <f>IFERROR(VLOOKUP(B1990,'Pre-Summary'!$Y$6:$AD$83,6,FALSE),"")</f>
        <v/>
      </c>
      <c r="X1990" t="str">
        <f>IFERROR(VLOOKUP('Pre-Summary'!$DB$6:$DD$63,3,FALSE),"")</f>
        <v/>
      </c>
      <c r="Y1990" t="str">
        <f>IFERROR(VLOOKUP(B1990,'Pre-Summary'!$CR$6:$CT$36,3,FALSE),"")</f>
        <v/>
      </c>
      <c r="Z1990" s="45" t="str">
        <f>IFERROR(VLOOKUP(B1990,'Pre-Summary'!$BZ$6:$CB$63,2,FALSE),"")</f>
        <v/>
      </c>
      <c r="AA1990" s="45" t="str">
        <f>IFERROR(VLOOKUP(B1990,'Pre-Summary'!$CG$6:$CI$70,2,FALSE),"")</f>
        <v/>
      </c>
      <c r="AB1990" s="99">
        <f>IFERROR(VLOOKUP(B1990,'Pre-Summary'!$A$6:$P$178,9,FALSE),AB1991)</f>
        <v>0.34645337423384143</v>
      </c>
      <c r="AC1990" s="10">
        <f>IFERROR(VLOOKUP(Summary!B1990,'Pre-Summary'!$A$6:$P$184,5, FALSE)/100,AC1991)</f>
        <v>0.95914699999999997</v>
      </c>
      <c r="AD1990" s="10">
        <f>IFERROR(VLOOKUP(Summary!B1990,'Pre-Summary'!$A$6:$P$184,3, FALSE)/100,AD1991)</f>
        <v>3.5208666666666666E-2</v>
      </c>
      <c r="AE1990" s="10">
        <f>IFERROR(VLOOKUP(Summary!B1990,'Pre-Summary'!$A$6:$P$184,7, FALSE)/100,AE1991)</f>
        <v>5.6443333333333337E-3</v>
      </c>
      <c r="AF1990" s="99">
        <f t="shared" si="94"/>
        <v>1.2198161368941245E-2</v>
      </c>
      <c r="AG1990" s="99">
        <f t="shared" si="95"/>
        <v>1.9554983286338792E-3</v>
      </c>
      <c r="AH1990" s="10" t="str">
        <f>IFERROR(VLOOKUP(B1990,'Pre-Summary'!$AZ$6:$BE$65,3,FALSE),"")</f>
        <v/>
      </c>
      <c r="AI1990" s="10" t="str">
        <f>IFERROR(VLOOKUP(B1990,'Pre-Summary'!$AZ$6:$BE$65,5,FALSE),"")</f>
        <v/>
      </c>
      <c r="AJ1990" s="10" t="str">
        <f>IFERROR(VLOOKUP(B1990,'Pre-Summary'!$AZ$6:$BE$65,4,FALSE),"")</f>
        <v/>
      </c>
      <c r="AK1990" s="10" t="str">
        <f>IFERROR(VLOOKUP(B1990,'Pre-Summary'!$AZ$6:$BE$65,6,FALSE),"")</f>
        <v/>
      </c>
      <c r="AL1990" s="10" t="str">
        <f>IFERROR(VLOOKUP(B1990,'Pre-Summary'!$BG$6:$BL$44,3,FALSE),"")</f>
        <v/>
      </c>
      <c r="AM1990" s="10" t="str">
        <f>IFERROR(VLOOKUP(B1990,'Pre-Summary'!$BG$6:$BL$44,4,FALSE),"")</f>
        <v/>
      </c>
    </row>
    <row r="1991" spans="2:39" ht="15" customHeight="1" x14ac:dyDescent="0.3">
      <c r="B1991">
        <v>198.8</v>
      </c>
      <c r="C1991" t="str">
        <f>IFERROR(VLOOKUP(B1991,'Pre-Summary'!$DI$6:$DM$23,4,FALSE),"")</f>
        <v/>
      </c>
      <c r="D1991" s="10" t="str">
        <f>IFERROR(VLOOKUP(B1991,'Pre-Summary'!$AT$6:$AX$14,5,FALSE),D1990)</f>
        <v>Wolfe v3: went back to modified wolfe + EDTA and switched CuSO4 to CUCl2</v>
      </c>
      <c r="E1991" s="10" t="str">
        <f>IFERROR(VLOOKUP(B1991,'Pre-Summary'!$AT$6:$AX$15,4,FALSE),"")</f>
        <v/>
      </c>
      <c r="F1991">
        <f>IFERROR(VLOOKUP(B1991,'Pre-Summary'!$AL$6:$AQ$13,6,FALSE),F1990)</f>
        <v>5.9405263157894746E-2</v>
      </c>
      <c r="G1991" t="str">
        <f>IFERROR(VLOOKUP(B1991,'Pre-Summary'!$AE$6:$AJ$85,3,FALSE),"")</f>
        <v/>
      </c>
      <c r="H1991" t="str">
        <f>IFERROR(VLOOKUP(B1991,'Pre-Summary'!$AE$6:$AJ$85,4,FALSE),"")</f>
        <v/>
      </c>
      <c r="I1991" t="str">
        <f>IFERROR(VLOOKUP(B1991,'Pre-Summary'!$AE$6:$AJ$85,5,FALSE),"")</f>
        <v/>
      </c>
      <c r="J1991" s="45" t="str">
        <f>IFERROR(VLOOKUP(B1991,'Pre-Summary'!$AE$6:$AJ$85,6, FALSE),"")</f>
        <v/>
      </c>
      <c r="K1991" s="45" t="str">
        <f>IFERROR(VLOOKUP(B1991,'Pre-Summary'!$DE$6:$DG$61,3,FALSE),"")</f>
        <v/>
      </c>
      <c r="L1991" s="45" t="str">
        <f>IFERROR(VLOOKUP(B1991,'Pre-Summary'!$CU$6:$CW$36,3,FALSE),"")</f>
        <v/>
      </c>
      <c r="M1991" s="45" t="str">
        <f>IFERROR(VLOOKUP(B1991,'Pre-Summary'!$BW$6:$BY$58,2,FALSE),"")</f>
        <v/>
      </c>
      <c r="N1991" s="45" t="str">
        <f>IFERROR(VLOOKUP(B1991,'Pre-Summary'!$CD$6:$CF$64,2,FALSE),"")</f>
        <v/>
      </c>
      <c r="O1991" s="99">
        <f>IFERROR(VLOOKUP(B1991,'Pre-Summary'!$BO$6:$BQ$48,3, FALSE),O1990)</f>
        <v>1.3480000000000001</v>
      </c>
      <c r="P1991" s="99">
        <f>IFERROR(VLOOKUP(B1991,'Pre-Summary'!$BS$6:$BU$35,3,FALSE),P1990)</f>
        <v>0.33700000000000002</v>
      </c>
      <c r="Q1991" s="54">
        <f t="shared" si="93"/>
        <v>4</v>
      </c>
      <c r="R1991" s="53">
        <f>IFERROR(VLOOKUP(B1991,'Pre-Summary'!$BG$6:$BM$44,7,FALSE),R1992)</f>
        <v>6.2037889674656205E-2</v>
      </c>
      <c r="S1991" s="53">
        <f>IFERROR(VLOOKUP(B1991,'Pre-Summary'!$BG$6:$BM$44,6,FALSE),S1992)</f>
        <v>5.8400630293479062E-2</v>
      </c>
      <c r="T1991" s="45" t="str">
        <f>IFERROR(VLOOKUP(B1991,'Pre-Summary'!$Y$6:$AC$83, 3,FALSE),"")</f>
        <v/>
      </c>
      <c r="U1991" s="45" t="str">
        <f>IFERROR(VLOOKUP(B1991,'Pre-Summary'!$Y$6:$AC$83, 4,FALSE),"")</f>
        <v/>
      </c>
      <c r="V1991" t="str">
        <f>IFERROR(VLOOKUP(B1991,'Pre-Summary'!$Y$6:$AC$83, 5,FALSE),"")</f>
        <v/>
      </c>
      <c r="W1991" s="45" t="str">
        <f>IFERROR(VLOOKUP(B1991,'Pre-Summary'!$Y$6:$AD$83,6,FALSE),"")</f>
        <v/>
      </c>
      <c r="X1991" t="str">
        <f>IFERROR(VLOOKUP('Pre-Summary'!$DB$6:$DD$63,3,FALSE),"")</f>
        <v/>
      </c>
      <c r="Y1991" t="str">
        <f>IFERROR(VLOOKUP(B1991,'Pre-Summary'!$CR$6:$CT$36,3,FALSE),"")</f>
        <v/>
      </c>
      <c r="Z1991" s="45" t="str">
        <f>IFERROR(VLOOKUP(B1991,'Pre-Summary'!$BZ$6:$CB$63,2,FALSE),"")</f>
        <v/>
      </c>
      <c r="AA1991" s="45" t="str">
        <f>IFERROR(VLOOKUP(B1991,'Pre-Summary'!$CG$6:$CI$70,2,FALSE),"")</f>
        <v/>
      </c>
      <c r="AB1991" s="99">
        <f>IFERROR(VLOOKUP(B1991,'Pre-Summary'!$A$6:$P$178,9,FALSE),AB1992)</f>
        <v>0.34645337423384143</v>
      </c>
      <c r="AC1991" s="10">
        <f>IFERROR(VLOOKUP(Summary!B1991,'Pre-Summary'!$A$6:$P$184,5, FALSE)/100,AC1992)</f>
        <v>0.95914699999999997</v>
      </c>
      <c r="AD1991" s="10">
        <f>IFERROR(VLOOKUP(Summary!B1991,'Pre-Summary'!$A$6:$P$184,3, FALSE)/100,AD1992)</f>
        <v>3.5208666666666666E-2</v>
      </c>
      <c r="AE1991" s="10">
        <f>IFERROR(VLOOKUP(Summary!B1991,'Pre-Summary'!$A$6:$P$184,7, FALSE)/100,AE1992)</f>
        <v>5.6443333333333337E-3</v>
      </c>
      <c r="AF1991" s="99">
        <f t="shared" si="94"/>
        <v>1.2198161368941245E-2</v>
      </c>
      <c r="AG1991" s="99">
        <f t="shared" si="95"/>
        <v>1.9554983286338792E-3</v>
      </c>
      <c r="AH1991" s="10" t="str">
        <f>IFERROR(VLOOKUP(B1991,'Pre-Summary'!$AZ$6:$BE$65,3,FALSE),"")</f>
        <v/>
      </c>
      <c r="AI1991" s="10" t="str">
        <f>IFERROR(VLOOKUP(B1991,'Pre-Summary'!$AZ$6:$BE$65,5,FALSE),"")</f>
        <v/>
      </c>
      <c r="AJ1991" s="10" t="str">
        <f>IFERROR(VLOOKUP(B1991,'Pre-Summary'!$AZ$6:$BE$65,4,FALSE),"")</f>
        <v/>
      </c>
      <c r="AK1991" s="10" t="str">
        <f>IFERROR(VLOOKUP(B1991,'Pre-Summary'!$AZ$6:$BE$65,6,FALSE),"")</f>
        <v/>
      </c>
      <c r="AL1991" s="10" t="str">
        <f>IFERROR(VLOOKUP(B1991,'Pre-Summary'!$BG$6:$BL$44,3,FALSE),"")</f>
        <v/>
      </c>
      <c r="AM1991" s="10" t="str">
        <f>IFERROR(VLOOKUP(B1991,'Pre-Summary'!$BG$6:$BL$44,4,FALSE),"")</f>
        <v/>
      </c>
    </row>
    <row r="1992" spans="2:39" ht="15" customHeight="1" x14ac:dyDescent="0.3">
      <c r="B1992">
        <v>198.9</v>
      </c>
      <c r="C1992" t="str">
        <f>IFERROR(VLOOKUP(B1992,'Pre-Summary'!$DI$6:$DM$23,4,FALSE),"")</f>
        <v/>
      </c>
      <c r="D1992" s="10" t="str">
        <f>IFERROR(VLOOKUP(B1992,'Pre-Summary'!$AT$6:$AX$14,5,FALSE),D1991)</f>
        <v>Wolfe v3: went back to modified wolfe + EDTA and switched CuSO4 to CUCl2</v>
      </c>
      <c r="E1992" s="10" t="str">
        <f>IFERROR(VLOOKUP(B1992,'Pre-Summary'!$AT$6:$AX$15,4,FALSE),"")</f>
        <v/>
      </c>
      <c r="F1992">
        <f>IFERROR(VLOOKUP(B1992,'Pre-Summary'!$AL$6:$AQ$13,6,FALSE),F1991)</f>
        <v>5.9405263157894746E-2</v>
      </c>
      <c r="G1992" t="str">
        <f>IFERROR(VLOOKUP(B1992,'Pre-Summary'!$AE$6:$AJ$85,3,FALSE),"")</f>
        <v/>
      </c>
      <c r="H1992" t="str">
        <f>IFERROR(VLOOKUP(B1992,'Pre-Summary'!$AE$6:$AJ$85,4,FALSE),"")</f>
        <v/>
      </c>
      <c r="I1992" t="str">
        <f>IFERROR(VLOOKUP(B1992,'Pre-Summary'!$AE$6:$AJ$85,5,FALSE),"")</f>
        <v/>
      </c>
      <c r="J1992" s="45" t="str">
        <f>IFERROR(VLOOKUP(B1992,'Pre-Summary'!$AE$6:$AJ$85,6, FALSE),"")</f>
        <v/>
      </c>
      <c r="K1992" s="45" t="str">
        <f>IFERROR(VLOOKUP(B1992,'Pre-Summary'!$DE$6:$DG$61,3,FALSE),"")</f>
        <v/>
      </c>
      <c r="L1992" s="45" t="str">
        <f>IFERROR(VLOOKUP(B1992,'Pre-Summary'!$CU$6:$CW$36,3,FALSE),"")</f>
        <v/>
      </c>
      <c r="M1992" s="45" t="str">
        <f>IFERROR(VLOOKUP(B1992,'Pre-Summary'!$BW$6:$BY$58,2,FALSE),"")</f>
        <v/>
      </c>
      <c r="N1992" s="45" t="str">
        <f>IFERROR(VLOOKUP(B1992,'Pre-Summary'!$CD$6:$CF$64,2,FALSE),"")</f>
        <v/>
      </c>
      <c r="O1992" s="99">
        <f>IFERROR(VLOOKUP(B1992,'Pre-Summary'!$BO$6:$BQ$48,3, FALSE),O1991)</f>
        <v>1.3480000000000001</v>
      </c>
      <c r="P1992" s="99">
        <f>IFERROR(VLOOKUP(B1992,'Pre-Summary'!$BS$6:$BU$35,3,FALSE),P1991)</f>
        <v>0.33700000000000002</v>
      </c>
      <c r="Q1992" s="54">
        <f t="shared" si="93"/>
        <v>4</v>
      </c>
      <c r="R1992" s="53">
        <f>IFERROR(VLOOKUP(B1992,'Pre-Summary'!$BG$6:$BM$44,7,FALSE),R1993)</f>
        <v>6.2037889674656205E-2</v>
      </c>
      <c r="S1992" s="53">
        <f>IFERROR(VLOOKUP(B1992,'Pre-Summary'!$BG$6:$BM$44,6,FALSE),S1993)</f>
        <v>5.8400630293479062E-2</v>
      </c>
      <c r="T1992" s="45" t="str">
        <f>IFERROR(VLOOKUP(B1992,'Pre-Summary'!$Y$6:$AC$83, 3,FALSE),"")</f>
        <v/>
      </c>
      <c r="U1992" s="45" t="str">
        <f>IFERROR(VLOOKUP(B1992,'Pre-Summary'!$Y$6:$AC$83, 4,FALSE),"")</f>
        <v/>
      </c>
      <c r="V1992" t="str">
        <f>IFERROR(VLOOKUP(B1992,'Pre-Summary'!$Y$6:$AC$83, 5,FALSE),"")</f>
        <v/>
      </c>
      <c r="W1992" s="45" t="str">
        <f>IFERROR(VLOOKUP(B1992,'Pre-Summary'!$Y$6:$AD$83,6,FALSE),"")</f>
        <v/>
      </c>
      <c r="X1992" t="str">
        <f>IFERROR(VLOOKUP('Pre-Summary'!$DB$6:$DD$63,3,FALSE),"")</f>
        <v/>
      </c>
      <c r="Y1992" t="str">
        <f>IFERROR(VLOOKUP(B1992,'Pre-Summary'!$CR$6:$CT$36,3,FALSE),"")</f>
        <v/>
      </c>
      <c r="Z1992" s="45" t="str">
        <f>IFERROR(VLOOKUP(B1992,'Pre-Summary'!$BZ$6:$CB$63,2,FALSE),"")</f>
        <v/>
      </c>
      <c r="AA1992" s="45" t="str">
        <f>IFERROR(VLOOKUP(B1992,'Pre-Summary'!$CG$6:$CI$70,2,FALSE),"")</f>
        <v/>
      </c>
      <c r="AB1992" s="99">
        <f>IFERROR(VLOOKUP(B1992,'Pre-Summary'!$A$6:$P$178,9,FALSE),AB1993)</f>
        <v>0.34645337423384143</v>
      </c>
      <c r="AC1992" s="10">
        <f>IFERROR(VLOOKUP(Summary!B1992,'Pre-Summary'!$A$6:$P$184,5, FALSE)/100,AC1993)</f>
        <v>0.95914699999999997</v>
      </c>
      <c r="AD1992" s="10">
        <f>IFERROR(VLOOKUP(Summary!B1992,'Pre-Summary'!$A$6:$P$184,3, FALSE)/100,AD1993)</f>
        <v>3.5208666666666666E-2</v>
      </c>
      <c r="AE1992" s="10">
        <f>IFERROR(VLOOKUP(Summary!B1992,'Pre-Summary'!$A$6:$P$184,7, FALSE)/100,AE1993)</f>
        <v>5.6443333333333337E-3</v>
      </c>
      <c r="AF1992" s="99">
        <f t="shared" si="94"/>
        <v>1.2198161368941245E-2</v>
      </c>
      <c r="AG1992" s="99">
        <f t="shared" si="95"/>
        <v>1.9554983286338792E-3</v>
      </c>
      <c r="AH1992" s="10" t="str">
        <f>IFERROR(VLOOKUP(B1992,'Pre-Summary'!$AZ$6:$BE$65,3,FALSE),"")</f>
        <v/>
      </c>
      <c r="AI1992" s="10" t="str">
        <f>IFERROR(VLOOKUP(B1992,'Pre-Summary'!$AZ$6:$BE$65,5,FALSE),"")</f>
        <v/>
      </c>
      <c r="AJ1992" s="10" t="str">
        <f>IFERROR(VLOOKUP(B1992,'Pre-Summary'!$AZ$6:$BE$65,4,FALSE),"")</f>
        <v/>
      </c>
      <c r="AK1992" s="10" t="str">
        <f>IFERROR(VLOOKUP(B1992,'Pre-Summary'!$AZ$6:$BE$65,6,FALSE),"")</f>
        <v/>
      </c>
      <c r="AL1992" s="10" t="str">
        <f>IFERROR(VLOOKUP(B1992,'Pre-Summary'!$BG$6:$BL$44,3,FALSE),"")</f>
        <v/>
      </c>
      <c r="AM1992" s="10" t="str">
        <f>IFERROR(VLOOKUP(B1992,'Pre-Summary'!$BG$6:$BL$44,4,FALSE),"")</f>
        <v/>
      </c>
    </row>
    <row r="1993" spans="2:39" ht="15" customHeight="1" x14ac:dyDescent="0.3">
      <c r="B1993">
        <v>199</v>
      </c>
      <c r="C1993" t="str">
        <f>IFERROR(VLOOKUP(B1993,'Pre-Summary'!$DI$6:$DM$23,4,FALSE),"")</f>
        <v/>
      </c>
      <c r="D1993" s="10" t="str">
        <f>IFERROR(VLOOKUP(B1993,'Pre-Summary'!$AT$6:$AX$14,5,FALSE),D1992)</f>
        <v>Wolfe v3: went back to modified wolfe + EDTA and switched CuSO4 to CUCl2</v>
      </c>
      <c r="E1993" s="10" t="str">
        <f>IFERROR(VLOOKUP(B1993,'Pre-Summary'!$AT$6:$AX$15,4,FALSE),"")</f>
        <v/>
      </c>
      <c r="F1993">
        <f>IFERROR(VLOOKUP(B1993,'Pre-Summary'!$AL$6:$AQ$13,6,FALSE),F1992)</f>
        <v>5.9405263157894746E-2</v>
      </c>
      <c r="G1993" t="str">
        <f>IFERROR(VLOOKUP(B1993,'Pre-Summary'!$AE$6:$AJ$85,3,FALSE),"")</f>
        <v/>
      </c>
      <c r="H1993" t="str">
        <f>IFERROR(VLOOKUP(B1993,'Pre-Summary'!$AE$6:$AJ$85,4,FALSE),"")</f>
        <v/>
      </c>
      <c r="I1993" t="str">
        <f>IFERROR(VLOOKUP(B1993,'Pre-Summary'!$AE$6:$AJ$85,5,FALSE),"")</f>
        <v/>
      </c>
      <c r="J1993" s="45" t="str">
        <f>IFERROR(VLOOKUP(B1993,'Pre-Summary'!$AE$6:$AJ$85,6, FALSE),"")</f>
        <v/>
      </c>
      <c r="K1993" s="45" t="str">
        <f>IFERROR(VLOOKUP(B1993,'Pre-Summary'!$DE$6:$DG$61,3,FALSE),"")</f>
        <v/>
      </c>
      <c r="L1993" s="45" t="str">
        <f>IFERROR(VLOOKUP(B1993,'Pre-Summary'!$CU$6:$CW$36,3,FALSE),"")</f>
        <v/>
      </c>
      <c r="M1993" s="45" t="str">
        <f>IFERROR(VLOOKUP(B1993,'Pre-Summary'!$BW$6:$BY$58,2,FALSE),"")</f>
        <v/>
      </c>
      <c r="N1993" s="45" t="str">
        <f>IFERROR(VLOOKUP(B1993,'Pre-Summary'!$CD$6:$CF$64,2,FALSE),"")</f>
        <v/>
      </c>
      <c r="O1993" s="99">
        <f>IFERROR(VLOOKUP(B1993,'Pre-Summary'!$BO$6:$BQ$48,3, FALSE),O1992)</f>
        <v>1.3480000000000001</v>
      </c>
      <c r="P1993" s="99">
        <f>IFERROR(VLOOKUP(B1993,'Pre-Summary'!$BS$6:$BU$35,3,FALSE),P1992)</f>
        <v>0.33700000000000002</v>
      </c>
      <c r="Q1993" s="54">
        <f t="shared" si="93"/>
        <v>4</v>
      </c>
      <c r="R1993" s="53">
        <f>IFERROR(VLOOKUP(B1993,'Pre-Summary'!$BG$6:$BM$44,7,FALSE),R1994)</f>
        <v>6.2037889674656205E-2</v>
      </c>
      <c r="S1993" s="53">
        <f>IFERROR(VLOOKUP(B1993,'Pre-Summary'!$BG$6:$BM$44,6,FALSE),S1994)</f>
        <v>5.8400630293479062E-2</v>
      </c>
      <c r="T1993" s="45" t="str">
        <f>IFERROR(VLOOKUP(B1993,'Pre-Summary'!$Y$6:$AC$83, 3,FALSE),"")</f>
        <v/>
      </c>
      <c r="U1993" s="45" t="str">
        <f>IFERROR(VLOOKUP(B1993,'Pre-Summary'!$Y$6:$AC$83, 4,FALSE),"")</f>
        <v/>
      </c>
      <c r="V1993" t="str">
        <f>IFERROR(VLOOKUP(B1993,'Pre-Summary'!$Y$6:$AC$83, 5,FALSE),"")</f>
        <v/>
      </c>
      <c r="W1993" s="45" t="str">
        <f>IFERROR(VLOOKUP(B1993,'Pre-Summary'!$Y$6:$AD$83,6,FALSE),"")</f>
        <v/>
      </c>
      <c r="X1993" t="str">
        <f>IFERROR(VLOOKUP('Pre-Summary'!$DB$6:$DD$63,3,FALSE),"")</f>
        <v/>
      </c>
      <c r="Y1993" t="str">
        <f>IFERROR(VLOOKUP(B1993,'Pre-Summary'!$CR$6:$CT$36,3,FALSE),"")</f>
        <v/>
      </c>
      <c r="Z1993" s="45" t="str">
        <f>IFERROR(VLOOKUP(B1993,'Pre-Summary'!$BZ$6:$CB$63,2,FALSE),"")</f>
        <v/>
      </c>
      <c r="AA1993" s="45" t="str">
        <f>IFERROR(VLOOKUP(B1993,'Pre-Summary'!$CG$6:$CI$70,2,FALSE),"")</f>
        <v/>
      </c>
      <c r="AB1993" s="99">
        <f>IFERROR(VLOOKUP(B1993,'Pre-Summary'!$A$6:$P$178,9,FALSE),AB1994)</f>
        <v>0.34645337423384143</v>
      </c>
      <c r="AC1993" s="10">
        <f>IFERROR(VLOOKUP(Summary!B1993,'Pre-Summary'!$A$6:$P$184,5, FALSE)/100,AC1994)</f>
        <v>0.95914699999999997</v>
      </c>
      <c r="AD1993" s="10">
        <f>IFERROR(VLOOKUP(Summary!B1993,'Pre-Summary'!$A$6:$P$184,3, FALSE)/100,AD1994)</f>
        <v>3.5208666666666666E-2</v>
      </c>
      <c r="AE1993" s="10">
        <f>IFERROR(VLOOKUP(Summary!B1993,'Pre-Summary'!$A$6:$P$184,7, FALSE)/100,AE1994)</f>
        <v>5.6443333333333337E-3</v>
      </c>
      <c r="AF1993" s="99">
        <f t="shared" si="94"/>
        <v>1.2198161368941245E-2</v>
      </c>
      <c r="AG1993" s="99">
        <f t="shared" si="95"/>
        <v>1.9554983286338792E-3</v>
      </c>
      <c r="AH1993" s="10" t="str">
        <f>IFERROR(VLOOKUP(B1993,'Pre-Summary'!$AZ$6:$BE$65,3,FALSE),"")</f>
        <v/>
      </c>
      <c r="AI1993" s="10" t="str">
        <f>IFERROR(VLOOKUP(B1993,'Pre-Summary'!$AZ$6:$BE$65,5,FALSE),"")</f>
        <v/>
      </c>
      <c r="AJ1993" s="10" t="str">
        <f>IFERROR(VLOOKUP(B1993,'Pre-Summary'!$AZ$6:$BE$65,4,FALSE),"")</f>
        <v/>
      </c>
      <c r="AK1993" s="10" t="str">
        <f>IFERROR(VLOOKUP(B1993,'Pre-Summary'!$AZ$6:$BE$65,6,FALSE),"")</f>
        <v/>
      </c>
      <c r="AL1993" s="10" t="str">
        <f>IFERROR(VLOOKUP(B1993,'Pre-Summary'!$BG$6:$BL$44,3,FALSE),"")</f>
        <v/>
      </c>
      <c r="AM1993" s="10" t="str">
        <f>IFERROR(VLOOKUP(B1993,'Pre-Summary'!$BG$6:$BL$44,4,FALSE),"")</f>
        <v/>
      </c>
    </row>
    <row r="1994" spans="2:39" ht="15" customHeight="1" x14ac:dyDescent="0.3">
      <c r="B1994">
        <v>199.1</v>
      </c>
      <c r="C1994" t="str">
        <f>IFERROR(VLOOKUP(B1994,'Pre-Summary'!$DI$6:$DM$23,4,FALSE),"")</f>
        <v/>
      </c>
      <c r="D1994" s="10" t="str">
        <f>IFERROR(VLOOKUP(B1994,'Pre-Summary'!$AT$6:$AX$14,5,FALSE),D1993)</f>
        <v>Wolfe v3: went back to modified wolfe + EDTA and switched CuSO4 to CUCl2</v>
      </c>
      <c r="E1994" s="10" t="str">
        <f>IFERROR(VLOOKUP(B1994,'Pre-Summary'!$AT$6:$AX$15,4,FALSE),"")</f>
        <v/>
      </c>
      <c r="F1994">
        <f>IFERROR(VLOOKUP(B1994,'Pre-Summary'!$AL$6:$AQ$13,6,FALSE),F1993)</f>
        <v>5.9405263157894746E-2</v>
      </c>
      <c r="G1994" t="str">
        <f>IFERROR(VLOOKUP(B1994,'Pre-Summary'!$AE$6:$AJ$85,3,FALSE),"")</f>
        <v/>
      </c>
      <c r="H1994" t="str">
        <f>IFERROR(VLOOKUP(B1994,'Pre-Summary'!$AE$6:$AJ$85,4,FALSE),"")</f>
        <v/>
      </c>
      <c r="I1994" t="str">
        <f>IFERROR(VLOOKUP(B1994,'Pre-Summary'!$AE$6:$AJ$85,5,FALSE),"")</f>
        <v/>
      </c>
      <c r="J1994" s="45" t="str">
        <f>IFERROR(VLOOKUP(B1994,'Pre-Summary'!$AE$6:$AJ$85,6, FALSE),"")</f>
        <v/>
      </c>
      <c r="K1994" s="45" t="str">
        <f>IFERROR(VLOOKUP(B1994,'Pre-Summary'!$DE$6:$DG$61,3,FALSE),"")</f>
        <v/>
      </c>
      <c r="L1994" s="45" t="str">
        <f>IFERROR(VLOOKUP(B1994,'Pre-Summary'!$CU$6:$CW$36,3,FALSE),"")</f>
        <v/>
      </c>
      <c r="M1994" s="45" t="str">
        <f>IFERROR(VLOOKUP(B1994,'Pre-Summary'!$BW$6:$BY$58,2,FALSE),"")</f>
        <v/>
      </c>
      <c r="N1994" s="45" t="str">
        <f>IFERROR(VLOOKUP(B1994,'Pre-Summary'!$CD$6:$CF$64,2,FALSE),"")</f>
        <v/>
      </c>
      <c r="O1994" s="99">
        <f>IFERROR(VLOOKUP(B1994,'Pre-Summary'!$BO$6:$BQ$48,3, FALSE),O1993)</f>
        <v>1.3480000000000001</v>
      </c>
      <c r="P1994" s="99">
        <f>IFERROR(VLOOKUP(B1994,'Pre-Summary'!$BS$6:$BU$35,3,FALSE),P1993)</f>
        <v>0.33700000000000002</v>
      </c>
      <c r="Q1994" s="54">
        <f t="shared" si="93"/>
        <v>4</v>
      </c>
      <c r="R1994" s="53">
        <f>IFERROR(VLOOKUP(B1994,'Pre-Summary'!$BG$6:$BM$44,7,FALSE),R1995)</f>
        <v>6.2037889674656205E-2</v>
      </c>
      <c r="S1994" s="53">
        <f>IFERROR(VLOOKUP(B1994,'Pre-Summary'!$BG$6:$BM$44,6,FALSE),S1995)</f>
        <v>5.8400630293479062E-2</v>
      </c>
      <c r="T1994" s="45" t="str">
        <f>IFERROR(VLOOKUP(B1994,'Pre-Summary'!$Y$6:$AC$83, 3,FALSE),"")</f>
        <v/>
      </c>
      <c r="U1994" s="45" t="str">
        <f>IFERROR(VLOOKUP(B1994,'Pre-Summary'!$Y$6:$AC$83, 4,FALSE),"")</f>
        <v/>
      </c>
      <c r="V1994" t="str">
        <f>IFERROR(VLOOKUP(B1994,'Pre-Summary'!$Y$6:$AC$83, 5,FALSE),"")</f>
        <v/>
      </c>
      <c r="W1994" s="45" t="str">
        <f>IFERROR(VLOOKUP(B1994,'Pre-Summary'!$Y$6:$AD$83,6,FALSE),"")</f>
        <v/>
      </c>
      <c r="X1994" t="str">
        <f>IFERROR(VLOOKUP('Pre-Summary'!$DB$6:$DD$63,3,FALSE),"")</f>
        <v/>
      </c>
      <c r="Y1994" t="str">
        <f>IFERROR(VLOOKUP(B1994,'Pre-Summary'!$CR$6:$CT$36,3,FALSE),"")</f>
        <v/>
      </c>
      <c r="Z1994" s="45" t="str">
        <f>IFERROR(VLOOKUP(B1994,'Pre-Summary'!$BZ$6:$CB$63,2,FALSE),"")</f>
        <v/>
      </c>
      <c r="AA1994" s="45" t="str">
        <f>IFERROR(VLOOKUP(B1994,'Pre-Summary'!$CG$6:$CI$70,2,FALSE),"")</f>
        <v/>
      </c>
      <c r="AB1994" s="99">
        <f>IFERROR(VLOOKUP(B1994,'Pre-Summary'!$A$6:$P$178,9,FALSE),AB1995)</f>
        <v>0.34645337423384143</v>
      </c>
      <c r="AC1994" s="10">
        <f>IFERROR(VLOOKUP(Summary!B1994,'Pre-Summary'!$A$6:$P$184,5, FALSE)/100,AC1995)</f>
        <v>0.95914699999999997</v>
      </c>
      <c r="AD1994" s="10">
        <f>IFERROR(VLOOKUP(Summary!B1994,'Pre-Summary'!$A$6:$P$184,3, FALSE)/100,AD1995)</f>
        <v>3.5208666666666666E-2</v>
      </c>
      <c r="AE1994" s="10">
        <f>IFERROR(VLOOKUP(Summary!B1994,'Pre-Summary'!$A$6:$P$184,7, FALSE)/100,AE1995)</f>
        <v>5.6443333333333337E-3</v>
      </c>
      <c r="AF1994" s="99">
        <f t="shared" si="94"/>
        <v>1.2198161368941245E-2</v>
      </c>
      <c r="AG1994" s="99">
        <f t="shared" si="95"/>
        <v>1.9554983286338792E-3</v>
      </c>
      <c r="AH1994" s="10" t="str">
        <f>IFERROR(VLOOKUP(B1994,'Pre-Summary'!$AZ$6:$BE$65,3,FALSE),"")</f>
        <v/>
      </c>
      <c r="AI1994" s="10" t="str">
        <f>IFERROR(VLOOKUP(B1994,'Pre-Summary'!$AZ$6:$BE$65,5,FALSE),"")</f>
        <v/>
      </c>
      <c r="AJ1994" s="10" t="str">
        <f>IFERROR(VLOOKUP(B1994,'Pre-Summary'!$AZ$6:$BE$65,4,FALSE),"")</f>
        <v/>
      </c>
      <c r="AK1994" s="10" t="str">
        <f>IFERROR(VLOOKUP(B1994,'Pre-Summary'!$AZ$6:$BE$65,6,FALSE),"")</f>
        <v/>
      </c>
      <c r="AL1994" s="10" t="str">
        <f>IFERROR(VLOOKUP(B1994,'Pre-Summary'!$BG$6:$BL$44,3,FALSE),"")</f>
        <v/>
      </c>
      <c r="AM1994" s="10" t="str">
        <f>IFERROR(VLOOKUP(B1994,'Pre-Summary'!$BG$6:$BL$44,4,FALSE),"")</f>
        <v/>
      </c>
    </row>
    <row r="1995" spans="2:39" ht="15" customHeight="1" x14ac:dyDescent="0.3">
      <c r="B1995">
        <v>199.2</v>
      </c>
      <c r="C1995" t="str">
        <f>IFERROR(VLOOKUP(B1995,'Pre-Summary'!$DI$6:$DM$23,4,FALSE),"")</f>
        <v/>
      </c>
      <c r="D1995" s="10" t="str">
        <f>IFERROR(VLOOKUP(B1995,'Pre-Summary'!$AT$6:$AX$14,5,FALSE),D1994)</f>
        <v>Wolfe v3: went back to modified wolfe + EDTA and switched CuSO4 to CUCl2</v>
      </c>
      <c r="E1995" s="10" t="str">
        <f>IFERROR(VLOOKUP(B1995,'Pre-Summary'!$AT$6:$AX$15,4,FALSE),"")</f>
        <v/>
      </c>
      <c r="F1995">
        <f>IFERROR(VLOOKUP(B1995,'Pre-Summary'!$AL$6:$AQ$13,6,FALSE),F1994)</f>
        <v>5.9405263157894746E-2</v>
      </c>
      <c r="G1995" t="str">
        <f>IFERROR(VLOOKUP(B1995,'Pre-Summary'!$AE$6:$AJ$85,3,FALSE),"")</f>
        <v/>
      </c>
      <c r="H1995" t="str">
        <f>IFERROR(VLOOKUP(B1995,'Pre-Summary'!$AE$6:$AJ$85,4,FALSE),"")</f>
        <v/>
      </c>
      <c r="I1995" t="str">
        <f>IFERROR(VLOOKUP(B1995,'Pre-Summary'!$AE$6:$AJ$85,5,FALSE),"")</f>
        <v/>
      </c>
      <c r="J1995" s="45" t="str">
        <f>IFERROR(VLOOKUP(B1995,'Pre-Summary'!$AE$6:$AJ$85,6, FALSE),"")</f>
        <v/>
      </c>
      <c r="K1995" s="45" t="str">
        <f>IFERROR(VLOOKUP(B1995,'Pre-Summary'!$DE$6:$DG$61,3,FALSE),"")</f>
        <v/>
      </c>
      <c r="L1995" s="45" t="str">
        <f>IFERROR(VLOOKUP(B1995,'Pre-Summary'!$CU$6:$CW$36,3,FALSE),"")</f>
        <v/>
      </c>
      <c r="M1995" s="45" t="str">
        <f>IFERROR(VLOOKUP(B1995,'Pre-Summary'!$BW$6:$BY$58,2,FALSE),"")</f>
        <v/>
      </c>
      <c r="N1995" s="45" t="str">
        <f>IFERROR(VLOOKUP(B1995,'Pre-Summary'!$CD$6:$CF$64,2,FALSE),"")</f>
        <v/>
      </c>
      <c r="O1995" s="99">
        <f>IFERROR(VLOOKUP(B1995,'Pre-Summary'!$BO$6:$BQ$48,3, FALSE),O1994)</f>
        <v>1.3480000000000001</v>
      </c>
      <c r="P1995" s="99">
        <f>IFERROR(VLOOKUP(B1995,'Pre-Summary'!$BS$6:$BU$35,3,FALSE),P1994)</f>
        <v>0.33700000000000002</v>
      </c>
      <c r="Q1995" s="54">
        <f t="shared" si="93"/>
        <v>4</v>
      </c>
      <c r="R1995" s="53">
        <f>IFERROR(VLOOKUP(B1995,'Pre-Summary'!$BG$6:$BM$44,7,FALSE),R1996)</f>
        <v>6.2037889674656205E-2</v>
      </c>
      <c r="S1995" s="53">
        <f>IFERROR(VLOOKUP(B1995,'Pre-Summary'!$BG$6:$BM$44,6,FALSE),S1996)</f>
        <v>5.8400630293479062E-2</v>
      </c>
      <c r="T1995" s="45" t="str">
        <f>IFERROR(VLOOKUP(B1995,'Pre-Summary'!$Y$6:$AC$83, 3,FALSE),"")</f>
        <v/>
      </c>
      <c r="U1995" s="45" t="str">
        <f>IFERROR(VLOOKUP(B1995,'Pre-Summary'!$Y$6:$AC$83, 4,FALSE),"")</f>
        <v/>
      </c>
      <c r="V1995" t="str">
        <f>IFERROR(VLOOKUP(B1995,'Pre-Summary'!$Y$6:$AC$83, 5,FALSE),"")</f>
        <v/>
      </c>
      <c r="W1995" s="45" t="str">
        <f>IFERROR(VLOOKUP(B1995,'Pre-Summary'!$Y$6:$AD$83,6,FALSE),"")</f>
        <v/>
      </c>
      <c r="X1995" t="str">
        <f>IFERROR(VLOOKUP('Pre-Summary'!$DB$6:$DD$63,3,FALSE),"")</f>
        <v/>
      </c>
      <c r="Y1995" t="str">
        <f>IFERROR(VLOOKUP(B1995,'Pre-Summary'!$CR$6:$CT$36,3,FALSE),"")</f>
        <v/>
      </c>
      <c r="Z1995" s="45" t="str">
        <f>IFERROR(VLOOKUP(B1995,'Pre-Summary'!$BZ$6:$CB$63,2,FALSE),"")</f>
        <v/>
      </c>
      <c r="AA1995" s="45" t="str">
        <f>IFERROR(VLOOKUP(B1995,'Pre-Summary'!$CG$6:$CI$70,2,FALSE),"")</f>
        <v/>
      </c>
      <c r="AB1995" s="99">
        <f>IFERROR(VLOOKUP(B1995,'Pre-Summary'!$A$6:$P$178,9,FALSE),AB1996)</f>
        <v>0.34645337423384143</v>
      </c>
      <c r="AC1995" s="10">
        <f>IFERROR(VLOOKUP(Summary!B1995,'Pre-Summary'!$A$6:$P$184,5, FALSE)/100,AC1996)</f>
        <v>0.95914699999999997</v>
      </c>
      <c r="AD1995" s="10">
        <f>IFERROR(VLOOKUP(Summary!B1995,'Pre-Summary'!$A$6:$P$184,3, FALSE)/100,AD1996)</f>
        <v>3.5208666666666666E-2</v>
      </c>
      <c r="AE1995" s="10">
        <f>IFERROR(VLOOKUP(Summary!B1995,'Pre-Summary'!$A$6:$P$184,7, FALSE)/100,AE1996)</f>
        <v>5.6443333333333337E-3</v>
      </c>
      <c r="AF1995" s="99">
        <f t="shared" si="94"/>
        <v>1.2198161368941245E-2</v>
      </c>
      <c r="AG1995" s="99">
        <f t="shared" si="95"/>
        <v>1.9554983286338792E-3</v>
      </c>
      <c r="AH1995" s="10" t="str">
        <f>IFERROR(VLOOKUP(B1995,'Pre-Summary'!$AZ$6:$BE$65,3,FALSE),"")</f>
        <v/>
      </c>
      <c r="AI1995" s="10" t="str">
        <f>IFERROR(VLOOKUP(B1995,'Pre-Summary'!$AZ$6:$BE$65,5,FALSE),"")</f>
        <v/>
      </c>
      <c r="AJ1995" s="10" t="str">
        <f>IFERROR(VLOOKUP(B1995,'Pre-Summary'!$AZ$6:$BE$65,4,FALSE),"")</f>
        <v/>
      </c>
      <c r="AK1995" s="10" t="str">
        <f>IFERROR(VLOOKUP(B1995,'Pre-Summary'!$AZ$6:$BE$65,6,FALSE),"")</f>
        <v/>
      </c>
      <c r="AL1995" s="10" t="str">
        <f>IFERROR(VLOOKUP(B1995,'Pre-Summary'!$BG$6:$BL$44,3,FALSE),"")</f>
        <v/>
      </c>
      <c r="AM1995" s="10" t="str">
        <f>IFERROR(VLOOKUP(B1995,'Pre-Summary'!$BG$6:$BL$44,4,FALSE),"")</f>
        <v/>
      </c>
    </row>
    <row r="1996" spans="2:39" ht="15" customHeight="1" x14ac:dyDescent="0.3">
      <c r="B1996">
        <v>199.3</v>
      </c>
      <c r="C1996" t="str">
        <f>IFERROR(VLOOKUP(B1996,'Pre-Summary'!$DI$6:$DM$23,4,FALSE),"")</f>
        <v/>
      </c>
      <c r="D1996" s="10" t="str">
        <f>IFERROR(VLOOKUP(B1996,'Pre-Summary'!$AT$6:$AX$14,5,FALSE),D1995)</f>
        <v>Wolfe v3: went back to modified wolfe + EDTA and switched CuSO4 to CUCl2</v>
      </c>
      <c r="E1996" s="10" t="str">
        <f>IFERROR(VLOOKUP(B1996,'Pre-Summary'!$AT$6:$AX$15,4,FALSE),"")</f>
        <v/>
      </c>
      <c r="F1996">
        <f>IFERROR(VLOOKUP(B1996,'Pre-Summary'!$AL$6:$AQ$13,6,FALSE),F1995)</f>
        <v>5.9405263157894746E-2</v>
      </c>
      <c r="G1996" t="str">
        <f>IFERROR(VLOOKUP(B1996,'Pre-Summary'!$AE$6:$AJ$85,3,FALSE),"")</f>
        <v/>
      </c>
      <c r="H1996" t="str">
        <f>IFERROR(VLOOKUP(B1996,'Pre-Summary'!$AE$6:$AJ$85,4,FALSE),"")</f>
        <v/>
      </c>
      <c r="I1996" t="str">
        <f>IFERROR(VLOOKUP(B1996,'Pre-Summary'!$AE$6:$AJ$85,5,FALSE),"")</f>
        <v/>
      </c>
      <c r="J1996" s="45" t="str">
        <f>IFERROR(VLOOKUP(B1996,'Pre-Summary'!$AE$6:$AJ$85,6, FALSE),"")</f>
        <v/>
      </c>
      <c r="K1996" s="45" t="str">
        <f>IFERROR(VLOOKUP(B1996,'Pre-Summary'!$DE$6:$DG$61,3,FALSE),"")</f>
        <v/>
      </c>
      <c r="L1996" s="45" t="str">
        <f>IFERROR(VLOOKUP(B1996,'Pre-Summary'!$CU$6:$CW$36,3,FALSE),"")</f>
        <v/>
      </c>
      <c r="M1996" s="45" t="str">
        <f>IFERROR(VLOOKUP(B1996,'Pre-Summary'!$BW$6:$BY$58,2,FALSE),"")</f>
        <v/>
      </c>
      <c r="N1996" s="45" t="str">
        <f>IFERROR(VLOOKUP(B1996,'Pre-Summary'!$CD$6:$CF$64,2,FALSE),"")</f>
        <v/>
      </c>
      <c r="O1996" s="99">
        <f>IFERROR(VLOOKUP(B1996,'Pre-Summary'!$BO$6:$BQ$48,3, FALSE),O1995)</f>
        <v>1.3480000000000001</v>
      </c>
      <c r="P1996" s="99">
        <f>IFERROR(VLOOKUP(B1996,'Pre-Summary'!$BS$6:$BU$35,3,FALSE),P1995)</f>
        <v>0.33700000000000002</v>
      </c>
      <c r="Q1996" s="54">
        <f t="shared" si="93"/>
        <v>4</v>
      </c>
      <c r="R1996" s="53">
        <f>IFERROR(VLOOKUP(B1996,'Pre-Summary'!$BG$6:$BM$44,7,FALSE),R1997)</f>
        <v>6.2037889674656205E-2</v>
      </c>
      <c r="S1996" s="53">
        <f>IFERROR(VLOOKUP(B1996,'Pre-Summary'!$BG$6:$BM$44,6,FALSE),S1997)</f>
        <v>5.8400630293479062E-2</v>
      </c>
      <c r="T1996" s="45" t="str">
        <f>IFERROR(VLOOKUP(B1996,'Pre-Summary'!$Y$6:$AC$83, 3,FALSE),"")</f>
        <v/>
      </c>
      <c r="U1996" s="45" t="str">
        <f>IFERROR(VLOOKUP(B1996,'Pre-Summary'!$Y$6:$AC$83, 4,FALSE),"")</f>
        <v/>
      </c>
      <c r="V1996" t="str">
        <f>IFERROR(VLOOKUP(B1996,'Pre-Summary'!$Y$6:$AC$83, 5,FALSE),"")</f>
        <v/>
      </c>
      <c r="W1996" s="45" t="str">
        <f>IFERROR(VLOOKUP(B1996,'Pre-Summary'!$Y$6:$AD$83,6,FALSE),"")</f>
        <v/>
      </c>
      <c r="X1996" t="str">
        <f>IFERROR(VLOOKUP('Pre-Summary'!$DB$6:$DD$63,3,FALSE),"")</f>
        <v/>
      </c>
      <c r="Y1996" t="str">
        <f>IFERROR(VLOOKUP(B1996,'Pre-Summary'!$CR$6:$CT$36,3,FALSE),"")</f>
        <v/>
      </c>
      <c r="Z1996" s="45" t="str">
        <f>IFERROR(VLOOKUP(B1996,'Pre-Summary'!$BZ$6:$CB$63,2,FALSE),"")</f>
        <v/>
      </c>
      <c r="AA1996" s="45" t="str">
        <f>IFERROR(VLOOKUP(B1996,'Pre-Summary'!$CG$6:$CI$70,2,FALSE),"")</f>
        <v/>
      </c>
      <c r="AB1996" s="99">
        <f>IFERROR(VLOOKUP(B1996,'Pre-Summary'!$A$6:$P$178,9,FALSE),AB1997)</f>
        <v>0.34645337423384143</v>
      </c>
      <c r="AC1996" s="10">
        <f>IFERROR(VLOOKUP(Summary!B1996,'Pre-Summary'!$A$6:$P$184,5, FALSE)/100,AC1997)</f>
        <v>0.95914699999999997</v>
      </c>
      <c r="AD1996" s="10">
        <f>IFERROR(VLOOKUP(Summary!B1996,'Pre-Summary'!$A$6:$P$184,3, FALSE)/100,AD1997)</f>
        <v>3.5208666666666666E-2</v>
      </c>
      <c r="AE1996" s="10">
        <f>IFERROR(VLOOKUP(Summary!B1996,'Pre-Summary'!$A$6:$P$184,7, FALSE)/100,AE1997)</f>
        <v>5.6443333333333337E-3</v>
      </c>
      <c r="AF1996" s="99">
        <f t="shared" si="94"/>
        <v>1.2198161368941245E-2</v>
      </c>
      <c r="AG1996" s="99">
        <f t="shared" si="95"/>
        <v>1.9554983286338792E-3</v>
      </c>
      <c r="AH1996" s="10" t="str">
        <f>IFERROR(VLOOKUP(B1996,'Pre-Summary'!$AZ$6:$BE$65,3,FALSE),"")</f>
        <v/>
      </c>
      <c r="AI1996" s="10" t="str">
        <f>IFERROR(VLOOKUP(B1996,'Pre-Summary'!$AZ$6:$BE$65,5,FALSE),"")</f>
        <v/>
      </c>
      <c r="AJ1996" s="10" t="str">
        <f>IFERROR(VLOOKUP(B1996,'Pre-Summary'!$AZ$6:$BE$65,4,FALSE),"")</f>
        <v/>
      </c>
      <c r="AK1996" s="10" t="str">
        <f>IFERROR(VLOOKUP(B1996,'Pre-Summary'!$AZ$6:$BE$65,6,FALSE),"")</f>
        <v/>
      </c>
      <c r="AL1996" s="10" t="str">
        <f>IFERROR(VLOOKUP(B1996,'Pre-Summary'!$BG$6:$BL$44,3,FALSE),"")</f>
        <v/>
      </c>
      <c r="AM1996" s="10" t="str">
        <f>IFERROR(VLOOKUP(B1996,'Pre-Summary'!$BG$6:$BL$44,4,FALSE),"")</f>
        <v/>
      </c>
    </row>
    <row r="1997" spans="2:39" ht="15" customHeight="1" x14ac:dyDescent="0.3">
      <c r="B1997">
        <v>199.4</v>
      </c>
      <c r="C1997" t="str">
        <f>IFERROR(VLOOKUP(B1997,'Pre-Summary'!$DI$6:$DM$23,4,FALSE),"")</f>
        <v/>
      </c>
      <c r="D1997" s="10" t="str">
        <f>IFERROR(VLOOKUP(B1997,'Pre-Summary'!$AT$6:$AX$14,5,FALSE),D1996)</f>
        <v>Wolfe v3: went back to modified wolfe + EDTA and switched CuSO4 to CUCl2</v>
      </c>
      <c r="E1997" s="10" t="str">
        <f>IFERROR(VLOOKUP(B1997,'Pre-Summary'!$AT$6:$AX$15,4,FALSE),"")</f>
        <v/>
      </c>
      <c r="F1997">
        <f>IFERROR(VLOOKUP(B1997,'Pre-Summary'!$AL$6:$AQ$13,6,FALSE),F1996)</f>
        <v>5.9405263157894746E-2</v>
      </c>
      <c r="G1997" t="str">
        <f>IFERROR(VLOOKUP(B1997,'Pre-Summary'!$AE$6:$AJ$85,3,FALSE),"")</f>
        <v/>
      </c>
      <c r="H1997" t="str">
        <f>IFERROR(VLOOKUP(B1997,'Pre-Summary'!$AE$6:$AJ$85,4,FALSE),"")</f>
        <v/>
      </c>
      <c r="I1997" t="str">
        <f>IFERROR(VLOOKUP(B1997,'Pre-Summary'!$AE$6:$AJ$85,5,FALSE),"")</f>
        <v/>
      </c>
      <c r="J1997" s="45" t="str">
        <f>IFERROR(VLOOKUP(B1997,'Pre-Summary'!$AE$6:$AJ$85,6, FALSE),"")</f>
        <v/>
      </c>
      <c r="K1997" s="45" t="str">
        <f>IFERROR(VLOOKUP(B1997,'Pre-Summary'!$DE$6:$DG$61,3,FALSE),"")</f>
        <v/>
      </c>
      <c r="L1997" s="45" t="str">
        <f>IFERROR(VLOOKUP(B1997,'Pre-Summary'!$CU$6:$CW$36,3,FALSE),"")</f>
        <v/>
      </c>
      <c r="M1997" s="45" t="str">
        <f>IFERROR(VLOOKUP(B1997,'Pre-Summary'!$BW$6:$BY$58,2,FALSE),"")</f>
        <v/>
      </c>
      <c r="N1997" s="45" t="str">
        <f>IFERROR(VLOOKUP(B1997,'Pre-Summary'!$CD$6:$CF$64,2,FALSE),"")</f>
        <v/>
      </c>
      <c r="O1997" s="99">
        <f>IFERROR(VLOOKUP(B1997,'Pre-Summary'!$BO$6:$BQ$48,3, FALSE),O1996)</f>
        <v>1.3480000000000001</v>
      </c>
      <c r="P1997" s="99">
        <f>IFERROR(VLOOKUP(B1997,'Pre-Summary'!$BS$6:$BU$35,3,FALSE),P1996)</f>
        <v>0.33700000000000002</v>
      </c>
      <c r="Q1997" s="54">
        <f t="shared" si="93"/>
        <v>4</v>
      </c>
      <c r="R1997" s="53">
        <f>IFERROR(VLOOKUP(B1997,'Pre-Summary'!$BG$6:$BM$44,7,FALSE),R1998)</f>
        <v>6.2037889674656205E-2</v>
      </c>
      <c r="S1997" s="53">
        <f>IFERROR(VLOOKUP(B1997,'Pre-Summary'!$BG$6:$BM$44,6,FALSE),S1998)</f>
        <v>5.8400630293479062E-2</v>
      </c>
      <c r="T1997" s="45" t="str">
        <f>IFERROR(VLOOKUP(B1997,'Pre-Summary'!$Y$6:$AC$83, 3,FALSE),"")</f>
        <v/>
      </c>
      <c r="U1997" s="45" t="str">
        <f>IFERROR(VLOOKUP(B1997,'Pre-Summary'!$Y$6:$AC$83, 4,FALSE),"")</f>
        <v/>
      </c>
      <c r="V1997" t="str">
        <f>IFERROR(VLOOKUP(B1997,'Pre-Summary'!$Y$6:$AC$83, 5,FALSE),"")</f>
        <v/>
      </c>
      <c r="W1997" s="45" t="str">
        <f>IFERROR(VLOOKUP(B1997,'Pre-Summary'!$Y$6:$AD$83,6,FALSE),"")</f>
        <v/>
      </c>
      <c r="X1997" t="str">
        <f>IFERROR(VLOOKUP('Pre-Summary'!$DB$6:$DD$63,3,FALSE),"")</f>
        <v/>
      </c>
      <c r="Y1997" t="str">
        <f>IFERROR(VLOOKUP(B1997,'Pre-Summary'!$CR$6:$CT$36,3,FALSE),"")</f>
        <v/>
      </c>
      <c r="Z1997" s="45" t="str">
        <f>IFERROR(VLOOKUP(B1997,'Pre-Summary'!$BZ$6:$CB$63,2,FALSE),"")</f>
        <v/>
      </c>
      <c r="AA1997" s="45" t="str">
        <f>IFERROR(VLOOKUP(B1997,'Pre-Summary'!$CG$6:$CI$70,2,FALSE),"")</f>
        <v/>
      </c>
      <c r="AB1997" s="99">
        <f>IFERROR(VLOOKUP(B1997,'Pre-Summary'!$A$6:$P$178,9,FALSE),AB1998)</f>
        <v>0.34645337423384143</v>
      </c>
      <c r="AC1997" s="10">
        <f>IFERROR(VLOOKUP(Summary!B1997,'Pre-Summary'!$A$6:$P$184,5, FALSE)/100,AC1998)</f>
        <v>0.95914699999999997</v>
      </c>
      <c r="AD1997" s="10">
        <f>IFERROR(VLOOKUP(Summary!B1997,'Pre-Summary'!$A$6:$P$184,3, FALSE)/100,AD1998)</f>
        <v>3.5208666666666666E-2</v>
      </c>
      <c r="AE1997" s="10">
        <f>IFERROR(VLOOKUP(Summary!B1997,'Pre-Summary'!$A$6:$P$184,7, FALSE)/100,AE1998)</f>
        <v>5.6443333333333337E-3</v>
      </c>
      <c r="AF1997" s="99">
        <f t="shared" si="94"/>
        <v>1.2198161368941245E-2</v>
      </c>
      <c r="AG1997" s="99">
        <f t="shared" si="95"/>
        <v>1.9554983286338792E-3</v>
      </c>
      <c r="AH1997" s="10" t="str">
        <f>IFERROR(VLOOKUP(B1997,'Pre-Summary'!$AZ$6:$BE$65,3,FALSE),"")</f>
        <v/>
      </c>
      <c r="AI1997" s="10" t="str">
        <f>IFERROR(VLOOKUP(B1997,'Pre-Summary'!$AZ$6:$BE$65,5,FALSE),"")</f>
        <v/>
      </c>
      <c r="AJ1997" s="10" t="str">
        <f>IFERROR(VLOOKUP(B1997,'Pre-Summary'!$AZ$6:$BE$65,4,FALSE),"")</f>
        <v/>
      </c>
      <c r="AK1997" s="10" t="str">
        <f>IFERROR(VLOOKUP(B1997,'Pre-Summary'!$AZ$6:$BE$65,6,FALSE),"")</f>
        <v/>
      </c>
      <c r="AL1997" s="10" t="str">
        <f>IFERROR(VLOOKUP(B1997,'Pre-Summary'!$BG$6:$BL$44,3,FALSE),"")</f>
        <v/>
      </c>
      <c r="AM1997" s="10" t="str">
        <f>IFERROR(VLOOKUP(B1997,'Pre-Summary'!$BG$6:$BL$44,4,FALSE),"")</f>
        <v/>
      </c>
    </row>
    <row r="1998" spans="2:39" ht="15" customHeight="1" x14ac:dyDescent="0.3">
      <c r="B1998">
        <v>199.5</v>
      </c>
      <c r="C1998" t="str">
        <f>IFERROR(VLOOKUP(B1998,'Pre-Summary'!$DI$6:$DM$23,4,FALSE),"")</f>
        <v/>
      </c>
      <c r="D1998" s="10" t="str">
        <f>IFERROR(VLOOKUP(B1998,'Pre-Summary'!$AT$6:$AX$14,5,FALSE),D1997)</f>
        <v>Wolfe v3: went back to modified wolfe + EDTA and switched CuSO4 to CUCl2</v>
      </c>
      <c r="E1998" s="10" t="str">
        <f>IFERROR(VLOOKUP(B1998,'Pre-Summary'!$AT$6:$AX$15,4,FALSE),"")</f>
        <v/>
      </c>
      <c r="F1998">
        <f>IFERROR(VLOOKUP(B1998,'Pre-Summary'!$AL$6:$AQ$13,6,FALSE),F1997)</f>
        <v>5.9405263157894746E-2</v>
      </c>
      <c r="G1998" t="str">
        <f>IFERROR(VLOOKUP(B1998,'Pre-Summary'!$AE$6:$AJ$85,3,FALSE),"")</f>
        <v/>
      </c>
      <c r="H1998" t="str">
        <f>IFERROR(VLOOKUP(B1998,'Pre-Summary'!$AE$6:$AJ$85,4,FALSE),"")</f>
        <v/>
      </c>
      <c r="I1998" t="str">
        <f>IFERROR(VLOOKUP(B1998,'Pre-Summary'!$AE$6:$AJ$85,5,FALSE),"")</f>
        <v/>
      </c>
      <c r="J1998" s="45" t="str">
        <f>IFERROR(VLOOKUP(B1998,'Pre-Summary'!$AE$6:$AJ$85,6, FALSE),"")</f>
        <v/>
      </c>
      <c r="K1998" s="45" t="str">
        <f>IFERROR(VLOOKUP(B1998,'Pre-Summary'!$DE$6:$DG$61,3,FALSE),"")</f>
        <v/>
      </c>
      <c r="L1998" s="45" t="str">
        <f>IFERROR(VLOOKUP(B1998,'Pre-Summary'!$CU$6:$CW$36,3,FALSE),"")</f>
        <v/>
      </c>
      <c r="M1998" s="45" t="str">
        <f>IFERROR(VLOOKUP(B1998,'Pre-Summary'!$BW$6:$BY$58,2,FALSE),"")</f>
        <v/>
      </c>
      <c r="N1998" s="45" t="str">
        <f>IFERROR(VLOOKUP(B1998,'Pre-Summary'!$CD$6:$CF$64,2,FALSE),"")</f>
        <v/>
      </c>
      <c r="O1998" s="99">
        <f>IFERROR(VLOOKUP(B1998,'Pre-Summary'!$BO$6:$BQ$48,3, FALSE),O1997)</f>
        <v>1.3480000000000001</v>
      </c>
      <c r="P1998" s="99">
        <f>IFERROR(VLOOKUP(B1998,'Pre-Summary'!$BS$6:$BU$35,3,FALSE),P1997)</f>
        <v>0.33700000000000002</v>
      </c>
      <c r="Q1998" s="54">
        <f t="shared" si="93"/>
        <v>4</v>
      </c>
      <c r="R1998" s="53">
        <f>IFERROR(VLOOKUP(B1998,'Pre-Summary'!$BG$6:$BM$44,7,FALSE),R1999)</f>
        <v>6.2037889674656205E-2</v>
      </c>
      <c r="S1998" s="53">
        <f>IFERROR(VLOOKUP(B1998,'Pre-Summary'!$BG$6:$BM$44,6,FALSE),S1999)</f>
        <v>5.8400630293479062E-2</v>
      </c>
      <c r="T1998" s="45" t="str">
        <f>IFERROR(VLOOKUP(B1998,'Pre-Summary'!$Y$6:$AC$83, 3,FALSE),"")</f>
        <v/>
      </c>
      <c r="U1998" s="45" t="str">
        <f>IFERROR(VLOOKUP(B1998,'Pre-Summary'!$Y$6:$AC$83, 4,FALSE),"")</f>
        <v/>
      </c>
      <c r="V1998" t="str">
        <f>IFERROR(VLOOKUP(B1998,'Pre-Summary'!$Y$6:$AC$83, 5,FALSE),"")</f>
        <v/>
      </c>
      <c r="W1998" s="45" t="str">
        <f>IFERROR(VLOOKUP(B1998,'Pre-Summary'!$Y$6:$AD$83,6,FALSE),"")</f>
        <v/>
      </c>
      <c r="X1998" t="str">
        <f>IFERROR(VLOOKUP('Pre-Summary'!$DB$6:$DD$63,3,FALSE),"")</f>
        <v/>
      </c>
      <c r="Y1998" t="str">
        <f>IFERROR(VLOOKUP(B1998,'Pre-Summary'!$CR$6:$CT$36,3,FALSE),"")</f>
        <v/>
      </c>
      <c r="Z1998" s="45" t="str">
        <f>IFERROR(VLOOKUP(B1998,'Pre-Summary'!$BZ$6:$CB$63,2,FALSE),"")</f>
        <v/>
      </c>
      <c r="AA1998" s="45" t="str">
        <f>IFERROR(VLOOKUP(B1998,'Pre-Summary'!$CG$6:$CI$70,2,FALSE),"")</f>
        <v/>
      </c>
      <c r="AB1998" s="99">
        <f>IFERROR(VLOOKUP(B1998,'Pre-Summary'!$A$6:$P$178,9,FALSE),AB1999)</f>
        <v>0.34645337423384143</v>
      </c>
      <c r="AC1998" s="10">
        <f>IFERROR(VLOOKUP(Summary!B1998,'Pre-Summary'!$A$6:$P$184,5, FALSE)/100,AC1999)</f>
        <v>0.95914699999999997</v>
      </c>
      <c r="AD1998" s="10">
        <f>IFERROR(VLOOKUP(Summary!B1998,'Pre-Summary'!$A$6:$P$184,3, FALSE)/100,AD1999)</f>
        <v>3.5208666666666666E-2</v>
      </c>
      <c r="AE1998" s="10">
        <f>IFERROR(VLOOKUP(Summary!B1998,'Pre-Summary'!$A$6:$P$184,7, FALSE)/100,AE1999)</f>
        <v>5.6443333333333337E-3</v>
      </c>
      <c r="AF1998" s="99">
        <f t="shared" si="94"/>
        <v>1.2198161368941245E-2</v>
      </c>
      <c r="AG1998" s="99">
        <f t="shared" si="95"/>
        <v>1.9554983286338792E-3</v>
      </c>
      <c r="AH1998" s="10" t="str">
        <f>IFERROR(VLOOKUP(B1998,'Pre-Summary'!$AZ$6:$BE$65,3,FALSE),"")</f>
        <v/>
      </c>
      <c r="AI1998" s="10" t="str">
        <f>IFERROR(VLOOKUP(B1998,'Pre-Summary'!$AZ$6:$BE$65,5,FALSE),"")</f>
        <v/>
      </c>
      <c r="AJ1998" s="10" t="str">
        <f>IFERROR(VLOOKUP(B1998,'Pre-Summary'!$AZ$6:$BE$65,4,FALSE),"")</f>
        <v/>
      </c>
      <c r="AK1998" s="10" t="str">
        <f>IFERROR(VLOOKUP(B1998,'Pre-Summary'!$AZ$6:$BE$65,6,FALSE),"")</f>
        <v/>
      </c>
      <c r="AL1998" s="10" t="str">
        <f>IFERROR(VLOOKUP(B1998,'Pre-Summary'!$BG$6:$BL$44,3,FALSE),"")</f>
        <v/>
      </c>
      <c r="AM1998" s="10" t="str">
        <f>IFERROR(VLOOKUP(B1998,'Pre-Summary'!$BG$6:$BL$44,4,FALSE),"")</f>
        <v/>
      </c>
    </row>
    <row r="1999" spans="2:39" ht="15" customHeight="1" x14ac:dyDescent="0.3">
      <c r="B1999">
        <v>199.6</v>
      </c>
      <c r="C1999" t="str">
        <f>IFERROR(VLOOKUP(B1999,'Pre-Summary'!$DI$6:$DM$23,4,FALSE),"")</f>
        <v/>
      </c>
      <c r="D1999" s="10" t="str">
        <f>IFERROR(VLOOKUP(B1999,'Pre-Summary'!$AT$6:$AX$14,5,FALSE),D1998)</f>
        <v>Wolfe v3: went back to modified wolfe + EDTA and switched CuSO4 to CUCl2</v>
      </c>
      <c r="E1999" s="10" t="str">
        <f>IFERROR(VLOOKUP(B1999,'Pre-Summary'!$AT$6:$AX$15,4,FALSE),"")</f>
        <v/>
      </c>
      <c r="F1999">
        <f>IFERROR(VLOOKUP(B1999,'Pre-Summary'!$AL$6:$AQ$13,6,FALSE),F1998)</f>
        <v>5.9405263157894746E-2</v>
      </c>
      <c r="G1999" t="str">
        <f>IFERROR(VLOOKUP(B1999,'Pre-Summary'!$AE$6:$AJ$85,3,FALSE),"")</f>
        <v/>
      </c>
      <c r="H1999" t="str">
        <f>IFERROR(VLOOKUP(B1999,'Pre-Summary'!$AE$6:$AJ$85,4,FALSE),"")</f>
        <v/>
      </c>
      <c r="I1999" t="str">
        <f>IFERROR(VLOOKUP(B1999,'Pre-Summary'!$AE$6:$AJ$85,5,FALSE),"")</f>
        <v/>
      </c>
      <c r="J1999" s="45" t="str">
        <f>IFERROR(VLOOKUP(B1999,'Pre-Summary'!$AE$6:$AJ$85,6, FALSE),"")</f>
        <v/>
      </c>
      <c r="K1999" s="45" t="str">
        <f>IFERROR(VLOOKUP(B1999,'Pre-Summary'!$DE$6:$DG$61,3,FALSE),"")</f>
        <v/>
      </c>
      <c r="L1999" s="45" t="str">
        <f>IFERROR(VLOOKUP(B1999,'Pre-Summary'!$CU$6:$CW$36,3,FALSE),"")</f>
        <v/>
      </c>
      <c r="M1999" s="45" t="str">
        <f>IFERROR(VLOOKUP(B1999,'Pre-Summary'!$BW$6:$BY$58,2,FALSE),"")</f>
        <v/>
      </c>
      <c r="N1999" s="45" t="str">
        <f>IFERROR(VLOOKUP(B1999,'Pre-Summary'!$CD$6:$CF$64,2,FALSE),"")</f>
        <v/>
      </c>
      <c r="O1999" s="99">
        <f>IFERROR(VLOOKUP(B1999,'Pre-Summary'!$BO$6:$BQ$48,3, FALSE),O1998)</f>
        <v>1.3480000000000001</v>
      </c>
      <c r="P1999" s="99">
        <f>IFERROR(VLOOKUP(B1999,'Pre-Summary'!$BS$6:$BU$35,3,FALSE),P1998)</f>
        <v>0.33700000000000002</v>
      </c>
      <c r="Q1999" s="54">
        <f t="shared" si="93"/>
        <v>4</v>
      </c>
      <c r="R1999" s="53">
        <f>IFERROR(VLOOKUP(B1999,'Pre-Summary'!$BG$6:$BM$44,7,FALSE),R2000)</f>
        <v>6.2037889674656205E-2</v>
      </c>
      <c r="S1999" s="53">
        <f>IFERROR(VLOOKUP(B1999,'Pre-Summary'!$BG$6:$BM$44,6,FALSE),S2000)</f>
        <v>5.8400630293479062E-2</v>
      </c>
      <c r="T1999" s="45" t="str">
        <f>IFERROR(VLOOKUP(B1999,'Pre-Summary'!$Y$6:$AC$83, 3,FALSE),"")</f>
        <v/>
      </c>
      <c r="U1999" s="45" t="str">
        <f>IFERROR(VLOOKUP(B1999,'Pre-Summary'!$Y$6:$AC$83, 4,FALSE),"")</f>
        <v/>
      </c>
      <c r="V1999" t="str">
        <f>IFERROR(VLOOKUP(B1999,'Pre-Summary'!$Y$6:$AC$83, 5,FALSE),"")</f>
        <v/>
      </c>
      <c r="W1999" s="45" t="str">
        <f>IFERROR(VLOOKUP(B1999,'Pre-Summary'!$Y$6:$AD$83,6,FALSE),"")</f>
        <v/>
      </c>
      <c r="X1999" t="str">
        <f>IFERROR(VLOOKUP('Pre-Summary'!$DB$6:$DD$63,3,FALSE),"")</f>
        <v/>
      </c>
      <c r="Y1999" t="str">
        <f>IFERROR(VLOOKUP(B1999,'Pre-Summary'!$CR$6:$CT$36,3,FALSE),"")</f>
        <v/>
      </c>
      <c r="Z1999" s="45" t="str">
        <f>IFERROR(VLOOKUP(B1999,'Pre-Summary'!$BZ$6:$CB$63,2,FALSE),"")</f>
        <v/>
      </c>
      <c r="AA1999" s="45" t="str">
        <f>IFERROR(VLOOKUP(B1999,'Pre-Summary'!$CG$6:$CI$70,2,FALSE),"")</f>
        <v/>
      </c>
      <c r="AB1999" s="99">
        <f>IFERROR(VLOOKUP(B1999,'Pre-Summary'!$A$6:$P$178,9,FALSE),AB2000)</f>
        <v>0.34645337423384143</v>
      </c>
      <c r="AC1999" s="10">
        <f>IFERROR(VLOOKUP(Summary!B1999,'Pre-Summary'!$A$6:$P$184,5, FALSE)/100,AC2000)</f>
        <v>0.95914699999999997</v>
      </c>
      <c r="AD1999" s="10">
        <f>IFERROR(VLOOKUP(Summary!B1999,'Pre-Summary'!$A$6:$P$184,3, FALSE)/100,AD2000)</f>
        <v>3.5208666666666666E-2</v>
      </c>
      <c r="AE1999" s="10">
        <f>IFERROR(VLOOKUP(Summary!B1999,'Pre-Summary'!$A$6:$P$184,7, FALSE)/100,AE2000)</f>
        <v>5.6443333333333337E-3</v>
      </c>
      <c r="AF1999" s="99">
        <f t="shared" si="94"/>
        <v>1.2198161368941245E-2</v>
      </c>
      <c r="AG1999" s="99">
        <f t="shared" si="95"/>
        <v>1.9554983286338792E-3</v>
      </c>
      <c r="AH1999" s="10" t="str">
        <f>IFERROR(VLOOKUP(B1999,'Pre-Summary'!$AZ$6:$BE$65,3,FALSE),"")</f>
        <v/>
      </c>
      <c r="AI1999" s="10" t="str">
        <f>IFERROR(VLOOKUP(B1999,'Pre-Summary'!$AZ$6:$BE$65,5,FALSE),"")</f>
        <v/>
      </c>
      <c r="AJ1999" s="10" t="str">
        <f>IFERROR(VLOOKUP(B1999,'Pre-Summary'!$AZ$6:$BE$65,4,FALSE),"")</f>
        <v/>
      </c>
      <c r="AK1999" s="10" t="str">
        <f>IFERROR(VLOOKUP(B1999,'Pre-Summary'!$AZ$6:$BE$65,6,FALSE),"")</f>
        <v/>
      </c>
      <c r="AL1999" s="10" t="str">
        <f>IFERROR(VLOOKUP(B1999,'Pre-Summary'!$BG$6:$BL$44,3,FALSE),"")</f>
        <v/>
      </c>
      <c r="AM1999" s="10" t="str">
        <f>IFERROR(VLOOKUP(B1999,'Pre-Summary'!$BG$6:$BL$44,4,FALSE),"")</f>
        <v/>
      </c>
    </row>
    <row r="2000" spans="2:39" ht="15" customHeight="1" x14ac:dyDescent="0.3">
      <c r="B2000">
        <v>199.7</v>
      </c>
      <c r="C2000" t="str">
        <f>IFERROR(VLOOKUP(B2000,'Pre-Summary'!$DI$6:$DM$23,4,FALSE),"")</f>
        <v/>
      </c>
      <c r="D2000" s="10" t="str">
        <f>IFERROR(VLOOKUP(B2000,'Pre-Summary'!$AT$6:$AX$14,5,FALSE),D1999)</f>
        <v>Wolfe v3: went back to modified wolfe + EDTA and switched CuSO4 to CUCl2</v>
      </c>
      <c r="E2000" s="10" t="str">
        <f>IFERROR(VLOOKUP(B2000,'Pre-Summary'!$AT$6:$AX$15,4,FALSE),"")</f>
        <v/>
      </c>
      <c r="F2000">
        <f>IFERROR(VLOOKUP(B2000,'Pre-Summary'!$AL$6:$AQ$13,6,FALSE),F1999)</f>
        <v>5.9405263157894746E-2</v>
      </c>
      <c r="G2000" t="str">
        <f>IFERROR(VLOOKUP(B2000,'Pre-Summary'!$AE$6:$AJ$85,3,FALSE),"")</f>
        <v/>
      </c>
      <c r="H2000" t="str">
        <f>IFERROR(VLOOKUP(B2000,'Pre-Summary'!$AE$6:$AJ$85,4,FALSE),"")</f>
        <v/>
      </c>
      <c r="I2000" t="str">
        <f>IFERROR(VLOOKUP(B2000,'Pre-Summary'!$AE$6:$AJ$85,5,FALSE),"")</f>
        <v/>
      </c>
      <c r="J2000" s="45" t="str">
        <f>IFERROR(VLOOKUP(B2000,'Pre-Summary'!$AE$6:$AJ$85,6, FALSE),"")</f>
        <v/>
      </c>
      <c r="K2000" s="45" t="str">
        <f>IFERROR(VLOOKUP(B2000,'Pre-Summary'!$DE$6:$DG$61,3,FALSE),"")</f>
        <v/>
      </c>
      <c r="L2000" s="45" t="str">
        <f>IFERROR(VLOOKUP(B2000,'Pre-Summary'!$CU$6:$CW$36,3,FALSE),"")</f>
        <v/>
      </c>
      <c r="M2000" s="45" t="str">
        <f>IFERROR(VLOOKUP(B2000,'Pre-Summary'!$BW$6:$BY$58,2,FALSE),"")</f>
        <v/>
      </c>
      <c r="N2000" s="45" t="str">
        <f>IFERROR(VLOOKUP(B2000,'Pre-Summary'!$CD$6:$CF$64,2,FALSE),"")</f>
        <v/>
      </c>
      <c r="O2000" s="99">
        <f>IFERROR(VLOOKUP(B2000,'Pre-Summary'!$BO$6:$BQ$48,3, FALSE),O1999)</f>
        <v>1.3480000000000001</v>
      </c>
      <c r="P2000" s="99">
        <f>IFERROR(VLOOKUP(B2000,'Pre-Summary'!$BS$6:$BU$35,3,FALSE),P1999)</f>
        <v>0.33700000000000002</v>
      </c>
      <c r="Q2000" s="54">
        <f t="shared" si="93"/>
        <v>4</v>
      </c>
      <c r="R2000" s="53">
        <f>IFERROR(VLOOKUP(B2000,'Pre-Summary'!$BG$6:$BM$44,7,FALSE),R2001)</f>
        <v>6.2037889674656205E-2</v>
      </c>
      <c r="S2000" s="53">
        <f>IFERROR(VLOOKUP(B2000,'Pre-Summary'!$BG$6:$BM$44,6,FALSE),S2001)</f>
        <v>5.8400630293479062E-2</v>
      </c>
      <c r="T2000" s="45" t="str">
        <f>IFERROR(VLOOKUP(B2000,'Pre-Summary'!$Y$6:$AC$83, 3,FALSE),"")</f>
        <v/>
      </c>
      <c r="U2000" s="45" t="str">
        <f>IFERROR(VLOOKUP(B2000,'Pre-Summary'!$Y$6:$AC$83, 4,FALSE),"")</f>
        <v/>
      </c>
      <c r="V2000" t="str">
        <f>IFERROR(VLOOKUP(B2000,'Pre-Summary'!$Y$6:$AC$83, 5,FALSE),"")</f>
        <v/>
      </c>
      <c r="W2000" s="45" t="str">
        <f>IFERROR(VLOOKUP(B2000,'Pre-Summary'!$Y$6:$AD$83,6,FALSE),"")</f>
        <v/>
      </c>
      <c r="X2000" t="str">
        <f>IFERROR(VLOOKUP('Pre-Summary'!$DB$6:$DD$63,3,FALSE),"")</f>
        <v/>
      </c>
      <c r="Y2000" t="str">
        <f>IFERROR(VLOOKUP(B2000,'Pre-Summary'!$CR$6:$CT$36,3,FALSE),"")</f>
        <v/>
      </c>
      <c r="Z2000" s="45" t="str">
        <f>IFERROR(VLOOKUP(B2000,'Pre-Summary'!$BZ$6:$CB$63,2,FALSE),"")</f>
        <v/>
      </c>
      <c r="AA2000" s="45" t="str">
        <f>IFERROR(VLOOKUP(B2000,'Pre-Summary'!$CG$6:$CI$70,2,FALSE),"")</f>
        <v/>
      </c>
      <c r="AB2000" s="99">
        <f>IFERROR(VLOOKUP(B2000,'Pre-Summary'!$A$6:$P$178,9,FALSE),AB2001)</f>
        <v>0.34645337423384143</v>
      </c>
      <c r="AC2000" s="10">
        <f>IFERROR(VLOOKUP(Summary!B2000,'Pre-Summary'!$A$6:$P$184,5, FALSE)/100,AC2001)</f>
        <v>0.95914699999999997</v>
      </c>
      <c r="AD2000" s="10">
        <f>IFERROR(VLOOKUP(Summary!B2000,'Pre-Summary'!$A$6:$P$184,3, FALSE)/100,AD2001)</f>
        <v>3.5208666666666666E-2</v>
      </c>
      <c r="AE2000" s="10">
        <f>IFERROR(VLOOKUP(Summary!B2000,'Pre-Summary'!$A$6:$P$184,7, FALSE)/100,AE2001)</f>
        <v>5.6443333333333337E-3</v>
      </c>
      <c r="AF2000" s="99">
        <f t="shared" si="94"/>
        <v>1.2198161368941245E-2</v>
      </c>
      <c r="AG2000" s="99">
        <f t="shared" si="95"/>
        <v>1.9554983286338792E-3</v>
      </c>
      <c r="AH2000" s="10" t="str">
        <f>IFERROR(VLOOKUP(B2000,'Pre-Summary'!$AZ$6:$BE$65,3,FALSE),"")</f>
        <v/>
      </c>
      <c r="AI2000" s="10" t="str">
        <f>IFERROR(VLOOKUP(B2000,'Pre-Summary'!$AZ$6:$BE$65,5,FALSE),"")</f>
        <v/>
      </c>
      <c r="AJ2000" s="10" t="str">
        <f>IFERROR(VLOOKUP(B2000,'Pre-Summary'!$AZ$6:$BE$65,4,FALSE),"")</f>
        <v/>
      </c>
      <c r="AK2000" s="10" t="str">
        <f>IFERROR(VLOOKUP(B2000,'Pre-Summary'!$AZ$6:$BE$65,6,FALSE),"")</f>
        <v/>
      </c>
      <c r="AL2000" s="10" t="str">
        <f>IFERROR(VLOOKUP(B2000,'Pre-Summary'!$BG$6:$BL$44,3,FALSE),"")</f>
        <v/>
      </c>
      <c r="AM2000" s="10" t="str">
        <f>IFERROR(VLOOKUP(B2000,'Pre-Summary'!$BG$6:$BL$44,4,FALSE),"")</f>
        <v/>
      </c>
    </row>
    <row r="2001" spans="2:39" ht="15" customHeight="1" x14ac:dyDescent="0.3">
      <c r="B2001">
        <v>199.8</v>
      </c>
      <c r="C2001" t="str">
        <f>IFERROR(VLOOKUP(B2001,'Pre-Summary'!$DI$6:$DM$23,4,FALSE),"")</f>
        <v/>
      </c>
      <c r="D2001" s="10" t="str">
        <f>IFERROR(VLOOKUP(B2001,'Pre-Summary'!$AT$6:$AX$14,5,FALSE),D2000)</f>
        <v>Wolfe v3: went back to modified wolfe + EDTA and switched CuSO4 to CUCl2</v>
      </c>
      <c r="E2001" s="10" t="str">
        <f>IFERROR(VLOOKUP(B2001,'Pre-Summary'!$AT$6:$AX$15,4,FALSE),"")</f>
        <v/>
      </c>
      <c r="F2001">
        <f>IFERROR(VLOOKUP(B2001,'Pre-Summary'!$AL$6:$AQ$13,6,FALSE),F2000)</f>
        <v>5.9405263157894746E-2</v>
      </c>
      <c r="G2001" t="str">
        <f>IFERROR(VLOOKUP(B2001,'Pre-Summary'!$AE$6:$AJ$85,3,FALSE),"")</f>
        <v/>
      </c>
      <c r="H2001" t="str">
        <f>IFERROR(VLOOKUP(B2001,'Pre-Summary'!$AE$6:$AJ$85,4,FALSE),"")</f>
        <v/>
      </c>
      <c r="I2001" t="str">
        <f>IFERROR(VLOOKUP(B2001,'Pre-Summary'!$AE$6:$AJ$85,5,FALSE),"")</f>
        <v/>
      </c>
      <c r="J2001" s="45" t="str">
        <f>IFERROR(VLOOKUP(B2001,'Pre-Summary'!$AE$6:$AJ$85,6, FALSE),"")</f>
        <v/>
      </c>
      <c r="K2001" s="45" t="str">
        <f>IFERROR(VLOOKUP(B2001,'Pre-Summary'!$DE$6:$DG$61,3,FALSE),"")</f>
        <v/>
      </c>
      <c r="L2001" s="45" t="str">
        <f>IFERROR(VLOOKUP(B2001,'Pre-Summary'!$CU$6:$CW$36,3,FALSE),"")</f>
        <v/>
      </c>
      <c r="M2001" s="45" t="str">
        <f>IFERROR(VLOOKUP(B2001,'Pre-Summary'!$BW$6:$BY$58,2,FALSE),"")</f>
        <v/>
      </c>
      <c r="N2001" s="45" t="str">
        <f>IFERROR(VLOOKUP(B2001,'Pre-Summary'!$CD$6:$CF$64,2,FALSE),"")</f>
        <v/>
      </c>
      <c r="O2001" s="99">
        <f>IFERROR(VLOOKUP(B2001,'Pre-Summary'!$BO$6:$BQ$48,3, FALSE),O2000)</f>
        <v>1.3480000000000001</v>
      </c>
      <c r="P2001" s="99">
        <f>IFERROR(VLOOKUP(B2001,'Pre-Summary'!$BS$6:$BU$35,3,FALSE),P2000)</f>
        <v>0.33700000000000002</v>
      </c>
      <c r="Q2001" s="54">
        <f t="shared" si="93"/>
        <v>4</v>
      </c>
      <c r="R2001" s="53">
        <f>IFERROR(VLOOKUP(B2001,'Pre-Summary'!$BG$6:$BM$44,7,FALSE),R2002)</f>
        <v>6.2037889674656205E-2</v>
      </c>
      <c r="S2001" s="53">
        <f>IFERROR(VLOOKUP(B2001,'Pre-Summary'!$BG$6:$BM$44,6,FALSE),S2002)</f>
        <v>5.8400630293479062E-2</v>
      </c>
      <c r="T2001" s="45" t="str">
        <f>IFERROR(VLOOKUP(B2001,'Pre-Summary'!$Y$6:$AC$83, 3,FALSE),"")</f>
        <v/>
      </c>
      <c r="U2001" s="45" t="str">
        <f>IFERROR(VLOOKUP(B2001,'Pre-Summary'!$Y$6:$AC$83, 4,FALSE),"")</f>
        <v/>
      </c>
      <c r="V2001" t="str">
        <f>IFERROR(VLOOKUP(B2001,'Pre-Summary'!$Y$6:$AC$83, 5,FALSE),"")</f>
        <v/>
      </c>
      <c r="W2001" s="45" t="str">
        <f>IFERROR(VLOOKUP(B2001,'Pre-Summary'!$Y$6:$AD$83,6,FALSE),"")</f>
        <v/>
      </c>
      <c r="X2001" t="str">
        <f>IFERROR(VLOOKUP('Pre-Summary'!$DB$6:$DD$63,3,FALSE),"")</f>
        <v/>
      </c>
      <c r="Y2001" t="str">
        <f>IFERROR(VLOOKUP(B2001,'Pre-Summary'!$CR$6:$CT$36,3,FALSE),"")</f>
        <v/>
      </c>
      <c r="Z2001" s="45" t="str">
        <f>IFERROR(VLOOKUP(B2001,'Pre-Summary'!$BZ$6:$CB$63,2,FALSE),"")</f>
        <v/>
      </c>
      <c r="AA2001" s="45" t="str">
        <f>IFERROR(VLOOKUP(B2001,'Pre-Summary'!$CG$6:$CI$70,2,FALSE),"")</f>
        <v/>
      </c>
      <c r="AB2001" s="99">
        <f>IFERROR(VLOOKUP(B2001,'Pre-Summary'!$A$6:$P$178,9,FALSE),AB2002)</f>
        <v>0.34645337423384143</v>
      </c>
      <c r="AC2001" s="10">
        <f>IFERROR(VLOOKUP(Summary!B2001,'Pre-Summary'!$A$6:$P$184,5, FALSE)/100,AC2002)</f>
        <v>0.95914699999999997</v>
      </c>
      <c r="AD2001" s="10">
        <f>IFERROR(VLOOKUP(Summary!B2001,'Pre-Summary'!$A$6:$P$184,3, FALSE)/100,AD2002)</f>
        <v>3.5208666666666666E-2</v>
      </c>
      <c r="AE2001" s="10">
        <f>IFERROR(VLOOKUP(Summary!B2001,'Pre-Summary'!$A$6:$P$184,7, FALSE)/100,AE2002)</f>
        <v>5.6443333333333337E-3</v>
      </c>
      <c r="AF2001" s="99">
        <f t="shared" si="94"/>
        <v>1.2198161368941245E-2</v>
      </c>
      <c r="AG2001" s="99">
        <f t="shared" si="95"/>
        <v>1.9554983286338792E-3</v>
      </c>
      <c r="AH2001" s="10" t="str">
        <f>IFERROR(VLOOKUP(B2001,'Pre-Summary'!$AZ$6:$BE$65,3,FALSE),"")</f>
        <v/>
      </c>
      <c r="AI2001" s="10" t="str">
        <f>IFERROR(VLOOKUP(B2001,'Pre-Summary'!$AZ$6:$BE$65,5,FALSE),"")</f>
        <v/>
      </c>
      <c r="AJ2001" s="10" t="str">
        <f>IFERROR(VLOOKUP(B2001,'Pre-Summary'!$AZ$6:$BE$65,4,FALSE),"")</f>
        <v/>
      </c>
      <c r="AK2001" s="10" t="str">
        <f>IFERROR(VLOOKUP(B2001,'Pre-Summary'!$AZ$6:$BE$65,6,FALSE),"")</f>
        <v/>
      </c>
      <c r="AL2001" s="10" t="str">
        <f>IFERROR(VLOOKUP(B2001,'Pre-Summary'!$BG$6:$BL$44,3,FALSE),"")</f>
        <v/>
      </c>
      <c r="AM2001" s="10" t="str">
        <f>IFERROR(VLOOKUP(B2001,'Pre-Summary'!$BG$6:$BL$44,4,FALSE),"")</f>
        <v/>
      </c>
    </row>
    <row r="2002" spans="2:39" ht="15" customHeight="1" x14ac:dyDescent="0.3">
      <c r="B2002">
        <v>199.9</v>
      </c>
      <c r="C2002" t="str">
        <f>IFERROR(VLOOKUP(B2002,'Pre-Summary'!$DI$6:$DM$23,4,FALSE),"")</f>
        <v/>
      </c>
      <c r="D2002" s="10" t="str">
        <f>IFERROR(VLOOKUP(B2002,'Pre-Summary'!$AT$6:$AX$14,5,FALSE),D2001)</f>
        <v>Wolfe v3: went back to modified wolfe + EDTA and switched CuSO4 to CUCl2</v>
      </c>
      <c r="E2002" s="10" t="str">
        <f>IFERROR(VLOOKUP(B2002,'Pre-Summary'!$AT$6:$AX$15,4,FALSE),"")</f>
        <v/>
      </c>
      <c r="F2002">
        <f>IFERROR(VLOOKUP(B2002,'Pre-Summary'!$AL$6:$AQ$13,6,FALSE),F2001)</f>
        <v>5.9405263157894746E-2</v>
      </c>
      <c r="G2002" t="str">
        <f>IFERROR(VLOOKUP(B2002,'Pre-Summary'!$AE$6:$AJ$85,3,FALSE),"")</f>
        <v/>
      </c>
      <c r="H2002" t="str">
        <f>IFERROR(VLOOKUP(B2002,'Pre-Summary'!$AE$6:$AJ$85,4,FALSE),"")</f>
        <v/>
      </c>
      <c r="I2002" t="str">
        <f>IFERROR(VLOOKUP(B2002,'Pre-Summary'!$AE$6:$AJ$85,5,FALSE),"")</f>
        <v/>
      </c>
      <c r="J2002" s="45" t="str">
        <f>IFERROR(VLOOKUP(B2002,'Pre-Summary'!$AE$6:$AJ$85,6, FALSE),"")</f>
        <v/>
      </c>
      <c r="K2002" s="45" t="str">
        <f>IFERROR(VLOOKUP(B2002,'Pre-Summary'!$DE$6:$DG$61,3,FALSE),"")</f>
        <v/>
      </c>
      <c r="L2002" s="45" t="str">
        <f>IFERROR(VLOOKUP(B2002,'Pre-Summary'!$CU$6:$CW$36,3,FALSE),"")</f>
        <v/>
      </c>
      <c r="M2002" s="45" t="str">
        <f>IFERROR(VLOOKUP(B2002,'Pre-Summary'!$BW$6:$BY$58,2,FALSE),"")</f>
        <v/>
      </c>
      <c r="N2002" s="45" t="str">
        <f>IFERROR(VLOOKUP(B2002,'Pre-Summary'!$CD$6:$CF$64,2,FALSE),"")</f>
        <v/>
      </c>
      <c r="O2002" s="99">
        <f>IFERROR(VLOOKUP(B2002,'Pre-Summary'!$BO$6:$BQ$48,3, FALSE),O2001)</f>
        <v>1.3480000000000001</v>
      </c>
      <c r="P2002" s="99">
        <f>IFERROR(VLOOKUP(B2002,'Pre-Summary'!$BS$6:$BU$35,3,FALSE),P2001)</f>
        <v>0.33700000000000002</v>
      </c>
      <c r="Q2002" s="54">
        <f t="shared" si="93"/>
        <v>4</v>
      </c>
      <c r="R2002" s="53">
        <f>IFERROR(VLOOKUP(B2002,'Pre-Summary'!$BG$6:$BM$44,7,FALSE),R2003)</f>
        <v>6.2037889674656205E-2</v>
      </c>
      <c r="S2002" s="53">
        <f>IFERROR(VLOOKUP(B2002,'Pre-Summary'!$BG$6:$BM$44,6,FALSE),S2003)</f>
        <v>5.8400630293479062E-2</v>
      </c>
      <c r="T2002" s="45" t="str">
        <f>IFERROR(VLOOKUP(B2002,'Pre-Summary'!$Y$6:$AC$83, 3,FALSE),"")</f>
        <v/>
      </c>
      <c r="U2002" s="45" t="str">
        <f>IFERROR(VLOOKUP(B2002,'Pre-Summary'!$Y$6:$AC$83, 4,FALSE),"")</f>
        <v/>
      </c>
      <c r="V2002" t="str">
        <f>IFERROR(VLOOKUP(B2002,'Pre-Summary'!$Y$6:$AC$83, 5,FALSE),"")</f>
        <v/>
      </c>
      <c r="W2002" s="45" t="str">
        <f>IFERROR(VLOOKUP(B2002,'Pre-Summary'!$Y$6:$AD$83,6,FALSE),"")</f>
        <v/>
      </c>
      <c r="X2002" t="str">
        <f>IFERROR(VLOOKUP('Pre-Summary'!$DB$6:$DD$63,3,FALSE),"")</f>
        <v/>
      </c>
      <c r="Y2002" t="str">
        <f>IFERROR(VLOOKUP(B2002,'Pre-Summary'!$CR$6:$CT$36,3,FALSE),"")</f>
        <v/>
      </c>
      <c r="Z2002" s="45" t="str">
        <f>IFERROR(VLOOKUP(B2002,'Pre-Summary'!$BZ$6:$CB$63,2,FALSE),"")</f>
        <v/>
      </c>
      <c r="AA2002" s="45" t="str">
        <f>IFERROR(VLOOKUP(B2002,'Pre-Summary'!$CG$6:$CI$70,2,FALSE),"")</f>
        <v/>
      </c>
      <c r="AB2002" s="99">
        <f>IFERROR(VLOOKUP(B2002,'Pre-Summary'!$A$6:$P$178,9,FALSE),AB2003)</f>
        <v>0.34645337423384143</v>
      </c>
      <c r="AC2002" s="10">
        <f>IFERROR(VLOOKUP(Summary!B2002,'Pre-Summary'!$A$6:$P$184,5, FALSE)/100,AC2003)</f>
        <v>0.95914699999999997</v>
      </c>
      <c r="AD2002" s="10">
        <f>IFERROR(VLOOKUP(Summary!B2002,'Pre-Summary'!$A$6:$P$184,3, FALSE)/100,AD2003)</f>
        <v>3.5208666666666666E-2</v>
      </c>
      <c r="AE2002" s="10">
        <f>IFERROR(VLOOKUP(Summary!B2002,'Pre-Summary'!$A$6:$P$184,7, FALSE)/100,AE2003)</f>
        <v>5.6443333333333337E-3</v>
      </c>
      <c r="AF2002" s="99">
        <f t="shared" si="94"/>
        <v>1.2198161368941245E-2</v>
      </c>
      <c r="AG2002" s="99">
        <f t="shared" si="95"/>
        <v>1.9554983286338792E-3</v>
      </c>
      <c r="AH2002" s="10" t="str">
        <f>IFERROR(VLOOKUP(B2002,'Pre-Summary'!$AZ$6:$BE$65,3,FALSE),"")</f>
        <v/>
      </c>
      <c r="AI2002" s="10" t="str">
        <f>IFERROR(VLOOKUP(B2002,'Pre-Summary'!$AZ$6:$BE$65,5,FALSE),"")</f>
        <v/>
      </c>
      <c r="AJ2002" s="10" t="str">
        <f>IFERROR(VLOOKUP(B2002,'Pre-Summary'!$AZ$6:$BE$65,4,FALSE),"")</f>
        <v/>
      </c>
      <c r="AK2002" s="10" t="str">
        <f>IFERROR(VLOOKUP(B2002,'Pre-Summary'!$AZ$6:$BE$65,6,FALSE),"")</f>
        <v/>
      </c>
      <c r="AL2002" s="10" t="str">
        <f>IFERROR(VLOOKUP(B2002,'Pre-Summary'!$BG$6:$BL$44,3,FALSE),"")</f>
        <v/>
      </c>
      <c r="AM2002" s="10" t="str">
        <f>IFERROR(VLOOKUP(B2002,'Pre-Summary'!$BG$6:$BL$44,4,FALSE),"")</f>
        <v/>
      </c>
    </row>
    <row r="2003" spans="2:39" ht="15" customHeight="1" x14ac:dyDescent="0.3">
      <c r="B2003">
        <v>200</v>
      </c>
      <c r="C2003" t="str">
        <f>IFERROR(VLOOKUP(B2003,'Pre-Summary'!$DI$6:$DM$23,4,FALSE),"")</f>
        <v/>
      </c>
      <c r="D2003" s="10" t="str">
        <f>IFERROR(VLOOKUP(B2003,'Pre-Summary'!$AT$6:$AX$14,5,FALSE),D2002)</f>
        <v>Wolfe v3: went back to modified wolfe + EDTA and switched CuSO4 to CUCl2</v>
      </c>
      <c r="E2003" s="10" t="str">
        <f>IFERROR(VLOOKUP(B2003,'Pre-Summary'!$AT$6:$AX$15,4,FALSE),"")</f>
        <v/>
      </c>
      <c r="F2003">
        <f>IFERROR(VLOOKUP(B2003,'Pre-Summary'!$AL$6:$AQ$13,6,FALSE),F2002)</f>
        <v>5.9405263157894746E-2</v>
      </c>
      <c r="G2003" t="str">
        <f>IFERROR(VLOOKUP(B2003,'Pre-Summary'!$AE$6:$AJ$85,3,FALSE),"")</f>
        <v/>
      </c>
      <c r="H2003" t="str">
        <f>IFERROR(VLOOKUP(B2003,'Pre-Summary'!$AE$6:$AJ$85,4,FALSE),"")</f>
        <v/>
      </c>
      <c r="I2003" t="str">
        <f>IFERROR(VLOOKUP(B2003,'Pre-Summary'!$AE$6:$AJ$85,5,FALSE),"")</f>
        <v/>
      </c>
      <c r="J2003" s="45" t="str">
        <f>IFERROR(VLOOKUP(B2003,'Pre-Summary'!$AE$6:$AJ$85,6, FALSE),"")</f>
        <v/>
      </c>
      <c r="K2003" s="45" t="str">
        <f>IFERROR(VLOOKUP(B2003,'Pre-Summary'!$DE$6:$DG$61,3,FALSE),"")</f>
        <v/>
      </c>
      <c r="L2003" s="45" t="str">
        <f>IFERROR(VLOOKUP(B2003,'Pre-Summary'!$CU$6:$CW$36,3,FALSE),"")</f>
        <v/>
      </c>
      <c r="M2003" s="45" t="str">
        <f>IFERROR(VLOOKUP(B2003,'Pre-Summary'!$BW$6:$BY$58,2,FALSE),"")</f>
        <v/>
      </c>
      <c r="N2003" s="45" t="str">
        <f>IFERROR(VLOOKUP(B2003,'Pre-Summary'!$CD$6:$CF$64,2,FALSE),"")</f>
        <v/>
      </c>
      <c r="O2003" s="99">
        <f>IFERROR(VLOOKUP(B2003,'Pre-Summary'!$BO$6:$BQ$48,3, FALSE),O2002)</f>
        <v>1.3480000000000001</v>
      </c>
      <c r="P2003" s="99">
        <f>IFERROR(VLOOKUP(B2003,'Pre-Summary'!$BS$6:$BU$35,3,FALSE),P2002)</f>
        <v>0.33700000000000002</v>
      </c>
      <c r="Q2003" s="54">
        <f t="shared" si="93"/>
        <v>4</v>
      </c>
      <c r="R2003" s="53">
        <f>IFERROR(VLOOKUP(B2003,'Pre-Summary'!$BG$6:$BM$44,7,FALSE),R2004)</f>
        <v>6.2037889674656205E-2</v>
      </c>
      <c r="S2003" s="53">
        <f>IFERROR(VLOOKUP(B2003,'Pre-Summary'!$BG$6:$BM$44,6,FALSE),S2004)</f>
        <v>5.8400630293479062E-2</v>
      </c>
      <c r="T2003" s="45" t="str">
        <f>IFERROR(VLOOKUP(B2003,'Pre-Summary'!$Y$6:$AC$83, 3,FALSE),"")</f>
        <v/>
      </c>
      <c r="U2003" s="45" t="str">
        <f>IFERROR(VLOOKUP(B2003,'Pre-Summary'!$Y$6:$AC$83, 4,FALSE),"")</f>
        <v/>
      </c>
      <c r="V2003" t="str">
        <f>IFERROR(VLOOKUP(B2003,'Pre-Summary'!$Y$6:$AC$83, 5,FALSE),"")</f>
        <v/>
      </c>
      <c r="W2003" s="45" t="str">
        <f>IFERROR(VLOOKUP(B2003,'Pre-Summary'!$Y$6:$AD$83,6,FALSE),"")</f>
        <v/>
      </c>
      <c r="X2003" t="str">
        <f>IFERROR(VLOOKUP('Pre-Summary'!$DB$6:$DD$63,3,FALSE),"")</f>
        <v/>
      </c>
      <c r="Y2003" t="str">
        <f>IFERROR(VLOOKUP(B2003,'Pre-Summary'!$CR$6:$CT$36,3,FALSE),"")</f>
        <v/>
      </c>
      <c r="Z2003" s="45" t="str">
        <f>IFERROR(VLOOKUP(B2003,'Pre-Summary'!$BZ$6:$CB$63,2,FALSE),"")</f>
        <v/>
      </c>
      <c r="AA2003" s="45" t="str">
        <f>IFERROR(VLOOKUP(B2003,'Pre-Summary'!$CG$6:$CI$70,2,FALSE),"")</f>
        <v/>
      </c>
      <c r="AB2003" s="99">
        <f>IFERROR(VLOOKUP(B2003,'Pre-Summary'!$A$6:$P$178,9,FALSE),AB2004)</f>
        <v>0.34645337423384143</v>
      </c>
      <c r="AC2003" s="10">
        <f>IFERROR(VLOOKUP(Summary!B2003,'Pre-Summary'!$A$6:$P$184,5, FALSE)/100,AC2004)</f>
        <v>0.95914699999999997</v>
      </c>
      <c r="AD2003" s="10">
        <f>IFERROR(VLOOKUP(Summary!B2003,'Pre-Summary'!$A$6:$P$184,3, FALSE)/100,AD2004)</f>
        <v>3.5208666666666666E-2</v>
      </c>
      <c r="AE2003" s="10">
        <f>IFERROR(VLOOKUP(Summary!B2003,'Pre-Summary'!$A$6:$P$184,7, FALSE)/100,AE2004)</f>
        <v>5.6443333333333337E-3</v>
      </c>
      <c r="AF2003" s="99">
        <f t="shared" si="94"/>
        <v>1.2198161368941245E-2</v>
      </c>
      <c r="AG2003" s="99">
        <f t="shared" si="95"/>
        <v>1.9554983286338792E-3</v>
      </c>
      <c r="AH2003" s="10" t="str">
        <f>IFERROR(VLOOKUP(B2003,'Pre-Summary'!$AZ$6:$BE$65,3,FALSE),"")</f>
        <v/>
      </c>
      <c r="AI2003" s="10" t="str">
        <f>IFERROR(VLOOKUP(B2003,'Pre-Summary'!$AZ$6:$BE$65,5,FALSE),"")</f>
        <v/>
      </c>
      <c r="AJ2003" s="10" t="str">
        <f>IFERROR(VLOOKUP(B2003,'Pre-Summary'!$AZ$6:$BE$65,4,FALSE),"")</f>
        <v/>
      </c>
      <c r="AK2003" s="10" t="str">
        <f>IFERROR(VLOOKUP(B2003,'Pre-Summary'!$AZ$6:$BE$65,6,FALSE),"")</f>
        <v/>
      </c>
      <c r="AL2003" s="10" t="str">
        <f>IFERROR(VLOOKUP(B2003,'Pre-Summary'!$BG$6:$BL$44,3,FALSE),"")</f>
        <v/>
      </c>
      <c r="AM2003" s="10" t="str">
        <f>IFERROR(VLOOKUP(B2003,'Pre-Summary'!$BG$6:$BL$44,4,FALSE),"")</f>
        <v/>
      </c>
    </row>
    <row r="2004" spans="2:39" ht="15" customHeight="1" x14ac:dyDescent="0.3">
      <c r="B2004">
        <v>200.1</v>
      </c>
      <c r="C2004" t="str">
        <f>IFERROR(VLOOKUP(B2004,'Pre-Summary'!$DI$6:$DM$23,4,FALSE),"")</f>
        <v/>
      </c>
      <c r="D2004" s="10" t="str">
        <f>IFERROR(VLOOKUP(B2004,'Pre-Summary'!$AT$6:$AX$14,5,FALSE),D2003)</f>
        <v>Wolfe v3: went back to modified wolfe + EDTA and switched CuSO4 to CUCl2</v>
      </c>
      <c r="E2004" s="10" t="str">
        <f>IFERROR(VLOOKUP(B2004,'Pre-Summary'!$AT$6:$AX$15,4,FALSE),"")</f>
        <v/>
      </c>
      <c r="F2004">
        <f>IFERROR(VLOOKUP(B2004,'Pre-Summary'!$AL$6:$AQ$13,6,FALSE),F2003)</f>
        <v>5.9405263157894746E-2</v>
      </c>
      <c r="G2004" t="str">
        <f>IFERROR(VLOOKUP(B2004,'Pre-Summary'!$AE$6:$AJ$85,3,FALSE),"")</f>
        <v/>
      </c>
      <c r="H2004" t="str">
        <f>IFERROR(VLOOKUP(B2004,'Pre-Summary'!$AE$6:$AJ$85,4,FALSE),"")</f>
        <v/>
      </c>
      <c r="I2004" t="str">
        <f>IFERROR(VLOOKUP(B2004,'Pre-Summary'!$AE$6:$AJ$85,5,FALSE),"")</f>
        <v/>
      </c>
      <c r="J2004" s="45" t="str">
        <f>IFERROR(VLOOKUP(B2004,'Pre-Summary'!$AE$6:$AJ$85,6, FALSE),"")</f>
        <v/>
      </c>
      <c r="K2004" s="45" t="str">
        <f>IFERROR(VLOOKUP(B2004,'Pre-Summary'!$DE$6:$DG$61,3,FALSE),"")</f>
        <v/>
      </c>
      <c r="L2004" s="45" t="str">
        <f>IFERROR(VLOOKUP(B2004,'Pre-Summary'!$CU$6:$CW$36,3,FALSE),"")</f>
        <v/>
      </c>
      <c r="M2004" s="45" t="str">
        <f>IFERROR(VLOOKUP(B2004,'Pre-Summary'!$BW$6:$BY$58,2,FALSE),"")</f>
        <v/>
      </c>
      <c r="N2004" s="45" t="str">
        <f>IFERROR(VLOOKUP(B2004,'Pre-Summary'!$CD$6:$CF$64,2,FALSE),"")</f>
        <v/>
      </c>
      <c r="O2004" s="99">
        <f>IFERROR(VLOOKUP(B2004,'Pre-Summary'!$BO$6:$BQ$48,3, FALSE),O2003)</f>
        <v>1.3480000000000001</v>
      </c>
      <c r="P2004" s="99">
        <f>IFERROR(VLOOKUP(B2004,'Pre-Summary'!$BS$6:$BU$35,3,FALSE),P2003)</f>
        <v>0.33700000000000002</v>
      </c>
      <c r="Q2004" s="54">
        <f t="shared" si="93"/>
        <v>4</v>
      </c>
      <c r="R2004" s="53">
        <f>IFERROR(VLOOKUP(B2004,'Pre-Summary'!$BG$6:$BM$44,7,FALSE),R2005)</f>
        <v>6.2037889674656205E-2</v>
      </c>
      <c r="S2004" s="53">
        <f>IFERROR(VLOOKUP(B2004,'Pre-Summary'!$BG$6:$BM$44,6,FALSE),S2005)</f>
        <v>5.8400630293479062E-2</v>
      </c>
      <c r="T2004" s="45" t="str">
        <f>IFERROR(VLOOKUP(B2004,'Pre-Summary'!$Y$6:$AC$83, 3,FALSE),"")</f>
        <v/>
      </c>
      <c r="U2004" s="45" t="str">
        <f>IFERROR(VLOOKUP(B2004,'Pre-Summary'!$Y$6:$AC$83, 4,FALSE),"")</f>
        <v/>
      </c>
      <c r="V2004" t="str">
        <f>IFERROR(VLOOKUP(B2004,'Pre-Summary'!$Y$6:$AC$83, 5,FALSE),"")</f>
        <v/>
      </c>
      <c r="W2004" s="45" t="str">
        <f>IFERROR(VLOOKUP(B2004,'Pre-Summary'!$Y$6:$AD$83,6,FALSE),"")</f>
        <v/>
      </c>
      <c r="X2004" t="str">
        <f>IFERROR(VLOOKUP('Pre-Summary'!$DB$6:$DD$63,3,FALSE),"")</f>
        <v/>
      </c>
      <c r="Y2004" t="str">
        <f>IFERROR(VLOOKUP(B2004,'Pre-Summary'!$CR$6:$CT$36,3,FALSE),"")</f>
        <v/>
      </c>
      <c r="Z2004" s="45" t="str">
        <f>IFERROR(VLOOKUP(B2004,'Pre-Summary'!$BZ$6:$CB$63,2,FALSE),"")</f>
        <v/>
      </c>
      <c r="AA2004" s="45" t="str">
        <f>IFERROR(VLOOKUP(B2004,'Pre-Summary'!$CG$6:$CI$70,2,FALSE),"")</f>
        <v/>
      </c>
      <c r="AB2004" s="99">
        <f>IFERROR(VLOOKUP(B2004,'Pre-Summary'!$A$6:$P$178,9,FALSE),AB2005)</f>
        <v>0.34645337423384143</v>
      </c>
      <c r="AC2004" s="10">
        <f>IFERROR(VLOOKUP(Summary!B2004,'Pre-Summary'!$A$6:$P$184,5, FALSE)/100,AC2005)</f>
        <v>0.95914699999999997</v>
      </c>
      <c r="AD2004" s="10">
        <f>IFERROR(VLOOKUP(Summary!B2004,'Pre-Summary'!$A$6:$P$184,3, FALSE)/100,AD2005)</f>
        <v>3.5208666666666666E-2</v>
      </c>
      <c r="AE2004" s="10">
        <f>IFERROR(VLOOKUP(Summary!B2004,'Pre-Summary'!$A$6:$P$184,7, FALSE)/100,AE2005)</f>
        <v>5.6443333333333337E-3</v>
      </c>
      <c r="AF2004" s="99">
        <f t="shared" si="94"/>
        <v>1.2198161368941245E-2</v>
      </c>
      <c r="AG2004" s="99">
        <f t="shared" si="95"/>
        <v>1.9554983286338792E-3</v>
      </c>
      <c r="AH2004" s="10" t="str">
        <f>IFERROR(VLOOKUP(B2004,'Pre-Summary'!$AZ$6:$BE$65,3,FALSE),"")</f>
        <v/>
      </c>
      <c r="AI2004" s="10" t="str">
        <f>IFERROR(VLOOKUP(B2004,'Pre-Summary'!$AZ$6:$BE$65,5,FALSE),"")</f>
        <v/>
      </c>
      <c r="AJ2004" s="10" t="str">
        <f>IFERROR(VLOOKUP(B2004,'Pre-Summary'!$AZ$6:$BE$65,4,FALSE),"")</f>
        <v/>
      </c>
      <c r="AK2004" s="10" t="str">
        <f>IFERROR(VLOOKUP(B2004,'Pre-Summary'!$AZ$6:$BE$65,6,FALSE),"")</f>
        <v/>
      </c>
      <c r="AL2004" s="10" t="str">
        <f>IFERROR(VLOOKUP(B2004,'Pre-Summary'!$BG$6:$BL$44,3,FALSE),"")</f>
        <v/>
      </c>
      <c r="AM2004" s="10" t="str">
        <f>IFERROR(VLOOKUP(B2004,'Pre-Summary'!$BG$6:$BL$44,4,FALSE),"")</f>
        <v/>
      </c>
    </row>
    <row r="2005" spans="2:39" ht="15" customHeight="1" x14ac:dyDescent="0.3">
      <c r="B2005">
        <v>200.2</v>
      </c>
      <c r="C2005" t="str">
        <f>IFERROR(VLOOKUP(B2005,'Pre-Summary'!$DI$6:$DM$23,4,FALSE),"")</f>
        <v/>
      </c>
      <c r="D2005" s="10" t="str">
        <f>IFERROR(VLOOKUP(B2005,'Pre-Summary'!$AT$6:$AX$14,5,FALSE),D2004)</f>
        <v>Wolfe v3: went back to modified wolfe + EDTA and switched CuSO4 to CUCl2</v>
      </c>
      <c r="E2005" s="10" t="str">
        <f>IFERROR(VLOOKUP(B2005,'Pre-Summary'!$AT$6:$AX$15,4,FALSE),"")</f>
        <v/>
      </c>
      <c r="F2005">
        <f>IFERROR(VLOOKUP(B2005,'Pre-Summary'!$AL$6:$AQ$13,6,FALSE),F2004)</f>
        <v>5.9405263157894746E-2</v>
      </c>
      <c r="G2005" t="str">
        <f>IFERROR(VLOOKUP(B2005,'Pre-Summary'!$AE$6:$AJ$85,3,FALSE),"")</f>
        <v/>
      </c>
      <c r="H2005" t="str">
        <f>IFERROR(VLOOKUP(B2005,'Pre-Summary'!$AE$6:$AJ$85,4,FALSE),"")</f>
        <v/>
      </c>
      <c r="I2005" t="str">
        <f>IFERROR(VLOOKUP(B2005,'Pre-Summary'!$AE$6:$AJ$85,5,FALSE),"")</f>
        <v/>
      </c>
      <c r="J2005" s="45" t="str">
        <f>IFERROR(VLOOKUP(B2005,'Pre-Summary'!$AE$6:$AJ$85,6, FALSE),"")</f>
        <v/>
      </c>
      <c r="K2005" s="45" t="str">
        <f>IFERROR(VLOOKUP(B2005,'Pre-Summary'!$DE$6:$DG$61,3,FALSE),"")</f>
        <v/>
      </c>
      <c r="L2005" s="45" t="str">
        <f>IFERROR(VLOOKUP(B2005,'Pre-Summary'!$CU$6:$CW$36,3,FALSE),"")</f>
        <v/>
      </c>
      <c r="M2005" s="45" t="str">
        <f>IFERROR(VLOOKUP(B2005,'Pre-Summary'!$BW$6:$BY$58,2,FALSE),"")</f>
        <v/>
      </c>
      <c r="N2005" s="45" t="str">
        <f>IFERROR(VLOOKUP(B2005,'Pre-Summary'!$CD$6:$CF$64,2,FALSE),"")</f>
        <v/>
      </c>
      <c r="O2005" s="99">
        <f>IFERROR(VLOOKUP(B2005,'Pre-Summary'!$BO$6:$BQ$48,3, FALSE),O2004)</f>
        <v>1.3480000000000001</v>
      </c>
      <c r="P2005" s="99">
        <f>IFERROR(VLOOKUP(B2005,'Pre-Summary'!$BS$6:$BU$35,3,FALSE),P2004)</f>
        <v>0.33700000000000002</v>
      </c>
      <c r="Q2005" s="54">
        <f t="shared" si="93"/>
        <v>4</v>
      </c>
      <c r="R2005" s="53">
        <f>IFERROR(VLOOKUP(B2005,'Pre-Summary'!$BG$6:$BM$44,7,FALSE),R2006)</f>
        <v>6.2037889674656205E-2</v>
      </c>
      <c r="S2005" s="53">
        <f>IFERROR(VLOOKUP(B2005,'Pre-Summary'!$BG$6:$BM$44,6,FALSE),S2006)</f>
        <v>5.8400630293479062E-2</v>
      </c>
      <c r="T2005" s="45" t="str">
        <f>IFERROR(VLOOKUP(B2005,'Pre-Summary'!$Y$6:$AC$83, 3,FALSE),"")</f>
        <v/>
      </c>
      <c r="U2005" s="45" t="str">
        <f>IFERROR(VLOOKUP(B2005,'Pre-Summary'!$Y$6:$AC$83, 4,FALSE),"")</f>
        <v/>
      </c>
      <c r="V2005" t="str">
        <f>IFERROR(VLOOKUP(B2005,'Pre-Summary'!$Y$6:$AC$83, 5,FALSE),"")</f>
        <v/>
      </c>
      <c r="W2005" s="45" t="str">
        <f>IFERROR(VLOOKUP(B2005,'Pre-Summary'!$Y$6:$AD$83,6,FALSE),"")</f>
        <v/>
      </c>
      <c r="X2005" t="str">
        <f>IFERROR(VLOOKUP('Pre-Summary'!$DB$6:$DD$63,3,FALSE),"")</f>
        <v/>
      </c>
      <c r="Y2005" t="str">
        <f>IFERROR(VLOOKUP(B2005,'Pre-Summary'!$CR$6:$CT$36,3,FALSE),"")</f>
        <v/>
      </c>
      <c r="Z2005" s="45" t="str">
        <f>IFERROR(VLOOKUP(B2005,'Pre-Summary'!$BZ$6:$CB$63,2,FALSE),"")</f>
        <v/>
      </c>
      <c r="AA2005" s="45" t="str">
        <f>IFERROR(VLOOKUP(B2005,'Pre-Summary'!$CG$6:$CI$70,2,FALSE),"")</f>
        <v/>
      </c>
      <c r="AB2005" s="99">
        <f>IFERROR(VLOOKUP(B2005,'Pre-Summary'!$A$6:$P$178,9,FALSE),AB2006)</f>
        <v>0.34645337423384143</v>
      </c>
      <c r="AC2005" s="10">
        <f>IFERROR(VLOOKUP(Summary!B2005,'Pre-Summary'!$A$6:$P$184,5, FALSE)/100,AC2006)</f>
        <v>0.95914699999999997</v>
      </c>
      <c r="AD2005" s="10">
        <f>IFERROR(VLOOKUP(Summary!B2005,'Pre-Summary'!$A$6:$P$184,3, FALSE)/100,AD2006)</f>
        <v>3.5208666666666666E-2</v>
      </c>
      <c r="AE2005" s="10">
        <f>IFERROR(VLOOKUP(Summary!B2005,'Pre-Summary'!$A$6:$P$184,7, FALSE)/100,AE2006)</f>
        <v>5.6443333333333337E-3</v>
      </c>
      <c r="AF2005" s="99">
        <f t="shared" si="94"/>
        <v>1.2198161368941245E-2</v>
      </c>
      <c r="AG2005" s="99">
        <f t="shared" si="95"/>
        <v>1.9554983286338792E-3</v>
      </c>
      <c r="AH2005" s="10" t="str">
        <f>IFERROR(VLOOKUP(B2005,'Pre-Summary'!$AZ$6:$BE$65,3,FALSE),"")</f>
        <v/>
      </c>
      <c r="AI2005" s="10" t="str">
        <f>IFERROR(VLOOKUP(B2005,'Pre-Summary'!$AZ$6:$BE$65,5,FALSE),"")</f>
        <v/>
      </c>
      <c r="AJ2005" s="10" t="str">
        <f>IFERROR(VLOOKUP(B2005,'Pre-Summary'!$AZ$6:$BE$65,4,FALSE),"")</f>
        <v/>
      </c>
      <c r="AK2005" s="10" t="str">
        <f>IFERROR(VLOOKUP(B2005,'Pre-Summary'!$AZ$6:$BE$65,6,FALSE),"")</f>
        <v/>
      </c>
      <c r="AL2005" s="10" t="str">
        <f>IFERROR(VLOOKUP(B2005,'Pre-Summary'!$BG$6:$BL$44,3,FALSE),"")</f>
        <v/>
      </c>
      <c r="AM2005" s="10" t="str">
        <f>IFERROR(VLOOKUP(B2005,'Pre-Summary'!$BG$6:$BL$44,4,FALSE),"")</f>
        <v/>
      </c>
    </row>
    <row r="2006" spans="2:39" ht="15" customHeight="1" x14ac:dyDescent="0.3">
      <c r="B2006">
        <v>200.3</v>
      </c>
      <c r="C2006" t="str">
        <f>IFERROR(VLOOKUP(B2006,'Pre-Summary'!$DI$6:$DM$23,4,FALSE),"")</f>
        <v/>
      </c>
      <c r="D2006" s="10" t="str">
        <f>IFERROR(VLOOKUP(B2006,'Pre-Summary'!$AT$6:$AX$14,5,FALSE),D2005)</f>
        <v>Wolfe v3: went back to modified wolfe + EDTA and switched CuSO4 to CUCl2</v>
      </c>
      <c r="E2006" s="10" t="str">
        <f>IFERROR(VLOOKUP(B2006,'Pre-Summary'!$AT$6:$AX$15,4,FALSE),"")</f>
        <v/>
      </c>
      <c r="F2006">
        <f>IFERROR(VLOOKUP(B2006,'Pre-Summary'!$AL$6:$AQ$13,6,FALSE),F2005)</f>
        <v>5.9405263157894746E-2</v>
      </c>
      <c r="G2006" t="str">
        <f>IFERROR(VLOOKUP(B2006,'Pre-Summary'!$AE$6:$AJ$85,3,FALSE),"")</f>
        <v/>
      </c>
      <c r="H2006" t="str">
        <f>IFERROR(VLOOKUP(B2006,'Pre-Summary'!$AE$6:$AJ$85,4,FALSE),"")</f>
        <v/>
      </c>
      <c r="I2006" t="str">
        <f>IFERROR(VLOOKUP(B2006,'Pre-Summary'!$AE$6:$AJ$85,5,FALSE),"")</f>
        <v/>
      </c>
      <c r="J2006" s="45" t="str">
        <f>IFERROR(VLOOKUP(B2006,'Pre-Summary'!$AE$6:$AJ$85,6, FALSE),"")</f>
        <v/>
      </c>
      <c r="K2006" s="45" t="str">
        <f>IFERROR(VLOOKUP(B2006,'Pre-Summary'!$DE$6:$DG$61,3,FALSE),"")</f>
        <v/>
      </c>
      <c r="L2006" s="45" t="str">
        <f>IFERROR(VLOOKUP(B2006,'Pre-Summary'!$CU$6:$CW$36,3,FALSE),"")</f>
        <v/>
      </c>
      <c r="M2006" s="45" t="str">
        <f>IFERROR(VLOOKUP(B2006,'Pre-Summary'!$BW$6:$BY$58,2,FALSE),"")</f>
        <v/>
      </c>
      <c r="N2006" s="45" t="str">
        <f>IFERROR(VLOOKUP(B2006,'Pre-Summary'!$CD$6:$CF$64,2,FALSE),"")</f>
        <v/>
      </c>
      <c r="O2006" s="99">
        <f>IFERROR(VLOOKUP(B2006,'Pre-Summary'!$BO$6:$BQ$48,3, FALSE),O2005)</f>
        <v>1.3480000000000001</v>
      </c>
      <c r="P2006" s="99">
        <f>IFERROR(VLOOKUP(B2006,'Pre-Summary'!$BS$6:$BU$35,3,FALSE),P2005)</f>
        <v>0.33700000000000002</v>
      </c>
      <c r="Q2006" s="54">
        <f t="shared" si="93"/>
        <v>4</v>
      </c>
      <c r="R2006" s="53">
        <f>IFERROR(VLOOKUP(B2006,'Pre-Summary'!$BG$6:$BM$44,7,FALSE),R2007)</f>
        <v>6.2037889674656205E-2</v>
      </c>
      <c r="S2006" s="53">
        <f>IFERROR(VLOOKUP(B2006,'Pre-Summary'!$BG$6:$BM$44,6,FALSE),S2007)</f>
        <v>5.8400630293479062E-2</v>
      </c>
      <c r="T2006" s="45" t="str">
        <f>IFERROR(VLOOKUP(B2006,'Pre-Summary'!$Y$6:$AC$83, 3,FALSE),"")</f>
        <v/>
      </c>
      <c r="U2006" s="45" t="str">
        <f>IFERROR(VLOOKUP(B2006,'Pre-Summary'!$Y$6:$AC$83, 4,FALSE),"")</f>
        <v/>
      </c>
      <c r="V2006" t="str">
        <f>IFERROR(VLOOKUP(B2006,'Pre-Summary'!$Y$6:$AC$83, 5,FALSE),"")</f>
        <v/>
      </c>
      <c r="W2006" s="45" t="str">
        <f>IFERROR(VLOOKUP(B2006,'Pre-Summary'!$Y$6:$AD$83,6,FALSE),"")</f>
        <v/>
      </c>
      <c r="X2006" t="str">
        <f>IFERROR(VLOOKUP('Pre-Summary'!$DB$6:$DD$63,3,FALSE),"")</f>
        <v/>
      </c>
      <c r="Y2006" t="str">
        <f>IFERROR(VLOOKUP(B2006,'Pre-Summary'!$CR$6:$CT$36,3,FALSE),"")</f>
        <v/>
      </c>
      <c r="Z2006" s="45" t="str">
        <f>IFERROR(VLOOKUP(B2006,'Pre-Summary'!$BZ$6:$CB$63,2,FALSE),"")</f>
        <v/>
      </c>
      <c r="AA2006" s="45" t="str">
        <f>IFERROR(VLOOKUP(B2006,'Pre-Summary'!$CG$6:$CI$70,2,FALSE),"")</f>
        <v/>
      </c>
      <c r="AB2006" s="99">
        <f>IFERROR(VLOOKUP(B2006,'Pre-Summary'!$A$6:$P$178,9,FALSE),AB2007)</f>
        <v>0.34645337423384143</v>
      </c>
      <c r="AC2006" s="10">
        <f>IFERROR(VLOOKUP(Summary!B2006,'Pre-Summary'!$A$6:$P$184,5, FALSE)/100,AC2007)</f>
        <v>0.95914699999999997</v>
      </c>
      <c r="AD2006" s="10">
        <f>IFERROR(VLOOKUP(Summary!B2006,'Pre-Summary'!$A$6:$P$184,3, FALSE)/100,AD2007)</f>
        <v>3.5208666666666666E-2</v>
      </c>
      <c r="AE2006" s="10">
        <f>IFERROR(VLOOKUP(Summary!B2006,'Pre-Summary'!$A$6:$P$184,7, FALSE)/100,AE2007)</f>
        <v>5.6443333333333337E-3</v>
      </c>
      <c r="AF2006" s="99">
        <f t="shared" si="94"/>
        <v>1.2198161368941245E-2</v>
      </c>
      <c r="AG2006" s="99">
        <f t="shared" si="95"/>
        <v>1.9554983286338792E-3</v>
      </c>
      <c r="AH2006" s="10" t="str">
        <f>IFERROR(VLOOKUP(B2006,'Pre-Summary'!$AZ$6:$BE$65,3,FALSE),"")</f>
        <v/>
      </c>
      <c r="AI2006" s="10" t="str">
        <f>IFERROR(VLOOKUP(B2006,'Pre-Summary'!$AZ$6:$BE$65,5,FALSE),"")</f>
        <v/>
      </c>
      <c r="AJ2006" s="10" t="str">
        <f>IFERROR(VLOOKUP(B2006,'Pre-Summary'!$AZ$6:$BE$65,4,FALSE),"")</f>
        <v/>
      </c>
      <c r="AK2006" s="10" t="str">
        <f>IFERROR(VLOOKUP(B2006,'Pre-Summary'!$AZ$6:$BE$65,6,FALSE),"")</f>
        <v/>
      </c>
      <c r="AL2006" s="10" t="str">
        <f>IFERROR(VLOOKUP(B2006,'Pre-Summary'!$BG$6:$BL$44,3,FALSE),"")</f>
        <v/>
      </c>
      <c r="AM2006" s="10" t="str">
        <f>IFERROR(VLOOKUP(B2006,'Pre-Summary'!$BG$6:$BL$44,4,FALSE),"")</f>
        <v/>
      </c>
    </row>
    <row r="2007" spans="2:39" ht="15" customHeight="1" x14ac:dyDescent="0.3">
      <c r="B2007">
        <v>200.4</v>
      </c>
      <c r="C2007" t="str">
        <f>IFERROR(VLOOKUP(B2007,'Pre-Summary'!$DI$6:$DM$23,4,FALSE),"")</f>
        <v/>
      </c>
      <c r="D2007" s="10" t="str">
        <f>IFERROR(VLOOKUP(B2007,'Pre-Summary'!$AT$6:$AX$14,5,FALSE),D2006)</f>
        <v>Wolfe v3: went back to modified wolfe + EDTA and switched CuSO4 to CUCl2</v>
      </c>
      <c r="E2007" s="10" t="str">
        <f>IFERROR(VLOOKUP(B2007,'Pre-Summary'!$AT$6:$AX$15,4,FALSE),"")</f>
        <v/>
      </c>
      <c r="F2007">
        <f>IFERROR(VLOOKUP(B2007,'Pre-Summary'!$AL$6:$AQ$13,6,FALSE),F2006)</f>
        <v>5.9405263157894746E-2</v>
      </c>
      <c r="G2007" t="str">
        <f>IFERROR(VLOOKUP(B2007,'Pre-Summary'!$AE$6:$AJ$85,3,FALSE),"")</f>
        <v/>
      </c>
      <c r="H2007" t="str">
        <f>IFERROR(VLOOKUP(B2007,'Pre-Summary'!$AE$6:$AJ$85,4,FALSE),"")</f>
        <v/>
      </c>
      <c r="I2007" t="str">
        <f>IFERROR(VLOOKUP(B2007,'Pre-Summary'!$AE$6:$AJ$85,5,FALSE),"")</f>
        <v/>
      </c>
      <c r="J2007" s="45" t="str">
        <f>IFERROR(VLOOKUP(B2007,'Pre-Summary'!$AE$6:$AJ$85,6, FALSE),"")</f>
        <v/>
      </c>
      <c r="K2007" s="45" t="str">
        <f>IFERROR(VLOOKUP(B2007,'Pre-Summary'!$DE$6:$DG$61,3,FALSE),"")</f>
        <v/>
      </c>
      <c r="L2007" s="45" t="str">
        <f>IFERROR(VLOOKUP(B2007,'Pre-Summary'!$CU$6:$CW$36,3,FALSE),"")</f>
        <v/>
      </c>
      <c r="M2007" s="45" t="str">
        <f>IFERROR(VLOOKUP(B2007,'Pre-Summary'!$BW$6:$BY$58,2,FALSE),"")</f>
        <v/>
      </c>
      <c r="N2007" s="45" t="str">
        <f>IFERROR(VLOOKUP(B2007,'Pre-Summary'!$CD$6:$CF$64,2,FALSE),"")</f>
        <v/>
      </c>
      <c r="O2007" s="99">
        <f>IFERROR(VLOOKUP(B2007,'Pre-Summary'!$BO$6:$BQ$48,3, FALSE),O2006)</f>
        <v>1.3480000000000001</v>
      </c>
      <c r="P2007" s="99">
        <f>IFERROR(VLOOKUP(B2007,'Pre-Summary'!$BS$6:$BU$35,3,FALSE),P2006)</f>
        <v>0.33700000000000002</v>
      </c>
      <c r="Q2007" s="54">
        <f t="shared" si="93"/>
        <v>4</v>
      </c>
      <c r="R2007" s="53">
        <f>IFERROR(VLOOKUP(B2007,'Pre-Summary'!$BG$6:$BM$44,7,FALSE),R2008)</f>
        <v>6.2037889674656205E-2</v>
      </c>
      <c r="S2007" s="53">
        <f>IFERROR(VLOOKUP(B2007,'Pre-Summary'!$BG$6:$BM$44,6,FALSE),S2008)</f>
        <v>5.8400630293479062E-2</v>
      </c>
      <c r="T2007" s="45" t="str">
        <f>IFERROR(VLOOKUP(B2007,'Pre-Summary'!$Y$6:$AC$83, 3,FALSE),"")</f>
        <v/>
      </c>
      <c r="U2007" s="45" t="str">
        <f>IFERROR(VLOOKUP(B2007,'Pre-Summary'!$Y$6:$AC$83, 4,FALSE),"")</f>
        <v/>
      </c>
      <c r="V2007" t="str">
        <f>IFERROR(VLOOKUP(B2007,'Pre-Summary'!$Y$6:$AC$83, 5,FALSE),"")</f>
        <v/>
      </c>
      <c r="W2007" s="45" t="str">
        <f>IFERROR(VLOOKUP(B2007,'Pre-Summary'!$Y$6:$AD$83,6,FALSE),"")</f>
        <v/>
      </c>
      <c r="X2007" t="str">
        <f>IFERROR(VLOOKUP('Pre-Summary'!$DB$6:$DD$63,3,FALSE),"")</f>
        <v/>
      </c>
      <c r="Y2007" t="str">
        <f>IFERROR(VLOOKUP(B2007,'Pre-Summary'!$CR$6:$CT$36,3,FALSE),"")</f>
        <v/>
      </c>
      <c r="Z2007" s="45" t="str">
        <f>IFERROR(VLOOKUP(B2007,'Pre-Summary'!$BZ$6:$CB$63,2,FALSE),"")</f>
        <v/>
      </c>
      <c r="AA2007" s="45" t="str">
        <f>IFERROR(VLOOKUP(B2007,'Pre-Summary'!$CG$6:$CI$70,2,FALSE),"")</f>
        <v/>
      </c>
      <c r="AB2007" s="99">
        <f>IFERROR(VLOOKUP(B2007,'Pre-Summary'!$A$6:$P$178,9,FALSE),AB2008)</f>
        <v>0.34645337423384143</v>
      </c>
      <c r="AC2007" s="10">
        <f>IFERROR(VLOOKUP(Summary!B2007,'Pre-Summary'!$A$6:$P$184,5, FALSE)/100,AC2008)</f>
        <v>0.95914699999999997</v>
      </c>
      <c r="AD2007" s="10">
        <f>IFERROR(VLOOKUP(Summary!B2007,'Pre-Summary'!$A$6:$P$184,3, FALSE)/100,AD2008)</f>
        <v>3.5208666666666666E-2</v>
      </c>
      <c r="AE2007" s="10">
        <f>IFERROR(VLOOKUP(Summary!B2007,'Pre-Summary'!$A$6:$P$184,7, FALSE)/100,AE2008)</f>
        <v>5.6443333333333337E-3</v>
      </c>
      <c r="AF2007" s="99">
        <f t="shared" si="94"/>
        <v>1.2198161368941245E-2</v>
      </c>
      <c r="AG2007" s="99">
        <f t="shared" si="95"/>
        <v>1.9554983286338792E-3</v>
      </c>
      <c r="AH2007" s="10" t="str">
        <f>IFERROR(VLOOKUP(B2007,'Pre-Summary'!$AZ$6:$BE$65,3,FALSE),"")</f>
        <v/>
      </c>
      <c r="AI2007" s="10" t="str">
        <f>IFERROR(VLOOKUP(B2007,'Pre-Summary'!$AZ$6:$BE$65,5,FALSE),"")</f>
        <v/>
      </c>
      <c r="AJ2007" s="10" t="str">
        <f>IFERROR(VLOOKUP(B2007,'Pre-Summary'!$AZ$6:$BE$65,4,FALSE),"")</f>
        <v/>
      </c>
      <c r="AK2007" s="10" t="str">
        <f>IFERROR(VLOOKUP(B2007,'Pre-Summary'!$AZ$6:$BE$65,6,FALSE),"")</f>
        <v/>
      </c>
      <c r="AL2007" s="10" t="str">
        <f>IFERROR(VLOOKUP(B2007,'Pre-Summary'!$BG$6:$BL$44,3,FALSE),"")</f>
        <v/>
      </c>
      <c r="AM2007" s="10" t="str">
        <f>IFERROR(VLOOKUP(B2007,'Pre-Summary'!$BG$6:$BL$44,4,FALSE),"")</f>
        <v/>
      </c>
    </row>
    <row r="2008" spans="2:39" ht="15" customHeight="1" x14ac:dyDescent="0.3">
      <c r="B2008">
        <v>200.5</v>
      </c>
      <c r="C2008" t="str">
        <f>IFERROR(VLOOKUP(B2008,'Pre-Summary'!$DI$6:$DM$23,4,FALSE),"")</f>
        <v/>
      </c>
      <c r="D2008" s="10" t="str">
        <f>IFERROR(VLOOKUP(B2008,'Pre-Summary'!$AT$6:$AX$14,5,FALSE),D2007)</f>
        <v>Wolfe v3: went back to modified wolfe + EDTA and switched CuSO4 to CUCl2</v>
      </c>
      <c r="E2008" s="10" t="str">
        <f>IFERROR(VLOOKUP(B2008,'Pre-Summary'!$AT$6:$AX$15,4,FALSE),"")</f>
        <v/>
      </c>
      <c r="F2008">
        <f>IFERROR(VLOOKUP(B2008,'Pre-Summary'!$AL$6:$AQ$13,6,FALSE),F2007)</f>
        <v>5.9405263157894746E-2</v>
      </c>
      <c r="G2008" t="str">
        <f>IFERROR(VLOOKUP(B2008,'Pre-Summary'!$AE$6:$AJ$85,3,FALSE),"")</f>
        <v/>
      </c>
      <c r="H2008" t="str">
        <f>IFERROR(VLOOKUP(B2008,'Pre-Summary'!$AE$6:$AJ$85,4,FALSE),"")</f>
        <v/>
      </c>
      <c r="I2008" t="str">
        <f>IFERROR(VLOOKUP(B2008,'Pre-Summary'!$AE$6:$AJ$85,5,FALSE),"")</f>
        <v/>
      </c>
      <c r="J2008" s="45" t="str">
        <f>IFERROR(VLOOKUP(B2008,'Pre-Summary'!$AE$6:$AJ$85,6, FALSE),"")</f>
        <v/>
      </c>
      <c r="K2008" s="45" t="str">
        <f>IFERROR(VLOOKUP(B2008,'Pre-Summary'!$DE$6:$DG$61,3,FALSE),"")</f>
        <v/>
      </c>
      <c r="L2008" s="45" t="str">
        <f>IFERROR(VLOOKUP(B2008,'Pre-Summary'!$CU$6:$CW$36,3,FALSE),"")</f>
        <v/>
      </c>
      <c r="M2008" s="45" t="str">
        <f>IFERROR(VLOOKUP(B2008,'Pre-Summary'!$BW$6:$BY$58,2,FALSE),"")</f>
        <v/>
      </c>
      <c r="N2008" s="45" t="str">
        <f>IFERROR(VLOOKUP(B2008,'Pre-Summary'!$CD$6:$CF$64,2,FALSE),"")</f>
        <v/>
      </c>
      <c r="O2008" s="99">
        <f>IFERROR(VLOOKUP(B2008,'Pre-Summary'!$BO$6:$BQ$48,3, FALSE),O2007)</f>
        <v>1.3480000000000001</v>
      </c>
      <c r="P2008" s="99">
        <f>IFERROR(VLOOKUP(B2008,'Pre-Summary'!$BS$6:$BU$35,3,FALSE),P2007)</f>
        <v>0.33700000000000002</v>
      </c>
      <c r="Q2008" s="54">
        <f t="shared" si="93"/>
        <v>4</v>
      </c>
      <c r="R2008" s="53">
        <f>IFERROR(VLOOKUP(B2008,'Pre-Summary'!$BG$6:$BM$44,7,FALSE),R2009)</f>
        <v>6.2037889674656205E-2</v>
      </c>
      <c r="S2008" s="53">
        <f>IFERROR(VLOOKUP(B2008,'Pre-Summary'!$BG$6:$BM$44,6,FALSE),S2009)</f>
        <v>5.8400630293479062E-2</v>
      </c>
      <c r="T2008" s="45" t="str">
        <f>IFERROR(VLOOKUP(B2008,'Pre-Summary'!$Y$6:$AC$83, 3,FALSE),"")</f>
        <v/>
      </c>
      <c r="U2008" s="45" t="str">
        <f>IFERROR(VLOOKUP(B2008,'Pre-Summary'!$Y$6:$AC$83, 4,FALSE),"")</f>
        <v/>
      </c>
      <c r="V2008" t="str">
        <f>IFERROR(VLOOKUP(B2008,'Pre-Summary'!$Y$6:$AC$83, 5,FALSE),"")</f>
        <v/>
      </c>
      <c r="W2008" s="45" t="str">
        <f>IFERROR(VLOOKUP(B2008,'Pre-Summary'!$Y$6:$AD$83,6,FALSE),"")</f>
        <v/>
      </c>
      <c r="X2008" t="str">
        <f>IFERROR(VLOOKUP('Pre-Summary'!$DB$6:$DD$63,3,FALSE),"")</f>
        <v/>
      </c>
      <c r="Y2008" t="str">
        <f>IFERROR(VLOOKUP(B2008,'Pre-Summary'!$CR$6:$CT$36,3,FALSE),"")</f>
        <v/>
      </c>
      <c r="Z2008" s="45" t="str">
        <f>IFERROR(VLOOKUP(B2008,'Pre-Summary'!$BZ$6:$CB$63,2,FALSE),"")</f>
        <v/>
      </c>
      <c r="AA2008" s="45" t="str">
        <f>IFERROR(VLOOKUP(B2008,'Pre-Summary'!$CG$6:$CI$70,2,FALSE),"")</f>
        <v/>
      </c>
      <c r="AB2008" s="99">
        <f>IFERROR(VLOOKUP(B2008,'Pre-Summary'!$A$6:$P$178,9,FALSE),AB2009)</f>
        <v>0.34645337423384143</v>
      </c>
      <c r="AC2008" s="10">
        <f>IFERROR(VLOOKUP(Summary!B2008,'Pre-Summary'!$A$6:$P$184,5, FALSE)/100,AC2009)</f>
        <v>0.95914699999999997</v>
      </c>
      <c r="AD2008" s="10">
        <f>IFERROR(VLOOKUP(Summary!B2008,'Pre-Summary'!$A$6:$P$184,3, FALSE)/100,AD2009)</f>
        <v>3.5208666666666666E-2</v>
      </c>
      <c r="AE2008" s="10">
        <f>IFERROR(VLOOKUP(Summary!B2008,'Pre-Summary'!$A$6:$P$184,7, FALSE)/100,AE2009)</f>
        <v>5.6443333333333337E-3</v>
      </c>
      <c r="AF2008" s="99">
        <f t="shared" si="94"/>
        <v>1.2198161368941245E-2</v>
      </c>
      <c r="AG2008" s="99">
        <f t="shared" si="95"/>
        <v>1.9554983286338792E-3</v>
      </c>
      <c r="AH2008" s="10" t="str">
        <f>IFERROR(VLOOKUP(B2008,'Pre-Summary'!$AZ$6:$BE$65,3,FALSE),"")</f>
        <v/>
      </c>
      <c r="AI2008" s="10" t="str">
        <f>IFERROR(VLOOKUP(B2008,'Pre-Summary'!$AZ$6:$BE$65,5,FALSE),"")</f>
        <v/>
      </c>
      <c r="AJ2008" s="10" t="str">
        <f>IFERROR(VLOOKUP(B2008,'Pre-Summary'!$AZ$6:$BE$65,4,FALSE),"")</f>
        <v/>
      </c>
      <c r="AK2008" s="10" t="str">
        <f>IFERROR(VLOOKUP(B2008,'Pre-Summary'!$AZ$6:$BE$65,6,FALSE),"")</f>
        <v/>
      </c>
      <c r="AL2008" s="10" t="str">
        <f>IFERROR(VLOOKUP(B2008,'Pre-Summary'!$BG$6:$BL$44,3,FALSE),"")</f>
        <v/>
      </c>
      <c r="AM2008" s="10" t="str">
        <f>IFERROR(VLOOKUP(B2008,'Pre-Summary'!$BG$6:$BL$44,4,FALSE),"")</f>
        <v/>
      </c>
    </row>
    <row r="2009" spans="2:39" ht="15" customHeight="1" x14ac:dyDescent="0.3">
      <c r="B2009">
        <v>200.6</v>
      </c>
      <c r="C2009" t="str">
        <f>IFERROR(VLOOKUP(B2009,'Pre-Summary'!$DI$6:$DM$23,4,FALSE),"")</f>
        <v/>
      </c>
      <c r="D2009" s="10" t="str">
        <f>IFERROR(VLOOKUP(B2009,'Pre-Summary'!$AT$6:$AX$14,5,FALSE),D2008)</f>
        <v>Wolfe v3: went back to modified wolfe + EDTA and switched CuSO4 to CUCl2</v>
      </c>
      <c r="E2009" s="10" t="str">
        <f>IFERROR(VLOOKUP(B2009,'Pre-Summary'!$AT$6:$AX$15,4,FALSE),"")</f>
        <v/>
      </c>
      <c r="F2009">
        <f>IFERROR(VLOOKUP(B2009,'Pre-Summary'!$AL$6:$AQ$13,6,FALSE),F2008)</f>
        <v>5.9405263157894746E-2</v>
      </c>
      <c r="G2009" t="str">
        <f>IFERROR(VLOOKUP(B2009,'Pre-Summary'!$AE$6:$AJ$85,3,FALSE),"")</f>
        <v/>
      </c>
      <c r="H2009" t="str">
        <f>IFERROR(VLOOKUP(B2009,'Pre-Summary'!$AE$6:$AJ$85,4,FALSE),"")</f>
        <v/>
      </c>
      <c r="I2009" t="str">
        <f>IFERROR(VLOOKUP(B2009,'Pre-Summary'!$AE$6:$AJ$85,5,FALSE),"")</f>
        <v/>
      </c>
      <c r="J2009" s="45" t="str">
        <f>IFERROR(VLOOKUP(B2009,'Pre-Summary'!$AE$6:$AJ$85,6, FALSE),"")</f>
        <v/>
      </c>
      <c r="K2009" s="45" t="str">
        <f>IFERROR(VLOOKUP(B2009,'Pre-Summary'!$DE$6:$DG$61,3,FALSE),"")</f>
        <v/>
      </c>
      <c r="L2009" s="45" t="str">
        <f>IFERROR(VLOOKUP(B2009,'Pre-Summary'!$CU$6:$CW$36,3,FALSE),"")</f>
        <v/>
      </c>
      <c r="M2009" s="45" t="str">
        <f>IFERROR(VLOOKUP(B2009,'Pre-Summary'!$BW$6:$BY$58,2,FALSE),"")</f>
        <v/>
      </c>
      <c r="N2009" s="45" t="str">
        <f>IFERROR(VLOOKUP(B2009,'Pre-Summary'!$CD$6:$CF$64,2,FALSE),"")</f>
        <v/>
      </c>
      <c r="O2009" s="99">
        <f>IFERROR(VLOOKUP(B2009,'Pre-Summary'!$BO$6:$BQ$48,3, FALSE),O2008)</f>
        <v>1.3480000000000001</v>
      </c>
      <c r="P2009" s="99">
        <f>IFERROR(VLOOKUP(B2009,'Pre-Summary'!$BS$6:$BU$35,3,FALSE),P2008)</f>
        <v>0.33700000000000002</v>
      </c>
      <c r="Q2009" s="54">
        <f t="shared" si="93"/>
        <v>4</v>
      </c>
      <c r="R2009" s="53">
        <f>IFERROR(VLOOKUP(B2009,'Pre-Summary'!$BG$6:$BM$44,7,FALSE),R2010)</f>
        <v>6.2037889674656205E-2</v>
      </c>
      <c r="S2009" s="53">
        <f>IFERROR(VLOOKUP(B2009,'Pre-Summary'!$BG$6:$BM$44,6,FALSE),S2010)</f>
        <v>5.8400630293479062E-2</v>
      </c>
      <c r="T2009" s="45" t="str">
        <f>IFERROR(VLOOKUP(B2009,'Pre-Summary'!$Y$6:$AC$83, 3,FALSE),"")</f>
        <v/>
      </c>
      <c r="U2009" s="45" t="str">
        <f>IFERROR(VLOOKUP(B2009,'Pre-Summary'!$Y$6:$AC$83, 4,FALSE),"")</f>
        <v/>
      </c>
      <c r="V2009" t="str">
        <f>IFERROR(VLOOKUP(B2009,'Pre-Summary'!$Y$6:$AC$83, 5,FALSE),"")</f>
        <v/>
      </c>
      <c r="W2009" s="45" t="str">
        <f>IFERROR(VLOOKUP(B2009,'Pre-Summary'!$Y$6:$AD$83,6,FALSE),"")</f>
        <v/>
      </c>
      <c r="X2009" t="str">
        <f>IFERROR(VLOOKUP('Pre-Summary'!$DB$6:$DD$63,3,FALSE),"")</f>
        <v/>
      </c>
      <c r="Y2009" t="str">
        <f>IFERROR(VLOOKUP(B2009,'Pre-Summary'!$CR$6:$CT$36,3,FALSE),"")</f>
        <v/>
      </c>
      <c r="Z2009" s="45" t="str">
        <f>IFERROR(VLOOKUP(B2009,'Pre-Summary'!$BZ$6:$CB$63,2,FALSE),"")</f>
        <v/>
      </c>
      <c r="AA2009" s="45" t="str">
        <f>IFERROR(VLOOKUP(B2009,'Pre-Summary'!$CG$6:$CI$70,2,FALSE),"")</f>
        <v/>
      </c>
      <c r="AB2009" s="99">
        <f>IFERROR(VLOOKUP(B2009,'Pre-Summary'!$A$6:$P$178,9,FALSE),AB2010)</f>
        <v>0.34645337423384143</v>
      </c>
      <c r="AC2009" s="10">
        <f>IFERROR(VLOOKUP(Summary!B2009,'Pre-Summary'!$A$6:$P$184,5, FALSE)/100,AC2010)</f>
        <v>0.95914699999999997</v>
      </c>
      <c r="AD2009" s="10">
        <f>IFERROR(VLOOKUP(Summary!B2009,'Pre-Summary'!$A$6:$P$184,3, FALSE)/100,AD2010)</f>
        <v>3.5208666666666666E-2</v>
      </c>
      <c r="AE2009" s="10">
        <f>IFERROR(VLOOKUP(Summary!B2009,'Pre-Summary'!$A$6:$P$184,7, FALSE)/100,AE2010)</f>
        <v>5.6443333333333337E-3</v>
      </c>
      <c r="AF2009" s="99">
        <f t="shared" si="94"/>
        <v>1.2198161368941245E-2</v>
      </c>
      <c r="AG2009" s="99">
        <f t="shared" si="95"/>
        <v>1.9554983286338792E-3</v>
      </c>
      <c r="AH2009" s="10" t="str">
        <f>IFERROR(VLOOKUP(B2009,'Pre-Summary'!$AZ$6:$BE$65,3,FALSE),"")</f>
        <v/>
      </c>
      <c r="AI2009" s="10" t="str">
        <f>IFERROR(VLOOKUP(B2009,'Pre-Summary'!$AZ$6:$BE$65,5,FALSE),"")</f>
        <v/>
      </c>
      <c r="AJ2009" s="10" t="str">
        <f>IFERROR(VLOOKUP(B2009,'Pre-Summary'!$AZ$6:$BE$65,4,FALSE),"")</f>
        <v/>
      </c>
      <c r="AK2009" s="10" t="str">
        <f>IFERROR(VLOOKUP(B2009,'Pre-Summary'!$AZ$6:$BE$65,6,FALSE),"")</f>
        <v/>
      </c>
      <c r="AL2009" s="10" t="str">
        <f>IFERROR(VLOOKUP(B2009,'Pre-Summary'!$BG$6:$BL$44,3,FALSE),"")</f>
        <v/>
      </c>
      <c r="AM2009" s="10" t="str">
        <f>IFERROR(VLOOKUP(B2009,'Pre-Summary'!$BG$6:$BL$44,4,FALSE),"")</f>
        <v/>
      </c>
    </row>
    <row r="2010" spans="2:39" ht="15" customHeight="1" x14ac:dyDescent="0.3">
      <c r="B2010">
        <v>200.7</v>
      </c>
      <c r="C2010" t="str">
        <f>IFERROR(VLOOKUP(B2010,'Pre-Summary'!$DI$6:$DM$23,4,FALSE),"")</f>
        <v/>
      </c>
      <c r="D2010" s="10" t="str">
        <f>IFERROR(VLOOKUP(B2010,'Pre-Summary'!$AT$6:$AX$14,5,FALSE),D2009)</f>
        <v>Wolfe v3: went back to modified wolfe + EDTA and switched CuSO4 to CUCl2</v>
      </c>
      <c r="E2010" s="10" t="str">
        <f>IFERROR(VLOOKUP(B2010,'Pre-Summary'!$AT$6:$AX$15,4,FALSE),"")</f>
        <v/>
      </c>
      <c r="F2010">
        <f>IFERROR(VLOOKUP(B2010,'Pre-Summary'!$AL$6:$AQ$13,6,FALSE),F2009)</f>
        <v>5.9405263157894746E-2</v>
      </c>
      <c r="G2010" t="str">
        <f>IFERROR(VLOOKUP(B2010,'Pre-Summary'!$AE$6:$AJ$85,3,FALSE),"")</f>
        <v/>
      </c>
      <c r="H2010" t="str">
        <f>IFERROR(VLOOKUP(B2010,'Pre-Summary'!$AE$6:$AJ$85,4,FALSE),"")</f>
        <v/>
      </c>
      <c r="I2010" t="str">
        <f>IFERROR(VLOOKUP(B2010,'Pre-Summary'!$AE$6:$AJ$85,5,FALSE),"")</f>
        <v/>
      </c>
      <c r="J2010" s="45" t="str">
        <f>IFERROR(VLOOKUP(B2010,'Pre-Summary'!$AE$6:$AJ$85,6, FALSE),"")</f>
        <v/>
      </c>
      <c r="K2010" s="45" t="str">
        <f>IFERROR(VLOOKUP(B2010,'Pre-Summary'!$DE$6:$DG$61,3,FALSE),"")</f>
        <v/>
      </c>
      <c r="L2010" s="45" t="str">
        <f>IFERROR(VLOOKUP(B2010,'Pre-Summary'!$CU$6:$CW$36,3,FALSE),"")</f>
        <v/>
      </c>
      <c r="M2010" s="45" t="str">
        <f>IFERROR(VLOOKUP(B2010,'Pre-Summary'!$BW$6:$BY$58,2,FALSE),"")</f>
        <v/>
      </c>
      <c r="N2010" s="45" t="str">
        <f>IFERROR(VLOOKUP(B2010,'Pre-Summary'!$CD$6:$CF$64,2,FALSE),"")</f>
        <v/>
      </c>
      <c r="O2010" s="99">
        <f>IFERROR(VLOOKUP(B2010,'Pre-Summary'!$BO$6:$BQ$48,3, FALSE),O2009)</f>
        <v>1.3480000000000001</v>
      </c>
      <c r="P2010" s="99">
        <f>IFERROR(VLOOKUP(B2010,'Pre-Summary'!$BS$6:$BU$35,3,FALSE),P2009)</f>
        <v>0.33700000000000002</v>
      </c>
      <c r="Q2010" s="54">
        <f t="shared" si="93"/>
        <v>4</v>
      </c>
      <c r="R2010" s="53">
        <f>IFERROR(VLOOKUP(B2010,'Pre-Summary'!$BG$6:$BM$44,7,FALSE),R2011)</f>
        <v>6.2037889674656205E-2</v>
      </c>
      <c r="S2010" s="53">
        <f>IFERROR(VLOOKUP(B2010,'Pre-Summary'!$BG$6:$BM$44,6,FALSE),S2011)</f>
        <v>5.8400630293479062E-2</v>
      </c>
      <c r="T2010" s="45" t="str">
        <f>IFERROR(VLOOKUP(B2010,'Pre-Summary'!$Y$6:$AC$83, 3,FALSE),"")</f>
        <v/>
      </c>
      <c r="U2010" s="45" t="str">
        <f>IFERROR(VLOOKUP(B2010,'Pre-Summary'!$Y$6:$AC$83, 4,FALSE),"")</f>
        <v/>
      </c>
      <c r="V2010" t="str">
        <f>IFERROR(VLOOKUP(B2010,'Pre-Summary'!$Y$6:$AC$83, 5,FALSE),"")</f>
        <v/>
      </c>
      <c r="W2010" s="45" t="str">
        <f>IFERROR(VLOOKUP(B2010,'Pre-Summary'!$Y$6:$AD$83,6,FALSE),"")</f>
        <v/>
      </c>
      <c r="X2010" t="str">
        <f>IFERROR(VLOOKUP('Pre-Summary'!$DB$6:$DD$63,3,FALSE),"")</f>
        <v/>
      </c>
      <c r="Y2010" t="str">
        <f>IFERROR(VLOOKUP(B2010,'Pre-Summary'!$CR$6:$CT$36,3,FALSE),"")</f>
        <v/>
      </c>
      <c r="Z2010" s="45" t="str">
        <f>IFERROR(VLOOKUP(B2010,'Pre-Summary'!$BZ$6:$CB$63,2,FALSE),"")</f>
        <v/>
      </c>
      <c r="AA2010" s="45" t="str">
        <f>IFERROR(VLOOKUP(B2010,'Pre-Summary'!$CG$6:$CI$70,2,FALSE),"")</f>
        <v/>
      </c>
      <c r="AB2010" s="99">
        <f>IFERROR(VLOOKUP(B2010,'Pre-Summary'!$A$6:$P$178,9,FALSE),AB2011)</f>
        <v>0.34645337423384143</v>
      </c>
      <c r="AC2010" s="10">
        <f>IFERROR(VLOOKUP(Summary!B2010,'Pre-Summary'!$A$6:$P$184,5, FALSE)/100,AC2011)</f>
        <v>0.95914699999999997</v>
      </c>
      <c r="AD2010" s="10">
        <f>IFERROR(VLOOKUP(Summary!B2010,'Pre-Summary'!$A$6:$P$184,3, FALSE)/100,AD2011)</f>
        <v>3.5208666666666666E-2</v>
      </c>
      <c r="AE2010" s="10">
        <f>IFERROR(VLOOKUP(Summary!B2010,'Pre-Summary'!$A$6:$P$184,7, FALSE)/100,AE2011)</f>
        <v>5.6443333333333337E-3</v>
      </c>
      <c r="AF2010" s="99">
        <f t="shared" si="94"/>
        <v>1.2198161368941245E-2</v>
      </c>
      <c r="AG2010" s="99">
        <f t="shared" si="95"/>
        <v>1.9554983286338792E-3</v>
      </c>
      <c r="AH2010" s="10" t="str">
        <f>IFERROR(VLOOKUP(B2010,'Pre-Summary'!$AZ$6:$BE$65,3,FALSE),"")</f>
        <v/>
      </c>
      <c r="AI2010" s="10" t="str">
        <f>IFERROR(VLOOKUP(B2010,'Pre-Summary'!$AZ$6:$BE$65,5,FALSE),"")</f>
        <v/>
      </c>
      <c r="AJ2010" s="10" t="str">
        <f>IFERROR(VLOOKUP(B2010,'Pre-Summary'!$AZ$6:$BE$65,4,FALSE),"")</f>
        <v/>
      </c>
      <c r="AK2010" s="10" t="str">
        <f>IFERROR(VLOOKUP(B2010,'Pre-Summary'!$AZ$6:$BE$65,6,FALSE),"")</f>
        <v/>
      </c>
      <c r="AL2010" s="10" t="str">
        <f>IFERROR(VLOOKUP(B2010,'Pre-Summary'!$BG$6:$BL$44,3,FALSE),"")</f>
        <v/>
      </c>
      <c r="AM2010" s="10" t="str">
        <f>IFERROR(VLOOKUP(B2010,'Pre-Summary'!$BG$6:$BL$44,4,FALSE),"")</f>
        <v/>
      </c>
    </row>
    <row r="2011" spans="2:39" ht="15" customHeight="1" x14ac:dyDescent="0.3">
      <c r="B2011">
        <v>200.8</v>
      </c>
      <c r="C2011" t="str">
        <f>IFERROR(VLOOKUP(B2011,'Pre-Summary'!$DI$6:$DM$23,4,FALSE),"")</f>
        <v/>
      </c>
      <c r="D2011" s="10" t="str">
        <f>IFERROR(VLOOKUP(B2011,'Pre-Summary'!$AT$6:$AX$14,5,FALSE),D2010)</f>
        <v>Wolfe v3: went back to modified wolfe + EDTA and switched CuSO4 to CUCl2</v>
      </c>
      <c r="E2011" s="10" t="str">
        <f>IFERROR(VLOOKUP(B2011,'Pre-Summary'!$AT$6:$AX$15,4,FALSE),"")</f>
        <v/>
      </c>
      <c r="F2011">
        <f>IFERROR(VLOOKUP(B2011,'Pre-Summary'!$AL$6:$AQ$13,6,FALSE),F2010)</f>
        <v>5.9405263157894746E-2</v>
      </c>
      <c r="G2011" t="str">
        <f>IFERROR(VLOOKUP(B2011,'Pre-Summary'!$AE$6:$AJ$85,3,FALSE),"")</f>
        <v/>
      </c>
      <c r="H2011" t="str">
        <f>IFERROR(VLOOKUP(B2011,'Pre-Summary'!$AE$6:$AJ$85,4,FALSE),"")</f>
        <v/>
      </c>
      <c r="I2011" t="str">
        <f>IFERROR(VLOOKUP(B2011,'Pre-Summary'!$AE$6:$AJ$85,5,FALSE),"")</f>
        <v/>
      </c>
      <c r="J2011" s="45" t="str">
        <f>IFERROR(VLOOKUP(B2011,'Pre-Summary'!$AE$6:$AJ$85,6, FALSE),"")</f>
        <v/>
      </c>
      <c r="K2011" s="45" t="str">
        <f>IFERROR(VLOOKUP(B2011,'Pre-Summary'!$DE$6:$DG$61,3,FALSE),"")</f>
        <v/>
      </c>
      <c r="L2011" s="45" t="str">
        <f>IFERROR(VLOOKUP(B2011,'Pre-Summary'!$CU$6:$CW$36,3,FALSE),"")</f>
        <v/>
      </c>
      <c r="M2011" s="45" t="str">
        <f>IFERROR(VLOOKUP(B2011,'Pre-Summary'!$BW$6:$BY$58,2,FALSE),"")</f>
        <v/>
      </c>
      <c r="N2011" s="45" t="str">
        <f>IFERROR(VLOOKUP(B2011,'Pre-Summary'!$CD$6:$CF$64,2,FALSE),"")</f>
        <v/>
      </c>
      <c r="O2011" s="99">
        <f>IFERROR(VLOOKUP(B2011,'Pre-Summary'!$BO$6:$BQ$48,3, FALSE),O2010)</f>
        <v>1.3480000000000001</v>
      </c>
      <c r="P2011" s="99">
        <f>IFERROR(VLOOKUP(B2011,'Pre-Summary'!$BS$6:$BU$35,3,FALSE),P2010)</f>
        <v>0.33700000000000002</v>
      </c>
      <c r="Q2011" s="54">
        <f t="shared" si="93"/>
        <v>4</v>
      </c>
      <c r="R2011" s="53">
        <f>IFERROR(VLOOKUP(B2011,'Pre-Summary'!$BG$6:$BM$44,7,FALSE),R2012)</f>
        <v>6.2037889674656205E-2</v>
      </c>
      <c r="S2011" s="53">
        <f>IFERROR(VLOOKUP(B2011,'Pre-Summary'!$BG$6:$BM$44,6,FALSE),S2012)</f>
        <v>5.8400630293479062E-2</v>
      </c>
      <c r="T2011" s="45" t="str">
        <f>IFERROR(VLOOKUP(B2011,'Pre-Summary'!$Y$6:$AC$83, 3,FALSE),"")</f>
        <v/>
      </c>
      <c r="U2011" s="45" t="str">
        <f>IFERROR(VLOOKUP(B2011,'Pre-Summary'!$Y$6:$AC$83, 4,FALSE),"")</f>
        <v/>
      </c>
      <c r="V2011" t="str">
        <f>IFERROR(VLOOKUP(B2011,'Pre-Summary'!$Y$6:$AC$83, 5,FALSE),"")</f>
        <v/>
      </c>
      <c r="W2011" s="45" t="str">
        <f>IFERROR(VLOOKUP(B2011,'Pre-Summary'!$Y$6:$AD$83,6,FALSE),"")</f>
        <v/>
      </c>
      <c r="X2011" t="str">
        <f>IFERROR(VLOOKUP('Pre-Summary'!$DB$6:$DD$63,3,FALSE),"")</f>
        <v/>
      </c>
      <c r="Y2011" t="str">
        <f>IFERROR(VLOOKUP(B2011,'Pre-Summary'!$CR$6:$CT$36,3,FALSE),"")</f>
        <v/>
      </c>
      <c r="Z2011" s="45" t="str">
        <f>IFERROR(VLOOKUP(B2011,'Pre-Summary'!$BZ$6:$CB$63,2,FALSE),"")</f>
        <v/>
      </c>
      <c r="AA2011" s="45" t="str">
        <f>IFERROR(VLOOKUP(B2011,'Pre-Summary'!$CG$6:$CI$70,2,FALSE),"")</f>
        <v/>
      </c>
      <c r="AB2011" s="99">
        <f>IFERROR(VLOOKUP(B2011,'Pre-Summary'!$A$6:$P$178,9,FALSE),AB2012)</f>
        <v>0.34645337423384143</v>
      </c>
      <c r="AC2011" s="10">
        <f>IFERROR(VLOOKUP(Summary!B2011,'Pre-Summary'!$A$6:$P$184,5, FALSE)/100,AC2012)</f>
        <v>0.95914699999999997</v>
      </c>
      <c r="AD2011" s="10">
        <f>IFERROR(VLOOKUP(Summary!B2011,'Pre-Summary'!$A$6:$P$184,3, FALSE)/100,AD2012)</f>
        <v>3.5208666666666666E-2</v>
      </c>
      <c r="AE2011" s="10">
        <f>IFERROR(VLOOKUP(Summary!B2011,'Pre-Summary'!$A$6:$P$184,7, FALSE)/100,AE2012)</f>
        <v>5.6443333333333337E-3</v>
      </c>
      <c r="AF2011" s="99">
        <f t="shared" si="94"/>
        <v>1.2198161368941245E-2</v>
      </c>
      <c r="AG2011" s="99">
        <f t="shared" si="95"/>
        <v>1.9554983286338792E-3</v>
      </c>
      <c r="AH2011" s="10" t="str">
        <f>IFERROR(VLOOKUP(B2011,'Pre-Summary'!$AZ$6:$BE$65,3,FALSE),"")</f>
        <v/>
      </c>
      <c r="AI2011" s="10" t="str">
        <f>IFERROR(VLOOKUP(B2011,'Pre-Summary'!$AZ$6:$BE$65,5,FALSE),"")</f>
        <v/>
      </c>
      <c r="AJ2011" s="10" t="str">
        <f>IFERROR(VLOOKUP(B2011,'Pre-Summary'!$AZ$6:$BE$65,4,FALSE),"")</f>
        <v/>
      </c>
      <c r="AK2011" s="10" t="str">
        <f>IFERROR(VLOOKUP(B2011,'Pre-Summary'!$AZ$6:$BE$65,6,FALSE),"")</f>
        <v/>
      </c>
      <c r="AL2011" s="10" t="str">
        <f>IFERROR(VLOOKUP(B2011,'Pre-Summary'!$BG$6:$BL$44,3,FALSE),"")</f>
        <v/>
      </c>
      <c r="AM2011" s="10" t="str">
        <f>IFERROR(VLOOKUP(B2011,'Pre-Summary'!$BG$6:$BL$44,4,FALSE),"")</f>
        <v/>
      </c>
    </row>
    <row r="2012" spans="2:39" ht="15" customHeight="1" x14ac:dyDescent="0.3">
      <c r="B2012">
        <v>200.9</v>
      </c>
      <c r="C2012" t="str">
        <f>IFERROR(VLOOKUP(B2012,'Pre-Summary'!$DI$6:$DM$23,4,FALSE),"")</f>
        <v/>
      </c>
      <c r="D2012" s="10" t="str">
        <f>IFERROR(VLOOKUP(B2012,'Pre-Summary'!$AT$6:$AX$14,5,FALSE),D2011)</f>
        <v>Wolfe v3: went back to modified wolfe + EDTA and switched CuSO4 to CUCl2</v>
      </c>
      <c r="E2012" s="10" t="str">
        <f>IFERROR(VLOOKUP(B2012,'Pre-Summary'!$AT$6:$AX$15,4,FALSE),"")</f>
        <v/>
      </c>
      <c r="F2012">
        <f>IFERROR(VLOOKUP(B2012,'Pre-Summary'!$AL$6:$AQ$13,6,FALSE),F2011)</f>
        <v>5.9405263157894746E-2</v>
      </c>
      <c r="G2012" t="str">
        <f>IFERROR(VLOOKUP(B2012,'Pre-Summary'!$AE$6:$AJ$85,3,FALSE),"")</f>
        <v/>
      </c>
      <c r="H2012" t="str">
        <f>IFERROR(VLOOKUP(B2012,'Pre-Summary'!$AE$6:$AJ$85,4,FALSE),"")</f>
        <v/>
      </c>
      <c r="I2012" t="str">
        <f>IFERROR(VLOOKUP(B2012,'Pre-Summary'!$AE$6:$AJ$85,5,FALSE),"")</f>
        <v/>
      </c>
      <c r="J2012" s="45" t="str">
        <f>IFERROR(VLOOKUP(B2012,'Pre-Summary'!$AE$6:$AJ$85,6, FALSE),"")</f>
        <v/>
      </c>
      <c r="K2012" s="45" t="str">
        <f>IFERROR(VLOOKUP(B2012,'Pre-Summary'!$DE$6:$DG$61,3,FALSE),"")</f>
        <v/>
      </c>
      <c r="L2012" s="45" t="str">
        <f>IFERROR(VLOOKUP(B2012,'Pre-Summary'!$CU$6:$CW$36,3,FALSE),"")</f>
        <v/>
      </c>
      <c r="M2012" s="45" t="str">
        <f>IFERROR(VLOOKUP(B2012,'Pre-Summary'!$BW$6:$BY$58,2,FALSE),"")</f>
        <v/>
      </c>
      <c r="N2012" s="45" t="str">
        <f>IFERROR(VLOOKUP(B2012,'Pre-Summary'!$CD$6:$CF$64,2,FALSE),"")</f>
        <v/>
      </c>
      <c r="O2012" s="99">
        <f>IFERROR(VLOOKUP(B2012,'Pre-Summary'!$BO$6:$BQ$48,3, FALSE),O2011)</f>
        <v>1.3480000000000001</v>
      </c>
      <c r="P2012" s="99">
        <f>IFERROR(VLOOKUP(B2012,'Pre-Summary'!$BS$6:$BU$35,3,FALSE),P2011)</f>
        <v>0.33700000000000002</v>
      </c>
      <c r="Q2012" s="54">
        <f t="shared" si="93"/>
        <v>4</v>
      </c>
      <c r="R2012" s="53">
        <f>IFERROR(VLOOKUP(B2012,'Pre-Summary'!$BG$6:$BM$44,7,FALSE),R2013)</f>
        <v>6.2037889674656205E-2</v>
      </c>
      <c r="S2012" s="53">
        <f>IFERROR(VLOOKUP(B2012,'Pre-Summary'!$BG$6:$BM$44,6,FALSE),S2013)</f>
        <v>5.8400630293479062E-2</v>
      </c>
      <c r="T2012" s="45" t="str">
        <f>IFERROR(VLOOKUP(B2012,'Pre-Summary'!$Y$6:$AC$83, 3,FALSE),"")</f>
        <v/>
      </c>
      <c r="U2012" s="45" t="str">
        <f>IFERROR(VLOOKUP(B2012,'Pre-Summary'!$Y$6:$AC$83, 4,FALSE),"")</f>
        <v/>
      </c>
      <c r="V2012" t="str">
        <f>IFERROR(VLOOKUP(B2012,'Pre-Summary'!$Y$6:$AC$83, 5,FALSE),"")</f>
        <v/>
      </c>
      <c r="W2012" s="45" t="str">
        <f>IFERROR(VLOOKUP(B2012,'Pre-Summary'!$Y$6:$AD$83,6,FALSE),"")</f>
        <v/>
      </c>
      <c r="X2012" t="str">
        <f>IFERROR(VLOOKUP('Pre-Summary'!$DB$6:$DD$63,3,FALSE),"")</f>
        <v/>
      </c>
      <c r="Y2012" t="str">
        <f>IFERROR(VLOOKUP(B2012,'Pre-Summary'!$CR$6:$CT$36,3,FALSE),"")</f>
        <v/>
      </c>
      <c r="Z2012" s="45" t="str">
        <f>IFERROR(VLOOKUP(B2012,'Pre-Summary'!$BZ$6:$CB$63,2,FALSE),"")</f>
        <v/>
      </c>
      <c r="AA2012" s="45" t="str">
        <f>IFERROR(VLOOKUP(B2012,'Pre-Summary'!$CG$6:$CI$70,2,FALSE),"")</f>
        <v/>
      </c>
      <c r="AB2012" s="99">
        <f>IFERROR(VLOOKUP(B2012,'Pre-Summary'!$A$6:$P$178,9,FALSE),AB2013)</f>
        <v>0.34645337423384143</v>
      </c>
      <c r="AC2012" s="10">
        <f>IFERROR(VLOOKUP(Summary!B2012,'Pre-Summary'!$A$6:$P$184,5, FALSE)/100,AC2013)</f>
        <v>0.95914699999999997</v>
      </c>
      <c r="AD2012" s="10">
        <f>IFERROR(VLOOKUP(Summary!B2012,'Pre-Summary'!$A$6:$P$184,3, FALSE)/100,AD2013)</f>
        <v>3.5208666666666666E-2</v>
      </c>
      <c r="AE2012" s="10">
        <f>IFERROR(VLOOKUP(Summary!B2012,'Pre-Summary'!$A$6:$P$184,7, FALSE)/100,AE2013)</f>
        <v>5.6443333333333337E-3</v>
      </c>
      <c r="AF2012" s="99">
        <f t="shared" si="94"/>
        <v>1.2198161368941245E-2</v>
      </c>
      <c r="AG2012" s="99">
        <f t="shared" si="95"/>
        <v>1.9554983286338792E-3</v>
      </c>
      <c r="AH2012" s="10" t="str">
        <f>IFERROR(VLOOKUP(B2012,'Pre-Summary'!$AZ$6:$BE$65,3,FALSE),"")</f>
        <v/>
      </c>
      <c r="AI2012" s="10" t="str">
        <f>IFERROR(VLOOKUP(B2012,'Pre-Summary'!$AZ$6:$BE$65,5,FALSE),"")</f>
        <v/>
      </c>
      <c r="AJ2012" s="10" t="str">
        <f>IFERROR(VLOOKUP(B2012,'Pre-Summary'!$AZ$6:$BE$65,4,FALSE),"")</f>
        <v/>
      </c>
      <c r="AK2012" s="10" t="str">
        <f>IFERROR(VLOOKUP(B2012,'Pre-Summary'!$AZ$6:$BE$65,6,FALSE),"")</f>
        <v/>
      </c>
      <c r="AL2012" s="10" t="str">
        <f>IFERROR(VLOOKUP(B2012,'Pre-Summary'!$BG$6:$BL$44,3,FALSE),"")</f>
        <v/>
      </c>
      <c r="AM2012" s="10" t="str">
        <f>IFERROR(VLOOKUP(B2012,'Pre-Summary'!$BG$6:$BL$44,4,FALSE),"")</f>
        <v/>
      </c>
    </row>
    <row r="2013" spans="2:39" ht="15" customHeight="1" x14ac:dyDescent="0.3">
      <c r="B2013">
        <v>201</v>
      </c>
      <c r="C2013" t="str">
        <f>IFERROR(VLOOKUP(B2013,'Pre-Summary'!$DI$6:$DM$23,4,FALSE),"")</f>
        <v/>
      </c>
      <c r="D2013" s="10" t="str">
        <f>IFERROR(VLOOKUP(B2013,'Pre-Summary'!$AT$6:$AX$14,5,FALSE),D2012)</f>
        <v>Wolfe v3: went back to modified wolfe + EDTA and switched CuSO4 to CUCl2</v>
      </c>
      <c r="E2013" s="10" t="str">
        <f>IFERROR(VLOOKUP(B2013,'Pre-Summary'!$AT$6:$AX$15,4,FALSE),"")</f>
        <v/>
      </c>
      <c r="F2013">
        <f>IFERROR(VLOOKUP(B2013,'Pre-Summary'!$AL$6:$AQ$13,6,FALSE),F2012)</f>
        <v>5.9405263157894746E-2</v>
      </c>
      <c r="G2013" t="str">
        <f>IFERROR(VLOOKUP(B2013,'Pre-Summary'!$AE$6:$AJ$85,3,FALSE),"")</f>
        <v/>
      </c>
      <c r="H2013" t="str">
        <f>IFERROR(VLOOKUP(B2013,'Pre-Summary'!$AE$6:$AJ$85,4,FALSE),"")</f>
        <v/>
      </c>
      <c r="I2013" t="str">
        <f>IFERROR(VLOOKUP(B2013,'Pre-Summary'!$AE$6:$AJ$85,5,FALSE),"")</f>
        <v/>
      </c>
      <c r="J2013" s="45" t="str">
        <f>IFERROR(VLOOKUP(B2013,'Pre-Summary'!$AE$6:$AJ$85,6, FALSE),"")</f>
        <v/>
      </c>
      <c r="K2013" s="45" t="str">
        <f>IFERROR(VLOOKUP(B2013,'Pre-Summary'!$DE$6:$DG$61,3,FALSE),"")</f>
        <v/>
      </c>
      <c r="L2013" s="45" t="str">
        <f>IFERROR(VLOOKUP(B2013,'Pre-Summary'!$CU$6:$CW$36,3,FALSE),"")</f>
        <v/>
      </c>
      <c r="M2013" s="45" t="str">
        <f>IFERROR(VLOOKUP(B2013,'Pre-Summary'!$BW$6:$BY$58,2,FALSE),"")</f>
        <v/>
      </c>
      <c r="N2013" s="45" t="str">
        <f>IFERROR(VLOOKUP(B2013,'Pre-Summary'!$CD$6:$CF$64,2,FALSE),"")</f>
        <v/>
      </c>
      <c r="O2013" s="99">
        <f>IFERROR(VLOOKUP(B2013,'Pre-Summary'!$BO$6:$BQ$48,3, FALSE),O2012)</f>
        <v>1.3480000000000001</v>
      </c>
      <c r="P2013" s="99">
        <f>IFERROR(VLOOKUP(B2013,'Pre-Summary'!$BS$6:$BU$35,3,FALSE),P2012)</f>
        <v>0.33700000000000002</v>
      </c>
      <c r="Q2013" s="54">
        <f t="shared" si="93"/>
        <v>4</v>
      </c>
      <c r="R2013" s="53">
        <f>IFERROR(VLOOKUP(B2013,'Pre-Summary'!$BG$6:$BM$44,7,FALSE),R2014)</f>
        <v>6.2037889674656205E-2</v>
      </c>
      <c r="S2013" s="53">
        <f>IFERROR(VLOOKUP(B2013,'Pre-Summary'!$BG$6:$BM$44,6,FALSE),S2014)</f>
        <v>5.8400630293479062E-2</v>
      </c>
      <c r="T2013" s="45" t="str">
        <f>IFERROR(VLOOKUP(B2013,'Pre-Summary'!$Y$6:$AC$83, 3,FALSE),"")</f>
        <v/>
      </c>
      <c r="U2013" s="45" t="str">
        <f>IFERROR(VLOOKUP(B2013,'Pre-Summary'!$Y$6:$AC$83, 4,FALSE),"")</f>
        <v/>
      </c>
      <c r="V2013" t="str">
        <f>IFERROR(VLOOKUP(B2013,'Pre-Summary'!$Y$6:$AC$83, 5,FALSE),"")</f>
        <v/>
      </c>
      <c r="W2013" s="45" t="str">
        <f>IFERROR(VLOOKUP(B2013,'Pre-Summary'!$Y$6:$AD$83,6,FALSE),"")</f>
        <v/>
      </c>
      <c r="X2013" t="str">
        <f>IFERROR(VLOOKUP('Pre-Summary'!$DB$6:$DD$63,3,FALSE),"")</f>
        <v/>
      </c>
      <c r="Y2013" t="str">
        <f>IFERROR(VLOOKUP(B2013,'Pre-Summary'!$CR$6:$CT$36,3,FALSE),"")</f>
        <v/>
      </c>
      <c r="Z2013" s="45" t="str">
        <f>IFERROR(VLOOKUP(B2013,'Pre-Summary'!$BZ$6:$CB$63,2,FALSE),"")</f>
        <v/>
      </c>
      <c r="AA2013" s="45" t="str">
        <f>IFERROR(VLOOKUP(B2013,'Pre-Summary'!$CG$6:$CI$70,2,FALSE),"")</f>
        <v/>
      </c>
      <c r="AB2013" s="99">
        <f>IFERROR(VLOOKUP(B2013,'Pre-Summary'!$A$6:$P$178,9,FALSE),AB2014)</f>
        <v>0.34645337423384143</v>
      </c>
      <c r="AC2013" s="10">
        <f>IFERROR(VLOOKUP(Summary!B2013,'Pre-Summary'!$A$6:$P$184,5, FALSE)/100,AC2014)</f>
        <v>0.95914699999999997</v>
      </c>
      <c r="AD2013" s="10">
        <f>IFERROR(VLOOKUP(Summary!B2013,'Pre-Summary'!$A$6:$P$184,3, FALSE)/100,AD2014)</f>
        <v>3.5208666666666666E-2</v>
      </c>
      <c r="AE2013" s="10">
        <f>IFERROR(VLOOKUP(Summary!B2013,'Pre-Summary'!$A$6:$P$184,7, FALSE)/100,AE2014)</f>
        <v>5.6443333333333337E-3</v>
      </c>
      <c r="AF2013" s="99">
        <f t="shared" si="94"/>
        <v>1.2198161368941245E-2</v>
      </c>
      <c r="AG2013" s="99">
        <f t="shared" si="95"/>
        <v>1.9554983286338792E-3</v>
      </c>
      <c r="AH2013" s="10" t="str">
        <f>IFERROR(VLOOKUP(B2013,'Pre-Summary'!$AZ$6:$BE$65,3,FALSE),"")</f>
        <v/>
      </c>
      <c r="AI2013" s="10" t="str">
        <f>IFERROR(VLOOKUP(B2013,'Pre-Summary'!$AZ$6:$BE$65,5,FALSE),"")</f>
        <v/>
      </c>
      <c r="AJ2013" s="10" t="str">
        <f>IFERROR(VLOOKUP(B2013,'Pre-Summary'!$AZ$6:$BE$65,4,FALSE),"")</f>
        <v/>
      </c>
      <c r="AK2013" s="10" t="str">
        <f>IFERROR(VLOOKUP(B2013,'Pre-Summary'!$AZ$6:$BE$65,6,FALSE),"")</f>
        <v/>
      </c>
      <c r="AL2013" s="10" t="str">
        <f>IFERROR(VLOOKUP(B2013,'Pre-Summary'!$BG$6:$BL$44,3,FALSE),"")</f>
        <v/>
      </c>
      <c r="AM2013" s="10" t="str">
        <f>IFERROR(VLOOKUP(B2013,'Pre-Summary'!$BG$6:$BL$44,4,FALSE),"")</f>
        <v/>
      </c>
    </row>
    <row r="2014" spans="2:39" ht="15" customHeight="1" x14ac:dyDescent="0.3">
      <c r="B2014">
        <v>201.1</v>
      </c>
      <c r="C2014" t="str">
        <f>IFERROR(VLOOKUP(B2014,'Pre-Summary'!$DI$6:$DM$23,4,FALSE),"")</f>
        <v/>
      </c>
      <c r="D2014" s="10" t="str">
        <f>IFERROR(VLOOKUP(B2014,'Pre-Summary'!$AT$6:$AX$14,5,FALSE),D2013)</f>
        <v>Wolfe v3: went back to modified wolfe + EDTA and switched CuSO4 to CUCl2</v>
      </c>
      <c r="E2014" s="10" t="str">
        <f>IFERROR(VLOOKUP(B2014,'Pre-Summary'!$AT$6:$AX$15,4,FALSE),"")</f>
        <v/>
      </c>
      <c r="F2014">
        <f>IFERROR(VLOOKUP(B2014,'Pre-Summary'!$AL$6:$AQ$13,6,FALSE),F2013)</f>
        <v>5.9405263157894746E-2</v>
      </c>
      <c r="G2014" t="str">
        <f>IFERROR(VLOOKUP(B2014,'Pre-Summary'!$AE$6:$AJ$85,3,FALSE),"")</f>
        <v/>
      </c>
      <c r="H2014" t="str">
        <f>IFERROR(VLOOKUP(B2014,'Pre-Summary'!$AE$6:$AJ$85,4,FALSE),"")</f>
        <v/>
      </c>
      <c r="I2014" t="str">
        <f>IFERROR(VLOOKUP(B2014,'Pre-Summary'!$AE$6:$AJ$85,5,FALSE),"")</f>
        <v/>
      </c>
      <c r="J2014" s="45" t="str">
        <f>IFERROR(VLOOKUP(B2014,'Pre-Summary'!$AE$6:$AJ$85,6, FALSE),"")</f>
        <v/>
      </c>
      <c r="K2014" s="45" t="str">
        <f>IFERROR(VLOOKUP(B2014,'Pre-Summary'!$DE$6:$DG$61,3,FALSE),"")</f>
        <v/>
      </c>
      <c r="L2014" s="45" t="str">
        <f>IFERROR(VLOOKUP(B2014,'Pre-Summary'!$CU$6:$CW$36,3,FALSE),"")</f>
        <v/>
      </c>
      <c r="M2014" s="45" t="str">
        <f>IFERROR(VLOOKUP(B2014,'Pre-Summary'!$BW$6:$BY$58,2,FALSE),"")</f>
        <v/>
      </c>
      <c r="N2014" s="45" t="str">
        <f>IFERROR(VLOOKUP(B2014,'Pre-Summary'!$CD$6:$CF$64,2,FALSE),"")</f>
        <v/>
      </c>
      <c r="O2014" s="99">
        <f>IFERROR(VLOOKUP(B2014,'Pre-Summary'!$BO$6:$BQ$48,3, FALSE),O2013)</f>
        <v>1.3480000000000001</v>
      </c>
      <c r="P2014" s="99">
        <f>IFERROR(VLOOKUP(B2014,'Pre-Summary'!$BS$6:$BU$35,3,FALSE),P2013)</f>
        <v>0.33700000000000002</v>
      </c>
      <c r="Q2014" s="54">
        <f t="shared" si="93"/>
        <v>4</v>
      </c>
      <c r="R2014" s="53">
        <f>IFERROR(VLOOKUP(B2014,'Pre-Summary'!$BG$6:$BM$44,7,FALSE),R2015)</f>
        <v>6.2037889674656205E-2</v>
      </c>
      <c r="S2014" s="53">
        <f>IFERROR(VLOOKUP(B2014,'Pre-Summary'!$BG$6:$BM$44,6,FALSE),S2015)</f>
        <v>5.8400630293479062E-2</v>
      </c>
      <c r="T2014" s="45" t="str">
        <f>IFERROR(VLOOKUP(B2014,'Pre-Summary'!$Y$6:$AC$83, 3,FALSE),"")</f>
        <v/>
      </c>
      <c r="U2014" s="45" t="str">
        <f>IFERROR(VLOOKUP(B2014,'Pre-Summary'!$Y$6:$AC$83, 4,FALSE),"")</f>
        <v/>
      </c>
      <c r="V2014" t="str">
        <f>IFERROR(VLOOKUP(B2014,'Pre-Summary'!$Y$6:$AC$83, 5,FALSE),"")</f>
        <v/>
      </c>
      <c r="W2014" s="45" t="str">
        <f>IFERROR(VLOOKUP(B2014,'Pre-Summary'!$Y$6:$AD$83,6,FALSE),"")</f>
        <v/>
      </c>
      <c r="X2014" t="str">
        <f>IFERROR(VLOOKUP('Pre-Summary'!$DB$6:$DD$63,3,FALSE),"")</f>
        <v/>
      </c>
      <c r="Y2014" t="str">
        <f>IFERROR(VLOOKUP(B2014,'Pre-Summary'!$CR$6:$CT$36,3,FALSE),"")</f>
        <v/>
      </c>
      <c r="Z2014" s="45" t="str">
        <f>IFERROR(VLOOKUP(B2014,'Pre-Summary'!$BZ$6:$CB$63,2,FALSE),"")</f>
        <v/>
      </c>
      <c r="AA2014" s="45" t="str">
        <f>IFERROR(VLOOKUP(B2014,'Pre-Summary'!$CG$6:$CI$70,2,FALSE),"")</f>
        <v/>
      </c>
      <c r="AB2014" s="99">
        <f>IFERROR(VLOOKUP(B2014,'Pre-Summary'!$A$6:$P$178,9,FALSE),AB2015)</f>
        <v>0.34645337423384143</v>
      </c>
      <c r="AC2014" s="10">
        <f>IFERROR(VLOOKUP(Summary!B2014,'Pre-Summary'!$A$6:$P$184,5, FALSE)/100,AC2015)</f>
        <v>0.95914699999999997</v>
      </c>
      <c r="AD2014" s="10">
        <f>IFERROR(VLOOKUP(Summary!B2014,'Pre-Summary'!$A$6:$P$184,3, FALSE)/100,AD2015)</f>
        <v>3.5208666666666666E-2</v>
      </c>
      <c r="AE2014" s="10">
        <f>IFERROR(VLOOKUP(Summary!B2014,'Pre-Summary'!$A$6:$P$184,7, FALSE)/100,AE2015)</f>
        <v>5.6443333333333337E-3</v>
      </c>
      <c r="AF2014" s="99">
        <f t="shared" si="94"/>
        <v>1.2198161368941245E-2</v>
      </c>
      <c r="AG2014" s="99">
        <f t="shared" si="95"/>
        <v>1.9554983286338792E-3</v>
      </c>
      <c r="AH2014" s="10" t="str">
        <f>IFERROR(VLOOKUP(B2014,'Pre-Summary'!$AZ$6:$BE$65,3,FALSE),"")</f>
        <v/>
      </c>
      <c r="AI2014" s="10" t="str">
        <f>IFERROR(VLOOKUP(B2014,'Pre-Summary'!$AZ$6:$BE$65,5,FALSE),"")</f>
        <v/>
      </c>
      <c r="AJ2014" s="10" t="str">
        <f>IFERROR(VLOOKUP(B2014,'Pre-Summary'!$AZ$6:$BE$65,4,FALSE),"")</f>
        <v/>
      </c>
      <c r="AK2014" s="10" t="str">
        <f>IFERROR(VLOOKUP(B2014,'Pre-Summary'!$AZ$6:$BE$65,6,FALSE),"")</f>
        <v/>
      </c>
      <c r="AL2014" s="10" t="str">
        <f>IFERROR(VLOOKUP(B2014,'Pre-Summary'!$BG$6:$BL$44,3,FALSE),"")</f>
        <v/>
      </c>
      <c r="AM2014" s="10" t="str">
        <f>IFERROR(VLOOKUP(B2014,'Pre-Summary'!$BG$6:$BL$44,4,FALSE),"")</f>
        <v/>
      </c>
    </row>
    <row r="2015" spans="2:39" ht="15" customHeight="1" x14ac:dyDescent="0.3">
      <c r="B2015">
        <v>201.2</v>
      </c>
      <c r="C2015" t="str">
        <f>IFERROR(VLOOKUP(B2015,'Pre-Summary'!$DI$6:$DM$23,4,FALSE),"")</f>
        <v/>
      </c>
      <c r="D2015" s="10" t="str">
        <f>IFERROR(VLOOKUP(B2015,'Pre-Summary'!$AT$6:$AX$14,5,FALSE),D2014)</f>
        <v>Wolfe v3: went back to modified wolfe + EDTA and switched CuSO4 to CUCl2</v>
      </c>
      <c r="E2015" s="10" t="str">
        <f>IFERROR(VLOOKUP(B2015,'Pre-Summary'!$AT$6:$AX$15,4,FALSE),"")</f>
        <v/>
      </c>
      <c r="F2015">
        <f>IFERROR(VLOOKUP(B2015,'Pre-Summary'!$AL$6:$AQ$13,6,FALSE),F2014)</f>
        <v>5.9405263157894746E-2</v>
      </c>
      <c r="G2015" t="str">
        <f>IFERROR(VLOOKUP(B2015,'Pre-Summary'!$AE$6:$AJ$85,3,FALSE),"")</f>
        <v/>
      </c>
      <c r="H2015" t="str">
        <f>IFERROR(VLOOKUP(B2015,'Pre-Summary'!$AE$6:$AJ$85,4,FALSE),"")</f>
        <v/>
      </c>
      <c r="I2015" t="str">
        <f>IFERROR(VLOOKUP(B2015,'Pre-Summary'!$AE$6:$AJ$85,5,FALSE),"")</f>
        <v/>
      </c>
      <c r="J2015" s="45" t="str">
        <f>IFERROR(VLOOKUP(B2015,'Pre-Summary'!$AE$6:$AJ$85,6, FALSE),"")</f>
        <v/>
      </c>
      <c r="K2015" s="45" t="str">
        <f>IFERROR(VLOOKUP(B2015,'Pre-Summary'!$DE$6:$DG$61,3,FALSE),"")</f>
        <v/>
      </c>
      <c r="L2015" s="45" t="str">
        <f>IFERROR(VLOOKUP(B2015,'Pre-Summary'!$CU$6:$CW$36,3,FALSE),"")</f>
        <v/>
      </c>
      <c r="M2015" s="45" t="str">
        <f>IFERROR(VLOOKUP(B2015,'Pre-Summary'!$BW$6:$BY$58,2,FALSE),"")</f>
        <v/>
      </c>
      <c r="N2015" s="45" t="str">
        <f>IFERROR(VLOOKUP(B2015,'Pre-Summary'!$CD$6:$CF$64,2,FALSE),"")</f>
        <v/>
      </c>
      <c r="O2015" s="99">
        <f>IFERROR(VLOOKUP(B2015,'Pre-Summary'!$BO$6:$BQ$48,3, FALSE),O2014)</f>
        <v>1.3480000000000001</v>
      </c>
      <c r="P2015" s="99">
        <f>IFERROR(VLOOKUP(B2015,'Pre-Summary'!$BS$6:$BU$35,3,FALSE),P2014)</f>
        <v>0.33700000000000002</v>
      </c>
      <c r="Q2015" s="54">
        <f t="shared" si="93"/>
        <v>4</v>
      </c>
      <c r="R2015" s="53">
        <f>IFERROR(VLOOKUP(B2015,'Pre-Summary'!$BG$6:$BM$44,7,FALSE),R2016)</f>
        <v>6.2037889674656205E-2</v>
      </c>
      <c r="S2015" s="53">
        <f>IFERROR(VLOOKUP(B2015,'Pre-Summary'!$BG$6:$BM$44,6,FALSE),S2016)</f>
        <v>5.8400630293479062E-2</v>
      </c>
      <c r="T2015" s="45" t="str">
        <f>IFERROR(VLOOKUP(B2015,'Pre-Summary'!$Y$6:$AC$83, 3,FALSE),"")</f>
        <v/>
      </c>
      <c r="U2015" s="45" t="str">
        <f>IFERROR(VLOOKUP(B2015,'Pre-Summary'!$Y$6:$AC$83, 4,FALSE),"")</f>
        <v/>
      </c>
      <c r="V2015" t="str">
        <f>IFERROR(VLOOKUP(B2015,'Pre-Summary'!$Y$6:$AC$83, 5,FALSE),"")</f>
        <v/>
      </c>
      <c r="W2015" s="45" t="str">
        <f>IFERROR(VLOOKUP(B2015,'Pre-Summary'!$Y$6:$AD$83,6,FALSE),"")</f>
        <v/>
      </c>
      <c r="X2015" t="str">
        <f>IFERROR(VLOOKUP('Pre-Summary'!$DB$6:$DD$63,3,FALSE),"")</f>
        <v/>
      </c>
      <c r="Y2015" t="str">
        <f>IFERROR(VLOOKUP(B2015,'Pre-Summary'!$CR$6:$CT$36,3,FALSE),"")</f>
        <v/>
      </c>
      <c r="Z2015" s="45" t="str">
        <f>IFERROR(VLOOKUP(B2015,'Pre-Summary'!$BZ$6:$CB$63,2,FALSE),"")</f>
        <v/>
      </c>
      <c r="AA2015" s="45" t="str">
        <f>IFERROR(VLOOKUP(B2015,'Pre-Summary'!$CG$6:$CI$70,2,FALSE),"")</f>
        <v/>
      </c>
      <c r="AB2015" s="99">
        <f>IFERROR(VLOOKUP(B2015,'Pre-Summary'!$A$6:$P$178,9,FALSE),AB2016)</f>
        <v>0.34645337423384143</v>
      </c>
      <c r="AC2015" s="10">
        <f>IFERROR(VLOOKUP(Summary!B2015,'Pre-Summary'!$A$6:$P$184,5, FALSE)/100,AC2016)</f>
        <v>0.95914699999999997</v>
      </c>
      <c r="AD2015" s="10">
        <f>IFERROR(VLOOKUP(Summary!B2015,'Pre-Summary'!$A$6:$P$184,3, FALSE)/100,AD2016)</f>
        <v>3.5208666666666666E-2</v>
      </c>
      <c r="AE2015" s="10">
        <f>IFERROR(VLOOKUP(Summary!B2015,'Pre-Summary'!$A$6:$P$184,7, FALSE)/100,AE2016)</f>
        <v>5.6443333333333337E-3</v>
      </c>
      <c r="AF2015" s="99">
        <f t="shared" si="94"/>
        <v>1.2198161368941245E-2</v>
      </c>
      <c r="AG2015" s="99">
        <f t="shared" si="95"/>
        <v>1.9554983286338792E-3</v>
      </c>
      <c r="AH2015" s="10" t="str">
        <f>IFERROR(VLOOKUP(B2015,'Pre-Summary'!$AZ$6:$BE$65,3,FALSE),"")</f>
        <v/>
      </c>
      <c r="AI2015" s="10" t="str">
        <f>IFERROR(VLOOKUP(B2015,'Pre-Summary'!$AZ$6:$BE$65,5,FALSE),"")</f>
        <v/>
      </c>
      <c r="AJ2015" s="10" t="str">
        <f>IFERROR(VLOOKUP(B2015,'Pre-Summary'!$AZ$6:$BE$65,4,FALSE),"")</f>
        <v/>
      </c>
      <c r="AK2015" s="10" t="str">
        <f>IFERROR(VLOOKUP(B2015,'Pre-Summary'!$AZ$6:$BE$65,6,FALSE),"")</f>
        <v/>
      </c>
      <c r="AL2015" s="10" t="str">
        <f>IFERROR(VLOOKUP(B2015,'Pre-Summary'!$BG$6:$BL$44,3,FALSE),"")</f>
        <v/>
      </c>
      <c r="AM2015" s="10" t="str">
        <f>IFERROR(VLOOKUP(B2015,'Pre-Summary'!$BG$6:$BL$44,4,FALSE),"")</f>
        <v/>
      </c>
    </row>
    <row r="2016" spans="2:39" ht="15" customHeight="1" x14ac:dyDescent="0.3">
      <c r="B2016">
        <v>201.3</v>
      </c>
      <c r="C2016" t="str">
        <f>IFERROR(VLOOKUP(B2016,'Pre-Summary'!$DI$6:$DM$23,4,FALSE),"")</f>
        <v/>
      </c>
      <c r="D2016" s="10" t="str">
        <f>IFERROR(VLOOKUP(B2016,'Pre-Summary'!$AT$6:$AX$14,5,FALSE),D2015)</f>
        <v>Wolfe v3: went back to modified wolfe + EDTA and switched CuSO4 to CUCl2</v>
      </c>
      <c r="E2016" s="10" t="str">
        <f>IFERROR(VLOOKUP(B2016,'Pre-Summary'!$AT$6:$AX$15,4,FALSE),"")</f>
        <v/>
      </c>
      <c r="F2016">
        <f>IFERROR(VLOOKUP(B2016,'Pre-Summary'!$AL$6:$AQ$13,6,FALSE),F2015)</f>
        <v>5.9405263157894746E-2</v>
      </c>
      <c r="G2016" t="str">
        <f>IFERROR(VLOOKUP(B2016,'Pre-Summary'!$AE$6:$AJ$85,3,FALSE),"")</f>
        <v/>
      </c>
      <c r="H2016" t="str">
        <f>IFERROR(VLOOKUP(B2016,'Pre-Summary'!$AE$6:$AJ$85,4,FALSE),"")</f>
        <v/>
      </c>
      <c r="I2016" t="str">
        <f>IFERROR(VLOOKUP(B2016,'Pre-Summary'!$AE$6:$AJ$85,5,FALSE),"")</f>
        <v/>
      </c>
      <c r="J2016" s="45" t="str">
        <f>IFERROR(VLOOKUP(B2016,'Pre-Summary'!$AE$6:$AJ$85,6, FALSE),"")</f>
        <v/>
      </c>
      <c r="K2016" s="45" t="str">
        <f>IFERROR(VLOOKUP(B2016,'Pre-Summary'!$DE$6:$DG$61,3,FALSE),"")</f>
        <v/>
      </c>
      <c r="L2016" s="45" t="str">
        <f>IFERROR(VLOOKUP(B2016,'Pre-Summary'!$CU$6:$CW$36,3,FALSE),"")</f>
        <v/>
      </c>
      <c r="M2016" s="45" t="str">
        <f>IFERROR(VLOOKUP(B2016,'Pre-Summary'!$BW$6:$BY$58,2,FALSE),"")</f>
        <v/>
      </c>
      <c r="N2016" s="45" t="str">
        <f>IFERROR(VLOOKUP(B2016,'Pre-Summary'!$CD$6:$CF$64,2,FALSE),"")</f>
        <v/>
      </c>
      <c r="O2016" s="99">
        <f>IFERROR(VLOOKUP(B2016,'Pre-Summary'!$BO$6:$BQ$48,3, FALSE),O2015)</f>
        <v>1.3480000000000001</v>
      </c>
      <c r="P2016" s="99">
        <f>IFERROR(VLOOKUP(B2016,'Pre-Summary'!$BS$6:$BU$35,3,FALSE),P2015)</f>
        <v>0.33700000000000002</v>
      </c>
      <c r="Q2016" s="54">
        <f t="shared" si="93"/>
        <v>4</v>
      </c>
      <c r="R2016" s="53">
        <f>IFERROR(VLOOKUP(B2016,'Pre-Summary'!$BG$6:$BM$44,7,FALSE),R2017)</f>
        <v>6.2037889674656205E-2</v>
      </c>
      <c r="S2016" s="53">
        <f>IFERROR(VLOOKUP(B2016,'Pre-Summary'!$BG$6:$BM$44,6,FALSE),S2017)</f>
        <v>5.8400630293479062E-2</v>
      </c>
      <c r="T2016" s="45" t="str">
        <f>IFERROR(VLOOKUP(B2016,'Pre-Summary'!$Y$6:$AC$83, 3,FALSE),"")</f>
        <v/>
      </c>
      <c r="U2016" s="45" t="str">
        <f>IFERROR(VLOOKUP(B2016,'Pre-Summary'!$Y$6:$AC$83, 4,FALSE),"")</f>
        <v/>
      </c>
      <c r="V2016" t="str">
        <f>IFERROR(VLOOKUP(B2016,'Pre-Summary'!$Y$6:$AC$83, 5,FALSE),"")</f>
        <v/>
      </c>
      <c r="W2016" s="45" t="str">
        <f>IFERROR(VLOOKUP(B2016,'Pre-Summary'!$Y$6:$AD$83,6,FALSE),"")</f>
        <v/>
      </c>
      <c r="X2016" t="str">
        <f>IFERROR(VLOOKUP('Pre-Summary'!$DB$6:$DD$63,3,FALSE),"")</f>
        <v/>
      </c>
      <c r="Y2016" t="str">
        <f>IFERROR(VLOOKUP(B2016,'Pre-Summary'!$CR$6:$CT$36,3,FALSE),"")</f>
        <v/>
      </c>
      <c r="Z2016" s="45" t="str">
        <f>IFERROR(VLOOKUP(B2016,'Pre-Summary'!$BZ$6:$CB$63,2,FALSE),"")</f>
        <v/>
      </c>
      <c r="AA2016" s="45" t="str">
        <f>IFERROR(VLOOKUP(B2016,'Pre-Summary'!$CG$6:$CI$70,2,FALSE),"")</f>
        <v/>
      </c>
      <c r="AB2016" s="99">
        <f>IFERROR(VLOOKUP(B2016,'Pre-Summary'!$A$6:$P$178,9,FALSE),AB2017)</f>
        <v>0.34645337423384143</v>
      </c>
      <c r="AC2016" s="10">
        <f>IFERROR(VLOOKUP(Summary!B2016,'Pre-Summary'!$A$6:$P$184,5, FALSE)/100,AC2017)</f>
        <v>0.95914699999999997</v>
      </c>
      <c r="AD2016" s="10">
        <f>IFERROR(VLOOKUP(Summary!B2016,'Pre-Summary'!$A$6:$P$184,3, FALSE)/100,AD2017)</f>
        <v>3.5208666666666666E-2</v>
      </c>
      <c r="AE2016" s="10">
        <f>IFERROR(VLOOKUP(Summary!B2016,'Pre-Summary'!$A$6:$P$184,7, FALSE)/100,AE2017)</f>
        <v>5.6443333333333337E-3</v>
      </c>
      <c r="AF2016" s="99">
        <f t="shared" si="94"/>
        <v>1.2198161368941245E-2</v>
      </c>
      <c r="AG2016" s="99">
        <f t="shared" si="95"/>
        <v>1.9554983286338792E-3</v>
      </c>
      <c r="AH2016" s="10" t="str">
        <f>IFERROR(VLOOKUP(B2016,'Pre-Summary'!$AZ$6:$BE$65,3,FALSE),"")</f>
        <v/>
      </c>
      <c r="AI2016" s="10" t="str">
        <f>IFERROR(VLOOKUP(B2016,'Pre-Summary'!$AZ$6:$BE$65,5,FALSE),"")</f>
        <v/>
      </c>
      <c r="AJ2016" s="10" t="str">
        <f>IFERROR(VLOOKUP(B2016,'Pre-Summary'!$AZ$6:$BE$65,4,FALSE),"")</f>
        <v/>
      </c>
      <c r="AK2016" s="10" t="str">
        <f>IFERROR(VLOOKUP(B2016,'Pre-Summary'!$AZ$6:$BE$65,6,FALSE),"")</f>
        <v/>
      </c>
      <c r="AL2016" s="10" t="str">
        <f>IFERROR(VLOOKUP(B2016,'Pre-Summary'!$BG$6:$BL$44,3,FALSE),"")</f>
        <v/>
      </c>
      <c r="AM2016" s="10" t="str">
        <f>IFERROR(VLOOKUP(B2016,'Pre-Summary'!$BG$6:$BL$44,4,FALSE),"")</f>
        <v/>
      </c>
    </row>
    <row r="2017" spans="2:39" ht="15" customHeight="1" x14ac:dyDescent="0.3">
      <c r="B2017">
        <v>201.4</v>
      </c>
      <c r="C2017" t="str">
        <f>IFERROR(VLOOKUP(B2017,'Pre-Summary'!$DI$6:$DM$23,4,FALSE),"")</f>
        <v/>
      </c>
      <c r="D2017" s="10" t="str">
        <f>IFERROR(VLOOKUP(B2017,'Pre-Summary'!$AT$6:$AX$14,5,FALSE),D2016)</f>
        <v>Wolfe v3: went back to modified wolfe + EDTA and switched CuSO4 to CUCl2</v>
      </c>
      <c r="E2017" s="10" t="str">
        <f>IFERROR(VLOOKUP(B2017,'Pre-Summary'!$AT$6:$AX$15,4,FALSE),"")</f>
        <v/>
      </c>
      <c r="F2017">
        <f>IFERROR(VLOOKUP(B2017,'Pre-Summary'!$AL$6:$AQ$13,6,FALSE),F2016)</f>
        <v>5.9405263157894746E-2</v>
      </c>
      <c r="G2017" t="str">
        <f>IFERROR(VLOOKUP(B2017,'Pre-Summary'!$AE$6:$AJ$85,3,FALSE),"")</f>
        <v/>
      </c>
      <c r="H2017" t="str">
        <f>IFERROR(VLOOKUP(B2017,'Pre-Summary'!$AE$6:$AJ$85,4,FALSE),"")</f>
        <v/>
      </c>
      <c r="I2017" t="str">
        <f>IFERROR(VLOOKUP(B2017,'Pre-Summary'!$AE$6:$AJ$85,5,FALSE),"")</f>
        <v/>
      </c>
      <c r="J2017" s="45" t="str">
        <f>IFERROR(VLOOKUP(B2017,'Pre-Summary'!$AE$6:$AJ$85,6, FALSE),"")</f>
        <v/>
      </c>
      <c r="K2017" s="45" t="str">
        <f>IFERROR(VLOOKUP(B2017,'Pre-Summary'!$DE$6:$DG$61,3,FALSE),"")</f>
        <v/>
      </c>
      <c r="L2017" s="45" t="str">
        <f>IFERROR(VLOOKUP(B2017,'Pre-Summary'!$CU$6:$CW$36,3,FALSE),"")</f>
        <v/>
      </c>
      <c r="M2017" s="45" t="str">
        <f>IFERROR(VLOOKUP(B2017,'Pre-Summary'!$BW$6:$BY$58,2,FALSE),"")</f>
        <v/>
      </c>
      <c r="N2017" s="45" t="str">
        <f>IFERROR(VLOOKUP(B2017,'Pre-Summary'!$CD$6:$CF$64,2,FALSE),"")</f>
        <v/>
      </c>
      <c r="O2017" s="99">
        <f>IFERROR(VLOOKUP(B2017,'Pre-Summary'!$BO$6:$BQ$48,3, FALSE),O2016)</f>
        <v>1.3480000000000001</v>
      </c>
      <c r="P2017" s="99">
        <f>IFERROR(VLOOKUP(B2017,'Pre-Summary'!$BS$6:$BU$35,3,FALSE),P2016)</f>
        <v>0.33700000000000002</v>
      </c>
      <c r="Q2017" s="54">
        <f t="shared" si="93"/>
        <v>4</v>
      </c>
      <c r="R2017" s="53">
        <f>IFERROR(VLOOKUP(B2017,'Pre-Summary'!$BG$6:$BM$44,7,FALSE),R2018)</f>
        <v>6.2037889674656205E-2</v>
      </c>
      <c r="S2017" s="53">
        <f>IFERROR(VLOOKUP(B2017,'Pre-Summary'!$BG$6:$BM$44,6,FALSE),S2018)</f>
        <v>5.8400630293479062E-2</v>
      </c>
      <c r="T2017" s="45" t="str">
        <f>IFERROR(VLOOKUP(B2017,'Pre-Summary'!$Y$6:$AC$83, 3,FALSE),"")</f>
        <v/>
      </c>
      <c r="U2017" s="45" t="str">
        <f>IFERROR(VLOOKUP(B2017,'Pre-Summary'!$Y$6:$AC$83, 4,FALSE),"")</f>
        <v/>
      </c>
      <c r="V2017" t="str">
        <f>IFERROR(VLOOKUP(B2017,'Pre-Summary'!$Y$6:$AC$83, 5,FALSE),"")</f>
        <v/>
      </c>
      <c r="W2017" s="45" t="str">
        <f>IFERROR(VLOOKUP(B2017,'Pre-Summary'!$Y$6:$AD$83,6,FALSE),"")</f>
        <v/>
      </c>
      <c r="X2017" t="str">
        <f>IFERROR(VLOOKUP('Pre-Summary'!$DB$6:$DD$63,3,FALSE),"")</f>
        <v/>
      </c>
      <c r="Y2017" t="str">
        <f>IFERROR(VLOOKUP(B2017,'Pre-Summary'!$CR$6:$CT$36,3,FALSE),"")</f>
        <v/>
      </c>
      <c r="Z2017" s="45" t="str">
        <f>IFERROR(VLOOKUP(B2017,'Pre-Summary'!$BZ$6:$CB$63,2,FALSE),"")</f>
        <v/>
      </c>
      <c r="AA2017" s="45" t="str">
        <f>IFERROR(VLOOKUP(B2017,'Pre-Summary'!$CG$6:$CI$70,2,FALSE),"")</f>
        <v/>
      </c>
      <c r="AB2017" s="99">
        <f>IFERROR(VLOOKUP(B2017,'Pre-Summary'!$A$6:$P$178,9,FALSE),AB2018)</f>
        <v>0.34645337423384143</v>
      </c>
      <c r="AC2017" s="10">
        <f>IFERROR(VLOOKUP(Summary!B2017,'Pre-Summary'!$A$6:$P$184,5, FALSE)/100,AC2018)</f>
        <v>0.95914699999999997</v>
      </c>
      <c r="AD2017" s="10">
        <f>IFERROR(VLOOKUP(Summary!B2017,'Pre-Summary'!$A$6:$P$184,3, FALSE)/100,AD2018)</f>
        <v>3.5208666666666666E-2</v>
      </c>
      <c r="AE2017" s="10">
        <f>IFERROR(VLOOKUP(Summary!B2017,'Pre-Summary'!$A$6:$P$184,7, FALSE)/100,AE2018)</f>
        <v>5.6443333333333337E-3</v>
      </c>
      <c r="AF2017" s="99">
        <f t="shared" si="94"/>
        <v>1.2198161368941245E-2</v>
      </c>
      <c r="AG2017" s="99">
        <f t="shared" si="95"/>
        <v>1.9554983286338792E-3</v>
      </c>
      <c r="AH2017" s="10" t="str">
        <f>IFERROR(VLOOKUP(B2017,'Pre-Summary'!$AZ$6:$BE$65,3,FALSE),"")</f>
        <v/>
      </c>
      <c r="AI2017" s="10" t="str">
        <f>IFERROR(VLOOKUP(B2017,'Pre-Summary'!$AZ$6:$BE$65,5,FALSE),"")</f>
        <v/>
      </c>
      <c r="AJ2017" s="10" t="str">
        <f>IFERROR(VLOOKUP(B2017,'Pre-Summary'!$AZ$6:$BE$65,4,FALSE),"")</f>
        <v/>
      </c>
      <c r="AK2017" s="10" t="str">
        <f>IFERROR(VLOOKUP(B2017,'Pre-Summary'!$AZ$6:$BE$65,6,FALSE),"")</f>
        <v/>
      </c>
      <c r="AL2017" s="10" t="str">
        <f>IFERROR(VLOOKUP(B2017,'Pre-Summary'!$BG$6:$BL$44,3,FALSE),"")</f>
        <v/>
      </c>
      <c r="AM2017" s="10" t="str">
        <f>IFERROR(VLOOKUP(B2017,'Pre-Summary'!$BG$6:$BL$44,4,FALSE),"")</f>
        <v/>
      </c>
    </row>
    <row r="2018" spans="2:39" ht="15" customHeight="1" x14ac:dyDescent="0.3">
      <c r="B2018">
        <v>201.5</v>
      </c>
      <c r="C2018" t="str">
        <f>IFERROR(VLOOKUP(B2018,'Pre-Summary'!$DI$6:$DM$23,4,FALSE),"")</f>
        <v/>
      </c>
      <c r="D2018" s="10" t="str">
        <f>IFERROR(VLOOKUP(B2018,'Pre-Summary'!$AT$6:$AX$14,5,FALSE),D2017)</f>
        <v>Wolfe v3: went back to modified wolfe + EDTA and switched CuSO4 to CUCl2</v>
      </c>
      <c r="E2018" s="10" t="str">
        <f>IFERROR(VLOOKUP(B2018,'Pre-Summary'!$AT$6:$AX$15,4,FALSE),"")</f>
        <v/>
      </c>
      <c r="F2018">
        <f>IFERROR(VLOOKUP(B2018,'Pre-Summary'!$AL$6:$AQ$13,6,FALSE),F2017)</f>
        <v>5.9405263157894746E-2</v>
      </c>
      <c r="G2018">
        <f>IFERROR(VLOOKUP(B2018,'Pre-Summary'!$AE$6:$AJ$85,3,FALSE),"")</f>
        <v>113.6596</v>
      </c>
      <c r="H2018">
        <f>IFERROR(VLOOKUP(B2018,'Pre-Summary'!$AE$6:$AJ$85,4,FALSE),"")</f>
        <v>0.70506199999999997</v>
      </c>
      <c r="I2018" t="str">
        <f>IFERROR(VLOOKUP(B2018,'Pre-Summary'!$AE$6:$AJ$85,5,FALSE),"")</f>
        <v/>
      </c>
      <c r="J2018" s="45">
        <f>IFERROR(VLOOKUP(B2018,'Pre-Summary'!$AE$6:$AJ$85,6, FALSE),"")</f>
        <v>121.27479319999999</v>
      </c>
      <c r="K2018" s="45" t="str">
        <f>IFERROR(VLOOKUP(B2018,'Pre-Summary'!$DE$6:$DG$61,3,FALSE),"")</f>
        <v/>
      </c>
      <c r="L2018" s="45" t="str">
        <f>IFERROR(VLOOKUP(B2018,'Pre-Summary'!$CU$6:$CW$36,3,FALSE),"")</f>
        <v/>
      </c>
      <c r="M2018" s="45" t="str">
        <f>IFERROR(VLOOKUP(B2018,'Pre-Summary'!$BW$6:$BY$58,2,FALSE),"")</f>
        <v/>
      </c>
      <c r="N2018" s="45">
        <f>IFERROR(VLOOKUP(B2018,'Pre-Summary'!$CD$6:$CF$64,2,FALSE),"")</f>
        <v>207.17566571462231</v>
      </c>
      <c r="O2018" s="99">
        <f>IFERROR(VLOOKUP(B2018,'Pre-Summary'!$BO$6:$BQ$48,3, FALSE),O2017)</f>
        <v>1.3480000000000001</v>
      </c>
      <c r="P2018" s="99">
        <f>IFERROR(VLOOKUP(B2018,'Pre-Summary'!$BS$6:$BU$35,3,FALSE),P2017)</f>
        <v>0.33700000000000002</v>
      </c>
      <c r="Q2018" s="54">
        <f t="shared" si="93"/>
        <v>4</v>
      </c>
      <c r="R2018" s="53">
        <f>IFERROR(VLOOKUP(B2018,'Pre-Summary'!$BG$6:$BM$44,7,FALSE),R2019)</f>
        <v>6.2037889674656205E-2</v>
      </c>
      <c r="S2018" s="53">
        <f>IFERROR(VLOOKUP(B2018,'Pre-Summary'!$BG$6:$BM$44,6,FALSE),S2019)</f>
        <v>5.8400630293479062E-2</v>
      </c>
      <c r="T2018" s="45">
        <f>IFERROR(VLOOKUP(B2018,'Pre-Summary'!$Y$6:$AC$83, 3,FALSE),"")</f>
        <v>3.5234740000000002</v>
      </c>
      <c r="U2018" s="45">
        <f>IFERROR(VLOOKUP(B2018,'Pre-Summary'!$Y$6:$AC$83, 4,FALSE),"")</f>
        <v>6.9357069999999998</v>
      </c>
      <c r="V2018" t="str">
        <f>IFERROR(VLOOKUP(B2018,'Pre-Summary'!$Y$6:$AC$83, 5,FALSE),"")</f>
        <v/>
      </c>
      <c r="W2018" s="45">
        <f>IFERROR(VLOOKUP(B2018,'Pre-Summary'!$Y$6:$AD$83,6,FALSE),"")</f>
        <v>3.7595467579999999</v>
      </c>
      <c r="X2018" t="str">
        <f>IFERROR(VLOOKUP('Pre-Summary'!$DB$6:$DD$63,3,FALSE),"")</f>
        <v/>
      </c>
      <c r="Y2018" t="str">
        <f>IFERROR(VLOOKUP(B2018,'Pre-Summary'!$CR$6:$CT$36,3,FALSE),"")</f>
        <v/>
      </c>
      <c r="Z2018" s="45" t="str">
        <f>IFERROR(VLOOKUP(B2018,'Pre-Summary'!$BZ$6:$CB$63,2,FALSE),"")</f>
        <v/>
      </c>
      <c r="AA2018" s="45" t="str">
        <f>IFERROR(VLOOKUP(B2018,'Pre-Summary'!$CG$6:$CI$70,2,FALSE),"")</f>
        <v/>
      </c>
      <c r="AB2018" s="99">
        <f>IFERROR(VLOOKUP(B2018,'Pre-Summary'!$A$6:$P$178,9,FALSE),AB2019)</f>
        <v>0.34645337423384143</v>
      </c>
      <c r="AC2018" s="10">
        <f>IFERROR(VLOOKUP(Summary!B2018,'Pre-Summary'!$A$6:$P$184,5, FALSE)/100,AC2019)</f>
        <v>0.95914699999999997</v>
      </c>
      <c r="AD2018" s="10">
        <f>IFERROR(VLOOKUP(Summary!B2018,'Pre-Summary'!$A$6:$P$184,3, FALSE)/100,AD2019)</f>
        <v>3.5208666666666666E-2</v>
      </c>
      <c r="AE2018" s="10">
        <f>IFERROR(VLOOKUP(Summary!B2018,'Pre-Summary'!$A$6:$P$184,7, FALSE)/100,AE2019)</f>
        <v>5.6443333333333337E-3</v>
      </c>
      <c r="AF2018" s="99">
        <f t="shared" si="94"/>
        <v>1.2198161368941245E-2</v>
      </c>
      <c r="AG2018" s="99">
        <f t="shared" si="95"/>
        <v>1.9554983286338792E-3</v>
      </c>
      <c r="AH2018" s="10" t="str">
        <f>IFERROR(VLOOKUP(B2018,'Pre-Summary'!$AZ$6:$BE$65,3,FALSE),"")</f>
        <v/>
      </c>
      <c r="AI2018" s="10" t="str">
        <f>IFERROR(VLOOKUP(B2018,'Pre-Summary'!$AZ$6:$BE$65,5,FALSE),"")</f>
        <v/>
      </c>
      <c r="AJ2018" s="10" t="str">
        <f>IFERROR(VLOOKUP(B2018,'Pre-Summary'!$AZ$6:$BE$65,4,FALSE),"")</f>
        <v/>
      </c>
      <c r="AK2018" s="10" t="str">
        <f>IFERROR(VLOOKUP(B2018,'Pre-Summary'!$AZ$6:$BE$65,6,FALSE),"")</f>
        <v/>
      </c>
      <c r="AL2018" s="10" t="str">
        <f>IFERROR(VLOOKUP(B2018,'Pre-Summary'!$BG$6:$BL$44,3,FALSE),"")</f>
        <v/>
      </c>
      <c r="AM2018" s="10" t="str">
        <f>IFERROR(VLOOKUP(B2018,'Pre-Summary'!$BG$6:$BL$44,4,FALSE),"")</f>
        <v/>
      </c>
    </row>
    <row r="2019" spans="2:39" ht="15" customHeight="1" x14ac:dyDescent="0.3">
      <c r="B2019">
        <v>201.6</v>
      </c>
      <c r="C2019" t="str">
        <f>IFERROR(VLOOKUP(B2019,'Pre-Summary'!$DI$6:$DM$23,4,FALSE),"")</f>
        <v/>
      </c>
      <c r="D2019" s="10" t="str">
        <f>IFERROR(VLOOKUP(B2019,'Pre-Summary'!$AT$6:$AX$14,5,FALSE),D2018)</f>
        <v>Wolfe v3: went back to modified wolfe + EDTA and switched CuSO4 to CUCl2</v>
      </c>
      <c r="E2019" s="10" t="str">
        <f>IFERROR(VLOOKUP(B2019,'Pre-Summary'!$AT$6:$AX$15,4,FALSE),"")</f>
        <v/>
      </c>
      <c r="F2019">
        <f>IFERROR(VLOOKUP(B2019,'Pre-Summary'!$AL$6:$AQ$13,6,FALSE),F2018)</f>
        <v>5.9405263157894746E-2</v>
      </c>
      <c r="G2019" t="str">
        <f>IFERROR(VLOOKUP(B2019,'Pre-Summary'!$AE$6:$AJ$85,3,FALSE),"")</f>
        <v/>
      </c>
      <c r="H2019" t="str">
        <f>IFERROR(VLOOKUP(B2019,'Pre-Summary'!$AE$6:$AJ$85,4,FALSE),"")</f>
        <v/>
      </c>
      <c r="I2019" t="str">
        <f>IFERROR(VLOOKUP(B2019,'Pre-Summary'!$AE$6:$AJ$85,5,FALSE),"")</f>
        <v/>
      </c>
      <c r="J2019" s="45" t="str">
        <f>IFERROR(VLOOKUP(B2019,'Pre-Summary'!$AE$6:$AJ$85,6, FALSE),"")</f>
        <v/>
      </c>
      <c r="K2019" s="45" t="str">
        <f>IFERROR(VLOOKUP(B2019,'Pre-Summary'!$DE$6:$DG$61,3,FALSE),"")</f>
        <v/>
      </c>
      <c r="L2019" s="45" t="str">
        <f>IFERROR(VLOOKUP(B2019,'Pre-Summary'!$CU$6:$CW$36,3,FALSE),"")</f>
        <v/>
      </c>
      <c r="M2019" s="45" t="str">
        <f>IFERROR(VLOOKUP(B2019,'Pre-Summary'!$BW$6:$BY$58,2,FALSE),"")</f>
        <v/>
      </c>
      <c r="N2019" s="45" t="str">
        <f>IFERROR(VLOOKUP(B2019,'Pre-Summary'!$CD$6:$CF$64,2,FALSE),"")</f>
        <v/>
      </c>
      <c r="O2019" s="99">
        <f>IFERROR(VLOOKUP(B2019,'Pre-Summary'!$BO$6:$BQ$48,3, FALSE),O2018)</f>
        <v>1.3480000000000001</v>
      </c>
      <c r="P2019" s="99">
        <f>IFERROR(VLOOKUP(B2019,'Pre-Summary'!$BS$6:$BU$35,3,FALSE),P2018)</f>
        <v>0.33700000000000002</v>
      </c>
      <c r="Q2019" s="54">
        <f t="shared" si="93"/>
        <v>4</v>
      </c>
      <c r="R2019" s="53">
        <f>IFERROR(VLOOKUP(B2019,'Pre-Summary'!$BG$6:$BM$44,7,FALSE),R2020)</f>
        <v>6.2037889674656205E-2</v>
      </c>
      <c r="S2019" s="53">
        <f>IFERROR(VLOOKUP(B2019,'Pre-Summary'!$BG$6:$BM$44,6,FALSE),S2020)</f>
        <v>5.8400630293479062E-2</v>
      </c>
      <c r="T2019" s="45" t="str">
        <f>IFERROR(VLOOKUP(B2019,'Pre-Summary'!$Y$6:$AC$83, 3,FALSE),"")</f>
        <v/>
      </c>
      <c r="U2019" s="45" t="str">
        <f>IFERROR(VLOOKUP(B2019,'Pre-Summary'!$Y$6:$AC$83, 4,FALSE),"")</f>
        <v/>
      </c>
      <c r="V2019" t="str">
        <f>IFERROR(VLOOKUP(B2019,'Pre-Summary'!$Y$6:$AC$83, 5,FALSE),"")</f>
        <v/>
      </c>
      <c r="W2019" s="45" t="str">
        <f>IFERROR(VLOOKUP(B2019,'Pre-Summary'!$Y$6:$AD$83,6,FALSE),"")</f>
        <v/>
      </c>
      <c r="X2019" t="str">
        <f>IFERROR(VLOOKUP('Pre-Summary'!$DB$6:$DD$63,3,FALSE),"")</f>
        <v/>
      </c>
      <c r="Y2019" t="str">
        <f>IFERROR(VLOOKUP(B2019,'Pre-Summary'!$CR$6:$CT$36,3,FALSE),"")</f>
        <v/>
      </c>
      <c r="Z2019" s="45" t="str">
        <f>IFERROR(VLOOKUP(B2019,'Pre-Summary'!$BZ$6:$CB$63,2,FALSE),"")</f>
        <v/>
      </c>
      <c r="AA2019" s="45" t="str">
        <f>IFERROR(VLOOKUP(B2019,'Pre-Summary'!$CG$6:$CI$70,2,FALSE),"")</f>
        <v/>
      </c>
      <c r="AB2019" s="99">
        <f>IFERROR(VLOOKUP(B2019,'Pre-Summary'!$A$6:$P$178,9,FALSE),AB2020)</f>
        <v>0.34645337423384143</v>
      </c>
      <c r="AC2019" s="10">
        <f>IFERROR(VLOOKUP(Summary!B2019,'Pre-Summary'!$A$6:$P$184,5, FALSE)/100,AC2020)</f>
        <v>0.95914699999999997</v>
      </c>
      <c r="AD2019" s="10">
        <f>IFERROR(VLOOKUP(Summary!B2019,'Pre-Summary'!$A$6:$P$184,3, FALSE)/100,AD2020)</f>
        <v>3.5208666666666666E-2</v>
      </c>
      <c r="AE2019" s="10">
        <f>IFERROR(VLOOKUP(Summary!B2019,'Pre-Summary'!$A$6:$P$184,7, FALSE)/100,AE2020)</f>
        <v>5.6443333333333337E-3</v>
      </c>
      <c r="AF2019" s="99">
        <f t="shared" si="94"/>
        <v>1.2198161368941245E-2</v>
      </c>
      <c r="AG2019" s="99">
        <f t="shared" si="95"/>
        <v>1.9554983286338792E-3</v>
      </c>
      <c r="AH2019" s="10" t="str">
        <f>IFERROR(VLOOKUP(B2019,'Pre-Summary'!$AZ$6:$BE$65,3,FALSE),"")</f>
        <v/>
      </c>
      <c r="AI2019" s="10" t="str">
        <f>IFERROR(VLOOKUP(B2019,'Pre-Summary'!$AZ$6:$BE$65,5,FALSE),"")</f>
        <v/>
      </c>
      <c r="AJ2019" s="10" t="str">
        <f>IFERROR(VLOOKUP(B2019,'Pre-Summary'!$AZ$6:$BE$65,4,FALSE),"")</f>
        <v/>
      </c>
      <c r="AK2019" s="10" t="str">
        <f>IFERROR(VLOOKUP(B2019,'Pre-Summary'!$AZ$6:$BE$65,6,FALSE),"")</f>
        <v/>
      </c>
      <c r="AL2019" s="10" t="str">
        <f>IFERROR(VLOOKUP(B2019,'Pre-Summary'!$BG$6:$BL$44,3,FALSE),"")</f>
        <v/>
      </c>
      <c r="AM2019" s="10" t="str">
        <f>IFERROR(VLOOKUP(B2019,'Pre-Summary'!$BG$6:$BL$44,4,FALSE),"")</f>
        <v/>
      </c>
    </row>
    <row r="2020" spans="2:39" ht="15" customHeight="1" x14ac:dyDescent="0.3">
      <c r="B2020">
        <v>201.7</v>
      </c>
      <c r="C2020" t="str">
        <f>IFERROR(VLOOKUP(B2020,'Pre-Summary'!$DI$6:$DM$23,4,FALSE),"")</f>
        <v/>
      </c>
      <c r="D2020" s="10" t="str">
        <f>IFERROR(VLOOKUP(B2020,'Pre-Summary'!$AT$6:$AX$14,5,FALSE),D2019)</f>
        <v>Wolfe v3: went back to modified wolfe + EDTA and switched CuSO4 to CUCl2</v>
      </c>
      <c r="E2020" s="10" t="str">
        <f>IFERROR(VLOOKUP(B2020,'Pre-Summary'!$AT$6:$AX$15,4,FALSE),"")</f>
        <v/>
      </c>
      <c r="F2020">
        <f>IFERROR(VLOOKUP(B2020,'Pre-Summary'!$AL$6:$AQ$13,6,FALSE),F2019)</f>
        <v>5.9405263157894746E-2</v>
      </c>
      <c r="G2020" t="str">
        <f>IFERROR(VLOOKUP(B2020,'Pre-Summary'!$AE$6:$AJ$85,3,FALSE),"")</f>
        <v/>
      </c>
      <c r="H2020" t="str">
        <f>IFERROR(VLOOKUP(B2020,'Pre-Summary'!$AE$6:$AJ$85,4,FALSE),"")</f>
        <v/>
      </c>
      <c r="I2020" t="str">
        <f>IFERROR(VLOOKUP(B2020,'Pre-Summary'!$AE$6:$AJ$85,5,FALSE),"")</f>
        <v/>
      </c>
      <c r="J2020" s="45" t="str">
        <f>IFERROR(VLOOKUP(B2020,'Pre-Summary'!$AE$6:$AJ$85,6, FALSE),"")</f>
        <v/>
      </c>
      <c r="K2020" s="45" t="str">
        <f>IFERROR(VLOOKUP(B2020,'Pre-Summary'!$DE$6:$DG$61,3,FALSE),"")</f>
        <v/>
      </c>
      <c r="L2020" s="45" t="str">
        <f>IFERROR(VLOOKUP(B2020,'Pre-Summary'!$CU$6:$CW$36,3,FALSE),"")</f>
        <v/>
      </c>
      <c r="M2020" s="45" t="str">
        <f>IFERROR(VLOOKUP(B2020,'Pre-Summary'!$BW$6:$BY$58,2,FALSE),"")</f>
        <v/>
      </c>
      <c r="N2020" s="45" t="str">
        <f>IFERROR(VLOOKUP(B2020,'Pre-Summary'!$CD$6:$CF$64,2,FALSE),"")</f>
        <v/>
      </c>
      <c r="O2020" s="99">
        <f>IFERROR(VLOOKUP(B2020,'Pre-Summary'!$BO$6:$BQ$48,3, FALSE),O2019)</f>
        <v>1.3480000000000001</v>
      </c>
      <c r="P2020" s="99">
        <f>IFERROR(VLOOKUP(B2020,'Pre-Summary'!$BS$6:$BU$35,3,FALSE),P2019)</f>
        <v>0.33700000000000002</v>
      </c>
      <c r="Q2020" s="54">
        <f t="shared" si="93"/>
        <v>4</v>
      </c>
      <c r="R2020" s="53">
        <f>IFERROR(VLOOKUP(B2020,'Pre-Summary'!$BG$6:$BM$44,7,FALSE),R2021)</f>
        <v>6.2037889674656205E-2</v>
      </c>
      <c r="S2020" s="53">
        <f>IFERROR(VLOOKUP(B2020,'Pre-Summary'!$BG$6:$BM$44,6,FALSE),S2021)</f>
        <v>5.8400630293479062E-2</v>
      </c>
      <c r="T2020" s="45" t="str">
        <f>IFERROR(VLOOKUP(B2020,'Pre-Summary'!$Y$6:$AC$83, 3,FALSE),"")</f>
        <v/>
      </c>
      <c r="U2020" s="45" t="str">
        <f>IFERROR(VLOOKUP(B2020,'Pre-Summary'!$Y$6:$AC$83, 4,FALSE),"")</f>
        <v/>
      </c>
      <c r="V2020" t="str">
        <f>IFERROR(VLOOKUP(B2020,'Pre-Summary'!$Y$6:$AC$83, 5,FALSE),"")</f>
        <v/>
      </c>
      <c r="W2020" s="45" t="str">
        <f>IFERROR(VLOOKUP(B2020,'Pre-Summary'!$Y$6:$AD$83,6,FALSE),"")</f>
        <v/>
      </c>
      <c r="X2020" t="str">
        <f>IFERROR(VLOOKUP('Pre-Summary'!$DB$6:$DD$63,3,FALSE),"")</f>
        <v/>
      </c>
      <c r="Y2020" t="str">
        <f>IFERROR(VLOOKUP(B2020,'Pre-Summary'!$CR$6:$CT$36,3,FALSE),"")</f>
        <v/>
      </c>
      <c r="Z2020" s="45" t="str">
        <f>IFERROR(VLOOKUP(B2020,'Pre-Summary'!$BZ$6:$CB$63,2,FALSE),"")</f>
        <v/>
      </c>
      <c r="AA2020" s="45" t="str">
        <f>IFERROR(VLOOKUP(B2020,'Pre-Summary'!$CG$6:$CI$70,2,FALSE),"")</f>
        <v/>
      </c>
      <c r="AB2020" s="99">
        <f>IFERROR(VLOOKUP(B2020,'Pre-Summary'!$A$6:$P$178,9,FALSE),AB2021)</f>
        <v>0.34645337423384143</v>
      </c>
      <c r="AC2020" s="10">
        <f>IFERROR(VLOOKUP(Summary!B2020,'Pre-Summary'!$A$6:$P$184,5, FALSE)/100,AC2021)</f>
        <v>0.95914699999999997</v>
      </c>
      <c r="AD2020" s="10">
        <f>IFERROR(VLOOKUP(Summary!B2020,'Pre-Summary'!$A$6:$P$184,3, FALSE)/100,AD2021)</f>
        <v>3.5208666666666666E-2</v>
      </c>
      <c r="AE2020" s="10">
        <f>IFERROR(VLOOKUP(Summary!B2020,'Pre-Summary'!$A$6:$P$184,7, FALSE)/100,AE2021)</f>
        <v>5.6443333333333337E-3</v>
      </c>
      <c r="AF2020" s="99">
        <f t="shared" si="94"/>
        <v>1.2198161368941245E-2</v>
      </c>
      <c r="AG2020" s="99">
        <f t="shared" si="95"/>
        <v>1.9554983286338792E-3</v>
      </c>
      <c r="AH2020" s="10" t="str">
        <f>IFERROR(VLOOKUP(B2020,'Pre-Summary'!$AZ$6:$BE$65,3,FALSE),"")</f>
        <v/>
      </c>
      <c r="AI2020" s="10" t="str">
        <f>IFERROR(VLOOKUP(B2020,'Pre-Summary'!$AZ$6:$BE$65,5,FALSE),"")</f>
        <v/>
      </c>
      <c r="AJ2020" s="10" t="str">
        <f>IFERROR(VLOOKUP(B2020,'Pre-Summary'!$AZ$6:$BE$65,4,FALSE),"")</f>
        <v/>
      </c>
      <c r="AK2020" s="10" t="str">
        <f>IFERROR(VLOOKUP(B2020,'Pre-Summary'!$AZ$6:$BE$65,6,FALSE),"")</f>
        <v/>
      </c>
      <c r="AL2020" s="10" t="str">
        <f>IFERROR(VLOOKUP(B2020,'Pre-Summary'!$BG$6:$BL$44,3,FALSE),"")</f>
        <v/>
      </c>
      <c r="AM2020" s="10" t="str">
        <f>IFERROR(VLOOKUP(B2020,'Pre-Summary'!$BG$6:$BL$44,4,FALSE),"")</f>
        <v/>
      </c>
    </row>
    <row r="2021" spans="2:39" ht="15" customHeight="1" x14ac:dyDescent="0.3">
      <c r="B2021">
        <v>201.8</v>
      </c>
      <c r="C2021" t="str">
        <f>IFERROR(VLOOKUP(B2021,'Pre-Summary'!$DI$6:$DM$23,4,FALSE),"")</f>
        <v/>
      </c>
      <c r="D2021" s="10" t="str">
        <f>IFERROR(VLOOKUP(B2021,'Pre-Summary'!$AT$6:$AX$14,5,FALSE),D2020)</f>
        <v>Wolfe v3: went back to modified wolfe + EDTA and switched CuSO4 to CUCl2</v>
      </c>
      <c r="E2021" s="10" t="str">
        <f>IFERROR(VLOOKUP(B2021,'Pre-Summary'!$AT$6:$AX$15,4,FALSE),"")</f>
        <v/>
      </c>
      <c r="F2021">
        <f>IFERROR(VLOOKUP(B2021,'Pre-Summary'!$AL$6:$AQ$13,6,FALSE),F2020)</f>
        <v>5.9405263157894746E-2</v>
      </c>
      <c r="G2021" t="str">
        <f>IFERROR(VLOOKUP(B2021,'Pre-Summary'!$AE$6:$AJ$85,3,FALSE),"")</f>
        <v/>
      </c>
      <c r="H2021" t="str">
        <f>IFERROR(VLOOKUP(B2021,'Pre-Summary'!$AE$6:$AJ$85,4,FALSE),"")</f>
        <v/>
      </c>
      <c r="I2021" t="str">
        <f>IFERROR(VLOOKUP(B2021,'Pre-Summary'!$AE$6:$AJ$85,5,FALSE),"")</f>
        <v/>
      </c>
      <c r="J2021" s="45" t="str">
        <f>IFERROR(VLOOKUP(B2021,'Pre-Summary'!$AE$6:$AJ$85,6, FALSE),"")</f>
        <v/>
      </c>
      <c r="K2021" s="45" t="str">
        <f>IFERROR(VLOOKUP(B2021,'Pre-Summary'!$DE$6:$DG$61,3,FALSE),"")</f>
        <v/>
      </c>
      <c r="L2021" s="45" t="str">
        <f>IFERROR(VLOOKUP(B2021,'Pre-Summary'!$CU$6:$CW$36,3,FALSE),"")</f>
        <v/>
      </c>
      <c r="M2021" s="45" t="str">
        <f>IFERROR(VLOOKUP(B2021,'Pre-Summary'!$BW$6:$BY$58,2,FALSE),"")</f>
        <v/>
      </c>
      <c r="N2021" s="45" t="str">
        <f>IFERROR(VLOOKUP(B2021,'Pre-Summary'!$CD$6:$CF$64,2,FALSE),"")</f>
        <v/>
      </c>
      <c r="O2021" s="99">
        <f>IFERROR(VLOOKUP(B2021,'Pre-Summary'!$BO$6:$BQ$48,3, FALSE),O2020)</f>
        <v>1.3480000000000001</v>
      </c>
      <c r="P2021" s="99">
        <f>IFERROR(VLOOKUP(B2021,'Pre-Summary'!$BS$6:$BU$35,3,FALSE),P2020)</f>
        <v>0.33700000000000002</v>
      </c>
      <c r="Q2021" s="54">
        <f t="shared" si="93"/>
        <v>4</v>
      </c>
      <c r="R2021" s="53">
        <f>IFERROR(VLOOKUP(B2021,'Pre-Summary'!$BG$6:$BM$44,7,FALSE),R2022)</f>
        <v>6.2037889674656205E-2</v>
      </c>
      <c r="S2021" s="53">
        <f>IFERROR(VLOOKUP(B2021,'Pre-Summary'!$BG$6:$BM$44,6,FALSE),S2022)</f>
        <v>5.8400630293479062E-2</v>
      </c>
      <c r="T2021" s="45" t="str">
        <f>IFERROR(VLOOKUP(B2021,'Pre-Summary'!$Y$6:$AC$83, 3,FALSE),"")</f>
        <v/>
      </c>
      <c r="U2021" s="45" t="str">
        <f>IFERROR(VLOOKUP(B2021,'Pre-Summary'!$Y$6:$AC$83, 4,FALSE),"")</f>
        <v/>
      </c>
      <c r="V2021" t="str">
        <f>IFERROR(VLOOKUP(B2021,'Pre-Summary'!$Y$6:$AC$83, 5,FALSE),"")</f>
        <v/>
      </c>
      <c r="W2021" s="45" t="str">
        <f>IFERROR(VLOOKUP(B2021,'Pre-Summary'!$Y$6:$AD$83,6,FALSE),"")</f>
        <v/>
      </c>
      <c r="X2021" t="str">
        <f>IFERROR(VLOOKUP('Pre-Summary'!$DB$6:$DD$63,3,FALSE),"")</f>
        <v/>
      </c>
      <c r="Y2021" t="str">
        <f>IFERROR(VLOOKUP(B2021,'Pre-Summary'!$CR$6:$CT$36,3,FALSE),"")</f>
        <v/>
      </c>
      <c r="Z2021" s="45" t="str">
        <f>IFERROR(VLOOKUP(B2021,'Pre-Summary'!$BZ$6:$CB$63,2,FALSE),"")</f>
        <v/>
      </c>
      <c r="AA2021" s="45" t="str">
        <f>IFERROR(VLOOKUP(B2021,'Pre-Summary'!$CG$6:$CI$70,2,FALSE),"")</f>
        <v/>
      </c>
      <c r="AB2021" s="99">
        <f>IFERROR(VLOOKUP(B2021,'Pre-Summary'!$A$6:$P$178,9,FALSE),AB2022)</f>
        <v>0.34645337423384143</v>
      </c>
      <c r="AC2021" s="10">
        <f>IFERROR(VLOOKUP(Summary!B2021,'Pre-Summary'!$A$6:$P$184,5, FALSE)/100,AC2022)</f>
        <v>0.95914699999999997</v>
      </c>
      <c r="AD2021" s="10">
        <f>IFERROR(VLOOKUP(Summary!B2021,'Pre-Summary'!$A$6:$P$184,3, FALSE)/100,AD2022)</f>
        <v>3.5208666666666666E-2</v>
      </c>
      <c r="AE2021" s="10">
        <f>IFERROR(VLOOKUP(Summary!B2021,'Pre-Summary'!$A$6:$P$184,7, FALSE)/100,AE2022)</f>
        <v>5.6443333333333337E-3</v>
      </c>
      <c r="AF2021" s="99">
        <f t="shared" si="94"/>
        <v>1.2198161368941245E-2</v>
      </c>
      <c r="AG2021" s="99">
        <f t="shared" si="95"/>
        <v>1.9554983286338792E-3</v>
      </c>
      <c r="AH2021" s="10" t="str">
        <f>IFERROR(VLOOKUP(B2021,'Pre-Summary'!$AZ$6:$BE$65,3,FALSE),"")</f>
        <v/>
      </c>
      <c r="AI2021" s="10" t="str">
        <f>IFERROR(VLOOKUP(B2021,'Pre-Summary'!$AZ$6:$BE$65,5,FALSE),"")</f>
        <v/>
      </c>
      <c r="AJ2021" s="10" t="str">
        <f>IFERROR(VLOOKUP(B2021,'Pre-Summary'!$AZ$6:$BE$65,4,FALSE),"")</f>
        <v/>
      </c>
      <c r="AK2021" s="10" t="str">
        <f>IFERROR(VLOOKUP(B2021,'Pre-Summary'!$AZ$6:$BE$65,6,FALSE),"")</f>
        <v/>
      </c>
      <c r="AL2021" s="10" t="str">
        <f>IFERROR(VLOOKUP(B2021,'Pre-Summary'!$BG$6:$BL$44,3,FALSE),"")</f>
        <v/>
      </c>
      <c r="AM2021" s="10" t="str">
        <f>IFERROR(VLOOKUP(B2021,'Pre-Summary'!$BG$6:$BL$44,4,FALSE),"")</f>
        <v/>
      </c>
    </row>
    <row r="2022" spans="2:39" ht="15" customHeight="1" x14ac:dyDescent="0.3">
      <c r="B2022">
        <v>201.9</v>
      </c>
      <c r="C2022" t="str">
        <f>IFERROR(VLOOKUP(B2022,'Pre-Summary'!$DI$6:$DM$23,4,FALSE),"")</f>
        <v/>
      </c>
      <c r="D2022" s="10" t="str">
        <f>IFERROR(VLOOKUP(B2022,'Pre-Summary'!$AT$6:$AX$14,5,FALSE),D2021)</f>
        <v>Wolfe v3: went back to modified wolfe + EDTA and switched CuSO4 to CUCl2</v>
      </c>
      <c r="E2022" s="10" t="str">
        <f>IFERROR(VLOOKUP(B2022,'Pre-Summary'!$AT$6:$AX$15,4,FALSE),"")</f>
        <v/>
      </c>
      <c r="F2022">
        <f>IFERROR(VLOOKUP(B2022,'Pre-Summary'!$AL$6:$AQ$13,6,FALSE),F2021)</f>
        <v>5.9405263157894746E-2</v>
      </c>
      <c r="G2022" t="str">
        <f>IFERROR(VLOOKUP(B2022,'Pre-Summary'!$AE$6:$AJ$85,3,FALSE),"")</f>
        <v/>
      </c>
      <c r="H2022" t="str">
        <f>IFERROR(VLOOKUP(B2022,'Pre-Summary'!$AE$6:$AJ$85,4,FALSE),"")</f>
        <v/>
      </c>
      <c r="I2022" t="str">
        <f>IFERROR(VLOOKUP(B2022,'Pre-Summary'!$AE$6:$AJ$85,5,FALSE),"")</f>
        <v/>
      </c>
      <c r="J2022" s="45" t="str">
        <f>IFERROR(VLOOKUP(B2022,'Pre-Summary'!$AE$6:$AJ$85,6, FALSE),"")</f>
        <v/>
      </c>
      <c r="K2022" s="45">
        <f>IFERROR(VLOOKUP(B2022,'Pre-Summary'!$DE$6:$DG$61,3,FALSE),"")</f>
        <v>410</v>
      </c>
      <c r="L2022" s="45">
        <f>IFERROR(VLOOKUP(B2022,'Pre-Summary'!$CU$6:$CW$36,3,FALSE),"")</f>
        <v>296.25</v>
      </c>
      <c r="M2022" s="45">
        <f>IFERROR(VLOOKUP(B2022,'Pre-Summary'!$BW$6:$BY$58,2,FALSE),"")</f>
        <v>0.67777767881328987</v>
      </c>
      <c r="N2022" s="45" t="str">
        <f>IFERROR(VLOOKUP(B2022,'Pre-Summary'!$CD$6:$CF$64,2,FALSE),"")</f>
        <v/>
      </c>
      <c r="O2022" s="99">
        <f>IFERROR(VLOOKUP(B2022,'Pre-Summary'!$BO$6:$BQ$48,3, FALSE),O2021)</f>
        <v>1.3480000000000001</v>
      </c>
      <c r="P2022" s="99">
        <f>IFERROR(VLOOKUP(B2022,'Pre-Summary'!$BS$6:$BU$35,3,FALSE),P2021)</f>
        <v>0.33700000000000002</v>
      </c>
      <c r="Q2022" s="54">
        <f t="shared" si="93"/>
        <v>4</v>
      </c>
      <c r="R2022" s="53">
        <f>IFERROR(VLOOKUP(B2022,'Pre-Summary'!$BG$6:$BM$44,7,FALSE),R2023)</f>
        <v>6.2037889674656205E-2</v>
      </c>
      <c r="S2022" s="53">
        <f>IFERROR(VLOOKUP(B2022,'Pre-Summary'!$BG$6:$BM$44,6,FALSE),S2023)</f>
        <v>5.8400630293479062E-2</v>
      </c>
      <c r="T2022" s="45" t="str">
        <f>IFERROR(VLOOKUP(B2022,'Pre-Summary'!$Y$6:$AC$83, 3,FALSE),"")</f>
        <v/>
      </c>
      <c r="U2022" s="45" t="str">
        <f>IFERROR(VLOOKUP(B2022,'Pre-Summary'!$Y$6:$AC$83, 4,FALSE),"")</f>
        <v/>
      </c>
      <c r="V2022" t="str">
        <f>IFERROR(VLOOKUP(B2022,'Pre-Summary'!$Y$6:$AC$83, 5,FALSE),"")</f>
        <v/>
      </c>
      <c r="W2022" s="45" t="str">
        <f>IFERROR(VLOOKUP(B2022,'Pre-Summary'!$Y$6:$AD$83,6,FALSE),"")</f>
        <v/>
      </c>
      <c r="X2022" t="str">
        <f>IFERROR(VLOOKUP('Pre-Summary'!$DB$6:$DD$63,3,FALSE),"")</f>
        <v/>
      </c>
      <c r="Y2022">
        <f>IFERROR(VLOOKUP(B2022,'Pre-Summary'!$CR$6:$CT$36,3,FALSE),"")</f>
        <v>284.25</v>
      </c>
      <c r="Z2022" s="45">
        <f>IFERROR(VLOOKUP(B2022,'Pre-Summary'!$BZ$6:$CB$63,2,FALSE),"")</f>
        <v>31.774149237743334</v>
      </c>
      <c r="AA2022" s="45">
        <f>IFERROR(VLOOKUP(B2022,'Pre-Summary'!$CG$6:$CI$70,2,FALSE),"")</f>
        <v>198.53621972310364</v>
      </c>
      <c r="AB2022" s="99">
        <f>IFERROR(VLOOKUP(B2022,'Pre-Summary'!$A$6:$P$178,9,FALSE),AB2023)</f>
        <v>0.34645337423384143</v>
      </c>
      <c r="AC2022" s="10">
        <f>IFERROR(VLOOKUP(Summary!B2022,'Pre-Summary'!$A$6:$P$184,5, FALSE)/100,AC2023)</f>
        <v>0.95914699999999997</v>
      </c>
      <c r="AD2022" s="10">
        <f>IFERROR(VLOOKUP(Summary!B2022,'Pre-Summary'!$A$6:$P$184,3, FALSE)/100,AD2023)</f>
        <v>3.5208666666666666E-2</v>
      </c>
      <c r="AE2022" s="10">
        <f>IFERROR(VLOOKUP(Summary!B2022,'Pre-Summary'!$A$6:$P$184,7, FALSE)/100,AE2023)</f>
        <v>5.6443333333333337E-3</v>
      </c>
      <c r="AF2022" s="99">
        <f t="shared" si="94"/>
        <v>1.2198161368941245E-2</v>
      </c>
      <c r="AG2022" s="99">
        <f t="shared" si="95"/>
        <v>1.9554983286338792E-3</v>
      </c>
      <c r="AH2022" s="10" t="str">
        <f>IFERROR(VLOOKUP(B2022,'Pre-Summary'!$AZ$6:$BE$65,3,FALSE),"")</f>
        <v/>
      </c>
      <c r="AI2022" s="10" t="str">
        <f>IFERROR(VLOOKUP(B2022,'Pre-Summary'!$AZ$6:$BE$65,5,FALSE),"")</f>
        <v/>
      </c>
      <c r="AJ2022" s="10" t="str">
        <f>IFERROR(VLOOKUP(B2022,'Pre-Summary'!$AZ$6:$BE$65,4,FALSE),"")</f>
        <v/>
      </c>
      <c r="AK2022" s="10" t="str">
        <f>IFERROR(VLOOKUP(B2022,'Pre-Summary'!$AZ$6:$BE$65,6,FALSE),"")</f>
        <v/>
      </c>
      <c r="AL2022" s="10" t="str">
        <f>IFERROR(VLOOKUP(B2022,'Pre-Summary'!$BG$6:$BL$44,3,FALSE),"")</f>
        <v/>
      </c>
      <c r="AM2022" s="10" t="str">
        <f>IFERROR(VLOOKUP(B2022,'Pre-Summary'!$BG$6:$BL$44,4,FALSE),"")</f>
        <v/>
      </c>
    </row>
    <row r="2023" spans="2:39" ht="15" customHeight="1" x14ac:dyDescent="0.3">
      <c r="B2023">
        <v>202</v>
      </c>
      <c r="C2023" t="str">
        <f>IFERROR(VLOOKUP(B2023,'Pre-Summary'!$DI$6:$DM$23,4,FALSE),"")</f>
        <v/>
      </c>
      <c r="D2023" s="10" t="str">
        <f>IFERROR(VLOOKUP(B2023,'Pre-Summary'!$AT$6:$AX$14,5,FALSE),D2022)</f>
        <v>Wolfe v3: went back to modified wolfe + EDTA and switched CuSO4 to CUCl2</v>
      </c>
      <c r="E2023" s="10" t="str">
        <f>IFERROR(VLOOKUP(B2023,'Pre-Summary'!$AT$6:$AX$15,4,FALSE),"")</f>
        <v/>
      </c>
      <c r="F2023">
        <f>IFERROR(VLOOKUP(B2023,'Pre-Summary'!$AL$6:$AQ$13,6,FALSE),F2022)</f>
        <v>5.9405263157894746E-2</v>
      </c>
      <c r="G2023" t="str">
        <f>IFERROR(VLOOKUP(B2023,'Pre-Summary'!$AE$6:$AJ$85,3,FALSE),"")</f>
        <v/>
      </c>
      <c r="H2023" t="str">
        <f>IFERROR(VLOOKUP(B2023,'Pre-Summary'!$AE$6:$AJ$85,4,FALSE),"")</f>
        <v/>
      </c>
      <c r="I2023" t="str">
        <f>IFERROR(VLOOKUP(B2023,'Pre-Summary'!$AE$6:$AJ$85,5,FALSE),"")</f>
        <v/>
      </c>
      <c r="J2023" s="45" t="str">
        <f>IFERROR(VLOOKUP(B2023,'Pre-Summary'!$AE$6:$AJ$85,6, FALSE),"")</f>
        <v/>
      </c>
      <c r="K2023" s="45" t="str">
        <f>IFERROR(VLOOKUP(B2023,'Pre-Summary'!$DE$6:$DG$61,3,FALSE),"")</f>
        <v/>
      </c>
      <c r="L2023" s="45" t="str">
        <f>IFERROR(VLOOKUP(B2023,'Pre-Summary'!$CU$6:$CW$36,3,FALSE),"")</f>
        <v/>
      </c>
      <c r="M2023" s="45" t="str">
        <f>IFERROR(VLOOKUP(B2023,'Pre-Summary'!$BW$6:$BY$58,2,FALSE),"")</f>
        <v/>
      </c>
      <c r="N2023" s="45" t="str">
        <f>IFERROR(VLOOKUP(B2023,'Pre-Summary'!$CD$6:$CF$64,2,FALSE),"")</f>
        <v/>
      </c>
      <c r="O2023" s="99">
        <f>IFERROR(VLOOKUP(B2023,'Pre-Summary'!$BO$6:$BQ$48,3, FALSE),O2022)</f>
        <v>1.3480000000000001</v>
      </c>
      <c r="P2023" s="99">
        <f>IFERROR(VLOOKUP(B2023,'Pre-Summary'!$BS$6:$BU$35,3,FALSE),P2022)</f>
        <v>0.33700000000000002</v>
      </c>
      <c r="Q2023" s="54">
        <f t="shared" si="93"/>
        <v>4</v>
      </c>
      <c r="R2023" s="53">
        <f>IFERROR(VLOOKUP(B2023,'Pre-Summary'!$BG$6:$BM$44,7,FALSE),R2024)</f>
        <v>6.2037889674656205E-2</v>
      </c>
      <c r="S2023" s="53">
        <f>IFERROR(VLOOKUP(B2023,'Pre-Summary'!$BG$6:$BM$44,6,FALSE),S2024)</f>
        <v>5.8400630293479062E-2</v>
      </c>
      <c r="T2023" s="45" t="str">
        <f>IFERROR(VLOOKUP(B2023,'Pre-Summary'!$Y$6:$AC$83, 3,FALSE),"")</f>
        <v/>
      </c>
      <c r="U2023" s="45" t="str">
        <f>IFERROR(VLOOKUP(B2023,'Pre-Summary'!$Y$6:$AC$83, 4,FALSE),"")</f>
        <v/>
      </c>
      <c r="V2023" t="str">
        <f>IFERROR(VLOOKUP(B2023,'Pre-Summary'!$Y$6:$AC$83, 5,FALSE),"")</f>
        <v/>
      </c>
      <c r="W2023" s="45" t="str">
        <f>IFERROR(VLOOKUP(B2023,'Pre-Summary'!$Y$6:$AD$83,6,FALSE),"")</f>
        <v/>
      </c>
      <c r="X2023" t="str">
        <f>IFERROR(VLOOKUP('Pre-Summary'!$DB$6:$DD$63,3,FALSE),"")</f>
        <v/>
      </c>
      <c r="Y2023" t="str">
        <f>IFERROR(VLOOKUP(B2023,'Pre-Summary'!$CR$6:$CT$36,3,FALSE),"")</f>
        <v/>
      </c>
      <c r="Z2023" s="45" t="str">
        <f>IFERROR(VLOOKUP(B2023,'Pre-Summary'!$BZ$6:$CB$63,2,FALSE),"")</f>
        <v/>
      </c>
      <c r="AA2023" s="45" t="str">
        <f>IFERROR(VLOOKUP(B2023,'Pre-Summary'!$CG$6:$CI$70,2,FALSE),"")</f>
        <v/>
      </c>
      <c r="AB2023" s="99">
        <f>IFERROR(VLOOKUP(B2023,'Pre-Summary'!$A$6:$P$178,9,FALSE),AB2024)</f>
        <v>0.34645337423384143</v>
      </c>
      <c r="AC2023" s="10">
        <f>IFERROR(VLOOKUP(Summary!B2023,'Pre-Summary'!$A$6:$P$184,5, FALSE)/100,AC2024)</f>
        <v>0.95914699999999997</v>
      </c>
      <c r="AD2023" s="10">
        <f>IFERROR(VLOOKUP(Summary!B2023,'Pre-Summary'!$A$6:$P$184,3, FALSE)/100,AD2024)</f>
        <v>3.5208666666666666E-2</v>
      </c>
      <c r="AE2023" s="10">
        <f>IFERROR(VLOOKUP(Summary!B2023,'Pre-Summary'!$A$6:$P$184,7, FALSE)/100,AE2024)</f>
        <v>5.6443333333333337E-3</v>
      </c>
      <c r="AF2023" s="99">
        <f t="shared" si="94"/>
        <v>1.2198161368941245E-2</v>
      </c>
      <c r="AG2023" s="99">
        <f t="shared" si="95"/>
        <v>1.9554983286338792E-3</v>
      </c>
      <c r="AH2023" s="10">
        <f>IFERROR(VLOOKUP(B2023,'Pre-Summary'!$AZ$6:$BE$65,3,FALSE),"")</f>
        <v>1224</v>
      </c>
      <c r="AI2023" s="10">
        <f>IFERROR(VLOOKUP(B2023,'Pre-Summary'!$AZ$6:$BE$65,5,FALSE),"")</f>
        <v>303</v>
      </c>
      <c r="AJ2023" s="10" t="str">
        <f>IFERROR(VLOOKUP(B2023,'Pre-Summary'!$AZ$6:$BE$65,4,FALSE),"")</f>
        <v>1089</v>
      </c>
      <c r="AK2023" s="10">
        <f>IFERROR(VLOOKUP(B2023,'Pre-Summary'!$AZ$6:$BE$65,6,FALSE),"")</f>
        <v>278</v>
      </c>
      <c r="AL2023" s="10">
        <f>IFERROR(VLOOKUP(B2023,'Pre-Summary'!$BG$6:$BL$44,3,FALSE),"")</f>
        <v>15.555842595374342</v>
      </c>
      <c r="AM2023" s="10">
        <f>IFERROR(VLOOKUP(B2023,'Pre-Summary'!$BG$6:$BL$44,4,FALSE),"")</f>
        <v>5.350969645868588</v>
      </c>
    </row>
    <row r="2024" spans="2:39" ht="15" customHeight="1" x14ac:dyDescent="0.3">
      <c r="B2024">
        <v>202.1</v>
      </c>
      <c r="C2024" t="str">
        <f>IFERROR(VLOOKUP(B2024,'Pre-Summary'!$DI$6:$DM$23,4,FALSE),"")</f>
        <v/>
      </c>
      <c r="D2024" s="10" t="str">
        <f>IFERROR(VLOOKUP(B2024,'Pre-Summary'!$AT$6:$AX$14,5,FALSE),D2023)</f>
        <v>Wolfe v3: went back to modified wolfe + EDTA and switched CuSO4 to CUCl2</v>
      </c>
      <c r="E2024" s="10" t="str">
        <f>IFERROR(VLOOKUP(B2024,'Pre-Summary'!$AT$6:$AX$15,4,FALSE),"")</f>
        <v/>
      </c>
      <c r="F2024">
        <f>IFERROR(VLOOKUP(B2024,'Pre-Summary'!$AL$6:$AQ$13,6,FALSE),F2023)</f>
        <v>5.9405263157894746E-2</v>
      </c>
      <c r="G2024" t="str">
        <f>IFERROR(VLOOKUP(B2024,'Pre-Summary'!$AE$6:$AJ$85,3,FALSE),"")</f>
        <v/>
      </c>
      <c r="H2024" t="str">
        <f>IFERROR(VLOOKUP(B2024,'Pre-Summary'!$AE$6:$AJ$85,4,FALSE),"")</f>
        <v/>
      </c>
      <c r="I2024" t="str">
        <f>IFERROR(VLOOKUP(B2024,'Pre-Summary'!$AE$6:$AJ$85,5,FALSE),"")</f>
        <v/>
      </c>
      <c r="J2024" s="45" t="str">
        <f>IFERROR(VLOOKUP(B2024,'Pre-Summary'!$AE$6:$AJ$85,6, FALSE),"")</f>
        <v/>
      </c>
      <c r="K2024" s="45" t="str">
        <f>IFERROR(VLOOKUP(B2024,'Pre-Summary'!$DE$6:$DG$61,3,FALSE),"")</f>
        <v/>
      </c>
      <c r="L2024" s="45" t="str">
        <f>IFERROR(VLOOKUP(B2024,'Pre-Summary'!$CU$6:$CW$36,3,FALSE),"")</f>
        <v/>
      </c>
      <c r="M2024" s="45" t="str">
        <f>IFERROR(VLOOKUP(B2024,'Pre-Summary'!$BW$6:$BY$58,2,FALSE),"")</f>
        <v/>
      </c>
      <c r="N2024" s="45" t="str">
        <f>IFERROR(VLOOKUP(B2024,'Pre-Summary'!$CD$6:$CF$64,2,FALSE),"")</f>
        <v/>
      </c>
      <c r="O2024" s="99">
        <f>IFERROR(VLOOKUP(B2024,'Pre-Summary'!$BO$6:$BQ$48,3, FALSE),O2023)</f>
        <v>1.3480000000000001</v>
      </c>
      <c r="P2024" s="99">
        <f>IFERROR(VLOOKUP(B2024,'Pre-Summary'!$BS$6:$BU$35,3,FALSE),P2023)</f>
        <v>0.33700000000000002</v>
      </c>
      <c r="Q2024" s="54">
        <f t="shared" si="93"/>
        <v>4</v>
      </c>
      <c r="R2024" s="53">
        <f>IFERROR(VLOOKUP(B2024,'Pre-Summary'!$BG$6:$BM$44,7,FALSE),R2025)</f>
        <v>7.3789975262610413E-2</v>
      </c>
      <c r="S2024" s="53">
        <f>IFERROR(VLOOKUP(B2024,'Pre-Summary'!$BG$6:$BM$44,6,FALSE),S2025)</f>
        <v>5.2064631956901149E-2</v>
      </c>
      <c r="T2024" s="45" t="str">
        <f>IFERROR(VLOOKUP(B2024,'Pre-Summary'!$Y$6:$AC$83, 3,FALSE),"")</f>
        <v/>
      </c>
      <c r="U2024" s="45" t="str">
        <f>IFERROR(VLOOKUP(B2024,'Pre-Summary'!$Y$6:$AC$83, 4,FALSE),"")</f>
        <v/>
      </c>
      <c r="V2024" t="str">
        <f>IFERROR(VLOOKUP(B2024,'Pre-Summary'!$Y$6:$AC$83, 5,FALSE),"")</f>
        <v/>
      </c>
      <c r="W2024" s="45" t="str">
        <f>IFERROR(VLOOKUP(B2024,'Pre-Summary'!$Y$6:$AD$83,6,FALSE),"")</f>
        <v/>
      </c>
      <c r="X2024" t="str">
        <f>IFERROR(VLOOKUP('Pre-Summary'!$DB$6:$DD$63,3,FALSE),"")</f>
        <v/>
      </c>
      <c r="Y2024" t="str">
        <f>IFERROR(VLOOKUP(B2024,'Pre-Summary'!$CR$6:$CT$36,3,FALSE),"")</f>
        <v/>
      </c>
      <c r="Z2024" s="45" t="str">
        <f>IFERROR(VLOOKUP(B2024,'Pre-Summary'!$BZ$6:$CB$63,2,FALSE),"")</f>
        <v/>
      </c>
      <c r="AA2024" s="45" t="str">
        <f>IFERROR(VLOOKUP(B2024,'Pre-Summary'!$CG$6:$CI$70,2,FALSE),"")</f>
        <v/>
      </c>
      <c r="AB2024" s="99">
        <f>IFERROR(VLOOKUP(B2024,'Pre-Summary'!$A$6:$P$178,9,FALSE),AB2025)</f>
        <v>0.36537845683656439</v>
      </c>
      <c r="AC2024" s="10">
        <f>IFERROR(VLOOKUP(Summary!B2024,'Pre-Summary'!$A$6:$P$184,5, FALSE)/100,AC2025)</f>
        <v>0.94801700000000022</v>
      </c>
      <c r="AD2024" s="10">
        <f>IFERROR(VLOOKUP(Summary!B2024,'Pre-Summary'!$A$6:$P$184,3, FALSE)/100,AD2025)</f>
        <v>4.393933333333333E-2</v>
      </c>
      <c r="AE2024" s="10">
        <f>IFERROR(VLOOKUP(Summary!B2024,'Pre-Summary'!$A$6:$P$184,7, FALSE)/100,AE2025)</f>
        <v>8.044666666666667E-3</v>
      </c>
      <c r="AF2024" s="99">
        <f t="shared" si="94"/>
        <v>1.6054485807760747E-2</v>
      </c>
      <c r="AG2024" s="99">
        <f t="shared" si="95"/>
        <v>2.939347892431215E-3</v>
      </c>
      <c r="AH2024" s="10" t="str">
        <f>IFERROR(VLOOKUP(B2024,'Pre-Summary'!$AZ$6:$BE$65,3,FALSE),"")</f>
        <v/>
      </c>
      <c r="AI2024" s="10" t="str">
        <f>IFERROR(VLOOKUP(B2024,'Pre-Summary'!$AZ$6:$BE$65,5,FALSE),"")</f>
        <v/>
      </c>
      <c r="AJ2024" s="10" t="str">
        <f>IFERROR(VLOOKUP(B2024,'Pre-Summary'!$AZ$6:$BE$65,4,FALSE),"")</f>
        <v/>
      </c>
      <c r="AK2024" s="10" t="str">
        <f>IFERROR(VLOOKUP(B2024,'Pre-Summary'!$AZ$6:$BE$65,6,FALSE),"")</f>
        <v/>
      </c>
      <c r="AL2024" s="10" t="str">
        <f>IFERROR(VLOOKUP(B2024,'Pre-Summary'!$BG$6:$BL$44,3,FALSE),"")</f>
        <v/>
      </c>
      <c r="AM2024" s="10" t="str">
        <f>IFERROR(VLOOKUP(B2024,'Pre-Summary'!$BG$6:$BL$44,4,FALSE),"")</f>
        <v/>
      </c>
    </row>
    <row r="2025" spans="2:39" ht="15" customHeight="1" x14ac:dyDescent="0.3">
      <c r="B2025">
        <v>202.2</v>
      </c>
      <c r="C2025" t="str">
        <f>IFERROR(VLOOKUP(B2025,'Pre-Summary'!$DI$6:$DM$23,4,FALSE),"")</f>
        <v/>
      </c>
      <c r="D2025" s="10" t="str">
        <f>IFERROR(VLOOKUP(B2025,'Pre-Summary'!$AT$6:$AX$14,5,FALSE),D2024)</f>
        <v>Wolfe v3: went back to modified wolfe + EDTA and switched CuSO4 to CUCl2</v>
      </c>
      <c r="E2025" s="10" t="str">
        <f>IFERROR(VLOOKUP(B2025,'Pre-Summary'!$AT$6:$AX$15,4,FALSE),"")</f>
        <v/>
      </c>
      <c r="F2025">
        <f>IFERROR(VLOOKUP(B2025,'Pre-Summary'!$AL$6:$AQ$13,6,FALSE),F2024)</f>
        <v>5.9405263157894746E-2</v>
      </c>
      <c r="G2025" t="str">
        <f>IFERROR(VLOOKUP(B2025,'Pre-Summary'!$AE$6:$AJ$85,3,FALSE),"")</f>
        <v/>
      </c>
      <c r="H2025" t="str">
        <f>IFERROR(VLOOKUP(B2025,'Pre-Summary'!$AE$6:$AJ$85,4,FALSE),"")</f>
        <v/>
      </c>
      <c r="I2025" t="str">
        <f>IFERROR(VLOOKUP(B2025,'Pre-Summary'!$AE$6:$AJ$85,5,FALSE),"")</f>
        <v/>
      </c>
      <c r="J2025" s="45" t="str">
        <f>IFERROR(VLOOKUP(B2025,'Pre-Summary'!$AE$6:$AJ$85,6, FALSE),"")</f>
        <v/>
      </c>
      <c r="K2025" s="45" t="str">
        <f>IFERROR(VLOOKUP(B2025,'Pre-Summary'!$DE$6:$DG$61,3,FALSE),"")</f>
        <v/>
      </c>
      <c r="L2025" s="45" t="str">
        <f>IFERROR(VLOOKUP(B2025,'Pre-Summary'!$CU$6:$CW$36,3,FALSE),"")</f>
        <v/>
      </c>
      <c r="M2025" s="45" t="str">
        <f>IFERROR(VLOOKUP(B2025,'Pre-Summary'!$BW$6:$BY$58,2,FALSE),"")</f>
        <v/>
      </c>
      <c r="N2025" s="45" t="str">
        <f>IFERROR(VLOOKUP(B2025,'Pre-Summary'!$CD$6:$CF$64,2,FALSE),"")</f>
        <v/>
      </c>
      <c r="O2025" s="99">
        <f>IFERROR(VLOOKUP(B2025,'Pre-Summary'!$BO$6:$BQ$48,3, FALSE),O2024)</f>
        <v>1.3480000000000001</v>
      </c>
      <c r="P2025" s="99">
        <f>IFERROR(VLOOKUP(B2025,'Pre-Summary'!$BS$6:$BU$35,3,FALSE),P2024)</f>
        <v>0.33700000000000002</v>
      </c>
      <c r="Q2025" s="54">
        <f t="shared" si="93"/>
        <v>4</v>
      </c>
      <c r="R2025" s="53">
        <f>IFERROR(VLOOKUP(B2025,'Pre-Summary'!$BG$6:$BM$44,7,FALSE),R2026)</f>
        <v>7.3789975262610413E-2</v>
      </c>
      <c r="S2025" s="53">
        <f>IFERROR(VLOOKUP(B2025,'Pre-Summary'!$BG$6:$BM$44,6,FALSE),S2026)</f>
        <v>5.2064631956901149E-2</v>
      </c>
      <c r="T2025" s="45" t="str">
        <f>IFERROR(VLOOKUP(B2025,'Pre-Summary'!$Y$6:$AC$83, 3,FALSE),"")</f>
        <v/>
      </c>
      <c r="U2025" s="45" t="str">
        <f>IFERROR(VLOOKUP(B2025,'Pre-Summary'!$Y$6:$AC$83, 4,FALSE),"")</f>
        <v/>
      </c>
      <c r="V2025" t="str">
        <f>IFERROR(VLOOKUP(B2025,'Pre-Summary'!$Y$6:$AC$83, 5,FALSE),"")</f>
        <v/>
      </c>
      <c r="W2025" s="45" t="str">
        <f>IFERROR(VLOOKUP(B2025,'Pre-Summary'!$Y$6:$AD$83,6,FALSE),"")</f>
        <v/>
      </c>
      <c r="X2025" t="str">
        <f>IFERROR(VLOOKUP('Pre-Summary'!$DB$6:$DD$63,3,FALSE),"")</f>
        <v/>
      </c>
      <c r="Y2025" t="str">
        <f>IFERROR(VLOOKUP(B2025,'Pre-Summary'!$CR$6:$CT$36,3,FALSE),"")</f>
        <v/>
      </c>
      <c r="Z2025" s="45" t="str">
        <f>IFERROR(VLOOKUP(B2025,'Pre-Summary'!$BZ$6:$CB$63,2,FALSE),"")</f>
        <v/>
      </c>
      <c r="AA2025" s="45" t="str">
        <f>IFERROR(VLOOKUP(B2025,'Pre-Summary'!$CG$6:$CI$70,2,FALSE),"")</f>
        <v/>
      </c>
      <c r="AB2025" s="99">
        <f>IFERROR(VLOOKUP(B2025,'Pre-Summary'!$A$6:$P$178,9,FALSE),AB2026)</f>
        <v>0.36537845683656439</v>
      </c>
      <c r="AC2025" s="10">
        <f>IFERROR(VLOOKUP(Summary!B2025,'Pre-Summary'!$A$6:$P$184,5, FALSE)/100,AC2026)</f>
        <v>0.94801700000000022</v>
      </c>
      <c r="AD2025" s="10">
        <f>IFERROR(VLOOKUP(Summary!B2025,'Pre-Summary'!$A$6:$P$184,3, FALSE)/100,AD2026)</f>
        <v>4.393933333333333E-2</v>
      </c>
      <c r="AE2025" s="10">
        <f>IFERROR(VLOOKUP(Summary!B2025,'Pre-Summary'!$A$6:$P$184,7, FALSE)/100,AE2026)</f>
        <v>8.044666666666667E-3</v>
      </c>
      <c r="AF2025" s="99">
        <f t="shared" si="94"/>
        <v>1.6054485807760747E-2</v>
      </c>
      <c r="AG2025" s="99">
        <f t="shared" si="95"/>
        <v>2.939347892431215E-3</v>
      </c>
      <c r="AH2025" s="10" t="str">
        <f>IFERROR(VLOOKUP(B2025,'Pre-Summary'!$AZ$6:$BE$65,3,FALSE),"")</f>
        <v/>
      </c>
      <c r="AI2025" s="10" t="str">
        <f>IFERROR(VLOOKUP(B2025,'Pre-Summary'!$AZ$6:$BE$65,5,FALSE),"")</f>
        <v/>
      </c>
      <c r="AJ2025" s="10" t="str">
        <f>IFERROR(VLOOKUP(B2025,'Pre-Summary'!$AZ$6:$BE$65,4,FALSE),"")</f>
        <v/>
      </c>
      <c r="AK2025" s="10" t="str">
        <f>IFERROR(VLOOKUP(B2025,'Pre-Summary'!$AZ$6:$BE$65,6,FALSE),"")</f>
        <v/>
      </c>
      <c r="AL2025" s="10" t="str">
        <f>IFERROR(VLOOKUP(B2025,'Pre-Summary'!$BG$6:$BL$44,3,FALSE),"")</f>
        <v/>
      </c>
      <c r="AM2025" s="10" t="str">
        <f>IFERROR(VLOOKUP(B2025,'Pre-Summary'!$BG$6:$BL$44,4,FALSE),"")</f>
        <v/>
      </c>
    </row>
    <row r="2026" spans="2:39" ht="15" customHeight="1" x14ac:dyDescent="0.3">
      <c r="B2026">
        <v>202.3</v>
      </c>
      <c r="C2026" t="str">
        <f>IFERROR(VLOOKUP(B2026,'Pre-Summary'!$DI$6:$DM$23,4,FALSE),"")</f>
        <v/>
      </c>
      <c r="D2026" s="10" t="str">
        <f>IFERROR(VLOOKUP(B2026,'Pre-Summary'!$AT$6:$AX$14,5,FALSE),D2025)</f>
        <v>Wolfe v3: went back to modified wolfe + EDTA and switched CuSO4 to CUCl2</v>
      </c>
      <c r="E2026" s="10" t="str">
        <f>IFERROR(VLOOKUP(B2026,'Pre-Summary'!$AT$6:$AX$15,4,FALSE),"")</f>
        <v/>
      </c>
      <c r="F2026">
        <f>IFERROR(VLOOKUP(B2026,'Pre-Summary'!$AL$6:$AQ$13,6,FALSE),F2025)</f>
        <v>5.9405263157894746E-2</v>
      </c>
      <c r="G2026" t="str">
        <f>IFERROR(VLOOKUP(B2026,'Pre-Summary'!$AE$6:$AJ$85,3,FALSE),"")</f>
        <v/>
      </c>
      <c r="H2026" t="str">
        <f>IFERROR(VLOOKUP(B2026,'Pre-Summary'!$AE$6:$AJ$85,4,FALSE),"")</f>
        <v/>
      </c>
      <c r="I2026" t="str">
        <f>IFERROR(VLOOKUP(B2026,'Pre-Summary'!$AE$6:$AJ$85,5,FALSE),"")</f>
        <v/>
      </c>
      <c r="J2026" s="45" t="str">
        <f>IFERROR(VLOOKUP(B2026,'Pre-Summary'!$AE$6:$AJ$85,6, FALSE),"")</f>
        <v/>
      </c>
      <c r="K2026" s="45" t="str">
        <f>IFERROR(VLOOKUP(B2026,'Pre-Summary'!$DE$6:$DG$61,3,FALSE),"")</f>
        <v/>
      </c>
      <c r="L2026" s="45" t="str">
        <f>IFERROR(VLOOKUP(B2026,'Pre-Summary'!$CU$6:$CW$36,3,FALSE),"")</f>
        <v/>
      </c>
      <c r="M2026" s="45" t="str">
        <f>IFERROR(VLOOKUP(B2026,'Pre-Summary'!$BW$6:$BY$58,2,FALSE),"")</f>
        <v/>
      </c>
      <c r="N2026" s="45" t="str">
        <f>IFERROR(VLOOKUP(B2026,'Pre-Summary'!$CD$6:$CF$64,2,FALSE),"")</f>
        <v/>
      </c>
      <c r="O2026" s="99">
        <f>IFERROR(VLOOKUP(B2026,'Pre-Summary'!$BO$6:$BQ$48,3, FALSE),O2025)</f>
        <v>1.3480000000000001</v>
      </c>
      <c r="P2026" s="99">
        <f>IFERROR(VLOOKUP(B2026,'Pre-Summary'!$BS$6:$BU$35,3,FALSE),P2025)</f>
        <v>0.33700000000000002</v>
      </c>
      <c r="Q2026" s="54">
        <f t="shared" si="93"/>
        <v>4</v>
      </c>
      <c r="R2026" s="53">
        <f>IFERROR(VLOOKUP(B2026,'Pre-Summary'!$BG$6:$BM$44,7,FALSE),R2027)</f>
        <v>7.3789975262610413E-2</v>
      </c>
      <c r="S2026" s="53">
        <f>IFERROR(VLOOKUP(B2026,'Pre-Summary'!$BG$6:$BM$44,6,FALSE),S2027)</f>
        <v>5.2064631956901149E-2</v>
      </c>
      <c r="T2026" s="45" t="str">
        <f>IFERROR(VLOOKUP(B2026,'Pre-Summary'!$Y$6:$AC$83, 3,FALSE),"")</f>
        <v/>
      </c>
      <c r="U2026" s="45" t="str">
        <f>IFERROR(VLOOKUP(B2026,'Pre-Summary'!$Y$6:$AC$83, 4,FALSE),"")</f>
        <v/>
      </c>
      <c r="V2026" t="str">
        <f>IFERROR(VLOOKUP(B2026,'Pre-Summary'!$Y$6:$AC$83, 5,FALSE),"")</f>
        <v/>
      </c>
      <c r="W2026" s="45" t="str">
        <f>IFERROR(VLOOKUP(B2026,'Pre-Summary'!$Y$6:$AD$83,6,FALSE),"")</f>
        <v/>
      </c>
      <c r="X2026" t="str">
        <f>IFERROR(VLOOKUP('Pre-Summary'!$DB$6:$DD$63,3,FALSE),"")</f>
        <v/>
      </c>
      <c r="Y2026" t="str">
        <f>IFERROR(VLOOKUP(B2026,'Pre-Summary'!$CR$6:$CT$36,3,FALSE),"")</f>
        <v/>
      </c>
      <c r="Z2026" s="45" t="str">
        <f>IFERROR(VLOOKUP(B2026,'Pre-Summary'!$BZ$6:$CB$63,2,FALSE),"")</f>
        <v/>
      </c>
      <c r="AA2026" s="45" t="str">
        <f>IFERROR(VLOOKUP(B2026,'Pre-Summary'!$CG$6:$CI$70,2,FALSE),"")</f>
        <v/>
      </c>
      <c r="AB2026" s="99">
        <f>IFERROR(VLOOKUP(B2026,'Pre-Summary'!$A$6:$P$178,9,FALSE),AB2027)</f>
        <v>0.36537845683656439</v>
      </c>
      <c r="AC2026" s="10">
        <f>IFERROR(VLOOKUP(Summary!B2026,'Pre-Summary'!$A$6:$P$184,5, FALSE)/100,AC2027)</f>
        <v>0.94801700000000022</v>
      </c>
      <c r="AD2026" s="10">
        <f>IFERROR(VLOOKUP(Summary!B2026,'Pre-Summary'!$A$6:$P$184,3, FALSE)/100,AD2027)</f>
        <v>4.393933333333333E-2</v>
      </c>
      <c r="AE2026" s="10">
        <f>IFERROR(VLOOKUP(Summary!B2026,'Pre-Summary'!$A$6:$P$184,7, FALSE)/100,AE2027)</f>
        <v>8.044666666666667E-3</v>
      </c>
      <c r="AF2026" s="99">
        <f t="shared" si="94"/>
        <v>1.6054485807760747E-2</v>
      </c>
      <c r="AG2026" s="99">
        <f t="shared" si="95"/>
        <v>2.939347892431215E-3</v>
      </c>
      <c r="AH2026" s="10" t="str">
        <f>IFERROR(VLOOKUP(B2026,'Pre-Summary'!$AZ$6:$BE$65,3,FALSE),"")</f>
        <v/>
      </c>
      <c r="AI2026" s="10" t="str">
        <f>IFERROR(VLOOKUP(B2026,'Pre-Summary'!$AZ$6:$BE$65,5,FALSE),"")</f>
        <v/>
      </c>
      <c r="AJ2026" s="10" t="str">
        <f>IFERROR(VLOOKUP(B2026,'Pre-Summary'!$AZ$6:$BE$65,4,FALSE),"")</f>
        <v/>
      </c>
      <c r="AK2026" s="10" t="str">
        <f>IFERROR(VLOOKUP(B2026,'Pre-Summary'!$AZ$6:$BE$65,6,FALSE),"")</f>
        <v/>
      </c>
      <c r="AL2026" s="10" t="str">
        <f>IFERROR(VLOOKUP(B2026,'Pre-Summary'!$BG$6:$BL$44,3,FALSE),"")</f>
        <v/>
      </c>
      <c r="AM2026" s="10" t="str">
        <f>IFERROR(VLOOKUP(B2026,'Pre-Summary'!$BG$6:$BL$44,4,FALSE),"")</f>
        <v/>
      </c>
    </row>
    <row r="2027" spans="2:39" ht="15" customHeight="1" x14ac:dyDescent="0.3">
      <c r="B2027">
        <v>202.4</v>
      </c>
      <c r="C2027" t="str">
        <f>IFERROR(VLOOKUP(B2027,'Pre-Summary'!$DI$6:$DM$23,4,FALSE),"")</f>
        <v/>
      </c>
      <c r="D2027" s="10" t="str">
        <f>IFERROR(VLOOKUP(B2027,'Pre-Summary'!$AT$6:$AX$14,5,FALSE),D2026)</f>
        <v>Wolfe v3: went back to modified wolfe + EDTA and switched CuSO4 to CUCl2</v>
      </c>
      <c r="E2027" s="10" t="str">
        <f>IFERROR(VLOOKUP(B2027,'Pre-Summary'!$AT$6:$AX$15,4,FALSE),"")</f>
        <v/>
      </c>
      <c r="F2027">
        <f>IFERROR(VLOOKUP(B2027,'Pre-Summary'!$AL$6:$AQ$13,6,FALSE),F2026)</f>
        <v>5.9405263157894746E-2</v>
      </c>
      <c r="G2027" t="str">
        <f>IFERROR(VLOOKUP(B2027,'Pre-Summary'!$AE$6:$AJ$85,3,FALSE),"")</f>
        <v/>
      </c>
      <c r="H2027" t="str">
        <f>IFERROR(VLOOKUP(B2027,'Pre-Summary'!$AE$6:$AJ$85,4,FALSE),"")</f>
        <v/>
      </c>
      <c r="I2027" t="str">
        <f>IFERROR(VLOOKUP(B2027,'Pre-Summary'!$AE$6:$AJ$85,5,FALSE),"")</f>
        <v/>
      </c>
      <c r="J2027" s="45" t="str">
        <f>IFERROR(VLOOKUP(B2027,'Pre-Summary'!$AE$6:$AJ$85,6, FALSE),"")</f>
        <v/>
      </c>
      <c r="K2027" s="45" t="str">
        <f>IFERROR(VLOOKUP(B2027,'Pre-Summary'!$DE$6:$DG$61,3,FALSE),"")</f>
        <v/>
      </c>
      <c r="L2027" s="45" t="str">
        <f>IFERROR(VLOOKUP(B2027,'Pre-Summary'!$CU$6:$CW$36,3,FALSE),"")</f>
        <v/>
      </c>
      <c r="M2027" s="45" t="str">
        <f>IFERROR(VLOOKUP(B2027,'Pre-Summary'!$BW$6:$BY$58,2,FALSE),"")</f>
        <v/>
      </c>
      <c r="N2027" s="45" t="str">
        <f>IFERROR(VLOOKUP(B2027,'Pre-Summary'!$CD$6:$CF$64,2,FALSE),"")</f>
        <v/>
      </c>
      <c r="O2027" s="99">
        <f>IFERROR(VLOOKUP(B2027,'Pre-Summary'!$BO$6:$BQ$48,3, FALSE),O2026)</f>
        <v>1.3480000000000001</v>
      </c>
      <c r="P2027" s="99">
        <f>IFERROR(VLOOKUP(B2027,'Pre-Summary'!$BS$6:$BU$35,3,FALSE),P2026)</f>
        <v>0.33700000000000002</v>
      </c>
      <c r="Q2027" s="54">
        <f t="shared" si="93"/>
        <v>4</v>
      </c>
      <c r="R2027" s="53">
        <f>IFERROR(VLOOKUP(B2027,'Pre-Summary'!$BG$6:$BM$44,7,FALSE),R2028)</f>
        <v>7.3789975262610413E-2</v>
      </c>
      <c r="S2027" s="53">
        <f>IFERROR(VLOOKUP(B2027,'Pre-Summary'!$BG$6:$BM$44,6,FALSE),S2028)</f>
        <v>5.2064631956901149E-2</v>
      </c>
      <c r="T2027" s="45" t="str">
        <f>IFERROR(VLOOKUP(B2027,'Pre-Summary'!$Y$6:$AC$83, 3,FALSE),"")</f>
        <v/>
      </c>
      <c r="U2027" s="45" t="str">
        <f>IFERROR(VLOOKUP(B2027,'Pre-Summary'!$Y$6:$AC$83, 4,FALSE),"")</f>
        <v/>
      </c>
      <c r="V2027" t="str">
        <f>IFERROR(VLOOKUP(B2027,'Pre-Summary'!$Y$6:$AC$83, 5,FALSE),"")</f>
        <v/>
      </c>
      <c r="W2027" s="45" t="str">
        <f>IFERROR(VLOOKUP(B2027,'Pre-Summary'!$Y$6:$AD$83,6,FALSE),"")</f>
        <v/>
      </c>
      <c r="X2027" t="str">
        <f>IFERROR(VLOOKUP('Pre-Summary'!$DB$6:$DD$63,3,FALSE),"")</f>
        <v/>
      </c>
      <c r="Y2027" t="str">
        <f>IFERROR(VLOOKUP(B2027,'Pre-Summary'!$CR$6:$CT$36,3,FALSE),"")</f>
        <v/>
      </c>
      <c r="Z2027" s="45" t="str">
        <f>IFERROR(VLOOKUP(B2027,'Pre-Summary'!$BZ$6:$CB$63,2,FALSE),"")</f>
        <v/>
      </c>
      <c r="AA2027" s="45" t="str">
        <f>IFERROR(VLOOKUP(B2027,'Pre-Summary'!$CG$6:$CI$70,2,FALSE),"")</f>
        <v/>
      </c>
      <c r="AB2027" s="99">
        <f>IFERROR(VLOOKUP(B2027,'Pre-Summary'!$A$6:$P$178,9,FALSE),AB2028)</f>
        <v>0.36537845683656439</v>
      </c>
      <c r="AC2027" s="10">
        <f>IFERROR(VLOOKUP(Summary!B2027,'Pre-Summary'!$A$6:$P$184,5, FALSE)/100,AC2028)</f>
        <v>0.94801700000000022</v>
      </c>
      <c r="AD2027" s="10">
        <f>IFERROR(VLOOKUP(Summary!B2027,'Pre-Summary'!$A$6:$P$184,3, FALSE)/100,AD2028)</f>
        <v>4.393933333333333E-2</v>
      </c>
      <c r="AE2027" s="10">
        <f>IFERROR(VLOOKUP(Summary!B2027,'Pre-Summary'!$A$6:$P$184,7, FALSE)/100,AE2028)</f>
        <v>8.044666666666667E-3</v>
      </c>
      <c r="AF2027" s="99">
        <f t="shared" si="94"/>
        <v>1.6054485807760747E-2</v>
      </c>
      <c r="AG2027" s="99">
        <f t="shared" si="95"/>
        <v>2.939347892431215E-3</v>
      </c>
      <c r="AH2027" s="10" t="str">
        <f>IFERROR(VLOOKUP(B2027,'Pre-Summary'!$AZ$6:$BE$65,3,FALSE),"")</f>
        <v/>
      </c>
      <c r="AI2027" s="10" t="str">
        <f>IFERROR(VLOOKUP(B2027,'Pre-Summary'!$AZ$6:$BE$65,5,FALSE),"")</f>
        <v/>
      </c>
      <c r="AJ2027" s="10" t="str">
        <f>IFERROR(VLOOKUP(B2027,'Pre-Summary'!$AZ$6:$BE$65,4,FALSE),"")</f>
        <v/>
      </c>
      <c r="AK2027" s="10" t="str">
        <f>IFERROR(VLOOKUP(B2027,'Pre-Summary'!$AZ$6:$BE$65,6,FALSE),"")</f>
        <v/>
      </c>
      <c r="AL2027" s="10" t="str">
        <f>IFERROR(VLOOKUP(B2027,'Pre-Summary'!$BG$6:$BL$44,3,FALSE),"")</f>
        <v/>
      </c>
      <c r="AM2027" s="10" t="str">
        <f>IFERROR(VLOOKUP(B2027,'Pre-Summary'!$BG$6:$BL$44,4,FALSE),"")</f>
        <v/>
      </c>
    </row>
    <row r="2028" spans="2:39" ht="15" customHeight="1" x14ac:dyDescent="0.3">
      <c r="B2028">
        <v>202.5</v>
      </c>
      <c r="C2028" t="str">
        <f>IFERROR(VLOOKUP(B2028,'Pre-Summary'!$DI$6:$DM$23,4,FALSE),"")</f>
        <v/>
      </c>
      <c r="D2028" s="10" t="str">
        <f>IFERROR(VLOOKUP(B2028,'Pre-Summary'!$AT$6:$AX$14,5,FALSE),D2027)</f>
        <v>Wolfe v3: went back to modified wolfe + EDTA and switched CuSO4 to CUCl2</v>
      </c>
      <c r="E2028" s="10" t="str">
        <f>IFERROR(VLOOKUP(B2028,'Pre-Summary'!$AT$6:$AX$15,4,FALSE),"")</f>
        <v/>
      </c>
      <c r="F2028">
        <f>IFERROR(VLOOKUP(B2028,'Pre-Summary'!$AL$6:$AQ$13,6,FALSE),F2027)</f>
        <v>5.9405263157894746E-2</v>
      </c>
      <c r="G2028" t="str">
        <f>IFERROR(VLOOKUP(B2028,'Pre-Summary'!$AE$6:$AJ$85,3,FALSE),"")</f>
        <v/>
      </c>
      <c r="H2028" t="str">
        <f>IFERROR(VLOOKUP(B2028,'Pre-Summary'!$AE$6:$AJ$85,4,FALSE),"")</f>
        <v/>
      </c>
      <c r="I2028" t="str">
        <f>IFERROR(VLOOKUP(B2028,'Pre-Summary'!$AE$6:$AJ$85,5,FALSE),"")</f>
        <v/>
      </c>
      <c r="J2028" s="45" t="str">
        <f>IFERROR(VLOOKUP(B2028,'Pre-Summary'!$AE$6:$AJ$85,6, FALSE),"")</f>
        <v/>
      </c>
      <c r="K2028" s="45" t="str">
        <f>IFERROR(VLOOKUP(B2028,'Pre-Summary'!$DE$6:$DG$61,3,FALSE),"")</f>
        <v/>
      </c>
      <c r="L2028" s="45" t="str">
        <f>IFERROR(VLOOKUP(B2028,'Pre-Summary'!$CU$6:$CW$36,3,FALSE),"")</f>
        <v/>
      </c>
      <c r="M2028" s="45" t="str">
        <f>IFERROR(VLOOKUP(B2028,'Pre-Summary'!$BW$6:$BY$58,2,FALSE),"")</f>
        <v/>
      </c>
      <c r="N2028" s="45" t="str">
        <f>IFERROR(VLOOKUP(B2028,'Pre-Summary'!$CD$6:$CF$64,2,FALSE),"")</f>
        <v/>
      </c>
      <c r="O2028" s="99">
        <f>IFERROR(VLOOKUP(B2028,'Pre-Summary'!$BO$6:$BQ$48,3, FALSE),O2027)</f>
        <v>1.3480000000000001</v>
      </c>
      <c r="P2028" s="99">
        <f>IFERROR(VLOOKUP(B2028,'Pre-Summary'!$BS$6:$BU$35,3,FALSE),P2027)</f>
        <v>0.33700000000000002</v>
      </c>
      <c r="Q2028" s="54">
        <f t="shared" si="93"/>
        <v>4</v>
      </c>
      <c r="R2028" s="53">
        <f>IFERROR(VLOOKUP(B2028,'Pre-Summary'!$BG$6:$BM$44,7,FALSE),R2029)</f>
        <v>7.3789975262610413E-2</v>
      </c>
      <c r="S2028" s="53">
        <f>IFERROR(VLOOKUP(B2028,'Pre-Summary'!$BG$6:$BM$44,6,FALSE),S2029)</f>
        <v>5.2064631956901149E-2</v>
      </c>
      <c r="T2028" s="45" t="str">
        <f>IFERROR(VLOOKUP(B2028,'Pre-Summary'!$Y$6:$AC$83, 3,FALSE),"")</f>
        <v/>
      </c>
      <c r="U2028" s="45" t="str">
        <f>IFERROR(VLOOKUP(B2028,'Pre-Summary'!$Y$6:$AC$83, 4,FALSE),"")</f>
        <v/>
      </c>
      <c r="V2028" t="str">
        <f>IFERROR(VLOOKUP(B2028,'Pre-Summary'!$Y$6:$AC$83, 5,FALSE),"")</f>
        <v/>
      </c>
      <c r="W2028" s="45" t="str">
        <f>IFERROR(VLOOKUP(B2028,'Pre-Summary'!$Y$6:$AD$83,6,FALSE),"")</f>
        <v/>
      </c>
      <c r="X2028" t="str">
        <f>IFERROR(VLOOKUP('Pre-Summary'!$DB$6:$DD$63,3,FALSE),"")</f>
        <v/>
      </c>
      <c r="Y2028" t="str">
        <f>IFERROR(VLOOKUP(B2028,'Pre-Summary'!$CR$6:$CT$36,3,FALSE),"")</f>
        <v/>
      </c>
      <c r="Z2028" s="45" t="str">
        <f>IFERROR(VLOOKUP(B2028,'Pre-Summary'!$BZ$6:$CB$63,2,FALSE),"")</f>
        <v/>
      </c>
      <c r="AA2028" s="45" t="str">
        <f>IFERROR(VLOOKUP(B2028,'Pre-Summary'!$CG$6:$CI$70,2,FALSE),"")</f>
        <v/>
      </c>
      <c r="AB2028" s="99">
        <f>IFERROR(VLOOKUP(B2028,'Pre-Summary'!$A$6:$P$178,9,FALSE),AB2029)</f>
        <v>0.36537845683656439</v>
      </c>
      <c r="AC2028" s="10">
        <f>IFERROR(VLOOKUP(Summary!B2028,'Pre-Summary'!$A$6:$P$184,5, FALSE)/100,AC2029)</f>
        <v>0.94801700000000022</v>
      </c>
      <c r="AD2028" s="10">
        <f>IFERROR(VLOOKUP(Summary!B2028,'Pre-Summary'!$A$6:$P$184,3, FALSE)/100,AD2029)</f>
        <v>4.393933333333333E-2</v>
      </c>
      <c r="AE2028" s="10">
        <f>IFERROR(VLOOKUP(Summary!B2028,'Pre-Summary'!$A$6:$P$184,7, FALSE)/100,AE2029)</f>
        <v>8.044666666666667E-3</v>
      </c>
      <c r="AF2028" s="99">
        <f t="shared" si="94"/>
        <v>1.6054485807760747E-2</v>
      </c>
      <c r="AG2028" s="99">
        <f t="shared" si="95"/>
        <v>2.939347892431215E-3</v>
      </c>
      <c r="AH2028" s="10" t="str">
        <f>IFERROR(VLOOKUP(B2028,'Pre-Summary'!$AZ$6:$BE$65,3,FALSE),"")</f>
        <v/>
      </c>
      <c r="AI2028" s="10" t="str">
        <f>IFERROR(VLOOKUP(B2028,'Pre-Summary'!$AZ$6:$BE$65,5,FALSE),"")</f>
        <v/>
      </c>
      <c r="AJ2028" s="10" t="str">
        <f>IFERROR(VLOOKUP(B2028,'Pre-Summary'!$AZ$6:$BE$65,4,FALSE),"")</f>
        <v/>
      </c>
      <c r="AK2028" s="10" t="str">
        <f>IFERROR(VLOOKUP(B2028,'Pre-Summary'!$AZ$6:$BE$65,6,FALSE),"")</f>
        <v/>
      </c>
      <c r="AL2028" s="10" t="str">
        <f>IFERROR(VLOOKUP(B2028,'Pre-Summary'!$BG$6:$BL$44,3,FALSE),"")</f>
        <v/>
      </c>
      <c r="AM2028" s="10" t="str">
        <f>IFERROR(VLOOKUP(B2028,'Pre-Summary'!$BG$6:$BL$44,4,FALSE),"")</f>
        <v/>
      </c>
    </row>
    <row r="2029" spans="2:39" ht="15" customHeight="1" x14ac:dyDescent="0.3">
      <c r="B2029">
        <v>202.6</v>
      </c>
      <c r="C2029" t="str">
        <f>IFERROR(VLOOKUP(B2029,'Pre-Summary'!$DI$6:$DM$23,4,FALSE),"")</f>
        <v/>
      </c>
      <c r="D2029" s="10" t="str">
        <f>IFERROR(VLOOKUP(B2029,'Pre-Summary'!$AT$6:$AX$14,5,FALSE),D2028)</f>
        <v>Wolfe v3: went back to modified wolfe + EDTA and switched CuSO4 to CUCl2</v>
      </c>
      <c r="E2029" s="10" t="str">
        <f>IFERROR(VLOOKUP(B2029,'Pre-Summary'!$AT$6:$AX$15,4,FALSE),"")</f>
        <v/>
      </c>
      <c r="F2029">
        <f>IFERROR(VLOOKUP(B2029,'Pre-Summary'!$AL$6:$AQ$13,6,FALSE),F2028)</f>
        <v>5.9405263157894746E-2</v>
      </c>
      <c r="G2029" t="str">
        <f>IFERROR(VLOOKUP(B2029,'Pre-Summary'!$AE$6:$AJ$85,3,FALSE),"")</f>
        <v/>
      </c>
      <c r="H2029" t="str">
        <f>IFERROR(VLOOKUP(B2029,'Pre-Summary'!$AE$6:$AJ$85,4,FALSE),"")</f>
        <v/>
      </c>
      <c r="I2029" t="str">
        <f>IFERROR(VLOOKUP(B2029,'Pre-Summary'!$AE$6:$AJ$85,5,FALSE),"")</f>
        <v/>
      </c>
      <c r="J2029" s="45" t="str">
        <f>IFERROR(VLOOKUP(B2029,'Pre-Summary'!$AE$6:$AJ$85,6, FALSE),"")</f>
        <v/>
      </c>
      <c r="K2029" s="45" t="str">
        <f>IFERROR(VLOOKUP(B2029,'Pre-Summary'!$DE$6:$DG$61,3,FALSE),"")</f>
        <v/>
      </c>
      <c r="L2029" s="45" t="str">
        <f>IFERROR(VLOOKUP(B2029,'Pre-Summary'!$CU$6:$CW$36,3,FALSE),"")</f>
        <v/>
      </c>
      <c r="M2029" s="45" t="str">
        <f>IFERROR(VLOOKUP(B2029,'Pre-Summary'!$BW$6:$BY$58,2,FALSE),"")</f>
        <v/>
      </c>
      <c r="N2029" s="45" t="str">
        <f>IFERROR(VLOOKUP(B2029,'Pre-Summary'!$CD$6:$CF$64,2,FALSE),"")</f>
        <v/>
      </c>
      <c r="O2029" s="99">
        <f>IFERROR(VLOOKUP(B2029,'Pre-Summary'!$BO$6:$BQ$48,3, FALSE),O2028)</f>
        <v>1.3480000000000001</v>
      </c>
      <c r="P2029" s="99">
        <f>IFERROR(VLOOKUP(B2029,'Pre-Summary'!$BS$6:$BU$35,3,FALSE),P2028)</f>
        <v>0.33700000000000002</v>
      </c>
      <c r="Q2029" s="54">
        <f t="shared" si="93"/>
        <v>4</v>
      </c>
      <c r="R2029" s="53">
        <f>IFERROR(VLOOKUP(B2029,'Pre-Summary'!$BG$6:$BM$44,7,FALSE),R2030)</f>
        <v>7.3789975262610413E-2</v>
      </c>
      <c r="S2029" s="53">
        <f>IFERROR(VLOOKUP(B2029,'Pre-Summary'!$BG$6:$BM$44,6,FALSE),S2030)</f>
        <v>5.2064631956901149E-2</v>
      </c>
      <c r="T2029" s="45" t="str">
        <f>IFERROR(VLOOKUP(B2029,'Pre-Summary'!$Y$6:$AC$83, 3,FALSE),"")</f>
        <v/>
      </c>
      <c r="U2029" s="45" t="str">
        <f>IFERROR(VLOOKUP(B2029,'Pre-Summary'!$Y$6:$AC$83, 4,FALSE),"")</f>
        <v/>
      </c>
      <c r="V2029" t="str">
        <f>IFERROR(VLOOKUP(B2029,'Pre-Summary'!$Y$6:$AC$83, 5,FALSE),"")</f>
        <v/>
      </c>
      <c r="W2029" s="45" t="str">
        <f>IFERROR(VLOOKUP(B2029,'Pre-Summary'!$Y$6:$AD$83,6,FALSE),"")</f>
        <v/>
      </c>
      <c r="X2029" t="str">
        <f>IFERROR(VLOOKUP('Pre-Summary'!$DB$6:$DD$63,3,FALSE),"")</f>
        <v/>
      </c>
      <c r="Y2029" t="str">
        <f>IFERROR(VLOOKUP(B2029,'Pre-Summary'!$CR$6:$CT$36,3,FALSE),"")</f>
        <v/>
      </c>
      <c r="Z2029" s="45" t="str">
        <f>IFERROR(VLOOKUP(B2029,'Pre-Summary'!$BZ$6:$CB$63,2,FALSE),"")</f>
        <v/>
      </c>
      <c r="AA2029" s="45" t="str">
        <f>IFERROR(VLOOKUP(B2029,'Pre-Summary'!$CG$6:$CI$70,2,FALSE),"")</f>
        <v/>
      </c>
      <c r="AB2029" s="99">
        <f>IFERROR(VLOOKUP(B2029,'Pre-Summary'!$A$6:$P$178,9,FALSE),AB2030)</f>
        <v>0.36537845683656439</v>
      </c>
      <c r="AC2029" s="10">
        <f>IFERROR(VLOOKUP(Summary!B2029,'Pre-Summary'!$A$6:$P$184,5, FALSE)/100,AC2030)</f>
        <v>0.94801700000000022</v>
      </c>
      <c r="AD2029" s="10">
        <f>IFERROR(VLOOKUP(Summary!B2029,'Pre-Summary'!$A$6:$P$184,3, FALSE)/100,AD2030)</f>
        <v>4.393933333333333E-2</v>
      </c>
      <c r="AE2029" s="10">
        <f>IFERROR(VLOOKUP(Summary!B2029,'Pre-Summary'!$A$6:$P$184,7, FALSE)/100,AE2030)</f>
        <v>8.044666666666667E-3</v>
      </c>
      <c r="AF2029" s="99">
        <f t="shared" si="94"/>
        <v>1.6054485807760747E-2</v>
      </c>
      <c r="AG2029" s="99">
        <f t="shared" si="95"/>
        <v>2.939347892431215E-3</v>
      </c>
      <c r="AH2029" s="10" t="str">
        <f>IFERROR(VLOOKUP(B2029,'Pre-Summary'!$AZ$6:$BE$65,3,FALSE),"")</f>
        <v/>
      </c>
      <c r="AI2029" s="10" t="str">
        <f>IFERROR(VLOOKUP(B2029,'Pre-Summary'!$AZ$6:$BE$65,5,FALSE),"")</f>
        <v/>
      </c>
      <c r="AJ2029" s="10" t="str">
        <f>IFERROR(VLOOKUP(B2029,'Pre-Summary'!$AZ$6:$BE$65,4,FALSE),"")</f>
        <v/>
      </c>
      <c r="AK2029" s="10" t="str">
        <f>IFERROR(VLOOKUP(B2029,'Pre-Summary'!$AZ$6:$BE$65,6,FALSE),"")</f>
        <v/>
      </c>
      <c r="AL2029" s="10" t="str">
        <f>IFERROR(VLOOKUP(B2029,'Pre-Summary'!$BG$6:$BL$44,3,FALSE),"")</f>
        <v/>
      </c>
      <c r="AM2029" s="10" t="str">
        <f>IFERROR(VLOOKUP(B2029,'Pre-Summary'!$BG$6:$BL$44,4,FALSE),"")</f>
        <v/>
      </c>
    </row>
    <row r="2030" spans="2:39" ht="15" customHeight="1" x14ac:dyDescent="0.3">
      <c r="B2030">
        <v>202.7</v>
      </c>
      <c r="C2030" t="str">
        <f>IFERROR(VLOOKUP(B2030,'Pre-Summary'!$DI$6:$DM$23,4,FALSE),"")</f>
        <v/>
      </c>
      <c r="D2030" s="10" t="str">
        <f>IFERROR(VLOOKUP(B2030,'Pre-Summary'!$AT$6:$AX$14,5,FALSE),D2029)</f>
        <v>Wolfe v3: went back to modified wolfe + EDTA and switched CuSO4 to CUCl2</v>
      </c>
      <c r="E2030" s="10" t="str">
        <f>IFERROR(VLOOKUP(B2030,'Pre-Summary'!$AT$6:$AX$15,4,FALSE),"")</f>
        <v/>
      </c>
      <c r="F2030">
        <f>IFERROR(VLOOKUP(B2030,'Pre-Summary'!$AL$6:$AQ$13,6,FALSE),F2029)</f>
        <v>5.9405263157894746E-2</v>
      </c>
      <c r="G2030" t="str">
        <f>IFERROR(VLOOKUP(B2030,'Pre-Summary'!$AE$6:$AJ$85,3,FALSE),"")</f>
        <v/>
      </c>
      <c r="H2030" t="str">
        <f>IFERROR(VLOOKUP(B2030,'Pre-Summary'!$AE$6:$AJ$85,4,FALSE),"")</f>
        <v/>
      </c>
      <c r="I2030" t="str">
        <f>IFERROR(VLOOKUP(B2030,'Pre-Summary'!$AE$6:$AJ$85,5,FALSE),"")</f>
        <v/>
      </c>
      <c r="J2030" s="45" t="str">
        <f>IFERROR(VLOOKUP(B2030,'Pre-Summary'!$AE$6:$AJ$85,6, FALSE),"")</f>
        <v/>
      </c>
      <c r="K2030" s="45" t="str">
        <f>IFERROR(VLOOKUP(B2030,'Pre-Summary'!$DE$6:$DG$61,3,FALSE),"")</f>
        <v/>
      </c>
      <c r="L2030" s="45" t="str">
        <f>IFERROR(VLOOKUP(B2030,'Pre-Summary'!$CU$6:$CW$36,3,FALSE),"")</f>
        <v/>
      </c>
      <c r="M2030" s="45" t="str">
        <f>IFERROR(VLOOKUP(B2030,'Pre-Summary'!$BW$6:$BY$58,2,FALSE),"")</f>
        <v/>
      </c>
      <c r="N2030" s="45" t="str">
        <f>IFERROR(VLOOKUP(B2030,'Pre-Summary'!$CD$6:$CF$64,2,FALSE),"")</f>
        <v/>
      </c>
      <c r="O2030" s="99">
        <f>IFERROR(VLOOKUP(B2030,'Pre-Summary'!$BO$6:$BQ$48,3, FALSE),O2029)</f>
        <v>1.3480000000000001</v>
      </c>
      <c r="P2030" s="99">
        <f>IFERROR(VLOOKUP(B2030,'Pre-Summary'!$BS$6:$BU$35,3,FALSE),P2029)</f>
        <v>0.33700000000000002</v>
      </c>
      <c r="Q2030" s="54">
        <f t="shared" si="93"/>
        <v>4</v>
      </c>
      <c r="R2030" s="53">
        <f>IFERROR(VLOOKUP(B2030,'Pre-Summary'!$BG$6:$BM$44,7,FALSE),R2031)</f>
        <v>7.3789975262610413E-2</v>
      </c>
      <c r="S2030" s="53">
        <f>IFERROR(VLOOKUP(B2030,'Pre-Summary'!$BG$6:$BM$44,6,FALSE),S2031)</f>
        <v>5.2064631956901149E-2</v>
      </c>
      <c r="T2030" s="45" t="str">
        <f>IFERROR(VLOOKUP(B2030,'Pre-Summary'!$Y$6:$AC$83, 3,FALSE),"")</f>
        <v/>
      </c>
      <c r="U2030" s="45" t="str">
        <f>IFERROR(VLOOKUP(B2030,'Pre-Summary'!$Y$6:$AC$83, 4,FALSE),"")</f>
        <v/>
      </c>
      <c r="V2030" t="str">
        <f>IFERROR(VLOOKUP(B2030,'Pre-Summary'!$Y$6:$AC$83, 5,FALSE),"")</f>
        <v/>
      </c>
      <c r="W2030" s="45" t="str">
        <f>IFERROR(VLOOKUP(B2030,'Pre-Summary'!$Y$6:$AD$83,6,FALSE),"")</f>
        <v/>
      </c>
      <c r="X2030" t="str">
        <f>IFERROR(VLOOKUP('Pre-Summary'!$DB$6:$DD$63,3,FALSE),"")</f>
        <v/>
      </c>
      <c r="Y2030" t="str">
        <f>IFERROR(VLOOKUP(B2030,'Pre-Summary'!$CR$6:$CT$36,3,FALSE),"")</f>
        <v/>
      </c>
      <c r="Z2030" s="45" t="str">
        <f>IFERROR(VLOOKUP(B2030,'Pre-Summary'!$BZ$6:$CB$63,2,FALSE),"")</f>
        <v/>
      </c>
      <c r="AA2030" s="45" t="str">
        <f>IFERROR(VLOOKUP(B2030,'Pre-Summary'!$CG$6:$CI$70,2,FALSE),"")</f>
        <v/>
      </c>
      <c r="AB2030" s="99">
        <f>IFERROR(VLOOKUP(B2030,'Pre-Summary'!$A$6:$P$178,9,FALSE),AB2031)</f>
        <v>0.36537845683656439</v>
      </c>
      <c r="AC2030" s="10">
        <f>IFERROR(VLOOKUP(Summary!B2030,'Pre-Summary'!$A$6:$P$184,5, FALSE)/100,AC2031)</f>
        <v>0.94801700000000022</v>
      </c>
      <c r="AD2030" s="10">
        <f>IFERROR(VLOOKUP(Summary!B2030,'Pre-Summary'!$A$6:$P$184,3, FALSE)/100,AD2031)</f>
        <v>4.393933333333333E-2</v>
      </c>
      <c r="AE2030" s="10">
        <f>IFERROR(VLOOKUP(Summary!B2030,'Pre-Summary'!$A$6:$P$184,7, FALSE)/100,AE2031)</f>
        <v>8.044666666666667E-3</v>
      </c>
      <c r="AF2030" s="99">
        <f t="shared" si="94"/>
        <v>1.6054485807760747E-2</v>
      </c>
      <c r="AG2030" s="99">
        <f t="shared" si="95"/>
        <v>2.939347892431215E-3</v>
      </c>
      <c r="AH2030" s="10" t="str">
        <f>IFERROR(VLOOKUP(B2030,'Pre-Summary'!$AZ$6:$BE$65,3,FALSE),"")</f>
        <v/>
      </c>
      <c r="AI2030" s="10" t="str">
        <f>IFERROR(VLOOKUP(B2030,'Pre-Summary'!$AZ$6:$BE$65,5,FALSE),"")</f>
        <v/>
      </c>
      <c r="AJ2030" s="10" t="str">
        <f>IFERROR(VLOOKUP(B2030,'Pre-Summary'!$AZ$6:$BE$65,4,FALSE),"")</f>
        <v/>
      </c>
      <c r="AK2030" s="10" t="str">
        <f>IFERROR(VLOOKUP(B2030,'Pre-Summary'!$AZ$6:$BE$65,6,FALSE),"")</f>
        <v/>
      </c>
      <c r="AL2030" s="10" t="str">
        <f>IFERROR(VLOOKUP(B2030,'Pre-Summary'!$BG$6:$BL$44,3,FALSE),"")</f>
        <v/>
      </c>
      <c r="AM2030" s="10" t="str">
        <f>IFERROR(VLOOKUP(B2030,'Pre-Summary'!$BG$6:$BL$44,4,FALSE),"")</f>
        <v/>
      </c>
    </row>
    <row r="2031" spans="2:39" ht="15" customHeight="1" x14ac:dyDescent="0.3">
      <c r="B2031">
        <v>202.8</v>
      </c>
      <c r="C2031" t="str">
        <f>IFERROR(VLOOKUP(B2031,'Pre-Summary'!$DI$6:$DM$23,4,FALSE),"")</f>
        <v/>
      </c>
      <c r="D2031" s="10" t="str">
        <f>IFERROR(VLOOKUP(B2031,'Pre-Summary'!$AT$6:$AX$14,5,FALSE),D2030)</f>
        <v>Wolfe v3: went back to modified wolfe + EDTA and switched CuSO4 to CUCl2</v>
      </c>
      <c r="E2031" s="10" t="str">
        <f>IFERROR(VLOOKUP(B2031,'Pre-Summary'!$AT$6:$AX$15,4,FALSE),"")</f>
        <v/>
      </c>
      <c r="F2031">
        <f>IFERROR(VLOOKUP(B2031,'Pre-Summary'!$AL$6:$AQ$13,6,FALSE),F2030)</f>
        <v>5.9405263157894746E-2</v>
      </c>
      <c r="G2031" t="str">
        <f>IFERROR(VLOOKUP(B2031,'Pre-Summary'!$AE$6:$AJ$85,3,FALSE),"")</f>
        <v/>
      </c>
      <c r="H2031" t="str">
        <f>IFERROR(VLOOKUP(B2031,'Pre-Summary'!$AE$6:$AJ$85,4,FALSE),"")</f>
        <v/>
      </c>
      <c r="I2031" t="str">
        <f>IFERROR(VLOOKUP(B2031,'Pre-Summary'!$AE$6:$AJ$85,5,FALSE),"")</f>
        <v/>
      </c>
      <c r="J2031" s="45" t="str">
        <f>IFERROR(VLOOKUP(B2031,'Pre-Summary'!$AE$6:$AJ$85,6, FALSE),"")</f>
        <v/>
      </c>
      <c r="K2031" s="45" t="str">
        <f>IFERROR(VLOOKUP(B2031,'Pre-Summary'!$DE$6:$DG$61,3,FALSE),"")</f>
        <v/>
      </c>
      <c r="L2031" s="45" t="str">
        <f>IFERROR(VLOOKUP(B2031,'Pre-Summary'!$CU$6:$CW$36,3,FALSE),"")</f>
        <v/>
      </c>
      <c r="M2031" s="45" t="str">
        <f>IFERROR(VLOOKUP(B2031,'Pre-Summary'!$BW$6:$BY$58,2,FALSE),"")</f>
        <v/>
      </c>
      <c r="N2031" s="45" t="str">
        <f>IFERROR(VLOOKUP(B2031,'Pre-Summary'!$CD$6:$CF$64,2,FALSE),"")</f>
        <v/>
      </c>
      <c r="O2031" s="99">
        <f>IFERROR(VLOOKUP(B2031,'Pre-Summary'!$BO$6:$BQ$48,3, FALSE),O2030)</f>
        <v>1.3480000000000001</v>
      </c>
      <c r="P2031" s="99">
        <f>IFERROR(VLOOKUP(B2031,'Pre-Summary'!$BS$6:$BU$35,3,FALSE),P2030)</f>
        <v>0.33700000000000002</v>
      </c>
      <c r="Q2031" s="54">
        <f t="shared" si="93"/>
        <v>4</v>
      </c>
      <c r="R2031" s="53">
        <f>IFERROR(VLOOKUP(B2031,'Pre-Summary'!$BG$6:$BM$44,7,FALSE),R2032)</f>
        <v>7.3789975262610413E-2</v>
      </c>
      <c r="S2031" s="53">
        <f>IFERROR(VLOOKUP(B2031,'Pre-Summary'!$BG$6:$BM$44,6,FALSE),S2032)</f>
        <v>5.2064631956901149E-2</v>
      </c>
      <c r="T2031" s="45" t="str">
        <f>IFERROR(VLOOKUP(B2031,'Pre-Summary'!$Y$6:$AC$83, 3,FALSE),"")</f>
        <v/>
      </c>
      <c r="U2031" s="45" t="str">
        <f>IFERROR(VLOOKUP(B2031,'Pre-Summary'!$Y$6:$AC$83, 4,FALSE),"")</f>
        <v/>
      </c>
      <c r="V2031" t="str">
        <f>IFERROR(VLOOKUP(B2031,'Pre-Summary'!$Y$6:$AC$83, 5,FALSE),"")</f>
        <v/>
      </c>
      <c r="W2031" s="45" t="str">
        <f>IFERROR(VLOOKUP(B2031,'Pre-Summary'!$Y$6:$AD$83,6,FALSE),"")</f>
        <v/>
      </c>
      <c r="X2031" t="str">
        <f>IFERROR(VLOOKUP('Pre-Summary'!$DB$6:$DD$63,3,FALSE),"")</f>
        <v/>
      </c>
      <c r="Y2031" t="str">
        <f>IFERROR(VLOOKUP(B2031,'Pre-Summary'!$CR$6:$CT$36,3,FALSE),"")</f>
        <v/>
      </c>
      <c r="Z2031" s="45" t="str">
        <f>IFERROR(VLOOKUP(B2031,'Pre-Summary'!$BZ$6:$CB$63,2,FALSE),"")</f>
        <v/>
      </c>
      <c r="AA2031" s="45" t="str">
        <f>IFERROR(VLOOKUP(B2031,'Pre-Summary'!$CG$6:$CI$70,2,FALSE),"")</f>
        <v/>
      </c>
      <c r="AB2031" s="99">
        <f>IFERROR(VLOOKUP(B2031,'Pre-Summary'!$A$6:$P$178,9,FALSE),AB2032)</f>
        <v>0.36537845683656439</v>
      </c>
      <c r="AC2031" s="10">
        <f>IFERROR(VLOOKUP(Summary!B2031,'Pre-Summary'!$A$6:$P$184,5, FALSE)/100,AC2032)</f>
        <v>0.94801700000000022</v>
      </c>
      <c r="AD2031" s="10">
        <f>IFERROR(VLOOKUP(Summary!B2031,'Pre-Summary'!$A$6:$P$184,3, FALSE)/100,AD2032)</f>
        <v>4.393933333333333E-2</v>
      </c>
      <c r="AE2031" s="10">
        <f>IFERROR(VLOOKUP(Summary!B2031,'Pre-Summary'!$A$6:$P$184,7, FALSE)/100,AE2032)</f>
        <v>8.044666666666667E-3</v>
      </c>
      <c r="AF2031" s="99">
        <f t="shared" si="94"/>
        <v>1.6054485807760747E-2</v>
      </c>
      <c r="AG2031" s="99">
        <f t="shared" si="95"/>
        <v>2.939347892431215E-3</v>
      </c>
      <c r="AH2031" s="10" t="str">
        <f>IFERROR(VLOOKUP(B2031,'Pre-Summary'!$AZ$6:$BE$65,3,FALSE),"")</f>
        <v/>
      </c>
      <c r="AI2031" s="10" t="str">
        <f>IFERROR(VLOOKUP(B2031,'Pre-Summary'!$AZ$6:$BE$65,5,FALSE),"")</f>
        <v/>
      </c>
      <c r="AJ2031" s="10" t="str">
        <f>IFERROR(VLOOKUP(B2031,'Pre-Summary'!$AZ$6:$BE$65,4,FALSE),"")</f>
        <v/>
      </c>
      <c r="AK2031" s="10" t="str">
        <f>IFERROR(VLOOKUP(B2031,'Pre-Summary'!$AZ$6:$BE$65,6,FALSE),"")</f>
        <v/>
      </c>
      <c r="AL2031" s="10" t="str">
        <f>IFERROR(VLOOKUP(B2031,'Pre-Summary'!$BG$6:$BL$44,3,FALSE),"")</f>
        <v/>
      </c>
      <c r="AM2031" s="10" t="str">
        <f>IFERROR(VLOOKUP(B2031,'Pre-Summary'!$BG$6:$BL$44,4,FALSE),"")</f>
        <v/>
      </c>
    </row>
    <row r="2032" spans="2:39" ht="15" customHeight="1" x14ac:dyDescent="0.3">
      <c r="B2032">
        <v>202.9</v>
      </c>
      <c r="C2032" t="str">
        <f>IFERROR(VLOOKUP(B2032,'Pre-Summary'!$DI$6:$DM$23,4,FALSE),"")</f>
        <v/>
      </c>
      <c r="D2032" s="10" t="str">
        <f>IFERROR(VLOOKUP(B2032,'Pre-Summary'!$AT$6:$AX$14,5,FALSE),D2031)</f>
        <v>Wolfe v3: went back to modified wolfe + EDTA and switched CuSO4 to CUCl2</v>
      </c>
      <c r="E2032" s="10" t="str">
        <f>IFERROR(VLOOKUP(B2032,'Pre-Summary'!$AT$6:$AX$15,4,FALSE),"")</f>
        <v/>
      </c>
      <c r="F2032">
        <f>IFERROR(VLOOKUP(B2032,'Pre-Summary'!$AL$6:$AQ$13,6,FALSE),F2031)</f>
        <v>5.9405263157894746E-2</v>
      </c>
      <c r="G2032" t="str">
        <f>IFERROR(VLOOKUP(B2032,'Pre-Summary'!$AE$6:$AJ$85,3,FALSE),"")</f>
        <v/>
      </c>
      <c r="H2032" t="str">
        <f>IFERROR(VLOOKUP(B2032,'Pre-Summary'!$AE$6:$AJ$85,4,FALSE),"")</f>
        <v/>
      </c>
      <c r="I2032" t="str">
        <f>IFERROR(VLOOKUP(B2032,'Pre-Summary'!$AE$6:$AJ$85,5,FALSE),"")</f>
        <v/>
      </c>
      <c r="J2032" s="45" t="str">
        <f>IFERROR(VLOOKUP(B2032,'Pre-Summary'!$AE$6:$AJ$85,6, FALSE),"")</f>
        <v/>
      </c>
      <c r="K2032" s="45" t="str">
        <f>IFERROR(VLOOKUP(B2032,'Pre-Summary'!$DE$6:$DG$61,3,FALSE),"")</f>
        <v/>
      </c>
      <c r="L2032" s="45" t="str">
        <f>IFERROR(VLOOKUP(B2032,'Pre-Summary'!$CU$6:$CW$36,3,FALSE),"")</f>
        <v/>
      </c>
      <c r="M2032" s="45" t="str">
        <f>IFERROR(VLOOKUP(B2032,'Pre-Summary'!$BW$6:$BY$58,2,FALSE),"")</f>
        <v/>
      </c>
      <c r="N2032" s="45" t="str">
        <f>IFERROR(VLOOKUP(B2032,'Pre-Summary'!$CD$6:$CF$64,2,FALSE),"")</f>
        <v/>
      </c>
      <c r="O2032" s="99">
        <f>IFERROR(VLOOKUP(B2032,'Pre-Summary'!$BO$6:$BQ$48,3, FALSE),O2031)</f>
        <v>1.3480000000000001</v>
      </c>
      <c r="P2032" s="99">
        <f>IFERROR(VLOOKUP(B2032,'Pre-Summary'!$BS$6:$BU$35,3,FALSE),P2031)</f>
        <v>0.33700000000000002</v>
      </c>
      <c r="Q2032" s="54">
        <f t="shared" si="93"/>
        <v>4</v>
      </c>
      <c r="R2032" s="53">
        <f>IFERROR(VLOOKUP(B2032,'Pre-Summary'!$BG$6:$BM$44,7,FALSE),R2033)</f>
        <v>7.3789975262610413E-2</v>
      </c>
      <c r="S2032" s="53">
        <f>IFERROR(VLOOKUP(B2032,'Pre-Summary'!$BG$6:$BM$44,6,FALSE),S2033)</f>
        <v>5.2064631956901149E-2</v>
      </c>
      <c r="T2032" s="45" t="str">
        <f>IFERROR(VLOOKUP(B2032,'Pre-Summary'!$Y$6:$AC$83, 3,FALSE),"")</f>
        <v/>
      </c>
      <c r="U2032" s="45" t="str">
        <f>IFERROR(VLOOKUP(B2032,'Pre-Summary'!$Y$6:$AC$83, 4,FALSE),"")</f>
        <v/>
      </c>
      <c r="V2032" t="str">
        <f>IFERROR(VLOOKUP(B2032,'Pre-Summary'!$Y$6:$AC$83, 5,FALSE),"")</f>
        <v/>
      </c>
      <c r="W2032" s="45" t="str">
        <f>IFERROR(VLOOKUP(B2032,'Pre-Summary'!$Y$6:$AD$83,6,FALSE),"")</f>
        <v/>
      </c>
      <c r="X2032" t="str">
        <f>IFERROR(VLOOKUP('Pre-Summary'!$DB$6:$DD$63,3,FALSE),"")</f>
        <v/>
      </c>
      <c r="Y2032" t="str">
        <f>IFERROR(VLOOKUP(B2032,'Pre-Summary'!$CR$6:$CT$36,3,FALSE),"")</f>
        <v/>
      </c>
      <c r="Z2032" s="45" t="str">
        <f>IFERROR(VLOOKUP(B2032,'Pre-Summary'!$BZ$6:$CB$63,2,FALSE),"")</f>
        <v/>
      </c>
      <c r="AA2032" s="45" t="str">
        <f>IFERROR(VLOOKUP(B2032,'Pre-Summary'!$CG$6:$CI$70,2,FALSE),"")</f>
        <v/>
      </c>
      <c r="AB2032" s="99">
        <f>IFERROR(VLOOKUP(B2032,'Pre-Summary'!$A$6:$P$178,9,FALSE),AB2033)</f>
        <v>0.36537845683656439</v>
      </c>
      <c r="AC2032" s="10">
        <f>IFERROR(VLOOKUP(Summary!B2032,'Pre-Summary'!$A$6:$P$184,5, FALSE)/100,AC2033)</f>
        <v>0.94801700000000022</v>
      </c>
      <c r="AD2032" s="10">
        <f>IFERROR(VLOOKUP(Summary!B2032,'Pre-Summary'!$A$6:$P$184,3, FALSE)/100,AD2033)</f>
        <v>4.393933333333333E-2</v>
      </c>
      <c r="AE2032" s="10">
        <f>IFERROR(VLOOKUP(Summary!B2032,'Pre-Summary'!$A$6:$P$184,7, FALSE)/100,AE2033)</f>
        <v>8.044666666666667E-3</v>
      </c>
      <c r="AF2032" s="99">
        <f t="shared" si="94"/>
        <v>1.6054485807760747E-2</v>
      </c>
      <c r="AG2032" s="99">
        <f t="shared" si="95"/>
        <v>2.939347892431215E-3</v>
      </c>
      <c r="AH2032" s="10" t="str">
        <f>IFERROR(VLOOKUP(B2032,'Pre-Summary'!$AZ$6:$BE$65,3,FALSE),"")</f>
        <v/>
      </c>
      <c r="AI2032" s="10" t="str">
        <f>IFERROR(VLOOKUP(B2032,'Pre-Summary'!$AZ$6:$BE$65,5,FALSE),"")</f>
        <v/>
      </c>
      <c r="AJ2032" s="10" t="str">
        <f>IFERROR(VLOOKUP(B2032,'Pre-Summary'!$AZ$6:$BE$65,4,FALSE),"")</f>
        <v/>
      </c>
      <c r="AK2032" s="10" t="str">
        <f>IFERROR(VLOOKUP(B2032,'Pre-Summary'!$AZ$6:$BE$65,6,FALSE),"")</f>
        <v/>
      </c>
      <c r="AL2032" s="10" t="str">
        <f>IFERROR(VLOOKUP(B2032,'Pre-Summary'!$BG$6:$BL$44,3,FALSE),"")</f>
        <v/>
      </c>
      <c r="AM2032" s="10" t="str">
        <f>IFERROR(VLOOKUP(B2032,'Pre-Summary'!$BG$6:$BL$44,4,FALSE),"")</f>
        <v/>
      </c>
    </row>
    <row r="2033" spans="2:39" ht="15" customHeight="1" x14ac:dyDescent="0.3">
      <c r="B2033">
        <v>203</v>
      </c>
      <c r="C2033" t="str">
        <f>IFERROR(VLOOKUP(B2033,'Pre-Summary'!$DI$6:$DM$23,4,FALSE),"")</f>
        <v/>
      </c>
      <c r="D2033" s="10" t="str">
        <f>IFERROR(VLOOKUP(B2033,'Pre-Summary'!$AT$6:$AX$14,5,FALSE),D2032)</f>
        <v>Wolfe v3: went back to modified wolfe + EDTA and switched CuSO4 to CUCl2</v>
      </c>
      <c r="E2033" s="10" t="str">
        <f>IFERROR(VLOOKUP(B2033,'Pre-Summary'!$AT$6:$AX$15,4,FALSE),"")</f>
        <v/>
      </c>
      <c r="F2033">
        <f>IFERROR(VLOOKUP(B2033,'Pre-Summary'!$AL$6:$AQ$13,6,FALSE),F2032)</f>
        <v>5.9405263157894746E-2</v>
      </c>
      <c r="G2033" t="str">
        <f>IFERROR(VLOOKUP(B2033,'Pre-Summary'!$AE$6:$AJ$85,3,FALSE),"")</f>
        <v/>
      </c>
      <c r="H2033" t="str">
        <f>IFERROR(VLOOKUP(B2033,'Pre-Summary'!$AE$6:$AJ$85,4,FALSE),"")</f>
        <v/>
      </c>
      <c r="I2033" t="str">
        <f>IFERROR(VLOOKUP(B2033,'Pre-Summary'!$AE$6:$AJ$85,5,FALSE),"")</f>
        <v/>
      </c>
      <c r="J2033" s="45" t="str">
        <f>IFERROR(VLOOKUP(B2033,'Pre-Summary'!$AE$6:$AJ$85,6, FALSE),"")</f>
        <v/>
      </c>
      <c r="K2033" s="45" t="str">
        <f>IFERROR(VLOOKUP(B2033,'Pre-Summary'!$DE$6:$DG$61,3,FALSE),"")</f>
        <v/>
      </c>
      <c r="L2033" s="45" t="str">
        <f>IFERROR(VLOOKUP(B2033,'Pre-Summary'!$CU$6:$CW$36,3,FALSE),"")</f>
        <v/>
      </c>
      <c r="M2033" s="45" t="str">
        <f>IFERROR(VLOOKUP(B2033,'Pre-Summary'!$BW$6:$BY$58,2,FALSE),"")</f>
        <v/>
      </c>
      <c r="N2033" s="45" t="str">
        <f>IFERROR(VLOOKUP(B2033,'Pre-Summary'!$CD$6:$CF$64,2,FALSE),"")</f>
        <v/>
      </c>
      <c r="O2033" s="99">
        <f>IFERROR(VLOOKUP(B2033,'Pre-Summary'!$BO$6:$BQ$48,3, FALSE),O2032)</f>
        <v>1.3480000000000001</v>
      </c>
      <c r="P2033" s="99">
        <f>IFERROR(VLOOKUP(B2033,'Pre-Summary'!$BS$6:$BU$35,3,FALSE),P2032)</f>
        <v>0.33700000000000002</v>
      </c>
      <c r="Q2033" s="54">
        <f t="shared" si="93"/>
        <v>4</v>
      </c>
      <c r="R2033" s="53">
        <f>IFERROR(VLOOKUP(B2033,'Pre-Summary'!$BG$6:$BM$44,7,FALSE),R2034)</f>
        <v>7.3789975262610413E-2</v>
      </c>
      <c r="S2033" s="53">
        <f>IFERROR(VLOOKUP(B2033,'Pre-Summary'!$BG$6:$BM$44,6,FALSE),S2034)</f>
        <v>5.2064631956901149E-2</v>
      </c>
      <c r="T2033" s="45" t="str">
        <f>IFERROR(VLOOKUP(B2033,'Pre-Summary'!$Y$6:$AC$83, 3,FALSE),"")</f>
        <v/>
      </c>
      <c r="U2033" s="45" t="str">
        <f>IFERROR(VLOOKUP(B2033,'Pre-Summary'!$Y$6:$AC$83, 4,FALSE),"")</f>
        <v/>
      </c>
      <c r="V2033" t="str">
        <f>IFERROR(VLOOKUP(B2033,'Pre-Summary'!$Y$6:$AC$83, 5,FALSE),"")</f>
        <v/>
      </c>
      <c r="W2033" s="45" t="str">
        <f>IFERROR(VLOOKUP(B2033,'Pre-Summary'!$Y$6:$AD$83,6,FALSE),"")</f>
        <v/>
      </c>
      <c r="X2033" t="str">
        <f>IFERROR(VLOOKUP('Pre-Summary'!$DB$6:$DD$63,3,FALSE),"")</f>
        <v/>
      </c>
      <c r="Y2033" t="str">
        <f>IFERROR(VLOOKUP(B2033,'Pre-Summary'!$CR$6:$CT$36,3,FALSE),"")</f>
        <v/>
      </c>
      <c r="Z2033" s="45" t="str">
        <f>IFERROR(VLOOKUP(B2033,'Pre-Summary'!$BZ$6:$CB$63,2,FALSE),"")</f>
        <v/>
      </c>
      <c r="AA2033" s="45" t="str">
        <f>IFERROR(VLOOKUP(B2033,'Pre-Summary'!$CG$6:$CI$70,2,FALSE),"")</f>
        <v/>
      </c>
      <c r="AB2033" s="99">
        <f>IFERROR(VLOOKUP(B2033,'Pre-Summary'!$A$6:$P$178,9,FALSE),AB2034)</f>
        <v>0.33120369774882302</v>
      </c>
      <c r="AC2033" s="10">
        <f>IFERROR(VLOOKUP(Summary!B2033,'Pre-Summary'!$A$6:$P$184,5, FALSE)/100,AC2034)</f>
        <v>0.94092399999999998</v>
      </c>
      <c r="AD2033" s="10">
        <f>IFERROR(VLOOKUP(Summary!B2033,'Pre-Summary'!$A$6:$P$184,3, FALSE)/100,AD2034)</f>
        <v>4.7375333333333332E-2</v>
      </c>
      <c r="AE2033" s="10">
        <f>IFERROR(VLOOKUP(Summary!B2033,'Pre-Summary'!$A$6:$P$184,7, FALSE)/100,AE2034)</f>
        <v>1.1700666666666668E-2</v>
      </c>
      <c r="AF2033" s="99">
        <f t="shared" si="94"/>
        <v>1.5690885582083074E-2</v>
      </c>
      <c r="AG2033" s="99">
        <f t="shared" si="95"/>
        <v>3.8753040661263956E-3</v>
      </c>
      <c r="AH2033" s="10" t="str">
        <f>IFERROR(VLOOKUP(B2033,'Pre-Summary'!$AZ$6:$BE$65,3,FALSE),"")</f>
        <v/>
      </c>
      <c r="AI2033" s="10" t="str">
        <f>IFERROR(VLOOKUP(B2033,'Pre-Summary'!$AZ$6:$BE$65,5,FALSE),"")</f>
        <v/>
      </c>
      <c r="AJ2033" s="10" t="str">
        <f>IFERROR(VLOOKUP(B2033,'Pre-Summary'!$AZ$6:$BE$65,4,FALSE),"")</f>
        <v/>
      </c>
      <c r="AK2033" s="10" t="str">
        <f>IFERROR(VLOOKUP(B2033,'Pre-Summary'!$AZ$6:$BE$65,6,FALSE),"")</f>
        <v/>
      </c>
      <c r="AL2033" s="10" t="str">
        <f>IFERROR(VLOOKUP(B2033,'Pre-Summary'!$BG$6:$BL$44,3,FALSE),"")</f>
        <v/>
      </c>
      <c r="AM2033" s="10" t="str">
        <f>IFERROR(VLOOKUP(B2033,'Pre-Summary'!$BG$6:$BL$44,4,FALSE),"")</f>
        <v/>
      </c>
    </row>
    <row r="2034" spans="2:39" ht="15" customHeight="1" x14ac:dyDescent="0.3">
      <c r="B2034">
        <v>203.1</v>
      </c>
      <c r="C2034" t="str">
        <f>IFERROR(VLOOKUP(B2034,'Pre-Summary'!$DI$6:$DM$23,4,FALSE),"")</f>
        <v/>
      </c>
      <c r="D2034" s="10" t="str">
        <f>IFERROR(VLOOKUP(B2034,'Pre-Summary'!$AT$6:$AX$14,5,FALSE),D2033)</f>
        <v>Wolfe v3: went back to modified wolfe + EDTA and switched CuSO4 to CUCl2</v>
      </c>
      <c r="E2034" s="10" t="str">
        <f>IFERROR(VLOOKUP(B2034,'Pre-Summary'!$AT$6:$AX$15,4,FALSE),"")</f>
        <v/>
      </c>
      <c r="F2034">
        <f>IFERROR(VLOOKUP(B2034,'Pre-Summary'!$AL$6:$AQ$13,6,FALSE),F2033)</f>
        <v>5.9405263157894746E-2</v>
      </c>
      <c r="G2034" t="str">
        <f>IFERROR(VLOOKUP(B2034,'Pre-Summary'!$AE$6:$AJ$85,3,FALSE),"")</f>
        <v/>
      </c>
      <c r="H2034" t="str">
        <f>IFERROR(VLOOKUP(B2034,'Pre-Summary'!$AE$6:$AJ$85,4,FALSE),"")</f>
        <v/>
      </c>
      <c r="I2034" t="str">
        <f>IFERROR(VLOOKUP(B2034,'Pre-Summary'!$AE$6:$AJ$85,5,FALSE),"")</f>
        <v/>
      </c>
      <c r="J2034" s="45" t="str">
        <f>IFERROR(VLOOKUP(B2034,'Pre-Summary'!$AE$6:$AJ$85,6, FALSE),"")</f>
        <v/>
      </c>
      <c r="K2034" s="45" t="str">
        <f>IFERROR(VLOOKUP(B2034,'Pre-Summary'!$DE$6:$DG$61,3,FALSE),"")</f>
        <v/>
      </c>
      <c r="L2034" s="45" t="str">
        <f>IFERROR(VLOOKUP(B2034,'Pre-Summary'!$CU$6:$CW$36,3,FALSE),"")</f>
        <v/>
      </c>
      <c r="M2034" s="45" t="str">
        <f>IFERROR(VLOOKUP(B2034,'Pre-Summary'!$BW$6:$BY$58,2,FALSE),"")</f>
        <v/>
      </c>
      <c r="N2034" s="45" t="str">
        <f>IFERROR(VLOOKUP(B2034,'Pre-Summary'!$CD$6:$CF$64,2,FALSE),"")</f>
        <v/>
      </c>
      <c r="O2034" s="99">
        <f>IFERROR(VLOOKUP(B2034,'Pre-Summary'!$BO$6:$BQ$48,3, FALSE),O2033)</f>
        <v>1.3480000000000001</v>
      </c>
      <c r="P2034" s="99">
        <f>IFERROR(VLOOKUP(B2034,'Pre-Summary'!$BS$6:$BU$35,3,FALSE),P2033)</f>
        <v>0.33700000000000002</v>
      </c>
      <c r="Q2034" s="54">
        <f t="shared" si="93"/>
        <v>4</v>
      </c>
      <c r="R2034" s="53">
        <f>IFERROR(VLOOKUP(B2034,'Pre-Summary'!$BG$6:$BM$44,7,FALSE),R2035)</f>
        <v>7.3789975262610413E-2</v>
      </c>
      <c r="S2034" s="53">
        <f>IFERROR(VLOOKUP(B2034,'Pre-Summary'!$BG$6:$BM$44,6,FALSE),S2035)</f>
        <v>5.2064631956901149E-2</v>
      </c>
      <c r="T2034" s="45" t="str">
        <f>IFERROR(VLOOKUP(B2034,'Pre-Summary'!$Y$6:$AC$83, 3,FALSE),"")</f>
        <v/>
      </c>
      <c r="U2034" s="45" t="str">
        <f>IFERROR(VLOOKUP(B2034,'Pre-Summary'!$Y$6:$AC$83, 4,FALSE),"")</f>
        <v/>
      </c>
      <c r="V2034" t="str">
        <f>IFERROR(VLOOKUP(B2034,'Pre-Summary'!$Y$6:$AC$83, 5,FALSE),"")</f>
        <v/>
      </c>
      <c r="W2034" s="45" t="str">
        <f>IFERROR(VLOOKUP(B2034,'Pre-Summary'!$Y$6:$AD$83,6,FALSE),"")</f>
        <v/>
      </c>
      <c r="X2034" t="str">
        <f>IFERROR(VLOOKUP('Pre-Summary'!$DB$6:$DD$63,3,FALSE),"")</f>
        <v/>
      </c>
      <c r="Y2034" t="str">
        <f>IFERROR(VLOOKUP(B2034,'Pre-Summary'!$CR$6:$CT$36,3,FALSE),"")</f>
        <v/>
      </c>
      <c r="Z2034" s="45" t="str">
        <f>IFERROR(VLOOKUP(B2034,'Pre-Summary'!$BZ$6:$CB$63,2,FALSE),"")</f>
        <v/>
      </c>
      <c r="AA2034" s="45" t="str">
        <f>IFERROR(VLOOKUP(B2034,'Pre-Summary'!$CG$6:$CI$70,2,FALSE),"")</f>
        <v/>
      </c>
      <c r="AB2034" s="99">
        <f>IFERROR(VLOOKUP(B2034,'Pre-Summary'!$A$6:$P$178,9,FALSE),AB2035)</f>
        <v>0.33120369774882302</v>
      </c>
      <c r="AC2034" s="10">
        <f>IFERROR(VLOOKUP(Summary!B2034,'Pre-Summary'!$A$6:$P$184,5, FALSE)/100,AC2035)</f>
        <v>0.94092399999999998</v>
      </c>
      <c r="AD2034" s="10">
        <f>IFERROR(VLOOKUP(Summary!B2034,'Pre-Summary'!$A$6:$P$184,3, FALSE)/100,AD2035)</f>
        <v>4.7375333333333332E-2</v>
      </c>
      <c r="AE2034" s="10">
        <f>IFERROR(VLOOKUP(Summary!B2034,'Pre-Summary'!$A$6:$P$184,7, FALSE)/100,AE2035)</f>
        <v>1.1700666666666668E-2</v>
      </c>
      <c r="AF2034" s="99">
        <f t="shared" si="94"/>
        <v>1.5690885582083074E-2</v>
      </c>
      <c r="AG2034" s="99">
        <f t="shared" si="95"/>
        <v>3.8753040661263956E-3</v>
      </c>
      <c r="AH2034" s="10" t="str">
        <f>IFERROR(VLOOKUP(B2034,'Pre-Summary'!$AZ$6:$BE$65,3,FALSE),"")</f>
        <v/>
      </c>
      <c r="AI2034" s="10" t="str">
        <f>IFERROR(VLOOKUP(B2034,'Pre-Summary'!$AZ$6:$BE$65,5,FALSE),"")</f>
        <v/>
      </c>
      <c r="AJ2034" s="10" t="str">
        <f>IFERROR(VLOOKUP(B2034,'Pre-Summary'!$AZ$6:$BE$65,4,FALSE),"")</f>
        <v/>
      </c>
      <c r="AK2034" s="10" t="str">
        <f>IFERROR(VLOOKUP(B2034,'Pre-Summary'!$AZ$6:$BE$65,6,FALSE),"")</f>
        <v/>
      </c>
      <c r="AL2034" s="10" t="str">
        <f>IFERROR(VLOOKUP(B2034,'Pre-Summary'!$BG$6:$BL$44,3,FALSE),"")</f>
        <v/>
      </c>
      <c r="AM2034" s="10" t="str">
        <f>IFERROR(VLOOKUP(B2034,'Pre-Summary'!$BG$6:$BL$44,4,FALSE),"")</f>
        <v/>
      </c>
    </row>
    <row r="2035" spans="2:39" ht="15" customHeight="1" x14ac:dyDescent="0.3">
      <c r="B2035">
        <v>203.2</v>
      </c>
      <c r="C2035" t="str">
        <f>IFERROR(VLOOKUP(B2035,'Pre-Summary'!$DI$6:$DM$23,4,FALSE),"")</f>
        <v/>
      </c>
      <c r="D2035" s="10" t="str">
        <f>IFERROR(VLOOKUP(B2035,'Pre-Summary'!$AT$6:$AX$14,5,FALSE),D2034)</f>
        <v>Wolfe v3: went back to modified wolfe + EDTA and switched CuSO4 to CUCl2</v>
      </c>
      <c r="E2035" s="10" t="str">
        <f>IFERROR(VLOOKUP(B2035,'Pre-Summary'!$AT$6:$AX$15,4,FALSE),"")</f>
        <v/>
      </c>
      <c r="F2035">
        <f>IFERROR(VLOOKUP(B2035,'Pre-Summary'!$AL$6:$AQ$13,6,FALSE),F2034)</f>
        <v>5.9405263157894746E-2</v>
      </c>
      <c r="G2035" t="str">
        <f>IFERROR(VLOOKUP(B2035,'Pre-Summary'!$AE$6:$AJ$85,3,FALSE),"")</f>
        <v/>
      </c>
      <c r="H2035" t="str">
        <f>IFERROR(VLOOKUP(B2035,'Pre-Summary'!$AE$6:$AJ$85,4,FALSE),"")</f>
        <v/>
      </c>
      <c r="I2035" t="str">
        <f>IFERROR(VLOOKUP(B2035,'Pre-Summary'!$AE$6:$AJ$85,5,FALSE),"")</f>
        <v/>
      </c>
      <c r="J2035" s="45" t="str">
        <f>IFERROR(VLOOKUP(B2035,'Pre-Summary'!$AE$6:$AJ$85,6, FALSE),"")</f>
        <v/>
      </c>
      <c r="K2035" s="45" t="str">
        <f>IFERROR(VLOOKUP(B2035,'Pre-Summary'!$DE$6:$DG$61,3,FALSE),"")</f>
        <v/>
      </c>
      <c r="L2035" s="45" t="str">
        <f>IFERROR(VLOOKUP(B2035,'Pre-Summary'!$CU$6:$CW$36,3,FALSE),"")</f>
        <v/>
      </c>
      <c r="M2035" s="45" t="str">
        <f>IFERROR(VLOOKUP(B2035,'Pre-Summary'!$BW$6:$BY$58,2,FALSE),"")</f>
        <v/>
      </c>
      <c r="N2035" s="45" t="str">
        <f>IFERROR(VLOOKUP(B2035,'Pre-Summary'!$CD$6:$CF$64,2,FALSE),"")</f>
        <v/>
      </c>
      <c r="O2035" s="99">
        <f>IFERROR(VLOOKUP(B2035,'Pre-Summary'!$BO$6:$BQ$48,3, FALSE),O2034)</f>
        <v>1.3480000000000001</v>
      </c>
      <c r="P2035" s="99">
        <f>IFERROR(VLOOKUP(B2035,'Pre-Summary'!$BS$6:$BU$35,3,FALSE),P2034)</f>
        <v>0.33700000000000002</v>
      </c>
      <c r="Q2035" s="54">
        <f t="shared" si="93"/>
        <v>4</v>
      </c>
      <c r="R2035" s="53">
        <f>IFERROR(VLOOKUP(B2035,'Pre-Summary'!$BG$6:$BM$44,7,FALSE),R2036)</f>
        <v>7.3789975262610413E-2</v>
      </c>
      <c r="S2035" s="53">
        <f>IFERROR(VLOOKUP(B2035,'Pre-Summary'!$BG$6:$BM$44,6,FALSE),S2036)</f>
        <v>5.2064631956901149E-2</v>
      </c>
      <c r="T2035" s="45" t="str">
        <f>IFERROR(VLOOKUP(B2035,'Pre-Summary'!$Y$6:$AC$83, 3,FALSE),"")</f>
        <v/>
      </c>
      <c r="U2035" s="45" t="str">
        <f>IFERROR(VLOOKUP(B2035,'Pre-Summary'!$Y$6:$AC$83, 4,FALSE),"")</f>
        <v/>
      </c>
      <c r="V2035" t="str">
        <f>IFERROR(VLOOKUP(B2035,'Pre-Summary'!$Y$6:$AC$83, 5,FALSE),"")</f>
        <v/>
      </c>
      <c r="W2035" s="45" t="str">
        <f>IFERROR(VLOOKUP(B2035,'Pre-Summary'!$Y$6:$AD$83,6,FALSE),"")</f>
        <v/>
      </c>
      <c r="X2035" t="str">
        <f>IFERROR(VLOOKUP('Pre-Summary'!$DB$6:$DD$63,3,FALSE),"")</f>
        <v/>
      </c>
      <c r="Y2035" t="str">
        <f>IFERROR(VLOOKUP(B2035,'Pre-Summary'!$CR$6:$CT$36,3,FALSE),"")</f>
        <v/>
      </c>
      <c r="Z2035" s="45" t="str">
        <f>IFERROR(VLOOKUP(B2035,'Pre-Summary'!$BZ$6:$CB$63,2,FALSE),"")</f>
        <v/>
      </c>
      <c r="AA2035" s="45" t="str">
        <f>IFERROR(VLOOKUP(B2035,'Pre-Summary'!$CG$6:$CI$70,2,FALSE),"")</f>
        <v/>
      </c>
      <c r="AB2035" s="99">
        <f>IFERROR(VLOOKUP(B2035,'Pre-Summary'!$A$6:$P$178,9,FALSE),AB2036)</f>
        <v>0.33120369774882302</v>
      </c>
      <c r="AC2035" s="10">
        <f>IFERROR(VLOOKUP(Summary!B2035,'Pre-Summary'!$A$6:$P$184,5, FALSE)/100,AC2036)</f>
        <v>0.94092399999999998</v>
      </c>
      <c r="AD2035" s="10">
        <f>IFERROR(VLOOKUP(Summary!B2035,'Pre-Summary'!$A$6:$P$184,3, FALSE)/100,AD2036)</f>
        <v>4.7375333333333332E-2</v>
      </c>
      <c r="AE2035" s="10">
        <f>IFERROR(VLOOKUP(Summary!B2035,'Pre-Summary'!$A$6:$P$184,7, FALSE)/100,AE2036)</f>
        <v>1.1700666666666668E-2</v>
      </c>
      <c r="AF2035" s="99">
        <f t="shared" si="94"/>
        <v>1.5690885582083074E-2</v>
      </c>
      <c r="AG2035" s="99">
        <f t="shared" si="95"/>
        <v>3.8753040661263956E-3</v>
      </c>
      <c r="AH2035" s="10" t="str">
        <f>IFERROR(VLOOKUP(B2035,'Pre-Summary'!$AZ$6:$BE$65,3,FALSE),"")</f>
        <v/>
      </c>
      <c r="AI2035" s="10" t="str">
        <f>IFERROR(VLOOKUP(B2035,'Pre-Summary'!$AZ$6:$BE$65,5,FALSE),"")</f>
        <v/>
      </c>
      <c r="AJ2035" s="10" t="str">
        <f>IFERROR(VLOOKUP(B2035,'Pre-Summary'!$AZ$6:$BE$65,4,FALSE),"")</f>
        <v/>
      </c>
      <c r="AK2035" s="10" t="str">
        <f>IFERROR(VLOOKUP(B2035,'Pre-Summary'!$AZ$6:$BE$65,6,FALSE),"")</f>
        <v/>
      </c>
      <c r="AL2035" s="10" t="str">
        <f>IFERROR(VLOOKUP(B2035,'Pre-Summary'!$BG$6:$BL$44,3,FALSE),"")</f>
        <v/>
      </c>
      <c r="AM2035" s="10" t="str">
        <f>IFERROR(VLOOKUP(B2035,'Pre-Summary'!$BG$6:$BL$44,4,FALSE),"")</f>
        <v/>
      </c>
    </row>
    <row r="2036" spans="2:39" ht="15" customHeight="1" x14ac:dyDescent="0.3">
      <c r="B2036">
        <v>203.3</v>
      </c>
      <c r="C2036" t="str">
        <f>IFERROR(VLOOKUP(B2036,'Pre-Summary'!$DI$6:$DM$23,4,FALSE),"")</f>
        <v/>
      </c>
      <c r="D2036" s="10" t="str">
        <f>IFERROR(VLOOKUP(B2036,'Pre-Summary'!$AT$6:$AX$14,5,FALSE),D2035)</f>
        <v>Wolfe v3: went back to modified wolfe + EDTA and switched CuSO4 to CUCl2</v>
      </c>
      <c r="E2036" s="10" t="str">
        <f>IFERROR(VLOOKUP(B2036,'Pre-Summary'!$AT$6:$AX$15,4,FALSE),"")</f>
        <v/>
      </c>
      <c r="F2036">
        <f>IFERROR(VLOOKUP(B2036,'Pre-Summary'!$AL$6:$AQ$13,6,FALSE),F2035)</f>
        <v>5.9405263157894746E-2</v>
      </c>
      <c r="G2036" t="str">
        <f>IFERROR(VLOOKUP(B2036,'Pre-Summary'!$AE$6:$AJ$85,3,FALSE),"")</f>
        <v/>
      </c>
      <c r="H2036" t="str">
        <f>IFERROR(VLOOKUP(B2036,'Pre-Summary'!$AE$6:$AJ$85,4,FALSE),"")</f>
        <v/>
      </c>
      <c r="I2036" t="str">
        <f>IFERROR(VLOOKUP(B2036,'Pre-Summary'!$AE$6:$AJ$85,5,FALSE),"")</f>
        <v/>
      </c>
      <c r="J2036" s="45" t="str">
        <f>IFERROR(VLOOKUP(B2036,'Pre-Summary'!$AE$6:$AJ$85,6, FALSE),"")</f>
        <v/>
      </c>
      <c r="K2036" s="45" t="str">
        <f>IFERROR(VLOOKUP(B2036,'Pre-Summary'!$DE$6:$DG$61,3,FALSE),"")</f>
        <v/>
      </c>
      <c r="L2036" s="45" t="str">
        <f>IFERROR(VLOOKUP(B2036,'Pre-Summary'!$CU$6:$CW$36,3,FALSE),"")</f>
        <v/>
      </c>
      <c r="M2036" s="45" t="str">
        <f>IFERROR(VLOOKUP(B2036,'Pre-Summary'!$BW$6:$BY$58,2,FALSE),"")</f>
        <v/>
      </c>
      <c r="N2036" s="45" t="str">
        <f>IFERROR(VLOOKUP(B2036,'Pre-Summary'!$CD$6:$CF$64,2,FALSE),"")</f>
        <v/>
      </c>
      <c r="O2036" s="99">
        <f>IFERROR(VLOOKUP(B2036,'Pre-Summary'!$BO$6:$BQ$48,3, FALSE),O2035)</f>
        <v>1.3480000000000001</v>
      </c>
      <c r="P2036" s="99">
        <f>IFERROR(VLOOKUP(B2036,'Pre-Summary'!$BS$6:$BU$35,3,FALSE),P2035)</f>
        <v>0.33700000000000002</v>
      </c>
      <c r="Q2036" s="54">
        <f t="shared" si="93"/>
        <v>4</v>
      </c>
      <c r="R2036" s="53">
        <f>IFERROR(VLOOKUP(B2036,'Pre-Summary'!$BG$6:$BM$44,7,FALSE),R2037)</f>
        <v>7.3789975262610413E-2</v>
      </c>
      <c r="S2036" s="53">
        <f>IFERROR(VLOOKUP(B2036,'Pre-Summary'!$BG$6:$BM$44,6,FALSE),S2037)</f>
        <v>5.2064631956901149E-2</v>
      </c>
      <c r="T2036" s="45" t="str">
        <f>IFERROR(VLOOKUP(B2036,'Pre-Summary'!$Y$6:$AC$83, 3,FALSE),"")</f>
        <v/>
      </c>
      <c r="U2036" s="45" t="str">
        <f>IFERROR(VLOOKUP(B2036,'Pre-Summary'!$Y$6:$AC$83, 4,FALSE),"")</f>
        <v/>
      </c>
      <c r="V2036" t="str">
        <f>IFERROR(VLOOKUP(B2036,'Pre-Summary'!$Y$6:$AC$83, 5,FALSE),"")</f>
        <v/>
      </c>
      <c r="W2036" s="45" t="str">
        <f>IFERROR(VLOOKUP(B2036,'Pre-Summary'!$Y$6:$AD$83,6,FALSE),"")</f>
        <v/>
      </c>
      <c r="X2036" t="str">
        <f>IFERROR(VLOOKUP('Pre-Summary'!$DB$6:$DD$63,3,FALSE),"")</f>
        <v/>
      </c>
      <c r="Y2036" t="str">
        <f>IFERROR(VLOOKUP(B2036,'Pre-Summary'!$CR$6:$CT$36,3,FALSE),"")</f>
        <v/>
      </c>
      <c r="Z2036" s="45" t="str">
        <f>IFERROR(VLOOKUP(B2036,'Pre-Summary'!$BZ$6:$CB$63,2,FALSE),"")</f>
        <v/>
      </c>
      <c r="AA2036" s="45" t="str">
        <f>IFERROR(VLOOKUP(B2036,'Pre-Summary'!$CG$6:$CI$70,2,FALSE),"")</f>
        <v/>
      </c>
      <c r="AB2036" s="99">
        <f>IFERROR(VLOOKUP(B2036,'Pre-Summary'!$A$6:$P$178,9,FALSE),AB2037)</f>
        <v>0.33120369774882302</v>
      </c>
      <c r="AC2036" s="10">
        <f>IFERROR(VLOOKUP(Summary!B2036,'Pre-Summary'!$A$6:$P$184,5, FALSE)/100,AC2037)</f>
        <v>0.94092399999999998</v>
      </c>
      <c r="AD2036" s="10">
        <f>IFERROR(VLOOKUP(Summary!B2036,'Pre-Summary'!$A$6:$P$184,3, FALSE)/100,AD2037)</f>
        <v>4.7375333333333332E-2</v>
      </c>
      <c r="AE2036" s="10">
        <f>IFERROR(VLOOKUP(Summary!B2036,'Pre-Summary'!$A$6:$P$184,7, FALSE)/100,AE2037)</f>
        <v>1.1700666666666668E-2</v>
      </c>
      <c r="AF2036" s="99">
        <f t="shared" si="94"/>
        <v>1.5690885582083074E-2</v>
      </c>
      <c r="AG2036" s="99">
        <f t="shared" si="95"/>
        <v>3.8753040661263956E-3</v>
      </c>
      <c r="AH2036" s="10" t="str">
        <f>IFERROR(VLOOKUP(B2036,'Pre-Summary'!$AZ$6:$BE$65,3,FALSE),"")</f>
        <v/>
      </c>
      <c r="AI2036" s="10" t="str">
        <f>IFERROR(VLOOKUP(B2036,'Pre-Summary'!$AZ$6:$BE$65,5,FALSE),"")</f>
        <v/>
      </c>
      <c r="AJ2036" s="10" t="str">
        <f>IFERROR(VLOOKUP(B2036,'Pre-Summary'!$AZ$6:$BE$65,4,FALSE),"")</f>
        <v/>
      </c>
      <c r="AK2036" s="10" t="str">
        <f>IFERROR(VLOOKUP(B2036,'Pre-Summary'!$AZ$6:$BE$65,6,FALSE),"")</f>
        <v/>
      </c>
      <c r="AL2036" s="10" t="str">
        <f>IFERROR(VLOOKUP(B2036,'Pre-Summary'!$BG$6:$BL$44,3,FALSE),"")</f>
        <v/>
      </c>
      <c r="AM2036" s="10" t="str">
        <f>IFERROR(VLOOKUP(B2036,'Pre-Summary'!$BG$6:$BL$44,4,FALSE),"")</f>
        <v/>
      </c>
    </row>
    <row r="2037" spans="2:39" ht="15" customHeight="1" x14ac:dyDescent="0.3">
      <c r="B2037">
        <v>203.4</v>
      </c>
      <c r="C2037" t="str">
        <f>IFERROR(VLOOKUP(B2037,'Pre-Summary'!$DI$6:$DM$23,4,FALSE),"")</f>
        <v/>
      </c>
      <c r="D2037" s="10" t="str">
        <f>IFERROR(VLOOKUP(B2037,'Pre-Summary'!$AT$6:$AX$14,5,FALSE),D2036)</f>
        <v>Wolfe v3: went back to modified wolfe + EDTA and switched CuSO4 to CUCl2</v>
      </c>
      <c r="E2037" s="10" t="str">
        <f>IFERROR(VLOOKUP(B2037,'Pre-Summary'!$AT$6:$AX$15,4,FALSE),"")</f>
        <v/>
      </c>
      <c r="F2037">
        <f>IFERROR(VLOOKUP(B2037,'Pre-Summary'!$AL$6:$AQ$13,6,FALSE),F2036)</f>
        <v>5.9405263157894746E-2</v>
      </c>
      <c r="G2037" t="str">
        <f>IFERROR(VLOOKUP(B2037,'Pre-Summary'!$AE$6:$AJ$85,3,FALSE),"")</f>
        <v/>
      </c>
      <c r="H2037" t="str">
        <f>IFERROR(VLOOKUP(B2037,'Pre-Summary'!$AE$6:$AJ$85,4,FALSE),"")</f>
        <v/>
      </c>
      <c r="I2037" t="str">
        <f>IFERROR(VLOOKUP(B2037,'Pre-Summary'!$AE$6:$AJ$85,5,FALSE),"")</f>
        <v/>
      </c>
      <c r="J2037" s="45" t="str">
        <f>IFERROR(VLOOKUP(B2037,'Pre-Summary'!$AE$6:$AJ$85,6, FALSE),"")</f>
        <v/>
      </c>
      <c r="K2037" s="45" t="str">
        <f>IFERROR(VLOOKUP(B2037,'Pre-Summary'!$DE$6:$DG$61,3,FALSE),"")</f>
        <v/>
      </c>
      <c r="L2037" s="45" t="str">
        <f>IFERROR(VLOOKUP(B2037,'Pre-Summary'!$CU$6:$CW$36,3,FALSE),"")</f>
        <v/>
      </c>
      <c r="M2037" s="45" t="str">
        <f>IFERROR(VLOOKUP(B2037,'Pre-Summary'!$BW$6:$BY$58,2,FALSE),"")</f>
        <v/>
      </c>
      <c r="N2037" s="45" t="str">
        <f>IFERROR(VLOOKUP(B2037,'Pre-Summary'!$CD$6:$CF$64,2,FALSE),"")</f>
        <v/>
      </c>
      <c r="O2037" s="99">
        <f>IFERROR(VLOOKUP(B2037,'Pre-Summary'!$BO$6:$BQ$48,3, FALSE),O2036)</f>
        <v>1.3480000000000001</v>
      </c>
      <c r="P2037" s="99">
        <f>IFERROR(VLOOKUP(B2037,'Pre-Summary'!$BS$6:$BU$35,3,FALSE),P2036)</f>
        <v>0.33700000000000002</v>
      </c>
      <c r="Q2037" s="54">
        <f t="shared" si="93"/>
        <v>4</v>
      </c>
      <c r="R2037" s="53">
        <f>IFERROR(VLOOKUP(B2037,'Pre-Summary'!$BG$6:$BM$44,7,FALSE),R2038)</f>
        <v>7.3789975262610413E-2</v>
      </c>
      <c r="S2037" s="53">
        <f>IFERROR(VLOOKUP(B2037,'Pre-Summary'!$BG$6:$BM$44,6,FALSE),S2038)</f>
        <v>5.2064631956901149E-2</v>
      </c>
      <c r="T2037" s="45" t="str">
        <f>IFERROR(VLOOKUP(B2037,'Pre-Summary'!$Y$6:$AC$83, 3,FALSE),"")</f>
        <v/>
      </c>
      <c r="U2037" s="45" t="str">
        <f>IFERROR(VLOOKUP(B2037,'Pre-Summary'!$Y$6:$AC$83, 4,FALSE),"")</f>
        <v/>
      </c>
      <c r="V2037" t="str">
        <f>IFERROR(VLOOKUP(B2037,'Pre-Summary'!$Y$6:$AC$83, 5,FALSE),"")</f>
        <v/>
      </c>
      <c r="W2037" s="45" t="str">
        <f>IFERROR(VLOOKUP(B2037,'Pre-Summary'!$Y$6:$AD$83,6,FALSE),"")</f>
        <v/>
      </c>
      <c r="X2037" t="str">
        <f>IFERROR(VLOOKUP('Pre-Summary'!$DB$6:$DD$63,3,FALSE),"")</f>
        <v/>
      </c>
      <c r="Y2037" t="str">
        <f>IFERROR(VLOOKUP(B2037,'Pre-Summary'!$CR$6:$CT$36,3,FALSE),"")</f>
        <v/>
      </c>
      <c r="Z2037" s="45" t="str">
        <f>IFERROR(VLOOKUP(B2037,'Pre-Summary'!$BZ$6:$CB$63,2,FALSE),"")</f>
        <v/>
      </c>
      <c r="AA2037" s="45" t="str">
        <f>IFERROR(VLOOKUP(B2037,'Pre-Summary'!$CG$6:$CI$70,2,FALSE),"")</f>
        <v/>
      </c>
      <c r="AB2037" s="99">
        <f>IFERROR(VLOOKUP(B2037,'Pre-Summary'!$A$6:$P$178,9,FALSE),AB2038)</f>
        <v>0.33120369774882302</v>
      </c>
      <c r="AC2037" s="10">
        <f>IFERROR(VLOOKUP(Summary!B2037,'Pre-Summary'!$A$6:$P$184,5, FALSE)/100,AC2038)</f>
        <v>0.94092399999999998</v>
      </c>
      <c r="AD2037" s="10">
        <f>IFERROR(VLOOKUP(Summary!B2037,'Pre-Summary'!$A$6:$P$184,3, FALSE)/100,AD2038)</f>
        <v>4.7375333333333332E-2</v>
      </c>
      <c r="AE2037" s="10">
        <f>IFERROR(VLOOKUP(Summary!B2037,'Pre-Summary'!$A$6:$P$184,7, FALSE)/100,AE2038)</f>
        <v>1.1700666666666668E-2</v>
      </c>
      <c r="AF2037" s="99">
        <f t="shared" si="94"/>
        <v>1.5690885582083074E-2</v>
      </c>
      <c r="AG2037" s="99">
        <f t="shared" si="95"/>
        <v>3.8753040661263956E-3</v>
      </c>
      <c r="AH2037" s="10" t="str">
        <f>IFERROR(VLOOKUP(B2037,'Pre-Summary'!$AZ$6:$BE$65,3,FALSE),"")</f>
        <v/>
      </c>
      <c r="AI2037" s="10" t="str">
        <f>IFERROR(VLOOKUP(B2037,'Pre-Summary'!$AZ$6:$BE$65,5,FALSE),"")</f>
        <v/>
      </c>
      <c r="AJ2037" s="10" t="str">
        <f>IFERROR(VLOOKUP(B2037,'Pre-Summary'!$AZ$6:$BE$65,4,FALSE),"")</f>
        <v/>
      </c>
      <c r="AK2037" s="10" t="str">
        <f>IFERROR(VLOOKUP(B2037,'Pre-Summary'!$AZ$6:$BE$65,6,FALSE),"")</f>
        <v/>
      </c>
      <c r="AL2037" s="10" t="str">
        <f>IFERROR(VLOOKUP(B2037,'Pre-Summary'!$BG$6:$BL$44,3,FALSE),"")</f>
        <v/>
      </c>
      <c r="AM2037" s="10" t="str">
        <f>IFERROR(VLOOKUP(B2037,'Pre-Summary'!$BG$6:$BL$44,4,FALSE),"")</f>
        <v/>
      </c>
    </row>
    <row r="2038" spans="2:39" ht="15" customHeight="1" x14ac:dyDescent="0.3">
      <c r="B2038">
        <v>203.5</v>
      </c>
      <c r="C2038" t="str">
        <f>IFERROR(VLOOKUP(B2038,'Pre-Summary'!$DI$6:$DM$23,4,FALSE),"")</f>
        <v/>
      </c>
      <c r="D2038" s="10" t="str">
        <f>IFERROR(VLOOKUP(B2038,'Pre-Summary'!$AT$6:$AX$14,5,FALSE),D2037)</f>
        <v>Wolfe v3: went back to modified wolfe + EDTA and switched CuSO4 to CUCl2</v>
      </c>
      <c r="E2038" s="10" t="str">
        <f>IFERROR(VLOOKUP(B2038,'Pre-Summary'!$AT$6:$AX$15,4,FALSE),"")</f>
        <v/>
      </c>
      <c r="F2038">
        <f>IFERROR(VLOOKUP(B2038,'Pre-Summary'!$AL$6:$AQ$13,6,FALSE),F2037)</f>
        <v>5.9405263157894746E-2</v>
      </c>
      <c r="G2038" t="str">
        <f>IFERROR(VLOOKUP(B2038,'Pre-Summary'!$AE$6:$AJ$85,3,FALSE),"")</f>
        <v/>
      </c>
      <c r="H2038" t="str">
        <f>IFERROR(VLOOKUP(B2038,'Pre-Summary'!$AE$6:$AJ$85,4,FALSE),"")</f>
        <v/>
      </c>
      <c r="I2038" t="str">
        <f>IFERROR(VLOOKUP(B2038,'Pre-Summary'!$AE$6:$AJ$85,5,FALSE),"")</f>
        <v/>
      </c>
      <c r="J2038" s="45" t="str">
        <f>IFERROR(VLOOKUP(B2038,'Pre-Summary'!$AE$6:$AJ$85,6, FALSE),"")</f>
        <v/>
      </c>
      <c r="K2038" s="45" t="str">
        <f>IFERROR(VLOOKUP(B2038,'Pre-Summary'!$DE$6:$DG$61,3,FALSE),"")</f>
        <v/>
      </c>
      <c r="L2038" s="45" t="str">
        <f>IFERROR(VLOOKUP(B2038,'Pre-Summary'!$CU$6:$CW$36,3,FALSE),"")</f>
        <v/>
      </c>
      <c r="M2038" s="45" t="str">
        <f>IFERROR(VLOOKUP(B2038,'Pre-Summary'!$BW$6:$BY$58,2,FALSE),"")</f>
        <v/>
      </c>
      <c r="N2038" s="45" t="str">
        <f>IFERROR(VLOOKUP(B2038,'Pre-Summary'!$CD$6:$CF$64,2,FALSE),"")</f>
        <v/>
      </c>
      <c r="O2038" s="99">
        <f>IFERROR(VLOOKUP(B2038,'Pre-Summary'!$BO$6:$BQ$48,3, FALSE),O2037)</f>
        <v>1.3480000000000001</v>
      </c>
      <c r="P2038" s="99">
        <f>IFERROR(VLOOKUP(B2038,'Pre-Summary'!$BS$6:$BU$35,3,FALSE),P2037)</f>
        <v>0.33700000000000002</v>
      </c>
      <c r="Q2038" s="54">
        <f t="shared" si="93"/>
        <v>4</v>
      </c>
      <c r="R2038" s="53">
        <f>IFERROR(VLOOKUP(B2038,'Pre-Summary'!$BG$6:$BM$44,7,FALSE),R2039)</f>
        <v>7.3789975262610413E-2</v>
      </c>
      <c r="S2038" s="53">
        <f>IFERROR(VLOOKUP(B2038,'Pre-Summary'!$BG$6:$BM$44,6,FALSE),S2039)</f>
        <v>5.2064631956901149E-2</v>
      </c>
      <c r="T2038" s="45" t="str">
        <f>IFERROR(VLOOKUP(B2038,'Pre-Summary'!$Y$6:$AC$83, 3,FALSE),"")</f>
        <v/>
      </c>
      <c r="U2038" s="45" t="str">
        <f>IFERROR(VLOOKUP(B2038,'Pre-Summary'!$Y$6:$AC$83, 4,FALSE),"")</f>
        <v/>
      </c>
      <c r="V2038" t="str">
        <f>IFERROR(VLOOKUP(B2038,'Pre-Summary'!$Y$6:$AC$83, 5,FALSE),"")</f>
        <v/>
      </c>
      <c r="W2038" s="45" t="str">
        <f>IFERROR(VLOOKUP(B2038,'Pre-Summary'!$Y$6:$AD$83,6,FALSE),"")</f>
        <v/>
      </c>
      <c r="X2038" t="str">
        <f>IFERROR(VLOOKUP('Pre-Summary'!$DB$6:$DD$63,3,FALSE),"")</f>
        <v/>
      </c>
      <c r="Y2038" t="str">
        <f>IFERROR(VLOOKUP(B2038,'Pre-Summary'!$CR$6:$CT$36,3,FALSE),"")</f>
        <v/>
      </c>
      <c r="Z2038" s="45" t="str">
        <f>IFERROR(VLOOKUP(B2038,'Pre-Summary'!$BZ$6:$CB$63,2,FALSE),"")</f>
        <v/>
      </c>
      <c r="AA2038" s="45" t="str">
        <f>IFERROR(VLOOKUP(B2038,'Pre-Summary'!$CG$6:$CI$70,2,FALSE),"")</f>
        <v/>
      </c>
      <c r="AB2038" s="99">
        <f>IFERROR(VLOOKUP(B2038,'Pre-Summary'!$A$6:$P$178,9,FALSE),AB2039)</f>
        <v>0.33120369774882302</v>
      </c>
      <c r="AC2038" s="10">
        <f>IFERROR(VLOOKUP(Summary!B2038,'Pre-Summary'!$A$6:$P$184,5, FALSE)/100,AC2039)</f>
        <v>0.94092399999999998</v>
      </c>
      <c r="AD2038" s="10">
        <f>IFERROR(VLOOKUP(Summary!B2038,'Pre-Summary'!$A$6:$P$184,3, FALSE)/100,AD2039)</f>
        <v>4.7375333333333332E-2</v>
      </c>
      <c r="AE2038" s="10">
        <f>IFERROR(VLOOKUP(Summary!B2038,'Pre-Summary'!$A$6:$P$184,7, FALSE)/100,AE2039)</f>
        <v>1.1700666666666668E-2</v>
      </c>
      <c r="AF2038" s="99">
        <f t="shared" si="94"/>
        <v>1.5690885582083074E-2</v>
      </c>
      <c r="AG2038" s="99">
        <f t="shared" si="95"/>
        <v>3.8753040661263956E-3</v>
      </c>
      <c r="AH2038" s="10" t="str">
        <f>IFERROR(VLOOKUP(B2038,'Pre-Summary'!$AZ$6:$BE$65,3,FALSE),"")</f>
        <v/>
      </c>
      <c r="AI2038" s="10" t="str">
        <f>IFERROR(VLOOKUP(B2038,'Pre-Summary'!$AZ$6:$BE$65,5,FALSE),"")</f>
        <v/>
      </c>
      <c r="AJ2038" s="10" t="str">
        <f>IFERROR(VLOOKUP(B2038,'Pre-Summary'!$AZ$6:$BE$65,4,FALSE),"")</f>
        <v/>
      </c>
      <c r="AK2038" s="10" t="str">
        <f>IFERROR(VLOOKUP(B2038,'Pre-Summary'!$AZ$6:$BE$65,6,FALSE),"")</f>
        <v/>
      </c>
      <c r="AL2038" s="10" t="str">
        <f>IFERROR(VLOOKUP(B2038,'Pre-Summary'!$BG$6:$BL$44,3,FALSE),"")</f>
        <v/>
      </c>
      <c r="AM2038" s="10" t="str">
        <f>IFERROR(VLOOKUP(B2038,'Pre-Summary'!$BG$6:$BL$44,4,FALSE),"")</f>
        <v/>
      </c>
    </row>
    <row r="2039" spans="2:39" ht="15" customHeight="1" x14ac:dyDescent="0.3">
      <c r="B2039">
        <v>203.6</v>
      </c>
      <c r="C2039" t="str">
        <f>IFERROR(VLOOKUP(B2039,'Pre-Summary'!$DI$6:$DM$23,4,FALSE),"")</f>
        <v/>
      </c>
      <c r="D2039" s="10" t="str">
        <f>IFERROR(VLOOKUP(B2039,'Pre-Summary'!$AT$6:$AX$14,5,FALSE),D2038)</f>
        <v>Wolfe v3: went back to modified wolfe + EDTA and switched CuSO4 to CUCl2</v>
      </c>
      <c r="E2039" s="10" t="str">
        <f>IFERROR(VLOOKUP(B2039,'Pre-Summary'!$AT$6:$AX$15,4,FALSE),"")</f>
        <v/>
      </c>
      <c r="F2039">
        <f>IFERROR(VLOOKUP(B2039,'Pre-Summary'!$AL$6:$AQ$13,6,FALSE),F2038)</f>
        <v>5.9405263157894746E-2</v>
      </c>
      <c r="G2039" t="str">
        <f>IFERROR(VLOOKUP(B2039,'Pre-Summary'!$AE$6:$AJ$85,3,FALSE),"")</f>
        <v/>
      </c>
      <c r="H2039" t="str">
        <f>IFERROR(VLOOKUP(B2039,'Pre-Summary'!$AE$6:$AJ$85,4,FALSE),"")</f>
        <v/>
      </c>
      <c r="I2039" t="str">
        <f>IFERROR(VLOOKUP(B2039,'Pre-Summary'!$AE$6:$AJ$85,5,FALSE),"")</f>
        <v/>
      </c>
      <c r="J2039" s="45" t="str">
        <f>IFERROR(VLOOKUP(B2039,'Pre-Summary'!$AE$6:$AJ$85,6, FALSE),"")</f>
        <v/>
      </c>
      <c r="K2039" s="45" t="str">
        <f>IFERROR(VLOOKUP(B2039,'Pre-Summary'!$DE$6:$DG$61,3,FALSE),"")</f>
        <v/>
      </c>
      <c r="L2039" s="45" t="str">
        <f>IFERROR(VLOOKUP(B2039,'Pre-Summary'!$CU$6:$CW$36,3,FALSE),"")</f>
        <v/>
      </c>
      <c r="M2039" s="45" t="str">
        <f>IFERROR(VLOOKUP(B2039,'Pre-Summary'!$BW$6:$BY$58,2,FALSE),"")</f>
        <v/>
      </c>
      <c r="N2039" s="45" t="str">
        <f>IFERROR(VLOOKUP(B2039,'Pre-Summary'!$CD$6:$CF$64,2,FALSE),"")</f>
        <v/>
      </c>
      <c r="O2039" s="99">
        <f>IFERROR(VLOOKUP(B2039,'Pre-Summary'!$BO$6:$BQ$48,3, FALSE),O2038)</f>
        <v>1.3480000000000001</v>
      </c>
      <c r="P2039" s="99">
        <f>IFERROR(VLOOKUP(B2039,'Pre-Summary'!$BS$6:$BU$35,3,FALSE),P2038)</f>
        <v>0.33700000000000002</v>
      </c>
      <c r="Q2039" s="54">
        <f t="shared" si="93"/>
        <v>4</v>
      </c>
      <c r="R2039" s="53">
        <f>IFERROR(VLOOKUP(B2039,'Pre-Summary'!$BG$6:$BM$44,7,FALSE),R2040)</f>
        <v>7.3789975262610413E-2</v>
      </c>
      <c r="S2039" s="53">
        <f>IFERROR(VLOOKUP(B2039,'Pre-Summary'!$BG$6:$BM$44,6,FALSE),S2040)</f>
        <v>5.2064631956901149E-2</v>
      </c>
      <c r="T2039" s="45" t="str">
        <f>IFERROR(VLOOKUP(B2039,'Pre-Summary'!$Y$6:$AC$83, 3,FALSE),"")</f>
        <v/>
      </c>
      <c r="U2039" s="45" t="str">
        <f>IFERROR(VLOOKUP(B2039,'Pre-Summary'!$Y$6:$AC$83, 4,FALSE),"")</f>
        <v/>
      </c>
      <c r="V2039" t="str">
        <f>IFERROR(VLOOKUP(B2039,'Pre-Summary'!$Y$6:$AC$83, 5,FALSE),"")</f>
        <v/>
      </c>
      <c r="W2039" s="45" t="str">
        <f>IFERROR(VLOOKUP(B2039,'Pre-Summary'!$Y$6:$AD$83,6,FALSE),"")</f>
        <v/>
      </c>
      <c r="X2039" t="str">
        <f>IFERROR(VLOOKUP('Pre-Summary'!$DB$6:$DD$63,3,FALSE),"")</f>
        <v/>
      </c>
      <c r="Y2039" t="str">
        <f>IFERROR(VLOOKUP(B2039,'Pre-Summary'!$CR$6:$CT$36,3,FALSE),"")</f>
        <v/>
      </c>
      <c r="Z2039" s="45" t="str">
        <f>IFERROR(VLOOKUP(B2039,'Pre-Summary'!$BZ$6:$CB$63,2,FALSE),"")</f>
        <v/>
      </c>
      <c r="AA2039" s="45" t="str">
        <f>IFERROR(VLOOKUP(B2039,'Pre-Summary'!$CG$6:$CI$70,2,FALSE),"")</f>
        <v/>
      </c>
      <c r="AB2039" s="99">
        <f>IFERROR(VLOOKUP(B2039,'Pre-Summary'!$A$6:$P$178,9,FALSE),AB2040)</f>
        <v>0.33120369774882302</v>
      </c>
      <c r="AC2039" s="10">
        <f>IFERROR(VLOOKUP(Summary!B2039,'Pre-Summary'!$A$6:$P$184,5, FALSE)/100,AC2040)</f>
        <v>0.94092399999999998</v>
      </c>
      <c r="AD2039" s="10">
        <f>IFERROR(VLOOKUP(Summary!B2039,'Pre-Summary'!$A$6:$P$184,3, FALSE)/100,AD2040)</f>
        <v>4.7375333333333332E-2</v>
      </c>
      <c r="AE2039" s="10">
        <f>IFERROR(VLOOKUP(Summary!B2039,'Pre-Summary'!$A$6:$P$184,7, FALSE)/100,AE2040)</f>
        <v>1.1700666666666668E-2</v>
      </c>
      <c r="AF2039" s="99">
        <f t="shared" si="94"/>
        <v>1.5690885582083074E-2</v>
      </c>
      <c r="AG2039" s="99">
        <f t="shared" si="95"/>
        <v>3.8753040661263956E-3</v>
      </c>
      <c r="AH2039" s="10" t="str">
        <f>IFERROR(VLOOKUP(B2039,'Pre-Summary'!$AZ$6:$BE$65,3,FALSE),"")</f>
        <v/>
      </c>
      <c r="AI2039" s="10" t="str">
        <f>IFERROR(VLOOKUP(B2039,'Pre-Summary'!$AZ$6:$BE$65,5,FALSE),"")</f>
        <v/>
      </c>
      <c r="AJ2039" s="10" t="str">
        <f>IFERROR(VLOOKUP(B2039,'Pre-Summary'!$AZ$6:$BE$65,4,FALSE),"")</f>
        <v/>
      </c>
      <c r="AK2039" s="10" t="str">
        <f>IFERROR(VLOOKUP(B2039,'Pre-Summary'!$AZ$6:$BE$65,6,FALSE),"")</f>
        <v/>
      </c>
      <c r="AL2039" s="10" t="str">
        <f>IFERROR(VLOOKUP(B2039,'Pre-Summary'!$BG$6:$BL$44,3,FALSE),"")</f>
        <v/>
      </c>
      <c r="AM2039" s="10" t="str">
        <f>IFERROR(VLOOKUP(B2039,'Pre-Summary'!$BG$6:$BL$44,4,FALSE),"")</f>
        <v/>
      </c>
    </row>
    <row r="2040" spans="2:39" ht="15" customHeight="1" x14ac:dyDescent="0.3">
      <c r="B2040">
        <v>203.7</v>
      </c>
      <c r="C2040" t="str">
        <f>IFERROR(VLOOKUP(B2040,'Pre-Summary'!$DI$6:$DM$23,4,FALSE),"")</f>
        <v/>
      </c>
      <c r="D2040" s="10" t="str">
        <f>IFERROR(VLOOKUP(B2040,'Pre-Summary'!$AT$6:$AX$14,5,FALSE),D2039)</f>
        <v>Wolfe v3: went back to modified wolfe + EDTA and switched CuSO4 to CUCl2</v>
      </c>
      <c r="E2040" s="10" t="str">
        <f>IFERROR(VLOOKUP(B2040,'Pre-Summary'!$AT$6:$AX$15,4,FALSE),"")</f>
        <v/>
      </c>
      <c r="F2040">
        <f>IFERROR(VLOOKUP(B2040,'Pre-Summary'!$AL$6:$AQ$13,6,FALSE),F2039)</f>
        <v>5.9405263157894746E-2</v>
      </c>
      <c r="G2040" t="str">
        <f>IFERROR(VLOOKUP(B2040,'Pre-Summary'!$AE$6:$AJ$85,3,FALSE),"")</f>
        <v/>
      </c>
      <c r="H2040" t="str">
        <f>IFERROR(VLOOKUP(B2040,'Pre-Summary'!$AE$6:$AJ$85,4,FALSE),"")</f>
        <v/>
      </c>
      <c r="I2040" t="str">
        <f>IFERROR(VLOOKUP(B2040,'Pre-Summary'!$AE$6:$AJ$85,5,FALSE),"")</f>
        <v/>
      </c>
      <c r="J2040" s="45" t="str">
        <f>IFERROR(VLOOKUP(B2040,'Pre-Summary'!$AE$6:$AJ$85,6, FALSE),"")</f>
        <v/>
      </c>
      <c r="K2040" s="45" t="str">
        <f>IFERROR(VLOOKUP(B2040,'Pre-Summary'!$DE$6:$DG$61,3,FALSE),"")</f>
        <v/>
      </c>
      <c r="L2040" s="45" t="str">
        <f>IFERROR(VLOOKUP(B2040,'Pre-Summary'!$CU$6:$CW$36,3,FALSE),"")</f>
        <v/>
      </c>
      <c r="M2040" s="45" t="str">
        <f>IFERROR(VLOOKUP(B2040,'Pre-Summary'!$BW$6:$BY$58,2,FALSE),"")</f>
        <v/>
      </c>
      <c r="N2040" s="45" t="str">
        <f>IFERROR(VLOOKUP(B2040,'Pre-Summary'!$CD$6:$CF$64,2,FALSE),"")</f>
        <v/>
      </c>
      <c r="O2040" s="99">
        <f>IFERROR(VLOOKUP(B2040,'Pre-Summary'!$BO$6:$BQ$48,3, FALSE),O2039)</f>
        <v>1.3480000000000001</v>
      </c>
      <c r="P2040" s="99">
        <f>IFERROR(VLOOKUP(B2040,'Pre-Summary'!$BS$6:$BU$35,3,FALSE),P2039)</f>
        <v>0.33700000000000002</v>
      </c>
      <c r="Q2040" s="54">
        <f t="shared" si="93"/>
        <v>4</v>
      </c>
      <c r="R2040" s="53">
        <f>IFERROR(VLOOKUP(B2040,'Pre-Summary'!$BG$6:$BM$44,7,FALSE),R2041)</f>
        <v>7.3789975262610413E-2</v>
      </c>
      <c r="S2040" s="53">
        <f>IFERROR(VLOOKUP(B2040,'Pre-Summary'!$BG$6:$BM$44,6,FALSE),S2041)</f>
        <v>5.2064631956901149E-2</v>
      </c>
      <c r="T2040" s="45" t="str">
        <f>IFERROR(VLOOKUP(B2040,'Pre-Summary'!$Y$6:$AC$83, 3,FALSE),"")</f>
        <v/>
      </c>
      <c r="U2040" s="45" t="str">
        <f>IFERROR(VLOOKUP(B2040,'Pre-Summary'!$Y$6:$AC$83, 4,FALSE),"")</f>
        <v/>
      </c>
      <c r="V2040" t="str">
        <f>IFERROR(VLOOKUP(B2040,'Pre-Summary'!$Y$6:$AC$83, 5,FALSE),"")</f>
        <v/>
      </c>
      <c r="W2040" s="45" t="str">
        <f>IFERROR(VLOOKUP(B2040,'Pre-Summary'!$Y$6:$AD$83,6,FALSE),"")</f>
        <v/>
      </c>
      <c r="X2040" t="str">
        <f>IFERROR(VLOOKUP('Pre-Summary'!$DB$6:$DD$63,3,FALSE),"")</f>
        <v/>
      </c>
      <c r="Y2040" t="str">
        <f>IFERROR(VLOOKUP(B2040,'Pre-Summary'!$CR$6:$CT$36,3,FALSE),"")</f>
        <v/>
      </c>
      <c r="Z2040" s="45" t="str">
        <f>IFERROR(VLOOKUP(B2040,'Pre-Summary'!$BZ$6:$CB$63,2,FALSE),"")</f>
        <v/>
      </c>
      <c r="AA2040" s="45" t="str">
        <f>IFERROR(VLOOKUP(B2040,'Pre-Summary'!$CG$6:$CI$70,2,FALSE),"")</f>
        <v/>
      </c>
      <c r="AB2040" s="99">
        <f>IFERROR(VLOOKUP(B2040,'Pre-Summary'!$A$6:$P$178,9,FALSE),AB2041)</f>
        <v>0.33120369774882302</v>
      </c>
      <c r="AC2040" s="10">
        <f>IFERROR(VLOOKUP(Summary!B2040,'Pre-Summary'!$A$6:$P$184,5, FALSE)/100,AC2041)</f>
        <v>0.94092399999999998</v>
      </c>
      <c r="AD2040" s="10">
        <f>IFERROR(VLOOKUP(Summary!B2040,'Pre-Summary'!$A$6:$P$184,3, FALSE)/100,AD2041)</f>
        <v>4.7375333333333332E-2</v>
      </c>
      <c r="AE2040" s="10">
        <f>IFERROR(VLOOKUP(Summary!B2040,'Pre-Summary'!$A$6:$P$184,7, FALSE)/100,AE2041)</f>
        <v>1.1700666666666668E-2</v>
      </c>
      <c r="AF2040" s="99">
        <f t="shared" si="94"/>
        <v>1.5690885582083074E-2</v>
      </c>
      <c r="AG2040" s="99">
        <f t="shared" si="95"/>
        <v>3.8753040661263956E-3</v>
      </c>
      <c r="AH2040" s="10" t="str">
        <f>IFERROR(VLOOKUP(B2040,'Pre-Summary'!$AZ$6:$BE$65,3,FALSE),"")</f>
        <v/>
      </c>
      <c r="AI2040" s="10" t="str">
        <f>IFERROR(VLOOKUP(B2040,'Pre-Summary'!$AZ$6:$BE$65,5,FALSE),"")</f>
        <v/>
      </c>
      <c r="AJ2040" s="10" t="str">
        <f>IFERROR(VLOOKUP(B2040,'Pre-Summary'!$AZ$6:$BE$65,4,FALSE),"")</f>
        <v/>
      </c>
      <c r="AK2040" s="10" t="str">
        <f>IFERROR(VLOOKUP(B2040,'Pre-Summary'!$AZ$6:$BE$65,6,FALSE),"")</f>
        <v/>
      </c>
      <c r="AL2040" s="10" t="str">
        <f>IFERROR(VLOOKUP(B2040,'Pre-Summary'!$BG$6:$BL$44,3,FALSE),"")</f>
        <v/>
      </c>
      <c r="AM2040" s="10" t="str">
        <f>IFERROR(VLOOKUP(B2040,'Pre-Summary'!$BG$6:$BL$44,4,FALSE),"")</f>
        <v/>
      </c>
    </row>
    <row r="2041" spans="2:39" ht="15" customHeight="1" x14ac:dyDescent="0.3">
      <c r="B2041">
        <v>203.8</v>
      </c>
      <c r="C2041" t="str">
        <f>IFERROR(VLOOKUP(B2041,'Pre-Summary'!$DI$6:$DM$23,4,FALSE),"")</f>
        <v/>
      </c>
      <c r="D2041" s="10" t="str">
        <f>IFERROR(VLOOKUP(B2041,'Pre-Summary'!$AT$6:$AX$14,5,FALSE),D2040)</f>
        <v>Wolfe v3: went back to modified wolfe + EDTA and switched CuSO4 to CUCl2</v>
      </c>
      <c r="E2041" s="10" t="str">
        <f>IFERROR(VLOOKUP(B2041,'Pre-Summary'!$AT$6:$AX$15,4,FALSE),"")</f>
        <v/>
      </c>
      <c r="F2041">
        <f>IFERROR(VLOOKUP(B2041,'Pre-Summary'!$AL$6:$AQ$13,6,FALSE),F2040)</f>
        <v>5.9405263157894746E-2</v>
      </c>
      <c r="G2041" t="str">
        <f>IFERROR(VLOOKUP(B2041,'Pre-Summary'!$AE$6:$AJ$85,3,FALSE),"")</f>
        <v/>
      </c>
      <c r="H2041" t="str">
        <f>IFERROR(VLOOKUP(B2041,'Pre-Summary'!$AE$6:$AJ$85,4,FALSE),"")</f>
        <v/>
      </c>
      <c r="I2041" t="str">
        <f>IFERROR(VLOOKUP(B2041,'Pre-Summary'!$AE$6:$AJ$85,5,FALSE),"")</f>
        <v/>
      </c>
      <c r="J2041" s="45" t="str">
        <f>IFERROR(VLOOKUP(B2041,'Pre-Summary'!$AE$6:$AJ$85,6, FALSE),"")</f>
        <v/>
      </c>
      <c r="K2041" s="45" t="str">
        <f>IFERROR(VLOOKUP(B2041,'Pre-Summary'!$DE$6:$DG$61,3,FALSE),"")</f>
        <v/>
      </c>
      <c r="L2041" s="45" t="str">
        <f>IFERROR(VLOOKUP(B2041,'Pre-Summary'!$CU$6:$CW$36,3,FALSE),"")</f>
        <v/>
      </c>
      <c r="M2041" s="45" t="str">
        <f>IFERROR(VLOOKUP(B2041,'Pre-Summary'!$BW$6:$BY$58,2,FALSE),"")</f>
        <v/>
      </c>
      <c r="N2041" s="45" t="str">
        <f>IFERROR(VLOOKUP(B2041,'Pre-Summary'!$CD$6:$CF$64,2,FALSE),"")</f>
        <v/>
      </c>
      <c r="O2041" s="99">
        <f>IFERROR(VLOOKUP(B2041,'Pre-Summary'!$BO$6:$BQ$48,3, FALSE),O2040)</f>
        <v>1.3480000000000001</v>
      </c>
      <c r="P2041" s="99">
        <f>IFERROR(VLOOKUP(B2041,'Pre-Summary'!$BS$6:$BU$35,3,FALSE),P2040)</f>
        <v>0.33700000000000002</v>
      </c>
      <c r="Q2041" s="54">
        <f t="shared" si="93"/>
        <v>4</v>
      </c>
      <c r="R2041" s="53">
        <f>IFERROR(VLOOKUP(B2041,'Pre-Summary'!$BG$6:$BM$44,7,FALSE),R2042)</f>
        <v>7.3789975262610413E-2</v>
      </c>
      <c r="S2041" s="53">
        <f>IFERROR(VLOOKUP(B2041,'Pre-Summary'!$BG$6:$BM$44,6,FALSE),S2042)</f>
        <v>5.2064631956901149E-2</v>
      </c>
      <c r="T2041" s="45" t="str">
        <f>IFERROR(VLOOKUP(B2041,'Pre-Summary'!$Y$6:$AC$83, 3,FALSE),"")</f>
        <v/>
      </c>
      <c r="U2041" s="45" t="str">
        <f>IFERROR(VLOOKUP(B2041,'Pre-Summary'!$Y$6:$AC$83, 4,FALSE),"")</f>
        <v/>
      </c>
      <c r="V2041" t="str">
        <f>IFERROR(VLOOKUP(B2041,'Pre-Summary'!$Y$6:$AC$83, 5,FALSE),"")</f>
        <v/>
      </c>
      <c r="W2041" s="45" t="str">
        <f>IFERROR(VLOOKUP(B2041,'Pre-Summary'!$Y$6:$AD$83,6,FALSE),"")</f>
        <v/>
      </c>
      <c r="X2041" t="str">
        <f>IFERROR(VLOOKUP('Pre-Summary'!$DB$6:$DD$63,3,FALSE),"")</f>
        <v/>
      </c>
      <c r="Y2041" t="str">
        <f>IFERROR(VLOOKUP(B2041,'Pre-Summary'!$CR$6:$CT$36,3,FALSE),"")</f>
        <v/>
      </c>
      <c r="Z2041" s="45" t="str">
        <f>IFERROR(VLOOKUP(B2041,'Pre-Summary'!$BZ$6:$CB$63,2,FALSE),"")</f>
        <v/>
      </c>
      <c r="AA2041" s="45" t="str">
        <f>IFERROR(VLOOKUP(B2041,'Pre-Summary'!$CG$6:$CI$70,2,FALSE),"")</f>
        <v/>
      </c>
      <c r="AB2041" s="99">
        <f>IFERROR(VLOOKUP(B2041,'Pre-Summary'!$A$6:$P$178,9,FALSE),AB2042)</f>
        <v>0.33120369774882302</v>
      </c>
      <c r="AC2041" s="10">
        <f>IFERROR(VLOOKUP(Summary!B2041,'Pre-Summary'!$A$6:$P$184,5, FALSE)/100,AC2042)</f>
        <v>0.94092399999999998</v>
      </c>
      <c r="AD2041" s="10">
        <f>IFERROR(VLOOKUP(Summary!B2041,'Pre-Summary'!$A$6:$P$184,3, FALSE)/100,AD2042)</f>
        <v>4.7375333333333332E-2</v>
      </c>
      <c r="AE2041" s="10">
        <f>IFERROR(VLOOKUP(Summary!B2041,'Pre-Summary'!$A$6:$P$184,7, FALSE)/100,AE2042)</f>
        <v>1.1700666666666668E-2</v>
      </c>
      <c r="AF2041" s="99">
        <f t="shared" si="94"/>
        <v>1.5690885582083074E-2</v>
      </c>
      <c r="AG2041" s="99">
        <f t="shared" si="95"/>
        <v>3.8753040661263956E-3</v>
      </c>
      <c r="AH2041" s="10" t="str">
        <f>IFERROR(VLOOKUP(B2041,'Pre-Summary'!$AZ$6:$BE$65,3,FALSE),"")</f>
        <v/>
      </c>
      <c r="AI2041" s="10" t="str">
        <f>IFERROR(VLOOKUP(B2041,'Pre-Summary'!$AZ$6:$BE$65,5,FALSE),"")</f>
        <v/>
      </c>
      <c r="AJ2041" s="10" t="str">
        <f>IFERROR(VLOOKUP(B2041,'Pre-Summary'!$AZ$6:$BE$65,4,FALSE),"")</f>
        <v/>
      </c>
      <c r="AK2041" s="10" t="str">
        <f>IFERROR(VLOOKUP(B2041,'Pre-Summary'!$AZ$6:$BE$65,6,FALSE),"")</f>
        <v/>
      </c>
      <c r="AL2041" s="10" t="str">
        <f>IFERROR(VLOOKUP(B2041,'Pre-Summary'!$BG$6:$BL$44,3,FALSE),"")</f>
        <v/>
      </c>
      <c r="AM2041" s="10" t="str">
        <f>IFERROR(VLOOKUP(B2041,'Pre-Summary'!$BG$6:$BL$44,4,FALSE),"")</f>
        <v/>
      </c>
    </row>
    <row r="2042" spans="2:39" ht="15" customHeight="1" x14ac:dyDescent="0.3">
      <c r="B2042">
        <v>203.9</v>
      </c>
      <c r="C2042" t="str">
        <f>IFERROR(VLOOKUP(B2042,'Pre-Summary'!$DI$6:$DM$23,4,FALSE),"")</f>
        <v/>
      </c>
      <c r="D2042" s="10" t="str">
        <f>IFERROR(VLOOKUP(B2042,'Pre-Summary'!$AT$6:$AX$14,5,FALSE),D2041)</f>
        <v>Wolfe v3: went back to modified wolfe + EDTA and switched CuSO4 to CUCl2</v>
      </c>
      <c r="E2042" s="10" t="str">
        <f>IFERROR(VLOOKUP(B2042,'Pre-Summary'!$AT$6:$AX$15,4,FALSE),"")</f>
        <v/>
      </c>
      <c r="F2042">
        <f>IFERROR(VLOOKUP(B2042,'Pre-Summary'!$AL$6:$AQ$13,6,FALSE),F2041)</f>
        <v>5.9405263157894746E-2</v>
      </c>
      <c r="G2042" t="str">
        <f>IFERROR(VLOOKUP(B2042,'Pre-Summary'!$AE$6:$AJ$85,3,FALSE),"")</f>
        <v/>
      </c>
      <c r="H2042" t="str">
        <f>IFERROR(VLOOKUP(B2042,'Pre-Summary'!$AE$6:$AJ$85,4,FALSE),"")</f>
        <v/>
      </c>
      <c r="I2042" t="str">
        <f>IFERROR(VLOOKUP(B2042,'Pre-Summary'!$AE$6:$AJ$85,5,FALSE),"")</f>
        <v/>
      </c>
      <c r="J2042" s="45" t="str">
        <f>IFERROR(VLOOKUP(B2042,'Pre-Summary'!$AE$6:$AJ$85,6, FALSE),"")</f>
        <v/>
      </c>
      <c r="K2042" s="45" t="str">
        <f>IFERROR(VLOOKUP(B2042,'Pre-Summary'!$DE$6:$DG$61,3,FALSE),"")</f>
        <v/>
      </c>
      <c r="L2042" s="45" t="str">
        <f>IFERROR(VLOOKUP(B2042,'Pre-Summary'!$CU$6:$CW$36,3,FALSE),"")</f>
        <v/>
      </c>
      <c r="M2042" s="45" t="str">
        <f>IFERROR(VLOOKUP(B2042,'Pre-Summary'!$BW$6:$BY$58,2,FALSE),"")</f>
        <v/>
      </c>
      <c r="N2042" s="45" t="str">
        <f>IFERROR(VLOOKUP(B2042,'Pre-Summary'!$CD$6:$CF$64,2,FALSE),"")</f>
        <v/>
      </c>
      <c r="O2042" s="99">
        <f>IFERROR(VLOOKUP(B2042,'Pre-Summary'!$BO$6:$BQ$48,3, FALSE),O2041)</f>
        <v>1.3480000000000001</v>
      </c>
      <c r="P2042" s="99">
        <f>IFERROR(VLOOKUP(B2042,'Pre-Summary'!$BS$6:$BU$35,3,FALSE),P2041)</f>
        <v>0.33700000000000002</v>
      </c>
      <c r="Q2042" s="54">
        <f t="shared" si="93"/>
        <v>4</v>
      </c>
      <c r="R2042" s="53">
        <f>IFERROR(VLOOKUP(B2042,'Pre-Summary'!$BG$6:$BM$44,7,FALSE),R2043)</f>
        <v>7.3789975262610413E-2</v>
      </c>
      <c r="S2042" s="53">
        <f>IFERROR(VLOOKUP(B2042,'Pre-Summary'!$BG$6:$BM$44,6,FALSE),S2043)</f>
        <v>5.2064631956901149E-2</v>
      </c>
      <c r="T2042" s="45" t="str">
        <f>IFERROR(VLOOKUP(B2042,'Pre-Summary'!$Y$6:$AC$83, 3,FALSE),"")</f>
        <v/>
      </c>
      <c r="U2042" s="45" t="str">
        <f>IFERROR(VLOOKUP(B2042,'Pre-Summary'!$Y$6:$AC$83, 4,FALSE),"")</f>
        <v/>
      </c>
      <c r="V2042" t="str">
        <f>IFERROR(VLOOKUP(B2042,'Pre-Summary'!$Y$6:$AC$83, 5,FALSE),"")</f>
        <v/>
      </c>
      <c r="W2042" s="45" t="str">
        <f>IFERROR(VLOOKUP(B2042,'Pre-Summary'!$Y$6:$AD$83,6,FALSE),"")</f>
        <v/>
      </c>
      <c r="X2042" t="str">
        <f>IFERROR(VLOOKUP('Pre-Summary'!$DB$6:$DD$63,3,FALSE),"")</f>
        <v/>
      </c>
      <c r="Y2042" t="str">
        <f>IFERROR(VLOOKUP(B2042,'Pre-Summary'!$CR$6:$CT$36,3,FALSE),"")</f>
        <v/>
      </c>
      <c r="Z2042" s="45" t="str">
        <f>IFERROR(VLOOKUP(B2042,'Pre-Summary'!$BZ$6:$CB$63,2,FALSE),"")</f>
        <v/>
      </c>
      <c r="AA2042" s="45" t="str">
        <f>IFERROR(VLOOKUP(B2042,'Pre-Summary'!$CG$6:$CI$70,2,FALSE),"")</f>
        <v/>
      </c>
      <c r="AB2042" s="99">
        <f>IFERROR(VLOOKUP(B2042,'Pre-Summary'!$A$6:$P$178,9,FALSE),AB2043)</f>
        <v>0.33120369774882302</v>
      </c>
      <c r="AC2042" s="10">
        <f>IFERROR(VLOOKUP(Summary!B2042,'Pre-Summary'!$A$6:$P$184,5, FALSE)/100,AC2043)</f>
        <v>0.94092399999999998</v>
      </c>
      <c r="AD2042" s="10">
        <f>IFERROR(VLOOKUP(Summary!B2042,'Pre-Summary'!$A$6:$P$184,3, FALSE)/100,AD2043)</f>
        <v>4.7375333333333332E-2</v>
      </c>
      <c r="AE2042" s="10">
        <f>IFERROR(VLOOKUP(Summary!B2042,'Pre-Summary'!$A$6:$P$184,7, FALSE)/100,AE2043)</f>
        <v>1.1700666666666668E-2</v>
      </c>
      <c r="AF2042" s="99">
        <f t="shared" si="94"/>
        <v>1.5690885582083074E-2</v>
      </c>
      <c r="AG2042" s="99">
        <f t="shared" si="95"/>
        <v>3.8753040661263956E-3</v>
      </c>
      <c r="AH2042" s="10" t="str">
        <f>IFERROR(VLOOKUP(B2042,'Pre-Summary'!$AZ$6:$BE$65,3,FALSE),"")</f>
        <v/>
      </c>
      <c r="AI2042" s="10" t="str">
        <f>IFERROR(VLOOKUP(B2042,'Pre-Summary'!$AZ$6:$BE$65,5,FALSE),"")</f>
        <v/>
      </c>
      <c r="AJ2042" s="10" t="str">
        <f>IFERROR(VLOOKUP(B2042,'Pre-Summary'!$AZ$6:$BE$65,4,FALSE),"")</f>
        <v/>
      </c>
      <c r="AK2042" s="10" t="str">
        <f>IFERROR(VLOOKUP(B2042,'Pre-Summary'!$AZ$6:$BE$65,6,FALSE),"")</f>
        <v/>
      </c>
      <c r="AL2042" s="10" t="str">
        <f>IFERROR(VLOOKUP(B2042,'Pre-Summary'!$BG$6:$BL$44,3,FALSE),"")</f>
        <v/>
      </c>
      <c r="AM2042" s="10" t="str">
        <f>IFERROR(VLOOKUP(B2042,'Pre-Summary'!$BG$6:$BL$44,4,FALSE),"")</f>
        <v/>
      </c>
    </row>
    <row r="2043" spans="2:39" ht="15" customHeight="1" x14ac:dyDescent="0.3">
      <c r="B2043">
        <v>204</v>
      </c>
      <c r="C2043" t="str">
        <f>IFERROR(VLOOKUP(B2043,'Pre-Summary'!$DI$6:$DM$23,4,FALSE),"")</f>
        <v/>
      </c>
      <c r="D2043" s="10" t="str">
        <f>IFERROR(VLOOKUP(B2043,'Pre-Summary'!$AT$6:$AX$14,5,FALSE),D2042)</f>
        <v>Wolfe v3: went back to modified wolfe + EDTA and switched CuSO4 to CUCl2</v>
      </c>
      <c r="E2043" s="10" t="str">
        <f>IFERROR(VLOOKUP(B2043,'Pre-Summary'!$AT$6:$AX$15,4,FALSE),"")</f>
        <v/>
      </c>
      <c r="F2043">
        <f>IFERROR(VLOOKUP(B2043,'Pre-Summary'!$AL$6:$AQ$13,6,FALSE),F2042)</f>
        <v>5.9405263157894746E-2</v>
      </c>
      <c r="G2043" t="str">
        <f>IFERROR(VLOOKUP(B2043,'Pre-Summary'!$AE$6:$AJ$85,3,FALSE),"")</f>
        <v/>
      </c>
      <c r="H2043" t="str">
        <f>IFERROR(VLOOKUP(B2043,'Pre-Summary'!$AE$6:$AJ$85,4,FALSE),"")</f>
        <v/>
      </c>
      <c r="I2043" t="str">
        <f>IFERROR(VLOOKUP(B2043,'Pre-Summary'!$AE$6:$AJ$85,5,FALSE),"")</f>
        <v/>
      </c>
      <c r="J2043" s="45" t="str">
        <f>IFERROR(VLOOKUP(B2043,'Pre-Summary'!$AE$6:$AJ$85,6, FALSE),"")</f>
        <v/>
      </c>
      <c r="K2043" s="45" t="str">
        <f>IFERROR(VLOOKUP(B2043,'Pre-Summary'!$DE$6:$DG$61,3,FALSE),"")</f>
        <v/>
      </c>
      <c r="L2043" s="45" t="str">
        <f>IFERROR(VLOOKUP(B2043,'Pre-Summary'!$CU$6:$CW$36,3,FALSE),"")</f>
        <v/>
      </c>
      <c r="M2043" s="45" t="str">
        <f>IFERROR(VLOOKUP(B2043,'Pre-Summary'!$BW$6:$BY$58,2,FALSE),"")</f>
        <v/>
      </c>
      <c r="N2043" s="45" t="str">
        <f>IFERROR(VLOOKUP(B2043,'Pre-Summary'!$CD$6:$CF$64,2,FALSE),"")</f>
        <v/>
      </c>
      <c r="O2043" s="99">
        <f>IFERROR(VLOOKUP(B2043,'Pre-Summary'!$BO$6:$BQ$48,3, FALSE),O2042)</f>
        <v>1.3480000000000001</v>
      </c>
      <c r="P2043" s="99">
        <f>IFERROR(VLOOKUP(B2043,'Pre-Summary'!$BS$6:$BU$35,3,FALSE),P2042)</f>
        <v>0.33700000000000002</v>
      </c>
      <c r="Q2043" s="54">
        <f t="shared" si="93"/>
        <v>4</v>
      </c>
      <c r="R2043" s="53">
        <f>IFERROR(VLOOKUP(B2043,'Pre-Summary'!$BG$6:$BM$44,7,FALSE),R2044)</f>
        <v>7.3789975262610413E-2</v>
      </c>
      <c r="S2043" s="53">
        <f>IFERROR(VLOOKUP(B2043,'Pre-Summary'!$BG$6:$BM$44,6,FALSE),S2044)</f>
        <v>5.2064631956901149E-2</v>
      </c>
      <c r="T2043" s="45" t="str">
        <f>IFERROR(VLOOKUP(B2043,'Pre-Summary'!$Y$6:$AC$83, 3,FALSE),"")</f>
        <v/>
      </c>
      <c r="U2043" s="45" t="str">
        <f>IFERROR(VLOOKUP(B2043,'Pre-Summary'!$Y$6:$AC$83, 4,FALSE),"")</f>
        <v/>
      </c>
      <c r="V2043" t="str">
        <f>IFERROR(VLOOKUP(B2043,'Pre-Summary'!$Y$6:$AC$83, 5,FALSE),"")</f>
        <v/>
      </c>
      <c r="W2043" s="45" t="str">
        <f>IFERROR(VLOOKUP(B2043,'Pre-Summary'!$Y$6:$AD$83,6,FALSE),"")</f>
        <v/>
      </c>
      <c r="X2043" t="str">
        <f>IFERROR(VLOOKUP('Pre-Summary'!$DB$6:$DD$63,3,FALSE),"")</f>
        <v/>
      </c>
      <c r="Y2043" t="str">
        <f>IFERROR(VLOOKUP(B2043,'Pre-Summary'!$CR$6:$CT$36,3,FALSE),"")</f>
        <v/>
      </c>
      <c r="Z2043" s="45" t="str">
        <f>IFERROR(VLOOKUP(B2043,'Pre-Summary'!$BZ$6:$CB$63,2,FALSE),"")</f>
        <v/>
      </c>
      <c r="AA2043" s="45" t="str">
        <f>IFERROR(VLOOKUP(B2043,'Pre-Summary'!$CG$6:$CI$70,2,FALSE),"")</f>
        <v/>
      </c>
      <c r="AB2043" s="99">
        <f>IFERROR(VLOOKUP(B2043,'Pre-Summary'!$A$6:$P$178,9,FALSE),AB2044)</f>
        <v>0.33120369774882302</v>
      </c>
      <c r="AC2043" s="10">
        <f>IFERROR(VLOOKUP(Summary!B2043,'Pre-Summary'!$A$6:$P$184,5, FALSE)/100,AC2044)</f>
        <v>0.94092399999999998</v>
      </c>
      <c r="AD2043" s="10">
        <f>IFERROR(VLOOKUP(Summary!B2043,'Pre-Summary'!$A$6:$P$184,3, FALSE)/100,AD2044)</f>
        <v>4.7375333333333332E-2</v>
      </c>
      <c r="AE2043" s="10">
        <f>IFERROR(VLOOKUP(Summary!B2043,'Pre-Summary'!$A$6:$P$184,7, FALSE)/100,AE2044)</f>
        <v>1.1700666666666668E-2</v>
      </c>
      <c r="AF2043" s="99">
        <f t="shared" si="94"/>
        <v>1.5690885582083074E-2</v>
      </c>
      <c r="AG2043" s="99">
        <f t="shared" si="95"/>
        <v>3.8753040661263956E-3</v>
      </c>
      <c r="AH2043" s="10" t="str">
        <f>IFERROR(VLOOKUP(B2043,'Pre-Summary'!$AZ$6:$BE$65,3,FALSE),"")</f>
        <v/>
      </c>
      <c r="AI2043" s="10" t="str">
        <f>IFERROR(VLOOKUP(B2043,'Pre-Summary'!$AZ$6:$BE$65,5,FALSE),"")</f>
        <v/>
      </c>
      <c r="AJ2043" s="10" t="str">
        <f>IFERROR(VLOOKUP(B2043,'Pre-Summary'!$AZ$6:$BE$65,4,FALSE),"")</f>
        <v/>
      </c>
      <c r="AK2043" s="10" t="str">
        <f>IFERROR(VLOOKUP(B2043,'Pre-Summary'!$AZ$6:$BE$65,6,FALSE),"")</f>
        <v/>
      </c>
      <c r="AL2043" s="10" t="str">
        <f>IFERROR(VLOOKUP(B2043,'Pre-Summary'!$BG$6:$BL$44,3,FALSE),"")</f>
        <v/>
      </c>
      <c r="AM2043" s="10" t="str">
        <f>IFERROR(VLOOKUP(B2043,'Pre-Summary'!$BG$6:$BL$44,4,FALSE),"")</f>
        <v/>
      </c>
    </row>
    <row r="2044" spans="2:39" ht="15" customHeight="1" x14ac:dyDescent="0.3">
      <c r="B2044">
        <v>204.1</v>
      </c>
      <c r="C2044" t="str">
        <f>IFERROR(VLOOKUP(B2044,'Pre-Summary'!$DI$6:$DM$23,4,FALSE),"")</f>
        <v/>
      </c>
      <c r="D2044" s="10" t="str">
        <f>IFERROR(VLOOKUP(B2044,'Pre-Summary'!$AT$6:$AX$14,5,FALSE),D2043)</f>
        <v>Wolfe v3: went back to modified wolfe + EDTA and switched CuSO4 to CUCl2</v>
      </c>
      <c r="E2044" s="10" t="str">
        <f>IFERROR(VLOOKUP(B2044,'Pre-Summary'!$AT$6:$AX$15,4,FALSE),"")</f>
        <v/>
      </c>
      <c r="F2044">
        <f>IFERROR(VLOOKUP(B2044,'Pre-Summary'!$AL$6:$AQ$13,6,FALSE),F2043)</f>
        <v>5.9405263157894746E-2</v>
      </c>
      <c r="G2044" t="str">
        <f>IFERROR(VLOOKUP(B2044,'Pre-Summary'!$AE$6:$AJ$85,3,FALSE),"")</f>
        <v/>
      </c>
      <c r="H2044" t="str">
        <f>IFERROR(VLOOKUP(B2044,'Pre-Summary'!$AE$6:$AJ$85,4,FALSE),"")</f>
        <v/>
      </c>
      <c r="I2044" t="str">
        <f>IFERROR(VLOOKUP(B2044,'Pre-Summary'!$AE$6:$AJ$85,5,FALSE),"")</f>
        <v/>
      </c>
      <c r="J2044" s="45" t="str">
        <f>IFERROR(VLOOKUP(B2044,'Pre-Summary'!$AE$6:$AJ$85,6, FALSE),"")</f>
        <v/>
      </c>
      <c r="K2044" s="45" t="str">
        <f>IFERROR(VLOOKUP(B2044,'Pre-Summary'!$DE$6:$DG$61,3,FALSE),"")</f>
        <v/>
      </c>
      <c r="L2044" s="45" t="str">
        <f>IFERROR(VLOOKUP(B2044,'Pre-Summary'!$CU$6:$CW$36,3,FALSE),"")</f>
        <v/>
      </c>
      <c r="M2044" s="45" t="str">
        <f>IFERROR(VLOOKUP(B2044,'Pre-Summary'!$BW$6:$BY$58,2,FALSE),"")</f>
        <v/>
      </c>
      <c r="N2044" s="45" t="str">
        <f>IFERROR(VLOOKUP(B2044,'Pre-Summary'!$CD$6:$CF$64,2,FALSE),"")</f>
        <v/>
      </c>
      <c r="O2044" s="99">
        <f>IFERROR(VLOOKUP(B2044,'Pre-Summary'!$BO$6:$BQ$48,3, FALSE),O2043)</f>
        <v>1.3480000000000001</v>
      </c>
      <c r="P2044" s="99">
        <f>IFERROR(VLOOKUP(B2044,'Pre-Summary'!$BS$6:$BU$35,3,FALSE),P2043)</f>
        <v>0.33700000000000002</v>
      </c>
      <c r="Q2044" s="54">
        <f t="shared" si="93"/>
        <v>4</v>
      </c>
      <c r="R2044" s="53">
        <f>IFERROR(VLOOKUP(B2044,'Pre-Summary'!$BG$6:$BM$44,7,FALSE),R2045)</f>
        <v>7.3789975262610413E-2</v>
      </c>
      <c r="S2044" s="53">
        <f>IFERROR(VLOOKUP(B2044,'Pre-Summary'!$BG$6:$BM$44,6,FALSE),S2045)</f>
        <v>5.2064631956901149E-2</v>
      </c>
      <c r="T2044" s="45" t="str">
        <f>IFERROR(VLOOKUP(B2044,'Pre-Summary'!$Y$6:$AC$83, 3,FALSE),"")</f>
        <v/>
      </c>
      <c r="U2044" s="45" t="str">
        <f>IFERROR(VLOOKUP(B2044,'Pre-Summary'!$Y$6:$AC$83, 4,FALSE),"")</f>
        <v/>
      </c>
      <c r="V2044" t="str">
        <f>IFERROR(VLOOKUP(B2044,'Pre-Summary'!$Y$6:$AC$83, 5,FALSE),"")</f>
        <v/>
      </c>
      <c r="W2044" s="45" t="str">
        <f>IFERROR(VLOOKUP(B2044,'Pre-Summary'!$Y$6:$AD$83,6,FALSE),"")</f>
        <v/>
      </c>
      <c r="X2044" t="str">
        <f>IFERROR(VLOOKUP('Pre-Summary'!$DB$6:$DD$63,3,FALSE),"")</f>
        <v/>
      </c>
      <c r="Y2044" t="str">
        <f>IFERROR(VLOOKUP(B2044,'Pre-Summary'!$CR$6:$CT$36,3,FALSE),"")</f>
        <v/>
      </c>
      <c r="Z2044" s="45" t="str">
        <f>IFERROR(VLOOKUP(B2044,'Pre-Summary'!$BZ$6:$CB$63,2,FALSE),"")</f>
        <v/>
      </c>
      <c r="AA2044" s="45" t="str">
        <f>IFERROR(VLOOKUP(B2044,'Pre-Summary'!$CG$6:$CI$70,2,FALSE),"")</f>
        <v/>
      </c>
      <c r="AB2044" s="99">
        <f>IFERROR(VLOOKUP(B2044,'Pre-Summary'!$A$6:$P$178,9,FALSE),AB2045)</f>
        <v>0.33120369774882302</v>
      </c>
      <c r="AC2044" s="10">
        <f>IFERROR(VLOOKUP(Summary!B2044,'Pre-Summary'!$A$6:$P$184,5, FALSE)/100,AC2045)</f>
        <v>0.94092399999999998</v>
      </c>
      <c r="AD2044" s="10">
        <f>IFERROR(VLOOKUP(Summary!B2044,'Pre-Summary'!$A$6:$P$184,3, FALSE)/100,AD2045)</f>
        <v>4.7375333333333332E-2</v>
      </c>
      <c r="AE2044" s="10">
        <f>IFERROR(VLOOKUP(Summary!B2044,'Pre-Summary'!$A$6:$P$184,7, FALSE)/100,AE2045)</f>
        <v>1.1700666666666668E-2</v>
      </c>
      <c r="AF2044" s="99">
        <f t="shared" si="94"/>
        <v>1.5690885582083074E-2</v>
      </c>
      <c r="AG2044" s="99">
        <f t="shared" si="95"/>
        <v>3.8753040661263956E-3</v>
      </c>
      <c r="AH2044" s="10" t="str">
        <f>IFERROR(VLOOKUP(B2044,'Pre-Summary'!$AZ$6:$BE$65,3,FALSE),"")</f>
        <v/>
      </c>
      <c r="AI2044" s="10" t="str">
        <f>IFERROR(VLOOKUP(B2044,'Pre-Summary'!$AZ$6:$BE$65,5,FALSE),"")</f>
        <v/>
      </c>
      <c r="AJ2044" s="10" t="str">
        <f>IFERROR(VLOOKUP(B2044,'Pre-Summary'!$AZ$6:$BE$65,4,FALSE),"")</f>
        <v/>
      </c>
      <c r="AK2044" s="10" t="str">
        <f>IFERROR(VLOOKUP(B2044,'Pre-Summary'!$AZ$6:$BE$65,6,FALSE),"")</f>
        <v/>
      </c>
      <c r="AL2044" s="10" t="str">
        <f>IFERROR(VLOOKUP(B2044,'Pre-Summary'!$BG$6:$BL$44,3,FALSE),"")</f>
        <v/>
      </c>
      <c r="AM2044" s="10" t="str">
        <f>IFERROR(VLOOKUP(B2044,'Pre-Summary'!$BG$6:$BL$44,4,FALSE),"")</f>
        <v/>
      </c>
    </row>
    <row r="2045" spans="2:39" ht="15" customHeight="1" x14ac:dyDescent="0.3">
      <c r="B2045">
        <v>204.2</v>
      </c>
      <c r="C2045" t="str">
        <f>IFERROR(VLOOKUP(B2045,'Pre-Summary'!$DI$6:$DM$23,4,FALSE),"")</f>
        <v/>
      </c>
      <c r="D2045" s="10" t="str">
        <f>IFERROR(VLOOKUP(B2045,'Pre-Summary'!$AT$6:$AX$14,5,FALSE),D2044)</f>
        <v>Wolfe v3: went back to modified wolfe + EDTA and switched CuSO4 to CUCl2</v>
      </c>
      <c r="E2045" s="10" t="str">
        <f>IFERROR(VLOOKUP(B2045,'Pre-Summary'!$AT$6:$AX$15,4,FALSE),"")</f>
        <v/>
      </c>
      <c r="F2045">
        <f>IFERROR(VLOOKUP(B2045,'Pre-Summary'!$AL$6:$AQ$13,6,FALSE),F2044)</f>
        <v>5.9405263157894746E-2</v>
      </c>
      <c r="G2045" t="str">
        <f>IFERROR(VLOOKUP(B2045,'Pre-Summary'!$AE$6:$AJ$85,3,FALSE),"")</f>
        <v/>
      </c>
      <c r="H2045" t="str">
        <f>IFERROR(VLOOKUP(B2045,'Pre-Summary'!$AE$6:$AJ$85,4,FALSE),"")</f>
        <v/>
      </c>
      <c r="I2045" t="str">
        <f>IFERROR(VLOOKUP(B2045,'Pre-Summary'!$AE$6:$AJ$85,5,FALSE),"")</f>
        <v/>
      </c>
      <c r="J2045" s="45" t="str">
        <f>IFERROR(VLOOKUP(B2045,'Pre-Summary'!$AE$6:$AJ$85,6, FALSE),"")</f>
        <v/>
      </c>
      <c r="K2045" s="45" t="str">
        <f>IFERROR(VLOOKUP(B2045,'Pre-Summary'!$DE$6:$DG$61,3,FALSE),"")</f>
        <v/>
      </c>
      <c r="L2045" s="45" t="str">
        <f>IFERROR(VLOOKUP(B2045,'Pre-Summary'!$CU$6:$CW$36,3,FALSE),"")</f>
        <v/>
      </c>
      <c r="M2045" s="45" t="str">
        <f>IFERROR(VLOOKUP(B2045,'Pre-Summary'!$BW$6:$BY$58,2,FALSE),"")</f>
        <v/>
      </c>
      <c r="N2045" s="45" t="str">
        <f>IFERROR(VLOOKUP(B2045,'Pre-Summary'!$CD$6:$CF$64,2,FALSE),"")</f>
        <v/>
      </c>
      <c r="O2045" s="99">
        <f>IFERROR(VLOOKUP(B2045,'Pre-Summary'!$BO$6:$BQ$48,3, FALSE),O2044)</f>
        <v>1.3480000000000001</v>
      </c>
      <c r="P2045" s="99">
        <f>IFERROR(VLOOKUP(B2045,'Pre-Summary'!$BS$6:$BU$35,3,FALSE),P2044)</f>
        <v>0.33700000000000002</v>
      </c>
      <c r="Q2045" s="54">
        <f t="shared" si="93"/>
        <v>4</v>
      </c>
      <c r="R2045" s="53">
        <f>IFERROR(VLOOKUP(B2045,'Pre-Summary'!$BG$6:$BM$44,7,FALSE),R2046)</f>
        <v>7.3789975262610413E-2</v>
      </c>
      <c r="S2045" s="53">
        <f>IFERROR(VLOOKUP(B2045,'Pre-Summary'!$BG$6:$BM$44,6,FALSE),S2046)</f>
        <v>5.2064631956901149E-2</v>
      </c>
      <c r="T2045" s="45" t="str">
        <f>IFERROR(VLOOKUP(B2045,'Pre-Summary'!$Y$6:$AC$83, 3,FALSE),"")</f>
        <v/>
      </c>
      <c r="U2045" s="45" t="str">
        <f>IFERROR(VLOOKUP(B2045,'Pre-Summary'!$Y$6:$AC$83, 4,FALSE),"")</f>
        <v/>
      </c>
      <c r="V2045" t="str">
        <f>IFERROR(VLOOKUP(B2045,'Pre-Summary'!$Y$6:$AC$83, 5,FALSE),"")</f>
        <v/>
      </c>
      <c r="W2045" s="45" t="str">
        <f>IFERROR(VLOOKUP(B2045,'Pre-Summary'!$Y$6:$AD$83,6,FALSE),"")</f>
        <v/>
      </c>
      <c r="X2045" t="str">
        <f>IFERROR(VLOOKUP('Pre-Summary'!$DB$6:$DD$63,3,FALSE),"")</f>
        <v/>
      </c>
      <c r="Y2045" t="str">
        <f>IFERROR(VLOOKUP(B2045,'Pre-Summary'!$CR$6:$CT$36,3,FALSE),"")</f>
        <v/>
      </c>
      <c r="Z2045" s="45" t="str">
        <f>IFERROR(VLOOKUP(B2045,'Pre-Summary'!$BZ$6:$CB$63,2,FALSE),"")</f>
        <v/>
      </c>
      <c r="AA2045" s="45" t="str">
        <f>IFERROR(VLOOKUP(B2045,'Pre-Summary'!$CG$6:$CI$70,2,FALSE),"")</f>
        <v/>
      </c>
      <c r="AB2045" s="99">
        <f>IFERROR(VLOOKUP(B2045,'Pre-Summary'!$A$6:$P$178,9,FALSE),AB2046)</f>
        <v>0.33120369774882302</v>
      </c>
      <c r="AC2045" s="10">
        <f>IFERROR(VLOOKUP(Summary!B2045,'Pre-Summary'!$A$6:$P$184,5, FALSE)/100,AC2046)</f>
        <v>0.94092399999999998</v>
      </c>
      <c r="AD2045" s="10">
        <f>IFERROR(VLOOKUP(Summary!B2045,'Pre-Summary'!$A$6:$P$184,3, FALSE)/100,AD2046)</f>
        <v>4.7375333333333332E-2</v>
      </c>
      <c r="AE2045" s="10">
        <f>IFERROR(VLOOKUP(Summary!B2045,'Pre-Summary'!$A$6:$P$184,7, FALSE)/100,AE2046)</f>
        <v>1.1700666666666668E-2</v>
      </c>
      <c r="AF2045" s="99">
        <f t="shared" si="94"/>
        <v>1.5690885582083074E-2</v>
      </c>
      <c r="AG2045" s="99">
        <f t="shared" si="95"/>
        <v>3.8753040661263956E-3</v>
      </c>
      <c r="AH2045" s="10" t="str">
        <f>IFERROR(VLOOKUP(B2045,'Pre-Summary'!$AZ$6:$BE$65,3,FALSE),"")</f>
        <v/>
      </c>
      <c r="AI2045" s="10" t="str">
        <f>IFERROR(VLOOKUP(B2045,'Pre-Summary'!$AZ$6:$BE$65,5,FALSE),"")</f>
        <v/>
      </c>
      <c r="AJ2045" s="10" t="str">
        <f>IFERROR(VLOOKUP(B2045,'Pre-Summary'!$AZ$6:$BE$65,4,FALSE),"")</f>
        <v/>
      </c>
      <c r="AK2045" s="10" t="str">
        <f>IFERROR(VLOOKUP(B2045,'Pre-Summary'!$AZ$6:$BE$65,6,FALSE),"")</f>
        <v/>
      </c>
      <c r="AL2045" s="10" t="str">
        <f>IFERROR(VLOOKUP(B2045,'Pre-Summary'!$BG$6:$BL$44,3,FALSE),"")</f>
        <v/>
      </c>
      <c r="AM2045" s="10" t="str">
        <f>IFERROR(VLOOKUP(B2045,'Pre-Summary'!$BG$6:$BL$44,4,FALSE),"")</f>
        <v/>
      </c>
    </row>
    <row r="2046" spans="2:39" ht="15" customHeight="1" x14ac:dyDescent="0.3">
      <c r="B2046">
        <v>204.3</v>
      </c>
      <c r="C2046" t="str">
        <f>IFERROR(VLOOKUP(B2046,'Pre-Summary'!$DI$6:$DM$23,4,FALSE),"")</f>
        <v/>
      </c>
      <c r="D2046" s="10" t="str">
        <f>IFERROR(VLOOKUP(B2046,'Pre-Summary'!$AT$6:$AX$14,5,FALSE),D2045)</f>
        <v>Wolfe v3: went back to modified wolfe + EDTA and switched CuSO4 to CUCl2</v>
      </c>
      <c r="E2046" s="10" t="str">
        <f>IFERROR(VLOOKUP(B2046,'Pre-Summary'!$AT$6:$AX$15,4,FALSE),"")</f>
        <v/>
      </c>
      <c r="F2046">
        <f>IFERROR(VLOOKUP(B2046,'Pre-Summary'!$AL$6:$AQ$13,6,FALSE),F2045)</f>
        <v>5.9405263157894746E-2</v>
      </c>
      <c r="G2046" t="str">
        <f>IFERROR(VLOOKUP(B2046,'Pre-Summary'!$AE$6:$AJ$85,3,FALSE),"")</f>
        <v/>
      </c>
      <c r="H2046" t="str">
        <f>IFERROR(VLOOKUP(B2046,'Pre-Summary'!$AE$6:$AJ$85,4,FALSE),"")</f>
        <v/>
      </c>
      <c r="I2046" t="str">
        <f>IFERROR(VLOOKUP(B2046,'Pre-Summary'!$AE$6:$AJ$85,5,FALSE),"")</f>
        <v/>
      </c>
      <c r="J2046" s="45" t="str">
        <f>IFERROR(VLOOKUP(B2046,'Pre-Summary'!$AE$6:$AJ$85,6, FALSE),"")</f>
        <v/>
      </c>
      <c r="K2046" s="45" t="str">
        <f>IFERROR(VLOOKUP(B2046,'Pre-Summary'!$DE$6:$DG$61,3,FALSE),"")</f>
        <v/>
      </c>
      <c r="L2046" s="45" t="str">
        <f>IFERROR(VLOOKUP(B2046,'Pre-Summary'!$CU$6:$CW$36,3,FALSE),"")</f>
        <v/>
      </c>
      <c r="M2046" s="45" t="str">
        <f>IFERROR(VLOOKUP(B2046,'Pre-Summary'!$BW$6:$BY$58,2,FALSE),"")</f>
        <v/>
      </c>
      <c r="N2046" s="45" t="str">
        <f>IFERROR(VLOOKUP(B2046,'Pre-Summary'!$CD$6:$CF$64,2,FALSE),"")</f>
        <v/>
      </c>
      <c r="O2046" s="99">
        <f>IFERROR(VLOOKUP(B2046,'Pre-Summary'!$BO$6:$BQ$48,3, FALSE),O2045)</f>
        <v>1.3480000000000001</v>
      </c>
      <c r="P2046" s="99">
        <f>IFERROR(VLOOKUP(B2046,'Pre-Summary'!$BS$6:$BU$35,3,FALSE),P2045)</f>
        <v>0.33700000000000002</v>
      </c>
      <c r="Q2046" s="54">
        <f t="shared" si="93"/>
        <v>4</v>
      </c>
      <c r="R2046" s="53">
        <f>IFERROR(VLOOKUP(B2046,'Pre-Summary'!$BG$6:$BM$44,7,FALSE),R2047)</f>
        <v>7.3789975262610413E-2</v>
      </c>
      <c r="S2046" s="53">
        <f>IFERROR(VLOOKUP(B2046,'Pre-Summary'!$BG$6:$BM$44,6,FALSE),S2047)</f>
        <v>5.2064631956901149E-2</v>
      </c>
      <c r="T2046" s="45" t="str">
        <f>IFERROR(VLOOKUP(B2046,'Pre-Summary'!$Y$6:$AC$83, 3,FALSE),"")</f>
        <v/>
      </c>
      <c r="U2046" s="45" t="str">
        <f>IFERROR(VLOOKUP(B2046,'Pre-Summary'!$Y$6:$AC$83, 4,FALSE),"")</f>
        <v/>
      </c>
      <c r="V2046" t="str">
        <f>IFERROR(VLOOKUP(B2046,'Pre-Summary'!$Y$6:$AC$83, 5,FALSE),"")</f>
        <v/>
      </c>
      <c r="W2046" s="45" t="str">
        <f>IFERROR(VLOOKUP(B2046,'Pre-Summary'!$Y$6:$AD$83,6,FALSE),"")</f>
        <v/>
      </c>
      <c r="X2046" t="str">
        <f>IFERROR(VLOOKUP('Pre-Summary'!$DB$6:$DD$63,3,FALSE),"")</f>
        <v/>
      </c>
      <c r="Y2046" t="str">
        <f>IFERROR(VLOOKUP(B2046,'Pre-Summary'!$CR$6:$CT$36,3,FALSE),"")</f>
        <v/>
      </c>
      <c r="Z2046" s="45" t="str">
        <f>IFERROR(VLOOKUP(B2046,'Pre-Summary'!$BZ$6:$CB$63,2,FALSE),"")</f>
        <v/>
      </c>
      <c r="AA2046" s="45" t="str">
        <f>IFERROR(VLOOKUP(B2046,'Pre-Summary'!$CG$6:$CI$70,2,FALSE),"")</f>
        <v/>
      </c>
      <c r="AB2046" s="99">
        <f>IFERROR(VLOOKUP(B2046,'Pre-Summary'!$A$6:$P$178,9,FALSE),AB2047)</f>
        <v>0.33120369774882302</v>
      </c>
      <c r="AC2046" s="10">
        <f>IFERROR(VLOOKUP(Summary!B2046,'Pre-Summary'!$A$6:$P$184,5, FALSE)/100,AC2047)</f>
        <v>0.94092399999999998</v>
      </c>
      <c r="AD2046" s="10">
        <f>IFERROR(VLOOKUP(Summary!B2046,'Pre-Summary'!$A$6:$P$184,3, FALSE)/100,AD2047)</f>
        <v>4.7375333333333332E-2</v>
      </c>
      <c r="AE2046" s="10">
        <f>IFERROR(VLOOKUP(Summary!B2046,'Pre-Summary'!$A$6:$P$184,7, FALSE)/100,AE2047)</f>
        <v>1.1700666666666668E-2</v>
      </c>
      <c r="AF2046" s="99">
        <f t="shared" si="94"/>
        <v>1.5690885582083074E-2</v>
      </c>
      <c r="AG2046" s="99">
        <f t="shared" si="95"/>
        <v>3.8753040661263956E-3</v>
      </c>
      <c r="AH2046" s="10" t="str">
        <f>IFERROR(VLOOKUP(B2046,'Pre-Summary'!$AZ$6:$BE$65,3,FALSE),"")</f>
        <v/>
      </c>
      <c r="AI2046" s="10" t="str">
        <f>IFERROR(VLOOKUP(B2046,'Pre-Summary'!$AZ$6:$BE$65,5,FALSE),"")</f>
        <v/>
      </c>
      <c r="AJ2046" s="10" t="str">
        <f>IFERROR(VLOOKUP(B2046,'Pre-Summary'!$AZ$6:$BE$65,4,FALSE),"")</f>
        <v/>
      </c>
      <c r="AK2046" s="10" t="str">
        <f>IFERROR(VLOOKUP(B2046,'Pre-Summary'!$AZ$6:$BE$65,6,FALSE),"")</f>
        <v/>
      </c>
      <c r="AL2046" s="10" t="str">
        <f>IFERROR(VLOOKUP(B2046,'Pre-Summary'!$BG$6:$BL$44,3,FALSE),"")</f>
        <v/>
      </c>
      <c r="AM2046" s="10" t="str">
        <f>IFERROR(VLOOKUP(B2046,'Pre-Summary'!$BG$6:$BL$44,4,FALSE),"")</f>
        <v/>
      </c>
    </row>
    <row r="2047" spans="2:39" ht="15" customHeight="1" x14ac:dyDescent="0.3">
      <c r="B2047">
        <v>204.4</v>
      </c>
      <c r="C2047" t="str">
        <f>IFERROR(VLOOKUP(B2047,'Pre-Summary'!$DI$6:$DM$23,4,FALSE),"")</f>
        <v/>
      </c>
      <c r="D2047" s="10" t="str">
        <f>IFERROR(VLOOKUP(B2047,'Pre-Summary'!$AT$6:$AX$14,5,FALSE),D2046)</f>
        <v>Wolfe v3: went back to modified wolfe + EDTA and switched CuSO4 to CUCl2</v>
      </c>
      <c r="E2047" s="10" t="str">
        <f>IFERROR(VLOOKUP(B2047,'Pre-Summary'!$AT$6:$AX$15,4,FALSE),"")</f>
        <v/>
      </c>
      <c r="F2047">
        <f>IFERROR(VLOOKUP(B2047,'Pre-Summary'!$AL$6:$AQ$13,6,FALSE),F2046)</f>
        <v>5.9405263157894746E-2</v>
      </c>
      <c r="G2047" t="str">
        <f>IFERROR(VLOOKUP(B2047,'Pre-Summary'!$AE$6:$AJ$85,3,FALSE),"")</f>
        <v/>
      </c>
      <c r="H2047" t="str">
        <f>IFERROR(VLOOKUP(B2047,'Pre-Summary'!$AE$6:$AJ$85,4,FALSE),"")</f>
        <v/>
      </c>
      <c r="I2047" t="str">
        <f>IFERROR(VLOOKUP(B2047,'Pre-Summary'!$AE$6:$AJ$85,5,FALSE),"")</f>
        <v/>
      </c>
      <c r="J2047" s="45" t="str">
        <f>IFERROR(VLOOKUP(B2047,'Pre-Summary'!$AE$6:$AJ$85,6, FALSE),"")</f>
        <v/>
      </c>
      <c r="K2047" s="45" t="str">
        <f>IFERROR(VLOOKUP(B2047,'Pre-Summary'!$DE$6:$DG$61,3,FALSE),"")</f>
        <v/>
      </c>
      <c r="L2047" s="45" t="str">
        <f>IFERROR(VLOOKUP(B2047,'Pre-Summary'!$CU$6:$CW$36,3,FALSE),"")</f>
        <v/>
      </c>
      <c r="M2047" s="45" t="str">
        <f>IFERROR(VLOOKUP(B2047,'Pre-Summary'!$BW$6:$BY$58,2,FALSE),"")</f>
        <v/>
      </c>
      <c r="N2047" s="45" t="str">
        <f>IFERROR(VLOOKUP(B2047,'Pre-Summary'!$CD$6:$CF$64,2,FALSE),"")</f>
        <v/>
      </c>
      <c r="O2047" s="99">
        <f>IFERROR(VLOOKUP(B2047,'Pre-Summary'!$BO$6:$BQ$48,3, FALSE),O2046)</f>
        <v>1.3480000000000001</v>
      </c>
      <c r="P2047" s="99">
        <f>IFERROR(VLOOKUP(B2047,'Pre-Summary'!$BS$6:$BU$35,3,FALSE),P2046)</f>
        <v>0.33700000000000002</v>
      </c>
      <c r="Q2047" s="54">
        <f t="shared" si="93"/>
        <v>4</v>
      </c>
      <c r="R2047" s="53">
        <f>IFERROR(VLOOKUP(B2047,'Pre-Summary'!$BG$6:$BM$44,7,FALSE),R2048)</f>
        <v>7.3789975262610413E-2</v>
      </c>
      <c r="S2047" s="53">
        <f>IFERROR(VLOOKUP(B2047,'Pre-Summary'!$BG$6:$BM$44,6,FALSE),S2048)</f>
        <v>5.2064631956901149E-2</v>
      </c>
      <c r="T2047" s="45" t="str">
        <f>IFERROR(VLOOKUP(B2047,'Pre-Summary'!$Y$6:$AC$83, 3,FALSE),"")</f>
        <v/>
      </c>
      <c r="U2047" s="45" t="str">
        <f>IFERROR(VLOOKUP(B2047,'Pre-Summary'!$Y$6:$AC$83, 4,FALSE),"")</f>
        <v/>
      </c>
      <c r="V2047" t="str">
        <f>IFERROR(VLOOKUP(B2047,'Pre-Summary'!$Y$6:$AC$83, 5,FALSE),"")</f>
        <v/>
      </c>
      <c r="W2047" s="45" t="str">
        <f>IFERROR(VLOOKUP(B2047,'Pre-Summary'!$Y$6:$AD$83,6,FALSE),"")</f>
        <v/>
      </c>
      <c r="X2047" t="str">
        <f>IFERROR(VLOOKUP('Pre-Summary'!$DB$6:$DD$63,3,FALSE),"")</f>
        <v/>
      </c>
      <c r="Y2047" t="str">
        <f>IFERROR(VLOOKUP(B2047,'Pre-Summary'!$CR$6:$CT$36,3,FALSE),"")</f>
        <v/>
      </c>
      <c r="Z2047" s="45" t="str">
        <f>IFERROR(VLOOKUP(B2047,'Pre-Summary'!$BZ$6:$CB$63,2,FALSE),"")</f>
        <v/>
      </c>
      <c r="AA2047" s="45" t="str">
        <f>IFERROR(VLOOKUP(B2047,'Pre-Summary'!$CG$6:$CI$70,2,FALSE),"")</f>
        <v/>
      </c>
      <c r="AB2047" s="99">
        <f>IFERROR(VLOOKUP(B2047,'Pre-Summary'!$A$6:$P$178,9,FALSE),AB2048)</f>
        <v>0.33120369774882302</v>
      </c>
      <c r="AC2047" s="10">
        <f>IFERROR(VLOOKUP(Summary!B2047,'Pre-Summary'!$A$6:$P$184,5, FALSE)/100,AC2048)</f>
        <v>0.94092399999999998</v>
      </c>
      <c r="AD2047" s="10">
        <f>IFERROR(VLOOKUP(Summary!B2047,'Pre-Summary'!$A$6:$P$184,3, FALSE)/100,AD2048)</f>
        <v>4.7375333333333332E-2</v>
      </c>
      <c r="AE2047" s="10">
        <f>IFERROR(VLOOKUP(Summary!B2047,'Pre-Summary'!$A$6:$P$184,7, FALSE)/100,AE2048)</f>
        <v>1.1700666666666668E-2</v>
      </c>
      <c r="AF2047" s="99">
        <f t="shared" si="94"/>
        <v>1.5690885582083074E-2</v>
      </c>
      <c r="AG2047" s="99">
        <f t="shared" si="95"/>
        <v>3.8753040661263956E-3</v>
      </c>
      <c r="AH2047" s="10" t="str">
        <f>IFERROR(VLOOKUP(B2047,'Pre-Summary'!$AZ$6:$BE$65,3,FALSE),"")</f>
        <v/>
      </c>
      <c r="AI2047" s="10" t="str">
        <f>IFERROR(VLOOKUP(B2047,'Pre-Summary'!$AZ$6:$BE$65,5,FALSE),"")</f>
        <v/>
      </c>
      <c r="AJ2047" s="10" t="str">
        <f>IFERROR(VLOOKUP(B2047,'Pre-Summary'!$AZ$6:$BE$65,4,FALSE),"")</f>
        <v/>
      </c>
      <c r="AK2047" s="10" t="str">
        <f>IFERROR(VLOOKUP(B2047,'Pre-Summary'!$AZ$6:$BE$65,6,FALSE),"")</f>
        <v/>
      </c>
      <c r="AL2047" s="10" t="str">
        <f>IFERROR(VLOOKUP(B2047,'Pre-Summary'!$BG$6:$BL$44,3,FALSE),"")</f>
        <v/>
      </c>
      <c r="AM2047" s="10" t="str">
        <f>IFERROR(VLOOKUP(B2047,'Pre-Summary'!$BG$6:$BL$44,4,FALSE),"")</f>
        <v/>
      </c>
    </row>
    <row r="2048" spans="2:39" ht="15" customHeight="1" x14ac:dyDescent="0.3">
      <c r="B2048">
        <v>204.5</v>
      </c>
      <c r="C2048" t="str">
        <f>IFERROR(VLOOKUP(B2048,'Pre-Summary'!$DI$6:$DM$23,4,FALSE),"")</f>
        <v/>
      </c>
      <c r="D2048" s="10" t="str">
        <f>IFERROR(VLOOKUP(B2048,'Pre-Summary'!$AT$6:$AX$14,5,FALSE),D2047)</f>
        <v>Wolfe v3: went back to modified wolfe + EDTA and switched CuSO4 to CUCl2</v>
      </c>
      <c r="E2048" s="10" t="str">
        <f>IFERROR(VLOOKUP(B2048,'Pre-Summary'!$AT$6:$AX$15,4,FALSE),"")</f>
        <v/>
      </c>
      <c r="F2048">
        <f>IFERROR(VLOOKUP(B2048,'Pre-Summary'!$AL$6:$AQ$13,6,FALSE),F2047)</f>
        <v>5.9405263157894746E-2</v>
      </c>
      <c r="G2048">
        <f>IFERROR(VLOOKUP(B2048,'Pre-Summary'!$AE$6:$AJ$85,3,FALSE),"")</f>
        <v>4.9032191011235966</v>
      </c>
      <c r="H2048">
        <f>IFERROR(VLOOKUP(B2048,'Pre-Summary'!$AE$6:$AJ$85,4,FALSE),"")</f>
        <v>0.36185021949211527</v>
      </c>
      <c r="I2048" t="str">
        <f>IFERROR(VLOOKUP(B2048,'Pre-Summary'!$AE$6:$AJ$85,5,FALSE),"")</f>
        <v/>
      </c>
      <c r="J2048" s="45">
        <f>IFERROR(VLOOKUP(B2048,'Pre-Summary'!$AE$6:$AJ$85,6, FALSE),"")</f>
        <v>5.2317347808988774</v>
      </c>
      <c r="K2048" s="45" t="str">
        <f>IFERROR(VLOOKUP(B2048,'Pre-Summary'!$DE$6:$DG$61,3,FALSE),"")</f>
        <v/>
      </c>
      <c r="L2048" s="45" t="str">
        <f>IFERROR(VLOOKUP(B2048,'Pre-Summary'!$CU$6:$CW$36,3,FALSE),"")</f>
        <v/>
      </c>
      <c r="M2048" s="45" t="str">
        <f>IFERROR(VLOOKUP(B2048,'Pre-Summary'!$BW$6:$BY$58,2,FALSE),"")</f>
        <v/>
      </c>
      <c r="N2048" s="45">
        <f>IFERROR(VLOOKUP(B2048,'Pre-Summary'!$CD$6:$CF$64,2,FALSE),"")</f>
        <v>256.071501398132</v>
      </c>
      <c r="O2048" s="99">
        <f>IFERROR(VLOOKUP(B2048,'Pre-Summary'!$BO$6:$BQ$48,3, FALSE),O2047)</f>
        <v>1.3480000000000001</v>
      </c>
      <c r="P2048" s="99">
        <f>IFERROR(VLOOKUP(B2048,'Pre-Summary'!$BS$6:$BU$35,3,FALSE),P2047)</f>
        <v>0.33700000000000002</v>
      </c>
      <c r="Q2048" s="54">
        <f t="shared" si="93"/>
        <v>4</v>
      </c>
      <c r="R2048" s="53">
        <f>IFERROR(VLOOKUP(B2048,'Pre-Summary'!$BG$6:$BM$44,7,FALSE),R2049)</f>
        <v>7.3789975262610413E-2</v>
      </c>
      <c r="S2048" s="53">
        <f>IFERROR(VLOOKUP(B2048,'Pre-Summary'!$BG$6:$BM$44,6,FALSE),S2049)</f>
        <v>5.2064631956901149E-2</v>
      </c>
      <c r="T2048" s="45">
        <f>IFERROR(VLOOKUP(B2048,'Pre-Summary'!$Y$6:$AC$83, 3,FALSE),"")</f>
        <v>3.2995346992729688</v>
      </c>
      <c r="U2048" s="45">
        <f>IFERROR(VLOOKUP(B2048,'Pre-Summary'!$Y$6:$AC$83, 4,FALSE),"")</f>
        <v>1.3731552430629694</v>
      </c>
      <c r="V2048" t="str">
        <f>IFERROR(VLOOKUP(B2048,'Pre-Summary'!$Y$6:$AC$83, 5,FALSE),"")</f>
        <v/>
      </c>
      <c r="W2048" s="45">
        <f>IFERROR(VLOOKUP(B2048,'Pre-Summary'!$Y$6:$AD$83,6,FALSE),"")</f>
        <v>3.5206035241242577</v>
      </c>
      <c r="X2048" t="str">
        <f>IFERROR(VLOOKUP('Pre-Summary'!$DB$6:$DD$63,3,FALSE),"")</f>
        <v/>
      </c>
      <c r="Y2048" t="str">
        <f>IFERROR(VLOOKUP(B2048,'Pre-Summary'!$CR$6:$CT$36,3,FALSE),"")</f>
        <v/>
      </c>
      <c r="Z2048" s="45" t="str">
        <f>IFERROR(VLOOKUP(B2048,'Pre-Summary'!$BZ$6:$CB$63,2,FALSE),"")</f>
        <v/>
      </c>
      <c r="AA2048" s="45" t="str">
        <f>IFERROR(VLOOKUP(B2048,'Pre-Summary'!$CG$6:$CI$70,2,FALSE),"")</f>
        <v/>
      </c>
      <c r="AB2048" s="99">
        <f>IFERROR(VLOOKUP(B2048,'Pre-Summary'!$A$6:$P$178,9,FALSE),AB2049)</f>
        <v>0.33120369774882302</v>
      </c>
      <c r="AC2048" s="10">
        <f>IFERROR(VLOOKUP(Summary!B2048,'Pre-Summary'!$A$6:$P$184,5, FALSE)/100,AC2049)</f>
        <v>0.94092399999999998</v>
      </c>
      <c r="AD2048" s="10">
        <f>IFERROR(VLOOKUP(Summary!B2048,'Pre-Summary'!$A$6:$P$184,3, FALSE)/100,AD2049)</f>
        <v>4.7375333333333332E-2</v>
      </c>
      <c r="AE2048" s="10">
        <f>IFERROR(VLOOKUP(Summary!B2048,'Pre-Summary'!$A$6:$P$184,7, FALSE)/100,AE2049)</f>
        <v>1.1700666666666668E-2</v>
      </c>
      <c r="AF2048" s="99">
        <f t="shared" si="94"/>
        <v>1.5690885582083074E-2</v>
      </c>
      <c r="AG2048" s="99">
        <f t="shared" si="95"/>
        <v>3.8753040661263956E-3</v>
      </c>
      <c r="AH2048" s="10" t="str">
        <f>IFERROR(VLOOKUP(B2048,'Pre-Summary'!$AZ$6:$BE$65,3,FALSE),"")</f>
        <v/>
      </c>
      <c r="AI2048" s="10" t="str">
        <f>IFERROR(VLOOKUP(B2048,'Pre-Summary'!$AZ$6:$BE$65,5,FALSE),"")</f>
        <v/>
      </c>
      <c r="AJ2048" s="10" t="str">
        <f>IFERROR(VLOOKUP(B2048,'Pre-Summary'!$AZ$6:$BE$65,4,FALSE),"")</f>
        <v/>
      </c>
      <c r="AK2048" s="10" t="str">
        <f>IFERROR(VLOOKUP(B2048,'Pre-Summary'!$AZ$6:$BE$65,6,FALSE),"")</f>
        <v/>
      </c>
      <c r="AL2048" s="10" t="str">
        <f>IFERROR(VLOOKUP(B2048,'Pre-Summary'!$BG$6:$BL$44,3,FALSE),"")</f>
        <v/>
      </c>
      <c r="AM2048" s="10" t="str">
        <f>IFERROR(VLOOKUP(B2048,'Pre-Summary'!$BG$6:$BL$44,4,FALSE),"")</f>
        <v/>
      </c>
    </row>
    <row r="2049" spans="2:39" ht="15" customHeight="1" x14ac:dyDescent="0.3">
      <c r="B2049">
        <v>204.6</v>
      </c>
      <c r="C2049" t="str">
        <f>IFERROR(VLOOKUP(B2049,'Pre-Summary'!$DI$6:$DM$23,4,FALSE),"")</f>
        <v/>
      </c>
      <c r="D2049" s="10" t="str">
        <f>IFERROR(VLOOKUP(B2049,'Pre-Summary'!$AT$6:$AX$14,5,FALSE),D2048)</f>
        <v>Wolfe v3: went back to modified wolfe + EDTA and switched CuSO4 to CUCl2</v>
      </c>
      <c r="E2049" s="10" t="str">
        <f>IFERROR(VLOOKUP(B2049,'Pre-Summary'!$AT$6:$AX$15,4,FALSE),"")</f>
        <v/>
      </c>
      <c r="F2049">
        <f>IFERROR(VLOOKUP(B2049,'Pre-Summary'!$AL$6:$AQ$13,6,FALSE),F2048)</f>
        <v>5.9405263157894746E-2</v>
      </c>
      <c r="G2049" t="str">
        <f>IFERROR(VLOOKUP(B2049,'Pre-Summary'!$AE$6:$AJ$85,3,FALSE),"")</f>
        <v/>
      </c>
      <c r="H2049" t="str">
        <f>IFERROR(VLOOKUP(B2049,'Pre-Summary'!$AE$6:$AJ$85,4,FALSE),"")</f>
        <v/>
      </c>
      <c r="I2049" t="str">
        <f>IFERROR(VLOOKUP(B2049,'Pre-Summary'!$AE$6:$AJ$85,5,FALSE),"")</f>
        <v/>
      </c>
      <c r="J2049" s="45" t="str">
        <f>IFERROR(VLOOKUP(B2049,'Pre-Summary'!$AE$6:$AJ$85,6, FALSE),"")</f>
        <v/>
      </c>
      <c r="K2049" s="45" t="str">
        <f>IFERROR(VLOOKUP(B2049,'Pre-Summary'!$DE$6:$DG$61,3,FALSE),"")</f>
        <v/>
      </c>
      <c r="L2049" s="45" t="str">
        <f>IFERROR(VLOOKUP(B2049,'Pre-Summary'!$CU$6:$CW$36,3,FALSE),"")</f>
        <v/>
      </c>
      <c r="M2049" s="45" t="str">
        <f>IFERROR(VLOOKUP(B2049,'Pre-Summary'!$BW$6:$BY$58,2,FALSE),"")</f>
        <v/>
      </c>
      <c r="N2049" s="45" t="str">
        <f>IFERROR(VLOOKUP(B2049,'Pre-Summary'!$CD$6:$CF$64,2,FALSE),"")</f>
        <v/>
      </c>
      <c r="O2049" s="99">
        <f>IFERROR(VLOOKUP(B2049,'Pre-Summary'!$BO$6:$BQ$48,3, FALSE),O2048)</f>
        <v>1.3480000000000001</v>
      </c>
      <c r="P2049" s="99">
        <f>IFERROR(VLOOKUP(B2049,'Pre-Summary'!$BS$6:$BU$35,3,FALSE),P2048)</f>
        <v>0.33700000000000002</v>
      </c>
      <c r="Q2049" s="54">
        <f t="shared" si="93"/>
        <v>4</v>
      </c>
      <c r="R2049" s="53">
        <f>IFERROR(VLOOKUP(B2049,'Pre-Summary'!$BG$6:$BM$44,7,FALSE),R2050)</f>
        <v>7.3789975262610413E-2</v>
      </c>
      <c r="S2049" s="53">
        <f>IFERROR(VLOOKUP(B2049,'Pre-Summary'!$BG$6:$BM$44,6,FALSE),S2050)</f>
        <v>5.2064631956901149E-2</v>
      </c>
      <c r="T2049" s="45" t="str">
        <f>IFERROR(VLOOKUP(B2049,'Pre-Summary'!$Y$6:$AC$83, 3,FALSE),"")</f>
        <v/>
      </c>
      <c r="U2049" s="45" t="str">
        <f>IFERROR(VLOOKUP(B2049,'Pre-Summary'!$Y$6:$AC$83, 4,FALSE),"")</f>
        <v/>
      </c>
      <c r="V2049" t="str">
        <f>IFERROR(VLOOKUP(B2049,'Pre-Summary'!$Y$6:$AC$83, 5,FALSE),"")</f>
        <v/>
      </c>
      <c r="W2049" s="45" t="str">
        <f>IFERROR(VLOOKUP(B2049,'Pre-Summary'!$Y$6:$AD$83,6,FALSE),"")</f>
        <v/>
      </c>
      <c r="X2049" t="str">
        <f>IFERROR(VLOOKUP('Pre-Summary'!$DB$6:$DD$63,3,FALSE),"")</f>
        <v/>
      </c>
      <c r="Y2049" t="str">
        <f>IFERROR(VLOOKUP(B2049,'Pre-Summary'!$CR$6:$CT$36,3,FALSE),"")</f>
        <v/>
      </c>
      <c r="Z2049" s="45" t="str">
        <f>IFERROR(VLOOKUP(B2049,'Pre-Summary'!$BZ$6:$CB$63,2,FALSE),"")</f>
        <v/>
      </c>
      <c r="AA2049" s="45" t="str">
        <f>IFERROR(VLOOKUP(B2049,'Pre-Summary'!$CG$6:$CI$70,2,FALSE),"")</f>
        <v/>
      </c>
      <c r="AB2049" s="99">
        <f>IFERROR(VLOOKUP(B2049,'Pre-Summary'!$A$6:$P$178,9,FALSE),AB2050)</f>
        <v>0.33120369774882302</v>
      </c>
      <c r="AC2049" s="10">
        <f>IFERROR(VLOOKUP(Summary!B2049,'Pre-Summary'!$A$6:$P$184,5, FALSE)/100,AC2050)</f>
        <v>0.94092399999999998</v>
      </c>
      <c r="AD2049" s="10">
        <f>IFERROR(VLOOKUP(Summary!B2049,'Pre-Summary'!$A$6:$P$184,3, FALSE)/100,AD2050)</f>
        <v>4.7375333333333332E-2</v>
      </c>
      <c r="AE2049" s="10">
        <f>IFERROR(VLOOKUP(Summary!B2049,'Pre-Summary'!$A$6:$P$184,7, FALSE)/100,AE2050)</f>
        <v>1.1700666666666668E-2</v>
      </c>
      <c r="AF2049" s="99">
        <f t="shared" si="94"/>
        <v>1.5690885582083074E-2</v>
      </c>
      <c r="AG2049" s="99">
        <f t="shared" si="95"/>
        <v>3.8753040661263956E-3</v>
      </c>
      <c r="AH2049" s="10" t="str">
        <f>IFERROR(VLOOKUP(B2049,'Pre-Summary'!$AZ$6:$BE$65,3,FALSE),"")</f>
        <v/>
      </c>
      <c r="AI2049" s="10" t="str">
        <f>IFERROR(VLOOKUP(B2049,'Pre-Summary'!$AZ$6:$BE$65,5,FALSE),"")</f>
        <v/>
      </c>
      <c r="AJ2049" s="10" t="str">
        <f>IFERROR(VLOOKUP(B2049,'Pre-Summary'!$AZ$6:$BE$65,4,FALSE),"")</f>
        <v/>
      </c>
      <c r="AK2049" s="10" t="str">
        <f>IFERROR(VLOOKUP(B2049,'Pre-Summary'!$AZ$6:$BE$65,6,FALSE),"")</f>
        <v/>
      </c>
      <c r="AL2049" s="10" t="str">
        <f>IFERROR(VLOOKUP(B2049,'Pre-Summary'!$BG$6:$BL$44,3,FALSE),"")</f>
        <v/>
      </c>
      <c r="AM2049" s="10" t="str">
        <f>IFERROR(VLOOKUP(B2049,'Pre-Summary'!$BG$6:$BL$44,4,FALSE),"")</f>
        <v/>
      </c>
    </row>
    <row r="2050" spans="2:39" ht="15" customHeight="1" x14ac:dyDescent="0.3">
      <c r="B2050">
        <v>204.7</v>
      </c>
      <c r="C2050" t="str">
        <f>IFERROR(VLOOKUP(B2050,'Pre-Summary'!$DI$6:$DM$23,4,FALSE),"")</f>
        <v/>
      </c>
      <c r="D2050" s="10" t="str">
        <f>IFERROR(VLOOKUP(B2050,'Pre-Summary'!$AT$6:$AX$14,5,FALSE),D2049)</f>
        <v>Wolfe v3: went back to modified wolfe + EDTA and switched CuSO4 to CUCl2</v>
      </c>
      <c r="E2050" s="10" t="str">
        <f>IFERROR(VLOOKUP(B2050,'Pre-Summary'!$AT$6:$AX$15,4,FALSE),"")</f>
        <v/>
      </c>
      <c r="F2050">
        <f>IFERROR(VLOOKUP(B2050,'Pre-Summary'!$AL$6:$AQ$13,6,FALSE),F2049)</f>
        <v>5.9405263157894746E-2</v>
      </c>
      <c r="G2050" t="str">
        <f>IFERROR(VLOOKUP(B2050,'Pre-Summary'!$AE$6:$AJ$85,3,FALSE),"")</f>
        <v/>
      </c>
      <c r="H2050" t="str">
        <f>IFERROR(VLOOKUP(B2050,'Pre-Summary'!$AE$6:$AJ$85,4,FALSE),"")</f>
        <v/>
      </c>
      <c r="I2050" t="str">
        <f>IFERROR(VLOOKUP(B2050,'Pre-Summary'!$AE$6:$AJ$85,5,FALSE),"")</f>
        <v/>
      </c>
      <c r="J2050" s="45" t="str">
        <f>IFERROR(VLOOKUP(B2050,'Pre-Summary'!$AE$6:$AJ$85,6, FALSE),"")</f>
        <v/>
      </c>
      <c r="K2050" s="45" t="str">
        <f>IFERROR(VLOOKUP(B2050,'Pre-Summary'!$DE$6:$DG$61,3,FALSE),"")</f>
        <v/>
      </c>
      <c r="L2050" s="45" t="str">
        <f>IFERROR(VLOOKUP(B2050,'Pre-Summary'!$CU$6:$CW$36,3,FALSE),"")</f>
        <v/>
      </c>
      <c r="M2050" s="45" t="str">
        <f>IFERROR(VLOOKUP(B2050,'Pre-Summary'!$BW$6:$BY$58,2,FALSE),"")</f>
        <v/>
      </c>
      <c r="N2050" s="45" t="str">
        <f>IFERROR(VLOOKUP(B2050,'Pre-Summary'!$CD$6:$CF$64,2,FALSE),"")</f>
        <v/>
      </c>
      <c r="O2050" s="99">
        <f>IFERROR(VLOOKUP(B2050,'Pre-Summary'!$BO$6:$BQ$48,3, FALSE),O2049)</f>
        <v>1.3480000000000001</v>
      </c>
      <c r="P2050" s="99">
        <f>IFERROR(VLOOKUP(B2050,'Pre-Summary'!$BS$6:$BU$35,3,FALSE),P2049)</f>
        <v>0.33700000000000002</v>
      </c>
      <c r="Q2050" s="54">
        <f t="shared" si="93"/>
        <v>4</v>
      </c>
      <c r="R2050" s="53">
        <f>IFERROR(VLOOKUP(B2050,'Pre-Summary'!$BG$6:$BM$44,7,FALSE),R2051)</f>
        <v>7.3789975262610413E-2</v>
      </c>
      <c r="S2050" s="53">
        <f>IFERROR(VLOOKUP(B2050,'Pre-Summary'!$BG$6:$BM$44,6,FALSE),S2051)</f>
        <v>5.2064631956901149E-2</v>
      </c>
      <c r="T2050" s="45" t="str">
        <f>IFERROR(VLOOKUP(B2050,'Pre-Summary'!$Y$6:$AC$83, 3,FALSE),"")</f>
        <v/>
      </c>
      <c r="U2050" s="45" t="str">
        <f>IFERROR(VLOOKUP(B2050,'Pre-Summary'!$Y$6:$AC$83, 4,FALSE),"")</f>
        <v/>
      </c>
      <c r="V2050" t="str">
        <f>IFERROR(VLOOKUP(B2050,'Pre-Summary'!$Y$6:$AC$83, 5,FALSE),"")</f>
        <v/>
      </c>
      <c r="W2050" s="45" t="str">
        <f>IFERROR(VLOOKUP(B2050,'Pre-Summary'!$Y$6:$AD$83,6,FALSE),"")</f>
        <v/>
      </c>
      <c r="X2050" t="str">
        <f>IFERROR(VLOOKUP('Pre-Summary'!$DB$6:$DD$63,3,FALSE),"")</f>
        <v/>
      </c>
      <c r="Y2050" t="str">
        <f>IFERROR(VLOOKUP(B2050,'Pre-Summary'!$CR$6:$CT$36,3,FALSE),"")</f>
        <v/>
      </c>
      <c r="Z2050" s="45" t="str">
        <f>IFERROR(VLOOKUP(B2050,'Pre-Summary'!$BZ$6:$CB$63,2,FALSE),"")</f>
        <v/>
      </c>
      <c r="AA2050" s="45" t="str">
        <f>IFERROR(VLOOKUP(B2050,'Pre-Summary'!$CG$6:$CI$70,2,FALSE),"")</f>
        <v/>
      </c>
      <c r="AB2050" s="99">
        <f>IFERROR(VLOOKUP(B2050,'Pre-Summary'!$A$6:$P$178,9,FALSE),AB2051)</f>
        <v>0.33120369774882302</v>
      </c>
      <c r="AC2050" s="10">
        <f>IFERROR(VLOOKUP(Summary!B2050,'Pre-Summary'!$A$6:$P$184,5, FALSE)/100,AC2051)</f>
        <v>0.94092399999999998</v>
      </c>
      <c r="AD2050" s="10">
        <f>IFERROR(VLOOKUP(Summary!B2050,'Pre-Summary'!$A$6:$P$184,3, FALSE)/100,AD2051)</f>
        <v>4.7375333333333332E-2</v>
      </c>
      <c r="AE2050" s="10">
        <f>IFERROR(VLOOKUP(Summary!B2050,'Pre-Summary'!$A$6:$P$184,7, FALSE)/100,AE2051)</f>
        <v>1.1700666666666668E-2</v>
      </c>
      <c r="AF2050" s="99">
        <f t="shared" si="94"/>
        <v>1.5690885582083074E-2</v>
      </c>
      <c r="AG2050" s="99">
        <f t="shared" si="95"/>
        <v>3.8753040661263956E-3</v>
      </c>
      <c r="AH2050" s="10" t="str">
        <f>IFERROR(VLOOKUP(B2050,'Pre-Summary'!$AZ$6:$BE$65,3,FALSE),"")</f>
        <v/>
      </c>
      <c r="AI2050" s="10" t="str">
        <f>IFERROR(VLOOKUP(B2050,'Pre-Summary'!$AZ$6:$BE$65,5,FALSE),"")</f>
        <v/>
      </c>
      <c r="AJ2050" s="10" t="str">
        <f>IFERROR(VLOOKUP(B2050,'Pre-Summary'!$AZ$6:$BE$65,4,FALSE),"")</f>
        <v/>
      </c>
      <c r="AK2050" s="10" t="str">
        <f>IFERROR(VLOOKUP(B2050,'Pre-Summary'!$AZ$6:$BE$65,6,FALSE),"")</f>
        <v/>
      </c>
      <c r="AL2050" s="10" t="str">
        <f>IFERROR(VLOOKUP(B2050,'Pre-Summary'!$BG$6:$BL$44,3,FALSE),"")</f>
        <v/>
      </c>
      <c r="AM2050" s="10" t="str">
        <f>IFERROR(VLOOKUP(B2050,'Pre-Summary'!$BG$6:$BL$44,4,FALSE),"")</f>
        <v/>
      </c>
    </row>
    <row r="2051" spans="2:39" ht="15" customHeight="1" x14ac:dyDescent="0.3">
      <c r="B2051">
        <v>204.8</v>
      </c>
      <c r="C2051" t="str">
        <f>IFERROR(VLOOKUP(B2051,'Pre-Summary'!$DI$6:$DM$23,4,FALSE),"")</f>
        <v/>
      </c>
      <c r="D2051" s="10" t="str">
        <f>IFERROR(VLOOKUP(B2051,'Pre-Summary'!$AT$6:$AX$14,5,FALSE),D2050)</f>
        <v>Wolfe v3: went back to modified wolfe + EDTA and switched CuSO4 to CUCl2</v>
      </c>
      <c r="E2051" s="10" t="str">
        <f>IFERROR(VLOOKUP(B2051,'Pre-Summary'!$AT$6:$AX$15,4,FALSE),"")</f>
        <v/>
      </c>
      <c r="F2051">
        <f>IFERROR(VLOOKUP(B2051,'Pre-Summary'!$AL$6:$AQ$13,6,FALSE),F2050)</f>
        <v>5.9405263157894746E-2</v>
      </c>
      <c r="G2051" t="str">
        <f>IFERROR(VLOOKUP(B2051,'Pre-Summary'!$AE$6:$AJ$85,3,FALSE),"")</f>
        <v/>
      </c>
      <c r="H2051" t="str">
        <f>IFERROR(VLOOKUP(B2051,'Pre-Summary'!$AE$6:$AJ$85,4,FALSE),"")</f>
        <v/>
      </c>
      <c r="I2051" t="str">
        <f>IFERROR(VLOOKUP(B2051,'Pre-Summary'!$AE$6:$AJ$85,5,FALSE),"")</f>
        <v/>
      </c>
      <c r="J2051" s="45" t="str">
        <f>IFERROR(VLOOKUP(B2051,'Pre-Summary'!$AE$6:$AJ$85,6, FALSE),"")</f>
        <v/>
      </c>
      <c r="K2051" s="45" t="str">
        <f>IFERROR(VLOOKUP(B2051,'Pre-Summary'!$DE$6:$DG$61,3,FALSE),"")</f>
        <v/>
      </c>
      <c r="L2051" s="45" t="str">
        <f>IFERROR(VLOOKUP(B2051,'Pre-Summary'!$CU$6:$CW$36,3,FALSE),"")</f>
        <v/>
      </c>
      <c r="M2051" s="45" t="str">
        <f>IFERROR(VLOOKUP(B2051,'Pre-Summary'!$BW$6:$BY$58,2,FALSE),"")</f>
        <v/>
      </c>
      <c r="N2051" s="45" t="str">
        <f>IFERROR(VLOOKUP(B2051,'Pre-Summary'!$CD$6:$CF$64,2,FALSE),"")</f>
        <v/>
      </c>
      <c r="O2051" s="99">
        <f>IFERROR(VLOOKUP(B2051,'Pre-Summary'!$BO$6:$BQ$48,3, FALSE),O2050)</f>
        <v>1.3480000000000001</v>
      </c>
      <c r="P2051" s="99">
        <f>IFERROR(VLOOKUP(B2051,'Pre-Summary'!$BS$6:$BU$35,3,FALSE),P2050)</f>
        <v>0.33700000000000002</v>
      </c>
      <c r="Q2051" s="54">
        <f t="shared" ref="Q2051:Q2114" si="96">O2051/P2051</f>
        <v>4</v>
      </c>
      <c r="R2051" s="53">
        <f>IFERROR(VLOOKUP(B2051,'Pre-Summary'!$BG$6:$BM$44,7,FALSE),R2052)</f>
        <v>7.3789975262610413E-2</v>
      </c>
      <c r="S2051" s="53">
        <f>IFERROR(VLOOKUP(B2051,'Pre-Summary'!$BG$6:$BM$44,6,FALSE),S2052)</f>
        <v>5.2064631956901149E-2</v>
      </c>
      <c r="T2051" s="45" t="str">
        <f>IFERROR(VLOOKUP(B2051,'Pre-Summary'!$Y$6:$AC$83, 3,FALSE),"")</f>
        <v/>
      </c>
      <c r="U2051" s="45" t="str">
        <f>IFERROR(VLOOKUP(B2051,'Pre-Summary'!$Y$6:$AC$83, 4,FALSE),"")</f>
        <v/>
      </c>
      <c r="V2051" t="str">
        <f>IFERROR(VLOOKUP(B2051,'Pre-Summary'!$Y$6:$AC$83, 5,FALSE),"")</f>
        <v/>
      </c>
      <c r="W2051" s="45" t="str">
        <f>IFERROR(VLOOKUP(B2051,'Pre-Summary'!$Y$6:$AD$83,6,FALSE),"")</f>
        <v/>
      </c>
      <c r="X2051" t="str">
        <f>IFERROR(VLOOKUP('Pre-Summary'!$DB$6:$DD$63,3,FALSE),"")</f>
        <v/>
      </c>
      <c r="Y2051" t="str">
        <f>IFERROR(VLOOKUP(B2051,'Pre-Summary'!$CR$6:$CT$36,3,FALSE),"")</f>
        <v/>
      </c>
      <c r="Z2051" s="45" t="str">
        <f>IFERROR(VLOOKUP(B2051,'Pre-Summary'!$BZ$6:$CB$63,2,FALSE),"")</f>
        <v/>
      </c>
      <c r="AA2051" s="45" t="str">
        <f>IFERROR(VLOOKUP(B2051,'Pre-Summary'!$CG$6:$CI$70,2,FALSE),"")</f>
        <v/>
      </c>
      <c r="AB2051" s="99">
        <f>IFERROR(VLOOKUP(B2051,'Pre-Summary'!$A$6:$P$178,9,FALSE),AB2052)</f>
        <v>0.33120369774882302</v>
      </c>
      <c r="AC2051" s="10">
        <f>IFERROR(VLOOKUP(Summary!B2051,'Pre-Summary'!$A$6:$P$184,5, FALSE)/100,AC2052)</f>
        <v>0.94092399999999998</v>
      </c>
      <c r="AD2051" s="10">
        <f>IFERROR(VLOOKUP(Summary!B2051,'Pre-Summary'!$A$6:$P$184,3, FALSE)/100,AD2052)</f>
        <v>4.7375333333333332E-2</v>
      </c>
      <c r="AE2051" s="10">
        <f>IFERROR(VLOOKUP(Summary!B2051,'Pre-Summary'!$A$6:$P$184,7, FALSE)/100,AE2052)</f>
        <v>1.1700666666666668E-2</v>
      </c>
      <c r="AF2051" s="99">
        <f t="shared" ref="AF2051:AF2114" si="97">AD2051*AB2051</f>
        <v>1.5690885582083074E-2</v>
      </c>
      <c r="AG2051" s="99">
        <f t="shared" ref="AG2051:AG2114" si="98">AB2051*AE2051</f>
        <v>3.8753040661263956E-3</v>
      </c>
      <c r="AH2051" s="10" t="str">
        <f>IFERROR(VLOOKUP(B2051,'Pre-Summary'!$AZ$6:$BE$65,3,FALSE),"")</f>
        <v/>
      </c>
      <c r="AI2051" s="10" t="str">
        <f>IFERROR(VLOOKUP(B2051,'Pre-Summary'!$AZ$6:$BE$65,5,FALSE),"")</f>
        <v/>
      </c>
      <c r="AJ2051" s="10" t="str">
        <f>IFERROR(VLOOKUP(B2051,'Pre-Summary'!$AZ$6:$BE$65,4,FALSE),"")</f>
        <v/>
      </c>
      <c r="AK2051" s="10" t="str">
        <f>IFERROR(VLOOKUP(B2051,'Pre-Summary'!$AZ$6:$BE$65,6,FALSE),"")</f>
        <v/>
      </c>
      <c r="AL2051" s="10" t="str">
        <f>IFERROR(VLOOKUP(B2051,'Pre-Summary'!$BG$6:$BL$44,3,FALSE),"")</f>
        <v/>
      </c>
      <c r="AM2051" s="10" t="str">
        <f>IFERROR(VLOOKUP(B2051,'Pre-Summary'!$BG$6:$BL$44,4,FALSE),"")</f>
        <v/>
      </c>
    </row>
    <row r="2052" spans="2:39" ht="15" customHeight="1" x14ac:dyDescent="0.3">
      <c r="B2052">
        <v>204.9</v>
      </c>
      <c r="C2052" t="str">
        <f>IFERROR(VLOOKUP(B2052,'Pre-Summary'!$DI$6:$DM$23,4,FALSE),"")</f>
        <v/>
      </c>
      <c r="D2052" s="10" t="str">
        <f>IFERROR(VLOOKUP(B2052,'Pre-Summary'!$AT$6:$AX$14,5,FALSE),D2051)</f>
        <v>Wolfe v3: went back to modified wolfe + EDTA and switched CuSO4 to CUCl2</v>
      </c>
      <c r="E2052" s="10" t="str">
        <f>IFERROR(VLOOKUP(B2052,'Pre-Summary'!$AT$6:$AX$15,4,FALSE),"")</f>
        <v/>
      </c>
      <c r="F2052">
        <f>IFERROR(VLOOKUP(B2052,'Pre-Summary'!$AL$6:$AQ$13,6,FALSE),F2051)</f>
        <v>5.9405263157894746E-2</v>
      </c>
      <c r="G2052" t="str">
        <f>IFERROR(VLOOKUP(B2052,'Pre-Summary'!$AE$6:$AJ$85,3,FALSE),"")</f>
        <v/>
      </c>
      <c r="H2052" t="str">
        <f>IFERROR(VLOOKUP(B2052,'Pre-Summary'!$AE$6:$AJ$85,4,FALSE),"")</f>
        <v/>
      </c>
      <c r="I2052" t="str">
        <f>IFERROR(VLOOKUP(B2052,'Pre-Summary'!$AE$6:$AJ$85,5,FALSE),"")</f>
        <v/>
      </c>
      <c r="J2052" s="45" t="str">
        <f>IFERROR(VLOOKUP(B2052,'Pre-Summary'!$AE$6:$AJ$85,6, FALSE),"")</f>
        <v/>
      </c>
      <c r="K2052" s="45">
        <f>IFERROR(VLOOKUP(B2052,'Pre-Summary'!$DE$6:$DG$61,3,FALSE),"")</f>
        <v>842</v>
      </c>
      <c r="L2052" s="45" t="str">
        <f>IFERROR(VLOOKUP(B2052,'Pre-Summary'!$CU$6:$CW$36,3,FALSE),"")</f>
        <v/>
      </c>
      <c r="M2052" s="45" t="str">
        <f>IFERROR(VLOOKUP(B2052,'Pre-Summary'!$BW$6:$BY$58,2,FALSE),"")</f>
        <v/>
      </c>
      <c r="N2052" s="45" t="str">
        <f>IFERROR(VLOOKUP(B2052,'Pre-Summary'!$CD$6:$CF$64,2,FALSE),"")</f>
        <v/>
      </c>
      <c r="O2052" s="99">
        <f>IFERROR(VLOOKUP(B2052,'Pre-Summary'!$BO$6:$BQ$48,3, FALSE),O2051)</f>
        <v>1.3480000000000001</v>
      </c>
      <c r="P2052" s="99">
        <f>IFERROR(VLOOKUP(B2052,'Pre-Summary'!$BS$6:$BU$35,3,FALSE),P2051)</f>
        <v>0.33700000000000002</v>
      </c>
      <c r="Q2052" s="54">
        <f t="shared" si="96"/>
        <v>4</v>
      </c>
      <c r="R2052" s="53">
        <f>IFERROR(VLOOKUP(B2052,'Pre-Summary'!$BG$6:$BM$44,7,FALSE),R2053)</f>
        <v>7.3789975262610413E-2</v>
      </c>
      <c r="S2052" s="53">
        <f>IFERROR(VLOOKUP(B2052,'Pre-Summary'!$BG$6:$BM$44,6,FALSE),S2053)</f>
        <v>5.2064631956901149E-2</v>
      </c>
      <c r="T2052" s="45" t="str">
        <f>IFERROR(VLOOKUP(B2052,'Pre-Summary'!$Y$6:$AC$83, 3,FALSE),"")</f>
        <v/>
      </c>
      <c r="U2052" s="45" t="str">
        <f>IFERROR(VLOOKUP(B2052,'Pre-Summary'!$Y$6:$AC$83, 4,FALSE),"")</f>
        <v/>
      </c>
      <c r="V2052" t="str">
        <f>IFERROR(VLOOKUP(B2052,'Pre-Summary'!$Y$6:$AC$83, 5,FALSE),"")</f>
        <v/>
      </c>
      <c r="W2052" s="45" t="str">
        <f>IFERROR(VLOOKUP(B2052,'Pre-Summary'!$Y$6:$AD$83,6,FALSE),"")</f>
        <v/>
      </c>
      <c r="X2052" t="str">
        <f>IFERROR(VLOOKUP('Pre-Summary'!$DB$6:$DD$63,3,FALSE),"")</f>
        <v/>
      </c>
      <c r="Y2052" t="str">
        <f>IFERROR(VLOOKUP(B2052,'Pre-Summary'!$CR$6:$CT$36,3,FALSE),"")</f>
        <v/>
      </c>
      <c r="Z2052" s="45">
        <f>IFERROR(VLOOKUP(B2052,'Pre-Summary'!$BZ$6:$CB$63,2,FALSE),"")</f>
        <v>18.713040153732045</v>
      </c>
      <c r="AA2052" s="45">
        <f>IFERROR(VLOOKUP(B2052,'Pre-Summary'!$CG$6:$CI$70,2,FALSE),"")</f>
        <v>184.63616505159277</v>
      </c>
      <c r="AB2052" s="99">
        <f>IFERROR(VLOOKUP(B2052,'Pre-Summary'!$A$6:$P$178,9,FALSE),AB2053)</f>
        <v>0.33120369774882302</v>
      </c>
      <c r="AC2052" s="10">
        <f>IFERROR(VLOOKUP(Summary!B2052,'Pre-Summary'!$A$6:$P$184,5, FALSE)/100,AC2053)</f>
        <v>0.94092399999999998</v>
      </c>
      <c r="AD2052" s="10">
        <f>IFERROR(VLOOKUP(Summary!B2052,'Pre-Summary'!$A$6:$P$184,3, FALSE)/100,AD2053)</f>
        <v>4.7375333333333332E-2</v>
      </c>
      <c r="AE2052" s="10">
        <f>IFERROR(VLOOKUP(Summary!B2052,'Pre-Summary'!$A$6:$P$184,7, FALSE)/100,AE2053)</f>
        <v>1.1700666666666668E-2</v>
      </c>
      <c r="AF2052" s="99">
        <f t="shared" si="97"/>
        <v>1.5690885582083074E-2</v>
      </c>
      <c r="AG2052" s="99">
        <f t="shared" si="98"/>
        <v>3.8753040661263956E-3</v>
      </c>
      <c r="AH2052" s="10" t="str">
        <f>IFERROR(VLOOKUP(B2052,'Pre-Summary'!$AZ$6:$BE$65,3,FALSE),"")</f>
        <v/>
      </c>
      <c r="AI2052" s="10" t="str">
        <f>IFERROR(VLOOKUP(B2052,'Pre-Summary'!$AZ$6:$BE$65,5,FALSE),"")</f>
        <v/>
      </c>
      <c r="AJ2052" s="10" t="str">
        <f>IFERROR(VLOOKUP(B2052,'Pre-Summary'!$AZ$6:$BE$65,4,FALSE),"")</f>
        <v/>
      </c>
      <c r="AK2052" s="10" t="str">
        <f>IFERROR(VLOOKUP(B2052,'Pre-Summary'!$AZ$6:$BE$65,6,FALSE),"")</f>
        <v/>
      </c>
      <c r="AL2052" s="10" t="str">
        <f>IFERROR(VLOOKUP(B2052,'Pre-Summary'!$BG$6:$BL$44,3,FALSE),"")</f>
        <v/>
      </c>
      <c r="AM2052" s="10" t="str">
        <f>IFERROR(VLOOKUP(B2052,'Pre-Summary'!$BG$6:$BL$44,4,FALSE),"")</f>
        <v/>
      </c>
    </row>
    <row r="2053" spans="2:39" ht="15" customHeight="1" x14ac:dyDescent="0.3">
      <c r="B2053">
        <v>205</v>
      </c>
      <c r="C2053" t="str">
        <f>IFERROR(VLOOKUP(B2053,'Pre-Summary'!$DI$6:$DM$23,4,FALSE),"")</f>
        <v/>
      </c>
      <c r="D2053" s="10" t="str">
        <f>IFERROR(VLOOKUP(B2053,'Pre-Summary'!$AT$6:$AX$14,5,FALSE),D2052)</f>
        <v>Wolfe v3: went back to modified wolfe + EDTA and switched CuSO4 to CUCl2</v>
      </c>
      <c r="E2053" s="10" t="str">
        <f>IFERROR(VLOOKUP(B2053,'Pre-Summary'!$AT$6:$AX$15,4,FALSE),"")</f>
        <v/>
      </c>
      <c r="F2053">
        <f>IFERROR(VLOOKUP(B2053,'Pre-Summary'!$AL$6:$AQ$13,6,FALSE),F2052)</f>
        <v>5.9405263157894746E-2</v>
      </c>
      <c r="G2053" t="str">
        <f>IFERROR(VLOOKUP(B2053,'Pre-Summary'!$AE$6:$AJ$85,3,FALSE),"")</f>
        <v/>
      </c>
      <c r="H2053" t="str">
        <f>IFERROR(VLOOKUP(B2053,'Pre-Summary'!$AE$6:$AJ$85,4,FALSE),"")</f>
        <v/>
      </c>
      <c r="I2053" t="str">
        <f>IFERROR(VLOOKUP(B2053,'Pre-Summary'!$AE$6:$AJ$85,5,FALSE),"")</f>
        <v/>
      </c>
      <c r="J2053" s="45" t="str">
        <f>IFERROR(VLOOKUP(B2053,'Pre-Summary'!$AE$6:$AJ$85,6, FALSE),"")</f>
        <v/>
      </c>
      <c r="K2053" s="45" t="str">
        <f>IFERROR(VLOOKUP(B2053,'Pre-Summary'!$DE$6:$DG$61,3,FALSE),"")</f>
        <v/>
      </c>
      <c r="L2053" s="45" t="str">
        <f>IFERROR(VLOOKUP(B2053,'Pre-Summary'!$CU$6:$CW$36,3,FALSE),"")</f>
        <v/>
      </c>
      <c r="M2053" s="45" t="str">
        <f>IFERROR(VLOOKUP(B2053,'Pre-Summary'!$BW$6:$BY$58,2,FALSE),"")</f>
        <v/>
      </c>
      <c r="N2053" s="45" t="str">
        <f>IFERROR(VLOOKUP(B2053,'Pre-Summary'!$CD$6:$CF$64,2,FALSE),"")</f>
        <v/>
      </c>
      <c r="O2053" s="99">
        <f>IFERROR(VLOOKUP(B2053,'Pre-Summary'!$BO$6:$BQ$48,3, FALSE),O2052)</f>
        <v>1.3480000000000001</v>
      </c>
      <c r="P2053" s="99">
        <f>IFERROR(VLOOKUP(B2053,'Pre-Summary'!$BS$6:$BU$35,3,FALSE),P2052)</f>
        <v>0.379</v>
      </c>
      <c r="Q2053" s="54">
        <f t="shared" si="96"/>
        <v>3.556728232189974</v>
      </c>
      <c r="R2053" s="53">
        <f>IFERROR(VLOOKUP(B2053,'Pre-Summary'!$BG$6:$BM$44,7,FALSE),R2054)</f>
        <v>7.3789975262610413E-2</v>
      </c>
      <c r="S2053" s="53">
        <f>IFERROR(VLOOKUP(B2053,'Pre-Summary'!$BG$6:$BM$44,6,FALSE),S2054)</f>
        <v>5.2064631956901149E-2</v>
      </c>
      <c r="T2053" s="45" t="str">
        <f>IFERROR(VLOOKUP(B2053,'Pre-Summary'!$Y$6:$AC$83, 3,FALSE),"")</f>
        <v/>
      </c>
      <c r="U2053" s="45" t="str">
        <f>IFERROR(VLOOKUP(B2053,'Pre-Summary'!$Y$6:$AC$83, 4,FALSE),"")</f>
        <v/>
      </c>
      <c r="V2053" t="str">
        <f>IFERROR(VLOOKUP(B2053,'Pre-Summary'!$Y$6:$AC$83, 5,FALSE),"")</f>
        <v/>
      </c>
      <c r="W2053" s="45" t="str">
        <f>IFERROR(VLOOKUP(B2053,'Pre-Summary'!$Y$6:$AD$83,6,FALSE),"")</f>
        <v/>
      </c>
      <c r="X2053" t="str">
        <f>IFERROR(VLOOKUP('Pre-Summary'!$DB$6:$DD$63,3,FALSE),"")</f>
        <v/>
      </c>
      <c r="Y2053" t="str">
        <f>IFERROR(VLOOKUP(B2053,'Pre-Summary'!$CR$6:$CT$36,3,FALSE),"")</f>
        <v/>
      </c>
      <c r="Z2053" s="45" t="str">
        <f>IFERROR(VLOOKUP(B2053,'Pre-Summary'!$BZ$6:$CB$63,2,FALSE),"")</f>
        <v/>
      </c>
      <c r="AA2053" s="45" t="str">
        <f>IFERROR(VLOOKUP(B2053,'Pre-Summary'!$CG$6:$CI$70,2,FALSE),"")</f>
        <v/>
      </c>
      <c r="AB2053" s="99">
        <f>IFERROR(VLOOKUP(B2053,'Pre-Summary'!$A$6:$P$178,9,FALSE),AB2054)</f>
        <v>0.3520523289652725</v>
      </c>
      <c r="AC2053" s="10">
        <f>IFERROR(VLOOKUP(Summary!B2053,'Pre-Summary'!$A$6:$P$184,5, FALSE)/100,AC2054)</f>
        <v>0.95091600000000009</v>
      </c>
      <c r="AD2053" s="10">
        <f>IFERROR(VLOOKUP(Summary!B2053,'Pre-Summary'!$A$6:$P$184,3, FALSE)/100,AD2054)</f>
        <v>4.3424666666666667E-2</v>
      </c>
      <c r="AE2053" s="10">
        <f>IFERROR(VLOOKUP(Summary!B2053,'Pre-Summary'!$A$6:$P$184,7, FALSE)/100,AE2054)</f>
        <v>5.6593333333333331E-3</v>
      </c>
      <c r="AF2053" s="99">
        <f t="shared" si="97"/>
        <v>1.5287755034540636E-2</v>
      </c>
      <c r="AG2053" s="99">
        <f t="shared" si="98"/>
        <v>1.9923814803907989E-3</v>
      </c>
      <c r="AH2053" s="10" t="str">
        <f>IFERROR(VLOOKUP(B2053,'Pre-Summary'!$AZ$6:$BE$65,3,FALSE),"")</f>
        <v/>
      </c>
      <c r="AI2053" s="10" t="str">
        <f>IFERROR(VLOOKUP(B2053,'Pre-Summary'!$AZ$6:$BE$65,5,FALSE),"")</f>
        <v/>
      </c>
      <c r="AJ2053" s="10" t="str">
        <f>IFERROR(VLOOKUP(B2053,'Pre-Summary'!$AZ$6:$BE$65,4,FALSE),"")</f>
        <v/>
      </c>
      <c r="AK2053" s="10" t="str">
        <f>IFERROR(VLOOKUP(B2053,'Pre-Summary'!$AZ$6:$BE$65,6,FALSE),"")</f>
        <v/>
      </c>
      <c r="AL2053" s="10" t="str">
        <f>IFERROR(VLOOKUP(B2053,'Pre-Summary'!$BG$6:$BL$44,3,FALSE),"")</f>
        <v/>
      </c>
      <c r="AM2053" s="10" t="str">
        <f>IFERROR(VLOOKUP(B2053,'Pre-Summary'!$BG$6:$BL$44,4,FALSE),"")</f>
        <v/>
      </c>
    </row>
    <row r="2054" spans="2:39" ht="15" customHeight="1" x14ac:dyDescent="0.3">
      <c r="B2054">
        <v>205.1</v>
      </c>
      <c r="C2054" t="str">
        <f>IFERROR(VLOOKUP(B2054,'Pre-Summary'!$DI$6:$DM$23,4,FALSE),"")</f>
        <v/>
      </c>
      <c r="D2054" s="10" t="str">
        <f>IFERROR(VLOOKUP(B2054,'Pre-Summary'!$AT$6:$AX$14,5,FALSE),D2053)</f>
        <v>Wolfe v3: went back to modified wolfe + EDTA and switched CuSO4 to CUCl2</v>
      </c>
      <c r="E2054" s="10" t="str">
        <f>IFERROR(VLOOKUP(B2054,'Pre-Summary'!$AT$6:$AX$15,4,FALSE),"")</f>
        <v/>
      </c>
      <c r="F2054">
        <f>IFERROR(VLOOKUP(B2054,'Pre-Summary'!$AL$6:$AQ$13,6,FALSE),F2053)</f>
        <v>5.9405263157894746E-2</v>
      </c>
      <c r="G2054" t="str">
        <f>IFERROR(VLOOKUP(B2054,'Pre-Summary'!$AE$6:$AJ$85,3,FALSE),"")</f>
        <v/>
      </c>
      <c r="H2054" t="str">
        <f>IFERROR(VLOOKUP(B2054,'Pre-Summary'!$AE$6:$AJ$85,4,FALSE),"")</f>
        <v/>
      </c>
      <c r="I2054" t="str">
        <f>IFERROR(VLOOKUP(B2054,'Pre-Summary'!$AE$6:$AJ$85,5,FALSE),"")</f>
        <v/>
      </c>
      <c r="J2054" s="45" t="str">
        <f>IFERROR(VLOOKUP(B2054,'Pre-Summary'!$AE$6:$AJ$85,6, FALSE),"")</f>
        <v/>
      </c>
      <c r="K2054" s="45" t="str">
        <f>IFERROR(VLOOKUP(B2054,'Pre-Summary'!$DE$6:$DG$61,3,FALSE),"")</f>
        <v/>
      </c>
      <c r="L2054" s="45" t="str">
        <f>IFERROR(VLOOKUP(B2054,'Pre-Summary'!$CU$6:$CW$36,3,FALSE),"")</f>
        <v/>
      </c>
      <c r="M2054" s="45" t="str">
        <f>IFERROR(VLOOKUP(B2054,'Pre-Summary'!$BW$6:$BY$58,2,FALSE),"")</f>
        <v/>
      </c>
      <c r="N2054" s="45" t="str">
        <f>IFERROR(VLOOKUP(B2054,'Pre-Summary'!$CD$6:$CF$64,2,FALSE),"")</f>
        <v/>
      </c>
      <c r="O2054" s="99">
        <f>IFERROR(VLOOKUP(B2054,'Pre-Summary'!$BO$6:$BQ$48,3, FALSE),O2053)</f>
        <v>1.3480000000000001</v>
      </c>
      <c r="P2054" s="99">
        <f>IFERROR(VLOOKUP(B2054,'Pre-Summary'!$BS$6:$BU$35,3,FALSE),P2053)</f>
        <v>0.379</v>
      </c>
      <c r="Q2054" s="54">
        <f t="shared" si="96"/>
        <v>3.556728232189974</v>
      </c>
      <c r="R2054" s="53">
        <f>IFERROR(VLOOKUP(B2054,'Pre-Summary'!$BG$6:$BM$44,7,FALSE),R2055)</f>
        <v>7.3789975262610413E-2</v>
      </c>
      <c r="S2054" s="53">
        <f>IFERROR(VLOOKUP(B2054,'Pre-Summary'!$BG$6:$BM$44,6,FALSE),S2055)</f>
        <v>5.2064631956901149E-2</v>
      </c>
      <c r="T2054" s="45" t="str">
        <f>IFERROR(VLOOKUP(B2054,'Pre-Summary'!$Y$6:$AC$83, 3,FALSE),"")</f>
        <v/>
      </c>
      <c r="U2054" s="45" t="str">
        <f>IFERROR(VLOOKUP(B2054,'Pre-Summary'!$Y$6:$AC$83, 4,FALSE),"")</f>
        <v/>
      </c>
      <c r="V2054" t="str">
        <f>IFERROR(VLOOKUP(B2054,'Pre-Summary'!$Y$6:$AC$83, 5,FALSE),"")</f>
        <v/>
      </c>
      <c r="W2054" s="45" t="str">
        <f>IFERROR(VLOOKUP(B2054,'Pre-Summary'!$Y$6:$AD$83,6,FALSE),"")</f>
        <v/>
      </c>
      <c r="X2054" t="str">
        <f>IFERROR(VLOOKUP('Pre-Summary'!$DB$6:$DD$63,3,FALSE),"")</f>
        <v/>
      </c>
      <c r="Y2054" t="str">
        <f>IFERROR(VLOOKUP(B2054,'Pre-Summary'!$CR$6:$CT$36,3,FALSE),"")</f>
        <v/>
      </c>
      <c r="Z2054" s="45" t="str">
        <f>IFERROR(VLOOKUP(B2054,'Pre-Summary'!$BZ$6:$CB$63,2,FALSE),"")</f>
        <v/>
      </c>
      <c r="AA2054" s="45" t="str">
        <f>IFERROR(VLOOKUP(B2054,'Pre-Summary'!$CG$6:$CI$70,2,FALSE),"")</f>
        <v/>
      </c>
      <c r="AB2054" s="99">
        <f>IFERROR(VLOOKUP(B2054,'Pre-Summary'!$A$6:$P$178,9,FALSE),AB2055)</f>
        <v>0.3520523289652725</v>
      </c>
      <c r="AC2054" s="10">
        <f>IFERROR(VLOOKUP(Summary!B2054,'Pre-Summary'!$A$6:$P$184,5, FALSE)/100,AC2055)</f>
        <v>0.95091600000000009</v>
      </c>
      <c r="AD2054" s="10">
        <f>IFERROR(VLOOKUP(Summary!B2054,'Pre-Summary'!$A$6:$P$184,3, FALSE)/100,AD2055)</f>
        <v>4.3424666666666667E-2</v>
      </c>
      <c r="AE2054" s="10">
        <f>IFERROR(VLOOKUP(Summary!B2054,'Pre-Summary'!$A$6:$P$184,7, FALSE)/100,AE2055)</f>
        <v>5.6593333333333331E-3</v>
      </c>
      <c r="AF2054" s="99">
        <f t="shared" si="97"/>
        <v>1.5287755034540636E-2</v>
      </c>
      <c r="AG2054" s="99">
        <f t="shared" si="98"/>
        <v>1.9923814803907989E-3</v>
      </c>
      <c r="AH2054" s="10" t="str">
        <f>IFERROR(VLOOKUP(B2054,'Pre-Summary'!$AZ$6:$BE$65,3,FALSE),"")</f>
        <v/>
      </c>
      <c r="AI2054" s="10" t="str">
        <f>IFERROR(VLOOKUP(B2054,'Pre-Summary'!$AZ$6:$BE$65,5,FALSE),"")</f>
        <v/>
      </c>
      <c r="AJ2054" s="10" t="str">
        <f>IFERROR(VLOOKUP(B2054,'Pre-Summary'!$AZ$6:$BE$65,4,FALSE),"")</f>
        <v/>
      </c>
      <c r="AK2054" s="10" t="str">
        <f>IFERROR(VLOOKUP(B2054,'Pre-Summary'!$AZ$6:$BE$65,6,FALSE),"")</f>
        <v/>
      </c>
      <c r="AL2054" s="10" t="str">
        <f>IFERROR(VLOOKUP(B2054,'Pre-Summary'!$BG$6:$BL$44,3,FALSE),"")</f>
        <v/>
      </c>
      <c r="AM2054" s="10" t="str">
        <f>IFERROR(VLOOKUP(B2054,'Pre-Summary'!$BG$6:$BL$44,4,FALSE),"")</f>
        <v/>
      </c>
    </row>
    <row r="2055" spans="2:39" ht="15" customHeight="1" x14ac:dyDescent="0.3">
      <c r="B2055">
        <v>205.2</v>
      </c>
      <c r="C2055" t="str">
        <f>IFERROR(VLOOKUP(B2055,'Pre-Summary'!$DI$6:$DM$23,4,FALSE),"")</f>
        <v/>
      </c>
      <c r="D2055" s="10" t="str">
        <f>IFERROR(VLOOKUP(B2055,'Pre-Summary'!$AT$6:$AX$14,5,FALSE),D2054)</f>
        <v>Wolfe v3: went back to modified wolfe + EDTA and switched CuSO4 to CUCl2</v>
      </c>
      <c r="E2055" s="10" t="str">
        <f>IFERROR(VLOOKUP(B2055,'Pre-Summary'!$AT$6:$AX$15,4,FALSE),"")</f>
        <v/>
      </c>
      <c r="F2055">
        <f>IFERROR(VLOOKUP(B2055,'Pre-Summary'!$AL$6:$AQ$13,6,FALSE),F2054)</f>
        <v>5.9405263157894746E-2</v>
      </c>
      <c r="G2055" t="str">
        <f>IFERROR(VLOOKUP(B2055,'Pre-Summary'!$AE$6:$AJ$85,3,FALSE),"")</f>
        <v/>
      </c>
      <c r="H2055" t="str">
        <f>IFERROR(VLOOKUP(B2055,'Pre-Summary'!$AE$6:$AJ$85,4,FALSE),"")</f>
        <v/>
      </c>
      <c r="I2055" t="str">
        <f>IFERROR(VLOOKUP(B2055,'Pre-Summary'!$AE$6:$AJ$85,5,FALSE),"")</f>
        <v/>
      </c>
      <c r="J2055" s="45" t="str">
        <f>IFERROR(VLOOKUP(B2055,'Pre-Summary'!$AE$6:$AJ$85,6, FALSE),"")</f>
        <v/>
      </c>
      <c r="K2055" s="45" t="str">
        <f>IFERROR(VLOOKUP(B2055,'Pre-Summary'!$DE$6:$DG$61,3,FALSE),"")</f>
        <v/>
      </c>
      <c r="L2055" s="45" t="str">
        <f>IFERROR(VLOOKUP(B2055,'Pre-Summary'!$CU$6:$CW$36,3,FALSE),"")</f>
        <v/>
      </c>
      <c r="M2055" s="45" t="str">
        <f>IFERROR(VLOOKUP(B2055,'Pre-Summary'!$BW$6:$BY$58,2,FALSE),"")</f>
        <v/>
      </c>
      <c r="N2055" s="45" t="str">
        <f>IFERROR(VLOOKUP(B2055,'Pre-Summary'!$CD$6:$CF$64,2,FALSE),"")</f>
        <v/>
      </c>
      <c r="O2055" s="99">
        <f>IFERROR(VLOOKUP(B2055,'Pre-Summary'!$BO$6:$BQ$48,3, FALSE),O2054)</f>
        <v>1.3480000000000001</v>
      </c>
      <c r="P2055" s="99">
        <f>IFERROR(VLOOKUP(B2055,'Pre-Summary'!$BS$6:$BU$35,3,FALSE),P2054)</f>
        <v>0.379</v>
      </c>
      <c r="Q2055" s="54">
        <f t="shared" si="96"/>
        <v>3.556728232189974</v>
      </c>
      <c r="R2055" s="53">
        <f>IFERROR(VLOOKUP(B2055,'Pre-Summary'!$BG$6:$BM$44,7,FALSE),R2056)</f>
        <v>7.3789975262610413E-2</v>
      </c>
      <c r="S2055" s="53">
        <f>IFERROR(VLOOKUP(B2055,'Pre-Summary'!$BG$6:$BM$44,6,FALSE),S2056)</f>
        <v>5.2064631956901149E-2</v>
      </c>
      <c r="T2055" s="45" t="str">
        <f>IFERROR(VLOOKUP(B2055,'Pre-Summary'!$Y$6:$AC$83, 3,FALSE),"")</f>
        <v/>
      </c>
      <c r="U2055" s="45" t="str">
        <f>IFERROR(VLOOKUP(B2055,'Pre-Summary'!$Y$6:$AC$83, 4,FALSE),"")</f>
        <v/>
      </c>
      <c r="V2055" t="str">
        <f>IFERROR(VLOOKUP(B2055,'Pre-Summary'!$Y$6:$AC$83, 5,FALSE),"")</f>
        <v/>
      </c>
      <c r="W2055" s="45" t="str">
        <f>IFERROR(VLOOKUP(B2055,'Pre-Summary'!$Y$6:$AD$83,6,FALSE),"")</f>
        <v/>
      </c>
      <c r="X2055" t="str">
        <f>IFERROR(VLOOKUP('Pre-Summary'!$DB$6:$DD$63,3,FALSE),"")</f>
        <v/>
      </c>
      <c r="Y2055" t="str">
        <f>IFERROR(VLOOKUP(B2055,'Pre-Summary'!$CR$6:$CT$36,3,FALSE),"")</f>
        <v/>
      </c>
      <c r="Z2055" s="45" t="str">
        <f>IFERROR(VLOOKUP(B2055,'Pre-Summary'!$BZ$6:$CB$63,2,FALSE),"")</f>
        <v/>
      </c>
      <c r="AA2055" s="45" t="str">
        <f>IFERROR(VLOOKUP(B2055,'Pre-Summary'!$CG$6:$CI$70,2,FALSE),"")</f>
        <v/>
      </c>
      <c r="AB2055" s="99">
        <f>IFERROR(VLOOKUP(B2055,'Pre-Summary'!$A$6:$P$178,9,FALSE),AB2056)</f>
        <v>0.3520523289652725</v>
      </c>
      <c r="AC2055" s="10">
        <f>IFERROR(VLOOKUP(Summary!B2055,'Pre-Summary'!$A$6:$P$184,5, FALSE)/100,AC2056)</f>
        <v>0.95091600000000009</v>
      </c>
      <c r="AD2055" s="10">
        <f>IFERROR(VLOOKUP(Summary!B2055,'Pre-Summary'!$A$6:$P$184,3, FALSE)/100,AD2056)</f>
        <v>4.3424666666666667E-2</v>
      </c>
      <c r="AE2055" s="10">
        <f>IFERROR(VLOOKUP(Summary!B2055,'Pre-Summary'!$A$6:$P$184,7, FALSE)/100,AE2056)</f>
        <v>5.6593333333333331E-3</v>
      </c>
      <c r="AF2055" s="99">
        <f t="shared" si="97"/>
        <v>1.5287755034540636E-2</v>
      </c>
      <c r="AG2055" s="99">
        <f t="shared" si="98"/>
        <v>1.9923814803907989E-3</v>
      </c>
      <c r="AH2055" s="10" t="str">
        <f>IFERROR(VLOOKUP(B2055,'Pre-Summary'!$AZ$6:$BE$65,3,FALSE),"")</f>
        <v/>
      </c>
      <c r="AI2055" s="10" t="str">
        <f>IFERROR(VLOOKUP(B2055,'Pre-Summary'!$AZ$6:$BE$65,5,FALSE),"")</f>
        <v/>
      </c>
      <c r="AJ2055" s="10" t="str">
        <f>IFERROR(VLOOKUP(B2055,'Pre-Summary'!$AZ$6:$BE$65,4,FALSE),"")</f>
        <v/>
      </c>
      <c r="AK2055" s="10" t="str">
        <f>IFERROR(VLOOKUP(B2055,'Pre-Summary'!$AZ$6:$BE$65,6,FALSE),"")</f>
        <v/>
      </c>
      <c r="AL2055" s="10" t="str">
        <f>IFERROR(VLOOKUP(B2055,'Pre-Summary'!$BG$6:$BL$44,3,FALSE),"")</f>
        <v/>
      </c>
      <c r="AM2055" s="10" t="str">
        <f>IFERROR(VLOOKUP(B2055,'Pre-Summary'!$BG$6:$BL$44,4,FALSE),"")</f>
        <v/>
      </c>
    </row>
    <row r="2056" spans="2:39" ht="15" customHeight="1" x14ac:dyDescent="0.3">
      <c r="B2056">
        <v>205.3</v>
      </c>
      <c r="C2056" t="str">
        <f>IFERROR(VLOOKUP(B2056,'Pre-Summary'!$DI$6:$DM$23,4,FALSE),"")</f>
        <v/>
      </c>
      <c r="D2056" s="10" t="str">
        <f>IFERROR(VLOOKUP(B2056,'Pre-Summary'!$AT$6:$AX$14,5,FALSE),D2055)</f>
        <v>Wolfe v3: went back to modified wolfe + EDTA and switched CuSO4 to CUCl2</v>
      </c>
      <c r="E2056" s="10" t="str">
        <f>IFERROR(VLOOKUP(B2056,'Pre-Summary'!$AT$6:$AX$15,4,FALSE),"")</f>
        <v/>
      </c>
      <c r="F2056">
        <f>IFERROR(VLOOKUP(B2056,'Pre-Summary'!$AL$6:$AQ$13,6,FALSE),F2055)</f>
        <v>5.9405263157894746E-2</v>
      </c>
      <c r="G2056" t="str">
        <f>IFERROR(VLOOKUP(B2056,'Pre-Summary'!$AE$6:$AJ$85,3,FALSE),"")</f>
        <v/>
      </c>
      <c r="H2056" t="str">
        <f>IFERROR(VLOOKUP(B2056,'Pre-Summary'!$AE$6:$AJ$85,4,FALSE),"")</f>
        <v/>
      </c>
      <c r="I2056" t="str">
        <f>IFERROR(VLOOKUP(B2056,'Pre-Summary'!$AE$6:$AJ$85,5,FALSE),"")</f>
        <v/>
      </c>
      <c r="J2056" s="45" t="str">
        <f>IFERROR(VLOOKUP(B2056,'Pre-Summary'!$AE$6:$AJ$85,6, FALSE),"")</f>
        <v/>
      </c>
      <c r="K2056" s="45" t="str">
        <f>IFERROR(VLOOKUP(B2056,'Pre-Summary'!$DE$6:$DG$61,3,FALSE),"")</f>
        <v/>
      </c>
      <c r="L2056" s="45" t="str">
        <f>IFERROR(VLOOKUP(B2056,'Pre-Summary'!$CU$6:$CW$36,3,FALSE),"")</f>
        <v/>
      </c>
      <c r="M2056" s="45" t="str">
        <f>IFERROR(VLOOKUP(B2056,'Pre-Summary'!$BW$6:$BY$58,2,FALSE),"")</f>
        <v/>
      </c>
      <c r="N2056" s="45" t="str">
        <f>IFERROR(VLOOKUP(B2056,'Pre-Summary'!$CD$6:$CF$64,2,FALSE),"")</f>
        <v/>
      </c>
      <c r="O2056" s="99">
        <f>IFERROR(VLOOKUP(B2056,'Pre-Summary'!$BO$6:$BQ$48,3, FALSE),O2055)</f>
        <v>1.3480000000000001</v>
      </c>
      <c r="P2056" s="99">
        <f>IFERROR(VLOOKUP(B2056,'Pre-Summary'!$BS$6:$BU$35,3,FALSE),P2055)</f>
        <v>0.379</v>
      </c>
      <c r="Q2056" s="54">
        <f t="shared" si="96"/>
        <v>3.556728232189974</v>
      </c>
      <c r="R2056" s="53">
        <f>IFERROR(VLOOKUP(B2056,'Pre-Summary'!$BG$6:$BM$44,7,FALSE),R2057)</f>
        <v>7.3789975262610413E-2</v>
      </c>
      <c r="S2056" s="53">
        <f>IFERROR(VLOOKUP(B2056,'Pre-Summary'!$BG$6:$BM$44,6,FALSE),S2057)</f>
        <v>5.2064631956901149E-2</v>
      </c>
      <c r="T2056" s="45" t="str">
        <f>IFERROR(VLOOKUP(B2056,'Pre-Summary'!$Y$6:$AC$83, 3,FALSE),"")</f>
        <v/>
      </c>
      <c r="U2056" s="45" t="str">
        <f>IFERROR(VLOOKUP(B2056,'Pre-Summary'!$Y$6:$AC$83, 4,FALSE),"")</f>
        <v/>
      </c>
      <c r="V2056" t="str">
        <f>IFERROR(VLOOKUP(B2056,'Pre-Summary'!$Y$6:$AC$83, 5,FALSE),"")</f>
        <v/>
      </c>
      <c r="W2056" s="45" t="str">
        <f>IFERROR(VLOOKUP(B2056,'Pre-Summary'!$Y$6:$AD$83,6,FALSE),"")</f>
        <v/>
      </c>
      <c r="X2056" t="str">
        <f>IFERROR(VLOOKUP('Pre-Summary'!$DB$6:$DD$63,3,FALSE),"")</f>
        <v/>
      </c>
      <c r="Y2056" t="str">
        <f>IFERROR(VLOOKUP(B2056,'Pre-Summary'!$CR$6:$CT$36,3,FALSE),"")</f>
        <v/>
      </c>
      <c r="Z2056" s="45" t="str">
        <f>IFERROR(VLOOKUP(B2056,'Pre-Summary'!$BZ$6:$CB$63,2,FALSE),"")</f>
        <v/>
      </c>
      <c r="AA2056" s="45" t="str">
        <f>IFERROR(VLOOKUP(B2056,'Pre-Summary'!$CG$6:$CI$70,2,FALSE),"")</f>
        <v/>
      </c>
      <c r="AB2056" s="99">
        <f>IFERROR(VLOOKUP(B2056,'Pre-Summary'!$A$6:$P$178,9,FALSE),AB2057)</f>
        <v>0.3520523289652725</v>
      </c>
      <c r="AC2056" s="10">
        <f>IFERROR(VLOOKUP(Summary!B2056,'Pre-Summary'!$A$6:$P$184,5, FALSE)/100,AC2057)</f>
        <v>0.95091600000000009</v>
      </c>
      <c r="AD2056" s="10">
        <f>IFERROR(VLOOKUP(Summary!B2056,'Pre-Summary'!$A$6:$P$184,3, FALSE)/100,AD2057)</f>
        <v>4.3424666666666667E-2</v>
      </c>
      <c r="AE2056" s="10">
        <f>IFERROR(VLOOKUP(Summary!B2056,'Pre-Summary'!$A$6:$P$184,7, FALSE)/100,AE2057)</f>
        <v>5.6593333333333331E-3</v>
      </c>
      <c r="AF2056" s="99">
        <f t="shared" si="97"/>
        <v>1.5287755034540636E-2</v>
      </c>
      <c r="AG2056" s="99">
        <f t="shared" si="98"/>
        <v>1.9923814803907989E-3</v>
      </c>
      <c r="AH2056" s="10" t="str">
        <f>IFERROR(VLOOKUP(B2056,'Pre-Summary'!$AZ$6:$BE$65,3,FALSE),"")</f>
        <v/>
      </c>
      <c r="AI2056" s="10" t="str">
        <f>IFERROR(VLOOKUP(B2056,'Pre-Summary'!$AZ$6:$BE$65,5,FALSE),"")</f>
        <v/>
      </c>
      <c r="AJ2056" s="10" t="str">
        <f>IFERROR(VLOOKUP(B2056,'Pre-Summary'!$AZ$6:$BE$65,4,FALSE),"")</f>
        <v/>
      </c>
      <c r="AK2056" s="10" t="str">
        <f>IFERROR(VLOOKUP(B2056,'Pre-Summary'!$AZ$6:$BE$65,6,FALSE),"")</f>
        <v/>
      </c>
      <c r="AL2056" s="10" t="str">
        <f>IFERROR(VLOOKUP(B2056,'Pre-Summary'!$BG$6:$BL$44,3,FALSE),"")</f>
        <v/>
      </c>
      <c r="AM2056" s="10" t="str">
        <f>IFERROR(VLOOKUP(B2056,'Pre-Summary'!$BG$6:$BL$44,4,FALSE),"")</f>
        <v/>
      </c>
    </row>
    <row r="2057" spans="2:39" ht="15" customHeight="1" x14ac:dyDescent="0.3">
      <c r="B2057">
        <v>205.4</v>
      </c>
      <c r="C2057" t="str">
        <f>IFERROR(VLOOKUP(B2057,'Pre-Summary'!$DI$6:$DM$23,4,FALSE),"")</f>
        <v/>
      </c>
      <c r="D2057" s="10" t="str">
        <f>IFERROR(VLOOKUP(B2057,'Pre-Summary'!$AT$6:$AX$14,5,FALSE),D2056)</f>
        <v>Wolfe v3: went back to modified wolfe + EDTA and switched CuSO4 to CUCl2</v>
      </c>
      <c r="E2057" s="10" t="str">
        <f>IFERROR(VLOOKUP(B2057,'Pre-Summary'!$AT$6:$AX$15,4,FALSE),"")</f>
        <v/>
      </c>
      <c r="F2057">
        <f>IFERROR(VLOOKUP(B2057,'Pre-Summary'!$AL$6:$AQ$13,6,FALSE),F2056)</f>
        <v>5.9405263157894746E-2</v>
      </c>
      <c r="G2057" t="str">
        <f>IFERROR(VLOOKUP(B2057,'Pre-Summary'!$AE$6:$AJ$85,3,FALSE),"")</f>
        <v/>
      </c>
      <c r="H2057" t="str">
        <f>IFERROR(VLOOKUP(B2057,'Pre-Summary'!$AE$6:$AJ$85,4,FALSE),"")</f>
        <v/>
      </c>
      <c r="I2057" t="str">
        <f>IFERROR(VLOOKUP(B2057,'Pre-Summary'!$AE$6:$AJ$85,5,FALSE),"")</f>
        <v/>
      </c>
      <c r="J2057" s="45" t="str">
        <f>IFERROR(VLOOKUP(B2057,'Pre-Summary'!$AE$6:$AJ$85,6, FALSE),"")</f>
        <v/>
      </c>
      <c r="K2057" s="45" t="str">
        <f>IFERROR(VLOOKUP(B2057,'Pre-Summary'!$DE$6:$DG$61,3,FALSE),"")</f>
        <v/>
      </c>
      <c r="L2057" s="45" t="str">
        <f>IFERROR(VLOOKUP(B2057,'Pre-Summary'!$CU$6:$CW$36,3,FALSE),"")</f>
        <v/>
      </c>
      <c r="M2057" s="45" t="str">
        <f>IFERROR(VLOOKUP(B2057,'Pre-Summary'!$BW$6:$BY$58,2,FALSE),"")</f>
        <v/>
      </c>
      <c r="N2057" s="45" t="str">
        <f>IFERROR(VLOOKUP(B2057,'Pre-Summary'!$CD$6:$CF$64,2,FALSE),"")</f>
        <v/>
      </c>
      <c r="O2057" s="99">
        <f>IFERROR(VLOOKUP(B2057,'Pre-Summary'!$BO$6:$BQ$48,3, FALSE),O2056)</f>
        <v>1.3480000000000001</v>
      </c>
      <c r="P2057" s="99">
        <f>IFERROR(VLOOKUP(B2057,'Pre-Summary'!$BS$6:$BU$35,3,FALSE),P2056)</f>
        <v>0.379</v>
      </c>
      <c r="Q2057" s="54">
        <f t="shared" si="96"/>
        <v>3.556728232189974</v>
      </c>
      <c r="R2057" s="53">
        <f>IFERROR(VLOOKUP(B2057,'Pre-Summary'!$BG$6:$BM$44,7,FALSE),R2058)</f>
        <v>7.3789975262610413E-2</v>
      </c>
      <c r="S2057" s="53">
        <f>IFERROR(VLOOKUP(B2057,'Pre-Summary'!$BG$6:$BM$44,6,FALSE),S2058)</f>
        <v>5.2064631956901149E-2</v>
      </c>
      <c r="T2057" s="45" t="str">
        <f>IFERROR(VLOOKUP(B2057,'Pre-Summary'!$Y$6:$AC$83, 3,FALSE),"")</f>
        <v/>
      </c>
      <c r="U2057" s="45" t="str">
        <f>IFERROR(VLOOKUP(B2057,'Pre-Summary'!$Y$6:$AC$83, 4,FALSE),"")</f>
        <v/>
      </c>
      <c r="V2057" t="str">
        <f>IFERROR(VLOOKUP(B2057,'Pre-Summary'!$Y$6:$AC$83, 5,FALSE),"")</f>
        <v/>
      </c>
      <c r="W2057" s="45" t="str">
        <f>IFERROR(VLOOKUP(B2057,'Pre-Summary'!$Y$6:$AD$83,6,FALSE),"")</f>
        <v/>
      </c>
      <c r="X2057" t="str">
        <f>IFERROR(VLOOKUP('Pre-Summary'!$DB$6:$DD$63,3,FALSE),"")</f>
        <v/>
      </c>
      <c r="Y2057" t="str">
        <f>IFERROR(VLOOKUP(B2057,'Pre-Summary'!$CR$6:$CT$36,3,FALSE),"")</f>
        <v/>
      </c>
      <c r="Z2057" s="45" t="str">
        <f>IFERROR(VLOOKUP(B2057,'Pre-Summary'!$BZ$6:$CB$63,2,FALSE),"")</f>
        <v/>
      </c>
      <c r="AA2057" s="45" t="str">
        <f>IFERROR(VLOOKUP(B2057,'Pre-Summary'!$CG$6:$CI$70,2,FALSE),"")</f>
        <v/>
      </c>
      <c r="AB2057" s="99">
        <f>IFERROR(VLOOKUP(B2057,'Pre-Summary'!$A$6:$P$178,9,FALSE),AB2058)</f>
        <v>0.3520523289652725</v>
      </c>
      <c r="AC2057" s="10">
        <f>IFERROR(VLOOKUP(Summary!B2057,'Pre-Summary'!$A$6:$P$184,5, FALSE)/100,AC2058)</f>
        <v>0.95091600000000009</v>
      </c>
      <c r="AD2057" s="10">
        <f>IFERROR(VLOOKUP(Summary!B2057,'Pre-Summary'!$A$6:$P$184,3, FALSE)/100,AD2058)</f>
        <v>4.3424666666666667E-2</v>
      </c>
      <c r="AE2057" s="10">
        <f>IFERROR(VLOOKUP(Summary!B2057,'Pre-Summary'!$A$6:$P$184,7, FALSE)/100,AE2058)</f>
        <v>5.6593333333333331E-3</v>
      </c>
      <c r="AF2057" s="99">
        <f t="shared" si="97"/>
        <v>1.5287755034540636E-2</v>
      </c>
      <c r="AG2057" s="99">
        <f t="shared" si="98"/>
        <v>1.9923814803907989E-3</v>
      </c>
      <c r="AH2057" s="10" t="str">
        <f>IFERROR(VLOOKUP(B2057,'Pre-Summary'!$AZ$6:$BE$65,3,FALSE),"")</f>
        <v/>
      </c>
      <c r="AI2057" s="10" t="str">
        <f>IFERROR(VLOOKUP(B2057,'Pre-Summary'!$AZ$6:$BE$65,5,FALSE),"")</f>
        <v/>
      </c>
      <c r="AJ2057" s="10" t="str">
        <f>IFERROR(VLOOKUP(B2057,'Pre-Summary'!$AZ$6:$BE$65,4,FALSE),"")</f>
        <v/>
      </c>
      <c r="AK2057" s="10" t="str">
        <f>IFERROR(VLOOKUP(B2057,'Pre-Summary'!$AZ$6:$BE$65,6,FALSE),"")</f>
        <v/>
      </c>
      <c r="AL2057" s="10" t="str">
        <f>IFERROR(VLOOKUP(B2057,'Pre-Summary'!$BG$6:$BL$44,3,FALSE),"")</f>
        <v/>
      </c>
      <c r="AM2057" s="10" t="str">
        <f>IFERROR(VLOOKUP(B2057,'Pre-Summary'!$BG$6:$BL$44,4,FALSE),"")</f>
        <v/>
      </c>
    </row>
    <row r="2058" spans="2:39" ht="15" customHeight="1" x14ac:dyDescent="0.3">
      <c r="B2058">
        <v>205.5</v>
      </c>
      <c r="C2058" t="str">
        <f>IFERROR(VLOOKUP(B2058,'Pre-Summary'!$DI$6:$DM$23,4,FALSE),"")</f>
        <v/>
      </c>
      <c r="D2058" s="10" t="str">
        <f>IFERROR(VLOOKUP(B2058,'Pre-Summary'!$AT$6:$AX$14,5,FALSE),D2057)</f>
        <v>Wolfe v3: went back to modified wolfe + EDTA and switched CuSO4 to CUCl2</v>
      </c>
      <c r="E2058" s="10" t="str">
        <f>IFERROR(VLOOKUP(B2058,'Pre-Summary'!$AT$6:$AX$15,4,FALSE),"")</f>
        <v/>
      </c>
      <c r="F2058">
        <f>IFERROR(VLOOKUP(B2058,'Pre-Summary'!$AL$6:$AQ$13,6,FALSE),F2057)</f>
        <v>5.9405263157894746E-2</v>
      </c>
      <c r="G2058" t="str">
        <f>IFERROR(VLOOKUP(B2058,'Pre-Summary'!$AE$6:$AJ$85,3,FALSE),"")</f>
        <v/>
      </c>
      <c r="H2058" t="str">
        <f>IFERROR(VLOOKUP(B2058,'Pre-Summary'!$AE$6:$AJ$85,4,FALSE),"")</f>
        <v/>
      </c>
      <c r="I2058" t="str">
        <f>IFERROR(VLOOKUP(B2058,'Pre-Summary'!$AE$6:$AJ$85,5,FALSE),"")</f>
        <v/>
      </c>
      <c r="J2058" s="45" t="str">
        <f>IFERROR(VLOOKUP(B2058,'Pre-Summary'!$AE$6:$AJ$85,6, FALSE),"")</f>
        <v/>
      </c>
      <c r="K2058" s="45" t="str">
        <f>IFERROR(VLOOKUP(B2058,'Pre-Summary'!$DE$6:$DG$61,3,FALSE),"")</f>
        <v/>
      </c>
      <c r="L2058" s="45" t="str">
        <f>IFERROR(VLOOKUP(B2058,'Pre-Summary'!$CU$6:$CW$36,3,FALSE),"")</f>
        <v/>
      </c>
      <c r="M2058" s="45" t="str">
        <f>IFERROR(VLOOKUP(B2058,'Pre-Summary'!$BW$6:$BY$58,2,FALSE),"")</f>
        <v/>
      </c>
      <c r="N2058" s="45" t="str">
        <f>IFERROR(VLOOKUP(B2058,'Pre-Summary'!$CD$6:$CF$64,2,FALSE),"")</f>
        <v/>
      </c>
      <c r="O2058" s="99">
        <f>IFERROR(VLOOKUP(B2058,'Pre-Summary'!$BO$6:$BQ$48,3, FALSE),O2057)</f>
        <v>1.3480000000000001</v>
      </c>
      <c r="P2058" s="99">
        <f>IFERROR(VLOOKUP(B2058,'Pre-Summary'!$BS$6:$BU$35,3,FALSE),P2057)</f>
        <v>0.379</v>
      </c>
      <c r="Q2058" s="54">
        <f t="shared" si="96"/>
        <v>3.556728232189974</v>
      </c>
      <c r="R2058" s="53">
        <f>IFERROR(VLOOKUP(B2058,'Pre-Summary'!$BG$6:$BM$44,7,FALSE),R2059)</f>
        <v>7.3789975262610413E-2</v>
      </c>
      <c r="S2058" s="53">
        <f>IFERROR(VLOOKUP(B2058,'Pre-Summary'!$BG$6:$BM$44,6,FALSE),S2059)</f>
        <v>5.2064631956901149E-2</v>
      </c>
      <c r="T2058" s="45" t="str">
        <f>IFERROR(VLOOKUP(B2058,'Pre-Summary'!$Y$6:$AC$83, 3,FALSE),"")</f>
        <v/>
      </c>
      <c r="U2058" s="45" t="str">
        <f>IFERROR(VLOOKUP(B2058,'Pre-Summary'!$Y$6:$AC$83, 4,FALSE),"")</f>
        <v/>
      </c>
      <c r="V2058" t="str">
        <f>IFERROR(VLOOKUP(B2058,'Pre-Summary'!$Y$6:$AC$83, 5,FALSE),"")</f>
        <v/>
      </c>
      <c r="W2058" s="45" t="str">
        <f>IFERROR(VLOOKUP(B2058,'Pre-Summary'!$Y$6:$AD$83,6,FALSE),"")</f>
        <v/>
      </c>
      <c r="X2058" t="str">
        <f>IFERROR(VLOOKUP('Pre-Summary'!$DB$6:$DD$63,3,FALSE),"")</f>
        <v/>
      </c>
      <c r="Y2058" t="str">
        <f>IFERROR(VLOOKUP(B2058,'Pre-Summary'!$CR$6:$CT$36,3,FALSE),"")</f>
        <v/>
      </c>
      <c r="Z2058" s="45" t="str">
        <f>IFERROR(VLOOKUP(B2058,'Pre-Summary'!$BZ$6:$CB$63,2,FALSE),"")</f>
        <v/>
      </c>
      <c r="AA2058" s="45" t="str">
        <f>IFERROR(VLOOKUP(B2058,'Pre-Summary'!$CG$6:$CI$70,2,FALSE),"")</f>
        <v/>
      </c>
      <c r="AB2058" s="99">
        <f>IFERROR(VLOOKUP(B2058,'Pre-Summary'!$A$6:$P$178,9,FALSE),AB2059)</f>
        <v>0.3520523289652725</v>
      </c>
      <c r="AC2058" s="10">
        <f>IFERROR(VLOOKUP(Summary!B2058,'Pre-Summary'!$A$6:$P$184,5, FALSE)/100,AC2059)</f>
        <v>0.95091600000000009</v>
      </c>
      <c r="AD2058" s="10">
        <f>IFERROR(VLOOKUP(Summary!B2058,'Pre-Summary'!$A$6:$P$184,3, FALSE)/100,AD2059)</f>
        <v>4.3424666666666667E-2</v>
      </c>
      <c r="AE2058" s="10">
        <f>IFERROR(VLOOKUP(Summary!B2058,'Pre-Summary'!$A$6:$P$184,7, FALSE)/100,AE2059)</f>
        <v>5.6593333333333331E-3</v>
      </c>
      <c r="AF2058" s="99">
        <f t="shared" si="97"/>
        <v>1.5287755034540636E-2</v>
      </c>
      <c r="AG2058" s="99">
        <f t="shared" si="98"/>
        <v>1.9923814803907989E-3</v>
      </c>
      <c r="AH2058" s="10" t="str">
        <f>IFERROR(VLOOKUP(B2058,'Pre-Summary'!$AZ$6:$BE$65,3,FALSE),"")</f>
        <v/>
      </c>
      <c r="AI2058" s="10" t="str">
        <f>IFERROR(VLOOKUP(B2058,'Pre-Summary'!$AZ$6:$BE$65,5,FALSE),"")</f>
        <v/>
      </c>
      <c r="AJ2058" s="10" t="str">
        <f>IFERROR(VLOOKUP(B2058,'Pre-Summary'!$AZ$6:$BE$65,4,FALSE),"")</f>
        <v/>
      </c>
      <c r="AK2058" s="10" t="str">
        <f>IFERROR(VLOOKUP(B2058,'Pre-Summary'!$AZ$6:$BE$65,6,FALSE),"")</f>
        <v/>
      </c>
      <c r="AL2058" s="10" t="str">
        <f>IFERROR(VLOOKUP(B2058,'Pre-Summary'!$BG$6:$BL$44,3,FALSE),"")</f>
        <v/>
      </c>
      <c r="AM2058" s="10" t="str">
        <f>IFERROR(VLOOKUP(B2058,'Pre-Summary'!$BG$6:$BL$44,4,FALSE),"")</f>
        <v/>
      </c>
    </row>
    <row r="2059" spans="2:39" ht="15" customHeight="1" x14ac:dyDescent="0.3">
      <c r="B2059">
        <v>205.6</v>
      </c>
      <c r="C2059" t="str">
        <f>IFERROR(VLOOKUP(B2059,'Pre-Summary'!$DI$6:$DM$23,4,FALSE),"")</f>
        <v/>
      </c>
      <c r="D2059" s="10" t="str">
        <f>IFERROR(VLOOKUP(B2059,'Pre-Summary'!$AT$6:$AX$14,5,FALSE),D2058)</f>
        <v>Wolfe v3: went back to modified wolfe + EDTA and switched CuSO4 to CUCl2</v>
      </c>
      <c r="E2059" s="10" t="str">
        <f>IFERROR(VLOOKUP(B2059,'Pre-Summary'!$AT$6:$AX$15,4,FALSE),"")</f>
        <v/>
      </c>
      <c r="F2059">
        <f>IFERROR(VLOOKUP(B2059,'Pre-Summary'!$AL$6:$AQ$13,6,FALSE),F2058)</f>
        <v>5.9405263157894746E-2</v>
      </c>
      <c r="G2059" t="str">
        <f>IFERROR(VLOOKUP(B2059,'Pre-Summary'!$AE$6:$AJ$85,3,FALSE),"")</f>
        <v/>
      </c>
      <c r="H2059" t="str">
        <f>IFERROR(VLOOKUP(B2059,'Pre-Summary'!$AE$6:$AJ$85,4,FALSE),"")</f>
        <v/>
      </c>
      <c r="I2059" t="str">
        <f>IFERROR(VLOOKUP(B2059,'Pre-Summary'!$AE$6:$AJ$85,5,FALSE),"")</f>
        <v/>
      </c>
      <c r="J2059" s="45" t="str">
        <f>IFERROR(VLOOKUP(B2059,'Pre-Summary'!$AE$6:$AJ$85,6, FALSE),"")</f>
        <v/>
      </c>
      <c r="K2059" s="45" t="str">
        <f>IFERROR(VLOOKUP(B2059,'Pre-Summary'!$DE$6:$DG$61,3,FALSE),"")</f>
        <v/>
      </c>
      <c r="L2059" s="45" t="str">
        <f>IFERROR(VLOOKUP(B2059,'Pre-Summary'!$CU$6:$CW$36,3,FALSE),"")</f>
        <v/>
      </c>
      <c r="M2059" s="45" t="str">
        <f>IFERROR(VLOOKUP(B2059,'Pre-Summary'!$BW$6:$BY$58,2,FALSE),"")</f>
        <v/>
      </c>
      <c r="N2059" s="45" t="str">
        <f>IFERROR(VLOOKUP(B2059,'Pre-Summary'!$CD$6:$CF$64,2,FALSE),"")</f>
        <v/>
      </c>
      <c r="O2059" s="99">
        <f>IFERROR(VLOOKUP(B2059,'Pre-Summary'!$BO$6:$BQ$48,3, FALSE),O2058)</f>
        <v>1.3480000000000001</v>
      </c>
      <c r="P2059" s="99">
        <f>IFERROR(VLOOKUP(B2059,'Pre-Summary'!$BS$6:$BU$35,3,FALSE),P2058)</f>
        <v>0.379</v>
      </c>
      <c r="Q2059" s="54">
        <f t="shared" si="96"/>
        <v>3.556728232189974</v>
      </c>
      <c r="R2059" s="53">
        <f>IFERROR(VLOOKUP(B2059,'Pre-Summary'!$BG$6:$BM$44,7,FALSE),R2060)</f>
        <v>7.3789975262610413E-2</v>
      </c>
      <c r="S2059" s="53">
        <f>IFERROR(VLOOKUP(B2059,'Pre-Summary'!$BG$6:$BM$44,6,FALSE),S2060)</f>
        <v>5.2064631956901149E-2</v>
      </c>
      <c r="T2059" s="45" t="str">
        <f>IFERROR(VLOOKUP(B2059,'Pre-Summary'!$Y$6:$AC$83, 3,FALSE),"")</f>
        <v/>
      </c>
      <c r="U2059" s="45" t="str">
        <f>IFERROR(VLOOKUP(B2059,'Pre-Summary'!$Y$6:$AC$83, 4,FALSE),"")</f>
        <v/>
      </c>
      <c r="V2059" t="str">
        <f>IFERROR(VLOOKUP(B2059,'Pre-Summary'!$Y$6:$AC$83, 5,FALSE),"")</f>
        <v/>
      </c>
      <c r="W2059" s="45" t="str">
        <f>IFERROR(VLOOKUP(B2059,'Pre-Summary'!$Y$6:$AD$83,6,FALSE),"")</f>
        <v/>
      </c>
      <c r="X2059" t="str">
        <f>IFERROR(VLOOKUP('Pre-Summary'!$DB$6:$DD$63,3,FALSE),"")</f>
        <v/>
      </c>
      <c r="Y2059" t="str">
        <f>IFERROR(VLOOKUP(B2059,'Pre-Summary'!$CR$6:$CT$36,3,FALSE),"")</f>
        <v/>
      </c>
      <c r="Z2059" s="45" t="str">
        <f>IFERROR(VLOOKUP(B2059,'Pre-Summary'!$BZ$6:$CB$63,2,FALSE),"")</f>
        <v/>
      </c>
      <c r="AA2059" s="45" t="str">
        <f>IFERROR(VLOOKUP(B2059,'Pre-Summary'!$CG$6:$CI$70,2,FALSE),"")</f>
        <v/>
      </c>
      <c r="AB2059" s="99">
        <f>IFERROR(VLOOKUP(B2059,'Pre-Summary'!$A$6:$P$178,9,FALSE),AB2060)</f>
        <v>0.3520523289652725</v>
      </c>
      <c r="AC2059" s="10">
        <f>IFERROR(VLOOKUP(Summary!B2059,'Pre-Summary'!$A$6:$P$184,5, FALSE)/100,AC2060)</f>
        <v>0.95091600000000009</v>
      </c>
      <c r="AD2059" s="10">
        <f>IFERROR(VLOOKUP(Summary!B2059,'Pre-Summary'!$A$6:$P$184,3, FALSE)/100,AD2060)</f>
        <v>4.3424666666666667E-2</v>
      </c>
      <c r="AE2059" s="10">
        <f>IFERROR(VLOOKUP(Summary!B2059,'Pre-Summary'!$A$6:$P$184,7, FALSE)/100,AE2060)</f>
        <v>5.6593333333333331E-3</v>
      </c>
      <c r="AF2059" s="99">
        <f t="shared" si="97"/>
        <v>1.5287755034540636E-2</v>
      </c>
      <c r="AG2059" s="99">
        <f t="shared" si="98"/>
        <v>1.9923814803907989E-3</v>
      </c>
      <c r="AH2059" s="10" t="str">
        <f>IFERROR(VLOOKUP(B2059,'Pre-Summary'!$AZ$6:$BE$65,3,FALSE),"")</f>
        <v/>
      </c>
      <c r="AI2059" s="10" t="str">
        <f>IFERROR(VLOOKUP(B2059,'Pre-Summary'!$AZ$6:$BE$65,5,FALSE),"")</f>
        <v/>
      </c>
      <c r="AJ2059" s="10" t="str">
        <f>IFERROR(VLOOKUP(B2059,'Pre-Summary'!$AZ$6:$BE$65,4,FALSE),"")</f>
        <v/>
      </c>
      <c r="AK2059" s="10" t="str">
        <f>IFERROR(VLOOKUP(B2059,'Pre-Summary'!$AZ$6:$BE$65,6,FALSE),"")</f>
        <v/>
      </c>
      <c r="AL2059" s="10" t="str">
        <f>IFERROR(VLOOKUP(B2059,'Pre-Summary'!$BG$6:$BL$44,3,FALSE),"")</f>
        <v/>
      </c>
      <c r="AM2059" s="10" t="str">
        <f>IFERROR(VLOOKUP(B2059,'Pre-Summary'!$BG$6:$BL$44,4,FALSE),"")</f>
        <v/>
      </c>
    </row>
    <row r="2060" spans="2:39" ht="15" customHeight="1" x14ac:dyDescent="0.3">
      <c r="B2060">
        <v>205.7</v>
      </c>
      <c r="C2060" t="str">
        <f>IFERROR(VLOOKUP(B2060,'Pre-Summary'!$DI$6:$DM$23,4,FALSE),"")</f>
        <v/>
      </c>
      <c r="D2060" s="10" t="str">
        <f>IFERROR(VLOOKUP(B2060,'Pre-Summary'!$AT$6:$AX$14,5,FALSE),D2059)</f>
        <v>Wolfe v3: went back to modified wolfe + EDTA and switched CuSO4 to CUCl2</v>
      </c>
      <c r="E2060" s="10" t="str">
        <f>IFERROR(VLOOKUP(B2060,'Pre-Summary'!$AT$6:$AX$15,4,FALSE),"")</f>
        <v/>
      </c>
      <c r="F2060">
        <f>IFERROR(VLOOKUP(B2060,'Pre-Summary'!$AL$6:$AQ$13,6,FALSE),F2059)</f>
        <v>5.9405263157894746E-2</v>
      </c>
      <c r="G2060" t="str">
        <f>IFERROR(VLOOKUP(B2060,'Pre-Summary'!$AE$6:$AJ$85,3,FALSE),"")</f>
        <v/>
      </c>
      <c r="H2060" t="str">
        <f>IFERROR(VLOOKUP(B2060,'Pre-Summary'!$AE$6:$AJ$85,4,FALSE),"")</f>
        <v/>
      </c>
      <c r="I2060" t="str">
        <f>IFERROR(VLOOKUP(B2060,'Pre-Summary'!$AE$6:$AJ$85,5,FALSE),"")</f>
        <v/>
      </c>
      <c r="J2060" s="45" t="str">
        <f>IFERROR(VLOOKUP(B2060,'Pre-Summary'!$AE$6:$AJ$85,6, FALSE),"")</f>
        <v/>
      </c>
      <c r="K2060" s="45" t="str">
        <f>IFERROR(VLOOKUP(B2060,'Pre-Summary'!$DE$6:$DG$61,3,FALSE),"")</f>
        <v/>
      </c>
      <c r="L2060" s="45" t="str">
        <f>IFERROR(VLOOKUP(B2060,'Pre-Summary'!$CU$6:$CW$36,3,FALSE),"")</f>
        <v/>
      </c>
      <c r="M2060" s="45" t="str">
        <f>IFERROR(VLOOKUP(B2060,'Pre-Summary'!$BW$6:$BY$58,2,FALSE),"")</f>
        <v/>
      </c>
      <c r="N2060" s="45" t="str">
        <f>IFERROR(VLOOKUP(B2060,'Pre-Summary'!$CD$6:$CF$64,2,FALSE),"")</f>
        <v/>
      </c>
      <c r="O2060" s="99">
        <f>IFERROR(VLOOKUP(B2060,'Pre-Summary'!$BO$6:$BQ$48,3, FALSE),O2059)</f>
        <v>1.3480000000000001</v>
      </c>
      <c r="P2060" s="99">
        <f>IFERROR(VLOOKUP(B2060,'Pre-Summary'!$BS$6:$BU$35,3,FALSE),P2059)</f>
        <v>0.379</v>
      </c>
      <c r="Q2060" s="54">
        <f t="shared" si="96"/>
        <v>3.556728232189974</v>
      </c>
      <c r="R2060" s="53">
        <f>IFERROR(VLOOKUP(B2060,'Pre-Summary'!$BG$6:$BM$44,7,FALSE),R2061)</f>
        <v>7.3789975262610413E-2</v>
      </c>
      <c r="S2060" s="53">
        <f>IFERROR(VLOOKUP(B2060,'Pre-Summary'!$BG$6:$BM$44,6,FALSE),S2061)</f>
        <v>5.2064631956901149E-2</v>
      </c>
      <c r="T2060" s="45" t="str">
        <f>IFERROR(VLOOKUP(B2060,'Pre-Summary'!$Y$6:$AC$83, 3,FALSE),"")</f>
        <v/>
      </c>
      <c r="U2060" s="45" t="str">
        <f>IFERROR(VLOOKUP(B2060,'Pre-Summary'!$Y$6:$AC$83, 4,FALSE),"")</f>
        <v/>
      </c>
      <c r="V2060" t="str">
        <f>IFERROR(VLOOKUP(B2060,'Pre-Summary'!$Y$6:$AC$83, 5,FALSE),"")</f>
        <v/>
      </c>
      <c r="W2060" s="45" t="str">
        <f>IFERROR(VLOOKUP(B2060,'Pre-Summary'!$Y$6:$AD$83,6,FALSE),"")</f>
        <v/>
      </c>
      <c r="X2060" t="str">
        <f>IFERROR(VLOOKUP('Pre-Summary'!$DB$6:$DD$63,3,FALSE),"")</f>
        <v/>
      </c>
      <c r="Y2060" t="str">
        <f>IFERROR(VLOOKUP(B2060,'Pre-Summary'!$CR$6:$CT$36,3,FALSE),"")</f>
        <v/>
      </c>
      <c r="Z2060" s="45" t="str">
        <f>IFERROR(VLOOKUP(B2060,'Pre-Summary'!$BZ$6:$CB$63,2,FALSE),"")</f>
        <v/>
      </c>
      <c r="AA2060" s="45" t="str">
        <f>IFERROR(VLOOKUP(B2060,'Pre-Summary'!$CG$6:$CI$70,2,FALSE),"")</f>
        <v/>
      </c>
      <c r="AB2060" s="99">
        <f>IFERROR(VLOOKUP(B2060,'Pre-Summary'!$A$6:$P$178,9,FALSE),AB2061)</f>
        <v>0.3520523289652725</v>
      </c>
      <c r="AC2060" s="10">
        <f>IFERROR(VLOOKUP(Summary!B2060,'Pre-Summary'!$A$6:$P$184,5, FALSE)/100,AC2061)</f>
        <v>0.95091600000000009</v>
      </c>
      <c r="AD2060" s="10">
        <f>IFERROR(VLOOKUP(Summary!B2060,'Pre-Summary'!$A$6:$P$184,3, FALSE)/100,AD2061)</f>
        <v>4.3424666666666667E-2</v>
      </c>
      <c r="AE2060" s="10">
        <f>IFERROR(VLOOKUP(Summary!B2060,'Pre-Summary'!$A$6:$P$184,7, FALSE)/100,AE2061)</f>
        <v>5.6593333333333331E-3</v>
      </c>
      <c r="AF2060" s="99">
        <f t="shared" si="97"/>
        <v>1.5287755034540636E-2</v>
      </c>
      <c r="AG2060" s="99">
        <f t="shared" si="98"/>
        <v>1.9923814803907989E-3</v>
      </c>
      <c r="AH2060" s="10" t="str">
        <f>IFERROR(VLOOKUP(B2060,'Pre-Summary'!$AZ$6:$BE$65,3,FALSE),"")</f>
        <v/>
      </c>
      <c r="AI2060" s="10" t="str">
        <f>IFERROR(VLOOKUP(B2060,'Pre-Summary'!$AZ$6:$BE$65,5,FALSE),"")</f>
        <v/>
      </c>
      <c r="AJ2060" s="10" t="str">
        <f>IFERROR(VLOOKUP(B2060,'Pre-Summary'!$AZ$6:$BE$65,4,FALSE),"")</f>
        <v/>
      </c>
      <c r="AK2060" s="10" t="str">
        <f>IFERROR(VLOOKUP(B2060,'Pre-Summary'!$AZ$6:$BE$65,6,FALSE),"")</f>
        <v/>
      </c>
      <c r="AL2060" s="10" t="str">
        <f>IFERROR(VLOOKUP(B2060,'Pre-Summary'!$BG$6:$BL$44,3,FALSE),"")</f>
        <v/>
      </c>
      <c r="AM2060" s="10" t="str">
        <f>IFERROR(VLOOKUP(B2060,'Pre-Summary'!$BG$6:$BL$44,4,FALSE),"")</f>
        <v/>
      </c>
    </row>
    <row r="2061" spans="2:39" ht="15" customHeight="1" x14ac:dyDescent="0.3">
      <c r="B2061">
        <v>205.8</v>
      </c>
      <c r="C2061" t="str">
        <f>IFERROR(VLOOKUP(B2061,'Pre-Summary'!$DI$6:$DM$23,4,FALSE),"")</f>
        <v/>
      </c>
      <c r="D2061" s="10" t="str">
        <f>IFERROR(VLOOKUP(B2061,'Pre-Summary'!$AT$6:$AX$14,5,FALSE),D2060)</f>
        <v>Wolfe v3: went back to modified wolfe + EDTA and switched CuSO4 to CUCl2</v>
      </c>
      <c r="E2061" s="10" t="str">
        <f>IFERROR(VLOOKUP(B2061,'Pre-Summary'!$AT$6:$AX$15,4,FALSE),"")</f>
        <v/>
      </c>
      <c r="F2061">
        <f>IFERROR(VLOOKUP(B2061,'Pre-Summary'!$AL$6:$AQ$13,6,FALSE),F2060)</f>
        <v>5.9405263157894746E-2</v>
      </c>
      <c r="G2061" t="str">
        <f>IFERROR(VLOOKUP(B2061,'Pre-Summary'!$AE$6:$AJ$85,3,FALSE),"")</f>
        <v/>
      </c>
      <c r="H2061" t="str">
        <f>IFERROR(VLOOKUP(B2061,'Pre-Summary'!$AE$6:$AJ$85,4,FALSE),"")</f>
        <v/>
      </c>
      <c r="I2061" t="str">
        <f>IFERROR(VLOOKUP(B2061,'Pre-Summary'!$AE$6:$AJ$85,5,FALSE),"")</f>
        <v/>
      </c>
      <c r="J2061" s="45" t="str">
        <f>IFERROR(VLOOKUP(B2061,'Pre-Summary'!$AE$6:$AJ$85,6, FALSE),"")</f>
        <v/>
      </c>
      <c r="K2061" s="45" t="str">
        <f>IFERROR(VLOOKUP(B2061,'Pre-Summary'!$DE$6:$DG$61,3,FALSE),"")</f>
        <v/>
      </c>
      <c r="L2061" s="45" t="str">
        <f>IFERROR(VLOOKUP(B2061,'Pre-Summary'!$CU$6:$CW$36,3,FALSE),"")</f>
        <v/>
      </c>
      <c r="M2061" s="45" t="str">
        <f>IFERROR(VLOOKUP(B2061,'Pre-Summary'!$BW$6:$BY$58,2,FALSE),"")</f>
        <v/>
      </c>
      <c r="N2061" s="45" t="str">
        <f>IFERROR(VLOOKUP(B2061,'Pre-Summary'!$CD$6:$CF$64,2,FALSE),"")</f>
        <v/>
      </c>
      <c r="O2061" s="99">
        <f>IFERROR(VLOOKUP(B2061,'Pre-Summary'!$BO$6:$BQ$48,3, FALSE),O2060)</f>
        <v>1.3480000000000001</v>
      </c>
      <c r="P2061" s="99">
        <f>IFERROR(VLOOKUP(B2061,'Pre-Summary'!$BS$6:$BU$35,3,FALSE),P2060)</f>
        <v>0.379</v>
      </c>
      <c r="Q2061" s="54">
        <f t="shared" si="96"/>
        <v>3.556728232189974</v>
      </c>
      <c r="R2061" s="53">
        <f>IFERROR(VLOOKUP(B2061,'Pre-Summary'!$BG$6:$BM$44,7,FALSE),R2062)</f>
        <v>7.3789975262610413E-2</v>
      </c>
      <c r="S2061" s="53">
        <f>IFERROR(VLOOKUP(B2061,'Pre-Summary'!$BG$6:$BM$44,6,FALSE),S2062)</f>
        <v>5.2064631956901149E-2</v>
      </c>
      <c r="T2061" s="45" t="str">
        <f>IFERROR(VLOOKUP(B2061,'Pre-Summary'!$Y$6:$AC$83, 3,FALSE),"")</f>
        <v/>
      </c>
      <c r="U2061" s="45" t="str">
        <f>IFERROR(VLOOKUP(B2061,'Pre-Summary'!$Y$6:$AC$83, 4,FALSE),"")</f>
        <v/>
      </c>
      <c r="V2061" t="str">
        <f>IFERROR(VLOOKUP(B2061,'Pre-Summary'!$Y$6:$AC$83, 5,FALSE),"")</f>
        <v/>
      </c>
      <c r="W2061" s="45" t="str">
        <f>IFERROR(VLOOKUP(B2061,'Pre-Summary'!$Y$6:$AD$83,6,FALSE),"")</f>
        <v/>
      </c>
      <c r="X2061" t="str">
        <f>IFERROR(VLOOKUP('Pre-Summary'!$DB$6:$DD$63,3,FALSE),"")</f>
        <v/>
      </c>
      <c r="Y2061" t="str">
        <f>IFERROR(VLOOKUP(B2061,'Pre-Summary'!$CR$6:$CT$36,3,FALSE),"")</f>
        <v/>
      </c>
      <c r="Z2061" s="45" t="str">
        <f>IFERROR(VLOOKUP(B2061,'Pre-Summary'!$BZ$6:$CB$63,2,FALSE),"")</f>
        <v/>
      </c>
      <c r="AA2061" s="45" t="str">
        <f>IFERROR(VLOOKUP(B2061,'Pre-Summary'!$CG$6:$CI$70,2,FALSE),"")</f>
        <v/>
      </c>
      <c r="AB2061" s="99">
        <f>IFERROR(VLOOKUP(B2061,'Pre-Summary'!$A$6:$P$178,9,FALSE),AB2062)</f>
        <v>0.3520523289652725</v>
      </c>
      <c r="AC2061" s="10">
        <f>IFERROR(VLOOKUP(Summary!B2061,'Pre-Summary'!$A$6:$P$184,5, FALSE)/100,AC2062)</f>
        <v>0.95091600000000009</v>
      </c>
      <c r="AD2061" s="10">
        <f>IFERROR(VLOOKUP(Summary!B2061,'Pre-Summary'!$A$6:$P$184,3, FALSE)/100,AD2062)</f>
        <v>4.3424666666666667E-2</v>
      </c>
      <c r="AE2061" s="10">
        <f>IFERROR(VLOOKUP(Summary!B2061,'Pre-Summary'!$A$6:$P$184,7, FALSE)/100,AE2062)</f>
        <v>5.6593333333333331E-3</v>
      </c>
      <c r="AF2061" s="99">
        <f t="shared" si="97"/>
        <v>1.5287755034540636E-2</v>
      </c>
      <c r="AG2061" s="99">
        <f t="shared" si="98"/>
        <v>1.9923814803907989E-3</v>
      </c>
      <c r="AH2061" s="10" t="str">
        <f>IFERROR(VLOOKUP(B2061,'Pre-Summary'!$AZ$6:$BE$65,3,FALSE),"")</f>
        <v/>
      </c>
      <c r="AI2061" s="10" t="str">
        <f>IFERROR(VLOOKUP(B2061,'Pre-Summary'!$AZ$6:$BE$65,5,FALSE),"")</f>
        <v/>
      </c>
      <c r="AJ2061" s="10" t="str">
        <f>IFERROR(VLOOKUP(B2061,'Pre-Summary'!$AZ$6:$BE$65,4,FALSE),"")</f>
        <v/>
      </c>
      <c r="AK2061" s="10" t="str">
        <f>IFERROR(VLOOKUP(B2061,'Pre-Summary'!$AZ$6:$BE$65,6,FALSE),"")</f>
        <v/>
      </c>
      <c r="AL2061" s="10" t="str">
        <f>IFERROR(VLOOKUP(B2061,'Pre-Summary'!$BG$6:$BL$44,3,FALSE),"")</f>
        <v/>
      </c>
      <c r="AM2061" s="10" t="str">
        <f>IFERROR(VLOOKUP(B2061,'Pre-Summary'!$BG$6:$BL$44,4,FALSE),"")</f>
        <v/>
      </c>
    </row>
    <row r="2062" spans="2:39" ht="15" customHeight="1" x14ac:dyDescent="0.3">
      <c r="B2062">
        <v>205.9</v>
      </c>
      <c r="C2062" t="str">
        <f>IFERROR(VLOOKUP(B2062,'Pre-Summary'!$DI$6:$DM$23,4,FALSE),"")</f>
        <v/>
      </c>
      <c r="D2062" s="10" t="str">
        <f>IFERROR(VLOOKUP(B2062,'Pre-Summary'!$AT$6:$AX$14,5,FALSE),D2061)</f>
        <v>Wolfe v3: went back to modified wolfe + EDTA and switched CuSO4 to CUCl2</v>
      </c>
      <c r="E2062" s="10" t="str">
        <f>IFERROR(VLOOKUP(B2062,'Pre-Summary'!$AT$6:$AX$15,4,FALSE),"")</f>
        <v/>
      </c>
      <c r="F2062">
        <f>IFERROR(VLOOKUP(B2062,'Pre-Summary'!$AL$6:$AQ$13,6,FALSE),F2061)</f>
        <v>5.9405263157894746E-2</v>
      </c>
      <c r="G2062" t="str">
        <f>IFERROR(VLOOKUP(B2062,'Pre-Summary'!$AE$6:$AJ$85,3,FALSE),"")</f>
        <v/>
      </c>
      <c r="H2062" t="str">
        <f>IFERROR(VLOOKUP(B2062,'Pre-Summary'!$AE$6:$AJ$85,4,FALSE),"")</f>
        <v/>
      </c>
      <c r="I2062" t="str">
        <f>IFERROR(VLOOKUP(B2062,'Pre-Summary'!$AE$6:$AJ$85,5,FALSE),"")</f>
        <v/>
      </c>
      <c r="J2062" s="45" t="str">
        <f>IFERROR(VLOOKUP(B2062,'Pre-Summary'!$AE$6:$AJ$85,6, FALSE),"")</f>
        <v/>
      </c>
      <c r="K2062" s="45" t="str">
        <f>IFERROR(VLOOKUP(B2062,'Pre-Summary'!$DE$6:$DG$61,3,FALSE),"")</f>
        <v/>
      </c>
      <c r="L2062" s="45" t="str">
        <f>IFERROR(VLOOKUP(B2062,'Pre-Summary'!$CU$6:$CW$36,3,FALSE),"")</f>
        <v/>
      </c>
      <c r="M2062" s="45" t="str">
        <f>IFERROR(VLOOKUP(B2062,'Pre-Summary'!$BW$6:$BY$58,2,FALSE),"")</f>
        <v/>
      </c>
      <c r="N2062" s="45" t="str">
        <f>IFERROR(VLOOKUP(B2062,'Pre-Summary'!$CD$6:$CF$64,2,FALSE),"")</f>
        <v/>
      </c>
      <c r="O2062" s="99">
        <f>IFERROR(VLOOKUP(B2062,'Pre-Summary'!$BO$6:$BQ$48,3, FALSE),O2061)</f>
        <v>1.3480000000000001</v>
      </c>
      <c r="P2062" s="99">
        <f>IFERROR(VLOOKUP(B2062,'Pre-Summary'!$BS$6:$BU$35,3,FALSE),P2061)</f>
        <v>0.379</v>
      </c>
      <c r="Q2062" s="54">
        <f t="shared" si="96"/>
        <v>3.556728232189974</v>
      </c>
      <c r="R2062" s="53">
        <f>IFERROR(VLOOKUP(B2062,'Pre-Summary'!$BG$6:$BM$44,7,FALSE),R2063)</f>
        <v>7.3789975262610413E-2</v>
      </c>
      <c r="S2062" s="53">
        <f>IFERROR(VLOOKUP(B2062,'Pre-Summary'!$BG$6:$BM$44,6,FALSE),S2063)</f>
        <v>5.2064631956901149E-2</v>
      </c>
      <c r="T2062" s="45" t="str">
        <f>IFERROR(VLOOKUP(B2062,'Pre-Summary'!$Y$6:$AC$83, 3,FALSE),"")</f>
        <v/>
      </c>
      <c r="U2062" s="45" t="str">
        <f>IFERROR(VLOOKUP(B2062,'Pre-Summary'!$Y$6:$AC$83, 4,FALSE),"")</f>
        <v/>
      </c>
      <c r="V2062" t="str">
        <f>IFERROR(VLOOKUP(B2062,'Pre-Summary'!$Y$6:$AC$83, 5,FALSE),"")</f>
        <v/>
      </c>
      <c r="W2062" s="45" t="str">
        <f>IFERROR(VLOOKUP(B2062,'Pre-Summary'!$Y$6:$AD$83,6,FALSE),"")</f>
        <v/>
      </c>
      <c r="X2062" t="str">
        <f>IFERROR(VLOOKUP('Pre-Summary'!$DB$6:$DD$63,3,FALSE),"")</f>
        <v/>
      </c>
      <c r="Y2062" t="str">
        <f>IFERROR(VLOOKUP(B2062,'Pre-Summary'!$CR$6:$CT$36,3,FALSE),"")</f>
        <v/>
      </c>
      <c r="Z2062" s="45" t="str">
        <f>IFERROR(VLOOKUP(B2062,'Pre-Summary'!$BZ$6:$CB$63,2,FALSE),"")</f>
        <v/>
      </c>
      <c r="AA2062" s="45" t="str">
        <f>IFERROR(VLOOKUP(B2062,'Pre-Summary'!$CG$6:$CI$70,2,FALSE),"")</f>
        <v/>
      </c>
      <c r="AB2062" s="99">
        <f>IFERROR(VLOOKUP(B2062,'Pre-Summary'!$A$6:$P$178,9,FALSE),AB2063)</f>
        <v>0.3520523289652725</v>
      </c>
      <c r="AC2062" s="10">
        <f>IFERROR(VLOOKUP(Summary!B2062,'Pre-Summary'!$A$6:$P$184,5, FALSE)/100,AC2063)</f>
        <v>0.95091600000000009</v>
      </c>
      <c r="AD2062" s="10">
        <f>IFERROR(VLOOKUP(Summary!B2062,'Pre-Summary'!$A$6:$P$184,3, FALSE)/100,AD2063)</f>
        <v>4.3424666666666667E-2</v>
      </c>
      <c r="AE2062" s="10">
        <f>IFERROR(VLOOKUP(Summary!B2062,'Pre-Summary'!$A$6:$P$184,7, FALSE)/100,AE2063)</f>
        <v>5.6593333333333331E-3</v>
      </c>
      <c r="AF2062" s="99">
        <f t="shared" si="97"/>
        <v>1.5287755034540636E-2</v>
      </c>
      <c r="AG2062" s="99">
        <f t="shared" si="98"/>
        <v>1.9923814803907989E-3</v>
      </c>
      <c r="AH2062" s="10" t="str">
        <f>IFERROR(VLOOKUP(B2062,'Pre-Summary'!$AZ$6:$BE$65,3,FALSE),"")</f>
        <v/>
      </c>
      <c r="AI2062" s="10" t="str">
        <f>IFERROR(VLOOKUP(B2062,'Pre-Summary'!$AZ$6:$BE$65,5,FALSE),"")</f>
        <v/>
      </c>
      <c r="AJ2062" s="10" t="str">
        <f>IFERROR(VLOOKUP(B2062,'Pre-Summary'!$AZ$6:$BE$65,4,FALSE),"")</f>
        <v/>
      </c>
      <c r="AK2062" s="10" t="str">
        <f>IFERROR(VLOOKUP(B2062,'Pre-Summary'!$AZ$6:$BE$65,6,FALSE),"")</f>
        <v/>
      </c>
      <c r="AL2062" s="10" t="str">
        <f>IFERROR(VLOOKUP(B2062,'Pre-Summary'!$BG$6:$BL$44,3,FALSE),"")</f>
        <v/>
      </c>
      <c r="AM2062" s="10" t="str">
        <f>IFERROR(VLOOKUP(B2062,'Pre-Summary'!$BG$6:$BL$44,4,FALSE),"")</f>
        <v/>
      </c>
    </row>
    <row r="2063" spans="2:39" ht="15" customHeight="1" x14ac:dyDescent="0.3">
      <c r="B2063">
        <v>206</v>
      </c>
      <c r="C2063" t="str">
        <f>IFERROR(VLOOKUP(B2063,'Pre-Summary'!$DI$6:$DM$23,4,FALSE),"")</f>
        <v/>
      </c>
      <c r="D2063" s="10" t="str">
        <f>IFERROR(VLOOKUP(B2063,'Pre-Summary'!$AT$6:$AX$14,5,FALSE),D2062)</f>
        <v>Wolfe v3: went back to modified wolfe + EDTA and switched CuSO4 to CUCl2</v>
      </c>
      <c r="E2063" s="10" t="str">
        <f>IFERROR(VLOOKUP(B2063,'Pre-Summary'!$AT$6:$AX$15,4,FALSE),"")</f>
        <v/>
      </c>
      <c r="F2063">
        <f>IFERROR(VLOOKUP(B2063,'Pre-Summary'!$AL$6:$AQ$13,6,FALSE),F2062)</f>
        <v>5.9405263157894746E-2</v>
      </c>
      <c r="G2063" t="str">
        <f>IFERROR(VLOOKUP(B2063,'Pre-Summary'!$AE$6:$AJ$85,3,FALSE),"")</f>
        <v/>
      </c>
      <c r="H2063" t="str">
        <f>IFERROR(VLOOKUP(B2063,'Pre-Summary'!$AE$6:$AJ$85,4,FALSE),"")</f>
        <v/>
      </c>
      <c r="I2063" t="str">
        <f>IFERROR(VLOOKUP(B2063,'Pre-Summary'!$AE$6:$AJ$85,5,FALSE),"")</f>
        <v/>
      </c>
      <c r="J2063" s="45" t="str">
        <f>IFERROR(VLOOKUP(B2063,'Pre-Summary'!$AE$6:$AJ$85,6, FALSE),"")</f>
        <v/>
      </c>
      <c r="K2063" s="45" t="str">
        <f>IFERROR(VLOOKUP(B2063,'Pre-Summary'!$DE$6:$DG$61,3,FALSE),"")</f>
        <v/>
      </c>
      <c r="L2063" s="45" t="str">
        <f>IFERROR(VLOOKUP(B2063,'Pre-Summary'!$CU$6:$CW$36,3,FALSE),"")</f>
        <v/>
      </c>
      <c r="M2063" s="45" t="str">
        <f>IFERROR(VLOOKUP(B2063,'Pre-Summary'!$BW$6:$BY$58,2,FALSE),"")</f>
        <v/>
      </c>
      <c r="N2063" s="45" t="str">
        <f>IFERROR(VLOOKUP(B2063,'Pre-Summary'!$CD$6:$CF$64,2,FALSE),"")</f>
        <v/>
      </c>
      <c r="O2063" s="99">
        <f>IFERROR(VLOOKUP(B2063,'Pre-Summary'!$BO$6:$BQ$48,3, FALSE),O2062)</f>
        <v>1.3480000000000001</v>
      </c>
      <c r="P2063" s="99">
        <f>IFERROR(VLOOKUP(B2063,'Pre-Summary'!$BS$6:$BU$35,3,FALSE),P2062)</f>
        <v>0.379</v>
      </c>
      <c r="Q2063" s="54">
        <f t="shared" si="96"/>
        <v>3.556728232189974</v>
      </c>
      <c r="R2063" s="53">
        <f>IFERROR(VLOOKUP(B2063,'Pre-Summary'!$BG$6:$BM$44,7,FALSE),R2064)</f>
        <v>7.3789975262610413E-2</v>
      </c>
      <c r="S2063" s="53">
        <f>IFERROR(VLOOKUP(B2063,'Pre-Summary'!$BG$6:$BM$44,6,FALSE),S2064)</f>
        <v>5.2064631956901149E-2</v>
      </c>
      <c r="T2063" s="45" t="str">
        <f>IFERROR(VLOOKUP(B2063,'Pre-Summary'!$Y$6:$AC$83, 3,FALSE),"")</f>
        <v/>
      </c>
      <c r="U2063" s="45" t="str">
        <f>IFERROR(VLOOKUP(B2063,'Pre-Summary'!$Y$6:$AC$83, 4,FALSE),"")</f>
        <v/>
      </c>
      <c r="V2063" t="str">
        <f>IFERROR(VLOOKUP(B2063,'Pre-Summary'!$Y$6:$AC$83, 5,FALSE),"")</f>
        <v/>
      </c>
      <c r="W2063" s="45" t="str">
        <f>IFERROR(VLOOKUP(B2063,'Pre-Summary'!$Y$6:$AD$83,6,FALSE),"")</f>
        <v/>
      </c>
      <c r="X2063" t="str">
        <f>IFERROR(VLOOKUP('Pre-Summary'!$DB$6:$DD$63,3,FALSE),"")</f>
        <v/>
      </c>
      <c r="Y2063" t="str">
        <f>IFERROR(VLOOKUP(B2063,'Pre-Summary'!$CR$6:$CT$36,3,FALSE),"")</f>
        <v/>
      </c>
      <c r="Z2063" s="45" t="str">
        <f>IFERROR(VLOOKUP(B2063,'Pre-Summary'!$BZ$6:$CB$63,2,FALSE),"")</f>
        <v/>
      </c>
      <c r="AA2063" s="45" t="str">
        <f>IFERROR(VLOOKUP(B2063,'Pre-Summary'!$CG$6:$CI$70,2,FALSE),"")</f>
        <v/>
      </c>
      <c r="AB2063" s="99">
        <f>IFERROR(VLOOKUP(B2063,'Pre-Summary'!$A$6:$P$178,9,FALSE),AB2064)</f>
        <v>0.34701634393754011</v>
      </c>
      <c r="AC2063" s="10">
        <f>IFERROR(VLOOKUP(Summary!B2063,'Pre-Summary'!$A$6:$P$184,5, FALSE)/100,AC2064)</f>
        <v>0.9815910000000001</v>
      </c>
      <c r="AD2063" s="10">
        <f>IFERROR(VLOOKUP(Summary!B2063,'Pre-Summary'!$A$6:$P$184,3, FALSE)/100,AD2064)</f>
        <v>1.2500666666666667E-2</v>
      </c>
      <c r="AE2063" s="10">
        <f>IFERROR(VLOOKUP(Summary!B2063,'Pre-Summary'!$A$6:$P$184,7, FALSE)/100,AE2064)</f>
        <v>5.9083333333333331E-3</v>
      </c>
      <c r="AF2063" s="99">
        <f t="shared" si="97"/>
        <v>4.3379356434485429E-3</v>
      </c>
      <c r="AG2063" s="99">
        <f t="shared" si="98"/>
        <v>2.0502882320976327E-3</v>
      </c>
      <c r="AH2063" s="10" t="str">
        <f>IFERROR(VLOOKUP(B2063,'Pre-Summary'!$AZ$6:$BE$65,3,FALSE),"")</f>
        <v/>
      </c>
      <c r="AI2063" s="10" t="str">
        <f>IFERROR(VLOOKUP(B2063,'Pre-Summary'!$AZ$6:$BE$65,5,FALSE),"")</f>
        <v/>
      </c>
      <c r="AJ2063" s="10" t="str">
        <f>IFERROR(VLOOKUP(B2063,'Pre-Summary'!$AZ$6:$BE$65,4,FALSE),"")</f>
        <v/>
      </c>
      <c r="AK2063" s="10" t="str">
        <f>IFERROR(VLOOKUP(B2063,'Pre-Summary'!$AZ$6:$BE$65,6,FALSE),"")</f>
        <v/>
      </c>
      <c r="AL2063" s="10" t="str">
        <f>IFERROR(VLOOKUP(B2063,'Pre-Summary'!$BG$6:$BL$44,3,FALSE),"")</f>
        <v/>
      </c>
      <c r="AM2063" s="10" t="str">
        <f>IFERROR(VLOOKUP(B2063,'Pre-Summary'!$BG$6:$BL$44,4,FALSE),"")</f>
        <v/>
      </c>
    </row>
    <row r="2064" spans="2:39" ht="15" customHeight="1" x14ac:dyDescent="0.3">
      <c r="B2064">
        <v>206.1</v>
      </c>
      <c r="C2064" t="str">
        <f>IFERROR(VLOOKUP(B2064,'Pre-Summary'!$DI$6:$DM$23,4,FALSE),"")</f>
        <v/>
      </c>
      <c r="D2064" s="10" t="str">
        <f>IFERROR(VLOOKUP(B2064,'Pre-Summary'!$AT$6:$AX$14,5,FALSE),D2063)</f>
        <v>Wolfe v3: went back to modified wolfe + EDTA and switched CuSO4 to CUCl2</v>
      </c>
      <c r="E2064" s="10" t="str">
        <f>IFERROR(VLOOKUP(B2064,'Pre-Summary'!$AT$6:$AX$15,4,FALSE),"")</f>
        <v/>
      </c>
      <c r="F2064">
        <f>IFERROR(VLOOKUP(B2064,'Pre-Summary'!$AL$6:$AQ$13,6,FALSE),F2063)</f>
        <v>5.9405263157894746E-2</v>
      </c>
      <c r="G2064" t="str">
        <f>IFERROR(VLOOKUP(B2064,'Pre-Summary'!$AE$6:$AJ$85,3,FALSE),"")</f>
        <v/>
      </c>
      <c r="H2064" t="str">
        <f>IFERROR(VLOOKUP(B2064,'Pre-Summary'!$AE$6:$AJ$85,4,FALSE),"")</f>
        <v/>
      </c>
      <c r="I2064" t="str">
        <f>IFERROR(VLOOKUP(B2064,'Pre-Summary'!$AE$6:$AJ$85,5,FALSE),"")</f>
        <v/>
      </c>
      <c r="J2064" s="45" t="str">
        <f>IFERROR(VLOOKUP(B2064,'Pre-Summary'!$AE$6:$AJ$85,6, FALSE),"")</f>
        <v/>
      </c>
      <c r="K2064" s="45" t="str">
        <f>IFERROR(VLOOKUP(B2064,'Pre-Summary'!$DE$6:$DG$61,3,FALSE),"")</f>
        <v/>
      </c>
      <c r="L2064" s="45" t="str">
        <f>IFERROR(VLOOKUP(B2064,'Pre-Summary'!$CU$6:$CW$36,3,FALSE),"")</f>
        <v/>
      </c>
      <c r="M2064" s="45" t="str">
        <f>IFERROR(VLOOKUP(B2064,'Pre-Summary'!$BW$6:$BY$58,2,FALSE),"")</f>
        <v/>
      </c>
      <c r="N2064" s="45" t="str">
        <f>IFERROR(VLOOKUP(B2064,'Pre-Summary'!$CD$6:$CF$64,2,FALSE),"")</f>
        <v/>
      </c>
      <c r="O2064" s="99">
        <f>IFERROR(VLOOKUP(B2064,'Pre-Summary'!$BO$6:$BQ$48,3, FALSE),O2063)</f>
        <v>1.3480000000000001</v>
      </c>
      <c r="P2064" s="99">
        <f>IFERROR(VLOOKUP(B2064,'Pre-Summary'!$BS$6:$BU$35,3,FALSE),P2063)</f>
        <v>0.379</v>
      </c>
      <c r="Q2064" s="54">
        <f t="shared" si="96"/>
        <v>3.556728232189974</v>
      </c>
      <c r="R2064" s="53">
        <f>IFERROR(VLOOKUP(B2064,'Pre-Summary'!$BG$6:$BM$44,7,FALSE),R2065)</f>
        <v>7.3789975262610413E-2</v>
      </c>
      <c r="S2064" s="53">
        <f>IFERROR(VLOOKUP(B2064,'Pre-Summary'!$BG$6:$BM$44,6,FALSE),S2065)</f>
        <v>5.2064631956901149E-2</v>
      </c>
      <c r="T2064" s="45" t="str">
        <f>IFERROR(VLOOKUP(B2064,'Pre-Summary'!$Y$6:$AC$83, 3,FALSE),"")</f>
        <v/>
      </c>
      <c r="U2064" s="45" t="str">
        <f>IFERROR(VLOOKUP(B2064,'Pre-Summary'!$Y$6:$AC$83, 4,FALSE),"")</f>
        <v/>
      </c>
      <c r="V2064" t="str">
        <f>IFERROR(VLOOKUP(B2064,'Pre-Summary'!$Y$6:$AC$83, 5,FALSE),"")</f>
        <v/>
      </c>
      <c r="W2064" s="45" t="str">
        <f>IFERROR(VLOOKUP(B2064,'Pre-Summary'!$Y$6:$AD$83,6,FALSE),"")</f>
        <v/>
      </c>
      <c r="X2064" t="str">
        <f>IFERROR(VLOOKUP('Pre-Summary'!$DB$6:$DD$63,3,FALSE),"")</f>
        <v/>
      </c>
      <c r="Y2064" t="str">
        <f>IFERROR(VLOOKUP(B2064,'Pre-Summary'!$CR$6:$CT$36,3,FALSE),"")</f>
        <v/>
      </c>
      <c r="Z2064" s="45" t="str">
        <f>IFERROR(VLOOKUP(B2064,'Pre-Summary'!$BZ$6:$CB$63,2,FALSE),"")</f>
        <v/>
      </c>
      <c r="AA2064" s="45" t="str">
        <f>IFERROR(VLOOKUP(B2064,'Pre-Summary'!$CG$6:$CI$70,2,FALSE),"")</f>
        <v/>
      </c>
      <c r="AB2064" s="99">
        <f>IFERROR(VLOOKUP(B2064,'Pre-Summary'!$A$6:$P$178,9,FALSE),AB2065)</f>
        <v>0.34701634393754011</v>
      </c>
      <c r="AC2064" s="10">
        <f>IFERROR(VLOOKUP(Summary!B2064,'Pre-Summary'!$A$6:$P$184,5, FALSE)/100,AC2065)</f>
        <v>0.9815910000000001</v>
      </c>
      <c r="AD2064" s="10">
        <f>IFERROR(VLOOKUP(Summary!B2064,'Pre-Summary'!$A$6:$P$184,3, FALSE)/100,AD2065)</f>
        <v>1.2500666666666667E-2</v>
      </c>
      <c r="AE2064" s="10">
        <f>IFERROR(VLOOKUP(Summary!B2064,'Pre-Summary'!$A$6:$P$184,7, FALSE)/100,AE2065)</f>
        <v>5.9083333333333331E-3</v>
      </c>
      <c r="AF2064" s="99">
        <f t="shared" si="97"/>
        <v>4.3379356434485429E-3</v>
      </c>
      <c r="AG2064" s="99">
        <f t="shared" si="98"/>
        <v>2.0502882320976327E-3</v>
      </c>
      <c r="AH2064" s="10" t="str">
        <f>IFERROR(VLOOKUP(B2064,'Pre-Summary'!$AZ$6:$BE$65,3,FALSE),"")</f>
        <v/>
      </c>
      <c r="AI2064" s="10" t="str">
        <f>IFERROR(VLOOKUP(B2064,'Pre-Summary'!$AZ$6:$BE$65,5,FALSE),"")</f>
        <v/>
      </c>
      <c r="AJ2064" s="10" t="str">
        <f>IFERROR(VLOOKUP(B2064,'Pre-Summary'!$AZ$6:$BE$65,4,FALSE),"")</f>
        <v/>
      </c>
      <c r="AK2064" s="10" t="str">
        <f>IFERROR(VLOOKUP(B2064,'Pre-Summary'!$AZ$6:$BE$65,6,FALSE),"")</f>
        <v/>
      </c>
      <c r="AL2064" s="10" t="str">
        <f>IFERROR(VLOOKUP(B2064,'Pre-Summary'!$BG$6:$BL$44,3,FALSE),"")</f>
        <v/>
      </c>
      <c r="AM2064" s="10" t="str">
        <f>IFERROR(VLOOKUP(B2064,'Pre-Summary'!$BG$6:$BL$44,4,FALSE),"")</f>
        <v/>
      </c>
    </row>
    <row r="2065" spans="2:39" ht="15" customHeight="1" x14ac:dyDescent="0.3">
      <c r="B2065">
        <v>206.2</v>
      </c>
      <c r="C2065" t="str">
        <f>IFERROR(VLOOKUP(B2065,'Pre-Summary'!$DI$6:$DM$23,4,FALSE),"")</f>
        <v/>
      </c>
      <c r="D2065" s="10" t="str">
        <f>IFERROR(VLOOKUP(B2065,'Pre-Summary'!$AT$6:$AX$14,5,FALSE),D2064)</f>
        <v>Wolfe v3: went back to modified wolfe + EDTA and switched CuSO4 to CUCl2</v>
      </c>
      <c r="E2065" s="10" t="str">
        <f>IFERROR(VLOOKUP(B2065,'Pre-Summary'!$AT$6:$AX$15,4,FALSE),"")</f>
        <v/>
      </c>
      <c r="F2065">
        <f>IFERROR(VLOOKUP(B2065,'Pre-Summary'!$AL$6:$AQ$13,6,FALSE),F2064)</f>
        <v>5.9405263157894746E-2</v>
      </c>
      <c r="G2065" t="str">
        <f>IFERROR(VLOOKUP(B2065,'Pre-Summary'!$AE$6:$AJ$85,3,FALSE),"")</f>
        <v/>
      </c>
      <c r="H2065" t="str">
        <f>IFERROR(VLOOKUP(B2065,'Pre-Summary'!$AE$6:$AJ$85,4,FALSE),"")</f>
        <v/>
      </c>
      <c r="I2065" t="str">
        <f>IFERROR(VLOOKUP(B2065,'Pre-Summary'!$AE$6:$AJ$85,5,FALSE),"")</f>
        <v/>
      </c>
      <c r="J2065" s="45" t="str">
        <f>IFERROR(VLOOKUP(B2065,'Pre-Summary'!$AE$6:$AJ$85,6, FALSE),"")</f>
        <v/>
      </c>
      <c r="K2065" s="45" t="str">
        <f>IFERROR(VLOOKUP(B2065,'Pre-Summary'!$DE$6:$DG$61,3,FALSE),"")</f>
        <v/>
      </c>
      <c r="L2065" s="45" t="str">
        <f>IFERROR(VLOOKUP(B2065,'Pre-Summary'!$CU$6:$CW$36,3,FALSE),"")</f>
        <v/>
      </c>
      <c r="M2065" s="45" t="str">
        <f>IFERROR(VLOOKUP(B2065,'Pre-Summary'!$BW$6:$BY$58,2,FALSE),"")</f>
        <v/>
      </c>
      <c r="N2065" s="45" t="str">
        <f>IFERROR(VLOOKUP(B2065,'Pre-Summary'!$CD$6:$CF$64,2,FALSE),"")</f>
        <v/>
      </c>
      <c r="O2065" s="99">
        <f>IFERROR(VLOOKUP(B2065,'Pre-Summary'!$BO$6:$BQ$48,3, FALSE),O2064)</f>
        <v>1.3480000000000001</v>
      </c>
      <c r="P2065" s="99">
        <f>IFERROR(VLOOKUP(B2065,'Pre-Summary'!$BS$6:$BU$35,3,FALSE),P2064)</f>
        <v>0.379</v>
      </c>
      <c r="Q2065" s="54">
        <f t="shared" si="96"/>
        <v>3.556728232189974</v>
      </c>
      <c r="R2065" s="53">
        <f>IFERROR(VLOOKUP(B2065,'Pre-Summary'!$BG$6:$BM$44,7,FALSE),R2066)</f>
        <v>7.3789975262610413E-2</v>
      </c>
      <c r="S2065" s="53">
        <f>IFERROR(VLOOKUP(B2065,'Pre-Summary'!$BG$6:$BM$44,6,FALSE),S2066)</f>
        <v>5.2064631956901149E-2</v>
      </c>
      <c r="T2065" s="45" t="str">
        <f>IFERROR(VLOOKUP(B2065,'Pre-Summary'!$Y$6:$AC$83, 3,FALSE),"")</f>
        <v/>
      </c>
      <c r="U2065" s="45" t="str">
        <f>IFERROR(VLOOKUP(B2065,'Pre-Summary'!$Y$6:$AC$83, 4,FALSE),"")</f>
        <v/>
      </c>
      <c r="V2065" t="str">
        <f>IFERROR(VLOOKUP(B2065,'Pre-Summary'!$Y$6:$AC$83, 5,FALSE),"")</f>
        <v/>
      </c>
      <c r="W2065" s="45" t="str">
        <f>IFERROR(VLOOKUP(B2065,'Pre-Summary'!$Y$6:$AD$83,6,FALSE),"")</f>
        <v/>
      </c>
      <c r="X2065" t="str">
        <f>IFERROR(VLOOKUP('Pre-Summary'!$DB$6:$DD$63,3,FALSE),"")</f>
        <v/>
      </c>
      <c r="Y2065" t="str">
        <f>IFERROR(VLOOKUP(B2065,'Pre-Summary'!$CR$6:$CT$36,3,FALSE),"")</f>
        <v/>
      </c>
      <c r="Z2065" s="45" t="str">
        <f>IFERROR(VLOOKUP(B2065,'Pre-Summary'!$BZ$6:$CB$63,2,FALSE),"")</f>
        <v/>
      </c>
      <c r="AA2065" s="45" t="str">
        <f>IFERROR(VLOOKUP(B2065,'Pre-Summary'!$CG$6:$CI$70,2,FALSE),"")</f>
        <v/>
      </c>
      <c r="AB2065" s="99">
        <f>IFERROR(VLOOKUP(B2065,'Pre-Summary'!$A$6:$P$178,9,FALSE),AB2066)</f>
        <v>0.34701634393754011</v>
      </c>
      <c r="AC2065" s="10">
        <f>IFERROR(VLOOKUP(Summary!B2065,'Pre-Summary'!$A$6:$P$184,5, FALSE)/100,AC2066)</f>
        <v>0.9815910000000001</v>
      </c>
      <c r="AD2065" s="10">
        <f>IFERROR(VLOOKUP(Summary!B2065,'Pre-Summary'!$A$6:$P$184,3, FALSE)/100,AD2066)</f>
        <v>1.2500666666666667E-2</v>
      </c>
      <c r="AE2065" s="10">
        <f>IFERROR(VLOOKUP(Summary!B2065,'Pre-Summary'!$A$6:$P$184,7, FALSE)/100,AE2066)</f>
        <v>5.9083333333333331E-3</v>
      </c>
      <c r="AF2065" s="99">
        <f t="shared" si="97"/>
        <v>4.3379356434485429E-3</v>
      </c>
      <c r="AG2065" s="99">
        <f t="shared" si="98"/>
        <v>2.0502882320976327E-3</v>
      </c>
      <c r="AH2065" s="10" t="str">
        <f>IFERROR(VLOOKUP(B2065,'Pre-Summary'!$AZ$6:$BE$65,3,FALSE),"")</f>
        <v/>
      </c>
      <c r="AI2065" s="10" t="str">
        <f>IFERROR(VLOOKUP(B2065,'Pre-Summary'!$AZ$6:$BE$65,5,FALSE),"")</f>
        <v/>
      </c>
      <c r="AJ2065" s="10" t="str">
        <f>IFERROR(VLOOKUP(B2065,'Pre-Summary'!$AZ$6:$BE$65,4,FALSE),"")</f>
        <v/>
      </c>
      <c r="AK2065" s="10" t="str">
        <f>IFERROR(VLOOKUP(B2065,'Pre-Summary'!$AZ$6:$BE$65,6,FALSE),"")</f>
        <v/>
      </c>
      <c r="AL2065" s="10" t="str">
        <f>IFERROR(VLOOKUP(B2065,'Pre-Summary'!$BG$6:$BL$44,3,FALSE),"")</f>
        <v/>
      </c>
      <c r="AM2065" s="10" t="str">
        <f>IFERROR(VLOOKUP(B2065,'Pre-Summary'!$BG$6:$BL$44,4,FALSE),"")</f>
        <v/>
      </c>
    </row>
    <row r="2066" spans="2:39" ht="15" customHeight="1" x14ac:dyDescent="0.3">
      <c r="B2066">
        <v>206.3</v>
      </c>
      <c r="C2066" t="str">
        <f>IFERROR(VLOOKUP(B2066,'Pre-Summary'!$DI$6:$DM$23,4,FALSE),"")</f>
        <v/>
      </c>
      <c r="D2066" s="10" t="str">
        <f>IFERROR(VLOOKUP(B2066,'Pre-Summary'!$AT$6:$AX$14,5,FALSE),D2065)</f>
        <v>Wolfe v3: went back to modified wolfe + EDTA and switched CuSO4 to CUCl2</v>
      </c>
      <c r="E2066" s="10" t="str">
        <f>IFERROR(VLOOKUP(B2066,'Pre-Summary'!$AT$6:$AX$15,4,FALSE),"")</f>
        <v/>
      </c>
      <c r="F2066">
        <f>IFERROR(VLOOKUP(B2066,'Pre-Summary'!$AL$6:$AQ$13,6,FALSE),F2065)</f>
        <v>5.9405263157894746E-2</v>
      </c>
      <c r="G2066" t="str">
        <f>IFERROR(VLOOKUP(B2066,'Pre-Summary'!$AE$6:$AJ$85,3,FALSE),"")</f>
        <v/>
      </c>
      <c r="H2066" t="str">
        <f>IFERROR(VLOOKUP(B2066,'Pre-Summary'!$AE$6:$AJ$85,4,FALSE),"")</f>
        <v/>
      </c>
      <c r="I2066" t="str">
        <f>IFERROR(VLOOKUP(B2066,'Pre-Summary'!$AE$6:$AJ$85,5,FALSE),"")</f>
        <v/>
      </c>
      <c r="J2066" s="45" t="str">
        <f>IFERROR(VLOOKUP(B2066,'Pre-Summary'!$AE$6:$AJ$85,6, FALSE),"")</f>
        <v/>
      </c>
      <c r="K2066" s="45" t="str">
        <f>IFERROR(VLOOKUP(B2066,'Pre-Summary'!$DE$6:$DG$61,3,FALSE),"")</f>
        <v/>
      </c>
      <c r="L2066" s="45" t="str">
        <f>IFERROR(VLOOKUP(B2066,'Pre-Summary'!$CU$6:$CW$36,3,FALSE),"")</f>
        <v/>
      </c>
      <c r="M2066" s="45" t="str">
        <f>IFERROR(VLOOKUP(B2066,'Pre-Summary'!$BW$6:$BY$58,2,FALSE),"")</f>
        <v/>
      </c>
      <c r="N2066" s="45" t="str">
        <f>IFERROR(VLOOKUP(B2066,'Pre-Summary'!$CD$6:$CF$64,2,FALSE),"")</f>
        <v/>
      </c>
      <c r="O2066" s="99">
        <f>IFERROR(VLOOKUP(B2066,'Pre-Summary'!$BO$6:$BQ$48,3, FALSE),O2065)</f>
        <v>1.3480000000000001</v>
      </c>
      <c r="P2066" s="99">
        <f>IFERROR(VLOOKUP(B2066,'Pre-Summary'!$BS$6:$BU$35,3,FALSE),P2065)</f>
        <v>0.379</v>
      </c>
      <c r="Q2066" s="54">
        <f t="shared" si="96"/>
        <v>3.556728232189974</v>
      </c>
      <c r="R2066" s="53">
        <f>IFERROR(VLOOKUP(B2066,'Pre-Summary'!$BG$6:$BM$44,7,FALSE),R2067)</f>
        <v>7.3789975262610413E-2</v>
      </c>
      <c r="S2066" s="53">
        <f>IFERROR(VLOOKUP(B2066,'Pre-Summary'!$BG$6:$BM$44,6,FALSE),S2067)</f>
        <v>5.2064631956901149E-2</v>
      </c>
      <c r="T2066" s="45" t="str">
        <f>IFERROR(VLOOKUP(B2066,'Pre-Summary'!$Y$6:$AC$83, 3,FALSE),"")</f>
        <v/>
      </c>
      <c r="U2066" s="45" t="str">
        <f>IFERROR(VLOOKUP(B2066,'Pre-Summary'!$Y$6:$AC$83, 4,FALSE),"")</f>
        <v/>
      </c>
      <c r="V2066" t="str">
        <f>IFERROR(VLOOKUP(B2066,'Pre-Summary'!$Y$6:$AC$83, 5,FALSE),"")</f>
        <v/>
      </c>
      <c r="W2066" s="45" t="str">
        <f>IFERROR(VLOOKUP(B2066,'Pre-Summary'!$Y$6:$AD$83,6,FALSE),"")</f>
        <v/>
      </c>
      <c r="X2066" t="str">
        <f>IFERROR(VLOOKUP('Pre-Summary'!$DB$6:$DD$63,3,FALSE),"")</f>
        <v/>
      </c>
      <c r="Y2066" t="str">
        <f>IFERROR(VLOOKUP(B2066,'Pre-Summary'!$CR$6:$CT$36,3,FALSE),"")</f>
        <v/>
      </c>
      <c r="Z2066" s="45" t="str">
        <f>IFERROR(VLOOKUP(B2066,'Pre-Summary'!$BZ$6:$CB$63,2,FALSE),"")</f>
        <v/>
      </c>
      <c r="AA2066" s="45" t="str">
        <f>IFERROR(VLOOKUP(B2066,'Pre-Summary'!$CG$6:$CI$70,2,FALSE),"")</f>
        <v/>
      </c>
      <c r="AB2066" s="99">
        <f>IFERROR(VLOOKUP(B2066,'Pre-Summary'!$A$6:$P$178,9,FALSE),AB2067)</f>
        <v>0.34701634393754011</v>
      </c>
      <c r="AC2066" s="10">
        <f>IFERROR(VLOOKUP(Summary!B2066,'Pre-Summary'!$A$6:$P$184,5, FALSE)/100,AC2067)</f>
        <v>0.9815910000000001</v>
      </c>
      <c r="AD2066" s="10">
        <f>IFERROR(VLOOKUP(Summary!B2066,'Pre-Summary'!$A$6:$P$184,3, FALSE)/100,AD2067)</f>
        <v>1.2500666666666667E-2</v>
      </c>
      <c r="AE2066" s="10">
        <f>IFERROR(VLOOKUP(Summary!B2066,'Pre-Summary'!$A$6:$P$184,7, FALSE)/100,AE2067)</f>
        <v>5.9083333333333331E-3</v>
      </c>
      <c r="AF2066" s="99">
        <f t="shared" si="97"/>
        <v>4.3379356434485429E-3</v>
      </c>
      <c r="AG2066" s="99">
        <f t="shared" si="98"/>
        <v>2.0502882320976327E-3</v>
      </c>
      <c r="AH2066" s="10" t="str">
        <f>IFERROR(VLOOKUP(B2066,'Pre-Summary'!$AZ$6:$BE$65,3,FALSE),"")</f>
        <v/>
      </c>
      <c r="AI2066" s="10" t="str">
        <f>IFERROR(VLOOKUP(B2066,'Pre-Summary'!$AZ$6:$BE$65,5,FALSE),"")</f>
        <v/>
      </c>
      <c r="AJ2066" s="10" t="str">
        <f>IFERROR(VLOOKUP(B2066,'Pre-Summary'!$AZ$6:$BE$65,4,FALSE),"")</f>
        <v/>
      </c>
      <c r="AK2066" s="10" t="str">
        <f>IFERROR(VLOOKUP(B2066,'Pre-Summary'!$AZ$6:$BE$65,6,FALSE),"")</f>
        <v/>
      </c>
      <c r="AL2066" s="10" t="str">
        <f>IFERROR(VLOOKUP(B2066,'Pre-Summary'!$BG$6:$BL$44,3,FALSE),"")</f>
        <v/>
      </c>
      <c r="AM2066" s="10" t="str">
        <f>IFERROR(VLOOKUP(B2066,'Pre-Summary'!$BG$6:$BL$44,4,FALSE),"")</f>
        <v/>
      </c>
    </row>
    <row r="2067" spans="2:39" ht="15" customHeight="1" x14ac:dyDescent="0.3">
      <c r="B2067">
        <v>206.4</v>
      </c>
      <c r="C2067" t="str">
        <f>IFERROR(VLOOKUP(B2067,'Pre-Summary'!$DI$6:$DM$23,4,FALSE),"")</f>
        <v/>
      </c>
      <c r="D2067" s="10" t="str">
        <f>IFERROR(VLOOKUP(B2067,'Pre-Summary'!$AT$6:$AX$14,5,FALSE),D2066)</f>
        <v>Wolfe v3: went back to modified wolfe + EDTA and switched CuSO4 to CUCl2</v>
      </c>
      <c r="E2067" s="10" t="str">
        <f>IFERROR(VLOOKUP(B2067,'Pre-Summary'!$AT$6:$AX$15,4,FALSE),"")</f>
        <v/>
      </c>
      <c r="F2067">
        <f>IFERROR(VLOOKUP(B2067,'Pre-Summary'!$AL$6:$AQ$13,6,FALSE),F2066)</f>
        <v>5.9405263157894746E-2</v>
      </c>
      <c r="G2067" t="str">
        <f>IFERROR(VLOOKUP(B2067,'Pre-Summary'!$AE$6:$AJ$85,3,FALSE),"")</f>
        <v/>
      </c>
      <c r="H2067" t="str">
        <f>IFERROR(VLOOKUP(B2067,'Pre-Summary'!$AE$6:$AJ$85,4,FALSE),"")</f>
        <v/>
      </c>
      <c r="I2067" t="str">
        <f>IFERROR(VLOOKUP(B2067,'Pre-Summary'!$AE$6:$AJ$85,5,FALSE),"")</f>
        <v/>
      </c>
      <c r="J2067" s="45" t="str">
        <f>IFERROR(VLOOKUP(B2067,'Pre-Summary'!$AE$6:$AJ$85,6, FALSE),"")</f>
        <v/>
      </c>
      <c r="K2067" s="45" t="str">
        <f>IFERROR(VLOOKUP(B2067,'Pre-Summary'!$DE$6:$DG$61,3,FALSE),"")</f>
        <v/>
      </c>
      <c r="L2067" s="45" t="str">
        <f>IFERROR(VLOOKUP(B2067,'Pre-Summary'!$CU$6:$CW$36,3,FALSE),"")</f>
        <v/>
      </c>
      <c r="M2067" s="45" t="str">
        <f>IFERROR(VLOOKUP(B2067,'Pre-Summary'!$BW$6:$BY$58,2,FALSE),"")</f>
        <v/>
      </c>
      <c r="N2067" s="45" t="str">
        <f>IFERROR(VLOOKUP(B2067,'Pre-Summary'!$CD$6:$CF$64,2,FALSE),"")</f>
        <v/>
      </c>
      <c r="O2067" s="99">
        <f>IFERROR(VLOOKUP(B2067,'Pre-Summary'!$BO$6:$BQ$48,3, FALSE),O2066)</f>
        <v>1.3480000000000001</v>
      </c>
      <c r="P2067" s="99">
        <f>IFERROR(VLOOKUP(B2067,'Pre-Summary'!$BS$6:$BU$35,3,FALSE),P2066)</f>
        <v>0.379</v>
      </c>
      <c r="Q2067" s="54">
        <f t="shared" si="96"/>
        <v>3.556728232189974</v>
      </c>
      <c r="R2067" s="53">
        <f>IFERROR(VLOOKUP(B2067,'Pre-Summary'!$BG$6:$BM$44,7,FALSE),R2068)</f>
        <v>7.3789975262610413E-2</v>
      </c>
      <c r="S2067" s="53">
        <f>IFERROR(VLOOKUP(B2067,'Pre-Summary'!$BG$6:$BM$44,6,FALSE),S2068)</f>
        <v>5.2064631956901149E-2</v>
      </c>
      <c r="T2067" s="45" t="str">
        <f>IFERROR(VLOOKUP(B2067,'Pre-Summary'!$Y$6:$AC$83, 3,FALSE),"")</f>
        <v/>
      </c>
      <c r="U2067" s="45" t="str">
        <f>IFERROR(VLOOKUP(B2067,'Pre-Summary'!$Y$6:$AC$83, 4,FALSE),"")</f>
        <v/>
      </c>
      <c r="V2067" t="str">
        <f>IFERROR(VLOOKUP(B2067,'Pre-Summary'!$Y$6:$AC$83, 5,FALSE),"")</f>
        <v/>
      </c>
      <c r="W2067" s="45" t="str">
        <f>IFERROR(VLOOKUP(B2067,'Pre-Summary'!$Y$6:$AD$83,6,FALSE),"")</f>
        <v/>
      </c>
      <c r="X2067" t="str">
        <f>IFERROR(VLOOKUP('Pre-Summary'!$DB$6:$DD$63,3,FALSE),"")</f>
        <v/>
      </c>
      <c r="Y2067" t="str">
        <f>IFERROR(VLOOKUP(B2067,'Pre-Summary'!$CR$6:$CT$36,3,FALSE),"")</f>
        <v/>
      </c>
      <c r="Z2067" s="45" t="str">
        <f>IFERROR(VLOOKUP(B2067,'Pre-Summary'!$BZ$6:$CB$63,2,FALSE),"")</f>
        <v/>
      </c>
      <c r="AA2067" s="45" t="str">
        <f>IFERROR(VLOOKUP(B2067,'Pre-Summary'!$CG$6:$CI$70,2,FALSE),"")</f>
        <v/>
      </c>
      <c r="AB2067" s="99">
        <f>IFERROR(VLOOKUP(B2067,'Pre-Summary'!$A$6:$P$178,9,FALSE),AB2068)</f>
        <v>0.34701634393754011</v>
      </c>
      <c r="AC2067" s="10">
        <f>IFERROR(VLOOKUP(Summary!B2067,'Pre-Summary'!$A$6:$P$184,5, FALSE)/100,AC2068)</f>
        <v>0.9815910000000001</v>
      </c>
      <c r="AD2067" s="10">
        <f>IFERROR(VLOOKUP(Summary!B2067,'Pre-Summary'!$A$6:$P$184,3, FALSE)/100,AD2068)</f>
        <v>1.2500666666666667E-2</v>
      </c>
      <c r="AE2067" s="10">
        <f>IFERROR(VLOOKUP(Summary!B2067,'Pre-Summary'!$A$6:$P$184,7, FALSE)/100,AE2068)</f>
        <v>5.9083333333333331E-3</v>
      </c>
      <c r="AF2067" s="99">
        <f t="shared" si="97"/>
        <v>4.3379356434485429E-3</v>
      </c>
      <c r="AG2067" s="99">
        <f t="shared" si="98"/>
        <v>2.0502882320976327E-3</v>
      </c>
      <c r="AH2067" s="10" t="str">
        <f>IFERROR(VLOOKUP(B2067,'Pre-Summary'!$AZ$6:$BE$65,3,FALSE),"")</f>
        <v/>
      </c>
      <c r="AI2067" s="10" t="str">
        <f>IFERROR(VLOOKUP(B2067,'Pre-Summary'!$AZ$6:$BE$65,5,FALSE),"")</f>
        <v/>
      </c>
      <c r="AJ2067" s="10" t="str">
        <f>IFERROR(VLOOKUP(B2067,'Pre-Summary'!$AZ$6:$BE$65,4,FALSE),"")</f>
        <v/>
      </c>
      <c r="AK2067" s="10" t="str">
        <f>IFERROR(VLOOKUP(B2067,'Pre-Summary'!$AZ$6:$BE$65,6,FALSE),"")</f>
        <v/>
      </c>
      <c r="AL2067" s="10" t="str">
        <f>IFERROR(VLOOKUP(B2067,'Pre-Summary'!$BG$6:$BL$44,3,FALSE),"")</f>
        <v/>
      </c>
      <c r="AM2067" s="10" t="str">
        <f>IFERROR(VLOOKUP(B2067,'Pre-Summary'!$BG$6:$BL$44,4,FALSE),"")</f>
        <v/>
      </c>
    </row>
    <row r="2068" spans="2:39" ht="15" customHeight="1" x14ac:dyDescent="0.3">
      <c r="B2068">
        <v>206.5</v>
      </c>
      <c r="C2068" t="str">
        <f>IFERROR(VLOOKUP(B2068,'Pre-Summary'!$DI$6:$DM$23,4,FALSE),"")</f>
        <v/>
      </c>
      <c r="D2068" s="10" t="str">
        <f>IFERROR(VLOOKUP(B2068,'Pre-Summary'!$AT$6:$AX$14,5,FALSE),D2067)</f>
        <v>Wolfe v3: went back to modified wolfe + EDTA and switched CuSO4 to CUCl2</v>
      </c>
      <c r="E2068" s="10" t="str">
        <f>IFERROR(VLOOKUP(B2068,'Pre-Summary'!$AT$6:$AX$15,4,FALSE),"")</f>
        <v/>
      </c>
      <c r="F2068">
        <f>IFERROR(VLOOKUP(B2068,'Pre-Summary'!$AL$6:$AQ$13,6,FALSE),F2067)</f>
        <v>5.9405263157894746E-2</v>
      </c>
      <c r="G2068" t="str">
        <f>IFERROR(VLOOKUP(B2068,'Pre-Summary'!$AE$6:$AJ$85,3,FALSE),"")</f>
        <v/>
      </c>
      <c r="H2068" t="str">
        <f>IFERROR(VLOOKUP(B2068,'Pre-Summary'!$AE$6:$AJ$85,4,FALSE),"")</f>
        <v/>
      </c>
      <c r="I2068" t="str">
        <f>IFERROR(VLOOKUP(B2068,'Pre-Summary'!$AE$6:$AJ$85,5,FALSE),"")</f>
        <v/>
      </c>
      <c r="J2068" s="45" t="str">
        <f>IFERROR(VLOOKUP(B2068,'Pre-Summary'!$AE$6:$AJ$85,6, FALSE),"")</f>
        <v/>
      </c>
      <c r="K2068" s="45" t="str">
        <f>IFERROR(VLOOKUP(B2068,'Pre-Summary'!$DE$6:$DG$61,3,FALSE),"")</f>
        <v/>
      </c>
      <c r="L2068" s="45" t="str">
        <f>IFERROR(VLOOKUP(B2068,'Pre-Summary'!$CU$6:$CW$36,3,FALSE),"")</f>
        <v/>
      </c>
      <c r="M2068" s="45" t="str">
        <f>IFERROR(VLOOKUP(B2068,'Pre-Summary'!$BW$6:$BY$58,2,FALSE),"")</f>
        <v/>
      </c>
      <c r="N2068" s="45" t="str">
        <f>IFERROR(VLOOKUP(B2068,'Pre-Summary'!$CD$6:$CF$64,2,FALSE),"")</f>
        <v/>
      </c>
      <c r="O2068" s="99">
        <f>IFERROR(VLOOKUP(B2068,'Pre-Summary'!$BO$6:$BQ$48,3, FALSE),O2067)</f>
        <v>1.3480000000000001</v>
      </c>
      <c r="P2068" s="99">
        <f>IFERROR(VLOOKUP(B2068,'Pre-Summary'!$BS$6:$BU$35,3,FALSE),P2067)</f>
        <v>0.379</v>
      </c>
      <c r="Q2068" s="54">
        <f t="shared" si="96"/>
        <v>3.556728232189974</v>
      </c>
      <c r="R2068" s="53">
        <f>IFERROR(VLOOKUP(B2068,'Pre-Summary'!$BG$6:$BM$44,7,FALSE),R2069)</f>
        <v>7.3789975262610413E-2</v>
      </c>
      <c r="S2068" s="53">
        <f>IFERROR(VLOOKUP(B2068,'Pre-Summary'!$BG$6:$BM$44,6,FALSE),S2069)</f>
        <v>5.2064631956901149E-2</v>
      </c>
      <c r="T2068" s="45" t="str">
        <f>IFERROR(VLOOKUP(B2068,'Pre-Summary'!$Y$6:$AC$83, 3,FALSE),"")</f>
        <v/>
      </c>
      <c r="U2068" s="45" t="str">
        <f>IFERROR(VLOOKUP(B2068,'Pre-Summary'!$Y$6:$AC$83, 4,FALSE),"")</f>
        <v/>
      </c>
      <c r="V2068" t="str">
        <f>IFERROR(VLOOKUP(B2068,'Pre-Summary'!$Y$6:$AC$83, 5,FALSE),"")</f>
        <v/>
      </c>
      <c r="W2068" s="45" t="str">
        <f>IFERROR(VLOOKUP(B2068,'Pre-Summary'!$Y$6:$AD$83,6,FALSE),"")</f>
        <v/>
      </c>
      <c r="X2068" t="str">
        <f>IFERROR(VLOOKUP('Pre-Summary'!$DB$6:$DD$63,3,FALSE),"")</f>
        <v/>
      </c>
      <c r="Y2068" t="str">
        <f>IFERROR(VLOOKUP(B2068,'Pre-Summary'!$CR$6:$CT$36,3,FALSE),"")</f>
        <v/>
      </c>
      <c r="Z2068" s="45" t="str">
        <f>IFERROR(VLOOKUP(B2068,'Pre-Summary'!$BZ$6:$CB$63,2,FALSE),"")</f>
        <v/>
      </c>
      <c r="AA2068" s="45" t="str">
        <f>IFERROR(VLOOKUP(B2068,'Pre-Summary'!$CG$6:$CI$70,2,FALSE),"")</f>
        <v/>
      </c>
      <c r="AB2068" s="99">
        <f>IFERROR(VLOOKUP(B2068,'Pre-Summary'!$A$6:$P$178,9,FALSE),AB2069)</f>
        <v>0.34701634393754011</v>
      </c>
      <c r="AC2068" s="10">
        <f>IFERROR(VLOOKUP(Summary!B2068,'Pre-Summary'!$A$6:$P$184,5, FALSE)/100,AC2069)</f>
        <v>0.9815910000000001</v>
      </c>
      <c r="AD2068" s="10">
        <f>IFERROR(VLOOKUP(Summary!B2068,'Pre-Summary'!$A$6:$P$184,3, FALSE)/100,AD2069)</f>
        <v>1.2500666666666667E-2</v>
      </c>
      <c r="AE2068" s="10">
        <f>IFERROR(VLOOKUP(Summary!B2068,'Pre-Summary'!$A$6:$P$184,7, FALSE)/100,AE2069)</f>
        <v>5.9083333333333331E-3</v>
      </c>
      <c r="AF2068" s="99">
        <f t="shared" si="97"/>
        <v>4.3379356434485429E-3</v>
      </c>
      <c r="AG2068" s="99">
        <f t="shared" si="98"/>
        <v>2.0502882320976327E-3</v>
      </c>
      <c r="AH2068" s="10" t="str">
        <f>IFERROR(VLOOKUP(B2068,'Pre-Summary'!$AZ$6:$BE$65,3,FALSE),"")</f>
        <v/>
      </c>
      <c r="AI2068" s="10" t="str">
        <f>IFERROR(VLOOKUP(B2068,'Pre-Summary'!$AZ$6:$BE$65,5,FALSE),"")</f>
        <v/>
      </c>
      <c r="AJ2068" s="10" t="str">
        <f>IFERROR(VLOOKUP(B2068,'Pre-Summary'!$AZ$6:$BE$65,4,FALSE),"")</f>
        <v/>
      </c>
      <c r="AK2068" s="10" t="str">
        <f>IFERROR(VLOOKUP(B2068,'Pre-Summary'!$AZ$6:$BE$65,6,FALSE),"")</f>
        <v/>
      </c>
      <c r="AL2068" s="10" t="str">
        <f>IFERROR(VLOOKUP(B2068,'Pre-Summary'!$BG$6:$BL$44,3,FALSE),"")</f>
        <v/>
      </c>
      <c r="AM2068" s="10" t="str">
        <f>IFERROR(VLOOKUP(B2068,'Pre-Summary'!$BG$6:$BL$44,4,FALSE),"")</f>
        <v/>
      </c>
    </row>
    <row r="2069" spans="2:39" ht="15" customHeight="1" x14ac:dyDescent="0.3">
      <c r="B2069">
        <v>206.6</v>
      </c>
      <c r="C2069" t="str">
        <f>IFERROR(VLOOKUP(B2069,'Pre-Summary'!$DI$6:$DM$23,4,FALSE),"")</f>
        <v/>
      </c>
      <c r="D2069" s="10" t="str">
        <f>IFERROR(VLOOKUP(B2069,'Pre-Summary'!$AT$6:$AX$14,5,FALSE),D2068)</f>
        <v>Wolfe v3: went back to modified wolfe + EDTA and switched CuSO4 to CUCl2</v>
      </c>
      <c r="E2069" s="10" t="str">
        <f>IFERROR(VLOOKUP(B2069,'Pre-Summary'!$AT$6:$AX$15,4,FALSE),"")</f>
        <v/>
      </c>
      <c r="F2069">
        <f>IFERROR(VLOOKUP(B2069,'Pre-Summary'!$AL$6:$AQ$13,6,FALSE),F2068)</f>
        <v>5.9405263157894746E-2</v>
      </c>
      <c r="G2069" t="str">
        <f>IFERROR(VLOOKUP(B2069,'Pre-Summary'!$AE$6:$AJ$85,3,FALSE),"")</f>
        <v/>
      </c>
      <c r="H2069" t="str">
        <f>IFERROR(VLOOKUP(B2069,'Pre-Summary'!$AE$6:$AJ$85,4,FALSE),"")</f>
        <v/>
      </c>
      <c r="I2069" t="str">
        <f>IFERROR(VLOOKUP(B2069,'Pre-Summary'!$AE$6:$AJ$85,5,FALSE),"")</f>
        <v/>
      </c>
      <c r="J2069" s="45" t="str">
        <f>IFERROR(VLOOKUP(B2069,'Pre-Summary'!$AE$6:$AJ$85,6, FALSE),"")</f>
        <v/>
      </c>
      <c r="K2069" s="45" t="str">
        <f>IFERROR(VLOOKUP(B2069,'Pre-Summary'!$DE$6:$DG$61,3,FALSE),"")</f>
        <v/>
      </c>
      <c r="L2069" s="45" t="str">
        <f>IFERROR(VLOOKUP(B2069,'Pre-Summary'!$CU$6:$CW$36,3,FALSE),"")</f>
        <v/>
      </c>
      <c r="M2069" s="45" t="str">
        <f>IFERROR(VLOOKUP(B2069,'Pre-Summary'!$BW$6:$BY$58,2,FALSE),"")</f>
        <v/>
      </c>
      <c r="N2069" s="45" t="str">
        <f>IFERROR(VLOOKUP(B2069,'Pre-Summary'!$CD$6:$CF$64,2,FALSE),"")</f>
        <v/>
      </c>
      <c r="O2069" s="99">
        <f>IFERROR(VLOOKUP(B2069,'Pre-Summary'!$BO$6:$BQ$48,3, FALSE),O2068)</f>
        <v>1.3480000000000001</v>
      </c>
      <c r="P2069" s="99">
        <f>IFERROR(VLOOKUP(B2069,'Pre-Summary'!$BS$6:$BU$35,3,FALSE),P2068)</f>
        <v>0.379</v>
      </c>
      <c r="Q2069" s="54">
        <f t="shared" si="96"/>
        <v>3.556728232189974</v>
      </c>
      <c r="R2069" s="53">
        <f>IFERROR(VLOOKUP(B2069,'Pre-Summary'!$BG$6:$BM$44,7,FALSE),R2070)</f>
        <v>7.3789975262610413E-2</v>
      </c>
      <c r="S2069" s="53">
        <f>IFERROR(VLOOKUP(B2069,'Pre-Summary'!$BG$6:$BM$44,6,FALSE),S2070)</f>
        <v>5.2064631956901149E-2</v>
      </c>
      <c r="T2069" s="45" t="str">
        <f>IFERROR(VLOOKUP(B2069,'Pre-Summary'!$Y$6:$AC$83, 3,FALSE),"")</f>
        <v/>
      </c>
      <c r="U2069" s="45" t="str">
        <f>IFERROR(VLOOKUP(B2069,'Pre-Summary'!$Y$6:$AC$83, 4,FALSE),"")</f>
        <v/>
      </c>
      <c r="V2069" t="str">
        <f>IFERROR(VLOOKUP(B2069,'Pre-Summary'!$Y$6:$AC$83, 5,FALSE),"")</f>
        <v/>
      </c>
      <c r="W2069" s="45" t="str">
        <f>IFERROR(VLOOKUP(B2069,'Pre-Summary'!$Y$6:$AD$83,6,FALSE),"")</f>
        <v/>
      </c>
      <c r="X2069" t="str">
        <f>IFERROR(VLOOKUP('Pre-Summary'!$DB$6:$DD$63,3,FALSE),"")</f>
        <v/>
      </c>
      <c r="Y2069" t="str">
        <f>IFERROR(VLOOKUP(B2069,'Pre-Summary'!$CR$6:$CT$36,3,FALSE),"")</f>
        <v/>
      </c>
      <c r="Z2069" s="45" t="str">
        <f>IFERROR(VLOOKUP(B2069,'Pre-Summary'!$BZ$6:$CB$63,2,FALSE),"")</f>
        <v/>
      </c>
      <c r="AA2069" s="45" t="str">
        <f>IFERROR(VLOOKUP(B2069,'Pre-Summary'!$CG$6:$CI$70,2,FALSE),"")</f>
        <v/>
      </c>
      <c r="AB2069" s="99">
        <f>IFERROR(VLOOKUP(B2069,'Pre-Summary'!$A$6:$P$178,9,FALSE),AB2070)</f>
        <v>0.34701634393754011</v>
      </c>
      <c r="AC2069" s="10">
        <f>IFERROR(VLOOKUP(Summary!B2069,'Pre-Summary'!$A$6:$P$184,5, FALSE)/100,AC2070)</f>
        <v>0.9815910000000001</v>
      </c>
      <c r="AD2069" s="10">
        <f>IFERROR(VLOOKUP(Summary!B2069,'Pre-Summary'!$A$6:$P$184,3, FALSE)/100,AD2070)</f>
        <v>1.2500666666666667E-2</v>
      </c>
      <c r="AE2069" s="10">
        <f>IFERROR(VLOOKUP(Summary!B2069,'Pre-Summary'!$A$6:$P$184,7, FALSE)/100,AE2070)</f>
        <v>5.9083333333333331E-3</v>
      </c>
      <c r="AF2069" s="99">
        <f t="shared" si="97"/>
        <v>4.3379356434485429E-3</v>
      </c>
      <c r="AG2069" s="99">
        <f t="shared" si="98"/>
        <v>2.0502882320976327E-3</v>
      </c>
      <c r="AH2069" s="10" t="str">
        <f>IFERROR(VLOOKUP(B2069,'Pre-Summary'!$AZ$6:$BE$65,3,FALSE),"")</f>
        <v/>
      </c>
      <c r="AI2069" s="10" t="str">
        <f>IFERROR(VLOOKUP(B2069,'Pre-Summary'!$AZ$6:$BE$65,5,FALSE),"")</f>
        <v/>
      </c>
      <c r="AJ2069" s="10" t="str">
        <f>IFERROR(VLOOKUP(B2069,'Pre-Summary'!$AZ$6:$BE$65,4,FALSE),"")</f>
        <v/>
      </c>
      <c r="AK2069" s="10" t="str">
        <f>IFERROR(VLOOKUP(B2069,'Pre-Summary'!$AZ$6:$BE$65,6,FALSE),"")</f>
        <v/>
      </c>
      <c r="AL2069" s="10" t="str">
        <f>IFERROR(VLOOKUP(B2069,'Pre-Summary'!$BG$6:$BL$44,3,FALSE),"")</f>
        <v/>
      </c>
      <c r="AM2069" s="10" t="str">
        <f>IFERROR(VLOOKUP(B2069,'Pre-Summary'!$BG$6:$BL$44,4,FALSE),"")</f>
        <v/>
      </c>
    </row>
    <row r="2070" spans="2:39" ht="15" customHeight="1" x14ac:dyDescent="0.3">
      <c r="B2070">
        <v>206.7</v>
      </c>
      <c r="C2070" t="str">
        <f>IFERROR(VLOOKUP(B2070,'Pre-Summary'!$DI$6:$DM$23,4,FALSE),"")</f>
        <v/>
      </c>
      <c r="D2070" s="10" t="str">
        <f>IFERROR(VLOOKUP(B2070,'Pre-Summary'!$AT$6:$AX$14,5,FALSE),D2069)</f>
        <v>Wolfe v3: went back to modified wolfe + EDTA and switched CuSO4 to CUCl2</v>
      </c>
      <c r="E2070" s="10" t="str">
        <f>IFERROR(VLOOKUP(B2070,'Pre-Summary'!$AT$6:$AX$15,4,FALSE),"")</f>
        <v/>
      </c>
      <c r="F2070">
        <f>IFERROR(VLOOKUP(B2070,'Pre-Summary'!$AL$6:$AQ$13,6,FALSE),F2069)</f>
        <v>5.9405263157894746E-2</v>
      </c>
      <c r="G2070" t="str">
        <f>IFERROR(VLOOKUP(B2070,'Pre-Summary'!$AE$6:$AJ$85,3,FALSE),"")</f>
        <v/>
      </c>
      <c r="H2070" t="str">
        <f>IFERROR(VLOOKUP(B2070,'Pre-Summary'!$AE$6:$AJ$85,4,FALSE),"")</f>
        <v/>
      </c>
      <c r="I2070" t="str">
        <f>IFERROR(VLOOKUP(B2070,'Pre-Summary'!$AE$6:$AJ$85,5,FALSE),"")</f>
        <v/>
      </c>
      <c r="J2070" s="45" t="str">
        <f>IFERROR(VLOOKUP(B2070,'Pre-Summary'!$AE$6:$AJ$85,6, FALSE),"")</f>
        <v/>
      </c>
      <c r="K2070" s="45" t="str">
        <f>IFERROR(VLOOKUP(B2070,'Pre-Summary'!$DE$6:$DG$61,3,FALSE),"")</f>
        <v/>
      </c>
      <c r="L2070" s="45" t="str">
        <f>IFERROR(VLOOKUP(B2070,'Pre-Summary'!$CU$6:$CW$36,3,FALSE),"")</f>
        <v/>
      </c>
      <c r="M2070" s="45" t="str">
        <f>IFERROR(VLOOKUP(B2070,'Pre-Summary'!$BW$6:$BY$58,2,FALSE),"")</f>
        <v/>
      </c>
      <c r="N2070" s="45" t="str">
        <f>IFERROR(VLOOKUP(B2070,'Pre-Summary'!$CD$6:$CF$64,2,FALSE),"")</f>
        <v/>
      </c>
      <c r="O2070" s="99">
        <f>IFERROR(VLOOKUP(B2070,'Pre-Summary'!$BO$6:$BQ$48,3, FALSE),O2069)</f>
        <v>1.3480000000000001</v>
      </c>
      <c r="P2070" s="99">
        <f>IFERROR(VLOOKUP(B2070,'Pre-Summary'!$BS$6:$BU$35,3,FALSE),P2069)</f>
        <v>0.379</v>
      </c>
      <c r="Q2070" s="54">
        <f t="shared" si="96"/>
        <v>3.556728232189974</v>
      </c>
      <c r="R2070" s="53">
        <f>IFERROR(VLOOKUP(B2070,'Pre-Summary'!$BG$6:$BM$44,7,FALSE),R2071)</f>
        <v>7.3789975262610413E-2</v>
      </c>
      <c r="S2070" s="53">
        <f>IFERROR(VLOOKUP(B2070,'Pre-Summary'!$BG$6:$BM$44,6,FALSE),S2071)</f>
        <v>5.2064631956901149E-2</v>
      </c>
      <c r="T2070" s="45" t="str">
        <f>IFERROR(VLOOKUP(B2070,'Pre-Summary'!$Y$6:$AC$83, 3,FALSE),"")</f>
        <v/>
      </c>
      <c r="U2070" s="45" t="str">
        <f>IFERROR(VLOOKUP(B2070,'Pre-Summary'!$Y$6:$AC$83, 4,FALSE),"")</f>
        <v/>
      </c>
      <c r="V2070" t="str">
        <f>IFERROR(VLOOKUP(B2070,'Pre-Summary'!$Y$6:$AC$83, 5,FALSE),"")</f>
        <v/>
      </c>
      <c r="W2070" s="45" t="str">
        <f>IFERROR(VLOOKUP(B2070,'Pre-Summary'!$Y$6:$AD$83,6,FALSE),"")</f>
        <v/>
      </c>
      <c r="X2070" t="str">
        <f>IFERROR(VLOOKUP('Pre-Summary'!$DB$6:$DD$63,3,FALSE),"")</f>
        <v/>
      </c>
      <c r="Y2070" t="str">
        <f>IFERROR(VLOOKUP(B2070,'Pre-Summary'!$CR$6:$CT$36,3,FALSE),"")</f>
        <v/>
      </c>
      <c r="Z2070" s="45" t="str">
        <f>IFERROR(VLOOKUP(B2070,'Pre-Summary'!$BZ$6:$CB$63,2,FALSE),"")</f>
        <v/>
      </c>
      <c r="AA2070" s="45" t="str">
        <f>IFERROR(VLOOKUP(B2070,'Pre-Summary'!$CG$6:$CI$70,2,FALSE),"")</f>
        <v/>
      </c>
      <c r="AB2070" s="99">
        <f>IFERROR(VLOOKUP(B2070,'Pre-Summary'!$A$6:$P$178,9,FALSE),AB2071)</f>
        <v>0.34701634393754011</v>
      </c>
      <c r="AC2070" s="10">
        <f>IFERROR(VLOOKUP(Summary!B2070,'Pre-Summary'!$A$6:$P$184,5, FALSE)/100,AC2071)</f>
        <v>0.9815910000000001</v>
      </c>
      <c r="AD2070" s="10">
        <f>IFERROR(VLOOKUP(Summary!B2070,'Pre-Summary'!$A$6:$P$184,3, FALSE)/100,AD2071)</f>
        <v>1.2500666666666667E-2</v>
      </c>
      <c r="AE2070" s="10">
        <f>IFERROR(VLOOKUP(Summary!B2070,'Pre-Summary'!$A$6:$P$184,7, FALSE)/100,AE2071)</f>
        <v>5.9083333333333331E-3</v>
      </c>
      <c r="AF2070" s="99">
        <f t="shared" si="97"/>
        <v>4.3379356434485429E-3</v>
      </c>
      <c r="AG2070" s="99">
        <f t="shared" si="98"/>
        <v>2.0502882320976327E-3</v>
      </c>
      <c r="AH2070" s="10" t="str">
        <f>IFERROR(VLOOKUP(B2070,'Pre-Summary'!$AZ$6:$BE$65,3,FALSE),"")</f>
        <v/>
      </c>
      <c r="AI2070" s="10" t="str">
        <f>IFERROR(VLOOKUP(B2070,'Pre-Summary'!$AZ$6:$BE$65,5,FALSE),"")</f>
        <v/>
      </c>
      <c r="AJ2070" s="10" t="str">
        <f>IFERROR(VLOOKUP(B2070,'Pre-Summary'!$AZ$6:$BE$65,4,FALSE),"")</f>
        <v/>
      </c>
      <c r="AK2070" s="10" t="str">
        <f>IFERROR(VLOOKUP(B2070,'Pre-Summary'!$AZ$6:$BE$65,6,FALSE),"")</f>
        <v/>
      </c>
      <c r="AL2070" s="10" t="str">
        <f>IFERROR(VLOOKUP(B2070,'Pre-Summary'!$BG$6:$BL$44,3,FALSE),"")</f>
        <v/>
      </c>
      <c r="AM2070" s="10" t="str">
        <f>IFERROR(VLOOKUP(B2070,'Pre-Summary'!$BG$6:$BL$44,4,FALSE),"")</f>
        <v/>
      </c>
    </row>
    <row r="2071" spans="2:39" ht="15" customHeight="1" x14ac:dyDescent="0.3">
      <c r="B2071">
        <v>206.8</v>
      </c>
      <c r="C2071" t="str">
        <f>IFERROR(VLOOKUP(B2071,'Pre-Summary'!$DI$6:$DM$23,4,FALSE),"")</f>
        <v/>
      </c>
      <c r="D2071" s="10" t="str">
        <f>IFERROR(VLOOKUP(B2071,'Pre-Summary'!$AT$6:$AX$14,5,FALSE),D2070)</f>
        <v>Wolfe v3: went back to modified wolfe + EDTA and switched CuSO4 to CUCl2</v>
      </c>
      <c r="E2071" s="10" t="str">
        <f>IFERROR(VLOOKUP(B2071,'Pre-Summary'!$AT$6:$AX$15,4,FALSE),"")</f>
        <v/>
      </c>
      <c r="F2071">
        <f>IFERROR(VLOOKUP(B2071,'Pre-Summary'!$AL$6:$AQ$13,6,FALSE),F2070)</f>
        <v>5.9405263157894746E-2</v>
      </c>
      <c r="G2071" t="str">
        <f>IFERROR(VLOOKUP(B2071,'Pre-Summary'!$AE$6:$AJ$85,3,FALSE),"")</f>
        <v/>
      </c>
      <c r="H2071" t="str">
        <f>IFERROR(VLOOKUP(B2071,'Pre-Summary'!$AE$6:$AJ$85,4,FALSE),"")</f>
        <v/>
      </c>
      <c r="I2071" t="str">
        <f>IFERROR(VLOOKUP(B2071,'Pre-Summary'!$AE$6:$AJ$85,5,FALSE),"")</f>
        <v/>
      </c>
      <c r="J2071" s="45" t="str">
        <f>IFERROR(VLOOKUP(B2071,'Pre-Summary'!$AE$6:$AJ$85,6, FALSE),"")</f>
        <v/>
      </c>
      <c r="K2071" s="45" t="str">
        <f>IFERROR(VLOOKUP(B2071,'Pre-Summary'!$DE$6:$DG$61,3,FALSE),"")</f>
        <v/>
      </c>
      <c r="L2071" s="45" t="str">
        <f>IFERROR(VLOOKUP(B2071,'Pre-Summary'!$CU$6:$CW$36,3,FALSE),"")</f>
        <v/>
      </c>
      <c r="M2071" s="45" t="str">
        <f>IFERROR(VLOOKUP(B2071,'Pre-Summary'!$BW$6:$BY$58,2,FALSE),"")</f>
        <v/>
      </c>
      <c r="N2071" s="45" t="str">
        <f>IFERROR(VLOOKUP(B2071,'Pre-Summary'!$CD$6:$CF$64,2,FALSE),"")</f>
        <v/>
      </c>
      <c r="O2071" s="99">
        <f>IFERROR(VLOOKUP(B2071,'Pre-Summary'!$BO$6:$BQ$48,3, FALSE),O2070)</f>
        <v>1.3480000000000001</v>
      </c>
      <c r="P2071" s="99">
        <f>IFERROR(VLOOKUP(B2071,'Pre-Summary'!$BS$6:$BU$35,3,FALSE),P2070)</f>
        <v>0.379</v>
      </c>
      <c r="Q2071" s="54">
        <f t="shared" si="96"/>
        <v>3.556728232189974</v>
      </c>
      <c r="R2071" s="53">
        <f>IFERROR(VLOOKUP(B2071,'Pre-Summary'!$BG$6:$BM$44,7,FALSE),R2072)</f>
        <v>7.3789975262610413E-2</v>
      </c>
      <c r="S2071" s="53">
        <f>IFERROR(VLOOKUP(B2071,'Pre-Summary'!$BG$6:$BM$44,6,FALSE),S2072)</f>
        <v>5.2064631956901149E-2</v>
      </c>
      <c r="T2071" s="45" t="str">
        <f>IFERROR(VLOOKUP(B2071,'Pre-Summary'!$Y$6:$AC$83, 3,FALSE),"")</f>
        <v/>
      </c>
      <c r="U2071" s="45" t="str">
        <f>IFERROR(VLOOKUP(B2071,'Pre-Summary'!$Y$6:$AC$83, 4,FALSE),"")</f>
        <v/>
      </c>
      <c r="V2071" t="str">
        <f>IFERROR(VLOOKUP(B2071,'Pre-Summary'!$Y$6:$AC$83, 5,FALSE),"")</f>
        <v/>
      </c>
      <c r="W2071" s="45" t="str">
        <f>IFERROR(VLOOKUP(B2071,'Pre-Summary'!$Y$6:$AD$83,6,FALSE),"")</f>
        <v/>
      </c>
      <c r="X2071" t="str">
        <f>IFERROR(VLOOKUP('Pre-Summary'!$DB$6:$DD$63,3,FALSE),"")</f>
        <v/>
      </c>
      <c r="Y2071" t="str">
        <f>IFERROR(VLOOKUP(B2071,'Pre-Summary'!$CR$6:$CT$36,3,FALSE),"")</f>
        <v/>
      </c>
      <c r="Z2071" s="45" t="str">
        <f>IFERROR(VLOOKUP(B2071,'Pre-Summary'!$BZ$6:$CB$63,2,FALSE),"")</f>
        <v/>
      </c>
      <c r="AA2071" s="45" t="str">
        <f>IFERROR(VLOOKUP(B2071,'Pre-Summary'!$CG$6:$CI$70,2,FALSE),"")</f>
        <v/>
      </c>
      <c r="AB2071" s="99">
        <f>IFERROR(VLOOKUP(B2071,'Pre-Summary'!$A$6:$P$178,9,FALSE),AB2072)</f>
        <v>0.34701634393754011</v>
      </c>
      <c r="AC2071" s="10">
        <f>IFERROR(VLOOKUP(Summary!B2071,'Pre-Summary'!$A$6:$P$184,5, FALSE)/100,AC2072)</f>
        <v>0.9815910000000001</v>
      </c>
      <c r="AD2071" s="10">
        <f>IFERROR(VLOOKUP(Summary!B2071,'Pre-Summary'!$A$6:$P$184,3, FALSE)/100,AD2072)</f>
        <v>1.2500666666666667E-2</v>
      </c>
      <c r="AE2071" s="10">
        <f>IFERROR(VLOOKUP(Summary!B2071,'Pre-Summary'!$A$6:$P$184,7, FALSE)/100,AE2072)</f>
        <v>5.9083333333333331E-3</v>
      </c>
      <c r="AF2071" s="99">
        <f t="shared" si="97"/>
        <v>4.3379356434485429E-3</v>
      </c>
      <c r="AG2071" s="99">
        <f t="shared" si="98"/>
        <v>2.0502882320976327E-3</v>
      </c>
      <c r="AH2071" s="10" t="str">
        <f>IFERROR(VLOOKUP(B2071,'Pre-Summary'!$AZ$6:$BE$65,3,FALSE),"")</f>
        <v/>
      </c>
      <c r="AI2071" s="10" t="str">
        <f>IFERROR(VLOOKUP(B2071,'Pre-Summary'!$AZ$6:$BE$65,5,FALSE),"")</f>
        <v/>
      </c>
      <c r="AJ2071" s="10" t="str">
        <f>IFERROR(VLOOKUP(B2071,'Pre-Summary'!$AZ$6:$BE$65,4,FALSE),"")</f>
        <v/>
      </c>
      <c r="AK2071" s="10" t="str">
        <f>IFERROR(VLOOKUP(B2071,'Pre-Summary'!$AZ$6:$BE$65,6,FALSE),"")</f>
        <v/>
      </c>
      <c r="AL2071" s="10" t="str">
        <f>IFERROR(VLOOKUP(B2071,'Pre-Summary'!$BG$6:$BL$44,3,FALSE),"")</f>
        <v/>
      </c>
      <c r="AM2071" s="10" t="str">
        <f>IFERROR(VLOOKUP(B2071,'Pre-Summary'!$BG$6:$BL$44,4,FALSE),"")</f>
        <v/>
      </c>
    </row>
    <row r="2072" spans="2:39" ht="15" customHeight="1" x14ac:dyDescent="0.3">
      <c r="B2072">
        <v>206.9</v>
      </c>
      <c r="C2072" t="str">
        <f>IFERROR(VLOOKUP(B2072,'Pre-Summary'!$DI$6:$DM$23,4,FALSE),"")</f>
        <v/>
      </c>
      <c r="D2072" s="10" t="str">
        <f>IFERROR(VLOOKUP(B2072,'Pre-Summary'!$AT$6:$AX$14,5,FALSE),D2071)</f>
        <v>Wolfe v3: went back to modified wolfe + EDTA and switched CuSO4 to CUCl2</v>
      </c>
      <c r="E2072" s="10" t="str">
        <f>IFERROR(VLOOKUP(B2072,'Pre-Summary'!$AT$6:$AX$15,4,FALSE),"")</f>
        <v/>
      </c>
      <c r="F2072">
        <f>IFERROR(VLOOKUP(B2072,'Pre-Summary'!$AL$6:$AQ$13,6,FALSE),F2071)</f>
        <v>5.9405263157894746E-2</v>
      </c>
      <c r="G2072" t="str">
        <f>IFERROR(VLOOKUP(B2072,'Pre-Summary'!$AE$6:$AJ$85,3,FALSE),"")</f>
        <v/>
      </c>
      <c r="H2072" t="str">
        <f>IFERROR(VLOOKUP(B2072,'Pre-Summary'!$AE$6:$AJ$85,4,FALSE),"")</f>
        <v/>
      </c>
      <c r="I2072" t="str">
        <f>IFERROR(VLOOKUP(B2072,'Pre-Summary'!$AE$6:$AJ$85,5,FALSE),"")</f>
        <v/>
      </c>
      <c r="J2072" s="45" t="str">
        <f>IFERROR(VLOOKUP(B2072,'Pre-Summary'!$AE$6:$AJ$85,6, FALSE),"")</f>
        <v/>
      </c>
      <c r="K2072" s="45" t="str">
        <f>IFERROR(VLOOKUP(B2072,'Pre-Summary'!$DE$6:$DG$61,3,FALSE),"")</f>
        <v/>
      </c>
      <c r="L2072" s="45" t="str">
        <f>IFERROR(VLOOKUP(B2072,'Pre-Summary'!$CU$6:$CW$36,3,FALSE),"")</f>
        <v/>
      </c>
      <c r="M2072" s="45" t="str">
        <f>IFERROR(VLOOKUP(B2072,'Pre-Summary'!$BW$6:$BY$58,2,FALSE),"")</f>
        <v/>
      </c>
      <c r="N2072" s="45" t="str">
        <f>IFERROR(VLOOKUP(B2072,'Pre-Summary'!$CD$6:$CF$64,2,FALSE),"")</f>
        <v/>
      </c>
      <c r="O2072" s="99">
        <f>IFERROR(VLOOKUP(B2072,'Pre-Summary'!$BO$6:$BQ$48,3, FALSE),O2071)</f>
        <v>1.3480000000000001</v>
      </c>
      <c r="P2072" s="99">
        <f>IFERROR(VLOOKUP(B2072,'Pre-Summary'!$BS$6:$BU$35,3,FALSE),P2071)</f>
        <v>0.379</v>
      </c>
      <c r="Q2072" s="54">
        <f t="shared" si="96"/>
        <v>3.556728232189974</v>
      </c>
      <c r="R2072" s="53">
        <f>IFERROR(VLOOKUP(B2072,'Pre-Summary'!$BG$6:$BM$44,7,FALSE),R2073)</f>
        <v>7.3789975262610413E-2</v>
      </c>
      <c r="S2072" s="53">
        <f>IFERROR(VLOOKUP(B2072,'Pre-Summary'!$BG$6:$BM$44,6,FALSE),S2073)</f>
        <v>5.2064631956901149E-2</v>
      </c>
      <c r="T2072" s="45" t="str">
        <f>IFERROR(VLOOKUP(B2072,'Pre-Summary'!$Y$6:$AC$83, 3,FALSE),"")</f>
        <v/>
      </c>
      <c r="U2072" s="45" t="str">
        <f>IFERROR(VLOOKUP(B2072,'Pre-Summary'!$Y$6:$AC$83, 4,FALSE),"")</f>
        <v/>
      </c>
      <c r="V2072" t="str">
        <f>IFERROR(VLOOKUP(B2072,'Pre-Summary'!$Y$6:$AC$83, 5,FALSE),"")</f>
        <v/>
      </c>
      <c r="W2072" s="45" t="str">
        <f>IFERROR(VLOOKUP(B2072,'Pre-Summary'!$Y$6:$AD$83,6,FALSE),"")</f>
        <v/>
      </c>
      <c r="X2072" t="str">
        <f>IFERROR(VLOOKUP('Pre-Summary'!$DB$6:$DD$63,3,FALSE),"")</f>
        <v/>
      </c>
      <c r="Y2072" t="str">
        <f>IFERROR(VLOOKUP(B2072,'Pre-Summary'!$CR$6:$CT$36,3,FALSE),"")</f>
        <v/>
      </c>
      <c r="Z2072" s="45" t="str">
        <f>IFERROR(VLOOKUP(B2072,'Pre-Summary'!$BZ$6:$CB$63,2,FALSE),"")</f>
        <v/>
      </c>
      <c r="AA2072" s="45" t="str">
        <f>IFERROR(VLOOKUP(B2072,'Pre-Summary'!$CG$6:$CI$70,2,FALSE),"")</f>
        <v/>
      </c>
      <c r="AB2072" s="99">
        <f>IFERROR(VLOOKUP(B2072,'Pre-Summary'!$A$6:$P$178,9,FALSE),AB2073)</f>
        <v>0.34701634393754011</v>
      </c>
      <c r="AC2072" s="10">
        <f>IFERROR(VLOOKUP(Summary!B2072,'Pre-Summary'!$A$6:$P$184,5, FALSE)/100,AC2073)</f>
        <v>0.9815910000000001</v>
      </c>
      <c r="AD2072" s="10">
        <f>IFERROR(VLOOKUP(Summary!B2072,'Pre-Summary'!$A$6:$P$184,3, FALSE)/100,AD2073)</f>
        <v>1.2500666666666667E-2</v>
      </c>
      <c r="AE2072" s="10">
        <f>IFERROR(VLOOKUP(Summary!B2072,'Pre-Summary'!$A$6:$P$184,7, FALSE)/100,AE2073)</f>
        <v>5.9083333333333331E-3</v>
      </c>
      <c r="AF2072" s="99">
        <f t="shared" si="97"/>
        <v>4.3379356434485429E-3</v>
      </c>
      <c r="AG2072" s="99">
        <f t="shared" si="98"/>
        <v>2.0502882320976327E-3</v>
      </c>
      <c r="AH2072" s="10" t="str">
        <f>IFERROR(VLOOKUP(B2072,'Pre-Summary'!$AZ$6:$BE$65,3,FALSE),"")</f>
        <v/>
      </c>
      <c r="AI2072" s="10" t="str">
        <f>IFERROR(VLOOKUP(B2072,'Pre-Summary'!$AZ$6:$BE$65,5,FALSE),"")</f>
        <v/>
      </c>
      <c r="AJ2072" s="10" t="str">
        <f>IFERROR(VLOOKUP(B2072,'Pre-Summary'!$AZ$6:$BE$65,4,FALSE),"")</f>
        <v/>
      </c>
      <c r="AK2072" s="10" t="str">
        <f>IFERROR(VLOOKUP(B2072,'Pre-Summary'!$AZ$6:$BE$65,6,FALSE),"")</f>
        <v/>
      </c>
      <c r="AL2072" s="10" t="str">
        <f>IFERROR(VLOOKUP(B2072,'Pre-Summary'!$BG$6:$BL$44,3,FALSE),"")</f>
        <v/>
      </c>
      <c r="AM2072" s="10" t="str">
        <f>IFERROR(VLOOKUP(B2072,'Pre-Summary'!$BG$6:$BL$44,4,FALSE),"")</f>
        <v/>
      </c>
    </row>
    <row r="2073" spans="2:39" ht="15" customHeight="1" x14ac:dyDescent="0.3">
      <c r="B2073">
        <v>207</v>
      </c>
      <c r="C2073" t="str">
        <f>IFERROR(VLOOKUP(B2073,'Pre-Summary'!$DI$6:$DM$23,4,FALSE),"")</f>
        <v/>
      </c>
      <c r="D2073" s="10" t="str">
        <f>IFERROR(VLOOKUP(B2073,'Pre-Summary'!$AT$6:$AX$14,5,FALSE),D2072)</f>
        <v>Wolfe v3: went back to modified wolfe + EDTA and switched CuSO4 to CUCl2</v>
      </c>
      <c r="E2073" s="10" t="str">
        <f>IFERROR(VLOOKUP(B2073,'Pre-Summary'!$AT$6:$AX$15,4,FALSE),"")</f>
        <v/>
      </c>
      <c r="F2073">
        <f>IFERROR(VLOOKUP(B2073,'Pre-Summary'!$AL$6:$AQ$13,6,FALSE),F2072)</f>
        <v>5.9405263157894746E-2</v>
      </c>
      <c r="G2073" t="str">
        <f>IFERROR(VLOOKUP(B2073,'Pre-Summary'!$AE$6:$AJ$85,3,FALSE),"")</f>
        <v/>
      </c>
      <c r="H2073" t="str">
        <f>IFERROR(VLOOKUP(B2073,'Pre-Summary'!$AE$6:$AJ$85,4,FALSE),"")</f>
        <v/>
      </c>
      <c r="I2073" t="str">
        <f>IFERROR(VLOOKUP(B2073,'Pre-Summary'!$AE$6:$AJ$85,5,FALSE),"")</f>
        <v/>
      </c>
      <c r="J2073" s="45" t="str">
        <f>IFERROR(VLOOKUP(B2073,'Pre-Summary'!$AE$6:$AJ$85,6, FALSE),"")</f>
        <v/>
      </c>
      <c r="K2073" s="45" t="str">
        <f>IFERROR(VLOOKUP(B2073,'Pre-Summary'!$DE$6:$DG$61,3,FALSE),"")</f>
        <v/>
      </c>
      <c r="L2073" s="45" t="str">
        <f>IFERROR(VLOOKUP(B2073,'Pre-Summary'!$CU$6:$CW$36,3,FALSE),"")</f>
        <v/>
      </c>
      <c r="M2073" s="45" t="str">
        <f>IFERROR(VLOOKUP(B2073,'Pre-Summary'!$BW$6:$BY$58,2,FALSE),"")</f>
        <v/>
      </c>
      <c r="N2073" s="45" t="str">
        <f>IFERROR(VLOOKUP(B2073,'Pre-Summary'!$CD$6:$CF$64,2,FALSE),"")</f>
        <v/>
      </c>
      <c r="O2073" s="99">
        <f>IFERROR(VLOOKUP(B2073,'Pre-Summary'!$BO$6:$BQ$48,3, FALSE),O2072)</f>
        <v>1.3480000000000001</v>
      </c>
      <c r="P2073" s="99">
        <f>IFERROR(VLOOKUP(B2073,'Pre-Summary'!$BS$6:$BU$35,3,FALSE),P2072)</f>
        <v>0.379</v>
      </c>
      <c r="Q2073" s="54">
        <f t="shared" si="96"/>
        <v>3.556728232189974</v>
      </c>
      <c r="R2073" s="53">
        <f>IFERROR(VLOOKUP(B2073,'Pre-Summary'!$BG$6:$BM$44,7,FALSE),R2074)</f>
        <v>7.3789975262610413E-2</v>
      </c>
      <c r="S2073" s="53">
        <f>IFERROR(VLOOKUP(B2073,'Pre-Summary'!$BG$6:$BM$44,6,FALSE),S2074)</f>
        <v>5.2064631956901149E-2</v>
      </c>
      <c r="T2073" s="45" t="str">
        <f>IFERROR(VLOOKUP(B2073,'Pre-Summary'!$Y$6:$AC$83, 3,FALSE),"")</f>
        <v/>
      </c>
      <c r="U2073" s="45" t="str">
        <f>IFERROR(VLOOKUP(B2073,'Pre-Summary'!$Y$6:$AC$83, 4,FALSE),"")</f>
        <v/>
      </c>
      <c r="V2073" t="str">
        <f>IFERROR(VLOOKUP(B2073,'Pre-Summary'!$Y$6:$AC$83, 5,FALSE),"")</f>
        <v/>
      </c>
      <c r="W2073" s="45" t="str">
        <f>IFERROR(VLOOKUP(B2073,'Pre-Summary'!$Y$6:$AD$83,6,FALSE),"")</f>
        <v/>
      </c>
      <c r="X2073" t="str">
        <f>IFERROR(VLOOKUP('Pre-Summary'!$DB$6:$DD$63,3,FALSE),"")</f>
        <v/>
      </c>
      <c r="Y2073" t="str">
        <f>IFERROR(VLOOKUP(B2073,'Pre-Summary'!$CR$6:$CT$36,3,FALSE),"")</f>
        <v/>
      </c>
      <c r="Z2073" s="45" t="str">
        <f>IFERROR(VLOOKUP(B2073,'Pre-Summary'!$BZ$6:$CB$63,2,FALSE),"")</f>
        <v/>
      </c>
      <c r="AA2073" s="45" t="str">
        <f>IFERROR(VLOOKUP(B2073,'Pre-Summary'!$CG$6:$CI$70,2,FALSE),"")</f>
        <v/>
      </c>
      <c r="AB2073" s="99">
        <f>IFERROR(VLOOKUP(B2073,'Pre-Summary'!$A$6:$P$178,9,FALSE),AB2074)</f>
        <v>0.34701634393754011</v>
      </c>
      <c r="AC2073" s="10">
        <f>IFERROR(VLOOKUP(Summary!B2073,'Pre-Summary'!$A$6:$P$184,5, FALSE)/100,AC2074)</f>
        <v>0.9815910000000001</v>
      </c>
      <c r="AD2073" s="10">
        <f>IFERROR(VLOOKUP(Summary!B2073,'Pre-Summary'!$A$6:$P$184,3, FALSE)/100,AD2074)</f>
        <v>1.2500666666666667E-2</v>
      </c>
      <c r="AE2073" s="10">
        <f>IFERROR(VLOOKUP(Summary!B2073,'Pre-Summary'!$A$6:$P$184,7, FALSE)/100,AE2074)</f>
        <v>5.9083333333333331E-3</v>
      </c>
      <c r="AF2073" s="99">
        <f t="shared" si="97"/>
        <v>4.3379356434485429E-3</v>
      </c>
      <c r="AG2073" s="99">
        <f t="shared" si="98"/>
        <v>2.0502882320976327E-3</v>
      </c>
      <c r="AH2073" s="10" t="str">
        <f>IFERROR(VLOOKUP(B2073,'Pre-Summary'!$AZ$6:$BE$65,3,FALSE),"")</f>
        <v/>
      </c>
      <c r="AI2073" s="10" t="str">
        <f>IFERROR(VLOOKUP(B2073,'Pre-Summary'!$AZ$6:$BE$65,5,FALSE),"")</f>
        <v/>
      </c>
      <c r="AJ2073" s="10" t="str">
        <f>IFERROR(VLOOKUP(B2073,'Pre-Summary'!$AZ$6:$BE$65,4,FALSE),"")</f>
        <v/>
      </c>
      <c r="AK2073" s="10" t="str">
        <f>IFERROR(VLOOKUP(B2073,'Pre-Summary'!$AZ$6:$BE$65,6,FALSE),"")</f>
        <v/>
      </c>
      <c r="AL2073" s="10" t="str">
        <f>IFERROR(VLOOKUP(B2073,'Pre-Summary'!$BG$6:$BL$44,3,FALSE),"")</f>
        <v/>
      </c>
      <c r="AM2073" s="10" t="str">
        <f>IFERROR(VLOOKUP(B2073,'Pre-Summary'!$BG$6:$BL$44,4,FALSE),"")</f>
        <v/>
      </c>
    </row>
    <row r="2074" spans="2:39" ht="15" customHeight="1" x14ac:dyDescent="0.3">
      <c r="B2074">
        <v>207.1</v>
      </c>
      <c r="C2074" t="str">
        <f>IFERROR(VLOOKUP(B2074,'Pre-Summary'!$DI$6:$DM$23,4,FALSE),"")</f>
        <v/>
      </c>
      <c r="D2074" s="10" t="str">
        <f>IFERROR(VLOOKUP(B2074,'Pre-Summary'!$AT$6:$AX$14,5,FALSE),D2073)</f>
        <v>Wolfe v3: went back to modified wolfe + EDTA and switched CuSO4 to CUCl2</v>
      </c>
      <c r="E2074" s="10" t="str">
        <f>IFERROR(VLOOKUP(B2074,'Pre-Summary'!$AT$6:$AX$15,4,FALSE),"")</f>
        <v/>
      </c>
      <c r="F2074">
        <f>IFERROR(VLOOKUP(B2074,'Pre-Summary'!$AL$6:$AQ$13,6,FALSE),F2073)</f>
        <v>5.9405263157894746E-2</v>
      </c>
      <c r="G2074" t="str">
        <f>IFERROR(VLOOKUP(B2074,'Pre-Summary'!$AE$6:$AJ$85,3,FALSE),"")</f>
        <v/>
      </c>
      <c r="H2074" t="str">
        <f>IFERROR(VLOOKUP(B2074,'Pre-Summary'!$AE$6:$AJ$85,4,FALSE),"")</f>
        <v/>
      </c>
      <c r="I2074" t="str">
        <f>IFERROR(VLOOKUP(B2074,'Pre-Summary'!$AE$6:$AJ$85,5,FALSE),"")</f>
        <v/>
      </c>
      <c r="J2074" s="45" t="str">
        <f>IFERROR(VLOOKUP(B2074,'Pre-Summary'!$AE$6:$AJ$85,6, FALSE),"")</f>
        <v/>
      </c>
      <c r="K2074" s="45" t="str">
        <f>IFERROR(VLOOKUP(B2074,'Pre-Summary'!$DE$6:$DG$61,3,FALSE),"")</f>
        <v/>
      </c>
      <c r="L2074" s="45" t="str">
        <f>IFERROR(VLOOKUP(B2074,'Pre-Summary'!$CU$6:$CW$36,3,FALSE),"")</f>
        <v/>
      </c>
      <c r="M2074" s="45" t="str">
        <f>IFERROR(VLOOKUP(B2074,'Pre-Summary'!$BW$6:$BY$58,2,FALSE),"")</f>
        <v/>
      </c>
      <c r="N2074" s="45" t="str">
        <f>IFERROR(VLOOKUP(B2074,'Pre-Summary'!$CD$6:$CF$64,2,FALSE),"")</f>
        <v/>
      </c>
      <c r="O2074" s="99">
        <f>IFERROR(VLOOKUP(B2074,'Pre-Summary'!$BO$6:$BQ$48,3, FALSE),O2073)</f>
        <v>1.3480000000000001</v>
      </c>
      <c r="P2074" s="99">
        <f>IFERROR(VLOOKUP(B2074,'Pre-Summary'!$BS$6:$BU$35,3,FALSE),P2073)</f>
        <v>0.379</v>
      </c>
      <c r="Q2074" s="54">
        <f t="shared" si="96"/>
        <v>3.556728232189974</v>
      </c>
      <c r="R2074" s="53">
        <f>IFERROR(VLOOKUP(B2074,'Pre-Summary'!$BG$6:$BM$44,7,FALSE),R2075)</f>
        <v>7.3789975262610413E-2</v>
      </c>
      <c r="S2074" s="53">
        <f>IFERROR(VLOOKUP(B2074,'Pre-Summary'!$BG$6:$BM$44,6,FALSE),S2075)</f>
        <v>5.2064631956901149E-2</v>
      </c>
      <c r="T2074" s="45" t="str">
        <f>IFERROR(VLOOKUP(B2074,'Pre-Summary'!$Y$6:$AC$83, 3,FALSE),"")</f>
        <v/>
      </c>
      <c r="U2074" s="45" t="str">
        <f>IFERROR(VLOOKUP(B2074,'Pre-Summary'!$Y$6:$AC$83, 4,FALSE),"")</f>
        <v/>
      </c>
      <c r="V2074" t="str">
        <f>IFERROR(VLOOKUP(B2074,'Pre-Summary'!$Y$6:$AC$83, 5,FALSE),"")</f>
        <v/>
      </c>
      <c r="W2074" s="45" t="str">
        <f>IFERROR(VLOOKUP(B2074,'Pre-Summary'!$Y$6:$AD$83,6,FALSE),"")</f>
        <v/>
      </c>
      <c r="X2074" t="str">
        <f>IFERROR(VLOOKUP('Pre-Summary'!$DB$6:$DD$63,3,FALSE),"")</f>
        <v/>
      </c>
      <c r="Y2074" t="str">
        <f>IFERROR(VLOOKUP(B2074,'Pre-Summary'!$CR$6:$CT$36,3,FALSE),"")</f>
        <v/>
      </c>
      <c r="Z2074" s="45" t="str">
        <f>IFERROR(VLOOKUP(B2074,'Pre-Summary'!$BZ$6:$CB$63,2,FALSE),"")</f>
        <v/>
      </c>
      <c r="AA2074" s="45" t="str">
        <f>IFERROR(VLOOKUP(B2074,'Pre-Summary'!$CG$6:$CI$70,2,FALSE),"")</f>
        <v/>
      </c>
      <c r="AB2074" s="99">
        <f>IFERROR(VLOOKUP(B2074,'Pre-Summary'!$A$6:$P$178,9,FALSE),AB2075)</f>
        <v>0.34701634393754011</v>
      </c>
      <c r="AC2074" s="10">
        <f>IFERROR(VLOOKUP(Summary!B2074,'Pre-Summary'!$A$6:$P$184,5, FALSE)/100,AC2075)</f>
        <v>0.9815910000000001</v>
      </c>
      <c r="AD2074" s="10">
        <f>IFERROR(VLOOKUP(Summary!B2074,'Pre-Summary'!$A$6:$P$184,3, FALSE)/100,AD2075)</f>
        <v>1.2500666666666667E-2</v>
      </c>
      <c r="AE2074" s="10">
        <f>IFERROR(VLOOKUP(Summary!B2074,'Pre-Summary'!$A$6:$P$184,7, FALSE)/100,AE2075)</f>
        <v>5.9083333333333331E-3</v>
      </c>
      <c r="AF2074" s="99">
        <f t="shared" si="97"/>
        <v>4.3379356434485429E-3</v>
      </c>
      <c r="AG2074" s="99">
        <f t="shared" si="98"/>
        <v>2.0502882320976327E-3</v>
      </c>
      <c r="AH2074" s="10" t="str">
        <f>IFERROR(VLOOKUP(B2074,'Pre-Summary'!$AZ$6:$BE$65,3,FALSE),"")</f>
        <v/>
      </c>
      <c r="AI2074" s="10" t="str">
        <f>IFERROR(VLOOKUP(B2074,'Pre-Summary'!$AZ$6:$BE$65,5,FALSE),"")</f>
        <v/>
      </c>
      <c r="AJ2074" s="10" t="str">
        <f>IFERROR(VLOOKUP(B2074,'Pre-Summary'!$AZ$6:$BE$65,4,FALSE),"")</f>
        <v/>
      </c>
      <c r="AK2074" s="10" t="str">
        <f>IFERROR(VLOOKUP(B2074,'Pre-Summary'!$AZ$6:$BE$65,6,FALSE),"")</f>
        <v/>
      </c>
      <c r="AL2074" s="10" t="str">
        <f>IFERROR(VLOOKUP(B2074,'Pre-Summary'!$BG$6:$BL$44,3,FALSE),"")</f>
        <v/>
      </c>
      <c r="AM2074" s="10" t="str">
        <f>IFERROR(VLOOKUP(B2074,'Pre-Summary'!$BG$6:$BL$44,4,FALSE),"")</f>
        <v/>
      </c>
    </row>
    <row r="2075" spans="2:39" ht="15" customHeight="1" x14ac:dyDescent="0.3">
      <c r="B2075">
        <v>207.2</v>
      </c>
      <c r="C2075" t="str">
        <f>IFERROR(VLOOKUP(B2075,'Pre-Summary'!$DI$6:$DM$23,4,FALSE),"")</f>
        <v/>
      </c>
      <c r="D2075" s="10" t="str">
        <f>IFERROR(VLOOKUP(B2075,'Pre-Summary'!$AT$6:$AX$14,5,FALSE),D2074)</f>
        <v>Wolfe v3: went back to modified wolfe + EDTA and switched CuSO4 to CUCl2</v>
      </c>
      <c r="E2075" s="10" t="str">
        <f>IFERROR(VLOOKUP(B2075,'Pre-Summary'!$AT$6:$AX$15,4,FALSE),"")</f>
        <v/>
      </c>
      <c r="F2075">
        <f>IFERROR(VLOOKUP(B2075,'Pre-Summary'!$AL$6:$AQ$13,6,FALSE),F2074)</f>
        <v>5.9405263157894746E-2</v>
      </c>
      <c r="G2075" t="str">
        <f>IFERROR(VLOOKUP(B2075,'Pre-Summary'!$AE$6:$AJ$85,3,FALSE),"")</f>
        <v/>
      </c>
      <c r="H2075" t="str">
        <f>IFERROR(VLOOKUP(B2075,'Pre-Summary'!$AE$6:$AJ$85,4,FALSE),"")</f>
        <v/>
      </c>
      <c r="I2075" t="str">
        <f>IFERROR(VLOOKUP(B2075,'Pre-Summary'!$AE$6:$AJ$85,5,FALSE),"")</f>
        <v/>
      </c>
      <c r="J2075" s="45" t="str">
        <f>IFERROR(VLOOKUP(B2075,'Pre-Summary'!$AE$6:$AJ$85,6, FALSE),"")</f>
        <v/>
      </c>
      <c r="K2075" s="45" t="str">
        <f>IFERROR(VLOOKUP(B2075,'Pre-Summary'!$DE$6:$DG$61,3,FALSE),"")</f>
        <v/>
      </c>
      <c r="L2075" s="45" t="str">
        <f>IFERROR(VLOOKUP(B2075,'Pre-Summary'!$CU$6:$CW$36,3,FALSE),"")</f>
        <v/>
      </c>
      <c r="M2075" s="45" t="str">
        <f>IFERROR(VLOOKUP(B2075,'Pre-Summary'!$BW$6:$BY$58,2,FALSE),"")</f>
        <v/>
      </c>
      <c r="N2075" s="45" t="str">
        <f>IFERROR(VLOOKUP(B2075,'Pre-Summary'!$CD$6:$CF$64,2,FALSE),"")</f>
        <v/>
      </c>
      <c r="O2075" s="99">
        <f>IFERROR(VLOOKUP(B2075,'Pre-Summary'!$BO$6:$BQ$48,3, FALSE),O2074)</f>
        <v>1.3480000000000001</v>
      </c>
      <c r="P2075" s="99">
        <f>IFERROR(VLOOKUP(B2075,'Pre-Summary'!$BS$6:$BU$35,3,FALSE),P2074)</f>
        <v>0.379</v>
      </c>
      <c r="Q2075" s="54">
        <f t="shared" si="96"/>
        <v>3.556728232189974</v>
      </c>
      <c r="R2075" s="53">
        <f>IFERROR(VLOOKUP(B2075,'Pre-Summary'!$BG$6:$BM$44,7,FALSE),R2076)</f>
        <v>7.3789975262610413E-2</v>
      </c>
      <c r="S2075" s="53">
        <f>IFERROR(VLOOKUP(B2075,'Pre-Summary'!$BG$6:$BM$44,6,FALSE),S2076)</f>
        <v>5.2064631956901149E-2</v>
      </c>
      <c r="T2075" s="45" t="str">
        <f>IFERROR(VLOOKUP(B2075,'Pre-Summary'!$Y$6:$AC$83, 3,FALSE),"")</f>
        <v/>
      </c>
      <c r="U2075" s="45" t="str">
        <f>IFERROR(VLOOKUP(B2075,'Pre-Summary'!$Y$6:$AC$83, 4,FALSE),"")</f>
        <v/>
      </c>
      <c r="V2075" t="str">
        <f>IFERROR(VLOOKUP(B2075,'Pre-Summary'!$Y$6:$AC$83, 5,FALSE),"")</f>
        <v/>
      </c>
      <c r="W2075" s="45" t="str">
        <f>IFERROR(VLOOKUP(B2075,'Pre-Summary'!$Y$6:$AD$83,6,FALSE),"")</f>
        <v/>
      </c>
      <c r="X2075" t="str">
        <f>IFERROR(VLOOKUP('Pre-Summary'!$DB$6:$DD$63,3,FALSE),"")</f>
        <v/>
      </c>
      <c r="Y2075" t="str">
        <f>IFERROR(VLOOKUP(B2075,'Pre-Summary'!$CR$6:$CT$36,3,FALSE),"")</f>
        <v/>
      </c>
      <c r="Z2075" s="45" t="str">
        <f>IFERROR(VLOOKUP(B2075,'Pre-Summary'!$BZ$6:$CB$63,2,FALSE),"")</f>
        <v/>
      </c>
      <c r="AA2075" s="45" t="str">
        <f>IFERROR(VLOOKUP(B2075,'Pre-Summary'!$CG$6:$CI$70,2,FALSE),"")</f>
        <v/>
      </c>
      <c r="AB2075" s="99">
        <f>IFERROR(VLOOKUP(B2075,'Pre-Summary'!$A$6:$P$178,9,FALSE),AB2076)</f>
        <v>0.34701634393754011</v>
      </c>
      <c r="AC2075" s="10">
        <f>IFERROR(VLOOKUP(Summary!B2075,'Pre-Summary'!$A$6:$P$184,5, FALSE)/100,AC2076)</f>
        <v>0.9815910000000001</v>
      </c>
      <c r="AD2075" s="10">
        <f>IFERROR(VLOOKUP(Summary!B2075,'Pre-Summary'!$A$6:$P$184,3, FALSE)/100,AD2076)</f>
        <v>1.2500666666666667E-2</v>
      </c>
      <c r="AE2075" s="10">
        <f>IFERROR(VLOOKUP(Summary!B2075,'Pre-Summary'!$A$6:$P$184,7, FALSE)/100,AE2076)</f>
        <v>5.9083333333333331E-3</v>
      </c>
      <c r="AF2075" s="99">
        <f t="shared" si="97"/>
        <v>4.3379356434485429E-3</v>
      </c>
      <c r="AG2075" s="99">
        <f t="shared" si="98"/>
        <v>2.0502882320976327E-3</v>
      </c>
      <c r="AH2075" s="10" t="str">
        <f>IFERROR(VLOOKUP(B2075,'Pre-Summary'!$AZ$6:$BE$65,3,FALSE),"")</f>
        <v/>
      </c>
      <c r="AI2075" s="10" t="str">
        <f>IFERROR(VLOOKUP(B2075,'Pre-Summary'!$AZ$6:$BE$65,5,FALSE),"")</f>
        <v/>
      </c>
      <c r="AJ2075" s="10" t="str">
        <f>IFERROR(VLOOKUP(B2075,'Pre-Summary'!$AZ$6:$BE$65,4,FALSE),"")</f>
        <v/>
      </c>
      <c r="AK2075" s="10" t="str">
        <f>IFERROR(VLOOKUP(B2075,'Pre-Summary'!$AZ$6:$BE$65,6,FALSE),"")</f>
        <v/>
      </c>
      <c r="AL2075" s="10" t="str">
        <f>IFERROR(VLOOKUP(B2075,'Pre-Summary'!$BG$6:$BL$44,3,FALSE),"")</f>
        <v/>
      </c>
      <c r="AM2075" s="10" t="str">
        <f>IFERROR(VLOOKUP(B2075,'Pre-Summary'!$BG$6:$BL$44,4,FALSE),"")</f>
        <v/>
      </c>
    </row>
    <row r="2076" spans="2:39" ht="15" customHeight="1" x14ac:dyDescent="0.3">
      <c r="B2076">
        <v>207.3</v>
      </c>
      <c r="C2076" t="str">
        <f>IFERROR(VLOOKUP(B2076,'Pre-Summary'!$DI$6:$DM$23,4,FALSE),"")</f>
        <v/>
      </c>
      <c r="D2076" s="10" t="str">
        <f>IFERROR(VLOOKUP(B2076,'Pre-Summary'!$AT$6:$AX$14,5,FALSE),D2075)</f>
        <v>Wolfe v3: went back to modified wolfe + EDTA and switched CuSO4 to CUCl2</v>
      </c>
      <c r="E2076" s="10" t="str">
        <f>IFERROR(VLOOKUP(B2076,'Pre-Summary'!$AT$6:$AX$15,4,FALSE),"")</f>
        <v/>
      </c>
      <c r="F2076">
        <f>IFERROR(VLOOKUP(B2076,'Pre-Summary'!$AL$6:$AQ$13,6,FALSE),F2075)</f>
        <v>5.9405263157894746E-2</v>
      </c>
      <c r="G2076" t="str">
        <f>IFERROR(VLOOKUP(B2076,'Pre-Summary'!$AE$6:$AJ$85,3,FALSE),"")</f>
        <v/>
      </c>
      <c r="H2076" t="str">
        <f>IFERROR(VLOOKUP(B2076,'Pre-Summary'!$AE$6:$AJ$85,4,FALSE),"")</f>
        <v/>
      </c>
      <c r="I2076" t="str">
        <f>IFERROR(VLOOKUP(B2076,'Pre-Summary'!$AE$6:$AJ$85,5,FALSE),"")</f>
        <v/>
      </c>
      <c r="J2076" s="45" t="str">
        <f>IFERROR(VLOOKUP(B2076,'Pre-Summary'!$AE$6:$AJ$85,6, FALSE),"")</f>
        <v/>
      </c>
      <c r="K2076" s="45" t="str">
        <f>IFERROR(VLOOKUP(B2076,'Pre-Summary'!$DE$6:$DG$61,3,FALSE),"")</f>
        <v/>
      </c>
      <c r="L2076" s="45" t="str">
        <f>IFERROR(VLOOKUP(B2076,'Pre-Summary'!$CU$6:$CW$36,3,FALSE),"")</f>
        <v/>
      </c>
      <c r="M2076" s="45" t="str">
        <f>IFERROR(VLOOKUP(B2076,'Pre-Summary'!$BW$6:$BY$58,2,FALSE),"")</f>
        <v/>
      </c>
      <c r="N2076" s="45" t="str">
        <f>IFERROR(VLOOKUP(B2076,'Pre-Summary'!$CD$6:$CF$64,2,FALSE),"")</f>
        <v/>
      </c>
      <c r="O2076" s="99">
        <f>IFERROR(VLOOKUP(B2076,'Pre-Summary'!$BO$6:$BQ$48,3, FALSE),O2075)</f>
        <v>1.3480000000000001</v>
      </c>
      <c r="P2076" s="99">
        <f>IFERROR(VLOOKUP(B2076,'Pre-Summary'!$BS$6:$BU$35,3,FALSE),P2075)</f>
        <v>0.379</v>
      </c>
      <c r="Q2076" s="54">
        <f t="shared" si="96"/>
        <v>3.556728232189974</v>
      </c>
      <c r="R2076" s="53">
        <f>IFERROR(VLOOKUP(B2076,'Pre-Summary'!$BG$6:$BM$44,7,FALSE),R2077)</f>
        <v>7.3789975262610413E-2</v>
      </c>
      <c r="S2076" s="53">
        <f>IFERROR(VLOOKUP(B2076,'Pre-Summary'!$BG$6:$BM$44,6,FALSE),S2077)</f>
        <v>5.2064631956901149E-2</v>
      </c>
      <c r="T2076" s="45" t="str">
        <f>IFERROR(VLOOKUP(B2076,'Pre-Summary'!$Y$6:$AC$83, 3,FALSE),"")</f>
        <v/>
      </c>
      <c r="U2076" s="45" t="str">
        <f>IFERROR(VLOOKUP(B2076,'Pre-Summary'!$Y$6:$AC$83, 4,FALSE),"")</f>
        <v/>
      </c>
      <c r="V2076" t="str">
        <f>IFERROR(VLOOKUP(B2076,'Pre-Summary'!$Y$6:$AC$83, 5,FALSE),"")</f>
        <v/>
      </c>
      <c r="W2076" s="45" t="str">
        <f>IFERROR(VLOOKUP(B2076,'Pre-Summary'!$Y$6:$AD$83,6,FALSE),"")</f>
        <v/>
      </c>
      <c r="X2076" t="str">
        <f>IFERROR(VLOOKUP('Pre-Summary'!$DB$6:$DD$63,3,FALSE),"")</f>
        <v/>
      </c>
      <c r="Y2076" t="str">
        <f>IFERROR(VLOOKUP(B2076,'Pre-Summary'!$CR$6:$CT$36,3,FALSE),"")</f>
        <v/>
      </c>
      <c r="Z2076" s="45" t="str">
        <f>IFERROR(VLOOKUP(B2076,'Pre-Summary'!$BZ$6:$CB$63,2,FALSE),"")</f>
        <v/>
      </c>
      <c r="AA2076" s="45" t="str">
        <f>IFERROR(VLOOKUP(B2076,'Pre-Summary'!$CG$6:$CI$70,2,FALSE),"")</f>
        <v/>
      </c>
      <c r="AB2076" s="99">
        <f>IFERROR(VLOOKUP(B2076,'Pre-Summary'!$A$6:$P$178,9,FALSE),AB2077)</f>
        <v>0.34701634393754011</v>
      </c>
      <c r="AC2076" s="10">
        <f>IFERROR(VLOOKUP(Summary!B2076,'Pre-Summary'!$A$6:$P$184,5, FALSE)/100,AC2077)</f>
        <v>0.9815910000000001</v>
      </c>
      <c r="AD2076" s="10">
        <f>IFERROR(VLOOKUP(Summary!B2076,'Pre-Summary'!$A$6:$P$184,3, FALSE)/100,AD2077)</f>
        <v>1.2500666666666667E-2</v>
      </c>
      <c r="AE2076" s="10">
        <f>IFERROR(VLOOKUP(Summary!B2076,'Pre-Summary'!$A$6:$P$184,7, FALSE)/100,AE2077)</f>
        <v>5.9083333333333331E-3</v>
      </c>
      <c r="AF2076" s="99">
        <f t="shared" si="97"/>
        <v>4.3379356434485429E-3</v>
      </c>
      <c r="AG2076" s="99">
        <f t="shared" si="98"/>
        <v>2.0502882320976327E-3</v>
      </c>
      <c r="AH2076" s="10" t="str">
        <f>IFERROR(VLOOKUP(B2076,'Pre-Summary'!$AZ$6:$BE$65,3,FALSE),"")</f>
        <v/>
      </c>
      <c r="AI2076" s="10" t="str">
        <f>IFERROR(VLOOKUP(B2076,'Pre-Summary'!$AZ$6:$BE$65,5,FALSE),"")</f>
        <v/>
      </c>
      <c r="AJ2076" s="10" t="str">
        <f>IFERROR(VLOOKUP(B2076,'Pre-Summary'!$AZ$6:$BE$65,4,FALSE),"")</f>
        <v/>
      </c>
      <c r="AK2076" s="10" t="str">
        <f>IFERROR(VLOOKUP(B2076,'Pre-Summary'!$AZ$6:$BE$65,6,FALSE),"")</f>
        <v/>
      </c>
      <c r="AL2076" s="10" t="str">
        <f>IFERROR(VLOOKUP(B2076,'Pre-Summary'!$BG$6:$BL$44,3,FALSE),"")</f>
        <v/>
      </c>
      <c r="AM2076" s="10" t="str">
        <f>IFERROR(VLOOKUP(B2076,'Pre-Summary'!$BG$6:$BL$44,4,FALSE),"")</f>
        <v/>
      </c>
    </row>
    <row r="2077" spans="2:39" ht="15" customHeight="1" x14ac:dyDescent="0.3">
      <c r="B2077">
        <v>207.4</v>
      </c>
      <c r="C2077" t="str">
        <f>IFERROR(VLOOKUP(B2077,'Pre-Summary'!$DI$6:$DM$23,4,FALSE),"")</f>
        <v/>
      </c>
      <c r="D2077" s="10" t="str">
        <f>IFERROR(VLOOKUP(B2077,'Pre-Summary'!$AT$6:$AX$14,5,FALSE),D2076)</f>
        <v>Wolfe v3: went back to modified wolfe + EDTA and switched CuSO4 to CUCl2</v>
      </c>
      <c r="E2077" s="10" t="str">
        <f>IFERROR(VLOOKUP(B2077,'Pre-Summary'!$AT$6:$AX$15,4,FALSE),"")</f>
        <v/>
      </c>
      <c r="F2077">
        <f>IFERROR(VLOOKUP(B2077,'Pre-Summary'!$AL$6:$AQ$13,6,FALSE),F2076)</f>
        <v>5.9405263157894746E-2</v>
      </c>
      <c r="G2077" t="str">
        <f>IFERROR(VLOOKUP(B2077,'Pre-Summary'!$AE$6:$AJ$85,3,FALSE),"")</f>
        <v/>
      </c>
      <c r="H2077" t="str">
        <f>IFERROR(VLOOKUP(B2077,'Pre-Summary'!$AE$6:$AJ$85,4,FALSE),"")</f>
        <v/>
      </c>
      <c r="I2077" t="str">
        <f>IFERROR(VLOOKUP(B2077,'Pre-Summary'!$AE$6:$AJ$85,5,FALSE),"")</f>
        <v/>
      </c>
      <c r="J2077" s="45" t="str">
        <f>IFERROR(VLOOKUP(B2077,'Pre-Summary'!$AE$6:$AJ$85,6, FALSE),"")</f>
        <v/>
      </c>
      <c r="K2077" s="45" t="str">
        <f>IFERROR(VLOOKUP(B2077,'Pre-Summary'!$DE$6:$DG$61,3,FALSE),"")</f>
        <v/>
      </c>
      <c r="L2077" s="45" t="str">
        <f>IFERROR(VLOOKUP(B2077,'Pre-Summary'!$CU$6:$CW$36,3,FALSE),"")</f>
        <v/>
      </c>
      <c r="M2077" s="45" t="str">
        <f>IFERROR(VLOOKUP(B2077,'Pre-Summary'!$BW$6:$BY$58,2,FALSE),"")</f>
        <v/>
      </c>
      <c r="N2077" s="45" t="str">
        <f>IFERROR(VLOOKUP(B2077,'Pre-Summary'!$CD$6:$CF$64,2,FALSE),"")</f>
        <v/>
      </c>
      <c r="O2077" s="99">
        <f>IFERROR(VLOOKUP(B2077,'Pre-Summary'!$BO$6:$BQ$48,3, FALSE),O2076)</f>
        <v>1.3480000000000001</v>
      </c>
      <c r="P2077" s="99">
        <f>IFERROR(VLOOKUP(B2077,'Pre-Summary'!$BS$6:$BU$35,3,FALSE),P2076)</f>
        <v>0.379</v>
      </c>
      <c r="Q2077" s="54">
        <f t="shared" si="96"/>
        <v>3.556728232189974</v>
      </c>
      <c r="R2077" s="53">
        <f>IFERROR(VLOOKUP(B2077,'Pre-Summary'!$BG$6:$BM$44,7,FALSE),R2078)</f>
        <v>7.3789975262610413E-2</v>
      </c>
      <c r="S2077" s="53">
        <f>IFERROR(VLOOKUP(B2077,'Pre-Summary'!$BG$6:$BM$44,6,FALSE),S2078)</f>
        <v>5.2064631956901149E-2</v>
      </c>
      <c r="T2077" s="45" t="str">
        <f>IFERROR(VLOOKUP(B2077,'Pre-Summary'!$Y$6:$AC$83, 3,FALSE),"")</f>
        <v/>
      </c>
      <c r="U2077" s="45" t="str">
        <f>IFERROR(VLOOKUP(B2077,'Pre-Summary'!$Y$6:$AC$83, 4,FALSE),"")</f>
        <v/>
      </c>
      <c r="V2077" t="str">
        <f>IFERROR(VLOOKUP(B2077,'Pre-Summary'!$Y$6:$AC$83, 5,FALSE),"")</f>
        <v/>
      </c>
      <c r="W2077" s="45" t="str">
        <f>IFERROR(VLOOKUP(B2077,'Pre-Summary'!$Y$6:$AD$83,6,FALSE),"")</f>
        <v/>
      </c>
      <c r="X2077" t="str">
        <f>IFERROR(VLOOKUP('Pre-Summary'!$DB$6:$DD$63,3,FALSE),"")</f>
        <v/>
      </c>
      <c r="Y2077" t="str">
        <f>IFERROR(VLOOKUP(B2077,'Pre-Summary'!$CR$6:$CT$36,3,FALSE),"")</f>
        <v/>
      </c>
      <c r="Z2077" s="45" t="str">
        <f>IFERROR(VLOOKUP(B2077,'Pre-Summary'!$BZ$6:$CB$63,2,FALSE),"")</f>
        <v/>
      </c>
      <c r="AA2077" s="45" t="str">
        <f>IFERROR(VLOOKUP(B2077,'Pre-Summary'!$CG$6:$CI$70,2,FALSE),"")</f>
        <v/>
      </c>
      <c r="AB2077" s="99">
        <f>IFERROR(VLOOKUP(B2077,'Pre-Summary'!$A$6:$P$178,9,FALSE),AB2078)</f>
        <v>0.34701634393754011</v>
      </c>
      <c r="AC2077" s="10">
        <f>IFERROR(VLOOKUP(Summary!B2077,'Pre-Summary'!$A$6:$P$184,5, FALSE)/100,AC2078)</f>
        <v>0.9815910000000001</v>
      </c>
      <c r="AD2077" s="10">
        <f>IFERROR(VLOOKUP(Summary!B2077,'Pre-Summary'!$A$6:$P$184,3, FALSE)/100,AD2078)</f>
        <v>1.2500666666666667E-2</v>
      </c>
      <c r="AE2077" s="10">
        <f>IFERROR(VLOOKUP(Summary!B2077,'Pre-Summary'!$A$6:$P$184,7, FALSE)/100,AE2078)</f>
        <v>5.9083333333333331E-3</v>
      </c>
      <c r="AF2077" s="99">
        <f t="shared" si="97"/>
        <v>4.3379356434485429E-3</v>
      </c>
      <c r="AG2077" s="99">
        <f t="shared" si="98"/>
        <v>2.0502882320976327E-3</v>
      </c>
      <c r="AH2077" s="10" t="str">
        <f>IFERROR(VLOOKUP(B2077,'Pre-Summary'!$AZ$6:$BE$65,3,FALSE),"")</f>
        <v/>
      </c>
      <c r="AI2077" s="10" t="str">
        <f>IFERROR(VLOOKUP(B2077,'Pre-Summary'!$AZ$6:$BE$65,5,FALSE),"")</f>
        <v/>
      </c>
      <c r="AJ2077" s="10" t="str">
        <f>IFERROR(VLOOKUP(B2077,'Pre-Summary'!$AZ$6:$BE$65,4,FALSE),"")</f>
        <v/>
      </c>
      <c r="AK2077" s="10" t="str">
        <f>IFERROR(VLOOKUP(B2077,'Pre-Summary'!$AZ$6:$BE$65,6,FALSE),"")</f>
        <v/>
      </c>
      <c r="AL2077" s="10" t="str">
        <f>IFERROR(VLOOKUP(B2077,'Pre-Summary'!$BG$6:$BL$44,3,FALSE),"")</f>
        <v/>
      </c>
      <c r="AM2077" s="10" t="str">
        <f>IFERROR(VLOOKUP(B2077,'Pre-Summary'!$BG$6:$BL$44,4,FALSE),"")</f>
        <v/>
      </c>
    </row>
    <row r="2078" spans="2:39" ht="15" customHeight="1" x14ac:dyDescent="0.3">
      <c r="B2078">
        <v>207.5</v>
      </c>
      <c r="C2078" t="str">
        <f>IFERROR(VLOOKUP(B2078,'Pre-Summary'!$DI$6:$DM$23,4,FALSE),"")</f>
        <v/>
      </c>
      <c r="D2078" s="10" t="str">
        <f>IFERROR(VLOOKUP(B2078,'Pre-Summary'!$AT$6:$AX$14,5,FALSE),D2077)</f>
        <v>Wolfe v3: went back to modified wolfe + EDTA and switched CuSO4 to CUCl2</v>
      </c>
      <c r="E2078" s="10" t="str">
        <f>IFERROR(VLOOKUP(B2078,'Pre-Summary'!$AT$6:$AX$15,4,FALSE),"")</f>
        <v/>
      </c>
      <c r="F2078">
        <f>IFERROR(VLOOKUP(B2078,'Pre-Summary'!$AL$6:$AQ$13,6,FALSE),F2077)</f>
        <v>5.9405263157894746E-2</v>
      </c>
      <c r="G2078" t="str">
        <f>IFERROR(VLOOKUP(B2078,'Pre-Summary'!$AE$6:$AJ$85,3,FALSE),"")</f>
        <v/>
      </c>
      <c r="H2078" t="str">
        <f>IFERROR(VLOOKUP(B2078,'Pre-Summary'!$AE$6:$AJ$85,4,FALSE),"")</f>
        <v/>
      </c>
      <c r="I2078" t="str">
        <f>IFERROR(VLOOKUP(B2078,'Pre-Summary'!$AE$6:$AJ$85,5,FALSE),"")</f>
        <v/>
      </c>
      <c r="J2078" s="45" t="str">
        <f>IFERROR(VLOOKUP(B2078,'Pre-Summary'!$AE$6:$AJ$85,6, FALSE),"")</f>
        <v/>
      </c>
      <c r="K2078" s="45" t="str">
        <f>IFERROR(VLOOKUP(B2078,'Pre-Summary'!$DE$6:$DG$61,3,FALSE),"")</f>
        <v/>
      </c>
      <c r="L2078" s="45" t="str">
        <f>IFERROR(VLOOKUP(B2078,'Pre-Summary'!$CU$6:$CW$36,3,FALSE),"")</f>
        <v/>
      </c>
      <c r="M2078" s="45" t="str">
        <f>IFERROR(VLOOKUP(B2078,'Pre-Summary'!$BW$6:$BY$58,2,FALSE),"")</f>
        <v/>
      </c>
      <c r="N2078" s="45" t="str">
        <f>IFERROR(VLOOKUP(B2078,'Pre-Summary'!$CD$6:$CF$64,2,FALSE),"")</f>
        <v/>
      </c>
      <c r="O2078" s="99">
        <f>IFERROR(VLOOKUP(B2078,'Pre-Summary'!$BO$6:$BQ$48,3, FALSE),O2077)</f>
        <v>1.3480000000000001</v>
      </c>
      <c r="P2078" s="99">
        <f>IFERROR(VLOOKUP(B2078,'Pre-Summary'!$BS$6:$BU$35,3,FALSE),P2077)</f>
        <v>0.379</v>
      </c>
      <c r="Q2078" s="54">
        <f t="shared" si="96"/>
        <v>3.556728232189974</v>
      </c>
      <c r="R2078" s="53">
        <f>IFERROR(VLOOKUP(B2078,'Pre-Summary'!$BG$6:$BM$44,7,FALSE),R2079)</f>
        <v>7.3789975262610413E-2</v>
      </c>
      <c r="S2078" s="53">
        <f>IFERROR(VLOOKUP(B2078,'Pre-Summary'!$BG$6:$BM$44,6,FALSE),S2079)</f>
        <v>5.2064631956901149E-2</v>
      </c>
      <c r="T2078" s="45" t="str">
        <f>IFERROR(VLOOKUP(B2078,'Pre-Summary'!$Y$6:$AC$83, 3,FALSE),"")</f>
        <v/>
      </c>
      <c r="U2078" s="45" t="str">
        <f>IFERROR(VLOOKUP(B2078,'Pre-Summary'!$Y$6:$AC$83, 4,FALSE),"")</f>
        <v/>
      </c>
      <c r="V2078" t="str">
        <f>IFERROR(VLOOKUP(B2078,'Pre-Summary'!$Y$6:$AC$83, 5,FALSE),"")</f>
        <v/>
      </c>
      <c r="W2078" s="45" t="str">
        <f>IFERROR(VLOOKUP(B2078,'Pre-Summary'!$Y$6:$AD$83,6,FALSE),"")</f>
        <v/>
      </c>
      <c r="X2078" t="str">
        <f>IFERROR(VLOOKUP('Pre-Summary'!$DB$6:$DD$63,3,FALSE),"")</f>
        <v/>
      </c>
      <c r="Y2078" t="str">
        <f>IFERROR(VLOOKUP(B2078,'Pre-Summary'!$CR$6:$CT$36,3,FALSE),"")</f>
        <v/>
      </c>
      <c r="Z2078" s="45" t="str">
        <f>IFERROR(VLOOKUP(B2078,'Pre-Summary'!$BZ$6:$CB$63,2,FALSE),"")</f>
        <v/>
      </c>
      <c r="AA2078" s="45" t="str">
        <f>IFERROR(VLOOKUP(B2078,'Pre-Summary'!$CG$6:$CI$70,2,FALSE),"")</f>
        <v/>
      </c>
      <c r="AB2078" s="99">
        <f>IFERROR(VLOOKUP(B2078,'Pre-Summary'!$A$6:$P$178,9,FALSE),AB2079)</f>
        <v>0.34701634393754011</v>
      </c>
      <c r="AC2078" s="10">
        <f>IFERROR(VLOOKUP(Summary!B2078,'Pre-Summary'!$A$6:$P$184,5, FALSE)/100,AC2079)</f>
        <v>0.9815910000000001</v>
      </c>
      <c r="AD2078" s="10">
        <f>IFERROR(VLOOKUP(Summary!B2078,'Pre-Summary'!$A$6:$P$184,3, FALSE)/100,AD2079)</f>
        <v>1.2500666666666667E-2</v>
      </c>
      <c r="AE2078" s="10">
        <f>IFERROR(VLOOKUP(Summary!B2078,'Pre-Summary'!$A$6:$P$184,7, FALSE)/100,AE2079)</f>
        <v>5.9083333333333331E-3</v>
      </c>
      <c r="AF2078" s="99">
        <f t="shared" si="97"/>
        <v>4.3379356434485429E-3</v>
      </c>
      <c r="AG2078" s="99">
        <f t="shared" si="98"/>
        <v>2.0502882320976327E-3</v>
      </c>
      <c r="AH2078" s="10" t="str">
        <f>IFERROR(VLOOKUP(B2078,'Pre-Summary'!$AZ$6:$BE$65,3,FALSE),"")</f>
        <v/>
      </c>
      <c r="AI2078" s="10" t="str">
        <f>IFERROR(VLOOKUP(B2078,'Pre-Summary'!$AZ$6:$BE$65,5,FALSE),"")</f>
        <v/>
      </c>
      <c r="AJ2078" s="10" t="str">
        <f>IFERROR(VLOOKUP(B2078,'Pre-Summary'!$AZ$6:$BE$65,4,FALSE),"")</f>
        <v/>
      </c>
      <c r="AK2078" s="10" t="str">
        <f>IFERROR(VLOOKUP(B2078,'Pre-Summary'!$AZ$6:$BE$65,6,FALSE),"")</f>
        <v/>
      </c>
      <c r="AL2078" s="10" t="str">
        <f>IFERROR(VLOOKUP(B2078,'Pre-Summary'!$BG$6:$BL$44,3,FALSE),"")</f>
        <v/>
      </c>
      <c r="AM2078" s="10" t="str">
        <f>IFERROR(VLOOKUP(B2078,'Pre-Summary'!$BG$6:$BL$44,4,FALSE),"")</f>
        <v/>
      </c>
    </row>
    <row r="2079" spans="2:39" ht="15" customHeight="1" x14ac:dyDescent="0.3">
      <c r="B2079">
        <v>207.6</v>
      </c>
      <c r="C2079" t="str">
        <f>IFERROR(VLOOKUP(B2079,'Pre-Summary'!$DI$6:$DM$23,4,FALSE),"")</f>
        <v/>
      </c>
      <c r="D2079" s="10" t="str">
        <f>IFERROR(VLOOKUP(B2079,'Pre-Summary'!$AT$6:$AX$14,5,FALSE),D2078)</f>
        <v>Wolfe v3: went back to modified wolfe + EDTA and switched CuSO4 to CUCl2</v>
      </c>
      <c r="E2079" s="10" t="str">
        <f>IFERROR(VLOOKUP(B2079,'Pre-Summary'!$AT$6:$AX$15,4,FALSE),"")</f>
        <v/>
      </c>
      <c r="F2079">
        <f>IFERROR(VLOOKUP(B2079,'Pre-Summary'!$AL$6:$AQ$13,6,FALSE),F2078)</f>
        <v>5.9405263157894746E-2</v>
      </c>
      <c r="G2079" t="str">
        <f>IFERROR(VLOOKUP(B2079,'Pre-Summary'!$AE$6:$AJ$85,3,FALSE),"")</f>
        <v/>
      </c>
      <c r="H2079" t="str">
        <f>IFERROR(VLOOKUP(B2079,'Pre-Summary'!$AE$6:$AJ$85,4,FALSE),"")</f>
        <v/>
      </c>
      <c r="I2079" t="str">
        <f>IFERROR(VLOOKUP(B2079,'Pre-Summary'!$AE$6:$AJ$85,5,FALSE),"")</f>
        <v/>
      </c>
      <c r="J2079" s="45" t="str">
        <f>IFERROR(VLOOKUP(B2079,'Pre-Summary'!$AE$6:$AJ$85,6, FALSE),"")</f>
        <v/>
      </c>
      <c r="K2079" s="45" t="str">
        <f>IFERROR(VLOOKUP(B2079,'Pre-Summary'!$DE$6:$DG$61,3,FALSE),"")</f>
        <v/>
      </c>
      <c r="L2079" s="45" t="str">
        <f>IFERROR(VLOOKUP(B2079,'Pre-Summary'!$CU$6:$CW$36,3,FALSE),"")</f>
        <v/>
      </c>
      <c r="M2079" s="45" t="str">
        <f>IFERROR(VLOOKUP(B2079,'Pre-Summary'!$BW$6:$BY$58,2,FALSE),"")</f>
        <v/>
      </c>
      <c r="N2079" s="45" t="str">
        <f>IFERROR(VLOOKUP(B2079,'Pre-Summary'!$CD$6:$CF$64,2,FALSE),"")</f>
        <v/>
      </c>
      <c r="O2079" s="99">
        <f>IFERROR(VLOOKUP(B2079,'Pre-Summary'!$BO$6:$BQ$48,3, FALSE),O2078)</f>
        <v>1.3480000000000001</v>
      </c>
      <c r="P2079" s="99">
        <f>IFERROR(VLOOKUP(B2079,'Pre-Summary'!$BS$6:$BU$35,3,FALSE),P2078)</f>
        <v>0.379</v>
      </c>
      <c r="Q2079" s="54">
        <f t="shared" si="96"/>
        <v>3.556728232189974</v>
      </c>
      <c r="R2079" s="53">
        <f>IFERROR(VLOOKUP(B2079,'Pre-Summary'!$BG$6:$BM$44,7,FALSE),R2080)</f>
        <v>7.3789975262610413E-2</v>
      </c>
      <c r="S2079" s="53">
        <f>IFERROR(VLOOKUP(B2079,'Pre-Summary'!$BG$6:$BM$44,6,FALSE),S2080)</f>
        <v>5.2064631956901149E-2</v>
      </c>
      <c r="T2079" s="45" t="str">
        <f>IFERROR(VLOOKUP(B2079,'Pre-Summary'!$Y$6:$AC$83, 3,FALSE),"")</f>
        <v/>
      </c>
      <c r="U2079" s="45" t="str">
        <f>IFERROR(VLOOKUP(B2079,'Pre-Summary'!$Y$6:$AC$83, 4,FALSE),"")</f>
        <v/>
      </c>
      <c r="V2079" t="str">
        <f>IFERROR(VLOOKUP(B2079,'Pre-Summary'!$Y$6:$AC$83, 5,FALSE),"")</f>
        <v/>
      </c>
      <c r="W2079" s="45" t="str">
        <f>IFERROR(VLOOKUP(B2079,'Pre-Summary'!$Y$6:$AD$83,6,FALSE),"")</f>
        <v/>
      </c>
      <c r="X2079" t="str">
        <f>IFERROR(VLOOKUP('Pre-Summary'!$DB$6:$DD$63,3,FALSE),"")</f>
        <v/>
      </c>
      <c r="Y2079" t="str">
        <f>IFERROR(VLOOKUP(B2079,'Pre-Summary'!$CR$6:$CT$36,3,FALSE),"")</f>
        <v/>
      </c>
      <c r="Z2079" s="45" t="str">
        <f>IFERROR(VLOOKUP(B2079,'Pre-Summary'!$BZ$6:$CB$63,2,FALSE),"")</f>
        <v/>
      </c>
      <c r="AA2079" s="45" t="str">
        <f>IFERROR(VLOOKUP(B2079,'Pre-Summary'!$CG$6:$CI$70,2,FALSE),"")</f>
        <v/>
      </c>
      <c r="AB2079" s="99">
        <f>IFERROR(VLOOKUP(B2079,'Pre-Summary'!$A$6:$P$178,9,FALSE),AB2080)</f>
        <v>0.34701634393754011</v>
      </c>
      <c r="AC2079" s="10">
        <f>IFERROR(VLOOKUP(Summary!B2079,'Pre-Summary'!$A$6:$P$184,5, FALSE)/100,AC2080)</f>
        <v>0.9815910000000001</v>
      </c>
      <c r="AD2079" s="10">
        <f>IFERROR(VLOOKUP(Summary!B2079,'Pre-Summary'!$A$6:$P$184,3, FALSE)/100,AD2080)</f>
        <v>1.2500666666666667E-2</v>
      </c>
      <c r="AE2079" s="10">
        <f>IFERROR(VLOOKUP(Summary!B2079,'Pre-Summary'!$A$6:$P$184,7, FALSE)/100,AE2080)</f>
        <v>5.9083333333333331E-3</v>
      </c>
      <c r="AF2079" s="99">
        <f t="shared" si="97"/>
        <v>4.3379356434485429E-3</v>
      </c>
      <c r="AG2079" s="99">
        <f t="shared" si="98"/>
        <v>2.0502882320976327E-3</v>
      </c>
      <c r="AH2079" s="10" t="str">
        <f>IFERROR(VLOOKUP(B2079,'Pre-Summary'!$AZ$6:$BE$65,3,FALSE),"")</f>
        <v/>
      </c>
      <c r="AI2079" s="10" t="str">
        <f>IFERROR(VLOOKUP(B2079,'Pre-Summary'!$AZ$6:$BE$65,5,FALSE),"")</f>
        <v/>
      </c>
      <c r="AJ2079" s="10" t="str">
        <f>IFERROR(VLOOKUP(B2079,'Pre-Summary'!$AZ$6:$BE$65,4,FALSE),"")</f>
        <v/>
      </c>
      <c r="AK2079" s="10" t="str">
        <f>IFERROR(VLOOKUP(B2079,'Pre-Summary'!$AZ$6:$BE$65,6,FALSE),"")</f>
        <v/>
      </c>
      <c r="AL2079" s="10" t="str">
        <f>IFERROR(VLOOKUP(B2079,'Pre-Summary'!$BG$6:$BL$44,3,FALSE),"")</f>
        <v/>
      </c>
      <c r="AM2079" s="10" t="str">
        <f>IFERROR(VLOOKUP(B2079,'Pre-Summary'!$BG$6:$BL$44,4,FALSE),"")</f>
        <v/>
      </c>
    </row>
    <row r="2080" spans="2:39" ht="15" customHeight="1" x14ac:dyDescent="0.3">
      <c r="B2080">
        <v>207.7</v>
      </c>
      <c r="C2080" t="str">
        <f>IFERROR(VLOOKUP(B2080,'Pre-Summary'!$DI$6:$DM$23,4,FALSE),"")</f>
        <v/>
      </c>
      <c r="D2080" s="10" t="str">
        <f>IFERROR(VLOOKUP(B2080,'Pre-Summary'!$AT$6:$AX$14,5,FALSE),D2079)</f>
        <v>Wolfe v3: went back to modified wolfe + EDTA and switched CuSO4 to CUCl2</v>
      </c>
      <c r="E2080" s="10" t="str">
        <f>IFERROR(VLOOKUP(B2080,'Pre-Summary'!$AT$6:$AX$15,4,FALSE),"")</f>
        <v/>
      </c>
      <c r="F2080">
        <f>IFERROR(VLOOKUP(B2080,'Pre-Summary'!$AL$6:$AQ$13,6,FALSE),F2079)</f>
        <v>5.9405263157894746E-2</v>
      </c>
      <c r="G2080" t="str">
        <f>IFERROR(VLOOKUP(B2080,'Pre-Summary'!$AE$6:$AJ$85,3,FALSE),"")</f>
        <v/>
      </c>
      <c r="H2080" t="str">
        <f>IFERROR(VLOOKUP(B2080,'Pre-Summary'!$AE$6:$AJ$85,4,FALSE),"")</f>
        <v/>
      </c>
      <c r="I2080" t="str">
        <f>IFERROR(VLOOKUP(B2080,'Pre-Summary'!$AE$6:$AJ$85,5,FALSE),"")</f>
        <v/>
      </c>
      <c r="J2080" s="45" t="str">
        <f>IFERROR(VLOOKUP(B2080,'Pre-Summary'!$AE$6:$AJ$85,6, FALSE),"")</f>
        <v/>
      </c>
      <c r="K2080" s="45" t="str">
        <f>IFERROR(VLOOKUP(B2080,'Pre-Summary'!$DE$6:$DG$61,3,FALSE),"")</f>
        <v/>
      </c>
      <c r="L2080" s="45" t="str">
        <f>IFERROR(VLOOKUP(B2080,'Pre-Summary'!$CU$6:$CW$36,3,FALSE),"")</f>
        <v/>
      </c>
      <c r="M2080" s="45" t="str">
        <f>IFERROR(VLOOKUP(B2080,'Pre-Summary'!$BW$6:$BY$58,2,FALSE),"")</f>
        <v/>
      </c>
      <c r="N2080" s="45" t="str">
        <f>IFERROR(VLOOKUP(B2080,'Pre-Summary'!$CD$6:$CF$64,2,FALSE),"")</f>
        <v/>
      </c>
      <c r="O2080" s="99">
        <f>IFERROR(VLOOKUP(B2080,'Pre-Summary'!$BO$6:$BQ$48,3, FALSE),O2079)</f>
        <v>1.3480000000000001</v>
      </c>
      <c r="P2080" s="99">
        <f>IFERROR(VLOOKUP(B2080,'Pre-Summary'!$BS$6:$BU$35,3,FALSE),P2079)</f>
        <v>0.379</v>
      </c>
      <c r="Q2080" s="54">
        <f t="shared" si="96"/>
        <v>3.556728232189974</v>
      </c>
      <c r="R2080" s="53">
        <f>IFERROR(VLOOKUP(B2080,'Pre-Summary'!$BG$6:$BM$44,7,FALSE),R2081)</f>
        <v>7.3789975262610413E-2</v>
      </c>
      <c r="S2080" s="53">
        <f>IFERROR(VLOOKUP(B2080,'Pre-Summary'!$BG$6:$BM$44,6,FALSE),S2081)</f>
        <v>5.2064631956901149E-2</v>
      </c>
      <c r="T2080" s="45" t="str">
        <f>IFERROR(VLOOKUP(B2080,'Pre-Summary'!$Y$6:$AC$83, 3,FALSE),"")</f>
        <v/>
      </c>
      <c r="U2080" s="45" t="str">
        <f>IFERROR(VLOOKUP(B2080,'Pre-Summary'!$Y$6:$AC$83, 4,FALSE),"")</f>
        <v/>
      </c>
      <c r="V2080" t="str">
        <f>IFERROR(VLOOKUP(B2080,'Pre-Summary'!$Y$6:$AC$83, 5,FALSE),"")</f>
        <v/>
      </c>
      <c r="W2080" s="45" t="str">
        <f>IFERROR(VLOOKUP(B2080,'Pre-Summary'!$Y$6:$AD$83,6,FALSE),"")</f>
        <v/>
      </c>
      <c r="X2080" t="str">
        <f>IFERROR(VLOOKUP('Pre-Summary'!$DB$6:$DD$63,3,FALSE),"")</f>
        <v/>
      </c>
      <c r="Y2080" t="str">
        <f>IFERROR(VLOOKUP(B2080,'Pre-Summary'!$CR$6:$CT$36,3,FALSE),"")</f>
        <v/>
      </c>
      <c r="Z2080" s="45" t="str">
        <f>IFERROR(VLOOKUP(B2080,'Pre-Summary'!$BZ$6:$CB$63,2,FALSE),"")</f>
        <v/>
      </c>
      <c r="AA2080" s="45" t="str">
        <f>IFERROR(VLOOKUP(B2080,'Pre-Summary'!$CG$6:$CI$70,2,FALSE),"")</f>
        <v/>
      </c>
      <c r="AB2080" s="99">
        <f>IFERROR(VLOOKUP(B2080,'Pre-Summary'!$A$6:$P$178,9,FALSE),AB2081)</f>
        <v>0.34701634393754011</v>
      </c>
      <c r="AC2080" s="10">
        <f>IFERROR(VLOOKUP(Summary!B2080,'Pre-Summary'!$A$6:$P$184,5, FALSE)/100,AC2081)</f>
        <v>0.9815910000000001</v>
      </c>
      <c r="AD2080" s="10">
        <f>IFERROR(VLOOKUP(Summary!B2080,'Pre-Summary'!$A$6:$P$184,3, FALSE)/100,AD2081)</f>
        <v>1.2500666666666667E-2</v>
      </c>
      <c r="AE2080" s="10">
        <f>IFERROR(VLOOKUP(Summary!B2080,'Pre-Summary'!$A$6:$P$184,7, FALSE)/100,AE2081)</f>
        <v>5.9083333333333331E-3</v>
      </c>
      <c r="AF2080" s="99">
        <f t="shared" si="97"/>
        <v>4.3379356434485429E-3</v>
      </c>
      <c r="AG2080" s="99">
        <f t="shared" si="98"/>
        <v>2.0502882320976327E-3</v>
      </c>
      <c r="AH2080" s="10" t="str">
        <f>IFERROR(VLOOKUP(B2080,'Pre-Summary'!$AZ$6:$BE$65,3,FALSE),"")</f>
        <v/>
      </c>
      <c r="AI2080" s="10" t="str">
        <f>IFERROR(VLOOKUP(B2080,'Pre-Summary'!$AZ$6:$BE$65,5,FALSE),"")</f>
        <v/>
      </c>
      <c r="AJ2080" s="10" t="str">
        <f>IFERROR(VLOOKUP(B2080,'Pre-Summary'!$AZ$6:$BE$65,4,FALSE),"")</f>
        <v/>
      </c>
      <c r="AK2080" s="10" t="str">
        <f>IFERROR(VLOOKUP(B2080,'Pre-Summary'!$AZ$6:$BE$65,6,FALSE),"")</f>
        <v/>
      </c>
      <c r="AL2080" s="10" t="str">
        <f>IFERROR(VLOOKUP(B2080,'Pre-Summary'!$BG$6:$BL$44,3,FALSE),"")</f>
        <v/>
      </c>
      <c r="AM2080" s="10" t="str">
        <f>IFERROR(VLOOKUP(B2080,'Pre-Summary'!$BG$6:$BL$44,4,FALSE),"")</f>
        <v/>
      </c>
    </row>
    <row r="2081" spans="2:39" ht="15" customHeight="1" x14ac:dyDescent="0.3">
      <c r="B2081">
        <v>207.8</v>
      </c>
      <c r="C2081" t="str">
        <f>IFERROR(VLOOKUP(B2081,'Pre-Summary'!$DI$6:$DM$23,4,FALSE),"")</f>
        <v/>
      </c>
      <c r="D2081" s="10" t="str">
        <f>IFERROR(VLOOKUP(B2081,'Pre-Summary'!$AT$6:$AX$14,5,FALSE),D2080)</f>
        <v>Wolfe v3: went back to modified wolfe + EDTA and switched CuSO4 to CUCl2</v>
      </c>
      <c r="E2081" s="10" t="str">
        <f>IFERROR(VLOOKUP(B2081,'Pre-Summary'!$AT$6:$AX$15,4,FALSE),"")</f>
        <v/>
      </c>
      <c r="F2081">
        <f>IFERROR(VLOOKUP(B2081,'Pre-Summary'!$AL$6:$AQ$13,6,FALSE),F2080)</f>
        <v>5.9405263157894746E-2</v>
      </c>
      <c r="G2081" t="str">
        <f>IFERROR(VLOOKUP(B2081,'Pre-Summary'!$AE$6:$AJ$85,3,FALSE),"")</f>
        <v/>
      </c>
      <c r="H2081" t="str">
        <f>IFERROR(VLOOKUP(B2081,'Pre-Summary'!$AE$6:$AJ$85,4,FALSE),"")</f>
        <v/>
      </c>
      <c r="I2081" t="str">
        <f>IFERROR(VLOOKUP(B2081,'Pre-Summary'!$AE$6:$AJ$85,5,FALSE),"")</f>
        <v/>
      </c>
      <c r="J2081" s="45" t="str">
        <f>IFERROR(VLOOKUP(B2081,'Pre-Summary'!$AE$6:$AJ$85,6, FALSE),"")</f>
        <v/>
      </c>
      <c r="K2081" s="45" t="str">
        <f>IFERROR(VLOOKUP(B2081,'Pre-Summary'!$DE$6:$DG$61,3,FALSE),"")</f>
        <v/>
      </c>
      <c r="L2081" s="45" t="str">
        <f>IFERROR(VLOOKUP(B2081,'Pre-Summary'!$CU$6:$CW$36,3,FALSE),"")</f>
        <v/>
      </c>
      <c r="M2081" s="45" t="str">
        <f>IFERROR(VLOOKUP(B2081,'Pre-Summary'!$BW$6:$BY$58,2,FALSE),"")</f>
        <v/>
      </c>
      <c r="N2081" s="45" t="str">
        <f>IFERROR(VLOOKUP(B2081,'Pre-Summary'!$CD$6:$CF$64,2,FALSE),"")</f>
        <v/>
      </c>
      <c r="O2081" s="99">
        <f>IFERROR(VLOOKUP(B2081,'Pre-Summary'!$BO$6:$BQ$48,3, FALSE),O2080)</f>
        <v>1.3480000000000001</v>
      </c>
      <c r="P2081" s="99">
        <f>IFERROR(VLOOKUP(B2081,'Pre-Summary'!$BS$6:$BU$35,3,FALSE),P2080)</f>
        <v>0.379</v>
      </c>
      <c r="Q2081" s="54">
        <f t="shared" si="96"/>
        <v>3.556728232189974</v>
      </c>
      <c r="R2081" s="53">
        <f>IFERROR(VLOOKUP(B2081,'Pre-Summary'!$BG$6:$BM$44,7,FALSE),R2082)</f>
        <v>7.3789975262610413E-2</v>
      </c>
      <c r="S2081" s="53">
        <f>IFERROR(VLOOKUP(B2081,'Pre-Summary'!$BG$6:$BM$44,6,FALSE),S2082)</f>
        <v>5.2064631956901149E-2</v>
      </c>
      <c r="T2081" s="45" t="str">
        <f>IFERROR(VLOOKUP(B2081,'Pre-Summary'!$Y$6:$AC$83, 3,FALSE),"")</f>
        <v/>
      </c>
      <c r="U2081" s="45" t="str">
        <f>IFERROR(VLOOKUP(B2081,'Pre-Summary'!$Y$6:$AC$83, 4,FALSE),"")</f>
        <v/>
      </c>
      <c r="V2081" t="str">
        <f>IFERROR(VLOOKUP(B2081,'Pre-Summary'!$Y$6:$AC$83, 5,FALSE),"")</f>
        <v/>
      </c>
      <c r="W2081" s="45" t="str">
        <f>IFERROR(VLOOKUP(B2081,'Pre-Summary'!$Y$6:$AD$83,6,FALSE),"")</f>
        <v/>
      </c>
      <c r="X2081" t="str">
        <f>IFERROR(VLOOKUP('Pre-Summary'!$DB$6:$DD$63,3,FALSE),"")</f>
        <v/>
      </c>
      <c r="Y2081" t="str">
        <f>IFERROR(VLOOKUP(B2081,'Pre-Summary'!$CR$6:$CT$36,3,FALSE),"")</f>
        <v/>
      </c>
      <c r="Z2081" s="45" t="str">
        <f>IFERROR(VLOOKUP(B2081,'Pre-Summary'!$BZ$6:$CB$63,2,FALSE),"")</f>
        <v/>
      </c>
      <c r="AA2081" s="45" t="str">
        <f>IFERROR(VLOOKUP(B2081,'Pre-Summary'!$CG$6:$CI$70,2,FALSE),"")</f>
        <v/>
      </c>
      <c r="AB2081" s="99">
        <f>IFERROR(VLOOKUP(B2081,'Pre-Summary'!$A$6:$P$178,9,FALSE),AB2082)</f>
        <v>0.34701634393754011</v>
      </c>
      <c r="AC2081" s="10">
        <f>IFERROR(VLOOKUP(Summary!B2081,'Pre-Summary'!$A$6:$P$184,5, FALSE)/100,AC2082)</f>
        <v>0.9815910000000001</v>
      </c>
      <c r="AD2081" s="10">
        <f>IFERROR(VLOOKUP(Summary!B2081,'Pre-Summary'!$A$6:$P$184,3, FALSE)/100,AD2082)</f>
        <v>1.2500666666666667E-2</v>
      </c>
      <c r="AE2081" s="10">
        <f>IFERROR(VLOOKUP(Summary!B2081,'Pre-Summary'!$A$6:$P$184,7, FALSE)/100,AE2082)</f>
        <v>5.9083333333333331E-3</v>
      </c>
      <c r="AF2081" s="99">
        <f t="shared" si="97"/>
        <v>4.3379356434485429E-3</v>
      </c>
      <c r="AG2081" s="99">
        <f t="shared" si="98"/>
        <v>2.0502882320976327E-3</v>
      </c>
      <c r="AH2081" s="10" t="str">
        <f>IFERROR(VLOOKUP(B2081,'Pre-Summary'!$AZ$6:$BE$65,3,FALSE),"")</f>
        <v/>
      </c>
      <c r="AI2081" s="10" t="str">
        <f>IFERROR(VLOOKUP(B2081,'Pre-Summary'!$AZ$6:$BE$65,5,FALSE),"")</f>
        <v/>
      </c>
      <c r="AJ2081" s="10" t="str">
        <f>IFERROR(VLOOKUP(B2081,'Pre-Summary'!$AZ$6:$BE$65,4,FALSE),"")</f>
        <v/>
      </c>
      <c r="AK2081" s="10" t="str">
        <f>IFERROR(VLOOKUP(B2081,'Pre-Summary'!$AZ$6:$BE$65,6,FALSE),"")</f>
        <v/>
      </c>
      <c r="AL2081" s="10" t="str">
        <f>IFERROR(VLOOKUP(B2081,'Pre-Summary'!$BG$6:$BL$44,3,FALSE),"")</f>
        <v/>
      </c>
      <c r="AM2081" s="10" t="str">
        <f>IFERROR(VLOOKUP(B2081,'Pre-Summary'!$BG$6:$BL$44,4,FALSE),"")</f>
        <v/>
      </c>
    </row>
    <row r="2082" spans="2:39" ht="15" customHeight="1" x14ac:dyDescent="0.3">
      <c r="B2082">
        <v>207.9</v>
      </c>
      <c r="C2082" t="str">
        <f>IFERROR(VLOOKUP(B2082,'Pre-Summary'!$DI$6:$DM$23,4,FALSE),"")</f>
        <v/>
      </c>
      <c r="D2082" s="10" t="str">
        <f>IFERROR(VLOOKUP(B2082,'Pre-Summary'!$AT$6:$AX$14,5,FALSE),D2081)</f>
        <v>Wolfe v3: went back to modified wolfe + EDTA and switched CuSO4 to CUCl2</v>
      </c>
      <c r="E2082" s="10" t="str">
        <f>IFERROR(VLOOKUP(B2082,'Pre-Summary'!$AT$6:$AX$15,4,FALSE),"")</f>
        <v/>
      </c>
      <c r="F2082">
        <f>IFERROR(VLOOKUP(B2082,'Pre-Summary'!$AL$6:$AQ$13,6,FALSE),F2081)</f>
        <v>5.9405263157894746E-2</v>
      </c>
      <c r="G2082" t="str">
        <f>IFERROR(VLOOKUP(B2082,'Pre-Summary'!$AE$6:$AJ$85,3,FALSE),"")</f>
        <v/>
      </c>
      <c r="H2082" t="str">
        <f>IFERROR(VLOOKUP(B2082,'Pre-Summary'!$AE$6:$AJ$85,4,FALSE),"")</f>
        <v/>
      </c>
      <c r="I2082" t="str">
        <f>IFERROR(VLOOKUP(B2082,'Pre-Summary'!$AE$6:$AJ$85,5,FALSE),"")</f>
        <v/>
      </c>
      <c r="J2082" s="45" t="str">
        <f>IFERROR(VLOOKUP(B2082,'Pre-Summary'!$AE$6:$AJ$85,6, FALSE),"")</f>
        <v/>
      </c>
      <c r="K2082" s="45" t="str">
        <f>IFERROR(VLOOKUP(B2082,'Pre-Summary'!$DE$6:$DG$61,3,FALSE),"")</f>
        <v/>
      </c>
      <c r="L2082" s="45" t="str">
        <f>IFERROR(VLOOKUP(B2082,'Pre-Summary'!$CU$6:$CW$36,3,FALSE),"")</f>
        <v/>
      </c>
      <c r="M2082" s="45" t="str">
        <f>IFERROR(VLOOKUP(B2082,'Pre-Summary'!$BW$6:$BY$58,2,FALSE),"")</f>
        <v/>
      </c>
      <c r="N2082" s="45" t="str">
        <f>IFERROR(VLOOKUP(B2082,'Pre-Summary'!$CD$6:$CF$64,2,FALSE),"")</f>
        <v/>
      </c>
      <c r="O2082" s="99">
        <f>IFERROR(VLOOKUP(B2082,'Pre-Summary'!$BO$6:$BQ$48,3, FALSE),O2081)</f>
        <v>1.3480000000000001</v>
      </c>
      <c r="P2082" s="99">
        <f>IFERROR(VLOOKUP(B2082,'Pre-Summary'!$BS$6:$BU$35,3,FALSE),P2081)</f>
        <v>0.379</v>
      </c>
      <c r="Q2082" s="54">
        <f t="shared" si="96"/>
        <v>3.556728232189974</v>
      </c>
      <c r="R2082" s="53">
        <f>IFERROR(VLOOKUP(B2082,'Pre-Summary'!$BG$6:$BM$44,7,FALSE),R2083)</f>
        <v>7.3789975262610413E-2</v>
      </c>
      <c r="S2082" s="53">
        <f>IFERROR(VLOOKUP(B2082,'Pre-Summary'!$BG$6:$BM$44,6,FALSE),S2083)</f>
        <v>5.2064631956901149E-2</v>
      </c>
      <c r="T2082" s="45" t="str">
        <f>IFERROR(VLOOKUP(B2082,'Pre-Summary'!$Y$6:$AC$83, 3,FALSE),"")</f>
        <v/>
      </c>
      <c r="U2082" s="45" t="str">
        <f>IFERROR(VLOOKUP(B2082,'Pre-Summary'!$Y$6:$AC$83, 4,FALSE),"")</f>
        <v/>
      </c>
      <c r="V2082" t="str">
        <f>IFERROR(VLOOKUP(B2082,'Pre-Summary'!$Y$6:$AC$83, 5,FALSE),"")</f>
        <v/>
      </c>
      <c r="W2082" s="45" t="str">
        <f>IFERROR(VLOOKUP(B2082,'Pre-Summary'!$Y$6:$AD$83,6,FALSE),"")</f>
        <v/>
      </c>
      <c r="X2082" t="str">
        <f>IFERROR(VLOOKUP('Pre-Summary'!$DB$6:$DD$63,3,FALSE),"")</f>
        <v/>
      </c>
      <c r="Y2082" t="str">
        <f>IFERROR(VLOOKUP(B2082,'Pre-Summary'!$CR$6:$CT$36,3,FALSE),"")</f>
        <v/>
      </c>
      <c r="Z2082" s="45" t="str">
        <f>IFERROR(VLOOKUP(B2082,'Pre-Summary'!$BZ$6:$CB$63,2,FALSE),"")</f>
        <v/>
      </c>
      <c r="AA2082" s="45" t="str">
        <f>IFERROR(VLOOKUP(B2082,'Pre-Summary'!$CG$6:$CI$70,2,FALSE),"")</f>
        <v/>
      </c>
      <c r="AB2082" s="99">
        <f>IFERROR(VLOOKUP(B2082,'Pre-Summary'!$A$6:$P$178,9,FALSE),AB2083)</f>
        <v>0.34701634393754011</v>
      </c>
      <c r="AC2082" s="10">
        <f>IFERROR(VLOOKUP(Summary!B2082,'Pre-Summary'!$A$6:$P$184,5, FALSE)/100,AC2083)</f>
        <v>0.9815910000000001</v>
      </c>
      <c r="AD2082" s="10">
        <f>IFERROR(VLOOKUP(Summary!B2082,'Pre-Summary'!$A$6:$P$184,3, FALSE)/100,AD2083)</f>
        <v>1.2500666666666667E-2</v>
      </c>
      <c r="AE2082" s="10">
        <f>IFERROR(VLOOKUP(Summary!B2082,'Pre-Summary'!$A$6:$P$184,7, FALSE)/100,AE2083)</f>
        <v>5.9083333333333331E-3</v>
      </c>
      <c r="AF2082" s="99">
        <f t="shared" si="97"/>
        <v>4.3379356434485429E-3</v>
      </c>
      <c r="AG2082" s="99">
        <f t="shared" si="98"/>
        <v>2.0502882320976327E-3</v>
      </c>
      <c r="AH2082" s="10" t="str">
        <f>IFERROR(VLOOKUP(B2082,'Pre-Summary'!$AZ$6:$BE$65,3,FALSE),"")</f>
        <v/>
      </c>
      <c r="AI2082" s="10" t="str">
        <f>IFERROR(VLOOKUP(B2082,'Pre-Summary'!$AZ$6:$BE$65,5,FALSE),"")</f>
        <v/>
      </c>
      <c r="AJ2082" s="10" t="str">
        <f>IFERROR(VLOOKUP(B2082,'Pre-Summary'!$AZ$6:$BE$65,4,FALSE),"")</f>
        <v/>
      </c>
      <c r="AK2082" s="10" t="str">
        <f>IFERROR(VLOOKUP(B2082,'Pre-Summary'!$AZ$6:$BE$65,6,FALSE),"")</f>
        <v/>
      </c>
      <c r="AL2082" s="10" t="str">
        <f>IFERROR(VLOOKUP(B2082,'Pre-Summary'!$BG$6:$BL$44,3,FALSE),"")</f>
        <v/>
      </c>
      <c r="AM2082" s="10" t="str">
        <f>IFERROR(VLOOKUP(B2082,'Pre-Summary'!$BG$6:$BL$44,4,FALSE),"")</f>
        <v/>
      </c>
    </row>
    <row r="2083" spans="2:39" ht="15" customHeight="1" x14ac:dyDescent="0.3">
      <c r="B2083">
        <v>208</v>
      </c>
      <c r="C2083" t="str">
        <f>IFERROR(VLOOKUP(B2083,'Pre-Summary'!$DI$6:$DM$23,4,FALSE),"")</f>
        <v/>
      </c>
      <c r="D2083" s="10" t="str">
        <f>IFERROR(VLOOKUP(B2083,'Pre-Summary'!$AT$6:$AX$14,5,FALSE),D2082)</f>
        <v>Wolfe v3: went back to modified wolfe + EDTA and switched CuSO4 to CUCl2</v>
      </c>
      <c r="E2083" s="10" t="str">
        <f>IFERROR(VLOOKUP(B2083,'Pre-Summary'!$AT$6:$AX$15,4,FALSE),"")</f>
        <v/>
      </c>
      <c r="F2083">
        <f>IFERROR(VLOOKUP(B2083,'Pre-Summary'!$AL$6:$AQ$13,6,FALSE),F2082)</f>
        <v>5.9405263157894746E-2</v>
      </c>
      <c r="G2083" t="str">
        <f>IFERROR(VLOOKUP(B2083,'Pre-Summary'!$AE$6:$AJ$85,3,FALSE),"")</f>
        <v/>
      </c>
      <c r="H2083" t="str">
        <f>IFERROR(VLOOKUP(B2083,'Pre-Summary'!$AE$6:$AJ$85,4,FALSE),"")</f>
        <v/>
      </c>
      <c r="I2083" t="str">
        <f>IFERROR(VLOOKUP(B2083,'Pre-Summary'!$AE$6:$AJ$85,5,FALSE),"")</f>
        <v/>
      </c>
      <c r="J2083" s="45" t="str">
        <f>IFERROR(VLOOKUP(B2083,'Pre-Summary'!$AE$6:$AJ$85,6, FALSE),"")</f>
        <v/>
      </c>
      <c r="K2083" s="45" t="str">
        <f>IFERROR(VLOOKUP(B2083,'Pre-Summary'!$DE$6:$DG$61,3,FALSE),"")</f>
        <v/>
      </c>
      <c r="L2083" s="45" t="str">
        <f>IFERROR(VLOOKUP(B2083,'Pre-Summary'!$CU$6:$CW$36,3,FALSE),"")</f>
        <v/>
      </c>
      <c r="M2083" s="45" t="str">
        <f>IFERROR(VLOOKUP(B2083,'Pre-Summary'!$BW$6:$BY$58,2,FALSE),"")</f>
        <v/>
      </c>
      <c r="N2083" s="45" t="str">
        <f>IFERROR(VLOOKUP(B2083,'Pre-Summary'!$CD$6:$CF$64,2,FALSE),"")</f>
        <v/>
      </c>
      <c r="O2083" s="99">
        <f>IFERROR(VLOOKUP(B2083,'Pre-Summary'!$BO$6:$BQ$48,3, FALSE),O2082)</f>
        <v>1.3480000000000001</v>
      </c>
      <c r="P2083" s="99">
        <f>IFERROR(VLOOKUP(B2083,'Pre-Summary'!$BS$6:$BU$35,3,FALSE),P2082)</f>
        <v>0.379</v>
      </c>
      <c r="Q2083" s="54">
        <f t="shared" si="96"/>
        <v>3.556728232189974</v>
      </c>
      <c r="R2083" s="53">
        <f>IFERROR(VLOOKUP(B2083,'Pre-Summary'!$BG$6:$BM$44,7,FALSE),R2084)</f>
        <v>7.3789975262610413E-2</v>
      </c>
      <c r="S2083" s="53">
        <f>IFERROR(VLOOKUP(B2083,'Pre-Summary'!$BG$6:$BM$44,6,FALSE),S2084)</f>
        <v>5.2064631956901149E-2</v>
      </c>
      <c r="T2083" s="45" t="str">
        <f>IFERROR(VLOOKUP(B2083,'Pre-Summary'!$Y$6:$AC$83, 3,FALSE),"")</f>
        <v/>
      </c>
      <c r="U2083" s="45" t="str">
        <f>IFERROR(VLOOKUP(B2083,'Pre-Summary'!$Y$6:$AC$83, 4,FALSE),"")</f>
        <v/>
      </c>
      <c r="V2083" t="str">
        <f>IFERROR(VLOOKUP(B2083,'Pre-Summary'!$Y$6:$AC$83, 5,FALSE),"")</f>
        <v/>
      </c>
      <c r="W2083" s="45" t="str">
        <f>IFERROR(VLOOKUP(B2083,'Pre-Summary'!$Y$6:$AD$83,6,FALSE),"")</f>
        <v/>
      </c>
      <c r="X2083" t="str">
        <f>IFERROR(VLOOKUP('Pre-Summary'!$DB$6:$DD$63,3,FALSE),"")</f>
        <v/>
      </c>
      <c r="Y2083" t="str">
        <f>IFERROR(VLOOKUP(B2083,'Pre-Summary'!$CR$6:$CT$36,3,FALSE),"")</f>
        <v/>
      </c>
      <c r="Z2083" s="45" t="str">
        <f>IFERROR(VLOOKUP(B2083,'Pre-Summary'!$BZ$6:$CB$63,2,FALSE),"")</f>
        <v/>
      </c>
      <c r="AA2083" s="45" t="str">
        <f>IFERROR(VLOOKUP(B2083,'Pre-Summary'!$CG$6:$CI$70,2,FALSE),"")</f>
        <v/>
      </c>
      <c r="AB2083" s="99">
        <f>IFERROR(VLOOKUP(B2083,'Pre-Summary'!$A$6:$P$178,9,FALSE),AB2084)</f>
        <v>0.34701634393754011</v>
      </c>
      <c r="AC2083" s="10">
        <f>IFERROR(VLOOKUP(Summary!B2083,'Pre-Summary'!$A$6:$P$184,5, FALSE)/100,AC2084)</f>
        <v>0.9815910000000001</v>
      </c>
      <c r="AD2083" s="10">
        <f>IFERROR(VLOOKUP(Summary!B2083,'Pre-Summary'!$A$6:$P$184,3, FALSE)/100,AD2084)</f>
        <v>1.2500666666666667E-2</v>
      </c>
      <c r="AE2083" s="10">
        <f>IFERROR(VLOOKUP(Summary!B2083,'Pre-Summary'!$A$6:$P$184,7, FALSE)/100,AE2084)</f>
        <v>5.9083333333333331E-3</v>
      </c>
      <c r="AF2083" s="99">
        <f t="shared" si="97"/>
        <v>4.3379356434485429E-3</v>
      </c>
      <c r="AG2083" s="99">
        <f t="shared" si="98"/>
        <v>2.0502882320976327E-3</v>
      </c>
      <c r="AH2083" s="10" t="str">
        <f>IFERROR(VLOOKUP(B2083,'Pre-Summary'!$AZ$6:$BE$65,3,FALSE),"")</f>
        <v/>
      </c>
      <c r="AI2083" s="10" t="str">
        <f>IFERROR(VLOOKUP(B2083,'Pre-Summary'!$AZ$6:$BE$65,5,FALSE),"")</f>
        <v/>
      </c>
      <c r="AJ2083" s="10" t="str">
        <f>IFERROR(VLOOKUP(B2083,'Pre-Summary'!$AZ$6:$BE$65,4,FALSE),"")</f>
        <v/>
      </c>
      <c r="AK2083" s="10" t="str">
        <f>IFERROR(VLOOKUP(B2083,'Pre-Summary'!$AZ$6:$BE$65,6,FALSE),"")</f>
        <v/>
      </c>
      <c r="AL2083" s="10" t="str">
        <f>IFERROR(VLOOKUP(B2083,'Pre-Summary'!$BG$6:$BL$44,3,FALSE),"")</f>
        <v/>
      </c>
      <c r="AM2083" s="10" t="str">
        <f>IFERROR(VLOOKUP(B2083,'Pre-Summary'!$BG$6:$BL$44,4,FALSE),"")</f>
        <v/>
      </c>
    </row>
    <row r="2084" spans="2:39" ht="15" customHeight="1" x14ac:dyDescent="0.3">
      <c r="B2084">
        <v>208.1</v>
      </c>
      <c r="C2084" t="str">
        <f>IFERROR(VLOOKUP(B2084,'Pre-Summary'!$DI$6:$DM$23,4,FALSE),"")</f>
        <v/>
      </c>
      <c r="D2084" s="10" t="str">
        <f>IFERROR(VLOOKUP(B2084,'Pre-Summary'!$AT$6:$AX$14,5,FALSE),D2083)</f>
        <v>Wolfe v3: went back to modified wolfe + EDTA and switched CuSO4 to CUCl2</v>
      </c>
      <c r="E2084" s="10" t="str">
        <f>IFERROR(VLOOKUP(B2084,'Pre-Summary'!$AT$6:$AX$15,4,FALSE),"")</f>
        <v/>
      </c>
      <c r="F2084">
        <f>IFERROR(VLOOKUP(B2084,'Pre-Summary'!$AL$6:$AQ$13,6,FALSE),F2083)</f>
        <v>5.9405263157894746E-2</v>
      </c>
      <c r="G2084" t="str">
        <f>IFERROR(VLOOKUP(B2084,'Pre-Summary'!$AE$6:$AJ$85,3,FALSE),"")</f>
        <v/>
      </c>
      <c r="H2084" t="str">
        <f>IFERROR(VLOOKUP(B2084,'Pre-Summary'!$AE$6:$AJ$85,4,FALSE),"")</f>
        <v/>
      </c>
      <c r="I2084" t="str">
        <f>IFERROR(VLOOKUP(B2084,'Pre-Summary'!$AE$6:$AJ$85,5,FALSE),"")</f>
        <v/>
      </c>
      <c r="J2084" s="45" t="str">
        <f>IFERROR(VLOOKUP(B2084,'Pre-Summary'!$AE$6:$AJ$85,6, FALSE),"")</f>
        <v/>
      </c>
      <c r="K2084" s="45" t="str">
        <f>IFERROR(VLOOKUP(B2084,'Pre-Summary'!$DE$6:$DG$61,3,FALSE),"")</f>
        <v/>
      </c>
      <c r="L2084" s="45" t="str">
        <f>IFERROR(VLOOKUP(B2084,'Pre-Summary'!$CU$6:$CW$36,3,FALSE),"")</f>
        <v/>
      </c>
      <c r="M2084" s="45" t="str">
        <f>IFERROR(VLOOKUP(B2084,'Pre-Summary'!$BW$6:$BY$58,2,FALSE),"")</f>
        <v/>
      </c>
      <c r="N2084" s="45" t="str">
        <f>IFERROR(VLOOKUP(B2084,'Pre-Summary'!$CD$6:$CF$64,2,FALSE),"")</f>
        <v/>
      </c>
      <c r="O2084" s="99">
        <f>IFERROR(VLOOKUP(B2084,'Pre-Summary'!$BO$6:$BQ$48,3, FALSE),O2083)</f>
        <v>1.3480000000000001</v>
      </c>
      <c r="P2084" s="99">
        <f>IFERROR(VLOOKUP(B2084,'Pre-Summary'!$BS$6:$BU$35,3,FALSE),P2083)</f>
        <v>0.379</v>
      </c>
      <c r="Q2084" s="54">
        <f t="shared" si="96"/>
        <v>3.556728232189974</v>
      </c>
      <c r="R2084" s="53">
        <f>IFERROR(VLOOKUP(B2084,'Pre-Summary'!$BG$6:$BM$44,7,FALSE),R2085)</f>
        <v>7.3789975262610413E-2</v>
      </c>
      <c r="S2084" s="53">
        <f>IFERROR(VLOOKUP(B2084,'Pre-Summary'!$BG$6:$BM$44,6,FALSE),S2085)</f>
        <v>5.2064631956901149E-2</v>
      </c>
      <c r="T2084" s="45" t="str">
        <f>IFERROR(VLOOKUP(B2084,'Pre-Summary'!$Y$6:$AC$83, 3,FALSE),"")</f>
        <v/>
      </c>
      <c r="U2084" s="45" t="str">
        <f>IFERROR(VLOOKUP(B2084,'Pre-Summary'!$Y$6:$AC$83, 4,FALSE),"")</f>
        <v/>
      </c>
      <c r="V2084" t="str">
        <f>IFERROR(VLOOKUP(B2084,'Pre-Summary'!$Y$6:$AC$83, 5,FALSE),"")</f>
        <v/>
      </c>
      <c r="W2084" s="45" t="str">
        <f>IFERROR(VLOOKUP(B2084,'Pre-Summary'!$Y$6:$AD$83,6,FALSE),"")</f>
        <v/>
      </c>
      <c r="X2084" t="str">
        <f>IFERROR(VLOOKUP('Pre-Summary'!$DB$6:$DD$63,3,FALSE),"")</f>
        <v/>
      </c>
      <c r="Y2084" t="str">
        <f>IFERROR(VLOOKUP(B2084,'Pre-Summary'!$CR$6:$CT$36,3,FALSE),"")</f>
        <v/>
      </c>
      <c r="Z2084" s="45" t="str">
        <f>IFERROR(VLOOKUP(B2084,'Pre-Summary'!$BZ$6:$CB$63,2,FALSE),"")</f>
        <v/>
      </c>
      <c r="AA2084" s="45" t="str">
        <f>IFERROR(VLOOKUP(B2084,'Pre-Summary'!$CG$6:$CI$70,2,FALSE),"")</f>
        <v/>
      </c>
      <c r="AB2084" s="99">
        <f>IFERROR(VLOOKUP(B2084,'Pre-Summary'!$A$6:$P$178,9,FALSE),AB2085)</f>
        <v>0.34701634393754011</v>
      </c>
      <c r="AC2084" s="10">
        <f>IFERROR(VLOOKUP(Summary!B2084,'Pre-Summary'!$A$6:$P$184,5, FALSE)/100,AC2085)</f>
        <v>0.9815910000000001</v>
      </c>
      <c r="AD2084" s="10">
        <f>IFERROR(VLOOKUP(Summary!B2084,'Pre-Summary'!$A$6:$P$184,3, FALSE)/100,AD2085)</f>
        <v>1.2500666666666667E-2</v>
      </c>
      <c r="AE2084" s="10">
        <f>IFERROR(VLOOKUP(Summary!B2084,'Pre-Summary'!$A$6:$P$184,7, FALSE)/100,AE2085)</f>
        <v>5.9083333333333331E-3</v>
      </c>
      <c r="AF2084" s="99">
        <f t="shared" si="97"/>
        <v>4.3379356434485429E-3</v>
      </c>
      <c r="AG2084" s="99">
        <f t="shared" si="98"/>
        <v>2.0502882320976327E-3</v>
      </c>
      <c r="AH2084" s="10" t="str">
        <f>IFERROR(VLOOKUP(B2084,'Pre-Summary'!$AZ$6:$BE$65,3,FALSE),"")</f>
        <v/>
      </c>
      <c r="AI2084" s="10" t="str">
        <f>IFERROR(VLOOKUP(B2084,'Pre-Summary'!$AZ$6:$BE$65,5,FALSE),"")</f>
        <v/>
      </c>
      <c r="AJ2084" s="10" t="str">
        <f>IFERROR(VLOOKUP(B2084,'Pre-Summary'!$AZ$6:$BE$65,4,FALSE),"")</f>
        <v/>
      </c>
      <c r="AK2084" s="10" t="str">
        <f>IFERROR(VLOOKUP(B2084,'Pre-Summary'!$AZ$6:$BE$65,6,FALSE),"")</f>
        <v/>
      </c>
      <c r="AL2084" s="10" t="str">
        <f>IFERROR(VLOOKUP(B2084,'Pre-Summary'!$BG$6:$BL$44,3,FALSE),"")</f>
        <v/>
      </c>
      <c r="AM2084" s="10" t="str">
        <f>IFERROR(VLOOKUP(B2084,'Pre-Summary'!$BG$6:$BL$44,4,FALSE),"")</f>
        <v/>
      </c>
    </row>
    <row r="2085" spans="2:39" ht="15" customHeight="1" x14ac:dyDescent="0.3">
      <c r="B2085">
        <v>208.2</v>
      </c>
      <c r="C2085" t="str">
        <f>IFERROR(VLOOKUP(B2085,'Pre-Summary'!$DI$6:$DM$23,4,FALSE),"")</f>
        <v/>
      </c>
      <c r="D2085" s="10" t="str">
        <f>IFERROR(VLOOKUP(B2085,'Pre-Summary'!$AT$6:$AX$14,5,FALSE),D2084)</f>
        <v>Wolfe v3: went back to modified wolfe + EDTA and switched CuSO4 to CUCl2</v>
      </c>
      <c r="E2085" s="10" t="str">
        <f>IFERROR(VLOOKUP(B2085,'Pre-Summary'!$AT$6:$AX$15,4,FALSE),"")</f>
        <v/>
      </c>
      <c r="F2085">
        <f>IFERROR(VLOOKUP(B2085,'Pre-Summary'!$AL$6:$AQ$13,6,FALSE),F2084)</f>
        <v>5.9405263157894746E-2</v>
      </c>
      <c r="G2085" t="str">
        <f>IFERROR(VLOOKUP(B2085,'Pre-Summary'!$AE$6:$AJ$85,3,FALSE),"")</f>
        <v/>
      </c>
      <c r="H2085" t="str">
        <f>IFERROR(VLOOKUP(B2085,'Pre-Summary'!$AE$6:$AJ$85,4,FALSE),"")</f>
        <v/>
      </c>
      <c r="I2085" t="str">
        <f>IFERROR(VLOOKUP(B2085,'Pre-Summary'!$AE$6:$AJ$85,5,FALSE),"")</f>
        <v/>
      </c>
      <c r="J2085" s="45" t="str">
        <f>IFERROR(VLOOKUP(B2085,'Pre-Summary'!$AE$6:$AJ$85,6, FALSE),"")</f>
        <v/>
      </c>
      <c r="K2085" s="45" t="str">
        <f>IFERROR(VLOOKUP(B2085,'Pre-Summary'!$DE$6:$DG$61,3,FALSE),"")</f>
        <v/>
      </c>
      <c r="L2085" s="45" t="str">
        <f>IFERROR(VLOOKUP(B2085,'Pre-Summary'!$CU$6:$CW$36,3,FALSE),"")</f>
        <v/>
      </c>
      <c r="M2085" s="45" t="str">
        <f>IFERROR(VLOOKUP(B2085,'Pre-Summary'!$BW$6:$BY$58,2,FALSE),"")</f>
        <v/>
      </c>
      <c r="N2085" s="45" t="str">
        <f>IFERROR(VLOOKUP(B2085,'Pre-Summary'!$CD$6:$CF$64,2,FALSE),"")</f>
        <v/>
      </c>
      <c r="O2085" s="99">
        <f>IFERROR(VLOOKUP(B2085,'Pre-Summary'!$BO$6:$BQ$48,3, FALSE),O2084)</f>
        <v>1.3480000000000001</v>
      </c>
      <c r="P2085" s="99">
        <f>IFERROR(VLOOKUP(B2085,'Pre-Summary'!$BS$6:$BU$35,3,FALSE),P2084)</f>
        <v>0.379</v>
      </c>
      <c r="Q2085" s="54">
        <f t="shared" si="96"/>
        <v>3.556728232189974</v>
      </c>
      <c r="R2085" s="53">
        <f>IFERROR(VLOOKUP(B2085,'Pre-Summary'!$BG$6:$BM$44,7,FALSE),R2086)</f>
        <v>7.3789975262610413E-2</v>
      </c>
      <c r="S2085" s="53">
        <f>IFERROR(VLOOKUP(B2085,'Pre-Summary'!$BG$6:$BM$44,6,FALSE),S2086)</f>
        <v>5.2064631956901149E-2</v>
      </c>
      <c r="T2085" s="45" t="str">
        <f>IFERROR(VLOOKUP(B2085,'Pre-Summary'!$Y$6:$AC$83, 3,FALSE),"")</f>
        <v/>
      </c>
      <c r="U2085" s="45" t="str">
        <f>IFERROR(VLOOKUP(B2085,'Pre-Summary'!$Y$6:$AC$83, 4,FALSE),"")</f>
        <v/>
      </c>
      <c r="V2085" t="str">
        <f>IFERROR(VLOOKUP(B2085,'Pre-Summary'!$Y$6:$AC$83, 5,FALSE),"")</f>
        <v/>
      </c>
      <c r="W2085" s="45" t="str">
        <f>IFERROR(VLOOKUP(B2085,'Pre-Summary'!$Y$6:$AD$83,6,FALSE),"")</f>
        <v/>
      </c>
      <c r="X2085" t="str">
        <f>IFERROR(VLOOKUP('Pre-Summary'!$DB$6:$DD$63,3,FALSE),"")</f>
        <v/>
      </c>
      <c r="Y2085" t="str">
        <f>IFERROR(VLOOKUP(B2085,'Pre-Summary'!$CR$6:$CT$36,3,FALSE),"")</f>
        <v/>
      </c>
      <c r="Z2085" s="45" t="str">
        <f>IFERROR(VLOOKUP(B2085,'Pre-Summary'!$BZ$6:$CB$63,2,FALSE),"")</f>
        <v/>
      </c>
      <c r="AA2085" s="45" t="str">
        <f>IFERROR(VLOOKUP(B2085,'Pre-Summary'!$CG$6:$CI$70,2,FALSE),"")</f>
        <v/>
      </c>
      <c r="AB2085" s="99">
        <f>IFERROR(VLOOKUP(B2085,'Pre-Summary'!$A$6:$P$178,9,FALSE),AB2086)</f>
        <v>0.34701634393754011</v>
      </c>
      <c r="AC2085" s="10">
        <f>IFERROR(VLOOKUP(Summary!B2085,'Pre-Summary'!$A$6:$P$184,5, FALSE)/100,AC2086)</f>
        <v>0.9815910000000001</v>
      </c>
      <c r="AD2085" s="10">
        <f>IFERROR(VLOOKUP(Summary!B2085,'Pre-Summary'!$A$6:$P$184,3, FALSE)/100,AD2086)</f>
        <v>1.2500666666666667E-2</v>
      </c>
      <c r="AE2085" s="10">
        <f>IFERROR(VLOOKUP(Summary!B2085,'Pre-Summary'!$A$6:$P$184,7, FALSE)/100,AE2086)</f>
        <v>5.9083333333333331E-3</v>
      </c>
      <c r="AF2085" s="99">
        <f t="shared" si="97"/>
        <v>4.3379356434485429E-3</v>
      </c>
      <c r="AG2085" s="99">
        <f t="shared" si="98"/>
        <v>2.0502882320976327E-3</v>
      </c>
      <c r="AH2085" s="10" t="str">
        <f>IFERROR(VLOOKUP(B2085,'Pre-Summary'!$AZ$6:$BE$65,3,FALSE),"")</f>
        <v/>
      </c>
      <c r="AI2085" s="10" t="str">
        <f>IFERROR(VLOOKUP(B2085,'Pre-Summary'!$AZ$6:$BE$65,5,FALSE),"")</f>
        <v/>
      </c>
      <c r="AJ2085" s="10" t="str">
        <f>IFERROR(VLOOKUP(B2085,'Pre-Summary'!$AZ$6:$BE$65,4,FALSE),"")</f>
        <v/>
      </c>
      <c r="AK2085" s="10" t="str">
        <f>IFERROR(VLOOKUP(B2085,'Pre-Summary'!$AZ$6:$BE$65,6,FALSE),"")</f>
        <v/>
      </c>
      <c r="AL2085" s="10" t="str">
        <f>IFERROR(VLOOKUP(B2085,'Pre-Summary'!$BG$6:$BL$44,3,FALSE),"")</f>
        <v/>
      </c>
      <c r="AM2085" s="10" t="str">
        <f>IFERROR(VLOOKUP(B2085,'Pre-Summary'!$BG$6:$BL$44,4,FALSE),"")</f>
        <v/>
      </c>
    </row>
    <row r="2086" spans="2:39" ht="15" customHeight="1" x14ac:dyDescent="0.3">
      <c r="B2086">
        <v>208.3</v>
      </c>
      <c r="C2086" t="str">
        <f>IFERROR(VLOOKUP(B2086,'Pre-Summary'!$DI$6:$DM$23,4,FALSE),"")</f>
        <v/>
      </c>
      <c r="D2086" s="10" t="str">
        <f>IFERROR(VLOOKUP(B2086,'Pre-Summary'!$AT$6:$AX$14,5,FALSE),D2085)</f>
        <v>Wolfe v3: went back to modified wolfe + EDTA and switched CuSO4 to CUCl2</v>
      </c>
      <c r="E2086" s="10" t="str">
        <f>IFERROR(VLOOKUP(B2086,'Pre-Summary'!$AT$6:$AX$15,4,FALSE),"")</f>
        <v/>
      </c>
      <c r="F2086">
        <f>IFERROR(VLOOKUP(B2086,'Pre-Summary'!$AL$6:$AQ$13,6,FALSE),F2085)</f>
        <v>5.9405263157894746E-2</v>
      </c>
      <c r="G2086" t="str">
        <f>IFERROR(VLOOKUP(B2086,'Pre-Summary'!$AE$6:$AJ$85,3,FALSE),"")</f>
        <v/>
      </c>
      <c r="H2086" t="str">
        <f>IFERROR(VLOOKUP(B2086,'Pre-Summary'!$AE$6:$AJ$85,4,FALSE),"")</f>
        <v/>
      </c>
      <c r="I2086" t="str">
        <f>IFERROR(VLOOKUP(B2086,'Pre-Summary'!$AE$6:$AJ$85,5,FALSE),"")</f>
        <v/>
      </c>
      <c r="J2086" s="45" t="str">
        <f>IFERROR(VLOOKUP(B2086,'Pre-Summary'!$AE$6:$AJ$85,6, FALSE),"")</f>
        <v/>
      </c>
      <c r="K2086" s="45" t="str">
        <f>IFERROR(VLOOKUP(B2086,'Pre-Summary'!$DE$6:$DG$61,3,FALSE),"")</f>
        <v/>
      </c>
      <c r="L2086" s="45" t="str">
        <f>IFERROR(VLOOKUP(B2086,'Pre-Summary'!$CU$6:$CW$36,3,FALSE),"")</f>
        <v/>
      </c>
      <c r="M2086" s="45" t="str">
        <f>IFERROR(VLOOKUP(B2086,'Pre-Summary'!$BW$6:$BY$58,2,FALSE),"")</f>
        <v/>
      </c>
      <c r="N2086" s="45" t="str">
        <f>IFERROR(VLOOKUP(B2086,'Pre-Summary'!$CD$6:$CF$64,2,FALSE),"")</f>
        <v/>
      </c>
      <c r="O2086" s="99">
        <f>IFERROR(VLOOKUP(B2086,'Pre-Summary'!$BO$6:$BQ$48,3, FALSE),O2085)</f>
        <v>1.3480000000000001</v>
      </c>
      <c r="P2086" s="99">
        <f>IFERROR(VLOOKUP(B2086,'Pre-Summary'!$BS$6:$BU$35,3,FALSE),P2085)</f>
        <v>0.379</v>
      </c>
      <c r="Q2086" s="54">
        <f t="shared" si="96"/>
        <v>3.556728232189974</v>
      </c>
      <c r="R2086" s="53">
        <f>IFERROR(VLOOKUP(B2086,'Pre-Summary'!$BG$6:$BM$44,7,FALSE),R2087)</f>
        <v>7.3789975262610413E-2</v>
      </c>
      <c r="S2086" s="53">
        <f>IFERROR(VLOOKUP(B2086,'Pre-Summary'!$BG$6:$BM$44,6,FALSE),S2087)</f>
        <v>5.2064631956901149E-2</v>
      </c>
      <c r="T2086" s="45" t="str">
        <f>IFERROR(VLOOKUP(B2086,'Pre-Summary'!$Y$6:$AC$83, 3,FALSE),"")</f>
        <v/>
      </c>
      <c r="U2086" s="45" t="str">
        <f>IFERROR(VLOOKUP(B2086,'Pre-Summary'!$Y$6:$AC$83, 4,FALSE),"")</f>
        <v/>
      </c>
      <c r="V2086" t="str">
        <f>IFERROR(VLOOKUP(B2086,'Pre-Summary'!$Y$6:$AC$83, 5,FALSE),"")</f>
        <v/>
      </c>
      <c r="W2086" s="45" t="str">
        <f>IFERROR(VLOOKUP(B2086,'Pre-Summary'!$Y$6:$AD$83,6,FALSE),"")</f>
        <v/>
      </c>
      <c r="X2086" t="str">
        <f>IFERROR(VLOOKUP('Pre-Summary'!$DB$6:$DD$63,3,FALSE),"")</f>
        <v/>
      </c>
      <c r="Y2086" t="str">
        <f>IFERROR(VLOOKUP(B2086,'Pre-Summary'!$CR$6:$CT$36,3,FALSE),"")</f>
        <v/>
      </c>
      <c r="Z2086" s="45" t="str">
        <f>IFERROR(VLOOKUP(B2086,'Pre-Summary'!$BZ$6:$CB$63,2,FALSE),"")</f>
        <v/>
      </c>
      <c r="AA2086" s="45" t="str">
        <f>IFERROR(VLOOKUP(B2086,'Pre-Summary'!$CG$6:$CI$70,2,FALSE),"")</f>
        <v/>
      </c>
      <c r="AB2086" s="99">
        <f>IFERROR(VLOOKUP(B2086,'Pre-Summary'!$A$6:$P$178,9,FALSE),AB2087)</f>
        <v>0.34701634393754011</v>
      </c>
      <c r="AC2086" s="10">
        <f>IFERROR(VLOOKUP(Summary!B2086,'Pre-Summary'!$A$6:$P$184,5, FALSE)/100,AC2087)</f>
        <v>0.9815910000000001</v>
      </c>
      <c r="AD2086" s="10">
        <f>IFERROR(VLOOKUP(Summary!B2086,'Pre-Summary'!$A$6:$P$184,3, FALSE)/100,AD2087)</f>
        <v>1.2500666666666667E-2</v>
      </c>
      <c r="AE2086" s="10">
        <f>IFERROR(VLOOKUP(Summary!B2086,'Pre-Summary'!$A$6:$P$184,7, FALSE)/100,AE2087)</f>
        <v>5.9083333333333331E-3</v>
      </c>
      <c r="AF2086" s="99">
        <f t="shared" si="97"/>
        <v>4.3379356434485429E-3</v>
      </c>
      <c r="AG2086" s="99">
        <f t="shared" si="98"/>
        <v>2.0502882320976327E-3</v>
      </c>
      <c r="AH2086" s="10" t="str">
        <f>IFERROR(VLOOKUP(B2086,'Pre-Summary'!$AZ$6:$BE$65,3,FALSE),"")</f>
        <v/>
      </c>
      <c r="AI2086" s="10" t="str">
        <f>IFERROR(VLOOKUP(B2086,'Pre-Summary'!$AZ$6:$BE$65,5,FALSE),"")</f>
        <v/>
      </c>
      <c r="AJ2086" s="10" t="str">
        <f>IFERROR(VLOOKUP(B2086,'Pre-Summary'!$AZ$6:$BE$65,4,FALSE),"")</f>
        <v/>
      </c>
      <c r="AK2086" s="10" t="str">
        <f>IFERROR(VLOOKUP(B2086,'Pre-Summary'!$AZ$6:$BE$65,6,FALSE),"")</f>
        <v/>
      </c>
      <c r="AL2086" s="10" t="str">
        <f>IFERROR(VLOOKUP(B2086,'Pre-Summary'!$BG$6:$BL$44,3,FALSE),"")</f>
        <v/>
      </c>
      <c r="AM2086" s="10" t="str">
        <f>IFERROR(VLOOKUP(B2086,'Pre-Summary'!$BG$6:$BL$44,4,FALSE),"")</f>
        <v/>
      </c>
    </row>
    <row r="2087" spans="2:39" ht="15" customHeight="1" x14ac:dyDescent="0.3">
      <c r="B2087">
        <v>208.4</v>
      </c>
      <c r="C2087" t="str">
        <f>IFERROR(VLOOKUP(B2087,'Pre-Summary'!$DI$6:$DM$23,4,FALSE),"")</f>
        <v/>
      </c>
      <c r="D2087" s="10" t="str">
        <f>IFERROR(VLOOKUP(B2087,'Pre-Summary'!$AT$6:$AX$14,5,FALSE),D2086)</f>
        <v>Wolfe v3: went back to modified wolfe + EDTA and switched CuSO4 to CUCl2</v>
      </c>
      <c r="E2087" s="10" t="str">
        <f>IFERROR(VLOOKUP(B2087,'Pre-Summary'!$AT$6:$AX$15,4,FALSE),"")</f>
        <v/>
      </c>
      <c r="F2087">
        <f>IFERROR(VLOOKUP(B2087,'Pre-Summary'!$AL$6:$AQ$13,6,FALSE),F2086)</f>
        <v>5.9405263157894746E-2</v>
      </c>
      <c r="G2087" t="str">
        <f>IFERROR(VLOOKUP(B2087,'Pre-Summary'!$AE$6:$AJ$85,3,FALSE),"")</f>
        <v/>
      </c>
      <c r="H2087" t="str">
        <f>IFERROR(VLOOKUP(B2087,'Pre-Summary'!$AE$6:$AJ$85,4,FALSE),"")</f>
        <v/>
      </c>
      <c r="I2087" t="str">
        <f>IFERROR(VLOOKUP(B2087,'Pre-Summary'!$AE$6:$AJ$85,5,FALSE),"")</f>
        <v/>
      </c>
      <c r="J2087" s="45" t="str">
        <f>IFERROR(VLOOKUP(B2087,'Pre-Summary'!$AE$6:$AJ$85,6, FALSE),"")</f>
        <v/>
      </c>
      <c r="K2087" s="45" t="str">
        <f>IFERROR(VLOOKUP(B2087,'Pre-Summary'!$DE$6:$DG$61,3,FALSE),"")</f>
        <v/>
      </c>
      <c r="L2087" s="45" t="str">
        <f>IFERROR(VLOOKUP(B2087,'Pre-Summary'!$CU$6:$CW$36,3,FALSE),"")</f>
        <v/>
      </c>
      <c r="M2087" s="45" t="str">
        <f>IFERROR(VLOOKUP(B2087,'Pre-Summary'!$BW$6:$BY$58,2,FALSE),"")</f>
        <v/>
      </c>
      <c r="N2087" s="45" t="str">
        <f>IFERROR(VLOOKUP(B2087,'Pre-Summary'!$CD$6:$CF$64,2,FALSE),"")</f>
        <v/>
      </c>
      <c r="O2087" s="99">
        <f>IFERROR(VLOOKUP(B2087,'Pre-Summary'!$BO$6:$BQ$48,3, FALSE),O2086)</f>
        <v>1.3480000000000001</v>
      </c>
      <c r="P2087" s="99">
        <f>IFERROR(VLOOKUP(B2087,'Pre-Summary'!$BS$6:$BU$35,3,FALSE),P2086)</f>
        <v>0.379</v>
      </c>
      <c r="Q2087" s="54">
        <f t="shared" si="96"/>
        <v>3.556728232189974</v>
      </c>
      <c r="R2087" s="53">
        <f>IFERROR(VLOOKUP(B2087,'Pre-Summary'!$BG$6:$BM$44,7,FALSE),R2088)</f>
        <v>7.3789975262610413E-2</v>
      </c>
      <c r="S2087" s="53">
        <f>IFERROR(VLOOKUP(B2087,'Pre-Summary'!$BG$6:$BM$44,6,FALSE),S2088)</f>
        <v>5.2064631956901149E-2</v>
      </c>
      <c r="T2087" s="45" t="str">
        <f>IFERROR(VLOOKUP(B2087,'Pre-Summary'!$Y$6:$AC$83, 3,FALSE),"")</f>
        <v/>
      </c>
      <c r="U2087" s="45" t="str">
        <f>IFERROR(VLOOKUP(B2087,'Pre-Summary'!$Y$6:$AC$83, 4,FALSE),"")</f>
        <v/>
      </c>
      <c r="V2087" t="str">
        <f>IFERROR(VLOOKUP(B2087,'Pre-Summary'!$Y$6:$AC$83, 5,FALSE),"")</f>
        <v/>
      </c>
      <c r="W2087" s="45" t="str">
        <f>IFERROR(VLOOKUP(B2087,'Pre-Summary'!$Y$6:$AD$83,6,FALSE),"")</f>
        <v/>
      </c>
      <c r="X2087" t="str">
        <f>IFERROR(VLOOKUP('Pre-Summary'!$DB$6:$DD$63,3,FALSE),"")</f>
        <v/>
      </c>
      <c r="Y2087" t="str">
        <f>IFERROR(VLOOKUP(B2087,'Pre-Summary'!$CR$6:$CT$36,3,FALSE),"")</f>
        <v/>
      </c>
      <c r="Z2087" s="45" t="str">
        <f>IFERROR(VLOOKUP(B2087,'Pre-Summary'!$BZ$6:$CB$63,2,FALSE),"")</f>
        <v/>
      </c>
      <c r="AA2087" s="45" t="str">
        <f>IFERROR(VLOOKUP(B2087,'Pre-Summary'!$CG$6:$CI$70,2,FALSE),"")</f>
        <v/>
      </c>
      <c r="AB2087" s="99">
        <f>IFERROR(VLOOKUP(B2087,'Pre-Summary'!$A$6:$P$178,9,FALSE),AB2088)</f>
        <v>0.34701634393754011</v>
      </c>
      <c r="AC2087" s="10">
        <f>IFERROR(VLOOKUP(Summary!B2087,'Pre-Summary'!$A$6:$P$184,5, FALSE)/100,AC2088)</f>
        <v>0.9815910000000001</v>
      </c>
      <c r="AD2087" s="10">
        <f>IFERROR(VLOOKUP(Summary!B2087,'Pre-Summary'!$A$6:$P$184,3, FALSE)/100,AD2088)</f>
        <v>1.2500666666666667E-2</v>
      </c>
      <c r="AE2087" s="10">
        <f>IFERROR(VLOOKUP(Summary!B2087,'Pre-Summary'!$A$6:$P$184,7, FALSE)/100,AE2088)</f>
        <v>5.9083333333333331E-3</v>
      </c>
      <c r="AF2087" s="99">
        <f t="shared" si="97"/>
        <v>4.3379356434485429E-3</v>
      </c>
      <c r="AG2087" s="99">
        <f t="shared" si="98"/>
        <v>2.0502882320976327E-3</v>
      </c>
      <c r="AH2087" s="10" t="str">
        <f>IFERROR(VLOOKUP(B2087,'Pre-Summary'!$AZ$6:$BE$65,3,FALSE),"")</f>
        <v/>
      </c>
      <c r="AI2087" s="10" t="str">
        <f>IFERROR(VLOOKUP(B2087,'Pre-Summary'!$AZ$6:$BE$65,5,FALSE),"")</f>
        <v/>
      </c>
      <c r="AJ2087" s="10" t="str">
        <f>IFERROR(VLOOKUP(B2087,'Pre-Summary'!$AZ$6:$BE$65,4,FALSE),"")</f>
        <v/>
      </c>
      <c r="AK2087" s="10" t="str">
        <f>IFERROR(VLOOKUP(B2087,'Pre-Summary'!$AZ$6:$BE$65,6,FALSE),"")</f>
        <v/>
      </c>
      <c r="AL2087" s="10" t="str">
        <f>IFERROR(VLOOKUP(B2087,'Pre-Summary'!$BG$6:$BL$44,3,FALSE),"")</f>
        <v/>
      </c>
      <c r="AM2087" s="10" t="str">
        <f>IFERROR(VLOOKUP(B2087,'Pre-Summary'!$BG$6:$BL$44,4,FALSE),"")</f>
        <v/>
      </c>
    </row>
    <row r="2088" spans="2:39" ht="15" customHeight="1" x14ac:dyDescent="0.3">
      <c r="B2088">
        <v>208.5</v>
      </c>
      <c r="C2088" t="str">
        <f>IFERROR(VLOOKUP(B2088,'Pre-Summary'!$DI$6:$DM$23,4,FALSE),"")</f>
        <v/>
      </c>
      <c r="D2088" s="10" t="str">
        <f>IFERROR(VLOOKUP(B2088,'Pre-Summary'!$AT$6:$AX$14,5,FALSE),D2087)</f>
        <v>Wolfe v3: went back to modified wolfe + EDTA and switched CuSO4 to CUCl2</v>
      </c>
      <c r="E2088" s="10" t="str">
        <f>IFERROR(VLOOKUP(B2088,'Pre-Summary'!$AT$6:$AX$15,4,FALSE),"")</f>
        <v/>
      </c>
      <c r="F2088">
        <f>IFERROR(VLOOKUP(B2088,'Pre-Summary'!$AL$6:$AQ$13,6,FALSE),F2087)</f>
        <v>5.9405263157894746E-2</v>
      </c>
      <c r="G2088">
        <f>IFERROR(VLOOKUP(B2088,'Pre-Summary'!$AE$6:$AJ$85,3,FALSE),"")</f>
        <v>2.2417321883456087</v>
      </c>
      <c r="H2088" t="str">
        <f>IFERROR(VLOOKUP(B2088,'Pre-Summary'!$AE$6:$AJ$85,4,FALSE),"")</f>
        <v/>
      </c>
      <c r="I2088" t="str">
        <f>IFERROR(VLOOKUP(B2088,'Pre-Summary'!$AE$6:$AJ$85,5,FALSE),"")</f>
        <v/>
      </c>
      <c r="J2088" s="45">
        <f>IFERROR(VLOOKUP(B2088,'Pre-Summary'!$AE$6:$AJ$85,6, FALSE),"")</f>
        <v>2.3919282449647645</v>
      </c>
      <c r="K2088" s="45" t="str">
        <f>IFERROR(VLOOKUP(B2088,'Pre-Summary'!$DE$6:$DG$61,3,FALSE),"")</f>
        <v/>
      </c>
      <c r="L2088" s="45" t="str">
        <f>IFERROR(VLOOKUP(B2088,'Pre-Summary'!$CU$6:$CW$36,3,FALSE),"")</f>
        <v/>
      </c>
      <c r="M2088" s="45" t="str">
        <f>IFERROR(VLOOKUP(B2088,'Pre-Summary'!$BW$6:$BY$58,2,FALSE),"")</f>
        <v/>
      </c>
      <c r="N2088" s="45">
        <f>IFERROR(VLOOKUP(B2088,'Pre-Summary'!$CD$6:$CF$64,2,FALSE),"")</f>
        <v>228.39810380592306</v>
      </c>
      <c r="O2088" s="99">
        <f>IFERROR(VLOOKUP(B2088,'Pre-Summary'!$BO$6:$BQ$48,3, FALSE),O2087)</f>
        <v>1.3480000000000001</v>
      </c>
      <c r="P2088" s="99">
        <f>IFERROR(VLOOKUP(B2088,'Pre-Summary'!$BS$6:$BU$35,3,FALSE),P2087)</f>
        <v>0.379</v>
      </c>
      <c r="Q2088" s="54">
        <f t="shared" si="96"/>
        <v>3.556728232189974</v>
      </c>
      <c r="R2088" s="53">
        <f>IFERROR(VLOOKUP(B2088,'Pre-Summary'!$BG$6:$BM$44,7,FALSE),R2089)</f>
        <v>7.3789975262610413E-2</v>
      </c>
      <c r="S2088" s="53">
        <f>IFERROR(VLOOKUP(B2088,'Pre-Summary'!$BG$6:$BM$44,6,FALSE),S2089)</f>
        <v>5.2064631956901149E-2</v>
      </c>
      <c r="T2088" s="45">
        <f>IFERROR(VLOOKUP(B2088,'Pre-Summary'!$Y$6:$AC$83, 3,FALSE),"")</f>
        <v>5.4404065697989159</v>
      </c>
      <c r="U2088" s="45">
        <f>IFERROR(VLOOKUP(B2088,'Pre-Summary'!$Y$6:$AC$83, 4,FALSE),"")</f>
        <v>1.3925784295084565</v>
      </c>
      <c r="V2088" t="str">
        <f>IFERROR(VLOOKUP(B2088,'Pre-Summary'!$Y$6:$AC$83, 5,FALSE),"")</f>
        <v/>
      </c>
      <c r="W2088" s="45">
        <f>IFERROR(VLOOKUP(B2088,'Pre-Summary'!$Y$6:$AD$83,6,FALSE),"")</f>
        <v>5.8049138099754432</v>
      </c>
      <c r="X2088" t="str">
        <f>IFERROR(VLOOKUP('Pre-Summary'!$DB$6:$DD$63,3,FALSE),"")</f>
        <v/>
      </c>
      <c r="Y2088" t="str">
        <f>IFERROR(VLOOKUP(B2088,'Pre-Summary'!$CR$6:$CT$36,3,FALSE),"")</f>
        <v/>
      </c>
      <c r="Z2088" s="45" t="str">
        <f>IFERROR(VLOOKUP(B2088,'Pre-Summary'!$BZ$6:$CB$63,2,FALSE),"")</f>
        <v/>
      </c>
      <c r="AA2088" s="45" t="str">
        <f>IFERROR(VLOOKUP(B2088,'Pre-Summary'!$CG$6:$CI$70,2,FALSE),"")</f>
        <v/>
      </c>
      <c r="AB2088" s="99">
        <f>IFERROR(VLOOKUP(B2088,'Pre-Summary'!$A$6:$P$178,9,FALSE),AB2089)</f>
        <v>0.34701634393754011</v>
      </c>
      <c r="AC2088" s="10">
        <f>IFERROR(VLOOKUP(Summary!B2088,'Pre-Summary'!$A$6:$P$184,5, FALSE)/100,AC2089)</f>
        <v>0.9815910000000001</v>
      </c>
      <c r="AD2088" s="10">
        <f>IFERROR(VLOOKUP(Summary!B2088,'Pre-Summary'!$A$6:$P$184,3, FALSE)/100,AD2089)</f>
        <v>1.2500666666666667E-2</v>
      </c>
      <c r="AE2088" s="10">
        <f>IFERROR(VLOOKUP(Summary!B2088,'Pre-Summary'!$A$6:$P$184,7, FALSE)/100,AE2089)</f>
        <v>5.9083333333333331E-3</v>
      </c>
      <c r="AF2088" s="99">
        <f t="shared" si="97"/>
        <v>4.3379356434485429E-3</v>
      </c>
      <c r="AG2088" s="99">
        <f t="shared" si="98"/>
        <v>2.0502882320976327E-3</v>
      </c>
      <c r="AH2088" s="10" t="str">
        <f>IFERROR(VLOOKUP(B2088,'Pre-Summary'!$AZ$6:$BE$65,3,FALSE),"")</f>
        <v/>
      </c>
      <c r="AI2088" s="10" t="str">
        <f>IFERROR(VLOOKUP(B2088,'Pre-Summary'!$AZ$6:$BE$65,5,FALSE),"")</f>
        <v/>
      </c>
      <c r="AJ2088" s="10" t="str">
        <f>IFERROR(VLOOKUP(B2088,'Pre-Summary'!$AZ$6:$BE$65,4,FALSE),"")</f>
        <v/>
      </c>
      <c r="AK2088" s="10" t="str">
        <f>IFERROR(VLOOKUP(B2088,'Pre-Summary'!$AZ$6:$BE$65,6,FALSE),"")</f>
        <v/>
      </c>
      <c r="AL2088" s="10" t="str">
        <f>IFERROR(VLOOKUP(B2088,'Pre-Summary'!$BG$6:$BL$44,3,FALSE),"")</f>
        <v/>
      </c>
      <c r="AM2088" s="10" t="str">
        <f>IFERROR(VLOOKUP(B2088,'Pre-Summary'!$BG$6:$BL$44,4,FALSE),"")</f>
        <v/>
      </c>
    </row>
    <row r="2089" spans="2:39" ht="15" customHeight="1" x14ac:dyDescent="0.3">
      <c r="B2089">
        <v>208.6</v>
      </c>
      <c r="C2089" t="str">
        <f>IFERROR(VLOOKUP(B2089,'Pre-Summary'!$DI$6:$DM$23,4,FALSE),"")</f>
        <v/>
      </c>
      <c r="D2089" s="10" t="str">
        <f>IFERROR(VLOOKUP(B2089,'Pre-Summary'!$AT$6:$AX$14,5,FALSE),D2088)</f>
        <v>Wolfe v3: went back to modified wolfe + EDTA and switched CuSO4 to CUCl2</v>
      </c>
      <c r="E2089" s="10" t="str">
        <f>IFERROR(VLOOKUP(B2089,'Pre-Summary'!$AT$6:$AX$15,4,FALSE),"")</f>
        <v/>
      </c>
      <c r="F2089">
        <f>IFERROR(VLOOKUP(B2089,'Pre-Summary'!$AL$6:$AQ$13,6,FALSE),F2088)</f>
        <v>5.9405263157894746E-2</v>
      </c>
      <c r="G2089" t="str">
        <f>IFERROR(VLOOKUP(B2089,'Pre-Summary'!$AE$6:$AJ$85,3,FALSE),"")</f>
        <v/>
      </c>
      <c r="H2089" t="str">
        <f>IFERROR(VLOOKUP(B2089,'Pre-Summary'!$AE$6:$AJ$85,4,FALSE),"")</f>
        <v/>
      </c>
      <c r="I2089" t="str">
        <f>IFERROR(VLOOKUP(B2089,'Pre-Summary'!$AE$6:$AJ$85,5,FALSE),"")</f>
        <v/>
      </c>
      <c r="J2089" s="45" t="str">
        <f>IFERROR(VLOOKUP(B2089,'Pre-Summary'!$AE$6:$AJ$85,6, FALSE),"")</f>
        <v/>
      </c>
      <c r="K2089" s="45" t="str">
        <f>IFERROR(VLOOKUP(B2089,'Pre-Summary'!$DE$6:$DG$61,3,FALSE),"")</f>
        <v/>
      </c>
      <c r="L2089" s="45" t="str">
        <f>IFERROR(VLOOKUP(B2089,'Pre-Summary'!$CU$6:$CW$36,3,FALSE),"")</f>
        <v/>
      </c>
      <c r="M2089" s="45" t="str">
        <f>IFERROR(VLOOKUP(B2089,'Pre-Summary'!$BW$6:$BY$58,2,FALSE),"")</f>
        <v/>
      </c>
      <c r="N2089" s="45" t="str">
        <f>IFERROR(VLOOKUP(B2089,'Pre-Summary'!$CD$6:$CF$64,2,FALSE),"")</f>
        <v/>
      </c>
      <c r="O2089" s="99">
        <f>IFERROR(VLOOKUP(B2089,'Pre-Summary'!$BO$6:$BQ$48,3, FALSE),O2088)</f>
        <v>1.3480000000000001</v>
      </c>
      <c r="P2089" s="99">
        <f>IFERROR(VLOOKUP(B2089,'Pre-Summary'!$BS$6:$BU$35,3,FALSE),P2088)</f>
        <v>0.379</v>
      </c>
      <c r="Q2089" s="54">
        <f t="shared" si="96"/>
        <v>3.556728232189974</v>
      </c>
      <c r="R2089" s="53">
        <f>IFERROR(VLOOKUP(B2089,'Pre-Summary'!$BG$6:$BM$44,7,FALSE),R2090)</f>
        <v>7.3789975262610413E-2</v>
      </c>
      <c r="S2089" s="53">
        <f>IFERROR(VLOOKUP(B2089,'Pre-Summary'!$BG$6:$BM$44,6,FALSE),S2090)</f>
        <v>5.2064631956901149E-2</v>
      </c>
      <c r="T2089" s="45" t="str">
        <f>IFERROR(VLOOKUP(B2089,'Pre-Summary'!$Y$6:$AC$83, 3,FALSE),"")</f>
        <v/>
      </c>
      <c r="U2089" s="45" t="str">
        <f>IFERROR(VLOOKUP(B2089,'Pre-Summary'!$Y$6:$AC$83, 4,FALSE),"")</f>
        <v/>
      </c>
      <c r="V2089" t="str">
        <f>IFERROR(VLOOKUP(B2089,'Pre-Summary'!$Y$6:$AC$83, 5,FALSE),"")</f>
        <v/>
      </c>
      <c r="W2089" s="45" t="str">
        <f>IFERROR(VLOOKUP(B2089,'Pre-Summary'!$Y$6:$AD$83,6,FALSE),"")</f>
        <v/>
      </c>
      <c r="X2089" t="str">
        <f>IFERROR(VLOOKUP('Pre-Summary'!$DB$6:$DD$63,3,FALSE),"")</f>
        <v/>
      </c>
      <c r="Y2089" t="str">
        <f>IFERROR(VLOOKUP(B2089,'Pre-Summary'!$CR$6:$CT$36,3,FALSE),"")</f>
        <v/>
      </c>
      <c r="Z2089" s="45" t="str">
        <f>IFERROR(VLOOKUP(B2089,'Pre-Summary'!$BZ$6:$CB$63,2,FALSE),"")</f>
        <v/>
      </c>
      <c r="AA2089" s="45" t="str">
        <f>IFERROR(VLOOKUP(B2089,'Pre-Summary'!$CG$6:$CI$70,2,FALSE),"")</f>
        <v/>
      </c>
      <c r="AB2089" s="99">
        <f>IFERROR(VLOOKUP(B2089,'Pre-Summary'!$A$6:$P$178,9,FALSE),AB2090)</f>
        <v>0.34701634393754011</v>
      </c>
      <c r="AC2089" s="10">
        <f>IFERROR(VLOOKUP(Summary!B2089,'Pre-Summary'!$A$6:$P$184,5, FALSE)/100,AC2090)</f>
        <v>0.9815910000000001</v>
      </c>
      <c r="AD2089" s="10">
        <f>IFERROR(VLOOKUP(Summary!B2089,'Pre-Summary'!$A$6:$P$184,3, FALSE)/100,AD2090)</f>
        <v>1.2500666666666667E-2</v>
      </c>
      <c r="AE2089" s="10">
        <f>IFERROR(VLOOKUP(Summary!B2089,'Pre-Summary'!$A$6:$P$184,7, FALSE)/100,AE2090)</f>
        <v>5.9083333333333331E-3</v>
      </c>
      <c r="AF2089" s="99">
        <f t="shared" si="97"/>
        <v>4.3379356434485429E-3</v>
      </c>
      <c r="AG2089" s="99">
        <f t="shared" si="98"/>
        <v>2.0502882320976327E-3</v>
      </c>
      <c r="AH2089" s="10" t="str">
        <f>IFERROR(VLOOKUP(B2089,'Pre-Summary'!$AZ$6:$BE$65,3,FALSE),"")</f>
        <v/>
      </c>
      <c r="AI2089" s="10" t="str">
        <f>IFERROR(VLOOKUP(B2089,'Pre-Summary'!$AZ$6:$BE$65,5,FALSE),"")</f>
        <v/>
      </c>
      <c r="AJ2089" s="10" t="str">
        <f>IFERROR(VLOOKUP(B2089,'Pre-Summary'!$AZ$6:$BE$65,4,FALSE),"")</f>
        <v/>
      </c>
      <c r="AK2089" s="10" t="str">
        <f>IFERROR(VLOOKUP(B2089,'Pre-Summary'!$AZ$6:$BE$65,6,FALSE),"")</f>
        <v/>
      </c>
      <c r="AL2089" s="10" t="str">
        <f>IFERROR(VLOOKUP(B2089,'Pre-Summary'!$BG$6:$BL$44,3,FALSE),"")</f>
        <v/>
      </c>
      <c r="AM2089" s="10" t="str">
        <f>IFERROR(VLOOKUP(B2089,'Pre-Summary'!$BG$6:$BL$44,4,FALSE),"")</f>
        <v/>
      </c>
    </row>
    <row r="2090" spans="2:39" ht="15" customHeight="1" x14ac:dyDescent="0.3">
      <c r="B2090">
        <v>208.7</v>
      </c>
      <c r="C2090" t="str">
        <f>IFERROR(VLOOKUP(B2090,'Pre-Summary'!$DI$6:$DM$23,4,FALSE),"")</f>
        <v/>
      </c>
      <c r="D2090" s="10" t="str">
        <f>IFERROR(VLOOKUP(B2090,'Pre-Summary'!$AT$6:$AX$14,5,FALSE),D2089)</f>
        <v>Wolfe v3: went back to modified wolfe + EDTA and switched CuSO4 to CUCl2</v>
      </c>
      <c r="E2090" s="10" t="str">
        <f>IFERROR(VLOOKUP(B2090,'Pre-Summary'!$AT$6:$AX$15,4,FALSE),"")</f>
        <v/>
      </c>
      <c r="F2090">
        <f>IFERROR(VLOOKUP(B2090,'Pre-Summary'!$AL$6:$AQ$13,6,FALSE),F2089)</f>
        <v>5.9405263157894746E-2</v>
      </c>
      <c r="G2090" t="str">
        <f>IFERROR(VLOOKUP(B2090,'Pre-Summary'!$AE$6:$AJ$85,3,FALSE),"")</f>
        <v/>
      </c>
      <c r="H2090" t="str">
        <f>IFERROR(VLOOKUP(B2090,'Pre-Summary'!$AE$6:$AJ$85,4,FALSE),"")</f>
        <v/>
      </c>
      <c r="I2090" t="str">
        <f>IFERROR(VLOOKUP(B2090,'Pre-Summary'!$AE$6:$AJ$85,5,FALSE),"")</f>
        <v/>
      </c>
      <c r="J2090" s="45" t="str">
        <f>IFERROR(VLOOKUP(B2090,'Pre-Summary'!$AE$6:$AJ$85,6, FALSE),"")</f>
        <v/>
      </c>
      <c r="K2090" s="45" t="str">
        <f>IFERROR(VLOOKUP(B2090,'Pre-Summary'!$DE$6:$DG$61,3,FALSE),"")</f>
        <v/>
      </c>
      <c r="L2090" s="45" t="str">
        <f>IFERROR(VLOOKUP(B2090,'Pre-Summary'!$CU$6:$CW$36,3,FALSE),"")</f>
        <v/>
      </c>
      <c r="M2090" s="45" t="str">
        <f>IFERROR(VLOOKUP(B2090,'Pre-Summary'!$BW$6:$BY$58,2,FALSE),"")</f>
        <v/>
      </c>
      <c r="N2090" s="45" t="str">
        <f>IFERROR(VLOOKUP(B2090,'Pre-Summary'!$CD$6:$CF$64,2,FALSE),"")</f>
        <v/>
      </c>
      <c r="O2090" s="99">
        <f>IFERROR(VLOOKUP(B2090,'Pre-Summary'!$BO$6:$BQ$48,3, FALSE),O2089)</f>
        <v>1.3480000000000001</v>
      </c>
      <c r="P2090" s="99">
        <f>IFERROR(VLOOKUP(B2090,'Pre-Summary'!$BS$6:$BU$35,3,FALSE),P2089)</f>
        <v>0.379</v>
      </c>
      <c r="Q2090" s="54">
        <f t="shared" si="96"/>
        <v>3.556728232189974</v>
      </c>
      <c r="R2090" s="53">
        <f>IFERROR(VLOOKUP(B2090,'Pre-Summary'!$BG$6:$BM$44,7,FALSE),R2091)</f>
        <v>7.3789975262610413E-2</v>
      </c>
      <c r="S2090" s="53">
        <f>IFERROR(VLOOKUP(B2090,'Pre-Summary'!$BG$6:$BM$44,6,FALSE),S2091)</f>
        <v>5.2064631956901149E-2</v>
      </c>
      <c r="T2090" s="45" t="str">
        <f>IFERROR(VLOOKUP(B2090,'Pre-Summary'!$Y$6:$AC$83, 3,FALSE),"")</f>
        <v/>
      </c>
      <c r="U2090" s="45" t="str">
        <f>IFERROR(VLOOKUP(B2090,'Pre-Summary'!$Y$6:$AC$83, 4,FALSE),"")</f>
        <v/>
      </c>
      <c r="V2090" t="str">
        <f>IFERROR(VLOOKUP(B2090,'Pre-Summary'!$Y$6:$AC$83, 5,FALSE),"")</f>
        <v/>
      </c>
      <c r="W2090" s="45" t="str">
        <f>IFERROR(VLOOKUP(B2090,'Pre-Summary'!$Y$6:$AD$83,6,FALSE),"")</f>
        <v/>
      </c>
      <c r="X2090" t="str">
        <f>IFERROR(VLOOKUP('Pre-Summary'!$DB$6:$DD$63,3,FALSE),"")</f>
        <v/>
      </c>
      <c r="Y2090" t="str">
        <f>IFERROR(VLOOKUP(B2090,'Pre-Summary'!$CR$6:$CT$36,3,FALSE),"")</f>
        <v/>
      </c>
      <c r="Z2090" s="45" t="str">
        <f>IFERROR(VLOOKUP(B2090,'Pre-Summary'!$BZ$6:$CB$63,2,FALSE),"")</f>
        <v/>
      </c>
      <c r="AA2090" s="45" t="str">
        <f>IFERROR(VLOOKUP(B2090,'Pre-Summary'!$CG$6:$CI$70,2,FALSE),"")</f>
        <v/>
      </c>
      <c r="AB2090" s="99">
        <f>IFERROR(VLOOKUP(B2090,'Pre-Summary'!$A$6:$P$178,9,FALSE),AB2091)</f>
        <v>0.34701634393754011</v>
      </c>
      <c r="AC2090" s="10">
        <f>IFERROR(VLOOKUP(Summary!B2090,'Pre-Summary'!$A$6:$P$184,5, FALSE)/100,AC2091)</f>
        <v>0.9815910000000001</v>
      </c>
      <c r="AD2090" s="10">
        <f>IFERROR(VLOOKUP(Summary!B2090,'Pre-Summary'!$A$6:$P$184,3, FALSE)/100,AD2091)</f>
        <v>1.2500666666666667E-2</v>
      </c>
      <c r="AE2090" s="10">
        <f>IFERROR(VLOOKUP(Summary!B2090,'Pre-Summary'!$A$6:$P$184,7, FALSE)/100,AE2091)</f>
        <v>5.9083333333333331E-3</v>
      </c>
      <c r="AF2090" s="99">
        <f t="shared" si="97"/>
        <v>4.3379356434485429E-3</v>
      </c>
      <c r="AG2090" s="99">
        <f t="shared" si="98"/>
        <v>2.0502882320976327E-3</v>
      </c>
      <c r="AH2090" s="10" t="str">
        <f>IFERROR(VLOOKUP(B2090,'Pre-Summary'!$AZ$6:$BE$65,3,FALSE),"")</f>
        <v/>
      </c>
      <c r="AI2090" s="10" t="str">
        <f>IFERROR(VLOOKUP(B2090,'Pre-Summary'!$AZ$6:$BE$65,5,FALSE),"")</f>
        <v/>
      </c>
      <c r="AJ2090" s="10" t="str">
        <f>IFERROR(VLOOKUP(B2090,'Pre-Summary'!$AZ$6:$BE$65,4,FALSE),"")</f>
        <v/>
      </c>
      <c r="AK2090" s="10" t="str">
        <f>IFERROR(VLOOKUP(B2090,'Pre-Summary'!$AZ$6:$BE$65,6,FALSE),"")</f>
        <v/>
      </c>
      <c r="AL2090" s="10" t="str">
        <f>IFERROR(VLOOKUP(B2090,'Pre-Summary'!$BG$6:$BL$44,3,FALSE),"")</f>
        <v/>
      </c>
      <c r="AM2090" s="10" t="str">
        <f>IFERROR(VLOOKUP(B2090,'Pre-Summary'!$BG$6:$BL$44,4,FALSE),"")</f>
        <v/>
      </c>
    </row>
    <row r="2091" spans="2:39" ht="15" customHeight="1" x14ac:dyDescent="0.3">
      <c r="B2091">
        <v>208.8</v>
      </c>
      <c r="C2091" t="str">
        <f>IFERROR(VLOOKUP(B2091,'Pre-Summary'!$DI$6:$DM$23,4,FALSE),"")</f>
        <v/>
      </c>
      <c r="D2091" s="10" t="str">
        <f>IFERROR(VLOOKUP(B2091,'Pre-Summary'!$AT$6:$AX$14,5,FALSE),D2090)</f>
        <v>Wolfe v3: went back to modified wolfe + EDTA and switched CuSO4 to CUCl2</v>
      </c>
      <c r="E2091" s="10" t="str">
        <f>IFERROR(VLOOKUP(B2091,'Pre-Summary'!$AT$6:$AX$15,4,FALSE),"")</f>
        <v/>
      </c>
      <c r="F2091">
        <f>IFERROR(VLOOKUP(B2091,'Pre-Summary'!$AL$6:$AQ$13,6,FALSE),F2090)</f>
        <v>5.9405263157894746E-2</v>
      </c>
      <c r="G2091" t="str">
        <f>IFERROR(VLOOKUP(B2091,'Pre-Summary'!$AE$6:$AJ$85,3,FALSE),"")</f>
        <v/>
      </c>
      <c r="H2091" t="str">
        <f>IFERROR(VLOOKUP(B2091,'Pre-Summary'!$AE$6:$AJ$85,4,FALSE),"")</f>
        <v/>
      </c>
      <c r="I2091" t="str">
        <f>IFERROR(VLOOKUP(B2091,'Pre-Summary'!$AE$6:$AJ$85,5,FALSE),"")</f>
        <v/>
      </c>
      <c r="J2091" s="45" t="str">
        <f>IFERROR(VLOOKUP(B2091,'Pre-Summary'!$AE$6:$AJ$85,6, FALSE),"")</f>
        <v/>
      </c>
      <c r="K2091" s="45" t="str">
        <f>IFERROR(VLOOKUP(B2091,'Pre-Summary'!$DE$6:$DG$61,3,FALSE),"")</f>
        <v/>
      </c>
      <c r="L2091" s="45" t="str">
        <f>IFERROR(VLOOKUP(B2091,'Pre-Summary'!$CU$6:$CW$36,3,FALSE),"")</f>
        <v/>
      </c>
      <c r="M2091" s="45" t="str">
        <f>IFERROR(VLOOKUP(B2091,'Pre-Summary'!$BW$6:$BY$58,2,FALSE),"")</f>
        <v/>
      </c>
      <c r="N2091" s="45" t="str">
        <f>IFERROR(VLOOKUP(B2091,'Pre-Summary'!$CD$6:$CF$64,2,FALSE),"")</f>
        <v/>
      </c>
      <c r="O2091" s="99">
        <f>IFERROR(VLOOKUP(B2091,'Pre-Summary'!$BO$6:$BQ$48,3, FALSE),O2090)</f>
        <v>1.3480000000000001</v>
      </c>
      <c r="P2091" s="99">
        <f>IFERROR(VLOOKUP(B2091,'Pre-Summary'!$BS$6:$BU$35,3,FALSE),P2090)</f>
        <v>0.379</v>
      </c>
      <c r="Q2091" s="54">
        <f t="shared" si="96"/>
        <v>3.556728232189974</v>
      </c>
      <c r="R2091" s="53">
        <f>IFERROR(VLOOKUP(B2091,'Pre-Summary'!$BG$6:$BM$44,7,FALSE),R2092)</f>
        <v>7.3789975262610413E-2</v>
      </c>
      <c r="S2091" s="53">
        <f>IFERROR(VLOOKUP(B2091,'Pre-Summary'!$BG$6:$BM$44,6,FALSE),S2092)</f>
        <v>5.2064631956901149E-2</v>
      </c>
      <c r="T2091" s="45" t="str">
        <f>IFERROR(VLOOKUP(B2091,'Pre-Summary'!$Y$6:$AC$83, 3,FALSE),"")</f>
        <v/>
      </c>
      <c r="U2091" s="45" t="str">
        <f>IFERROR(VLOOKUP(B2091,'Pre-Summary'!$Y$6:$AC$83, 4,FALSE),"")</f>
        <v/>
      </c>
      <c r="V2091" t="str">
        <f>IFERROR(VLOOKUP(B2091,'Pre-Summary'!$Y$6:$AC$83, 5,FALSE),"")</f>
        <v/>
      </c>
      <c r="W2091" s="45" t="str">
        <f>IFERROR(VLOOKUP(B2091,'Pre-Summary'!$Y$6:$AD$83,6,FALSE),"")</f>
        <v/>
      </c>
      <c r="X2091" t="str">
        <f>IFERROR(VLOOKUP('Pre-Summary'!$DB$6:$DD$63,3,FALSE),"")</f>
        <v/>
      </c>
      <c r="Y2091" t="str">
        <f>IFERROR(VLOOKUP(B2091,'Pre-Summary'!$CR$6:$CT$36,3,FALSE),"")</f>
        <v/>
      </c>
      <c r="Z2091" s="45" t="str">
        <f>IFERROR(VLOOKUP(B2091,'Pre-Summary'!$BZ$6:$CB$63,2,FALSE),"")</f>
        <v/>
      </c>
      <c r="AA2091" s="45" t="str">
        <f>IFERROR(VLOOKUP(B2091,'Pre-Summary'!$CG$6:$CI$70,2,FALSE),"")</f>
        <v/>
      </c>
      <c r="AB2091" s="99">
        <f>IFERROR(VLOOKUP(B2091,'Pre-Summary'!$A$6:$P$178,9,FALSE),AB2092)</f>
        <v>0.34701634393754011</v>
      </c>
      <c r="AC2091" s="10">
        <f>IFERROR(VLOOKUP(Summary!B2091,'Pre-Summary'!$A$6:$P$184,5, FALSE)/100,AC2092)</f>
        <v>0.9815910000000001</v>
      </c>
      <c r="AD2091" s="10">
        <f>IFERROR(VLOOKUP(Summary!B2091,'Pre-Summary'!$A$6:$P$184,3, FALSE)/100,AD2092)</f>
        <v>1.2500666666666667E-2</v>
      </c>
      <c r="AE2091" s="10">
        <f>IFERROR(VLOOKUP(Summary!B2091,'Pre-Summary'!$A$6:$P$184,7, FALSE)/100,AE2092)</f>
        <v>5.9083333333333331E-3</v>
      </c>
      <c r="AF2091" s="99">
        <f t="shared" si="97"/>
        <v>4.3379356434485429E-3</v>
      </c>
      <c r="AG2091" s="99">
        <f t="shared" si="98"/>
        <v>2.0502882320976327E-3</v>
      </c>
      <c r="AH2091" s="10" t="str">
        <f>IFERROR(VLOOKUP(B2091,'Pre-Summary'!$AZ$6:$BE$65,3,FALSE),"")</f>
        <v/>
      </c>
      <c r="AI2091" s="10" t="str">
        <f>IFERROR(VLOOKUP(B2091,'Pre-Summary'!$AZ$6:$BE$65,5,FALSE),"")</f>
        <v/>
      </c>
      <c r="AJ2091" s="10" t="str">
        <f>IFERROR(VLOOKUP(B2091,'Pre-Summary'!$AZ$6:$BE$65,4,FALSE),"")</f>
        <v/>
      </c>
      <c r="AK2091" s="10" t="str">
        <f>IFERROR(VLOOKUP(B2091,'Pre-Summary'!$AZ$6:$BE$65,6,FALSE),"")</f>
        <v/>
      </c>
      <c r="AL2091" s="10" t="str">
        <f>IFERROR(VLOOKUP(B2091,'Pre-Summary'!$BG$6:$BL$44,3,FALSE),"")</f>
        <v/>
      </c>
      <c r="AM2091" s="10" t="str">
        <f>IFERROR(VLOOKUP(B2091,'Pre-Summary'!$BG$6:$BL$44,4,FALSE),"")</f>
        <v/>
      </c>
    </row>
    <row r="2092" spans="2:39" ht="15" customHeight="1" x14ac:dyDescent="0.3">
      <c r="B2092">
        <v>208.9</v>
      </c>
      <c r="C2092" t="str">
        <f>IFERROR(VLOOKUP(B2092,'Pre-Summary'!$DI$6:$DM$23,4,FALSE),"")</f>
        <v/>
      </c>
      <c r="D2092" s="10" t="str">
        <f>IFERROR(VLOOKUP(B2092,'Pre-Summary'!$AT$6:$AX$14,5,FALSE),D2091)</f>
        <v>Wolfe v3: went back to modified wolfe + EDTA and switched CuSO4 to CUCl2</v>
      </c>
      <c r="E2092" s="10" t="str">
        <f>IFERROR(VLOOKUP(B2092,'Pre-Summary'!$AT$6:$AX$15,4,FALSE),"")</f>
        <v/>
      </c>
      <c r="F2092">
        <f>IFERROR(VLOOKUP(B2092,'Pre-Summary'!$AL$6:$AQ$13,6,FALSE),F2091)</f>
        <v>5.9405263157894746E-2</v>
      </c>
      <c r="G2092" t="str">
        <f>IFERROR(VLOOKUP(B2092,'Pre-Summary'!$AE$6:$AJ$85,3,FALSE),"")</f>
        <v/>
      </c>
      <c r="H2092" t="str">
        <f>IFERROR(VLOOKUP(B2092,'Pre-Summary'!$AE$6:$AJ$85,4,FALSE),"")</f>
        <v/>
      </c>
      <c r="I2092" t="str">
        <f>IFERROR(VLOOKUP(B2092,'Pre-Summary'!$AE$6:$AJ$85,5,FALSE),"")</f>
        <v/>
      </c>
      <c r="J2092" s="45" t="str">
        <f>IFERROR(VLOOKUP(B2092,'Pre-Summary'!$AE$6:$AJ$85,6, FALSE),"")</f>
        <v/>
      </c>
      <c r="K2092" s="45">
        <f>IFERROR(VLOOKUP(B2092,'Pre-Summary'!$DE$6:$DG$61,3,FALSE),"")</f>
        <v>798</v>
      </c>
      <c r="L2092" s="45">
        <f>IFERROR(VLOOKUP(B2092,'Pre-Summary'!$CU$6:$CW$36,3,FALSE),"")</f>
        <v>287.40000000000003</v>
      </c>
      <c r="M2092" s="45">
        <f>IFERROR(VLOOKUP(B2092,'Pre-Summary'!$BW$6:$BY$58,2,FALSE),"")</f>
        <v>12.79653385127509</v>
      </c>
      <c r="N2092" s="45" t="str">
        <f>IFERROR(VLOOKUP(B2092,'Pre-Summary'!$CD$6:$CF$64,2,FALSE),"")</f>
        <v/>
      </c>
      <c r="O2092" s="99">
        <f>IFERROR(VLOOKUP(B2092,'Pre-Summary'!$BO$6:$BQ$48,3, FALSE),O2091)</f>
        <v>1.3480000000000001</v>
      </c>
      <c r="P2092" s="99">
        <f>IFERROR(VLOOKUP(B2092,'Pre-Summary'!$BS$6:$BU$35,3,FALSE),P2091)</f>
        <v>0.379</v>
      </c>
      <c r="Q2092" s="54">
        <f t="shared" si="96"/>
        <v>3.556728232189974</v>
      </c>
      <c r="R2092" s="53">
        <f>IFERROR(VLOOKUP(B2092,'Pre-Summary'!$BG$6:$BM$44,7,FALSE),R2093)</f>
        <v>7.3789975262610413E-2</v>
      </c>
      <c r="S2092" s="53">
        <f>IFERROR(VLOOKUP(B2092,'Pre-Summary'!$BG$6:$BM$44,6,FALSE),S2093)</f>
        <v>5.2064631956901149E-2</v>
      </c>
      <c r="T2092" s="45" t="str">
        <f>IFERROR(VLOOKUP(B2092,'Pre-Summary'!$Y$6:$AC$83, 3,FALSE),"")</f>
        <v/>
      </c>
      <c r="U2092" s="45" t="str">
        <f>IFERROR(VLOOKUP(B2092,'Pre-Summary'!$Y$6:$AC$83, 4,FALSE),"")</f>
        <v/>
      </c>
      <c r="V2092" t="str">
        <f>IFERROR(VLOOKUP(B2092,'Pre-Summary'!$Y$6:$AC$83, 5,FALSE),"")</f>
        <v/>
      </c>
      <c r="W2092" s="45" t="str">
        <f>IFERROR(VLOOKUP(B2092,'Pre-Summary'!$Y$6:$AD$83,6,FALSE),"")</f>
        <v/>
      </c>
      <c r="X2092" t="str">
        <f>IFERROR(VLOOKUP('Pre-Summary'!$DB$6:$DD$63,3,FALSE),"")</f>
        <v/>
      </c>
      <c r="Y2092">
        <f>IFERROR(VLOOKUP(B2092,'Pre-Summary'!$CR$6:$CT$36,3,FALSE),"")</f>
        <v>271.60000000000002</v>
      </c>
      <c r="Z2092" s="45">
        <f>IFERROR(VLOOKUP(B2092,'Pre-Summary'!$BZ$6:$CB$63,2,FALSE),"")</f>
        <v>23.588001224050039</v>
      </c>
      <c r="AA2092" s="45">
        <f>IFERROR(VLOOKUP(B2092,'Pre-Summary'!$CG$6:$CI$70,2,FALSE),"")</f>
        <v>145.82343646855014</v>
      </c>
      <c r="AB2092" s="99">
        <f>IFERROR(VLOOKUP(B2092,'Pre-Summary'!$A$6:$P$178,9,FALSE),AB2093)</f>
        <v>0.34701634393754011</v>
      </c>
      <c r="AC2092" s="10">
        <f>IFERROR(VLOOKUP(Summary!B2092,'Pre-Summary'!$A$6:$P$184,5, FALSE)/100,AC2093)</f>
        <v>0.9815910000000001</v>
      </c>
      <c r="AD2092" s="10">
        <f>IFERROR(VLOOKUP(Summary!B2092,'Pre-Summary'!$A$6:$P$184,3, FALSE)/100,AD2093)</f>
        <v>1.2500666666666667E-2</v>
      </c>
      <c r="AE2092" s="10">
        <f>IFERROR(VLOOKUP(Summary!B2092,'Pre-Summary'!$A$6:$P$184,7, FALSE)/100,AE2093)</f>
        <v>5.9083333333333331E-3</v>
      </c>
      <c r="AF2092" s="99">
        <f t="shared" si="97"/>
        <v>4.3379356434485429E-3</v>
      </c>
      <c r="AG2092" s="99">
        <f t="shared" si="98"/>
        <v>2.0502882320976327E-3</v>
      </c>
      <c r="AH2092" s="10" t="str">
        <f>IFERROR(VLOOKUP(B2092,'Pre-Summary'!$AZ$6:$BE$65,3,FALSE),"")</f>
        <v/>
      </c>
      <c r="AI2092" s="10" t="str">
        <f>IFERROR(VLOOKUP(B2092,'Pre-Summary'!$AZ$6:$BE$65,5,FALSE),"")</f>
        <v/>
      </c>
      <c r="AJ2092" s="10" t="str">
        <f>IFERROR(VLOOKUP(B2092,'Pre-Summary'!$AZ$6:$BE$65,4,FALSE),"")</f>
        <v/>
      </c>
      <c r="AK2092" s="10" t="str">
        <f>IFERROR(VLOOKUP(B2092,'Pre-Summary'!$AZ$6:$BE$65,6,FALSE),"")</f>
        <v/>
      </c>
      <c r="AL2092" s="10" t="str">
        <f>IFERROR(VLOOKUP(B2092,'Pre-Summary'!$BG$6:$BL$44,3,FALSE),"")</f>
        <v/>
      </c>
      <c r="AM2092" s="10" t="str">
        <f>IFERROR(VLOOKUP(B2092,'Pre-Summary'!$BG$6:$BL$44,4,FALSE),"")</f>
        <v/>
      </c>
    </row>
    <row r="2093" spans="2:39" ht="15" customHeight="1" x14ac:dyDescent="0.3">
      <c r="B2093">
        <v>209</v>
      </c>
      <c r="C2093" t="str">
        <f>IFERROR(VLOOKUP(B2093,'Pre-Summary'!$DI$6:$DM$23,4,FALSE),"")</f>
        <v/>
      </c>
      <c r="D2093" s="10" t="str">
        <f>IFERROR(VLOOKUP(B2093,'Pre-Summary'!$AT$6:$AX$14,5,FALSE),D2092)</f>
        <v>Wolfe v3: went back to modified wolfe + EDTA and switched CuSO4 to CUCl2</v>
      </c>
      <c r="E2093" s="10" t="str">
        <f>IFERROR(VLOOKUP(B2093,'Pre-Summary'!$AT$6:$AX$15,4,FALSE),"")</f>
        <v/>
      </c>
      <c r="F2093">
        <f>IFERROR(VLOOKUP(B2093,'Pre-Summary'!$AL$6:$AQ$13,6,FALSE),F2092)</f>
        <v>5.9405263157894746E-2</v>
      </c>
      <c r="G2093" t="str">
        <f>IFERROR(VLOOKUP(B2093,'Pre-Summary'!$AE$6:$AJ$85,3,FALSE),"")</f>
        <v/>
      </c>
      <c r="H2093" t="str">
        <f>IFERROR(VLOOKUP(B2093,'Pre-Summary'!$AE$6:$AJ$85,4,FALSE),"")</f>
        <v/>
      </c>
      <c r="I2093" t="str">
        <f>IFERROR(VLOOKUP(B2093,'Pre-Summary'!$AE$6:$AJ$85,5,FALSE),"")</f>
        <v/>
      </c>
      <c r="J2093" s="45" t="str">
        <f>IFERROR(VLOOKUP(B2093,'Pre-Summary'!$AE$6:$AJ$85,6, FALSE),"")</f>
        <v/>
      </c>
      <c r="K2093" s="45" t="str">
        <f>IFERROR(VLOOKUP(B2093,'Pre-Summary'!$DE$6:$DG$61,3,FALSE),"")</f>
        <v/>
      </c>
      <c r="L2093" s="45" t="str">
        <f>IFERROR(VLOOKUP(B2093,'Pre-Summary'!$CU$6:$CW$36,3,FALSE),"")</f>
        <v/>
      </c>
      <c r="M2093" s="45" t="str">
        <f>IFERROR(VLOOKUP(B2093,'Pre-Summary'!$BW$6:$BY$58,2,FALSE),"")</f>
        <v/>
      </c>
      <c r="N2093" s="45" t="str">
        <f>IFERROR(VLOOKUP(B2093,'Pre-Summary'!$CD$6:$CF$64,2,FALSE),"")</f>
        <v/>
      </c>
      <c r="O2093" s="99">
        <f>IFERROR(VLOOKUP(B2093,'Pre-Summary'!$BO$6:$BQ$48,3, FALSE),O2092)</f>
        <v>1.3480000000000001</v>
      </c>
      <c r="P2093" s="99">
        <f>IFERROR(VLOOKUP(B2093,'Pre-Summary'!$BS$6:$BU$35,3,FALSE),P2092)</f>
        <v>0.379</v>
      </c>
      <c r="Q2093" s="54">
        <f t="shared" si="96"/>
        <v>3.556728232189974</v>
      </c>
      <c r="R2093" s="53">
        <f>IFERROR(VLOOKUP(B2093,'Pre-Summary'!$BG$6:$BM$44,7,FALSE),R2094)</f>
        <v>7.3789975262610413E-2</v>
      </c>
      <c r="S2093" s="53">
        <f>IFERROR(VLOOKUP(B2093,'Pre-Summary'!$BG$6:$BM$44,6,FALSE),S2094)</f>
        <v>5.2064631956901149E-2</v>
      </c>
      <c r="T2093" s="45" t="str">
        <f>IFERROR(VLOOKUP(B2093,'Pre-Summary'!$Y$6:$AC$83, 3,FALSE),"")</f>
        <v/>
      </c>
      <c r="U2093" s="45" t="str">
        <f>IFERROR(VLOOKUP(B2093,'Pre-Summary'!$Y$6:$AC$83, 4,FALSE),"")</f>
        <v/>
      </c>
      <c r="V2093" t="str">
        <f>IFERROR(VLOOKUP(B2093,'Pre-Summary'!$Y$6:$AC$83, 5,FALSE),"")</f>
        <v/>
      </c>
      <c r="W2093" s="45" t="str">
        <f>IFERROR(VLOOKUP(B2093,'Pre-Summary'!$Y$6:$AD$83,6,FALSE),"")</f>
        <v/>
      </c>
      <c r="X2093" t="str">
        <f>IFERROR(VLOOKUP('Pre-Summary'!$DB$6:$DD$63,3,FALSE),"")</f>
        <v/>
      </c>
      <c r="Y2093" t="str">
        <f>IFERROR(VLOOKUP(B2093,'Pre-Summary'!$CR$6:$CT$36,3,FALSE),"")</f>
        <v/>
      </c>
      <c r="Z2093" s="45" t="str">
        <f>IFERROR(VLOOKUP(B2093,'Pre-Summary'!$BZ$6:$CB$63,2,FALSE),"")</f>
        <v/>
      </c>
      <c r="AA2093" s="45" t="str">
        <f>IFERROR(VLOOKUP(B2093,'Pre-Summary'!$CG$6:$CI$70,2,FALSE),"")</f>
        <v/>
      </c>
      <c r="AB2093" s="99">
        <f>IFERROR(VLOOKUP(B2093,'Pre-Summary'!$A$6:$P$178,9,FALSE),AB2094)</f>
        <v>0.35893988476371363</v>
      </c>
      <c r="AC2093" s="10">
        <f>IFERROR(VLOOKUP(Summary!B2093,'Pre-Summary'!$A$6:$P$184,5, FALSE)/100,AC2094)</f>
        <v>0.94680200000000014</v>
      </c>
      <c r="AD2093" s="10">
        <f>IFERROR(VLOOKUP(Summary!B2093,'Pre-Summary'!$A$6:$P$184,3, FALSE)/100,AD2094)</f>
        <v>3.9670999999999998E-2</v>
      </c>
      <c r="AE2093" s="10">
        <f>IFERROR(VLOOKUP(Summary!B2093,'Pre-Summary'!$A$6:$P$184,7, FALSE)/100,AE2094)</f>
        <v>1.3526666666666666E-2</v>
      </c>
      <c r="AF2093" s="99">
        <f t="shared" si="97"/>
        <v>1.4239504168461283E-2</v>
      </c>
      <c r="AG2093" s="99">
        <f t="shared" si="98"/>
        <v>4.8552601745704997E-3</v>
      </c>
      <c r="AH2093" s="10">
        <f>IFERROR(VLOOKUP(B2093,'Pre-Summary'!$AZ$6:$BE$65,3,FALSE),"")</f>
        <v>1083</v>
      </c>
      <c r="AI2093" s="10">
        <f>IFERROR(VLOOKUP(B2093,'Pre-Summary'!$AZ$6:$BE$65,5,FALSE),"")</f>
        <v>71</v>
      </c>
      <c r="AJ2093" s="10" t="str">
        <f>IFERROR(VLOOKUP(B2093,'Pre-Summary'!$AZ$6:$BE$65,4,FALSE),"")</f>
        <v>874</v>
      </c>
      <c r="AK2093" s="10">
        <f>IFERROR(VLOOKUP(B2093,'Pre-Summary'!$AZ$6:$BE$65,6,FALSE),"")</f>
        <v>51</v>
      </c>
      <c r="AL2093" s="10">
        <f>IFERROR(VLOOKUP(B2093,'Pre-Summary'!$BG$6:$BL$44,3,FALSE),"")</f>
        <v>27.122395208868554</v>
      </c>
      <c r="AM2093" s="10">
        <f>IFERROR(VLOOKUP(B2093,'Pre-Summary'!$BG$6:$BL$44,4,FALSE),"")</f>
        <v>6.0021551724150468</v>
      </c>
    </row>
    <row r="2094" spans="2:39" ht="15" customHeight="1" x14ac:dyDescent="0.3">
      <c r="B2094">
        <v>209.1</v>
      </c>
      <c r="C2094" t="str">
        <f>IFERROR(VLOOKUP(B2094,'Pre-Summary'!$DI$6:$DM$23,4,FALSE),"")</f>
        <v/>
      </c>
      <c r="D2094" s="10" t="str">
        <f>IFERROR(VLOOKUP(B2094,'Pre-Summary'!$AT$6:$AX$14,5,FALSE),D2093)</f>
        <v>Wolfe v3: went back to modified wolfe + EDTA and switched CuSO4 to CUCl2</v>
      </c>
      <c r="E2094" s="10" t="str">
        <f>IFERROR(VLOOKUP(B2094,'Pre-Summary'!$AT$6:$AX$15,4,FALSE),"")</f>
        <v/>
      </c>
      <c r="F2094">
        <f>IFERROR(VLOOKUP(B2094,'Pre-Summary'!$AL$6:$AQ$13,6,FALSE),F2093)</f>
        <v>5.9405263157894746E-2</v>
      </c>
      <c r="G2094" t="str">
        <f>IFERROR(VLOOKUP(B2094,'Pre-Summary'!$AE$6:$AJ$85,3,FALSE),"")</f>
        <v/>
      </c>
      <c r="H2094" t="str">
        <f>IFERROR(VLOOKUP(B2094,'Pre-Summary'!$AE$6:$AJ$85,4,FALSE),"")</f>
        <v/>
      </c>
      <c r="I2094" t="str">
        <f>IFERROR(VLOOKUP(B2094,'Pre-Summary'!$AE$6:$AJ$85,5,FALSE),"")</f>
        <v/>
      </c>
      <c r="J2094" s="45" t="str">
        <f>IFERROR(VLOOKUP(B2094,'Pre-Summary'!$AE$6:$AJ$85,6, FALSE),"")</f>
        <v/>
      </c>
      <c r="K2094" s="45" t="str">
        <f>IFERROR(VLOOKUP(B2094,'Pre-Summary'!$DE$6:$DG$61,3,FALSE),"")</f>
        <v/>
      </c>
      <c r="L2094" s="45" t="str">
        <f>IFERROR(VLOOKUP(B2094,'Pre-Summary'!$CU$6:$CW$36,3,FALSE),"")</f>
        <v/>
      </c>
      <c r="M2094" s="45" t="str">
        <f>IFERROR(VLOOKUP(B2094,'Pre-Summary'!$BW$6:$BY$58,2,FALSE),"")</f>
        <v/>
      </c>
      <c r="N2094" s="45" t="str">
        <f>IFERROR(VLOOKUP(B2094,'Pre-Summary'!$CD$6:$CF$64,2,FALSE),"")</f>
        <v/>
      </c>
      <c r="O2094" s="99">
        <f>IFERROR(VLOOKUP(B2094,'Pre-Summary'!$BO$6:$BQ$48,3, FALSE),O2093)</f>
        <v>1.3480000000000001</v>
      </c>
      <c r="P2094" s="99">
        <f>IFERROR(VLOOKUP(B2094,'Pre-Summary'!$BS$6:$BU$35,3,FALSE),P2093)</f>
        <v>0.379</v>
      </c>
      <c r="Q2094" s="54">
        <f t="shared" si="96"/>
        <v>3.556728232189974</v>
      </c>
      <c r="R2094" s="53">
        <f>IFERROR(VLOOKUP(B2094,'Pre-Summary'!$BG$6:$BM$44,7,FALSE),R2095)</f>
        <v>9.2946004538835364E-2</v>
      </c>
      <c r="S2094" s="53">
        <f>IFERROR(VLOOKUP(B2094,'Pre-Summary'!$BG$6:$BM$44,6,FALSE),S2095)</f>
        <v>8.3142487304634596E-2</v>
      </c>
      <c r="T2094" s="45" t="str">
        <f>IFERROR(VLOOKUP(B2094,'Pre-Summary'!$Y$6:$AC$83, 3,FALSE),"")</f>
        <v/>
      </c>
      <c r="U2094" s="45" t="str">
        <f>IFERROR(VLOOKUP(B2094,'Pre-Summary'!$Y$6:$AC$83, 4,FALSE),"")</f>
        <v/>
      </c>
      <c r="V2094" t="str">
        <f>IFERROR(VLOOKUP(B2094,'Pre-Summary'!$Y$6:$AC$83, 5,FALSE),"")</f>
        <v/>
      </c>
      <c r="W2094" s="45" t="str">
        <f>IFERROR(VLOOKUP(B2094,'Pre-Summary'!$Y$6:$AD$83,6,FALSE),"")</f>
        <v/>
      </c>
      <c r="X2094" t="str">
        <f>IFERROR(VLOOKUP('Pre-Summary'!$DB$6:$DD$63,3,FALSE),"")</f>
        <v/>
      </c>
      <c r="Y2094" t="str">
        <f>IFERROR(VLOOKUP(B2094,'Pre-Summary'!$CR$6:$CT$36,3,FALSE),"")</f>
        <v/>
      </c>
      <c r="Z2094" s="45" t="str">
        <f>IFERROR(VLOOKUP(B2094,'Pre-Summary'!$BZ$6:$CB$63,2,FALSE),"")</f>
        <v/>
      </c>
      <c r="AA2094" s="45" t="str">
        <f>IFERROR(VLOOKUP(B2094,'Pre-Summary'!$CG$6:$CI$70,2,FALSE),"")</f>
        <v/>
      </c>
      <c r="AB2094" s="99">
        <f>IFERROR(VLOOKUP(B2094,'Pre-Summary'!$A$6:$P$178,9,FALSE),AB2095)</f>
        <v>0.35893988476371363</v>
      </c>
      <c r="AC2094" s="10">
        <f>IFERROR(VLOOKUP(Summary!B2094,'Pre-Summary'!$A$6:$P$184,5, FALSE)/100,AC2095)</f>
        <v>0.94680200000000014</v>
      </c>
      <c r="AD2094" s="10">
        <f>IFERROR(VLOOKUP(Summary!B2094,'Pre-Summary'!$A$6:$P$184,3, FALSE)/100,AD2095)</f>
        <v>3.9670999999999998E-2</v>
      </c>
      <c r="AE2094" s="10">
        <f>IFERROR(VLOOKUP(Summary!B2094,'Pre-Summary'!$A$6:$P$184,7, FALSE)/100,AE2095)</f>
        <v>1.3526666666666666E-2</v>
      </c>
      <c r="AF2094" s="99">
        <f t="shared" si="97"/>
        <v>1.4239504168461283E-2</v>
      </c>
      <c r="AG2094" s="99">
        <f t="shared" si="98"/>
        <v>4.8552601745704997E-3</v>
      </c>
      <c r="AH2094" s="10" t="str">
        <f>IFERROR(VLOOKUP(B2094,'Pre-Summary'!$AZ$6:$BE$65,3,FALSE),"")</f>
        <v/>
      </c>
      <c r="AI2094" s="10" t="str">
        <f>IFERROR(VLOOKUP(B2094,'Pre-Summary'!$AZ$6:$BE$65,5,FALSE),"")</f>
        <v/>
      </c>
      <c r="AJ2094" s="10" t="str">
        <f>IFERROR(VLOOKUP(B2094,'Pre-Summary'!$AZ$6:$BE$65,4,FALSE),"")</f>
        <v/>
      </c>
      <c r="AK2094" s="10" t="str">
        <f>IFERROR(VLOOKUP(B2094,'Pre-Summary'!$AZ$6:$BE$65,6,FALSE),"")</f>
        <v/>
      </c>
      <c r="AL2094" s="10" t="str">
        <f>IFERROR(VLOOKUP(B2094,'Pre-Summary'!$BG$6:$BL$44,3,FALSE),"")</f>
        <v/>
      </c>
      <c r="AM2094" s="10" t="str">
        <f>IFERROR(VLOOKUP(B2094,'Pre-Summary'!$BG$6:$BL$44,4,FALSE),"")</f>
        <v/>
      </c>
    </row>
    <row r="2095" spans="2:39" ht="15" customHeight="1" x14ac:dyDescent="0.3">
      <c r="B2095">
        <v>209.2</v>
      </c>
      <c r="C2095" t="str">
        <f>IFERROR(VLOOKUP(B2095,'Pre-Summary'!$DI$6:$DM$23,4,FALSE),"")</f>
        <v/>
      </c>
      <c r="D2095" s="10" t="str">
        <f>IFERROR(VLOOKUP(B2095,'Pre-Summary'!$AT$6:$AX$14,5,FALSE),D2094)</f>
        <v>Wolfe v3: went back to modified wolfe + EDTA and switched CuSO4 to CUCl2</v>
      </c>
      <c r="E2095" s="10" t="str">
        <f>IFERROR(VLOOKUP(B2095,'Pre-Summary'!$AT$6:$AX$15,4,FALSE),"")</f>
        <v/>
      </c>
      <c r="F2095">
        <f>IFERROR(VLOOKUP(B2095,'Pre-Summary'!$AL$6:$AQ$13,6,FALSE),F2094)</f>
        <v>5.9405263157894746E-2</v>
      </c>
      <c r="G2095" t="str">
        <f>IFERROR(VLOOKUP(B2095,'Pre-Summary'!$AE$6:$AJ$85,3,FALSE),"")</f>
        <v/>
      </c>
      <c r="H2095" t="str">
        <f>IFERROR(VLOOKUP(B2095,'Pre-Summary'!$AE$6:$AJ$85,4,FALSE),"")</f>
        <v/>
      </c>
      <c r="I2095" t="str">
        <f>IFERROR(VLOOKUP(B2095,'Pre-Summary'!$AE$6:$AJ$85,5,FALSE),"")</f>
        <v/>
      </c>
      <c r="J2095" s="45" t="str">
        <f>IFERROR(VLOOKUP(B2095,'Pre-Summary'!$AE$6:$AJ$85,6, FALSE),"")</f>
        <v/>
      </c>
      <c r="K2095" s="45" t="str">
        <f>IFERROR(VLOOKUP(B2095,'Pre-Summary'!$DE$6:$DG$61,3,FALSE),"")</f>
        <v/>
      </c>
      <c r="L2095" s="45" t="str">
        <f>IFERROR(VLOOKUP(B2095,'Pre-Summary'!$CU$6:$CW$36,3,FALSE),"")</f>
        <v/>
      </c>
      <c r="M2095" s="45" t="str">
        <f>IFERROR(VLOOKUP(B2095,'Pre-Summary'!$BW$6:$BY$58,2,FALSE),"")</f>
        <v/>
      </c>
      <c r="N2095" s="45" t="str">
        <f>IFERROR(VLOOKUP(B2095,'Pre-Summary'!$CD$6:$CF$64,2,FALSE),"")</f>
        <v/>
      </c>
      <c r="O2095" s="99">
        <f>IFERROR(VLOOKUP(B2095,'Pre-Summary'!$BO$6:$BQ$48,3, FALSE),O2094)</f>
        <v>1.3480000000000001</v>
      </c>
      <c r="P2095" s="99">
        <f>IFERROR(VLOOKUP(B2095,'Pre-Summary'!$BS$6:$BU$35,3,FALSE),P2094)</f>
        <v>0.379</v>
      </c>
      <c r="Q2095" s="54">
        <f t="shared" si="96"/>
        <v>3.556728232189974</v>
      </c>
      <c r="R2095" s="53">
        <f>IFERROR(VLOOKUP(B2095,'Pre-Summary'!$BG$6:$BM$44,7,FALSE),R2096)</f>
        <v>9.2946004538835364E-2</v>
      </c>
      <c r="S2095" s="53">
        <f>IFERROR(VLOOKUP(B2095,'Pre-Summary'!$BG$6:$BM$44,6,FALSE),S2096)</f>
        <v>8.3142487304634596E-2</v>
      </c>
      <c r="T2095" s="45" t="str">
        <f>IFERROR(VLOOKUP(B2095,'Pre-Summary'!$Y$6:$AC$83, 3,FALSE),"")</f>
        <v/>
      </c>
      <c r="U2095" s="45" t="str">
        <f>IFERROR(VLOOKUP(B2095,'Pre-Summary'!$Y$6:$AC$83, 4,FALSE),"")</f>
        <v/>
      </c>
      <c r="V2095" t="str">
        <f>IFERROR(VLOOKUP(B2095,'Pre-Summary'!$Y$6:$AC$83, 5,FALSE),"")</f>
        <v/>
      </c>
      <c r="W2095" s="45" t="str">
        <f>IFERROR(VLOOKUP(B2095,'Pre-Summary'!$Y$6:$AD$83,6,FALSE),"")</f>
        <v/>
      </c>
      <c r="X2095" t="str">
        <f>IFERROR(VLOOKUP('Pre-Summary'!$DB$6:$DD$63,3,FALSE),"")</f>
        <v/>
      </c>
      <c r="Y2095" t="str">
        <f>IFERROR(VLOOKUP(B2095,'Pre-Summary'!$CR$6:$CT$36,3,FALSE),"")</f>
        <v/>
      </c>
      <c r="Z2095" s="45" t="str">
        <f>IFERROR(VLOOKUP(B2095,'Pre-Summary'!$BZ$6:$CB$63,2,FALSE),"")</f>
        <v/>
      </c>
      <c r="AA2095" s="45" t="str">
        <f>IFERROR(VLOOKUP(B2095,'Pre-Summary'!$CG$6:$CI$70,2,FALSE),"")</f>
        <v/>
      </c>
      <c r="AB2095" s="99">
        <f>IFERROR(VLOOKUP(B2095,'Pre-Summary'!$A$6:$P$178,9,FALSE),AB2096)</f>
        <v>0.35893988476371363</v>
      </c>
      <c r="AC2095" s="10">
        <f>IFERROR(VLOOKUP(Summary!B2095,'Pre-Summary'!$A$6:$P$184,5, FALSE)/100,AC2096)</f>
        <v>0.94680200000000014</v>
      </c>
      <c r="AD2095" s="10">
        <f>IFERROR(VLOOKUP(Summary!B2095,'Pre-Summary'!$A$6:$P$184,3, FALSE)/100,AD2096)</f>
        <v>3.9670999999999998E-2</v>
      </c>
      <c r="AE2095" s="10">
        <f>IFERROR(VLOOKUP(Summary!B2095,'Pre-Summary'!$A$6:$P$184,7, FALSE)/100,AE2096)</f>
        <v>1.3526666666666666E-2</v>
      </c>
      <c r="AF2095" s="99">
        <f t="shared" si="97"/>
        <v>1.4239504168461283E-2</v>
      </c>
      <c r="AG2095" s="99">
        <f t="shared" si="98"/>
        <v>4.8552601745704997E-3</v>
      </c>
      <c r="AH2095" s="10" t="str">
        <f>IFERROR(VLOOKUP(B2095,'Pre-Summary'!$AZ$6:$BE$65,3,FALSE),"")</f>
        <v/>
      </c>
      <c r="AI2095" s="10" t="str">
        <f>IFERROR(VLOOKUP(B2095,'Pre-Summary'!$AZ$6:$BE$65,5,FALSE),"")</f>
        <v/>
      </c>
      <c r="AJ2095" s="10" t="str">
        <f>IFERROR(VLOOKUP(B2095,'Pre-Summary'!$AZ$6:$BE$65,4,FALSE),"")</f>
        <v/>
      </c>
      <c r="AK2095" s="10" t="str">
        <f>IFERROR(VLOOKUP(B2095,'Pre-Summary'!$AZ$6:$BE$65,6,FALSE),"")</f>
        <v/>
      </c>
      <c r="AL2095" s="10" t="str">
        <f>IFERROR(VLOOKUP(B2095,'Pre-Summary'!$BG$6:$BL$44,3,FALSE),"")</f>
        <v/>
      </c>
      <c r="AM2095" s="10" t="str">
        <f>IFERROR(VLOOKUP(B2095,'Pre-Summary'!$BG$6:$BL$44,4,FALSE),"")</f>
        <v/>
      </c>
    </row>
    <row r="2096" spans="2:39" ht="15" customHeight="1" x14ac:dyDescent="0.3">
      <c r="B2096">
        <v>209.3</v>
      </c>
      <c r="C2096" t="str">
        <f>IFERROR(VLOOKUP(B2096,'Pre-Summary'!$DI$6:$DM$23,4,FALSE),"")</f>
        <v/>
      </c>
      <c r="D2096" s="10" t="str">
        <f>IFERROR(VLOOKUP(B2096,'Pre-Summary'!$AT$6:$AX$14,5,FALSE),D2095)</f>
        <v>Wolfe v3: went back to modified wolfe + EDTA and switched CuSO4 to CUCl2</v>
      </c>
      <c r="E2096" s="10" t="str">
        <f>IFERROR(VLOOKUP(B2096,'Pre-Summary'!$AT$6:$AX$15,4,FALSE),"")</f>
        <v/>
      </c>
      <c r="F2096">
        <f>IFERROR(VLOOKUP(B2096,'Pre-Summary'!$AL$6:$AQ$13,6,FALSE),F2095)</f>
        <v>5.9405263157894746E-2</v>
      </c>
      <c r="G2096" t="str">
        <f>IFERROR(VLOOKUP(B2096,'Pre-Summary'!$AE$6:$AJ$85,3,FALSE),"")</f>
        <v/>
      </c>
      <c r="H2096" t="str">
        <f>IFERROR(VLOOKUP(B2096,'Pre-Summary'!$AE$6:$AJ$85,4,FALSE),"")</f>
        <v/>
      </c>
      <c r="I2096" t="str">
        <f>IFERROR(VLOOKUP(B2096,'Pre-Summary'!$AE$6:$AJ$85,5,FALSE),"")</f>
        <v/>
      </c>
      <c r="J2096" s="45" t="str">
        <f>IFERROR(VLOOKUP(B2096,'Pre-Summary'!$AE$6:$AJ$85,6, FALSE),"")</f>
        <v/>
      </c>
      <c r="K2096" s="45" t="str">
        <f>IFERROR(VLOOKUP(B2096,'Pre-Summary'!$DE$6:$DG$61,3,FALSE),"")</f>
        <v/>
      </c>
      <c r="L2096" s="45" t="str">
        <f>IFERROR(VLOOKUP(B2096,'Pre-Summary'!$CU$6:$CW$36,3,FALSE),"")</f>
        <v/>
      </c>
      <c r="M2096" s="45" t="str">
        <f>IFERROR(VLOOKUP(B2096,'Pre-Summary'!$BW$6:$BY$58,2,FALSE),"")</f>
        <v/>
      </c>
      <c r="N2096" s="45" t="str">
        <f>IFERROR(VLOOKUP(B2096,'Pre-Summary'!$CD$6:$CF$64,2,FALSE),"")</f>
        <v/>
      </c>
      <c r="O2096" s="99">
        <f>IFERROR(VLOOKUP(B2096,'Pre-Summary'!$BO$6:$BQ$48,3, FALSE),O2095)</f>
        <v>1.3480000000000001</v>
      </c>
      <c r="P2096" s="99">
        <f>IFERROR(VLOOKUP(B2096,'Pre-Summary'!$BS$6:$BU$35,3,FALSE),P2095)</f>
        <v>0.379</v>
      </c>
      <c r="Q2096" s="54">
        <f t="shared" si="96"/>
        <v>3.556728232189974</v>
      </c>
      <c r="R2096" s="53">
        <f>IFERROR(VLOOKUP(B2096,'Pre-Summary'!$BG$6:$BM$44,7,FALSE),R2097)</f>
        <v>9.2946004538835364E-2</v>
      </c>
      <c r="S2096" s="53">
        <f>IFERROR(VLOOKUP(B2096,'Pre-Summary'!$BG$6:$BM$44,6,FALSE),S2097)</f>
        <v>8.3142487304634596E-2</v>
      </c>
      <c r="T2096" s="45" t="str">
        <f>IFERROR(VLOOKUP(B2096,'Pre-Summary'!$Y$6:$AC$83, 3,FALSE),"")</f>
        <v/>
      </c>
      <c r="U2096" s="45" t="str">
        <f>IFERROR(VLOOKUP(B2096,'Pre-Summary'!$Y$6:$AC$83, 4,FALSE),"")</f>
        <v/>
      </c>
      <c r="V2096" t="str">
        <f>IFERROR(VLOOKUP(B2096,'Pre-Summary'!$Y$6:$AC$83, 5,FALSE),"")</f>
        <v/>
      </c>
      <c r="W2096" s="45" t="str">
        <f>IFERROR(VLOOKUP(B2096,'Pre-Summary'!$Y$6:$AD$83,6,FALSE),"")</f>
        <v/>
      </c>
      <c r="X2096" t="str">
        <f>IFERROR(VLOOKUP('Pre-Summary'!$DB$6:$DD$63,3,FALSE),"")</f>
        <v/>
      </c>
      <c r="Y2096" t="str">
        <f>IFERROR(VLOOKUP(B2096,'Pre-Summary'!$CR$6:$CT$36,3,FALSE),"")</f>
        <v/>
      </c>
      <c r="Z2096" s="45" t="str">
        <f>IFERROR(VLOOKUP(B2096,'Pre-Summary'!$BZ$6:$CB$63,2,FALSE),"")</f>
        <v/>
      </c>
      <c r="AA2096" s="45" t="str">
        <f>IFERROR(VLOOKUP(B2096,'Pre-Summary'!$CG$6:$CI$70,2,FALSE),"")</f>
        <v/>
      </c>
      <c r="AB2096" s="99">
        <f>IFERROR(VLOOKUP(B2096,'Pre-Summary'!$A$6:$P$178,9,FALSE),AB2097)</f>
        <v>0.35893988476371363</v>
      </c>
      <c r="AC2096" s="10">
        <f>IFERROR(VLOOKUP(Summary!B2096,'Pre-Summary'!$A$6:$P$184,5, FALSE)/100,AC2097)</f>
        <v>0.94680200000000014</v>
      </c>
      <c r="AD2096" s="10">
        <f>IFERROR(VLOOKUP(Summary!B2096,'Pre-Summary'!$A$6:$P$184,3, FALSE)/100,AD2097)</f>
        <v>3.9670999999999998E-2</v>
      </c>
      <c r="AE2096" s="10">
        <f>IFERROR(VLOOKUP(Summary!B2096,'Pre-Summary'!$A$6:$P$184,7, FALSE)/100,AE2097)</f>
        <v>1.3526666666666666E-2</v>
      </c>
      <c r="AF2096" s="99">
        <f t="shared" si="97"/>
        <v>1.4239504168461283E-2</v>
      </c>
      <c r="AG2096" s="99">
        <f t="shared" si="98"/>
        <v>4.8552601745704997E-3</v>
      </c>
      <c r="AH2096" s="10" t="str">
        <f>IFERROR(VLOOKUP(B2096,'Pre-Summary'!$AZ$6:$BE$65,3,FALSE),"")</f>
        <v/>
      </c>
      <c r="AI2096" s="10" t="str">
        <f>IFERROR(VLOOKUP(B2096,'Pre-Summary'!$AZ$6:$BE$65,5,FALSE),"")</f>
        <v/>
      </c>
      <c r="AJ2096" s="10" t="str">
        <f>IFERROR(VLOOKUP(B2096,'Pre-Summary'!$AZ$6:$BE$65,4,FALSE),"")</f>
        <v/>
      </c>
      <c r="AK2096" s="10" t="str">
        <f>IFERROR(VLOOKUP(B2096,'Pre-Summary'!$AZ$6:$BE$65,6,FALSE),"")</f>
        <v/>
      </c>
      <c r="AL2096" s="10" t="str">
        <f>IFERROR(VLOOKUP(B2096,'Pre-Summary'!$BG$6:$BL$44,3,FALSE),"")</f>
        <v/>
      </c>
      <c r="AM2096" s="10" t="str">
        <f>IFERROR(VLOOKUP(B2096,'Pre-Summary'!$BG$6:$BL$44,4,FALSE),"")</f>
        <v/>
      </c>
    </row>
    <row r="2097" spans="2:39" ht="15" customHeight="1" x14ac:dyDescent="0.3">
      <c r="B2097">
        <v>209.4</v>
      </c>
      <c r="C2097" t="str">
        <f>IFERROR(VLOOKUP(B2097,'Pre-Summary'!$DI$6:$DM$23,4,FALSE),"")</f>
        <v/>
      </c>
      <c r="D2097" s="10" t="str">
        <f>IFERROR(VLOOKUP(B2097,'Pre-Summary'!$AT$6:$AX$14,5,FALSE),D2096)</f>
        <v>Wolfe v3: went back to modified wolfe + EDTA and switched CuSO4 to CUCl2</v>
      </c>
      <c r="E2097" s="10" t="str">
        <f>IFERROR(VLOOKUP(B2097,'Pre-Summary'!$AT$6:$AX$15,4,FALSE),"")</f>
        <v/>
      </c>
      <c r="F2097">
        <f>IFERROR(VLOOKUP(B2097,'Pre-Summary'!$AL$6:$AQ$13,6,FALSE),F2096)</f>
        <v>5.9405263157894746E-2</v>
      </c>
      <c r="G2097" t="str">
        <f>IFERROR(VLOOKUP(B2097,'Pre-Summary'!$AE$6:$AJ$85,3,FALSE),"")</f>
        <v/>
      </c>
      <c r="H2097" t="str">
        <f>IFERROR(VLOOKUP(B2097,'Pre-Summary'!$AE$6:$AJ$85,4,FALSE),"")</f>
        <v/>
      </c>
      <c r="I2097" t="str">
        <f>IFERROR(VLOOKUP(B2097,'Pre-Summary'!$AE$6:$AJ$85,5,FALSE),"")</f>
        <v/>
      </c>
      <c r="J2097" s="45" t="str">
        <f>IFERROR(VLOOKUP(B2097,'Pre-Summary'!$AE$6:$AJ$85,6, FALSE),"")</f>
        <v/>
      </c>
      <c r="K2097" s="45" t="str">
        <f>IFERROR(VLOOKUP(B2097,'Pre-Summary'!$DE$6:$DG$61,3,FALSE),"")</f>
        <v/>
      </c>
      <c r="L2097" s="45" t="str">
        <f>IFERROR(VLOOKUP(B2097,'Pre-Summary'!$CU$6:$CW$36,3,FALSE),"")</f>
        <v/>
      </c>
      <c r="M2097" s="45" t="str">
        <f>IFERROR(VLOOKUP(B2097,'Pre-Summary'!$BW$6:$BY$58,2,FALSE),"")</f>
        <v/>
      </c>
      <c r="N2097" s="45" t="str">
        <f>IFERROR(VLOOKUP(B2097,'Pre-Summary'!$CD$6:$CF$64,2,FALSE),"")</f>
        <v/>
      </c>
      <c r="O2097" s="99">
        <f>IFERROR(VLOOKUP(B2097,'Pre-Summary'!$BO$6:$BQ$48,3, FALSE),O2096)</f>
        <v>1.3480000000000001</v>
      </c>
      <c r="P2097" s="99">
        <f>IFERROR(VLOOKUP(B2097,'Pre-Summary'!$BS$6:$BU$35,3,FALSE),P2096)</f>
        <v>0.379</v>
      </c>
      <c r="Q2097" s="54">
        <f t="shared" si="96"/>
        <v>3.556728232189974</v>
      </c>
      <c r="R2097" s="53">
        <f>IFERROR(VLOOKUP(B2097,'Pre-Summary'!$BG$6:$BM$44,7,FALSE),R2098)</f>
        <v>9.2946004538835364E-2</v>
      </c>
      <c r="S2097" s="53">
        <f>IFERROR(VLOOKUP(B2097,'Pre-Summary'!$BG$6:$BM$44,6,FALSE),S2098)</f>
        <v>8.3142487304634596E-2</v>
      </c>
      <c r="T2097" s="45" t="str">
        <f>IFERROR(VLOOKUP(B2097,'Pre-Summary'!$Y$6:$AC$83, 3,FALSE),"")</f>
        <v/>
      </c>
      <c r="U2097" s="45" t="str">
        <f>IFERROR(VLOOKUP(B2097,'Pre-Summary'!$Y$6:$AC$83, 4,FALSE),"")</f>
        <v/>
      </c>
      <c r="V2097" t="str">
        <f>IFERROR(VLOOKUP(B2097,'Pre-Summary'!$Y$6:$AC$83, 5,FALSE),"")</f>
        <v/>
      </c>
      <c r="W2097" s="45" t="str">
        <f>IFERROR(VLOOKUP(B2097,'Pre-Summary'!$Y$6:$AD$83,6,FALSE),"")</f>
        <v/>
      </c>
      <c r="X2097" t="str">
        <f>IFERROR(VLOOKUP('Pre-Summary'!$DB$6:$DD$63,3,FALSE),"")</f>
        <v/>
      </c>
      <c r="Y2097" t="str">
        <f>IFERROR(VLOOKUP(B2097,'Pre-Summary'!$CR$6:$CT$36,3,FALSE),"")</f>
        <v/>
      </c>
      <c r="Z2097" s="45" t="str">
        <f>IFERROR(VLOOKUP(B2097,'Pre-Summary'!$BZ$6:$CB$63,2,FALSE),"")</f>
        <v/>
      </c>
      <c r="AA2097" s="45" t="str">
        <f>IFERROR(VLOOKUP(B2097,'Pre-Summary'!$CG$6:$CI$70,2,FALSE),"")</f>
        <v/>
      </c>
      <c r="AB2097" s="99">
        <f>IFERROR(VLOOKUP(B2097,'Pre-Summary'!$A$6:$P$178,9,FALSE),AB2098)</f>
        <v>0.35893988476371363</v>
      </c>
      <c r="AC2097" s="10">
        <f>IFERROR(VLOOKUP(Summary!B2097,'Pre-Summary'!$A$6:$P$184,5, FALSE)/100,AC2098)</f>
        <v>0.94680200000000014</v>
      </c>
      <c r="AD2097" s="10">
        <f>IFERROR(VLOOKUP(Summary!B2097,'Pre-Summary'!$A$6:$P$184,3, FALSE)/100,AD2098)</f>
        <v>3.9670999999999998E-2</v>
      </c>
      <c r="AE2097" s="10">
        <f>IFERROR(VLOOKUP(Summary!B2097,'Pre-Summary'!$A$6:$P$184,7, FALSE)/100,AE2098)</f>
        <v>1.3526666666666666E-2</v>
      </c>
      <c r="AF2097" s="99">
        <f t="shared" si="97"/>
        <v>1.4239504168461283E-2</v>
      </c>
      <c r="AG2097" s="99">
        <f t="shared" si="98"/>
        <v>4.8552601745704997E-3</v>
      </c>
      <c r="AH2097" s="10" t="str">
        <f>IFERROR(VLOOKUP(B2097,'Pre-Summary'!$AZ$6:$BE$65,3,FALSE),"")</f>
        <v/>
      </c>
      <c r="AI2097" s="10" t="str">
        <f>IFERROR(VLOOKUP(B2097,'Pre-Summary'!$AZ$6:$BE$65,5,FALSE),"")</f>
        <v/>
      </c>
      <c r="AJ2097" s="10" t="str">
        <f>IFERROR(VLOOKUP(B2097,'Pre-Summary'!$AZ$6:$BE$65,4,FALSE),"")</f>
        <v/>
      </c>
      <c r="AK2097" s="10" t="str">
        <f>IFERROR(VLOOKUP(B2097,'Pre-Summary'!$AZ$6:$BE$65,6,FALSE),"")</f>
        <v/>
      </c>
      <c r="AL2097" s="10" t="str">
        <f>IFERROR(VLOOKUP(B2097,'Pre-Summary'!$BG$6:$BL$44,3,FALSE),"")</f>
        <v/>
      </c>
      <c r="AM2097" s="10" t="str">
        <f>IFERROR(VLOOKUP(B2097,'Pre-Summary'!$BG$6:$BL$44,4,FALSE),"")</f>
        <v/>
      </c>
    </row>
    <row r="2098" spans="2:39" ht="15" customHeight="1" x14ac:dyDescent="0.3">
      <c r="B2098">
        <v>209.5</v>
      </c>
      <c r="C2098" t="str">
        <f>IFERROR(VLOOKUP(B2098,'Pre-Summary'!$DI$6:$DM$23,4,FALSE),"")</f>
        <v/>
      </c>
      <c r="D2098" s="10" t="str">
        <f>IFERROR(VLOOKUP(B2098,'Pre-Summary'!$AT$6:$AX$14,5,FALSE),D2097)</f>
        <v>Wolfe v3: went back to modified wolfe + EDTA and switched CuSO4 to CUCl2</v>
      </c>
      <c r="E2098" s="10" t="str">
        <f>IFERROR(VLOOKUP(B2098,'Pre-Summary'!$AT$6:$AX$15,4,FALSE),"")</f>
        <v/>
      </c>
      <c r="F2098">
        <f>IFERROR(VLOOKUP(B2098,'Pre-Summary'!$AL$6:$AQ$13,6,FALSE),F2097)</f>
        <v>5.9405263157894746E-2</v>
      </c>
      <c r="G2098" t="str">
        <f>IFERROR(VLOOKUP(B2098,'Pre-Summary'!$AE$6:$AJ$85,3,FALSE),"")</f>
        <v/>
      </c>
      <c r="H2098" t="str">
        <f>IFERROR(VLOOKUP(B2098,'Pre-Summary'!$AE$6:$AJ$85,4,FALSE),"")</f>
        <v/>
      </c>
      <c r="I2098" t="str">
        <f>IFERROR(VLOOKUP(B2098,'Pre-Summary'!$AE$6:$AJ$85,5,FALSE),"")</f>
        <v/>
      </c>
      <c r="J2098" s="45" t="str">
        <f>IFERROR(VLOOKUP(B2098,'Pre-Summary'!$AE$6:$AJ$85,6, FALSE),"")</f>
        <v/>
      </c>
      <c r="K2098" s="45" t="str">
        <f>IFERROR(VLOOKUP(B2098,'Pre-Summary'!$DE$6:$DG$61,3,FALSE),"")</f>
        <v/>
      </c>
      <c r="L2098" s="45" t="str">
        <f>IFERROR(VLOOKUP(B2098,'Pre-Summary'!$CU$6:$CW$36,3,FALSE),"")</f>
        <v/>
      </c>
      <c r="M2098" s="45" t="str">
        <f>IFERROR(VLOOKUP(B2098,'Pre-Summary'!$BW$6:$BY$58,2,FALSE),"")</f>
        <v/>
      </c>
      <c r="N2098" s="45" t="str">
        <f>IFERROR(VLOOKUP(B2098,'Pre-Summary'!$CD$6:$CF$64,2,FALSE),"")</f>
        <v/>
      </c>
      <c r="O2098" s="99">
        <f>IFERROR(VLOOKUP(B2098,'Pre-Summary'!$BO$6:$BQ$48,3, FALSE),O2097)</f>
        <v>1.3480000000000001</v>
      </c>
      <c r="P2098" s="99">
        <f>IFERROR(VLOOKUP(B2098,'Pre-Summary'!$BS$6:$BU$35,3,FALSE),P2097)</f>
        <v>0.379</v>
      </c>
      <c r="Q2098" s="54">
        <f t="shared" si="96"/>
        <v>3.556728232189974</v>
      </c>
      <c r="R2098" s="53">
        <f>IFERROR(VLOOKUP(B2098,'Pre-Summary'!$BG$6:$BM$44,7,FALSE),R2099)</f>
        <v>9.2946004538835364E-2</v>
      </c>
      <c r="S2098" s="53">
        <f>IFERROR(VLOOKUP(B2098,'Pre-Summary'!$BG$6:$BM$44,6,FALSE),S2099)</f>
        <v>8.3142487304634596E-2</v>
      </c>
      <c r="T2098" s="45" t="str">
        <f>IFERROR(VLOOKUP(B2098,'Pre-Summary'!$Y$6:$AC$83, 3,FALSE),"")</f>
        <v/>
      </c>
      <c r="U2098" s="45" t="str">
        <f>IFERROR(VLOOKUP(B2098,'Pre-Summary'!$Y$6:$AC$83, 4,FALSE),"")</f>
        <v/>
      </c>
      <c r="V2098" t="str">
        <f>IFERROR(VLOOKUP(B2098,'Pre-Summary'!$Y$6:$AC$83, 5,FALSE),"")</f>
        <v/>
      </c>
      <c r="W2098" s="45" t="str">
        <f>IFERROR(VLOOKUP(B2098,'Pre-Summary'!$Y$6:$AD$83,6,FALSE),"")</f>
        <v/>
      </c>
      <c r="X2098" t="str">
        <f>IFERROR(VLOOKUP('Pre-Summary'!$DB$6:$DD$63,3,FALSE),"")</f>
        <v/>
      </c>
      <c r="Y2098" t="str">
        <f>IFERROR(VLOOKUP(B2098,'Pre-Summary'!$CR$6:$CT$36,3,FALSE),"")</f>
        <v/>
      </c>
      <c r="Z2098" s="45" t="str">
        <f>IFERROR(VLOOKUP(B2098,'Pre-Summary'!$BZ$6:$CB$63,2,FALSE),"")</f>
        <v/>
      </c>
      <c r="AA2098" s="45" t="str">
        <f>IFERROR(VLOOKUP(B2098,'Pre-Summary'!$CG$6:$CI$70,2,FALSE),"")</f>
        <v/>
      </c>
      <c r="AB2098" s="99">
        <f>IFERROR(VLOOKUP(B2098,'Pre-Summary'!$A$6:$P$178,9,FALSE),AB2099)</f>
        <v>0.35893988476371363</v>
      </c>
      <c r="AC2098" s="10">
        <f>IFERROR(VLOOKUP(Summary!B2098,'Pre-Summary'!$A$6:$P$184,5, FALSE)/100,AC2099)</f>
        <v>0.94680200000000014</v>
      </c>
      <c r="AD2098" s="10">
        <f>IFERROR(VLOOKUP(Summary!B2098,'Pre-Summary'!$A$6:$P$184,3, FALSE)/100,AD2099)</f>
        <v>3.9670999999999998E-2</v>
      </c>
      <c r="AE2098" s="10">
        <f>IFERROR(VLOOKUP(Summary!B2098,'Pre-Summary'!$A$6:$P$184,7, FALSE)/100,AE2099)</f>
        <v>1.3526666666666666E-2</v>
      </c>
      <c r="AF2098" s="99">
        <f t="shared" si="97"/>
        <v>1.4239504168461283E-2</v>
      </c>
      <c r="AG2098" s="99">
        <f t="shared" si="98"/>
        <v>4.8552601745704997E-3</v>
      </c>
      <c r="AH2098" s="10" t="str">
        <f>IFERROR(VLOOKUP(B2098,'Pre-Summary'!$AZ$6:$BE$65,3,FALSE),"")</f>
        <v/>
      </c>
      <c r="AI2098" s="10" t="str">
        <f>IFERROR(VLOOKUP(B2098,'Pre-Summary'!$AZ$6:$BE$65,5,FALSE),"")</f>
        <v/>
      </c>
      <c r="AJ2098" s="10" t="str">
        <f>IFERROR(VLOOKUP(B2098,'Pre-Summary'!$AZ$6:$BE$65,4,FALSE),"")</f>
        <v/>
      </c>
      <c r="AK2098" s="10" t="str">
        <f>IFERROR(VLOOKUP(B2098,'Pre-Summary'!$AZ$6:$BE$65,6,FALSE),"")</f>
        <v/>
      </c>
      <c r="AL2098" s="10" t="str">
        <f>IFERROR(VLOOKUP(B2098,'Pre-Summary'!$BG$6:$BL$44,3,FALSE),"")</f>
        <v/>
      </c>
      <c r="AM2098" s="10" t="str">
        <f>IFERROR(VLOOKUP(B2098,'Pre-Summary'!$BG$6:$BL$44,4,FALSE),"")</f>
        <v/>
      </c>
    </row>
    <row r="2099" spans="2:39" ht="15" customHeight="1" x14ac:dyDescent="0.3">
      <c r="B2099">
        <v>209.6</v>
      </c>
      <c r="C2099" t="str">
        <f>IFERROR(VLOOKUP(B2099,'Pre-Summary'!$DI$6:$DM$23,4,FALSE),"")</f>
        <v/>
      </c>
      <c r="D2099" s="10" t="str">
        <f>IFERROR(VLOOKUP(B2099,'Pre-Summary'!$AT$6:$AX$14,5,FALSE),D2098)</f>
        <v>Wolfe v3: went back to modified wolfe + EDTA and switched CuSO4 to CUCl2</v>
      </c>
      <c r="E2099" s="10" t="str">
        <f>IFERROR(VLOOKUP(B2099,'Pre-Summary'!$AT$6:$AX$15,4,FALSE),"")</f>
        <v/>
      </c>
      <c r="F2099">
        <f>IFERROR(VLOOKUP(B2099,'Pre-Summary'!$AL$6:$AQ$13,6,FALSE),F2098)</f>
        <v>5.9405263157894746E-2</v>
      </c>
      <c r="G2099" t="str">
        <f>IFERROR(VLOOKUP(B2099,'Pre-Summary'!$AE$6:$AJ$85,3,FALSE),"")</f>
        <v/>
      </c>
      <c r="H2099" t="str">
        <f>IFERROR(VLOOKUP(B2099,'Pre-Summary'!$AE$6:$AJ$85,4,FALSE),"")</f>
        <v/>
      </c>
      <c r="I2099" t="str">
        <f>IFERROR(VLOOKUP(B2099,'Pre-Summary'!$AE$6:$AJ$85,5,FALSE),"")</f>
        <v/>
      </c>
      <c r="J2099" s="45" t="str">
        <f>IFERROR(VLOOKUP(B2099,'Pre-Summary'!$AE$6:$AJ$85,6, FALSE),"")</f>
        <v/>
      </c>
      <c r="K2099" s="45" t="str">
        <f>IFERROR(VLOOKUP(B2099,'Pre-Summary'!$DE$6:$DG$61,3,FALSE),"")</f>
        <v/>
      </c>
      <c r="L2099" s="45" t="str">
        <f>IFERROR(VLOOKUP(B2099,'Pre-Summary'!$CU$6:$CW$36,3,FALSE),"")</f>
        <v/>
      </c>
      <c r="M2099" s="45" t="str">
        <f>IFERROR(VLOOKUP(B2099,'Pre-Summary'!$BW$6:$BY$58,2,FALSE),"")</f>
        <v/>
      </c>
      <c r="N2099" s="45" t="str">
        <f>IFERROR(VLOOKUP(B2099,'Pre-Summary'!$CD$6:$CF$64,2,FALSE),"")</f>
        <v/>
      </c>
      <c r="O2099" s="99">
        <f>IFERROR(VLOOKUP(B2099,'Pre-Summary'!$BO$6:$BQ$48,3, FALSE),O2098)</f>
        <v>1.3480000000000001</v>
      </c>
      <c r="P2099" s="99">
        <f>IFERROR(VLOOKUP(B2099,'Pre-Summary'!$BS$6:$BU$35,3,FALSE),P2098)</f>
        <v>0.379</v>
      </c>
      <c r="Q2099" s="54">
        <f t="shared" si="96"/>
        <v>3.556728232189974</v>
      </c>
      <c r="R2099" s="53">
        <f>IFERROR(VLOOKUP(B2099,'Pre-Summary'!$BG$6:$BM$44,7,FALSE),R2100)</f>
        <v>9.2946004538835364E-2</v>
      </c>
      <c r="S2099" s="53">
        <f>IFERROR(VLOOKUP(B2099,'Pre-Summary'!$BG$6:$BM$44,6,FALSE),S2100)</f>
        <v>8.3142487304634596E-2</v>
      </c>
      <c r="T2099" s="45" t="str">
        <f>IFERROR(VLOOKUP(B2099,'Pre-Summary'!$Y$6:$AC$83, 3,FALSE),"")</f>
        <v/>
      </c>
      <c r="U2099" s="45" t="str">
        <f>IFERROR(VLOOKUP(B2099,'Pre-Summary'!$Y$6:$AC$83, 4,FALSE),"")</f>
        <v/>
      </c>
      <c r="V2099" t="str">
        <f>IFERROR(VLOOKUP(B2099,'Pre-Summary'!$Y$6:$AC$83, 5,FALSE),"")</f>
        <v/>
      </c>
      <c r="W2099" s="45" t="str">
        <f>IFERROR(VLOOKUP(B2099,'Pre-Summary'!$Y$6:$AD$83,6,FALSE),"")</f>
        <v/>
      </c>
      <c r="X2099" t="str">
        <f>IFERROR(VLOOKUP('Pre-Summary'!$DB$6:$DD$63,3,FALSE),"")</f>
        <v/>
      </c>
      <c r="Y2099" t="str">
        <f>IFERROR(VLOOKUP(B2099,'Pre-Summary'!$CR$6:$CT$36,3,FALSE),"")</f>
        <v/>
      </c>
      <c r="Z2099" s="45" t="str">
        <f>IFERROR(VLOOKUP(B2099,'Pre-Summary'!$BZ$6:$CB$63,2,FALSE),"")</f>
        <v/>
      </c>
      <c r="AA2099" s="45" t="str">
        <f>IFERROR(VLOOKUP(B2099,'Pre-Summary'!$CG$6:$CI$70,2,FALSE),"")</f>
        <v/>
      </c>
      <c r="AB2099" s="99">
        <f>IFERROR(VLOOKUP(B2099,'Pre-Summary'!$A$6:$P$178,9,FALSE),AB2100)</f>
        <v>0.35893988476371363</v>
      </c>
      <c r="AC2099" s="10">
        <f>IFERROR(VLOOKUP(Summary!B2099,'Pre-Summary'!$A$6:$P$184,5, FALSE)/100,AC2100)</f>
        <v>0.94680200000000014</v>
      </c>
      <c r="AD2099" s="10">
        <f>IFERROR(VLOOKUP(Summary!B2099,'Pre-Summary'!$A$6:$P$184,3, FALSE)/100,AD2100)</f>
        <v>3.9670999999999998E-2</v>
      </c>
      <c r="AE2099" s="10">
        <f>IFERROR(VLOOKUP(Summary!B2099,'Pre-Summary'!$A$6:$P$184,7, FALSE)/100,AE2100)</f>
        <v>1.3526666666666666E-2</v>
      </c>
      <c r="AF2099" s="99">
        <f t="shared" si="97"/>
        <v>1.4239504168461283E-2</v>
      </c>
      <c r="AG2099" s="99">
        <f t="shared" si="98"/>
        <v>4.8552601745704997E-3</v>
      </c>
      <c r="AH2099" s="10" t="str">
        <f>IFERROR(VLOOKUP(B2099,'Pre-Summary'!$AZ$6:$BE$65,3,FALSE),"")</f>
        <v/>
      </c>
      <c r="AI2099" s="10" t="str">
        <f>IFERROR(VLOOKUP(B2099,'Pre-Summary'!$AZ$6:$BE$65,5,FALSE),"")</f>
        <v/>
      </c>
      <c r="AJ2099" s="10" t="str">
        <f>IFERROR(VLOOKUP(B2099,'Pre-Summary'!$AZ$6:$BE$65,4,FALSE),"")</f>
        <v/>
      </c>
      <c r="AK2099" s="10" t="str">
        <f>IFERROR(VLOOKUP(B2099,'Pre-Summary'!$AZ$6:$BE$65,6,FALSE),"")</f>
        <v/>
      </c>
      <c r="AL2099" s="10" t="str">
        <f>IFERROR(VLOOKUP(B2099,'Pre-Summary'!$BG$6:$BL$44,3,FALSE),"")</f>
        <v/>
      </c>
      <c r="AM2099" s="10" t="str">
        <f>IFERROR(VLOOKUP(B2099,'Pre-Summary'!$BG$6:$BL$44,4,FALSE),"")</f>
        <v/>
      </c>
    </row>
    <row r="2100" spans="2:39" ht="15" customHeight="1" x14ac:dyDescent="0.3">
      <c r="B2100">
        <v>209.7</v>
      </c>
      <c r="C2100" t="str">
        <f>IFERROR(VLOOKUP(B2100,'Pre-Summary'!$DI$6:$DM$23,4,FALSE),"")</f>
        <v/>
      </c>
      <c r="D2100" s="10" t="str">
        <f>IFERROR(VLOOKUP(B2100,'Pre-Summary'!$AT$6:$AX$14,5,FALSE),D2099)</f>
        <v>Wolfe v3: went back to modified wolfe + EDTA and switched CuSO4 to CUCl2</v>
      </c>
      <c r="E2100" s="10" t="str">
        <f>IFERROR(VLOOKUP(B2100,'Pre-Summary'!$AT$6:$AX$15,4,FALSE),"")</f>
        <v/>
      </c>
      <c r="F2100">
        <f>IFERROR(VLOOKUP(B2100,'Pre-Summary'!$AL$6:$AQ$13,6,FALSE),F2099)</f>
        <v>5.9405263157894746E-2</v>
      </c>
      <c r="G2100" t="str">
        <f>IFERROR(VLOOKUP(B2100,'Pre-Summary'!$AE$6:$AJ$85,3,FALSE),"")</f>
        <v/>
      </c>
      <c r="H2100" t="str">
        <f>IFERROR(VLOOKUP(B2100,'Pre-Summary'!$AE$6:$AJ$85,4,FALSE),"")</f>
        <v/>
      </c>
      <c r="I2100" t="str">
        <f>IFERROR(VLOOKUP(B2100,'Pre-Summary'!$AE$6:$AJ$85,5,FALSE),"")</f>
        <v/>
      </c>
      <c r="J2100" s="45" t="str">
        <f>IFERROR(VLOOKUP(B2100,'Pre-Summary'!$AE$6:$AJ$85,6, FALSE),"")</f>
        <v/>
      </c>
      <c r="K2100" s="45" t="str">
        <f>IFERROR(VLOOKUP(B2100,'Pre-Summary'!$DE$6:$DG$61,3,FALSE),"")</f>
        <v/>
      </c>
      <c r="L2100" s="45" t="str">
        <f>IFERROR(VLOOKUP(B2100,'Pre-Summary'!$CU$6:$CW$36,3,FALSE),"")</f>
        <v/>
      </c>
      <c r="M2100" s="45" t="str">
        <f>IFERROR(VLOOKUP(B2100,'Pre-Summary'!$BW$6:$BY$58,2,FALSE),"")</f>
        <v/>
      </c>
      <c r="N2100" s="45" t="str">
        <f>IFERROR(VLOOKUP(B2100,'Pre-Summary'!$CD$6:$CF$64,2,FALSE),"")</f>
        <v/>
      </c>
      <c r="O2100" s="99">
        <f>IFERROR(VLOOKUP(B2100,'Pre-Summary'!$BO$6:$BQ$48,3, FALSE),O2099)</f>
        <v>1.3480000000000001</v>
      </c>
      <c r="P2100" s="99">
        <f>IFERROR(VLOOKUP(B2100,'Pre-Summary'!$BS$6:$BU$35,3,FALSE),P2099)</f>
        <v>0.379</v>
      </c>
      <c r="Q2100" s="54">
        <f t="shared" si="96"/>
        <v>3.556728232189974</v>
      </c>
      <c r="R2100" s="53">
        <f>IFERROR(VLOOKUP(B2100,'Pre-Summary'!$BG$6:$BM$44,7,FALSE),R2101)</f>
        <v>9.2946004538835364E-2</v>
      </c>
      <c r="S2100" s="53">
        <f>IFERROR(VLOOKUP(B2100,'Pre-Summary'!$BG$6:$BM$44,6,FALSE),S2101)</f>
        <v>8.3142487304634596E-2</v>
      </c>
      <c r="T2100" s="45" t="str">
        <f>IFERROR(VLOOKUP(B2100,'Pre-Summary'!$Y$6:$AC$83, 3,FALSE),"")</f>
        <v/>
      </c>
      <c r="U2100" s="45" t="str">
        <f>IFERROR(VLOOKUP(B2100,'Pre-Summary'!$Y$6:$AC$83, 4,FALSE),"")</f>
        <v/>
      </c>
      <c r="V2100" t="str">
        <f>IFERROR(VLOOKUP(B2100,'Pre-Summary'!$Y$6:$AC$83, 5,FALSE),"")</f>
        <v/>
      </c>
      <c r="W2100" s="45" t="str">
        <f>IFERROR(VLOOKUP(B2100,'Pre-Summary'!$Y$6:$AD$83,6,FALSE),"")</f>
        <v/>
      </c>
      <c r="X2100" t="str">
        <f>IFERROR(VLOOKUP('Pre-Summary'!$DB$6:$DD$63,3,FALSE),"")</f>
        <v/>
      </c>
      <c r="Y2100" t="str">
        <f>IFERROR(VLOOKUP(B2100,'Pre-Summary'!$CR$6:$CT$36,3,FALSE),"")</f>
        <v/>
      </c>
      <c r="Z2100" s="45" t="str">
        <f>IFERROR(VLOOKUP(B2100,'Pre-Summary'!$BZ$6:$CB$63,2,FALSE),"")</f>
        <v/>
      </c>
      <c r="AA2100" s="45" t="str">
        <f>IFERROR(VLOOKUP(B2100,'Pre-Summary'!$CG$6:$CI$70,2,FALSE),"")</f>
        <v/>
      </c>
      <c r="AB2100" s="99">
        <f>IFERROR(VLOOKUP(B2100,'Pre-Summary'!$A$6:$P$178,9,FALSE),AB2101)</f>
        <v>0.35893988476371363</v>
      </c>
      <c r="AC2100" s="10">
        <f>IFERROR(VLOOKUP(Summary!B2100,'Pre-Summary'!$A$6:$P$184,5, FALSE)/100,AC2101)</f>
        <v>0.94680200000000014</v>
      </c>
      <c r="AD2100" s="10">
        <f>IFERROR(VLOOKUP(Summary!B2100,'Pre-Summary'!$A$6:$P$184,3, FALSE)/100,AD2101)</f>
        <v>3.9670999999999998E-2</v>
      </c>
      <c r="AE2100" s="10">
        <f>IFERROR(VLOOKUP(Summary!B2100,'Pre-Summary'!$A$6:$P$184,7, FALSE)/100,AE2101)</f>
        <v>1.3526666666666666E-2</v>
      </c>
      <c r="AF2100" s="99">
        <f t="shared" si="97"/>
        <v>1.4239504168461283E-2</v>
      </c>
      <c r="AG2100" s="99">
        <f t="shared" si="98"/>
        <v>4.8552601745704997E-3</v>
      </c>
      <c r="AH2100" s="10" t="str">
        <f>IFERROR(VLOOKUP(B2100,'Pre-Summary'!$AZ$6:$BE$65,3,FALSE),"")</f>
        <v/>
      </c>
      <c r="AI2100" s="10" t="str">
        <f>IFERROR(VLOOKUP(B2100,'Pre-Summary'!$AZ$6:$BE$65,5,FALSE),"")</f>
        <v/>
      </c>
      <c r="AJ2100" s="10" t="str">
        <f>IFERROR(VLOOKUP(B2100,'Pre-Summary'!$AZ$6:$BE$65,4,FALSE),"")</f>
        <v/>
      </c>
      <c r="AK2100" s="10" t="str">
        <f>IFERROR(VLOOKUP(B2100,'Pre-Summary'!$AZ$6:$BE$65,6,FALSE),"")</f>
        <v/>
      </c>
      <c r="AL2100" s="10" t="str">
        <f>IFERROR(VLOOKUP(B2100,'Pre-Summary'!$BG$6:$BL$44,3,FALSE),"")</f>
        <v/>
      </c>
      <c r="AM2100" s="10" t="str">
        <f>IFERROR(VLOOKUP(B2100,'Pre-Summary'!$BG$6:$BL$44,4,FALSE),"")</f>
        <v/>
      </c>
    </row>
    <row r="2101" spans="2:39" ht="15" customHeight="1" x14ac:dyDescent="0.3">
      <c r="B2101">
        <v>209.8</v>
      </c>
      <c r="C2101" t="str">
        <f>IFERROR(VLOOKUP(B2101,'Pre-Summary'!$DI$6:$DM$23,4,FALSE),"")</f>
        <v/>
      </c>
      <c r="D2101" s="10" t="str">
        <f>IFERROR(VLOOKUP(B2101,'Pre-Summary'!$AT$6:$AX$14,5,FALSE),D2100)</f>
        <v>Wolfe v3: went back to modified wolfe + EDTA and switched CuSO4 to CUCl2</v>
      </c>
      <c r="E2101" s="10" t="str">
        <f>IFERROR(VLOOKUP(B2101,'Pre-Summary'!$AT$6:$AX$15,4,FALSE),"")</f>
        <v/>
      </c>
      <c r="F2101">
        <f>IFERROR(VLOOKUP(B2101,'Pre-Summary'!$AL$6:$AQ$13,6,FALSE),F2100)</f>
        <v>5.9405263157894746E-2</v>
      </c>
      <c r="G2101" t="str">
        <f>IFERROR(VLOOKUP(B2101,'Pre-Summary'!$AE$6:$AJ$85,3,FALSE),"")</f>
        <v/>
      </c>
      <c r="H2101" t="str">
        <f>IFERROR(VLOOKUP(B2101,'Pre-Summary'!$AE$6:$AJ$85,4,FALSE),"")</f>
        <v/>
      </c>
      <c r="I2101" t="str">
        <f>IFERROR(VLOOKUP(B2101,'Pre-Summary'!$AE$6:$AJ$85,5,FALSE),"")</f>
        <v/>
      </c>
      <c r="J2101" s="45" t="str">
        <f>IFERROR(VLOOKUP(B2101,'Pre-Summary'!$AE$6:$AJ$85,6, FALSE),"")</f>
        <v/>
      </c>
      <c r="K2101" s="45" t="str">
        <f>IFERROR(VLOOKUP(B2101,'Pre-Summary'!$DE$6:$DG$61,3,FALSE),"")</f>
        <v/>
      </c>
      <c r="L2101" s="45" t="str">
        <f>IFERROR(VLOOKUP(B2101,'Pre-Summary'!$CU$6:$CW$36,3,FALSE),"")</f>
        <v/>
      </c>
      <c r="M2101" s="45" t="str">
        <f>IFERROR(VLOOKUP(B2101,'Pre-Summary'!$BW$6:$BY$58,2,FALSE),"")</f>
        <v/>
      </c>
      <c r="N2101" s="45" t="str">
        <f>IFERROR(VLOOKUP(B2101,'Pre-Summary'!$CD$6:$CF$64,2,FALSE),"")</f>
        <v/>
      </c>
      <c r="O2101" s="99">
        <f>IFERROR(VLOOKUP(B2101,'Pre-Summary'!$BO$6:$BQ$48,3, FALSE),O2100)</f>
        <v>1.3480000000000001</v>
      </c>
      <c r="P2101" s="99">
        <f>IFERROR(VLOOKUP(B2101,'Pre-Summary'!$BS$6:$BU$35,3,FALSE),P2100)</f>
        <v>0.379</v>
      </c>
      <c r="Q2101" s="54">
        <f t="shared" si="96"/>
        <v>3.556728232189974</v>
      </c>
      <c r="R2101" s="53">
        <f>IFERROR(VLOOKUP(B2101,'Pre-Summary'!$BG$6:$BM$44,7,FALSE),R2102)</f>
        <v>9.2946004538835364E-2</v>
      </c>
      <c r="S2101" s="53">
        <f>IFERROR(VLOOKUP(B2101,'Pre-Summary'!$BG$6:$BM$44,6,FALSE),S2102)</f>
        <v>8.3142487304634596E-2</v>
      </c>
      <c r="T2101" s="45" t="str">
        <f>IFERROR(VLOOKUP(B2101,'Pre-Summary'!$Y$6:$AC$83, 3,FALSE),"")</f>
        <v/>
      </c>
      <c r="U2101" s="45" t="str">
        <f>IFERROR(VLOOKUP(B2101,'Pre-Summary'!$Y$6:$AC$83, 4,FALSE),"")</f>
        <v/>
      </c>
      <c r="V2101" t="str">
        <f>IFERROR(VLOOKUP(B2101,'Pre-Summary'!$Y$6:$AC$83, 5,FALSE),"")</f>
        <v/>
      </c>
      <c r="W2101" s="45" t="str">
        <f>IFERROR(VLOOKUP(B2101,'Pre-Summary'!$Y$6:$AD$83,6,FALSE),"")</f>
        <v/>
      </c>
      <c r="X2101" t="str">
        <f>IFERROR(VLOOKUP('Pre-Summary'!$DB$6:$DD$63,3,FALSE),"")</f>
        <v/>
      </c>
      <c r="Y2101" t="str">
        <f>IFERROR(VLOOKUP(B2101,'Pre-Summary'!$CR$6:$CT$36,3,FALSE),"")</f>
        <v/>
      </c>
      <c r="Z2101" s="45" t="str">
        <f>IFERROR(VLOOKUP(B2101,'Pre-Summary'!$BZ$6:$CB$63,2,FALSE),"")</f>
        <v/>
      </c>
      <c r="AA2101" s="45" t="str">
        <f>IFERROR(VLOOKUP(B2101,'Pre-Summary'!$CG$6:$CI$70,2,FALSE),"")</f>
        <v/>
      </c>
      <c r="AB2101" s="99">
        <f>IFERROR(VLOOKUP(B2101,'Pre-Summary'!$A$6:$P$178,9,FALSE),AB2102)</f>
        <v>0.35893988476371363</v>
      </c>
      <c r="AC2101" s="10">
        <f>IFERROR(VLOOKUP(Summary!B2101,'Pre-Summary'!$A$6:$P$184,5, FALSE)/100,AC2102)</f>
        <v>0.94680200000000014</v>
      </c>
      <c r="AD2101" s="10">
        <f>IFERROR(VLOOKUP(Summary!B2101,'Pre-Summary'!$A$6:$P$184,3, FALSE)/100,AD2102)</f>
        <v>3.9670999999999998E-2</v>
      </c>
      <c r="AE2101" s="10">
        <f>IFERROR(VLOOKUP(Summary!B2101,'Pre-Summary'!$A$6:$P$184,7, FALSE)/100,AE2102)</f>
        <v>1.3526666666666666E-2</v>
      </c>
      <c r="AF2101" s="99">
        <f t="shared" si="97"/>
        <v>1.4239504168461283E-2</v>
      </c>
      <c r="AG2101" s="99">
        <f t="shared" si="98"/>
        <v>4.8552601745704997E-3</v>
      </c>
      <c r="AH2101" s="10" t="str">
        <f>IFERROR(VLOOKUP(B2101,'Pre-Summary'!$AZ$6:$BE$65,3,FALSE),"")</f>
        <v/>
      </c>
      <c r="AI2101" s="10" t="str">
        <f>IFERROR(VLOOKUP(B2101,'Pre-Summary'!$AZ$6:$BE$65,5,FALSE),"")</f>
        <v/>
      </c>
      <c r="AJ2101" s="10" t="str">
        <f>IFERROR(VLOOKUP(B2101,'Pre-Summary'!$AZ$6:$BE$65,4,FALSE),"")</f>
        <v/>
      </c>
      <c r="AK2101" s="10" t="str">
        <f>IFERROR(VLOOKUP(B2101,'Pre-Summary'!$AZ$6:$BE$65,6,FALSE),"")</f>
        <v/>
      </c>
      <c r="AL2101" s="10" t="str">
        <f>IFERROR(VLOOKUP(B2101,'Pre-Summary'!$BG$6:$BL$44,3,FALSE),"")</f>
        <v/>
      </c>
      <c r="AM2101" s="10" t="str">
        <f>IFERROR(VLOOKUP(B2101,'Pre-Summary'!$BG$6:$BL$44,4,FALSE),"")</f>
        <v/>
      </c>
    </row>
    <row r="2102" spans="2:39" ht="15" customHeight="1" x14ac:dyDescent="0.3">
      <c r="B2102">
        <v>209.9</v>
      </c>
      <c r="C2102" t="str">
        <f>IFERROR(VLOOKUP(B2102,'Pre-Summary'!$DI$6:$DM$23,4,FALSE),"")</f>
        <v>M12</v>
      </c>
      <c r="D2102" s="10" t="str">
        <f>IFERROR(VLOOKUP(B2102,'Pre-Summary'!$AT$6:$AX$14,5,FALSE),D2101)</f>
        <v>Wolfe v3: went back to modified wolfe + EDTA and switched CuSO4 to CUCl2</v>
      </c>
      <c r="E2102" s="10" t="str">
        <f>IFERROR(VLOOKUP(B2102,'Pre-Summary'!$AT$6:$AX$15,4,FALSE),"")</f>
        <v/>
      </c>
      <c r="F2102">
        <f>IFERROR(VLOOKUP(B2102,'Pre-Summary'!$AL$6:$AQ$13,6,FALSE),F2101)</f>
        <v>5.9405263157894746E-2</v>
      </c>
      <c r="G2102" t="str">
        <f>IFERROR(VLOOKUP(B2102,'Pre-Summary'!$AE$6:$AJ$85,3,FALSE),"")</f>
        <v/>
      </c>
      <c r="H2102" t="str">
        <f>IFERROR(VLOOKUP(B2102,'Pre-Summary'!$AE$6:$AJ$85,4,FALSE),"")</f>
        <v/>
      </c>
      <c r="I2102" t="str">
        <f>IFERROR(VLOOKUP(B2102,'Pre-Summary'!$AE$6:$AJ$85,5,FALSE),"")</f>
        <v/>
      </c>
      <c r="J2102" s="45" t="str">
        <f>IFERROR(VLOOKUP(B2102,'Pre-Summary'!$AE$6:$AJ$85,6, FALSE),"")</f>
        <v/>
      </c>
      <c r="K2102" s="45" t="str">
        <f>IFERROR(VLOOKUP(B2102,'Pre-Summary'!$DE$6:$DG$61,3,FALSE),"")</f>
        <v/>
      </c>
      <c r="L2102" s="45" t="str">
        <f>IFERROR(VLOOKUP(B2102,'Pre-Summary'!$CU$6:$CW$36,3,FALSE),"")</f>
        <v/>
      </c>
      <c r="M2102" s="45" t="str">
        <f>IFERROR(VLOOKUP(B2102,'Pre-Summary'!$BW$6:$BY$58,2,FALSE),"")</f>
        <v/>
      </c>
      <c r="N2102" s="45" t="str">
        <f>IFERROR(VLOOKUP(B2102,'Pre-Summary'!$CD$6:$CF$64,2,FALSE),"")</f>
        <v/>
      </c>
      <c r="O2102" s="99">
        <f>IFERROR(VLOOKUP(B2102,'Pre-Summary'!$BO$6:$BQ$48,3, FALSE),O2101)</f>
        <v>1.3480000000000001</v>
      </c>
      <c r="P2102" s="99">
        <f>IFERROR(VLOOKUP(B2102,'Pre-Summary'!$BS$6:$BU$35,3,FALSE),P2101)</f>
        <v>0.379</v>
      </c>
      <c r="Q2102" s="54">
        <f t="shared" si="96"/>
        <v>3.556728232189974</v>
      </c>
      <c r="R2102" s="53">
        <f>IFERROR(VLOOKUP(B2102,'Pre-Summary'!$BG$6:$BM$44,7,FALSE),R2103)</f>
        <v>9.2946004538835364E-2</v>
      </c>
      <c r="S2102" s="53">
        <f>IFERROR(VLOOKUP(B2102,'Pre-Summary'!$BG$6:$BM$44,6,FALSE),S2103)</f>
        <v>8.3142487304634596E-2</v>
      </c>
      <c r="T2102" s="45" t="str">
        <f>IFERROR(VLOOKUP(B2102,'Pre-Summary'!$Y$6:$AC$83, 3,FALSE),"")</f>
        <v/>
      </c>
      <c r="U2102" s="45" t="str">
        <f>IFERROR(VLOOKUP(B2102,'Pre-Summary'!$Y$6:$AC$83, 4,FALSE),"")</f>
        <v/>
      </c>
      <c r="V2102" t="str">
        <f>IFERROR(VLOOKUP(B2102,'Pre-Summary'!$Y$6:$AC$83, 5,FALSE),"")</f>
        <v/>
      </c>
      <c r="W2102" s="45" t="str">
        <f>IFERROR(VLOOKUP(B2102,'Pre-Summary'!$Y$6:$AD$83,6,FALSE),"")</f>
        <v/>
      </c>
      <c r="X2102" t="str">
        <f>IFERROR(VLOOKUP('Pre-Summary'!$DB$6:$DD$63,3,FALSE),"")</f>
        <v/>
      </c>
      <c r="Y2102" t="str">
        <f>IFERROR(VLOOKUP(B2102,'Pre-Summary'!$CR$6:$CT$36,3,FALSE),"")</f>
        <v/>
      </c>
      <c r="Z2102" s="45" t="str">
        <f>IFERROR(VLOOKUP(B2102,'Pre-Summary'!$BZ$6:$CB$63,2,FALSE),"")</f>
        <v/>
      </c>
      <c r="AA2102" s="45" t="str">
        <f>IFERROR(VLOOKUP(B2102,'Pre-Summary'!$CG$6:$CI$70,2,FALSE),"")</f>
        <v/>
      </c>
      <c r="AB2102" s="99">
        <f>IFERROR(VLOOKUP(B2102,'Pre-Summary'!$A$6:$P$178,9,FALSE),AB2103)</f>
        <v>0.35893988476371363</v>
      </c>
      <c r="AC2102" s="10">
        <f>IFERROR(VLOOKUP(Summary!B2102,'Pre-Summary'!$A$6:$P$184,5, FALSE)/100,AC2103)</f>
        <v>0.94680200000000014</v>
      </c>
      <c r="AD2102" s="10">
        <f>IFERROR(VLOOKUP(Summary!B2102,'Pre-Summary'!$A$6:$P$184,3, FALSE)/100,AD2103)</f>
        <v>3.9670999999999998E-2</v>
      </c>
      <c r="AE2102" s="10">
        <f>IFERROR(VLOOKUP(Summary!B2102,'Pre-Summary'!$A$6:$P$184,7, FALSE)/100,AE2103)</f>
        <v>1.3526666666666666E-2</v>
      </c>
      <c r="AF2102" s="99">
        <f t="shared" si="97"/>
        <v>1.4239504168461283E-2</v>
      </c>
      <c r="AG2102" s="99">
        <f t="shared" si="98"/>
        <v>4.8552601745704997E-3</v>
      </c>
      <c r="AH2102" s="10" t="str">
        <f>IFERROR(VLOOKUP(B2102,'Pre-Summary'!$AZ$6:$BE$65,3,FALSE),"")</f>
        <v/>
      </c>
      <c r="AI2102" s="10" t="str">
        <f>IFERROR(VLOOKUP(B2102,'Pre-Summary'!$AZ$6:$BE$65,5,FALSE),"")</f>
        <v/>
      </c>
      <c r="AJ2102" s="10" t="str">
        <f>IFERROR(VLOOKUP(B2102,'Pre-Summary'!$AZ$6:$BE$65,4,FALSE),"")</f>
        <v/>
      </c>
      <c r="AK2102" s="10" t="str">
        <f>IFERROR(VLOOKUP(B2102,'Pre-Summary'!$AZ$6:$BE$65,6,FALSE),"")</f>
        <v/>
      </c>
      <c r="AL2102" s="10" t="str">
        <f>IFERROR(VLOOKUP(B2102,'Pre-Summary'!$BG$6:$BL$44,3,FALSE),"")</f>
        <v/>
      </c>
      <c r="AM2102" s="10" t="str">
        <f>IFERROR(VLOOKUP(B2102,'Pre-Summary'!$BG$6:$BL$44,4,FALSE),"")</f>
        <v/>
      </c>
    </row>
    <row r="2103" spans="2:39" ht="15" customHeight="1" x14ac:dyDescent="0.3">
      <c r="B2103">
        <v>210</v>
      </c>
      <c r="C2103" t="str">
        <f>IFERROR(VLOOKUP(B2103,'Pre-Summary'!$DI$6:$DM$23,4,FALSE),"")</f>
        <v/>
      </c>
      <c r="D2103" s="10" t="str">
        <f>IFERROR(VLOOKUP(B2103,'Pre-Summary'!$AT$6:$AX$14,5,FALSE),D2102)</f>
        <v>Wolfe v3: went back to modified wolfe + EDTA and switched CuSO4 to CUCl2</v>
      </c>
      <c r="E2103" s="10" t="str">
        <f>IFERROR(VLOOKUP(B2103,'Pre-Summary'!$AT$6:$AX$15,4,FALSE),"")</f>
        <v/>
      </c>
      <c r="F2103">
        <f>IFERROR(VLOOKUP(B2103,'Pre-Summary'!$AL$6:$AQ$13,6,FALSE),F2102)</f>
        <v>5.9405263157894746E-2</v>
      </c>
      <c r="G2103" t="str">
        <f>IFERROR(VLOOKUP(B2103,'Pre-Summary'!$AE$6:$AJ$85,3,FALSE),"")</f>
        <v/>
      </c>
      <c r="H2103" t="str">
        <f>IFERROR(VLOOKUP(B2103,'Pre-Summary'!$AE$6:$AJ$85,4,FALSE),"")</f>
        <v/>
      </c>
      <c r="I2103" t="str">
        <f>IFERROR(VLOOKUP(B2103,'Pre-Summary'!$AE$6:$AJ$85,5,FALSE),"")</f>
        <v/>
      </c>
      <c r="J2103" s="45" t="str">
        <f>IFERROR(VLOOKUP(B2103,'Pre-Summary'!$AE$6:$AJ$85,6, FALSE),"")</f>
        <v/>
      </c>
      <c r="K2103" s="45" t="str">
        <f>IFERROR(VLOOKUP(B2103,'Pre-Summary'!$DE$6:$DG$61,3,FALSE),"")</f>
        <v/>
      </c>
      <c r="L2103" s="45" t="str">
        <f>IFERROR(VLOOKUP(B2103,'Pre-Summary'!$CU$6:$CW$36,3,FALSE),"")</f>
        <v/>
      </c>
      <c r="M2103" s="45" t="str">
        <f>IFERROR(VLOOKUP(B2103,'Pre-Summary'!$BW$6:$BY$58,2,FALSE),"")</f>
        <v/>
      </c>
      <c r="N2103" s="45" t="str">
        <f>IFERROR(VLOOKUP(B2103,'Pre-Summary'!$CD$6:$CF$64,2,FALSE),"")</f>
        <v/>
      </c>
      <c r="O2103" s="99">
        <f>IFERROR(VLOOKUP(B2103,'Pre-Summary'!$BO$6:$BQ$48,3, FALSE),O2102)</f>
        <v>1.3480000000000001</v>
      </c>
      <c r="P2103" s="99">
        <f>IFERROR(VLOOKUP(B2103,'Pre-Summary'!$BS$6:$BU$35,3,FALSE),P2102)</f>
        <v>0.379</v>
      </c>
      <c r="Q2103" s="54">
        <f t="shared" si="96"/>
        <v>3.556728232189974</v>
      </c>
      <c r="R2103" s="53">
        <f>IFERROR(VLOOKUP(B2103,'Pre-Summary'!$BG$6:$BM$44,7,FALSE),R2104)</f>
        <v>9.2946004538835364E-2</v>
      </c>
      <c r="S2103" s="53">
        <f>IFERROR(VLOOKUP(B2103,'Pre-Summary'!$BG$6:$BM$44,6,FALSE),S2104)</f>
        <v>8.3142487304634596E-2</v>
      </c>
      <c r="T2103" s="45" t="str">
        <f>IFERROR(VLOOKUP(B2103,'Pre-Summary'!$Y$6:$AC$83, 3,FALSE),"")</f>
        <v/>
      </c>
      <c r="U2103" s="45" t="str">
        <f>IFERROR(VLOOKUP(B2103,'Pre-Summary'!$Y$6:$AC$83, 4,FALSE),"")</f>
        <v/>
      </c>
      <c r="V2103" t="str">
        <f>IFERROR(VLOOKUP(B2103,'Pre-Summary'!$Y$6:$AC$83, 5,FALSE),"")</f>
        <v/>
      </c>
      <c r="W2103" s="45" t="str">
        <f>IFERROR(VLOOKUP(B2103,'Pre-Summary'!$Y$6:$AD$83,6,FALSE),"")</f>
        <v/>
      </c>
      <c r="X2103" t="str">
        <f>IFERROR(VLOOKUP('Pre-Summary'!$DB$6:$DD$63,3,FALSE),"")</f>
        <v/>
      </c>
      <c r="Y2103" t="str">
        <f>IFERROR(VLOOKUP(B2103,'Pre-Summary'!$CR$6:$CT$36,3,FALSE),"")</f>
        <v/>
      </c>
      <c r="Z2103" s="45" t="str">
        <f>IFERROR(VLOOKUP(B2103,'Pre-Summary'!$BZ$6:$CB$63,2,FALSE),"")</f>
        <v/>
      </c>
      <c r="AA2103" s="45" t="str">
        <f>IFERROR(VLOOKUP(B2103,'Pre-Summary'!$CG$6:$CI$70,2,FALSE),"")</f>
        <v/>
      </c>
      <c r="AB2103" s="99">
        <f>IFERROR(VLOOKUP(B2103,'Pre-Summary'!$A$6:$P$178,9,FALSE),AB2104)</f>
        <v>0.35893988476371363</v>
      </c>
      <c r="AC2103" s="10">
        <f>IFERROR(VLOOKUP(Summary!B2103,'Pre-Summary'!$A$6:$P$184,5, FALSE)/100,AC2104)</f>
        <v>0.94680200000000014</v>
      </c>
      <c r="AD2103" s="10">
        <f>IFERROR(VLOOKUP(Summary!B2103,'Pre-Summary'!$A$6:$P$184,3, FALSE)/100,AD2104)</f>
        <v>3.9670999999999998E-2</v>
      </c>
      <c r="AE2103" s="10">
        <f>IFERROR(VLOOKUP(Summary!B2103,'Pre-Summary'!$A$6:$P$184,7, FALSE)/100,AE2104)</f>
        <v>1.3526666666666666E-2</v>
      </c>
      <c r="AF2103" s="99">
        <f t="shared" si="97"/>
        <v>1.4239504168461283E-2</v>
      </c>
      <c r="AG2103" s="99">
        <f t="shared" si="98"/>
        <v>4.8552601745704997E-3</v>
      </c>
      <c r="AH2103" s="10" t="str">
        <f>IFERROR(VLOOKUP(B2103,'Pre-Summary'!$AZ$6:$BE$65,3,FALSE),"")</f>
        <v/>
      </c>
      <c r="AI2103" s="10" t="str">
        <f>IFERROR(VLOOKUP(B2103,'Pre-Summary'!$AZ$6:$BE$65,5,FALSE),"")</f>
        <v/>
      </c>
      <c r="AJ2103" s="10" t="str">
        <f>IFERROR(VLOOKUP(B2103,'Pre-Summary'!$AZ$6:$BE$65,4,FALSE),"")</f>
        <v/>
      </c>
      <c r="AK2103" s="10" t="str">
        <f>IFERROR(VLOOKUP(B2103,'Pre-Summary'!$AZ$6:$BE$65,6,FALSE),"")</f>
        <v/>
      </c>
      <c r="AL2103" s="10" t="str">
        <f>IFERROR(VLOOKUP(B2103,'Pre-Summary'!$BG$6:$BL$44,3,FALSE),"")</f>
        <v/>
      </c>
      <c r="AM2103" s="10" t="str">
        <f>IFERROR(VLOOKUP(B2103,'Pre-Summary'!$BG$6:$BL$44,4,FALSE),"")</f>
        <v/>
      </c>
    </row>
    <row r="2104" spans="2:39" ht="15" customHeight="1" x14ac:dyDescent="0.3">
      <c r="B2104">
        <v>210.1</v>
      </c>
      <c r="C2104" t="str">
        <f>IFERROR(VLOOKUP(B2104,'Pre-Summary'!$DI$6:$DM$23,4,FALSE),"")</f>
        <v/>
      </c>
      <c r="D2104" s="10" t="str">
        <f>IFERROR(VLOOKUP(B2104,'Pre-Summary'!$AT$6:$AX$14,5,FALSE),D2103)</f>
        <v>Wolfe v3: went back to modified wolfe + EDTA and switched CuSO4 to CUCl2</v>
      </c>
      <c r="E2104" s="10" t="str">
        <f>IFERROR(VLOOKUP(B2104,'Pre-Summary'!$AT$6:$AX$15,4,FALSE),"")</f>
        <v/>
      </c>
      <c r="F2104">
        <f>IFERROR(VLOOKUP(B2104,'Pre-Summary'!$AL$6:$AQ$13,6,FALSE),F2103)</f>
        <v>5.9405263157894746E-2</v>
      </c>
      <c r="G2104" t="str">
        <f>IFERROR(VLOOKUP(B2104,'Pre-Summary'!$AE$6:$AJ$85,3,FALSE),"")</f>
        <v/>
      </c>
      <c r="H2104" t="str">
        <f>IFERROR(VLOOKUP(B2104,'Pre-Summary'!$AE$6:$AJ$85,4,FALSE),"")</f>
        <v/>
      </c>
      <c r="I2104" t="str">
        <f>IFERROR(VLOOKUP(B2104,'Pre-Summary'!$AE$6:$AJ$85,5,FALSE),"")</f>
        <v/>
      </c>
      <c r="J2104" s="45" t="str">
        <f>IFERROR(VLOOKUP(B2104,'Pre-Summary'!$AE$6:$AJ$85,6, FALSE),"")</f>
        <v/>
      </c>
      <c r="K2104" s="45" t="str">
        <f>IFERROR(VLOOKUP(B2104,'Pre-Summary'!$DE$6:$DG$61,3,FALSE),"")</f>
        <v/>
      </c>
      <c r="L2104" s="45" t="str">
        <f>IFERROR(VLOOKUP(B2104,'Pre-Summary'!$CU$6:$CW$36,3,FALSE),"")</f>
        <v/>
      </c>
      <c r="M2104" s="45" t="str">
        <f>IFERROR(VLOOKUP(B2104,'Pre-Summary'!$BW$6:$BY$58,2,FALSE),"")</f>
        <v/>
      </c>
      <c r="N2104" s="45" t="str">
        <f>IFERROR(VLOOKUP(B2104,'Pre-Summary'!$CD$6:$CF$64,2,FALSE),"")</f>
        <v/>
      </c>
      <c r="O2104" s="99">
        <f>IFERROR(VLOOKUP(B2104,'Pre-Summary'!$BO$6:$BQ$48,3, FALSE),O2103)</f>
        <v>1.3480000000000001</v>
      </c>
      <c r="P2104" s="99">
        <f>IFERROR(VLOOKUP(B2104,'Pre-Summary'!$BS$6:$BU$35,3,FALSE),P2103)</f>
        <v>0.379</v>
      </c>
      <c r="Q2104" s="54">
        <f t="shared" si="96"/>
        <v>3.556728232189974</v>
      </c>
      <c r="R2104" s="53">
        <f>IFERROR(VLOOKUP(B2104,'Pre-Summary'!$BG$6:$BM$44,7,FALSE),R2105)</f>
        <v>9.2946004538835364E-2</v>
      </c>
      <c r="S2104" s="53">
        <f>IFERROR(VLOOKUP(B2104,'Pre-Summary'!$BG$6:$BM$44,6,FALSE),S2105)</f>
        <v>8.3142487304634596E-2</v>
      </c>
      <c r="T2104" s="45" t="str">
        <f>IFERROR(VLOOKUP(B2104,'Pre-Summary'!$Y$6:$AC$83, 3,FALSE),"")</f>
        <v/>
      </c>
      <c r="U2104" s="45" t="str">
        <f>IFERROR(VLOOKUP(B2104,'Pre-Summary'!$Y$6:$AC$83, 4,FALSE),"")</f>
        <v/>
      </c>
      <c r="V2104" t="str">
        <f>IFERROR(VLOOKUP(B2104,'Pre-Summary'!$Y$6:$AC$83, 5,FALSE),"")</f>
        <v/>
      </c>
      <c r="W2104" s="45" t="str">
        <f>IFERROR(VLOOKUP(B2104,'Pre-Summary'!$Y$6:$AD$83,6,FALSE),"")</f>
        <v/>
      </c>
      <c r="X2104" t="str">
        <f>IFERROR(VLOOKUP('Pre-Summary'!$DB$6:$DD$63,3,FALSE),"")</f>
        <v/>
      </c>
      <c r="Y2104" t="str">
        <f>IFERROR(VLOOKUP(B2104,'Pre-Summary'!$CR$6:$CT$36,3,FALSE),"")</f>
        <v/>
      </c>
      <c r="Z2104" s="45" t="str">
        <f>IFERROR(VLOOKUP(B2104,'Pre-Summary'!$BZ$6:$CB$63,2,FALSE),"")</f>
        <v/>
      </c>
      <c r="AA2104" s="45" t="str">
        <f>IFERROR(VLOOKUP(B2104,'Pre-Summary'!$CG$6:$CI$70,2,FALSE),"")</f>
        <v/>
      </c>
      <c r="AB2104" s="99">
        <f>IFERROR(VLOOKUP(B2104,'Pre-Summary'!$A$6:$P$178,9,FALSE),AB2105)</f>
        <v>0.35893988476371363</v>
      </c>
      <c r="AC2104" s="10">
        <f>IFERROR(VLOOKUP(Summary!B2104,'Pre-Summary'!$A$6:$P$184,5, FALSE)/100,AC2105)</f>
        <v>0.94680200000000014</v>
      </c>
      <c r="AD2104" s="10">
        <f>IFERROR(VLOOKUP(Summary!B2104,'Pre-Summary'!$A$6:$P$184,3, FALSE)/100,AD2105)</f>
        <v>3.9670999999999998E-2</v>
      </c>
      <c r="AE2104" s="10">
        <f>IFERROR(VLOOKUP(Summary!B2104,'Pre-Summary'!$A$6:$P$184,7, FALSE)/100,AE2105)</f>
        <v>1.3526666666666666E-2</v>
      </c>
      <c r="AF2104" s="99">
        <f t="shared" si="97"/>
        <v>1.4239504168461283E-2</v>
      </c>
      <c r="AG2104" s="99">
        <f t="shared" si="98"/>
        <v>4.8552601745704997E-3</v>
      </c>
      <c r="AH2104" s="10" t="str">
        <f>IFERROR(VLOOKUP(B2104,'Pre-Summary'!$AZ$6:$BE$65,3,FALSE),"")</f>
        <v/>
      </c>
      <c r="AI2104" s="10" t="str">
        <f>IFERROR(VLOOKUP(B2104,'Pre-Summary'!$AZ$6:$BE$65,5,FALSE),"")</f>
        <v/>
      </c>
      <c r="AJ2104" s="10" t="str">
        <f>IFERROR(VLOOKUP(B2104,'Pre-Summary'!$AZ$6:$BE$65,4,FALSE),"")</f>
        <v/>
      </c>
      <c r="AK2104" s="10" t="str">
        <f>IFERROR(VLOOKUP(B2104,'Pre-Summary'!$AZ$6:$BE$65,6,FALSE),"")</f>
        <v/>
      </c>
      <c r="AL2104" s="10" t="str">
        <f>IFERROR(VLOOKUP(B2104,'Pre-Summary'!$BG$6:$BL$44,3,FALSE),"")</f>
        <v/>
      </c>
      <c r="AM2104" s="10" t="str">
        <f>IFERROR(VLOOKUP(B2104,'Pre-Summary'!$BG$6:$BL$44,4,FALSE),"")</f>
        <v/>
      </c>
    </row>
    <row r="2105" spans="2:39" ht="15" customHeight="1" x14ac:dyDescent="0.3">
      <c r="B2105">
        <v>210.2</v>
      </c>
      <c r="C2105" t="str">
        <f>IFERROR(VLOOKUP(B2105,'Pre-Summary'!$DI$6:$DM$23,4,FALSE),"")</f>
        <v/>
      </c>
      <c r="D2105" s="10" t="str">
        <f>IFERROR(VLOOKUP(B2105,'Pre-Summary'!$AT$6:$AX$14,5,FALSE),D2104)</f>
        <v>Wolfe v3: went back to modified wolfe + EDTA and switched CuSO4 to CUCl2</v>
      </c>
      <c r="E2105" s="10" t="str">
        <f>IFERROR(VLOOKUP(B2105,'Pre-Summary'!$AT$6:$AX$15,4,FALSE),"")</f>
        <v/>
      </c>
      <c r="F2105">
        <f>IFERROR(VLOOKUP(B2105,'Pre-Summary'!$AL$6:$AQ$13,6,FALSE),F2104)</f>
        <v>5.9405263157894746E-2</v>
      </c>
      <c r="G2105" t="str">
        <f>IFERROR(VLOOKUP(B2105,'Pre-Summary'!$AE$6:$AJ$85,3,FALSE),"")</f>
        <v/>
      </c>
      <c r="H2105" t="str">
        <f>IFERROR(VLOOKUP(B2105,'Pre-Summary'!$AE$6:$AJ$85,4,FALSE),"")</f>
        <v/>
      </c>
      <c r="I2105" t="str">
        <f>IFERROR(VLOOKUP(B2105,'Pre-Summary'!$AE$6:$AJ$85,5,FALSE),"")</f>
        <v/>
      </c>
      <c r="J2105" s="45" t="str">
        <f>IFERROR(VLOOKUP(B2105,'Pre-Summary'!$AE$6:$AJ$85,6, FALSE),"")</f>
        <v/>
      </c>
      <c r="K2105" s="45" t="str">
        <f>IFERROR(VLOOKUP(B2105,'Pre-Summary'!$DE$6:$DG$61,3,FALSE),"")</f>
        <v/>
      </c>
      <c r="L2105" s="45" t="str">
        <f>IFERROR(VLOOKUP(B2105,'Pre-Summary'!$CU$6:$CW$36,3,FALSE),"")</f>
        <v/>
      </c>
      <c r="M2105" s="45" t="str">
        <f>IFERROR(VLOOKUP(B2105,'Pre-Summary'!$BW$6:$BY$58,2,FALSE),"")</f>
        <v/>
      </c>
      <c r="N2105" s="45" t="str">
        <f>IFERROR(VLOOKUP(B2105,'Pre-Summary'!$CD$6:$CF$64,2,FALSE),"")</f>
        <v/>
      </c>
      <c r="O2105" s="99">
        <f>IFERROR(VLOOKUP(B2105,'Pre-Summary'!$BO$6:$BQ$48,3, FALSE),O2104)</f>
        <v>1.3480000000000001</v>
      </c>
      <c r="P2105" s="99">
        <f>IFERROR(VLOOKUP(B2105,'Pre-Summary'!$BS$6:$BU$35,3,FALSE),P2104)</f>
        <v>0.379</v>
      </c>
      <c r="Q2105" s="54">
        <f t="shared" si="96"/>
        <v>3.556728232189974</v>
      </c>
      <c r="R2105" s="53">
        <f>IFERROR(VLOOKUP(B2105,'Pre-Summary'!$BG$6:$BM$44,7,FALSE),R2106)</f>
        <v>9.2946004538835364E-2</v>
      </c>
      <c r="S2105" s="53">
        <f>IFERROR(VLOOKUP(B2105,'Pre-Summary'!$BG$6:$BM$44,6,FALSE),S2106)</f>
        <v>8.3142487304634596E-2</v>
      </c>
      <c r="T2105" s="45" t="str">
        <f>IFERROR(VLOOKUP(B2105,'Pre-Summary'!$Y$6:$AC$83, 3,FALSE),"")</f>
        <v/>
      </c>
      <c r="U2105" s="45" t="str">
        <f>IFERROR(VLOOKUP(B2105,'Pre-Summary'!$Y$6:$AC$83, 4,FALSE),"")</f>
        <v/>
      </c>
      <c r="V2105" t="str">
        <f>IFERROR(VLOOKUP(B2105,'Pre-Summary'!$Y$6:$AC$83, 5,FALSE),"")</f>
        <v/>
      </c>
      <c r="W2105" s="45" t="str">
        <f>IFERROR(VLOOKUP(B2105,'Pre-Summary'!$Y$6:$AD$83,6,FALSE),"")</f>
        <v/>
      </c>
      <c r="X2105" t="str">
        <f>IFERROR(VLOOKUP('Pre-Summary'!$DB$6:$DD$63,3,FALSE),"")</f>
        <v/>
      </c>
      <c r="Y2105" t="str">
        <f>IFERROR(VLOOKUP(B2105,'Pre-Summary'!$CR$6:$CT$36,3,FALSE),"")</f>
        <v/>
      </c>
      <c r="Z2105" s="45" t="str">
        <f>IFERROR(VLOOKUP(B2105,'Pre-Summary'!$BZ$6:$CB$63,2,FALSE),"")</f>
        <v/>
      </c>
      <c r="AA2105" s="45" t="str">
        <f>IFERROR(VLOOKUP(B2105,'Pre-Summary'!$CG$6:$CI$70,2,FALSE),"")</f>
        <v/>
      </c>
      <c r="AB2105" s="99">
        <f>IFERROR(VLOOKUP(B2105,'Pre-Summary'!$A$6:$P$178,9,FALSE),AB2106)</f>
        <v>0.35893988476371363</v>
      </c>
      <c r="AC2105" s="10">
        <f>IFERROR(VLOOKUP(Summary!B2105,'Pre-Summary'!$A$6:$P$184,5, FALSE)/100,AC2106)</f>
        <v>0.94680200000000014</v>
      </c>
      <c r="AD2105" s="10">
        <f>IFERROR(VLOOKUP(Summary!B2105,'Pre-Summary'!$A$6:$P$184,3, FALSE)/100,AD2106)</f>
        <v>3.9670999999999998E-2</v>
      </c>
      <c r="AE2105" s="10">
        <f>IFERROR(VLOOKUP(Summary!B2105,'Pre-Summary'!$A$6:$P$184,7, FALSE)/100,AE2106)</f>
        <v>1.3526666666666666E-2</v>
      </c>
      <c r="AF2105" s="99">
        <f t="shared" si="97"/>
        <v>1.4239504168461283E-2</v>
      </c>
      <c r="AG2105" s="99">
        <f t="shared" si="98"/>
        <v>4.8552601745704997E-3</v>
      </c>
      <c r="AH2105" s="10" t="str">
        <f>IFERROR(VLOOKUP(B2105,'Pre-Summary'!$AZ$6:$BE$65,3,FALSE),"")</f>
        <v/>
      </c>
      <c r="AI2105" s="10" t="str">
        <f>IFERROR(VLOOKUP(B2105,'Pre-Summary'!$AZ$6:$BE$65,5,FALSE),"")</f>
        <v/>
      </c>
      <c r="AJ2105" s="10" t="str">
        <f>IFERROR(VLOOKUP(B2105,'Pre-Summary'!$AZ$6:$BE$65,4,FALSE),"")</f>
        <v/>
      </c>
      <c r="AK2105" s="10" t="str">
        <f>IFERROR(VLOOKUP(B2105,'Pre-Summary'!$AZ$6:$BE$65,6,FALSE),"")</f>
        <v/>
      </c>
      <c r="AL2105" s="10" t="str">
        <f>IFERROR(VLOOKUP(B2105,'Pre-Summary'!$BG$6:$BL$44,3,FALSE),"")</f>
        <v/>
      </c>
      <c r="AM2105" s="10" t="str">
        <f>IFERROR(VLOOKUP(B2105,'Pre-Summary'!$BG$6:$BL$44,4,FALSE),"")</f>
        <v/>
      </c>
    </row>
    <row r="2106" spans="2:39" ht="15" customHeight="1" x14ac:dyDescent="0.3">
      <c r="B2106">
        <v>210.3</v>
      </c>
      <c r="C2106" t="str">
        <f>IFERROR(VLOOKUP(B2106,'Pre-Summary'!$DI$6:$DM$23,4,FALSE),"")</f>
        <v/>
      </c>
      <c r="D2106" s="10" t="str">
        <f>IFERROR(VLOOKUP(B2106,'Pre-Summary'!$AT$6:$AX$14,5,FALSE),D2105)</f>
        <v>Wolfe v3: went back to modified wolfe + EDTA and switched CuSO4 to CUCl2</v>
      </c>
      <c r="E2106" s="10" t="str">
        <f>IFERROR(VLOOKUP(B2106,'Pre-Summary'!$AT$6:$AX$15,4,FALSE),"")</f>
        <v/>
      </c>
      <c r="F2106">
        <f>IFERROR(VLOOKUP(B2106,'Pre-Summary'!$AL$6:$AQ$13,6,FALSE),F2105)</f>
        <v>5.9405263157894746E-2</v>
      </c>
      <c r="G2106" t="str">
        <f>IFERROR(VLOOKUP(B2106,'Pre-Summary'!$AE$6:$AJ$85,3,FALSE),"")</f>
        <v/>
      </c>
      <c r="H2106" t="str">
        <f>IFERROR(VLOOKUP(B2106,'Pre-Summary'!$AE$6:$AJ$85,4,FALSE),"")</f>
        <v/>
      </c>
      <c r="I2106" t="str">
        <f>IFERROR(VLOOKUP(B2106,'Pre-Summary'!$AE$6:$AJ$85,5,FALSE),"")</f>
        <v/>
      </c>
      <c r="J2106" s="45" t="str">
        <f>IFERROR(VLOOKUP(B2106,'Pre-Summary'!$AE$6:$AJ$85,6, FALSE),"")</f>
        <v/>
      </c>
      <c r="K2106" s="45" t="str">
        <f>IFERROR(VLOOKUP(B2106,'Pre-Summary'!$DE$6:$DG$61,3,FALSE),"")</f>
        <v/>
      </c>
      <c r="L2106" s="45" t="str">
        <f>IFERROR(VLOOKUP(B2106,'Pre-Summary'!$CU$6:$CW$36,3,FALSE),"")</f>
        <v/>
      </c>
      <c r="M2106" s="45" t="str">
        <f>IFERROR(VLOOKUP(B2106,'Pre-Summary'!$BW$6:$BY$58,2,FALSE),"")</f>
        <v/>
      </c>
      <c r="N2106" s="45" t="str">
        <f>IFERROR(VLOOKUP(B2106,'Pre-Summary'!$CD$6:$CF$64,2,FALSE),"")</f>
        <v/>
      </c>
      <c r="O2106" s="99">
        <f>IFERROR(VLOOKUP(B2106,'Pre-Summary'!$BO$6:$BQ$48,3, FALSE),O2105)</f>
        <v>1.3480000000000001</v>
      </c>
      <c r="P2106" s="99">
        <f>IFERROR(VLOOKUP(B2106,'Pre-Summary'!$BS$6:$BU$35,3,FALSE),P2105)</f>
        <v>0.379</v>
      </c>
      <c r="Q2106" s="54">
        <f t="shared" si="96"/>
        <v>3.556728232189974</v>
      </c>
      <c r="R2106" s="53">
        <f>IFERROR(VLOOKUP(B2106,'Pre-Summary'!$BG$6:$BM$44,7,FALSE),R2107)</f>
        <v>9.2946004538835364E-2</v>
      </c>
      <c r="S2106" s="53">
        <f>IFERROR(VLOOKUP(B2106,'Pre-Summary'!$BG$6:$BM$44,6,FALSE),S2107)</f>
        <v>8.3142487304634596E-2</v>
      </c>
      <c r="T2106" s="45" t="str">
        <f>IFERROR(VLOOKUP(B2106,'Pre-Summary'!$Y$6:$AC$83, 3,FALSE),"")</f>
        <v/>
      </c>
      <c r="U2106" s="45" t="str">
        <f>IFERROR(VLOOKUP(B2106,'Pre-Summary'!$Y$6:$AC$83, 4,FALSE),"")</f>
        <v/>
      </c>
      <c r="V2106" t="str">
        <f>IFERROR(VLOOKUP(B2106,'Pre-Summary'!$Y$6:$AC$83, 5,FALSE),"")</f>
        <v/>
      </c>
      <c r="W2106" s="45" t="str">
        <f>IFERROR(VLOOKUP(B2106,'Pre-Summary'!$Y$6:$AD$83,6,FALSE),"")</f>
        <v/>
      </c>
      <c r="X2106" t="str">
        <f>IFERROR(VLOOKUP('Pre-Summary'!$DB$6:$DD$63,3,FALSE),"")</f>
        <v/>
      </c>
      <c r="Y2106" t="str">
        <f>IFERROR(VLOOKUP(B2106,'Pre-Summary'!$CR$6:$CT$36,3,FALSE),"")</f>
        <v/>
      </c>
      <c r="Z2106" s="45" t="str">
        <f>IFERROR(VLOOKUP(B2106,'Pre-Summary'!$BZ$6:$CB$63,2,FALSE),"")</f>
        <v/>
      </c>
      <c r="AA2106" s="45" t="str">
        <f>IFERROR(VLOOKUP(B2106,'Pre-Summary'!$CG$6:$CI$70,2,FALSE),"")</f>
        <v/>
      </c>
      <c r="AB2106" s="99">
        <f>IFERROR(VLOOKUP(B2106,'Pre-Summary'!$A$6:$P$178,9,FALSE),AB2107)</f>
        <v>0.35893988476371363</v>
      </c>
      <c r="AC2106" s="10">
        <f>IFERROR(VLOOKUP(Summary!B2106,'Pre-Summary'!$A$6:$P$184,5, FALSE)/100,AC2107)</f>
        <v>0.94680200000000014</v>
      </c>
      <c r="AD2106" s="10">
        <f>IFERROR(VLOOKUP(Summary!B2106,'Pre-Summary'!$A$6:$P$184,3, FALSE)/100,AD2107)</f>
        <v>3.9670999999999998E-2</v>
      </c>
      <c r="AE2106" s="10">
        <f>IFERROR(VLOOKUP(Summary!B2106,'Pre-Summary'!$A$6:$P$184,7, FALSE)/100,AE2107)</f>
        <v>1.3526666666666666E-2</v>
      </c>
      <c r="AF2106" s="99">
        <f t="shared" si="97"/>
        <v>1.4239504168461283E-2</v>
      </c>
      <c r="AG2106" s="99">
        <f t="shared" si="98"/>
        <v>4.8552601745704997E-3</v>
      </c>
      <c r="AH2106" s="10" t="str">
        <f>IFERROR(VLOOKUP(B2106,'Pre-Summary'!$AZ$6:$BE$65,3,FALSE),"")</f>
        <v/>
      </c>
      <c r="AI2106" s="10" t="str">
        <f>IFERROR(VLOOKUP(B2106,'Pre-Summary'!$AZ$6:$BE$65,5,FALSE),"")</f>
        <v/>
      </c>
      <c r="AJ2106" s="10" t="str">
        <f>IFERROR(VLOOKUP(B2106,'Pre-Summary'!$AZ$6:$BE$65,4,FALSE),"")</f>
        <v/>
      </c>
      <c r="AK2106" s="10" t="str">
        <f>IFERROR(VLOOKUP(B2106,'Pre-Summary'!$AZ$6:$BE$65,6,FALSE),"")</f>
        <v/>
      </c>
      <c r="AL2106" s="10" t="str">
        <f>IFERROR(VLOOKUP(B2106,'Pre-Summary'!$BG$6:$BL$44,3,FALSE),"")</f>
        <v/>
      </c>
      <c r="AM2106" s="10" t="str">
        <f>IFERROR(VLOOKUP(B2106,'Pre-Summary'!$BG$6:$BL$44,4,FALSE),"")</f>
        <v/>
      </c>
    </row>
    <row r="2107" spans="2:39" ht="15" customHeight="1" x14ac:dyDescent="0.3">
      <c r="B2107">
        <v>210.4</v>
      </c>
      <c r="C2107" t="str">
        <f>IFERROR(VLOOKUP(B2107,'Pre-Summary'!$DI$6:$DM$23,4,FALSE),"")</f>
        <v/>
      </c>
      <c r="D2107" s="10" t="str">
        <f>IFERROR(VLOOKUP(B2107,'Pre-Summary'!$AT$6:$AX$14,5,FALSE),D2106)</f>
        <v>Wolfe v3: went back to modified wolfe + EDTA and switched CuSO4 to CUCl2</v>
      </c>
      <c r="E2107" s="10" t="str">
        <f>IFERROR(VLOOKUP(B2107,'Pre-Summary'!$AT$6:$AX$15,4,FALSE),"")</f>
        <v/>
      </c>
      <c r="F2107">
        <f>IFERROR(VLOOKUP(B2107,'Pre-Summary'!$AL$6:$AQ$13,6,FALSE),F2106)</f>
        <v>5.9405263157894746E-2</v>
      </c>
      <c r="G2107" t="str">
        <f>IFERROR(VLOOKUP(B2107,'Pre-Summary'!$AE$6:$AJ$85,3,FALSE),"")</f>
        <v/>
      </c>
      <c r="H2107" t="str">
        <f>IFERROR(VLOOKUP(B2107,'Pre-Summary'!$AE$6:$AJ$85,4,FALSE),"")</f>
        <v/>
      </c>
      <c r="I2107" t="str">
        <f>IFERROR(VLOOKUP(B2107,'Pre-Summary'!$AE$6:$AJ$85,5,FALSE),"")</f>
        <v/>
      </c>
      <c r="J2107" s="45" t="str">
        <f>IFERROR(VLOOKUP(B2107,'Pre-Summary'!$AE$6:$AJ$85,6, FALSE),"")</f>
        <v/>
      </c>
      <c r="K2107" s="45" t="str">
        <f>IFERROR(VLOOKUP(B2107,'Pre-Summary'!$DE$6:$DG$61,3,FALSE),"")</f>
        <v/>
      </c>
      <c r="L2107" s="45" t="str">
        <f>IFERROR(VLOOKUP(B2107,'Pre-Summary'!$CU$6:$CW$36,3,FALSE),"")</f>
        <v/>
      </c>
      <c r="M2107" s="45" t="str">
        <f>IFERROR(VLOOKUP(B2107,'Pre-Summary'!$BW$6:$BY$58,2,FALSE),"")</f>
        <v/>
      </c>
      <c r="N2107" s="45" t="str">
        <f>IFERROR(VLOOKUP(B2107,'Pre-Summary'!$CD$6:$CF$64,2,FALSE),"")</f>
        <v/>
      </c>
      <c r="O2107" s="99">
        <f>IFERROR(VLOOKUP(B2107,'Pre-Summary'!$BO$6:$BQ$48,3, FALSE),O2106)</f>
        <v>1.3480000000000001</v>
      </c>
      <c r="P2107" s="99">
        <f>IFERROR(VLOOKUP(B2107,'Pre-Summary'!$BS$6:$BU$35,3,FALSE),P2106)</f>
        <v>0.379</v>
      </c>
      <c r="Q2107" s="54">
        <f t="shared" si="96"/>
        <v>3.556728232189974</v>
      </c>
      <c r="R2107" s="53">
        <f>IFERROR(VLOOKUP(B2107,'Pre-Summary'!$BG$6:$BM$44,7,FALSE),R2108)</f>
        <v>9.2946004538835364E-2</v>
      </c>
      <c r="S2107" s="53">
        <f>IFERROR(VLOOKUP(B2107,'Pre-Summary'!$BG$6:$BM$44,6,FALSE),S2108)</f>
        <v>8.3142487304634596E-2</v>
      </c>
      <c r="T2107" s="45" t="str">
        <f>IFERROR(VLOOKUP(B2107,'Pre-Summary'!$Y$6:$AC$83, 3,FALSE),"")</f>
        <v/>
      </c>
      <c r="U2107" s="45" t="str">
        <f>IFERROR(VLOOKUP(B2107,'Pre-Summary'!$Y$6:$AC$83, 4,FALSE),"")</f>
        <v/>
      </c>
      <c r="V2107" t="str">
        <f>IFERROR(VLOOKUP(B2107,'Pre-Summary'!$Y$6:$AC$83, 5,FALSE),"")</f>
        <v/>
      </c>
      <c r="W2107" s="45" t="str">
        <f>IFERROR(VLOOKUP(B2107,'Pre-Summary'!$Y$6:$AD$83,6,FALSE),"")</f>
        <v/>
      </c>
      <c r="X2107" t="str">
        <f>IFERROR(VLOOKUP('Pre-Summary'!$DB$6:$DD$63,3,FALSE),"")</f>
        <v/>
      </c>
      <c r="Y2107" t="str">
        <f>IFERROR(VLOOKUP(B2107,'Pre-Summary'!$CR$6:$CT$36,3,FALSE),"")</f>
        <v/>
      </c>
      <c r="Z2107" s="45" t="str">
        <f>IFERROR(VLOOKUP(B2107,'Pre-Summary'!$BZ$6:$CB$63,2,FALSE),"")</f>
        <v/>
      </c>
      <c r="AA2107" s="45" t="str">
        <f>IFERROR(VLOOKUP(B2107,'Pre-Summary'!$CG$6:$CI$70,2,FALSE),"")</f>
        <v/>
      </c>
      <c r="AB2107" s="99">
        <f>IFERROR(VLOOKUP(B2107,'Pre-Summary'!$A$6:$P$178,9,FALSE),AB2108)</f>
        <v>0.35893988476371363</v>
      </c>
      <c r="AC2107" s="10">
        <f>IFERROR(VLOOKUP(Summary!B2107,'Pre-Summary'!$A$6:$P$184,5, FALSE)/100,AC2108)</f>
        <v>0.94680200000000014</v>
      </c>
      <c r="AD2107" s="10">
        <f>IFERROR(VLOOKUP(Summary!B2107,'Pre-Summary'!$A$6:$P$184,3, FALSE)/100,AD2108)</f>
        <v>3.9670999999999998E-2</v>
      </c>
      <c r="AE2107" s="10">
        <f>IFERROR(VLOOKUP(Summary!B2107,'Pre-Summary'!$A$6:$P$184,7, FALSE)/100,AE2108)</f>
        <v>1.3526666666666666E-2</v>
      </c>
      <c r="AF2107" s="99">
        <f t="shared" si="97"/>
        <v>1.4239504168461283E-2</v>
      </c>
      <c r="AG2107" s="99">
        <f t="shared" si="98"/>
        <v>4.8552601745704997E-3</v>
      </c>
      <c r="AH2107" s="10" t="str">
        <f>IFERROR(VLOOKUP(B2107,'Pre-Summary'!$AZ$6:$BE$65,3,FALSE),"")</f>
        <v/>
      </c>
      <c r="AI2107" s="10" t="str">
        <f>IFERROR(VLOOKUP(B2107,'Pre-Summary'!$AZ$6:$BE$65,5,FALSE),"")</f>
        <v/>
      </c>
      <c r="AJ2107" s="10" t="str">
        <f>IFERROR(VLOOKUP(B2107,'Pre-Summary'!$AZ$6:$BE$65,4,FALSE),"")</f>
        <v/>
      </c>
      <c r="AK2107" s="10" t="str">
        <f>IFERROR(VLOOKUP(B2107,'Pre-Summary'!$AZ$6:$BE$65,6,FALSE),"")</f>
        <v/>
      </c>
      <c r="AL2107" s="10" t="str">
        <f>IFERROR(VLOOKUP(B2107,'Pre-Summary'!$BG$6:$BL$44,3,FALSE),"")</f>
        <v/>
      </c>
      <c r="AM2107" s="10" t="str">
        <f>IFERROR(VLOOKUP(B2107,'Pre-Summary'!$BG$6:$BL$44,4,FALSE),"")</f>
        <v/>
      </c>
    </row>
    <row r="2108" spans="2:39" ht="15" customHeight="1" x14ac:dyDescent="0.3">
      <c r="B2108">
        <v>210.5</v>
      </c>
      <c r="C2108" t="str">
        <f>IFERROR(VLOOKUP(B2108,'Pre-Summary'!$DI$6:$DM$23,4,FALSE),"")</f>
        <v/>
      </c>
      <c r="D2108" s="10" t="str">
        <f>IFERROR(VLOOKUP(B2108,'Pre-Summary'!$AT$6:$AX$14,5,FALSE),D2107)</f>
        <v>Wolfe v3: went back to modified wolfe + EDTA and switched CuSO4 to CUCl2</v>
      </c>
      <c r="E2108" s="10" t="str">
        <f>IFERROR(VLOOKUP(B2108,'Pre-Summary'!$AT$6:$AX$15,4,FALSE),"")</f>
        <v/>
      </c>
      <c r="F2108">
        <f>IFERROR(VLOOKUP(B2108,'Pre-Summary'!$AL$6:$AQ$13,6,FALSE),F2107)</f>
        <v>5.9405263157894746E-2</v>
      </c>
      <c r="G2108" t="str">
        <f>IFERROR(VLOOKUP(B2108,'Pre-Summary'!$AE$6:$AJ$85,3,FALSE),"")</f>
        <v/>
      </c>
      <c r="H2108" t="str">
        <f>IFERROR(VLOOKUP(B2108,'Pre-Summary'!$AE$6:$AJ$85,4,FALSE),"")</f>
        <v/>
      </c>
      <c r="I2108" t="str">
        <f>IFERROR(VLOOKUP(B2108,'Pre-Summary'!$AE$6:$AJ$85,5,FALSE),"")</f>
        <v/>
      </c>
      <c r="J2108" s="45" t="str">
        <f>IFERROR(VLOOKUP(B2108,'Pre-Summary'!$AE$6:$AJ$85,6, FALSE),"")</f>
        <v/>
      </c>
      <c r="K2108" s="45" t="str">
        <f>IFERROR(VLOOKUP(B2108,'Pre-Summary'!$DE$6:$DG$61,3,FALSE),"")</f>
        <v/>
      </c>
      <c r="L2108" s="45" t="str">
        <f>IFERROR(VLOOKUP(B2108,'Pre-Summary'!$CU$6:$CW$36,3,FALSE),"")</f>
        <v/>
      </c>
      <c r="M2108" s="45" t="str">
        <f>IFERROR(VLOOKUP(B2108,'Pre-Summary'!$BW$6:$BY$58,2,FALSE),"")</f>
        <v/>
      </c>
      <c r="N2108" s="45" t="str">
        <f>IFERROR(VLOOKUP(B2108,'Pre-Summary'!$CD$6:$CF$64,2,FALSE),"")</f>
        <v/>
      </c>
      <c r="O2108" s="99">
        <f>IFERROR(VLOOKUP(B2108,'Pre-Summary'!$BO$6:$BQ$48,3, FALSE),O2107)</f>
        <v>1.3480000000000001</v>
      </c>
      <c r="P2108" s="99">
        <f>IFERROR(VLOOKUP(B2108,'Pre-Summary'!$BS$6:$BU$35,3,FALSE),P2107)</f>
        <v>0.379</v>
      </c>
      <c r="Q2108" s="54">
        <f t="shared" si="96"/>
        <v>3.556728232189974</v>
      </c>
      <c r="R2108" s="53">
        <f>IFERROR(VLOOKUP(B2108,'Pre-Summary'!$BG$6:$BM$44,7,FALSE),R2109)</f>
        <v>9.2946004538835364E-2</v>
      </c>
      <c r="S2108" s="53">
        <f>IFERROR(VLOOKUP(B2108,'Pre-Summary'!$BG$6:$BM$44,6,FALSE),S2109)</f>
        <v>8.3142487304634596E-2</v>
      </c>
      <c r="T2108" s="45" t="str">
        <f>IFERROR(VLOOKUP(B2108,'Pre-Summary'!$Y$6:$AC$83, 3,FALSE),"")</f>
        <v/>
      </c>
      <c r="U2108" s="45" t="str">
        <f>IFERROR(VLOOKUP(B2108,'Pre-Summary'!$Y$6:$AC$83, 4,FALSE),"")</f>
        <v/>
      </c>
      <c r="V2108" t="str">
        <f>IFERROR(VLOOKUP(B2108,'Pre-Summary'!$Y$6:$AC$83, 5,FALSE),"")</f>
        <v/>
      </c>
      <c r="W2108" s="45" t="str">
        <f>IFERROR(VLOOKUP(B2108,'Pre-Summary'!$Y$6:$AD$83,6,FALSE),"")</f>
        <v/>
      </c>
      <c r="X2108" t="str">
        <f>IFERROR(VLOOKUP('Pre-Summary'!$DB$6:$DD$63,3,FALSE),"")</f>
        <v/>
      </c>
      <c r="Y2108" t="str">
        <f>IFERROR(VLOOKUP(B2108,'Pre-Summary'!$CR$6:$CT$36,3,FALSE),"")</f>
        <v/>
      </c>
      <c r="Z2108" s="45" t="str">
        <f>IFERROR(VLOOKUP(B2108,'Pre-Summary'!$BZ$6:$CB$63,2,FALSE),"")</f>
        <v/>
      </c>
      <c r="AA2108" s="45" t="str">
        <f>IFERROR(VLOOKUP(B2108,'Pre-Summary'!$CG$6:$CI$70,2,FALSE),"")</f>
        <v/>
      </c>
      <c r="AB2108" s="99">
        <f>IFERROR(VLOOKUP(B2108,'Pre-Summary'!$A$6:$P$178,9,FALSE),AB2109)</f>
        <v>0.35893988476371363</v>
      </c>
      <c r="AC2108" s="10">
        <f>IFERROR(VLOOKUP(Summary!B2108,'Pre-Summary'!$A$6:$P$184,5, FALSE)/100,AC2109)</f>
        <v>0.94680200000000014</v>
      </c>
      <c r="AD2108" s="10">
        <f>IFERROR(VLOOKUP(Summary!B2108,'Pre-Summary'!$A$6:$P$184,3, FALSE)/100,AD2109)</f>
        <v>3.9670999999999998E-2</v>
      </c>
      <c r="AE2108" s="10">
        <f>IFERROR(VLOOKUP(Summary!B2108,'Pre-Summary'!$A$6:$P$184,7, FALSE)/100,AE2109)</f>
        <v>1.3526666666666666E-2</v>
      </c>
      <c r="AF2108" s="99">
        <f t="shared" si="97"/>
        <v>1.4239504168461283E-2</v>
      </c>
      <c r="AG2108" s="99">
        <f t="shared" si="98"/>
        <v>4.8552601745704997E-3</v>
      </c>
      <c r="AH2108" s="10" t="str">
        <f>IFERROR(VLOOKUP(B2108,'Pre-Summary'!$AZ$6:$BE$65,3,FALSE),"")</f>
        <v/>
      </c>
      <c r="AI2108" s="10" t="str">
        <f>IFERROR(VLOOKUP(B2108,'Pre-Summary'!$AZ$6:$BE$65,5,FALSE),"")</f>
        <v/>
      </c>
      <c r="AJ2108" s="10" t="str">
        <f>IFERROR(VLOOKUP(B2108,'Pre-Summary'!$AZ$6:$BE$65,4,FALSE),"")</f>
        <v/>
      </c>
      <c r="AK2108" s="10" t="str">
        <f>IFERROR(VLOOKUP(B2108,'Pre-Summary'!$AZ$6:$BE$65,6,FALSE),"")</f>
        <v/>
      </c>
      <c r="AL2108" s="10" t="str">
        <f>IFERROR(VLOOKUP(B2108,'Pre-Summary'!$BG$6:$BL$44,3,FALSE),"")</f>
        <v/>
      </c>
      <c r="AM2108" s="10" t="str">
        <f>IFERROR(VLOOKUP(B2108,'Pre-Summary'!$BG$6:$BL$44,4,FALSE),"")</f>
        <v/>
      </c>
    </row>
    <row r="2109" spans="2:39" ht="15" customHeight="1" x14ac:dyDescent="0.3">
      <c r="B2109">
        <v>210.6</v>
      </c>
      <c r="C2109" t="str">
        <f>IFERROR(VLOOKUP(B2109,'Pre-Summary'!$DI$6:$DM$23,4,FALSE),"")</f>
        <v/>
      </c>
      <c r="D2109" s="10" t="str">
        <f>IFERROR(VLOOKUP(B2109,'Pre-Summary'!$AT$6:$AX$14,5,FALSE),D2108)</f>
        <v>Wolfe v3: went back to modified wolfe + EDTA and switched CuSO4 to CUCl2</v>
      </c>
      <c r="E2109" s="10" t="str">
        <f>IFERROR(VLOOKUP(B2109,'Pre-Summary'!$AT$6:$AX$15,4,FALSE),"")</f>
        <v/>
      </c>
      <c r="F2109">
        <f>IFERROR(VLOOKUP(B2109,'Pre-Summary'!$AL$6:$AQ$13,6,FALSE),F2108)</f>
        <v>5.9405263157894746E-2</v>
      </c>
      <c r="G2109" t="str">
        <f>IFERROR(VLOOKUP(B2109,'Pre-Summary'!$AE$6:$AJ$85,3,FALSE),"")</f>
        <v/>
      </c>
      <c r="H2109" t="str">
        <f>IFERROR(VLOOKUP(B2109,'Pre-Summary'!$AE$6:$AJ$85,4,FALSE),"")</f>
        <v/>
      </c>
      <c r="I2109" t="str">
        <f>IFERROR(VLOOKUP(B2109,'Pre-Summary'!$AE$6:$AJ$85,5,FALSE),"")</f>
        <v/>
      </c>
      <c r="J2109" s="45" t="str">
        <f>IFERROR(VLOOKUP(B2109,'Pre-Summary'!$AE$6:$AJ$85,6, FALSE),"")</f>
        <v/>
      </c>
      <c r="K2109" s="45" t="str">
        <f>IFERROR(VLOOKUP(B2109,'Pre-Summary'!$DE$6:$DG$61,3,FALSE),"")</f>
        <v/>
      </c>
      <c r="L2109" s="45" t="str">
        <f>IFERROR(VLOOKUP(B2109,'Pre-Summary'!$CU$6:$CW$36,3,FALSE),"")</f>
        <v/>
      </c>
      <c r="M2109" s="45" t="str">
        <f>IFERROR(VLOOKUP(B2109,'Pre-Summary'!$BW$6:$BY$58,2,FALSE),"")</f>
        <v/>
      </c>
      <c r="N2109" s="45" t="str">
        <f>IFERROR(VLOOKUP(B2109,'Pre-Summary'!$CD$6:$CF$64,2,FALSE),"")</f>
        <v/>
      </c>
      <c r="O2109" s="99">
        <f>IFERROR(VLOOKUP(B2109,'Pre-Summary'!$BO$6:$BQ$48,3, FALSE),O2108)</f>
        <v>1.3480000000000001</v>
      </c>
      <c r="P2109" s="99">
        <f>IFERROR(VLOOKUP(B2109,'Pre-Summary'!$BS$6:$BU$35,3,FALSE),P2108)</f>
        <v>0.379</v>
      </c>
      <c r="Q2109" s="54">
        <f t="shared" si="96"/>
        <v>3.556728232189974</v>
      </c>
      <c r="R2109" s="53">
        <f>IFERROR(VLOOKUP(B2109,'Pre-Summary'!$BG$6:$BM$44,7,FALSE),R2110)</f>
        <v>9.2946004538835364E-2</v>
      </c>
      <c r="S2109" s="53">
        <f>IFERROR(VLOOKUP(B2109,'Pre-Summary'!$BG$6:$BM$44,6,FALSE),S2110)</f>
        <v>8.3142487304634596E-2</v>
      </c>
      <c r="T2109" s="45" t="str">
        <f>IFERROR(VLOOKUP(B2109,'Pre-Summary'!$Y$6:$AC$83, 3,FALSE),"")</f>
        <v/>
      </c>
      <c r="U2109" s="45" t="str">
        <f>IFERROR(VLOOKUP(B2109,'Pre-Summary'!$Y$6:$AC$83, 4,FALSE),"")</f>
        <v/>
      </c>
      <c r="V2109" t="str">
        <f>IFERROR(VLOOKUP(B2109,'Pre-Summary'!$Y$6:$AC$83, 5,FALSE),"")</f>
        <v/>
      </c>
      <c r="W2109" s="45" t="str">
        <f>IFERROR(VLOOKUP(B2109,'Pre-Summary'!$Y$6:$AD$83,6,FALSE),"")</f>
        <v/>
      </c>
      <c r="X2109" t="str">
        <f>IFERROR(VLOOKUP('Pre-Summary'!$DB$6:$DD$63,3,FALSE),"")</f>
        <v/>
      </c>
      <c r="Y2109" t="str">
        <f>IFERROR(VLOOKUP(B2109,'Pre-Summary'!$CR$6:$CT$36,3,FALSE),"")</f>
        <v/>
      </c>
      <c r="Z2109" s="45" t="str">
        <f>IFERROR(VLOOKUP(B2109,'Pre-Summary'!$BZ$6:$CB$63,2,FALSE),"")</f>
        <v/>
      </c>
      <c r="AA2109" s="45" t="str">
        <f>IFERROR(VLOOKUP(B2109,'Pre-Summary'!$CG$6:$CI$70,2,FALSE),"")</f>
        <v/>
      </c>
      <c r="AB2109" s="99">
        <f>IFERROR(VLOOKUP(B2109,'Pre-Summary'!$A$6:$P$178,9,FALSE),AB2110)</f>
        <v>0.35893988476371363</v>
      </c>
      <c r="AC2109" s="10">
        <f>IFERROR(VLOOKUP(Summary!B2109,'Pre-Summary'!$A$6:$P$184,5, FALSE)/100,AC2110)</f>
        <v>0.94680200000000014</v>
      </c>
      <c r="AD2109" s="10">
        <f>IFERROR(VLOOKUP(Summary!B2109,'Pre-Summary'!$A$6:$P$184,3, FALSE)/100,AD2110)</f>
        <v>3.9670999999999998E-2</v>
      </c>
      <c r="AE2109" s="10">
        <f>IFERROR(VLOOKUP(Summary!B2109,'Pre-Summary'!$A$6:$P$184,7, FALSE)/100,AE2110)</f>
        <v>1.3526666666666666E-2</v>
      </c>
      <c r="AF2109" s="99">
        <f t="shared" si="97"/>
        <v>1.4239504168461283E-2</v>
      </c>
      <c r="AG2109" s="99">
        <f t="shared" si="98"/>
        <v>4.8552601745704997E-3</v>
      </c>
      <c r="AH2109" s="10" t="str">
        <f>IFERROR(VLOOKUP(B2109,'Pre-Summary'!$AZ$6:$BE$65,3,FALSE),"")</f>
        <v/>
      </c>
      <c r="AI2109" s="10" t="str">
        <f>IFERROR(VLOOKUP(B2109,'Pre-Summary'!$AZ$6:$BE$65,5,FALSE),"")</f>
        <v/>
      </c>
      <c r="AJ2109" s="10" t="str">
        <f>IFERROR(VLOOKUP(B2109,'Pre-Summary'!$AZ$6:$BE$65,4,FALSE),"")</f>
        <v/>
      </c>
      <c r="AK2109" s="10" t="str">
        <f>IFERROR(VLOOKUP(B2109,'Pre-Summary'!$AZ$6:$BE$65,6,FALSE),"")</f>
        <v/>
      </c>
      <c r="AL2109" s="10" t="str">
        <f>IFERROR(VLOOKUP(B2109,'Pre-Summary'!$BG$6:$BL$44,3,FALSE),"")</f>
        <v/>
      </c>
      <c r="AM2109" s="10" t="str">
        <f>IFERROR(VLOOKUP(B2109,'Pre-Summary'!$BG$6:$BL$44,4,FALSE),"")</f>
        <v/>
      </c>
    </row>
    <row r="2110" spans="2:39" ht="15" customHeight="1" x14ac:dyDescent="0.3">
      <c r="B2110">
        <v>210.7</v>
      </c>
      <c r="C2110" t="str">
        <f>IFERROR(VLOOKUP(B2110,'Pre-Summary'!$DI$6:$DM$23,4,FALSE),"")</f>
        <v/>
      </c>
      <c r="D2110" s="10" t="str">
        <f>IFERROR(VLOOKUP(B2110,'Pre-Summary'!$AT$6:$AX$14,5,FALSE),D2109)</f>
        <v>Wolfe v3: went back to modified wolfe + EDTA and switched CuSO4 to CUCl2</v>
      </c>
      <c r="E2110" s="10" t="str">
        <f>IFERROR(VLOOKUP(B2110,'Pre-Summary'!$AT$6:$AX$15,4,FALSE),"")</f>
        <v/>
      </c>
      <c r="F2110">
        <f>IFERROR(VLOOKUP(B2110,'Pre-Summary'!$AL$6:$AQ$13,6,FALSE),F2109)</f>
        <v>5.9405263157894746E-2</v>
      </c>
      <c r="G2110" t="str">
        <f>IFERROR(VLOOKUP(B2110,'Pre-Summary'!$AE$6:$AJ$85,3,FALSE),"")</f>
        <v/>
      </c>
      <c r="H2110" t="str">
        <f>IFERROR(VLOOKUP(B2110,'Pre-Summary'!$AE$6:$AJ$85,4,FALSE),"")</f>
        <v/>
      </c>
      <c r="I2110" t="str">
        <f>IFERROR(VLOOKUP(B2110,'Pre-Summary'!$AE$6:$AJ$85,5,FALSE),"")</f>
        <v/>
      </c>
      <c r="J2110" s="45" t="str">
        <f>IFERROR(VLOOKUP(B2110,'Pre-Summary'!$AE$6:$AJ$85,6, FALSE),"")</f>
        <v/>
      </c>
      <c r="K2110" s="45" t="str">
        <f>IFERROR(VLOOKUP(B2110,'Pre-Summary'!$DE$6:$DG$61,3,FALSE),"")</f>
        <v/>
      </c>
      <c r="L2110" s="45" t="str">
        <f>IFERROR(VLOOKUP(B2110,'Pre-Summary'!$CU$6:$CW$36,3,FALSE),"")</f>
        <v/>
      </c>
      <c r="M2110" s="45" t="str">
        <f>IFERROR(VLOOKUP(B2110,'Pre-Summary'!$BW$6:$BY$58,2,FALSE),"")</f>
        <v/>
      </c>
      <c r="N2110" s="45" t="str">
        <f>IFERROR(VLOOKUP(B2110,'Pre-Summary'!$CD$6:$CF$64,2,FALSE),"")</f>
        <v/>
      </c>
      <c r="O2110" s="99">
        <f>IFERROR(VLOOKUP(B2110,'Pre-Summary'!$BO$6:$BQ$48,3, FALSE),O2109)</f>
        <v>1.3480000000000001</v>
      </c>
      <c r="P2110" s="99">
        <f>IFERROR(VLOOKUP(B2110,'Pre-Summary'!$BS$6:$BU$35,3,FALSE),P2109)</f>
        <v>0.379</v>
      </c>
      <c r="Q2110" s="54">
        <f t="shared" si="96"/>
        <v>3.556728232189974</v>
      </c>
      <c r="R2110" s="53">
        <f>IFERROR(VLOOKUP(B2110,'Pre-Summary'!$BG$6:$BM$44,7,FALSE),R2111)</f>
        <v>9.2946004538835364E-2</v>
      </c>
      <c r="S2110" s="53">
        <f>IFERROR(VLOOKUP(B2110,'Pre-Summary'!$BG$6:$BM$44,6,FALSE),S2111)</f>
        <v>8.3142487304634596E-2</v>
      </c>
      <c r="T2110" s="45" t="str">
        <f>IFERROR(VLOOKUP(B2110,'Pre-Summary'!$Y$6:$AC$83, 3,FALSE),"")</f>
        <v/>
      </c>
      <c r="U2110" s="45" t="str">
        <f>IFERROR(VLOOKUP(B2110,'Pre-Summary'!$Y$6:$AC$83, 4,FALSE),"")</f>
        <v/>
      </c>
      <c r="V2110" t="str">
        <f>IFERROR(VLOOKUP(B2110,'Pre-Summary'!$Y$6:$AC$83, 5,FALSE),"")</f>
        <v/>
      </c>
      <c r="W2110" s="45" t="str">
        <f>IFERROR(VLOOKUP(B2110,'Pre-Summary'!$Y$6:$AD$83,6,FALSE),"")</f>
        <v/>
      </c>
      <c r="X2110" t="str">
        <f>IFERROR(VLOOKUP('Pre-Summary'!$DB$6:$DD$63,3,FALSE),"")</f>
        <v/>
      </c>
      <c r="Y2110" t="str">
        <f>IFERROR(VLOOKUP(B2110,'Pre-Summary'!$CR$6:$CT$36,3,FALSE),"")</f>
        <v/>
      </c>
      <c r="Z2110" s="45" t="str">
        <f>IFERROR(VLOOKUP(B2110,'Pre-Summary'!$BZ$6:$CB$63,2,FALSE),"")</f>
        <v/>
      </c>
      <c r="AA2110" s="45" t="str">
        <f>IFERROR(VLOOKUP(B2110,'Pre-Summary'!$CG$6:$CI$70,2,FALSE),"")</f>
        <v/>
      </c>
      <c r="AB2110" s="99">
        <f>IFERROR(VLOOKUP(B2110,'Pre-Summary'!$A$6:$P$178,9,FALSE),AB2111)</f>
        <v>0.35893988476371363</v>
      </c>
      <c r="AC2110" s="10">
        <f>IFERROR(VLOOKUP(Summary!B2110,'Pre-Summary'!$A$6:$P$184,5, FALSE)/100,AC2111)</f>
        <v>0.94680200000000014</v>
      </c>
      <c r="AD2110" s="10">
        <f>IFERROR(VLOOKUP(Summary!B2110,'Pre-Summary'!$A$6:$P$184,3, FALSE)/100,AD2111)</f>
        <v>3.9670999999999998E-2</v>
      </c>
      <c r="AE2110" s="10">
        <f>IFERROR(VLOOKUP(Summary!B2110,'Pre-Summary'!$A$6:$P$184,7, FALSE)/100,AE2111)</f>
        <v>1.3526666666666666E-2</v>
      </c>
      <c r="AF2110" s="99">
        <f t="shared" si="97"/>
        <v>1.4239504168461283E-2</v>
      </c>
      <c r="AG2110" s="99">
        <f t="shared" si="98"/>
        <v>4.8552601745704997E-3</v>
      </c>
      <c r="AH2110" s="10" t="str">
        <f>IFERROR(VLOOKUP(B2110,'Pre-Summary'!$AZ$6:$BE$65,3,FALSE),"")</f>
        <v/>
      </c>
      <c r="AI2110" s="10" t="str">
        <f>IFERROR(VLOOKUP(B2110,'Pre-Summary'!$AZ$6:$BE$65,5,FALSE),"")</f>
        <v/>
      </c>
      <c r="AJ2110" s="10" t="str">
        <f>IFERROR(VLOOKUP(B2110,'Pre-Summary'!$AZ$6:$BE$65,4,FALSE),"")</f>
        <v/>
      </c>
      <c r="AK2110" s="10" t="str">
        <f>IFERROR(VLOOKUP(B2110,'Pre-Summary'!$AZ$6:$BE$65,6,FALSE),"")</f>
        <v/>
      </c>
      <c r="AL2110" s="10" t="str">
        <f>IFERROR(VLOOKUP(B2110,'Pre-Summary'!$BG$6:$BL$44,3,FALSE),"")</f>
        <v/>
      </c>
      <c r="AM2110" s="10" t="str">
        <f>IFERROR(VLOOKUP(B2110,'Pre-Summary'!$BG$6:$BL$44,4,FALSE),"")</f>
        <v/>
      </c>
    </row>
    <row r="2111" spans="2:39" ht="15" customHeight="1" x14ac:dyDescent="0.3">
      <c r="B2111">
        <v>210.8</v>
      </c>
      <c r="C2111" t="str">
        <f>IFERROR(VLOOKUP(B2111,'Pre-Summary'!$DI$6:$DM$23,4,FALSE),"")</f>
        <v/>
      </c>
      <c r="D2111" s="10" t="str">
        <f>IFERROR(VLOOKUP(B2111,'Pre-Summary'!$AT$6:$AX$14,5,FALSE),D2110)</f>
        <v>Wolfe v3: went back to modified wolfe + EDTA and switched CuSO4 to CUCl2</v>
      </c>
      <c r="E2111" s="10" t="str">
        <f>IFERROR(VLOOKUP(B2111,'Pre-Summary'!$AT$6:$AX$15,4,FALSE),"")</f>
        <v/>
      </c>
      <c r="F2111">
        <f>IFERROR(VLOOKUP(B2111,'Pre-Summary'!$AL$6:$AQ$13,6,FALSE),F2110)</f>
        <v>5.9405263157894746E-2</v>
      </c>
      <c r="G2111" t="str">
        <f>IFERROR(VLOOKUP(B2111,'Pre-Summary'!$AE$6:$AJ$85,3,FALSE),"")</f>
        <v/>
      </c>
      <c r="H2111" t="str">
        <f>IFERROR(VLOOKUP(B2111,'Pre-Summary'!$AE$6:$AJ$85,4,FALSE),"")</f>
        <v/>
      </c>
      <c r="I2111" t="str">
        <f>IFERROR(VLOOKUP(B2111,'Pre-Summary'!$AE$6:$AJ$85,5,FALSE),"")</f>
        <v/>
      </c>
      <c r="J2111" s="45" t="str">
        <f>IFERROR(VLOOKUP(B2111,'Pre-Summary'!$AE$6:$AJ$85,6, FALSE),"")</f>
        <v/>
      </c>
      <c r="K2111" s="45" t="str">
        <f>IFERROR(VLOOKUP(B2111,'Pre-Summary'!$DE$6:$DG$61,3,FALSE),"")</f>
        <v/>
      </c>
      <c r="L2111" s="45" t="str">
        <f>IFERROR(VLOOKUP(B2111,'Pre-Summary'!$CU$6:$CW$36,3,FALSE),"")</f>
        <v/>
      </c>
      <c r="M2111" s="45" t="str">
        <f>IFERROR(VLOOKUP(B2111,'Pre-Summary'!$BW$6:$BY$58,2,FALSE),"")</f>
        <v/>
      </c>
      <c r="N2111" s="45" t="str">
        <f>IFERROR(VLOOKUP(B2111,'Pre-Summary'!$CD$6:$CF$64,2,FALSE),"")</f>
        <v/>
      </c>
      <c r="O2111" s="99">
        <f>IFERROR(VLOOKUP(B2111,'Pre-Summary'!$BO$6:$BQ$48,3, FALSE),O2110)</f>
        <v>1.3480000000000001</v>
      </c>
      <c r="P2111" s="99">
        <f>IFERROR(VLOOKUP(B2111,'Pre-Summary'!$BS$6:$BU$35,3,FALSE),P2110)</f>
        <v>0.379</v>
      </c>
      <c r="Q2111" s="54">
        <f t="shared" si="96"/>
        <v>3.556728232189974</v>
      </c>
      <c r="R2111" s="53">
        <f>IFERROR(VLOOKUP(B2111,'Pre-Summary'!$BG$6:$BM$44,7,FALSE),R2112)</f>
        <v>9.2946004538835364E-2</v>
      </c>
      <c r="S2111" s="53">
        <f>IFERROR(VLOOKUP(B2111,'Pre-Summary'!$BG$6:$BM$44,6,FALSE),S2112)</f>
        <v>8.3142487304634596E-2</v>
      </c>
      <c r="T2111" s="45" t="str">
        <f>IFERROR(VLOOKUP(B2111,'Pre-Summary'!$Y$6:$AC$83, 3,FALSE),"")</f>
        <v/>
      </c>
      <c r="U2111" s="45" t="str">
        <f>IFERROR(VLOOKUP(B2111,'Pre-Summary'!$Y$6:$AC$83, 4,FALSE),"")</f>
        <v/>
      </c>
      <c r="V2111" t="str">
        <f>IFERROR(VLOOKUP(B2111,'Pre-Summary'!$Y$6:$AC$83, 5,FALSE),"")</f>
        <v/>
      </c>
      <c r="W2111" s="45" t="str">
        <f>IFERROR(VLOOKUP(B2111,'Pre-Summary'!$Y$6:$AD$83,6,FALSE),"")</f>
        <v/>
      </c>
      <c r="X2111" t="str">
        <f>IFERROR(VLOOKUP('Pre-Summary'!$DB$6:$DD$63,3,FALSE),"")</f>
        <v/>
      </c>
      <c r="Y2111" t="str">
        <f>IFERROR(VLOOKUP(B2111,'Pre-Summary'!$CR$6:$CT$36,3,FALSE),"")</f>
        <v/>
      </c>
      <c r="Z2111" s="45" t="str">
        <f>IFERROR(VLOOKUP(B2111,'Pre-Summary'!$BZ$6:$CB$63,2,FALSE),"")</f>
        <v/>
      </c>
      <c r="AA2111" s="45" t="str">
        <f>IFERROR(VLOOKUP(B2111,'Pre-Summary'!$CG$6:$CI$70,2,FALSE),"")</f>
        <v/>
      </c>
      <c r="AB2111" s="99">
        <f>IFERROR(VLOOKUP(B2111,'Pre-Summary'!$A$6:$P$178,9,FALSE),AB2112)</f>
        <v>0.35893988476371363</v>
      </c>
      <c r="AC2111" s="10">
        <f>IFERROR(VLOOKUP(Summary!B2111,'Pre-Summary'!$A$6:$P$184,5, FALSE)/100,AC2112)</f>
        <v>0.94680200000000014</v>
      </c>
      <c r="AD2111" s="10">
        <f>IFERROR(VLOOKUP(Summary!B2111,'Pre-Summary'!$A$6:$P$184,3, FALSE)/100,AD2112)</f>
        <v>3.9670999999999998E-2</v>
      </c>
      <c r="AE2111" s="10">
        <f>IFERROR(VLOOKUP(Summary!B2111,'Pre-Summary'!$A$6:$P$184,7, FALSE)/100,AE2112)</f>
        <v>1.3526666666666666E-2</v>
      </c>
      <c r="AF2111" s="99">
        <f t="shared" si="97"/>
        <v>1.4239504168461283E-2</v>
      </c>
      <c r="AG2111" s="99">
        <f t="shared" si="98"/>
        <v>4.8552601745704997E-3</v>
      </c>
      <c r="AH2111" s="10" t="str">
        <f>IFERROR(VLOOKUP(B2111,'Pre-Summary'!$AZ$6:$BE$65,3,FALSE),"")</f>
        <v/>
      </c>
      <c r="AI2111" s="10" t="str">
        <f>IFERROR(VLOOKUP(B2111,'Pre-Summary'!$AZ$6:$BE$65,5,FALSE),"")</f>
        <v/>
      </c>
      <c r="AJ2111" s="10" t="str">
        <f>IFERROR(VLOOKUP(B2111,'Pre-Summary'!$AZ$6:$BE$65,4,FALSE),"")</f>
        <v/>
      </c>
      <c r="AK2111" s="10" t="str">
        <f>IFERROR(VLOOKUP(B2111,'Pre-Summary'!$AZ$6:$BE$65,6,FALSE),"")</f>
        <v/>
      </c>
      <c r="AL2111" s="10" t="str">
        <f>IFERROR(VLOOKUP(B2111,'Pre-Summary'!$BG$6:$BL$44,3,FALSE),"")</f>
        <v/>
      </c>
      <c r="AM2111" s="10" t="str">
        <f>IFERROR(VLOOKUP(B2111,'Pre-Summary'!$BG$6:$BL$44,4,FALSE),"")</f>
        <v/>
      </c>
    </row>
    <row r="2112" spans="2:39" ht="15" customHeight="1" x14ac:dyDescent="0.3">
      <c r="B2112">
        <v>210.9</v>
      </c>
      <c r="C2112" t="str">
        <f>IFERROR(VLOOKUP(B2112,'Pre-Summary'!$DI$6:$DM$23,4,FALSE),"")</f>
        <v/>
      </c>
      <c r="D2112" s="10" t="str">
        <f>IFERROR(VLOOKUP(B2112,'Pre-Summary'!$AT$6:$AX$14,5,FALSE),D2111)</f>
        <v>Wolfe v3: went back to modified wolfe + EDTA and switched CuSO4 to CUCl2</v>
      </c>
      <c r="E2112" s="10" t="str">
        <f>IFERROR(VLOOKUP(B2112,'Pre-Summary'!$AT$6:$AX$15,4,FALSE),"")</f>
        <v/>
      </c>
      <c r="F2112">
        <f>IFERROR(VLOOKUP(B2112,'Pre-Summary'!$AL$6:$AQ$13,6,FALSE),F2111)</f>
        <v>5.9405263157894746E-2</v>
      </c>
      <c r="G2112" t="str">
        <f>IFERROR(VLOOKUP(B2112,'Pre-Summary'!$AE$6:$AJ$85,3,FALSE),"")</f>
        <v/>
      </c>
      <c r="H2112" t="str">
        <f>IFERROR(VLOOKUP(B2112,'Pre-Summary'!$AE$6:$AJ$85,4,FALSE),"")</f>
        <v/>
      </c>
      <c r="I2112" t="str">
        <f>IFERROR(VLOOKUP(B2112,'Pre-Summary'!$AE$6:$AJ$85,5,FALSE),"")</f>
        <v/>
      </c>
      <c r="J2112" s="45" t="str">
        <f>IFERROR(VLOOKUP(B2112,'Pre-Summary'!$AE$6:$AJ$85,6, FALSE),"")</f>
        <v/>
      </c>
      <c r="K2112" s="45" t="str">
        <f>IFERROR(VLOOKUP(B2112,'Pre-Summary'!$DE$6:$DG$61,3,FALSE),"")</f>
        <v/>
      </c>
      <c r="L2112" s="45" t="str">
        <f>IFERROR(VLOOKUP(B2112,'Pre-Summary'!$CU$6:$CW$36,3,FALSE),"")</f>
        <v/>
      </c>
      <c r="M2112" s="45" t="str">
        <f>IFERROR(VLOOKUP(B2112,'Pre-Summary'!$BW$6:$BY$58,2,FALSE),"")</f>
        <v/>
      </c>
      <c r="N2112" s="45" t="str">
        <f>IFERROR(VLOOKUP(B2112,'Pre-Summary'!$CD$6:$CF$64,2,FALSE),"")</f>
        <v/>
      </c>
      <c r="O2112" s="99">
        <f>IFERROR(VLOOKUP(B2112,'Pre-Summary'!$BO$6:$BQ$48,3, FALSE),O2111)</f>
        <v>1.3480000000000001</v>
      </c>
      <c r="P2112" s="99">
        <f>IFERROR(VLOOKUP(B2112,'Pre-Summary'!$BS$6:$BU$35,3,FALSE),P2111)</f>
        <v>0.379</v>
      </c>
      <c r="Q2112" s="54">
        <f t="shared" si="96"/>
        <v>3.556728232189974</v>
      </c>
      <c r="R2112" s="53">
        <f>IFERROR(VLOOKUP(B2112,'Pre-Summary'!$BG$6:$BM$44,7,FALSE),R2113)</f>
        <v>9.2946004538835364E-2</v>
      </c>
      <c r="S2112" s="53">
        <f>IFERROR(VLOOKUP(B2112,'Pre-Summary'!$BG$6:$BM$44,6,FALSE),S2113)</f>
        <v>8.3142487304634596E-2</v>
      </c>
      <c r="T2112" s="45" t="str">
        <f>IFERROR(VLOOKUP(B2112,'Pre-Summary'!$Y$6:$AC$83, 3,FALSE),"")</f>
        <v/>
      </c>
      <c r="U2112" s="45" t="str">
        <f>IFERROR(VLOOKUP(B2112,'Pre-Summary'!$Y$6:$AC$83, 4,FALSE),"")</f>
        <v/>
      </c>
      <c r="V2112" t="str">
        <f>IFERROR(VLOOKUP(B2112,'Pre-Summary'!$Y$6:$AC$83, 5,FALSE),"")</f>
        <v/>
      </c>
      <c r="W2112" s="45" t="str">
        <f>IFERROR(VLOOKUP(B2112,'Pre-Summary'!$Y$6:$AD$83,6,FALSE),"")</f>
        <v/>
      </c>
      <c r="X2112" t="str">
        <f>IFERROR(VLOOKUP('Pre-Summary'!$DB$6:$DD$63,3,FALSE),"")</f>
        <v/>
      </c>
      <c r="Y2112" t="str">
        <f>IFERROR(VLOOKUP(B2112,'Pre-Summary'!$CR$6:$CT$36,3,FALSE),"")</f>
        <v/>
      </c>
      <c r="Z2112" s="45" t="str">
        <f>IFERROR(VLOOKUP(B2112,'Pre-Summary'!$BZ$6:$CB$63,2,FALSE),"")</f>
        <v/>
      </c>
      <c r="AA2112" s="45" t="str">
        <f>IFERROR(VLOOKUP(B2112,'Pre-Summary'!$CG$6:$CI$70,2,FALSE),"")</f>
        <v/>
      </c>
      <c r="AB2112" s="99">
        <f>IFERROR(VLOOKUP(B2112,'Pre-Summary'!$A$6:$P$178,9,FALSE),AB2113)</f>
        <v>0.35893988476371363</v>
      </c>
      <c r="AC2112" s="10">
        <f>IFERROR(VLOOKUP(Summary!B2112,'Pre-Summary'!$A$6:$P$184,5, FALSE)/100,AC2113)</f>
        <v>0.94680200000000014</v>
      </c>
      <c r="AD2112" s="10">
        <f>IFERROR(VLOOKUP(Summary!B2112,'Pre-Summary'!$A$6:$P$184,3, FALSE)/100,AD2113)</f>
        <v>3.9670999999999998E-2</v>
      </c>
      <c r="AE2112" s="10">
        <f>IFERROR(VLOOKUP(Summary!B2112,'Pre-Summary'!$A$6:$P$184,7, FALSE)/100,AE2113)</f>
        <v>1.3526666666666666E-2</v>
      </c>
      <c r="AF2112" s="99">
        <f t="shared" si="97"/>
        <v>1.4239504168461283E-2</v>
      </c>
      <c r="AG2112" s="99">
        <f t="shared" si="98"/>
        <v>4.8552601745704997E-3</v>
      </c>
      <c r="AH2112" s="10" t="str">
        <f>IFERROR(VLOOKUP(B2112,'Pre-Summary'!$AZ$6:$BE$65,3,FALSE),"")</f>
        <v/>
      </c>
      <c r="AI2112" s="10" t="str">
        <f>IFERROR(VLOOKUP(B2112,'Pre-Summary'!$AZ$6:$BE$65,5,FALSE),"")</f>
        <v/>
      </c>
      <c r="AJ2112" s="10" t="str">
        <f>IFERROR(VLOOKUP(B2112,'Pre-Summary'!$AZ$6:$BE$65,4,FALSE),"")</f>
        <v/>
      </c>
      <c r="AK2112" s="10" t="str">
        <f>IFERROR(VLOOKUP(B2112,'Pre-Summary'!$AZ$6:$BE$65,6,FALSE),"")</f>
        <v/>
      </c>
      <c r="AL2112" s="10" t="str">
        <f>IFERROR(VLOOKUP(B2112,'Pre-Summary'!$BG$6:$BL$44,3,FALSE),"")</f>
        <v/>
      </c>
      <c r="AM2112" s="10" t="str">
        <f>IFERROR(VLOOKUP(B2112,'Pre-Summary'!$BG$6:$BL$44,4,FALSE),"")</f>
        <v/>
      </c>
    </row>
    <row r="2113" spans="2:39" ht="15" customHeight="1" x14ac:dyDescent="0.3">
      <c r="B2113">
        <v>211</v>
      </c>
      <c r="C2113" t="str">
        <f>IFERROR(VLOOKUP(B2113,'Pre-Summary'!$DI$6:$DM$23,4,FALSE),"")</f>
        <v/>
      </c>
      <c r="D2113" s="10" t="str">
        <f>IFERROR(VLOOKUP(B2113,'Pre-Summary'!$AT$6:$AX$14,5,FALSE),D2112)</f>
        <v>Wolfe v3: went back to modified wolfe + EDTA and switched CuSO4 to CUCl2</v>
      </c>
      <c r="E2113" s="10" t="str">
        <f>IFERROR(VLOOKUP(B2113,'Pre-Summary'!$AT$6:$AX$15,4,FALSE),"")</f>
        <v/>
      </c>
      <c r="F2113">
        <f>IFERROR(VLOOKUP(B2113,'Pre-Summary'!$AL$6:$AQ$13,6,FALSE),F2112)</f>
        <v>5.9405263157894746E-2</v>
      </c>
      <c r="G2113" t="str">
        <f>IFERROR(VLOOKUP(B2113,'Pre-Summary'!$AE$6:$AJ$85,3,FALSE),"")</f>
        <v/>
      </c>
      <c r="H2113" t="str">
        <f>IFERROR(VLOOKUP(B2113,'Pre-Summary'!$AE$6:$AJ$85,4,FALSE),"")</f>
        <v/>
      </c>
      <c r="I2113" t="str">
        <f>IFERROR(VLOOKUP(B2113,'Pre-Summary'!$AE$6:$AJ$85,5,FALSE),"")</f>
        <v/>
      </c>
      <c r="J2113" s="45" t="str">
        <f>IFERROR(VLOOKUP(B2113,'Pre-Summary'!$AE$6:$AJ$85,6, FALSE),"")</f>
        <v/>
      </c>
      <c r="K2113" s="45" t="str">
        <f>IFERROR(VLOOKUP(B2113,'Pre-Summary'!$DE$6:$DG$61,3,FALSE),"")</f>
        <v/>
      </c>
      <c r="L2113" s="45" t="str">
        <f>IFERROR(VLOOKUP(B2113,'Pre-Summary'!$CU$6:$CW$36,3,FALSE),"")</f>
        <v/>
      </c>
      <c r="M2113" s="45" t="str">
        <f>IFERROR(VLOOKUP(B2113,'Pre-Summary'!$BW$6:$BY$58,2,FALSE),"")</f>
        <v/>
      </c>
      <c r="N2113" s="45" t="str">
        <f>IFERROR(VLOOKUP(B2113,'Pre-Summary'!$CD$6:$CF$64,2,FALSE),"")</f>
        <v/>
      </c>
      <c r="O2113" s="99">
        <f>IFERROR(VLOOKUP(B2113,'Pre-Summary'!$BO$6:$BQ$48,3, FALSE),O2112)</f>
        <v>1.3480000000000001</v>
      </c>
      <c r="P2113" s="99">
        <f>IFERROR(VLOOKUP(B2113,'Pre-Summary'!$BS$6:$BU$35,3,FALSE),P2112)</f>
        <v>0.379</v>
      </c>
      <c r="Q2113" s="54">
        <f t="shared" si="96"/>
        <v>3.556728232189974</v>
      </c>
      <c r="R2113" s="53">
        <f>IFERROR(VLOOKUP(B2113,'Pre-Summary'!$BG$6:$BM$44,7,FALSE),R2114)</f>
        <v>9.2946004538835364E-2</v>
      </c>
      <c r="S2113" s="53">
        <f>IFERROR(VLOOKUP(B2113,'Pre-Summary'!$BG$6:$BM$44,6,FALSE),S2114)</f>
        <v>8.3142487304634596E-2</v>
      </c>
      <c r="T2113" s="45" t="str">
        <f>IFERROR(VLOOKUP(B2113,'Pre-Summary'!$Y$6:$AC$83, 3,FALSE),"")</f>
        <v/>
      </c>
      <c r="U2113" s="45" t="str">
        <f>IFERROR(VLOOKUP(B2113,'Pre-Summary'!$Y$6:$AC$83, 4,FALSE),"")</f>
        <v/>
      </c>
      <c r="V2113" t="str">
        <f>IFERROR(VLOOKUP(B2113,'Pre-Summary'!$Y$6:$AC$83, 5,FALSE),"")</f>
        <v/>
      </c>
      <c r="W2113" s="45" t="str">
        <f>IFERROR(VLOOKUP(B2113,'Pre-Summary'!$Y$6:$AD$83,6,FALSE),"")</f>
        <v/>
      </c>
      <c r="X2113" t="str">
        <f>IFERROR(VLOOKUP('Pre-Summary'!$DB$6:$DD$63,3,FALSE),"")</f>
        <v/>
      </c>
      <c r="Y2113" t="str">
        <f>IFERROR(VLOOKUP(B2113,'Pre-Summary'!$CR$6:$CT$36,3,FALSE),"")</f>
        <v/>
      </c>
      <c r="Z2113" s="45" t="str">
        <f>IFERROR(VLOOKUP(B2113,'Pre-Summary'!$BZ$6:$CB$63,2,FALSE),"")</f>
        <v/>
      </c>
      <c r="AA2113" s="45" t="str">
        <f>IFERROR(VLOOKUP(B2113,'Pre-Summary'!$CG$6:$CI$70,2,FALSE),"")</f>
        <v/>
      </c>
      <c r="AB2113" s="99">
        <f>IFERROR(VLOOKUP(B2113,'Pre-Summary'!$A$6:$P$178,9,FALSE),AB2114)</f>
        <v>0.35893988476371363</v>
      </c>
      <c r="AC2113" s="10">
        <f>IFERROR(VLOOKUP(Summary!B2113,'Pre-Summary'!$A$6:$P$184,5, FALSE)/100,AC2114)</f>
        <v>0.94680200000000014</v>
      </c>
      <c r="AD2113" s="10">
        <f>IFERROR(VLOOKUP(Summary!B2113,'Pre-Summary'!$A$6:$P$184,3, FALSE)/100,AD2114)</f>
        <v>3.9670999999999998E-2</v>
      </c>
      <c r="AE2113" s="10">
        <f>IFERROR(VLOOKUP(Summary!B2113,'Pre-Summary'!$A$6:$P$184,7, FALSE)/100,AE2114)</f>
        <v>1.3526666666666666E-2</v>
      </c>
      <c r="AF2113" s="99">
        <f t="shared" si="97"/>
        <v>1.4239504168461283E-2</v>
      </c>
      <c r="AG2113" s="99">
        <f t="shared" si="98"/>
        <v>4.8552601745704997E-3</v>
      </c>
      <c r="AH2113" s="10" t="str">
        <f>IFERROR(VLOOKUP(B2113,'Pre-Summary'!$AZ$6:$BE$65,3,FALSE),"")</f>
        <v/>
      </c>
      <c r="AI2113" s="10" t="str">
        <f>IFERROR(VLOOKUP(B2113,'Pre-Summary'!$AZ$6:$BE$65,5,FALSE),"")</f>
        <v/>
      </c>
      <c r="AJ2113" s="10" t="str">
        <f>IFERROR(VLOOKUP(B2113,'Pre-Summary'!$AZ$6:$BE$65,4,FALSE),"")</f>
        <v/>
      </c>
      <c r="AK2113" s="10" t="str">
        <f>IFERROR(VLOOKUP(B2113,'Pre-Summary'!$AZ$6:$BE$65,6,FALSE),"")</f>
        <v/>
      </c>
      <c r="AL2113" s="10" t="str">
        <f>IFERROR(VLOOKUP(B2113,'Pre-Summary'!$BG$6:$BL$44,3,FALSE),"")</f>
        <v/>
      </c>
      <c r="AM2113" s="10" t="str">
        <f>IFERROR(VLOOKUP(B2113,'Pre-Summary'!$BG$6:$BL$44,4,FALSE),"")</f>
        <v/>
      </c>
    </row>
    <row r="2114" spans="2:39" ht="15" customHeight="1" x14ac:dyDescent="0.3">
      <c r="B2114">
        <v>211.1</v>
      </c>
      <c r="C2114" t="str">
        <f>IFERROR(VLOOKUP(B2114,'Pre-Summary'!$DI$6:$DM$23,4,FALSE),"")</f>
        <v/>
      </c>
      <c r="D2114" s="10" t="str">
        <f>IFERROR(VLOOKUP(B2114,'Pre-Summary'!$AT$6:$AX$14,5,FALSE),D2113)</f>
        <v>Wolfe v3: went back to modified wolfe + EDTA and switched CuSO4 to CUCl2</v>
      </c>
      <c r="E2114" s="10" t="str">
        <f>IFERROR(VLOOKUP(B2114,'Pre-Summary'!$AT$6:$AX$15,4,FALSE),"")</f>
        <v/>
      </c>
      <c r="F2114">
        <f>IFERROR(VLOOKUP(B2114,'Pre-Summary'!$AL$6:$AQ$13,6,FALSE),F2113)</f>
        <v>5.9405263157894746E-2</v>
      </c>
      <c r="G2114" t="str">
        <f>IFERROR(VLOOKUP(B2114,'Pre-Summary'!$AE$6:$AJ$85,3,FALSE),"")</f>
        <v/>
      </c>
      <c r="H2114" t="str">
        <f>IFERROR(VLOOKUP(B2114,'Pre-Summary'!$AE$6:$AJ$85,4,FALSE),"")</f>
        <v/>
      </c>
      <c r="I2114" t="str">
        <f>IFERROR(VLOOKUP(B2114,'Pre-Summary'!$AE$6:$AJ$85,5,FALSE),"")</f>
        <v/>
      </c>
      <c r="J2114" s="45" t="str">
        <f>IFERROR(VLOOKUP(B2114,'Pre-Summary'!$AE$6:$AJ$85,6, FALSE),"")</f>
        <v/>
      </c>
      <c r="K2114" s="45" t="str">
        <f>IFERROR(VLOOKUP(B2114,'Pre-Summary'!$DE$6:$DG$61,3,FALSE),"")</f>
        <v/>
      </c>
      <c r="L2114" s="45" t="str">
        <f>IFERROR(VLOOKUP(B2114,'Pre-Summary'!$CU$6:$CW$36,3,FALSE),"")</f>
        <v/>
      </c>
      <c r="M2114" s="45" t="str">
        <f>IFERROR(VLOOKUP(B2114,'Pre-Summary'!$BW$6:$BY$58,2,FALSE),"")</f>
        <v/>
      </c>
      <c r="N2114" s="45" t="str">
        <f>IFERROR(VLOOKUP(B2114,'Pre-Summary'!$CD$6:$CF$64,2,FALSE),"")</f>
        <v/>
      </c>
      <c r="O2114" s="99">
        <f>IFERROR(VLOOKUP(B2114,'Pre-Summary'!$BO$6:$BQ$48,3, FALSE),O2113)</f>
        <v>1.3480000000000001</v>
      </c>
      <c r="P2114" s="99">
        <f>IFERROR(VLOOKUP(B2114,'Pre-Summary'!$BS$6:$BU$35,3,FALSE),P2113)</f>
        <v>0.379</v>
      </c>
      <c r="Q2114" s="54">
        <f t="shared" si="96"/>
        <v>3.556728232189974</v>
      </c>
      <c r="R2114" s="53">
        <f>IFERROR(VLOOKUP(B2114,'Pre-Summary'!$BG$6:$BM$44,7,FALSE),R2115)</f>
        <v>9.2946004538835364E-2</v>
      </c>
      <c r="S2114" s="53">
        <f>IFERROR(VLOOKUP(B2114,'Pre-Summary'!$BG$6:$BM$44,6,FALSE),S2115)</f>
        <v>8.3142487304634596E-2</v>
      </c>
      <c r="T2114" s="45" t="str">
        <f>IFERROR(VLOOKUP(B2114,'Pre-Summary'!$Y$6:$AC$83, 3,FALSE),"")</f>
        <v/>
      </c>
      <c r="U2114" s="45" t="str">
        <f>IFERROR(VLOOKUP(B2114,'Pre-Summary'!$Y$6:$AC$83, 4,FALSE),"")</f>
        <v/>
      </c>
      <c r="V2114" t="str">
        <f>IFERROR(VLOOKUP(B2114,'Pre-Summary'!$Y$6:$AC$83, 5,FALSE),"")</f>
        <v/>
      </c>
      <c r="W2114" s="45" t="str">
        <f>IFERROR(VLOOKUP(B2114,'Pre-Summary'!$Y$6:$AD$83,6,FALSE),"")</f>
        <v/>
      </c>
      <c r="X2114" t="str">
        <f>IFERROR(VLOOKUP('Pre-Summary'!$DB$6:$DD$63,3,FALSE),"")</f>
        <v/>
      </c>
      <c r="Y2114" t="str">
        <f>IFERROR(VLOOKUP(B2114,'Pre-Summary'!$CR$6:$CT$36,3,FALSE),"")</f>
        <v/>
      </c>
      <c r="Z2114" s="45" t="str">
        <f>IFERROR(VLOOKUP(B2114,'Pre-Summary'!$BZ$6:$CB$63,2,FALSE),"")</f>
        <v/>
      </c>
      <c r="AA2114" s="45" t="str">
        <f>IFERROR(VLOOKUP(B2114,'Pre-Summary'!$CG$6:$CI$70,2,FALSE),"")</f>
        <v/>
      </c>
      <c r="AB2114" s="99">
        <f>IFERROR(VLOOKUP(B2114,'Pre-Summary'!$A$6:$P$178,9,FALSE),AB2115)</f>
        <v>0.34282096774002935</v>
      </c>
      <c r="AC2114" s="10">
        <f>IFERROR(VLOOKUP(Summary!B2114,'Pre-Summary'!$A$6:$P$184,5, FALSE)/100,AC2115)</f>
        <v>0.94402733333333344</v>
      </c>
      <c r="AD2114" s="10">
        <f>IFERROR(VLOOKUP(Summary!B2114,'Pre-Summary'!$A$6:$P$184,3, FALSE)/100,AD2115)</f>
        <v>4.1715333333333333E-2</v>
      </c>
      <c r="AE2114" s="10">
        <f>IFERROR(VLOOKUP(Summary!B2114,'Pre-Summary'!$A$6:$P$184,7, FALSE)/100,AE2115)</f>
        <v>1.4257666666666663E-2</v>
      </c>
      <c r="AF2114" s="99">
        <f t="shared" si="97"/>
        <v>1.4300890942931238E-2</v>
      </c>
      <c r="AG2114" s="99">
        <f t="shared" si="98"/>
        <v>4.8878270843814237E-3</v>
      </c>
      <c r="AH2114" s="10" t="str">
        <f>IFERROR(VLOOKUP(B2114,'Pre-Summary'!$AZ$6:$BE$65,3,FALSE),"")</f>
        <v/>
      </c>
      <c r="AI2114" s="10" t="str">
        <f>IFERROR(VLOOKUP(B2114,'Pre-Summary'!$AZ$6:$BE$65,5,FALSE),"")</f>
        <v/>
      </c>
      <c r="AJ2114" s="10" t="str">
        <f>IFERROR(VLOOKUP(B2114,'Pre-Summary'!$AZ$6:$BE$65,4,FALSE),"")</f>
        <v/>
      </c>
      <c r="AK2114" s="10" t="str">
        <f>IFERROR(VLOOKUP(B2114,'Pre-Summary'!$AZ$6:$BE$65,6,FALSE),"")</f>
        <v/>
      </c>
      <c r="AL2114" s="10" t="str">
        <f>IFERROR(VLOOKUP(B2114,'Pre-Summary'!$BG$6:$BL$44,3,FALSE),"")</f>
        <v/>
      </c>
      <c r="AM2114" s="10" t="str">
        <f>IFERROR(VLOOKUP(B2114,'Pre-Summary'!$BG$6:$BL$44,4,FALSE),"")</f>
        <v/>
      </c>
    </row>
    <row r="2115" spans="2:39" ht="15" customHeight="1" x14ac:dyDescent="0.3">
      <c r="B2115">
        <v>211.2</v>
      </c>
      <c r="C2115" t="str">
        <f>IFERROR(VLOOKUP(B2115,'Pre-Summary'!$DI$6:$DM$23,4,FALSE),"")</f>
        <v/>
      </c>
      <c r="D2115" s="10" t="str">
        <f>IFERROR(VLOOKUP(B2115,'Pre-Summary'!$AT$6:$AX$14,5,FALSE),D2114)</f>
        <v>Wolfe v3: went back to modified wolfe + EDTA and switched CuSO4 to CUCl2</v>
      </c>
      <c r="E2115" s="10" t="str">
        <f>IFERROR(VLOOKUP(B2115,'Pre-Summary'!$AT$6:$AX$15,4,FALSE),"")</f>
        <v/>
      </c>
      <c r="F2115">
        <f>IFERROR(VLOOKUP(B2115,'Pre-Summary'!$AL$6:$AQ$13,6,FALSE),F2114)</f>
        <v>5.9405263157894746E-2</v>
      </c>
      <c r="G2115" t="str">
        <f>IFERROR(VLOOKUP(B2115,'Pre-Summary'!$AE$6:$AJ$85,3,FALSE),"")</f>
        <v/>
      </c>
      <c r="H2115" t="str">
        <f>IFERROR(VLOOKUP(B2115,'Pre-Summary'!$AE$6:$AJ$85,4,FALSE),"")</f>
        <v/>
      </c>
      <c r="I2115" t="str">
        <f>IFERROR(VLOOKUP(B2115,'Pre-Summary'!$AE$6:$AJ$85,5,FALSE),"")</f>
        <v/>
      </c>
      <c r="J2115" s="45" t="str">
        <f>IFERROR(VLOOKUP(B2115,'Pre-Summary'!$AE$6:$AJ$85,6, FALSE),"")</f>
        <v/>
      </c>
      <c r="K2115" s="45" t="str">
        <f>IFERROR(VLOOKUP(B2115,'Pre-Summary'!$DE$6:$DG$61,3,FALSE),"")</f>
        <v/>
      </c>
      <c r="L2115" s="45" t="str">
        <f>IFERROR(VLOOKUP(B2115,'Pre-Summary'!$CU$6:$CW$36,3,FALSE),"")</f>
        <v/>
      </c>
      <c r="M2115" s="45" t="str">
        <f>IFERROR(VLOOKUP(B2115,'Pre-Summary'!$BW$6:$BY$58,2,FALSE),"")</f>
        <v/>
      </c>
      <c r="N2115" s="45" t="str">
        <f>IFERROR(VLOOKUP(B2115,'Pre-Summary'!$CD$6:$CF$64,2,FALSE),"")</f>
        <v/>
      </c>
      <c r="O2115" s="99">
        <f>IFERROR(VLOOKUP(B2115,'Pre-Summary'!$BO$6:$BQ$48,3, FALSE),O2114)</f>
        <v>1.3480000000000001</v>
      </c>
      <c r="P2115" s="99">
        <f>IFERROR(VLOOKUP(B2115,'Pre-Summary'!$BS$6:$BU$35,3,FALSE),P2114)</f>
        <v>0.379</v>
      </c>
      <c r="Q2115" s="54">
        <f t="shared" ref="Q2115:Q2178" si="99">O2115/P2115</f>
        <v>3.556728232189974</v>
      </c>
      <c r="R2115" s="53">
        <f>IFERROR(VLOOKUP(B2115,'Pre-Summary'!$BG$6:$BM$44,7,FALSE),R2116)</f>
        <v>9.2946004538835364E-2</v>
      </c>
      <c r="S2115" s="53">
        <f>IFERROR(VLOOKUP(B2115,'Pre-Summary'!$BG$6:$BM$44,6,FALSE),S2116)</f>
        <v>8.3142487304634596E-2</v>
      </c>
      <c r="T2115" s="45" t="str">
        <f>IFERROR(VLOOKUP(B2115,'Pre-Summary'!$Y$6:$AC$83, 3,FALSE),"")</f>
        <v/>
      </c>
      <c r="U2115" s="45" t="str">
        <f>IFERROR(VLOOKUP(B2115,'Pre-Summary'!$Y$6:$AC$83, 4,FALSE),"")</f>
        <v/>
      </c>
      <c r="V2115" t="str">
        <f>IFERROR(VLOOKUP(B2115,'Pre-Summary'!$Y$6:$AC$83, 5,FALSE),"")</f>
        <v/>
      </c>
      <c r="W2115" s="45" t="str">
        <f>IFERROR(VLOOKUP(B2115,'Pre-Summary'!$Y$6:$AD$83,6,FALSE),"")</f>
        <v/>
      </c>
      <c r="X2115" t="str">
        <f>IFERROR(VLOOKUP('Pre-Summary'!$DB$6:$DD$63,3,FALSE),"")</f>
        <v/>
      </c>
      <c r="Y2115" t="str">
        <f>IFERROR(VLOOKUP(B2115,'Pre-Summary'!$CR$6:$CT$36,3,FALSE),"")</f>
        <v/>
      </c>
      <c r="Z2115" s="45" t="str">
        <f>IFERROR(VLOOKUP(B2115,'Pre-Summary'!$BZ$6:$CB$63,2,FALSE),"")</f>
        <v/>
      </c>
      <c r="AA2115" s="45" t="str">
        <f>IFERROR(VLOOKUP(B2115,'Pre-Summary'!$CG$6:$CI$70,2,FALSE),"")</f>
        <v/>
      </c>
      <c r="AB2115" s="99">
        <f>IFERROR(VLOOKUP(B2115,'Pre-Summary'!$A$6:$P$178,9,FALSE),AB2116)</f>
        <v>0.34282096774002935</v>
      </c>
      <c r="AC2115" s="10">
        <f>IFERROR(VLOOKUP(Summary!B2115,'Pre-Summary'!$A$6:$P$184,5, FALSE)/100,AC2116)</f>
        <v>0.94402733333333344</v>
      </c>
      <c r="AD2115" s="10">
        <f>IFERROR(VLOOKUP(Summary!B2115,'Pre-Summary'!$A$6:$P$184,3, FALSE)/100,AD2116)</f>
        <v>4.1715333333333333E-2</v>
      </c>
      <c r="AE2115" s="10">
        <f>IFERROR(VLOOKUP(Summary!B2115,'Pre-Summary'!$A$6:$P$184,7, FALSE)/100,AE2116)</f>
        <v>1.4257666666666663E-2</v>
      </c>
      <c r="AF2115" s="99">
        <f t="shared" ref="AF2115:AF2178" si="100">AD2115*AB2115</f>
        <v>1.4300890942931238E-2</v>
      </c>
      <c r="AG2115" s="99">
        <f t="shared" ref="AG2115:AG2178" si="101">AB2115*AE2115</f>
        <v>4.8878270843814237E-3</v>
      </c>
      <c r="AH2115" s="10" t="str">
        <f>IFERROR(VLOOKUP(B2115,'Pre-Summary'!$AZ$6:$BE$65,3,FALSE),"")</f>
        <v/>
      </c>
      <c r="AI2115" s="10" t="str">
        <f>IFERROR(VLOOKUP(B2115,'Pre-Summary'!$AZ$6:$BE$65,5,FALSE),"")</f>
        <v/>
      </c>
      <c r="AJ2115" s="10" t="str">
        <f>IFERROR(VLOOKUP(B2115,'Pre-Summary'!$AZ$6:$BE$65,4,FALSE),"")</f>
        <v/>
      </c>
      <c r="AK2115" s="10" t="str">
        <f>IFERROR(VLOOKUP(B2115,'Pre-Summary'!$AZ$6:$BE$65,6,FALSE),"")</f>
        <v/>
      </c>
      <c r="AL2115" s="10" t="str">
        <f>IFERROR(VLOOKUP(B2115,'Pre-Summary'!$BG$6:$BL$44,3,FALSE),"")</f>
        <v/>
      </c>
      <c r="AM2115" s="10" t="str">
        <f>IFERROR(VLOOKUP(B2115,'Pre-Summary'!$BG$6:$BL$44,4,FALSE),"")</f>
        <v/>
      </c>
    </row>
    <row r="2116" spans="2:39" ht="15" customHeight="1" x14ac:dyDescent="0.3">
      <c r="B2116">
        <v>211.3</v>
      </c>
      <c r="C2116" t="str">
        <f>IFERROR(VLOOKUP(B2116,'Pre-Summary'!$DI$6:$DM$23,4,FALSE),"")</f>
        <v/>
      </c>
      <c r="D2116" s="10" t="str">
        <f>IFERROR(VLOOKUP(B2116,'Pre-Summary'!$AT$6:$AX$14,5,FALSE),D2115)</f>
        <v>Wolfe v3: went back to modified wolfe + EDTA and switched CuSO4 to CUCl2</v>
      </c>
      <c r="E2116" s="10" t="str">
        <f>IFERROR(VLOOKUP(B2116,'Pre-Summary'!$AT$6:$AX$15,4,FALSE),"")</f>
        <v/>
      </c>
      <c r="F2116">
        <f>IFERROR(VLOOKUP(B2116,'Pre-Summary'!$AL$6:$AQ$13,6,FALSE),F2115)</f>
        <v>5.9405263157894746E-2</v>
      </c>
      <c r="G2116" t="str">
        <f>IFERROR(VLOOKUP(B2116,'Pre-Summary'!$AE$6:$AJ$85,3,FALSE),"")</f>
        <v/>
      </c>
      <c r="H2116" t="str">
        <f>IFERROR(VLOOKUP(B2116,'Pre-Summary'!$AE$6:$AJ$85,4,FALSE),"")</f>
        <v/>
      </c>
      <c r="I2116" t="str">
        <f>IFERROR(VLOOKUP(B2116,'Pre-Summary'!$AE$6:$AJ$85,5,FALSE),"")</f>
        <v/>
      </c>
      <c r="J2116" s="45" t="str">
        <f>IFERROR(VLOOKUP(B2116,'Pre-Summary'!$AE$6:$AJ$85,6, FALSE),"")</f>
        <v/>
      </c>
      <c r="K2116" s="45" t="str">
        <f>IFERROR(VLOOKUP(B2116,'Pre-Summary'!$DE$6:$DG$61,3,FALSE),"")</f>
        <v/>
      </c>
      <c r="L2116" s="45" t="str">
        <f>IFERROR(VLOOKUP(B2116,'Pre-Summary'!$CU$6:$CW$36,3,FALSE),"")</f>
        <v/>
      </c>
      <c r="M2116" s="45" t="str">
        <f>IFERROR(VLOOKUP(B2116,'Pre-Summary'!$BW$6:$BY$58,2,FALSE),"")</f>
        <v/>
      </c>
      <c r="N2116" s="45" t="str">
        <f>IFERROR(VLOOKUP(B2116,'Pre-Summary'!$CD$6:$CF$64,2,FALSE),"")</f>
        <v/>
      </c>
      <c r="O2116" s="99">
        <f>IFERROR(VLOOKUP(B2116,'Pre-Summary'!$BO$6:$BQ$48,3, FALSE),O2115)</f>
        <v>1.3480000000000001</v>
      </c>
      <c r="P2116" s="99">
        <f>IFERROR(VLOOKUP(B2116,'Pre-Summary'!$BS$6:$BU$35,3,FALSE),P2115)</f>
        <v>0.379</v>
      </c>
      <c r="Q2116" s="54">
        <f t="shared" si="99"/>
        <v>3.556728232189974</v>
      </c>
      <c r="R2116" s="53">
        <f>IFERROR(VLOOKUP(B2116,'Pre-Summary'!$BG$6:$BM$44,7,FALSE),R2117)</f>
        <v>9.2946004538835364E-2</v>
      </c>
      <c r="S2116" s="53">
        <f>IFERROR(VLOOKUP(B2116,'Pre-Summary'!$BG$6:$BM$44,6,FALSE),S2117)</f>
        <v>8.3142487304634596E-2</v>
      </c>
      <c r="T2116" s="45" t="str">
        <f>IFERROR(VLOOKUP(B2116,'Pre-Summary'!$Y$6:$AC$83, 3,FALSE),"")</f>
        <v/>
      </c>
      <c r="U2116" s="45" t="str">
        <f>IFERROR(VLOOKUP(B2116,'Pre-Summary'!$Y$6:$AC$83, 4,FALSE),"")</f>
        <v/>
      </c>
      <c r="V2116" t="str">
        <f>IFERROR(VLOOKUP(B2116,'Pre-Summary'!$Y$6:$AC$83, 5,FALSE),"")</f>
        <v/>
      </c>
      <c r="W2116" s="45" t="str">
        <f>IFERROR(VLOOKUP(B2116,'Pre-Summary'!$Y$6:$AD$83,6,FALSE),"")</f>
        <v/>
      </c>
      <c r="X2116" t="str">
        <f>IFERROR(VLOOKUP('Pre-Summary'!$DB$6:$DD$63,3,FALSE),"")</f>
        <v/>
      </c>
      <c r="Y2116" t="str">
        <f>IFERROR(VLOOKUP(B2116,'Pre-Summary'!$CR$6:$CT$36,3,FALSE),"")</f>
        <v/>
      </c>
      <c r="Z2116" s="45" t="str">
        <f>IFERROR(VLOOKUP(B2116,'Pre-Summary'!$BZ$6:$CB$63,2,FALSE),"")</f>
        <v/>
      </c>
      <c r="AA2116" s="45" t="str">
        <f>IFERROR(VLOOKUP(B2116,'Pre-Summary'!$CG$6:$CI$70,2,FALSE),"")</f>
        <v/>
      </c>
      <c r="AB2116" s="99">
        <f>IFERROR(VLOOKUP(B2116,'Pre-Summary'!$A$6:$P$178,9,FALSE),AB2117)</f>
        <v>0.34282096774002935</v>
      </c>
      <c r="AC2116" s="10">
        <f>IFERROR(VLOOKUP(Summary!B2116,'Pre-Summary'!$A$6:$P$184,5, FALSE)/100,AC2117)</f>
        <v>0.94402733333333344</v>
      </c>
      <c r="AD2116" s="10">
        <f>IFERROR(VLOOKUP(Summary!B2116,'Pre-Summary'!$A$6:$P$184,3, FALSE)/100,AD2117)</f>
        <v>4.1715333333333333E-2</v>
      </c>
      <c r="AE2116" s="10">
        <f>IFERROR(VLOOKUP(Summary!B2116,'Pre-Summary'!$A$6:$P$184,7, FALSE)/100,AE2117)</f>
        <v>1.4257666666666663E-2</v>
      </c>
      <c r="AF2116" s="99">
        <f t="shared" si="100"/>
        <v>1.4300890942931238E-2</v>
      </c>
      <c r="AG2116" s="99">
        <f t="shared" si="101"/>
        <v>4.8878270843814237E-3</v>
      </c>
      <c r="AH2116" s="10" t="str">
        <f>IFERROR(VLOOKUP(B2116,'Pre-Summary'!$AZ$6:$BE$65,3,FALSE),"")</f>
        <v/>
      </c>
      <c r="AI2116" s="10" t="str">
        <f>IFERROR(VLOOKUP(B2116,'Pre-Summary'!$AZ$6:$BE$65,5,FALSE),"")</f>
        <v/>
      </c>
      <c r="AJ2116" s="10" t="str">
        <f>IFERROR(VLOOKUP(B2116,'Pre-Summary'!$AZ$6:$BE$65,4,FALSE),"")</f>
        <v/>
      </c>
      <c r="AK2116" s="10" t="str">
        <f>IFERROR(VLOOKUP(B2116,'Pre-Summary'!$AZ$6:$BE$65,6,FALSE),"")</f>
        <v/>
      </c>
      <c r="AL2116" s="10" t="str">
        <f>IFERROR(VLOOKUP(B2116,'Pre-Summary'!$BG$6:$BL$44,3,FALSE),"")</f>
        <v/>
      </c>
      <c r="AM2116" s="10" t="str">
        <f>IFERROR(VLOOKUP(B2116,'Pre-Summary'!$BG$6:$BL$44,4,FALSE),"")</f>
        <v/>
      </c>
    </row>
    <row r="2117" spans="2:39" ht="15" customHeight="1" x14ac:dyDescent="0.3">
      <c r="B2117">
        <v>211.4</v>
      </c>
      <c r="C2117" t="str">
        <f>IFERROR(VLOOKUP(B2117,'Pre-Summary'!$DI$6:$DM$23,4,FALSE),"")</f>
        <v/>
      </c>
      <c r="D2117" s="10" t="str">
        <f>IFERROR(VLOOKUP(B2117,'Pre-Summary'!$AT$6:$AX$14,5,FALSE),D2116)</f>
        <v>Wolfe v3: went back to modified wolfe + EDTA and switched CuSO4 to CUCl2</v>
      </c>
      <c r="E2117" s="10" t="str">
        <f>IFERROR(VLOOKUP(B2117,'Pre-Summary'!$AT$6:$AX$15,4,FALSE),"")</f>
        <v/>
      </c>
      <c r="F2117">
        <f>IFERROR(VLOOKUP(B2117,'Pre-Summary'!$AL$6:$AQ$13,6,FALSE),F2116)</f>
        <v>5.9405263157894746E-2</v>
      </c>
      <c r="G2117" t="str">
        <f>IFERROR(VLOOKUP(B2117,'Pre-Summary'!$AE$6:$AJ$85,3,FALSE),"")</f>
        <v/>
      </c>
      <c r="H2117" t="str">
        <f>IFERROR(VLOOKUP(B2117,'Pre-Summary'!$AE$6:$AJ$85,4,FALSE),"")</f>
        <v/>
      </c>
      <c r="I2117" t="str">
        <f>IFERROR(VLOOKUP(B2117,'Pre-Summary'!$AE$6:$AJ$85,5,FALSE),"")</f>
        <v/>
      </c>
      <c r="J2117" s="45" t="str">
        <f>IFERROR(VLOOKUP(B2117,'Pre-Summary'!$AE$6:$AJ$85,6, FALSE),"")</f>
        <v/>
      </c>
      <c r="K2117" s="45" t="str">
        <f>IFERROR(VLOOKUP(B2117,'Pre-Summary'!$DE$6:$DG$61,3,FALSE),"")</f>
        <v/>
      </c>
      <c r="L2117" s="45" t="str">
        <f>IFERROR(VLOOKUP(B2117,'Pre-Summary'!$CU$6:$CW$36,3,FALSE),"")</f>
        <v/>
      </c>
      <c r="M2117" s="45" t="str">
        <f>IFERROR(VLOOKUP(B2117,'Pre-Summary'!$BW$6:$BY$58,2,FALSE),"")</f>
        <v/>
      </c>
      <c r="N2117" s="45" t="str">
        <f>IFERROR(VLOOKUP(B2117,'Pre-Summary'!$CD$6:$CF$64,2,FALSE),"")</f>
        <v/>
      </c>
      <c r="O2117" s="99">
        <f>IFERROR(VLOOKUP(B2117,'Pre-Summary'!$BO$6:$BQ$48,3, FALSE),O2116)</f>
        <v>1.3480000000000001</v>
      </c>
      <c r="P2117" s="99">
        <f>IFERROR(VLOOKUP(B2117,'Pre-Summary'!$BS$6:$BU$35,3,FALSE),P2116)</f>
        <v>0.379</v>
      </c>
      <c r="Q2117" s="54">
        <f t="shared" si="99"/>
        <v>3.556728232189974</v>
      </c>
      <c r="R2117" s="53">
        <f>IFERROR(VLOOKUP(B2117,'Pre-Summary'!$BG$6:$BM$44,7,FALSE),R2118)</f>
        <v>9.2946004538835364E-2</v>
      </c>
      <c r="S2117" s="53">
        <f>IFERROR(VLOOKUP(B2117,'Pre-Summary'!$BG$6:$BM$44,6,FALSE),S2118)</f>
        <v>8.3142487304634596E-2</v>
      </c>
      <c r="T2117" s="45" t="str">
        <f>IFERROR(VLOOKUP(B2117,'Pre-Summary'!$Y$6:$AC$83, 3,FALSE),"")</f>
        <v/>
      </c>
      <c r="U2117" s="45" t="str">
        <f>IFERROR(VLOOKUP(B2117,'Pre-Summary'!$Y$6:$AC$83, 4,FALSE),"")</f>
        <v/>
      </c>
      <c r="V2117" t="str">
        <f>IFERROR(VLOOKUP(B2117,'Pre-Summary'!$Y$6:$AC$83, 5,FALSE),"")</f>
        <v/>
      </c>
      <c r="W2117" s="45" t="str">
        <f>IFERROR(VLOOKUP(B2117,'Pre-Summary'!$Y$6:$AD$83,6,FALSE),"")</f>
        <v/>
      </c>
      <c r="X2117" t="str">
        <f>IFERROR(VLOOKUP('Pre-Summary'!$DB$6:$DD$63,3,FALSE),"")</f>
        <v/>
      </c>
      <c r="Y2117" t="str">
        <f>IFERROR(VLOOKUP(B2117,'Pre-Summary'!$CR$6:$CT$36,3,FALSE),"")</f>
        <v/>
      </c>
      <c r="Z2117" s="45" t="str">
        <f>IFERROR(VLOOKUP(B2117,'Pre-Summary'!$BZ$6:$CB$63,2,FALSE),"")</f>
        <v/>
      </c>
      <c r="AA2117" s="45" t="str">
        <f>IFERROR(VLOOKUP(B2117,'Pre-Summary'!$CG$6:$CI$70,2,FALSE),"")</f>
        <v/>
      </c>
      <c r="AB2117" s="99">
        <f>IFERROR(VLOOKUP(B2117,'Pre-Summary'!$A$6:$P$178,9,FALSE),AB2118)</f>
        <v>0.34282096774002935</v>
      </c>
      <c r="AC2117" s="10">
        <f>IFERROR(VLOOKUP(Summary!B2117,'Pre-Summary'!$A$6:$P$184,5, FALSE)/100,AC2118)</f>
        <v>0.94402733333333344</v>
      </c>
      <c r="AD2117" s="10">
        <f>IFERROR(VLOOKUP(Summary!B2117,'Pre-Summary'!$A$6:$P$184,3, FALSE)/100,AD2118)</f>
        <v>4.1715333333333333E-2</v>
      </c>
      <c r="AE2117" s="10">
        <f>IFERROR(VLOOKUP(Summary!B2117,'Pre-Summary'!$A$6:$P$184,7, FALSE)/100,AE2118)</f>
        <v>1.4257666666666663E-2</v>
      </c>
      <c r="AF2117" s="99">
        <f t="shared" si="100"/>
        <v>1.4300890942931238E-2</v>
      </c>
      <c r="AG2117" s="99">
        <f t="shared" si="101"/>
        <v>4.8878270843814237E-3</v>
      </c>
      <c r="AH2117" s="10" t="str">
        <f>IFERROR(VLOOKUP(B2117,'Pre-Summary'!$AZ$6:$BE$65,3,FALSE),"")</f>
        <v/>
      </c>
      <c r="AI2117" s="10" t="str">
        <f>IFERROR(VLOOKUP(B2117,'Pre-Summary'!$AZ$6:$BE$65,5,FALSE),"")</f>
        <v/>
      </c>
      <c r="AJ2117" s="10" t="str">
        <f>IFERROR(VLOOKUP(B2117,'Pre-Summary'!$AZ$6:$BE$65,4,FALSE),"")</f>
        <v/>
      </c>
      <c r="AK2117" s="10" t="str">
        <f>IFERROR(VLOOKUP(B2117,'Pre-Summary'!$AZ$6:$BE$65,6,FALSE),"")</f>
        <v/>
      </c>
      <c r="AL2117" s="10" t="str">
        <f>IFERROR(VLOOKUP(B2117,'Pre-Summary'!$BG$6:$BL$44,3,FALSE),"")</f>
        <v/>
      </c>
      <c r="AM2117" s="10" t="str">
        <f>IFERROR(VLOOKUP(B2117,'Pre-Summary'!$BG$6:$BL$44,4,FALSE),"")</f>
        <v/>
      </c>
    </row>
    <row r="2118" spans="2:39" ht="15" customHeight="1" x14ac:dyDescent="0.3">
      <c r="B2118">
        <v>211.5</v>
      </c>
      <c r="C2118" t="str">
        <f>IFERROR(VLOOKUP(B2118,'Pre-Summary'!$DI$6:$DM$23,4,FALSE),"")</f>
        <v/>
      </c>
      <c r="D2118" s="10" t="str">
        <f>IFERROR(VLOOKUP(B2118,'Pre-Summary'!$AT$6:$AX$14,5,FALSE),D2117)</f>
        <v>Wolfe v3: went back to modified wolfe + EDTA and switched CuSO4 to CUCl2</v>
      </c>
      <c r="E2118" s="10" t="str">
        <f>IFERROR(VLOOKUP(B2118,'Pre-Summary'!$AT$6:$AX$15,4,FALSE),"")</f>
        <v/>
      </c>
      <c r="F2118">
        <f>IFERROR(VLOOKUP(B2118,'Pre-Summary'!$AL$6:$AQ$13,6,FALSE),F2117)</f>
        <v>5.9405263157894746E-2</v>
      </c>
      <c r="G2118">
        <f>IFERROR(VLOOKUP(B2118,'Pre-Summary'!$AE$6:$AJ$85,3,FALSE),"")</f>
        <v>111.01860000000001</v>
      </c>
      <c r="H2118">
        <f>IFERROR(VLOOKUP(B2118,'Pre-Summary'!$AE$6:$AJ$85,4,FALSE),"")</f>
        <v>0.74593399999999999</v>
      </c>
      <c r="I2118" t="str">
        <f>IFERROR(VLOOKUP(B2118,'Pre-Summary'!$AE$6:$AJ$85,5,FALSE),"")</f>
        <v/>
      </c>
      <c r="J2118" s="45">
        <f>IFERROR(VLOOKUP(B2118,'Pre-Summary'!$AE$6:$AJ$85,6, FALSE),"")</f>
        <v>118.4568462</v>
      </c>
      <c r="K2118" s="45" t="str">
        <f>IFERROR(VLOOKUP(B2118,'Pre-Summary'!$DE$6:$DG$61,3,FALSE),"")</f>
        <v/>
      </c>
      <c r="L2118" s="45" t="str">
        <f>IFERROR(VLOOKUP(B2118,'Pre-Summary'!$CU$6:$CW$36,3,FALSE),"")</f>
        <v/>
      </c>
      <c r="M2118" s="45" t="str">
        <f>IFERROR(VLOOKUP(B2118,'Pre-Summary'!$BW$6:$BY$58,2,FALSE),"")</f>
        <v/>
      </c>
      <c r="N2118" s="45">
        <f>IFERROR(VLOOKUP(B2118,'Pre-Summary'!$CD$6:$CF$64,2,FALSE),"")</f>
        <v>208.88775770690677</v>
      </c>
      <c r="O2118" s="99">
        <f>IFERROR(VLOOKUP(B2118,'Pre-Summary'!$BO$6:$BQ$48,3, FALSE),O2117)</f>
        <v>1.3480000000000001</v>
      </c>
      <c r="P2118" s="99">
        <f>IFERROR(VLOOKUP(B2118,'Pre-Summary'!$BS$6:$BU$35,3,FALSE),P2117)</f>
        <v>0.379</v>
      </c>
      <c r="Q2118" s="54">
        <f t="shared" si="99"/>
        <v>3.556728232189974</v>
      </c>
      <c r="R2118" s="53">
        <f>IFERROR(VLOOKUP(B2118,'Pre-Summary'!$BG$6:$BM$44,7,FALSE),R2119)</f>
        <v>9.2946004538835364E-2</v>
      </c>
      <c r="S2118" s="53">
        <f>IFERROR(VLOOKUP(B2118,'Pre-Summary'!$BG$6:$BM$44,6,FALSE),S2119)</f>
        <v>8.3142487304634596E-2</v>
      </c>
      <c r="T2118" s="45">
        <f>IFERROR(VLOOKUP(B2118,'Pre-Summary'!$Y$6:$AC$83, 3,FALSE),"")</f>
        <v>3.1719240000000002</v>
      </c>
      <c r="U2118" s="45">
        <f>IFERROR(VLOOKUP(B2118,'Pre-Summary'!$Y$6:$AC$83, 4,FALSE),"")</f>
        <v>0.357323</v>
      </c>
      <c r="V2118" t="str">
        <f>IFERROR(VLOOKUP(B2118,'Pre-Summary'!$Y$6:$AC$83, 5,FALSE),"")</f>
        <v/>
      </c>
      <c r="W2118" s="45">
        <f>IFERROR(VLOOKUP(B2118,'Pre-Summary'!$Y$6:$AD$83,6,FALSE),"")</f>
        <v>3.384442908</v>
      </c>
      <c r="X2118" t="str">
        <f>IFERROR(VLOOKUP('Pre-Summary'!$DB$6:$DD$63,3,FALSE),"")</f>
        <v/>
      </c>
      <c r="Y2118" t="str">
        <f>IFERROR(VLOOKUP(B2118,'Pre-Summary'!$CR$6:$CT$36,3,FALSE),"")</f>
        <v/>
      </c>
      <c r="Z2118" s="45" t="str">
        <f>IFERROR(VLOOKUP(B2118,'Pre-Summary'!$BZ$6:$CB$63,2,FALSE),"")</f>
        <v/>
      </c>
      <c r="AA2118" s="45" t="str">
        <f>IFERROR(VLOOKUP(B2118,'Pre-Summary'!$CG$6:$CI$70,2,FALSE),"")</f>
        <v/>
      </c>
      <c r="AB2118" s="99">
        <f>IFERROR(VLOOKUP(B2118,'Pre-Summary'!$A$6:$P$178,9,FALSE),AB2119)</f>
        <v>0.34282096774002935</v>
      </c>
      <c r="AC2118" s="10">
        <f>IFERROR(VLOOKUP(Summary!B2118,'Pre-Summary'!$A$6:$P$184,5, FALSE)/100,AC2119)</f>
        <v>0.94402733333333344</v>
      </c>
      <c r="AD2118" s="10">
        <f>IFERROR(VLOOKUP(Summary!B2118,'Pre-Summary'!$A$6:$P$184,3, FALSE)/100,AD2119)</f>
        <v>4.1715333333333333E-2</v>
      </c>
      <c r="AE2118" s="10">
        <f>IFERROR(VLOOKUP(Summary!B2118,'Pre-Summary'!$A$6:$P$184,7, FALSE)/100,AE2119)</f>
        <v>1.4257666666666663E-2</v>
      </c>
      <c r="AF2118" s="99">
        <f t="shared" si="100"/>
        <v>1.4300890942931238E-2</v>
      </c>
      <c r="AG2118" s="99">
        <f t="shared" si="101"/>
        <v>4.8878270843814237E-3</v>
      </c>
      <c r="AH2118" s="10" t="str">
        <f>IFERROR(VLOOKUP(B2118,'Pre-Summary'!$AZ$6:$BE$65,3,FALSE),"")</f>
        <v/>
      </c>
      <c r="AI2118" s="10" t="str">
        <f>IFERROR(VLOOKUP(B2118,'Pre-Summary'!$AZ$6:$BE$65,5,FALSE),"")</f>
        <v/>
      </c>
      <c r="AJ2118" s="10" t="str">
        <f>IFERROR(VLOOKUP(B2118,'Pre-Summary'!$AZ$6:$BE$65,4,FALSE),"")</f>
        <v/>
      </c>
      <c r="AK2118" s="10" t="str">
        <f>IFERROR(VLOOKUP(B2118,'Pre-Summary'!$AZ$6:$BE$65,6,FALSE),"")</f>
        <v/>
      </c>
      <c r="AL2118" s="10" t="str">
        <f>IFERROR(VLOOKUP(B2118,'Pre-Summary'!$BG$6:$BL$44,3,FALSE),"")</f>
        <v/>
      </c>
      <c r="AM2118" s="10" t="str">
        <f>IFERROR(VLOOKUP(B2118,'Pre-Summary'!$BG$6:$BL$44,4,FALSE),"")</f>
        <v/>
      </c>
    </row>
    <row r="2119" spans="2:39" ht="15" customHeight="1" x14ac:dyDescent="0.3">
      <c r="B2119">
        <v>211.6</v>
      </c>
      <c r="C2119" t="str">
        <f>IFERROR(VLOOKUP(B2119,'Pre-Summary'!$DI$6:$DM$23,4,FALSE),"")</f>
        <v/>
      </c>
      <c r="D2119" s="10" t="str">
        <f>IFERROR(VLOOKUP(B2119,'Pre-Summary'!$AT$6:$AX$14,5,FALSE),D2118)</f>
        <v>Wolfe v3: went back to modified wolfe + EDTA and switched CuSO4 to CUCl2</v>
      </c>
      <c r="E2119" s="10" t="str">
        <f>IFERROR(VLOOKUP(B2119,'Pre-Summary'!$AT$6:$AX$15,4,FALSE),"")</f>
        <v/>
      </c>
      <c r="F2119">
        <f>IFERROR(VLOOKUP(B2119,'Pre-Summary'!$AL$6:$AQ$13,6,FALSE),F2118)</f>
        <v>5.9405263157894746E-2</v>
      </c>
      <c r="G2119" t="str">
        <f>IFERROR(VLOOKUP(B2119,'Pre-Summary'!$AE$6:$AJ$85,3,FALSE),"")</f>
        <v/>
      </c>
      <c r="H2119" t="str">
        <f>IFERROR(VLOOKUP(B2119,'Pre-Summary'!$AE$6:$AJ$85,4,FALSE),"")</f>
        <v/>
      </c>
      <c r="I2119" t="str">
        <f>IFERROR(VLOOKUP(B2119,'Pre-Summary'!$AE$6:$AJ$85,5,FALSE),"")</f>
        <v/>
      </c>
      <c r="J2119" s="45" t="str">
        <f>IFERROR(VLOOKUP(B2119,'Pre-Summary'!$AE$6:$AJ$85,6, FALSE),"")</f>
        <v/>
      </c>
      <c r="K2119" s="45" t="str">
        <f>IFERROR(VLOOKUP(B2119,'Pre-Summary'!$DE$6:$DG$61,3,FALSE),"")</f>
        <v/>
      </c>
      <c r="L2119" s="45" t="str">
        <f>IFERROR(VLOOKUP(B2119,'Pre-Summary'!$CU$6:$CW$36,3,FALSE),"")</f>
        <v/>
      </c>
      <c r="M2119" s="45" t="str">
        <f>IFERROR(VLOOKUP(B2119,'Pre-Summary'!$BW$6:$BY$58,2,FALSE),"")</f>
        <v/>
      </c>
      <c r="N2119" s="45" t="str">
        <f>IFERROR(VLOOKUP(B2119,'Pre-Summary'!$CD$6:$CF$64,2,FALSE),"")</f>
        <v/>
      </c>
      <c r="O2119" s="99">
        <f>IFERROR(VLOOKUP(B2119,'Pre-Summary'!$BO$6:$BQ$48,3, FALSE),O2118)</f>
        <v>1.3480000000000001</v>
      </c>
      <c r="P2119" s="99">
        <f>IFERROR(VLOOKUP(B2119,'Pre-Summary'!$BS$6:$BU$35,3,FALSE),P2118)</f>
        <v>0.379</v>
      </c>
      <c r="Q2119" s="54">
        <f t="shared" si="99"/>
        <v>3.556728232189974</v>
      </c>
      <c r="R2119" s="53">
        <f>IFERROR(VLOOKUP(B2119,'Pre-Summary'!$BG$6:$BM$44,7,FALSE),R2120)</f>
        <v>9.2946004538835364E-2</v>
      </c>
      <c r="S2119" s="53">
        <f>IFERROR(VLOOKUP(B2119,'Pre-Summary'!$BG$6:$BM$44,6,FALSE),S2120)</f>
        <v>8.3142487304634596E-2</v>
      </c>
      <c r="T2119" s="45" t="str">
        <f>IFERROR(VLOOKUP(B2119,'Pre-Summary'!$Y$6:$AC$83, 3,FALSE),"")</f>
        <v/>
      </c>
      <c r="U2119" s="45" t="str">
        <f>IFERROR(VLOOKUP(B2119,'Pre-Summary'!$Y$6:$AC$83, 4,FALSE),"")</f>
        <v/>
      </c>
      <c r="V2119" t="str">
        <f>IFERROR(VLOOKUP(B2119,'Pre-Summary'!$Y$6:$AC$83, 5,FALSE),"")</f>
        <v/>
      </c>
      <c r="W2119" s="45" t="str">
        <f>IFERROR(VLOOKUP(B2119,'Pre-Summary'!$Y$6:$AD$83,6,FALSE),"")</f>
        <v/>
      </c>
      <c r="X2119" t="str">
        <f>IFERROR(VLOOKUP('Pre-Summary'!$DB$6:$DD$63,3,FALSE),"")</f>
        <v/>
      </c>
      <c r="Y2119" t="str">
        <f>IFERROR(VLOOKUP(B2119,'Pre-Summary'!$CR$6:$CT$36,3,FALSE),"")</f>
        <v/>
      </c>
      <c r="Z2119" s="45" t="str">
        <f>IFERROR(VLOOKUP(B2119,'Pre-Summary'!$BZ$6:$CB$63,2,FALSE),"")</f>
        <v/>
      </c>
      <c r="AA2119" s="45" t="str">
        <f>IFERROR(VLOOKUP(B2119,'Pre-Summary'!$CG$6:$CI$70,2,FALSE),"")</f>
        <v/>
      </c>
      <c r="AB2119" s="99">
        <f>IFERROR(VLOOKUP(B2119,'Pre-Summary'!$A$6:$P$178,9,FALSE),AB2120)</f>
        <v>0.34282096774002935</v>
      </c>
      <c r="AC2119" s="10">
        <f>IFERROR(VLOOKUP(Summary!B2119,'Pre-Summary'!$A$6:$P$184,5, FALSE)/100,AC2120)</f>
        <v>0.94402733333333344</v>
      </c>
      <c r="AD2119" s="10">
        <f>IFERROR(VLOOKUP(Summary!B2119,'Pre-Summary'!$A$6:$P$184,3, FALSE)/100,AD2120)</f>
        <v>4.1715333333333333E-2</v>
      </c>
      <c r="AE2119" s="10">
        <f>IFERROR(VLOOKUP(Summary!B2119,'Pre-Summary'!$A$6:$P$184,7, FALSE)/100,AE2120)</f>
        <v>1.4257666666666663E-2</v>
      </c>
      <c r="AF2119" s="99">
        <f t="shared" si="100"/>
        <v>1.4300890942931238E-2</v>
      </c>
      <c r="AG2119" s="99">
        <f t="shared" si="101"/>
        <v>4.8878270843814237E-3</v>
      </c>
      <c r="AH2119" s="10" t="str">
        <f>IFERROR(VLOOKUP(B2119,'Pre-Summary'!$AZ$6:$BE$65,3,FALSE),"")</f>
        <v/>
      </c>
      <c r="AI2119" s="10" t="str">
        <f>IFERROR(VLOOKUP(B2119,'Pre-Summary'!$AZ$6:$BE$65,5,FALSE),"")</f>
        <v/>
      </c>
      <c r="AJ2119" s="10" t="str">
        <f>IFERROR(VLOOKUP(B2119,'Pre-Summary'!$AZ$6:$BE$65,4,FALSE),"")</f>
        <v/>
      </c>
      <c r="AK2119" s="10" t="str">
        <f>IFERROR(VLOOKUP(B2119,'Pre-Summary'!$AZ$6:$BE$65,6,FALSE),"")</f>
        <v/>
      </c>
      <c r="AL2119" s="10" t="str">
        <f>IFERROR(VLOOKUP(B2119,'Pre-Summary'!$BG$6:$BL$44,3,FALSE),"")</f>
        <v/>
      </c>
      <c r="AM2119" s="10" t="str">
        <f>IFERROR(VLOOKUP(B2119,'Pre-Summary'!$BG$6:$BL$44,4,FALSE),"")</f>
        <v/>
      </c>
    </row>
    <row r="2120" spans="2:39" ht="15" customHeight="1" x14ac:dyDescent="0.3">
      <c r="B2120">
        <v>211.7</v>
      </c>
      <c r="C2120" t="str">
        <f>IFERROR(VLOOKUP(B2120,'Pre-Summary'!$DI$6:$DM$23,4,FALSE),"")</f>
        <v/>
      </c>
      <c r="D2120" s="10" t="str">
        <f>IFERROR(VLOOKUP(B2120,'Pre-Summary'!$AT$6:$AX$14,5,FALSE),D2119)</f>
        <v>Wolfe v3: went back to modified wolfe + EDTA and switched CuSO4 to CUCl2</v>
      </c>
      <c r="E2120" s="10" t="str">
        <f>IFERROR(VLOOKUP(B2120,'Pre-Summary'!$AT$6:$AX$15,4,FALSE),"")</f>
        <v/>
      </c>
      <c r="F2120">
        <f>IFERROR(VLOOKUP(B2120,'Pre-Summary'!$AL$6:$AQ$13,6,FALSE),F2119)</f>
        <v>5.9405263157894746E-2</v>
      </c>
      <c r="G2120" t="str">
        <f>IFERROR(VLOOKUP(B2120,'Pre-Summary'!$AE$6:$AJ$85,3,FALSE),"")</f>
        <v/>
      </c>
      <c r="H2120" t="str">
        <f>IFERROR(VLOOKUP(B2120,'Pre-Summary'!$AE$6:$AJ$85,4,FALSE),"")</f>
        <v/>
      </c>
      <c r="I2120" t="str">
        <f>IFERROR(VLOOKUP(B2120,'Pre-Summary'!$AE$6:$AJ$85,5,FALSE),"")</f>
        <v/>
      </c>
      <c r="J2120" s="45" t="str">
        <f>IFERROR(VLOOKUP(B2120,'Pre-Summary'!$AE$6:$AJ$85,6, FALSE),"")</f>
        <v/>
      </c>
      <c r="K2120" s="45" t="str">
        <f>IFERROR(VLOOKUP(B2120,'Pre-Summary'!$DE$6:$DG$61,3,FALSE),"")</f>
        <v/>
      </c>
      <c r="L2120" s="45" t="str">
        <f>IFERROR(VLOOKUP(B2120,'Pre-Summary'!$CU$6:$CW$36,3,FALSE),"")</f>
        <v/>
      </c>
      <c r="M2120" s="45" t="str">
        <f>IFERROR(VLOOKUP(B2120,'Pre-Summary'!$BW$6:$BY$58,2,FALSE),"")</f>
        <v/>
      </c>
      <c r="N2120" s="45" t="str">
        <f>IFERROR(VLOOKUP(B2120,'Pre-Summary'!$CD$6:$CF$64,2,FALSE),"")</f>
        <v/>
      </c>
      <c r="O2120" s="99">
        <f>IFERROR(VLOOKUP(B2120,'Pre-Summary'!$BO$6:$BQ$48,3, FALSE),O2119)</f>
        <v>1.3480000000000001</v>
      </c>
      <c r="P2120" s="99">
        <f>IFERROR(VLOOKUP(B2120,'Pre-Summary'!$BS$6:$BU$35,3,FALSE),P2119)</f>
        <v>0.379</v>
      </c>
      <c r="Q2120" s="54">
        <f t="shared" si="99"/>
        <v>3.556728232189974</v>
      </c>
      <c r="R2120" s="53">
        <f>IFERROR(VLOOKUP(B2120,'Pre-Summary'!$BG$6:$BM$44,7,FALSE),R2121)</f>
        <v>9.2946004538835364E-2</v>
      </c>
      <c r="S2120" s="53">
        <f>IFERROR(VLOOKUP(B2120,'Pre-Summary'!$BG$6:$BM$44,6,FALSE),S2121)</f>
        <v>8.3142487304634596E-2</v>
      </c>
      <c r="T2120" s="45" t="str">
        <f>IFERROR(VLOOKUP(B2120,'Pre-Summary'!$Y$6:$AC$83, 3,FALSE),"")</f>
        <v/>
      </c>
      <c r="U2120" s="45" t="str">
        <f>IFERROR(VLOOKUP(B2120,'Pre-Summary'!$Y$6:$AC$83, 4,FALSE),"")</f>
        <v/>
      </c>
      <c r="V2120" t="str">
        <f>IFERROR(VLOOKUP(B2120,'Pre-Summary'!$Y$6:$AC$83, 5,FALSE),"")</f>
        <v/>
      </c>
      <c r="W2120" s="45" t="str">
        <f>IFERROR(VLOOKUP(B2120,'Pre-Summary'!$Y$6:$AD$83,6,FALSE),"")</f>
        <v/>
      </c>
      <c r="X2120" t="str">
        <f>IFERROR(VLOOKUP('Pre-Summary'!$DB$6:$DD$63,3,FALSE),"")</f>
        <v/>
      </c>
      <c r="Y2120" t="str">
        <f>IFERROR(VLOOKUP(B2120,'Pre-Summary'!$CR$6:$CT$36,3,FALSE),"")</f>
        <v/>
      </c>
      <c r="Z2120" s="45" t="str">
        <f>IFERROR(VLOOKUP(B2120,'Pre-Summary'!$BZ$6:$CB$63,2,FALSE),"")</f>
        <v/>
      </c>
      <c r="AA2120" s="45" t="str">
        <f>IFERROR(VLOOKUP(B2120,'Pre-Summary'!$CG$6:$CI$70,2,FALSE),"")</f>
        <v/>
      </c>
      <c r="AB2120" s="99">
        <f>IFERROR(VLOOKUP(B2120,'Pre-Summary'!$A$6:$P$178,9,FALSE),AB2121)</f>
        <v>0.34282096774002935</v>
      </c>
      <c r="AC2120" s="10">
        <f>IFERROR(VLOOKUP(Summary!B2120,'Pre-Summary'!$A$6:$P$184,5, FALSE)/100,AC2121)</f>
        <v>0.94402733333333344</v>
      </c>
      <c r="AD2120" s="10">
        <f>IFERROR(VLOOKUP(Summary!B2120,'Pre-Summary'!$A$6:$P$184,3, FALSE)/100,AD2121)</f>
        <v>4.1715333333333333E-2</v>
      </c>
      <c r="AE2120" s="10">
        <f>IFERROR(VLOOKUP(Summary!B2120,'Pre-Summary'!$A$6:$P$184,7, FALSE)/100,AE2121)</f>
        <v>1.4257666666666663E-2</v>
      </c>
      <c r="AF2120" s="99">
        <f t="shared" si="100"/>
        <v>1.4300890942931238E-2</v>
      </c>
      <c r="AG2120" s="99">
        <f t="shared" si="101"/>
        <v>4.8878270843814237E-3</v>
      </c>
      <c r="AH2120" s="10" t="str">
        <f>IFERROR(VLOOKUP(B2120,'Pre-Summary'!$AZ$6:$BE$65,3,FALSE),"")</f>
        <v/>
      </c>
      <c r="AI2120" s="10" t="str">
        <f>IFERROR(VLOOKUP(B2120,'Pre-Summary'!$AZ$6:$BE$65,5,FALSE),"")</f>
        <v/>
      </c>
      <c r="AJ2120" s="10" t="str">
        <f>IFERROR(VLOOKUP(B2120,'Pre-Summary'!$AZ$6:$BE$65,4,FALSE),"")</f>
        <v/>
      </c>
      <c r="AK2120" s="10" t="str">
        <f>IFERROR(VLOOKUP(B2120,'Pre-Summary'!$AZ$6:$BE$65,6,FALSE),"")</f>
        <v/>
      </c>
      <c r="AL2120" s="10" t="str">
        <f>IFERROR(VLOOKUP(B2120,'Pre-Summary'!$BG$6:$BL$44,3,FALSE),"")</f>
        <v/>
      </c>
      <c r="AM2120" s="10" t="str">
        <f>IFERROR(VLOOKUP(B2120,'Pre-Summary'!$BG$6:$BL$44,4,FALSE),"")</f>
        <v/>
      </c>
    </row>
    <row r="2121" spans="2:39" ht="15" customHeight="1" x14ac:dyDescent="0.3">
      <c r="B2121">
        <v>211.8</v>
      </c>
      <c r="C2121" t="str">
        <f>IFERROR(VLOOKUP(B2121,'Pre-Summary'!$DI$6:$DM$23,4,FALSE),"")</f>
        <v/>
      </c>
      <c r="D2121" s="10" t="str">
        <f>IFERROR(VLOOKUP(B2121,'Pre-Summary'!$AT$6:$AX$14,5,FALSE),D2120)</f>
        <v>Wolfe v3: went back to modified wolfe + EDTA and switched CuSO4 to CUCl2</v>
      </c>
      <c r="E2121" s="10" t="str">
        <f>IFERROR(VLOOKUP(B2121,'Pre-Summary'!$AT$6:$AX$15,4,FALSE),"")</f>
        <v/>
      </c>
      <c r="F2121">
        <f>IFERROR(VLOOKUP(B2121,'Pre-Summary'!$AL$6:$AQ$13,6,FALSE),F2120)</f>
        <v>5.9405263157894746E-2</v>
      </c>
      <c r="G2121" t="str">
        <f>IFERROR(VLOOKUP(B2121,'Pre-Summary'!$AE$6:$AJ$85,3,FALSE),"")</f>
        <v/>
      </c>
      <c r="H2121" t="str">
        <f>IFERROR(VLOOKUP(B2121,'Pre-Summary'!$AE$6:$AJ$85,4,FALSE),"")</f>
        <v/>
      </c>
      <c r="I2121" t="str">
        <f>IFERROR(VLOOKUP(B2121,'Pre-Summary'!$AE$6:$AJ$85,5,FALSE),"")</f>
        <v/>
      </c>
      <c r="J2121" s="45" t="str">
        <f>IFERROR(VLOOKUP(B2121,'Pre-Summary'!$AE$6:$AJ$85,6, FALSE),"")</f>
        <v/>
      </c>
      <c r="K2121" s="45" t="str">
        <f>IFERROR(VLOOKUP(B2121,'Pre-Summary'!$DE$6:$DG$61,3,FALSE),"")</f>
        <v/>
      </c>
      <c r="L2121" s="45" t="str">
        <f>IFERROR(VLOOKUP(B2121,'Pre-Summary'!$CU$6:$CW$36,3,FALSE),"")</f>
        <v/>
      </c>
      <c r="M2121" s="45" t="str">
        <f>IFERROR(VLOOKUP(B2121,'Pre-Summary'!$BW$6:$BY$58,2,FALSE),"")</f>
        <v/>
      </c>
      <c r="N2121" s="45" t="str">
        <f>IFERROR(VLOOKUP(B2121,'Pre-Summary'!$CD$6:$CF$64,2,FALSE),"")</f>
        <v/>
      </c>
      <c r="O2121" s="99">
        <f>IFERROR(VLOOKUP(B2121,'Pre-Summary'!$BO$6:$BQ$48,3, FALSE),O2120)</f>
        <v>1.3480000000000001</v>
      </c>
      <c r="P2121" s="99">
        <f>IFERROR(VLOOKUP(B2121,'Pre-Summary'!$BS$6:$BU$35,3,FALSE),P2120)</f>
        <v>0.379</v>
      </c>
      <c r="Q2121" s="54">
        <f t="shared" si="99"/>
        <v>3.556728232189974</v>
      </c>
      <c r="R2121" s="53">
        <f>IFERROR(VLOOKUP(B2121,'Pre-Summary'!$BG$6:$BM$44,7,FALSE),R2122)</f>
        <v>9.2946004538835364E-2</v>
      </c>
      <c r="S2121" s="53">
        <f>IFERROR(VLOOKUP(B2121,'Pre-Summary'!$BG$6:$BM$44,6,FALSE),S2122)</f>
        <v>8.3142487304634596E-2</v>
      </c>
      <c r="T2121" s="45" t="str">
        <f>IFERROR(VLOOKUP(B2121,'Pre-Summary'!$Y$6:$AC$83, 3,FALSE),"")</f>
        <v/>
      </c>
      <c r="U2121" s="45" t="str">
        <f>IFERROR(VLOOKUP(B2121,'Pre-Summary'!$Y$6:$AC$83, 4,FALSE),"")</f>
        <v/>
      </c>
      <c r="V2121" t="str">
        <f>IFERROR(VLOOKUP(B2121,'Pre-Summary'!$Y$6:$AC$83, 5,FALSE),"")</f>
        <v/>
      </c>
      <c r="W2121" s="45" t="str">
        <f>IFERROR(VLOOKUP(B2121,'Pre-Summary'!$Y$6:$AD$83,6,FALSE),"")</f>
        <v/>
      </c>
      <c r="X2121" t="str">
        <f>IFERROR(VLOOKUP('Pre-Summary'!$DB$6:$DD$63,3,FALSE),"")</f>
        <v/>
      </c>
      <c r="Y2121" t="str">
        <f>IFERROR(VLOOKUP(B2121,'Pre-Summary'!$CR$6:$CT$36,3,FALSE),"")</f>
        <v/>
      </c>
      <c r="Z2121" s="45" t="str">
        <f>IFERROR(VLOOKUP(B2121,'Pre-Summary'!$BZ$6:$CB$63,2,FALSE),"")</f>
        <v/>
      </c>
      <c r="AA2121" s="45" t="str">
        <f>IFERROR(VLOOKUP(B2121,'Pre-Summary'!$CG$6:$CI$70,2,FALSE),"")</f>
        <v/>
      </c>
      <c r="AB2121" s="99">
        <f>IFERROR(VLOOKUP(B2121,'Pre-Summary'!$A$6:$P$178,9,FALSE),AB2122)</f>
        <v>0.34282096774002935</v>
      </c>
      <c r="AC2121" s="10">
        <f>IFERROR(VLOOKUP(Summary!B2121,'Pre-Summary'!$A$6:$P$184,5, FALSE)/100,AC2122)</f>
        <v>0.94402733333333344</v>
      </c>
      <c r="AD2121" s="10">
        <f>IFERROR(VLOOKUP(Summary!B2121,'Pre-Summary'!$A$6:$P$184,3, FALSE)/100,AD2122)</f>
        <v>4.1715333333333333E-2</v>
      </c>
      <c r="AE2121" s="10">
        <f>IFERROR(VLOOKUP(Summary!B2121,'Pre-Summary'!$A$6:$P$184,7, FALSE)/100,AE2122)</f>
        <v>1.4257666666666663E-2</v>
      </c>
      <c r="AF2121" s="99">
        <f t="shared" si="100"/>
        <v>1.4300890942931238E-2</v>
      </c>
      <c r="AG2121" s="99">
        <f t="shared" si="101"/>
        <v>4.8878270843814237E-3</v>
      </c>
      <c r="AH2121" s="10" t="str">
        <f>IFERROR(VLOOKUP(B2121,'Pre-Summary'!$AZ$6:$BE$65,3,FALSE),"")</f>
        <v/>
      </c>
      <c r="AI2121" s="10" t="str">
        <f>IFERROR(VLOOKUP(B2121,'Pre-Summary'!$AZ$6:$BE$65,5,FALSE),"")</f>
        <v/>
      </c>
      <c r="AJ2121" s="10" t="str">
        <f>IFERROR(VLOOKUP(B2121,'Pre-Summary'!$AZ$6:$BE$65,4,FALSE),"")</f>
        <v/>
      </c>
      <c r="AK2121" s="10" t="str">
        <f>IFERROR(VLOOKUP(B2121,'Pre-Summary'!$AZ$6:$BE$65,6,FALSE),"")</f>
        <v/>
      </c>
      <c r="AL2121" s="10" t="str">
        <f>IFERROR(VLOOKUP(B2121,'Pre-Summary'!$BG$6:$BL$44,3,FALSE),"")</f>
        <v/>
      </c>
      <c r="AM2121" s="10" t="str">
        <f>IFERROR(VLOOKUP(B2121,'Pre-Summary'!$BG$6:$BL$44,4,FALSE),"")</f>
        <v/>
      </c>
    </row>
    <row r="2122" spans="2:39" ht="15" customHeight="1" x14ac:dyDescent="0.3">
      <c r="B2122">
        <v>211.9</v>
      </c>
      <c r="C2122" t="str">
        <f>IFERROR(VLOOKUP(B2122,'Pre-Summary'!$DI$6:$DM$23,4,FALSE),"")</f>
        <v/>
      </c>
      <c r="D2122" s="10" t="str">
        <f>IFERROR(VLOOKUP(B2122,'Pre-Summary'!$AT$6:$AX$14,5,FALSE),D2121)</f>
        <v>Wolfe v3: went back to modified wolfe + EDTA and switched CuSO4 to CUCl2</v>
      </c>
      <c r="E2122" s="10" t="str">
        <f>IFERROR(VLOOKUP(B2122,'Pre-Summary'!$AT$6:$AX$15,4,FALSE),"")</f>
        <v/>
      </c>
      <c r="F2122">
        <f>IFERROR(VLOOKUP(B2122,'Pre-Summary'!$AL$6:$AQ$13,6,FALSE),F2121)</f>
        <v>5.9405263157894746E-2</v>
      </c>
      <c r="G2122" t="str">
        <f>IFERROR(VLOOKUP(B2122,'Pre-Summary'!$AE$6:$AJ$85,3,FALSE),"")</f>
        <v/>
      </c>
      <c r="H2122" t="str">
        <f>IFERROR(VLOOKUP(B2122,'Pre-Summary'!$AE$6:$AJ$85,4,FALSE),"")</f>
        <v/>
      </c>
      <c r="I2122" t="str">
        <f>IFERROR(VLOOKUP(B2122,'Pre-Summary'!$AE$6:$AJ$85,5,FALSE),"")</f>
        <v/>
      </c>
      <c r="J2122" s="45" t="str">
        <f>IFERROR(VLOOKUP(B2122,'Pre-Summary'!$AE$6:$AJ$85,6, FALSE),"")</f>
        <v/>
      </c>
      <c r="K2122" s="45" t="str">
        <f>IFERROR(VLOOKUP(B2122,'Pre-Summary'!$DE$6:$DG$61,3,FALSE),"")</f>
        <v/>
      </c>
      <c r="L2122" s="45" t="str">
        <f>IFERROR(VLOOKUP(B2122,'Pre-Summary'!$CU$6:$CW$36,3,FALSE),"")</f>
        <v/>
      </c>
      <c r="M2122" s="45" t="str">
        <f>IFERROR(VLOOKUP(B2122,'Pre-Summary'!$BW$6:$BY$58,2,FALSE),"")</f>
        <v/>
      </c>
      <c r="N2122" s="45" t="str">
        <f>IFERROR(VLOOKUP(B2122,'Pre-Summary'!$CD$6:$CF$64,2,FALSE),"")</f>
        <v/>
      </c>
      <c r="O2122" s="99">
        <f>IFERROR(VLOOKUP(B2122,'Pre-Summary'!$BO$6:$BQ$48,3, FALSE),O2121)</f>
        <v>1.3480000000000001</v>
      </c>
      <c r="P2122" s="99">
        <f>IFERROR(VLOOKUP(B2122,'Pre-Summary'!$BS$6:$BU$35,3,FALSE),P2121)</f>
        <v>0.379</v>
      </c>
      <c r="Q2122" s="54">
        <f t="shared" si="99"/>
        <v>3.556728232189974</v>
      </c>
      <c r="R2122" s="53">
        <f>IFERROR(VLOOKUP(B2122,'Pre-Summary'!$BG$6:$BM$44,7,FALSE),R2123)</f>
        <v>9.2946004538835364E-2</v>
      </c>
      <c r="S2122" s="53">
        <f>IFERROR(VLOOKUP(B2122,'Pre-Summary'!$BG$6:$BM$44,6,FALSE),S2123)</f>
        <v>8.3142487304634596E-2</v>
      </c>
      <c r="T2122" s="45" t="str">
        <f>IFERROR(VLOOKUP(B2122,'Pre-Summary'!$Y$6:$AC$83, 3,FALSE),"")</f>
        <v/>
      </c>
      <c r="U2122" s="45" t="str">
        <f>IFERROR(VLOOKUP(B2122,'Pre-Summary'!$Y$6:$AC$83, 4,FALSE),"")</f>
        <v/>
      </c>
      <c r="V2122" t="str">
        <f>IFERROR(VLOOKUP(B2122,'Pre-Summary'!$Y$6:$AC$83, 5,FALSE),"")</f>
        <v/>
      </c>
      <c r="W2122" s="45" t="str">
        <f>IFERROR(VLOOKUP(B2122,'Pre-Summary'!$Y$6:$AD$83,6,FALSE),"")</f>
        <v/>
      </c>
      <c r="X2122" t="str">
        <f>IFERROR(VLOOKUP('Pre-Summary'!$DB$6:$DD$63,3,FALSE),"")</f>
        <v/>
      </c>
      <c r="Y2122" t="str">
        <f>IFERROR(VLOOKUP(B2122,'Pre-Summary'!$CR$6:$CT$36,3,FALSE),"")</f>
        <v/>
      </c>
      <c r="Z2122" s="45" t="str">
        <f>IFERROR(VLOOKUP(B2122,'Pre-Summary'!$BZ$6:$CB$63,2,FALSE),"")</f>
        <v/>
      </c>
      <c r="AA2122" s="45" t="str">
        <f>IFERROR(VLOOKUP(B2122,'Pre-Summary'!$CG$6:$CI$70,2,FALSE),"")</f>
        <v/>
      </c>
      <c r="AB2122" s="99">
        <f>IFERROR(VLOOKUP(B2122,'Pre-Summary'!$A$6:$P$178,9,FALSE),AB2123)</f>
        <v>0.34282096774002935</v>
      </c>
      <c r="AC2122" s="10">
        <f>IFERROR(VLOOKUP(Summary!B2122,'Pre-Summary'!$A$6:$P$184,5, FALSE)/100,AC2123)</f>
        <v>0.94402733333333344</v>
      </c>
      <c r="AD2122" s="10">
        <f>IFERROR(VLOOKUP(Summary!B2122,'Pre-Summary'!$A$6:$P$184,3, FALSE)/100,AD2123)</f>
        <v>4.1715333333333333E-2</v>
      </c>
      <c r="AE2122" s="10">
        <f>IFERROR(VLOOKUP(Summary!B2122,'Pre-Summary'!$A$6:$P$184,7, FALSE)/100,AE2123)</f>
        <v>1.4257666666666663E-2</v>
      </c>
      <c r="AF2122" s="99">
        <f t="shared" si="100"/>
        <v>1.4300890942931238E-2</v>
      </c>
      <c r="AG2122" s="99">
        <f t="shared" si="101"/>
        <v>4.8878270843814237E-3</v>
      </c>
      <c r="AH2122" s="10" t="str">
        <f>IFERROR(VLOOKUP(B2122,'Pre-Summary'!$AZ$6:$BE$65,3,FALSE),"")</f>
        <v/>
      </c>
      <c r="AI2122" s="10" t="str">
        <f>IFERROR(VLOOKUP(B2122,'Pre-Summary'!$AZ$6:$BE$65,5,FALSE),"")</f>
        <v/>
      </c>
      <c r="AJ2122" s="10" t="str">
        <f>IFERROR(VLOOKUP(B2122,'Pre-Summary'!$AZ$6:$BE$65,4,FALSE),"")</f>
        <v/>
      </c>
      <c r="AK2122" s="10" t="str">
        <f>IFERROR(VLOOKUP(B2122,'Pre-Summary'!$AZ$6:$BE$65,6,FALSE),"")</f>
        <v/>
      </c>
      <c r="AL2122" s="10" t="str">
        <f>IFERROR(VLOOKUP(B2122,'Pre-Summary'!$BG$6:$BL$44,3,FALSE),"")</f>
        <v/>
      </c>
      <c r="AM2122" s="10" t="str">
        <f>IFERROR(VLOOKUP(B2122,'Pre-Summary'!$BG$6:$BL$44,4,FALSE),"")</f>
        <v/>
      </c>
    </row>
    <row r="2123" spans="2:39" ht="15" customHeight="1" x14ac:dyDescent="0.3">
      <c r="B2123">
        <v>212</v>
      </c>
      <c r="C2123" t="str">
        <f>IFERROR(VLOOKUP(B2123,'Pre-Summary'!$DI$6:$DM$23,4,FALSE),"")</f>
        <v/>
      </c>
      <c r="D2123" s="10" t="str">
        <f>IFERROR(VLOOKUP(B2123,'Pre-Summary'!$AT$6:$AX$14,5,FALSE),D2122)</f>
        <v>Wolfe v3: went back to modified wolfe + EDTA and switched CuSO4 to CUCl2</v>
      </c>
      <c r="E2123" s="10" t="str">
        <f>IFERROR(VLOOKUP(B2123,'Pre-Summary'!$AT$6:$AX$15,4,FALSE),"")</f>
        <v/>
      </c>
      <c r="F2123">
        <f>IFERROR(VLOOKUP(B2123,'Pre-Summary'!$AL$6:$AQ$13,6,FALSE),F2122)</f>
        <v>5.9405263157894746E-2</v>
      </c>
      <c r="G2123" t="str">
        <f>IFERROR(VLOOKUP(B2123,'Pre-Summary'!$AE$6:$AJ$85,3,FALSE),"")</f>
        <v/>
      </c>
      <c r="H2123" t="str">
        <f>IFERROR(VLOOKUP(B2123,'Pre-Summary'!$AE$6:$AJ$85,4,FALSE),"")</f>
        <v/>
      </c>
      <c r="I2123" t="str">
        <f>IFERROR(VLOOKUP(B2123,'Pre-Summary'!$AE$6:$AJ$85,5,FALSE),"")</f>
        <v/>
      </c>
      <c r="J2123" s="45" t="str">
        <f>IFERROR(VLOOKUP(B2123,'Pre-Summary'!$AE$6:$AJ$85,6, FALSE),"")</f>
        <v/>
      </c>
      <c r="K2123" s="45">
        <f>IFERROR(VLOOKUP(B2123,'Pre-Summary'!$DE$6:$DG$61,3,FALSE),"")</f>
        <v>640</v>
      </c>
      <c r="L2123" s="45" t="str">
        <f>IFERROR(VLOOKUP(B2123,'Pre-Summary'!$CU$6:$CW$36,3,FALSE),"")</f>
        <v/>
      </c>
      <c r="M2123" s="45">
        <f>IFERROR(VLOOKUP(B2123,'Pre-Summary'!$BW$6:$BY$58,2,FALSE),"")</f>
        <v>20.408624557719499</v>
      </c>
      <c r="N2123" s="45" t="str">
        <f>IFERROR(VLOOKUP(B2123,'Pre-Summary'!$CD$6:$CF$64,2,FALSE),"")</f>
        <v/>
      </c>
      <c r="O2123" s="99">
        <f>IFERROR(VLOOKUP(B2123,'Pre-Summary'!$BO$6:$BQ$48,3, FALSE),O2122)</f>
        <v>1.3480000000000001</v>
      </c>
      <c r="P2123" s="99">
        <f>IFERROR(VLOOKUP(B2123,'Pre-Summary'!$BS$6:$BU$35,3,FALSE),P2122)</f>
        <v>0.379</v>
      </c>
      <c r="Q2123" s="54">
        <f t="shared" si="99"/>
        <v>3.556728232189974</v>
      </c>
      <c r="R2123" s="53">
        <f>IFERROR(VLOOKUP(B2123,'Pre-Summary'!$BG$6:$BM$44,7,FALSE),R2124)</f>
        <v>9.2946004538835364E-2</v>
      </c>
      <c r="S2123" s="53">
        <f>IFERROR(VLOOKUP(B2123,'Pre-Summary'!$BG$6:$BM$44,6,FALSE),S2124)</f>
        <v>8.3142487304634596E-2</v>
      </c>
      <c r="T2123" s="45" t="str">
        <f>IFERROR(VLOOKUP(B2123,'Pre-Summary'!$Y$6:$AC$83, 3,FALSE),"")</f>
        <v/>
      </c>
      <c r="U2123" s="45" t="str">
        <f>IFERROR(VLOOKUP(B2123,'Pre-Summary'!$Y$6:$AC$83, 4,FALSE),"")</f>
        <v/>
      </c>
      <c r="V2123" t="str">
        <f>IFERROR(VLOOKUP(B2123,'Pre-Summary'!$Y$6:$AC$83, 5,FALSE),"")</f>
        <v/>
      </c>
      <c r="W2123" s="45" t="str">
        <f>IFERROR(VLOOKUP(B2123,'Pre-Summary'!$Y$6:$AD$83,6,FALSE),"")</f>
        <v/>
      </c>
      <c r="X2123" t="str">
        <f>IFERROR(VLOOKUP('Pre-Summary'!$DB$6:$DD$63,3,FALSE),"")</f>
        <v/>
      </c>
      <c r="Y2123" t="str">
        <f>IFERROR(VLOOKUP(B2123,'Pre-Summary'!$CR$6:$CT$36,3,FALSE),"")</f>
        <v/>
      </c>
      <c r="Z2123" s="45">
        <f>IFERROR(VLOOKUP(B2123,'Pre-Summary'!$BZ$6:$CB$63,2,FALSE),"")</f>
        <v>37.50334354026959</v>
      </c>
      <c r="AA2123" s="45">
        <f>IFERROR(VLOOKUP(B2123,'Pre-Summary'!$CG$6:$CI$70,2,FALSE),"")</f>
        <v>181.57563064799982</v>
      </c>
      <c r="AB2123" s="99">
        <f>IFERROR(VLOOKUP(B2123,'Pre-Summary'!$A$6:$P$178,9,FALSE),AB2124)</f>
        <v>0.34282096774002935</v>
      </c>
      <c r="AC2123" s="10">
        <f>IFERROR(VLOOKUP(Summary!B2123,'Pre-Summary'!$A$6:$P$184,5, FALSE)/100,AC2124)</f>
        <v>0.94402733333333344</v>
      </c>
      <c r="AD2123" s="10">
        <f>IFERROR(VLOOKUP(Summary!B2123,'Pre-Summary'!$A$6:$P$184,3, FALSE)/100,AD2124)</f>
        <v>4.1715333333333333E-2</v>
      </c>
      <c r="AE2123" s="10">
        <f>IFERROR(VLOOKUP(Summary!B2123,'Pre-Summary'!$A$6:$P$184,7, FALSE)/100,AE2124)</f>
        <v>1.4257666666666663E-2</v>
      </c>
      <c r="AF2123" s="99">
        <f t="shared" si="100"/>
        <v>1.4300890942931238E-2</v>
      </c>
      <c r="AG2123" s="99">
        <f t="shared" si="101"/>
        <v>4.8878270843814237E-3</v>
      </c>
      <c r="AH2123" s="10" t="str">
        <f>IFERROR(VLOOKUP(B2123,'Pre-Summary'!$AZ$6:$BE$65,3,FALSE),"")</f>
        <v/>
      </c>
      <c r="AI2123" s="10" t="str">
        <f>IFERROR(VLOOKUP(B2123,'Pre-Summary'!$AZ$6:$BE$65,5,FALSE),"")</f>
        <v/>
      </c>
      <c r="AJ2123" s="10" t="str">
        <f>IFERROR(VLOOKUP(B2123,'Pre-Summary'!$AZ$6:$BE$65,4,FALSE),"")</f>
        <v/>
      </c>
      <c r="AK2123" s="10" t="str">
        <f>IFERROR(VLOOKUP(B2123,'Pre-Summary'!$AZ$6:$BE$65,6,FALSE),"")</f>
        <v/>
      </c>
      <c r="AL2123" s="10" t="str">
        <f>IFERROR(VLOOKUP(B2123,'Pre-Summary'!$BG$6:$BL$44,3,FALSE),"")</f>
        <v/>
      </c>
      <c r="AM2123" s="10" t="str">
        <f>IFERROR(VLOOKUP(B2123,'Pre-Summary'!$BG$6:$BL$44,4,FALSE),"")</f>
        <v/>
      </c>
    </row>
    <row r="2124" spans="2:39" ht="15" customHeight="1" x14ac:dyDescent="0.3">
      <c r="B2124">
        <v>212.1</v>
      </c>
      <c r="C2124" t="str">
        <f>IFERROR(VLOOKUP(B2124,'Pre-Summary'!$DI$6:$DM$23,4,FALSE),"")</f>
        <v/>
      </c>
      <c r="D2124" s="10" t="str">
        <f>IFERROR(VLOOKUP(B2124,'Pre-Summary'!$AT$6:$AX$14,5,FALSE),D2123)</f>
        <v>Wolfe v3: went back to modified wolfe + EDTA and switched CuSO4 to CUCl2</v>
      </c>
      <c r="E2124" s="10" t="str">
        <f>IFERROR(VLOOKUP(B2124,'Pre-Summary'!$AT$6:$AX$15,4,FALSE),"")</f>
        <v/>
      </c>
      <c r="F2124">
        <f>IFERROR(VLOOKUP(B2124,'Pre-Summary'!$AL$6:$AQ$13,6,FALSE),F2123)</f>
        <v>5.9405263157894746E-2</v>
      </c>
      <c r="G2124" t="str">
        <f>IFERROR(VLOOKUP(B2124,'Pre-Summary'!$AE$6:$AJ$85,3,FALSE),"")</f>
        <v/>
      </c>
      <c r="H2124" t="str">
        <f>IFERROR(VLOOKUP(B2124,'Pre-Summary'!$AE$6:$AJ$85,4,FALSE),"")</f>
        <v/>
      </c>
      <c r="I2124" t="str">
        <f>IFERROR(VLOOKUP(B2124,'Pre-Summary'!$AE$6:$AJ$85,5,FALSE),"")</f>
        <v/>
      </c>
      <c r="J2124" s="45" t="str">
        <f>IFERROR(VLOOKUP(B2124,'Pre-Summary'!$AE$6:$AJ$85,6, FALSE),"")</f>
        <v/>
      </c>
      <c r="K2124" s="45" t="str">
        <f>IFERROR(VLOOKUP(B2124,'Pre-Summary'!$DE$6:$DG$61,3,FALSE),"")</f>
        <v/>
      </c>
      <c r="L2124" s="45" t="str">
        <f>IFERROR(VLOOKUP(B2124,'Pre-Summary'!$CU$6:$CW$36,3,FALSE),"")</f>
        <v/>
      </c>
      <c r="M2124" s="45" t="str">
        <f>IFERROR(VLOOKUP(B2124,'Pre-Summary'!$BW$6:$BY$58,2,FALSE),"")</f>
        <v/>
      </c>
      <c r="N2124" s="45" t="str">
        <f>IFERROR(VLOOKUP(B2124,'Pre-Summary'!$CD$6:$CF$64,2,FALSE),"")</f>
        <v/>
      </c>
      <c r="O2124" s="99">
        <f>IFERROR(VLOOKUP(B2124,'Pre-Summary'!$BO$6:$BQ$48,3, FALSE),O2123)</f>
        <v>1.3480000000000001</v>
      </c>
      <c r="P2124" s="99">
        <f>IFERROR(VLOOKUP(B2124,'Pre-Summary'!$BS$6:$BU$35,3,FALSE),P2123)</f>
        <v>0.379</v>
      </c>
      <c r="Q2124" s="54">
        <f t="shared" si="99"/>
        <v>3.556728232189974</v>
      </c>
      <c r="R2124" s="53">
        <f>IFERROR(VLOOKUP(B2124,'Pre-Summary'!$BG$6:$BM$44,7,FALSE),R2125)</f>
        <v>9.2946004538835364E-2</v>
      </c>
      <c r="S2124" s="53">
        <f>IFERROR(VLOOKUP(B2124,'Pre-Summary'!$BG$6:$BM$44,6,FALSE),S2125)</f>
        <v>8.3142487304634596E-2</v>
      </c>
      <c r="T2124" s="45" t="str">
        <f>IFERROR(VLOOKUP(B2124,'Pre-Summary'!$Y$6:$AC$83, 3,FALSE),"")</f>
        <v/>
      </c>
      <c r="U2124" s="45" t="str">
        <f>IFERROR(VLOOKUP(B2124,'Pre-Summary'!$Y$6:$AC$83, 4,FALSE),"")</f>
        <v/>
      </c>
      <c r="V2124" t="str">
        <f>IFERROR(VLOOKUP(B2124,'Pre-Summary'!$Y$6:$AC$83, 5,FALSE),"")</f>
        <v/>
      </c>
      <c r="W2124" s="45" t="str">
        <f>IFERROR(VLOOKUP(B2124,'Pre-Summary'!$Y$6:$AD$83,6,FALSE),"")</f>
        <v/>
      </c>
      <c r="X2124" t="str">
        <f>IFERROR(VLOOKUP('Pre-Summary'!$DB$6:$DD$63,3,FALSE),"")</f>
        <v/>
      </c>
      <c r="Y2124" t="str">
        <f>IFERROR(VLOOKUP(B2124,'Pre-Summary'!$CR$6:$CT$36,3,FALSE),"")</f>
        <v/>
      </c>
      <c r="Z2124" s="45" t="str">
        <f>IFERROR(VLOOKUP(B2124,'Pre-Summary'!$BZ$6:$CB$63,2,FALSE),"")</f>
        <v/>
      </c>
      <c r="AA2124" s="45" t="str">
        <f>IFERROR(VLOOKUP(B2124,'Pre-Summary'!$CG$6:$CI$70,2,FALSE),"")</f>
        <v/>
      </c>
      <c r="AB2124" s="99">
        <f>IFERROR(VLOOKUP(B2124,'Pre-Summary'!$A$6:$P$178,9,FALSE),AB2125)</f>
        <v>0.33723401515240631</v>
      </c>
      <c r="AC2124" s="10">
        <f>IFERROR(VLOOKUP(Summary!B2124,'Pre-Summary'!$A$6:$P$184,5, FALSE)/100,AC2125)</f>
        <v>0.94914366666666683</v>
      </c>
      <c r="AD2124" s="10">
        <f>IFERROR(VLOOKUP(Summary!B2124,'Pre-Summary'!$A$6:$P$184,3, FALSE)/100,AD2125)</f>
        <v>3.7776666666666667E-2</v>
      </c>
      <c r="AE2124" s="10">
        <f>IFERROR(VLOOKUP(Summary!B2124,'Pre-Summary'!$A$6:$P$184,7, FALSE)/100,AE2125)</f>
        <v>1.3079999999999998E-2</v>
      </c>
      <c r="AF2124" s="99">
        <f t="shared" si="100"/>
        <v>1.2739576979074069E-2</v>
      </c>
      <c r="AG2124" s="99">
        <f t="shared" si="101"/>
        <v>4.4110209181934734E-3</v>
      </c>
      <c r="AH2124" s="10" t="str">
        <f>IFERROR(VLOOKUP(B2124,'Pre-Summary'!$AZ$6:$BE$65,3,FALSE),"")</f>
        <v/>
      </c>
      <c r="AI2124" s="10" t="str">
        <f>IFERROR(VLOOKUP(B2124,'Pre-Summary'!$AZ$6:$BE$65,5,FALSE),"")</f>
        <v/>
      </c>
      <c r="AJ2124" s="10" t="str">
        <f>IFERROR(VLOOKUP(B2124,'Pre-Summary'!$AZ$6:$BE$65,4,FALSE),"")</f>
        <v/>
      </c>
      <c r="AK2124" s="10" t="str">
        <f>IFERROR(VLOOKUP(B2124,'Pre-Summary'!$AZ$6:$BE$65,6,FALSE),"")</f>
        <v/>
      </c>
      <c r="AL2124" s="10" t="str">
        <f>IFERROR(VLOOKUP(B2124,'Pre-Summary'!$BG$6:$BL$44,3,FALSE),"")</f>
        <v/>
      </c>
      <c r="AM2124" s="10" t="str">
        <f>IFERROR(VLOOKUP(B2124,'Pre-Summary'!$BG$6:$BL$44,4,FALSE),"")</f>
        <v/>
      </c>
    </row>
    <row r="2125" spans="2:39" ht="15" customHeight="1" x14ac:dyDescent="0.3">
      <c r="B2125">
        <v>212.2</v>
      </c>
      <c r="C2125" t="str">
        <f>IFERROR(VLOOKUP(B2125,'Pre-Summary'!$DI$6:$DM$23,4,FALSE),"")</f>
        <v/>
      </c>
      <c r="D2125" s="10" t="str">
        <f>IFERROR(VLOOKUP(B2125,'Pre-Summary'!$AT$6:$AX$14,5,FALSE),D2124)</f>
        <v>Wolfe v3: went back to modified wolfe + EDTA and switched CuSO4 to CUCl2</v>
      </c>
      <c r="E2125" s="10" t="str">
        <f>IFERROR(VLOOKUP(B2125,'Pre-Summary'!$AT$6:$AX$15,4,FALSE),"")</f>
        <v/>
      </c>
      <c r="F2125">
        <f>IFERROR(VLOOKUP(B2125,'Pre-Summary'!$AL$6:$AQ$13,6,FALSE),F2124)</f>
        <v>5.9405263157894746E-2</v>
      </c>
      <c r="G2125" t="str">
        <f>IFERROR(VLOOKUP(B2125,'Pre-Summary'!$AE$6:$AJ$85,3,FALSE),"")</f>
        <v/>
      </c>
      <c r="H2125" t="str">
        <f>IFERROR(VLOOKUP(B2125,'Pre-Summary'!$AE$6:$AJ$85,4,FALSE),"")</f>
        <v/>
      </c>
      <c r="I2125" t="str">
        <f>IFERROR(VLOOKUP(B2125,'Pre-Summary'!$AE$6:$AJ$85,5,FALSE),"")</f>
        <v/>
      </c>
      <c r="J2125" s="45" t="str">
        <f>IFERROR(VLOOKUP(B2125,'Pre-Summary'!$AE$6:$AJ$85,6, FALSE),"")</f>
        <v/>
      </c>
      <c r="K2125" s="45" t="str">
        <f>IFERROR(VLOOKUP(B2125,'Pre-Summary'!$DE$6:$DG$61,3,FALSE),"")</f>
        <v/>
      </c>
      <c r="L2125" s="45" t="str">
        <f>IFERROR(VLOOKUP(B2125,'Pre-Summary'!$CU$6:$CW$36,3,FALSE),"")</f>
        <v/>
      </c>
      <c r="M2125" s="45" t="str">
        <f>IFERROR(VLOOKUP(B2125,'Pre-Summary'!$BW$6:$BY$58,2,FALSE),"")</f>
        <v/>
      </c>
      <c r="N2125" s="45" t="str">
        <f>IFERROR(VLOOKUP(B2125,'Pre-Summary'!$CD$6:$CF$64,2,FALSE),"")</f>
        <v/>
      </c>
      <c r="O2125" s="99">
        <f>IFERROR(VLOOKUP(B2125,'Pre-Summary'!$BO$6:$BQ$48,3, FALSE),O2124)</f>
        <v>1.3480000000000001</v>
      </c>
      <c r="P2125" s="99">
        <f>IFERROR(VLOOKUP(B2125,'Pre-Summary'!$BS$6:$BU$35,3,FALSE),P2124)</f>
        <v>0.379</v>
      </c>
      <c r="Q2125" s="54">
        <f t="shared" si="99"/>
        <v>3.556728232189974</v>
      </c>
      <c r="R2125" s="53">
        <f>IFERROR(VLOOKUP(B2125,'Pre-Summary'!$BG$6:$BM$44,7,FALSE),R2126)</f>
        <v>9.2946004538835364E-2</v>
      </c>
      <c r="S2125" s="53">
        <f>IFERROR(VLOOKUP(B2125,'Pre-Summary'!$BG$6:$BM$44,6,FALSE),S2126)</f>
        <v>8.3142487304634596E-2</v>
      </c>
      <c r="T2125" s="45" t="str">
        <f>IFERROR(VLOOKUP(B2125,'Pre-Summary'!$Y$6:$AC$83, 3,FALSE),"")</f>
        <v/>
      </c>
      <c r="U2125" s="45" t="str">
        <f>IFERROR(VLOOKUP(B2125,'Pre-Summary'!$Y$6:$AC$83, 4,FALSE),"")</f>
        <v/>
      </c>
      <c r="V2125" t="str">
        <f>IFERROR(VLOOKUP(B2125,'Pre-Summary'!$Y$6:$AC$83, 5,FALSE),"")</f>
        <v/>
      </c>
      <c r="W2125" s="45" t="str">
        <f>IFERROR(VLOOKUP(B2125,'Pre-Summary'!$Y$6:$AD$83,6,FALSE),"")</f>
        <v/>
      </c>
      <c r="X2125" t="str">
        <f>IFERROR(VLOOKUP('Pre-Summary'!$DB$6:$DD$63,3,FALSE),"")</f>
        <v/>
      </c>
      <c r="Y2125" t="str">
        <f>IFERROR(VLOOKUP(B2125,'Pre-Summary'!$CR$6:$CT$36,3,FALSE),"")</f>
        <v/>
      </c>
      <c r="Z2125" s="45" t="str">
        <f>IFERROR(VLOOKUP(B2125,'Pre-Summary'!$BZ$6:$CB$63,2,FALSE),"")</f>
        <v/>
      </c>
      <c r="AA2125" s="45" t="str">
        <f>IFERROR(VLOOKUP(B2125,'Pre-Summary'!$CG$6:$CI$70,2,FALSE),"")</f>
        <v/>
      </c>
      <c r="AB2125" s="99">
        <f>IFERROR(VLOOKUP(B2125,'Pre-Summary'!$A$6:$P$178,9,FALSE),AB2126)</f>
        <v>0.33723401515240631</v>
      </c>
      <c r="AC2125" s="10">
        <f>IFERROR(VLOOKUP(Summary!B2125,'Pre-Summary'!$A$6:$P$184,5, FALSE)/100,AC2126)</f>
        <v>0.94914366666666683</v>
      </c>
      <c r="AD2125" s="10">
        <f>IFERROR(VLOOKUP(Summary!B2125,'Pre-Summary'!$A$6:$P$184,3, FALSE)/100,AD2126)</f>
        <v>3.7776666666666667E-2</v>
      </c>
      <c r="AE2125" s="10">
        <f>IFERROR(VLOOKUP(Summary!B2125,'Pre-Summary'!$A$6:$P$184,7, FALSE)/100,AE2126)</f>
        <v>1.3079999999999998E-2</v>
      </c>
      <c r="AF2125" s="99">
        <f t="shared" si="100"/>
        <v>1.2739576979074069E-2</v>
      </c>
      <c r="AG2125" s="99">
        <f t="shared" si="101"/>
        <v>4.4110209181934734E-3</v>
      </c>
      <c r="AH2125" s="10" t="str">
        <f>IFERROR(VLOOKUP(B2125,'Pre-Summary'!$AZ$6:$BE$65,3,FALSE),"")</f>
        <v/>
      </c>
      <c r="AI2125" s="10" t="str">
        <f>IFERROR(VLOOKUP(B2125,'Pre-Summary'!$AZ$6:$BE$65,5,FALSE),"")</f>
        <v/>
      </c>
      <c r="AJ2125" s="10" t="str">
        <f>IFERROR(VLOOKUP(B2125,'Pre-Summary'!$AZ$6:$BE$65,4,FALSE),"")</f>
        <v/>
      </c>
      <c r="AK2125" s="10" t="str">
        <f>IFERROR(VLOOKUP(B2125,'Pre-Summary'!$AZ$6:$BE$65,6,FALSE),"")</f>
        <v/>
      </c>
      <c r="AL2125" s="10" t="str">
        <f>IFERROR(VLOOKUP(B2125,'Pre-Summary'!$BG$6:$BL$44,3,FALSE),"")</f>
        <v/>
      </c>
      <c r="AM2125" s="10" t="str">
        <f>IFERROR(VLOOKUP(B2125,'Pre-Summary'!$BG$6:$BL$44,4,FALSE),"")</f>
        <v/>
      </c>
    </row>
    <row r="2126" spans="2:39" ht="15" customHeight="1" x14ac:dyDescent="0.3">
      <c r="B2126">
        <v>212.3</v>
      </c>
      <c r="C2126" t="str">
        <f>IFERROR(VLOOKUP(B2126,'Pre-Summary'!$DI$6:$DM$23,4,FALSE),"")</f>
        <v/>
      </c>
      <c r="D2126" s="10" t="str">
        <f>IFERROR(VLOOKUP(B2126,'Pre-Summary'!$AT$6:$AX$14,5,FALSE),D2125)</f>
        <v>Wolfe v3: went back to modified wolfe + EDTA and switched CuSO4 to CUCl2</v>
      </c>
      <c r="E2126" s="10" t="str">
        <f>IFERROR(VLOOKUP(B2126,'Pre-Summary'!$AT$6:$AX$15,4,FALSE),"")</f>
        <v/>
      </c>
      <c r="F2126">
        <f>IFERROR(VLOOKUP(B2126,'Pre-Summary'!$AL$6:$AQ$13,6,FALSE),F2125)</f>
        <v>5.9405263157894746E-2</v>
      </c>
      <c r="G2126" t="str">
        <f>IFERROR(VLOOKUP(B2126,'Pre-Summary'!$AE$6:$AJ$85,3,FALSE),"")</f>
        <v/>
      </c>
      <c r="H2126" t="str">
        <f>IFERROR(VLOOKUP(B2126,'Pre-Summary'!$AE$6:$AJ$85,4,FALSE),"")</f>
        <v/>
      </c>
      <c r="I2126" t="str">
        <f>IFERROR(VLOOKUP(B2126,'Pre-Summary'!$AE$6:$AJ$85,5,FALSE),"")</f>
        <v/>
      </c>
      <c r="J2126" s="45" t="str">
        <f>IFERROR(VLOOKUP(B2126,'Pre-Summary'!$AE$6:$AJ$85,6, FALSE),"")</f>
        <v/>
      </c>
      <c r="K2126" s="45" t="str">
        <f>IFERROR(VLOOKUP(B2126,'Pre-Summary'!$DE$6:$DG$61,3,FALSE),"")</f>
        <v/>
      </c>
      <c r="L2126" s="45" t="str">
        <f>IFERROR(VLOOKUP(B2126,'Pre-Summary'!$CU$6:$CW$36,3,FALSE),"")</f>
        <v/>
      </c>
      <c r="M2126" s="45" t="str">
        <f>IFERROR(VLOOKUP(B2126,'Pre-Summary'!$BW$6:$BY$58,2,FALSE),"")</f>
        <v/>
      </c>
      <c r="N2126" s="45" t="str">
        <f>IFERROR(VLOOKUP(B2126,'Pre-Summary'!$CD$6:$CF$64,2,FALSE),"")</f>
        <v/>
      </c>
      <c r="O2126" s="99">
        <f>IFERROR(VLOOKUP(B2126,'Pre-Summary'!$BO$6:$BQ$48,3, FALSE),O2125)</f>
        <v>1.3480000000000001</v>
      </c>
      <c r="P2126" s="99">
        <f>IFERROR(VLOOKUP(B2126,'Pre-Summary'!$BS$6:$BU$35,3,FALSE),P2125)</f>
        <v>0.379</v>
      </c>
      <c r="Q2126" s="54">
        <f t="shared" si="99"/>
        <v>3.556728232189974</v>
      </c>
      <c r="R2126" s="53">
        <f>IFERROR(VLOOKUP(B2126,'Pre-Summary'!$BG$6:$BM$44,7,FALSE),R2127)</f>
        <v>9.2946004538835364E-2</v>
      </c>
      <c r="S2126" s="53">
        <f>IFERROR(VLOOKUP(B2126,'Pre-Summary'!$BG$6:$BM$44,6,FALSE),S2127)</f>
        <v>8.3142487304634596E-2</v>
      </c>
      <c r="T2126" s="45" t="str">
        <f>IFERROR(VLOOKUP(B2126,'Pre-Summary'!$Y$6:$AC$83, 3,FALSE),"")</f>
        <v/>
      </c>
      <c r="U2126" s="45" t="str">
        <f>IFERROR(VLOOKUP(B2126,'Pre-Summary'!$Y$6:$AC$83, 4,FALSE),"")</f>
        <v/>
      </c>
      <c r="V2126" t="str">
        <f>IFERROR(VLOOKUP(B2126,'Pre-Summary'!$Y$6:$AC$83, 5,FALSE),"")</f>
        <v/>
      </c>
      <c r="W2126" s="45" t="str">
        <f>IFERROR(VLOOKUP(B2126,'Pre-Summary'!$Y$6:$AD$83,6,FALSE),"")</f>
        <v/>
      </c>
      <c r="X2126" t="str">
        <f>IFERROR(VLOOKUP('Pre-Summary'!$DB$6:$DD$63,3,FALSE),"")</f>
        <v/>
      </c>
      <c r="Y2126" t="str">
        <f>IFERROR(VLOOKUP(B2126,'Pre-Summary'!$CR$6:$CT$36,3,FALSE),"")</f>
        <v/>
      </c>
      <c r="Z2126" s="45" t="str">
        <f>IFERROR(VLOOKUP(B2126,'Pre-Summary'!$BZ$6:$CB$63,2,FALSE),"")</f>
        <v/>
      </c>
      <c r="AA2126" s="45" t="str">
        <f>IFERROR(VLOOKUP(B2126,'Pre-Summary'!$CG$6:$CI$70,2,FALSE),"")</f>
        <v/>
      </c>
      <c r="AB2126" s="99">
        <f>IFERROR(VLOOKUP(B2126,'Pre-Summary'!$A$6:$P$178,9,FALSE),AB2127)</f>
        <v>0.33723401515240631</v>
      </c>
      <c r="AC2126" s="10">
        <f>IFERROR(VLOOKUP(Summary!B2126,'Pre-Summary'!$A$6:$P$184,5, FALSE)/100,AC2127)</f>
        <v>0.94914366666666683</v>
      </c>
      <c r="AD2126" s="10">
        <f>IFERROR(VLOOKUP(Summary!B2126,'Pre-Summary'!$A$6:$P$184,3, FALSE)/100,AD2127)</f>
        <v>3.7776666666666667E-2</v>
      </c>
      <c r="AE2126" s="10">
        <f>IFERROR(VLOOKUP(Summary!B2126,'Pre-Summary'!$A$6:$P$184,7, FALSE)/100,AE2127)</f>
        <v>1.3079999999999998E-2</v>
      </c>
      <c r="AF2126" s="99">
        <f t="shared" si="100"/>
        <v>1.2739576979074069E-2</v>
      </c>
      <c r="AG2126" s="99">
        <f t="shared" si="101"/>
        <v>4.4110209181934734E-3</v>
      </c>
      <c r="AH2126" s="10" t="str">
        <f>IFERROR(VLOOKUP(B2126,'Pre-Summary'!$AZ$6:$BE$65,3,FALSE),"")</f>
        <v/>
      </c>
      <c r="AI2126" s="10" t="str">
        <f>IFERROR(VLOOKUP(B2126,'Pre-Summary'!$AZ$6:$BE$65,5,FALSE),"")</f>
        <v/>
      </c>
      <c r="AJ2126" s="10" t="str">
        <f>IFERROR(VLOOKUP(B2126,'Pre-Summary'!$AZ$6:$BE$65,4,FALSE),"")</f>
        <v/>
      </c>
      <c r="AK2126" s="10" t="str">
        <f>IFERROR(VLOOKUP(B2126,'Pre-Summary'!$AZ$6:$BE$65,6,FALSE),"")</f>
        <v/>
      </c>
      <c r="AL2126" s="10" t="str">
        <f>IFERROR(VLOOKUP(B2126,'Pre-Summary'!$BG$6:$BL$44,3,FALSE),"")</f>
        <v/>
      </c>
      <c r="AM2126" s="10" t="str">
        <f>IFERROR(VLOOKUP(B2126,'Pre-Summary'!$BG$6:$BL$44,4,FALSE),"")</f>
        <v/>
      </c>
    </row>
    <row r="2127" spans="2:39" ht="15" customHeight="1" x14ac:dyDescent="0.3">
      <c r="B2127">
        <v>212.4</v>
      </c>
      <c r="C2127" t="str">
        <f>IFERROR(VLOOKUP(B2127,'Pre-Summary'!$DI$6:$DM$23,4,FALSE),"")</f>
        <v/>
      </c>
      <c r="D2127" s="10" t="str">
        <f>IFERROR(VLOOKUP(B2127,'Pre-Summary'!$AT$6:$AX$14,5,FALSE),D2126)</f>
        <v>Wolfe v3: went back to modified wolfe + EDTA and switched CuSO4 to CUCl2</v>
      </c>
      <c r="E2127" s="10" t="str">
        <f>IFERROR(VLOOKUP(B2127,'Pre-Summary'!$AT$6:$AX$15,4,FALSE),"")</f>
        <v/>
      </c>
      <c r="F2127">
        <f>IFERROR(VLOOKUP(B2127,'Pre-Summary'!$AL$6:$AQ$13,6,FALSE),F2126)</f>
        <v>5.9405263157894746E-2</v>
      </c>
      <c r="G2127" t="str">
        <f>IFERROR(VLOOKUP(B2127,'Pre-Summary'!$AE$6:$AJ$85,3,FALSE),"")</f>
        <v/>
      </c>
      <c r="H2127" t="str">
        <f>IFERROR(VLOOKUP(B2127,'Pre-Summary'!$AE$6:$AJ$85,4,FALSE),"")</f>
        <v/>
      </c>
      <c r="I2127" t="str">
        <f>IFERROR(VLOOKUP(B2127,'Pre-Summary'!$AE$6:$AJ$85,5,FALSE),"")</f>
        <v/>
      </c>
      <c r="J2127" s="45" t="str">
        <f>IFERROR(VLOOKUP(B2127,'Pre-Summary'!$AE$6:$AJ$85,6, FALSE),"")</f>
        <v/>
      </c>
      <c r="K2127" s="45" t="str">
        <f>IFERROR(VLOOKUP(B2127,'Pre-Summary'!$DE$6:$DG$61,3,FALSE),"")</f>
        <v/>
      </c>
      <c r="L2127" s="45" t="str">
        <f>IFERROR(VLOOKUP(B2127,'Pre-Summary'!$CU$6:$CW$36,3,FALSE),"")</f>
        <v/>
      </c>
      <c r="M2127" s="45" t="str">
        <f>IFERROR(VLOOKUP(B2127,'Pre-Summary'!$BW$6:$BY$58,2,FALSE),"")</f>
        <v/>
      </c>
      <c r="N2127" s="45" t="str">
        <f>IFERROR(VLOOKUP(B2127,'Pre-Summary'!$CD$6:$CF$64,2,FALSE),"")</f>
        <v/>
      </c>
      <c r="O2127" s="99">
        <f>IFERROR(VLOOKUP(B2127,'Pre-Summary'!$BO$6:$BQ$48,3, FALSE),O2126)</f>
        <v>1.3480000000000001</v>
      </c>
      <c r="P2127" s="99">
        <f>IFERROR(VLOOKUP(B2127,'Pre-Summary'!$BS$6:$BU$35,3,FALSE),P2126)</f>
        <v>0.379</v>
      </c>
      <c r="Q2127" s="54">
        <f t="shared" si="99"/>
        <v>3.556728232189974</v>
      </c>
      <c r="R2127" s="53">
        <f>IFERROR(VLOOKUP(B2127,'Pre-Summary'!$BG$6:$BM$44,7,FALSE),R2128)</f>
        <v>9.2946004538835364E-2</v>
      </c>
      <c r="S2127" s="53">
        <f>IFERROR(VLOOKUP(B2127,'Pre-Summary'!$BG$6:$BM$44,6,FALSE),S2128)</f>
        <v>8.3142487304634596E-2</v>
      </c>
      <c r="T2127" s="45" t="str">
        <f>IFERROR(VLOOKUP(B2127,'Pre-Summary'!$Y$6:$AC$83, 3,FALSE),"")</f>
        <v/>
      </c>
      <c r="U2127" s="45" t="str">
        <f>IFERROR(VLOOKUP(B2127,'Pre-Summary'!$Y$6:$AC$83, 4,FALSE),"")</f>
        <v/>
      </c>
      <c r="V2127" t="str">
        <f>IFERROR(VLOOKUP(B2127,'Pre-Summary'!$Y$6:$AC$83, 5,FALSE),"")</f>
        <v/>
      </c>
      <c r="W2127" s="45" t="str">
        <f>IFERROR(VLOOKUP(B2127,'Pre-Summary'!$Y$6:$AD$83,6,FALSE),"")</f>
        <v/>
      </c>
      <c r="X2127" t="str">
        <f>IFERROR(VLOOKUP('Pre-Summary'!$DB$6:$DD$63,3,FALSE),"")</f>
        <v/>
      </c>
      <c r="Y2127" t="str">
        <f>IFERROR(VLOOKUP(B2127,'Pre-Summary'!$CR$6:$CT$36,3,FALSE),"")</f>
        <v/>
      </c>
      <c r="Z2127" s="45" t="str">
        <f>IFERROR(VLOOKUP(B2127,'Pre-Summary'!$BZ$6:$CB$63,2,FALSE),"")</f>
        <v/>
      </c>
      <c r="AA2127" s="45" t="str">
        <f>IFERROR(VLOOKUP(B2127,'Pre-Summary'!$CG$6:$CI$70,2,FALSE),"")</f>
        <v/>
      </c>
      <c r="AB2127" s="99">
        <f>IFERROR(VLOOKUP(B2127,'Pre-Summary'!$A$6:$P$178,9,FALSE),AB2128)</f>
        <v>0.33723401515240631</v>
      </c>
      <c r="AC2127" s="10">
        <f>IFERROR(VLOOKUP(Summary!B2127,'Pre-Summary'!$A$6:$P$184,5, FALSE)/100,AC2128)</f>
        <v>0.94914366666666683</v>
      </c>
      <c r="AD2127" s="10">
        <f>IFERROR(VLOOKUP(Summary!B2127,'Pre-Summary'!$A$6:$P$184,3, FALSE)/100,AD2128)</f>
        <v>3.7776666666666667E-2</v>
      </c>
      <c r="AE2127" s="10">
        <f>IFERROR(VLOOKUP(Summary!B2127,'Pre-Summary'!$A$6:$P$184,7, FALSE)/100,AE2128)</f>
        <v>1.3079999999999998E-2</v>
      </c>
      <c r="AF2127" s="99">
        <f t="shared" si="100"/>
        <v>1.2739576979074069E-2</v>
      </c>
      <c r="AG2127" s="99">
        <f t="shared" si="101"/>
        <v>4.4110209181934734E-3</v>
      </c>
      <c r="AH2127" s="10" t="str">
        <f>IFERROR(VLOOKUP(B2127,'Pre-Summary'!$AZ$6:$BE$65,3,FALSE),"")</f>
        <v/>
      </c>
      <c r="AI2127" s="10" t="str">
        <f>IFERROR(VLOOKUP(B2127,'Pre-Summary'!$AZ$6:$BE$65,5,FALSE),"")</f>
        <v/>
      </c>
      <c r="AJ2127" s="10" t="str">
        <f>IFERROR(VLOOKUP(B2127,'Pre-Summary'!$AZ$6:$BE$65,4,FALSE),"")</f>
        <v/>
      </c>
      <c r="AK2127" s="10" t="str">
        <f>IFERROR(VLOOKUP(B2127,'Pre-Summary'!$AZ$6:$BE$65,6,FALSE),"")</f>
        <v/>
      </c>
      <c r="AL2127" s="10" t="str">
        <f>IFERROR(VLOOKUP(B2127,'Pre-Summary'!$BG$6:$BL$44,3,FALSE),"")</f>
        <v/>
      </c>
      <c r="AM2127" s="10" t="str">
        <f>IFERROR(VLOOKUP(B2127,'Pre-Summary'!$BG$6:$BL$44,4,FALSE),"")</f>
        <v/>
      </c>
    </row>
    <row r="2128" spans="2:39" ht="15" customHeight="1" x14ac:dyDescent="0.3">
      <c r="B2128">
        <v>212.5</v>
      </c>
      <c r="C2128" t="str">
        <f>IFERROR(VLOOKUP(B2128,'Pre-Summary'!$DI$6:$DM$23,4,FALSE),"")</f>
        <v/>
      </c>
      <c r="D2128" s="10" t="str">
        <f>IFERROR(VLOOKUP(B2128,'Pre-Summary'!$AT$6:$AX$14,5,FALSE),D2127)</f>
        <v>Wolfe v3: went back to modified wolfe + EDTA and switched CuSO4 to CUCl2</v>
      </c>
      <c r="E2128" s="10" t="str">
        <f>IFERROR(VLOOKUP(B2128,'Pre-Summary'!$AT$6:$AX$15,4,FALSE),"")</f>
        <v/>
      </c>
      <c r="F2128">
        <f>IFERROR(VLOOKUP(B2128,'Pre-Summary'!$AL$6:$AQ$13,6,FALSE),F2127)</f>
        <v>5.9405263157894746E-2</v>
      </c>
      <c r="G2128" t="str">
        <f>IFERROR(VLOOKUP(B2128,'Pre-Summary'!$AE$6:$AJ$85,3,FALSE),"")</f>
        <v/>
      </c>
      <c r="H2128" t="str">
        <f>IFERROR(VLOOKUP(B2128,'Pre-Summary'!$AE$6:$AJ$85,4,FALSE),"")</f>
        <v/>
      </c>
      <c r="I2128" t="str">
        <f>IFERROR(VLOOKUP(B2128,'Pre-Summary'!$AE$6:$AJ$85,5,FALSE),"")</f>
        <v/>
      </c>
      <c r="J2128" s="45" t="str">
        <f>IFERROR(VLOOKUP(B2128,'Pre-Summary'!$AE$6:$AJ$85,6, FALSE),"")</f>
        <v/>
      </c>
      <c r="K2128" s="45" t="str">
        <f>IFERROR(VLOOKUP(B2128,'Pre-Summary'!$DE$6:$DG$61,3,FALSE),"")</f>
        <v/>
      </c>
      <c r="L2128" s="45" t="str">
        <f>IFERROR(VLOOKUP(B2128,'Pre-Summary'!$CU$6:$CW$36,3,FALSE),"")</f>
        <v/>
      </c>
      <c r="M2128" s="45" t="str">
        <f>IFERROR(VLOOKUP(B2128,'Pre-Summary'!$BW$6:$BY$58,2,FALSE),"")</f>
        <v/>
      </c>
      <c r="N2128" s="45" t="str">
        <f>IFERROR(VLOOKUP(B2128,'Pre-Summary'!$CD$6:$CF$64,2,FALSE),"")</f>
        <v/>
      </c>
      <c r="O2128" s="99">
        <f>IFERROR(VLOOKUP(B2128,'Pre-Summary'!$BO$6:$BQ$48,3, FALSE),O2127)</f>
        <v>1.3480000000000001</v>
      </c>
      <c r="P2128" s="99">
        <f>IFERROR(VLOOKUP(B2128,'Pre-Summary'!$BS$6:$BU$35,3,FALSE),P2127)</f>
        <v>0.379</v>
      </c>
      <c r="Q2128" s="54">
        <f t="shared" si="99"/>
        <v>3.556728232189974</v>
      </c>
      <c r="R2128" s="53">
        <f>IFERROR(VLOOKUP(B2128,'Pre-Summary'!$BG$6:$BM$44,7,FALSE),R2129)</f>
        <v>9.2946004538835364E-2</v>
      </c>
      <c r="S2128" s="53">
        <f>IFERROR(VLOOKUP(B2128,'Pre-Summary'!$BG$6:$BM$44,6,FALSE),S2129)</f>
        <v>8.3142487304634596E-2</v>
      </c>
      <c r="T2128" s="45" t="str">
        <f>IFERROR(VLOOKUP(B2128,'Pre-Summary'!$Y$6:$AC$83, 3,FALSE),"")</f>
        <v/>
      </c>
      <c r="U2128" s="45" t="str">
        <f>IFERROR(VLOOKUP(B2128,'Pre-Summary'!$Y$6:$AC$83, 4,FALSE),"")</f>
        <v/>
      </c>
      <c r="V2128" t="str">
        <f>IFERROR(VLOOKUP(B2128,'Pre-Summary'!$Y$6:$AC$83, 5,FALSE),"")</f>
        <v/>
      </c>
      <c r="W2128" s="45" t="str">
        <f>IFERROR(VLOOKUP(B2128,'Pre-Summary'!$Y$6:$AD$83,6,FALSE),"")</f>
        <v/>
      </c>
      <c r="X2128" t="str">
        <f>IFERROR(VLOOKUP('Pre-Summary'!$DB$6:$DD$63,3,FALSE),"")</f>
        <v/>
      </c>
      <c r="Y2128" t="str">
        <f>IFERROR(VLOOKUP(B2128,'Pre-Summary'!$CR$6:$CT$36,3,FALSE),"")</f>
        <v/>
      </c>
      <c r="Z2128" s="45" t="str">
        <f>IFERROR(VLOOKUP(B2128,'Pre-Summary'!$BZ$6:$CB$63,2,FALSE),"")</f>
        <v/>
      </c>
      <c r="AA2128" s="45" t="str">
        <f>IFERROR(VLOOKUP(B2128,'Pre-Summary'!$CG$6:$CI$70,2,FALSE),"")</f>
        <v/>
      </c>
      <c r="AB2128" s="99">
        <f>IFERROR(VLOOKUP(B2128,'Pre-Summary'!$A$6:$P$178,9,FALSE),AB2129)</f>
        <v>0.33723401515240631</v>
      </c>
      <c r="AC2128" s="10">
        <f>IFERROR(VLOOKUP(Summary!B2128,'Pre-Summary'!$A$6:$P$184,5, FALSE)/100,AC2129)</f>
        <v>0.94914366666666683</v>
      </c>
      <c r="AD2128" s="10">
        <f>IFERROR(VLOOKUP(Summary!B2128,'Pre-Summary'!$A$6:$P$184,3, FALSE)/100,AD2129)</f>
        <v>3.7776666666666667E-2</v>
      </c>
      <c r="AE2128" s="10">
        <f>IFERROR(VLOOKUP(Summary!B2128,'Pre-Summary'!$A$6:$P$184,7, FALSE)/100,AE2129)</f>
        <v>1.3079999999999998E-2</v>
      </c>
      <c r="AF2128" s="99">
        <f t="shared" si="100"/>
        <v>1.2739576979074069E-2</v>
      </c>
      <c r="AG2128" s="99">
        <f t="shared" si="101"/>
        <v>4.4110209181934734E-3</v>
      </c>
      <c r="AH2128" s="10" t="str">
        <f>IFERROR(VLOOKUP(B2128,'Pre-Summary'!$AZ$6:$BE$65,3,FALSE),"")</f>
        <v/>
      </c>
      <c r="AI2128" s="10" t="str">
        <f>IFERROR(VLOOKUP(B2128,'Pre-Summary'!$AZ$6:$BE$65,5,FALSE),"")</f>
        <v/>
      </c>
      <c r="AJ2128" s="10" t="str">
        <f>IFERROR(VLOOKUP(B2128,'Pre-Summary'!$AZ$6:$BE$65,4,FALSE),"")</f>
        <v/>
      </c>
      <c r="AK2128" s="10" t="str">
        <f>IFERROR(VLOOKUP(B2128,'Pre-Summary'!$AZ$6:$BE$65,6,FALSE),"")</f>
        <v/>
      </c>
      <c r="AL2128" s="10" t="str">
        <f>IFERROR(VLOOKUP(B2128,'Pre-Summary'!$BG$6:$BL$44,3,FALSE),"")</f>
        <v/>
      </c>
      <c r="AM2128" s="10" t="str">
        <f>IFERROR(VLOOKUP(B2128,'Pre-Summary'!$BG$6:$BL$44,4,FALSE),"")</f>
        <v/>
      </c>
    </row>
    <row r="2129" spans="2:39" ht="15" customHeight="1" x14ac:dyDescent="0.3">
      <c r="B2129">
        <v>212.6</v>
      </c>
      <c r="C2129" t="str">
        <f>IFERROR(VLOOKUP(B2129,'Pre-Summary'!$DI$6:$DM$23,4,FALSE),"")</f>
        <v/>
      </c>
      <c r="D2129" s="10" t="str">
        <f>IFERROR(VLOOKUP(B2129,'Pre-Summary'!$AT$6:$AX$14,5,FALSE),D2128)</f>
        <v>Wolfe v3: went back to modified wolfe + EDTA and switched CuSO4 to CUCl2</v>
      </c>
      <c r="E2129" s="10" t="str">
        <f>IFERROR(VLOOKUP(B2129,'Pre-Summary'!$AT$6:$AX$15,4,FALSE),"")</f>
        <v/>
      </c>
      <c r="F2129">
        <f>IFERROR(VLOOKUP(B2129,'Pre-Summary'!$AL$6:$AQ$13,6,FALSE),F2128)</f>
        <v>5.9405263157894746E-2</v>
      </c>
      <c r="G2129" t="str">
        <f>IFERROR(VLOOKUP(B2129,'Pre-Summary'!$AE$6:$AJ$85,3,FALSE),"")</f>
        <v/>
      </c>
      <c r="H2129" t="str">
        <f>IFERROR(VLOOKUP(B2129,'Pre-Summary'!$AE$6:$AJ$85,4,FALSE),"")</f>
        <v/>
      </c>
      <c r="I2129" t="str">
        <f>IFERROR(VLOOKUP(B2129,'Pre-Summary'!$AE$6:$AJ$85,5,FALSE),"")</f>
        <v/>
      </c>
      <c r="J2129" s="45" t="str">
        <f>IFERROR(VLOOKUP(B2129,'Pre-Summary'!$AE$6:$AJ$85,6, FALSE),"")</f>
        <v/>
      </c>
      <c r="K2129" s="45" t="str">
        <f>IFERROR(VLOOKUP(B2129,'Pre-Summary'!$DE$6:$DG$61,3,FALSE),"")</f>
        <v/>
      </c>
      <c r="L2129" s="45" t="str">
        <f>IFERROR(VLOOKUP(B2129,'Pre-Summary'!$CU$6:$CW$36,3,FALSE),"")</f>
        <v/>
      </c>
      <c r="M2129" s="45" t="str">
        <f>IFERROR(VLOOKUP(B2129,'Pre-Summary'!$BW$6:$BY$58,2,FALSE),"")</f>
        <v/>
      </c>
      <c r="N2129" s="45" t="str">
        <f>IFERROR(VLOOKUP(B2129,'Pre-Summary'!$CD$6:$CF$64,2,FALSE),"")</f>
        <v/>
      </c>
      <c r="O2129" s="99">
        <f>IFERROR(VLOOKUP(B2129,'Pre-Summary'!$BO$6:$BQ$48,3, FALSE),O2128)</f>
        <v>1.3480000000000001</v>
      </c>
      <c r="P2129" s="99">
        <f>IFERROR(VLOOKUP(B2129,'Pre-Summary'!$BS$6:$BU$35,3,FALSE),P2128)</f>
        <v>0.379</v>
      </c>
      <c r="Q2129" s="54">
        <f t="shared" si="99"/>
        <v>3.556728232189974</v>
      </c>
      <c r="R2129" s="53">
        <f>IFERROR(VLOOKUP(B2129,'Pre-Summary'!$BG$6:$BM$44,7,FALSE),R2130)</f>
        <v>9.2946004538835364E-2</v>
      </c>
      <c r="S2129" s="53">
        <f>IFERROR(VLOOKUP(B2129,'Pre-Summary'!$BG$6:$BM$44,6,FALSE),S2130)</f>
        <v>8.3142487304634596E-2</v>
      </c>
      <c r="T2129" s="45" t="str">
        <f>IFERROR(VLOOKUP(B2129,'Pre-Summary'!$Y$6:$AC$83, 3,FALSE),"")</f>
        <v/>
      </c>
      <c r="U2129" s="45" t="str">
        <f>IFERROR(VLOOKUP(B2129,'Pre-Summary'!$Y$6:$AC$83, 4,FALSE),"")</f>
        <v/>
      </c>
      <c r="V2129" t="str">
        <f>IFERROR(VLOOKUP(B2129,'Pre-Summary'!$Y$6:$AC$83, 5,FALSE),"")</f>
        <v/>
      </c>
      <c r="W2129" s="45" t="str">
        <f>IFERROR(VLOOKUP(B2129,'Pre-Summary'!$Y$6:$AD$83,6,FALSE),"")</f>
        <v/>
      </c>
      <c r="X2129" t="str">
        <f>IFERROR(VLOOKUP('Pre-Summary'!$DB$6:$DD$63,3,FALSE),"")</f>
        <v/>
      </c>
      <c r="Y2129" t="str">
        <f>IFERROR(VLOOKUP(B2129,'Pre-Summary'!$CR$6:$CT$36,3,FALSE),"")</f>
        <v/>
      </c>
      <c r="Z2129" s="45" t="str">
        <f>IFERROR(VLOOKUP(B2129,'Pre-Summary'!$BZ$6:$CB$63,2,FALSE),"")</f>
        <v/>
      </c>
      <c r="AA2129" s="45" t="str">
        <f>IFERROR(VLOOKUP(B2129,'Pre-Summary'!$CG$6:$CI$70,2,FALSE),"")</f>
        <v/>
      </c>
      <c r="AB2129" s="99">
        <f>IFERROR(VLOOKUP(B2129,'Pre-Summary'!$A$6:$P$178,9,FALSE),AB2130)</f>
        <v>0.33723401515240631</v>
      </c>
      <c r="AC2129" s="10">
        <f>IFERROR(VLOOKUP(Summary!B2129,'Pre-Summary'!$A$6:$P$184,5, FALSE)/100,AC2130)</f>
        <v>0.94914366666666683</v>
      </c>
      <c r="AD2129" s="10">
        <f>IFERROR(VLOOKUP(Summary!B2129,'Pre-Summary'!$A$6:$P$184,3, FALSE)/100,AD2130)</f>
        <v>3.7776666666666667E-2</v>
      </c>
      <c r="AE2129" s="10">
        <f>IFERROR(VLOOKUP(Summary!B2129,'Pre-Summary'!$A$6:$P$184,7, FALSE)/100,AE2130)</f>
        <v>1.3079999999999998E-2</v>
      </c>
      <c r="AF2129" s="99">
        <f t="shared" si="100"/>
        <v>1.2739576979074069E-2</v>
      </c>
      <c r="AG2129" s="99">
        <f t="shared" si="101"/>
        <v>4.4110209181934734E-3</v>
      </c>
      <c r="AH2129" s="10" t="str">
        <f>IFERROR(VLOOKUP(B2129,'Pre-Summary'!$AZ$6:$BE$65,3,FALSE),"")</f>
        <v/>
      </c>
      <c r="AI2129" s="10" t="str">
        <f>IFERROR(VLOOKUP(B2129,'Pre-Summary'!$AZ$6:$BE$65,5,FALSE),"")</f>
        <v/>
      </c>
      <c r="AJ2129" s="10" t="str">
        <f>IFERROR(VLOOKUP(B2129,'Pre-Summary'!$AZ$6:$BE$65,4,FALSE),"")</f>
        <v/>
      </c>
      <c r="AK2129" s="10" t="str">
        <f>IFERROR(VLOOKUP(B2129,'Pre-Summary'!$AZ$6:$BE$65,6,FALSE),"")</f>
        <v/>
      </c>
      <c r="AL2129" s="10" t="str">
        <f>IFERROR(VLOOKUP(B2129,'Pre-Summary'!$BG$6:$BL$44,3,FALSE),"")</f>
        <v/>
      </c>
      <c r="AM2129" s="10" t="str">
        <f>IFERROR(VLOOKUP(B2129,'Pre-Summary'!$BG$6:$BL$44,4,FALSE),"")</f>
        <v/>
      </c>
    </row>
    <row r="2130" spans="2:39" ht="15" customHeight="1" x14ac:dyDescent="0.3">
      <c r="B2130">
        <v>212.7</v>
      </c>
      <c r="C2130" t="str">
        <f>IFERROR(VLOOKUP(B2130,'Pre-Summary'!$DI$6:$DM$23,4,FALSE),"")</f>
        <v/>
      </c>
      <c r="D2130" s="10" t="str">
        <f>IFERROR(VLOOKUP(B2130,'Pre-Summary'!$AT$6:$AX$14,5,FALSE),D2129)</f>
        <v>Wolfe v3: went back to modified wolfe + EDTA and switched CuSO4 to CUCl2</v>
      </c>
      <c r="E2130" s="10" t="str">
        <f>IFERROR(VLOOKUP(B2130,'Pre-Summary'!$AT$6:$AX$15,4,FALSE),"")</f>
        <v/>
      </c>
      <c r="F2130">
        <f>IFERROR(VLOOKUP(B2130,'Pre-Summary'!$AL$6:$AQ$13,6,FALSE),F2129)</f>
        <v>5.9405263157894746E-2</v>
      </c>
      <c r="G2130" t="str">
        <f>IFERROR(VLOOKUP(B2130,'Pre-Summary'!$AE$6:$AJ$85,3,FALSE),"")</f>
        <v/>
      </c>
      <c r="H2130" t="str">
        <f>IFERROR(VLOOKUP(B2130,'Pre-Summary'!$AE$6:$AJ$85,4,FALSE),"")</f>
        <v/>
      </c>
      <c r="I2130" t="str">
        <f>IFERROR(VLOOKUP(B2130,'Pre-Summary'!$AE$6:$AJ$85,5,FALSE),"")</f>
        <v/>
      </c>
      <c r="J2130" s="45" t="str">
        <f>IFERROR(VLOOKUP(B2130,'Pre-Summary'!$AE$6:$AJ$85,6, FALSE),"")</f>
        <v/>
      </c>
      <c r="K2130" s="45" t="str">
        <f>IFERROR(VLOOKUP(B2130,'Pre-Summary'!$DE$6:$DG$61,3,FALSE),"")</f>
        <v/>
      </c>
      <c r="L2130" s="45" t="str">
        <f>IFERROR(VLOOKUP(B2130,'Pre-Summary'!$CU$6:$CW$36,3,FALSE),"")</f>
        <v/>
      </c>
      <c r="M2130" s="45" t="str">
        <f>IFERROR(VLOOKUP(B2130,'Pre-Summary'!$BW$6:$BY$58,2,FALSE),"")</f>
        <v/>
      </c>
      <c r="N2130" s="45" t="str">
        <f>IFERROR(VLOOKUP(B2130,'Pre-Summary'!$CD$6:$CF$64,2,FALSE),"")</f>
        <v/>
      </c>
      <c r="O2130" s="99">
        <f>IFERROR(VLOOKUP(B2130,'Pre-Summary'!$BO$6:$BQ$48,3, FALSE),O2129)</f>
        <v>1.3480000000000001</v>
      </c>
      <c r="P2130" s="99">
        <f>IFERROR(VLOOKUP(B2130,'Pre-Summary'!$BS$6:$BU$35,3,FALSE),P2129)</f>
        <v>0.379</v>
      </c>
      <c r="Q2130" s="54">
        <f t="shared" si="99"/>
        <v>3.556728232189974</v>
      </c>
      <c r="R2130" s="53">
        <f>IFERROR(VLOOKUP(B2130,'Pre-Summary'!$BG$6:$BM$44,7,FALSE),R2131)</f>
        <v>9.2946004538835364E-2</v>
      </c>
      <c r="S2130" s="53">
        <f>IFERROR(VLOOKUP(B2130,'Pre-Summary'!$BG$6:$BM$44,6,FALSE),S2131)</f>
        <v>8.3142487304634596E-2</v>
      </c>
      <c r="T2130" s="45" t="str">
        <f>IFERROR(VLOOKUP(B2130,'Pre-Summary'!$Y$6:$AC$83, 3,FALSE),"")</f>
        <v/>
      </c>
      <c r="U2130" s="45" t="str">
        <f>IFERROR(VLOOKUP(B2130,'Pre-Summary'!$Y$6:$AC$83, 4,FALSE),"")</f>
        <v/>
      </c>
      <c r="V2130" t="str">
        <f>IFERROR(VLOOKUP(B2130,'Pre-Summary'!$Y$6:$AC$83, 5,FALSE),"")</f>
        <v/>
      </c>
      <c r="W2130" s="45" t="str">
        <f>IFERROR(VLOOKUP(B2130,'Pre-Summary'!$Y$6:$AD$83,6,FALSE),"")</f>
        <v/>
      </c>
      <c r="X2130" t="str">
        <f>IFERROR(VLOOKUP('Pre-Summary'!$DB$6:$DD$63,3,FALSE),"")</f>
        <v/>
      </c>
      <c r="Y2130" t="str">
        <f>IFERROR(VLOOKUP(B2130,'Pre-Summary'!$CR$6:$CT$36,3,FALSE),"")</f>
        <v/>
      </c>
      <c r="Z2130" s="45" t="str">
        <f>IFERROR(VLOOKUP(B2130,'Pre-Summary'!$BZ$6:$CB$63,2,FALSE),"")</f>
        <v/>
      </c>
      <c r="AA2130" s="45" t="str">
        <f>IFERROR(VLOOKUP(B2130,'Pre-Summary'!$CG$6:$CI$70,2,FALSE),"")</f>
        <v/>
      </c>
      <c r="AB2130" s="99">
        <f>IFERROR(VLOOKUP(B2130,'Pre-Summary'!$A$6:$P$178,9,FALSE),AB2131)</f>
        <v>0.33723401515240631</v>
      </c>
      <c r="AC2130" s="10">
        <f>IFERROR(VLOOKUP(Summary!B2130,'Pre-Summary'!$A$6:$P$184,5, FALSE)/100,AC2131)</f>
        <v>0.94914366666666683</v>
      </c>
      <c r="AD2130" s="10">
        <f>IFERROR(VLOOKUP(Summary!B2130,'Pre-Summary'!$A$6:$P$184,3, FALSE)/100,AD2131)</f>
        <v>3.7776666666666667E-2</v>
      </c>
      <c r="AE2130" s="10">
        <f>IFERROR(VLOOKUP(Summary!B2130,'Pre-Summary'!$A$6:$P$184,7, FALSE)/100,AE2131)</f>
        <v>1.3079999999999998E-2</v>
      </c>
      <c r="AF2130" s="99">
        <f t="shared" si="100"/>
        <v>1.2739576979074069E-2</v>
      </c>
      <c r="AG2130" s="99">
        <f t="shared" si="101"/>
        <v>4.4110209181934734E-3</v>
      </c>
      <c r="AH2130" s="10" t="str">
        <f>IFERROR(VLOOKUP(B2130,'Pre-Summary'!$AZ$6:$BE$65,3,FALSE),"")</f>
        <v/>
      </c>
      <c r="AI2130" s="10" t="str">
        <f>IFERROR(VLOOKUP(B2130,'Pre-Summary'!$AZ$6:$BE$65,5,FALSE),"")</f>
        <v/>
      </c>
      <c r="AJ2130" s="10" t="str">
        <f>IFERROR(VLOOKUP(B2130,'Pre-Summary'!$AZ$6:$BE$65,4,FALSE),"")</f>
        <v/>
      </c>
      <c r="AK2130" s="10" t="str">
        <f>IFERROR(VLOOKUP(B2130,'Pre-Summary'!$AZ$6:$BE$65,6,FALSE),"")</f>
        <v/>
      </c>
      <c r="AL2130" s="10" t="str">
        <f>IFERROR(VLOOKUP(B2130,'Pre-Summary'!$BG$6:$BL$44,3,FALSE),"")</f>
        <v/>
      </c>
      <c r="AM2130" s="10" t="str">
        <f>IFERROR(VLOOKUP(B2130,'Pre-Summary'!$BG$6:$BL$44,4,FALSE),"")</f>
        <v/>
      </c>
    </row>
    <row r="2131" spans="2:39" ht="15" customHeight="1" x14ac:dyDescent="0.3">
      <c r="B2131">
        <v>212.8</v>
      </c>
      <c r="C2131" t="str">
        <f>IFERROR(VLOOKUP(B2131,'Pre-Summary'!$DI$6:$DM$23,4,FALSE),"")</f>
        <v/>
      </c>
      <c r="D2131" s="10" t="str">
        <f>IFERROR(VLOOKUP(B2131,'Pre-Summary'!$AT$6:$AX$14,5,FALSE),D2130)</f>
        <v>Wolfe v3: went back to modified wolfe + EDTA and switched CuSO4 to CUCl2</v>
      </c>
      <c r="E2131" s="10" t="str">
        <f>IFERROR(VLOOKUP(B2131,'Pre-Summary'!$AT$6:$AX$15,4,FALSE),"")</f>
        <v/>
      </c>
      <c r="F2131">
        <f>IFERROR(VLOOKUP(B2131,'Pre-Summary'!$AL$6:$AQ$13,6,FALSE),F2130)</f>
        <v>5.9405263157894746E-2</v>
      </c>
      <c r="G2131" t="str">
        <f>IFERROR(VLOOKUP(B2131,'Pre-Summary'!$AE$6:$AJ$85,3,FALSE),"")</f>
        <v/>
      </c>
      <c r="H2131" t="str">
        <f>IFERROR(VLOOKUP(B2131,'Pre-Summary'!$AE$6:$AJ$85,4,FALSE),"")</f>
        <v/>
      </c>
      <c r="I2131" t="str">
        <f>IFERROR(VLOOKUP(B2131,'Pre-Summary'!$AE$6:$AJ$85,5,FALSE),"")</f>
        <v/>
      </c>
      <c r="J2131" s="45" t="str">
        <f>IFERROR(VLOOKUP(B2131,'Pre-Summary'!$AE$6:$AJ$85,6, FALSE),"")</f>
        <v/>
      </c>
      <c r="K2131" s="45" t="str">
        <f>IFERROR(VLOOKUP(B2131,'Pre-Summary'!$DE$6:$DG$61,3,FALSE),"")</f>
        <v/>
      </c>
      <c r="L2131" s="45" t="str">
        <f>IFERROR(VLOOKUP(B2131,'Pre-Summary'!$CU$6:$CW$36,3,FALSE),"")</f>
        <v/>
      </c>
      <c r="M2131" s="45" t="str">
        <f>IFERROR(VLOOKUP(B2131,'Pre-Summary'!$BW$6:$BY$58,2,FALSE),"")</f>
        <v/>
      </c>
      <c r="N2131" s="45" t="str">
        <f>IFERROR(VLOOKUP(B2131,'Pre-Summary'!$CD$6:$CF$64,2,FALSE),"")</f>
        <v/>
      </c>
      <c r="O2131" s="99">
        <f>IFERROR(VLOOKUP(B2131,'Pre-Summary'!$BO$6:$BQ$48,3, FALSE),O2130)</f>
        <v>1.3480000000000001</v>
      </c>
      <c r="P2131" s="99">
        <f>IFERROR(VLOOKUP(B2131,'Pre-Summary'!$BS$6:$BU$35,3,FALSE),P2130)</f>
        <v>0.379</v>
      </c>
      <c r="Q2131" s="54">
        <f t="shared" si="99"/>
        <v>3.556728232189974</v>
      </c>
      <c r="R2131" s="53">
        <f>IFERROR(VLOOKUP(B2131,'Pre-Summary'!$BG$6:$BM$44,7,FALSE),R2132)</f>
        <v>9.2946004538835364E-2</v>
      </c>
      <c r="S2131" s="53">
        <f>IFERROR(VLOOKUP(B2131,'Pre-Summary'!$BG$6:$BM$44,6,FALSE),S2132)</f>
        <v>8.3142487304634596E-2</v>
      </c>
      <c r="T2131" s="45" t="str">
        <f>IFERROR(VLOOKUP(B2131,'Pre-Summary'!$Y$6:$AC$83, 3,FALSE),"")</f>
        <v/>
      </c>
      <c r="U2131" s="45" t="str">
        <f>IFERROR(VLOOKUP(B2131,'Pre-Summary'!$Y$6:$AC$83, 4,FALSE),"")</f>
        <v/>
      </c>
      <c r="V2131" t="str">
        <f>IFERROR(VLOOKUP(B2131,'Pre-Summary'!$Y$6:$AC$83, 5,FALSE),"")</f>
        <v/>
      </c>
      <c r="W2131" s="45" t="str">
        <f>IFERROR(VLOOKUP(B2131,'Pre-Summary'!$Y$6:$AD$83,6,FALSE),"")</f>
        <v/>
      </c>
      <c r="X2131" t="str">
        <f>IFERROR(VLOOKUP('Pre-Summary'!$DB$6:$DD$63,3,FALSE),"")</f>
        <v/>
      </c>
      <c r="Y2131" t="str">
        <f>IFERROR(VLOOKUP(B2131,'Pre-Summary'!$CR$6:$CT$36,3,FALSE),"")</f>
        <v/>
      </c>
      <c r="Z2131" s="45" t="str">
        <f>IFERROR(VLOOKUP(B2131,'Pre-Summary'!$BZ$6:$CB$63,2,FALSE),"")</f>
        <v/>
      </c>
      <c r="AA2131" s="45" t="str">
        <f>IFERROR(VLOOKUP(B2131,'Pre-Summary'!$CG$6:$CI$70,2,FALSE),"")</f>
        <v/>
      </c>
      <c r="AB2131" s="99">
        <f>IFERROR(VLOOKUP(B2131,'Pre-Summary'!$A$6:$P$178,9,FALSE),AB2132)</f>
        <v>0.33723401515240631</v>
      </c>
      <c r="AC2131" s="10">
        <f>IFERROR(VLOOKUP(Summary!B2131,'Pre-Summary'!$A$6:$P$184,5, FALSE)/100,AC2132)</f>
        <v>0.94914366666666683</v>
      </c>
      <c r="AD2131" s="10">
        <f>IFERROR(VLOOKUP(Summary!B2131,'Pre-Summary'!$A$6:$P$184,3, FALSE)/100,AD2132)</f>
        <v>3.7776666666666667E-2</v>
      </c>
      <c r="AE2131" s="10">
        <f>IFERROR(VLOOKUP(Summary!B2131,'Pre-Summary'!$A$6:$P$184,7, FALSE)/100,AE2132)</f>
        <v>1.3079999999999998E-2</v>
      </c>
      <c r="AF2131" s="99">
        <f t="shared" si="100"/>
        <v>1.2739576979074069E-2</v>
      </c>
      <c r="AG2131" s="99">
        <f t="shared" si="101"/>
        <v>4.4110209181934734E-3</v>
      </c>
      <c r="AH2131" s="10" t="str">
        <f>IFERROR(VLOOKUP(B2131,'Pre-Summary'!$AZ$6:$BE$65,3,FALSE),"")</f>
        <v/>
      </c>
      <c r="AI2131" s="10" t="str">
        <f>IFERROR(VLOOKUP(B2131,'Pre-Summary'!$AZ$6:$BE$65,5,FALSE),"")</f>
        <v/>
      </c>
      <c r="AJ2131" s="10" t="str">
        <f>IFERROR(VLOOKUP(B2131,'Pre-Summary'!$AZ$6:$BE$65,4,FALSE),"")</f>
        <v/>
      </c>
      <c r="AK2131" s="10" t="str">
        <f>IFERROR(VLOOKUP(B2131,'Pre-Summary'!$AZ$6:$BE$65,6,FALSE),"")</f>
        <v/>
      </c>
      <c r="AL2131" s="10" t="str">
        <f>IFERROR(VLOOKUP(B2131,'Pre-Summary'!$BG$6:$BL$44,3,FALSE),"")</f>
        <v/>
      </c>
      <c r="AM2131" s="10" t="str">
        <f>IFERROR(VLOOKUP(B2131,'Pre-Summary'!$BG$6:$BL$44,4,FALSE),"")</f>
        <v/>
      </c>
    </row>
    <row r="2132" spans="2:39" ht="15" customHeight="1" x14ac:dyDescent="0.3">
      <c r="B2132">
        <v>212.9</v>
      </c>
      <c r="C2132" t="str">
        <f>IFERROR(VLOOKUP(B2132,'Pre-Summary'!$DI$6:$DM$23,4,FALSE),"")</f>
        <v/>
      </c>
      <c r="D2132" s="10" t="str">
        <f>IFERROR(VLOOKUP(B2132,'Pre-Summary'!$AT$6:$AX$14,5,FALSE),D2131)</f>
        <v>Wolfe v3: went back to modified wolfe + EDTA and switched CuSO4 to CUCl2</v>
      </c>
      <c r="E2132" s="10" t="str">
        <f>IFERROR(VLOOKUP(B2132,'Pre-Summary'!$AT$6:$AX$15,4,FALSE),"")</f>
        <v/>
      </c>
      <c r="F2132">
        <f>IFERROR(VLOOKUP(B2132,'Pre-Summary'!$AL$6:$AQ$13,6,FALSE),F2131)</f>
        <v>5.9405263157894746E-2</v>
      </c>
      <c r="G2132" t="str">
        <f>IFERROR(VLOOKUP(B2132,'Pre-Summary'!$AE$6:$AJ$85,3,FALSE),"")</f>
        <v/>
      </c>
      <c r="H2132" t="str">
        <f>IFERROR(VLOOKUP(B2132,'Pre-Summary'!$AE$6:$AJ$85,4,FALSE),"")</f>
        <v/>
      </c>
      <c r="I2132" t="str">
        <f>IFERROR(VLOOKUP(B2132,'Pre-Summary'!$AE$6:$AJ$85,5,FALSE),"")</f>
        <v/>
      </c>
      <c r="J2132" s="45" t="str">
        <f>IFERROR(VLOOKUP(B2132,'Pre-Summary'!$AE$6:$AJ$85,6, FALSE),"")</f>
        <v/>
      </c>
      <c r="K2132" s="45" t="str">
        <f>IFERROR(VLOOKUP(B2132,'Pre-Summary'!$DE$6:$DG$61,3,FALSE),"")</f>
        <v/>
      </c>
      <c r="L2132" s="45" t="str">
        <f>IFERROR(VLOOKUP(B2132,'Pre-Summary'!$CU$6:$CW$36,3,FALSE),"")</f>
        <v/>
      </c>
      <c r="M2132" s="45" t="str">
        <f>IFERROR(VLOOKUP(B2132,'Pre-Summary'!$BW$6:$BY$58,2,FALSE),"")</f>
        <v/>
      </c>
      <c r="N2132" s="45" t="str">
        <f>IFERROR(VLOOKUP(B2132,'Pre-Summary'!$CD$6:$CF$64,2,FALSE),"")</f>
        <v/>
      </c>
      <c r="O2132" s="99">
        <f>IFERROR(VLOOKUP(B2132,'Pre-Summary'!$BO$6:$BQ$48,3, FALSE),O2131)</f>
        <v>1.3480000000000001</v>
      </c>
      <c r="P2132" s="99">
        <f>IFERROR(VLOOKUP(B2132,'Pre-Summary'!$BS$6:$BU$35,3,FALSE),P2131)</f>
        <v>0.379</v>
      </c>
      <c r="Q2132" s="54">
        <f t="shared" si="99"/>
        <v>3.556728232189974</v>
      </c>
      <c r="R2132" s="53">
        <f>IFERROR(VLOOKUP(B2132,'Pre-Summary'!$BG$6:$BM$44,7,FALSE),R2133)</f>
        <v>9.2946004538835364E-2</v>
      </c>
      <c r="S2132" s="53">
        <f>IFERROR(VLOOKUP(B2132,'Pre-Summary'!$BG$6:$BM$44,6,FALSE),S2133)</f>
        <v>8.3142487304634596E-2</v>
      </c>
      <c r="T2132" s="45" t="str">
        <f>IFERROR(VLOOKUP(B2132,'Pre-Summary'!$Y$6:$AC$83, 3,FALSE),"")</f>
        <v/>
      </c>
      <c r="U2132" s="45" t="str">
        <f>IFERROR(VLOOKUP(B2132,'Pre-Summary'!$Y$6:$AC$83, 4,FALSE),"")</f>
        <v/>
      </c>
      <c r="V2132" t="str">
        <f>IFERROR(VLOOKUP(B2132,'Pre-Summary'!$Y$6:$AC$83, 5,FALSE),"")</f>
        <v/>
      </c>
      <c r="W2132" s="45" t="str">
        <f>IFERROR(VLOOKUP(B2132,'Pre-Summary'!$Y$6:$AD$83,6,FALSE),"")</f>
        <v/>
      </c>
      <c r="X2132" t="str">
        <f>IFERROR(VLOOKUP('Pre-Summary'!$DB$6:$DD$63,3,FALSE),"")</f>
        <v/>
      </c>
      <c r="Y2132" t="str">
        <f>IFERROR(VLOOKUP(B2132,'Pre-Summary'!$CR$6:$CT$36,3,FALSE),"")</f>
        <v/>
      </c>
      <c r="Z2132" s="45" t="str">
        <f>IFERROR(VLOOKUP(B2132,'Pre-Summary'!$BZ$6:$CB$63,2,FALSE),"")</f>
        <v/>
      </c>
      <c r="AA2132" s="45" t="str">
        <f>IFERROR(VLOOKUP(B2132,'Pre-Summary'!$CG$6:$CI$70,2,FALSE),"")</f>
        <v/>
      </c>
      <c r="AB2132" s="99">
        <f>IFERROR(VLOOKUP(B2132,'Pre-Summary'!$A$6:$P$178,9,FALSE),AB2133)</f>
        <v>0.33723401515240631</v>
      </c>
      <c r="AC2132" s="10">
        <f>IFERROR(VLOOKUP(Summary!B2132,'Pre-Summary'!$A$6:$P$184,5, FALSE)/100,AC2133)</f>
        <v>0.94914366666666683</v>
      </c>
      <c r="AD2132" s="10">
        <f>IFERROR(VLOOKUP(Summary!B2132,'Pre-Summary'!$A$6:$P$184,3, FALSE)/100,AD2133)</f>
        <v>3.7776666666666667E-2</v>
      </c>
      <c r="AE2132" s="10">
        <f>IFERROR(VLOOKUP(Summary!B2132,'Pre-Summary'!$A$6:$P$184,7, FALSE)/100,AE2133)</f>
        <v>1.3079999999999998E-2</v>
      </c>
      <c r="AF2132" s="99">
        <f t="shared" si="100"/>
        <v>1.2739576979074069E-2</v>
      </c>
      <c r="AG2132" s="99">
        <f t="shared" si="101"/>
        <v>4.4110209181934734E-3</v>
      </c>
      <c r="AH2132" s="10" t="str">
        <f>IFERROR(VLOOKUP(B2132,'Pre-Summary'!$AZ$6:$BE$65,3,FALSE),"")</f>
        <v/>
      </c>
      <c r="AI2132" s="10" t="str">
        <f>IFERROR(VLOOKUP(B2132,'Pre-Summary'!$AZ$6:$BE$65,5,FALSE),"")</f>
        <v/>
      </c>
      <c r="AJ2132" s="10" t="str">
        <f>IFERROR(VLOOKUP(B2132,'Pre-Summary'!$AZ$6:$BE$65,4,FALSE),"")</f>
        <v/>
      </c>
      <c r="AK2132" s="10" t="str">
        <f>IFERROR(VLOOKUP(B2132,'Pre-Summary'!$AZ$6:$BE$65,6,FALSE),"")</f>
        <v/>
      </c>
      <c r="AL2132" s="10" t="str">
        <f>IFERROR(VLOOKUP(B2132,'Pre-Summary'!$BG$6:$BL$44,3,FALSE),"")</f>
        <v/>
      </c>
      <c r="AM2132" s="10" t="str">
        <f>IFERROR(VLOOKUP(B2132,'Pre-Summary'!$BG$6:$BL$44,4,FALSE),"")</f>
        <v/>
      </c>
    </row>
    <row r="2133" spans="2:39" ht="15" customHeight="1" x14ac:dyDescent="0.3">
      <c r="B2133">
        <v>213</v>
      </c>
      <c r="C2133" t="str">
        <f>IFERROR(VLOOKUP(B2133,'Pre-Summary'!$DI$6:$DM$23,4,FALSE),"")</f>
        <v/>
      </c>
      <c r="D2133" s="10" t="str">
        <f>IFERROR(VLOOKUP(B2133,'Pre-Summary'!$AT$6:$AX$14,5,FALSE),D2132)</f>
        <v>Wolfe v3: went back to modified wolfe + EDTA and switched CuSO4 to CUCl2</v>
      </c>
      <c r="E2133" s="10" t="str">
        <f>IFERROR(VLOOKUP(B2133,'Pre-Summary'!$AT$6:$AX$15,4,FALSE),"")</f>
        <v/>
      </c>
      <c r="F2133">
        <f>IFERROR(VLOOKUP(B2133,'Pre-Summary'!$AL$6:$AQ$13,6,FALSE),F2132)</f>
        <v>5.9405263157894746E-2</v>
      </c>
      <c r="G2133" t="str">
        <f>IFERROR(VLOOKUP(B2133,'Pre-Summary'!$AE$6:$AJ$85,3,FALSE),"")</f>
        <v/>
      </c>
      <c r="H2133" t="str">
        <f>IFERROR(VLOOKUP(B2133,'Pre-Summary'!$AE$6:$AJ$85,4,FALSE),"")</f>
        <v/>
      </c>
      <c r="I2133" t="str">
        <f>IFERROR(VLOOKUP(B2133,'Pre-Summary'!$AE$6:$AJ$85,5,FALSE),"")</f>
        <v/>
      </c>
      <c r="J2133" s="45" t="str">
        <f>IFERROR(VLOOKUP(B2133,'Pre-Summary'!$AE$6:$AJ$85,6, FALSE),"")</f>
        <v/>
      </c>
      <c r="K2133" s="45" t="str">
        <f>IFERROR(VLOOKUP(B2133,'Pre-Summary'!$DE$6:$DG$61,3,FALSE),"")</f>
        <v/>
      </c>
      <c r="L2133" s="45" t="str">
        <f>IFERROR(VLOOKUP(B2133,'Pre-Summary'!$CU$6:$CW$36,3,FALSE),"")</f>
        <v/>
      </c>
      <c r="M2133" s="45" t="str">
        <f>IFERROR(VLOOKUP(B2133,'Pre-Summary'!$BW$6:$BY$58,2,FALSE),"")</f>
        <v/>
      </c>
      <c r="N2133" s="45" t="str">
        <f>IFERROR(VLOOKUP(B2133,'Pre-Summary'!$CD$6:$CF$64,2,FALSE),"")</f>
        <v/>
      </c>
      <c r="O2133" s="99">
        <f>IFERROR(VLOOKUP(B2133,'Pre-Summary'!$BO$6:$BQ$48,3, FALSE),O2132)</f>
        <v>1.3480000000000001</v>
      </c>
      <c r="P2133" s="99">
        <f>IFERROR(VLOOKUP(B2133,'Pre-Summary'!$BS$6:$BU$35,3,FALSE),P2132)</f>
        <v>0.379</v>
      </c>
      <c r="Q2133" s="54">
        <f t="shared" si="99"/>
        <v>3.556728232189974</v>
      </c>
      <c r="R2133" s="53">
        <f>IFERROR(VLOOKUP(B2133,'Pre-Summary'!$BG$6:$BM$44,7,FALSE),R2134)</f>
        <v>9.2946004538835364E-2</v>
      </c>
      <c r="S2133" s="53">
        <f>IFERROR(VLOOKUP(B2133,'Pre-Summary'!$BG$6:$BM$44,6,FALSE),S2134)</f>
        <v>8.3142487304634596E-2</v>
      </c>
      <c r="T2133" s="45" t="str">
        <f>IFERROR(VLOOKUP(B2133,'Pre-Summary'!$Y$6:$AC$83, 3,FALSE),"")</f>
        <v/>
      </c>
      <c r="U2133" s="45" t="str">
        <f>IFERROR(VLOOKUP(B2133,'Pre-Summary'!$Y$6:$AC$83, 4,FALSE),"")</f>
        <v/>
      </c>
      <c r="V2133" t="str">
        <f>IFERROR(VLOOKUP(B2133,'Pre-Summary'!$Y$6:$AC$83, 5,FALSE),"")</f>
        <v/>
      </c>
      <c r="W2133" s="45" t="str">
        <f>IFERROR(VLOOKUP(B2133,'Pre-Summary'!$Y$6:$AD$83,6,FALSE),"")</f>
        <v/>
      </c>
      <c r="X2133" t="str">
        <f>IFERROR(VLOOKUP('Pre-Summary'!$DB$6:$DD$63,3,FALSE),"")</f>
        <v/>
      </c>
      <c r="Y2133" t="str">
        <f>IFERROR(VLOOKUP(B2133,'Pre-Summary'!$CR$6:$CT$36,3,FALSE),"")</f>
        <v/>
      </c>
      <c r="Z2133" s="45" t="str">
        <f>IFERROR(VLOOKUP(B2133,'Pre-Summary'!$BZ$6:$CB$63,2,FALSE),"")</f>
        <v/>
      </c>
      <c r="AA2133" s="45" t="str">
        <f>IFERROR(VLOOKUP(B2133,'Pre-Summary'!$CG$6:$CI$70,2,FALSE),"")</f>
        <v/>
      </c>
      <c r="AB2133" s="99">
        <f>IFERROR(VLOOKUP(B2133,'Pre-Summary'!$A$6:$P$178,9,FALSE),AB2134)</f>
        <v>0.35331798165166045</v>
      </c>
      <c r="AC2133" s="10">
        <f>IFERROR(VLOOKUP(Summary!B2133,'Pre-Summary'!$A$6:$P$184,5, FALSE)/100,AC2134)</f>
        <v>0.95479400000000003</v>
      </c>
      <c r="AD2133" s="10">
        <f>IFERROR(VLOOKUP(Summary!B2133,'Pre-Summary'!$A$6:$P$184,3, FALSE)/100,AD2134)</f>
        <v>3.6379333333333333E-2</v>
      </c>
      <c r="AE2133" s="10">
        <f>IFERROR(VLOOKUP(Summary!B2133,'Pre-Summary'!$A$6:$P$184,7, FALSE)/100,AE2134)</f>
        <v>8.8266666666666667E-3</v>
      </c>
      <c r="AF2133" s="99">
        <f t="shared" si="100"/>
        <v>1.2853472627166306E-2</v>
      </c>
      <c r="AG2133" s="99">
        <f t="shared" si="101"/>
        <v>3.1186200513786564E-3</v>
      </c>
      <c r="AH2133" s="10" t="str">
        <f>IFERROR(VLOOKUP(B2133,'Pre-Summary'!$AZ$6:$BE$65,3,FALSE),"")</f>
        <v/>
      </c>
      <c r="AI2133" s="10" t="str">
        <f>IFERROR(VLOOKUP(B2133,'Pre-Summary'!$AZ$6:$BE$65,5,FALSE),"")</f>
        <v/>
      </c>
      <c r="AJ2133" s="10" t="str">
        <f>IFERROR(VLOOKUP(B2133,'Pre-Summary'!$AZ$6:$BE$65,4,FALSE),"")</f>
        <v/>
      </c>
      <c r="AK2133" s="10" t="str">
        <f>IFERROR(VLOOKUP(B2133,'Pre-Summary'!$AZ$6:$BE$65,6,FALSE),"")</f>
        <v/>
      </c>
      <c r="AL2133" s="10" t="str">
        <f>IFERROR(VLOOKUP(B2133,'Pre-Summary'!$BG$6:$BL$44,3,FALSE),"")</f>
        <v/>
      </c>
      <c r="AM2133" s="10" t="str">
        <f>IFERROR(VLOOKUP(B2133,'Pre-Summary'!$BG$6:$BL$44,4,FALSE),"")</f>
        <v/>
      </c>
    </row>
    <row r="2134" spans="2:39" ht="15" customHeight="1" x14ac:dyDescent="0.3">
      <c r="B2134">
        <v>213.1</v>
      </c>
      <c r="C2134" t="str">
        <f>IFERROR(VLOOKUP(B2134,'Pre-Summary'!$DI$6:$DM$23,4,FALSE),"")</f>
        <v/>
      </c>
      <c r="D2134" s="10" t="str">
        <f>IFERROR(VLOOKUP(B2134,'Pre-Summary'!$AT$6:$AX$14,5,FALSE),D2133)</f>
        <v>Wolfe v3: went back to modified wolfe + EDTA and switched CuSO4 to CUCl2</v>
      </c>
      <c r="E2134" s="10" t="str">
        <f>IFERROR(VLOOKUP(B2134,'Pre-Summary'!$AT$6:$AX$15,4,FALSE),"")</f>
        <v/>
      </c>
      <c r="F2134">
        <f>IFERROR(VLOOKUP(B2134,'Pre-Summary'!$AL$6:$AQ$13,6,FALSE),F2133)</f>
        <v>5.9405263157894746E-2</v>
      </c>
      <c r="G2134" t="str">
        <f>IFERROR(VLOOKUP(B2134,'Pre-Summary'!$AE$6:$AJ$85,3,FALSE),"")</f>
        <v/>
      </c>
      <c r="H2134" t="str">
        <f>IFERROR(VLOOKUP(B2134,'Pre-Summary'!$AE$6:$AJ$85,4,FALSE),"")</f>
        <v/>
      </c>
      <c r="I2134" t="str">
        <f>IFERROR(VLOOKUP(B2134,'Pre-Summary'!$AE$6:$AJ$85,5,FALSE),"")</f>
        <v/>
      </c>
      <c r="J2134" s="45" t="str">
        <f>IFERROR(VLOOKUP(B2134,'Pre-Summary'!$AE$6:$AJ$85,6, FALSE),"")</f>
        <v/>
      </c>
      <c r="K2134" s="45" t="str">
        <f>IFERROR(VLOOKUP(B2134,'Pre-Summary'!$DE$6:$DG$61,3,FALSE),"")</f>
        <v/>
      </c>
      <c r="L2134" s="45" t="str">
        <f>IFERROR(VLOOKUP(B2134,'Pre-Summary'!$CU$6:$CW$36,3,FALSE),"")</f>
        <v/>
      </c>
      <c r="M2134" s="45" t="str">
        <f>IFERROR(VLOOKUP(B2134,'Pre-Summary'!$BW$6:$BY$58,2,FALSE),"")</f>
        <v/>
      </c>
      <c r="N2134" s="45" t="str">
        <f>IFERROR(VLOOKUP(B2134,'Pre-Summary'!$CD$6:$CF$64,2,FALSE),"")</f>
        <v/>
      </c>
      <c r="O2134" s="99">
        <f>IFERROR(VLOOKUP(B2134,'Pre-Summary'!$BO$6:$BQ$48,3, FALSE),O2133)</f>
        <v>1.3480000000000001</v>
      </c>
      <c r="P2134" s="99">
        <f>IFERROR(VLOOKUP(B2134,'Pre-Summary'!$BS$6:$BU$35,3,FALSE),P2133)</f>
        <v>0.379</v>
      </c>
      <c r="Q2134" s="54">
        <f t="shared" si="99"/>
        <v>3.556728232189974</v>
      </c>
      <c r="R2134" s="53">
        <f>IFERROR(VLOOKUP(B2134,'Pre-Summary'!$BG$6:$BM$44,7,FALSE),R2135)</f>
        <v>9.2946004538835364E-2</v>
      </c>
      <c r="S2134" s="53">
        <f>IFERROR(VLOOKUP(B2134,'Pre-Summary'!$BG$6:$BM$44,6,FALSE),S2135)</f>
        <v>8.3142487304634596E-2</v>
      </c>
      <c r="T2134" s="45" t="str">
        <f>IFERROR(VLOOKUP(B2134,'Pre-Summary'!$Y$6:$AC$83, 3,FALSE),"")</f>
        <v/>
      </c>
      <c r="U2134" s="45" t="str">
        <f>IFERROR(VLOOKUP(B2134,'Pre-Summary'!$Y$6:$AC$83, 4,FALSE),"")</f>
        <v/>
      </c>
      <c r="V2134" t="str">
        <f>IFERROR(VLOOKUP(B2134,'Pre-Summary'!$Y$6:$AC$83, 5,FALSE),"")</f>
        <v/>
      </c>
      <c r="W2134" s="45" t="str">
        <f>IFERROR(VLOOKUP(B2134,'Pre-Summary'!$Y$6:$AD$83,6,FALSE),"")</f>
        <v/>
      </c>
      <c r="X2134" t="str">
        <f>IFERROR(VLOOKUP('Pre-Summary'!$DB$6:$DD$63,3,FALSE),"")</f>
        <v/>
      </c>
      <c r="Y2134" t="str">
        <f>IFERROR(VLOOKUP(B2134,'Pre-Summary'!$CR$6:$CT$36,3,FALSE),"")</f>
        <v/>
      </c>
      <c r="Z2134" s="45" t="str">
        <f>IFERROR(VLOOKUP(B2134,'Pre-Summary'!$BZ$6:$CB$63,2,FALSE),"")</f>
        <v/>
      </c>
      <c r="AA2134" s="45" t="str">
        <f>IFERROR(VLOOKUP(B2134,'Pre-Summary'!$CG$6:$CI$70,2,FALSE),"")</f>
        <v/>
      </c>
      <c r="AB2134" s="99">
        <f>IFERROR(VLOOKUP(B2134,'Pre-Summary'!$A$6:$P$178,9,FALSE),AB2135)</f>
        <v>0.35331798165166045</v>
      </c>
      <c r="AC2134" s="10">
        <f>IFERROR(VLOOKUP(Summary!B2134,'Pre-Summary'!$A$6:$P$184,5, FALSE)/100,AC2135)</f>
        <v>0.95479400000000003</v>
      </c>
      <c r="AD2134" s="10">
        <f>IFERROR(VLOOKUP(Summary!B2134,'Pre-Summary'!$A$6:$P$184,3, FALSE)/100,AD2135)</f>
        <v>3.6379333333333333E-2</v>
      </c>
      <c r="AE2134" s="10">
        <f>IFERROR(VLOOKUP(Summary!B2134,'Pre-Summary'!$A$6:$P$184,7, FALSE)/100,AE2135)</f>
        <v>8.8266666666666667E-3</v>
      </c>
      <c r="AF2134" s="99">
        <f t="shared" si="100"/>
        <v>1.2853472627166306E-2</v>
      </c>
      <c r="AG2134" s="99">
        <f t="shared" si="101"/>
        <v>3.1186200513786564E-3</v>
      </c>
      <c r="AH2134" s="10" t="str">
        <f>IFERROR(VLOOKUP(B2134,'Pre-Summary'!$AZ$6:$BE$65,3,FALSE),"")</f>
        <v/>
      </c>
      <c r="AI2134" s="10" t="str">
        <f>IFERROR(VLOOKUP(B2134,'Pre-Summary'!$AZ$6:$BE$65,5,FALSE),"")</f>
        <v/>
      </c>
      <c r="AJ2134" s="10" t="str">
        <f>IFERROR(VLOOKUP(B2134,'Pre-Summary'!$AZ$6:$BE$65,4,FALSE),"")</f>
        <v/>
      </c>
      <c r="AK2134" s="10" t="str">
        <f>IFERROR(VLOOKUP(B2134,'Pre-Summary'!$AZ$6:$BE$65,6,FALSE),"")</f>
        <v/>
      </c>
      <c r="AL2134" s="10" t="str">
        <f>IFERROR(VLOOKUP(B2134,'Pre-Summary'!$BG$6:$BL$44,3,FALSE),"")</f>
        <v/>
      </c>
      <c r="AM2134" s="10" t="str">
        <f>IFERROR(VLOOKUP(B2134,'Pre-Summary'!$BG$6:$BL$44,4,FALSE),"")</f>
        <v/>
      </c>
    </row>
    <row r="2135" spans="2:39" ht="15" customHeight="1" x14ac:dyDescent="0.3">
      <c r="B2135">
        <v>213.2</v>
      </c>
      <c r="C2135" t="str">
        <f>IFERROR(VLOOKUP(B2135,'Pre-Summary'!$DI$6:$DM$23,4,FALSE),"")</f>
        <v/>
      </c>
      <c r="D2135" s="10" t="str">
        <f>IFERROR(VLOOKUP(B2135,'Pre-Summary'!$AT$6:$AX$14,5,FALSE),D2134)</f>
        <v>Wolfe v3: went back to modified wolfe + EDTA and switched CuSO4 to CUCl2</v>
      </c>
      <c r="E2135" s="10" t="str">
        <f>IFERROR(VLOOKUP(B2135,'Pre-Summary'!$AT$6:$AX$15,4,FALSE),"")</f>
        <v/>
      </c>
      <c r="F2135">
        <f>IFERROR(VLOOKUP(B2135,'Pre-Summary'!$AL$6:$AQ$13,6,FALSE),F2134)</f>
        <v>5.9405263157894746E-2</v>
      </c>
      <c r="G2135" t="str">
        <f>IFERROR(VLOOKUP(B2135,'Pre-Summary'!$AE$6:$AJ$85,3,FALSE),"")</f>
        <v/>
      </c>
      <c r="H2135" t="str">
        <f>IFERROR(VLOOKUP(B2135,'Pre-Summary'!$AE$6:$AJ$85,4,FALSE),"")</f>
        <v/>
      </c>
      <c r="I2135" t="str">
        <f>IFERROR(VLOOKUP(B2135,'Pre-Summary'!$AE$6:$AJ$85,5,FALSE),"")</f>
        <v/>
      </c>
      <c r="J2135" s="45" t="str">
        <f>IFERROR(VLOOKUP(B2135,'Pre-Summary'!$AE$6:$AJ$85,6, FALSE),"")</f>
        <v/>
      </c>
      <c r="K2135" s="45" t="str">
        <f>IFERROR(VLOOKUP(B2135,'Pre-Summary'!$DE$6:$DG$61,3,FALSE),"")</f>
        <v/>
      </c>
      <c r="L2135" s="45" t="str">
        <f>IFERROR(VLOOKUP(B2135,'Pre-Summary'!$CU$6:$CW$36,3,FALSE),"")</f>
        <v/>
      </c>
      <c r="M2135" s="45" t="str">
        <f>IFERROR(VLOOKUP(B2135,'Pre-Summary'!$BW$6:$BY$58,2,FALSE),"")</f>
        <v/>
      </c>
      <c r="N2135" s="45" t="str">
        <f>IFERROR(VLOOKUP(B2135,'Pre-Summary'!$CD$6:$CF$64,2,FALSE),"")</f>
        <v/>
      </c>
      <c r="O2135" s="99">
        <f>IFERROR(VLOOKUP(B2135,'Pre-Summary'!$BO$6:$BQ$48,3, FALSE),O2134)</f>
        <v>1.3480000000000001</v>
      </c>
      <c r="P2135" s="99">
        <f>IFERROR(VLOOKUP(B2135,'Pre-Summary'!$BS$6:$BU$35,3,FALSE),P2134)</f>
        <v>0.379</v>
      </c>
      <c r="Q2135" s="54">
        <f t="shared" si="99"/>
        <v>3.556728232189974</v>
      </c>
      <c r="R2135" s="53">
        <f>IFERROR(VLOOKUP(B2135,'Pre-Summary'!$BG$6:$BM$44,7,FALSE),R2136)</f>
        <v>9.2946004538835364E-2</v>
      </c>
      <c r="S2135" s="53">
        <f>IFERROR(VLOOKUP(B2135,'Pre-Summary'!$BG$6:$BM$44,6,FALSE),S2136)</f>
        <v>8.3142487304634596E-2</v>
      </c>
      <c r="T2135" s="45" t="str">
        <f>IFERROR(VLOOKUP(B2135,'Pre-Summary'!$Y$6:$AC$83, 3,FALSE),"")</f>
        <v/>
      </c>
      <c r="U2135" s="45" t="str">
        <f>IFERROR(VLOOKUP(B2135,'Pre-Summary'!$Y$6:$AC$83, 4,FALSE),"")</f>
        <v/>
      </c>
      <c r="V2135" t="str">
        <f>IFERROR(VLOOKUP(B2135,'Pre-Summary'!$Y$6:$AC$83, 5,FALSE),"")</f>
        <v/>
      </c>
      <c r="W2135" s="45" t="str">
        <f>IFERROR(VLOOKUP(B2135,'Pre-Summary'!$Y$6:$AD$83,6,FALSE),"")</f>
        <v/>
      </c>
      <c r="X2135" t="str">
        <f>IFERROR(VLOOKUP('Pre-Summary'!$DB$6:$DD$63,3,FALSE),"")</f>
        <v/>
      </c>
      <c r="Y2135" t="str">
        <f>IFERROR(VLOOKUP(B2135,'Pre-Summary'!$CR$6:$CT$36,3,FALSE),"")</f>
        <v/>
      </c>
      <c r="Z2135" s="45" t="str">
        <f>IFERROR(VLOOKUP(B2135,'Pre-Summary'!$BZ$6:$CB$63,2,FALSE),"")</f>
        <v/>
      </c>
      <c r="AA2135" s="45" t="str">
        <f>IFERROR(VLOOKUP(B2135,'Pre-Summary'!$CG$6:$CI$70,2,FALSE),"")</f>
        <v/>
      </c>
      <c r="AB2135" s="99">
        <f>IFERROR(VLOOKUP(B2135,'Pre-Summary'!$A$6:$P$178,9,FALSE),AB2136)</f>
        <v>0.35331798165166045</v>
      </c>
      <c r="AC2135" s="10">
        <f>IFERROR(VLOOKUP(Summary!B2135,'Pre-Summary'!$A$6:$P$184,5, FALSE)/100,AC2136)</f>
        <v>0.95479400000000003</v>
      </c>
      <c r="AD2135" s="10">
        <f>IFERROR(VLOOKUP(Summary!B2135,'Pre-Summary'!$A$6:$P$184,3, FALSE)/100,AD2136)</f>
        <v>3.6379333333333333E-2</v>
      </c>
      <c r="AE2135" s="10">
        <f>IFERROR(VLOOKUP(Summary!B2135,'Pre-Summary'!$A$6:$P$184,7, FALSE)/100,AE2136)</f>
        <v>8.8266666666666667E-3</v>
      </c>
      <c r="AF2135" s="99">
        <f t="shared" si="100"/>
        <v>1.2853472627166306E-2</v>
      </c>
      <c r="AG2135" s="99">
        <f t="shared" si="101"/>
        <v>3.1186200513786564E-3</v>
      </c>
      <c r="AH2135" s="10" t="str">
        <f>IFERROR(VLOOKUP(B2135,'Pre-Summary'!$AZ$6:$BE$65,3,FALSE),"")</f>
        <v/>
      </c>
      <c r="AI2135" s="10" t="str">
        <f>IFERROR(VLOOKUP(B2135,'Pre-Summary'!$AZ$6:$BE$65,5,FALSE),"")</f>
        <v/>
      </c>
      <c r="AJ2135" s="10" t="str">
        <f>IFERROR(VLOOKUP(B2135,'Pre-Summary'!$AZ$6:$BE$65,4,FALSE),"")</f>
        <v/>
      </c>
      <c r="AK2135" s="10" t="str">
        <f>IFERROR(VLOOKUP(B2135,'Pre-Summary'!$AZ$6:$BE$65,6,FALSE),"")</f>
        <v/>
      </c>
      <c r="AL2135" s="10" t="str">
        <f>IFERROR(VLOOKUP(B2135,'Pre-Summary'!$BG$6:$BL$44,3,FALSE),"")</f>
        <v/>
      </c>
      <c r="AM2135" s="10" t="str">
        <f>IFERROR(VLOOKUP(B2135,'Pre-Summary'!$BG$6:$BL$44,4,FALSE),"")</f>
        <v/>
      </c>
    </row>
    <row r="2136" spans="2:39" ht="15" customHeight="1" x14ac:dyDescent="0.3">
      <c r="B2136">
        <v>213.3</v>
      </c>
      <c r="C2136" t="str">
        <f>IFERROR(VLOOKUP(B2136,'Pre-Summary'!$DI$6:$DM$23,4,FALSE),"")</f>
        <v/>
      </c>
      <c r="D2136" s="10" t="str">
        <f>IFERROR(VLOOKUP(B2136,'Pre-Summary'!$AT$6:$AX$14,5,FALSE),D2135)</f>
        <v>Wolfe v3: went back to modified wolfe + EDTA and switched CuSO4 to CUCl2</v>
      </c>
      <c r="E2136" s="10" t="str">
        <f>IFERROR(VLOOKUP(B2136,'Pre-Summary'!$AT$6:$AX$15,4,FALSE),"")</f>
        <v/>
      </c>
      <c r="F2136">
        <f>IFERROR(VLOOKUP(B2136,'Pre-Summary'!$AL$6:$AQ$13,6,FALSE),F2135)</f>
        <v>5.9405263157894746E-2</v>
      </c>
      <c r="G2136" t="str">
        <f>IFERROR(VLOOKUP(B2136,'Pre-Summary'!$AE$6:$AJ$85,3,FALSE),"")</f>
        <v/>
      </c>
      <c r="H2136" t="str">
        <f>IFERROR(VLOOKUP(B2136,'Pre-Summary'!$AE$6:$AJ$85,4,FALSE),"")</f>
        <v/>
      </c>
      <c r="I2136" t="str">
        <f>IFERROR(VLOOKUP(B2136,'Pre-Summary'!$AE$6:$AJ$85,5,FALSE),"")</f>
        <v/>
      </c>
      <c r="J2136" s="45" t="str">
        <f>IFERROR(VLOOKUP(B2136,'Pre-Summary'!$AE$6:$AJ$85,6, FALSE),"")</f>
        <v/>
      </c>
      <c r="K2136" s="45" t="str">
        <f>IFERROR(VLOOKUP(B2136,'Pre-Summary'!$DE$6:$DG$61,3,FALSE),"")</f>
        <v/>
      </c>
      <c r="L2136" s="45" t="str">
        <f>IFERROR(VLOOKUP(B2136,'Pre-Summary'!$CU$6:$CW$36,3,FALSE),"")</f>
        <v/>
      </c>
      <c r="M2136" s="45" t="str">
        <f>IFERROR(VLOOKUP(B2136,'Pre-Summary'!$BW$6:$BY$58,2,FALSE),"")</f>
        <v/>
      </c>
      <c r="N2136" s="45" t="str">
        <f>IFERROR(VLOOKUP(B2136,'Pre-Summary'!$CD$6:$CF$64,2,FALSE),"")</f>
        <v/>
      </c>
      <c r="O2136" s="99">
        <f>IFERROR(VLOOKUP(B2136,'Pre-Summary'!$BO$6:$BQ$48,3, FALSE),O2135)</f>
        <v>1.3480000000000001</v>
      </c>
      <c r="P2136" s="99">
        <f>IFERROR(VLOOKUP(B2136,'Pre-Summary'!$BS$6:$BU$35,3,FALSE),P2135)</f>
        <v>0.379</v>
      </c>
      <c r="Q2136" s="54">
        <f t="shared" si="99"/>
        <v>3.556728232189974</v>
      </c>
      <c r="R2136" s="53">
        <f>IFERROR(VLOOKUP(B2136,'Pre-Summary'!$BG$6:$BM$44,7,FALSE),R2137)</f>
        <v>9.2946004538835364E-2</v>
      </c>
      <c r="S2136" s="53">
        <f>IFERROR(VLOOKUP(B2136,'Pre-Summary'!$BG$6:$BM$44,6,FALSE),S2137)</f>
        <v>8.3142487304634596E-2</v>
      </c>
      <c r="T2136" s="45" t="str">
        <f>IFERROR(VLOOKUP(B2136,'Pre-Summary'!$Y$6:$AC$83, 3,FALSE),"")</f>
        <v/>
      </c>
      <c r="U2136" s="45" t="str">
        <f>IFERROR(VLOOKUP(B2136,'Pre-Summary'!$Y$6:$AC$83, 4,FALSE),"")</f>
        <v/>
      </c>
      <c r="V2136" t="str">
        <f>IFERROR(VLOOKUP(B2136,'Pre-Summary'!$Y$6:$AC$83, 5,FALSE),"")</f>
        <v/>
      </c>
      <c r="W2136" s="45" t="str">
        <f>IFERROR(VLOOKUP(B2136,'Pre-Summary'!$Y$6:$AD$83,6,FALSE),"")</f>
        <v/>
      </c>
      <c r="X2136" t="str">
        <f>IFERROR(VLOOKUP('Pre-Summary'!$DB$6:$DD$63,3,FALSE),"")</f>
        <v/>
      </c>
      <c r="Y2136" t="str">
        <f>IFERROR(VLOOKUP(B2136,'Pre-Summary'!$CR$6:$CT$36,3,FALSE),"")</f>
        <v/>
      </c>
      <c r="Z2136" s="45" t="str">
        <f>IFERROR(VLOOKUP(B2136,'Pre-Summary'!$BZ$6:$CB$63,2,FALSE),"")</f>
        <v/>
      </c>
      <c r="AA2136" s="45" t="str">
        <f>IFERROR(VLOOKUP(B2136,'Pre-Summary'!$CG$6:$CI$70,2,FALSE),"")</f>
        <v/>
      </c>
      <c r="AB2136" s="99">
        <f>IFERROR(VLOOKUP(B2136,'Pre-Summary'!$A$6:$P$178,9,FALSE),AB2137)</f>
        <v>0.35331798165166045</v>
      </c>
      <c r="AC2136" s="10">
        <f>IFERROR(VLOOKUP(Summary!B2136,'Pre-Summary'!$A$6:$P$184,5, FALSE)/100,AC2137)</f>
        <v>0.95479400000000003</v>
      </c>
      <c r="AD2136" s="10">
        <f>IFERROR(VLOOKUP(Summary!B2136,'Pre-Summary'!$A$6:$P$184,3, FALSE)/100,AD2137)</f>
        <v>3.6379333333333333E-2</v>
      </c>
      <c r="AE2136" s="10">
        <f>IFERROR(VLOOKUP(Summary!B2136,'Pre-Summary'!$A$6:$P$184,7, FALSE)/100,AE2137)</f>
        <v>8.8266666666666667E-3</v>
      </c>
      <c r="AF2136" s="99">
        <f t="shared" si="100"/>
        <v>1.2853472627166306E-2</v>
      </c>
      <c r="AG2136" s="99">
        <f t="shared" si="101"/>
        <v>3.1186200513786564E-3</v>
      </c>
      <c r="AH2136" s="10" t="str">
        <f>IFERROR(VLOOKUP(B2136,'Pre-Summary'!$AZ$6:$BE$65,3,FALSE),"")</f>
        <v/>
      </c>
      <c r="AI2136" s="10" t="str">
        <f>IFERROR(VLOOKUP(B2136,'Pre-Summary'!$AZ$6:$BE$65,5,FALSE),"")</f>
        <v/>
      </c>
      <c r="AJ2136" s="10" t="str">
        <f>IFERROR(VLOOKUP(B2136,'Pre-Summary'!$AZ$6:$BE$65,4,FALSE),"")</f>
        <v/>
      </c>
      <c r="AK2136" s="10" t="str">
        <f>IFERROR(VLOOKUP(B2136,'Pre-Summary'!$AZ$6:$BE$65,6,FALSE),"")</f>
        <v/>
      </c>
      <c r="AL2136" s="10" t="str">
        <f>IFERROR(VLOOKUP(B2136,'Pre-Summary'!$BG$6:$BL$44,3,FALSE),"")</f>
        <v/>
      </c>
      <c r="AM2136" s="10" t="str">
        <f>IFERROR(VLOOKUP(B2136,'Pre-Summary'!$BG$6:$BL$44,4,FALSE),"")</f>
        <v/>
      </c>
    </row>
    <row r="2137" spans="2:39" ht="15" customHeight="1" x14ac:dyDescent="0.3">
      <c r="B2137">
        <v>213.4</v>
      </c>
      <c r="C2137" t="str">
        <f>IFERROR(VLOOKUP(B2137,'Pre-Summary'!$DI$6:$DM$23,4,FALSE),"")</f>
        <v/>
      </c>
      <c r="D2137" s="10" t="str">
        <f>IFERROR(VLOOKUP(B2137,'Pre-Summary'!$AT$6:$AX$14,5,FALSE),D2136)</f>
        <v>Wolfe v3: went back to modified wolfe + EDTA and switched CuSO4 to CUCl2</v>
      </c>
      <c r="E2137" s="10" t="str">
        <f>IFERROR(VLOOKUP(B2137,'Pre-Summary'!$AT$6:$AX$15,4,FALSE),"")</f>
        <v/>
      </c>
      <c r="F2137">
        <f>IFERROR(VLOOKUP(B2137,'Pre-Summary'!$AL$6:$AQ$13,6,FALSE),F2136)</f>
        <v>5.9405263157894746E-2</v>
      </c>
      <c r="G2137" t="str">
        <f>IFERROR(VLOOKUP(B2137,'Pre-Summary'!$AE$6:$AJ$85,3,FALSE),"")</f>
        <v/>
      </c>
      <c r="H2137" t="str">
        <f>IFERROR(VLOOKUP(B2137,'Pre-Summary'!$AE$6:$AJ$85,4,FALSE),"")</f>
        <v/>
      </c>
      <c r="I2137" t="str">
        <f>IFERROR(VLOOKUP(B2137,'Pre-Summary'!$AE$6:$AJ$85,5,FALSE),"")</f>
        <v/>
      </c>
      <c r="J2137" s="45" t="str">
        <f>IFERROR(VLOOKUP(B2137,'Pre-Summary'!$AE$6:$AJ$85,6, FALSE),"")</f>
        <v/>
      </c>
      <c r="K2137" s="45" t="str">
        <f>IFERROR(VLOOKUP(B2137,'Pre-Summary'!$DE$6:$DG$61,3,FALSE),"")</f>
        <v/>
      </c>
      <c r="L2137" s="45" t="str">
        <f>IFERROR(VLOOKUP(B2137,'Pre-Summary'!$CU$6:$CW$36,3,FALSE),"")</f>
        <v/>
      </c>
      <c r="M2137" s="45" t="str">
        <f>IFERROR(VLOOKUP(B2137,'Pre-Summary'!$BW$6:$BY$58,2,FALSE),"")</f>
        <v/>
      </c>
      <c r="N2137" s="45" t="str">
        <f>IFERROR(VLOOKUP(B2137,'Pre-Summary'!$CD$6:$CF$64,2,FALSE),"")</f>
        <v/>
      </c>
      <c r="O2137" s="99">
        <f>IFERROR(VLOOKUP(B2137,'Pre-Summary'!$BO$6:$BQ$48,3, FALSE),O2136)</f>
        <v>1.3480000000000001</v>
      </c>
      <c r="P2137" s="99">
        <f>IFERROR(VLOOKUP(B2137,'Pre-Summary'!$BS$6:$BU$35,3,FALSE),P2136)</f>
        <v>0.379</v>
      </c>
      <c r="Q2137" s="54">
        <f t="shared" si="99"/>
        <v>3.556728232189974</v>
      </c>
      <c r="R2137" s="53">
        <f>IFERROR(VLOOKUP(B2137,'Pre-Summary'!$BG$6:$BM$44,7,FALSE),R2138)</f>
        <v>9.2946004538835364E-2</v>
      </c>
      <c r="S2137" s="53">
        <f>IFERROR(VLOOKUP(B2137,'Pre-Summary'!$BG$6:$BM$44,6,FALSE),S2138)</f>
        <v>8.3142487304634596E-2</v>
      </c>
      <c r="T2137" s="45" t="str">
        <f>IFERROR(VLOOKUP(B2137,'Pre-Summary'!$Y$6:$AC$83, 3,FALSE),"")</f>
        <v/>
      </c>
      <c r="U2137" s="45" t="str">
        <f>IFERROR(VLOOKUP(B2137,'Pre-Summary'!$Y$6:$AC$83, 4,FALSE),"")</f>
        <v/>
      </c>
      <c r="V2137" t="str">
        <f>IFERROR(VLOOKUP(B2137,'Pre-Summary'!$Y$6:$AC$83, 5,FALSE),"")</f>
        <v/>
      </c>
      <c r="W2137" s="45" t="str">
        <f>IFERROR(VLOOKUP(B2137,'Pre-Summary'!$Y$6:$AD$83,6,FALSE),"")</f>
        <v/>
      </c>
      <c r="X2137" t="str">
        <f>IFERROR(VLOOKUP('Pre-Summary'!$DB$6:$DD$63,3,FALSE),"")</f>
        <v/>
      </c>
      <c r="Y2137" t="str">
        <f>IFERROR(VLOOKUP(B2137,'Pre-Summary'!$CR$6:$CT$36,3,FALSE),"")</f>
        <v/>
      </c>
      <c r="Z2137" s="45" t="str">
        <f>IFERROR(VLOOKUP(B2137,'Pre-Summary'!$BZ$6:$CB$63,2,FALSE),"")</f>
        <v/>
      </c>
      <c r="AA2137" s="45" t="str">
        <f>IFERROR(VLOOKUP(B2137,'Pre-Summary'!$CG$6:$CI$70,2,FALSE),"")</f>
        <v/>
      </c>
      <c r="AB2137" s="99">
        <f>IFERROR(VLOOKUP(B2137,'Pre-Summary'!$A$6:$P$178,9,FALSE),AB2138)</f>
        <v>0.35331798165166045</v>
      </c>
      <c r="AC2137" s="10">
        <f>IFERROR(VLOOKUP(Summary!B2137,'Pre-Summary'!$A$6:$P$184,5, FALSE)/100,AC2138)</f>
        <v>0.95479400000000003</v>
      </c>
      <c r="AD2137" s="10">
        <f>IFERROR(VLOOKUP(Summary!B2137,'Pre-Summary'!$A$6:$P$184,3, FALSE)/100,AD2138)</f>
        <v>3.6379333333333333E-2</v>
      </c>
      <c r="AE2137" s="10">
        <f>IFERROR(VLOOKUP(Summary!B2137,'Pre-Summary'!$A$6:$P$184,7, FALSE)/100,AE2138)</f>
        <v>8.8266666666666667E-3</v>
      </c>
      <c r="AF2137" s="99">
        <f t="shared" si="100"/>
        <v>1.2853472627166306E-2</v>
      </c>
      <c r="AG2137" s="99">
        <f t="shared" si="101"/>
        <v>3.1186200513786564E-3</v>
      </c>
      <c r="AH2137" s="10" t="str">
        <f>IFERROR(VLOOKUP(B2137,'Pre-Summary'!$AZ$6:$BE$65,3,FALSE),"")</f>
        <v/>
      </c>
      <c r="AI2137" s="10" t="str">
        <f>IFERROR(VLOOKUP(B2137,'Pre-Summary'!$AZ$6:$BE$65,5,FALSE),"")</f>
        <v/>
      </c>
      <c r="AJ2137" s="10" t="str">
        <f>IFERROR(VLOOKUP(B2137,'Pre-Summary'!$AZ$6:$BE$65,4,FALSE),"")</f>
        <v/>
      </c>
      <c r="AK2137" s="10" t="str">
        <f>IFERROR(VLOOKUP(B2137,'Pre-Summary'!$AZ$6:$BE$65,6,FALSE),"")</f>
        <v/>
      </c>
      <c r="AL2137" s="10" t="str">
        <f>IFERROR(VLOOKUP(B2137,'Pre-Summary'!$BG$6:$BL$44,3,FALSE),"")</f>
        <v/>
      </c>
      <c r="AM2137" s="10" t="str">
        <f>IFERROR(VLOOKUP(B2137,'Pre-Summary'!$BG$6:$BL$44,4,FALSE),"")</f>
        <v/>
      </c>
    </row>
    <row r="2138" spans="2:39" ht="15" customHeight="1" x14ac:dyDescent="0.3">
      <c r="B2138">
        <v>213.5</v>
      </c>
      <c r="C2138" t="str">
        <f>IFERROR(VLOOKUP(B2138,'Pre-Summary'!$DI$6:$DM$23,4,FALSE),"")</f>
        <v/>
      </c>
      <c r="D2138" s="10" t="str">
        <f>IFERROR(VLOOKUP(B2138,'Pre-Summary'!$AT$6:$AX$14,5,FALSE),D2137)</f>
        <v>Wolfe v3: went back to modified wolfe + EDTA and switched CuSO4 to CUCl2</v>
      </c>
      <c r="E2138" s="10" t="str">
        <f>IFERROR(VLOOKUP(B2138,'Pre-Summary'!$AT$6:$AX$15,4,FALSE),"")</f>
        <v/>
      </c>
      <c r="F2138">
        <f>IFERROR(VLOOKUP(B2138,'Pre-Summary'!$AL$6:$AQ$13,6,FALSE),F2137)</f>
        <v>5.9405263157894746E-2</v>
      </c>
      <c r="G2138" t="str">
        <f>IFERROR(VLOOKUP(B2138,'Pre-Summary'!$AE$6:$AJ$85,3,FALSE),"")</f>
        <v/>
      </c>
      <c r="H2138" t="str">
        <f>IFERROR(VLOOKUP(B2138,'Pre-Summary'!$AE$6:$AJ$85,4,FALSE),"")</f>
        <v/>
      </c>
      <c r="I2138" t="str">
        <f>IFERROR(VLOOKUP(B2138,'Pre-Summary'!$AE$6:$AJ$85,5,FALSE),"")</f>
        <v/>
      </c>
      <c r="J2138" s="45" t="str">
        <f>IFERROR(VLOOKUP(B2138,'Pre-Summary'!$AE$6:$AJ$85,6, FALSE),"")</f>
        <v/>
      </c>
      <c r="K2138" s="45" t="str">
        <f>IFERROR(VLOOKUP(B2138,'Pre-Summary'!$DE$6:$DG$61,3,FALSE),"")</f>
        <v/>
      </c>
      <c r="L2138" s="45" t="str">
        <f>IFERROR(VLOOKUP(B2138,'Pre-Summary'!$CU$6:$CW$36,3,FALSE),"")</f>
        <v/>
      </c>
      <c r="M2138" s="45" t="str">
        <f>IFERROR(VLOOKUP(B2138,'Pre-Summary'!$BW$6:$BY$58,2,FALSE),"")</f>
        <v/>
      </c>
      <c r="N2138" s="45" t="str">
        <f>IFERROR(VLOOKUP(B2138,'Pre-Summary'!$CD$6:$CF$64,2,FALSE),"")</f>
        <v/>
      </c>
      <c r="O2138" s="99">
        <f>IFERROR(VLOOKUP(B2138,'Pre-Summary'!$BO$6:$BQ$48,3, FALSE),O2137)</f>
        <v>1.3480000000000001</v>
      </c>
      <c r="P2138" s="99">
        <f>IFERROR(VLOOKUP(B2138,'Pre-Summary'!$BS$6:$BU$35,3,FALSE),P2137)</f>
        <v>0.379</v>
      </c>
      <c r="Q2138" s="54">
        <f t="shared" si="99"/>
        <v>3.556728232189974</v>
      </c>
      <c r="R2138" s="53">
        <f>IFERROR(VLOOKUP(B2138,'Pre-Summary'!$BG$6:$BM$44,7,FALSE),R2139)</f>
        <v>9.2946004538835364E-2</v>
      </c>
      <c r="S2138" s="53">
        <f>IFERROR(VLOOKUP(B2138,'Pre-Summary'!$BG$6:$BM$44,6,FALSE),S2139)</f>
        <v>8.3142487304634596E-2</v>
      </c>
      <c r="T2138" s="45" t="str">
        <f>IFERROR(VLOOKUP(B2138,'Pre-Summary'!$Y$6:$AC$83, 3,FALSE),"")</f>
        <v/>
      </c>
      <c r="U2138" s="45" t="str">
        <f>IFERROR(VLOOKUP(B2138,'Pre-Summary'!$Y$6:$AC$83, 4,FALSE),"")</f>
        <v/>
      </c>
      <c r="V2138" t="str">
        <f>IFERROR(VLOOKUP(B2138,'Pre-Summary'!$Y$6:$AC$83, 5,FALSE),"")</f>
        <v/>
      </c>
      <c r="W2138" s="45" t="str">
        <f>IFERROR(VLOOKUP(B2138,'Pre-Summary'!$Y$6:$AD$83,6,FALSE),"")</f>
        <v/>
      </c>
      <c r="X2138" t="str">
        <f>IFERROR(VLOOKUP('Pre-Summary'!$DB$6:$DD$63,3,FALSE),"")</f>
        <v/>
      </c>
      <c r="Y2138" t="str">
        <f>IFERROR(VLOOKUP(B2138,'Pre-Summary'!$CR$6:$CT$36,3,FALSE),"")</f>
        <v/>
      </c>
      <c r="Z2138" s="45" t="str">
        <f>IFERROR(VLOOKUP(B2138,'Pre-Summary'!$BZ$6:$CB$63,2,FALSE),"")</f>
        <v/>
      </c>
      <c r="AA2138" s="45" t="str">
        <f>IFERROR(VLOOKUP(B2138,'Pre-Summary'!$CG$6:$CI$70,2,FALSE),"")</f>
        <v/>
      </c>
      <c r="AB2138" s="99">
        <f>IFERROR(VLOOKUP(B2138,'Pre-Summary'!$A$6:$P$178,9,FALSE),AB2139)</f>
        <v>0.35331798165166045</v>
      </c>
      <c r="AC2138" s="10">
        <f>IFERROR(VLOOKUP(Summary!B2138,'Pre-Summary'!$A$6:$P$184,5, FALSE)/100,AC2139)</f>
        <v>0.95479400000000003</v>
      </c>
      <c r="AD2138" s="10">
        <f>IFERROR(VLOOKUP(Summary!B2138,'Pre-Summary'!$A$6:$P$184,3, FALSE)/100,AD2139)</f>
        <v>3.6379333333333333E-2</v>
      </c>
      <c r="AE2138" s="10">
        <f>IFERROR(VLOOKUP(Summary!B2138,'Pre-Summary'!$A$6:$P$184,7, FALSE)/100,AE2139)</f>
        <v>8.8266666666666667E-3</v>
      </c>
      <c r="AF2138" s="99">
        <f t="shared" si="100"/>
        <v>1.2853472627166306E-2</v>
      </c>
      <c r="AG2138" s="99">
        <f t="shared" si="101"/>
        <v>3.1186200513786564E-3</v>
      </c>
      <c r="AH2138" s="10" t="str">
        <f>IFERROR(VLOOKUP(B2138,'Pre-Summary'!$AZ$6:$BE$65,3,FALSE),"")</f>
        <v/>
      </c>
      <c r="AI2138" s="10" t="str">
        <f>IFERROR(VLOOKUP(B2138,'Pre-Summary'!$AZ$6:$BE$65,5,FALSE),"")</f>
        <v/>
      </c>
      <c r="AJ2138" s="10" t="str">
        <f>IFERROR(VLOOKUP(B2138,'Pre-Summary'!$AZ$6:$BE$65,4,FALSE),"")</f>
        <v/>
      </c>
      <c r="AK2138" s="10" t="str">
        <f>IFERROR(VLOOKUP(B2138,'Pre-Summary'!$AZ$6:$BE$65,6,FALSE),"")</f>
        <v/>
      </c>
      <c r="AL2138" s="10" t="str">
        <f>IFERROR(VLOOKUP(B2138,'Pre-Summary'!$BG$6:$BL$44,3,FALSE),"")</f>
        <v/>
      </c>
      <c r="AM2138" s="10" t="str">
        <f>IFERROR(VLOOKUP(B2138,'Pre-Summary'!$BG$6:$BL$44,4,FALSE),"")</f>
        <v/>
      </c>
    </row>
    <row r="2139" spans="2:39" ht="15" customHeight="1" x14ac:dyDescent="0.3">
      <c r="B2139">
        <v>213.6</v>
      </c>
      <c r="C2139" t="str">
        <f>IFERROR(VLOOKUP(B2139,'Pre-Summary'!$DI$6:$DM$23,4,FALSE),"")</f>
        <v/>
      </c>
      <c r="D2139" s="10" t="str">
        <f>IFERROR(VLOOKUP(B2139,'Pre-Summary'!$AT$6:$AX$14,5,FALSE),D2138)</f>
        <v>Wolfe v3: went back to modified wolfe + EDTA and switched CuSO4 to CUCl2</v>
      </c>
      <c r="E2139" s="10" t="str">
        <f>IFERROR(VLOOKUP(B2139,'Pre-Summary'!$AT$6:$AX$15,4,FALSE),"")</f>
        <v/>
      </c>
      <c r="F2139">
        <f>IFERROR(VLOOKUP(B2139,'Pre-Summary'!$AL$6:$AQ$13,6,FALSE),F2138)</f>
        <v>5.9405263157894746E-2</v>
      </c>
      <c r="G2139" t="str">
        <f>IFERROR(VLOOKUP(B2139,'Pre-Summary'!$AE$6:$AJ$85,3,FALSE),"")</f>
        <v/>
      </c>
      <c r="H2139" t="str">
        <f>IFERROR(VLOOKUP(B2139,'Pre-Summary'!$AE$6:$AJ$85,4,FALSE),"")</f>
        <v/>
      </c>
      <c r="I2139" t="str">
        <f>IFERROR(VLOOKUP(B2139,'Pre-Summary'!$AE$6:$AJ$85,5,FALSE),"")</f>
        <v/>
      </c>
      <c r="J2139" s="45" t="str">
        <f>IFERROR(VLOOKUP(B2139,'Pre-Summary'!$AE$6:$AJ$85,6, FALSE),"")</f>
        <v/>
      </c>
      <c r="K2139" s="45" t="str">
        <f>IFERROR(VLOOKUP(B2139,'Pre-Summary'!$DE$6:$DG$61,3,FALSE),"")</f>
        <v/>
      </c>
      <c r="L2139" s="45" t="str">
        <f>IFERROR(VLOOKUP(B2139,'Pre-Summary'!$CU$6:$CW$36,3,FALSE),"")</f>
        <v/>
      </c>
      <c r="M2139" s="45" t="str">
        <f>IFERROR(VLOOKUP(B2139,'Pre-Summary'!$BW$6:$BY$58,2,FALSE),"")</f>
        <v/>
      </c>
      <c r="N2139" s="45" t="str">
        <f>IFERROR(VLOOKUP(B2139,'Pre-Summary'!$CD$6:$CF$64,2,FALSE),"")</f>
        <v/>
      </c>
      <c r="O2139" s="99">
        <f>IFERROR(VLOOKUP(B2139,'Pre-Summary'!$BO$6:$BQ$48,3, FALSE),O2138)</f>
        <v>1.3480000000000001</v>
      </c>
      <c r="P2139" s="99">
        <f>IFERROR(VLOOKUP(B2139,'Pre-Summary'!$BS$6:$BU$35,3,FALSE),P2138)</f>
        <v>0.379</v>
      </c>
      <c r="Q2139" s="54">
        <f t="shared" si="99"/>
        <v>3.556728232189974</v>
      </c>
      <c r="R2139" s="53">
        <f>IFERROR(VLOOKUP(B2139,'Pre-Summary'!$BG$6:$BM$44,7,FALSE),R2140)</f>
        <v>9.2946004538835364E-2</v>
      </c>
      <c r="S2139" s="53">
        <f>IFERROR(VLOOKUP(B2139,'Pre-Summary'!$BG$6:$BM$44,6,FALSE),S2140)</f>
        <v>8.3142487304634596E-2</v>
      </c>
      <c r="T2139" s="45" t="str">
        <f>IFERROR(VLOOKUP(B2139,'Pre-Summary'!$Y$6:$AC$83, 3,FALSE),"")</f>
        <v/>
      </c>
      <c r="U2139" s="45" t="str">
        <f>IFERROR(VLOOKUP(B2139,'Pre-Summary'!$Y$6:$AC$83, 4,FALSE),"")</f>
        <v/>
      </c>
      <c r="V2139" t="str">
        <f>IFERROR(VLOOKUP(B2139,'Pre-Summary'!$Y$6:$AC$83, 5,FALSE),"")</f>
        <v/>
      </c>
      <c r="W2139" s="45" t="str">
        <f>IFERROR(VLOOKUP(B2139,'Pre-Summary'!$Y$6:$AD$83,6,FALSE),"")</f>
        <v/>
      </c>
      <c r="X2139" t="str">
        <f>IFERROR(VLOOKUP('Pre-Summary'!$DB$6:$DD$63,3,FALSE),"")</f>
        <v/>
      </c>
      <c r="Y2139" t="str">
        <f>IFERROR(VLOOKUP(B2139,'Pre-Summary'!$CR$6:$CT$36,3,FALSE),"")</f>
        <v/>
      </c>
      <c r="Z2139" s="45" t="str">
        <f>IFERROR(VLOOKUP(B2139,'Pre-Summary'!$BZ$6:$CB$63,2,FALSE),"")</f>
        <v/>
      </c>
      <c r="AA2139" s="45" t="str">
        <f>IFERROR(VLOOKUP(B2139,'Pre-Summary'!$CG$6:$CI$70,2,FALSE),"")</f>
        <v/>
      </c>
      <c r="AB2139" s="99">
        <f>IFERROR(VLOOKUP(B2139,'Pre-Summary'!$A$6:$P$178,9,FALSE),AB2140)</f>
        <v>0.35331798165166045</v>
      </c>
      <c r="AC2139" s="10">
        <f>IFERROR(VLOOKUP(Summary!B2139,'Pre-Summary'!$A$6:$P$184,5, FALSE)/100,AC2140)</f>
        <v>0.95479400000000003</v>
      </c>
      <c r="AD2139" s="10">
        <f>IFERROR(VLOOKUP(Summary!B2139,'Pre-Summary'!$A$6:$P$184,3, FALSE)/100,AD2140)</f>
        <v>3.6379333333333333E-2</v>
      </c>
      <c r="AE2139" s="10">
        <f>IFERROR(VLOOKUP(Summary!B2139,'Pre-Summary'!$A$6:$P$184,7, FALSE)/100,AE2140)</f>
        <v>8.8266666666666667E-3</v>
      </c>
      <c r="AF2139" s="99">
        <f t="shared" si="100"/>
        <v>1.2853472627166306E-2</v>
      </c>
      <c r="AG2139" s="99">
        <f t="shared" si="101"/>
        <v>3.1186200513786564E-3</v>
      </c>
      <c r="AH2139" s="10" t="str">
        <f>IFERROR(VLOOKUP(B2139,'Pre-Summary'!$AZ$6:$BE$65,3,FALSE),"")</f>
        <v/>
      </c>
      <c r="AI2139" s="10" t="str">
        <f>IFERROR(VLOOKUP(B2139,'Pre-Summary'!$AZ$6:$BE$65,5,FALSE),"")</f>
        <v/>
      </c>
      <c r="AJ2139" s="10" t="str">
        <f>IFERROR(VLOOKUP(B2139,'Pre-Summary'!$AZ$6:$BE$65,4,FALSE),"")</f>
        <v/>
      </c>
      <c r="AK2139" s="10" t="str">
        <f>IFERROR(VLOOKUP(B2139,'Pre-Summary'!$AZ$6:$BE$65,6,FALSE),"")</f>
        <v/>
      </c>
      <c r="AL2139" s="10" t="str">
        <f>IFERROR(VLOOKUP(B2139,'Pre-Summary'!$BG$6:$BL$44,3,FALSE),"")</f>
        <v/>
      </c>
      <c r="AM2139" s="10" t="str">
        <f>IFERROR(VLOOKUP(B2139,'Pre-Summary'!$BG$6:$BL$44,4,FALSE),"")</f>
        <v/>
      </c>
    </row>
    <row r="2140" spans="2:39" ht="15" customHeight="1" x14ac:dyDescent="0.3">
      <c r="B2140">
        <v>213.7</v>
      </c>
      <c r="C2140" t="str">
        <f>IFERROR(VLOOKUP(B2140,'Pre-Summary'!$DI$6:$DM$23,4,FALSE),"")</f>
        <v/>
      </c>
      <c r="D2140" s="10" t="str">
        <f>IFERROR(VLOOKUP(B2140,'Pre-Summary'!$AT$6:$AX$14,5,FALSE),D2139)</f>
        <v>Wolfe v3: went back to modified wolfe + EDTA and switched CuSO4 to CUCl2</v>
      </c>
      <c r="E2140" s="10" t="str">
        <f>IFERROR(VLOOKUP(B2140,'Pre-Summary'!$AT$6:$AX$15,4,FALSE),"")</f>
        <v/>
      </c>
      <c r="F2140">
        <f>IFERROR(VLOOKUP(B2140,'Pre-Summary'!$AL$6:$AQ$13,6,FALSE),F2139)</f>
        <v>5.9405263157894746E-2</v>
      </c>
      <c r="G2140" t="str">
        <f>IFERROR(VLOOKUP(B2140,'Pre-Summary'!$AE$6:$AJ$85,3,FALSE),"")</f>
        <v/>
      </c>
      <c r="H2140" t="str">
        <f>IFERROR(VLOOKUP(B2140,'Pre-Summary'!$AE$6:$AJ$85,4,FALSE),"")</f>
        <v/>
      </c>
      <c r="I2140" t="str">
        <f>IFERROR(VLOOKUP(B2140,'Pre-Summary'!$AE$6:$AJ$85,5,FALSE),"")</f>
        <v/>
      </c>
      <c r="J2140" s="45" t="str">
        <f>IFERROR(VLOOKUP(B2140,'Pre-Summary'!$AE$6:$AJ$85,6, FALSE),"")</f>
        <v/>
      </c>
      <c r="K2140" s="45" t="str">
        <f>IFERROR(VLOOKUP(B2140,'Pre-Summary'!$DE$6:$DG$61,3,FALSE),"")</f>
        <v/>
      </c>
      <c r="L2140" s="45" t="str">
        <f>IFERROR(VLOOKUP(B2140,'Pre-Summary'!$CU$6:$CW$36,3,FALSE),"")</f>
        <v/>
      </c>
      <c r="M2140" s="45" t="str">
        <f>IFERROR(VLOOKUP(B2140,'Pre-Summary'!$BW$6:$BY$58,2,FALSE),"")</f>
        <v/>
      </c>
      <c r="N2140" s="45" t="str">
        <f>IFERROR(VLOOKUP(B2140,'Pre-Summary'!$CD$6:$CF$64,2,FALSE),"")</f>
        <v/>
      </c>
      <c r="O2140" s="99">
        <f>IFERROR(VLOOKUP(B2140,'Pre-Summary'!$BO$6:$BQ$48,3, FALSE),O2139)</f>
        <v>1.3480000000000001</v>
      </c>
      <c r="P2140" s="99">
        <f>IFERROR(VLOOKUP(B2140,'Pre-Summary'!$BS$6:$BU$35,3,FALSE),P2139)</f>
        <v>0.379</v>
      </c>
      <c r="Q2140" s="54">
        <f t="shared" si="99"/>
        <v>3.556728232189974</v>
      </c>
      <c r="R2140" s="53">
        <f>IFERROR(VLOOKUP(B2140,'Pre-Summary'!$BG$6:$BM$44,7,FALSE),R2141)</f>
        <v>9.2946004538835364E-2</v>
      </c>
      <c r="S2140" s="53">
        <f>IFERROR(VLOOKUP(B2140,'Pre-Summary'!$BG$6:$BM$44,6,FALSE),S2141)</f>
        <v>8.3142487304634596E-2</v>
      </c>
      <c r="T2140" s="45" t="str">
        <f>IFERROR(VLOOKUP(B2140,'Pre-Summary'!$Y$6:$AC$83, 3,FALSE),"")</f>
        <v/>
      </c>
      <c r="U2140" s="45" t="str">
        <f>IFERROR(VLOOKUP(B2140,'Pre-Summary'!$Y$6:$AC$83, 4,FALSE),"")</f>
        <v/>
      </c>
      <c r="V2140" t="str">
        <f>IFERROR(VLOOKUP(B2140,'Pre-Summary'!$Y$6:$AC$83, 5,FALSE),"")</f>
        <v/>
      </c>
      <c r="W2140" s="45" t="str">
        <f>IFERROR(VLOOKUP(B2140,'Pre-Summary'!$Y$6:$AD$83,6,FALSE),"")</f>
        <v/>
      </c>
      <c r="X2140" t="str">
        <f>IFERROR(VLOOKUP('Pre-Summary'!$DB$6:$DD$63,3,FALSE),"")</f>
        <v/>
      </c>
      <c r="Y2140" t="str">
        <f>IFERROR(VLOOKUP(B2140,'Pre-Summary'!$CR$6:$CT$36,3,FALSE),"")</f>
        <v/>
      </c>
      <c r="Z2140" s="45" t="str">
        <f>IFERROR(VLOOKUP(B2140,'Pre-Summary'!$BZ$6:$CB$63,2,FALSE),"")</f>
        <v/>
      </c>
      <c r="AA2140" s="45" t="str">
        <f>IFERROR(VLOOKUP(B2140,'Pre-Summary'!$CG$6:$CI$70,2,FALSE),"")</f>
        <v/>
      </c>
      <c r="AB2140" s="99">
        <f>IFERROR(VLOOKUP(B2140,'Pre-Summary'!$A$6:$P$178,9,FALSE),AB2141)</f>
        <v>0.35331798165166045</v>
      </c>
      <c r="AC2140" s="10">
        <f>IFERROR(VLOOKUP(Summary!B2140,'Pre-Summary'!$A$6:$P$184,5, FALSE)/100,AC2141)</f>
        <v>0.95479400000000003</v>
      </c>
      <c r="AD2140" s="10">
        <f>IFERROR(VLOOKUP(Summary!B2140,'Pre-Summary'!$A$6:$P$184,3, FALSE)/100,AD2141)</f>
        <v>3.6379333333333333E-2</v>
      </c>
      <c r="AE2140" s="10">
        <f>IFERROR(VLOOKUP(Summary!B2140,'Pre-Summary'!$A$6:$P$184,7, FALSE)/100,AE2141)</f>
        <v>8.8266666666666667E-3</v>
      </c>
      <c r="AF2140" s="99">
        <f t="shared" si="100"/>
        <v>1.2853472627166306E-2</v>
      </c>
      <c r="AG2140" s="99">
        <f t="shared" si="101"/>
        <v>3.1186200513786564E-3</v>
      </c>
      <c r="AH2140" s="10" t="str">
        <f>IFERROR(VLOOKUP(B2140,'Pre-Summary'!$AZ$6:$BE$65,3,FALSE),"")</f>
        <v/>
      </c>
      <c r="AI2140" s="10" t="str">
        <f>IFERROR(VLOOKUP(B2140,'Pre-Summary'!$AZ$6:$BE$65,5,FALSE),"")</f>
        <v/>
      </c>
      <c r="AJ2140" s="10" t="str">
        <f>IFERROR(VLOOKUP(B2140,'Pre-Summary'!$AZ$6:$BE$65,4,FALSE),"")</f>
        <v/>
      </c>
      <c r="AK2140" s="10" t="str">
        <f>IFERROR(VLOOKUP(B2140,'Pre-Summary'!$AZ$6:$BE$65,6,FALSE),"")</f>
        <v/>
      </c>
      <c r="AL2140" s="10" t="str">
        <f>IFERROR(VLOOKUP(B2140,'Pre-Summary'!$BG$6:$BL$44,3,FALSE),"")</f>
        <v/>
      </c>
      <c r="AM2140" s="10" t="str">
        <f>IFERROR(VLOOKUP(B2140,'Pre-Summary'!$BG$6:$BL$44,4,FALSE),"")</f>
        <v/>
      </c>
    </row>
    <row r="2141" spans="2:39" ht="15" customHeight="1" x14ac:dyDescent="0.3">
      <c r="B2141">
        <v>213.8</v>
      </c>
      <c r="C2141" t="str">
        <f>IFERROR(VLOOKUP(B2141,'Pre-Summary'!$DI$6:$DM$23,4,FALSE),"")</f>
        <v/>
      </c>
      <c r="D2141" s="10" t="str">
        <f>IFERROR(VLOOKUP(B2141,'Pre-Summary'!$AT$6:$AX$14,5,FALSE),D2140)</f>
        <v>Wolfe v3: went back to modified wolfe + EDTA and switched CuSO4 to CUCl2</v>
      </c>
      <c r="E2141" s="10" t="str">
        <f>IFERROR(VLOOKUP(B2141,'Pre-Summary'!$AT$6:$AX$15,4,FALSE),"")</f>
        <v/>
      </c>
      <c r="F2141">
        <f>IFERROR(VLOOKUP(B2141,'Pre-Summary'!$AL$6:$AQ$13,6,FALSE),F2140)</f>
        <v>5.9405263157894746E-2</v>
      </c>
      <c r="G2141" t="str">
        <f>IFERROR(VLOOKUP(B2141,'Pre-Summary'!$AE$6:$AJ$85,3,FALSE),"")</f>
        <v/>
      </c>
      <c r="H2141" t="str">
        <f>IFERROR(VLOOKUP(B2141,'Pre-Summary'!$AE$6:$AJ$85,4,FALSE),"")</f>
        <v/>
      </c>
      <c r="I2141" t="str">
        <f>IFERROR(VLOOKUP(B2141,'Pre-Summary'!$AE$6:$AJ$85,5,FALSE),"")</f>
        <v/>
      </c>
      <c r="J2141" s="45" t="str">
        <f>IFERROR(VLOOKUP(B2141,'Pre-Summary'!$AE$6:$AJ$85,6, FALSE),"")</f>
        <v/>
      </c>
      <c r="K2141" s="45" t="str">
        <f>IFERROR(VLOOKUP(B2141,'Pre-Summary'!$DE$6:$DG$61,3,FALSE),"")</f>
        <v/>
      </c>
      <c r="L2141" s="45" t="str">
        <f>IFERROR(VLOOKUP(B2141,'Pre-Summary'!$CU$6:$CW$36,3,FALSE),"")</f>
        <v/>
      </c>
      <c r="M2141" s="45" t="str">
        <f>IFERROR(VLOOKUP(B2141,'Pre-Summary'!$BW$6:$BY$58,2,FALSE),"")</f>
        <v/>
      </c>
      <c r="N2141" s="45" t="str">
        <f>IFERROR(VLOOKUP(B2141,'Pre-Summary'!$CD$6:$CF$64,2,FALSE),"")</f>
        <v/>
      </c>
      <c r="O2141" s="99">
        <f>IFERROR(VLOOKUP(B2141,'Pre-Summary'!$BO$6:$BQ$48,3, FALSE),O2140)</f>
        <v>1.3480000000000001</v>
      </c>
      <c r="P2141" s="99">
        <f>IFERROR(VLOOKUP(B2141,'Pre-Summary'!$BS$6:$BU$35,3,FALSE),P2140)</f>
        <v>0.379</v>
      </c>
      <c r="Q2141" s="54">
        <f t="shared" si="99"/>
        <v>3.556728232189974</v>
      </c>
      <c r="R2141" s="53">
        <f>IFERROR(VLOOKUP(B2141,'Pre-Summary'!$BG$6:$BM$44,7,FALSE),R2142)</f>
        <v>9.2946004538835364E-2</v>
      </c>
      <c r="S2141" s="53">
        <f>IFERROR(VLOOKUP(B2141,'Pre-Summary'!$BG$6:$BM$44,6,FALSE),S2142)</f>
        <v>8.3142487304634596E-2</v>
      </c>
      <c r="T2141" s="45" t="str">
        <f>IFERROR(VLOOKUP(B2141,'Pre-Summary'!$Y$6:$AC$83, 3,FALSE),"")</f>
        <v/>
      </c>
      <c r="U2141" s="45" t="str">
        <f>IFERROR(VLOOKUP(B2141,'Pre-Summary'!$Y$6:$AC$83, 4,FALSE),"")</f>
        <v/>
      </c>
      <c r="V2141" t="str">
        <f>IFERROR(VLOOKUP(B2141,'Pre-Summary'!$Y$6:$AC$83, 5,FALSE),"")</f>
        <v/>
      </c>
      <c r="W2141" s="45" t="str">
        <f>IFERROR(VLOOKUP(B2141,'Pre-Summary'!$Y$6:$AD$83,6,FALSE),"")</f>
        <v/>
      </c>
      <c r="X2141" t="str">
        <f>IFERROR(VLOOKUP('Pre-Summary'!$DB$6:$DD$63,3,FALSE),"")</f>
        <v/>
      </c>
      <c r="Y2141" t="str">
        <f>IFERROR(VLOOKUP(B2141,'Pre-Summary'!$CR$6:$CT$36,3,FALSE),"")</f>
        <v/>
      </c>
      <c r="Z2141" s="45" t="str">
        <f>IFERROR(VLOOKUP(B2141,'Pre-Summary'!$BZ$6:$CB$63,2,FALSE),"")</f>
        <v/>
      </c>
      <c r="AA2141" s="45" t="str">
        <f>IFERROR(VLOOKUP(B2141,'Pre-Summary'!$CG$6:$CI$70,2,FALSE),"")</f>
        <v/>
      </c>
      <c r="AB2141" s="99">
        <f>IFERROR(VLOOKUP(B2141,'Pre-Summary'!$A$6:$P$178,9,FALSE),AB2142)</f>
        <v>0.35331798165166045</v>
      </c>
      <c r="AC2141" s="10">
        <f>IFERROR(VLOOKUP(Summary!B2141,'Pre-Summary'!$A$6:$P$184,5, FALSE)/100,AC2142)</f>
        <v>0.95479400000000003</v>
      </c>
      <c r="AD2141" s="10">
        <f>IFERROR(VLOOKUP(Summary!B2141,'Pre-Summary'!$A$6:$P$184,3, FALSE)/100,AD2142)</f>
        <v>3.6379333333333333E-2</v>
      </c>
      <c r="AE2141" s="10">
        <f>IFERROR(VLOOKUP(Summary!B2141,'Pre-Summary'!$A$6:$P$184,7, FALSE)/100,AE2142)</f>
        <v>8.8266666666666667E-3</v>
      </c>
      <c r="AF2141" s="99">
        <f t="shared" si="100"/>
        <v>1.2853472627166306E-2</v>
      </c>
      <c r="AG2141" s="99">
        <f t="shared" si="101"/>
        <v>3.1186200513786564E-3</v>
      </c>
      <c r="AH2141" s="10" t="str">
        <f>IFERROR(VLOOKUP(B2141,'Pre-Summary'!$AZ$6:$BE$65,3,FALSE),"")</f>
        <v/>
      </c>
      <c r="AI2141" s="10" t="str">
        <f>IFERROR(VLOOKUP(B2141,'Pre-Summary'!$AZ$6:$BE$65,5,FALSE),"")</f>
        <v/>
      </c>
      <c r="AJ2141" s="10" t="str">
        <f>IFERROR(VLOOKUP(B2141,'Pre-Summary'!$AZ$6:$BE$65,4,FALSE),"")</f>
        <v/>
      </c>
      <c r="AK2141" s="10" t="str">
        <f>IFERROR(VLOOKUP(B2141,'Pre-Summary'!$AZ$6:$BE$65,6,FALSE),"")</f>
        <v/>
      </c>
      <c r="AL2141" s="10" t="str">
        <f>IFERROR(VLOOKUP(B2141,'Pre-Summary'!$BG$6:$BL$44,3,FALSE),"")</f>
        <v/>
      </c>
      <c r="AM2141" s="10" t="str">
        <f>IFERROR(VLOOKUP(B2141,'Pre-Summary'!$BG$6:$BL$44,4,FALSE),"")</f>
        <v/>
      </c>
    </row>
    <row r="2142" spans="2:39" ht="15" customHeight="1" x14ac:dyDescent="0.3">
      <c r="B2142">
        <v>213.9</v>
      </c>
      <c r="C2142" t="str">
        <f>IFERROR(VLOOKUP(B2142,'Pre-Summary'!$DI$6:$DM$23,4,FALSE),"")</f>
        <v/>
      </c>
      <c r="D2142" s="10" t="str">
        <f>IFERROR(VLOOKUP(B2142,'Pre-Summary'!$AT$6:$AX$14,5,FALSE),D2141)</f>
        <v>Wolfe v3: went back to modified wolfe + EDTA and switched CuSO4 to CUCl2</v>
      </c>
      <c r="E2142" s="10" t="str">
        <f>IFERROR(VLOOKUP(B2142,'Pre-Summary'!$AT$6:$AX$15,4,FALSE),"")</f>
        <v/>
      </c>
      <c r="F2142">
        <f>IFERROR(VLOOKUP(B2142,'Pre-Summary'!$AL$6:$AQ$13,6,FALSE),F2141)</f>
        <v>5.9405263157894746E-2</v>
      </c>
      <c r="G2142" t="str">
        <f>IFERROR(VLOOKUP(B2142,'Pre-Summary'!$AE$6:$AJ$85,3,FALSE),"")</f>
        <v/>
      </c>
      <c r="H2142" t="str">
        <f>IFERROR(VLOOKUP(B2142,'Pre-Summary'!$AE$6:$AJ$85,4,FALSE),"")</f>
        <v/>
      </c>
      <c r="I2142" t="str">
        <f>IFERROR(VLOOKUP(B2142,'Pre-Summary'!$AE$6:$AJ$85,5,FALSE),"")</f>
        <v/>
      </c>
      <c r="J2142" s="45" t="str">
        <f>IFERROR(VLOOKUP(B2142,'Pre-Summary'!$AE$6:$AJ$85,6, FALSE),"")</f>
        <v/>
      </c>
      <c r="K2142" s="45" t="str">
        <f>IFERROR(VLOOKUP(B2142,'Pre-Summary'!$DE$6:$DG$61,3,FALSE),"")</f>
        <v/>
      </c>
      <c r="L2142" s="45" t="str">
        <f>IFERROR(VLOOKUP(B2142,'Pre-Summary'!$CU$6:$CW$36,3,FALSE),"")</f>
        <v/>
      </c>
      <c r="M2142" s="45" t="str">
        <f>IFERROR(VLOOKUP(B2142,'Pre-Summary'!$BW$6:$BY$58,2,FALSE),"")</f>
        <v/>
      </c>
      <c r="N2142" s="45" t="str">
        <f>IFERROR(VLOOKUP(B2142,'Pre-Summary'!$CD$6:$CF$64,2,FALSE),"")</f>
        <v/>
      </c>
      <c r="O2142" s="99">
        <f>IFERROR(VLOOKUP(B2142,'Pre-Summary'!$BO$6:$BQ$48,3, FALSE),O2141)</f>
        <v>1.3480000000000001</v>
      </c>
      <c r="P2142" s="99">
        <f>IFERROR(VLOOKUP(B2142,'Pre-Summary'!$BS$6:$BU$35,3,FALSE),P2141)</f>
        <v>0.379</v>
      </c>
      <c r="Q2142" s="54">
        <f t="shared" si="99"/>
        <v>3.556728232189974</v>
      </c>
      <c r="R2142" s="53">
        <f>IFERROR(VLOOKUP(B2142,'Pre-Summary'!$BG$6:$BM$44,7,FALSE),R2143)</f>
        <v>9.2946004538835364E-2</v>
      </c>
      <c r="S2142" s="53">
        <f>IFERROR(VLOOKUP(B2142,'Pre-Summary'!$BG$6:$BM$44,6,FALSE),S2143)</f>
        <v>8.3142487304634596E-2</v>
      </c>
      <c r="T2142" s="45" t="str">
        <f>IFERROR(VLOOKUP(B2142,'Pre-Summary'!$Y$6:$AC$83, 3,FALSE),"")</f>
        <v/>
      </c>
      <c r="U2142" s="45" t="str">
        <f>IFERROR(VLOOKUP(B2142,'Pre-Summary'!$Y$6:$AC$83, 4,FALSE),"")</f>
        <v/>
      </c>
      <c r="V2142" t="str">
        <f>IFERROR(VLOOKUP(B2142,'Pre-Summary'!$Y$6:$AC$83, 5,FALSE),"")</f>
        <v/>
      </c>
      <c r="W2142" s="45" t="str">
        <f>IFERROR(VLOOKUP(B2142,'Pre-Summary'!$Y$6:$AD$83,6,FALSE),"")</f>
        <v/>
      </c>
      <c r="X2142" t="str">
        <f>IFERROR(VLOOKUP('Pre-Summary'!$DB$6:$DD$63,3,FALSE),"")</f>
        <v/>
      </c>
      <c r="Y2142" t="str">
        <f>IFERROR(VLOOKUP(B2142,'Pre-Summary'!$CR$6:$CT$36,3,FALSE),"")</f>
        <v/>
      </c>
      <c r="Z2142" s="45" t="str">
        <f>IFERROR(VLOOKUP(B2142,'Pre-Summary'!$BZ$6:$CB$63,2,FALSE),"")</f>
        <v/>
      </c>
      <c r="AA2142" s="45" t="str">
        <f>IFERROR(VLOOKUP(B2142,'Pre-Summary'!$CG$6:$CI$70,2,FALSE),"")</f>
        <v/>
      </c>
      <c r="AB2142" s="99">
        <f>IFERROR(VLOOKUP(B2142,'Pre-Summary'!$A$6:$P$178,9,FALSE),AB2143)</f>
        <v>0.35331798165166045</v>
      </c>
      <c r="AC2142" s="10">
        <f>IFERROR(VLOOKUP(Summary!B2142,'Pre-Summary'!$A$6:$P$184,5, FALSE)/100,AC2143)</f>
        <v>0.95479400000000003</v>
      </c>
      <c r="AD2142" s="10">
        <f>IFERROR(VLOOKUP(Summary!B2142,'Pre-Summary'!$A$6:$P$184,3, FALSE)/100,AD2143)</f>
        <v>3.6379333333333333E-2</v>
      </c>
      <c r="AE2142" s="10">
        <f>IFERROR(VLOOKUP(Summary!B2142,'Pre-Summary'!$A$6:$P$184,7, FALSE)/100,AE2143)</f>
        <v>8.8266666666666667E-3</v>
      </c>
      <c r="AF2142" s="99">
        <f t="shared" si="100"/>
        <v>1.2853472627166306E-2</v>
      </c>
      <c r="AG2142" s="99">
        <f t="shared" si="101"/>
        <v>3.1186200513786564E-3</v>
      </c>
      <c r="AH2142" s="10" t="str">
        <f>IFERROR(VLOOKUP(B2142,'Pre-Summary'!$AZ$6:$BE$65,3,FALSE),"")</f>
        <v/>
      </c>
      <c r="AI2142" s="10" t="str">
        <f>IFERROR(VLOOKUP(B2142,'Pre-Summary'!$AZ$6:$BE$65,5,FALSE),"")</f>
        <v/>
      </c>
      <c r="AJ2142" s="10" t="str">
        <f>IFERROR(VLOOKUP(B2142,'Pre-Summary'!$AZ$6:$BE$65,4,FALSE),"")</f>
        <v/>
      </c>
      <c r="AK2142" s="10" t="str">
        <f>IFERROR(VLOOKUP(B2142,'Pre-Summary'!$AZ$6:$BE$65,6,FALSE),"")</f>
        <v/>
      </c>
      <c r="AL2142" s="10" t="str">
        <f>IFERROR(VLOOKUP(B2142,'Pre-Summary'!$BG$6:$BL$44,3,FALSE),"")</f>
        <v/>
      </c>
      <c r="AM2142" s="10" t="str">
        <f>IFERROR(VLOOKUP(B2142,'Pre-Summary'!$BG$6:$BL$44,4,FALSE),"")</f>
        <v/>
      </c>
    </row>
    <row r="2143" spans="2:39" ht="15" customHeight="1" x14ac:dyDescent="0.3">
      <c r="B2143">
        <v>214</v>
      </c>
      <c r="C2143" t="str">
        <f>IFERROR(VLOOKUP(B2143,'Pre-Summary'!$DI$6:$DM$23,4,FALSE),"")</f>
        <v/>
      </c>
      <c r="D2143" s="10" t="str">
        <f>IFERROR(VLOOKUP(B2143,'Pre-Summary'!$AT$6:$AX$14,5,FALSE),D2142)</f>
        <v>Wolfe v3: went back to modified wolfe + EDTA and switched CuSO4 to CUCl2</v>
      </c>
      <c r="E2143" s="10" t="str">
        <f>IFERROR(VLOOKUP(B2143,'Pre-Summary'!$AT$6:$AX$15,4,FALSE),"")</f>
        <v/>
      </c>
      <c r="F2143">
        <f>IFERROR(VLOOKUP(B2143,'Pre-Summary'!$AL$6:$AQ$13,6,FALSE),F2142)</f>
        <v>5.9405263157894746E-2</v>
      </c>
      <c r="G2143" t="str">
        <f>IFERROR(VLOOKUP(B2143,'Pre-Summary'!$AE$6:$AJ$85,3,FALSE),"")</f>
        <v/>
      </c>
      <c r="H2143" t="str">
        <f>IFERROR(VLOOKUP(B2143,'Pre-Summary'!$AE$6:$AJ$85,4,FALSE),"")</f>
        <v/>
      </c>
      <c r="I2143" t="str">
        <f>IFERROR(VLOOKUP(B2143,'Pre-Summary'!$AE$6:$AJ$85,5,FALSE),"")</f>
        <v/>
      </c>
      <c r="J2143" s="45" t="str">
        <f>IFERROR(VLOOKUP(B2143,'Pre-Summary'!$AE$6:$AJ$85,6, FALSE),"")</f>
        <v/>
      </c>
      <c r="K2143" s="45" t="str">
        <f>IFERROR(VLOOKUP(B2143,'Pre-Summary'!$DE$6:$DG$61,3,FALSE),"")</f>
        <v/>
      </c>
      <c r="L2143" s="45" t="str">
        <f>IFERROR(VLOOKUP(B2143,'Pre-Summary'!$CU$6:$CW$36,3,FALSE),"")</f>
        <v/>
      </c>
      <c r="M2143" s="45" t="str">
        <f>IFERROR(VLOOKUP(B2143,'Pre-Summary'!$BW$6:$BY$58,2,FALSE),"")</f>
        <v/>
      </c>
      <c r="N2143" s="45" t="str">
        <f>IFERROR(VLOOKUP(B2143,'Pre-Summary'!$CD$6:$CF$64,2,FALSE),"")</f>
        <v/>
      </c>
      <c r="O2143" s="99">
        <f>IFERROR(VLOOKUP(B2143,'Pre-Summary'!$BO$6:$BQ$48,3, FALSE),O2142)</f>
        <v>1.3480000000000001</v>
      </c>
      <c r="P2143" s="99">
        <f>IFERROR(VLOOKUP(B2143,'Pre-Summary'!$BS$6:$BU$35,3,FALSE),P2142)</f>
        <v>0.379</v>
      </c>
      <c r="Q2143" s="54">
        <f t="shared" si="99"/>
        <v>3.556728232189974</v>
      </c>
      <c r="R2143" s="53">
        <f>IFERROR(VLOOKUP(B2143,'Pre-Summary'!$BG$6:$BM$44,7,FALSE),R2144)</f>
        <v>9.2946004538835364E-2</v>
      </c>
      <c r="S2143" s="53">
        <f>IFERROR(VLOOKUP(B2143,'Pre-Summary'!$BG$6:$BM$44,6,FALSE),S2144)</f>
        <v>8.3142487304634596E-2</v>
      </c>
      <c r="T2143" s="45" t="str">
        <f>IFERROR(VLOOKUP(B2143,'Pre-Summary'!$Y$6:$AC$83, 3,FALSE),"")</f>
        <v/>
      </c>
      <c r="U2143" s="45" t="str">
        <f>IFERROR(VLOOKUP(B2143,'Pre-Summary'!$Y$6:$AC$83, 4,FALSE),"")</f>
        <v/>
      </c>
      <c r="V2143" t="str">
        <f>IFERROR(VLOOKUP(B2143,'Pre-Summary'!$Y$6:$AC$83, 5,FALSE),"")</f>
        <v/>
      </c>
      <c r="W2143" s="45" t="str">
        <f>IFERROR(VLOOKUP(B2143,'Pre-Summary'!$Y$6:$AD$83,6,FALSE),"")</f>
        <v/>
      </c>
      <c r="X2143" t="str">
        <f>IFERROR(VLOOKUP('Pre-Summary'!$DB$6:$DD$63,3,FALSE),"")</f>
        <v/>
      </c>
      <c r="Y2143" t="str">
        <f>IFERROR(VLOOKUP(B2143,'Pre-Summary'!$CR$6:$CT$36,3,FALSE),"")</f>
        <v/>
      </c>
      <c r="Z2143" s="45" t="str">
        <f>IFERROR(VLOOKUP(B2143,'Pre-Summary'!$BZ$6:$CB$63,2,FALSE),"")</f>
        <v/>
      </c>
      <c r="AA2143" s="45" t="str">
        <f>IFERROR(VLOOKUP(B2143,'Pre-Summary'!$CG$6:$CI$70,2,FALSE),"")</f>
        <v/>
      </c>
      <c r="AB2143" s="99">
        <f>IFERROR(VLOOKUP(B2143,'Pre-Summary'!$A$6:$P$178,9,FALSE),AB2144)</f>
        <v>0.35331798165166045</v>
      </c>
      <c r="AC2143" s="10">
        <f>IFERROR(VLOOKUP(Summary!B2143,'Pre-Summary'!$A$6:$P$184,5, FALSE)/100,AC2144)</f>
        <v>0.95479400000000003</v>
      </c>
      <c r="AD2143" s="10">
        <f>IFERROR(VLOOKUP(Summary!B2143,'Pre-Summary'!$A$6:$P$184,3, FALSE)/100,AD2144)</f>
        <v>3.6379333333333333E-2</v>
      </c>
      <c r="AE2143" s="10">
        <f>IFERROR(VLOOKUP(Summary!B2143,'Pre-Summary'!$A$6:$P$184,7, FALSE)/100,AE2144)</f>
        <v>8.8266666666666667E-3</v>
      </c>
      <c r="AF2143" s="99">
        <f t="shared" si="100"/>
        <v>1.2853472627166306E-2</v>
      </c>
      <c r="AG2143" s="99">
        <f t="shared" si="101"/>
        <v>3.1186200513786564E-3</v>
      </c>
      <c r="AH2143" s="10" t="str">
        <f>IFERROR(VLOOKUP(B2143,'Pre-Summary'!$AZ$6:$BE$65,3,FALSE),"")</f>
        <v/>
      </c>
      <c r="AI2143" s="10" t="str">
        <f>IFERROR(VLOOKUP(B2143,'Pre-Summary'!$AZ$6:$BE$65,5,FALSE),"")</f>
        <v/>
      </c>
      <c r="AJ2143" s="10" t="str">
        <f>IFERROR(VLOOKUP(B2143,'Pre-Summary'!$AZ$6:$BE$65,4,FALSE),"")</f>
        <v/>
      </c>
      <c r="AK2143" s="10" t="str">
        <f>IFERROR(VLOOKUP(B2143,'Pre-Summary'!$AZ$6:$BE$65,6,FALSE),"")</f>
        <v/>
      </c>
      <c r="AL2143" s="10" t="str">
        <f>IFERROR(VLOOKUP(B2143,'Pre-Summary'!$BG$6:$BL$44,3,FALSE),"")</f>
        <v/>
      </c>
      <c r="AM2143" s="10" t="str">
        <f>IFERROR(VLOOKUP(B2143,'Pre-Summary'!$BG$6:$BL$44,4,FALSE),"")</f>
        <v/>
      </c>
    </row>
    <row r="2144" spans="2:39" ht="15" customHeight="1" x14ac:dyDescent="0.3">
      <c r="B2144">
        <v>214.1</v>
      </c>
      <c r="C2144" t="str">
        <f>IFERROR(VLOOKUP(B2144,'Pre-Summary'!$DI$6:$DM$23,4,FALSE),"")</f>
        <v/>
      </c>
      <c r="D2144" s="10" t="str">
        <f>IFERROR(VLOOKUP(B2144,'Pre-Summary'!$AT$6:$AX$14,5,FALSE),D2143)</f>
        <v>Wolfe v3: went back to modified wolfe + EDTA and switched CuSO4 to CUCl2</v>
      </c>
      <c r="E2144" s="10" t="str">
        <f>IFERROR(VLOOKUP(B2144,'Pre-Summary'!$AT$6:$AX$15,4,FALSE),"")</f>
        <v/>
      </c>
      <c r="F2144">
        <f>IFERROR(VLOOKUP(B2144,'Pre-Summary'!$AL$6:$AQ$13,6,FALSE),F2143)</f>
        <v>5.9405263157894746E-2</v>
      </c>
      <c r="G2144" t="str">
        <f>IFERROR(VLOOKUP(B2144,'Pre-Summary'!$AE$6:$AJ$85,3,FALSE),"")</f>
        <v/>
      </c>
      <c r="H2144" t="str">
        <f>IFERROR(VLOOKUP(B2144,'Pre-Summary'!$AE$6:$AJ$85,4,FALSE),"")</f>
        <v/>
      </c>
      <c r="I2144" t="str">
        <f>IFERROR(VLOOKUP(B2144,'Pre-Summary'!$AE$6:$AJ$85,5,FALSE),"")</f>
        <v/>
      </c>
      <c r="J2144" s="45" t="str">
        <f>IFERROR(VLOOKUP(B2144,'Pre-Summary'!$AE$6:$AJ$85,6, FALSE),"")</f>
        <v/>
      </c>
      <c r="K2144" s="45" t="str">
        <f>IFERROR(VLOOKUP(B2144,'Pre-Summary'!$DE$6:$DG$61,3,FALSE),"")</f>
        <v/>
      </c>
      <c r="L2144" s="45" t="str">
        <f>IFERROR(VLOOKUP(B2144,'Pre-Summary'!$CU$6:$CW$36,3,FALSE),"")</f>
        <v/>
      </c>
      <c r="M2144" s="45" t="str">
        <f>IFERROR(VLOOKUP(B2144,'Pre-Summary'!$BW$6:$BY$58,2,FALSE),"")</f>
        <v/>
      </c>
      <c r="N2144" s="45" t="str">
        <f>IFERROR(VLOOKUP(B2144,'Pre-Summary'!$CD$6:$CF$64,2,FALSE),"")</f>
        <v/>
      </c>
      <c r="O2144" s="99">
        <f>IFERROR(VLOOKUP(B2144,'Pre-Summary'!$BO$6:$BQ$48,3, FALSE),O2143)</f>
        <v>1.3480000000000001</v>
      </c>
      <c r="P2144" s="99">
        <f>IFERROR(VLOOKUP(B2144,'Pre-Summary'!$BS$6:$BU$35,3,FALSE),P2143)</f>
        <v>0.379</v>
      </c>
      <c r="Q2144" s="54">
        <f t="shared" si="99"/>
        <v>3.556728232189974</v>
      </c>
      <c r="R2144" s="53">
        <f>IFERROR(VLOOKUP(B2144,'Pre-Summary'!$BG$6:$BM$44,7,FALSE),R2145)</f>
        <v>9.2946004538835364E-2</v>
      </c>
      <c r="S2144" s="53">
        <f>IFERROR(VLOOKUP(B2144,'Pre-Summary'!$BG$6:$BM$44,6,FALSE),S2145)</f>
        <v>8.3142487304634596E-2</v>
      </c>
      <c r="T2144" s="45" t="str">
        <f>IFERROR(VLOOKUP(B2144,'Pre-Summary'!$Y$6:$AC$83, 3,FALSE),"")</f>
        <v/>
      </c>
      <c r="U2144" s="45" t="str">
        <f>IFERROR(VLOOKUP(B2144,'Pre-Summary'!$Y$6:$AC$83, 4,FALSE),"")</f>
        <v/>
      </c>
      <c r="V2144" t="str">
        <f>IFERROR(VLOOKUP(B2144,'Pre-Summary'!$Y$6:$AC$83, 5,FALSE),"")</f>
        <v/>
      </c>
      <c r="W2144" s="45" t="str">
        <f>IFERROR(VLOOKUP(B2144,'Pre-Summary'!$Y$6:$AD$83,6,FALSE),"")</f>
        <v/>
      </c>
      <c r="X2144" t="str">
        <f>IFERROR(VLOOKUP('Pre-Summary'!$DB$6:$DD$63,3,FALSE),"")</f>
        <v/>
      </c>
      <c r="Y2144" t="str">
        <f>IFERROR(VLOOKUP(B2144,'Pre-Summary'!$CR$6:$CT$36,3,FALSE),"")</f>
        <v/>
      </c>
      <c r="Z2144" s="45" t="str">
        <f>IFERROR(VLOOKUP(B2144,'Pre-Summary'!$BZ$6:$CB$63,2,FALSE),"")</f>
        <v/>
      </c>
      <c r="AA2144" s="45" t="str">
        <f>IFERROR(VLOOKUP(B2144,'Pre-Summary'!$CG$6:$CI$70,2,FALSE),"")</f>
        <v/>
      </c>
      <c r="AB2144" s="99">
        <f>IFERROR(VLOOKUP(B2144,'Pre-Summary'!$A$6:$P$178,9,FALSE),AB2145)</f>
        <v>0.35331798165166045</v>
      </c>
      <c r="AC2144" s="10">
        <f>IFERROR(VLOOKUP(Summary!B2144,'Pre-Summary'!$A$6:$P$184,5, FALSE)/100,AC2145)</f>
        <v>0.95479400000000003</v>
      </c>
      <c r="AD2144" s="10">
        <f>IFERROR(VLOOKUP(Summary!B2144,'Pre-Summary'!$A$6:$P$184,3, FALSE)/100,AD2145)</f>
        <v>3.6379333333333333E-2</v>
      </c>
      <c r="AE2144" s="10">
        <f>IFERROR(VLOOKUP(Summary!B2144,'Pre-Summary'!$A$6:$P$184,7, FALSE)/100,AE2145)</f>
        <v>8.8266666666666667E-3</v>
      </c>
      <c r="AF2144" s="99">
        <f t="shared" si="100"/>
        <v>1.2853472627166306E-2</v>
      </c>
      <c r="AG2144" s="99">
        <f t="shared" si="101"/>
        <v>3.1186200513786564E-3</v>
      </c>
      <c r="AH2144" s="10" t="str">
        <f>IFERROR(VLOOKUP(B2144,'Pre-Summary'!$AZ$6:$BE$65,3,FALSE),"")</f>
        <v/>
      </c>
      <c r="AI2144" s="10" t="str">
        <f>IFERROR(VLOOKUP(B2144,'Pre-Summary'!$AZ$6:$BE$65,5,FALSE),"")</f>
        <v/>
      </c>
      <c r="AJ2144" s="10" t="str">
        <f>IFERROR(VLOOKUP(B2144,'Pre-Summary'!$AZ$6:$BE$65,4,FALSE),"")</f>
        <v/>
      </c>
      <c r="AK2144" s="10" t="str">
        <f>IFERROR(VLOOKUP(B2144,'Pre-Summary'!$AZ$6:$BE$65,6,FALSE),"")</f>
        <v/>
      </c>
      <c r="AL2144" s="10" t="str">
        <f>IFERROR(VLOOKUP(B2144,'Pre-Summary'!$BG$6:$BL$44,3,FALSE),"")</f>
        <v/>
      </c>
      <c r="AM2144" s="10" t="str">
        <f>IFERROR(VLOOKUP(B2144,'Pre-Summary'!$BG$6:$BL$44,4,FALSE),"")</f>
        <v/>
      </c>
    </row>
    <row r="2145" spans="2:39" ht="15" customHeight="1" x14ac:dyDescent="0.3">
      <c r="B2145">
        <v>214.2</v>
      </c>
      <c r="C2145" t="str">
        <f>IFERROR(VLOOKUP(B2145,'Pre-Summary'!$DI$6:$DM$23,4,FALSE),"")</f>
        <v/>
      </c>
      <c r="D2145" s="10" t="str">
        <f>IFERROR(VLOOKUP(B2145,'Pre-Summary'!$AT$6:$AX$14,5,FALSE),D2144)</f>
        <v>Wolfe v3: went back to modified wolfe + EDTA and switched CuSO4 to CUCl2</v>
      </c>
      <c r="E2145" s="10" t="str">
        <f>IFERROR(VLOOKUP(B2145,'Pre-Summary'!$AT$6:$AX$15,4,FALSE),"")</f>
        <v/>
      </c>
      <c r="F2145">
        <f>IFERROR(VLOOKUP(B2145,'Pre-Summary'!$AL$6:$AQ$13,6,FALSE),F2144)</f>
        <v>5.9405263157894746E-2</v>
      </c>
      <c r="G2145" t="str">
        <f>IFERROR(VLOOKUP(B2145,'Pre-Summary'!$AE$6:$AJ$85,3,FALSE),"")</f>
        <v/>
      </c>
      <c r="H2145" t="str">
        <f>IFERROR(VLOOKUP(B2145,'Pre-Summary'!$AE$6:$AJ$85,4,FALSE),"")</f>
        <v/>
      </c>
      <c r="I2145" t="str">
        <f>IFERROR(VLOOKUP(B2145,'Pre-Summary'!$AE$6:$AJ$85,5,FALSE),"")</f>
        <v/>
      </c>
      <c r="J2145" s="45" t="str">
        <f>IFERROR(VLOOKUP(B2145,'Pre-Summary'!$AE$6:$AJ$85,6, FALSE),"")</f>
        <v/>
      </c>
      <c r="K2145" s="45" t="str">
        <f>IFERROR(VLOOKUP(B2145,'Pre-Summary'!$DE$6:$DG$61,3,FALSE),"")</f>
        <v/>
      </c>
      <c r="L2145" s="45" t="str">
        <f>IFERROR(VLOOKUP(B2145,'Pre-Summary'!$CU$6:$CW$36,3,FALSE),"")</f>
        <v/>
      </c>
      <c r="M2145" s="45" t="str">
        <f>IFERROR(VLOOKUP(B2145,'Pre-Summary'!$BW$6:$BY$58,2,FALSE),"")</f>
        <v/>
      </c>
      <c r="N2145" s="45" t="str">
        <f>IFERROR(VLOOKUP(B2145,'Pre-Summary'!$CD$6:$CF$64,2,FALSE),"")</f>
        <v/>
      </c>
      <c r="O2145" s="99">
        <f>IFERROR(VLOOKUP(B2145,'Pre-Summary'!$BO$6:$BQ$48,3, FALSE),O2144)</f>
        <v>1.3480000000000001</v>
      </c>
      <c r="P2145" s="99">
        <f>IFERROR(VLOOKUP(B2145,'Pre-Summary'!$BS$6:$BU$35,3,FALSE),P2144)</f>
        <v>0.379</v>
      </c>
      <c r="Q2145" s="54">
        <f t="shared" si="99"/>
        <v>3.556728232189974</v>
      </c>
      <c r="R2145" s="53">
        <f>IFERROR(VLOOKUP(B2145,'Pre-Summary'!$BG$6:$BM$44,7,FALSE),R2146)</f>
        <v>9.2946004538835364E-2</v>
      </c>
      <c r="S2145" s="53">
        <f>IFERROR(VLOOKUP(B2145,'Pre-Summary'!$BG$6:$BM$44,6,FALSE),S2146)</f>
        <v>8.3142487304634596E-2</v>
      </c>
      <c r="T2145" s="45" t="str">
        <f>IFERROR(VLOOKUP(B2145,'Pre-Summary'!$Y$6:$AC$83, 3,FALSE),"")</f>
        <v/>
      </c>
      <c r="U2145" s="45" t="str">
        <f>IFERROR(VLOOKUP(B2145,'Pre-Summary'!$Y$6:$AC$83, 4,FALSE),"")</f>
        <v/>
      </c>
      <c r="V2145" t="str">
        <f>IFERROR(VLOOKUP(B2145,'Pre-Summary'!$Y$6:$AC$83, 5,FALSE),"")</f>
        <v/>
      </c>
      <c r="W2145" s="45" t="str">
        <f>IFERROR(VLOOKUP(B2145,'Pre-Summary'!$Y$6:$AD$83,6,FALSE),"")</f>
        <v/>
      </c>
      <c r="X2145" t="str">
        <f>IFERROR(VLOOKUP('Pre-Summary'!$DB$6:$DD$63,3,FALSE),"")</f>
        <v/>
      </c>
      <c r="Y2145" t="str">
        <f>IFERROR(VLOOKUP(B2145,'Pre-Summary'!$CR$6:$CT$36,3,FALSE),"")</f>
        <v/>
      </c>
      <c r="Z2145" s="45" t="str">
        <f>IFERROR(VLOOKUP(B2145,'Pre-Summary'!$BZ$6:$CB$63,2,FALSE),"")</f>
        <v/>
      </c>
      <c r="AA2145" s="45" t="str">
        <f>IFERROR(VLOOKUP(B2145,'Pre-Summary'!$CG$6:$CI$70,2,FALSE),"")</f>
        <v/>
      </c>
      <c r="AB2145" s="99">
        <f>IFERROR(VLOOKUP(B2145,'Pre-Summary'!$A$6:$P$178,9,FALSE),AB2146)</f>
        <v>0.35331798165166045</v>
      </c>
      <c r="AC2145" s="10">
        <f>IFERROR(VLOOKUP(Summary!B2145,'Pre-Summary'!$A$6:$P$184,5, FALSE)/100,AC2146)</f>
        <v>0.95479400000000003</v>
      </c>
      <c r="AD2145" s="10">
        <f>IFERROR(VLOOKUP(Summary!B2145,'Pre-Summary'!$A$6:$P$184,3, FALSE)/100,AD2146)</f>
        <v>3.6379333333333333E-2</v>
      </c>
      <c r="AE2145" s="10">
        <f>IFERROR(VLOOKUP(Summary!B2145,'Pre-Summary'!$A$6:$P$184,7, FALSE)/100,AE2146)</f>
        <v>8.8266666666666667E-3</v>
      </c>
      <c r="AF2145" s="99">
        <f t="shared" si="100"/>
        <v>1.2853472627166306E-2</v>
      </c>
      <c r="AG2145" s="99">
        <f t="shared" si="101"/>
        <v>3.1186200513786564E-3</v>
      </c>
      <c r="AH2145" s="10" t="str">
        <f>IFERROR(VLOOKUP(B2145,'Pre-Summary'!$AZ$6:$BE$65,3,FALSE),"")</f>
        <v/>
      </c>
      <c r="AI2145" s="10" t="str">
        <f>IFERROR(VLOOKUP(B2145,'Pre-Summary'!$AZ$6:$BE$65,5,FALSE),"")</f>
        <v/>
      </c>
      <c r="AJ2145" s="10" t="str">
        <f>IFERROR(VLOOKUP(B2145,'Pre-Summary'!$AZ$6:$BE$65,4,FALSE),"")</f>
        <v/>
      </c>
      <c r="AK2145" s="10" t="str">
        <f>IFERROR(VLOOKUP(B2145,'Pre-Summary'!$AZ$6:$BE$65,6,FALSE),"")</f>
        <v/>
      </c>
      <c r="AL2145" s="10" t="str">
        <f>IFERROR(VLOOKUP(B2145,'Pre-Summary'!$BG$6:$BL$44,3,FALSE),"")</f>
        <v/>
      </c>
      <c r="AM2145" s="10" t="str">
        <f>IFERROR(VLOOKUP(B2145,'Pre-Summary'!$BG$6:$BL$44,4,FALSE),"")</f>
        <v/>
      </c>
    </row>
    <row r="2146" spans="2:39" ht="15" customHeight="1" x14ac:dyDescent="0.3">
      <c r="B2146">
        <v>214.3</v>
      </c>
      <c r="C2146" t="str">
        <f>IFERROR(VLOOKUP(B2146,'Pre-Summary'!$DI$6:$DM$23,4,FALSE),"")</f>
        <v/>
      </c>
      <c r="D2146" s="10" t="str">
        <f>IFERROR(VLOOKUP(B2146,'Pre-Summary'!$AT$6:$AX$14,5,FALSE),D2145)</f>
        <v>Wolfe v3: went back to modified wolfe + EDTA and switched CuSO4 to CUCl2</v>
      </c>
      <c r="E2146" s="10" t="str">
        <f>IFERROR(VLOOKUP(B2146,'Pre-Summary'!$AT$6:$AX$15,4,FALSE),"")</f>
        <v/>
      </c>
      <c r="F2146">
        <f>IFERROR(VLOOKUP(B2146,'Pre-Summary'!$AL$6:$AQ$13,6,FALSE),F2145)</f>
        <v>5.9405263157894746E-2</v>
      </c>
      <c r="G2146" t="str">
        <f>IFERROR(VLOOKUP(B2146,'Pre-Summary'!$AE$6:$AJ$85,3,FALSE),"")</f>
        <v/>
      </c>
      <c r="H2146" t="str">
        <f>IFERROR(VLOOKUP(B2146,'Pre-Summary'!$AE$6:$AJ$85,4,FALSE),"")</f>
        <v/>
      </c>
      <c r="I2146" t="str">
        <f>IFERROR(VLOOKUP(B2146,'Pre-Summary'!$AE$6:$AJ$85,5,FALSE),"")</f>
        <v/>
      </c>
      <c r="J2146" s="45" t="str">
        <f>IFERROR(VLOOKUP(B2146,'Pre-Summary'!$AE$6:$AJ$85,6, FALSE),"")</f>
        <v/>
      </c>
      <c r="K2146" s="45" t="str">
        <f>IFERROR(VLOOKUP(B2146,'Pre-Summary'!$DE$6:$DG$61,3,FALSE),"")</f>
        <v/>
      </c>
      <c r="L2146" s="45" t="str">
        <f>IFERROR(VLOOKUP(B2146,'Pre-Summary'!$CU$6:$CW$36,3,FALSE),"")</f>
        <v/>
      </c>
      <c r="M2146" s="45" t="str">
        <f>IFERROR(VLOOKUP(B2146,'Pre-Summary'!$BW$6:$BY$58,2,FALSE),"")</f>
        <v/>
      </c>
      <c r="N2146" s="45" t="str">
        <f>IFERROR(VLOOKUP(B2146,'Pre-Summary'!$CD$6:$CF$64,2,FALSE),"")</f>
        <v/>
      </c>
      <c r="O2146" s="99">
        <f>IFERROR(VLOOKUP(B2146,'Pre-Summary'!$BO$6:$BQ$48,3, FALSE),O2145)</f>
        <v>1.3480000000000001</v>
      </c>
      <c r="P2146" s="99">
        <f>IFERROR(VLOOKUP(B2146,'Pre-Summary'!$BS$6:$BU$35,3,FALSE),P2145)</f>
        <v>0.379</v>
      </c>
      <c r="Q2146" s="54">
        <f t="shared" si="99"/>
        <v>3.556728232189974</v>
      </c>
      <c r="R2146" s="53">
        <f>IFERROR(VLOOKUP(B2146,'Pre-Summary'!$BG$6:$BM$44,7,FALSE),R2147)</f>
        <v>9.2946004538835364E-2</v>
      </c>
      <c r="S2146" s="53">
        <f>IFERROR(VLOOKUP(B2146,'Pre-Summary'!$BG$6:$BM$44,6,FALSE),S2147)</f>
        <v>8.3142487304634596E-2</v>
      </c>
      <c r="T2146" s="45" t="str">
        <f>IFERROR(VLOOKUP(B2146,'Pre-Summary'!$Y$6:$AC$83, 3,FALSE),"")</f>
        <v/>
      </c>
      <c r="U2146" s="45" t="str">
        <f>IFERROR(VLOOKUP(B2146,'Pre-Summary'!$Y$6:$AC$83, 4,FALSE),"")</f>
        <v/>
      </c>
      <c r="V2146" t="str">
        <f>IFERROR(VLOOKUP(B2146,'Pre-Summary'!$Y$6:$AC$83, 5,FALSE),"")</f>
        <v/>
      </c>
      <c r="W2146" s="45" t="str">
        <f>IFERROR(VLOOKUP(B2146,'Pre-Summary'!$Y$6:$AD$83,6,FALSE),"")</f>
        <v/>
      </c>
      <c r="X2146" t="str">
        <f>IFERROR(VLOOKUP('Pre-Summary'!$DB$6:$DD$63,3,FALSE),"")</f>
        <v/>
      </c>
      <c r="Y2146" t="str">
        <f>IFERROR(VLOOKUP(B2146,'Pre-Summary'!$CR$6:$CT$36,3,FALSE),"")</f>
        <v/>
      </c>
      <c r="Z2146" s="45" t="str">
        <f>IFERROR(VLOOKUP(B2146,'Pre-Summary'!$BZ$6:$CB$63,2,FALSE),"")</f>
        <v/>
      </c>
      <c r="AA2146" s="45" t="str">
        <f>IFERROR(VLOOKUP(B2146,'Pre-Summary'!$CG$6:$CI$70,2,FALSE),"")</f>
        <v/>
      </c>
      <c r="AB2146" s="99">
        <f>IFERROR(VLOOKUP(B2146,'Pre-Summary'!$A$6:$P$178,9,FALSE),AB2147)</f>
        <v>0.35331798165166045</v>
      </c>
      <c r="AC2146" s="10">
        <f>IFERROR(VLOOKUP(Summary!B2146,'Pre-Summary'!$A$6:$P$184,5, FALSE)/100,AC2147)</f>
        <v>0.95479400000000003</v>
      </c>
      <c r="AD2146" s="10">
        <f>IFERROR(VLOOKUP(Summary!B2146,'Pre-Summary'!$A$6:$P$184,3, FALSE)/100,AD2147)</f>
        <v>3.6379333333333333E-2</v>
      </c>
      <c r="AE2146" s="10">
        <f>IFERROR(VLOOKUP(Summary!B2146,'Pre-Summary'!$A$6:$P$184,7, FALSE)/100,AE2147)</f>
        <v>8.8266666666666667E-3</v>
      </c>
      <c r="AF2146" s="99">
        <f t="shared" si="100"/>
        <v>1.2853472627166306E-2</v>
      </c>
      <c r="AG2146" s="99">
        <f t="shared" si="101"/>
        <v>3.1186200513786564E-3</v>
      </c>
      <c r="AH2146" s="10" t="str">
        <f>IFERROR(VLOOKUP(B2146,'Pre-Summary'!$AZ$6:$BE$65,3,FALSE),"")</f>
        <v/>
      </c>
      <c r="AI2146" s="10" t="str">
        <f>IFERROR(VLOOKUP(B2146,'Pre-Summary'!$AZ$6:$BE$65,5,FALSE),"")</f>
        <v/>
      </c>
      <c r="AJ2146" s="10" t="str">
        <f>IFERROR(VLOOKUP(B2146,'Pre-Summary'!$AZ$6:$BE$65,4,FALSE),"")</f>
        <v/>
      </c>
      <c r="AK2146" s="10" t="str">
        <f>IFERROR(VLOOKUP(B2146,'Pre-Summary'!$AZ$6:$BE$65,6,FALSE),"")</f>
        <v/>
      </c>
      <c r="AL2146" s="10" t="str">
        <f>IFERROR(VLOOKUP(B2146,'Pre-Summary'!$BG$6:$BL$44,3,FALSE),"")</f>
        <v/>
      </c>
      <c r="AM2146" s="10" t="str">
        <f>IFERROR(VLOOKUP(B2146,'Pre-Summary'!$BG$6:$BL$44,4,FALSE),"")</f>
        <v/>
      </c>
    </row>
    <row r="2147" spans="2:39" ht="15" customHeight="1" x14ac:dyDescent="0.3">
      <c r="B2147">
        <v>214.4</v>
      </c>
      <c r="C2147" t="str">
        <f>IFERROR(VLOOKUP(B2147,'Pre-Summary'!$DI$6:$DM$23,4,FALSE),"")</f>
        <v/>
      </c>
      <c r="D2147" s="10" t="str">
        <f>IFERROR(VLOOKUP(B2147,'Pre-Summary'!$AT$6:$AX$14,5,FALSE),D2146)</f>
        <v>Wolfe v3: went back to modified wolfe + EDTA and switched CuSO4 to CUCl2</v>
      </c>
      <c r="E2147" s="10" t="str">
        <f>IFERROR(VLOOKUP(B2147,'Pre-Summary'!$AT$6:$AX$15,4,FALSE),"")</f>
        <v/>
      </c>
      <c r="F2147">
        <f>IFERROR(VLOOKUP(B2147,'Pre-Summary'!$AL$6:$AQ$13,6,FALSE),F2146)</f>
        <v>5.9405263157894746E-2</v>
      </c>
      <c r="G2147" t="str">
        <f>IFERROR(VLOOKUP(B2147,'Pre-Summary'!$AE$6:$AJ$85,3,FALSE),"")</f>
        <v/>
      </c>
      <c r="H2147" t="str">
        <f>IFERROR(VLOOKUP(B2147,'Pre-Summary'!$AE$6:$AJ$85,4,FALSE),"")</f>
        <v/>
      </c>
      <c r="I2147" t="str">
        <f>IFERROR(VLOOKUP(B2147,'Pre-Summary'!$AE$6:$AJ$85,5,FALSE),"")</f>
        <v/>
      </c>
      <c r="J2147" s="45" t="str">
        <f>IFERROR(VLOOKUP(B2147,'Pre-Summary'!$AE$6:$AJ$85,6, FALSE),"")</f>
        <v/>
      </c>
      <c r="K2147" s="45" t="str">
        <f>IFERROR(VLOOKUP(B2147,'Pre-Summary'!$DE$6:$DG$61,3,FALSE),"")</f>
        <v/>
      </c>
      <c r="L2147" s="45" t="str">
        <f>IFERROR(VLOOKUP(B2147,'Pre-Summary'!$CU$6:$CW$36,3,FALSE),"")</f>
        <v/>
      </c>
      <c r="M2147" s="45" t="str">
        <f>IFERROR(VLOOKUP(B2147,'Pre-Summary'!$BW$6:$BY$58,2,FALSE),"")</f>
        <v/>
      </c>
      <c r="N2147" s="45" t="str">
        <f>IFERROR(VLOOKUP(B2147,'Pre-Summary'!$CD$6:$CF$64,2,FALSE),"")</f>
        <v/>
      </c>
      <c r="O2147" s="99">
        <f>IFERROR(VLOOKUP(B2147,'Pre-Summary'!$BO$6:$BQ$48,3, FALSE),O2146)</f>
        <v>1.3480000000000001</v>
      </c>
      <c r="P2147" s="99">
        <f>IFERROR(VLOOKUP(B2147,'Pre-Summary'!$BS$6:$BU$35,3,FALSE),P2146)</f>
        <v>0.379</v>
      </c>
      <c r="Q2147" s="54">
        <f t="shared" si="99"/>
        <v>3.556728232189974</v>
      </c>
      <c r="R2147" s="53">
        <f>IFERROR(VLOOKUP(B2147,'Pre-Summary'!$BG$6:$BM$44,7,FALSE),R2148)</f>
        <v>9.2946004538835364E-2</v>
      </c>
      <c r="S2147" s="53">
        <f>IFERROR(VLOOKUP(B2147,'Pre-Summary'!$BG$6:$BM$44,6,FALSE),S2148)</f>
        <v>8.3142487304634596E-2</v>
      </c>
      <c r="T2147" s="45" t="str">
        <f>IFERROR(VLOOKUP(B2147,'Pre-Summary'!$Y$6:$AC$83, 3,FALSE),"")</f>
        <v/>
      </c>
      <c r="U2147" s="45" t="str">
        <f>IFERROR(VLOOKUP(B2147,'Pre-Summary'!$Y$6:$AC$83, 4,FALSE),"")</f>
        <v/>
      </c>
      <c r="V2147" t="str">
        <f>IFERROR(VLOOKUP(B2147,'Pre-Summary'!$Y$6:$AC$83, 5,FALSE),"")</f>
        <v/>
      </c>
      <c r="W2147" s="45" t="str">
        <f>IFERROR(VLOOKUP(B2147,'Pre-Summary'!$Y$6:$AD$83,6,FALSE),"")</f>
        <v/>
      </c>
      <c r="X2147" t="str">
        <f>IFERROR(VLOOKUP('Pre-Summary'!$DB$6:$DD$63,3,FALSE),"")</f>
        <v/>
      </c>
      <c r="Y2147" t="str">
        <f>IFERROR(VLOOKUP(B2147,'Pre-Summary'!$CR$6:$CT$36,3,FALSE),"")</f>
        <v/>
      </c>
      <c r="Z2147" s="45" t="str">
        <f>IFERROR(VLOOKUP(B2147,'Pre-Summary'!$BZ$6:$CB$63,2,FALSE),"")</f>
        <v/>
      </c>
      <c r="AA2147" s="45" t="str">
        <f>IFERROR(VLOOKUP(B2147,'Pre-Summary'!$CG$6:$CI$70,2,FALSE),"")</f>
        <v/>
      </c>
      <c r="AB2147" s="99">
        <f>IFERROR(VLOOKUP(B2147,'Pre-Summary'!$A$6:$P$178,9,FALSE),AB2148)</f>
        <v>0.35331798165166045</v>
      </c>
      <c r="AC2147" s="10">
        <f>IFERROR(VLOOKUP(Summary!B2147,'Pre-Summary'!$A$6:$P$184,5, FALSE)/100,AC2148)</f>
        <v>0.95479400000000003</v>
      </c>
      <c r="AD2147" s="10">
        <f>IFERROR(VLOOKUP(Summary!B2147,'Pre-Summary'!$A$6:$P$184,3, FALSE)/100,AD2148)</f>
        <v>3.6379333333333333E-2</v>
      </c>
      <c r="AE2147" s="10">
        <f>IFERROR(VLOOKUP(Summary!B2147,'Pre-Summary'!$A$6:$P$184,7, FALSE)/100,AE2148)</f>
        <v>8.8266666666666667E-3</v>
      </c>
      <c r="AF2147" s="99">
        <f t="shared" si="100"/>
        <v>1.2853472627166306E-2</v>
      </c>
      <c r="AG2147" s="99">
        <f t="shared" si="101"/>
        <v>3.1186200513786564E-3</v>
      </c>
      <c r="AH2147" s="10" t="str">
        <f>IFERROR(VLOOKUP(B2147,'Pre-Summary'!$AZ$6:$BE$65,3,FALSE),"")</f>
        <v/>
      </c>
      <c r="AI2147" s="10" t="str">
        <f>IFERROR(VLOOKUP(B2147,'Pre-Summary'!$AZ$6:$BE$65,5,FALSE),"")</f>
        <v/>
      </c>
      <c r="AJ2147" s="10" t="str">
        <f>IFERROR(VLOOKUP(B2147,'Pre-Summary'!$AZ$6:$BE$65,4,FALSE),"")</f>
        <v/>
      </c>
      <c r="AK2147" s="10" t="str">
        <f>IFERROR(VLOOKUP(B2147,'Pre-Summary'!$AZ$6:$BE$65,6,FALSE),"")</f>
        <v/>
      </c>
      <c r="AL2147" s="10" t="str">
        <f>IFERROR(VLOOKUP(B2147,'Pre-Summary'!$BG$6:$BL$44,3,FALSE),"")</f>
        <v/>
      </c>
      <c r="AM2147" s="10" t="str">
        <f>IFERROR(VLOOKUP(B2147,'Pre-Summary'!$BG$6:$BL$44,4,FALSE),"")</f>
        <v/>
      </c>
    </row>
    <row r="2148" spans="2:39" ht="15" customHeight="1" x14ac:dyDescent="0.3">
      <c r="B2148">
        <v>214.5</v>
      </c>
      <c r="C2148" t="str">
        <f>IFERROR(VLOOKUP(B2148,'Pre-Summary'!$DI$6:$DM$23,4,FALSE),"")</f>
        <v/>
      </c>
      <c r="D2148" s="10" t="str">
        <f>IFERROR(VLOOKUP(B2148,'Pre-Summary'!$AT$6:$AX$14,5,FALSE),D2147)</f>
        <v>Wolfe v3: went back to modified wolfe + EDTA and switched CuSO4 to CUCl2</v>
      </c>
      <c r="E2148" s="10" t="str">
        <f>IFERROR(VLOOKUP(B2148,'Pre-Summary'!$AT$6:$AX$15,4,FALSE),"")</f>
        <v/>
      </c>
      <c r="F2148">
        <f>IFERROR(VLOOKUP(B2148,'Pre-Summary'!$AL$6:$AQ$13,6,FALSE),F2147)</f>
        <v>5.9405263157894746E-2</v>
      </c>
      <c r="G2148" t="str">
        <f>IFERROR(VLOOKUP(B2148,'Pre-Summary'!$AE$6:$AJ$85,3,FALSE),"")</f>
        <v/>
      </c>
      <c r="H2148" t="str">
        <f>IFERROR(VLOOKUP(B2148,'Pre-Summary'!$AE$6:$AJ$85,4,FALSE),"")</f>
        <v/>
      </c>
      <c r="I2148" t="str">
        <f>IFERROR(VLOOKUP(B2148,'Pre-Summary'!$AE$6:$AJ$85,5,FALSE),"")</f>
        <v/>
      </c>
      <c r="J2148" s="45" t="str">
        <f>IFERROR(VLOOKUP(B2148,'Pre-Summary'!$AE$6:$AJ$85,6, FALSE),"")</f>
        <v/>
      </c>
      <c r="K2148" s="45" t="str">
        <f>IFERROR(VLOOKUP(B2148,'Pre-Summary'!$DE$6:$DG$61,3,FALSE),"")</f>
        <v/>
      </c>
      <c r="L2148" s="45" t="str">
        <f>IFERROR(VLOOKUP(B2148,'Pre-Summary'!$CU$6:$CW$36,3,FALSE),"")</f>
        <v/>
      </c>
      <c r="M2148" s="45" t="str">
        <f>IFERROR(VLOOKUP(B2148,'Pre-Summary'!$BW$6:$BY$58,2,FALSE),"")</f>
        <v/>
      </c>
      <c r="N2148" s="45" t="str">
        <f>IFERROR(VLOOKUP(B2148,'Pre-Summary'!$CD$6:$CF$64,2,FALSE),"")</f>
        <v/>
      </c>
      <c r="O2148" s="99">
        <f>IFERROR(VLOOKUP(B2148,'Pre-Summary'!$BO$6:$BQ$48,3, FALSE),O2147)</f>
        <v>1.3480000000000001</v>
      </c>
      <c r="P2148" s="99">
        <f>IFERROR(VLOOKUP(B2148,'Pre-Summary'!$BS$6:$BU$35,3,FALSE),P2147)</f>
        <v>0.379</v>
      </c>
      <c r="Q2148" s="54">
        <f t="shared" si="99"/>
        <v>3.556728232189974</v>
      </c>
      <c r="R2148" s="53">
        <f>IFERROR(VLOOKUP(B2148,'Pre-Summary'!$BG$6:$BM$44,7,FALSE),R2149)</f>
        <v>9.2946004538835364E-2</v>
      </c>
      <c r="S2148" s="53">
        <f>IFERROR(VLOOKUP(B2148,'Pre-Summary'!$BG$6:$BM$44,6,FALSE),S2149)</f>
        <v>8.3142487304634596E-2</v>
      </c>
      <c r="T2148" s="45" t="str">
        <f>IFERROR(VLOOKUP(B2148,'Pre-Summary'!$Y$6:$AC$83, 3,FALSE),"")</f>
        <v/>
      </c>
      <c r="U2148" s="45" t="str">
        <f>IFERROR(VLOOKUP(B2148,'Pre-Summary'!$Y$6:$AC$83, 4,FALSE),"")</f>
        <v/>
      </c>
      <c r="V2148" t="str">
        <f>IFERROR(VLOOKUP(B2148,'Pre-Summary'!$Y$6:$AC$83, 5,FALSE),"")</f>
        <v/>
      </c>
      <c r="W2148" s="45" t="str">
        <f>IFERROR(VLOOKUP(B2148,'Pre-Summary'!$Y$6:$AD$83,6,FALSE),"")</f>
        <v/>
      </c>
      <c r="X2148" t="str">
        <f>IFERROR(VLOOKUP('Pre-Summary'!$DB$6:$DD$63,3,FALSE),"")</f>
        <v/>
      </c>
      <c r="Y2148" t="str">
        <f>IFERROR(VLOOKUP(B2148,'Pre-Summary'!$CR$6:$CT$36,3,FALSE),"")</f>
        <v/>
      </c>
      <c r="Z2148" s="45" t="str">
        <f>IFERROR(VLOOKUP(B2148,'Pre-Summary'!$BZ$6:$CB$63,2,FALSE),"")</f>
        <v/>
      </c>
      <c r="AA2148" s="45" t="str">
        <f>IFERROR(VLOOKUP(B2148,'Pre-Summary'!$CG$6:$CI$70,2,FALSE),"")</f>
        <v/>
      </c>
      <c r="AB2148" s="99">
        <f>IFERROR(VLOOKUP(B2148,'Pre-Summary'!$A$6:$P$178,9,FALSE),AB2149)</f>
        <v>0.35331798165166045</v>
      </c>
      <c r="AC2148" s="10">
        <f>IFERROR(VLOOKUP(Summary!B2148,'Pre-Summary'!$A$6:$P$184,5, FALSE)/100,AC2149)</f>
        <v>0.95479400000000003</v>
      </c>
      <c r="AD2148" s="10">
        <f>IFERROR(VLOOKUP(Summary!B2148,'Pre-Summary'!$A$6:$P$184,3, FALSE)/100,AD2149)</f>
        <v>3.6379333333333333E-2</v>
      </c>
      <c r="AE2148" s="10">
        <f>IFERROR(VLOOKUP(Summary!B2148,'Pre-Summary'!$A$6:$P$184,7, FALSE)/100,AE2149)</f>
        <v>8.8266666666666667E-3</v>
      </c>
      <c r="AF2148" s="99">
        <f t="shared" si="100"/>
        <v>1.2853472627166306E-2</v>
      </c>
      <c r="AG2148" s="99">
        <f t="shared" si="101"/>
        <v>3.1186200513786564E-3</v>
      </c>
      <c r="AH2148" s="10" t="str">
        <f>IFERROR(VLOOKUP(B2148,'Pre-Summary'!$AZ$6:$BE$65,3,FALSE),"")</f>
        <v/>
      </c>
      <c r="AI2148" s="10" t="str">
        <f>IFERROR(VLOOKUP(B2148,'Pre-Summary'!$AZ$6:$BE$65,5,FALSE),"")</f>
        <v/>
      </c>
      <c r="AJ2148" s="10" t="str">
        <f>IFERROR(VLOOKUP(B2148,'Pre-Summary'!$AZ$6:$BE$65,4,FALSE),"")</f>
        <v/>
      </c>
      <c r="AK2148" s="10" t="str">
        <f>IFERROR(VLOOKUP(B2148,'Pre-Summary'!$AZ$6:$BE$65,6,FALSE),"")</f>
        <v/>
      </c>
      <c r="AL2148" s="10" t="str">
        <f>IFERROR(VLOOKUP(B2148,'Pre-Summary'!$BG$6:$BL$44,3,FALSE),"")</f>
        <v/>
      </c>
      <c r="AM2148" s="10" t="str">
        <f>IFERROR(VLOOKUP(B2148,'Pre-Summary'!$BG$6:$BL$44,4,FALSE),"")</f>
        <v/>
      </c>
    </row>
    <row r="2149" spans="2:39" ht="15" customHeight="1" x14ac:dyDescent="0.3">
      <c r="B2149">
        <v>214.6</v>
      </c>
      <c r="C2149" t="str">
        <f>IFERROR(VLOOKUP(B2149,'Pre-Summary'!$DI$6:$DM$23,4,FALSE),"")</f>
        <v/>
      </c>
      <c r="D2149" s="10" t="str">
        <f>IFERROR(VLOOKUP(B2149,'Pre-Summary'!$AT$6:$AX$14,5,FALSE),D2148)</f>
        <v>Wolfe v3: went back to modified wolfe + EDTA and switched CuSO4 to CUCl2</v>
      </c>
      <c r="E2149" s="10" t="str">
        <f>IFERROR(VLOOKUP(B2149,'Pre-Summary'!$AT$6:$AX$15,4,FALSE),"")</f>
        <v/>
      </c>
      <c r="F2149">
        <f>IFERROR(VLOOKUP(B2149,'Pre-Summary'!$AL$6:$AQ$13,6,FALSE),F2148)</f>
        <v>5.9405263157894746E-2</v>
      </c>
      <c r="G2149" t="str">
        <f>IFERROR(VLOOKUP(B2149,'Pre-Summary'!$AE$6:$AJ$85,3,FALSE),"")</f>
        <v/>
      </c>
      <c r="H2149" t="str">
        <f>IFERROR(VLOOKUP(B2149,'Pre-Summary'!$AE$6:$AJ$85,4,FALSE),"")</f>
        <v/>
      </c>
      <c r="I2149" t="str">
        <f>IFERROR(VLOOKUP(B2149,'Pre-Summary'!$AE$6:$AJ$85,5,FALSE),"")</f>
        <v/>
      </c>
      <c r="J2149" s="45" t="str">
        <f>IFERROR(VLOOKUP(B2149,'Pre-Summary'!$AE$6:$AJ$85,6, FALSE),"")</f>
        <v/>
      </c>
      <c r="K2149" s="45" t="str">
        <f>IFERROR(VLOOKUP(B2149,'Pre-Summary'!$DE$6:$DG$61,3,FALSE),"")</f>
        <v/>
      </c>
      <c r="L2149" s="45" t="str">
        <f>IFERROR(VLOOKUP(B2149,'Pre-Summary'!$CU$6:$CW$36,3,FALSE),"")</f>
        <v/>
      </c>
      <c r="M2149" s="45" t="str">
        <f>IFERROR(VLOOKUP(B2149,'Pre-Summary'!$BW$6:$BY$58,2,FALSE),"")</f>
        <v/>
      </c>
      <c r="N2149" s="45" t="str">
        <f>IFERROR(VLOOKUP(B2149,'Pre-Summary'!$CD$6:$CF$64,2,FALSE),"")</f>
        <v/>
      </c>
      <c r="O2149" s="99">
        <f>IFERROR(VLOOKUP(B2149,'Pre-Summary'!$BO$6:$BQ$48,3, FALSE),O2148)</f>
        <v>1.3480000000000001</v>
      </c>
      <c r="P2149" s="99">
        <f>IFERROR(VLOOKUP(B2149,'Pre-Summary'!$BS$6:$BU$35,3,FALSE),P2148)</f>
        <v>0.379</v>
      </c>
      <c r="Q2149" s="54">
        <f t="shared" si="99"/>
        <v>3.556728232189974</v>
      </c>
      <c r="R2149" s="53">
        <f>IFERROR(VLOOKUP(B2149,'Pre-Summary'!$BG$6:$BM$44,7,FALSE),R2150)</f>
        <v>9.2946004538835364E-2</v>
      </c>
      <c r="S2149" s="53">
        <f>IFERROR(VLOOKUP(B2149,'Pre-Summary'!$BG$6:$BM$44,6,FALSE),S2150)</f>
        <v>8.3142487304634596E-2</v>
      </c>
      <c r="T2149" s="45" t="str">
        <f>IFERROR(VLOOKUP(B2149,'Pre-Summary'!$Y$6:$AC$83, 3,FALSE),"")</f>
        <v/>
      </c>
      <c r="U2149" s="45" t="str">
        <f>IFERROR(VLOOKUP(B2149,'Pre-Summary'!$Y$6:$AC$83, 4,FALSE),"")</f>
        <v/>
      </c>
      <c r="V2149" t="str">
        <f>IFERROR(VLOOKUP(B2149,'Pre-Summary'!$Y$6:$AC$83, 5,FALSE),"")</f>
        <v/>
      </c>
      <c r="W2149" s="45" t="str">
        <f>IFERROR(VLOOKUP(B2149,'Pre-Summary'!$Y$6:$AD$83,6,FALSE),"")</f>
        <v/>
      </c>
      <c r="X2149" t="str">
        <f>IFERROR(VLOOKUP('Pre-Summary'!$DB$6:$DD$63,3,FALSE),"")</f>
        <v/>
      </c>
      <c r="Y2149" t="str">
        <f>IFERROR(VLOOKUP(B2149,'Pre-Summary'!$CR$6:$CT$36,3,FALSE),"")</f>
        <v/>
      </c>
      <c r="Z2149" s="45" t="str">
        <f>IFERROR(VLOOKUP(B2149,'Pre-Summary'!$BZ$6:$CB$63,2,FALSE),"")</f>
        <v/>
      </c>
      <c r="AA2149" s="45" t="str">
        <f>IFERROR(VLOOKUP(B2149,'Pre-Summary'!$CG$6:$CI$70,2,FALSE),"")</f>
        <v/>
      </c>
      <c r="AB2149" s="99">
        <f>IFERROR(VLOOKUP(B2149,'Pre-Summary'!$A$6:$P$178,9,FALSE),AB2150)</f>
        <v>0.35331798165166045</v>
      </c>
      <c r="AC2149" s="10">
        <f>IFERROR(VLOOKUP(Summary!B2149,'Pre-Summary'!$A$6:$P$184,5, FALSE)/100,AC2150)</f>
        <v>0.95479400000000003</v>
      </c>
      <c r="AD2149" s="10">
        <f>IFERROR(VLOOKUP(Summary!B2149,'Pre-Summary'!$A$6:$P$184,3, FALSE)/100,AD2150)</f>
        <v>3.6379333333333333E-2</v>
      </c>
      <c r="AE2149" s="10">
        <f>IFERROR(VLOOKUP(Summary!B2149,'Pre-Summary'!$A$6:$P$184,7, FALSE)/100,AE2150)</f>
        <v>8.8266666666666667E-3</v>
      </c>
      <c r="AF2149" s="99">
        <f t="shared" si="100"/>
        <v>1.2853472627166306E-2</v>
      </c>
      <c r="AG2149" s="99">
        <f t="shared" si="101"/>
        <v>3.1186200513786564E-3</v>
      </c>
      <c r="AH2149" s="10" t="str">
        <f>IFERROR(VLOOKUP(B2149,'Pre-Summary'!$AZ$6:$BE$65,3,FALSE),"")</f>
        <v/>
      </c>
      <c r="AI2149" s="10" t="str">
        <f>IFERROR(VLOOKUP(B2149,'Pre-Summary'!$AZ$6:$BE$65,5,FALSE),"")</f>
        <v/>
      </c>
      <c r="AJ2149" s="10" t="str">
        <f>IFERROR(VLOOKUP(B2149,'Pre-Summary'!$AZ$6:$BE$65,4,FALSE),"")</f>
        <v/>
      </c>
      <c r="AK2149" s="10" t="str">
        <f>IFERROR(VLOOKUP(B2149,'Pre-Summary'!$AZ$6:$BE$65,6,FALSE),"")</f>
        <v/>
      </c>
      <c r="AL2149" s="10" t="str">
        <f>IFERROR(VLOOKUP(B2149,'Pre-Summary'!$BG$6:$BL$44,3,FALSE),"")</f>
        <v/>
      </c>
      <c r="AM2149" s="10" t="str">
        <f>IFERROR(VLOOKUP(B2149,'Pre-Summary'!$BG$6:$BL$44,4,FALSE),"")</f>
        <v/>
      </c>
    </row>
    <row r="2150" spans="2:39" ht="15" customHeight="1" x14ac:dyDescent="0.3">
      <c r="B2150">
        <v>214.7</v>
      </c>
      <c r="C2150" t="str">
        <f>IFERROR(VLOOKUP(B2150,'Pre-Summary'!$DI$6:$DM$23,4,FALSE),"")</f>
        <v/>
      </c>
      <c r="D2150" s="10" t="str">
        <f>IFERROR(VLOOKUP(B2150,'Pre-Summary'!$AT$6:$AX$14,5,FALSE),D2149)</f>
        <v>Wolfe v3: went back to modified wolfe + EDTA and switched CuSO4 to CUCl2</v>
      </c>
      <c r="E2150" s="10" t="str">
        <f>IFERROR(VLOOKUP(B2150,'Pre-Summary'!$AT$6:$AX$15,4,FALSE),"")</f>
        <v/>
      </c>
      <c r="F2150">
        <f>IFERROR(VLOOKUP(B2150,'Pre-Summary'!$AL$6:$AQ$13,6,FALSE),F2149)</f>
        <v>5.9405263157894746E-2</v>
      </c>
      <c r="G2150" t="str">
        <f>IFERROR(VLOOKUP(B2150,'Pre-Summary'!$AE$6:$AJ$85,3,FALSE),"")</f>
        <v/>
      </c>
      <c r="H2150" t="str">
        <f>IFERROR(VLOOKUP(B2150,'Pre-Summary'!$AE$6:$AJ$85,4,FALSE),"")</f>
        <v/>
      </c>
      <c r="I2150" t="str">
        <f>IFERROR(VLOOKUP(B2150,'Pre-Summary'!$AE$6:$AJ$85,5,FALSE),"")</f>
        <v/>
      </c>
      <c r="J2150" s="45" t="str">
        <f>IFERROR(VLOOKUP(B2150,'Pre-Summary'!$AE$6:$AJ$85,6, FALSE),"")</f>
        <v/>
      </c>
      <c r="K2150" s="45" t="str">
        <f>IFERROR(VLOOKUP(B2150,'Pre-Summary'!$DE$6:$DG$61,3,FALSE),"")</f>
        <v/>
      </c>
      <c r="L2150" s="45" t="str">
        <f>IFERROR(VLOOKUP(B2150,'Pre-Summary'!$CU$6:$CW$36,3,FALSE),"")</f>
        <v/>
      </c>
      <c r="M2150" s="45" t="str">
        <f>IFERROR(VLOOKUP(B2150,'Pre-Summary'!$BW$6:$BY$58,2,FALSE),"")</f>
        <v/>
      </c>
      <c r="N2150" s="45" t="str">
        <f>IFERROR(VLOOKUP(B2150,'Pre-Summary'!$CD$6:$CF$64,2,FALSE),"")</f>
        <v/>
      </c>
      <c r="O2150" s="99">
        <f>IFERROR(VLOOKUP(B2150,'Pre-Summary'!$BO$6:$BQ$48,3, FALSE),O2149)</f>
        <v>1.3480000000000001</v>
      </c>
      <c r="P2150" s="99">
        <f>IFERROR(VLOOKUP(B2150,'Pre-Summary'!$BS$6:$BU$35,3,FALSE),P2149)</f>
        <v>0.379</v>
      </c>
      <c r="Q2150" s="54">
        <f t="shared" si="99"/>
        <v>3.556728232189974</v>
      </c>
      <c r="R2150" s="53">
        <f>IFERROR(VLOOKUP(B2150,'Pre-Summary'!$BG$6:$BM$44,7,FALSE),R2151)</f>
        <v>9.2946004538835364E-2</v>
      </c>
      <c r="S2150" s="53">
        <f>IFERROR(VLOOKUP(B2150,'Pre-Summary'!$BG$6:$BM$44,6,FALSE),S2151)</f>
        <v>8.3142487304634596E-2</v>
      </c>
      <c r="T2150" s="45" t="str">
        <f>IFERROR(VLOOKUP(B2150,'Pre-Summary'!$Y$6:$AC$83, 3,FALSE),"")</f>
        <v/>
      </c>
      <c r="U2150" s="45" t="str">
        <f>IFERROR(VLOOKUP(B2150,'Pre-Summary'!$Y$6:$AC$83, 4,FALSE),"")</f>
        <v/>
      </c>
      <c r="V2150" t="str">
        <f>IFERROR(VLOOKUP(B2150,'Pre-Summary'!$Y$6:$AC$83, 5,FALSE),"")</f>
        <v/>
      </c>
      <c r="W2150" s="45" t="str">
        <f>IFERROR(VLOOKUP(B2150,'Pre-Summary'!$Y$6:$AD$83,6,FALSE),"")</f>
        <v/>
      </c>
      <c r="X2150" t="str">
        <f>IFERROR(VLOOKUP('Pre-Summary'!$DB$6:$DD$63,3,FALSE),"")</f>
        <v/>
      </c>
      <c r="Y2150" t="str">
        <f>IFERROR(VLOOKUP(B2150,'Pre-Summary'!$CR$6:$CT$36,3,FALSE),"")</f>
        <v/>
      </c>
      <c r="Z2150" s="45" t="str">
        <f>IFERROR(VLOOKUP(B2150,'Pre-Summary'!$BZ$6:$CB$63,2,FALSE),"")</f>
        <v/>
      </c>
      <c r="AA2150" s="45" t="str">
        <f>IFERROR(VLOOKUP(B2150,'Pre-Summary'!$CG$6:$CI$70,2,FALSE),"")</f>
        <v/>
      </c>
      <c r="AB2150" s="99">
        <f>IFERROR(VLOOKUP(B2150,'Pre-Summary'!$A$6:$P$178,9,FALSE),AB2151)</f>
        <v>0.35331798165166045</v>
      </c>
      <c r="AC2150" s="10">
        <f>IFERROR(VLOOKUP(Summary!B2150,'Pre-Summary'!$A$6:$P$184,5, FALSE)/100,AC2151)</f>
        <v>0.95479400000000003</v>
      </c>
      <c r="AD2150" s="10">
        <f>IFERROR(VLOOKUP(Summary!B2150,'Pre-Summary'!$A$6:$P$184,3, FALSE)/100,AD2151)</f>
        <v>3.6379333333333333E-2</v>
      </c>
      <c r="AE2150" s="10">
        <f>IFERROR(VLOOKUP(Summary!B2150,'Pre-Summary'!$A$6:$P$184,7, FALSE)/100,AE2151)</f>
        <v>8.8266666666666667E-3</v>
      </c>
      <c r="AF2150" s="99">
        <f t="shared" si="100"/>
        <v>1.2853472627166306E-2</v>
      </c>
      <c r="AG2150" s="99">
        <f t="shared" si="101"/>
        <v>3.1186200513786564E-3</v>
      </c>
      <c r="AH2150" s="10" t="str">
        <f>IFERROR(VLOOKUP(B2150,'Pre-Summary'!$AZ$6:$BE$65,3,FALSE),"")</f>
        <v/>
      </c>
      <c r="AI2150" s="10" t="str">
        <f>IFERROR(VLOOKUP(B2150,'Pre-Summary'!$AZ$6:$BE$65,5,FALSE),"")</f>
        <v/>
      </c>
      <c r="AJ2150" s="10" t="str">
        <f>IFERROR(VLOOKUP(B2150,'Pre-Summary'!$AZ$6:$BE$65,4,FALSE),"")</f>
        <v/>
      </c>
      <c r="AK2150" s="10" t="str">
        <f>IFERROR(VLOOKUP(B2150,'Pre-Summary'!$AZ$6:$BE$65,6,FALSE),"")</f>
        <v/>
      </c>
      <c r="AL2150" s="10" t="str">
        <f>IFERROR(VLOOKUP(B2150,'Pre-Summary'!$BG$6:$BL$44,3,FALSE),"")</f>
        <v/>
      </c>
      <c r="AM2150" s="10" t="str">
        <f>IFERROR(VLOOKUP(B2150,'Pre-Summary'!$BG$6:$BL$44,4,FALSE),"")</f>
        <v/>
      </c>
    </row>
    <row r="2151" spans="2:39" ht="15" customHeight="1" x14ac:dyDescent="0.3">
      <c r="B2151">
        <v>214.8</v>
      </c>
      <c r="C2151" t="str">
        <f>IFERROR(VLOOKUP(B2151,'Pre-Summary'!$DI$6:$DM$23,4,FALSE),"")</f>
        <v/>
      </c>
      <c r="D2151" s="10" t="str">
        <f>IFERROR(VLOOKUP(B2151,'Pre-Summary'!$AT$6:$AX$14,5,FALSE),D2150)</f>
        <v>Wolfe v3: went back to modified wolfe + EDTA and switched CuSO4 to CUCl2</v>
      </c>
      <c r="E2151" s="10" t="str">
        <f>IFERROR(VLOOKUP(B2151,'Pre-Summary'!$AT$6:$AX$15,4,FALSE),"")</f>
        <v/>
      </c>
      <c r="F2151">
        <f>IFERROR(VLOOKUP(B2151,'Pre-Summary'!$AL$6:$AQ$13,6,FALSE),F2150)</f>
        <v>5.9405263157894746E-2</v>
      </c>
      <c r="G2151" t="str">
        <f>IFERROR(VLOOKUP(B2151,'Pre-Summary'!$AE$6:$AJ$85,3,FALSE),"")</f>
        <v/>
      </c>
      <c r="H2151" t="str">
        <f>IFERROR(VLOOKUP(B2151,'Pre-Summary'!$AE$6:$AJ$85,4,FALSE),"")</f>
        <v/>
      </c>
      <c r="I2151" t="str">
        <f>IFERROR(VLOOKUP(B2151,'Pre-Summary'!$AE$6:$AJ$85,5,FALSE),"")</f>
        <v/>
      </c>
      <c r="J2151" s="45" t="str">
        <f>IFERROR(VLOOKUP(B2151,'Pre-Summary'!$AE$6:$AJ$85,6, FALSE),"")</f>
        <v/>
      </c>
      <c r="K2151" s="45" t="str">
        <f>IFERROR(VLOOKUP(B2151,'Pre-Summary'!$DE$6:$DG$61,3,FALSE),"")</f>
        <v/>
      </c>
      <c r="L2151" s="45" t="str">
        <f>IFERROR(VLOOKUP(B2151,'Pre-Summary'!$CU$6:$CW$36,3,FALSE),"")</f>
        <v/>
      </c>
      <c r="M2151" s="45" t="str">
        <f>IFERROR(VLOOKUP(B2151,'Pre-Summary'!$BW$6:$BY$58,2,FALSE),"")</f>
        <v/>
      </c>
      <c r="N2151" s="45" t="str">
        <f>IFERROR(VLOOKUP(B2151,'Pre-Summary'!$CD$6:$CF$64,2,FALSE),"")</f>
        <v/>
      </c>
      <c r="O2151" s="99">
        <f>IFERROR(VLOOKUP(B2151,'Pre-Summary'!$BO$6:$BQ$48,3, FALSE),O2150)</f>
        <v>1.3480000000000001</v>
      </c>
      <c r="P2151" s="99">
        <f>IFERROR(VLOOKUP(B2151,'Pre-Summary'!$BS$6:$BU$35,3,FALSE),P2150)</f>
        <v>0.379</v>
      </c>
      <c r="Q2151" s="54">
        <f t="shared" si="99"/>
        <v>3.556728232189974</v>
      </c>
      <c r="R2151" s="53">
        <f>IFERROR(VLOOKUP(B2151,'Pre-Summary'!$BG$6:$BM$44,7,FALSE),R2152)</f>
        <v>9.2946004538835364E-2</v>
      </c>
      <c r="S2151" s="53">
        <f>IFERROR(VLOOKUP(B2151,'Pre-Summary'!$BG$6:$BM$44,6,FALSE),S2152)</f>
        <v>8.3142487304634596E-2</v>
      </c>
      <c r="T2151" s="45" t="str">
        <f>IFERROR(VLOOKUP(B2151,'Pre-Summary'!$Y$6:$AC$83, 3,FALSE),"")</f>
        <v/>
      </c>
      <c r="U2151" s="45" t="str">
        <f>IFERROR(VLOOKUP(B2151,'Pre-Summary'!$Y$6:$AC$83, 4,FALSE),"")</f>
        <v/>
      </c>
      <c r="V2151" t="str">
        <f>IFERROR(VLOOKUP(B2151,'Pre-Summary'!$Y$6:$AC$83, 5,FALSE),"")</f>
        <v/>
      </c>
      <c r="W2151" s="45" t="str">
        <f>IFERROR(VLOOKUP(B2151,'Pre-Summary'!$Y$6:$AD$83,6,FALSE),"")</f>
        <v/>
      </c>
      <c r="X2151" t="str">
        <f>IFERROR(VLOOKUP('Pre-Summary'!$DB$6:$DD$63,3,FALSE),"")</f>
        <v/>
      </c>
      <c r="Y2151" t="str">
        <f>IFERROR(VLOOKUP(B2151,'Pre-Summary'!$CR$6:$CT$36,3,FALSE),"")</f>
        <v/>
      </c>
      <c r="Z2151" s="45" t="str">
        <f>IFERROR(VLOOKUP(B2151,'Pre-Summary'!$BZ$6:$CB$63,2,FALSE),"")</f>
        <v/>
      </c>
      <c r="AA2151" s="45" t="str">
        <f>IFERROR(VLOOKUP(B2151,'Pre-Summary'!$CG$6:$CI$70,2,FALSE),"")</f>
        <v/>
      </c>
      <c r="AB2151" s="99">
        <f>IFERROR(VLOOKUP(B2151,'Pre-Summary'!$A$6:$P$178,9,FALSE),AB2152)</f>
        <v>0.35331798165166045</v>
      </c>
      <c r="AC2151" s="10">
        <f>IFERROR(VLOOKUP(Summary!B2151,'Pre-Summary'!$A$6:$P$184,5, FALSE)/100,AC2152)</f>
        <v>0.95479400000000003</v>
      </c>
      <c r="AD2151" s="10">
        <f>IFERROR(VLOOKUP(Summary!B2151,'Pre-Summary'!$A$6:$P$184,3, FALSE)/100,AD2152)</f>
        <v>3.6379333333333333E-2</v>
      </c>
      <c r="AE2151" s="10">
        <f>IFERROR(VLOOKUP(Summary!B2151,'Pre-Summary'!$A$6:$P$184,7, FALSE)/100,AE2152)</f>
        <v>8.8266666666666667E-3</v>
      </c>
      <c r="AF2151" s="99">
        <f t="shared" si="100"/>
        <v>1.2853472627166306E-2</v>
      </c>
      <c r="AG2151" s="99">
        <f t="shared" si="101"/>
        <v>3.1186200513786564E-3</v>
      </c>
      <c r="AH2151" s="10" t="str">
        <f>IFERROR(VLOOKUP(B2151,'Pre-Summary'!$AZ$6:$BE$65,3,FALSE),"")</f>
        <v/>
      </c>
      <c r="AI2151" s="10" t="str">
        <f>IFERROR(VLOOKUP(B2151,'Pre-Summary'!$AZ$6:$BE$65,5,FALSE),"")</f>
        <v/>
      </c>
      <c r="AJ2151" s="10" t="str">
        <f>IFERROR(VLOOKUP(B2151,'Pre-Summary'!$AZ$6:$BE$65,4,FALSE),"")</f>
        <v/>
      </c>
      <c r="AK2151" s="10" t="str">
        <f>IFERROR(VLOOKUP(B2151,'Pre-Summary'!$AZ$6:$BE$65,6,FALSE),"")</f>
        <v/>
      </c>
      <c r="AL2151" s="10" t="str">
        <f>IFERROR(VLOOKUP(B2151,'Pre-Summary'!$BG$6:$BL$44,3,FALSE),"")</f>
        <v/>
      </c>
      <c r="AM2151" s="10" t="str">
        <f>IFERROR(VLOOKUP(B2151,'Pre-Summary'!$BG$6:$BL$44,4,FALSE),"")</f>
        <v/>
      </c>
    </row>
    <row r="2152" spans="2:39" ht="15" customHeight="1" x14ac:dyDescent="0.3">
      <c r="B2152">
        <v>214.9</v>
      </c>
      <c r="C2152" t="str">
        <f>IFERROR(VLOOKUP(B2152,'Pre-Summary'!$DI$6:$DM$23,4,FALSE),"")</f>
        <v/>
      </c>
      <c r="D2152" s="10" t="str">
        <f>IFERROR(VLOOKUP(B2152,'Pre-Summary'!$AT$6:$AX$14,5,FALSE),D2151)</f>
        <v>Wolfe v3: went back to modified wolfe + EDTA and switched CuSO4 to CUCl2</v>
      </c>
      <c r="E2152" s="10" t="str">
        <f>IFERROR(VLOOKUP(B2152,'Pre-Summary'!$AT$6:$AX$15,4,FALSE),"")</f>
        <v/>
      </c>
      <c r="F2152">
        <f>IFERROR(VLOOKUP(B2152,'Pre-Summary'!$AL$6:$AQ$13,6,FALSE),F2151)</f>
        <v>5.9405263157894746E-2</v>
      </c>
      <c r="G2152" t="str">
        <f>IFERROR(VLOOKUP(B2152,'Pre-Summary'!$AE$6:$AJ$85,3,FALSE),"")</f>
        <v/>
      </c>
      <c r="H2152" t="str">
        <f>IFERROR(VLOOKUP(B2152,'Pre-Summary'!$AE$6:$AJ$85,4,FALSE),"")</f>
        <v/>
      </c>
      <c r="I2152" t="str">
        <f>IFERROR(VLOOKUP(B2152,'Pre-Summary'!$AE$6:$AJ$85,5,FALSE),"")</f>
        <v/>
      </c>
      <c r="J2152" s="45" t="str">
        <f>IFERROR(VLOOKUP(B2152,'Pre-Summary'!$AE$6:$AJ$85,6, FALSE),"")</f>
        <v/>
      </c>
      <c r="K2152" s="45" t="str">
        <f>IFERROR(VLOOKUP(B2152,'Pre-Summary'!$DE$6:$DG$61,3,FALSE),"")</f>
        <v/>
      </c>
      <c r="L2152" s="45" t="str">
        <f>IFERROR(VLOOKUP(B2152,'Pre-Summary'!$CU$6:$CW$36,3,FALSE),"")</f>
        <v/>
      </c>
      <c r="M2152" s="45" t="str">
        <f>IFERROR(VLOOKUP(B2152,'Pre-Summary'!$BW$6:$BY$58,2,FALSE),"")</f>
        <v/>
      </c>
      <c r="N2152" s="45" t="str">
        <f>IFERROR(VLOOKUP(B2152,'Pre-Summary'!$CD$6:$CF$64,2,FALSE),"")</f>
        <v/>
      </c>
      <c r="O2152" s="99">
        <f>IFERROR(VLOOKUP(B2152,'Pre-Summary'!$BO$6:$BQ$48,3, FALSE),O2151)</f>
        <v>1.3480000000000001</v>
      </c>
      <c r="P2152" s="99">
        <f>IFERROR(VLOOKUP(B2152,'Pre-Summary'!$BS$6:$BU$35,3,FALSE),P2151)</f>
        <v>0.379</v>
      </c>
      <c r="Q2152" s="54">
        <f t="shared" si="99"/>
        <v>3.556728232189974</v>
      </c>
      <c r="R2152" s="53">
        <f>IFERROR(VLOOKUP(B2152,'Pre-Summary'!$BG$6:$BM$44,7,FALSE),R2153)</f>
        <v>9.2946004538835364E-2</v>
      </c>
      <c r="S2152" s="53">
        <f>IFERROR(VLOOKUP(B2152,'Pre-Summary'!$BG$6:$BM$44,6,FALSE),S2153)</f>
        <v>8.3142487304634596E-2</v>
      </c>
      <c r="T2152" s="45" t="str">
        <f>IFERROR(VLOOKUP(B2152,'Pre-Summary'!$Y$6:$AC$83, 3,FALSE),"")</f>
        <v/>
      </c>
      <c r="U2152" s="45" t="str">
        <f>IFERROR(VLOOKUP(B2152,'Pre-Summary'!$Y$6:$AC$83, 4,FALSE),"")</f>
        <v/>
      </c>
      <c r="V2152" t="str">
        <f>IFERROR(VLOOKUP(B2152,'Pre-Summary'!$Y$6:$AC$83, 5,FALSE),"")</f>
        <v/>
      </c>
      <c r="W2152" s="45" t="str">
        <f>IFERROR(VLOOKUP(B2152,'Pre-Summary'!$Y$6:$AD$83,6,FALSE),"")</f>
        <v/>
      </c>
      <c r="X2152" t="str">
        <f>IFERROR(VLOOKUP('Pre-Summary'!$DB$6:$DD$63,3,FALSE),"")</f>
        <v/>
      </c>
      <c r="Y2152" t="str">
        <f>IFERROR(VLOOKUP(B2152,'Pre-Summary'!$CR$6:$CT$36,3,FALSE),"")</f>
        <v/>
      </c>
      <c r="Z2152" s="45" t="str">
        <f>IFERROR(VLOOKUP(B2152,'Pre-Summary'!$BZ$6:$CB$63,2,FALSE),"")</f>
        <v/>
      </c>
      <c r="AA2152" s="45" t="str">
        <f>IFERROR(VLOOKUP(B2152,'Pre-Summary'!$CG$6:$CI$70,2,FALSE),"")</f>
        <v/>
      </c>
      <c r="AB2152" s="99">
        <f>IFERROR(VLOOKUP(B2152,'Pre-Summary'!$A$6:$P$178,9,FALSE),AB2153)</f>
        <v>0.35331798165166045</v>
      </c>
      <c r="AC2152" s="10">
        <f>IFERROR(VLOOKUP(Summary!B2152,'Pre-Summary'!$A$6:$P$184,5, FALSE)/100,AC2153)</f>
        <v>0.95479400000000003</v>
      </c>
      <c r="AD2152" s="10">
        <f>IFERROR(VLOOKUP(Summary!B2152,'Pre-Summary'!$A$6:$P$184,3, FALSE)/100,AD2153)</f>
        <v>3.6379333333333333E-2</v>
      </c>
      <c r="AE2152" s="10">
        <f>IFERROR(VLOOKUP(Summary!B2152,'Pre-Summary'!$A$6:$P$184,7, FALSE)/100,AE2153)</f>
        <v>8.8266666666666667E-3</v>
      </c>
      <c r="AF2152" s="99">
        <f t="shared" si="100"/>
        <v>1.2853472627166306E-2</v>
      </c>
      <c r="AG2152" s="99">
        <f t="shared" si="101"/>
        <v>3.1186200513786564E-3</v>
      </c>
      <c r="AH2152" s="10" t="str">
        <f>IFERROR(VLOOKUP(B2152,'Pre-Summary'!$AZ$6:$BE$65,3,FALSE),"")</f>
        <v/>
      </c>
      <c r="AI2152" s="10" t="str">
        <f>IFERROR(VLOOKUP(B2152,'Pre-Summary'!$AZ$6:$BE$65,5,FALSE),"")</f>
        <v/>
      </c>
      <c r="AJ2152" s="10" t="str">
        <f>IFERROR(VLOOKUP(B2152,'Pre-Summary'!$AZ$6:$BE$65,4,FALSE),"")</f>
        <v/>
      </c>
      <c r="AK2152" s="10" t="str">
        <f>IFERROR(VLOOKUP(B2152,'Pre-Summary'!$AZ$6:$BE$65,6,FALSE),"")</f>
        <v/>
      </c>
      <c r="AL2152" s="10" t="str">
        <f>IFERROR(VLOOKUP(B2152,'Pre-Summary'!$BG$6:$BL$44,3,FALSE),"")</f>
        <v/>
      </c>
      <c r="AM2152" s="10" t="str">
        <f>IFERROR(VLOOKUP(B2152,'Pre-Summary'!$BG$6:$BL$44,4,FALSE),"")</f>
        <v/>
      </c>
    </row>
    <row r="2153" spans="2:39" ht="15" customHeight="1" x14ac:dyDescent="0.3">
      <c r="B2153">
        <v>215</v>
      </c>
      <c r="C2153" t="str">
        <f>IFERROR(VLOOKUP(B2153,'Pre-Summary'!$DI$6:$DM$23,4,FALSE),"")</f>
        <v/>
      </c>
      <c r="D2153" s="10" t="str">
        <f>IFERROR(VLOOKUP(B2153,'Pre-Summary'!$AT$6:$AX$14,5,FALSE),D2152)</f>
        <v>Wolfe v3: went back to modified wolfe + EDTA and switched CuSO4 to CUCl2</v>
      </c>
      <c r="E2153" s="10" t="str">
        <f>IFERROR(VLOOKUP(B2153,'Pre-Summary'!$AT$6:$AX$15,4,FALSE),"")</f>
        <v/>
      </c>
      <c r="F2153">
        <f>IFERROR(VLOOKUP(B2153,'Pre-Summary'!$AL$6:$AQ$13,6,FALSE),F2152)</f>
        <v>5.9405263157894746E-2</v>
      </c>
      <c r="G2153" t="str">
        <f>IFERROR(VLOOKUP(B2153,'Pre-Summary'!$AE$6:$AJ$85,3,FALSE),"")</f>
        <v/>
      </c>
      <c r="H2153" t="str">
        <f>IFERROR(VLOOKUP(B2153,'Pre-Summary'!$AE$6:$AJ$85,4,FALSE),"")</f>
        <v/>
      </c>
      <c r="I2153" t="str">
        <f>IFERROR(VLOOKUP(B2153,'Pre-Summary'!$AE$6:$AJ$85,5,FALSE),"")</f>
        <v/>
      </c>
      <c r="J2153" s="45" t="str">
        <f>IFERROR(VLOOKUP(B2153,'Pre-Summary'!$AE$6:$AJ$85,6, FALSE),"")</f>
        <v/>
      </c>
      <c r="K2153" s="45" t="str">
        <f>IFERROR(VLOOKUP(B2153,'Pre-Summary'!$DE$6:$DG$61,3,FALSE),"")</f>
        <v/>
      </c>
      <c r="L2153" s="45" t="str">
        <f>IFERROR(VLOOKUP(B2153,'Pre-Summary'!$CU$6:$CW$36,3,FALSE),"")</f>
        <v/>
      </c>
      <c r="M2153" s="45" t="str">
        <f>IFERROR(VLOOKUP(B2153,'Pre-Summary'!$BW$6:$BY$58,2,FALSE),"")</f>
        <v/>
      </c>
      <c r="N2153" s="45" t="str">
        <f>IFERROR(VLOOKUP(B2153,'Pre-Summary'!$CD$6:$CF$64,2,FALSE),"")</f>
        <v/>
      </c>
      <c r="O2153" s="99">
        <f>IFERROR(VLOOKUP(B2153,'Pre-Summary'!$BO$6:$BQ$48,3, FALSE),O2152)</f>
        <v>1.3480000000000001</v>
      </c>
      <c r="P2153" s="99">
        <f>IFERROR(VLOOKUP(B2153,'Pre-Summary'!$BS$6:$BU$35,3,FALSE),P2152)</f>
        <v>0.379</v>
      </c>
      <c r="Q2153" s="54">
        <f t="shared" si="99"/>
        <v>3.556728232189974</v>
      </c>
      <c r="R2153" s="53">
        <f>IFERROR(VLOOKUP(B2153,'Pre-Summary'!$BG$6:$BM$44,7,FALSE),R2154)</f>
        <v>9.2946004538835364E-2</v>
      </c>
      <c r="S2153" s="53">
        <f>IFERROR(VLOOKUP(B2153,'Pre-Summary'!$BG$6:$BM$44,6,FALSE),S2154)</f>
        <v>8.3142487304634596E-2</v>
      </c>
      <c r="T2153" s="45" t="str">
        <f>IFERROR(VLOOKUP(B2153,'Pre-Summary'!$Y$6:$AC$83, 3,FALSE),"")</f>
        <v/>
      </c>
      <c r="U2153" s="45" t="str">
        <f>IFERROR(VLOOKUP(B2153,'Pre-Summary'!$Y$6:$AC$83, 4,FALSE),"")</f>
        <v/>
      </c>
      <c r="V2153" t="str">
        <f>IFERROR(VLOOKUP(B2153,'Pre-Summary'!$Y$6:$AC$83, 5,FALSE),"")</f>
        <v/>
      </c>
      <c r="W2153" s="45" t="str">
        <f>IFERROR(VLOOKUP(B2153,'Pre-Summary'!$Y$6:$AD$83,6,FALSE),"")</f>
        <v/>
      </c>
      <c r="X2153" t="str">
        <f>IFERROR(VLOOKUP('Pre-Summary'!$DB$6:$DD$63,3,FALSE),"")</f>
        <v/>
      </c>
      <c r="Y2153" t="str">
        <f>IFERROR(VLOOKUP(B2153,'Pre-Summary'!$CR$6:$CT$36,3,FALSE),"")</f>
        <v/>
      </c>
      <c r="Z2153" s="45" t="str">
        <f>IFERROR(VLOOKUP(B2153,'Pre-Summary'!$BZ$6:$CB$63,2,FALSE),"")</f>
        <v/>
      </c>
      <c r="AA2153" s="45" t="str">
        <f>IFERROR(VLOOKUP(B2153,'Pre-Summary'!$CG$6:$CI$70,2,FALSE),"")</f>
        <v/>
      </c>
      <c r="AB2153" s="99">
        <f>IFERROR(VLOOKUP(B2153,'Pre-Summary'!$A$6:$P$178,9,FALSE),AB2154)</f>
        <v>0.35331798165166045</v>
      </c>
      <c r="AC2153" s="10">
        <f>IFERROR(VLOOKUP(Summary!B2153,'Pre-Summary'!$A$6:$P$184,5, FALSE)/100,AC2154)</f>
        <v>0.95479400000000003</v>
      </c>
      <c r="AD2153" s="10">
        <f>IFERROR(VLOOKUP(Summary!B2153,'Pre-Summary'!$A$6:$P$184,3, FALSE)/100,AD2154)</f>
        <v>3.6379333333333333E-2</v>
      </c>
      <c r="AE2153" s="10">
        <f>IFERROR(VLOOKUP(Summary!B2153,'Pre-Summary'!$A$6:$P$184,7, FALSE)/100,AE2154)</f>
        <v>8.8266666666666667E-3</v>
      </c>
      <c r="AF2153" s="99">
        <f t="shared" si="100"/>
        <v>1.2853472627166306E-2</v>
      </c>
      <c r="AG2153" s="99">
        <f t="shared" si="101"/>
        <v>3.1186200513786564E-3</v>
      </c>
      <c r="AH2153" s="10" t="str">
        <f>IFERROR(VLOOKUP(B2153,'Pre-Summary'!$AZ$6:$BE$65,3,FALSE),"")</f>
        <v/>
      </c>
      <c r="AI2153" s="10" t="str">
        <f>IFERROR(VLOOKUP(B2153,'Pre-Summary'!$AZ$6:$BE$65,5,FALSE),"")</f>
        <v/>
      </c>
      <c r="AJ2153" s="10" t="str">
        <f>IFERROR(VLOOKUP(B2153,'Pre-Summary'!$AZ$6:$BE$65,4,FALSE),"")</f>
        <v/>
      </c>
      <c r="AK2153" s="10" t="str">
        <f>IFERROR(VLOOKUP(B2153,'Pre-Summary'!$AZ$6:$BE$65,6,FALSE),"")</f>
        <v/>
      </c>
      <c r="AL2153" s="10" t="str">
        <f>IFERROR(VLOOKUP(B2153,'Pre-Summary'!$BG$6:$BL$44,3,FALSE),"")</f>
        <v/>
      </c>
      <c r="AM2153" s="10" t="str">
        <f>IFERROR(VLOOKUP(B2153,'Pre-Summary'!$BG$6:$BL$44,4,FALSE),"")</f>
        <v/>
      </c>
    </row>
    <row r="2154" spans="2:39" ht="15" customHeight="1" x14ac:dyDescent="0.3">
      <c r="B2154">
        <v>215.1</v>
      </c>
      <c r="C2154" t="str">
        <f>IFERROR(VLOOKUP(B2154,'Pre-Summary'!$DI$6:$DM$23,4,FALSE),"")</f>
        <v/>
      </c>
      <c r="D2154" s="10" t="str">
        <f>IFERROR(VLOOKUP(B2154,'Pre-Summary'!$AT$6:$AX$14,5,FALSE),D2153)</f>
        <v>Wolfe v3: went back to modified wolfe + EDTA and switched CuSO4 to CUCl2</v>
      </c>
      <c r="E2154" s="10" t="str">
        <f>IFERROR(VLOOKUP(B2154,'Pre-Summary'!$AT$6:$AX$15,4,FALSE),"")</f>
        <v/>
      </c>
      <c r="F2154">
        <f>IFERROR(VLOOKUP(B2154,'Pre-Summary'!$AL$6:$AQ$13,6,FALSE),F2153)</f>
        <v>5.9405263157894746E-2</v>
      </c>
      <c r="G2154" t="str">
        <f>IFERROR(VLOOKUP(B2154,'Pre-Summary'!$AE$6:$AJ$85,3,FALSE),"")</f>
        <v/>
      </c>
      <c r="H2154" t="str">
        <f>IFERROR(VLOOKUP(B2154,'Pre-Summary'!$AE$6:$AJ$85,4,FALSE),"")</f>
        <v/>
      </c>
      <c r="I2154" t="str">
        <f>IFERROR(VLOOKUP(B2154,'Pre-Summary'!$AE$6:$AJ$85,5,FALSE),"")</f>
        <v/>
      </c>
      <c r="J2154" s="45" t="str">
        <f>IFERROR(VLOOKUP(B2154,'Pre-Summary'!$AE$6:$AJ$85,6, FALSE),"")</f>
        <v/>
      </c>
      <c r="K2154" s="45" t="str">
        <f>IFERROR(VLOOKUP(B2154,'Pre-Summary'!$DE$6:$DG$61,3,FALSE),"")</f>
        <v/>
      </c>
      <c r="L2154" s="45" t="str">
        <f>IFERROR(VLOOKUP(B2154,'Pre-Summary'!$CU$6:$CW$36,3,FALSE),"")</f>
        <v/>
      </c>
      <c r="M2154" s="45" t="str">
        <f>IFERROR(VLOOKUP(B2154,'Pre-Summary'!$BW$6:$BY$58,2,FALSE),"")</f>
        <v/>
      </c>
      <c r="N2154" s="45" t="str">
        <f>IFERROR(VLOOKUP(B2154,'Pre-Summary'!$CD$6:$CF$64,2,FALSE),"")</f>
        <v/>
      </c>
      <c r="O2154" s="99">
        <f>IFERROR(VLOOKUP(B2154,'Pre-Summary'!$BO$6:$BQ$48,3, FALSE),O2153)</f>
        <v>1.3480000000000001</v>
      </c>
      <c r="P2154" s="99">
        <f>IFERROR(VLOOKUP(B2154,'Pre-Summary'!$BS$6:$BU$35,3,FALSE),P2153)</f>
        <v>0.379</v>
      </c>
      <c r="Q2154" s="54">
        <f t="shared" si="99"/>
        <v>3.556728232189974</v>
      </c>
      <c r="R2154" s="53">
        <f>IFERROR(VLOOKUP(B2154,'Pre-Summary'!$BG$6:$BM$44,7,FALSE),R2155)</f>
        <v>9.2946004538835364E-2</v>
      </c>
      <c r="S2154" s="53">
        <f>IFERROR(VLOOKUP(B2154,'Pre-Summary'!$BG$6:$BM$44,6,FALSE),S2155)</f>
        <v>8.3142487304634596E-2</v>
      </c>
      <c r="T2154" s="45" t="str">
        <f>IFERROR(VLOOKUP(B2154,'Pre-Summary'!$Y$6:$AC$83, 3,FALSE),"")</f>
        <v/>
      </c>
      <c r="U2154" s="45" t="str">
        <f>IFERROR(VLOOKUP(B2154,'Pre-Summary'!$Y$6:$AC$83, 4,FALSE),"")</f>
        <v/>
      </c>
      <c r="V2154" t="str">
        <f>IFERROR(VLOOKUP(B2154,'Pre-Summary'!$Y$6:$AC$83, 5,FALSE),"")</f>
        <v/>
      </c>
      <c r="W2154" s="45" t="str">
        <f>IFERROR(VLOOKUP(B2154,'Pre-Summary'!$Y$6:$AD$83,6,FALSE),"")</f>
        <v/>
      </c>
      <c r="X2154" t="str">
        <f>IFERROR(VLOOKUP('Pre-Summary'!$DB$6:$DD$63,3,FALSE),"")</f>
        <v/>
      </c>
      <c r="Y2154" t="str">
        <f>IFERROR(VLOOKUP(B2154,'Pre-Summary'!$CR$6:$CT$36,3,FALSE),"")</f>
        <v/>
      </c>
      <c r="Z2154" s="45" t="str">
        <f>IFERROR(VLOOKUP(B2154,'Pre-Summary'!$BZ$6:$CB$63,2,FALSE),"")</f>
        <v/>
      </c>
      <c r="AA2154" s="45" t="str">
        <f>IFERROR(VLOOKUP(B2154,'Pre-Summary'!$CG$6:$CI$70,2,FALSE),"")</f>
        <v/>
      </c>
      <c r="AB2154" s="99">
        <f>IFERROR(VLOOKUP(B2154,'Pre-Summary'!$A$6:$P$178,9,FALSE),AB2155)</f>
        <v>0.35331798165166045</v>
      </c>
      <c r="AC2154" s="10">
        <f>IFERROR(VLOOKUP(Summary!B2154,'Pre-Summary'!$A$6:$P$184,5, FALSE)/100,AC2155)</f>
        <v>0.95479400000000003</v>
      </c>
      <c r="AD2154" s="10">
        <f>IFERROR(VLOOKUP(Summary!B2154,'Pre-Summary'!$A$6:$P$184,3, FALSE)/100,AD2155)</f>
        <v>3.6379333333333333E-2</v>
      </c>
      <c r="AE2154" s="10">
        <f>IFERROR(VLOOKUP(Summary!B2154,'Pre-Summary'!$A$6:$P$184,7, FALSE)/100,AE2155)</f>
        <v>8.8266666666666667E-3</v>
      </c>
      <c r="AF2154" s="99">
        <f t="shared" si="100"/>
        <v>1.2853472627166306E-2</v>
      </c>
      <c r="AG2154" s="99">
        <f t="shared" si="101"/>
        <v>3.1186200513786564E-3</v>
      </c>
      <c r="AH2154" s="10" t="str">
        <f>IFERROR(VLOOKUP(B2154,'Pre-Summary'!$AZ$6:$BE$65,3,FALSE),"")</f>
        <v/>
      </c>
      <c r="AI2154" s="10" t="str">
        <f>IFERROR(VLOOKUP(B2154,'Pre-Summary'!$AZ$6:$BE$65,5,FALSE),"")</f>
        <v/>
      </c>
      <c r="AJ2154" s="10" t="str">
        <f>IFERROR(VLOOKUP(B2154,'Pre-Summary'!$AZ$6:$BE$65,4,FALSE),"")</f>
        <v/>
      </c>
      <c r="AK2154" s="10" t="str">
        <f>IFERROR(VLOOKUP(B2154,'Pre-Summary'!$AZ$6:$BE$65,6,FALSE),"")</f>
        <v/>
      </c>
      <c r="AL2154" s="10" t="str">
        <f>IFERROR(VLOOKUP(B2154,'Pre-Summary'!$BG$6:$BL$44,3,FALSE),"")</f>
        <v/>
      </c>
      <c r="AM2154" s="10" t="str">
        <f>IFERROR(VLOOKUP(B2154,'Pre-Summary'!$BG$6:$BL$44,4,FALSE),"")</f>
        <v/>
      </c>
    </row>
    <row r="2155" spans="2:39" ht="15" customHeight="1" x14ac:dyDescent="0.3">
      <c r="B2155">
        <v>215.2</v>
      </c>
      <c r="C2155" t="str">
        <f>IFERROR(VLOOKUP(B2155,'Pre-Summary'!$DI$6:$DM$23,4,FALSE),"")</f>
        <v/>
      </c>
      <c r="D2155" s="10" t="str">
        <f>IFERROR(VLOOKUP(B2155,'Pre-Summary'!$AT$6:$AX$14,5,FALSE),D2154)</f>
        <v>Wolfe v3: went back to modified wolfe + EDTA and switched CuSO4 to CUCl2</v>
      </c>
      <c r="E2155" s="10" t="str">
        <f>IFERROR(VLOOKUP(B2155,'Pre-Summary'!$AT$6:$AX$15,4,FALSE),"")</f>
        <v/>
      </c>
      <c r="F2155">
        <f>IFERROR(VLOOKUP(B2155,'Pre-Summary'!$AL$6:$AQ$13,6,FALSE),F2154)</f>
        <v>5.9405263157894746E-2</v>
      </c>
      <c r="G2155" t="str">
        <f>IFERROR(VLOOKUP(B2155,'Pre-Summary'!$AE$6:$AJ$85,3,FALSE),"")</f>
        <v/>
      </c>
      <c r="H2155" t="str">
        <f>IFERROR(VLOOKUP(B2155,'Pre-Summary'!$AE$6:$AJ$85,4,FALSE),"")</f>
        <v/>
      </c>
      <c r="I2155" t="str">
        <f>IFERROR(VLOOKUP(B2155,'Pre-Summary'!$AE$6:$AJ$85,5,FALSE),"")</f>
        <v/>
      </c>
      <c r="J2155" s="45" t="str">
        <f>IFERROR(VLOOKUP(B2155,'Pre-Summary'!$AE$6:$AJ$85,6, FALSE),"")</f>
        <v/>
      </c>
      <c r="K2155" s="45" t="str">
        <f>IFERROR(VLOOKUP(B2155,'Pre-Summary'!$DE$6:$DG$61,3,FALSE),"")</f>
        <v/>
      </c>
      <c r="L2155" s="45" t="str">
        <f>IFERROR(VLOOKUP(B2155,'Pre-Summary'!$CU$6:$CW$36,3,FALSE),"")</f>
        <v/>
      </c>
      <c r="M2155" s="45" t="str">
        <f>IFERROR(VLOOKUP(B2155,'Pre-Summary'!$BW$6:$BY$58,2,FALSE),"")</f>
        <v/>
      </c>
      <c r="N2155" s="45" t="str">
        <f>IFERROR(VLOOKUP(B2155,'Pre-Summary'!$CD$6:$CF$64,2,FALSE),"")</f>
        <v/>
      </c>
      <c r="O2155" s="99">
        <f>IFERROR(VLOOKUP(B2155,'Pre-Summary'!$BO$6:$BQ$48,3, FALSE),O2154)</f>
        <v>1.3480000000000001</v>
      </c>
      <c r="P2155" s="99">
        <f>IFERROR(VLOOKUP(B2155,'Pre-Summary'!$BS$6:$BU$35,3,FALSE),P2154)</f>
        <v>0.379</v>
      </c>
      <c r="Q2155" s="54">
        <f t="shared" si="99"/>
        <v>3.556728232189974</v>
      </c>
      <c r="R2155" s="53">
        <f>IFERROR(VLOOKUP(B2155,'Pre-Summary'!$BG$6:$BM$44,7,FALSE),R2156)</f>
        <v>9.2946004538835364E-2</v>
      </c>
      <c r="S2155" s="53">
        <f>IFERROR(VLOOKUP(B2155,'Pre-Summary'!$BG$6:$BM$44,6,FALSE),S2156)</f>
        <v>8.3142487304634596E-2</v>
      </c>
      <c r="T2155" s="45" t="str">
        <f>IFERROR(VLOOKUP(B2155,'Pre-Summary'!$Y$6:$AC$83, 3,FALSE),"")</f>
        <v/>
      </c>
      <c r="U2155" s="45" t="str">
        <f>IFERROR(VLOOKUP(B2155,'Pre-Summary'!$Y$6:$AC$83, 4,FALSE),"")</f>
        <v/>
      </c>
      <c r="V2155" t="str">
        <f>IFERROR(VLOOKUP(B2155,'Pre-Summary'!$Y$6:$AC$83, 5,FALSE),"")</f>
        <v/>
      </c>
      <c r="W2155" s="45" t="str">
        <f>IFERROR(VLOOKUP(B2155,'Pre-Summary'!$Y$6:$AD$83,6,FALSE),"")</f>
        <v/>
      </c>
      <c r="X2155" t="str">
        <f>IFERROR(VLOOKUP('Pre-Summary'!$DB$6:$DD$63,3,FALSE),"")</f>
        <v/>
      </c>
      <c r="Y2155" t="str">
        <f>IFERROR(VLOOKUP(B2155,'Pre-Summary'!$CR$6:$CT$36,3,FALSE),"")</f>
        <v/>
      </c>
      <c r="Z2155" s="45" t="str">
        <f>IFERROR(VLOOKUP(B2155,'Pre-Summary'!$BZ$6:$CB$63,2,FALSE),"")</f>
        <v/>
      </c>
      <c r="AA2155" s="45" t="str">
        <f>IFERROR(VLOOKUP(B2155,'Pre-Summary'!$CG$6:$CI$70,2,FALSE),"")</f>
        <v/>
      </c>
      <c r="AB2155" s="99">
        <f>IFERROR(VLOOKUP(B2155,'Pre-Summary'!$A$6:$P$178,9,FALSE),AB2156)</f>
        <v>0.35331798165166045</v>
      </c>
      <c r="AC2155" s="10">
        <f>IFERROR(VLOOKUP(Summary!B2155,'Pre-Summary'!$A$6:$P$184,5, FALSE)/100,AC2156)</f>
        <v>0.95479400000000003</v>
      </c>
      <c r="AD2155" s="10">
        <f>IFERROR(VLOOKUP(Summary!B2155,'Pre-Summary'!$A$6:$P$184,3, FALSE)/100,AD2156)</f>
        <v>3.6379333333333333E-2</v>
      </c>
      <c r="AE2155" s="10">
        <f>IFERROR(VLOOKUP(Summary!B2155,'Pre-Summary'!$A$6:$P$184,7, FALSE)/100,AE2156)</f>
        <v>8.8266666666666667E-3</v>
      </c>
      <c r="AF2155" s="99">
        <f t="shared" si="100"/>
        <v>1.2853472627166306E-2</v>
      </c>
      <c r="AG2155" s="99">
        <f t="shared" si="101"/>
        <v>3.1186200513786564E-3</v>
      </c>
      <c r="AH2155" s="10" t="str">
        <f>IFERROR(VLOOKUP(B2155,'Pre-Summary'!$AZ$6:$BE$65,3,FALSE),"")</f>
        <v/>
      </c>
      <c r="AI2155" s="10" t="str">
        <f>IFERROR(VLOOKUP(B2155,'Pre-Summary'!$AZ$6:$BE$65,5,FALSE),"")</f>
        <v/>
      </c>
      <c r="AJ2155" s="10" t="str">
        <f>IFERROR(VLOOKUP(B2155,'Pre-Summary'!$AZ$6:$BE$65,4,FALSE),"")</f>
        <v/>
      </c>
      <c r="AK2155" s="10" t="str">
        <f>IFERROR(VLOOKUP(B2155,'Pre-Summary'!$AZ$6:$BE$65,6,FALSE),"")</f>
        <v/>
      </c>
      <c r="AL2155" s="10" t="str">
        <f>IFERROR(VLOOKUP(B2155,'Pre-Summary'!$BG$6:$BL$44,3,FALSE),"")</f>
        <v/>
      </c>
      <c r="AM2155" s="10" t="str">
        <f>IFERROR(VLOOKUP(B2155,'Pre-Summary'!$BG$6:$BL$44,4,FALSE),"")</f>
        <v/>
      </c>
    </row>
    <row r="2156" spans="2:39" ht="15" customHeight="1" x14ac:dyDescent="0.3">
      <c r="B2156">
        <v>215.3</v>
      </c>
      <c r="C2156" t="str">
        <f>IFERROR(VLOOKUP(B2156,'Pre-Summary'!$DI$6:$DM$23,4,FALSE),"")</f>
        <v/>
      </c>
      <c r="D2156" s="10" t="str">
        <f>IFERROR(VLOOKUP(B2156,'Pre-Summary'!$AT$6:$AX$14,5,FALSE),D2155)</f>
        <v>Wolfe v3: went back to modified wolfe + EDTA and switched CuSO4 to CUCl2</v>
      </c>
      <c r="E2156" s="10" t="str">
        <f>IFERROR(VLOOKUP(B2156,'Pre-Summary'!$AT$6:$AX$15,4,FALSE),"")</f>
        <v/>
      </c>
      <c r="F2156">
        <f>IFERROR(VLOOKUP(B2156,'Pre-Summary'!$AL$6:$AQ$13,6,FALSE),F2155)</f>
        <v>5.9405263157894746E-2</v>
      </c>
      <c r="G2156" t="str">
        <f>IFERROR(VLOOKUP(B2156,'Pre-Summary'!$AE$6:$AJ$85,3,FALSE),"")</f>
        <v/>
      </c>
      <c r="H2156" t="str">
        <f>IFERROR(VLOOKUP(B2156,'Pre-Summary'!$AE$6:$AJ$85,4,FALSE),"")</f>
        <v/>
      </c>
      <c r="I2156" t="str">
        <f>IFERROR(VLOOKUP(B2156,'Pre-Summary'!$AE$6:$AJ$85,5,FALSE),"")</f>
        <v/>
      </c>
      <c r="J2156" s="45" t="str">
        <f>IFERROR(VLOOKUP(B2156,'Pre-Summary'!$AE$6:$AJ$85,6, FALSE),"")</f>
        <v/>
      </c>
      <c r="K2156" s="45" t="str">
        <f>IFERROR(VLOOKUP(B2156,'Pre-Summary'!$DE$6:$DG$61,3,FALSE),"")</f>
        <v/>
      </c>
      <c r="L2156" s="45" t="str">
        <f>IFERROR(VLOOKUP(B2156,'Pre-Summary'!$CU$6:$CW$36,3,FALSE),"")</f>
        <v/>
      </c>
      <c r="M2156" s="45" t="str">
        <f>IFERROR(VLOOKUP(B2156,'Pre-Summary'!$BW$6:$BY$58,2,FALSE),"")</f>
        <v/>
      </c>
      <c r="N2156" s="45" t="str">
        <f>IFERROR(VLOOKUP(B2156,'Pre-Summary'!$CD$6:$CF$64,2,FALSE),"")</f>
        <v/>
      </c>
      <c r="O2156" s="99">
        <f>IFERROR(VLOOKUP(B2156,'Pre-Summary'!$BO$6:$BQ$48,3, FALSE),O2155)</f>
        <v>1.3480000000000001</v>
      </c>
      <c r="P2156" s="99">
        <f>IFERROR(VLOOKUP(B2156,'Pre-Summary'!$BS$6:$BU$35,3,FALSE),P2155)</f>
        <v>0.379</v>
      </c>
      <c r="Q2156" s="54">
        <f t="shared" si="99"/>
        <v>3.556728232189974</v>
      </c>
      <c r="R2156" s="53">
        <f>IFERROR(VLOOKUP(B2156,'Pre-Summary'!$BG$6:$BM$44,7,FALSE),R2157)</f>
        <v>9.2946004538835364E-2</v>
      </c>
      <c r="S2156" s="53">
        <f>IFERROR(VLOOKUP(B2156,'Pre-Summary'!$BG$6:$BM$44,6,FALSE),S2157)</f>
        <v>8.3142487304634596E-2</v>
      </c>
      <c r="T2156" s="45" t="str">
        <f>IFERROR(VLOOKUP(B2156,'Pre-Summary'!$Y$6:$AC$83, 3,FALSE),"")</f>
        <v/>
      </c>
      <c r="U2156" s="45" t="str">
        <f>IFERROR(VLOOKUP(B2156,'Pre-Summary'!$Y$6:$AC$83, 4,FALSE),"")</f>
        <v/>
      </c>
      <c r="V2156" t="str">
        <f>IFERROR(VLOOKUP(B2156,'Pre-Summary'!$Y$6:$AC$83, 5,FALSE),"")</f>
        <v/>
      </c>
      <c r="W2156" s="45" t="str">
        <f>IFERROR(VLOOKUP(B2156,'Pre-Summary'!$Y$6:$AD$83,6,FALSE),"")</f>
        <v/>
      </c>
      <c r="X2156" t="str">
        <f>IFERROR(VLOOKUP('Pre-Summary'!$DB$6:$DD$63,3,FALSE),"")</f>
        <v/>
      </c>
      <c r="Y2156" t="str">
        <f>IFERROR(VLOOKUP(B2156,'Pre-Summary'!$CR$6:$CT$36,3,FALSE),"")</f>
        <v/>
      </c>
      <c r="Z2156" s="45" t="str">
        <f>IFERROR(VLOOKUP(B2156,'Pre-Summary'!$BZ$6:$CB$63,2,FALSE),"")</f>
        <v/>
      </c>
      <c r="AA2156" s="45" t="str">
        <f>IFERROR(VLOOKUP(B2156,'Pre-Summary'!$CG$6:$CI$70,2,FALSE),"")</f>
        <v/>
      </c>
      <c r="AB2156" s="99">
        <f>IFERROR(VLOOKUP(B2156,'Pre-Summary'!$A$6:$P$178,9,FALSE),AB2157)</f>
        <v>0.35331798165166045</v>
      </c>
      <c r="AC2156" s="10">
        <f>IFERROR(VLOOKUP(Summary!B2156,'Pre-Summary'!$A$6:$P$184,5, FALSE)/100,AC2157)</f>
        <v>0.95479400000000003</v>
      </c>
      <c r="AD2156" s="10">
        <f>IFERROR(VLOOKUP(Summary!B2156,'Pre-Summary'!$A$6:$P$184,3, FALSE)/100,AD2157)</f>
        <v>3.6379333333333333E-2</v>
      </c>
      <c r="AE2156" s="10">
        <f>IFERROR(VLOOKUP(Summary!B2156,'Pre-Summary'!$A$6:$P$184,7, FALSE)/100,AE2157)</f>
        <v>8.8266666666666667E-3</v>
      </c>
      <c r="AF2156" s="99">
        <f t="shared" si="100"/>
        <v>1.2853472627166306E-2</v>
      </c>
      <c r="AG2156" s="99">
        <f t="shared" si="101"/>
        <v>3.1186200513786564E-3</v>
      </c>
      <c r="AH2156" s="10" t="str">
        <f>IFERROR(VLOOKUP(B2156,'Pre-Summary'!$AZ$6:$BE$65,3,FALSE),"")</f>
        <v/>
      </c>
      <c r="AI2156" s="10" t="str">
        <f>IFERROR(VLOOKUP(B2156,'Pre-Summary'!$AZ$6:$BE$65,5,FALSE),"")</f>
        <v/>
      </c>
      <c r="AJ2156" s="10" t="str">
        <f>IFERROR(VLOOKUP(B2156,'Pre-Summary'!$AZ$6:$BE$65,4,FALSE),"")</f>
        <v/>
      </c>
      <c r="AK2156" s="10" t="str">
        <f>IFERROR(VLOOKUP(B2156,'Pre-Summary'!$AZ$6:$BE$65,6,FALSE),"")</f>
        <v/>
      </c>
      <c r="AL2156" s="10" t="str">
        <f>IFERROR(VLOOKUP(B2156,'Pre-Summary'!$BG$6:$BL$44,3,FALSE),"")</f>
        <v/>
      </c>
      <c r="AM2156" s="10" t="str">
        <f>IFERROR(VLOOKUP(B2156,'Pre-Summary'!$BG$6:$BL$44,4,FALSE),"")</f>
        <v/>
      </c>
    </row>
    <row r="2157" spans="2:39" ht="15" customHeight="1" x14ac:dyDescent="0.3">
      <c r="B2157">
        <v>215.4</v>
      </c>
      <c r="C2157" t="str">
        <f>IFERROR(VLOOKUP(B2157,'Pre-Summary'!$DI$6:$DM$23,4,FALSE),"")</f>
        <v/>
      </c>
      <c r="D2157" s="10" t="str">
        <f>IFERROR(VLOOKUP(B2157,'Pre-Summary'!$AT$6:$AX$14,5,FALSE),D2156)</f>
        <v>Wolfe v3: went back to modified wolfe + EDTA and switched CuSO4 to CUCl2</v>
      </c>
      <c r="E2157" s="10" t="str">
        <f>IFERROR(VLOOKUP(B2157,'Pre-Summary'!$AT$6:$AX$15,4,FALSE),"")</f>
        <v/>
      </c>
      <c r="F2157">
        <f>IFERROR(VLOOKUP(B2157,'Pre-Summary'!$AL$6:$AQ$13,6,FALSE),F2156)</f>
        <v>5.9405263157894746E-2</v>
      </c>
      <c r="G2157" t="str">
        <f>IFERROR(VLOOKUP(B2157,'Pre-Summary'!$AE$6:$AJ$85,3,FALSE),"")</f>
        <v/>
      </c>
      <c r="H2157" t="str">
        <f>IFERROR(VLOOKUP(B2157,'Pre-Summary'!$AE$6:$AJ$85,4,FALSE),"")</f>
        <v/>
      </c>
      <c r="I2157" t="str">
        <f>IFERROR(VLOOKUP(B2157,'Pre-Summary'!$AE$6:$AJ$85,5,FALSE),"")</f>
        <v/>
      </c>
      <c r="J2157" s="45" t="str">
        <f>IFERROR(VLOOKUP(B2157,'Pre-Summary'!$AE$6:$AJ$85,6, FALSE),"")</f>
        <v/>
      </c>
      <c r="K2157" s="45" t="str">
        <f>IFERROR(VLOOKUP(B2157,'Pre-Summary'!$DE$6:$DG$61,3,FALSE),"")</f>
        <v/>
      </c>
      <c r="L2157" s="45" t="str">
        <f>IFERROR(VLOOKUP(B2157,'Pre-Summary'!$CU$6:$CW$36,3,FALSE),"")</f>
        <v/>
      </c>
      <c r="M2157" s="45" t="str">
        <f>IFERROR(VLOOKUP(B2157,'Pre-Summary'!$BW$6:$BY$58,2,FALSE),"")</f>
        <v/>
      </c>
      <c r="N2157" s="45" t="str">
        <f>IFERROR(VLOOKUP(B2157,'Pre-Summary'!$CD$6:$CF$64,2,FALSE),"")</f>
        <v/>
      </c>
      <c r="O2157" s="99">
        <f>IFERROR(VLOOKUP(B2157,'Pre-Summary'!$BO$6:$BQ$48,3, FALSE),O2156)</f>
        <v>1.3480000000000001</v>
      </c>
      <c r="P2157" s="99">
        <f>IFERROR(VLOOKUP(B2157,'Pre-Summary'!$BS$6:$BU$35,3,FALSE),P2156)</f>
        <v>0.379</v>
      </c>
      <c r="Q2157" s="54">
        <f t="shared" si="99"/>
        <v>3.556728232189974</v>
      </c>
      <c r="R2157" s="53">
        <f>IFERROR(VLOOKUP(B2157,'Pre-Summary'!$BG$6:$BM$44,7,FALSE),R2158)</f>
        <v>9.2946004538835364E-2</v>
      </c>
      <c r="S2157" s="53">
        <f>IFERROR(VLOOKUP(B2157,'Pre-Summary'!$BG$6:$BM$44,6,FALSE),S2158)</f>
        <v>8.3142487304634596E-2</v>
      </c>
      <c r="T2157" s="45" t="str">
        <f>IFERROR(VLOOKUP(B2157,'Pre-Summary'!$Y$6:$AC$83, 3,FALSE),"")</f>
        <v/>
      </c>
      <c r="U2157" s="45" t="str">
        <f>IFERROR(VLOOKUP(B2157,'Pre-Summary'!$Y$6:$AC$83, 4,FALSE),"")</f>
        <v/>
      </c>
      <c r="V2157" t="str">
        <f>IFERROR(VLOOKUP(B2157,'Pre-Summary'!$Y$6:$AC$83, 5,FALSE),"")</f>
        <v/>
      </c>
      <c r="W2157" s="45" t="str">
        <f>IFERROR(VLOOKUP(B2157,'Pre-Summary'!$Y$6:$AD$83,6,FALSE),"")</f>
        <v/>
      </c>
      <c r="X2157" t="str">
        <f>IFERROR(VLOOKUP('Pre-Summary'!$DB$6:$DD$63,3,FALSE),"")</f>
        <v/>
      </c>
      <c r="Y2157" t="str">
        <f>IFERROR(VLOOKUP(B2157,'Pre-Summary'!$CR$6:$CT$36,3,FALSE),"")</f>
        <v/>
      </c>
      <c r="Z2157" s="45" t="str">
        <f>IFERROR(VLOOKUP(B2157,'Pre-Summary'!$BZ$6:$CB$63,2,FALSE),"")</f>
        <v/>
      </c>
      <c r="AA2157" s="45" t="str">
        <f>IFERROR(VLOOKUP(B2157,'Pre-Summary'!$CG$6:$CI$70,2,FALSE),"")</f>
        <v/>
      </c>
      <c r="AB2157" s="99">
        <f>IFERROR(VLOOKUP(B2157,'Pre-Summary'!$A$6:$P$178,9,FALSE),AB2158)</f>
        <v>0.35331798165166045</v>
      </c>
      <c r="AC2157" s="10">
        <f>IFERROR(VLOOKUP(Summary!B2157,'Pre-Summary'!$A$6:$P$184,5, FALSE)/100,AC2158)</f>
        <v>0.95479400000000003</v>
      </c>
      <c r="AD2157" s="10">
        <f>IFERROR(VLOOKUP(Summary!B2157,'Pre-Summary'!$A$6:$P$184,3, FALSE)/100,AD2158)</f>
        <v>3.6379333333333333E-2</v>
      </c>
      <c r="AE2157" s="10">
        <f>IFERROR(VLOOKUP(Summary!B2157,'Pre-Summary'!$A$6:$P$184,7, FALSE)/100,AE2158)</f>
        <v>8.8266666666666667E-3</v>
      </c>
      <c r="AF2157" s="99">
        <f t="shared" si="100"/>
        <v>1.2853472627166306E-2</v>
      </c>
      <c r="AG2157" s="99">
        <f t="shared" si="101"/>
        <v>3.1186200513786564E-3</v>
      </c>
      <c r="AH2157" s="10" t="str">
        <f>IFERROR(VLOOKUP(B2157,'Pre-Summary'!$AZ$6:$BE$65,3,FALSE),"")</f>
        <v/>
      </c>
      <c r="AI2157" s="10" t="str">
        <f>IFERROR(VLOOKUP(B2157,'Pre-Summary'!$AZ$6:$BE$65,5,FALSE),"")</f>
        <v/>
      </c>
      <c r="AJ2157" s="10" t="str">
        <f>IFERROR(VLOOKUP(B2157,'Pre-Summary'!$AZ$6:$BE$65,4,FALSE),"")</f>
        <v/>
      </c>
      <c r="AK2157" s="10" t="str">
        <f>IFERROR(VLOOKUP(B2157,'Pre-Summary'!$AZ$6:$BE$65,6,FALSE),"")</f>
        <v/>
      </c>
      <c r="AL2157" s="10" t="str">
        <f>IFERROR(VLOOKUP(B2157,'Pre-Summary'!$BG$6:$BL$44,3,FALSE),"")</f>
        <v/>
      </c>
      <c r="AM2157" s="10" t="str">
        <f>IFERROR(VLOOKUP(B2157,'Pre-Summary'!$BG$6:$BL$44,4,FALSE),"")</f>
        <v/>
      </c>
    </row>
    <row r="2158" spans="2:39" ht="15" customHeight="1" x14ac:dyDescent="0.3">
      <c r="B2158">
        <v>215.5</v>
      </c>
      <c r="C2158" t="str">
        <f>IFERROR(VLOOKUP(B2158,'Pre-Summary'!$DI$6:$DM$23,4,FALSE),"")</f>
        <v/>
      </c>
      <c r="D2158" s="10" t="str">
        <f>IFERROR(VLOOKUP(B2158,'Pre-Summary'!$AT$6:$AX$14,5,FALSE),D2157)</f>
        <v>Wolfe v3: went back to modified wolfe + EDTA and switched CuSO4 to CUCl2</v>
      </c>
      <c r="E2158" s="10" t="str">
        <f>IFERROR(VLOOKUP(B2158,'Pre-Summary'!$AT$6:$AX$15,4,FALSE),"")</f>
        <v/>
      </c>
      <c r="F2158">
        <f>IFERROR(VLOOKUP(B2158,'Pre-Summary'!$AL$6:$AQ$13,6,FALSE),F2157)</f>
        <v>5.9405263157894746E-2</v>
      </c>
      <c r="G2158" t="str">
        <f>IFERROR(VLOOKUP(B2158,'Pre-Summary'!$AE$6:$AJ$85,3,FALSE),"")</f>
        <v/>
      </c>
      <c r="H2158" t="str">
        <f>IFERROR(VLOOKUP(B2158,'Pre-Summary'!$AE$6:$AJ$85,4,FALSE),"")</f>
        <v/>
      </c>
      <c r="I2158" t="str">
        <f>IFERROR(VLOOKUP(B2158,'Pre-Summary'!$AE$6:$AJ$85,5,FALSE),"")</f>
        <v/>
      </c>
      <c r="J2158" s="45" t="str">
        <f>IFERROR(VLOOKUP(B2158,'Pre-Summary'!$AE$6:$AJ$85,6, FALSE),"")</f>
        <v/>
      </c>
      <c r="K2158" s="45" t="str">
        <f>IFERROR(VLOOKUP(B2158,'Pre-Summary'!$DE$6:$DG$61,3,FALSE),"")</f>
        <v/>
      </c>
      <c r="L2158" s="45" t="str">
        <f>IFERROR(VLOOKUP(B2158,'Pre-Summary'!$CU$6:$CW$36,3,FALSE),"")</f>
        <v/>
      </c>
      <c r="M2158" s="45" t="str">
        <f>IFERROR(VLOOKUP(B2158,'Pre-Summary'!$BW$6:$BY$58,2,FALSE),"")</f>
        <v/>
      </c>
      <c r="N2158" s="45">
        <f>IFERROR(VLOOKUP(B2158,'Pre-Summary'!$CD$6:$CF$64,2,FALSE),"")</f>
        <v>211.36988629967647</v>
      </c>
      <c r="O2158" s="99">
        <f>IFERROR(VLOOKUP(B2158,'Pre-Summary'!$BO$6:$BQ$48,3, FALSE),O2157)</f>
        <v>1.3480000000000001</v>
      </c>
      <c r="P2158" s="99">
        <f>IFERROR(VLOOKUP(B2158,'Pre-Summary'!$BS$6:$BU$35,3,FALSE),P2157)</f>
        <v>0.379</v>
      </c>
      <c r="Q2158" s="54">
        <f t="shared" si="99"/>
        <v>3.556728232189974</v>
      </c>
      <c r="R2158" s="53">
        <f>IFERROR(VLOOKUP(B2158,'Pre-Summary'!$BG$6:$BM$44,7,FALSE),R2159)</f>
        <v>9.2946004538835364E-2</v>
      </c>
      <c r="S2158" s="53">
        <f>IFERROR(VLOOKUP(B2158,'Pre-Summary'!$BG$6:$BM$44,6,FALSE),S2159)</f>
        <v>8.3142487304634596E-2</v>
      </c>
      <c r="T2158" s="45" t="str">
        <f>IFERROR(VLOOKUP(B2158,'Pre-Summary'!$Y$6:$AC$83, 3,FALSE),"")</f>
        <v/>
      </c>
      <c r="U2158" s="45" t="str">
        <f>IFERROR(VLOOKUP(B2158,'Pre-Summary'!$Y$6:$AC$83, 4,FALSE),"")</f>
        <v/>
      </c>
      <c r="V2158" t="str">
        <f>IFERROR(VLOOKUP(B2158,'Pre-Summary'!$Y$6:$AC$83, 5,FALSE),"")</f>
        <v/>
      </c>
      <c r="W2158" s="45" t="str">
        <f>IFERROR(VLOOKUP(B2158,'Pre-Summary'!$Y$6:$AD$83,6,FALSE),"")</f>
        <v/>
      </c>
      <c r="X2158" t="str">
        <f>IFERROR(VLOOKUP('Pre-Summary'!$DB$6:$DD$63,3,FALSE),"")</f>
        <v/>
      </c>
      <c r="Y2158" t="str">
        <f>IFERROR(VLOOKUP(B2158,'Pre-Summary'!$CR$6:$CT$36,3,FALSE),"")</f>
        <v/>
      </c>
      <c r="Z2158" s="45" t="str">
        <f>IFERROR(VLOOKUP(B2158,'Pre-Summary'!$BZ$6:$CB$63,2,FALSE),"")</f>
        <v/>
      </c>
      <c r="AA2158" s="45" t="str">
        <f>IFERROR(VLOOKUP(B2158,'Pre-Summary'!$CG$6:$CI$70,2,FALSE),"")</f>
        <v/>
      </c>
      <c r="AB2158" s="99">
        <f>IFERROR(VLOOKUP(B2158,'Pre-Summary'!$A$6:$P$178,9,FALSE),AB2159)</f>
        <v>0.35331798165166045</v>
      </c>
      <c r="AC2158" s="10">
        <f>IFERROR(VLOOKUP(Summary!B2158,'Pre-Summary'!$A$6:$P$184,5, FALSE)/100,AC2159)</f>
        <v>0.95479400000000003</v>
      </c>
      <c r="AD2158" s="10">
        <f>IFERROR(VLOOKUP(Summary!B2158,'Pre-Summary'!$A$6:$P$184,3, FALSE)/100,AD2159)</f>
        <v>3.6379333333333333E-2</v>
      </c>
      <c r="AE2158" s="10">
        <f>IFERROR(VLOOKUP(Summary!B2158,'Pre-Summary'!$A$6:$P$184,7, FALSE)/100,AE2159)</f>
        <v>8.8266666666666667E-3</v>
      </c>
      <c r="AF2158" s="99">
        <f t="shared" si="100"/>
        <v>1.2853472627166306E-2</v>
      </c>
      <c r="AG2158" s="99">
        <f t="shared" si="101"/>
        <v>3.1186200513786564E-3</v>
      </c>
      <c r="AH2158" s="10" t="str">
        <f>IFERROR(VLOOKUP(B2158,'Pre-Summary'!$AZ$6:$BE$65,3,FALSE),"")</f>
        <v/>
      </c>
      <c r="AI2158" s="10" t="str">
        <f>IFERROR(VLOOKUP(B2158,'Pre-Summary'!$AZ$6:$BE$65,5,FALSE),"")</f>
        <v/>
      </c>
      <c r="AJ2158" s="10" t="str">
        <f>IFERROR(VLOOKUP(B2158,'Pre-Summary'!$AZ$6:$BE$65,4,FALSE),"")</f>
        <v/>
      </c>
      <c r="AK2158" s="10" t="str">
        <f>IFERROR(VLOOKUP(B2158,'Pre-Summary'!$AZ$6:$BE$65,6,FALSE),"")</f>
        <v/>
      </c>
      <c r="AL2158" s="10" t="str">
        <f>IFERROR(VLOOKUP(B2158,'Pre-Summary'!$BG$6:$BL$44,3,FALSE),"")</f>
        <v/>
      </c>
      <c r="AM2158" s="10" t="str">
        <f>IFERROR(VLOOKUP(B2158,'Pre-Summary'!$BG$6:$BL$44,4,FALSE),"")</f>
        <v/>
      </c>
    </row>
    <row r="2159" spans="2:39" ht="15" customHeight="1" x14ac:dyDescent="0.3">
      <c r="B2159">
        <v>215.6</v>
      </c>
      <c r="C2159" t="str">
        <f>IFERROR(VLOOKUP(B2159,'Pre-Summary'!$DI$6:$DM$23,4,FALSE),"")</f>
        <v/>
      </c>
      <c r="D2159" s="10" t="str">
        <f>IFERROR(VLOOKUP(B2159,'Pre-Summary'!$AT$6:$AX$14,5,FALSE),D2158)</f>
        <v>Wolfe v3: went back to modified wolfe + EDTA and switched CuSO4 to CUCl2</v>
      </c>
      <c r="E2159" s="10" t="str">
        <f>IFERROR(VLOOKUP(B2159,'Pre-Summary'!$AT$6:$AX$15,4,FALSE),"")</f>
        <v/>
      </c>
      <c r="F2159">
        <f>IFERROR(VLOOKUP(B2159,'Pre-Summary'!$AL$6:$AQ$13,6,FALSE),F2158)</f>
        <v>5.9405263157894746E-2</v>
      </c>
      <c r="G2159" t="str">
        <f>IFERROR(VLOOKUP(B2159,'Pre-Summary'!$AE$6:$AJ$85,3,FALSE),"")</f>
        <v/>
      </c>
      <c r="H2159" t="str">
        <f>IFERROR(VLOOKUP(B2159,'Pre-Summary'!$AE$6:$AJ$85,4,FALSE),"")</f>
        <v/>
      </c>
      <c r="I2159" t="str">
        <f>IFERROR(VLOOKUP(B2159,'Pre-Summary'!$AE$6:$AJ$85,5,FALSE),"")</f>
        <v/>
      </c>
      <c r="J2159" s="45" t="str">
        <f>IFERROR(VLOOKUP(B2159,'Pre-Summary'!$AE$6:$AJ$85,6, FALSE),"")</f>
        <v/>
      </c>
      <c r="K2159" s="45" t="str">
        <f>IFERROR(VLOOKUP(B2159,'Pre-Summary'!$DE$6:$DG$61,3,FALSE),"")</f>
        <v/>
      </c>
      <c r="L2159" s="45" t="str">
        <f>IFERROR(VLOOKUP(B2159,'Pre-Summary'!$CU$6:$CW$36,3,FALSE),"")</f>
        <v/>
      </c>
      <c r="M2159" s="45" t="str">
        <f>IFERROR(VLOOKUP(B2159,'Pre-Summary'!$BW$6:$BY$58,2,FALSE),"")</f>
        <v/>
      </c>
      <c r="N2159" s="45" t="str">
        <f>IFERROR(VLOOKUP(B2159,'Pre-Summary'!$CD$6:$CF$64,2,FALSE),"")</f>
        <v/>
      </c>
      <c r="O2159" s="99">
        <f>IFERROR(VLOOKUP(B2159,'Pre-Summary'!$BO$6:$BQ$48,3, FALSE),O2158)</f>
        <v>1.3480000000000001</v>
      </c>
      <c r="P2159" s="99">
        <f>IFERROR(VLOOKUP(B2159,'Pre-Summary'!$BS$6:$BU$35,3,FALSE),P2158)</f>
        <v>0.379</v>
      </c>
      <c r="Q2159" s="54">
        <f t="shared" si="99"/>
        <v>3.556728232189974</v>
      </c>
      <c r="R2159" s="53">
        <f>IFERROR(VLOOKUP(B2159,'Pre-Summary'!$BG$6:$BM$44,7,FALSE),R2160)</f>
        <v>9.2946004538835364E-2</v>
      </c>
      <c r="S2159" s="53">
        <f>IFERROR(VLOOKUP(B2159,'Pre-Summary'!$BG$6:$BM$44,6,FALSE),S2160)</f>
        <v>8.3142487304634596E-2</v>
      </c>
      <c r="T2159" s="45" t="str">
        <f>IFERROR(VLOOKUP(B2159,'Pre-Summary'!$Y$6:$AC$83, 3,FALSE),"")</f>
        <v/>
      </c>
      <c r="U2159" s="45" t="str">
        <f>IFERROR(VLOOKUP(B2159,'Pre-Summary'!$Y$6:$AC$83, 4,FALSE),"")</f>
        <v/>
      </c>
      <c r="V2159" t="str">
        <f>IFERROR(VLOOKUP(B2159,'Pre-Summary'!$Y$6:$AC$83, 5,FALSE),"")</f>
        <v/>
      </c>
      <c r="W2159" s="45" t="str">
        <f>IFERROR(VLOOKUP(B2159,'Pre-Summary'!$Y$6:$AD$83,6,FALSE),"")</f>
        <v/>
      </c>
      <c r="X2159" t="str">
        <f>IFERROR(VLOOKUP('Pre-Summary'!$DB$6:$DD$63,3,FALSE),"")</f>
        <v/>
      </c>
      <c r="Y2159" t="str">
        <f>IFERROR(VLOOKUP(B2159,'Pre-Summary'!$CR$6:$CT$36,3,FALSE),"")</f>
        <v/>
      </c>
      <c r="Z2159" s="45" t="str">
        <f>IFERROR(VLOOKUP(B2159,'Pre-Summary'!$BZ$6:$CB$63,2,FALSE),"")</f>
        <v/>
      </c>
      <c r="AA2159" s="45" t="str">
        <f>IFERROR(VLOOKUP(B2159,'Pre-Summary'!$CG$6:$CI$70,2,FALSE),"")</f>
        <v/>
      </c>
      <c r="AB2159" s="99">
        <f>IFERROR(VLOOKUP(B2159,'Pre-Summary'!$A$6:$P$178,9,FALSE),AB2160)</f>
        <v>0.35331798165166045</v>
      </c>
      <c r="AC2159" s="10">
        <f>IFERROR(VLOOKUP(Summary!B2159,'Pre-Summary'!$A$6:$P$184,5, FALSE)/100,AC2160)</f>
        <v>0.95479400000000003</v>
      </c>
      <c r="AD2159" s="10">
        <f>IFERROR(VLOOKUP(Summary!B2159,'Pre-Summary'!$A$6:$P$184,3, FALSE)/100,AD2160)</f>
        <v>3.6379333333333333E-2</v>
      </c>
      <c r="AE2159" s="10">
        <f>IFERROR(VLOOKUP(Summary!B2159,'Pre-Summary'!$A$6:$P$184,7, FALSE)/100,AE2160)</f>
        <v>8.8266666666666667E-3</v>
      </c>
      <c r="AF2159" s="99">
        <f t="shared" si="100"/>
        <v>1.2853472627166306E-2</v>
      </c>
      <c r="AG2159" s="99">
        <f t="shared" si="101"/>
        <v>3.1186200513786564E-3</v>
      </c>
      <c r="AH2159" s="10" t="str">
        <f>IFERROR(VLOOKUP(B2159,'Pre-Summary'!$AZ$6:$BE$65,3,FALSE),"")</f>
        <v/>
      </c>
      <c r="AI2159" s="10" t="str">
        <f>IFERROR(VLOOKUP(B2159,'Pre-Summary'!$AZ$6:$BE$65,5,FALSE),"")</f>
        <v/>
      </c>
      <c r="AJ2159" s="10" t="str">
        <f>IFERROR(VLOOKUP(B2159,'Pre-Summary'!$AZ$6:$BE$65,4,FALSE),"")</f>
        <v/>
      </c>
      <c r="AK2159" s="10" t="str">
        <f>IFERROR(VLOOKUP(B2159,'Pre-Summary'!$AZ$6:$BE$65,6,FALSE),"")</f>
        <v/>
      </c>
      <c r="AL2159" s="10" t="str">
        <f>IFERROR(VLOOKUP(B2159,'Pre-Summary'!$BG$6:$BL$44,3,FALSE),"")</f>
        <v/>
      </c>
      <c r="AM2159" s="10" t="str">
        <f>IFERROR(VLOOKUP(B2159,'Pre-Summary'!$BG$6:$BL$44,4,FALSE),"")</f>
        <v/>
      </c>
    </row>
    <row r="2160" spans="2:39" ht="15" customHeight="1" x14ac:dyDescent="0.3">
      <c r="B2160">
        <v>215.7</v>
      </c>
      <c r="C2160" t="str">
        <f>IFERROR(VLOOKUP(B2160,'Pre-Summary'!$DI$6:$DM$23,4,FALSE),"")</f>
        <v/>
      </c>
      <c r="D2160" s="10" t="str">
        <f>IFERROR(VLOOKUP(B2160,'Pre-Summary'!$AT$6:$AX$14,5,FALSE),D2159)</f>
        <v>Wolfe v3: went back to modified wolfe + EDTA and switched CuSO4 to CUCl2</v>
      </c>
      <c r="E2160" s="10" t="str">
        <f>IFERROR(VLOOKUP(B2160,'Pre-Summary'!$AT$6:$AX$15,4,FALSE),"")</f>
        <v/>
      </c>
      <c r="F2160">
        <f>IFERROR(VLOOKUP(B2160,'Pre-Summary'!$AL$6:$AQ$13,6,FALSE),F2159)</f>
        <v>5.9405263157894746E-2</v>
      </c>
      <c r="G2160" t="str">
        <f>IFERROR(VLOOKUP(B2160,'Pre-Summary'!$AE$6:$AJ$85,3,FALSE),"")</f>
        <v/>
      </c>
      <c r="H2160" t="str">
        <f>IFERROR(VLOOKUP(B2160,'Pre-Summary'!$AE$6:$AJ$85,4,FALSE),"")</f>
        <v/>
      </c>
      <c r="I2160" t="str">
        <f>IFERROR(VLOOKUP(B2160,'Pre-Summary'!$AE$6:$AJ$85,5,FALSE),"")</f>
        <v/>
      </c>
      <c r="J2160" s="45" t="str">
        <f>IFERROR(VLOOKUP(B2160,'Pre-Summary'!$AE$6:$AJ$85,6, FALSE),"")</f>
        <v/>
      </c>
      <c r="K2160" s="45" t="str">
        <f>IFERROR(VLOOKUP(B2160,'Pre-Summary'!$DE$6:$DG$61,3,FALSE),"")</f>
        <v/>
      </c>
      <c r="L2160" s="45" t="str">
        <f>IFERROR(VLOOKUP(B2160,'Pre-Summary'!$CU$6:$CW$36,3,FALSE),"")</f>
        <v/>
      </c>
      <c r="M2160" s="45" t="str">
        <f>IFERROR(VLOOKUP(B2160,'Pre-Summary'!$BW$6:$BY$58,2,FALSE),"")</f>
        <v/>
      </c>
      <c r="N2160" s="45" t="str">
        <f>IFERROR(VLOOKUP(B2160,'Pre-Summary'!$CD$6:$CF$64,2,FALSE),"")</f>
        <v/>
      </c>
      <c r="O2160" s="99">
        <f>IFERROR(VLOOKUP(B2160,'Pre-Summary'!$BO$6:$BQ$48,3, FALSE),O2159)</f>
        <v>1.3480000000000001</v>
      </c>
      <c r="P2160" s="99">
        <f>IFERROR(VLOOKUP(B2160,'Pre-Summary'!$BS$6:$BU$35,3,FALSE),P2159)</f>
        <v>0.379</v>
      </c>
      <c r="Q2160" s="54">
        <f t="shared" si="99"/>
        <v>3.556728232189974</v>
      </c>
      <c r="R2160" s="53">
        <f>IFERROR(VLOOKUP(B2160,'Pre-Summary'!$BG$6:$BM$44,7,FALSE),R2161)</f>
        <v>9.2946004538835364E-2</v>
      </c>
      <c r="S2160" s="53">
        <f>IFERROR(VLOOKUP(B2160,'Pre-Summary'!$BG$6:$BM$44,6,FALSE),S2161)</f>
        <v>8.3142487304634596E-2</v>
      </c>
      <c r="T2160" s="45" t="str">
        <f>IFERROR(VLOOKUP(B2160,'Pre-Summary'!$Y$6:$AC$83, 3,FALSE),"")</f>
        <v/>
      </c>
      <c r="U2160" s="45" t="str">
        <f>IFERROR(VLOOKUP(B2160,'Pre-Summary'!$Y$6:$AC$83, 4,FALSE),"")</f>
        <v/>
      </c>
      <c r="V2160" t="str">
        <f>IFERROR(VLOOKUP(B2160,'Pre-Summary'!$Y$6:$AC$83, 5,FALSE),"")</f>
        <v/>
      </c>
      <c r="W2160" s="45" t="str">
        <f>IFERROR(VLOOKUP(B2160,'Pre-Summary'!$Y$6:$AD$83,6,FALSE),"")</f>
        <v/>
      </c>
      <c r="X2160" t="str">
        <f>IFERROR(VLOOKUP('Pre-Summary'!$DB$6:$DD$63,3,FALSE),"")</f>
        <v/>
      </c>
      <c r="Y2160" t="str">
        <f>IFERROR(VLOOKUP(B2160,'Pre-Summary'!$CR$6:$CT$36,3,FALSE),"")</f>
        <v/>
      </c>
      <c r="Z2160" s="45" t="str">
        <f>IFERROR(VLOOKUP(B2160,'Pre-Summary'!$BZ$6:$CB$63,2,FALSE),"")</f>
        <v/>
      </c>
      <c r="AA2160" s="45" t="str">
        <f>IFERROR(VLOOKUP(B2160,'Pre-Summary'!$CG$6:$CI$70,2,FALSE),"")</f>
        <v/>
      </c>
      <c r="AB2160" s="99">
        <f>IFERROR(VLOOKUP(B2160,'Pre-Summary'!$A$6:$P$178,9,FALSE),AB2161)</f>
        <v>0.35331798165166045</v>
      </c>
      <c r="AC2160" s="10">
        <f>IFERROR(VLOOKUP(Summary!B2160,'Pre-Summary'!$A$6:$P$184,5, FALSE)/100,AC2161)</f>
        <v>0.95479400000000003</v>
      </c>
      <c r="AD2160" s="10">
        <f>IFERROR(VLOOKUP(Summary!B2160,'Pre-Summary'!$A$6:$P$184,3, FALSE)/100,AD2161)</f>
        <v>3.6379333333333333E-2</v>
      </c>
      <c r="AE2160" s="10">
        <f>IFERROR(VLOOKUP(Summary!B2160,'Pre-Summary'!$A$6:$P$184,7, FALSE)/100,AE2161)</f>
        <v>8.8266666666666667E-3</v>
      </c>
      <c r="AF2160" s="99">
        <f t="shared" si="100"/>
        <v>1.2853472627166306E-2</v>
      </c>
      <c r="AG2160" s="99">
        <f t="shared" si="101"/>
        <v>3.1186200513786564E-3</v>
      </c>
      <c r="AH2160" s="10" t="str">
        <f>IFERROR(VLOOKUP(B2160,'Pre-Summary'!$AZ$6:$BE$65,3,FALSE),"")</f>
        <v/>
      </c>
      <c r="AI2160" s="10" t="str">
        <f>IFERROR(VLOOKUP(B2160,'Pre-Summary'!$AZ$6:$BE$65,5,FALSE),"")</f>
        <v/>
      </c>
      <c r="AJ2160" s="10" t="str">
        <f>IFERROR(VLOOKUP(B2160,'Pre-Summary'!$AZ$6:$BE$65,4,FALSE),"")</f>
        <v/>
      </c>
      <c r="AK2160" s="10" t="str">
        <f>IFERROR(VLOOKUP(B2160,'Pre-Summary'!$AZ$6:$BE$65,6,FALSE),"")</f>
        <v/>
      </c>
      <c r="AL2160" s="10" t="str">
        <f>IFERROR(VLOOKUP(B2160,'Pre-Summary'!$BG$6:$BL$44,3,FALSE),"")</f>
        <v/>
      </c>
      <c r="AM2160" s="10" t="str">
        <f>IFERROR(VLOOKUP(B2160,'Pre-Summary'!$BG$6:$BL$44,4,FALSE),"")</f>
        <v/>
      </c>
    </row>
    <row r="2161" spans="2:39" ht="15" customHeight="1" x14ac:dyDescent="0.3">
      <c r="B2161">
        <v>215.8</v>
      </c>
      <c r="C2161" t="str">
        <f>IFERROR(VLOOKUP(B2161,'Pre-Summary'!$DI$6:$DM$23,4,FALSE),"")</f>
        <v/>
      </c>
      <c r="D2161" s="10" t="str">
        <f>IFERROR(VLOOKUP(B2161,'Pre-Summary'!$AT$6:$AX$14,5,FALSE),D2160)</f>
        <v>Wolfe v3: went back to modified wolfe + EDTA and switched CuSO4 to CUCl2</v>
      </c>
      <c r="E2161" s="10" t="str">
        <f>IFERROR(VLOOKUP(B2161,'Pre-Summary'!$AT$6:$AX$15,4,FALSE),"")</f>
        <v/>
      </c>
      <c r="F2161">
        <f>IFERROR(VLOOKUP(B2161,'Pre-Summary'!$AL$6:$AQ$13,6,FALSE),F2160)</f>
        <v>5.9405263157894746E-2</v>
      </c>
      <c r="G2161" t="str">
        <f>IFERROR(VLOOKUP(B2161,'Pre-Summary'!$AE$6:$AJ$85,3,FALSE),"")</f>
        <v/>
      </c>
      <c r="H2161" t="str">
        <f>IFERROR(VLOOKUP(B2161,'Pre-Summary'!$AE$6:$AJ$85,4,FALSE),"")</f>
        <v/>
      </c>
      <c r="I2161" t="str">
        <f>IFERROR(VLOOKUP(B2161,'Pre-Summary'!$AE$6:$AJ$85,5,FALSE),"")</f>
        <v/>
      </c>
      <c r="J2161" s="45" t="str">
        <f>IFERROR(VLOOKUP(B2161,'Pre-Summary'!$AE$6:$AJ$85,6, FALSE),"")</f>
        <v/>
      </c>
      <c r="K2161" s="45" t="str">
        <f>IFERROR(VLOOKUP(B2161,'Pre-Summary'!$DE$6:$DG$61,3,FALSE),"")</f>
        <v/>
      </c>
      <c r="L2161" s="45" t="str">
        <f>IFERROR(VLOOKUP(B2161,'Pre-Summary'!$CU$6:$CW$36,3,FALSE),"")</f>
        <v/>
      </c>
      <c r="M2161" s="45" t="str">
        <f>IFERROR(VLOOKUP(B2161,'Pre-Summary'!$BW$6:$BY$58,2,FALSE),"")</f>
        <v/>
      </c>
      <c r="N2161" s="45" t="str">
        <f>IFERROR(VLOOKUP(B2161,'Pre-Summary'!$CD$6:$CF$64,2,FALSE),"")</f>
        <v/>
      </c>
      <c r="O2161" s="99">
        <f>IFERROR(VLOOKUP(B2161,'Pre-Summary'!$BO$6:$BQ$48,3, FALSE),O2160)</f>
        <v>1.3480000000000001</v>
      </c>
      <c r="P2161" s="99">
        <f>IFERROR(VLOOKUP(B2161,'Pre-Summary'!$BS$6:$BU$35,3,FALSE),P2160)</f>
        <v>0.379</v>
      </c>
      <c r="Q2161" s="54">
        <f t="shared" si="99"/>
        <v>3.556728232189974</v>
      </c>
      <c r="R2161" s="53">
        <f>IFERROR(VLOOKUP(B2161,'Pre-Summary'!$BG$6:$BM$44,7,FALSE),R2162)</f>
        <v>9.2946004538835364E-2</v>
      </c>
      <c r="S2161" s="53">
        <f>IFERROR(VLOOKUP(B2161,'Pre-Summary'!$BG$6:$BM$44,6,FALSE),S2162)</f>
        <v>8.3142487304634596E-2</v>
      </c>
      <c r="T2161" s="45" t="str">
        <f>IFERROR(VLOOKUP(B2161,'Pre-Summary'!$Y$6:$AC$83, 3,FALSE),"")</f>
        <v/>
      </c>
      <c r="U2161" s="45" t="str">
        <f>IFERROR(VLOOKUP(B2161,'Pre-Summary'!$Y$6:$AC$83, 4,FALSE),"")</f>
        <v/>
      </c>
      <c r="V2161" t="str">
        <f>IFERROR(VLOOKUP(B2161,'Pre-Summary'!$Y$6:$AC$83, 5,FALSE),"")</f>
        <v/>
      </c>
      <c r="W2161" s="45" t="str">
        <f>IFERROR(VLOOKUP(B2161,'Pre-Summary'!$Y$6:$AD$83,6,FALSE),"")</f>
        <v/>
      </c>
      <c r="X2161" t="str">
        <f>IFERROR(VLOOKUP('Pre-Summary'!$DB$6:$DD$63,3,FALSE),"")</f>
        <v/>
      </c>
      <c r="Y2161" t="str">
        <f>IFERROR(VLOOKUP(B2161,'Pre-Summary'!$CR$6:$CT$36,3,FALSE),"")</f>
        <v/>
      </c>
      <c r="Z2161" s="45" t="str">
        <f>IFERROR(VLOOKUP(B2161,'Pre-Summary'!$BZ$6:$CB$63,2,FALSE),"")</f>
        <v/>
      </c>
      <c r="AA2161" s="45" t="str">
        <f>IFERROR(VLOOKUP(B2161,'Pre-Summary'!$CG$6:$CI$70,2,FALSE),"")</f>
        <v/>
      </c>
      <c r="AB2161" s="99">
        <f>IFERROR(VLOOKUP(B2161,'Pre-Summary'!$A$6:$P$178,9,FALSE),AB2162)</f>
        <v>0.35331798165166045</v>
      </c>
      <c r="AC2161" s="10">
        <f>IFERROR(VLOOKUP(Summary!B2161,'Pre-Summary'!$A$6:$P$184,5, FALSE)/100,AC2162)</f>
        <v>0.95479400000000003</v>
      </c>
      <c r="AD2161" s="10">
        <f>IFERROR(VLOOKUP(Summary!B2161,'Pre-Summary'!$A$6:$P$184,3, FALSE)/100,AD2162)</f>
        <v>3.6379333333333333E-2</v>
      </c>
      <c r="AE2161" s="10">
        <f>IFERROR(VLOOKUP(Summary!B2161,'Pre-Summary'!$A$6:$P$184,7, FALSE)/100,AE2162)</f>
        <v>8.8266666666666667E-3</v>
      </c>
      <c r="AF2161" s="99">
        <f t="shared" si="100"/>
        <v>1.2853472627166306E-2</v>
      </c>
      <c r="AG2161" s="99">
        <f t="shared" si="101"/>
        <v>3.1186200513786564E-3</v>
      </c>
      <c r="AH2161" s="10" t="str">
        <f>IFERROR(VLOOKUP(B2161,'Pre-Summary'!$AZ$6:$BE$65,3,FALSE),"")</f>
        <v/>
      </c>
      <c r="AI2161" s="10" t="str">
        <f>IFERROR(VLOOKUP(B2161,'Pre-Summary'!$AZ$6:$BE$65,5,FALSE),"")</f>
        <v/>
      </c>
      <c r="AJ2161" s="10" t="str">
        <f>IFERROR(VLOOKUP(B2161,'Pre-Summary'!$AZ$6:$BE$65,4,FALSE),"")</f>
        <v/>
      </c>
      <c r="AK2161" s="10" t="str">
        <f>IFERROR(VLOOKUP(B2161,'Pre-Summary'!$AZ$6:$BE$65,6,FALSE),"")</f>
        <v/>
      </c>
      <c r="AL2161" s="10" t="str">
        <f>IFERROR(VLOOKUP(B2161,'Pre-Summary'!$BG$6:$BL$44,3,FALSE),"")</f>
        <v/>
      </c>
      <c r="AM2161" s="10" t="str">
        <f>IFERROR(VLOOKUP(B2161,'Pre-Summary'!$BG$6:$BL$44,4,FALSE),"")</f>
        <v/>
      </c>
    </row>
    <row r="2162" spans="2:39" ht="15" customHeight="1" x14ac:dyDescent="0.3">
      <c r="B2162">
        <v>215.9</v>
      </c>
      <c r="C2162" t="str">
        <f>IFERROR(VLOOKUP(B2162,'Pre-Summary'!$DI$6:$DM$23,4,FALSE),"")</f>
        <v/>
      </c>
      <c r="D2162" s="10" t="str">
        <f>IFERROR(VLOOKUP(B2162,'Pre-Summary'!$AT$6:$AX$14,5,FALSE),D2161)</f>
        <v>Wolfe v3: went back to modified wolfe + EDTA and switched CuSO4 to CUCl2</v>
      </c>
      <c r="E2162" s="10" t="str">
        <f>IFERROR(VLOOKUP(B2162,'Pre-Summary'!$AT$6:$AX$15,4,FALSE),"")</f>
        <v/>
      </c>
      <c r="F2162">
        <f>IFERROR(VLOOKUP(B2162,'Pre-Summary'!$AL$6:$AQ$13,6,FALSE),F2161)</f>
        <v>5.9405263157894746E-2</v>
      </c>
      <c r="G2162" t="str">
        <f>IFERROR(VLOOKUP(B2162,'Pre-Summary'!$AE$6:$AJ$85,3,FALSE),"")</f>
        <v/>
      </c>
      <c r="H2162" t="str">
        <f>IFERROR(VLOOKUP(B2162,'Pre-Summary'!$AE$6:$AJ$85,4,FALSE),"")</f>
        <v/>
      </c>
      <c r="I2162" t="str">
        <f>IFERROR(VLOOKUP(B2162,'Pre-Summary'!$AE$6:$AJ$85,5,FALSE),"")</f>
        <v/>
      </c>
      <c r="J2162" s="45" t="str">
        <f>IFERROR(VLOOKUP(B2162,'Pre-Summary'!$AE$6:$AJ$85,6, FALSE),"")</f>
        <v/>
      </c>
      <c r="K2162" s="45">
        <f>IFERROR(VLOOKUP(B2162,'Pre-Summary'!$DE$6:$DG$61,3,FALSE),"")</f>
        <v>762</v>
      </c>
      <c r="L2162" s="45">
        <f>IFERROR(VLOOKUP(B2162,'Pre-Summary'!$CU$6:$CW$36,3,FALSE),"")</f>
        <v>283.8</v>
      </c>
      <c r="M2162" s="45">
        <f>IFERROR(VLOOKUP(B2162,'Pre-Summary'!$BW$6:$BY$58,2,FALSE),"")</f>
        <v>10.90951526030992</v>
      </c>
      <c r="N2162" s="45" t="str">
        <f>IFERROR(VLOOKUP(B2162,'Pre-Summary'!$CD$6:$CF$64,2,FALSE),"")</f>
        <v/>
      </c>
      <c r="O2162" s="99">
        <f>IFERROR(VLOOKUP(B2162,'Pre-Summary'!$BO$6:$BQ$48,3, FALSE),O2161)</f>
        <v>1.3480000000000001</v>
      </c>
      <c r="P2162" s="99">
        <f>IFERROR(VLOOKUP(B2162,'Pre-Summary'!$BS$6:$BU$35,3,FALSE),P2161)</f>
        <v>0.379</v>
      </c>
      <c r="Q2162" s="54">
        <f t="shared" si="99"/>
        <v>3.556728232189974</v>
      </c>
      <c r="R2162" s="53">
        <f>IFERROR(VLOOKUP(B2162,'Pre-Summary'!$BG$6:$BM$44,7,FALSE),R2163)</f>
        <v>9.2946004538835364E-2</v>
      </c>
      <c r="S2162" s="53">
        <f>IFERROR(VLOOKUP(B2162,'Pre-Summary'!$BG$6:$BM$44,6,FALSE),S2163)</f>
        <v>8.3142487304634596E-2</v>
      </c>
      <c r="T2162" s="45" t="str">
        <f>IFERROR(VLOOKUP(B2162,'Pre-Summary'!$Y$6:$AC$83, 3,FALSE),"")</f>
        <v/>
      </c>
      <c r="U2162" s="45" t="str">
        <f>IFERROR(VLOOKUP(B2162,'Pre-Summary'!$Y$6:$AC$83, 4,FALSE),"")</f>
        <v/>
      </c>
      <c r="V2162" t="str">
        <f>IFERROR(VLOOKUP(B2162,'Pre-Summary'!$Y$6:$AC$83, 5,FALSE),"")</f>
        <v/>
      </c>
      <c r="W2162" s="45" t="str">
        <f>IFERROR(VLOOKUP(B2162,'Pre-Summary'!$Y$6:$AD$83,6,FALSE),"")</f>
        <v/>
      </c>
      <c r="X2162" t="str">
        <f>IFERROR(VLOOKUP('Pre-Summary'!$DB$6:$DD$63,3,FALSE),"")</f>
        <v/>
      </c>
      <c r="Y2162">
        <f>IFERROR(VLOOKUP(B2162,'Pre-Summary'!$CR$6:$CT$36,3,FALSE),"")</f>
        <v>276.40000000000003</v>
      </c>
      <c r="Z2162" s="45">
        <f>IFERROR(VLOOKUP(B2162,'Pre-Summary'!$BZ$6:$CB$63,2,FALSE),"")</f>
        <v>32.942993815049903</v>
      </c>
      <c r="AA2162" s="45">
        <f>IFERROR(VLOOKUP(B2162,'Pre-Summary'!$CG$6:$CI$70,2,FALSE),"")</f>
        <v>152.83632789766253</v>
      </c>
      <c r="AB2162" s="99">
        <f>IFERROR(VLOOKUP(B2162,'Pre-Summary'!$A$6:$P$178,9,FALSE),AB2163)</f>
        <v>0.35331798165166045</v>
      </c>
      <c r="AC2162" s="10">
        <f>IFERROR(VLOOKUP(Summary!B2162,'Pre-Summary'!$A$6:$P$184,5, FALSE)/100,AC2163)</f>
        <v>0.95479400000000003</v>
      </c>
      <c r="AD2162" s="10">
        <f>IFERROR(VLOOKUP(Summary!B2162,'Pre-Summary'!$A$6:$P$184,3, FALSE)/100,AD2163)</f>
        <v>3.6379333333333333E-2</v>
      </c>
      <c r="AE2162" s="10">
        <f>IFERROR(VLOOKUP(Summary!B2162,'Pre-Summary'!$A$6:$P$184,7, FALSE)/100,AE2163)</f>
        <v>8.8266666666666667E-3</v>
      </c>
      <c r="AF2162" s="99">
        <f t="shared" si="100"/>
        <v>1.2853472627166306E-2</v>
      </c>
      <c r="AG2162" s="99">
        <f t="shared" si="101"/>
        <v>3.1186200513786564E-3</v>
      </c>
      <c r="AH2162" s="10" t="str">
        <f>IFERROR(VLOOKUP(B2162,'Pre-Summary'!$AZ$6:$BE$65,3,FALSE),"")</f>
        <v/>
      </c>
      <c r="AI2162" s="10" t="str">
        <f>IFERROR(VLOOKUP(B2162,'Pre-Summary'!$AZ$6:$BE$65,5,FALSE),"")</f>
        <v/>
      </c>
      <c r="AJ2162" s="10" t="str">
        <f>IFERROR(VLOOKUP(B2162,'Pre-Summary'!$AZ$6:$BE$65,4,FALSE),"")</f>
        <v/>
      </c>
      <c r="AK2162" s="10" t="str">
        <f>IFERROR(VLOOKUP(B2162,'Pre-Summary'!$AZ$6:$BE$65,6,FALSE),"")</f>
        <v/>
      </c>
      <c r="AL2162" s="10" t="str">
        <f>IFERROR(VLOOKUP(B2162,'Pre-Summary'!$BG$6:$BL$44,3,FALSE),"")</f>
        <v/>
      </c>
      <c r="AM2162" s="10" t="str">
        <f>IFERROR(VLOOKUP(B2162,'Pre-Summary'!$BG$6:$BL$44,4,FALSE),"")</f>
        <v/>
      </c>
    </row>
    <row r="2163" spans="2:39" ht="15" customHeight="1" x14ac:dyDescent="0.3">
      <c r="B2163">
        <v>216</v>
      </c>
      <c r="C2163" t="str">
        <f>IFERROR(VLOOKUP(B2163,'Pre-Summary'!$DI$6:$DM$23,4,FALSE),"")</f>
        <v/>
      </c>
      <c r="D2163" s="10" t="str">
        <f>IFERROR(VLOOKUP(B2163,'Pre-Summary'!$AT$6:$AX$14,5,FALSE),D2162)</f>
        <v>Wolfe v3: went back to modified wolfe + EDTA and switched CuSO4 to CUCl2</v>
      </c>
      <c r="E2163" s="10" t="str">
        <f>IFERROR(VLOOKUP(B2163,'Pre-Summary'!$AT$6:$AX$15,4,FALSE),"")</f>
        <v/>
      </c>
      <c r="F2163">
        <f>IFERROR(VLOOKUP(B2163,'Pre-Summary'!$AL$6:$AQ$13,6,FALSE),F2162)</f>
        <v>5.9405263157894746E-2</v>
      </c>
      <c r="G2163" t="str">
        <f>IFERROR(VLOOKUP(B2163,'Pre-Summary'!$AE$6:$AJ$85,3,FALSE),"")</f>
        <v/>
      </c>
      <c r="H2163" t="str">
        <f>IFERROR(VLOOKUP(B2163,'Pre-Summary'!$AE$6:$AJ$85,4,FALSE),"")</f>
        <v/>
      </c>
      <c r="I2163" t="str">
        <f>IFERROR(VLOOKUP(B2163,'Pre-Summary'!$AE$6:$AJ$85,5,FALSE),"")</f>
        <v/>
      </c>
      <c r="J2163" s="45" t="str">
        <f>IFERROR(VLOOKUP(B2163,'Pre-Summary'!$AE$6:$AJ$85,6, FALSE),"")</f>
        <v/>
      </c>
      <c r="K2163" s="45" t="str">
        <f>IFERROR(VLOOKUP(B2163,'Pre-Summary'!$DE$6:$DG$61,3,FALSE),"")</f>
        <v/>
      </c>
      <c r="L2163" s="45" t="str">
        <f>IFERROR(VLOOKUP(B2163,'Pre-Summary'!$CU$6:$CW$36,3,FALSE),"")</f>
        <v/>
      </c>
      <c r="M2163" s="45" t="str">
        <f>IFERROR(VLOOKUP(B2163,'Pre-Summary'!$BW$6:$BY$58,2,FALSE),"")</f>
        <v/>
      </c>
      <c r="N2163" s="45" t="str">
        <f>IFERROR(VLOOKUP(B2163,'Pre-Summary'!$CD$6:$CF$64,2,FALSE),"")</f>
        <v/>
      </c>
      <c r="O2163" s="99">
        <f>IFERROR(VLOOKUP(B2163,'Pre-Summary'!$BO$6:$BQ$48,3, FALSE),O2162)</f>
        <v>1.3480000000000001</v>
      </c>
      <c r="P2163" s="99">
        <f>IFERROR(VLOOKUP(B2163,'Pre-Summary'!$BS$6:$BU$35,3,FALSE),P2162)</f>
        <v>0.379</v>
      </c>
      <c r="Q2163" s="54">
        <f t="shared" si="99"/>
        <v>3.556728232189974</v>
      </c>
      <c r="R2163" s="53">
        <f>IFERROR(VLOOKUP(B2163,'Pre-Summary'!$BG$6:$BM$44,7,FALSE),R2164)</f>
        <v>9.2946004538835364E-2</v>
      </c>
      <c r="S2163" s="53">
        <f>IFERROR(VLOOKUP(B2163,'Pre-Summary'!$BG$6:$BM$44,6,FALSE),S2164)</f>
        <v>8.3142487304634596E-2</v>
      </c>
      <c r="T2163" s="45" t="str">
        <f>IFERROR(VLOOKUP(B2163,'Pre-Summary'!$Y$6:$AC$83, 3,FALSE),"")</f>
        <v/>
      </c>
      <c r="U2163" s="45" t="str">
        <f>IFERROR(VLOOKUP(B2163,'Pre-Summary'!$Y$6:$AC$83, 4,FALSE),"")</f>
        <v/>
      </c>
      <c r="V2163" t="str">
        <f>IFERROR(VLOOKUP(B2163,'Pre-Summary'!$Y$6:$AC$83, 5,FALSE),"")</f>
        <v/>
      </c>
      <c r="W2163" s="45" t="str">
        <f>IFERROR(VLOOKUP(B2163,'Pre-Summary'!$Y$6:$AD$83,6,FALSE),"")</f>
        <v/>
      </c>
      <c r="X2163" t="str">
        <f>IFERROR(VLOOKUP('Pre-Summary'!$DB$6:$DD$63,3,FALSE),"")</f>
        <v/>
      </c>
      <c r="Y2163" t="str">
        <f>IFERROR(VLOOKUP(B2163,'Pre-Summary'!$CR$6:$CT$36,3,FALSE),"")</f>
        <v/>
      </c>
      <c r="Z2163" s="45" t="str">
        <f>IFERROR(VLOOKUP(B2163,'Pre-Summary'!$BZ$6:$CB$63,2,FALSE),"")</f>
        <v/>
      </c>
      <c r="AA2163" s="45" t="str">
        <f>IFERROR(VLOOKUP(B2163,'Pre-Summary'!$CG$6:$CI$70,2,FALSE),"")</f>
        <v/>
      </c>
      <c r="AB2163" s="99">
        <f>IFERROR(VLOOKUP(B2163,'Pre-Summary'!$A$6:$P$178,9,FALSE),AB2164)</f>
        <v>0.36218783783669417</v>
      </c>
      <c r="AC2163" s="10">
        <f>IFERROR(VLOOKUP(Summary!B2163,'Pre-Summary'!$A$6:$P$184,5, FALSE)/100,AC2164)</f>
        <v>0.94610566666666673</v>
      </c>
      <c r="AD2163" s="10">
        <f>IFERROR(VLOOKUP(Summary!B2163,'Pre-Summary'!$A$6:$P$184,3, FALSE)/100,AD2164)</f>
        <v>4.3410333333333329E-2</v>
      </c>
      <c r="AE2163" s="10">
        <f>IFERROR(VLOOKUP(Summary!B2163,'Pre-Summary'!$A$6:$P$184,7, FALSE)/100,AE2164)</f>
        <v>1.0483666666666667E-2</v>
      </c>
      <c r="AF2163" s="99">
        <f t="shared" si="100"/>
        <v>1.572269476977017E-2</v>
      </c>
      <c r="AG2163" s="99">
        <f t="shared" si="101"/>
        <v>3.7970565626006228E-3</v>
      </c>
      <c r="AH2163" s="10">
        <f>IFERROR(VLOOKUP(B2163,'Pre-Summary'!$AZ$6:$BE$65,3,FALSE),"")</f>
        <v>429</v>
      </c>
      <c r="AI2163" s="10">
        <f>IFERROR(VLOOKUP(B2163,'Pre-Summary'!$AZ$6:$BE$65,5,FALSE),"")</f>
        <v>210</v>
      </c>
      <c r="AJ2163" s="10">
        <f>IFERROR(VLOOKUP(B2163,'Pre-Summary'!$AZ$6:$BE$65,4,FALSE),"")</f>
        <v>331</v>
      </c>
      <c r="AK2163" s="10">
        <f>IFERROR(VLOOKUP(B2163,'Pre-Summary'!$AZ$6:$BE$65,6,FALSE),"")</f>
        <v>168</v>
      </c>
      <c r="AL2163" s="10">
        <f>IFERROR(VLOOKUP(B2163,'Pre-Summary'!$BG$6:$BL$44,3,FALSE),"")</f>
        <v>6.9179727240460069</v>
      </c>
      <c r="AM2163" s="10">
        <f>IFERROR(VLOOKUP(B2163,'Pre-Summary'!$BG$6:$BL$44,4,FALSE),"")</f>
        <v>3.7586077844291332</v>
      </c>
    </row>
    <row r="2164" spans="2:39" ht="15" customHeight="1" x14ac:dyDescent="0.3">
      <c r="B2164">
        <v>216.1</v>
      </c>
      <c r="C2164" t="str">
        <f>IFERROR(VLOOKUP(B2164,'Pre-Summary'!$DI$6:$DM$23,4,FALSE),"")</f>
        <v/>
      </c>
      <c r="D2164" s="10" t="str">
        <f>IFERROR(VLOOKUP(B2164,'Pre-Summary'!$AT$6:$AX$14,5,FALSE),D2163)</f>
        <v>Wolfe v3: went back to modified wolfe + EDTA and switched CuSO4 to CUCl2</v>
      </c>
      <c r="E2164" s="10" t="str">
        <f>IFERROR(VLOOKUP(B2164,'Pre-Summary'!$AT$6:$AX$15,4,FALSE),"")</f>
        <v/>
      </c>
      <c r="F2164">
        <f>IFERROR(VLOOKUP(B2164,'Pre-Summary'!$AL$6:$AQ$13,6,FALSE),F2163)</f>
        <v>5.9405263157894746E-2</v>
      </c>
      <c r="G2164" t="str">
        <f>IFERROR(VLOOKUP(B2164,'Pre-Summary'!$AE$6:$AJ$85,3,FALSE),"")</f>
        <v/>
      </c>
      <c r="H2164" t="str">
        <f>IFERROR(VLOOKUP(B2164,'Pre-Summary'!$AE$6:$AJ$85,4,FALSE),"")</f>
        <v/>
      </c>
      <c r="I2164" t="str">
        <f>IFERROR(VLOOKUP(B2164,'Pre-Summary'!$AE$6:$AJ$85,5,FALSE),"")</f>
        <v/>
      </c>
      <c r="J2164" s="45" t="str">
        <f>IFERROR(VLOOKUP(B2164,'Pre-Summary'!$AE$6:$AJ$85,6, FALSE),"")</f>
        <v/>
      </c>
      <c r="K2164" s="45" t="str">
        <f>IFERROR(VLOOKUP(B2164,'Pre-Summary'!$DE$6:$DG$61,3,FALSE),"")</f>
        <v/>
      </c>
      <c r="L2164" s="45" t="str">
        <f>IFERROR(VLOOKUP(B2164,'Pre-Summary'!$CU$6:$CW$36,3,FALSE),"")</f>
        <v/>
      </c>
      <c r="M2164" s="45" t="str">
        <f>IFERROR(VLOOKUP(B2164,'Pre-Summary'!$BW$6:$BY$58,2,FALSE),"")</f>
        <v/>
      </c>
      <c r="N2164" s="45" t="str">
        <f>IFERROR(VLOOKUP(B2164,'Pre-Summary'!$CD$6:$CF$64,2,FALSE),"")</f>
        <v/>
      </c>
      <c r="O2164" s="99">
        <f>IFERROR(VLOOKUP(B2164,'Pre-Summary'!$BO$6:$BQ$48,3, FALSE),O2163)</f>
        <v>1.3480000000000001</v>
      </c>
      <c r="P2164" s="99">
        <f>IFERROR(VLOOKUP(B2164,'Pre-Summary'!$BS$6:$BU$35,3,FALSE),P2163)</f>
        <v>0.379</v>
      </c>
      <c r="Q2164" s="54">
        <f t="shared" si="99"/>
        <v>3.556728232189974</v>
      </c>
      <c r="R2164" s="53">
        <f>IFERROR(VLOOKUP(B2164,'Pre-Summary'!$BG$6:$BM$44,7,FALSE),R2165)</f>
        <v>9.7948682664336664E-2</v>
      </c>
      <c r="S2164" s="53">
        <f>IFERROR(VLOOKUP(B2164,'Pre-Summary'!$BG$6:$BM$44,6,FALSE),S2165)</f>
        <v>0.10614035087720526</v>
      </c>
      <c r="T2164" s="45" t="str">
        <f>IFERROR(VLOOKUP(B2164,'Pre-Summary'!$Y$6:$AC$83, 3,FALSE),"")</f>
        <v/>
      </c>
      <c r="U2164" s="45" t="str">
        <f>IFERROR(VLOOKUP(B2164,'Pre-Summary'!$Y$6:$AC$83, 4,FALSE),"")</f>
        <v/>
      </c>
      <c r="V2164" t="str">
        <f>IFERROR(VLOOKUP(B2164,'Pre-Summary'!$Y$6:$AC$83, 5,FALSE),"")</f>
        <v/>
      </c>
      <c r="W2164" s="45" t="str">
        <f>IFERROR(VLOOKUP(B2164,'Pre-Summary'!$Y$6:$AD$83,6,FALSE),"")</f>
        <v/>
      </c>
      <c r="X2164" t="str">
        <f>IFERROR(VLOOKUP('Pre-Summary'!$DB$6:$DD$63,3,FALSE),"")</f>
        <v/>
      </c>
      <c r="Y2164" t="str">
        <f>IFERROR(VLOOKUP(B2164,'Pre-Summary'!$CR$6:$CT$36,3,FALSE),"")</f>
        <v/>
      </c>
      <c r="Z2164" s="45" t="str">
        <f>IFERROR(VLOOKUP(B2164,'Pre-Summary'!$BZ$6:$CB$63,2,FALSE),"")</f>
        <v/>
      </c>
      <c r="AA2164" s="45" t="str">
        <f>IFERROR(VLOOKUP(B2164,'Pre-Summary'!$CG$6:$CI$70,2,FALSE),"")</f>
        <v/>
      </c>
      <c r="AB2164" s="99">
        <f>IFERROR(VLOOKUP(B2164,'Pre-Summary'!$A$6:$P$178,9,FALSE),AB2165)</f>
        <v>0.36218783783669417</v>
      </c>
      <c r="AC2164" s="10">
        <f>IFERROR(VLOOKUP(Summary!B2164,'Pre-Summary'!$A$6:$P$184,5, FALSE)/100,AC2165)</f>
        <v>0.94610566666666673</v>
      </c>
      <c r="AD2164" s="10">
        <f>IFERROR(VLOOKUP(Summary!B2164,'Pre-Summary'!$A$6:$P$184,3, FALSE)/100,AD2165)</f>
        <v>4.3410333333333329E-2</v>
      </c>
      <c r="AE2164" s="10">
        <f>IFERROR(VLOOKUP(Summary!B2164,'Pre-Summary'!$A$6:$P$184,7, FALSE)/100,AE2165)</f>
        <v>1.0483666666666667E-2</v>
      </c>
      <c r="AF2164" s="99">
        <f t="shared" si="100"/>
        <v>1.572269476977017E-2</v>
      </c>
      <c r="AG2164" s="99">
        <f t="shared" si="101"/>
        <v>3.7970565626006228E-3</v>
      </c>
      <c r="AH2164" s="10" t="str">
        <f>IFERROR(VLOOKUP(B2164,'Pre-Summary'!$AZ$6:$BE$65,3,FALSE),"")</f>
        <v/>
      </c>
      <c r="AI2164" s="10" t="str">
        <f>IFERROR(VLOOKUP(B2164,'Pre-Summary'!$AZ$6:$BE$65,5,FALSE),"")</f>
        <v/>
      </c>
      <c r="AJ2164" s="10" t="str">
        <f>IFERROR(VLOOKUP(B2164,'Pre-Summary'!$AZ$6:$BE$65,4,FALSE),"")</f>
        <v/>
      </c>
      <c r="AK2164" s="10" t="str">
        <f>IFERROR(VLOOKUP(B2164,'Pre-Summary'!$AZ$6:$BE$65,6,FALSE),"")</f>
        <v/>
      </c>
      <c r="AL2164" s="10" t="str">
        <f>IFERROR(VLOOKUP(B2164,'Pre-Summary'!$BG$6:$BL$44,3,FALSE),"")</f>
        <v/>
      </c>
      <c r="AM2164" s="10" t="str">
        <f>IFERROR(VLOOKUP(B2164,'Pre-Summary'!$BG$6:$BL$44,4,FALSE),"")</f>
        <v/>
      </c>
    </row>
    <row r="2165" spans="2:39" ht="15" customHeight="1" x14ac:dyDescent="0.3">
      <c r="B2165">
        <v>216.2</v>
      </c>
      <c r="C2165" t="str">
        <f>IFERROR(VLOOKUP(B2165,'Pre-Summary'!$DI$6:$DM$23,4,FALSE),"")</f>
        <v/>
      </c>
      <c r="D2165" s="10" t="str">
        <f>IFERROR(VLOOKUP(B2165,'Pre-Summary'!$AT$6:$AX$14,5,FALSE),D2164)</f>
        <v>Wolfe v3: went back to modified wolfe + EDTA and switched CuSO4 to CUCl2</v>
      </c>
      <c r="E2165" s="10" t="str">
        <f>IFERROR(VLOOKUP(B2165,'Pre-Summary'!$AT$6:$AX$15,4,FALSE),"")</f>
        <v/>
      </c>
      <c r="F2165">
        <f>IFERROR(VLOOKUP(B2165,'Pre-Summary'!$AL$6:$AQ$13,6,FALSE),F2164)</f>
        <v>5.9405263157894746E-2</v>
      </c>
      <c r="G2165" t="str">
        <f>IFERROR(VLOOKUP(B2165,'Pre-Summary'!$AE$6:$AJ$85,3,FALSE),"")</f>
        <v/>
      </c>
      <c r="H2165" t="str">
        <f>IFERROR(VLOOKUP(B2165,'Pre-Summary'!$AE$6:$AJ$85,4,FALSE),"")</f>
        <v/>
      </c>
      <c r="I2165" t="str">
        <f>IFERROR(VLOOKUP(B2165,'Pre-Summary'!$AE$6:$AJ$85,5,FALSE),"")</f>
        <v/>
      </c>
      <c r="J2165" s="45" t="str">
        <f>IFERROR(VLOOKUP(B2165,'Pre-Summary'!$AE$6:$AJ$85,6, FALSE),"")</f>
        <v/>
      </c>
      <c r="K2165" s="45" t="str">
        <f>IFERROR(VLOOKUP(B2165,'Pre-Summary'!$DE$6:$DG$61,3,FALSE),"")</f>
        <v/>
      </c>
      <c r="L2165" s="45" t="str">
        <f>IFERROR(VLOOKUP(B2165,'Pre-Summary'!$CU$6:$CW$36,3,FALSE),"")</f>
        <v/>
      </c>
      <c r="M2165" s="45" t="str">
        <f>IFERROR(VLOOKUP(B2165,'Pre-Summary'!$BW$6:$BY$58,2,FALSE),"")</f>
        <v/>
      </c>
      <c r="N2165" s="45" t="str">
        <f>IFERROR(VLOOKUP(B2165,'Pre-Summary'!$CD$6:$CF$64,2,FALSE),"")</f>
        <v/>
      </c>
      <c r="O2165" s="99">
        <f>IFERROR(VLOOKUP(B2165,'Pre-Summary'!$BO$6:$BQ$48,3, FALSE),O2164)</f>
        <v>1.3480000000000001</v>
      </c>
      <c r="P2165" s="99">
        <f>IFERROR(VLOOKUP(B2165,'Pre-Summary'!$BS$6:$BU$35,3,FALSE),P2164)</f>
        <v>0.379</v>
      </c>
      <c r="Q2165" s="54">
        <f t="shared" si="99"/>
        <v>3.556728232189974</v>
      </c>
      <c r="R2165" s="53">
        <f>IFERROR(VLOOKUP(B2165,'Pre-Summary'!$BG$6:$BM$44,7,FALSE),R2166)</f>
        <v>9.7948682664336664E-2</v>
      </c>
      <c r="S2165" s="53">
        <f>IFERROR(VLOOKUP(B2165,'Pre-Summary'!$BG$6:$BM$44,6,FALSE),S2166)</f>
        <v>0.10614035087720526</v>
      </c>
      <c r="T2165" s="45" t="str">
        <f>IFERROR(VLOOKUP(B2165,'Pre-Summary'!$Y$6:$AC$83, 3,FALSE),"")</f>
        <v/>
      </c>
      <c r="U2165" s="45" t="str">
        <f>IFERROR(VLOOKUP(B2165,'Pre-Summary'!$Y$6:$AC$83, 4,FALSE),"")</f>
        <v/>
      </c>
      <c r="V2165" t="str">
        <f>IFERROR(VLOOKUP(B2165,'Pre-Summary'!$Y$6:$AC$83, 5,FALSE),"")</f>
        <v/>
      </c>
      <c r="W2165" s="45" t="str">
        <f>IFERROR(VLOOKUP(B2165,'Pre-Summary'!$Y$6:$AD$83,6,FALSE),"")</f>
        <v/>
      </c>
      <c r="X2165" t="str">
        <f>IFERROR(VLOOKUP('Pre-Summary'!$DB$6:$DD$63,3,FALSE),"")</f>
        <v/>
      </c>
      <c r="Y2165" t="str">
        <f>IFERROR(VLOOKUP(B2165,'Pre-Summary'!$CR$6:$CT$36,3,FALSE),"")</f>
        <v/>
      </c>
      <c r="Z2165" s="45" t="str">
        <f>IFERROR(VLOOKUP(B2165,'Pre-Summary'!$BZ$6:$CB$63,2,FALSE),"")</f>
        <v/>
      </c>
      <c r="AA2165" s="45" t="str">
        <f>IFERROR(VLOOKUP(B2165,'Pre-Summary'!$CG$6:$CI$70,2,FALSE),"")</f>
        <v/>
      </c>
      <c r="AB2165" s="99">
        <f>IFERROR(VLOOKUP(B2165,'Pre-Summary'!$A$6:$P$178,9,FALSE),AB2166)</f>
        <v>0.36218783783669417</v>
      </c>
      <c r="AC2165" s="10">
        <f>IFERROR(VLOOKUP(Summary!B2165,'Pre-Summary'!$A$6:$P$184,5, FALSE)/100,AC2166)</f>
        <v>0.94610566666666673</v>
      </c>
      <c r="AD2165" s="10">
        <f>IFERROR(VLOOKUP(Summary!B2165,'Pre-Summary'!$A$6:$P$184,3, FALSE)/100,AD2166)</f>
        <v>4.3410333333333329E-2</v>
      </c>
      <c r="AE2165" s="10">
        <f>IFERROR(VLOOKUP(Summary!B2165,'Pre-Summary'!$A$6:$P$184,7, FALSE)/100,AE2166)</f>
        <v>1.0483666666666667E-2</v>
      </c>
      <c r="AF2165" s="99">
        <f t="shared" si="100"/>
        <v>1.572269476977017E-2</v>
      </c>
      <c r="AG2165" s="99">
        <f t="shared" si="101"/>
        <v>3.7970565626006228E-3</v>
      </c>
      <c r="AH2165" s="10" t="str">
        <f>IFERROR(VLOOKUP(B2165,'Pre-Summary'!$AZ$6:$BE$65,3,FALSE),"")</f>
        <v/>
      </c>
      <c r="AI2165" s="10" t="str">
        <f>IFERROR(VLOOKUP(B2165,'Pre-Summary'!$AZ$6:$BE$65,5,FALSE),"")</f>
        <v/>
      </c>
      <c r="AJ2165" s="10" t="str">
        <f>IFERROR(VLOOKUP(B2165,'Pre-Summary'!$AZ$6:$BE$65,4,FALSE),"")</f>
        <v/>
      </c>
      <c r="AK2165" s="10" t="str">
        <f>IFERROR(VLOOKUP(B2165,'Pre-Summary'!$AZ$6:$BE$65,6,FALSE),"")</f>
        <v/>
      </c>
      <c r="AL2165" s="10" t="str">
        <f>IFERROR(VLOOKUP(B2165,'Pre-Summary'!$BG$6:$BL$44,3,FALSE),"")</f>
        <v/>
      </c>
      <c r="AM2165" s="10" t="str">
        <f>IFERROR(VLOOKUP(B2165,'Pre-Summary'!$BG$6:$BL$44,4,FALSE),"")</f>
        <v/>
      </c>
    </row>
    <row r="2166" spans="2:39" ht="15" customHeight="1" x14ac:dyDescent="0.3">
      <c r="B2166">
        <v>216.3</v>
      </c>
      <c r="C2166" t="str">
        <f>IFERROR(VLOOKUP(B2166,'Pre-Summary'!$DI$6:$DM$23,4,FALSE),"")</f>
        <v/>
      </c>
      <c r="D2166" s="10" t="str">
        <f>IFERROR(VLOOKUP(B2166,'Pre-Summary'!$AT$6:$AX$14,5,FALSE),D2165)</f>
        <v>Wolfe v3: went back to modified wolfe + EDTA and switched CuSO4 to CUCl2</v>
      </c>
      <c r="E2166" s="10" t="str">
        <f>IFERROR(VLOOKUP(B2166,'Pre-Summary'!$AT$6:$AX$15,4,FALSE),"")</f>
        <v/>
      </c>
      <c r="F2166">
        <f>IFERROR(VLOOKUP(B2166,'Pre-Summary'!$AL$6:$AQ$13,6,FALSE),F2165)</f>
        <v>5.9405263157894746E-2</v>
      </c>
      <c r="G2166" t="str">
        <f>IFERROR(VLOOKUP(B2166,'Pre-Summary'!$AE$6:$AJ$85,3,FALSE),"")</f>
        <v/>
      </c>
      <c r="H2166" t="str">
        <f>IFERROR(VLOOKUP(B2166,'Pre-Summary'!$AE$6:$AJ$85,4,FALSE),"")</f>
        <v/>
      </c>
      <c r="I2166" t="str">
        <f>IFERROR(VLOOKUP(B2166,'Pre-Summary'!$AE$6:$AJ$85,5,FALSE),"")</f>
        <v/>
      </c>
      <c r="J2166" s="45" t="str">
        <f>IFERROR(VLOOKUP(B2166,'Pre-Summary'!$AE$6:$AJ$85,6, FALSE),"")</f>
        <v/>
      </c>
      <c r="K2166" s="45" t="str">
        <f>IFERROR(VLOOKUP(B2166,'Pre-Summary'!$DE$6:$DG$61,3,FALSE),"")</f>
        <v/>
      </c>
      <c r="L2166" s="45" t="str">
        <f>IFERROR(VLOOKUP(B2166,'Pre-Summary'!$CU$6:$CW$36,3,FALSE),"")</f>
        <v/>
      </c>
      <c r="M2166" s="45" t="str">
        <f>IFERROR(VLOOKUP(B2166,'Pre-Summary'!$BW$6:$BY$58,2,FALSE),"")</f>
        <v/>
      </c>
      <c r="N2166" s="45" t="str">
        <f>IFERROR(VLOOKUP(B2166,'Pre-Summary'!$CD$6:$CF$64,2,FALSE),"")</f>
        <v/>
      </c>
      <c r="O2166" s="99">
        <f>IFERROR(VLOOKUP(B2166,'Pre-Summary'!$BO$6:$BQ$48,3, FALSE),O2165)</f>
        <v>1.3480000000000001</v>
      </c>
      <c r="P2166" s="99">
        <f>IFERROR(VLOOKUP(B2166,'Pre-Summary'!$BS$6:$BU$35,3,FALSE),P2165)</f>
        <v>0.379</v>
      </c>
      <c r="Q2166" s="54">
        <f t="shared" si="99"/>
        <v>3.556728232189974</v>
      </c>
      <c r="R2166" s="53">
        <f>IFERROR(VLOOKUP(B2166,'Pre-Summary'!$BG$6:$BM$44,7,FALSE),R2167)</f>
        <v>9.7948682664336664E-2</v>
      </c>
      <c r="S2166" s="53">
        <f>IFERROR(VLOOKUP(B2166,'Pre-Summary'!$BG$6:$BM$44,6,FALSE),S2167)</f>
        <v>0.10614035087720526</v>
      </c>
      <c r="T2166" s="45" t="str">
        <f>IFERROR(VLOOKUP(B2166,'Pre-Summary'!$Y$6:$AC$83, 3,FALSE),"")</f>
        <v/>
      </c>
      <c r="U2166" s="45" t="str">
        <f>IFERROR(VLOOKUP(B2166,'Pre-Summary'!$Y$6:$AC$83, 4,FALSE),"")</f>
        <v/>
      </c>
      <c r="V2166" t="str">
        <f>IFERROR(VLOOKUP(B2166,'Pre-Summary'!$Y$6:$AC$83, 5,FALSE),"")</f>
        <v/>
      </c>
      <c r="W2166" s="45" t="str">
        <f>IFERROR(VLOOKUP(B2166,'Pre-Summary'!$Y$6:$AD$83,6,FALSE),"")</f>
        <v/>
      </c>
      <c r="X2166" t="str">
        <f>IFERROR(VLOOKUP('Pre-Summary'!$DB$6:$DD$63,3,FALSE),"")</f>
        <v/>
      </c>
      <c r="Y2166" t="str">
        <f>IFERROR(VLOOKUP(B2166,'Pre-Summary'!$CR$6:$CT$36,3,FALSE),"")</f>
        <v/>
      </c>
      <c r="Z2166" s="45" t="str">
        <f>IFERROR(VLOOKUP(B2166,'Pre-Summary'!$BZ$6:$CB$63,2,FALSE),"")</f>
        <v/>
      </c>
      <c r="AA2166" s="45" t="str">
        <f>IFERROR(VLOOKUP(B2166,'Pre-Summary'!$CG$6:$CI$70,2,FALSE),"")</f>
        <v/>
      </c>
      <c r="AB2166" s="99">
        <f>IFERROR(VLOOKUP(B2166,'Pre-Summary'!$A$6:$P$178,9,FALSE),AB2167)</f>
        <v>0.36218783783669417</v>
      </c>
      <c r="AC2166" s="10">
        <f>IFERROR(VLOOKUP(Summary!B2166,'Pre-Summary'!$A$6:$P$184,5, FALSE)/100,AC2167)</f>
        <v>0.94610566666666673</v>
      </c>
      <c r="AD2166" s="10">
        <f>IFERROR(VLOOKUP(Summary!B2166,'Pre-Summary'!$A$6:$P$184,3, FALSE)/100,AD2167)</f>
        <v>4.3410333333333329E-2</v>
      </c>
      <c r="AE2166" s="10">
        <f>IFERROR(VLOOKUP(Summary!B2166,'Pre-Summary'!$A$6:$P$184,7, FALSE)/100,AE2167)</f>
        <v>1.0483666666666667E-2</v>
      </c>
      <c r="AF2166" s="99">
        <f t="shared" si="100"/>
        <v>1.572269476977017E-2</v>
      </c>
      <c r="AG2166" s="99">
        <f t="shared" si="101"/>
        <v>3.7970565626006228E-3</v>
      </c>
      <c r="AH2166" s="10" t="str">
        <f>IFERROR(VLOOKUP(B2166,'Pre-Summary'!$AZ$6:$BE$65,3,FALSE),"")</f>
        <v/>
      </c>
      <c r="AI2166" s="10" t="str">
        <f>IFERROR(VLOOKUP(B2166,'Pre-Summary'!$AZ$6:$BE$65,5,FALSE),"")</f>
        <v/>
      </c>
      <c r="AJ2166" s="10" t="str">
        <f>IFERROR(VLOOKUP(B2166,'Pre-Summary'!$AZ$6:$BE$65,4,FALSE),"")</f>
        <v/>
      </c>
      <c r="AK2166" s="10" t="str">
        <f>IFERROR(VLOOKUP(B2166,'Pre-Summary'!$AZ$6:$BE$65,6,FALSE),"")</f>
        <v/>
      </c>
      <c r="AL2166" s="10" t="str">
        <f>IFERROR(VLOOKUP(B2166,'Pre-Summary'!$BG$6:$BL$44,3,FALSE),"")</f>
        <v/>
      </c>
      <c r="AM2166" s="10" t="str">
        <f>IFERROR(VLOOKUP(B2166,'Pre-Summary'!$BG$6:$BL$44,4,FALSE),"")</f>
        <v/>
      </c>
    </row>
    <row r="2167" spans="2:39" ht="15" customHeight="1" x14ac:dyDescent="0.3">
      <c r="B2167">
        <v>216.4</v>
      </c>
      <c r="C2167" t="str">
        <f>IFERROR(VLOOKUP(B2167,'Pre-Summary'!$DI$6:$DM$23,4,FALSE),"")</f>
        <v/>
      </c>
      <c r="D2167" s="10" t="str">
        <f>IFERROR(VLOOKUP(B2167,'Pre-Summary'!$AT$6:$AX$14,5,FALSE),D2166)</f>
        <v>Wolfe v3: went back to modified wolfe + EDTA and switched CuSO4 to CUCl2</v>
      </c>
      <c r="E2167" s="10" t="str">
        <f>IFERROR(VLOOKUP(B2167,'Pre-Summary'!$AT$6:$AX$15,4,FALSE),"")</f>
        <v/>
      </c>
      <c r="F2167">
        <f>IFERROR(VLOOKUP(B2167,'Pre-Summary'!$AL$6:$AQ$13,6,FALSE),F2166)</f>
        <v>5.9405263157894746E-2</v>
      </c>
      <c r="G2167" t="str">
        <f>IFERROR(VLOOKUP(B2167,'Pre-Summary'!$AE$6:$AJ$85,3,FALSE),"")</f>
        <v/>
      </c>
      <c r="H2167" t="str">
        <f>IFERROR(VLOOKUP(B2167,'Pre-Summary'!$AE$6:$AJ$85,4,FALSE),"")</f>
        <v/>
      </c>
      <c r="I2167" t="str">
        <f>IFERROR(VLOOKUP(B2167,'Pre-Summary'!$AE$6:$AJ$85,5,FALSE),"")</f>
        <v/>
      </c>
      <c r="J2167" s="45" t="str">
        <f>IFERROR(VLOOKUP(B2167,'Pre-Summary'!$AE$6:$AJ$85,6, FALSE),"")</f>
        <v/>
      </c>
      <c r="K2167" s="45" t="str">
        <f>IFERROR(VLOOKUP(B2167,'Pre-Summary'!$DE$6:$DG$61,3,FALSE),"")</f>
        <v/>
      </c>
      <c r="L2167" s="45" t="str">
        <f>IFERROR(VLOOKUP(B2167,'Pre-Summary'!$CU$6:$CW$36,3,FALSE),"")</f>
        <v/>
      </c>
      <c r="M2167" s="45" t="str">
        <f>IFERROR(VLOOKUP(B2167,'Pre-Summary'!$BW$6:$BY$58,2,FALSE),"")</f>
        <v/>
      </c>
      <c r="N2167" s="45" t="str">
        <f>IFERROR(VLOOKUP(B2167,'Pre-Summary'!$CD$6:$CF$64,2,FALSE),"")</f>
        <v/>
      </c>
      <c r="O2167" s="99">
        <f>IFERROR(VLOOKUP(B2167,'Pre-Summary'!$BO$6:$BQ$48,3, FALSE),O2166)</f>
        <v>1.3480000000000001</v>
      </c>
      <c r="P2167" s="99">
        <f>IFERROR(VLOOKUP(B2167,'Pre-Summary'!$BS$6:$BU$35,3,FALSE),P2166)</f>
        <v>0.379</v>
      </c>
      <c r="Q2167" s="54">
        <f t="shared" si="99"/>
        <v>3.556728232189974</v>
      </c>
      <c r="R2167" s="53">
        <f>IFERROR(VLOOKUP(B2167,'Pre-Summary'!$BG$6:$BM$44,7,FALSE),R2168)</f>
        <v>9.7948682664336664E-2</v>
      </c>
      <c r="S2167" s="53">
        <f>IFERROR(VLOOKUP(B2167,'Pre-Summary'!$BG$6:$BM$44,6,FALSE),S2168)</f>
        <v>0.10614035087720526</v>
      </c>
      <c r="T2167" s="45" t="str">
        <f>IFERROR(VLOOKUP(B2167,'Pre-Summary'!$Y$6:$AC$83, 3,FALSE),"")</f>
        <v/>
      </c>
      <c r="U2167" s="45" t="str">
        <f>IFERROR(VLOOKUP(B2167,'Pre-Summary'!$Y$6:$AC$83, 4,FALSE),"")</f>
        <v/>
      </c>
      <c r="V2167" t="str">
        <f>IFERROR(VLOOKUP(B2167,'Pre-Summary'!$Y$6:$AC$83, 5,FALSE),"")</f>
        <v/>
      </c>
      <c r="W2167" s="45" t="str">
        <f>IFERROR(VLOOKUP(B2167,'Pre-Summary'!$Y$6:$AD$83,6,FALSE),"")</f>
        <v/>
      </c>
      <c r="X2167" t="str">
        <f>IFERROR(VLOOKUP('Pre-Summary'!$DB$6:$DD$63,3,FALSE),"")</f>
        <v/>
      </c>
      <c r="Y2167" t="str">
        <f>IFERROR(VLOOKUP(B2167,'Pre-Summary'!$CR$6:$CT$36,3,FALSE),"")</f>
        <v/>
      </c>
      <c r="Z2167" s="45" t="str">
        <f>IFERROR(VLOOKUP(B2167,'Pre-Summary'!$BZ$6:$CB$63,2,FALSE),"")</f>
        <v/>
      </c>
      <c r="AA2167" s="45" t="str">
        <f>IFERROR(VLOOKUP(B2167,'Pre-Summary'!$CG$6:$CI$70,2,FALSE),"")</f>
        <v/>
      </c>
      <c r="AB2167" s="99">
        <f>IFERROR(VLOOKUP(B2167,'Pre-Summary'!$A$6:$P$178,9,FALSE),AB2168)</f>
        <v>0.36218783783669417</v>
      </c>
      <c r="AC2167" s="10">
        <f>IFERROR(VLOOKUP(Summary!B2167,'Pre-Summary'!$A$6:$P$184,5, FALSE)/100,AC2168)</f>
        <v>0.94610566666666673</v>
      </c>
      <c r="AD2167" s="10">
        <f>IFERROR(VLOOKUP(Summary!B2167,'Pre-Summary'!$A$6:$P$184,3, FALSE)/100,AD2168)</f>
        <v>4.3410333333333329E-2</v>
      </c>
      <c r="AE2167" s="10">
        <f>IFERROR(VLOOKUP(Summary!B2167,'Pre-Summary'!$A$6:$P$184,7, FALSE)/100,AE2168)</f>
        <v>1.0483666666666667E-2</v>
      </c>
      <c r="AF2167" s="99">
        <f t="shared" si="100"/>
        <v>1.572269476977017E-2</v>
      </c>
      <c r="AG2167" s="99">
        <f t="shared" si="101"/>
        <v>3.7970565626006228E-3</v>
      </c>
      <c r="AH2167" s="10" t="str">
        <f>IFERROR(VLOOKUP(B2167,'Pre-Summary'!$AZ$6:$BE$65,3,FALSE),"")</f>
        <v/>
      </c>
      <c r="AI2167" s="10" t="str">
        <f>IFERROR(VLOOKUP(B2167,'Pre-Summary'!$AZ$6:$BE$65,5,FALSE),"")</f>
        <v/>
      </c>
      <c r="AJ2167" s="10" t="str">
        <f>IFERROR(VLOOKUP(B2167,'Pre-Summary'!$AZ$6:$BE$65,4,FALSE),"")</f>
        <v/>
      </c>
      <c r="AK2167" s="10" t="str">
        <f>IFERROR(VLOOKUP(B2167,'Pre-Summary'!$AZ$6:$BE$65,6,FALSE),"")</f>
        <v/>
      </c>
      <c r="AL2167" s="10" t="str">
        <f>IFERROR(VLOOKUP(B2167,'Pre-Summary'!$BG$6:$BL$44,3,FALSE),"")</f>
        <v/>
      </c>
      <c r="AM2167" s="10" t="str">
        <f>IFERROR(VLOOKUP(B2167,'Pre-Summary'!$BG$6:$BL$44,4,FALSE),"")</f>
        <v/>
      </c>
    </row>
    <row r="2168" spans="2:39" ht="15" customHeight="1" x14ac:dyDescent="0.3">
      <c r="B2168">
        <v>216.5</v>
      </c>
      <c r="C2168" t="str">
        <f>IFERROR(VLOOKUP(B2168,'Pre-Summary'!$DI$6:$DM$23,4,FALSE),"")</f>
        <v/>
      </c>
      <c r="D2168" s="10" t="str">
        <f>IFERROR(VLOOKUP(B2168,'Pre-Summary'!$AT$6:$AX$14,5,FALSE),D2167)</f>
        <v>Wolfe v3: went back to modified wolfe + EDTA and switched CuSO4 to CUCl2</v>
      </c>
      <c r="E2168" s="10" t="str">
        <f>IFERROR(VLOOKUP(B2168,'Pre-Summary'!$AT$6:$AX$15,4,FALSE),"")</f>
        <v/>
      </c>
      <c r="F2168">
        <f>IFERROR(VLOOKUP(B2168,'Pre-Summary'!$AL$6:$AQ$13,6,FALSE),F2167)</f>
        <v>5.9405263157894746E-2</v>
      </c>
      <c r="G2168" t="str">
        <f>IFERROR(VLOOKUP(B2168,'Pre-Summary'!$AE$6:$AJ$85,3,FALSE),"")</f>
        <v/>
      </c>
      <c r="H2168" t="str">
        <f>IFERROR(VLOOKUP(B2168,'Pre-Summary'!$AE$6:$AJ$85,4,FALSE),"")</f>
        <v/>
      </c>
      <c r="I2168" t="str">
        <f>IFERROR(VLOOKUP(B2168,'Pre-Summary'!$AE$6:$AJ$85,5,FALSE),"")</f>
        <v/>
      </c>
      <c r="J2168" s="45" t="str">
        <f>IFERROR(VLOOKUP(B2168,'Pre-Summary'!$AE$6:$AJ$85,6, FALSE),"")</f>
        <v/>
      </c>
      <c r="K2168" s="45" t="str">
        <f>IFERROR(VLOOKUP(B2168,'Pre-Summary'!$DE$6:$DG$61,3,FALSE),"")</f>
        <v/>
      </c>
      <c r="L2168" s="45" t="str">
        <f>IFERROR(VLOOKUP(B2168,'Pre-Summary'!$CU$6:$CW$36,3,FALSE),"")</f>
        <v/>
      </c>
      <c r="M2168" s="45" t="str">
        <f>IFERROR(VLOOKUP(B2168,'Pre-Summary'!$BW$6:$BY$58,2,FALSE),"")</f>
        <v/>
      </c>
      <c r="N2168" s="45" t="str">
        <f>IFERROR(VLOOKUP(B2168,'Pre-Summary'!$CD$6:$CF$64,2,FALSE),"")</f>
        <v/>
      </c>
      <c r="O2168" s="99">
        <f>IFERROR(VLOOKUP(B2168,'Pre-Summary'!$BO$6:$BQ$48,3, FALSE),O2167)</f>
        <v>1.3480000000000001</v>
      </c>
      <c r="P2168" s="99">
        <f>IFERROR(VLOOKUP(B2168,'Pre-Summary'!$BS$6:$BU$35,3,FALSE),P2167)</f>
        <v>0.379</v>
      </c>
      <c r="Q2168" s="54">
        <f t="shared" si="99"/>
        <v>3.556728232189974</v>
      </c>
      <c r="R2168" s="53">
        <f>IFERROR(VLOOKUP(B2168,'Pre-Summary'!$BG$6:$BM$44,7,FALSE),R2169)</f>
        <v>9.7948682664336664E-2</v>
      </c>
      <c r="S2168" s="53">
        <f>IFERROR(VLOOKUP(B2168,'Pre-Summary'!$BG$6:$BM$44,6,FALSE),S2169)</f>
        <v>0.10614035087720526</v>
      </c>
      <c r="T2168" s="45" t="str">
        <f>IFERROR(VLOOKUP(B2168,'Pre-Summary'!$Y$6:$AC$83, 3,FALSE),"")</f>
        <v/>
      </c>
      <c r="U2168" s="45" t="str">
        <f>IFERROR(VLOOKUP(B2168,'Pre-Summary'!$Y$6:$AC$83, 4,FALSE),"")</f>
        <v/>
      </c>
      <c r="V2168" t="str">
        <f>IFERROR(VLOOKUP(B2168,'Pre-Summary'!$Y$6:$AC$83, 5,FALSE),"")</f>
        <v/>
      </c>
      <c r="W2168" s="45" t="str">
        <f>IFERROR(VLOOKUP(B2168,'Pre-Summary'!$Y$6:$AD$83,6,FALSE),"")</f>
        <v/>
      </c>
      <c r="X2168" t="str">
        <f>IFERROR(VLOOKUP('Pre-Summary'!$DB$6:$DD$63,3,FALSE),"")</f>
        <v/>
      </c>
      <c r="Y2168" t="str">
        <f>IFERROR(VLOOKUP(B2168,'Pre-Summary'!$CR$6:$CT$36,3,FALSE),"")</f>
        <v/>
      </c>
      <c r="Z2168" s="45" t="str">
        <f>IFERROR(VLOOKUP(B2168,'Pre-Summary'!$BZ$6:$CB$63,2,FALSE),"")</f>
        <v/>
      </c>
      <c r="AA2168" s="45" t="str">
        <f>IFERROR(VLOOKUP(B2168,'Pre-Summary'!$CG$6:$CI$70,2,FALSE),"")</f>
        <v/>
      </c>
      <c r="AB2168" s="99">
        <f>IFERROR(VLOOKUP(B2168,'Pre-Summary'!$A$6:$P$178,9,FALSE),AB2169)</f>
        <v>0.36218783783669417</v>
      </c>
      <c r="AC2168" s="10">
        <f>IFERROR(VLOOKUP(Summary!B2168,'Pre-Summary'!$A$6:$P$184,5, FALSE)/100,AC2169)</f>
        <v>0.94610566666666673</v>
      </c>
      <c r="AD2168" s="10">
        <f>IFERROR(VLOOKUP(Summary!B2168,'Pre-Summary'!$A$6:$P$184,3, FALSE)/100,AD2169)</f>
        <v>4.3410333333333329E-2</v>
      </c>
      <c r="AE2168" s="10">
        <f>IFERROR(VLOOKUP(Summary!B2168,'Pre-Summary'!$A$6:$P$184,7, FALSE)/100,AE2169)</f>
        <v>1.0483666666666667E-2</v>
      </c>
      <c r="AF2168" s="99">
        <f t="shared" si="100"/>
        <v>1.572269476977017E-2</v>
      </c>
      <c r="AG2168" s="99">
        <f t="shared" si="101"/>
        <v>3.7970565626006228E-3</v>
      </c>
      <c r="AH2168" s="10" t="str">
        <f>IFERROR(VLOOKUP(B2168,'Pre-Summary'!$AZ$6:$BE$65,3,FALSE),"")</f>
        <v/>
      </c>
      <c r="AI2168" s="10" t="str">
        <f>IFERROR(VLOOKUP(B2168,'Pre-Summary'!$AZ$6:$BE$65,5,FALSE),"")</f>
        <v/>
      </c>
      <c r="AJ2168" s="10" t="str">
        <f>IFERROR(VLOOKUP(B2168,'Pre-Summary'!$AZ$6:$BE$65,4,FALSE),"")</f>
        <v/>
      </c>
      <c r="AK2168" s="10" t="str">
        <f>IFERROR(VLOOKUP(B2168,'Pre-Summary'!$AZ$6:$BE$65,6,FALSE),"")</f>
        <v/>
      </c>
      <c r="AL2168" s="10" t="str">
        <f>IFERROR(VLOOKUP(B2168,'Pre-Summary'!$BG$6:$BL$44,3,FALSE),"")</f>
        <v/>
      </c>
      <c r="AM2168" s="10" t="str">
        <f>IFERROR(VLOOKUP(B2168,'Pre-Summary'!$BG$6:$BL$44,4,FALSE),"")</f>
        <v/>
      </c>
    </row>
    <row r="2169" spans="2:39" ht="15" customHeight="1" x14ac:dyDescent="0.3">
      <c r="B2169">
        <v>216.6</v>
      </c>
      <c r="C2169" t="str">
        <f>IFERROR(VLOOKUP(B2169,'Pre-Summary'!$DI$6:$DM$23,4,FALSE),"")</f>
        <v/>
      </c>
      <c r="D2169" s="10" t="str">
        <f>IFERROR(VLOOKUP(B2169,'Pre-Summary'!$AT$6:$AX$14,5,FALSE),D2168)</f>
        <v>Wolfe v3: went back to modified wolfe + EDTA and switched CuSO4 to CUCl2</v>
      </c>
      <c r="E2169" s="10" t="str">
        <f>IFERROR(VLOOKUP(B2169,'Pre-Summary'!$AT$6:$AX$15,4,FALSE),"")</f>
        <v/>
      </c>
      <c r="F2169">
        <f>IFERROR(VLOOKUP(B2169,'Pre-Summary'!$AL$6:$AQ$13,6,FALSE),F2168)</f>
        <v>5.9405263157894746E-2</v>
      </c>
      <c r="G2169" t="str">
        <f>IFERROR(VLOOKUP(B2169,'Pre-Summary'!$AE$6:$AJ$85,3,FALSE),"")</f>
        <v/>
      </c>
      <c r="H2169" t="str">
        <f>IFERROR(VLOOKUP(B2169,'Pre-Summary'!$AE$6:$AJ$85,4,FALSE),"")</f>
        <v/>
      </c>
      <c r="I2169" t="str">
        <f>IFERROR(VLOOKUP(B2169,'Pre-Summary'!$AE$6:$AJ$85,5,FALSE),"")</f>
        <v/>
      </c>
      <c r="J2169" s="45" t="str">
        <f>IFERROR(VLOOKUP(B2169,'Pre-Summary'!$AE$6:$AJ$85,6, FALSE),"")</f>
        <v/>
      </c>
      <c r="K2169" s="45" t="str">
        <f>IFERROR(VLOOKUP(B2169,'Pre-Summary'!$DE$6:$DG$61,3,FALSE),"")</f>
        <v/>
      </c>
      <c r="L2169" s="45" t="str">
        <f>IFERROR(VLOOKUP(B2169,'Pre-Summary'!$CU$6:$CW$36,3,FALSE),"")</f>
        <v/>
      </c>
      <c r="M2169" s="45" t="str">
        <f>IFERROR(VLOOKUP(B2169,'Pre-Summary'!$BW$6:$BY$58,2,FALSE),"")</f>
        <v/>
      </c>
      <c r="N2169" s="45" t="str">
        <f>IFERROR(VLOOKUP(B2169,'Pre-Summary'!$CD$6:$CF$64,2,FALSE),"")</f>
        <v/>
      </c>
      <c r="O2169" s="99">
        <f>IFERROR(VLOOKUP(B2169,'Pre-Summary'!$BO$6:$BQ$48,3, FALSE),O2168)</f>
        <v>1.3480000000000001</v>
      </c>
      <c r="P2169" s="99">
        <f>IFERROR(VLOOKUP(B2169,'Pre-Summary'!$BS$6:$BU$35,3,FALSE),P2168)</f>
        <v>0.379</v>
      </c>
      <c r="Q2169" s="54">
        <f t="shared" si="99"/>
        <v>3.556728232189974</v>
      </c>
      <c r="R2169" s="53">
        <f>IFERROR(VLOOKUP(B2169,'Pre-Summary'!$BG$6:$BM$44,7,FALSE),R2170)</f>
        <v>9.7948682664336664E-2</v>
      </c>
      <c r="S2169" s="53">
        <f>IFERROR(VLOOKUP(B2169,'Pre-Summary'!$BG$6:$BM$44,6,FALSE),S2170)</f>
        <v>0.10614035087720526</v>
      </c>
      <c r="T2169" s="45" t="str">
        <f>IFERROR(VLOOKUP(B2169,'Pre-Summary'!$Y$6:$AC$83, 3,FALSE),"")</f>
        <v/>
      </c>
      <c r="U2169" s="45" t="str">
        <f>IFERROR(VLOOKUP(B2169,'Pre-Summary'!$Y$6:$AC$83, 4,FALSE),"")</f>
        <v/>
      </c>
      <c r="V2169" t="str">
        <f>IFERROR(VLOOKUP(B2169,'Pre-Summary'!$Y$6:$AC$83, 5,FALSE),"")</f>
        <v/>
      </c>
      <c r="W2169" s="45" t="str">
        <f>IFERROR(VLOOKUP(B2169,'Pre-Summary'!$Y$6:$AD$83,6,FALSE),"")</f>
        <v/>
      </c>
      <c r="X2169" t="str">
        <f>IFERROR(VLOOKUP('Pre-Summary'!$DB$6:$DD$63,3,FALSE),"")</f>
        <v/>
      </c>
      <c r="Y2169" t="str">
        <f>IFERROR(VLOOKUP(B2169,'Pre-Summary'!$CR$6:$CT$36,3,FALSE),"")</f>
        <v/>
      </c>
      <c r="Z2169" s="45" t="str">
        <f>IFERROR(VLOOKUP(B2169,'Pre-Summary'!$BZ$6:$CB$63,2,FALSE),"")</f>
        <v/>
      </c>
      <c r="AA2169" s="45" t="str">
        <f>IFERROR(VLOOKUP(B2169,'Pre-Summary'!$CG$6:$CI$70,2,FALSE),"")</f>
        <v/>
      </c>
      <c r="AB2169" s="99">
        <f>IFERROR(VLOOKUP(B2169,'Pre-Summary'!$A$6:$P$178,9,FALSE),AB2170)</f>
        <v>0.36218783783669417</v>
      </c>
      <c r="AC2169" s="10">
        <f>IFERROR(VLOOKUP(Summary!B2169,'Pre-Summary'!$A$6:$P$184,5, FALSE)/100,AC2170)</f>
        <v>0.94610566666666673</v>
      </c>
      <c r="AD2169" s="10">
        <f>IFERROR(VLOOKUP(Summary!B2169,'Pre-Summary'!$A$6:$P$184,3, FALSE)/100,AD2170)</f>
        <v>4.3410333333333329E-2</v>
      </c>
      <c r="AE2169" s="10">
        <f>IFERROR(VLOOKUP(Summary!B2169,'Pre-Summary'!$A$6:$P$184,7, FALSE)/100,AE2170)</f>
        <v>1.0483666666666667E-2</v>
      </c>
      <c r="AF2169" s="99">
        <f t="shared" si="100"/>
        <v>1.572269476977017E-2</v>
      </c>
      <c r="AG2169" s="99">
        <f t="shared" si="101"/>
        <v>3.7970565626006228E-3</v>
      </c>
      <c r="AH2169" s="10" t="str">
        <f>IFERROR(VLOOKUP(B2169,'Pre-Summary'!$AZ$6:$BE$65,3,FALSE),"")</f>
        <v/>
      </c>
      <c r="AI2169" s="10" t="str">
        <f>IFERROR(VLOOKUP(B2169,'Pre-Summary'!$AZ$6:$BE$65,5,FALSE),"")</f>
        <v/>
      </c>
      <c r="AJ2169" s="10" t="str">
        <f>IFERROR(VLOOKUP(B2169,'Pre-Summary'!$AZ$6:$BE$65,4,FALSE),"")</f>
        <v/>
      </c>
      <c r="AK2169" s="10" t="str">
        <f>IFERROR(VLOOKUP(B2169,'Pre-Summary'!$AZ$6:$BE$65,6,FALSE),"")</f>
        <v/>
      </c>
      <c r="AL2169" s="10" t="str">
        <f>IFERROR(VLOOKUP(B2169,'Pre-Summary'!$BG$6:$BL$44,3,FALSE),"")</f>
        <v/>
      </c>
      <c r="AM2169" s="10" t="str">
        <f>IFERROR(VLOOKUP(B2169,'Pre-Summary'!$BG$6:$BL$44,4,FALSE),"")</f>
        <v/>
      </c>
    </row>
    <row r="2170" spans="2:39" ht="15" customHeight="1" x14ac:dyDescent="0.3">
      <c r="B2170">
        <v>216.7</v>
      </c>
      <c r="C2170" t="str">
        <f>IFERROR(VLOOKUP(B2170,'Pre-Summary'!$DI$6:$DM$23,4,FALSE),"")</f>
        <v/>
      </c>
      <c r="D2170" s="10" t="str">
        <f>IFERROR(VLOOKUP(B2170,'Pre-Summary'!$AT$6:$AX$14,5,FALSE),D2169)</f>
        <v>Wolfe v3: went back to modified wolfe + EDTA and switched CuSO4 to CUCl2</v>
      </c>
      <c r="E2170" s="10" t="str">
        <f>IFERROR(VLOOKUP(B2170,'Pre-Summary'!$AT$6:$AX$15,4,FALSE),"")</f>
        <v/>
      </c>
      <c r="F2170">
        <f>IFERROR(VLOOKUP(B2170,'Pre-Summary'!$AL$6:$AQ$13,6,FALSE),F2169)</f>
        <v>5.9405263157894746E-2</v>
      </c>
      <c r="G2170" t="str">
        <f>IFERROR(VLOOKUP(B2170,'Pre-Summary'!$AE$6:$AJ$85,3,FALSE),"")</f>
        <v/>
      </c>
      <c r="H2170" t="str">
        <f>IFERROR(VLOOKUP(B2170,'Pre-Summary'!$AE$6:$AJ$85,4,FALSE),"")</f>
        <v/>
      </c>
      <c r="I2170" t="str">
        <f>IFERROR(VLOOKUP(B2170,'Pre-Summary'!$AE$6:$AJ$85,5,FALSE),"")</f>
        <v/>
      </c>
      <c r="J2170" s="45" t="str">
        <f>IFERROR(VLOOKUP(B2170,'Pre-Summary'!$AE$6:$AJ$85,6, FALSE),"")</f>
        <v/>
      </c>
      <c r="K2170" s="45" t="str">
        <f>IFERROR(VLOOKUP(B2170,'Pre-Summary'!$DE$6:$DG$61,3,FALSE),"")</f>
        <v/>
      </c>
      <c r="L2170" s="45" t="str">
        <f>IFERROR(VLOOKUP(B2170,'Pre-Summary'!$CU$6:$CW$36,3,FALSE),"")</f>
        <v/>
      </c>
      <c r="M2170" s="45" t="str">
        <f>IFERROR(VLOOKUP(B2170,'Pre-Summary'!$BW$6:$BY$58,2,FALSE),"")</f>
        <v/>
      </c>
      <c r="N2170" s="45" t="str">
        <f>IFERROR(VLOOKUP(B2170,'Pre-Summary'!$CD$6:$CF$64,2,FALSE),"")</f>
        <v/>
      </c>
      <c r="O2170" s="99">
        <f>IFERROR(VLOOKUP(B2170,'Pre-Summary'!$BO$6:$BQ$48,3, FALSE),O2169)</f>
        <v>1.3480000000000001</v>
      </c>
      <c r="P2170" s="99">
        <f>IFERROR(VLOOKUP(B2170,'Pre-Summary'!$BS$6:$BU$35,3,FALSE),P2169)</f>
        <v>0.379</v>
      </c>
      <c r="Q2170" s="54">
        <f t="shared" si="99"/>
        <v>3.556728232189974</v>
      </c>
      <c r="R2170" s="53">
        <f>IFERROR(VLOOKUP(B2170,'Pre-Summary'!$BG$6:$BM$44,7,FALSE),R2171)</f>
        <v>9.7948682664336664E-2</v>
      </c>
      <c r="S2170" s="53">
        <f>IFERROR(VLOOKUP(B2170,'Pre-Summary'!$BG$6:$BM$44,6,FALSE),S2171)</f>
        <v>0.10614035087720526</v>
      </c>
      <c r="T2170" s="45" t="str">
        <f>IFERROR(VLOOKUP(B2170,'Pre-Summary'!$Y$6:$AC$83, 3,FALSE),"")</f>
        <v/>
      </c>
      <c r="U2170" s="45" t="str">
        <f>IFERROR(VLOOKUP(B2170,'Pre-Summary'!$Y$6:$AC$83, 4,FALSE),"")</f>
        <v/>
      </c>
      <c r="V2170" t="str">
        <f>IFERROR(VLOOKUP(B2170,'Pre-Summary'!$Y$6:$AC$83, 5,FALSE),"")</f>
        <v/>
      </c>
      <c r="W2170" s="45" t="str">
        <f>IFERROR(VLOOKUP(B2170,'Pre-Summary'!$Y$6:$AD$83,6,FALSE),"")</f>
        <v/>
      </c>
      <c r="X2170" t="str">
        <f>IFERROR(VLOOKUP('Pre-Summary'!$DB$6:$DD$63,3,FALSE),"")</f>
        <v/>
      </c>
      <c r="Y2170" t="str">
        <f>IFERROR(VLOOKUP(B2170,'Pre-Summary'!$CR$6:$CT$36,3,FALSE),"")</f>
        <v/>
      </c>
      <c r="Z2170" s="45" t="str">
        <f>IFERROR(VLOOKUP(B2170,'Pre-Summary'!$BZ$6:$CB$63,2,FALSE),"")</f>
        <v/>
      </c>
      <c r="AA2170" s="45" t="str">
        <f>IFERROR(VLOOKUP(B2170,'Pre-Summary'!$CG$6:$CI$70,2,FALSE),"")</f>
        <v/>
      </c>
      <c r="AB2170" s="99">
        <f>IFERROR(VLOOKUP(B2170,'Pre-Summary'!$A$6:$P$178,9,FALSE),AB2171)</f>
        <v>0.36218783783669417</v>
      </c>
      <c r="AC2170" s="10">
        <f>IFERROR(VLOOKUP(Summary!B2170,'Pre-Summary'!$A$6:$P$184,5, FALSE)/100,AC2171)</f>
        <v>0.94610566666666673</v>
      </c>
      <c r="AD2170" s="10">
        <f>IFERROR(VLOOKUP(Summary!B2170,'Pre-Summary'!$A$6:$P$184,3, FALSE)/100,AD2171)</f>
        <v>4.3410333333333329E-2</v>
      </c>
      <c r="AE2170" s="10">
        <f>IFERROR(VLOOKUP(Summary!B2170,'Pre-Summary'!$A$6:$P$184,7, FALSE)/100,AE2171)</f>
        <v>1.0483666666666667E-2</v>
      </c>
      <c r="AF2170" s="99">
        <f t="shared" si="100"/>
        <v>1.572269476977017E-2</v>
      </c>
      <c r="AG2170" s="99">
        <f t="shared" si="101"/>
        <v>3.7970565626006228E-3</v>
      </c>
      <c r="AH2170" s="10" t="str">
        <f>IFERROR(VLOOKUP(B2170,'Pre-Summary'!$AZ$6:$BE$65,3,FALSE),"")</f>
        <v/>
      </c>
      <c r="AI2170" s="10" t="str">
        <f>IFERROR(VLOOKUP(B2170,'Pre-Summary'!$AZ$6:$BE$65,5,FALSE),"")</f>
        <v/>
      </c>
      <c r="AJ2170" s="10" t="str">
        <f>IFERROR(VLOOKUP(B2170,'Pre-Summary'!$AZ$6:$BE$65,4,FALSE),"")</f>
        <v/>
      </c>
      <c r="AK2170" s="10" t="str">
        <f>IFERROR(VLOOKUP(B2170,'Pre-Summary'!$AZ$6:$BE$65,6,FALSE),"")</f>
        <v/>
      </c>
      <c r="AL2170" s="10" t="str">
        <f>IFERROR(VLOOKUP(B2170,'Pre-Summary'!$BG$6:$BL$44,3,FALSE),"")</f>
        <v/>
      </c>
      <c r="AM2170" s="10" t="str">
        <f>IFERROR(VLOOKUP(B2170,'Pre-Summary'!$BG$6:$BL$44,4,FALSE),"")</f>
        <v/>
      </c>
    </row>
    <row r="2171" spans="2:39" ht="15" customHeight="1" x14ac:dyDescent="0.3">
      <c r="B2171">
        <v>216.8</v>
      </c>
      <c r="C2171" t="str">
        <f>IFERROR(VLOOKUP(B2171,'Pre-Summary'!$DI$6:$DM$23,4,FALSE),"")</f>
        <v/>
      </c>
      <c r="D2171" s="10" t="str">
        <f>IFERROR(VLOOKUP(B2171,'Pre-Summary'!$AT$6:$AX$14,5,FALSE),D2170)</f>
        <v>Wolfe v3: went back to modified wolfe + EDTA and switched CuSO4 to CUCl2</v>
      </c>
      <c r="E2171" s="10" t="str">
        <f>IFERROR(VLOOKUP(B2171,'Pre-Summary'!$AT$6:$AX$15,4,FALSE),"")</f>
        <v/>
      </c>
      <c r="F2171">
        <f>IFERROR(VLOOKUP(B2171,'Pre-Summary'!$AL$6:$AQ$13,6,FALSE),F2170)</f>
        <v>5.9405263157894746E-2</v>
      </c>
      <c r="G2171" t="str">
        <f>IFERROR(VLOOKUP(B2171,'Pre-Summary'!$AE$6:$AJ$85,3,FALSE),"")</f>
        <v/>
      </c>
      <c r="H2171" t="str">
        <f>IFERROR(VLOOKUP(B2171,'Pre-Summary'!$AE$6:$AJ$85,4,FALSE),"")</f>
        <v/>
      </c>
      <c r="I2171" t="str">
        <f>IFERROR(VLOOKUP(B2171,'Pre-Summary'!$AE$6:$AJ$85,5,FALSE),"")</f>
        <v/>
      </c>
      <c r="J2171" s="45" t="str">
        <f>IFERROR(VLOOKUP(B2171,'Pre-Summary'!$AE$6:$AJ$85,6, FALSE),"")</f>
        <v/>
      </c>
      <c r="K2171" s="45" t="str">
        <f>IFERROR(VLOOKUP(B2171,'Pre-Summary'!$DE$6:$DG$61,3,FALSE),"")</f>
        <v/>
      </c>
      <c r="L2171" s="45" t="str">
        <f>IFERROR(VLOOKUP(B2171,'Pre-Summary'!$CU$6:$CW$36,3,FALSE),"")</f>
        <v/>
      </c>
      <c r="M2171" s="45" t="str">
        <f>IFERROR(VLOOKUP(B2171,'Pre-Summary'!$BW$6:$BY$58,2,FALSE),"")</f>
        <v/>
      </c>
      <c r="N2171" s="45" t="str">
        <f>IFERROR(VLOOKUP(B2171,'Pre-Summary'!$CD$6:$CF$64,2,FALSE),"")</f>
        <v/>
      </c>
      <c r="O2171" s="99">
        <f>IFERROR(VLOOKUP(B2171,'Pre-Summary'!$BO$6:$BQ$48,3, FALSE),O2170)</f>
        <v>1.3480000000000001</v>
      </c>
      <c r="P2171" s="99">
        <f>IFERROR(VLOOKUP(B2171,'Pre-Summary'!$BS$6:$BU$35,3,FALSE),P2170)</f>
        <v>0.379</v>
      </c>
      <c r="Q2171" s="54">
        <f t="shared" si="99"/>
        <v>3.556728232189974</v>
      </c>
      <c r="R2171" s="53">
        <f>IFERROR(VLOOKUP(B2171,'Pre-Summary'!$BG$6:$BM$44,7,FALSE),R2172)</f>
        <v>9.7948682664336664E-2</v>
      </c>
      <c r="S2171" s="53">
        <f>IFERROR(VLOOKUP(B2171,'Pre-Summary'!$BG$6:$BM$44,6,FALSE),S2172)</f>
        <v>0.10614035087720526</v>
      </c>
      <c r="T2171" s="45" t="str">
        <f>IFERROR(VLOOKUP(B2171,'Pre-Summary'!$Y$6:$AC$83, 3,FALSE),"")</f>
        <v/>
      </c>
      <c r="U2171" s="45" t="str">
        <f>IFERROR(VLOOKUP(B2171,'Pre-Summary'!$Y$6:$AC$83, 4,FALSE),"")</f>
        <v/>
      </c>
      <c r="V2171" t="str">
        <f>IFERROR(VLOOKUP(B2171,'Pre-Summary'!$Y$6:$AC$83, 5,FALSE),"")</f>
        <v/>
      </c>
      <c r="W2171" s="45" t="str">
        <f>IFERROR(VLOOKUP(B2171,'Pre-Summary'!$Y$6:$AD$83,6,FALSE),"")</f>
        <v/>
      </c>
      <c r="X2171" t="str">
        <f>IFERROR(VLOOKUP('Pre-Summary'!$DB$6:$DD$63,3,FALSE),"")</f>
        <v/>
      </c>
      <c r="Y2171" t="str">
        <f>IFERROR(VLOOKUP(B2171,'Pre-Summary'!$CR$6:$CT$36,3,FALSE),"")</f>
        <v/>
      </c>
      <c r="Z2171" s="45" t="str">
        <f>IFERROR(VLOOKUP(B2171,'Pre-Summary'!$BZ$6:$CB$63,2,FALSE),"")</f>
        <v/>
      </c>
      <c r="AA2171" s="45" t="str">
        <f>IFERROR(VLOOKUP(B2171,'Pre-Summary'!$CG$6:$CI$70,2,FALSE),"")</f>
        <v/>
      </c>
      <c r="AB2171" s="99">
        <f>IFERROR(VLOOKUP(B2171,'Pre-Summary'!$A$6:$P$178,9,FALSE),AB2172)</f>
        <v>0.36218783783669417</v>
      </c>
      <c r="AC2171" s="10">
        <f>IFERROR(VLOOKUP(Summary!B2171,'Pre-Summary'!$A$6:$P$184,5, FALSE)/100,AC2172)</f>
        <v>0.94610566666666673</v>
      </c>
      <c r="AD2171" s="10">
        <f>IFERROR(VLOOKUP(Summary!B2171,'Pre-Summary'!$A$6:$P$184,3, FALSE)/100,AD2172)</f>
        <v>4.3410333333333329E-2</v>
      </c>
      <c r="AE2171" s="10">
        <f>IFERROR(VLOOKUP(Summary!B2171,'Pre-Summary'!$A$6:$P$184,7, FALSE)/100,AE2172)</f>
        <v>1.0483666666666667E-2</v>
      </c>
      <c r="AF2171" s="99">
        <f t="shared" si="100"/>
        <v>1.572269476977017E-2</v>
      </c>
      <c r="AG2171" s="99">
        <f t="shared" si="101"/>
        <v>3.7970565626006228E-3</v>
      </c>
      <c r="AH2171" s="10" t="str">
        <f>IFERROR(VLOOKUP(B2171,'Pre-Summary'!$AZ$6:$BE$65,3,FALSE),"")</f>
        <v/>
      </c>
      <c r="AI2171" s="10" t="str">
        <f>IFERROR(VLOOKUP(B2171,'Pre-Summary'!$AZ$6:$BE$65,5,FALSE),"")</f>
        <v/>
      </c>
      <c r="AJ2171" s="10" t="str">
        <f>IFERROR(VLOOKUP(B2171,'Pre-Summary'!$AZ$6:$BE$65,4,FALSE),"")</f>
        <v/>
      </c>
      <c r="AK2171" s="10" t="str">
        <f>IFERROR(VLOOKUP(B2171,'Pre-Summary'!$AZ$6:$BE$65,6,FALSE),"")</f>
        <v/>
      </c>
      <c r="AL2171" s="10" t="str">
        <f>IFERROR(VLOOKUP(B2171,'Pre-Summary'!$BG$6:$BL$44,3,FALSE),"")</f>
        <v/>
      </c>
      <c r="AM2171" s="10" t="str">
        <f>IFERROR(VLOOKUP(B2171,'Pre-Summary'!$BG$6:$BL$44,4,FALSE),"")</f>
        <v/>
      </c>
    </row>
    <row r="2172" spans="2:39" ht="15" customHeight="1" x14ac:dyDescent="0.3">
      <c r="B2172">
        <v>216.9</v>
      </c>
      <c r="C2172" t="str">
        <f>IFERROR(VLOOKUP(B2172,'Pre-Summary'!$DI$6:$DM$23,4,FALSE),"")</f>
        <v/>
      </c>
      <c r="D2172" s="10" t="str">
        <f>IFERROR(VLOOKUP(B2172,'Pre-Summary'!$AT$6:$AX$14,5,FALSE),D2171)</f>
        <v>Wolfe v3: went back to modified wolfe + EDTA and switched CuSO4 to CUCl2</v>
      </c>
      <c r="E2172" s="10" t="str">
        <f>IFERROR(VLOOKUP(B2172,'Pre-Summary'!$AT$6:$AX$15,4,FALSE),"")</f>
        <v/>
      </c>
      <c r="F2172">
        <f>IFERROR(VLOOKUP(B2172,'Pre-Summary'!$AL$6:$AQ$13,6,FALSE),F2171)</f>
        <v>5.9405263157894746E-2</v>
      </c>
      <c r="G2172" t="str">
        <f>IFERROR(VLOOKUP(B2172,'Pre-Summary'!$AE$6:$AJ$85,3,FALSE),"")</f>
        <v/>
      </c>
      <c r="H2172" t="str">
        <f>IFERROR(VLOOKUP(B2172,'Pre-Summary'!$AE$6:$AJ$85,4,FALSE),"")</f>
        <v/>
      </c>
      <c r="I2172" t="str">
        <f>IFERROR(VLOOKUP(B2172,'Pre-Summary'!$AE$6:$AJ$85,5,FALSE),"")</f>
        <v/>
      </c>
      <c r="J2172" s="45" t="str">
        <f>IFERROR(VLOOKUP(B2172,'Pre-Summary'!$AE$6:$AJ$85,6, FALSE),"")</f>
        <v/>
      </c>
      <c r="K2172" s="45" t="str">
        <f>IFERROR(VLOOKUP(B2172,'Pre-Summary'!$DE$6:$DG$61,3,FALSE),"")</f>
        <v/>
      </c>
      <c r="L2172" s="45" t="str">
        <f>IFERROR(VLOOKUP(B2172,'Pre-Summary'!$CU$6:$CW$36,3,FALSE),"")</f>
        <v/>
      </c>
      <c r="M2172" s="45" t="str">
        <f>IFERROR(VLOOKUP(B2172,'Pre-Summary'!$BW$6:$BY$58,2,FALSE),"")</f>
        <v/>
      </c>
      <c r="N2172" s="45" t="str">
        <f>IFERROR(VLOOKUP(B2172,'Pre-Summary'!$CD$6:$CF$64,2,FALSE),"")</f>
        <v/>
      </c>
      <c r="O2172" s="99">
        <f>IFERROR(VLOOKUP(B2172,'Pre-Summary'!$BO$6:$BQ$48,3, FALSE),O2171)</f>
        <v>1.3480000000000001</v>
      </c>
      <c r="P2172" s="99">
        <f>IFERROR(VLOOKUP(B2172,'Pre-Summary'!$BS$6:$BU$35,3,FALSE),P2171)</f>
        <v>0.379</v>
      </c>
      <c r="Q2172" s="54">
        <f t="shared" si="99"/>
        <v>3.556728232189974</v>
      </c>
      <c r="R2172" s="53">
        <f>IFERROR(VLOOKUP(B2172,'Pre-Summary'!$BG$6:$BM$44,7,FALSE),R2173)</f>
        <v>9.7948682664336664E-2</v>
      </c>
      <c r="S2172" s="53">
        <f>IFERROR(VLOOKUP(B2172,'Pre-Summary'!$BG$6:$BM$44,6,FALSE),S2173)</f>
        <v>0.10614035087720526</v>
      </c>
      <c r="T2172" s="45" t="str">
        <f>IFERROR(VLOOKUP(B2172,'Pre-Summary'!$Y$6:$AC$83, 3,FALSE),"")</f>
        <v/>
      </c>
      <c r="U2172" s="45" t="str">
        <f>IFERROR(VLOOKUP(B2172,'Pre-Summary'!$Y$6:$AC$83, 4,FALSE),"")</f>
        <v/>
      </c>
      <c r="V2172" t="str">
        <f>IFERROR(VLOOKUP(B2172,'Pre-Summary'!$Y$6:$AC$83, 5,FALSE),"")</f>
        <v/>
      </c>
      <c r="W2172" s="45" t="str">
        <f>IFERROR(VLOOKUP(B2172,'Pre-Summary'!$Y$6:$AD$83,6,FALSE),"")</f>
        <v/>
      </c>
      <c r="X2172" t="str">
        <f>IFERROR(VLOOKUP('Pre-Summary'!$DB$6:$DD$63,3,FALSE),"")</f>
        <v/>
      </c>
      <c r="Y2172" t="str">
        <f>IFERROR(VLOOKUP(B2172,'Pre-Summary'!$CR$6:$CT$36,3,FALSE),"")</f>
        <v/>
      </c>
      <c r="Z2172" s="45" t="str">
        <f>IFERROR(VLOOKUP(B2172,'Pre-Summary'!$BZ$6:$CB$63,2,FALSE),"")</f>
        <v/>
      </c>
      <c r="AA2172" s="45" t="str">
        <f>IFERROR(VLOOKUP(B2172,'Pre-Summary'!$CG$6:$CI$70,2,FALSE),"")</f>
        <v/>
      </c>
      <c r="AB2172" s="99">
        <f>IFERROR(VLOOKUP(B2172,'Pre-Summary'!$A$6:$P$178,9,FALSE),AB2173)</f>
        <v>0.36218783783669417</v>
      </c>
      <c r="AC2172" s="10">
        <f>IFERROR(VLOOKUP(Summary!B2172,'Pre-Summary'!$A$6:$P$184,5, FALSE)/100,AC2173)</f>
        <v>0.94610566666666673</v>
      </c>
      <c r="AD2172" s="10">
        <f>IFERROR(VLOOKUP(Summary!B2172,'Pre-Summary'!$A$6:$P$184,3, FALSE)/100,AD2173)</f>
        <v>4.3410333333333329E-2</v>
      </c>
      <c r="AE2172" s="10">
        <f>IFERROR(VLOOKUP(Summary!B2172,'Pre-Summary'!$A$6:$P$184,7, FALSE)/100,AE2173)</f>
        <v>1.0483666666666667E-2</v>
      </c>
      <c r="AF2172" s="99">
        <f t="shared" si="100"/>
        <v>1.572269476977017E-2</v>
      </c>
      <c r="AG2172" s="99">
        <f t="shared" si="101"/>
        <v>3.7970565626006228E-3</v>
      </c>
      <c r="AH2172" s="10" t="str">
        <f>IFERROR(VLOOKUP(B2172,'Pre-Summary'!$AZ$6:$BE$65,3,FALSE),"")</f>
        <v/>
      </c>
      <c r="AI2172" s="10" t="str">
        <f>IFERROR(VLOOKUP(B2172,'Pre-Summary'!$AZ$6:$BE$65,5,FALSE),"")</f>
        <v/>
      </c>
      <c r="AJ2172" s="10" t="str">
        <f>IFERROR(VLOOKUP(B2172,'Pre-Summary'!$AZ$6:$BE$65,4,FALSE),"")</f>
        <v/>
      </c>
      <c r="AK2172" s="10" t="str">
        <f>IFERROR(VLOOKUP(B2172,'Pre-Summary'!$AZ$6:$BE$65,6,FALSE),"")</f>
        <v/>
      </c>
      <c r="AL2172" s="10" t="str">
        <f>IFERROR(VLOOKUP(B2172,'Pre-Summary'!$BG$6:$BL$44,3,FALSE),"")</f>
        <v/>
      </c>
      <c r="AM2172" s="10" t="str">
        <f>IFERROR(VLOOKUP(B2172,'Pre-Summary'!$BG$6:$BL$44,4,FALSE),"")</f>
        <v/>
      </c>
    </row>
    <row r="2173" spans="2:39" ht="15" customHeight="1" x14ac:dyDescent="0.3">
      <c r="B2173">
        <v>217</v>
      </c>
      <c r="C2173" t="str">
        <f>IFERROR(VLOOKUP(B2173,'Pre-Summary'!$DI$6:$DM$23,4,FALSE),"")</f>
        <v/>
      </c>
      <c r="D2173" s="10" t="str">
        <f>IFERROR(VLOOKUP(B2173,'Pre-Summary'!$AT$6:$AX$14,5,FALSE),D2172)</f>
        <v>Wolfe v3: went back to modified wolfe + EDTA and switched CuSO4 to CUCl2</v>
      </c>
      <c r="E2173" s="10" t="str">
        <f>IFERROR(VLOOKUP(B2173,'Pre-Summary'!$AT$6:$AX$15,4,FALSE),"")</f>
        <v/>
      </c>
      <c r="F2173">
        <f>IFERROR(VLOOKUP(B2173,'Pre-Summary'!$AL$6:$AQ$13,6,FALSE),F2172)</f>
        <v>5.9405263157894746E-2</v>
      </c>
      <c r="G2173" t="str">
        <f>IFERROR(VLOOKUP(B2173,'Pre-Summary'!$AE$6:$AJ$85,3,FALSE),"")</f>
        <v/>
      </c>
      <c r="H2173" t="str">
        <f>IFERROR(VLOOKUP(B2173,'Pre-Summary'!$AE$6:$AJ$85,4,FALSE),"")</f>
        <v/>
      </c>
      <c r="I2173" t="str">
        <f>IFERROR(VLOOKUP(B2173,'Pre-Summary'!$AE$6:$AJ$85,5,FALSE),"")</f>
        <v/>
      </c>
      <c r="J2173" s="45" t="str">
        <f>IFERROR(VLOOKUP(B2173,'Pre-Summary'!$AE$6:$AJ$85,6, FALSE),"")</f>
        <v/>
      </c>
      <c r="K2173" s="45" t="str">
        <f>IFERROR(VLOOKUP(B2173,'Pre-Summary'!$DE$6:$DG$61,3,FALSE),"")</f>
        <v/>
      </c>
      <c r="L2173" s="45" t="str">
        <f>IFERROR(VLOOKUP(B2173,'Pre-Summary'!$CU$6:$CW$36,3,FALSE),"")</f>
        <v/>
      </c>
      <c r="M2173" s="45" t="str">
        <f>IFERROR(VLOOKUP(B2173,'Pre-Summary'!$BW$6:$BY$58,2,FALSE),"")</f>
        <v/>
      </c>
      <c r="N2173" s="45" t="str">
        <f>IFERROR(VLOOKUP(B2173,'Pre-Summary'!$CD$6:$CF$64,2,FALSE),"")</f>
        <v/>
      </c>
      <c r="O2173" s="99">
        <f>IFERROR(VLOOKUP(B2173,'Pre-Summary'!$BO$6:$BQ$48,3, FALSE),O2172)</f>
        <v>1.3480000000000001</v>
      </c>
      <c r="P2173" s="99">
        <f>IFERROR(VLOOKUP(B2173,'Pre-Summary'!$BS$6:$BU$35,3,FALSE),P2172)</f>
        <v>0.379</v>
      </c>
      <c r="Q2173" s="54">
        <f t="shared" si="99"/>
        <v>3.556728232189974</v>
      </c>
      <c r="R2173" s="53">
        <f>IFERROR(VLOOKUP(B2173,'Pre-Summary'!$BG$6:$BM$44,7,FALSE),R2174)</f>
        <v>9.7948682664336664E-2</v>
      </c>
      <c r="S2173" s="53">
        <f>IFERROR(VLOOKUP(B2173,'Pre-Summary'!$BG$6:$BM$44,6,FALSE),S2174)</f>
        <v>0.10614035087720526</v>
      </c>
      <c r="T2173" s="45" t="str">
        <f>IFERROR(VLOOKUP(B2173,'Pre-Summary'!$Y$6:$AC$83, 3,FALSE),"")</f>
        <v/>
      </c>
      <c r="U2173" s="45" t="str">
        <f>IFERROR(VLOOKUP(B2173,'Pre-Summary'!$Y$6:$AC$83, 4,FALSE),"")</f>
        <v/>
      </c>
      <c r="V2173" t="str">
        <f>IFERROR(VLOOKUP(B2173,'Pre-Summary'!$Y$6:$AC$83, 5,FALSE),"")</f>
        <v/>
      </c>
      <c r="W2173" s="45" t="str">
        <f>IFERROR(VLOOKUP(B2173,'Pre-Summary'!$Y$6:$AD$83,6,FALSE),"")</f>
        <v/>
      </c>
      <c r="X2173" t="str">
        <f>IFERROR(VLOOKUP('Pre-Summary'!$DB$6:$DD$63,3,FALSE),"")</f>
        <v/>
      </c>
      <c r="Y2173" t="str">
        <f>IFERROR(VLOOKUP(B2173,'Pre-Summary'!$CR$6:$CT$36,3,FALSE),"")</f>
        <v/>
      </c>
      <c r="Z2173" s="45" t="str">
        <f>IFERROR(VLOOKUP(B2173,'Pre-Summary'!$BZ$6:$CB$63,2,FALSE),"")</f>
        <v/>
      </c>
      <c r="AA2173" s="45" t="str">
        <f>IFERROR(VLOOKUP(B2173,'Pre-Summary'!$CG$6:$CI$70,2,FALSE),"")</f>
        <v/>
      </c>
      <c r="AB2173" s="99">
        <f>IFERROR(VLOOKUP(B2173,'Pre-Summary'!$A$6:$P$178,9,FALSE),AB2174)</f>
        <v>0.34370467032972529</v>
      </c>
      <c r="AC2173" s="10">
        <f>IFERROR(VLOOKUP(Summary!B2173,'Pre-Summary'!$A$6:$P$184,5, FALSE)/100,AC2174)</f>
        <v>0.95237866666666671</v>
      </c>
      <c r="AD2173" s="10">
        <f>IFERROR(VLOOKUP(Summary!B2173,'Pre-Summary'!$A$6:$P$184,3, FALSE)/100,AD2174)</f>
        <v>4.0876999999999997E-2</v>
      </c>
      <c r="AE2173" s="10">
        <f>IFERROR(VLOOKUP(Summary!B2173,'Pre-Summary'!$A$6:$P$184,7, FALSE)/100,AE2174)</f>
        <v>6.744E-3</v>
      </c>
      <c r="AF2173" s="99">
        <f t="shared" si="100"/>
        <v>1.404961580906818E-2</v>
      </c>
      <c r="AG2173" s="99">
        <f t="shared" si="101"/>
        <v>2.3179442967036674E-3</v>
      </c>
      <c r="AH2173" s="10" t="str">
        <f>IFERROR(VLOOKUP(B2173,'Pre-Summary'!$AZ$6:$BE$65,3,FALSE),"")</f>
        <v/>
      </c>
      <c r="AI2173" s="10" t="str">
        <f>IFERROR(VLOOKUP(B2173,'Pre-Summary'!$AZ$6:$BE$65,5,FALSE),"")</f>
        <v/>
      </c>
      <c r="AJ2173" s="10" t="str">
        <f>IFERROR(VLOOKUP(B2173,'Pre-Summary'!$AZ$6:$BE$65,4,FALSE),"")</f>
        <v/>
      </c>
      <c r="AK2173" s="10" t="str">
        <f>IFERROR(VLOOKUP(B2173,'Pre-Summary'!$AZ$6:$BE$65,6,FALSE),"")</f>
        <v/>
      </c>
      <c r="AL2173" s="10" t="str">
        <f>IFERROR(VLOOKUP(B2173,'Pre-Summary'!$BG$6:$BL$44,3,FALSE),"")</f>
        <v/>
      </c>
      <c r="AM2173" s="10" t="str">
        <f>IFERROR(VLOOKUP(B2173,'Pre-Summary'!$BG$6:$BL$44,4,FALSE),"")</f>
        <v/>
      </c>
    </row>
    <row r="2174" spans="2:39" ht="15" customHeight="1" x14ac:dyDescent="0.3">
      <c r="B2174">
        <v>217.1</v>
      </c>
      <c r="C2174" t="str">
        <f>IFERROR(VLOOKUP(B2174,'Pre-Summary'!$DI$6:$DM$23,4,FALSE),"")</f>
        <v/>
      </c>
      <c r="D2174" s="10" t="str">
        <f>IFERROR(VLOOKUP(B2174,'Pre-Summary'!$AT$6:$AX$14,5,FALSE),D2173)</f>
        <v>Wolfe v3: went back to modified wolfe + EDTA and switched CuSO4 to CUCl2</v>
      </c>
      <c r="E2174" s="10" t="str">
        <f>IFERROR(VLOOKUP(B2174,'Pre-Summary'!$AT$6:$AX$15,4,FALSE),"")</f>
        <v/>
      </c>
      <c r="F2174">
        <f>IFERROR(VLOOKUP(B2174,'Pre-Summary'!$AL$6:$AQ$13,6,FALSE),F2173)</f>
        <v>5.9405263157894746E-2</v>
      </c>
      <c r="G2174" t="str">
        <f>IFERROR(VLOOKUP(B2174,'Pre-Summary'!$AE$6:$AJ$85,3,FALSE),"")</f>
        <v/>
      </c>
      <c r="H2174" t="str">
        <f>IFERROR(VLOOKUP(B2174,'Pre-Summary'!$AE$6:$AJ$85,4,FALSE),"")</f>
        <v/>
      </c>
      <c r="I2174" t="str">
        <f>IFERROR(VLOOKUP(B2174,'Pre-Summary'!$AE$6:$AJ$85,5,FALSE),"")</f>
        <v/>
      </c>
      <c r="J2174" s="45" t="str">
        <f>IFERROR(VLOOKUP(B2174,'Pre-Summary'!$AE$6:$AJ$85,6, FALSE),"")</f>
        <v/>
      </c>
      <c r="K2174" s="45" t="str">
        <f>IFERROR(VLOOKUP(B2174,'Pre-Summary'!$DE$6:$DG$61,3,FALSE),"")</f>
        <v/>
      </c>
      <c r="L2174" s="45" t="str">
        <f>IFERROR(VLOOKUP(B2174,'Pre-Summary'!$CU$6:$CW$36,3,FALSE),"")</f>
        <v/>
      </c>
      <c r="M2174" s="45" t="str">
        <f>IFERROR(VLOOKUP(B2174,'Pre-Summary'!$BW$6:$BY$58,2,FALSE),"")</f>
        <v/>
      </c>
      <c r="N2174" s="45" t="str">
        <f>IFERROR(VLOOKUP(B2174,'Pre-Summary'!$CD$6:$CF$64,2,FALSE),"")</f>
        <v/>
      </c>
      <c r="O2174" s="99">
        <f>IFERROR(VLOOKUP(B2174,'Pre-Summary'!$BO$6:$BQ$48,3, FALSE),O2173)</f>
        <v>1.3480000000000001</v>
      </c>
      <c r="P2174" s="99">
        <f>IFERROR(VLOOKUP(B2174,'Pre-Summary'!$BS$6:$BU$35,3,FALSE),P2173)</f>
        <v>0.379</v>
      </c>
      <c r="Q2174" s="54">
        <f t="shared" si="99"/>
        <v>3.556728232189974</v>
      </c>
      <c r="R2174" s="53">
        <f>IFERROR(VLOOKUP(B2174,'Pre-Summary'!$BG$6:$BM$44,7,FALSE),R2175)</f>
        <v>9.7948682664336664E-2</v>
      </c>
      <c r="S2174" s="53">
        <f>IFERROR(VLOOKUP(B2174,'Pre-Summary'!$BG$6:$BM$44,6,FALSE),S2175)</f>
        <v>0.10614035087720526</v>
      </c>
      <c r="T2174" s="45" t="str">
        <f>IFERROR(VLOOKUP(B2174,'Pre-Summary'!$Y$6:$AC$83, 3,FALSE),"")</f>
        <v/>
      </c>
      <c r="U2174" s="45" t="str">
        <f>IFERROR(VLOOKUP(B2174,'Pre-Summary'!$Y$6:$AC$83, 4,FALSE),"")</f>
        <v/>
      </c>
      <c r="V2174" t="str">
        <f>IFERROR(VLOOKUP(B2174,'Pre-Summary'!$Y$6:$AC$83, 5,FALSE),"")</f>
        <v/>
      </c>
      <c r="W2174" s="45" t="str">
        <f>IFERROR(VLOOKUP(B2174,'Pre-Summary'!$Y$6:$AD$83,6,FALSE),"")</f>
        <v/>
      </c>
      <c r="X2174" t="str">
        <f>IFERROR(VLOOKUP('Pre-Summary'!$DB$6:$DD$63,3,FALSE),"")</f>
        <v/>
      </c>
      <c r="Y2174" t="str">
        <f>IFERROR(VLOOKUP(B2174,'Pre-Summary'!$CR$6:$CT$36,3,FALSE),"")</f>
        <v/>
      </c>
      <c r="Z2174" s="45" t="str">
        <f>IFERROR(VLOOKUP(B2174,'Pre-Summary'!$BZ$6:$CB$63,2,FALSE),"")</f>
        <v/>
      </c>
      <c r="AA2174" s="45" t="str">
        <f>IFERROR(VLOOKUP(B2174,'Pre-Summary'!$CG$6:$CI$70,2,FALSE),"")</f>
        <v/>
      </c>
      <c r="AB2174" s="99">
        <f>IFERROR(VLOOKUP(B2174,'Pre-Summary'!$A$6:$P$178,9,FALSE),AB2175)</f>
        <v>0.34370467032972529</v>
      </c>
      <c r="AC2174" s="10">
        <f>IFERROR(VLOOKUP(Summary!B2174,'Pre-Summary'!$A$6:$P$184,5, FALSE)/100,AC2175)</f>
        <v>0.95237866666666671</v>
      </c>
      <c r="AD2174" s="10">
        <f>IFERROR(VLOOKUP(Summary!B2174,'Pre-Summary'!$A$6:$P$184,3, FALSE)/100,AD2175)</f>
        <v>4.0876999999999997E-2</v>
      </c>
      <c r="AE2174" s="10">
        <f>IFERROR(VLOOKUP(Summary!B2174,'Pre-Summary'!$A$6:$P$184,7, FALSE)/100,AE2175)</f>
        <v>6.744E-3</v>
      </c>
      <c r="AF2174" s="99">
        <f t="shared" si="100"/>
        <v>1.404961580906818E-2</v>
      </c>
      <c r="AG2174" s="99">
        <f t="shared" si="101"/>
        <v>2.3179442967036674E-3</v>
      </c>
      <c r="AH2174" s="10" t="str">
        <f>IFERROR(VLOOKUP(B2174,'Pre-Summary'!$AZ$6:$BE$65,3,FALSE),"")</f>
        <v/>
      </c>
      <c r="AI2174" s="10" t="str">
        <f>IFERROR(VLOOKUP(B2174,'Pre-Summary'!$AZ$6:$BE$65,5,FALSE),"")</f>
        <v/>
      </c>
      <c r="AJ2174" s="10" t="str">
        <f>IFERROR(VLOOKUP(B2174,'Pre-Summary'!$AZ$6:$BE$65,4,FALSE),"")</f>
        <v/>
      </c>
      <c r="AK2174" s="10" t="str">
        <f>IFERROR(VLOOKUP(B2174,'Pre-Summary'!$AZ$6:$BE$65,6,FALSE),"")</f>
        <v/>
      </c>
      <c r="AL2174" s="10" t="str">
        <f>IFERROR(VLOOKUP(B2174,'Pre-Summary'!$BG$6:$BL$44,3,FALSE),"")</f>
        <v/>
      </c>
      <c r="AM2174" s="10" t="str">
        <f>IFERROR(VLOOKUP(B2174,'Pre-Summary'!$BG$6:$BL$44,4,FALSE),"")</f>
        <v/>
      </c>
    </row>
    <row r="2175" spans="2:39" ht="15" customHeight="1" x14ac:dyDescent="0.3">
      <c r="B2175">
        <v>217.2</v>
      </c>
      <c r="C2175" t="str">
        <f>IFERROR(VLOOKUP(B2175,'Pre-Summary'!$DI$6:$DM$23,4,FALSE),"")</f>
        <v/>
      </c>
      <c r="D2175" s="10" t="str">
        <f>IFERROR(VLOOKUP(B2175,'Pre-Summary'!$AT$6:$AX$14,5,FALSE),D2174)</f>
        <v>Wolfe v3: went back to modified wolfe + EDTA and switched CuSO4 to CUCl2</v>
      </c>
      <c r="E2175" s="10" t="str">
        <f>IFERROR(VLOOKUP(B2175,'Pre-Summary'!$AT$6:$AX$15,4,FALSE),"")</f>
        <v/>
      </c>
      <c r="F2175">
        <f>IFERROR(VLOOKUP(B2175,'Pre-Summary'!$AL$6:$AQ$13,6,FALSE),F2174)</f>
        <v>5.9405263157894746E-2</v>
      </c>
      <c r="G2175" t="str">
        <f>IFERROR(VLOOKUP(B2175,'Pre-Summary'!$AE$6:$AJ$85,3,FALSE),"")</f>
        <v/>
      </c>
      <c r="H2175" t="str">
        <f>IFERROR(VLOOKUP(B2175,'Pre-Summary'!$AE$6:$AJ$85,4,FALSE),"")</f>
        <v/>
      </c>
      <c r="I2175" t="str">
        <f>IFERROR(VLOOKUP(B2175,'Pre-Summary'!$AE$6:$AJ$85,5,FALSE),"")</f>
        <v/>
      </c>
      <c r="J2175" s="45" t="str">
        <f>IFERROR(VLOOKUP(B2175,'Pre-Summary'!$AE$6:$AJ$85,6, FALSE),"")</f>
        <v/>
      </c>
      <c r="K2175" s="45" t="str">
        <f>IFERROR(VLOOKUP(B2175,'Pre-Summary'!$DE$6:$DG$61,3,FALSE),"")</f>
        <v/>
      </c>
      <c r="L2175" s="45" t="str">
        <f>IFERROR(VLOOKUP(B2175,'Pre-Summary'!$CU$6:$CW$36,3,FALSE),"")</f>
        <v/>
      </c>
      <c r="M2175" s="45" t="str">
        <f>IFERROR(VLOOKUP(B2175,'Pre-Summary'!$BW$6:$BY$58,2,FALSE),"")</f>
        <v/>
      </c>
      <c r="N2175" s="45" t="str">
        <f>IFERROR(VLOOKUP(B2175,'Pre-Summary'!$CD$6:$CF$64,2,FALSE),"")</f>
        <v/>
      </c>
      <c r="O2175" s="99">
        <f>IFERROR(VLOOKUP(B2175,'Pre-Summary'!$BO$6:$BQ$48,3, FALSE),O2174)</f>
        <v>1.3480000000000001</v>
      </c>
      <c r="P2175" s="99">
        <f>IFERROR(VLOOKUP(B2175,'Pre-Summary'!$BS$6:$BU$35,3,FALSE),P2174)</f>
        <v>0.379</v>
      </c>
      <c r="Q2175" s="54">
        <f t="shared" si="99"/>
        <v>3.556728232189974</v>
      </c>
      <c r="R2175" s="53">
        <f>IFERROR(VLOOKUP(B2175,'Pre-Summary'!$BG$6:$BM$44,7,FALSE),R2176)</f>
        <v>9.7948682664336664E-2</v>
      </c>
      <c r="S2175" s="53">
        <f>IFERROR(VLOOKUP(B2175,'Pre-Summary'!$BG$6:$BM$44,6,FALSE),S2176)</f>
        <v>0.10614035087720526</v>
      </c>
      <c r="T2175" s="45" t="str">
        <f>IFERROR(VLOOKUP(B2175,'Pre-Summary'!$Y$6:$AC$83, 3,FALSE),"")</f>
        <v/>
      </c>
      <c r="U2175" s="45" t="str">
        <f>IFERROR(VLOOKUP(B2175,'Pre-Summary'!$Y$6:$AC$83, 4,FALSE),"")</f>
        <v/>
      </c>
      <c r="V2175" t="str">
        <f>IFERROR(VLOOKUP(B2175,'Pre-Summary'!$Y$6:$AC$83, 5,FALSE),"")</f>
        <v/>
      </c>
      <c r="W2175" s="45" t="str">
        <f>IFERROR(VLOOKUP(B2175,'Pre-Summary'!$Y$6:$AD$83,6,FALSE),"")</f>
        <v/>
      </c>
      <c r="X2175" t="str">
        <f>IFERROR(VLOOKUP('Pre-Summary'!$DB$6:$DD$63,3,FALSE),"")</f>
        <v/>
      </c>
      <c r="Y2175" t="str">
        <f>IFERROR(VLOOKUP(B2175,'Pre-Summary'!$CR$6:$CT$36,3,FALSE),"")</f>
        <v/>
      </c>
      <c r="Z2175" s="45" t="str">
        <f>IFERROR(VLOOKUP(B2175,'Pre-Summary'!$BZ$6:$CB$63,2,FALSE),"")</f>
        <v/>
      </c>
      <c r="AA2175" s="45" t="str">
        <f>IFERROR(VLOOKUP(B2175,'Pre-Summary'!$CG$6:$CI$70,2,FALSE),"")</f>
        <v/>
      </c>
      <c r="AB2175" s="99">
        <f>IFERROR(VLOOKUP(B2175,'Pre-Summary'!$A$6:$P$178,9,FALSE),AB2176)</f>
        <v>0.34370467032972529</v>
      </c>
      <c r="AC2175" s="10">
        <f>IFERROR(VLOOKUP(Summary!B2175,'Pre-Summary'!$A$6:$P$184,5, FALSE)/100,AC2176)</f>
        <v>0.95237866666666671</v>
      </c>
      <c r="AD2175" s="10">
        <f>IFERROR(VLOOKUP(Summary!B2175,'Pre-Summary'!$A$6:$P$184,3, FALSE)/100,AD2176)</f>
        <v>4.0876999999999997E-2</v>
      </c>
      <c r="AE2175" s="10">
        <f>IFERROR(VLOOKUP(Summary!B2175,'Pre-Summary'!$A$6:$P$184,7, FALSE)/100,AE2176)</f>
        <v>6.744E-3</v>
      </c>
      <c r="AF2175" s="99">
        <f t="shared" si="100"/>
        <v>1.404961580906818E-2</v>
      </c>
      <c r="AG2175" s="99">
        <f t="shared" si="101"/>
        <v>2.3179442967036674E-3</v>
      </c>
      <c r="AH2175" s="10" t="str">
        <f>IFERROR(VLOOKUP(B2175,'Pre-Summary'!$AZ$6:$BE$65,3,FALSE),"")</f>
        <v/>
      </c>
      <c r="AI2175" s="10" t="str">
        <f>IFERROR(VLOOKUP(B2175,'Pre-Summary'!$AZ$6:$BE$65,5,FALSE),"")</f>
        <v/>
      </c>
      <c r="AJ2175" s="10" t="str">
        <f>IFERROR(VLOOKUP(B2175,'Pre-Summary'!$AZ$6:$BE$65,4,FALSE),"")</f>
        <v/>
      </c>
      <c r="AK2175" s="10" t="str">
        <f>IFERROR(VLOOKUP(B2175,'Pre-Summary'!$AZ$6:$BE$65,6,FALSE),"")</f>
        <v/>
      </c>
      <c r="AL2175" s="10" t="str">
        <f>IFERROR(VLOOKUP(B2175,'Pre-Summary'!$BG$6:$BL$44,3,FALSE),"")</f>
        <v/>
      </c>
      <c r="AM2175" s="10" t="str">
        <f>IFERROR(VLOOKUP(B2175,'Pre-Summary'!$BG$6:$BL$44,4,FALSE),"")</f>
        <v/>
      </c>
    </row>
    <row r="2176" spans="2:39" ht="15" customHeight="1" x14ac:dyDescent="0.3">
      <c r="B2176">
        <v>217.3</v>
      </c>
      <c r="C2176" t="str">
        <f>IFERROR(VLOOKUP(B2176,'Pre-Summary'!$DI$6:$DM$23,4,FALSE),"")</f>
        <v/>
      </c>
      <c r="D2176" s="10" t="str">
        <f>IFERROR(VLOOKUP(B2176,'Pre-Summary'!$AT$6:$AX$14,5,FALSE),D2175)</f>
        <v>Wolfe v3: went back to modified wolfe + EDTA and switched CuSO4 to CUCl2</v>
      </c>
      <c r="E2176" s="10" t="str">
        <f>IFERROR(VLOOKUP(B2176,'Pre-Summary'!$AT$6:$AX$15,4,FALSE),"")</f>
        <v/>
      </c>
      <c r="F2176">
        <f>IFERROR(VLOOKUP(B2176,'Pre-Summary'!$AL$6:$AQ$13,6,FALSE),F2175)</f>
        <v>5.9405263157894746E-2</v>
      </c>
      <c r="G2176" t="str">
        <f>IFERROR(VLOOKUP(B2176,'Pre-Summary'!$AE$6:$AJ$85,3,FALSE),"")</f>
        <v/>
      </c>
      <c r="H2176" t="str">
        <f>IFERROR(VLOOKUP(B2176,'Pre-Summary'!$AE$6:$AJ$85,4,FALSE),"")</f>
        <v/>
      </c>
      <c r="I2176" t="str">
        <f>IFERROR(VLOOKUP(B2176,'Pre-Summary'!$AE$6:$AJ$85,5,FALSE),"")</f>
        <v/>
      </c>
      <c r="J2176" s="45" t="str">
        <f>IFERROR(VLOOKUP(B2176,'Pre-Summary'!$AE$6:$AJ$85,6, FALSE),"")</f>
        <v/>
      </c>
      <c r="K2176" s="45" t="str">
        <f>IFERROR(VLOOKUP(B2176,'Pre-Summary'!$DE$6:$DG$61,3,FALSE),"")</f>
        <v/>
      </c>
      <c r="L2176" s="45" t="str">
        <f>IFERROR(VLOOKUP(B2176,'Pre-Summary'!$CU$6:$CW$36,3,FALSE),"")</f>
        <v/>
      </c>
      <c r="M2176" s="45" t="str">
        <f>IFERROR(VLOOKUP(B2176,'Pre-Summary'!$BW$6:$BY$58,2,FALSE),"")</f>
        <v/>
      </c>
      <c r="N2176" s="45" t="str">
        <f>IFERROR(VLOOKUP(B2176,'Pre-Summary'!$CD$6:$CF$64,2,FALSE),"")</f>
        <v/>
      </c>
      <c r="O2176" s="99">
        <f>IFERROR(VLOOKUP(B2176,'Pre-Summary'!$BO$6:$BQ$48,3, FALSE),O2175)</f>
        <v>1.3480000000000001</v>
      </c>
      <c r="P2176" s="99">
        <f>IFERROR(VLOOKUP(B2176,'Pre-Summary'!$BS$6:$BU$35,3,FALSE),P2175)</f>
        <v>0.379</v>
      </c>
      <c r="Q2176" s="54">
        <f t="shared" si="99"/>
        <v>3.556728232189974</v>
      </c>
      <c r="R2176" s="53">
        <f>IFERROR(VLOOKUP(B2176,'Pre-Summary'!$BG$6:$BM$44,7,FALSE),R2177)</f>
        <v>9.7948682664336664E-2</v>
      </c>
      <c r="S2176" s="53">
        <f>IFERROR(VLOOKUP(B2176,'Pre-Summary'!$BG$6:$BM$44,6,FALSE),S2177)</f>
        <v>0.10614035087720526</v>
      </c>
      <c r="T2176" s="45" t="str">
        <f>IFERROR(VLOOKUP(B2176,'Pre-Summary'!$Y$6:$AC$83, 3,FALSE),"")</f>
        <v/>
      </c>
      <c r="U2176" s="45" t="str">
        <f>IFERROR(VLOOKUP(B2176,'Pre-Summary'!$Y$6:$AC$83, 4,FALSE),"")</f>
        <v/>
      </c>
      <c r="V2176" t="str">
        <f>IFERROR(VLOOKUP(B2176,'Pre-Summary'!$Y$6:$AC$83, 5,FALSE),"")</f>
        <v/>
      </c>
      <c r="W2176" s="45" t="str">
        <f>IFERROR(VLOOKUP(B2176,'Pre-Summary'!$Y$6:$AD$83,6,FALSE),"")</f>
        <v/>
      </c>
      <c r="X2176" t="str">
        <f>IFERROR(VLOOKUP('Pre-Summary'!$DB$6:$DD$63,3,FALSE),"")</f>
        <v/>
      </c>
      <c r="Y2176" t="str">
        <f>IFERROR(VLOOKUP(B2176,'Pre-Summary'!$CR$6:$CT$36,3,FALSE),"")</f>
        <v/>
      </c>
      <c r="Z2176" s="45" t="str">
        <f>IFERROR(VLOOKUP(B2176,'Pre-Summary'!$BZ$6:$CB$63,2,FALSE),"")</f>
        <v/>
      </c>
      <c r="AA2176" s="45" t="str">
        <f>IFERROR(VLOOKUP(B2176,'Pre-Summary'!$CG$6:$CI$70,2,FALSE),"")</f>
        <v/>
      </c>
      <c r="AB2176" s="99">
        <f>IFERROR(VLOOKUP(B2176,'Pre-Summary'!$A$6:$P$178,9,FALSE),AB2177)</f>
        <v>0.34370467032972529</v>
      </c>
      <c r="AC2176" s="10">
        <f>IFERROR(VLOOKUP(Summary!B2176,'Pre-Summary'!$A$6:$P$184,5, FALSE)/100,AC2177)</f>
        <v>0.95237866666666671</v>
      </c>
      <c r="AD2176" s="10">
        <f>IFERROR(VLOOKUP(Summary!B2176,'Pre-Summary'!$A$6:$P$184,3, FALSE)/100,AD2177)</f>
        <v>4.0876999999999997E-2</v>
      </c>
      <c r="AE2176" s="10">
        <f>IFERROR(VLOOKUP(Summary!B2176,'Pre-Summary'!$A$6:$P$184,7, FALSE)/100,AE2177)</f>
        <v>6.744E-3</v>
      </c>
      <c r="AF2176" s="99">
        <f t="shared" si="100"/>
        <v>1.404961580906818E-2</v>
      </c>
      <c r="AG2176" s="99">
        <f t="shared" si="101"/>
        <v>2.3179442967036674E-3</v>
      </c>
      <c r="AH2176" s="10" t="str">
        <f>IFERROR(VLOOKUP(B2176,'Pre-Summary'!$AZ$6:$BE$65,3,FALSE),"")</f>
        <v/>
      </c>
      <c r="AI2176" s="10" t="str">
        <f>IFERROR(VLOOKUP(B2176,'Pre-Summary'!$AZ$6:$BE$65,5,FALSE),"")</f>
        <v/>
      </c>
      <c r="AJ2176" s="10" t="str">
        <f>IFERROR(VLOOKUP(B2176,'Pre-Summary'!$AZ$6:$BE$65,4,FALSE),"")</f>
        <v/>
      </c>
      <c r="AK2176" s="10" t="str">
        <f>IFERROR(VLOOKUP(B2176,'Pre-Summary'!$AZ$6:$BE$65,6,FALSE),"")</f>
        <v/>
      </c>
      <c r="AL2176" s="10" t="str">
        <f>IFERROR(VLOOKUP(B2176,'Pre-Summary'!$BG$6:$BL$44,3,FALSE),"")</f>
        <v/>
      </c>
      <c r="AM2176" s="10" t="str">
        <f>IFERROR(VLOOKUP(B2176,'Pre-Summary'!$BG$6:$BL$44,4,FALSE),"")</f>
        <v/>
      </c>
    </row>
    <row r="2177" spans="2:39" ht="15" customHeight="1" x14ac:dyDescent="0.3">
      <c r="B2177">
        <v>217.4</v>
      </c>
      <c r="C2177" t="str">
        <f>IFERROR(VLOOKUP(B2177,'Pre-Summary'!$DI$6:$DM$23,4,FALSE),"")</f>
        <v/>
      </c>
      <c r="D2177" s="10" t="str">
        <f>IFERROR(VLOOKUP(B2177,'Pre-Summary'!$AT$6:$AX$14,5,FALSE),D2176)</f>
        <v>Wolfe v3: went back to modified wolfe + EDTA and switched CuSO4 to CUCl2</v>
      </c>
      <c r="E2177" s="10" t="str">
        <f>IFERROR(VLOOKUP(B2177,'Pre-Summary'!$AT$6:$AX$15,4,FALSE),"")</f>
        <v/>
      </c>
      <c r="F2177">
        <f>IFERROR(VLOOKUP(B2177,'Pre-Summary'!$AL$6:$AQ$13,6,FALSE),F2176)</f>
        <v>5.9405263157894746E-2</v>
      </c>
      <c r="G2177" t="str">
        <f>IFERROR(VLOOKUP(B2177,'Pre-Summary'!$AE$6:$AJ$85,3,FALSE),"")</f>
        <v/>
      </c>
      <c r="H2177" t="str">
        <f>IFERROR(VLOOKUP(B2177,'Pre-Summary'!$AE$6:$AJ$85,4,FALSE),"")</f>
        <v/>
      </c>
      <c r="I2177" t="str">
        <f>IFERROR(VLOOKUP(B2177,'Pre-Summary'!$AE$6:$AJ$85,5,FALSE),"")</f>
        <v/>
      </c>
      <c r="J2177" s="45" t="str">
        <f>IFERROR(VLOOKUP(B2177,'Pre-Summary'!$AE$6:$AJ$85,6, FALSE),"")</f>
        <v/>
      </c>
      <c r="K2177" s="45" t="str">
        <f>IFERROR(VLOOKUP(B2177,'Pre-Summary'!$DE$6:$DG$61,3,FALSE),"")</f>
        <v/>
      </c>
      <c r="L2177" s="45" t="str">
        <f>IFERROR(VLOOKUP(B2177,'Pre-Summary'!$CU$6:$CW$36,3,FALSE),"")</f>
        <v/>
      </c>
      <c r="M2177" s="45" t="str">
        <f>IFERROR(VLOOKUP(B2177,'Pre-Summary'!$BW$6:$BY$58,2,FALSE),"")</f>
        <v/>
      </c>
      <c r="N2177" s="45" t="str">
        <f>IFERROR(VLOOKUP(B2177,'Pre-Summary'!$CD$6:$CF$64,2,FALSE),"")</f>
        <v/>
      </c>
      <c r="O2177" s="99">
        <f>IFERROR(VLOOKUP(B2177,'Pre-Summary'!$BO$6:$BQ$48,3, FALSE),O2176)</f>
        <v>1.3480000000000001</v>
      </c>
      <c r="P2177" s="99">
        <f>IFERROR(VLOOKUP(B2177,'Pre-Summary'!$BS$6:$BU$35,3,FALSE),P2176)</f>
        <v>0.379</v>
      </c>
      <c r="Q2177" s="54">
        <f t="shared" si="99"/>
        <v>3.556728232189974</v>
      </c>
      <c r="R2177" s="53">
        <f>IFERROR(VLOOKUP(B2177,'Pre-Summary'!$BG$6:$BM$44,7,FALSE),R2178)</f>
        <v>9.7948682664336664E-2</v>
      </c>
      <c r="S2177" s="53">
        <f>IFERROR(VLOOKUP(B2177,'Pre-Summary'!$BG$6:$BM$44,6,FALSE),S2178)</f>
        <v>0.10614035087720526</v>
      </c>
      <c r="T2177" s="45" t="str">
        <f>IFERROR(VLOOKUP(B2177,'Pre-Summary'!$Y$6:$AC$83, 3,FALSE),"")</f>
        <v/>
      </c>
      <c r="U2177" s="45" t="str">
        <f>IFERROR(VLOOKUP(B2177,'Pre-Summary'!$Y$6:$AC$83, 4,FALSE),"")</f>
        <v/>
      </c>
      <c r="V2177" t="str">
        <f>IFERROR(VLOOKUP(B2177,'Pre-Summary'!$Y$6:$AC$83, 5,FALSE),"")</f>
        <v/>
      </c>
      <c r="W2177" s="45" t="str">
        <f>IFERROR(VLOOKUP(B2177,'Pre-Summary'!$Y$6:$AD$83,6,FALSE),"")</f>
        <v/>
      </c>
      <c r="X2177" t="str">
        <f>IFERROR(VLOOKUP('Pre-Summary'!$DB$6:$DD$63,3,FALSE),"")</f>
        <v/>
      </c>
      <c r="Y2177" t="str">
        <f>IFERROR(VLOOKUP(B2177,'Pre-Summary'!$CR$6:$CT$36,3,FALSE),"")</f>
        <v/>
      </c>
      <c r="Z2177" s="45" t="str">
        <f>IFERROR(VLOOKUP(B2177,'Pre-Summary'!$BZ$6:$CB$63,2,FALSE),"")</f>
        <v/>
      </c>
      <c r="AA2177" s="45" t="str">
        <f>IFERROR(VLOOKUP(B2177,'Pre-Summary'!$CG$6:$CI$70,2,FALSE),"")</f>
        <v/>
      </c>
      <c r="AB2177" s="99">
        <f>IFERROR(VLOOKUP(B2177,'Pre-Summary'!$A$6:$P$178,9,FALSE),AB2178)</f>
        <v>0.34370467032972529</v>
      </c>
      <c r="AC2177" s="10">
        <f>IFERROR(VLOOKUP(Summary!B2177,'Pre-Summary'!$A$6:$P$184,5, FALSE)/100,AC2178)</f>
        <v>0.95237866666666671</v>
      </c>
      <c r="AD2177" s="10">
        <f>IFERROR(VLOOKUP(Summary!B2177,'Pre-Summary'!$A$6:$P$184,3, FALSE)/100,AD2178)</f>
        <v>4.0876999999999997E-2</v>
      </c>
      <c r="AE2177" s="10">
        <f>IFERROR(VLOOKUP(Summary!B2177,'Pre-Summary'!$A$6:$P$184,7, FALSE)/100,AE2178)</f>
        <v>6.744E-3</v>
      </c>
      <c r="AF2177" s="99">
        <f t="shared" si="100"/>
        <v>1.404961580906818E-2</v>
      </c>
      <c r="AG2177" s="99">
        <f t="shared" si="101"/>
        <v>2.3179442967036674E-3</v>
      </c>
      <c r="AH2177" s="10" t="str">
        <f>IFERROR(VLOOKUP(B2177,'Pre-Summary'!$AZ$6:$BE$65,3,FALSE),"")</f>
        <v/>
      </c>
      <c r="AI2177" s="10" t="str">
        <f>IFERROR(VLOOKUP(B2177,'Pre-Summary'!$AZ$6:$BE$65,5,FALSE),"")</f>
        <v/>
      </c>
      <c r="AJ2177" s="10" t="str">
        <f>IFERROR(VLOOKUP(B2177,'Pre-Summary'!$AZ$6:$BE$65,4,FALSE),"")</f>
        <v/>
      </c>
      <c r="AK2177" s="10" t="str">
        <f>IFERROR(VLOOKUP(B2177,'Pre-Summary'!$AZ$6:$BE$65,6,FALSE),"")</f>
        <v/>
      </c>
      <c r="AL2177" s="10" t="str">
        <f>IFERROR(VLOOKUP(B2177,'Pre-Summary'!$BG$6:$BL$44,3,FALSE),"")</f>
        <v/>
      </c>
      <c r="AM2177" s="10" t="str">
        <f>IFERROR(VLOOKUP(B2177,'Pre-Summary'!$BG$6:$BL$44,4,FALSE),"")</f>
        <v/>
      </c>
    </row>
    <row r="2178" spans="2:39" ht="15" customHeight="1" x14ac:dyDescent="0.3">
      <c r="B2178">
        <v>217.5</v>
      </c>
      <c r="C2178" t="str">
        <f>IFERROR(VLOOKUP(B2178,'Pre-Summary'!$DI$6:$DM$23,4,FALSE),"")</f>
        <v/>
      </c>
      <c r="D2178" s="10" t="str">
        <f>IFERROR(VLOOKUP(B2178,'Pre-Summary'!$AT$6:$AX$14,5,FALSE),D2177)</f>
        <v>Wolfe v3: went back to modified wolfe + EDTA and switched CuSO4 to CUCl2</v>
      </c>
      <c r="E2178" s="10" t="str">
        <f>IFERROR(VLOOKUP(B2178,'Pre-Summary'!$AT$6:$AX$15,4,FALSE),"")</f>
        <v/>
      </c>
      <c r="F2178">
        <f>IFERROR(VLOOKUP(B2178,'Pre-Summary'!$AL$6:$AQ$13,6,FALSE),F2177)</f>
        <v>5.9405263157894746E-2</v>
      </c>
      <c r="G2178" t="str">
        <f>IFERROR(VLOOKUP(B2178,'Pre-Summary'!$AE$6:$AJ$85,3,FALSE),"")</f>
        <v/>
      </c>
      <c r="H2178" t="str">
        <f>IFERROR(VLOOKUP(B2178,'Pre-Summary'!$AE$6:$AJ$85,4,FALSE),"")</f>
        <v/>
      </c>
      <c r="I2178" t="str">
        <f>IFERROR(VLOOKUP(B2178,'Pre-Summary'!$AE$6:$AJ$85,5,FALSE),"")</f>
        <v/>
      </c>
      <c r="J2178" s="45" t="str">
        <f>IFERROR(VLOOKUP(B2178,'Pre-Summary'!$AE$6:$AJ$85,6, FALSE),"")</f>
        <v/>
      </c>
      <c r="K2178" s="45" t="str">
        <f>IFERROR(VLOOKUP(B2178,'Pre-Summary'!$DE$6:$DG$61,3,FALSE),"")</f>
        <v/>
      </c>
      <c r="L2178" s="45" t="str">
        <f>IFERROR(VLOOKUP(B2178,'Pre-Summary'!$CU$6:$CW$36,3,FALSE),"")</f>
        <v/>
      </c>
      <c r="M2178" s="45" t="str">
        <f>IFERROR(VLOOKUP(B2178,'Pre-Summary'!$BW$6:$BY$58,2,FALSE),"")</f>
        <v/>
      </c>
      <c r="N2178" s="45" t="str">
        <f>IFERROR(VLOOKUP(B2178,'Pre-Summary'!$CD$6:$CF$64,2,FALSE),"")</f>
        <v/>
      </c>
      <c r="O2178" s="99">
        <f>IFERROR(VLOOKUP(B2178,'Pre-Summary'!$BO$6:$BQ$48,3, FALSE),O2177)</f>
        <v>1.3480000000000001</v>
      </c>
      <c r="P2178" s="99">
        <f>IFERROR(VLOOKUP(B2178,'Pre-Summary'!$BS$6:$BU$35,3,FALSE),P2177)</f>
        <v>0.379</v>
      </c>
      <c r="Q2178" s="54">
        <f t="shared" si="99"/>
        <v>3.556728232189974</v>
      </c>
      <c r="R2178" s="53">
        <f>IFERROR(VLOOKUP(B2178,'Pre-Summary'!$BG$6:$BM$44,7,FALSE),R2179)</f>
        <v>9.7948682664336664E-2</v>
      </c>
      <c r="S2178" s="53">
        <f>IFERROR(VLOOKUP(B2178,'Pre-Summary'!$BG$6:$BM$44,6,FALSE),S2179)</f>
        <v>0.10614035087720526</v>
      </c>
      <c r="T2178" s="45" t="str">
        <f>IFERROR(VLOOKUP(B2178,'Pre-Summary'!$Y$6:$AC$83, 3,FALSE),"")</f>
        <v/>
      </c>
      <c r="U2178" s="45" t="str">
        <f>IFERROR(VLOOKUP(B2178,'Pre-Summary'!$Y$6:$AC$83, 4,FALSE),"")</f>
        <v/>
      </c>
      <c r="V2178" t="str">
        <f>IFERROR(VLOOKUP(B2178,'Pre-Summary'!$Y$6:$AC$83, 5,FALSE),"")</f>
        <v/>
      </c>
      <c r="W2178" s="45" t="str">
        <f>IFERROR(VLOOKUP(B2178,'Pre-Summary'!$Y$6:$AD$83,6,FALSE),"")</f>
        <v/>
      </c>
      <c r="X2178" t="str">
        <f>IFERROR(VLOOKUP('Pre-Summary'!$DB$6:$DD$63,3,FALSE),"")</f>
        <v/>
      </c>
      <c r="Y2178" t="str">
        <f>IFERROR(VLOOKUP(B2178,'Pre-Summary'!$CR$6:$CT$36,3,FALSE),"")</f>
        <v/>
      </c>
      <c r="Z2178" s="45" t="str">
        <f>IFERROR(VLOOKUP(B2178,'Pre-Summary'!$BZ$6:$CB$63,2,FALSE),"")</f>
        <v/>
      </c>
      <c r="AA2178" s="45" t="str">
        <f>IFERROR(VLOOKUP(B2178,'Pre-Summary'!$CG$6:$CI$70,2,FALSE),"")</f>
        <v/>
      </c>
      <c r="AB2178" s="99">
        <f>IFERROR(VLOOKUP(B2178,'Pre-Summary'!$A$6:$P$178,9,FALSE),AB2179)</f>
        <v>0.34370467032972529</v>
      </c>
      <c r="AC2178" s="10">
        <f>IFERROR(VLOOKUP(Summary!B2178,'Pre-Summary'!$A$6:$P$184,5, FALSE)/100,AC2179)</f>
        <v>0.95237866666666671</v>
      </c>
      <c r="AD2178" s="10">
        <f>IFERROR(VLOOKUP(Summary!B2178,'Pre-Summary'!$A$6:$P$184,3, FALSE)/100,AD2179)</f>
        <v>4.0876999999999997E-2</v>
      </c>
      <c r="AE2178" s="10">
        <f>IFERROR(VLOOKUP(Summary!B2178,'Pre-Summary'!$A$6:$P$184,7, FALSE)/100,AE2179)</f>
        <v>6.744E-3</v>
      </c>
      <c r="AF2178" s="99">
        <f t="shared" si="100"/>
        <v>1.404961580906818E-2</v>
      </c>
      <c r="AG2178" s="99">
        <f t="shared" si="101"/>
        <v>2.3179442967036674E-3</v>
      </c>
      <c r="AH2178" s="10" t="str">
        <f>IFERROR(VLOOKUP(B2178,'Pre-Summary'!$AZ$6:$BE$65,3,FALSE),"")</f>
        <v/>
      </c>
      <c r="AI2178" s="10" t="str">
        <f>IFERROR(VLOOKUP(B2178,'Pre-Summary'!$AZ$6:$BE$65,5,FALSE),"")</f>
        <v/>
      </c>
      <c r="AJ2178" s="10" t="str">
        <f>IFERROR(VLOOKUP(B2178,'Pre-Summary'!$AZ$6:$BE$65,4,FALSE),"")</f>
        <v/>
      </c>
      <c r="AK2178" s="10" t="str">
        <f>IFERROR(VLOOKUP(B2178,'Pre-Summary'!$AZ$6:$BE$65,6,FALSE),"")</f>
        <v/>
      </c>
      <c r="AL2178" s="10" t="str">
        <f>IFERROR(VLOOKUP(B2178,'Pre-Summary'!$BG$6:$BL$44,3,FALSE),"")</f>
        <v/>
      </c>
      <c r="AM2178" s="10" t="str">
        <f>IFERROR(VLOOKUP(B2178,'Pre-Summary'!$BG$6:$BL$44,4,FALSE),"")</f>
        <v/>
      </c>
    </row>
    <row r="2179" spans="2:39" ht="15" customHeight="1" x14ac:dyDescent="0.3">
      <c r="B2179">
        <v>217.6</v>
      </c>
      <c r="C2179" t="str">
        <f>IFERROR(VLOOKUP(B2179,'Pre-Summary'!$DI$6:$DM$23,4,FALSE),"")</f>
        <v/>
      </c>
      <c r="D2179" s="10" t="str">
        <f>IFERROR(VLOOKUP(B2179,'Pre-Summary'!$AT$6:$AX$14,5,FALSE),D2178)</f>
        <v>Wolfe v3: went back to modified wolfe + EDTA and switched CuSO4 to CUCl2</v>
      </c>
      <c r="E2179" s="10" t="str">
        <f>IFERROR(VLOOKUP(B2179,'Pre-Summary'!$AT$6:$AX$15,4,FALSE),"")</f>
        <v/>
      </c>
      <c r="F2179">
        <f>IFERROR(VLOOKUP(B2179,'Pre-Summary'!$AL$6:$AQ$13,6,FALSE),F2178)</f>
        <v>5.9405263157894746E-2</v>
      </c>
      <c r="G2179" t="str">
        <f>IFERROR(VLOOKUP(B2179,'Pre-Summary'!$AE$6:$AJ$85,3,FALSE),"")</f>
        <v/>
      </c>
      <c r="H2179" t="str">
        <f>IFERROR(VLOOKUP(B2179,'Pre-Summary'!$AE$6:$AJ$85,4,FALSE),"")</f>
        <v/>
      </c>
      <c r="I2179" t="str">
        <f>IFERROR(VLOOKUP(B2179,'Pre-Summary'!$AE$6:$AJ$85,5,FALSE),"")</f>
        <v/>
      </c>
      <c r="J2179" s="45" t="str">
        <f>IFERROR(VLOOKUP(B2179,'Pre-Summary'!$AE$6:$AJ$85,6, FALSE),"")</f>
        <v/>
      </c>
      <c r="K2179" s="45" t="str">
        <f>IFERROR(VLOOKUP(B2179,'Pre-Summary'!$DE$6:$DG$61,3,FALSE),"")</f>
        <v/>
      </c>
      <c r="L2179" s="45" t="str">
        <f>IFERROR(VLOOKUP(B2179,'Pre-Summary'!$CU$6:$CW$36,3,FALSE),"")</f>
        <v/>
      </c>
      <c r="M2179" s="45" t="str">
        <f>IFERROR(VLOOKUP(B2179,'Pre-Summary'!$BW$6:$BY$58,2,FALSE),"")</f>
        <v/>
      </c>
      <c r="N2179" s="45" t="str">
        <f>IFERROR(VLOOKUP(B2179,'Pre-Summary'!$CD$6:$CF$64,2,FALSE),"")</f>
        <v/>
      </c>
      <c r="O2179" s="99">
        <f>IFERROR(VLOOKUP(B2179,'Pre-Summary'!$BO$6:$BQ$48,3, FALSE),O2178)</f>
        <v>1.3480000000000001</v>
      </c>
      <c r="P2179" s="99">
        <f>IFERROR(VLOOKUP(B2179,'Pre-Summary'!$BS$6:$BU$35,3,FALSE),P2178)</f>
        <v>0.379</v>
      </c>
      <c r="Q2179" s="54">
        <f t="shared" ref="Q2179:Q2242" si="102">O2179/P2179</f>
        <v>3.556728232189974</v>
      </c>
      <c r="R2179" s="53">
        <f>IFERROR(VLOOKUP(B2179,'Pre-Summary'!$BG$6:$BM$44,7,FALSE),R2180)</f>
        <v>9.7948682664336664E-2</v>
      </c>
      <c r="S2179" s="53">
        <f>IFERROR(VLOOKUP(B2179,'Pre-Summary'!$BG$6:$BM$44,6,FALSE),S2180)</f>
        <v>0.10614035087720526</v>
      </c>
      <c r="T2179" s="45" t="str">
        <f>IFERROR(VLOOKUP(B2179,'Pre-Summary'!$Y$6:$AC$83, 3,FALSE),"")</f>
        <v/>
      </c>
      <c r="U2179" s="45" t="str">
        <f>IFERROR(VLOOKUP(B2179,'Pre-Summary'!$Y$6:$AC$83, 4,FALSE),"")</f>
        <v/>
      </c>
      <c r="V2179" t="str">
        <f>IFERROR(VLOOKUP(B2179,'Pre-Summary'!$Y$6:$AC$83, 5,FALSE),"")</f>
        <v/>
      </c>
      <c r="W2179" s="45" t="str">
        <f>IFERROR(VLOOKUP(B2179,'Pre-Summary'!$Y$6:$AD$83,6,FALSE),"")</f>
        <v/>
      </c>
      <c r="X2179" t="str">
        <f>IFERROR(VLOOKUP('Pre-Summary'!$DB$6:$DD$63,3,FALSE),"")</f>
        <v/>
      </c>
      <c r="Y2179" t="str">
        <f>IFERROR(VLOOKUP(B2179,'Pre-Summary'!$CR$6:$CT$36,3,FALSE),"")</f>
        <v/>
      </c>
      <c r="Z2179" s="45" t="str">
        <f>IFERROR(VLOOKUP(B2179,'Pre-Summary'!$BZ$6:$CB$63,2,FALSE),"")</f>
        <v/>
      </c>
      <c r="AA2179" s="45" t="str">
        <f>IFERROR(VLOOKUP(B2179,'Pre-Summary'!$CG$6:$CI$70,2,FALSE),"")</f>
        <v/>
      </c>
      <c r="AB2179" s="99">
        <f>IFERROR(VLOOKUP(B2179,'Pre-Summary'!$A$6:$P$178,9,FALSE),AB2180)</f>
        <v>0.34370467032972529</v>
      </c>
      <c r="AC2179" s="10">
        <f>IFERROR(VLOOKUP(Summary!B2179,'Pre-Summary'!$A$6:$P$184,5, FALSE)/100,AC2180)</f>
        <v>0.95237866666666671</v>
      </c>
      <c r="AD2179" s="10">
        <f>IFERROR(VLOOKUP(Summary!B2179,'Pre-Summary'!$A$6:$P$184,3, FALSE)/100,AD2180)</f>
        <v>4.0876999999999997E-2</v>
      </c>
      <c r="AE2179" s="10">
        <f>IFERROR(VLOOKUP(Summary!B2179,'Pre-Summary'!$A$6:$P$184,7, FALSE)/100,AE2180)</f>
        <v>6.744E-3</v>
      </c>
      <c r="AF2179" s="99">
        <f t="shared" ref="AF2179:AF2242" si="103">AD2179*AB2179</f>
        <v>1.404961580906818E-2</v>
      </c>
      <c r="AG2179" s="99">
        <f t="shared" ref="AG2179:AG2242" si="104">AB2179*AE2179</f>
        <v>2.3179442967036674E-3</v>
      </c>
      <c r="AH2179" s="10" t="str">
        <f>IFERROR(VLOOKUP(B2179,'Pre-Summary'!$AZ$6:$BE$65,3,FALSE),"")</f>
        <v/>
      </c>
      <c r="AI2179" s="10" t="str">
        <f>IFERROR(VLOOKUP(B2179,'Pre-Summary'!$AZ$6:$BE$65,5,FALSE),"")</f>
        <v/>
      </c>
      <c r="AJ2179" s="10" t="str">
        <f>IFERROR(VLOOKUP(B2179,'Pre-Summary'!$AZ$6:$BE$65,4,FALSE),"")</f>
        <v/>
      </c>
      <c r="AK2179" s="10" t="str">
        <f>IFERROR(VLOOKUP(B2179,'Pre-Summary'!$AZ$6:$BE$65,6,FALSE),"")</f>
        <v/>
      </c>
      <c r="AL2179" s="10" t="str">
        <f>IFERROR(VLOOKUP(B2179,'Pre-Summary'!$BG$6:$BL$44,3,FALSE),"")</f>
        <v/>
      </c>
      <c r="AM2179" s="10" t="str">
        <f>IFERROR(VLOOKUP(B2179,'Pre-Summary'!$BG$6:$BL$44,4,FALSE),"")</f>
        <v/>
      </c>
    </row>
    <row r="2180" spans="2:39" ht="15" customHeight="1" x14ac:dyDescent="0.3">
      <c r="B2180">
        <v>217.7</v>
      </c>
      <c r="C2180" t="str">
        <f>IFERROR(VLOOKUP(B2180,'Pre-Summary'!$DI$6:$DM$23,4,FALSE),"")</f>
        <v/>
      </c>
      <c r="D2180" s="10" t="str">
        <f>IFERROR(VLOOKUP(B2180,'Pre-Summary'!$AT$6:$AX$14,5,FALSE),D2179)</f>
        <v>Wolfe v3: went back to modified wolfe + EDTA and switched CuSO4 to CUCl2</v>
      </c>
      <c r="E2180" s="10" t="str">
        <f>IFERROR(VLOOKUP(B2180,'Pre-Summary'!$AT$6:$AX$15,4,FALSE),"")</f>
        <v/>
      </c>
      <c r="F2180">
        <f>IFERROR(VLOOKUP(B2180,'Pre-Summary'!$AL$6:$AQ$13,6,FALSE),F2179)</f>
        <v>5.9405263157894746E-2</v>
      </c>
      <c r="G2180" t="str">
        <f>IFERROR(VLOOKUP(B2180,'Pre-Summary'!$AE$6:$AJ$85,3,FALSE),"")</f>
        <v/>
      </c>
      <c r="H2180" t="str">
        <f>IFERROR(VLOOKUP(B2180,'Pre-Summary'!$AE$6:$AJ$85,4,FALSE),"")</f>
        <v/>
      </c>
      <c r="I2180" t="str">
        <f>IFERROR(VLOOKUP(B2180,'Pre-Summary'!$AE$6:$AJ$85,5,FALSE),"")</f>
        <v/>
      </c>
      <c r="J2180" s="45" t="str">
        <f>IFERROR(VLOOKUP(B2180,'Pre-Summary'!$AE$6:$AJ$85,6, FALSE),"")</f>
        <v/>
      </c>
      <c r="K2180" s="45" t="str">
        <f>IFERROR(VLOOKUP(B2180,'Pre-Summary'!$DE$6:$DG$61,3,FALSE),"")</f>
        <v/>
      </c>
      <c r="L2180" s="45" t="str">
        <f>IFERROR(VLOOKUP(B2180,'Pre-Summary'!$CU$6:$CW$36,3,FALSE),"")</f>
        <v/>
      </c>
      <c r="M2180" s="45" t="str">
        <f>IFERROR(VLOOKUP(B2180,'Pre-Summary'!$BW$6:$BY$58,2,FALSE),"")</f>
        <v/>
      </c>
      <c r="N2180" s="45" t="str">
        <f>IFERROR(VLOOKUP(B2180,'Pre-Summary'!$CD$6:$CF$64,2,FALSE),"")</f>
        <v/>
      </c>
      <c r="O2180" s="99">
        <f>IFERROR(VLOOKUP(B2180,'Pre-Summary'!$BO$6:$BQ$48,3, FALSE),O2179)</f>
        <v>1.3480000000000001</v>
      </c>
      <c r="P2180" s="99">
        <f>IFERROR(VLOOKUP(B2180,'Pre-Summary'!$BS$6:$BU$35,3,FALSE),P2179)</f>
        <v>0.379</v>
      </c>
      <c r="Q2180" s="54">
        <f t="shared" si="102"/>
        <v>3.556728232189974</v>
      </c>
      <c r="R2180" s="53">
        <f>IFERROR(VLOOKUP(B2180,'Pre-Summary'!$BG$6:$BM$44,7,FALSE),R2181)</f>
        <v>9.7948682664336664E-2</v>
      </c>
      <c r="S2180" s="53">
        <f>IFERROR(VLOOKUP(B2180,'Pre-Summary'!$BG$6:$BM$44,6,FALSE),S2181)</f>
        <v>0.10614035087720526</v>
      </c>
      <c r="T2180" s="45" t="str">
        <f>IFERROR(VLOOKUP(B2180,'Pre-Summary'!$Y$6:$AC$83, 3,FALSE),"")</f>
        <v/>
      </c>
      <c r="U2180" s="45" t="str">
        <f>IFERROR(VLOOKUP(B2180,'Pre-Summary'!$Y$6:$AC$83, 4,FALSE),"")</f>
        <v/>
      </c>
      <c r="V2180" t="str">
        <f>IFERROR(VLOOKUP(B2180,'Pre-Summary'!$Y$6:$AC$83, 5,FALSE),"")</f>
        <v/>
      </c>
      <c r="W2180" s="45" t="str">
        <f>IFERROR(VLOOKUP(B2180,'Pre-Summary'!$Y$6:$AD$83,6,FALSE),"")</f>
        <v/>
      </c>
      <c r="X2180" t="str">
        <f>IFERROR(VLOOKUP('Pre-Summary'!$DB$6:$DD$63,3,FALSE),"")</f>
        <v/>
      </c>
      <c r="Y2180" t="str">
        <f>IFERROR(VLOOKUP(B2180,'Pre-Summary'!$CR$6:$CT$36,3,FALSE),"")</f>
        <v/>
      </c>
      <c r="Z2180" s="45" t="str">
        <f>IFERROR(VLOOKUP(B2180,'Pre-Summary'!$BZ$6:$CB$63,2,FALSE),"")</f>
        <v/>
      </c>
      <c r="AA2180" s="45" t="str">
        <f>IFERROR(VLOOKUP(B2180,'Pre-Summary'!$CG$6:$CI$70,2,FALSE),"")</f>
        <v/>
      </c>
      <c r="AB2180" s="99">
        <f>IFERROR(VLOOKUP(B2180,'Pre-Summary'!$A$6:$P$178,9,FALSE),AB2181)</f>
        <v>0.34370467032972529</v>
      </c>
      <c r="AC2180" s="10">
        <f>IFERROR(VLOOKUP(Summary!B2180,'Pre-Summary'!$A$6:$P$184,5, FALSE)/100,AC2181)</f>
        <v>0.95237866666666671</v>
      </c>
      <c r="AD2180" s="10">
        <f>IFERROR(VLOOKUP(Summary!B2180,'Pre-Summary'!$A$6:$P$184,3, FALSE)/100,AD2181)</f>
        <v>4.0876999999999997E-2</v>
      </c>
      <c r="AE2180" s="10">
        <f>IFERROR(VLOOKUP(Summary!B2180,'Pre-Summary'!$A$6:$P$184,7, FALSE)/100,AE2181)</f>
        <v>6.744E-3</v>
      </c>
      <c r="AF2180" s="99">
        <f t="shared" si="103"/>
        <v>1.404961580906818E-2</v>
      </c>
      <c r="AG2180" s="99">
        <f t="shared" si="104"/>
        <v>2.3179442967036674E-3</v>
      </c>
      <c r="AH2180" s="10" t="str">
        <f>IFERROR(VLOOKUP(B2180,'Pre-Summary'!$AZ$6:$BE$65,3,FALSE),"")</f>
        <v/>
      </c>
      <c r="AI2180" s="10" t="str">
        <f>IFERROR(VLOOKUP(B2180,'Pre-Summary'!$AZ$6:$BE$65,5,FALSE),"")</f>
        <v/>
      </c>
      <c r="AJ2180" s="10" t="str">
        <f>IFERROR(VLOOKUP(B2180,'Pre-Summary'!$AZ$6:$BE$65,4,FALSE),"")</f>
        <v/>
      </c>
      <c r="AK2180" s="10" t="str">
        <f>IFERROR(VLOOKUP(B2180,'Pre-Summary'!$AZ$6:$BE$65,6,FALSE),"")</f>
        <v/>
      </c>
      <c r="AL2180" s="10" t="str">
        <f>IFERROR(VLOOKUP(B2180,'Pre-Summary'!$BG$6:$BL$44,3,FALSE),"")</f>
        <v/>
      </c>
      <c r="AM2180" s="10" t="str">
        <f>IFERROR(VLOOKUP(B2180,'Pre-Summary'!$BG$6:$BL$44,4,FALSE),"")</f>
        <v/>
      </c>
    </row>
    <row r="2181" spans="2:39" ht="15" customHeight="1" x14ac:dyDescent="0.3">
      <c r="B2181">
        <v>217.8</v>
      </c>
      <c r="C2181" t="str">
        <f>IFERROR(VLOOKUP(B2181,'Pre-Summary'!$DI$6:$DM$23,4,FALSE),"")</f>
        <v/>
      </c>
      <c r="D2181" s="10" t="str">
        <f>IFERROR(VLOOKUP(B2181,'Pre-Summary'!$AT$6:$AX$14,5,FALSE),D2180)</f>
        <v>Wolfe v3: went back to modified wolfe + EDTA and switched CuSO4 to CUCl2</v>
      </c>
      <c r="E2181" s="10" t="str">
        <f>IFERROR(VLOOKUP(B2181,'Pre-Summary'!$AT$6:$AX$15,4,FALSE),"")</f>
        <v/>
      </c>
      <c r="F2181">
        <f>IFERROR(VLOOKUP(B2181,'Pre-Summary'!$AL$6:$AQ$13,6,FALSE),F2180)</f>
        <v>5.9405263157894746E-2</v>
      </c>
      <c r="G2181" t="str">
        <f>IFERROR(VLOOKUP(B2181,'Pre-Summary'!$AE$6:$AJ$85,3,FALSE),"")</f>
        <v/>
      </c>
      <c r="H2181" t="str">
        <f>IFERROR(VLOOKUP(B2181,'Pre-Summary'!$AE$6:$AJ$85,4,FALSE),"")</f>
        <v/>
      </c>
      <c r="I2181" t="str">
        <f>IFERROR(VLOOKUP(B2181,'Pre-Summary'!$AE$6:$AJ$85,5,FALSE),"")</f>
        <v/>
      </c>
      <c r="J2181" s="45" t="str">
        <f>IFERROR(VLOOKUP(B2181,'Pre-Summary'!$AE$6:$AJ$85,6, FALSE),"")</f>
        <v/>
      </c>
      <c r="K2181" s="45" t="str">
        <f>IFERROR(VLOOKUP(B2181,'Pre-Summary'!$DE$6:$DG$61,3,FALSE),"")</f>
        <v/>
      </c>
      <c r="L2181" s="45" t="str">
        <f>IFERROR(VLOOKUP(B2181,'Pre-Summary'!$CU$6:$CW$36,3,FALSE),"")</f>
        <v/>
      </c>
      <c r="M2181" s="45" t="str">
        <f>IFERROR(VLOOKUP(B2181,'Pre-Summary'!$BW$6:$BY$58,2,FALSE),"")</f>
        <v/>
      </c>
      <c r="N2181" s="45" t="str">
        <f>IFERROR(VLOOKUP(B2181,'Pre-Summary'!$CD$6:$CF$64,2,FALSE),"")</f>
        <v/>
      </c>
      <c r="O2181" s="99">
        <f>IFERROR(VLOOKUP(B2181,'Pre-Summary'!$BO$6:$BQ$48,3, FALSE),O2180)</f>
        <v>1.3480000000000001</v>
      </c>
      <c r="P2181" s="99">
        <f>IFERROR(VLOOKUP(B2181,'Pre-Summary'!$BS$6:$BU$35,3,FALSE),P2180)</f>
        <v>0.379</v>
      </c>
      <c r="Q2181" s="54">
        <f t="shared" si="102"/>
        <v>3.556728232189974</v>
      </c>
      <c r="R2181" s="53">
        <f>IFERROR(VLOOKUP(B2181,'Pre-Summary'!$BG$6:$BM$44,7,FALSE),R2182)</f>
        <v>9.7948682664336664E-2</v>
      </c>
      <c r="S2181" s="53">
        <f>IFERROR(VLOOKUP(B2181,'Pre-Summary'!$BG$6:$BM$44,6,FALSE),S2182)</f>
        <v>0.10614035087720526</v>
      </c>
      <c r="T2181" s="45" t="str">
        <f>IFERROR(VLOOKUP(B2181,'Pre-Summary'!$Y$6:$AC$83, 3,FALSE),"")</f>
        <v/>
      </c>
      <c r="U2181" s="45" t="str">
        <f>IFERROR(VLOOKUP(B2181,'Pre-Summary'!$Y$6:$AC$83, 4,FALSE),"")</f>
        <v/>
      </c>
      <c r="V2181" t="str">
        <f>IFERROR(VLOOKUP(B2181,'Pre-Summary'!$Y$6:$AC$83, 5,FALSE),"")</f>
        <v/>
      </c>
      <c r="W2181" s="45" t="str">
        <f>IFERROR(VLOOKUP(B2181,'Pre-Summary'!$Y$6:$AD$83,6,FALSE),"")</f>
        <v/>
      </c>
      <c r="X2181" t="str">
        <f>IFERROR(VLOOKUP('Pre-Summary'!$DB$6:$DD$63,3,FALSE),"")</f>
        <v/>
      </c>
      <c r="Y2181" t="str">
        <f>IFERROR(VLOOKUP(B2181,'Pre-Summary'!$CR$6:$CT$36,3,FALSE),"")</f>
        <v/>
      </c>
      <c r="Z2181" s="45" t="str">
        <f>IFERROR(VLOOKUP(B2181,'Pre-Summary'!$BZ$6:$CB$63,2,FALSE),"")</f>
        <v/>
      </c>
      <c r="AA2181" s="45" t="str">
        <f>IFERROR(VLOOKUP(B2181,'Pre-Summary'!$CG$6:$CI$70,2,FALSE),"")</f>
        <v/>
      </c>
      <c r="AB2181" s="99">
        <f>IFERROR(VLOOKUP(B2181,'Pre-Summary'!$A$6:$P$178,9,FALSE),AB2182)</f>
        <v>0.34370467032972529</v>
      </c>
      <c r="AC2181" s="10">
        <f>IFERROR(VLOOKUP(Summary!B2181,'Pre-Summary'!$A$6:$P$184,5, FALSE)/100,AC2182)</f>
        <v>0.95237866666666671</v>
      </c>
      <c r="AD2181" s="10">
        <f>IFERROR(VLOOKUP(Summary!B2181,'Pre-Summary'!$A$6:$P$184,3, FALSE)/100,AD2182)</f>
        <v>4.0876999999999997E-2</v>
      </c>
      <c r="AE2181" s="10">
        <f>IFERROR(VLOOKUP(Summary!B2181,'Pre-Summary'!$A$6:$P$184,7, FALSE)/100,AE2182)</f>
        <v>6.744E-3</v>
      </c>
      <c r="AF2181" s="99">
        <f t="shared" si="103"/>
        <v>1.404961580906818E-2</v>
      </c>
      <c r="AG2181" s="99">
        <f t="shared" si="104"/>
        <v>2.3179442967036674E-3</v>
      </c>
      <c r="AH2181" s="10" t="str">
        <f>IFERROR(VLOOKUP(B2181,'Pre-Summary'!$AZ$6:$BE$65,3,FALSE),"")</f>
        <v/>
      </c>
      <c r="AI2181" s="10" t="str">
        <f>IFERROR(VLOOKUP(B2181,'Pre-Summary'!$AZ$6:$BE$65,5,FALSE),"")</f>
        <v/>
      </c>
      <c r="AJ2181" s="10" t="str">
        <f>IFERROR(VLOOKUP(B2181,'Pre-Summary'!$AZ$6:$BE$65,4,FALSE),"")</f>
        <v/>
      </c>
      <c r="AK2181" s="10" t="str">
        <f>IFERROR(VLOOKUP(B2181,'Pre-Summary'!$AZ$6:$BE$65,6,FALSE),"")</f>
        <v/>
      </c>
      <c r="AL2181" s="10" t="str">
        <f>IFERROR(VLOOKUP(B2181,'Pre-Summary'!$BG$6:$BL$44,3,FALSE),"")</f>
        <v/>
      </c>
      <c r="AM2181" s="10" t="str">
        <f>IFERROR(VLOOKUP(B2181,'Pre-Summary'!$BG$6:$BL$44,4,FALSE),"")</f>
        <v/>
      </c>
    </row>
    <row r="2182" spans="2:39" ht="15" customHeight="1" x14ac:dyDescent="0.3">
      <c r="B2182">
        <v>217.9</v>
      </c>
      <c r="C2182" t="str">
        <f>IFERROR(VLOOKUP(B2182,'Pre-Summary'!$DI$6:$DM$23,4,FALSE),"")</f>
        <v/>
      </c>
      <c r="D2182" s="10" t="str">
        <f>IFERROR(VLOOKUP(B2182,'Pre-Summary'!$AT$6:$AX$14,5,FALSE),D2181)</f>
        <v>Wolfe v3: went back to modified wolfe + EDTA and switched CuSO4 to CUCl2</v>
      </c>
      <c r="E2182" s="10" t="str">
        <f>IFERROR(VLOOKUP(B2182,'Pre-Summary'!$AT$6:$AX$15,4,FALSE),"")</f>
        <v/>
      </c>
      <c r="F2182">
        <f>IFERROR(VLOOKUP(B2182,'Pre-Summary'!$AL$6:$AQ$13,6,FALSE),F2181)</f>
        <v>5.9405263157894746E-2</v>
      </c>
      <c r="G2182" t="str">
        <f>IFERROR(VLOOKUP(B2182,'Pre-Summary'!$AE$6:$AJ$85,3,FALSE),"")</f>
        <v/>
      </c>
      <c r="H2182" t="str">
        <f>IFERROR(VLOOKUP(B2182,'Pre-Summary'!$AE$6:$AJ$85,4,FALSE),"")</f>
        <v/>
      </c>
      <c r="I2182" t="str">
        <f>IFERROR(VLOOKUP(B2182,'Pre-Summary'!$AE$6:$AJ$85,5,FALSE),"")</f>
        <v/>
      </c>
      <c r="J2182" s="45" t="str">
        <f>IFERROR(VLOOKUP(B2182,'Pre-Summary'!$AE$6:$AJ$85,6, FALSE),"")</f>
        <v/>
      </c>
      <c r="K2182" s="45" t="str">
        <f>IFERROR(VLOOKUP(B2182,'Pre-Summary'!$DE$6:$DG$61,3,FALSE),"")</f>
        <v/>
      </c>
      <c r="L2182" s="45" t="str">
        <f>IFERROR(VLOOKUP(B2182,'Pre-Summary'!$CU$6:$CW$36,3,FALSE),"")</f>
        <v/>
      </c>
      <c r="M2182" s="45" t="str">
        <f>IFERROR(VLOOKUP(B2182,'Pre-Summary'!$BW$6:$BY$58,2,FALSE),"")</f>
        <v/>
      </c>
      <c r="N2182" s="45" t="str">
        <f>IFERROR(VLOOKUP(B2182,'Pre-Summary'!$CD$6:$CF$64,2,FALSE),"")</f>
        <v/>
      </c>
      <c r="O2182" s="99">
        <f>IFERROR(VLOOKUP(B2182,'Pre-Summary'!$BO$6:$BQ$48,3, FALSE),O2181)</f>
        <v>1.3480000000000001</v>
      </c>
      <c r="P2182" s="99">
        <f>IFERROR(VLOOKUP(B2182,'Pre-Summary'!$BS$6:$BU$35,3,FALSE),P2181)</f>
        <v>0.379</v>
      </c>
      <c r="Q2182" s="54">
        <f t="shared" si="102"/>
        <v>3.556728232189974</v>
      </c>
      <c r="R2182" s="53">
        <f>IFERROR(VLOOKUP(B2182,'Pre-Summary'!$BG$6:$BM$44,7,FALSE),R2183)</f>
        <v>9.7948682664336664E-2</v>
      </c>
      <c r="S2182" s="53">
        <f>IFERROR(VLOOKUP(B2182,'Pre-Summary'!$BG$6:$BM$44,6,FALSE),S2183)</f>
        <v>0.10614035087720526</v>
      </c>
      <c r="T2182" s="45" t="str">
        <f>IFERROR(VLOOKUP(B2182,'Pre-Summary'!$Y$6:$AC$83, 3,FALSE),"")</f>
        <v/>
      </c>
      <c r="U2182" s="45" t="str">
        <f>IFERROR(VLOOKUP(B2182,'Pre-Summary'!$Y$6:$AC$83, 4,FALSE),"")</f>
        <v/>
      </c>
      <c r="V2182" t="str">
        <f>IFERROR(VLOOKUP(B2182,'Pre-Summary'!$Y$6:$AC$83, 5,FALSE),"")</f>
        <v/>
      </c>
      <c r="W2182" s="45" t="str">
        <f>IFERROR(VLOOKUP(B2182,'Pre-Summary'!$Y$6:$AD$83,6,FALSE),"")</f>
        <v/>
      </c>
      <c r="X2182" t="str">
        <f>IFERROR(VLOOKUP('Pre-Summary'!$DB$6:$DD$63,3,FALSE),"")</f>
        <v/>
      </c>
      <c r="Y2182" t="str">
        <f>IFERROR(VLOOKUP(B2182,'Pre-Summary'!$CR$6:$CT$36,3,FALSE),"")</f>
        <v/>
      </c>
      <c r="Z2182" s="45" t="str">
        <f>IFERROR(VLOOKUP(B2182,'Pre-Summary'!$BZ$6:$CB$63,2,FALSE),"")</f>
        <v/>
      </c>
      <c r="AA2182" s="45" t="str">
        <f>IFERROR(VLOOKUP(B2182,'Pre-Summary'!$CG$6:$CI$70,2,FALSE),"")</f>
        <v/>
      </c>
      <c r="AB2182" s="99">
        <f>IFERROR(VLOOKUP(B2182,'Pre-Summary'!$A$6:$P$178,9,FALSE),AB2183)</f>
        <v>0.34370467032972529</v>
      </c>
      <c r="AC2182" s="10">
        <f>IFERROR(VLOOKUP(Summary!B2182,'Pre-Summary'!$A$6:$P$184,5, FALSE)/100,AC2183)</f>
        <v>0.95237866666666671</v>
      </c>
      <c r="AD2182" s="10">
        <f>IFERROR(VLOOKUP(Summary!B2182,'Pre-Summary'!$A$6:$P$184,3, FALSE)/100,AD2183)</f>
        <v>4.0876999999999997E-2</v>
      </c>
      <c r="AE2182" s="10">
        <f>IFERROR(VLOOKUP(Summary!B2182,'Pre-Summary'!$A$6:$P$184,7, FALSE)/100,AE2183)</f>
        <v>6.744E-3</v>
      </c>
      <c r="AF2182" s="99">
        <f t="shared" si="103"/>
        <v>1.404961580906818E-2</v>
      </c>
      <c r="AG2182" s="99">
        <f t="shared" si="104"/>
        <v>2.3179442967036674E-3</v>
      </c>
      <c r="AH2182" s="10" t="str">
        <f>IFERROR(VLOOKUP(B2182,'Pre-Summary'!$AZ$6:$BE$65,3,FALSE),"")</f>
        <v/>
      </c>
      <c r="AI2182" s="10" t="str">
        <f>IFERROR(VLOOKUP(B2182,'Pre-Summary'!$AZ$6:$BE$65,5,FALSE),"")</f>
        <v/>
      </c>
      <c r="AJ2182" s="10" t="str">
        <f>IFERROR(VLOOKUP(B2182,'Pre-Summary'!$AZ$6:$BE$65,4,FALSE),"")</f>
        <v/>
      </c>
      <c r="AK2182" s="10" t="str">
        <f>IFERROR(VLOOKUP(B2182,'Pre-Summary'!$AZ$6:$BE$65,6,FALSE),"")</f>
        <v/>
      </c>
      <c r="AL2182" s="10" t="str">
        <f>IFERROR(VLOOKUP(B2182,'Pre-Summary'!$BG$6:$BL$44,3,FALSE),"")</f>
        <v/>
      </c>
      <c r="AM2182" s="10" t="str">
        <f>IFERROR(VLOOKUP(B2182,'Pre-Summary'!$BG$6:$BL$44,4,FALSE),"")</f>
        <v/>
      </c>
    </row>
    <row r="2183" spans="2:39" ht="15" customHeight="1" x14ac:dyDescent="0.3">
      <c r="B2183">
        <v>218</v>
      </c>
      <c r="C2183" t="str">
        <f>IFERROR(VLOOKUP(B2183,'Pre-Summary'!$DI$6:$DM$23,4,FALSE),"")</f>
        <v/>
      </c>
      <c r="D2183" s="10" t="str">
        <f>IFERROR(VLOOKUP(B2183,'Pre-Summary'!$AT$6:$AX$14,5,FALSE),D2182)</f>
        <v>Wolfe v3: went back to modified wolfe + EDTA and switched CuSO4 to CUCl2</v>
      </c>
      <c r="E2183" s="10" t="str">
        <f>IFERROR(VLOOKUP(B2183,'Pre-Summary'!$AT$6:$AX$15,4,FALSE),"")</f>
        <v/>
      </c>
      <c r="F2183">
        <f>IFERROR(VLOOKUP(B2183,'Pre-Summary'!$AL$6:$AQ$13,6,FALSE),F2182)</f>
        <v>5.9405263157894746E-2</v>
      </c>
      <c r="G2183" t="str">
        <f>IFERROR(VLOOKUP(B2183,'Pre-Summary'!$AE$6:$AJ$85,3,FALSE),"")</f>
        <v/>
      </c>
      <c r="H2183" t="str">
        <f>IFERROR(VLOOKUP(B2183,'Pre-Summary'!$AE$6:$AJ$85,4,FALSE),"")</f>
        <v/>
      </c>
      <c r="I2183" t="str">
        <f>IFERROR(VLOOKUP(B2183,'Pre-Summary'!$AE$6:$AJ$85,5,FALSE),"")</f>
        <v/>
      </c>
      <c r="J2183" s="45" t="str">
        <f>IFERROR(VLOOKUP(B2183,'Pre-Summary'!$AE$6:$AJ$85,6, FALSE),"")</f>
        <v/>
      </c>
      <c r="K2183" s="45" t="str">
        <f>IFERROR(VLOOKUP(B2183,'Pre-Summary'!$DE$6:$DG$61,3,FALSE),"")</f>
        <v/>
      </c>
      <c r="L2183" s="45" t="str">
        <f>IFERROR(VLOOKUP(B2183,'Pre-Summary'!$CU$6:$CW$36,3,FALSE),"")</f>
        <v/>
      </c>
      <c r="M2183" s="45" t="str">
        <f>IFERROR(VLOOKUP(B2183,'Pre-Summary'!$BW$6:$BY$58,2,FALSE),"")</f>
        <v/>
      </c>
      <c r="N2183" s="45" t="str">
        <f>IFERROR(VLOOKUP(B2183,'Pre-Summary'!$CD$6:$CF$64,2,FALSE),"")</f>
        <v/>
      </c>
      <c r="O2183" s="99">
        <f>IFERROR(VLOOKUP(B2183,'Pre-Summary'!$BO$6:$BQ$48,3, FALSE),O2182)</f>
        <v>1.508</v>
      </c>
      <c r="P2183" s="99">
        <f>IFERROR(VLOOKUP(B2183,'Pre-Summary'!$BS$6:$BU$35,3,FALSE),P2182)</f>
        <v>0.379</v>
      </c>
      <c r="Q2183" s="54">
        <f t="shared" si="102"/>
        <v>3.9788918205804751</v>
      </c>
      <c r="R2183" s="53">
        <f>IFERROR(VLOOKUP(B2183,'Pre-Summary'!$BG$6:$BM$44,7,FALSE),R2184)</f>
        <v>9.7948682664336664E-2</v>
      </c>
      <c r="S2183" s="53">
        <f>IFERROR(VLOOKUP(B2183,'Pre-Summary'!$BG$6:$BM$44,6,FALSE),S2184)</f>
        <v>0.10614035087720526</v>
      </c>
      <c r="T2183" s="45" t="str">
        <f>IFERROR(VLOOKUP(B2183,'Pre-Summary'!$Y$6:$AC$83, 3,FALSE),"")</f>
        <v/>
      </c>
      <c r="U2183" s="45" t="str">
        <f>IFERROR(VLOOKUP(B2183,'Pre-Summary'!$Y$6:$AC$83, 4,FALSE),"")</f>
        <v/>
      </c>
      <c r="V2183" t="str">
        <f>IFERROR(VLOOKUP(B2183,'Pre-Summary'!$Y$6:$AC$83, 5,FALSE),"")</f>
        <v/>
      </c>
      <c r="W2183" s="45" t="str">
        <f>IFERROR(VLOOKUP(B2183,'Pre-Summary'!$Y$6:$AD$83,6,FALSE),"")</f>
        <v/>
      </c>
      <c r="X2183" t="str">
        <f>IFERROR(VLOOKUP('Pre-Summary'!$DB$6:$DD$63,3,FALSE),"")</f>
        <v/>
      </c>
      <c r="Y2183" t="str">
        <f>IFERROR(VLOOKUP(B2183,'Pre-Summary'!$CR$6:$CT$36,3,FALSE),"")</f>
        <v/>
      </c>
      <c r="Z2183" s="45" t="str">
        <f>IFERROR(VLOOKUP(B2183,'Pre-Summary'!$BZ$6:$CB$63,2,FALSE),"")</f>
        <v/>
      </c>
      <c r="AA2183" s="45" t="str">
        <f>IFERROR(VLOOKUP(B2183,'Pre-Summary'!$CG$6:$CI$70,2,FALSE),"")</f>
        <v/>
      </c>
      <c r="AB2183" s="99">
        <f>IFERROR(VLOOKUP(B2183,'Pre-Summary'!$A$6:$P$178,9,FALSE),AB2184)</f>
        <v>0.37590984103005748</v>
      </c>
      <c r="AC2183" s="10">
        <f>IFERROR(VLOOKUP(Summary!B2183,'Pre-Summary'!$A$6:$P$184,5, FALSE)/100,AC2184)</f>
        <v>0.9466433333333335</v>
      </c>
      <c r="AD2183" s="10">
        <f>IFERROR(VLOOKUP(Summary!B2183,'Pre-Summary'!$A$6:$P$184,3, FALSE)/100,AD2184)</f>
        <v>3.9913666666666667E-2</v>
      </c>
      <c r="AE2183" s="10">
        <f>IFERROR(VLOOKUP(Summary!B2183,'Pre-Summary'!$A$6:$P$184,7, FALSE)/100,AE2184)</f>
        <v>1.3442999999999998E-2</v>
      </c>
      <c r="AF2183" s="99">
        <f t="shared" si="103"/>
        <v>1.500394009159337E-2</v>
      </c>
      <c r="AG2183" s="99">
        <f t="shared" si="104"/>
        <v>5.0533559929670617E-3</v>
      </c>
      <c r="AH2183" s="10" t="str">
        <f>IFERROR(VLOOKUP(B2183,'Pre-Summary'!$AZ$6:$BE$65,3,FALSE),"")</f>
        <v/>
      </c>
      <c r="AI2183" s="10" t="str">
        <f>IFERROR(VLOOKUP(B2183,'Pre-Summary'!$AZ$6:$BE$65,5,FALSE),"")</f>
        <v/>
      </c>
      <c r="AJ2183" s="10" t="str">
        <f>IFERROR(VLOOKUP(B2183,'Pre-Summary'!$AZ$6:$BE$65,4,FALSE),"")</f>
        <v/>
      </c>
      <c r="AK2183" s="10" t="str">
        <f>IFERROR(VLOOKUP(B2183,'Pre-Summary'!$AZ$6:$BE$65,6,FALSE),"")</f>
        <v/>
      </c>
      <c r="AL2183" s="10" t="str">
        <f>IFERROR(VLOOKUP(B2183,'Pre-Summary'!$BG$6:$BL$44,3,FALSE),"")</f>
        <v/>
      </c>
      <c r="AM2183" s="10" t="str">
        <f>IFERROR(VLOOKUP(B2183,'Pre-Summary'!$BG$6:$BL$44,4,FALSE),"")</f>
        <v/>
      </c>
    </row>
    <row r="2184" spans="2:39" ht="15" customHeight="1" x14ac:dyDescent="0.3">
      <c r="B2184">
        <v>218.1</v>
      </c>
      <c r="C2184" t="str">
        <f>IFERROR(VLOOKUP(B2184,'Pre-Summary'!$DI$6:$DM$23,4,FALSE),"")</f>
        <v/>
      </c>
      <c r="D2184" s="10" t="str">
        <f>IFERROR(VLOOKUP(B2184,'Pre-Summary'!$AT$6:$AX$14,5,FALSE),D2183)</f>
        <v>Wolfe v3: went back to modified wolfe + EDTA and switched CuSO4 to CUCl2</v>
      </c>
      <c r="E2184" s="10" t="str">
        <f>IFERROR(VLOOKUP(B2184,'Pre-Summary'!$AT$6:$AX$15,4,FALSE),"")</f>
        <v/>
      </c>
      <c r="F2184">
        <f>IFERROR(VLOOKUP(B2184,'Pre-Summary'!$AL$6:$AQ$13,6,FALSE),F2183)</f>
        <v>5.9405263157894746E-2</v>
      </c>
      <c r="G2184" t="str">
        <f>IFERROR(VLOOKUP(B2184,'Pre-Summary'!$AE$6:$AJ$85,3,FALSE),"")</f>
        <v/>
      </c>
      <c r="H2184" t="str">
        <f>IFERROR(VLOOKUP(B2184,'Pre-Summary'!$AE$6:$AJ$85,4,FALSE),"")</f>
        <v/>
      </c>
      <c r="I2184" t="str">
        <f>IFERROR(VLOOKUP(B2184,'Pre-Summary'!$AE$6:$AJ$85,5,FALSE),"")</f>
        <v/>
      </c>
      <c r="J2184" s="45" t="str">
        <f>IFERROR(VLOOKUP(B2184,'Pre-Summary'!$AE$6:$AJ$85,6, FALSE),"")</f>
        <v/>
      </c>
      <c r="K2184" s="45" t="str">
        <f>IFERROR(VLOOKUP(B2184,'Pre-Summary'!$DE$6:$DG$61,3,FALSE),"")</f>
        <v/>
      </c>
      <c r="L2184" s="45" t="str">
        <f>IFERROR(VLOOKUP(B2184,'Pre-Summary'!$CU$6:$CW$36,3,FALSE),"")</f>
        <v/>
      </c>
      <c r="M2184" s="45" t="str">
        <f>IFERROR(VLOOKUP(B2184,'Pre-Summary'!$BW$6:$BY$58,2,FALSE),"")</f>
        <v/>
      </c>
      <c r="N2184" s="45" t="str">
        <f>IFERROR(VLOOKUP(B2184,'Pre-Summary'!$CD$6:$CF$64,2,FALSE),"")</f>
        <v/>
      </c>
      <c r="O2184" s="99">
        <f>IFERROR(VLOOKUP(B2184,'Pre-Summary'!$BO$6:$BQ$48,3, FALSE),O2183)</f>
        <v>1.508</v>
      </c>
      <c r="P2184" s="99">
        <f>IFERROR(VLOOKUP(B2184,'Pre-Summary'!$BS$6:$BU$35,3,FALSE),P2183)</f>
        <v>0.379</v>
      </c>
      <c r="Q2184" s="54">
        <f t="shared" si="102"/>
        <v>3.9788918205804751</v>
      </c>
      <c r="R2184" s="53">
        <f>IFERROR(VLOOKUP(B2184,'Pre-Summary'!$BG$6:$BM$44,7,FALSE),R2185)</f>
        <v>9.7948682664336664E-2</v>
      </c>
      <c r="S2184" s="53">
        <f>IFERROR(VLOOKUP(B2184,'Pre-Summary'!$BG$6:$BM$44,6,FALSE),S2185)</f>
        <v>0.10614035087720526</v>
      </c>
      <c r="T2184" s="45" t="str">
        <f>IFERROR(VLOOKUP(B2184,'Pre-Summary'!$Y$6:$AC$83, 3,FALSE),"")</f>
        <v/>
      </c>
      <c r="U2184" s="45" t="str">
        <f>IFERROR(VLOOKUP(B2184,'Pre-Summary'!$Y$6:$AC$83, 4,FALSE),"")</f>
        <v/>
      </c>
      <c r="V2184" t="str">
        <f>IFERROR(VLOOKUP(B2184,'Pre-Summary'!$Y$6:$AC$83, 5,FALSE),"")</f>
        <v/>
      </c>
      <c r="W2184" s="45" t="str">
        <f>IFERROR(VLOOKUP(B2184,'Pre-Summary'!$Y$6:$AD$83,6,FALSE),"")</f>
        <v/>
      </c>
      <c r="X2184" t="str">
        <f>IFERROR(VLOOKUP('Pre-Summary'!$DB$6:$DD$63,3,FALSE),"")</f>
        <v/>
      </c>
      <c r="Y2184" t="str">
        <f>IFERROR(VLOOKUP(B2184,'Pre-Summary'!$CR$6:$CT$36,3,FALSE),"")</f>
        <v/>
      </c>
      <c r="Z2184" s="45" t="str">
        <f>IFERROR(VLOOKUP(B2184,'Pre-Summary'!$BZ$6:$CB$63,2,FALSE),"")</f>
        <v/>
      </c>
      <c r="AA2184" s="45" t="str">
        <f>IFERROR(VLOOKUP(B2184,'Pre-Summary'!$CG$6:$CI$70,2,FALSE),"")</f>
        <v/>
      </c>
      <c r="AB2184" s="99">
        <f>IFERROR(VLOOKUP(B2184,'Pre-Summary'!$A$6:$P$178,9,FALSE),AB2185)</f>
        <v>0.37590984103005748</v>
      </c>
      <c r="AC2184" s="10">
        <f>IFERROR(VLOOKUP(Summary!B2184,'Pre-Summary'!$A$6:$P$184,5, FALSE)/100,AC2185)</f>
        <v>0.9466433333333335</v>
      </c>
      <c r="AD2184" s="10">
        <f>IFERROR(VLOOKUP(Summary!B2184,'Pre-Summary'!$A$6:$P$184,3, FALSE)/100,AD2185)</f>
        <v>3.9913666666666667E-2</v>
      </c>
      <c r="AE2184" s="10">
        <f>IFERROR(VLOOKUP(Summary!B2184,'Pre-Summary'!$A$6:$P$184,7, FALSE)/100,AE2185)</f>
        <v>1.3442999999999998E-2</v>
      </c>
      <c r="AF2184" s="99">
        <f t="shared" si="103"/>
        <v>1.500394009159337E-2</v>
      </c>
      <c r="AG2184" s="99">
        <f t="shared" si="104"/>
        <v>5.0533559929670617E-3</v>
      </c>
      <c r="AH2184" s="10" t="str">
        <f>IFERROR(VLOOKUP(B2184,'Pre-Summary'!$AZ$6:$BE$65,3,FALSE),"")</f>
        <v/>
      </c>
      <c r="AI2184" s="10" t="str">
        <f>IFERROR(VLOOKUP(B2184,'Pre-Summary'!$AZ$6:$BE$65,5,FALSE),"")</f>
        <v/>
      </c>
      <c r="AJ2184" s="10" t="str">
        <f>IFERROR(VLOOKUP(B2184,'Pre-Summary'!$AZ$6:$BE$65,4,FALSE),"")</f>
        <v/>
      </c>
      <c r="AK2184" s="10" t="str">
        <f>IFERROR(VLOOKUP(B2184,'Pre-Summary'!$AZ$6:$BE$65,6,FALSE),"")</f>
        <v/>
      </c>
      <c r="AL2184" s="10" t="str">
        <f>IFERROR(VLOOKUP(B2184,'Pre-Summary'!$BG$6:$BL$44,3,FALSE),"")</f>
        <v/>
      </c>
      <c r="AM2184" s="10" t="str">
        <f>IFERROR(VLOOKUP(B2184,'Pre-Summary'!$BG$6:$BL$44,4,FALSE),"")</f>
        <v/>
      </c>
    </row>
    <row r="2185" spans="2:39" ht="15" customHeight="1" x14ac:dyDescent="0.3">
      <c r="B2185">
        <v>218.2</v>
      </c>
      <c r="C2185" t="str">
        <f>IFERROR(VLOOKUP(B2185,'Pre-Summary'!$DI$6:$DM$23,4,FALSE),"")</f>
        <v/>
      </c>
      <c r="D2185" s="10" t="str">
        <f>IFERROR(VLOOKUP(B2185,'Pre-Summary'!$AT$6:$AX$14,5,FALSE),D2184)</f>
        <v>Wolfe v3: went back to modified wolfe + EDTA and switched CuSO4 to CUCl2</v>
      </c>
      <c r="E2185" s="10" t="str">
        <f>IFERROR(VLOOKUP(B2185,'Pre-Summary'!$AT$6:$AX$15,4,FALSE),"")</f>
        <v/>
      </c>
      <c r="F2185">
        <f>IFERROR(VLOOKUP(B2185,'Pre-Summary'!$AL$6:$AQ$13,6,FALSE),F2184)</f>
        <v>5.9405263157894746E-2</v>
      </c>
      <c r="G2185" t="str">
        <f>IFERROR(VLOOKUP(B2185,'Pre-Summary'!$AE$6:$AJ$85,3,FALSE),"")</f>
        <v/>
      </c>
      <c r="H2185" t="str">
        <f>IFERROR(VLOOKUP(B2185,'Pre-Summary'!$AE$6:$AJ$85,4,FALSE),"")</f>
        <v/>
      </c>
      <c r="I2185" t="str">
        <f>IFERROR(VLOOKUP(B2185,'Pre-Summary'!$AE$6:$AJ$85,5,FALSE),"")</f>
        <v/>
      </c>
      <c r="J2185" s="45" t="str">
        <f>IFERROR(VLOOKUP(B2185,'Pre-Summary'!$AE$6:$AJ$85,6, FALSE),"")</f>
        <v/>
      </c>
      <c r="K2185" s="45" t="str">
        <f>IFERROR(VLOOKUP(B2185,'Pre-Summary'!$DE$6:$DG$61,3,FALSE),"")</f>
        <v/>
      </c>
      <c r="L2185" s="45" t="str">
        <f>IFERROR(VLOOKUP(B2185,'Pre-Summary'!$CU$6:$CW$36,3,FALSE),"")</f>
        <v/>
      </c>
      <c r="M2185" s="45" t="str">
        <f>IFERROR(VLOOKUP(B2185,'Pre-Summary'!$BW$6:$BY$58,2,FALSE),"")</f>
        <v/>
      </c>
      <c r="N2185" s="45" t="str">
        <f>IFERROR(VLOOKUP(B2185,'Pre-Summary'!$CD$6:$CF$64,2,FALSE),"")</f>
        <v/>
      </c>
      <c r="O2185" s="99">
        <f>IFERROR(VLOOKUP(B2185,'Pre-Summary'!$BO$6:$BQ$48,3, FALSE),O2184)</f>
        <v>1.508</v>
      </c>
      <c r="P2185" s="99">
        <f>IFERROR(VLOOKUP(B2185,'Pre-Summary'!$BS$6:$BU$35,3,FALSE),P2184)</f>
        <v>0.379</v>
      </c>
      <c r="Q2185" s="54">
        <f t="shared" si="102"/>
        <v>3.9788918205804751</v>
      </c>
      <c r="R2185" s="53">
        <f>IFERROR(VLOOKUP(B2185,'Pre-Summary'!$BG$6:$BM$44,7,FALSE),R2186)</f>
        <v>9.7948682664336664E-2</v>
      </c>
      <c r="S2185" s="53">
        <f>IFERROR(VLOOKUP(B2185,'Pre-Summary'!$BG$6:$BM$44,6,FALSE),S2186)</f>
        <v>0.10614035087720526</v>
      </c>
      <c r="T2185" s="45" t="str">
        <f>IFERROR(VLOOKUP(B2185,'Pre-Summary'!$Y$6:$AC$83, 3,FALSE),"")</f>
        <v/>
      </c>
      <c r="U2185" s="45" t="str">
        <f>IFERROR(VLOOKUP(B2185,'Pre-Summary'!$Y$6:$AC$83, 4,FALSE),"")</f>
        <v/>
      </c>
      <c r="V2185" t="str">
        <f>IFERROR(VLOOKUP(B2185,'Pre-Summary'!$Y$6:$AC$83, 5,FALSE),"")</f>
        <v/>
      </c>
      <c r="W2185" s="45" t="str">
        <f>IFERROR(VLOOKUP(B2185,'Pre-Summary'!$Y$6:$AD$83,6,FALSE),"")</f>
        <v/>
      </c>
      <c r="X2185" t="str">
        <f>IFERROR(VLOOKUP('Pre-Summary'!$DB$6:$DD$63,3,FALSE),"")</f>
        <v/>
      </c>
      <c r="Y2185" t="str">
        <f>IFERROR(VLOOKUP(B2185,'Pre-Summary'!$CR$6:$CT$36,3,FALSE),"")</f>
        <v/>
      </c>
      <c r="Z2185" s="45" t="str">
        <f>IFERROR(VLOOKUP(B2185,'Pre-Summary'!$BZ$6:$CB$63,2,FALSE),"")</f>
        <v/>
      </c>
      <c r="AA2185" s="45" t="str">
        <f>IFERROR(VLOOKUP(B2185,'Pre-Summary'!$CG$6:$CI$70,2,FALSE),"")</f>
        <v/>
      </c>
      <c r="AB2185" s="99">
        <f>IFERROR(VLOOKUP(B2185,'Pre-Summary'!$A$6:$P$178,9,FALSE),AB2186)</f>
        <v>0.37590984103005748</v>
      </c>
      <c r="AC2185" s="10">
        <f>IFERROR(VLOOKUP(Summary!B2185,'Pre-Summary'!$A$6:$P$184,5, FALSE)/100,AC2186)</f>
        <v>0.9466433333333335</v>
      </c>
      <c r="AD2185" s="10">
        <f>IFERROR(VLOOKUP(Summary!B2185,'Pre-Summary'!$A$6:$P$184,3, FALSE)/100,AD2186)</f>
        <v>3.9913666666666667E-2</v>
      </c>
      <c r="AE2185" s="10">
        <f>IFERROR(VLOOKUP(Summary!B2185,'Pre-Summary'!$A$6:$P$184,7, FALSE)/100,AE2186)</f>
        <v>1.3442999999999998E-2</v>
      </c>
      <c r="AF2185" s="99">
        <f t="shared" si="103"/>
        <v>1.500394009159337E-2</v>
      </c>
      <c r="AG2185" s="99">
        <f t="shared" si="104"/>
        <v>5.0533559929670617E-3</v>
      </c>
      <c r="AH2185" s="10" t="str">
        <f>IFERROR(VLOOKUP(B2185,'Pre-Summary'!$AZ$6:$BE$65,3,FALSE),"")</f>
        <v/>
      </c>
      <c r="AI2185" s="10" t="str">
        <f>IFERROR(VLOOKUP(B2185,'Pre-Summary'!$AZ$6:$BE$65,5,FALSE),"")</f>
        <v/>
      </c>
      <c r="AJ2185" s="10" t="str">
        <f>IFERROR(VLOOKUP(B2185,'Pre-Summary'!$AZ$6:$BE$65,4,FALSE),"")</f>
        <v/>
      </c>
      <c r="AK2185" s="10" t="str">
        <f>IFERROR(VLOOKUP(B2185,'Pre-Summary'!$AZ$6:$BE$65,6,FALSE),"")</f>
        <v/>
      </c>
      <c r="AL2185" s="10" t="str">
        <f>IFERROR(VLOOKUP(B2185,'Pre-Summary'!$BG$6:$BL$44,3,FALSE),"")</f>
        <v/>
      </c>
      <c r="AM2185" s="10" t="str">
        <f>IFERROR(VLOOKUP(B2185,'Pre-Summary'!$BG$6:$BL$44,4,FALSE),"")</f>
        <v/>
      </c>
    </row>
    <row r="2186" spans="2:39" ht="15" customHeight="1" x14ac:dyDescent="0.3">
      <c r="B2186">
        <v>218.3</v>
      </c>
      <c r="C2186" t="str">
        <f>IFERROR(VLOOKUP(B2186,'Pre-Summary'!$DI$6:$DM$23,4,FALSE),"")</f>
        <v/>
      </c>
      <c r="D2186" s="10" t="str">
        <f>IFERROR(VLOOKUP(B2186,'Pre-Summary'!$AT$6:$AX$14,5,FALSE),D2185)</f>
        <v>Wolfe v3: went back to modified wolfe + EDTA and switched CuSO4 to CUCl2</v>
      </c>
      <c r="E2186" s="10" t="str">
        <f>IFERROR(VLOOKUP(B2186,'Pre-Summary'!$AT$6:$AX$15,4,FALSE),"")</f>
        <v/>
      </c>
      <c r="F2186">
        <f>IFERROR(VLOOKUP(B2186,'Pre-Summary'!$AL$6:$AQ$13,6,FALSE),F2185)</f>
        <v>5.9405263157894746E-2</v>
      </c>
      <c r="G2186" t="str">
        <f>IFERROR(VLOOKUP(B2186,'Pre-Summary'!$AE$6:$AJ$85,3,FALSE),"")</f>
        <v/>
      </c>
      <c r="H2186" t="str">
        <f>IFERROR(VLOOKUP(B2186,'Pre-Summary'!$AE$6:$AJ$85,4,FALSE),"")</f>
        <v/>
      </c>
      <c r="I2186" t="str">
        <f>IFERROR(VLOOKUP(B2186,'Pre-Summary'!$AE$6:$AJ$85,5,FALSE),"")</f>
        <v/>
      </c>
      <c r="J2186" s="45" t="str">
        <f>IFERROR(VLOOKUP(B2186,'Pre-Summary'!$AE$6:$AJ$85,6, FALSE),"")</f>
        <v/>
      </c>
      <c r="K2186" s="45" t="str">
        <f>IFERROR(VLOOKUP(B2186,'Pre-Summary'!$DE$6:$DG$61,3,FALSE),"")</f>
        <v/>
      </c>
      <c r="L2186" s="45" t="str">
        <f>IFERROR(VLOOKUP(B2186,'Pre-Summary'!$CU$6:$CW$36,3,FALSE),"")</f>
        <v/>
      </c>
      <c r="M2186" s="45" t="str">
        <f>IFERROR(VLOOKUP(B2186,'Pre-Summary'!$BW$6:$BY$58,2,FALSE),"")</f>
        <v/>
      </c>
      <c r="N2186" s="45" t="str">
        <f>IFERROR(VLOOKUP(B2186,'Pre-Summary'!$CD$6:$CF$64,2,FALSE),"")</f>
        <v/>
      </c>
      <c r="O2186" s="99">
        <f>IFERROR(VLOOKUP(B2186,'Pre-Summary'!$BO$6:$BQ$48,3, FALSE),O2185)</f>
        <v>1.508</v>
      </c>
      <c r="P2186" s="99">
        <f>IFERROR(VLOOKUP(B2186,'Pre-Summary'!$BS$6:$BU$35,3,FALSE),P2185)</f>
        <v>0.379</v>
      </c>
      <c r="Q2186" s="54">
        <f t="shared" si="102"/>
        <v>3.9788918205804751</v>
      </c>
      <c r="R2186" s="53">
        <f>IFERROR(VLOOKUP(B2186,'Pre-Summary'!$BG$6:$BM$44,7,FALSE),R2187)</f>
        <v>9.7948682664336664E-2</v>
      </c>
      <c r="S2186" s="53">
        <f>IFERROR(VLOOKUP(B2186,'Pre-Summary'!$BG$6:$BM$44,6,FALSE),S2187)</f>
        <v>0.10614035087720526</v>
      </c>
      <c r="T2186" s="45" t="str">
        <f>IFERROR(VLOOKUP(B2186,'Pre-Summary'!$Y$6:$AC$83, 3,FALSE),"")</f>
        <v/>
      </c>
      <c r="U2186" s="45" t="str">
        <f>IFERROR(VLOOKUP(B2186,'Pre-Summary'!$Y$6:$AC$83, 4,FALSE),"")</f>
        <v/>
      </c>
      <c r="V2186" t="str">
        <f>IFERROR(VLOOKUP(B2186,'Pre-Summary'!$Y$6:$AC$83, 5,FALSE),"")</f>
        <v/>
      </c>
      <c r="W2186" s="45" t="str">
        <f>IFERROR(VLOOKUP(B2186,'Pre-Summary'!$Y$6:$AD$83,6,FALSE),"")</f>
        <v/>
      </c>
      <c r="X2186" t="str">
        <f>IFERROR(VLOOKUP('Pre-Summary'!$DB$6:$DD$63,3,FALSE),"")</f>
        <v/>
      </c>
      <c r="Y2186" t="str">
        <f>IFERROR(VLOOKUP(B2186,'Pre-Summary'!$CR$6:$CT$36,3,FALSE),"")</f>
        <v/>
      </c>
      <c r="Z2186" s="45" t="str">
        <f>IFERROR(VLOOKUP(B2186,'Pre-Summary'!$BZ$6:$CB$63,2,FALSE),"")</f>
        <v/>
      </c>
      <c r="AA2186" s="45" t="str">
        <f>IFERROR(VLOOKUP(B2186,'Pre-Summary'!$CG$6:$CI$70,2,FALSE),"")</f>
        <v/>
      </c>
      <c r="AB2186" s="99">
        <f>IFERROR(VLOOKUP(B2186,'Pre-Summary'!$A$6:$P$178,9,FALSE),AB2187)</f>
        <v>0.37590984103005748</v>
      </c>
      <c r="AC2186" s="10">
        <f>IFERROR(VLOOKUP(Summary!B2186,'Pre-Summary'!$A$6:$P$184,5, FALSE)/100,AC2187)</f>
        <v>0.9466433333333335</v>
      </c>
      <c r="AD2186" s="10">
        <f>IFERROR(VLOOKUP(Summary!B2186,'Pre-Summary'!$A$6:$P$184,3, FALSE)/100,AD2187)</f>
        <v>3.9913666666666667E-2</v>
      </c>
      <c r="AE2186" s="10">
        <f>IFERROR(VLOOKUP(Summary!B2186,'Pre-Summary'!$A$6:$P$184,7, FALSE)/100,AE2187)</f>
        <v>1.3442999999999998E-2</v>
      </c>
      <c r="AF2186" s="99">
        <f t="shared" si="103"/>
        <v>1.500394009159337E-2</v>
      </c>
      <c r="AG2186" s="99">
        <f t="shared" si="104"/>
        <v>5.0533559929670617E-3</v>
      </c>
      <c r="AH2186" s="10" t="str">
        <f>IFERROR(VLOOKUP(B2186,'Pre-Summary'!$AZ$6:$BE$65,3,FALSE),"")</f>
        <v/>
      </c>
      <c r="AI2186" s="10" t="str">
        <f>IFERROR(VLOOKUP(B2186,'Pre-Summary'!$AZ$6:$BE$65,5,FALSE),"")</f>
        <v/>
      </c>
      <c r="AJ2186" s="10" t="str">
        <f>IFERROR(VLOOKUP(B2186,'Pre-Summary'!$AZ$6:$BE$65,4,FALSE),"")</f>
        <v/>
      </c>
      <c r="AK2186" s="10" t="str">
        <f>IFERROR(VLOOKUP(B2186,'Pre-Summary'!$AZ$6:$BE$65,6,FALSE),"")</f>
        <v/>
      </c>
      <c r="AL2186" s="10" t="str">
        <f>IFERROR(VLOOKUP(B2186,'Pre-Summary'!$BG$6:$BL$44,3,FALSE),"")</f>
        <v/>
      </c>
      <c r="AM2186" s="10" t="str">
        <f>IFERROR(VLOOKUP(B2186,'Pre-Summary'!$BG$6:$BL$44,4,FALSE),"")</f>
        <v/>
      </c>
    </row>
    <row r="2187" spans="2:39" ht="15" customHeight="1" x14ac:dyDescent="0.3">
      <c r="B2187">
        <v>218.4</v>
      </c>
      <c r="C2187" t="str">
        <f>IFERROR(VLOOKUP(B2187,'Pre-Summary'!$DI$6:$DM$23,4,FALSE),"")</f>
        <v/>
      </c>
      <c r="D2187" s="10" t="str">
        <f>IFERROR(VLOOKUP(B2187,'Pre-Summary'!$AT$6:$AX$14,5,FALSE),D2186)</f>
        <v>Wolfe v3: went back to modified wolfe + EDTA and switched CuSO4 to CUCl2</v>
      </c>
      <c r="E2187" s="10" t="str">
        <f>IFERROR(VLOOKUP(B2187,'Pre-Summary'!$AT$6:$AX$15,4,FALSE),"")</f>
        <v/>
      </c>
      <c r="F2187">
        <f>IFERROR(VLOOKUP(B2187,'Pre-Summary'!$AL$6:$AQ$13,6,FALSE),F2186)</f>
        <v>5.9405263157894746E-2</v>
      </c>
      <c r="G2187" t="str">
        <f>IFERROR(VLOOKUP(B2187,'Pre-Summary'!$AE$6:$AJ$85,3,FALSE),"")</f>
        <v/>
      </c>
      <c r="H2187" t="str">
        <f>IFERROR(VLOOKUP(B2187,'Pre-Summary'!$AE$6:$AJ$85,4,FALSE),"")</f>
        <v/>
      </c>
      <c r="I2187" t="str">
        <f>IFERROR(VLOOKUP(B2187,'Pre-Summary'!$AE$6:$AJ$85,5,FALSE),"")</f>
        <v/>
      </c>
      <c r="J2187" s="45" t="str">
        <f>IFERROR(VLOOKUP(B2187,'Pre-Summary'!$AE$6:$AJ$85,6, FALSE),"")</f>
        <v/>
      </c>
      <c r="K2187" s="45" t="str">
        <f>IFERROR(VLOOKUP(B2187,'Pre-Summary'!$DE$6:$DG$61,3,FALSE),"")</f>
        <v/>
      </c>
      <c r="L2187" s="45" t="str">
        <f>IFERROR(VLOOKUP(B2187,'Pre-Summary'!$CU$6:$CW$36,3,FALSE),"")</f>
        <v/>
      </c>
      <c r="M2187" s="45" t="str">
        <f>IFERROR(VLOOKUP(B2187,'Pre-Summary'!$BW$6:$BY$58,2,FALSE),"")</f>
        <v/>
      </c>
      <c r="N2187" s="45" t="str">
        <f>IFERROR(VLOOKUP(B2187,'Pre-Summary'!$CD$6:$CF$64,2,FALSE),"")</f>
        <v/>
      </c>
      <c r="O2187" s="99">
        <f>IFERROR(VLOOKUP(B2187,'Pre-Summary'!$BO$6:$BQ$48,3, FALSE),O2186)</f>
        <v>1.508</v>
      </c>
      <c r="P2187" s="99">
        <f>IFERROR(VLOOKUP(B2187,'Pre-Summary'!$BS$6:$BU$35,3,FALSE),P2186)</f>
        <v>0.379</v>
      </c>
      <c r="Q2187" s="54">
        <f t="shared" si="102"/>
        <v>3.9788918205804751</v>
      </c>
      <c r="R2187" s="53">
        <f>IFERROR(VLOOKUP(B2187,'Pre-Summary'!$BG$6:$BM$44,7,FALSE),R2188)</f>
        <v>9.7948682664336664E-2</v>
      </c>
      <c r="S2187" s="53">
        <f>IFERROR(VLOOKUP(B2187,'Pre-Summary'!$BG$6:$BM$44,6,FALSE),S2188)</f>
        <v>0.10614035087720526</v>
      </c>
      <c r="T2187" s="45" t="str">
        <f>IFERROR(VLOOKUP(B2187,'Pre-Summary'!$Y$6:$AC$83, 3,FALSE),"")</f>
        <v/>
      </c>
      <c r="U2187" s="45" t="str">
        <f>IFERROR(VLOOKUP(B2187,'Pre-Summary'!$Y$6:$AC$83, 4,FALSE),"")</f>
        <v/>
      </c>
      <c r="V2187" t="str">
        <f>IFERROR(VLOOKUP(B2187,'Pre-Summary'!$Y$6:$AC$83, 5,FALSE),"")</f>
        <v/>
      </c>
      <c r="W2187" s="45" t="str">
        <f>IFERROR(VLOOKUP(B2187,'Pre-Summary'!$Y$6:$AD$83,6,FALSE),"")</f>
        <v/>
      </c>
      <c r="X2187" t="str">
        <f>IFERROR(VLOOKUP('Pre-Summary'!$DB$6:$DD$63,3,FALSE),"")</f>
        <v/>
      </c>
      <c r="Y2187" t="str">
        <f>IFERROR(VLOOKUP(B2187,'Pre-Summary'!$CR$6:$CT$36,3,FALSE),"")</f>
        <v/>
      </c>
      <c r="Z2187" s="45" t="str">
        <f>IFERROR(VLOOKUP(B2187,'Pre-Summary'!$BZ$6:$CB$63,2,FALSE),"")</f>
        <v/>
      </c>
      <c r="AA2187" s="45" t="str">
        <f>IFERROR(VLOOKUP(B2187,'Pre-Summary'!$CG$6:$CI$70,2,FALSE),"")</f>
        <v/>
      </c>
      <c r="AB2187" s="99">
        <f>IFERROR(VLOOKUP(B2187,'Pre-Summary'!$A$6:$P$178,9,FALSE),AB2188)</f>
        <v>0.37590984103005748</v>
      </c>
      <c r="AC2187" s="10">
        <f>IFERROR(VLOOKUP(Summary!B2187,'Pre-Summary'!$A$6:$P$184,5, FALSE)/100,AC2188)</f>
        <v>0.9466433333333335</v>
      </c>
      <c r="AD2187" s="10">
        <f>IFERROR(VLOOKUP(Summary!B2187,'Pre-Summary'!$A$6:$P$184,3, FALSE)/100,AD2188)</f>
        <v>3.9913666666666667E-2</v>
      </c>
      <c r="AE2187" s="10">
        <f>IFERROR(VLOOKUP(Summary!B2187,'Pre-Summary'!$A$6:$P$184,7, FALSE)/100,AE2188)</f>
        <v>1.3442999999999998E-2</v>
      </c>
      <c r="AF2187" s="99">
        <f t="shared" si="103"/>
        <v>1.500394009159337E-2</v>
      </c>
      <c r="AG2187" s="99">
        <f t="shared" si="104"/>
        <v>5.0533559929670617E-3</v>
      </c>
      <c r="AH2187" s="10" t="str">
        <f>IFERROR(VLOOKUP(B2187,'Pre-Summary'!$AZ$6:$BE$65,3,FALSE),"")</f>
        <v/>
      </c>
      <c r="AI2187" s="10" t="str">
        <f>IFERROR(VLOOKUP(B2187,'Pre-Summary'!$AZ$6:$BE$65,5,FALSE),"")</f>
        <v/>
      </c>
      <c r="AJ2187" s="10" t="str">
        <f>IFERROR(VLOOKUP(B2187,'Pre-Summary'!$AZ$6:$BE$65,4,FALSE),"")</f>
        <v/>
      </c>
      <c r="AK2187" s="10" t="str">
        <f>IFERROR(VLOOKUP(B2187,'Pre-Summary'!$AZ$6:$BE$65,6,FALSE),"")</f>
        <v/>
      </c>
      <c r="AL2187" s="10" t="str">
        <f>IFERROR(VLOOKUP(B2187,'Pre-Summary'!$BG$6:$BL$44,3,FALSE),"")</f>
        <v/>
      </c>
      <c r="AM2187" s="10" t="str">
        <f>IFERROR(VLOOKUP(B2187,'Pre-Summary'!$BG$6:$BL$44,4,FALSE),"")</f>
        <v/>
      </c>
    </row>
    <row r="2188" spans="2:39" ht="15" customHeight="1" x14ac:dyDescent="0.3">
      <c r="B2188">
        <v>218.5</v>
      </c>
      <c r="C2188" t="str">
        <f>IFERROR(VLOOKUP(B2188,'Pre-Summary'!$DI$6:$DM$23,4,FALSE),"")</f>
        <v/>
      </c>
      <c r="D2188" s="10" t="str">
        <f>IFERROR(VLOOKUP(B2188,'Pre-Summary'!$AT$6:$AX$14,5,FALSE),D2187)</f>
        <v>Wolfe v3: went back to modified wolfe + EDTA and switched CuSO4 to CUCl2</v>
      </c>
      <c r="E2188" s="10" t="str">
        <f>IFERROR(VLOOKUP(B2188,'Pre-Summary'!$AT$6:$AX$15,4,FALSE),"")</f>
        <v/>
      </c>
      <c r="F2188">
        <f>IFERROR(VLOOKUP(B2188,'Pre-Summary'!$AL$6:$AQ$13,6,FALSE),F2187)</f>
        <v>5.9405263157894746E-2</v>
      </c>
      <c r="G2188" t="str">
        <f>IFERROR(VLOOKUP(B2188,'Pre-Summary'!$AE$6:$AJ$85,3,FALSE),"")</f>
        <v/>
      </c>
      <c r="H2188" t="str">
        <f>IFERROR(VLOOKUP(B2188,'Pre-Summary'!$AE$6:$AJ$85,4,FALSE),"")</f>
        <v/>
      </c>
      <c r="I2188" t="str">
        <f>IFERROR(VLOOKUP(B2188,'Pre-Summary'!$AE$6:$AJ$85,5,FALSE),"")</f>
        <v/>
      </c>
      <c r="J2188" s="45" t="str">
        <f>IFERROR(VLOOKUP(B2188,'Pre-Summary'!$AE$6:$AJ$85,6, FALSE),"")</f>
        <v/>
      </c>
      <c r="K2188" s="45" t="str">
        <f>IFERROR(VLOOKUP(B2188,'Pre-Summary'!$DE$6:$DG$61,3,FALSE),"")</f>
        <v/>
      </c>
      <c r="L2188" s="45" t="str">
        <f>IFERROR(VLOOKUP(B2188,'Pre-Summary'!$CU$6:$CW$36,3,FALSE),"")</f>
        <v/>
      </c>
      <c r="M2188" s="45" t="str">
        <f>IFERROR(VLOOKUP(B2188,'Pre-Summary'!$BW$6:$BY$58,2,FALSE),"")</f>
        <v/>
      </c>
      <c r="N2188" s="45" t="str">
        <f>IFERROR(VLOOKUP(B2188,'Pre-Summary'!$CD$6:$CF$64,2,FALSE),"")</f>
        <v/>
      </c>
      <c r="O2188" s="99">
        <f>IFERROR(VLOOKUP(B2188,'Pre-Summary'!$BO$6:$BQ$48,3, FALSE),O2187)</f>
        <v>1.508</v>
      </c>
      <c r="P2188" s="99">
        <f>IFERROR(VLOOKUP(B2188,'Pre-Summary'!$BS$6:$BU$35,3,FALSE),P2187)</f>
        <v>0.379</v>
      </c>
      <c r="Q2188" s="54">
        <f t="shared" si="102"/>
        <v>3.9788918205804751</v>
      </c>
      <c r="R2188" s="53">
        <f>IFERROR(VLOOKUP(B2188,'Pre-Summary'!$BG$6:$BM$44,7,FALSE),R2189)</f>
        <v>9.7948682664336664E-2</v>
      </c>
      <c r="S2188" s="53">
        <f>IFERROR(VLOOKUP(B2188,'Pre-Summary'!$BG$6:$BM$44,6,FALSE),S2189)</f>
        <v>0.10614035087720526</v>
      </c>
      <c r="T2188" s="45" t="str">
        <f>IFERROR(VLOOKUP(B2188,'Pre-Summary'!$Y$6:$AC$83, 3,FALSE),"")</f>
        <v/>
      </c>
      <c r="U2188" s="45" t="str">
        <f>IFERROR(VLOOKUP(B2188,'Pre-Summary'!$Y$6:$AC$83, 4,FALSE),"")</f>
        <v/>
      </c>
      <c r="V2188" t="str">
        <f>IFERROR(VLOOKUP(B2188,'Pre-Summary'!$Y$6:$AC$83, 5,FALSE),"")</f>
        <v/>
      </c>
      <c r="W2188" s="45" t="str">
        <f>IFERROR(VLOOKUP(B2188,'Pre-Summary'!$Y$6:$AD$83,6,FALSE),"")</f>
        <v/>
      </c>
      <c r="X2188" t="str">
        <f>IFERROR(VLOOKUP('Pre-Summary'!$DB$6:$DD$63,3,FALSE),"")</f>
        <v/>
      </c>
      <c r="Y2188" t="str">
        <f>IFERROR(VLOOKUP(B2188,'Pre-Summary'!$CR$6:$CT$36,3,FALSE),"")</f>
        <v/>
      </c>
      <c r="Z2188" s="45" t="str">
        <f>IFERROR(VLOOKUP(B2188,'Pre-Summary'!$BZ$6:$CB$63,2,FALSE),"")</f>
        <v/>
      </c>
      <c r="AA2188" s="45" t="str">
        <f>IFERROR(VLOOKUP(B2188,'Pre-Summary'!$CG$6:$CI$70,2,FALSE),"")</f>
        <v/>
      </c>
      <c r="AB2188" s="99">
        <f>IFERROR(VLOOKUP(B2188,'Pre-Summary'!$A$6:$P$178,9,FALSE),AB2189)</f>
        <v>0.37590984103005748</v>
      </c>
      <c r="AC2188" s="10">
        <f>IFERROR(VLOOKUP(Summary!B2188,'Pre-Summary'!$A$6:$P$184,5, FALSE)/100,AC2189)</f>
        <v>0.9466433333333335</v>
      </c>
      <c r="AD2188" s="10">
        <f>IFERROR(VLOOKUP(Summary!B2188,'Pre-Summary'!$A$6:$P$184,3, FALSE)/100,AD2189)</f>
        <v>3.9913666666666667E-2</v>
      </c>
      <c r="AE2188" s="10">
        <f>IFERROR(VLOOKUP(Summary!B2188,'Pre-Summary'!$A$6:$P$184,7, FALSE)/100,AE2189)</f>
        <v>1.3442999999999998E-2</v>
      </c>
      <c r="AF2188" s="99">
        <f t="shared" si="103"/>
        <v>1.500394009159337E-2</v>
      </c>
      <c r="AG2188" s="99">
        <f t="shared" si="104"/>
        <v>5.0533559929670617E-3</v>
      </c>
      <c r="AH2188" s="10" t="str">
        <f>IFERROR(VLOOKUP(B2188,'Pre-Summary'!$AZ$6:$BE$65,3,FALSE),"")</f>
        <v/>
      </c>
      <c r="AI2188" s="10" t="str">
        <f>IFERROR(VLOOKUP(B2188,'Pre-Summary'!$AZ$6:$BE$65,5,FALSE),"")</f>
        <v/>
      </c>
      <c r="AJ2188" s="10" t="str">
        <f>IFERROR(VLOOKUP(B2188,'Pre-Summary'!$AZ$6:$BE$65,4,FALSE),"")</f>
        <v/>
      </c>
      <c r="AK2188" s="10" t="str">
        <f>IFERROR(VLOOKUP(B2188,'Pre-Summary'!$AZ$6:$BE$65,6,FALSE),"")</f>
        <v/>
      </c>
      <c r="AL2188" s="10" t="str">
        <f>IFERROR(VLOOKUP(B2188,'Pre-Summary'!$BG$6:$BL$44,3,FALSE),"")</f>
        <v/>
      </c>
      <c r="AM2188" s="10" t="str">
        <f>IFERROR(VLOOKUP(B2188,'Pre-Summary'!$BG$6:$BL$44,4,FALSE),"")</f>
        <v/>
      </c>
    </row>
    <row r="2189" spans="2:39" ht="15" customHeight="1" x14ac:dyDescent="0.3">
      <c r="B2189">
        <v>218.6</v>
      </c>
      <c r="C2189" t="str">
        <f>IFERROR(VLOOKUP(B2189,'Pre-Summary'!$DI$6:$DM$23,4,FALSE),"")</f>
        <v/>
      </c>
      <c r="D2189" s="10" t="str">
        <f>IFERROR(VLOOKUP(B2189,'Pre-Summary'!$AT$6:$AX$14,5,FALSE),D2188)</f>
        <v>Wolfe v3: went back to modified wolfe + EDTA and switched CuSO4 to CUCl2</v>
      </c>
      <c r="E2189" s="10" t="str">
        <f>IFERROR(VLOOKUP(B2189,'Pre-Summary'!$AT$6:$AX$15,4,FALSE),"")</f>
        <v/>
      </c>
      <c r="F2189">
        <f>IFERROR(VLOOKUP(B2189,'Pre-Summary'!$AL$6:$AQ$13,6,FALSE),F2188)</f>
        <v>5.9405263157894746E-2</v>
      </c>
      <c r="G2189" t="str">
        <f>IFERROR(VLOOKUP(B2189,'Pre-Summary'!$AE$6:$AJ$85,3,FALSE),"")</f>
        <v/>
      </c>
      <c r="H2189" t="str">
        <f>IFERROR(VLOOKUP(B2189,'Pre-Summary'!$AE$6:$AJ$85,4,FALSE),"")</f>
        <v/>
      </c>
      <c r="I2189" t="str">
        <f>IFERROR(VLOOKUP(B2189,'Pre-Summary'!$AE$6:$AJ$85,5,FALSE),"")</f>
        <v/>
      </c>
      <c r="J2189" s="45" t="str">
        <f>IFERROR(VLOOKUP(B2189,'Pre-Summary'!$AE$6:$AJ$85,6, FALSE),"")</f>
        <v/>
      </c>
      <c r="K2189" s="45" t="str">
        <f>IFERROR(VLOOKUP(B2189,'Pre-Summary'!$DE$6:$DG$61,3,FALSE),"")</f>
        <v/>
      </c>
      <c r="L2189" s="45" t="str">
        <f>IFERROR(VLOOKUP(B2189,'Pre-Summary'!$CU$6:$CW$36,3,FALSE),"")</f>
        <v/>
      </c>
      <c r="M2189" s="45" t="str">
        <f>IFERROR(VLOOKUP(B2189,'Pre-Summary'!$BW$6:$BY$58,2,FALSE),"")</f>
        <v/>
      </c>
      <c r="N2189" s="45" t="str">
        <f>IFERROR(VLOOKUP(B2189,'Pre-Summary'!$CD$6:$CF$64,2,FALSE),"")</f>
        <v/>
      </c>
      <c r="O2189" s="99">
        <f>IFERROR(VLOOKUP(B2189,'Pre-Summary'!$BO$6:$BQ$48,3, FALSE),O2188)</f>
        <v>1.508</v>
      </c>
      <c r="P2189" s="99">
        <f>IFERROR(VLOOKUP(B2189,'Pre-Summary'!$BS$6:$BU$35,3,FALSE),P2188)</f>
        <v>0.379</v>
      </c>
      <c r="Q2189" s="54">
        <f t="shared" si="102"/>
        <v>3.9788918205804751</v>
      </c>
      <c r="R2189" s="53">
        <f>IFERROR(VLOOKUP(B2189,'Pre-Summary'!$BG$6:$BM$44,7,FALSE),R2190)</f>
        <v>9.7948682664336664E-2</v>
      </c>
      <c r="S2189" s="53">
        <f>IFERROR(VLOOKUP(B2189,'Pre-Summary'!$BG$6:$BM$44,6,FALSE),S2190)</f>
        <v>0.10614035087720526</v>
      </c>
      <c r="T2189" s="45" t="str">
        <f>IFERROR(VLOOKUP(B2189,'Pre-Summary'!$Y$6:$AC$83, 3,FALSE),"")</f>
        <v/>
      </c>
      <c r="U2189" s="45" t="str">
        <f>IFERROR(VLOOKUP(B2189,'Pre-Summary'!$Y$6:$AC$83, 4,FALSE),"")</f>
        <v/>
      </c>
      <c r="V2189" t="str">
        <f>IFERROR(VLOOKUP(B2189,'Pre-Summary'!$Y$6:$AC$83, 5,FALSE),"")</f>
        <v/>
      </c>
      <c r="W2189" s="45" t="str">
        <f>IFERROR(VLOOKUP(B2189,'Pre-Summary'!$Y$6:$AD$83,6,FALSE),"")</f>
        <v/>
      </c>
      <c r="X2189" t="str">
        <f>IFERROR(VLOOKUP('Pre-Summary'!$DB$6:$DD$63,3,FALSE),"")</f>
        <v/>
      </c>
      <c r="Y2189" t="str">
        <f>IFERROR(VLOOKUP(B2189,'Pre-Summary'!$CR$6:$CT$36,3,FALSE),"")</f>
        <v/>
      </c>
      <c r="Z2189" s="45" t="str">
        <f>IFERROR(VLOOKUP(B2189,'Pre-Summary'!$BZ$6:$CB$63,2,FALSE),"")</f>
        <v/>
      </c>
      <c r="AA2189" s="45" t="str">
        <f>IFERROR(VLOOKUP(B2189,'Pre-Summary'!$CG$6:$CI$70,2,FALSE),"")</f>
        <v/>
      </c>
      <c r="AB2189" s="99">
        <f>IFERROR(VLOOKUP(B2189,'Pre-Summary'!$A$6:$P$178,9,FALSE),AB2190)</f>
        <v>0.37590984103005748</v>
      </c>
      <c r="AC2189" s="10">
        <f>IFERROR(VLOOKUP(Summary!B2189,'Pre-Summary'!$A$6:$P$184,5, FALSE)/100,AC2190)</f>
        <v>0.9466433333333335</v>
      </c>
      <c r="AD2189" s="10">
        <f>IFERROR(VLOOKUP(Summary!B2189,'Pre-Summary'!$A$6:$P$184,3, FALSE)/100,AD2190)</f>
        <v>3.9913666666666667E-2</v>
      </c>
      <c r="AE2189" s="10">
        <f>IFERROR(VLOOKUP(Summary!B2189,'Pre-Summary'!$A$6:$P$184,7, FALSE)/100,AE2190)</f>
        <v>1.3442999999999998E-2</v>
      </c>
      <c r="AF2189" s="99">
        <f t="shared" si="103"/>
        <v>1.500394009159337E-2</v>
      </c>
      <c r="AG2189" s="99">
        <f t="shared" si="104"/>
        <v>5.0533559929670617E-3</v>
      </c>
      <c r="AH2189" s="10" t="str">
        <f>IFERROR(VLOOKUP(B2189,'Pre-Summary'!$AZ$6:$BE$65,3,FALSE),"")</f>
        <v/>
      </c>
      <c r="AI2189" s="10" t="str">
        <f>IFERROR(VLOOKUP(B2189,'Pre-Summary'!$AZ$6:$BE$65,5,FALSE),"")</f>
        <v/>
      </c>
      <c r="AJ2189" s="10" t="str">
        <f>IFERROR(VLOOKUP(B2189,'Pre-Summary'!$AZ$6:$BE$65,4,FALSE),"")</f>
        <v/>
      </c>
      <c r="AK2189" s="10" t="str">
        <f>IFERROR(VLOOKUP(B2189,'Pre-Summary'!$AZ$6:$BE$65,6,FALSE),"")</f>
        <v/>
      </c>
      <c r="AL2189" s="10" t="str">
        <f>IFERROR(VLOOKUP(B2189,'Pre-Summary'!$BG$6:$BL$44,3,FALSE),"")</f>
        <v/>
      </c>
      <c r="AM2189" s="10" t="str">
        <f>IFERROR(VLOOKUP(B2189,'Pre-Summary'!$BG$6:$BL$44,4,FALSE),"")</f>
        <v/>
      </c>
    </row>
    <row r="2190" spans="2:39" ht="15" customHeight="1" x14ac:dyDescent="0.3">
      <c r="B2190">
        <v>218.7</v>
      </c>
      <c r="C2190" t="str">
        <f>IFERROR(VLOOKUP(B2190,'Pre-Summary'!$DI$6:$DM$23,4,FALSE),"")</f>
        <v/>
      </c>
      <c r="D2190" s="10" t="str">
        <f>IFERROR(VLOOKUP(B2190,'Pre-Summary'!$AT$6:$AX$14,5,FALSE),D2189)</f>
        <v>Wolfe v3: went back to modified wolfe + EDTA and switched CuSO4 to CUCl2</v>
      </c>
      <c r="E2190" s="10" t="str">
        <f>IFERROR(VLOOKUP(B2190,'Pre-Summary'!$AT$6:$AX$15,4,FALSE),"")</f>
        <v/>
      </c>
      <c r="F2190">
        <f>IFERROR(VLOOKUP(B2190,'Pre-Summary'!$AL$6:$AQ$13,6,FALSE),F2189)</f>
        <v>5.9405263157894746E-2</v>
      </c>
      <c r="G2190" t="str">
        <f>IFERROR(VLOOKUP(B2190,'Pre-Summary'!$AE$6:$AJ$85,3,FALSE),"")</f>
        <v/>
      </c>
      <c r="H2190" t="str">
        <f>IFERROR(VLOOKUP(B2190,'Pre-Summary'!$AE$6:$AJ$85,4,FALSE),"")</f>
        <v/>
      </c>
      <c r="I2190" t="str">
        <f>IFERROR(VLOOKUP(B2190,'Pre-Summary'!$AE$6:$AJ$85,5,FALSE),"")</f>
        <v/>
      </c>
      <c r="J2190" s="45" t="str">
        <f>IFERROR(VLOOKUP(B2190,'Pre-Summary'!$AE$6:$AJ$85,6, FALSE),"")</f>
        <v/>
      </c>
      <c r="K2190" s="45" t="str">
        <f>IFERROR(VLOOKUP(B2190,'Pre-Summary'!$DE$6:$DG$61,3,FALSE),"")</f>
        <v/>
      </c>
      <c r="L2190" s="45" t="str">
        <f>IFERROR(VLOOKUP(B2190,'Pre-Summary'!$CU$6:$CW$36,3,FALSE),"")</f>
        <v/>
      </c>
      <c r="M2190" s="45" t="str">
        <f>IFERROR(VLOOKUP(B2190,'Pre-Summary'!$BW$6:$BY$58,2,FALSE),"")</f>
        <v/>
      </c>
      <c r="N2190" s="45" t="str">
        <f>IFERROR(VLOOKUP(B2190,'Pre-Summary'!$CD$6:$CF$64,2,FALSE),"")</f>
        <v/>
      </c>
      <c r="O2190" s="99">
        <f>IFERROR(VLOOKUP(B2190,'Pre-Summary'!$BO$6:$BQ$48,3, FALSE),O2189)</f>
        <v>1.508</v>
      </c>
      <c r="P2190" s="99">
        <f>IFERROR(VLOOKUP(B2190,'Pre-Summary'!$BS$6:$BU$35,3,FALSE),P2189)</f>
        <v>0.379</v>
      </c>
      <c r="Q2190" s="54">
        <f t="shared" si="102"/>
        <v>3.9788918205804751</v>
      </c>
      <c r="R2190" s="53">
        <f>IFERROR(VLOOKUP(B2190,'Pre-Summary'!$BG$6:$BM$44,7,FALSE),R2191)</f>
        <v>9.7948682664336664E-2</v>
      </c>
      <c r="S2190" s="53">
        <f>IFERROR(VLOOKUP(B2190,'Pre-Summary'!$BG$6:$BM$44,6,FALSE),S2191)</f>
        <v>0.10614035087720526</v>
      </c>
      <c r="T2190" s="45" t="str">
        <f>IFERROR(VLOOKUP(B2190,'Pre-Summary'!$Y$6:$AC$83, 3,FALSE),"")</f>
        <v/>
      </c>
      <c r="U2190" s="45" t="str">
        <f>IFERROR(VLOOKUP(B2190,'Pre-Summary'!$Y$6:$AC$83, 4,FALSE),"")</f>
        <v/>
      </c>
      <c r="V2190" t="str">
        <f>IFERROR(VLOOKUP(B2190,'Pre-Summary'!$Y$6:$AC$83, 5,FALSE),"")</f>
        <v/>
      </c>
      <c r="W2190" s="45" t="str">
        <f>IFERROR(VLOOKUP(B2190,'Pre-Summary'!$Y$6:$AD$83,6,FALSE),"")</f>
        <v/>
      </c>
      <c r="X2190" t="str">
        <f>IFERROR(VLOOKUP('Pre-Summary'!$DB$6:$DD$63,3,FALSE),"")</f>
        <v/>
      </c>
      <c r="Y2190" t="str">
        <f>IFERROR(VLOOKUP(B2190,'Pre-Summary'!$CR$6:$CT$36,3,FALSE),"")</f>
        <v/>
      </c>
      <c r="Z2190" s="45" t="str">
        <f>IFERROR(VLOOKUP(B2190,'Pre-Summary'!$BZ$6:$CB$63,2,FALSE),"")</f>
        <v/>
      </c>
      <c r="AA2190" s="45" t="str">
        <f>IFERROR(VLOOKUP(B2190,'Pre-Summary'!$CG$6:$CI$70,2,FALSE),"")</f>
        <v/>
      </c>
      <c r="AB2190" s="99">
        <f>IFERROR(VLOOKUP(B2190,'Pre-Summary'!$A$6:$P$178,9,FALSE),AB2191)</f>
        <v>0.37590984103005748</v>
      </c>
      <c r="AC2190" s="10">
        <f>IFERROR(VLOOKUP(Summary!B2190,'Pre-Summary'!$A$6:$P$184,5, FALSE)/100,AC2191)</f>
        <v>0.9466433333333335</v>
      </c>
      <c r="AD2190" s="10">
        <f>IFERROR(VLOOKUP(Summary!B2190,'Pre-Summary'!$A$6:$P$184,3, FALSE)/100,AD2191)</f>
        <v>3.9913666666666667E-2</v>
      </c>
      <c r="AE2190" s="10">
        <f>IFERROR(VLOOKUP(Summary!B2190,'Pre-Summary'!$A$6:$P$184,7, FALSE)/100,AE2191)</f>
        <v>1.3442999999999998E-2</v>
      </c>
      <c r="AF2190" s="99">
        <f t="shared" si="103"/>
        <v>1.500394009159337E-2</v>
      </c>
      <c r="AG2190" s="99">
        <f t="shared" si="104"/>
        <v>5.0533559929670617E-3</v>
      </c>
      <c r="AH2190" s="10" t="str">
        <f>IFERROR(VLOOKUP(B2190,'Pre-Summary'!$AZ$6:$BE$65,3,FALSE),"")</f>
        <v/>
      </c>
      <c r="AI2190" s="10" t="str">
        <f>IFERROR(VLOOKUP(B2190,'Pre-Summary'!$AZ$6:$BE$65,5,FALSE),"")</f>
        <v/>
      </c>
      <c r="AJ2190" s="10" t="str">
        <f>IFERROR(VLOOKUP(B2190,'Pre-Summary'!$AZ$6:$BE$65,4,FALSE),"")</f>
        <v/>
      </c>
      <c r="AK2190" s="10" t="str">
        <f>IFERROR(VLOOKUP(B2190,'Pre-Summary'!$AZ$6:$BE$65,6,FALSE),"")</f>
        <v/>
      </c>
      <c r="AL2190" s="10" t="str">
        <f>IFERROR(VLOOKUP(B2190,'Pre-Summary'!$BG$6:$BL$44,3,FALSE),"")</f>
        <v/>
      </c>
      <c r="AM2190" s="10" t="str">
        <f>IFERROR(VLOOKUP(B2190,'Pre-Summary'!$BG$6:$BL$44,4,FALSE),"")</f>
        <v/>
      </c>
    </row>
    <row r="2191" spans="2:39" ht="15" customHeight="1" x14ac:dyDescent="0.3">
      <c r="B2191">
        <v>218.8</v>
      </c>
      <c r="C2191" t="str">
        <f>IFERROR(VLOOKUP(B2191,'Pre-Summary'!$DI$6:$DM$23,4,FALSE),"")</f>
        <v/>
      </c>
      <c r="D2191" s="10" t="str">
        <f>IFERROR(VLOOKUP(B2191,'Pre-Summary'!$AT$6:$AX$14,5,FALSE),D2190)</f>
        <v>Wolfe v3: went back to modified wolfe + EDTA and switched CuSO4 to CUCl2</v>
      </c>
      <c r="E2191" s="10" t="str">
        <f>IFERROR(VLOOKUP(B2191,'Pre-Summary'!$AT$6:$AX$15,4,FALSE),"")</f>
        <v/>
      </c>
      <c r="F2191">
        <f>IFERROR(VLOOKUP(B2191,'Pre-Summary'!$AL$6:$AQ$13,6,FALSE),F2190)</f>
        <v>5.9405263157894746E-2</v>
      </c>
      <c r="G2191" t="str">
        <f>IFERROR(VLOOKUP(B2191,'Pre-Summary'!$AE$6:$AJ$85,3,FALSE),"")</f>
        <v/>
      </c>
      <c r="H2191" t="str">
        <f>IFERROR(VLOOKUP(B2191,'Pre-Summary'!$AE$6:$AJ$85,4,FALSE),"")</f>
        <v/>
      </c>
      <c r="I2191" t="str">
        <f>IFERROR(VLOOKUP(B2191,'Pre-Summary'!$AE$6:$AJ$85,5,FALSE),"")</f>
        <v/>
      </c>
      <c r="J2191" s="45" t="str">
        <f>IFERROR(VLOOKUP(B2191,'Pre-Summary'!$AE$6:$AJ$85,6, FALSE),"")</f>
        <v/>
      </c>
      <c r="K2191" s="45" t="str">
        <f>IFERROR(VLOOKUP(B2191,'Pre-Summary'!$DE$6:$DG$61,3,FALSE),"")</f>
        <v/>
      </c>
      <c r="L2191" s="45" t="str">
        <f>IFERROR(VLOOKUP(B2191,'Pre-Summary'!$CU$6:$CW$36,3,FALSE),"")</f>
        <v/>
      </c>
      <c r="M2191" s="45" t="str">
        <f>IFERROR(VLOOKUP(B2191,'Pre-Summary'!$BW$6:$BY$58,2,FALSE),"")</f>
        <v/>
      </c>
      <c r="N2191" s="45" t="str">
        <f>IFERROR(VLOOKUP(B2191,'Pre-Summary'!$CD$6:$CF$64,2,FALSE),"")</f>
        <v/>
      </c>
      <c r="O2191" s="99">
        <f>IFERROR(VLOOKUP(B2191,'Pre-Summary'!$BO$6:$BQ$48,3, FALSE),O2190)</f>
        <v>1.508</v>
      </c>
      <c r="P2191" s="99">
        <f>IFERROR(VLOOKUP(B2191,'Pre-Summary'!$BS$6:$BU$35,3,FALSE),P2190)</f>
        <v>0.379</v>
      </c>
      <c r="Q2191" s="54">
        <f t="shared" si="102"/>
        <v>3.9788918205804751</v>
      </c>
      <c r="R2191" s="53">
        <f>IFERROR(VLOOKUP(B2191,'Pre-Summary'!$BG$6:$BM$44,7,FALSE),R2192)</f>
        <v>9.7948682664336664E-2</v>
      </c>
      <c r="S2191" s="53">
        <f>IFERROR(VLOOKUP(B2191,'Pre-Summary'!$BG$6:$BM$44,6,FALSE),S2192)</f>
        <v>0.10614035087720526</v>
      </c>
      <c r="T2191" s="45" t="str">
        <f>IFERROR(VLOOKUP(B2191,'Pre-Summary'!$Y$6:$AC$83, 3,FALSE),"")</f>
        <v/>
      </c>
      <c r="U2191" s="45" t="str">
        <f>IFERROR(VLOOKUP(B2191,'Pre-Summary'!$Y$6:$AC$83, 4,FALSE),"")</f>
        <v/>
      </c>
      <c r="V2191" t="str">
        <f>IFERROR(VLOOKUP(B2191,'Pre-Summary'!$Y$6:$AC$83, 5,FALSE),"")</f>
        <v/>
      </c>
      <c r="W2191" s="45" t="str">
        <f>IFERROR(VLOOKUP(B2191,'Pre-Summary'!$Y$6:$AD$83,6,FALSE),"")</f>
        <v/>
      </c>
      <c r="X2191" t="str">
        <f>IFERROR(VLOOKUP('Pre-Summary'!$DB$6:$DD$63,3,FALSE),"")</f>
        <v/>
      </c>
      <c r="Y2191" t="str">
        <f>IFERROR(VLOOKUP(B2191,'Pre-Summary'!$CR$6:$CT$36,3,FALSE),"")</f>
        <v/>
      </c>
      <c r="Z2191" s="45" t="str">
        <f>IFERROR(VLOOKUP(B2191,'Pre-Summary'!$BZ$6:$CB$63,2,FALSE),"")</f>
        <v/>
      </c>
      <c r="AA2191" s="45" t="str">
        <f>IFERROR(VLOOKUP(B2191,'Pre-Summary'!$CG$6:$CI$70,2,FALSE),"")</f>
        <v/>
      </c>
      <c r="AB2191" s="99">
        <f>IFERROR(VLOOKUP(B2191,'Pre-Summary'!$A$6:$P$178,9,FALSE),AB2192)</f>
        <v>0.37590984103005748</v>
      </c>
      <c r="AC2191" s="10">
        <f>IFERROR(VLOOKUP(Summary!B2191,'Pre-Summary'!$A$6:$P$184,5, FALSE)/100,AC2192)</f>
        <v>0.9466433333333335</v>
      </c>
      <c r="AD2191" s="10">
        <f>IFERROR(VLOOKUP(Summary!B2191,'Pre-Summary'!$A$6:$P$184,3, FALSE)/100,AD2192)</f>
        <v>3.9913666666666667E-2</v>
      </c>
      <c r="AE2191" s="10">
        <f>IFERROR(VLOOKUP(Summary!B2191,'Pre-Summary'!$A$6:$P$184,7, FALSE)/100,AE2192)</f>
        <v>1.3442999999999998E-2</v>
      </c>
      <c r="AF2191" s="99">
        <f t="shared" si="103"/>
        <v>1.500394009159337E-2</v>
      </c>
      <c r="AG2191" s="99">
        <f t="shared" si="104"/>
        <v>5.0533559929670617E-3</v>
      </c>
      <c r="AH2191" s="10" t="str">
        <f>IFERROR(VLOOKUP(B2191,'Pre-Summary'!$AZ$6:$BE$65,3,FALSE),"")</f>
        <v/>
      </c>
      <c r="AI2191" s="10" t="str">
        <f>IFERROR(VLOOKUP(B2191,'Pre-Summary'!$AZ$6:$BE$65,5,FALSE),"")</f>
        <v/>
      </c>
      <c r="AJ2191" s="10" t="str">
        <f>IFERROR(VLOOKUP(B2191,'Pre-Summary'!$AZ$6:$BE$65,4,FALSE),"")</f>
        <v/>
      </c>
      <c r="AK2191" s="10" t="str">
        <f>IFERROR(VLOOKUP(B2191,'Pre-Summary'!$AZ$6:$BE$65,6,FALSE),"")</f>
        <v/>
      </c>
      <c r="AL2191" s="10" t="str">
        <f>IFERROR(VLOOKUP(B2191,'Pre-Summary'!$BG$6:$BL$44,3,FALSE),"")</f>
        <v/>
      </c>
      <c r="AM2191" s="10" t="str">
        <f>IFERROR(VLOOKUP(B2191,'Pre-Summary'!$BG$6:$BL$44,4,FALSE),"")</f>
        <v/>
      </c>
    </row>
    <row r="2192" spans="2:39" ht="15" customHeight="1" x14ac:dyDescent="0.3">
      <c r="B2192">
        <v>218.9</v>
      </c>
      <c r="C2192" t="str">
        <f>IFERROR(VLOOKUP(B2192,'Pre-Summary'!$DI$6:$DM$23,4,FALSE),"")</f>
        <v/>
      </c>
      <c r="D2192" s="10" t="str">
        <f>IFERROR(VLOOKUP(B2192,'Pre-Summary'!$AT$6:$AX$14,5,FALSE),D2191)</f>
        <v>Wolfe v3: went back to modified wolfe + EDTA and switched CuSO4 to CUCl2</v>
      </c>
      <c r="E2192" s="10" t="str">
        <f>IFERROR(VLOOKUP(B2192,'Pre-Summary'!$AT$6:$AX$15,4,FALSE),"")</f>
        <v/>
      </c>
      <c r="F2192">
        <f>IFERROR(VLOOKUP(B2192,'Pre-Summary'!$AL$6:$AQ$13,6,FALSE),F2191)</f>
        <v>5.9405263157894746E-2</v>
      </c>
      <c r="G2192" t="str">
        <f>IFERROR(VLOOKUP(B2192,'Pre-Summary'!$AE$6:$AJ$85,3,FALSE),"")</f>
        <v/>
      </c>
      <c r="H2192" t="str">
        <f>IFERROR(VLOOKUP(B2192,'Pre-Summary'!$AE$6:$AJ$85,4,FALSE),"")</f>
        <v/>
      </c>
      <c r="I2192" t="str">
        <f>IFERROR(VLOOKUP(B2192,'Pre-Summary'!$AE$6:$AJ$85,5,FALSE),"")</f>
        <v/>
      </c>
      <c r="J2192" s="45" t="str">
        <f>IFERROR(VLOOKUP(B2192,'Pre-Summary'!$AE$6:$AJ$85,6, FALSE),"")</f>
        <v/>
      </c>
      <c r="K2192" s="45" t="str">
        <f>IFERROR(VLOOKUP(B2192,'Pre-Summary'!$DE$6:$DG$61,3,FALSE),"")</f>
        <v/>
      </c>
      <c r="L2192" s="45" t="str">
        <f>IFERROR(VLOOKUP(B2192,'Pre-Summary'!$CU$6:$CW$36,3,FALSE),"")</f>
        <v/>
      </c>
      <c r="M2192" s="45" t="str">
        <f>IFERROR(VLOOKUP(B2192,'Pre-Summary'!$BW$6:$BY$58,2,FALSE),"")</f>
        <v/>
      </c>
      <c r="N2192" s="45" t="str">
        <f>IFERROR(VLOOKUP(B2192,'Pre-Summary'!$CD$6:$CF$64,2,FALSE),"")</f>
        <v/>
      </c>
      <c r="O2192" s="99">
        <f>IFERROR(VLOOKUP(B2192,'Pre-Summary'!$BO$6:$BQ$48,3, FALSE),O2191)</f>
        <v>1.508</v>
      </c>
      <c r="P2192" s="99">
        <f>IFERROR(VLOOKUP(B2192,'Pre-Summary'!$BS$6:$BU$35,3,FALSE),P2191)</f>
        <v>0.379</v>
      </c>
      <c r="Q2192" s="54">
        <f t="shared" si="102"/>
        <v>3.9788918205804751</v>
      </c>
      <c r="R2192" s="53">
        <f>IFERROR(VLOOKUP(B2192,'Pre-Summary'!$BG$6:$BM$44,7,FALSE),R2193)</f>
        <v>9.7948682664336664E-2</v>
      </c>
      <c r="S2192" s="53">
        <f>IFERROR(VLOOKUP(B2192,'Pre-Summary'!$BG$6:$BM$44,6,FALSE),S2193)</f>
        <v>0.10614035087720526</v>
      </c>
      <c r="T2192" s="45" t="str">
        <f>IFERROR(VLOOKUP(B2192,'Pre-Summary'!$Y$6:$AC$83, 3,FALSE),"")</f>
        <v/>
      </c>
      <c r="U2192" s="45" t="str">
        <f>IFERROR(VLOOKUP(B2192,'Pre-Summary'!$Y$6:$AC$83, 4,FALSE),"")</f>
        <v/>
      </c>
      <c r="V2192" t="str">
        <f>IFERROR(VLOOKUP(B2192,'Pre-Summary'!$Y$6:$AC$83, 5,FALSE),"")</f>
        <v/>
      </c>
      <c r="W2192" s="45" t="str">
        <f>IFERROR(VLOOKUP(B2192,'Pre-Summary'!$Y$6:$AD$83,6,FALSE),"")</f>
        <v/>
      </c>
      <c r="X2192" t="str">
        <f>IFERROR(VLOOKUP('Pre-Summary'!$DB$6:$DD$63,3,FALSE),"")</f>
        <v/>
      </c>
      <c r="Y2192" t="str">
        <f>IFERROR(VLOOKUP(B2192,'Pre-Summary'!$CR$6:$CT$36,3,FALSE),"")</f>
        <v/>
      </c>
      <c r="Z2192" s="45" t="str">
        <f>IFERROR(VLOOKUP(B2192,'Pre-Summary'!$BZ$6:$CB$63,2,FALSE),"")</f>
        <v/>
      </c>
      <c r="AA2192" s="45" t="str">
        <f>IFERROR(VLOOKUP(B2192,'Pre-Summary'!$CG$6:$CI$70,2,FALSE),"")</f>
        <v/>
      </c>
      <c r="AB2192" s="99">
        <f>IFERROR(VLOOKUP(B2192,'Pre-Summary'!$A$6:$P$178,9,FALSE),AB2193)</f>
        <v>0.37590984103005748</v>
      </c>
      <c r="AC2192" s="10">
        <f>IFERROR(VLOOKUP(Summary!B2192,'Pre-Summary'!$A$6:$P$184,5, FALSE)/100,AC2193)</f>
        <v>0.9466433333333335</v>
      </c>
      <c r="AD2192" s="10">
        <f>IFERROR(VLOOKUP(Summary!B2192,'Pre-Summary'!$A$6:$P$184,3, FALSE)/100,AD2193)</f>
        <v>3.9913666666666667E-2</v>
      </c>
      <c r="AE2192" s="10">
        <f>IFERROR(VLOOKUP(Summary!B2192,'Pre-Summary'!$A$6:$P$184,7, FALSE)/100,AE2193)</f>
        <v>1.3442999999999998E-2</v>
      </c>
      <c r="AF2192" s="99">
        <f t="shared" si="103"/>
        <v>1.500394009159337E-2</v>
      </c>
      <c r="AG2192" s="99">
        <f t="shared" si="104"/>
        <v>5.0533559929670617E-3</v>
      </c>
      <c r="AH2192" s="10" t="str">
        <f>IFERROR(VLOOKUP(B2192,'Pre-Summary'!$AZ$6:$BE$65,3,FALSE),"")</f>
        <v/>
      </c>
      <c r="AI2192" s="10" t="str">
        <f>IFERROR(VLOOKUP(B2192,'Pre-Summary'!$AZ$6:$BE$65,5,FALSE),"")</f>
        <v/>
      </c>
      <c r="AJ2192" s="10" t="str">
        <f>IFERROR(VLOOKUP(B2192,'Pre-Summary'!$AZ$6:$BE$65,4,FALSE),"")</f>
        <v/>
      </c>
      <c r="AK2192" s="10" t="str">
        <f>IFERROR(VLOOKUP(B2192,'Pre-Summary'!$AZ$6:$BE$65,6,FALSE),"")</f>
        <v/>
      </c>
      <c r="AL2192" s="10" t="str">
        <f>IFERROR(VLOOKUP(B2192,'Pre-Summary'!$BG$6:$BL$44,3,FALSE),"")</f>
        <v/>
      </c>
      <c r="AM2192" s="10" t="str">
        <f>IFERROR(VLOOKUP(B2192,'Pre-Summary'!$BG$6:$BL$44,4,FALSE),"")</f>
        <v/>
      </c>
    </row>
    <row r="2193" spans="2:39" ht="15" customHeight="1" x14ac:dyDescent="0.3">
      <c r="B2193">
        <v>219</v>
      </c>
      <c r="C2193" t="str">
        <f>IFERROR(VLOOKUP(B2193,'Pre-Summary'!$DI$6:$DM$23,4,FALSE),"")</f>
        <v/>
      </c>
      <c r="D2193" s="10" t="str">
        <f>IFERROR(VLOOKUP(B2193,'Pre-Summary'!$AT$6:$AX$14,5,FALSE),D2192)</f>
        <v>Wolfe v3: went back to modified wolfe + EDTA and switched CuSO4 to CUCl2</v>
      </c>
      <c r="E2193" s="10" t="str">
        <f>IFERROR(VLOOKUP(B2193,'Pre-Summary'!$AT$6:$AX$15,4,FALSE),"")</f>
        <v/>
      </c>
      <c r="F2193">
        <f>IFERROR(VLOOKUP(B2193,'Pre-Summary'!$AL$6:$AQ$13,6,FALSE),F2192)</f>
        <v>5.9405263157894746E-2</v>
      </c>
      <c r="G2193" t="str">
        <f>IFERROR(VLOOKUP(B2193,'Pre-Summary'!$AE$6:$AJ$85,3,FALSE),"")</f>
        <v/>
      </c>
      <c r="H2193" t="str">
        <f>IFERROR(VLOOKUP(B2193,'Pre-Summary'!$AE$6:$AJ$85,4,FALSE),"")</f>
        <v/>
      </c>
      <c r="I2193" t="str">
        <f>IFERROR(VLOOKUP(B2193,'Pre-Summary'!$AE$6:$AJ$85,5,FALSE),"")</f>
        <v/>
      </c>
      <c r="J2193" s="45" t="str">
        <f>IFERROR(VLOOKUP(B2193,'Pre-Summary'!$AE$6:$AJ$85,6, FALSE),"")</f>
        <v/>
      </c>
      <c r="K2193" s="45" t="str">
        <f>IFERROR(VLOOKUP(B2193,'Pre-Summary'!$DE$6:$DG$61,3,FALSE),"")</f>
        <v/>
      </c>
      <c r="L2193" s="45" t="str">
        <f>IFERROR(VLOOKUP(B2193,'Pre-Summary'!$CU$6:$CW$36,3,FALSE),"")</f>
        <v/>
      </c>
      <c r="M2193" s="45" t="str">
        <f>IFERROR(VLOOKUP(B2193,'Pre-Summary'!$BW$6:$BY$58,2,FALSE),"")</f>
        <v/>
      </c>
      <c r="N2193" s="45" t="str">
        <f>IFERROR(VLOOKUP(B2193,'Pre-Summary'!$CD$6:$CF$64,2,FALSE),"")</f>
        <v/>
      </c>
      <c r="O2193" s="99">
        <f>IFERROR(VLOOKUP(B2193,'Pre-Summary'!$BO$6:$BQ$48,3, FALSE),O2192)</f>
        <v>1.508</v>
      </c>
      <c r="P2193" s="99">
        <f>IFERROR(VLOOKUP(B2193,'Pre-Summary'!$BS$6:$BU$35,3,FALSE),P2192)</f>
        <v>0.379</v>
      </c>
      <c r="Q2193" s="54">
        <f t="shared" si="102"/>
        <v>3.9788918205804751</v>
      </c>
      <c r="R2193" s="53">
        <f>IFERROR(VLOOKUP(B2193,'Pre-Summary'!$BG$6:$BM$44,7,FALSE),R2194)</f>
        <v>9.7948682664336664E-2</v>
      </c>
      <c r="S2193" s="53">
        <f>IFERROR(VLOOKUP(B2193,'Pre-Summary'!$BG$6:$BM$44,6,FALSE),S2194)</f>
        <v>0.10614035087720526</v>
      </c>
      <c r="T2193" s="45" t="str">
        <f>IFERROR(VLOOKUP(B2193,'Pre-Summary'!$Y$6:$AC$83, 3,FALSE),"")</f>
        <v/>
      </c>
      <c r="U2193" s="45" t="str">
        <f>IFERROR(VLOOKUP(B2193,'Pre-Summary'!$Y$6:$AC$83, 4,FALSE),"")</f>
        <v/>
      </c>
      <c r="V2193" t="str">
        <f>IFERROR(VLOOKUP(B2193,'Pre-Summary'!$Y$6:$AC$83, 5,FALSE),"")</f>
        <v/>
      </c>
      <c r="W2193" s="45" t="str">
        <f>IFERROR(VLOOKUP(B2193,'Pre-Summary'!$Y$6:$AD$83,6,FALSE),"")</f>
        <v/>
      </c>
      <c r="X2193" t="str">
        <f>IFERROR(VLOOKUP('Pre-Summary'!$DB$6:$DD$63,3,FALSE),"")</f>
        <v/>
      </c>
      <c r="Y2193" t="str">
        <f>IFERROR(VLOOKUP(B2193,'Pre-Summary'!$CR$6:$CT$36,3,FALSE),"")</f>
        <v/>
      </c>
      <c r="Z2193" s="45" t="str">
        <f>IFERROR(VLOOKUP(B2193,'Pre-Summary'!$BZ$6:$CB$63,2,FALSE),"")</f>
        <v/>
      </c>
      <c r="AA2193" s="45" t="str">
        <f>IFERROR(VLOOKUP(B2193,'Pre-Summary'!$CG$6:$CI$70,2,FALSE),"")</f>
        <v/>
      </c>
      <c r="AB2193" s="99">
        <f>IFERROR(VLOOKUP(B2193,'Pre-Summary'!$A$6:$P$178,9,FALSE),AB2194)</f>
        <v>0.35465514391001818</v>
      </c>
      <c r="AC2193" s="10">
        <f>IFERROR(VLOOKUP(Summary!B2193,'Pre-Summary'!$A$6:$P$184,5, FALSE)/100,AC2194)</f>
        <v>0.94276500000000008</v>
      </c>
      <c r="AD2193" s="10">
        <f>IFERROR(VLOOKUP(Summary!B2193,'Pre-Summary'!$A$6:$P$184,3, FALSE)/100,AD2194)</f>
        <v>4.2818000000000002E-2</v>
      </c>
      <c r="AE2193" s="10">
        <f>IFERROR(VLOOKUP(Summary!B2193,'Pre-Summary'!$A$6:$P$184,7, FALSE)/100,AE2194)</f>
        <v>1.4416999999999999E-2</v>
      </c>
      <c r="AF2193" s="99">
        <f t="shared" si="103"/>
        <v>1.5185623951939158E-2</v>
      </c>
      <c r="AG2193" s="99">
        <f t="shared" si="104"/>
        <v>5.1130632097507317E-3</v>
      </c>
      <c r="AH2193" s="10" t="str">
        <f>IFERROR(VLOOKUP(B2193,'Pre-Summary'!$AZ$6:$BE$65,3,FALSE),"")</f>
        <v/>
      </c>
      <c r="AI2193" s="10" t="str">
        <f>IFERROR(VLOOKUP(B2193,'Pre-Summary'!$AZ$6:$BE$65,5,FALSE),"")</f>
        <v/>
      </c>
      <c r="AJ2193" s="10" t="str">
        <f>IFERROR(VLOOKUP(B2193,'Pre-Summary'!$AZ$6:$BE$65,4,FALSE),"")</f>
        <v/>
      </c>
      <c r="AK2193" s="10" t="str">
        <f>IFERROR(VLOOKUP(B2193,'Pre-Summary'!$AZ$6:$BE$65,6,FALSE),"")</f>
        <v/>
      </c>
      <c r="AL2193" s="10" t="str">
        <f>IFERROR(VLOOKUP(B2193,'Pre-Summary'!$BG$6:$BL$44,3,FALSE),"")</f>
        <v/>
      </c>
      <c r="AM2193" s="10" t="str">
        <f>IFERROR(VLOOKUP(B2193,'Pre-Summary'!$BG$6:$BL$44,4,FALSE),"")</f>
        <v/>
      </c>
    </row>
    <row r="2194" spans="2:39" ht="15" customHeight="1" x14ac:dyDescent="0.3">
      <c r="B2194">
        <v>219.1</v>
      </c>
      <c r="C2194" t="str">
        <f>IFERROR(VLOOKUP(B2194,'Pre-Summary'!$DI$6:$DM$23,4,FALSE),"")</f>
        <v/>
      </c>
      <c r="D2194" s="10" t="str">
        <f>IFERROR(VLOOKUP(B2194,'Pre-Summary'!$AT$6:$AX$14,5,FALSE),D2193)</f>
        <v>Wolfe v3: went back to modified wolfe + EDTA and switched CuSO4 to CUCl2</v>
      </c>
      <c r="E2194" s="10" t="str">
        <f>IFERROR(VLOOKUP(B2194,'Pre-Summary'!$AT$6:$AX$15,4,FALSE),"")</f>
        <v/>
      </c>
      <c r="F2194">
        <f>IFERROR(VLOOKUP(B2194,'Pre-Summary'!$AL$6:$AQ$13,6,FALSE),F2193)</f>
        <v>5.9405263157894746E-2</v>
      </c>
      <c r="G2194" t="str">
        <f>IFERROR(VLOOKUP(B2194,'Pre-Summary'!$AE$6:$AJ$85,3,FALSE),"")</f>
        <v/>
      </c>
      <c r="H2194" t="str">
        <f>IFERROR(VLOOKUP(B2194,'Pre-Summary'!$AE$6:$AJ$85,4,FALSE),"")</f>
        <v/>
      </c>
      <c r="I2194" t="str">
        <f>IFERROR(VLOOKUP(B2194,'Pre-Summary'!$AE$6:$AJ$85,5,FALSE),"")</f>
        <v/>
      </c>
      <c r="J2194" s="45" t="str">
        <f>IFERROR(VLOOKUP(B2194,'Pre-Summary'!$AE$6:$AJ$85,6, FALSE),"")</f>
        <v/>
      </c>
      <c r="K2194" s="45" t="str">
        <f>IFERROR(VLOOKUP(B2194,'Pre-Summary'!$DE$6:$DG$61,3,FALSE),"")</f>
        <v/>
      </c>
      <c r="L2194" s="45" t="str">
        <f>IFERROR(VLOOKUP(B2194,'Pre-Summary'!$CU$6:$CW$36,3,FALSE),"")</f>
        <v/>
      </c>
      <c r="M2194" s="45" t="str">
        <f>IFERROR(VLOOKUP(B2194,'Pre-Summary'!$BW$6:$BY$58,2,FALSE),"")</f>
        <v/>
      </c>
      <c r="N2194" s="45" t="str">
        <f>IFERROR(VLOOKUP(B2194,'Pre-Summary'!$CD$6:$CF$64,2,FALSE),"")</f>
        <v/>
      </c>
      <c r="O2194" s="99">
        <f>IFERROR(VLOOKUP(B2194,'Pre-Summary'!$BO$6:$BQ$48,3, FALSE),O2193)</f>
        <v>1.508</v>
      </c>
      <c r="P2194" s="99">
        <f>IFERROR(VLOOKUP(B2194,'Pre-Summary'!$BS$6:$BU$35,3,FALSE),P2193)</f>
        <v>0.379</v>
      </c>
      <c r="Q2194" s="54">
        <f t="shared" si="102"/>
        <v>3.9788918205804751</v>
      </c>
      <c r="R2194" s="53">
        <f>IFERROR(VLOOKUP(B2194,'Pre-Summary'!$BG$6:$BM$44,7,FALSE),R2195)</f>
        <v>9.7948682664336664E-2</v>
      </c>
      <c r="S2194" s="53">
        <f>IFERROR(VLOOKUP(B2194,'Pre-Summary'!$BG$6:$BM$44,6,FALSE),S2195)</f>
        <v>0.10614035087720526</v>
      </c>
      <c r="T2194" s="45" t="str">
        <f>IFERROR(VLOOKUP(B2194,'Pre-Summary'!$Y$6:$AC$83, 3,FALSE),"")</f>
        <v/>
      </c>
      <c r="U2194" s="45" t="str">
        <f>IFERROR(VLOOKUP(B2194,'Pre-Summary'!$Y$6:$AC$83, 4,FALSE),"")</f>
        <v/>
      </c>
      <c r="V2194" t="str">
        <f>IFERROR(VLOOKUP(B2194,'Pre-Summary'!$Y$6:$AC$83, 5,FALSE),"")</f>
        <v/>
      </c>
      <c r="W2194" s="45" t="str">
        <f>IFERROR(VLOOKUP(B2194,'Pre-Summary'!$Y$6:$AD$83,6,FALSE),"")</f>
        <v/>
      </c>
      <c r="X2194" t="str">
        <f>IFERROR(VLOOKUP('Pre-Summary'!$DB$6:$DD$63,3,FALSE),"")</f>
        <v/>
      </c>
      <c r="Y2194" t="str">
        <f>IFERROR(VLOOKUP(B2194,'Pre-Summary'!$CR$6:$CT$36,3,FALSE),"")</f>
        <v/>
      </c>
      <c r="Z2194" s="45" t="str">
        <f>IFERROR(VLOOKUP(B2194,'Pre-Summary'!$BZ$6:$CB$63,2,FALSE),"")</f>
        <v/>
      </c>
      <c r="AA2194" s="45" t="str">
        <f>IFERROR(VLOOKUP(B2194,'Pre-Summary'!$CG$6:$CI$70,2,FALSE),"")</f>
        <v/>
      </c>
      <c r="AB2194" s="99">
        <f>IFERROR(VLOOKUP(B2194,'Pre-Summary'!$A$6:$P$178,9,FALSE),AB2195)</f>
        <v>0.35465514391001818</v>
      </c>
      <c r="AC2194" s="10">
        <f>IFERROR(VLOOKUP(Summary!B2194,'Pre-Summary'!$A$6:$P$184,5, FALSE)/100,AC2195)</f>
        <v>0.94276500000000008</v>
      </c>
      <c r="AD2194" s="10">
        <f>IFERROR(VLOOKUP(Summary!B2194,'Pre-Summary'!$A$6:$P$184,3, FALSE)/100,AD2195)</f>
        <v>4.2818000000000002E-2</v>
      </c>
      <c r="AE2194" s="10">
        <f>IFERROR(VLOOKUP(Summary!B2194,'Pre-Summary'!$A$6:$P$184,7, FALSE)/100,AE2195)</f>
        <v>1.4416999999999999E-2</v>
      </c>
      <c r="AF2194" s="99">
        <f t="shared" si="103"/>
        <v>1.5185623951939158E-2</v>
      </c>
      <c r="AG2194" s="99">
        <f t="shared" si="104"/>
        <v>5.1130632097507317E-3</v>
      </c>
      <c r="AH2194" s="10" t="str">
        <f>IFERROR(VLOOKUP(B2194,'Pre-Summary'!$AZ$6:$BE$65,3,FALSE),"")</f>
        <v/>
      </c>
      <c r="AI2194" s="10" t="str">
        <f>IFERROR(VLOOKUP(B2194,'Pre-Summary'!$AZ$6:$BE$65,5,FALSE),"")</f>
        <v/>
      </c>
      <c r="AJ2194" s="10" t="str">
        <f>IFERROR(VLOOKUP(B2194,'Pre-Summary'!$AZ$6:$BE$65,4,FALSE),"")</f>
        <v/>
      </c>
      <c r="AK2194" s="10" t="str">
        <f>IFERROR(VLOOKUP(B2194,'Pre-Summary'!$AZ$6:$BE$65,6,FALSE),"")</f>
        <v/>
      </c>
      <c r="AL2194" s="10" t="str">
        <f>IFERROR(VLOOKUP(B2194,'Pre-Summary'!$BG$6:$BL$44,3,FALSE),"")</f>
        <v/>
      </c>
      <c r="AM2194" s="10" t="str">
        <f>IFERROR(VLOOKUP(B2194,'Pre-Summary'!$BG$6:$BL$44,4,FALSE),"")</f>
        <v/>
      </c>
    </row>
    <row r="2195" spans="2:39" ht="15" customHeight="1" x14ac:dyDescent="0.3">
      <c r="B2195">
        <v>219.2</v>
      </c>
      <c r="C2195" t="str">
        <f>IFERROR(VLOOKUP(B2195,'Pre-Summary'!$DI$6:$DM$23,4,FALSE),"")</f>
        <v/>
      </c>
      <c r="D2195" s="10" t="str">
        <f>IFERROR(VLOOKUP(B2195,'Pre-Summary'!$AT$6:$AX$14,5,FALSE),D2194)</f>
        <v>Wolfe v3: went back to modified wolfe + EDTA and switched CuSO4 to CUCl2</v>
      </c>
      <c r="E2195" s="10" t="str">
        <f>IFERROR(VLOOKUP(B2195,'Pre-Summary'!$AT$6:$AX$15,4,FALSE),"")</f>
        <v/>
      </c>
      <c r="F2195">
        <f>IFERROR(VLOOKUP(B2195,'Pre-Summary'!$AL$6:$AQ$13,6,FALSE),F2194)</f>
        <v>5.9405263157894746E-2</v>
      </c>
      <c r="G2195" t="str">
        <f>IFERROR(VLOOKUP(B2195,'Pre-Summary'!$AE$6:$AJ$85,3,FALSE),"")</f>
        <v/>
      </c>
      <c r="H2195" t="str">
        <f>IFERROR(VLOOKUP(B2195,'Pre-Summary'!$AE$6:$AJ$85,4,FALSE),"")</f>
        <v/>
      </c>
      <c r="I2195" t="str">
        <f>IFERROR(VLOOKUP(B2195,'Pre-Summary'!$AE$6:$AJ$85,5,FALSE),"")</f>
        <v/>
      </c>
      <c r="J2195" s="45" t="str">
        <f>IFERROR(VLOOKUP(B2195,'Pre-Summary'!$AE$6:$AJ$85,6, FALSE),"")</f>
        <v/>
      </c>
      <c r="K2195" s="45" t="str">
        <f>IFERROR(VLOOKUP(B2195,'Pre-Summary'!$DE$6:$DG$61,3,FALSE),"")</f>
        <v/>
      </c>
      <c r="L2195" s="45" t="str">
        <f>IFERROR(VLOOKUP(B2195,'Pre-Summary'!$CU$6:$CW$36,3,FALSE),"")</f>
        <v/>
      </c>
      <c r="M2195" s="45" t="str">
        <f>IFERROR(VLOOKUP(B2195,'Pre-Summary'!$BW$6:$BY$58,2,FALSE),"")</f>
        <v/>
      </c>
      <c r="N2195" s="45" t="str">
        <f>IFERROR(VLOOKUP(B2195,'Pre-Summary'!$CD$6:$CF$64,2,FALSE),"")</f>
        <v/>
      </c>
      <c r="O2195" s="99">
        <f>IFERROR(VLOOKUP(B2195,'Pre-Summary'!$BO$6:$BQ$48,3, FALSE),O2194)</f>
        <v>1.508</v>
      </c>
      <c r="P2195" s="99">
        <f>IFERROR(VLOOKUP(B2195,'Pre-Summary'!$BS$6:$BU$35,3,FALSE),P2194)</f>
        <v>0.379</v>
      </c>
      <c r="Q2195" s="54">
        <f t="shared" si="102"/>
        <v>3.9788918205804751</v>
      </c>
      <c r="R2195" s="53">
        <f>IFERROR(VLOOKUP(B2195,'Pre-Summary'!$BG$6:$BM$44,7,FALSE),R2196)</f>
        <v>9.7948682664336664E-2</v>
      </c>
      <c r="S2195" s="53">
        <f>IFERROR(VLOOKUP(B2195,'Pre-Summary'!$BG$6:$BM$44,6,FALSE),S2196)</f>
        <v>0.10614035087720526</v>
      </c>
      <c r="T2195" s="45" t="str">
        <f>IFERROR(VLOOKUP(B2195,'Pre-Summary'!$Y$6:$AC$83, 3,FALSE),"")</f>
        <v/>
      </c>
      <c r="U2195" s="45" t="str">
        <f>IFERROR(VLOOKUP(B2195,'Pre-Summary'!$Y$6:$AC$83, 4,FALSE),"")</f>
        <v/>
      </c>
      <c r="V2195" t="str">
        <f>IFERROR(VLOOKUP(B2195,'Pre-Summary'!$Y$6:$AC$83, 5,FALSE),"")</f>
        <v/>
      </c>
      <c r="W2195" s="45" t="str">
        <f>IFERROR(VLOOKUP(B2195,'Pre-Summary'!$Y$6:$AD$83,6,FALSE),"")</f>
        <v/>
      </c>
      <c r="X2195" t="str">
        <f>IFERROR(VLOOKUP('Pre-Summary'!$DB$6:$DD$63,3,FALSE),"")</f>
        <v/>
      </c>
      <c r="Y2195" t="str">
        <f>IFERROR(VLOOKUP(B2195,'Pre-Summary'!$CR$6:$CT$36,3,FALSE),"")</f>
        <v/>
      </c>
      <c r="Z2195" s="45" t="str">
        <f>IFERROR(VLOOKUP(B2195,'Pre-Summary'!$BZ$6:$CB$63,2,FALSE),"")</f>
        <v/>
      </c>
      <c r="AA2195" s="45" t="str">
        <f>IFERROR(VLOOKUP(B2195,'Pre-Summary'!$CG$6:$CI$70,2,FALSE),"")</f>
        <v/>
      </c>
      <c r="AB2195" s="99">
        <f>IFERROR(VLOOKUP(B2195,'Pre-Summary'!$A$6:$P$178,9,FALSE),AB2196)</f>
        <v>0.35465514391001818</v>
      </c>
      <c r="AC2195" s="10">
        <f>IFERROR(VLOOKUP(Summary!B2195,'Pre-Summary'!$A$6:$P$184,5, FALSE)/100,AC2196)</f>
        <v>0.94276500000000008</v>
      </c>
      <c r="AD2195" s="10">
        <f>IFERROR(VLOOKUP(Summary!B2195,'Pre-Summary'!$A$6:$P$184,3, FALSE)/100,AD2196)</f>
        <v>4.2818000000000002E-2</v>
      </c>
      <c r="AE2195" s="10">
        <f>IFERROR(VLOOKUP(Summary!B2195,'Pre-Summary'!$A$6:$P$184,7, FALSE)/100,AE2196)</f>
        <v>1.4416999999999999E-2</v>
      </c>
      <c r="AF2195" s="99">
        <f t="shared" si="103"/>
        <v>1.5185623951939158E-2</v>
      </c>
      <c r="AG2195" s="99">
        <f t="shared" si="104"/>
        <v>5.1130632097507317E-3</v>
      </c>
      <c r="AH2195" s="10" t="str">
        <f>IFERROR(VLOOKUP(B2195,'Pre-Summary'!$AZ$6:$BE$65,3,FALSE),"")</f>
        <v/>
      </c>
      <c r="AI2195" s="10" t="str">
        <f>IFERROR(VLOOKUP(B2195,'Pre-Summary'!$AZ$6:$BE$65,5,FALSE),"")</f>
        <v/>
      </c>
      <c r="AJ2195" s="10" t="str">
        <f>IFERROR(VLOOKUP(B2195,'Pre-Summary'!$AZ$6:$BE$65,4,FALSE),"")</f>
        <v/>
      </c>
      <c r="AK2195" s="10" t="str">
        <f>IFERROR(VLOOKUP(B2195,'Pre-Summary'!$AZ$6:$BE$65,6,FALSE),"")</f>
        <v/>
      </c>
      <c r="AL2195" s="10" t="str">
        <f>IFERROR(VLOOKUP(B2195,'Pre-Summary'!$BG$6:$BL$44,3,FALSE),"")</f>
        <v/>
      </c>
      <c r="AM2195" s="10" t="str">
        <f>IFERROR(VLOOKUP(B2195,'Pre-Summary'!$BG$6:$BL$44,4,FALSE),"")</f>
        <v/>
      </c>
    </row>
    <row r="2196" spans="2:39" ht="15" customHeight="1" x14ac:dyDescent="0.3">
      <c r="B2196">
        <v>219.3</v>
      </c>
      <c r="C2196" t="str">
        <f>IFERROR(VLOOKUP(B2196,'Pre-Summary'!$DI$6:$DM$23,4,FALSE),"")</f>
        <v/>
      </c>
      <c r="D2196" s="10" t="str">
        <f>IFERROR(VLOOKUP(B2196,'Pre-Summary'!$AT$6:$AX$14,5,FALSE),D2195)</f>
        <v>Wolfe v3: went back to modified wolfe + EDTA and switched CuSO4 to CUCl2</v>
      </c>
      <c r="E2196" s="10" t="str">
        <f>IFERROR(VLOOKUP(B2196,'Pre-Summary'!$AT$6:$AX$15,4,FALSE),"")</f>
        <v/>
      </c>
      <c r="F2196">
        <f>IFERROR(VLOOKUP(B2196,'Pre-Summary'!$AL$6:$AQ$13,6,FALSE),F2195)</f>
        <v>5.9405263157894746E-2</v>
      </c>
      <c r="G2196" t="str">
        <f>IFERROR(VLOOKUP(B2196,'Pre-Summary'!$AE$6:$AJ$85,3,FALSE),"")</f>
        <v/>
      </c>
      <c r="H2196" t="str">
        <f>IFERROR(VLOOKUP(B2196,'Pre-Summary'!$AE$6:$AJ$85,4,FALSE),"")</f>
        <v/>
      </c>
      <c r="I2196" t="str">
        <f>IFERROR(VLOOKUP(B2196,'Pre-Summary'!$AE$6:$AJ$85,5,FALSE),"")</f>
        <v/>
      </c>
      <c r="J2196" s="45" t="str">
        <f>IFERROR(VLOOKUP(B2196,'Pre-Summary'!$AE$6:$AJ$85,6, FALSE),"")</f>
        <v/>
      </c>
      <c r="K2196" s="45" t="str">
        <f>IFERROR(VLOOKUP(B2196,'Pre-Summary'!$DE$6:$DG$61,3,FALSE),"")</f>
        <v/>
      </c>
      <c r="L2196" s="45" t="str">
        <f>IFERROR(VLOOKUP(B2196,'Pre-Summary'!$CU$6:$CW$36,3,FALSE),"")</f>
        <v/>
      </c>
      <c r="M2196" s="45" t="str">
        <f>IFERROR(VLOOKUP(B2196,'Pre-Summary'!$BW$6:$BY$58,2,FALSE),"")</f>
        <v/>
      </c>
      <c r="N2196" s="45" t="str">
        <f>IFERROR(VLOOKUP(B2196,'Pre-Summary'!$CD$6:$CF$64,2,FALSE),"")</f>
        <v/>
      </c>
      <c r="O2196" s="99">
        <f>IFERROR(VLOOKUP(B2196,'Pre-Summary'!$BO$6:$BQ$48,3, FALSE),O2195)</f>
        <v>1.508</v>
      </c>
      <c r="P2196" s="99">
        <f>IFERROR(VLOOKUP(B2196,'Pre-Summary'!$BS$6:$BU$35,3,FALSE),P2195)</f>
        <v>0.379</v>
      </c>
      <c r="Q2196" s="54">
        <f t="shared" si="102"/>
        <v>3.9788918205804751</v>
      </c>
      <c r="R2196" s="53">
        <f>IFERROR(VLOOKUP(B2196,'Pre-Summary'!$BG$6:$BM$44,7,FALSE),R2197)</f>
        <v>9.7948682664336664E-2</v>
      </c>
      <c r="S2196" s="53">
        <f>IFERROR(VLOOKUP(B2196,'Pre-Summary'!$BG$6:$BM$44,6,FALSE),S2197)</f>
        <v>0.10614035087720526</v>
      </c>
      <c r="T2196" s="45" t="str">
        <f>IFERROR(VLOOKUP(B2196,'Pre-Summary'!$Y$6:$AC$83, 3,FALSE),"")</f>
        <v/>
      </c>
      <c r="U2196" s="45" t="str">
        <f>IFERROR(VLOOKUP(B2196,'Pre-Summary'!$Y$6:$AC$83, 4,FALSE),"")</f>
        <v/>
      </c>
      <c r="V2196" t="str">
        <f>IFERROR(VLOOKUP(B2196,'Pre-Summary'!$Y$6:$AC$83, 5,FALSE),"")</f>
        <v/>
      </c>
      <c r="W2196" s="45" t="str">
        <f>IFERROR(VLOOKUP(B2196,'Pre-Summary'!$Y$6:$AD$83,6,FALSE),"")</f>
        <v/>
      </c>
      <c r="X2196" t="str">
        <f>IFERROR(VLOOKUP('Pre-Summary'!$DB$6:$DD$63,3,FALSE),"")</f>
        <v/>
      </c>
      <c r="Y2196" t="str">
        <f>IFERROR(VLOOKUP(B2196,'Pre-Summary'!$CR$6:$CT$36,3,FALSE),"")</f>
        <v/>
      </c>
      <c r="Z2196" s="45" t="str">
        <f>IFERROR(VLOOKUP(B2196,'Pre-Summary'!$BZ$6:$CB$63,2,FALSE),"")</f>
        <v/>
      </c>
      <c r="AA2196" s="45" t="str">
        <f>IFERROR(VLOOKUP(B2196,'Pre-Summary'!$CG$6:$CI$70,2,FALSE),"")</f>
        <v/>
      </c>
      <c r="AB2196" s="99">
        <f>IFERROR(VLOOKUP(B2196,'Pre-Summary'!$A$6:$P$178,9,FALSE),AB2197)</f>
        <v>0.35465514391001818</v>
      </c>
      <c r="AC2196" s="10">
        <f>IFERROR(VLOOKUP(Summary!B2196,'Pre-Summary'!$A$6:$P$184,5, FALSE)/100,AC2197)</f>
        <v>0.94276500000000008</v>
      </c>
      <c r="AD2196" s="10">
        <f>IFERROR(VLOOKUP(Summary!B2196,'Pre-Summary'!$A$6:$P$184,3, FALSE)/100,AD2197)</f>
        <v>4.2818000000000002E-2</v>
      </c>
      <c r="AE2196" s="10">
        <f>IFERROR(VLOOKUP(Summary!B2196,'Pre-Summary'!$A$6:$P$184,7, FALSE)/100,AE2197)</f>
        <v>1.4416999999999999E-2</v>
      </c>
      <c r="AF2196" s="99">
        <f t="shared" si="103"/>
        <v>1.5185623951939158E-2</v>
      </c>
      <c r="AG2196" s="99">
        <f t="shared" si="104"/>
        <v>5.1130632097507317E-3</v>
      </c>
      <c r="AH2196" s="10" t="str">
        <f>IFERROR(VLOOKUP(B2196,'Pre-Summary'!$AZ$6:$BE$65,3,FALSE),"")</f>
        <v/>
      </c>
      <c r="AI2196" s="10" t="str">
        <f>IFERROR(VLOOKUP(B2196,'Pre-Summary'!$AZ$6:$BE$65,5,FALSE),"")</f>
        <v/>
      </c>
      <c r="AJ2196" s="10" t="str">
        <f>IFERROR(VLOOKUP(B2196,'Pre-Summary'!$AZ$6:$BE$65,4,FALSE),"")</f>
        <v/>
      </c>
      <c r="AK2196" s="10" t="str">
        <f>IFERROR(VLOOKUP(B2196,'Pre-Summary'!$AZ$6:$BE$65,6,FALSE),"")</f>
        <v/>
      </c>
      <c r="AL2196" s="10" t="str">
        <f>IFERROR(VLOOKUP(B2196,'Pre-Summary'!$BG$6:$BL$44,3,FALSE),"")</f>
        <v/>
      </c>
      <c r="AM2196" s="10" t="str">
        <f>IFERROR(VLOOKUP(B2196,'Pre-Summary'!$BG$6:$BL$44,4,FALSE),"")</f>
        <v/>
      </c>
    </row>
    <row r="2197" spans="2:39" ht="15" customHeight="1" x14ac:dyDescent="0.3">
      <c r="B2197">
        <v>219.4</v>
      </c>
      <c r="C2197" t="str">
        <f>IFERROR(VLOOKUP(B2197,'Pre-Summary'!$DI$6:$DM$23,4,FALSE),"")</f>
        <v/>
      </c>
      <c r="D2197" s="10" t="str">
        <f>IFERROR(VLOOKUP(B2197,'Pre-Summary'!$AT$6:$AX$14,5,FALSE),D2196)</f>
        <v>Wolfe v3: went back to modified wolfe + EDTA and switched CuSO4 to CUCl2</v>
      </c>
      <c r="E2197" s="10" t="str">
        <f>IFERROR(VLOOKUP(B2197,'Pre-Summary'!$AT$6:$AX$15,4,FALSE),"")</f>
        <v/>
      </c>
      <c r="F2197">
        <f>IFERROR(VLOOKUP(B2197,'Pre-Summary'!$AL$6:$AQ$13,6,FALSE),F2196)</f>
        <v>5.9405263157894746E-2</v>
      </c>
      <c r="G2197" t="str">
        <f>IFERROR(VLOOKUP(B2197,'Pre-Summary'!$AE$6:$AJ$85,3,FALSE),"")</f>
        <v/>
      </c>
      <c r="H2197" t="str">
        <f>IFERROR(VLOOKUP(B2197,'Pre-Summary'!$AE$6:$AJ$85,4,FALSE),"")</f>
        <v/>
      </c>
      <c r="I2197" t="str">
        <f>IFERROR(VLOOKUP(B2197,'Pre-Summary'!$AE$6:$AJ$85,5,FALSE),"")</f>
        <v/>
      </c>
      <c r="J2197" s="45" t="str">
        <f>IFERROR(VLOOKUP(B2197,'Pre-Summary'!$AE$6:$AJ$85,6, FALSE),"")</f>
        <v/>
      </c>
      <c r="K2197" s="45" t="str">
        <f>IFERROR(VLOOKUP(B2197,'Pre-Summary'!$DE$6:$DG$61,3,FALSE),"")</f>
        <v/>
      </c>
      <c r="L2197" s="45" t="str">
        <f>IFERROR(VLOOKUP(B2197,'Pre-Summary'!$CU$6:$CW$36,3,FALSE),"")</f>
        <v/>
      </c>
      <c r="M2197" s="45" t="str">
        <f>IFERROR(VLOOKUP(B2197,'Pre-Summary'!$BW$6:$BY$58,2,FALSE),"")</f>
        <v/>
      </c>
      <c r="N2197" s="45" t="str">
        <f>IFERROR(VLOOKUP(B2197,'Pre-Summary'!$CD$6:$CF$64,2,FALSE),"")</f>
        <v/>
      </c>
      <c r="O2197" s="99">
        <f>IFERROR(VLOOKUP(B2197,'Pre-Summary'!$BO$6:$BQ$48,3, FALSE),O2196)</f>
        <v>1.508</v>
      </c>
      <c r="P2197" s="99">
        <f>IFERROR(VLOOKUP(B2197,'Pre-Summary'!$BS$6:$BU$35,3,FALSE),P2196)</f>
        <v>0.379</v>
      </c>
      <c r="Q2197" s="54">
        <f t="shared" si="102"/>
        <v>3.9788918205804751</v>
      </c>
      <c r="R2197" s="53">
        <f>IFERROR(VLOOKUP(B2197,'Pre-Summary'!$BG$6:$BM$44,7,FALSE),R2198)</f>
        <v>9.7948682664336664E-2</v>
      </c>
      <c r="S2197" s="53">
        <f>IFERROR(VLOOKUP(B2197,'Pre-Summary'!$BG$6:$BM$44,6,FALSE),S2198)</f>
        <v>0.10614035087720526</v>
      </c>
      <c r="T2197" s="45" t="str">
        <f>IFERROR(VLOOKUP(B2197,'Pre-Summary'!$Y$6:$AC$83, 3,FALSE),"")</f>
        <v/>
      </c>
      <c r="U2197" s="45" t="str">
        <f>IFERROR(VLOOKUP(B2197,'Pre-Summary'!$Y$6:$AC$83, 4,FALSE),"")</f>
        <v/>
      </c>
      <c r="V2197" t="str">
        <f>IFERROR(VLOOKUP(B2197,'Pre-Summary'!$Y$6:$AC$83, 5,FALSE),"")</f>
        <v/>
      </c>
      <c r="W2197" s="45" t="str">
        <f>IFERROR(VLOOKUP(B2197,'Pre-Summary'!$Y$6:$AD$83,6,FALSE),"")</f>
        <v/>
      </c>
      <c r="X2197" t="str">
        <f>IFERROR(VLOOKUP('Pre-Summary'!$DB$6:$DD$63,3,FALSE),"")</f>
        <v/>
      </c>
      <c r="Y2197" t="str">
        <f>IFERROR(VLOOKUP(B2197,'Pre-Summary'!$CR$6:$CT$36,3,FALSE),"")</f>
        <v/>
      </c>
      <c r="Z2197" s="45" t="str">
        <f>IFERROR(VLOOKUP(B2197,'Pre-Summary'!$BZ$6:$CB$63,2,FALSE),"")</f>
        <v/>
      </c>
      <c r="AA2197" s="45" t="str">
        <f>IFERROR(VLOOKUP(B2197,'Pre-Summary'!$CG$6:$CI$70,2,FALSE),"")</f>
        <v/>
      </c>
      <c r="AB2197" s="99">
        <f>IFERROR(VLOOKUP(B2197,'Pre-Summary'!$A$6:$P$178,9,FALSE),AB2198)</f>
        <v>0.35465514391001818</v>
      </c>
      <c r="AC2197" s="10">
        <f>IFERROR(VLOOKUP(Summary!B2197,'Pre-Summary'!$A$6:$P$184,5, FALSE)/100,AC2198)</f>
        <v>0.94276500000000008</v>
      </c>
      <c r="AD2197" s="10">
        <f>IFERROR(VLOOKUP(Summary!B2197,'Pre-Summary'!$A$6:$P$184,3, FALSE)/100,AD2198)</f>
        <v>4.2818000000000002E-2</v>
      </c>
      <c r="AE2197" s="10">
        <f>IFERROR(VLOOKUP(Summary!B2197,'Pre-Summary'!$A$6:$P$184,7, FALSE)/100,AE2198)</f>
        <v>1.4416999999999999E-2</v>
      </c>
      <c r="AF2197" s="99">
        <f t="shared" si="103"/>
        <v>1.5185623951939158E-2</v>
      </c>
      <c r="AG2197" s="99">
        <f t="shared" si="104"/>
        <v>5.1130632097507317E-3</v>
      </c>
      <c r="AH2197" s="10" t="str">
        <f>IFERROR(VLOOKUP(B2197,'Pre-Summary'!$AZ$6:$BE$65,3,FALSE),"")</f>
        <v/>
      </c>
      <c r="AI2197" s="10" t="str">
        <f>IFERROR(VLOOKUP(B2197,'Pre-Summary'!$AZ$6:$BE$65,5,FALSE),"")</f>
        <v/>
      </c>
      <c r="AJ2197" s="10" t="str">
        <f>IFERROR(VLOOKUP(B2197,'Pre-Summary'!$AZ$6:$BE$65,4,FALSE),"")</f>
        <v/>
      </c>
      <c r="AK2197" s="10" t="str">
        <f>IFERROR(VLOOKUP(B2197,'Pre-Summary'!$AZ$6:$BE$65,6,FALSE),"")</f>
        <v/>
      </c>
      <c r="AL2197" s="10" t="str">
        <f>IFERROR(VLOOKUP(B2197,'Pre-Summary'!$BG$6:$BL$44,3,FALSE),"")</f>
        <v/>
      </c>
      <c r="AM2197" s="10" t="str">
        <f>IFERROR(VLOOKUP(B2197,'Pre-Summary'!$BG$6:$BL$44,4,FALSE),"")</f>
        <v/>
      </c>
    </row>
    <row r="2198" spans="2:39" ht="15" customHeight="1" x14ac:dyDescent="0.3">
      <c r="B2198">
        <v>219.5</v>
      </c>
      <c r="C2198" t="str">
        <f>IFERROR(VLOOKUP(B2198,'Pre-Summary'!$DI$6:$DM$23,4,FALSE),"")</f>
        <v/>
      </c>
      <c r="D2198" s="10" t="str">
        <f>IFERROR(VLOOKUP(B2198,'Pre-Summary'!$AT$6:$AX$14,5,FALSE),D2197)</f>
        <v>Wolfe v3: went back to modified wolfe + EDTA and switched CuSO4 to CUCl2</v>
      </c>
      <c r="E2198" s="10" t="str">
        <f>IFERROR(VLOOKUP(B2198,'Pre-Summary'!$AT$6:$AX$15,4,FALSE),"")</f>
        <v/>
      </c>
      <c r="F2198">
        <f>IFERROR(VLOOKUP(B2198,'Pre-Summary'!$AL$6:$AQ$13,6,FALSE),F2197)</f>
        <v>5.9405263157894746E-2</v>
      </c>
      <c r="G2198" t="str">
        <f>IFERROR(VLOOKUP(B2198,'Pre-Summary'!$AE$6:$AJ$85,3,FALSE),"")</f>
        <v/>
      </c>
      <c r="H2198" t="str">
        <f>IFERROR(VLOOKUP(B2198,'Pre-Summary'!$AE$6:$AJ$85,4,FALSE),"")</f>
        <v/>
      </c>
      <c r="I2198" t="str">
        <f>IFERROR(VLOOKUP(B2198,'Pre-Summary'!$AE$6:$AJ$85,5,FALSE),"")</f>
        <v/>
      </c>
      <c r="J2198" s="45" t="str">
        <f>IFERROR(VLOOKUP(B2198,'Pre-Summary'!$AE$6:$AJ$85,6, FALSE),"")</f>
        <v/>
      </c>
      <c r="K2198" s="45" t="str">
        <f>IFERROR(VLOOKUP(B2198,'Pre-Summary'!$DE$6:$DG$61,3,FALSE),"")</f>
        <v/>
      </c>
      <c r="L2198" s="45" t="str">
        <f>IFERROR(VLOOKUP(B2198,'Pre-Summary'!$CU$6:$CW$36,3,FALSE),"")</f>
        <v/>
      </c>
      <c r="M2198" s="45" t="str">
        <f>IFERROR(VLOOKUP(B2198,'Pre-Summary'!$BW$6:$BY$58,2,FALSE),"")</f>
        <v/>
      </c>
      <c r="N2198" s="45" t="str">
        <f>IFERROR(VLOOKUP(B2198,'Pre-Summary'!$CD$6:$CF$64,2,FALSE),"")</f>
        <v/>
      </c>
      <c r="O2198" s="99">
        <f>IFERROR(VLOOKUP(B2198,'Pre-Summary'!$BO$6:$BQ$48,3, FALSE),O2197)</f>
        <v>1.508</v>
      </c>
      <c r="P2198" s="99">
        <f>IFERROR(VLOOKUP(B2198,'Pre-Summary'!$BS$6:$BU$35,3,FALSE),P2197)</f>
        <v>0.379</v>
      </c>
      <c r="Q2198" s="54">
        <f t="shared" si="102"/>
        <v>3.9788918205804751</v>
      </c>
      <c r="R2198" s="53">
        <f>IFERROR(VLOOKUP(B2198,'Pre-Summary'!$BG$6:$BM$44,7,FALSE),R2199)</f>
        <v>9.7948682664336664E-2</v>
      </c>
      <c r="S2198" s="53">
        <f>IFERROR(VLOOKUP(B2198,'Pre-Summary'!$BG$6:$BM$44,6,FALSE),S2199)</f>
        <v>0.10614035087720526</v>
      </c>
      <c r="T2198" s="45" t="str">
        <f>IFERROR(VLOOKUP(B2198,'Pre-Summary'!$Y$6:$AC$83, 3,FALSE),"")</f>
        <v/>
      </c>
      <c r="U2198" s="45" t="str">
        <f>IFERROR(VLOOKUP(B2198,'Pre-Summary'!$Y$6:$AC$83, 4,FALSE),"")</f>
        <v/>
      </c>
      <c r="V2198" t="str">
        <f>IFERROR(VLOOKUP(B2198,'Pre-Summary'!$Y$6:$AC$83, 5,FALSE),"")</f>
        <v/>
      </c>
      <c r="W2198" s="45" t="str">
        <f>IFERROR(VLOOKUP(B2198,'Pre-Summary'!$Y$6:$AD$83,6,FALSE),"")</f>
        <v/>
      </c>
      <c r="X2198" t="str">
        <f>IFERROR(VLOOKUP('Pre-Summary'!$DB$6:$DD$63,3,FALSE),"")</f>
        <v/>
      </c>
      <c r="Y2198" t="str">
        <f>IFERROR(VLOOKUP(B2198,'Pre-Summary'!$CR$6:$CT$36,3,FALSE),"")</f>
        <v/>
      </c>
      <c r="Z2198" s="45" t="str">
        <f>IFERROR(VLOOKUP(B2198,'Pre-Summary'!$BZ$6:$CB$63,2,FALSE),"")</f>
        <v/>
      </c>
      <c r="AA2198" s="45" t="str">
        <f>IFERROR(VLOOKUP(B2198,'Pre-Summary'!$CG$6:$CI$70,2,FALSE),"")</f>
        <v/>
      </c>
      <c r="AB2198" s="99">
        <f>IFERROR(VLOOKUP(B2198,'Pre-Summary'!$A$6:$P$178,9,FALSE),AB2199)</f>
        <v>0.35465514391001818</v>
      </c>
      <c r="AC2198" s="10">
        <f>IFERROR(VLOOKUP(Summary!B2198,'Pre-Summary'!$A$6:$P$184,5, FALSE)/100,AC2199)</f>
        <v>0.94276500000000008</v>
      </c>
      <c r="AD2198" s="10">
        <f>IFERROR(VLOOKUP(Summary!B2198,'Pre-Summary'!$A$6:$P$184,3, FALSE)/100,AD2199)</f>
        <v>4.2818000000000002E-2</v>
      </c>
      <c r="AE2198" s="10">
        <f>IFERROR(VLOOKUP(Summary!B2198,'Pre-Summary'!$A$6:$P$184,7, FALSE)/100,AE2199)</f>
        <v>1.4416999999999999E-2</v>
      </c>
      <c r="AF2198" s="99">
        <f t="shared" si="103"/>
        <v>1.5185623951939158E-2</v>
      </c>
      <c r="AG2198" s="99">
        <f t="shared" si="104"/>
        <v>5.1130632097507317E-3</v>
      </c>
      <c r="AH2198" s="10" t="str">
        <f>IFERROR(VLOOKUP(B2198,'Pre-Summary'!$AZ$6:$BE$65,3,FALSE),"")</f>
        <v/>
      </c>
      <c r="AI2198" s="10" t="str">
        <f>IFERROR(VLOOKUP(B2198,'Pre-Summary'!$AZ$6:$BE$65,5,FALSE),"")</f>
        <v/>
      </c>
      <c r="AJ2198" s="10" t="str">
        <f>IFERROR(VLOOKUP(B2198,'Pre-Summary'!$AZ$6:$BE$65,4,FALSE),"")</f>
        <v/>
      </c>
      <c r="AK2198" s="10" t="str">
        <f>IFERROR(VLOOKUP(B2198,'Pre-Summary'!$AZ$6:$BE$65,6,FALSE),"")</f>
        <v/>
      </c>
      <c r="AL2198" s="10" t="str">
        <f>IFERROR(VLOOKUP(B2198,'Pre-Summary'!$BG$6:$BL$44,3,FALSE),"")</f>
        <v/>
      </c>
      <c r="AM2198" s="10" t="str">
        <f>IFERROR(VLOOKUP(B2198,'Pre-Summary'!$BG$6:$BL$44,4,FALSE),"")</f>
        <v/>
      </c>
    </row>
    <row r="2199" spans="2:39" ht="15" customHeight="1" x14ac:dyDescent="0.3">
      <c r="B2199">
        <v>219.6</v>
      </c>
      <c r="C2199" t="str">
        <f>IFERROR(VLOOKUP(B2199,'Pre-Summary'!$DI$6:$DM$23,4,FALSE),"")</f>
        <v/>
      </c>
      <c r="D2199" s="10" t="str">
        <f>IFERROR(VLOOKUP(B2199,'Pre-Summary'!$AT$6:$AX$14,5,FALSE),D2198)</f>
        <v>Wolfe v3: went back to modified wolfe + EDTA and switched CuSO4 to CUCl2</v>
      </c>
      <c r="E2199" s="10" t="str">
        <f>IFERROR(VLOOKUP(B2199,'Pre-Summary'!$AT$6:$AX$15,4,FALSE),"")</f>
        <v/>
      </c>
      <c r="F2199">
        <f>IFERROR(VLOOKUP(B2199,'Pre-Summary'!$AL$6:$AQ$13,6,FALSE),F2198)</f>
        <v>5.9405263157894746E-2</v>
      </c>
      <c r="G2199" t="str">
        <f>IFERROR(VLOOKUP(B2199,'Pre-Summary'!$AE$6:$AJ$85,3,FALSE),"")</f>
        <v/>
      </c>
      <c r="H2199" t="str">
        <f>IFERROR(VLOOKUP(B2199,'Pre-Summary'!$AE$6:$AJ$85,4,FALSE),"")</f>
        <v/>
      </c>
      <c r="I2199" t="str">
        <f>IFERROR(VLOOKUP(B2199,'Pre-Summary'!$AE$6:$AJ$85,5,FALSE),"")</f>
        <v/>
      </c>
      <c r="J2199" s="45" t="str">
        <f>IFERROR(VLOOKUP(B2199,'Pre-Summary'!$AE$6:$AJ$85,6, FALSE),"")</f>
        <v/>
      </c>
      <c r="K2199" s="45" t="str">
        <f>IFERROR(VLOOKUP(B2199,'Pre-Summary'!$DE$6:$DG$61,3,FALSE),"")</f>
        <v/>
      </c>
      <c r="L2199" s="45" t="str">
        <f>IFERROR(VLOOKUP(B2199,'Pre-Summary'!$CU$6:$CW$36,3,FALSE),"")</f>
        <v/>
      </c>
      <c r="M2199" s="45" t="str">
        <f>IFERROR(VLOOKUP(B2199,'Pre-Summary'!$BW$6:$BY$58,2,FALSE),"")</f>
        <v/>
      </c>
      <c r="N2199" s="45" t="str">
        <f>IFERROR(VLOOKUP(B2199,'Pre-Summary'!$CD$6:$CF$64,2,FALSE),"")</f>
        <v/>
      </c>
      <c r="O2199" s="99">
        <f>IFERROR(VLOOKUP(B2199,'Pre-Summary'!$BO$6:$BQ$48,3, FALSE),O2198)</f>
        <v>1.508</v>
      </c>
      <c r="P2199" s="99">
        <f>IFERROR(VLOOKUP(B2199,'Pre-Summary'!$BS$6:$BU$35,3,FALSE),P2198)</f>
        <v>0.379</v>
      </c>
      <c r="Q2199" s="54">
        <f t="shared" si="102"/>
        <v>3.9788918205804751</v>
      </c>
      <c r="R2199" s="53">
        <f>IFERROR(VLOOKUP(B2199,'Pre-Summary'!$BG$6:$BM$44,7,FALSE),R2200)</f>
        <v>9.7948682664336664E-2</v>
      </c>
      <c r="S2199" s="53">
        <f>IFERROR(VLOOKUP(B2199,'Pre-Summary'!$BG$6:$BM$44,6,FALSE),S2200)</f>
        <v>0.10614035087720526</v>
      </c>
      <c r="T2199" s="45" t="str">
        <f>IFERROR(VLOOKUP(B2199,'Pre-Summary'!$Y$6:$AC$83, 3,FALSE),"")</f>
        <v/>
      </c>
      <c r="U2199" s="45" t="str">
        <f>IFERROR(VLOOKUP(B2199,'Pre-Summary'!$Y$6:$AC$83, 4,FALSE),"")</f>
        <v/>
      </c>
      <c r="V2199" t="str">
        <f>IFERROR(VLOOKUP(B2199,'Pre-Summary'!$Y$6:$AC$83, 5,FALSE),"")</f>
        <v/>
      </c>
      <c r="W2199" s="45" t="str">
        <f>IFERROR(VLOOKUP(B2199,'Pre-Summary'!$Y$6:$AD$83,6,FALSE),"")</f>
        <v/>
      </c>
      <c r="X2199" t="str">
        <f>IFERROR(VLOOKUP('Pre-Summary'!$DB$6:$DD$63,3,FALSE),"")</f>
        <v/>
      </c>
      <c r="Y2199" t="str">
        <f>IFERROR(VLOOKUP(B2199,'Pre-Summary'!$CR$6:$CT$36,3,FALSE),"")</f>
        <v/>
      </c>
      <c r="Z2199" s="45" t="str">
        <f>IFERROR(VLOOKUP(B2199,'Pre-Summary'!$BZ$6:$CB$63,2,FALSE),"")</f>
        <v/>
      </c>
      <c r="AA2199" s="45" t="str">
        <f>IFERROR(VLOOKUP(B2199,'Pre-Summary'!$CG$6:$CI$70,2,FALSE),"")</f>
        <v/>
      </c>
      <c r="AB2199" s="99">
        <f>IFERROR(VLOOKUP(B2199,'Pre-Summary'!$A$6:$P$178,9,FALSE),AB2200)</f>
        <v>0.35465514391001818</v>
      </c>
      <c r="AC2199" s="10">
        <f>IFERROR(VLOOKUP(Summary!B2199,'Pre-Summary'!$A$6:$P$184,5, FALSE)/100,AC2200)</f>
        <v>0.94276500000000008</v>
      </c>
      <c r="AD2199" s="10">
        <f>IFERROR(VLOOKUP(Summary!B2199,'Pre-Summary'!$A$6:$P$184,3, FALSE)/100,AD2200)</f>
        <v>4.2818000000000002E-2</v>
      </c>
      <c r="AE2199" s="10">
        <f>IFERROR(VLOOKUP(Summary!B2199,'Pre-Summary'!$A$6:$P$184,7, FALSE)/100,AE2200)</f>
        <v>1.4416999999999999E-2</v>
      </c>
      <c r="AF2199" s="99">
        <f t="shared" si="103"/>
        <v>1.5185623951939158E-2</v>
      </c>
      <c r="AG2199" s="99">
        <f t="shared" si="104"/>
        <v>5.1130632097507317E-3</v>
      </c>
      <c r="AH2199" s="10" t="str">
        <f>IFERROR(VLOOKUP(B2199,'Pre-Summary'!$AZ$6:$BE$65,3,FALSE),"")</f>
        <v/>
      </c>
      <c r="AI2199" s="10" t="str">
        <f>IFERROR(VLOOKUP(B2199,'Pre-Summary'!$AZ$6:$BE$65,5,FALSE),"")</f>
        <v/>
      </c>
      <c r="AJ2199" s="10" t="str">
        <f>IFERROR(VLOOKUP(B2199,'Pre-Summary'!$AZ$6:$BE$65,4,FALSE),"")</f>
        <v/>
      </c>
      <c r="AK2199" s="10" t="str">
        <f>IFERROR(VLOOKUP(B2199,'Pre-Summary'!$AZ$6:$BE$65,6,FALSE),"")</f>
        <v/>
      </c>
      <c r="AL2199" s="10" t="str">
        <f>IFERROR(VLOOKUP(B2199,'Pre-Summary'!$BG$6:$BL$44,3,FALSE),"")</f>
        <v/>
      </c>
      <c r="AM2199" s="10" t="str">
        <f>IFERROR(VLOOKUP(B2199,'Pre-Summary'!$BG$6:$BL$44,4,FALSE),"")</f>
        <v/>
      </c>
    </row>
    <row r="2200" spans="2:39" ht="15" customHeight="1" x14ac:dyDescent="0.3">
      <c r="B2200">
        <v>219.7</v>
      </c>
      <c r="C2200" t="str">
        <f>IFERROR(VLOOKUP(B2200,'Pre-Summary'!$DI$6:$DM$23,4,FALSE),"")</f>
        <v/>
      </c>
      <c r="D2200" s="10" t="str">
        <f>IFERROR(VLOOKUP(B2200,'Pre-Summary'!$AT$6:$AX$14,5,FALSE),D2199)</f>
        <v>Wolfe v3: went back to modified wolfe + EDTA and switched CuSO4 to CUCl2</v>
      </c>
      <c r="E2200" s="10" t="str">
        <f>IFERROR(VLOOKUP(B2200,'Pre-Summary'!$AT$6:$AX$15,4,FALSE),"")</f>
        <v/>
      </c>
      <c r="F2200">
        <f>IFERROR(VLOOKUP(B2200,'Pre-Summary'!$AL$6:$AQ$13,6,FALSE),F2199)</f>
        <v>5.9405263157894746E-2</v>
      </c>
      <c r="G2200" t="str">
        <f>IFERROR(VLOOKUP(B2200,'Pre-Summary'!$AE$6:$AJ$85,3,FALSE),"")</f>
        <v/>
      </c>
      <c r="H2200" t="str">
        <f>IFERROR(VLOOKUP(B2200,'Pre-Summary'!$AE$6:$AJ$85,4,FALSE),"")</f>
        <v/>
      </c>
      <c r="I2200" t="str">
        <f>IFERROR(VLOOKUP(B2200,'Pre-Summary'!$AE$6:$AJ$85,5,FALSE),"")</f>
        <v/>
      </c>
      <c r="J2200" s="45" t="str">
        <f>IFERROR(VLOOKUP(B2200,'Pre-Summary'!$AE$6:$AJ$85,6, FALSE),"")</f>
        <v/>
      </c>
      <c r="K2200" s="45" t="str">
        <f>IFERROR(VLOOKUP(B2200,'Pre-Summary'!$DE$6:$DG$61,3,FALSE),"")</f>
        <v/>
      </c>
      <c r="L2200" s="45" t="str">
        <f>IFERROR(VLOOKUP(B2200,'Pre-Summary'!$CU$6:$CW$36,3,FALSE),"")</f>
        <v/>
      </c>
      <c r="M2200" s="45" t="str">
        <f>IFERROR(VLOOKUP(B2200,'Pre-Summary'!$BW$6:$BY$58,2,FALSE),"")</f>
        <v/>
      </c>
      <c r="N2200" s="45" t="str">
        <f>IFERROR(VLOOKUP(B2200,'Pre-Summary'!$CD$6:$CF$64,2,FALSE),"")</f>
        <v/>
      </c>
      <c r="O2200" s="99">
        <f>IFERROR(VLOOKUP(B2200,'Pre-Summary'!$BO$6:$BQ$48,3, FALSE),O2199)</f>
        <v>1.508</v>
      </c>
      <c r="P2200" s="99">
        <f>IFERROR(VLOOKUP(B2200,'Pre-Summary'!$BS$6:$BU$35,3,FALSE),P2199)</f>
        <v>0.379</v>
      </c>
      <c r="Q2200" s="54">
        <f t="shared" si="102"/>
        <v>3.9788918205804751</v>
      </c>
      <c r="R2200" s="53">
        <f>IFERROR(VLOOKUP(B2200,'Pre-Summary'!$BG$6:$BM$44,7,FALSE),R2201)</f>
        <v>9.7948682664336664E-2</v>
      </c>
      <c r="S2200" s="53">
        <f>IFERROR(VLOOKUP(B2200,'Pre-Summary'!$BG$6:$BM$44,6,FALSE),S2201)</f>
        <v>0.10614035087720526</v>
      </c>
      <c r="T2200" s="45" t="str">
        <f>IFERROR(VLOOKUP(B2200,'Pre-Summary'!$Y$6:$AC$83, 3,FALSE),"")</f>
        <v/>
      </c>
      <c r="U2200" s="45" t="str">
        <f>IFERROR(VLOOKUP(B2200,'Pre-Summary'!$Y$6:$AC$83, 4,FALSE),"")</f>
        <v/>
      </c>
      <c r="V2200" t="str">
        <f>IFERROR(VLOOKUP(B2200,'Pre-Summary'!$Y$6:$AC$83, 5,FALSE),"")</f>
        <v/>
      </c>
      <c r="W2200" s="45" t="str">
        <f>IFERROR(VLOOKUP(B2200,'Pre-Summary'!$Y$6:$AD$83,6,FALSE),"")</f>
        <v/>
      </c>
      <c r="X2200" t="str">
        <f>IFERROR(VLOOKUP('Pre-Summary'!$DB$6:$DD$63,3,FALSE),"")</f>
        <v/>
      </c>
      <c r="Y2200" t="str">
        <f>IFERROR(VLOOKUP(B2200,'Pre-Summary'!$CR$6:$CT$36,3,FALSE),"")</f>
        <v/>
      </c>
      <c r="Z2200" s="45" t="str">
        <f>IFERROR(VLOOKUP(B2200,'Pre-Summary'!$BZ$6:$CB$63,2,FALSE),"")</f>
        <v/>
      </c>
      <c r="AA2200" s="45" t="str">
        <f>IFERROR(VLOOKUP(B2200,'Pre-Summary'!$CG$6:$CI$70,2,FALSE),"")</f>
        <v/>
      </c>
      <c r="AB2200" s="99">
        <f>IFERROR(VLOOKUP(B2200,'Pre-Summary'!$A$6:$P$178,9,FALSE),AB2201)</f>
        <v>0.35465514391001818</v>
      </c>
      <c r="AC2200" s="10">
        <f>IFERROR(VLOOKUP(Summary!B2200,'Pre-Summary'!$A$6:$P$184,5, FALSE)/100,AC2201)</f>
        <v>0.94276500000000008</v>
      </c>
      <c r="AD2200" s="10">
        <f>IFERROR(VLOOKUP(Summary!B2200,'Pre-Summary'!$A$6:$P$184,3, FALSE)/100,AD2201)</f>
        <v>4.2818000000000002E-2</v>
      </c>
      <c r="AE2200" s="10">
        <f>IFERROR(VLOOKUP(Summary!B2200,'Pre-Summary'!$A$6:$P$184,7, FALSE)/100,AE2201)</f>
        <v>1.4416999999999999E-2</v>
      </c>
      <c r="AF2200" s="99">
        <f t="shared" si="103"/>
        <v>1.5185623951939158E-2</v>
      </c>
      <c r="AG2200" s="99">
        <f t="shared" si="104"/>
        <v>5.1130632097507317E-3</v>
      </c>
      <c r="AH2200" s="10" t="str">
        <f>IFERROR(VLOOKUP(B2200,'Pre-Summary'!$AZ$6:$BE$65,3,FALSE),"")</f>
        <v/>
      </c>
      <c r="AI2200" s="10" t="str">
        <f>IFERROR(VLOOKUP(B2200,'Pre-Summary'!$AZ$6:$BE$65,5,FALSE),"")</f>
        <v/>
      </c>
      <c r="AJ2200" s="10" t="str">
        <f>IFERROR(VLOOKUP(B2200,'Pre-Summary'!$AZ$6:$BE$65,4,FALSE),"")</f>
        <v/>
      </c>
      <c r="AK2200" s="10" t="str">
        <f>IFERROR(VLOOKUP(B2200,'Pre-Summary'!$AZ$6:$BE$65,6,FALSE),"")</f>
        <v/>
      </c>
      <c r="AL2200" s="10" t="str">
        <f>IFERROR(VLOOKUP(B2200,'Pre-Summary'!$BG$6:$BL$44,3,FALSE),"")</f>
        <v/>
      </c>
      <c r="AM2200" s="10" t="str">
        <f>IFERROR(VLOOKUP(B2200,'Pre-Summary'!$BG$6:$BL$44,4,FALSE),"")</f>
        <v/>
      </c>
    </row>
    <row r="2201" spans="2:39" ht="15" customHeight="1" x14ac:dyDescent="0.3">
      <c r="B2201">
        <v>219.8</v>
      </c>
      <c r="C2201" t="str">
        <f>IFERROR(VLOOKUP(B2201,'Pre-Summary'!$DI$6:$DM$23,4,FALSE),"")</f>
        <v/>
      </c>
      <c r="D2201" s="10" t="str">
        <f>IFERROR(VLOOKUP(B2201,'Pre-Summary'!$AT$6:$AX$14,5,FALSE),D2200)</f>
        <v>Wolfe v3: went back to modified wolfe + EDTA and switched CuSO4 to CUCl2</v>
      </c>
      <c r="E2201" s="10" t="str">
        <f>IFERROR(VLOOKUP(B2201,'Pre-Summary'!$AT$6:$AX$15,4,FALSE),"")</f>
        <v/>
      </c>
      <c r="F2201">
        <f>IFERROR(VLOOKUP(B2201,'Pre-Summary'!$AL$6:$AQ$13,6,FALSE),F2200)</f>
        <v>5.9405263157894746E-2</v>
      </c>
      <c r="G2201" t="str">
        <f>IFERROR(VLOOKUP(B2201,'Pre-Summary'!$AE$6:$AJ$85,3,FALSE),"")</f>
        <v/>
      </c>
      <c r="H2201" t="str">
        <f>IFERROR(VLOOKUP(B2201,'Pre-Summary'!$AE$6:$AJ$85,4,FALSE),"")</f>
        <v/>
      </c>
      <c r="I2201" t="str">
        <f>IFERROR(VLOOKUP(B2201,'Pre-Summary'!$AE$6:$AJ$85,5,FALSE),"")</f>
        <v/>
      </c>
      <c r="J2201" s="45" t="str">
        <f>IFERROR(VLOOKUP(B2201,'Pre-Summary'!$AE$6:$AJ$85,6, FALSE),"")</f>
        <v/>
      </c>
      <c r="K2201" s="45" t="str">
        <f>IFERROR(VLOOKUP(B2201,'Pre-Summary'!$DE$6:$DG$61,3,FALSE),"")</f>
        <v/>
      </c>
      <c r="L2201" s="45" t="str">
        <f>IFERROR(VLOOKUP(B2201,'Pre-Summary'!$CU$6:$CW$36,3,FALSE),"")</f>
        <v/>
      </c>
      <c r="M2201" s="45" t="str">
        <f>IFERROR(VLOOKUP(B2201,'Pre-Summary'!$BW$6:$BY$58,2,FALSE),"")</f>
        <v/>
      </c>
      <c r="N2201" s="45" t="str">
        <f>IFERROR(VLOOKUP(B2201,'Pre-Summary'!$CD$6:$CF$64,2,FALSE),"")</f>
        <v/>
      </c>
      <c r="O2201" s="99">
        <f>IFERROR(VLOOKUP(B2201,'Pre-Summary'!$BO$6:$BQ$48,3, FALSE),O2200)</f>
        <v>1.508</v>
      </c>
      <c r="P2201" s="99">
        <f>IFERROR(VLOOKUP(B2201,'Pre-Summary'!$BS$6:$BU$35,3,FALSE),P2200)</f>
        <v>0.379</v>
      </c>
      <c r="Q2201" s="54">
        <f t="shared" si="102"/>
        <v>3.9788918205804751</v>
      </c>
      <c r="R2201" s="53">
        <f>IFERROR(VLOOKUP(B2201,'Pre-Summary'!$BG$6:$BM$44,7,FALSE),R2202)</f>
        <v>9.7948682664336664E-2</v>
      </c>
      <c r="S2201" s="53">
        <f>IFERROR(VLOOKUP(B2201,'Pre-Summary'!$BG$6:$BM$44,6,FALSE),S2202)</f>
        <v>0.10614035087720526</v>
      </c>
      <c r="T2201" s="45" t="str">
        <f>IFERROR(VLOOKUP(B2201,'Pre-Summary'!$Y$6:$AC$83, 3,FALSE),"")</f>
        <v/>
      </c>
      <c r="U2201" s="45" t="str">
        <f>IFERROR(VLOOKUP(B2201,'Pre-Summary'!$Y$6:$AC$83, 4,FALSE),"")</f>
        <v/>
      </c>
      <c r="V2201" t="str">
        <f>IFERROR(VLOOKUP(B2201,'Pre-Summary'!$Y$6:$AC$83, 5,FALSE),"")</f>
        <v/>
      </c>
      <c r="W2201" s="45" t="str">
        <f>IFERROR(VLOOKUP(B2201,'Pre-Summary'!$Y$6:$AD$83,6,FALSE),"")</f>
        <v/>
      </c>
      <c r="X2201" t="str">
        <f>IFERROR(VLOOKUP('Pre-Summary'!$DB$6:$DD$63,3,FALSE),"")</f>
        <v/>
      </c>
      <c r="Y2201" t="str">
        <f>IFERROR(VLOOKUP(B2201,'Pre-Summary'!$CR$6:$CT$36,3,FALSE),"")</f>
        <v/>
      </c>
      <c r="Z2201" s="45" t="str">
        <f>IFERROR(VLOOKUP(B2201,'Pre-Summary'!$BZ$6:$CB$63,2,FALSE),"")</f>
        <v/>
      </c>
      <c r="AA2201" s="45" t="str">
        <f>IFERROR(VLOOKUP(B2201,'Pre-Summary'!$CG$6:$CI$70,2,FALSE),"")</f>
        <v/>
      </c>
      <c r="AB2201" s="99">
        <f>IFERROR(VLOOKUP(B2201,'Pre-Summary'!$A$6:$P$178,9,FALSE),AB2202)</f>
        <v>0.35465514391001818</v>
      </c>
      <c r="AC2201" s="10">
        <f>IFERROR(VLOOKUP(Summary!B2201,'Pre-Summary'!$A$6:$P$184,5, FALSE)/100,AC2202)</f>
        <v>0.94276500000000008</v>
      </c>
      <c r="AD2201" s="10">
        <f>IFERROR(VLOOKUP(Summary!B2201,'Pre-Summary'!$A$6:$P$184,3, FALSE)/100,AD2202)</f>
        <v>4.2818000000000002E-2</v>
      </c>
      <c r="AE2201" s="10">
        <f>IFERROR(VLOOKUP(Summary!B2201,'Pre-Summary'!$A$6:$P$184,7, FALSE)/100,AE2202)</f>
        <v>1.4416999999999999E-2</v>
      </c>
      <c r="AF2201" s="99">
        <f t="shared" si="103"/>
        <v>1.5185623951939158E-2</v>
      </c>
      <c r="AG2201" s="99">
        <f t="shared" si="104"/>
        <v>5.1130632097507317E-3</v>
      </c>
      <c r="AH2201" s="10" t="str">
        <f>IFERROR(VLOOKUP(B2201,'Pre-Summary'!$AZ$6:$BE$65,3,FALSE),"")</f>
        <v/>
      </c>
      <c r="AI2201" s="10" t="str">
        <f>IFERROR(VLOOKUP(B2201,'Pre-Summary'!$AZ$6:$BE$65,5,FALSE),"")</f>
        <v/>
      </c>
      <c r="AJ2201" s="10" t="str">
        <f>IFERROR(VLOOKUP(B2201,'Pre-Summary'!$AZ$6:$BE$65,4,FALSE),"")</f>
        <v/>
      </c>
      <c r="AK2201" s="10" t="str">
        <f>IFERROR(VLOOKUP(B2201,'Pre-Summary'!$AZ$6:$BE$65,6,FALSE),"")</f>
        <v/>
      </c>
      <c r="AL2201" s="10" t="str">
        <f>IFERROR(VLOOKUP(B2201,'Pre-Summary'!$BG$6:$BL$44,3,FALSE),"")</f>
        <v/>
      </c>
      <c r="AM2201" s="10" t="str">
        <f>IFERROR(VLOOKUP(B2201,'Pre-Summary'!$BG$6:$BL$44,4,FALSE),"")</f>
        <v/>
      </c>
    </row>
    <row r="2202" spans="2:39" ht="15" customHeight="1" x14ac:dyDescent="0.3">
      <c r="B2202">
        <v>219.9</v>
      </c>
      <c r="C2202" t="str">
        <f>IFERROR(VLOOKUP(B2202,'Pre-Summary'!$DI$6:$DM$23,4,FALSE),"")</f>
        <v/>
      </c>
      <c r="D2202" s="10" t="str">
        <f>IFERROR(VLOOKUP(B2202,'Pre-Summary'!$AT$6:$AX$14,5,FALSE),D2201)</f>
        <v>Wolfe v3: went back to modified wolfe + EDTA and switched CuSO4 to CUCl2</v>
      </c>
      <c r="E2202" s="10" t="str">
        <f>IFERROR(VLOOKUP(B2202,'Pre-Summary'!$AT$6:$AX$15,4,FALSE),"")</f>
        <v/>
      </c>
      <c r="F2202">
        <f>IFERROR(VLOOKUP(B2202,'Pre-Summary'!$AL$6:$AQ$13,6,FALSE),F2201)</f>
        <v>5.9405263157894746E-2</v>
      </c>
      <c r="G2202" t="str">
        <f>IFERROR(VLOOKUP(B2202,'Pre-Summary'!$AE$6:$AJ$85,3,FALSE),"")</f>
        <v/>
      </c>
      <c r="H2202" t="str">
        <f>IFERROR(VLOOKUP(B2202,'Pre-Summary'!$AE$6:$AJ$85,4,FALSE),"")</f>
        <v/>
      </c>
      <c r="I2202" t="str">
        <f>IFERROR(VLOOKUP(B2202,'Pre-Summary'!$AE$6:$AJ$85,5,FALSE),"")</f>
        <v/>
      </c>
      <c r="J2202" s="45" t="str">
        <f>IFERROR(VLOOKUP(B2202,'Pre-Summary'!$AE$6:$AJ$85,6, FALSE),"")</f>
        <v/>
      </c>
      <c r="K2202" s="45" t="str">
        <f>IFERROR(VLOOKUP(B2202,'Pre-Summary'!$DE$6:$DG$61,3,FALSE),"")</f>
        <v/>
      </c>
      <c r="L2202" s="45" t="str">
        <f>IFERROR(VLOOKUP(B2202,'Pre-Summary'!$CU$6:$CW$36,3,FALSE),"")</f>
        <v/>
      </c>
      <c r="M2202" s="45" t="str">
        <f>IFERROR(VLOOKUP(B2202,'Pre-Summary'!$BW$6:$BY$58,2,FALSE),"")</f>
        <v/>
      </c>
      <c r="N2202" s="45" t="str">
        <f>IFERROR(VLOOKUP(B2202,'Pre-Summary'!$CD$6:$CF$64,2,FALSE),"")</f>
        <v/>
      </c>
      <c r="O2202" s="99">
        <f>IFERROR(VLOOKUP(B2202,'Pre-Summary'!$BO$6:$BQ$48,3, FALSE),O2201)</f>
        <v>1.508</v>
      </c>
      <c r="P2202" s="99">
        <f>IFERROR(VLOOKUP(B2202,'Pre-Summary'!$BS$6:$BU$35,3,FALSE),P2201)</f>
        <v>0.379</v>
      </c>
      <c r="Q2202" s="54">
        <f t="shared" si="102"/>
        <v>3.9788918205804751</v>
      </c>
      <c r="R2202" s="53">
        <f>IFERROR(VLOOKUP(B2202,'Pre-Summary'!$BG$6:$BM$44,7,FALSE),R2203)</f>
        <v>9.7948682664336664E-2</v>
      </c>
      <c r="S2202" s="53">
        <f>IFERROR(VLOOKUP(B2202,'Pre-Summary'!$BG$6:$BM$44,6,FALSE),S2203)</f>
        <v>0.10614035087720526</v>
      </c>
      <c r="T2202" s="45" t="str">
        <f>IFERROR(VLOOKUP(B2202,'Pre-Summary'!$Y$6:$AC$83, 3,FALSE),"")</f>
        <v/>
      </c>
      <c r="U2202" s="45" t="str">
        <f>IFERROR(VLOOKUP(B2202,'Pre-Summary'!$Y$6:$AC$83, 4,FALSE),"")</f>
        <v/>
      </c>
      <c r="V2202" t="str">
        <f>IFERROR(VLOOKUP(B2202,'Pre-Summary'!$Y$6:$AC$83, 5,FALSE),"")</f>
        <v/>
      </c>
      <c r="W2202" s="45" t="str">
        <f>IFERROR(VLOOKUP(B2202,'Pre-Summary'!$Y$6:$AD$83,6,FALSE),"")</f>
        <v/>
      </c>
      <c r="X2202" t="str">
        <f>IFERROR(VLOOKUP('Pre-Summary'!$DB$6:$DD$63,3,FALSE),"")</f>
        <v/>
      </c>
      <c r="Y2202" t="str">
        <f>IFERROR(VLOOKUP(B2202,'Pre-Summary'!$CR$6:$CT$36,3,FALSE),"")</f>
        <v/>
      </c>
      <c r="Z2202" s="45" t="str">
        <f>IFERROR(VLOOKUP(B2202,'Pre-Summary'!$BZ$6:$CB$63,2,FALSE),"")</f>
        <v/>
      </c>
      <c r="AA2202" s="45" t="str">
        <f>IFERROR(VLOOKUP(B2202,'Pre-Summary'!$CG$6:$CI$70,2,FALSE),"")</f>
        <v/>
      </c>
      <c r="AB2202" s="99">
        <f>IFERROR(VLOOKUP(B2202,'Pre-Summary'!$A$6:$P$178,9,FALSE),AB2203)</f>
        <v>0.35465514391001818</v>
      </c>
      <c r="AC2202" s="10">
        <f>IFERROR(VLOOKUP(Summary!B2202,'Pre-Summary'!$A$6:$P$184,5, FALSE)/100,AC2203)</f>
        <v>0.94276500000000008</v>
      </c>
      <c r="AD2202" s="10">
        <f>IFERROR(VLOOKUP(Summary!B2202,'Pre-Summary'!$A$6:$P$184,3, FALSE)/100,AD2203)</f>
        <v>4.2818000000000002E-2</v>
      </c>
      <c r="AE2202" s="10">
        <f>IFERROR(VLOOKUP(Summary!B2202,'Pre-Summary'!$A$6:$P$184,7, FALSE)/100,AE2203)</f>
        <v>1.4416999999999999E-2</v>
      </c>
      <c r="AF2202" s="99">
        <f t="shared" si="103"/>
        <v>1.5185623951939158E-2</v>
      </c>
      <c r="AG2202" s="99">
        <f t="shared" si="104"/>
        <v>5.1130632097507317E-3</v>
      </c>
      <c r="AH2202" s="10" t="str">
        <f>IFERROR(VLOOKUP(B2202,'Pre-Summary'!$AZ$6:$BE$65,3,FALSE),"")</f>
        <v/>
      </c>
      <c r="AI2202" s="10" t="str">
        <f>IFERROR(VLOOKUP(B2202,'Pre-Summary'!$AZ$6:$BE$65,5,FALSE),"")</f>
        <v/>
      </c>
      <c r="AJ2202" s="10" t="str">
        <f>IFERROR(VLOOKUP(B2202,'Pre-Summary'!$AZ$6:$BE$65,4,FALSE),"")</f>
        <v/>
      </c>
      <c r="AK2202" s="10" t="str">
        <f>IFERROR(VLOOKUP(B2202,'Pre-Summary'!$AZ$6:$BE$65,6,FALSE),"")</f>
        <v/>
      </c>
      <c r="AL2202" s="10" t="str">
        <f>IFERROR(VLOOKUP(B2202,'Pre-Summary'!$BG$6:$BL$44,3,FALSE),"")</f>
        <v/>
      </c>
      <c r="AM2202" s="10" t="str">
        <f>IFERROR(VLOOKUP(B2202,'Pre-Summary'!$BG$6:$BL$44,4,FALSE),"")</f>
        <v/>
      </c>
    </row>
    <row r="2203" spans="2:39" ht="15" customHeight="1" x14ac:dyDescent="0.3">
      <c r="B2203">
        <v>220</v>
      </c>
      <c r="C2203" t="str">
        <f>IFERROR(VLOOKUP(B2203,'Pre-Summary'!$DI$6:$DM$23,4,FALSE),"")</f>
        <v/>
      </c>
      <c r="D2203" s="10" t="str">
        <f>IFERROR(VLOOKUP(B2203,'Pre-Summary'!$AT$6:$AX$14,5,FALSE),D2202)</f>
        <v>Wolfe v3: went back to modified wolfe + EDTA and switched CuSO4 to CUCl2</v>
      </c>
      <c r="E2203" s="10" t="str">
        <f>IFERROR(VLOOKUP(B2203,'Pre-Summary'!$AT$6:$AX$15,4,FALSE),"")</f>
        <v/>
      </c>
      <c r="F2203">
        <f>IFERROR(VLOOKUP(B2203,'Pre-Summary'!$AL$6:$AQ$13,6,FALSE),F2202)</f>
        <v>5.9405263157894746E-2</v>
      </c>
      <c r="G2203" t="str">
        <f>IFERROR(VLOOKUP(B2203,'Pre-Summary'!$AE$6:$AJ$85,3,FALSE),"")</f>
        <v/>
      </c>
      <c r="H2203" t="str">
        <f>IFERROR(VLOOKUP(B2203,'Pre-Summary'!$AE$6:$AJ$85,4,FALSE),"")</f>
        <v/>
      </c>
      <c r="I2203" t="str">
        <f>IFERROR(VLOOKUP(B2203,'Pre-Summary'!$AE$6:$AJ$85,5,FALSE),"")</f>
        <v/>
      </c>
      <c r="J2203" s="45" t="str">
        <f>IFERROR(VLOOKUP(B2203,'Pre-Summary'!$AE$6:$AJ$85,6, FALSE),"")</f>
        <v/>
      </c>
      <c r="K2203" s="45" t="str">
        <f>IFERROR(VLOOKUP(B2203,'Pre-Summary'!$DE$6:$DG$61,3,FALSE),"")</f>
        <v/>
      </c>
      <c r="L2203" s="45" t="str">
        <f>IFERROR(VLOOKUP(B2203,'Pre-Summary'!$CU$6:$CW$36,3,FALSE),"")</f>
        <v/>
      </c>
      <c r="M2203" s="45" t="str">
        <f>IFERROR(VLOOKUP(B2203,'Pre-Summary'!$BW$6:$BY$58,2,FALSE),"")</f>
        <v/>
      </c>
      <c r="N2203" s="45" t="str">
        <f>IFERROR(VLOOKUP(B2203,'Pre-Summary'!$CD$6:$CF$64,2,FALSE),"")</f>
        <v/>
      </c>
      <c r="O2203" s="99">
        <f>IFERROR(VLOOKUP(B2203,'Pre-Summary'!$BO$6:$BQ$48,3, FALSE),O2202)</f>
        <v>1.508</v>
      </c>
      <c r="P2203" s="99">
        <f>IFERROR(VLOOKUP(B2203,'Pre-Summary'!$BS$6:$BU$35,3,FALSE),P2202)</f>
        <v>0.379</v>
      </c>
      <c r="Q2203" s="54">
        <f t="shared" si="102"/>
        <v>3.9788918205804751</v>
      </c>
      <c r="R2203" s="53">
        <f>IFERROR(VLOOKUP(B2203,'Pre-Summary'!$BG$6:$BM$44,7,FALSE),R2204)</f>
        <v>9.7948682664336664E-2</v>
      </c>
      <c r="S2203" s="53">
        <f>IFERROR(VLOOKUP(B2203,'Pre-Summary'!$BG$6:$BM$44,6,FALSE),S2204)</f>
        <v>0.10614035087720526</v>
      </c>
      <c r="T2203" s="45" t="str">
        <f>IFERROR(VLOOKUP(B2203,'Pre-Summary'!$Y$6:$AC$83, 3,FALSE),"")</f>
        <v/>
      </c>
      <c r="U2203" s="45" t="str">
        <f>IFERROR(VLOOKUP(B2203,'Pre-Summary'!$Y$6:$AC$83, 4,FALSE),"")</f>
        <v/>
      </c>
      <c r="V2203" t="str">
        <f>IFERROR(VLOOKUP(B2203,'Pre-Summary'!$Y$6:$AC$83, 5,FALSE),"")</f>
        <v/>
      </c>
      <c r="W2203" s="45" t="str">
        <f>IFERROR(VLOOKUP(B2203,'Pre-Summary'!$Y$6:$AD$83,6,FALSE),"")</f>
        <v/>
      </c>
      <c r="X2203" t="str">
        <f>IFERROR(VLOOKUP('Pre-Summary'!$DB$6:$DD$63,3,FALSE),"")</f>
        <v/>
      </c>
      <c r="Y2203" t="str">
        <f>IFERROR(VLOOKUP(B2203,'Pre-Summary'!$CR$6:$CT$36,3,FALSE),"")</f>
        <v/>
      </c>
      <c r="Z2203" s="45" t="str">
        <f>IFERROR(VLOOKUP(B2203,'Pre-Summary'!$BZ$6:$CB$63,2,FALSE),"")</f>
        <v/>
      </c>
      <c r="AA2203" s="45" t="str">
        <f>IFERROR(VLOOKUP(B2203,'Pre-Summary'!$CG$6:$CI$70,2,FALSE),"")</f>
        <v/>
      </c>
      <c r="AB2203" s="99">
        <f>IFERROR(VLOOKUP(B2203,'Pre-Summary'!$A$6:$P$178,9,FALSE),AB2204)</f>
        <v>0.35465514391001818</v>
      </c>
      <c r="AC2203" s="10">
        <f>IFERROR(VLOOKUP(Summary!B2203,'Pre-Summary'!$A$6:$P$184,5, FALSE)/100,AC2204)</f>
        <v>0.94276500000000008</v>
      </c>
      <c r="AD2203" s="10">
        <f>IFERROR(VLOOKUP(Summary!B2203,'Pre-Summary'!$A$6:$P$184,3, FALSE)/100,AD2204)</f>
        <v>4.2818000000000002E-2</v>
      </c>
      <c r="AE2203" s="10">
        <f>IFERROR(VLOOKUP(Summary!B2203,'Pre-Summary'!$A$6:$P$184,7, FALSE)/100,AE2204)</f>
        <v>1.4416999999999999E-2</v>
      </c>
      <c r="AF2203" s="99">
        <f t="shared" si="103"/>
        <v>1.5185623951939158E-2</v>
      </c>
      <c r="AG2203" s="99">
        <f t="shared" si="104"/>
        <v>5.1130632097507317E-3</v>
      </c>
      <c r="AH2203" s="10" t="str">
        <f>IFERROR(VLOOKUP(B2203,'Pre-Summary'!$AZ$6:$BE$65,3,FALSE),"")</f>
        <v/>
      </c>
      <c r="AI2203" s="10" t="str">
        <f>IFERROR(VLOOKUP(B2203,'Pre-Summary'!$AZ$6:$BE$65,5,FALSE),"")</f>
        <v/>
      </c>
      <c r="AJ2203" s="10" t="str">
        <f>IFERROR(VLOOKUP(B2203,'Pre-Summary'!$AZ$6:$BE$65,4,FALSE),"")</f>
        <v/>
      </c>
      <c r="AK2203" s="10" t="str">
        <f>IFERROR(VLOOKUP(B2203,'Pre-Summary'!$AZ$6:$BE$65,6,FALSE),"")</f>
        <v/>
      </c>
      <c r="AL2203" s="10" t="str">
        <f>IFERROR(VLOOKUP(B2203,'Pre-Summary'!$BG$6:$BL$44,3,FALSE),"")</f>
        <v/>
      </c>
      <c r="AM2203" s="10" t="str">
        <f>IFERROR(VLOOKUP(B2203,'Pre-Summary'!$BG$6:$BL$44,4,FALSE),"")</f>
        <v/>
      </c>
    </row>
    <row r="2204" spans="2:39" ht="15" customHeight="1" x14ac:dyDescent="0.3">
      <c r="B2204">
        <v>220.1</v>
      </c>
      <c r="C2204" t="str">
        <f>IFERROR(VLOOKUP(B2204,'Pre-Summary'!$DI$6:$DM$23,4,FALSE),"")</f>
        <v/>
      </c>
      <c r="D2204" s="10" t="str">
        <f>IFERROR(VLOOKUP(B2204,'Pre-Summary'!$AT$6:$AX$14,5,FALSE),D2203)</f>
        <v>Wolfe v3: went back to modified wolfe + EDTA and switched CuSO4 to CUCl2</v>
      </c>
      <c r="E2204" s="10" t="str">
        <f>IFERROR(VLOOKUP(B2204,'Pre-Summary'!$AT$6:$AX$15,4,FALSE),"")</f>
        <v/>
      </c>
      <c r="F2204">
        <f>IFERROR(VLOOKUP(B2204,'Pre-Summary'!$AL$6:$AQ$13,6,FALSE),F2203)</f>
        <v>5.9405263157894746E-2</v>
      </c>
      <c r="G2204" t="str">
        <f>IFERROR(VLOOKUP(B2204,'Pre-Summary'!$AE$6:$AJ$85,3,FALSE),"")</f>
        <v/>
      </c>
      <c r="H2204" t="str">
        <f>IFERROR(VLOOKUP(B2204,'Pre-Summary'!$AE$6:$AJ$85,4,FALSE),"")</f>
        <v/>
      </c>
      <c r="I2204" t="str">
        <f>IFERROR(VLOOKUP(B2204,'Pre-Summary'!$AE$6:$AJ$85,5,FALSE),"")</f>
        <v/>
      </c>
      <c r="J2204" s="45" t="str">
        <f>IFERROR(VLOOKUP(B2204,'Pre-Summary'!$AE$6:$AJ$85,6, FALSE),"")</f>
        <v/>
      </c>
      <c r="K2204" s="45" t="str">
        <f>IFERROR(VLOOKUP(B2204,'Pre-Summary'!$DE$6:$DG$61,3,FALSE),"")</f>
        <v/>
      </c>
      <c r="L2204" s="45" t="str">
        <f>IFERROR(VLOOKUP(B2204,'Pre-Summary'!$CU$6:$CW$36,3,FALSE),"")</f>
        <v/>
      </c>
      <c r="M2204" s="45" t="str">
        <f>IFERROR(VLOOKUP(B2204,'Pre-Summary'!$BW$6:$BY$58,2,FALSE),"")</f>
        <v/>
      </c>
      <c r="N2204" s="45" t="str">
        <f>IFERROR(VLOOKUP(B2204,'Pre-Summary'!$CD$6:$CF$64,2,FALSE),"")</f>
        <v/>
      </c>
      <c r="O2204" s="99">
        <f>IFERROR(VLOOKUP(B2204,'Pre-Summary'!$BO$6:$BQ$48,3, FALSE),O2203)</f>
        <v>1.508</v>
      </c>
      <c r="P2204" s="99">
        <f>IFERROR(VLOOKUP(B2204,'Pre-Summary'!$BS$6:$BU$35,3,FALSE),P2203)</f>
        <v>0.379</v>
      </c>
      <c r="Q2204" s="54">
        <f t="shared" si="102"/>
        <v>3.9788918205804751</v>
      </c>
      <c r="R2204" s="53">
        <f>IFERROR(VLOOKUP(B2204,'Pre-Summary'!$BG$6:$BM$44,7,FALSE),R2205)</f>
        <v>9.7948682664336664E-2</v>
      </c>
      <c r="S2204" s="53">
        <f>IFERROR(VLOOKUP(B2204,'Pre-Summary'!$BG$6:$BM$44,6,FALSE),S2205)</f>
        <v>0.10614035087720526</v>
      </c>
      <c r="T2204" s="45" t="str">
        <f>IFERROR(VLOOKUP(B2204,'Pre-Summary'!$Y$6:$AC$83, 3,FALSE),"")</f>
        <v/>
      </c>
      <c r="U2204" s="45" t="str">
        <f>IFERROR(VLOOKUP(B2204,'Pre-Summary'!$Y$6:$AC$83, 4,FALSE),"")</f>
        <v/>
      </c>
      <c r="V2204" t="str">
        <f>IFERROR(VLOOKUP(B2204,'Pre-Summary'!$Y$6:$AC$83, 5,FALSE),"")</f>
        <v/>
      </c>
      <c r="W2204" s="45" t="str">
        <f>IFERROR(VLOOKUP(B2204,'Pre-Summary'!$Y$6:$AD$83,6,FALSE),"")</f>
        <v/>
      </c>
      <c r="X2204" t="str">
        <f>IFERROR(VLOOKUP('Pre-Summary'!$DB$6:$DD$63,3,FALSE),"")</f>
        <v/>
      </c>
      <c r="Y2204" t="str">
        <f>IFERROR(VLOOKUP(B2204,'Pre-Summary'!$CR$6:$CT$36,3,FALSE),"")</f>
        <v/>
      </c>
      <c r="Z2204" s="45" t="str">
        <f>IFERROR(VLOOKUP(B2204,'Pre-Summary'!$BZ$6:$CB$63,2,FALSE),"")</f>
        <v/>
      </c>
      <c r="AA2204" s="45" t="str">
        <f>IFERROR(VLOOKUP(B2204,'Pre-Summary'!$CG$6:$CI$70,2,FALSE),"")</f>
        <v/>
      </c>
      <c r="AB2204" s="99">
        <f>IFERROR(VLOOKUP(B2204,'Pre-Summary'!$A$6:$P$178,9,FALSE),AB2205)</f>
        <v>0.35465514391001818</v>
      </c>
      <c r="AC2204" s="10">
        <f>IFERROR(VLOOKUP(Summary!B2204,'Pre-Summary'!$A$6:$P$184,5, FALSE)/100,AC2205)</f>
        <v>0.94276500000000008</v>
      </c>
      <c r="AD2204" s="10">
        <f>IFERROR(VLOOKUP(Summary!B2204,'Pre-Summary'!$A$6:$P$184,3, FALSE)/100,AD2205)</f>
        <v>4.2818000000000002E-2</v>
      </c>
      <c r="AE2204" s="10">
        <f>IFERROR(VLOOKUP(Summary!B2204,'Pre-Summary'!$A$6:$P$184,7, FALSE)/100,AE2205)</f>
        <v>1.4416999999999999E-2</v>
      </c>
      <c r="AF2204" s="99">
        <f t="shared" si="103"/>
        <v>1.5185623951939158E-2</v>
      </c>
      <c r="AG2204" s="99">
        <f t="shared" si="104"/>
        <v>5.1130632097507317E-3</v>
      </c>
      <c r="AH2204" s="10" t="str">
        <f>IFERROR(VLOOKUP(B2204,'Pre-Summary'!$AZ$6:$BE$65,3,FALSE),"")</f>
        <v/>
      </c>
      <c r="AI2204" s="10" t="str">
        <f>IFERROR(VLOOKUP(B2204,'Pre-Summary'!$AZ$6:$BE$65,5,FALSE),"")</f>
        <v/>
      </c>
      <c r="AJ2204" s="10" t="str">
        <f>IFERROR(VLOOKUP(B2204,'Pre-Summary'!$AZ$6:$BE$65,4,FALSE),"")</f>
        <v/>
      </c>
      <c r="AK2204" s="10" t="str">
        <f>IFERROR(VLOOKUP(B2204,'Pre-Summary'!$AZ$6:$BE$65,6,FALSE),"")</f>
        <v/>
      </c>
      <c r="AL2204" s="10" t="str">
        <f>IFERROR(VLOOKUP(B2204,'Pre-Summary'!$BG$6:$BL$44,3,FALSE),"")</f>
        <v/>
      </c>
      <c r="AM2204" s="10" t="str">
        <f>IFERROR(VLOOKUP(B2204,'Pre-Summary'!$BG$6:$BL$44,4,FALSE),"")</f>
        <v/>
      </c>
    </row>
    <row r="2205" spans="2:39" ht="15" customHeight="1" x14ac:dyDescent="0.3">
      <c r="B2205">
        <v>220.2</v>
      </c>
      <c r="C2205" t="str">
        <f>IFERROR(VLOOKUP(B2205,'Pre-Summary'!$DI$6:$DM$23,4,FALSE),"")</f>
        <v/>
      </c>
      <c r="D2205" s="10" t="str">
        <f>IFERROR(VLOOKUP(B2205,'Pre-Summary'!$AT$6:$AX$14,5,FALSE),D2204)</f>
        <v>Wolfe v3: went back to modified wolfe + EDTA and switched CuSO4 to CUCl2</v>
      </c>
      <c r="E2205" s="10" t="str">
        <f>IFERROR(VLOOKUP(B2205,'Pre-Summary'!$AT$6:$AX$15,4,FALSE),"")</f>
        <v/>
      </c>
      <c r="F2205">
        <f>IFERROR(VLOOKUP(B2205,'Pre-Summary'!$AL$6:$AQ$13,6,FALSE),F2204)</f>
        <v>5.9405263157894746E-2</v>
      </c>
      <c r="G2205" t="str">
        <f>IFERROR(VLOOKUP(B2205,'Pre-Summary'!$AE$6:$AJ$85,3,FALSE),"")</f>
        <v/>
      </c>
      <c r="H2205" t="str">
        <f>IFERROR(VLOOKUP(B2205,'Pre-Summary'!$AE$6:$AJ$85,4,FALSE),"")</f>
        <v/>
      </c>
      <c r="I2205" t="str">
        <f>IFERROR(VLOOKUP(B2205,'Pre-Summary'!$AE$6:$AJ$85,5,FALSE),"")</f>
        <v/>
      </c>
      <c r="J2205" s="45" t="str">
        <f>IFERROR(VLOOKUP(B2205,'Pre-Summary'!$AE$6:$AJ$85,6, FALSE),"")</f>
        <v/>
      </c>
      <c r="K2205" s="45" t="str">
        <f>IFERROR(VLOOKUP(B2205,'Pre-Summary'!$DE$6:$DG$61,3,FALSE),"")</f>
        <v/>
      </c>
      <c r="L2205" s="45" t="str">
        <f>IFERROR(VLOOKUP(B2205,'Pre-Summary'!$CU$6:$CW$36,3,FALSE),"")</f>
        <v/>
      </c>
      <c r="M2205" s="45" t="str">
        <f>IFERROR(VLOOKUP(B2205,'Pre-Summary'!$BW$6:$BY$58,2,FALSE),"")</f>
        <v/>
      </c>
      <c r="N2205" s="45" t="str">
        <f>IFERROR(VLOOKUP(B2205,'Pre-Summary'!$CD$6:$CF$64,2,FALSE),"")</f>
        <v/>
      </c>
      <c r="O2205" s="99">
        <f>IFERROR(VLOOKUP(B2205,'Pre-Summary'!$BO$6:$BQ$48,3, FALSE),O2204)</f>
        <v>1.508</v>
      </c>
      <c r="P2205" s="99">
        <f>IFERROR(VLOOKUP(B2205,'Pre-Summary'!$BS$6:$BU$35,3,FALSE),P2204)</f>
        <v>0.379</v>
      </c>
      <c r="Q2205" s="54">
        <f t="shared" si="102"/>
        <v>3.9788918205804751</v>
      </c>
      <c r="R2205" s="53">
        <f>IFERROR(VLOOKUP(B2205,'Pre-Summary'!$BG$6:$BM$44,7,FALSE),R2206)</f>
        <v>9.7948682664336664E-2</v>
      </c>
      <c r="S2205" s="53">
        <f>IFERROR(VLOOKUP(B2205,'Pre-Summary'!$BG$6:$BM$44,6,FALSE),S2206)</f>
        <v>0.10614035087720526</v>
      </c>
      <c r="T2205" s="45" t="str">
        <f>IFERROR(VLOOKUP(B2205,'Pre-Summary'!$Y$6:$AC$83, 3,FALSE),"")</f>
        <v/>
      </c>
      <c r="U2205" s="45" t="str">
        <f>IFERROR(VLOOKUP(B2205,'Pre-Summary'!$Y$6:$AC$83, 4,FALSE),"")</f>
        <v/>
      </c>
      <c r="V2205" t="str">
        <f>IFERROR(VLOOKUP(B2205,'Pre-Summary'!$Y$6:$AC$83, 5,FALSE),"")</f>
        <v/>
      </c>
      <c r="W2205" s="45" t="str">
        <f>IFERROR(VLOOKUP(B2205,'Pre-Summary'!$Y$6:$AD$83,6,FALSE),"")</f>
        <v/>
      </c>
      <c r="X2205" t="str">
        <f>IFERROR(VLOOKUP('Pre-Summary'!$DB$6:$DD$63,3,FALSE),"")</f>
        <v/>
      </c>
      <c r="Y2205" t="str">
        <f>IFERROR(VLOOKUP(B2205,'Pre-Summary'!$CR$6:$CT$36,3,FALSE),"")</f>
        <v/>
      </c>
      <c r="Z2205" s="45" t="str">
        <f>IFERROR(VLOOKUP(B2205,'Pre-Summary'!$BZ$6:$CB$63,2,FALSE),"")</f>
        <v/>
      </c>
      <c r="AA2205" s="45" t="str">
        <f>IFERROR(VLOOKUP(B2205,'Pre-Summary'!$CG$6:$CI$70,2,FALSE),"")</f>
        <v/>
      </c>
      <c r="AB2205" s="99">
        <f>IFERROR(VLOOKUP(B2205,'Pre-Summary'!$A$6:$P$178,9,FALSE),AB2206)</f>
        <v>0.35465514391001818</v>
      </c>
      <c r="AC2205" s="10">
        <f>IFERROR(VLOOKUP(Summary!B2205,'Pre-Summary'!$A$6:$P$184,5, FALSE)/100,AC2206)</f>
        <v>0.94276500000000008</v>
      </c>
      <c r="AD2205" s="10">
        <f>IFERROR(VLOOKUP(Summary!B2205,'Pre-Summary'!$A$6:$P$184,3, FALSE)/100,AD2206)</f>
        <v>4.2818000000000002E-2</v>
      </c>
      <c r="AE2205" s="10">
        <f>IFERROR(VLOOKUP(Summary!B2205,'Pre-Summary'!$A$6:$P$184,7, FALSE)/100,AE2206)</f>
        <v>1.4416999999999999E-2</v>
      </c>
      <c r="AF2205" s="99">
        <f t="shared" si="103"/>
        <v>1.5185623951939158E-2</v>
      </c>
      <c r="AG2205" s="99">
        <f t="shared" si="104"/>
        <v>5.1130632097507317E-3</v>
      </c>
      <c r="AH2205" s="10" t="str">
        <f>IFERROR(VLOOKUP(B2205,'Pre-Summary'!$AZ$6:$BE$65,3,FALSE),"")</f>
        <v/>
      </c>
      <c r="AI2205" s="10" t="str">
        <f>IFERROR(VLOOKUP(B2205,'Pre-Summary'!$AZ$6:$BE$65,5,FALSE),"")</f>
        <v/>
      </c>
      <c r="AJ2205" s="10" t="str">
        <f>IFERROR(VLOOKUP(B2205,'Pre-Summary'!$AZ$6:$BE$65,4,FALSE),"")</f>
        <v/>
      </c>
      <c r="AK2205" s="10" t="str">
        <f>IFERROR(VLOOKUP(B2205,'Pre-Summary'!$AZ$6:$BE$65,6,FALSE),"")</f>
        <v/>
      </c>
      <c r="AL2205" s="10" t="str">
        <f>IFERROR(VLOOKUP(B2205,'Pre-Summary'!$BG$6:$BL$44,3,FALSE),"")</f>
        <v/>
      </c>
      <c r="AM2205" s="10" t="str">
        <f>IFERROR(VLOOKUP(B2205,'Pre-Summary'!$BG$6:$BL$44,4,FALSE),"")</f>
        <v/>
      </c>
    </row>
    <row r="2206" spans="2:39" ht="15" customHeight="1" x14ac:dyDescent="0.3">
      <c r="B2206">
        <v>220.3</v>
      </c>
      <c r="C2206" t="str">
        <f>IFERROR(VLOOKUP(B2206,'Pre-Summary'!$DI$6:$DM$23,4,FALSE),"")</f>
        <v/>
      </c>
      <c r="D2206" s="10" t="str">
        <f>IFERROR(VLOOKUP(B2206,'Pre-Summary'!$AT$6:$AX$14,5,FALSE),D2205)</f>
        <v>Wolfe v3: went back to modified wolfe + EDTA and switched CuSO4 to CUCl2</v>
      </c>
      <c r="E2206" s="10" t="str">
        <f>IFERROR(VLOOKUP(B2206,'Pre-Summary'!$AT$6:$AX$15,4,FALSE),"")</f>
        <v/>
      </c>
      <c r="F2206">
        <f>IFERROR(VLOOKUP(B2206,'Pre-Summary'!$AL$6:$AQ$13,6,FALSE),F2205)</f>
        <v>5.9405263157894746E-2</v>
      </c>
      <c r="G2206" t="str">
        <f>IFERROR(VLOOKUP(B2206,'Pre-Summary'!$AE$6:$AJ$85,3,FALSE),"")</f>
        <v/>
      </c>
      <c r="H2206" t="str">
        <f>IFERROR(VLOOKUP(B2206,'Pre-Summary'!$AE$6:$AJ$85,4,FALSE),"")</f>
        <v/>
      </c>
      <c r="I2206" t="str">
        <f>IFERROR(VLOOKUP(B2206,'Pre-Summary'!$AE$6:$AJ$85,5,FALSE),"")</f>
        <v/>
      </c>
      <c r="J2206" s="45" t="str">
        <f>IFERROR(VLOOKUP(B2206,'Pre-Summary'!$AE$6:$AJ$85,6, FALSE),"")</f>
        <v/>
      </c>
      <c r="K2206" s="45" t="str">
        <f>IFERROR(VLOOKUP(B2206,'Pre-Summary'!$DE$6:$DG$61,3,FALSE),"")</f>
        <v/>
      </c>
      <c r="L2206" s="45" t="str">
        <f>IFERROR(VLOOKUP(B2206,'Pre-Summary'!$CU$6:$CW$36,3,FALSE),"")</f>
        <v/>
      </c>
      <c r="M2206" s="45" t="str">
        <f>IFERROR(VLOOKUP(B2206,'Pre-Summary'!$BW$6:$BY$58,2,FALSE),"")</f>
        <v/>
      </c>
      <c r="N2206" s="45" t="str">
        <f>IFERROR(VLOOKUP(B2206,'Pre-Summary'!$CD$6:$CF$64,2,FALSE),"")</f>
        <v/>
      </c>
      <c r="O2206" s="99">
        <f>IFERROR(VLOOKUP(B2206,'Pre-Summary'!$BO$6:$BQ$48,3, FALSE),O2205)</f>
        <v>1.508</v>
      </c>
      <c r="P2206" s="99">
        <f>IFERROR(VLOOKUP(B2206,'Pre-Summary'!$BS$6:$BU$35,3,FALSE),P2205)</f>
        <v>0.379</v>
      </c>
      <c r="Q2206" s="54">
        <f t="shared" si="102"/>
        <v>3.9788918205804751</v>
      </c>
      <c r="R2206" s="53">
        <f>IFERROR(VLOOKUP(B2206,'Pre-Summary'!$BG$6:$BM$44,7,FALSE),R2207)</f>
        <v>9.7948682664336664E-2</v>
      </c>
      <c r="S2206" s="53">
        <f>IFERROR(VLOOKUP(B2206,'Pre-Summary'!$BG$6:$BM$44,6,FALSE),S2207)</f>
        <v>0.10614035087720526</v>
      </c>
      <c r="T2206" s="45" t="str">
        <f>IFERROR(VLOOKUP(B2206,'Pre-Summary'!$Y$6:$AC$83, 3,FALSE),"")</f>
        <v/>
      </c>
      <c r="U2206" s="45" t="str">
        <f>IFERROR(VLOOKUP(B2206,'Pre-Summary'!$Y$6:$AC$83, 4,FALSE),"")</f>
        <v/>
      </c>
      <c r="V2206" t="str">
        <f>IFERROR(VLOOKUP(B2206,'Pre-Summary'!$Y$6:$AC$83, 5,FALSE),"")</f>
        <v/>
      </c>
      <c r="W2206" s="45" t="str">
        <f>IFERROR(VLOOKUP(B2206,'Pre-Summary'!$Y$6:$AD$83,6,FALSE),"")</f>
        <v/>
      </c>
      <c r="X2206" t="str">
        <f>IFERROR(VLOOKUP('Pre-Summary'!$DB$6:$DD$63,3,FALSE),"")</f>
        <v/>
      </c>
      <c r="Y2206" t="str">
        <f>IFERROR(VLOOKUP(B2206,'Pre-Summary'!$CR$6:$CT$36,3,FALSE),"")</f>
        <v/>
      </c>
      <c r="Z2206" s="45" t="str">
        <f>IFERROR(VLOOKUP(B2206,'Pre-Summary'!$BZ$6:$CB$63,2,FALSE),"")</f>
        <v/>
      </c>
      <c r="AA2206" s="45" t="str">
        <f>IFERROR(VLOOKUP(B2206,'Pre-Summary'!$CG$6:$CI$70,2,FALSE),"")</f>
        <v/>
      </c>
      <c r="AB2206" s="99">
        <f>IFERROR(VLOOKUP(B2206,'Pre-Summary'!$A$6:$P$178,9,FALSE),AB2207)</f>
        <v>0.35465514391001818</v>
      </c>
      <c r="AC2206" s="10">
        <f>IFERROR(VLOOKUP(Summary!B2206,'Pre-Summary'!$A$6:$P$184,5, FALSE)/100,AC2207)</f>
        <v>0.94276500000000008</v>
      </c>
      <c r="AD2206" s="10">
        <f>IFERROR(VLOOKUP(Summary!B2206,'Pre-Summary'!$A$6:$P$184,3, FALSE)/100,AD2207)</f>
        <v>4.2818000000000002E-2</v>
      </c>
      <c r="AE2206" s="10">
        <f>IFERROR(VLOOKUP(Summary!B2206,'Pre-Summary'!$A$6:$P$184,7, FALSE)/100,AE2207)</f>
        <v>1.4416999999999999E-2</v>
      </c>
      <c r="AF2206" s="99">
        <f t="shared" si="103"/>
        <v>1.5185623951939158E-2</v>
      </c>
      <c r="AG2206" s="99">
        <f t="shared" si="104"/>
        <v>5.1130632097507317E-3</v>
      </c>
      <c r="AH2206" s="10" t="str">
        <f>IFERROR(VLOOKUP(B2206,'Pre-Summary'!$AZ$6:$BE$65,3,FALSE),"")</f>
        <v/>
      </c>
      <c r="AI2206" s="10" t="str">
        <f>IFERROR(VLOOKUP(B2206,'Pre-Summary'!$AZ$6:$BE$65,5,FALSE),"")</f>
        <v/>
      </c>
      <c r="AJ2206" s="10" t="str">
        <f>IFERROR(VLOOKUP(B2206,'Pre-Summary'!$AZ$6:$BE$65,4,FALSE),"")</f>
        <v/>
      </c>
      <c r="AK2206" s="10" t="str">
        <f>IFERROR(VLOOKUP(B2206,'Pre-Summary'!$AZ$6:$BE$65,6,FALSE),"")</f>
        <v/>
      </c>
      <c r="AL2206" s="10" t="str">
        <f>IFERROR(VLOOKUP(B2206,'Pre-Summary'!$BG$6:$BL$44,3,FALSE),"")</f>
        <v/>
      </c>
      <c r="AM2206" s="10" t="str">
        <f>IFERROR(VLOOKUP(B2206,'Pre-Summary'!$BG$6:$BL$44,4,FALSE),"")</f>
        <v/>
      </c>
    </row>
    <row r="2207" spans="2:39" ht="15" customHeight="1" x14ac:dyDescent="0.3">
      <c r="B2207">
        <v>220.4</v>
      </c>
      <c r="C2207" t="str">
        <f>IFERROR(VLOOKUP(B2207,'Pre-Summary'!$DI$6:$DM$23,4,FALSE),"")</f>
        <v/>
      </c>
      <c r="D2207" s="10" t="str">
        <f>IFERROR(VLOOKUP(B2207,'Pre-Summary'!$AT$6:$AX$14,5,FALSE),D2206)</f>
        <v>Wolfe v3: went back to modified wolfe + EDTA and switched CuSO4 to CUCl2</v>
      </c>
      <c r="E2207" s="10" t="str">
        <f>IFERROR(VLOOKUP(B2207,'Pre-Summary'!$AT$6:$AX$15,4,FALSE),"")</f>
        <v/>
      </c>
      <c r="F2207">
        <f>IFERROR(VLOOKUP(B2207,'Pre-Summary'!$AL$6:$AQ$13,6,FALSE),F2206)</f>
        <v>5.9405263157894746E-2</v>
      </c>
      <c r="G2207" t="str">
        <f>IFERROR(VLOOKUP(B2207,'Pre-Summary'!$AE$6:$AJ$85,3,FALSE),"")</f>
        <v/>
      </c>
      <c r="H2207" t="str">
        <f>IFERROR(VLOOKUP(B2207,'Pre-Summary'!$AE$6:$AJ$85,4,FALSE),"")</f>
        <v/>
      </c>
      <c r="I2207" t="str">
        <f>IFERROR(VLOOKUP(B2207,'Pre-Summary'!$AE$6:$AJ$85,5,FALSE),"")</f>
        <v/>
      </c>
      <c r="J2207" s="45" t="str">
        <f>IFERROR(VLOOKUP(B2207,'Pre-Summary'!$AE$6:$AJ$85,6, FALSE),"")</f>
        <v/>
      </c>
      <c r="K2207" s="45" t="str">
        <f>IFERROR(VLOOKUP(B2207,'Pre-Summary'!$DE$6:$DG$61,3,FALSE),"")</f>
        <v/>
      </c>
      <c r="L2207" s="45" t="str">
        <f>IFERROR(VLOOKUP(B2207,'Pre-Summary'!$CU$6:$CW$36,3,FALSE),"")</f>
        <v/>
      </c>
      <c r="M2207" s="45" t="str">
        <f>IFERROR(VLOOKUP(B2207,'Pre-Summary'!$BW$6:$BY$58,2,FALSE),"")</f>
        <v/>
      </c>
      <c r="N2207" s="45" t="str">
        <f>IFERROR(VLOOKUP(B2207,'Pre-Summary'!$CD$6:$CF$64,2,FALSE),"")</f>
        <v/>
      </c>
      <c r="O2207" s="99">
        <f>IFERROR(VLOOKUP(B2207,'Pre-Summary'!$BO$6:$BQ$48,3, FALSE),O2206)</f>
        <v>1.508</v>
      </c>
      <c r="P2207" s="99">
        <f>IFERROR(VLOOKUP(B2207,'Pre-Summary'!$BS$6:$BU$35,3,FALSE),P2206)</f>
        <v>0.379</v>
      </c>
      <c r="Q2207" s="54">
        <f t="shared" si="102"/>
        <v>3.9788918205804751</v>
      </c>
      <c r="R2207" s="53">
        <f>IFERROR(VLOOKUP(B2207,'Pre-Summary'!$BG$6:$BM$44,7,FALSE),R2208)</f>
        <v>9.7948682664336664E-2</v>
      </c>
      <c r="S2207" s="53">
        <f>IFERROR(VLOOKUP(B2207,'Pre-Summary'!$BG$6:$BM$44,6,FALSE),S2208)</f>
        <v>0.10614035087720526</v>
      </c>
      <c r="T2207" s="45" t="str">
        <f>IFERROR(VLOOKUP(B2207,'Pre-Summary'!$Y$6:$AC$83, 3,FALSE),"")</f>
        <v/>
      </c>
      <c r="U2207" s="45" t="str">
        <f>IFERROR(VLOOKUP(B2207,'Pre-Summary'!$Y$6:$AC$83, 4,FALSE),"")</f>
        <v/>
      </c>
      <c r="V2207" t="str">
        <f>IFERROR(VLOOKUP(B2207,'Pre-Summary'!$Y$6:$AC$83, 5,FALSE),"")</f>
        <v/>
      </c>
      <c r="W2207" s="45" t="str">
        <f>IFERROR(VLOOKUP(B2207,'Pre-Summary'!$Y$6:$AD$83,6,FALSE),"")</f>
        <v/>
      </c>
      <c r="X2207" t="str">
        <f>IFERROR(VLOOKUP('Pre-Summary'!$DB$6:$DD$63,3,FALSE),"")</f>
        <v/>
      </c>
      <c r="Y2207" t="str">
        <f>IFERROR(VLOOKUP(B2207,'Pre-Summary'!$CR$6:$CT$36,3,FALSE),"")</f>
        <v/>
      </c>
      <c r="Z2207" s="45" t="str">
        <f>IFERROR(VLOOKUP(B2207,'Pre-Summary'!$BZ$6:$CB$63,2,FALSE),"")</f>
        <v/>
      </c>
      <c r="AA2207" s="45" t="str">
        <f>IFERROR(VLOOKUP(B2207,'Pre-Summary'!$CG$6:$CI$70,2,FALSE),"")</f>
        <v/>
      </c>
      <c r="AB2207" s="99">
        <f>IFERROR(VLOOKUP(B2207,'Pre-Summary'!$A$6:$P$178,9,FALSE),AB2208)</f>
        <v>0.35465514391001818</v>
      </c>
      <c r="AC2207" s="10">
        <f>IFERROR(VLOOKUP(Summary!B2207,'Pre-Summary'!$A$6:$P$184,5, FALSE)/100,AC2208)</f>
        <v>0.94276500000000008</v>
      </c>
      <c r="AD2207" s="10">
        <f>IFERROR(VLOOKUP(Summary!B2207,'Pre-Summary'!$A$6:$P$184,3, FALSE)/100,AD2208)</f>
        <v>4.2818000000000002E-2</v>
      </c>
      <c r="AE2207" s="10">
        <f>IFERROR(VLOOKUP(Summary!B2207,'Pre-Summary'!$A$6:$P$184,7, FALSE)/100,AE2208)</f>
        <v>1.4416999999999999E-2</v>
      </c>
      <c r="AF2207" s="99">
        <f t="shared" si="103"/>
        <v>1.5185623951939158E-2</v>
      </c>
      <c r="AG2207" s="99">
        <f t="shared" si="104"/>
        <v>5.1130632097507317E-3</v>
      </c>
      <c r="AH2207" s="10" t="str">
        <f>IFERROR(VLOOKUP(B2207,'Pre-Summary'!$AZ$6:$BE$65,3,FALSE),"")</f>
        <v/>
      </c>
      <c r="AI2207" s="10" t="str">
        <f>IFERROR(VLOOKUP(B2207,'Pre-Summary'!$AZ$6:$BE$65,5,FALSE),"")</f>
        <v/>
      </c>
      <c r="AJ2207" s="10" t="str">
        <f>IFERROR(VLOOKUP(B2207,'Pre-Summary'!$AZ$6:$BE$65,4,FALSE),"")</f>
        <v/>
      </c>
      <c r="AK2207" s="10" t="str">
        <f>IFERROR(VLOOKUP(B2207,'Pre-Summary'!$AZ$6:$BE$65,6,FALSE),"")</f>
        <v/>
      </c>
      <c r="AL2207" s="10" t="str">
        <f>IFERROR(VLOOKUP(B2207,'Pre-Summary'!$BG$6:$BL$44,3,FALSE),"")</f>
        <v/>
      </c>
      <c r="AM2207" s="10" t="str">
        <f>IFERROR(VLOOKUP(B2207,'Pre-Summary'!$BG$6:$BL$44,4,FALSE),"")</f>
        <v/>
      </c>
    </row>
    <row r="2208" spans="2:39" ht="15" customHeight="1" x14ac:dyDescent="0.3">
      <c r="B2208">
        <v>220.5</v>
      </c>
      <c r="C2208" t="str">
        <f>IFERROR(VLOOKUP(B2208,'Pre-Summary'!$DI$6:$DM$23,4,FALSE),"")</f>
        <v/>
      </c>
      <c r="D2208" s="10" t="str">
        <f>IFERROR(VLOOKUP(B2208,'Pre-Summary'!$AT$6:$AX$14,5,FALSE),D2207)</f>
        <v>Wolfe v3: went back to modified wolfe + EDTA and switched CuSO4 to CUCl2</v>
      </c>
      <c r="E2208" s="10" t="str">
        <f>IFERROR(VLOOKUP(B2208,'Pre-Summary'!$AT$6:$AX$15,4,FALSE),"")</f>
        <v/>
      </c>
      <c r="F2208">
        <f>IFERROR(VLOOKUP(B2208,'Pre-Summary'!$AL$6:$AQ$13,6,FALSE),F2207)</f>
        <v>5.9405263157894746E-2</v>
      </c>
      <c r="G2208" t="str">
        <f>IFERROR(VLOOKUP(B2208,'Pre-Summary'!$AE$6:$AJ$85,3,FALSE),"")</f>
        <v/>
      </c>
      <c r="H2208" t="str">
        <f>IFERROR(VLOOKUP(B2208,'Pre-Summary'!$AE$6:$AJ$85,4,FALSE),"")</f>
        <v/>
      </c>
      <c r="I2208" t="str">
        <f>IFERROR(VLOOKUP(B2208,'Pre-Summary'!$AE$6:$AJ$85,5,FALSE),"")</f>
        <v/>
      </c>
      <c r="J2208" s="45" t="str">
        <f>IFERROR(VLOOKUP(B2208,'Pre-Summary'!$AE$6:$AJ$85,6, FALSE),"")</f>
        <v/>
      </c>
      <c r="K2208" s="45" t="str">
        <f>IFERROR(VLOOKUP(B2208,'Pre-Summary'!$DE$6:$DG$61,3,FALSE),"")</f>
        <v/>
      </c>
      <c r="L2208" s="45" t="str">
        <f>IFERROR(VLOOKUP(B2208,'Pre-Summary'!$CU$6:$CW$36,3,FALSE),"")</f>
        <v/>
      </c>
      <c r="M2208" s="45" t="str">
        <f>IFERROR(VLOOKUP(B2208,'Pre-Summary'!$BW$6:$BY$58,2,FALSE),"")</f>
        <v/>
      </c>
      <c r="N2208" s="45" t="str">
        <f>IFERROR(VLOOKUP(B2208,'Pre-Summary'!$CD$6:$CF$64,2,FALSE),"")</f>
        <v/>
      </c>
      <c r="O2208" s="99">
        <f>IFERROR(VLOOKUP(B2208,'Pre-Summary'!$BO$6:$BQ$48,3, FALSE),O2207)</f>
        <v>1.508</v>
      </c>
      <c r="P2208" s="99">
        <f>IFERROR(VLOOKUP(B2208,'Pre-Summary'!$BS$6:$BU$35,3,FALSE),P2207)</f>
        <v>0.379</v>
      </c>
      <c r="Q2208" s="54">
        <f t="shared" si="102"/>
        <v>3.9788918205804751</v>
      </c>
      <c r="R2208" s="53">
        <f>IFERROR(VLOOKUP(B2208,'Pre-Summary'!$BG$6:$BM$44,7,FALSE),R2209)</f>
        <v>9.7948682664336664E-2</v>
      </c>
      <c r="S2208" s="53">
        <f>IFERROR(VLOOKUP(B2208,'Pre-Summary'!$BG$6:$BM$44,6,FALSE),S2209)</f>
        <v>0.10614035087720526</v>
      </c>
      <c r="T2208" s="45" t="str">
        <f>IFERROR(VLOOKUP(B2208,'Pre-Summary'!$Y$6:$AC$83, 3,FALSE),"")</f>
        <v/>
      </c>
      <c r="U2208" s="45" t="str">
        <f>IFERROR(VLOOKUP(B2208,'Pre-Summary'!$Y$6:$AC$83, 4,FALSE),"")</f>
        <v/>
      </c>
      <c r="V2208" t="str">
        <f>IFERROR(VLOOKUP(B2208,'Pre-Summary'!$Y$6:$AC$83, 5,FALSE),"")</f>
        <v/>
      </c>
      <c r="W2208" s="45" t="str">
        <f>IFERROR(VLOOKUP(B2208,'Pre-Summary'!$Y$6:$AD$83,6,FALSE),"")</f>
        <v/>
      </c>
      <c r="X2208" t="str">
        <f>IFERROR(VLOOKUP('Pre-Summary'!$DB$6:$DD$63,3,FALSE),"")</f>
        <v/>
      </c>
      <c r="Y2208" t="str">
        <f>IFERROR(VLOOKUP(B2208,'Pre-Summary'!$CR$6:$CT$36,3,FALSE),"")</f>
        <v/>
      </c>
      <c r="Z2208" s="45" t="str">
        <f>IFERROR(VLOOKUP(B2208,'Pre-Summary'!$BZ$6:$CB$63,2,FALSE),"")</f>
        <v/>
      </c>
      <c r="AA2208" s="45" t="str">
        <f>IFERROR(VLOOKUP(B2208,'Pre-Summary'!$CG$6:$CI$70,2,FALSE),"")</f>
        <v/>
      </c>
      <c r="AB2208" s="99">
        <f>IFERROR(VLOOKUP(B2208,'Pre-Summary'!$A$6:$P$178,9,FALSE),AB2209)</f>
        <v>0.35465514391001818</v>
      </c>
      <c r="AC2208" s="10">
        <f>IFERROR(VLOOKUP(Summary!B2208,'Pre-Summary'!$A$6:$P$184,5, FALSE)/100,AC2209)</f>
        <v>0.94276500000000008</v>
      </c>
      <c r="AD2208" s="10">
        <f>IFERROR(VLOOKUP(Summary!B2208,'Pre-Summary'!$A$6:$P$184,3, FALSE)/100,AD2209)</f>
        <v>4.2818000000000002E-2</v>
      </c>
      <c r="AE2208" s="10">
        <f>IFERROR(VLOOKUP(Summary!B2208,'Pre-Summary'!$A$6:$P$184,7, FALSE)/100,AE2209)</f>
        <v>1.4416999999999999E-2</v>
      </c>
      <c r="AF2208" s="99">
        <f t="shared" si="103"/>
        <v>1.5185623951939158E-2</v>
      </c>
      <c r="AG2208" s="99">
        <f t="shared" si="104"/>
        <v>5.1130632097507317E-3</v>
      </c>
      <c r="AH2208" s="10" t="str">
        <f>IFERROR(VLOOKUP(B2208,'Pre-Summary'!$AZ$6:$BE$65,3,FALSE),"")</f>
        <v/>
      </c>
      <c r="AI2208" s="10" t="str">
        <f>IFERROR(VLOOKUP(B2208,'Pre-Summary'!$AZ$6:$BE$65,5,FALSE),"")</f>
        <v/>
      </c>
      <c r="AJ2208" s="10" t="str">
        <f>IFERROR(VLOOKUP(B2208,'Pre-Summary'!$AZ$6:$BE$65,4,FALSE),"")</f>
        <v/>
      </c>
      <c r="AK2208" s="10" t="str">
        <f>IFERROR(VLOOKUP(B2208,'Pre-Summary'!$AZ$6:$BE$65,6,FALSE),"")</f>
        <v/>
      </c>
      <c r="AL2208" s="10" t="str">
        <f>IFERROR(VLOOKUP(B2208,'Pre-Summary'!$BG$6:$BL$44,3,FALSE),"")</f>
        <v/>
      </c>
      <c r="AM2208" s="10" t="str">
        <f>IFERROR(VLOOKUP(B2208,'Pre-Summary'!$BG$6:$BL$44,4,FALSE),"")</f>
        <v/>
      </c>
    </row>
    <row r="2209" spans="2:39" ht="15" customHeight="1" x14ac:dyDescent="0.3">
      <c r="B2209">
        <v>220.6</v>
      </c>
      <c r="C2209" t="str">
        <f>IFERROR(VLOOKUP(B2209,'Pre-Summary'!$DI$6:$DM$23,4,FALSE),"")</f>
        <v/>
      </c>
      <c r="D2209" s="10" t="str">
        <f>IFERROR(VLOOKUP(B2209,'Pre-Summary'!$AT$6:$AX$14,5,FALSE),D2208)</f>
        <v>Wolfe v3: went back to modified wolfe + EDTA and switched CuSO4 to CUCl2</v>
      </c>
      <c r="E2209" s="10" t="str">
        <f>IFERROR(VLOOKUP(B2209,'Pre-Summary'!$AT$6:$AX$15,4,FALSE),"")</f>
        <v/>
      </c>
      <c r="F2209">
        <f>IFERROR(VLOOKUP(B2209,'Pre-Summary'!$AL$6:$AQ$13,6,FALSE),F2208)</f>
        <v>5.9405263157894746E-2</v>
      </c>
      <c r="G2209" t="str">
        <f>IFERROR(VLOOKUP(B2209,'Pre-Summary'!$AE$6:$AJ$85,3,FALSE),"")</f>
        <v/>
      </c>
      <c r="H2209" t="str">
        <f>IFERROR(VLOOKUP(B2209,'Pre-Summary'!$AE$6:$AJ$85,4,FALSE),"")</f>
        <v/>
      </c>
      <c r="I2209" t="str">
        <f>IFERROR(VLOOKUP(B2209,'Pre-Summary'!$AE$6:$AJ$85,5,FALSE),"")</f>
        <v/>
      </c>
      <c r="J2209" s="45" t="str">
        <f>IFERROR(VLOOKUP(B2209,'Pre-Summary'!$AE$6:$AJ$85,6, FALSE),"")</f>
        <v/>
      </c>
      <c r="K2209" s="45" t="str">
        <f>IFERROR(VLOOKUP(B2209,'Pre-Summary'!$DE$6:$DG$61,3,FALSE),"")</f>
        <v/>
      </c>
      <c r="L2209" s="45" t="str">
        <f>IFERROR(VLOOKUP(B2209,'Pre-Summary'!$CU$6:$CW$36,3,FALSE),"")</f>
        <v/>
      </c>
      <c r="M2209" s="45" t="str">
        <f>IFERROR(VLOOKUP(B2209,'Pre-Summary'!$BW$6:$BY$58,2,FALSE),"")</f>
        <v/>
      </c>
      <c r="N2209" s="45" t="str">
        <f>IFERROR(VLOOKUP(B2209,'Pre-Summary'!$CD$6:$CF$64,2,FALSE),"")</f>
        <v/>
      </c>
      <c r="O2209" s="99">
        <f>IFERROR(VLOOKUP(B2209,'Pre-Summary'!$BO$6:$BQ$48,3, FALSE),O2208)</f>
        <v>1.508</v>
      </c>
      <c r="P2209" s="99">
        <f>IFERROR(VLOOKUP(B2209,'Pre-Summary'!$BS$6:$BU$35,3,FALSE),P2208)</f>
        <v>0.379</v>
      </c>
      <c r="Q2209" s="54">
        <f t="shared" si="102"/>
        <v>3.9788918205804751</v>
      </c>
      <c r="R2209" s="53">
        <f>IFERROR(VLOOKUP(B2209,'Pre-Summary'!$BG$6:$BM$44,7,FALSE),R2210)</f>
        <v>9.7948682664336664E-2</v>
      </c>
      <c r="S2209" s="53">
        <f>IFERROR(VLOOKUP(B2209,'Pre-Summary'!$BG$6:$BM$44,6,FALSE),S2210)</f>
        <v>0.10614035087720526</v>
      </c>
      <c r="T2209" s="45" t="str">
        <f>IFERROR(VLOOKUP(B2209,'Pre-Summary'!$Y$6:$AC$83, 3,FALSE),"")</f>
        <v/>
      </c>
      <c r="U2209" s="45" t="str">
        <f>IFERROR(VLOOKUP(B2209,'Pre-Summary'!$Y$6:$AC$83, 4,FALSE),"")</f>
        <v/>
      </c>
      <c r="V2209" t="str">
        <f>IFERROR(VLOOKUP(B2209,'Pre-Summary'!$Y$6:$AC$83, 5,FALSE),"")</f>
        <v/>
      </c>
      <c r="W2209" s="45" t="str">
        <f>IFERROR(VLOOKUP(B2209,'Pre-Summary'!$Y$6:$AD$83,6,FALSE),"")</f>
        <v/>
      </c>
      <c r="X2209" t="str">
        <f>IFERROR(VLOOKUP('Pre-Summary'!$DB$6:$DD$63,3,FALSE),"")</f>
        <v/>
      </c>
      <c r="Y2209" t="str">
        <f>IFERROR(VLOOKUP(B2209,'Pre-Summary'!$CR$6:$CT$36,3,FALSE),"")</f>
        <v/>
      </c>
      <c r="Z2209" s="45" t="str">
        <f>IFERROR(VLOOKUP(B2209,'Pre-Summary'!$BZ$6:$CB$63,2,FALSE),"")</f>
        <v/>
      </c>
      <c r="AA2209" s="45" t="str">
        <f>IFERROR(VLOOKUP(B2209,'Pre-Summary'!$CG$6:$CI$70,2,FALSE),"")</f>
        <v/>
      </c>
      <c r="AB2209" s="99">
        <f>IFERROR(VLOOKUP(B2209,'Pre-Summary'!$A$6:$P$178,9,FALSE),AB2210)</f>
        <v>0.35465514391001818</v>
      </c>
      <c r="AC2209" s="10">
        <f>IFERROR(VLOOKUP(Summary!B2209,'Pre-Summary'!$A$6:$P$184,5, FALSE)/100,AC2210)</f>
        <v>0.94276500000000008</v>
      </c>
      <c r="AD2209" s="10">
        <f>IFERROR(VLOOKUP(Summary!B2209,'Pre-Summary'!$A$6:$P$184,3, FALSE)/100,AD2210)</f>
        <v>4.2818000000000002E-2</v>
      </c>
      <c r="AE2209" s="10">
        <f>IFERROR(VLOOKUP(Summary!B2209,'Pre-Summary'!$A$6:$P$184,7, FALSE)/100,AE2210)</f>
        <v>1.4416999999999999E-2</v>
      </c>
      <c r="AF2209" s="99">
        <f t="shared" si="103"/>
        <v>1.5185623951939158E-2</v>
      </c>
      <c r="AG2209" s="99">
        <f t="shared" si="104"/>
        <v>5.1130632097507317E-3</v>
      </c>
      <c r="AH2209" s="10" t="str">
        <f>IFERROR(VLOOKUP(B2209,'Pre-Summary'!$AZ$6:$BE$65,3,FALSE),"")</f>
        <v/>
      </c>
      <c r="AI2209" s="10" t="str">
        <f>IFERROR(VLOOKUP(B2209,'Pre-Summary'!$AZ$6:$BE$65,5,FALSE),"")</f>
        <v/>
      </c>
      <c r="AJ2209" s="10" t="str">
        <f>IFERROR(VLOOKUP(B2209,'Pre-Summary'!$AZ$6:$BE$65,4,FALSE),"")</f>
        <v/>
      </c>
      <c r="AK2209" s="10" t="str">
        <f>IFERROR(VLOOKUP(B2209,'Pre-Summary'!$AZ$6:$BE$65,6,FALSE),"")</f>
        <v/>
      </c>
      <c r="AL2209" s="10" t="str">
        <f>IFERROR(VLOOKUP(B2209,'Pre-Summary'!$BG$6:$BL$44,3,FALSE),"")</f>
        <v/>
      </c>
      <c r="AM2209" s="10" t="str">
        <f>IFERROR(VLOOKUP(B2209,'Pre-Summary'!$BG$6:$BL$44,4,FALSE),"")</f>
        <v/>
      </c>
    </row>
    <row r="2210" spans="2:39" ht="15" customHeight="1" x14ac:dyDescent="0.3">
      <c r="B2210">
        <v>220.7</v>
      </c>
      <c r="C2210" t="str">
        <f>IFERROR(VLOOKUP(B2210,'Pre-Summary'!$DI$6:$DM$23,4,FALSE),"")</f>
        <v/>
      </c>
      <c r="D2210" s="10" t="str">
        <f>IFERROR(VLOOKUP(B2210,'Pre-Summary'!$AT$6:$AX$14,5,FALSE),D2209)</f>
        <v>Wolfe v3: went back to modified wolfe + EDTA and switched CuSO4 to CUCl2</v>
      </c>
      <c r="E2210" s="10" t="str">
        <f>IFERROR(VLOOKUP(B2210,'Pre-Summary'!$AT$6:$AX$15,4,FALSE),"")</f>
        <v/>
      </c>
      <c r="F2210">
        <f>IFERROR(VLOOKUP(B2210,'Pre-Summary'!$AL$6:$AQ$13,6,FALSE),F2209)</f>
        <v>5.9405263157894746E-2</v>
      </c>
      <c r="G2210" t="str">
        <f>IFERROR(VLOOKUP(B2210,'Pre-Summary'!$AE$6:$AJ$85,3,FALSE),"")</f>
        <v/>
      </c>
      <c r="H2210" t="str">
        <f>IFERROR(VLOOKUP(B2210,'Pre-Summary'!$AE$6:$AJ$85,4,FALSE),"")</f>
        <v/>
      </c>
      <c r="I2210" t="str">
        <f>IFERROR(VLOOKUP(B2210,'Pre-Summary'!$AE$6:$AJ$85,5,FALSE),"")</f>
        <v/>
      </c>
      <c r="J2210" s="45" t="str">
        <f>IFERROR(VLOOKUP(B2210,'Pre-Summary'!$AE$6:$AJ$85,6, FALSE),"")</f>
        <v/>
      </c>
      <c r="K2210" s="45" t="str">
        <f>IFERROR(VLOOKUP(B2210,'Pre-Summary'!$DE$6:$DG$61,3,FALSE),"")</f>
        <v/>
      </c>
      <c r="L2210" s="45" t="str">
        <f>IFERROR(VLOOKUP(B2210,'Pre-Summary'!$CU$6:$CW$36,3,FALSE),"")</f>
        <v/>
      </c>
      <c r="M2210" s="45" t="str">
        <f>IFERROR(VLOOKUP(B2210,'Pre-Summary'!$BW$6:$BY$58,2,FALSE),"")</f>
        <v/>
      </c>
      <c r="N2210" s="45" t="str">
        <f>IFERROR(VLOOKUP(B2210,'Pre-Summary'!$CD$6:$CF$64,2,FALSE),"")</f>
        <v/>
      </c>
      <c r="O2210" s="99">
        <f>IFERROR(VLOOKUP(B2210,'Pre-Summary'!$BO$6:$BQ$48,3, FALSE),O2209)</f>
        <v>1.508</v>
      </c>
      <c r="P2210" s="99">
        <f>IFERROR(VLOOKUP(B2210,'Pre-Summary'!$BS$6:$BU$35,3,FALSE),P2209)</f>
        <v>0.379</v>
      </c>
      <c r="Q2210" s="54">
        <f t="shared" si="102"/>
        <v>3.9788918205804751</v>
      </c>
      <c r="R2210" s="53">
        <f>IFERROR(VLOOKUP(B2210,'Pre-Summary'!$BG$6:$BM$44,7,FALSE),R2211)</f>
        <v>9.7948682664336664E-2</v>
      </c>
      <c r="S2210" s="53">
        <f>IFERROR(VLOOKUP(B2210,'Pre-Summary'!$BG$6:$BM$44,6,FALSE),S2211)</f>
        <v>0.10614035087720526</v>
      </c>
      <c r="T2210" s="45" t="str">
        <f>IFERROR(VLOOKUP(B2210,'Pre-Summary'!$Y$6:$AC$83, 3,FALSE),"")</f>
        <v/>
      </c>
      <c r="U2210" s="45" t="str">
        <f>IFERROR(VLOOKUP(B2210,'Pre-Summary'!$Y$6:$AC$83, 4,FALSE),"")</f>
        <v/>
      </c>
      <c r="V2210" t="str">
        <f>IFERROR(VLOOKUP(B2210,'Pre-Summary'!$Y$6:$AC$83, 5,FALSE),"")</f>
        <v/>
      </c>
      <c r="W2210" s="45" t="str">
        <f>IFERROR(VLOOKUP(B2210,'Pre-Summary'!$Y$6:$AD$83,6,FALSE),"")</f>
        <v/>
      </c>
      <c r="X2210" t="str">
        <f>IFERROR(VLOOKUP('Pre-Summary'!$DB$6:$DD$63,3,FALSE),"")</f>
        <v/>
      </c>
      <c r="Y2210" t="str">
        <f>IFERROR(VLOOKUP(B2210,'Pre-Summary'!$CR$6:$CT$36,3,FALSE),"")</f>
        <v/>
      </c>
      <c r="Z2210" s="45" t="str">
        <f>IFERROR(VLOOKUP(B2210,'Pre-Summary'!$BZ$6:$CB$63,2,FALSE),"")</f>
        <v/>
      </c>
      <c r="AA2210" s="45" t="str">
        <f>IFERROR(VLOOKUP(B2210,'Pre-Summary'!$CG$6:$CI$70,2,FALSE),"")</f>
        <v/>
      </c>
      <c r="AB2210" s="99">
        <f>IFERROR(VLOOKUP(B2210,'Pre-Summary'!$A$6:$P$178,9,FALSE),AB2211)</f>
        <v>0.35465514391001818</v>
      </c>
      <c r="AC2210" s="10">
        <f>IFERROR(VLOOKUP(Summary!B2210,'Pre-Summary'!$A$6:$P$184,5, FALSE)/100,AC2211)</f>
        <v>0.94276500000000008</v>
      </c>
      <c r="AD2210" s="10">
        <f>IFERROR(VLOOKUP(Summary!B2210,'Pre-Summary'!$A$6:$P$184,3, FALSE)/100,AD2211)</f>
        <v>4.2818000000000002E-2</v>
      </c>
      <c r="AE2210" s="10">
        <f>IFERROR(VLOOKUP(Summary!B2210,'Pre-Summary'!$A$6:$P$184,7, FALSE)/100,AE2211)</f>
        <v>1.4416999999999999E-2</v>
      </c>
      <c r="AF2210" s="99">
        <f t="shared" si="103"/>
        <v>1.5185623951939158E-2</v>
      </c>
      <c r="AG2210" s="99">
        <f t="shared" si="104"/>
        <v>5.1130632097507317E-3</v>
      </c>
      <c r="AH2210" s="10" t="str">
        <f>IFERROR(VLOOKUP(B2210,'Pre-Summary'!$AZ$6:$BE$65,3,FALSE),"")</f>
        <v/>
      </c>
      <c r="AI2210" s="10" t="str">
        <f>IFERROR(VLOOKUP(B2210,'Pre-Summary'!$AZ$6:$BE$65,5,FALSE),"")</f>
        <v/>
      </c>
      <c r="AJ2210" s="10" t="str">
        <f>IFERROR(VLOOKUP(B2210,'Pre-Summary'!$AZ$6:$BE$65,4,FALSE),"")</f>
        <v/>
      </c>
      <c r="AK2210" s="10" t="str">
        <f>IFERROR(VLOOKUP(B2210,'Pre-Summary'!$AZ$6:$BE$65,6,FALSE),"")</f>
        <v/>
      </c>
      <c r="AL2210" s="10" t="str">
        <f>IFERROR(VLOOKUP(B2210,'Pre-Summary'!$BG$6:$BL$44,3,FALSE),"")</f>
        <v/>
      </c>
      <c r="AM2210" s="10" t="str">
        <f>IFERROR(VLOOKUP(B2210,'Pre-Summary'!$BG$6:$BL$44,4,FALSE),"")</f>
        <v/>
      </c>
    </row>
    <row r="2211" spans="2:39" ht="15" customHeight="1" x14ac:dyDescent="0.3">
      <c r="B2211">
        <v>220.8</v>
      </c>
      <c r="C2211" t="str">
        <f>IFERROR(VLOOKUP(B2211,'Pre-Summary'!$DI$6:$DM$23,4,FALSE),"")</f>
        <v/>
      </c>
      <c r="D2211" s="10" t="str">
        <f>IFERROR(VLOOKUP(B2211,'Pre-Summary'!$AT$6:$AX$14,5,FALSE),D2210)</f>
        <v>Wolfe v3: went back to modified wolfe + EDTA and switched CuSO4 to CUCl2</v>
      </c>
      <c r="E2211" s="10" t="str">
        <f>IFERROR(VLOOKUP(B2211,'Pre-Summary'!$AT$6:$AX$15,4,FALSE),"")</f>
        <v/>
      </c>
      <c r="F2211">
        <f>IFERROR(VLOOKUP(B2211,'Pre-Summary'!$AL$6:$AQ$13,6,FALSE),F2210)</f>
        <v>5.9405263157894746E-2</v>
      </c>
      <c r="G2211" t="str">
        <f>IFERROR(VLOOKUP(B2211,'Pre-Summary'!$AE$6:$AJ$85,3,FALSE),"")</f>
        <v/>
      </c>
      <c r="H2211" t="str">
        <f>IFERROR(VLOOKUP(B2211,'Pre-Summary'!$AE$6:$AJ$85,4,FALSE),"")</f>
        <v/>
      </c>
      <c r="I2211" t="str">
        <f>IFERROR(VLOOKUP(B2211,'Pre-Summary'!$AE$6:$AJ$85,5,FALSE),"")</f>
        <v/>
      </c>
      <c r="J2211" s="45" t="str">
        <f>IFERROR(VLOOKUP(B2211,'Pre-Summary'!$AE$6:$AJ$85,6, FALSE),"")</f>
        <v/>
      </c>
      <c r="K2211" s="45" t="str">
        <f>IFERROR(VLOOKUP(B2211,'Pre-Summary'!$DE$6:$DG$61,3,FALSE),"")</f>
        <v/>
      </c>
      <c r="L2211" s="45" t="str">
        <f>IFERROR(VLOOKUP(B2211,'Pre-Summary'!$CU$6:$CW$36,3,FALSE),"")</f>
        <v/>
      </c>
      <c r="M2211" s="45" t="str">
        <f>IFERROR(VLOOKUP(B2211,'Pre-Summary'!$BW$6:$BY$58,2,FALSE),"")</f>
        <v/>
      </c>
      <c r="N2211" s="45" t="str">
        <f>IFERROR(VLOOKUP(B2211,'Pre-Summary'!$CD$6:$CF$64,2,FALSE),"")</f>
        <v/>
      </c>
      <c r="O2211" s="99">
        <f>IFERROR(VLOOKUP(B2211,'Pre-Summary'!$BO$6:$BQ$48,3, FALSE),O2210)</f>
        <v>1.508</v>
      </c>
      <c r="P2211" s="99">
        <f>IFERROR(VLOOKUP(B2211,'Pre-Summary'!$BS$6:$BU$35,3,FALSE),P2210)</f>
        <v>0.379</v>
      </c>
      <c r="Q2211" s="54">
        <f t="shared" si="102"/>
        <v>3.9788918205804751</v>
      </c>
      <c r="R2211" s="53">
        <f>IFERROR(VLOOKUP(B2211,'Pre-Summary'!$BG$6:$BM$44,7,FALSE),R2212)</f>
        <v>9.7948682664336664E-2</v>
      </c>
      <c r="S2211" s="53">
        <f>IFERROR(VLOOKUP(B2211,'Pre-Summary'!$BG$6:$BM$44,6,FALSE),S2212)</f>
        <v>0.10614035087720526</v>
      </c>
      <c r="T2211" s="45" t="str">
        <f>IFERROR(VLOOKUP(B2211,'Pre-Summary'!$Y$6:$AC$83, 3,FALSE),"")</f>
        <v/>
      </c>
      <c r="U2211" s="45" t="str">
        <f>IFERROR(VLOOKUP(B2211,'Pre-Summary'!$Y$6:$AC$83, 4,FALSE),"")</f>
        <v/>
      </c>
      <c r="V2211" t="str">
        <f>IFERROR(VLOOKUP(B2211,'Pre-Summary'!$Y$6:$AC$83, 5,FALSE),"")</f>
        <v/>
      </c>
      <c r="W2211" s="45" t="str">
        <f>IFERROR(VLOOKUP(B2211,'Pre-Summary'!$Y$6:$AD$83,6,FALSE),"")</f>
        <v/>
      </c>
      <c r="X2211" t="str">
        <f>IFERROR(VLOOKUP('Pre-Summary'!$DB$6:$DD$63,3,FALSE),"")</f>
        <v/>
      </c>
      <c r="Y2211" t="str">
        <f>IFERROR(VLOOKUP(B2211,'Pre-Summary'!$CR$6:$CT$36,3,FALSE),"")</f>
        <v/>
      </c>
      <c r="Z2211" s="45" t="str">
        <f>IFERROR(VLOOKUP(B2211,'Pre-Summary'!$BZ$6:$CB$63,2,FALSE),"")</f>
        <v/>
      </c>
      <c r="AA2211" s="45" t="str">
        <f>IFERROR(VLOOKUP(B2211,'Pre-Summary'!$CG$6:$CI$70,2,FALSE),"")</f>
        <v/>
      </c>
      <c r="AB2211" s="99">
        <f>IFERROR(VLOOKUP(B2211,'Pre-Summary'!$A$6:$P$178,9,FALSE),AB2212)</f>
        <v>0.35465514391001818</v>
      </c>
      <c r="AC2211" s="10">
        <f>IFERROR(VLOOKUP(Summary!B2211,'Pre-Summary'!$A$6:$P$184,5, FALSE)/100,AC2212)</f>
        <v>0.94276500000000008</v>
      </c>
      <c r="AD2211" s="10">
        <f>IFERROR(VLOOKUP(Summary!B2211,'Pre-Summary'!$A$6:$P$184,3, FALSE)/100,AD2212)</f>
        <v>4.2818000000000002E-2</v>
      </c>
      <c r="AE2211" s="10">
        <f>IFERROR(VLOOKUP(Summary!B2211,'Pre-Summary'!$A$6:$P$184,7, FALSE)/100,AE2212)</f>
        <v>1.4416999999999999E-2</v>
      </c>
      <c r="AF2211" s="99">
        <f t="shared" si="103"/>
        <v>1.5185623951939158E-2</v>
      </c>
      <c r="AG2211" s="99">
        <f t="shared" si="104"/>
        <v>5.1130632097507317E-3</v>
      </c>
      <c r="AH2211" s="10" t="str">
        <f>IFERROR(VLOOKUP(B2211,'Pre-Summary'!$AZ$6:$BE$65,3,FALSE),"")</f>
        <v/>
      </c>
      <c r="AI2211" s="10" t="str">
        <f>IFERROR(VLOOKUP(B2211,'Pre-Summary'!$AZ$6:$BE$65,5,FALSE),"")</f>
        <v/>
      </c>
      <c r="AJ2211" s="10" t="str">
        <f>IFERROR(VLOOKUP(B2211,'Pre-Summary'!$AZ$6:$BE$65,4,FALSE),"")</f>
        <v/>
      </c>
      <c r="AK2211" s="10" t="str">
        <f>IFERROR(VLOOKUP(B2211,'Pre-Summary'!$AZ$6:$BE$65,6,FALSE),"")</f>
        <v/>
      </c>
      <c r="AL2211" s="10" t="str">
        <f>IFERROR(VLOOKUP(B2211,'Pre-Summary'!$BG$6:$BL$44,3,FALSE),"")</f>
        <v/>
      </c>
      <c r="AM2211" s="10" t="str">
        <f>IFERROR(VLOOKUP(B2211,'Pre-Summary'!$BG$6:$BL$44,4,FALSE),"")</f>
        <v/>
      </c>
    </row>
    <row r="2212" spans="2:39" ht="15" customHeight="1" x14ac:dyDescent="0.3">
      <c r="B2212">
        <v>220.9</v>
      </c>
      <c r="C2212" t="str">
        <f>IFERROR(VLOOKUP(B2212,'Pre-Summary'!$DI$6:$DM$23,4,FALSE),"")</f>
        <v/>
      </c>
      <c r="D2212" s="10" t="str">
        <f>IFERROR(VLOOKUP(B2212,'Pre-Summary'!$AT$6:$AX$14,5,FALSE),D2211)</f>
        <v>Wolfe v3: went back to modified wolfe + EDTA and switched CuSO4 to CUCl2</v>
      </c>
      <c r="E2212" s="10" t="str">
        <f>IFERROR(VLOOKUP(B2212,'Pre-Summary'!$AT$6:$AX$15,4,FALSE),"")</f>
        <v/>
      </c>
      <c r="F2212">
        <f>IFERROR(VLOOKUP(B2212,'Pre-Summary'!$AL$6:$AQ$13,6,FALSE),F2211)</f>
        <v>5.9405263157894746E-2</v>
      </c>
      <c r="G2212" t="str">
        <f>IFERROR(VLOOKUP(B2212,'Pre-Summary'!$AE$6:$AJ$85,3,FALSE),"")</f>
        <v/>
      </c>
      <c r="H2212" t="str">
        <f>IFERROR(VLOOKUP(B2212,'Pre-Summary'!$AE$6:$AJ$85,4,FALSE),"")</f>
        <v/>
      </c>
      <c r="I2212" t="str">
        <f>IFERROR(VLOOKUP(B2212,'Pre-Summary'!$AE$6:$AJ$85,5,FALSE),"")</f>
        <v/>
      </c>
      <c r="J2212" s="45" t="str">
        <f>IFERROR(VLOOKUP(B2212,'Pre-Summary'!$AE$6:$AJ$85,6, FALSE),"")</f>
        <v/>
      </c>
      <c r="K2212" s="45" t="str">
        <f>IFERROR(VLOOKUP(B2212,'Pre-Summary'!$DE$6:$DG$61,3,FALSE),"")</f>
        <v/>
      </c>
      <c r="L2212" s="45" t="str">
        <f>IFERROR(VLOOKUP(B2212,'Pre-Summary'!$CU$6:$CW$36,3,FALSE),"")</f>
        <v/>
      </c>
      <c r="M2212" s="45" t="str">
        <f>IFERROR(VLOOKUP(B2212,'Pre-Summary'!$BW$6:$BY$58,2,FALSE),"")</f>
        <v/>
      </c>
      <c r="N2212" s="45" t="str">
        <f>IFERROR(VLOOKUP(B2212,'Pre-Summary'!$CD$6:$CF$64,2,FALSE),"")</f>
        <v/>
      </c>
      <c r="O2212" s="99">
        <f>IFERROR(VLOOKUP(B2212,'Pre-Summary'!$BO$6:$BQ$48,3, FALSE),O2211)</f>
        <v>1.508</v>
      </c>
      <c r="P2212" s="99">
        <f>IFERROR(VLOOKUP(B2212,'Pre-Summary'!$BS$6:$BU$35,3,FALSE),P2211)</f>
        <v>0.379</v>
      </c>
      <c r="Q2212" s="54">
        <f t="shared" si="102"/>
        <v>3.9788918205804751</v>
      </c>
      <c r="R2212" s="53">
        <f>IFERROR(VLOOKUP(B2212,'Pre-Summary'!$BG$6:$BM$44,7,FALSE),R2213)</f>
        <v>9.7948682664336664E-2</v>
      </c>
      <c r="S2212" s="53">
        <f>IFERROR(VLOOKUP(B2212,'Pre-Summary'!$BG$6:$BM$44,6,FALSE),S2213)</f>
        <v>0.10614035087720526</v>
      </c>
      <c r="T2212" s="45" t="str">
        <f>IFERROR(VLOOKUP(B2212,'Pre-Summary'!$Y$6:$AC$83, 3,FALSE),"")</f>
        <v/>
      </c>
      <c r="U2212" s="45" t="str">
        <f>IFERROR(VLOOKUP(B2212,'Pre-Summary'!$Y$6:$AC$83, 4,FALSE),"")</f>
        <v/>
      </c>
      <c r="V2212" t="str">
        <f>IFERROR(VLOOKUP(B2212,'Pre-Summary'!$Y$6:$AC$83, 5,FALSE),"")</f>
        <v/>
      </c>
      <c r="W2212" s="45" t="str">
        <f>IFERROR(VLOOKUP(B2212,'Pre-Summary'!$Y$6:$AD$83,6,FALSE),"")</f>
        <v/>
      </c>
      <c r="X2212" t="str">
        <f>IFERROR(VLOOKUP('Pre-Summary'!$DB$6:$DD$63,3,FALSE),"")</f>
        <v/>
      </c>
      <c r="Y2212" t="str">
        <f>IFERROR(VLOOKUP(B2212,'Pre-Summary'!$CR$6:$CT$36,3,FALSE),"")</f>
        <v/>
      </c>
      <c r="Z2212" s="45" t="str">
        <f>IFERROR(VLOOKUP(B2212,'Pre-Summary'!$BZ$6:$CB$63,2,FALSE),"")</f>
        <v/>
      </c>
      <c r="AA2212" s="45" t="str">
        <f>IFERROR(VLOOKUP(B2212,'Pre-Summary'!$CG$6:$CI$70,2,FALSE),"")</f>
        <v/>
      </c>
      <c r="AB2212" s="99">
        <f>IFERROR(VLOOKUP(B2212,'Pre-Summary'!$A$6:$P$178,9,FALSE),AB2213)</f>
        <v>0.35465514391001818</v>
      </c>
      <c r="AC2212" s="10">
        <f>IFERROR(VLOOKUP(Summary!B2212,'Pre-Summary'!$A$6:$P$184,5, FALSE)/100,AC2213)</f>
        <v>0.94276500000000008</v>
      </c>
      <c r="AD2212" s="10">
        <f>IFERROR(VLOOKUP(Summary!B2212,'Pre-Summary'!$A$6:$P$184,3, FALSE)/100,AD2213)</f>
        <v>4.2818000000000002E-2</v>
      </c>
      <c r="AE2212" s="10">
        <f>IFERROR(VLOOKUP(Summary!B2212,'Pre-Summary'!$A$6:$P$184,7, FALSE)/100,AE2213)</f>
        <v>1.4416999999999999E-2</v>
      </c>
      <c r="AF2212" s="99">
        <f t="shared" si="103"/>
        <v>1.5185623951939158E-2</v>
      </c>
      <c r="AG2212" s="99">
        <f t="shared" si="104"/>
        <v>5.1130632097507317E-3</v>
      </c>
      <c r="AH2212" s="10" t="str">
        <f>IFERROR(VLOOKUP(B2212,'Pre-Summary'!$AZ$6:$BE$65,3,FALSE),"")</f>
        <v/>
      </c>
      <c r="AI2212" s="10" t="str">
        <f>IFERROR(VLOOKUP(B2212,'Pre-Summary'!$AZ$6:$BE$65,5,FALSE),"")</f>
        <v/>
      </c>
      <c r="AJ2212" s="10" t="str">
        <f>IFERROR(VLOOKUP(B2212,'Pre-Summary'!$AZ$6:$BE$65,4,FALSE),"")</f>
        <v/>
      </c>
      <c r="AK2212" s="10" t="str">
        <f>IFERROR(VLOOKUP(B2212,'Pre-Summary'!$AZ$6:$BE$65,6,FALSE),"")</f>
        <v/>
      </c>
      <c r="AL2212" s="10" t="str">
        <f>IFERROR(VLOOKUP(B2212,'Pre-Summary'!$BG$6:$BL$44,3,FALSE),"")</f>
        <v/>
      </c>
      <c r="AM2212" s="10" t="str">
        <f>IFERROR(VLOOKUP(B2212,'Pre-Summary'!$BG$6:$BL$44,4,FALSE),"")</f>
        <v/>
      </c>
    </row>
    <row r="2213" spans="2:39" ht="15" customHeight="1" x14ac:dyDescent="0.3">
      <c r="B2213">
        <v>221</v>
      </c>
      <c r="C2213" t="str">
        <f>IFERROR(VLOOKUP(B2213,'Pre-Summary'!$DI$6:$DM$23,4,FALSE),"")</f>
        <v/>
      </c>
      <c r="D2213" s="10" t="str">
        <f>IFERROR(VLOOKUP(B2213,'Pre-Summary'!$AT$6:$AX$14,5,FALSE),D2212)</f>
        <v>Wolfe v3: went back to modified wolfe + EDTA and switched CuSO4 to CUCl2</v>
      </c>
      <c r="E2213" s="10" t="str">
        <f>IFERROR(VLOOKUP(B2213,'Pre-Summary'!$AT$6:$AX$15,4,FALSE),"")</f>
        <v/>
      </c>
      <c r="F2213">
        <f>IFERROR(VLOOKUP(B2213,'Pre-Summary'!$AL$6:$AQ$13,6,FALSE),F2212)</f>
        <v>5.9405263157894746E-2</v>
      </c>
      <c r="G2213" t="str">
        <f>IFERROR(VLOOKUP(B2213,'Pre-Summary'!$AE$6:$AJ$85,3,FALSE),"")</f>
        <v/>
      </c>
      <c r="H2213" t="str">
        <f>IFERROR(VLOOKUP(B2213,'Pre-Summary'!$AE$6:$AJ$85,4,FALSE),"")</f>
        <v/>
      </c>
      <c r="I2213" t="str">
        <f>IFERROR(VLOOKUP(B2213,'Pre-Summary'!$AE$6:$AJ$85,5,FALSE),"")</f>
        <v/>
      </c>
      <c r="J2213" s="45" t="str">
        <f>IFERROR(VLOOKUP(B2213,'Pre-Summary'!$AE$6:$AJ$85,6, FALSE),"")</f>
        <v/>
      </c>
      <c r="K2213" s="45" t="str">
        <f>IFERROR(VLOOKUP(B2213,'Pre-Summary'!$DE$6:$DG$61,3,FALSE),"")</f>
        <v/>
      </c>
      <c r="L2213" s="45" t="str">
        <f>IFERROR(VLOOKUP(B2213,'Pre-Summary'!$CU$6:$CW$36,3,FALSE),"")</f>
        <v/>
      </c>
      <c r="M2213" s="45" t="str">
        <f>IFERROR(VLOOKUP(B2213,'Pre-Summary'!$BW$6:$BY$58,2,FALSE),"")</f>
        <v/>
      </c>
      <c r="N2213" s="45" t="str">
        <f>IFERROR(VLOOKUP(B2213,'Pre-Summary'!$CD$6:$CF$64,2,FALSE),"")</f>
        <v/>
      </c>
      <c r="O2213" s="99">
        <f>IFERROR(VLOOKUP(B2213,'Pre-Summary'!$BO$6:$BQ$48,3, FALSE),O2212)</f>
        <v>1.508</v>
      </c>
      <c r="P2213" s="99">
        <f>IFERROR(VLOOKUP(B2213,'Pre-Summary'!$BS$6:$BU$35,3,FALSE),P2212)</f>
        <v>0.379</v>
      </c>
      <c r="Q2213" s="54">
        <f t="shared" si="102"/>
        <v>3.9788918205804751</v>
      </c>
      <c r="R2213" s="53">
        <f>IFERROR(VLOOKUP(B2213,'Pre-Summary'!$BG$6:$BM$44,7,FALSE),R2214)</f>
        <v>9.7948682664336664E-2</v>
      </c>
      <c r="S2213" s="53">
        <f>IFERROR(VLOOKUP(B2213,'Pre-Summary'!$BG$6:$BM$44,6,FALSE),S2214)</f>
        <v>0.10614035087720526</v>
      </c>
      <c r="T2213" s="45" t="str">
        <f>IFERROR(VLOOKUP(B2213,'Pre-Summary'!$Y$6:$AC$83, 3,FALSE),"")</f>
        <v/>
      </c>
      <c r="U2213" s="45" t="str">
        <f>IFERROR(VLOOKUP(B2213,'Pre-Summary'!$Y$6:$AC$83, 4,FALSE),"")</f>
        <v/>
      </c>
      <c r="V2213" t="str">
        <f>IFERROR(VLOOKUP(B2213,'Pre-Summary'!$Y$6:$AC$83, 5,FALSE),"")</f>
        <v/>
      </c>
      <c r="W2213" s="45" t="str">
        <f>IFERROR(VLOOKUP(B2213,'Pre-Summary'!$Y$6:$AD$83,6,FALSE),"")</f>
        <v/>
      </c>
      <c r="X2213" t="str">
        <f>IFERROR(VLOOKUP('Pre-Summary'!$DB$6:$DD$63,3,FALSE),"")</f>
        <v/>
      </c>
      <c r="Y2213" t="str">
        <f>IFERROR(VLOOKUP(B2213,'Pre-Summary'!$CR$6:$CT$36,3,FALSE),"")</f>
        <v/>
      </c>
      <c r="Z2213" s="45" t="str">
        <f>IFERROR(VLOOKUP(B2213,'Pre-Summary'!$BZ$6:$CB$63,2,FALSE),"")</f>
        <v/>
      </c>
      <c r="AA2213" s="45" t="str">
        <f>IFERROR(VLOOKUP(B2213,'Pre-Summary'!$CG$6:$CI$70,2,FALSE),"")</f>
        <v/>
      </c>
      <c r="AB2213" s="99">
        <f>IFERROR(VLOOKUP(B2213,'Pre-Summary'!$A$6:$P$178,9,FALSE),AB2214)</f>
        <v>0.35465514391001818</v>
      </c>
      <c r="AC2213" s="10">
        <f>IFERROR(VLOOKUP(Summary!B2213,'Pre-Summary'!$A$6:$P$184,5, FALSE)/100,AC2214)</f>
        <v>0.94276500000000008</v>
      </c>
      <c r="AD2213" s="10">
        <f>IFERROR(VLOOKUP(Summary!B2213,'Pre-Summary'!$A$6:$P$184,3, FALSE)/100,AD2214)</f>
        <v>4.2818000000000002E-2</v>
      </c>
      <c r="AE2213" s="10">
        <f>IFERROR(VLOOKUP(Summary!B2213,'Pre-Summary'!$A$6:$P$184,7, FALSE)/100,AE2214)</f>
        <v>1.4416999999999999E-2</v>
      </c>
      <c r="AF2213" s="99">
        <f t="shared" si="103"/>
        <v>1.5185623951939158E-2</v>
      </c>
      <c r="AG2213" s="99">
        <f t="shared" si="104"/>
        <v>5.1130632097507317E-3</v>
      </c>
      <c r="AH2213" s="10" t="str">
        <f>IFERROR(VLOOKUP(B2213,'Pre-Summary'!$AZ$6:$BE$65,3,FALSE),"")</f>
        <v/>
      </c>
      <c r="AI2213" s="10" t="str">
        <f>IFERROR(VLOOKUP(B2213,'Pre-Summary'!$AZ$6:$BE$65,5,FALSE),"")</f>
        <v/>
      </c>
      <c r="AJ2213" s="10" t="str">
        <f>IFERROR(VLOOKUP(B2213,'Pre-Summary'!$AZ$6:$BE$65,4,FALSE),"")</f>
        <v/>
      </c>
      <c r="AK2213" s="10" t="str">
        <f>IFERROR(VLOOKUP(B2213,'Pre-Summary'!$AZ$6:$BE$65,6,FALSE),"")</f>
        <v/>
      </c>
      <c r="AL2213" s="10" t="str">
        <f>IFERROR(VLOOKUP(B2213,'Pre-Summary'!$BG$6:$BL$44,3,FALSE),"")</f>
        <v/>
      </c>
      <c r="AM2213" s="10" t="str">
        <f>IFERROR(VLOOKUP(B2213,'Pre-Summary'!$BG$6:$BL$44,4,FALSE),"")</f>
        <v/>
      </c>
    </row>
    <row r="2214" spans="2:39" ht="15" customHeight="1" x14ac:dyDescent="0.3">
      <c r="B2214">
        <v>221.1</v>
      </c>
      <c r="C2214" t="str">
        <f>IFERROR(VLOOKUP(B2214,'Pre-Summary'!$DI$6:$DM$23,4,FALSE),"")</f>
        <v/>
      </c>
      <c r="D2214" s="10" t="str">
        <f>IFERROR(VLOOKUP(B2214,'Pre-Summary'!$AT$6:$AX$14,5,FALSE),D2213)</f>
        <v>Wolfe v3: went back to modified wolfe + EDTA and switched CuSO4 to CUCl2</v>
      </c>
      <c r="E2214" s="10" t="str">
        <f>IFERROR(VLOOKUP(B2214,'Pre-Summary'!$AT$6:$AX$15,4,FALSE),"")</f>
        <v/>
      </c>
      <c r="F2214">
        <f>IFERROR(VLOOKUP(B2214,'Pre-Summary'!$AL$6:$AQ$13,6,FALSE),F2213)</f>
        <v>5.9405263157894746E-2</v>
      </c>
      <c r="G2214" t="str">
        <f>IFERROR(VLOOKUP(B2214,'Pre-Summary'!$AE$6:$AJ$85,3,FALSE),"")</f>
        <v/>
      </c>
      <c r="H2214" t="str">
        <f>IFERROR(VLOOKUP(B2214,'Pre-Summary'!$AE$6:$AJ$85,4,FALSE),"")</f>
        <v/>
      </c>
      <c r="I2214" t="str">
        <f>IFERROR(VLOOKUP(B2214,'Pre-Summary'!$AE$6:$AJ$85,5,FALSE),"")</f>
        <v/>
      </c>
      <c r="J2214" s="45" t="str">
        <f>IFERROR(VLOOKUP(B2214,'Pre-Summary'!$AE$6:$AJ$85,6, FALSE),"")</f>
        <v/>
      </c>
      <c r="K2214" s="45" t="str">
        <f>IFERROR(VLOOKUP(B2214,'Pre-Summary'!$DE$6:$DG$61,3,FALSE),"")</f>
        <v/>
      </c>
      <c r="L2214" s="45" t="str">
        <f>IFERROR(VLOOKUP(B2214,'Pre-Summary'!$CU$6:$CW$36,3,FALSE),"")</f>
        <v/>
      </c>
      <c r="M2214" s="45" t="str">
        <f>IFERROR(VLOOKUP(B2214,'Pre-Summary'!$BW$6:$BY$58,2,FALSE),"")</f>
        <v/>
      </c>
      <c r="N2214" s="45" t="str">
        <f>IFERROR(VLOOKUP(B2214,'Pre-Summary'!$CD$6:$CF$64,2,FALSE),"")</f>
        <v/>
      </c>
      <c r="O2214" s="99">
        <f>IFERROR(VLOOKUP(B2214,'Pre-Summary'!$BO$6:$BQ$48,3, FALSE),O2213)</f>
        <v>1.508</v>
      </c>
      <c r="P2214" s="99">
        <f>IFERROR(VLOOKUP(B2214,'Pre-Summary'!$BS$6:$BU$35,3,FALSE),P2213)</f>
        <v>0.379</v>
      </c>
      <c r="Q2214" s="54">
        <f t="shared" si="102"/>
        <v>3.9788918205804751</v>
      </c>
      <c r="R2214" s="53">
        <f>IFERROR(VLOOKUP(B2214,'Pre-Summary'!$BG$6:$BM$44,7,FALSE),R2215)</f>
        <v>9.7948682664336664E-2</v>
      </c>
      <c r="S2214" s="53">
        <f>IFERROR(VLOOKUP(B2214,'Pre-Summary'!$BG$6:$BM$44,6,FALSE),S2215)</f>
        <v>0.10614035087720526</v>
      </c>
      <c r="T2214" s="45" t="str">
        <f>IFERROR(VLOOKUP(B2214,'Pre-Summary'!$Y$6:$AC$83, 3,FALSE),"")</f>
        <v/>
      </c>
      <c r="U2214" s="45" t="str">
        <f>IFERROR(VLOOKUP(B2214,'Pre-Summary'!$Y$6:$AC$83, 4,FALSE),"")</f>
        <v/>
      </c>
      <c r="V2214" t="str">
        <f>IFERROR(VLOOKUP(B2214,'Pre-Summary'!$Y$6:$AC$83, 5,FALSE),"")</f>
        <v/>
      </c>
      <c r="W2214" s="45" t="str">
        <f>IFERROR(VLOOKUP(B2214,'Pre-Summary'!$Y$6:$AD$83,6,FALSE),"")</f>
        <v/>
      </c>
      <c r="X2214" t="str">
        <f>IFERROR(VLOOKUP('Pre-Summary'!$DB$6:$DD$63,3,FALSE),"")</f>
        <v/>
      </c>
      <c r="Y2214" t="str">
        <f>IFERROR(VLOOKUP(B2214,'Pre-Summary'!$CR$6:$CT$36,3,FALSE),"")</f>
        <v/>
      </c>
      <c r="Z2214" s="45" t="str">
        <f>IFERROR(VLOOKUP(B2214,'Pre-Summary'!$BZ$6:$CB$63,2,FALSE),"")</f>
        <v/>
      </c>
      <c r="AA2214" s="45" t="str">
        <f>IFERROR(VLOOKUP(B2214,'Pre-Summary'!$CG$6:$CI$70,2,FALSE),"")</f>
        <v/>
      </c>
      <c r="AB2214" s="99">
        <f>IFERROR(VLOOKUP(B2214,'Pre-Summary'!$A$6:$P$178,9,FALSE),AB2215)</f>
        <v>0.35465514391001818</v>
      </c>
      <c r="AC2214" s="10">
        <f>IFERROR(VLOOKUP(Summary!B2214,'Pre-Summary'!$A$6:$P$184,5, FALSE)/100,AC2215)</f>
        <v>0.94276500000000008</v>
      </c>
      <c r="AD2214" s="10">
        <f>IFERROR(VLOOKUP(Summary!B2214,'Pre-Summary'!$A$6:$P$184,3, FALSE)/100,AD2215)</f>
        <v>4.2818000000000002E-2</v>
      </c>
      <c r="AE2214" s="10">
        <f>IFERROR(VLOOKUP(Summary!B2214,'Pre-Summary'!$A$6:$P$184,7, FALSE)/100,AE2215)</f>
        <v>1.4416999999999999E-2</v>
      </c>
      <c r="AF2214" s="99">
        <f t="shared" si="103"/>
        <v>1.5185623951939158E-2</v>
      </c>
      <c r="AG2214" s="99">
        <f t="shared" si="104"/>
        <v>5.1130632097507317E-3</v>
      </c>
      <c r="AH2214" s="10" t="str">
        <f>IFERROR(VLOOKUP(B2214,'Pre-Summary'!$AZ$6:$BE$65,3,FALSE),"")</f>
        <v/>
      </c>
      <c r="AI2214" s="10" t="str">
        <f>IFERROR(VLOOKUP(B2214,'Pre-Summary'!$AZ$6:$BE$65,5,FALSE),"")</f>
        <v/>
      </c>
      <c r="AJ2214" s="10" t="str">
        <f>IFERROR(VLOOKUP(B2214,'Pre-Summary'!$AZ$6:$BE$65,4,FALSE),"")</f>
        <v/>
      </c>
      <c r="AK2214" s="10" t="str">
        <f>IFERROR(VLOOKUP(B2214,'Pre-Summary'!$AZ$6:$BE$65,6,FALSE),"")</f>
        <v/>
      </c>
      <c r="AL2214" s="10" t="str">
        <f>IFERROR(VLOOKUP(B2214,'Pre-Summary'!$BG$6:$BL$44,3,FALSE),"")</f>
        <v/>
      </c>
      <c r="AM2214" s="10" t="str">
        <f>IFERROR(VLOOKUP(B2214,'Pre-Summary'!$BG$6:$BL$44,4,FALSE),"")</f>
        <v/>
      </c>
    </row>
    <row r="2215" spans="2:39" ht="15" customHeight="1" x14ac:dyDescent="0.3">
      <c r="B2215">
        <v>221.2</v>
      </c>
      <c r="C2215" t="str">
        <f>IFERROR(VLOOKUP(B2215,'Pre-Summary'!$DI$6:$DM$23,4,FALSE),"")</f>
        <v/>
      </c>
      <c r="D2215" s="10" t="str">
        <f>IFERROR(VLOOKUP(B2215,'Pre-Summary'!$AT$6:$AX$14,5,FALSE),D2214)</f>
        <v>Wolfe v3: went back to modified wolfe + EDTA and switched CuSO4 to CUCl2</v>
      </c>
      <c r="E2215" s="10" t="str">
        <f>IFERROR(VLOOKUP(B2215,'Pre-Summary'!$AT$6:$AX$15,4,FALSE),"")</f>
        <v/>
      </c>
      <c r="F2215">
        <f>IFERROR(VLOOKUP(B2215,'Pre-Summary'!$AL$6:$AQ$13,6,FALSE),F2214)</f>
        <v>5.9405263157894746E-2</v>
      </c>
      <c r="G2215" t="str">
        <f>IFERROR(VLOOKUP(B2215,'Pre-Summary'!$AE$6:$AJ$85,3,FALSE),"")</f>
        <v/>
      </c>
      <c r="H2215" t="str">
        <f>IFERROR(VLOOKUP(B2215,'Pre-Summary'!$AE$6:$AJ$85,4,FALSE),"")</f>
        <v/>
      </c>
      <c r="I2215" t="str">
        <f>IFERROR(VLOOKUP(B2215,'Pre-Summary'!$AE$6:$AJ$85,5,FALSE),"")</f>
        <v/>
      </c>
      <c r="J2215" s="45" t="str">
        <f>IFERROR(VLOOKUP(B2215,'Pre-Summary'!$AE$6:$AJ$85,6, FALSE),"")</f>
        <v/>
      </c>
      <c r="K2215" s="45" t="str">
        <f>IFERROR(VLOOKUP(B2215,'Pre-Summary'!$DE$6:$DG$61,3,FALSE),"")</f>
        <v/>
      </c>
      <c r="L2215" s="45" t="str">
        <f>IFERROR(VLOOKUP(B2215,'Pre-Summary'!$CU$6:$CW$36,3,FALSE),"")</f>
        <v/>
      </c>
      <c r="M2215" s="45" t="str">
        <f>IFERROR(VLOOKUP(B2215,'Pre-Summary'!$BW$6:$BY$58,2,FALSE),"")</f>
        <v/>
      </c>
      <c r="N2215" s="45" t="str">
        <f>IFERROR(VLOOKUP(B2215,'Pre-Summary'!$CD$6:$CF$64,2,FALSE),"")</f>
        <v/>
      </c>
      <c r="O2215" s="99">
        <f>IFERROR(VLOOKUP(B2215,'Pre-Summary'!$BO$6:$BQ$48,3, FALSE),O2214)</f>
        <v>1.508</v>
      </c>
      <c r="P2215" s="99">
        <f>IFERROR(VLOOKUP(B2215,'Pre-Summary'!$BS$6:$BU$35,3,FALSE),P2214)</f>
        <v>0.379</v>
      </c>
      <c r="Q2215" s="54">
        <f t="shared" si="102"/>
        <v>3.9788918205804751</v>
      </c>
      <c r="R2215" s="53">
        <f>IFERROR(VLOOKUP(B2215,'Pre-Summary'!$BG$6:$BM$44,7,FALSE),R2216)</f>
        <v>9.7948682664336664E-2</v>
      </c>
      <c r="S2215" s="53">
        <f>IFERROR(VLOOKUP(B2215,'Pre-Summary'!$BG$6:$BM$44,6,FALSE),S2216)</f>
        <v>0.10614035087720526</v>
      </c>
      <c r="T2215" s="45" t="str">
        <f>IFERROR(VLOOKUP(B2215,'Pre-Summary'!$Y$6:$AC$83, 3,FALSE),"")</f>
        <v/>
      </c>
      <c r="U2215" s="45" t="str">
        <f>IFERROR(VLOOKUP(B2215,'Pre-Summary'!$Y$6:$AC$83, 4,FALSE),"")</f>
        <v/>
      </c>
      <c r="V2215" t="str">
        <f>IFERROR(VLOOKUP(B2215,'Pre-Summary'!$Y$6:$AC$83, 5,FALSE),"")</f>
        <v/>
      </c>
      <c r="W2215" s="45" t="str">
        <f>IFERROR(VLOOKUP(B2215,'Pre-Summary'!$Y$6:$AD$83,6,FALSE),"")</f>
        <v/>
      </c>
      <c r="X2215" t="str">
        <f>IFERROR(VLOOKUP('Pre-Summary'!$DB$6:$DD$63,3,FALSE),"")</f>
        <v/>
      </c>
      <c r="Y2215" t="str">
        <f>IFERROR(VLOOKUP(B2215,'Pre-Summary'!$CR$6:$CT$36,3,FALSE),"")</f>
        <v/>
      </c>
      <c r="Z2215" s="45" t="str">
        <f>IFERROR(VLOOKUP(B2215,'Pre-Summary'!$BZ$6:$CB$63,2,FALSE),"")</f>
        <v/>
      </c>
      <c r="AA2215" s="45" t="str">
        <f>IFERROR(VLOOKUP(B2215,'Pre-Summary'!$CG$6:$CI$70,2,FALSE),"")</f>
        <v/>
      </c>
      <c r="AB2215" s="99">
        <f>IFERROR(VLOOKUP(B2215,'Pre-Summary'!$A$6:$P$178,9,FALSE),AB2216)</f>
        <v>0.35465514391001818</v>
      </c>
      <c r="AC2215" s="10">
        <f>IFERROR(VLOOKUP(Summary!B2215,'Pre-Summary'!$A$6:$P$184,5, FALSE)/100,AC2216)</f>
        <v>0.94276500000000008</v>
      </c>
      <c r="AD2215" s="10">
        <f>IFERROR(VLOOKUP(Summary!B2215,'Pre-Summary'!$A$6:$P$184,3, FALSE)/100,AD2216)</f>
        <v>4.2818000000000002E-2</v>
      </c>
      <c r="AE2215" s="10">
        <f>IFERROR(VLOOKUP(Summary!B2215,'Pre-Summary'!$A$6:$P$184,7, FALSE)/100,AE2216)</f>
        <v>1.4416999999999999E-2</v>
      </c>
      <c r="AF2215" s="99">
        <f t="shared" si="103"/>
        <v>1.5185623951939158E-2</v>
      </c>
      <c r="AG2215" s="99">
        <f t="shared" si="104"/>
        <v>5.1130632097507317E-3</v>
      </c>
      <c r="AH2215" s="10" t="str">
        <f>IFERROR(VLOOKUP(B2215,'Pre-Summary'!$AZ$6:$BE$65,3,FALSE),"")</f>
        <v/>
      </c>
      <c r="AI2215" s="10" t="str">
        <f>IFERROR(VLOOKUP(B2215,'Pre-Summary'!$AZ$6:$BE$65,5,FALSE),"")</f>
        <v/>
      </c>
      <c r="AJ2215" s="10" t="str">
        <f>IFERROR(VLOOKUP(B2215,'Pre-Summary'!$AZ$6:$BE$65,4,FALSE),"")</f>
        <v/>
      </c>
      <c r="AK2215" s="10" t="str">
        <f>IFERROR(VLOOKUP(B2215,'Pre-Summary'!$AZ$6:$BE$65,6,FALSE),"")</f>
        <v/>
      </c>
      <c r="AL2215" s="10" t="str">
        <f>IFERROR(VLOOKUP(B2215,'Pre-Summary'!$BG$6:$BL$44,3,FALSE),"")</f>
        <v/>
      </c>
      <c r="AM2215" s="10" t="str">
        <f>IFERROR(VLOOKUP(B2215,'Pre-Summary'!$BG$6:$BL$44,4,FALSE),"")</f>
        <v/>
      </c>
    </row>
    <row r="2216" spans="2:39" ht="15" customHeight="1" x14ac:dyDescent="0.3">
      <c r="B2216">
        <v>221.3</v>
      </c>
      <c r="C2216" t="str">
        <f>IFERROR(VLOOKUP(B2216,'Pre-Summary'!$DI$6:$DM$23,4,FALSE),"")</f>
        <v/>
      </c>
      <c r="D2216" s="10" t="str">
        <f>IFERROR(VLOOKUP(B2216,'Pre-Summary'!$AT$6:$AX$14,5,FALSE),D2215)</f>
        <v>Wolfe v3: went back to modified wolfe + EDTA and switched CuSO4 to CUCl2</v>
      </c>
      <c r="E2216" s="10" t="str">
        <f>IFERROR(VLOOKUP(B2216,'Pre-Summary'!$AT$6:$AX$15,4,FALSE),"")</f>
        <v/>
      </c>
      <c r="F2216">
        <f>IFERROR(VLOOKUP(B2216,'Pre-Summary'!$AL$6:$AQ$13,6,FALSE),F2215)</f>
        <v>5.9405263157894746E-2</v>
      </c>
      <c r="G2216" t="str">
        <f>IFERROR(VLOOKUP(B2216,'Pre-Summary'!$AE$6:$AJ$85,3,FALSE),"")</f>
        <v/>
      </c>
      <c r="H2216" t="str">
        <f>IFERROR(VLOOKUP(B2216,'Pre-Summary'!$AE$6:$AJ$85,4,FALSE),"")</f>
        <v/>
      </c>
      <c r="I2216" t="str">
        <f>IFERROR(VLOOKUP(B2216,'Pre-Summary'!$AE$6:$AJ$85,5,FALSE),"")</f>
        <v/>
      </c>
      <c r="J2216" s="45" t="str">
        <f>IFERROR(VLOOKUP(B2216,'Pre-Summary'!$AE$6:$AJ$85,6, FALSE),"")</f>
        <v/>
      </c>
      <c r="K2216" s="45" t="str">
        <f>IFERROR(VLOOKUP(B2216,'Pre-Summary'!$DE$6:$DG$61,3,FALSE),"")</f>
        <v/>
      </c>
      <c r="L2216" s="45" t="str">
        <f>IFERROR(VLOOKUP(B2216,'Pre-Summary'!$CU$6:$CW$36,3,FALSE),"")</f>
        <v/>
      </c>
      <c r="M2216" s="45" t="str">
        <f>IFERROR(VLOOKUP(B2216,'Pre-Summary'!$BW$6:$BY$58,2,FALSE),"")</f>
        <v/>
      </c>
      <c r="N2216" s="45" t="str">
        <f>IFERROR(VLOOKUP(B2216,'Pre-Summary'!$CD$6:$CF$64,2,FALSE),"")</f>
        <v/>
      </c>
      <c r="O2216" s="99">
        <f>IFERROR(VLOOKUP(B2216,'Pre-Summary'!$BO$6:$BQ$48,3, FALSE),O2215)</f>
        <v>1.508</v>
      </c>
      <c r="P2216" s="99">
        <f>IFERROR(VLOOKUP(B2216,'Pre-Summary'!$BS$6:$BU$35,3,FALSE),P2215)</f>
        <v>0.379</v>
      </c>
      <c r="Q2216" s="54">
        <f t="shared" si="102"/>
        <v>3.9788918205804751</v>
      </c>
      <c r="R2216" s="53">
        <f>IFERROR(VLOOKUP(B2216,'Pre-Summary'!$BG$6:$BM$44,7,FALSE),R2217)</f>
        <v>9.7948682664336664E-2</v>
      </c>
      <c r="S2216" s="53">
        <f>IFERROR(VLOOKUP(B2216,'Pre-Summary'!$BG$6:$BM$44,6,FALSE),S2217)</f>
        <v>0.10614035087720526</v>
      </c>
      <c r="T2216" s="45" t="str">
        <f>IFERROR(VLOOKUP(B2216,'Pre-Summary'!$Y$6:$AC$83, 3,FALSE),"")</f>
        <v/>
      </c>
      <c r="U2216" s="45" t="str">
        <f>IFERROR(VLOOKUP(B2216,'Pre-Summary'!$Y$6:$AC$83, 4,FALSE),"")</f>
        <v/>
      </c>
      <c r="V2216" t="str">
        <f>IFERROR(VLOOKUP(B2216,'Pre-Summary'!$Y$6:$AC$83, 5,FALSE),"")</f>
        <v/>
      </c>
      <c r="W2216" s="45" t="str">
        <f>IFERROR(VLOOKUP(B2216,'Pre-Summary'!$Y$6:$AD$83,6,FALSE),"")</f>
        <v/>
      </c>
      <c r="X2216" t="str">
        <f>IFERROR(VLOOKUP('Pre-Summary'!$DB$6:$DD$63,3,FALSE),"")</f>
        <v/>
      </c>
      <c r="Y2216" t="str">
        <f>IFERROR(VLOOKUP(B2216,'Pre-Summary'!$CR$6:$CT$36,3,FALSE),"")</f>
        <v/>
      </c>
      <c r="Z2216" s="45" t="str">
        <f>IFERROR(VLOOKUP(B2216,'Pre-Summary'!$BZ$6:$CB$63,2,FALSE),"")</f>
        <v/>
      </c>
      <c r="AA2216" s="45" t="str">
        <f>IFERROR(VLOOKUP(B2216,'Pre-Summary'!$CG$6:$CI$70,2,FALSE),"")</f>
        <v/>
      </c>
      <c r="AB2216" s="99">
        <f>IFERROR(VLOOKUP(B2216,'Pre-Summary'!$A$6:$P$178,9,FALSE),AB2217)</f>
        <v>0.35465514391001818</v>
      </c>
      <c r="AC2216" s="10">
        <f>IFERROR(VLOOKUP(Summary!B2216,'Pre-Summary'!$A$6:$P$184,5, FALSE)/100,AC2217)</f>
        <v>0.94276500000000008</v>
      </c>
      <c r="AD2216" s="10">
        <f>IFERROR(VLOOKUP(Summary!B2216,'Pre-Summary'!$A$6:$P$184,3, FALSE)/100,AD2217)</f>
        <v>4.2818000000000002E-2</v>
      </c>
      <c r="AE2216" s="10">
        <f>IFERROR(VLOOKUP(Summary!B2216,'Pre-Summary'!$A$6:$P$184,7, FALSE)/100,AE2217)</f>
        <v>1.4416999999999999E-2</v>
      </c>
      <c r="AF2216" s="99">
        <f t="shared" si="103"/>
        <v>1.5185623951939158E-2</v>
      </c>
      <c r="AG2216" s="99">
        <f t="shared" si="104"/>
        <v>5.1130632097507317E-3</v>
      </c>
      <c r="AH2216" s="10" t="str">
        <f>IFERROR(VLOOKUP(B2216,'Pre-Summary'!$AZ$6:$BE$65,3,FALSE),"")</f>
        <v/>
      </c>
      <c r="AI2216" s="10" t="str">
        <f>IFERROR(VLOOKUP(B2216,'Pre-Summary'!$AZ$6:$BE$65,5,FALSE),"")</f>
        <v/>
      </c>
      <c r="AJ2216" s="10" t="str">
        <f>IFERROR(VLOOKUP(B2216,'Pre-Summary'!$AZ$6:$BE$65,4,FALSE),"")</f>
        <v/>
      </c>
      <c r="AK2216" s="10" t="str">
        <f>IFERROR(VLOOKUP(B2216,'Pre-Summary'!$AZ$6:$BE$65,6,FALSE),"")</f>
        <v/>
      </c>
      <c r="AL2216" s="10" t="str">
        <f>IFERROR(VLOOKUP(B2216,'Pre-Summary'!$BG$6:$BL$44,3,FALSE),"")</f>
        <v/>
      </c>
      <c r="AM2216" s="10" t="str">
        <f>IFERROR(VLOOKUP(B2216,'Pre-Summary'!$BG$6:$BL$44,4,FALSE),"")</f>
        <v/>
      </c>
    </row>
    <row r="2217" spans="2:39" ht="15" customHeight="1" x14ac:dyDescent="0.3">
      <c r="B2217">
        <v>221.4</v>
      </c>
      <c r="C2217" t="str">
        <f>IFERROR(VLOOKUP(B2217,'Pre-Summary'!$DI$6:$DM$23,4,FALSE),"")</f>
        <v/>
      </c>
      <c r="D2217" s="10" t="str">
        <f>IFERROR(VLOOKUP(B2217,'Pre-Summary'!$AT$6:$AX$14,5,FALSE),D2216)</f>
        <v>Wolfe v3: went back to modified wolfe + EDTA and switched CuSO4 to CUCl2</v>
      </c>
      <c r="E2217" s="10" t="str">
        <f>IFERROR(VLOOKUP(B2217,'Pre-Summary'!$AT$6:$AX$15,4,FALSE),"")</f>
        <v/>
      </c>
      <c r="F2217">
        <f>IFERROR(VLOOKUP(B2217,'Pre-Summary'!$AL$6:$AQ$13,6,FALSE),F2216)</f>
        <v>5.9405263157894746E-2</v>
      </c>
      <c r="G2217" t="str">
        <f>IFERROR(VLOOKUP(B2217,'Pre-Summary'!$AE$6:$AJ$85,3,FALSE),"")</f>
        <v/>
      </c>
      <c r="H2217" t="str">
        <f>IFERROR(VLOOKUP(B2217,'Pre-Summary'!$AE$6:$AJ$85,4,FALSE),"")</f>
        <v/>
      </c>
      <c r="I2217" t="str">
        <f>IFERROR(VLOOKUP(B2217,'Pre-Summary'!$AE$6:$AJ$85,5,FALSE),"")</f>
        <v/>
      </c>
      <c r="J2217" s="45" t="str">
        <f>IFERROR(VLOOKUP(B2217,'Pre-Summary'!$AE$6:$AJ$85,6, FALSE),"")</f>
        <v/>
      </c>
      <c r="K2217" s="45" t="str">
        <f>IFERROR(VLOOKUP(B2217,'Pre-Summary'!$DE$6:$DG$61,3,FALSE),"")</f>
        <v/>
      </c>
      <c r="L2217" s="45" t="str">
        <f>IFERROR(VLOOKUP(B2217,'Pre-Summary'!$CU$6:$CW$36,3,FALSE),"")</f>
        <v/>
      </c>
      <c r="M2217" s="45" t="str">
        <f>IFERROR(VLOOKUP(B2217,'Pre-Summary'!$BW$6:$BY$58,2,FALSE),"")</f>
        <v/>
      </c>
      <c r="N2217" s="45" t="str">
        <f>IFERROR(VLOOKUP(B2217,'Pre-Summary'!$CD$6:$CF$64,2,FALSE),"")</f>
        <v/>
      </c>
      <c r="O2217" s="99">
        <f>IFERROR(VLOOKUP(B2217,'Pre-Summary'!$BO$6:$BQ$48,3, FALSE),O2216)</f>
        <v>1.508</v>
      </c>
      <c r="P2217" s="99">
        <f>IFERROR(VLOOKUP(B2217,'Pre-Summary'!$BS$6:$BU$35,3,FALSE),P2216)</f>
        <v>0.379</v>
      </c>
      <c r="Q2217" s="54">
        <f t="shared" si="102"/>
        <v>3.9788918205804751</v>
      </c>
      <c r="R2217" s="53">
        <f>IFERROR(VLOOKUP(B2217,'Pre-Summary'!$BG$6:$BM$44,7,FALSE),R2218)</f>
        <v>9.7948682664336664E-2</v>
      </c>
      <c r="S2217" s="53">
        <f>IFERROR(VLOOKUP(B2217,'Pre-Summary'!$BG$6:$BM$44,6,FALSE),S2218)</f>
        <v>0.10614035087720526</v>
      </c>
      <c r="T2217" s="45" t="str">
        <f>IFERROR(VLOOKUP(B2217,'Pre-Summary'!$Y$6:$AC$83, 3,FALSE),"")</f>
        <v/>
      </c>
      <c r="U2217" s="45" t="str">
        <f>IFERROR(VLOOKUP(B2217,'Pre-Summary'!$Y$6:$AC$83, 4,FALSE),"")</f>
        <v/>
      </c>
      <c r="V2217" t="str">
        <f>IFERROR(VLOOKUP(B2217,'Pre-Summary'!$Y$6:$AC$83, 5,FALSE),"")</f>
        <v/>
      </c>
      <c r="W2217" s="45" t="str">
        <f>IFERROR(VLOOKUP(B2217,'Pre-Summary'!$Y$6:$AD$83,6,FALSE),"")</f>
        <v/>
      </c>
      <c r="X2217" t="str">
        <f>IFERROR(VLOOKUP('Pre-Summary'!$DB$6:$DD$63,3,FALSE),"")</f>
        <v/>
      </c>
      <c r="Y2217" t="str">
        <f>IFERROR(VLOOKUP(B2217,'Pre-Summary'!$CR$6:$CT$36,3,FALSE),"")</f>
        <v/>
      </c>
      <c r="Z2217" s="45" t="str">
        <f>IFERROR(VLOOKUP(B2217,'Pre-Summary'!$BZ$6:$CB$63,2,FALSE),"")</f>
        <v/>
      </c>
      <c r="AA2217" s="45" t="str">
        <f>IFERROR(VLOOKUP(B2217,'Pre-Summary'!$CG$6:$CI$70,2,FALSE),"")</f>
        <v/>
      </c>
      <c r="AB2217" s="99">
        <f>IFERROR(VLOOKUP(B2217,'Pre-Summary'!$A$6:$P$178,9,FALSE),AB2218)</f>
        <v>0.35465514391001818</v>
      </c>
      <c r="AC2217" s="10">
        <f>IFERROR(VLOOKUP(Summary!B2217,'Pre-Summary'!$A$6:$P$184,5, FALSE)/100,AC2218)</f>
        <v>0.94276500000000008</v>
      </c>
      <c r="AD2217" s="10">
        <f>IFERROR(VLOOKUP(Summary!B2217,'Pre-Summary'!$A$6:$P$184,3, FALSE)/100,AD2218)</f>
        <v>4.2818000000000002E-2</v>
      </c>
      <c r="AE2217" s="10">
        <f>IFERROR(VLOOKUP(Summary!B2217,'Pre-Summary'!$A$6:$P$184,7, FALSE)/100,AE2218)</f>
        <v>1.4416999999999999E-2</v>
      </c>
      <c r="AF2217" s="99">
        <f t="shared" si="103"/>
        <v>1.5185623951939158E-2</v>
      </c>
      <c r="AG2217" s="99">
        <f t="shared" si="104"/>
        <v>5.1130632097507317E-3</v>
      </c>
      <c r="AH2217" s="10" t="str">
        <f>IFERROR(VLOOKUP(B2217,'Pre-Summary'!$AZ$6:$BE$65,3,FALSE),"")</f>
        <v/>
      </c>
      <c r="AI2217" s="10" t="str">
        <f>IFERROR(VLOOKUP(B2217,'Pre-Summary'!$AZ$6:$BE$65,5,FALSE),"")</f>
        <v/>
      </c>
      <c r="AJ2217" s="10" t="str">
        <f>IFERROR(VLOOKUP(B2217,'Pre-Summary'!$AZ$6:$BE$65,4,FALSE),"")</f>
        <v/>
      </c>
      <c r="AK2217" s="10" t="str">
        <f>IFERROR(VLOOKUP(B2217,'Pre-Summary'!$AZ$6:$BE$65,6,FALSE),"")</f>
        <v/>
      </c>
      <c r="AL2217" s="10" t="str">
        <f>IFERROR(VLOOKUP(B2217,'Pre-Summary'!$BG$6:$BL$44,3,FALSE),"")</f>
        <v/>
      </c>
      <c r="AM2217" s="10" t="str">
        <f>IFERROR(VLOOKUP(B2217,'Pre-Summary'!$BG$6:$BL$44,4,FALSE),"")</f>
        <v/>
      </c>
    </row>
    <row r="2218" spans="2:39" ht="15" customHeight="1" x14ac:dyDescent="0.3">
      <c r="B2218">
        <v>221.5</v>
      </c>
      <c r="C2218" t="str">
        <f>IFERROR(VLOOKUP(B2218,'Pre-Summary'!$DI$6:$DM$23,4,FALSE),"")</f>
        <v/>
      </c>
      <c r="D2218" s="10" t="str">
        <f>IFERROR(VLOOKUP(B2218,'Pre-Summary'!$AT$6:$AX$14,5,FALSE),D2217)</f>
        <v>Wolfe v3: went back to modified wolfe + EDTA and switched CuSO4 to CUCl2</v>
      </c>
      <c r="E2218" s="10" t="str">
        <f>IFERROR(VLOOKUP(B2218,'Pre-Summary'!$AT$6:$AX$15,4,FALSE),"")</f>
        <v/>
      </c>
      <c r="F2218">
        <f>IFERROR(VLOOKUP(B2218,'Pre-Summary'!$AL$6:$AQ$13,6,FALSE),F2217)</f>
        <v>5.9405263157894746E-2</v>
      </c>
      <c r="G2218" t="str">
        <f>IFERROR(VLOOKUP(B2218,'Pre-Summary'!$AE$6:$AJ$85,3,FALSE),"")</f>
        <v/>
      </c>
      <c r="H2218" t="str">
        <f>IFERROR(VLOOKUP(B2218,'Pre-Summary'!$AE$6:$AJ$85,4,FALSE),"")</f>
        <v/>
      </c>
      <c r="I2218" t="str">
        <f>IFERROR(VLOOKUP(B2218,'Pre-Summary'!$AE$6:$AJ$85,5,FALSE),"")</f>
        <v/>
      </c>
      <c r="J2218" s="45" t="str">
        <f>IFERROR(VLOOKUP(B2218,'Pre-Summary'!$AE$6:$AJ$85,6, FALSE),"")</f>
        <v/>
      </c>
      <c r="K2218" s="45" t="str">
        <f>IFERROR(VLOOKUP(B2218,'Pre-Summary'!$DE$6:$DG$61,3,FALSE),"")</f>
        <v/>
      </c>
      <c r="L2218" s="45" t="str">
        <f>IFERROR(VLOOKUP(B2218,'Pre-Summary'!$CU$6:$CW$36,3,FALSE),"")</f>
        <v/>
      </c>
      <c r="M2218" s="45" t="str">
        <f>IFERROR(VLOOKUP(B2218,'Pre-Summary'!$BW$6:$BY$58,2,FALSE),"")</f>
        <v/>
      </c>
      <c r="N2218" s="45" t="str">
        <f>IFERROR(VLOOKUP(B2218,'Pre-Summary'!$CD$6:$CF$64,2,FALSE),"")</f>
        <v/>
      </c>
      <c r="O2218" s="99">
        <f>IFERROR(VLOOKUP(B2218,'Pre-Summary'!$BO$6:$BQ$48,3, FALSE),O2217)</f>
        <v>1.508</v>
      </c>
      <c r="P2218" s="99">
        <f>IFERROR(VLOOKUP(B2218,'Pre-Summary'!$BS$6:$BU$35,3,FALSE),P2217)</f>
        <v>0.379</v>
      </c>
      <c r="Q2218" s="54">
        <f t="shared" si="102"/>
        <v>3.9788918205804751</v>
      </c>
      <c r="R2218" s="53">
        <f>IFERROR(VLOOKUP(B2218,'Pre-Summary'!$BG$6:$BM$44,7,FALSE),R2219)</f>
        <v>9.7948682664336664E-2</v>
      </c>
      <c r="S2218" s="53">
        <f>IFERROR(VLOOKUP(B2218,'Pre-Summary'!$BG$6:$BM$44,6,FALSE),S2219)</f>
        <v>0.10614035087720526</v>
      </c>
      <c r="T2218" s="45" t="str">
        <f>IFERROR(VLOOKUP(B2218,'Pre-Summary'!$Y$6:$AC$83, 3,FALSE),"")</f>
        <v/>
      </c>
      <c r="U2218" s="45" t="str">
        <f>IFERROR(VLOOKUP(B2218,'Pre-Summary'!$Y$6:$AC$83, 4,FALSE),"")</f>
        <v/>
      </c>
      <c r="V2218" t="str">
        <f>IFERROR(VLOOKUP(B2218,'Pre-Summary'!$Y$6:$AC$83, 5,FALSE),"")</f>
        <v/>
      </c>
      <c r="W2218" s="45" t="str">
        <f>IFERROR(VLOOKUP(B2218,'Pre-Summary'!$Y$6:$AD$83,6,FALSE),"")</f>
        <v/>
      </c>
      <c r="X2218" t="str">
        <f>IFERROR(VLOOKUP('Pre-Summary'!$DB$6:$DD$63,3,FALSE),"")</f>
        <v/>
      </c>
      <c r="Y2218" t="str">
        <f>IFERROR(VLOOKUP(B2218,'Pre-Summary'!$CR$6:$CT$36,3,FALSE),"")</f>
        <v/>
      </c>
      <c r="Z2218" s="45" t="str">
        <f>IFERROR(VLOOKUP(B2218,'Pre-Summary'!$BZ$6:$CB$63,2,FALSE),"")</f>
        <v/>
      </c>
      <c r="AA2218" s="45" t="str">
        <f>IFERROR(VLOOKUP(B2218,'Pre-Summary'!$CG$6:$CI$70,2,FALSE),"")</f>
        <v/>
      </c>
      <c r="AB2218" s="99">
        <f>IFERROR(VLOOKUP(B2218,'Pre-Summary'!$A$6:$P$178,9,FALSE),AB2219)</f>
        <v>0.35465514391001818</v>
      </c>
      <c r="AC2218" s="10">
        <f>IFERROR(VLOOKUP(Summary!B2218,'Pre-Summary'!$A$6:$P$184,5, FALSE)/100,AC2219)</f>
        <v>0.94276500000000008</v>
      </c>
      <c r="AD2218" s="10">
        <f>IFERROR(VLOOKUP(Summary!B2218,'Pre-Summary'!$A$6:$P$184,3, FALSE)/100,AD2219)</f>
        <v>4.2818000000000002E-2</v>
      </c>
      <c r="AE2218" s="10">
        <f>IFERROR(VLOOKUP(Summary!B2218,'Pre-Summary'!$A$6:$P$184,7, FALSE)/100,AE2219)</f>
        <v>1.4416999999999999E-2</v>
      </c>
      <c r="AF2218" s="99">
        <f t="shared" si="103"/>
        <v>1.5185623951939158E-2</v>
      </c>
      <c r="AG2218" s="99">
        <f t="shared" si="104"/>
        <v>5.1130632097507317E-3</v>
      </c>
      <c r="AH2218" s="10" t="str">
        <f>IFERROR(VLOOKUP(B2218,'Pre-Summary'!$AZ$6:$BE$65,3,FALSE),"")</f>
        <v/>
      </c>
      <c r="AI2218" s="10" t="str">
        <f>IFERROR(VLOOKUP(B2218,'Pre-Summary'!$AZ$6:$BE$65,5,FALSE),"")</f>
        <v/>
      </c>
      <c r="AJ2218" s="10" t="str">
        <f>IFERROR(VLOOKUP(B2218,'Pre-Summary'!$AZ$6:$BE$65,4,FALSE),"")</f>
        <v/>
      </c>
      <c r="AK2218" s="10" t="str">
        <f>IFERROR(VLOOKUP(B2218,'Pre-Summary'!$AZ$6:$BE$65,6,FALSE),"")</f>
        <v/>
      </c>
      <c r="AL2218" s="10" t="str">
        <f>IFERROR(VLOOKUP(B2218,'Pre-Summary'!$BG$6:$BL$44,3,FALSE),"")</f>
        <v/>
      </c>
      <c r="AM2218" s="10" t="str">
        <f>IFERROR(VLOOKUP(B2218,'Pre-Summary'!$BG$6:$BL$44,4,FALSE),"")</f>
        <v/>
      </c>
    </row>
    <row r="2219" spans="2:39" ht="15" customHeight="1" x14ac:dyDescent="0.3">
      <c r="B2219">
        <v>221.6</v>
      </c>
      <c r="C2219" t="str">
        <f>IFERROR(VLOOKUP(B2219,'Pre-Summary'!$DI$6:$DM$23,4,FALSE),"")</f>
        <v/>
      </c>
      <c r="D2219" s="10" t="str">
        <f>IFERROR(VLOOKUP(B2219,'Pre-Summary'!$AT$6:$AX$14,5,FALSE),D2218)</f>
        <v>Wolfe v3: went back to modified wolfe + EDTA and switched CuSO4 to CUCl2</v>
      </c>
      <c r="E2219" s="10" t="str">
        <f>IFERROR(VLOOKUP(B2219,'Pre-Summary'!$AT$6:$AX$15,4,FALSE),"")</f>
        <v/>
      </c>
      <c r="F2219">
        <f>IFERROR(VLOOKUP(B2219,'Pre-Summary'!$AL$6:$AQ$13,6,FALSE),F2218)</f>
        <v>5.9405263157894746E-2</v>
      </c>
      <c r="G2219" t="str">
        <f>IFERROR(VLOOKUP(B2219,'Pre-Summary'!$AE$6:$AJ$85,3,FALSE),"")</f>
        <v/>
      </c>
      <c r="H2219" t="str">
        <f>IFERROR(VLOOKUP(B2219,'Pre-Summary'!$AE$6:$AJ$85,4,FALSE),"")</f>
        <v/>
      </c>
      <c r="I2219" t="str">
        <f>IFERROR(VLOOKUP(B2219,'Pre-Summary'!$AE$6:$AJ$85,5,FALSE),"")</f>
        <v/>
      </c>
      <c r="J2219" s="45" t="str">
        <f>IFERROR(VLOOKUP(B2219,'Pre-Summary'!$AE$6:$AJ$85,6, FALSE),"")</f>
        <v/>
      </c>
      <c r="K2219" s="45" t="str">
        <f>IFERROR(VLOOKUP(B2219,'Pre-Summary'!$DE$6:$DG$61,3,FALSE),"")</f>
        <v/>
      </c>
      <c r="L2219" s="45" t="str">
        <f>IFERROR(VLOOKUP(B2219,'Pre-Summary'!$CU$6:$CW$36,3,FALSE),"")</f>
        <v/>
      </c>
      <c r="M2219" s="45" t="str">
        <f>IFERROR(VLOOKUP(B2219,'Pre-Summary'!$BW$6:$BY$58,2,FALSE),"")</f>
        <v/>
      </c>
      <c r="N2219" s="45" t="str">
        <f>IFERROR(VLOOKUP(B2219,'Pre-Summary'!$CD$6:$CF$64,2,FALSE),"")</f>
        <v/>
      </c>
      <c r="O2219" s="99">
        <f>IFERROR(VLOOKUP(B2219,'Pre-Summary'!$BO$6:$BQ$48,3, FALSE),O2218)</f>
        <v>1.508</v>
      </c>
      <c r="P2219" s="99">
        <f>IFERROR(VLOOKUP(B2219,'Pre-Summary'!$BS$6:$BU$35,3,FALSE),P2218)</f>
        <v>0.379</v>
      </c>
      <c r="Q2219" s="54">
        <f t="shared" si="102"/>
        <v>3.9788918205804751</v>
      </c>
      <c r="R2219" s="53">
        <f>IFERROR(VLOOKUP(B2219,'Pre-Summary'!$BG$6:$BM$44,7,FALSE),R2220)</f>
        <v>9.7948682664336664E-2</v>
      </c>
      <c r="S2219" s="53">
        <f>IFERROR(VLOOKUP(B2219,'Pre-Summary'!$BG$6:$BM$44,6,FALSE),S2220)</f>
        <v>0.10614035087720526</v>
      </c>
      <c r="T2219" s="45" t="str">
        <f>IFERROR(VLOOKUP(B2219,'Pre-Summary'!$Y$6:$AC$83, 3,FALSE),"")</f>
        <v/>
      </c>
      <c r="U2219" s="45" t="str">
        <f>IFERROR(VLOOKUP(B2219,'Pre-Summary'!$Y$6:$AC$83, 4,FALSE),"")</f>
        <v/>
      </c>
      <c r="V2219" t="str">
        <f>IFERROR(VLOOKUP(B2219,'Pre-Summary'!$Y$6:$AC$83, 5,FALSE),"")</f>
        <v/>
      </c>
      <c r="W2219" s="45" t="str">
        <f>IFERROR(VLOOKUP(B2219,'Pre-Summary'!$Y$6:$AD$83,6,FALSE),"")</f>
        <v/>
      </c>
      <c r="X2219" t="str">
        <f>IFERROR(VLOOKUP('Pre-Summary'!$DB$6:$DD$63,3,FALSE),"")</f>
        <v/>
      </c>
      <c r="Y2219" t="str">
        <f>IFERROR(VLOOKUP(B2219,'Pre-Summary'!$CR$6:$CT$36,3,FALSE),"")</f>
        <v/>
      </c>
      <c r="Z2219" s="45" t="str">
        <f>IFERROR(VLOOKUP(B2219,'Pre-Summary'!$BZ$6:$CB$63,2,FALSE),"")</f>
        <v/>
      </c>
      <c r="AA2219" s="45" t="str">
        <f>IFERROR(VLOOKUP(B2219,'Pre-Summary'!$CG$6:$CI$70,2,FALSE),"")</f>
        <v/>
      </c>
      <c r="AB2219" s="99">
        <f>IFERROR(VLOOKUP(B2219,'Pre-Summary'!$A$6:$P$178,9,FALSE),AB2220)</f>
        <v>0.35465514391001818</v>
      </c>
      <c r="AC2219" s="10">
        <f>IFERROR(VLOOKUP(Summary!B2219,'Pre-Summary'!$A$6:$P$184,5, FALSE)/100,AC2220)</f>
        <v>0.94276500000000008</v>
      </c>
      <c r="AD2219" s="10">
        <f>IFERROR(VLOOKUP(Summary!B2219,'Pre-Summary'!$A$6:$P$184,3, FALSE)/100,AD2220)</f>
        <v>4.2818000000000002E-2</v>
      </c>
      <c r="AE2219" s="10">
        <f>IFERROR(VLOOKUP(Summary!B2219,'Pre-Summary'!$A$6:$P$184,7, FALSE)/100,AE2220)</f>
        <v>1.4416999999999999E-2</v>
      </c>
      <c r="AF2219" s="99">
        <f t="shared" si="103"/>
        <v>1.5185623951939158E-2</v>
      </c>
      <c r="AG2219" s="99">
        <f t="shared" si="104"/>
        <v>5.1130632097507317E-3</v>
      </c>
      <c r="AH2219" s="10" t="str">
        <f>IFERROR(VLOOKUP(B2219,'Pre-Summary'!$AZ$6:$BE$65,3,FALSE),"")</f>
        <v/>
      </c>
      <c r="AI2219" s="10" t="str">
        <f>IFERROR(VLOOKUP(B2219,'Pre-Summary'!$AZ$6:$BE$65,5,FALSE),"")</f>
        <v/>
      </c>
      <c r="AJ2219" s="10" t="str">
        <f>IFERROR(VLOOKUP(B2219,'Pre-Summary'!$AZ$6:$BE$65,4,FALSE),"")</f>
        <v/>
      </c>
      <c r="AK2219" s="10" t="str">
        <f>IFERROR(VLOOKUP(B2219,'Pre-Summary'!$AZ$6:$BE$65,6,FALSE),"")</f>
        <v/>
      </c>
      <c r="AL2219" s="10" t="str">
        <f>IFERROR(VLOOKUP(B2219,'Pre-Summary'!$BG$6:$BL$44,3,FALSE),"")</f>
        <v/>
      </c>
      <c r="AM2219" s="10" t="str">
        <f>IFERROR(VLOOKUP(B2219,'Pre-Summary'!$BG$6:$BL$44,4,FALSE),"")</f>
        <v/>
      </c>
    </row>
    <row r="2220" spans="2:39" ht="15" customHeight="1" x14ac:dyDescent="0.3">
      <c r="B2220">
        <v>221.7</v>
      </c>
      <c r="C2220" t="str">
        <f>IFERROR(VLOOKUP(B2220,'Pre-Summary'!$DI$6:$DM$23,4,FALSE),"")</f>
        <v/>
      </c>
      <c r="D2220" s="10" t="str">
        <f>IFERROR(VLOOKUP(B2220,'Pre-Summary'!$AT$6:$AX$14,5,FALSE),D2219)</f>
        <v>Wolfe v3: went back to modified wolfe + EDTA and switched CuSO4 to CUCl2</v>
      </c>
      <c r="E2220" s="10" t="str">
        <f>IFERROR(VLOOKUP(B2220,'Pre-Summary'!$AT$6:$AX$15,4,FALSE),"")</f>
        <v/>
      </c>
      <c r="F2220">
        <f>IFERROR(VLOOKUP(B2220,'Pre-Summary'!$AL$6:$AQ$13,6,FALSE),F2219)</f>
        <v>5.9405263157894746E-2</v>
      </c>
      <c r="G2220" t="str">
        <f>IFERROR(VLOOKUP(B2220,'Pre-Summary'!$AE$6:$AJ$85,3,FALSE),"")</f>
        <v/>
      </c>
      <c r="H2220" t="str">
        <f>IFERROR(VLOOKUP(B2220,'Pre-Summary'!$AE$6:$AJ$85,4,FALSE),"")</f>
        <v/>
      </c>
      <c r="I2220" t="str">
        <f>IFERROR(VLOOKUP(B2220,'Pre-Summary'!$AE$6:$AJ$85,5,FALSE),"")</f>
        <v/>
      </c>
      <c r="J2220" s="45" t="str">
        <f>IFERROR(VLOOKUP(B2220,'Pre-Summary'!$AE$6:$AJ$85,6, FALSE),"")</f>
        <v/>
      </c>
      <c r="K2220" s="45" t="str">
        <f>IFERROR(VLOOKUP(B2220,'Pre-Summary'!$DE$6:$DG$61,3,FALSE),"")</f>
        <v/>
      </c>
      <c r="L2220" s="45" t="str">
        <f>IFERROR(VLOOKUP(B2220,'Pre-Summary'!$CU$6:$CW$36,3,FALSE),"")</f>
        <v/>
      </c>
      <c r="M2220" s="45" t="str">
        <f>IFERROR(VLOOKUP(B2220,'Pre-Summary'!$BW$6:$BY$58,2,FALSE),"")</f>
        <v/>
      </c>
      <c r="N2220" s="45" t="str">
        <f>IFERROR(VLOOKUP(B2220,'Pre-Summary'!$CD$6:$CF$64,2,FALSE),"")</f>
        <v/>
      </c>
      <c r="O2220" s="99">
        <f>IFERROR(VLOOKUP(B2220,'Pre-Summary'!$BO$6:$BQ$48,3, FALSE),O2219)</f>
        <v>1.508</v>
      </c>
      <c r="P2220" s="99">
        <f>IFERROR(VLOOKUP(B2220,'Pre-Summary'!$BS$6:$BU$35,3,FALSE),P2219)</f>
        <v>0.379</v>
      </c>
      <c r="Q2220" s="54">
        <f t="shared" si="102"/>
        <v>3.9788918205804751</v>
      </c>
      <c r="R2220" s="53">
        <f>IFERROR(VLOOKUP(B2220,'Pre-Summary'!$BG$6:$BM$44,7,FALSE),R2221)</f>
        <v>9.7948682664336664E-2</v>
      </c>
      <c r="S2220" s="53">
        <f>IFERROR(VLOOKUP(B2220,'Pre-Summary'!$BG$6:$BM$44,6,FALSE),S2221)</f>
        <v>0.10614035087720526</v>
      </c>
      <c r="T2220" s="45" t="str">
        <f>IFERROR(VLOOKUP(B2220,'Pre-Summary'!$Y$6:$AC$83, 3,FALSE),"")</f>
        <v/>
      </c>
      <c r="U2220" s="45" t="str">
        <f>IFERROR(VLOOKUP(B2220,'Pre-Summary'!$Y$6:$AC$83, 4,FALSE),"")</f>
        <v/>
      </c>
      <c r="V2220" t="str">
        <f>IFERROR(VLOOKUP(B2220,'Pre-Summary'!$Y$6:$AC$83, 5,FALSE),"")</f>
        <v/>
      </c>
      <c r="W2220" s="45" t="str">
        <f>IFERROR(VLOOKUP(B2220,'Pre-Summary'!$Y$6:$AD$83,6,FALSE),"")</f>
        <v/>
      </c>
      <c r="X2220" t="str">
        <f>IFERROR(VLOOKUP('Pre-Summary'!$DB$6:$DD$63,3,FALSE),"")</f>
        <v/>
      </c>
      <c r="Y2220" t="str">
        <f>IFERROR(VLOOKUP(B2220,'Pre-Summary'!$CR$6:$CT$36,3,FALSE),"")</f>
        <v/>
      </c>
      <c r="Z2220" s="45" t="str">
        <f>IFERROR(VLOOKUP(B2220,'Pre-Summary'!$BZ$6:$CB$63,2,FALSE),"")</f>
        <v/>
      </c>
      <c r="AA2220" s="45" t="str">
        <f>IFERROR(VLOOKUP(B2220,'Pre-Summary'!$CG$6:$CI$70,2,FALSE),"")</f>
        <v/>
      </c>
      <c r="AB2220" s="99">
        <f>IFERROR(VLOOKUP(B2220,'Pre-Summary'!$A$6:$P$178,9,FALSE),AB2221)</f>
        <v>0.35465514391001818</v>
      </c>
      <c r="AC2220" s="10">
        <f>IFERROR(VLOOKUP(Summary!B2220,'Pre-Summary'!$A$6:$P$184,5, FALSE)/100,AC2221)</f>
        <v>0.94276500000000008</v>
      </c>
      <c r="AD2220" s="10">
        <f>IFERROR(VLOOKUP(Summary!B2220,'Pre-Summary'!$A$6:$P$184,3, FALSE)/100,AD2221)</f>
        <v>4.2818000000000002E-2</v>
      </c>
      <c r="AE2220" s="10">
        <f>IFERROR(VLOOKUP(Summary!B2220,'Pre-Summary'!$A$6:$P$184,7, FALSE)/100,AE2221)</f>
        <v>1.4416999999999999E-2</v>
      </c>
      <c r="AF2220" s="99">
        <f t="shared" si="103"/>
        <v>1.5185623951939158E-2</v>
      </c>
      <c r="AG2220" s="99">
        <f t="shared" si="104"/>
        <v>5.1130632097507317E-3</v>
      </c>
      <c r="AH2220" s="10" t="str">
        <f>IFERROR(VLOOKUP(B2220,'Pre-Summary'!$AZ$6:$BE$65,3,FALSE),"")</f>
        <v/>
      </c>
      <c r="AI2220" s="10" t="str">
        <f>IFERROR(VLOOKUP(B2220,'Pre-Summary'!$AZ$6:$BE$65,5,FALSE),"")</f>
        <v/>
      </c>
      <c r="AJ2220" s="10" t="str">
        <f>IFERROR(VLOOKUP(B2220,'Pre-Summary'!$AZ$6:$BE$65,4,FALSE),"")</f>
        <v/>
      </c>
      <c r="AK2220" s="10" t="str">
        <f>IFERROR(VLOOKUP(B2220,'Pre-Summary'!$AZ$6:$BE$65,6,FALSE),"")</f>
        <v/>
      </c>
      <c r="AL2220" s="10" t="str">
        <f>IFERROR(VLOOKUP(B2220,'Pre-Summary'!$BG$6:$BL$44,3,FALSE),"")</f>
        <v/>
      </c>
      <c r="AM2220" s="10" t="str">
        <f>IFERROR(VLOOKUP(B2220,'Pre-Summary'!$BG$6:$BL$44,4,FALSE),"")</f>
        <v/>
      </c>
    </row>
    <row r="2221" spans="2:39" ht="15" customHeight="1" x14ac:dyDescent="0.3">
      <c r="B2221">
        <v>221.8</v>
      </c>
      <c r="C2221" t="str">
        <f>IFERROR(VLOOKUP(B2221,'Pre-Summary'!$DI$6:$DM$23,4,FALSE),"")</f>
        <v/>
      </c>
      <c r="D2221" s="10" t="str">
        <f>IFERROR(VLOOKUP(B2221,'Pre-Summary'!$AT$6:$AX$14,5,FALSE),D2220)</f>
        <v>Wolfe v3: went back to modified wolfe + EDTA and switched CuSO4 to CUCl2</v>
      </c>
      <c r="E2221" s="10" t="str">
        <f>IFERROR(VLOOKUP(B2221,'Pre-Summary'!$AT$6:$AX$15,4,FALSE),"")</f>
        <v/>
      </c>
      <c r="F2221">
        <f>IFERROR(VLOOKUP(B2221,'Pre-Summary'!$AL$6:$AQ$13,6,FALSE),F2220)</f>
        <v>5.9405263157894746E-2</v>
      </c>
      <c r="G2221" t="str">
        <f>IFERROR(VLOOKUP(B2221,'Pre-Summary'!$AE$6:$AJ$85,3,FALSE),"")</f>
        <v/>
      </c>
      <c r="H2221" t="str">
        <f>IFERROR(VLOOKUP(B2221,'Pre-Summary'!$AE$6:$AJ$85,4,FALSE),"")</f>
        <v/>
      </c>
      <c r="I2221" t="str">
        <f>IFERROR(VLOOKUP(B2221,'Pre-Summary'!$AE$6:$AJ$85,5,FALSE),"")</f>
        <v/>
      </c>
      <c r="J2221" s="45" t="str">
        <f>IFERROR(VLOOKUP(B2221,'Pre-Summary'!$AE$6:$AJ$85,6, FALSE),"")</f>
        <v/>
      </c>
      <c r="K2221" s="45" t="str">
        <f>IFERROR(VLOOKUP(B2221,'Pre-Summary'!$DE$6:$DG$61,3,FALSE),"")</f>
        <v/>
      </c>
      <c r="L2221" s="45" t="str">
        <f>IFERROR(VLOOKUP(B2221,'Pre-Summary'!$CU$6:$CW$36,3,FALSE),"")</f>
        <v/>
      </c>
      <c r="M2221" s="45" t="str">
        <f>IFERROR(VLOOKUP(B2221,'Pre-Summary'!$BW$6:$BY$58,2,FALSE),"")</f>
        <v/>
      </c>
      <c r="N2221" s="45" t="str">
        <f>IFERROR(VLOOKUP(B2221,'Pre-Summary'!$CD$6:$CF$64,2,FALSE),"")</f>
        <v/>
      </c>
      <c r="O2221" s="99">
        <f>IFERROR(VLOOKUP(B2221,'Pre-Summary'!$BO$6:$BQ$48,3, FALSE),O2220)</f>
        <v>1.508</v>
      </c>
      <c r="P2221" s="99">
        <f>IFERROR(VLOOKUP(B2221,'Pre-Summary'!$BS$6:$BU$35,3,FALSE),P2220)</f>
        <v>0.379</v>
      </c>
      <c r="Q2221" s="54">
        <f t="shared" si="102"/>
        <v>3.9788918205804751</v>
      </c>
      <c r="R2221" s="53">
        <f>IFERROR(VLOOKUP(B2221,'Pre-Summary'!$BG$6:$BM$44,7,FALSE),R2222)</f>
        <v>9.7948682664336664E-2</v>
      </c>
      <c r="S2221" s="53">
        <f>IFERROR(VLOOKUP(B2221,'Pre-Summary'!$BG$6:$BM$44,6,FALSE),S2222)</f>
        <v>0.10614035087720526</v>
      </c>
      <c r="T2221" s="45" t="str">
        <f>IFERROR(VLOOKUP(B2221,'Pre-Summary'!$Y$6:$AC$83, 3,FALSE),"")</f>
        <v/>
      </c>
      <c r="U2221" s="45" t="str">
        <f>IFERROR(VLOOKUP(B2221,'Pre-Summary'!$Y$6:$AC$83, 4,FALSE),"")</f>
        <v/>
      </c>
      <c r="V2221" t="str">
        <f>IFERROR(VLOOKUP(B2221,'Pre-Summary'!$Y$6:$AC$83, 5,FALSE),"")</f>
        <v/>
      </c>
      <c r="W2221" s="45" t="str">
        <f>IFERROR(VLOOKUP(B2221,'Pre-Summary'!$Y$6:$AD$83,6,FALSE),"")</f>
        <v/>
      </c>
      <c r="X2221" t="str">
        <f>IFERROR(VLOOKUP('Pre-Summary'!$DB$6:$DD$63,3,FALSE),"")</f>
        <v/>
      </c>
      <c r="Y2221" t="str">
        <f>IFERROR(VLOOKUP(B2221,'Pre-Summary'!$CR$6:$CT$36,3,FALSE),"")</f>
        <v/>
      </c>
      <c r="Z2221" s="45" t="str">
        <f>IFERROR(VLOOKUP(B2221,'Pre-Summary'!$BZ$6:$CB$63,2,FALSE),"")</f>
        <v/>
      </c>
      <c r="AA2221" s="45" t="str">
        <f>IFERROR(VLOOKUP(B2221,'Pre-Summary'!$CG$6:$CI$70,2,FALSE),"")</f>
        <v/>
      </c>
      <c r="AB2221" s="99">
        <f>IFERROR(VLOOKUP(B2221,'Pre-Summary'!$A$6:$P$178,9,FALSE),AB2222)</f>
        <v>0.35465514391001818</v>
      </c>
      <c r="AC2221" s="10">
        <f>IFERROR(VLOOKUP(Summary!B2221,'Pre-Summary'!$A$6:$P$184,5, FALSE)/100,AC2222)</f>
        <v>0.94276500000000008</v>
      </c>
      <c r="AD2221" s="10">
        <f>IFERROR(VLOOKUP(Summary!B2221,'Pre-Summary'!$A$6:$P$184,3, FALSE)/100,AD2222)</f>
        <v>4.2818000000000002E-2</v>
      </c>
      <c r="AE2221" s="10">
        <f>IFERROR(VLOOKUP(Summary!B2221,'Pre-Summary'!$A$6:$P$184,7, FALSE)/100,AE2222)</f>
        <v>1.4416999999999999E-2</v>
      </c>
      <c r="AF2221" s="99">
        <f t="shared" si="103"/>
        <v>1.5185623951939158E-2</v>
      </c>
      <c r="AG2221" s="99">
        <f t="shared" si="104"/>
        <v>5.1130632097507317E-3</v>
      </c>
      <c r="AH2221" s="10" t="str">
        <f>IFERROR(VLOOKUP(B2221,'Pre-Summary'!$AZ$6:$BE$65,3,FALSE),"")</f>
        <v/>
      </c>
      <c r="AI2221" s="10" t="str">
        <f>IFERROR(VLOOKUP(B2221,'Pre-Summary'!$AZ$6:$BE$65,5,FALSE),"")</f>
        <v/>
      </c>
      <c r="AJ2221" s="10" t="str">
        <f>IFERROR(VLOOKUP(B2221,'Pre-Summary'!$AZ$6:$BE$65,4,FALSE),"")</f>
        <v/>
      </c>
      <c r="AK2221" s="10" t="str">
        <f>IFERROR(VLOOKUP(B2221,'Pre-Summary'!$AZ$6:$BE$65,6,FALSE),"")</f>
        <v/>
      </c>
      <c r="AL2221" s="10" t="str">
        <f>IFERROR(VLOOKUP(B2221,'Pre-Summary'!$BG$6:$BL$44,3,FALSE),"")</f>
        <v/>
      </c>
      <c r="AM2221" s="10" t="str">
        <f>IFERROR(VLOOKUP(B2221,'Pre-Summary'!$BG$6:$BL$44,4,FALSE),"")</f>
        <v/>
      </c>
    </row>
    <row r="2222" spans="2:39" ht="15" customHeight="1" x14ac:dyDescent="0.3">
      <c r="B2222">
        <v>221.9</v>
      </c>
      <c r="C2222" t="str">
        <f>IFERROR(VLOOKUP(B2222,'Pre-Summary'!$DI$6:$DM$23,4,FALSE),"")</f>
        <v/>
      </c>
      <c r="D2222" s="10" t="str">
        <f>IFERROR(VLOOKUP(B2222,'Pre-Summary'!$AT$6:$AX$14,5,FALSE),D2221)</f>
        <v>Wolfe v3: went back to modified wolfe + EDTA and switched CuSO4 to CUCl2</v>
      </c>
      <c r="E2222" s="10" t="str">
        <f>IFERROR(VLOOKUP(B2222,'Pre-Summary'!$AT$6:$AX$15,4,FALSE),"")</f>
        <v/>
      </c>
      <c r="F2222">
        <f>IFERROR(VLOOKUP(B2222,'Pre-Summary'!$AL$6:$AQ$13,6,FALSE),F2221)</f>
        <v>5.9405263157894746E-2</v>
      </c>
      <c r="G2222" t="str">
        <f>IFERROR(VLOOKUP(B2222,'Pre-Summary'!$AE$6:$AJ$85,3,FALSE),"")</f>
        <v/>
      </c>
      <c r="H2222" t="str">
        <f>IFERROR(VLOOKUP(B2222,'Pre-Summary'!$AE$6:$AJ$85,4,FALSE),"")</f>
        <v/>
      </c>
      <c r="I2222" t="str">
        <f>IFERROR(VLOOKUP(B2222,'Pre-Summary'!$AE$6:$AJ$85,5,FALSE),"")</f>
        <v/>
      </c>
      <c r="J2222" s="45" t="str">
        <f>IFERROR(VLOOKUP(B2222,'Pre-Summary'!$AE$6:$AJ$85,6, FALSE),"")</f>
        <v/>
      </c>
      <c r="K2222" s="45" t="str">
        <f>IFERROR(VLOOKUP(B2222,'Pre-Summary'!$DE$6:$DG$61,3,FALSE),"")</f>
        <v/>
      </c>
      <c r="L2222" s="45" t="str">
        <f>IFERROR(VLOOKUP(B2222,'Pre-Summary'!$CU$6:$CW$36,3,FALSE),"")</f>
        <v/>
      </c>
      <c r="M2222" s="45" t="str">
        <f>IFERROR(VLOOKUP(B2222,'Pre-Summary'!$BW$6:$BY$58,2,FALSE),"")</f>
        <v/>
      </c>
      <c r="N2222" s="45" t="str">
        <f>IFERROR(VLOOKUP(B2222,'Pre-Summary'!$CD$6:$CF$64,2,FALSE),"")</f>
        <v/>
      </c>
      <c r="O2222" s="99">
        <f>IFERROR(VLOOKUP(B2222,'Pre-Summary'!$BO$6:$BQ$48,3, FALSE),O2221)</f>
        <v>1.508</v>
      </c>
      <c r="P2222" s="99">
        <f>IFERROR(VLOOKUP(B2222,'Pre-Summary'!$BS$6:$BU$35,3,FALSE),P2221)</f>
        <v>0.379</v>
      </c>
      <c r="Q2222" s="54">
        <f t="shared" si="102"/>
        <v>3.9788918205804751</v>
      </c>
      <c r="R2222" s="53">
        <f>IFERROR(VLOOKUP(B2222,'Pre-Summary'!$BG$6:$BM$44,7,FALSE),R2223)</f>
        <v>9.7948682664336664E-2</v>
      </c>
      <c r="S2222" s="53">
        <f>IFERROR(VLOOKUP(B2222,'Pre-Summary'!$BG$6:$BM$44,6,FALSE),S2223)</f>
        <v>0.10614035087720526</v>
      </c>
      <c r="T2222" s="45" t="str">
        <f>IFERROR(VLOOKUP(B2222,'Pre-Summary'!$Y$6:$AC$83, 3,FALSE),"")</f>
        <v/>
      </c>
      <c r="U2222" s="45" t="str">
        <f>IFERROR(VLOOKUP(B2222,'Pre-Summary'!$Y$6:$AC$83, 4,FALSE),"")</f>
        <v/>
      </c>
      <c r="V2222" t="str">
        <f>IFERROR(VLOOKUP(B2222,'Pre-Summary'!$Y$6:$AC$83, 5,FALSE),"")</f>
        <v/>
      </c>
      <c r="W2222" s="45" t="str">
        <f>IFERROR(VLOOKUP(B2222,'Pre-Summary'!$Y$6:$AD$83,6,FALSE),"")</f>
        <v/>
      </c>
      <c r="X2222" t="str">
        <f>IFERROR(VLOOKUP('Pre-Summary'!$DB$6:$DD$63,3,FALSE),"")</f>
        <v/>
      </c>
      <c r="Y2222" t="str">
        <f>IFERROR(VLOOKUP(B2222,'Pre-Summary'!$CR$6:$CT$36,3,FALSE),"")</f>
        <v/>
      </c>
      <c r="Z2222" s="45" t="str">
        <f>IFERROR(VLOOKUP(B2222,'Pre-Summary'!$BZ$6:$CB$63,2,FALSE),"")</f>
        <v/>
      </c>
      <c r="AA2222" s="45" t="str">
        <f>IFERROR(VLOOKUP(B2222,'Pre-Summary'!$CG$6:$CI$70,2,FALSE),"")</f>
        <v/>
      </c>
      <c r="AB2222" s="99">
        <f>IFERROR(VLOOKUP(B2222,'Pre-Summary'!$A$6:$P$178,9,FALSE),AB2223)</f>
        <v>0.35465514391001818</v>
      </c>
      <c r="AC2222" s="10">
        <f>IFERROR(VLOOKUP(Summary!B2222,'Pre-Summary'!$A$6:$P$184,5, FALSE)/100,AC2223)</f>
        <v>0.94276500000000008</v>
      </c>
      <c r="AD2222" s="10">
        <f>IFERROR(VLOOKUP(Summary!B2222,'Pre-Summary'!$A$6:$P$184,3, FALSE)/100,AD2223)</f>
        <v>4.2818000000000002E-2</v>
      </c>
      <c r="AE2222" s="10">
        <f>IFERROR(VLOOKUP(Summary!B2222,'Pre-Summary'!$A$6:$P$184,7, FALSE)/100,AE2223)</f>
        <v>1.4416999999999999E-2</v>
      </c>
      <c r="AF2222" s="99">
        <f t="shared" si="103"/>
        <v>1.5185623951939158E-2</v>
      </c>
      <c r="AG2222" s="99">
        <f t="shared" si="104"/>
        <v>5.1130632097507317E-3</v>
      </c>
      <c r="AH2222" s="10" t="str">
        <f>IFERROR(VLOOKUP(B2222,'Pre-Summary'!$AZ$6:$BE$65,3,FALSE),"")</f>
        <v/>
      </c>
      <c r="AI2222" s="10" t="str">
        <f>IFERROR(VLOOKUP(B2222,'Pre-Summary'!$AZ$6:$BE$65,5,FALSE),"")</f>
        <v/>
      </c>
      <c r="AJ2222" s="10" t="str">
        <f>IFERROR(VLOOKUP(B2222,'Pre-Summary'!$AZ$6:$BE$65,4,FALSE),"")</f>
        <v/>
      </c>
      <c r="AK2222" s="10" t="str">
        <f>IFERROR(VLOOKUP(B2222,'Pre-Summary'!$AZ$6:$BE$65,6,FALSE),"")</f>
        <v/>
      </c>
      <c r="AL2222" s="10" t="str">
        <f>IFERROR(VLOOKUP(B2222,'Pre-Summary'!$BG$6:$BL$44,3,FALSE),"")</f>
        <v/>
      </c>
      <c r="AM2222" s="10" t="str">
        <f>IFERROR(VLOOKUP(B2222,'Pre-Summary'!$BG$6:$BL$44,4,FALSE),"")</f>
        <v/>
      </c>
    </row>
    <row r="2223" spans="2:39" ht="15" customHeight="1" x14ac:dyDescent="0.3">
      <c r="B2223">
        <v>222</v>
      </c>
      <c r="C2223" t="str">
        <f>IFERROR(VLOOKUP(B2223,'Pre-Summary'!$DI$6:$DM$23,4,FALSE),"")</f>
        <v/>
      </c>
      <c r="D2223" s="10" t="str">
        <f>IFERROR(VLOOKUP(B2223,'Pre-Summary'!$AT$6:$AX$14,5,FALSE),D2222)</f>
        <v>Wolfe v3: went back to modified wolfe + EDTA and switched CuSO4 to CUCl2</v>
      </c>
      <c r="E2223" s="10" t="str">
        <f>IFERROR(VLOOKUP(B2223,'Pre-Summary'!$AT$6:$AX$15,4,FALSE),"")</f>
        <v/>
      </c>
      <c r="F2223">
        <f>IFERROR(VLOOKUP(B2223,'Pre-Summary'!$AL$6:$AQ$13,6,FALSE),F2222)</f>
        <v>5.9405263157894746E-2</v>
      </c>
      <c r="G2223" t="str">
        <f>IFERROR(VLOOKUP(B2223,'Pre-Summary'!$AE$6:$AJ$85,3,FALSE),"")</f>
        <v/>
      </c>
      <c r="H2223" t="str">
        <f>IFERROR(VLOOKUP(B2223,'Pre-Summary'!$AE$6:$AJ$85,4,FALSE),"")</f>
        <v/>
      </c>
      <c r="I2223" t="str">
        <f>IFERROR(VLOOKUP(B2223,'Pre-Summary'!$AE$6:$AJ$85,5,FALSE),"")</f>
        <v/>
      </c>
      <c r="J2223" s="45" t="str">
        <f>IFERROR(VLOOKUP(B2223,'Pre-Summary'!$AE$6:$AJ$85,6, FALSE),"")</f>
        <v/>
      </c>
      <c r="K2223" s="45" t="str">
        <f>IFERROR(VLOOKUP(B2223,'Pre-Summary'!$DE$6:$DG$61,3,FALSE),"")</f>
        <v/>
      </c>
      <c r="L2223" s="45" t="str">
        <f>IFERROR(VLOOKUP(B2223,'Pre-Summary'!$CU$6:$CW$36,3,FALSE),"")</f>
        <v/>
      </c>
      <c r="M2223" s="45" t="str">
        <f>IFERROR(VLOOKUP(B2223,'Pre-Summary'!$BW$6:$BY$58,2,FALSE),"")</f>
        <v/>
      </c>
      <c r="N2223" s="45" t="str">
        <f>IFERROR(VLOOKUP(B2223,'Pre-Summary'!$CD$6:$CF$64,2,FALSE),"")</f>
        <v/>
      </c>
      <c r="O2223" s="99">
        <f>IFERROR(VLOOKUP(B2223,'Pre-Summary'!$BO$6:$BQ$48,3, FALSE),O2222)</f>
        <v>1.508</v>
      </c>
      <c r="P2223" s="99">
        <f>IFERROR(VLOOKUP(B2223,'Pre-Summary'!$BS$6:$BU$35,3,FALSE),P2222)</f>
        <v>0.379</v>
      </c>
      <c r="Q2223" s="54">
        <f t="shared" si="102"/>
        <v>3.9788918205804751</v>
      </c>
      <c r="R2223" s="53">
        <f>IFERROR(VLOOKUP(B2223,'Pre-Summary'!$BG$6:$BM$44,7,FALSE),R2224)</f>
        <v>9.7948682664336664E-2</v>
      </c>
      <c r="S2223" s="53">
        <f>IFERROR(VLOOKUP(B2223,'Pre-Summary'!$BG$6:$BM$44,6,FALSE),S2224)</f>
        <v>0.10614035087720526</v>
      </c>
      <c r="T2223" s="45" t="str">
        <f>IFERROR(VLOOKUP(B2223,'Pre-Summary'!$Y$6:$AC$83, 3,FALSE),"")</f>
        <v/>
      </c>
      <c r="U2223" s="45" t="str">
        <f>IFERROR(VLOOKUP(B2223,'Pre-Summary'!$Y$6:$AC$83, 4,FALSE),"")</f>
        <v/>
      </c>
      <c r="V2223" t="str">
        <f>IFERROR(VLOOKUP(B2223,'Pre-Summary'!$Y$6:$AC$83, 5,FALSE),"")</f>
        <v/>
      </c>
      <c r="W2223" s="45" t="str">
        <f>IFERROR(VLOOKUP(B2223,'Pre-Summary'!$Y$6:$AD$83,6,FALSE),"")</f>
        <v/>
      </c>
      <c r="X2223" t="str">
        <f>IFERROR(VLOOKUP('Pre-Summary'!$DB$6:$DD$63,3,FALSE),"")</f>
        <v/>
      </c>
      <c r="Y2223" t="str">
        <f>IFERROR(VLOOKUP(B2223,'Pre-Summary'!$CR$6:$CT$36,3,FALSE),"")</f>
        <v/>
      </c>
      <c r="Z2223" s="45" t="str">
        <f>IFERROR(VLOOKUP(B2223,'Pre-Summary'!$BZ$6:$CB$63,2,FALSE),"")</f>
        <v/>
      </c>
      <c r="AA2223" s="45" t="str">
        <f>IFERROR(VLOOKUP(B2223,'Pre-Summary'!$CG$6:$CI$70,2,FALSE),"")</f>
        <v/>
      </c>
      <c r="AB2223" s="99">
        <f>IFERROR(VLOOKUP(B2223,'Pre-Summary'!$A$6:$P$178,9,FALSE),AB2224)</f>
        <v>0.35465514391001818</v>
      </c>
      <c r="AC2223" s="10">
        <f>IFERROR(VLOOKUP(Summary!B2223,'Pre-Summary'!$A$6:$P$184,5, FALSE)/100,AC2224)</f>
        <v>0.94276500000000008</v>
      </c>
      <c r="AD2223" s="10">
        <f>IFERROR(VLOOKUP(Summary!B2223,'Pre-Summary'!$A$6:$P$184,3, FALSE)/100,AD2224)</f>
        <v>4.2818000000000002E-2</v>
      </c>
      <c r="AE2223" s="10">
        <f>IFERROR(VLOOKUP(Summary!B2223,'Pre-Summary'!$A$6:$P$184,7, FALSE)/100,AE2224)</f>
        <v>1.4416999999999999E-2</v>
      </c>
      <c r="AF2223" s="99">
        <f t="shared" si="103"/>
        <v>1.5185623951939158E-2</v>
      </c>
      <c r="AG2223" s="99">
        <f t="shared" si="104"/>
        <v>5.1130632097507317E-3</v>
      </c>
      <c r="AH2223" s="10" t="str">
        <f>IFERROR(VLOOKUP(B2223,'Pre-Summary'!$AZ$6:$BE$65,3,FALSE),"")</f>
        <v/>
      </c>
      <c r="AI2223" s="10" t="str">
        <f>IFERROR(VLOOKUP(B2223,'Pre-Summary'!$AZ$6:$BE$65,5,FALSE),"")</f>
        <v/>
      </c>
      <c r="AJ2223" s="10" t="str">
        <f>IFERROR(VLOOKUP(B2223,'Pre-Summary'!$AZ$6:$BE$65,4,FALSE),"")</f>
        <v/>
      </c>
      <c r="AK2223" s="10" t="str">
        <f>IFERROR(VLOOKUP(B2223,'Pre-Summary'!$AZ$6:$BE$65,6,FALSE),"")</f>
        <v/>
      </c>
      <c r="AL2223" s="10" t="str">
        <f>IFERROR(VLOOKUP(B2223,'Pre-Summary'!$BG$6:$BL$44,3,FALSE),"")</f>
        <v/>
      </c>
      <c r="AM2223" s="10" t="str">
        <f>IFERROR(VLOOKUP(B2223,'Pre-Summary'!$BG$6:$BL$44,4,FALSE),"")</f>
        <v/>
      </c>
    </row>
    <row r="2224" spans="2:39" ht="15" customHeight="1" x14ac:dyDescent="0.3">
      <c r="B2224">
        <v>222.1</v>
      </c>
      <c r="C2224" t="str">
        <f>IFERROR(VLOOKUP(B2224,'Pre-Summary'!$DI$6:$DM$23,4,FALSE),"")</f>
        <v/>
      </c>
      <c r="D2224" s="10" t="str">
        <f>IFERROR(VLOOKUP(B2224,'Pre-Summary'!$AT$6:$AX$14,5,FALSE),D2223)</f>
        <v>Wolfe v3: went back to modified wolfe + EDTA and switched CuSO4 to CUCl2</v>
      </c>
      <c r="E2224" s="10" t="str">
        <f>IFERROR(VLOOKUP(B2224,'Pre-Summary'!$AT$6:$AX$15,4,FALSE),"")</f>
        <v/>
      </c>
      <c r="F2224">
        <f>IFERROR(VLOOKUP(B2224,'Pre-Summary'!$AL$6:$AQ$13,6,FALSE),F2223)</f>
        <v>5.9405263157894746E-2</v>
      </c>
      <c r="G2224" t="str">
        <f>IFERROR(VLOOKUP(B2224,'Pre-Summary'!$AE$6:$AJ$85,3,FALSE),"")</f>
        <v/>
      </c>
      <c r="H2224" t="str">
        <f>IFERROR(VLOOKUP(B2224,'Pre-Summary'!$AE$6:$AJ$85,4,FALSE),"")</f>
        <v/>
      </c>
      <c r="I2224" t="str">
        <f>IFERROR(VLOOKUP(B2224,'Pre-Summary'!$AE$6:$AJ$85,5,FALSE),"")</f>
        <v/>
      </c>
      <c r="J2224" s="45" t="str">
        <f>IFERROR(VLOOKUP(B2224,'Pre-Summary'!$AE$6:$AJ$85,6, FALSE),"")</f>
        <v/>
      </c>
      <c r="K2224" s="45" t="str">
        <f>IFERROR(VLOOKUP(B2224,'Pre-Summary'!$DE$6:$DG$61,3,FALSE),"")</f>
        <v/>
      </c>
      <c r="L2224" s="45" t="str">
        <f>IFERROR(VLOOKUP(B2224,'Pre-Summary'!$CU$6:$CW$36,3,FALSE),"")</f>
        <v/>
      </c>
      <c r="M2224" s="45" t="str">
        <f>IFERROR(VLOOKUP(B2224,'Pre-Summary'!$BW$6:$BY$58,2,FALSE),"")</f>
        <v/>
      </c>
      <c r="N2224" s="45" t="str">
        <f>IFERROR(VLOOKUP(B2224,'Pre-Summary'!$CD$6:$CF$64,2,FALSE),"")</f>
        <v/>
      </c>
      <c r="O2224" s="99">
        <f>IFERROR(VLOOKUP(B2224,'Pre-Summary'!$BO$6:$BQ$48,3, FALSE),O2223)</f>
        <v>1.508</v>
      </c>
      <c r="P2224" s="99">
        <f>IFERROR(VLOOKUP(B2224,'Pre-Summary'!$BS$6:$BU$35,3,FALSE),P2223)</f>
        <v>0.379</v>
      </c>
      <c r="Q2224" s="54">
        <f t="shared" si="102"/>
        <v>3.9788918205804751</v>
      </c>
      <c r="R2224" s="53">
        <f>IFERROR(VLOOKUP(B2224,'Pre-Summary'!$BG$6:$BM$44,7,FALSE),R2225)</f>
        <v>9.7948682664336664E-2</v>
      </c>
      <c r="S2224" s="53">
        <f>IFERROR(VLOOKUP(B2224,'Pre-Summary'!$BG$6:$BM$44,6,FALSE),S2225)</f>
        <v>0.10614035087720526</v>
      </c>
      <c r="T2224" s="45" t="str">
        <f>IFERROR(VLOOKUP(B2224,'Pre-Summary'!$Y$6:$AC$83, 3,FALSE),"")</f>
        <v/>
      </c>
      <c r="U2224" s="45" t="str">
        <f>IFERROR(VLOOKUP(B2224,'Pre-Summary'!$Y$6:$AC$83, 4,FALSE),"")</f>
        <v/>
      </c>
      <c r="V2224" t="str">
        <f>IFERROR(VLOOKUP(B2224,'Pre-Summary'!$Y$6:$AC$83, 5,FALSE),"")</f>
        <v/>
      </c>
      <c r="W2224" s="45" t="str">
        <f>IFERROR(VLOOKUP(B2224,'Pre-Summary'!$Y$6:$AD$83,6,FALSE),"")</f>
        <v/>
      </c>
      <c r="X2224" t="str">
        <f>IFERROR(VLOOKUP('Pre-Summary'!$DB$6:$DD$63,3,FALSE),"")</f>
        <v/>
      </c>
      <c r="Y2224" t="str">
        <f>IFERROR(VLOOKUP(B2224,'Pre-Summary'!$CR$6:$CT$36,3,FALSE),"")</f>
        <v/>
      </c>
      <c r="Z2224" s="45" t="str">
        <f>IFERROR(VLOOKUP(B2224,'Pre-Summary'!$BZ$6:$CB$63,2,FALSE),"")</f>
        <v/>
      </c>
      <c r="AA2224" s="45" t="str">
        <f>IFERROR(VLOOKUP(B2224,'Pre-Summary'!$CG$6:$CI$70,2,FALSE),"")</f>
        <v/>
      </c>
      <c r="AB2224" s="99">
        <f>IFERROR(VLOOKUP(B2224,'Pre-Summary'!$A$6:$P$178,9,FALSE),AB2225)</f>
        <v>0.35465514391001818</v>
      </c>
      <c r="AC2224" s="10">
        <f>IFERROR(VLOOKUP(Summary!B2224,'Pre-Summary'!$A$6:$P$184,5, FALSE)/100,AC2225)</f>
        <v>0.94276500000000008</v>
      </c>
      <c r="AD2224" s="10">
        <f>IFERROR(VLOOKUP(Summary!B2224,'Pre-Summary'!$A$6:$P$184,3, FALSE)/100,AD2225)</f>
        <v>4.2818000000000002E-2</v>
      </c>
      <c r="AE2224" s="10">
        <f>IFERROR(VLOOKUP(Summary!B2224,'Pre-Summary'!$A$6:$P$184,7, FALSE)/100,AE2225)</f>
        <v>1.4416999999999999E-2</v>
      </c>
      <c r="AF2224" s="99">
        <f t="shared" si="103"/>
        <v>1.5185623951939158E-2</v>
      </c>
      <c r="AG2224" s="99">
        <f t="shared" si="104"/>
        <v>5.1130632097507317E-3</v>
      </c>
      <c r="AH2224" s="10" t="str">
        <f>IFERROR(VLOOKUP(B2224,'Pre-Summary'!$AZ$6:$BE$65,3,FALSE),"")</f>
        <v/>
      </c>
      <c r="AI2224" s="10" t="str">
        <f>IFERROR(VLOOKUP(B2224,'Pre-Summary'!$AZ$6:$BE$65,5,FALSE),"")</f>
        <v/>
      </c>
      <c r="AJ2224" s="10" t="str">
        <f>IFERROR(VLOOKUP(B2224,'Pre-Summary'!$AZ$6:$BE$65,4,FALSE),"")</f>
        <v/>
      </c>
      <c r="AK2224" s="10" t="str">
        <f>IFERROR(VLOOKUP(B2224,'Pre-Summary'!$AZ$6:$BE$65,6,FALSE),"")</f>
        <v/>
      </c>
      <c r="AL2224" s="10" t="str">
        <f>IFERROR(VLOOKUP(B2224,'Pre-Summary'!$BG$6:$BL$44,3,FALSE),"")</f>
        <v/>
      </c>
      <c r="AM2224" s="10" t="str">
        <f>IFERROR(VLOOKUP(B2224,'Pre-Summary'!$BG$6:$BL$44,4,FALSE),"")</f>
        <v/>
      </c>
    </row>
    <row r="2225" spans="2:39" ht="15" customHeight="1" x14ac:dyDescent="0.3">
      <c r="B2225">
        <v>222.2</v>
      </c>
      <c r="C2225" t="str">
        <f>IFERROR(VLOOKUP(B2225,'Pre-Summary'!$DI$6:$DM$23,4,FALSE),"")</f>
        <v/>
      </c>
      <c r="D2225" s="10" t="str">
        <f>IFERROR(VLOOKUP(B2225,'Pre-Summary'!$AT$6:$AX$14,5,FALSE),D2224)</f>
        <v>Wolfe v3: went back to modified wolfe + EDTA and switched CuSO4 to CUCl2</v>
      </c>
      <c r="E2225" s="10" t="str">
        <f>IFERROR(VLOOKUP(B2225,'Pre-Summary'!$AT$6:$AX$15,4,FALSE),"")</f>
        <v/>
      </c>
      <c r="F2225">
        <f>IFERROR(VLOOKUP(B2225,'Pre-Summary'!$AL$6:$AQ$13,6,FALSE),F2224)</f>
        <v>5.9405263157894746E-2</v>
      </c>
      <c r="G2225" t="str">
        <f>IFERROR(VLOOKUP(B2225,'Pre-Summary'!$AE$6:$AJ$85,3,FALSE),"")</f>
        <v/>
      </c>
      <c r="H2225" t="str">
        <f>IFERROR(VLOOKUP(B2225,'Pre-Summary'!$AE$6:$AJ$85,4,FALSE),"")</f>
        <v/>
      </c>
      <c r="I2225" t="str">
        <f>IFERROR(VLOOKUP(B2225,'Pre-Summary'!$AE$6:$AJ$85,5,FALSE),"")</f>
        <v/>
      </c>
      <c r="J2225" s="45" t="str">
        <f>IFERROR(VLOOKUP(B2225,'Pre-Summary'!$AE$6:$AJ$85,6, FALSE),"")</f>
        <v/>
      </c>
      <c r="K2225" s="45" t="str">
        <f>IFERROR(VLOOKUP(B2225,'Pre-Summary'!$DE$6:$DG$61,3,FALSE),"")</f>
        <v/>
      </c>
      <c r="L2225" s="45" t="str">
        <f>IFERROR(VLOOKUP(B2225,'Pre-Summary'!$CU$6:$CW$36,3,FALSE),"")</f>
        <v/>
      </c>
      <c r="M2225" s="45" t="str">
        <f>IFERROR(VLOOKUP(B2225,'Pre-Summary'!$BW$6:$BY$58,2,FALSE),"")</f>
        <v/>
      </c>
      <c r="N2225" s="45" t="str">
        <f>IFERROR(VLOOKUP(B2225,'Pre-Summary'!$CD$6:$CF$64,2,FALSE),"")</f>
        <v/>
      </c>
      <c r="O2225" s="99">
        <f>IFERROR(VLOOKUP(B2225,'Pre-Summary'!$BO$6:$BQ$48,3, FALSE),O2224)</f>
        <v>1.508</v>
      </c>
      <c r="P2225" s="99">
        <f>IFERROR(VLOOKUP(B2225,'Pre-Summary'!$BS$6:$BU$35,3,FALSE),P2224)</f>
        <v>0.379</v>
      </c>
      <c r="Q2225" s="54">
        <f t="shared" si="102"/>
        <v>3.9788918205804751</v>
      </c>
      <c r="R2225" s="53">
        <f>IFERROR(VLOOKUP(B2225,'Pre-Summary'!$BG$6:$BM$44,7,FALSE),R2226)</f>
        <v>9.7948682664336664E-2</v>
      </c>
      <c r="S2225" s="53">
        <f>IFERROR(VLOOKUP(B2225,'Pre-Summary'!$BG$6:$BM$44,6,FALSE),S2226)</f>
        <v>0.10614035087720526</v>
      </c>
      <c r="T2225" s="45" t="str">
        <f>IFERROR(VLOOKUP(B2225,'Pre-Summary'!$Y$6:$AC$83, 3,FALSE),"")</f>
        <v/>
      </c>
      <c r="U2225" s="45" t="str">
        <f>IFERROR(VLOOKUP(B2225,'Pre-Summary'!$Y$6:$AC$83, 4,FALSE),"")</f>
        <v/>
      </c>
      <c r="V2225" t="str">
        <f>IFERROR(VLOOKUP(B2225,'Pre-Summary'!$Y$6:$AC$83, 5,FALSE),"")</f>
        <v/>
      </c>
      <c r="W2225" s="45" t="str">
        <f>IFERROR(VLOOKUP(B2225,'Pre-Summary'!$Y$6:$AD$83,6,FALSE),"")</f>
        <v/>
      </c>
      <c r="X2225" t="str">
        <f>IFERROR(VLOOKUP('Pre-Summary'!$DB$6:$DD$63,3,FALSE),"")</f>
        <v/>
      </c>
      <c r="Y2225" t="str">
        <f>IFERROR(VLOOKUP(B2225,'Pre-Summary'!$CR$6:$CT$36,3,FALSE),"")</f>
        <v/>
      </c>
      <c r="Z2225" s="45" t="str">
        <f>IFERROR(VLOOKUP(B2225,'Pre-Summary'!$BZ$6:$CB$63,2,FALSE),"")</f>
        <v/>
      </c>
      <c r="AA2225" s="45" t="str">
        <f>IFERROR(VLOOKUP(B2225,'Pre-Summary'!$CG$6:$CI$70,2,FALSE),"")</f>
        <v/>
      </c>
      <c r="AB2225" s="99">
        <f>IFERROR(VLOOKUP(B2225,'Pre-Summary'!$A$6:$P$178,9,FALSE),AB2226)</f>
        <v>0.35465514391001818</v>
      </c>
      <c r="AC2225" s="10">
        <f>IFERROR(VLOOKUP(Summary!B2225,'Pre-Summary'!$A$6:$P$184,5, FALSE)/100,AC2226)</f>
        <v>0.94276500000000008</v>
      </c>
      <c r="AD2225" s="10">
        <f>IFERROR(VLOOKUP(Summary!B2225,'Pre-Summary'!$A$6:$P$184,3, FALSE)/100,AD2226)</f>
        <v>4.2818000000000002E-2</v>
      </c>
      <c r="AE2225" s="10">
        <f>IFERROR(VLOOKUP(Summary!B2225,'Pre-Summary'!$A$6:$P$184,7, FALSE)/100,AE2226)</f>
        <v>1.4416999999999999E-2</v>
      </c>
      <c r="AF2225" s="99">
        <f t="shared" si="103"/>
        <v>1.5185623951939158E-2</v>
      </c>
      <c r="AG2225" s="99">
        <f t="shared" si="104"/>
        <v>5.1130632097507317E-3</v>
      </c>
      <c r="AH2225" s="10" t="str">
        <f>IFERROR(VLOOKUP(B2225,'Pre-Summary'!$AZ$6:$BE$65,3,FALSE),"")</f>
        <v/>
      </c>
      <c r="AI2225" s="10" t="str">
        <f>IFERROR(VLOOKUP(B2225,'Pre-Summary'!$AZ$6:$BE$65,5,FALSE),"")</f>
        <v/>
      </c>
      <c r="AJ2225" s="10" t="str">
        <f>IFERROR(VLOOKUP(B2225,'Pre-Summary'!$AZ$6:$BE$65,4,FALSE),"")</f>
        <v/>
      </c>
      <c r="AK2225" s="10" t="str">
        <f>IFERROR(VLOOKUP(B2225,'Pre-Summary'!$AZ$6:$BE$65,6,FALSE),"")</f>
        <v/>
      </c>
      <c r="AL2225" s="10" t="str">
        <f>IFERROR(VLOOKUP(B2225,'Pre-Summary'!$BG$6:$BL$44,3,FALSE),"")</f>
        <v/>
      </c>
      <c r="AM2225" s="10" t="str">
        <f>IFERROR(VLOOKUP(B2225,'Pre-Summary'!$BG$6:$BL$44,4,FALSE),"")</f>
        <v/>
      </c>
    </row>
    <row r="2226" spans="2:39" ht="15" customHeight="1" x14ac:dyDescent="0.3">
      <c r="B2226">
        <v>222.3</v>
      </c>
      <c r="C2226" t="str">
        <f>IFERROR(VLOOKUP(B2226,'Pre-Summary'!$DI$6:$DM$23,4,FALSE),"")</f>
        <v/>
      </c>
      <c r="D2226" s="10" t="str">
        <f>IFERROR(VLOOKUP(B2226,'Pre-Summary'!$AT$6:$AX$14,5,FALSE),D2225)</f>
        <v>Wolfe v3: went back to modified wolfe + EDTA and switched CuSO4 to CUCl2</v>
      </c>
      <c r="E2226" s="10" t="str">
        <f>IFERROR(VLOOKUP(B2226,'Pre-Summary'!$AT$6:$AX$15,4,FALSE),"")</f>
        <v/>
      </c>
      <c r="F2226">
        <f>IFERROR(VLOOKUP(B2226,'Pre-Summary'!$AL$6:$AQ$13,6,FALSE),F2225)</f>
        <v>5.9405263157894746E-2</v>
      </c>
      <c r="G2226" t="str">
        <f>IFERROR(VLOOKUP(B2226,'Pre-Summary'!$AE$6:$AJ$85,3,FALSE),"")</f>
        <v/>
      </c>
      <c r="H2226" t="str">
        <f>IFERROR(VLOOKUP(B2226,'Pre-Summary'!$AE$6:$AJ$85,4,FALSE),"")</f>
        <v/>
      </c>
      <c r="I2226" t="str">
        <f>IFERROR(VLOOKUP(B2226,'Pre-Summary'!$AE$6:$AJ$85,5,FALSE),"")</f>
        <v/>
      </c>
      <c r="J2226" s="45" t="str">
        <f>IFERROR(VLOOKUP(B2226,'Pre-Summary'!$AE$6:$AJ$85,6, FALSE),"")</f>
        <v/>
      </c>
      <c r="K2226" s="45" t="str">
        <f>IFERROR(VLOOKUP(B2226,'Pre-Summary'!$DE$6:$DG$61,3,FALSE),"")</f>
        <v/>
      </c>
      <c r="L2226" s="45" t="str">
        <f>IFERROR(VLOOKUP(B2226,'Pre-Summary'!$CU$6:$CW$36,3,FALSE),"")</f>
        <v/>
      </c>
      <c r="M2226" s="45" t="str">
        <f>IFERROR(VLOOKUP(B2226,'Pre-Summary'!$BW$6:$BY$58,2,FALSE),"")</f>
        <v/>
      </c>
      <c r="N2226" s="45" t="str">
        <f>IFERROR(VLOOKUP(B2226,'Pre-Summary'!$CD$6:$CF$64,2,FALSE),"")</f>
        <v/>
      </c>
      <c r="O2226" s="99">
        <f>IFERROR(VLOOKUP(B2226,'Pre-Summary'!$BO$6:$BQ$48,3, FALSE),O2225)</f>
        <v>1.508</v>
      </c>
      <c r="P2226" s="99">
        <f>IFERROR(VLOOKUP(B2226,'Pre-Summary'!$BS$6:$BU$35,3,FALSE),P2225)</f>
        <v>0.379</v>
      </c>
      <c r="Q2226" s="54">
        <f t="shared" si="102"/>
        <v>3.9788918205804751</v>
      </c>
      <c r="R2226" s="53">
        <f>IFERROR(VLOOKUP(B2226,'Pre-Summary'!$BG$6:$BM$44,7,FALSE),R2227)</f>
        <v>9.7948682664336664E-2</v>
      </c>
      <c r="S2226" s="53">
        <f>IFERROR(VLOOKUP(B2226,'Pre-Summary'!$BG$6:$BM$44,6,FALSE),S2227)</f>
        <v>0.10614035087720526</v>
      </c>
      <c r="T2226" s="45" t="str">
        <f>IFERROR(VLOOKUP(B2226,'Pre-Summary'!$Y$6:$AC$83, 3,FALSE),"")</f>
        <v/>
      </c>
      <c r="U2226" s="45" t="str">
        <f>IFERROR(VLOOKUP(B2226,'Pre-Summary'!$Y$6:$AC$83, 4,FALSE),"")</f>
        <v/>
      </c>
      <c r="V2226" t="str">
        <f>IFERROR(VLOOKUP(B2226,'Pre-Summary'!$Y$6:$AC$83, 5,FALSE),"")</f>
        <v/>
      </c>
      <c r="W2226" s="45" t="str">
        <f>IFERROR(VLOOKUP(B2226,'Pre-Summary'!$Y$6:$AD$83,6,FALSE),"")</f>
        <v/>
      </c>
      <c r="X2226" t="str">
        <f>IFERROR(VLOOKUP('Pre-Summary'!$DB$6:$DD$63,3,FALSE),"")</f>
        <v/>
      </c>
      <c r="Y2226" t="str">
        <f>IFERROR(VLOOKUP(B2226,'Pre-Summary'!$CR$6:$CT$36,3,FALSE),"")</f>
        <v/>
      </c>
      <c r="Z2226" s="45" t="str">
        <f>IFERROR(VLOOKUP(B2226,'Pre-Summary'!$BZ$6:$CB$63,2,FALSE),"")</f>
        <v/>
      </c>
      <c r="AA2226" s="45" t="str">
        <f>IFERROR(VLOOKUP(B2226,'Pre-Summary'!$CG$6:$CI$70,2,FALSE),"")</f>
        <v/>
      </c>
      <c r="AB2226" s="99">
        <f>IFERROR(VLOOKUP(B2226,'Pre-Summary'!$A$6:$P$178,9,FALSE),AB2227)</f>
        <v>0.35465514391001818</v>
      </c>
      <c r="AC2226" s="10">
        <f>IFERROR(VLOOKUP(Summary!B2226,'Pre-Summary'!$A$6:$P$184,5, FALSE)/100,AC2227)</f>
        <v>0.94276500000000008</v>
      </c>
      <c r="AD2226" s="10">
        <f>IFERROR(VLOOKUP(Summary!B2226,'Pre-Summary'!$A$6:$P$184,3, FALSE)/100,AD2227)</f>
        <v>4.2818000000000002E-2</v>
      </c>
      <c r="AE2226" s="10">
        <f>IFERROR(VLOOKUP(Summary!B2226,'Pre-Summary'!$A$6:$P$184,7, FALSE)/100,AE2227)</f>
        <v>1.4416999999999999E-2</v>
      </c>
      <c r="AF2226" s="99">
        <f t="shared" si="103"/>
        <v>1.5185623951939158E-2</v>
      </c>
      <c r="AG2226" s="99">
        <f t="shared" si="104"/>
        <v>5.1130632097507317E-3</v>
      </c>
      <c r="AH2226" s="10" t="str">
        <f>IFERROR(VLOOKUP(B2226,'Pre-Summary'!$AZ$6:$BE$65,3,FALSE),"")</f>
        <v/>
      </c>
      <c r="AI2226" s="10" t="str">
        <f>IFERROR(VLOOKUP(B2226,'Pre-Summary'!$AZ$6:$BE$65,5,FALSE),"")</f>
        <v/>
      </c>
      <c r="AJ2226" s="10" t="str">
        <f>IFERROR(VLOOKUP(B2226,'Pre-Summary'!$AZ$6:$BE$65,4,FALSE),"")</f>
        <v/>
      </c>
      <c r="AK2226" s="10" t="str">
        <f>IFERROR(VLOOKUP(B2226,'Pre-Summary'!$AZ$6:$BE$65,6,FALSE),"")</f>
        <v/>
      </c>
      <c r="AL2226" s="10" t="str">
        <f>IFERROR(VLOOKUP(B2226,'Pre-Summary'!$BG$6:$BL$44,3,FALSE),"")</f>
        <v/>
      </c>
      <c r="AM2226" s="10" t="str">
        <f>IFERROR(VLOOKUP(B2226,'Pre-Summary'!$BG$6:$BL$44,4,FALSE),"")</f>
        <v/>
      </c>
    </row>
    <row r="2227" spans="2:39" ht="15" customHeight="1" x14ac:dyDescent="0.3">
      <c r="B2227">
        <v>222.4</v>
      </c>
      <c r="C2227" t="str">
        <f>IFERROR(VLOOKUP(B2227,'Pre-Summary'!$DI$6:$DM$23,4,FALSE),"")</f>
        <v/>
      </c>
      <c r="D2227" s="10" t="str">
        <f>IFERROR(VLOOKUP(B2227,'Pre-Summary'!$AT$6:$AX$14,5,FALSE),D2226)</f>
        <v>Wolfe v3: went back to modified wolfe + EDTA and switched CuSO4 to CUCl2</v>
      </c>
      <c r="E2227" s="10" t="str">
        <f>IFERROR(VLOOKUP(B2227,'Pre-Summary'!$AT$6:$AX$15,4,FALSE),"")</f>
        <v/>
      </c>
      <c r="F2227">
        <f>IFERROR(VLOOKUP(B2227,'Pre-Summary'!$AL$6:$AQ$13,6,FALSE),F2226)</f>
        <v>5.9405263157894746E-2</v>
      </c>
      <c r="G2227" t="str">
        <f>IFERROR(VLOOKUP(B2227,'Pre-Summary'!$AE$6:$AJ$85,3,FALSE),"")</f>
        <v/>
      </c>
      <c r="H2227" t="str">
        <f>IFERROR(VLOOKUP(B2227,'Pre-Summary'!$AE$6:$AJ$85,4,FALSE),"")</f>
        <v/>
      </c>
      <c r="I2227" t="str">
        <f>IFERROR(VLOOKUP(B2227,'Pre-Summary'!$AE$6:$AJ$85,5,FALSE),"")</f>
        <v/>
      </c>
      <c r="J2227" s="45" t="str">
        <f>IFERROR(VLOOKUP(B2227,'Pre-Summary'!$AE$6:$AJ$85,6, FALSE),"")</f>
        <v/>
      </c>
      <c r="K2227" s="45" t="str">
        <f>IFERROR(VLOOKUP(B2227,'Pre-Summary'!$DE$6:$DG$61,3,FALSE),"")</f>
        <v/>
      </c>
      <c r="L2227" s="45" t="str">
        <f>IFERROR(VLOOKUP(B2227,'Pre-Summary'!$CU$6:$CW$36,3,FALSE),"")</f>
        <v/>
      </c>
      <c r="M2227" s="45" t="str">
        <f>IFERROR(VLOOKUP(B2227,'Pre-Summary'!$BW$6:$BY$58,2,FALSE),"")</f>
        <v/>
      </c>
      <c r="N2227" s="45" t="str">
        <f>IFERROR(VLOOKUP(B2227,'Pre-Summary'!$CD$6:$CF$64,2,FALSE),"")</f>
        <v/>
      </c>
      <c r="O2227" s="99">
        <f>IFERROR(VLOOKUP(B2227,'Pre-Summary'!$BO$6:$BQ$48,3, FALSE),O2226)</f>
        <v>1.508</v>
      </c>
      <c r="P2227" s="99">
        <f>IFERROR(VLOOKUP(B2227,'Pre-Summary'!$BS$6:$BU$35,3,FALSE),P2226)</f>
        <v>0.379</v>
      </c>
      <c r="Q2227" s="54">
        <f t="shared" si="102"/>
        <v>3.9788918205804751</v>
      </c>
      <c r="R2227" s="53">
        <f>IFERROR(VLOOKUP(B2227,'Pre-Summary'!$BG$6:$BM$44,7,FALSE),R2228)</f>
        <v>9.7948682664336664E-2</v>
      </c>
      <c r="S2227" s="53">
        <f>IFERROR(VLOOKUP(B2227,'Pre-Summary'!$BG$6:$BM$44,6,FALSE),S2228)</f>
        <v>0.10614035087720526</v>
      </c>
      <c r="T2227" s="45" t="str">
        <f>IFERROR(VLOOKUP(B2227,'Pre-Summary'!$Y$6:$AC$83, 3,FALSE),"")</f>
        <v/>
      </c>
      <c r="U2227" s="45" t="str">
        <f>IFERROR(VLOOKUP(B2227,'Pre-Summary'!$Y$6:$AC$83, 4,FALSE),"")</f>
        <v/>
      </c>
      <c r="V2227" t="str">
        <f>IFERROR(VLOOKUP(B2227,'Pre-Summary'!$Y$6:$AC$83, 5,FALSE),"")</f>
        <v/>
      </c>
      <c r="W2227" s="45" t="str">
        <f>IFERROR(VLOOKUP(B2227,'Pre-Summary'!$Y$6:$AD$83,6,FALSE),"")</f>
        <v/>
      </c>
      <c r="X2227" t="str">
        <f>IFERROR(VLOOKUP('Pre-Summary'!$DB$6:$DD$63,3,FALSE),"")</f>
        <v/>
      </c>
      <c r="Y2227" t="str">
        <f>IFERROR(VLOOKUP(B2227,'Pre-Summary'!$CR$6:$CT$36,3,FALSE),"")</f>
        <v/>
      </c>
      <c r="Z2227" s="45" t="str">
        <f>IFERROR(VLOOKUP(B2227,'Pre-Summary'!$BZ$6:$CB$63,2,FALSE),"")</f>
        <v/>
      </c>
      <c r="AA2227" s="45" t="str">
        <f>IFERROR(VLOOKUP(B2227,'Pre-Summary'!$CG$6:$CI$70,2,FALSE),"")</f>
        <v/>
      </c>
      <c r="AB2227" s="99">
        <f>IFERROR(VLOOKUP(B2227,'Pre-Summary'!$A$6:$P$178,9,FALSE),AB2228)</f>
        <v>0.35465514391001818</v>
      </c>
      <c r="AC2227" s="10">
        <f>IFERROR(VLOOKUP(Summary!B2227,'Pre-Summary'!$A$6:$P$184,5, FALSE)/100,AC2228)</f>
        <v>0.94276500000000008</v>
      </c>
      <c r="AD2227" s="10">
        <f>IFERROR(VLOOKUP(Summary!B2227,'Pre-Summary'!$A$6:$P$184,3, FALSE)/100,AD2228)</f>
        <v>4.2818000000000002E-2</v>
      </c>
      <c r="AE2227" s="10">
        <f>IFERROR(VLOOKUP(Summary!B2227,'Pre-Summary'!$A$6:$P$184,7, FALSE)/100,AE2228)</f>
        <v>1.4416999999999999E-2</v>
      </c>
      <c r="AF2227" s="99">
        <f t="shared" si="103"/>
        <v>1.5185623951939158E-2</v>
      </c>
      <c r="AG2227" s="99">
        <f t="shared" si="104"/>
        <v>5.1130632097507317E-3</v>
      </c>
      <c r="AH2227" s="10" t="str">
        <f>IFERROR(VLOOKUP(B2227,'Pre-Summary'!$AZ$6:$BE$65,3,FALSE),"")</f>
        <v/>
      </c>
      <c r="AI2227" s="10" t="str">
        <f>IFERROR(VLOOKUP(B2227,'Pre-Summary'!$AZ$6:$BE$65,5,FALSE),"")</f>
        <v/>
      </c>
      <c r="AJ2227" s="10" t="str">
        <f>IFERROR(VLOOKUP(B2227,'Pre-Summary'!$AZ$6:$BE$65,4,FALSE),"")</f>
        <v/>
      </c>
      <c r="AK2227" s="10" t="str">
        <f>IFERROR(VLOOKUP(B2227,'Pre-Summary'!$AZ$6:$BE$65,6,FALSE),"")</f>
        <v/>
      </c>
      <c r="AL2227" s="10" t="str">
        <f>IFERROR(VLOOKUP(B2227,'Pre-Summary'!$BG$6:$BL$44,3,FALSE),"")</f>
        <v/>
      </c>
      <c r="AM2227" s="10" t="str">
        <f>IFERROR(VLOOKUP(B2227,'Pre-Summary'!$BG$6:$BL$44,4,FALSE),"")</f>
        <v/>
      </c>
    </row>
    <row r="2228" spans="2:39" ht="15" customHeight="1" x14ac:dyDescent="0.3">
      <c r="B2228">
        <v>222.5</v>
      </c>
      <c r="C2228" t="str">
        <f>IFERROR(VLOOKUP(B2228,'Pre-Summary'!$DI$6:$DM$23,4,FALSE),"")</f>
        <v/>
      </c>
      <c r="D2228" s="10" t="str">
        <f>IFERROR(VLOOKUP(B2228,'Pre-Summary'!$AT$6:$AX$14,5,FALSE),D2227)</f>
        <v>Wolfe v3: went back to modified wolfe + EDTA and switched CuSO4 to CUCl2</v>
      </c>
      <c r="E2228" s="10" t="str">
        <f>IFERROR(VLOOKUP(B2228,'Pre-Summary'!$AT$6:$AX$15,4,FALSE),"")</f>
        <v/>
      </c>
      <c r="F2228">
        <f>IFERROR(VLOOKUP(B2228,'Pre-Summary'!$AL$6:$AQ$13,6,FALSE),F2227)</f>
        <v>5.9405263157894746E-2</v>
      </c>
      <c r="G2228" t="str">
        <f>IFERROR(VLOOKUP(B2228,'Pre-Summary'!$AE$6:$AJ$85,3,FALSE),"")</f>
        <v/>
      </c>
      <c r="H2228" t="str">
        <f>IFERROR(VLOOKUP(B2228,'Pre-Summary'!$AE$6:$AJ$85,4,FALSE),"")</f>
        <v/>
      </c>
      <c r="I2228" t="str">
        <f>IFERROR(VLOOKUP(B2228,'Pre-Summary'!$AE$6:$AJ$85,5,FALSE),"")</f>
        <v/>
      </c>
      <c r="J2228" s="45" t="str">
        <f>IFERROR(VLOOKUP(B2228,'Pre-Summary'!$AE$6:$AJ$85,6, FALSE),"")</f>
        <v/>
      </c>
      <c r="K2228" s="45" t="str">
        <f>IFERROR(VLOOKUP(B2228,'Pre-Summary'!$DE$6:$DG$61,3,FALSE),"")</f>
        <v/>
      </c>
      <c r="L2228" s="45" t="str">
        <f>IFERROR(VLOOKUP(B2228,'Pre-Summary'!$CU$6:$CW$36,3,FALSE),"")</f>
        <v/>
      </c>
      <c r="M2228" s="45" t="str">
        <f>IFERROR(VLOOKUP(B2228,'Pre-Summary'!$BW$6:$BY$58,2,FALSE),"")</f>
        <v/>
      </c>
      <c r="N2228" s="45" t="str">
        <f>IFERROR(VLOOKUP(B2228,'Pre-Summary'!$CD$6:$CF$64,2,FALSE),"")</f>
        <v/>
      </c>
      <c r="O2228" s="99">
        <f>IFERROR(VLOOKUP(B2228,'Pre-Summary'!$BO$6:$BQ$48,3, FALSE),O2227)</f>
        <v>1.508</v>
      </c>
      <c r="P2228" s="99">
        <f>IFERROR(VLOOKUP(B2228,'Pre-Summary'!$BS$6:$BU$35,3,FALSE),P2227)</f>
        <v>0.379</v>
      </c>
      <c r="Q2228" s="54">
        <f t="shared" si="102"/>
        <v>3.9788918205804751</v>
      </c>
      <c r="R2228" s="53">
        <f>IFERROR(VLOOKUP(B2228,'Pre-Summary'!$BG$6:$BM$44,7,FALSE),R2229)</f>
        <v>9.7948682664336664E-2</v>
      </c>
      <c r="S2228" s="53">
        <f>IFERROR(VLOOKUP(B2228,'Pre-Summary'!$BG$6:$BM$44,6,FALSE),S2229)</f>
        <v>0.10614035087720526</v>
      </c>
      <c r="T2228" s="45" t="str">
        <f>IFERROR(VLOOKUP(B2228,'Pre-Summary'!$Y$6:$AC$83, 3,FALSE),"")</f>
        <v/>
      </c>
      <c r="U2228" s="45" t="str">
        <f>IFERROR(VLOOKUP(B2228,'Pre-Summary'!$Y$6:$AC$83, 4,FALSE),"")</f>
        <v/>
      </c>
      <c r="V2228" t="str">
        <f>IFERROR(VLOOKUP(B2228,'Pre-Summary'!$Y$6:$AC$83, 5,FALSE),"")</f>
        <v/>
      </c>
      <c r="W2228" s="45" t="str">
        <f>IFERROR(VLOOKUP(B2228,'Pre-Summary'!$Y$6:$AD$83,6,FALSE),"")</f>
        <v/>
      </c>
      <c r="X2228" t="str">
        <f>IFERROR(VLOOKUP('Pre-Summary'!$DB$6:$DD$63,3,FALSE),"")</f>
        <v/>
      </c>
      <c r="Y2228" t="str">
        <f>IFERROR(VLOOKUP(B2228,'Pre-Summary'!$CR$6:$CT$36,3,FALSE),"")</f>
        <v/>
      </c>
      <c r="Z2228" s="45" t="str">
        <f>IFERROR(VLOOKUP(B2228,'Pre-Summary'!$BZ$6:$CB$63,2,FALSE),"")</f>
        <v/>
      </c>
      <c r="AA2228" s="45" t="str">
        <f>IFERROR(VLOOKUP(B2228,'Pre-Summary'!$CG$6:$CI$70,2,FALSE),"")</f>
        <v/>
      </c>
      <c r="AB2228" s="99">
        <f>IFERROR(VLOOKUP(B2228,'Pre-Summary'!$A$6:$P$178,9,FALSE),AB2229)</f>
        <v>0.35465514391001818</v>
      </c>
      <c r="AC2228" s="10">
        <f>IFERROR(VLOOKUP(Summary!B2228,'Pre-Summary'!$A$6:$P$184,5, FALSE)/100,AC2229)</f>
        <v>0.94276500000000008</v>
      </c>
      <c r="AD2228" s="10">
        <f>IFERROR(VLOOKUP(Summary!B2228,'Pre-Summary'!$A$6:$P$184,3, FALSE)/100,AD2229)</f>
        <v>4.2818000000000002E-2</v>
      </c>
      <c r="AE2228" s="10">
        <f>IFERROR(VLOOKUP(Summary!B2228,'Pre-Summary'!$A$6:$P$184,7, FALSE)/100,AE2229)</f>
        <v>1.4416999999999999E-2</v>
      </c>
      <c r="AF2228" s="99">
        <f t="shared" si="103"/>
        <v>1.5185623951939158E-2</v>
      </c>
      <c r="AG2228" s="99">
        <f t="shared" si="104"/>
        <v>5.1130632097507317E-3</v>
      </c>
      <c r="AH2228" s="10" t="str">
        <f>IFERROR(VLOOKUP(B2228,'Pre-Summary'!$AZ$6:$BE$65,3,FALSE),"")</f>
        <v/>
      </c>
      <c r="AI2228" s="10" t="str">
        <f>IFERROR(VLOOKUP(B2228,'Pre-Summary'!$AZ$6:$BE$65,5,FALSE),"")</f>
        <v/>
      </c>
      <c r="AJ2228" s="10" t="str">
        <f>IFERROR(VLOOKUP(B2228,'Pre-Summary'!$AZ$6:$BE$65,4,FALSE),"")</f>
        <v/>
      </c>
      <c r="AK2228" s="10" t="str">
        <f>IFERROR(VLOOKUP(B2228,'Pre-Summary'!$AZ$6:$BE$65,6,FALSE),"")</f>
        <v/>
      </c>
      <c r="AL2228" s="10" t="str">
        <f>IFERROR(VLOOKUP(B2228,'Pre-Summary'!$BG$6:$BL$44,3,FALSE),"")</f>
        <v/>
      </c>
      <c r="AM2228" s="10" t="str">
        <f>IFERROR(VLOOKUP(B2228,'Pre-Summary'!$BG$6:$BL$44,4,FALSE),"")</f>
        <v/>
      </c>
    </row>
    <row r="2229" spans="2:39" ht="15" customHeight="1" x14ac:dyDescent="0.3">
      <c r="B2229">
        <v>222.6</v>
      </c>
      <c r="C2229" t="str">
        <f>IFERROR(VLOOKUP(B2229,'Pre-Summary'!$DI$6:$DM$23,4,FALSE),"")</f>
        <v/>
      </c>
      <c r="D2229" s="10" t="str">
        <f>IFERROR(VLOOKUP(B2229,'Pre-Summary'!$AT$6:$AX$14,5,FALSE),D2228)</f>
        <v>Wolfe v3: went back to modified wolfe + EDTA and switched CuSO4 to CUCl2</v>
      </c>
      <c r="E2229" s="10" t="str">
        <f>IFERROR(VLOOKUP(B2229,'Pre-Summary'!$AT$6:$AX$15,4,FALSE),"")</f>
        <v/>
      </c>
      <c r="F2229">
        <f>IFERROR(VLOOKUP(B2229,'Pre-Summary'!$AL$6:$AQ$13,6,FALSE),F2228)</f>
        <v>5.9405263157894746E-2</v>
      </c>
      <c r="G2229" t="str">
        <f>IFERROR(VLOOKUP(B2229,'Pre-Summary'!$AE$6:$AJ$85,3,FALSE),"")</f>
        <v/>
      </c>
      <c r="H2229" t="str">
        <f>IFERROR(VLOOKUP(B2229,'Pre-Summary'!$AE$6:$AJ$85,4,FALSE),"")</f>
        <v/>
      </c>
      <c r="I2229" t="str">
        <f>IFERROR(VLOOKUP(B2229,'Pre-Summary'!$AE$6:$AJ$85,5,FALSE),"")</f>
        <v/>
      </c>
      <c r="J2229" s="45" t="str">
        <f>IFERROR(VLOOKUP(B2229,'Pre-Summary'!$AE$6:$AJ$85,6, FALSE),"")</f>
        <v/>
      </c>
      <c r="K2229" s="45" t="str">
        <f>IFERROR(VLOOKUP(B2229,'Pre-Summary'!$DE$6:$DG$61,3,FALSE),"")</f>
        <v/>
      </c>
      <c r="L2229" s="45" t="str">
        <f>IFERROR(VLOOKUP(B2229,'Pre-Summary'!$CU$6:$CW$36,3,FALSE),"")</f>
        <v/>
      </c>
      <c r="M2229" s="45" t="str">
        <f>IFERROR(VLOOKUP(B2229,'Pre-Summary'!$BW$6:$BY$58,2,FALSE),"")</f>
        <v/>
      </c>
      <c r="N2229" s="45" t="str">
        <f>IFERROR(VLOOKUP(B2229,'Pre-Summary'!$CD$6:$CF$64,2,FALSE),"")</f>
        <v/>
      </c>
      <c r="O2229" s="99">
        <f>IFERROR(VLOOKUP(B2229,'Pre-Summary'!$BO$6:$BQ$48,3, FALSE),O2228)</f>
        <v>1.508</v>
      </c>
      <c r="P2229" s="99">
        <f>IFERROR(VLOOKUP(B2229,'Pre-Summary'!$BS$6:$BU$35,3,FALSE),P2228)</f>
        <v>0.379</v>
      </c>
      <c r="Q2229" s="54">
        <f t="shared" si="102"/>
        <v>3.9788918205804751</v>
      </c>
      <c r="R2229" s="53">
        <f>IFERROR(VLOOKUP(B2229,'Pre-Summary'!$BG$6:$BM$44,7,FALSE),R2230)</f>
        <v>9.7948682664336664E-2</v>
      </c>
      <c r="S2229" s="53">
        <f>IFERROR(VLOOKUP(B2229,'Pre-Summary'!$BG$6:$BM$44,6,FALSE),S2230)</f>
        <v>0.10614035087720526</v>
      </c>
      <c r="T2229" s="45" t="str">
        <f>IFERROR(VLOOKUP(B2229,'Pre-Summary'!$Y$6:$AC$83, 3,FALSE),"")</f>
        <v/>
      </c>
      <c r="U2229" s="45" t="str">
        <f>IFERROR(VLOOKUP(B2229,'Pre-Summary'!$Y$6:$AC$83, 4,FALSE),"")</f>
        <v/>
      </c>
      <c r="V2229" t="str">
        <f>IFERROR(VLOOKUP(B2229,'Pre-Summary'!$Y$6:$AC$83, 5,FALSE),"")</f>
        <v/>
      </c>
      <c r="W2229" s="45" t="str">
        <f>IFERROR(VLOOKUP(B2229,'Pre-Summary'!$Y$6:$AD$83,6,FALSE),"")</f>
        <v/>
      </c>
      <c r="X2229" t="str">
        <f>IFERROR(VLOOKUP('Pre-Summary'!$DB$6:$DD$63,3,FALSE),"")</f>
        <v/>
      </c>
      <c r="Y2229" t="str">
        <f>IFERROR(VLOOKUP(B2229,'Pre-Summary'!$CR$6:$CT$36,3,FALSE),"")</f>
        <v/>
      </c>
      <c r="Z2229" s="45" t="str">
        <f>IFERROR(VLOOKUP(B2229,'Pre-Summary'!$BZ$6:$CB$63,2,FALSE),"")</f>
        <v/>
      </c>
      <c r="AA2229" s="45" t="str">
        <f>IFERROR(VLOOKUP(B2229,'Pre-Summary'!$CG$6:$CI$70,2,FALSE),"")</f>
        <v/>
      </c>
      <c r="AB2229" s="99">
        <f>IFERROR(VLOOKUP(B2229,'Pre-Summary'!$A$6:$P$178,9,FALSE),AB2230)</f>
        <v>0.35465514391001818</v>
      </c>
      <c r="AC2229" s="10">
        <f>IFERROR(VLOOKUP(Summary!B2229,'Pre-Summary'!$A$6:$P$184,5, FALSE)/100,AC2230)</f>
        <v>0.94276500000000008</v>
      </c>
      <c r="AD2229" s="10">
        <f>IFERROR(VLOOKUP(Summary!B2229,'Pre-Summary'!$A$6:$P$184,3, FALSE)/100,AD2230)</f>
        <v>4.2818000000000002E-2</v>
      </c>
      <c r="AE2229" s="10">
        <f>IFERROR(VLOOKUP(Summary!B2229,'Pre-Summary'!$A$6:$P$184,7, FALSE)/100,AE2230)</f>
        <v>1.4416999999999999E-2</v>
      </c>
      <c r="AF2229" s="99">
        <f t="shared" si="103"/>
        <v>1.5185623951939158E-2</v>
      </c>
      <c r="AG2229" s="99">
        <f t="shared" si="104"/>
        <v>5.1130632097507317E-3</v>
      </c>
      <c r="AH2229" s="10" t="str">
        <f>IFERROR(VLOOKUP(B2229,'Pre-Summary'!$AZ$6:$BE$65,3,FALSE),"")</f>
        <v/>
      </c>
      <c r="AI2229" s="10" t="str">
        <f>IFERROR(VLOOKUP(B2229,'Pre-Summary'!$AZ$6:$BE$65,5,FALSE),"")</f>
        <v/>
      </c>
      <c r="AJ2229" s="10" t="str">
        <f>IFERROR(VLOOKUP(B2229,'Pre-Summary'!$AZ$6:$BE$65,4,FALSE),"")</f>
        <v/>
      </c>
      <c r="AK2229" s="10" t="str">
        <f>IFERROR(VLOOKUP(B2229,'Pre-Summary'!$AZ$6:$BE$65,6,FALSE),"")</f>
        <v/>
      </c>
      <c r="AL2229" s="10" t="str">
        <f>IFERROR(VLOOKUP(B2229,'Pre-Summary'!$BG$6:$BL$44,3,FALSE),"")</f>
        <v/>
      </c>
      <c r="AM2229" s="10" t="str">
        <f>IFERROR(VLOOKUP(B2229,'Pre-Summary'!$BG$6:$BL$44,4,FALSE),"")</f>
        <v/>
      </c>
    </row>
    <row r="2230" spans="2:39" ht="15" customHeight="1" x14ac:dyDescent="0.3">
      <c r="B2230">
        <v>222.7</v>
      </c>
      <c r="C2230" t="str">
        <f>IFERROR(VLOOKUP(B2230,'Pre-Summary'!$DI$6:$DM$23,4,FALSE),"")</f>
        <v/>
      </c>
      <c r="D2230" s="10" t="str">
        <f>IFERROR(VLOOKUP(B2230,'Pre-Summary'!$AT$6:$AX$14,5,FALSE),D2229)</f>
        <v>Wolfe v3: went back to modified wolfe + EDTA and switched CuSO4 to CUCl2</v>
      </c>
      <c r="E2230" s="10" t="str">
        <f>IFERROR(VLOOKUP(B2230,'Pre-Summary'!$AT$6:$AX$15,4,FALSE),"")</f>
        <v/>
      </c>
      <c r="F2230">
        <f>IFERROR(VLOOKUP(B2230,'Pre-Summary'!$AL$6:$AQ$13,6,FALSE),F2229)</f>
        <v>5.9405263157894746E-2</v>
      </c>
      <c r="G2230" t="str">
        <f>IFERROR(VLOOKUP(B2230,'Pre-Summary'!$AE$6:$AJ$85,3,FALSE),"")</f>
        <v/>
      </c>
      <c r="H2230" t="str">
        <f>IFERROR(VLOOKUP(B2230,'Pre-Summary'!$AE$6:$AJ$85,4,FALSE),"")</f>
        <v/>
      </c>
      <c r="I2230" t="str">
        <f>IFERROR(VLOOKUP(B2230,'Pre-Summary'!$AE$6:$AJ$85,5,FALSE),"")</f>
        <v/>
      </c>
      <c r="J2230" s="45" t="str">
        <f>IFERROR(VLOOKUP(B2230,'Pre-Summary'!$AE$6:$AJ$85,6, FALSE),"")</f>
        <v/>
      </c>
      <c r="K2230" s="45" t="str">
        <f>IFERROR(VLOOKUP(B2230,'Pre-Summary'!$DE$6:$DG$61,3,FALSE),"")</f>
        <v/>
      </c>
      <c r="L2230" s="45" t="str">
        <f>IFERROR(VLOOKUP(B2230,'Pre-Summary'!$CU$6:$CW$36,3,FALSE),"")</f>
        <v/>
      </c>
      <c r="M2230" s="45" t="str">
        <f>IFERROR(VLOOKUP(B2230,'Pre-Summary'!$BW$6:$BY$58,2,FALSE),"")</f>
        <v/>
      </c>
      <c r="N2230" s="45" t="str">
        <f>IFERROR(VLOOKUP(B2230,'Pre-Summary'!$CD$6:$CF$64,2,FALSE),"")</f>
        <v/>
      </c>
      <c r="O2230" s="99">
        <f>IFERROR(VLOOKUP(B2230,'Pre-Summary'!$BO$6:$BQ$48,3, FALSE),O2229)</f>
        <v>1.508</v>
      </c>
      <c r="P2230" s="99">
        <f>IFERROR(VLOOKUP(B2230,'Pre-Summary'!$BS$6:$BU$35,3,FALSE),P2229)</f>
        <v>0.379</v>
      </c>
      <c r="Q2230" s="54">
        <f t="shared" si="102"/>
        <v>3.9788918205804751</v>
      </c>
      <c r="R2230" s="53">
        <f>IFERROR(VLOOKUP(B2230,'Pre-Summary'!$BG$6:$BM$44,7,FALSE),R2231)</f>
        <v>9.7948682664336664E-2</v>
      </c>
      <c r="S2230" s="53">
        <f>IFERROR(VLOOKUP(B2230,'Pre-Summary'!$BG$6:$BM$44,6,FALSE),S2231)</f>
        <v>0.10614035087720526</v>
      </c>
      <c r="T2230" s="45" t="str">
        <f>IFERROR(VLOOKUP(B2230,'Pre-Summary'!$Y$6:$AC$83, 3,FALSE),"")</f>
        <v/>
      </c>
      <c r="U2230" s="45" t="str">
        <f>IFERROR(VLOOKUP(B2230,'Pre-Summary'!$Y$6:$AC$83, 4,FALSE),"")</f>
        <v/>
      </c>
      <c r="V2230" t="str">
        <f>IFERROR(VLOOKUP(B2230,'Pre-Summary'!$Y$6:$AC$83, 5,FALSE),"")</f>
        <v/>
      </c>
      <c r="W2230" s="45" t="str">
        <f>IFERROR(VLOOKUP(B2230,'Pre-Summary'!$Y$6:$AD$83,6,FALSE),"")</f>
        <v/>
      </c>
      <c r="X2230" t="str">
        <f>IFERROR(VLOOKUP('Pre-Summary'!$DB$6:$DD$63,3,FALSE),"")</f>
        <v/>
      </c>
      <c r="Y2230" t="str">
        <f>IFERROR(VLOOKUP(B2230,'Pre-Summary'!$CR$6:$CT$36,3,FALSE),"")</f>
        <v/>
      </c>
      <c r="Z2230" s="45" t="str">
        <f>IFERROR(VLOOKUP(B2230,'Pre-Summary'!$BZ$6:$CB$63,2,FALSE),"")</f>
        <v/>
      </c>
      <c r="AA2230" s="45" t="str">
        <f>IFERROR(VLOOKUP(B2230,'Pre-Summary'!$CG$6:$CI$70,2,FALSE),"")</f>
        <v/>
      </c>
      <c r="AB2230" s="99">
        <f>IFERROR(VLOOKUP(B2230,'Pre-Summary'!$A$6:$P$178,9,FALSE),AB2231)</f>
        <v>0.35465514391001818</v>
      </c>
      <c r="AC2230" s="10">
        <f>IFERROR(VLOOKUP(Summary!B2230,'Pre-Summary'!$A$6:$P$184,5, FALSE)/100,AC2231)</f>
        <v>0.94276500000000008</v>
      </c>
      <c r="AD2230" s="10">
        <f>IFERROR(VLOOKUP(Summary!B2230,'Pre-Summary'!$A$6:$P$184,3, FALSE)/100,AD2231)</f>
        <v>4.2818000000000002E-2</v>
      </c>
      <c r="AE2230" s="10">
        <f>IFERROR(VLOOKUP(Summary!B2230,'Pre-Summary'!$A$6:$P$184,7, FALSE)/100,AE2231)</f>
        <v>1.4416999999999999E-2</v>
      </c>
      <c r="AF2230" s="99">
        <f t="shared" si="103"/>
        <v>1.5185623951939158E-2</v>
      </c>
      <c r="AG2230" s="99">
        <f t="shared" si="104"/>
        <v>5.1130632097507317E-3</v>
      </c>
      <c r="AH2230" s="10" t="str">
        <f>IFERROR(VLOOKUP(B2230,'Pre-Summary'!$AZ$6:$BE$65,3,FALSE),"")</f>
        <v/>
      </c>
      <c r="AI2230" s="10" t="str">
        <f>IFERROR(VLOOKUP(B2230,'Pre-Summary'!$AZ$6:$BE$65,5,FALSE),"")</f>
        <v/>
      </c>
      <c r="AJ2230" s="10" t="str">
        <f>IFERROR(VLOOKUP(B2230,'Pre-Summary'!$AZ$6:$BE$65,4,FALSE),"")</f>
        <v/>
      </c>
      <c r="AK2230" s="10" t="str">
        <f>IFERROR(VLOOKUP(B2230,'Pre-Summary'!$AZ$6:$BE$65,6,FALSE),"")</f>
        <v/>
      </c>
      <c r="AL2230" s="10" t="str">
        <f>IFERROR(VLOOKUP(B2230,'Pre-Summary'!$BG$6:$BL$44,3,FALSE),"")</f>
        <v/>
      </c>
      <c r="AM2230" s="10" t="str">
        <f>IFERROR(VLOOKUP(B2230,'Pre-Summary'!$BG$6:$BL$44,4,FALSE),"")</f>
        <v/>
      </c>
    </row>
    <row r="2231" spans="2:39" ht="15" customHeight="1" x14ac:dyDescent="0.3">
      <c r="B2231">
        <v>222.8</v>
      </c>
      <c r="C2231" t="str">
        <f>IFERROR(VLOOKUP(B2231,'Pre-Summary'!$DI$6:$DM$23,4,FALSE),"")</f>
        <v/>
      </c>
      <c r="D2231" s="10" t="str">
        <f>IFERROR(VLOOKUP(B2231,'Pre-Summary'!$AT$6:$AX$14,5,FALSE),D2230)</f>
        <v>Wolfe v3: went back to modified wolfe + EDTA and switched CuSO4 to CUCl2</v>
      </c>
      <c r="E2231" s="10" t="str">
        <f>IFERROR(VLOOKUP(B2231,'Pre-Summary'!$AT$6:$AX$15,4,FALSE),"")</f>
        <v/>
      </c>
      <c r="F2231">
        <f>IFERROR(VLOOKUP(B2231,'Pre-Summary'!$AL$6:$AQ$13,6,FALSE),F2230)</f>
        <v>5.9405263157894746E-2</v>
      </c>
      <c r="G2231" t="str">
        <f>IFERROR(VLOOKUP(B2231,'Pre-Summary'!$AE$6:$AJ$85,3,FALSE),"")</f>
        <v/>
      </c>
      <c r="H2231" t="str">
        <f>IFERROR(VLOOKUP(B2231,'Pre-Summary'!$AE$6:$AJ$85,4,FALSE),"")</f>
        <v/>
      </c>
      <c r="I2231" t="str">
        <f>IFERROR(VLOOKUP(B2231,'Pre-Summary'!$AE$6:$AJ$85,5,FALSE),"")</f>
        <v/>
      </c>
      <c r="J2231" s="45" t="str">
        <f>IFERROR(VLOOKUP(B2231,'Pre-Summary'!$AE$6:$AJ$85,6, FALSE),"")</f>
        <v/>
      </c>
      <c r="K2231" s="45" t="str">
        <f>IFERROR(VLOOKUP(B2231,'Pre-Summary'!$DE$6:$DG$61,3,FALSE),"")</f>
        <v/>
      </c>
      <c r="L2231" s="45" t="str">
        <f>IFERROR(VLOOKUP(B2231,'Pre-Summary'!$CU$6:$CW$36,3,FALSE),"")</f>
        <v/>
      </c>
      <c r="M2231" s="45" t="str">
        <f>IFERROR(VLOOKUP(B2231,'Pre-Summary'!$BW$6:$BY$58,2,FALSE),"")</f>
        <v/>
      </c>
      <c r="N2231" s="45" t="str">
        <f>IFERROR(VLOOKUP(B2231,'Pre-Summary'!$CD$6:$CF$64,2,FALSE),"")</f>
        <v/>
      </c>
      <c r="O2231" s="99">
        <f>IFERROR(VLOOKUP(B2231,'Pre-Summary'!$BO$6:$BQ$48,3, FALSE),O2230)</f>
        <v>1.508</v>
      </c>
      <c r="P2231" s="99">
        <f>IFERROR(VLOOKUP(B2231,'Pre-Summary'!$BS$6:$BU$35,3,FALSE),P2230)</f>
        <v>0.379</v>
      </c>
      <c r="Q2231" s="54">
        <f t="shared" si="102"/>
        <v>3.9788918205804751</v>
      </c>
      <c r="R2231" s="53">
        <f>IFERROR(VLOOKUP(B2231,'Pre-Summary'!$BG$6:$BM$44,7,FALSE),R2232)</f>
        <v>9.7948682664336664E-2</v>
      </c>
      <c r="S2231" s="53">
        <f>IFERROR(VLOOKUP(B2231,'Pre-Summary'!$BG$6:$BM$44,6,FALSE),S2232)</f>
        <v>0.10614035087720526</v>
      </c>
      <c r="T2231" s="45" t="str">
        <f>IFERROR(VLOOKUP(B2231,'Pre-Summary'!$Y$6:$AC$83, 3,FALSE),"")</f>
        <v/>
      </c>
      <c r="U2231" s="45" t="str">
        <f>IFERROR(VLOOKUP(B2231,'Pre-Summary'!$Y$6:$AC$83, 4,FALSE),"")</f>
        <v/>
      </c>
      <c r="V2231" t="str">
        <f>IFERROR(VLOOKUP(B2231,'Pre-Summary'!$Y$6:$AC$83, 5,FALSE),"")</f>
        <v/>
      </c>
      <c r="W2231" s="45" t="str">
        <f>IFERROR(VLOOKUP(B2231,'Pre-Summary'!$Y$6:$AD$83,6,FALSE),"")</f>
        <v/>
      </c>
      <c r="X2231" t="str">
        <f>IFERROR(VLOOKUP('Pre-Summary'!$DB$6:$DD$63,3,FALSE),"")</f>
        <v/>
      </c>
      <c r="Y2231" t="str">
        <f>IFERROR(VLOOKUP(B2231,'Pre-Summary'!$CR$6:$CT$36,3,FALSE),"")</f>
        <v/>
      </c>
      <c r="Z2231" s="45" t="str">
        <f>IFERROR(VLOOKUP(B2231,'Pre-Summary'!$BZ$6:$CB$63,2,FALSE),"")</f>
        <v/>
      </c>
      <c r="AA2231" s="45" t="str">
        <f>IFERROR(VLOOKUP(B2231,'Pre-Summary'!$CG$6:$CI$70,2,FALSE),"")</f>
        <v/>
      </c>
      <c r="AB2231" s="99">
        <f>IFERROR(VLOOKUP(B2231,'Pre-Summary'!$A$6:$P$178,9,FALSE),AB2232)</f>
        <v>0.35465514391001818</v>
      </c>
      <c r="AC2231" s="10">
        <f>IFERROR(VLOOKUP(Summary!B2231,'Pre-Summary'!$A$6:$P$184,5, FALSE)/100,AC2232)</f>
        <v>0.94276500000000008</v>
      </c>
      <c r="AD2231" s="10">
        <f>IFERROR(VLOOKUP(Summary!B2231,'Pre-Summary'!$A$6:$P$184,3, FALSE)/100,AD2232)</f>
        <v>4.2818000000000002E-2</v>
      </c>
      <c r="AE2231" s="10">
        <f>IFERROR(VLOOKUP(Summary!B2231,'Pre-Summary'!$A$6:$P$184,7, FALSE)/100,AE2232)</f>
        <v>1.4416999999999999E-2</v>
      </c>
      <c r="AF2231" s="99">
        <f t="shared" si="103"/>
        <v>1.5185623951939158E-2</v>
      </c>
      <c r="AG2231" s="99">
        <f t="shared" si="104"/>
        <v>5.1130632097507317E-3</v>
      </c>
      <c r="AH2231" s="10" t="str">
        <f>IFERROR(VLOOKUP(B2231,'Pre-Summary'!$AZ$6:$BE$65,3,FALSE),"")</f>
        <v/>
      </c>
      <c r="AI2231" s="10" t="str">
        <f>IFERROR(VLOOKUP(B2231,'Pre-Summary'!$AZ$6:$BE$65,5,FALSE),"")</f>
        <v/>
      </c>
      <c r="AJ2231" s="10" t="str">
        <f>IFERROR(VLOOKUP(B2231,'Pre-Summary'!$AZ$6:$BE$65,4,FALSE),"")</f>
        <v/>
      </c>
      <c r="AK2231" s="10" t="str">
        <f>IFERROR(VLOOKUP(B2231,'Pre-Summary'!$AZ$6:$BE$65,6,FALSE),"")</f>
        <v/>
      </c>
      <c r="AL2231" s="10" t="str">
        <f>IFERROR(VLOOKUP(B2231,'Pre-Summary'!$BG$6:$BL$44,3,FALSE),"")</f>
        <v/>
      </c>
      <c r="AM2231" s="10" t="str">
        <f>IFERROR(VLOOKUP(B2231,'Pre-Summary'!$BG$6:$BL$44,4,FALSE),"")</f>
        <v/>
      </c>
    </row>
    <row r="2232" spans="2:39" ht="15" customHeight="1" x14ac:dyDescent="0.3">
      <c r="B2232">
        <v>222.9</v>
      </c>
      <c r="C2232" t="str">
        <f>IFERROR(VLOOKUP(B2232,'Pre-Summary'!$DI$6:$DM$23,4,FALSE),"")</f>
        <v/>
      </c>
      <c r="D2232" s="10" t="str">
        <f>IFERROR(VLOOKUP(B2232,'Pre-Summary'!$AT$6:$AX$14,5,FALSE),D2231)</f>
        <v>Wolfe v3: went back to modified wolfe + EDTA and switched CuSO4 to CUCl2</v>
      </c>
      <c r="E2232" s="10" t="str">
        <f>IFERROR(VLOOKUP(B2232,'Pre-Summary'!$AT$6:$AX$15,4,FALSE),"")</f>
        <v/>
      </c>
      <c r="F2232">
        <f>IFERROR(VLOOKUP(B2232,'Pre-Summary'!$AL$6:$AQ$13,6,FALSE),F2231)</f>
        <v>5.9405263157894746E-2</v>
      </c>
      <c r="G2232" t="str">
        <f>IFERROR(VLOOKUP(B2232,'Pre-Summary'!$AE$6:$AJ$85,3,FALSE),"")</f>
        <v/>
      </c>
      <c r="H2232" t="str">
        <f>IFERROR(VLOOKUP(B2232,'Pre-Summary'!$AE$6:$AJ$85,4,FALSE),"")</f>
        <v/>
      </c>
      <c r="I2232" t="str">
        <f>IFERROR(VLOOKUP(B2232,'Pre-Summary'!$AE$6:$AJ$85,5,FALSE),"")</f>
        <v/>
      </c>
      <c r="J2232" s="45" t="str">
        <f>IFERROR(VLOOKUP(B2232,'Pre-Summary'!$AE$6:$AJ$85,6, FALSE),"")</f>
        <v/>
      </c>
      <c r="K2232" s="45" t="str">
        <f>IFERROR(VLOOKUP(B2232,'Pre-Summary'!$DE$6:$DG$61,3,FALSE),"")</f>
        <v/>
      </c>
      <c r="L2232" s="45" t="str">
        <f>IFERROR(VLOOKUP(B2232,'Pre-Summary'!$CU$6:$CW$36,3,FALSE),"")</f>
        <v/>
      </c>
      <c r="M2232" s="45" t="str">
        <f>IFERROR(VLOOKUP(B2232,'Pre-Summary'!$BW$6:$BY$58,2,FALSE),"")</f>
        <v/>
      </c>
      <c r="N2232" s="45" t="str">
        <f>IFERROR(VLOOKUP(B2232,'Pre-Summary'!$CD$6:$CF$64,2,FALSE),"")</f>
        <v/>
      </c>
      <c r="O2232" s="99">
        <f>IFERROR(VLOOKUP(B2232,'Pre-Summary'!$BO$6:$BQ$48,3, FALSE),O2231)</f>
        <v>1.508</v>
      </c>
      <c r="P2232" s="99">
        <f>IFERROR(VLOOKUP(B2232,'Pre-Summary'!$BS$6:$BU$35,3,FALSE),P2231)</f>
        <v>0.379</v>
      </c>
      <c r="Q2232" s="54">
        <f t="shared" si="102"/>
        <v>3.9788918205804751</v>
      </c>
      <c r="R2232" s="53">
        <f>IFERROR(VLOOKUP(B2232,'Pre-Summary'!$BG$6:$BM$44,7,FALSE),R2233)</f>
        <v>9.7948682664336664E-2</v>
      </c>
      <c r="S2232" s="53">
        <f>IFERROR(VLOOKUP(B2232,'Pre-Summary'!$BG$6:$BM$44,6,FALSE),S2233)</f>
        <v>0.10614035087720526</v>
      </c>
      <c r="T2232" s="45" t="str">
        <f>IFERROR(VLOOKUP(B2232,'Pre-Summary'!$Y$6:$AC$83, 3,FALSE),"")</f>
        <v/>
      </c>
      <c r="U2232" s="45" t="str">
        <f>IFERROR(VLOOKUP(B2232,'Pre-Summary'!$Y$6:$AC$83, 4,FALSE),"")</f>
        <v/>
      </c>
      <c r="V2232" t="str">
        <f>IFERROR(VLOOKUP(B2232,'Pre-Summary'!$Y$6:$AC$83, 5,FALSE),"")</f>
        <v/>
      </c>
      <c r="W2232" s="45" t="str">
        <f>IFERROR(VLOOKUP(B2232,'Pre-Summary'!$Y$6:$AD$83,6,FALSE),"")</f>
        <v/>
      </c>
      <c r="X2232" t="str">
        <f>IFERROR(VLOOKUP('Pre-Summary'!$DB$6:$DD$63,3,FALSE),"")</f>
        <v/>
      </c>
      <c r="Y2232" t="str">
        <f>IFERROR(VLOOKUP(B2232,'Pre-Summary'!$CR$6:$CT$36,3,FALSE),"")</f>
        <v/>
      </c>
      <c r="Z2232" s="45" t="str">
        <f>IFERROR(VLOOKUP(B2232,'Pre-Summary'!$BZ$6:$CB$63,2,FALSE),"")</f>
        <v/>
      </c>
      <c r="AA2232" s="45" t="str">
        <f>IFERROR(VLOOKUP(B2232,'Pre-Summary'!$CG$6:$CI$70,2,FALSE),"")</f>
        <v/>
      </c>
      <c r="AB2232" s="99">
        <f>IFERROR(VLOOKUP(B2232,'Pre-Summary'!$A$6:$P$178,9,FALSE),AB2233)</f>
        <v>0.35465514391001818</v>
      </c>
      <c r="AC2232" s="10">
        <f>IFERROR(VLOOKUP(Summary!B2232,'Pre-Summary'!$A$6:$P$184,5, FALSE)/100,AC2233)</f>
        <v>0.94276500000000008</v>
      </c>
      <c r="AD2232" s="10">
        <f>IFERROR(VLOOKUP(Summary!B2232,'Pre-Summary'!$A$6:$P$184,3, FALSE)/100,AD2233)</f>
        <v>4.2818000000000002E-2</v>
      </c>
      <c r="AE2232" s="10">
        <f>IFERROR(VLOOKUP(Summary!B2232,'Pre-Summary'!$A$6:$P$184,7, FALSE)/100,AE2233)</f>
        <v>1.4416999999999999E-2</v>
      </c>
      <c r="AF2232" s="99">
        <f t="shared" si="103"/>
        <v>1.5185623951939158E-2</v>
      </c>
      <c r="AG2232" s="99">
        <f t="shared" si="104"/>
        <v>5.1130632097507317E-3</v>
      </c>
      <c r="AH2232" s="10" t="str">
        <f>IFERROR(VLOOKUP(B2232,'Pre-Summary'!$AZ$6:$BE$65,3,FALSE),"")</f>
        <v/>
      </c>
      <c r="AI2232" s="10" t="str">
        <f>IFERROR(VLOOKUP(B2232,'Pre-Summary'!$AZ$6:$BE$65,5,FALSE),"")</f>
        <v/>
      </c>
      <c r="AJ2232" s="10" t="str">
        <f>IFERROR(VLOOKUP(B2232,'Pre-Summary'!$AZ$6:$BE$65,4,FALSE),"")</f>
        <v/>
      </c>
      <c r="AK2232" s="10" t="str">
        <f>IFERROR(VLOOKUP(B2232,'Pre-Summary'!$AZ$6:$BE$65,6,FALSE),"")</f>
        <v/>
      </c>
      <c r="AL2232" s="10" t="str">
        <f>IFERROR(VLOOKUP(B2232,'Pre-Summary'!$BG$6:$BL$44,3,FALSE),"")</f>
        <v/>
      </c>
      <c r="AM2232" s="10" t="str">
        <f>IFERROR(VLOOKUP(B2232,'Pre-Summary'!$BG$6:$BL$44,4,FALSE),"")</f>
        <v/>
      </c>
    </row>
    <row r="2233" spans="2:39" ht="15" customHeight="1" x14ac:dyDescent="0.3">
      <c r="B2233">
        <v>223</v>
      </c>
      <c r="C2233" t="str">
        <f>IFERROR(VLOOKUP(B2233,'Pre-Summary'!$DI$6:$DM$23,4,FALSE),"")</f>
        <v/>
      </c>
      <c r="D2233" s="10" t="str">
        <f>IFERROR(VLOOKUP(B2233,'Pre-Summary'!$AT$6:$AX$14,5,FALSE),D2232)</f>
        <v>Wolfe v3: went back to modified wolfe + EDTA and switched CuSO4 to CUCl2</v>
      </c>
      <c r="E2233" s="10" t="str">
        <f>IFERROR(VLOOKUP(B2233,'Pre-Summary'!$AT$6:$AX$15,4,FALSE),"")</f>
        <v/>
      </c>
      <c r="F2233">
        <f>IFERROR(VLOOKUP(B2233,'Pre-Summary'!$AL$6:$AQ$13,6,FALSE),F2232)</f>
        <v>5.9405263157894746E-2</v>
      </c>
      <c r="G2233" t="str">
        <f>IFERROR(VLOOKUP(B2233,'Pre-Summary'!$AE$6:$AJ$85,3,FALSE),"")</f>
        <v/>
      </c>
      <c r="H2233" t="str">
        <f>IFERROR(VLOOKUP(B2233,'Pre-Summary'!$AE$6:$AJ$85,4,FALSE),"")</f>
        <v/>
      </c>
      <c r="I2233" t="str">
        <f>IFERROR(VLOOKUP(B2233,'Pre-Summary'!$AE$6:$AJ$85,5,FALSE),"")</f>
        <v/>
      </c>
      <c r="J2233" s="45" t="str">
        <f>IFERROR(VLOOKUP(B2233,'Pre-Summary'!$AE$6:$AJ$85,6, FALSE),"")</f>
        <v/>
      </c>
      <c r="K2233" s="45" t="str">
        <f>IFERROR(VLOOKUP(B2233,'Pre-Summary'!$DE$6:$DG$61,3,FALSE),"")</f>
        <v/>
      </c>
      <c r="L2233" s="45" t="str">
        <f>IFERROR(VLOOKUP(B2233,'Pre-Summary'!$CU$6:$CW$36,3,FALSE),"")</f>
        <v/>
      </c>
      <c r="M2233" s="45" t="str">
        <f>IFERROR(VLOOKUP(B2233,'Pre-Summary'!$BW$6:$BY$58,2,FALSE),"")</f>
        <v/>
      </c>
      <c r="N2233" s="45" t="str">
        <f>IFERROR(VLOOKUP(B2233,'Pre-Summary'!$CD$6:$CF$64,2,FALSE),"")</f>
        <v/>
      </c>
      <c r="O2233" s="99">
        <f>IFERROR(VLOOKUP(B2233,'Pre-Summary'!$BO$6:$BQ$48,3, FALSE),O2232)</f>
        <v>1.508</v>
      </c>
      <c r="P2233" s="99">
        <f>IFERROR(VLOOKUP(B2233,'Pre-Summary'!$BS$6:$BU$35,3,FALSE),P2232)</f>
        <v>0.379</v>
      </c>
      <c r="Q2233" s="54">
        <f t="shared" si="102"/>
        <v>3.9788918205804751</v>
      </c>
      <c r="R2233" s="53">
        <f>IFERROR(VLOOKUP(B2233,'Pre-Summary'!$BG$6:$BM$44,7,FALSE),R2234)</f>
        <v>9.7948682664336664E-2</v>
      </c>
      <c r="S2233" s="53">
        <f>IFERROR(VLOOKUP(B2233,'Pre-Summary'!$BG$6:$BM$44,6,FALSE),S2234)</f>
        <v>0.10614035087720526</v>
      </c>
      <c r="T2233" s="45" t="str">
        <f>IFERROR(VLOOKUP(B2233,'Pre-Summary'!$Y$6:$AC$83, 3,FALSE),"")</f>
        <v/>
      </c>
      <c r="U2233" s="45" t="str">
        <f>IFERROR(VLOOKUP(B2233,'Pre-Summary'!$Y$6:$AC$83, 4,FALSE),"")</f>
        <v/>
      </c>
      <c r="V2233" t="str">
        <f>IFERROR(VLOOKUP(B2233,'Pre-Summary'!$Y$6:$AC$83, 5,FALSE),"")</f>
        <v/>
      </c>
      <c r="W2233" s="45" t="str">
        <f>IFERROR(VLOOKUP(B2233,'Pre-Summary'!$Y$6:$AD$83,6,FALSE),"")</f>
        <v/>
      </c>
      <c r="X2233" t="str">
        <f>IFERROR(VLOOKUP('Pre-Summary'!$DB$6:$DD$63,3,FALSE),"")</f>
        <v/>
      </c>
      <c r="Y2233" t="str">
        <f>IFERROR(VLOOKUP(B2233,'Pre-Summary'!$CR$6:$CT$36,3,FALSE),"")</f>
        <v/>
      </c>
      <c r="Z2233" s="45" t="str">
        <f>IFERROR(VLOOKUP(B2233,'Pre-Summary'!$BZ$6:$CB$63,2,FALSE),"")</f>
        <v/>
      </c>
      <c r="AA2233" s="45" t="str">
        <f>IFERROR(VLOOKUP(B2233,'Pre-Summary'!$CG$6:$CI$70,2,FALSE),"")</f>
        <v/>
      </c>
      <c r="AB2233" s="99">
        <f>IFERROR(VLOOKUP(B2233,'Pre-Summary'!$A$6:$P$178,9,FALSE),AB2234)</f>
        <v>0.35465514391001818</v>
      </c>
      <c r="AC2233" s="10">
        <f>IFERROR(VLOOKUP(Summary!B2233,'Pre-Summary'!$A$6:$P$184,5, FALSE)/100,AC2234)</f>
        <v>0.94276500000000008</v>
      </c>
      <c r="AD2233" s="10">
        <f>IFERROR(VLOOKUP(Summary!B2233,'Pre-Summary'!$A$6:$P$184,3, FALSE)/100,AD2234)</f>
        <v>4.2818000000000002E-2</v>
      </c>
      <c r="AE2233" s="10">
        <f>IFERROR(VLOOKUP(Summary!B2233,'Pre-Summary'!$A$6:$P$184,7, FALSE)/100,AE2234)</f>
        <v>1.4416999999999999E-2</v>
      </c>
      <c r="AF2233" s="99">
        <f t="shared" si="103"/>
        <v>1.5185623951939158E-2</v>
      </c>
      <c r="AG2233" s="99">
        <f t="shared" si="104"/>
        <v>5.1130632097507317E-3</v>
      </c>
      <c r="AH2233" s="10" t="str">
        <f>IFERROR(VLOOKUP(B2233,'Pre-Summary'!$AZ$6:$BE$65,3,FALSE),"")</f>
        <v/>
      </c>
      <c r="AI2233" s="10" t="str">
        <f>IFERROR(VLOOKUP(B2233,'Pre-Summary'!$AZ$6:$BE$65,5,FALSE),"")</f>
        <v/>
      </c>
      <c r="AJ2233" s="10" t="str">
        <f>IFERROR(VLOOKUP(B2233,'Pre-Summary'!$AZ$6:$BE$65,4,FALSE),"")</f>
        <v/>
      </c>
      <c r="AK2233" s="10" t="str">
        <f>IFERROR(VLOOKUP(B2233,'Pre-Summary'!$AZ$6:$BE$65,6,FALSE),"")</f>
        <v/>
      </c>
      <c r="AL2233" s="10" t="str">
        <f>IFERROR(VLOOKUP(B2233,'Pre-Summary'!$BG$6:$BL$44,3,FALSE),"")</f>
        <v/>
      </c>
      <c r="AM2233" s="10" t="str">
        <f>IFERROR(VLOOKUP(B2233,'Pre-Summary'!$BG$6:$BL$44,4,FALSE),"")</f>
        <v/>
      </c>
    </row>
    <row r="2234" spans="2:39" ht="15" customHeight="1" x14ac:dyDescent="0.3">
      <c r="B2234">
        <v>223.1</v>
      </c>
      <c r="C2234" t="str">
        <f>IFERROR(VLOOKUP(B2234,'Pre-Summary'!$DI$6:$DM$23,4,FALSE),"")</f>
        <v/>
      </c>
      <c r="D2234" s="10" t="str">
        <f>IFERROR(VLOOKUP(B2234,'Pre-Summary'!$AT$6:$AX$14,5,FALSE),D2233)</f>
        <v>Wolfe v3: went back to modified wolfe + EDTA and switched CuSO4 to CUCl2</v>
      </c>
      <c r="E2234" s="10" t="str">
        <f>IFERROR(VLOOKUP(B2234,'Pre-Summary'!$AT$6:$AX$15,4,FALSE),"")</f>
        <v/>
      </c>
      <c r="F2234">
        <f>IFERROR(VLOOKUP(B2234,'Pre-Summary'!$AL$6:$AQ$13,6,FALSE),F2233)</f>
        <v>5.9405263157894746E-2</v>
      </c>
      <c r="G2234" t="str">
        <f>IFERROR(VLOOKUP(B2234,'Pre-Summary'!$AE$6:$AJ$85,3,FALSE),"")</f>
        <v/>
      </c>
      <c r="H2234" t="str">
        <f>IFERROR(VLOOKUP(B2234,'Pre-Summary'!$AE$6:$AJ$85,4,FALSE),"")</f>
        <v/>
      </c>
      <c r="I2234" t="str">
        <f>IFERROR(VLOOKUP(B2234,'Pre-Summary'!$AE$6:$AJ$85,5,FALSE),"")</f>
        <v/>
      </c>
      <c r="J2234" s="45" t="str">
        <f>IFERROR(VLOOKUP(B2234,'Pre-Summary'!$AE$6:$AJ$85,6, FALSE),"")</f>
        <v/>
      </c>
      <c r="K2234" s="45" t="str">
        <f>IFERROR(VLOOKUP(B2234,'Pre-Summary'!$DE$6:$DG$61,3,FALSE),"")</f>
        <v/>
      </c>
      <c r="L2234" s="45" t="str">
        <f>IFERROR(VLOOKUP(B2234,'Pre-Summary'!$CU$6:$CW$36,3,FALSE),"")</f>
        <v/>
      </c>
      <c r="M2234" s="45" t="str">
        <f>IFERROR(VLOOKUP(B2234,'Pre-Summary'!$BW$6:$BY$58,2,FALSE),"")</f>
        <v/>
      </c>
      <c r="N2234" s="45" t="str">
        <f>IFERROR(VLOOKUP(B2234,'Pre-Summary'!$CD$6:$CF$64,2,FALSE),"")</f>
        <v/>
      </c>
      <c r="O2234" s="99">
        <f>IFERROR(VLOOKUP(B2234,'Pre-Summary'!$BO$6:$BQ$48,3, FALSE),O2233)</f>
        <v>1.508</v>
      </c>
      <c r="P2234" s="99">
        <f>IFERROR(VLOOKUP(B2234,'Pre-Summary'!$BS$6:$BU$35,3,FALSE),P2233)</f>
        <v>0.379</v>
      </c>
      <c r="Q2234" s="54">
        <f t="shared" si="102"/>
        <v>3.9788918205804751</v>
      </c>
      <c r="R2234" s="53">
        <f>IFERROR(VLOOKUP(B2234,'Pre-Summary'!$BG$6:$BM$44,7,FALSE),R2235)</f>
        <v>9.7948682664336664E-2</v>
      </c>
      <c r="S2234" s="53">
        <f>IFERROR(VLOOKUP(B2234,'Pre-Summary'!$BG$6:$BM$44,6,FALSE),S2235)</f>
        <v>0.10614035087720526</v>
      </c>
      <c r="T2234" s="45" t="str">
        <f>IFERROR(VLOOKUP(B2234,'Pre-Summary'!$Y$6:$AC$83, 3,FALSE),"")</f>
        <v/>
      </c>
      <c r="U2234" s="45" t="str">
        <f>IFERROR(VLOOKUP(B2234,'Pre-Summary'!$Y$6:$AC$83, 4,FALSE),"")</f>
        <v/>
      </c>
      <c r="V2234" t="str">
        <f>IFERROR(VLOOKUP(B2234,'Pre-Summary'!$Y$6:$AC$83, 5,FALSE),"")</f>
        <v/>
      </c>
      <c r="W2234" s="45" t="str">
        <f>IFERROR(VLOOKUP(B2234,'Pre-Summary'!$Y$6:$AD$83,6,FALSE),"")</f>
        <v/>
      </c>
      <c r="X2234" t="str">
        <f>IFERROR(VLOOKUP('Pre-Summary'!$DB$6:$DD$63,3,FALSE),"")</f>
        <v/>
      </c>
      <c r="Y2234" t="str">
        <f>IFERROR(VLOOKUP(B2234,'Pre-Summary'!$CR$6:$CT$36,3,FALSE),"")</f>
        <v/>
      </c>
      <c r="Z2234" s="45" t="str">
        <f>IFERROR(VLOOKUP(B2234,'Pre-Summary'!$BZ$6:$CB$63,2,FALSE),"")</f>
        <v/>
      </c>
      <c r="AA2234" s="45" t="str">
        <f>IFERROR(VLOOKUP(B2234,'Pre-Summary'!$CG$6:$CI$70,2,FALSE),"")</f>
        <v/>
      </c>
      <c r="AB2234" s="99">
        <f>IFERROR(VLOOKUP(B2234,'Pre-Summary'!$A$6:$P$178,9,FALSE),AB2235)</f>
        <v>0.35465514391001818</v>
      </c>
      <c r="AC2234" s="10">
        <f>IFERROR(VLOOKUP(Summary!B2234,'Pre-Summary'!$A$6:$P$184,5, FALSE)/100,AC2235)</f>
        <v>0.94276500000000008</v>
      </c>
      <c r="AD2234" s="10">
        <f>IFERROR(VLOOKUP(Summary!B2234,'Pre-Summary'!$A$6:$P$184,3, FALSE)/100,AD2235)</f>
        <v>4.2818000000000002E-2</v>
      </c>
      <c r="AE2234" s="10">
        <f>IFERROR(VLOOKUP(Summary!B2234,'Pre-Summary'!$A$6:$P$184,7, FALSE)/100,AE2235)</f>
        <v>1.4416999999999999E-2</v>
      </c>
      <c r="AF2234" s="99">
        <f t="shared" si="103"/>
        <v>1.5185623951939158E-2</v>
      </c>
      <c r="AG2234" s="99">
        <f t="shared" si="104"/>
        <v>5.1130632097507317E-3</v>
      </c>
      <c r="AH2234" s="10" t="str">
        <f>IFERROR(VLOOKUP(B2234,'Pre-Summary'!$AZ$6:$BE$65,3,FALSE),"")</f>
        <v/>
      </c>
      <c r="AI2234" s="10" t="str">
        <f>IFERROR(VLOOKUP(B2234,'Pre-Summary'!$AZ$6:$BE$65,5,FALSE),"")</f>
        <v/>
      </c>
      <c r="AJ2234" s="10" t="str">
        <f>IFERROR(VLOOKUP(B2234,'Pre-Summary'!$AZ$6:$BE$65,4,FALSE),"")</f>
        <v/>
      </c>
      <c r="AK2234" s="10" t="str">
        <f>IFERROR(VLOOKUP(B2234,'Pre-Summary'!$AZ$6:$BE$65,6,FALSE),"")</f>
        <v/>
      </c>
      <c r="AL2234" s="10" t="str">
        <f>IFERROR(VLOOKUP(B2234,'Pre-Summary'!$BG$6:$BL$44,3,FALSE),"")</f>
        <v/>
      </c>
      <c r="AM2234" s="10" t="str">
        <f>IFERROR(VLOOKUP(B2234,'Pre-Summary'!$BG$6:$BL$44,4,FALSE),"")</f>
        <v/>
      </c>
    </row>
    <row r="2235" spans="2:39" ht="15" customHeight="1" x14ac:dyDescent="0.3">
      <c r="B2235">
        <v>223.2</v>
      </c>
      <c r="C2235" t="str">
        <f>IFERROR(VLOOKUP(B2235,'Pre-Summary'!$DI$6:$DM$23,4,FALSE),"")</f>
        <v/>
      </c>
      <c r="D2235" s="10" t="str">
        <f>IFERROR(VLOOKUP(B2235,'Pre-Summary'!$AT$6:$AX$14,5,FALSE),D2234)</f>
        <v>Wolfe v3: went back to modified wolfe + EDTA and switched CuSO4 to CUCl2</v>
      </c>
      <c r="E2235" s="10" t="str">
        <f>IFERROR(VLOOKUP(B2235,'Pre-Summary'!$AT$6:$AX$15,4,FALSE),"")</f>
        <v/>
      </c>
      <c r="F2235">
        <f>IFERROR(VLOOKUP(B2235,'Pre-Summary'!$AL$6:$AQ$13,6,FALSE),F2234)</f>
        <v>5.9405263157894746E-2</v>
      </c>
      <c r="G2235" t="str">
        <f>IFERROR(VLOOKUP(B2235,'Pre-Summary'!$AE$6:$AJ$85,3,FALSE),"")</f>
        <v/>
      </c>
      <c r="H2235" t="str">
        <f>IFERROR(VLOOKUP(B2235,'Pre-Summary'!$AE$6:$AJ$85,4,FALSE),"")</f>
        <v/>
      </c>
      <c r="I2235" t="str">
        <f>IFERROR(VLOOKUP(B2235,'Pre-Summary'!$AE$6:$AJ$85,5,FALSE),"")</f>
        <v/>
      </c>
      <c r="J2235" s="45" t="str">
        <f>IFERROR(VLOOKUP(B2235,'Pre-Summary'!$AE$6:$AJ$85,6, FALSE),"")</f>
        <v/>
      </c>
      <c r="K2235" s="45" t="str">
        <f>IFERROR(VLOOKUP(B2235,'Pre-Summary'!$DE$6:$DG$61,3,FALSE),"")</f>
        <v/>
      </c>
      <c r="L2235" s="45" t="str">
        <f>IFERROR(VLOOKUP(B2235,'Pre-Summary'!$CU$6:$CW$36,3,FALSE),"")</f>
        <v/>
      </c>
      <c r="M2235" s="45" t="str">
        <f>IFERROR(VLOOKUP(B2235,'Pre-Summary'!$BW$6:$BY$58,2,FALSE),"")</f>
        <v/>
      </c>
      <c r="N2235" s="45" t="str">
        <f>IFERROR(VLOOKUP(B2235,'Pre-Summary'!$CD$6:$CF$64,2,FALSE),"")</f>
        <v/>
      </c>
      <c r="O2235" s="99">
        <f>IFERROR(VLOOKUP(B2235,'Pre-Summary'!$BO$6:$BQ$48,3, FALSE),O2234)</f>
        <v>1.508</v>
      </c>
      <c r="P2235" s="99">
        <f>IFERROR(VLOOKUP(B2235,'Pre-Summary'!$BS$6:$BU$35,3,FALSE),P2234)</f>
        <v>0.379</v>
      </c>
      <c r="Q2235" s="54">
        <f t="shared" si="102"/>
        <v>3.9788918205804751</v>
      </c>
      <c r="R2235" s="53">
        <f>IFERROR(VLOOKUP(B2235,'Pre-Summary'!$BG$6:$BM$44,7,FALSE),R2236)</f>
        <v>9.7948682664336664E-2</v>
      </c>
      <c r="S2235" s="53">
        <f>IFERROR(VLOOKUP(B2235,'Pre-Summary'!$BG$6:$BM$44,6,FALSE),S2236)</f>
        <v>0.10614035087720526</v>
      </c>
      <c r="T2235" s="45" t="str">
        <f>IFERROR(VLOOKUP(B2235,'Pre-Summary'!$Y$6:$AC$83, 3,FALSE),"")</f>
        <v/>
      </c>
      <c r="U2235" s="45" t="str">
        <f>IFERROR(VLOOKUP(B2235,'Pre-Summary'!$Y$6:$AC$83, 4,FALSE),"")</f>
        <v/>
      </c>
      <c r="V2235" t="str">
        <f>IFERROR(VLOOKUP(B2235,'Pre-Summary'!$Y$6:$AC$83, 5,FALSE),"")</f>
        <v/>
      </c>
      <c r="W2235" s="45" t="str">
        <f>IFERROR(VLOOKUP(B2235,'Pre-Summary'!$Y$6:$AD$83,6,FALSE),"")</f>
        <v/>
      </c>
      <c r="X2235" t="str">
        <f>IFERROR(VLOOKUP('Pre-Summary'!$DB$6:$DD$63,3,FALSE),"")</f>
        <v/>
      </c>
      <c r="Y2235" t="str">
        <f>IFERROR(VLOOKUP(B2235,'Pre-Summary'!$CR$6:$CT$36,3,FALSE),"")</f>
        <v/>
      </c>
      <c r="Z2235" s="45" t="str">
        <f>IFERROR(VLOOKUP(B2235,'Pre-Summary'!$BZ$6:$CB$63,2,FALSE),"")</f>
        <v/>
      </c>
      <c r="AA2235" s="45" t="str">
        <f>IFERROR(VLOOKUP(B2235,'Pre-Summary'!$CG$6:$CI$70,2,FALSE),"")</f>
        <v/>
      </c>
      <c r="AB2235" s="99">
        <f>IFERROR(VLOOKUP(B2235,'Pre-Summary'!$A$6:$P$178,9,FALSE),AB2236)</f>
        <v>0.35465514391001818</v>
      </c>
      <c r="AC2235" s="10">
        <f>IFERROR(VLOOKUP(Summary!B2235,'Pre-Summary'!$A$6:$P$184,5, FALSE)/100,AC2236)</f>
        <v>0.94276500000000008</v>
      </c>
      <c r="AD2235" s="10">
        <f>IFERROR(VLOOKUP(Summary!B2235,'Pre-Summary'!$A$6:$P$184,3, FALSE)/100,AD2236)</f>
        <v>4.2818000000000002E-2</v>
      </c>
      <c r="AE2235" s="10">
        <f>IFERROR(VLOOKUP(Summary!B2235,'Pre-Summary'!$A$6:$P$184,7, FALSE)/100,AE2236)</f>
        <v>1.4416999999999999E-2</v>
      </c>
      <c r="AF2235" s="99">
        <f t="shared" si="103"/>
        <v>1.5185623951939158E-2</v>
      </c>
      <c r="AG2235" s="99">
        <f t="shared" si="104"/>
        <v>5.1130632097507317E-3</v>
      </c>
      <c r="AH2235" s="10" t="str">
        <f>IFERROR(VLOOKUP(B2235,'Pre-Summary'!$AZ$6:$BE$65,3,FALSE),"")</f>
        <v/>
      </c>
      <c r="AI2235" s="10" t="str">
        <f>IFERROR(VLOOKUP(B2235,'Pre-Summary'!$AZ$6:$BE$65,5,FALSE),"")</f>
        <v/>
      </c>
      <c r="AJ2235" s="10" t="str">
        <f>IFERROR(VLOOKUP(B2235,'Pre-Summary'!$AZ$6:$BE$65,4,FALSE),"")</f>
        <v/>
      </c>
      <c r="AK2235" s="10" t="str">
        <f>IFERROR(VLOOKUP(B2235,'Pre-Summary'!$AZ$6:$BE$65,6,FALSE),"")</f>
        <v/>
      </c>
      <c r="AL2235" s="10" t="str">
        <f>IFERROR(VLOOKUP(B2235,'Pre-Summary'!$BG$6:$BL$44,3,FALSE),"")</f>
        <v/>
      </c>
      <c r="AM2235" s="10" t="str">
        <f>IFERROR(VLOOKUP(B2235,'Pre-Summary'!$BG$6:$BL$44,4,FALSE),"")</f>
        <v/>
      </c>
    </row>
    <row r="2236" spans="2:39" ht="15" customHeight="1" x14ac:dyDescent="0.3">
      <c r="B2236">
        <v>223.3</v>
      </c>
      <c r="C2236" t="str">
        <f>IFERROR(VLOOKUP(B2236,'Pre-Summary'!$DI$6:$DM$23,4,FALSE),"")</f>
        <v/>
      </c>
      <c r="D2236" s="10" t="str">
        <f>IFERROR(VLOOKUP(B2236,'Pre-Summary'!$AT$6:$AX$14,5,FALSE),D2235)</f>
        <v>Wolfe v3: went back to modified wolfe + EDTA and switched CuSO4 to CUCl2</v>
      </c>
      <c r="E2236" s="10" t="str">
        <f>IFERROR(VLOOKUP(B2236,'Pre-Summary'!$AT$6:$AX$15,4,FALSE),"")</f>
        <v/>
      </c>
      <c r="F2236">
        <f>IFERROR(VLOOKUP(B2236,'Pre-Summary'!$AL$6:$AQ$13,6,FALSE),F2235)</f>
        <v>5.9405263157894746E-2</v>
      </c>
      <c r="G2236" t="str">
        <f>IFERROR(VLOOKUP(B2236,'Pre-Summary'!$AE$6:$AJ$85,3,FALSE),"")</f>
        <v/>
      </c>
      <c r="H2236" t="str">
        <f>IFERROR(VLOOKUP(B2236,'Pre-Summary'!$AE$6:$AJ$85,4,FALSE),"")</f>
        <v/>
      </c>
      <c r="I2236" t="str">
        <f>IFERROR(VLOOKUP(B2236,'Pre-Summary'!$AE$6:$AJ$85,5,FALSE),"")</f>
        <v/>
      </c>
      <c r="J2236" s="45" t="str">
        <f>IFERROR(VLOOKUP(B2236,'Pre-Summary'!$AE$6:$AJ$85,6, FALSE),"")</f>
        <v/>
      </c>
      <c r="K2236" s="45" t="str">
        <f>IFERROR(VLOOKUP(B2236,'Pre-Summary'!$DE$6:$DG$61,3,FALSE),"")</f>
        <v/>
      </c>
      <c r="L2236" s="45" t="str">
        <f>IFERROR(VLOOKUP(B2236,'Pre-Summary'!$CU$6:$CW$36,3,FALSE),"")</f>
        <v/>
      </c>
      <c r="M2236" s="45" t="str">
        <f>IFERROR(VLOOKUP(B2236,'Pre-Summary'!$BW$6:$BY$58,2,FALSE),"")</f>
        <v/>
      </c>
      <c r="N2236" s="45" t="str">
        <f>IFERROR(VLOOKUP(B2236,'Pre-Summary'!$CD$6:$CF$64,2,FALSE),"")</f>
        <v/>
      </c>
      <c r="O2236" s="99">
        <f>IFERROR(VLOOKUP(B2236,'Pre-Summary'!$BO$6:$BQ$48,3, FALSE),O2235)</f>
        <v>1.508</v>
      </c>
      <c r="P2236" s="99">
        <f>IFERROR(VLOOKUP(B2236,'Pre-Summary'!$BS$6:$BU$35,3,FALSE),P2235)</f>
        <v>0.379</v>
      </c>
      <c r="Q2236" s="54">
        <f t="shared" si="102"/>
        <v>3.9788918205804751</v>
      </c>
      <c r="R2236" s="53">
        <f>IFERROR(VLOOKUP(B2236,'Pre-Summary'!$BG$6:$BM$44,7,FALSE),R2237)</f>
        <v>9.7948682664336664E-2</v>
      </c>
      <c r="S2236" s="53">
        <f>IFERROR(VLOOKUP(B2236,'Pre-Summary'!$BG$6:$BM$44,6,FALSE),S2237)</f>
        <v>0.10614035087720526</v>
      </c>
      <c r="T2236" s="45" t="str">
        <f>IFERROR(VLOOKUP(B2236,'Pre-Summary'!$Y$6:$AC$83, 3,FALSE),"")</f>
        <v/>
      </c>
      <c r="U2236" s="45" t="str">
        <f>IFERROR(VLOOKUP(B2236,'Pre-Summary'!$Y$6:$AC$83, 4,FALSE),"")</f>
        <v/>
      </c>
      <c r="V2236" t="str">
        <f>IFERROR(VLOOKUP(B2236,'Pre-Summary'!$Y$6:$AC$83, 5,FALSE),"")</f>
        <v/>
      </c>
      <c r="W2236" s="45" t="str">
        <f>IFERROR(VLOOKUP(B2236,'Pre-Summary'!$Y$6:$AD$83,6,FALSE),"")</f>
        <v/>
      </c>
      <c r="X2236" t="str">
        <f>IFERROR(VLOOKUP('Pre-Summary'!$DB$6:$DD$63,3,FALSE),"")</f>
        <v/>
      </c>
      <c r="Y2236" t="str">
        <f>IFERROR(VLOOKUP(B2236,'Pre-Summary'!$CR$6:$CT$36,3,FALSE),"")</f>
        <v/>
      </c>
      <c r="Z2236" s="45" t="str">
        <f>IFERROR(VLOOKUP(B2236,'Pre-Summary'!$BZ$6:$CB$63,2,FALSE),"")</f>
        <v/>
      </c>
      <c r="AA2236" s="45" t="str">
        <f>IFERROR(VLOOKUP(B2236,'Pre-Summary'!$CG$6:$CI$70,2,FALSE),"")</f>
        <v/>
      </c>
      <c r="AB2236" s="99">
        <f>IFERROR(VLOOKUP(B2236,'Pre-Summary'!$A$6:$P$178,9,FALSE),AB2237)</f>
        <v>0.35465514391001818</v>
      </c>
      <c r="AC2236" s="10">
        <f>IFERROR(VLOOKUP(Summary!B2236,'Pre-Summary'!$A$6:$P$184,5, FALSE)/100,AC2237)</f>
        <v>0.94276500000000008</v>
      </c>
      <c r="AD2236" s="10">
        <f>IFERROR(VLOOKUP(Summary!B2236,'Pre-Summary'!$A$6:$P$184,3, FALSE)/100,AD2237)</f>
        <v>4.2818000000000002E-2</v>
      </c>
      <c r="AE2236" s="10">
        <f>IFERROR(VLOOKUP(Summary!B2236,'Pre-Summary'!$A$6:$P$184,7, FALSE)/100,AE2237)</f>
        <v>1.4416999999999999E-2</v>
      </c>
      <c r="AF2236" s="99">
        <f t="shared" si="103"/>
        <v>1.5185623951939158E-2</v>
      </c>
      <c r="AG2236" s="99">
        <f t="shared" si="104"/>
        <v>5.1130632097507317E-3</v>
      </c>
      <c r="AH2236" s="10" t="str">
        <f>IFERROR(VLOOKUP(B2236,'Pre-Summary'!$AZ$6:$BE$65,3,FALSE),"")</f>
        <v/>
      </c>
      <c r="AI2236" s="10" t="str">
        <f>IFERROR(VLOOKUP(B2236,'Pre-Summary'!$AZ$6:$BE$65,5,FALSE),"")</f>
        <v/>
      </c>
      <c r="AJ2236" s="10" t="str">
        <f>IFERROR(VLOOKUP(B2236,'Pre-Summary'!$AZ$6:$BE$65,4,FALSE),"")</f>
        <v/>
      </c>
      <c r="AK2236" s="10" t="str">
        <f>IFERROR(VLOOKUP(B2236,'Pre-Summary'!$AZ$6:$BE$65,6,FALSE),"")</f>
        <v/>
      </c>
      <c r="AL2236" s="10" t="str">
        <f>IFERROR(VLOOKUP(B2236,'Pre-Summary'!$BG$6:$BL$44,3,FALSE),"")</f>
        <v/>
      </c>
      <c r="AM2236" s="10" t="str">
        <f>IFERROR(VLOOKUP(B2236,'Pre-Summary'!$BG$6:$BL$44,4,FALSE),"")</f>
        <v/>
      </c>
    </row>
    <row r="2237" spans="2:39" ht="15" customHeight="1" x14ac:dyDescent="0.3">
      <c r="B2237">
        <v>223.4</v>
      </c>
      <c r="C2237" t="str">
        <f>IFERROR(VLOOKUP(B2237,'Pre-Summary'!$DI$6:$DM$23,4,FALSE),"")</f>
        <v/>
      </c>
      <c r="D2237" s="10" t="str">
        <f>IFERROR(VLOOKUP(B2237,'Pre-Summary'!$AT$6:$AX$14,5,FALSE),D2236)</f>
        <v>Wolfe v3: went back to modified wolfe + EDTA and switched CuSO4 to CUCl2</v>
      </c>
      <c r="E2237" s="10" t="str">
        <f>IFERROR(VLOOKUP(B2237,'Pre-Summary'!$AT$6:$AX$15,4,FALSE),"")</f>
        <v/>
      </c>
      <c r="F2237">
        <f>IFERROR(VLOOKUP(B2237,'Pre-Summary'!$AL$6:$AQ$13,6,FALSE),F2236)</f>
        <v>5.9405263157894746E-2</v>
      </c>
      <c r="G2237" t="str">
        <f>IFERROR(VLOOKUP(B2237,'Pre-Summary'!$AE$6:$AJ$85,3,FALSE),"")</f>
        <v/>
      </c>
      <c r="H2237" t="str">
        <f>IFERROR(VLOOKUP(B2237,'Pre-Summary'!$AE$6:$AJ$85,4,FALSE),"")</f>
        <v/>
      </c>
      <c r="I2237" t="str">
        <f>IFERROR(VLOOKUP(B2237,'Pre-Summary'!$AE$6:$AJ$85,5,FALSE),"")</f>
        <v/>
      </c>
      <c r="J2237" s="45" t="str">
        <f>IFERROR(VLOOKUP(B2237,'Pre-Summary'!$AE$6:$AJ$85,6, FALSE),"")</f>
        <v/>
      </c>
      <c r="K2237" s="45" t="str">
        <f>IFERROR(VLOOKUP(B2237,'Pre-Summary'!$DE$6:$DG$61,3,FALSE),"")</f>
        <v/>
      </c>
      <c r="L2237" s="45" t="str">
        <f>IFERROR(VLOOKUP(B2237,'Pre-Summary'!$CU$6:$CW$36,3,FALSE),"")</f>
        <v/>
      </c>
      <c r="M2237" s="45" t="str">
        <f>IFERROR(VLOOKUP(B2237,'Pre-Summary'!$BW$6:$BY$58,2,FALSE),"")</f>
        <v/>
      </c>
      <c r="N2237" s="45" t="str">
        <f>IFERROR(VLOOKUP(B2237,'Pre-Summary'!$CD$6:$CF$64,2,FALSE),"")</f>
        <v/>
      </c>
      <c r="O2237" s="99">
        <f>IFERROR(VLOOKUP(B2237,'Pre-Summary'!$BO$6:$BQ$48,3, FALSE),O2236)</f>
        <v>1.508</v>
      </c>
      <c r="P2237" s="99">
        <f>IFERROR(VLOOKUP(B2237,'Pre-Summary'!$BS$6:$BU$35,3,FALSE),P2236)</f>
        <v>0.379</v>
      </c>
      <c r="Q2237" s="54">
        <f t="shared" si="102"/>
        <v>3.9788918205804751</v>
      </c>
      <c r="R2237" s="53">
        <f>IFERROR(VLOOKUP(B2237,'Pre-Summary'!$BG$6:$BM$44,7,FALSE),R2238)</f>
        <v>9.7948682664336664E-2</v>
      </c>
      <c r="S2237" s="53">
        <f>IFERROR(VLOOKUP(B2237,'Pre-Summary'!$BG$6:$BM$44,6,FALSE),S2238)</f>
        <v>0.10614035087720526</v>
      </c>
      <c r="T2237" s="45" t="str">
        <f>IFERROR(VLOOKUP(B2237,'Pre-Summary'!$Y$6:$AC$83, 3,FALSE),"")</f>
        <v/>
      </c>
      <c r="U2237" s="45" t="str">
        <f>IFERROR(VLOOKUP(B2237,'Pre-Summary'!$Y$6:$AC$83, 4,FALSE),"")</f>
        <v/>
      </c>
      <c r="V2237" t="str">
        <f>IFERROR(VLOOKUP(B2237,'Pre-Summary'!$Y$6:$AC$83, 5,FALSE),"")</f>
        <v/>
      </c>
      <c r="W2237" s="45" t="str">
        <f>IFERROR(VLOOKUP(B2237,'Pre-Summary'!$Y$6:$AD$83,6,FALSE),"")</f>
        <v/>
      </c>
      <c r="X2237" t="str">
        <f>IFERROR(VLOOKUP('Pre-Summary'!$DB$6:$DD$63,3,FALSE),"")</f>
        <v/>
      </c>
      <c r="Y2237" t="str">
        <f>IFERROR(VLOOKUP(B2237,'Pre-Summary'!$CR$6:$CT$36,3,FALSE),"")</f>
        <v/>
      </c>
      <c r="Z2237" s="45" t="str">
        <f>IFERROR(VLOOKUP(B2237,'Pre-Summary'!$BZ$6:$CB$63,2,FALSE),"")</f>
        <v/>
      </c>
      <c r="AA2237" s="45" t="str">
        <f>IFERROR(VLOOKUP(B2237,'Pre-Summary'!$CG$6:$CI$70,2,FALSE),"")</f>
        <v/>
      </c>
      <c r="AB2237" s="99">
        <f>IFERROR(VLOOKUP(B2237,'Pre-Summary'!$A$6:$P$178,9,FALSE),AB2238)</f>
        <v>0.35465514391001818</v>
      </c>
      <c r="AC2237" s="10">
        <f>IFERROR(VLOOKUP(Summary!B2237,'Pre-Summary'!$A$6:$P$184,5, FALSE)/100,AC2238)</f>
        <v>0.94276500000000008</v>
      </c>
      <c r="AD2237" s="10">
        <f>IFERROR(VLOOKUP(Summary!B2237,'Pre-Summary'!$A$6:$P$184,3, FALSE)/100,AD2238)</f>
        <v>4.2818000000000002E-2</v>
      </c>
      <c r="AE2237" s="10">
        <f>IFERROR(VLOOKUP(Summary!B2237,'Pre-Summary'!$A$6:$P$184,7, FALSE)/100,AE2238)</f>
        <v>1.4416999999999999E-2</v>
      </c>
      <c r="AF2237" s="99">
        <f t="shared" si="103"/>
        <v>1.5185623951939158E-2</v>
      </c>
      <c r="AG2237" s="99">
        <f t="shared" si="104"/>
        <v>5.1130632097507317E-3</v>
      </c>
      <c r="AH2237" s="10" t="str">
        <f>IFERROR(VLOOKUP(B2237,'Pre-Summary'!$AZ$6:$BE$65,3,FALSE),"")</f>
        <v/>
      </c>
      <c r="AI2237" s="10" t="str">
        <f>IFERROR(VLOOKUP(B2237,'Pre-Summary'!$AZ$6:$BE$65,5,FALSE),"")</f>
        <v/>
      </c>
      <c r="AJ2237" s="10" t="str">
        <f>IFERROR(VLOOKUP(B2237,'Pre-Summary'!$AZ$6:$BE$65,4,FALSE),"")</f>
        <v/>
      </c>
      <c r="AK2237" s="10" t="str">
        <f>IFERROR(VLOOKUP(B2237,'Pre-Summary'!$AZ$6:$BE$65,6,FALSE),"")</f>
        <v/>
      </c>
      <c r="AL2237" s="10" t="str">
        <f>IFERROR(VLOOKUP(B2237,'Pre-Summary'!$BG$6:$BL$44,3,FALSE),"")</f>
        <v/>
      </c>
      <c r="AM2237" s="10" t="str">
        <f>IFERROR(VLOOKUP(B2237,'Pre-Summary'!$BG$6:$BL$44,4,FALSE),"")</f>
        <v/>
      </c>
    </row>
    <row r="2238" spans="2:39" ht="15" customHeight="1" x14ac:dyDescent="0.3">
      <c r="B2238">
        <v>223.5</v>
      </c>
      <c r="C2238" t="str">
        <f>IFERROR(VLOOKUP(B2238,'Pre-Summary'!$DI$6:$DM$23,4,FALSE),"")</f>
        <v/>
      </c>
      <c r="D2238" s="10" t="str">
        <f>IFERROR(VLOOKUP(B2238,'Pre-Summary'!$AT$6:$AX$14,5,FALSE),D2237)</f>
        <v>Wolfe v3: went back to modified wolfe + EDTA and switched CuSO4 to CUCl2</v>
      </c>
      <c r="E2238" s="10" t="str">
        <f>IFERROR(VLOOKUP(B2238,'Pre-Summary'!$AT$6:$AX$15,4,FALSE),"")</f>
        <v/>
      </c>
      <c r="F2238">
        <f>IFERROR(VLOOKUP(B2238,'Pre-Summary'!$AL$6:$AQ$13,6,FALSE),F2237)</f>
        <v>5.9405263157894746E-2</v>
      </c>
      <c r="G2238" t="str">
        <f>IFERROR(VLOOKUP(B2238,'Pre-Summary'!$AE$6:$AJ$85,3,FALSE),"")</f>
        <v/>
      </c>
      <c r="H2238" t="str">
        <f>IFERROR(VLOOKUP(B2238,'Pre-Summary'!$AE$6:$AJ$85,4,FALSE),"")</f>
        <v/>
      </c>
      <c r="I2238" t="str">
        <f>IFERROR(VLOOKUP(B2238,'Pre-Summary'!$AE$6:$AJ$85,5,FALSE),"")</f>
        <v/>
      </c>
      <c r="J2238" s="45" t="str">
        <f>IFERROR(VLOOKUP(B2238,'Pre-Summary'!$AE$6:$AJ$85,6, FALSE),"")</f>
        <v/>
      </c>
      <c r="K2238" s="45" t="str">
        <f>IFERROR(VLOOKUP(B2238,'Pre-Summary'!$DE$6:$DG$61,3,FALSE),"")</f>
        <v/>
      </c>
      <c r="L2238" s="45" t="str">
        <f>IFERROR(VLOOKUP(B2238,'Pre-Summary'!$CU$6:$CW$36,3,FALSE),"")</f>
        <v/>
      </c>
      <c r="M2238" s="45" t="str">
        <f>IFERROR(VLOOKUP(B2238,'Pre-Summary'!$BW$6:$BY$58,2,FALSE),"")</f>
        <v/>
      </c>
      <c r="N2238" s="45" t="str">
        <f>IFERROR(VLOOKUP(B2238,'Pre-Summary'!$CD$6:$CF$64,2,FALSE),"")</f>
        <v/>
      </c>
      <c r="O2238" s="99">
        <f>IFERROR(VLOOKUP(B2238,'Pre-Summary'!$BO$6:$BQ$48,3, FALSE),O2237)</f>
        <v>1.508</v>
      </c>
      <c r="P2238" s="99">
        <f>IFERROR(VLOOKUP(B2238,'Pre-Summary'!$BS$6:$BU$35,3,FALSE),P2237)</f>
        <v>0.379</v>
      </c>
      <c r="Q2238" s="54">
        <f t="shared" si="102"/>
        <v>3.9788918205804751</v>
      </c>
      <c r="R2238" s="53">
        <f>IFERROR(VLOOKUP(B2238,'Pre-Summary'!$BG$6:$BM$44,7,FALSE),R2239)</f>
        <v>9.7948682664336664E-2</v>
      </c>
      <c r="S2238" s="53">
        <f>IFERROR(VLOOKUP(B2238,'Pre-Summary'!$BG$6:$BM$44,6,FALSE),S2239)</f>
        <v>0.10614035087720526</v>
      </c>
      <c r="T2238" s="45" t="str">
        <f>IFERROR(VLOOKUP(B2238,'Pre-Summary'!$Y$6:$AC$83, 3,FALSE),"")</f>
        <v/>
      </c>
      <c r="U2238" s="45" t="str">
        <f>IFERROR(VLOOKUP(B2238,'Pre-Summary'!$Y$6:$AC$83, 4,FALSE),"")</f>
        <v/>
      </c>
      <c r="V2238" t="str">
        <f>IFERROR(VLOOKUP(B2238,'Pre-Summary'!$Y$6:$AC$83, 5,FALSE),"")</f>
        <v/>
      </c>
      <c r="W2238" s="45" t="str">
        <f>IFERROR(VLOOKUP(B2238,'Pre-Summary'!$Y$6:$AD$83,6,FALSE),"")</f>
        <v/>
      </c>
      <c r="X2238" t="str">
        <f>IFERROR(VLOOKUP('Pre-Summary'!$DB$6:$DD$63,3,FALSE),"")</f>
        <v/>
      </c>
      <c r="Y2238" t="str">
        <f>IFERROR(VLOOKUP(B2238,'Pre-Summary'!$CR$6:$CT$36,3,FALSE),"")</f>
        <v/>
      </c>
      <c r="Z2238" s="45" t="str">
        <f>IFERROR(VLOOKUP(B2238,'Pre-Summary'!$BZ$6:$CB$63,2,FALSE),"")</f>
        <v/>
      </c>
      <c r="AA2238" s="45" t="str">
        <f>IFERROR(VLOOKUP(B2238,'Pre-Summary'!$CG$6:$CI$70,2,FALSE),"")</f>
        <v/>
      </c>
      <c r="AB2238" s="99">
        <f>IFERROR(VLOOKUP(B2238,'Pre-Summary'!$A$6:$P$178,9,FALSE),AB2239)</f>
        <v>0.35465514391001818</v>
      </c>
      <c r="AC2238" s="10">
        <f>IFERROR(VLOOKUP(Summary!B2238,'Pre-Summary'!$A$6:$P$184,5, FALSE)/100,AC2239)</f>
        <v>0.94276500000000008</v>
      </c>
      <c r="AD2238" s="10">
        <f>IFERROR(VLOOKUP(Summary!B2238,'Pre-Summary'!$A$6:$P$184,3, FALSE)/100,AD2239)</f>
        <v>4.2818000000000002E-2</v>
      </c>
      <c r="AE2238" s="10">
        <f>IFERROR(VLOOKUP(Summary!B2238,'Pre-Summary'!$A$6:$P$184,7, FALSE)/100,AE2239)</f>
        <v>1.4416999999999999E-2</v>
      </c>
      <c r="AF2238" s="99">
        <f t="shared" si="103"/>
        <v>1.5185623951939158E-2</v>
      </c>
      <c r="AG2238" s="99">
        <f t="shared" si="104"/>
        <v>5.1130632097507317E-3</v>
      </c>
      <c r="AH2238" s="10" t="str">
        <f>IFERROR(VLOOKUP(B2238,'Pre-Summary'!$AZ$6:$BE$65,3,FALSE),"")</f>
        <v/>
      </c>
      <c r="AI2238" s="10" t="str">
        <f>IFERROR(VLOOKUP(B2238,'Pre-Summary'!$AZ$6:$BE$65,5,FALSE),"")</f>
        <v/>
      </c>
      <c r="AJ2238" s="10" t="str">
        <f>IFERROR(VLOOKUP(B2238,'Pre-Summary'!$AZ$6:$BE$65,4,FALSE),"")</f>
        <v/>
      </c>
      <c r="AK2238" s="10" t="str">
        <f>IFERROR(VLOOKUP(B2238,'Pre-Summary'!$AZ$6:$BE$65,6,FALSE),"")</f>
        <v/>
      </c>
      <c r="AL2238" s="10" t="str">
        <f>IFERROR(VLOOKUP(B2238,'Pre-Summary'!$BG$6:$BL$44,3,FALSE),"")</f>
        <v/>
      </c>
      <c r="AM2238" s="10" t="str">
        <f>IFERROR(VLOOKUP(B2238,'Pre-Summary'!$BG$6:$BL$44,4,FALSE),"")</f>
        <v/>
      </c>
    </row>
    <row r="2239" spans="2:39" ht="15" customHeight="1" x14ac:dyDescent="0.3">
      <c r="B2239">
        <v>223.6</v>
      </c>
      <c r="C2239" t="str">
        <f>IFERROR(VLOOKUP(B2239,'Pre-Summary'!$DI$6:$DM$23,4,FALSE),"")</f>
        <v/>
      </c>
      <c r="D2239" s="10" t="str">
        <f>IFERROR(VLOOKUP(B2239,'Pre-Summary'!$AT$6:$AX$14,5,FALSE),D2238)</f>
        <v>Wolfe v3: went back to modified wolfe + EDTA and switched CuSO4 to CUCl2</v>
      </c>
      <c r="E2239" s="10" t="str">
        <f>IFERROR(VLOOKUP(B2239,'Pre-Summary'!$AT$6:$AX$15,4,FALSE),"")</f>
        <v/>
      </c>
      <c r="F2239">
        <f>IFERROR(VLOOKUP(B2239,'Pre-Summary'!$AL$6:$AQ$13,6,FALSE),F2238)</f>
        <v>5.9405263157894746E-2</v>
      </c>
      <c r="G2239" t="str">
        <f>IFERROR(VLOOKUP(B2239,'Pre-Summary'!$AE$6:$AJ$85,3,FALSE),"")</f>
        <v/>
      </c>
      <c r="H2239" t="str">
        <f>IFERROR(VLOOKUP(B2239,'Pre-Summary'!$AE$6:$AJ$85,4,FALSE),"")</f>
        <v/>
      </c>
      <c r="I2239" t="str">
        <f>IFERROR(VLOOKUP(B2239,'Pre-Summary'!$AE$6:$AJ$85,5,FALSE),"")</f>
        <v/>
      </c>
      <c r="J2239" s="45" t="str">
        <f>IFERROR(VLOOKUP(B2239,'Pre-Summary'!$AE$6:$AJ$85,6, FALSE),"")</f>
        <v/>
      </c>
      <c r="K2239" s="45" t="str">
        <f>IFERROR(VLOOKUP(B2239,'Pre-Summary'!$DE$6:$DG$61,3,FALSE),"")</f>
        <v/>
      </c>
      <c r="L2239" s="45" t="str">
        <f>IFERROR(VLOOKUP(B2239,'Pre-Summary'!$CU$6:$CW$36,3,FALSE),"")</f>
        <v/>
      </c>
      <c r="M2239" s="45" t="str">
        <f>IFERROR(VLOOKUP(B2239,'Pre-Summary'!$BW$6:$BY$58,2,FALSE),"")</f>
        <v/>
      </c>
      <c r="N2239" s="45" t="str">
        <f>IFERROR(VLOOKUP(B2239,'Pre-Summary'!$CD$6:$CF$64,2,FALSE),"")</f>
        <v/>
      </c>
      <c r="O2239" s="99">
        <f>IFERROR(VLOOKUP(B2239,'Pre-Summary'!$BO$6:$BQ$48,3, FALSE),O2238)</f>
        <v>1.508</v>
      </c>
      <c r="P2239" s="99">
        <f>IFERROR(VLOOKUP(B2239,'Pre-Summary'!$BS$6:$BU$35,3,FALSE),P2238)</f>
        <v>0.379</v>
      </c>
      <c r="Q2239" s="54">
        <f t="shared" si="102"/>
        <v>3.9788918205804751</v>
      </c>
      <c r="R2239" s="53">
        <f>IFERROR(VLOOKUP(B2239,'Pre-Summary'!$BG$6:$BM$44,7,FALSE),R2240)</f>
        <v>9.7948682664336664E-2</v>
      </c>
      <c r="S2239" s="53">
        <f>IFERROR(VLOOKUP(B2239,'Pre-Summary'!$BG$6:$BM$44,6,FALSE),S2240)</f>
        <v>0.10614035087720526</v>
      </c>
      <c r="T2239" s="45" t="str">
        <f>IFERROR(VLOOKUP(B2239,'Pre-Summary'!$Y$6:$AC$83, 3,FALSE),"")</f>
        <v/>
      </c>
      <c r="U2239" s="45" t="str">
        <f>IFERROR(VLOOKUP(B2239,'Pre-Summary'!$Y$6:$AC$83, 4,FALSE),"")</f>
        <v/>
      </c>
      <c r="V2239" t="str">
        <f>IFERROR(VLOOKUP(B2239,'Pre-Summary'!$Y$6:$AC$83, 5,FALSE),"")</f>
        <v/>
      </c>
      <c r="W2239" s="45" t="str">
        <f>IFERROR(VLOOKUP(B2239,'Pre-Summary'!$Y$6:$AD$83,6,FALSE),"")</f>
        <v/>
      </c>
      <c r="X2239" t="str">
        <f>IFERROR(VLOOKUP('Pre-Summary'!$DB$6:$DD$63,3,FALSE),"")</f>
        <v/>
      </c>
      <c r="Y2239" t="str">
        <f>IFERROR(VLOOKUP(B2239,'Pre-Summary'!$CR$6:$CT$36,3,FALSE),"")</f>
        <v/>
      </c>
      <c r="Z2239" s="45" t="str">
        <f>IFERROR(VLOOKUP(B2239,'Pre-Summary'!$BZ$6:$CB$63,2,FALSE),"")</f>
        <v/>
      </c>
      <c r="AA2239" s="45" t="str">
        <f>IFERROR(VLOOKUP(B2239,'Pre-Summary'!$CG$6:$CI$70,2,FALSE),"")</f>
        <v/>
      </c>
      <c r="AB2239" s="99">
        <f>IFERROR(VLOOKUP(B2239,'Pre-Summary'!$A$6:$P$178,9,FALSE),AB2240)</f>
        <v>0.35465514391001818</v>
      </c>
      <c r="AC2239" s="10">
        <f>IFERROR(VLOOKUP(Summary!B2239,'Pre-Summary'!$A$6:$P$184,5, FALSE)/100,AC2240)</f>
        <v>0.94276500000000008</v>
      </c>
      <c r="AD2239" s="10">
        <f>IFERROR(VLOOKUP(Summary!B2239,'Pre-Summary'!$A$6:$P$184,3, FALSE)/100,AD2240)</f>
        <v>4.2818000000000002E-2</v>
      </c>
      <c r="AE2239" s="10">
        <f>IFERROR(VLOOKUP(Summary!B2239,'Pre-Summary'!$A$6:$P$184,7, FALSE)/100,AE2240)</f>
        <v>1.4416999999999999E-2</v>
      </c>
      <c r="AF2239" s="99">
        <f t="shared" si="103"/>
        <v>1.5185623951939158E-2</v>
      </c>
      <c r="AG2239" s="99">
        <f t="shared" si="104"/>
        <v>5.1130632097507317E-3</v>
      </c>
      <c r="AH2239" s="10" t="str">
        <f>IFERROR(VLOOKUP(B2239,'Pre-Summary'!$AZ$6:$BE$65,3,FALSE),"")</f>
        <v/>
      </c>
      <c r="AI2239" s="10" t="str">
        <f>IFERROR(VLOOKUP(B2239,'Pre-Summary'!$AZ$6:$BE$65,5,FALSE),"")</f>
        <v/>
      </c>
      <c r="AJ2239" s="10" t="str">
        <f>IFERROR(VLOOKUP(B2239,'Pre-Summary'!$AZ$6:$BE$65,4,FALSE),"")</f>
        <v/>
      </c>
      <c r="AK2239" s="10" t="str">
        <f>IFERROR(VLOOKUP(B2239,'Pre-Summary'!$AZ$6:$BE$65,6,FALSE),"")</f>
        <v/>
      </c>
      <c r="AL2239" s="10" t="str">
        <f>IFERROR(VLOOKUP(B2239,'Pre-Summary'!$BG$6:$BL$44,3,FALSE),"")</f>
        <v/>
      </c>
      <c r="AM2239" s="10" t="str">
        <f>IFERROR(VLOOKUP(B2239,'Pre-Summary'!$BG$6:$BL$44,4,FALSE),"")</f>
        <v/>
      </c>
    </row>
    <row r="2240" spans="2:39" ht="15" customHeight="1" x14ac:dyDescent="0.3">
      <c r="B2240">
        <v>223.7</v>
      </c>
      <c r="C2240" t="str">
        <f>IFERROR(VLOOKUP(B2240,'Pre-Summary'!$DI$6:$DM$23,4,FALSE),"")</f>
        <v/>
      </c>
      <c r="D2240" s="10" t="str">
        <f>IFERROR(VLOOKUP(B2240,'Pre-Summary'!$AT$6:$AX$14,5,FALSE),D2239)</f>
        <v>Wolfe v3: went back to modified wolfe + EDTA and switched CuSO4 to CUCl2</v>
      </c>
      <c r="E2240" s="10" t="str">
        <f>IFERROR(VLOOKUP(B2240,'Pre-Summary'!$AT$6:$AX$15,4,FALSE),"")</f>
        <v/>
      </c>
      <c r="F2240">
        <f>IFERROR(VLOOKUP(B2240,'Pre-Summary'!$AL$6:$AQ$13,6,FALSE),F2239)</f>
        <v>5.9405263157894746E-2</v>
      </c>
      <c r="G2240" t="str">
        <f>IFERROR(VLOOKUP(B2240,'Pre-Summary'!$AE$6:$AJ$85,3,FALSE),"")</f>
        <v/>
      </c>
      <c r="H2240" t="str">
        <f>IFERROR(VLOOKUP(B2240,'Pre-Summary'!$AE$6:$AJ$85,4,FALSE),"")</f>
        <v/>
      </c>
      <c r="I2240" t="str">
        <f>IFERROR(VLOOKUP(B2240,'Pre-Summary'!$AE$6:$AJ$85,5,FALSE),"")</f>
        <v/>
      </c>
      <c r="J2240" s="45" t="str">
        <f>IFERROR(VLOOKUP(B2240,'Pre-Summary'!$AE$6:$AJ$85,6, FALSE),"")</f>
        <v/>
      </c>
      <c r="K2240" s="45" t="str">
        <f>IFERROR(VLOOKUP(B2240,'Pre-Summary'!$DE$6:$DG$61,3,FALSE),"")</f>
        <v/>
      </c>
      <c r="L2240" s="45" t="str">
        <f>IFERROR(VLOOKUP(B2240,'Pre-Summary'!$CU$6:$CW$36,3,FALSE),"")</f>
        <v/>
      </c>
      <c r="M2240" s="45" t="str">
        <f>IFERROR(VLOOKUP(B2240,'Pre-Summary'!$BW$6:$BY$58,2,FALSE),"")</f>
        <v/>
      </c>
      <c r="N2240" s="45" t="str">
        <f>IFERROR(VLOOKUP(B2240,'Pre-Summary'!$CD$6:$CF$64,2,FALSE),"")</f>
        <v/>
      </c>
      <c r="O2240" s="99">
        <f>IFERROR(VLOOKUP(B2240,'Pre-Summary'!$BO$6:$BQ$48,3, FALSE),O2239)</f>
        <v>1.508</v>
      </c>
      <c r="P2240" s="99">
        <f>IFERROR(VLOOKUP(B2240,'Pre-Summary'!$BS$6:$BU$35,3,FALSE),P2239)</f>
        <v>0.379</v>
      </c>
      <c r="Q2240" s="54">
        <f t="shared" si="102"/>
        <v>3.9788918205804751</v>
      </c>
      <c r="R2240" s="53">
        <f>IFERROR(VLOOKUP(B2240,'Pre-Summary'!$BG$6:$BM$44,7,FALSE),R2241)</f>
        <v>9.7948682664336664E-2</v>
      </c>
      <c r="S2240" s="53">
        <f>IFERROR(VLOOKUP(B2240,'Pre-Summary'!$BG$6:$BM$44,6,FALSE),S2241)</f>
        <v>0.10614035087720526</v>
      </c>
      <c r="T2240" s="45" t="str">
        <f>IFERROR(VLOOKUP(B2240,'Pre-Summary'!$Y$6:$AC$83, 3,FALSE),"")</f>
        <v/>
      </c>
      <c r="U2240" s="45" t="str">
        <f>IFERROR(VLOOKUP(B2240,'Pre-Summary'!$Y$6:$AC$83, 4,FALSE),"")</f>
        <v/>
      </c>
      <c r="V2240" t="str">
        <f>IFERROR(VLOOKUP(B2240,'Pre-Summary'!$Y$6:$AC$83, 5,FALSE),"")</f>
        <v/>
      </c>
      <c r="W2240" s="45" t="str">
        <f>IFERROR(VLOOKUP(B2240,'Pre-Summary'!$Y$6:$AD$83,6,FALSE),"")</f>
        <v/>
      </c>
      <c r="X2240" t="str">
        <f>IFERROR(VLOOKUP('Pre-Summary'!$DB$6:$DD$63,3,FALSE),"")</f>
        <v/>
      </c>
      <c r="Y2240" t="str">
        <f>IFERROR(VLOOKUP(B2240,'Pre-Summary'!$CR$6:$CT$36,3,FALSE),"")</f>
        <v/>
      </c>
      <c r="Z2240" s="45" t="str">
        <f>IFERROR(VLOOKUP(B2240,'Pre-Summary'!$BZ$6:$CB$63,2,FALSE),"")</f>
        <v/>
      </c>
      <c r="AA2240" s="45" t="str">
        <f>IFERROR(VLOOKUP(B2240,'Pre-Summary'!$CG$6:$CI$70,2,FALSE),"")</f>
        <v/>
      </c>
      <c r="AB2240" s="99">
        <f>IFERROR(VLOOKUP(B2240,'Pre-Summary'!$A$6:$P$178,9,FALSE),AB2241)</f>
        <v>0.35465514391001818</v>
      </c>
      <c r="AC2240" s="10">
        <f>IFERROR(VLOOKUP(Summary!B2240,'Pre-Summary'!$A$6:$P$184,5, FALSE)/100,AC2241)</f>
        <v>0.94276500000000008</v>
      </c>
      <c r="AD2240" s="10">
        <f>IFERROR(VLOOKUP(Summary!B2240,'Pre-Summary'!$A$6:$P$184,3, FALSE)/100,AD2241)</f>
        <v>4.2818000000000002E-2</v>
      </c>
      <c r="AE2240" s="10">
        <f>IFERROR(VLOOKUP(Summary!B2240,'Pre-Summary'!$A$6:$P$184,7, FALSE)/100,AE2241)</f>
        <v>1.4416999999999999E-2</v>
      </c>
      <c r="AF2240" s="99">
        <f t="shared" si="103"/>
        <v>1.5185623951939158E-2</v>
      </c>
      <c r="AG2240" s="99">
        <f t="shared" si="104"/>
        <v>5.1130632097507317E-3</v>
      </c>
      <c r="AH2240" s="10" t="str">
        <f>IFERROR(VLOOKUP(B2240,'Pre-Summary'!$AZ$6:$BE$65,3,FALSE),"")</f>
        <v/>
      </c>
      <c r="AI2240" s="10" t="str">
        <f>IFERROR(VLOOKUP(B2240,'Pre-Summary'!$AZ$6:$BE$65,5,FALSE),"")</f>
        <v/>
      </c>
      <c r="AJ2240" s="10" t="str">
        <f>IFERROR(VLOOKUP(B2240,'Pre-Summary'!$AZ$6:$BE$65,4,FALSE),"")</f>
        <v/>
      </c>
      <c r="AK2240" s="10" t="str">
        <f>IFERROR(VLOOKUP(B2240,'Pre-Summary'!$AZ$6:$BE$65,6,FALSE),"")</f>
        <v/>
      </c>
      <c r="AL2240" s="10" t="str">
        <f>IFERROR(VLOOKUP(B2240,'Pre-Summary'!$BG$6:$BL$44,3,FALSE),"")</f>
        <v/>
      </c>
      <c r="AM2240" s="10" t="str">
        <f>IFERROR(VLOOKUP(B2240,'Pre-Summary'!$BG$6:$BL$44,4,FALSE),"")</f>
        <v/>
      </c>
    </row>
    <row r="2241" spans="2:39" ht="15" customHeight="1" x14ac:dyDescent="0.3">
      <c r="B2241">
        <v>223.8</v>
      </c>
      <c r="C2241" t="str">
        <f>IFERROR(VLOOKUP(B2241,'Pre-Summary'!$DI$6:$DM$23,4,FALSE),"")</f>
        <v/>
      </c>
      <c r="D2241" s="10" t="str">
        <f>IFERROR(VLOOKUP(B2241,'Pre-Summary'!$AT$6:$AX$14,5,FALSE),D2240)</f>
        <v>Wolfe v3: went back to modified wolfe + EDTA and switched CuSO4 to CUCl2</v>
      </c>
      <c r="E2241" s="10" t="str">
        <f>IFERROR(VLOOKUP(B2241,'Pre-Summary'!$AT$6:$AX$15,4,FALSE),"")</f>
        <v/>
      </c>
      <c r="F2241">
        <f>IFERROR(VLOOKUP(B2241,'Pre-Summary'!$AL$6:$AQ$13,6,FALSE),F2240)</f>
        <v>5.9405263157894746E-2</v>
      </c>
      <c r="G2241" t="str">
        <f>IFERROR(VLOOKUP(B2241,'Pre-Summary'!$AE$6:$AJ$85,3,FALSE),"")</f>
        <v/>
      </c>
      <c r="H2241" t="str">
        <f>IFERROR(VLOOKUP(B2241,'Pre-Summary'!$AE$6:$AJ$85,4,FALSE),"")</f>
        <v/>
      </c>
      <c r="I2241" t="str">
        <f>IFERROR(VLOOKUP(B2241,'Pre-Summary'!$AE$6:$AJ$85,5,FALSE),"")</f>
        <v/>
      </c>
      <c r="J2241" s="45" t="str">
        <f>IFERROR(VLOOKUP(B2241,'Pre-Summary'!$AE$6:$AJ$85,6, FALSE),"")</f>
        <v/>
      </c>
      <c r="K2241" s="45" t="str">
        <f>IFERROR(VLOOKUP(B2241,'Pre-Summary'!$DE$6:$DG$61,3,FALSE),"")</f>
        <v/>
      </c>
      <c r="L2241" s="45" t="str">
        <f>IFERROR(VLOOKUP(B2241,'Pre-Summary'!$CU$6:$CW$36,3,FALSE),"")</f>
        <v/>
      </c>
      <c r="M2241" s="45" t="str">
        <f>IFERROR(VLOOKUP(B2241,'Pre-Summary'!$BW$6:$BY$58,2,FALSE),"")</f>
        <v/>
      </c>
      <c r="N2241" s="45" t="str">
        <f>IFERROR(VLOOKUP(B2241,'Pre-Summary'!$CD$6:$CF$64,2,FALSE),"")</f>
        <v/>
      </c>
      <c r="O2241" s="99">
        <f>IFERROR(VLOOKUP(B2241,'Pre-Summary'!$BO$6:$BQ$48,3, FALSE),O2240)</f>
        <v>1.508</v>
      </c>
      <c r="P2241" s="99">
        <f>IFERROR(VLOOKUP(B2241,'Pre-Summary'!$BS$6:$BU$35,3,FALSE),P2240)</f>
        <v>0.379</v>
      </c>
      <c r="Q2241" s="54">
        <f t="shared" si="102"/>
        <v>3.9788918205804751</v>
      </c>
      <c r="R2241" s="53">
        <f>IFERROR(VLOOKUP(B2241,'Pre-Summary'!$BG$6:$BM$44,7,FALSE),R2242)</f>
        <v>9.7948682664336664E-2</v>
      </c>
      <c r="S2241" s="53">
        <f>IFERROR(VLOOKUP(B2241,'Pre-Summary'!$BG$6:$BM$44,6,FALSE),S2242)</f>
        <v>0.10614035087720526</v>
      </c>
      <c r="T2241" s="45" t="str">
        <f>IFERROR(VLOOKUP(B2241,'Pre-Summary'!$Y$6:$AC$83, 3,FALSE),"")</f>
        <v/>
      </c>
      <c r="U2241" s="45" t="str">
        <f>IFERROR(VLOOKUP(B2241,'Pre-Summary'!$Y$6:$AC$83, 4,FALSE),"")</f>
        <v/>
      </c>
      <c r="V2241" t="str">
        <f>IFERROR(VLOOKUP(B2241,'Pre-Summary'!$Y$6:$AC$83, 5,FALSE),"")</f>
        <v/>
      </c>
      <c r="W2241" s="45" t="str">
        <f>IFERROR(VLOOKUP(B2241,'Pre-Summary'!$Y$6:$AD$83,6,FALSE),"")</f>
        <v/>
      </c>
      <c r="X2241" t="str">
        <f>IFERROR(VLOOKUP('Pre-Summary'!$DB$6:$DD$63,3,FALSE),"")</f>
        <v/>
      </c>
      <c r="Y2241" t="str">
        <f>IFERROR(VLOOKUP(B2241,'Pre-Summary'!$CR$6:$CT$36,3,FALSE),"")</f>
        <v/>
      </c>
      <c r="Z2241" s="45" t="str">
        <f>IFERROR(VLOOKUP(B2241,'Pre-Summary'!$BZ$6:$CB$63,2,FALSE),"")</f>
        <v/>
      </c>
      <c r="AA2241" s="45" t="str">
        <f>IFERROR(VLOOKUP(B2241,'Pre-Summary'!$CG$6:$CI$70,2,FALSE),"")</f>
        <v/>
      </c>
      <c r="AB2241" s="99">
        <f>IFERROR(VLOOKUP(B2241,'Pre-Summary'!$A$6:$P$178,9,FALSE),AB2242)</f>
        <v>0.35465514391001818</v>
      </c>
      <c r="AC2241" s="10">
        <f>IFERROR(VLOOKUP(Summary!B2241,'Pre-Summary'!$A$6:$P$184,5, FALSE)/100,AC2242)</f>
        <v>0.94276500000000008</v>
      </c>
      <c r="AD2241" s="10">
        <f>IFERROR(VLOOKUP(Summary!B2241,'Pre-Summary'!$A$6:$P$184,3, FALSE)/100,AD2242)</f>
        <v>4.2818000000000002E-2</v>
      </c>
      <c r="AE2241" s="10">
        <f>IFERROR(VLOOKUP(Summary!B2241,'Pre-Summary'!$A$6:$P$184,7, FALSE)/100,AE2242)</f>
        <v>1.4416999999999999E-2</v>
      </c>
      <c r="AF2241" s="99">
        <f t="shared" si="103"/>
        <v>1.5185623951939158E-2</v>
      </c>
      <c r="AG2241" s="99">
        <f t="shared" si="104"/>
        <v>5.1130632097507317E-3</v>
      </c>
      <c r="AH2241" s="10" t="str">
        <f>IFERROR(VLOOKUP(B2241,'Pre-Summary'!$AZ$6:$BE$65,3,FALSE),"")</f>
        <v/>
      </c>
      <c r="AI2241" s="10" t="str">
        <f>IFERROR(VLOOKUP(B2241,'Pre-Summary'!$AZ$6:$BE$65,5,FALSE),"")</f>
        <v/>
      </c>
      <c r="AJ2241" s="10" t="str">
        <f>IFERROR(VLOOKUP(B2241,'Pre-Summary'!$AZ$6:$BE$65,4,FALSE),"")</f>
        <v/>
      </c>
      <c r="AK2241" s="10" t="str">
        <f>IFERROR(VLOOKUP(B2241,'Pre-Summary'!$AZ$6:$BE$65,6,FALSE),"")</f>
        <v/>
      </c>
      <c r="AL2241" s="10" t="str">
        <f>IFERROR(VLOOKUP(B2241,'Pre-Summary'!$BG$6:$BL$44,3,FALSE),"")</f>
        <v/>
      </c>
      <c r="AM2241" s="10" t="str">
        <f>IFERROR(VLOOKUP(B2241,'Pre-Summary'!$BG$6:$BL$44,4,FALSE),"")</f>
        <v/>
      </c>
    </row>
    <row r="2242" spans="2:39" ht="15" customHeight="1" x14ac:dyDescent="0.3">
      <c r="B2242">
        <v>223.9</v>
      </c>
      <c r="C2242" t="str">
        <f>IFERROR(VLOOKUP(B2242,'Pre-Summary'!$DI$6:$DM$23,4,FALSE),"")</f>
        <v/>
      </c>
      <c r="D2242" s="10" t="str">
        <f>IFERROR(VLOOKUP(B2242,'Pre-Summary'!$AT$6:$AX$14,5,FALSE),D2241)</f>
        <v>Wolfe v3: went back to modified wolfe + EDTA and switched CuSO4 to CUCl2</v>
      </c>
      <c r="E2242" s="10" t="str">
        <f>IFERROR(VLOOKUP(B2242,'Pre-Summary'!$AT$6:$AX$15,4,FALSE),"")</f>
        <v/>
      </c>
      <c r="F2242">
        <f>IFERROR(VLOOKUP(B2242,'Pre-Summary'!$AL$6:$AQ$13,6,FALSE),F2241)</f>
        <v>5.9405263157894746E-2</v>
      </c>
      <c r="G2242" t="str">
        <f>IFERROR(VLOOKUP(B2242,'Pre-Summary'!$AE$6:$AJ$85,3,FALSE),"")</f>
        <v/>
      </c>
      <c r="H2242" t="str">
        <f>IFERROR(VLOOKUP(B2242,'Pre-Summary'!$AE$6:$AJ$85,4,FALSE),"")</f>
        <v/>
      </c>
      <c r="I2242" t="str">
        <f>IFERROR(VLOOKUP(B2242,'Pre-Summary'!$AE$6:$AJ$85,5,FALSE),"")</f>
        <v/>
      </c>
      <c r="J2242" s="45" t="str">
        <f>IFERROR(VLOOKUP(B2242,'Pre-Summary'!$AE$6:$AJ$85,6, FALSE),"")</f>
        <v/>
      </c>
      <c r="K2242" s="45" t="str">
        <f>IFERROR(VLOOKUP(B2242,'Pre-Summary'!$DE$6:$DG$61,3,FALSE),"")</f>
        <v/>
      </c>
      <c r="L2242" s="45" t="str">
        <f>IFERROR(VLOOKUP(B2242,'Pre-Summary'!$CU$6:$CW$36,3,FALSE),"")</f>
        <v/>
      </c>
      <c r="M2242" s="45" t="str">
        <f>IFERROR(VLOOKUP(B2242,'Pre-Summary'!$BW$6:$BY$58,2,FALSE),"")</f>
        <v/>
      </c>
      <c r="N2242" s="45" t="str">
        <f>IFERROR(VLOOKUP(B2242,'Pre-Summary'!$CD$6:$CF$64,2,FALSE),"")</f>
        <v/>
      </c>
      <c r="O2242" s="99">
        <f>IFERROR(VLOOKUP(B2242,'Pre-Summary'!$BO$6:$BQ$48,3, FALSE),O2241)</f>
        <v>1.508</v>
      </c>
      <c r="P2242" s="99">
        <f>IFERROR(VLOOKUP(B2242,'Pre-Summary'!$BS$6:$BU$35,3,FALSE),P2241)</f>
        <v>0.379</v>
      </c>
      <c r="Q2242" s="54">
        <f t="shared" si="102"/>
        <v>3.9788918205804751</v>
      </c>
      <c r="R2242" s="53">
        <f>IFERROR(VLOOKUP(B2242,'Pre-Summary'!$BG$6:$BM$44,7,FALSE),R2243)</f>
        <v>9.7948682664336664E-2</v>
      </c>
      <c r="S2242" s="53">
        <f>IFERROR(VLOOKUP(B2242,'Pre-Summary'!$BG$6:$BM$44,6,FALSE),S2243)</f>
        <v>0.10614035087720526</v>
      </c>
      <c r="T2242" s="45" t="str">
        <f>IFERROR(VLOOKUP(B2242,'Pre-Summary'!$Y$6:$AC$83, 3,FALSE),"")</f>
        <v/>
      </c>
      <c r="U2242" s="45" t="str">
        <f>IFERROR(VLOOKUP(B2242,'Pre-Summary'!$Y$6:$AC$83, 4,FALSE),"")</f>
        <v/>
      </c>
      <c r="V2242" t="str">
        <f>IFERROR(VLOOKUP(B2242,'Pre-Summary'!$Y$6:$AC$83, 5,FALSE),"")</f>
        <v/>
      </c>
      <c r="W2242" s="45" t="str">
        <f>IFERROR(VLOOKUP(B2242,'Pre-Summary'!$Y$6:$AD$83,6,FALSE),"")</f>
        <v/>
      </c>
      <c r="X2242" t="str">
        <f>IFERROR(VLOOKUP('Pre-Summary'!$DB$6:$DD$63,3,FALSE),"")</f>
        <v/>
      </c>
      <c r="Y2242" t="str">
        <f>IFERROR(VLOOKUP(B2242,'Pre-Summary'!$CR$6:$CT$36,3,FALSE),"")</f>
        <v/>
      </c>
      <c r="Z2242" s="45" t="str">
        <f>IFERROR(VLOOKUP(B2242,'Pre-Summary'!$BZ$6:$CB$63,2,FALSE),"")</f>
        <v/>
      </c>
      <c r="AA2242" s="45" t="str">
        <f>IFERROR(VLOOKUP(B2242,'Pre-Summary'!$CG$6:$CI$70,2,FALSE),"")</f>
        <v/>
      </c>
      <c r="AB2242" s="99">
        <f>IFERROR(VLOOKUP(B2242,'Pre-Summary'!$A$6:$P$178,9,FALSE),AB2243)</f>
        <v>0.35465514391001818</v>
      </c>
      <c r="AC2242" s="10">
        <f>IFERROR(VLOOKUP(Summary!B2242,'Pre-Summary'!$A$6:$P$184,5, FALSE)/100,AC2243)</f>
        <v>0.94276500000000008</v>
      </c>
      <c r="AD2242" s="10">
        <f>IFERROR(VLOOKUP(Summary!B2242,'Pre-Summary'!$A$6:$P$184,3, FALSE)/100,AD2243)</f>
        <v>4.2818000000000002E-2</v>
      </c>
      <c r="AE2242" s="10">
        <f>IFERROR(VLOOKUP(Summary!B2242,'Pre-Summary'!$A$6:$P$184,7, FALSE)/100,AE2243)</f>
        <v>1.4416999999999999E-2</v>
      </c>
      <c r="AF2242" s="99">
        <f t="shared" si="103"/>
        <v>1.5185623951939158E-2</v>
      </c>
      <c r="AG2242" s="99">
        <f t="shared" si="104"/>
        <v>5.1130632097507317E-3</v>
      </c>
      <c r="AH2242" s="10" t="str">
        <f>IFERROR(VLOOKUP(B2242,'Pre-Summary'!$AZ$6:$BE$65,3,FALSE),"")</f>
        <v/>
      </c>
      <c r="AI2242" s="10" t="str">
        <f>IFERROR(VLOOKUP(B2242,'Pre-Summary'!$AZ$6:$BE$65,5,FALSE),"")</f>
        <v/>
      </c>
      <c r="AJ2242" s="10" t="str">
        <f>IFERROR(VLOOKUP(B2242,'Pre-Summary'!$AZ$6:$BE$65,4,FALSE),"")</f>
        <v/>
      </c>
      <c r="AK2242" s="10" t="str">
        <f>IFERROR(VLOOKUP(B2242,'Pre-Summary'!$AZ$6:$BE$65,6,FALSE),"")</f>
        <v/>
      </c>
      <c r="AL2242" s="10" t="str">
        <f>IFERROR(VLOOKUP(B2242,'Pre-Summary'!$BG$6:$BL$44,3,FALSE),"")</f>
        <v/>
      </c>
      <c r="AM2242" s="10" t="str">
        <f>IFERROR(VLOOKUP(B2242,'Pre-Summary'!$BG$6:$BL$44,4,FALSE),"")</f>
        <v/>
      </c>
    </row>
    <row r="2243" spans="2:39" ht="15" customHeight="1" x14ac:dyDescent="0.3">
      <c r="B2243">
        <v>224</v>
      </c>
      <c r="C2243" t="str">
        <f>IFERROR(VLOOKUP(B2243,'Pre-Summary'!$DI$6:$DM$23,4,FALSE),"")</f>
        <v/>
      </c>
      <c r="D2243" s="10" t="str">
        <f>IFERROR(VLOOKUP(B2243,'Pre-Summary'!$AT$6:$AX$14,5,FALSE),D2242)</f>
        <v>Wolfe v3: went back to modified wolfe + EDTA and switched CuSO4 to CUCl2</v>
      </c>
      <c r="E2243" s="10" t="str">
        <f>IFERROR(VLOOKUP(B2243,'Pre-Summary'!$AT$6:$AX$15,4,FALSE),"")</f>
        <v/>
      </c>
      <c r="F2243">
        <f>IFERROR(VLOOKUP(B2243,'Pre-Summary'!$AL$6:$AQ$13,6,FALSE),F2242)</f>
        <v>5.9405263157894746E-2</v>
      </c>
      <c r="G2243" t="str">
        <f>IFERROR(VLOOKUP(B2243,'Pre-Summary'!$AE$6:$AJ$85,3,FALSE),"")</f>
        <v/>
      </c>
      <c r="H2243" t="str">
        <f>IFERROR(VLOOKUP(B2243,'Pre-Summary'!$AE$6:$AJ$85,4,FALSE),"")</f>
        <v/>
      </c>
      <c r="I2243" t="str">
        <f>IFERROR(VLOOKUP(B2243,'Pre-Summary'!$AE$6:$AJ$85,5,FALSE),"")</f>
        <v/>
      </c>
      <c r="J2243" s="45" t="str">
        <f>IFERROR(VLOOKUP(B2243,'Pre-Summary'!$AE$6:$AJ$85,6, FALSE),"")</f>
        <v/>
      </c>
      <c r="K2243" s="45" t="str">
        <f>IFERROR(VLOOKUP(B2243,'Pre-Summary'!$DE$6:$DG$61,3,FALSE),"")</f>
        <v/>
      </c>
      <c r="L2243" s="45" t="str">
        <f>IFERROR(VLOOKUP(B2243,'Pre-Summary'!$CU$6:$CW$36,3,FALSE),"")</f>
        <v/>
      </c>
      <c r="M2243" s="45" t="str">
        <f>IFERROR(VLOOKUP(B2243,'Pre-Summary'!$BW$6:$BY$58,2,FALSE),"")</f>
        <v/>
      </c>
      <c r="N2243" s="45" t="str">
        <f>IFERROR(VLOOKUP(B2243,'Pre-Summary'!$CD$6:$CF$64,2,FALSE),"")</f>
        <v/>
      </c>
      <c r="O2243" s="99">
        <f>IFERROR(VLOOKUP(B2243,'Pre-Summary'!$BO$6:$BQ$48,3, FALSE),O2242)</f>
        <v>1.508</v>
      </c>
      <c r="P2243" s="99">
        <f>IFERROR(VLOOKUP(B2243,'Pre-Summary'!$BS$6:$BU$35,3,FALSE),P2242)</f>
        <v>0.379</v>
      </c>
      <c r="Q2243" s="54">
        <f t="shared" ref="Q2243:Q2306" si="105">O2243/P2243</f>
        <v>3.9788918205804751</v>
      </c>
      <c r="R2243" s="53">
        <f>IFERROR(VLOOKUP(B2243,'Pre-Summary'!$BG$6:$BM$44,7,FALSE),R2244)</f>
        <v>9.7948682664336664E-2</v>
      </c>
      <c r="S2243" s="53">
        <f>IFERROR(VLOOKUP(B2243,'Pre-Summary'!$BG$6:$BM$44,6,FALSE),S2244)</f>
        <v>0.10614035087720526</v>
      </c>
      <c r="T2243" s="45" t="str">
        <f>IFERROR(VLOOKUP(B2243,'Pre-Summary'!$Y$6:$AC$83, 3,FALSE),"")</f>
        <v/>
      </c>
      <c r="U2243" s="45" t="str">
        <f>IFERROR(VLOOKUP(B2243,'Pre-Summary'!$Y$6:$AC$83, 4,FALSE),"")</f>
        <v/>
      </c>
      <c r="V2243" t="str">
        <f>IFERROR(VLOOKUP(B2243,'Pre-Summary'!$Y$6:$AC$83, 5,FALSE),"")</f>
        <v/>
      </c>
      <c r="W2243" s="45" t="str">
        <f>IFERROR(VLOOKUP(B2243,'Pre-Summary'!$Y$6:$AD$83,6,FALSE),"")</f>
        <v/>
      </c>
      <c r="X2243" t="str">
        <f>IFERROR(VLOOKUP('Pre-Summary'!$DB$6:$DD$63,3,FALSE),"")</f>
        <v/>
      </c>
      <c r="Y2243" t="str">
        <f>IFERROR(VLOOKUP(B2243,'Pre-Summary'!$CR$6:$CT$36,3,FALSE),"")</f>
        <v/>
      </c>
      <c r="Z2243" s="45" t="str">
        <f>IFERROR(VLOOKUP(B2243,'Pre-Summary'!$BZ$6:$CB$63,2,FALSE),"")</f>
        <v/>
      </c>
      <c r="AA2243" s="45" t="str">
        <f>IFERROR(VLOOKUP(B2243,'Pre-Summary'!$CG$6:$CI$70,2,FALSE),"")</f>
        <v/>
      </c>
      <c r="AB2243" s="99">
        <f>IFERROR(VLOOKUP(B2243,'Pre-Summary'!$A$6:$P$178,9,FALSE),AB2244)</f>
        <v>0.35465514391001818</v>
      </c>
      <c r="AC2243" s="10">
        <f>IFERROR(VLOOKUP(Summary!B2243,'Pre-Summary'!$A$6:$P$184,5, FALSE)/100,AC2244)</f>
        <v>0.94276500000000008</v>
      </c>
      <c r="AD2243" s="10">
        <f>IFERROR(VLOOKUP(Summary!B2243,'Pre-Summary'!$A$6:$P$184,3, FALSE)/100,AD2244)</f>
        <v>4.2818000000000002E-2</v>
      </c>
      <c r="AE2243" s="10">
        <f>IFERROR(VLOOKUP(Summary!B2243,'Pre-Summary'!$A$6:$P$184,7, FALSE)/100,AE2244)</f>
        <v>1.4416999999999999E-2</v>
      </c>
      <c r="AF2243" s="99">
        <f t="shared" ref="AF2243:AF2306" si="106">AD2243*AB2243</f>
        <v>1.5185623951939158E-2</v>
      </c>
      <c r="AG2243" s="99">
        <f t="shared" ref="AG2243:AG2306" si="107">AB2243*AE2243</f>
        <v>5.1130632097507317E-3</v>
      </c>
      <c r="AH2243" s="10" t="str">
        <f>IFERROR(VLOOKUP(B2243,'Pre-Summary'!$AZ$6:$BE$65,3,FALSE),"")</f>
        <v/>
      </c>
      <c r="AI2243" s="10" t="str">
        <f>IFERROR(VLOOKUP(B2243,'Pre-Summary'!$AZ$6:$BE$65,5,FALSE),"")</f>
        <v/>
      </c>
      <c r="AJ2243" s="10" t="str">
        <f>IFERROR(VLOOKUP(B2243,'Pre-Summary'!$AZ$6:$BE$65,4,FALSE),"")</f>
        <v/>
      </c>
      <c r="AK2243" s="10" t="str">
        <f>IFERROR(VLOOKUP(B2243,'Pre-Summary'!$AZ$6:$BE$65,6,FALSE),"")</f>
        <v/>
      </c>
      <c r="AL2243" s="10" t="str">
        <f>IFERROR(VLOOKUP(B2243,'Pre-Summary'!$BG$6:$BL$44,3,FALSE),"")</f>
        <v/>
      </c>
      <c r="AM2243" s="10" t="str">
        <f>IFERROR(VLOOKUP(B2243,'Pre-Summary'!$BG$6:$BL$44,4,FALSE),"")</f>
        <v/>
      </c>
    </row>
    <row r="2244" spans="2:39" ht="15" customHeight="1" x14ac:dyDescent="0.3">
      <c r="B2244">
        <v>224.1</v>
      </c>
      <c r="C2244" t="str">
        <f>IFERROR(VLOOKUP(B2244,'Pre-Summary'!$DI$6:$DM$23,4,FALSE),"")</f>
        <v/>
      </c>
      <c r="D2244" s="10" t="str">
        <f>IFERROR(VLOOKUP(B2244,'Pre-Summary'!$AT$6:$AX$14,5,FALSE),D2243)</f>
        <v>Wolfe v3: went back to modified wolfe + EDTA and switched CuSO4 to CUCl2</v>
      </c>
      <c r="E2244" s="10" t="str">
        <f>IFERROR(VLOOKUP(B2244,'Pre-Summary'!$AT$6:$AX$15,4,FALSE),"")</f>
        <v/>
      </c>
      <c r="F2244">
        <f>IFERROR(VLOOKUP(B2244,'Pre-Summary'!$AL$6:$AQ$13,6,FALSE),F2243)</f>
        <v>5.9405263157894746E-2</v>
      </c>
      <c r="G2244" t="str">
        <f>IFERROR(VLOOKUP(B2244,'Pre-Summary'!$AE$6:$AJ$85,3,FALSE),"")</f>
        <v/>
      </c>
      <c r="H2244" t="str">
        <f>IFERROR(VLOOKUP(B2244,'Pre-Summary'!$AE$6:$AJ$85,4,FALSE),"")</f>
        <v/>
      </c>
      <c r="I2244" t="str">
        <f>IFERROR(VLOOKUP(B2244,'Pre-Summary'!$AE$6:$AJ$85,5,FALSE),"")</f>
        <v/>
      </c>
      <c r="J2244" s="45" t="str">
        <f>IFERROR(VLOOKUP(B2244,'Pre-Summary'!$AE$6:$AJ$85,6, FALSE),"")</f>
        <v/>
      </c>
      <c r="K2244" s="45" t="str">
        <f>IFERROR(VLOOKUP(B2244,'Pre-Summary'!$DE$6:$DG$61,3,FALSE),"")</f>
        <v/>
      </c>
      <c r="L2244" s="45" t="str">
        <f>IFERROR(VLOOKUP(B2244,'Pre-Summary'!$CU$6:$CW$36,3,FALSE),"")</f>
        <v/>
      </c>
      <c r="M2244" s="45" t="str">
        <f>IFERROR(VLOOKUP(B2244,'Pre-Summary'!$BW$6:$BY$58,2,FALSE),"")</f>
        <v/>
      </c>
      <c r="N2244" s="45" t="str">
        <f>IFERROR(VLOOKUP(B2244,'Pre-Summary'!$CD$6:$CF$64,2,FALSE),"")</f>
        <v/>
      </c>
      <c r="O2244" s="99">
        <f>IFERROR(VLOOKUP(B2244,'Pre-Summary'!$BO$6:$BQ$48,3, FALSE),O2243)</f>
        <v>1.508</v>
      </c>
      <c r="P2244" s="99">
        <f>IFERROR(VLOOKUP(B2244,'Pre-Summary'!$BS$6:$BU$35,3,FALSE),P2243)</f>
        <v>0.379</v>
      </c>
      <c r="Q2244" s="54">
        <f t="shared" si="105"/>
        <v>3.9788918205804751</v>
      </c>
      <c r="R2244" s="53">
        <f>IFERROR(VLOOKUP(B2244,'Pre-Summary'!$BG$6:$BM$44,7,FALSE),R2245)</f>
        <v>9.7948682664336664E-2</v>
      </c>
      <c r="S2244" s="53">
        <f>IFERROR(VLOOKUP(B2244,'Pre-Summary'!$BG$6:$BM$44,6,FALSE),S2245)</f>
        <v>0.10614035087720526</v>
      </c>
      <c r="T2244" s="45" t="str">
        <f>IFERROR(VLOOKUP(B2244,'Pre-Summary'!$Y$6:$AC$83, 3,FALSE),"")</f>
        <v/>
      </c>
      <c r="U2244" s="45" t="str">
        <f>IFERROR(VLOOKUP(B2244,'Pre-Summary'!$Y$6:$AC$83, 4,FALSE),"")</f>
        <v/>
      </c>
      <c r="V2244" t="str">
        <f>IFERROR(VLOOKUP(B2244,'Pre-Summary'!$Y$6:$AC$83, 5,FALSE),"")</f>
        <v/>
      </c>
      <c r="W2244" s="45" t="str">
        <f>IFERROR(VLOOKUP(B2244,'Pre-Summary'!$Y$6:$AD$83,6,FALSE),"")</f>
        <v/>
      </c>
      <c r="X2244" t="str">
        <f>IFERROR(VLOOKUP('Pre-Summary'!$DB$6:$DD$63,3,FALSE),"")</f>
        <v/>
      </c>
      <c r="Y2244" t="str">
        <f>IFERROR(VLOOKUP(B2244,'Pre-Summary'!$CR$6:$CT$36,3,FALSE),"")</f>
        <v/>
      </c>
      <c r="Z2244" s="45" t="str">
        <f>IFERROR(VLOOKUP(B2244,'Pre-Summary'!$BZ$6:$CB$63,2,FALSE),"")</f>
        <v/>
      </c>
      <c r="AA2244" s="45" t="str">
        <f>IFERROR(VLOOKUP(B2244,'Pre-Summary'!$CG$6:$CI$70,2,FALSE),"")</f>
        <v/>
      </c>
      <c r="AB2244" s="99">
        <f>IFERROR(VLOOKUP(B2244,'Pre-Summary'!$A$6:$P$178,9,FALSE),AB2245)</f>
        <v>0.35465514391001818</v>
      </c>
      <c r="AC2244" s="10">
        <f>IFERROR(VLOOKUP(Summary!B2244,'Pre-Summary'!$A$6:$P$184,5, FALSE)/100,AC2245)</f>
        <v>0.94276500000000008</v>
      </c>
      <c r="AD2244" s="10">
        <f>IFERROR(VLOOKUP(Summary!B2244,'Pre-Summary'!$A$6:$P$184,3, FALSE)/100,AD2245)</f>
        <v>4.2818000000000002E-2</v>
      </c>
      <c r="AE2244" s="10">
        <f>IFERROR(VLOOKUP(Summary!B2244,'Pre-Summary'!$A$6:$P$184,7, FALSE)/100,AE2245)</f>
        <v>1.4416999999999999E-2</v>
      </c>
      <c r="AF2244" s="99">
        <f t="shared" si="106"/>
        <v>1.5185623951939158E-2</v>
      </c>
      <c r="AG2244" s="99">
        <f t="shared" si="107"/>
        <v>5.1130632097507317E-3</v>
      </c>
      <c r="AH2244" s="10" t="str">
        <f>IFERROR(VLOOKUP(B2244,'Pre-Summary'!$AZ$6:$BE$65,3,FALSE),"")</f>
        <v/>
      </c>
      <c r="AI2244" s="10" t="str">
        <f>IFERROR(VLOOKUP(B2244,'Pre-Summary'!$AZ$6:$BE$65,5,FALSE),"")</f>
        <v/>
      </c>
      <c r="AJ2244" s="10" t="str">
        <f>IFERROR(VLOOKUP(B2244,'Pre-Summary'!$AZ$6:$BE$65,4,FALSE),"")</f>
        <v/>
      </c>
      <c r="AK2244" s="10" t="str">
        <f>IFERROR(VLOOKUP(B2244,'Pre-Summary'!$AZ$6:$BE$65,6,FALSE),"")</f>
        <v/>
      </c>
      <c r="AL2244" s="10" t="str">
        <f>IFERROR(VLOOKUP(B2244,'Pre-Summary'!$BG$6:$BL$44,3,FALSE),"")</f>
        <v/>
      </c>
      <c r="AM2244" s="10" t="str">
        <f>IFERROR(VLOOKUP(B2244,'Pre-Summary'!$BG$6:$BL$44,4,FALSE),"")</f>
        <v/>
      </c>
    </row>
    <row r="2245" spans="2:39" ht="15" customHeight="1" x14ac:dyDescent="0.3">
      <c r="B2245">
        <v>224.2</v>
      </c>
      <c r="C2245" t="str">
        <f>IFERROR(VLOOKUP(B2245,'Pre-Summary'!$DI$6:$DM$23,4,FALSE),"")</f>
        <v/>
      </c>
      <c r="D2245" s="10" t="str">
        <f>IFERROR(VLOOKUP(B2245,'Pre-Summary'!$AT$6:$AX$14,5,FALSE),D2244)</f>
        <v>Wolfe v3: went back to modified wolfe + EDTA and switched CuSO4 to CUCl2</v>
      </c>
      <c r="E2245" s="10" t="str">
        <f>IFERROR(VLOOKUP(B2245,'Pre-Summary'!$AT$6:$AX$15,4,FALSE),"")</f>
        <v/>
      </c>
      <c r="F2245">
        <f>IFERROR(VLOOKUP(B2245,'Pre-Summary'!$AL$6:$AQ$13,6,FALSE),F2244)</f>
        <v>5.9405263157894746E-2</v>
      </c>
      <c r="G2245" t="str">
        <f>IFERROR(VLOOKUP(B2245,'Pre-Summary'!$AE$6:$AJ$85,3,FALSE),"")</f>
        <v/>
      </c>
      <c r="H2245" t="str">
        <f>IFERROR(VLOOKUP(B2245,'Pre-Summary'!$AE$6:$AJ$85,4,FALSE),"")</f>
        <v/>
      </c>
      <c r="I2245" t="str">
        <f>IFERROR(VLOOKUP(B2245,'Pre-Summary'!$AE$6:$AJ$85,5,FALSE),"")</f>
        <v/>
      </c>
      <c r="J2245" s="45" t="str">
        <f>IFERROR(VLOOKUP(B2245,'Pre-Summary'!$AE$6:$AJ$85,6, FALSE),"")</f>
        <v/>
      </c>
      <c r="K2245" s="45" t="str">
        <f>IFERROR(VLOOKUP(B2245,'Pre-Summary'!$DE$6:$DG$61,3,FALSE),"")</f>
        <v/>
      </c>
      <c r="L2245" s="45" t="str">
        <f>IFERROR(VLOOKUP(B2245,'Pre-Summary'!$CU$6:$CW$36,3,FALSE),"")</f>
        <v/>
      </c>
      <c r="M2245" s="45" t="str">
        <f>IFERROR(VLOOKUP(B2245,'Pre-Summary'!$BW$6:$BY$58,2,FALSE),"")</f>
        <v/>
      </c>
      <c r="N2245" s="45" t="str">
        <f>IFERROR(VLOOKUP(B2245,'Pre-Summary'!$CD$6:$CF$64,2,FALSE),"")</f>
        <v/>
      </c>
      <c r="O2245" s="99">
        <f>IFERROR(VLOOKUP(B2245,'Pre-Summary'!$BO$6:$BQ$48,3, FALSE),O2244)</f>
        <v>1.508</v>
      </c>
      <c r="P2245" s="99">
        <f>IFERROR(VLOOKUP(B2245,'Pre-Summary'!$BS$6:$BU$35,3,FALSE),P2244)</f>
        <v>0.379</v>
      </c>
      <c r="Q2245" s="54">
        <f t="shared" si="105"/>
        <v>3.9788918205804751</v>
      </c>
      <c r="R2245" s="53">
        <f>IFERROR(VLOOKUP(B2245,'Pre-Summary'!$BG$6:$BM$44,7,FALSE),R2246)</f>
        <v>9.7948682664336664E-2</v>
      </c>
      <c r="S2245" s="53">
        <f>IFERROR(VLOOKUP(B2245,'Pre-Summary'!$BG$6:$BM$44,6,FALSE),S2246)</f>
        <v>0.10614035087720526</v>
      </c>
      <c r="T2245" s="45" t="str">
        <f>IFERROR(VLOOKUP(B2245,'Pre-Summary'!$Y$6:$AC$83, 3,FALSE),"")</f>
        <v/>
      </c>
      <c r="U2245" s="45" t="str">
        <f>IFERROR(VLOOKUP(B2245,'Pre-Summary'!$Y$6:$AC$83, 4,FALSE),"")</f>
        <v/>
      </c>
      <c r="V2245" t="str">
        <f>IFERROR(VLOOKUP(B2245,'Pre-Summary'!$Y$6:$AC$83, 5,FALSE),"")</f>
        <v/>
      </c>
      <c r="W2245" s="45" t="str">
        <f>IFERROR(VLOOKUP(B2245,'Pre-Summary'!$Y$6:$AD$83,6,FALSE),"")</f>
        <v/>
      </c>
      <c r="X2245" t="str">
        <f>IFERROR(VLOOKUP('Pre-Summary'!$DB$6:$DD$63,3,FALSE),"")</f>
        <v/>
      </c>
      <c r="Y2245" t="str">
        <f>IFERROR(VLOOKUP(B2245,'Pre-Summary'!$CR$6:$CT$36,3,FALSE),"")</f>
        <v/>
      </c>
      <c r="Z2245" s="45" t="str">
        <f>IFERROR(VLOOKUP(B2245,'Pre-Summary'!$BZ$6:$CB$63,2,FALSE),"")</f>
        <v/>
      </c>
      <c r="AA2245" s="45" t="str">
        <f>IFERROR(VLOOKUP(B2245,'Pre-Summary'!$CG$6:$CI$70,2,FALSE),"")</f>
        <v/>
      </c>
      <c r="AB2245" s="99">
        <f>IFERROR(VLOOKUP(B2245,'Pre-Summary'!$A$6:$P$178,9,FALSE),AB2246)</f>
        <v>0.35465514391001818</v>
      </c>
      <c r="AC2245" s="10">
        <f>IFERROR(VLOOKUP(Summary!B2245,'Pre-Summary'!$A$6:$P$184,5, FALSE)/100,AC2246)</f>
        <v>0.94276500000000008</v>
      </c>
      <c r="AD2245" s="10">
        <f>IFERROR(VLOOKUP(Summary!B2245,'Pre-Summary'!$A$6:$P$184,3, FALSE)/100,AD2246)</f>
        <v>4.2818000000000002E-2</v>
      </c>
      <c r="AE2245" s="10">
        <f>IFERROR(VLOOKUP(Summary!B2245,'Pre-Summary'!$A$6:$P$184,7, FALSE)/100,AE2246)</f>
        <v>1.4416999999999999E-2</v>
      </c>
      <c r="AF2245" s="99">
        <f t="shared" si="106"/>
        <v>1.5185623951939158E-2</v>
      </c>
      <c r="AG2245" s="99">
        <f t="shared" si="107"/>
        <v>5.1130632097507317E-3</v>
      </c>
      <c r="AH2245" s="10" t="str">
        <f>IFERROR(VLOOKUP(B2245,'Pre-Summary'!$AZ$6:$BE$65,3,FALSE),"")</f>
        <v/>
      </c>
      <c r="AI2245" s="10" t="str">
        <f>IFERROR(VLOOKUP(B2245,'Pre-Summary'!$AZ$6:$BE$65,5,FALSE),"")</f>
        <v/>
      </c>
      <c r="AJ2245" s="10" t="str">
        <f>IFERROR(VLOOKUP(B2245,'Pre-Summary'!$AZ$6:$BE$65,4,FALSE),"")</f>
        <v/>
      </c>
      <c r="AK2245" s="10" t="str">
        <f>IFERROR(VLOOKUP(B2245,'Pre-Summary'!$AZ$6:$BE$65,6,FALSE),"")</f>
        <v/>
      </c>
      <c r="AL2245" s="10" t="str">
        <f>IFERROR(VLOOKUP(B2245,'Pre-Summary'!$BG$6:$BL$44,3,FALSE),"")</f>
        <v/>
      </c>
      <c r="AM2245" s="10" t="str">
        <f>IFERROR(VLOOKUP(B2245,'Pre-Summary'!$BG$6:$BL$44,4,FALSE),"")</f>
        <v/>
      </c>
    </row>
    <row r="2246" spans="2:39" ht="15" customHeight="1" x14ac:dyDescent="0.3">
      <c r="B2246">
        <v>224.3</v>
      </c>
      <c r="C2246" t="str">
        <f>IFERROR(VLOOKUP(B2246,'Pre-Summary'!$DI$6:$DM$23,4,FALSE),"")</f>
        <v/>
      </c>
      <c r="D2246" s="10" t="str">
        <f>IFERROR(VLOOKUP(B2246,'Pre-Summary'!$AT$6:$AX$14,5,FALSE),D2245)</f>
        <v>Wolfe v3: went back to modified wolfe + EDTA and switched CuSO4 to CUCl2</v>
      </c>
      <c r="E2246" s="10" t="str">
        <f>IFERROR(VLOOKUP(B2246,'Pre-Summary'!$AT$6:$AX$15,4,FALSE),"")</f>
        <v/>
      </c>
      <c r="F2246">
        <f>IFERROR(VLOOKUP(B2246,'Pre-Summary'!$AL$6:$AQ$13,6,FALSE),F2245)</f>
        <v>5.9405263157894746E-2</v>
      </c>
      <c r="G2246" t="str">
        <f>IFERROR(VLOOKUP(B2246,'Pre-Summary'!$AE$6:$AJ$85,3,FALSE),"")</f>
        <v/>
      </c>
      <c r="H2246" t="str">
        <f>IFERROR(VLOOKUP(B2246,'Pre-Summary'!$AE$6:$AJ$85,4,FALSE),"")</f>
        <v/>
      </c>
      <c r="I2246" t="str">
        <f>IFERROR(VLOOKUP(B2246,'Pre-Summary'!$AE$6:$AJ$85,5,FALSE),"")</f>
        <v/>
      </c>
      <c r="J2246" s="45" t="str">
        <f>IFERROR(VLOOKUP(B2246,'Pre-Summary'!$AE$6:$AJ$85,6, FALSE),"")</f>
        <v/>
      </c>
      <c r="K2246" s="45" t="str">
        <f>IFERROR(VLOOKUP(B2246,'Pre-Summary'!$DE$6:$DG$61,3,FALSE),"")</f>
        <v/>
      </c>
      <c r="L2246" s="45" t="str">
        <f>IFERROR(VLOOKUP(B2246,'Pre-Summary'!$CU$6:$CW$36,3,FALSE),"")</f>
        <v/>
      </c>
      <c r="M2246" s="45" t="str">
        <f>IFERROR(VLOOKUP(B2246,'Pre-Summary'!$BW$6:$BY$58,2,FALSE),"")</f>
        <v/>
      </c>
      <c r="N2246" s="45" t="str">
        <f>IFERROR(VLOOKUP(B2246,'Pre-Summary'!$CD$6:$CF$64,2,FALSE),"")</f>
        <v/>
      </c>
      <c r="O2246" s="99">
        <f>IFERROR(VLOOKUP(B2246,'Pre-Summary'!$BO$6:$BQ$48,3, FALSE),O2245)</f>
        <v>1.508</v>
      </c>
      <c r="P2246" s="99">
        <f>IFERROR(VLOOKUP(B2246,'Pre-Summary'!$BS$6:$BU$35,3,FALSE),P2245)</f>
        <v>0.379</v>
      </c>
      <c r="Q2246" s="54">
        <f t="shared" si="105"/>
        <v>3.9788918205804751</v>
      </c>
      <c r="R2246" s="53">
        <f>IFERROR(VLOOKUP(B2246,'Pre-Summary'!$BG$6:$BM$44,7,FALSE),R2247)</f>
        <v>9.7948682664336664E-2</v>
      </c>
      <c r="S2246" s="53">
        <f>IFERROR(VLOOKUP(B2246,'Pre-Summary'!$BG$6:$BM$44,6,FALSE),S2247)</f>
        <v>0.10614035087720526</v>
      </c>
      <c r="T2246" s="45" t="str">
        <f>IFERROR(VLOOKUP(B2246,'Pre-Summary'!$Y$6:$AC$83, 3,FALSE),"")</f>
        <v/>
      </c>
      <c r="U2246" s="45" t="str">
        <f>IFERROR(VLOOKUP(B2246,'Pre-Summary'!$Y$6:$AC$83, 4,FALSE),"")</f>
        <v/>
      </c>
      <c r="V2246" t="str">
        <f>IFERROR(VLOOKUP(B2246,'Pre-Summary'!$Y$6:$AC$83, 5,FALSE),"")</f>
        <v/>
      </c>
      <c r="W2246" s="45" t="str">
        <f>IFERROR(VLOOKUP(B2246,'Pre-Summary'!$Y$6:$AD$83,6,FALSE),"")</f>
        <v/>
      </c>
      <c r="X2246" t="str">
        <f>IFERROR(VLOOKUP('Pre-Summary'!$DB$6:$DD$63,3,FALSE),"")</f>
        <v/>
      </c>
      <c r="Y2246" t="str">
        <f>IFERROR(VLOOKUP(B2246,'Pre-Summary'!$CR$6:$CT$36,3,FALSE),"")</f>
        <v/>
      </c>
      <c r="Z2246" s="45" t="str">
        <f>IFERROR(VLOOKUP(B2246,'Pre-Summary'!$BZ$6:$CB$63,2,FALSE),"")</f>
        <v/>
      </c>
      <c r="AA2246" s="45" t="str">
        <f>IFERROR(VLOOKUP(B2246,'Pre-Summary'!$CG$6:$CI$70,2,FALSE),"")</f>
        <v/>
      </c>
      <c r="AB2246" s="99">
        <f>IFERROR(VLOOKUP(B2246,'Pre-Summary'!$A$6:$P$178,9,FALSE),AB2247)</f>
        <v>0.35465514391001818</v>
      </c>
      <c r="AC2246" s="10">
        <f>IFERROR(VLOOKUP(Summary!B2246,'Pre-Summary'!$A$6:$P$184,5, FALSE)/100,AC2247)</f>
        <v>0.94276500000000008</v>
      </c>
      <c r="AD2246" s="10">
        <f>IFERROR(VLOOKUP(Summary!B2246,'Pre-Summary'!$A$6:$P$184,3, FALSE)/100,AD2247)</f>
        <v>4.2818000000000002E-2</v>
      </c>
      <c r="AE2246" s="10">
        <f>IFERROR(VLOOKUP(Summary!B2246,'Pre-Summary'!$A$6:$P$184,7, FALSE)/100,AE2247)</f>
        <v>1.4416999999999999E-2</v>
      </c>
      <c r="AF2246" s="99">
        <f t="shared" si="106"/>
        <v>1.5185623951939158E-2</v>
      </c>
      <c r="AG2246" s="99">
        <f t="shared" si="107"/>
        <v>5.1130632097507317E-3</v>
      </c>
      <c r="AH2246" s="10" t="str">
        <f>IFERROR(VLOOKUP(B2246,'Pre-Summary'!$AZ$6:$BE$65,3,FALSE),"")</f>
        <v/>
      </c>
      <c r="AI2246" s="10" t="str">
        <f>IFERROR(VLOOKUP(B2246,'Pre-Summary'!$AZ$6:$BE$65,5,FALSE),"")</f>
        <v/>
      </c>
      <c r="AJ2246" s="10" t="str">
        <f>IFERROR(VLOOKUP(B2246,'Pre-Summary'!$AZ$6:$BE$65,4,FALSE),"")</f>
        <v/>
      </c>
      <c r="AK2246" s="10" t="str">
        <f>IFERROR(VLOOKUP(B2246,'Pre-Summary'!$AZ$6:$BE$65,6,FALSE),"")</f>
        <v/>
      </c>
      <c r="AL2246" s="10" t="str">
        <f>IFERROR(VLOOKUP(B2246,'Pre-Summary'!$BG$6:$BL$44,3,FALSE),"")</f>
        <v/>
      </c>
      <c r="AM2246" s="10" t="str">
        <f>IFERROR(VLOOKUP(B2246,'Pre-Summary'!$BG$6:$BL$44,4,FALSE),"")</f>
        <v/>
      </c>
    </row>
    <row r="2247" spans="2:39" ht="15" customHeight="1" x14ac:dyDescent="0.3">
      <c r="B2247">
        <v>224.4</v>
      </c>
      <c r="C2247" t="str">
        <f>IFERROR(VLOOKUP(B2247,'Pre-Summary'!$DI$6:$DM$23,4,FALSE),"")</f>
        <v/>
      </c>
      <c r="D2247" s="10" t="str">
        <f>IFERROR(VLOOKUP(B2247,'Pre-Summary'!$AT$6:$AX$14,5,FALSE),D2246)</f>
        <v>Wolfe v3: went back to modified wolfe + EDTA and switched CuSO4 to CUCl2</v>
      </c>
      <c r="E2247" s="10" t="str">
        <f>IFERROR(VLOOKUP(B2247,'Pre-Summary'!$AT$6:$AX$15,4,FALSE),"")</f>
        <v/>
      </c>
      <c r="F2247">
        <f>IFERROR(VLOOKUP(B2247,'Pre-Summary'!$AL$6:$AQ$13,6,FALSE),F2246)</f>
        <v>5.9405263157894746E-2</v>
      </c>
      <c r="G2247" t="str">
        <f>IFERROR(VLOOKUP(B2247,'Pre-Summary'!$AE$6:$AJ$85,3,FALSE),"")</f>
        <v/>
      </c>
      <c r="H2247" t="str">
        <f>IFERROR(VLOOKUP(B2247,'Pre-Summary'!$AE$6:$AJ$85,4,FALSE),"")</f>
        <v/>
      </c>
      <c r="I2247" t="str">
        <f>IFERROR(VLOOKUP(B2247,'Pre-Summary'!$AE$6:$AJ$85,5,FALSE),"")</f>
        <v/>
      </c>
      <c r="J2247" s="45" t="str">
        <f>IFERROR(VLOOKUP(B2247,'Pre-Summary'!$AE$6:$AJ$85,6, FALSE),"")</f>
        <v/>
      </c>
      <c r="K2247" s="45" t="str">
        <f>IFERROR(VLOOKUP(B2247,'Pre-Summary'!$DE$6:$DG$61,3,FALSE),"")</f>
        <v/>
      </c>
      <c r="L2247" s="45" t="str">
        <f>IFERROR(VLOOKUP(B2247,'Pre-Summary'!$CU$6:$CW$36,3,FALSE),"")</f>
        <v/>
      </c>
      <c r="M2247" s="45" t="str">
        <f>IFERROR(VLOOKUP(B2247,'Pre-Summary'!$BW$6:$BY$58,2,FALSE),"")</f>
        <v/>
      </c>
      <c r="N2247" s="45" t="str">
        <f>IFERROR(VLOOKUP(B2247,'Pre-Summary'!$CD$6:$CF$64,2,FALSE),"")</f>
        <v/>
      </c>
      <c r="O2247" s="99">
        <f>IFERROR(VLOOKUP(B2247,'Pre-Summary'!$BO$6:$BQ$48,3, FALSE),O2246)</f>
        <v>1.508</v>
      </c>
      <c r="P2247" s="99">
        <f>IFERROR(VLOOKUP(B2247,'Pre-Summary'!$BS$6:$BU$35,3,FALSE),P2246)</f>
        <v>0.379</v>
      </c>
      <c r="Q2247" s="54">
        <f t="shared" si="105"/>
        <v>3.9788918205804751</v>
      </c>
      <c r="R2247" s="53">
        <f>IFERROR(VLOOKUP(B2247,'Pre-Summary'!$BG$6:$BM$44,7,FALSE),R2248)</f>
        <v>9.7948682664336664E-2</v>
      </c>
      <c r="S2247" s="53">
        <f>IFERROR(VLOOKUP(B2247,'Pre-Summary'!$BG$6:$BM$44,6,FALSE),S2248)</f>
        <v>0.10614035087720526</v>
      </c>
      <c r="T2247" s="45" t="str">
        <f>IFERROR(VLOOKUP(B2247,'Pre-Summary'!$Y$6:$AC$83, 3,FALSE),"")</f>
        <v/>
      </c>
      <c r="U2247" s="45" t="str">
        <f>IFERROR(VLOOKUP(B2247,'Pre-Summary'!$Y$6:$AC$83, 4,FALSE),"")</f>
        <v/>
      </c>
      <c r="V2247" t="str">
        <f>IFERROR(VLOOKUP(B2247,'Pre-Summary'!$Y$6:$AC$83, 5,FALSE),"")</f>
        <v/>
      </c>
      <c r="W2247" s="45" t="str">
        <f>IFERROR(VLOOKUP(B2247,'Pre-Summary'!$Y$6:$AD$83,6,FALSE),"")</f>
        <v/>
      </c>
      <c r="X2247" t="str">
        <f>IFERROR(VLOOKUP('Pre-Summary'!$DB$6:$DD$63,3,FALSE),"")</f>
        <v/>
      </c>
      <c r="Y2247" t="str">
        <f>IFERROR(VLOOKUP(B2247,'Pre-Summary'!$CR$6:$CT$36,3,FALSE),"")</f>
        <v/>
      </c>
      <c r="Z2247" s="45" t="str">
        <f>IFERROR(VLOOKUP(B2247,'Pre-Summary'!$BZ$6:$CB$63,2,FALSE),"")</f>
        <v/>
      </c>
      <c r="AA2247" s="45" t="str">
        <f>IFERROR(VLOOKUP(B2247,'Pre-Summary'!$CG$6:$CI$70,2,FALSE),"")</f>
        <v/>
      </c>
      <c r="AB2247" s="99">
        <f>IFERROR(VLOOKUP(B2247,'Pre-Summary'!$A$6:$P$178,9,FALSE),AB2248)</f>
        <v>0.35465514391001818</v>
      </c>
      <c r="AC2247" s="10">
        <f>IFERROR(VLOOKUP(Summary!B2247,'Pre-Summary'!$A$6:$P$184,5, FALSE)/100,AC2248)</f>
        <v>0.94276500000000008</v>
      </c>
      <c r="AD2247" s="10">
        <f>IFERROR(VLOOKUP(Summary!B2247,'Pre-Summary'!$A$6:$P$184,3, FALSE)/100,AD2248)</f>
        <v>4.2818000000000002E-2</v>
      </c>
      <c r="AE2247" s="10">
        <f>IFERROR(VLOOKUP(Summary!B2247,'Pre-Summary'!$A$6:$P$184,7, FALSE)/100,AE2248)</f>
        <v>1.4416999999999999E-2</v>
      </c>
      <c r="AF2247" s="99">
        <f t="shared" si="106"/>
        <v>1.5185623951939158E-2</v>
      </c>
      <c r="AG2247" s="99">
        <f t="shared" si="107"/>
        <v>5.1130632097507317E-3</v>
      </c>
      <c r="AH2247" s="10" t="str">
        <f>IFERROR(VLOOKUP(B2247,'Pre-Summary'!$AZ$6:$BE$65,3,FALSE),"")</f>
        <v/>
      </c>
      <c r="AI2247" s="10" t="str">
        <f>IFERROR(VLOOKUP(B2247,'Pre-Summary'!$AZ$6:$BE$65,5,FALSE),"")</f>
        <v/>
      </c>
      <c r="AJ2247" s="10" t="str">
        <f>IFERROR(VLOOKUP(B2247,'Pre-Summary'!$AZ$6:$BE$65,4,FALSE),"")</f>
        <v/>
      </c>
      <c r="AK2247" s="10" t="str">
        <f>IFERROR(VLOOKUP(B2247,'Pre-Summary'!$AZ$6:$BE$65,6,FALSE),"")</f>
        <v/>
      </c>
      <c r="AL2247" s="10" t="str">
        <f>IFERROR(VLOOKUP(B2247,'Pre-Summary'!$BG$6:$BL$44,3,FALSE),"")</f>
        <v/>
      </c>
      <c r="AM2247" s="10" t="str">
        <f>IFERROR(VLOOKUP(B2247,'Pre-Summary'!$BG$6:$BL$44,4,FALSE),"")</f>
        <v/>
      </c>
    </row>
    <row r="2248" spans="2:39" ht="15" customHeight="1" x14ac:dyDescent="0.3">
      <c r="B2248">
        <v>224.5</v>
      </c>
      <c r="C2248" t="str">
        <f>IFERROR(VLOOKUP(B2248,'Pre-Summary'!$DI$6:$DM$23,4,FALSE),"")</f>
        <v/>
      </c>
      <c r="D2248" s="10" t="str">
        <f>IFERROR(VLOOKUP(B2248,'Pre-Summary'!$AT$6:$AX$14,5,FALSE),D2247)</f>
        <v>Wolfe v3: went back to modified wolfe + EDTA and switched CuSO4 to CUCl2</v>
      </c>
      <c r="E2248" s="10" t="str">
        <f>IFERROR(VLOOKUP(B2248,'Pre-Summary'!$AT$6:$AX$15,4,FALSE),"")</f>
        <v/>
      </c>
      <c r="F2248">
        <f>IFERROR(VLOOKUP(B2248,'Pre-Summary'!$AL$6:$AQ$13,6,FALSE),F2247)</f>
        <v>5.9405263157894746E-2</v>
      </c>
      <c r="G2248" t="str">
        <f>IFERROR(VLOOKUP(B2248,'Pre-Summary'!$AE$6:$AJ$85,3,FALSE),"")</f>
        <v/>
      </c>
      <c r="H2248" t="str">
        <f>IFERROR(VLOOKUP(B2248,'Pre-Summary'!$AE$6:$AJ$85,4,FALSE),"")</f>
        <v/>
      </c>
      <c r="I2248" t="str">
        <f>IFERROR(VLOOKUP(B2248,'Pre-Summary'!$AE$6:$AJ$85,5,FALSE),"")</f>
        <v/>
      </c>
      <c r="J2248" s="45" t="str">
        <f>IFERROR(VLOOKUP(B2248,'Pre-Summary'!$AE$6:$AJ$85,6, FALSE),"")</f>
        <v/>
      </c>
      <c r="K2248" s="45" t="str">
        <f>IFERROR(VLOOKUP(B2248,'Pre-Summary'!$DE$6:$DG$61,3,FALSE),"")</f>
        <v/>
      </c>
      <c r="L2248" s="45" t="str">
        <f>IFERROR(VLOOKUP(B2248,'Pre-Summary'!$CU$6:$CW$36,3,FALSE),"")</f>
        <v/>
      </c>
      <c r="M2248" s="45" t="str">
        <f>IFERROR(VLOOKUP(B2248,'Pre-Summary'!$BW$6:$BY$58,2,FALSE),"")</f>
        <v/>
      </c>
      <c r="N2248" s="45" t="str">
        <f>IFERROR(VLOOKUP(B2248,'Pre-Summary'!$CD$6:$CF$64,2,FALSE),"")</f>
        <v/>
      </c>
      <c r="O2248" s="99">
        <f>IFERROR(VLOOKUP(B2248,'Pre-Summary'!$BO$6:$BQ$48,3, FALSE),O2247)</f>
        <v>1.508</v>
      </c>
      <c r="P2248" s="99">
        <f>IFERROR(VLOOKUP(B2248,'Pre-Summary'!$BS$6:$BU$35,3,FALSE),P2247)</f>
        <v>0.379</v>
      </c>
      <c r="Q2248" s="54">
        <f t="shared" si="105"/>
        <v>3.9788918205804751</v>
      </c>
      <c r="R2248" s="53">
        <f>IFERROR(VLOOKUP(B2248,'Pre-Summary'!$BG$6:$BM$44,7,FALSE),R2249)</f>
        <v>9.7948682664336664E-2</v>
      </c>
      <c r="S2248" s="53">
        <f>IFERROR(VLOOKUP(B2248,'Pre-Summary'!$BG$6:$BM$44,6,FALSE),S2249)</f>
        <v>0.10614035087720526</v>
      </c>
      <c r="T2248" s="45" t="str">
        <f>IFERROR(VLOOKUP(B2248,'Pre-Summary'!$Y$6:$AC$83, 3,FALSE),"")</f>
        <v/>
      </c>
      <c r="U2248" s="45" t="str">
        <f>IFERROR(VLOOKUP(B2248,'Pre-Summary'!$Y$6:$AC$83, 4,FALSE),"")</f>
        <v/>
      </c>
      <c r="V2248" t="str">
        <f>IFERROR(VLOOKUP(B2248,'Pre-Summary'!$Y$6:$AC$83, 5,FALSE),"")</f>
        <v/>
      </c>
      <c r="W2248" s="45" t="str">
        <f>IFERROR(VLOOKUP(B2248,'Pre-Summary'!$Y$6:$AD$83,6,FALSE),"")</f>
        <v/>
      </c>
      <c r="X2248" t="str">
        <f>IFERROR(VLOOKUP('Pre-Summary'!$DB$6:$DD$63,3,FALSE),"")</f>
        <v/>
      </c>
      <c r="Y2248" t="str">
        <f>IFERROR(VLOOKUP(B2248,'Pre-Summary'!$CR$6:$CT$36,3,FALSE),"")</f>
        <v/>
      </c>
      <c r="Z2248" s="45" t="str">
        <f>IFERROR(VLOOKUP(B2248,'Pre-Summary'!$BZ$6:$CB$63,2,FALSE),"")</f>
        <v/>
      </c>
      <c r="AA2248" s="45" t="str">
        <f>IFERROR(VLOOKUP(B2248,'Pre-Summary'!$CG$6:$CI$70,2,FALSE),"")</f>
        <v/>
      </c>
      <c r="AB2248" s="99">
        <f>IFERROR(VLOOKUP(B2248,'Pre-Summary'!$A$6:$P$178,9,FALSE),AB2249)</f>
        <v>0.35465514391001818</v>
      </c>
      <c r="AC2248" s="10">
        <f>IFERROR(VLOOKUP(Summary!B2248,'Pre-Summary'!$A$6:$P$184,5, FALSE)/100,AC2249)</f>
        <v>0.94276500000000008</v>
      </c>
      <c r="AD2248" s="10">
        <f>IFERROR(VLOOKUP(Summary!B2248,'Pre-Summary'!$A$6:$P$184,3, FALSE)/100,AD2249)</f>
        <v>4.2818000000000002E-2</v>
      </c>
      <c r="AE2248" s="10">
        <f>IFERROR(VLOOKUP(Summary!B2248,'Pre-Summary'!$A$6:$P$184,7, FALSE)/100,AE2249)</f>
        <v>1.4416999999999999E-2</v>
      </c>
      <c r="AF2248" s="99">
        <f t="shared" si="106"/>
        <v>1.5185623951939158E-2</v>
      </c>
      <c r="AG2248" s="99">
        <f t="shared" si="107"/>
        <v>5.1130632097507317E-3</v>
      </c>
      <c r="AH2248" s="10" t="str">
        <f>IFERROR(VLOOKUP(B2248,'Pre-Summary'!$AZ$6:$BE$65,3,FALSE),"")</f>
        <v/>
      </c>
      <c r="AI2248" s="10" t="str">
        <f>IFERROR(VLOOKUP(B2248,'Pre-Summary'!$AZ$6:$BE$65,5,FALSE),"")</f>
        <v/>
      </c>
      <c r="AJ2248" s="10" t="str">
        <f>IFERROR(VLOOKUP(B2248,'Pre-Summary'!$AZ$6:$BE$65,4,FALSE),"")</f>
        <v/>
      </c>
      <c r="AK2248" s="10" t="str">
        <f>IFERROR(VLOOKUP(B2248,'Pre-Summary'!$AZ$6:$BE$65,6,FALSE),"")</f>
        <v/>
      </c>
      <c r="AL2248" s="10" t="str">
        <f>IFERROR(VLOOKUP(B2248,'Pre-Summary'!$BG$6:$BL$44,3,FALSE),"")</f>
        <v/>
      </c>
      <c r="AM2248" s="10" t="str">
        <f>IFERROR(VLOOKUP(B2248,'Pre-Summary'!$BG$6:$BL$44,4,FALSE),"")</f>
        <v/>
      </c>
    </row>
    <row r="2249" spans="2:39" ht="15" customHeight="1" x14ac:dyDescent="0.3">
      <c r="B2249">
        <v>224.6</v>
      </c>
      <c r="C2249" t="str">
        <f>IFERROR(VLOOKUP(B2249,'Pre-Summary'!$DI$6:$DM$23,4,FALSE),"")</f>
        <v/>
      </c>
      <c r="D2249" s="10" t="str">
        <f>IFERROR(VLOOKUP(B2249,'Pre-Summary'!$AT$6:$AX$14,5,FALSE),D2248)</f>
        <v>Wolfe v3: went back to modified wolfe + EDTA and switched CuSO4 to CUCl2</v>
      </c>
      <c r="E2249" s="10" t="str">
        <f>IFERROR(VLOOKUP(B2249,'Pre-Summary'!$AT$6:$AX$15,4,FALSE),"")</f>
        <v/>
      </c>
      <c r="F2249">
        <f>IFERROR(VLOOKUP(B2249,'Pre-Summary'!$AL$6:$AQ$13,6,FALSE),F2248)</f>
        <v>5.9405263157894746E-2</v>
      </c>
      <c r="G2249" t="str">
        <f>IFERROR(VLOOKUP(B2249,'Pre-Summary'!$AE$6:$AJ$85,3,FALSE),"")</f>
        <v/>
      </c>
      <c r="H2249" t="str">
        <f>IFERROR(VLOOKUP(B2249,'Pre-Summary'!$AE$6:$AJ$85,4,FALSE),"")</f>
        <v/>
      </c>
      <c r="I2249" t="str">
        <f>IFERROR(VLOOKUP(B2249,'Pre-Summary'!$AE$6:$AJ$85,5,FALSE),"")</f>
        <v/>
      </c>
      <c r="J2249" s="45" t="str">
        <f>IFERROR(VLOOKUP(B2249,'Pre-Summary'!$AE$6:$AJ$85,6, FALSE),"")</f>
        <v/>
      </c>
      <c r="K2249" s="45" t="str">
        <f>IFERROR(VLOOKUP(B2249,'Pre-Summary'!$DE$6:$DG$61,3,FALSE),"")</f>
        <v/>
      </c>
      <c r="L2249" s="45" t="str">
        <f>IFERROR(VLOOKUP(B2249,'Pre-Summary'!$CU$6:$CW$36,3,FALSE),"")</f>
        <v/>
      </c>
      <c r="M2249" s="45" t="str">
        <f>IFERROR(VLOOKUP(B2249,'Pre-Summary'!$BW$6:$BY$58,2,FALSE),"")</f>
        <v/>
      </c>
      <c r="N2249" s="45" t="str">
        <f>IFERROR(VLOOKUP(B2249,'Pre-Summary'!$CD$6:$CF$64,2,FALSE),"")</f>
        <v/>
      </c>
      <c r="O2249" s="99">
        <f>IFERROR(VLOOKUP(B2249,'Pre-Summary'!$BO$6:$BQ$48,3, FALSE),O2248)</f>
        <v>1.508</v>
      </c>
      <c r="P2249" s="99">
        <f>IFERROR(VLOOKUP(B2249,'Pre-Summary'!$BS$6:$BU$35,3,FALSE),P2248)</f>
        <v>0.379</v>
      </c>
      <c r="Q2249" s="54">
        <f t="shared" si="105"/>
        <v>3.9788918205804751</v>
      </c>
      <c r="R2249" s="53">
        <f>IFERROR(VLOOKUP(B2249,'Pre-Summary'!$BG$6:$BM$44,7,FALSE),R2250)</f>
        <v>9.7948682664336664E-2</v>
      </c>
      <c r="S2249" s="53">
        <f>IFERROR(VLOOKUP(B2249,'Pre-Summary'!$BG$6:$BM$44,6,FALSE),S2250)</f>
        <v>0.10614035087720526</v>
      </c>
      <c r="T2249" s="45" t="str">
        <f>IFERROR(VLOOKUP(B2249,'Pre-Summary'!$Y$6:$AC$83, 3,FALSE),"")</f>
        <v/>
      </c>
      <c r="U2249" s="45" t="str">
        <f>IFERROR(VLOOKUP(B2249,'Pre-Summary'!$Y$6:$AC$83, 4,FALSE),"")</f>
        <v/>
      </c>
      <c r="V2249" t="str">
        <f>IFERROR(VLOOKUP(B2249,'Pre-Summary'!$Y$6:$AC$83, 5,FALSE),"")</f>
        <v/>
      </c>
      <c r="W2249" s="45" t="str">
        <f>IFERROR(VLOOKUP(B2249,'Pre-Summary'!$Y$6:$AD$83,6,FALSE),"")</f>
        <v/>
      </c>
      <c r="X2249" t="str">
        <f>IFERROR(VLOOKUP('Pre-Summary'!$DB$6:$DD$63,3,FALSE),"")</f>
        <v/>
      </c>
      <c r="Y2249" t="str">
        <f>IFERROR(VLOOKUP(B2249,'Pre-Summary'!$CR$6:$CT$36,3,FALSE),"")</f>
        <v/>
      </c>
      <c r="Z2249" s="45" t="str">
        <f>IFERROR(VLOOKUP(B2249,'Pre-Summary'!$BZ$6:$CB$63,2,FALSE),"")</f>
        <v/>
      </c>
      <c r="AA2249" s="45" t="str">
        <f>IFERROR(VLOOKUP(B2249,'Pre-Summary'!$CG$6:$CI$70,2,FALSE),"")</f>
        <v/>
      </c>
      <c r="AB2249" s="99">
        <f>IFERROR(VLOOKUP(B2249,'Pre-Summary'!$A$6:$P$178,9,FALSE),AB2250)</f>
        <v>0.35465514391001818</v>
      </c>
      <c r="AC2249" s="10">
        <f>IFERROR(VLOOKUP(Summary!B2249,'Pre-Summary'!$A$6:$P$184,5, FALSE)/100,AC2250)</f>
        <v>0.94276500000000008</v>
      </c>
      <c r="AD2249" s="10">
        <f>IFERROR(VLOOKUP(Summary!B2249,'Pre-Summary'!$A$6:$P$184,3, FALSE)/100,AD2250)</f>
        <v>4.2818000000000002E-2</v>
      </c>
      <c r="AE2249" s="10">
        <f>IFERROR(VLOOKUP(Summary!B2249,'Pre-Summary'!$A$6:$P$184,7, FALSE)/100,AE2250)</f>
        <v>1.4416999999999999E-2</v>
      </c>
      <c r="AF2249" s="99">
        <f t="shared" si="106"/>
        <v>1.5185623951939158E-2</v>
      </c>
      <c r="AG2249" s="99">
        <f t="shared" si="107"/>
        <v>5.1130632097507317E-3</v>
      </c>
      <c r="AH2249" s="10" t="str">
        <f>IFERROR(VLOOKUP(B2249,'Pre-Summary'!$AZ$6:$BE$65,3,FALSE),"")</f>
        <v/>
      </c>
      <c r="AI2249" s="10" t="str">
        <f>IFERROR(VLOOKUP(B2249,'Pre-Summary'!$AZ$6:$BE$65,5,FALSE),"")</f>
        <v/>
      </c>
      <c r="AJ2249" s="10" t="str">
        <f>IFERROR(VLOOKUP(B2249,'Pre-Summary'!$AZ$6:$BE$65,4,FALSE),"")</f>
        <v/>
      </c>
      <c r="AK2249" s="10" t="str">
        <f>IFERROR(VLOOKUP(B2249,'Pre-Summary'!$AZ$6:$BE$65,6,FALSE),"")</f>
        <v/>
      </c>
      <c r="AL2249" s="10" t="str">
        <f>IFERROR(VLOOKUP(B2249,'Pre-Summary'!$BG$6:$BL$44,3,FALSE),"")</f>
        <v/>
      </c>
      <c r="AM2249" s="10" t="str">
        <f>IFERROR(VLOOKUP(B2249,'Pre-Summary'!$BG$6:$BL$44,4,FALSE),"")</f>
        <v/>
      </c>
    </row>
    <row r="2250" spans="2:39" ht="15" customHeight="1" x14ac:dyDescent="0.3">
      <c r="B2250">
        <v>224.7</v>
      </c>
      <c r="C2250" t="str">
        <f>IFERROR(VLOOKUP(B2250,'Pre-Summary'!$DI$6:$DM$23,4,FALSE),"")</f>
        <v/>
      </c>
      <c r="D2250" s="10" t="str">
        <f>IFERROR(VLOOKUP(B2250,'Pre-Summary'!$AT$6:$AX$14,5,FALSE),D2249)</f>
        <v>Wolfe v3: went back to modified wolfe + EDTA and switched CuSO4 to CUCl2</v>
      </c>
      <c r="E2250" s="10" t="str">
        <f>IFERROR(VLOOKUP(B2250,'Pre-Summary'!$AT$6:$AX$15,4,FALSE),"")</f>
        <v/>
      </c>
      <c r="F2250">
        <f>IFERROR(VLOOKUP(B2250,'Pre-Summary'!$AL$6:$AQ$13,6,FALSE),F2249)</f>
        <v>5.9405263157894746E-2</v>
      </c>
      <c r="G2250" t="str">
        <f>IFERROR(VLOOKUP(B2250,'Pre-Summary'!$AE$6:$AJ$85,3,FALSE),"")</f>
        <v/>
      </c>
      <c r="H2250" t="str">
        <f>IFERROR(VLOOKUP(B2250,'Pre-Summary'!$AE$6:$AJ$85,4,FALSE),"")</f>
        <v/>
      </c>
      <c r="I2250" t="str">
        <f>IFERROR(VLOOKUP(B2250,'Pre-Summary'!$AE$6:$AJ$85,5,FALSE),"")</f>
        <v/>
      </c>
      <c r="J2250" s="45" t="str">
        <f>IFERROR(VLOOKUP(B2250,'Pre-Summary'!$AE$6:$AJ$85,6, FALSE),"")</f>
        <v/>
      </c>
      <c r="K2250" s="45" t="str">
        <f>IFERROR(VLOOKUP(B2250,'Pre-Summary'!$DE$6:$DG$61,3,FALSE),"")</f>
        <v/>
      </c>
      <c r="L2250" s="45" t="str">
        <f>IFERROR(VLOOKUP(B2250,'Pre-Summary'!$CU$6:$CW$36,3,FALSE),"")</f>
        <v/>
      </c>
      <c r="M2250" s="45" t="str">
        <f>IFERROR(VLOOKUP(B2250,'Pre-Summary'!$BW$6:$BY$58,2,FALSE),"")</f>
        <v/>
      </c>
      <c r="N2250" s="45" t="str">
        <f>IFERROR(VLOOKUP(B2250,'Pre-Summary'!$CD$6:$CF$64,2,FALSE),"")</f>
        <v/>
      </c>
      <c r="O2250" s="99">
        <f>IFERROR(VLOOKUP(B2250,'Pre-Summary'!$BO$6:$BQ$48,3, FALSE),O2249)</f>
        <v>1.508</v>
      </c>
      <c r="P2250" s="99">
        <f>IFERROR(VLOOKUP(B2250,'Pre-Summary'!$BS$6:$BU$35,3,FALSE),P2249)</f>
        <v>0.379</v>
      </c>
      <c r="Q2250" s="54">
        <f t="shared" si="105"/>
        <v>3.9788918205804751</v>
      </c>
      <c r="R2250" s="53">
        <f>IFERROR(VLOOKUP(B2250,'Pre-Summary'!$BG$6:$BM$44,7,FALSE),R2251)</f>
        <v>9.7948682664336664E-2</v>
      </c>
      <c r="S2250" s="53">
        <f>IFERROR(VLOOKUP(B2250,'Pre-Summary'!$BG$6:$BM$44,6,FALSE),S2251)</f>
        <v>0.10614035087720526</v>
      </c>
      <c r="T2250" s="45" t="str">
        <f>IFERROR(VLOOKUP(B2250,'Pre-Summary'!$Y$6:$AC$83, 3,FALSE),"")</f>
        <v/>
      </c>
      <c r="U2250" s="45" t="str">
        <f>IFERROR(VLOOKUP(B2250,'Pre-Summary'!$Y$6:$AC$83, 4,FALSE),"")</f>
        <v/>
      </c>
      <c r="V2250" t="str">
        <f>IFERROR(VLOOKUP(B2250,'Pre-Summary'!$Y$6:$AC$83, 5,FALSE),"")</f>
        <v/>
      </c>
      <c r="W2250" s="45" t="str">
        <f>IFERROR(VLOOKUP(B2250,'Pre-Summary'!$Y$6:$AD$83,6,FALSE),"")</f>
        <v/>
      </c>
      <c r="X2250" t="str">
        <f>IFERROR(VLOOKUP('Pre-Summary'!$DB$6:$DD$63,3,FALSE),"")</f>
        <v/>
      </c>
      <c r="Y2250" t="str">
        <f>IFERROR(VLOOKUP(B2250,'Pre-Summary'!$CR$6:$CT$36,3,FALSE),"")</f>
        <v/>
      </c>
      <c r="Z2250" s="45" t="str">
        <f>IFERROR(VLOOKUP(B2250,'Pre-Summary'!$BZ$6:$CB$63,2,FALSE),"")</f>
        <v/>
      </c>
      <c r="AA2250" s="45" t="str">
        <f>IFERROR(VLOOKUP(B2250,'Pre-Summary'!$CG$6:$CI$70,2,FALSE),"")</f>
        <v/>
      </c>
      <c r="AB2250" s="99">
        <f>IFERROR(VLOOKUP(B2250,'Pre-Summary'!$A$6:$P$178,9,FALSE),AB2251)</f>
        <v>0.35465514391001818</v>
      </c>
      <c r="AC2250" s="10">
        <f>IFERROR(VLOOKUP(Summary!B2250,'Pre-Summary'!$A$6:$P$184,5, FALSE)/100,AC2251)</f>
        <v>0.94276500000000008</v>
      </c>
      <c r="AD2250" s="10">
        <f>IFERROR(VLOOKUP(Summary!B2250,'Pre-Summary'!$A$6:$P$184,3, FALSE)/100,AD2251)</f>
        <v>4.2818000000000002E-2</v>
      </c>
      <c r="AE2250" s="10">
        <f>IFERROR(VLOOKUP(Summary!B2250,'Pre-Summary'!$A$6:$P$184,7, FALSE)/100,AE2251)</f>
        <v>1.4416999999999999E-2</v>
      </c>
      <c r="AF2250" s="99">
        <f t="shared" si="106"/>
        <v>1.5185623951939158E-2</v>
      </c>
      <c r="AG2250" s="99">
        <f t="shared" si="107"/>
        <v>5.1130632097507317E-3</v>
      </c>
      <c r="AH2250" s="10" t="str">
        <f>IFERROR(VLOOKUP(B2250,'Pre-Summary'!$AZ$6:$BE$65,3,FALSE),"")</f>
        <v/>
      </c>
      <c r="AI2250" s="10" t="str">
        <f>IFERROR(VLOOKUP(B2250,'Pre-Summary'!$AZ$6:$BE$65,5,FALSE),"")</f>
        <v/>
      </c>
      <c r="AJ2250" s="10" t="str">
        <f>IFERROR(VLOOKUP(B2250,'Pre-Summary'!$AZ$6:$BE$65,4,FALSE),"")</f>
        <v/>
      </c>
      <c r="AK2250" s="10" t="str">
        <f>IFERROR(VLOOKUP(B2250,'Pre-Summary'!$AZ$6:$BE$65,6,FALSE),"")</f>
        <v/>
      </c>
      <c r="AL2250" s="10" t="str">
        <f>IFERROR(VLOOKUP(B2250,'Pre-Summary'!$BG$6:$BL$44,3,FALSE),"")</f>
        <v/>
      </c>
      <c r="AM2250" s="10" t="str">
        <f>IFERROR(VLOOKUP(B2250,'Pre-Summary'!$BG$6:$BL$44,4,FALSE),"")</f>
        <v/>
      </c>
    </row>
    <row r="2251" spans="2:39" ht="15" customHeight="1" x14ac:dyDescent="0.3">
      <c r="B2251">
        <v>224.8</v>
      </c>
      <c r="C2251" t="str">
        <f>IFERROR(VLOOKUP(B2251,'Pre-Summary'!$DI$6:$DM$23,4,FALSE),"")</f>
        <v/>
      </c>
      <c r="D2251" s="10" t="str">
        <f>IFERROR(VLOOKUP(B2251,'Pre-Summary'!$AT$6:$AX$14,5,FALSE),D2250)</f>
        <v>Wolfe v3: went back to modified wolfe + EDTA and switched CuSO4 to CUCl2</v>
      </c>
      <c r="E2251" s="10" t="str">
        <f>IFERROR(VLOOKUP(B2251,'Pre-Summary'!$AT$6:$AX$15,4,FALSE),"")</f>
        <v/>
      </c>
      <c r="F2251">
        <f>IFERROR(VLOOKUP(B2251,'Pre-Summary'!$AL$6:$AQ$13,6,FALSE),F2250)</f>
        <v>5.9405263157894746E-2</v>
      </c>
      <c r="G2251" t="str">
        <f>IFERROR(VLOOKUP(B2251,'Pre-Summary'!$AE$6:$AJ$85,3,FALSE),"")</f>
        <v/>
      </c>
      <c r="H2251" t="str">
        <f>IFERROR(VLOOKUP(B2251,'Pre-Summary'!$AE$6:$AJ$85,4,FALSE),"")</f>
        <v/>
      </c>
      <c r="I2251" t="str">
        <f>IFERROR(VLOOKUP(B2251,'Pre-Summary'!$AE$6:$AJ$85,5,FALSE),"")</f>
        <v/>
      </c>
      <c r="J2251" s="45" t="str">
        <f>IFERROR(VLOOKUP(B2251,'Pre-Summary'!$AE$6:$AJ$85,6, FALSE),"")</f>
        <v/>
      </c>
      <c r="K2251" s="45" t="str">
        <f>IFERROR(VLOOKUP(B2251,'Pre-Summary'!$DE$6:$DG$61,3,FALSE),"")</f>
        <v/>
      </c>
      <c r="L2251" s="45" t="str">
        <f>IFERROR(VLOOKUP(B2251,'Pre-Summary'!$CU$6:$CW$36,3,FALSE),"")</f>
        <v/>
      </c>
      <c r="M2251" s="45" t="str">
        <f>IFERROR(VLOOKUP(B2251,'Pre-Summary'!$BW$6:$BY$58,2,FALSE),"")</f>
        <v/>
      </c>
      <c r="N2251" s="45" t="str">
        <f>IFERROR(VLOOKUP(B2251,'Pre-Summary'!$CD$6:$CF$64,2,FALSE),"")</f>
        <v/>
      </c>
      <c r="O2251" s="99">
        <f>IFERROR(VLOOKUP(B2251,'Pre-Summary'!$BO$6:$BQ$48,3, FALSE),O2250)</f>
        <v>1.508</v>
      </c>
      <c r="P2251" s="99">
        <f>IFERROR(VLOOKUP(B2251,'Pre-Summary'!$BS$6:$BU$35,3,FALSE),P2250)</f>
        <v>0.379</v>
      </c>
      <c r="Q2251" s="54">
        <f t="shared" si="105"/>
        <v>3.9788918205804751</v>
      </c>
      <c r="R2251" s="53">
        <f>IFERROR(VLOOKUP(B2251,'Pre-Summary'!$BG$6:$BM$44,7,FALSE),R2252)</f>
        <v>9.7948682664336664E-2</v>
      </c>
      <c r="S2251" s="53">
        <f>IFERROR(VLOOKUP(B2251,'Pre-Summary'!$BG$6:$BM$44,6,FALSE),S2252)</f>
        <v>0.10614035087720526</v>
      </c>
      <c r="T2251" s="45" t="str">
        <f>IFERROR(VLOOKUP(B2251,'Pre-Summary'!$Y$6:$AC$83, 3,FALSE),"")</f>
        <v/>
      </c>
      <c r="U2251" s="45" t="str">
        <f>IFERROR(VLOOKUP(B2251,'Pre-Summary'!$Y$6:$AC$83, 4,FALSE),"")</f>
        <v/>
      </c>
      <c r="V2251" t="str">
        <f>IFERROR(VLOOKUP(B2251,'Pre-Summary'!$Y$6:$AC$83, 5,FALSE),"")</f>
        <v/>
      </c>
      <c r="W2251" s="45" t="str">
        <f>IFERROR(VLOOKUP(B2251,'Pre-Summary'!$Y$6:$AD$83,6,FALSE),"")</f>
        <v/>
      </c>
      <c r="X2251" t="str">
        <f>IFERROR(VLOOKUP('Pre-Summary'!$DB$6:$DD$63,3,FALSE),"")</f>
        <v/>
      </c>
      <c r="Y2251" t="str">
        <f>IFERROR(VLOOKUP(B2251,'Pre-Summary'!$CR$6:$CT$36,3,FALSE),"")</f>
        <v/>
      </c>
      <c r="Z2251" s="45" t="str">
        <f>IFERROR(VLOOKUP(B2251,'Pre-Summary'!$BZ$6:$CB$63,2,FALSE),"")</f>
        <v/>
      </c>
      <c r="AA2251" s="45" t="str">
        <f>IFERROR(VLOOKUP(B2251,'Pre-Summary'!$CG$6:$CI$70,2,FALSE),"")</f>
        <v/>
      </c>
      <c r="AB2251" s="99">
        <f>IFERROR(VLOOKUP(B2251,'Pre-Summary'!$A$6:$P$178,9,FALSE),AB2252)</f>
        <v>0.35465514391001818</v>
      </c>
      <c r="AC2251" s="10">
        <f>IFERROR(VLOOKUP(Summary!B2251,'Pre-Summary'!$A$6:$P$184,5, FALSE)/100,AC2252)</f>
        <v>0.94276500000000008</v>
      </c>
      <c r="AD2251" s="10">
        <f>IFERROR(VLOOKUP(Summary!B2251,'Pre-Summary'!$A$6:$P$184,3, FALSE)/100,AD2252)</f>
        <v>4.2818000000000002E-2</v>
      </c>
      <c r="AE2251" s="10">
        <f>IFERROR(VLOOKUP(Summary!B2251,'Pre-Summary'!$A$6:$P$184,7, FALSE)/100,AE2252)</f>
        <v>1.4416999999999999E-2</v>
      </c>
      <c r="AF2251" s="99">
        <f t="shared" si="106"/>
        <v>1.5185623951939158E-2</v>
      </c>
      <c r="AG2251" s="99">
        <f t="shared" si="107"/>
        <v>5.1130632097507317E-3</v>
      </c>
      <c r="AH2251" s="10" t="str">
        <f>IFERROR(VLOOKUP(B2251,'Pre-Summary'!$AZ$6:$BE$65,3,FALSE),"")</f>
        <v/>
      </c>
      <c r="AI2251" s="10" t="str">
        <f>IFERROR(VLOOKUP(B2251,'Pre-Summary'!$AZ$6:$BE$65,5,FALSE),"")</f>
        <v/>
      </c>
      <c r="AJ2251" s="10" t="str">
        <f>IFERROR(VLOOKUP(B2251,'Pre-Summary'!$AZ$6:$BE$65,4,FALSE),"")</f>
        <v/>
      </c>
      <c r="AK2251" s="10" t="str">
        <f>IFERROR(VLOOKUP(B2251,'Pre-Summary'!$AZ$6:$BE$65,6,FALSE),"")</f>
        <v/>
      </c>
      <c r="AL2251" s="10" t="str">
        <f>IFERROR(VLOOKUP(B2251,'Pre-Summary'!$BG$6:$BL$44,3,FALSE),"")</f>
        <v/>
      </c>
      <c r="AM2251" s="10" t="str">
        <f>IFERROR(VLOOKUP(B2251,'Pre-Summary'!$BG$6:$BL$44,4,FALSE),"")</f>
        <v/>
      </c>
    </row>
    <row r="2252" spans="2:39" ht="15" customHeight="1" x14ac:dyDescent="0.3">
      <c r="B2252">
        <v>224.9</v>
      </c>
      <c r="C2252" t="str">
        <f>IFERROR(VLOOKUP(B2252,'Pre-Summary'!$DI$6:$DM$23,4,FALSE),"")</f>
        <v/>
      </c>
      <c r="D2252" s="10" t="str">
        <f>IFERROR(VLOOKUP(B2252,'Pre-Summary'!$AT$6:$AX$14,5,FALSE),D2251)</f>
        <v>Wolfe v3: went back to modified wolfe + EDTA and switched CuSO4 to CUCl2</v>
      </c>
      <c r="E2252" s="10" t="str">
        <f>IFERROR(VLOOKUP(B2252,'Pre-Summary'!$AT$6:$AX$15,4,FALSE),"")</f>
        <v/>
      </c>
      <c r="F2252">
        <f>IFERROR(VLOOKUP(B2252,'Pre-Summary'!$AL$6:$AQ$13,6,FALSE),F2251)</f>
        <v>5.9405263157894746E-2</v>
      </c>
      <c r="G2252" t="str">
        <f>IFERROR(VLOOKUP(B2252,'Pre-Summary'!$AE$6:$AJ$85,3,FALSE),"")</f>
        <v/>
      </c>
      <c r="H2252" t="str">
        <f>IFERROR(VLOOKUP(B2252,'Pre-Summary'!$AE$6:$AJ$85,4,FALSE),"")</f>
        <v/>
      </c>
      <c r="I2252" t="str">
        <f>IFERROR(VLOOKUP(B2252,'Pre-Summary'!$AE$6:$AJ$85,5,FALSE),"")</f>
        <v/>
      </c>
      <c r="J2252" s="45" t="str">
        <f>IFERROR(VLOOKUP(B2252,'Pre-Summary'!$AE$6:$AJ$85,6, FALSE),"")</f>
        <v/>
      </c>
      <c r="K2252" s="45" t="str">
        <f>IFERROR(VLOOKUP(B2252,'Pre-Summary'!$DE$6:$DG$61,3,FALSE),"")</f>
        <v/>
      </c>
      <c r="L2252" s="45" t="str">
        <f>IFERROR(VLOOKUP(B2252,'Pre-Summary'!$CU$6:$CW$36,3,FALSE),"")</f>
        <v/>
      </c>
      <c r="M2252" s="45" t="str">
        <f>IFERROR(VLOOKUP(B2252,'Pre-Summary'!$BW$6:$BY$58,2,FALSE),"")</f>
        <v/>
      </c>
      <c r="N2252" s="45" t="str">
        <f>IFERROR(VLOOKUP(B2252,'Pre-Summary'!$CD$6:$CF$64,2,FALSE),"")</f>
        <v/>
      </c>
      <c r="O2252" s="99">
        <f>IFERROR(VLOOKUP(B2252,'Pre-Summary'!$BO$6:$BQ$48,3, FALSE),O2251)</f>
        <v>1.508</v>
      </c>
      <c r="P2252" s="99">
        <f>IFERROR(VLOOKUP(B2252,'Pre-Summary'!$BS$6:$BU$35,3,FALSE),P2251)</f>
        <v>0.379</v>
      </c>
      <c r="Q2252" s="54">
        <f t="shared" si="105"/>
        <v>3.9788918205804751</v>
      </c>
      <c r="R2252" s="53">
        <f>IFERROR(VLOOKUP(B2252,'Pre-Summary'!$BG$6:$BM$44,7,FALSE),R2253)</f>
        <v>9.7948682664336664E-2</v>
      </c>
      <c r="S2252" s="53">
        <f>IFERROR(VLOOKUP(B2252,'Pre-Summary'!$BG$6:$BM$44,6,FALSE),S2253)</f>
        <v>0.10614035087720526</v>
      </c>
      <c r="T2252" s="45" t="str">
        <f>IFERROR(VLOOKUP(B2252,'Pre-Summary'!$Y$6:$AC$83, 3,FALSE),"")</f>
        <v/>
      </c>
      <c r="U2252" s="45" t="str">
        <f>IFERROR(VLOOKUP(B2252,'Pre-Summary'!$Y$6:$AC$83, 4,FALSE),"")</f>
        <v/>
      </c>
      <c r="V2252" t="str">
        <f>IFERROR(VLOOKUP(B2252,'Pre-Summary'!$Y$6:$AC$83, 5,FALSE),"")</f>
        <v/>
      </c>
      <c r="W2252" s="45" t="str">
        <f>IFERROR(VLOOKUP(B2252,'Pre-Summary'!$Y$6:$AD$83,6,FALSE),"")</f>
        <v/>
      </c>
      <c r="X2252" t="str">
        <f>IFERROR(VLOOKUP('Pre-Summary'!$DB$6:$DD$63,3,FALSE),"")</f>
        <v/>
      </c>
      <c r="Y2252" t="str">
        <f>IFERROR(VLOOKUP(B2252,'Pre-Summary'!$CR$6:$CT$36,3,FALSE),"")</f>
        <v/>
      </c>
      <c r="Z2252" s="45" t="str">
        <f>IFERROR(VLOOKUP(B2252,'Pre-Summary'!$BZ$6:$CB$63,2,FALSE),"")</f>
        <v/>
      </c>
      <c r="AA2252" s="45" t="str">
        <f>IFERROR(VLOOKUP(B2252,'Pre-Summary'!$CG$6:$CI$70,2,FALSE),"")</f>
        <v/>
      </c>
      <c r="AB2252" s="99">
        <f>IFERROR(VLOOKUP(B2252,'Pre-Summary'!$A$6:$P$178,9,FALSE),AB2253)</f>
        <v>0.35465514391001818</v>
      </c>
      <c r="AC2252" s="10">
        <f>IFERROR(VLOOKUP(Summary!B2252,'Pre-Summary'!$A$6:$P$184,5, FALSE)/100,AC2253)</f>
        <v>0.94276500000000008</v>
      </c>
      <c r="AD2252" s="10">
        <f>IFERROR(VLOOKUP(Summary!B2252,'Pre-Summary'!$A$6:$P$184,3, FALSE)/100,AD2253)</f>
        <v>4.2818000000000002E-2</v>
      </c>
      <c r="AE2252" s="10">
        <f>IFERROR(VLOOKUP(Summary!B2252,'Pre-Summary'!$A$6:$P$184,7, FALSE)/100,AE2253)</f>
        <v>1.4416999999999999E-2</v>
      </c>
      <c r="AF2252" s="99">
        <f t="shared" si="106"/>
        <v>1.5185623951939158E-2</v>
      </c>
      <c r="AG2252" s="99">
        <f t="shared" si="107"/>
        <v>5.1130632097507317E-3</v>
      </c>
      <c r="AH2252" s="10" t="str">
        <f>IFERROR(VLOOKUP(B2252,'Pre-Summary'!$AZ$6:$BE$65,3,FALSE),"")</f>
        <v/>
      </c>
      <c r="AI2252" s="10" t="str">
        <f>IFERROR(VLOOKUP(B2252,'Pre-Summary'!$AZ$6:$BE$65,5,FALSE),"")</f>
        <v/>
      </c>
      <c r="AJ2252" s="10" t="str">
        <f>IFERROR(VLOOKUP(B2252,'Pre-Summary'!$AZ$6:$BE$65,4,FALSE),"")</f>
        <v/>
      </c>
      <c r="AK2252" s="10" t="str">
        <f>IFERROR(VLOOKUP(B2252,'Pre-Summary'!$AZ$6:$BE$65,6,FALSE),"")</f>
        <v/>
      </c>
      <c r="AL2252" s="10" t="str">
        <f>IFERROR(VLOOKUP(B2252,'Pre-Summary'!$BG$6:$BL$44,3,FALSE),"")</f>
        <v/>
      </c>
      <c r="AM2252" s="10" t="str">
        <f>IFERROR(VLOOKUP(B2252,'Pre-Summary'!$BG$6:$BL$44,4,FALSE),"")</f>
        <v/>
      </c>
    </row>
    <row r="2253" spans="2:39" ht="15" customHeight="1" x14ac:dyDescent="0.3">
      <c r="B2253">
        <v>225</v>
      </c>
      <c r="C2253" t="str">
        <f>IFERROR(VLOOKUP(B2253,'Pre-Summary'!$DI$6:$DM$23,4,FALSE),"")</f>
        <v/>
      </c>
      <c r="D2253" s="10" t="str">
        <f>IFERROR(VLOOKUP(B2253,'Pre-Summary'!$AT$6:$AX$14,5,FALSE),D2252)</f>
        <v>Wolfe v3: went back to modified wolfe + EDTA and switched CuSO4 to CUCl2</v>
      </c>
      <c r="E2253" s="10" t="str">
        <f>IFERROR(VLOOKUP(B2253,'Pre-Summary'!$AT$6:$AX$15,4,FALSE),"")</f>
        <v/>
      </c>
      <c r="F2253">
        <f>IFERROR(VLOOKUP(B2253,'Pre-Summary'!$AL$6:$AQ$13,6,FALSE),F2252)</f>
        <v>5.9405263157894746E-2</v>
      </c>
      <c r="G2253" t="str">
        <f>IFERROR(VLOOKUP(B2253,'Pre-Summary'!$AE$6:$AJ$85,3,FALSE),"")</f>
        <v/>
      </c>
      <c r="H2253" t="str">
        <f>IFERROR(VLOOKUP(B2253,'Pre-Summary'!$AE$6:$AJ$85,4,FALSE),"")</f>
        <v/>
      </c>
      <c r="I2253" t="str">
        <f>IFERROR(VLOOKUP(B2253,'Pre-Summary'!$AE$6:$AJ$85,5,FALSE),"")</f>
        <v/>
      </c>
      <c r="J2253" s="45" t="str">
        <f>IFERROR(VLOOKUP(B2253,'Pre-Summary'!$AE$6:$AJ$85,6, FALSE),"")</f>
        <v/>
      </c>
      <c r="K2253" s="45" t="str">
        <f>IFERROR(VLOOKUP(B2253,'Pre-Summary'!$DE$6:$DG$61,3,FALSE),"")</f>
        <v/>
      </c>
      <c r="L2253" s="45" t="str">
        <f>IFERROR(VLOOKUP(B2253,'Pre-Summary'!$CU$6:$CW$36,3,FALSE),"")</f>
        <v/>
      </c>
      <c r="M2253" s="45" t="str">
        <f>IFERROR(VLOOKUP(B2253,'Pre-Summary'!$BW$6:$BY$58,2,FALSE),"")</f>
        <v/>
      </c>
      <c r="N2253" s="45" t="str">
        <f>IFERROR(VLOOKUP(B2253,'Pre-Summary'!$CD$6:$CF$64,2,FALSE),"")</f>
        <v/>
      </c>
      <c r="O2253" s="99">
        <f>IFERROR(VLOOKUP(B2253,'Pre-Summary'!$BO$6:$BQ$48,3, FALSE),O2252)</f>
        <v>1.508</v>
      </c>
      <c r="P2253" s="99">
        <f>IFERROR(VLOOKUP(B2253,'Pre-Summary'!$BS$6:$BU$35,3,FALSE),P2252)</f>
        <v>0.379</v>
      </c>
      <c r="Q2253" s="54">
        <f t="shared" si="105"/>
        <v>3.9788918205804751</v>
      </c>
      <c r="R2253" s="53">
        <f>IFERROR(VLOOKUP(B2253,'Pre-Summary'!$BG$6:$BM$44,7,FALSE),R2254)</f>
        <v>9.7948682664336664E-2</v>
      </c>
      <c r="S2253" s="53">
        <f>IFERROR(VLOOKUP(B2253,'Pre-Summary'!$BG$6:$BM$44,6,FALSE),S2254)</f>
        <v>0.10614035087720526</v>
      </c>
      <c r="T2253" s="45" t="str">
        <f>IFERROR(VLOOKUP(B2253,'Pre-Summary'!$Y$6:$AC$83, 3,FALSE),"")</f>
        <v/>
      </c>
      <c r="U2253" s="45" t="str">
        <f>IFERROR(VLOOKUP(B2253,'Pre-Summary'!$Y$6:$AC$83, 4,FALSE),"")</f>
        <v/>
      </c>
      <c r="V2253" t="str">
        <f>IFERROR(VLOOKUP(B2253,'Pre-Summary'!$Y$6:$AC$83, 5,FALSE),"")</f>
        <v/>
      </c>
      <c r="W2253" s="45" t="str">
        <f>IFERROR(VLOOKUP(B2253,'Pre-Summary'!$Y$6:$AD$83,6,FALSE),"")</f>
        <v/>
      </c>
      <c r="X2253" t="str">
        <f>IFERROR(VLOOKUP('Pre-Summary'!$DB$6:$DD$63,3,FALSE),"")</f>
        <v/>
      </c>
      <c r="Y2253" t="str">
        <f>IFERROR(VLOOKUP(B2253,'Pre-Summary'!$CR$6:$CT$36,3,FALSE),"")</f>
        <v/>
      </c>
      <c r="Z2253" s="45" t="str">
        <f>IFERROR(VLOOKUP(B2253,'Pre-Summary'!$BZ$6:$CB$63,2,FALSE),"")</f>
        <v/>
      </c>
      <c r="AA2253" s="45" t="str">
        <f>IFERROR(VLOOKUP(B2253,'Pre-Summary'!$CG$6:$CI$70,2,FALSE),"")</f>
        <v/>
      </c>
      <c r="AB2253" s="99">
        <f>IFERROR(VLOOKUP(B2253,'Pre-Summary'!$A$6:$P$178,9,FALSE),AB2254)</f>
        <v>0.35465514391001818</v>
      </c>
      <c r="AC2253" s="10">
        <f>IFERROR(VLOOKUP(Summary!B2253,'Pre-Summary'!$A$6:$P$184,5, FALSE)/100,AC2254)</f>
        <v>0.94276500000000008</v>
      </c>
      <c r="AD2253" s="10">
        <f>IFERROR(VLOOKUP(Summary!B2253,'Pre-Summary'!$A$6:$P$184,3, FALSE)/100,AD2254)</f>
        <v>4.2818000000000002E-2</v>
      </c>
      <c r="AE2253" s="10">
        <f>IFERROR(VLOOKUP(Summary!B2253,'Pre-Summary'!$A$6:$P$184,7, FALSE)/100,AE2254)</f>
        <v>1.4416999999999999E-2</v>
      </c>
      <c r="AF2253" s="99">
        <f t="shared" si="106"/>
        <v>1.5185623951939158E-2</v>
      </c>
      <c r="AG2253" s="99">
        <f t="shared" si="107"/>
        <v>5.1130632097507317E-3</v>
      </c>
      <c r="AH2253" s="10" t="str">
        <f>IFERROR(VLOOKUP(B2253,'Pre-Summary'!$AZ$6:$BE$65,3,FALSE),"")</f>
        <v/>
      </c>
      <c r="AI2253" s="10" t="str">
        <f>IFERROR(VLOOKUP(B2253,'Pre-Summary'!$AZ$6:$BE$65,5,FALSE),"")</f>
        <v/>
      </c>
      <c r="AJ2253" s="10" t="str">
        <f>IFERROR(VLOOKUP(B2253,'Pre-Summary'!$AZ$6:$BE$65,4,FALSE),"")</f>
        <v/>
      </c>
      <c r="AK2253" s="10" t="str">
        <f>IFERROR(VLOOKUP(B2253,'Pre-Summary'!$AZ$6:$BE$65,6,FALSE),"")</f>
        <v/>
      </c>
      <c r="AL2253" s="10" t="str">
        <f>IFERROR(VLOOKUP(B2253,'Pre-Summary'!$BG$6:$BL$44,3,FALSE),"")</f>
        <v/>
      </c>
      <c r="AM2253" s="10" t="str">
        <f>IFERROR(VLOOKUP(B2253,'Pre-Summary'!$BG$6:$BL$44,4,FALSE),"")</f>
        <v/>
      </c>
    </row>
    <row r="2254" spans="2:39" ht="15" customHeight="1" x14ac:dyDescent="0.3">
      <c r="B2254">
        <v>225.1</v>
      </c>
      <c r="C2254" t="str">
        <f>IFERROR(VLOOKUP(B2254,'Pre-Summary'!$DI$6:$DM$23,4,FALSE),"")</f>
        <v/>
      </c>
      <c r="D2254" s="10" t="str">
        <f>IFERROR(VLOOKUP(B2254,'Pre-Summary'!$AT$6:$AX$14,5,FALSE),D2253)</f>
        <v>Wolfe v3: went back to modified wolfe + EDTA and switched CuSO4 to CUCl2</v>
      </c>
      <c r="E2254" s="10" t="str">
        <f>IFERROR(VLOOKUP(B2254,'Pre-Summary'!$AT$6:$AX$15,4,FALSE),"")</f>
        <v/>
      </c>
      <c r="F2254">
        <f>IFERROR(VLOOKUP(B2254,'Pre-Summary'!$AL$6:$AQ$13,6,FALSE),F2253)</f>
        <v>5.9405263157894746E-2</v>
      </c>
      <c r="G2254" t="str">
        <f>IFERROR(VLOOKUP(B2254,'Pre-Summary'!$AE$6:$AJ$85,3,FALSE),"")</f>
        <v/>
      </c>
      <c r="H2254" t="str">
        <f>IFERROR(VLOOKUP(B2254,'Pre-Summary'!$AE$6:$AJ$85,4,FALSE),"")</f>
        <v/>
      </c>
      <c r="I2254" t="str">
        <f>IFERROR(VLOOKUP(B2254,'Pre-Summary'!$AE$6:$AJ$85,5,FALSE),"")</f>
        <v/>
      </c>
      <c r="J2254" s="45" t="str">
        <f>IFERROR(VLOOKUP(B2254,'Pre-Summary'!$AE$6:$AJ$85,6, FALSE),"")</f>
        <v/>
      </c>
      <c r="K2254" s="45" t="str">
        <f>IFERROR(VLOOKUP(B2254,'Pre-Summary'!$DE$6:$DG$61,3,FALSE),"")</f>
        <v/>
      </c>
      <c r="L2254" s="45" t="str">
        <f>IFERROR(VLOOKUP(B2254,'Pre-Summary'!$CU$6:$CW$36,3,FALSE),"")</f>
        <v/>
      </c>
      <c r="M2254" s="45" t="str">
        <f>IFERROR(VLOOKUP(B2254,'Pre-Summary'!$BW$6:$BY$58,2,FALSE),"")</f>
        <v/>
      </c>
      <c r="N2254" s="45" t="str">
        <f>IFERROR(VLOOKUP(B2254,'Pre-Summary'!$CD$6:$CF$64,2,FALSE),"")</f>
        <v/>
      </c>
      <c r="O2254" s="99">
        <f>IFERROR(VLOOKUP(B2254,'Pre-Summary'!$BO$6:$BQ$48,3, FALSE),O2253)</f>
        <v>1.508</v>
      </c>
      <c r="P2254" s="99">
        <f>IFERROR(VLOOKUP(B2254,'Pre-Summary'!$BS$6:$BU$35,3,FALSE),P2253)</f>
        <v>0.379</v>
      </c>
      <c r="Q2254" s="54">
        <f t="shared" si="105"/>
        <v>3.9788918205804751</v>
      </c>
      <c r="R2254" s="53">
        <f>IFERROR(VLOOKUP(B2254,'Pre-Summary'!$BG$6:$BM$44,7,FALSE),R2255)</f>
        <v>9.7948682664336664E-2</v>
      </c>
      <c r="S2254" s="53">
        <f>IFERROR(VLOOKUP(B2254,'Pre-Summary'!$BG$6:$BM$44,6,FALSE),S2255)</f>
        <v>0.10614035087720526</v>
      </c>
      <c r="T2254" s="45" t="str">
        <f>IFERROR(VLOOKUP(B2254,'Pre-Summary'!$Y$6:$AC$83, 3,FALSE),"")</f>
        <v/>
      </c>
      <c r="U2254" s="45" t="str">
        <f>IFERROR(VLOOKUP(B2254,'Pre-Summary'!$Y$6:$AC$83, 4,FALSE),"")</f>
        <v/>
      </c>
      <c r="V2254" t="str">
        <f>IFERROR(VLOOKUP(B2254,'Pre-Summary'!$Y$6:$AC$83, 5,FALSE),"")</f>
        <v/>
      </c>
      <c r="W2254" s="45" t="str">
        <f>IFERROR(VLOOKUP(B2254,'Pre-Summary'!$Y$6:$AD$83,6,FALSE),"")</f>
        <v/>
      </c>
      <c r="X2254" t="str">
        <f>IFERROR(VLOOKUP('Pre-Summary'!$DB$6:$DD$63,3,FALSE),"")</f>
        <v/>
      </c>
      <c r="Y2254" t="str">
        <f>IFERROR(VLOOKUP(B2254,'Pre-Summary'!$CR$6:$CT$36,3,FALSE),"")</f>
        <v/>
      </c>
      <c r="Z2254" s="45" t="str">
        <f>IFERROR(VLOOKUP(B2254,'Pre-Summary'!$BZ$6:$CB$63,2,FALSE),"")</f>
        <v/>
      </c>
      <c r="AA2254" s="45" t="str">
        <f>IFERROR(VLOOKUP(B2254,'Pre-Summary'!$CG$6:$CI$70,2,FALSE),"")</f>
        <v/>
      </c>
      <c r="AB2254" s="99">
        <f>IFERROR(VLOOKUP(B2254,'Pre-Summary'!$A$6:$P$178,9,FALSE),AB2255)</f>
        <v>0.35465514391001818</v>
      </c>
      <c r="AC2254" s="10">
        <f>IFERROR(VLOOKUP(Summary!B2254,'Pre-Summary'!$A$6:$P$184,5, FALSE)/100,AC2255)</f>
        <v>0.94276500000000008</v>
      </c>
      <c r="AD2254" s="10">
        <f>IFERROR(VLOOKUP(Summary!B2254,'Pre-Summary'!$A$6:$P$184,3, FALSE)/100,AD2255)</f>
        <v>4.2818000000000002E-2</v>
      </c>
      <c r="AE2254" s="10">
        <f>IFERROR(VLOOKUP(Summary!B2254,'Pre-Summary'!$A$6:$P$184,7, FALSE)/100,AE2255)</f>
        <v>1.4416999999999999E-2</v>
      </c>
      <c r="AF2254" s="99">
        <f t="shared" si="106"/>
        <v>1.5185623951939158E-2</v>
      </c>
      <c r="AG2254" s="99">
        <f t="shared" si="107"/>
        <v>5.1130632097507317E-3</v>
      </c>
      <c r="AH2254" s="10" t="str">
        <f>IFERROR(VLOOKUP(B2254,'Pre-Summary'!$AZ$6:$BE$65,3,FALSE),"")</f>
        <v/>
      </c>
      <c r="AI2254" s="10" t="str">
        <f>IFERROR(VLOOKUP(B2254,'Pre-Summary'!$AZ$6:$BE$65,5,FALSE),"")</f>
        <v/>
      </c>
      <c r="AJ2254" s="10" t="str">
        <f>IFERROR(VLOOKUP(B2254,'Pre-Summary'!$AZ$6:$BE$65,4,FALSE),"")</f>
        <v/>
      </c>
      <c r="AK2254" s="10" t="str">
        <f>IFERROR(VLOOKUP(B2254,'Pre-Summary'!$AZ$6:$BE$65,6,FALSE),"")</f>
        <v/>
      </c>
      <c r="AL2254" s="10" t="str">
        <f>IFERROR(VLOOKUP(B2254,'Pre-Summary'!$BG$6:$BL$44,3,FALSE),"")</f>
        <v/>
      </c>
      <c r="AM2254" s="10" t="str">
        <f>IFERROR(VLOOKUP(B2254,'Pre-Summary'!$BG$6:$BL$44,4,FALSE),"")</f>
        <v/>
      </c>
    </row>
    <row r="2255" spans="2:39" ht="15" customHeight="1" x14ac:dyDescent="0.3">
      <c r="B2255">
        <v>225.2</v>
      </c>
      <c r="C2255" t="str">
        <f>IFERROR(VLOOKUP(B2255,'Pre-Summary'!$DI$6:$DM$23,4,FALSE),"")</f>
        <v/>
      </c>
      <c r="D2255" s="10" t="str">
        <f>IFERROR(VLOOKUP(B2255,'Pre-Summary'!$AT$6:$AX$14,5,FALSE),D2254)</f>
        <v>Wolfe v3: went back to modified wolfe + EDTA and switched CuSO4 to CUCl2</v>
      </c>
      <c r="E2255" s="10" t="str">
        <f>IFERROR(VLOOKUP(B2255,'Pre-Summary'!$AT$6:$AX$15,4,FALSE),"")</f>
        <v/>
      </c>
      <c r="F2255">
        <f>IFERROR(VLOOKUP(B2255,'Pre-Summary'!$AL$6:$AQ$13,6,FALSE),F2254)</f>
        <v>5.9405263157894746E-2</v>
      </c>
      <c r="G2255" t="str">
        <f>IFERROR(VLOOKUP(B2255,'Pre-Summary'!$AE$6:$AJ$85,3,FALSE),"")</f>
        <v/>
      </c>
      <c r="H2255" t="str">
        <f>IFERROR(VLOOKUP(B2255,'Pre-Summary'!$AE$6:$AJ$85,4,FALSE),"")</f>
        <v/>
      </c>
      <c r="I2255" t="str">
        <f>IFERROR(VLOOKUP(B2255,'Pre-Summary'!$AE$6:$AJ$85,5,FALSE),"")</f>
        <v/>
      </c>
      <c r="J2255" s="45" t="str">
        <f>IFERROR(VLOOKUP(B2255,'Pre-Summary'!$AE$6:$AJ$85,6, FALSE),"")</f>
        <v/>
      </c>
      <c r="K2255" s="45" t="str">
        <f>IFERROR(VLOOKUP(B2255,'Pre-Summary'!$DE$6:$DG$61,3,FALSE),"")</f>
        <v/>
      </c>
      <c r="L2255" s="45" t="str">
        <f>IFERROR(VLOOKUP(B2255,'Pre-Summary'!$CU$6:$CW$36,3,FALSE),"")</f>
        <v/>
      </c>
      <c r="M2255" s="45" t="str">
        <f>IFERROR(VLOOKUP(B2255,'Pre-Summary'!$BW$6:$BY$58,2,FALSE),"")</f>
        <v/>
      </c>
      <c r="N2255" s="45" t="str">
        <f>IFERROR(VLOOKUP(B2255,'Pre-Summary'!$CD$6:$CF$64,2,FALSE),"")</f>
        <v/>
      </c>
      <c r="O2255" s="99">
        <f>IFERROR(VLOOKUP(B2255,'Pre-Summary'!$BO$6:$BQ$48,3, FALSE),O2254)</f>
        <v>1.508</v>
      </c>
      <c r="P2255" s="99">
        <f>IFERROR(VLOOKUP(B2255,'Pre-Summary'!$BS$6:$BU$35,3,FALSE),P2254)</f>
        <v>0.379</v>
      </c>
      <c r="Q2255" s="54">
        <f t="shared" si="105"/>
        <v>3.9788918205804751</v>
      </c>
      <c r="R2255" s="53">
        <f>IFERROR(VLOOKUP(B2255,'Pre-Summary'!$BG$6:$BM$44,7,FALSE),R2256)</f>
        <v>9.7948682664336664E-2</v>
      </c>
      <c r="S2255" s="53">
        <f>IFERROR(VLOOKUP(B2255,'Pre-Summary'!$BG$6:$BM$44,6,FALSE),S2256)</f>
        <v>0.10614035087720526</v>
      </c>
      <c r="T2255" s="45" t="str">
        <f>IFERROR(VLOOKUP(B2255,'Pre-Summary'!$Y$6:$AC$83, 3,FALSE),"")</f>
        <v/>
      </c>
      <c r="U2255" s="45" t="str">
        <f>IFERROR(VLOOKUP(B2255,'Pre-Summary'!$Y$6:$AC$83, 4,FALSE),"")</f>
        <v/>
      </c>
      <c r="V2255" t="str">
        <f>IFERROR(VLOOKUP(B2255,'Pre-Summary'!$Y$6:$AC$83, 5,FALSE),"")</f>
        <v/>
      </c>
      <c r="W2255" s="45" t="str">
        <f>IFERROR(VLOOKUP(B2255,'Pre-Summary'!$Y$6:$AD$83,6,FALSE),"")</f>
        <v/>
      </c>
      <c r="X2255" t="str">
        <f>IFERROR(VLOOKUP('Pre-Summary'!$DB$6:$DD$63,3,FALSE),"")</f>
        <v/>
      </c>
      <c r="Y2255" t="str">
        <f>IFERROR(VLOOKUP(B2255,'Pre-Summary'!$CR$6:$CT$36,3,FALSE),"")</f>
        <v/>
      </c>
      <c r="Z2255" s="45" t="str">
        <f>IFERROR(VLOOKUP(B2255,'Pre-Summary'!$BZ$6:$CB$63,2,FALSE),"")</f>
        <v/>
      </c>
      <c r="AA2255" s="45" t="str">
        <f>IFERROR(VLOOKUP(B2255,'Pre-Summary'!$CG$6:$CI$70,2,FALSE),"")</f>
        <v/>
      </c>
      <c r="AB2255" s="99">
        <f>IFERROR(VLOOKUP(B2255,'Pre-Summary'!$A$6:$P$178,9,FALSE),AB2256)</f>
        <v>0.35465514391001818</v>
      </c>
      <c r="AC2255" s="10">
        <f>IFERROR(VLOOKUP(Summary!B2255,'Pre-Summary'!$A$6:$P$184,5, FALSE)/100,AC2256)</f>
        <v>0.94276500000000008</v>
      </c>
      <c r="AD2255" s="10">
        <f>IFERROR(VLOOKUP(Summary!B2255,'Pre-Summary'!$A$6:$P$184,3, FALSE)/100,AD2256)</f>
        <v>4.2818000000000002E-2</v>
      </c>
      <c r="AE2255" s="10">
        <f>IFERROR(VLOOKUP(Summary!B2255,'Pre-Summary'!$A$6:$P$184,7, FALSE)/100,AE2256)</f>
        <v>1.4416999999999999E-2</v>
      </c>
      <c r="AF2255" s="99">
        <f t="shared" si="106"/>
        <v>1.5185623951939158E-2</v>
      </c>
      <c r="AG2255" s="99">
        <f t="shared" si="107"/>
        <v>5.1130632097507317E-3</v>
      </c>
      <c r="AH2255" s="10" t="str">
        <f>IFERROR(VLOOKUP(B2255,'Pre-Summary'!$AZ$6:$BE$65,3,FALSE),"")</f>
        <v/>
      </c>
      <c r="AI2255" s="10" t="str">
        <f>IFERROR(VLOOKUP(B2255,'Pre-Summary'!$AZ$6:$BE$65,5,FALSE),"")</f>
        <v/>
      </c>
      <c r="AJ2255" s="10" t="str">
        <f>IFERROR(VLOOKUP(B2255,'Pre-Summary'!$AZ$6:$BE$65,4,FALSE),"")</f>
        <v/>
      </c>
      <c r="AK2255" s="10" t="str">
        <f>IFERROR(VLOOKUP(B2255,'Pre-Summary'!$AZ$6:$BE$65,6,FALSE),"")</f>
        <v/>
      </c>
      <c r="AL2255" s="10" t="str">
        <f>IFERROR(VLOOKUP(B2255,'Pre-Summary'!$BG$6:$BL$44,3,FALSE),"")</f>
        <v/>
      </c>
      <c r="AM2255" s="10" t="str">
        <f>IFERROR(VLOOKUP(B2255,'Pre-Summary'!$BG$6:$BL$44,4,FALSE),"")</f>
        <v/>
      </c>
    </row>
    <row r="2256" spans="2:39" ht="15" customHeight="1" x14ac:dyDescent="0.3">
      <c r="B2256">
        <v>225.3</v>
      </c>
      <c r="C2256" t="str">
        <f>IFERROR(VLOOKUP(B2256,'Pre-Summary'!$DI$6:$DM$23,4,FALSE),"")</f>
        <v/>
      </c>
      <c r="D2256" s="10" t="str">
        <f>IFERROR(VLOOKUP(B2256,'Pre-Summary'!$AT$6:$AX$14,5,FALSE),D2255)</f>
        <v>Wolfe v3: went back to modified wolfe + EDTA and switched CuSO4 to CUCl2</v>
      </c>
      <c r="E2256" s="10" t="str">
        <f>IFERROR(VLOOKUP(B2256,'Pre-Summary'!$AT$6:$AX$15,4,FALSE),"")</f>
        <v/>
      </c>
      <c r="F2256">
        <f>IFERROR(VLOOKUP(B2256,'Pre-Summary'!$AL$6:$AQ$13,6,FALSE),F2255)</f>
        <v>5.9405263157894746E-2</v>
      </c>
      <c r="G2256" t="str">
        <f>IFERROR(VLOOKUP(B2256,'Pre-Summary'!$AE$6:$AJ$85,3,FALSE),"")</f>
        <v/>
      </c>
      <c r="H2256" t="str">
        <f>IFERROR(VLOOKUP(B2256,'Pre-Summary'!$AE$6:$AJ$85,4,FALSE),"")</f>
        <v/>
      </c>
      <c r="I2256" t="str">
        <f>IFERROR(VLOOKUP(B2256,'Pre-Summary'!$AE$6:$AJ$85,5,FALSE),"")</f>
        <v/>
      </c>
      <c r="J2256" s="45" t="str">
        <f>IFERROR(VLOOKUP(B2256,'Pre-Summary'!$AE$6:$AJ$85,6, FALSE),"")</f>
        <v/>
      </c>
      <c r="K2256" s="45" t="str">
        <f>IFERROR(VLOOKUP(B2256,'Pre-Summary'!$DE$6:$DG$61,3,FALSE),"")</f>
        <v/>
      </c>
      <c r="L2256" s="45" t="str">
        <f>IFERROR(VLOOKUP(B2256,'Pre-Summary'!$CU$6:$CW$36,3,FALSE),"")</f>
        <v/>
      </c>
      <c r="M2256" s="45" t="str">
        <f>IFERROR(VLOOKUP(B2256,'Pre-Summary'!$BW$6:$BY$58,2,FALSE),"")</f>
        <v/>
      </c>
      <c r="N2256" s="45" t="str">
        <f>IFERROR(VLOOKUP(B2256,'Pre-Summary'!$CD$6:$CF$64,2,FALSE),"")</f>
        <v/>
      </c>
      <c r="O2256" s="99">
        <f>IFERROR(VLOOKUP(B2256,'Pre-Summary'!$BO$6:$BQ$48,3, FALSE),O2255)</f>
        <v>1.508</v>
      </c>
      <c r="P2256" s="99">
        <f>IFERROR(VLOOKUP(B2256,'Pre-Summary'!$BS$6:$BU$35,3,FALSE),P2255)</f>
        <v>0.379</v>
      </c>
      <c r="Q2256" s="54">
        <f t="shared" si="105"/>
        <v>3.9788918205804751</v>
      </c>
      <c r="R2256" s="53">
        <f>IFERROR(VLOOKUP(B2256,'Pre-Summary'!$BG$6:$BM$44,7,FALSE),R2257)</f>
        <v>9.7948682664336664E-2</v>
      </c>
      <c r="S2256" s="53">
        <f>IFERROR(VLOOKUP(B2256,'Pre-Summary'!$BG$6:$BM$44,6,FALSE),S2257)</f>
        <v>0.10614035087720526</v>
      </c>
      <c r="T2256" s="45" t="str">
        <f>IFERROR(VLOOKUP(B2256,'Pre-Summary'!$Y$6:$AC$83, 3,FALSE),"")</f>
        <v/>
      </c>
      <c r="U2256" s="45" t="str">
        <f>IFERROR(VLOOKUP(B2256,'Pre-Summary'!$Y$6:$AC$83, 4,FALSE),"")</f>
        <v/>
      </c>
      <c r="V2256" t="str">
        <f>IFERROR(VLOOKUP(B2256,'Pre-Summary'!$Y$6:$AC$83, 5,FALSE),"")</f>
        <v/>
      </c>
      <c r="W2256" s="45" t="str">
        <f>IFERROR(VLOOKUP(B2256,'Pre-Summary'!$Y$6:$AD$83,6,FALSE),"")</f>
        <v/>
      </c>
      <c r="X2256" t="str">
        <f>IFERROR(VLOOKUP('Pre-Summary'!$DB$6:$DD$63,3,FALSE),"")</f>
        <v/>
      </c>
      <c r="Y2256" t="str">
        <f>IFERROR(VLOOKUP(B2256,'Pre-Summary'!$CR$6:$CT$36,3,FALSE),"")</f>
        <v/>
      </c>
      <c r="Z2256" s="45" t="str">
        <f>IFERROR(VLOOKUP(B2256,'Pre-Summary'!$BZ$6:$CB$63,2,FALSE),"")</f>
        <v/>
      </c>
      <c r="AA2256" s="45" t="str">
        <f>IFERROR(VLOOKUP(B2256,'Pre-Summary'!$CG$6:$CI$70,2,FALSE),"")</f>
        <v/>
      </c>
      <c r="AB2256" s="99">
        <f>IFERROR(VLOOKUP(B2256,'Pre-Summary'!$A$6:$P$178,9,FALSE),AB2257)</f>
        <v>0.35465514391001818</v>
      </c>
      <c r="AC2256" s="10">
        <f>IFERROR(VLOOKUP(Summary!B2256,'Pre-Summary'!$A$6:$P$184,5, FALSE)/100,AC2257)</f>
        <v>0.94276500000000008</v>
      </c>
      <c r="AD2256" s="10">
        <f>IFERROR(VLOOKUP(Summary!B2256,'Pre-Summary'!$A$6:$P$184,3, FALSE)/100,AD2257)</f>
        <v>4.2818000000000002E-2</v>
      </c>
      <c r="AE2256" s="10">
        <f>IFERROR(VLOOKUP(Summary!B2256,'Pre-Summary'!$A$6:$P$184,7, FALSE)/100,AE2257)</f>
        <v>1.4416999999999999E-2</v>
      </c>
      <c r="AF2256" s="99">
        <f t="shared" si="106"/>
        <v>1.5185623951939158E-2</v>
      </c>
      <c r="AG2256" s="99">
        <f t="shared" si="107"/>
        <v>5.1130632097507317E-3</v>
      </c>
      <c r="AH2256" s="10" t="str">
        <f>IFERROR(VLOOKUP(B2256,'Pre-Summary'!$AZ$6:$BE$65,3,FALSE),"")</f>
        <v/>
      </c>
      <c r="AI2256" s="10" t="str">
        <f>IFERROR(VLOOKUP(B2256,'Pre-Summary'!$AZ$6:$BE$65,5,FALSE),"")</f>
        <v/>
      </c>
      <c r="AJ2256" s="10" t="str">
        <f>IFERROR(VLOOKUP(B2256,'Pre-Summary'!$AZ$6:$BE$65,4,FALSE),"")</f>
        <v/>
      </c>
      <c r="AK2256" s="10" t="str">
        <f>IFERROR(VLOOKUP(B2256,'Pre-Summary'!$AZ$6:$BE$65,6,FALSE),"")</f>
        <v/>
      </c>
      <c r="AL2256" s="10" t="str">
        <f>IFERROR(VLOOKUP(B2256,'Pre-Summary'!$BG$6:$BL$44,3,FALSE),"")</f>
        <v/>
      </c>
      <c r="AM2256" s="10" t="str">
        <f>IFERROR(VLOOKUP(B2256,'Pre-Summary'!$BG$6:$BL$44,4,FALSE),"")</f>
        <v/>
      </c>
    </row>
    <row r="2257" spans="2:39" ht="15" customHeight="1" x14ac:dyDescent="0.3">
      <c r="B2257">
        <v>225.4</v>
      </c>
      <c r="C2257" t="str">
        <f>IFERROR(VLOOKUP(B2257,'Pre-Summary'!$DI$6:$DM$23,4,FALSE),"")</f>
        <v/>
      </c>
      <c r="D2257" s="10" t="str">
        <f>IFERROR(VLOOKUP(B2257,'Pre-Summary'!$AT$6:$AX$14,5,FALSE),D2256)</f>
        <v>Wolfe v3: went back to modified wolfe + EDTA and switched CuSO4 to CUCl2</v>
      </c>
      <c r="E2257" s="10" t="str">
        <f>IFERROR(VLOOKUP(B2257,'Pre-Summary'!$AT$6:$AX$15,4,FALSE),"")</f>
        <v/>
      </c>
      <c r="F2257">
        <f>IFERROR(VLOOKUP(B2257,'Pre-Summary'!$AL$6:$AQ$13,6,FALSE),F2256)</f>
        <v>5.9405263157894746E-2</v>
      </c>
      <c r="G2257" t="str">
        <f>IFERROR(VLOOKUP(B2257,'Pre-Summary'!$AE$6:$AJ$85,3,FALSE),"")</f>
        <v/>
      </c>
      <c r="H2257" t="str">
        <f>IFERROR(VLOOKUP(B2257,'Pre-Summary'!$AE$6:$AJ$85,4,FALSE),"")</f>
        <v/>
      </c>
      <c r="I2257" t="str">
        <f>IFERROR(VLOOKUP(B2257,'Pre-Summary'!$AE$6:$AJ$85,5,FALSE),"")</f>
        <v/>
      </c>
      <c r="J2257" s="45" t="str">
        <f>IFERROR(VLOOKUP(B2257,'Pre-Summary'!$AE$6:$AJ$85,6, FALSE),"")</f>
        <v/>
      </c>
      <c r="K2257" s="45" t="str">
        <f>IFERROR(VLOOKUP(B2257,'Pre-Summary'!$DE$6:$DG$61,3,FALSE),"")</f>
        <v/>
      </c>
      <c r="L2257" s="45" t="str">
        <f>IFERROR(VLOOKUP(B2257,'Pre-Summary'!$CU$6:$CW$36,3,FALSE),"")</f>
        <v/>
      </c>
      <c r="M2257" s="45" t="str">
        <f>IFERROR(VLOOKUP(B2257,'Pre-Summary'!$BW$6:$BY$58,2,FALSE),"")</f>
        <v/>
      </c>
      <c r="N2257" s="45" t="str">
        <f>IFERROR(VLOOKUP(B2257,'Pre-Summary'!$CD$6:$CF$64,2,FALSE),"")</f>
        <v/>
      </c>
      <c r="O2257" s="99">
        <f>IFERROR(VLOOKUP(B2257,'Pre-Summary'!$BO$6:$BQ$48,3, FALSE),O2256)</f>
        <v>1.508</v>
      </c>
      <c r="P2257" s="99">
        <f>IFERROR(VLOOKUP(B2257,'Pre-Summary'!$BS$6:$BU$35,3,FALSE),P2256)</f>
        <v>0.379</v>
      </c>
      <c r="Q2257" s="54">
        <f t="shared" si="105"/>
        <v>3.9788918205804751</v>
      </c>
      <c r="R2257" s="53">
        <f>IFERROR(VLOOKUP(B2257,'Pre-Summary'!$BG$6:$BM$44,7,FALSE),R2258)</f>
        <v>9.7948682664336664E-2</v>
      </c>
      <c r="S2257" s="53">
        <f>IFERROR(VLOOKUP(B2257,'Pre-Summary'!$BG$6:$BM$44,6,FALSE),S2258)</f>
        <v>0.10614035087720526</v>
      </c>
      <c r="T2257" s="45" t="str">
        <f>IFERROR(VLOOKUP(B2257,'Pre-Summary'!$Y$6:$AC$83, 3,FALSE),"")</f>
        <v/>
      </c>
      <c r="U2257" s="45" t="str">
        <f>IFERROR(VLOOKUP(B2257,'Pre-Summary'!$Y$6:$AC$83, 4,FALSE),"")</f>
        <v/>
      </c>
      <c r="V2257" t="str">
        <f>IFERROR(VLOOKUP(B2257,'Pre-Summary'!$Y$6:$AC$83, 5,FALSE),"")</f>
        <v/>
      </c>
      <c r="W2257" s="45" t="str">
        <f>IFERROR(VLOOKUP(B2257,'Pre-Summary'!$Y$6:$AD$83,6,FALSE),"")</f>
        <v/>
      </c>
      <c r="X2257" t="str">
        <f>IFERROR(VLOOKUP('Pre-Summary'!$DB$6:$DD$63,3,FALSE),"")</f>
        <v/>
      </c>
      <c r="Y2257" t="str">
        <f>IFERROR(VLOOKUP(B2257,'Pre-Summary'!$CR$6:$CT$36,3,FALSE),"")</f>
        <v/>
      </c>
      <c r="Z2257" s="45" t="str">
        <f>IFERROR(VLOOKUP(B2257,'Pre-Summary'!$BZ$6:$CB$63,2,FALSE),"")</f>
        <v/>
      </c>
      <c r="AA2257" s="45" t="str">
        <f>IFERROR(VLOOKUP(B2257,'Pre-Summary'!$CG$6:$CI$70,2,FALSE),"")</f>
        <v/>
      </c>
      <c r="AB2257" s="99">
        <f>IFERROR(VLOOKUP(B2257,'Pre-Summary'!$A$6:$P$178,9,FALSE),AB2258)</f>
        <v>0.35465514391001818</v>
      </c>
      <c r="AC2257" s="10">
        <f>IFERROR(VLOOKUP(Summary!B2257,'Pre-Summary'!$A$6:$P$184,5, FALSE)/100,AC2258)</f>
        <v>0.94276500000000008</v>
      </c>
      <c r="AD2257" s="10">
        <f>IFERROR(VLOOKUP(Summary!B2257,'Pre-Summary'!$A$6:$P$184,3, FALSE)/100,AD2258)</f>
        <v>4.2818000000000002E-2</v>
      </c>
      <c r="AE2257" s="10">
        <f>IFERROR(VLOOKUP(Summary!B2257,'Pre-Summary'!$A$6:$P$184,7, FALSE)/100,AE2258)</f>
        <v>1.4416999999999999E-2</v>
      </c>
      <c r="AF2257" s="99">
        <f t="shared" si="106"/>
        <v>1.5185623951939158E-2</v>
      </c>
      <c r="AG2257" s="99">
        <f t="shared" si="107"/>
        <v>5.1130632097507317E-3</v>
      </c>
      <c r="AH2257" s="10" t="str">
        <f>IFERROR(VLOOKUP(B2257,'Pre-Summary'!$AZ$6:$BE$65,3,FALSE),"")</f>
        <v/>
      </c>
      <c r="AI2257" s="10" t="str">
        <f>IFERROR(VLOOKUP(B2257,'Pre-Summary'!$AZ$6:$BE$65,5,FALSE),"")</f>
        <v/>
      </c>
      <c r="AJ2257" s="10" t="str">
        <f>IFERROR(VLOOKUP(B2257,'Pre-Summary'!$AZ$6:$BE$65,4,FALSE),"")</f>
        <v/>
      </c>
      <c r="AK2257" s="10" t="str">
        <f>IFERROR(VLOOKUP(B2257,'Pre-Summary'!$AZ$6:$BE$65,6,FALSE),"")</f>
        <v/>
      </c>
      <c r="AL2257" s="10" t="str">
        <f>IFERROR(VLOOKUP(B2257,'Pre-Summary'!$BG$6:$BL$44,3,FALSE),"")</f>
        <v/>
      </c>
      <c r="AM2257" s="10" t="str">
        <f>IFERROR(VLOOKUP(B2257,'Pre-Summary'!$BG$6:$BL$44,4,FALSE),"")</f>
        <v/>
      </c>
    </row>
    <row r="2258" spans="2:39" ht="15" customHeight="1" x14ac:dyDescent="0.3">
      <c r="B2258">
        <v>225.5</v>
      </c>
      <c r="C2258" t="str">
        <f>IFERROR(VLOOKUP(B2258,'Pre-Summary'!$DI$6:$DM$23,4,FALSE),"")</f>
        <v/>
      </c>
      <c r="D2258" s="10" t="str">
        <f>IFERROR(VLOOKUP(B2258,'Pre-Summary'!$AT$6:$AX$14,5,FALSE),D2257)</f>
        <v>Wolfe v3: went back to modified wolfe + EDTA and switched CuSO4 to CUCl2</v>
      </c>
      <c r="E2258" s="10" t="str">
        <f>IFERROR(VLOOKUP(B2258,'Pre-Summary'!$AT$6:$AX$15,4,FALSE),"")</f>
        <v/>
      </c>
      <c r="F2258">
        <f>IFERROR(VLOOKUP(B2258,'Pre-Summary'!$AL$6:$AQ$13,6,FALSE),F2257)</f>
        <v>5.9405263157894746E-2</v>
      </c>
      <c r="G2258" t="str">
        <f>IFERROR(VLOOKUP(B2258,'Pre-Summary'!$AE$6:$AJ$85,3,FALSE),"")</f>
        <v/>
      </c>
      <c r="H2258" t="str">
        <f>IFERROR(VLOOKUP(B2258,'Pre-Summary'!$AE$6:$AJ$85,4,FALSE),"")</f>
        <v/>
      </c>
      <c r="I2258" t="str">
        <f>IFERROR(VLOOKUP(B2258,'Pre-Summary'!$AE$6:$AJ$85,5,FALSE),"")</f>
        <v/>
      </c>
      <c r="J2258" s="45" t="str">
        <f>IFERROR(VLOOKUP(B2258,'Pre-Summary'!$AE$6:$AJ$85,6, FALSE),"")</f>
        <v/>
      </c>
      <c r="K2258" s="45" t="str">
        <f>IFERROR(VLOOKUP(B2258,'Pre-Summary'!$DE$6:$DG$61,3,FALSE),"")</f>
        <v/>
      </c>
      <c r="L2258" s="45" t="str">
        <f>IFERROR(VLOOKUP(B2258,'Pre-Summary'!$CU$6:$CW$36,3,FALSE),"")</f>
        <v/>
      </c>
      <c r="M2258" s="45" t="str">
        <f>IFERROR(VLOOKUP(B2258,'Pre-Summary'!$BW$6:$BY$58,2,FALSE),"")</f>
        <v/>
      </c>
      <c r="N2258" s="45" t="str">
        <f>IFERROR(VLOOKUP(B2258,'Pre-Summary'!$CD$6:$CF$64,2,FALSE),"")</f>
        <v/>
      </c>
      <c r="O2258" s="99">
        <f>IFERROR(VLOOKUP(B2258,'Pre-Summary'!$BO$6:$BQ$48,3, FALSE),O2257)</f>
        <v>1.508</v>
      </c>
      <c r="P2258" s="99">
        <f>IFERROR(VLOOKUP(B2258,'Pre-Summary'!$BS$6:$BU$35,3,FALSE),P2257)</f>
        <v>0.379</v>
      </c>
      <c r="Q2258" s="54">
        <f t="shared" si="105"/>
        <v>3.9788918205804751</v>
      </c>
      <c r="R2258" s="53">
        <f>IFERROR(VLOOKUP(B2258,'Pre-Summary'!$BG$6:$BM$44,7,FALSE),R2259)</f>
        <v>9.7948682664336664E-2</v>
      </c>
      <c r="S2258" s="53">
        <f>IFERROR(VLOOKUP(B2258,'Pre-Summary'!$BG$6:$BM$44,6,FALSE),S2259)</f>
        <v>0.10614035087720526</v>
      </c>
      <c r="T2258" s="45" t="str">
        <f>IFERROR(VLOOKUP(B2258,'Pre-Summary'!$Y$6:$AC$83, 3,FALSE),"")</f>
        <v/>
      </c>
      <c r="U2258" s="45" t="str">
        <f>IFERROR(VLOOKUP(B2258,'Pre-Summary'!$Y$6:$AC$83, 4,FALSE),"")</f>
        <v/>
      </c>
      <c r="V2258" t="str">
        <f>IFERROR(VLOOKUP(B2258,'Pre-Summary'!$Y$6:$AC$83, 5,FALSE),"")</f>
        <v/>
      </c>
      <c r="W2258" s="45" t="str">
        <f>IFERROR(VLOOKUP(B2258,'Pre-Summary'!$Y$6:$AD$83,6,FALSE),"")</f>
        <v/>
      </c>
      <c r="X2258" t="str">
        <f>IFERROR(VLOOKUP('Pre-Summary'!$DB$6:$DD$63,3,FALSE),"")</f>
        <v/>
      </c>
      <c r="Y2258" t="str">
        <f>IFERROR(VLOOKUP(B2258,'Pre-Summary'!$CR$6:$CT$36,3,FALSE),"")</f>
        <v/>
      </c>
      <c r="Z2258" s="45" t="str">
        <f>IFERROR(VLOOKUP(B2258,'Pre-Summary'!$BZ$6:$CB$63,2,FALSE),"")</f>
        <v/>
      </c>
      <c r="AA2258" s="45" t="str">
        <f>IFERROR(VLOOKUP(B2258,'Pre-Summary'!$CG$6:$CI$70,2,FALSE),"")</f>
        <v/>
      </c>
      <c r="AB2258" s="99">
        <f>IFERROR(VLOOKUP(B2258,'Pre-Summary'!$A$6:$P$178,9,FALSE),AB2259)</f>
        <v>0.35465514391001818</v>
      </c>
      <c r="AC2258" s="10">
        <f>IFERROR(VLOOKUP(Summary!B2258,'Pre-Summary'!$A$6:$P$184,5, FALSE)/100,AC2259)</f>
        <v>0.94276500000000008</v>
      </c>
      <c r="AD2258" s="10">
        <f>IFERROR(VLOOKUP(Summary!B2258,'Pre-Summary'!$A$6:$P$184,3, FALSE)/100,AD2259)</f>
        <v>4.2818000000000002E-2</v>
      </c>
      <c r="AE2258" s="10">
        <f>IFERROR(VLOOKUP(Summary!B2258,'Pre-Summary'!$A$6:$P$184,7, FALSE)/100,AE2259)</f>
        <v>1.4416999999999999E-2</v>
      </c>
      <c r="AF2258" s="99">
        <f t="shared" si="106"/>
        <v>1.5185623951939158E-2</v>
      </c>
      <c r="AG2258" s="99">
        <f t="shared" si="107"/>
        <v>5.1130632097507317E-3</v>
      </c>
      <c r="AH2258" s="10" t="str">
        <f>IFERROR(VLOOKUP(B2258,'Pre-Summary'!$AZ$6:$BE$65,3,FALSE),"")</f>
        <v/>
      </c>
      <c r="AI2258" s="10" t="str">
        <f>IFERROR(VLOOKUP(B2258,'Pre-Summary'!$AZ$6:$BE$65,5,FALSE),"")</f>
        <v/>
      </c>
      <c r="AJ2258" s="10" t="str">
        <f>IFERROR(VLOOKUP(B2258,'Pre-Summary'!$AZ$6:$BE$65,4,FALSE),"")</f>
        <v/>
      </c>
      <c r="AK2258" s="10" t="str">
        <f>IFERROR(VLOOKUP(B2258,'Pre-Summary'!$AZ$6:$BE$65,6,FALSE),"")</f>
        <v/>
      </c>
      <c r="AL2258" s="10" t="str">
        <f>IFERROR(VLOOKUP(B2258,'Pre-Summary'!$BG$6:$BL$44,3,FALSE),"")</f>
        <v/>
      </c>
      <c r="AM2258" s="10" t="str">
        <f>IFERROR(VLOOKUP(B2258,'Pre-Summary'!$BG$6:$BL$44,4,FALSE),"")</f>
        <v/>
      </c>
    </row>
    <row r="2259" spans="2:39" ht="15" customHeight="1" x14ac:dyDescent="0.3">
      <c r="B2259">
        <v>225.6</v>
      </c>
      <c r="C2259" t="str">
        <f>IFERROR(VLOOKUP(B2259,'Pre-Summary'!$DI$6:$DM$23,4,FALSE),"")</f>
        <v/>
      </c>
      <c r="D2259" s="10" t="str">
        <f>IFERROR(VLOOKUP(B2259,'Pre-Summary'!$AT$6:$AX$14,5,FALSE),D2258)</f>
        <v>Wolfe v3: went back to modified wolfe + EDTA and switched CuSO4 to CUCl2</v>
      </c>
      <c r="E2259" s="10" t="str">
        <f>IFERROR(VLOOKUP(B2259,'Pre-Summary'!$AT$6:$AX$15,4,FALSE),"")</f>
        <v/>
      </c>
      <c r="F2259">
        <f>IFERROR(VLOOKUP(B2259,'Pre-Summary'!$AL$6:$AQ$13,6,FALSE),F2258)</f>
        <v>5.9405263157894746E-2</v>
      </c>
      <c r="G2259" t="str">
        <f>IFERROR(VLOOKUP(B2259,'Pre-Summary'!$AE$6:$AJ$85,3,FALSE),"")</f>
        <v/>
      </c>
      <c r="H2259" t="str">
        <f>IFERROR(VLOOKUP(B2259,'Pre-Summary'!$AE$6:$AJ$85,4,FALSE),"")</f>
        <v/>
      </c>
      <c r="I2259" t="str">
        <f>IFERROR(VLOOKUP(B2259,'Pre-Summary'!$AE$6:$AJ$85,5,FALSE),"")</f>
        <v/>
      </c>
      <c r="J2259" s="45" t="str">
        <f>IFERROR(VLOOKUP(B2259,'Pre-Summary'!$AE$6:$AJ$85,6, FALSE),"")</f>
        <v/>
      </c>
      <c r="K2259" s="45" t="str">
        <f>IFERROR(VLOOKUP(B2259,'Pre-Summary'!$DE$6:$DG$61,3,FALSE),"")</f>
        <v/>
      </c>
      <c r="L2259" s="45" t="str">
        <f>IFERROR(VLOOKUP(B2259,'Pre-Summary'!$CU$6:$CW$36,3,FALSE),"")</f>
        <v/>
      </c>
      <c r="M2259" s="45" t="str">
        <f>IFERROR(VLOOKUP(B2259,'Pre-Summary'!$BW$6:$BY$58,2,FALSE),"")</f>
        <v/>
      </c>
      <c r="N2259" s="45" t="str">
        <f>IFERROR(VLOOKUP(B2259,'Pre-Summary'!$CD$6:$CF$64,2,FALSE),"")</f>
        <v/>
      </c>
      <c r="O2259" s="99">
        <f>IFERROR(VLOOKUP(B2259,'Pre-Summary'!$BO$6:$BQ$48,3, FALSE),O2258)</f>
        <v>1.508</v>
      </c>
      <c r="P2259" s="99">
        <f>IFERROR(VLOOKUP(B2259,'Pre-Summary'!$BS$6:$BU$35,3,FALSE),P2258)</f>
        <v>0.379</v>
      </c>
      <c r="Q2259" s="54">
        <f t="shared" si="105"/>
        <v>3.9788918205804751</v>
      </c>
      <c r="R2259" s="53">
        <f>IFERROR(VLOOKUP(B2259,'Pre-Summary'!$BG$6:$BM$44,7,FALSE),R2260)</f>
        <v>9.7948682664336664E-2</v>
      </c>
      <c r="S2259" s="53">
        <f>IFERROR(VLOOKUP(B2259,'Pre-Summary'!$BG$6:$BM$44,6,FALSE),S2260)</f>
        <v>0.10614035087720526</v>
      </c>
      <c r="T2259" s="45" t="str">
        <f>IFERROR(VLOOKUP(B2259,'Pre-Summary'!$Y$6:$AC$83, 3,FALSE),"")</f>
        <v/>
      </c>
      <c r="U2259" s="45" t="str">
        <f>IFERROR(VLOOKUP(B2259,'Pre-Summary'!$Y$6:$AC$83, 4,FALSE),"")</f>
        <v/>
      </c>
      <c r="V2259" t="str">
        <f>IFERROR(VLOOKUP(B2259,'Pre-Summary'!$Y$6:$AC$83, 5,FALSE),"")</f>
        <v/>
      </c>
      <c r="W2259" s="45" t="str">
        <f>IFERROR(VLOOKUP(B2259,'Pre-Summary'!$Y$6:$AD$83,6,FALSE),"")</f>
        <v/>
      </c>
      <c r="X2259" t="str">
        <f>IFERROR(VLOOKUP('Pre-Summary'!$DB$6:$DD$63,3,FALSE),"")</f>
        <v/>
      </c>
      <c r="Y2259" t="str">
        <f>IFERROR(VLOOKUP(B2259,'Pre-Summary'!$CR$6:$CT$36,3,FALSE),"")</f>
        <v/>
      </c>
      <c r="Z2259" s="45" t="str">
        <f>IFERROR(VLOOKUP(B2259,'Pre-Summary'!$BZ$6:$CB$63,2,FALSE),"")</f>
        <v/>
      </c>
      <c r="AA2259" s="45" t="str">
        <f>IFERROR(VLOOKUP(B2259,'Pre-Summary'!$CG$6:$CI$70,2,FALSE),"")</f>
        <v/>
      </c>
      <c r="AB2259" s="99">
        <f>IFERROR(VLOOKUP(B2259,'Pre-Summary'!$A$6:$P$178,9,FALSE),AB2260)</f>
        <v>0.35465514391001818</v>
      </c>
      <c r="AC2259" s="10">
        <f>IFERROR(VLOOKUP(Summary!B2259,'Pre-Summary'!$A$6:$P$184,5, FALSE)/100,AC2260)</f>
        <v>0.94276500000000008</v>
      </c>
      <c r="AD2259" s="10">
        <f>IFERROR(VLOOKUP(Summary!B2259,'Pre-Summary'!$A$6:$P$184,3, FALSE)/100,AD2260)</f>
        <v>4.2818000000000002E-2</v>
      </c>
      <c r="AE2259" s="10">
        <f>IFERROR(VLOOKUP(Summary!B2259,'Pre-Summary'!$A$6:$P$184,7, FALSE)/100,AE2260)</f>
        <v>1.4416999999999999E-2</v>
      </c>
      <c r="AF2259" s="99">
        <f t="shared" si="106"/>
        <v>1.5185623951939158E-2</v>
      </c>
      <c r="AG2259" s="99">
        <f t="shared" si="107"/>
        <v>5.1130632097507317E-3</v>
      </c>
      <c r="AH2259" s="10" t="str">
        <f>IFERROR(VLOOKUP(B2259,'Pre-Summary'!$AZ$6:$BE$65,3,FALSE),"")</f>
        <v/>
      </c>
      <c r="AI2259" s="10" t="str">
        <f>IFERROR(VLOOKUP(B2259,'Pre-Summary'!$AZ$6:$BE$65,5,FALSE),"")</f>
        <v/>
      </c>
      <c r="AJ2259" s="10" t="str">
        <f>IFERROR(VLOOKUP(B2259,'Pre-Summary'!$AZ$6:$BE$65,4,FALSE),"")</f>
        <v/>
      </c>
      <c r="AK2259" s="10" t="str">
        <f>IFERROR(VLOOKUP(B2259,'Pre-Summary'!$AZ$6:$BE$65,6,FALSE),"")</f>
        <v/>
      </c>
      <c r="AL2259" s="10" t="str">
        <f>IFERROR(VLOOKUP(B2259,'Pre-Summary'!$BG$6:$BL$44,3,FALSE),"")</f>
        <v/>
      </c>
      <c r="AM2259" s="10" t="str">
        <f>IFERROR(VLOOKUP(B2259,'Pre-Summary'!$BG$6:$BL$44,4,FALSE),"")</f>
        <v/>
      </c>
    </row>
    <row r="2260" spans="2:39" ht="15" customHeight="1" x14ac:dyDescent="0.3">
      <c r="B2260">
        <v>225.7</v>
      </c>
      <c r="C2260" t="str">
        <f>IFERROR(VLOOKUP(B2260,'Pre-Summary'!$DI$6:$DM$23,4,FALSE),"")</f>
        <v/>
      </c>
      <c r="D2260" s="10" t="str">
        <f>IFERROR(VLOOKUP(B2260,'Pre-Summary'!$AT$6:$AX$14,5,FALSE),D2259)</f>
        <v>Wolfe v3: went back to modified wolfe + EDTA and switched CuSO4 to CUCl2</v>
      </c>
      <c r="E2260" s="10" t="str">
        <f>IFERROR(VLOOKUP(B2260,'Pre-Summary'!$AT$6:$AX$15,4,FALSE),"")</f>
        <v/>
      </c>
      <c r="F2260">
        <f>IFERROR(VLOOKUP(B2260,'Pre-Summary'!$AL$6:$AQ$13,6,FALSE),F2259)</f>
        <v>5.9405263157894746E-2</v>
      </c>
      <c r="G2260" t="str">
        <f>IFERROR(VLOOKUP(B2260,'Pre-Summary'!$AE$6:$AJ$85,3,FALSE),"")</f>
        <v/>
      </c>
      <c r="H2260" t="str">
        <f>IFERROR(VLOOKUP(B2260,'Pre-Summary'!$AE$6:$AJ$85,4,FALSE),"")</f>
        <v/>
      </c>
      <c r="I2260" t="str">
        <f>IFERROR(VLOOKUP(B2260,'Pre-Summary'!$AE$6:$AJ$85,5,FALSE),"")</f>
        <v/>
      </c>
      <c r="J2260" s="45" t="str">
        <f>IFERROR(VLOOKUP(B2260,'Pre-Summary'!$AE$6:$AJ$85,6, FALSE),"")</f>
        <v/>
      </c>
      <c r="K2260" s="45" t="str">
        <f>IFERROR(VLOOKUP(B2260,'Pre-Summary'!$DE$6:$DG$61,3,FALSE),"")</f>
        <v/>
      </c>
      <c r="L2260" s="45" t="str">
        <f>IFERROR(VLOOKUP(B2260,'Pre-Summary'!$CU$6:$CW$36,3,FALSE),"")</f>
        <v/>
      </c>
      <c r="M2260" s="45" t="str">
        <f>IFERROR(VLOOKUP(B2260,'Pre-Summary'!$BW$6:$BY$58,2,FALSE),"")</f>
        <v/>
      </c>
      <c r="N2260" s="45" t="str">
        <f>IFERROR(VLOOKUP(B2260,'Pre-Summary'!$CD$6:$CF$64,2,FALSE),"")</f>
        <v/>
      </c>
      <c r="O2260" s="99">
        <f>IFERROR(VLOOKUP(B2260,'Pre-Summary'!$BO$6:$BQ$48,3, FALSE),O2259)</f>
        <v>1.508</v>
      </c>
      <c r="P2260" s="99">
        <f>IFERROR(VLOOKUP(B2260,'Pre-Summary'!$BS$6:$BU$35,3,FALSE),P2259)</f>
        <v>0.379</v>
      </c>
      <c r="Q2260" s="54">
        <f t="shared" si="105"/>
        <v>3.9788918205804751</v>
      </c>
      <c r="R2260" s="53">
        <f>IFERROR(VLOOKUP(B2260,'Pre-Summary'!$BG$6:$BM$44,7,FALSE),R2261)</f>
        <v>9.7948682664336664E-2</v>
      </c>
      <c r="S2260" s="53">
        <f>IFERROR(VLOOKUP(B2260,'Pre-Summary'!$BG$6:$BM$44,6,FALSE),S2261)</f>
        <v>0.10614035087720526</v>
      </c>
      <c r="T2260" s="45" t="str">
        <f>IFERROR(VLOOKUP(B2260,'Pre-Summary'!$Y$6:$AC$83, 3,FALSE),"")</f>
        <v/>
      </c>
      <c r="U2260" s="45" t="str">
        <f>IFERROR(VLOOKUP(B2260,'Pre-Summary'!$Y$6:$AC$83, 4,FALSE),"")</f>
        <v/>
      </c>
      <c r="V2260" t="str">
        <f>IFERROR(VLOOKUP(B2260,'Pre-Summary'!$Y$6:$AC$83, 5,FALSE),"")</f>
        <v/>
      </c>
      <c r="W2260" s="45" t="str">
        <f>IFERROR(VLOOKUP(B2260,'Pre-Summary'!$Y$6:$AD$83,6,FALSE),"")</f>
        <v/>
      </c>
      <c r="X2260" t="str">
        <f>IFERROR(VLOOKUP('Pre-Summary'!$DB$6:$DD$63,3,FALSE),"")</f>
        <v/>
      </c>
      <c r="Y2260" t="str">
        <f>IFERROR(VLOOKUP(B2260,'Pre-Summary'!$CR$6:$CT$36,3,FALSE),"")</f>
        <v/>
      </c>
      <c r="Z2260" s="45" t="str">
        <f>IFERROR(VLOOKUP(B2260,'Pre-Summary'!$BZ$6:$CB$63,2,FALSE),"")</f>
        <v/>
      </c>
      <c r="AA2260" s="45" t="str">
        <f>IFERROR(VLOOKUP(B2260,'Pre-Summary'!$CG$6:$CI$70,2,FALSE),"")</f>
        <v/>
      </c>
      <c r="AB2260" s="99">
        <f>IFERROR(VLOOKUP(B2260,'Pre-Summary'!$A$6:$P$178,9,FALSE),AB2261)</f>
        <v>0.35465514391001818</v>
      </c>
      <c r="AC2260" s="10">
        <f>IFERROR(VLOOKUP(Summary!B2260,'Pre-Summary'!$A$6:$P$184,5, FALSE)/100,AC2261)</f>
        <v>0.94276500000000008</v>
      </c>
      <c r="AD2260" s="10">
        <f>IFERROR(VLOOKUP(Summary!B2260,'Pre-Summary'!$A$6:$P$184,3, FALSE)/100,AD2261)</f>
        <v>4.2818000000000002E-2</v>
      </c>
      <c r="AE2260" s="10">
        <f>IFERROR(VLOOKUP(Summary!B2260,'Pre-Summary'!$A$6:$P$184,7, FALSE)/100,AE2261)</f>
        <v>1.4416999999999999E-2</v>
      </c>
      <c r="AF2260" s="99">
        <f t="shared" si="106"/>
        <v>1.5185623951939158E-2</v>
      </c>
      <c r="AG2260" s="99">
        <f t="shared" si="107"/>
        <v>5.1130632097507317E-3</v>
      </c>
      <c r="AH2260" s="10" t="str">
        <f>IFERROR(VLOOKUP(B2260,'Pre-Summary'!$AZ$6:$BE$65,3,FALSE),"")</f>
        <v/>
      </c>
      <c r="AI2260" s="10" t="str">
        <f>IFERROR(VLOOKUP(B2260,'Pre-Summary'!$AZ$6:$BE$65,5,FALSE),"")</f>
        <v/>
      </c>
      <c r="AJ2260" s="10" t="str">
        <f>IFERROR(VLOOKUP(B2260,'Pre-Summary'!$AZ$6:$BE$65,4,FALSE),"")</f>
        <v/>
      </c>
      <c r="AK2260" s="10" t="str">
        <f>IFERROR(VLOOKUP(B2260,'Pre-Summary'!$AZ$6:$BE$65,6,FALSE),"")</f>
        <v/>
      </c>
      <c r="AL2260" s="10" t="str">
        <f>IFERROR(VLOOKUP(B2260,'Pre-Summary'!$BG$6:$BL$44,3,FALSE),"")</f>
        <v/>
      </c>
      <c r="AM2260" s="10" t="str">
        <f>IFERROR(VLOOKUP(B2260,'Pre-Summary'!$BG$6:$BL$44,4,FALSE),"")</f>
        <v/>
      </c>
    </row>
    <row r="2261" spans="2:39" ht="15" customHeight="1" x14ac:dyDescent="0.3">
      <c r="B2261">
        <v>225.8</v>
      </c>
      <c r="C2261" t="str">
        <f>IFERROR(VLOOKUP(B2261,'Pre-Summary'!$DI$6:$DM$23,4,FALSE),"")</f>
        <v/>
      </c>
      <c r="D2261" s="10" t="str">
        <f>IFERROR(VLOOKUP(B2261,'Pre-Summary'!$AT$6:$AX$14,5,FALSE),D2260)</f>
        <v>Wolfe v3: went back to modified wolfe + EDTA and switched CuSO4 to CUCl2</v>
      </c>
      <c r="E2261" s="10" t="str">
        <f>IFERROR(VLOOKUP(B2261,'Pre-Summary'!$AT$6:$AX$15,4,FALSE),"")</f>
        <v/>
      </c>
      <c r="F2261">
        <f>IFERROR(VLOOKUP(B2261,'Pre-Summary'!$AL$6:$AQ$13,6,FALSE),F2260)</f>
        <v>5.9405263157894746E-2</v>
      </c>
      <c r="G2261" t="str">
        <f>IFERROR(VLOOKUP(B2261,'Pre-Summary'!$AE$6:$AJ$85,3,FALSE),"")</f>
        <v/>
      </c>
      <c r="H2261" t="str">
        <f>IFERROR(VLOOKUP(B2261,'Pre-Summary'!$AE$6:$AJ$85,4,FALSE),"")</f>
        <v/>
      </c>
      <c r="I2261" t="str">
        <f>IFERROR(VLOOKUP(B2261,'Pre-Summary'!$AE$6:$AJ$85,5,FALSE),"")</f>
        <v/>
      </c>
      <c r="J2261" s="45" t="str">
        <f>IFERROR(VLOOKUP(B2261,'Pre-Summary'!$AE$6:$AJ$85,6, FALSE),"")</f>
        <v/>
      </c>
      <c r="K2261" s="45" t="str">
        <f>IFERROR(VLOOKUP(B2261,'Pre-Summary'!$DE$6:$DG$61,3,FALSE),"")</f>
        <v/>
      </c>
      <c r="L2261" s="45" t="str">
        <f>IFERROR(VLOOKUP(B2261,'Pre-Summary'!$CU$6:$CW$36,3,FALSE),"")</f>
        <v/>
      </c>
      <c r="M2261" s="45" t="str">
        <f>IFERROR(VLOOKUP(B2261,'Pre-Summary'!$BW$6:$BY$58,2,FALSE),"")</f>
        <v/>
      </c>
      <c r="N2261" s="45" t="str">
        <f>IFERROR(VLOOKUP(B2261,'Pre-Summary'!$CD$6:$CF$64,2,FALSE),"")</f>
        <v/>
      </c>
      <c r="O2261" s="99">
        <f>IFERROR(VLOOKUP(B2261,'Pre-Summary'!$BO$6:$BQ$48,3, FALSE),O2260)</f>
        <v>1.508</v>
      </c>
      <c r="P2261" s="99">
        <f>IFERROR(VLOOKUP(B2261,'Pre-Summary'!$BS$6:$BU$35,3,FALSE),P2260)</f>
        <v>0.379</v>
      </c>
      <c r="Q2261" s="54">
        <f t="shared" si="105"/>
        <v>3.9788918205804751</v>
      </c>
      <c r="R2261" s="53">
        <f>IFERROR(VLOOKUP(B2261,'Pre-Summary'!$BG$6:$BM$44,7,FALSE),R2262)</f>
        <v>9.7948682664336664E-2</v>
      </c>
      <c r="S2261" s="53">
        <f>IFERROR(VLOOKUP(B2261,'Pre-Summary'!$BG$6:$BM$44,6,FALSE),S2262)</f>
        <v>0.10614035087720526</v>
      </c>
      <c r="T2261" s="45" t="str">
        <f>IFERROR(VLOOKUP(B2261,'Pre-Summary'!$Y$6:$AC$83, 3,FALSE),"")</f>
        <v/>
      </c>
      <c r="U2261" s="45" t="str">
        <f>IFERROR(VLOOKUP(B2261,'Pre-Summary'!$Y$6:$AC$83, 4,FALSE),"")</f>
        <v/>
      </c>
      <c r="V2261" t="str">
        <f>IFERROR(VLOOKUP(B2261,'Pre-Summary'!$Y$6:$AC$83, 5,FALSE),"")</f>
        <v/>
      </c>
      <c r="W2261" s="45" t="str">
        <f>IFERROR(VLOOKUP(B2261,'Pre-Summary'!$Y$6:$AD$83,6,FALSE),"")</f>
        <v/>
      </c>
      <c r="X2261" t="str">
        <f>IFERROR(VLOOKUP('Pre-Summary'!$DB$6:$DD$63,3,FALSE),"")</f>
        <v/>
      </c>
      <c r="Y2261" t="str">
        <f>IFERROR(VLOOKUP(B2261,'Pre-Summary'!$CR$6:$CT$36,3,FALSE),"")</f>
        <v/>
      </c>
      <c r="Z2261" s="45" t="str">
        <f>IFERROR(VLOOKUP(B2261,'Pre-Summary'!$BZ$6:$CB$63,2,FALSE),"")</f>
        <v/>
      </c>
      <c r="AA2261" s="45" t="str">
        <f>IFERROR(VLOOKUP(B2261,'Pre-Summary'!$CG$6:$CI$70,2,FALSE),"")</f>
        <v/>
      </c>
      <c r="AB2261" s="99">
        <f>IFERROR(VLOOKUP(B2261,'Pre-Summary'!$A$6:$P$178,9,FALSE),AB2262)</f>
        <v>0.35465514391001818</v>
      </c>
      <c r="AC2261" s="10">
        <f>IFERROR(VLOOKUP(Summary!B2261,'Pre-Summary'!$A$6:$P$184,5, FALSE)/100,AC2262)</f>
        <v>0.94276500000000008</v>
      </c>
      <c r="AD2261" s="10">
        <f>IFERROR(VLOOKUP(Summary!B2261,'Pre-Summary'!$A$6:$P$184,3, FALSE)/100,AD2262)</f>
        <v>4.2818000000000002E-2</v>
      </c>
      <c r="AE2261" s="10">
        <f>IFERROR(VLOOKUP(Summary!B2261,'Pre-Summary'!$A$6:$P$184,7, FALSE)/100,AE2262)</f>
        <v>1.4416999999999999E-2</v>
      </c>
      <c r="AF2261" s="99">
        <f t="shared" si="106"/>
        <v>1.5185623951939158E-2</v>
      </c>
      <c r="AG2261" s="99">
        <f t="shared" si="107"/>
        <v>5.1130632097507317E-3</v>
      </c>
      <c r="AH2261" s="10" t="str">
        <f>IFERROR(VLOOKUP(B2261,'Pre-Summary'!$AZ$6:$BE$65,3,FALSE),"")</f>
        <v/>
      </c>
      <c r="AI2261" s="10" t="str">
        <f>IFERROR(VLOOKUP(B2261,'Pre-Summary'!$AZ$6:$BE$65,5,FALSE),"")</f>
        <v/>
      </c>
      <c r="AJ2261" s="10" t="str">
        <f>IFERROR(VLOOKUP(B2261,'Pre-Summary'!$AZ$6:$BE$65,4,FALSE),"")</f>
        <v/>
      </c>
      <c r="AK2261" s="10" t="str">
        <f>IFERROR(VLOOKUP(B2261,'Pre-Summary'!$AZ$6:$BE$65,6,FALSE),"")</f>
        <v/>
      </c>
      <c r="AL2261" s="10" t="str">
        <f>IFERROR(VLOOKUP(B2261,'Pre-Summary'!$BG$6:$BL$44,3,FALSE),"")</f>
        <v/>
      </c>
      <c r="AM2261" s="10" t="str">
        <f>IFERROR(VLOOKUP(B2261,'Pre-Summary'!$BG$6:$BL$44,4,FALSE),"")</f>
        <v/>
      </c>
    </row>
    <row r="2262" spans="2:39" ht="15" customHeight="1" x14ac:dyDescent="0.3">
      <c r="B2262">
        <v>225.9</v>
      </c>
      <c r="C2262" t="str">
        <f>IFERROR(VLOOKUP(B2262,'Pre-Summary'!$DI$6:$DM$23,4,FALSE),"")</f>
        <v/>
      </c>
      <c r="D2262" s="10" t="str">
        <f>IFERROR(VLOOKUP(B2262,'Pre-Summary'!$AT$6:$AX$14,5,FALSE),D2261)</f>
        <v>Wolfe v3: went back to modified wolfe + EDTA and switched CuSO4 to CUCl2</v>
      </c>
      <c r="E2262" s="10" t="str">
        <f>IFERROR(VLOOKUP(B2262,'Pre-Summary'!$AT$6:$AX$15,4,FALSE),"")</f>
        <v/>
      </c>
      <c r="F2262">
        <f>IFERROR(VLOOKUP(B2262,'Pre-Summary'!$AL$6:$AQ$13,6,FALSE),F2261)</f>
        <v>5.9405263157894746E-2</v>
      </c>
      <c r="G2262" t="str">
        <f>IFERROR(VLOOKUP(B2262,'Pre-Summary'!$AE$6:$AJ$85,3,FALSE),"")</f>
        <v/>
      </c>
      <c r="H2262" t="str">
        <f>IFERROR(VLOOKUP(B2262,'Pre-Summary'!$AE$6:$AJ$85,4,FALSE),"")</f>
        <v/>
      </c>
      <c r="I2262" t="str">
        <f>IFERROR(VLOOKUP(B2262,'Pre-Summary'!$AE$6:$AJ$85,5,FALSE),"")</f>
        <v/>
      </c>
      <c r="J2262" s="45" t="str">
        <f>IFERROR(VLOOKUP(B2262,'Pre-Summary'!$AE$6:$AJ$85,6, FALSE),"")</f>
        <v/>
      </c>
      <c r="K2262" s="45" t="str">
        <f>IFERROR(VLOOKUP(B2262,'Pre-Summary'!$DE$6:$DG$61,3,FALSE),"")</f>
        <v/>
      </c>
      <c r="L2262" s="45" t="str">
        <f>IFERROR(VLOOKUP(B2262,'Pre-Summary'!$CU$6:$CW$36,3,FALSE),"")</f>
        <v/>
      </c>
      <c r="M2262" s="45" t="str">
        <f>IFERROR(VLOOKUP(B2262,'Pre-Summary'!$BW$6:$BY$58,2,FALSE),"")</f>
        <v/>
      </c>
      <c r="N2262" s="45" t="str">
        <f>IFERROR(VLOOKUP(B2262,'Pre-Summary'!$CD$6:$CF$64,2,FALSE),"")</f>
        <v/>
      </c>
      <c r="O2262" s="99">
        <f>IFERROR(VLOOKUP(B2262,'Pre-Summary'!$BO$6:$BQ$48,3, FALSE),O2261)</f>
        <v>1.508</v>
      </c>
      <c r="P2262" s="99">
        <f>IFERROR(VLOOKUP(B2262,'Pre-Summary'!$BS$6:$BU$35,3,FALSE),P2261)</f>
        <v>0.379</v>
      </c>
      <c r="Q2262" s="54">
        <f t="shared" si="105"/>
        <v>3.9788918205804751</v>
      </c>
      <c r="R2262" s="53">
        <f>IFERROR(VLOOKUP(B2262,'Pre-Summary'!$BG$6:$BM$44,7,FALSE),R2263)</f>
        <v>9.7948682664336664E-2</v>
      </c>
      <c r="S2262" s="53">
        <f>IFERROR(VLOOKUP(B2262,'Pre-Summary'!$BG$6:$BM$44,6,FALSE),S2263)</f>
        <v>0.10614035087720526</v>
      </c>
      <c r="T2262" s="45" t="str">
        <f>IFERROR(VLOOKUP(B2262,'Pre-Summary'!$Y$6:$AC$83, 3,FALSE),"")</f>
        <v/>
      </c>
      <c r="U2262" s="45" t="str">
        <f>IFERROR(VLOOKUP(B2262,'Pre-Summary'!$Y$6:$AC$83, 4,FALSE),"")</f>
        <v/>
      </c>
      <c r="V2262" t="str">
        <f>IFERROR(VLOOKUP(B2262,'Pre-Summary'!$Y$6:$AC$83, 5,FALSE),"")</f>
        <v/>
      </c>
      <c r="W2262" s="45" t="str">
        <f>IFERROR(VLOOKUP(B2262,'Pre-Summary'!$Y$6:$AD$83,6,FALSE),"")</f>
        <v/>
      </c>
      <c r="X2262" t="str">
        <f>IFERROR(VLOOKUP('Pre-Summary'!$DB$6:$DD$63,3,FALSE),"")</f>
        <v/>
      </c>
      <c r="Y2262" t="str">
        <f>IFERROR(VLOOKUP(B2262,'Pre-Summary'!$CR$6:$CT$36,3,FALSE),"")</f>
        <v/>
      </c>
      <c r="Z2262" s="45" t="str">
        <f>IFERROR(VLOOKUP(B2262,'Pre-Summary'!$BZ$6:$CB$63,2,FALSE),"")</f>
        <v/>
      </c>
      <c r="AA2262" s="45" t="str">
        <f>IFERROR(VLOOKUP(B2262,'Pre-Summary'!$CG$6:$CI$70,2,FALSE),"")</f>
        <v/>
      </c>
      <c r="AB2262" s="99">
        <f>IFERROR(VLOOKUP(B2262,'Pre-Summary'!$A$6:$P$178,9,FALSE),AB2263)</f>
        <v>0.35465514391001818</v>
      </c>
      <c r="AC2262" s="10">
        <f>IFERROR(VLOOKUP(Summary!B2262,'Pre-Summary'!$A$6:$P$184,5, FALSE)/100,AC2263)</f>
        <v>0.94276500000000008</v>
      </c>
      <c r="AD2262" s="10">
        <f>IFERROR(VLOOKUP(Summary!B2262,'Pre-Summary'!$A$6:$P$184,3, FALSE)/100,AD2263)</f>
        <v>4.2818000000000002E-2</v>
      </c>
      <c r="AE2262" s="10">
        <f>IFERROR(VLOOKUP(Summary!B2262,'Pre-Summary'!$A$6:$P$184,7, FALSE)/100,AE2263)</f>
        <v>1.4416999999999999E-2</v>
      </c>
      <c r="AF2262" s="99">
        <f t="shared" si="106"/>
        <v>1.5185623951939158E-2</v>
      </c>
      <c r="AG2262" s="99">
        <f t="shared" si="107"/>
        <v>5.1130632097507317E-3</v>
      </c>
      <c r="AH2262" s="10" t="str">
        <f>IFERROR(VLOOKUP(B2262,'Pre-Summary'!$AZ$6:$BE$65,3,FALSE),"")</f>
        <v/>
      </c>
      <c r="AI2262" s="10" t="str">
        <f>IFERROR(VLOOKUP(B2262,'Pre-Summary'!$AZ$6:$BE$65,5,FALSE),"")</f>
        <v/>
      </c>
      <c r="AJ2262" s="10" t="str">
        <f>IFERROR(VLOOKUP(B2262,'Pre-Summary'!$AZ$6:$BE$65,4,FALSE),"")</f>
        <v/>
      </c>
      <c r="AK2262" s="10" t="str">
        <f>IFERROR(VLOOKUP(B2262,'Pre-Summary'!$AZ$6:$BE$65,6,FALSE),"")</f>
        <v/>
      </c>
      <c r="AL2262" s="10" t="str">
        <f>IFERROR(VLOOKUP(B2262,'Pre-Summary'!$BG$6:$BL$44,3,FALSE),"")</f>
        <v/>
      </c>
      <c r="AM2262" s="10" t="str">
        <f>IFERROR(VLOOKUP(B2262,'Pre-Summary'!$BG$6:$BL$44,4,FALSE),"")</f>
        <v/>
      </c>
    </row>
    <row r="2263" spans="2:39" ht="15" customHeight="1" x14ac:dyDescent="0.3">
      <c r="B2263">
        <v>226</v>
      </c>
      <c r="C2263" t="str">
        <f>IFERROR(VLOOKUP(B2263,'Pre-Summary'!$DI$6:$DM$23,4,FALSE),"")</f>
        <v/>
      </c>
      <c r="D2263" s="10" t="str">
        <f>IFERROR(VLOOKUP(B2263,'Pre-Summary'!$AT$6:$AX$14,5,FALSE),D2262)</f>
        <v>Wolfe v3: went back to modified wolfe + EDTA and switched CuSO4 to CUCl2</v>
      </c>
      <c r="E2263" s="10" t="str">
        <f>IFERROR(VLOOKUP(B2263,'Pre-Summary'!$AT$6:$AX$15,4,FALSE),"")</f>
        <v/>
      </c>
      <c r="F2263">
        <f>IFERROR(VLOOKUP(B2263,'Pre-Summary'!$AL$6:$AQ$13,6,FALSE),F2262)</f>
        <v>5.9405263157894746E-2</v>
      </c>
      <c r="G2263" t="str">
        <f>IFERROR(VLOOKUP(B2263,'Pre-Summary'!$AE$6:$AJ$85,3,FALSE),"")</f>
        <v/>
      </c>
      <c r="H2263" t="str">
        <f>IFERROR(VLOOKUP(B2263,'Pre-Summary'!$AE$6:$AJ$85,4,FALSE),"")</f>
        <v/>
      </c>
      <c r="I2263" t="str">
        <f>IFERROR(VLOOKUP(B2263,'Pre-Summary'!$AE$6:$AJ$85,5,FALSE),"")</f>
        <v/>
      </c>
      <c r="J2263" s="45" t="str">
        <f>IFERROR(VLOOKUP(B2263,'Pre-Summary'!$AE$6:$AJ$85,6, FALSE),"")</f>
        <v/>
      </c>
      <c r="K2263" s="45" t="str">
        <f>IFERROR(VLOOKUP(B2263,'Pre-Summary'!$DE$6:$DG$61,3,FALSE),"")</f>
        <v/>
      </c>
      <c r="L2263" s="45" t="str">
        <f>IFERROR(VLOOKUP(B2263,'Pre-Summary'!$CU$6:$CW$36,3,FALSE),"")</f>
        <v/>
      </c>
      <c r="M2263" s="45" t="str">
        <f>IFERROR(VLOOKUP(B2263,'Pre-Summary'!$BW$6:$BY$58,2,FALSE),"")</f>
        <v/>
      </c>
      <c r="N2263" s="45" t="str">
        <f>IFERROR(VLOOKUP(B2263,'Pre-Summary'!$CD$6:$CF$64,2,FALSE),"")</f>
        <v/>
      </c>
      <c r="O2263" s="99">
        <f>IFERROR(VLOOKUP(B2263,'Pre-Summary'!$BO$6:$BQ$48,3, FALSE),O2262)</f>
        <v>1.508</v>
      </c>
      <c r="P2263" s="99">
        <f>IFERROR(VLOOKUP(B2263,'Pre-Summary'!$BS$6:$BU$35,3,FALSE),P2262)</f>
        <v>0.379</v>
      </c>
      <c r="Q2263" s="54">
        <f t="shared" si="105"/>
        <v>3.9788918205804751</v>
      </c>
      <c r="R2263" s="53">
        <f>IFERROR(VLOOKUP(B2263,'Pre-Summary'!$BG$6:$BM$44,7,FALSE),R2264)</f>
        <v>9.7948682664336664E-2</v>
      </c>
      <c r="S2263" s="53">
        <f>IFERROR(VLOOKUP(B2263,'Pre-Summary'!$BG$6:$BM$44,6,FALSE),S2264)</f>
        <v>0.10614035087720526</v>
      </c>
      <c r="T2263" s="45" t="str">
        <f>IFERROR(VLOOKUP(B2263,'Pre-Summary'!$Y$6:$AC$83, 3,FALSE),"")</f>
        <v/>
      </c>
      <c r="U2263" s="45" t="str">
        <f>IFERROR(VLOOKUP(B2263,'Pre-Summary'!$Y$6:$AC$83, 4,FALSE),"")</f>
        <v/>
      </c>
      <c r="V2263" t="str">
        <f>IFERROR(VLOOKUP(B2263,'Pre-Summary'!$Y$6:$AC$83, 5,FALSE),"")</f>
        <v/>
      </c>
      <c r="W2263" s="45" t="str">
        <f>IFERROR(VLOOKUP(B2263,'Pre-Summary'!$Y$6:$AD$83,6,FALSE),"")</f>
        <v/>
      </c>
      <c r="X2263" t="str">
        <f>IFERROR(VLOOKUP('Pre-Summary'!$DB$6:$DD$63,3,FALSE),"")</f>
        <v/>
      </c>
      <c r="Y2263" t="str">
        <f>IFERROR(VLOOKUP(B2263,'Pre-Summary'!$CR$6:$CT$36,3,FALSE),"")</f>
        <v/>
      </c>
      <c r="Z2263" s="45" t="str">
        <f>IFERROR(VLOOKUP(B2263,'Pre-Summary'!$BZ$6:$CB$63,2,FALSE),"")</f>
        <v/>
      </c>
      <c r="AA2263" s="45" t="str">
        <f>IFERROR(VLOOKUP(B2263,'Pre-Summary'!$CG$6:$CI$70,2,FALSE),"")</f>
        <v/>
      </c>
      <c r="AB2263" s="99">
        <f>IFERROR(VLOOKUP(B2263,'Pre-Summary'!$A$6:$P$178,9,FALSE),AB2264)</f>
        <v>0.3510413030600153</v>
      </c>
      <c r="AC2263" s="10">
        <f>IFERROR(VLOOKUP(Summary!B2263,'Pre-Summary'!$A$6:$P$184,5, FALSE)/100,AC2264)</f>
        <v>0.95838633333333334</v>
      </c>
      <c r="AD2263" s="10">
        <f>IFERROR(VLOOKUP(Summary!B2263,'Pre-Summary'!$A$6:$P$184,3, FALSE)/100,AD2264)</f>
        <v>2.8433333333333331E-2</v>
      </c>
      <c r="AE2263" s="10">
        <f>IFERROR(VLOOKUP(Summary!B2263,'Pre-Summary'!$A$6:$P$184,7, FALSE)/100,AE2264)</f>
        <v>1.3180333333333334E-2</v>
      </c>
      <c r="AF2263" s="99">
        <f t="shared" si="106"/>
        <v>9.9812743836731003E-3</v>
      </c>
      <c r="AG2263" s="99">
        <f t="shared" si="107"/>
        <v>4.6268413880986882E-3</v>
      </c>
      <c r="AH2263" s="10" t="str">
        <f>IFERROR(VLOOKUP(B2263,'Pre-Summary'!$AZ$6:$BE$65,3,FALSE),"")</f>
        <v/>
      </c>
      <c r="AI2263" s="10" t="str">
        <f>IFERROR(VLOOKUP(B2263,'Pre-Summary'!$AZ$6:$BE$65,5,FALSE),"")</f>
        <v/>
      </c>
      <c r="AJ2263" s="10" t="str">
        <f>IFERROR(VLOOKUP(B2263,'Pre-Summary'!$AZ$6:$BE$65,4,FALSE),"")</f>
        <v/>
      </c>
      <c r="AK2263" s="10" t="str">
        <f>IFERROR(VLOOKUP(B2263,'Pre-Summary'!$AZ$6:$BE$65,6,FALSE),"")</f>
        <v/>
      </c>
      <c r="AL2263" s="10" t="str">
        <f>IFERROR(VLOOKUP(B2263,'Pre-Summary'!$BG$6:$BL$44,3,FALSE),"")</f>
        <v/>
      </c>
      <c r="AM2263" s="10" t="str">
        <f>IFERROR(VLOOKUP(B2263,'Pre-Summary'!$BG$6:$BL$44,4,FALSE),"")</f>
        <v/>
      </c>
    </row>
    <row r="2264" spans="2:39" ht="15" customHeight="1" x14ac:dyDescent="0.3">
      <c r="B2264">
        <v>226.1</v>
      </c>
      <c r="C2264" t="str">
        <f>IFERROR(VLOOKUP(B2264,'Pre-Summary'!$DI$6:$DM$23,4,FALSE),"")</f>
        <v/>
      </c>
      <c r="D2264" s="10" t="str">
        <f>IFERROR(VLOOKUP(B2264,'Pre-Summary'!$AT$6:$AX$14,5,FALSE),D2263)</f>
        <v>Wolfe v3: went back to modified wolfe + EDTA and switched CuSO4 to CUCl2</v>
      </c>
      <c r="E2264" s="10" t="str">
        <f>IFERROR(VLOOKUP(B2264,'Pre-Summary'!$AT$6:$AX$15,4,FALSE),"")</f>
        <v/>
      </c>
      <c r="F2264">
        <f>IFERROR(VLOOKUP(B2264,'Pre-Summary'!$AL$6:$AQ$13,6,FALSE),F2263)</f>
        <v>5.9405263157894746E-2</v>
      </c>
      <c r="G2264" t="str">
        <f>IFERROR(VLOOKUP(B2264,'Pre-Summary'!$AE$6:$AJ$85,3,FALSE),"")</f>
        <v/>
      </c>
      <c r="H2264" t="str">
        <f>IFERROR(VLOOKUP(B2264,'Pre-Summary'!$AE$6:$AJ$85,4,FALSE),"")</f>
        <v/>
      </c>
      <c r="I2264" t="str">
        <f>IFERROR(VLOOKUP(B2264,'Pre-Summary'!$AE$6:$AJ$85,5,FALSE),"")</f>
        <v/>
      </c>
      <c r="J2264" s="45" t="str">
        <f>IFERROR(VLOOKUP(B2264,'Pre-Summary'!$AE$6:$AJ$85,6, FALSE),"")</f>
        <v/>
      </c>
      <c r="K2264" s="45" t="str">
        <f>IFERROR(VLOOKUP(B2264,'Pre-Summary'!$DE$6:$DG$61,3,FALSE),"")</f>
        <v/>
      </c>
      <c r="L2264" s="45" t="str">
        <f>IFERROR(VLOOKUP(B2264,'Pre-Summary'!$CU$6:$CW$36,3,FALSE),"")</f>
        <v/>
      </c>
      <c r="M2264" s="45" t="str">
        <f>IFERROR(VLOOKUP(B2264,'Pre-Summary'!$BW$6:$BY$58,2,FALSE),"")</f>
        <v/>
      </c>
      <c r="N2264" s="45" t="str">
        <f>IFERROR(VLOOKUP(B2264,'Pre-Summary'!$CD$6:$CF$64,2,FALSE),"")</f>
        <v/>
      </c>
      <c r="O2264" s="99">
        <f>IFERROR(VLOOKUP(B2264,'Pre-Summary'!$BO$6:$BQ$48,3, FALSE),O2263)</f>
        <v>1.508</v>
      </c>
      <c r="P2264" s="99">
        <f>IFERROR(VLOOKUP(B2264,'Pre-Summary'!$BS$6:$BU$35,3,FALSE),P2263)</f>
        <v>0.379</v>
      </c>
      <c r="Q2264" s="54">
        <f t="shared" si="105"/>
        <v>3.9788918205804751</v>
      </c>
      <c r="R2264" s="53">
        <f>IFERROR(VLOOKUP(B2264,'Pre-Summary'!$BG$6:$BM$44,7,FALSE),R2265)</f>
        <v>9.7948682664336664E-2</v>
      </c>
      <c r="S2264" s="53">
        <f>IFERROR(VLOOKUP(B2264,'Pre-Summary'!$BG$6:$BM$44,6,FALSE),S2265)</f>
        <v>0.10614035087720526</v>
      </c>
      <c r="T2264" s="45" t="str">
        <f>IFERROR(VLOOKUP(B2264,'Pre-Summary'!$Y$6:$AC$83, 3,FALSE),"")</f>
        <v/>
      </c>
      <c r="U2264" s="45" t="str">
        <f>IFERROR(VLOOKUP(B2264,'Pre-Summary'!$Y$6:$AC$83, 4,FALSE),"")</f>
        <v/>
      </c>
      <c r="V2264" t="str">
        <f>IFERROR(VLOOKUP(B2264,'Pre-Summary'!$Y$6:$AC$83, 5,FALSE),"")</f>
        <v/>
      </c>
      <c r="W2264" s="45" t="str">
        <f>IFERROR(VLOOKUP(B2264,'Pre-Summary'!$Y$6:$AD$83,6,FALSE),"")</f>
        <v/>
      </c>
      <c r="X2264" t="str">
        <f>IFERROR(VLOOKUP('Pre-Summary'!$DB$6:$DD$63,3,FALSE),"")</f>
        <v/>
      </c>
      <c r="Y2264" t="str">
        <f>IFERROR(VLOOKUP(B2264,'Pre-Summary'!$CR$6:$CT$36,3,FALSE),"")</f>
        <v/>
      </c>
      <c r="Z2264" s="45" t="str">
        <f>IFERROR(VLOOKUP(B2264,'Pre-Summary'!$BZ$6:$CB$63,2,FALSE),"")</f>
        <v/>
      </c>
      <c r="AA2264" s="45" t="str">
        <f>IFERROR(VLOOKUP(B2264,'Pre-Summary'!$CG$6:$CI$70,2,FALSE),"")</f>
        <v/>
      </c>
      <c r="AB2264" s="99">
        <f>IFERROR(VLOOKUP(B2264,'Pre-Summary'!$A$6:$P$178,9,FALSE),AB2265)</f>
        <v>0.3510413030600153</v>
      </c>
      <c r="AC2264" s="10">
        <f>IFERROR(VLOOKUP(Summary!B2264,'Pre-Summary'!$A$6:$P$184,5, FALSE)/100,AC2265)</f>
        <v>0.95838633333333334</v>
      </c>
      <c r="AD2264" s="10">
        <f>IFERROR(VLOOKUP(Summary!B2264,'Pre-Summary'!$A$6:$P$184,3, FALSE)/100,AD2265)</f>
        <v>2.8433333333333331E-2</v>
      </c>
      <c r="AE2264" s="10">
        <f>IFERROR(VLOOKUP(Summary!B2264,'Pre-Summary'!$A$6:$P$184,7, FALSE)/100,AE2265)</f>
        <v>1.3180333333333334E-2</v>
      </c>
      <c r="AF2264" s="99">
        <f t="shared" si="106"/>
        <v>9.9812743836731003E-3</v>
      </c>
      <c r="AG2264" s="99">
        <f t="shared" si="107"/>
        <v>4.6268413880986882E-3</v>
      </c>
      <c r="AH2264" s="10" t="str">
        <f>IFERROR(VLOOKUP(B2264,'Pre-Summary'!$AZ$6:$BE$65,3,FALSE),"")</f>
        <v/>
      </c>
      <c r="AI2264" s="10" t="str">
        <f>IFERROR(VLOOKUP(B2264,'Pre-Summary'!$AZ$6:$BE$65,5,FALSE),"")</f>
        <v/>
      </c>
      <c r="AJ2264" s="10" t="str">
        <f>IFERROR(VLOOKUP(B2264,'Pre-Summary'!$AZ$6:$BE$65,4,FALSE),"")</f>
        <v/>
      </c>
      <c r="AK2264" s="10" t="str">
        <f>IFERROR(VLOOKUP(B2264,'Pre-Summary'!$AZ$6:$BE$65,6,FALSE),"")</f>
        <v/>
      </c>
      <c r="AL2264" s="10" t="str">
        <f>IFERROR(VLOOKUP(B2264,'Pre-Summary'!$BG$6:$BL$44,3,FALSE),"")</f>
        <v/>
      </c>
      <c r="AM2264" s="10" t="str">
        <f>IFERROR(VLOOKUP(B2264,'Pre-Summary'!$BG$6:$BL$44,4,FALSE),"")</f>
        <v/>
      </c>
    </row>
    <row r="2265" spans="2:39" ht="15" customHeight="1" x14ac:dyDescent="0.3">
      <c r="B2265">
        <v>226.2</v>
      </c>
      <c r="C2265" t="str">
        <f>IFERROR(VLOOKUP(B2265,'Pre-Summary'!$DI$6:$DM$23,4,FALSE),"")</f>
        <v/>
      </c>
      <c r="D2265" s="10" t="str">
        <f>IFERROR(VLOOKUP(B2265,'Pre-Summary'!$AT$6:$AX$14,5,FALSE),D2264)</f>
        <v>Wolfe v3: went back to modified wolfe + EDTA and switched CuSO4 to CUCl2</v>
      </c>
      <c r="E2265" s="10" t="str">
        <f>IFERROR(VLOOKUP(B2265,'Pre-Summary'!$AT$6:$AX$15,4,FALSE),"")</f>
        <v/>
      </c>
      <c r="F2265">
        <f>IFERROR(VLOOKUP(B2265,'Pre-Summary'!$AL$6:$AQ$13,6,FALSE),F2264)</f>
        <v>5.9405263157894746E-2</v>
      </c>
      <c r="G2265" t="str">
        <f>IFERROR(VLOOKUP(B2265,'Pre-Summary'!$AE$6:$AJ$85,3,FALSE),"")</f>
        <v/>
      </c>
      <c r="H2265" t="str">
        <f>IFERROR(VLOOKUP(B2265,'Pre-Summary'!$AE$6:$AJ$85,4,FALSE),"")</f>
        <v/>
      </c>
      <c r="I2265" t="str">
        <f>IFERROR(VLOOKUP(B2265,'Pre-Summary'!$AE$6:$AJ$85,5,FALSE),"")</f>
        <v/>
      </c>
      <c r="J2265" s="45" t="str">
        <f>IFERROR(VLOOKUP(B2265,'Pre-Summary'!$AE$6:$AJ$85,6, FALSE),"")</f>
        <v/>
      </c>
      <c r="K2265" s="45" t="str">
        <f>IFERROR(VLOOKUP(B2265,'Pre-Summary'!$DE$6:$DG$61,3,FALSE),"")</f>
        <v/>
      </c>
      <c r="L2265" s="45" t="str">
        <f>IFERROR(VLOOKUP(B2265,'Pre-Summary'!$CU$6:$CW$36,3,FALSE),"")</f>
        <v/>
      </c>
      <c r="M2265" s="45" t="str">
        <f>IFERROR(VLOOKUP(B2265,'Pre-Summary'!$BW$6:$BY$58,2,FALSE),"")</f>
        <v/>
      </c>
      <c r="N2265" s="45" t="str">
        <f>IFERROR(VLOOKUP(B2265,'Pre-Summary'!$CD$6:$CF$64,2,FALSE),"")</f>
        <v/>
      </c>
      <c r="O2265" s="99">
        <f>IFERROR(VLOOKUP(B2265,'Pre-Summary'!$BO$6:$BQ$48,3, FALSE),O2264)</f>
        <v>1.508</v>
      </c>
      <c r="P2265" s="99">
        <f>IFERROR(VLOOKUP(B2265,'Pre-Summary'!$BS$6:$BU$35,3,FALSE),P2264)</f>
        <v>0.379</v>
      </c>
      <c r="Q2265" s="54">
        <f t="shared" si="105"/>
        <v>3.9788918205804751</v>
      </c>
      <c r="R2265" s="53">
        <f>IFERROR(VLOOKUP(B2265,'Pre-Summary'!$BG$6:$BM$44,7,FALSE),R2266)</f>
        <v>9.7948682664336664E-2</v>
      </c>
      <c r="S2265" s="53">
        <f>IFERROR(VLOOKUP(B2265,'Pre-Summary'!$BG$6:$BM$44,6,FALSE),S2266)</f>
        <v>0.10614035087720526</v>
      </c>
      <c r="T2265" s="45" t="str">
        <f>IFERROR(VLOOKUP(B2265,'Pre-Summary'!$Y$6:$AC$83, 3,FALSE),"")</f>
        <v/>
      </c>
      <c r="U2265" s="45" t="str">
        <f>IFERROR(VLOOKUP(B2265,'Pre-Summary'!$Y$6:$AC$83, 4,FALSE),"")</f>
        <v/>
      </c>
      <c r="V2265" t="str">
        <f>IFERROR(VLOOKUP(B2265,'Pre-Summary'!$Y$6:$AC$83, 5,FALSE),"")</f>
        <v/>
      </c>
      <c r="W2265" s="45" t="str">
        <f>IFERROR(VLOOKUP(B2265,'Pre-Summary'!$Y$6:$AD$83,6,FALSE),"")</f>
        <v/>
      </c>
      <c r="X2265" t="str">
        <f>IFERROR(VLOOKUP('Pre-Summary'!$DB$6:$DD$63,3,FALSE),"")</f>
        <v/>
      </c>
      <c r="Y2265" t="str">
        <f>IFERROR(VLOOKUP(B2265,'Pre-Summary'!$CR$6:$CT$36,3,FALSE),"")</f>
        <v/>
      </c>
      <c r="Z2265" s="45" t="str">
        <f>IFERROR(VLOOKUP(B2265,'Pre-Summary'!$BZ$6:$CB$63,2,FALSE),"")</f>
        <v/>
      </c>
      <c r="AA2265" s="45" t="str">
        <f>IFERROR(VLOOKUP(B2265,'Pre-Summary'!$CG$6:$CI$70,2,FALSE),"")</f>
        <v/>
      </c>
      <c r="AB2265" s="99">
        <f>IFERROR(VLOOKUP(B2265,'Pre-Summary'!$A$6:$P$178,9,FALSE),AB2266)</f>
        <v>0.3510413030600153</v>
      </c>
      <c r="AC2265" s="10">
        <f>IFERROR(VLOOKUP(Summary!B2265,'Pre-Summary'!$A$6:$P$184,5, FALSE)/100,AC2266)</f>
        <v>0.95838633333333334</v>
      </c>
      <c r="AD2265" s="10">
        <f>IFERROR(VLOOKUP(Summary!B2265,'Pre-Summary'!$A$6:$P$184,3, FALSE)/100,AD2266)</f>
        <v>2.8433333333333331E-2</v>
      </c>
      <c r="AE2265" s="10">
        <f>IFERROR(VLOOKUP(Summary!B2265,'Pre-Summary'!$A$6:$P$184,7, FALSE)/100,AE2266)</f>
        <v>1.3180333333333334E-2</v>
      </c>
      <c r="AF2265" s="99">
        <f t="shared" si="106"/>
        <v>9.9812743836731003E-3</v>
      </c>
      <c r="AG2265" s="99">
        <f t="shared" si="107"/>
        <v>4.6268413880986882E-3</v>
      </c>
      <c r="AH2265" s="10" t="str">
        <f>IFERROR(VLOOKUP(B2265,'Pre-Summary'!$AZ$6:$BE$65,3,FALSE),"")</f>
        <v/>
      </c>
      <c r="AI2265" s="10" t="str">
        <f>IFERROR(VLOOKUP(B2265,'Pre-Summary'!$AZ$6:$BE$65,5,FALSE),"")</f>
        <v/>
      </c>
      <c r="AJ2265" s="10" t="str">
        <f>IFERROR(VLOOKUP(B2265,'Pre-Summary'!$AZ$6:$BE$65,4,FALSE),"")</f>
        <v/>
      </c>
      <c r="AK2265" s="10" t="str">
        <f>IFERROR(VLOOKUP(B2265,'Pre-Summary'!$AZ$6:$BE$65,6,FALSE),"")</f>
        <v/>
      </c>
      <c r="AL2265" s="10" t="str">
        <f>IFERROR(VLOOKUP(B2265,'Pre-Summary'!$BG$6:$BL$44,3,FALSE),"")</f>
        <v/>
      </c>
      <c r="AM2265" s="10" t="str">
        <f>IFERROR(VLOOKUP(B2265,'Pre-Summary'!$BG$6:$BL$44,4,FALSE),"")</f>
        <v/>
      </c>
    </row>
    <row r="2266" spans="2:39" ht="15" customHeight="1" x14ac:dyDescent="0.3">
      <c r="B2266">
        <v>226.3</v>
      </c>
      <c r="C2266" t="str">
        <f>IFERROR(VLOOKUP(B2266,'Pre-Summary'!$DI$6:$DM$23,4,FALSE),"")</f>
        <v/>
      </c>
      <c r="D2266" s="10" t="str">
        <f>IFERROR(VLOOKUP(B2266,'Pre-Summary'!$AT$6:$AX$14,5,FALSE),D2265)</f>
        <v>Wolfe v3: went back to modified wolfe + EDTA and switched CuSO4 to CUCl2</v>
      </c>
      <c r="E2266" s="10" t="str">
        <f>IFERROR(VLOOKUP(B2266,'Pre-Summary'!$AT$6:$AX$15,4,FALSE),"")</f>
        <v/>
      </c>
      <c r="F2266">
        <f>IFERROR(VLOOKUP(B2266,'Pre-Summary'!$AL$6:$AQ$13,6,FALSE),F2265)</f>
        <v>5.9405263157894746E-2</v>
      </c>
      <c r="G2266" t="str">
        <f>IFERROR(VLOOKUP(B2266,'Pre-Summary'!$AE$6:$AJ$85,3,FALSE),"")</f>
        <v/>
      </c>
      <c r="H2266" t="str">
        <f>IFERROR(VLOOKUP(B2266,'Pre-Summary'!$AE$6:$AJ$85,4,FALSE),"")</f>
        <v/>
      </c>
      <c r="I2266" t="str">
        <f>IFERROR(VLOOKUP(B2266,'Pre-Summary'!$AE$6:$AJ$85,5,FALSE),"")</f>
        <v/>
      </c>
      <c r="J2266" s="45" t="str">
        <f>IFERROR(VLOOKUP(B2266,'Pre-Summary'!$AE$6:$AJ$85,6, FALSE),"")</f>
        <v/>
      </c>
      <c r="K2266" s="45" t="str">
        <f>IFERROR(VLOOKUP(B2266,'Pre-Summary'!$DE$6:$DG$61,3,FALSE),"")</f>
        <v/>
      </c>
      <c r="L2266" s="45" t="str">
        <f>IFERROR(VLOOKUP(B2266,'Pre-Summary'!$CU$6:$CW$36,3,FALSE),"")</f>
        <v/>
      </c>
      <c r="M2266" s="45" t="str">
        <f>IFERROR(VLOOKUP(B2266,'Pre-Summary'!$BW$6:$BY$58,2,FALSE),"")</f>
        <v/>
      </c>
      <c r="N2266" s="45" t="str">
        <f>IFERROR(VLOOKUP(B2266,'Pre-Summary'!$CD$6:$CF$64,2,FALSE),"")</f>
        <v/>
      </c>
      <c r="O2266" s="99">
        <f>IFERROR(VLOOKUP(B2266,'Pre-Summary'!$BO$6:$BQ$48,3, FALSE),O2265)</f>
        <v>1.508</v>
      </c>
      <c r="P2266" s="99">
        <f>IFERROR(VLOOKUP(B2266,'Pre-Summary'!$BS$6:$BU$35,3,FALSE),P2265)</f>
        <v>0.379</v>
      </c>
      <c r="Q2266" s="54">
        <f t="shared" si="105"/>
        <v>3.9788918205804751</v>
      </c>
      <c r="R2266" s="53">
        <f>IFERROR(VLOOKUP(B2266,'Pre-Summary'!$BG$6:$BM$44,7,FALSE),R2267)</f>
        <v>9.7948682664336664E-2</v>
      </c>
      <c r="S2266" s="53">
        <f>IFERROR(VLOOKUP(B2266,'Pre-Summary'!$BG$6:$BM$44,6,FALSE),S2267)</f>
        <v>0.10614035087720526</v>
      </c>
      <c r="T2266" s="45" t="str">
        <f>IFERROR(VLOOKUP(B2266,'Pre-Summary'!$Y$6:$AC$83, 3,FALSE),"")</f>
        <v/>
      </c>
      <c r="U2266" s="45" t="str">
        <f>IFERROR(VLOOKUP(B2266,'Pre-Summary'!$Y$6:$AC$83, 4,FALSE),"")</f>
        <v/>
      </c>
      <c r="V2266" t="str">
        <f>IFERROR(VLOOKUP(B2266,'Pre-Summary'!$Y$6:$AC$83, 5,FALSE),"")</f>
        <v/>
      </c>
      <c r="W2266" s="45" t="str">
        <f>IFERROR(VLOOKUP(B2266,'Pre-Summary'!$Y$6:$AD$83,6,FALSE),"")</f>
        <v/>
      </c>
      <c r="X2266" t="str">
        <f>IFERROR(VLOOKUP('Pre-Summary'!$DB$6:$DD$63,3,FALSE),"")</f>
        <v/>
      </c>
      <c r="Y2266" t="str">
        <f>IFERROR(VLOOKUP(B2266,'Pre-Summary'!$CR$6:$CT$36,3,FALSE),"")</f>
        <v/>
      </c>
      <c r="Z2266" s="45" t="str">
        <f>IFERROR(VLOOKUP(B2266,'Pre-Summary'!$BZ$6:$CB$63,2,FALSE),"")</f>
        <v/>
      </c>
      <c r="AA2266" s="45" t="str">
        <f>IFERROR(VLOOKUP(B2266,'Pre-Summary'!$CG$6:$CI$70,2,FALSE),"")</f>
        <v/>
      </c>
      <c r="AB2266" s="99">
        <f>IFERROR(VLOOKUP(B2266,'Pre-Summary'!$A$6:$P$178,9,FALSE),AB2267)</f>
        <v>0.3510413030600153</v>
      </c>
      <c r="AC2266" s="10">
        <f>IFERROR(VLOOKUP(Summary!B2266,'Pre-Summary'!$A$6:$P$184,5, FALSE)/100,AC2267)</f>
        <v>0.95838633333333334</v>
      </c>
      <c r="AD2266" s="10">
        <f>IFERROR(VLOOKUP(Summary!B2266,'Pre-Summary'!$A$6:$P$184,3, FALSE)/100,AD2267)</f>
        <v>2.8433333333333331E-2</v>
      </c>
      <c r="AE2266" s="10">
        <f>IFERROR(VLOOKUP(Summary!B2266,'Pre-Summary'!$A$6:$P$184,7, FALSE)/100,AE2267)</f>
        <v>1.3180333333333334E-2</v>
      </c>
      <c r="AF2266" s="99">
        <f t="shared" si="106"/>
        <v>9.9812743836731003E-3</v>
      </c>
      <c r="AG2266" s="99">
        <f t="shared" si="107"/>
        <v>4.6268413880986882E-3</v>
      </c>
      <c r="AH2266" s="10" t="str">
        <f>IFERROR(VLOOKUP(B2266,'Pre-Summary'!$AZ$6:$BE$65,3,FALSE),"")</f>
        <v/>
      </c>
      <c r="AI2266" s="10" t="str">
        <f>IFERROR(VLOOKUP(B2266,'Pre-Summary'!$AZ$6:$BE$65,5,FALSE),"")</f>
        <v/>
      </c>
      <c r="AJ2266" s="10" t="str">
        <f>IFERROR(VLOOKUP(B2266,'Pre-Summary'!$AZ$6:$BE$65,4,FALSE),"")</f>
        <v/>
      </c>
      <c r="AK2266" s="10" t="str">
        <f>IFERROR(VLOOKUP(B2266,'Pre-Summary'!$AZ$6:$BE$65,6,FALSE),"")</f>
        <v/>
      </c>
      <c r="AL2266" s="10" t="str">
        <f>IFERROR(VLOOKUP(B2266,'Pre-Summary'!$BG$6:$BL$44,3,FALSE),"")</f>
        <v/>
      </c>
      <c r="AM2266" s="10" t="str">
        <f>IFERROR(VLOOKUP(B2266,'Pre-Summary'!$BG$6:$BL$44,4,FALSE),"")</f>
        <v/>
      </c>
    </row>
    <row r="2267" spans="2:39" ht="15" customHeight="1" x14ac:dyDescent="0.3">
      <c r="B2267">
        <v>226.4</v>
      </c>
      <c r="C2267" t="str">
        <f>IFERROR(VLOOKUP(B2267,'Pre-Summary'!$DI$6:$DM$23,4,FALSE),"")</f>
        <v/>
      </c>
      <c r="D2267" s="10" t="str">
        <f>IFERROR(VLOOKUP(B2267,'Pre-Summary'!$AT$6:$AX$14,5,FALSE),D2266)</f>
        <v>Wolfe v3: went back to modified wolfe + EDTA and switched CuSO4 to CUCl2</v>
      </c>
      <c r="E2267" s="10" t="str">
        <f>IFERROR(VLOOKUP(B2267,'Pre-Summary'!$AT$6:$AX$15,4,FALSE),"")</f>
        <v/>
      </c>
      <c r="F2267">
        <f>IFERROR(VLOOKUP(B2267,'Pre-Summary'!$AL$6:$AQ$13,6,FALSE),F2266)</f>
        <v>5.9405263157894746E-2</v>
      </c>
      <c r="G2267" t="str">
        <f>IFERROR(VLOOKUP(B2267,'Pre-Summary'!$AE$6:$AJ$85,3,FALSE),"")</f>
        <v/>
      </c>
      <c r="H2267" t="str">
        <f>IFERROR(VLOOKUP(B2267,'Pre-Summary'!$AE$6:$AJ$85,4,FALSE),"")</f>
        <v/>
      </c>
      <c r="I2267" t="str">
        <f>IFERROR(VLOOKUP(B2267,'Pre-Summary'!$AE$6:$AJ$85,5,FALSE),"")</f>
        <v/>
      </c>
      <c r="J2267" s="45" t="str">
        <f>IFERROR(VLOOKUP(B2267,'Pre-Summary'!$AE$6:$AJ$85,6, FALSE),"")</f>
        <v/>
      </c>
      <c r="K2267" s="45" t="str">
        <f>IFERROR(VLOOKUP(B2267,'Pre-Summary'!$DE$6:$DG$61,3,FALSE),"")</f>
        <v/>
      </c>
      <c r="L2267" s="45" t="str">
        <f>IFERROR(VLOOKUP(B2267,'Pre-Summary'!$CU$6:$CW$36,3,FALSE),"")</f>
        <v/>
      </c>
      <c r="M2267" s="45" t="str">
        <f>IFERROR(VLOOKUP(B2267,'Pre-Summary'!$BW$6:$BY$58,2,FALSE),"")</f>
        <v/>
      </c>
      <c r="N2267" s="45" t="str">
        <f>IFERROR(VLOOKUP(B2267,'Pre-Summary'!$CD$6:$CF$64,2,FALSE),"")</f>
        <v/>
      </c>
      <c r="O2267" s="99">
        <f>IFERROR(VLOOKUP(B2267,'Pre-Summary'!$BO$6:$BQ$48,3, FALSE),O2266)</f>
        <v>1.508</v>
      </c>
      <c r="P2267" s="99">
        <f>IFERROR(VLOOKUP(B2267,'Pre-Summary'!$BS$6:$BU$35,3,FALSE),P2266)</f>
        <v>0.379</v>
      </c>
      <c r="Q2267" s="54">
        <f t="shared" si="105"/>
        <v>3.9788918205804751</v>
      </c>
      <c r="R2267" s="53">
        <f>IFERROR(VLOOKUP(B2267,'Pre-Summary'!$BG$6:$BM$44,7,FALSE),R2268)</f>
        <v>9.7948682664336664E-2</v>
      </c>
      <c r="S2267" s="53">
        <f>IFERROR(VLOOKUP(B2267,'Pre-Summary'!$BG$6:$BM$44,6,FALSE),S2268)</f>
        <v>0.10614035087720526</v>
      </c>
      <c r="T2267" s="45" t="str">
        <f>IFERROR(VLOOKUP(B2267,'Pre-Summary'!$Y$6:$AC$83, 3,FALSE),"")</f>
        <v/>
      </c>
      <c r="U2267" s="45" t="str">
        <f>IFERROR(VLOOKUP(B2267,'Pre-Summary'!$Y$6:$AC$83, 4,FALSE),"")</f>
        <v/>
      </c>
      <c r="V2267" t="str">
        <f>IFERROR(VLOOKUP(B2267,'Pre-Summary'!$Y$6:$AC$83, 5,FALSE),"")</f>
        <v/>
      </c>
      <c r="W2267" s="45" t="str">
        <f>IFERROR(VLOOKUP(B2267,'Pre-Summary'!$Y$6:$AD$83,6,FALSE),"")</f>
        <v/>
      </c>
      <c r="X2267" t="str">
        <f>IFERROR(VLOOKUP('Pre-Summary'!$DB$6:$DD$63,3,FALSE),"")</f>
        <v/>
      </c>
      <c r="Y2267" t="str">
        <f>IFERROR(VLOOKUP(B2267,'Pre-Summary'!$CR$6:$CT$36,3,FALSE),"")</f>
        <v/>
      </c>
      <c r="Z2267" s="45" t="str">
        <f>IFERROR(VLOOKUP(B2267,'Pre-Summary'!$BZ$6:$CB$63,2,FALSE),"")</f>
        <v/>
      </c>
      <c r="AA2267" s="45" t="str">
        <f>IFERROR(VLOOKUP(B2267,'Pre-Summary'!$CG$6:$CI$70,2,FALSE),"")</f>
        <v/>
      </c>
      <c r="AB2267" s="99">
        <f>IFERROR(VLOOKUP(B2267,'Pre-Summary'!$A$6:$P$178,9,FALSE),AB2268)</f>
        <v>0.3510413030600153</v>
      </c>
      <c r="AC2267" s="10">
        <f>IFERROR(VLOOKUP(Summary!B2267,'Pre-Summary'!$A$6:$P$184,5, FALSE)/100,AC2268)</f>
        <v>0.95838633333333334</v>
      </c>
      <c r="AD2267" s="10">
        <f>IFERROR(VLOOKUP(Summary!B2267,'Pre-Summary'!$A$6:$P$184,3, FALSE)/100,AD2268)</f>
        <v>2.8433333333333331E-2</v>
      </c>
      <c r="AE2267" s="10">
        <f>IFERROR(VLOOKUP(Summary!B2267,'Pre-Summary'!$A$6:$P$184,7, FALSE)/100,AE2268)</f>
        <v>1.3180333333333334E-2</v>
      </c>
      <c r="AF2267" s="99">
        <f t="shared" si="106"/>
        <v>9.9812743836731003E-3</v>
      </c>
      <c r="AG2267" s="99">
        <f t="shared" si="107"/>
        <v>4.6268413880986882E-3</v>
      </c>
      <c r="AH2267" s="10" t="str">
        <f>IFERROR(VLOOKUP(B2267,'Pre-Summary'!$AZ$6:$BE$65,3,FALSE),"")</f>
        <v/>
      </c>
      <c r="AI2267" s="10" t="str">
        <f>IFERROR(VLOOKUP(B2267,'Pre-Summary'!$AZ$6:$BE$65,5,FALSE),"")</f>
        <v/>
      </c>
      <c r="AJ2267" s="10" t="str">
        <f>IFERROR(VLOOKUP(B2267,'Pre-Summary'!$AZ$6:$BE$65,4,FALSE),"")</f>
        <v/>
      </c>
      <c r="AK2267" s="10" t="str">
        <f>IFERROR(VLOOKUP(B2267,'Pre-Summary'!$AZ$6:$BE$65,6,FALSE),"")</f>
        <v/>
      </c>
      <c r="AL2267" s="10" t="str">
        <f>IFERROR(VLOOKUP(B2267,'Pre-Summary'!$BG$6:$BL$44,3,FALSE),"")</f>
        <v/>
      </c>
      <c r="AM2267" s="10" t="str">
        <f>IFERROR(VLOOKUP(B2267,'Pre-Summary'!$BG$6:$BL$44,4,FALSE),"")</f>
        <v/>
      </c>
    </row>
    <row r="2268" spans="2:39" ht="15" customHeight="1" x14ac:dyDescent="0.3">
      <c r="B2268">
        <v>226.5</v>
      </c>
      <c r="C2268" t="str">
        <f>IFERROR(VLOOKUP(B2268,'Pre-Summary'!$DI$6:$DM$23,4,FALSE),"")</f>
        <v/>
      </c>
      <c r="D2268" s="10" t="str">
        <f>IFERROR(VLOOKUP(B2268,'Pre-Summary'!$AT$6:$AX$14,5,FALSE),D2267)</f>
        <v>Wolfe v3: went back to modified wolfe + EDTA and switched CuSO4 to CUCl2</v>
      </c>
      <c r="E2268" s="10" t="str">
        <f>IFERROR(VLOOKUP(B2268,'Pre-Summary'!$AT$6:$AX$15,4,FALSE),"")</f>
        <v/>
      </c>
      <c r="F2268">
        <f>IFERROR(VLOOKUP(B2268,'Pre-Summary'!$AL$6:$AQ$13,6,FALSE),F2267)</f>
        <v>5.9405263157894746E-2</v>
      </c>
      <c r="G2268" t="str">
        <f>IFERROR(VLOOKUP(B2268,'Pre-Summary'!$AE$6:$AJ$85,3,FALSE),"")</f>
        <v/>
      </c>
      <c r="H2268" t="str">
        <f>IFERROR(VLOOKUP(B2268,'Pre-Summary'!$AE$6:$AJ$85,4,FALSE),"")</f>
        <v/>
      </c>
      <c r="I2268" t="str">
        <f>IFERROR(VLOOKUP(B2268,'Pre-Summary'!$AE$6:$AJ$85,5,FALSE),"")</f>
        <v/>
      </c>
      <c r="J2268" s="45" t="str">
        <f>IFERROR(VLOOKUP(B2268,'Pre-Summary'!$AE$6:$AJ$85,6, FALSE),"")</f>
        <v/>
      </c>
      <c r="K2268" s="45" t="str">
        <f>IFERROR(VLOOKUP(B2268,'Pre-Summary'!$DE$6:$DG$61,3,FALSE),"")</f>
        <v/>
      </c>
      <c r="L2268" s="45" t="str">
        <f>IFERROR(VLOOKUP(B2268,'Pre-Summary'!$CU$6:$CW$36,3,FALSE),"")</f>
        <v/>
      </c>
      <c r="M2268" s="45" t="str">
        <f>IFERROR(VLOOKUP(B2268,'Pre-Summary'!$BW$6:$BY$58,2,FALSE),"")</f>
        <v/>
      </c>
      <c r="N2268" s="45" t="str">
        <f>IFERROR(VLOOKUP(B2268,'Pre-Summary'!$CD$6:$CF$64,2,FALSE),"")</f>
        <v/>
      </c>
      <c r="O2268" s="99">
        <f>IFERROR(VLOOKUP(B2268,'Pre-Summary'!$BO$6:$BQ$48,3, FALSE),O2267)</f>
        <v>1.508</v>
      </c>
      <c r="P2268" s="99">
        <f>IFERROR(VLOOKUP(B2268,'Pre-Summary'!$BS$6:$BU$35,3,FALSE),P2267)</f>
        <v>0.379</v>
      </c>
      <c r="Q2268" s="54">
        <f t="shared" si="105"/>
        <v>3.9788918205804751</v>
      </c>
      <c r="R2268" s="53">
        <f>IFERROR(VLOOKUP(B2268,'Pre-Summary'!$BG$6:$BM$44,7,FALSE),R2269)</f>
        <v>9.7948682664336664E-2</v>
      </c>
      <c r="S2268" s="53">
        <f>IFERROR(VLOOKUP(B2268,'Pre-Summary'!$BG$6:$BM$44,6,FALSE),S2269)</f>
        <v>0.10614035087720526</v>
      </c>
      <c r="T2268" s="45" t="str">
        <f>IFERROR(VLOOKUP(B2268,'Pre-Summary'!$Y$6:$AC$83, 3,FALSE),"")</f>
        <v/>
      </c>
      <c r="U2268" s="45" t="str">
        <f>IFERROR(VLOOKUP(B2268,'Pre-Summary'!$Y$6:$AC$83, 4,FALSE),"")</f>
        <v/>
      </c>
      <c r="V2268" t="str">
        <f>IFERROR(VLOOKUP(B2268,'Pre-Summary'!$Y$6:$AC$83, 5,FALSE),"")</f>
        <v/>
      </c>
      <c r="W2268" s="45" t="str">
        <f>IFERROR(VLOOKUP(B2268,'Pre-Summary'!$Y$6:$AD$83,6,FALSE),"")</f>
        <v/>
      </c>
      <c r="X2268" t="str">
        <f>IFERROR(VLOOKUP('Pre-Summary'!$DB$6:$DD$63,3,FALSE),"")</f>
        <v/>
      </c>
      <c r="Y2268" t="str">
        <f>IFERROR(VLOOKUP(B2268,'Pre-Summary'!$CR$6:$CT$36,3,FALSE),"")</f>
        <v/>
      </c>
      <c r="Z2268" s="45" t="str">
        <f>IFERROR(VLOOKUP(B2268,'Pre-Summary'!$BZ$6:$CB$63,2,FALSE),"")</f>
        <v/>
      </c>
      <c r="AA2268" s="45" t="str">
        <f>IFERROR(VLOOKUP(B2268,'Pre-Summary'!$CG$6:$CI$70,2,FALSE),"")</f>
        <v/>
      </c>
      <c r="AB2268" s="99">
        <f>IFERROR(VLOOKUP(B2268,'Pre-Summary'!$A$6:$P$178,9,FALSE),AB2269)</f>
        <v>0.3510413030600153</v>
      </c>
      <c r="AC2268" s="10">
        <f>IFERROR(VLOOKUP(Summary!B2268,'Pre-Summary'!$A$6:$P$184,5, FALSE)/100,AC2269)</f>
        <v>0.95838633333333334</v>
      </c>
      <c r="AD2268" s="10">
        <f>IFERROR(VLOOKUP(Summary!B2268,'Pre-Summary'!$A$6:$P$184,3, FALSE)/100,AD2269)</f>
        <v>2.8433333333333331E-2</v>
      </c>
      <c r="AE2268" s="10">
        <f>IFERROR(VLOOKUP(Summary!B2268,'Pre-Summary'!$A$6:$P$184,7, FALSE)/100,AE2269)</f>
        <v>1.3180333333333334E-2</v>
      </c>
      <c r="AF2268" s="99">
        <f t="shared" si="106"/>
        <v>9.9812743836731003E-3</v>
      </c>
      <c r="AG2268" s="99">
        <f t="shared" si="107"/>
        <v>4.6268413880986882E-3</v>
      </c>
      <c r="AH2268" s="10" t="str">
        <f>IFERROR(VLOOKUP(B2268,'Pre-Summary'!$AZ$6:$BE$65,3,FALSE),"")</f>
        <v/>
      </c>
      <c r="AI2268" s="10" t="str">
        <f>IFERROR(VLOOKUP(B2268,'Pre-Summary'!$AZ$6:$BE$65,5,FALSE),"")</f>
        <v/>
      </c>
      <c r="AJ2268" s="10" t="str">
        <f>IFERROR(VLOOKUP(B2268,'Pre-Summary'!$AZ$6:$BE$65,4,FALSE),"")</f>
        <v/>
      </c>
      <c r="AK2268" s="10" t="str">
        <f>IFERROR(VLOOKUP(B2268,'Pre-Summary'!$AZ$6:$BE$65,6,FALSE),"")</f>
        <v/>
      </c>
      <c r="AL2268" s="10" t="str">
        <f>IFERROR(VLOOKUP(B2268,'Pre-Summary'!$BG$6:$BL$44,3,FALSE),"")</f>
        <v/>
      </c>
      <c r="AM2268" s="10" t="str">
        <f>IFERROR(VLOOKUP(B2268,'Pre-Summary'!$BG$6:$BL$44,4,FALSE),"")</f>
        <v/>
      </c>
    </row>
    <row r="2269" spans="2:39" ht="15" customHeight="1" x14ac:dyDescent="0.3">
      <c r="B2269">
        <v>226.6</v>
      </c>
      <c r="C2269" t="str">
        <f>IFERROR(VLOOKUP(B2269,'Pre-Summary'!$DI$6:$DM$23,4,FALSE),"")</f>
        <v/>
      </c>
      <c r="D2269" s="10" t="str">
        <f>IFERROR(VLOOKUP(B2269,'Pre-Summary'!$AT$6:$AX$14,5,FALSE),D2268)</f>
        <v>Wolfe v3: went back to modified wolfe + EDTA and switched CuSO4 to CUCl2</v>
      </c>
      <c r="E2269" s="10" t="str">
        <f>IFERROR(VLOOKUP(B2269,'Pre-Summary'!$AT$6:$AX$15,4,FALSE),"")</f>
        <v/>
      </c>
      <c r="F2269">
        <f>IFERROR(VLOOKUP(B2269,'Pre-Summary'!$AL$6:$AQ$13,6,FALSE),F2268)</f>
        <v>5.9405263157894746E-2</v>
      </c>
      <c r="G2269" t="str">
        <f>IFERROR(VLOOKUP(B2269,'Pre-Summary'!$AE$6:$AJ$85,3,FALSE),"")</f>
        <v/>
      </c>
      <c r="H2269" t="str">
        <f>IFERROR(VLOOKUP(B2269,'Pre-Summary'!$AE$6:$AJ$85,4,FALSE),"")</f>
        <v/>
      </c>
      <c r="I2269" t="str">
        <f>IFERROR(VLOOKUP(B2269,'Pre-Summary'!$AE$6:$AJ$85,5,FALSE),"")</f>
        <v/>
      </c>
      <c r="J2269" s="45" t="str">
        <f>IFERROR(VLOOKUP(B2269,'Pre-Summary'!$AE$6:$AJ$85,6, FALSE),"")</f>
        <v/>
      </c>
      <c r="K2269" s="45" t="str">
        <f>IFERROR(VLOOKUP(B2269,'Pre-Summary'!$DE$6:$DG$61,3,FALSE),"")</f>
        <v/>
      </c>
      <c r="L2269" s="45" t="str">
        <f>IFERROR(VLOOKUP(B2269,'Pre-Summary'!$CU$6:$CW$36,3,FALSE),"")</f>
        <v/>
      </c>
      <c r="M2269" s="45" t="str">
        <f>IFERROR(VLOOKUP(B2269,'Pre-Summary'!$BW$6:$BY$58,2,FALSE),"")</f>
        <v/>
      </c>
      <c r="N2269" s="45" t="str">
        <f>IFERROR(VLOOKUP(B2269,'Pre-Summary'!$CD$6:$CF$64,2,FALSE),"")</f>
        <v/>
      </c>
      <c r="O2269" s="99">
        <f>IFERROR(VLOOKUP(B2269,'Pre-Summary'!$BO$6:$BQ$48,3, FALSE),O2268)</f>
        <v>1.508</v>
      </c>
      <c r="P2269" s="99">
        <f>IFERROR(VLOOKUP(B2269,'Pre-Summary'!$BS$6:$BU$35,3,FALSE),P2268)</f>
        <v>0.379</v>
      </c>
      <c r="Q2269" s="54">
        <f t="shared" si="105"/>
        <v>3.9788918205804751</v>
      </c>
      <c r="R2269" s="53">
        <f>IFERROR(VLOOKUP(B2269,'Pre-Summary'!$BG$6:$BM$44,7,FALSE),R2270)</f>
        <v>9.7948682664336664E-2</v>
      </c>
      <c r="S2269" s="53">
        <f>IFERROR(VLOOKUP(B2269,'Pre-Summary'!$BG$6:$BM$44,6,FALSE),S2270)</f>
        <v>0.10614035087720526</v>
      </c>
      <c r="T2269" s="45" t="str">
        <f>IFERROR(VLOOKUP(B2269,'Pre-Summary'!$Y$6:$AC$83, 3,FALSE),"")</f>
        <v/>
      </c>
      <c r="U2269" s="45" t="str">
        <f>IFERROR(VLOOKUP(B2269,'Pre-Summary'!$Y$6:$AC$83, 4,FALSE),"")</f>
        <v/>
      </c>
      <c r="V2269" t="str">
        <f>IFERROR(VLOOKUP(B2269,'Pre-Summary'!$Y$6:$AC$83, 5,FALSE),"")</f>
        <v/>
      </c>
      <c r="W2269" s="45" t="str">
        <f>IFERROR(VLOOKUP(B2269,'Pre-Summary'!$Y$6:$AD$83,6,FALSE),"")</f>
        <v/>
      </c>
      <c r="X2269" t="str">
        <f>IFERROR(VLOOKUP('Pre-Summary'!$DB$6:$DD$63,3,FALSE),"")</f>
        <v/>
      </c>
      <c r="Y2269" t="str">
        <f>IFERROR(VLOOKUP(B2269,'Pre-Summary'!$CR$6:$CT$36,3,FALSE),"")</f>
        <v/>
      </c>
      <c r="Z2269" s="45" t="str">
        <f>IFERROR(VLOOKUP(B2269,'Pre-Summary'!$BZ$6:$CB$63,2,FALSE),"")</f>
        <v/>
      </c>
      <c r="AA2269" s="45" t="str">
        <f>IFERROR(VLOOKUP(B2269,'Pre-Summary'!$CG$6:$CI$70,2,FALSE),"")</f>
        <v/>
      </c>
      <c r="AB2269" s="99">
        <f>IFERROR(VLOOKUP(B2269,'Pre-Summary'!$A$6:$P$178,9,FALSE),AB2270)</f>
        <v>0.3510413030600153</v>
      </c>
      <c r="AC2269" s="10">
        <f>IFERROR(VLOOKUP(Summary!B2269,'Pre-Summary'!$A$6:$P$184,5, FALSE)/100,AC2270)</f>
        <v>0.95838633333333334</v>
      </c>
      <c r="AD2269" s="10">
        <f>IFERROR(VLOOKUP(Summary!B2269,'Pre-Summary'!$A$6:$P$184,3, FALSE)/100,AD2270)</f>
        <v>2.8433333333333331E-2</v>
      </c>
      <c r="AE2269" s="10">
        <f>IFERROR(VLOOKUP(Summary!B2269,'Pre-Summary'!$A$6:$P$184,7, FALSE)/100,AE2270)</f>
        <v>1.3180333333333334E-2</v>
      </c>
      <c r="AF2269" s="99">
        <f t="shared" si="106"/>
        <v>9.9812743836731003E-3</v>
      </c>
      <c r="AG2269" s="99">
        <f t="shared" si="107"/>
        <v>4.6268413880986882E-3</v>
      </c>
      <c r="AH2269" s="10" t="str">
        <f>IFERROR(VLOOKUP(B2269,'Pre-Summary'!$AZ$6:$BE$65,3,FALSE),"")</f>
        <v/>
      </c>
      <c r="AI2269" s="10" t="str">
        <f>IFERROR(VLOOKUP(B2269,'Pre-Summary'!$AZ$6:$BE$65,5,FALSE),"")</f>
        <v/>
      </c>
      <c r="AJ2269" s="10" t="str">
        <f>IFERROR(VLOOKUP(B2269,'Pre-Summary'!$AZ$6:$BE$65,4,FALSE),"")</f>
        <v/>
      </c>
      <c r="AK2269" s="10" t="str">
        <f>IFERROR(VLOOKUP(B2269,'Pre-Summary'!$AZ$6:$BE$65,6,FALSE),"")</f>
        <v/>
      </c>
      <c r="AL2269" s="10" t="str">
        <f>IFERROR(VLOOKUP(B2269,'Pre-Summary'!$BG$6:$BL$44,3,FALSE),"")</f>
        <v/>
      </c>
      <c r="AM2269" s="10" t="str">
        <f>IFERROR(VLOOKUP(B2269,'Pre-Summary'!$BG$6:$BL$44,4,FALSE),"")</f>
        <v/>
      </c>
    </row>
    <row r="2270" spans="2:39" ht="15" customHeight="1" x14ac:dyDescent="0.3">
      <c r="B2270">
        <v>226.7</v>
      </c>
      <c r="C2270" t="str">
        <f>IFERROR(VLOOKUP(B2270,'Pre-Summary'!$DI$6:$DM$23,4,FALSE),"")</f>
        <v/>
      </c>
      <c r="D2270" s="10" t="str">
        <f>IFERROR(VLOOKUP(B2270,'Pre-Summary'!$AT$6:$AX$14,5,FALSE),D2269)</f>
        <v>Wolfe v3: went back to modified wolfe + EDTA and switched CuSO4 to CUCl2</v>
      </c>
      <c r="E2270" s="10" t="str">
        <f>IFERROR(VLOOKUP(B2270,'Pre-Summary'!$AT$6:$AX$15,4,FALSE),"")</f>
        <v/>
      </c>
      <c r="F2270">
        <f>IFERROR(VLOOKUP(B2270,'Pre-Summary'!$AL$6:$AQ$13,6,FALSE),F2269)</f>
        <v>5.9405263157894746E-2</v>
      </c>
      <c r="G2270" t="str">
        <f>IFERROR(VLOOKUP(B2270,'Pre-Summary'!$AE$6:$AJ$85,3,FALSE),"")</f>
        <v/>
      </c>
      <c r="H2270" t="str">
        <f>IFERROR(VLOOKUP(B2270,'Pre-Summary'!$AE$6:$AJ$85,4,FALSE),"")</f>
        <v/>
      </c>
      <c r="I2270" t="str">
        <f>IFERROR(VLOOKUP(B2270,'Pre-Summary'!$AE$6:$AJ$85,5,FALSE),"")</f>
        <v/>
      </c>
      <c r="J2270" s="45" t="str">
        <f>IFERROR(VLOOKUP(B2270,'Pre-Summary'!$AE$6:$AJ$85,6, FALSE),"")</f>
        <v/>
      </c>
      <c r="K2270" s="45" t="str">
        <f>IFERROR(VLOOKUP(B2270,'Pre-Summary'!$DE$6:$DG$61,3,FALSE),"")</f>
        <v/>
      </c>
      <c r="L2270" s="45" t="str">
        <f>IFERROR(VLOOKUP(B2270,'Pre-Summary'!$CU$6:$CW$36,3,FALSE),"")</f>
        <v/>
      </c>
      <c r="M2270" s="45" t="str">
        <f>IFERROR(VLOOKUP(B2270,'Pre-Summary'!$BW$6:$BY$58,2,FALSE),"")</f>
        <v/>
      </c>
      <c r="N2270" s="45" t="str">
        <f>IFERROR(VLOOKUP(B2270,'Pre-Summary'!$CD$6:$CF$64,2,FALSE),"")</f>
        <v/>
      </c>
      <c r="O2270" s="99">
        <f>IFERROR(VLOOKUP(B2270,'Pre-Summary'!$BO$6:$BQ$48,3, FALSE),O2269)</f>
        <v>1.508</v>
      </c>
      <c r="P2270" s="99">
        <f>IFERROR(VLOOKUP(B2270,'Pre-Summary'!$BS$6:$BU$35,3,FALSE),P2269)</f>
        <v>0.379</v>
      </c>
      <c r="Q2270" s="54">
        <f t="shared" si="105"/>
        <v>3.9788918205804751</v>
      </c>
      <c r="R2270" s="53">
        <f>IFERROR(VLOOKUP(B2270,'Pre-Summary'!$BG$6:$BM$44,7,FALSE),R2271)</f>
        <v>9.7948682664336664E-2</v>
      </c>
      <c r="S2270" s="53">
        <f>IFERROR(VLOOKUP(B2270,'Pre-Summary'!$BG$6:$BM$44,6,FALSE),S2271)</f>
        <v>0.10614035087720526</v>
      </c>
      <c r="T2270" s="45" t="str">
        <f>IFERROR(VLOOKUP(B2270,'Pre-Summary'!$Y$6:$AC$83, 3,FALSE),"")</f>
        <v/>
      </c>
      <c r="U2270" s="45" t="str">
        <f>IFERROR(VLOOKUP(B2270,'Pre-Summary'!$Y$6:$AC$83, 4,FALSE),"")</f>
        <v/>
      </c>
      <c r="V2270" t="str">
        <f>IFERROR(VLOOKUP(B2270,'Pre-Summary'!$Y$6:$AC$83, 5,FALSE),"")</f>
        <v/>
      </c>
      <c r="W2270" s="45" t="str">
        <f>IFERROR(VLOOKUP(B2270,'Pre-Summary'!$Y$6:$AD$83,6,FALSE),"")</f>
        <v/>
      </c>
      <c r="X2270" t="str">
        <f>IFERROR(VLOOKUP('Pre-Summary'!$DB$6:$DD$63,3,FALSE),"")</f>
        <v/>
      </c>
      <c r="Y2270" t="str">
        <f>IFERROR(VLOOKUP(B2270,'Pre-Summary'!$CR$6:$CT$36,3,FALSE),"")</f>
        <v/>
      </c>
      <c r="Z2270" s="45" t="str">
        <f>IFERROR(VLOOKUP(B2270,'Pre-Summary'!$BZ$6:$CB$63,2,FALSE),"")</f>
        <v/>
      </c>
      <c r="AA2270" s="45" t="str">
        <f>IFERROR(VLOOKUP(B2270,'Pre-Summary'!$CG$6:$CI$70,2,FALSE),"")</f>
        <v/>
      </c>
      <c r="AB2270" s="99">
        <f>IFERROR(VLOOKUP(B2270,'Pre-Summary'!$A$6:$P$178,9,FALSE),AB2271)</f>
        <v>0.3510413030600153</v>
      </c>
      <c r="AC2270" s="10">
        <f>IFERROR(VLOOKUP(Summary!B2270,'Pre-Summary'!$A$6:$P$184,5, FALSE)/100,AC2271)</f>
        <v>0.95838633333333334</v>
      </c>
      <c r="AD2270" s="10">
        <f>IFERROR(VLOOKUP(Summary!B2270,'Pre-Summary'!$A$6:$P$184,3, FALSE)/100,AD2271)</f>
        <v>2.8433333333333331E-2</v>
      </c>
      <c r="AE2270" s="10">
        <f>IFERROR(VLOOKUP(Summary!B2270,'Pre-Summary'!$A$6:$P$184,7, FALSE)/100,AE2271)</f>
        <v>1.3180333333333334E-2</v>
      </c>
      <c r="AF2270" s="99">
        <f t="shared" si="106"/>
        <v>9.9812743836731003E-3</v>
      </c>
      <c r="AG2270" s="99">
        <f t="shared" si="107"/>
        <v>4.6268413880986882E-3</v>
      </c>
      <c r="AH2270" s="10" t="str">
        <f>IFERROR(VLOOKUP(B2270,'Pre-Summary'!$AZ$6:$BE$65,3,FALSE),"")</f>
        <v/>
      </c>
      <c r="AI2270" s="10" t="str">
        <f>IFERROR(VLOOKUP(B2270,'Pre-Summary'!$AZ$6:$BE$65,5,FALSE),"")</f>
        <v/>
      </c>
      <c r="AJ2270" s="10" t="str">
        <f>IFERROR(VLOOKUP(B2270,'Pre-Summary'!$AZ$6:$BE$65,4,FALSE),"")</f>
        <v/>
      </c>
      <c r="AK2270" s="10" t="str">
        <f>IFERROR(VLOOKUP(B2270,'Pre-Summary'!$AZ$6:$BE$65,6,FALSE),"")</f>
        <v/>
      </c>
      <c r="AL2270" s="10" t="str">
        <f>IFERROR(VLOOKUP(B2270,'Pre-Summary'!$BG$6:$BL$44,3,FALSE),"")</f>
        <v/>
      </c>
      <c r="AM2270" s="10" t="str">
        <f>IFERROR(VLOOKUP(B2270,'Pre-Summary'!$BG$6:$BL$44,4,FALSE),"")</f>
        <v/>
      </c>
    </row>
    <row r="2271" spans="2:39" ht="15" customHeight="1" x14ac:dyDescent="0.3">
      <c r="B2271">
        <v>226.8</v>
      </c>
      <c r="C2271" t="str">
        <f>IFERROR(VLOOKUP(B2271,'Pre-Summary'!$DI$6:$DM$23,4,FALSE),"")</f>
        <v/>
      </c>
      <c r="D2271" s="10" t="str">
        <f>IFERROR(VLOOKUP(B2271,'Pre-Summary'!$AT$6:$AX$14,5,FALSE),D2270)</f>
        <v>Wolfe v3: went back to modified wolfe + EDTA and switched CuSO4 to CUCl2</v>
      </c>
      <c r="E2271" s="10" t="str">
        <f>IFERROR(VLOOKUP(B2271,'Pre-Summary'!$AT$6:$AX$15,4,FALSE),"")</f>
        <v/>
      </c>
      <c r="F2271">
        <f>IFERROR(VLOOKUP(B2271,'Pre-Summary'!$AL$6:$AQ$13,6,FALSE),F2270)</f>
        <v>5.9405263157894746E-2</v>
      </c>
      <c r="G2271" t="str">
        <f>IFERROR(VLOOKUP(B2271,'Pre-Summary'!$AE$6:$AJ$85,3,FALSE),"")</f>
        <v/>
      </c>
      <c r="H2271" t="str">
        <f>IFERROR(VLOOKUP(B2271,'Pre-Summary'!$AE$6:$AJ$85,4,FALSE),"")</f>
        <v/>
      </c>
      <c r="I2271" t="str">
        <f>IFERROR(VLOOKUP(B2271,'Pre-Summary'!$AE$6:$AJ$85,5,FALSE),"")</f>
        <v/>
      </c>
      <c r="J2271" s="45" t="str">
        <f>IFERROR(VLOOKUP(B2271,'Pre-Summary'!$AE$6:$AJ$85,6, FALSE),"")</f>
        <v/>
      </c>
      <c r="K2271" s="45" t="str">
        <f>IFERROR(VLOOKUP(B2271,'Pre-Summary'!$DE$6:$DG$61,3,FALSE),"")</f>
        <v/>
      </c>
      <c r="L2271" s="45" t="str">
        <f>IFERROR(VLOOKUP(B2271,'Pre-Summary'!$CU$6:$CW$36,3,FALSE),"")</f>
        <v/>
      </c>
      <c r="M2271" s="45" t="str">
        <f>IFERROR(VLOOKUP(B2271,'Pre-Summary'!$BW$6:$BY$58,2,FALSE),"")</f>
        <v/>
      </c>
      <c r="N2271" s="45" t="str">
        <f>IFERROR(VLOOKUP(B2271,'Pre-Summary'!$CD$6:$CF$64,2,FALSE),"")</f>
        <v/>
      </c>
      <c r="O2271" s="99">
        <f>IFERROR(VLOOKUP(B2271,'Pre-Summary'!$BO$6:$BQ$48,3, FALSE),O2270)</f>
        <v>1.508</v>
      </c>
      <c r="P2271" s="99">
        <f>IFERROR(VLOOKUP(B2271,'Pre-Summary'!$BS$6:$BU$35,3,FALSE),P2270)</f>
        <v>0.379</v>
      </c>
      <c r="Q2271" s="54">
        <f t="shared" si="105"/>
        <v>3.9788918205804751</v>
      </c>
      <c r="R2271" s="53">
        <f>IFERROR(VLOOKUP(B2271,'Pre-Summary'!$BG$6:$BM$44,7,FALSE),R2272)</f>
        <v>9.7948682664336664E-2</v>
      </c>
      <c r="S2271" s="53">
        <f>IFERROR(VLOOKUP(B2271,'Pre-Summary'!$BG$6:$BM$44,6,FALSE),S2272)</f>
        <v>0.10614035087720526</v>
      </c>
      <c r="T2271" s="45" t="str">
        <f>IFERROR(VLOOKUP(B2271,'Pre-Summary'!$Y$6:$AC$83, 3,FALSE),"")</f>
        <v/>
      </c>
      <c r="U2271" s="45" t="str">
        <f>IFERROR(VLOOKUP(B2271,'Pre-Summary'!$Y$6:$AC$83, 4,FALSE),"")</f>
        <v/>
      </c>
      <c r="V2271" t="str">
        <f>IFERROR(VLOOKUP(B2271,'Pre-Summary'!$Y$6:$AC$83, 5,FALSE),"")</f>
        <v/>
      </c>
      <c r="W2271" s="45" t="str">
        <f>IFERROR(VLOOKUP(B2271,'Pre-Summary'!$Y$6:$AD$83,6,FALSE),"")</f>
        <v/>
      </c>
      <c r="X2271" t="str">
        <f>IFERROR(VLOOKUP('Pre-Summary'!$DB$6:$DD$63,3,FALSE),"")</f>
        <v/>
      </c>
      <c r="Y2271" t="str">
        <f>IFERROR(VLOOKUP(B2271,'Pre-Summary'!$CR$6:$CT$36,3,FALSE),"")</f>
        <v/>
      </c>
      <c r="Z2271" s="45" t="str">
        <f>IFERROR(VLOOKUP(B2271,'Pre-Summary'!$BZ$6:$CB$63,2,FALSE),"")</f>
        <v/>
      </c>
      <c r="AA2271" s="45" t="str">
        <f>IFERROR(VLOOKUP(B2271,'Pre-Summary'!$CG$6:$CI$70,2,FALSE),"")</f>
        <v/>
      </c>
      <c r="AB2271" s="99">
        <f>IFERROR(VLOOKUP(B2271,'Pre-Summary'!$A$6:$P$178,9,FALSE),AB2272)</f>
        <v>0.3510413030600153</v>
      </c>
      <c r="AC2271" s="10">
        <f>IFERROR(VLOOKUP(Summary!B2271,'Pre-Summary'!$A$6:$P$184,5, FALSE)/100,AC2272)</f>
        <v>0.95838633333333334</v>
      </c>
      <c r="AD2271" s="10">
        <f>IFERROR(VLOOKUP(Summary!B2271,'Pre-Summary'!$A$6:$P$184,3, FALSE)/100,AD2272)</f>
        <v>2.8433333333333331E-2</v>
      </c>
      <c r="AE2271" s="10">
        <f>IFERROR(VLOOKUP(Summary!B2271,'Pre-Summary'!$A$6:$P$184,7, FALSE)/100,AE2272)</f>
        <v>1.3180333333333334E-2</v>
      </c>
      <c r="AF2271" s="99">
        <f t="shared" si="106"/>
        <v>9.9812743836731003E-3</v>
      </c>
      <c r="AG2271" s="99">
        <f t="shared" si="107"/>
        <v>4.6268413880986882E-3</v>
      </c>
      <c r="AH2271" s="10" t="str">
        <f>IFERROR(VLOOKUP(B2271,'Pre-Summary'!$AZ$6:$BE$65,3,FALSE),"")</f>
        <v/>
      </c>
      <c r="AI2271" s="10" t="str">
        <f>IFERROR(VLOOKUP(B2271,'Pre-Summary'!$AZ$6:$BE$65,5,FALSE),"")</f>
        <v/>
      </c>
      <c r="AJ2271" s="10" t="str">
        <f>IFERROR(VLOOKUP(B2271,'Pre-Summary'!$AZ$6:$BE$65,4,FALSE),"")</f>
        <v/>
      </c>
      <c r="AK2271" s="10" t="str">
        <f>IFERROR(VLOOKUP(B2271,'Pre-Summary'!$AZ$6:$BE$65,6,FALSE),"")</f>
        <v/>
      </c>
      <c r="AL2271" s="10" t="str">
        <f>IFERROR(VLOOKUP(B2271,'Pre-Summary'!$BG$6:$BL$44,3,FALSE),"")</f>
        <v/>
      </c>
      <c r="AM2271" s="10" t="str">
        <f>IFERROR(VLOOKUP(B2271,'Pre-Summary'!$BG$6:$BL$44,4,FALSE),"")</f>
        <v/>
      </c>
    </row>
    <row r="2272" spans="2:39" ht="15" customHeight="1" x14ac:dyDescent="0.3">
      <c r="B2272">
        <v>226.9</v>
      </c>
      <c r="C2272" t="str">
        <f>IFERROR(VLOOKUP(B2272,'Pre-Summary'!$DI$6:$DM$23,4,FALSE),"")</f>
        <v/>
      </c>
      <c r="D2272" s="10" t="str">
        <f>IFERROR(VLOOKUP(B2272,'Pre-Summary'!$AT$6:$AX$14,5,FALSE),D2271)</f>
        <v>Wolfe v3: went back to modified wolfe + EDTA and switched CuSO4 to CUCl2</v>
      </c>
      <c r="E2272" s="10" t="str">
        <f>IFERROR(VLOOKUP(B2272,'Pre-Summary'!$AT$6:$AX$15,4,FALSE),"")</f>
        <v/>
      </c>
      <c r="F2272">
        <f>IFERROR(VLOOKUP(B2272,'Pre-Summary'!$AL$6:$AQ$13,6,FALSE),F2271)</f>
        <v>5.9405263157894746E-2</v>
      </c>
      <c r="G2272" t="str">
        <f>IFERROR(VLOOKUP(B2272,'Pre-Summary'!$AE$6:$AJ$85,3,FALSE),"")</f>
        <v/>
      </c>
      <c r="H2272" t="str">
        <f>IFERROR(VLOOKUP(B2272,'Pre-Summary'!$AE$6:$AJ$85,4,FALSE),"")</f>
        <v/>
      </c>
      <c r="I2272" t="str">
        <f>IFERROR(VLOOKUP(B2272,'Pre-Summary'!$AE$6:$AJ$85,5,FALSE),"")</f>
        <v/>
      </c>
      <c r="J2272" s="45" t="str">
        <f>IFERROR(VLOOKUP(B2272,'Pre-Summary'!$AE$6:$AJ$85,6, FALSE),"")</f>
        <v/>
      </c>
      <c r="K2272" s="45" t="str">
        <f>IFERROR(VLOOKUP(B2272,'Pre-Summary'!$DE$6:$DG$61,3,FALSE),"")</f>
        <v/>
      </c>
      <c r="L2272" s="45" t="str">
        <f>IFERROR(VLOOKUP(B2272,'Pre-Summary'!$CU$6:$CW$36,3,FALSE),"")</f>
        <v/>
      </c>
      <c r="M2272" s="45" t="str">
        <f>IFERROR(VLOOKUP(B2272,'Pre-Summary'!$BW$6:$BY$58,2,FALSE),"")</f>
        <v/>
      </c>
      <c r="N2272" s="45" t="str">
        <f>IFERROR(VLOOKUP(B2272,'Pre-Summary'!$CD$6:$CF$64,2,FALSE),"")</f>
        <v/>
      </c>
      <c r="O2272" s="99">
        <f>IFERROR(VLOOKUP(B2272,'Pre-Summary'!$BO$6:$BQ$48,3, FALSE),O2271)</f>
        <v>1.508</v>
      </c>
      <c r="P2272" s="99">
        <f>IFERROR(VLOOKUP(B2272,'Pre-Summary'!$BS$6:$BU$35,3,FALSE),P2271)</f>
        <v>0.379</v>
      </c>
      <c r="Q2272" s="54">
        <f t="shared" si="105"/>
        <v>3.9788918205804751</v>
      </c>
      <c r="R2272" s="53">
        <f>IFERROR(VLOOKUP(B2272,'Pre-Summary'!$BG$6:$BM$44,7,FALSE),R2273)</f>
        <v>9.7948682664336664E-2</v>
      </c>
      <c r="S2272" s="53">
        <f>IFERROR(VLOOKUP(B2272,'Pre-Summary'!$BG$6:$BM$44,6,FALSE),S2273)</f>
        <v>0.10614035087720526</v>
      </c>
      <c r="T2272" s="45" t="str">
        <f>IFERROR(VLOOKUP(B2272,'Pre-Summary'!$Y$6:$AC$83, 3,FALSE),"")</f>
        <v/>
      </c>
      <c r="U2272" s="45" t="str">
        <f>IFERROR(VLOOKUP(B2272,'Pre-Summary'!$Y$6:$AC$83, 4,FALSE),"")</f>
        <v/>
      </c>
      <c r="V2272" t="str">
        <f>IFERROR(VLOOKUP(B2272,'Pre-Summary'!$Y$6:$AC$83, 5,FALSE),"")</f>
        <v/>
      </c>
      <c r="W2272" s="45" t="str">
        <f>IFERROR(VLOOKUP(B2272,'Pre-Summary'!$Y$6:$AD$83,6,FALSE),"")</f>
        <v/>
      </c>
      <c r="X2272" t="str">
        <f>IFERROR(VLOOKUP('Pre-Summary'!$DB$6:$DD$63,3,FALSE),"")</f>
        <v/>
      </c>
      <c r="Y2272" t="str">
        <f>IFERROR(VLOOKUP(B2272,'Pre-Summary'!$CR$6:$CT$36,3,FALSE),"")</f>
        <v/>
      </c>
      <c r="Z2272" s="45" t="str">
        <f>IFERROR(VLOOKUP(B2272,'Pre-Summary'!$BZ$6:$CB$63,2,FALSE),"")</f>
        <v/>
      </c>
      <c r="AA2272" s="45" t="str">
        <f>IFERROR(VLOOKUP(B2272,'Pre-Summary'!$CG$6:$CI$70,2,FALSE),"")</f>
        <v/>
      </c>
      <c r="AB2272" s="99">
        <f>IFERROR(VLOOKUP(B2272,'Pre-Summary'!$A$6:$P$178,9,FALSE),AB2273)</f>
        <v>0.3510413030600153</v>
      </c>
      <c r="AC2272" s="10">
        <f>IFERROR(VLOOKUP(Summary!B2272,'Pre-Summary'!$A$6:$P$184,5, FALSE)/100,AC2273)</f>
        <v>0.95838633333333334</v>
      </c>
      <c r="AD2272" s="10">
        <f>IFERROR(VLOOKUP(Summary!B2272,'Pre-Summary'!$A$6:$P$184,3, FALSE)/100,AD2273)</f>
        <v>2.8433333333333331E-2</v>
      </c>
      <c r="AE2272" s="10">
        <f>IFERROR(VLOOKUP(Summary!B2272,'Pre-Summary'!$A$6:$P$184,7, FALSE)/100,AE2273)</f>
        <v>1.3180333333333334E-2</v>
      </c>
      <c r="AF2272" s="99">
        <f t="shared" si="106"/>
        <v>9.9812743836731003E-3</v>
      </c>
      <c r="AG2272" s="99">
        <f t="shared" si="107"/>
        <v>4.6268413880986882E-3</v>
      </c>
      <c r="AH2272" s="10" t="str">
        <f>IFERROR(VLOOKUP(B2272,'Pre-Summary'!$AZ$6:$BE$65,3,FALSE),"")</f>
        <v/>
      </c>
      <c r="AI2272" s="10" t="str">
        <f>IFERROR(VLOOKUP(B2272,'Pre-Summary'!$AZ$6:$BE$65,5,FALSE),"")</f>
        <v/>
      </c>
      <c r="AJ2272" s="10" t="str">
        <f>IFERROR(VLOOKUP(B2272,'Pre-Summary'!$AZ$6:$BE$65,4,FALSE),"")</f>
        <v/>
      </c>
      <c r="AK2272" s="10" t="str">
        <f>IFERROR(VLOOKUP(B2272,'Pre-Summary'!$AZ$6:$BE$65,6,FALSE),"")</f>
        <v/>
      </c>
      <c r="AL2272" s="10" t="str">
        <f>IFERROR(VLOOKUP(B2272,'Pre-Summary'!$BG$6:$BL$44,3,FALSE),"")</f>
        <v/>
      </c>
      <c r="AM2272" s="10" t="str">
        <f>IFERROR(VLOOKUP(B2272,'Pre-Summary'!$BG$6:$BL$44,4,FALSE),"")</f>
        <v/>
      </c>
    </row>
    <row r="2273" spans="2:39" ht="15" customHeight="1" x14ac:dyDescent="0.3">
      <c r="B2273">
        <v>227</v>
      </c>
      <c r="C2273" t="str">
        <f>IFERROR(VLOOKUP(B2273,'Pre-Summary'!$DI$6:$DM$23,4,FALSE),"")</f>
        <v/>
      </c>
      <c r="D2273" s="10" t="str">
        <f>IFERROR(VLOOKUP(B2273,'Pre-Summary'!$AT$6:$AX$14,5,FALSE),D2272)</f>
        <v>Wolfe v3: went back to modified wolfe + EDTA and switched CuSO4 to CUCl2</v>
      </c>
      <c r="E2273" s="10" t="str">
        <f>IFERROR(VLOOKUP(B2273,'Pre-Summary'!$AT$6:$AX$15,4,FALSE),"")</f>
        <v/>
      </c>
      <c r="F2273">
        <f>IFERROR(VLOOKUP(B2273,'Pre-Summary'!$AL$6:$AQ$13,6,FALSE),F2272)</f>
        <v>5.9405263157894746E-2</v>
      </c>
      <c r="G2273" t="str">
        <f>IFERROR(VLOOKUP(B2273,'Pre-Summary'!$AE$6:$AJ$85,3,FALSE),"")</f>
        <v/>
      </c>
      <c r="H2273" t="str">
        <f>IFERROR(VLOOKUP(B2273,'Pre-Summary'!$AE$6:$AJ$85,4,FALSE),"")</f>
        <v/>
      </c>
      <c r="I2273" t="str">
        <f>IFERROR(VLOOKUP(B2273,'Pre-Summary'!$AE$6:$AJ$85,5,FALSE),"")</f>
        <v/>
      </c>
      <c r="J2273" s="45" t="str">
        <f>IFERROR(VLOOKUP(B2273,'Pre-Summary'!$AE$6:$AJ$85,6, FALSE),"")</f>
        <v/>
      </c>
      <c r="K2273" s="45" t="str">
        <f>IFERROR(VLOOKUP(B2273,'Pre-Summary'!$DE$6:$DG$61,3,FALSE),"")</f>
        <v/>
      </c>
      <c r="L2273" s="45" t="str">
        <f>IFERROR(VLOOKUP(B2273,'Pre-Summary'!$CU$6:$CW$36,3,FALSE),"")</f>
        <v/>
      </c>
      <c r="M2273" s="45" t="str">
        <f>IFERROR(VLOOKUP(B2273,'Pre-Summary'!$BW$6:$BY$58,2,FALSE),"")</f>
        <v/>
      </c>
      <c r="N2273" s="45" t="str">
        <f>IFERROR(VLOOKUP(B2273,'Pre-Summary'!$CD$6:$CF$64,2,FALSE),"")</f>
        <v/>
      </c>
      <c r="O2273" s="99">
        <f>IFERROR(VLOOKUP(B2273,'Pre-Summary'!$BO$6:$BQ$48,3, FALSE),O2272)</f>
        <v>1.508</v>
      </c>
      <c r="P2273" s="99">
        <f>IFERROR(VLOOKUP(B2273,'Pre-Summary'!$BS$6:$BU$35,3,FALSE),P2272)</f>
        <v>0.379</v>
      </c>
      <c r="Q2273" s="54">
        <f t="shared" si="105"/>
        <v>3.9788918205804751</v>
      </c>
      <c r="R2273" s="53">
        <f>IFERROR(VLOOKUP(B2273,'Pre-Summary'!$BG$6:$BM$44,7,FALSE),R2274)</f>
        <v>9.7948682664336664E-2</v>
      </c>
      <c r="S2273" s="53">
        <f>IFERROR(VLOOKUP(B2273,'Pre-Summary'!$BG$6:$BM$44,6,FALSE),S2274)</f>
        <v>0.10614035087720526</v>
      </c>
      <c r="T2273" s="45" t="str">
        <f>IFERROR(VLOOKUP(B2273,'Pre-Summary'!$Y$6:$AC$83, 3,FALSE),"")</f>
        <v/>
      </c>
      <c r="U2273" s="45" t="str">
        <f>IFERROR(VLOOKUP(B2273,'Pre-Summary'!$Y$6:$AC$83, 4,FALSE),"")</f>
        <v/>
      </c>
      <c r="V2273" t="str">
        <f>IFERROR(VLOOKUP(B2273,'Pre-Summary'!$Y$6:$AC$83, 5,FALSE),"")</f>
        <v/>
      </c>
      <c r="W2273" s="45" t="str">
        <f>IFERROR(VLOOKUP(B2273,'Pre-Summary'!$Y$6:$AD$83,6,FALSE),"")</f>
        <v/>
      </c>
      <c r="X2273" t="str">
        <f>IFERROR(VLOOKUP('Pre-Summary'!$DB$6:$DD$63,3,FALSE),"")</f>
        <v/>
      </c>
      <c r="Y2273" t="str">
        <f>IFERROR(VLOOKUP(B2273,'Pre-Summary'!$CR$6:$CT$36,3,FALSE),"")</f>
        <v/>
      </c>
      <c r="Z2273" s="45" t="str">
        <f>IFERROR(VLOOKUP(B2273,'Pre-Summary'!$BZ$6:$CB$63,2,FALSE),"")</f>
        <v/>
      </c>
      <c r="AA2273" s="45" t="str">
        <f>IFERROR(VLOOKUP(B2273,'Pre-Summary'!$CG$6:$CI$70,2,FALSE),"")</f>
        <v/>
      </c>
      <c r="AB2273" s="99">
        <f>IFERROR(VLOOKUP(B2273,'Pre-Summary'!$A$6:$P$178,9,FALSE),AB2274)</f>
        <v>0.3510413030600153</v>
      </c>
      <c r="AC2273" s="10">
        <f>IFERROR(VLOOKUP(Summary!B2273,'Pre-Summary'!$A$6:$P$184,5, FALSE)/100,AC2274)</f>
        <v>0.95838633333333334</v>
      </c>
      <c r="AD2273" s="10">
        <f>IFERROR(VLOOKUP(Summary!B2273,'Pre-Summary'!$A$6:$P$184,3, FALSE)/100,AD2274)</f>
        <v>2.8433333333333331E-2</v>
      </c>
      <c r="AE2273" s="10">
        <f>IFERROR(VLOOKUP(Summary!B2273,'Pre-Summary'!$A$6:$P$184,7, FALSE)/100,AE2274)</f>
        <v>1.3180333333333334E-2</v>
      </c>
      <c r="AF2273" s="99">
        <f t="shared" si="106"/>
        <v>9.9812743836731003E-3</v>
      </c>
      <c r="AG2273" s="99">
        <f t="shared" si="107"/>
        <v>4.6268413880986882E-3</v>
      </c>
      <c r="AH2273" s="10" t="str">
        <f>IFERROR(VLOOKUP(B2273,'Pre-Summary'!$AZ$6:$BE$65,3,FALSE),"")</f>
        <v/>
      </c>
      <c r="AI2273" s="10" t="str">
        <f>IFERROR(VLOOKUP(B2273,'Pre-Summary'!$AZ$6:$BE$65,5,FALSE),"")</f>
        <v/>
      </c>
      <c r="AJ2273" s="10" t="str">
        <f>IFERROR(VLOOKUP(B2273,'Pre-Summary'!$AZ$6:$BE$65,4,FALSE),"")</f>
        <v/>
      </c>
      <c r="AK2273" s="10" t="str">
        <f>IFERROR(VLOOKUP(B2273,'Pre-Summary'!$AZ$6:$BE$65,6,FALSE),"")</f>
        <v/>
      </c>
      <c r="AL2273" s="10" t="str">
        <f>IFERROR(VLOOKUP(B2273,'Pre-Summary'!$BG$6:$BL$44,3,FALSE),"")</f>
        <v/>
      </c>
      <c r="AM2273" s="10" t="str">
        <f>IFERROR(VLOOKUP(B2273,'Pre-Summary'!$BG$6:$BL$44,4,FALSE),"")</f>
        <v/>
      </c>
    </row>
    <row r="2274" spans="2:39" ht="15" customHeight="1" x14ac:dyDescent="0.3">
      <c r="B2274">
        <v>227.1</v>
      </c>
      <c r="C2274" t="str">
        <f>IFERROR(VLOOKUP(B2274,'Pre-Summary'!$DI$6:$DM$23,4,FALSE),"")</f>
        <v/>
      </c>
      <c r="D2274" s="10" t="str">
        <f>IFERROR(VLOOKUP(B2274,'Pre-Summary'!$AT$6:$AX$14,5,FALSE),D2273)</f>
        <v>Wolfe v3: went back to modified wolfe + EDTA and switched CuSO4 to CUCl2</v>
      </c>
      <c r="E2274" s="10" t="str">
        <f>IFERROR(VLOOKUP(B2274,'Pre-Summary'!$AT$6:$AX$15,4,FALSE),"")</f>
        <v/>
      </c>
      <c r="F2274">
        <f>IFERROR(VLOOKUP(B2274,'Pre-Summary'!$AL$6:$AQ$13,6,FALSE),F2273)</f>
        <v>5.9405263157894746E-2</v>
      </c>
      <c r="G2274" t="str">
        <f>IFERROR(VLOOKUP(B2274,'Pre-Summary'!$AE$6:$AJ$85,3,FALSE),"")</f>
        <v/>
      </c>
      <c r="H2274" t="str">
        <f>IFERROR(VLOOKUP(B2274,'Pre-Summary'!$AE$6:$AJ$85,4,FALSE),"")</f>
        <v/>
      </c>
      <c r="I2274" t="str">
        <f>IFERROR(VLOOKUP(B2274,'Pre-Summary'!$AE$6:$AJ$85,5,FALSE),"")</f>
        <v/>
      </c>
      <c r="J2274" s="45" t="str">
        <f>IFERROR(VLOOKUP(B2274,'Pre-Summary'!$AE$6:$AJ$85,6, FALSE),"")</f>
        <v/>
      </c>
      <c r="K2274" s="45" t="str">
        <f>IFERROR(VLOOKUP(B2274,'Pre-Summary'!$DE$6:$DG$61,3,FALSE),"")</f>
        <v/>
      </c>
      <c r="L2274" s="45" t="str">
        <f>IFERROR(VLOOKUP(B2274,'Pre-Summary'!$CU$6:$CW$36,3,FALSE),"")</f>
        <v/>
      </c>
      <c r="M2274" s="45" t="str">
        <f>IFERROR(VLOOKUP(B2274,'Pre-Summary'!$BW$6:$BY$58,2,FALSE),"")</f>
        <v/>
      </c>
      <c r="N2274" s="45" t="str">
        <f>IFERROR(VLOOKUP(B2274,'Pre-Summary'!$CD$6:$CF$64,2,FALSE),"")</f>
        <v/>
      </c>
      <c r="O2274" s="99">
        <f>IFERROR(VLOOKUP(B2274,'Pre-Summary'!$BO$6:$BQ$48,3, FALSE),O2273)</f>
        <v>1.508</v>
      </c>
      <c r="P2274" s="99">
        <f>IFERROR(VLOOKUP(B2274,'Pre-Summary'!$BS$6:$BU$35,3,FALSE),P2273)</f>
        <v>0.379</v>
      </c>
      <c r="Q2274" s="54">
        <f t="shared" si="105"/>
        <v>3.9788918205804751</v>
      </c>
      <c r="R2274" s="53">
        <f>IFERROR(VLOOKUP(B2274,'Pre-Summary'!$BG$6:$BM$44,7,FALSE),R2275)</f>
        <v>9.7948682664336664E-2</v>
      </c>
      <c r="S2274" s="53">
        <f>IFERROR(VLOOKUP(B2274,'Pre-Summary'!$BG$6:$BM$44,6,FALSE),S2275)</f>
        <v>0.10614035087720526</v>
      </c>
      <c r="T2274" s="45" t="str">
        <f>IFERROR(VLOOKUP(B2274,'Pre-Summary'!$Y$6:$AC$83, 3,FALSE),"")</f>
        <v/>
      </c>
      <c r="U2274" s="45" t="str">
        <f>IFERROR(VLOOKUP(B2274,'Pre-Summary'!$Y$6:$AC$83, 4,FALSE),"")</f>
        <v/>
      </c>
      <c r="V2274" t="str">
        <f>IFERROR(VLOOKUP(B2274,'Pre-Summary'!$Y$6:$AC$83, 5,FALSE),"")</f>
        <v/>
      </c>
      <c r="W2274" s="45" t="str">
        <f>IFERROR(VLOOKUP(B2274,'Pre-Summary'!$Y$6:$AD$83,6,FALSE),"")</f>
        <v/>
      </c>
      <c r="X2274" t="str">
        <f>IFERROR(VLOOKUP('Pre-Summary'!$DB$6:$DD$63,3,FALSE),"")</f>
        <v/>
      </c>
      <c r="Y2274" t="str">
        <f>IFERROR(VLOOKUP(B2274,'Pre-Summary'!$CR$6:$CT$36,3,FALSE),"")</f>
        <v/>
      </c>
      <c r="Z2274" s="45" t="str">
        <f>IFERROR(VLOOKUP(B2274,'Pre-Summary'!$BZ$6:$CB$63,2,FALSE),"")</f>
        <v/>
      </c>
      <c r="AA2274" s="45" t="str">
        <f>IFERROR(VLOOKUP(B2274,'Pre-Summary'!$CG$6:$CI$70,2,FALSE),"")</f>
        <v/>
      </c>
      <c r="AB2274" s="99">
        <f>IFERROR(VLOOKUP(B2274,'Pre-Summary'!$A$6:$P$178,9,FALSE),AB2275)</f>
        <v>0.3510413030600153</v>
      </c>
      <c r="AC2274" s="10">
        <f>IFERROR(VLOOKUP(Summary!B2274,'Pre-Summary'!$A$6:$P$184,5, FALSE)/100,AC2275)</f>
        <v>0.95838633333333334</v>
      </c>
      <c r="AD2274" s="10">
        <f>IFERROR(VLOOKUP(Summary!B2274,'Pre-Summary'!$A$6:$P$184,3, FALSE)/100,AD2275)</f>
        <v>2.8433333333333331E-2</v>
      </c>
      <c r="AE2274" s="10">
        <f>IFERROR(VLOOKUP(Summary!B2274,'Pre-Summary'!$A$6:$P$184,7, FALSE)/100,AE2275)</f>
        <v>1.3180333333333334E-2</v>
      </c>
      <c r="AF2274" s="99">
        <f t="shared" si="106"/>
        <v>9.9812743836731003E-3</v>
      </c>
      <c r="AG2274" s="99">
        <f t="shared" si="107"/>
        <v>4.6268413880986882E-3</v>
      </c>
      <c r="AH2274" s="10" t="str">
        <f>IFERROR(VLOOKUP(B2274,'Pre-Summary'!$AZ$6:$BE$65,3,FALSE),"")</f>
        <v/>
      </c>
      <c r="AI2274" s="10" t="str">
        <f>IFERROR(VLOOKUP(B2274,'Pre-Summary'!$AZ$6:$BE$65,5,FALSE),"")</f>
        <v/>
      </c>
      <c r="AJ2274" s="10" t="str">
        <f>IFERROR(VLOOKUP(B2274,'Pre-Summary'!$AZ$6:$BE$65,4,FALSE),"")</f>
        <v/>
      </c>
      <c r="AK2274" s="10" t="str">
        <f>IFERROR(VLOOKUP(B2274,'Pre-Summary'!$AZ$6:$BE$65,6,FALSE),"")</f>
        <v/>
      </c>
      <c r="AL2274" s="10" t="str">
        <f>IFERROR(VLOOKUP(B2274,'Pre-Summary'!$BG$6:$BL$44,3,FALSE),"")</f>
        <v/>
      </c>
      <c r="AM2274" s="10" t="str">
        <f>IFERROR(VLOOKUP(B2274,'Pre-Summary'!$BG$6:$BL$44,4,FALSE),"")</f>
        <v/>
      </c>
    </row>
    <row r="2275" spans="2:39" ht="15" customHeight="1" x14ac:dyDescent="0.3">
      <c r="B2275">
        <v>227.2</v>
      </c>
      <c r="C2275" t="str">
        <f>IFERROR(VLOOKUP(B2275,'Pre-Summary'!$DI$6:$DM$23,4,FALSE),"")</f>
        <v/>
      </c>
      <c r="D2275" s="10" t="str">
        <f>IFERROR(VLOOKUP(B2275,'Pre-Summary'!$AT$6:$AX$14,5,FALSE),D2274)</f>
        <v>Wolfe v3: went back to modified wolfe + EDTA and switched CuSO4 to CUCl2</v>
      </c>
      <c r="E2275" s="10" t="str">
        <f>IFERROR(VLOOKUP(B2275,'Pre-Summary'!$AT$6:$AX$15,4,FALSE),"")</f>
        <v/>
      </c>
      <c r="F2275">
        <f>IFERROR(VLOOKUP(B2275,'Pre-Summary'!$AL$6:$AQ$13,6,FALSE),F2274)</f>
        <v>5.9405263157894746E-2</v>
      </c>
      <c r="G2275" t="str">
        <f>IFERROR(VLOOKUP(B2275,'Pre-Summary'!$AE$6:$AJ$85,3,FALSE),"")</f>
        <v/>
      </c>
      <c r="H2275" t="str">
        <f>IFERROR(VLOOKUP(B2275,'Pre-Summary'!$AE$6:$AJ$85,4,FALSE),"")</f>
        <v/>
      </c>
      <c r="I2275" t="str">
        <f>IFERROR(VLOOKUP(B2275,'Pre-Summary'!$AE$6:$AJ$85,5,FALSE),"")</f>
        <v/>
      </c>
      <c r="J2275" s="45" t="str">
        <f>IFERROR(VLOOKUP(B2275,'Pre-Summary'!$AE$6:$AJ$85,6, FALSE),"")</f>
        <v/>
      </c>
      <c r="K2275" s="45" t="str">
        <f>IFERROR(VLOOKUP(B2275,'Pre-Summary'!$DE$6:$DG$61,3,FALSE),"")</f>
        <v/>
      </c>
      <c r="L2275" s="45" t="str">
        <f>IFERROR(VLOOKUP(B2275,'Pre-Summary'!$CU$6:$CW$36,3,FALSE),"")</f>
        <v/>
      </c>
      <c r="M2275" s="45" t="str">
        <f>IFERROR(VLOOKUP(B2275,'Pre-Summary'!$BW$6:$BY$58,2,FALSE),"")</f>
        <v/>
      </c>
      <c r="N2275" s="45" t="str">
        <f>IFERROR(VLOOKUP(B2275,'Pre-Summary'!$CD$6:$CF$64,2,FALSE),"")</f>
        <v/>
      </c>
      <c r="O2275" s="99">
        <f>IFERROR(VLOOKUP(B2275,'Pre-Summary'!$BO$6:$BQ$48,3, FALSE),O2274)</f>
        <v>1.508</v>
      </c>
      <c r="P2275" s="99">
        <f>IFERROR(VLOOKUP(B2275,'Pre-Summary'!$BS$6:$BU$35,3,FALSE),P2274)</f>
        <v>0.379</v>
      </c>
      <c r="Q2275" s="54">
        <f t="shared" si="105"/>
        <v>3.9788918205804751</v>
      </c>
      <c r="R2275" s="53">
        <f>IFERROR(VLOOKUP(B2275,'Pre-Summary'!$BG$6:$BM$44,7,FALSE),R2276)</f>
        <v>9.7948682664336664E-2</v>
      </c>
      <c r="S2275" s="53">
        <f>IFERROR(VLOOKUP(B2275,'Pre-Summary'!$BG$6:$BM$44,6,FALSE),S2276)</f>
        <v>0.10614035087720526</v>
      </c>
      <c r="T2275" s="45" t="str">
        <f>IFERROR(VLOOKUP(B2275,'Pre-Summary'!$Y$6:$AC$83, 3,FALSE),"")</f>
        <v/>
      </c>
      <c r="U2275" s="45" t="str">
        <f>IFERROR(VLOOKUP(B2275,'Pre-Summary'!$Y$6:$AC$83, 4,FALSE),"")</f>
        <v/>
      </c>
      <c r="V2275" t="str">
        <f>IFERROR(VLOOKUP(B2275,'Pre-Summary'!$Y$6:$AC$83, 5,FALSE),"")</f>
        <v/>
      </c>
      <c r="W2275" s="45" t="str">
        <f>IFERROR(VLOOKUP(B2275,'Pre-Summary'!$Y$6:$AD$83,6,FALSE),"")</f>
        <v/>
      </c>
      <c r="X2275" t="str">
        <f>IFERROR(VLOOKUP('Pre-Summary'!$DB$6:$DD$63,3,FALSE),"")</f>
        <v/>
      </c>
      <c r="Y2275" t="str">
        <f>IFERROR(VLOOKUP(B2275,'Pre-Summary'!$CR$6:$CT$36,3,FALSE),"")</f>
        <v/>
      </c>
      <c r="Z2275" s="45" t="str">
        <f>IFERROR(VLOOKUP(B2275,'Pre-Summary'!$BZ$6:$CB$63,2,FALSE),"")</f>
        <v/>
      </c>
      <c r="AA2275" s="45" t="str">
        <f>IFERROR(VLOOKUP(B2275,'Pre-Summary'!$CG$6:$CI$70,2,FALSE),"")</f>
        <v/>
      </c>
      <c r="AB2275" s="99">
        <f>IFERROR(VLOOKUP(B2275,'Pre-Summary'!$A$6:$P$178,9,FALSE),AB2276)</f>
        <v>0.3510413030600153</v>
      </c>
      <c r="AC2275" s="10">
        <f>IFERROR(VLOOKUP(Summary!B2275,'Pre-Summary'!$A$6:$P$184,5, FALSE)/100,AC2276)</f>
        <v>0.95838633333333334</v>
      </c>
      <c r="AD2275" s="10">
        <f>IFERROR(VLOOKUP(Summary!B2275,'Pre-Summary'!$A$6:$P$184,3, FALSE)/100,AD2276)</f>
        <v>2.8433333333333331E-2</v>
      </c>
      <c r="AE2275" s="10">
        <f>IFERROR(VLOOKUP(Summary!B2275,'Pre-Summary'!$A$6:$P$184,7, FALSE)/100,AE2276)</f>
        <v>1.3180333333333334E-2</v>
      </c>
      <c r="AF2275" s="99">
        <f t="shared" si="106"/>
        <v>9.9812743836731003E-3</v>
      </c>
      <c r="AG2275" s="99">
        <f t="shared" si="107"/>
        <v>4.6268413880986882E-3</v>
      </c>
      <c r="AH2275" s="10" t="str">
        <f>IFERROR(VLOOKUP(B2275,'Pre-Summary'!$AZ$6:$BE$65,3,FALSE),"")</f>
        <v/>
      </c>
      <c r="AI2275" s="10" t="str">
        <f>IFERROR(VLOOKUP(B2275,'Pre-Summary'!$AZ$6:$BE$65,5,FALSE),"")</f>
        <v/>
      </c>
      <c r="AJ2275" s="10" t="str">
        <f>IFERROR(VLOOKUP(B2275,'Pre-Summary'!$AZ$6:$BE$65,4,FALSE),"")</f>
        <v/>
      </c>
      <c r="AK2275" s="10" t="str">
        <f>IFERROR(VLOOKUP(B2275,'Pre-Summary'!$AZ$6:$BE$65,6,FALSE),"")</f>
        <v/>
      </c>
      <c r="AL2275" s="10" t="str">
        <f>IFERROR(VLOOKUP(B2275,'Pre-Summary'!$BG$6:$BL$44,3,FALSE),"")</f>
        <v/>
      </c>
      <c r="AM2275" s="10" t="str">
        <f>IFERROR(VLOOKUP(B2275,'Pre-Summary'!$BG$6:$BL$44,4,FALSE),"")</f>
        <v/>
      </c>
    </row>
    <row r="2276" spans="2:39" ht="15" customHeight="1" x14ac:dyDescent="0.3">
      <c r="B2276">
        <v>227.3</v>
      </c>
      <c r="C2276" t="str">
        <f>IFERROR(VLOOKUP(B2276,'Pre-Summary'!$DI$6:$DM$23,4,FALSE),"")</f>
        <v/>
      </c>
      <c r="D2276" s="10" t="str">
        <f>IFERROR(VLOOKUP(B2276,'Pre-Summary'!$AT$6:$AX$14,5,FALSE),D2275)</f>
        <v>Wolfe v3: went back to modified wolfe + EDTA and switched CuSO4 to CUCl2</v>
      </c>
      <c r="E2276" s="10" t="str">
        <f>IFERROR(VLOOKUP(B2276,'Pre-Summary'!$AT$6:$AX$15,4,FALSE),"")</f>
        <v/>
      </c>
      <c r="F2276">
        <f>IFERROR(VLOOKUP(B2276,'Pre-Summary'!$AL$6:$AQ$13,6,FALSE),F2275)</f>
        <v>5.9405263157894746E-2</v>
      </c>
      <c r="G2276" t="str">
        <f>IFERROR(VLOOKUP(B2276,'Pre-Summary'!$AE$6:$AJ$85,3,FALSE),"")</f>
        <v/>
      </c>
      <c r="H2276" t="str">
        <f>IFERROR(VLOOKUP(B2276,'Pre-Summary'!$AE$6:$AJ$85,4,FALSE),"")</f>
        <v/>
      </c>
      <c r="I2276" t="str">
        <f>IFERROR(VLOOKUP(B2276,'Pre-Summary'!$AE$6:$AJ$85,5,FALSE),"")</f>
        <v/>
      </c>
      <c r="J2276" s="45" t="str">
        <f>IFERROR(VLOOKUP(B2276,'Pre-Summary'!$AE$6:$AJ$85,6, FALSE),"")</f>
        <v/>
      </c>
      <c r="K2276" s="45" t="str">
        <f>IFERROR(VLOOKUP(B2276,'Pre-Summary'!$DE$6:$DG$61,3,FALSE),"")</f>
        <v/>
      </c>
      <c r="L2276" s="45" t="str">
        <f>IFERROR(VLOOKUP(B2276,'Pre-Summary'!$CU$6:$CW$36,3,FALSE),"")</f>
        <v/>
      </c>
      <c r="M2276" s="45" t="str">
        <f>IFERROR(VLOOKUP(B2276,'Pre-Summary'!$BW$6:$BY$58,2,FALSE),"")</f>
        <v/>
      </c>
      <c r="N2276" s="45" t="str">
        <f>IFERROR(VLOOKUP(B2276,'Pre-Summary'!$CD$6:$CF$64,2,FALSE),"")</f>
        <v/>
      </c>
      <c r="O2276" s="99">
        <f>IFERROR(VLOOKUP(B2276,'Pre-Summary'!$BO$6:$BQ$48,3, FALSE),O2275)</f>
        <v>1.508</v>
      </c>
      <c r="P2276" s="99">
        <f>IFERROR(VLOOKUP(B2276,'Pre-Summary'!$BS$6:$BU$35,3,FALSE),P2275)</f>
        <v>0.379</v>
      </c>
      <c r="Q2276" s="54">
        <f t="shared" si="105"/>
        <v>3.9788918205804751</v>
      </c>
      <c r="R2276" s="53">
        <f>IFERROR(VLOOKUP(B2276,'Pre-Summary'!$BG$6:$BM$44,7,FALSE),R2277)</f>
        <v>9.7948682664336664E-2</v>
      </c>
      <c r="S2276" s="53">
        <f>IFERROR(VLOOKUP(B2276,'Pre-Summary'!$BG$6:$BM$44,6,FALSE),S2277)</f>
        <v>0.10614035087720526</v>
      </c>
      <c r="T2276" s="45" t="str">
        <f>IFERROR(VLOOKUP(B2276,'Pre-Summary'!$Y$6:$AC$83, 3,FALSE),"")</f>
        <v/>
      </c>
      <c r="U2276" s="45" t="str">
        <f>IFERROR(VLOOKUP(B2276,'Pre-Summary'!$Y$6:$AC$83, 4,FALSE),"")</f>
        <v/>
      </c>
      <c r="V2276" t="str">
        <f>IFERROR(VLOOKUP(B2276,'Pre-Summary'!$Y$6:$AC$83, 5,FALSE),"")</f>
        <v/>
      </c>
      <c r="W2276" s="45" t="str">
        <f>IFERROR(VLOOKUP(B2276,'Pre-Summary'!$Y$6:$AD$83,6,FALSE),"")</f>
        <v/>
      </c>
      <c r="X2276" t="str">
        <f>IFERROR(VLOOKUP('Pre-Summary'!$DB$6:$DD$63,3,FALSE),"")</f>
        <v/>
      </c>
      <c r="Y2276" t="str">
        <f>IFERROR(VLOOKUP(B2276,'Pre-Summary'!$CR$6:$CT$36,3,FALSE),"")</f>
        <v/>
      </c>
      <c r="Z2276" s="45" t="str">
        <f>IFERROR(VLOOKUP(B2276,'Pre-Summary'!$BZ$6:$CB$63,2,FALSE),"")</f>
        <v/>
      </c>
      <c r="AA2276" s="45" t="str">
        <f>IFERROR(VLOOKUP(B2276,'Pre-Summary'!$CG$6:$CI$70,2,FALSE),"")</f>
        <v/>
      </c>
      <c r="AB2276" s="99">
        <f>IFERROR(VLOOKUP(B2276,'Pre-Summary'!$A$6:$P$178,9,FALSE),AB2277)</f>
        <v>0.3510413030600153</v>
      </c>
      <c r="AC2276" s="10">
        <f>IFERROR(VLOOKUP(Summary!B2276,'Pre-Summary'!$A$6:$P$184,5, FALSE)/100,AC2277)</f>
        <v>0.95838633333333334</v>
      </c>
      <c r="AD2276" s="10">
        <f>IFERROR(VLOOKUP(Summary!B2276,'Pre-Summary'!$A$6:$P$184,3, FALSE)/100,AD2277)</f>
        <v>2.8433333333333331E-2</v>
      </c>
      <c r="AE2276" s="10">
        <f>IFERROR(VLOOKUP(Summary!B2276,'Pre-Summary'!$A$6:$P$184,7, FALSE)/100,AE2277)</f>
        <v>1.3180333333333334E-2</v>
      </c>
      <c r="AF2276" s="99">
        <f t="shared" si="106"/>
        <v>9.9812743836731003E-3</v>
      </c>
      <c r="AG2276" s="99">
        <f t="shared" si="107"/>
        <v>4.6268413880986882E-3</v>
      </c>
      <c r="AH2276" s="10" t="str">
        <f>IFERROR(VLOOKUP(B2276,'Pre-Summary'!$AZ$6:$BE$65,3,FALSE),"")</f>
        <v/>
      </c>
      <c r="AI2276" s="10" t="str">
        <f>IFERROR(VLOOKUP(B2276,'Pre-Summary'!$AZ$6:$BE$65,5,FALSE),"")</f>
        <v/>
      </c>
      <c r="AJ2276" s="10" t="str">
        <f>IFERROR(VLOOKUP(B2276,'Pre-Summary'!$AZ$6:$BE$65,4,FALSE),"")</f>
        <v/>
      </c>
      <c r="AK2276" s="10" t="str">
        <f>IFERROR(VLOOKUP(B2276,'Pre-Summary'!$AZ$6:$BE$65,6,FALSE),"")</f>
        <v/>
      </c>
      <c r="AL2276" s="10" t="str">
        <f>IFERROR(VLOOKUP(B2276,'Pre-Summary'!$BG$6:$BL$44,3,FALSE),"")</f>
        <v/>
      </c>
      <c r="AM2276" s="10" t="str">
        <f>IFERROR(VLOOKUP(B2276,'Pre-Summary'!$BG$6:$BL$44,4,FALSE),"")</f>
        <v/>
      </c>
    </row>
    <row r="2277" spans="2:39" ht="15" customHeight="1" x14ac:dyDescent="0.3">
      <c r="B2277">
        <v>227.4</v>
      </c>
      <c r="C2277" t="str">
        <f>IFERROR(VLOOKUP(B2277,'Pre-Summary'!$DI$6:$DM$23,4,FALSE),"")</f>
        <v/>
      </c>
      <c r="D2277" s="10" t="str">
        <f>IFERROR(VLOOKUP(B2277,'Pre-Summary'!$AT$6:$AX$14,5,FALSE),D2276)</f>
        <v>Wolfe v3: went back to modified wolfe + EDTA and switched CuSO4 to CUCl2</v>
      </c>
      <c r="E2277" s="10" t="str">
        <f>IFERROR(VLOOKUP(B2277,'Pre-Summary'!$AT$6:$AX$15,4,FALSE),"")</f>
        <v/>
      </c>
      <c r="F2277">
        <f>IFERROR(VLOOKUP(B2277,'Pre-Summary'!$AL$6:$AQ$13,6,FALSE),F2276)</f>
        <v>5.9405263157894746E-2</v>
      </c>
      <c r="G2277" t="str">
        <f>IFERROR(VLOOKUP(B2277,'Pre-Summary'!$AE$6:$AJ$85,3,FALSE),"")</f>
        <v/>
      </c>
      <c r="H2277" t="str">
        <f>IFERROR(VLOOKUP(B2277,'Pre-Summary'!$AE$6:$AJ$85,4,FALSE),"")</f>
        <v/>
      </c>
      <c r="I2277" t="str">
        <f>IFERROR(VLOOKUP(B2277,'Pre-Summary'!$AE$6:$AJ$85,5,FALSE),"")</f>
        <v/>
      </c>
      <c r="J2277" s="45" t="str">
        <f>IFERROR(VLOOKUP(B2277,'Pre-Summary'!$AE$6:$AJ$85,6, FALSE),"")</f>
        <v/>
      </c>
      <c r="K2277" s="45" t="str">
        <f>IFERROR(VLOOKUP(B2277,'Pre-Summary'!$DE$6:$DG$61,3,FALSE),"")</f>
        <v/>
      </c>
      <c r="L2277" s="45" t="str">
        <f>IFERROR(VLOOKUP(B2277,'Pre-Summary'!$CU$6:$CW$36,3,FALSE),"")</f>
        <v/>
      </c>
      <c r="M2277" s="45" t="str">
        <f>IFERROR(VLOOKUP(B2277,'Pre-Summary'!$BW$6:$BY$58,2,FALSE),"")</f>
        <v/>
      </c>
      <c r="N2277" s="45" t="str">
        <f>IFERROR(VLOOKUP(B2277,'Pre-Summary'!$CD$6:$CF$64,2,FALSE),"")</f>
        <v/>
      </c>
      <c r="O2277" s="99">
        <f>IFERROR(VLOOKUP(B2277,'Pre-Summary'!$BO$6:$BQ$48,3, FALSE),O2276)</f>
        <v>1.508</v>
      </c>
      <c r="P2277" s="99">
        <f>IFERROR(VLOOKUP(B2277,'Pre-Summary'!$BS$6:$BU$35,3,FALSE),P2276)</f>
        <v>0.379</v>
      </c>
      <c r="Q2277" s="54">
        <f t="shared" si="105"/>
        <v>3.9788918205804751</v>
      </c>
      <c r="R2277" s="53">
        <f>IFERROR(VLOOKUP(B2277,'Pre-Summary'!$BG$6:$BM$44,7,FALSE),R2278)</f>
        <v>9.7948682664336664E-2</v>
      </c>
      <c r="S2277" s="53">
        <f>IFERROR(VLOOKUP(B2277,'Pre-Summary'!$BG$6:$BM$44,6,FALSE),S2278)</f>
        <v>0.10614035087720526</v>
      </c>
      <c r="T2277" s="45" t="str">
        <f>IFERROR(VLOOKUP(B2277,'Pre-Summary'!$Y$6:$AC$83, 3,FALSE),"")</f>
        <v/>
      </c>
      <c r="U2277" s="45" t="str">
        <f>IFERROR(VLOOKUP(B2277,'Pre-Summary'!$Y$6:$AC$83, 4,FALSE),"")</f>
        <v/>
      </c>
      <c r="V2277" t="str">
        <f>IFERROR(VLOOKUP(B2277,'Pre-Summary'!$Y$6:$AC$83, 5,FALSE),"")</f>
        <v/>
      </c>
      <c r="W2277" s="45" t="str">
        <f>IFERROR(VLOOKUP(B2277,'Pre-Summary'!$Y$6:$AD$83,6,FALSE),"")</f>
        <v/>
      </c>
      <c r="X2277" t="str">
        <f>IFERROR(VLOOKUP('Pre-Summary'!$DB$6:$DD$63,3,FALSE),"")</f>
        <v/>
      </c>
      <c r="Y2277" t="str">
        <f>IFERROR(VLOOKUP(B2277,'Pre-Summary'!$CR$6:$CT$36,3,FALSE),"")</f>
        <v/>
      </c>
      <c r="Z2277" s="45" t="str">
        <f>IFERROR(VLOOKUP(B2277,'Pre-Summary'!$BZ$6:$CB$63,2,FALSE),"")</f>
        <v/>
      </c>
      <c r="AA2277" s="45" t="str">
        <f>IFERROR(VLOOKUP(B2277,'Pre-Summary'!$CG$6:$CI$70,2,FALSE),"")</f>
        <v/>
      </c>
      <c r="AB2277" s="99">
        <f>IFERROR(VLOOKUP(B2277,'Pre-Summary'!$A$6:$P$178,9,FALSE),AB2278)</f>
        <v>0.3510413030600153</v>
      </c>
      <c r="AC2277" s="10">
        <f>IFERROR(VLOOKUP(Summary!B2277,'Pre-Summary'!$A$6:$P$184,5, FALSE)/100,AC2278)</f>
        <v>0.95838633333333334</v>
      </c>
      <c r="AD2277" s="10">
        <f>IFERROR(VLOOKUP(Summary!B2277,'Pre-Summary'!$A$6:$P$184,3, FALSE)/100,AD2278)</f>
        <v>2.8433333333333331E-2</v>
      </c>
      <c r="AE2277" s="10">
        <f>IFERROR(VLOOKUP(Summary!B2277,'Pre-Summary'!$A$6:$P$184,7, FALSE)/100,AE2278)</f>
        <v>1.3180333333333334E-2</v>
      </c>
      <c r="AF2277" s="99">
        <f t="shared" si="106"/>
        <v>9.9812743836731003E-3</v>
      </c>
      <c r="AG2277" s="99">
        <f t="shared" si="107"/>
        <v>4.6268413880986882E-3</v>
      </c>
      <c r="AH2277" s="10" t="str">
        <f>IFERROR(VLOOKUP(B2277,'Pre-Summary'!$AZ$6:$BE$65,3,FALSE),"")</f>
        <v/>
      </c>
      <c r="AI2277" s="10" t="str">
        <f>IFERROR(VLOOKUP(B2277,'Pre-Summary'!$AZ$6:$BE$65,5,FALSE),"")</f>
        <v/>
      </c>
      <c r="AJ2277" s="10" t="str">
        <f>IFERROR(VLOOKUP(B2277,'Pre-Summary'!$AZ$6:$BE$65,4,FALSE),"")</f>
        <v/>
      </c>
      <c r="AK2277" s="10" t="str">
        <f>IFERROR(VLOOKUP(B2277,'Pre-Summary'!$AZ$6:$BE$65,6,FALSE),"")</f>
        <v/>
      </c>
      <c r="AL2277" s="10" t="str">
        <f>IFERROR(VLOOKUP(B2277,'Pre-Summary'!$BG$6:$BL$44,3,FALSE),"")</f>
        <v/>
      </c>
      <c r="AM2277" s="10" t="str">
        <f>IFERROR(VLOOKUP(B2277,'Pre-Summary'!$BG$6:$BL$44,4,FALSE),"")</f>
        <v/>
      </c>
    </row>
    <row r="2278" spans="2:39" ht="15" customHeight="1" x14ac:dyDescent="0.3">
      <c r="B2278">
        <v>227.5</v>
      </c>
      <c r="C2278" t="str">
        <f>IFERROR(VLOOKUP(B2278,'Pre-Summary'!$DI$6:$DM$23,4,FALSE),"")</f>
        <v/>
      </c>
      <c r="D2278" s="10" t="str">
        <f>IFERROR(VLOOKUP(B2278,'Pre-Summary'!$AT$6:$AX$14,5,FALSE),D2277)</f>
        <v>Wolfe v3: went back to modified wolfe + EDTA and switched CuSO4 to CUCl2</v>
      </c>
      <c r="E2278" s="10" t="str">
        <f>IFERROR(VLOOKUP(B2278,'Pre-Summary'!$AT$6:$AX$15,4,FALSE),"")</f>
        <v/>
      </c>
      <c r="F2278">
        <f>IFERROR(VLOOKUP(B2278,'Pre-Summary'!$AL$6:$AQ$13,6,FALSE),F2277)</f>
        <v>5.9405263157894746E-2</v>
      </c>
      <c r="G2278" t="str">
        <f>IFERROR(VLOOKUP(B2278,'Pre-Summary'!$AE$6:$AJ$85,3,FALSE),"")</f>
        <v/>
      </c>
      <c r="H2278" t="str">
        <f>IFERROR(VLOOKUP(B2278,'Pre-Summary'!$AE$6:$AJ$85,4,FALSE),"")</f>
        <v/>
      </c>
      <c r="I2278" t="str">
        <f>IFERROR(VLOOKUP(B2278,'Pre-Summary'!$AE$6:$AJ$85,5,FALSE),"")</f>
        <v/>
      </c>
      <c r="J2278" s="45" t="str">
        <f>IFERROR(VLOOKUP(B2278,'Pre-Summary'!$AE$6:$AJ$85,6, FALSE),"")</f>
        <v/>
      </c>
      <c r="K2278" s="45" t="str">
        <f>IFERROR(VLOOKUP(B2278,'Pre-Summary'!$DE$6:$DG$61,3,FALSE),"")</f>
        <v/>
      </c>
      <c r="L2278" s="45" t="str">
        <f>IFERROR(VLOOKUP(B2278,'Pre-Summary'!$CU$6:$CW$36,3,FALSE),"")</f>
        <v/>
      </c>
      <c r="M2278" s="45" t="str">
        <f>IFERROR(VLOOKUP(B2278,'Pre-Summary'!$BW$6:$BY$58,2,FALSE),"")</f>
        <v/>
      </c>
      <c r="N2278" s="45" t="str">
        <f>IFERROR(VLOOKUP(B2278,'Pre-Summary'!$CD$6:$CF$64,2,FALSE),"")</f>
        <v/>
      </c>
      <c r="O2278" s="99">
        <f>IFERROR(VLOOKUP(B2278,'Pre-Summary'!$BO$6:$BQ$48,3, FALSE),O2277)</f>
        <v>1.508</v>
      </c>
      <c r="P2278" s="99">
        <f>IFERROR(VLOOKUP(B2278,'Pre-Summary'!$BS$6:$BU$35,3,FALSE),P2277)</f>
        <v>0.379</v>
      </c>
      <c r="Q2278" s="54">
        <f t="shared" si="105"/>
        <v>3.9788918205804751</v>
      </c>
      <c r="R2278" s="53">
        <f>IFERROR(VLOOKUP(B2278,'Pre-Summary'!$BG$6:$BM$44,7,FALSE),R2279)</f>
        <v>9.7948682664336664E-2</v>
      </c>
      <c r="S2278" s="53">
        <f>IFERROR(VLOOKUP(B2278,'Pre-Summary'!$BG$6:$BM$44,6,FALSE),S2279)</f>
        <v>0.10614035087720526</v>
      </c>
      <c r="T2278" s="45" t="str">
        <f>IFERROR(VLOOKUP(B2278,'Pre-Summary'!$Y$6:$AC$83, 3,FALSE),"")</f>
        <v/>
      </c>
      <c r="U2278" s="45" t="str">
        <f>IFERROR(VLOOKUP(B2278,'Pre-Summary'!$Y$6:$AC$83, 4,FALSE),"")</f>
        <v/>
      </c>
      <c r="V2278" t="str">
        <f>IFERROR(VLOOKUP(B2278,'Pre-Summary'!$Y$6:$AC$83, 5,FALSE),"")</f>
        <v/>
      </c>
      <c r="W2278" s="45" t="str">
        <f>IFERROR(VLOOKUP(B2278,'Pre-Summary'!$Y$6:$AD$83,6,FALSE),"")</f>
        <v/>
      </c>
      <c r="X2278" t="str">
        <f>IFERROR(VLOOKUP('Pre-Summary'!$DB$6:$DD$63,3,FALSE),"")</f>
        <v/>
      </c>
      <c r="Y2278" t="str">
        <f>IFERROR(VLOOKUP(B2278,'Pre-Summary'!$CR$6:$CT$36,3,FALSE),"")</f>
        <v/>
      </c>
      <c r="Z2278" s="45" t="str">
        <f>IFERROR(VLOOKUP(B2278,'Pre-Summary'!$BZ$6:$CB$63,2,FALSE),"")</f>
        <v/>
      </c>
      <c r="AA2278" s="45" t="str">
        <f>IFERROR(VLOOKUP(B2278,'Pre-Summary'!$CG$6:$CI$70,2,FALSE),"")</f>
        <v/>
      </c>
      <c r="AB2278" s="99">
        <f>IFERROR(VLOOKUP(B2278,'Pre-Summary'!$A$6:$P$178,9,FALSE),AB2279)</f>
        <v>0.3510413030600153</v>
      </c>
      <c r="AC2278" s="10">
        <f>IFERROR(VLOOKUP(Summary!B2278,'Pre-Summary'!$A$6:$P$184,5, FALSE)/100,AC2279)</f>
        <v>0.95838633333333334</v>
      </c>
      <c r="AD2278" s="10">
        <f>IFERROR(VLOOKUP(Summary!B2278,'Pre-Summary'!$A$6:$P$184,3, FALSE)/100,AD2279)</f>
        <v>2.8433333333333331E-2</v>
      </c>
      <c r="AE2278" s="10">
        <f>IFERROR(VLOOKUP(Summary!B2278,'Pre-Summary'!$A$6:$P$184,7, FALSE)/100,AE2279)</f>
        <v>1.3180333333333334E-2</v>
      </c>
      <c r="AF2278" s="99">
        <f t="shared" si="106"/>
        <v>9.9812743836731003E-3</v>
      </c>
      <c r="AG2278" s="99">
        <f t="shared" si="107"/>
        <v>4.6268413880986882E-3</v>
      </c>
      <c r="AH2278" s="10" t="str">
        <f>IFERROR(VLOOKUP(B2278,'Pre-Summary'!$AZ$6:$BE$65,3,FALSE),"")</f>
        <v/>
      </c>
      <c r="AI2278" s="10" t="str">
        <f>IFERROR(VLOOKUP(B2278,'Pre-Summary'!$AZ$6:$BE$65,5,FALSE),"")</f>
        <v/>
      </c>
      <c r="AJ2278" s="10" t="str">
        <f>IFERROR(VLOOKUP(B2278,'Pre-Summary'!$AZ$6:$BE$65,4,FALSE),"")</f>
        <v/>
      </c>
      <c r="AK2278" s="10" t="str">
        <f>IFERROR(VLOOKUP(B2278,'Pre-Summary'!$AZ$6:$BE$65,6,FALSE),"")</f>
        <v/>
      </c>
      <c r="AL2278" s="10" t="str">
        <f>IFERROR(VLOOKUP(B2278,'Pre-Summary'!$BG$6:$BL$44,3,FALSE),"")</f>
        <v/>
      </c>
      <c r="AM2278" s="10" t="str">
        <f>IFERROR(VLOOKUP(B2278,'Pre-Summary'!$BG$6:$BL$44,4,FALSE),"")</f>
        <v/>
      </c>
    </row>
    <row r="2279" spans="2:39" ht="15" customHeight="1" x14ac:dyDescent="0.3">
      <c r="B2279">
        <v>227.6</v>
      </c>
      <c r="C2279" t="str">
        <f>IFERROR(VLOOKUP(B2279,'Pre-Summary'!$DI$6:$DM$23,4,FALSE),"")</f>
        <v/>
      </c>
      <c r="D2279" s="10" t="str">
        <f>IFERROR(VLOOKUP(B2279,'Pre-Summary'!$AT$6:$AX$14,5,FALSE),D2278)</f>
        <v>Wolfe v3: went back to modified wolfe + EDTA and switched CuSO4 to CUCl2</v>
      </c>
      <c r="E2279" s="10" t="str">
        <f>IFERROR(VLOOKUP(B2279,'Pre-Summary'!$AT$6:$AX$15,4,FALSE),"")</f>
        <v/>
      </c>
      <c r="F2279">
        <f>IFERROR(VLOOKUP(B2279,'Pre-Summary'!$AL$6:$AQ$13,6,FALSE),F2278)</f>
        <v>5.9405263157894746E-2</v>
      </c>
      <c r="G2279" t="str">
        <f>IFERROR(VLOOKUP(B2279,'Pre-Summary'!$AE$6:$AJ$85,3,FALSE),"")</f>
        <v/>
      </c>
      <c r="H2279" t="str">
        <f>IFERROR(VLOOKUP(B2279,'Pre-Summary'!$AE$6:$AJ$85,4,FALSE),"")</f>
        <v/>
      </c>
      <c r="I2279" t="str">
        <f>IFERROR(VLOOKUP(B2279,'Pre-Summary'!$AE$6:$AJ$85,5,FALSE),"")</f>
        <v/>
      </c>
      <c r="J2279" s="45" t="str">
        <f>IFERROR(VLOOKUP(B2279,'Pre-Summary'!$AE$6:$AJ$85,6, FALSE),"")</f>
        <v/>
      </c>
      <c r="K2279" s="45" t="str">
        <f>IFERROR(VLOOKUP(B2279,'Pre-Summary'!$DE$6:$DG$61,3,FALSE),"")</f>
        <v/>
      </c>
      <c r="L2279" s="45" t="str">
        <f>IFERROR(VLOOKUP(B2279,'Pre-Summary'!$CU$6:$CW$36,3,FALSE),"")</f>
        <v/>
      </c>
      <c r="M2279" s="45" t="str">
        <f>IFERROR(VLOOKUP(B2279,'Pre-Summary'!$BW$6:$BY$58,2,FALSE),"")</f>
        <v/>
      </c>
      <c r="N2279" s="45" t="str">
        <f>IFERROR(VLOOKUP(B2279,'Pre-Summary'!$CD$6:$CF$64,2,FALSE),"")</f>
        <v/>
      </c>
      <c r="O2279" s="99">
        <f>IFERROR(VLOOKUP(B2279,'Pre-Summary'!$BO$6:$BQ$48,3, FALSE),O2278)</f>
        <v>1.508</v>
      </c>
      <c r="P2279" s="99">
        <f>IFERROR(VLOOKUP(B2279,'Pre-Summary'!$BS$6:$BU$35,3,FALSE),P2278)</f>
        <v>0.379</v>
      </c>
      <c r="Q2279" s="54">
        <f t="shared" si="105"/>
        <v>3.9788918205804751</v>
      </c>
      <c r="R2279" s="53">
        <f>IFERROR(VLOOKUP(B2279,'Pre-Summary'!$BG$6:$BM$44,7,FALSE),R2280)</f>
        <v>9.7948682664336664E-2</v>
      </c>
      <c r="S2279" s="53">
        <f>IFERROR(VLOOKUP(B2279,'Pre-Summary'!$BG$6:$BM$44,6,FALSE),S2280)</f>
        <v>0.10614035087720526</v>
      </c>
      <c r="T2279" s="45" t="str">
        <f>IFERROR(VLOOKUP(B2279,'Pre-Summary'!$Y$6:$AC$83, 3,FALSE),"")</f>
        <v/>
      </c>
      <c r="U2279" s="45" t="str">
        <f>IFERROR(VLOOKUP(B2279,'Pre-Summary'!$Y$6:$AC$83, 4,FALSE),"")</f>
        <v/>
      </c>
      <c r="V2279" t="str">
        <f>IFERROR(VLOOKUP(B2279,'Pre-Summary'!$Y$6:$AC$83, 5,FALSE),"")</f>
        <v/>
      </c>
      <c r="W2279" s="45" t="str">
        <f>IFERROR(VLOOKUP(B2279,'Pre-Summary'!$Y$6:$AD$83,6,FALSE),"")</f>
        <v/>
      </c>
      <c r="X2279" t="str">
        <f>IFERROR(VLOOKUP('Pre-Summary'!$DB$6:$DD$63,3,FALSE),"")</f>
        <v/>
      </c>
      <c r="Y2279" t="str">
        <f>IFERROR(VLOOKUP(B2279,'Pre-Summary'!$CR$6:$CT$36,3,FALSE),"")</f>
        <v/>
      </c>
      <c r="Z2279" s="45" t="str">
        <f>IFERROR(VLOOKUP(B2279,'Pre-Summary'!$BZ$6:$CB$63,2,FALSE),"")</f>
        <v/>
      </c>
      <c r="AA2279" s="45" t="str">
        <f>IFERROR(VLOOKUP(B2279,'Pre-Summary'!$CG$6:$CI$70,2,FALSE),"")</f>
        <v/>
      </c>
      <c r="AB2279" s="99">
        <f>IFERROR(VLOOKUP(B2279,'Pre-Summary'!$A$6:$P$178,9,FALSE),AB2280)</f>
        <v>0.3510413030600153</v>
      </c>
      <c r="AC2279" s="10">
        <f>IFERROR(VLOOKUP(Summary!B2279,'Pre-Summary'!$A$6:$P$184,5, FALSE)/100,AC2280)</f>
        <v>0.95838633333333334</v>
      </c>
      <c r="AD2279" s="10">
        <f>IFERROR(VLOOKUP(Summary!B2279,'Pre-Summary'!$A$6:$P$184,3, FALSE)/100,AD2280)</f>
        <v>2.8433333333333331E-2</v>
      </c>
      <c r="AE2279" s="10">
        <f>IFERROR(VLOOKUP(Summary!B2279,'Pre-Summary'!$A$6:$P$184,7, FALSE)/100,AE2280)</f>
        <v>1.3180333333333334E-2</v>
      </c>
      <c r="AF2279" s="99">
        <f t="shared" si="106"/>
        <v>9.9812743836731003E-3</v>
      </c>
      <c r="AG2279" s="99">
        <f t="shared" si="107"/>
        <v>4.6268413880986882E-3</v>
      </c>
      <c r="AH2279" s="10" t="str">
        <f>IFERROR(VLOOKUP(B2279,'Pre-Summary'!$AZ$6:$BE$65,3,FALSE),"")</f>
        <v/>
      </c>
      <c r="AI2279" s="10" t="str">
        <f>IFERROR(VLOOKUP(B2279,'Pre-Summary'!$AZ$6:$BE$65,5,FALSE),"")</f>
        <v/>
      </c>
      <c r="AJ2279" s="10" t="str">
        <f>IFERROR(VLOOKUP(B2279,'Pre-Summary'!$AZ$6:$BE$65,4,FALSE),"")</f>
        <v/>
      </c>
      <c r="AK2279" s="10" t="str">
        <f>IFERROR(VLOOKUP(B2279,'Pre-Summary'!$AZ$6:$BE$65,6,FALSE),"")</f>
        <v/>
      </c>
      <c r="AL2279" s="10" t="str">
        <f>IFERROR(VLOOKUP(B2279,'Pre-Summary'!$BG$6:$BL$44,3,FALSE),"")</f>
        <v/>
      </c>
      <c r="AM2279" s="10" t="str">
        <f>IFERROR(VLOOKUP(B2279,'Pre-Summary'!$BG$6:$BL$44,4,FALSE),"")</f>
        <v/>
      </c>
    </row>
    <row r="2280" spans="2:39" ht="15" customHeight="1" x14ac:dyDescent="0.3">
      <c r="B2280">
        <v>227.7</v>
      </c>
      <c r="C2280" t="str">
        <f>IFERROR(VLOOKUP(B2280,'Pre-Summary'!$DI$6:$DM$23,4,FALSE),"")</f>
        <v/>
      </c>
      <c r="D2280" s="10" t="str">
        <f>IFERROR(VLOOKUP(B2280,'Pre-Summary'!$AT$6:$AX$14,5,FALSE),D2279)</f>
        <v>Wolfe v3: went back to modified wolfe + EDTA and switched CuSO4 to CUCl2</v>
      </c>
      <c r="E2280" s="10" t="str">
        <f>IFERROR(VLOOKUP(B2280,'Pre-Summary'!$AT$6:$AX$15,4,FALSE),"")</f>
        <v/>
      </c>
      <c r="F2280">
        <f>IFERROR(VLOOKUP(B2280,'Pre-Summary'!$AL$6:$AQ$13,6,FALSE),F2279)</f>
        <v>5.9405263157894746E-2</v>
      </c>
      <c r="G2280" t="str">
        <f>IFERROR(VLOOKUP(B2280,'Pre-Summary'!$AE$6:$AJ$85,3,FALSE),"")</f>
        <v/>
      </c>
      <c r="H2280" t="str">
        <f>IFERROR(VLOOKUP(B2280,'Pre-Summary'!$AE$6:$AJ$85,4,FALSE),"")</f>
        <v/>
      </c>
      <c r="I2280" t="str">
        <f>IFERROR(VLOOKUP(B2280,'Pre-Summary'!$AE$6:$AJ$85,5,FALSE),"")</f>
        <v/>
      </c>
      <c r="J2280" s="45" t="str">
        <f>IFERROR(VLOOKUP(B2280,'Pre-Summary'!$AE$6:$AJ$85,6, FALSE),"")</f>
        <v/>
      </c>
      <c r="K2280" s="45" t="str">
        <f>IFERROR(VLOOKUP(B2280,'Pre-Summary'!$DE$6:$DG$61,3,FALSE),"")</f>
        <v/>
      </c>
      <c r="L2280" s="45" t="str">
        <f>IFERROR(VLOOKUP(B2280,'Pre-Summary'!$CU$6:$CW$36,3,FALSE),"")</f>
        <v/>
      </c>
      <c r="M2280" s="45" t="str">
        <f>IFERROR(VLOOKUP(B2280,'Pre-Summary'!$BW$6:$BY$58,2,FALSE),"")</f>
        <v/>
      </c>
      <c r="N2280" s="45" t="str">
        <f>IFERROR(VLOOKUP(B2280,'Pre-Summary'!$CD$6:$CF$64,2,FALSE),"")</f>
        <v/>
      </c>
      <c r="O2280" s="99">
        <f>IFERROR(VLOOKUP(B2280,'Pre-Summary'!$BO$6:$BQ$48,3, FALSE),O2279)</f>
        <v>1.508</v>
      </c>
      <c r="P2280" s="99">
        <f>IFERROR(VLOOKUP(B2280,'Pre-Summary'!$BS$6:$BU$35,3,FALSE),P2279)</f>
        <v>0.379</v>
      </c>
      <c r="Q2280" s="54">
        <f t="shared" si="105"/>
        <v>3.9788918205804751</v>
      </c>
      <c r="R2280" s="53">
        <f>IFERROR(VLOOKUP(B2280,'Pre-Summary'!$BG$6:$BM$44,7,FALSE),R2281)</f>
        <v>9.7948682664336664E-2</v>
      </c>
      <c r="S2280" s="53">
        <f>IFERROR(VLOOKUP(B2280,'Pre-Summary'!$BG$6:$BM$44,6,FALSE),S2281)</f>
        <v>0.10614035087720526</v>
      </c>
      <c r="T2280" s="45" t="str">
        <f>IFERROR(VLOOKUP(B2280,'Pre-Summary'!$Y$6:$AC$83, 3,FALSE),"")</f>
        <v/>
      </c>
      <c r="U2280" s="45" t="str">
        <f>IFERROR(VLOOKUP(B2280,'Pre-Summary'!$Y$6:$AC$83, 4,FALSE),"")</f>
        <v/>
      </c>
      <c r="V2280" t="str">
        <f>IFERROR(VLOOKUP(B2280,'Pre-Summary'!$Y$6:$AC$83, 5,FALSE),"")</f>
        <v/>
      </c>
      <c r="W2280" s="45" t="str">
        <f>IFERROR(VLOOKUP(B2280,'Pre-Summary'!$Y$6:$AD$83,6,FALSE),"")</f>
        <v/>
      </c>
      <c r="X2280" t="str">
        <f>IFERROR(VLOOKUP('Pre-Summary'!$DB$6:$DD$63,3,FALSE),"")</f>
        <v/>
      </c>
      <c r="Y2280" t="str">
        <f>IFERROR(VLOOKUP(B2280,'Pre-Summary'!$CR$6:$CT$36,3,FALSE),"")</f>
        <v/>
      </c>
      <c r="Z2280" s="45" t="str">
        <f>IFERROR(VLOOKUP(B2280,'Pre-Summary'!$BZ$6:$CB$63,2,FALSE),"")</f>
        <v/>
      </c>
      <c r="AA2280" s="45" t="str">
        <f>IFERROR(VLOOKUP(B2280,'Pre-Summary'!$CG$6:$CI$70,2,FALSE),"")</f>
        <v/>
      </c>
      <c r="AB2280" s="99">
        <f>IFERROR(VLOOKUP(B2280,'Pre-Summary'!$A$6:$P$178,9,FALSE),AB2281)</f>
        <v>0.3510413030600153</v>
      </c>
      <c r="AC2280" s="10">
        <f>IFERROR(VLOOKUP(Summary!B2280,'Pre-Summary'!$A$6:$P$184,5, FALSE)/100,AC2281)</f>
        <v>0.95838633333333334</v>
      </c>
      <c r="AD2280" s="10">
        <f>IFERROR(VLOOKUP(Summary!B2280,'Pre-Summary'!$A$6:$P$184,3, FALSE)/100,AD2281)</f>
        <v>2.8433333333333331E-2</v>
      </c>
      <c r="AE2280" s="10">
        <f>IFERROR(VLOOKUP(Summary!B2280,'Pre-Summary'!$A$6:$P$184,7, FALSE)/100,AE2281)</f>
        <v>1.3180333333333334E-2</v>
      </c>
      <c r="AF2280" s="99">
        <f t="shared" si="106"/>
        <v>9.9812743836731003E-3</v>
      </c>
      <c r="AG2280" s="99">
        <f t="shared" si="107"/>
        <v>4.6268413880986882E-3</v>
      </c>
      <c r="AH2280" s="10" t="str">
        <f>IFERROR(VLOOKUP(B2280,'Pre-Summary'!$AZ$6:$BE$65,3,FALSE),"")</f>
        <v/>
      </c>
      <c r="AI2280" s="10" t="str">
        <f>IFERROR(VLOOKUP(B2280,'Pre-Summary'!$AZ$6:$BE$65,5,FALSE),"")</f>
        <v/>
      </c>
      <c r="AJ2280" s="10" t="str">
        <f>IFERROR(VLOOKUP(B2280,'Pre-Summary'!$AZ$6:$BE$65,4,FALSE),"")</f>
        <v/>
      </c>
      <c r="AK2280" s="10" t="str">
        <f>IFERROR(VLOOKUP(B2280,'Pre-Summary'!$AZ$6:$BE$65,6,FALSE),"")</f>
        <v/>
      </c>
      <c r="AL2280" s="10" t="str">
        <f>IFERROR(VLOOKUP(B2280,'Pre-Summary'!$BG$6:$BL$44,3,FALSE),"")</f>
        <v/>
      </c>
      <c r="AM2280" s="10" t="str">
        <f>IFERROR(VLOOKUP(B2280,'Pre-Summary'!$BG$6:$BL$44,4,FALSE),"")</f>
        <v/>
      </c>
    </row>
    <row r="2281" spans="2:39" ht="15" customHeight="1" x14ac:dyDescent="0.3">
      <c r="B2281">
        <v>227.8</v>
      </c>
      <c r="C2281" t="str">
        <f>IFERROR(VLOOKUP(B2281,'Pre-Summary'!$DI$6:$DM$23,4,FALSE),"")</f>
        <v/>
      </c>
      <c r="D2281" s="10" t="str">
        <f>IFERROR(VLOOKUP(B2281,'Pre-Summary'!$AT$6:$AX$14,5,FALSE),D2280)</f>
        <v>Wolfe v3: went back to modified wolfe + EDTA and switched CuSO4 to CUCl2</v>
      </c>
      <c r="E2281" s="10" t="str">
        <f>IFERROR(VLOOKUP(B2281,'Pre-Summary'!$AT$6:$AX$15,4,FALSE),"")</f>
        <v/>
      </c>
      <c r="F2281">
        <f>IFERROR(VLOOKUP(B2281,'Pre-Summary'!$AL$6:$AQ$13,6,FALSE),F2280)</f>
        <v>5.9405263157894746E-2</v>
      </c>
      <c r="G2281" t="str">
        <f>IFERROR(VLOOKUP(B2281,'Pre-Summary'!$AE$6:$AJ$85,3,FALSE),"")</f>
        <v/>
      </c>
      <c r="H2281" t="str">
        <f>IFERROR(VLOOKUP(B2281,'Pre-Summary'!$AE$6:$AJ$85,4,FALSE),"")</f>
        <v/>
      </c>
      <c r="I2281" t="str">
        <f>IFERROR(VLOOKUP(B2281,'Pre-Summary'!$AE$6:$AJ$85,5,FALSE),"")</f>
        <v/>
      </c>
      <c r="J2281" s="45" t="str">
        <f>IFERROR(VLOOKUP(B2281,'Pre-Summary'!$AE$6:$AJ$85,6, FALSE),"")</f>
        <v/>
      </c>
      <c r="K2281" s="45" t="str">
        <f>IFERROR(VLOOKUP(B2281,'Pre-Summary'!$DE$6:$DG$61,3,FALSE),"")</f>
        <v/>
      </c>
      <c r="L2281" s="45" t="str">
        <f>IFERROR(VLOOKUP(B2281,'Pre-Summary'!$CU$6:$CW$36,3,FALSE),"")</f>
        <v/>
      </c>
      <c r="M2281" s="45" t="str">
        <f>IFERROR(VLOOKUP(B2281,'Pre-Summary'!$BW$6:$BY$58,2,FALSE),"")</f>
        <v/>
      </c>
      <c r="N2281" s="45" t="str">
        <f>IFERROR(VLOOKUP(B2281,'Pre-Summary'!$CD$6:$CF$64,2,FALSE),"")</f>
        <v/>
      </c>
      <c r="O2281" s="99">
        <f>IFERROR(VLOOKUP(B2281,'Pre-Summary'!$BO$6:$BQ$48,3, FALSE),O2280)</f>
        <v>1.508</v>
      </c>
      <c r="P2281" s="99">
        <f>IFERROR(VLOOKUP(B2281,'Pre-Summary'!$BS$6:$BU$35,3,FALSE),P2280)</f>
        <v>0.379</v>
      </c>
      <c r="Q2281" s="54">
        <f t="shared" si="105"/>
        <v>3.9788918205804751</v>
      </c>
      <c r="R2281" s="53">
        <f>IFERROR(VLOOKUP(B2281,'Pre-Summary'!$BG$6:$BM$44,7,FALSE),R2282)</f>
        <v>9.7948682664336664E-2</v>
      </c>
      <c r="S2281" s="53">
        <f>IFERROR(VLOOKUP(B2281,'Pre-Summary'!$BG$6:$BM$44,6,FALSE),S2282)</f>
        <v>0.10614035087720526</v>
      </c>
      <c r="T2281" s="45" t="str">
        <f>IFERROR(VLOOKUP(B2281,'Pre-Summary'!$Y$6:$AC$83, 3,FALSE),"")</f>
        <v/>
      </c>
      <c r="U2281" s="45" t="str">
        <f>IFERROR(VLOOKUP(B2281,'Pre-Summary'!$Y$6:$AC$83, 4,FALSE),"")</f>
        <v/>
      </c>
      <c r="V2281" t="str">
        <f>IFERROR(VLOOKUP(B2281,'Pre-Summary'!$Y$6:$AC$83, 5,FALSE),"")</f>
        <v/>
      </c>
      <c r="W2281" s="45" t="str">
        <f>IFERROR(VLOOKUP(B2281,'Pre-Summary'!$Y$6:$AD$83,6,FALSE),"")</f>
        <v/>
      </c>
      <c r="X2281" t="str">
        <f>IFERROR(VLOOKUP('Pre-Summary'!$DB$6:$DD$63,3,FALSE),"")</f>
        <v/>
      </c>
      <c r="Y2281" t="str">
        <f>IFERROR(VLOOKUP(B2281,'Pre-Summary'!$CR$6:$CT$36,3,FALSE),"")</f>
        <v/>
      </c>
      <c r="Z2281" s="45" t="str">
        <f>IFERROR(VLOOKUP(B2281,'Pre-Summary'!$BZ$6:$CB$63,2,FALSE),"")</f>
        <v/>
      </c>
      <c r="AA2281" s="45" t="str">
        <f>IFERROR(VLOOKUP(B2281,'Pre-Summary'!$CG$6:$CI$70,2,FALSE),"")</f>
        <v/>
      </c>
      <c r="AB2281" s="99">
        <f>IFERROR(VLOOKUP(B2281,'Pre-Summary'!$A$6:$P$178,9,FALSE),AB2282)</f>
        <v>0.3510413030600153</v>
      </c>
      <c r="AC2281" s="10">
        <f>IFERROR(VLOOKUP(Summary!B2281,'Pre-Summary'!$A$6:$P$184,5, FALSE)/100,AC2282)</f>
        <v>0.95838633333333334</v>
      </c>
      <c r="AD2281" s="10">
        <f>IFERROR(VLOOKUP(Summary!B2281,'Pre-Summary'!$A$6:$P$184,3, FALSE)/100,AD2282)</f>
        <v>2.8433333333333331E-2</v>
      </c>
      <c r="AE2281" s="10">
        <f>IFERROR(VLOOKUP(Summary!B2281,'Pre-Summary'!$A$6:$P$184,7, FALSE)/100,AE2282)</f>
        <v>1.3180333333333334E-2</v>
      </c>
      <c r="AF2281" s="99">
        <f t="shared" si="106"/>
        <v>9.9812743836731003E-3</v>
      </c>
      <c r="AG2281" s="99">
        <f t="shared" si="107"/>
        <v>4.6268413880986882E-3</v>
      </c>
      <c r="AH2281" s="10" t="str">
        <f>IFERROR(VLOOKUP(B2281,'Pre-Summary'!$AZ$6:$BE$65,3,FALSE),"")</f>
        <v/>
      </c>
      <c r="AI2281" s="10" t="str">
        <f>IFERROR(VLOOKUP(B2281,'Pre-Summary'!$AZ$6:$BE$65,5,FALSE),"")</f>
        <v/>
      </c>
      <c r="AJ2281" s="10" t="str">
        <f>IFERROR(VLOOKUP(B2281,'Pre-Summary'!$AZ$6:$BE$65,4,FALSE),"")</f>
        <v/>
      </c>
      <c r="AK2281" s="10" t="str">
        <f>IFERROR(VLOOKUP(B2281,'Pre-Summary'!$AZ$6:$BE$65,6,FALSE),"")</f>
        <v/>
      </c>
      <c r="AL2281" s="10" t="str">
        <f>IFERROR(VLOOKUP(B2281,'Pre-Summary'!$BG$6:$BL$44,3,FALSE),"")</f>
        <v/>
      </c>
      <c r="AM2281" s="10" t="str">
        <f>IFERROR(VLOOKUP(B2281,'Pre-Summary'!$BG$6:$BL$44,4,FALSE),"")</f>
        <v/>
      </c>
    </row>
    <row r="2282" spans="2:39" ht="15" customHeight="1" x14ac:dyDescent="0.3">
      <c r="B2282">
        <v>227.9</v>
      </c>
      <c r="C2282" t="str">
        <f>IFERROR(VLOOKUP(B2282,'Pre-Summary'!$DI$6:$DM$23,4,FALSE),"")</f>
        <v/>
      </c>
      <c r="D2282" s="10" t="str">
        <f>IFERROR(VLOOKUP(B2282,'Pre-Summary'!$AT$6:$AX$14,5,FALSE),D2281)</f>
        <v>Wolfe v3: went back to modified wolfe + EDTA and switched CuSO4 to CUCl2</v>
      </c>
      <c r="E2282" s="10" t="str">
        <f>IFERROR(VLOOKUP(B2282,'Pre-Summary'!$AT$6:$AX$15,4,FALSE),"")</f>
        <v/>
      </c>
      <c r="F2282">
        <f>IFERROR(VLOOKUP(B2282,'Pre-Summary'!$AL$6:$AQ$13,6,FALSE),F2281)</f>
        <v>5.9405263157894746E-2</v>
      </c>
      <c r="G2282" t="str">
        <f>IFERROR(VLOOKUP(B2282,'Pre-Summary'!$AE$6:$AJ$85,3,FALSE),"")</f>
        <v/>
      </c>
      <c r="H2282" t="str">
        <f>IFERROR(VLOOKUP(B2282,'Pre-Summary'!$AE$6:$AJ$85,4,FALSE),"")</f>
        <v/>
      </c>
      <c r="I2282" t="str">
        <f>IFERROR(VLOOKUP(B2282,'Pre-Summary'!$AE$6:$AJ$85,5,FALSE),"")</f>
        <v/>
      </c>
      <c r="J2282" s="45" t="str">
        <f>IFERROR(VLOOKUP(B2282,'Pre-Summary'!$AE$6:$AJ$85,6, FALSE),"")</f>
        <v/>
      </c>
      <c r="K2282" s="45" t="str">
        <f>IFERROR(VLOOKUP(B2282,'Pre-Summary'!$DE$6:$DG$61,3,FALSE),"")</f>
        <v/>
      </c>
      <c r="L2282" s="45" t="str">
        <f>IFERROR(VLOOKUP(B2282,'Pre-Summary'!$CU$6:$CW$36,3,FALSE),"")</f>
        <v/>
      </c>
      <c r="M2282" s="45" t="str">
        <f>IFERROR(VLOOKUP(B2282,'Pre-Summary'!$BW$6:$BY$58,2,FALSE),"")</f>
        <v/>
      </c>
      <c r="N2282" s="45" t="str">
        <f>IFERROR(VLOOKUP(B2282,'Pre-Summary'!$CD$6:$CF$64,2,FALSE),"")</f>
        <v/>
      </c>
      <c r="O2282" s="99">
        <f>IFERROR(VLOOKUP(B2282,'Pre-Summary'!$BO$6:$BQ$48,3, FALSE),O2281)</f>
        <v>1.508</v>
      </c>
      <c r="P2282" s="99">
        <f>IFERROR(VLOOKUP(B2282,'Pre-Summary'!$BS$6:$BU$35,3,FALSE),P2281)</f>
        <v>0.379</v>
      </c>
      <c r="Q2282" s="54">
        <f t="shared" si="105"/>
        <v>3.9788918205804751</v>
      </c>
      <c r="R2282" s="53">
        <f>IFERROR(VLOOKUP(B2282,'Pre-Summary'!$BG$6:$BM$44,7,FALSE),R2283)</f>
        <v>9.7948682664336664E-2</v>
      </c>
      <c r="S2282" s="53">
        <f>IFERROR(VLOOKUP(B2282,'Pre-Summary'!$BG$6:$BM$44,6,FALSE),S2283)</f>
        <v>0.10614035087720526</v>
      </c>
      <c r="T2282" s="45" t="str">
        <f>IFERROR(VLOOKUP(B2282,'Pre-Summary'!$Y$6:$AC$83, 3,FALSE),"")</f>
        <v/>
      </c>
      <c r="U2282" s="45" t="str">
        <f>IFERROR(VLOOKUP(B2282,'Pre-Summary'!$Y$6:$AC$83, 4,FALSE),"")</f>
        <v/>
      </c>
      <c r="V2282" t="str">
        <f>IFERROR(VLOOKUP(B2282,'Pre-Summary'!$Y$6:$AC$83, 5,FALSE),"")</f>
        <v/>
      </c>
      <c r="W2282" s="45" t="str">
        <f>IFERROR(VLOOKUP(B2282,'Pre-Summary'!$Y$6:$AD$83,6,FALSE),"")</f>
        <v/>
      </c>
      <c r="X2282" t="str">
        <f>IFERROR(VLOOKUP('Pre-Summary'!$DB$6:$DD$63,3,FALSE),"")</f>
        <v/>
      </c>
      <c r="Y2282" t="str">
        <f>IFERROR(VLOOKUP(B2282,'Pre-Summary'!$CR$6:$CT$36,3,FALSE),"")</f>
        <v/>
      </c>
      <c r="Z2282" s="45" t="str">
        <f>IFERROR(VLOOKUP(B2282,'Pre-Summary'!$BZ$6:$CB$63,2,FALSE),"")</f>
        <v/>
      </c>
      <c r="AA2282" s="45" t="str">
        <f>IFERROR(VLOOKUP(B2282,'Pre-Summary'!$CG$6:$CI$70,2,FALSE),"")</f>
        <v/>
      </c>
      <c r="AB2282" s="99">
        <f>IFERROR(VLOOKUP(B2282,'Pre-Summary'!$A$6:$P$178,9,FALSE),AB2283)</f>
        <v>0.3510413030600153</v>
      </c>
      <c r="AC2282" s="10">
        <f>IFERROR(VLOOKUP(Summary!B2282,'Pre-Summary'!$A$6:$P$184,5, FALSE)/100,AC2283)</f>
        <v>0.95838633333333334</v>
      </c>
      <c r="AD2282" s="10">
        <f>IFERROR(VLOOKUP(Summary!B2282,'Pre-Summary'!$A$6:$P$184,3, FALSE)/100,AD2283)</f>
        <v>2.8433333333333331E-2</v>
      </c>
      <c r="AE2282" s="10">
        <f>IFERROR(VLOOKUP(Summary!B2282,'Pre-Summary'!$A$6:$P$184,7, FALSE)/100,AE2283)</f>
        <v>1.3180333333333334E-2</v>
      </c>
      <c r="AF2282" s="99">
        <f t="shared" si="106"/>
        <v>9.9812743836731003E-3</v>
      </c>
      <c r="AG2282" s="99">
        <f t="shared" si="107"/>
        <v>4.6268413880986882E-3</v>
      </c>
      <c r="AH2282" s="10" t="str">
        <f>IFERROR(VLOOKUP(B2282,'Pre-Summary'!$AZ$6:$BE$65,3,FALSE),"")</f>
        <v/>
      </c>
      <c r="AI2282" s="10" t="str">
        <f>IFERROR(VLOOKUP(B2282,'Pre-Summary'!$AZ$6:$BE$65,5,FALSE),"")</f>
        <v/>
      </c>
      <c r="AJ2282" s="10" t="str">
        <f>IFERROR(VLOOKUP(B2282,'Pre-Summary'!$AZ$6:$BE$65,4,FALSE),"")</f>
        <v/>
      </c>
      <c r="AK2282" s="10" t="str">
        <f>IFERROR(VLOOKUP(B2282,'Pre-Summary'!$AZ$6:$BE$65,6,FALSE),"")</f>
        <v/>
      </c>
      <c r="AL2282" s="10" t="str">
        <f>IFERROR(VLOOKUP(B2282,'Pre-Summary'!$BG$6:$BL$44,3,FALSE),"")</f>
        <v/>
      </c>
      <c r="AM2282" s="10" t="str">
        <f>IFERROR(VLOOKUP(B2282,'Pre-Summary'!$BG$6:$BL$44,4,FALSE),"")</f>
        <v/>
      </c>
    </row>
    <row r="2283" spans="2:39" ht="15" customHeight="1" x14ac:dyDescent="0.3">
      <c r="B2283">
        <v>228</v>
      </c>
      <c r="C2283" t="str">
        <f>IFERROR(VLOOKUP(B2283,'Pre-Summary'!$DI$6:$DM$23,4,FALSE),"")</f>
        <v/>
      </c>
      <c r="D2283" s="10" t="str">
        <f>IFERROR(VLOOKUP(B2283,'Pre-Summary'!$AT$6:$AX$14,5,FALSE),D2282)</f>
        <v>Wolfe v3: went back to modified wolfe + EDTA and switched CuSO4 to CUCl2</v>
      </c>
      <c r="E2283" s="10" t="str">
        <f>IFERROR(VLOOKUP(B2283,'Pre-Summary'!$AT$6:$AX$15,4,FALSE),"")</f>
        <v/>
      </c>
      <c r="F2283">
        <f>IFERROR(VLOOKUP(B2283,'Pre-Summary'!$AL$6:$AQ$13,6,FALSE),F2282)</f>
        <v>5.9405263157894746E-2</v>
      </c>
      <c r="G2283" t="str">
        <f>IFERROR(VLOOKUP(B2283,'Pre-Summary'!$AE$6:$AJ$85,3,FALSE),"")</f>
        <v/>
      </c>
      <c r="H2283" t="str">
        <f>IFERROR(VLOOKUP(B2283,'Pre-Summary'!$AE$6:$AJ$85,4,FALSE),"")</f>
        <v/>
      </c>
      <c r="I2283" t="str">
        <f>IFERROR(VLOOKUP(B2283,'Pre-Summary'!$AE$6:$AJ$85,5,FALSE),"")</f>
        <v/>
      </c>
      <c r="J2283" s="45" t="str">
        <f>IFERROR(VLOOKUP(B2283,'Pre-Summary'!$AE$6:$AJ$85,6, FALSE),"")</f>
        <v/>
      </c>
      <c r="K2283" s="45" t="str">
        <f>IFERROR(VLOOKUP(B2283,'Pre-Summary'!$DE$6:$DG$61,3,FALSE),"")</f>
        <v/>
      </c>
      <c r="L2283" s="45" t="str">
        <f>IFERROR(VLOOKUP(B2283,'Pre-Summary'!$CU$6:$CW$36,3,FALSE),"")</f>
        <v/>
      </c>
      <c r="M2283" s="45" t="str">
        <f>IFERROR(VLOOKUP(B2283,'Pre-Summary'!$BW$6:$BY$58,2,FALSE),"")</f>
        <v/>
      </c>
      <c r="N2283" s="45" t="str">
        <f>IFERROR(VLOOKUP(B2283,'Pre-Summary'!$CD$6:$CF$64,2,FALSE),"")</f>
        <v/>
      </c>
      <c r="O2283" s="99">
        <f>IFERROR(VLOOKUP(B2283,'Pre-Summary'!$BO$6:$BQ$48,3, FALSE),O2282)</f>
        <v>1.508</v>
      </c>
      <c r="P2283" s="99">
        <f>IFERROR(VLOOKUP(B2283,'Pre-Summary'!$BS$6:$BU$35,3,FALSE),P2282)</f>
        <v>0.379</v>
      </c>
      <c r="Q2283" s="54">
        <f t="shared" si="105"/>
        <v>3.9788918205804751</v>
      </c>
      <c r="R2283" s="53">
        <f>IFERROR(VLOOKUP(B2283,'Pre-Summary'!$BG$6:$BM$44,7,FALSE),R2284)</f>
        <v>9.7948682664336664E-2</v>
      </c>
      <c r="S2283" s="53">
        <f>IFERROR(VLOOKUP(B2283,'Pre-Summary'!$BG$6:$BM$44,6,FALSE),S2284)</f>
        <v>0.10614035087720526</v>
      </c>
      <c r="T2283" s="45" t="str">
        <f>IFERROR(VLOOKUP(B2283,'Pre-Summary'!$Y$6:$AC$83, 3,FALSE),"")</f>
        <v/>
      </c>
      <c r="U2283" s="45" t="str">
        <f>IFERROR(VLOOKUP(B2283,'Pre-Summary'!$Y$6:$AC$83, 4,FALSE),"")</f>
        <v/>
      </c>
      <c r="V2283" t="str">
        <f>IFERROR(VLOOKUP(B2283,'Pre-Summary'!$Y$6:$AC$83, 5,FALSE),"")</f>
        <v/>
      </c>
      <c r="W2283" s="45" t="str">
        <f>IFERROR(VLOOKUP(B2283,'Pre-Summary'!$Y$6:$AD$83,6,FALSE),"")</f>
        <v/>
      </c>
      <c r="X2283" t="str">
        <f>IFERROR(VLOOKUP('Pre-Summary'!$DB$6:$DD$63,3,FALSE),"")</f>
        <v/>
      </c>
      <c r="Y2283" t="str">
        <f>IFERROR(VLOOKUP(B2283,'Pre-Summary'!$CR$6:$CT$36,3,FALSE),"")</f>
        <v/>
      </c>
      <c r="Z2283" s="45" t="str">
        <f>IFERROR(VLOOKUP(B2283,'Pre-Summary'!$BZ$6:$CB$63,2,FALSE),"")</f>
        <v/>
      </c>
      <c r="AA2283" s="45" t="str">
        <f>IFERROR(VLOOKUP(B2283,'Pre-Summary'!$CG$6:$CI$70,2,FALSE),"")</f>
        <v/>
      </c>
      <c r="AB2283" s="99">
        <f>IFERROR(VLOOKUP(B2283,'Pre-Summary'!$A$6:$P$178,9,FALSE),AB2284)</f>
        <v>0.3510413030600153</v>
      </c>
      <c r="AC2283" s="10">
        <f>IFERROR(VLOOKUP(Summary!B2283,'Pre-Summary'!$A$6:$P$184,5, FALSE)/100,AC2284)</f>
        <v>0.95838633333333334</v>
      </c>
      <c r="AD2283" s="10">
        <f>IFERROR(VLOOKUP(Summary!B2283,'Pre-Summary'!$A$6:$P$184,3, FALSE)/100,AD2284)</f>
        <v>2.8433333333333331E-2</v>
      </c>
      <c r="AE2283" s="10">
        <f>IFERROR(VLOOKUP(Summary!B2283,'Pre-Summary'!$A$6:$P$184,7, FALSE)/100,AE2284)</f>
        <v>1.3180333333333334E-2</v>
      </c>
      <c r="AF2283" s="99">
        <f t="shared" si="106"/>
        <v>9.9812743836731003E-3</v>
      </c>
      <c r="AG2283" s="99">
        <f t="shared" si="107"/>
        <v>4.6268413880986882E-3</v>
      </c>
      <c r="AH2283" s="10" t="str">
        <f>IFERROR(VLOOKUP(B2283,'Pre-Summary'!$AZ$6:$BE$65,3,FALSE),"")</f>
        <v/>
      </c>
      <c r="AI2283" s="10" t="str">
        <f>IFERROR(VLOOKUP(B2283,'Pre-Summary'!$AZ$6:$BE$65,5,FALSE),"")</f>
        <v/>
      </c>
      <c r="AJ2283" s="10" t="str">
        <f>IFERROR(VLOOKUP(B2283,'Pre-Summary'!$AZ$6:$BE$65,4,FALSE),"")</f>
        <v/>
      </c>
      <c r="AK2283" s="10" t="str">
        <f>IFERROR(VLOOKUP(B2283,'Pre-Summary'!$AZ$6:$BE$65,6,FALSE),"")</f>
        <v/>
      </c>
      <c r="AL2283" s="10" t="str">
        <f>IFERROR(VLOOKUP(B2283,'Pre-Summary'!$BG$6:$BL$44,3,FALSE),"")</f>
        <v/>
      </c>
      <c r="AM2283" s="10" t="str">
        <f>IFERROR(VLOOKUP(B2283,'Pre-Summary'!$BG$6:$BL$44,4,FALSE),"")</f>
        <v/>
      </c>
    </row>
    <row r="2284" spans="2:39" ht="15" customHeight="1" x14ac:dyDescent="0.3">
      <c r="B2284">
        <v>228.1</v>
      </c>
      <c r="C2284" t="str">
        <f>IFERROR(VLOOKUP(B2284,'Pre-Summary'!$DI$6:$DM$23,4,FALSE),"")</f>
        <v/>
      </c>
      <c r="D2284" s="10" t="str">
        <f>IFERROR(VLOOKUP(B2284,'Pre-Summary'!$AT$6:$AX$14,5,FALSE),D2283)</f>
        <v>Wolfe v3: went back to modified wolfe + EDTA and switched CuSO4 to CUCl2</v>
      </c>
      <c r="E2284" s="10" t="str">
        <f>IFERROR(VLOOKUP(B2284,'Pre-Summary'!$AT$6:$AX$15,4,FALSE),"")</f>
        <v/>
      </c>
      <c r="F2284">
        <f>IFERROR(VLOOKUP(B2284,'Pre-Summary'!$AL$6:$AQ$13,6,FALSE),F2283)</f>
        <v>5.9405263157894746E-2</v>
      </c>
      <c r="G2284" t="str">
        <f>IFERROR(VLOOKUP(B2284,'Pre-Summary'!$AE$6:$AJ$85,3,FALSE),"")</f>
        <v/>
      </c>
      <c r="H2284" t="str">
        <f>IFERROR(VLOOKUP(B2284,'Pre-Summary'!$AE$6:$AJ$85,4,FALSE),"")</f>
        <v/>
      </c>
      <c r="I2284" t="str">
        <f>IFERROR(VLOOKUP(B2284,'Pre-Summary'!$AE$6:$AJ$85,5,FALSE),"")</f>
        <v/>
      </c>
      <c r="J2284" s="45" t="str">
        <f>IFERROR(VLOOKUP(B2284,'Pre-Summary'!$AE$6:$AJ$85,6, FALSE),"")</f>
        <v/>
      </c>
      <c r="K2284" s="45" t="str">
        <f>IFERROR(VLOOKUP(B2284,'Pre-Summary'!$DE$6:$DG$61,3,FALSE),"")</f>
        <v/>
      </c>
      <c r="L2284" s="45" t="str">
        <f>IFERROR(VLOOKUP(B2284,'Pre-Summary'!$CU$6:$CW$36,3,FALSE),"")</f>
        <v/>
      </c>
      <c r="M2284" s="45" t="str">
        <f>IFERROR(VLOOKUP(B2284,'Pre-Summary'!$BW$6:$BY$58,2,FALSE),"")</f>
        <v/>
      </c>
      <c r="N2284" s="45" t="str">
        <f>IFERROR(VLOOKUP(B2284,'Pre-Summary'!$CD$6:$CF$64,2,FALSE),"")</f>
        <v/>
      </c>
      <c r="O2284" s="99">
        <f>IFERROR(VLOOKUP(B2284,'Pre-Summary'!$BO$6:$BQ$48,3, FALSE),O2283)</f>
        <v>1.508</v>
      </c>
      <c r="P2284" s="99">
        <f>IFERROR(VLOOKUP(B2284,'Pre-Summary'!$BS$6:$BU$35,3,FALSE),P2283)</f>
        <v>0.379</v>
      </c>
      <c r="Q2284" s="54">
        <f t="shared" si="105"/>
        <v>3.9788918205804751</v>
      </c>
      <c r="R2284" s="53">
        <f>IFERROR(VLOOKUP(B2284,'Pre-Summary'!$BG$6:$BM$44,7,FALSE),R2285)</f>
        <v>9.7948682664336664E-2</v>
      </c>
      <c r="S2284" s="53">
        <f>IFERROR(VLOOKUP(B2284,'Pre-Summary'!$BG$6:$BM$44,6,FALSE),S2285)</f>
        <v>0.10614035087720526</v>
      </c>
      <c r="T2284" s="45" t="str">
        <f>IFERROR(VLOOKUP(B2284,'Pre-Summary'!$Y$6:$AC$83, 3,FALSE),"")</f>
        <v/>
      </c>
      <c r="U2284" s="45" t="str">
        <f>IFERROR(VLOOKUP(B2284,'Pre-Summary'!$Y$6:$AC$83, 4,FALSE),"")</f>
        <v/>
      </c>
      <c r="V2284" t="str">
        <f>IFERROR(VLOOKUP(B2284,'Pre-Summary'!$Y$6:$AC$83, 5,FALSE),"")</f>
        <v/>
      </c>
      <c r="W2284" s="45" t="str">
        <f>IFERROR(VLOOKUP(B2284,'Pre-Summary'!$Y$6:$AD$83,6,FALSE),"")</f>
        <v/>
      </c>
      <c r="X2284" t="str">
        <f>IFERROR(VLOOKUP('Pre-Summary'!$DB$6:$DD$63,3,FALSE),"")</f>
        <v/>
      </c>
      <c r="Y2284" t="str">
        <f>IFERROR(VLOOKUP(B2284,'Pre-Summary'!$CR$6:$CT$36,3,FALSE),"")</f>
        <v/>
      </c>
      <c r="Z2284" s="45" t="str">
        <f>IFERROR(VLOOKUP(B2284,'Pre-Summary'!$BZ$6:$CB$63,2,FALSE),"")</f>
        <v/>
      </c>
      <c r="AA2284" s="45" t="str">
        <f>IFERROR(VLOOKUP(B2284,'Pre-Summary'!$CG$6:$CI$70,2,FALSE),"")</f>
        <v/>
      </c>
      <c r="AB2284" s="99">
        <f>IFERROR(VLOOKUP(B2284,'Pre-Summary'!$A$6:$P$178,9,FALSE),AB2285)</f>
        <v>0.3510413030600153</v>
      </c>
      <c r="AC2284" s="10">
        <f>IFERROR(VLOOKUP(Summary!B2284,'Pre-Summary'!$A$6:$P$184,5, FALSE)/100,AC2285)</f>
        <v>0.95838633333333334</v>
      </c>
      <c r="AD2284" s="10">
        <f>IFERROR(VLOOKUP(Summary!B2284,'Pre-Summary'!$A$6:$P$184,3, FALSE)/100,AD2285)</f>
        <v>2.8433333333333331E-2</v>
      </c>
      <c r="AE2284" s="10">
        <f>IFERROR(VLOOKUP(Summary!B2284,'Pre-Summary'!$A$6:$P$184,7, FALSE)/100,AE2285)</f>
        <v>1.3180333333333334E-2</v>
      </c>
      <c r="AF2284" s="99">
        <f t="shared" si="106"/>
        <v>9.9812743836731003E-3</v>
      </c>
      <c r="AG2284" s="99">
        <f t="shared" si="107"/>
        <v>4.6268413880986882E-3</v>
      </c>
      <c r="AH2284" s="10" t="str">
        <f>IFERROR(VLOOKUP(B2284,'Pre-Summary'!$AZ$6:$BE$65,3,FALSE),"")</f>
        <v/>
      </c>
      <c r="AI2284" s="10" t="str">
        <f>IFERROR(VLOOKUP(B2284,'Pre-Summary'!$AZ$6:$BE$65,5,FALSE),"")</f>
        <v/>
      </c>
      <c r="AJ2284" s="10" t="str">
        <f>IFERROR(VLOOKUP(B2284,'Pre-Summary'!$AZ$6:$BE$65,4,FALSE),"")</f>
        <v/>
      </c>
      <c r="AK2284" s="10" t="str">
        <f>IFERROR(VLOOKUP(B2284,'Pre-Summary'!$AZ$6:$BE$65,6,FALSE),"")</f>
        <v/>
      </c>
      <c r="AL2284" s="10" t="str">
        <f>IFERROR(VLOOKUP(B2284,'Pre-Summary'!$BG$6:$BL$44,3,FALSE),"")</f>
        <v/>
      </c>
      <c r="AM2284" s="10" t="str">
        <f>IFERROR(VLOOKUP(B2284,'Pre-Summary'!$BG$6:$BL$44,4,FALSE),"")</f>
        <v/>
      </c>
    </row>
    <row r="2285" spans="2:39" ht="15" customHeight="1" x14ac:dyDescent="0.3">
      <c r="B2285">
        <v>228.2</v>
      </c>
      <c r="C2285" t="str">
        <f>IFERROR(VLOOKUP(B2285,'Pre-Summary'!$DI$6:$DM$23,4,FALSE),"")</f>
        <v/>
      </c>
      <c r="D2285" s="10" t="str">
        <f>IFERROR(VLOOKUP(B2285,'Pre-Summary'!$AT$6:$AX$14,5,FALSE),D2284)</f>
        <v>Wolfe v3: went back to modified wolfe + EDTA and switched CuSO4 to CUCl2</v>
      </c>
      <c r="E2285" s="10" t="str">
        <f>IFERROR(VLOOKUP(B2285,'Pre-Summary'!$AT$6:$AX$15,4,FALSE),"")</f>
        <v/>
      </c>
      <c r="F2285">
        <f>IFERROR(VLOOKUP(B2285,'Pre-Summary'!$AL$6:$AQ$13,6,FALSE),F2284)</f>
        <v>5.9405263157894746E-2</v>
      </c>
      <c r="G2285" t="str">
        <f>IFERROR(VLOOKUP(B2285,'Pre-Summary'!$AE$6:$AJ$85,3,FALSE),"")</f>
        <v/>
      </c>
      <c r="H2285" t="str">
        <f>IFERROR(VLOOKUP(B2285,'Pre-Summary'!$AE$6:$AJ$85,4,FALSE),"")</f>
        <v/>
      </c>
      <c r="I2285" t="str">
        <f>IFERROR(VLOOKUP(B2285,'Pre-Summary'!$AE$6:$AJ$85,5,FALSE),"")</f>
        <v/>
      </c>
      <c r="J2285" s="45" t="str">
        <f>IFERROR(VLOOKUP(B2285,'Pre-Summary'!$AE$6:$AJ$85,6, FALSE),"")</f>
        <v/>
      </c>
      <c r="K2285" s="45" t="str">
        <f>IFERROR(VLOOKUP(B2285,'Pre-Summary'!$DE$6:$DG$61,3,FALSE),"")</f>
        <v/>
      </c>
      <c r="L2285" s="45" t="str">
        <f>IFERROR(VLOOKUP(B2285,'Pre-Summary'!$CU$6:$CW$36,3,FALSE),"")</f>
        <v/>
      </c>
      <c r="M2285" s="45" t="str">
        <f>IFERROR(VLOOKUP(B2285,'Pre-Summary'!$BW$6:$BY$58,2,FALSE),"")</f>
        <v/>
      </c>
      <c r="N2285" s="45" t="str">
        <f>IFERROR(VLOOKUP(B2285,'Pre-Summary'!$CD$6:$CF$64,2,FALSE),"")</f>
        <v/>
      </c>
      <c r="O2285" s="99">
        <f>IFERROR(VLOOKUP(B2285,'Pre-Summary'!$BO$6:$BQ$48,3, FALSE),O2284)</f>
        <v>1.508</v>
      </c>
      <c r="P2285" s="99">
        <f>IFERROR(VLOOKUP(B2285,'Pre-Summary'!$BS$6:$BU$35,3,FALSE),P2284)</f>
        <v>0.379</v>
      </c>
      <c r="Q2285" s="54">
        <f t="shared" si="105"/>
        <v>3.9788918205804751</v>
      </c>
      <c r="R2285" s="53">
        <f>IFERROR(VLOOKUP(B2285,'Pre-Summary'!$BG$6:$BM$44,7,FALSE),R2286)</f>
        <v>9.7948682664336664E-2</v>
      </c>
      <c r="S2285" s="53">
        <f>IFERROR(VLOOKUP(B2285,'Pre-Summary'!$BG$6:$BM$44,6,FALSE),S2286)</f>
        <v>0.10614035087720526</v>
      </c>
      <c r="T2285" s="45" t="str">
        <f>IFERROR(VLOOKUP(B2285,'Pre-Summary'!$Y$6:$AC$83, 3,FALSE),"")</f>
        <v/>
      </c>
      <c r="U2285" s="45" t="str">
        <f>IFERROR(VLOOKUP(B2285,'Pre-Summary'!$Y$6:$AC$83, 4,FALSE),"")</f>
        <v/>
      </c>
      <c r="V2285" t="str">
        <f>IFERROR(VLOOKUP(B2285,'Pre-Summary'!$Y$6:$AC$83, 5,FALSE),"")</f>
        <v/>
      </c>
      <c r="W2285" s="45" t="str">
        <f>IFERROR(VLOOKUP(B2285,'Pre-Summary'!$Y$6:$AD$83,6,FALSE),"")</f>
        <v/>
      </c>
      <c r="X2285" t="str">
        <f>IFERROR(VLOOKUP('Pre-Summary'!$DB$6:$DD$63,3,FALSE),"")</f>
        <v/>
      </c>
      <c r="Y2285" t="str">
        <f>IFERROR(VLOOKUP(B2285,'Pre-Summary'!$CR$6:$CT$36,3,FALSE),"")</f>
        <v/>
      </c>
      <c r="Z2285" s="45" t="str">
        <f>IFERROR(VLOOKUP(B2285,'Pre-Summary'!$BZ$6:$CB$63,2,FALSE),"")</f>
        <v/>
      </c>
      <c r="AA2285" s="45" t="str">
        <f>IFERROR(VLOOKUP(B2285,'Pre-Summary'!$CG$6:$CI$70,2,FALSE),"")</f>
        <v/>
      </c>
      <c r="AB2285" s="99">
        <f>IFERROR(VLOOKUP(B2285,'Pre-Summary'!$A$6:$P$178,9,FALSE),AB2286)</f>
        <v>0.3510413030600153</v>
      </c>
      <c r="AC2285" s="10">
        <f>IFERROR(VLOOKUP(Summary!B2285,'Pre-Summary'!$A$6:$P$184,5, FALSE)/100,AC2286)</f>
        <v>0.95838633333333334</v>
      </c>
      <c r="AD2285" s="10">
        <f>IFERROR(VLOOKUP(Summary!B2285,'Pre-Summary'!$A$6:$P$184,3, FALSE)/100,AD2286)</f>
        <v>2.8433333333333331E-2</v>
      </c>
      <c r="AE2285" s="10">
        <f>IFERROR(VLOOKUP(Summary!B2285,'Pre-Summary'!$A$6:$P$184,7, FALSE)/100,AE2286)</f>
        <v>1.3180333333333334E-2</v>
      </c>
      <c r="AF2285" s="99">
        <f t="shared" si="106"/>
        <v>9.9812743836731003E-3</v>
      </c>
      <c r="AG2285" s="99">
        <f t="shared" si="107"/>
        <v>4.6268413880986882E-3</v>
      </c>
      <c r="AH2285" s="10" t="str">
        <f>IFERROR(VLOOKUP(B2285,'Pre-Summary'!$AZ$6:$BE$65,3,FALSE),"")</f>
        <v/>
      </c>
      <c r="AI2285" s="10" t="str">
        <f>IFERROR(VLOOKUP(B2285,'Pre-Summary'!$AZ$6:$BE$65,5,FALSE),"")</f>
        <v/>
      </c>
      <c r="AJ2285" s="10" t="str">
        <f>IFERROR(VLOOKUP(B2285,'Pre-Summary'!$AZ$6:$BE$65,4,FALSE),"")</f>
        <v/>
      </c>
      <c r="AK2285" s="10" t="str">
        <f>IFERROR(VLOOKUP(B2285,'Pre-Summary'!$AZ$6:$BE$65,6,FALSE),"")</f>
        <v/>
      </c>
      <c r="AL2285" s="10" t="str">
        <f>IFERROR(VLOOKUP(B2285,'Pre-Summary'!$BG$6:$BL$44,3,FALSE),"")</f>
        <v/>
      </c>
      <c r="AM2285" s="10" t="str">
        <f>IFERROR(VLOOKUP(B2285,'Pre-Summary'!$BG$6:$BL$44,4,FALSE),"")</f>
        <v/>
      </c>
    </row>
    <row r="2286" spans="2:39" ht="15" customHeight="1" x14ac:dyDescent="0.3">
      <c r="B2286">
        <v>228.3</v>
      </c>
      <c r="C2286" t="str">
        <f>IFERROR(VLOOKUP(B2286,'Pre-Summary'!$DI$6:$DM$23,4,FALSE),"")</f>
        <v/>
      </c>
      <c r="D2286" s="10" t="str">
        <f>IFERROR(VLOOKUP(B2286,'Pre-Summary'!$AT$6:$AX$14,5,FALSE),D2285)</f>
        <v>Wolfe v3: went back to modified wolfe + EDTA and switched CuSO4 to CUCl2</v>
      </c>
      <c r="E2286" s="10" t="str">
        <f>IFERROR(VLOOKUP(B2286,'Pre-Summary'!$AT$6:$AX$15,4,FALSE),"")</f>
        <v/>
      </c>
      <c r="F2286">
        <f>IFERROR(VLOOKUP(B2286,'Pre-Summary'!$AL$6:$AQ$13,6,FALSE),F2285)</f>
        <v>5.9405263157894746E-2</v>
      </c>
      <c r="G2286" t="str">
        <f>IFERROR(VLOOKUP(B2286,'Pre-Summary'!$AE$6:$AJ$85,3,FALSE),"")</f>
        <v/>
      </c>
      <c r="H2286" t="str">
        <f>IFERROR(VLOOKUP(B2286,'Pre-Summary'!$AE$6:$AJ$85,4,FALSE),"")</f>
        <v/>
      </c>
      <c r="I2286" t="str">
        <f>IFERROR(VLOOKUP(B2286,'Pre-Summary'!$AE$6:$AJ$85,5,FALSE),"")</f>
        <v/>
      </c>
      <c r="J2286" s="45" t="str">
        <f>IFERROR(VLOOKUP(B2286,'Pre-Summary'!$AE$6:$AJ$85,6, FALSE),"")</f>
        <v/>
      </c>
      <c r="K2286" s="45" t="str">
        <f>IFERROR(VLOOKUP(B2286,'Pre-Summary'!$DE$6:$DG$61,3,FALSE),"")</f>
        <v/>
      </c>
      <c r="L2286" s="45" t="str">
        <f>IFERROR(VLOOKUP(B2286,'Pre-Summary'!$CU$6:$CW$36,3,FALSE),"")</f>
        <v/>
      </c>
      <c r="M2286" s="45" t="str">
        <f>IFERROR(VLOOKUP(B2286,'Pre-Summary'!$BW$6:$BY$58,2,FALSE),"")</f>
        <v/>
      </c>
      <c r="N2286" s="45" t="str">
        <f>IFERROR(VLOOKUP(B2286,'Pre-Summary'!$CD$6:$CF$64,2,FALSE),"")</f>
        <v/>
      </c>
      <c r="O2286" s="99">
        <f>IFERROR(VLOOKUP(B2286,'Pre-Summary'!$BO$6:$BQ$48,3, FALSE),O2285)</f>
        <v>1.508</v>
      </c>
      <c r="P2286" s="99">
        <f>IFERROR(VLOOKUP(B2286,'Pre-Summary'!$BS$6:$BU$35,3,FALSE),P2285)</f>
        <v>0.379</v>
      </c>
      <c r="Q2286" s="54">
        <f t="shared" si="105"/>
        <v>3.9788918205804751</v>
      </c>
      <c r="R2286" s="53">
        <f>IFERROR(VLOOKUP(B2286,'Pre-Summary'!$BG$6:$BM$44,7,FALSE),R2287)</f>
        <v>9.7948682664336664E-2</v>
      </c>
      <c r="S2286" s="53">
        <f>IFERROR(VLOOKUP(B2286,'Pre-Summary'!$BG$6:$BM$44,6,FALSE),S2287)</f>
        <v>0.10614035087720526</v>
      </c>
      <c r="T2286" s="45" t="str">
        <f>IFERROR(VLOOKUP(B2286,'Pre-Summary'!$Y$6:$AC$83, 3,FALSE),"")</f>
        <v/>
      </c>
      <c r="U2286" s="45" t="str">
        <f>IFERROR(VLOOKUP(B2286,'Pre-Summary'!$Y$6:$AC$83, 4,FALSE),"")</f>
        <v/>
      </c>
      <c r="V2286" t="str">
        <f>IFERROR(VLOOKUP(B2286,'Pre-Summary'!$Y$6:$AC$83, 5,FALSE),"")</f>
        <v/>
      </c>
      <c r="W2286" s="45" t="str">
        <f>IFERROR(VLOOKUP(B2286,'Pre-Summary'!$Y$6:$AD$83,6,FALSE),"")</f>
        <v/>
      </c>
      <c r="X2286" t="str">
        <f>IFERROR(VLOOKUP('Pre-Summary'!$DB$6:$DD$63,3,FALSE),"")</f>
        <v/>
      </c>
      <c r="Y2286" t="str">
        <f>IFERROR(VLOOKUP(B2286,'Pre-Summary'!$CR$6:$CT$36,3,FALSE),"")</f>
        <v/>
      </c>
      <c r="Z2286" s="45" t="str">
        <f>IFERROR(VLOOKUP(B2286,'Pre-Summary'!$BZ$6:$CB$63,2,FALSE),"")</f>
        <v/>
      </c>
      <c r="AA2286" s="45" t="str">
        <f>IFERROR(VLOOKUP(B2286,'Pre-Summary'!$CG$6:$CI$70,2,FALSE),"")</f>
        <v/>
      </c>
      <c r="AB2286" s="99">
        <f>IFERROR(VLOOKUP(B2286,'Pre-Summary'!$A$6:$P$178,9,FALSE),AB2287)</f>
        <v>0.3510413030600153</v>
      </c>
      <c r="AC2286" s="10">
        <f>IFERROR(VLOOKUP(Summary!B2286,'Pre-Summary'!$A$6:$P$184,5, FALSE)/100,AC2287)</f>
        <v>0.95838633333333334</v>
      </c>
      <c r="AD2286" s="10">
        <f>IFERROR(VLOOKUP(Summary!B2286,'Pre-Summary'!$A$6:$P$184,3, FALSE)/100,AD2287)</f>
        <v>2.8433333333333331E-2</v>
      </c>
      <c r="AE2286" s="10">
        <f>IFERROR(VLOOKUP(Summary!B2286,'Pre-Summary'!$A$6:$P$184,7, FALSE)/100,AE2287)</f>
        <v>1.3180333333333334E-2</v>
      </c>
      <c r="AF2286" s="99">
        <f t="shared" si="106"/>
        <v>9.9812743836731003E-3</v>
      </c>
      <c r="AG2286" s="99">
        <f t="shared" si="107"/>
        <v>4.6268413880986882E-3</v>
      </c>
      <c r="AH2286" s="10" t="str">
        <f>IFERROR(VLOOKUP(B2286,'Pre-Summary'!$AZ$6:$BE$65,3,FALSE),"")</f>
        <v/>
      </c>
      <c r="AI2286" s="10" t="str">
        <f>IFERROR(VLOOKUP(B2286,'Pre-Summary'!$AZ$6:$BE$65,5,FALSE),"")</f>
        <v/>
      </c>
      <c r="AJ2286" s="10" t="str">
        <f>IFERROR(VLOOKUP(B2286,'Pre-Summary'!$AZ$6:$BE$65,4,FALSE),"")</f>
        <v/>
      </c>
      <c r="AK2286" s="10" t="str">
        <f>IFERROR(VLOOKUP(B2286,'Pre-Summary'!$AZ$6:$BE$65,6,FALSE),"")</f>
        <v/>
      </c>
      <c r="AL2286" s="10" t="str">
        <f>IFERROR(VLOOKUP(B2286,'Pre-Summary'!$BG$6:$BL$44,3,FALSE),"")</f>
        <v/>
      </c>
      <c r="AM2286" s="10" t="str">
        <f>IFERROR(VLOOKUP(B2286,'Pre-Summary'!$BG$6:$BL$44,4,FALSE),"")</f>
        <v/>
      </c>
    </row>
    <row r="2287" spans="2:39" ht="15" customHeight="1" x14ac:dyDescent="0.3">
      <c r="B2287">
        <v>228.4</v>
      </c>
      <c r="C2287" t="str">
        <f>IFERROR(VLOOKUP(B2287,'Pre-Summary'!$DI$6:$DM$23,4,FALSE),"")</f>
        <v/>
      </c>
      <c r="D2287" s="10" t="str">
        <f>IFERROR(VLOOKUP(B2287,'Pre-Summary'!$AT$6:$AX$14,5,FALSE),D2286)</f>
        <v>Wolfe v3: went back to modified wolfe + EDTA and switched CuSO4 to CUCl2</v>
      </c>
      <c r="E2287" s="10" t="str">
        <f>IFERROR(VLOOKUP(B2287,'Pre-Summary'!$AT$6:$AX$15,4,FALSE),"")</f>
        <v/>
      </c>
      <c r="F2287">
        <f>IFERROR(VLOOKUP(B2287,'Pre-Summary'!$AL$6:$AQ$13,6,FALSE),F2286)</f>
        <v>5.9405263157894746E-2</v>
      </c>
      <c r="G2287" t="str">
        <f>IFERROR(VLOOKUP(B2287,'Pre-Summary'!$AE$6:$AJ$85,3,FALSE),"")</f>
        <v/>
      </c>
      <c r="H2287" t="str">
        <f>IFERROR(VLOOKUP(B2287,'Pre-Summary'!$AE$6:$AJ$85,4,FALSE),"")</f>
        <v/>
      </c>
      <c r="I2287" t="str">
        <f>IFERROR(VLOOKUP(B2287,'Pre-Summary'!$AE$6:$AJ$85,5,FALSE),"")</f>
        <v/>
      </c>
      <c r="J2287" s="45" t="str">
        <f>IFERROR(VLOOKUP(B2287,'Pre-Summary'!$AE$6:$AJ$85,6, FALSE),"")</f>
        <v/>
      </c>
      <c r="K2287" s="45" t="str">
        <f>IFERROR(VLOOKUP(B2287,'Pre-Summary'!$DE$6:$DG$61,3,FALSE),"")</f>
        <v/>
      </c>
      <c r="L2287" s="45" t="str">
        <f>IFERROR(VLOOKUP(B2287,'Pre-Summary'!$CU$6:$CW$36,3,FALSE),"")</f>
        <v/>
      </c>
      <c r="M2287" s="45" t="str">
        <f>IFERROR(VLOOKUP(B2287,'Pre-Summary'!$BW$6:$BY$58,2,FALSE),"")</f>
        <v/>
      </c>
      <c r="N2287" s="45" t="str">
        <f>IFERROR(VLOOKUP(B2287,'Pre-Summary'!$CD$6:$CF$64,2,FALSE),"")</f>
        <v/>
      </c>
      <c r="O2287" s="99">
        <f>IFERROR(VLOOKUP(B2287,'Pre-Summary'!$BO$6:$BQ$48,3, FALSE),O2286)</f>
        <v>1.508</v>
      </c>
      <c r="P2287" s="99">
        <f>IFERROR(VLOOKUP(B2287,'Pre-Summary'!$BS$6:$BU$35,3,FALSE),P2286)</f>
        <v>0.379</v>
      </c>
      <c r="Q2287" s="54">
        <f t="shared" si="105"/>
        <v>3.9788918205804751</v>
      </c>
      <c r="R2287" s="53">
        <f>IFERROR(VLOOKUP(B2287,'Pre-Summary'!$BG$6:$BM$44,7,FALSE),R2288)</f>
        <v>9.7948682664336664E-2</v>
      </c>
      <c r="S2287" s="53">
        <f>IFERROR(VLOOKUP(B2287,'Pre-Summary'!$BG$6:$BM$44,6,FALSE),S2288)</f>
        <v>0.10614035087720526</v>
      </c>
      <c r="T2287" s="45" t="str">
        <f>IFERROR(VLOOKUP(B2287,'Pre-Summary'!$Y$6:$AC$83, 3,FALSE),"")</f>
        <v/>
      </c>
      <c r="U2287" s="45" t="str">
        <f>IFERROR(VLOOKUP(B2287,'Pre-Summary'!$Y$6:$AC$83, 4,FALSE),"")</f>
        <v/>
      </c>
      <c r="V2287" t="str">
        <f>IFERROR(VLOOKUP(B2287,'Pre-Summary'!$Y$6:$AC$83, 5,FALSE),"")</f>
        <v/>
      </c>
      <c r="W2287" s="45" t="str">
        <f>IFERROR(VLOOKUP(B2287,'Pre-Summary'!$Y$6:$AD$83,6,FALSE),"")</f>
        <v/>
      </c>
      <c r="X2287" t="str">
        <f>IFERROR(VLOOKUP('Pre-Summary'!$DB$6:$DD$63,3,FALSE),"")</f>
        <v/>
      </c>
      <c r="Y2287" t="str">
        <f>IFERROR(VLOOKUP(B2287,'Pre-Summary'!$CR$6:$CT$36,3,FALSE),"")</f>
        <v/>
      </c>
      <c r="Z2287" s="45" t="str">
        <f>IFERROR(VLOOKUP(B2287,'Pre-Summary'!$BZ$6:$CB$63,2,FALSE),"")</f>
        <v/>
      </c>
      <c r="AA2287" s="45" t="str">
        <f>IFERROR(VLOOKUP(B2287,'Pre-Summary'!$CG$6:$CI$70,2,FALSE),"")</f>
        <v/>
      </c>
      <c r="AB2287" s="99">
        <f>IFERROR(VLOOKUP(B2287,'Pre-Summary'!$A$6:$P$178,9,FALSE),AB2288)</f>
        <v>0.3510413030600153</v>
      </c>
      <c r="AC2287" s="10">
        <f>IFERROR(VLOOKUP(Summary!B2287,'Pre-Summary'!$A$6:$P$184,5, FALSE)/100,AC2288)</f>
        <v>0.95838633333333334</v>
      </c>
      <c r="AD2287" s="10">
        <f>IFERROR(VLOOKUP(Summary!B2287,'Pre-Summary'!$A$6:$P$184,3, FALSE)/100,AD2288)</f>
        <v>2.8433333333333331E-2</v>
      </c>
      <c r="AE2287" s="10">
        <f>IFERROR(VLOOKUP(Summary!B2287,'Pre-Summary'!$A$6:$P$184,7, FALSE)/100,AE2288)</f>
        <v>1.3180333333333334E-2</v>
      </c>
      <c r="AF2287" s="99">
        <f t="shared" si="106"/>
        <v>9.9812743836731003E-3</v>
      </c>
      <c r="AG2287" s="99">
        <f t="shared" si="107"/>
        <v>4.6268413880986882E-3</v>
      </c>
      <c r="AH2287" s="10" t="str">
        <f>IFERROR(VLOOKUP(B2287,'Pre-Summary'!$AZ$6:$BE$65,3,FALSE),"")</f>
        <v/>
      </c>
      <c r="AI2287" s="10" t="str">
        <f>IFERROR(VLOOKUP(B2287,'Pre-Summary'!$AZ$6:$BE$65,5,FALSE),"")</f>
        <v/>
      </c>
      <c r="AJ2287" s="10" t="str">
        <f>IFERROR(VLOOKUP(B2287,'Pre-Summary'!$AZ$6:$BE$65,4,FALSE),"")</f>
        <v/>
      </c>
      <c r="AK2287" s="10" t="str">
        <f>IFERROR(VLOOKUP(B2287,'Pre-Summary'!$AZ$6:$BE$65,6,FALSE),"")</f>
        <v/>
      </c>
      <c r="AL2287" s="10" t="str">
        <f>IFERROR(VLOOKUP(B2287,'Pre-Summary'!$BG$6:$BL$44,3,FALSE),"")</f>
        <v/>
      </c>
      <c r="AM2287" s="10" t="str">
        <f>IFERROR(VLOOKUP(B2287,'Pre-Summary'!$BG$6:$BL$44,4,FALSE),"")</f>
        <v/>
      </c>
    </row>
    <row r="2288" spans="2:39" ht="15" customHeight="1" x14ac:dyDescent="0.3">
      <c r="B2288">
        <v>228.5</v>
      </c>
      <c r="C2288" t="str">
        <f>IFERROR(VLOOKUP(B2288,'Pre-Summary'!$DI$6:$DM$23,4,FALSE),"")</f>
        <v/>
      </c>
      <c r="D2288" s="10" t="str">
        <f>IFERROR(VLOOKUP(B2288,'Pre-Summary'!$AT$6:$AX$14,5,FALSE),D2287)</f>
        <v>Wolfe v3: went back to modified wolfe + EDTA and switched CuSO4 to CUCl2</v>
      </c>
      <c r="E2288" s="10" t="str">
        <f>IFERROR(VLOOKUP(B2288,'Pre-Summary'!$AT$6:$AX$15,4,FALSE),"")</f>
        <v/>
      </c>
      <c r="F2288">
        <f>IFERROR(VLOOKUP(B2288,'Pre-Summary'!$AL$6:$AQ$13,6,FALSE),F2287)</f>
        <v>5.9405263157894746E-2</v>
      </c>
      <c r="G2288" t="str">
        <f>IFERROR(VLOOKUP(B2288,'Pre-Summary'!$AE$6:$AJ$85,3,FALSE),"")</f>
        <v/>
      </c>
      <c r="H2288" t="str">
        <f>IFERROR(VLOOKUP(B2288,'Pre-Summary'!$AE$6:$AJ$85,4,FALSE),"")</f>
        <v/>
      </c>
      <c r="I2288" t="str">
        <f>IFERROR(VLOOKUP(B2288,'Pre-Summary'!$AE$6:$AJ$85,5,FALSE),"")</f>
        <v/>
      </c>
      <c r="J2288" s="45" t="str">
        <f>IFERROR(VLOOKUP(B2288,'Pre-Summary'!$AE$6:$AJ$85,6, FALSE),"")</f>
        <v/>
      </c>
      <c r="K2288" s="45" t="str">
        <f>IFERROR(VLOOKUP(B2288,'Pre-Summary'!$DE$6:$DG$61,3,FALSE),"")</f>
        <v/>
      </c>
      <c r="L2288" s="45" t="str">
        <f>IFERROR(VLOOKUP(B2288,'Pre-Summary'!$CU$6:$CW$36,3,FALSE),"")</f>
        <v/>
      </c>
      <c r="M2288" s="45" t="str">
        <f>IFERROR(VLOOKUP(B2288,'Pre-Summary'!$BW$6:$BY$58,2,FALSE),"")</f>
        <v/>
      </c>
      <c r="N2288" s="45" t="str">
        <f>IFERROR(VLOOKUP(B2288,'Pre-Summary'!$CD$6:$CF$64,2,FALSE),"")</f>
        <v/>
      </c>
      <c r="O2288" s="99">
        <f>IFERROR(VLOOKUP(B2288,'Pre-Summary'!$BO$6:$BQ$48,3, FALSE),O2287)</f>
        <v>1.508</v>
      </c>
      <c r="P2288" s="99">
        <f>IFERROR(VLOOKUP(B2288,'Pre-Summary'!$BS$6:$BU$35,3,FALSE),P2287)</f>
        <v>0.379</v>
      </c>
      <c r="Q2288" s="54">
        <f t="shared" si="105"/>
        <v>3.9788918205804751</v>
      </c>
      <c r="R2288" s="53">
        <f>IFERROR(VLOOKUP(B2288,'Pre-Summary'!$BG$6:$BM$44,7,FALSE),R2289)</f>
        <v>9.7948682664336664E-2</v>
      </c>
      <c r="S2288" s="53">
        <f>IFERROR(VLOOKUP(B2288,'Pre-Summary'!$BG$6:$BM$44,6,FALSE),S2289)</f>
        <v>0.10614035087720526</v>
      </c>
      <c r="T2288" s="45" t="str">
        <f>IFERROR(VLOOKUP(B2288,'Pre-Summary'!$Y$6:$AC$83, 3,FALSE),"")</f>
        <v/>
      </c>
      <c r="U2288" s="45" t="str">
        <f>IFERROR(VLOOKUP(B2288,'Pre-Summary'!$Y$6:$AC$83, 4,FALSE),"")</f>
        <v/>
      </c>
      <c r="V2288" t="str">
        <f>IFERROR(VLOOKUP(B2288,'Pre-Summary'!$Y$6:$AC$83, 5,FALSE),"")</f>
        <v/>
      </c>
      <c r="W2288" s="45" t="str">
        <f>IFERROR(VLOOKUP(B2288,'Pre-Summary'!$Y$6:$AD$83,6,FALSE),"")</f>
        <v/>
      </c>
      <c r="X2288" t="str">
        <f>IFERROR(VLOOKUP('Pre-Summary'!$DB$6:$DD$63,3,FALSE),"")</f>
        <v/>
      </c>
      <c r="Y2288" t="str">
        <f>IFERROR(VLOOKUP(B2288,'Pre-Summary'!$CR$6:$CT$36,3,FALSE),"")</f>
        <v/>
      </c>
      <c r="Z2288" s="45" t="str">
        <f>IFERROR(VLOOKUP(B2288,'Pre-Summary'!$BZ$6:$CB$63,2,FALSE),"")</f>
        <v/>
      </c>
      <c r="AA2288" s="45" t="str">
        <f>IFERROR(VLOOKUP(B2288,'Pre-Summary'!$CG$6:$CI$70,2,FALSE),"")</f>
        <v/>
      </c>
      <c r="AB2288" s="99">
        <f>IFERROR(VLOOKUP(B2288,'Pre-Summary'!$A$6:$P$178,9,FALSE),AB2289)</f>
        <v>0.3510413030600153</v>
      </c>
      <c r="AC2288" s="10">
        <f>IFERROR(VLOOKUP(Summary!B2288,'Pre-Summary'!$A$6:$P$184,5, FALSE)/100,AC2289)</f>
        <v>0.95838633333333334</v>
      </c>
      <c r="AD2288" s="10">
        <f>IFERROR(VLOOKUP(Summary!B2288,'Pre-Summary'!$A$6:$P$184,3, FALSE)/100,AD2289)</f>
        <v>2.8433333333333331E-2</v>
      </c>
      <c r="AE2288" s="10">
        <f>IFERROR(VLOOKUP(Summary!B2288,'Pre-Summary'!$A$6:$P$184,7, FALSE)/100,AE2289)</f>
        <v>1.3180333333333334E-2</v>
      </c>
      <c r="AF2288" s="99">
        <f t="shared" si="106"/>
        <v>9.9812743836731003E-3</v>
      </c>
      <c r="AG2288" s="99">
        <f t="shared" si="107"/>
        <v>4.6268413880986882E-3</v>
      </c>
      <c r="AH2288" s="10" t="str">
        <f>IFERROR(VLOOKUP(B2288,'Pre-Summary'!$AZ$6:$BE$65,3,FALSE),"")</f>
        <v/>
      </c>
      <c r="AI2288" s="10" t="str">
        <f>IFERROR(VLOOKUP(B2288,'Pre-Summary'!$AZ$6:$BE$65,5,FALSE),"")</f>
        <v/>
      </c>
      <c r="AJ2288" s="10" t="str">
        <f>IFERROR(VLOOKUP(B2288,'Pre-Summary'!$AZ$6:$BE$65,4,FALSE),"")</f>
        <v/>
      </c>
      <c r="AK2288" s="10" t="str">
        <f>IFERROR(VLOOKUP(B2288,'Pre-Summary'!$AZ$6:$BE$65,6,FALSE),"")</f>
        <v/>
      </c>
      <c r="AL2288" s="10" t="str">
        <f>IFERROR(VLOOKUP(B2288,'Pre-Summary'!$BG$6:$BL$44,3,FALSE),"")</f>
        <v/>
      </c>
      <c r="AM2288" s="10" t="str">
        <f>IFERROR(VLOOKUP(B2288,'Pre-Summary'!$BG$6:$BL$44,4,FALSE),"")</f>
        <v/>
      </c>
    </row>
    <row r="2289" spans="2:39" ht="15" customHeight="1" x14ac:dyDescent="0.3">
      <c r="B2289">
        <v>228.6</v>
      </c>
      <c r="C2289" t="str">
        <f>IFERROR(VLOOKUP(B2289,'Pre-Summary'!$DI$6:$DM$23,4,FALSE),"")</f>
        <v/>
      </c>
      <c r="D2289" s="10" t="str">
        <f>IFERROR(VLOOKUP(B2289,'Pre-Summary'!$AT$6:$AX$14,5,FALSE),D2288)</f>
        <v>Wolfe v3: went back to modified wolfe + EDTA and switched CuSO4 to CUCl2</v>
      </c>
      <c r="E2289" s="10" t="str">
        <f>IFERROR(VLOOKUP(B2289,'Pre-Summary'!$AT$6:$AX$15,4,FALSE),"")</f>
        <v/>
      </c>
      <c r="F2289">
        <f>IFERROR(VLOOKUP(B2289,'Pre-Summary'!$AL$6:$AQ$13,6,FALSE),F2288)</f>
        <v>5.9405263157894746E-2</v>
      </c>
      <c r="G2289" t="str">
        <f>IFERROR(VLOOKUP(B2289,'Pre-Summary'!$AE$6:$AJ$85,3,FALSE),"")</f>
        <v/>
      </c>
      <c r="H2289" t="str">
        <f>IFERROR(VLOOKUP(B2289,'Pre-Summary'!$AE$6:$AJ$85,4,FALSE),"")</f>
        <v/>
      </c>
      <c r="I2289" t="str">
        <f>IFERROR(VLOOKUP(B2289,'Pre-Summary'!$AE$6:$AJ$85,5,FALSE),"")</f>
        <v/>
      </c>
      <c r="J2289" s="45" t="str">
        <f>IFERROR(VLOOKUP(B2289,'Pre-Summary'!$AE$6:$AJ$85,6, FALSE),"")</f>
        <v/>
      </c>
      <c r="K2289" s="45" t="str">
        <f>IFERROR(VLOOKUP(B2289,'Pre-Summary'!$DE$6:$DG$61,3,FALSE),"")</f>
        <v/>
      </c>
      <c r="L2289" s="45" t="str">
        <f>IFERROR(VLOOKUP(B2289,'Pre-Summary'!$CU$6:$CW$36,3,FALSE),"")</f>
        <v/>
      </c>
      <c r="M2289" s="45" t="str">
        <f>IFERROR(VLOOKUP(B2289,'Pre-Summary'!$BW$6:$BY$58,2,FALSE),"")</f>
        <v/>
      </c>
      <c r="N2289" s="45" t="str">
        <f>IFERROR(VLOOKUP(B2289,'Pre-Summary'!$CD$6:$CF$64,2,FALSE),"")</f>
        <v/>
      </c>
      <c r="O2289" s="99">
        <f>IFERROR(VLOOKUP(B2289,'Pre-Summary'!$BO$6:$BQ$48,3, FALSE),O2288)</f>
        <v>1.508</v>
      </c>
      <c r="P2289" s="99">
        <f>IFERROR(VLOOKUP(B2289,'Pre-Summary'!$BS$6:$BU$35,3,FALSE),P2288)</f>
        <v>0.379</v>
      </c>
      <c r="Q2289" s="54">
        <f t="shared" si="105"/>
        <v>3.9788918205804751</v>
      </c>
      <c r="R2289" s="53">
        <f>IFERROR(VLOOKUP(B2289,'Pre-Summary'!$BG$6:$BM$44,7,FALSE),R2290)</f>
        <v>9.7948682664336664E-2</v>
      </c>
      <c r="S2289" s="53">
        <f>IFERROR(VLOOKUP(B2289,'Pre-Summary'!$BG$6:$BM$44,6,FALSE),S2290)</f>
        <v>0.10614035087720526</v>
      </c>
      <c r="T2289" s="45" t="str">
        <f>IFERROR(VLOOKUP(B2289,'Pre-Summary'!$Y$6:$AC$83, 3,FALSE),"")</f>
        <v/>
      </c>
      <c r="U2289" s="45" t="str">
        <f>IFERROR(VLOOKUP(B2289,'Pre-Summary'!$Y$6:$AC$83, 4,FALSE),"")</f>
        <v/>
      </c>
      <c r="V2289" t="str">
        <f>IFERROR(VLOOKUP(B2289,'Pre-Summary'!$Y$6:$AC$83, 5,FALSE),"")</f>
        <v/>
      </c>
      <c r="W2289" s="45" t="str">
        <f>IFERROR(VLOOKUP(B2289,'Pre-Summary'!$Y$6:$AD$83,6,FALSE),"")</f>
        <v/>
      </c>
      <c r="X2289" t="str">
        <f>IFERROR(VLOOKUP('Pre-Summary'!$DB$6:$DD$63,3,FALSE),"")</f>
        <v/>
      </c>
      <c r="Y2289" t="str">
        <f>IFERROR(VLOOKUP(B2289,'Pre-Summary'!$CR$6:$CT$36,3,FALSE),"")</f>
        <v/>
      </c>
      <c r="Z2289" s="45" t="str">
        <f>IFERROR(VLOOKUP(B2289,'Pre-Summary'!$BZ$6:$CB$63,2,FALSE),"")</f>
        <v/>
      </c>
      <c r="AA2289" s="45" t="str">
        <f>IFERROR(VLOOKUP(B2289,'Pre-Summary'!$CG$6:$CI$70,2,FALSE),"")</f>
        <v/>
      </c>
      <c r="AB2289" s="99">
        <f>IFERROR(VLOOKUP(B2289,'Pre-Summary'!$A$6:$P$178,9,FALSE),AB2290)</f>
        <v>0.3510413030600153</v>
      </c>
      <c r="AC2289" s="10">
        <f>IFERROR(VLOOKUP(Summary!B2289,'Pre-Summary'!$A$6:$P$184,5, FALSE)/100,AC2290)</f>
        <v>0.95838633333333334</v>
      </c>
      <c r="AD2289" s="10">
        <f>IFERROR(VLOOKUP(Summary!B2289,'Pre-Summary'!$A$6:$P$184,3, FALSE)/100,AD2290)</f>
        <v>2.8433333333333331E-2</v>
      </c>
      <c r="AE2289" s="10">
        <f>IFERROR(VLOOKUP(Summary!B2289,'Pre-Summary'!$A$6:$P$184,7, FALSE)/100,AE2290)</f>
        <v>1.3180333333333334E-2</v>
      </c>
      <c r="AF2289" s="99">
        <f t="shared" si="106"/>
        <v>9.9812743836731003E-3</v>
      </c>
      <c r="AG2289" s="99">
        <f t="shared" si="107"/>
        <v>4.6268413880986882E-3</v>
      </c>
      <c r="AH2289" s="10" t="str">
        <f>IFERROR(VLOOKUP(B2289,'Pre-Summary'!$AZ$6:$BE$65,3,FALSE),"")</f>
        <v/>
      </c>
      <c r="AI2289" s="10" t="str">
        <f>IFERROR(VLOOKUP(B2289,'Pre-Summary'!$AZ$6:$BE$65,5,FALSE),"")</f>
        <v/>
      </c>
      <c r="AJ2289" s="10" t="str">
        <f>IFERROR(VLOOKUP(B2289,'Pre-Summary'!$AZ$6:$BE$65,4,FALSE),"")</f>
        <v/>
      </c>
      <c r="AK2289" s="10" t="str">
        <f>IFERROR(VLOOKUP(B2289,'Pre-Summary'!$AZ$6:$BE$65,6,FALSE),"")</f>
        <v/>
      </c>
      <c r="AL2289" s="10" t="str">
        <f>IFERROR(VLOOKUP(B2289,'Pre-Summary'!$BG$6:$BL$44,3,FALSE),"")</f>
        <v/>
      </c>
      <c r="AM2289" s="10" t="str">
        <f>IFERROR(VLOOKUP(B2289,'Pre-Summary'!$BG$6:$BL$44,4,FALSE),"")</f>
        <v/>
      </c>
    </row>
    <row r="2290" spans="2:39" ht="15" customHeight="1" x14ac:dyDescent="0.3">
      <c r="B2290">
        <v>228.7</v>
      </c>
      <c r="C2290" t="str">
        <f>IFERROR(VLOOKUP(B2290,'Pre-Summary'!$DI$6:$DM$23,4,FALSE),"")</f>
        <v/>
      </c>
      <c r="D2290" s="10" t="str">
        <f>IFERROR(VLOOKUP(B2290,'Pre-Summary'!$AT$6:$AX$14,5,FALSE),D2289)</f>
        <v>Wolfe v3: went back to modified wolfe + EDTA and switched CuSO4 to CUCl2</v>
      </c>
      <c r="E2290" s="10" t="str">
        <f>IFERROR(VLOOKUP(B2290,'Pre-Summary'!$AT$6:$AX$15,4,FALSE),"")</f>
        <v/>
      </c>
      <c r="F2290">
        <f>IFERROR(VLOOKUP(B2290,'Pre-Summary'!$AL$6:$AQ$13,6,FALSE),F2289)</f>
        <v>5.9405263157894746E-2</v>
      </c>
      <c r="G2290" t="str">
        <f>IFERROR(VLOOKUP(B2290,'Pre-Summary'!$AE$6:$AJ$85,3,FALSE),"")</f>
        <v/>
      </c>
      <c r="H2290" t="str">
        <f>IFERROR(VLOOKUP(B2290,'Pre-Summary'!$AE$6:$AJ$85,4,FALSE),"")</f>
        <v/>
      </c>
      <c r="I2290" t="str">
        <f>IFERROR(VLOOKUP(B2290,'Pre-Summary'!$AE$6:$AJ$85,5,FALSE),"")</f>
        <v/>
      </c>
      <c r="J2290" s="45" t="str">
        <f>IFERROR(VLOOKUP(B2290,'Pre-Summary'!$AE$6:$AJ$85,6, FALSE),"")</f>
        <v/>
      </c>
      <c r="K2290" s="45" t="str">
        <f>IFERROR(VLOOKUP(B2290,'Pre-Summary'!$DE$6:$DG$61,3,FALSE),"")</f>
        <v/>
      </c>
      <c r="L2290" s="45" t="str">
        <f>IFERROR(VLOOKUP(B2290,'Pre-Summary'!$CU$6:$CW$36,3,FALSE),"")</f>
        <v/>
      </c>
      <c r="M2290" s="45" t="str">
        <f>IFERROR(VLOOKUP(B2290,'Pre-Summary'!$BW$6:$BY$58,2,FALSE),"")</f>
        <v/>
      </c>
      <c r="N2290" s="45" t="str">
        <f>IFERROR(VLOOKUP(B2290,'Pre-Summary'!$CD$6:$CF$64,2,FALSE),"")</f>
        <v/>
      </c>
      <c r="O2290" s="99">
        <f>IFERROR(VLOOKUP(B2290,'Pre-Summary'!$BO$6:$BQ$48,3, FALSE),O2289)</f>
        <v>1.508</v>
      </c>
      <c r="P2290" s="99">
        <f>IFERROR(VLOOKUP(B2290,'Pre-Summary'!$BS$6:$BU$35,3,FALSE),P2289)</f>
        <v>0.379</v>
      </c>
      <c r="Q2290" s="54">
        <f t="shared" si="105"/>
        <v>3.9788918205804751</v>
      </c>
      <c r="R2290" s="53">
        <f>IFERROR(VLOOKUP(B2290,'Pre-Summary'!$BG$6:$BM$44,7,FALSE),R2291)</f>
        <v>9.7948682664336664E-2</v>
      </c>
      <c r="S2290" s="53">
        <f>IFERROR(VLOOKUP(B2290,'Pre-Summary'!$BG$6:$BM$44,6,FALSE),S2291)</f>
        <v>0.10614035087720526</v>
      </c>
      <c r="T2290" s="45" t="str">
        <f>IFERROR(VLOOKUP(B2290,'Pre-Summary'!$Y$6:$AC$83, 3,FALSE),"")</f>
        <v/>
      </c>
      <c r="U2290" s="45" t="str">
        <f>IFERROR(VLOOKUP(B2290,'Pre-Summary'!$Y$6:$AC$83, 4,FALSE),"")</f>
        <v/>
      </c>
      <c r="V2290" t="str">
        <f>IFERROR(VLOOKUP(B2290,'Pre-Summary'!$Y$6:$AC$83, 5,FALSE),"")</f>
        <v/>
      </c>
      <c r="W2290" s="45" t="str">
        <f>IFERROR(VLOOKUP(B2290,'Pre-Summary'!$Y$6:$AD$83,6,FALSE),"")</f>
        <v/>
      </c>
      <c r="X2290" t="str">
        <f>IFERROR(VLOOKUP('Pre-Summary'!$DB$6:$DD$63,3,FALSE),"")</f>
        <v/>
      </c>
      <c r="Y2290" t="str">
        <f>IFERROR(VLOOKUP(B2290,'Pre-Summary'!$CR$6:$CT$36,3,FALSE),"")</f>
        <v/>
      </c>
      <c r="Z2290" s="45" t="str">
        <f>IFERROR(VLOOKUP(B2290,'Pre-Summary'!$BZ$6:$CB$63,2,FALSE),"")</f>
        <v/>
      </c>
      <c r="AA2290" s="45" t="str">
        <f>IFERROR(VLOOKUP(B2290,'Pre-Summary'!$CG$6:$CI$70,2,FALSE),"")</f>
        <v/>
      </c>
      <c r="AB2290" s="99">
        <f>IFERROR(VLOOKUP(B2290,'Pre-Summary'!$A$6:$P$178,9,FALSE),AB2291)</f>
        <v>0.3510413030600153</v>
      </c>
      <c r="AC2290" s="10">
        <f>IFERROR(VLOOKUP(Summary!B2290,'Pre-Summary'!$A$6:$P$184,5, FALSE)/100,AC2291)</f>
        <v>0.95838633333333334</v>
      </c>
      <c r="AD2290" s="10">
        <f>IFERROR(VLOOKUP(Summary!B2290,'Pre-Summary'!$A$6:$P$184,3, FALSE)/100,AD2291)</f>
        <v>2.8433333333333331E-2</v>
      </c>
      <c r="AE2290" s="10">
        <f>IFERROR(VLOOKUP(Summary!B2290,'Pre-Summary'!$A$6:$P$184,7, FALSE)/100,AE2291)</f>
        <v>1.3180333333333334E-2</v>
      </c>
      <c r="AF2290" s="99">
        <f t="shared" si="106"/>
        <v>9.9812743836731003E-3</v>
      </c>
      <c r="AG2290" s="99">
        <f t="shared" si="107"/>
        <v>4.6268413880986882E-3</v>
      </c>
      <c r="AH2290" s="10" t="str">
        <f>IFERROR(VLOOKUP(B2290,'Pre-Summary'!$AZ$6:$BE$65,3,FALSE),"")</f>
        <v/>
      </c>
      <c r="AI2290" s="10" t="str">
        <f>IFERROR(VLOOKUP(B2290,'Pre-Summary'!$AZ$6:$BE$65,5,FALSE),"")</f>
        <v/>
      </c>
      <c r="AJ2290" s="10" t="str">
        <f>IFERROR(VLOOKUP(B2290,'Pre-Summary'!$AZ$6:$BE$65,4,FALSE),"")</f>
        <v/>
      </c>
      <c r="AK2290" s="10" t="str">
        <f>IFERROR(VLOOKUP(B2290,'Pre-Summary'!$AZ$6:$BE$65,6,FALSE),"")</f>
        <v/>
      </c>
      <c r="AL2290" s="10" t="str">
        <f>IFERROR(VLOOKUP(B2290,'Pre-Summary'!$BG$6:$BL$44,3,FALSE),"")</f>
        <v/>
      </c>
      <c r="AM2290" s="10" t="str">
        <f>IFERROR(VLOOKUP(B2290,'Pre-Summary'!$BG$6:$BL$44,4,FALSE),"")</f>
        <v/>
      </c>
    </row>
    <row r="2291" spans="2:39" ht="15" customHeight="1" x14ac:dyDescent="0.3">
      <c r="B2291">
        <v>228.8</v>
      </c>
      <c r="C2291" t="str">
        <f>IFERROR(VLOOKUP(B2291,'Pre-Summary'!$DI$6:$DM$23,4,FALSE),"")</f>
        <v/>
      </c>
      <c r="D2291" s="10" t="str">
        <f>IFERROR(VLOOKUP(B2291,'Pre-Summary'!$AT$6:$AX$14,5,FALSE),D2290)</f>
        <v>Wolfe v3: went back to modified wolfe + EDTA and switched CuSO4 to CUCl2</v>
      </c>
      <c r="E2291" s="10" t="str">
        <f>IFERROR(VLOOKUP(B2291,'Pre-Summary'!$AT$6:$AX$15,4,FALSE),"")</f>
        <v/>
      </c>
      <c r="F2291">
        <f>IFERROR(VLOOKUP(B2291,'Pre-Summary'!$AL$6:$AQ$13,6,FALSE),F2290)</f>
        <v>5.9405263157894746E-2</v>
      </c>
      <c r="G2291" t="str">
        <f>IFERROR(VLOOKUP(B2291,'Pre-Summary'!$AE$6:$AJ$85,3,FALSE),"")</f>
        <v/>
      </c>
      <c r="H2291" t="str">
        <f>IFERROR(VLOOKUP(B2291,'Pre-Summary'!$AE$6:$AJ$85,4,FALSE),"")</f>
        <v/>
      </c>
      <c r="I2291" t="str">
        <f>IFERROR(VLOOKUP(B2291,'Pre-Summary'!$AE$6:$AJ$85,5,FALSE),"")</f>
        <v/>
      </c>
      <c r="J2291" s="45" t="str">
        <f>IFERROR(VLOOKUP(B2291,'Pre-Summary'!$AE$6:$AJ$85,6, FALSE),"")</f>
        <v/>
      </c>
      <c r="K2291" s="45" t="str">
        <f>IFERROR(VLOOKUP(B2291,'Pre-Summary'!$DE$6:$DG$61,3,FALSE),"")</f>
        <v/>
      </c>
      <c r="L2291" s="45" t="str">
        <f>IFERROR(VLOOKUP(B2291,'Pre-Summary'!$CU$6:$CW$36,3,FALSE),"")</f>
        <v/>
      </c>
      <c r="M2291" s="45" t="str">
        <f>IFERROR(VLOOKUP(B2291,'Pre-Summary'!$BW$6:$BY$58,2,FALSE),"")</f>
        <v/>
      </c>
      <c r="N2291" s="45" t="str">
        <f>IFERROR(VLOOKUP(B2291,'Pre-Summary'!$CD$6:$CF$64,2,FALSE),"")</f>
        <v/>
      </c>
      <c r="O2291" s="99">
        <f>IFERROR(VLOOKUP(B2291,'Pre-Summary'!$BO$6:$BQ$48,3, FALSE),O2290)</f>
        <v>1.508</v>
      </c>
      <c r="P2291" s="99">
        <f>IFERROR(VLOOKUP(B2291,'Pre-Summary'!$BS$6:$BU$35,3,FALSE),P2290)</f>
        <v>0.379</v>
      </c>
      <c r="Q2291" s="54">
        <f t="shared" si="105"/>
        <v>3.9788918205804751</v>
      </c>
      <c r="R2291" s="53">
        <f>IFERROR(VLOOKUP(B2291,'Pre-Summary'!$BG$6:$BM$44,7,FALSE),R2292)</f>
        <v>9.7948682664336664E-2</v>
      </c>
      <c r="S2291" s="53">
        <f>IFERROR(VLOOKUP(B2291,'Pre-Summary'!$BG$6:$BM$44,6,FALSE),S2292)</f>
        <v>0.10614035087720526</v>
      </c>
      <c r="T2291" s="45" t="str">
        <f>IFERROR(VLOOKUP(B2291,'Pre-Summary'!$Y$6:$AC$83, 3,FALSE),"")</f>
        <v/>
      </c>
      <c r="U2291" s="45" t="str">
        <f>IFERROR(VLOOKUP(B2291,'Pre-Summary'!$Y$6:$AC$83, 4,FALSE),"")</f>
        <v/>
      </c>
      <c r="V2291" t="str">
        <f>IFERROR(VLOOKUP(B2291,'Pre-Summary'!$Y$6:$AC$83, 5,FALSE),"")</f>
        <v/>
      </c>
      <c r="W2291" s="45" t="str">
        <f>IFERROR(VLOOKUP(B2291,'Pre-Summary'!$Y$6:$AD$83,6,FALSE),"")</f>
        <v/>
      </c>
      <c r="X2291" t="str">
        <f>IFERROR(VLOOKUP('Pre-Summary'!$DB$6:$DD$63,3,FALSE),"")</f>
        <v/>
      </c>
      <c r="Y2291" t="str">
        <f>IFERROR(VLOOKUP(B2291,'Pre-Summary'!$CR$6:$CT$36,3,FALSE),"")</f>
        <v/>
      </c>
      <c r="Z2291" s="45" t="str">
        <f>IFERROR(VLOOKUP(B2291,'Pre-Summary'!$BZ$6:$CB$63,2,FALSE),"")</f>
        <v/>
      </c>
      <c r="AA2291" s="45" t="str">
        <f>IFERROR(VLOOKUP(B2291,'Pre-Summary'!$CG$6:$CI$70,2,FALSE),"")</f>
        <v/>
      </c>
      <c r="AB2291" s="99">
        <f>IFERROR(VLOOKUP(B2291,'Pre-Summary'!$A$6:$P$178,9,FALSE),AB2292)</f>
        <v>0.3510413030600153</v>
      </c>
      <c r="AC2291" s="10">
        <f>IFERROR(VLOOKUP(Summary!B2291,'Pre-Summary'!$A$6:$P$184,5, FALSE)/100,AC2292)</f>
        <v>0.95838633333333334</v>
      </c>
      <c r="AD2291" s="10">
        <f>IFERROR(VLOOKUP(Summary!B2291,'Pre-Summary'!$A$6:$P$184,3, FALSE)/100,AD2292)</f>
        <v>2.8433333333333331E-2</v>
      </c>
      <c r="AE2291" s="10">
        <f>IFERROR(VLOOKUP(Summary!B2291,'Pre-Summary'!$A$6:$P$184,7, FALSE)/100,AE2292)</f>
        <v>1.3180333333333334E-2</v>
      </c>
      <c r="AF2291" s="99">
        <f t="shared" si="106"/>
        <v>9.9812743836731003E-3</v>
      </c>
      <c r="AG2291" s="99">
        <f t="shared" si="107"/>
        <v>4.6268413880986882E-3</v>
      </c>
      <c r="AH2291" s="10" t="str">
        <f>IFERROR(VLOOKUP(B2291,'Pre-Summary'!$AZ$6:$BE$65,3,FALSE),"")</f>
        <v/>
      </c>
      <c r="AI2291" s="10" t="str">
        <f>IFERROR(VLOOKUP(B2291,'Pre-Summary'!$AZ$6:$BE$65,5,FALSE),"")</f>
        <v/>
      </c>
      <c r="AJ2291" s="10" t="str">
        <f>IFERROR(VLOOKUP(B2291,'Pre-Summary'!$AZ$6:$BE$65,4,FALSE),"")</f>
        <v/>
      </c>
      <c r="AK2291" s="10" t="str">
        <f>IFERROR(VLOOKUP(B2291,'Pre-Summary'!$AZ$6:$BE$65,6,FALSE),"")</f>
        <v/>
      </c>
      <c r="AL2291" s="10" t="str">
        <f>IFERROR(VLOOKUP(B2291,'Pre-Summary'!$BG$6:$BL$44,3,FALSE),"")</f>
        <v/>
      </c>
      <c r="AM2291" s="10" t="str">
        <f>IFERROR(VLOOKUP(B2291,'Pre-Summary'!$BG$6:$BL$44,4,FALSE),"")</f>
        <v/>
      </c>
    </row>
    <row r="2292" spans="2:39" ht="15" customHeight="1" x14ac:dyDescent="0.3">
      <c r="B2292">
        <v>228.9</v>
      </c>
      <c r="C2292" t="str">
        <f>IFERROR(VLOOKUP(B2292,'Pre-Summary'!$DI$6:$DM$23,4,FALSE),"")</f>
        <v/>
      </c>
      <c r="D2292" s="10" t="str">
        <f>IFERROR(VLOOKUP(B2292,'Pre-Summary'!$AT$6:$AX$14,5,FALSE),D2291)</f>
        <v>Wolfe v3: went back to modified wolfe + EDTA and switched CuSO4 to CUCl2</v>
      </c>
      <c r="E2292" s="10" t="str">
        <f>IFERROR(VLOOKUP(B2292,'Pre-Summary'!$AT$6:$AX$15,4,FALSE),"")</f>
        <v/>
      </c>
      <c r="F2292">
        <f>IFERROR(VLOOKUP(B2292,'Pre-Summary'!$AL$6:$AQ$13,6,FALSE),F2291)</f>
        <v>5.9405263157894746E-2</v>
      </c>
      <c r="G2292" t="str">
        <f>IFERROR(VLOOKUP(B2292,'Pre-Summary'!$AE$6:$AJ$85,3,FALSE),"")</f>
        <v/>
      </c>
      <c r="H2292" t="str">
        <f>IFERROR(VLOOKUP(B2292,'Pre-Summary'!$AE$6:$AJ$85,4,FALSE),"")</f>
        <v/>
      </c>
      <c r="I2292" t="str">
        <f>IFERROR(VLOOKUP(B2292,'Pre-Summary'!$AE$6:$AJ$85,5,FALSE),"")</f>
        <v/>
      </c>
      <c r="J2292" s="45" t="str">
        <f>IFERROR(VLOOKUP(B2292,'Pre-Summary'!$AE$6:$AJ$85,6, FALSE),"")</f>
        <v/>
      </c>
      <c r="K2292" s="45" t="str">
        <f>IFERROR(VLOOKUP(B2292,'Pre-Summary'!$DE$6:$DG$61,3,FALSE),"")</f>
        <v/>
      </c>
      <c r="L2292" s="45" t="str">
        <f>IFERROR(VLOOKUP(B2292,'Pre-Summary'!$CU$6:$CW$36,3,FALSE),"")</f>
        <v/>
      </c>
      <c r="M2292" s="45" t="str">
        <f>IFERROR(VLOOKUP(B2292,'Pre-Summary'!$BW$6:$BY$58,2,FALSE),"")</f>
        <v/>
      </c>
      <c r="N2292" s="45" t="str">
        <f>IFERROR(VLOOKUP(B2292,'Pre-Summary'!$CD$6:$CF$64,2,FALSE),"")</f>
        <v/>
      </c>
      <c r="O2292" s="99">
        <f>IFERROR(VLOOKUP(B2292,'Pre-Summary'!$BO$6:$BQ$48,3, FALSE),O2291)</f>
        <v>1.508</v>
      </c>
      <c r="P2292" s="99">
        <f>IFERROR(VLOOKUP(B2292,'Pre-Summary'!$BS$6:$BU$35,3,FALSE),P2291)</f>
        <v>0.379</v>
      </c>
      <c r="Q2292" s="54">
        <f t="shared" si="105"/>
        <v>3.9788918205804751</v>
      </c>
      <c r="R2292" s="53">
        <f>IFERROR(VLOOKUP(B2292,'Pre-Summary'!$BG$6:$BM$44,7,FALSE),R2293)</f>
        <v>9.7948682664336664E-2</v>
      </c>
      <c r="S2292" s="53">
        <f>IFERROR(VLOOKUP(B2292,'Pre-Summary'!$BG$6:$BM$44,6,FALSE),S2293)</f>
        <v>0.10614035087720526</v>
      </c>
      <c r="T2292" s="45" t="str">
        <f>IFERROR(VLOOKUP(B2292,'Pre-Summary'!$Y$6:$AC$83, 3,FALSE),"")</f>
        <v/>
      </c>
      <c r="U2292" s="45" t="str">
        <f>IFERROR(VLOOKUP(B2292,'Pre-Summary'!$Y$6:$AC$83, 4,FALSE),"")</f>
        <v/>
      </c>
      <c r="V2292" t="str">
        <f>IFERROR(VLOOKUP(B2292,'Pre-Summary'!$Y$6:$AC$83, 5,FALSE),"")</f>
        <v/>
      </c>
      <c r="W2292" s="45" t="str">
        <f>IFERROR(VLOOKUP(B2292,'Pre-Summary'!$Y$6:$AD$83,6,FALSE),"")</f>
        <v/>
      </c>
      <c r="X2292" t="str">
        <f>IFERROR(VLOOKUP('Pre-Summary'!$DB$6:$DD$63,3,FALSE),"")</f>
        <v/>
      </c>
      <c r="Y2292" t="str">
        <f>IFERROR(VLOOKUP(B2292,'Pre-Summary'!$CR$6:$CT$36,3,FALSE),"")</f>
        <v/>
      </c>
      <c r="Z2292" s="45" t="str">
        <f>IFERROR(VLOOKUP(B2292,'Pre-Summary'!$BZ$6:$CB$63,2,FALSE),"")</f>
        <v/>
      </c>
      <c r="AA2292" s="45" t="str">
        <f>IFERROR(VLOOKUP(B2292,'Pre-Summary'!$CG$6:$CI$70,2,FALSE),"")</f>
        <v/>
      </c>
      <c r="AB2292" s="99">
        <f>IFERROR(VLOOKUP(B2292,'Pre-Summary'!$A$6:$P$178,9,FALSE),AB2293)</f>
        <v>0.3510413030600153</v>
      </c>
      <c r="AC2292" s="10">
        <f>IFERROR(VLOOKUP(Summary!B2292,'Pre-Summary'!$A$6:$P$184,5, FALSE)/100,AC2293)</f>
        <v>0.95838633333333334</v>
      </c>
      <c r="AD2292" s="10">
        <f>IFERROR(VLOOKUP(Summary!B2292,'Pre-Summary'!$A$6:$P$184,3, FALSE)/100,AD2293)</f>
        <v>2.8433333333333331E-2</v>
      </c>
      <c r="AE2292" s="10">
        <f>IFERROR(VLOOKUP(Summary!B2292,'Pre-Summary'!$A$6:$P$184,7, FALSE)/100,AE2293)</f>
        <v>1.3180333333333334E-2</v>
      </c>
      <c r="AF2292" s="99">
        <f t="shared" si="106"/>
        <v>9.9812743836731003E-3</v>
      </c>
      <c r="AG2292" s="99">
        <f t="shared" si="107"/>
        <v>4.6268413880986882E-3</v>
      </c>
      <c r="AH2292" s="10" t="str">
        <f>IFERROR(VLOOKUP(B2292,'Pre-Summary'!$AZ$6:$BE$65,3,FALSE),"")</f>
        <v/>
      </c>
      <c r="AI2292" s="10" t="str">
        <f>IFERROR(VLOOKUP(B2292,'Pre-Summary'!$AZ$6:$BE$65,5,FALSE),"")</f>
        <v/>
      </c>
      <c r="AJ2292" s="10" t="str">
        <f>IFERROR(VLOOKUP(B2292,'Pre-Summary'!$AZ$6:$BE$65,4,FALSE),"")</f>
        <v/>
      </c>
      <c r="AK2292" s="10" t="str">
        <f>IFERROR(VLOOKUP(B2292,'Pre-Summary'!$AZ$6:$BE$65,6,FALSE),"")</f>
        <v/>
      </c>
      <c r="AL2292" s="10" t="str">
        <f>IFERROR(VLOOKUP(B2292,'Pre-Summary'!$BG$6:$BL$44,3,FALSE),"")</f>
        <v/>
      </c>
      <c r="AM2292" s="10" t="str">
        <f>IFERROR(VLOOKUP(B2292,'Pre-Summary'!$BG$6:$BL$44,4,FALSE),"")</f>
        <v/>
      </c>
    </row>
    <row r="2293" spans="2:39" ht="15" customHeight="1" x14ac:dyDescent="0.3">
      <c r="B2293">
        <v>229</v>
      </c>
      <c r="C2293" t="str">
        <f>IFERROR(VLOOKUP(B2293,'Pre-Summary'!$DI$6:$DM$23,4,FALSE),"")</f>
        <v/>
      </c>
      <c r="D2293" s="10" t="str">
        <f>IFERROR(VLOOKUP(B2293,'Pre-Summary'!$AT$6:$AX$14,5,FALSE),D2292)</f>
        <v>Wolfe v3: went back to modified wolfe + EDTA and switched CuSO4 to CUCl2</v>
      </c>
      <c r="E2293" s="10" t="str">
        <f>IFERROR(VLOOKUP(B2293,'Pre-Summary'!$AT$6:$AX$15,4,FALSE),"")</f>
        <v/>
      </c>
      <c r="F2293">
        <f>IFERROR(VLOOKUP(B2293,'Pre-Summary'!$AL$6:$AQ$13,6,FALSE),F2292)</f>
        <v>5.9405263157894746E-2</v>
      </c>
      <c r="G2293" t="str">
        <f>IFERROR(VLOOKUP(B2293,'Pre-Summary'!$AE$6:$AJ$85,3,FALSE),"")</f>
        <v/>
      </c>
      <c r="H2293" t="str">
        <f>IFERROR(VLOOKUP(B2293,'Pre-Summary'!$AE$6:$AJ$85,4,FALSE),"")</f>
        <v/>
      </c>
      <c r="I2293" t="str">
        <f>IFERROR(VLOOKUP(B2293,'Pre-Summary'!$AE$6:$AJ$85,5,FALSE),"")</f>
        <v/>
      </c>
      <c r="J2293" s="45" t="str">
        <f>IFERROR(VLOOKUP(B2293,'Pre-Summary'!$AE$6:$AJ$85,6, FALSE),"")</f>
        <v/>
      </c>
      <c r="K2293" s="45" t="str">
        <f>IFERROR(VLOOKUP(B2293,'Pre-Summary'!$DE$6:$DG$61,3,FALSE),"")</f>
        <v/>
      </c>
      <c r="L2293" s="45" t="str">
        <f>IFERROR(VLOOKUP(B2293,'Pre-Summary'!$CU$6:$CW$36,3,FALSE),"")</f>
        <v/>
      </c>
      <c r="M2293" s="45" t="str">
        <f>IFERROR(VLOOKUP(B2293,'Pre-Summary'!$BW$6:$BY$58,2,FALSE),"")</f>
        <v/>
      </c>
      <c r="N2293" s="45" t="str">
        <f>IFERROR(VLOOKUP(B2293,'Pre-Summary'!$CD$6:$CF$64,2,FALSE),"")</f>
        <v/>
      </c>
      <c r="O2293" s="99">
        <f>IFERROR(VLOOKUP(B2293,'Pre-Summary'!$BO$6:$BQ$48,3, FALSE),O2292)</f>
        <v>1.508</v>
      </c>
      <c r="P2293" s="99">
        <f>IFERROR(VLOOKUP(B2293,'Pre-Summary'!$BS$6:$BU$35,3,FALSE),P2292)</f>
        <v>0.379</v>
      </c>
      <c r="Q2293" s="54">
        <f t="shared" si="105"/>
        <v>3.9788918205804751</v>
      </c>
      <c r="R2293" s="53">
        <f>IFERROR(VLOOKUP(B2293,'Pre-Summary'!$BG$6:$BM$44,7,FALSE),R2294)</f>
        <v>9.7948682664336664E-2</v>
      </c>
      <c r="S2293" s="53">
        <f>IFERROR(VLOOKUP(B2293,'Pre-Summary'!$BG$6:$BM$44,6,FALSE),S2294)</f>
        <v>0.10614035087720526</v>
      </c>
      <c r="T2293" s="45" t="str">
        <f>IFERROR(VLOOKUP(B2293,'Pre-Summary'!$Y$6:$AC$83, 3,FALSE),"")</f>
        <v/>
      </c>
      <c r="U2293" s="45" t="str">
        <f>IFERROR(VLOOKUP(B2293,'Pre-Summary'!$Y$6:$AC$83, 4,FALSE),"")</f>
        <v/>
      </c>
      <c r="V2293" t="str">
        <f>IFERROR(VLOOKUP(B2293,'Pre-Summary'!$Y$6:$AC$83, 5,FALSE),"")</f>
        <v/>
      </c>
      <c r="W2293" s="45" t="str">
        <f>IFERROR(VLOOKUP(B2293,'Pre-Summary'!$Y$6:$AD$83,6,FALSE),"")</f>
        <v/>
      </c>
      <c r="X2293" t="str">
        <f>IFERROR(VLOOKUP('Pre-Summary'!$DB$6:$DD$63,3,FALSE),"")</f>
        <v/>
      </c>
      <c r="Y2293" t="str">
        <f>IFERROR(VLOOKUP(B2293,'Pre-Summary'!$CR$6:$CT$36,3,FALSE),"")</f>
        <v/>
      </c>
      <c r="Z2293" s="45" t="str">
        <f>IFERROR(VLOOKUP(B2293,'Pre-Summary'!$BZ$6:$CB$63,2,FALSE),"")</f>
        <v/>
      </c>
      <c r="AA2293" s="45" t="str">
        <f>IFERROR(VLOOKUP(B2293,'Pre-Summary'!$CG$6:$CI$70,2,FALSE),"")</f>
        <v/>
      </c>
      <c r="AB2293" s="99">
        <f>IFERROR(VLOOKUP(B2293,'Pre-Summary'!$A$6:$P$178,9,FALSE),AB2294)</f>
        <v>0.3510413030600153</v>
      </c>
      <c r="AC2293" s="10">
        <f>IFERROR(VLOOKUP(Summary!B2293,'Pre-Summary'!$A$6:$P$184,5, FALSE)/100,AC2294)</f>
        <v>0.95838633333333334</v>
      </c>
      <c r="AD2293" s="10">
        <f>IFERROR(VLOOKUP(Summary!B2293,'Pre-Summary'!$A$6:$P$184,3, FALSE)/100,AD2294)</f>
        <v>2.8433333333333331E-2</v>
      </c>
      <c r="AE2293" s="10">
        <f>IFERROR(VLOOKUP(Summary!B2293,'Pre-Summary'!$A$6:$P$184,7, FALSE)/100,AE2294)</f>
        <v>1.3180333333333334E-2</v>
      </c>
      <c r="AF2293" s="99">
        <f t="shared" si="106"/>
        <v>9.9812743836731003E-3</v>
      </c>
      <c r="AG2293" s="99">
        <f t="shared" si="107"/>
        <v>4.6268413880986882E-3</v>
      </c>
      <c r="AH2293" s="10" t="str">
        <f>IFERROR(VLOOKUP(B2293,'Pre-Summary'!$AZ$6:$BE$65,3,FALSE),"")</f>
        <v/>
      </c>
      <c r="AI2293" s="10" t="str">
        <f>IFERROR(VLOOKUP(B2293,'Pre-Summary'!$AZ$6:$BE$65,5,FALSE),"")</f>
        <v/>
      </c>
      <c r="AJ2293" s="10" t="str">
        <f>IFERROR(VLOOKUP(B2293,'Pre-Summary'!$AZ$6:$BE$65,4,FALSE),"")</f>
        <v/>
      </c>
      <c r="AK2293" s="10" t="str">
        <f>IFERROR(VLOOKUP(B2293,'Pre-Summary'!$AZ$6:$BE$65,6,FALSE),"")</f>
        <v/>
      </c>
      <c r="AL2293" s="10" t="str">
        <f>IFERROR(VLOOKUP(B2293,'Pre-Summary'!$BG$6:$BL$44,3,FALSE),"")</f>
        <v/>
      </c>
      <c r="AM2293" s="10" t="str">
        <f>IFERROR(VLOOKUP(B2293,'Pre-Summary'!$BG$6:$BL$44,4,FALSE),"")</f>
        <v/>
      </c>
    </row>
    <row r="2294" spans="2:39" ht="15" customHeight="1" x14ac:dyDescent="0.3">
      <c r="B2294">
        <v>229.1</v>
      </c>
      <c r="C2294" t="str">
        <f>IFERROR(VLOOKUP(B2294,'Pre-Summary'!$DI$6:$DM$23,4,FALSE),"")</f>
        <v/>
      </c>
      <c r="D2294" s="10" t="str">
        <f>IFERROR(VLOOKUP(B2294,'Pre-Summary'!$AT$6:$AX$14,5,FALSE),D2293)</f>
        <v>Wolfe v3: went back to modified wolfe + EDTA and switched CuSO4 to CUCl2</v>
      </c>
      <c r="E2294" s="10" t="str">
        <f>IFERROR(VLOOKUP(B2294,'Pre-Summary'!$AT$6:$AX$15,4,FALSE),"")</f>
        <v/>
      </c>
      <c r="F2294">
        <f>IFERROR(VLOOKUP(B2294,'Pre-Summary'!$AL$6:$AQ$13,6,FALSE),F2293)</f>
        <v>5.9405263157894746E-2</v>
      </c>
      <c r="G2294" t="str">
        <f>IFERROR(VLOOKUP(B2294,'Pre-Summary'!$AE$6:$AJ$85,3,FALSE),"")</f>
        <v/>
      </c>
      <c r="H2294" t="str">
        <f>IFERROR(VLOOKUP(B2294,'Pre-Summary'!$AE$6:$AJ$85,4,FALSE),"")</f>
        <v/>
      </c>
      <c r="I2294" t="str">
        <f>IFERROR(VLOOKUP(B2294,'Pre-Summary'!$AE$6:$AJ$85,5,FALSE),"")</f>
        <v/>
      </c>
      <c r="J2294" s="45" t="str">
        <f>IFERROR(VLOOKUP(B2294,'Pre-Summary'!$AE$6:$AJ$85,6, FALSE),"")</f>
        <v/>
      </c>
      <c r="K2294" s="45" t="str">
        <f>IFERROR(VLOOKUP(B2294,'Pre-Summary'!$DE$6:$DG$61,3,FALSE),"")</f>
        <v/>
      </c>
      <c r="L2294" s="45" t="str">
        <f>IFERROR(VLOOKUP(B2294,'Pre-Summary'!$CU$6:$CW$36,3,FALSE),"")</f>
        <v/>
      </c>
      <c r="M2294" s="45" t="str">
        <f>IFERROR(VLOOKUP(B2294,'Pre-Summary'!$BW$6:$BY$58,2,FALSE),"")</f>
        <v/>
      </c>
      <c r="N2294" s="45" t="str">
        <f>IFERROR(VLOOKUP(B2294,'Pre-Summary'!$CD$6:$CF$64,2,FALSE),"")</f>
        <v/>
      </c>
      <c r="O2294" s="99">
        <f>IFERROR(VLOOKUP(B2294,'Pre-Summary'!$BO$6:$BQ$48,3, FALSE),O2293)</f>
        <v>1.508</v>
      </c>
      <c r="P2294" s="99">
        <f>IFERROR(VLOOKUP(B2294,'Pre-Summary'!$BS$6:$BU$35,3,FALSE),P2293)</f>
        <v>0.379</v>
      </c>
      <c r="Q2294" s="54">
        <f t="shared" si="105"/>
        <v>3.9788918205804751</v>
      </c>
      <c r="R2294" s="53">
        <f>IFERROR(VLOOKUP(B2294,'Pre-Summary'!$BG$6:$BM$44,7,FALSE),R2295)</f>
        <v>9.7948682664336664E-2</v>
      </c>
      <c r="S2294" s="53">
        <f>IFERROR(VLOOKUP(B2294,'Pre-Summary'!$BG$6:$BM$44,6,FALSE),S2295)</f>
        <v>0.10614035087720526</v>
      </c>
      <c r="T2294" s="45" t="str">
        <f>IFERROR(VLOOKUP(B2294,'Pre-Summary'!$Y$6:$AC$83, 3,FALSE),"")</f>
        <v/>
      </c>
      <c r="U2294" s="45" t="str">
        <f>IFERROR(VLOOKUP(B2294,'Pre-Summary'!$Y$6:$AC$83, 4,FALSE),"")</f>
        <v/>
      </c>
      <c r="V2294" t="str">
        <f>IFERROR(VLOOKUP(B2294,'Pre-Summary'!$Y$6:$AC$83, 5,FALSE),"")</f>
        <v/>
      </c>
      <c r="W2294" s="45" t="str">
        <f>IFERROR(VLOOKUP(B2294,'Pre-Summary'!$Y$6:$AD$83,6,FALSE),"")</f>
        <v/>
      </c>
      <c r="X2294" t="str">
        <f>IFERROR(VLOOKUP('Pre-Summary'!$DB$6:$DD$63,3,FALSE),"")</f>
        <v/>
      </c>
      <c r="Y2294" t="str">
        <f>IFERROR(VLOOKUP(B2294,'Pre-Summary'!$CR$6:$CT$36,3,FALSE),"")</f>
        <v/>
      </c>
      <c r="Z2294" s="45" t="str">
        <f>IFERROR(VLOOKUP(B2294,'Pre-Summary'!$BZ$6:$CB$63,2,FALSE),"")</f>
        <v/>
      </c>
      <c r="AA2294" s="45" t="str">
        <f>IFERROR(VLOOKUP(B2294,'Pre-Summary'!$CG$6:$CI$70,2,FALSE),"")</f>
        <v/>
      </c>
      <c r="AB2294" s="99">
        <f>IFERROR(VLOOKUP(B2294,'Pre-Summary'!$A$6:$P$178,9,FALSE),AB2295)</f>
        <v>0.3510413030600153</v>
      </c>
      <c r="AC2294" s="10">
        <f>IFERROR(VLOOKUP(Summary!B2294,'Pre-Summary'!$A$6:$P$184,5, FALSE)/100,AC2295)</f>
        <v>0.95838633333333334</v>
      </c>
      <c r="AD2294" s="10">
        <f>IFERROR(VLOOKUP(Summary!B2294,'Pre-Summary'!$A$6:$P$184,3, FALSE)/100,AD2295)</f>
        <v>2.8433333333333331E-2</v>
      </c>
      <c r="AE2294" s="10">
        <f>IFERROR(VLOOKUP(Summary!B2294,'Pre-Summary'!$A$6:$P$184,7, FALSE)/100,AE2295)</f>
        <v>1.3180333333333334E-2</v>
      </c>
      <c r="AF2294" s="99">
        <f t="shared" si="106"/>
        <v>9.9812743836731003E-3</v>
      </c>
      <c r="AG2294" s="99">
        <f t="shared" si="107"/>
        <v>4.6268413880986882E-3</v>
      </c>
      <c r="AH2294" s="10" t="str">
        <f>IFERROR(VLOOKUP(B2294,'Pre-Summary'!$AZ$6:$BE$65,3,FALSE),"")</f>
        <v/>
      </c>
      <c r="AI2294" s="10" t="str">
        <f>IFERROR(VLOOKUP(B2294,'Pre-Summary'!$AZ$6:$BE$65,5,FALSE),"")</f>
        <v/>
      </c>
      <c r="AJ2294" s="10" t="str">
        <f>IFERROR(VLOOKUP(B2294,'Pre-Summary'!$AZ$6:$BE$65,4,FALSE),"")</f>
        <v/>
      </c>
      <c r="AK2294" s="10" t="str">
        <f>IFERROR(VLOOKUP(B2294,'Pre-Summary'!$AZ$6:$BE$65,6,FALSE),"")</f>
        <v/>
      </c>
      <c r="AL2294" s="10" t="str">
        <f>IFERROR(VLOOKUP(B2294,'Pre-Summary'!$BG$6:$BL$44,3,FALSE),"")</f>
        <v/>
      </c>
      <c r="AM2294" s="10" t="str">
        <f>IFERROR(VLOOKUP(B2294,'Pre-Summary'!$BG$6:$BL$44,4,FALSE),"")</f>
        <v/>
      </c>
    </row>
    <row r="2295" spans="2:39" ht="15" customHeight="1" x14ac:dyDescent="0.3">
      <c r="B2295">
        <v>229.2</v>
      </c>
      <c r="C2295" t="str">
        <f>IFERROR(VLOOKUP(B2295,'Pre-Summary'!$DI$6:$DM$23,4,FALSE),"")</f>
        <v/>
      </c>
      <c r="D2295" s="10" t="str">
        <f>IFERROR(VLOOKUP(B2295,'Pre-Summary'!$AT$6:$AX$14,5,FALSE),D2294)</f>
        <v>Wolfe v3: went back to modified wolfe + EDTA and switched CuSO4 to CUCl2</v>
      </c>
      <c r="E2295" s="10" t="str">
        <f>IFERROR(VLOOKUP(B2295,'Pre-Summary'!$AT$6:$AX$15,4,FALSE),"")</f>
        <v/>
      </c>
      <c r="F2295">
        <f>IFERROR(VLOOKUP(B2295,'Pre-Summary'!$AL$6:$AQ$13,6,FALSE),F2294)</f>
        <v>5.9405263157894746E-2</v>
      </c>
      <c r="G2295" t="str">
        <f>IFERROR(VLOOKUP(B2295,'Pre-Summary'!$AE$6:$AJ$85,3,FALSE),"")</f>
        <v/>
      </c>
      <c r="H2295" t="str">
        <f>IFERROR(VLOOKUP(B2295,'Pre-Summary'!$AE$6:$AJ$85,4,FALSE),"")</f>
        <v/>
      </c>
      <c r="I2295" t="str">
        <f>IFERROR(VLOOKUP(B2295,'Pre-Summary'!$AE$6:$AJ$85,5,FALSE),"")</f>
        <v/>
      </c>
      <c r="J2295" s="45" t="str">
        <f>IFERROR(VLOOKUP(B2295,'Pre-Summary'!$AE$6:$AJ$85,6, FALSE),"")</f>
        <v/>
      </c>
      <c r="K2295" s="45" t="str">
        <f>IFERROR(VLOOKUP(B2295,'Pre-Summary'!$DE$6:$DG$61,3,FALSE),"")</f>
        <v/>
      </c>
      <c r="L2295" s="45" t="str">
        <f>IFERROR(VLOOKUP(B2295,'Pre-Summary'!$CU$6:$CW$36,3,FALSE),"")</f>
        <v/>
      </c>
      <c r="M2295" s="45" t="str">
        <f>IFERROR(VLOOKUP(B2295,'Pre-Summary'!$BW$6:$BY$58,2,FALSE),"")</f>
        <v/>
      </c>
      <c r="N2295" s="45" t="str">
        <f>IFERROR(VLOOKUP(B2295,'Pre-Summary'!$CD$6:$CF$64,2,FALSE),"")</f>
        <v/>
      </c>
      <c r="O2295" s="99">
        <f>IFERROR(VLOOKUP(B2295,'Pre-Summary'!$BO$6:$BQ$48,3, FALSE),O2294)</f>
        <v>1.508</v>
      </c>
      <c r="P2295" s="99">
        <f>IFERROR(VLOOKUP(B2295,'Pre-Summary'!$BS$6:$BU$35,3,FALSE),P2294)</f>
        <v>0.379</v>
      </c>
      <c r="Q2295" s="54">
        <f t="shared" si="105"/>
        <v>3.9788918205804751</v>
      </c>
      <c r="R2295" s="53">
        <f>IFERROR(VLOOKUP(B2295,'Pre-Summary'!$BG$6:$BM$44,7,FALSE),R2296)</f>
        <v>9.7948682664336664E-2</v>
      </c>
      <c r="S2295" s="53">
        <f>IFERROR(VLOOKUP(B2295,'Pre-Summary'!$BG$6:$BM$44,6,FALSE),S2296)</f>
        <v>0.10614035087720526</v>
      </c>
      <c r="T2295" s="45" t="str">
        <f>IFERROR(VLOOKUP(B2295,'Pre-Summary'!$Y$6:$AC$83, 3,FALSE),"")</f>
        <v/>
      </c>
      <c r="U2295" s="45" t="str">
        <f>IFERROR(VLOOKUP(B2295,'Pre-Summary'!$Y$6:$AC$83, 4,FALSE),"")</f>
        <v/>
      </c>
      <c r="V2295" t="str">
        <f>IFERROR(VLOOKUP(B2295,'Pre-Summary'!$Y$6:$AC$83, 5,FALSE),"")</f>
        <v/>
      </c>
      <c r="W2295" s="45" t="str">
        <f>IFERROR(VLOOKUP(B2295,'Pre-Summary'!$Y$6:$AD$83,6,FALSE),"")</f>
        <v/>
      </c>
      <c r="X2295" t="str">
        <f>IFERROR(VLOOKUP('Pre-Summary'!$DB$6:$DD$63,3,FALSE),"")</f>
        <v/>
      </c>
      <c r="Y2295" t="str">
        <f>IFERROR(VLOOKUP(B2295,'Pre-Summary'!$CR$6:$CT$36,3,FALSE),"")</f>
        <v/>
      </c>
      <c r="Z2295" s="45" t="str">
        <f>IFERROR(VLOOKUP(B2295,'Pre-Summary'!$BZ$6:$CB$63,2,FALSE),"")</f>
        <v/>
      </c>
      <c r="AA2295" s="45" t="str">
        <f>IFERROR(VLOOKUP(B2295,'Pre-Summary'!$CG$6:$CI$70,2,FALSE),"")</f>
        <v/>
      </c>
      <c r="AB2295" s="99">
        <f>IFERROR(VLOOKUP(B2295,'Pre-Summary'!$A$6:$P$178,9,FALSE),AB2296)</f>
        <v>0.3510413030600153</v>
      </c>
      <c r="AC2295" s="10">
        <f>IFERROR(VLOOKUP(Summary!B2295,'Pre-Summary'!$A$6:$P$184,5, FALSE)/100,AC2296)</f>
        <v>0.95838633333333334</v>
      </c>
      <c r="AD2295" s="10">
        <f>IFERROR(VLOOKUP(Summary!B2295,'Pre-Summary'!$A$6:$P$184,3, FALSE)/100,AD2296)</f>
        <v>2.8433333333333331E-2</v>
      </c>
      <c r="AE2295" s="10">
        <f>IFERROR(VLOOKUP(Summary!B2295,'Pre-Summary'!$A$6:$P$184,7, FALSE)/100,AE2296)</f>
        <v>1.3180333333333334E-2</v>
      </c>
      <c r="AF2295" s="99">
        <f t="shared" si="106"/>
        <v>9.9812743836731003E-3</v>
      </c>
      <c r="AG2295" s="99">
        <f t="shared" si="107"/>
        <v>4.6268413880986882E-3</v>
      </c>
      <c r="AH2295" s="10" t="str">
        <f>IFERROR(VLOOKUP(B2295,'Pre-Summary'!$AZ$6:$BE$65,3,FALSE),"")</f>
        <v/>
      </c>
      <c r="AI2295" s="10" t="str">
        <f>IFERROR(VLOOKUP(B2295,'Pre-Summary'!$AZ$6:$BE$65,5,FALSE),"")</f>
        <v/>
      </c>
      <c r="AJ2295" s="10" t="str">
        <f>IFERROR(VLOOKUP(B2295,'Pre-Summary'!$AZ$6:$BE$65,4,FALSE),"")</f>
        <v/>
      </c>
      <c r="AK2295" s="10" t="str">
        <f>IFERROR(VLOOKUP(B2295,'Pre-Summary'!$AZ$6:$BE$65,6,FALSE),"")</f>
        <v/>
      </c>
      <c r="AL2295" s="10" t="str">
        <f>IFERROR(VLOOKUP(B2295,'Pre-Summary'!$BG$6:$BL$44,3,FALSE),"")</f>
        <v/>
      </c>
      <c r="AM2295" s="10" t="str">
        <f>IFERROR(VLOOKUP(B2295,'Pre-Summary'!$BG$6:$BL$44,4,FALSE),"")</f>
        <v/>
      </c>
    </row>
    <row r="2296" spans="2:39" ht="15" customHeight="1" x14ac:dyDescent="0.3">
      <c r="B2296">
        <v>229.3</v>
      </c>
      <c r="C2296" t="str">
        <f>IFERROR(VLOOKUP(B2296,'Pre-Summary'!$DI$6:$DM$23,4,FALSE),"")</f>
        <v/>
      </c>
      <c r="D2296" s="10" t="str">
        <f>IFERROR(VLOOKUP(B2296,'Pre-Summary'!$AT$6:$AX$14,5,FALSE),D2295)</f>
        <v>Wolfe v3: went back to modified wolfe + EDTA and switched CuSO4 to CUCl2</v>
      </c>
      <c r="E2296" s="10" t="str">
        <f>IFERROR(VLOOKUP(B2296,'Pre-Summary'!$AT$6:$AX$15,4,FALSE),"")</f>
        <v/>
      </c>
      <c r="F2296">
        <f>IFERROR(VLOOKUP(B2296,'Pre-Summary'!$AL$6:$AQ$13,6,FALSE),F2295)</f>
        <v>5.9405263157894746E-2</v>
      </c>
      <c r="G2296" t="str">
        <f>IFERROR(VLOOKUP(B2296,'Pre-Summary'!$AE$6:$AJ$85,3,FALSE),"")</f>
        <v/>
      </c>
      <c r="H2296" t="str">
        <f>IFERROR(VLOOKUP(B2296,'Pre-Summary'!$AE$6:$AJ$85,4,FALSE),"")</f>
        <v/>
      </c>
      <c r="I2296" t="str">
        <f>IFERROR(VLOOKUP(B2296,'Pre-Summary'!$AE$6:$AJ$85,5,FALSE),"")</f>
        <v/>
      </c>
      <c r="J2296" s="45" t="str">
        <f>IFERROR(VLOOKUP(B2296,'Pre-Summary'!$AE$6:$AJ$85,6, FALSE),"")</f>
        <v/>
      </c>
      <c r="K2296" s="45" t="str">
        <f>IFERROR(VLOOKUP(B2296,'Pre-Summary'!$DE$6:$DG$61,3,FALSE),"")</f>
        <v/>
      </c>
      <c r="L2296" s="45" t="str">
        <f>IFERROR(VLOOKUP(B2296,'Pre-Summary'!$CU$6:$CW$36,3,FALSE),"")</f>
        <v/>
      </c>
      <c r="M2296" s="45" t="str">
        <f>IFERROR(VLOOKUP(B2296,'Pre-Summary'!$BW$6:$BY$58,2,FALSE),"")</f>
        <v/>
      </c>
      <c r="N2296" s="45" t="str">
        <f>IFERROR(VLOOKUP(B2296,'Pre-Summary'!$CD$6:$CF$64,2,FALSE),"")</f>
        <v/>
      </c>
      <c r="O2296" s="99">
        <f>IFERROR(VLOOKUP(B2296,'Pre-Summary'!$BO$6:$BQ$48,3, FALSE),O2295)</f>
        <v>1.508</v>
      </c>
      <c r="P2296" s="99">
        <f>IFERROR(VLOOKUP(B2296,'Pre-Summary'!$BS$6:$BU$35,3,FALSE),P2295)</f>
        <v>0.379</v>
      </c>
      <c r="Q2296" s="54">
        <f t="shared" si="105"/>
        <v>3.9788918205804751</v>
      </c>
      <c r="R2296" s="53">
        <f>IFERROR(VLOOKUP(B2296,'Pre-Summary'!$BG$6:$BM$44,7,FALSE),R2297)</f>
        <v>9.7948682664336664E-2</v>
      </c>
      <c r="S2296" s="53">
        <f>IFERROR(VLOOKUP(B2296,'Pre-Summary'!$BG$6:$BM$44,6,FALSE),S2297)</f>
        <v>0.10614035087720526</v>
      </c>
      <c r="T2296" s="45" t="str">
        <f>IFERROR(VLOOKUP(B2296,'Pre-Summary'!$Y$6:$AC$83, 3,FALSE),"")</f>
        <v/>
      </c>
      <c r="U2296" s="45" t="str">
        <f>IFERROR(VLOOKUP(B2296,'Pre-Summary'!$Y$6:$AC$83, 4,FALSE),"")</f>
        <v/>
      </c>
      <c r="V2296" t="str">
        <f>IFERROR(VLOOKUP(B2296,'Pre-Summary'!$Y$6:$AC$83, 5,FALSE),"")</f>
        <v/>
      </c>
      <c r="W2296" s="45" t="str">
        <f>IFERROR(VLOOKUP(B2296,'Pre-Summary'!$Y$6:$AD$83,6,FALSE),"")</f>
        <v/>
      </c>
      <c r="X2296" t="str">
        <f>IFERROR(VLOOKUP('Pre-Summary'!$DB$6:$DD$63,3,FALSE),"")</f>
        <v/>
      </c>
      <c r="Y2296" t="str">
        <f>IFERROR(VLOOKUP(B2296,'Pre-Summary'!$CR$6:$CT$36,3,FALSE),"")</f>
        <v/>
      </c>
      <c r="Z2296" s="45" t="str">
        <f>IFERROR(VLOOKUP(B2296,'Pre-Summary'!$BZ$6:$CB$63,2,FALSE),"")</f>
        <v/>
      </c>
      <c r="AA2296" s="45" t="str">
        <f>IFERROR(VLOOKUP(B2296,'Pre-Summary'!$CG$6:$CI$70,2,FALSE),"")</f>
        <v/>
      </c>
      <c r="AB2296" s="99">
        <f>IFERROR(VLOOKUP(B2296,'Pre-Summary'!$A$6:$P$178,9,FALSE),AB2297)</f>
        <v>0.3510413030600153</v>
      </c>
      <c r="AC2296" s="10">
        <f>IFERROR(VLOOKUP(Summary!B2296,'Pre-Summary'!$A$6:$P$184,5, FALSE)/100,AC2297)</f>
        <v>0.95838633333333334</v>
      </c>
      <c r="AD2296" s="10">
        <f>IFERROR(VLOOKUP(Summary!B2296,'Pre-Summary'!$A$6:$P$184,3, FALSE)/100,AD2297)</f>
        <v>2.8433333333333331E-2</v>
      </c>
      <c r="AE2296" s="10">
        <f>IFERROR(VLOOKUP(Summary!B2296,'Pre-Summary'!$A$6:$P$184,7, FALSE)/100,AE2297)</f>
        <v>1.3180333333333334E-2</v>
      </c>
      <c r="AF2296" s="99">
        <f t="shared" si="106"/>
        <v>9.9812743836731003E-3</v>
      </c>
      <c r="AG2296" s="99">
        <f t="shared" si="107"/>
        <v>4.6268413880986882E-3</v>
      </c>
      <c r="AH2296" s="10" t="str">
        <f>IFERROR(VLOOKUP(B2296,'Pre-Summary'!$AZ$6:$BE$65,3,FALSE),"")</f>
        <v/>
      </c>
      <c r="AI2296" s="10" t="str">
        <f>IFERROR(VLOOKUP(B2296,'Pre-Summary'!$AZ$6:$BE$65,5,FALSE),"")</f>
        <v/>
      </c>
      <c r="AJ2296" s="10" t="str">
        <f>IFERROR(VLOOKUP(B2296,'Pre-Summary'!$AZ$6:$BE$65,4,FALSE),"")</f>
        <v/>
      </c>
      <c r="AK2296" s="10" t="str">
        <f>IFERROR(VLOOKUP(B2296,'Pre-Summary'!$AZ$6:$BE$65,6,FALSE),"")</f>
        <v/>
      </c>
      <c r="AL2296" s="10" t="str">
        <f>IFERROR(VLOOKUP(B2296,'Pre-Summary'!$BG$6:$BL$44,3,FALSE),"")</f>
        <v/>
      </c>
      <c r="AM2296" s="10" t="str">
        <f>IFERROR(VLOOKUP(B2296,'Pre-Summary'!$BG$6:$BL$44,4,FALSE),"")</f>
        <v/>
      </c>
    </row>
    <row r="2297" spans="2:39" ht="15" customHeight="1" x14ac:dyDescent="0.3">
      <c r="B2297">
        <v>229.4</v>
      </c>
      <c r="C2297" t="str">
        <f>IFERROR(VLOOKUP(B2297,'Pre-Summary'!$DI$6:$DM$23,4,FALSE),"")</f>
        <v/>
      </c>
      <c r="D2297" s="10" t="str">
        <f>IFERROR(VLOOKUP(B2297,'Pre-Summary'!$AT$6:$AX$14,5,FALSE),D2296)</f>
        <v>Wolfe v3: went back to modified wolfe + EDTA and switched CuSO4 to CUCl2</v>
      </c>
      <c r="E2297" s="10" t="str">
        <f>IFERROR(VLOOKUP(B2297,'Pre-Summary'!$AT$6:$AX$15,4,FALSE),"")</f>
        <v/>
      </c>
      <c r="F2297">
        <f>IFERROR(VLOOKUP(B2297,'Pre-Summary'!$AL$6:$AQ$13,6,FALSE),F2296)</f>
        <v>5.9405263157894746E-2</v>
      </c>
      <c r="G2297" t="str">
        <f>IFERROR(VLOOKUP(B2297,'Pre-Summary'!$AE$6:$AJ$85,3,FALSE),"")</f>
        <v/>
      </c>
      <c r="H2297" t="str">
        <f>IFERROR(VLOOKUP(B2297,'Pre-Summary'!$AE$6:$AJ$85,4,FALSE),"")</f>
        <v/>
      </c>
      <c r="I2297" t="str">
        <f>IFERROR(VLOOKUP(B2297,'Pre-Summary'!$AE$6:$AJ$85,5,FALSE),"")</f>
        <v/>
      </c>
      <c r="J2297" s="45" t="str">
        <f>IFERROR(VLOOKUP(B2297,'Pre-Summary'!$AE$6:$AJ$85,6, FALSE),"")</f>
        <v/>
      </c>
      <c r="K2297" s="45" t="str">
        <f>IFERROR(VLOOKUP(B2297,'Pre-Summary'!$DE$6:$DG$61,3,FALSE),"")</f>
        <v/>
      </c>
      <c r="L2297" s="45" t="str">
        <f>IFERROR(VLOOKUP(B2297,'Pre-Summary'!$CU$6:$CW$36,3,FALSE),"")</f>
        <v/>
      </c>
      <c r="M2297" s="45" t="str">
        <f>IFERROR(VLOOKUP(B2297,'Pre-Summary'!$BW$6:$BY$58,2,FALSE),"")</f>
        <v/>
      </c>
      <c r="N2297" s="45" t="str">
        <f>IFERROR(VLOOKUP(B2297,'Pre-Summary'!$CD$6:$CF$64,2,FALSE),"")</f>
        <v/>
      </c>
      <c r="O2297" s="99">
        <f>IFERROR(VLOOKUP(B2297,'Pre-Summary'!$BO$6:$BQ$48,3, FALSE),O2296)</f>
        <v>1.508</v>
      </c>
      <c r="P2297" s="99">
        <f>IFERROR(VLOOKUP(B2297,'Pre-Summary'!$BS$6:$BU$35,3,FALSE),P2296)</f>
        <v>0.379</v>
      </c>
      <c r="Q2297" s="54">
        <f t="shared" si="105"/>
        <v>3.9788918205804751</v>
      </c>
      <c r="R2297" s="53">
        <f>IFERROR(VLOOKUP(B2297,'Pre-Summary'!$BG$6:$BM$44,7,FALSE),R2298)</f>
        <v>9.7948682664336664E-2</v>
      </c>
      <c r="S2297" s="53">
        <f>IFERROR(VLOOKUP(B2297,'Pre-Summary'!$BG$6:$BM$44,6,FALSE),S2298)</f>
        <v>0.10614035087720526</v>
      </c>
      <c r="T2297" s="45" t="str">
        <f>IFERROR(VLOOKUP(B2297,'Pre-Summary'!$Y$6:$AC$83, 3,FALSE),"")</f>
        <v/>
      </c>
      <c r="U2297" s="45" t="str">
        <f>IFERROR(VLOOKUP(B2297,'Pre-Summary'!$Y$6:$AC$83, 4,FALSE),"")</f>
        <v/>
      </c>
      <c r="V2297" t="str">
        <f>IFERROR(VLOOKUP(B2297,'Pre-Summary'!$Y$6:$AC$83, 5,FALSE),"")</f>
        <v/>
      </c>
      <c r="W2297" s="45" t="str">
        <f>IFERROR(VLOOKUP(B2297,'Pre-Summary'!$Y$6:$AD$83,6,FALSE),"")</f>
        <v/>
      </c>
      <c r="X2297" t="str">
        <f>IFERROR(VLOOKUP('Pre-Summary'!$DB$6:$DD$63,3,FALSE),"")</f>
        <v/>
      </c>
      <c r="Y2297" t="str">
        <f>IFERROR(VLOOKUP(B2297,'Pre-Summary'!$CR$6:$CT$36,3,FALSE),"")</f>
        <v/>
      </c>
      <c r="Z2297" s="45" t="str">
        <f>IFERROR(VLOOKUP(B2297,'Pre-Summary'!$BZ$6:$CB$63,2,FALSE),"")</f>
        <v/>
      </c>
      <c r="AA2297" s="45" t="str">
        <f>IFERROR(VLOOKUP(B2297,'Pre-Summary'!$CG$6:$CI$70,2,FALSE),"")</f>
        <v/>
      </c>
      <c r="AB2297" s="99">
        <f>IFERROR(VLOOKUP(B2297,'Pre-Summary'!$A$6:$P$178,9,FALSE),AB2298)</f>
        <v>0.3510413030600153</v>
      </c>
      <c r="AC2297" s="10">
        <f>IFERROR(VLOOKUP(Summary!B2297,'Pre-Summary'!$A$6:$P$184,5, FALSE)/100,AC2298)</f>
        <v>0.95838633333333334</v>
      </c>
      <c r="AD2297" s="10">
        <f>IFERROR(VLOOKUP(Summary!B2297,'Pre-Summary'!$A$6:$P$184,3, FALSE)/100,AD2298)</f>
        <v>2.8433333333333331E-2</v>
      </c>
      <c r="AE2297" s="10">
        <f>IFERROR(VLOOKUP(Summary!B2297,'Pre-Summary'!$A$6:$P$184,7, FALSE)/100,AE2298)</f>
        <v>1.3180333333333334E-2</v>
      </c>
      <c r="AF2297" s="99">
        <f t="shared" si="106"/>
        <v>9.9812743836731003E-3</v>
      </c>
      <c r="AG2297" s="99">
        <f t="shared" si="107"/>
        <v>4.6268413880986882E-3</v>
      </c>
      <c r="AH2297" s="10" t="str">
        <f>IFERROR(VLOOKUP(B2297,'Pre-Summary'!$AZ$6:$BE$65,3,FALSE),"")</f>
        <v/>
      </c>
      <c r="AI2297" s="10" t="str">
        <f>IFERROR(VLOOKUP(B2297,'Pre-Summary'!$AZ$6:$BE$65,5,FALSE),"")</f>
        <v/>
      </c>
      <c r="AJ2297" s="10" t="str">
        <f>IFERROR(VLOOKUP(B2297,'Pre-Summary'!$AZ$6:$BE$65,4,FALSE),"")</f>
        <v/>
      </c>
      <c r="AK2297" s="10" t="str">
        <f>IFERROR(VLOOKUP(B2297,'Pre-Summary'!$AZ$6:$BE$65,6,FALSE),"")</f>
        <v/>
      </c>
      <c r="AL2297" s="10" t="str">
        <f>IFERROR(VLOOKUP(B2297,'Pre-Summary'!$BG$6:$BL$44,3,FALSE),"")</f>
        <v/>
      </c>
      <c r="AM2297" s="10" t="str">
        <f>IFERROR(VLOOKUP(B2297,'Pre-Summary'!$BG$6:$BL$44,4,FALSE),"")</f>
        <v/>
      </c>
    </row>
    <row r="2298" spans="2:39" ht="15" customHeight="1" x14ac:dyDescent="0.3">
      <c r="B2298">
        <v>229.5</v>
      </c>
      <c r="C2298" t="str">
        <f>IFERROR(VLOOKUP(B2298,'Pre-Summary'!$DI$6:$DM$23,4,FALSE),"")</f>
        <v/>
      </c>
      <c r="D2298" s="10" t="str">
        <f>IFERROR(VLOOKUP(B2298,'Pre-Summary'!$AT$6:$AX$14,5,FALSE),D2297)</f>
        <v>Wolfe v3: went back to modified wolfe + EDTA and switched CuSO4 to CUCl2</v>
      </c>
      <c r="E2298" s="10" t="str">
        <f>IFERROR(VLOOKUP(B2298,'Pre-Summary'!$AT$6:$AX$15,4,FALSE),"")</f>
        <v/>
      </c>
      <c r="F2298">
        <f>IFERROR(VLOOKUP(B2298,'Pre-Summary'!$AL$6:$AQ$13,6,FALSE),F2297)</f>
        <v>5.9405263157894746E-2</v>
      </c>
      <c r="G2298" t="str">
        <f>IFERROR(VLOOKUP(B2298,'Pre-Summary'!$AE$6:$AJ$85,3,FALSE),"")</f>
        <v/>
      </c>
      <c r="H2298" t="str">
        <f>IFERROR(VLOOKUP(B2298,'Pre-Summary'!$AE$6:$AJ$85,4,FALSE),"")</f>
        <v/>
      </c>
      <c r="I2298" t="str">
        <f>IFERROR(VLOOKUP(B2298,'Pre-Summary'!$AE$6:$AJ$85,5,FALSE),"")</f>
        <v/>
      </c>
      <c r="J2298" s="45" t="str">
        <f>IFERROR(VLOOKUP(B2298,'Pre-Summary'!$AE$6:$AJ$85,6, FALSE),"")</f>
        <v/>
      </c>
      <c r="K2298" s="45" t="str">
        <f>IFERROR(VLOOKUP(B2298,'Pre-Summary'!$DE$6:$DG$61,3,FALSE),"")</f>
        <v/>
      </c>
      <c r="L2298" s="45" t="str">
        <f>IFERROR(VLOOKUP(B2298,'Pre-Summary'!$CU$6:$CW$36,3,FALSE),"")</f>
        <v/>
      </c>
      <c r="M2298" s="45" t="str">
        <f>IFERROR(VLOOKUP(B2298,'Pre-Summary'!$BW$6:$BY$58,2,FALSE),"")</f>
        <v/>
      </c>
      <c r="N2298" s="45" t="str">
        <f>IFERROR(VLOOKUP(B2298,'Pre-Summary'!$CD$6:$CF$64,2,FALSE),"")</f>
        <v/>
      </c>
      <c r="O2298" s="99">
        <f>IFERROR(VLOOKUP(B2298,'Pre-Summary'!$BO$6:$BQ$48,3, FALSE),O2297)</f>
        <v>1.508</v>
      </c>
      <c r="P2298" s="99">
        <f>IFERROR(VLOOKUP(B2298,'Pre-Summary'!$BS$6:$BU$35,3,FALSE),P2297)</f>
        <v>0.379</v>
      </c>
      <c r="Q2298" s="54">
        <f t="shared" si="105"/>
        <v>3.9788918205804751</v>
      </c>
      <c r="R2298" s="53">
        <f>IFERROR(VLOOKUP(B2298,'Pre-Summary'!$BG$6:$BM$44,7,FALSE),R2299)</f>
        <v>9.7948682664336664E-2</v>
      </c>
      <c r="S2298" s="53">
        <f>IFERROR(VLOOKUP(B2298,'Pre-Summary'!$BG$6:$BM$44,6,FALSE),S2299)</f>
        <v>0.10614035087720526</v>
      </c>
      <c r="T2298" s="45" t="str">
        <f>IFERROR(VLOOKUP(B2298,'Pre-Summary'!$Y$6:$AC$83, 3,FALSE),"")</f>
        <v/>
      </c>
      <c r="U2298" s="45" t="str">
        <f>IFERROR(VLOOKUP(B2298,'Pre-Summary'!$Y$6:$AC$83, 4,FALSE),"")</f>
        <v/>
      </c>
      <c r="V2298" t="str">
        <f>IFERROR(VLOOKUP(B2298,'Pre-Summary'!$Y$6:$AC$83, 5,FALSE),"")</f>
        <v/>
      </c>
      <c r="W2298" s="45" t="str">
        <f>IFERROR(VLOOKUP(B2298,'Pre-Summary'!$Y$6:$AD$83,6,FALSE),"")</f>
        <v/>
      </c>
      <c r="X2298" t="str">
        <f>IFERROR(VLOOKUP('Pre-Summary'!$DB$6:$DD$63,3,FALSE),"")</f>
        <v/>
      </c>
      <c r="Y2298" t="str">
        <f>IFERROR(VLOOKUP(B2298,'Pre-Summary'!$CR$6:$CT$36,3,FALSE),"")</f>
        <v/>
      </c>
      <c r="Z2298" s="45" t="str">
        <f>IFERROR(VLOOKUP(B2298,'Pre-Summary'!$BZ$6:$CB$63,2,FALSE),"")</f>
        <v/>
      </c>
      <c r="AA2298" s="45" t="str">
        <f>IFERROR(VLOOKUP(B2298,'Pre-Summary'!$CG$6:$CI$70,2,FALSE),"")</f>
        <v/>
      </c>
      <c r="AB2298" s="99">
        <f>IFERROR(VLOOKUP(B2298,'Pre-Summary'!$A$6:$P$178,9,FALSE),AB2299)</f>
        <v>0.3510413030600153</v>
      </c>
      <c r="AC2298" s="10">
        <f>IFERROR(VLOOKUP(Summary!B2298,'Pre-Summary'!$A$6:$P$184,5, FALSE)/100,AC2299)</f>
        <v>0.95838633333333334</v>
      </c>
      <c r="AD2298" s="10">
        <f>IFERROR(VLOOKUP(Summary!B2298,'Pre-Summary'!$A$6:$P$184,3, FALSE)/100,AD2299)</f>
        <v>2.8433333333333331E-2</v>
      </c>
      <c r="AE2298" s="10">
        <f>IFERROR(VLOOKUP(Summary!B2298,'Pre-Summary'!$A$6:$P$184,7, FALSE)/100,AE2299)</f>
        <v>1.3180333333333334E-2</v>
      </c>
      <c r="AF2298" s="99">
        <f t="shared" si="106"/>
        <v>9.9812743836731003E-3</v>
      </c>
      <c r="AG2298" s="99">
        <f t="shared" si="107"/>
        <v>4.6268413880986882E-3</v>
      </c>
      <c r="AH2298" s="10" t="str">
        <f>IFERROR(VLOOKUP(B2298,'Pre-Summary'!$AZ$6:$BE$65,3,FALSE),"")</f>
        <v/>
      </c>
      <c r="AI2298" s="10" t="str">
        <f>IFERROR(VLOOKUP(B2298,'Pre-Summary'!$AZ$6:$BE$65,5,FALSE),"")</f>
        <v/>
      </c>
      <c r="AJ2298" s="10" t="str">
        <f>IFERROR(VLOOKUP(B2298,'Pre-Summary'!$AZ$6:$BE$65,4,FALSE),"")</f>
        <v/>
      </c>
      <c r="AK2298" s="10" t="str">
        <f>IFERROR(VLOOKUP(B2298,'Pre-Summary'!$AZ$6:$BE$65,6,FALSE),"")</f>
        <v/>
      </c>
      <c r="AL2298" s="10" t="str">
        <f>IFERROR(VLOOKUP(B2298,'Pre-Summary'!$BG$6:$BL$44,3,FALSE),"")</f>
        <v/>
      </c>
      <c r="AM2298" s="10" t="str">
        <f>IFERROR(VLOOKUP(B2298,'Pre-Summary'!$BG$6:$BL$44,4,FALSE),"")</f>
        <v/>
      </c>
    </row>
    <row r="2299" spans="2:39" ht="15" customHeight="1" x14ac:dyDescent="0.3">
      <c r="B2299">
        <v>229.6</v>
      </c>
      <c r="C2299" t="str">
        <f>IFERROR(VLOOKUP(B2299,'Pre-Summary'!$DI$6:$DM$23,4,FALSE),"")</f>
        <v/>
      </c>
      <c r="D2299" s="10" t="str">
        <f>IFERROR(VLOOKUP(B2299,'Pre-Summary'!$AT$6:$AX$14,5,FALSE),D2298)</f>
        <v>Wolfe v3: went back to modified wolfe + EDTA and switched CuSO4 to CUCl2</v>
      </c>
      <c r="E2299" s="10" t="str">
        <f>IFERROR(VLOOKUP(B2299,'Pre-Summary'!$AT$6:$AX$15,4,FALSE),"")</f>
        <v/>
      </c>
      <c r="F2299">
        <f>IFERROR(VLOOKUP(B2299,'Pre-Summary'!$AL$6:$AQ$13,6,FALSE),F2298)</f>
        <v>5.9405263157894746E-2</v>
      </c>
      <c r="G2299" t="str">
        <f>IFERROR(VLOOKUP(B2299,'Pre-Summary'!$AE$6:$AJ$85,3,FALSE),"")</f>
        <v/>
      </c>
      <c r="H2299" t="str">
        <f>IFERROR(VLOOKUP(B2299,'Pre-Summary'!$AE$6:$AJ$85,4,FALSE),"")</f>
        <v/>
      </c>
      <c r="I2299" t="str">
        <f>IFERROR(VLOOKUP(B2299,'Pre-Summary'!$AE$6:$AJ$85,5,FALSE),"")</f>
        <v/>
      </c>
      <c r="J2299" s="45" t="str">
        <f>IFERROR(VLOOKUP(B2299,'Pre-Summary'!$AE$6:$AJ$85,6, FALSE),"")</f>
        <v/>
      </c>
      <c r="K2299" s="45" t="str">
        <f>IFERROR(VLOOKUP(B2299,'Pre-Summary'!$DE$6:$DG$61,3,FALSE),"")</f>
        <v/>
      </c>
      <c r="L2299" s="45" t="str">
        <f>IFERROR(VLOOKUP(B2299,'Pre-Summary'!$CU$6:$CW$36,3,FALSE),"")</f>
        <v/>
      </c>
      <c r="M2299" s="45" t="str">
        <f>IFERROR(VLOOKUP(B2299,'Pre-Summary'!$BW$6:$BY$58,2,FALSE),"")</f>
        <v/>
      </c>
      <c r="N2299" s="45" t="str">
        <f>IFERROR(VLOOKUP(B2299,'Pre-Summary'!$CD$6:$CF$64,2,FALSE),"")</f>
        <v/>
      </c>
      <c r="O2299" s="99">
        <f>IFERROR(VLOOKUP(B2299,'Pre-Summary'!$BO$6:$BQ$48,3, FALSE),O2298)</f>
        <v>1.508</v>
      </c>
      <c r="P2299" s="99">
        <f>IFERROR(VLOOKUP(B2299,'Pre-Summary'!$BS$6:$BU$35,3,FALSE),P2298)</f>
        <v>0.379</v>
      </c>
      <c r="Q2299" s="54">
        <f t="shared" si="105"/>
        <v>3.9788918205804751</v>
      </c>
      <c r="R2299" s="53">
        <f>IFERROR(VLOOKUP(B2299,'Pre-Summary'!$BG$6:$BM$44,7,FALSE),R2300)</f>
        <v>9.7948682664336664E-2</v>
      </c>
      <c r="S2299" s="53">
        <f>IFERROR(VLOOKUP(B2299,'Pre-Summary'!$BG$6:$BM$44,6,FALSE),S2300)</f>
        <v>0.10614035087720526</v>
      </c>
      <c r="T2299" s="45" t="str">
        <f>IFERROR(VLOOKUP(B2299,'Pre-Summary'!$Y$6:$AC$83, 3,FALSE),"")</f>
        <v/>
      </c>
      <c r="U2299" s="45" t="str">
        <f>IFERROR(VLOOKUP(B2299,'Pre-Summary'!$Y$6:$AC$83, 4,FALSE),"")</f>
        <v/>
      </c>
      <c r="V2299" t="str">
        <f>IFERROR(VLOOKUP(B2299,'Pre-Summary'!$Y$6:$AC$83, 5,FALSE),"")</f>
        <v/>
      </c>
      <c r="W2299" s="45" t="str">
        <f>IFERROR(VLOOKUP(B2299,'Pre-Summary'!$Y$6:$AD$83,6,FALSE),"")</f>
        <v/>
      </c>
      <c r="X2299" t="str">
        <f>IFERROR(VLOOKUP('Pre-Summary'!$DB$6:$DD$63,3,FALSE),"")</f>
        <v/>
      </c>
      <c r="Y2299" t="str">
        <f>IFERROR(VLOOKUP(B2299,'Pre-Summary'!$CR$6:$CT$36,3,FALSE),"")</f>
        <v/>
      </c>
      <c r="Z2299" s="45" t="str">
        <f>IFERROR(VLOOKUP(B2299,'Pre-Summary'!$BZ$6:$CB$63,2,FALSE),"")</f>
        <v/>
      </c>
      <c r="AA2299" s="45" t="str">
        <f>IFERROR(VLOOKUP(B2299,'Pre-Summary'!$CG$6:$CI$70,2,FALSE),"")</f>
        <v/>
      </c>
      <c r="AB2299" s="99">
        <f>IFERROR(VLOOKUP(B2299,'Pre-Summary'!$A$6:$P$178,9,FALSE),AB2300)</f>
        <v>0.3510413030600153</v>
      </c>
      <c r="AC2299" s="10">
        <f>IFERROR(VLOOKUP(Summary!B2299,'Pre-Summary'!$A$6:$P$184,5, FALSE)/100,AC2300)</f>
        <v>0.95838633333333334</v>
      </c>
      <c r="AD2299" s="10">
        <f>IFERROR(VLOOKUP(Summary!B2299,'Pre-Summary'!$A$6:$P$184,3, FALSE)/100,AD2300)</f>
        <v>2.8433333333333331E-2</v>
      </c>
      <c r="AE2299" s="10">
        <f>IFERROR(VLOOKUP(Summary!B2299,'Pre-Summary'!$A$6:$P$184,7, FALSE)/100,AE2300)</f>
        <v>1.3180333333333334E-2</v>
      </c>
      <c r="AF2299" s="99">
        <f t="shared" si="106"/>
        <v>9.9812743836731003E-3</v>
      </c>
      <c r="AG2299" s="99">
        <f t="shared" si="107"/>
        <v>4.6268413880986882E-3</v>
      </c>
      <c r="AH2299" s="10" t="str">
        <f>IFERROR(VLOOKUP(B2299,'Pre-Summary'!$AZ$6:$BE$65,3,FALSE),"")</f>
        <v/>
      </c>
      <c r="AI2299" s="10" t="str">
        <f>IFERROR(VLOOKUP(B2299,'Pre-Summary'!$AZ$6:$BE$65,5,FALSE),"")</f>
        <v/>
      </c>
      <c r="AJ2299" s="10" t="str">
        <f>IFERROR(VLOOKUP(B2299,'Pre-Summary'!$AZ$6:$BE$65,4,FALSE),"")</f>
        <v/>
      </c>
      <c r="AK2299" s="10" t="str">
        <f>IFERROR(VLOOKUP(B2299,'Pre-Summary'!$AZ$6:$BE$65,6,FALSE),"")</f>
        <v/>
      </c>
      <c r="AL2299" s="10" t="str">
        <f>IFERROR(VLOOKUP(B2299,'Pre-Summary'!$BG$6:$BL$44,3,FALSE),"")</f>
        <v/>
      </c>
      <c r="AM2299" s="10" t="str">
        <f>IFERROR(VLOOKUP(B2299,'Pre-Summary'!$BG$6:$BL$44,4,FALSE),"")</f>
        <v/>
      </c>
    </row>
    <row r="2300" spans="2:39" ht="15" customHeight="1" x14ac:dyDescent="0.3">
      <c r="B2300">
        <v>229.7</v>
      </c>
      <c r="C2300" t="str">
        <f>IFERROR(VLOOKUP(B2300,'Pre-Summary'!$DI$6:$DM$23,4,FALSE),"")</f>
        <v/>
      </c>
      <c r="D2300" s="10" t="str">
        <f>IFERROR(VLOOKUP(B2300,'Pre-Summary'!$AT$6:$AX$14,5,FALSE),D2299)</f>
        <v>Wolfe v3: went back to modified wolfe + EDTA and switched CuSO4 to CUCl2</v>
      </c>
      <c r="E2300" s="10" t="str">
        <f>IFERROR(VLOOKUP(B2300,'Pre-Summary'!$AT$6:$AX$15,4,FALSE),"")</f>
        <v/>
      </c>
      <c r="F2300">
        <f>IFERROR(VLOOKUP(B2300,'Pre-Summary'!$AL$6:$AQ$13,6,FALSE),F2299)</f>
        <v>5.9405263157894746E-2</v>
      </c>
      <c r="G2300" t="str">
        <f>IFERROR(VLOOKUP(B2300,'Pre-Summary'!$AE$6:$AJ$85,3,FALSE),"")</f>
        <v/>
      </c>
      <c r="H2300" t="str">
        <f>IFERROR(VLOOKUP(B2300,'Pre-Summary'!$AE$6:$AJ$85,4,FALSE),"")</f>
        <v/>
      </c>
      <c r="I2300" t="str">
        <f>IFERROR(VLOOKUP(B2300,'Pre-Summary'!$AE$6:$AJ$85,5,FALSE),"")</f>
        <v/>
      </c>
      <c r="J2300" s="45" t="str">
        <f>IFERROR(VLOOKUP(B2300,'Pre-Summary'!$AE$6:$AJ$85,6, FALSE),"")</f>
        <v/>
      </c>
      <c r="K2300" s="45" t="str">
        <f>IFERROR(VLOOKUP(B2300,'Pre-Summary'!$DE$6:$DG$61,3,FALSE),"")</f>
        <v/>
      </c>
      <c r="L2300" s="45" t="str">
        <f>IFERROR(VLOOKUP(B2300,'Pre-Summary'!$CU$6:$CW$36,3,FALSE),"")</f>
        <v/>
      </c>
      <c r="M2300" s="45" t="str">
        <f>IFERROR(VLOOKUP(B2300,'Pre-Summary'!$BW$6:$BY$58,2,FALSE),"")</f>
        <v/>
      </c>
      <c r="N2300" s="45" t="str">
        <f>IFERROR(VLOOKUP(B2300,'Pre-Summary'!$CD$6:$CF$64,2,FALSE),"")</f>
        <v/>
      </c>
      <c r="O2300" s="99">
        <f>IFERROR(VLOOKUP(B2300,'Pre-Summary'!$BO$6:$BQ$48,3, FALSE),O2299)</f>
        <v>1.508</v>
      </c>
      <c r="P2300" s="99">
        <f>IFERROR(VLOOKUP(B2300,'Pre-Summary'!$BS$6:$BU$35,3,FALSE),P2299)</f>
        <v>0.379</v>
      </c>
      <c r="Q2300" s="54">
        <f t="shared" si="105"/>
        <v>3.9788918205804751</v>
      </c>
      <c r="R2300" s="53">
        <f>IFERROR(VLOOKUP(B2300,'Pre-Summary'!$BG$6:$BM$44,7,FALSE),R2301)</f>
        <v>9.7948682664336664E-2</v>
      </c>
      <c r="S2300" s="53">
        <f>IFERROR(VLOOKUP(B2300,'Pre-Summary'!$BG$6:$BM$44,6,FALSE),S2301)</f>
        <v>0.10614035087720526</v>
      </c>
      <c r="T2300" s="45" t="str">
        <f>IFERROR(VLOOKUP(B2300,'Pre-Summary'!$Y$6:$AC$83, 3,FALSE),"")</f>
        <v/>
      </c>
      <c r="U2300" s="45" t="str">
        <f>IFERROR(VLOOKUP(B2300,'Pre-Summary'!$Y$6:$AC$83, 4,FALSE),"")</f>
        <v/>
      </c>
      <c r="V2300" t="str">
        <f>IFERROR(VLOOKUP(B2300,'Pre-Summary'!$Y$6:$AC$83, 5,FALSE),"")</f>
        <v/>
      </c>
      <c r="W2300" s="45" t="str">
        <f>IFERROR(VLOOKUP(B2300,'Pre-Summary'!$Y$6:$AD$83,6,FALSE),"")</f>
        <v/>
      </c>
      <c r="X2300" t="str">
        <f>IFERROR(VLOOKUP('Pre-Summary'!$DB$6:$DD$63,3,FALSE),"")</f>
        <v/>
      </c>
      <c r="Y2300" t="str">
        <f>IFERROR(VLOOKUP(B2300,'Pre-Summary'!$CR$6:$CT$36,3,FALSE),"")</f>
        <v/>
      </c>
      <c r="Z2300" s="45" t="str">
        <f>IFERROR(VLOOKUP(B2300,'Pre-Summary'!$BZ$6:$CB$63,2,FALSE),"")</f>
        <v/>
      </c>
      <c r="AA2300" s="45" t="str">
        <f>IFERROR(VLOOKUP(B2300,'Pre-Summary'!$CG$6:$CI$70,2,FALSE),"")</f>
        <v/>
      </c>
      <c r="AB2300" s="99">
        <f>IFERROR(VLOOKUP(B2300,'Pre-Summary'!$A$6:$P$178,9,FALSE),AB2301)</f>
        <v>0.3510413030600153</v>
      </c>
      <c r="AC2300" s="10">
        <f>IFERROR(VLOOKUP(Summary!B2300,'Pre-Summary'!$A$6:$P$184,5, FALSE)/100,AC2301)</f>
        <v>0.95838633333333334</v>
      </c>
      <c r="AD2300" s="10">
        <f>IFERROR(VLOOKUP(Summary!B2300,'Pre-Summary'!$A$6:$P$184,3, FALSE)/100,AD2301)</f>
        <v>2.8433333333333331E-2</v>
      </c>
      <c r="AE2300" s="10">
        <f>IFERROR(VLOOKUP(Summary!B2300,'Pre-Summary'!$A$6:$P$184,7, FALSE)/100,AE2301)</f>
        <v>1.3180333333333334E-2</v>
      </c>
      <c r="AF2300" s="99">
        <f t="shared" si="106"/>
        <v>9.9812743836731003E-3</v>
      </c>
      <c r="AG2300" s="99">
        <f t="shared" si="107"/>
        <v>4.6268413880986882E-3</v>
      </c>
      <c r="AH2300" s="10" t="str">
        <f>IFERROR(VLOOKUP(B2300,'Pre-Summary'!$AZ$6:$BE$65,3,FALSE),"")</f>
        <v/>
      </c>
      <c r="AI2300" s="10" t="str">
        <f>IFERROR(VLOOKUP(B2300,'Pre-Summary'!$AZ$6:$BE$65,5,FALSE),"")</f>
        <v/>
      </c>
      <c r="AJ2300" s="10" t="str">
        <f>IFERROR(VLOOKUP(B2300,'Pre-Summary'!$AZ$6:$BE$65,4,FALSE),"")</f>
        <v/>
      </c>
      <c r="AK2300" s="10" t="str">
        <f>IFERROR(VLOOKUP(B2300,'Pre-Summary'!$AZ$6:$BE$65,6,FALSE),"")</f>
        <v/>
      </c>
      <c r="AL2300" s="10" t="str">
        <f>IFERROR(VLOOKUP(B2300,'Pre-Summary'!$BG$6:$BL$44,3,FALSE),"")</f>
        <v/>
      </c>
      <c r="AM2300" s="10" t="str">
        <f>IFERROR(VLOOKUP(B2300,'Pre-Summary'!$BG$6:$BL$44,4,FALSE),"")</f>
        <v/>
      </c>
    </row>
    <row r="2301" spans="2:39" ht="15" customHeight="1" x14ac:dyDescent="0.3">
      <c r="B2301">
        <v>229.8</v>
      </c>
      <c r="C2301" t="str">
        <f>IFERROR(VLOOKUP(B2301,'Pre-Summary'!$DI$6:$DM$23,4,FALSE),"")</f>
        <v/>
      </c>
      <c r="D2301" s="10" t="str">
        <f>IFERROR(VLOOKUP(B2301,'Pre-Summary'!$AT$6:$AX$14,5,FALSE),D2300)</f>
        <v>Wolfe v3: went back to modified wolfe + EDTA and switched CuSO4 to CUCl2</v>
      </c>
      <c r="E2301" s="10" t="str">
        <f>IFERROR(VLOOKUP(B2301,'Pre-Summary'!$AT$6:$AX$15,4,FALSE),"")</f>
        <v/>
      </c>
      <c r="F2301">
        <f>IFERROR(VLOOKUP(B2301,'Pre-Summary'!$AL$6:$AQ$13,6,FALSE),F2300)</f>
        <v>5.9405263157894746E-2</v>
      </c>
      <c r="G2301" t="str">
        <f>IFERROR(VLOOKUP(B2301,'Pre-Summary'!$AE$6:$AJ$85,3,FALSE),"")</f>
        <v/>
      </c>
      <c r="H2301" t="str">
        <f>IFERROR(VLOOKUP(B2301,'Pre-Summary'!$AE$6:$AJ$85,4,FALSE),"")</f>
        <v/>
      </c>
      <c r="I2301" t="str">
        <f>IFERROR(VLOOKUP(B2301,'Pre-Summary'!$AE$6:$AJ$85,5,FALSE),"")</f>
        <v/>
      </c>
      <c r="J2301" s="45" t="str">
        <f>IFERROR(VLOOKUP(B2301,'Pre-Summary'!$AE$6:$AJ$85,6, FALSE),"")</f>
        <v/>
      </c>
      <c r="K2301" s="45" t="str">
        <f>IFERROR(VLOOKUP(B2301,'Pre-Summary'!$DE$6:$DG$61,3,FALSE),"")</f>
        <v/>
      </c>
      <c r="L2301" s="45" t="str">
        <f>IFERROR(VLOOKUP(B2301,'Pre-Summary'!$CU$6:$CW$36,3,FALSE),"")</f>
        <v/>
      </c>
      <c r="M2301" s="45" t="str">
        <f>IFERROR(VLOOKUP(B2301,'Pre-Summary'!$BW$6:$BY$58,2,FALSE),"")</f>
        <v/>
      </c>
      <c r="N2301" s="45" t="str">
        <f>IFERROR(VLOOKUP(B2301,'Pre-Summary'!$CD$6:$CF$64,2,FALSE),"")</f>
        <v/>
      </c>
      <c r="O2301" s="99">
        <f>IFERROR(VLOOKUP(B2301,'Pre-Summary'!$BO$6:$BQ$48,3, FALSE),O2300)</f>
        <v>1.508</v>
      </c>
      <c r="P2301" s="99">
        <f>IFERROR(VLOOKUP(B2301,'Pre-Summary'!$BS$6:$BU$35,3,FALSE),P2300)</f>
        <v>0.379</v>
      </c>
      <c r="Q2301" s="54">
        <f t="shared" si="105"/>
        <v>3.9788918205804751</v>
      </c>
      <c r="R2301" s="53">
        <f>IFERROR(VLOOKUP(B2301,'Pre-Summary'!$BG$6:$BM$44,7,FALSE),R2302)</f>
        <v>9.7948682664336664E-2</v>
      </c>
      <c r="S2301" s="53">
        <f>IFERROR(VLOOKUP(B2301,'Pre-Summary'!$BG$6:$BM$44,6,FALSE),S2302)</f>
        <v>0.10614035087720526</v>
      </c>
      <c r="T2301" s="45" t="str">
        <f>IFERROR(VLOOKUP(B2301,'Pre-Summary'!$Y$6:$AC$83, 3,FALSE),"")</f>
        <v/>
      </c>
      <c r="U2301" s="45" t="str">
        <f>IFERROR(VLOOKUP(B2301,'Pre-Summary'!$Y$6:$AC$83, 4,FALSE),"")</f>
        <v/>
      </c>
      <c r="V2301" t="str">
        <f>IFERROR(VLOOKUP(B2301,'Pre-Summary'!$Y$6:$AC$83, 5,FALSE),"")</f>
        <v/>
      </c>
      <c r="W2301" s="45" t="str">
        <f>IFERROR(VLOOKUP(B2301,'Pre-Summary'!$Y$6:$AD$83,6,FALSE),"")</f>
        <v/>
      </c>
      <c r="X2301" t="str">
        <f>IFERROR(VLOOKUP('Pre-Summary'!$DB$6:$DD$63,3,FALSE),"")</f>
        <v/>
      </c>
      <c r="Y2301" t="str">
        <f>IFERROR(VLOOKUP(B2301,'Pre-Summary'!$CR$6:$CT$36,3,FALSE),"")</f>
        <v/>
      </c>
      <c r="Z2301" s="45" t="str">
        <f>IFERROR(VLOOKUP(B2301,'Pre-Summary'!$BZ$6:$CB$63,2,FALSE),"")</f>
        <v/>
      </c>
      <c r="AA2301" s="45" t="str">
        <f>IFERROR(VLOOKUP(B2301,'Pre-Summary'!$CG$6:$CI$70,2,FALSE),"")</f>
        <v/>
      </c>
      <c r="AB2301" s="99">
        <f>IFERROR(VLOOKUP(B2301,'Pre-Summary'!$A$6:$P$178,9,FALSE),AB2302)</f>
        <v>0.3510413030600153</v>
      </c>
      <c r="AC2301" s="10">
        <f>IFERROR(VLOOKUP(Summary!B2301,'Pre-Summary'!$A$6:$P$184,5, FALSE)/100,AC2302)</f>
        <v>0.95838633333333334</v>
      </c>
      <c r="AD2301" s="10">
        <f>IFERROR(VLOOKUP(Summary!B2301,'Pre-Summary'!$A$6:$P$184,3, FALSE)/100,AD2302)</f>
        <v>2.8433333333333331E-2</v>
      </c>
      <c r="AE2301" s="10">
        <f>IFERROR(VLOOKUP(Summary!B2301,'Pre-Summary'!$A$6:$P$184,7, FALSE)/100,AE2302)</f>
        <v>1.3180333333333334E-2</v>
      </c>
      <c r="AF2301" s="99">
        <f t="shared" si="106"/>
        <v>9.9812743836731003E-3</v>
      </c>
      <c r="AG2301" s="99">
        <f t="shared" si="107"/>
        <v>4.6268413880986882E-3</v>
      </c>
      <c r="AH2301" s="10" t="str">
        <f>IFERROR(VLOOKUP(B2301,'Pre-Summary'!$AZ$6:$BE$65,3,FALSE),"")</f>
        <v/>
      </c>
      <c r="AI2301" s="10" t="str">
        <f>IFERROR(VLOOKUP(B2301,'Pre-Summary'!$AZ$6:$BE$65,5,FALSE),"")</f>
        <v/>
      </c>
      <c r="AJ2301" s="10" t="str">
        <f>IFERROR(VLOOKUP(B2301,'Pre-Summary'!$AZ$6:$BE$65,4,FALSE),"")</f>
        <v/>
      </c>
      <c r="AK2301" s="10" t="str">
        <f>IFERROR(VLOOKUP(B2301,'Pre-Summary'!$AZ$6:$BE$65,6,FALSE),"")</f>
        <v/>
      </c>
      <c r="AL2301" s="10" t="str">
        <f>IFERROR(VLOOKUP(B2301,'Pre-Summary'!$BG$6:$BL$44,3,FALSE),"")</f>
        <v/>
      </c>
      <c r="AM2301" s="10" t="str">
        <f>IFERROR(VLOOKUP(B2301,'Pre-Summary'!$BG$6:$BL$44,4,FALSE),"")</f>
        <v/>
      </c>
    </row>
    <row r="2302" spans="2:39" ht="15" customHeight="1" x14ac:dyDescent="0.3">
      <c r="B2302">
        <v>229.9</v>
      </c>
      <c r="C2302" t="str">
        <f>IFERROR(VLOOKUP(B2302,'Pre-Summary'!$DI$6:$DM$23,4,FALSE),"")</f>
        <v/>
      </c>
      <c r="D2302" s="10" t="str">
        <f>IFERROR(VLOOKUP(B2302,'Pre-Summary'!$AT$6:$AX$14,5,FALSE),D2301)</f>
        <v>Wolfe v3: went back to modified wolfe + EDTA and switched CuSO4 to CUCl2</v>
      </c>
      <c r="E2302" s="10" t="str">
        <f>IFERROR(VLOOKUP(B2302,'Pre-Summary'!$AT$6:$AX$15,4,FALSE),"")</f>
        <v/>
      </c>
      <c r="F2302">
        <f>IFERROR(VLOOKUP(B2302,'Pre-Summary'!$AL$6:$AQ$13,6,FALSE),F2301)</f>
        <v>5.9405263157894746E-2</v>
      </c>
      <c r="G2302" t="str">
        <f>IFERROR(VLOOKUP(B2302,'Pre-Summary'!$AE$6:$AJ$85,3,FALSE),"")</f>
        <v/>
      </c>
      <c r="H2302" t="str">
        <f>IFERROR(VLOOKUP(B2302,'Pre-Summary'!$AE$6:$AJ$85,4,FALSE),"")</f>
        <v/>
      </c>
      <c r="I2302" t="str">
        <f>IFERROR(VLOOKUP(B2302,'Pre-Summary'!$AE$6:$AJ$85,5,FALSE),"")</f>
        <v/>
      </c>
      <c r="J2302" s="45" t="str">
        <f>IFERROR(VLOOKUP(B2302,'Pre-Summary'!$AE$6:$AJ$85,6, FALSE),"")</f>
        <v/>
      </c>
      <c r="K2302" s="45" t="str">
        <f>IFERROR(VLOOKUP(B2302,'Pre-Summary'!$DE$6:$DG$61,3,FALSE),"")</f>
        <v/>
      </c>
      <c r="L2302" s="45" t="str">
        <f>IFERROR(VLOOKUP(B2302,'Pre-Summary'!$CU$6:$CW$36,3,FALSE),"")</f>
        <v/>
      </c>
      <c r="M2302" s="45" t="str">
        <f>IFERROR(VLOOKUP(B2302,'Pre-Summary'!$BW$6:$BY$58,2,FALSE),"")</f>
        <v/>
      </c>
      <c r="N2302" s="45" t="str">
        <f>IFERROR(VLOOKUP(B2302,'Pre-Summary'!$CD$6:$CF$64,2,FALSE),"")</f>
        <v/>
      </c>
      <c r="O2302" s="99">
        <f>IFERROR(VLOOKUP(B2302,'Pre-Summary'!$BO$6:$BQ$48,3, FALSE),O2301)</f>
        <v>1.508</v>
      </c>
      <c r="P2302" s="99">
        <f>IFERROR(VLOOKUP(B2302,'Pre-Summary'!$BS$6:$BU$35,3,FALSE),P2301)</f>
        <v>0.379</v>
      </c>
      <c r="Q2302" s="54">
        <f t="shared" si="105"/>
        <v>3.9788918205804751</v>
      </c>
      <c r="R2302" s="53">
        <f>IFERROR(VLOOKUP(B2302,'Pre-Summary'!$BG$6:$BM$44,7,FALSE),R2303)</f>
        <v>9.7948682664336664E-2</v>
      </c>
      <c r="S2302" s="53">
        <f>IFERROR(VLOOKUP(B2302,'Pre-Summary'!$BG$6:$BM$44,6,FALSE),S2303)</f>
        <v>0.10614035087720526</v>
      </c>
      <c r="T2302" s="45" t="str">
        <f>IFERROR(VLOOKUP(B2302,'Pre-Summary'!$Y$6:$AC$83, 3,FALSE),"")</f>
        <v/>
      </c>
      <c r="U2302" s="45" t="str">
        <f>IFERROR(VLOOKUP(B2302,'Pre-Summary'!$Y$6:$AC$83, 4,FALSE),"")</f>
        <v/>
      </c>
      <c r="V2302" t="str">
        <f>IFERROR(VLOOKUP(B2302,'Pre-Summary'!$Y$6:$AC$83, 5,FALSE),"")</f>
        <v/>
      </c>
      <c r="W2302" s="45" t="str">
        <f>IFERROR(VLOOKUP(B2302,'Pre-Summary'!$Y$6:$AD$83,6,FALSE),"")</f>
        <v/>
      </c>
      <c r="X2302" t="str">
        <f>IFERROR(VLOOKUP('Pre-Summary'!$DB$6:$DD$63,3,FALSE),"")</f>
        <v/>
      </c>
      <c r="Y2302" t="str">
        <f>IFERROR(VLOOKUP(B2302,'Pre-Summary'!$CR$6:$CT$36,3,FALSE),"")</f>
        <v/>
      </c>
      <c r="Z2302" s="45" t="str">
        <f>IFERROR(VLOOKUP(B2302,'Pre-Summary'!$BZ$6:$CB$63,2,FALSE),"")</f>
        <v/>
      </c>
      <c r="AA2302" s="45" t="str">
        <f>IFERROR(VLOOKUP(B2302,'Pre-Summary'!$CG$6:$CI$70,2,FALSE),"")</f>
        <v/>
      </c>
      <c r="AB2302" s="99">
        <f>IFERROR(VLOOKUP(B2302,'Pre-Summary'!$A$6:$P$178,9,FALSE),AB2303)</f>
        <v>0.3510413030600153</v>
      </c>
      <c r="AC2302" s="10">
        <f>IFERROR(VLOOKUP(Summary!B2302,'Pre-Summary'!$A$6:$P$184,5, FALSE)/100,AC2303)</f>
        <v>0.95838633333333334</v>
      </c>
      <c r="AD2302" s="10">
        <f>IFERROR(VLOOKUP(Summary!B2302,'Pre-Summary'!$A$6:$P$184,3, FALSE)/100,AD2303)</f>
        <v>2.8433333333333331E-2</v>
      </c>
      <c r="AE2302" s="10">
        <f>IFERROR(VLOOKUP(Summary!B2302,'Pre-Summary'!$A$6:$P$184,7, FALSE)/100,AE2303)</f>
        <v>1.3180333333333334E-2</v>
      </c>
      <c r="AF2302" s="99">
        <f t="shared" si="106"/>
        <v>9.9812743836731003E-3</v>
      </c>
      <c r="AG2302" s="99">
        <f t="shared" si="107"/>
        <v>4.6268413880986882E-3</v>
      </c>
      <c r="AH2302" s="10" t="str">
        <f>IFERROR(VLOOKUP(B2302,'Pre-Summary'!$AZ$6:$BE$65,3,FALSE),"")</f>
        <v/>
      </c>
      <c r="AI2302" s="10" t="str">
        <f>IFERROR(VLOOKUP(B2302,'Pre-Summary'!$AZ$6:$BE$65,5,FALSE),"")</f>
        <v/>
      </c>
      <c r="AJ2302" s="10" t="str">
        <f>IFERROR(VLOOKUP(B2302,'Pre-Summary'!$AZ$6:$BE$65,4,FALSE),"")</f>
        <v/>
      </c>
      <c r="AK2302" s="10" t="str">
        <f>IFERROR(VLOOKUP(B2302,'Pre-Summary'!$AZ$6:$BE$65,6,FALSE),"")</f>
        <v/>
      </c>
      <c r="AL2302" s="10" t="str">
        <f>IFERROR(VLOOKUP(B2302,'Pre-Summary'!$BG$6:$BL$44,3,FALSE),"")</f>
        <v/>
      </c>
      <c r="AM2302" s="10" t="str">
        <f>IFERROR(VLOOKUP(B2302,'Pre-Summary'!$BG$6:$BL$44,4,FALSE),"")</f>
        <v/>
      </c>
    </row>
    <row r="2303" spans="2:39" ht="15" customHeight="1" x14ac:dyDescent="0.3">
      <c r="B2303">
        <v>230</v>
      </c>
      <c r="C2303" t="str">
        <f>IFERROR(VLOOKUP(B2303,'Pre-Summary'!$DI$6:$DM$23,4,FALSE),"")</f>
        <v/>
      </c>
      <c r="D2303" s="10" t="str">
        <f>IFERROR(VLOOKUP(B2303,'Pre-Summary'!$AT$6:$AX$14,5,FALSE),D2302)</f>
        <v>Wolfe v3: went back to modified wolfe + EDTA and switched CuSO4 to CUCl2</v>
      </c>
      <c r="E2303" s="10" t="str">
        <f>IFERROR(VLOOKUP(B2303,'Pre-Summary'!$AT$6:$AX$15,4,FALSE),"")</f>
        <v/>
      </c>
      <c r="F2303">
        <f>IFERROR(VLOOKUP(B2303,'Pre-Summary'!$AL$6:$AQ$13,6,FALSE),F2302)</f>
        <v>5.9405263157894746E-2</v>
      </c>
      <c r="G2303" t="str">
        <f>IFERROR(VLOOKUP(B2303,'Pre-Summary'!$AE$6:$AJ$85,3,FALSE),"")</f>
        <v/>
      </c>
      <c r="H2303" t="str">
        <f>IFERROR(VLOOKUP(B2303,'Pre-Summary'!$AE$6:$AJ$85,4,FALSE),"")</f>
        <v/>
      </c>
      <c r="I2303" t="str">
        <f>IFERROR(VLOOKUP(B2303,'Pre-Summary'!$AE$6:$AJ$85,5,FALSE),"")</f>
        <v/>
      </c>
      <c r="J2303" s="45" t="str">
        <f>IFERROR(VLOOKUP(B2303,'Pre-Summary'!$AE$6:$AJ$85,6, FALSE),"")</f>
        <v/>
      </c>
      <c r="K2303" s="45" t="str">
        <f>IFERROR(VLOOKUP(B2303,'Pre-Summary'!$DE$6:$DG$61,3,FALSE),"")</f>
        <v/>
      </c>
      <c r="L2303" s="45" t="str">
        <f>IFERROR(VLOOKUP(B2303,'Pre-Summary'!$CU$6:$CW$36,3,FALSE),"")</f>
        <v/>
      </c>
      <c r="M2303" s="45" t="str">
        <f>IFERROR(VLOOKUP(B2303,'Pre-Summary'!$BW$6:$BY$58,2,FALSE),"")</f>
        <v/>
      </c>
      <c r="N2303" s="45" t="str">
        <f>IFERROR(VLOOKUP(B2303,'Pre-Summary'!$CD$6:$CF$64,2,FALSE),"")</f>
        <v/>
      </c>
      <c r="O2303" s="99">
        <f>IFERROR(VLOOKUP(B2303,'Pre-Summary'!$BO$6:$BQ$48,3, FALSE),O2302)</f>
        <v>1.508</v>
      </c>
      <c r="P2303" s="99">
        <f>IFERROR(VLOOKUP(B2303,'Pre-Summary'!$BS$6:$BU$35,3,FALSE),P2302)</f>
        <v>0.379</v>
      </c>
      <c r="Q2303" s="54">
        <f t="shared" si="105"/>
        <v>3.9788918205804751</v>
      </c>
      <c r="R2303" s="53">
        <f>IFERROR(VLOOKUP(B2303,'Pre-Summary'!$BG$6:$BM$44,7,FALSE),R2304)</f>
        <v>9.7948682664336664E-2</v>
      </c>
      <c r="S2303" s="53">
        <f>IFERROR(VLOOKUP(B2303,'Pre-Summary'!$BG$6:$BM$44,6,FALSE),S2304)</f>
        <v>0.10614035087720526</v>
      </c>
      <c r="T2303" s="45" t="str">
        <f>IFERROR(VLOOKUP(B2303,'Pre-Summary'!$Y$6:$AC$83, 3,FALSE),"")</f>
        <v/>
      </c>
      <c r="U2303" s="45" t="str">
        <f>IFERROR(VLOOKUP(B2303,'Pre-Summary'!$Y$6:$AC$83, 4,FALSE),"")</f>
        <v/>
      </c>
      <c r="V2303" t="str">
        <f>IFERROR(VLOOKUP(B2303,'Pre-Summary'!$Y$6:$AC$83, 5,FALSE),"")</f>
        <v/>
      </c>
      <c r="W2303" s="45" t="str">
        <f>IFERROR(VLOOKUP(B2303,'Pre-Summary'!$Y$6:$AD$83,6,FALSE),"")</f>
        <v/>
      </c>
      <c r="X2303" t="str">
        <f>IFERROR(VLOOKUP('Pre-Summary'!$DB$6:$DD$63,3,FALSE),"")</f>
        <v/>
      </c>
      <c r="Y2303" t="str">
        <f>IFERROR(VLOOKUP(B2303,'Pre-Summary'!$CR$6:$CT$36,3,FALSE),"")</f>
        <v/>
      </c>
      <c r="Z2303" s="45" t="str">
        <f>IFERROR(VLOOKUP(B2303,'Pre-Summary'!$BZ$6:$CB$63,2,FALSE),"")</f>
        <v/>
      </c>
      <c r="AA2303" s="45" t="str">
        <f>IFERROR(VLOOKUP(B2303,'Pre-Summary'!$CG$6:$CI$70,2,FALSE),"")</f>
        <v/>
      </c>
      <c r="AB2303" s="99">
        <f>IFERROR(VLOOKUP(B2303,'Pre-Summary'!$A$6:$P$178,9,FALSE),AB2304)</f>
        <v>0.3510413030600153</v>
      </c>
      <c r="AC2303" s="10">
        <f>IFERROR(VLOOKUP(Summary!B2303,'Pre-Summary'!$A$6:$P$184,5, FALSE)/100,AC2304)</f>
        <v>0.95838633333333334</v>
      </c>
      <c r="AD2303" s="10">
        <f>IFERROR(VLOOKUP(Summary!B2303,'Pre-Summary'!$A$6:$P$184,3, FALSE)/100,AD2304)</f>
        <v>2.8433333333333331E-2</v>
      </c>
      <c r="AE2303" s="10">
        <f>IFERROR(VLOOKUP(Summary!B2303,'Pre-Summary'!$A$6:$P$184,7, FALSE)/100,AE2304)</f>
        <v>1.3180333333333334E-2</v>
      </c>
      <c r="AF2303" s="99">
        <f t="shared" si="106"/>
        <v>9.9812743836731003E-3</v>
      </c>
      <c r="AG2303" s="99">
        <f t="shared" si="107"/>
        <v>4.6268413880986882E-3</v>
      </c>
      <c r="AH2303" s="10" t="str">
        <f>IFERROR(VLOOKUP(B2303,'Pre-Summary'!$AZ$6:$BE$65,3,FALSE),"")</f>
        <v/>
      </c>
      <c r="AI2303" s="10" t="str">
        <f>IFERROR(VLOOKUP(B2303,'Pre-Summary'!$AZ$6:$BE$65,5,FALSE),"")</f>
        <v/>
      </c>
      <c r="AJ2303" s="10" t="str">
        <f>IFERROR(VLOOKUP(B2303,'Pre-Summary'!$AZ$6:$BE$65,4,FALSE),"")</f>
        <v/>
      </c>
      <c r="AK2303" s="10" t="str">
        <f>IFERROR(VLOOKUP(B2303,'Pre-Summary'!$AZ$6:$BE$65,6,FALSE),"")</f>
        <v/>
      </c>
      <c r="AL2303" s="10" t="str">
        <f>IFERROR(VLOOKUP(B2303,'Pre-Summary'!$BG$6:$BL$44,3,FALSE),"")</f>
        <v/>
      </c>
      <c r="AM2303" s="10" t="str">
        <f>IFERROR(VLOOKUP(B2303,'Pre-Summary'!$BG$6:$BL$44,4,FALSE),"")</f>
        <v/>
      </c>
    </row>
    <row r="2304" spans="2:39" ht="15" customHeight="1" x14ac:dyDescent="0.3">
      <c r="B2304">
        <v>230.1</v>
      </c>
      <c r="C2304" t="str">
        <f>IFERROR(VLOOKUP(B2304,'Pre-Summary'!$DI$6:$DM$23,4,FALSE),"")</f>
        <v/>
      </c>
      <c r="D2304" s="10" t="str">
        <f>IFERROR(VLOOKUP(B2304,'Pre-Summary'!$AT$6:$AX$14,5,FALSE),D2303)</f>
        <v>Wolfe v3: went back to modified wolfe + EDTA and switched CuSO4 to CUCl2</v>
      </c>
      <c r="E2304" s="10" t="str">
        <f>IFERROR(VLOOKUP(B2304,'Pre-Summary'!$AT$6:$AX$15,4,FALSE),"")</f>
        <v/>
      </c>
      <c r="F2304">
        <f>IFERROR(VLOOKUP(B2304,'Pre-Summary'!$AL$6:$AQ$13,6,FALSE),F2303)</f>
        <v>5.9405263157894746E-2</v>
      </c>
      <c r="G2304" t="str">
        <f>IFERROR(VLOOKUP(B2304,'Pre-Summary'!$AE$6:$AJ$85,3,FALSE),"")</f>
        <v/>
      </c>
      <c r="H2304" t="str">
        <f>IFERROR(VLOOKUP(B2304,'Pre-Summary'!$AE$6:$AJ$85,4,FALSE),"")</f>
        <v/>
      </c>
      <c r="I2304" t="str">
        <f>IFERROR(VLOOKUP(B2304,'Pre-Summary'!$AE$6:$AJ$85,5,FALSE),"")</f>
        <v/>
      </c>
      <c r="J2304" s="45" t="str">
        <f>IFERROR(VLOOKUP(B2304,'Pre-Summary'!$AE$6:$AJ$85,6, FALSE),"")</f>
        <v/>
      </c>
      <c r="K2304" s="45" t="str">
        <f>IFERROR(VLOOKUP(B2304,'Pre-Summary'!$DE$6:$DG$61,3,FALSE),"")</f>
        <v/>
      </c>
      <c r="L2304" s="45" t="str">
        <f>IFERROR(VLOOKUP(B2304,'Pre-Summary'!$CU$6:$CW$36,3,FALSE),"")</f>
        <v/>
      </c>
      <c r="M2304" s="45" t="str">
        <f>IFERROR(VLOOKUP(B2304,'Pre-Summary'!$BW$6:$BY$58,2,FALSE),"")</f>
        <v/>
      </c>
      <c r="N2304" s="45" t="str">
        <f>IFERROR(VLOOKUP(B2304,'Pre-Summary'!$CD$6:$CF$64,2,FALSE),"")</f>
        <v/>
      </c>
      <c r="O2304" s="99">
        <f>IFERROR(VLOOKUP(B2304,'Pre-Summary'!$BO$6:$BQ$48,3, FALSE),O2303)</f>
        <v>1.508</v>
      </c>
      <c r="P2304" s="99">
        <f>IFERROR(VLOOKUP(B2304,'Pre-Summary'!$BS$6:$BU$35,3,FALSE),P2303)</f>
        <v>0.379</v>
      </c>
      <c r="Q2304" s="54">
        <f t="shared" si="105"/>
        <v>3.9788918205804751</v>
      </c>
      <c r="R2304" s="53">
        <f>IFERROR(VLOOKUP(B2304,'Pre-Summary'!$BG$6:$BM$44,7,FALSE),R2305)</f>
        <v>9.7948682664336664E-2</v>
      </c>
      <c r="S2304" s="53">
        <f>IFERROR(VLOOKUP(B2304,'Pre-Summary'!$BG$6:$BM$44,6,FALSE),S2305)</f>
        <v>0.10614035087720526</v>
      </c>
      <c r="T2304" s="45" t="str">
        <f>IFERROR(VLOOKUP(B2304,'Pre-Summary'!$Y$6:$AC$83, 3,FALSE),"")</f>
        <v/>
      </c>
      <c r="U2304" s="45" t="str">
        <f>IFERROR(VLOOKUP(B2304,'Pre-Summary'!$Y$6:$AC$83, 4,FALSE),"")</f>
        <v/>
      </c>
      <c r="V2304" t="str">
        <f>IFERROR(VLOOKUP(B2304,'Pre-Summary'!$Y$6:$AC$83, 5,FALSE),"")</f>
        <v/>
      </c>
      <c r="W2304" s="45" t="str">
        <f>IFERROR(VLOOKUP(B2304,'Pre-Summary'!$Y$6:$AD$83,6,FALSE),"")</f>
        <v/>
      </c>
      <c r="X2304" t="str">
        <f>IFERROR(VLOOKUP('Pre-Summary'!$DB$6:$DD$63,3,FALSE),"")</f>
        <v/>
      </c>
      <c r="Y2304" t="str">
        <f>IFERROR(VLOOKUP(B2304,'Pre-Summary'!$CR$6:$CT$36,3,FALSE),"")</f>
        <v/>
      </c>
      <c r="Z2304" s="45" t="str">
        <f>IFERROR(VLOOKUP(B2304,'Pre-Summary'!$BZ$6:$CB$63,2,FALSE),"")</f>
        <v/>
      </c>
      <c r="AA2304" s="45" t="str">
        <f>IFERROR(VLOOKUP(B2304,'Pre-Summary'!$CG$6:$CI$70,2,FALSE),"")</f>
        <v/>
      </c>
      <c r="AB2304" s="99">
        <f>IFERROR(VLOOKUP(B2304,'Pre-Summary'!$A$6:$P$178,9,FALSE),AB2305)</f>
        <v>0.3510413030600153</v>
      </c>
      <c r="AC2304" s="10">
        <f>IFERROR(VLOOKUP(Summary!B2304,'Pre-Summary'!$A$6:$P$184,5, FALSE)/100,AC2305)</f>
        <v>0.95838633333333334</v>
      </c>
      <c r="AD2304" s="10">
        <f>IFERROR(VLOOKUP(Summary!B2304,'Pre-Summary'!$A$6:$P$184,3, FALSE)/100,AD2305)</f>
        <v>2.8433333333333331E-2</v>
      </c>
      <c r="AE2304" s="10">
        <f>IFERROR(VLOOKUP(Summary!B2304,'Pre-Summary'!$A$6:$P$184,7, FALSE)/100,AE2305)</f>
        <v>1.3180333333333334E-2</v>
      </c>
      <c r="AF2304" s="99">
        <f t="shared" si="106"/>
        <v>9.9812743836731003E-3</v>
      </c>
      <c r="AG2304" s="99">
        <f t="shared" si="107"/>
        <v>4.6268413880986882E-3</v>
      </c>
      <c r="AH2304" s="10" t="str">
        <f>IFERROR(VLOOKUP(B2304,'Pre-Summary'!$AZ$6:$BE$65,3,FALSE),"")</f>
        <v/>
      </c>
      <c r="AI2304" s="10" t="str">
        <f>IFERROR(VLOOKUP(B2304,'Pre-Summary'!$AZ$6:$BE$65,5,FALSE),"")</f>
        <v/>
      </c>
      <c r="AJ2304" s="10" t="str">
        <f>IFERROR(VLOOKUP(B2304,'Pre-Summary'!$AZ$6:$BE$65,4,FALSE),"")</f>
        <v/>
      </c>
      <c r="AK2304" s="10" t="str">
        <f>IFERROR(VLOOKUP(B2304,'Pre-Summary'!$AZ$6:$BE$65,6,FALSE),"")</f>
        <v/>
      </c>
      <c r="AL2304" s="10" t="str">
        <f>IFERROR(VLOOKUP(B2304,'Pre-Summary'!$BG$6:$BL$44,3,FALSE),"")</f>
        <v/>
      </c>
      <c r="AM2304" s="10" t="str">
        <f>IFERROR(VLOOKUP(B2304,'Pre-Summary'!$BG$6:$BL$44,4,FALSE),"")</f>
        <v/>
      </c>
    </row>
    <row r="2305" spans="2:39" ht="15" customHeight="1" x14ac:dyDescent="0.3">
      <c r="B2305">
        <v>230.2</v>
      </c>
      <c r="C2305" t="str">
        <f>IFERROR(VLOOKUP(B2305,'Pre-Summary'!$DI$6:$DM$23,4,FALSE),"")</f>
        <v/>
      </c>
      <c r="D2305" s="10" t="str">
        <f>IFERROR(VLOOKUP(B2305,'Pre-Summary'!$AT$6:$AX$14,5,FALSE),D2304)</f>
        <v>Wolfe v3: went back to modified wolfe + EDTA and switched CuSO4 to CUCl2</v>
      </c>
      <c r="E2305" s="10" t="str">
        <f>IFERROR(VLOOKUP(B2305,'Pre-Summary'!$AT$6:$AX$15,4,FALSE),"")</f>
        <v/>
      </c>
      <c r="F2305">
        <f>IFERROR(VLOOKUP(B2305,'Pre-Summary'!$AL$6:$AQ$13,6,FALSE),F2304)</f>
        <v>5.9405263157894746E-2</v>
      </c>
      <c r="G2305" t="str">
        <f>IFERROR(VLOOKUP(B2305,'Pre-Summary'!$AE$6:$AJ$85,3,FALSE),"")</f>
        <v/>
      </c>
      <c r="H2305" t="str">
        <f>IFERROR(VLOOKUP(B2305,'Pre-Summary'!$AE$6:$AJ$85,4,FALSE),"")</f>
        <v/>
      </c>
      <c r="I2305" t="str">
        <f>IFERROR(VLOOKUP(B2305,'Pre-Summary'!$AE$6:$AJ$85,5,FALSE),"")</f>
        <v/>
      </c>
      <c r="J2305" s="45" t="str">
        <f>IFERROR(VLOOKUP(B2305,'Pre-Summary'!$AE$6:$AJ$85,6, FALSE),"")</f>
        <v/>
      </c>
      <c r="K2305" s="45" t="str">
        <f>IFERROR(VLOOKUP(B2305,'Pre-Summary'!$DE$6:$DG$61,3,FALSE),"")</f>
        <v/>
      </c>
      <c r="L2305" s="45" t="str">
        <f>IFERROR(VLOOKUP(B2305,'Pre-Summary'!$CU$6:$CW$36,3,FALSE),"")</f>
        <v/>
      </c>
      <c r="M2305" s="45" t="str">
        <f>IFERROR(VLOOKUP(B2305,'Pre-Summary'!$BW$6:$BY$58,2,FALSE),"")</f>
        <v/>
      </c>
      <c r="N2305" s="45" t="str">
        <f>IFERROR(VLOOKUP(B2305,'Pre-Summary'!$CD$6:$CF$64,2,FALSE),"")</f>
        <v/>
      </c>
      <c r="O2305" s="99">
        <f>IFERROR(VLOOKUP(B2305,'Pre-Summary'!$BO$6:$BQ$48,3, FALSE),O2304)</f>
        <v>1.508</v>
      </c>
      <c r="P2305" s="99">
        <f>IFERROR(VLOOKUP(B2305,'Pre-Summary'!$BS$6:$BU$35,3,FALSE),P2304)</f>
        <v>0.379</v>
      </c>
      <c r="Q2305" s="54">
        <f t="shared" si="105"/>
        <v>3.9788918205804751</v>
      </c>
      <c r="R2305" s="53">
        <f>IFERROR(VLOOKUP(B2305,'Pre-Summary'!$BG$6:$BM$44,7,FALSE),R2306)</f>
        <v>9.7948682664336664E-2</v>
      </c>
      <c r="S2305" s="53">
        <f>IFERROR(VLOOKUP(B2305,'Pre-Summary'!$BG$6:$BM$44,6,FALSE),S2306)</f>
        <v>0.10614035087720526</v>
      </c>
      <c r="T2305" s="45" t="str">
        <f>IFERROR(VLOOKUP(B2305,'Pre-Summary'!$Y$6:$AC$83, 3,FALSE),"")</f>
        <v/>
      </c>
      <c r="U2305" s="45" t="str">
        <f>IFERROR(VLOOKUP(B2305,'Pre-Summary'!$Y$6:$AC$83, 4,FALSE),"")</f>
        <v/>
      </c>
      <c r="V2305" t="str">
        <f>IFERROR(VLOOKUP(B2305,'Pre-Summary'!$Y$6:$AC$83, 5,FALSE),"")</f>
        <v/>
      </c>
      <c r="W2305" s="45" t="str">
        <f>IFERROR(VLOOKUP(B2305,'Pre-Summary'!$Y$6:$AD$83,6,FALSE),"")</f>
        <v/>
      </c>
      <c r="X2305" t="str">
        <f>IFERROR(VLOOKUP('Pre-Summary'!$DB$6:$DD$63,3,FALSE),"")</f>
        <v/>
      </c>
      <c r="Y2305" t="str">
        <f>IFERROR(VLOOKUP(B2305,'Pre-Summary'!$CR$6:$CT$36,3,FALSE),"")</f>
        <v/>
      </c>
      <c r="Z2305" s="45" t="str">
        <f>IFERROR(VLOOKUP(B2305,'Pre-Summary'!$BZ$6:$CB$63,2,FALSE),"")</f>
        <v/>
      </c>
      <c r="AA2305" s="45" t="str">
        <f>IFERROR(VLOOKUP(B2305,'Pre-Summary'!$CG$6:$CI$70,2,FALSE),"")</f>
        <v/>
      </c>
      <c r="AB2305" s="99">
        <f>IFERROR(VLOOKUP(B2305,'Pre-Summary'!$A$6:$P$178,9,FALSE),AB2306)</f>
        <v>0.3510413030600153</v>
      </c>
      <c r="AC2305" s="10">
        <f>IFERROR(VLOOKUP(Summary!B2305,'Pre-Summary'!$A$6:$P$184,5, FALSE)/100,AC2306)</f>
        <v>0.95838633333333334</v>
      </c>
      <c r="AD2305" s="10">
        <f>IFERROR(VLOOKUP(Summary!B2305,'Pre-Summary'!$A$6:$P$184,3, FALSE)/100,AD2306)</f>
        <v>2.8433333333333331E-2</v>
      </c>
      <c r="AE2305" s="10">
        <f>IFERROR(VLOOKUP(Summary!B2305,'Pre-Summary'!$A$6:$P$184,7, FALSE)/100,AE2306)</f>
        <v>1.3180333333333334E-2</v>
      </c>
      <c r="AF2305" s="99">
        <f t="shared" si="106"/>
        <v>9.9812743836731003E-3</v>
      </c>
      <c r="AG2305" s="99">
        <f t="shared" si="107"/>
        <v>4.6268413880986882E-3</v>
      </c>
      <c r="AH2305" s="10" t="str">
        <f>IFERROR(VLOOKUP(B2305,'Pre-Summary'!$AZ$6:$BE$65,3,FALSE),"")</f>
        <v/>
      </c>
      <c r="AI2305" s="10" t="str">
        <f>IFERROR(VLOOKUP(B2305,'Pre-Summary'!$AZ$6:$BE$65,5,FALSE),"")</f>
        <v/>
      </c>
      <c r="AJ2305" s="10" t="str">
        <f>IFERROR(VLOOKUP(B2305,'Pre-Summary'!$AZ$6:$BE$65,4,FALSE),"")</f>
        <v/>
      </c>
      <c r="AK2305" s="10" t="str">
        <f>IFERROR(VLOOKUP(B2305,'Pre-Summary'!$AZ$6:$BE$65,6,FALSE),"")</f>
        <v/>
      </c>
      <c r="AL2305" s="10" t="str">
        <f>IFERROR(VLOOKUP(B2305,'Pre-Summary'!$BG$6:$BL$44,3,FALSE),"")</f>
        <v/>
      </c>
      <c r="AM2305" s="10" t="str">
        <f>IFERROR(VLOOKUP(B2305,'Pre-Summary'!$BG$6:$BL$44,4,FALSE),"")</f>
        <v/>
      </c>
    </row>
    <row r="2306" spans="2:39" ht="15" customHeight="1" x14ac:dyDescent="0.3">
      <c r="B2306">
        <v>230.3</v>
      </c>
      <c r="C2306" t="str">
        <f>IFERROR(VLOOKUP(B2306,'Pre-Summary'!$DI$6:$DM$23,4,FALSE),"")</f>
        <v/>
      </c>
      <c r="D2306" s="10" t="str">
        <f>IFERROR(VLOOKUP(B2306,'Pre-Summary'!$AT$6:$AX$14,5,FALSE),D2305)</f>
        <v>Wolfe v3: went back to modified wolfe + EDTA and switched CuSO4 to CUCl2</v>
      </c>
      <c r="E2306" s="10" t="str">
        <f>IFERROR(VLOOKUP(B2306,'Pre-Summary'!$AT$6:$AX$15,4,FALSE),"")</f>
        <v/>
      </c>
      <c r="F2306">
        <f>IFERROR(VLOOKUP(B2306,'Pre-Summary'!$AL$6:$AQ$13,6,FALSE),F2305)</f>
        <v>5.9405263157894746E-2</v>
      </c>
      <c r="G2306" t="str">
        <f>IFERROR(VLOOKUP(B2306,'Pre-Summary'!$AE$6:$AJ$85,3,FALSE),"")</f>
        <v/>
      </c>
      <c r="H2306" t="str">
        <f>IFERROR(VLOOKUP(B2306,'Pre-Summary'!$AE$6:$AJ$85,4,FALSE),"")</f>
        <v/>
      </c>
      <c r="I2306" t="str">
        <f>IFERROR(VLOOKUP(B2306,'Pre-Summary'!$AE$6:$AJ$85,5,FALSE),"")</f>
        <v/>
      </c>
      <c r="J2306" s="45" t="str">
        <f>IFERROR(VLOOKUP(B2306,'Pre-Summary'!$AE$6:$AJ$85,6, FALSE),"")</f>
        <v/>
      </c>
      <c r="K2306" s="45" t="str">
        <f>IFERROR(VLOOKUP(B2306,'Pre-Summary'!$DE$6:$DG$61,3,FALSE),"")</f>
        <v/>
      </c>
      <c r="L2306" s="45" t="str">
        <f>IFERROR(VLOOKUP(B2306,'Pre-Summary'!$CU$6:$CW$36,3,FALSE),"")</f>
        <v/>
      </c>
      <c r="M2306" s="45" t="str">
        <f>IFERROR(VLOOKUP(B2306,'Pre-Summary'!$BW$6:$BY$58,2,FALSE),"")</f>
        <v/>
      </c>
      <c r="N2306" s="45" t="str">
        <f>IFERROR(VLOOKUP(B2306,'Pre-Summary'!$CD$6:$CF$64,2,FALSE),"")</f>
        <v/>
      </c>
      <c r="O2306" s="99">
        <f>IFERROR(VLOOKUP(B2306,'Pre-Summary'!$BO$6:$BQ$48,3, FALSE),O2305)</f>
        <v>1.508</v>
      </c>
      <c r="P2306" s="99">
        <f>IFERROR(VLOOKUP(B2306,'Pre-Summary'!$BS$6:$BU$35,3,FALSE),P2305)</f>
        <v>0.379</v>
      </c>
      <c r="Q2306" s="54">
        <f t="shared" si="105"/>
        <v>3.9788918205804751</v>
      </c>
      <c r="R2306" s="53">
        <f>IFERROR(VLOOKUP(B2306,'Pre-Summary'!$BG$6:$BM$44,7,FALSE),R2307)</f>
        <v>9.7948682664336664E-2</v>
      </c>
      <c r="S2306" s="53">
        <f>IFERROR(VLOOKUP(B2306,'Pre-Summary'!$BG$6:$BM$44,6,FALSE),S2307)</f>
        <v>0.10614035087720526</v>
      </c>
      <c r="T2306" s="45" t="str">
        <f>IFERROR(VLOOKUP(B2306,'Pre-Summary'!$Y$6:$AC$83, 3,FALSE),"")</f>
        <v/>
      </c>
      <c r="U2306" s="45" t="str">
        <f>IFERROR(VLOOKUP(B2306,'Pre-Summary'!$Y$6:$AC$83, 4,FALSE),"")</f>
        <v/>
      </c>
      <c r="V2306" t="str">
        <f>IFERROR(VLOOKUP(B2306,'Pre-Summary'!$Y$6:$AC$83, 5,FALSE),"")</f>
        <v/>
      </c>
      <c r="W2306" s="45" t="str">
        <f>IFERROR(VLOOKUP(B2306,'Pre-Summary'!$Y$6:$AD$83,6,FALSE),"")</f>
        <v/>
      </c>
      <c r="X2306" t="str">
        <f>IFERROR(VLOOKUP('Pre-Summary'!$DB$6:$DD$63,3,FALSE),"")</f>
        <v/>
      </c>
      <c r="Y2306" t="str">
        <f>IFERROR(VLOOKUP(B2306,'Pre-Summary'!$CR$6:$CT$36,3,FALSE),"")</f>
        <v/>
      </c>
      <c r="Z2306" s="45" t="str">
        <f>IFERROR(VLOOKUP(B2306,'Pre-Summary'!$BZ$6:$CB$63,2,FALSE),"")</f>
        <v/>
      </c>
      <c r="AA2306" s="45" t="str">
        <f>IFERROR(VLOOKUP(B2306,'Pre-Summary'!$CG$6:$CI$70,2,FALSE),"")</f>
        <v/>
      </c>
      <c r="AB2306" s="99">
        <f>IFERROR(VLOOKUP(B2306,'Pre-Summary'!$A$6:$P$178,9,FALSE),AB2307)</f>
        <v>0.3510413030600153</v>
      </c>
      <c r="AC2306" s="10">
        <f>IFERROR(VLOOKUP(Summary!B2306,'Pre-Summary'!$A$6:$P$184,5, FALSE)/100,AC2307)</f>
        <v>0.95838633333333334</v>
      </c>
      <c r="AD2306" s="10">
        <f>IFERROR(VLOOKUP(Summary!B2306,'Pre-Summary'!$A$6:$P$184,3, FALSE)/100,AD2307)</f>
        <v>2.8433333333333331E-2</v>
      </c>
      <c r="AE2306" s="10">
        <f>IFERROR(VLOOKUP(Summary!B2306,'Pre-Summary'!$A$6:$P$184,7, FALSE)/100,AE2307)</f>
        <v>1.3180333333333334E-2</v>
      </c>
      <c r="AF2306" s="99">
        <f t="shared" si="106"/>
        <v>9.9812743836731003E-3</v>
      </c>
      <c r="AG2306" s="99">
        <f t="shared" si="107"/>
        <v>4.6268413880986882E-3</v>
      </c>
      <c r="AH2306" s="10" t="str">
        <f>IFERROR(VLOOKUP(B2306,'Pre-Summary'!$AZ$6:$BE$65,3,FALSE),"")</f>
        <v/>
      </c>
      <c r="AI2306" s="10" t="str">
        <f>IFERROR(VLOOKUP(B2306,'Pre-Summary'!$AZ$6:$BE$65,5,FALSE),"")</f>
        <v/>
      </c>
      <c r="AJ2306" s="10" t="str">
        <f>IFERROR(VLOOKUP(B2306,'Pre-Summary'!$AZ$6:$BE$65,4,FALSE),"")</f>
        <v/>
      </c>
      <c r="AK2306" s="10" t="str">
        <f>IFERROR(VLOOKUP(B2306,'Pre-Summary'!$AZ$6:$BE$65,6,FALSE),"")</f>
        <v/>
      </c>
      <c r="AL2306" s="10" t="str">
        <f>IFERROR(VLOOKUP(B2306,'Pre-Summary'!$BG$6:$BL$44,3,FALSE),"")</f>
        <v/>
      </c>
      <c r="AM2306" s="10" t="str">
        <f>IFERROR(VLOOKUP(B2306,'Pre-Summary'!$BG$6:$BL$44,4,FALSE),"")</f>
        <v/>
      </c>
    </row>
    <row r="2307" spans="2:39" ht="15" customHeight="1" x14ac:dyDescent="0.3">
      <c r="B2307">
        <v>230.4</v>
      </c>
      <c r="C2307" t="str">
        <f>IFERROR(VLOOKUP(B2307,'Pre-Summary'!$DI$6:$DM$23,4,FALSE),"")</f>
        <v/>
      </c>
      <c r="D2307" s="10" t="str">
        <f>IFERROR(VLOOKUP(B2307,'Pre-Summary'!$AT$6:$AX$14,5,FALSE),D2306)</f>
        <v>Wolfe v3: went back to modified wolfe + EDTA and switched CuSO4 to CUCl2</v>
      </c>
      <c r="E2307" s="10" t="str">
        <f>IFERROR(VLOOKUP(B2307,'Pre-Summary'!$AT$6:$AX$15,4,FALSE),"")</f>
        <v/>
      </c>
      <c r="F2307">
        <f>IFERROR(VLOOKUP(B2307,'Pre-Summary'!$AL$6:$AQ$13,6,FALSE),F2306)</f>
        <v>5.9405263157894746E-2</v>
      </c>
      <c r="G2307" t="str">
        <f>IFERROR(VLOOKUP(B2307,'Pre-Summary'!$AE$6:$AJ$85,3,FALSE),"")</f>
        <v/>
      </c>
      <c r="H2307" t="str">
        <f>IFERROR(VLOOKUP(B2307,'Pre-Summary'!$AE$6:$AJ$85,4,FALSE),"")</f>
        <v/>
      </c>
      <c r="I2307" t="str">
        <f>IFERROR(VLOOKUP(B2307,'Pre-Summary'!$AE$6:$AJ$85,5,FALSE),"")</f>
        <v/>
      </c>
      <c r="J2307" s="45" t="str">
        <f>IFERROR(VLOOKUP(B2307,'Pre-Summary'!$AE$6:$AJ$85,6, FALSE),"")</f>
        <v/>
      </c>
      <c r="K2307" s="45" t="str">
        <f>IFERROR(VLOOKUP(B2307,'Pre-Summary'!$DE$6:$DG$61,3,FALSE),"")</f>
        <v/>
      </c>
      <c r="L2307" s="45" t="str">
        <f>IFERROR(VLOOKUP(B2307,'Pre-Summary'!$CU$6:$CW$36,3,FALSE),"")</f>
        <v/>
      </c>
      <c r="M2307" s="45" t="str">
        <f>IFERROR(VLOOKUP(B2307,'Pre-Summary'!$BW$6:$BY$58,2,FALSE),"")</f>
        <v/>
      </c>
      <c r="N2307" s="45" t="str">
        <f>IFERROR(VLOOKUP(B2307,'Pre-Summary'!$CD$6:$CF$64,2,FALSE),"")</f>
        <v/>
      </c>
      <c r="O2307" s="99">
        <f>IFERROR(VLOOKUP(B2307,'Pre-Summary'!$BO$6:$BQ$48,3, FALSE),O2306)</f>
        <v>1.508</v>
      </c>
      <c r="P2307" s="99">
        <f>IFERROR(VLOOKUP(B2307,'Pre-Summary'!$BS$6:$BU$35,3,FALSE),P2306)</f>
        <v>0.379</v>
      </c>
      <c r="Q2307" s="54">
        <f t="shared" ref="Q2307:Q2370" si="108">O2307/P2307</f>
        <v>3.9788918205804751</v>
      </c>
      <c r="R2307" s="53">
        <f>IFERROR(VLOOKUP(B2307,'Pre-Summary'!$BG$6:$BM$44,7,FALSE),R2308)</f>
        <v>9.7948682664336664E-2</v>
      </c>
      <c r="S2307" s="53">
        <f>IFERROR(VLOOKUP(B2307,'Pre-Summary'!$BG$6:$BM$44,6,FALSE),S2308)</f>
        <v>0.10614035087720526</v>
      </c>
      <c r="T2307" s="45" t="str">
        <f>IFERROR(VLOOKUP(B2307,'Pre-Summary'!$Y$6:$AC$83, 3,FALSE),"")</f>
        <v/>
      </c>
      <c r="U2307" s="45" t="str">
        <f>IFERROR(VLOOKUP(B2307,'Pre-Summary'!$Y$6:$AC$83, 4,FALSE),"")</f>
        <v/>
      </c>
      <c r="V2307" t="str">
        <f>IFERROR(VLOOKUP(B2307,'Pre-Summary'!$Y$6:$AC$83, 5,FALSE),"")</f>
        <v/>
      </c>
      <c r="W2307" s="45" t="str">
        <f>IFERROR(VLOOKUP(B2307,'Pre-Summary'!$Y$6:$AD$83,6,FALSE),"")</f>
        <v/>
      </c>
      <c r="X2307" t="str">
        <f>IFERROR(VLOOKUP('Pre-Summary'!$DB$6:$DD$63,3,FALSE),"")</f>
        <v/>
      </c>
      <c r="Y2307" t="str">
        <f>IFERROR(VLOOKUP(B2307,'Pre-Summary'!$CR$6:$CT$36,3,FALSE),"")</f>
        <v/>
      </c>
      <c r="Z2307" s="45" t="str">
        <f>IFERROR(VLOOKUP(B2307,'Pre-Summary'!$BZ$6:$CB$63,2,FALSE),"")</f>
        <v/>
      </c>
      <c r="AA2307" s="45" t="str">
        <f>IFERROR(VLOOKUP(B2307,'Pre-Summary'!$CG$6:$CI$70,2,FALSE),"")</f>
        <v/>
      </c>
      <c r="AB2307" s="99">
        <f>IFERROR(VLOOKUP(B2307,'Pre-Summary'!$A$6:$P$178,9,FALSE),AB2308)</f>
        <v>0.3510413030600153</v>
      </c>
      <c r="AC2307" s="10">
        <f>IFERROR(VLOOKUP(Summary!B2307,'Pre-Summary'!$A$6:$P$184,5, FALSE)/100,AC2308)</f>
        <v>0.95838633333333334</v>
      </c>
      <c r="AD2307" s="10">
        <f>IFERROR(VLOOKUP(Summary!B2307,'Pre-Summary'!$A$6:$P$184,3, FALSE)/100,AD2308)</f>
        <v>2.8433333333333331E-2</v>
      </c>
      <c r="AE2307" s="10">
        <f>IFERROR(VLOOKUP(Summary!B2307,'Pre-Summary'!$A$6:$P$184,7, FALSE)/100,AE2308)</f>
        <v>1.3180333333333334E-2</v>
      </c>
      <c r="AF2307" s="99">
        <f t="shared" ref="AF2307:AF2370" si="109">AD2307*AB2307</f>
        <v>9.9812743836731003E-3</v>
      </c>
      <c r="AG2307" s="99">
        <f t="shared" ref="AG2307:AG2370" si="110">AB2307*AE2307</f>
        <v>4.6268413880986882E-3</v>
      </c>
      <c r="AH2307" s="10" t="str">
        <f>IFERROR(VLOOKUP(B2307,'Pre-Summary'!$AZ$6:$BE$65,3,FALSE),"")</f>
        <v/>
      </c>
      <c r="AI2307" s="10" t="str">
        <f>IFERROR(VLOOKUP(B2307,'Pre-Summary'!$AZ$6:$BE$65,5,FALSE),"")</f>
        <v/>
      </c>
      <c r="AJ2307" s="10" t="str">
        <f>IFERROR(VLOOKUP(B2307,'Pre-Summary'!$AZ$6:$BE$65,4,FALSE),"")</f>
        <v/>
      </c>
      <c r="AK2307" s="10" t="str">
        <f>IFERROR(VLOOKUP(B2307,'Pre-Summary'!$AZ$6:$BE$65,6,FALSE),"")</f>
        <v/>
      </c>
      <c r="AL2307" s="10" t="str">
        <f>IFERROR(VLOOKUP(B2307,'Pre-Summary'!$BG$6:$BL$44,3,FALSE),"")</f>
        <v/>
      </c>
      <c r="AM2307" s="10" t="str">
        <f>IFERROR(VLOOKUP(B2307,'Pre-Summary'!$BG$6:$BL$44,4,FALSE),"")</f>
        <v/>
      </c>
    </row>
    <row r="2308" spans="2:39" ht="15" customHeight="1" x14ac:dyDescent="0.3">
      <c r="B2308">
        <v>230.5</v>
      </c>
      <c r="C2308" t="str">
        <f>IFERROR(VLOOKUP(B2308,'Pre-Summary'!$DI$6:$DM$23,4,FALSE),"")</f>
        <v/>
      </c>
      <c r="D2308" s="10" t="str">
        <f>IFERROR(VLOOKUP(B2308,'Pre-Summary'!$AT$6:$AX$14,5,FALSE),D2307)</f>
        <v>Wolfe v3: went back to modified wolfe + EDTA and switched CuSO4 to CUCl2</v>
      </c>
      <c r="E2308" s="10" t="str">
        <f>IFERROR(VLOOKUP(B2308,'Pre-Summary'!$AT$6:$AX$15,4,FALSE),"")</f>
        <v/>
      </c>
      <c r="F2308">
        <f>IFERROR(VLOOKUP(B2308,'Pre-Summary'!$AL$6:$AQ$13,6,FALSE),F2307)</f>
        <v>5.9405263157894746E-2</v>
      </c>
      <c r="G2308" t="str">
        <f>IFERROR(VLOOKUP(B2308,'Pre-Summary'!$AE$6:$AJ$85,3,FALSE),"")</f>
        <v/>
      </c>
      <c r="H2308" t="str">
        <f>IFERROR(VLOOKUP(B2308,'Pre-Summary'!$AE$6:$AJ$85,4,FALSE),"")</f>
        <v/>
      </c>
      <c r="I2308" t="str">
        <f>IFERROR(VLOOKUP(B2308,'Pre-Summary'!$AE$6:$AJ$85,5,FALSE),"")</f>
        <v/>
      </c>
      <c r="J2308" s="45" t="str">
        <f>IFERROR(VLOOKUP(B2308,'Pre-Summary'!$AE$6:$AJ$85,6, FALSE),"")</f>
        <v/>
      </c>
      <c r="K2308" s="45" t="str">
        <f>IFERROR(VLOOKUP(B2308,'Pre-Summary'!$DE$6:$DG$61,3,FALSE),"")</f>
        <v/>
      </c>
      <c r="L2308" s="45" t="str">
        <f>IFERROR(VLOOKUP(B2308,'Pre-Summary'!$CU$6:$CW$36,3,FALSE),"")</f>
        <v/>
      </c>
      <c r="M2308" s="45" t="str">
        <f>IFERROR(VLOOKUP(B2308,'Pre-Summary'!$BW$6:$BY$58,2,FALSE),"")</f>
        <v/>
      </c>
      <c r="N2308" s="45" t="str">
        <f>IFERROR(VLOOKUP(B2308,'Pre-Summary'!$CD$6:$CF$64,2,FALSE),"")</f>
        <v/>
      </c>
      <c r="O2308" s="99">
        <f>IFERROR(VLOOKUP(B2308,'Pre-Summary'!$BO$6:$BQ$48,3, FALSE),O2307)</f>
        <v>1.508</v>
      </c>
      <c r="P2308" s="99">
        <f>IFERROR(VLOOKUP(B2308,'Pre-Summary'!$BS$6:$BU$35,3,FALSE),P2307)</f>
        <v>0.379</v>
      </c>
      <c r="Q2308" s="54">
        <f t="shared" si="108"/>
        <v>3.9788918205804751</v>
      </c>
      <c r="R2308" s="53">
        <f>IFERROR(VLOOKUP(B2308,'Pre-Summary'!$BG$6:$BM$44,7,FALSE),R2309)</f>
        <v>9.7948682664336664E-2</v>
      </c>
      <c r="S2308" s="53">
        <f>IFERROR(VLOOKUP(B2308,'Pre-Summary'!$BG$6:$BM$44,6,FALSE),S2309)</f>
        <v>0.10614035087720526</v>
      </c>
      <c r="T2308" s="45" t="str">
        <f>IFERROR(VLOOKUP(B2308,'Pre-Summary'!$Y$6:$AC$83, 3,FALSE),"")</f>
        <v/>
      </c>
      <c r="U2308" s="45" t="str">
        <f>IFERROR(VLOOKUP(B2308,'Pre-Summary'!$Y$6:$AC$83, 4,FALSE),"")</f>
        <v/>
      </c>
      <c r="V2308" t="str">
        <f>IFERROR(VLOOKUP(B2308,'Pre-Summary'!$Y$6:$AC$83, 5,FALSE),"")</f>
        <v/>
      </c>
      <c r="W2308" s="45" t="str">
        <f>IFERROR(VLOOKUP(B2308,'Pre-Summary'!$Y$6:$AD$83,6,FALSE),"")</f>
        <v/>
      </c>
      <c r="X2308" t="str">
        <f>IFERROR(VLOOKUP('Pre-Summary'!$DB$6:$DD$63,3,FALSE),"")</f>
        <v/>
      </c>
      <c r="Y2308" t="str">
        <f>IFERROR(VLOOKUP(B2308,'Pre-Summary'!$CR$6:$CT$36,3,FALSE),"")</f>
        <v/>
      </c>
      <c r="Z2308" s="45" t="str">
        <f>IFERROR(VLOOKUP(B2308,'Pre-Summary'!$BZ$6:$CB$63,2,FALSE),"")</f>
        <v/>
      </c>
      <c r="AA2308" s="45" t="str">
        <f>IFERROR(VLOOKUP(B2308,'Pre-Summary'!$CG$6:$CI$70,2,FALSE),"")</f>
        <v/>
      </c>
      <c r="AB2308" s="99">
        <f>IFERROR(VLOOKUP(B2308,'Pre-Summary'!$A$6:$P$178,9,FALSE),AB2309)</f>
        <v>0.3510413030600153</v>
      </c>
      <c r="AC2308" s="10">
        <f>IFERROR(VLOOKUP(Summary!B2308,'Pre-Summary'!$A$6:$P$184,5, FALSE)/100,AC2309)</f>
        <v>0.95838633333333334</v>
      </c>
      <c r="AD2308" s="10">
        <f>IFERROR(VLOOKUP(Summary!B2308,'Pre-Summary'!$A$6:$P$184,3, FALSE)/100,AD2309)</f>
        <v>2.8433333333333331E-2</v>
      </c>
      <c r="AE2308" s="10">
        <f>IFERROR(VLOOKUP(Summary!B2308,'Pre-Summary'!$A$6:$P$184,7, FALSE)/100,AE2309)</f>
        <v>1.3180333333333334E-2</v>
      </c>
      <c r="AF2308" s="99">
        <f t="shared" si="109"/>
        <v>9.9812743836731003E-3</v>
      </c>
      <c r="AG2308" s="99">
        <f t="shared" si="110"/>
        <v>4.6268413880986882E-3</v>
      </c>
      <c r="AH2308" s="10" t="str">
        <f>IFERROR(VLOOKUP(B2308,'Pre-Summary'!$AZ$6:$BE$65,3,FALSE),"")</f>
        <v/>
      </c>
      <c r="AI2308" s="10" t="str">
        <f>IFERROR(VLOOKUP(B2308,'Pre-Summary'!$AZ$6:$BE$65,5,FALSE),"")</f>
        <v/>
      </c>
      <c r="AJ2308" s="10" t="str">
        <f>IFERROR(VLOOKUP(B2308,'Pre-Summary'!$AZ$6:$BE$65,4,FALSE),"")</f>
        <v/>
      </c>
      <c r="AK2308" s="10" t="str">
        <f>IFERROR(VLOOKUP(B2308,'Pre-Summary'!$AZ$6:$BE$65,6,FALSE),"")</f>
        <v/>
      </c>
      <c r="AL2308" s="10" t="str">
        <f>IFERROR(VLOOKUP(B2308,'Pre-Summary'!$BG$6:$BL$44,3,FALSE),"")</f>
        <v/>
      </c>
      <c r="AM2308" s="10" t="str">
        <f>IFERROR(VLOOKUP(B2308,'Pre-Summary'!$BG$6:$BL$44,4,FALSE),"")</f>
        <v/>
      </c>
    </row>
    <row r="2309" spans="2:39" ht="15" customHeight="1" x14ac:dyDescent="0.3">
      <c r="B2309">
        <v>230.6</v>
      </c>
      <c r="C2309" t="str">
        <f>IFERROR(VLOOKUP(B2309,'Pre-Summary'!$DI$6:$DM$23,4,FALSE),"")</f>
        <v/>
      </c>
      <c r="D2309" s="10" t="str">
        <f>IFERROR(VLOOKUP(B2309,'Pre-Summary'!$AT$6:$AX$14,5,FALSE),D2308)</f>
        <v>Wolfe v3: went back to modified wolfe + EDTA and switched CuSO4 to CUCl2</v>
      </c>
      <c r="E2309" s="10" t="str">
        <f>IFERROR(VLOOKUP(B2309,'Pre-Summary'!$AT$6:$AX$15,4,FALSE),"")</f>
        <v/>
      </c>
      <c r="F2309">
        <f>IFERROR(VLOOKUP(B2309,'Pre-Summary'!$AL$6:$AQ$13,6,FALSE),F2308)</f>
        <v>5.9405263157894746E-2</v>
      </c>
      <c r="G2309" t="str">
        <f>IFERROR(VLOOKUP(B2309,'Pre-Summary'!$AE$6:$AJ$85,3,FALSE),"")</f>
        <v/>
      </c>
      <c r="H2309" t="str">
        <f>IFERROR(VLOOKUP(B2309,'Pre-Summary'!$AE$6:$AJ$85,4,FALSE),"")</f>
        <v/>
      </c>
      <c r="I2309" t="str">
        <f>IFERROR(VLOOKUP(B2309,'Pre-Summary'!$AE$6:$AJ$85,5,FALSE),"")</f>
        <v/>
      </c>
      <c r="J2309" s="45" t="str">
        <f>IFERROR(VLOOKUP(B2309,'Pre-Summary'!$AE$6:$AJ$85,6, FALSE),"")</f>
        <v/>
      </c>
      <c r="K2309" s="45" t="str">
        <f>IFERROR(VLOOKUP(B2309,'Pre-Summary'!$DE$6:$DG$61,3,FALSE),"")</f>
        <v/>
      </c>
      <c r="L2309" s="45" t="str">
        <f>IFERROR(VLOOKUP(B2309,'Pre-Summary'!$CU$6:$CW$36,3,FALSE),"")</f>
        <v/>
      </c>
      <c r="M2309" s="45" t="str">
        <f>IFERROR(VLOOKUP(B2309,'Pre-Summary'!$BW$6:$BY$58,2,FALSE),"")</f>
        <v/>
      </c>
      <c r="N2309" s="45" t="str">
        <f>IFERROR(VLOOKUP(B2309,'Pre-Summary'!$CD$6:$CF$64,2,FALSE),"")</f>
        <v/>
      </c>
      <c r="O2309" s="99">
        <f>IFERROR(VLOOKUP(B2309,'Pre-Summary'!$BO$6:$BQ$48,3, FALSE),O2308)</f>
        <v>1.508</v>
      </c>
      <c r="P2309" s="99">
        <f>IFERROR(VLOOKUP(B2309,'Pre-Summary'!$BS$6:$BU$35,3,FALSE),P2308)</f>
        <v>0.379</v>
      </c>
      <c r="Q2309" s="54">
        <f t="shared" si="108"/>
        <v>3.9788918205804751</v>
      </c>
      <c r="R2309" s="53">
        <f>IFERROR(VLOOKUP(B2309,'Pre-Summary'!$BG$6:$BM$44,7,FALSE),R2310)</f>
        <v>9.7948682664336664E-2</v>
      </c>
      <c r="S2309" s="53">
        <f>IFERROR(VLOOKUP(B2309,'Pre-Summary'!$BG$6:$BM$44,6,FALSE),S2310)</f>
        <v>0.10614035087720526</v>
      </c>
      <c r="T2309" s="45" t="str">
        <f>IFERROR(VLOOKUP(B2309,'Pre-Summary'!$Y$6:$AC$83, 3,FALSE),"")</f>
        <v/>
      </c>
      <c r="U2309" s="45" t="str">
        <f>IFERROR(VLOOKUP(B2309,'Pre-Summary'!$Y$6:$AC$83, 4,FALSE),"")</f>
        <v/>
      </c>
      <c r="V2309" t="str">
        <f>IFERROR(VLOOKUP(B2309,'Pre-Summary'!$Y$6:$AC$83, 5,FALSE),"")</f>
        <v/>
      </c>
      <c r="W2309" s="45" t="str">
        <f>IFERROR(VLOOKUP(B2309,'Pre-Summary'!$Y$6:$AD$83,6,FALSE),"")</f>
        <v/>
      </c>
      <c r="X2309" t="str">
        <f>IFERROR(VLOOKUP('Pre-Summary'!$DB$6:$DD$63,3,FALSE),"")</f>
        <v/>
      </c>
      <c r="Y2309" t="str">
        <f>IFERROR(VLOOKUP(B2309,'Pre-Summary'!$CR$6:$CT$36,3,FALSE),"")</f>
        <v/>
      </c>
      <c r="Z2309" s="45" t="str">
        <f>IFERROR(VLOOKUP(B2309,'Pre-Summary'!$BZ$6:$CB$63,2,FALSE),"")</f>
        <v/>
      </c>
      <c r="AA2309" s="45" t="str">
        <f>IFERROR(VLOOKUP(B2309,'Pre-Summary'!$CG$6:$CI$70,2,FALSE),"")</f>
        <v/>
      </c>
      <c r="AB2309" s="99">
        <f>IFERROR(VLOOKUP(B2309,'Pre-Summary'!$A$6:$P$178,9,FALSE),AB2310)</f>
        <v>0.3510413030600153</v>
      </c>
      <c r="AC2309" s="10">
        <f>IFERROR(VLOOKUP(Summary!B2309,'Pre-Summary'!$A$6:$P$184,5, FALSE)/100,AC2310)</f>
        <v>0.95838633333333334</v>
      </c>
      <c r="AD2309" s="10">
        <f>IFERROR(VLOOKUP(Summary!B2309,'Pre-Summary'!$A$6:$P$184,3, FALSE)/100,AD2310)</f>
        <v>2.8433333333333331E-2</v>
      </c>
      <c r="AE2309" s="10">
        <f>IFERROR(VLOOKUP(Summary!B2309,'Pre-Summary'!$A$6:$P$184,7, FALSE)/100,AE2310)</f>
        <v>1.3180333333333334E-2</v>
      </c>
      <c r="AF2309" s="99">
        <f t="shared" si="109"/>
        <v>9.9812743836731003E-3</v>
      </c>
      <c r="AG2309" s="99">
        <f t="shared" si="110"/>
        <v>4.6268413880986882E-3</v>
      </c>
      <c r="AH2309" s="10" t="str">
        <f>IFERROR(VLOOKUP(B2309,'Pre-Summary'!$AZ$6:$BE$65,3,FALSE),"")</f>
        <v/>
      </c>
      <c r="AI2309" s="10" t="str">
        <f>IFERROR(VLOOKUP(B2309,'Pre-Summary'!$AZ$6:$BE$65,5,FALSE),"")</f>
        <v/>
      </c>
      <c r="AJ2309" s="10" t="str">
        <f>IFERROR(VLOOKUP(B2309,'Pre-Summary'!$AZ$6:$BE$65,4,FALSE),"")</f>
        <v/>
      </c>
      <c r="AK2309" s="10" t="str">
        <f>IFERROR(VLOOKUP(B2309,'Pre-Summary'!$AZ$6:$BE$65,6,FALSE),"")</f>
        <v/>
      </c>
      <c r="AL2309" s="10" t="str">
        <f>IFERROR(VLOOKUP(B2309,'Pre-Summary'!$BG$6:$BL$44,3,FALSE),"")</f>
        <v/>
      </c>
      <c r="AM2309" s="10" t="str">
        <f>IFERROR(VLOOKUP(B2309,'Pre-Summary'!$BG$6:$BL$44,4,FALSE),"")</f>
        <v/>
      </c>
    </row>
    <row r="2310" spans="2:39" ht="15" customHeight="1" x14ac:dyDescent="0.3">
      <c r="B2310">
        <v>230.7</v>
      </c>
      <c r="C2310" t="str">
        <f>IFERROR(VLOOKUP(B2310,'Pre-Summary'!$DI$6:$DM$23,4,FALSE),"")</f>
        <v/>
      </c>
      <c r="D2310" s="10" t="str">
        <f>IFERROR(VLOOKUP(B2310,'Pre-Summary'!$AT$6:$AX$14,5,FALSE),D2309)</f>
        <v>Wolfe v3: went back to modified wolfe + EDTA and switched CuSO4 to CUCl2</v>
      </c>
      <c r="E2310" s="10" t="str">
        <f>IFERROR(VLOOKUP(B2310,'Pre-Summary'!$AT$6:$AX$15,4,FALSE),"")</f>
        <v/>
      </c>
      <c r="F2310">
        <f>IFERROR(VLOOKUP(B2310,'Pre-Summary'!$AL$6:$AQ$13,6,FALSE),F2309)</f>
        <v>5.9405263157894746E-2</v>
      </c>
      <c r="G2310" t="str">
        <f>IFERROR(VLOOKUP(B2310,'Pre-Summary'!$AE$6:$AJ$85,3,FALSE),"")</f>
        <v/>
      </c>
      <c r="H2310" t="str">
        <f>IFERROR(VLOOKUP(B2310,'Pre-Summary'!$AE$6:$AJ$85,4,FALSE),"")</f>
        <v/>
      </c>
      <c r="I2310" t="str">
        <f>IFERROR(VLOOKUP(B2310,'Pre-Summary'!$AE$6:$AJ$85,5,FALSE),"")</f>
        <v/>
      </c>
      <c r="J2310" s="45" t="str">
        <f>IFERROR(VLOOKUP(B2310,'Pre-Summary'!$AE$6:$AJ$85,6, FALSE),"")</f>
        <v/>
      </c>
      <c r="K2310" s="45" t="str">
        <f>IFERROR(VLOOKUP(B2310,'Pre-Summary'!$DE$6:$DG$61,3,FALSE),"")</f>
        <v/>
      </c>
      <c r="L2310" s="45" t="str">
        <f>IFERROR(VLOOKUP(B2310,'Pre-Summary'!$CU$6:$CW$36,3,FALSE),"")</f>
        <v/>
      </c>
      <c r="M2310" s="45" t="str">
        <f>IFERROR(VLOOKUP(B2310,'Pre-Summary'!$BW$6:$BY$58,2,FALSE),"")</f>
        <v/>
      </c>
      <c r="N2310" s="45" t="str">
        <f>IFERROR(VLOOKUP(B2310,'Pre-Summary'!$CD$6:$CF$64,2,FALSE),"")</f>
        <v/>
      </c>
      <c r="O2310" s="99">
        <f>IFERROR(VLOOKUP(B2310,'Pre-Summary'!$BO$6:$BQ$48,3, FALSE),O2309)</f>
        <v>1.508</v>
      </c>
      <c r="P2310" s="99">
        <f>IFERROR(VLOOKUP(B2310,'Pre-Summary'!$BS$6:$BU$35,3,FALSE),P2309)</f>
        <v>0.379</v>
      </c>
      <c r="Q2310" s="54">
        <f t="shared" si="108"/>
        <v>3.9788918205804751</v>
      </c>
      <c r="R2310" s="53">
        <f>IFERROR(VLOOKUP(B2310,'Pre-Summary'!$BG$6:$BM$44,7,FALSE),R2311)</f>
        <v>9.7948682664336664E-2</v>
      </c>
      <c r="S2310" s="53">
        <f>IFERROR(VLOOKUP(B2310,'Pre-Summary'!$BG$6:$BM$44,6,FALSE),S2311)</f>
        <v>0.10614035087720526</v>
      </c>
      <c r="T2310" s="45" t="str">
        <f>IFERROR(VLOOKUP(B2310,'Pre-Summary'!$Y$6:$AC$83, 3,FALSE),"")</f>
        <v/>
      </c>
      <c r="U2310" s="45" t="str">
        <f>IFERROR(VLOOKUP(B2310,'Pre-Summary'!$Y$6:$AC$83, 4,FALSE),"")</f>
        <v/>
      </c>
      <c r="V2310" t="str">
        <f>IFERROR(VLOOKUP(B2310,'Pre-Summary'!$Y$6:$AC$83, 5,FALSE),"")</f>
        <v/>
      </c>
      <c r="W2310" s="45" t="str">
        <f>IFERROR(VLOOKUP(B2310,'Pre-Summary'!$Y$6:$AD$83,6,FALSE),"")</f>
        <v/>
      </c>
      <c r="X2310" t="str">
        <f>IFERROR(VLOOKUP('Pre-Summary'!$DB$6:$DD$63,3,FALSE),"")</f>
        <v/>
      </c>
      <c r="Y2310" t="str">
        <f>IFERROR(VLOOKUP(B2310,'Pre-Summary'!$CR$6:$CT$36,3,FALSE),"")</f>
        <v/>
      </c>
      <c r="Z2310" s="45" t="str">
        <f>IFERROR(VLOOKUP(B2310,'Pre-Summary'!$BZ$6:$CB$63,2,FALSE),"")</f>
        <v/>
      </c>
      <c r="AA2310" s="45" t="str">
        <f>IFERROR(VLOOKUP(B2310,'Pre-Summary'!$CG$6:$CI$70,2,FALSE),"")</f>
        <v/>
      </c>
      <c r="AB2310" s="99">
        <f>IFERROR(VLOOKUP(B2310,'Pre-Summary'!$A$6:$P$178,9,FALSE),AB2311)</f>
        <v>0.3510413030600153</v>
      </c>
      <c r="AC2310" s="10">
        <f>IFERROR(VLOOKUP(Summary!B2310,'Pre-Summary'!$A$6:$P$184,5, FALSE)/100,AC2311)</f>
        <v>0.95838633333333334</v>
      </c>
      <c r="AD2310" s="10">
        <f>IFERROR(VLOOKUP(Summary!B2310,'Pre-Summary'!$A$6:$P$184,3, FALSE)/100,AD2311)</f>
        <v>2.8433333333333331E-2</v>
      </c>
      <c r="AE2310" s="10">
        <f>IFERROR(VLOOKUP(Summary!B2310,'Pre-Summary'!$A$6:$P$184,7, FALSE)/100,AE2311)</f>
        <v>1.3180333333333334E-2</v>
      </c>
      <c r="AF2310" s="99">
        <f t="shared" si="109"/>
        <v>9.9812743836731003E-3</v>
      </c>
      <c r="AG2310" s="99">
        <f t="shared" si="110"/>
        <v>4.6268413880986882E-3</v>
      </c>
      <c r="AH2310" s="10" t="str">
        <f>IFERROR(VLOOKUP(B2310,'Pre-Summary'!$AZ$6:$BE$65,3,FALSE),"")</f>
        <v/>
      </c>
      <c r="AI2310" s="10" t="str">
        <f>IFERROR(VLOOKUP(B2310,'Pre-Summary'!$AZ$6:$BE$65,5,FALSE),"")</f>
        <v/>
      </c>
      <c r="AJ2310" s="10" t="str">
        <f>IFERROR(VLOOKUP(B2310,'Pre-Summary'!$AZ$6:$BE$65,4,FALSE),"")</f>
        <v/>
      </c>
      <c r="AK2310" s="10" t="str">
        <f>IFERROR(VLOOKUP(B2310,'Pre-Summary'!$AZ$6:$BE$65,6,FALSE),"")</f>
        <v/>
      </c>
      <c r="AL2310" s="10" t="str">
        <f>IFERROR(VLOOKUP(B2310,'Pre-Summary'!$BG$6:$BL$44,3,FALSE),"")</f>
        <v/>
      </c>
      <c r="AM2310" s="10" t="str">
        <f>IFERROR(VLOOKUP(B2310,'Pre-Summary'!$BG$6:$BL$44,4,FALSE),"")</f>
        <v/>
      </c>
    </row>
    <row r="2311" spans="2:39" ht="15" customHeight="1" x14ac:dyDescent="0.3">
      <c r="B2311">
        <v>230.8</v>
      </c>
      <c r="C2311" t="str">
        <f>IFERROR(VLOOKUP(B2311,'Pre-Summary'!$DI$6:$DM$23,4,FALSE),"")</f>
        <v/>
      </c>
      <c r="D2311" s="10" t="str">
        <f>IFERROR(VLOOKUP(B2311,'Pre-Summary'!$AT$6:$AX$14,5,FALSE),D2310)</f>
        <v>Wolfe v3: went back to modified wolfe + EDTA and switched CuSO4 to CUCl2</v>
      </c>
      <c r="E2311" s="10" t="str">
        <f>IFERROR(VLOOKUP(B2311,'Pre-Summary'!$AT$6:$AX$15,4,FALSE),"")</f>
        <v/>
      </c>
      <c r="F2311">
        <f>IFERROR(VLOOKUP(B2311,'Pre-Summary'!$AL$6:$AQ$13,6,FALSE),F2310)</f>
        <v>5.9405263157894746E-2</v>
      </c>
      <c r="G2311" t="str">
        <f>IFERROR(VLOOKUP(B2311,'Pre-Summary'!$AE$6:$AJ$85,3,FALSE),"")</f>
        <v/>
      </c>
      <c r="H2311" t="str">
        <f>IFERROR(VLOOKUP(B2311,'Pre-Summary'!$AE$6:$AJ$85,4,FALSE),"")</f>
        <v/>
      </c>
      <c r="I2311" t="str">
        <f>IFERROR(VLOOKUP(B2311,'Pre-Summary'!$AE$6:$AJ$85,5,FALSE),"")</f>
        <v/>
      </c>
      <c r="J2311" s="45" t="str">
        <f>IFERROR(VLOOKUP(B2311,'Pre-Summary'!$AE$6:$AJ$85,6, FALSE),"")</f>
        <v/>
      </c>
      <c r="K2311" s="45" t="str">
        <f>IFERROR(VLOOKUP(B2311,'Pre-Summary'!$DE$6:$DG$61,3,FALSE),"")</f>
        <v/>
      </c>
      <c r="L2311" s="45" t="str">
        <f>IFERROR(VLOOKUP(B2311,'Pre-Summary'!$CU$6:$CW$36,3,FALSE),"")</f>
        <v/>
      </c>
      <c r="M2311" s="45" t="str">
        <f>IFERROR(VLOOKUP(B2311,'Pre-Summary'!$BW$6:$BY$58,2,FALSE),"")</f>
        <v/>
      </c>
      <c r="N2311" s="45" t="str">
        <f>IFERROR(VLOOKUP(B2311,'Pre-Summary'!$CD$6:$CF$64,2,FALSE),"")</f>
        <v/>
      </c>
      <c r="O2311" s="99">
        <f>IFERROR(VLOOKUP(B2311,'Pre-Summary'!$BO$6:$BQ$48,3, FALSE),O2310)</f>
        <v>1.508</v>
      </c>
      <c r="P2311" s="99">
        <f>IFERROR(VLOOKUP(B2311,'Pre-Summary'!$BS$6:$BU$35,3,FALSE),P2310)</f>
        <v>0.379</v>
      </c>
      <c r="Q2311" s="54">
        <f t="shared" si="108"/>
        <v>3.9788918205804751</v>
      </c>
      <c r="R2311" s="53">
        <f>IFERROR(VLOOKUP(B2311,'Pre-Summary'!$BG$6:$BM$44,7,FALSE),R2312)</f>
        <v>9.7948682664336664E-2</v>
      </c>
      <c r="S2311" s="53">
        <f>IFERROR(VLOOKUP(B2311,'Pre-Summary'!$BG$6:$BM$44,6,FALSE),S2312)</f>
        <v>0.10614035087720526</v>
      </c>
      <c r="T2311" s="45" t="str">
        <f>IFERROR(VLOOKUP(B2311,'Pre-Summary'!$Y$6:$AC$83, 3,FALSE),"")</f>
        <v/>
      </c>
      <c r="U2311" s="45" t="str">
        <f>IFERROR(VLOOKUP(B2311,'Pre-Summary'!$Y$6:$AC$83, 4,FALSE),"")</f>
        <v/>
      </c>
      <c r="V2311" t="str">
        <f>IFERROR(VLOOKUP(B2311,'Pre-Summary'!$Y$6:$AC$83, 5,FALSE),"")</f>
        <v/>
      </c>
      <c r="W2311" s="45" t="str">
        <f>IFERROR(VLOOKUP(B2311,'Pre-Summary'!$Y$6:$AD$83,6,FALSE),"")</f>
        <v/>
      </c>
      <c r="X2311" t="str">
        <f>IFERROR(VLOOKUP('Pre-Summary'!$DB$6:$DD$63,3,FALSE),"")</f>
        <v/>
      </c>
      <c r="Y2311" t="str">
        <f>IFERROR(VLOOKUP(B2311,'Pre-Summary'!$CR$6:$CT$36,3,FALSE),"")</f>
        <v/>
      </c>
      <c r="Z2311" s="45" t="str">
        <f>IFERROR(VLOOKUP(B2311,'Pre-Summary'!$BZ$6:$CB$63,2,FALSE),"")</f>
        <v/>
      </c>
      <c r="AA2311" s="45" t="str">
        <f>IFERROR(VLOOKUP(B2311,'Pre-Summary'!$CG$6:$CI$70,2,FALSE),"")</f>
        <v/>
      </c>
      <c r="AB2311" s="99">
        <f>IFERROR(VLOOKUP(B2311,'Pre-Summary'!$A$6:$P$178,9,FALSE),AB2312)</f>
        <v>0.3510413030600153</v>
      </c>
      <c r="AC2311" s="10">
        <f>IFERROR(VLOOKUP(Summary!B2311,'Pre-Summary'!$A$6:$P$184,5, FALSE)/100,AC2312)</f>
        <v>0.95838633333333334</v>
      </c>
      <c r="AD2311" s="10">
        <f>IFERROR(VLOOKUP(Summary!B2311,'Pre-Summary'!$A$6:$P$184,3, FALSE)/100,AD2312)</f>
        <v>2.8433333333333331E-2</v>
      </c>
      <c r="AE2311" s="10">
        <f>IFERROR(VLOOKUP(Summary!B2311,'Pre-Summary'!$A$6:$P$184,7, FALSE)/100,AE2312)</f>
        <v>1.3180333333333334E-2</v>
      </c>
      <c r="AF2311" s="99">
        <f t="shared" si="109"/>
        <v>9.9812743836731003E-3</v>
      </c>
      <c r="AG2311" s="99">
        <f t="shared" si="110"/>
        <v>4.6268413880986882E-3</v>
      </c>
      <c r="AH2311" s="10" t="str">
        <f>IFERROR(VLOOKUP(B2311,'Pre-Summary'!$AZ$6:$BE$65,3,FALSE),"")</f>
        <v/>
      </c>
      <c r="AI2311" s="10" t="str">
        <f>IFERROR(VLOOKUP(B2311,'Pre-Summary'!$AZ$6:$BE$65,5,FALSE),"")</f>
        <v/>
      </c>
      <c r="AJ2311" s="10" t="str">
        <f>IFERROR(VLOOKUP(B2311,'Pre-Summary'!$AZ$6:$BE$65,4,FALSE),"")</f>
        <v/>
      </c>
      <c r="AK2311" s="10" t="str">
        <f>IFERROR(VLOOKUP(B2311,'Pre-Summary'!$AZ$6:$BE$65,6,FALSE),"")</f>
        <v/>
      </c>
      <c r="AL2311" s="10" t="str">
        <f>IFERROR(VLOOKUP(B2311,'Pre-Summary'!$BG$6:$BL$44,3,FALSE),"")</f>
        <v/>
      </c>
      <c r="AM2311" s="10" t="str">
        <f>IFERROR(VLOOKUP(B2311,'Pre-Summary'!$BG$6:$BL$44,4,FALSE),"")</f>
        <v/>
      </c>
    </row>
    <row r="2312" spans="2:39" ht="15" customHeight="1" x14ac:dyDescent="0.3">
      <c r="B2312">
        <v>230.9</v>
      </c>
      <c r="C2312" t="str">
        <f>IFERROR(VLOOKUP(B2312,'Pre-Summary'!$DI$6:$DM$23,4,FALSE),"")</f>
        <v/>
      </c>
      <c r="D2312" s="10" t="str">
        <f>IFERROR(VLOOKUP(B2312,'Pre-Summary'!$AT$6:$AX$14,5,FALSE),D2311)</f>
        <v>Wolfe v3: went back to modified wolfe + EDTA and switched CuSO4 to CUCl2</v>
      </c>
      <c r="E2312" s="10" t="str">
        <f>IFERROR(VLOOKUP(B2312,'Pre-Summary'!$AT$6:$AX$15,4,FALSE),"")</f>
        <v/>
      </c>
      <c r="F2312">
        <f>IFERROR(VLOOKUP(B2312,'Pre-Summary'!$AL$6:$AQ$13,6,FALSE),F2311)</f>
        <v>5.9405263157894746E-2</v>
      </c>
      <c r="G2312" t="str">
        <f>IFERROR(VLOOKUP(B2312,'Pre-Summary'!$AE$6:$AJ$85,3,FALSE),"")</f>
        <v/>
      </c>
      <c r="H2312" t="str">
        <f>IFERROR(VLOOKUP(B2312,'Pre-Summary'!$AE$6:$AJ$85,4,FALSE),"")</f>
        <v/>
      </c>
      <c r="I2312" t="str">
        <f>IFERROR(VLOOKUP(B2312,'Pre-Summary'!$AE$6:$AJ$85,5,FALSE),"")</f>
        <v/>
      </c>
      <c r="J2312" s="45" t="str">
        <f>IFERROR(VLOOKUP(B2312,'Pre-Summary'!$AE$6:$AJ$85,6, FALSE),"")</f>
        <v/>
      </c>
      <c r="K2312" s="45" t="str">
        <f>IFERROR(VLOOKUP(B2312,'Pre-Summary'!$DE$6:$DG$61,3,FALSE),"")</f>
        <v/>
      </c>
      <c r="L2312" s="45" t="str">
        <f>IFERROR(VLOOKUP(B2312,'Pre-Summary'!$CU$6:$CW$36,3,FALSE),"")</f>
        <v/>
      </c>
      <c r="M2312" s="45" t="str">
        <f>IFERROR(VLOOKUP(B2312,'Pre-Summary'!$BW$6:$BY$58,2,FALSE),"")</f>
        <v/>
      </c>
      <c r="N2312" s="45" t="str">
        <f>IFERROR(VLOOKUP(B2312,'Pre-Summary'!$CD$6:$CF$64,2,FALSE),"")</f>
        <v/>
      </c>
      <c r="O2312" s="99">
        <f>IFERROR(VLOOKUP(B2312,'Pre-Summary'!$BO$6:$BQ$48,3, FALSE),O2311)</f>
        <v>1.508</v>
      </c>
      <c r="P2312" s="99">
        <f>IFERROR(VLOOKUP(B2312,'Pre-Summary'!$BS$6:$BU$35,3,FALSE),P2311)</f>
        <v>0.379</v>
      </c>
      <c r="Q2312" s="54">
        <f t="shared" si="108"/>
        <v>3.9788918205804751</v>
      </c>
      <c r="R2312" s="53">
        <f>IFERROR(VLOOKUP(B2312,'Pre-Summary'!$BG$6:$BM$44,7,FALSE),R2313)</f>
        <v>9.7948682664336664E-2</v>
      </c>
      <c r="S2312" s="53">
        <f>IFERROR(VLOOKUP(B2312,'Pre-Summary'!$BG$6:$BM$44,6,FALSE),S2313)</f>
        <v>0.10614035087720526</v>
      </c>
      <c r="T2312" s="45" t="str">
        <f>IFERROR(VLOOKUP(B2312,'Pre-Summary'!$Y$6:$AC$83, 3,FALSE),"")</f>
        <v/>
      </c>
      <c r="U2312" s="45" t="str">
        <f>IFERROR(VLOOKUP(B2312,'Pre-Summary'!$Y$6:$AC$83, 4,FALSE),"")</f>
        <v/>
      </c>
      <c r="V2312" t="str">
        <f>IFERROR(VLOOKUP(B2312,'Pre-Summary'!$Y$6:$AC$83, 5,FALSE),"")</f>
        <v/>
      </c>
      <c r="W2312" s="45" t="str">
        <f>IFERROR(VLOOKUP(B2312,'Pre-Summary'!$Y$6:$AD$83,6,FALSE),"")</f>
        <v/>
      </c>
      <c r="X2312" t="str">
        <f>IFERROR(VLOOKUP('Pre-Summary'!$DB$6:$DD$63,3,FALSE),"")</f>
        <v/>
      </c>
      <c r="Y2312" t="str">
        <f>IFERROR(VLOOKUP(B2312,'Pre-Summary'!$CR$6:$CT$36,3,FALSE),"")</f>
        <v/>
      </c>
      <c r="Z2312" s="45" t="str">
        <f>IFERROR(VLOOKUP(B2312,'Pre-Summary'!$BZ$6:$CB$63,2,FALSE),"")</f>
        <v/>
      </c>
      <c r="AA2312" s="45" t="str">
        <f>IFERROR(VLOOKUP(B2312,'Pre-Summary'!$CG$6:$CI$70,2,FALSE),"")</f>
        <v/>
      </c>
      <c r="AB2312" s="99">
        <f>IFERROR(VLOOKUP(B2312,'Pre-Summary'!$A$6:$P$178,9,FALSE),AB2313)</f>
        <v>0.3510413030600153</v>
      </c>
      <c r="AC2312" s="10">
        <f>IFERROR(VLOOKUP(Summary!B2312,'Pre-Summary'!$A$6:$P$184,5, FALSE)/100,AC2313)</f>
        <v>0.95838633333333334</v>
      </c>
      <c r="AD2312" s="10">
        <f>IFERROR(VLOOKUP(Summary!B2312,'Pre-Summary'!$A$6:$P$184,3, FALSE)/100,AD2313)</f>
        <v>2.8433333333333331E-2</v>
      </c>
      <c r="AE2312" s="10">
        <f>IFERROR(VLOOKUP(Summary!B2312,'Pre-Summary'!$A$6:$P$184,7, FALSE)/100,AE2313)</f>
        <v>1.3180333333333334E-2</v>
      </c>
      <c r="AF2312" s="99">
        <f t="shared" si="109"/>
        <v>9.9812743836731003E-3</v>
      </c>
      <c r="AG2312" s="99">
        <f t="shared" si="110"/>
        <v>4.6268413880986882E-3</v>
      </c>
      <c r="AH2312" s="10" t="str">
        <f>IFERROR(VLOOKUP(B2312,'Pre-Summary'!$AZ$6:$BE$65,3,FALSE),"")</f>
        <v/>
      </c>
      <c r="AI2312" s="10" t="str">
        <f>IFERROR(VLOOKUP(B2312,'Pre-Summary'!$AZ$6:$BE$65,5,FALSE),"")</f>
        <v/>
      </c>
      <c r="AJ2312" s="10" t="str">
        <f>IFERROR(VLOOKUP(B2312,'Pre-Summary'!$AZ$6:$BE$65,4,FALSE),"")</f>
        <v/>
      </c>
      <c r="AK2312" s="10" t="str">
        <f>IFERROR(VLOOKUP(B2312,'Pre-Summary'!$AZ$6:$BE$65,6,FALSE),"")</f>
        <v/>
      </c>
      <c r="AL2312" s="10" t="str">
        <f>IFERROR(VLOOKUP(B2312,'Pre-Summary'!$BG$6:$BL$44,3,FALSE),"")</f>
        <v/>
      </c>
      <c r="AM2312" s="10" t="str">
        <f>IFERROR(VLOOKUP(B2312,'Pre-Summary'!$BG$6:$BL$44,4,FALSE),"")</f>
        <v/>
      </c>
    </row>
    <row r="2313" spans="2:39" ht="15" customHeight="1" x14ac:dyDescent="0.3">
      <c r="B2313">
        <v>231</v>
      </c>
      <c r="C2313" t="str">
        <f>IFERROR(VLOOKUP(B2313,'Pre-Summary'!$DI$6:$DM$23,4,FALSE),"")</f>
        <v/>
      </c>
      <c r="D2313" s="10" t="str">
        <f>IFERROR(VLOOKUP(B2313,'Pre-Summary'!$AT$6:$AX$14,5,FALSE),D2312)</f>
        <v>Wolfe v3: went back to modified wolfe + EDTA and switched CuSO4 to CUCl2</v>
      </c>
      <c r="E2313" s="10" t="str">
        <f>IFERROR(VLOOKUP(B2313,'Pre-Summary'!$AT$6:$AX$15,4,FALSE),"")</f>
        <v/>
      </c>
      <c r="F2313">
        <f>IFERROR(VLOOKUP(B2313,'Pre-Summary'!$AL$6:$AQ$13,6,FALSE),F2312)</f>
        <v>5.9405263157894746E-2</v>
      </c>
      <c r="G2313" t="str">
        <f>IFERROR(VLOOKUP(B2313,'Pre-Summary'!$AE$6:$AJ$85,3,FALSE),"")</f>
        <v/>
      </c>
      <c r="H2313" t="str">
        <f>IFERROR(VLOOKUP(B2313,'Pre-Summary'!$AE$6:$AJ$85,4,FALSE),"")</f>
        <v/>
      </c>
      <c r="I2313" t="str">
        <f>IFERROR(VLOOKUP(B2313,'Pre-Summary'!$AE$6:$AJ$85,5,FALSE),"")</f>
        <v/>
      </c>
      <c r="J2313" s="45" t="str">
        <f>IFERROR(VLOOKUP(B2313,'Pre-Summary'!$AE$6:$AJ$85,6, FALSE),"")</f>
        <v/>
      </c>
      <c r="K2313" s="45" t="str">
        <f>IFERROR(VLOOKUP(B2313,'Pre-Summary'!$DE$6:$DG$61,3,FALSE),"")</f>
        <v/>
      </c>
      <c r="L2313" s="45" t="str">
        <f>IFERROR(VLOOKUP(B2313,'Pre-Summary'!$CU$6:$CW$36,3,FALSE),"")</f>
        <v/>
      </c>
      <c r="M2313" s="45" t="str">
        <f>IFERROR(VLOOKUP(B2313,'Pre-Summary'!$BW$6:$BY$58,2,FALSE),"")</f>
        <v/>
      </c>
      <c r="N2313" s="45" t="str">
        <f>IFERROR(VLOOKUP(B2313,'Pre-Summary'!$CD$6:$CF$64,2,FALSE),"")</f>
        <v/>
      </c>
      <c r="O2313" s="99">
        <f>IFERROR(VLOOKUP(B2313,'Pre-Summary'!$BO$6:$BQ$48,3, FALSE),O2312)</f>
        <v>1.508</v>
      </c>
      <c r="P2313" s="99">
        <f>IFERROR(VLOOKUP(B2313,'Pre-Summary'!$BS$6:$BU$35,3,FALSE),P2312)</f>
        <v>0.379</v>
      </c>
      <c r="Q2313" s="54">
        <f t="shared" si="108"/>
        <v>3.9788918205804751</v>
      </c>
      <c r="R2313" s="53">
        <f>IFERROR(VLOOKUP(B2313,'Pre-Summary'!$BG$6:$BM$44,7,FALSE),R2314)</f>
        <v>9.7948682664336664E-2</v>
      </c>
      <c r="S2313" s="53">
        <f>IFERROR(VLOOKUP(B2313,'Pre-Summary'!$BG$6:$BM$44,6,FALSE),S2314)</f>
        <v>0.10614035087720526</v>
      </c>
      <c r="T2313" s="45" t="str">
        <f>IFERROR(VLOOKUP(B2313,'Pre-Summary'!$Y$6:$AC$83, 3,FALSE),"")</f>
        <v/>
      </c>
      <c r="U2313" s="45" t="str">
        <f>IFERROR(VLOOKUP(B2313,'Pre-Summary'!$Y$6:$AC$83, 4,FALSE),"")</f>
        <v/>
      </c>
      <c r="V2313" t="str">
        <f>IFERROR(VLOOKUP(B2313,'Pre-Summary'!$Y$6:$AC$83, 5,FALSE),"")</f>
        <v/>
      </c>
      <c r="W2313" s="45" t="str">
        <f>IFERROR(VLOOKUP(B2313,'Pre-Summary'!$Y$6:$AD$83,6,FALSE),"")</f>
        <v/>
      </c>
      <c r="X2313" t="str">
        <f>IFERROR(VLOOKUP('Pre-Summary'!$DB$6:$DD$63,3,FALSE),"")</f>
        <v/>
      </c>
      <c r="Y2313" t="str">
        <f>IFERROR(VLOOKUP(B2313,'Pre-Summary'!$CR$6:$CT$36,3,FALSE),"")</f>
        <v/>
      </c>
      <c r="Z2313" s="45" t="str">
        <f>IFERROR(VLOOKUP(B2313,'Pre-Summary'!$BZ$6:$CB$63,2,FALSE),"")</f>
        <v/>
      </c>
      <c r="AA2313" s="45" t="str">
        <f>IFERROR(VLOOKUP(B2313,'Pre-Summary'!$CG$6:$CI$70,2,FALSE),"")</f>
        <v/>
      </c>
      <c r="AB2313" s="99">
        <f>IFERROR(VLOOKUP(B2313,'Pre-Summary'!$A$6:$P$178,9,FALSE),AB2314)</f>
        <v>0.3510413030600153</v>
      </c>
      <c r="AC2313" s="10">
        <f>IFERROR(VLOOKUP(Summary!B2313,'Pre-Summary'!$A$6:$P$184,5, FALSE)/100,AC2314)</f>
        <v>0.95838633333333334</v>
      </c>
      <c r="AD2313" s="10">
        <f>IFERROR(VLOOKUP(Summary!B2313,'Pre-Summary'!$A$6:$P$184,3, FALSE)/100,AD2314)</f>
        <v>2.8433333333333331E-2</v>
      </c>
      <c r="AE2313" s="10">
        <f>IFERROR(VLOOKUP(Summary!B2313,'Pre-Summary'!$A$6:$P$184,7, FALSE)/100,AE2314)</f>
        <v>1.3180333333333334E-2</v>
      </c>
      <c r="AF2313" s="99">
        <f t="shared" si="109"/>
        <v>9.9812743836731003E-3</v>
      </c>
      <c r="AG2313" s="99">
        <f t="shared" si="110"/>
        <v>4.6268413880986882E-3</v>
      </c>
      <c r="AH2313" s="10" t="str">
        <f>IFERROR(VLOOKUP(B2313,'Pre-Summary'!$AZ$6:$BE$65,3,FALSE),"")</f>
        <v/>
      </c>
      <c r="AI2313" s="10" t="str">
        <f>IFERROR(VLOOKUP(B2313,'Pre-Summary'!$AZ$6:$BE$65,5,FALSE),"")</f>
        <v/>
      </c>
      <c r="AJ2313" s="10" t="str">
        <f>IFERROR(VLOOKUP(B2313,'Pre-Summary'!$AZ$6:$BE$65,4,FALSE),"")</f>
        <v/>
      </c>
      <c r="AK2313" s="10" t="str">
        <f>IFERROR(VLOOKUP(B2313,'Pre-Summary'!$AZ$6:$BE$65,6,FALSE),"")</f>
        <v/>
      </c>
      <c r="AL2313" s="10" t="str">
        <f>IFERROR(VLOOKUP(B2313,'Pre-Summary'!$BG$6:$BL$44,3,FALSE),"")</f>
        <v/>
      </c>
      <c r="AM2313" s="10" t="str">
        <f>IFERROR(VLOOKUP(B2313,'Pre-Summary'!$BG$6:$BL$44,4,FALSE),"")</f>
        <v/>
      </c>
    </row>
    <row r="2314" spans="2:39" ht="15" customHeight="1" x14ac:dyDescent="0.3">
      <c r="B2314">
        <v>231.1</v>
      </c>
      <c r="C2314" t="str">
        <f>IFERROR(VLOOKUP(B2314,'Pre-Summary'!$DI$6:$DM$23,4,FALSE),"")</f>
        <v/>
      </c>
      <c r="D2314" s="10" t="str">
        <f>IFERROR(VLOOKUP(B2314,'Pre-Summary'!$AT$6:$AX$14,5,FALSE),D2313)</f>
        <v>Wolfe v3: went back to modified wolfe + EDTA and switched CuSO4 to CUCl2</v>
      </c>
      <c r="E2314" s="10" t="str">
        <f>IFERROR(VLOOKUP(B2314,'Pre-Summary'!$AT$6:$AX$15,4,FALSE),"")</f>
        <v/>
      </c>
      <c r="F2314">
        <f>IFERROR(VLOOKUP(B2314,'Pre-Summary'!$AL$6:$AQ$13,6,FALSE),F2313)</f>
        <v>5.9405263157894746E-2</v>
      </c>
      <c r="G2314" t="str">
        <f>IFERROR(VLOOKUP(B2314,'Pre-Summary'!$AE$6:$AJ$85,3,FALSE),"")</f>
        <v/>
      </c>
      <c r="H2314" t="str">
        <f>IFERROR(VLOOKUP(B2314,'Pre-Summary'!$AE$6:$AJ$85,4,FALSE),"")</f>
        <v/>
      </c>
      <c r="I2314" t="str">
        <f>IFERROR(VLOOKUP(B2314,'Pre-Summary'!$AE$6:$AJ$85,5,FALSE),"")</f>
        <v/>
      </c>
      <c r="J2314" s="45" t="str">
        <f>IFERROR(VLOOKUP(B2314,'Pre-Summary'!$AE$6:$AJ$85,6, FALSE),"")</f>
        <v/>
      </c>
      <c r="K2314" s="45" t="str">
        <f>IFERROR(VLOOKUP(B2314,'Pre-Summary'!$DE$6:$DG$61,3,FALSE),"")</f>
        <v/>
      </c>
      <c r="L2314" s="45" t="str">
        <f>IFERROR(VLOOKUP(B2314,'Pre-Summary'!$CU$6:$CW$36,3,FALSE),"")</f>
        <v/>
      </c>
      <c r="M2314" s="45" t="str">
        <f>IFERROR(VLOOKUP(B2314,'Pre-Summary'!$BW$6:$BY$58,2,FALSE),"")</f>
        <v/>
      </c>
      <c r="N2314" s="45" t="str">
        <f>IFERROR(VLOOKUP(B2314,'Pre-Summary'!$CD$6:$CF$64,2,FALSE),"")</f>
        <v/>
      </c>
      <c r="O2314" s="99">
        <f>IFERROR(VLOOKUP(B2314,'Pre-Summary'!$BO$6:$BQ$48,3, FALSE),O2313)</f>
        <v>1.508</v>
      </c>
      <c r="P2314" s="99">
        <f>IFERROR(VLOOKUP(B2314,'Pre-Summary'!$BS$6:$BU$35,3,FALSE),P2313)</f>
        <v>0.379</v>
      </c>
      <c r="Q2314" s="54">
        <f t="shared" si="108"/>
        <v>3.9788918205804751</v>
      </c>
      <c r="R2314" s="53">
        <f>IFERROR(VLOOKUP(B2314,'Pre-Summary'!$BG$6:$BM$44,7,FALSE),R2315)</f>
        <v>9.7948682664336664E-2</v>
      </c>
      <c r="S2314" s="53">
        <f>IFERROR(VLOOKUP(B2314,'Pre-Summary'!$BG$6:$BM$44,6,FALSE),S2315)</f>
        <v>0.10614035087720526</v>
      </c>
      <c r="T2314" s="45" t="str">
        <f>IFERROR(VLOOKUP(B2314,'Pre-Summary'!$Y$6:$AC$83, 3,FALSE),"")</f>
        <v/>
      </c>
      <c r="U2314" s="45" t="str">
        <f>IFERROR(VLOOKUP(B2314,'Pre-Summary'!$Y$6:$AC$83, 4,FALSE),"")</f>
        <v/>
      </c>
      <c r="V2314" t="str">
        <f>IFERROR(VLOOKUP(B2314,'Pre-Summary'!$Y$6:$AC$83, 5,FALSE),"")</f>
        <v/>
      </c>
      <c r="W2314" s="45" t="str">
        <f>IFERROR(VLOOKUP(B2314,'Pre-Summary'!$Y$6:$AD$83,6,FALSE),"")</f>
        <v/>
      </c>
      <c r="X2314" t="str">
        <f>IFERROR(VLOOKUP('Pre-Summary'!$DB$6:$DD$63,3,FALSE),"")</f>
        <v/>
      </c>
      <c r="Y2314" t="str">
        <f>IFERROR(VLOOKUP(B2314,'Pre-Summary'!$CR$6:$CT$36,3,FALSE),"")</f>
        <v/>
      </c>
      <c r="Z2314" s="45" t="str">
        <f>IFERROR(VLOOKUP(B2314,'Pre-Summary'!$BZ$6:$CB$63,2,FALSE),"")</f>
        <v/>
      </c>
      <c r="AA2314" s="45" t="str">
        <f>IFERROR(VLOOKUP(B2314,'Pre-Summary'!$CG$6:$CI$70,2,FALSE),"")</f>
        <v/>
      </c>
      <c r="AB2314" s="99">
        <f>IFERROR(VLOOKUP(B2314,'Pre-Summary'!$A$6:$P$178,9,FALSE),AB2315)</f>
        <v>0.3510413030600153</v>
      </c>
      <c r="AC2314" s="10">
        <f>IFERROR(VLOOKUP(Summary!B2314,'Pre-Summary'!$A$6:$P$184,5, FALSE)/100,AC2315)</f>
        <v>0.95838633333333334</v>
      </c>
      <c r="AD2314" s="10">
        <f>IFERROR(VLOOKUP(Summary!B2314,'Pre-Summary'!$A$6:$P$184,3, FALSE)/100,AD2315)</f>
        <v>2.8433333333333331E-2</v>
      </c>
      <c r="AE2314" s="10">
        <f>IFERROR(VLOOKUP(Summary!B2314,'Pre-Summary'!$A$6:$P$184,7, FALSE)/100,AE2315)</f>
        <v>1.3180333333333334E-2</v>
      </c>
      <c r="AF2314" s="99">
        <f t="shared" si="109"/>
        <v>9.9812743836731003E-3</v>
      </c>
      <c r="AG2314" s="99">
        <f t="shared" si="110"/>
        <v>4.6268413880986882E-3</v>
      </c>
      <c r="AH2314" s="10" t="str">
        <f>IFERROR(VLOOKUP(B2314,'Pre-Summary'!$AZ$6:$BE$65,3,FALSE),"")</f>
        <v/>
      </c>
      <c r="AI2314" s="10" t="str">
        <f>IFERROR(VLOOKUP(B2314,'Pre-Summary'!$AZ$6:$BE$65,5,FALSE),"")</f>
        <v/>
      </c>
      <c r="AJ2314" s="10" t="str">
        <f>IFERROR(VLOOKUP(B2314,'Pre-Summary'!$AZ$6:$BE$65,4,FALSE),"")</f>
        <v/>
      </c>
      <c r="AK2314" s="10" t="str">
        <f>IFERROR(VLOOKUP(B2314,'Pre-Summary'!$AZ$6:$BE$65,6,FALSE),"")</f>
        <v/>
      </c>
      <c r="AL2314" s="10" t="str">
        <f>IFERROR(VLOOKUP(B2314,'Pre-Summary'!$BG$6:$BL$44,3,FALSE),"")</f>
        <v/>
      </c>
      <c r="AM2314" s="10" t="str">
        <f>IFERROR(VLOOKUP(B2314,'Pre-Summary'!$BG$6:$BL$44,4,FALSE),"")</f>
        <v/>
      </c>
    </row>
    <row r="2315" spans="2:39" ht="15" customHeight="1" x14ac:dyDescent="0.3">
      <c r="B2315">
        <v>231.2</v>
      </c>
      <c r="C2315" t="str">
        <f>IFERROR(VLOOKUP(B2315,'Pre-Summary'!$DI$6:$DM$23,4,FALSE),"")</f>
        <v/>
      </c>
      <c r="D2315" s="10" t="str">
        <f>IFERROR(VLOOKUP(B2315,'Pre-Summary'!$AT$6:$AX$14,5,FALSE),D2314)</f>
        <v>Wolfe v3: went back to modified wolfe + EDTA and switched CuSO4 to CUCl2</v>
      </c>
      <c r="E2315" s="10" t="str">
        <f>IFERROR(VLOOKUP(B2315,'Pre-Summary'!$AT$6:$AX$15,4,FALSE),"")</f>
        <v/>
      </c>
      <c r="F2315">
        <f>IFERROR(VLOOKUP(B2315,'Pre-Summary'!$AL$6:$AQ$13,6,FALSE),F2314)</f>
        <v>5.9405263157894746E-2</v>
      </c>
      <c r="G2315" t="str">
        <f>IFERROR(VLOOKUP(B2315,'Pre-Summary'!$AE$6:$AJ$85,3,FALSE),"")</f>
        <v/>
      </c>
      <c r="H2315" t="str">
        <f>IFERROR(VLOOKUP(B2315,'Pre-Summary'!$AE$6:$AJ$85,4,FALSE),"")</f>
        <v/>
      </c>
      <c r="I2315" t="str">
        <f>IFERROR(VLOOKUP(B2315,'Pre-Summary'!$AE$6:$AJ$85,5,FALSE),"")</f>
        <v/>
      </c>
      <c r="J2315" s="45" t="str">
        <f>IFERROR(VLOOKUP(B2315,'Pre-Summary'!$AE$6:$AJ$85,6, FALSE),"")</f>
        <v/>
      </c>
      <c r="K2315" s="45" t="str">
        <f>IFERROR(VLOOKUP(B2315,'Pre-Summary'!$DE$6:$DG$61,3,FALSE),"")</f>
        <v/>
      </c>
      <c r="L2315" s="45" t="str">
        <f>IFERROR(VLOOKUP(B2315,'Pre-Summary'!$CU$6:$CW$36,3,FALSE),"")</f>
        <v/>
      </c>
      <c r="M2315" s="45" t="str">
        <f>IFERROR(VLOOKUP(B2315,'Pre-Summary'!$BW$6:$BY$58,2,FALSE),"")</f>
        <v/>
      </c>
      <c r="N2315" s="45" t="str">
        <f>IFERROR(VLOOKUP(B2315,'Pre-Summary'!$CD$6:$CF$64,2,FALSE),"")</f>
        <v/>
      </c>
      <c r="O2315" s="99">
        <f>IFERROR(VLOOKUP(B2315,'Pre-Summary'!$BO$6:$BQ$48,3, FALSE),O2314)</f>
        <v>1.508</v>
      </c>
      <c r="P2315" s="99">
        <f>IFERROR(VLOOKUP(B2315,'Pre-Summary'!$BS$6:$BU$35,3,FALSE),P2314)</f>
        <v>0.379</v>
      </c>
      <c r="Q2315" s="54">
        <f t="shared" si="108"/>
        <v>3.9788918205804751</v>
      </c>
      <c r="R2315" s="53">
        <f>IFERROR(VLOOKUP(B2315,'Pre-Summary'!$BG$6:$BM$44,7,FALSE),R2316)</f>
        <v>9.7948682664336664E-2</v>
      </c>
      <c r="S2315" s="53">
        <f>IFERROR(VLOOKUP(B2315,'Pre-Summary'!$BG$6:$BM$44,6,FALSE),S2316)</f>
        <v>0.10614035087720526</v>
      </c>
      <c r="T2315" s="45" t="str">
        <f>IFERROR(VLOOKUP(B2315,'Pre-Summary'!$Y$6:$AC$83, 3,FALSE),"")</f>
        <v/>
      </c>
      <c r="U2315" s="45" t="str">
        <f>IFERROR(VLOOKUP(B2315,'Pre-Summary'!$Y$6:$AC$83, 4,FALSE),"")</f>
        <v/>
      </c>
      <c r="V2315" t="str">
        <f>IFERROR(VLOOKUP(B2315,'Pre-Summary'!$Y$6:$AC$83, 5,FALSE),"")</f>
        <v/>
      </c>
      <c r="W2315" s="45" t="str">
        <f>IFERROR(VLOOKUP(B2315,'Pre-Summary'!$Y$6:$AD$83,6,FALSE),"")</f>
        <v/>
      </c>
      <c r="X2315" t="str">
        <f>IFERROR(VLOOKUP('Pre-Summary'!$DB$6:$DD$63,3,FALSE),"")</f>
        <v/>
      </c>
      <c r="Y2315" t="str">
        <f>IFERROR(VLOOKUP(B2315,'Pre-Summary'!$CR$6:$CT$36,3,FALSE),"")</f>
        <v/>
      </c>
      <c r="Z2315" s="45" t="str">
        <f>IFERROR(VLOOKUP(B2315,'Pre-Summary'!$BZ$6:$CB$63,2,FALSE),"")</f>
        <v/>
      </c>
      <c r="AA2315" s="45" t="str">
        <f>IFERROR(VLOOKUP(B2315,'Pre-Summary'!$CG$6:$CI$70,2,FALSE),"")</f>
        <v/>
      </c>
      <c r="AB2315" s="99">
        <f>IFERROR(VLOOKUP(B2315,'Pre-Summary'!$A$6:$P$178,9,FALSE),AB2316)</f>
        <v>0.3510413030600153</v>
      </c>
      <c r="AC2315" s="10">
        <f>IFERROR(VLOOKUP(Summary!B2315,'Pre-Summary'!$A$6:$P$184,5, FALSE)/100,AC2316)</f>
        <v>0.95838633333333334</v>
      </c>
      <c r="AD2315" s="10">
        <f>IFERROR(VLOOKUP(Summary!B2315,'Pre-Summary'!$A$6:$P$184,3, FALSE)/100,AD2316)</f>
        <v>2.8433333333333331E-2</v>
      </c>
      <c r="AE2315" s="10">
        <f>IFERROR(VLOOKUP(Summary!B2315,'Pre-Summary'!$A$6:$P$184,7, FALSE)/100,AE2316)</f>
        <v>1.3180333333333334E-2</v>
      </c>
      <c r="AF2315" s="99">
        <f t="shared" si="109"/>
        <v>9.9812743836731003E-3</v>
      </c>
      <c r="AG2315" s="99">
        <f t="shared" si="110"/>
        <v>4.6268413880986882E-3</v>
      </c>
      <c r="AH2315" s="10" t="str">
        <f>IFERROR(VLOOKUP(B2315,'Pre-Summary'!$AZ$6:$BE$65,3,FALSE),"")</f>
        <v/>
      </c>
      <c r="AI2315" s="10" t="str">
        <f>IFERROR(VLOOKUP(B2315,'Pre-Summary'!$AZ$6:$BE$65,5,FALSE),"")</f>
        <v/>
      </c>
      <c r="AJ2315" s="10" t="str">
        <f>IFERROR(VLOOKUP(B2315,'Pre-Summary'!$AZ$6:$BE$65,4,FALSE),"")</f>
        <v/>
      </c>
      <c r="AK2315" s="10" t="str">
        <f>IFERROR(VLOOKUP(B2315,'Pre-Summary'!$AZ$6:$BE$65,6,FALSE),"")</f>
        <v/>
      </c>
      <c r="AL2315" s="10" t="str">
        <f>IFERROR(VLOOKUP(B2315,'Pre-Summary'!$BG$6:$BL$44,3,FALSE),"")</f>
        <v/>
      </c>
      <c r="AM2315" s="10" t="str">
        <f>IFERROR(VLOOKUP(B2315,'Pre-Summary'!$BG$6:$BL$44,4,FALSE),"")</f>
        <v/>
      </c>
    </row>
    <row r="2316" spans="2:39" ht="15" customHeight="1" x14ac:dyDescent="0.3">
      <c r="B2316">
        <v>231.3</v>
      </c>
      <c r="C2316" t="str">
        <f>IFERROR(VLOOKUP(B2316,'Pre-Summary'!$DI$6:$DM$23,4,FALSE),"")</f>
        <v/>
      </c>
      <c r="D2316" s="10" t="str">
        <f>IFERROR(VLOOKUP(B2316,'Pre-Summary'!$AT$6:$AX$14,5,FALSE),D2315)</f>
        <v>Wolfe v3: went back to modified wolfe + EDTA and switched CuSO4 to CUCl2</v>
      </c>
      <c r="E2316" s="10" t="str">
        <f>IFERROR(VLOOKUP(B2316,'Pre-Summary'!$AT$6:$AX$15,4,FALSE),"")</f>
        <v/>
      </c>
      <c r="F2316">
        <f>IFERROR(VLOOKUP(B2316,'Pre-Summary'!$AL$6:$AQ$13,6,FALSE),F2315)</f>
        <v>5.9405263157894746E-2</v>
      </c>
      <c r="G2316" t="str">
        <f>IFERROR(VLOOKUP(B2316,'Pre-Summary'!$AE$6:$AJ$85,3,FALSE),"")</f>
        <v/>
      </c>
      <c r="H2316" t="str">
        <f>IFERROR(VLOOKUP(B2316,'Pre-Summary'!$AE$6:$AJ$85,4,FALSE),"")</f>
        <v/>
      </c>
      <c r="I2316" t="str">
        <f>IFERROR(VLOOKUP(B2316,'Pre-Summary'!$AE$6:$AJ$85,5,FALSE),"")</f>
        <v/>
      </c>
      <c r="J2316" s="45" t="str">
        <f>IFERROR(VLOOKUP(B2316,'Pre-Summary'!$AE$6:$AJ$85,6, FALSE),"")</f>
        <v/>
      </c>
      <c r="K2316" s="45" t="str">
        <f>IFERROR(VLOOKUP(B2316,'Pre-Summary'!$DE$6:$DG$61,3,FALSE),"")</f>
        <v/>
      </c>
      <c r="L2316" s="45" t="str">
        <f>IFERROR(VLOOKUP(B2316,'Pre-Summary'!$CU$6:$CW$36,3,FALSE),"")</f>
        <v/>
      </c>
      <c r="M2316" s="45" t="str">
        <f>IFERROR(VLOOKUP(B2316,'Pre-Summary'!$BW$6:$BY$58,2,FALSE),"")</f>
        <v/>
      </c>
      <c r="N2316" s="45" t="str">
        <f>IFERROR(VLOOKUP(B2316,'Pre-Summary'!$CD$6:$CF$64,2,FALSE),"")</f>
        <v/>
      </c>
      <c r="O2316" s="99">
        <f>IFERROR(VLOOKUP(B2316,'Pre-Summary'!$BO$6:$BQ$48,3, FALSE),O2315)</f>
        <v>1.508</v>
      </c>
      <c r="P2316" s="99">
        <f>IFERROR(VLOOKUP(B2316,'Pre-Summary'!$BS$6:$BU$35,3,FALSE),P2315)</f>
        <v>0.379</v>
      </c>
      <c r="Q2316" s="54">
        <f t="shared" si="108"/>
        <v>3.9788918205804751</v>
      </c>
      <c r="R2316" s="53">
        <f>IFERROR(VLOOKUP(B2316,'Pre-Summary'!$BG$6:$BM$44,7,FALSE),R2317)</f>
        <v>9.7948682664336664E-2</v>
      </c>
      <c r="S2316" s="53">
        <f>IFERROR(VLOOKUP(B2316,'Pre-Summary'!$BG$6:$BM$44,6,FALSE),S2317)</f>
        <v>0.10614035087720526</v>
      </c>
      <c r="T2316" s="45" t="str">
        <f>IFERROR(VLOOKUP(B2316,'Pre-Summary'!$Y$6:$AC$83, 3,FALSE),"")</f>
        <v/>
      </c>
      <c r="U2316" s="45" t="str">
        <f>IFERROR(VLOOKUP(B2316,'Pre-Summary'!$Y$6:$AC$83, 4,FALSE),"")</f>
        <v/>
      </c>
      <c r="V2316" t="str">
        <f>IFERROR(VLOOKUP(B2316,'Pre-Summary'!$Y$6:$AC$83, 5,FALSE),"")</f>
        <v/>
      </c>
      <c r="W2316" s="45" t="str">
        <f>IFERROR(VLOOKUP(B2316,'Pre-Summary'!$Y$6:$AD$83,6,FALSE),"")</f>
        <v/>
      </c>
      <c r="X2316" t="str">
        <f>IFERROR(VLOOKUP('Pre-Summary'!$DB$6:$DD$63,3,FALSE),"")</f>
        <v/>
      </c>
      <c r="Y2316" t="str">
        <f>IFERROR(VLOOKUP(B2316,'Pre-Summary'!$CR$6:$CT$36,3,FALSE),"")</f>
        <v/>
      </c>
      <c r="Z2316" s="45" t="str">
        <f>IFERROR(VLOOKUP(B2316,'Pre-Summary'!$BZ$6:$CB$63,2,FALSE),"")</f>
        <v/>
      </c>
      <c r="AA2316" s="45" t="str">
        <f>IFERROR(VLOOKUP(B2316,'Pre-Summary'!$CG$6:$CI$70,2,FALSE),"")</f>
        <v/>
      </c>
      <c r="AB2316" s="99">
        <f>IFERROR(VLOOKUP(B2316,'Pre-Summary'!$A$6:$P$178,9,FALSE),AB2317)</f>
        <v>0.3510413030600153</v>
      </c>
      <c r="AC2316" s="10">
        <f>IFERROR(VLOOKUP(Summary!B2316,'Pre-Summary'!$A$6:$P$184,5, FALSE)/100,AC2317)</f>
        <v>0.95838633333333334</v>
      </c>
      <c r="AD2316" s="10">
        <f>IFERROR(VLOOKUP(Summary!B2316,'Pre-Summary'!$A$6:$P$184,3, FALSE)/100,AD2317)</f>
        <v>2.8433333333333331E-2</v>
      </c>
      <c r="AE2316" s="10">
        <f>IFERROR(VLOOKUP(Summary!B2316,'Pre-Summary'!$A$6:$P$184,7, FALSE)/100,AE2317)</f>
        <v>1.3180333333333334E-2</v>
      </c>
      <c r="AF2316" s="99">
        <f t="shared" si="109"/>
        <v>9.9812743836731003E-3</v>
      </c>
      <c r="AG2316" s="99">
        <f t="shared" si="110"/>
        <v>4.6268413880986882E-3</v>
      </c>
      <c r="AH2316" s="10" t="str">
        <f>IFERROR(VLOOKUP(B2316,'Pre-Summary'!$AZ$6:$BE$65,3,FALSE),"")</f>
        <v/>
      </c>
      <c r="AI2316" s="10" t="str">
        <f>IFERROR(VLOOKUP(B2316,'Pre-Summary'!$AZ$6:$BE$65,5,FALSE),"")</f>
        <v/>
      </c>
      <c r="AJ2316" s="10" t="str">
        <f>IFERROR(VLOOKUP(B2316,'Pre-Summary'!$AZ$6:$BE$65,4,FALSE),"")</f>
        <v/>
      </c>
      <c r="AK2316" s="10" t="str">
        <f>IFERROR(VLOOKUP(B2316,'Pre-Summary'!$AZ$6:$BE$65,6,FALSE),"")</f>
        <v/>
      </c>
      <c r="AL2316" s="10" t="str">
        <f>IFERROR(VLOOKUP(B2316,'Pre-Summary'!$BG$6:$BL$44,3,FALSE),"")</f>
        <v/>
      </c>
      <c r="AM2316" s="10" t="str">
        <f>IFERROR(VLOOKUP(B2316,'Pre-Summary'!$BG$6:$BL$44,4,FALSE),"")</f>
        <v/>
      </c>
    </row>
    <row r="2317" spans="2:39" ht="15" customHeight="1" x14ac:dyDescent="0.3">
      <c r="B2317">
        <v>231.4</v>
      </c>
      <c r="C2317" t="str">
        <f>IFERROR(VLOOKUP(B2317,'Pre-Summary'!$DI$6:$DM$23,4,FALSE),"")</f>
        <v/>
      </c>
      <c r="D2317" s="10" t="str">
        <f>IFERROR(VLOOKUP(B2317,'Pre-Summary'!$AT$6:$AX$14,5,FALSE),D2316)</f>
        <v>Wolfe v3: went back to modified wolfe + EDTA and switched CuSO4 to CUCl2</v>
      </c>
      <c r="E2317" s="10" t="str">
        <f>IFERROR(VLOOKUP(B2317,'Pre-Summary'!$AT$6:$AX$15,4,FALSE),"")</f>
        <v/>
      </c>
      <c r="F2317">
        <f>IFERROR(VLOOKUP(B2317,'Pre-Summary'!$AL$6:$AQ$13,6,FALSE),F2316)</f>
        <v>5.9405263157894746E-2</v>
      </c>
      <c r="G2317" t="str">
        <f>IFERROR(VLOOKUP(B2317,'Pre-Summary'!$AE$6:$AJ$85,3,FALSE),"")</f>
        <v/>
      </c>
      <c r="H2317" t="str">
        <f>IFERROR(VLOOKUP(B2317,'Pre-Summary'!$AE$6:$AJ$85,4,FALSE),"")</f>
        <v/>
      </c>
      <c r="I2317" t="str">
        <f>IFERROR(VLOOKUP(B2317,'Pre-Summary'!$AE$6:$AJ$85,5,FALSE),"")</f>
        <v/>
      </c>
      <c r="J2317" s="45" t="str">
        <f>IFERROR(VLOOKUP(B2317,'Pre-Summary'!$AE$6:$AJ$85,6, FALSE),"")</f>
        <v/>
      </c>
      <c r="K2317" s="45" t="str">
        <f>IFERROR(VLOOKUP(B2317,'Pre-Summary'!$DE$6:$DG$61,3,FALSE),"")</f>
        <v/>
      </c>
      <c r="L2317" s="45" t="str">
        <f>IFERROR(VLOOKUP(B2317,'Pre-Summary'!$CU$6:$CW$36,3,FALSE),"")</f>
        <v/>
      </c>
      <c r="M2317" s="45" t="str">
        <f>IFERROR(VLOOKUP(B2317,'Pre-Summary'!$BW$6:$BY$58,2,FALSE),"")</f>
        <v/>
      </c>
      <c r="N2317" s="45" t="str">
        <f>IFERROR(VLOOKUP(B2317,'Pre-Summary'!$CD$6:$CF$64,2,FALSE),"")</f>
        <v/>
      </c>
      <c r="O2317" s="99">
        <f>IFERROR(VLOOKUP(B2317,'Pre-Summary'!$BO$6:$BQ$48,3, FALSE),O2316)</f>
        <v>1.508</v>
      </c>
      <c r="P2317" s="99">
        <f>IFERROR(VLOOKUP(B2317,'Pre-Summary'!$BS$6:$BU$35,3,FALSE),P2316)</f>
        <v>0.379</v>
      </c>
      <c r="Q2317" s="54">
        <f t="shared" si="108"/>
        <v>3.9788918205804751</v>
      </c>
      <c r="R2317" s="53">
        <f>IFERROR(VLOOKUP(B2317,'Pre-Summary'!$BG$6:$BM$44,7,FALSE),R2318)</f>
        <v>9.7948682664336664E-2</v>
      </c>
      <c r="S2317" s="53">
        <f>IFERROR(VLOOKUP(B2317,'Pre-Summary'!$BG$6:$BM$44,6,FALSE),S2318)</f>
        <v>0.10614035087720526</v>
      </c>
      <c r="T2317" s="45" t="str">
        <f>IFERROR(VLOOKUP(B2317,'Pre-Summary'!$Y$6:$AC$83, 3,FALSE),"")</f>
        <v/>
      </c>
      <c r="U2317" s="45" t="str">
        <f>IFERROR(VLOOKUP(B2317,'Pre-Summary'!$Y$6:$AC$83, 4,FALSE),"")</f>
        <v/>
      </c>
      <c r="V2317" t="str">
        <f>IFERROR(VLOOKUP(B2317,'Pre-Summary'!$Y$6:$AC$83, 5,FALSE),"")</f>
        <v/>
      </c>
      <c r="W2317" s="45" t="str">
        <f>IFERROR(VLOOKUP(B2317,'Pre-Summary'!$Y$6:$AD$83,6,FALSE),"")</f>
        <v/>
      </c>
      <c r="X2317" t="str">
        <f>IFERROR(VLOOKUP('Pre-Summary'!$DB$6:$DD$63,3,FALSE),"")</f>
        <v/>
      </c>
      <c r="Y2317" t="str">
        <f>IFERROR(VLOOKUP(B2317,'Pre-Summary'!$CR$6:$CT$36,3,FALSE),"")</f>
        <v/>
      </c>
      <c r="Z2317" s="45" t="str">
        <f>IFERROR(VLOOKUP(B2317,'Pre-Summary'!$BZ$6:$CB$63,2,FALSE),"")</f>
        <v/>
      </c>
      <c r="AA2317" s="45" t="str">
        <f>IFERROR(VLOOKUP(B2317,'Pre-Summary'!$CG$6:$CI$70,2,FALSE),"")</f>
        <v/>
      </c>
      <c r="AB2317" s="99">
        <f>IFERROR(VLOOKUP(B2317,'Pre-Summary'!$A$6:$P$178,9,FALSE),AB2318)</f>
        <v>0.3510413030600153</v>
      </c>
      <c r="AC2317" s="10">
        <f>IFERROR(VLOOKUP(Summary!B2317,'Pre-Summary'!$A$6:$P$184,5, FALSE)/100,AC2318)</f>
        <v>0.95838633333333334</v>
      </c>
      <c r="AD2317" s="10">
        <f>IFERROR(VLOOKUP(Summary!B2317,'Pre-Summary'!$A$6:$P$184,3, FALSE)/100,AD2318)</f>
        <v>2.8433333333333331E-2</v>
      </c>
      <c r="AE2317" s="10">
        <f>IFERROR(VLOOKUP(Summary!B2317,'Pre-Summary'!$A$6:$P$184,7, FALSE)/100,AE2318)</f>
        <v>1.3180333333333334E-2</v>
      </c>
      <c r="AF2317" s="99">
        <f t="shared" si="109"/>
        <v>9.9812743836731003E-3</v>
      </c>
      <c r="AG2317" s="99">
        <f t="shared" si="110"/>
        <v>4.6268413880986882E-3</v>
      </c>
      <c r="AH2317" s="10" t="str">
        <f>IFERROR(VLOOKUP(B2317,'Pre-Summary'!$AZ$6:$BE$65,3,FALSE),"")</f>
        <v/>
      </c>
      <c r="AI2317" s="10" t="str">
        <f>IFERROR(VLOOKUP(B2317,'Pre-Summary'!$AZ$6:$BE$65,5,FALSE),"")</f>
        <v/>
      </c>
      <c r="AJ2317" s="10" t="str">
        <f>IFERROR(VLOOKUP(B2317,'Pre-Summary'!$AZ$6:$BE$65,4,FALSE),"")</f>
        <v/>
      </c>
      <c r="AK2317" s="10" t="str">
        <f>IFERROR(VLOOKUP(B2317,'Pre-Summary'!$AZ$6:$BE$65,6,FALSE),"")</f>
        <v/>
      </c>
      <c r="AL2317" s="10" t="str">
        <f>IFERROR(VLOOKUP(B2317,'Pre-Summary'!$BG$6:$BL$44,3,FALSE),"")</f>
        <v/>
      </c>
      <c r="AM2317" s="10" t="str">
        <f>IFERROR(VLOOKUP(B2317,'Pre-Summary'!$BG$6:$BL$44,4,FALSE),"")</f>
        <v/>
      </c>
    </row>
    <row r="2318" spans="2:39" ht="15" customHeight="1" x14ac:dyDescent="0.3">
      <c r="B2318">
        <v>231.5</v>
      </c>
      <c r="C2318" t="str">
        <f>IFERROR(VLOOKUP(B2318,'Pre-Summary'!$DI$6:$DM$23,4,FALSE),"")</f>
        <v/>
      </c>
      <c r="D2318" s="10" t="str">
        <f>IFERROR(VLOOKUP(B2318,'Pre-Summary'!$AT$6:$AX$14,5,FALSE),D2317)</f>
        <v>Wolfe v3: went back to modified wolfe + EDTA and switched CuSO4 to CUCl2</v>
      </c>
      <c r="E2318" s="10" t="str">
        <f>IFERROR(VLOOKUP(B2318,'Pre-Summary'!$AT$6:$AX$15,4,FALSE),"")</f>
        <v/>
      </c>
      <c r="F2318">
        <f>IFERROR(VLOOKUP(B2318,'Pre-Summary'!$AL$6:$AQ$13,6,FALSE),F2317)</f>
        <v>5.9405263157894746E-2</v>
      </c>
      <c r="G2318" t="str">
        <f>IFERROR(VLOOKUP(B2318,'Pre-Summary'!$AE$6:$AJ$85,3,FALSE),"")</f>
        <v/>
      </c>
      <c r="H2318" t="str">
        <f>IFERROR(VLOOKUP(B2318,'Pre-Summary'!$AE$6:$AJ$85,4,FALSE),"")</f>
        <v/>
      </c>
      <c r="I2318" t="str">
        <f>IFERROR(VLOOKUP(B2318,'Pre-Summary'!$AE$6:$AJ$85,5,FALSE),"")</f>
        <v/>
      </c>
      <c r="J2318" s="45" t="str">
        <f>IFERROR(VLOOKUP(B2318,'Pre-Summary'!$AE$6:$AJ$85,6, FALSE),"")</f>
        <v/>
      </c>
      <c r="K2318" s="45" t="str">
        <f>IFERROR(VLOOKUP(B2318,'Pre-Summary'!$DE$6:$DG$61,3,FALSE),"")</f>
        <v/>
      </c>
      <c r="L2318" s="45" t="str">
        <f>IFERROR(VLOOKUP(B2318,'Pre-Summary'!$CU$6:$CW$36,3,FALSE),"")</f>
        <v/>
      </c>
      <c r="M2318" s="45" t="str">
        <f>IFERROR(VLOOKUP(B2318,'Pre-Summary'!$BW$6:$BY$58,2,FALSE),"")</f>
        <v/>
      </c>
      <c r="N2318" s="45" t="str">
        <f>IFERROR(VLOOKUP(B2318,'Pre-Summary'!$CD$6:$CF$64,2,FALSE),"")</f>
        <v/>
      </c>
      <c r="O2318" s="99">
        <f>IFERROR(VLOOKUP(B2318,'Pre-Summary'!$BO$6:$BQ$48,3, FALSE),O2317)</f>
        <v>1.508</v>
      </c>
      <c r="P2318" s="99">
        <f>IFERROR(VLOOKUP(B2318,'Pre-Summary'!$BS$6:$BU$35,3,FALSE),P2317)</f>
        <v>0.379</v>
      </c>
      <c r="Q2318" s="54">
        <f t="shared" si="108"/>
        <v>3.9788918205804751</v>
      </c>
      <c r="R2318" s="53">
        <f>IFERROR(VLOOKUP(B2318,'Pre-Summary'!$BG$6:$BM$44,7,FALSE),R2319)</f>
        <v>9.7948682664336664E-2</v>
      </c>
      <c r="S2318" s="53">
        <f>IFERROR(VLOOKUP(B2318,'Pre-Summary'!$BG$6:$BM$44,6,FALSE),S2319)</f>
        <v>0.10614035087720526</v>
      </c>
      <c r="T2318" s="45" t="str">
        <f>IFERROR(VLOOKUP(B2318,'Pre-Summary'!$Y$6:$AC$83, 3,FALSE),"")</f>
        <v/>
      </c>
      <c r="U2318" s="45" t="str">
        <f>IFERROR(VLOOKUP(B2318,'Pre-Summary'!$Y$6:$AC$83, 4,FALSE),"")</f>
        <v/>
      </c>
      <c r="V2318" t="str">
        <f>IFERROR(VLOOKUP(B2318,'Pre-Summary'!$Y$6:$AC$83, 5,FALSE),"")</f>
        <v/>
      </c>
      <c r="W2318" s="45" t="str">
        <f>IFERROR(VLOOKUP(B2318,'Pre-Summary'!$Y$6:$AD$83,6,FALSE),"")</f>
        <v/>
      </c>
      <c r="X2318" t="str">
        <f>IFERROR(VLOOKUP('Pre-Summary'!$DB$6:$DD$63,3,FALSE),"")</f>
        <v/>
      </c>
      <c r="Y2318" t="str">
        <f>IFERROR(VLOOKUP(B2318,'Pre-Summary'!$CR$6:$CT$36,3,FALSE),"")</f>
        <v/>
      </c>
      <c r="Z2318" s="45" t="str">
        <f>IFERROR(VLOOKUP(B2318,'Pre-Summary'!$BZ$6:$CB$63,2,FALSE),"")</f>
        <v/>
      </c>
      <c r="AA2318" s="45" t="str">
        <f>IFERROR(VLOOKUP(B2318,'Pre-Summary'!$CG$6:$CI$70,2,FALSE),"")</f>
        <v/>
      </c>
      <c r="AB2318" s="99">
        <f>IFERROR(VLOOKUP(B2318,'Pre-Summary'!$A$6:$P$178,9,FALSE),AB2319)</f>
        <v>0.3510413030600153</v>
      </c>
      <c r="AC2318" s="10">
        <f>IFERROR(VLOOKUP(Summary!B2318,'Pre-Summary'!$A$6:$P$184,5, FALSE)/100,AC2319)</f>
        <v>0.95838633333333334</v>
      </c>
      <c r="AD2318" s="10">
        <f>IFERROR(VLOOKUP(Summary!B2318,'Pre-Summary'!$A$6:$P$184,3, FALSE)/100,AD2319)</f>
        <v>2.8433333333333331E-2</v>
      </c>
      <c r="AE2318" s="10">
        <f>IFERROR(VLOOKUP(Summary!B2318,'Pre-Summary'!$A$6:$P$184,7, FALSE)/100,AE2319)</f>
        <v>1.3180333333333334E-2</v>
      </c>
      <c r="AF2318" s="99">
        <f t="shared" si="109"/>
        <v>9.9812743836731003E-3</v>
      </c>
      <c r="AG2318" s="99">
        <f t="shared" si="110"/>
        <v>4.6268413880986882E-3</v>
      </c>
      <c r="AH2318" s="10" t="str">
        <f>IFERROR(VLOOKUP(B2318,'Pre-Summary'!$AZ$6:$BE$65,3,FALSE),"")</f>
        <v/>
      </c>
      <c r="AI2318" s="10" t="str">
        <f>IFERROR(VLOOKUP(B2318,'Pre-Summary'!$AZ$6:$BE$65,5,FALSE),"")</f>
        <v/>
      </c>
      <c r="AJ2318" s="10" t="str">
        <f>IFERROR(VLOOKUP(B2318,'Pre-Summary'!$AZ$6:$BE$65,4,FALSE),"")</f>
        <v/>
      </c>
      <c r="AK2318" s="10" t="str">
        <f>IFERROR(VLOOKUP(B2318,'Pre-Summary'!$AZ$6:$BE$65,6,FALSE),"")</f>
        <v/>
      </c>
      <c r="AL2318" s="10" t="str">
        <f>IFERROR(VLOOKUP(B2318,'Pre-Summary'!$BG$6:$BL$44,3,FALSE),"")</f>
        <v/>
      </c>
      <c r="AM2318" s="10" t="str">
        <f>IFERROR(VLOOKUP(B2318,'Pre-Summary'!$BG$6:$BL$44,4,FALSE),"")</f>
        <v/>
      </c>
    </row>
    <row r="2319" spans="2:39" ht="15" customHeight="1" x14ac:dyDescent="0.3">
      <c r="B2319">
        <v>231.6</v>
      </c>
      <c r="C2319" t="str">
        <f>IFERROR(VLOOKUP(B2319,'Pre-Summary'!$DI$6:$DM$23,4,FALSE),"")</f>
        <v/>
      </c>
      <c r="D2319" s="10" t="str">
        <f>IFERROR(VLOOKUP(B2319,'Pre-Summary'!$AT$6:$AX$14,5,FALSE),D2318)</f>
        <v>Wolfe v3: went back to modified wolfe + EDTA and switched CuSO4 to CUCl2</v>
      </c>
      <c r="E2319" s="10" t="str">
        <f>IFERROR(VLOOKUP(B2319,'Pre-Summary'!$AT$6:$AX$15,4,FALSE),"")</f>
        <v/>
      </c>
      <c r="F2319">
        <f>IFERROR(VLOOKUP(B2319,'Pre-Summary'!$AL$6:$AQ$13,6,FALSE),F2318)</f>
        <v>5.9405263157894746E-2</v>
      </c>
      <c r="G2319" t="str">
        <f>IFERROR(VLOOKUP(B2319,'Pre-Summary'!$AE$6:$AJ$85,3,FALSE),"")</f>
        <v/>
      </c>
      <c r="H2319" t="str">
        <f>IFERROR(VLOOKUP(B2319,'Pre-Summary'!$AE$6:$AJ$85,4,FALSE),"")</f>
        <v/>
      </c>
      <c r="I2319" t="str">
        <f>IFERROR(VLOOKUP(B2319,'Pre-Summary'!$AE$6:$AJ$85,5,FALSE),"")</f>
        <v/>
      </c>
      <c r="J2319" s="45" t="str">
        <f>IFERROR(VLOOKUP(B2319,'Pre-Summary'!$AE$6:$AJ$85,6, FALSE),"")</f>
        <v/>
      </c>
      <c r="K2319" s="45" t="str">
        <f>IFERROR(VLOOKUP(B2319,'Pre-Summary'!$DE$6:$DG$61,3,FALSE),"")</f>
        <v/>
      </c>
      <c r="L2319" s="45" t="str">
        <f>IFERROR(VLOOKUP(B2319,'Pre-Summary'!$CU$6:$CW$36,3,FALSE),"")</f>
        <v/>
      </c>
      <c r="M2319" s="45" t="str">
        <f>IFERROR(VLOOKUP(B2319,'Pre-Summary'!$BW$6:$BY$58,2,FALSE),"")</f>
        <v/>
      </c>
      <c r="N2319" s="45" t="str">
        <f>IFERROR(VLOOKUP(B2319,'Pre-Summary'!$CD$6:$CF$64,2,FALSE),"")</f>
        <v/>
      </c>
      <c r="O2319" s="99">
        <f>IFERROR(VLOOKUP(B2319,'Pre-Summary'!$BO$6:$BQ$48,3, FALSE),O2318)</f>
        <v>1.508</v>
      </c>
      <c r="P2319" s="99">
        <f>IFERROR(VLOOKUP(B2319,'Pre-Summary'!$BS$6:$BU$35,3,FALSE),P2318)</f>
        <v>0.379</v>
      </c>
      <c r="Q2319" s="54">
        <f t="shared" si="108"/>
        <v>3.9788918205804751</v>
      </c>
      <c r="R2319" s="53">
        <f>IFERROR(VLOOKUP(B2319,'Pre-Summary'!$BG$6:$BM$44,7,FALSE),R2320)</f>
        <v>9.7948682664336664E-2</v>
      </c>
      <c r="S2319" s="53">
        <f>IFERROR(VLOOKUP(B2319,'Pre-Summary'!$BG$6:$BM$44,6,FALSE),S2320)</f>
        <v>0.10614035087720526</v>
      </c>
      <c r="T2319" s="45" t="str">
        <f>IFERROR(VLOOKUP(B2319,'Pre-Summary'!$Y$6:$AC$83, 3,FALSE),"")</f>
        <v/>
      </c>
      <c r="U2319" s="45" t="str">
        <f>IFERROR(VLOOKUP(B2319,'Pre-Summary'!$Y$6:$AC$83, 4,FALSE),"")</f>
        <v/>
      </c>
      <c r="V2319" t="str">
        <f>IFERROR(VLOOKUP(B2319,'Pre-Summary'!$Y$6:$AC$83, 5,FALSE),"")</f>
        <v/>
      </c>
      <c r="W2319" s="45" t="str">
        <f>IFERROR(VLOOKUP(B2319,'Pre-Summary'!$Y$6:$AD$83,6,FALSE),"")</f>
        <v/>
      </c>
      <c r="X2319" t="str">
        <f>IFERROR(VLOOKUP('Pre-Summary'!$DB$6:$DD$63,3,FALSE),"")</f>
        <v/>
      </c>
      <c r="Y2319" t="str">
        <f>IFERROR(VLOOKUP(B2319,'Pre-Summary'!$CR$6:$CT$36,3,FALSE),"")</f>
        <v/>
      </c>
      <c r="Z2319" s="45" t="str">
        <f>IFERROR(VLOOKUP(B2319,'Pre-Summary'!$BZ$6:$CB$63,2,FALSE),"")</f>
        <v/>
      </c>
      <c r="AA2319" s="45" t="str">
        <f>IFERROR(VLOOKUP(B2319,'Pre-Summary'!$CG$6:$CI$70,2,FALSE),"")</f>
        <v/>
      </c>
      <c r="AB2319" s="99">
        <f>IFERROR(VLOOKUP(B2319,'Pre-Summary'!$A$6:$P$178,9,FALSE),AB2320)</f>
        <v>0.3510413030600153</v>
      </c>
      <c r="AC2319" s="10">
        <f>IFERROR(VLOOKUP(Summary!B2319,'Pre-Summary'!$A$6:$P$184,5, FALSE)/100,AC2320)</f>
        <v>0.95838633333333334</v>
      </c>
      <c r="AD2319" s="10">
        <f>IFERROR(VLOOKUP(Summary!B2319,'Pre-Summary'!$A$6:$P$184,3, FALSE)/100,AD2320)</f>
        <v>2.8433333333333331E-2</v>
      </c>
      <c r="AE2319" s="10">
        <f>IFERROR(VLOOKUP(Summary!B2319,'Pre-Summary'!$A$6:$P$184,7, FALSE)/100,AE2320)</f>
        <v>1.3180333333333334E-2</v>
      </c>
      <c r="AF2319" s="99">
        <f t="shared" si="109"/>
        <v>9.9812743836731003E-3</v>
      </c>
      <c r="AG2319" s="99">
        <f t="shared" si="110"/>
        <v>4.6268413880986882E-3</v>
      </c>
      <c r="AH2319" s="10" t="str">
        <f>IFERROR(VLOOKUP(B2319,'Pre-Summary'!$AZ$6:$BE$65,3,FALSE),"")</f>
        <v/>
      </c>
      <c r="AI2319" s="10" t="str">
        <f>IFERROR(VLOOKUP(B2319,'Pre-Summary'!$AZ$6:$BE$65,5,FALSE),"")</f>
        <v/>
      </c>
      <c r="AJ2319" s="10" t="str">
        <f>IFERROR(VLOOKUP(B2319,'Pre-Summary'!$AZ$6:$BE$65,4,FALSE),"")</f>
        <v/>
      </c>
      <c r="AK2319" s="10" t="str">
        <f>IFERROR(VLOOKUP(B2319,'Pre-Summary'!$AZ$6:$BE$65,6,FALSE),"")</f>
        <v/>
      </c>
      <c r="AL2319" s="10" t="str">
        <f>IFERROR(VLOOKUP(B2319,'Pre-Summary'!$BG$6:$BL$44,3,FALSE),"")</f>
        <v/>
      </c>
      <c r="AM2319" s="10" t="str">
        <f>IFERROR(VLOOKUP(B2319,'Pre-Summary'!$BG$6:$BL$44,4,FALSE),"")</f>
        <v/>
      </c>
    </row>
    <row r="2320" spans="2:39" ht="15" customHeight="1" x14ac:dyDescent="0.3">
      <c r="B2320">
        <v>231.7</v>
      </c>
      <c r="C2320" t="str">
        <f>IFERROR(VLOOKUP(B2320,'Pre-Summary'!$DI$6:$DM$23,4,FALSE),"")</f>
        <v/>
      </c>
      <c r="D2320" s="10" t="str">
        <f>IFERROR(VLOOKUP(B2320,'Pre-Summary'!$AT$6:$AX$14,5,FALSE),D2319)</f>
        <v>Wolfe v3: went back to modified wolfe + EDTA and switched CuSO4 to CUCl2</v>
      </c>
      <c r="E2320" s="10" t="str">
        <f>IFERROR(VLOOKUP(B2320,'Pre-Summary'!$AT$6:$AX$15,4,FALSE),"")</f>
        <v/>
      </c>
      <c r="F2320">
        <f>IFERROR(VLOOKUP(B2320,'Pre-Summary'!$AL$6:$AQ$13,6,FALSE),F2319)</f>
        <v>5.9405263157894746E-2</v>
      </c>
      <c r="G2320" t="str">
        <f>IFERROR(VLOOKUP(B2320,'Pre-Summary'!$AE$6:$AJ$85,3,FALSE),"")</f>
        <v/>
      </c>
      <c r="H2320" t="str">
        <f>IFERROR(VLOOKUP(B2320,'Pre-Summary'!$AE$6:$AJ$85,4,FALSE),"")</f>
        <v/>
      </c>
      <c r="I2320" t="str">
        <f>IFERROR(VLOOKUP(B2320,'Pre-Summary'!$AE$6:$AJ$85,5,FALSE),"")</f>
        <v/>
      </c>
      <c r="J2320" s="45" t="str">
        <f>IFERROR(VLOOKUP(B2320,'Pre-Summary'!$AE$6:$AJ$85,6, FALSE),"")</f>
        <v/>
      </c>
      <c r="K2320" s="45" t="str">
        <f>IFERROR(VLOOKUP(B2320,'Pre-Summary'!$DE$6:$DG$61,3,FALSE),"")</f>
        <v/>
      </c>
      <c r="L2320" s="45" t="str">
        <f>IFERROR(VLOOKUP(B2320,'Pre-Summary'!$CU$6:$CW$36,3,FALSE),"")</f>
        <v/>
      </c>
      <c r="M2320" s="45" t="str">
        <f>IFERROR(VLOOKUP(B2320,'Pre-Summary'!$BW$6:$BY$58,2,FALSE),"")</f>
        <v/>
      </c>
      <c r="N2320" s="45" t="str">
        <f>IFERROR(VLOOKUP(B2320,'Pre-Summary'!$CD$6:$CF$64,2,FALSE),"")</f>
        <v/>
      </c>
      <c r="O2320" s="99">
        <f>IFERROR(VLOOKUP(B2320,'Pre-Summary'!$BO$6:$BQ$48,3, FALSE),O2319)</f>
        <v>1.508</v>
      </c>
      <c r="P2320" s="99">
        <f>IFERROR(VLOOKUP(B2320,'Pre-Summary'!$BS$6:$BU$35,3,FALSE),P2319)</f>
        <v>0.379</v>
      </c>
      <c r="Q2320" s="54">
        <f t="shared" si="108"/>
        <v>3.9788918205804751</v>
      </c>
      <c r="R2320" s="53">
        <f>IFERROR(VLOOKUP(B2320,'Pre-Summary'!$BG$6:$BM$44,7,FALSE),R2321)</f>
        <v>9.7948682664336664E-2</v>
      </c>
      <c r="S2320" s="53">
        <f>IFERROR(VLOOKUP(B2320,'Pre-Summary'!$BG$6:$BM$44,6,FALSE),S2321)</f>
        <v>0.10614035087720526</v>
      </c>
      <c r="T2320" s="45" t="str">
        <f>IFERROR(VLOOKUP(B2320,'Pre-Summary'!$Y$6:$AC$83, 3,FALSE),"")</f>
        <v/>
      </c>
      <c r="U2320" s="45" t="str">
        <f>IFERROR(VLOOKUP(B2320,'Pre-Summary'!$Y$6:$AC$83, 4,FALSE),"")</f>
        <v/>
      </c>
      <c r="V2320" t="str">
        <f>IFERROR(VLOOKUP(B2320,'Pre-Summary'!$Y$6:$AC$83, 5,FALSE),"")</f>
        <v/>
      </c>
      <c r="W2320" s="45" t="str">
        <f>IFERROR(VLOOKUP(B2320,'Pre-Summary'!$Y$6:$AD$83,6,FALSE),"")</f>
        <v/>
      </c>
      <c r="X2320" t="str">
        <f>IFERROR(VLOOKUP('Pre-Summary'!$DB$6:$DD$63,3,FALSE),"")</f>
        <v/>
      </c>
      <c r="Y2320" t="str">
        <f>IFERROR(VLOOKUP(B2320,'Pre-Summary'!$CR$6:$CT$36,3,FALSE),"")</f>
        <v/>
      </c>
      <c r="Z2320" s="45" t="str">
        <f>IFERROR(VLOOKUP(B2320,'Pre-Summary'!$BZ$6:$CB$63,2,FALSE),"")</f>
        <v/>
      </c>
      <c r="AA2320" s="45" t="str">
        <f>IFERROR(VLOOKUP(B2320,'Pre-Summary'!$CG$6:$CI$70,2,FALSE),"")</f>
        <v/>
      </c>
      <c r="AB2320" s="99">
        <f>IFERROR(VLOOKUP(B2320,'Pre-Summary'!$A$6:$P$178,9,FALSE),AB2321)</f>
        <v>0.3510413030600153</v>
      </c>
      <c r="AC2320" s="10">
        <f>IFERROR(VLOOKUP(Summary!B2320,'Pre-Summary'!$A$6:$P$184,5, FALSE)/100,AC2321)</f>
        <v>0.95838633333333334</v>
      </c>
      <c r="AD2320" s="10">
        <f>IFERROR(VLOOKUP(Summary!B2320,'Pre-Summary'!$A$6:$P$184,3, FALSE)/100,AD2321)</f>
        <v>2.8433333333333331E-2</v>
      </c>
      <c r="AE2320" s="10">
        <f>IFERROR(VLOOKUP(Summary!B2320,'Pre-Summary'!$A$6:$P$184,7, FALSE)/100,AE2321)</f>
        <v>1.3180333333333334E-2</v>
      </c>
      <c r="AF2320" s="99">
        <f t="shared" si="109"/>
        <v>9.9812743836731003E-3</v>
      </c>
      <c r="AG2320" s="99">
        <f t="shared" si="110"/>
        <v>4.6268413880986882E-3</v>
      </c>
      <c r="AH2320" s="10" t="str">
        <f>IFERROR(VLOOKUP(B2320,'Pre-Summary'!$AZ$6:$BE$65,3,FALSE),"")</f>
        <v/>
      </c>
      <c r="AI2320" s="10" t="str">
        <f>IFERROR(VLOOKUP(B2320,'Pre-Summary'!$AZ$6:$BE$65,5,FALSE),"")</f>
        <v/>
      </c>
      <c r="AJ2320" s="10" t="str">
        <f>IFERROR(VLOOKUP(B2320,'Pre-Summary'!$AZ$6:$BE$65,4,FALSE),"")</f>
        <v/>
      </c>
      <c r="AK2320" s="10" t="str">
        <f>IFERROR(VLOOKUP(B2320,'Pre-Summary'!$AZ$6:$BE$65,6,FALSE),"")</f>
        <v/>
      </c>
      <c r="AL2320" s="10" t="str">
        <f>IFERROR(VLOOKUP(B2320,'Pre-Summary'!$BG$6:$BL$44,3,FALSE),"")</f>
        <v/>
      </c>
      <c r="AM2320" s="10" t="str">
        <f>IFERROR(VLOOKUP(B2320,'Pre-Summary'!$BG$6:$BL$44,4,FALSE),"")</f>
        <v/>
      </c>
    </row>
    <row r="2321" spans="2:39" ht="15" customHeight="1" x14ac:dyDescent="0.3">
      <c r="B2321">
        <v>231.8</v>
      </c>
      <c r="C2321" t="str">
        <f>IFERROR(VLOOKUP(B2321,'Pre-Summary'!$DI$6:$DM$23,4,FALSE),"")</f>
        <v/>
      </c>
      <c r="D2321" s="10" t="str">
        <f>IFERROR(VLOOKUP(B2321,'Pre-Summary'!$AT$6:$AX$14,5,FALSE),D2320)</f>
        <v>Wolfe v3: went back to modified wolfe + EDTA and switched CuSO4 to CUCl2</v>
      </c>
      <c r="E2321" s="10" t="str">
        <f>IFERROR(VLOOKUP(B2321,'Pre-Summary'!$AT$6:$AX$15,4,FALSE),"")</f>
        <v/>
      </c>
      <c r="F2321">
        <f>IFERROR(VLOOKUP(B2321,'Pre-Summary'!$AL$6:$AQ$13,6,FALSE),F2320)</f>
        <v>5.9405263157894746E-2</v>
      </c>
      <c r="G2321" t="str">
        <f>IFERROR(VLOOKUP(B2321,'Pre-Summary'!$AE$6:$AJ$85,3,FALSE),"")</f>
        <v/>
      </c>
      <c r="H2321" t="str">
        <f>IFERROR(VLOOKUP(B2321,'Pre-Summary'!$AE$6:$AJ$85,4,FALSE),"")</f>
        <v/>
      </c>
      <c r="I2321" t="str">
        <f>IFERROR(VLOOKUP(B2321,'Pre-Summary'!$AE$6:$AJ$85,5,FALSE),"")</f>
        <v/>
      </c>
      <c r="J2321" s="45" t="str">
        <f>IFERROR(VLOOKUP(B2321,'Pre-Summary'!$AE$6:$AJ$85,6, FALSE),"")</f>
        <v/>
      </c>
      <c r="K2321" s="45" t="str">
        <f>IFERROR(VLOOKUP(B2321,'Pre-Summary'!$DE$6:$DG$61,3,FALSE),"")</f>
        <v/>
      </c>
      <c r="L2321" s="45" t="str">
        <f>IFERROR(VLOOKUP(B2321,'Pre-Summary'!$CU$6:$CW$36,3,FALSE),"")</f>
        <v/>
      </c>
      <c r="M2321" s="45" t="str">
        <f>IFERROR(VLOOKUP(B2321,'Pre-Summary'!$BW$6:$BY$58,2,FALSE),"")</f>
        <v/>
      </c>
      <c r="N2321" s="45" t="str">
        <f>IFERROR(VLOOKUP(B2321,'Pre-Summary'!$CD$6:$CF$64,2,FALSE),"")</f>
        <v/>
      </c>
      <c r="O2321" s="99">
        <f>IFERROR(VLOOKUP(B2321,'Pre-Summary'!$BO$6:$BQ$48,3, FALSE),O2320)</f>
        <v>1.508</v>
      </c>
      <c r="P2321" s="99">
        <f>IFERROR(VLOOKUP(B2321,'Pre-Summary'!$BS$6:$BU$35,3,FALSE),P2320)</f>
        <v>0.379</v>
      </c>
      <c r="Q2321" s="54">
        <f t="shared" si="108"/>
        <v>3.9788918205804751</v>
      </c>
      <c r="R2321" s="53">
        <f>IFERROR(VLOOKUP(B2321,'Pre-Summary'!$BG$6:$BM$44,7,FALSE),R2322)</f>
        <v>9.7948682664336664E-2</v>
      </c>
      <c r="S2321" s="53">
        <f>IFERROR(VLOOKUP(B2321,'Pre-Summary'!$BG$6:$BM$44,6,FALSE),S2322)</f>
        <v>0.10614035087720526</v>
      </c>
      <c r="T2321" s="45" t="str">
        <f>IFERROR(VLOOKUP(B2321,'Pre-Summary'!$Y$6:$AC$83, 3,FALSE),"")</f>
        <v/>
      </c>
      <c r="U2321" s="45" t="str">
        <f>IFERROR(VLOOKUP(B2321,'Pre-Summary'!$Y$6:$AC$83, 4,FALSE),"")</f>
        <v/>
      </c>
      <c r="V2321" t="str">
        <f>IFERROR(VLOOKUP(B2321,'Pre-Summary'!$Y$6:$AC$83, 5,FALSE),"")</f>
        <v/>
      </c>
      <c r="W2321" s="45" t="str">
        <f>IFERROR(VLOOKUP(B2321,'Pre-Summary'!$Y$6:$AD$83,6,FALSE),"")</f>
        <v/>
      </c>
      <c r="X2321" t="str">
        <f>IFERROR(VLOOKUP('Pre-Summary'!$DB$6:$DD$63,3,FALSE),"")</f>
        <v/>
      </c>
      <c r="Y2321" t="str">
        <f>IFERROR(VLOOKUP(B2321,'Pre-Summary'!$CR$6:$CT$36,3,FALSE),"")</f>
        <v/>
      </c>
      <c r="Z2321" s="45" t="str">
        <f>IFERROR(VLOOKUP(B2321,'Pre-Summary'!$BZ$6:$CB$63,2,FALSE),"")</f>
        <v/>
      </c>
      <c r="AA2321" s="45" t="str">
        <f>IFERROR(VLOOKUP(B2321,'Pre-Summary'!$CG$6:$CI$70,2,FALSE),"")</f>
        <v/>
      </c>
      <c r="AB2321" s="99">
        <f>IFERROR(VLOOKUP(B2321,'Pre-Summary'!$A$6:$P$178,9,FALSE),AB2322)</f>
        <v>0.3510413030600153</v>
      </c>
      <c r="AC2321" s="10">
        <f>IFERROR(VLOOKUP(Summary!B2321,'Pre-Summary'!$A$6:$P$184,5, FALSE)/100,AC2322)</f>
        <v>0.95838633333333334</v>
      </c>
      <c r="AD2321" s="10">
        <f>IFERROR(VLOOKUP(Summary!B2321,'Pre-Summary'!$A$6:$P$184,3, FALSE)/100,AD2322)</f>
        <v>2.8433333333333331E-2</v>
      </c>
      <c r="AE2321" s="10">
        <f>IFERROR(VLOOKUP(Summary!B2321,'Pre-Summary'!$A$6:$P$184,7, FALSE)/100,AE2322)</f>
        <v>1.3180333333333334E-2</v>
      </c>
      <c r="AF2321" s="99">
        <f t="shared" si="109"/>
        <v>9.9812743836731003E-3</v>
      </c>
      <c r="AG2321" s="99">
        <f t="shared" si="110"/>
        <v>4.6268413880986882E-3</v>
      </c>
      <c r="AH2321" s="10" t="str">
        <f>IFERROR(VLOOKUP(B2321,'Pre-Summary'!$AZ$6:$BE$65,3,FALSE),"")</f>
        <v/>
      </c>
      <c r="AI2321" s="10" t="str">
        <f>IFERROR(VLOOKUP(B2321,'Pre-Summary'!$AZ$6:$BE$65,5,FALSE),"")</f>
        <v/>
      </c>
      <c r="AJ2321" s="10" t="str">
        <f>IFERROR(VLOOKUP(B2321,'Pre-Summary'!$AZ$6:$BE$65,4,FALSE),"")</f>
        <v/>
      </c>
      <c r="AK2321" s="10" t="str">
        <f>IFERROR(VLOOKUP(B2321,'Pre-Summary'!$AZ$6:$BE$65,6,FALSE),"")</f>
        <v/>
      </c>
      <c r="AL2321" s="10" t="str">
        <f>IFERROR(VLOOKUP(B2321,'Pre-Summary'!$BG$6:$BL$44,3,FALSE),"")</f>
        <v/>
      </c>
      <c r="AM2321" s="10" t="str">
        <f>IFERROR(VLOOKUP(B2321,'Pre-Summary'!$BG$6:$BL$44,4,FALSE),"")</f>
        <v/>
      </c>
    </row>
    <row r="2322" spans="2:39" ht="15" customHeight="1" x14ac:dyDescent="0.3">
      <c r="B2322">
        <v>231.9</v>
      </c>
      <c r="C2322" t="str">
        <f>IFERROR(VLOOKUP(B2322,'Pre-Summary'!$DI$6:$DM$23,4,FALSE),"")</f>
        <v/>
      </c>
      <c r="D2322" s="10" t="str">
        <f>IFERROR(VLOOKUP(B2322,'Pre-Summary'!$AT$6:$AX$14,5,FALSE),D2321)</f>
        <v>Wolfe v3: went back to modified wolfe + EDTA and switched CuSO4 to CUCl2</v>
      </c>
      <c r="E2322" s="10" t="str">
        <f>IFERROR(VLOOKUP(B2322,'Pre-Summary'!$AT$6:$AX$15,4,FALSE),"")</f>
        <v/>
      </c>
      <c r="F2322">
        <f>IFERROR(VLOOKUP(B2322,'Pre-Summary'!$AL$6:$AQ$13,6,FALSE),F2321)</f>
        <v>5.9405263157894746E-2</v>
      </c>
      <c r="G2322" t="str">
        <f>IFERROR(VLOOKUP(B2322,'Pre-Summary'!$AE$6:$AJ$85,3,FALSE),"")</f>
        <v/>
      </c>
      <c r="H2322" t="str">
        <f>IFERROR(VLOOKUP(B2322,'Pre-Summary'!$AE$6:$AJ$85,4,FALSE),"")</f>
        <v/>
      </c>
      <c r="I2322" t="str">
        <f>IFERROR(VLOOKUP(B2322,'Pre-Summary'!$AE$6:$AJ$85,5,FALSE),"")</f>
        <v/>
      </c>
      <c r="J2322" s="45" t="str">
        <f>IFERROR(VLOOKUP(B2322,'Pre-Summary'!$AE$6:$AJ$85,6, FALSE),"")</f>
        <v/>
      </c>
      <c r="K2322" s="45" t="str">
        <f>IFERROR(VLOOKUP(B2322,'Pre-Summary'!$DE$6:$DG$61,3,FALSE),"")</f>
        <v/>
      </c>
      <c r="L2322" s="45" t="str">
        <f>IFERROR(VLOOKUP(B2322,'Pre-Summary'!$CU$6:$CW$36,3,FALSE),"")</f>
        <v/>
      </c>
      <c r="M2322" s="45" t="str">
        <f>IFERROR(VLOOKUP(B2322,'Pre-Summary'!$BW$6:$BY$58,2,FALSE),"")</f>
        <v/>
      </c>
      <c r="N2322" s="45" t="str">
        <f>IFERROR(VLOOKUP(B2322,'Pre-Summary'!$CD$6:$CF$64,2,FALSE),"")</f>
        <v/>
      </c>
      <c r="O2322" s="99">
        <f>IFERROR(VLOOKUP(B2322,'Pre-Summary'!$BO$6:$BQ$48,3, FALSE),O2321)</f>
        <v>1.508</v>
      </c>
      <c r="P2322" s="99">
        <f>IFERROR(VLOOKUP(B2322,'Pre-Summary'!$BS$6:$BU$35,3,FALSE),P2321)</f>
        <v>0.379</v>
      </c>
      <c r="Q2322" s="54">
        <f t="shared" si="108"/>
        <v>3.9788918205804751</v>
      </c>
      <c r="R2322" s="53">
        <f>IFERROR(VLOOKUP(B2322,'Pre-Summary'!$BG$6:$BM$44,7,FALSE),R2323)</f>
        <v>9.7948682664336664E-2</v>
      </c>
      <c r="S2322" s="53">
        <f>IFERROR(VLOOKUP(B2322,'Pre-Summary'!$BG$6:$BM$44,6,FALSE),S2323)</f>
        <v>0.10614035087720526</v>
      </c>
      <c r="T2322" s="45" t="str">
        <f>IFERROR(VLOOKUP(B2322,'Pre-Summary'!$Y$6:$AC$83, 3,FALSE),"")</f>
        <v/>
      </c>
      <c r="U2322" s="45" t="str">
        <f>IFERROR(VLOOKUP(B2322,'Pre-Summary'!$Y$6:$AC$83, 4,FALSE),"")</f>
        <v/>
      </c>
      <c r="V2322" t="str">
        <f>IFERROR(VLOOKUP(B2322,'Pre-Summary'!$Y$6:$AC$83, 5,FALSE),"")</f>
        <v/>
      </c>
      <c r="W2322" s="45" t="str">
        <f>IFERROR(VLOOKUP(B2322,'Pre-Summary'!$Y$6:$AD$83,6,FALSE),"")</f>
        <v/>
      </c>
      <c r="X2322" t="str">
        <f>IFERROR(VLOOKUP('Pre-Summary'!$DB$6:$DD$63,3,FALSE),"")</f>
        <v/>
      </c>
      <c r="Y2322" t="str">
        <f>IFERROR(VLOOKUP(B2322,'Pre-Summary'!$CR$6:$CT$36,3,FALSE),"")</f>
        <v/>
      </c>
      <c r="Z2322" s="45" t="str">
        <f>IFERROR(VLOOKUP(B2322,'Pre-Summary'!$BZ$6:$CB$63,2,FALSE),"")</f>
        <v/>
      </c>
      <c r="AA2322" s="45" t="str">
        <f>IFERROR(VLOOKUP(B2322,'Pre-Summary'!$CG$6:$CI$70,2,FALSE),"")</f>
        <v/>
      </c>
      <c r="AB2322" s="99">
        <f>IFERROR(VLOOKUP(B2322,'Pre-Summary'!$A$6:$P$178,9,FALSE),AB2323)</f>
        <v>0.3510413030600153</v>
      </c>
      <c r="AC2322" s="10">
        <f>IFERROR(VLOOKUP(Summary!B2322,'Pre-Summary'!$A$6:$P$184,5, FALSE)/100,AC2323)</f>
        <v>0.95838633333333334</v>
      </c>
      <c r="AD2322" s="10">
        <f>IFERROR(VLOOKUP(Summary!B2322,'Pre-Summary'!$A$6:$P$184,3, FALSE)/100,AD2323)</f>
        <v>2.8433333333333331E-2</v>
      </c>
      <c r="AE2322" s="10">
        <f>IFERROR(VLOOKUP(Summary!B2322,'Pre-Summary'!$A$6:$P$184,7, FALSE)/100,AE2323)</f>
        <v>1.3180333333333334E-2</v>
      </c>
      <c r="AF2322" s="99">
        <f t="shared" si="109"/>
        <v>9.9812743836731003E-3</v>
      </c>
      <c r="AG2322" s="99">
        <f t="shared" si="110"/>
        <v>4.6268413880986882E-3</v>
      </c>
      <c r="AH2322" s="10" t="str">
        <f>IFERROR(VLOOKUP(B2322,'Pre-Summary'!$AZ$6:$BE$65,3,FALSE),"")</f>
        <v/>
      </c>
      <c r="AI2322" s="10" t="str">
        <f>IFERROR(VLOOKUP(B2322,'Pre-Summary'!$AZ$6:$BE$65,5,FALSE),"")</f>
        <v/>
      </c>
      <c r="AJ2322" s="10" t="str">
        <f>IFERROR(VLOOKUP(B2322,'Pre-Summary'!$AZ$6:$BE$65,4,FALSE),"")</f>
        <v/>
      </c>
      <c r="AK2322" s="10" t="str">
        <f>IFERROR(VLOOKUP(B2322,'Pre-Summary'!$AZ$6:$BE$65,6,FALSE),"")</f>
        <v/>
      </c>
      <c r="AL2322" s="10" t="str">
        <f>IFERROR(VLOOKUP(B2322,'Pre-Summary'!$BG$6:$BL$44,3,FALSE),"")</f>
        <v/>
      </c>
      <c r="AM2322" s="10" t="str">
        <f>IFERROR(VLOOKUP(B2322,'Pre-Summary'!$BG$6:$BL$44,4,FALSE),"")</f>
        <v/>
      </c>
    </row>
    <row r="2323" spans="2:39" ht="15" customHeight="1" x14ac:dyDescent="0.3">
      <c r="B2323">
        <v>232</v>
      </c>
      <c r="C2323" t="str">
        <f>IFERROR(VLOOKUP(B2323,'Pre-Summary'!$DI$6:$DM$23,4,FALSE),"")</f>
        <v/>
      </c>
      <c r="D2323" s="10" t="str">
        <f>IFERROR(VLOOKUP(B2323,'Pre-Summary'!$AT$6:$AX$14,5,FALSE),D2322)</f>
        <v>Wolfe v3: went back to modified wolfe + EDTA and switched CuSO4 to CUCl2</v>
      </c>
      <c r="E2323" s="10" t="str">
        <f>IFERROR(VLOOKUP(B2323,'Pre-Summary'!$AT$6:$AX$15,4,FALSE),"")</f>
        <v/>
      </c>
      <c r="F2323">
        <f>IFERROR(VLOOKUP(B2323,'Pre-Summary'!$AL$6:$AQ$13,6,FALSE),F2322)</f>
        <v>5.9405263157894746E-2</v>
      </c>
      <c r="G2323" t="str">
        <f>IFERROR(VLOOKUP(B2323,'Pre-Summary'!$AE$6:$AJ$85,3,FALSE),"")</f>
        <v/>
      </c>
      <c r="H2323" t="str">
        <f>IFERROR(VLOOKUP(B2323,'Pre-Summary'!$AE$6:$AJ$85,4,FALSE),"")</f>
        <v/>
      </c>
      <c r="I2323" t="str">
        <f>IFERROR(VLOOKUP(B2323,'Pre-Summary'!$AE$6:$AJ$85,5,FALSE),"")</f>
        <v/>
      </c>
      <c r="J2323" s="45" t="str">
        <f>IFERROR(VLOOKUP(B2323,'Pre-Summary'!$AE$6:$AJ$85,6, FALSE),"")</f>
        <v/>
      </c>
      <c r="K2323" s="45" t="str">
        <f>IFERROR(VLOOKUP(B2323,'Pre-Summary'!$DE$6:$DG$61,3,FALSE),"")</f>
        <v/>
      </c>
      <c r="L2323" s="45" t="str">
        <f>IFERROR(VLOOKUP(B2323,'Pre-Summary'!$CU$6:$CW$36,3,FALSE),"")</f>
        <v/>
      </c>
      <c r="M2323" s="45" t="str">
        <f>IFERROR(VLOOKUP(B2323,'Pre-Summary'!$BW$6:$BY$58,2,FALSE),"")</f>
        <v/>
      </c>
      <c r="N2323" s="45" t="str">
        <f>IFERROR(VLOOKUP(B2323,'Pre-Summary'!$CD$6:$CF$64,2,FALSE),"")</f>
        <v/>
      </c>
      <c r="O2323" s="99">
        <f>IFERROR(VLOOKUP(B2323,'Pre-Summary'!$BO$6:$BQ$48,3, FALSE),O2322)</f>
        <v>1.508</v>
      </c>
      <c r="P2323" s="99">
        <f>IFERROR(VLOOKUP(B2323,'Pre-Summary'!$BS$6:$BU$35,3,FALSE),P2322)</f>
        <v>0.379</v>
      </c>
      <c r="Q2323" s="54">
        <f t="shared" si="108"/>
        <v>3.9788918205804751</v>
      </c>
      <c r="R2323" s="53">
        <f>IFERROR(VLOOKUP(B2323,'Pre-Summary'!$BG$6:$BM$44,7,FALSE),R2324)</f>
        <v>9.7948682664336664E-2</v>
      </c>
      <c r="S2323" s="53">
        <f>IFERROR(VLOOKUP(B2323,'Pre-Summary'!$BG$6:$BM$44,6,FALSE),S2324)</f>
        <v>0.10614035087720526</v>
      </c>
      <c r="T2323" s="45" t="str">
        <f>IFERROR(VLOOKUP(B2323,'Pre-Summary'!$Y$6:$AC$83, 3,FALSE),"")</f>
        <v/>
      </c>
      <c r="U2323" s="45" t="str">
        <f>IFERROR(VLOOKUP(B2323,'Pre-Summary'!$Y$6:$AC$83, 4,FALSE),"")</f>
        <v/>
      </c>
      <c r="V2323" t="str">
        <f>IFERROR(VLOOKUP(B2323,'Pre-Summary'!$Y$6:$AC$83, 5,FALSE),"")</f>
        <v/>
      </c>
      <c r="W2323" s="45" t="str">
        <f>IFERROR(VLOOKUP(B2323,'Pre-Summary'!$Y$6:$AD$83,6,FALSE),"")</f>
        <v/>
      </c>
      <c r="X2323" t="str">
        <f>IFERROR(VLOOKUP('Pre-Summary'!$DB$6:$DD$63,3,FALSE),"")</f>
        <v/>
      </c>
      <c r="Y2323" t="str">
        <f>IFERROR(VLOOKUP(B2323,'Pre-Summary'!$CR$6:$CT$36,3,FALSE),"")</f>
        <v/>
      </c>
      <c r="Z2323" s="45" t="str">
        <f>IFERROR(VLOOKUP(B2323,'Pre-Summary'!$BZ$6:$CB$63,2,FALSE),"")</f>
        <v/>
      </c>
      <c r="AA2323" s="45" t="str">
        <f>IFERROR(VLOOKUP(B2323,'Pre-Summary'!$CG$6:$CI$70,2,FALSE),"")</f>
        <v/>
      </c>
      <c r="AB2323" s="99">
        <f>IFERROR(VLOOKUP(B2323,'Pre-Summary'!$A$6:$P$178,9,FALSE),AB2324)</f>
        <v>0.3510413030600153</v>
      </c>
      <c r="AC2323" s="10">
        <f>IFERROR(VLOOKUP(Summary!B2323,'Pre-Summary'!$A$6:$P$184,5, FALSE)/100,AC2324)</f>
        <v>0.95838633333333334</v>
      </c>
      <c r="AD2323" s="10">
        <f>IFERROR(VLOOKUP(Summary!B2323,'Pre-Summary'!$A$6:$P$184,3, FALSE)/100,AD2324)</f>
        <v>2.8433333333333331E-2</v>
      </c>
      <c r="AE2323" s="10">
        <f>IFERROR(VLOOKUP(Summary!B2323,'Pre-Summary'!$A$6:$P$184,7, FALSE)/100,AE2324)</f>
        <v>1.3180333333333334E-2</v>
      </c>
      <c r="AF2323" s="99">
        <f t="shared" si="109"/>
        <v>9.9812743836731003E-3</v>
      </c>
      <c r="AG2323" s="99">
        <f t="shared" si="110"/>
        <v>4.6268413880986882E-3</v>
      </c>
      <c r="AH2323" s="10" t="str">
        <f>IFERROR(VLOOKUP(B2323,'Pre-Summary'!$AZ$6:$BE$65,3,FALSE),"")</f>
        <v/>
      </c>
      <c r="AI2323" s="10" t="str">
        <f>IFERROR(VLOOKUP(B2323,'Pre-Summary'!$AZ$6:$BE$65,5,FALSE),"")</f>
        <v/>
      </c>
      <c r="AJ2323" s="10" t="str">
        <f>IFERROR(VLOOKUP(B2323,'Pre-Summary'!$AZ$6:$BE$65,4,FALSE),"")</f>
        <v/>
      </c>
      <c r="AK2323" s="10" t="str">
        <f>IFERROR(VLOOKUP(B2323,'Pre-Summary'!$AZ$6:$BE$65,6,FALSE),"")</f>
        <v/>
      </c>
      <c r="AL2323" s="10" t="str">
        <f>IFERROR(VLOOKUP(B2323,'Pre-Summary'!$BG$6:$BL$44,3,FALSE),"")</f>
        <v/>
      </c>
      <c r="AM2323" s="10" t="str">
        <f>IFERROR(VLOOKUP(B2323,'Pre-Summary'!$BG$6:$BL$44,4,FALSE),"")</f>
        <v/>
      </c>
    </row>
    <row r="2324" spans="2:39" ht="15" customHeight="1" x14ac:dyDescent="0.3">
      <c r="B2324">
        <v>232.1</v>
      </c>
      <c r="C2324" t="str">
        <f>IFERROR(VLOOKUP(B2324,'Pre-Summary'!$DI$6:$DM$23,4,FALSE),"")</f>
        <v/>
      </c>
      <c r="D2324" s="10" t="str">
        <f>IFERROR(VLOOKUP(B2324,'Pre-Summary'!$AT$6:$AX$14,5,FALSE),D2323)</f>
        <v>Wolfe v3: went back to modified wolfe + EDTA and switched CuSO4 to CUCl2</v>
      </c>
      <c r="E2324" s="10" t="str">
        <f>IFERROR(VLOOKUP(B2324,'Pre-Summary'!$AT$6:$AX$15,4,FALSE),"")</f>
        <v/>
      </c>
      <c r="F2324">
        <f>IFERROR(VLOOKUP(B2324,'Pre-Summary'!$AL$6:$AQ$13,6,FALSE),F2323)</f>
        <v>5.9405263157894746E-2</v>
      </c>
      <c r="G2324" t="str">
        <f>IFERROR(VLOOKUP(B2324,'Pre-Summary'!$AE$6:$AJ$85,3,FALSE),"")</f>
        <v/>
      </c>
      <c r="H2324" t="str">
        <f>IFERROR(VLOOKUP(B2324,'Pre-Summary'!$AE$6:$AJ$85,4,FALSE),"")</f>
        <v/>
      </c>
      <c r="I2324" t="str">
        <f>IFERROR(VLOOKUP(B2324,'Pre-Summary'!$AE$6:$AJ$85,5,FALSE),"")</f>
        <v/>
      </c>
      <c r="J2324" s="45" t="str">
        <f>IFERROR(VLOOKUP(B2324,'Pre-Summary'!$AE$6:$AJ$85,6, FALSE),"")</f>
        <v/>
      </c>
      <c r="K2324" s="45" t="str">
        <f>IFERROR(VLOOKUP(B2324,'Pre-Summary'!$DE$6:$DG$61,3,FALSE),"")</f>
        <v/>
      </c>
      <c r="L2324" s="45" t="str">
        <f>IFERROR(VLOOKUP(B2324,'Pre-Summary'!$CU$6:$CW$36,3,FALSE),"")</f>
        <v/>
      </c>
      <c r="M2324" s="45" t="str">
        <f>IFERROR(VLOOKUP(B2324,'Pre-Summary'!$BW$6:$BY$58,2,FALSE),"")</f>
        <v/>
      </c>
      <c r="N2324" s="45" t="str">
        <f>IFERROR(VLOOKUP(B2324,'Pre-Summary'!$CD$6:$CF$64,2,FALSE),"")</f>
        <v/>
      </c>
      <c r="O2324" s="99">
        <f>IFERROR(VLOOKUP(B2324,'Pre-Summary'!$BO$6:$BQ$48,3, FALSE),O2323)</f>
        <v>1.508</v>
      </c>
      <c r="P2324" s="99">
        <f>IFERROR(VLOOKUP(B2324,'Pre-Summary'!$BS$6:$BU$35,3,FALSE),P2323)</f>
        <v>0.379</v>
      </c>
      <c r="Q2324" s="54">
        <f t="shared" si="108"/>
        <v>3.9788918205804751</v>
      </c>
      <c r="R2324" s="53">
        <f>IFERROR(VLOOKUP(B2324,'Pre-Summary'!$BG$6:$BM$44,7,FALSE),R2325)</f>
        <v>9.7948682664336664E-2</v>
      </c>
      <c r="S2324" s="53">
        <f>IFERROR(VLOOKUP(B2324,'Pre-Summary'!$BG$6:$BM$44,6,FALSE),S2325)</f>
        <v>0.10614035087720526</v>
      </c>
      <c r="T2324" s="45" t="str">
        <f>IFERROR(VLOOKUP(B2324,'Pre-Summary'!$Y$6:$AC$83, 3,FALSE),"")</f>
        <v/>
      </c>
      <c r="U2324" s="45" t="str">
        <f>IFERROR(VLOOKUP(B2324,'Pre-Summary'!$Y$6:$AC$83, 4,FALSE),"")</f>
        <v/>
      </c>
      <c r="V2324" t="str">
        <f>IFERROR(VLOOKUP(B2324,'Pre-Summary'!$Y$6:$AC$83, 5,FALSE),"")</f>
        <v/>
      </c>
      <c r="W2324" s="45" t="str">
        <f>IFERROR(VLOOKUP(B2324,'Pre-Summary'!$Y$6:$AD$83,6,FALSE),"")</f>
        <v/>
      </c>
      <c r="X2324" t="str">
        <f>IFERROR(VLOOKUP('Pre-Summary'!$DB$6:$DD$63,3,FALSE),"")</f>
        <v/>
      </c>
      <c r="Y2324" t="str">
        <f>IFERROR(VLOOKUP(B2324,'Pre-Summary'!$CR$6:$CT$36,3,FALSE),"")</f>
        <v/>
      </c>
      <c r="Z2324" s="45" t="str">
        <f>IFERROR(VLOOKUP(B2324,'Pre-Summary'!$BZ$6:$CB$63,2,FALSE),"")</f>
        <v/>
      </c>
      <c r="AA2324" s="45" t="str">
        <f>IFERROR(VLOOKUP(B2324,'Pre-Summary'!$CG$6:$CI$70,2,FALSE),"")</f>
        <v/>
      </c>
      <c r="AB2324" s="99">
        <f>IFERROR(VLOOKUP(B2324,'Pre-Summary'!$A$6:$P$178,9,FALSE),AB2325)</f>
        <v>0.3510413030600153</v>
      </c>
      <c r="AC2324" s="10">
        <f>IFERROR(VLOOKUP(Summary!B2324,'Pre-Summary'!$A$6:$P$184,5, FALSE)/100,AC2325)</f>
        <v>0.95838633333333334</v>
      </c>
      <c r="AD2324" s="10">
        <f>IFERROR(VLOOKUP(Summary!B2324,'Pre-Summary'!$A$6:$P$184,3, FALSE)/100,AD2325)</f>
        <v>2.8433333333333331E-2</v>
      </c>
      <c r="AE2324" s="10">
        <f>IFERROR(VLOOKUP(Summary!B2324,'Pre-Summary'!$A$6:$P$184,7, FALSE)/100,AE2325)</f>
        <v>1.3180333333333334E-2</v>
      </c>
      <c r="AF2324" s="99">
        <f t="shared" si="109"/>
        <v>9.9812743836731003E-3</v>
      </c>
      <c r="AG2324" s="99">
        <f t="shared" si="110"/>
        <v>4.6268413880986882E-3</v>
      </c>
      <c r="AH2324" s="10" t="str">
        <f>IFERROR(VLOOKUP(B2324,'Pre-Summary'!$AZ$6:$BE$65,3,FALSE),"")</f>
        <v/>
      </c>
      <c r="AI2324" s="10" t="str">
        <f>IFERROR(VLOOKUP(B2324,'Pre-Summary'!$AZ$6:$BE$65,5,FALSE),"")</f>
        <v/>
      </c>
      <c r="AJ2324" s="10" t="str">
        <f>IFERROR(VLOOKUP(B2324,'Pre-Summary'!$AZ$6:$BE$65,4,FALSE),"")</f>
        <v/>
      </c>
      <c r="AK2324" s="10" t="str">
        <f>IFERROR(VLOOKUP(B2324,'Pre-Summary'!$AZ$6:$BE$65,6,FALSE),"")</f>
        <v/>
      </c>
      <c r="AL2324" s="10" t="str">
        <f>IFERROR(VLOOKUP(B2324,'Pre-Summary'!$BG$6:$BL$44,3,FALSE),"")</f>
        <v/>
      </c>
      <c r="AM2324" s="10" t="str">
        <f>IFERROR(VLOOKUP(B2324,'Pre-Summary'!$BG$6:$BL$44,4,FALSE),"")</f>
        <v/>
      </c>
    </row>
    <row r="2325" spans="2:39" ht="15" customHeight="1" x14ac:dyDescent="0.3">
      <c r="B2325">
        <v>232.2</v>
      </c>
      <c r="C2325" t="str">
        <f>IFERROR(VLOOKUP(B2325,'Pre-Summary'!$DI$6:$DM$23,4,FALSE),"")</f>
        <v/>
      </c>
      <c r="D2325" s="10" t="str">
        <f>IFERROR(VLOOKUP(B2325,'Pre-Summary'!$AT$6:$AX$14,5,FALSE),D2324)</f>
        <v>Wolfe v3: went back to modified wolfe + EDTA and switched CuSO4 to CUCl2</v>
      </c>
      <c r="E2325" s="10" t="str">
        <f>IFERROR(VLOOKUP(B2325,'Pre-Summary'!$AT$6:$AX$15,4,FALSE),"")</f>
        <v/>
      </c>
      <c r="F2325">
        <f>IFERROR(VLOOKUP(B2325,'Pre-Summary'!$AL$6:$AQ$13,6,FALSE),F2324)</f>
        <v>5.9405263157894746E-2</v>
      </c>
      <c r="G2325" t="str">
        <f>IFERROR(VLOOKUP(B2325,'Pre-Summary'!$AE$6:$AJ$85,3,FALSE),"")</f>
        <v/>
      </c>
      <c r="H2325" t="str">
        <f>IFERROR(VLOOKUP(B2325,'Pre-Summary'!$AE$6:$AJ$85,4,FALSE),"")</f>
        <v/>
      </c>
      <c r="I2325" t="str">
        <f>IFERROR(VLOOKUP(B2325,'Pre-Summary'!$AE$6:$AJ$85,5,FALSE),"")</f>
        <v/>
      </c>
      <c r="J2325" s="45" t="str">
        <f>IFERROR(VLOOKUP(B2325,'Pre-Summary'!$AE$6:$AJ$85,6, FALSE),"")</f>
        <v/>
      </c>
      <c r="K2325" s="45" t="str">
        <f>IFERROR(VLOOKUP(B2325,'Pre-Summary'!$DE$6:$DG$61,3,FALSE),"")</f>
        <v/>
      </c>
      <c r="L2325" s="45" t="str">
        <f>IFERROR(VLOOKUP(B2325,'Pre-Summary'!$CU$6:$CW$36,3,FALSE),"")</f>
        <v/>
      </c>
      <c r="M2325" s="45" t="str">
        <f>IFERROR(VLOOKUP(B2325,'Pre-Summary'!$BW$6:$BY$58,2,FALSE),"")</f>
        <v/>
      </c>
      <c r="N2325" s="45" t="str">
        <f>IFERROR(VLOOKUP(B2325,'Pre-Summary'!$CD$6:$CF$64,2,FALSE),"")</f>
        <v/>
      </c>
      <c r="O2325" s="99">
        <f>IFERROR(VLOOKUP(B2325,'Pre-Summary'!$BO$6:$BQ$48,3, FALSE),O2324)</f>
        <v>1.508</v>
      </c>
      <c r="P2325" s="99">
        <f>IFERROR(VLOOKUP(B2325,'Pre-Summary'!$BS$6:$BU$35,3,FALSE),P2324)</f>
        <v>0.379</v>
      </c>
      <c r="Q2325" s="54">
        <f t="shared" si="108"/>
        <v>3.9788918205804751</v>
      </c>
      <c r="R2325" s="53">
        <f>IFERROR(VLOOKUP(B2325,'Pre-Summary'!$BG$6:$BM$44,7,FALSE),R2326)</f>
        <v>9.7948682664336664E-2</v>
      </c>
      <c r="S2325" s="53">
        <f>IFERROR(VLOOKUP(B2325,'Pre-Summary'!$BG$6:$BM$44,6,FALSE),S2326)</f>
        <v>0.10614035087720526</v>
      </c>
      <c r="T2325" s="45" t="str">
        <f>IFERROR(VLOOKUP(B2325,'Pre-Summary'!$Y$6:$AC$83, 3,FALSE),"")</f>
        <v/>
      </c>
      <c r="U2325" s="45" t="str">
        <f>IFERROR(VLOOKUP(B2325,'Pre-Summary'!$Y$6:$AC$83, 4,FALSE),"")</f>
        <v/>
      </c>
      <c r="V2325" t="str">
        <f>IFERROR(VLOOKUP(B2325,'Pre-Summary'!$Y$6:$AC$83, 5,FALSE),"")</f>
        <v/>
      </c>
      <c r="W2325" s="45" t="str">
        <f>IFERROR(VLOOKUP(B2325,'Pre-Summary'!$Y$6:$AD$83,6,FALSE),"")</f>
        <v/>
      </c>
      <c r="X2325" t="str">
        <f>IFERROR(VLOOKUP('Pre-Summary'!$DB$6:$DD$63,3,FALSE),"")</f>
        <v/>
      </c>
      <c r="Y2325" t="str">
        <f>IFERROR(VLOOKUP(B2325,'Pre-Summary'!$CR$6:$CT$36,3,FALSE),"")</f>
        <v/>
      </c>
      <c r="Z2325" s="45" t="str">
        <f>IFERROR(VLOOKUP(B2325,'Pre-Summary'!$BZ$6:$CB$63,2,FALSE),"")</f>
        <v/>
      </c>
      <c r="AA2325" s="45" t="str">
        <f>IFERROR(VLOOKUP(B2325,'Pre-Summary'!$CG$6:$CI$70,2,FALSE),"")</f>
        <v/>
      </c>
      <c r="AB2325" s="99">
        <f>IFERROR(VLOOKUP(B2325,'Pre-Summary'!$A$6:$P$178,9,FALSE),AB2326)</f>
        <v>0.3510413030600153</v>
      </c>
      <c r="AC2325" s="10">
        <f>IFERROR(VLOOKUP(Summary!B2325,'Pre-Summary'!$A$6:$P$184,5, FALSE)/100,AC2326)</f>
        <v>0.95838633333333334</v>
      </c>
      <c r="AD2325" s="10">
        <f>IFERROR(VLOOKUP(Summary!B2325,'Pre-Summary'!$A$6:$P$184,3, FALSE)/100,AD2326)</f>
        <v>2.8433333333333331E-2</v>
      </c>
      <c r="AE2325" s="10">
        <f>IFERROR(VLOOKUP(Summary!B2325,'Pre-Summary'!$A$6:$P$184,7, FALSE)/100,AE2326)</f>
        <v>1.3180333333333334E-2</v>
      </c>
      <c r="AF2325" s="99">
        <f t="shared" si="109"/>
        <v>9.9812743836731003E-3</v>
      </c>
      <c r="AG2325" s="99">
        <f t="shared" si="110"/>
        <v>4.6268413880986882E-3</v>
      </c>
      <c r="AH2325" s="10" t="str">
        <f>IFERROR(VLOOKUP(B2325,'Pre-Summary'!$AZ$6:$BE$65,3,FALSE),"")</f>
        <v/>
      </c>
      <c r="AI2325" s="10" t="str">
        <f>IFERROR(VLOOKUP(B2325,'Pre-Summary'!$AZ$6:$BE$65,5,FALSE),"")</f>
        <v/>
      </c>
      <c r="AJ2325" s="10" t="str">
        <f>IFERROR(VLOOKUP(B2325,'Pre-Summary'!$AZ$6:$BE$65,4,FALSE),"")</f>
        <v/>
      </c>
      <c r="AK2325" s="10" t="str">
        <f>IFERROR(VLOOKUP(B2325,'Pre-Summary'!$AZ$6:$BE$65,6,FALSE),"")</f>
        <v/>
      </c>
      <c r="AL2325" s="10" t="str">
        <f>IFERROR(VLOOKUP(B2325,'Pre-Summary'!$BG$6:$BL$44,3,FALSE),"")</f>
        <v/>
      </c>
      <c r="AM2325" s="10" t="str">
        <f>IFERROR(VLOOKUP(B2325,'Pre-Summary'!$BG$6:$BL$44,4,FALSE),"")</f>
        <v/>
      </c>
    </row>
    <row r="2326" spans="2:39" ht="15" customHeight="1" x14ac:dyDescent="0.3">
      <c r="B2326">
        <v>232.3</v>
      </c>
      <c r="C2326" t="str">
        <f>IFERROR(VLOOKUP(B2326,'Pre-Summary'!$DI$6:$DM$23,4,FALSE),"")</f>
        <v/>
      </c>
      <c r="D2326" s="10" t="str">
        <f>IFERROR(VLOOKUP(B2326,'Pre-Summary'!$AT$6:$AX$14,5,FALSE),D2325)</f>
        <v>Wolfe v3: went back to modified wolfe + EDTA and switched CuSO4 to CUCl2</v>
      </c>
      <c r="E2326" s="10" t="str">
        <f>IFERROR(VLOOKUP(B2326,'Pre-Summary'!$AT$6:$AX$15,4,FALSE),"")</f>
        <v/>
      </c>
      <c r="F2326">
        <f>IFERROR(VLOOKUP(B2326,'Pre-Summary'!$AL$6:$AQ$13,6,FALSE),F2325)</f>
        <v>5.9405263157894746E-2</v>
      </c>
      <c r="G2326" t="str">
        <f>IFERROR(VLOOKUP(B2326,'Pre-Summary'!$AE$6:$AJ$85,3,FALSE),"")</f>
        <v/>
      </c>
      <c r="H2326" t="str">
        <f>IFERROR(VLOOKUP(B2326,'Pre-Summary'!$AE$6:$AJ$85,4,FALSE),"")</f>
        <v/>
      </c>
      <c r="I2326" t="str">
        <f>IFERROR(VLOOKUP(B2326,'Pre-Summary'!$AE$6:$AJ$85,5,FALSE),"")</f>
        <v/>
      </c>
      <c r="J2326" s="45" t="str">
        <f>IFERROR(VLOOKUP(B2326,'Pre-Summary'!$AE$6:$AJ$85,6, FALSE),"")</f>
        <v/>
      </c>
      <c r="K2326" s="45" t="str">
        <f>IFERROR(VLOOKUP(B2326,'Pre-Summary'!$DE$6:$DG$61,3,FALSE),"")</f>
        <v/>
      </c>
      <c r="L2326" s="45" t="str">
        <f>IFERROR(VLOOKUP(B2326,'Pre-Summary'!$CU$6:$CW$36,3,FALSE),"")</f>
        <v/>
      </c>
      <c r="M2326" s="45" t="str">
        <f>IFERROR(VLOOKUP(B2326,'Pre-Summary'!$BW$6:$BY$58,2,FALSE),"")</f>
        <v/>
      </c>
      <c r="N2326" s="45" t="str">
        <f>IFERROR(VLOOKUP(B2326,'Pre-Summary'!$CD$6:$CF$64,2,FALSE),"")</f>
        <v/>
      </c>
      <c r="O2326" s="99">
        <f>IFERROR(VLOOKUP(B2326,'Pre-Summary'!$BO$6:$BQ$48,3, FALSE),O2325)</f>
        <v>1.508</v>
      </c>
      <c r="P2326" s="99">
        <f>IFERROR(VLOOKUP(B2326,'Pre-Summary'!$BS$6:$BU$35,3,FALSE),P2325)</f>
        <v>0.379</v>
      </c>
      <c r="Q2326" s="54">
        <f t="shared" si="108"/>
        <v>3.9788918205804751</v>
      </c>
      <c r="R2326" s="53">
        <f>IFERROR(VLOOKUP(B2326,'Pre-Summary'!$BG$6:$BM$44,7,FALSE),R2327)</f>
        <v>9.7948682664336664E-2</v>
      </c>
      <c r="S2326" s="53">
        <f>IFERROR(VLOOKUP(B2326,'Pre-Summary'!$BG$6:$BM$44,6,FALSE),S2327)</f>
        <v>0.10614035087720526</v>
      </c>
      <c r="T2326" s="45" t="str">
        <f>IFERROR(VLOOKUP(B2326,'Pre-Summary'!$Y$6:$AC$83, 3,FALSE),"")</f>
        <v/>
      </c>
      <c r="U2326" s="45" t="str">
        <f>IFERROR(VLOOKUP(B2326,'Pre-Summary'!$Y$6:$AC$83, 4,FALSE),"")</f>
        <v/>
      </c>
      <c r="V2326" t="str">
        <f>IFERROR(VLOOKUP(B2326,'Pre-Summary'!$Y$6:$AC$83, 5,FALSE),"")</f>
        <v/>
      </c>
      <c r="W2326" s="45" t="str">
        <f>IFERROR(VLOOKUP(B2326,'Pre-Summary'!$Y$6:$AD$83,6,FALSE),"")</f>
        <v/>
      </c>
      <c r="X2326" t="str">
        <f>IFERROR(VLOOKUP('Pre-Summary'!$DB$6:$DD$63,3,FALSE),"")</f>
        <v/>
      </c>
      <c r="Y2326" t="str">
        <f>IFERROR(VLOOKUP(B2326,'Pre-Summary'!$CR$6:$CT$36,3,FALSE),"")</f>
        <v/>
      </c>
      <c r="Z2326" s="45" t="str">
        <f>IFERROR(VLOOKUP(B2326,'Pre-Summary'!$BZ$6:$CB$63,2,FALSE),"")</f>
        <v/>
      </c>
      <c r="AA2326" s="45" t="str">
        <f>IFERROR(VLOOKUP(B2326,'Pre-Summary'!$CG$6:$CI$70,2,FALSE),"")</f>
        <v/>
      </c>
      <c r="AB2326" s="99">
        <f>IFERROR(VLOOKUP(B2326,'Pre-Summary'!$A$6:$P$178,9,FALSE),AB2327)</f>
        <v>0.3510413030600153</v>
      </c>
      <c r="AC2326" s="10">
        <f>IFERROR(VLOOKUP(Summary!B2326,'Pre-Summary'!$A$6:$P$184,5, FALSE)/100,AC2327)</f>
        <v>0.95838633333333334</v>
      </c>
      <c r="AD2326" s="10">
        <f>IFERROR(VLOOKUP(Summary!B2326,'Pre-Summary'!$A$6:$P$184,3, FALSE)/100,AD2327)</f>
        <v>2.8433333333333331E-2</v>
      </c>
      <c r="AE2326" s="10">
        <f>IFERROR(VLOOKUP(Summary!B2326,'Pre-Summary'!$A$6:$P$184,7, FALSE)/100,AE2327)</f>
        <v>1.3180333333333334E-2</v>
      </c>
      <c r="AF2326" s="99">
        <f t="shared" si="109"/>
        <v>9.9812743836731003E-3</v>
      </c>
      <c r="AG2326" s="99">
        <f t="shared" si="110"/>
        <v>4.6268413880986882E-3</v>
      </c>
      <c r="AH2326" s="10" t="str">
        <f>IFERROR(VLOOKUP(B2326,'Pre-Summary'!$AZ$6:$BE$65,3,FALSE),"")</f>
        <v/>
      </c>
      <c r="AI2326" s="10" t="str">
        <f>IFERROR(VLOOKUP(B2326,'Pre-Summary'!$AZ$6:$BE$65,5,FALSE),"")</f>
        <v/>
      </c>
      <c r="AJ2326" s="10" t="str">
        <f>IFERROR(VLOOKUP(B2326,'Pre-Summary'!$AZ$6:$BE$65,4,FALSE),"")</f>
        <v/>
      </c>
      <c r="AK2326" s="10" t="str">
        <f>IFERROR(VLOOKUP(B2326,'Pre-Summary'!$AZ$6:$BE$65,6,FALSE),"")</f>
        <v/>
      </c>
      <c r="AL2326" s="10" t="str">
        <f>IFERROR(VLOOKUP(B2326,'Pre-Summary'!$BG$6:$BL$44,3,FALSE),"")</f>
        <v/>
      </c>
      <c r="AM2326" s="10" t="str">
        <f>IFERROR(VLOOKUP(B2326,'Pre-Summary'!$BG$6:$BL$44,4,FALSE),"")</f>
        <v/>
      </c>
    </row>
    <row r="2327" spans="2:39" ht="15" customHeight="1" x14ac:dyDescent="0.3">
      <c r="B2327">
        <v>232.4</v>
      </c>
      <c r="C2327" t="str">
        <f>IFERROR(VLOOKUP(B2327,'Pre-Summary'!$DI$6:$DM$23,4,FALSE),"")</f>
        <v/>
      </c>
      <c r="D2327" s="10" t="str">
        <f>IFERROR(VLOOKUP(B2327,'Pre-Summary'!$AT$6:$AX$14,5,FALSE),D2326)</f>
        <v>Wolfe v3: went back to modified wolfe + EDTA and switched CuSO4 to CUCl2</v>
      </c>
      <c r="E2327" s="10" t="str">
        <f>IFERROR(VLOOKUP(B2327,'Pre-Summary'!$AT$6:$AX$15,4,FALSE),"")</f>
        <v/>
      </c>
      <c r="F2327">
        <f>IFERROR(VLOOKUP(B2327,'Pre-Summary'!$AL$6:$AQ$13,6,FALSE),F2326)</f>
        <v>5.9405263157894746E-2</v>
      </c>
      <c r="G2327" t="str">
        <f>IFERROR(VLOOKUP(B2327,'Pre-Summary'!$AE$6:$AJ$85,3,FALSE),"")</f>
        <v/>
      </c>
      <c r="H2327" t="str">
        <f>IFERROR(VLOOKUP(B2327,'Pre-Summary'!$AE$6:$AJ$85,4,FALSE),"")</f>
        <v/>
      </c>
      <c r="I2327" t="str">
        <f>IFERROR(VLOOKUP(B2327,'Pre-Summary'!$AE$6:$AJ$85,5,FALSE),"")</f>
        <v/>
      </c>
      <c r="J2327" s="45" t="str">
        <f>IFERROR(VLOOKUP(B2327,'Pre-Summary'!$AE$6:$AJ$85,6, FALSE),"")</f>
        <v/>
      </c>
      <c r="K2327" s="45" t="str">
        <f>IFERROR(VLOOKUP(B2327,'Pre-Summary'!$DE$6:$DG$61,3,FALSE),"")</f>
        <v/>
      </c>
      <c r="L2327" s="45" t="str">
        <f>IFERROR(VLOOKUP(B2327,'Pre-Summary'!$CU$6:$CW$36,3,FALSE),"")</f>
        <v/>
      </c>
      <c r="M2327" s="45" t="str">
        <f>IFERROR(VLOOKUP(B2327,'Pre-Summary'!$BW$6:$BY$58,2,FALSE),"")</f>
        <v/>
      </c>
      <c r="N2327" s="45" t="str">
        <f>IFERROR(VLOOKUP(B2327,'Pre-Summary'!$CD$6:$CF$64,2,FALSE),"")</f>
        <v/>
      </c>
      <c r="O2327" s="99">
        <f>IFERROR(VLOOKUP(B2327,'Pre-Summary'!$BO$6:$BQ$48,3, FALSE),O2326)</f>
        <v>1.508</v>
      </c>
      <c r="P2327" s="99">
        <f>IFERROR(VLOOKUP(B2327,'Pre-Summary'!$BS$6:$BU$35,3,FALSE),P2326)</f>
        <v>0.379</v>
      </c>
      <c r="Q2327" s="54">
        <f t="shared" si="108"/>
        <v>3.9788918205804751</v>
      </c>
      <c r="R2327" s="53">
        <f>IFERROR(VLOOKUP(B2327,'Pre-Summary'!$BG$6:$BM$44,7,FALSE),R2328)</f>
        <v>9.7948682664336664E-2</v>
      </c>
      <c r="S2327" s="53">
        <f>IFERROR(VLOOKUP(B2327,'Pre-Summary'!$BG$6:$BM$44,6,FALSE),S2328)</f>
        <v>0.10614035087720526</v>
      </c>
      <c r="T2327" s="45" t="str">
        <f>IFERROR(VLOOKUP(B2327,'Pre-Summary'!$Y$6:$AC$83, 3,FALSE),"")</f>
        <v/>
      </c>
      <c r="U2327" s="45" t="str">
        <f>IFERROR(VLOOKUP(B2327,'Pre-Summary'!$Y$6:$AC$83, 4,FALSE),"")</f>
        <v/>
      </c>
      <c r="V2327" t="str">
        <f>IFERROR(VLOOKUP(B2327,'Pre-Summary'!$Y$6:$AC$83, 5,FALSE),"")</f>
        <v/>
      </c>
      <c r="W2327" s="45" t="str">
        <f>IFERROR(VLOOKUP(B2327,'Pre-Summary'!$Y$6:$AD$83,6,FALSE),"")</f>
        <v/>
      </c>
      <c r="X2327" t="str">
        <f>IFERROR(VLOOKUP('Pre-Summary'!$DB$6:$DD$63,3,FALSE),"")</f>
        <v/>
      </c>
      <c r="Y2327" t="str">
        <f>IFERROR(VLOOKUP(B2327,'Pre-Summary'!$CR$6:$CT$36,3,FALSE),"")</f>
        <v/>
      </c>
      <c r="Z2327" s="45" t="str">
        <f>IFERROR(VLOOKUP(B2327,'Pre-Summary'!$BZ$6:$CB$63,2,FALSE),"")</f>
        <v/>
      </c>
      <c r="AA2327" s="45" t="str">
        <f>IFERROR(VLOOKUP(B2327,'Pre-Summary'!$CG$6:$CI$70,2,FALSE),"")</f>
        <v/>
      </c>
      <c r="AB2327" s="99">
        <f>IFERROR(VLOOKUP(B2327,'Pre-Summary'!$A$6:$P$178,9,FALSE),AB2328)</f>
        <v>0.3510413030600153</v>
      </c>
      <c r="AC2327" s="10">
        <f>IFERROR(VLOOKUP(Summary!B2327,'Pre-Summary'!$A$6:$P$184,5, FALSE)/100,AC2328)</f>
        <v>0.95838633333333334</v>
      </c>
      <c r="AD2327" s="10">
        <f>IFERROR(VLOOKUP(Summary!B2327,'Pre-Summary'!$A$6:$P$184,3, FALSE)/100,AD2328)</f>
        <v>2.8433333333333331E-2</v>
      </c>
      <c r="AE2327" s="10">
        <f>IFERROR(VLOOKUP(Summary!B2327,'Pre-Summary'!$A$6:$P$184,7, FALSE)/100,AE2328)</f>
        <v>1.3180333333333334E-2</v>
      </c>
      <c r="AF2327" s="99">
        <f t="shared" si="109"/>
        <v>9.9812743836731003E-3</v>
      </c>
      <c r="AG2327" s="99">
        <f t="shared" si="110"/>
        <v>4.6268413880986882E-3</v>
      </c>
      <c r="AH2327" s="10" t="str">
        <f>IFERROR(VLOOKUP(B2327,'Pre-Summary'!$AZ$6:$BE$65,3,FALSE),"")</f>
        <v/>
      </c>
      <c r="AI2327" s="10" t="str">
        <f>IFERROR(VLOOKUP(B2327,'Pre-Summary'!$AZ$6:$BE$65,5,FALSE),"")</f>
        <v/>
      </c>
      <c r="AJ2327" s="10" t="str">
        <f>IFERROR(VLOOKUP(B2327,'Pre-Summary'!$AZ$6:$BE$65,4,FALSE),"")</f>
        <v/>
      </c>
      <c r="AK2327" s="10" t="str">
        <f>IFERROR(VLOOKUP(B2327,'Pre-Summary'!$AZ$6:$BE$65,6,FALSE),"")</f>
        <v/>
      </c>
      <c r="AL2327" s="10" t="str">
        <f>IFERROR(VLOOKUP(B2327,'Pre-Summary'!$BG$6:$BL$44,3,FALSE),"")</f>
        <v/>
      </c>
      <c r="AM2327" s="10" t="str">
        <f>IFERROR(VLOOKUP(B2327,'Pre-Summary'!$BG$6:$BL$44,4,FALSE),"")</f>
        <v/>
      </c>
    </row>
    <row r="2328" spans="2:39" ht="15" customHeight="1" x14ac:dyDescent="0.3">
      <c r="B2328">
        <v>232.5</v>
      </c>
      <c r="C2328" t="str">
        <f>IFERROR(VLOOKUP(B2328,'Pre-Summary'!$DI$6:$DM$23,4,FALSE),"")</f>
        <v/>
      </c>
      <c r="D2328" s="10" t="str">
        <f>IFERROR(VLOOKUP(B2328,'Pre-Summary'!$AT$6:$AX$14,5,FALSE),D2327)</f>
        <v>Wolfe v3: went back to modified wolfe + EDTA and switched CuSO4 to CUCl2</v>
      </c>
      <c r="E2328" s="10" t="str">
        <f>IFERROR(VLOOKUP(B2328,'Pre-Summary'!$AT$6:$AX$15,4,FALSE),"")</f>
        <v/>
      </c>
      <c r="F2328">
        <f>IFERROR(VLOOKUP(B2328,'Pre-Summary'!$AL$6:$AQ$13,6,FALSE),F2327)</f>
        <v>5.9405263157894746E-2</v>
      </c>
      <c r="G2328" t="str">
        <f>IFERROR(VLOOKUP(B2328,'Pre-Summary'!$AE$6:$AJ$85,3,FALSE),"")</f>
        <v/>
      </c>
      <c r="H2328" t="str">
        <f>IFERROR(VLOOKUP(B2328,'Pre-Summary'!$AE$6:$AJ$85,4,FALSE),"")</f>
        <v/>
      </c>
      <c r="I2328" t="str">
        <f>IFERROR(VLOOKUP(B2328,'Pre-Summary'!$AE$6:$AJ$85,5,FALSE),"")</f>
        <v/>
      </c>
      <c r="J2328" s="45" t="str">
        <f>IFERROR(VLOOKUP(B2328,'Pre-Summary'!$AE$6:$AJ$85,6, FALSE),"")</f>
        <v/>
      </c>
      <c r="K2328" s="45" t="str">
        <f>IFERROR(VLOOKUP(B2328,'Pre-Summary'!$DE$6:$DG$61,3,FALSE),"")</f>
        <v/>
      </c>
      <c r="L2328" s="45" t="str">
        <f>IFERROR(VLOOKUP(B2328,'Pre-Summary'!$CU$6:$CW$36,3,FALSE),"")</f>
        <v/>
      </c>
      <c r="M2328" s="45" t="str">
        <f>IFERROR(VLOOKUP(B2328,'Pre-Summary'!$BW$6:$BY$58,2,FALSE),"")</f>
        <v/>
      </c>
      <c r="N2328" s="45" t="str">
        <f>IFERROR(VLOOKUP(B2328,'Pre-Summary'!$CD$6:$CF$64,2,FALSE),"")</f>
        <v/>
      </c>
      <c r="O2328" s="99">
        <f>IFERROR(VLOOKUP(B2328,'Pre-Summary'!$BO$6:$BQ$48,3, FALSE),O2327)</f>
        <v>1.508</v>
      </c>
      <c r="P2328" s="99">
        <f>IFERROR(VLOOKUP(B2328,'Pre-Summary'!$BS$6:$BU$35,3,FALSE),P2327)</f>
        <v>0.379</v>
      </c>
      <c r="Q2328" s="54">
        <f t="shared" si="108"/>
        <v>3.9788918205804751</v>
      </c>
      <c r="R2328" s="53">
        <f>IFERROR(VLOOKUP(B2328,'Pre-Summary'!$BG$6:$BM$44,7,FALSE),R2329)</f>
        <v>9.7948682664336664E-2</v>
      </c>
      <c r="S2328" s="53">
        <f>IFERROR(VLOOKUP(B2328,'Pre-Summary'!$BG$6:$BM$44,6,FALSE),S2329)</f>
        <v>0.10614035087720526</v>
      </c>
      <c r="T2328" s="45" t="str">
        <f>IFERROR(VLOOKUP(B2328,'Pre-Summary'!$Y$6:$AC$83, 3,FALSE),"")</f>
        <v/>
      </c>
      <c r="U2328" s="45" t="str">
        <f>IFERROR(VLOOKUP(B2328,'Pre-Summary'!$Y$6:$AC$83, 4,FALSE),"")</f>
        <v/>
      </c>
      <c r="V2328" t="str">
        <f>IFERROR(VLOOKUP(B2328,'Pre-Summary'!$Y$6:$AC$83, 5,FALSE),"")</f>
        <v/>
      </c>
      <c r="W2328" s="45" t="str">
        <f>IFERROR(VLOOKUP(B2328,'Pre-Summary'!$Y$6:$AD$83,6,FALSE),"")</f>
        <v/>
      </c>
      <c r="X2328" t="str">
        <f>IFERROR(VLOOKUP('Pre-Summary'!$DB$6:$DD$63,3,FALSE),"")</f>
        <v/>
      </c>
      <c r="Y2328" t="str">
        <f>IFERROR(VLOOKUP(B2328,'Pre-Summary'!$CR$6:$CT$36,3,FALSE),"")</f>
        <v/>
      </c>
      <c r="Z2328" s="45" t="str">
        <f>IFERROR(VLOOKUP(B2328,'Pre-Summary'!$BZ$6:$CB$63,2,FALSE),"")</f>
        <v/>
      </c>
      <c r="AA2328" s="45" t="str">
        <f>IFERROR(VLOOKUP(B2328,'Pre-Summary'!$CG$6:$CI$70,2,FALSE),"")</f>
        <v/>
      </c>
      <c r="AB2328" s="99">
        <f>IFERROR(VLOOKUP(B2328,'Pre-Summary'!$A$6:$P$178,9,FALSE),AB2329)</f>
        <v>0.3510413030600153</v>
      </c>
      <c r="AC2328" s="10">
        <f>IFERROR(VLOOKUP(Summary!B2328,'Pre-Summary'!$A$6:$P$184,5, FALSE)/100,AC2329)</f>
        <v>0.95838633333333334</v>
      </c>
      <c r="AD2328" s="10">
        <f>IFERROR(VLOOKUP(Summary!B2328,'Pre-Summary'!$A$6:$P$184,3, FALSE)/100,AD2329)</f>
        <v>2.8433333333333331E-2</v>
      </c>
      <c r="AE2328" s="10">
        <f>IFERROR(VLOOKUP(Summary!B2328,'Pre-Summary'!$A$6:$P$184,7, FALSE)/100,AE2329)</f>
        <v>1.3180333333333334E-2</v>
      </c>
      <c r="AF2328" s="99">
        <f t="shared" si="109"/>
        <v>9.9812743836731003E-3</v>
      </c>
      <c r="AG2328" s="99">
        <f t="shared" si="110"/>
        <v>4.6268413880986882E-3</v>
      </c>
      <c r="AH2328" s="10" t="str">
        <f>IFERROR(VLOOKUP(B2328,'Pre-Summary'!$AZ$6:$BE$65,3,FALSE),"")</f>
        <v/>
      </c>
      <c r="AI2328" s="10" t="str">
        <f>IFERROR(VLOOKUP(B2328,'Pre-Summary'!$AZ$6:$BE$65,5,FALSE),"")</f>
        <v/>
      </c>
      <c r="AJ2328" s="10" t="str">
        <f>IFERROR(VLOOKUP(B2328,'Pre-Summary'!$AZ$6:$BE$65,4,FALSE),"")</f>
        <v/>
      </c>
      <c r="AK2328" s="10" t="str">
        <f>IFERROR(VLOOKUP(B2328,'Pre-Summary'!$AZ$6:$BE$65,6,FALSE),"")</f>
        <v/>
      </c>
      <c r="AL2328" s="10" t="str">
        <f>IFERROR(VLOOKUP(B2328,'Pre-Summary'!$BG$6:$BL$44,3,FALSE),"")</f>
        <v/>
      </c>
      <c r="AM2328" s="10" t="str">
        <f>IFERROR(VLOOKUP(B2328,'Pre-Summary'!$BG$6:$BL$44,4,FALSE),"")</f>
        <v/>
      </c>
    </row>
    <row r="2329" spans="2:39" ht="15" customHeight="1" x14ac:dyDescent="0.3">
      <c r="B2329">
        <v>232.6</v>
      </c>
      <c r="C2329" t="str">
        <f>IFERROR(VLOOKUP(B2329,'Pre-Summary'!$DI$6:$DM$23,4,FALSE),"")</f>
        <v/>
      </c>
      <c r="D2329" s="10" t="str">
        <f>IFERROR(VLOOKUP(B2329,'Pre-Summary'!$AT$6:$AX$14,5,FALSE),D2328)</f>
        <v>Wolfe v3: went back to modified wolfe + EDTA and switched CuSO4 to CUCl2</v>
      </c>
      <c r="E2329" s="10" t="str">
        <f>IFERROR(VLOOKUP(B2329,'Pre-Summary'!$AT$6:$AX$15,4,FALSE),"")</f>
        <v/>
      </c>
      <c r="F2329">
        <f>IFERROR(VLOOKUP(B2329,'Pre-Summary'!$AL$6:$AQ$13,6,FALSE),F2328)</f>
        <v>5.9405263157894746E-2</v>
      </c>
      <c r="G2329" t="str">
        <f>IFERROR(VLOOKUP(B2329,'Pre-Summary'!$AE$6:$AJ$85,3,FALSE),"")</f>
        <v/>
      </c>
      <c r="H2329" t="str">
        <f>IFERROR(VLOOKUP(B2329,'Pre-Summary'!$AE$6:$AJ$85,4,FALSE),"")</f>
        <v/>
      </c>
      <c r="I2329" t="str">
        <f>IFERROR(VLOOKUP(B2329,'Pre-Summary'!$AE$6:$AJ$85,5,FALSE),"")</f>
        <v/>
      </c>
      <c r="J2329" s="45" t="str">
        <f>IFERROR(VLOOKUP(B2329,'Pre-Summary'!$AE$6:$AJ$85,6, FALSE),"")</f>
        <v/>
      </c>
      <c r="K2329" s="45" t="str">
        <f>IFERROR(VLOOKUP(B2329,'Pre-Summary'!$DE$6:$DG$61,3,FALSE),"")</f>
        <v/>
      </c>
      <c r="L2329" s="45" t="str">
        <f>IFERROR(VLOOKUP(B2329,'Pre-Summary'!$CU$6:$CW$36,3,FALSE),"")</f>
        <v/>
      </c>
      <c r="M2329" s="45" t="str">
        <f>IFERROR(VLOOKUP(B2329,'Pre-Summary'!$BW$6:$BY$58,2,FALSE),"")</f>
        <v/>
      </c>
      <c r="N2329" s="45" t="str">
        <f>IFERROR(VLOOKUP(B2329,'Pre-Summary'!$CD$6:$CF$64,2,FALSE),"")</f>
        <v/>
      </c>
      <c r="O2329" s="99">
        <f>IFERROR(VLOOKUP(B2329,'Pre-Summary'!$BO$6:$BQ$48,3, FALSE),O2328)</f>
        <v>1.508</v>
      </c>
      <c r="P2329" s="99">
        <f>IFERROR(VLOOKUP(B2329,'Pre-Summary'!$BS$6:$BU$35,3,FALSE),P2328)</f>
        <v>0.379</v>
      </c>
      <c r="Q2329" s="54">
        <f t="shared" si="108"/>
        <v>3.9788918205804751</v>
      </c>
      <c r="R2329" s="53">
        <f>IFERROR(VLOOKUP(B2329,'Pre-Summary'!$BG$6:$BM$44,7,FALSE),R2330)</f>
        <v>9.7948682664336664E-2</v>
      </c>
      <c r="S2329" s="53">
        <f>IFERROR(VLOOKUP(B2329,'Pre-Summary'!$BG$6:$BM$44,6,FALSE),S2330)</f>
        <v>0.10614035087720526</v>
      </c>
      <c r="T2329" s="45" t="str">
        <f>IFERROR(VLOOKUP(B2329,'Pre-Summary'!$Y$6:$AC$83, 3,FALSE),"")</f>
        <v/>
      </c>
      <c r="U2329" s="45" t="str">
        <f>IFERROR(VLOOKUP(B2329,'Pre-Summary'!$Y$6:$AC$83, 4,FALSE),"")</f>
        <v/>
      </c>
      <c r="V2329" t="str">
        <f>IFERROR(VLOOKUP(B2329,'Pre-Summary'!$Y$6:$AC$83, 5,FALSE),"")</f>
        <v/>
      </c>
      <c r="W2329" s="45" t="str">
        <f>IFERROR(VLOOKUP(B2329,'Pre-Summary'!$Y$6:$AD$83,6,FALSE),"")</f>
        <v/>
      </c>
      <c r="X2329" t="str">
        <f>IFERROR(VLOOKUP('Pre-Summary'!$DB$6:$DD$63,3,FALSE),"")</f>
        <v/>
      </c>
      <c r="Y2329" t="str">
        <f>IFERROR(VLOOKUP(B2329,'Pre-Summary'!$CR$6:$CT$36,3,FALSE),"")</f>
        <v/>
      </c>
      <c r="Z2329" s="45" t="str">
        <f>IFERROR(VLOOKUP(B2329,'Pre-Summary'!$BZ$6:$CB$63,2,FALSE),"")</f>
        <v/>
      </c>
      <c r="AA2329" s="45" t="str">
        <f>IFERROR(VLOOKUP(B2329,'Pre-Summary'!$CG$6:$CI$70,2,FALSE),"")</f>
        <v/>
      </c>
      <c r="AB2329" s="99">
        <f>IFERROR(VLOOKUP(B2329,'Pre-Summary'!$A$6:$P$178,9,FALSE),AB2330)</f>
        <v>0.3510413030600153</v>
      </c>
      <c r="AC2329" s="10">
        <f>IFERROR(VLOOKUP(Summary!B2329,'Pre-Summary'!$A$6:$P$184,5, FALSE)/100,AC2330)</f>
        <v>0.95838633333333334</v>
      </c>
      <c r="AD2329" s="10">
        <f>IFERROR(VLOOKUP(Summary!B2329,'Pre-Summary'!$A$6:$P$184,3, FALSE)/100,AD2330)</f>
        <v>2.8433333333333331E-2</v>
      </c>
      <c r="AE2329" s="10">
        <f>IFERROR(VLOOKUP(Summary!B2329,'Pre-Summary'!$A$6:$P$184,7, FALSE)/100,AE2330)</f>
        <v>1.3180333333333334E-2</v>
      </c>
      <c r="AF2329" s="99">
        <f t="shared" si="109"/>
        <v>9.9812743836731003E-3</v>
      </c>
      <c r="AG2329" s="99">
        <f t="shared" si="110"/>
        <v>4.6268413880986882E-3</v>
      </c>
      <c r="AH2329" s="10" t="str">
        <f>IFERROR(VLOOKUP(B2329,'Pre-Summary'!$AZ$6:$BE$65,3,FALSE),"")</f>
        <v/>
      </c>
      <c r="AI2329" s="10" t="str">
        <f>IFERROR(VLOOKUP(B2329,'Pre-Summary'!$AZ$6:$BE$65,5,FALSE),"")</f>
        <v/>
      </c>
      <c r="AJ2329" s="10" t="str">
        <f>IFERROR(VLOOKUP(B2329,'Pre-Summary'!$AZ$6:$BE$65,4,FALSE),"")</f>
        <v/>
      </c>
      <c r="AK2329" s="10" t="str">
        <f>IFERROR(VLOOKUP(B2329,'Pre-Summary'!$AZ$6:$BE$65,6,FALSE),"")</f>
        <v/>
      </c>
      <c r="AL2329" s="10" t="str">
        <f>IFERROR(VLOOKUP(B2329,'Pre-Summary'!$BG$6:$BL$44,3,FALSE),"")</f>
        <v/>
      </c>
      <c r="AM2329" s="10" t="str">
        <f>IFERROR(VLOOKUP(B2329,'Pre-Summary'!$BG$6:$BL$44,4,FALSE),"")</f>
        <v/>
      </c>
    </row>
    <row r="2330" spans="2:39" ht="15" customHeight="1" x14ac:dyDescent="0.3">
      <c r="B2330">
        <v>232.7</v>
      </c>
      <c r="C2330" t="str">
        <f>IFERROR(VLOOKUP(B2330,'Pre-Summary'!$DI$6:$DM$23,4,FALSE),"")</f>
        <v/>
      </c>
      <c r="D2330" s="10" t="str">
        <f>IFERROR(VLOOKUP(B2330,'Pre-Summary'!$AT$6:$AX$14,5,FALSE),D2329)</f>
        <v>Wolfe v3: went back to modified wolfe + EDTA and switched CuSO4 to CUCl2</v>
      </c>
      <c r="E2330" s="10" t="str">
        <f>IFERROR(VLOOKUP(B2330,'Pre-Summary'!$AT$6:$AX$15,4,FALSE),"")</f>
        <v/>
      </c>
      <c r="F2330">
        <f>IFERROR(VLOOKUP(B2330,'Pre-Summary'!$AL$6:$AQ$13,6,FALSE),F2329)</f>
        <v>5.9405263157894746E-2</v>
      </c>
      <c r="G2330" t="str">
        <f>IFERROR(VLOOKUP(B2330,'Pre-Summary'!$AE$6:$AJ$85,3,FALSE),"")</f>
        <v/>
      </c>
      <c r="H2330" t="str">
        <f>IFERROR(VLOOKUP(B2330,'Pre-Summary'!$AE$6:$AJ$85,4,FALSE),"")</f>
        <v/>
      </c>
      <c r="I2330" t="str">
        <f>IFERROR(VLOOKUP(B2330,'Pre-Summary'!$AE$6:$AJ$85,5,FALSE),"")</f>
        <v/>
      </c>
      <c r="J2330" s="45" t="str">
        <f>IFERROR(VLOOKUP(B2330,'Pre-Summary'!$AE$6:$AJ$85,6, FALSE),"")</f>
        <v/>
      </c>
      <c r="K2330" s="45" t="str">
        <f>IFERROR(VLOOKUP(B2330,'Pre-Summary'!$DE$6:$DG$61,3,FALSE),"")</f>
        <v/>
      </c>
      <c r="L2330" s="45" t="str">
        <f>IFERROR(VLOOKUP(B2330,'Pre-Summary'!$CU$6:$CW$36,3,FALSE),"")</f>
        <v/>
      </c>
      <c r="M2330" s="45" t="str">
        <f>IFERROR(VLOOKUP(B2330,'Pre-Summary'!$BW$6:$BY$58,2,FALSE),"")</f>
        <v/>
      </c>
      <c r="N2330" s="45" t="str">
        <f>IFERROR(VLOOKUP(B2330,'Pre-Summary'!$CD$6:$CF$64,2,FALSE),"")</f>
        <v/>
      </c>
      <c r="O2330" s="99">
        <f>IFERROR(VLOOKUP(B2330,'Pre-Summary'!$BO$6:$BQ$48,3, FALSE),O2329)</f>
        <v>1.508</v>
      </c>
      <c r="P2330" s="99">
        <f>IFERROR(VLOOKUP(B2330,'Pre-Summary'!$BS$6:$BU$35,3,FALSE),P2329)</f>
        <v>0.379</v>
      </c>
      <c r="Q2330" s="54">
        <f t="shared" si="108"/>
        <v>3.9788918205804751</v>
      </c>
      <c r="R2330" s="53">
        <f>IFERROR(VLOOKUP(B2330,'Pre-Summary'!$BG$6:$BM$44,7,FALSE),R2331)</f>
        <v>9.7948682664336664E-2</v>
      </c>
      <c r="S2330" s="53">
        <f>IFERROR(VLOOKUP(B2330,'Pre-Summary'!$BG$6:$BM$44,6,FALSE),S2331)</f>
        <v>0.10614035087720526</v>
      </c>
      <c r="T2330" s="45" t="str">
        <f>IFERROR(VLOOKUP(B2330,'Pre-Summary'!$Y$6:$AC$83, 3,FALSE),"")</f>
        <v/>
      </c>
      <c r="U2330" s="45" t="str">
        <f>IFERROR(VLOOKUP(B2330,'Pre-Summary'!$Y$6:$AC$83, 4,FALSE),"")</f>
        <v/>
      </c>
      <c r="V2330" t="str">
        <f>IFERROR(VLOOKUP(B2330,'Pre-Summary'!$Y$6:$AC$83, 5,FALSE),"")</f>
        <v/>
      </c>
      <c r="W2330" s="45" t="str">
        <f>IFERROR(VLOOKUP(B2330,'Pre-Summary'!$Y$6:$AD$83,6,FALSE),"")</f>
        <v/>
      </c>
      <c r="X2330" t="str">
        <f>IFERROR(VLOOKUP('Pre-Summary'!$DB$6:$DD$63,3,FALSE),"")</f>
        <v/>
      </c>
      <c r="Y2330" t="str">
        <f>IFERROR(VLOOKUP(B2330,'Pre-Summary'!$CR$6:$CT$36,3,FALSE),"")</f>
        <v/>
      </c>
      <c r="Z2330" s="45" t="str">
        <f>IFERROR(VLOOKUP(B2330,'Pre-Summary'!$BZ$6:$CB$63,2,FALSE),"")</f>
        <v/>
      </c>
      <c r="AA2330" s="45" t="str">
        <f>IFERROR(VLOOKUP(B2330,'Pre-Summary'!$CG$6:$CI$70,2,FALSE),"")</f>
        <v/>
      </c>
      <c r="AB2330" s="99">
        <f>IFERROR(VLOOKUP(B2330,'Pre-Summary'!$A$6:$P$178,9,FALSE),AB2331)</f>
        <v>0.3510413030600153</v>
      </c>
      <c r="AC2330" s="10">
        <f>IFERROR(VLOOKUP(Summary!B2330,'Pre-Summary'!$A$6:$P$184,5, FALSE)/100,AC2331)</f>
        <v>0.95838633333333334</v>
      </c>
      <c r="AD2330" s="10">
        <f>IFERROR(VLOOKUP(Summary!B2330,'Pre-Summary'!$A$6:$P$184,3, FALSE)/100,AD2331)</f>
        <v>2.8433333333333331E-2</v>
      </c>
      <c r="AE2330" s="10">
        <f>IFERROR(VLOOKUP(Summary!B2330,'Pre-Summary'!$A$6:$P$184,7, FALSE)/100,AE2331)</f>
        <v>1.3180333333333334E-2</v>
      </c>
      <c r="AF2330" s="99">
        <f t="shared" si="109"/>
        <v>9.9812743836731003E-3</v>
      </c>
      <c r="AG2330" s="99">
        <f t="shared" si="110"/>
        <v>4.6268413880986882E-3</v>
      </c>
      <c r="AH2330" s="10" t="str">
        <f>IFERROR(VLOOKUP(B2330,'Pre-Summary'!$AZ$6:$BE$65,3,FALSE),"")</f>
        <v/>
      </c>
      <c r="AI2330" s="10" t="str">
        <f>IFERROR(VLOOKUP(B2330,'Pre-Summary'!$AZ$6:$BE$65,5,FALSE),"")</f>
        <v/>
      </c>
      <c r="AJ2330" s="10" t="str">
        <f>IFERROR(VLOOKUP(B2330,'Pre-Summary'!$AZ$6:$BE$65,4,FALSE),"")</f>
        <v/>
      </c>
      <c r="AK2330" s="10" t="str">
        <f>IFERROR(VLOOKUP(B2330,'Pre-Summary'!$AZ$6:$BE$65,6,FALSE),"")</f>
        <v/>
      </c>
      <c r="AL2330" s="10" t="str">
        <f>IFERROR(VLOOKUP(B2330,'Pre-Summary'!$BG$6:$BL$44,3,FALSE),"")</f>
        <v/>
      </c>
      <c r="AM2330" s="10" t="str">
        <f>IFERROR(VLOOKUP(B2330,'Pre-Summary'!$BG$6:$BL$44,4,FALSE),"")</f>
        <v/>
      </c>
    </row>
    <row r="2331" spans="2:39" ht="15" customHeight="1" x14ac:dyDescent="0.3">
      <c r="B2331">
        <v>232.8</v>
      </c>
      <c r="C2331" t="str">
        <f>IFERROR(VLOOKUP(B2331,'Pre-Summary'!$DI$6:$DM$23,4,FALSE),"")</f>
        <v/>
      </c>
      <c r="D2331" s="10" t="str">
        <f>IFERROR(VLOOKUP(B2331,'Pre-Summary'!$AT$6:$AX$14,5,FALSE),D2330)</f>
        <v>Wolfe v3: went back to modified wolfe + EDTA and switched CuSO4 to CUCl2</v>
      </c>
      <c r="E2331" s="10" t="str">
        <f>IFERROR(VLOOKUP(B2331,'Pre-Summary'!$AT$6:$AX$15,4,FALSE),"")</f>
        <v/>
      </c>
      <c r="F2331">
        <f>IFERROR(VLOOKUP(B2331,'Pre-Summary'!$AL$6:$AQ$13,6,FALSE),F2330)</f>
        <v>5.9405263157894746E-2</v>
      </c>
      <c r="G2331" t="str">
        <f>IFERROR(VLOOKUP(B2331,'Pre-Summary'!$AE$6:$AJ$85,3,FALSE),"")</f>
        <v/>
      </c>
      <c r="H2331" t="str">
        <f>IFERROR(VLOOKUP(B2331,'Pre-Summary'!$AE$6:$AJ$85,4,FALSE),"")</f>
        <v/>
      </c>
      <c r="I2331" t="str">
        <f>IFERROR(VLOOKUP(B2331,'Pre-Summary'!$AE$6:$AJ$85,5,FALSE),"")</f>
        <v/>
      </c>
      <c r="J2331" s="45" t="str">
        <f>IFERROR(VLOOKUP(B2331,'Pre-Summary'!$AE$6:$AJ$85,6, FALSE),"")</f>
        <v/>
      </c>
      <c r="K2331" s="45" t="str">
        <f>IFERROR(VLOOKUP(B2331,'Pre-Summary'!$DE$6:$DG$61,3,FALSE),"")</f>
        <v/>
      </c>
      <c r="L2331" s="45" t="str">
        <f>IFERROR(VLOOKUP(B2331,'Pre-Summary'!$CU$6:$CW$36,3,FALSE),"")</f>
        <v/>
      </c>
      <c r="M2331" s="45" t="str">
        <f>IFERROR(VLOOKUP(B2331,'Pre-Summary'!$BW$6:$BY$58,2,FALSE),"")</f>
        <v/>
      </c>
      <c r="N2331" s="45" t="str">
        <f>IFERROR(VLOOKUP(B2331,'Pre-Summary'!$CD$6:$CF$64,2,FALSE),"")</f>
        <v/>
      </c>
      <c r="O2331" s="99">
        <f>IFERROR(VLOOKUP(B2331,'Pre-Summary'!$BO$6:$BQ$48,3, FALSE),O2330)</f>
        <v>1.508</v>
      </c>
      <c r="P2331" s="99">
        <f>IFERROR(VLOOKUP(B2331,'Pre-Summary'!$BS$6:$BU$35,3,FALSE),P2330)</f>
        <v>0.379</v>
      </c>
      <c r="Q2331" s="54">
        <f t="shared" si="108"/>
        <v>3.9788918205804751</v>
      </c>
      <c r="R2331" s="53">
        <f>IFERROR(VLOOKUP(B2331,'Pre-Summary'!$BG$6:$BM$44,7,FALSE),R2332)</f>
        <v>9.7948682664336664E-2</v>
      </c>
      <c r="S2331" s="53">
        <f>IFERROR(VLOOKUP(B2331,'Pre-Summary'!$BG$6:$BM$44,6,FALSE),S2332)</f>
        <v>0.10614035087720526</v>
      </c>
      <c r="T2331" s="45" t="str">
        <f>IFERROR(VLOOKUP(B2331,'Pre-Summary'!$Y$6:$AC$83, 3,FALSE),"")</f>
        <v/>
      </c>
      <c r="U2331" s="45" t="str">
        <f>IFERROR(VLOOKUP(B2331,'Pre-Summary'!$Y$6:$AC$83, 4,FALSE),"")</f>
        <v/>
      </c>
      <c r="V2331" t="str">
        <f>IFERROR(VLOOKUP(B2331,'Pre-Summary'!$Y$6:$AC$83, 5,FALSE),"")</f>
        <v/>
      </c>
      <c r="W2331" s="45" t="str">
        <f>IFERROR(VLOOKUP(B2331,'Pre-Summary'!$Y$6:$AD$83,6,FALSE),"")</f>
        <v/>
      </c>
      <c r="X2331" t="str">
        <f>IFERROR(VLOOKUP('Pre-Summary'!$DB$6:$DD$63,3,FALSE),"")</f>
        <v/>
      </c>
      <c r="Y2331" t="str">
        <f>IFERROR(VLOOKUP(B2331,'Pre-Summary'!$CR$6:$CT$36,3,FALSE),"")</f>
        <v/>
      </c>
      <c r="Z2331" s="45" t="str">
        <f>IFERROR(VLOOKUP(B2331,'Pre-Summary'!$BZ$6:$CB$63,2,FALSE),"")</f>
        <v/>
      </c>
      <c r="AA2331" s="45" t="str">
        <f>IFERROR(VLOOKUP(B2331,'Pre-Summary'!$CG$6:$CI$70,2,FALSE),"")</f>
        <v/>
      </c>
      <c r="AB2331" s="99">
        <f>IFERROR(VLOOKUP(B2331,'Pre-Summary'!$A$6:$P$178,9,FALSE),AB2332)</f>
        <v>0.3510413030600153</v>
      </c>
      <c r="AC2331" s="10">
        <f>IFERROR(VLOOKUP(Summary!B2331,'Pre-Summary'!$A$6:$P$184,5, FALSE)/100,AC2332)</f>
        <v>0.95838633333333334</v>
      </c>
      <c r="AD2331" s="10">
        <f>IFERROR(VLOOKUP(Summary!B2331,'Pre-Summary'!$A$6:$P$184,3, FALSE)/100,AD2332)</f>
        <v>2.8433333333333331E-2</v>
      </c>
      <c r="AE2331" s="10">
        <f>IFERROR(VLOOKUP(Summary!B2331,'Pre-Summary'!$A$6:$P$184,7, FALSE)/100,AE2332)</f>
        <v>1.3180333333333334E-2</v>
      </c>
      <c r="AF2331" s="99">
        <f t="shared" si="109"/>
        <v>9.9812743836731003E-3</v>
      </c>
      <c r="AG2331" s="99">
        <f t="shared" si="110"/>
        <v>4.6268413880986882E-3</v>
      </c>
      <c r="AH2331" s="10" t="str">
        <f>IFERROR(VLOOKUP(B2331,'Pre-Summary'!$AZ$6:$BE$65,3,FALSE),"")</f>
        <v/>
      </c>
      <c r="AI2331" s="10" t="str">
        <f>IFERROR(VLOOKUP(B2331,'Pre-Summary'!$AZ$6:$BE$65,5,FALSE),"")</f>
        <v/>
      </c>
      <c r="AJ2331" s="10" t="str">
        <f>IFERROR(VLOOKUP(B2331,'Pre-Summary'!$AZ$6:$BE$65,4,FALSE),"")</f>
        <v/>
      </c>
      <c r="AK2331" s="10" t="str">
        <f>IFERROR(VLOOKUP(B2331,'Pre-Summary'!$AZ$6:$BE$65,6,FALSE),"")</f>
        <v/>
      </c>
      <c r="AL2331" s="10" t="str">
        <f>IFERROR(VLOOKUP(B2331,'Pre-Summary'!$BG$6:$BL$44,3,FALSE),"")</f>
        <v/>
      </c>
      <c r="AM2331" s="10" t="str">
        <f>IFERROR(VLOOKUP(B2331,'Pre-Summary'!$BG$6:$BL$44,4,FALSE),"")</f>
        <v/>
      </c>
    </row>
    <row r="2332" spans="2:39" ht="15" customHeight="1" x14ac:dyDescent="0.3">
      <c r="B2332">
        <v>232.9</v>
      </c>
      <c r="C2332" t="str">
        <f>IFERROR(VLOOKUP(B2332,'Pre-Summary'!$DI$6:$DM$23,4,FALSE),"")</f>
        <v/>
      </c>
      <c r="D2332" s="10" t="str">
        <f>IFERROR(VLOOKUP(B2332,'Pre-Summary'!$AT$6:$AX$14,5,FALSE),D2331)</f>
        <v>Wolfe v3: went back to modified wolfe + EDTA and switched CuSO4 to CUCl2</v>
      </c>
      <c r="E2332" s="10" t="str">
        <f>IFERROR(VLOOKUP(B2332,'Pre-Summary'!$AT$6:$AX$15,4,FALSE),"")</f>
        <v/>
      </c>
      <c r="F2332">
        <f>IFERROR(VLOOKUP(B2332,'Pre-Summary'!$AL$6:$AQ$13,6,FALSE),F2331)</f>
        <v>5.9405263157894746E-2</v>
      </c>
      <c r="G2332" t="str">
        <f>IFERROR(VLOOKUP(B2332,'Pre-Summary'!$AE$6:$AJ$85,3,FALSE),"")</f>
        <v/>
      </c>
      <c r="H2332" t="str">
        <f>IFERROR(VLOOKUP(B2332,'Pre-Summary'!$AE$6:$AJ$85,4,FALSE),"")</f>
        <v/>
      </c>
      <c r="I2332" t="str">
        <f>IFERROR(VLOOKUP(B2332,'Pre-Summary'!$AE$6:$AJ$85,5,FALSE),"")</f>
        <v/>
      </c>
      <c r="J2332" s="45" t="str">
        <f>IFERROR(VLOOKUP(B2332,'Pre-Summary'!$AE$6:$AJ$85,6, FALSE),"")</f>
        <v/>
      </c>
      <c r="K2332" s="45" t="str">
        <f>IFERROR(VLOOKUP(B2332,'Pre-Summary'!$DE$6:$DG$61,3,FALSE),"")</f>
        <v/>
      </c>
      <c r="L2332" s="45" t="str">
        <f>IFERROR(VLOOKUP(B2332,'Pre-Summary'!$CU$6:$CW$36,3,FALSE),"")</f>
        <v/>
      </c>
      <c r="M2332" s="45" t="str">
        <f>IFERROR(VLOOKUP(B2332,'Pre-Summary'!$BW$6:$BY$58,2,FALSE),"")</f>
        <v/>
      </c>
      <c r="N2332" s="45" t="str">
        <f>IFERROR(VLOOKUP(B2332,'Pre-Summary'!$CD$6:$CF$64,2,FALSE),"")</f>
        <v/>
      </c>
      <c r="O2332" s="99">
        <f>IFERROR(VLOOKUP(B2332,'Pre-Summary'!$BO$6:$BQ$48,3, FALSE),O2331)</f>
        <v>1.508</v>
      </c>
      <c r="P2332" s="99">
        <f>IFERROR(VLOOKUP(B2332,'Pre-Summary'!$BS$6:$BU$35,3,FALSE),P2331)</f>
        <v>0.379</v>
      </c>
      <c r="Q2332" s="54">
        <f t="shared" si="108"/>
        <v>3.9788918205804751</v>
      </c>
      <c r="R2332" s="53">
        <f>IFERROR(VLOOKUP(B2332,'Pre-Summary'!$BG$6:$BM$44,7,FALSE),R2333)</f>
        <v>9.7948682664336664E-2</v>
      </c>
      <c r="S2332" s="53">
        <f>IFERROR(VLOOKUP(B2332,'Pre-Summary'!$BG$6:$BM$44,6,FALSE),S2333)</f>
        <v>0.10614035087720526</v>
      </c>
      <c r="T2332" s="45" t="str">
        <f>IFERROR(VLOOKUP(B2332,'Pre-Summary'!$Y$6:$AC$83, 3,FALSE),"")</f>
        <v/>
      </c>
      <c r="U2332" s="45" t="str">
        <f>IFERROR(VLOOKUP(B2332,'Pre-Summary'!$Y$6:$AC$83, 4,FALSE),"")</f>
        <v/>
      </c>
      <c r="V2332" t="str">
        <f>IFERROR(VLOOKUP(B2332,'Pre-Summary'!$Y$6:$AC$83, 5,FALSE),"")</f>
        <v/>
      </c>
      <c r="W2332" s="45" t="str">
        <f>IFERROR(VLOOKUP(B2332,'Pre-Summary'!$Y$6:$AD$83,6,FALSE),"")</f>
        <v/>
      </c>
      <c r="X2332" t="str">
        <f>IFERROR(VLOOKUP('Pre-Summary'!$DB$6:$DD$63,3,FALSE),"")</f>
        <v/>
      </c>
      <c r="Y2332" t="str">
        <f>IFERROR(VLOOKUP(B2332,'Pre-Summary'!$CR$6:$CT$36,3,FALSE),"")</f>
        <v/>
      </c>
      <c r="Z2332" s="45" t="str">
        <f>IFERROR(VLOOKUP(B2332,'Pre-Summary'!$BZ$6:$CB$63,2,FALSE),"")</f>
        <v/>
      </c>
      <c r="AA2332" s="45" t="str">
        <f>IFERROR(VLOOKUP(B2332,'Pre-Summary'!$CG$6:$CI$70,2,FALSE),"")</f>
        <v/>
      </c>
      <c r="AB2332" s="99">
        <f>IFERROR(VLOOKUP(B2332,'Pre-Summary'!$A$6:$P$178,9,FALSE),AB2333)</f>
        <v>0.3510413030600153</v>
      </c>
      <c r="AC2332" s="10">
        <f>IFERROR(VLOOKUP(Summary!B2332,'Pre-Summary'!$A$6:$P$184,5, FALSE)/100,AC2333)</f>
        <v>0.95838633333333334</v>
      </c>
      <c r="AD2332" s="10">
        <f>IFERROR(VLOOKUP(Summary!B2332,'Pre-Summary'!$A$6:$P$184,3, FALSE)/100,AD2333)</f>
        <v>2.8433333333333331E-2</v>
      </c>
      <c r="AE2332" s="10">
        <f>IFERROR(VLOOKUP(Summary!B2332,'Pre-Summary'!$A$6:$P$184,7, FALSE)/100,AE2333)</f>
        <v>1.3180333333333334E-2</v>
      </c>
      <c r="AF2332" s="99">
        <f t="shared" si="109"/>
        <v>9.9812743836731003E-3</v>
      </c>
      <c r="AG2332" s="99">
        <f t="shared" si="110"/>
        <v>4.6268413880986882E-3</v>
      </c>
      <c r="AH2332" s="10" t="str">
        <f>IFERROR(VLOOKUP(B2332,'Pre-Summary'!$AZ$6:$BE$65,3,FALSE),"")</f>
        <v/>
      </c>
      <c r="AI2332" s="10" t="str">
        <f>IFERROR(VLOOKUP(B2332,'Pre-Summary'!$AZ$6:$BE$65,5,FALSE),"")</f>
        <v/>
      </c>
      <c r="AJ2332" s="10" t="str">
        <f>IFERROR(VLOOKUP(B2332,'Pre-Summary'!$AZ$6:$BE$65,4,FALSE),"")</f>
        <v/>
      </c>
      <c r="AK2332" s="10" t="str">
        <f>IFERROR(VLOOKUP(B2332,'Pre-Summary'!$AZ$6:$BE$65,6,FALSE),"")</f>
        <v/>
      </c>
      <c r="AL2332" s="10" t="str">
        <f>IFERROR(VLOOKUP(B2332,'Pre-Summary'!$BG$6:$BL$44,3,FALSE),"")</f>
        <v/>
      </c>
      <c r="AM2332" s="10" t="str">
        <f>IFERROR(VLOOKUP(B2332,'Pre-Summary'!$BG$6:$BL$44,4,FALSE),"")</f>
        <v/>
      </c>
    </row>
    <row r="2333" spans="2:39" ht="15" customHeight="1" x14ac:dyDescent="0.3">
      <c r="B2333">
        <v>233</v>
      </c>
      <c r="C2333" t="str">
        <f>IFERROR(VLOOKUP(B2333,'Pre-Summary'!$DI$6:$DM$23,4,FALSE),"")</f>
        <v/>
      </c>
      <c r="D2333" s="10" t="str">
        <f>IFERROR(VLOOKUP(B2333,'Pre-Summary'!$AT$6:$AX$14,5,FALSE),D2332)</f>
        <v>Wolfe v3: went back to modified wolfe + EDTA and switched CuSO4 to CUCl2</v>
      </c>
      <c r="E2333" s="10" t="str">
        <f>IFERROR(VLOOKUP(B2333,'Pre-Summary'!$AT$6:$AX$15,4,FALSE),"")</f>
        <v/>
      </c>
      <c r="F2333">
        <f>IFERROR(VLOOKUP(B2333,'Pre-Summary'!$AL$6:$AQ$13,6,FALSE),F2332)</f>
        <v>5.9405263157894746E-2</v>
      </c>
      <c r="G2333" t="str">
        <f>IFERROR(VLOOKUP(B2333,'Pre-Summary'!$AE$6:$AJ$85,3,FALSE),"")</f>
        <v/>
      </c>
      <c r="H2333" t="str">
        <f>IFERROR(VLOOKUP(B2333,'Pre-Summary'!$AE$6:$AJ$85,4,FALSE),"")</f>
        <v/>
      </c>
      <c r="I2333" t="str">
        <f>IFERROR(VLOOKUP(B2333,'Pre-Summary'!$AE$6:$AJ$85,5,FALSE),"")</f>
        <v/>
      </c>
      <c r="J2333" s="45" t="str">
        <f>IFERROR(VLOOKUP(B2333,'Pre-Summary'!$AE$6:$AJ$85,6, FALSE),"")</f>
        <v/>
      </c>
      <c r="K2333" s="45" t="str">
        <f>IFERROR(VLOOKUP(B2333,'Pre-Summary'!$DE$6:$DG$61,3,FALSE),"")</f>
        <v/>
      </c>
      <c r="L2333" s="45" t="str">
        <f>IFERROR(VLOOKUP(B2333,'Pre-Summary'!$CU$6:$CW$36,3,FALSE),"")</f>
        <v/>
      </c>
      <c r="M2333" s="45" t="str">
        <f>IFERROR(VLOOKUP(B2333,'Pre-Summary'!$BW$6:$BY$58,2,FALSE),"")</f>
        <v/>
      </c>
      <c r="N2333" s="45" t="str">
        <f>IFERROR(VLOOKUP(B2333,'Pre-Summary'!$CD$6:$CF$64,2,FALSE),"")</f>
        <v/>
      </c>
      <c r="O2333" s="99">
        <f>IFERROR(VLOOKUP(B2333,'Pre-Summary'!$BO$6:$BQ$48,3, FALSE),O2332)</f>
        <v>1.508</v>
      </c>
      <c r="P2333" s="99">
        <f>IFERROR(VLOOKUP(B2333,'Pre-Summary'!$BS$6:$BU$35,3,FALSE),P2332)</f>
        <v>0.379</v>
      </c>
      <c r="Q2333" s="54">
        <f t="shared" si="108"/>
        <v>3.9788918205804751</v>
      </c>
      <c r="R2333" s="53">
        <f>IFERROR(VLOOKUP(B2333,'Pre-Summary'!$BG$6:$BM$44,7,FALSE),R2334)</f>
        <v>9.7948682664336664E-2</v>
      </c>
      <c r="S2333" s="53">
        <f>IFERROR(VLOOKUP(B2333,'Pre-Summary'!$BG$6:$BM$44,6,FALSE),S2334)</f>
        <v>0.10614035087720526</v>
      </c>
      <c r="T2333" s="45" t="str">
        <f>IFERROR(VLOOKUP(B2333,'Pre-Summary'!$Y$6:$AC$83, 3,FALSE),"")</f>
        <v/>
      </c>
      <c r="U2333" s="45" t="str">
        <f>IFERROR(VLOOKUP(B2333,'Pre-Summary'!$Y$6:$AC$83, 4,FALSE),"")</f>
        <v/>
      </c>
      <c r="V2333" t="str">
        <f>IFERROR(VLOOKUP(B2333,'Pre-Summary'!$Y$6:$AC$83, 5,FALSE),"")</f>
        <v/>
      </c>
      <c r="W2333" s="45" t="str">
        <f>IFERROR(VLOOKUP(B2333,'Pre-Summary'!$Y$6:$AD$83,6,FALSE),"")</f>
        <v/>
      </c>
      <c r="X2333" t="str">
        <f>IFERROR(VLOOKUP('Pre-Summary'!$DB$6:$DD$63,3,FALSE),"")</f>
        <v/>
      </c>
      <c r="Y2333" t="str">
        <f>IFERROR(VLOOKUP(B2333,'Pre-Summary'!$CR$6:$CT$36,3,FALSE),"")</f>
        <v/>
      </c>
      <c r="Z2333" s="45" t="str">
        <f>IFERROR(VLOOKUP(B2333,'Pre-Summary'!$BZ$6:$CB$63,2,FALSE),"")</f>
        <v/>
      </c>
      <c r="AA2333" s="45" t="str">
        <f>IFERROR(VLOOKUP(B2333,'Pre-Summary'!$CG$6:$CI$70,2,FALSE),"")</f>
        <v/>
      </c>
      <c r="AB2333" s="99">
        <f>IFERROR(VLOOKUP(B2333,'Pre-Summary'!$A$6:$P$178,9,FALSE),AB2334)</f>
        <v>0.338931514326901</v>
      </c>
      <c r="AC2333" s="10">
        <f>IFERROR(VLOOKUP(Summary!B2333,'Pre-Summary'!$A$6:$P$184,5, FALSE)/100,AC2334)</f>
        <v>0.95826766666666674</v>
      </c>
      <c r="AD2333" s="10">
        <f>IFERROR(VLOOKUP(Summary!B2333,'Pre-Summary'!$A$6:$P$184,3, FALSE)/100,AD2334)</f>
        <v>3.3821333333333335E-2</v>
      </c>
      <c r="AE2333" s="10">
        <f>IFERROR(VLOOKUP(Summary!B2333,'Pre-Summary'!$A$6:$P$184,7, FALSE)/100,AE2334)</f>
        <v>7.9139999999999992E-3</v>
      </c>
      <c r="AF2333" s="99">
        <f t="shared" si="109"/>
        <v>1.1463115723221562E-2</v>
      </c>
      <c r="AG2333" s="99">
        <f t="shared" si="110"/>
        <v>2.6823040043830941E-3</v>
      </c>
      <c r="AH2333" s="10" t="str">
        <f>IFERROR(VLOOKUP(B2333,'Pre-Summary'!$AZ$6:$BE$65,3,FALSE),"")</f>
        <v/>
      </c>
      <c r="AI2333" s="10" t="str">
        <f>IFERROR(VLOOKUP(B2333,'Pre-Summary'!$AZ$6:$BE$65,5,FALSE),"")</f>
        <v/>
      </c>
      <c r="AJ2333" s="10" t="str">
        <f>IFERROR(VLOOKUP(B2333,'Pre-Summary'!$AZ$6:$BE$65,4,FALSE),"")</f>
        <v/>
      </c>
      <c r="AK2333" s="10" t="str">
        <f>IFERROR(VLOOKUP(B2333,'Pre-Summary'!$AZ$6:$BE$65,6,FALSE),"")</f>
        <v/>
      </c>
      <c r="AL2333" s="10" t="str">
        <f>IFERROR(VLOOKUP(B2333,'Pre-Summary'!$BG$6:$BL$44,3,FALSE),"")</f>
        <v/>
      </c>
      <c r="AM2333" s="10" t="str">
        <f>IFERROR(VLOOKUP(B2333,'Pre-Summary'!$BG$6:$BL$44,4,FALSE),"")</f>
        <v/>
      </c>
    </row>
    <row r="2334" spans="2:39" ht="15" customHeight="1" x14ac:dyDescent="0.3">
      <c r="B2334">
        <v>233.1</v>
      </c>
      <c r="C2334" t="str">
        <f>IFERROR(VLOOKUP(B2334,'Pre-Summary'!$DI$6:$DM$23,4,FALSE),"")</f>
        <v/>
      </c>
      <c r="D2334" s="10" t="str">
        <f>IFERROR(VLOOKUP(B2334,'Pre-Summary'!$AT$6:$AX$14,5,FALSE),D2333)</f>
        <v>Wolfe v3: went back to modified wolfe + EDTA and switched CuSO4 to CUCl2</v>
      </c>
      <c r="E2334" s="10" t="str">
        <f>IFERROR(VLOOKUP(B2334,'Pre-Summary'!$AT$6:$AX$15,4,FALSE),"")</f>
        <v/>
      </c>
      <c r="F2334">
        <f>IFERROR(VLOOKUP(B2334,'Pre-Summary'!$AL$6:$AQ$13,6,FALSE),F2333)</f>
        <v>5.9405263157894746E-2</v>
      </c>
      <c r="G2334" t="str">
        <f>IFERROR(VLOOKUP(B2334,'Pre-Summary'!$AE$6:$AJ$85,3,FALSE),"")</f>
        <v/>
      </c>
      <c r="H2334" t="str">
        <f>IFERROR(VLOOKUP(B2334,'Pre-Summary'!$AE$6:$AJ$85,4,FALSE),"")</f>
        <v/>
      </c>
      <c r="I2334" t="str">
        <f>IFERROR(VLOOKUP(B2334,'Pre-Summary'!$AE$6:$AJ$85,5,FALSE),"")</f>
        <v/>
      </c>
      <c r="J2334" s="45" t="str">
        <f>IFERROR(VLOOKUP(B2334,'Pre-Summary'!$AE$6:$AJ$85,6, FALSE),"")</f>
        <v/>
      </c>
      <c r="K2334" s="45" t="str">
        <f>IFERROR(VLOOKUP(B2334,'Pre-Summary'!$DE$6:$DG$61,3,FALSE),"")</f>
        <v/>
      </c>
      <c r="L2334" s="45" t="str">
        <f>IFERROR(VLOOKUP(B2334,'Pre-Summary'!$CU$6:$CW$36,3,FALSE),"")</f>
        <v/>
      </c>
      <c r="M2334" s="45" t="str">
        <f>IFERROR(VLOOKUP(B2334,'Pre-Summary'!$BW$6:$BY$58,2,FALSE),"")</f>
        <v/>
      </c>
      <c r="N2334" s="45" t="str">
        <f>IFERROR(VLOOKUP(B2334,'Pre-Summary'!$CD$6:$CF$64,2,FALSE),"")</f>
        <v/>
      </c>
      <c r="O2334" s="99">
        <f>IFERROR(VLOOKUP(B2334,'Pre-Summary'!$BO$6:$BQ$48,3, FALSE),O2333)</f>
        <v>1.508</v>
      </c>
      <c r="P2334" s="99">
        <f>IFERROR(VLOOKUP(B2334,'Pre-Summary'!$BS$6:$BU$35,3,FALSE),P2333)</f>
        <v>0.379</v>
      </c>
      <c r="Q2334" s="54">
        <f t="shared" si="108"/>
        <v>3.9788918205804751</v>
      </c>
      <c r="R2334" s="53">
        <f>IFERROR(VLOOKUP(B2334,'Pre-Summary'!$BG$6:$BM$44,7,FALSE),R2335)</f>
        <v>9.7948682664336664E-2</v>
      </c>
      <c r="S2334" s="53">
        <f>IFERROR(VLOOKUP(B2334,'Pre-Summary'!$BG$6:$BM$44,6,FALSE),S2335)</f>
        <v>0.10614035087720526</v>
      </c>
      <c r="T2334" s="45" t="str">
        <f>IFERROR(VLOOKUP(B2334,'Pre-Summary'!$Y$6:$AC$83, 3,FALSE),"")</f>
        <v/>
      </c>
      <c r="U2334" s="45" t="str">
        <f>IFERROR(VLOOKUP(B2334,'Pre-Summary'!$Y$6:$AC$83, 4,FALSE),"")</f>
        <v/>
      </c>
      <c r="V2334" t="str">
        <f>IFERROR(VLOOKUP(B2334,'Pre-Summary'!$Y$6:$AC$83, 5,FALSE),"")</f>
        <v/>
      </c>
      <c r="W2334" s="45" t="str">
        <f>IFERROR(VLOOKUP(B2334,'Pre-Summary'!$Y$6:$AD$83,6,FALSE),"")</f>
        <v/>
      </c>
      <c r="X2334" t="str">
        <f>IFERROR(VLOOKUP('Pre-Summary'!$DB$6:$DD$63,3,FALSE),"")</f>
        <v/>
      </c>
      <c r="Y2334" t="str">
        <f>IFERROR(VLOOKUP(B2334,'Pre-Summary'!$CR$6:$CT$36,3,FALSE),"")</f>
        <v/>
      </c>
      <c r="Z2334" s="45" t="str">
        <f>IFERROR(VLOOKUP(B2334,'Pre-Summary'!$BZ$6:$CB$63,2,FALSE),"")</f>
        <v/>
      </c>
      <c r="AA2334" s="45" t="str">
        <f>IFERROR(VLOOKUP(B2334,'Pre-Summary'!$CG$6:$CI$70,2,FALSE),"")</f>
        <v/>
      </c>
      <c r="AB2334" s="99">
        <f>IFERROR(VLOOKUP(B2334,'Pre-Summary'!$A$6:$P$178,9,FALSE),AB2335)</f>
        <v>0.338931514326901</v>
      </c>
      <c r="AC2334" s="10">
        <f>IFERROR(VLOOKUP(Summary!B2334,'Pre-Summary'!$A$6:$P$184,5, FALSE)/100,AC2335)</f>
        <v>0.95826766666666674</v>
      </c>
      <c r="AD2334" s="10">
        <f>IFERROR(VLOOKUP(Summary!B2334,'Pre-Summary'!$A$6:$P$184,3, FALSE)/100,AD2335)</f>
        <v>3.3821333333333335E-2</v>
      </c>
      <c r="AE2334" s="10">
        <f>IFERROR(VLOOKUP(Summary!B2334,'Pre-Summary'!$A$6:$P$184,7, FALSE)/100,AE2335)</f>
        <v>7.9139999999999992E-3</v>
      </c>
      <c r="AF2334" s="99">
        <f t="shared" si="109"/>
        <v>1.1463115723221562E-2</v>
      </c>
      <c r="AG2334" s="99">
        <f t="shared" si="110"/>
        <v>2.6823040043830941E-3</v>
      </c>
      <c r="AH2334" s="10" t="str">
        <f>IFERROR(VLOOKUP(B2334,'Pre-Summary'!$AZ$6:$BE$65,3,FALSE),"")</f>
        <v/>
      </c>
      <c r="AI2334" s="10" t="str">
        <f>IFERROR(VLOOKUP(B2334,'Pre-Summary'!$AZ$6:$BE$65,5,FALSE),"")</f>
        <v/>
      </c>
      <c r="AJ2334" s="10" t="str">
        <f>IFERROR(VLOOKUP(B2334,'Pre-Summary'!$AZ$6:$BE$65,4,FALSE),"")</f>
        <v/>
      </c>
      <c r="AK2334" s="10" t="str">
        <f>IFERROR(VLOOKUP(B2334,'Pre-Summary'!$AZ$6:$BE$65,6,FALSE),"")</f>
        <v/>
      </c>
      <c r="AL2334" s="10" t="str">
        <f>IFERROR(VLOOKUP(B2334,'Pre-Summary'!$BG$6:$BL$44,3,FALSE),"")</f>
        <v/>
      </c>
      <c r="AM2334" s="10" t="str">
        <f>IFERROR(VLOOKUP(B2334,'Pre-Summary'!$BG$6:$BL$44,4,FALSE),"")</f>
        <v/>
      </c>
    </row>
    <row r="2335" spans="2:39" ht="15" customHeight="1" x14ac:dyDescent="0.3">
      <c r="B2335">
        <v>233.2</v>
      </c>
      <c r="C2335" t="str">
        <f>IFERROR(VLOOKUP(B2335,'Pre-Summary'!$DI$6:$DM$23,4,FALSE),"")</f>
        <v/>
      </c>
      <c r="D2335" s="10" t="str">
        <f>IFERROR(VLOOKUP(B2335,'Pre-Summary'!$AT$6:$AX$14,5,FALSE),D2334)</f>
        <v>Wolfe v3: went back to modified wolfe + EDTA and switched CuSO4 to CUCl2</v>
      </c>
      <c r="E2335" s="10" t="str">
        <f>IFERROR(VLOOKUP(B2335,'Pre-Summary'!$AT$6:$AX$15,4,FALSE),"")</f>
        <v/>
      </c>
      <c r="F2335">
        <f>IFERROR(VLOOKUP(B2335,'Pre-Summary'!$AL$6:$AQ$13,6,FALSE),F2334)</f>
        <v>5.9405263157894746E-2</v>
      </c>
      <c r="G2335" t="str">
        <f>IFERROR(VLOOKUP(B2335,'Pre-Summary'!$AE$6:$AJ$85,3,FALSE),"")</f>
        <v/>
      </c>
      <c r="H2335" t="str">
        <f>IFERROR(VLOOKUP(B2335,'Pre-Summary'!$AE$6:$AJ$85,4,FALSE),"")</f>
        <v/>
      </c>
      <c r="I2335" t="str">
        <f>IFERROR(VLOOKUP(B2335,'Pre-Summary'!$AE$6:$AJ$85,5,FALSE),"")</f>
        <v/>
      </c>
      <c r="J2335" s="45" t="str">
        <f>IFERROR(VLOOKUP(B2335,'Pre-Summary'!$AE$6:$AJ$85,6, FALSE),"")</f>
        <v/>
      </c>
      <c r="K2335" s="45" t="str">
        <f>IFERROR(VLOOKUP(B2335,'Pre-Summary'!$DE$6:$DG$61,3,FALSE),"")</f>
        <v/>
      </c>
      <c r="L2335" s="45" t="str">
        <f>IFERROR(VLOOKUP(B2335,'Pre-Summary'!$CU$6:$CW$36,3,FALSE),"")</f>
        <v/>
      </c>
      <c r="M2335" s="45" t="str">
        <f>IFERROR(VLOOKUP(B2335,'Pre-Summary'!$BW$6:$BY$58,2,FALSE),"")</f>
        <v/>
      </c>
      <c r="N2335" s="45" t="str">
        <f>IFERROR(VLOOKUP(B2335,'Pre-Summary'!$CD$6:$CF$64,2,FALSE),"")</f>
        <v/>
      </c>
      <c r="O2335" s="99">
        <f>IFERROR(VLOOKUP(B2335,'Pre-Summary'!$BO$6:$BQ$48,3, FALSE),O2334)</f>
        <v>1.508</v>
      </c>
      <c r="P2335" s="99">
        <f>IFERROR(VLOOKUP(B2335,'Pre-Summary'!$BS$6:$BU$35,3,FALSE),P2334)</f>
        <v>0.379</v>
      </c>
      <c r="Q2335" s="54">
        <f t="shared" si="108"/>
        <v>3.9788918205804751</v>
      </c>
      <c r="R2335" s="53">
        <f>IFERROR(VLOOKUP(B2335,'Pre-Summary'!$BG$6:$BM$44,7,FALSE),R2336)</f>
        <v>9.7948682664336664E-2</v>
      </c>
      <c r="S2335" s="53">
        <f>IFERROR(VLOOKUP(B2335,'Pre-Summary'!$BG$6:$BM$44,6,FALSE),S2336)</f>
        <v>0.10614035087720526</v>
      </c>
      <c r="T2335" s="45" t="str">
        <f>IFERROR(VLOOKUP(B2335,'Pre-Summary'!$Y$6:$AC$83, 3,FALSE),"")</f>
        <v/>
      </c>
      <c r="U2335" s="45" t="str">
        <f>IFERROR(VLOOKUP(B2335,'Pre-Summary'!$Y$6:$AC$83, 4,FALSE),"")</f>
        <v/>
      </c>
      <c r="V2335" t="str">
        <f>IFERROR(VLOOKUP(B2335,'Pre-Summary'!$Y$6:$AC$83, 5,FALSE),"")</f>
        <v/>
      </c>
      <c r="W2335" s="45" t="str">
        <f>IFERROR(VLOOKUP(B2335,'Pre-Summary'!$Y$6:$AD$83,6,FALSE),"")</f>
        <v/>
      </c>
      <c r="X2335" t="str">
        <f>IFERROR(VLOOKUP('Pre-Summary'!$DB$6:$DD$63,3,FALSE),"")</f>
        <v/>
      </c>
      <c r="Y2335" t="str">
        <f>IFERROR(VLOOKUP(B2335,'Pre-Summary'!$CR$6:$CT$36,3,FALSE),"")</f>
        <v/>
      </c>
      <c r="Z2335" s="45" t="str">
        <f>IFERROR(VLOOKUP(B2335,'Pre-Summary'!$BZ$6:$CB$63,2,FALSE),"")</f>
        <v/>
      </c>
      <c r="AA2335" s="45" t="str">
        <f>IFERROR(VLOOKUP(B2335,'Pre-Summary'!$CG$6:$CI$70,2,FALSE),"")</f>
        <v/>
      </c>
      <c r="AB2335" s="99">
        <f>IFERROR(VLOOKUP(B2335,'Pre-Summary'!$A$6:$P$178,9,FALSE),AB2336)</f>
        <v>0.338931514326901</v>
      </c>
      <c r="AC2335" s="10">
        <f>IFERROR(VLOOKUP(Summary!B2335,'Pre-Summary'!$A$6:$P$184,5, FALSE)/100,AC2336)</f>
        <v>0.95826766666666674</v>
      </c>
      <c r="AD2335" s="10">
        <f>IFERROR(VLOOKUP(Summary!B2335,'Pre-Summary'!$A$6:$P$184,3, FALSE)/100,AD2336)</f>
        <v>3.3821333333333335E-2</v>
      </c>
      <c r="AE2335" s="10">
        <f>IFERROR(VLOOKUP(Summary!B2335,'Pre-Summary'!$A$6:$P$184,7, FALSE)/100,AE2336)</f>
        <v>7.9139999999999992E-3</v>
      </c>
      <c r="AF2335" s="99">
        <f t="shared" si="109"/>
        <v>1.1463115723221562E-2</v>
      </c>
      <c r="AG2335" s="99">
        <f t="shared" si="110"/>
        <v>2.6823040043830941E-3</v>
      </c>
      <c r="AH2335" s="10" t="str">
        <f>IFERROR(VLOOKUP(B2335,'Pre-Summary'!$AZ$6:$BE$65,3,FALSE),"")</f>
        <v/>
      </c>
      <c r="AI2335" s="10" t="str">
        <f>IFERROR(VLOOKUP(B2335,'Pre-Summary'!$AZ$6:$BE$65,5,FALSE),"")</f>
        <v/>
      </c>
      <c r="AJ2335" s="10" t="str">
        <f>IFERROR(VLOOKUP(B2335,'Pre-Summary'!$AZ$6:$BE$65,4,FALSE),"")</f>
        <v/>
      </c>
      <c r="AK2335" s="10" t="str">
        <f>IFERROR(VLOOKUP(B2335,'Pre-Summary'!$AZ$6:$BE$65,6,FALSE),"")</f>
        <v/>
      </c>
      <c r="AL2335" s="10" t="str">
        <f>IFERROR(VLOOKUP(B2335,'Pre-Summary'!$BG$6:$BL$44,3,FALSE),"")</f>
        <v/>
      </c>
      <c r="AM2335" s="10" t="str">
        <f>IFERROR(VLOOKUP(B2335,'Pre-Summary'!$BG$6:$BL$44,4,FALSE),"")</f>
        <v/>
      </c>
    </row>
    <row r="2336" spans="2:39" ht="15" customHeight="1" x14ac:dyDescent="0.3">
      <c r="B2336">
        <v>233.3</v>
      </c>
      <c r="C2336" t="str">
        <f>IFERROR(VLOOKUP(B2336,'Pre-Summary'!$DI$6:$DM$23,4,FALSE),"")</f>
        <v/>
      </c>
      <c r="D2336" s="10" t="str">
        <f>IFERROR(VLOOKUP(B2336,'Pre-Summary'!$AT$6:$AX$14,5,FALSE),D2335)</f>
        <v>Wolfe v3: went back to modified wolfe + EDTA and switched CuSO4 to CUCl2</v>
      </c>
      <c r="E2336" s="10" t="str">
        <f>IFERROR(VLOOKUP(B2336,'Pre-Summary'!$AT$6:$AX$15,4,FALSE),"")</f>
        <v/>
      </c>
      <c r="F2336">
        <f>IFERROR(VLOOKUP(B2336,'Pre-Summary'!$AL$6:$AQ$13,6,FALSE),F2335)</f>
        <v>5.9405263157894746E-2</v>
      </c>
      <c r="G2336" t="str">
        <f>IFERROR(VLOOKUP(B2336,'Pre-Summary'!$AE$6:$AJ$85,3,FALSE),"")</f>
        <v/>
      </c>
      <c r="H2336" t="str">
        <f>IFERROR(VLOOKUP(B2336,'Pre-Summary'!$AE$6:$AJ$85,4,FALSE),"")</f>
        <v/>
      </c>
      <c r="I2336" t="str">
        <f>IFERROR(VLOOKUP(B2336,'Pre-Summary'!$AE$6:$AJ$85,5,FALSE),"")</f>
        <v/>
      </c>
      <c r="J2336" s="45" t="str">
        <f>IFERROR(VLOOKUP(B2336,'Pre-Summary'!$AE$6:$AJ$85,6, FALSE),"")</f>
        <v/>
      </c>
      <c r="K2336" s="45" t="str">
        <f>IFERROR(VLOOKUP(B2336,'Pre-Summary'!$DE$6:$DG$61,3,FALSE),"")</f>
        <v/>
      </c>
      <c r="L2336" s="45" t="str">
        <f>IFERROR(VLOOKUP(B2336,'Pre-Summary'!$CU$6:$CW$36,3,FALSE),"")</f>
        <v/>
      </c>
      <c r="M2336" s="45" t="str">
        <f>IFERROR(VLOOKUP(B2336,'Pre-Summary'!$BW$6:$BY$58,2,FALSE),"")</f>
        <v/>
      </c>
      <c r="N2336" s="45" t="str">
        <f>IFERROR(VLOOKUP(B2336,'Pre-Summary'!$CD$6:$CF$64,2,FALSE),"")</f>
        <v/>
      </c>
      <c r="O2336" s="99">
        <f>IFERROR(VLOOKUP(B2336,'Pre-Summary'!$BO$6:$BQ$48,3, FALSE),O2335)</f>
        <v>1.508</v>
      </c>
      <c r="P2336" s="99">
        <f>IFERROR(VLOOKUP(B2336,'Pre-Summary'!$BS$6:$BU$35,3,FALSE),P2335)</f>
        <v>0.379</v>
      </c>
      <c r="Q2336" s="54">
        <f t="shared" si="108"/>
        <v>3.9788918205804751</v>
      </c>
      <c r="R2336" s="53">
        <f>IFERROR(VLOOKUP(B2336,'Pre-Summary'!$BG$6:$BM$44,7,FALSE),R2337)</f>
        <v>9.7948682664336664E-2</v>
      </c>
      <c r="S2336" s="53">
        <f>IFERROR(VLOOKUP(B2336,'Pre-Summary'!$BG$6:$BM$44,6,FALSE),S2337)</f>
        <v>0.10614035087720526</v>
      </c>
      <c r="T2336" s="45" t="str">
        <f>IFERROR(VLOOKUP(B2336,'Pre-Summary'!$Y$6:$AC$83, 3,FALSE),"")</f>
        <v/>
      </c>
      <c r="U2336" s="45" t="str">
        <f>IFERROR(VLOOKUP(B2336,'Pre-Summary'!$Y$6:$AC$83, 4,FALSE),"")</f>
        <v/>
      </c>
      <c r="V2336" t="str">
        <f>IFERROR(VLOOKUP(B2336,'Pre-Summary'!$Y$6:$AC$83, 5,FALSE),"")</f>
        <v/>
      </c>
      <c r="W2336" s="45" t="str">
        <f>IFERROR(VLOOKUP(B2336,'Pre-Summary'!$Y$6:$AD$83,6,FALSE),"")</f>
        <v/>
      </c>
      <c r="X2336" t="str">
        <f>IFERROR(VLOOKUP('Pre-Summary'!$DB$6:$DD$63,3,FALSE),"")</f>
        <v/>
      </c>
      <c r="Y2336" t="str">
        <f>IFERROR(VLOOKUP(B2336,'Pre-Summary'!$CR$6:$CT$36,3,FALSE),"")</f>
        <v/>
      </c>
      <c r="Z2336" s="45" t="str">
        <f>IFERROR(VLOOKUP(B2336,'Pre-Summary'!$BZ$6:$CB$63,2,FALSE),"")</f>
        <v/>
      </c>
      <c r="AA2336" s="45" t="str">
        <f>IFERROR(VLOOKUP(B2336,'Pre-Summary'!$CG$6:$CI$70,2,FALSE),"")</f>
        <v/>
      </c>
      <c r="AB2336" s="99">
        <f>IFERROR(VLOOKUP(B2336,'Pre-Summary'!$A$6:$P$178,9,FALSE),AB2337)</f>
        <v>0.338931514326901</v>
      </c>
      <c r="AC2336" s="10">
        <f>IFERROR(VLOOKUP(Summary!B2336,'Pre-Summary'!$A$6:$P$184,5, FALSE)/100,AC2337)</f>
        <v>0.95826766666666674</v>
      </c>
      <c r="AD2336" s="10">
        <f>IFERROR(VLOOKUP(Summary!B2336,'Pre-Summary'!$A$6:$P$184,3, FALSE)/100,AD2337)</f>
        <v>3.3821333333333335E-2</v>
      </c>
      <c r="AE2336" s="10">
        <f>IFERROR(VLOOKUP(Summary!B2336,'Pre-Summary'!$A$6:$P$184,7, FALSE)/100,AE2337)</f>
        <v>7.9139999999999992E-3</v>
      </c>
      <c r="AF2336" s="99">
        <f t="shared" si="109"/>
        <v>1.1463115723221562E-2</v>
      </c>
      <c r="AG2336" s="99">
        <f t="shared" si="110"/>
        <v>2.6823040043830941E-3</v>
      </c>
      <c r="AH2336" s="10" t="str">
        <f>IFERROR(VLOOKUP(B2336,'Pre-Summary'!$AZ$6:$BE$65,3,FALSE),"")</f>
        <v/>
      </c>
      <c r="AI2336" s="10" t="str">
        <f>IFERROR(VLOOKUP(B2336,'Pre-Summary'!$AZ$6:$BE$65,5,FALSE),"")</f>
        <v/>
      </c>
      <c r="AJ2336" s="10" t="str">
        <f>IFERROR(VLOOKUP(B2336,'Pre-Summary'!$AZ$6:$BE$65,4,FALSE),"")</f>
        <v/>
      </c>
      <c r="AK2336" s="10" t="str">
        <f>IFERROR(VLOOKUP(B2336,'Pre-Summary'!$AZ$6:$BE$65,6,FALSE),"")</f>
        <v/>
      </c>
      <c r="AL2336" s="10" t="str">
        <f>IFERROR(VLOOKUP(B2336,'Pre-Summary'!$BG$6:$BL$44,3,FALSE),"")</f>
        <v/>
      </c>
      <c r="AM2336" s="10" t="str">
        <f>IFERROR(VLOOKUP(B2336,'Pre-Summary'!$BG$6:$BL$44,4,FALSE),"")</f>
        <v/>
      </c>
    </row>
    <row r="2337" spans="2:39" ht="15" customHeight="1" x14ac:dyDescent="0.3">
      <c r="B2337">
        <v>233.4</v>
      </c>
      <c r="C2337" t="str">
        <f>IFERROR(VLOOKUP(B2337,'Pre-Summary'!$DI$6:$DM$23,4,FALSE),"")</f>
        <v/>
      </c>
      <c r="D2337" s="10" t="str">
        <f>IFERROR(VLOOKUP(B2337,'Pre-Summary'!$AT$6:$AX$14,5,FALSE),D2336)</f>
        <v>Wolfe v3: went back to modified wolfe + EDTA and switched CuSO4 to CUCl2</v>
      </c>
      <c r="E2337" s="10" t="str">
        <f>IFERROR(VLOOKUP(B2337,'Pre-Summary'!$AT$6:$AX$15,4,FALSE),"")</f>
        <v/>
      </c>
      <c r="F2337">
        <f>IFERROR(VLOOKUP(B2337,'Pre-Summary'!$AL$6:$AQ$13,6,FALSE),F2336)</f>
        <v>5.9405263157894746E-2</v>
      </c>
      <c r="G2337" t="str">
        <f>IFERROR(VLOOKUP(B2337,'Pre-Summary'!$AE$6:$AJ$85,3,FALSE),"")</f>
        <v/>
      </c>
      <c r="H2337" t="str">
        <f>IFERROR(VLOOKUP(B2337,'Pre-Summary'!$AE$6:$AJ$85,4,FALSE),"")</f>
        <v/>
      </c>
      <c r="I2337" t="str">
        <f>IFERROR(VLOOKUP(B2337,'Pre-Summary'!$AE$6:$AJ$85,5,FALSE),"")</f>
        <v/>
      </c>
      <c r="J2337" s="45" t="str">
        <f>IFERROR(VLOOKUP(B2337,'Pre-Summary'!$AE$6:$AJ$85,6, FALSE),"")</f>
        <v/>
      </c>
      <c r="K2337" s="45" t="str">
        <f>IFERROR(VLOOKUP(B2337,'Pre-Summary'!$DE$6:$DG$61,3,FALSE),"")</f>
        <v/>
      </c>
      <c r="L2337" s="45" t="str">
        <f>IFERROR(VLOOKUP(B2337,'Pre-Summary'!$CU$6:$CW$36,3,FALSE),"")</f>
        <v/>
      </c>
      <c r="M2337" s="45" t="str">
        <f>IFERROR(VLOOKUP(B2337,'Pre-Summary'!$BW$6:$BY$58,2,FALSE),"")</f>
        <v/>
      </c>
      <c r="N2337" s="45" t="str">
        <f>IFERROR(VLOOKUP(B2337,'Pre-Summary'!$CD$6:$CF$64,2,FALSE),"")</f>
        <v/>
      </c>
      <c r="O2337" s="99">
        <f>IFERROR(VLOOKUP(B2337,'Pre-Summary'!$BO$6:$BQ$48,3, FALSE),O2336)</f>
        <v>1.508</v>
      </c>
      <c r="P2337" s="99">
        <f>IFERROR(VLOOKUP(B2337,'Pre-Summary'!$BS$6:$BU$35,3,FALSE),P2336)</f>
        <v>0.379</v>
      </c>
      <c r="Q2337" s="54">
        <f t="shared" si="108"/>
        <v>3.9788918205804751</v>
      </c>
      <c r="R2337" s="53">
        <f>IFERROR(VLOOKUP(B2337,'Pre-Summary'!$BG$6:$BM$44,7,FALSE),R2338)</f>
        <v>9.7948682664336664E-2</v>
      </c>
      <c r="S2337" s="53">
        <f>IFERROR(VLOOKUP(B2337,'Pre-Summary'!$BG$6:$BM$44,6,FALSE),S2338)</f>
        <v>0.10614035087720526</v>
      </c>
      <c r="T2337" s="45" t="str">
        <f>IFERROR(VLOOKUP(B2337,'Pre-Summary'!$Y$6:$AC$83, 3,FALSE),"")</f>
        <v/>
      </c>
      <c r="U2337" s="45" t="str">
        <f>IFERROR(VLOOKUP(B2337,'Pre-Summary'!$Y$6:$AC$83, 4,FALSE),"")</f>
        <v/>
      </c>
      <c r="V2337" t="str">
        <f>IFERROR(VLOOKUP(B2337,'Pre-Summary'!$Y$6:$AC$83, 5,FALSE),"")</f>
        <v/>
      </c>
      <c r="W2337" s="45" t="str">
        <f>IFERROR(VLOOKUP(B2337,'Pre-Summary'!$Y$6:$AD$83,6,FALSE),"")</f>
        <v/>
      </c>
      <c r="X2337" t="str">
        <f>IFERROR(VLOOKUP('Pre-Summary'!$DB$6:$DD$63,3,FALSE),"")</f>
        <v/>
      </c>
      <c r="Y2337" t="str">
        <f>IFERROR(VLOOKUP(B2337,'Pre-Summary'!$CR$6:$CT$36,3,FALSE),"")</f>
        <v/>
      </c>
      <c r="Z2337" s="45" t="str">
        <f>IFERROR(VLOOKUP(B2337,'Pre-Summary'!$BZ$6:$CB$63,2,FALSE),"")</f>
        <v/>
      </c>
      <c r="AA2337" s="45" t="str">
        <f>IFERROR(VLOOKUP(B2337,'Pre-Summary'!$CG$6:$CI$70,2,FALSE),"")</f>
        <v/>
      </c>
      <c r="AB2337" s="99">
        <f>IFERROR(VLOOKUP(B2337,'Pre-Summary'!$A$6:$P$178,9,FALSE),AB2338)</f>
        <v>0.338931514326901</v>
      </c>
      <c r="AC2337" s="10">
        <f>IFERROR(VLOOKUP(Summary!B2337,'Pre-Summary'!$A$6:$P$184,5, FALSE)/100,AC2338)</f>
        <v>0.95826766666666674</v>
      </c>
      <c r="AD2337" s="10">
        <f>IFERROR(VLOOKUP(Summary!B2337,'Pre-Summary'!$A$6:$P$184,3, FALSE)/100,AD2338)</f>
        <v>3.3821333333333335E-2</v>
      </c>
      <c r="AE2337" s="10">
        <f>IFERROR(VLOOKUP(Summary!B2337,'Pre-Summary'!$A$6:$P$184,7, FALSE)/100,AE2338)</f>
        <v>7.9139999999999992E-3</v>
      </c>
      <c r="AF2337" s="99">
        <f t="shared" si="109"/>
        <v>1.1463115723221562E-2</v>
      </c>
      <c r="AG2337" s="99">
        <f t="shared" si="110"/>
        <v>2.6823040043830941E-3</v>
      </c>
      <c r="AH2337" s="10" t="str">
        <f>IFERROR(VLOOKUP(B2337,'Pre-Summary'!$AZ$6:$BE$65,3,FALSE),"")</f>
        <v/>
      </c>
      <c r="AI2337" s="10" t="str">
        <f>IFERROR(VLOOKUP(B2337,'Pre-Summary'!$AZ$6:$BE$65,5,FALSE),"")</f>
        <v/>
      </c>
      <c r="AJ2337" s="10" t="str">
        <f>IFERROR(VLOOKUP(B2337,'Pre-Summary'!$AZ$6:$BE$65,4,FALSE),"")</f>
        <v/>
      </c>
      <c r="AK2337" s="10" t="str">
        <f>IFERROR(VLOOKUP(B2337,'Pre-Summary'!$AZ$6:$BE$65,6,FALSE),"")</f>
        <v/>
      </c>
      <c r="AL2337" s="10" t="str">
        <f>IFERROR(VLOOKUP(B2337,'Pre-Summary'!$BG$6:$BL$44,3,FALSE),"")</f>
        <v/>
      </c>
      <c r="AM2337" s="10" t="str">
        <f>IFERROR(VLOOKUP(B2337,'Pre-Summary'!$BG$6:$BL$44,4,FALSE),"")</f>
        <v/>
      </c>
    </row>
    <row r="2338" spans="2:39" ht="15" customHeight="1" x14ac:dyDescent="0.3">
      <c r="B2338">
        <v>233.5</v>
      </c>
      <c r="C2338" t="str">
        <f>IFERROR(VLOOKUP(B2338,'Pre-Summary'!$DI$6:$DM$23,4,FALSE),"")</f>
        <v/>
      </c>
      <c r="D2338" s="10" t="str">
        <f>IFERROR(VLOOKUP(B2338,'Pre-Summary'!$AT$6:$AX$14,5,FALSE),D2337)</f>
        <v>Wolfe v3: went back to modified wolfe + EDTA and switched CuSO4 to CUCl2</v>
      </c>
      <c r="E2338" s="10" t="str">
        <f>IFERROR(VLOOKUP(B2338,'Pre-Summary'!$AT$6:$AX$15,4,FALSE),"")</f>
        <v/>
      </c>
      <c r="F2338">
        <f>IFERROR(VLOOKUP(B2338,'Pre-Summary'!$AL$6:$AQ$13,6,FALSE),F2337)</f>
        <v>5.9405263157894746E-2</v>
      </c>
      <c r="G2338" t="str">
        <f>IFERROR(VLOOKUP(B2338,'Pre-Summary'!$AE$6:$AJ$85,3,FALSE),"")</f>
        <v/>
      </c>
      <c r="H2338" t="str">
        <f>IFERROR(VLOOKUP(B2338,'Pre-Summary'!$AE$6:$AJ$85,4,FALSE),"")</f>
        <v/>
      </c>
      <c r="I2338" t="str">
        <f>IFERROR(VLOOKUP(B2338,'Pre-Summary'!$AE$6:$AJ$85,5,FALSE),"")</f>
        <v/>
      </c>
      <c r="J2338" s="45" t="str">
        <f>IFERROR(VLOOKUP(B2338,'Pre-Summary'!$AE$6:$AJ$85,6, FALSE),"")</f>
        <v/>
      </c>
      <c r="K2338" s="45" t="str">
        <f>IFERROR(VLOOKUP(B2338,'Pre-Summary'!$DE$6:$DG$61,3,FALSE),"")</f>
        <v/>
      </c>
      <c r="L2338" s="45" t="str">
        <f>IFERROR(VLOOKUP(B2338,'Pre-Summary'!$CU$6:$CW$36,3,FALSE),"")</f>
        <v/>
      </c>
      <c r="M2338" s="45" t="str">
        <f>IFERROR(VLOOKUP(B2338,'Pre-Summary'!$BW$6:$BY$58,2,FALSE),"")</f>
        <v/>
      </c>
      <c r="N2338" s="45" t="str">
        <f>IFERROR(VLOOKUP(B2338,'Pre-Summary'!$CD$6:$CF$64,2,FALSE),"")</f>
        <v/>
      </c>
      <c r="O2338" s="99">
        <f>IFERROR(VLOOKUP(B2338,'Pre-Summary'!$BO$6:$BQ$48,3, FALSE),O2337)</f>
        <v>1.508</v>
      </c>
      <c r="P2338" s="99">
        <f>IFERROR(VLOOKUP(B2338,'Pre-Summary'!$BS$6:$BU$35,3,FALSE),P2337)</f>
        <v>0.379</v>
      </c>
      <c r="Q2338" s="54">
        <f t="shared" si="108"/>
        <v>3.9788918205804751</v>
      </c>
      <c r="R2338" s="53">
        <f>IFERROR(VLOOKUP(B2338,'Pre-Summary'!$BG$6:$BM$44,7,FALSE),R2339)</f>
        <v>9.7948682664336664E-2</v>
      </c>
      <c r="S2338" s="53">
        <f>IFERROR(VLOOKUP(B2338,'Pre-Summary'!$BG$6:$BM$44,6,FALSE),S2339)</f>
        <v>0.10614035087720526</v>
      </c>
      <c r="T2338" s="45" t="str">
        <f>IFERROR(VLOOKUP(B2338,'Pre-Summary'!$Y$6:$AC$83, 3,FALSE),"")</f>
        <v/>
      </c>
      <c r="U2338" s="45" t="str">
        <f>IFERROR(VLOOKUP(B2338,'Pre-Summary'!$Y$6:$AC$83, 4,FALSE),"")</f>
        <v/>
      </c>
      <c r="V2338" t="str">
        <f>IFERROR(VLOOKUP(B2338,'Pre-Summary'!$Y$6:$AC$83, 5,FALSE),"")</f>
        <v/>
      </c>
      <c r="W2338" s="45" t="str">
        <f>IFERROR(VLOOKUP(B2338,'Pre-Summary'!$Y$6:$AD$83,6,FALSE),"")</f>
        <v/>
      </c>
      <c r="X2338" t="str">
        <f>IFERROR(VLOOKUP('Pre-Summary'!$DB$6:$DD$63,3,FALSE),"")</f>
        <v/>
      </c>
      <c r="Y2338" t="str">
        <f>IFERROR(VLOOKUP(B2338,'Pre-Summary'!$CR$6:$CT$36,3,FALSE),"")</f>
        <v/>
      </c>
      <c r="Z2338" s="45" t="str">
        <f>IFERROR(VLOOKUP(B2338,'Pre-Summary'!$BZ$6:$CB$63,2,FALSE),"")</f>
        <v/>
      </c>
      <c r="AA2338" s="45" t="str">
        <f>IFERROR(VLOOKUP(B2338,'Pre-Summary'!$CG$6:$CI$70,2,FALSE),"")</f>
        <v/>
      </c>
      <c r="AB2338" s="99">
        <f>IFERROR(VLOOKUP(B2338,'Pre-Summary'!$A$6:$P$178,9,FALSE),AB2339)</f>
        <v>0.338931514326901</v>
      </c>
      <c r="AC2338" s="10">
        <f>IFERROR(VLOOKUP(Summary!B2338,'Pre-Summary'!$A$6:$P$184,5, FALSE)/100,AC2339)</f>
        <v>0.95826766666666674</v>
      </c>
      <c r="AD2338" s="10">
        <f>IFERROR(VLOOKUP(Summary!B2338,'Pre-Summary'!$A$6:$P$184,3, FALSE)/100,AD2339)</f>
        <v>3.3821333333333335E-2</v>
      </c>
      <c r="AE2338" s="10">
        <f>IFERROR(VLOOKUP(Summary!B2338,'Pre-Summary'!$A$6:$P$184,7, FALSE)/100,AE2339)</f>
        <v>7.9139999999999992E-3</v>
      </c>
      <c r="AF2338" s="99">
        <f t="shared" si="109"/>
        <v>1.1463115723221562E-2</v>
      </c>
      <c r="AG2338" s="99">
        <f t="shared" si="110"/>
        <v>2.6823040043830941E-3</v>
      </c>
      <c r="AH2338" s="10" t="str">
        <f>IFERROR(VLOOKUP(B2338,'Pre-Summary'!$AZ$6:$BE$65,3,FALSE),"")</f>
        <v/>
      </c>
      <c r="AI2338" s="10" t="str">
        <f>IFERROR(VLOOKUP(B2338,'Pre-Summary'!$AZ$6:$BE$65,5,FALSE),"")</f>
        <v/>
      </c>
      <c r="AJ2338" s="10" t="str">
        <f>IFERROR(VLOOKUP(B2338,'Pre-Summary'!$AZ$6:$BE$65,4,FALSE),"")</f>
        <v/>
      </c>
      <c r="AK2338" s="10" t="str">
        <f>IFERROR(VLOOKUP(B2338,'Pre-Summary'!$AZ$6:$BE$65,6,FALSE),"")</f>
        <v/>
      </c>
      <c r="AL2338" s="10" t="str">
        <f>IFERROR(VLOOKUP(B2338,'Pre-Summary'!$BG$6:$BL$44,3,FALSE),"")</f>
        <v/>
      </c>
      <c r="AM2338" s="10" t="str">
        <f>IFERROR(VLOOKUP(B2338,'Pre-Summary'!$BG$6:$BL$44,4,FALSE),"")</f>
        <v/>
      </c>
    </row>
    <row r="2339" spans="2:39" ht="15" customHeight="1" x14ac:dyDescent="0.3">
      <c r="B2339">
        <v>233.6</v>
      </c>
      <c r="C2339" t="str">
        <f>IFERROR(VLOOKUP(B2339,'Pre-Summary'!$DI$6:$DM$23,4,FALSE),"")</f>
        <v/>
      </c>
      <c r="D2339" s="10" t="str">
        <f>IFERROR(VLOOKUP(B2339,'Pre-Summary'!$AT$6:$AX$14,5,FALSE),D2338)</f>
        <v>Wolfe v3: went back to modified wolfe + EDTA and switched CuSO4 to CUCl2</v>
      </c>
      <c r="E2339" s="10" t="str">
        <f>IFERROR(VLOOKUP(B2339,'Pre-Summary'!$AT$6:$AX$15,4,FALSE),"")</f>
        <v/>
      </c>
      <c r="F2339">
        <f>IFERROR(VLOOKUP(B2339,'Pre-Summary'!$AL$6:$AQ$13,6,FALSE),F2338)</f>
        <v>5.9405263157894746E-2</v>
      </c>
      <c r="G2339" t="str">
        <f>IFERROR(VLOOKUP(B2339,'Pre-Summary'!$AE$6:$AJ$85,3,FALSE),"")</f>
        <v/>
      </c>
      <c r="H2339" t="str">
        <f>IFERROR(VLOOKUP(B2339,'Pre-Summary'!$AE$6:$AJ$85,4,FALSE),"")</f>
        <v/>
      </c>
      <c r="I2339" t="str">
        <f>IFERROR(VLOOKUP(B2339,'Pre-Summary'!$AE$6:$AJ$85,5,FALSE),"")</f>
        <v/>
      </c>
      <c r="J2339" s="45" t="str">
        <f>IFERROR(VLOOKUP(B2339,'Pre-Summary'!$AE$6:$AJ$85,6, FALSE),"")</f>
        <v/>
      </c>
      <c r="K2339" s="45" t="str">
        <f>IFERROR(VLOOKUP(B2339,'Pre-Summary'!$DE$6:$DG$61,3,FALSE),"")</f>
        <v/>
      </c>
      <c r="L2339" s="45" t="str">
        <f>IFERROR(VLOOKUP(B2339,'Pre-Summary'!$CU$6:$CW$36,3,FALSE),"")</f>
        <v/>
      </c>
      <c r="M2339" s="45" t="str">
        <f>IFERROR(VLOOKUP(B2339,'Pre-Summary'!$BW$6:$BY$58,2,FALSE),"")</f>
        <v/>
      </c>
      <c r="N2339" s="45" t="str">
        <f>IFERROR(VLOOKUP(B2339,'Pre-Summary'!$CD$6:$CF$64,2,FALSE),"")</f>
        <v/>
      </c>
      <c r="O2339" s="99">
        <f>IFERROR(VLOOKUP(B2339,'Pre-Summary'!$BO$6:$BQ$48,3, FALSE),O2338)</f>
        <v>1.508</v>
      </c>
      <c r="P2339" s="99">
        <f>IFERROR(VLOOKUP(B2339,'Pre-Summary'!$BS$6:$BU$35,3,FALSE),P2338)</f>
        <v>0.379</v>
      </c>
      <c r="Q2339" s="54">
        <f t="shared" si="108"/>
        <v>3.9788918205804751</v>
      </c>
      <c r="R2339" s="53">
        <f>IFERROR(VLOOKUP(B2339,'Pre-Summary'!$BG$6:$BM$44,7,FALSE),R2340)</f>
        <v>9.7948682664336664E-2</v>
      </c>
      <c r="S2339" s="53">
        <f>IFERROR(VLOOKUP(B2339,'Pre-Summary'!$BG$6:$BM$44,6,FALSE),S2340)</f>
        <v>0.10614035087720526</v>
      </c>
      <c r="T2339" s="45" t="str">
        <f>IFERROR(VLOOKUP(B2339,'Pre-Summary'!$Y$6:$AC$83, 3,FALSE),"")</f>
        <v/>
      </c>
      <c r="U2339" s="45" t="str">
        <f>IFERROR(VLOOKUP(B2339,'Pre-Summary'!$Y$6:$AC$83, 4,FALSE),"")</f>
        <v/>
      </c>
      <c r="V2339" t="str">
        <f>IFERROR(VLOOKUP(B2339,'Pre-Summary'!$Y$6:$AC$83, 5,FALSE),"")</f>
        <v/>
      </c>
      <c r="W2339" s="45" t="str">
        <f>IFERROR(VLOOKUP(B2339,'Pre-Summary'!$Y$6:$AD$83,6,FALSE),"")</f>
        <v/>
      </c>
      <c r="X2339" t="str">
        <f>IFERROR(VLOOKUP('Pre-Summary'!$DB$6:$DD$63,3,FALSE),"")</f>
        <v/>
      </c>
      <c r="Y2339" t="str">
        <f>IFERROR(VLOOKUP(B2339,'Pre-Summary'!$CR$6:$CT$36,3,FALSE),"")</f>
        <v/>
      </c>
      <c r="Z2339" s="45" t="str">
        <f>IFERROR(VLOOKUP(B2339,'Pre-Summary'!$BZ$6:$CB$63,2,FALSE),"")</f>
        <v/>
      </c>
      <c r="AA2339" s="45" t="str">
        <f>IFERROR(VLOOKUP(B2339,'Pre-Summary'!$CG$6:$CI$70,2,FALSE),"")</f>
        <v/>
      </c>
      <c r="AB2339" s="99">
        <f>IFERROR(VLOOKUP(B2339,'Pre-Summary'!$A$6:$P$178,9,FALSE),AB2340)</f>
        <v>0.338931514326901</v>
      </c>
      <c r="AC2339" s="10">
        <f>IFERROR(VLOOKUP(Summary!B2339,'Pre-Summary'!$A$6:$P$184,5, FALSE)/100,AC2340)</f>
        <v>0.95826766666666674</v>
      </c>
      <c r="AD2339" s="10">
        <f>IFERROR(VLOOKUP(Summary!B2339,'Pre-Summary'!$A$6:$P$184,3, FALSE)/100,AD2340)</f>
        <v>3.3821333333333335E-2</v>
      </c>
      <c r="AE2339" s="10">
        <f>IFERROR(VLOOKUP(Summary!B2339,'Pre-Summary'!$A$6:$P$184,7, FALSE)/100,AE2340)</f>
        <v>7.9139999999999992E-3</v>
      </c>
      <c r="AF2339" s="99">
        <f t="shared" si="109"/>
        <v>1.1463115723221562E-2</v>
      </c>
      <c r="AG2339" s="99">
        <f t="shared" si="110"/>
        <v>2.6823040043830941E-3</v>
      </c>
      <c r="AH2339" s="10" t="str">
        <f>IFERROR(VLOOKUP(B2339,'Pre-Summary'!$AZ$6:$BE$65,3,FALSE),"")</f>
        <v/>
      </c>
      <c r="AI2339" s="10" t="str">
        <f>IFERROR(VLOOKUP(B2339,'Pre-Summary'!$AZ$6:$BE$65,5,FALSE),"")</f>
        <v/>
      </c>
      <c r="AJ2339" s="10" t="str">
        <f>IFERROR(VLOOKUP(B2339,'Pre-Summary'!$AZ$6:$BE$65,4,FALSE),"")</f>
        <v/>
      </c>
      <c r="AK2339" s="10" t="str">
        <f>IFERROR(VLOOKUP(B2339,'Pre-Summary'!$AZ$6:$BE$65,6,FALSE),"")</f>
        <v/>
      </c>
      <c r="AL2339" s="10" t="str">
        <f>IFERROR(VLOOKUP(B2339,'Pre-Summary'!$BG$6:$BL$44,3,FALSE),"")</f>
        <v/>
      </c>
      <c r="AM2339" s="10" t="str">
        <f>IFERROR(VLOOKUP(B2339,'Pre-Summary'!$BG$6:$BL$44,4,FALSE),"")</f>
        <v/>
      </c>
    </row>
    <row r="2340" spans="2:39" ht="15" customHeight="1" x14ac:dyDescent="0.3">
      <c r="B2340">
        <v>233.7</v>
      </c>
      <c r="C2340" t="str">
        <f>IFERROR(VLOOKUP(B2340,'Pre-Summary'!$DI$6:$DM$23,4,FALSE),"")</f>
        <v/>
      </c>
      <c r="D2340" s="10" t="str">
        <f>IFERROR(VLOOKUP(B2340,'Pre-Summary'!$AT$6:$AX$14,5,FALSE),D2339)</f>
        <v>Wolfe v3: went back to modified wolfe + EDTA and switched CuSO4 to CUCl2</v>
      </c>
      <c r="E2340" s="10" t="str">
        <f>IFERROR(VLOOKUP(B2340,'Pre-Summary'!$AT$6:$AX$15,4,FALSE),"")</f>
        <v/>
      </c>
      <c r="F2340">
        <f>IFERROR(VLOOKUP(B2340,'Pre-Summary'!$AL$6:$AQ$13,6,FALSE),F2339)</f>
        <v>5.9405263157894746E-2</v>
      </c>
      <c r="G2340" t="str">
        <f>IFERROR(VLOOKUP(B2340,'Pre-Summary'!$AE$6:$AJ$85,3,FALSE),"")</f>
        <v/>
      </c>
      <c r="H2340" t="str">
        <f>IFERROR(VLOOKUP(B2340,'Pre-Summary'!$AE$6:$AJ$85,4,FALSE),"")</f>
        <v/>
      </c>
      <c r="I2340" t="str">
        <f>IFERROR(VLOOKUP(B2340,'Pre-Summary'!$AE$6:$AJ$85,5,FALSE),"")</f>
        <v/>
      </c>
      <c r="J2340" s="45" t="str">
        <f>IFERROR(VLOOKUP(B2340,'Pre-Summary'!$AE$6:$AJ$85,6, FALSE),"")</f>
        <v/>
      </c>
      <c r="K2340" s="45" t="str">
        <f>IFERROR(VLOOKUP(B2340,'Pre-Summary'!$DE$6:$DG$61,3,FALSE),"")</f>
        <v/>
      </c>
      <c r="L2340" s="45" t="str">
        <f>IFERROR(VLOOKUP(B2340,'Pre-Summary'!$CU$6:$CW$36,3,FALSE),"")</f>
        <v/>
      </c>
      <c r="M2340" s="45" t="str">
        <f>IFERROR(VLOOKUP(B2340,'Pre-Summary'!$BW$6:$BY$58,2,FALSE),"")</f>
        <v/>
      </c>
      <c r="N2340" s="45" t="str">
        <f>IFERROR(VLOOKUP(B2340,'Pre-Summary'!$CD$6:$CF$64,2,FALSE),"")</f>
        <v/>
      </c>
      <c r="O2340" s="99">
        <f>IFERROR(VLOOKUP(B2340,'Pre-Summary'!$BO$6:$BQ$48,3, FALSE),O2339)</f>
        <v>1.508</v>
      </c>
      <c r="P2340" s="99">
        <f>IFERROR(VLOOKUP(B2340,'Pre-Summary'!$BS$6:$BU$35,3,FALSE),P2339)</f>
        <v>0.379</v>
      </c>
      <c r="Q2340" s="54">
        <f t="shared" si="108"/>
        <v>3.9788918205804751</v>
      </c>
      <c r="R2340" s="53">
        <f>IFERROR(VLOOKUP(B2340,'Pre-Summary'!$BG$6:$BM$44,7,FALSE),R2341)</f>
        <v>9.7948682664336664E-2</v>
      </c>
      <c r="S2340" s="53">
        <f>IFERROR(VLOOKUP(B2340,'Pre-Summary'!$BG$6:$BM$44,6,FALSE),S2341)</f>
        <v>0.10614035087720526</v>
      </c>
      <c r="T2340" s="45" t="str">
        <f>IFERROR(VLOOKUP(B2340,'Pre-Summary'!$Y$6:$AC$83, 3,FALSE),"")</f>
        <v/>
      </c>
      <c r="U2340" s="45" t="str">
        <f>IFERROR(VLOOKUP(B2340,'Pre-Summary'!$Y$6:$AC$83, 4,FALSE),"")</f>
        <v/>
      </c>
      <c r="V2340" t="str">
        <f>IFERROR(VLOOKUP(B2340,'Pre-Summary'!$Y$6:$AC$83, 5,FALSE),"")</f>
        <v/>
      </c>
      <c r="W2340" s="45" t="str">
        <f>IFERROR(VLOOKUP(B2340,'Pre-Summary'!$Y$6:$AD$83,6,FALSE),"")</f>
        <v/>
      </c>
      <c r="X2340" t="str">
        <f>IFERROR(VLOOKUP('Pre-Summary'!$DB$6:$DD$63,3,FALSE),"")</f>
        <v/>
      </c>
      <c r="Y2340" t="str">
        <f>IFERROR(VLOOKUP(B2340,'Pre-Summary'!$CR$6:$CT$36,3,FALSE),"")</f>
        <v/>
      </c>
      <c r="Z2340" s="45" t="str">
        <f>IFERROR(VLOOKUP(B2340,'Pre-Summary'!$BZ$6:$CB$63,2,FALSE),"")</f>
        <v/>
      </c>
      <c r="AA2340" s="45" t="str">
        <f>IFERROR(VLOOKUP(B2340,'Pre-Summary'!$CG$6:$CI$70,2,FALSE),"")</f>
        <v/>
      </c>
      <c r="AB2340" s="99">
        <f>IFERROR(VLOOKUP(B2340,'Pre-Summary'!$A$6:$P$178,9,FALSE),AB2341)</f>
        <v>0.338931514326901</v>
      </c>
      <c r="AC2340" s="10">
        <f>IFERROR(VLOOKUP(Summary!B2340,'Pre-Summary'!$A$6:$P$184,5, FALSE)/100,AC2341)</f>
        <v>0.95826766666666674</v>
      </c>
      <c r="AD2340" s="10">
        <f>IFERROR(VLOOKUP(Summary!B2340,'Pre-Summary'!$A$6:$P$184,3, FALSE)/100,AD2341)</f>
        <v>3.3821333333333335E-2</v>
      </c>
      <c r="AE2340" s="10">
        <f>IFERROR(VLOOKUP(Summary!B2340,'Pre-Summary'!$A$6:$P$184,7, FALSE)/100,AE2341)</f>
        <v>7.9139999999999992E-3</v>
      </c>
      <c r="AF2340" s="99">
        <f t="shared" si="109"/>
        <v>1.1463115723221562E-2</v>
      </c>
      <c r="AG2340" s="99">
        <f t="shared" si="110"/>
        <v>2.6823040043830941E-3</v>
      </c>
      <c r="AH2340" s="10" t="str">
        <f>IFERROR(VLOOKUP(B2340,'Pre-Summary'!$AZ$6:$BE$65,3,FALSE),"")</f>
        <v/>
      </c>
      <c r="AI2340" s="10" t="str">
        <f>IFERROR(VLOOKUP(B2340,'Pre-Summary'!$AZ$6:$BE$65,5,FALSE),"")</f>
        <v/>
      </c>
      <c r="AJ2340" s="10" t="str">
        <f>IFERROR(VLOOKUP(B2340,'Pre-Summary'!$AZ$6:$BE$65,4,FALSE),"")</f>
        <v/>
      </c>
      <c r="AK2340" s="10" t="str">
        <f>IFERROR(VLOOKUP(B2340,'Pre-Summary'!$AZ$6:$BE$65,6,FALSE),"")</f>
        <v/>
      </c>
      <c r="AL2340" s="10" t="str">
        <f>IFERROR(VLOOKUP(B2340,'Pre-Summary'!$BG$6:$BL$44,3,FALSE),"")</f>
        <v/>
      </c>
      <c r="AM2340" s="10" t="str">
        <f>IFERROR(VLOOKUP(B2340,'Pre-Summary'!$BG$6:$BL$44,4,FALSE),"")</f>
        <v/>
      </c>
    </row>
    <row r="2341" spans="2:39" ht="15" customHeight="1" x14ac:dyDescent="0.3">
      <c r="B2341">
        <v>233.8</v>
      </c>
      <c r="C2341" t="str">
        <f>IFERROR(VLOOKUP(B2341,'Pre-Summary'!$DI$6:$DM$23,4,FALSE),"")</f>
        <v/>
      </c>
      <c r="D2341" s="10" t="str">
        <f>IFERROR(VLOOKUP(B2341,'Pre-Summary'!$AT$6:$AX$14,5,FALSE),D2340)</f>
        <v>Wolfe v3: went back to modified wolfe + EDTA and switched CuSO4 to CUCl2</v>
      </c>
      <c r="E2341" s="10" t="str">
        <f>IFERROR(VLOOKUP(B2341,'Pre-Summary'!$AT$6:$AX$15,4,FALSE),"")</f>
        <v/>
      </c>
      <c r="F2341">
        <f>IFERROR(VLOOKUP(B2341,'Pre-Summary'!$AL$6:$AQ$13,6,FALSE),F2340)</f>
        <v>5.9405263157894746E-2</v>
      </c>
      <c r="G2341" t="str">
        <f>IFERROR(VLOOKUP(B2341,'Pre-Summary'!$AE$6:$AJ$85,3,FALSE),"")</f>
        <v/>
      </c>
      <c r="H2341" t="str">
        <f>IFERROR(VLOOKUP(B2341,'Pre-Summary'!$AE$6:$AJ$85,4,FALSE),"")</f>
        <v/>
      </c>
      <c r="I2341" t="str">
        <f>IFERROR(VLOOKUP(B2341,'Pre-Summary'!$AE$6:$AJ$85,5,FALSE),"")</f>
        <v/>
      </c>
      <c r="J2341" s="45" t="str">
        <f>IFERROR(VLOOKUP(B2341,'Pre-Summary'!$AE$6:$AJ$85,6, FALSE),"")</f>
        <v/>
      </c>
      <c r="K2341" s="45" t="str">
        <f>IFERROR(VLOOKUP(B2341,'Pre-Summary'!$DE$6:$DG$61,3,FALSE),"")</f>
        <v/>
      </c>
      <c r="L2341" s="45" t="str">
        <f>IFERROR(VLOOKUP(B2341,'Pre-Summary'!$CU$6:$CW$36,3,FALSE),"")</f>
        <v/>
      </c>
      <c r="M2341" s="45" t="str">
        <f>IFERROR(VLOOKUP(B2341,'Pre-Summary'!$BW$6:$BY$58,2,FALSE),"")</f>
        <v/>
      </c>
      <c r="N2341" s="45" t="str">
        <f>IFERROR(VLOOKUP(B2341,'Pre-Summary'!$CD$6:$CF$64,2,FALSE),"")</f>
        <v/>
      </c>
      <c r="O2341" s="99">
        <f>IFERROR(VLOOKUP(B2341,'Pre-Summary'!$BO$6:$BQ$48,3, FALSE),O2340)</f>
        <v>1.508</v>
      </c>
      <c r="P2341" s="99">
        <f>IFERROR(VLOOKUP(B2341,'Pre-Summary'!$BS$6:$BU$35,3,FALSE),P2340)</f>
        <v>0.379</v>
      </c>
      <c r="Q2341" s="54">
        <f t="shared" si="108"/>
        <v>3.9788918205804751</v>
      </c>
      <c r="R2341" s="53">
        <f>IFERROR(VLOOKUP(B2341,'Pre-Summary'!$BG$6:$BM$44,7,FALSE),R2342)</f>
        <v>9.7948682664336664E-2</v>
      </c>
      <c r="S2341" s="53">
        <f>IFERROR(VLOOKUP(B2341,'Pre-Summary'!$BG$6:$BM$44,6,FALSE),S2342)</f>
        <v>0.10614035087720526</v>
      </c>
      <c r="T2341" s="45" t="str">
        <f>IFERROR(VLOOKUP(B2341,'Pre-Summary'!$Y$6:$AC$83, 3,FALSE),"")</f>
        <v/>
      </c>
      <c r="U2341" s="45" t="str">
        <f>IFERROR(VLOOKUP(B2341,'Pre-Summary'!$Y$6:$AC$83, 4,FALSE),"")</f>
        <v/>
      </c>
      <c r="V2341" t="str">
        <f>IFERROR(VLOOKUP(B2341,'Pre-Summary'!$Y$6:$AC$83, 5,FALSE),"")</f>
        <v/>
      </c>
      <c r="W2341" s="45" t="str">
        <f>IFERROR(VLOOKUP(B2341,'Pre-Summary'!$Y$6:$AD$83,6,FALSE),"")</f>
        <v/>
      </c>
      <c r="X2341" t="str">
        <f>IFERROR(VLOOKUP('Pre-Summary'!$DB$6:$DD$63,3,FALSE),"")</f>
        <v/>
      </c>
      <c r="Y2341" t="str">
        <f>IFERROR(VLOOKUP(B2341,'Pre-Summary'!$CR$6:$CT$36,3,FALSE),"")</f>
        <v/>
      </c>
      <c r="Z2341" s="45" t="str">
        <f>IFERROR(VLOOKUP(B2341,'Pre-Summary'!$BZ$6:$CB$63,2,FALSE),"")</f>
        <v/>
      </c>
      <c r="AA2341" s="45" t="str">
        <f>IFERROR(VLOOKUP(B2341,'Pre-Summary'!$CG$6:$CI$70,2,FALSE),"")</f>
        <v/>
      </c>
      <c r="AB2341" s="99">
        <f>IFERROR(VLOOKUP(B2341,'Pre-Summary'!$A$6:$P$178,9,FALSE),AB2342)</f>
        <v>0.338931514326901</v>
      </c>
      <c r="AC2341" s="10">
        <f>IFERROR(VLOOKUP(Summary!B2341,'Pre-Summary'!$A$6:$P$184,5, FALSE)/100,AC2342)</f>
        <v>0.95826766666666674</v>
      </c>
      <c r="AD2341" s="10">
        <f>IFERROR(VLOOKUP(Summary!B2341,'Pre-Summary'!$A$6:$P$184,3, FALSE)/100,AD2342)</f>
        <v>3.3821333333333335E-2</v>
      </c>
      <c r="AE2341" s="10">
        <f>IFERROR(VLOOKUP(Summary!B2341,'Pre-Summary'!$A$6:$P$184,7, FALSE)/100,AE2342)</f>
        <v>7.9139999999999992E-3</v>
      </c>
      <c r="AF2341" s="99">
        <f t="shared" si="109"/>
        <v>1.1463115723221562E-2</v>
      </c>
      <c r="AG2341" s="99">
        <f t="shared" si="110"/>
        <v>2.6823040043830941E-3</v>
      </c>
      <c r="AH2341" s="10" t="str">
        <f>IFERROR(VLOOKUP(B2341,'Pre-Summary'!$AZ$6:$BE$65,3,FALSE),"")</f>
        <v/>
      </c>
      <c r="AI2341" s="10" t="str">
        <f>IFERROR(VLOOKUP(B2341,'Pre-Summary'!$AZ$6:$BE$65,5,FALSE),"")</f>
        <v/>
      </c>
      <c r="AJ2341" s="10" t="str">
        <f>IFERROR(VLOOKUP(B2341,'Pre-Summary'!$AZ$6:$BE$65,4,FALSE),"")</f>
        <v/>
      </c>
      <c r="AK2341" s="10" t="str">
        <f>IFERROR(VLOOKUP(B2341,'Pre-Summary'!$AZ$6:$BE$65,6,FALSE),"")</f>
        <v/>
      </c>
      <c r="AL2341" s="10" t="str">
        <f>IFERROR(VLOOKUP(B2341,'Pre-Summary'!$BG$6:$BL$44,3,FALSE),"")</f>
        <v/>
      </c>
      <c r="AM2341" s="10" t="str">
        <f>IFERROR(VLOOKUP(B2341,'Pre-Summary'!$BG$6:$BL$44,4,FALSE),"")</f>
        <v/>
      </c>
    </row>
    <row r="2342" spans="2:39" ht="15" customHeight="1" x14ac:dyDescent="0.3">
      <c r="B2342">
        <v>233.9</v>
      </c>
      <c r="C2342" t="str">
        <f>IFERROR(VLOOKUP(B2342,'Pre-Summary'!$DI$6:$DM$23,4,FALSE),"")</f>
        <v/>
      </c>
      <c r="D2342" s="10" t="str">
        <f>IFERROR(VLOOKUP(B2342,'Pre-Summary'!$AT$6:$AX$14,5,FALSE),D2341)</f>
        <v>Wolfe v3: went back to modified wolfe + EDTA and switched CuSO4 to CUCl2</v>
      </c>
      <c r="E2342" s="10" t="str">
        <f>IFERROR(VLOOKUP(B2342,'Pre-Summary'!$AT$6:$AX$15,4,FALSE),"")</f>
        <v/>
      </c>
      <c r="F2342">
        <f>IFERROR(VLOOKUP(B2342,'Pre-Summary'!$AL$6:$AQ$13,6,FALSE),F2341)</f>
        <v>5.9405263157894746E-2</v>
      </c>
      <c r="G2342" t="str">
        <f>IFERROR(VLOOKUP(B2342,'Pre-Summary'!$AE$6:$AJ$85,3,FALSE),"")</f>
        <v/>
      </c>
      <c r="H2342" t="str">
        <f>IFERROR(VLOOKUP(B2342,'Pre-Summary'!$AE$6:$AJ$85,4,FALSE),"")</f>
        <v/>
      </c>
      <c r="I2342" t="str">
        <f>IFERROR(VLOOKUP(B2342,'Pre-Summary'!$AE$6:$AJ$85,5,FALSE),"")</f>
        <v/>
      </c>
      <c r="J2342" s="45" t="str">
        <f>IFERROR(VLOOKUP(B2342,'Pre-Summary'!$AE$6:$AJ$85,6, FALSE),"")</f>
        <v/>
      </c>
      <c r="K2342" s="45" t="str">
        <f>IFERROR(VLOOKUP(B2342,'Pre-Summary'!$DE$6:$DG$61,3,FALSE),"")</f>
        <v/>
      </c>
      <c r="L2342" s="45" t="str">
        <f>IFERROR(VLOOKUP(B2342,'Pre-Summary'!$CU$6:$CW$36,3,FALSE),"")</f>
        <v/>
      </c>
      <c r="M2342" s="45" t="str">
        <f>IFERROR(VLOOKUP(B2342,'Pre-Summary'!$BW$6:$BY$58,2,FALSE),"")</f>
        <v/>
      </c>
      <c r="N2342" s="45" t="str">
        <f>IFERROR(VLOOKUP(B2342,'Pre-Summary'!$CD$6:$CF$64,2,FALSE),"")</f>
        <v/>
      </c>
      <c r="O2342" s="99">
        <f>IFERROR(VLOOKUP(B2342,'Pre-Summary'!$BO$6:$BQ$48,3, FALSE),O2341)</f>
        <v>1.508</v>
      </c>
      <c r="P2342" s="99">
        <f>IFERROR(VLOOKUP(B2342,'Pre-Summary'!$BS$6:$BU$35,3,FALSE),P2341)</f>
        <v>0.379</v>
      </c>
      <c r="Q2342" s="54">
        <f t="shared" si="108"/>
        <v>3.9788918205804751</v>
      </c>
      <c r="R2342" s="53">
        <f>IFERROR(VLOOKUP(B2342,'Pre-Summary'!$BG$6:$BM$44,7,FALSE),R2343)</f>
        <v>9.7948682664336664E-2</v>
      </c>
      <c r="S2342" s="53">
        <f>IFERROR(VLOOKUP(B2342,'Pre-Summary'!$BG$6:$BM$44,6,FALSE),S2343)</f>
        <v>0.10614035087720526</v>
      </c>
      <c r="T2342" s="45" t="str">
        <f>IFERROR(VLOOKUP(B2342,'Pre-Summary'!$Y$6:$AC$83, 3,FALSE),"")</f>
        <v/>
      </c>
      <c r="U2342" s="45" t="str">
        <f>IFERROR(VLOOKUP(B2342,'Pre-Summary'!$Y$6:$AC$83, 4,FALSE),"")</f>
        <v/>
      </c>
      <c r="V2342" t="str">
        <f>IFERROR(VLOOKUP(B2342,'Pre-Summary'!$Y$6:$AC$83, 5,FALSE),"")</f>
        <v/>
      </c>
      <c r="W2342" s="45" t="str">
        <f>IFERROR(VLOOKUP(B2342,'Pre-Summary'!$Y$6:$AD$83,6,FALSE),"")</f>
        <v/>
      </c>
      <c r="X2342" t="str">
        <f>IFERROR(VLOOKUP('Pre-Summary'!$DB$6:$DD$63,3,FALSE),"")</f>
        <v/>
      </c>
      <c r="Y2342" t="str">
        <f>IFERROR(VLOOKUP(B2342,'Pre-Summary'!$CR$6:$CT$36,3,FALSE),"")</f>
        <v/>
      </c>
      <c r="Z2342" s="45" t="str">
        <f>IFERROR(VLOOKUP(B2342,'Pre-Summary'!$BZ$6:$CB$63,2,FALSE),"")</f>
        <v/>
      </c>
      <c r="AA2342" s="45" t="str">
        <f>IFERROR(VLOOKUP(B2342,'Pre-Summary'!$CG$6:$CI$70,2,FALSE),"")</f>
        <v/>
      </c>
      <c r="AB2342" s="99">
        <f>IFERROR(VLOOKUP(B2342,'Pre-Summary'!$A$6:$P$178,9,FALSE),AB2343)</f>
        <v>0.338931514326901</v>
      </c>
      <c r="AC2342" s="10">
        <f>IFERROR(VLOOKUP(Summary!B2342,'Pre-Summary'!$A$6:$P$184,5, FALSE)/100,AC2343)</f>
        <v>0.95826766666666674</v>
      </c>
      <c r="AD2342" s="10">
        <f>IFERROR(VLOOKUP(Summary!B2342,'Pre-Summary'!$A$6:$P$184,3, FALSE)/100,AD2343)</f>
        <v>3.3821333333333335E-2</v>
      </c>
      <c r="AE2342" s="10">
        <f>IFERROR(VLOOKUP(Summary!B2342,'Pre-Summary'!$A$6:$P$184,7, FALSE)/100,AE2343)</f>
        <v>7.9139999999999992E-3</v>
      </c>
      <c r="AF2342" s="99">
        <f t="shared" si="109"/>
        <v>1.1463115723221562E-2</v>
      </c>
      <c r="AG2342" s="99">
        <f t="shared" si="110"/>
        <v>2.6823040043830941E-3</v>
      </c>
      <c r="AH2342" s="10" t="str">
        <f>IFERROR(VLOOKUP(B2342,'Pre-Summary'!$AZ$6:$BE$65,3,FALSE),"")</f>
        <v/>
      </c>
      <c r="AI2342" s="10" t="str">
        <f>IFERROR(VLOOKUP(B2342,'Pre-Summary'!$AZ$6:$BE$65,5,FALSE),"")</f>
        <v/>
      </c>
      <c r="AJ2342" s="10" t="str">
        <f>IFERROR(VLOOKUP(B2342,'Pre-Summary'!$AZ$6:$BE$65,4,FALSE),"")</f>
        <v/>
      </c>
      <c r="AK2342" s="10" t="str">
        <f>IFERROR(VLOOKUP(B2342,'Pre-Summary'!$AZ$6:$BE$65,6,FALSE),"")</f>
        <v/>
      </c>
      <c r="AL2342" s="10" t="str">
        <f>IFERROR(VLOOKUP(B2342,'Pre-Summary'!$BG$6:$BL$44,3,FALSE),"")</f>
        <v/>
      </c>
      <c r="AM2342" s="10" t="str">
        <f>IFERROR(VLOOKUP(B2342,'Pre-Summary'!$BG$6:$BL$44,4,FALSE),"")</f>
        <v/>
      </c>
    </row>
    <row r="2343" spans="2:39" ht="15" customHeight="1" x14ac:dyDescent="0.3">
      <c r="B2343">
        <v>234</v>
      </c>
      <c r="C2343" t="str">
        <f>IFERROR(VLOOKUP(B2343,'Pre-Summary'!$DI$6:$DM$23,4,FALSE),"")</f>
        <v/>
      </c>
      <c r="D2343" s="10" t="str">
        <f>IFERROR(VLOOKUP(B2343,'Pre-Summary'!$AT$6:$AX$14,5,FALSE),D2342)</f>
        <v>Wolfe v3: went back to modified wolfe + EDTA and switched CuSO4 to CUCl2</v>
      </c>
      <c r="E2343" s="10" t="str">
        <f>IFERROR(VLOOKUP(B2343,'Pre-Summary'!$AT$6:$AX$15,4,FALSE),"")</f>
        <v/>
      </c>
      <c r="F2343">
        <f>IFERROR(VLOOKUP(B2343,'Pre-Summary'!$AL$6:$AQ$13,6,FALSE),F2342)</f>
        <v>5.9405263157894746E-2</v>
      </c>
      <c r="G2343" t="str">
        <f>IFERROR(VLOOKUP(B2343,'Pre-Summary'!$AE$6:$AJ$85,3,FALSE),"")</f>
        <v/>
      </c>
      <c r="H2343" t="str">
        <f>IFERROR(VLOOKUP(B2343,'Pre-Summary'!$AE$6:$AJ$85,4,FALSE),"")</f>
        <v/>
      </c>
      <c r="I2343" t="str">
        <f>IFERROR(VLOOKUP(B2343,'Pre-Summary'!$AE$6:$AJ$85,5,FALSE),"")</f>
        <v/>
      </c>
      <c r="J2343" s="45" t="str">
        <f>IFERROR(VLOOKUP(B2343,'Pre-Summary'!$AE$6:$AJ$85,6, FALSE),"")</f>
        <v/>
      </c>
      <c r="K2343" s="45" t="str">
        <f>IFERROR(VLOOKUP(B2343,'Pre-Summary'!$DE$6:$DG$61,3,FALSE),"")</f>
        <v/>
      </c>
      <c r="L2343" s="45" t="str">
        <f>IFERROR(VLOOKUP(B2343,'Pre-Summary'!$CU$6:$CW$36,3,FALSE),"")</f>
        <v/>
      </c>
      <c r="M2343" s="45" t="str">
        <f>IFERROR(VLOOKUP(B2343,'Pre-Summary'!$BW$6:$BY$58,2,FALSE),"")</f>
        <v/>
      </c>
      <c r="N2343" s="45" t="str">
        <f>IFERROR(VLOOKUP(B2343,'Pre-Summary'!$CD$6:$CF$64,2,FALSE),"")</f>
        <v/>
      </c>
      <c r="O2343" s="99">
        <f>IFERROR(VLOOKUP(B2343,'Pre-Summary'!$BO$6:$BQ$48,3, FALSE),O2342)</f>
        <v>1.508</v>
      </c>
      <c r="P2343" s="99">
        <f>IFERROR(VLOOKUP(B2343,'Pre-Summary'!$BS$6:$BU$35,3,FALSE),P2342)</f>
        <v>0.379</v>
      </c>
      <c r="Q2343" s="54">
        <f t="shared" si="108"/>
        <v>3.9788918205804751</v>
      </c>
      <c r="R2343" s="53">
        <f>IFERROR(VLOOKUP(B2343,'Pre-Summary'!$BG$6:$BM$44,7,FALSE),R2344)</f>
        <v>9.7948682664336664E-2</v>
      </c>
      <c r="S2343" s="53">
        <f>IFERROR(VLOOKUP(B2343,'Pre-Summary'!$BG$6:$BM$44,6,FALSE),S2344)</f>
        <v>0.10614035087720526</v>
      </c>
      <c r="T2343" s="45" t="str">
        <f>IFERROR(VLOOKUP(B2343,'Pre-Summary'!$Y$6:$AC$83, 3,FALSE),"")</f>
        <v/>
      </c>
      <c r="U2343" s="45" t="str">
        <f>IFERROR(VLOOKUP(B2343,'Pre-Summary'!$Y$6:$AC$83, 4,FALSE),"")</f>
        <v/>
      </c>
      <c r="V2343" t="str">
        <f>IFERROR(VLOOKUP(B2343,'Pre-Summary'!$Y$6:$AC$83, 5,FALSE),"")</f>
        <v/>
      </c>
      <c r="W2343" s="45" t="str">
        <f>IFERROR(VLOOKUP(B2343,'Pre-Summary'!$Y$6:$AD$83,6,FALSE),"")</f>
        <v/>
      </c>
      <c r="X2343" t="str">
        <f>IFERROR(VLOOKUP('Pre-Summary'!$DB$6:$DD$63,3,FALSE),"")</f>
        <v/>
      </c>
      <c r="Y2343" t="str">
        <f>IFERROR(VLOOKUP(B2343,'Pre-Summary'!$CR$6:$CT$36,3,FALSE),"")</f>
        <v/>
      </c>
      <c r="Z2343" s="45" t="str">
        <f>IFERROR(VLOOKUP(B2343,'Pre-Summary'!$BZ$6:$CB$63,2,FALSE),"")</f>
        <v/>
      </c>
      <c r="AA2343" s="45" t="str">
        <f>IFERROR(VLOOKUP(B2343,'Pre-Summary'!$CG$6:$CI$70,2,FALSE),"")</f>
        <v/>
      </c>
      <c r="AB2343" s="99">
        <f>IFERROR(VLOOKUP(B2343,'Pre-Summary'!$A$6:$P$178,9,FALSE),AB2344)</f>
        <v>0.33989240270305521</v>
      </c>
      <c r="AC2343" s="10">
        <f>IFERROR(VLOOKUP(Summary!B2343,'Pre-Summary'!$A$6:$P$184,5, FALSE)/100,AC2344)</f>
        <v>0.95883799999999997</v>
      </c>
      <c r="AD2343" s="10">
        <f>IFERROR(VLOOKUP(Summary!B2343,'Pre-Summary'!$A$6:$P$184,3, FALSE)/100,AD2344)</f>
        <v>3.3588666666666663E-2</v>
      </c>
      <c r="AE2343" s="10">
        <f>IFERROR(VLOOKUP(Summary!B2343,'Pre-Summary'!$A$6:$P$184,7, FALSE)/100,AE2344)</f>
        <v>7.5729999999999999E-3</v>
      </c>
      <c r="AF2343" s="99">
        <f t="shared" si="109"/>
        <v>1.1416532616925353E-2</v>
      </c>
      <c r="AG2343" s="99">
        <f t="shared" si="110"/>
        <v>2.5740051656702369E-3</v>
      </c>
      <c r="AH2343" s="10" t="str">
        <f>IFERROR(VLOOKUP(B2343,'Pre-Summary'!$AZ$6:$BE$65,3,FALSE),"")</f>
        <v/>
      </c>
      <c r="AI2343" s="10" t="str">
        <f>IFERROR(VLOOKUP(B2343,'Pre-Summary'!$AZ$6:$BE$65,5,FALSE),"")</f>
        <v/>
      </c>
      <c r="AJ2343" s="10" t="str">
        <f>IFERROR(VLOOKUP(B2343,'Pre-Summary'!$AZ$6:$BE$65,4,FALSE),"")</f>
        <v/>
      </c>
      <c r="AK2343" s="10" t="str">
        <f>IFERROR(VLOOKUP(B2343,'Pre-Summary'!$AZ$6:$BE$65,6,FALSE),"")</f>
        <v/>
      </c>
      <c r="AL2343" s="10" t="str">
        <f>IFERROR(VLOOKUP(B2343,'Pre-Summary'!$BG$6:$BL$44,3,FALSE),"")</f>
        <v/>
      </c>
      <c r="AM2343" s="10" t="str">
        <f>IFERROR(VLOOKUP(B2343,'Pre-Summary'!$BG$6:$BL$44,4,FALSE),"")</f>
        <v/>
      </c>
    </row>
    <row r="2344" spans="2:39" ht="15" customHeight="1" x14ac:dyDescent="0.3">
      <c r="B2344">
        <v>234.1</v>
      </c>
      <c r="C2344" t="str">
        <f>IFERROR(VLOOKUP(B2344,'Pre-Summary'!$DI$6:$DM$23,4,FALSE),"")</f>
        <v/>
      </c>
      <c r="D2344" s="10" t="str">
        <f>IFERROR(VLOOKUP(B2344,'Pre-Summary'!$AT$6:$AX$14,5,FALSE),D2343)</f>
        <v>Wolfe v3: went back to modified wolfe + EDTA and switched CuSO4 to CUCl2</v>
      </c>
      <c r="E2344" s="10" t="str">
        <f>IFERROR(VLOOKUP(B2344,'Pre-Summary'!$AT$6:$AX$15,4,FALSE),"")</f>
        <v/>
      </c>
      <c r="F2344">
        <f>IFERROR(VLOOKUP(B2344,'Pre-Summary'!$AL$6:$AQ$13,6,FALSE),F2343)</f>
        <v>5.9405263157894746E-2</v>
      </c>
      <c r="G2344" t="str">
        <f>IFERROR(VLOOKUP(B2344,'Pre-Summary'!$AE$6:$AJ$85,3,FALSE),"")</f>
        <v/>
      </c>
      <c r="H2344" t="str">
        <f>IFERROR(VLOOKUP(B2344,'Pre-Summary'!$AE$6:$AJ$85,4,FALSE),"")</f>
        <v/>
      </c>
      <c r="I2344" t="str">
        <f>IFERROR(VLOOKUP(B2344,'Pre-Summary'!$AE$6:$AJ$85,5,FALSE),"")</f>
        <v/>
      </c>
      <c r="J2344" s="45" t="str">
        <f>IFERROR(VLOOKUP(B2344,'Pre-Summary'!$AE$6:$AJ$85,6, FALSE),"")</f>
        <v/>
      </c>
      <c r="K2344" s="45" t="str">
        <f>IFERROR(VLOOKUP(B2344,'Pre-Summary'!$DE$6:$DG$61,3,FALSE),"")</f>
        <v/>
      </c>
      <c r="L2344" s="45" t="str">
        <f>IFERROR(VLOOKUP(B2344,'Pre-Summary'!$CU$6:$CW$36,3,FALSE),"")</f>
        <v/>
      </c>
      <c r="M2344" s="45" t="str">
        <f>IFERROR(VLOOKUP(B2344,'Pre-Summary'!$BW$6:$BY$58,2,FALSE),"")</f>
        <v/>
      </c>
      <c r="N2344" s="45" t="str">
        <f>IFERROR(VLOOKUP(B2344,'Pre-Summary'!$CD$6:$CF$64,2,FALSE),"")</f>
        <v/>
      </c>
      <c r="O2344" s="99">
        <f>IFERROR(VLOOKUP(B2344,'Pre-Summary'!$BO$6:$BQ$48,3, FALSE),O2343)</f>
        <v>1.508</v>
      </c>
      <c r="P2344" s="99">
        <f>IFERROR(VLOOKUP(B2344,'Pre-Summary'!$BS$6:$BU$35,3,FALSE),P2343)</f>
        <v>0.379</v>
      </c>
      <c r="Q2344" s="54">
        <f t="shared" si="108"/>
        <v>3.9788918205804751</v>
      </c>
      <c r="R2344" s="53">
        <f>IFERROR(VLOOKUP(B2344,'Pre-Summary'!$BG$6:$BM$44,7,FALSE),R2345)</f>
        <v>9.7948682664336664E-2</v>
      </c>
      <c r="S2344" s="53">
        <f>IFERROR(VLOOKUP(B2344,'Pre-Summary'!$BG$6:$BM$44,6,FALSE),S2345)</f>
        <v>0.10614035087720526</v>
      </c>
      <c r="T2344" s="45" t="str">
        <f>IFERROR(VLOOKUP(B2344,'Pre-Summary'!$Y$6:$AC$83, 3,FALSE),"")</f>
        <v/>
      </c>
      <c r="U2344" s="45" t="str">
        <f>IFERROR(VLOOKUP(B2344,'Pre-Summary'!$Y$6:$AC$83, 4,FALSE),"")</f>
        <v/>
      </c>
      <c r="V2344" t="str">
        <f>IFERROR(VLOOKUP(B2344,'Pre-Summary'!$Y$6:$AC$83, 5,FALSE),"")</f>
        <v/>
      </c>
      <c r="W2344" s="45" t="str">
        <f>IFERROR(VLOOKUP(B2344,'Pre-Summary'!$Y$6:$AD$83,6,FALSE),"")</f>
        <v/>
      </c>
      <c r="X2344" t="str">
        <f>IFERROR(VLOOKUP('Pre-Summary'!$DB$6:$DD$63,3,FALSE),"")</f>
        <v/>
      </c>
      <c r="Y2344" t="str">
        <f>IFERROR(VLOOKUP(B2344,'Pre-Summary'!$CR$6:$CT$36,3,FALSE),"")</f>
        <v/>
      </c>
      <c r="Z2344" s="45" t="str">
        <f>IFERROR(VLOOKUP(B2344,'Pre-Summary'!$BZ$6:$CB$63,2,FALSE),"")</f>
        <v/>
      </c>
      <c r="AA2344" s="45" t="str">
        <f>IFERROR(VLOOKUP(B2344,'Pre-Summary'!$CG$6:$CI$70,2,FALSE),"")</f>
        <v/>
      </c>
      <c r="AB2344" s="99">
        <f>IFERROR(VLOOKUP(B2344,'Pre-Summary'!$A$6:$P$178,9,FALSE),AB2345)</f>
        <v>0.33989240270305521</v>
      </c>
      <c r="AC2344" s="10">
        <f>IFERROR(VLOOKUP(Summary!B2344,'Pre-Summary'!$A$6:$P$184,5, FALSE)/100,AC2345)</f>
        <v>0.95883799999999997</v>
      </c>
      <c r="AD2344" s="10">
        <f>IFERROR(VLOOKUP(Summary!B2344,'Pre-Summary'!$A$6:$P$184,3, FALSE)/100,AD2345)</f>
        <v>3.3588666666666663E-2</v>
      </c>
      <c r="AE2344" s="10">
        <f>IFERROR(VLOOKUP(Summary!B2344,'Pre-Summary'!$A$6:$P$184,7, FALSE)/100,AE2345)</f>
        <v>7.5729999999999999E-3</v>
      </c>
      <c r="AF2344" s="99">
        <f t="shared" si="109"/>
        <v>1.1416532616925353E-2</v>
      </c>
      <c r="AG2344" s="99">
        <f t="shared" si="110"/>
        <v>2.5740051656702369E-3</v>
      </c>
      <c r="AH2344" s="10" t="str">
        <f>IFERROR(VLOOKUP(B2344,'Pre-Summary'!$AZ$6:$BE$65,3,FALSE),"")</f>
        <v/>
      </c>
      <c r="AI2344" s="10" t="str">
        <f>IFERROR(VLOOKUP(B2344,'Pre-Summary'!$AZ$6:$BE$65,5,FALSE),"")</f>
        <v/>
      </c>
      <c r="AJ2344" s="10" t="str">
        <f>IFERROR(VLOOKUP(B2344,'Pre-Summary'!$AZ$6:$BE$65,4,FALSE),"")</f>
        <v/>
      </c>
      <c r="AK2344" s="10" t="str">
        <f>IFERROR(VLOOKUP(B2344,'Pre-Summary'!$AZ$6:$BE$65,6,FALSE),"")</f>
        <v/>
      </c>
      <c r="AL2344" s="10" t="str">
        <f>IFERROR(VLOOKUP(B2344,'Pre-Summary'!$BG$6:$BL$44,3,FALSE),"")</f>
        <v/>
      </c>
      <c r="AM2344" s="10" t="str">
        <f>IFERROR(VLOOKUP(B2344,'Pre-Summary'!$BG$6:$BL$44,4,FALSE),"")</f>
        <v/>
      </c>
    </row>
    <row r="2345" spans="2:39" ht="15" customHeight="1" x14ac:dyDescent="0.3">
      <c r="B2345">
        <v>234.2</v>
      </c>
      <c r="C2345" t="str">
        <f>IFERROR(VLOOKUP(B2345,'Pre-Summary'!$DI$6:$DM$23,4,FALSE),"")</f>
        <v/>
      </c>
      <c r="D2345" s="10" t="str">
        <f>IFERROR(VLOOKUP(B2345,'Pre-Summary'!$AT$6:$AX$14,5,FALSE),D2344)</f>
        <v>Wolfe v3: went back to modified wolfe + EDTA and switched CuSO4 to CUCl2</v>
      </c>
      <c r="E2345" s="10" t="str">
        <f>IFERROR(VLOOKUP(B2345,'Pre-Summary'!$AT$6:$AX$15,4,FALSE),"")</f>
        <v/>
      </c>
      <c r="F2345">
        <f>IFERROR(VLOOKUP(B2345,'Pre-Summary'!$AL$6:$AQ$13,6,FALSE),F2344)</f>
        <v>5.9405263157894746E-2</v>
      </c>
      <c r="G2345" t="str">
        <f>IFERROR(VLOOKUP(B2345,'Pre-Summary'!$AE$6:$AJ$85,3,FALSE),"")</f>
        <v/>
      </c>
      <c r="H2345" t="str">
        <f>IFERROR(VLOOKUP(B2345,'Pre-Summary'!$AE$6:$AJ$85,4,FALSE),"")</f>
        <v/>
      </c>
      <c r="I2345" t="str">
        <f>IFERROR(VLOOKUP(B2345,'Pre-Summary'!$AE$6:$AJ$85,5,FALSE),"")</f>
        <v/>
      </c>
      <c r="J2345" s="45" t="str">
        <f>IFERROR(VLOOKUP(B2345,'Pre-Summary'!$AE$6:$AJ$85,6, FALSE),"")</f>
        <v/>
      </c>
      <c r="K2345" s="45" t="str">
        <f>IFERROR(VLOOKUP(B2345,'Pre-Summary'!$DE$6:$DG$61,3,FALSE),"")</f>
        <v/>
      </c>
      <c r="L2345" s="45" t="str">
        <f>IFERROR(VLOOKUP(B2345,'Pre-Summary'!$CU$6:$CW$36,3,FALSE),"")</f>
        <v/>
      </c>
      <c r="M2345" s="45" t="str">
        <f>IFERROR(VLOOKUP(B2345,'Pre-Summary'!$BW$6:$BY$58,2,FALSE),"")</f>
        <v/>
      </c>
      <c r="N2345" s="45" t="str">
        <f>IFERROR(VLOOKUP(B2345,'Pre-Summary'!$CD$6:$CF$64,2,FALSE),"")</f>
        <v/>
      </c>
      <c r="O2345" s="99">
        <f>IFERROR(VLOOKUP(B2345,'Pre-Summary'!$BO$6:$BQ$48,3, FALSE),O2344)</f>
        <v>1.508</v>
      </c>
      <c r="P2345" s="99">
        <f>IFERROR(VLOOKUP(B2345,'Pre-Summary'!$BS$6:$BU$35,3,FALSE),P2344)</f>
        <v>0.379</v>
      </c>
      <c r="Q2345" s="54">
        <f t="shared" si="108"/>
        <v>3.9788918205804751</v>
      </c>
      <c r="R2345" s="53">
        <f>IFERROR(VLOOKUP(B2345,'Pre-Summary'!$BG$6:$BM$44,7,FALSE),R2346)</f>
        <v>9.7948682664336664E-2</v>
      </c>
      <c r="S2345" s="53">
        <f>IFERROR(VLOOKUP(B2345,'Pre-Summary'!$BG$6:$BM$44,6,FALSE),S2346)</f>
        <v>0.10614035087720526</v>
      </c>
      <c r="T2345" s="45" t="str">
        <f>IFERROR(VLOOKUP(B2345,'Pre-Summary'!$Y$6:$AC$83, 3,FALSE),"")</f>
        <v/>
      </c>
      <c r="U2345" s="45" t="str">
        <f>IFERROR(VLOOKUP(B2345,'Pre-Summary'!$Y$6:$AC$83, 4,FALSE),"")</f>
        <v/>
      </c>
      <c r="V2345" t="str">
        <f>IFERROR(VLOOKUP(B2345,'Pre-Summary'!$Y$6:$AC$83, 5,FALSE),"")</f>
        <v/>
      </c>
      <c r="W2345" s="45" t="str">
        <f>IFERROR(VLOOKUP(B2345,'Pre-Summary'!$Y$6:$AD$83,6,FALSE),"")</f>
        <v/>
      </c>
      <c r="X2345" t="str">
        <f>IFERROR(VLOOKUP('Pre-Summary'!$DB$6:$DD$63,3,FALSE),"")</f>
        <v/>
      </c>
      <c r="Y2345" t="str">
        <f>IFERROR(VLOOKUP(B2345,'Pre-Summary'!$CR$6:$CT$36,3,FALSE),"")</f>
        <v/>
      </c>
      <c r="Z2345" s="45" t="str">
        <f>IFERROR(VLOOKUP(B2345,'Pre-Summary'!$BZ$6:$CB$63,2,FALSE),"")</f>
        <v/>
      </c>
      <c r="AA2345" s="45" t="str">
        <f>IFERROR(VLOOKUP(B2345,'Pre-Summary'!$CG$6:$CI$70,2,FALSE),"")</f>
        <v/>
      </c>
      <c r="AB2345" s="99">
        <f>IFERROR(VLOOKUP(B2345,'Pre-Summary'!$A$6:$P$178,9,FALSE),AB2346)</f>
        <v>0.33989240270305521</v>
      </c>
      <c r="AC2345" s="10">
        <f>IFERROR(VLOOKUP(Summary!B2345,'Pre-Summary'!$A$6:$P$184,5, FALSE)/100,AC2346)</f>
        <v>0.95883799999999997</v>
      </c>
      <c r="AD2345" s="10">
        <f>IFERROR(VLOOKUP(Summary!B2345,'Pre-Summary'!$A$6:$P$184,3, FALSE)/100,AD2346)</f>
        <v>3.3588666666666663E-2</v>
      </c>
      <c r="AE2345" s="10">
        <f>IFERROR(VLOOKUP(Summary!B2345,'Pre-Summary'!$A$6:$P$184,7, FALSE)/100,AE2346)</f>
        <v>7.5729999999999999E-3</v>
      </c>
      <c r="AF2345" s="99">
        <f t="shared" si="109"/>
        <v>1.1416532616925353E-2</v>
      </c>
      <c r="AG2345" s="99">
        <f t="shared" si="110"/>
        <v>2.5740051656702369E-3</v>
      </c>
      <c r="AH2345" s="10" t="str">
        <f>IFERROR(VLOOKUP(B2345,'Pre-Summary'!$AZ$6:$BE$65,3,FALSE),"")</f>
        <v/>
      </c>
      <c r="AI2345" s="10" t="str">
        <f>IFERROR(VLOOKUP(B2345,'Pre-Summary'!$AZ$6:$BE$65,5,FALSE),"")</f>
        <v/>
      </c>
      <c r="AJ2345" s="10" t="str">
        <f>IFERROR(VLOOKUP(B2345,'Pre-Summary'!$AZ$6:$BE$65,4,FALSE),"")</f>
        <v/>
      </c>
      <c r="AK2345" s="10" t="str">
        <f>IFERROR(VLOOKUP(B2345,'Pre-Summary'!$AZ$6:$BE$65,6,FALSE),"")</f>
        <v/>
      </c>
      <c r="AL2345" s="10" t="str">
        <f>IFERROR(VLOOKUP(B2345,'Pre-Summary'!$BG$6:$BL$44,3,FALSE),"")</f>
        <v/>
      </c>
      <c r="AM2345" s="10" t="str">
        <f>IFERROR(VLOOKUP(B2345,'Pre-Summary'!$BG$6:$BL$44,4,FALSE),"")</f>
        <v/>
      </c>
    </row>
    <row r="2346" spans="2:39" ht="15" customHeight="1" x14ac:dyDescent="0.3">
      <c r="B2346">
        <v>234.3</v>
      </c>
      <c r="C2346" t="str">
        <f>IFERROR(VLOOKUP(B2346,'Pre-Summary'!$DI$6:$DM$23,4,FALSE),"")</f>
        <v/>
      </c>
      <c r="D2346" s="10" t="str">
        <f>IFERROR(VLOOKUP(B2346,'Pre-Summary'!$AT$6:$AX$14,5,FALSE),D2345)</f>
        <v>Wolfe v3: went back to modified wolfe + EDTA and switched CuSO4 to CUCl2</v>
      </c>
      <c r="E2346" s="10" t="str">
        <f>IFERROR(VLOOKUP(B2346,'Pre-Summary'!$AT$6:$AX$15,4,FALSE),"")</f>
        <v/>
      </c>
      <c r="F2346">
        <f>IFERROR(VLOOKUP(B2346,'Pre-Summary'!$AL$6:$AQ$13,6,FALSE),F2345)</f>
        <v>5.9405263157894746E-2</v>
      </c>
      <c r="G2346" t="str">
        <f>IFERROR(VLOOKUP(B2346,'Pre-Summary'!$AE$6:$AJ$85,3,FALSE),"")</f>
        <v/>
      </c>
      <c r="H2346" t="str">
        <f>IFERROR(VLOOKUP(B2346,'Pre-Summary'!$AE$6:$AJ$85,4,FALSE),"")</f>
        <v/>
      </c>
      <c r="I2346" t="str">
        <f>IFERROR(VLOOKUP(B2346,'Pre-Summary'!$AE$6:$AJ$85,5,FALSE),"")</f>
        <v/>
      </c>
      <c r="J2346" s="45" t="str">
        <f>IFERROR(VLOOKUP(B2346,'Pre-Summary'!$AE$6:$AJ$85,6, FALSE),"")</f>
        <v/>
      </c>
      <c r="K2346" s="45" t="str">
        <f>IFERROR(VLOOKUP(B2346,'Pre-Summary'!$DE$6:$DG$61,3,FALSE),"")</f>
        <v/>
      </c>
      <c r="L2346" s="45" t="str">
        <f>IFERROR(VLOOKUP(B2346,'Pre-Summary'!$CU$6:$CW$36,3,FALSE),"")</f>
        <v/>
      </c>
      <c r="M2346" s="45" t="str">
        <f>IFERROR(VLOOKUP(B2346,'Pre-Summary'!$BW$6:$BY$58,2,FALSE),"")</f>
        <v/>
      </c>
      <c r="N2346" s="45" t="str">
        <f>IFERROR(VLOOKUP(B2346,'Pre-Summary'!$CD$6:$CF$64,2,FALSE),"")</f>
        <v/>
      </c>
      <c r="O2346" s="99">
        <f>IFERROR(VLOOKUP(B2346,'Pre-Summary'!$BO$6:$BQ$48,3, FALSE),O2345)</f>
        <v>1.508</v>
      </c>
      <c r="P2346" s="99">
        <f>IFERROR(VLOOKUP(B2346,'Pre-Summary'!$BS$6:$BU$35,3,FALSE),P2345)</f>
        <v>0.379</v>
      </c>
      <c r="Q2346" s="54">
        <f t="shared" si="108"/>
        <v>3.9788918205804751</v>
      </c>
      <c r="R2346" s="53">
        <f>IFERROR(VLOOKUP(B2346,'Pre-Summary'!$BG$6:$BM$44,7,FALSE),R2347)</f>
        <v>9.7948682664336664E-2</v>
      </c>
      <c r="S2346" s="53">
        <f>IFERROR(VLOOKUP(B2346,'Pre-Summary'!$BG$6:$BM$44,6,FALSE),S2347)</f>
        <v>0.10614035087720526</v>
      </c>
      <c r="T2346" s="45" t="str">
        <f>IFERROR(VLOOKUP(B2346,'Pre-Summary'!$Y$6:$AC$83, 3,FALSE),"")</f>
        <v/>
      </c>
      <c r="U2346" s="45" t="str">
        <f>IFERROR(VLOOKUP(B2346,'Pre-Summary'!$Y$6:$AC$83, 4,FALSE),"")</f>
        <v/>
      </c>
      <c r="V2346" t="str">
        <f>IFERROR(VLOOKUP(B2346,'Pre-Summary'!$Y$6:$AC$83, 5,FALSE),"")</f>
        <v/>
      </c>
      <c r="W2346" s="45" t="str">
        <f>IFERROR(VLOOKUP(B2346,'Pre-Summary'!$Y$6:$AD$83,6,FALSE),"")</f>
        <v/>
      </c>
      <c r="X2346" t="str">
        <f>IFERROR(VLOOKUP('Pre-Summary'!$DB$6:$DD$63,3,FALSE),"")</f>
        <v/>
      </c>
      <c r="Y2346" t="str">
        <f>IFERROR(VLOOKUP(B2346,'Pre-Summary'!$CR$6:$CT$36,3,FALSE),"")</f>
        <v/>
      </c>
      <c r="Z2346" s="45" t="str">
        <f>IFERROR(VLOOKUP(B2346,'Pre-Summary'!$BZ$6:$CB$63,2,FALSE),"")</f>
        <v/>
      </c>
      <c r="AA2346" s="45" t="str">
        <f>IFERROR(VLOOKUP(B2346,'Pre-Summary'!$CG$6:$CI$70,2,FALSE),"")</f>
        <v/>
      </c>
      <c r="AB2346" s="99">
        <f>IFERROR(VLOOKUP(B2346,'Pre-Summary'!$A$6:$P$178,9,FALSE),AB2347)</f>
        <v>0.33989240270305521</v>
      </c>
      <c r="AC2346" s="10">
        <f>IFERROR(VLOOKUP(Summary!B2346,'Pre-Summary'!$A$6:$P$184,5, FALSE)/100,AC2347)</f>
        <v>0.95883799999999997</v>
      </c>
      <c r="AD2346" s="10">
        <f>IFERROR(VLOOKUP(Summary!B2346,'Pre-Summary'!$A$6:$P$184,3, FALSE)/100,AD2347)</f>
        <v>3.3588666666666663E-2</v>
      </c>
      <c r="AE2346" s="10">
        <f>IFERROR(VLOOKUP(Summary!B2346,'Pre-Summary'!$A$6:$P$184,7, FALSE)/100,AE2347)</f>
        <v>7.5729999999999999E-3</v>
      </c>
      <c r="AF2346" s="99">
        <f t="shared" si="109"/>
        <v>1.1416532616925353E-2</v>
      </c>
      <c r="AG2346" s="99">
        <f t="shared" si="110"/>
        <v>2.5740051656702369E-3</v>
      </c>
      <c r="AH2346" s="10" t="str">
        <f>IFERROR(VLOOKUP(B2346,'Pre-Summary'!$AZ$6:$BE$65,3,FALSE),"")</f>
        <v/>
      </c>
      <c r="AI2346" s="10" t="str">
        <f>IFERROR(VLOOKUP(B2346,'Pre-Summary'!$AZ$6:$BE$65,5,FALSE),"")</f>
        <v/>
      </c>
      <c r="AJ2346" s="10" t="str">
        <f>IFERROR(VLOOKUP(B2346,'Pre-Summary'!$AZ$6:$BE$65,4,FALSE),"")</f>
        <v/>
      </c>
      <c r="AK2346" s="10" t="str">
        <f>IFERROR(VLOOKUP(B2346,'Pre-Summary'!$AZ$6:$BE$65,6,FALSE),"")</f>
        <v/>
      </c>
      <c r="AL2346" s="10" t="str">
        <f>IFERROR(VLOOKUP(B2346,'Pre-Summary'!$BG$6:$BL$44,3,FALSE),"")</f>
        <v/>
      </c>
      <c r="AM2346" s="10" t="str">
        <f>IFERROR(VLOOKUP(B2346,'Pre-Summary'!$BG$6:$BL$44,4,FALSE),"")</f>
        <v/>
      </c>
    </row>
    <row r="2347" spans="2:39" ht="15" customHeight="1" x14ac:dyDescent="0.3">
      <c r="B2347">
        <v>234.4</v>
      </c>
      <c r="C2347" t="str">
        <f>IFERROR(VLOOKUP(B2347,'Pre-Summary'!$DI$6:$DM$23,4,FALSE),"")</f>
        <v/>
      </c>
      <c r="D2347" s="10" t="str">
        <f>IFERROR(VLOOKUP(B2347,'Pre-Summary'!$AT$6:$AX$14,5,FALSE),D2346)</f>
        <v>Wolfe v3: went back to modified wolfe + EDTA and switched CuSO4 to CUCl2</v>
      </c>
      <c r="E2347" s="10" t="str">
        <f>IFERROR(VLOOKUP(B2347,'Pre-Summary'!$AT$6:$AX$15,4,FALSE),"")</f>
        <v/>
      </c>
      <c r="F2347">
        <f>IFERROR(VLOOKUP(B2347,'Pre-Summary'!$AL$6:$AQ$13,6,FALSE),F2346)</f>
        <v>5.9405263157894746E-2</v>
      </c>
      <c r="G2347" t="str">
        <f>IFERROR(VLOOKUP(B2347,'Pre-Summary'!$AE$6:$AJ$85,3,FALSE),"")</f>
        <v/>
      </c>
      <c r="H2347" t="str">
        <f>IFERROR(VLOOKUP(B2347,'Pre-Summary'!$AE$6:$AJ$85,4,FALSE),"")</f>
        <v/>
      </c>
      <c r="I2347" t="str">
        <f>IFERROR(VLOOKUP(B2347,'Pre-Summary'!$AE$6:$AJ$85,5,FALSE),"")</f>
        <v/>
      </c>
      <c r="J2347" s="45" t="str">
        <f>IFERROR(VLOOKUP(B2347,'Pre-Summary'!$AE$6:$AJ$85,6, FALSE),"")</f>
        <v/>
      </c>
      <c r="K2347" s="45" t="str">
        <f>IFERROR(VLOOKUP(B2347,'Pre-Summary'!$DE$6:$DG$61,3,FALSE),"")</f>
        <v/>
      </c>
      <c r="L2347" s="45" t="str">
        <f>IFERROR(VLOOKUP(B2347,'Pre-Summary'!$CU$6:$CW$36,3,FALSE),"")</f>
        <v/>
      </c>
      <c r="M2347" s="45" t="str">
        <f>IFERROR(VLOOKUP(B2347,'Pre-Summary'!$BW$6:$BY$58,2,FALSE),"")</f>
        <v/>
      </c>
      <c r="N2347" s="45" t="str">
        <f>IFERROR(VLOOKUP(B2347,'Pre-Summary'!$CD$6:$CF$64,2,FALSE),"")</f>
        <v/>
      </c>
      <c r="O2347" s="99">
        <f>IFERROR(VLOOKUP(B2347,'Pre-Summary'!$BO$6:$BQ$48,3, FALSE),O2346)</f>
        <v>1.508</v>
      </c>
      <c r="P2347" s="99">
        <f>IFERROR(VLOOKUP(B2347,'Pre-Summary'!$BS$6:$BU$35,3,FALSE),P2346)</f>
        <v>0.379</v>
      </c>
      <c r="Q2347" s="54">
        <f t="shared" si="108"/>
        <v>3.9788918205804751</v>
      </c>
      <c r="R2347" s="53">
        <f>IFERROR(VLOOKUP(B2347,'Pre-Summary'!$BG$6:$BM$44,7,FALSE),R2348)</f>
        <v>9.7948682664336664E-2</v>
      </c>
      <c r="S2347" s="53">
        <f>IFERROR(VLOOKUP(B2347,'Pre-Summary'!$BG$6:$BM$44,6,FALSE),S2348)</f>
        <v>0.10614035087720526</v>
      </c>
      <c r="T2347" s="45" t="str">
        <f>IFERROR(VLOOKUP(B2347,'Pre-Summary'!$Y$6:$AC$83, 3,FALSE),"")</f>
        <v/>
      </c>
      <c r="U2347" s="45" t="str">
        <f>IFERROR(VLOOKUP(B2347,'Pre-Summary'!$Y$6:$AC$83, 4,FALSE),"")</f>
        <v/>
      </c>
      <c r="V2347" t="str">
        <f>IFERROR(VLOOKUP(B2347,'Pre-Summary'!$Y$6:$AC$83, 5,FALSE),"")</f>
        <v/>
      </c>
      <c r="W2347" s="45" t="str">
        <f>IFERROR(VLOOKUP(B2347,'Pre-Summary'!$Y$6:$AD$83,6,FALSE),"")</f>
        <v/>
      </c>
      <c r="X2347" t="str">
        <f>IFERROR(VLOOKUP('Pre-Summary'!$DB$6:$DD$63,3,FALSE),"")</f>
        <v/>
      </c>
      <c r="Y2347" t="str">
        <f>IFERROR(VLOOKUP(B2347,'Pre-Summary'!$CR$6:$CT$36,3,FALSE),"")</f>
        <v/>
      </c>
      <c r="Z2347" s="45" t="str">
        <f>IFERROR(VLOOKUP(B2347,'Pre-Summary'!$BZ$6:$CB$63,2,FALSE),"")</f>
        <v/>
      </c>
      <c r="AA2347" s="45" t="str">
        <f>IFERROR(VLOOKUP(B2347,'Pre-Summary'!$CG$6:$CI$70,2,FALSE),"")</f>
        <v/>
      </c>
      <c r="AB2347" s="99">
        <f>IFERROR(VLOOKUP(B2347,'Pre-Summary'!$A$6:$P$178,9,FALSE),AB2348)</f>
        <v>0.33989240270305521</v>
      </c>
      <c r="AC2347" s="10">
        <f>IFERROR(VLOOKUP(Summary!B2347,'Pre-Summary'!$A$6:$P$184,5, FALSE)/100,AC2348)</f>
        <v>0.95883799999999997</v>
      </c>
      <c r="AD2347" s="10">
        <f>IFERROR(VLOOKUP(Summary!B2347,'Pre-Summary'!$A$6:$P$184,3, FALSE)/100,AD2348)</f>
        <v>3.3588666666666663E-2</v>
      </c>
      <c r="AE2347" s="10">
        <f>IFERROR(VLOOKUP(Summary!B2347,'Pre-Summary'!$A$6:$P$184,7, FALSE)/100,AE2348)</f>
        <v>7.5729999999999999E-3</v>
      </c>
      <c r="AF2347" s="99">
        <f t="shared" si="109"/>
        <v>1.1416532616925353E-2</v>
      </c>
      <c r="AG2347" s="99">
        <f t="shared" si="110"/>
        <v>2.5740051656702369E-3</v>
      </c>
      <c r="AH2347" s="10" t="str">
        <f>IFERROR(VLOOKUP(B2347,'Pre-Summary'!$AZ$6:$BE$65,3,FALSE),"")</f>
        <v/>
      </c>
      <c r="AI2347" s="10" t="str">
        <f>IFERROR(VLOOKUP(B2347,'Pre-Summary'!$AZ$6:$BE$65,5,FALSE),"")</f>
        <v/>
      </c>
      <c r="AJ2347" s="10" t="str">
        <f>IFERROR(VLOOKUP(B2347,'Pre-Summary'!$AZ$6:$BE$65,4,FALSE),"")</f>
        <v/>
      </c>
      <c r="AK2347" s="10" t="str">
        <f>IFERROR(VLOOKUP(B2347,'Pre-Summary'!$AZ$6:$BE$65,6,FALSE),"")</f>
        <v/>
      </c>
      <c r="AL2347" s="10" t="str">
        <f>IFERROR(VLOOKUP(B2347,'Pre-Summary'!$BG$6:$BL$44,3,FALSE),"")</f>
        <v/>
      </c>
      <c r="AM2347" s="10" t="str">
        <f>IFERROR(VLOOKUP(B2347,'Pre-Summary'!$BG$6:$BL$44,4,FALSE),"")</f>
        <v/>
      </c>
    </row>
    <row r="2348" spans="2:39" ht="15" customHeight="1" x14ac:dyDescent="0.3">
      <c r="B2348">
        <v>234.5</v>
      </c>
      <c r="C2348" t="str">
        <f>IFERROR(VLOOKUP(B2348,'Pre-Summary'!$DI$6:$DM$23,4,FALSE),"")</f>
        <v/>
      </c>
      <c r="D2348" s="10" t="str">
        <f>IFERROR(VLOOKUP(B2348,'Pre-Summary'!$AT$6:$AX$14,5,FALSE),D2347)</f>
        <v>Wolfe v3: went back to modified wolfe + EDTA and switched CuSO4 to CUCl2</v>
      </c>
      <c r="E2348" s="10" t="str">
        <f>IFERROR(VLOOKUP(B2348,'Pre-Summary'!$AT$6:$AX$15,4,FALSE),"")</f>
        <v/>
      </c>
      <c r="F2348">
        <f>IFERROR(VLOOKUP(B2348,'Pre-Summary'!$AL$6:$AQ$13,6,FALSE),F2347)</f>
        <v>5.9405263157894746E-2</v>
      </c>
      <c r="G2348" t="str">
        <f>IFERROR(VLOOKUP(B2348,'Pre-Summary'!$AE$6:$AJ$85,3,FALSE),"")</f>
        <v/>
      </c>
      <c r="H2348" t="str">
        <f>IFERROR(VLOOKUP(B2348,'Pre-Summary'!$AE$6:$AJ$85,4,FALSE),"")</f>
        <v/>
      </c>
      <c r="I2348" t="str">
        <f>IFERROR(VLOOKUP(B2348,'Pre-Summary'!$AE$6:$AJ$85,5,FALSE),"")</f>
        <v/>
      </c>
      <c r="J2348" s="45" t="str">
        <f>IFERROR(VLOOKUP(B2348,'Pre-Summary'!$AE$6:$AJ$85,6, FALSE),"")</f>
        <v/>
      </c>
      <c r="K2348" s="45" t="str">
        <f>IFERROR(VLOOKUP(B2348,'Pre-Summary'!$DE$6:$DG$61,3,FALSE),"")</f>
        <v/>
      </c>
      <c r="L2348" s="45" t="str">
        <f>IFERROR(VLOOKUP(B2348,'Pre-Summary'!$CU$6:$CW$36,3,FALSE),"")</f>
        <v/>
      </c>
      <c r="M2348" s="45" t="str">
        <f>IFERROR(VLOOKUP(B2348,'Pre-Summary'!$BW$6:$BY$58,2,FALSE),"")</f>
        <v/>
      </c>
      <c r="N2348" s="45" t="str">
        <f>IFERROR(VLOOKUP(B2348,'Pre-Summary'!$CD$6:$CF$64,2,FALSE),"")</f>
        <v/>
      </c>
      <c r="O2348" s="99">
        <f>IFERROR(VLOOKUP(B2348,'Pre-Summary'!$BO$6:$BQ$48,3, FALSE),O2347)</f>
        <v>1.508</v>
      </c>
      <c r="P2348" s="99">
        <f>IFERROR(VLOOKUP(B2348,'Pre-Summary'!$BS$6:$BU$35,3,FALSE),P2347)</f>
        <v>0.379</v>
      </c>
      <c r="Q2348" s="54">
        <f t="shared" si="108"/>
        <v>3.9788918205804751</v>
      </c>
      <c r="R2348" s="53">
        <f>IFERROR(VLOOKUP(B2348,'Pre-Summary'!$BG$6:$BM$44,7,FALSE),R2349)</f>
        <v>9.7948682664336664E-2</v>
      </c>
      <c r="S2348" s="53">
        <f>IFERROR(VLOOKUP(B2348,'Pre-Summary'!$BG$6:$BM$44,6,FALSE),S2349)</f>
        <v>0.10614035087720526</v>
      </c>
      <c r="T2348" s="45" t="str">
        <f>IFERROR(VLOOKUP(B2348,'Pre-Summary'!$Y$6:$AC$83, 3,FALSE),"")</f>
        <v/>
      </c>
      <c r="U2348" s="45" t="str">
        <f>IFERROR(VLOOKUP(B2348,'Pre-Summary'!$Y$6:$AC$83, 4,FALSE),"")</f>
        <v/>
      </c>
      <c r="V2348" t="str">
        <f>IFERROR(VLOOKUP(B2348,'Pre-Summary'!$Y$6:$AC$83, 5,FALSE),"")</f>
        <v/>
      </c>
      <c r="W2348" s="45" t="str">
        <f>IFERROR(VLOOKUP(B2348,'Pre-Summary'!$Y$6:$AD$83,6,FALSE),"")</f>
        <v/>
      </c>
      <c r="X2348" t="str">
        <f>IFERROR(VLOOKUP('Pre-Summary'!$DB$6:$DD$63,3,FALSE),"")</f>
        <v/>
      </c>
      <c r="Y2348" t="str">
        <f>IFERROR(VLOOKUP(B2348,'Pre-Summary'!$CR$6:$CT$36,3,FALSE),"")</f>
        <v/>
      </c>
      <c r="Z2348" s="45" t="str">
        <f>IFERROR(VLOOKUP(B2348,'Pre-Summary'!$BZ$6:$CB$63,2,FALSE),"")</f>
        <v/>
      </c>
      <c r="AA2348" s="45" t="str">
        <f>IFERROR(VLOOKUP(B2348,'Pre-Summary'!$CG$6:$CI$70,2,FALSE),"")</f>
        <v/>
      </c>
      <c r="AB2348" s="99">
        <f>IFERROR(VLOOKUP(B2348,'Pre-Summary'!$A$6:$P$178,9,FALSE),AB2349)</f>
        <v>0.33989240270305521</v>
      </c>
      <c r="AC2348" s="10">
        <f>IFERROR(VLOOKUP(Summary!B2348,'Pre-Summary'!$A$6:$P$184,5, FALSE)/100,AC2349)</f>
        <v>0.95883799999999997</v>
      </c>
      <c r="AD2348" s="10">
        <f>IFERROR(VLOOKUP(Summary!B2348,'Pre-Summary'!$A$6:$P$184,3, FALSE)/100,AD2349)</f>
        <v>3.3588666666666663E-2</v>
      </c>
      <c r="AE2348" s="10">
        <f>IFERROR(VLOOKUP(Summary!B2348,'Pre-Summary'!$A$6:$P$184,7, FALSE)/100,AE2349)</f>
        <v>7.5729999999999999E-3</v>
      </c>
      <c r="AF2348" s="99">
        <f t="shared" si="109"/>
        <v>1.1416532616925353E-2</v>
      </c>
      <c r="AG2348" s="99">
        <f t="shared" si="110"/>
        <v>2.5740051656702369E-3</v>
      </c>
      <c r="AH2348" s="10" t="str">
        <f>IFERROR(VLOOKUP(B2348,'Pre-Summary'!$AZ$6:$BE$65,3,FALSE),"")</f>
        <v/>
      </c>
      <c r="AI2348" s="10" t="str">
        <f>IFERROR(VLOOKUP(B2348,'Pre-Summary'!$AZ$6:$BE$65,5,FALSE),"")</f>
        <v/>
      </c>
      <c r="AJ2348" s="10" t="str">
        <f>IFERROR(VLOOKUP(B2348,'Pre-Summary'!$AZ$6:$BE$65,4,FALSE),"")</f>
        <v/>
      </c>
      <c r="AK2348" s="10" t="str">
        <f>IFERROR(VLOOKUP(B2348,'Pre-Summary'!$AZ$6:$BE$65,6,FALSE),"")</f>
        <v/>
      </c>
      <c r="AL2348" s="10" t="str">
        <f>IFERROR(VLOOKUP(B2348,'Pre-Summary'!$BG$6:$BL$44,3,FALSE),"")</f>
        <v/>
      </c>
      <c r="AM2348" s="10" t="str">
        <f>IFERROR(VLOOKUP(B2348,'Pre-Summary'!$BG$6:$BL$44,4,FALSE),"")</f>
        <v/>
      </c>
    </row>
    <row r="2349" spans="2:39" ht="15" customHeight="1" x14ac:dyDescent="0.3">
      <c r="B2349">
        <v>234.6</v>
      </c>
      <c r="C2349" t="str">
        <f>IFERROR(VLOOKUP(B2349,'Pre-Summary'!$DI$6:$DM$23,4,FALSE),"")</f>
        <v/>
      </c>
      <c r="D2349" s="10" t="str">
        <f>IFERROR(VLOOKUP(B2349,'Pre-Summary'!$AT$6:$AX$14,5,FALSE),D2348)</f>
        <v>Wolfe v3: went back to modified wolfe + EDTA and switched CuSO4 to CUCl2</v>
      </c>
      <c r="E2349" s="10" t="str">
        <f>IFERROR(VLOOKUP(B2349,'Pre-Summary'!$AT$6:$AX$15,4,FALSE),"")</f>
        <v/>
      </c>
      <c r="F2349">
        <f>IFERROR(VLOOKUP(B2349,'Pre-Summary'!$AL$6:$AQ$13,6,FALSE),F2348)</f>
        <v>5.9405263157894746E-2</v>
      </c>
      <c r="G2349" t="str">
        <f>IFERROR(VLOOKUP(B2349,'Pre-Summary'!$AE$6:$AJ$85,3,FALSE),"")</f>
        <v/>
      </c>
      <c r="H2349" t="str">
        <f>IFERROR(VLOOKUP(B2349,'Pre-Summary'!$AE$6:$AJ$85,4,FALSE),"")</f>
        <v/>
      </c>
      <c r="I2349" t="str">
        <f>IFERROR(VLOOKUP(B2349,'Pre-Summary'!$AE$6:$AJ$85,5,FALSE),"")</f>
        <v/>
      </c>
      <c r="J2349" s="45" t="str">
        <f>IFERROR(VLOOKUP(B2349,'Pre-Summary'!$AE$6:$AJ$85,6, FALSE),"")</f>
        <v/>
      </c>
      <c r="K2349" s="45" t="str">
        <f>IFERROR(VLOOKUP(B2349,'Pre-Summary'!$DE$6:$DG$61,3,FALSE),"")</f>
        <v/>
      </c>
      <c r="L2349" s="45" t="str">
        <f>IFERROR(VLOOKUP(B2349,'Pre-Summary'!$CU$6:$CW$36,3,FALSE),"")</f>
        <v/>
      </c>
      <c r="M2349" s="45" t="str">
        <f>IFERROR(VLOOKUP(B2349,'Pre-Summary'!$BW$6:$BY$58,2,FALSE),"")</f>
        <v/>
      </c>
      <c r="N2349" s="45" t="str">
        <f>IFERROR(VLOOKUP(B2349,'Pre-Summary'!$CD$6:$CF$64,2,FALSE),"")</f>
        <v/>
      </c>
      <c r="O2349" s="99">
        <f>IFERROR(VLOOKUP(B2349,'Pre-Summary'!$BO$6:$BQ$48,3, FALSE),O2348)</f>
        <v>1.508</v>
      </c>
      <c r="P2349" s="99">
        <f>IFERROR(VLOOKUP(B2349,'Pre-Summary'!$BS$6:$BU$35,3,FALSE),P2348)</f>
        <v>0.379</v>
      </c>
      <c r="Q2349" s="54">
        <f t="shared" si="108"/>
        <v>3.9788918205804751</v>
      </c>
      <c r="R2349" s="53">
        <f>IFERROR(VLOOKUP(B2349,'Pre-Summary'!$BG$6:$BM$44,7,FALSE),R2350)</f>
        <v>9.7948682664336664E-2</v>
      </c>
      <c r="S2349" s="53">
        <f>IFERROR(VLOOKUP(B2349,'Pre-Summary'!$BG$6:$BM$44,6,FALSE),S2350)</f>
        <v>0.10614035087720526</v>
      </c>
      <c r="T2349" s="45" t="str">
        <f>IFERROR(VLOOKUP(B2349,'Pre-Summary'!$Y$6:$AC$83, 3,FALSE),"")</f>
        <v/>
      </c>
      <c r="U2349" s="45" t="str">
        <f>IFERROR(VLOOKUP(B2349,'Pre-Summary'!$Y$6:$AC$83, 4,FALSE),"")</f>
        <v/>
      </c>
      <c r="V2349" t="str">
        <f>IFERROR(VLOOKUP(B2349,'Pre-Summary'!$Y$6:$AC$83, 5,FALSE),"")</f>
        <v/>
      </c>
      <c r="W2349" s="45" t="str">
        <f>IFERROR(VLOOKUP(B2349,'Pre-Summary'!$Y$6:$AD$83,6,FALSE),"")</f>
        <v/>
      </c>
      <c r="X2349" t="str">
        <f>IFERROR(VLOOKUP('Pre-Summary'!$DB$6:$DD$63,3,FALSE),"")</f>
        <v/>
      </c>
      <c r="Y2349" t="str">
        <f>IFERROR(VLOOKUP(B2349,'Pre-Summary'!$CR$6:$CT$36,3,FALSE),"")</f>
        <v/>
      </c>
      <c r="Z2349" s="45" t="str">
        <f>IFERROR(VLOOKUP(B2349,'Pre-Summary'!$BZ$6:$CB$63,2,FALSE),"")</f>
        <v/>
      </c>
      <c r="AA2349" s="45" t="str">
        <f>IFERROR(VLOOKUP(B2349,'Pre-Summary'!$CG$6:$CI$70,2,FALSE),"")</f>
        <v/>
      </c>
      <c r="AB2349" s="99">
        <f>IFERROR(VLOOKUP(B2349,'Pre-Summary'!$A$6:$P$178,9,FALSE),AB2350)</f>
        <v>0.33989240270305521</v>
      </c>
      <c r="AC2349" s="10">
        <f>IFERROR(VLOOKUP(Summary!B2349,'Pre-Summary'!$A$6:$P$184,5, FALSE)/100,AC2350)</f>
        <v>0.95883799999999997</v>
      </c>
      <c r="AD2349" s="10">
        <f>IFERROR(VLOOKUP(Summary!B2349,'Pre-Summary'!$A$6:$P$184,3, FALSE)/100,AD2350)</f>
        <v>3.3588666666666663E-2</v>
      </c>
      <c r="AE2349" s="10">
        <f>IFERROR(VLOOKUP(Summary!B2349,'Pre-Summary'!$A$6:$P$184,7, FALSE)/100,AE2350)</f>
        <v>7.5729999999999999E-3</v>
      </c>
      <c r="AF2349" s="99">
        <f t="shared" si="109"/>
        <v>1.1416532616925353E-2</v>
      </c>
      <c r="AG2349" s="99">
        <f t="shared" si="110"/>
        <v>2.5740051656702369E-3</v>
      </c>
      <c r="AH2349" s="10" t="str">
        <f>IFERROR(VLOOKUP(B2349,'Pre-Summary'!$AZ$6:$BE$65,3,FALSE),"")</f>
        <v/>
      </c>
      <c r="AI2349" s="10" t="str">
        <f>IFERROR(VLOOKUP(B2349,'Pre-Summary'!$AZ$6:$BE$65,5,FALSE),"")</f>
        <v/>
      </c>
      <c r="AJ2349" s="10" t="str">
        <f>IFERROR(VLOOKUP(B2349,'Pre-Summary'!$AZ$6:$BE$65,4,FALSE),"")</f>
        <v/>
      </c>
      <c r="AK2349" s="10" t="str">
        <f>IFERROR(VLOOKUP(B2349,'Pre-Summary'!$AZ$6:$BE$65,6,FALSE),"")</f>
        <v/>
      </c>
      <c r="AL2349" s="10" t="str">
        <f>IFERROR(VLOOKUP(B2349,'Pre-Summary'!$BG$6:$BL$44,3,FALSE),"")</f>
        <v/>
      </c>
      <c r="AM2349" s="10" t="str">
        <f>IFERROR(VLOOKUP(B2349,'Pre-Summary'!$BG$6:$BL$44,4,FALSE),"")</f>
        <v/>
      </c>
    </row>
    <row r="2350" spans="2:39" ht="15" customHeight="1" x14ac:dyDescent="0.3">
      <c r="B2350">
        <v>234.7</v>
      </c>
      <c r="C2350" t="str">
        <f>IFERROR(VLOOKUP(B2350,'Pre-Summary'!$DI$6:$DM$23,4,FALSE),"")</f>
        <v/>
      </c>
      <c r="D2350" s="10" t="str">
        <f>IFERROR(VLOOKUP(B2350,'Pre-Summary'!$AT$6:$AX$14,5,FALSE),D2349)</f>
        <v>Wolfe v3: went back to modified wolfe + EDTA and switched CuSO4 to CUCl2</v>
      </c>
      <c r="E2350" s="10" t="str">
        <f>IFERROR(VLOOKUP(B2350,'Pre-Summary'!$AT$6:$AX$15,4,FALSE),"")</f>
        <v/>
      </c>
      <c r="F2350">
        <f>IFERROR(VLOOKUP(B2350,'Pre-Summary'!$AL$6:$AQ$13,6,FALSE),F2349)</f>
        <v>5.9405263157894746E-2</v>
      </c>
      <c r="G2350" t="str">
        <f>IFERROR(VLOOKUP(B2350,'Pre-Summary'!$AE$6:$AJ$85,3,FALSE),"")</f>
        <v/>
      </c>
      <c r="H2350" t="str">
        <f>IFERROR(VLOOKUP(B2350,'Pre-Summary'!$AE$6:$AJ$85,4,FALSE),"")</f>
        <v/>
      </c>
      <c r="I2350" t="str">
        <f>IFERROR(VLOOKUP(B2350,'Pre-Summary'!$AE$6:$AJ$85,5,FALSE),"")</f>
        <v/>
      </c>
      <c r="J2350" s="45" t="str">
        <f>IFERROR(VLOOKUP(B2350,'Pre-Summary'!$AE$6:$AJ$85,6, FALSE),"")</f>
        <v/>
      </c>
      <c r="K2350" s="45" t="str">
        <f>IFERROR(VLOOKUP(B2350,'Pre-Summary'!$DE$6:$DG$61,3,FALSE),"")</f>
        <v/>
      </c>
      <c r="L2350" s="45" t="str">
        <f>IFERROR(VLOOKUP(B2350,'Pre-Summary'!$CU$6:$CW$36,3,FALSE),"")</f>
        <v/>
      </c>
      <c r="M2350" s="45" t="str">
        <f>IFERROR(VLOOKUP(B2350,'Pre-Summary'!$BW$6:$BY$58,2,FALSE),"")</f>
        <v/>
      </c>
      <c r="N2350" s="45" t="str">
        <f>IFERROR(VLOOKUP(B2350,'Pre-Summary'!$CD$6:$CF$64,2,FALSE),"")</f>
        <v/>
      </c>
      <c r="O2350" s="99">
        <f>IFERROR(VLOOKUP(B2350,'Pre-Summary'!$BO$6:$BQ$48,3, FALSE),O2349)</f>
        <v>1.508</v>
      </c>
      <c r="P2350" s="99">
        <f>IFERROR(VLOOKUP(B2350,'Pre-Summary'!$BS$6:$BU$35,3,FALSE),P2349)</f>
        <v>0.379</v>
      </c>
      <c r="Q2350" s="54">
        <f t="shared" si="108"/>
        <v>3.9788918205804751</v>
      </c>
      <c r="R2350" s="53">
        <f>IFERROR(VLOOKUP(B2350,'Pre-Summary'!$BG$6:$BM$44,7,FALSE),R2351)</f>
        <v>9.7948682664336664E-2</v>
      </c>
      <c r="S2350" s="53">
        <f>IFERROR(VLOOKUP(B2350,'Pre-Summary'!$BG$6:$BM$44,6,FALSE),S2351)</f>
        <v>0.10614035087720526</v>
      </c>
      <c r="T2350" s="45" t="str">
        <f>IFERROR(VLOOKUP(B2350,'Pre-Summary'!$Y$6:$AC$83, 3,FALSE),"")</f>
        <v/>
      </c>
      <c r="U2350" s="45" t="str">
        <f>IFERROR(VLOOKUP(B2350,'Pre-Summary'!$Y$6:$AC$83, 4,FALSE),"")</f>
        <v/>
      </c>
      <c r="V2350" t="str">
        <f>IFERROR(VLOOKUP(B2350,'Pre-Summary'!$Y$6:$AC$83, 5,FALSE),"")</f>
        <v/>
      </c>
      <c r="W2350" s="45" t="str">
        <f>IFERROR(VLOOKUP(B2350,'Pre-Summary'!$Y$6:$AD$83,6,FALSE),"")</f>
        <v/>
      </c>
      <c r="X2350" t="str">
        <f>IFERROR(VLOOKUP('Pre-Summary'!$DB$6:$DD$63,3,FALSE),"")</f>
        <v/>
      </c>
      <c r="Y2350" t="str">
        <f>IFERROR(VLOOKUP(B2350,'Pre-Summary'!$CR$6:$CT$36,3,FALSE),"")</f>
        <v/>
      </c>
      <c r="Z2350" s="45" t="str">
        <f>IFERROR(VLOOKUP(B2350,'Pre-Summary'!$BZ$6:$CB$63,2,FALSE),"")</f>
        <v/>
      </c>
      <c r="AA2350" s="45" t="str">
        <f>IFERROR(VLOOKUP(B2350,'Pre-Summary'!$CG$6:$CI$70,2,FALSE),"")</f>
        <v/>
      </c>
      <c r="AB2350" s="99">
        <f>IFERROR(VLOOKUP(B2350,'Pre-Summary'!$A$6:$P$178,9,FALSE),AB2351)</f>
        <v>0.33989240270305521</v>
      </c>
      <c r="AC2350" s="10">
        <f>IFERROR(VLOOKUP(Summary!B2350,'Pre-Summary'!$A$6:$P$184,5, FALSE)/100,AC2351)</f>
        <v>0.95883799999999997</v>
      </c>
      <c r="AD2350" s="10">
        <f>IFERROR(VLOOKUP(Summary!B2350,'Pre-Summary'!$A$6:$P$184,3, FALSE)/100,AD2351)</f>
        <v>3.3588666666666663E-2</v>
      </c>
      <c r="AE2350" s="10">
        <f>IFERROR(VLOOKUP(Summary!B2350,'Pre-Summary'!$A$6:$P$184,7, FALSE)/100,AE2351)</f>
        <v>7.5729999999999999E-3</v>
      </c>
      <c r="AF2350" s="99">
        <f t="shared" si="109"/>
        <v>1.1416532616925353E-2</v>
      </c>
      <c r="AG2350" s="99">
        <f t="shared" si="110"/>
        <v>2.5740051656702369E-3</v>
      </c>
      <c r="AH2350" s="10" t="str">
        <f>IFERROR(VLOOKUP(B2350,'Pre-Summary'!$AZ$6:$BE$65,3,FALSE),"")</f>
        <v/>
      </c>
      <c r="AI2350" s="10" t="str">
        <f>IFERROR(VLOOKUP(B2350,'Pre-Summary'!$AZ$6:$BE$65,5,FALSE),"")</f>
        <v/>
      </c>
      <c r="AJ2350" s="10" t="str">
        <f>IFERROR(VLOOKUP(B2350,'Pre-Summary'!$AZ$6:$BE$65,4,FALSE),"")</f>
        <v/>
      </c>
      <c r="AK2350" s="10" t="str">
        <f>IFERROR(VLOOKUP(B2350,'Pre-Summary'!$AZ$6:$BE$65,6,FALSE),"")</f>
        <v/>
      </c>
      <c r="AL2350" s="10" t="str">
        <f>IFERROR(VLOOKUP(B2350,'Pre-Summary'!$BG$6:$BL$44,3,FALSE),"")</f>
        <v/>
      </c>
      <c r="AM2350" s="10" t="str">
        <f>IFERROR(VLOOKUP(B2350,'Pre-Summary'!$BG$6:$BL$44,4,FALSE),"")</f>
        <v/>
      </c>
    </row>
    <row r="2351" spans="2:39" ht="15" customHeight="1" x14ac:dyDescent="0.3">
      <c r="B2351">
        <v>234.8</v>
      </c>
      <c r="C2351" t="str">
        <f>IFERROR(VLOOKUP(B2351,'Pre-Summary'!$DI$6:$DM$23,4,FALSE),"")</f>
        <v/>
      </c>
      <c r="D2351" s="10" t="str">
        <f>IFERROR(VLOOKUP(B2351,'Pre-Summary'!$AT$6:$AX$14,5,FALSE),D2350)</f>
        <v>Wolfe v3: went back to modified wolfe + EDTA and switched CuSO4 to CUCl2</v>
      </c>
      <c r="E2351" s="10" t="str">
        <f>IFERROR(VLOOKUP(B2351,'Pre-Summary'!$AT$6:$AX$15,4,FALSE),"")</f>
        <v/>
      </c>
      <c r="F2351">
        <f>IFERROR(VLOOKUP(B2351,'Pre-Summary'!$AL$6:$AQ$13,6,FALSE),F2350)</f>
        <v>5.9405263157894746E-2</v>
      </c>
      <c r="G2351" t="str">
        <f>IFERROR(VLOOKUP(B2351,'Pre-Summary'!$AE$6:$AJ$85,3,FALSE),"")</f>
        <v/>
      </c>
      <c r="H2351" t="str">
        <f>IFERROR(VLOOKUP(B2351,'Pre-Summary'!$AE$6:$AJ$85,4,FALSE),"")</f>
        <v/>
      </c>
      <c r="I2351" t="str">
        <f>IFERROR(VLOOKUP(B2351,'Pre-Summary'!$AE$6:$AJ$85,5,FALSE),"")</f>
        <v/>
      </c>
      <c r="J2351" s="45" t="str">
        <f>IFERROR(VLOOKUP(B2351,'Pre-Summary'!$AE$6:$AJ$85,6, FALSE),"")</f>
        <v/>
      </c>
      <c r="K2351" s="45" t="str">
        <f>IFERROR(VLOOKUP(B2351,'Pre-Summary'!$DE$6:$DG$61,3,FALSE),"")</f>
        <v/>
      </c>
      <c r="L2351" s="45" t="str">
        <f>IFERROR(VLOOKUP(B2351,'Pre-Summary'!$CU$6:$CW$36,3,FALSE),"")</f>
        <v/>
      </c>
      <c r="M2351" s="45" t="str">
        <f>IFERROR(VLOOKUP(B2351,'Pre-Summary'!$BW$6:$BY$58,2,FALSE),"")</f>
        <v/>
      </c>
      <c r="N2351" s="45" t="str">
        <f>IFERROR(VLOOKUP(B2351,'Pre-Summary'!$CD$6:$CF$64,2,FALSE),"")</f>
        <v/>
      </c>
      <c r="O2351" s="99">
        <f>IFERROR(VLOOKUP(B2351,'Pre-Summary'!$BO$6:$BQ$48,3, FALSE),O2350)</f>
        <v>1.508</v>
      </c>
      <c r="P2351" s="99">
        <f>IFERROR(VLOOKUP(B2351,'Pre-Summary'!$BS$6:$BU$35,3,FALSE),P2350)</f>
        <v>0.379</v>
      </c>
      <c r="Q2351" s="54">
        <f t="shared" si="108"/>
        <v>3.9788918205804751</v>
      </c>
      <c r="R2351" s="53">
        <f>IFERROR(VLOOKUP(B2351,'Pre-Summary'!$BG$6:$BM$44,7,FALSE),R2352)</f>
        <v>9.7948682664336664E-2</v>
      </c>
      <c r="S2351" s="53">
        <f>IFERROR(VLOOKUP(B2351,'Pre-Summary'!$BG$6:$BM$44,6,FALSE),S2352)</f>
        <v>0.10614035087720526</v>
      </c>
      <c r="T2351" s="45" t="str">
        <f>IFERROR(VLOOKUP(B2351,'Pre-Summary'!$Y$6:$AC$83, 3,FALSE),"")</f>
        <v/>
      </c>
      <c r="U2351" s="45" t="str">
        <f>IFERROR(VLOOKUP(B2351,'Pre-Summary'!$Y$6:$AC$83, 4,FALSE),"")</f>
        <v/>
      </c>
      <c r="V2351" t="str">
        <f>IFERROR(VLOOKUP(B2351,'Pre-Summary'!$Y$6:$AC$83, 5,FALSE),"")</f>
        <v/>
      </c>
      <c r="W2351" s="45" t="str">
        <f>IFERROR(VLOOKUP(B2351,'Pre-Summary'!$Y$6:$AD$83,6,FALSE),"")</f>
        <v/>
      </c>
      <c r="X2351" t="str">
        <f>IFERROR(VLOOKUP('Pre-Summary'!$DB$6:$DD$63,3,FALSE),"")</f>
        <v/>
      </c>
      <c r="Y2351" t="str">
        <f>IFERROR(VLOOKUP(B2351,'Pre-Summary'!$CR$6:$CT$36,3,FALSE),"")</f>
        <v/>
      </c>
      <c r="Z2351" s="45" t="str">
        <f>IFERROR(VLOOKUP(B2351,'Pre-Summary'!$BZ$6:$CB$63,2,FALSE),"")</f>
        <v/>
      </c>
      <c r="AA2351" s="45" t="str">
        <f>IFERROR(VLOOKUP(B2351,'Pre-Summary'!$CG$6:$CI$70,2,FALSE),"")</f>
        <v/>
      </c>
      <c r="AB2351" s="99">
        <f>IFERROR(VLOOKUP(B2351,'Pre-Summary'!$A$6:$P$178,9,FALSE),AB2352)</f>
        <v>0.33989240270305521</v>
      </c>
      <c r="AC2351" s="10">
        <f>IFERROR(VLOOKUP(Summary!B2351,'Pre-Summary'!$A$6:$P$184,5, FALSE)/100,AC2352)</f>
        <v>0.95883799999999997</v>
      </c>
      <c r="AD2351" s="10">
        <f>IFERROR(VLOOKUP(Summary!B2351,'Pre-Summary'!$A$6:$P$184,3, FALSE)/100,AD2352)</f>
        <v>3.3588666666666663E-2</v>
      </c>
      <c r="AE2351" s="10">
        <f>IFERROR(VLOOKUP(Summary!B2351,'Pre-Summary'!$A$6:$P$184,7, FALSE)/100,AE2352)</f>
        <v>7.5729999999999999E-3</v>
      </c>
      <c r="AF2351" s="99">
        <f t="shared" si="109"/>
        <v>1.1416532616925353E-2</v>
      </c>
      <c r="AG2351" s="99">
        <f t="shared" si="110"/>
        <v>2.5740051656702369E-3</v>
      </c>
      <c r="AH2351" s="10" t="str">
        <f>IFERROR(VLOOKUP(B2351,'Pre-Summary'!$AZ$6:$BE$65,3,FALSE),"")</f>
        <v/>
      </c>
      <c r="AI2351" s="10" t="str">
        <f>IFERROR(VLOOKUP(B2351,'Pre-Summary'!$AZ$6:$BE$65,5,FALSE),"")</f>
        <v/>
      </c>
      <c r="AJ2351" s="10" t="str">
        <f>IFERROR(VLOOKUP(B2351,'Pre-Summary'!$AZ$6:$BE$65,4,FALSE),"")</f>
        <v/>
      </c>
      <c r="AK2351" s="10" t="str">
        <f>IFERROR(VLOOKUP(B2351,'Pre-Summary'!$AZ$6:$BE$65,6,FALSE),"")</f>
        <v/>
      </c>
      <c r="AL2351" s="10" t="str">
        <f>IFERROR(VLOOKUP(B2351,'Pre-Summary'!$BG$6:$BL$44,3,FALSE),"")</f>
        <v/>
      </c>
      <c r="AM2351" s="10" t="str">
        <f>IFERROR(VLOOKUP(B2351,'Pre-Summary'!$BG$6:$BL$44,4,FALSE),"")</f>
        <v/>
      </c>
    </row>
    <row r="2352" spans="2:39" ht="15" customHeight="1" x14ac:dyDescent="0.3">
      <c r="B2352">
        <v>234.9</v>
      </c>
      <c r="C2352" t="str">
        <f>IFERROR(VLOOKUP(B2352,'Pre-Summary'!$DI$6:$DM$23,4,FALSE),"")</f>
        <v/>
      </c>
      <c r="D2352" s="10" t="str">
        <f>IFERROR(VLOOKUP(B2352,'Pre-Summary'!$AT$6:$AX$14,5,FALSE),D2351)</f>
        <v>Wolfe v3: went back to modified wolfe + EDTA and switched CuSO4 to CUCl2</v>
      </c>
      <c r="E2352" s="10" t="str">
        <f>IFERROR(VLOOKUP(B2352,'Pre-Summary'!$AT$6:$AX$15,4,FALSE),"")</f>
        <v/>
      </c>
      <c r="F2352">
        <f>IFERROR(VLOOKUP(B2352,'Pre-Summary'!$AL$6:$AQ$13,6,FALSE),F2351)</f>
        <v>5.9405263157894746E-2</v>
      </c>
      <c r="G2352" t="str">
        <f>IFERROR(VLOOKUP(B2352,'Pre-Summary'!$AE$6:$AJ$85,3,FALSE),"")</f>
        <v/>
      </c>
      <c r="H2352" t="str">
        <f>IFERROR(VLOOKUP(B2352,'Pre-Summary'!$AE$6:$AJ$85,4,FALSE),"")</f>
        <v/>
      </c>
      <c r="I2352" t="str">
        <f>IFERROR(VLOOKUP(B2352,'Pre-Summary'!$AE$6:$AJ$85,5,FALSE),"")</f>
        <v/>
      </c>
      <c r="J2352" s="45" t="str">
        <f>IFERROR(VLOOKUP(B2352,'Pre-Summary'!$AE$6:$AJ$85,6, FALSE),"")</f>
        <v/>
      </c>
      <c r="K2352" s="45" t="str">
        <f>IFERROR(VLOOKUP(B2352,'Pre-Summary'!$DE$6:$DG$61,3,FALSE),"")</f>
        <v/>
      </c>
      <c r="L2352" s="45" t="str">
        <f>IFERROR(VLOOKUP(B2352,'Pre-Summary'!$CU$6:$CW$36,3,FALSE),"")</f>
        <v/>
      </c>
      <c r="M2352" s="45" t="str">
        <f>IFERROR(VLOOKUP(B2352,'Pre-Summary'!$BW$6:$BY$58,2,FALSE),"")</f>
        <v/>
      </c>
      <c r="N2352" s="45" t="str">
        <f>IFERROR(VLOOKUP(B2352,'Pre-Summary'!$CD$6:$CF$64,2,FALSE),"")</f>
        <v/>
      </c>
      <c r="O2352" s="99">
        <f>IFERROR(VLOOKUP(B2352,'Pre-Summary'!$BO$6:$BQ$48,3, FALSE),O2351)</f>
        <v>1.508</v>
      </c>
      <c r="P2352" s="99">
        <f>IFERROR(VLOOKUP(B2352,'Pre-Summary'!$BS$6:$BU$35,3,FALSE),P2351)</f>
        <v>0.379</v>
      </c>
      <c r="Q2352" s="54">
        <f t="shared" si="108"/>
        <v>3.9788918205804751</v>
      </c>
      <c r="R2352" s="53">
        <f>IFERROR(VLOOKUP(B2352,'Pre-Summary'!$BG$6:$BM$44,7,FALSE),R2353)</f>
        <v>9.7948682664336664E-2</v>
      </c>
      <c r="S2352" s="53">
        <f>IFERROR(VLOOKUP(B2352,'Pre-Summary'!$BG$6:$BM$44,6,FALSE),S2353)</f>
        <v>0.10614035087720526</v>
      </c>
      <c r="T2352" s="45" t="str">
        <f>IFERROR(VLOOKUP(B2352,'Pre-Summary'!$Y$6:$AC$83, 3,FALSE),"")</f>
        <v/>
      </c>
      <c r="U2352" s="45" t="str">
        <f>IFERROR(VLOOKUP(B2352,'Pre-Summary'!$Y$6:$AC$83, 4,FALSE),"")</f>
        <v/>
      </c>
      <c r="V2352" t="str">
        <f>IFERROR(VLOOKUP(B2352,'Pre-Summary'!$Y$6:$AC$83, 5,FALSE),"")</f>
        <v/>
      </c>
      <c r="W2352" s="45" t="str">
        <f>IFERROR(VLOOKUP(B2352,'Pre-Summary'!$Y$6:$AD$83,6,FALSE),"")</f>
        <v/>
      </c>
      <c r="X2352" t="str">
        <f>IFERROR(VLOOKUP('Pre-Summary'!$DB$6:$DD$63,3,FALSE),"")</f>
        <v/>
      </c>
      <c r="Y2352" t="str">
        <f>IFERROR(VLOOKUP(B2352,'Pre-Summary'!$CR$6:$CT$36,3,FALSE),"")</f>
        <v/>
      </c>
      <c r="Z2352" s="45" t="str">
        <f>IFERROR(VLOOKUP(B2352,'Pre-Summary'!$BZ$6:$CB$63,2,FALSE),"")</f>
        <v/>
      </c>
      <c r="AA2352" s="45" t="str">
        <f>IFERROR(VLOOKUP(B2352,'Pre-Summary'!$CG$6:$CI$70,2,FALSE),"")</f>
        <v/>
      </c>
      <c r="AB2352" s="99">
        <f>IFERROR(VLOOKUP(B2352,'Pre-Summary'!$A$6:$P$178,9,FALSE),AB2353)</f>
        <v>0.33989240270305521</v>
      </c>
      <c r="AC2352" s="10">
        <f>IFERROR(VLOOKUP(Summary!B2352,'Pre-Summary'!$A$6:$P$184,5, FALSE)/100,AC2353)</f>
        <v>0.95883799999999997</v>
      </c>
      <c r="AD2352" s="10">
        <f>IFERROR(VLOOKUP(Summary!B2352,'Pre-Summary'!$A$6:$P$184,3, FALSE)/100,AD2353)</f>
        <v>3.3588666666666663E-2</v>
      </c>
      <c r="AE2352" s="10">
        <f>IFERROR(VLOOKUP(Summary!B2352,'Pre-Summary'!$A$6:$P$184,7, FALSE)/100,AE2353)</f>
        <v>7.5729999999999999E-3</v>
      </c>
      <c r="AF2352" s="99">
        <f t="shared" si="109"/>
        <v>1.1416532616925353E-2</v>
      </c>
      <c r="AG2352" s="99">
        <f t="shared" si="110"/>
        <v>2.5740051656702369E-3</v>
      </c>
      <c r="AH2352" s="10" t="str">
        <f>IFERROR(VLOOKUP(B2352,'Pre-Summary'!$AZ$6:$BE$65,3,FALSE),"")</f>
        <v/>
      </c>
      <c r="AI2352" s="10" t="str">
        <f>IFERROR(VLOOKUP(B2352,'Pre-Summary'!$AZ$6:$BE$65,5,FALSE),"")</f>
        <v/>
      </c>
      <c r="AJ2352" s="10" t="str">
        <f>IFERROR(VLOOKUP(B2352,'Pre-Summary'!$AZ$6:$BE$65,4,FALSE),"")</f>
        <v/>
      </c>
      <c r="AK2352" s="10" t="str">
        <f>IFERROR(VLOOKUP(B2352,'Pre-Summary'!$AZ$6:$BE$65,6,FALSE),"")</f>
        <v/>
      </c>
      <c r="AL2352" s="10" t="str">
        <f>IFERROR(VLOOKUP(B2352,'Pre-Summary'!$BG$6:$BL$44,3,FALSE),"")</f>
        <v/>
      </c>
      <c r="AM2352" s="10" t="str">
        <f>IFERROR(VLOOKUP(B2352,'Pre-Summary'!$BG$6:$BL$44,4,FALSE),"")</f>
        <v/>
      </c>
    </row>
    <row r="2353" spans="2:39" ht="15" customHeight="1" x14ac:dyDescent="0.3">
      <c r="B2353">
        <v>235</v>
      </c>
      <c r="C2353" t="str">
        <f>IFERROR(VLOOKUP(B2353,'Pre-Summary'!$DI$6:$DM$23,4,FALSE),"")</f>
        <v/>
      </c>
      <c r="D2353" s="10" t="str">
        <f>IFERROR(VLOOKUP(B2353,'Pre-Summary'!$AT$6:$AX$14,5,FALSE),D2352)</f>
        <v>Wolfe v3: went back to modified wolfe + EDTA and switched CuSO4 to CUCl2</v>
      </c>
      <c r="E2353" s="10" t="str">
        <f>IFERROR(VLOOKUP(B2353,'Pre-Summary'!$AT$6:$AX$15,4,FALSE),"")</f>
        <v/>
      </c>
      <c r="F2353">
        <f>IFERROR(VLOOKUP(B2353,'Pre-Summary'!$AL$6:$AQ$13,6,FALSE),F2352)</f>
        <v>5.9405263157894746E-2</v>
      </c>
      <c r="G2353" t="str">
        <f>IFERROR(VLOOKUP(B2353,'Pre-Summary'!$AE$6:$AJ$85,3,FALSE),"")</f>
        <v/>
      </c>
      <c r="H2353" t="str">
        <f>IFERROR(VLOOKUP(B2353,'Pre-Summary'!$AE$6:$AJ$85,4,FALSE),"")</f>
        <v/>
      </c>
      <c r="I2353" t="str">
        <f>IFERROR(VLOOKUP(B2353,'Pre-Summary'!$AE$6:$AJ$85,5,FALSE),"")</f>
        <v/>
      </c>
      <c r="J2353" s="45" t="str">
        <f>IFERROR(VLOOKUP(B2353,'Pre-Summary'!$AE$6:$AJ$85,6, FALSE),"")</f>
        <v/>
      </c>
      <c r="K2353" s="45" t="str">
        <f>IFERROR(VLOOKUP(B2353,'Pre-Summary'!$DE$6:$DG$61,3,FALSE),"")</f>
        <v/>
      </c>
      <c r="L2353" s="45" t="str">
        <f>IFERROR(VLOOKUP(B2353,'Pre-Summary'!$CU$6:$CW$36,3,FALSE),"")</f>
        <v/>
      </c>
      <c r="M2353" s="45" t="str">
        <f>IFERROR(VLOOKUP(B2353,'Pre-Summary'!$BW$6:$BY$58,2,FALSE),"")</f>
        <v/>
      </c>
      <c r="N2353" s="45" t="str">
        <f>IFERROR(VLOOKUP(B2353,'Pre-Summary'!$CD$6:$CF$64,2,FALSE),"")</f>
        <v/>
      </c>
      <c r="O2353" s="99">
        <f>IFERROR(VLOOKUP(B2353,'Pre-Summary'!$BO$6:$BQ$48,3, FALSE),O2352)</f>
        <v>1.508</v>
      </c>
      <c r="P2353" s="99">
        <f>IFERROR(VLOOKUP(B2353,'Pre-Summary'!$BS$6:$BU$35,3,FALSE),P2352)</f>
        <v>0.379</v>
      </c>
      <c r="Q2353" s="54">
        <f t="shared" si="108"/>
        <v>3.9788918205804751</v>
      </c>
      <c r="R2353" s="53">
        <f>IFERROR(VLOOKUP(B2353,'Pre-Summary'!$BG$6:$BM$44,7,FALSE),R2354)</f>
        <v>9.7948682664336664E-2</v>
      </c>
      <c r="S2353" s="53">
        <f>IFERROR(VLOOKUP(B2353,'Pre-Summary'!$BG$6:$BM$44,6,FALSE),S2354)</f>
        <v>0.10614035087720526</v>
      </c>
      <c r="T2353" s="45" t="str">
        <f>IFERROR(VLOOKUP(B2353,'Pre-Summary'!$Y$6:$AC$83, 3,FALSE),"")</f>
        <v/>
      </c>
      <c r="U2353" s="45" t="str">
        <f>IFERROR(VLOOKUP(B2353,'Pre-Summary'!$Y$6:$AC$83, 4,FALSE),"")</f>
        <v/>
      </c>
      <c r="V2353" t="str">
        <f>IFERROR(VLOOKUP(B2353,'Pre-Summary'!$Y$6:$AC$83, 5,FALSE),"")</f>
        <v/>
      </c>
      <c r="W2353" s="45" t="str">
        <f>IFERROR(VLOOKUP(B2353,'Pre-Summary'!$Y$6:$AD$83,6,FALSE),"")</f>
        <v/>
      </c>
      <c r="X2353" t="str">
        <f>IFERROR(VLOOKUP('Pre-Summary'!$DB$6:$DD$63,3,FALSE),"")</f>
        <v/>
      </c>
      <c r="Y2353" t="str">
        <f>IFERROR(VLOOKUP(B2353,'Pre-Summary'!$CR$6:$CT$36,3,FALSE),"")</f>
        <v/>
      </c>
      <c r="Z2353" s="45" t="str">
        <f>IFERROR(VLOOKUP(B2353,'Pre-Summary'!$BZ$6:$CB$63,2,FALSE),"")</f>
        <v/>
      </c>
      <c r="AA2353" s="45" t="str">
        <f>IFERROR(VLOOKUP(B2353,'Pre-Summary'!$CG$6:$CI$70,2,FALSE),"")</f>
        <v/>
      </c>
      <c r="AB2353" s="99">
        <f>IFERROR(VLOOKUP(B2353,'Pre-Summary'!$A$6:$P$178,9,FALSE),AB2354)</f>
        <v>0.33989240270305521</v>
      </c>
      <c r="AC2353" s="10">
        <f>IFERROR(VLOOKUP(Summary!B2353,'Pre-Summary'!$A$6:$P$184,5, FALSE)/100,AC2354)</f>
        <v>0.95883799999999997</v>
      </c>
      <c r="AD2353" s="10">
        <f>IFERROR(VLOOKUP(Summary!B2353,'Pre-Summary'!$A$6:$P$184,3, FALSE)/100,AD2354)</f>
        <v>3.3588666666666663E-2</v>
      </c>
      <c r="AE2353" s="10">
        <f>IFERROR(VLOOKUP(Summary!B2353,'Pre-Summary'!$A$6:$P$184,7, FALSE)/100,AE2354)</f>
        <v>7.5729999999999999E-3</v>
      </c>
      <c r="AF2353" s="99">
        <f t="shared" si="109"/>
        <v>1.1416532616925353E-2</v>
      </c>
      <c r="AG2353" s="99">
        <f t="shared" si="110"/>
        <v>2.5740051656702369E-3</v>
      </c>
      <c r="AH2353" s="10" t="str">
        <f>IFERROR(VLOOKUP(B2353,'Pre-Summary'!$AZ$6:$BE$65,3,FALSE),"")</f>
        <v/>
      </c>
      <c r="AI2353" s="10" t="str">
        <f>IFERROR(VLOOKUP(B2353,'Pre-Summary'!$AZ$6:$BE$65,5,FALSE),"")</f>
        <v/>
      </c>
      <c r="AJ2353" s="10" t="str">
        <f>IFERROR(VLOOKUP(B2353,'Pre-Summary'!$AZ$6:$BE$65,4,FALSE),"")</f>
        <v/>
      </c>
      <c r="AK2353" s="10" t="str">
        <f>IFERROR(VLOOKUP(B2353,'Pre-Summary'!$AZ$6:$BE$65,6,FALSE),"")</f>
        <v/>
      </c>
      <c r="AL2353" s="10" t="str">
        <f>IFERROR(VLOOKUP(B2353,'Pre-Summary'!$BG$6:$BL$44,3,FALSE),"")</f>
        <v/>
      </c>
      <c r="AM2353" s="10" t="str">
        <f>IFERROR(VLOOKUP(B2353,'Pre-Summary'!$BG$6:$BL$44,4,FALSE),"")</f>
        <v/>
      </c>
    </row>
    <row r="2354" spans="2:39" ht="15" customHeight="1" x14ac:dyDescent="0.3">
      <c r="B2354">
        <v>235.1</v>
      </c>
      <c r="C2354" t="str">
        <f>IFERROR(VLOOKUP(B2354,'Pre-Summary'!$DI$6:$DM$23,4,FALSE),"")</f>
        <v/>
      </c>
      <c r="D2354" s="10" t="str">
        <f>IFERROR(VLOOKUP(B2354,'Pre-Summary'!$AT$6:$AX$14,5,FALSE),D2353)</f>
        <v>Wolfe v3: went back to modified wolfe + EDTA and switched CuSO4 to CUCl2</v>
      </c>
      <c r="E2354" s="10" t="str">
        <f>IFERROR(VLOOKUP(B2354,'Pre-Summary'!$AT$6:$AX$15,4,FALSE),"")</f>
        <v/>
      </c>
      <c r="F2354">
        <f>IFERROR(VLOOKUP(B2354,'Pre-Summary'!$AL$6:$AQ$13,6,FALSE),F2353)</f>
        <v>5.9405263157894746E-2</v>
      </c>
      <c r="G2354" t="str">
        <f>IFERROR(VLOOKUP(B2354,'Pre-Summary'!$AE$6:$AJ$85,3,FALSE),"")</f>
        <v/>
      </c>
      <c r="H2354" t="str">
        <f>IFERROR(VLOOKUP(B2354,'Pre-Summary'!$AE$6:$AJ$85,4,FALSE),"")</f>
        <v/>
      </c>
      <c r="I2354" t="str">
        <f>IFERROR(VLOOKUP(B2354,'Pre-Summary'!$AE$6:$AJ$85,5,FALSE),"")</f>
        <v/>
      </c>
      <c r="J2354" s="45" t="str">
        <f>IFERROR(VLOOKUP(B2354,'Pre-Summary'!$AE$6:$AJ$85,6, FALSE),"")</f>
        <v/>
      </c>
      <c r="K2354" s="45" t="str">
        <f>IFERROR(VLOOKUP(B2354,'Pre-Summary'!$DE$6:$DG$61,3,FALSE),"")</f>
        <v/>
      </c>
      <c r="L2354" s="45" t="str">
        <f>IFERROR(VLOOKUP(B2354,'Pre-Summary'!$CU$6:$CW$36,3,FALSE),"")</f>
        <v/>
      </c>
      <c r="M2354" s="45" t="str">
        <f>IFERROR(VLOOKUP(B2354,'Pre-Summary'!$BW$6:$BY$58,2,FALSE),"")</f>
        <v/>
      </c>
      <c r="N2354" s="45" t="str">
        <f>IFERROR(VLOOKUP(B2354,'Pre-Summary'!$CD$6:$CF$64,2,FALSE),"")</f>
        <v/>
      </c>
      <c r="O2354" s="99">
        <f>IFERROR(VLOOKUP(B2354,'Pre-Summary'!$BO$6:$BQ$48,3, FALSE),O2353)</f>
        <v>1.508</v>
      </c>
      <c r="P2354" s="99">
        <f>IFERROR(VLOOKUP(B2354,'Pre-Summary'!$BS$6:$BU$35,3,FALSE),P2353)</f>
        <v>0.379</v>
      </c>
      <c r="Q2354" s="54">
        <f t="shared" si="108"/>
        <v>3.9788918205804751</v>
      </c>
      <c r="R2354" s="53">
        <f>IFERROR(VLOOKUP(B2354,'Pre-Summary'!$BG$6:$BM$44,7,FALSE),R2355)</f>
        <v>9.7948682664336664E-2</v>
      </c>
      <c r="S2354" s="53">
        <f>IFERROR(VLOOKUP(B2354,'Pre-Summary'!$BG$6:$BM$44,6,FALSE),S2355)</f>
        <v>0.10614035087720526</v>
      </c>
      <c r="T2354" s="45" t="str">
        <f>IFERROR(VLOOKUP(B2354,'Pre-Summary'!$Y$6:$AC$83, 3,FALSE),"")</f>
        <v/>
      </c>
      <c r="U2354" s="45" t="str">
        <f>IFERROR(VLOOKUP(B2354,'Pre-Summary'!$Y$6:$AC$83, 4,FALSE),"")</f>
        <v/>
      </c>
      <c r="V2354" t="str">
        <f>IFERROR(VLOOKUP(B2354,'Pre-Summary'!$Y$6:$AC$83, 5,FALSE),"")</f>
        <v/>
      </c>
      <c r="W2354" s="45" t="str">
        <f>IFERROR(VLOOKUP(B2354,'Pre-Summary'!$Y$6:$AD$83,6,FALSE),"")</f>
        <v/>
      </c>
      <c r="X2354" t="str">
        <f>IFERROR(VLOOKUP('Pre-Summary'!$DB$6:$DD$63,3,FALSE),"")</f>
        <v/>
      </c>
      <c r="Y2354" t="str">
        <f>IFERROR(VLOOKUP(B2354,'Pre-Summary'!$CR$6:$CT$36,3,FALSE),"")</f>
        <v/>
      </c>
      <c r="Z2354" s="45" t="str">
        <f>IFERROR(VLOOKUP(B2354,'Pre-Summary'!$BZ$6:$CB$63,2,FALSE),"")</f>
        <v/>
      </c>
      <c r="AA2354" s="45" t="str">
        <f>IFERROR(VLOOKUP(B2354,'Pre-Summary'!$CG$6:$CI$70,2,FALSE),"")</f>
        <v/>
      </c>
      <c r="AB2354" s="99">
        <f>IFERROR(VLOOKUP(B2354,'Pre-Summary'!$A$6:$P$178,9,FALSE),AB2355)</f>
        <v>0.33989240270305521</v>
      </c>
      <c r="AC2354" s="10">
        <f>IFERROR(VLOOKUP(Summary!B2354,'Pre-Summary'!$A$6:$P$184,5, FALSE)/100,AC2355)</f>
        <v>0.95883799999999997</v>
      </c>
      <c r="AD2354" s="10">
        <f>IFERROR(VLOOKUP(Summary!B2354,'Pre-Summary'!$A$6:$P$184,3, FALSE)/100,AD2355)</f>
        <v>3.3588666666666663E-2</v>
      </c>
      <c r="AE2354" s="10">
        <f>IFERROR(VLOOKUP(Summary!B2354,'Pre-Summary'!$A$6:$P$184,7, FALSE)/100,AE2355)</f>
        <v>7.5729999999999999E-3</v>
      </c>
      <c r="AF2354" s="99">
        <f t="shared" si="109"/>
        <v>1.1416532616925353E-2</v>
      </c>
      <c r="AG2354" s="99">
        <f t="shared" si="110"/>
        <v>2.5740051656702369E-3</v>
      </c>
      <c r="AH2354" s="10" t="str">
        <f>IFERROR(VLOOKUP(B2354,'Pre-Summary'!$AZ$6:$BE$65,3,FALSE),"")</f>
        <v/>
      </c>
      <c r="AI2354" s="10" t="str">
        <f>IFERROR(VLOOKUP(B2354,'Pre-Summary'!$AZ$6:$BE$65,5,FALSE),"")</f>
        <v/>
      </c>
      <c r="AJ2354" s="10" t="str">
        <f>IFERROR(VLOOKUP(B2354,'Pre-Summary'!$AZ$6:$BE$65,4,FALSE),"")</f>
        <v/>
      </c>
      <c r="AK2354" s="10" t="str">
        <f>IFERROR(VLOOKUP(B2354,'Pre-Summary'!$AZ$6:$BE$65,6,FALSE),"")</f>
        <v/>
      </c>
      <c r="AL2354" s="10" t="str">
        <f>IFERROR(VLOOKUP(B2354,'Pre-Summary'!$BG$6:$BL$44,3,FALSE),"")</f>
        <v/>
      </c>
      <c r="AM2354" s="10" t="str">
        <f>IFERROR(VLOOKUP(B2354,'Pre-Summary'!$BG$6:$BL$44,4,FALSE),"")</f>
        <v/>
      </c>
    </row>
    <row r="2355" spans="2:39" ht="15" customHeight="1" x14ac:dyDescent="0.3">
      <c r="B2355">
        <v>235.2</v>
      </c>
      <c r="C2355" t="str">
        <f>IFERROR(VLOOKUP(B2355,'Pre-Summary'!$DI$6:$DM$23,4,FALSE),"")</f>
        <v/>
      </c>
      <c r="D2355" s="10" t="str">
        <f>IFERROR(VLOOKUP(B2355,'Pre-Summary'!$AT$6:$AX$14,5,FALSE),D2354)</f>
        <v>Wolfe v3: went back to modified wolfe + EDTA and switched CuSO4 to CUCl2</v>
      </c>
      <c r="E2355" s="10" t="str">
        <f>IFERROR(VLOOKUP(B2355,'Pre-Summary'!$AT$6:$AX$15,4,FALSE),"")</f>
        <v/>
      </c>
      <c r="F2355">
        <f>IFERROR(VLOOKUP(B2355,'Pre-Summary'!$AL$6:$AQ$13,6,FALSE),F2354)</f>
        <v>5.9405263157894746E-2</v>
      </c>
      <c r="G2355" t="str">
        <f>IFERROR(VLOOKUP(B2355,'Pre-Summary'!$AE$6:$AJ$85,3,FALSE),"")</f>
        <v/>
      </c>
      <c r="H2355" t="str">
        <f>IFERROR(VLOOKUP(B2355,'Pre-Summary'!$AE$6:$AJ$85,4,FALSE),"")</f>
        <v/>
      </c>
      <c r="I2355" t="str">
        <f>IFERROR(VLOOKUP(B2355,'Pre-Summary'!$AE$6:$AJ$85,5,FALSE),"")</f>
        <v/>
      </c>
      <c r="J2355" s="45" t="str">
        <f>IFERROR(VLOOKUP(B2355,'Pre-Summary'!$AE$6:$AJ$85,6, FALSE),"")</f>
        <v/>
      </c>
      <c r="K2355" s="45" t="str">
        <f>IFERROR(VLOOKUP(B2355,'Pre-Summary'!$DE$6:$DG$61,3,FALSE),"")</f>
        <v/>
      </c>
      <c r="L2355" s="45" t="str">
        <f>IFERROR(VLOOKUP(B2355,'Pre-Summary'!$CU$6:$CW$36,3,FALSE),"")</f>
        <v/>
      </c>
      <c r="M2355" s="45" t="str">
        <f>IFERROR(VLOOKUP(B2355,'Pre-Summary'!$BW$6:$BY$58,2,FALSE),"")</f>
        <v/>
      </c>
      <c r="N2355" s="45" t="str">
        <f>IFERROR(VLOOKUP(B2355,'Pre-Summary'!$CD$6:$CF$64,2,FALSE),"")</f>
        <v/>
      </c>
      <c r="O2355" s="99">
        <f>IFERROR(VLOOKUP(B2355,'Pre-Summary'!$BO$6:$BQ$48,3, FALSE),O2354)</f>
        <v>1.508</v>
      </c>
      <c r="P2355" s="99">
        <f>IFERROR(VLOOKUP(B2355,'Pre-Summary'!$BS$6:$BU$35,3,FALSE),P2354)</f>
        <v>0.379</v>
      </c>
      <c r="Q2355" s="54">
        <f t="shared" si="108"/>
        <v>3.9788918205804751</v>
      </c>
      <c r="R2355" s="53">
        <f>IFERROR(VLOOKUP(B2355,'Pre-Summary'!$BG$6:$BM$44,7,FALSE),R2356)</f>
        <v>9.7948682664336664E-2</v>
      </c>
      <c r="S2355" s="53">
        <f>IFERROR(VLOOKUP(B2355,'Pre-Summary'!$BG$6:$BM$44,6,FALSE),S2356)</f>
        <v>0.10614035087720526</v>
      </c>
      <c r="T2355" s="45" t="str">
        <f>IFERROR(VLOOKUP(B2355,'Pre-Summary'!$Y$6:$AC$83, 3,FALSE),"")</f>
        <v/>
      </c>
      <c r="U2355" s="45" t="str">
        <f>IFERROR(VLOOKUP(B2355,'Pre-Summary'!$Y$6:$AC$83, 4,FALSE),"")</f>
        <v/>
      </c>
      <c r="V2355" t="str">
        <f>IFERROR(VLOOKUP(B2355,'Pre-Summary'!$Y$6:$AC$83, 5,FALSE),"")</f>
        <v/>
      </c>
      <c r="W2355" s="45" t="str">
        <f>IFERROR(VLOOKUP(B2355,'Pre-Summary'!$Y$6:$AD$83,6,FALSE),"")</f>
        <v/>
      </c>
      <c r="X2355" t="str">
        <f>IFERROR(VLOOKUP('Pre-Summary'!$DB$6:$DD$63,3,FALSE),"")</f>
        <v/>
      </c>
      <c r="Y2355" t="str">
        <f>IFERROR(VLOOKUP(B2355,'Pre-Summary'!$CR$6:$CT$36,3,FALSE),"")</f>
        <v/>
      </c>
      <c r="Z2355" s="45" t="str">
        <f>IFERROR(VLOOKUP(B2355,'Pre-Summary'!$BZ$6:$CB$63,2,FALSE),"")</f>
        <v/>
      </c>
      <c r="AA2355" s="45" t="str">
        <f>IFERROR(VLOOKUP(B2355,'Pre-Summary'!$CG$6:$CI$70,2,FALSE),"")</f>
        <v/>
      </c>
      <c r="AB2355" s="99">
        <f>IFERROR(VLOOKUP(B2355,'Pre-Summary'!$A$6:$P$178,9,FALSE),AB2356)</f>
        <v>0.33989240270305521</v>
      </c>
      <c r="AC2355" s="10">
        <f>IFERROR(VLOOKUP(Summary!B2355,'Pre-Summary'!$A$6:$P$184,5, FALSE)/100,AC2356)</f>
        <v>0.95883799999999997</v>
      </c>
      <c r="AD2355" s="10">
        <f>IFERROR(VLOOKUP(Summary!B2355,'Pre-Summary'!$A$6:$P$184,3, FALSE)/100,AD2356)</f>
        <v>3.3588666666666663E-2</v>
      </c>
      <c r="AE2355" s="10">
        <f>IFERROR(VLOOKUP(Summary!B2355,'Pre-Summary'!$A$6:$P$184,7, FALSE)/100,AE2356)</f>
        <v>7.5729999999999999E-3</v>
      </c>
      <c r="AF2355" s="99">
        <f t="shared" si="109"/>
        <v>1.1416532616925353E-2</v>
      </c>
      <c r="AG2355" s="99">
        <f t="shared" si="110"/>
        <v>2.5740051656702369E-3</v>
      </c>
      <c r="AH2355" s="10" t="str">
        <f>IFERROR(VLOOKUP(B2355,'Pre-Summary'!$AZ$6:$BE$65,3,FALSE),"")</f>
        <v/>
      </c>
      <c r="AI2355" s="10" t="str">
        <f>IFERROR(VLOOKUP(B2355,'Pre-Summary'!$AZ$6:$BE$65,5,FALSE),"")</f>
        <v/>
      </c>
      <c r="AJ2355" s="10" t="str">
        <f>IFERROR(VLOOKUP(B2355,'Pre-Summary'!$AZ$6:$BE$65,4,FALSE),"")</f>
        <v/>
      </c>
      <c r="AK2355" s="10" t="str">
        <f>IFERROR(VLOOKUP(B2355,'Pre-Summary'!$AZ$6:$BE$65,6,FALSE),"")</f>
        <v/>
      </c>
      <c r="AL2355" s="10" t="str">
        <f>IFERROR(VLOOKUP(B2355,'Pre-Summary'!$BG$6:$BL$44,3,FALSE),"")</f>
        <v/>
      </c>
      <c r="AM2355" s="10" t="str">
        <f>IFERROR(VLOOKUP(B2355,'Pre-Summary'!$BG$6:$BL$44,4,FALSE),"")</f>
        <v/>
      </c>
    </row>
    <row r="2356" spans="2:39" ht="15" customHeight="1" x14ac:dyDescent="0.3">
      <c r="B2356">
        <v>235.3</v>
      </c>
      <c r="C2356" t="str">
        <f>IFERROR(VLOOKUP(B2356,'Pre-Summary'!$DI$6:$DM$23,4,FALSE),"")</f>
        <v/>
      </c>
      <c r="D2356" s="10" t="str">
        <f>IFERROR(VLOOKUP(B2356,'Pre-Summary'!$AT$6:$AX$14,5,FALSE),D2355)</f>
        <v>Wolfe v3: went back to modified wolfe + EDTA and switched CuSO4 to CUCl2</v>
      </c>
      <c r="E2356" s="10" t="str">
        <f>IFERROR(VLOOKUP(B2356,'Pre-Summary'!$AT$6:$AX$15,4,FALSE),"")</f>
        <v/>
      </c>
      <c r="F2356">
        <f>IFERROR(VLOOKUP(B2356,'Pre-Summary'!$AL$6:$AQ$13,6,FALSE),F2355)</f>
        <v>5.9405263157894746E-2</v>
      </c>
      <c r="G2356" t="str">
        <f>IFERROR(VLOOKUP(B2356,'Pre-Summary'!$AE$6:$AJ$85,3,FALSE),"")</f>
        <v/>
      </c>
      <c r="H2356" t="str">
        <f>IFERROR(VLOOKUP(B2356,'Pre-Summary'!$AE$6:$AJ$85,4,FALSE),"")</f>
        <v/>
      </c>
      <c r="I2356" t="str">
        <f>IFERROR(VLOOKUP(B2356,'Pre-Summary'!$AE$6:$AJ$85,5,FALSE),"")</f>
        <v/>
      </c>
      <c r="J2356" s="45" t="str">
        <f>IFERROR(VLOOKUP(B2356,'Pre-Summary'!$AE$6:$AJ$85,6, FALSE),"")</f>
        <v/>
      </c>
      <c r="K2356" s="45" t="str">
        <f>IFERROR(VLOOKUP(B2356,'Pre-Summary'!$DE$6:$DG$61,3,FALSE),"")</f>
        <v/>
      </c>
      <c r="L2356" s="45" t="str">
        <f>IFERROR(VLOOKUP(B2356,'Pre-Summary'!$CU$6:$CW$36,3,FALSE),"")</f>
        <v/>
      </c>
      <c r="M2356" s="45" t="str">
        <f>IFERROR(VLOOKUP(B2356,'Pre-Summary'!$BW$6:$BY$58,2,FALSE),"")</f>
        <v/>
      </c>
      <c r="N2356" s="45" t="str">
        <f>IFERROR(VLOOKUP(B2356,'Pre-Summary'!$CD$6:$CF$64,2,FALSE),"")</f>
        <v/>
      </c>
      <c r="O2356" s="99">
        <f>IFERROR(VLOOKUP(B2356,'Pre-Summary'!$BO$6:$BQ$48,3, FALSE),O2355)</f>
        <v>1.508</v>
      </c>
      <c r="P2356" s="99">
        <f>IFERROR(VLOOKUP(B2356,'Pre-Summary'!$BS$6:$BU$35,3,FALSE),P2355)</f>
        <v>0.379</v>
      </c>
      <c r="Q2356" s="54">
        <f t="shared" si="108"/>
        <v>3.9788918205804751</v>
      </c>
      <c r="R2356" s="53">
        <f>IFERROR(VLOOKUP(B2356,'Pre-Summary'!$BG$6:$BM$44,7,FALSE),R2357)</f>
        <v>9.7948682664336664E-2</v>
      </c>
      <c r="S2356" s="53">
        <f>IFERROR(VLOOKUP(B2356,'Pre-Summary'!$BG$6:$BM$44,6,FALSE),S2357)</f>
        <v>0.10614035087720526</v>
      </c>
      <c r="T2356" s="45" t="str">
        <f>IFERROR(VLOOKUP(B2356,'Pre-Summary'!$Y$6:$AC$83, 3,FALSE),"")</f>
        <v/>
      </c>
      <c r="U2356" s="45" t="str">
        <f>IFERROR(VLOOKUP(B2356,'Pre-Summary'!$Y$6:$AC$83, 4,FALSE),"")</f>
        <v/>
      </c>
      <c r="V2356" t="str">
        <f>IFERROR(VLOOKUP(B2356,'Pre-Summary'!$Y$6:$AC$83, 5,FALSE),"")</f>
        <v/>
      </c>
      <c r="W2356" s="45" t="str">
        <f>IFERROR(VLOOKUP(B2356,'Pre-Summary'!$Y$6:$AD$83,6,FALSE),"")</f>
        <v/>
      </c>
      <c r="X2356" t="str">
        <f>IFERROR(VLOOKUP('Pre-Summary'!$DB$6:$DD$63,3,FALSE),"")</f>
        <v/>
      </c>
      <c r="Y2356" t="str">
        <f>IFERROR(VLOOKUP(B2356,'Pre-Summary'!$CR$6:$CT$36,3,FALSE),"")</f>
        <v/>
      </c>
      <c r="Z2356" s="45" t="str">
        <f>IFERROR(VLOOKUP(B2356,'Pre-Summary'!$BZ$6:$CB$63,2,FALSE),"")</f>
        <v/>
      </c>
      <c r="AA2356" s="45" t="str">
        <f>IFERROR(VLOOKUP(B2356,'Pre-Summary'!$CG$6:$CI$70,2,FALSE),"")</f>
        <v/>
      </c>
      <c r="AB2356" s="99">
        <f>IFERROR(VLOOKUP(B2356,'Pre-Summary'!$A$6:$P$178,9,FALSE),AB2357)</f>
        <v>0.33989240270305521</v>
      </c>
      <c r="AC2356" s="10">
        <f>IFERROR(VLOOKUP(Summary!B2356,'Pre-Summary'!$A$6:$P$184,5, FALSE)/100,AC2357)</f>
        <v>0.95883799999999997</v>
      </c>
      <c r="AD2356" s="10">
        <f>IFERROR(VLOOKUP(Summary!B2356,'Pre-Summary'!$A$6:$P$184,3, FALSE)/100,AD2357)</f>
        <v>3.3588666666666663E-2</v>
      </c>
      <c r="AE2356" s="10">
        <f>IFERROR(VLOOKUP(Summary!B2356,'Pre-Summary'!$A$6:$P$184,7, FALSE)/100,AE2357)</f>
        <v>7.5729999999999999E-3</v>
      </c>
      <c r="AF2356" s="99">
        <f t="shared" si="109"/>
        <v>1.1416532616925353E-2</v>
      </c>
      <c r="AG2356" s="99">
        <f t="shared" si="110"/>
        <v>2.5740051656702369E-3</v>
      </c>
      <c r="AH2356" s="10" t="str">
        <f>IFERROR(VLOOKUP(B2356,'Pre-Summary'!$AZ$6:$BE$65,3,FALSE),"")</f>
        <v/>
      </c>
      <c r="AI2356" s="10" t="str">
        <f>IFERROR(VLOOKUP(B2356,'Pre-Summary'!$AZ$6:$BE$65,5,FALSE),"")</f>
        <v/>
      </c>
      <c r="AJ2356" s="10" t="str">
        <f>IFERROR(VLOOKUP(B2356,'Pre-Summary'!$AZ$6:$BE$65,4,FALSE),"")</f>
        <v/>
      </c>
      <c r="AK2356" s="10" t="str">
        <f>IFERROR(VLOOKUP(B2356,'Pre-Summary'!$AZ$6:$BE$65,6,FALSE),"")</f>
        <v/>
      </c>
      <c r="AL2356" s="10" t="str">
        <f>IFERROR(VLOOKUP(B2356,'Pre-Summary'!$BG$6:$BL$44,3,FALSE),"")</f>
        <v/>
      </c>
      <c r="AM2356" s="10" t="str">
        <f>IFERROR(VLOOKUP(B2356,'Pre-Summary'!$BG$6:$BL$44,4,FALSE),"")</f>
        <v/>
      </c>
    </row>
    <row r="2357" spans="2:39" ht="15" customHeight="1" x14ac:dyDescent="0.3">
      <c r="B2357">
        <v>235.4</v>
      </c>
      <c r="C2357" t="str">
        <f>IFERROR(VLOOKUP(B2357,'Pre-Summary'!$DI$6:$DM$23,4,FALSE),"")</f>
        <v/>
      </c>
      <c r="D2357" s="10" t="str">
        <f>IFERROR(VLOOKUP(B2357,'Pre-Summary'!$AT$6:$AX$14,5,FALSE),D2356)</f>
        <v>Wolfe v3: went back to modified wolfe + EDTA and switched CuSO4 to CUCl2</v>
      </c>
      <c r="E2357" s="10" t="str">
        <f>IFERROR(VLOOKUP(B2357,'Pre-Summary'!$AT$6:$AX$15,4,FALSE),"")</f>
        <v/>
      </c>
      <c r="F2357">
        <f>IFERROR(VLOOKUP(B2357,'Pre-Summary'!$AL$6:$AQ$13,6,FALSE),F2356)</f>
        <v>5.9405263157894746E-2</v>
      </c>
      <c r="G2357" t="str">
        <f>IFERROR(VLOOKUP(B2357,'Pre-Summary'!$AE$6:$AJ$85,3,FALSE),"")</f>
        <v/>
      </c>
      <c r="H2357" t="str">
        <f>IFERROR(VLOOKUP(B2357,'Pre-Summary'!$AE$6:$AJ$85,4,FALSE),"")</f>
        <v/>
      </c>
      <c r="I2357" t="str">
        <f>IFERROR(VLOOKUP(B2357,'Pre-Summary'!$AE$6:$AJ$85,5,FALSE),"")</f>
        <v/>
      </c>
      <c r="J2357" s="45" t="str">
        <f>IFERROR(VLOOKUP(B2357,'Pre-Summary'!$AE$6:$AJ$85,6, FALSE),"")</f>
        <v/>
      </c>
      <c r="K2357" s="45" t="str">
        <f>IFERROR(VLOOKUP(B2357,'Pre-Summary'!$DE$6:$DG$61,3,FALSE),"")</f>
        <v/>
      </c>
      <c r="L2357" s="45" t="str">
        <f>IFERROR(VLOOKUP(B2357,'Pre-Summary'!$CU$6:$CW$36,3,FALSE),"")</f>
        <v/>
      </c>
      <c r="M2357" s="45" t="str">
        <f>IFERROR(VLOOKUP(B2357,'Pre-Summary'!$BW$6:$BY$58,2,FALSE),"")</f>
        <v/>
      </c>
      <c r="N2357" s="45" t="str">
        <f>IFERROR(VLOOKUP(B2357,'Pre-Summary'!$CD$6:$CF$64,2,FALSE),"")</f>
        <v/>
      </c>
      <c r="O2357" s="99">
        <f>IFERROR(VLOOKUP(B2357,'Pre-Summary'!$BO$6:$BQ$48,3, FALSE),O2356)</f>
        <v>1.508</v>
      </c>
      <c r="P2357" s="99">
        <f>IFERROR(VLOOKUP(B2357,'Pre-Summary'!$BS$6:$BU$35,3,FALSE),P2356)</f>
        <v>0.379</v>
      </c>
      <c r="Q2357" s="54">
        <f t="shared" si="108"/>
        <v>3.9788918205804751</v>
      </c>
      <c r="R2357" s="53">
        <f>IFERROR(VLOOKUP(B2357,'Pre-Summary'!$BG$6:$BM$44,7,FALSE),R2358)</f>
        <v>9.7948682664336664E-2</v>
      </c>
      <c r="S2357" s="53">
        <f>IFERROR(VLOOKUP(B2357,'Pre-Summary'!$BG$6:$BM$44,6,FALSE),S2358)</f>
        <v>0.10614035087720526</v>
      </c>
      <c r="T2357" s="45" t="str">
        <f>IFERROR(VLOOKUP(B2357,'Pre-Summary'!$Y$6:$AC$83, 3,FALSE),"")</f>
        <v/>
      </c>
      <c r="U2357" s="45" t="str">
        <f>IFERROR(VLOOKUP(B2357,'Pre-Summary'!$Y$6:$AC$83, 4,FALSE),"")</f>
        <v/>
      </c>
      <c r="V2357" t="str">
        <f>IFERROR(VLOOKUP(B2357,'Pre-Summary'!$Y$6:$AC$83, 5,FALSE),"")</f>
        <v/>
      </c>
      <c r="W2357" s="45" t="str">
        <f>IFERROR(VLOOKUP(B2357,'Pre-Summary'!$Y$6:$AD$83,6,FALSE),"")</f>
        <v/>
      </c>
      <c r="X2357" t="str">
        <f>IFERROR(VLOOKUP('Pre-Summary'!$DB$6:$DD$63,3,FALSE),"")</f>
        <v/>
      </c>
      <c r="Y2357" t="str">
        <f>IFERROR(VLOOKUP(B2357,'Pre-Summary'!$CR$6:$CT$36,3,FALSE),"")</f>
        <v/>
      </c>
      <c r="Z2357" s="45" t="str">
        <f>IFERROR(VLOOKUP(B2357,'Pre-Summary'!$BZ$6:$CB$63,2,FALSE),"")</f>
        <v/>
      </c>
      <c r="AA2357" s="45" t="str">
        <f>IFERROR(VLOOKUP(B2357,'Pre-Summary'!$CG$6:$CI$70,2,FALSE),"")</f>
        <v/>
      </c>
      <c r="AB2357" s="99">
        <f>IFERROR(VLOOKUP(B2357,'Pre-Summary'!$A$6:$P$178,9,FALSE),AB2358)</f>
        <v>0.33989240270305521</v>
      </c>
      <c r="AC2357" s="10">
        <f>IFERROR(VLOOKUP(Summary!B2357,'Pre-Summary'!$A$6:$P$184,5, FALSE)/100,AC2358)</f>
        <v>0.95883799999999997</v>
      </c>
      <c r="AD2357" s="10">
        <f>IFERROR(VLOOKUP(Summary!B2357,'Pre-Summary'!$A$6:$P$184,3, FALSE)/100,AD2358)</f>
        <v>3.3588666666666663E-2</v>
      </c>
      <c r="AE2357" s="10">
        <f>IFERROR(VLOOKUP(Summary!B2357,'Pre-Summary'!$A$6:$P$184,7, FALSE)/100,AE2358)</f>
        <v>7.5729999999999999E-3</v>
      </c>
      <c r="AF2357" s="99">
        <f t="shared" si="109"/>
        <v>1.1416532616925353E-2</v>
      </c>
      <c r="AG2357" s="99">
        <f t="shared" si="110"/>
        <v>2.5740051656702369E-3</v>
      </c>
      <c r="AH2357" s="10" t="str">
        <f>IFERROR(VLOOKUP(B2357,'Pre-Summary'!$AZ$6:$BE$65,3,FALSE),"")</f>
        <v/>
      </c>
      <c r="AI2357" s="10" t="str">
        <f>IFERROR(VLOOKUP(B2357,'Pre-Summary'!$AZ$6:$BE$65,5,FALSE),"")</f>
        <v/>
      </c>
      <c r="AJ2357" s="10" t="str">
        <f>IFERROR(VLOOKUP(B2357,'Pre-Summary'!$AZ$6:$BE$65,4,FALSE),"")</f>
        <v/>
      </c>
      <c r="AK2357" s="10" t="str">
        <f>IFERROR(VLOOKUP(B2357,'Pre-Summary'!$AZ$6:$BE$65,6,FALSE),"")</f>
        <v/>
      </c>
      <c r="AL2357" s="10" t="str">
        <f>IFERROR(VLOOKUP(B2357,'Pre-Summary'!$BG$6:$BL$44,3,FALSE),"")</f>
        <v/>
      </c>
      <c r="AM2357" s="10" t="str">
        <f>IFERROR(VLOOKUP(B2357,'Pre-Summary'!$BG$6:$BL$44,4,FALSE),"")</f>
        <v/>
      </c>
    </row>
    <row r="2358" spans="2:39" ht="15" customHeight="1" x14ac:dyDescent="0.3">
      <c r="B2358">
        <v>235.5</v>
      </c>
      <c r="C2358" t="str">
        <f>IFERROR(VLOOKUP(B2358,'Pre-Summary'!$DI$6:$DM$23,4,FALSE),"")</f>
        <v/>
      </c>
      <c r="D2358" s="10" t="str">
        <f>IFERROR(VLOOKUP(B2358,'Pre-Summary'!$AT$6:$AX$14,5,FALSE),D2357)</f>
        <v>Wolfe v3: went back to modified wolfe + EDTA and switched CuSO4 to CUCl2</v>
      </c>
      <c r="E2358" s="10" t="str">
        <f>IFERROR(VLOOKUP(B2358,'Pre-Summary'!$AT$6:$AX$15,4,FALSE),"")</f>
        <v/>
      </c>
      <c r="F2358">
        <f>IFERROR(VLOOKUP(B2358,'Pre-Summary'!$AL$6:$AQ$13,6,FALSE),F2357)</f>
        <v>5.9405263157894746E-2</v>
      </c>
      <c r="G2358" t="str">
        <f>IFERROR(VLOOKUP(B2358,'Pre-Summary'!$AE$6:$AJ$85,3,FALSE),"")</f>
        <v/>
      </c>
      <c r="H2358" t="str">
        <f>IFERROR(VLOOKUP(B2358,'Pre-Summary'!$AE$6:$AJ$85,4,FALSE),"")</f>
        <v/>
      </c>
      <c r="I2358" t="str">
        <f>IFERROR(VLOOKUP(B2358,'Pre-Summary'!$AE$6:$AJ$85,5,FALSE),"")</f>
        <v/>
      </c>
      <c r="J2358" s="45" t="str">
        <f>IFERROR(VLOOKUP(B2358,'Pre-Summary'!$AE$6:$AJ$85,6, FALSE),"")</f>
        <v/>
      </c>
      <c r="K2358" s="45" t="str">
        <f>IFERROR(VLOOKUP(B2358,'Pre-Summary'!$DE$6:$DG$61,3,FALSE),"")</f>
        <v/>
      </c>
      <c r="L2358" s="45" t="str">
        <f>IFERROR(VLOOKUP(B2358,'Pre-Summary'!$CU$6:$CW$36,3,FALSE),"")</f>
        <v/>
      </c>
      <c r="M2358" s="45" t="str">
        <f>IFERROR(VLOOKUP(B2358,'Pre-Summary'!$BW$6:$BY$58,2,FALSE),"")</f>
        <v/>
      </c>
      <c r="N2358" s="45" t="str">
        <f>IFERROR(VLOOKUP(B2358,'Pre-Summary'!$CD$6:$CF$64,2,FALSE),"")</f>
        <v/>
      </c>
      <c r="O2358" s="99">
        <f>IFERROR(VLOOKUP(B2358,'Pre-Summary'!$BO$6:$BQ$48,3, FALSE),O2357)</f>
        <v>1.508</v>
      </c>
      <c r="P2358" s="99">
        <f>IFERROR(VLOOKUP(B2358,'Pre-Summary'!$BS$6:$BU$35,3,FALSE),P2357)</f>
        <v>0.379</v>
      </c>
      <c r="Q2358" s="54">
        <f t="shared" si="108"/>
        <v>3.9788918205804751</v>
      </c>
      <c r="R2358" s="53">
        <f>IFERROR(VLOOKUP(B2358,'Pre-Summary'!$BG$6:$BM$44,7,FALSE),R2359)</f>
        <v>9.7948682664336664E-2</v>
      </c>
      <c r="S2358" s="53">
        <f>IFERROR(VLOOKUP(B2358,'Pre-Summary'!$BG$6:$BM$44,6,FALSE),S2359)</f>
        <v>0.10614035087720526</v>
      </c>
      <c r="T2358" s="45" t="str">
        <f>IFERROR(VLOOKUP(B2358,'Pre-Summary'!$Y$6:$AC$83, 3,FALSE),"")</f>
        <v/>
      </c>
      <c r="U2358" s="45" t="str">
        <f>IFERROR(VLOOKUP(B2358,'Pre-Summary'!$Y$6:$AC$83, 4,FALSE),"")</f>
        <v/>
      </c>
      <c r="V2358" t="str">
        <f>IFERROR(VLOOKUP(B2358,'Pre-Summary'!$Y$6:$AC$83, 5,FALSE),"")</f>
        <v/>
      </c>
      <c r="W2358" s="45" t="str">
        <f>IFERROR(VLOOKUP(B2358,'Pre-Summary'!$Y$6:$AD$83,6,FALSE),"")</f>
        <v/>
      </c>
      <c r="X2358" t="str">
        <f>IFERROR(VLOOKUP('Pre-Summary'!$DB$6:$DD$63,3,FALSE),"")</f>
        <v/>
      </c>
      <c r="Y2358" t="str">
        <f>IFERROR(VLOOKUP(B2358,'Pre-Summary'!$CR$6:$CT$36,3,FALSE),"")</f>
        <v/>
      </c>
      <c r="Z2358" s="45" t="str">
        <f>IFERROR(VLOOKUP(B2358,'Pre-Summary'!$BZ$6:$CB$63,2,FALSE),"")</f>
        <v/>
      </c>
      <c r="AA2358" s="45" t="str">
        <f>IFERROR(VLOOKUP(B2358,'Pre-Summary'!$CG$6:$CI$70,2,FALSE),"")</f>
        <v/>
      </c>
      <c r="AB2358" s="99">
        <f>IFERROR(VLOOKUP(B2358,'Pre-Summary'!$A$6:$P$178,9,FALSE),AB2359)</f>
        <v>0.33989240270305521</v>
      </c>
      <c r="AC2358" s="10">
        <f>IFERROR(VLOOKUP(Summary!B2358,'Pre-Summary'!$A$6:$P$184,5, FALSE)/100,AC2359)</f>
        <v>0.95883799999999997</v>
      </c>
      <c r="AD2358" s="10">
        <f>IFERROR(VLOOKUP(Summary!B2358,'Pre-Summary'!$A$6:$P$184,3, FALSE)/100,AD2359)</f>
        <v>3.3588666666666663E-2</v>
      </c>
      <c r="AE2358" s="10">
        <f>IFERROR(VLOOKUP(Summary!B2358,'Pre-Summary'!$A$6:$P$184,7, FALSE)/100,AE2359)</f>
        <v>7.5729999999999999E-3</v>
      </c>
      <c r="AF2358" s="99">
        <f t="shared" si="109"/>
        <v>1.1416532616925353E-2</v>
      </c>
      <c r="AG2358" s="99">
        <f t="shared" si="110"/>
        <v>2.5740051656702369E-3</v>
      </c>
      <c r="AH2358" s="10" t="str">
        <f>IFERROR(VLOOKUP(B2358,'Pre-Summary'!$AZ$6:$BE$65,3,FALSE),"")</f>
        <v/>
      </c>
      <c r="AI2358" s="10" t="str">
        <f>IFERROR(VLOOKUP(B2358,'Pre-Summary'!$AZ$6:$BE$65,5,FALSE),"")</f>
        <v/>
      </c>
      <c r="AJ2358" s="10" t="str">
        <f>IFERROR(VLOOKUP(B2358,'Pre-Summary'!$AZ$6:$BE$65,4,FALSE),"")</f>
        <v/>
      </c>
      <c r="AK2358" s="10" t="str">
        <f>IFERROR(VLOOKUP(B2358,'Pre-Summary'!$AZ$6:$BE$65,6,FALSE),"")</f>
        <v/>
      </c>
      <c r="AL2358" s="10" t="str">
        <f>IFERROR(VLOOKUP(B2358,'Pre-Summary'!$BG$6:$BL$44,3,FALSE),"")</f>
        <v/>
      </c>
      <c r="AM2358" s="10" t="str">
        <f>IFERROR(VLOOKUP(B2358,'Pre-Summary'!$BG$6:$BL$44,4,FALSE),"")</f>
        <v/>
      </c>
    </row>
    <row r="2359" spans="2:39" ht="15" customHeight="1" x14ac:dyDescent="0.3">
      <c r="B2359">
        <v>235.6</v>
      </c>
      <c r="C2359" t="str">
        <f>IFERROR(VLOOKUP(B2359,'Pre-Summary'!$DI$6:$DM$23,4,FALSE),"")</f>
        <v/>
      </c>
      <c r="D2359" s="10" t="str">
        <f>IFERROR(VLOOKUP(B2359,'Pre-Summary'!$AT$6:$AX$14,5,FALSE),D2358)</f>
        <v>Wolfe v3: went back to modified wolfe + EDTA and switched CuSO4 to CUCl2</v>
      </c>
      <c r="E2359" s="10" t="str">
        <f>IFERROR(VLOOKUP(B2359,'Pre-Summary'!$AT$6:$AX$15,4,FALSE),"")</f>
        <v/>
      </c>
      <c r="F2359">
        <f>IFERROR(VLOOKUP(B2359,'Pre-Summary'!$AL$6:$AQ$13,6,FALSE),F2358)</f>
        <v>5.9405263157894746E-2</v>
      </c>
      <c r="G2359" t="str">
        <f>IFERROR(VLOOKUP(B2359,'Pre-Summary'!$AE$6:$AJ$85,3,FALSE),"")</f>
        <v/>
      </c>
      <c r="H2359" t="str">
        <f>IFERROR(VLOOKUP(B2359,'Pre-Summary'!$AE$6:$AJ$85,4,FALSE),"")</f>
        <v/>
      </c>
      <c r="I2359" t="str">
        <f>IFERROR(VLOOKUP(B2359,'Pre-Summary'!$AE$6:$AJ$85,5,FALSE),"")</f>
        <v/>
      </c>
      <c r="J2359" s="45" t="str">
        <f>IFERROR(VLOOKUP(B2359,'Pre-Summary'!$AE$6:$AJ$85,6, FALSE),"")</f>
        <v/>
      </c>
      <c r="K2359" s="45" t="str">
        <f>IFERROR(VLOOKUP(B2359,'Pre-Summary'!$DE$6:$DG$61,3,FALSE),"")</f>
        <v/>
      </c>
      <c r="L2359" s="45" t="str">
        <f>IFERROR(VLOOKUP(B2359,'Pre-Summary'!$CU$6:$CW$36,3,FALSE),"")</f>
        <v/>
      </c>
      <c r="M2359" s="45" t="str">
        <f>IFERROR(VLOOKUP(B2359,'Pre-Summary'!$BW$6:$BY$58,2,FALSE),"")</f>
        <v/>
      </c>
      <c r="N2359" s="45" t="str">
        <f>IFERROR(VLOOKUP(B2359,'Pre-Summary'!$CD$6:$CF$64,2,FALSE),"")</f>
        <v/>
      </c>
      <c r="O2359" s="99">
        <f>IFERROR(VLOOKUP(B2359,'Pre-Summary'!$BO$6:$BQ$48,3, FALSE),O2358)</f>
        <v>1.508</v>
      </c>
      <c r="P2359" s="99">
        <f>IFERROR(VLOOKUP(B2359,'Pre-Summary'!$BS$6:$BU$35,3,FALSE),P2358)</f>
        <v>0.379</v>
      </c>
      <c r="Q2359" s="54">
        <f t="shared" si="108"/>
        <v>3.9788918205804751</v>
      </c>
      <c r="R2359" s="53">
        <f>IFERROR(VLOOKUP(B2359,'Pre-Summary'!$BG$6:$BM$44,7,FALSE),R2360)</f>
        <v>9.7948682664336664E-2</v>
      </c>
      <c r="S2359" s="53">
        <f>IFERROR(VLOOKUP(B2359,'Pre-Summary'!$BG$6:$BM$44,6,FALSE),S2360)</f>
        <v>0.10614035087720526</v>
      </c>
      <c r="T2359" s="45" t="str">
        <f>IFERROR(VLOOKUP(B2359,'Pre-Summary'!$Y$6:$AC$83, 3,FALSE),"")</f>
        <v/>
      </c>
      <c r="U2359" s="45" t="str">
        <f>IFERROR(VLOOKUP(B2359,'Pre-Summary'!$Y$6:$AC$83, 4,FALSE),"")</f>
        <v/>
      </c>
      <c r="V2359" t="str">
        <f>IFERROR(VLOOKUP(B2359,'Pre-Summary'!$Y$6:$AC$83, 5,FALSE),"")</f>
        <v/>
      </c>
      <c r="W2359" s="45" t="str">
        <f>IFERROR(VLOOKUP(B2359,'Pre-Summary'!$Y$6:$AD$83,6,FALSE),"")</f>
        <v/>
      </c>
      <c r="X2359" t="str">
        <f>IFERROR(VLOOKUP('Pre-Summary'!$DB$6:$DD$63,3,FALSE),"")</f>
        <v/>
      </c>
      <c r="Y2359" t="str">
        <f>IFERROR(VLOOKUP(B2359,'Pre-Summary'!$CR$6:$CT$36,3,FALSE),"")</f>
        <v/>
      </c>
      <c r="Z2359" s="45" t="str">
        <f>IFERROR(VLOOKUP(B2359,'Pre-Summary'!$BZ$6:$CB$63,2,FALSE),"")</f>
        <v/>
      </c>
      <c r="AA2359" s="45" t="str">
        <f>IFERROR(VLOOKUP(B2359,'Pre-Summary'!$CG$6:$CI$70,2,FALSE),"")</f>
        <v/>
      </c>
      <c r="AB2359" s="99">
        <f>IFERROR(VLOOKUP(B2359,'Pre-Summary'!$A$6:$P$178,9,FALSE),AB2360)</f>
        <v>0.33989240270305521</v>
      </c>
      <c r="AC2359" s="10">
        <f>IFERROR(VLOOKUP(Summary!B2359,'Pre-Summary'!$A$6:$P$184,5, FALSE)/100,AC2360)</f>
        <v>0.95883799999999997</v>
      </c>
      <c r="AD2359" s="10">
        <f>IFERROR(VLOOKUP(Summary!B2359,'Pre-Summary'!$A$6:$P$184,3, FALSE)/100,AD2360)</f>
        <v>3.3588666666666663E-2</v>
      </c>
      <c r="AE2359" s="10">
        <f>IFERROR(VLOOKUP(Summary!B2359,'Pre-Summary'!$A$6:$P$184,7, FALSE)/100,AE2360)</f>
        <v>7.5729999999999999E-3</v>
      </c>
      <c r="AF2359" s="99">
        <f t="shared" si="109"/>
        <v>1.1416532616925353E-2</v>
      </c>
      <c r="AG2359" s="99">
        <f t="shared" si="110"/>
        <v>2.5740051656702369E-3</v>
      </c>
      <c r="AH2359" s="10" t="str">
        <f>IFERROR(VLOOKUP(B2359,'Pre-Summary'!$AZ$6:$BE$65,3,FALSE),"")</f>
        <v/>
      </c>
      <c r="AI2359" s="10" t="str">
        <f>IFERROR(VLOOKUP(B2359,'Pre-Summary'!$AZ$6:$BE$65,5,FALSE),"")</f>
        <v/>
      </c>
      <c r="AJ2359" s="10" t="str">
        <f>IFERROR(VLOOKUP(B2359,'Pre-Summary'!$AZ$6:$BE$65,4,FALSE),"")</f>
        <v/>
      </c>
      <c r="AK2359" s="10" t="str">
        <f>IFERROR(VLOOKUP(B2359,'Pre-Summary'!$AZ$6:$BE$65,6,FALSE),"")</f>
        <v/>
      </c>
      <c r="AL2359" s="10" t="str">
        <f>IFERROR(VLOOKUP(B2359,'Pre-Summary'!$BG$6:$BL$44,3,FALSE),"")</f>
        <v/>
      </c>
      <c r="AM2359" s="10" t="str">
        <f>IFERROR(VLOOKUP(B2359,'Pre-Summary'!$BG$6:$BL$44,4,FALSE),"")</f>
        <v/>
      </c>
    </row>
    <row r="2360" spans="2:39" ht="15" customHeight="1" x14ac:dyDescent="0.3">
      <c r="B2360">
        <v>235.7</v>
      </c>
      <c r="C2360" t="str">
        <f>IFERROR(VLOOKUP(B2360,'Pre-Summary'!$DI$6:$DM$23,4,FALSE),"")</f>
        <v/>
      </c>
      <c r="D2360" s="10" t="str">
        <f>IFERROR(VLOOKUP(B2360,'Pre-Summary'!$AT$6:$AX$14,5,FALSE),D2359)</f>
        <v>Wolfe v3: went back to modified wolfe + EDTA and switched CuSO4 to CUCl2</v>
      </c>
      <c r="E2360" s="10" t="str">
        <f>IFERROR(VLOOKUP(B2360,'Pre-Summary'!$AT$6:$AX$15,4,FALSE),"")</f>
        <v/>
      </c>
      <c r="F2360">
        <f>IFERROR(VLOOKUP(B2360,'Pre-Summary'!$AL$6:$AQ$13,6,FALSE),F2359)</f>
        <v>5.9405263157894746E-2</v>
      </c>
      <c r="G2360" t="str">
        <f>IFERROR(VLOOKUP(B2360,'Pre-Summary'!$AE$6:$AJ$85,3,FALSE),"")</f>
        <v/>
      </c>
      <c r="H2360" t="str">
        <f>IFERROR(VLOOKUP(B2360,'Pre-Summary'!$AE$6:$AJ$85,4,FALSE),"")</f>
        <v/>
      </c>
      <c r="I2360" t="str">
        <f>IFERROR(VLOOKUP(B2360,'Pre-Summary'!$AE$6:$AJ$85,5,FALSE),"")</f>
        <v/>
      </c>
      <c r="J2360" s="45" t="str">
        <f>IFERROR(VLOOKUP(B2360,'Pre-Summary'!$AE$6:$AJ$85,6, FALSE),"")</f>
        <v/>
      </c>
      <c r="K2360" s="45" t="str">
        <f>IFERROR(VLOOKUP(B2360,'Pre-Summary'!$DE$6:$DG$61,3,FALSE),"")</f>
        <v/>
      </c>
      <c r="L2360" s="45" t="str">
        <f>IFERROR(VLOOKUP(B2360,'Pre-Summary'!$CU$6:$CW$36,3,FALSE),"")</f>
        <v/>
      </c>
      <c r="M2360" s="45" t="str">
        <f>IFERROR(VLOOKUP(B2360,'Pre-Summary'!$BW$6:$BY$58,2,FALSE),"")</f>
        <v/>
      </c>
      <c r="N2360" s="45" t="str">
        <f>IFERROR(VLOOKUP(B2360,'Pre-Summary'!$CD$6:$CF$64,2,FALSE),"")</f>
        <v/>
      </c>
      <c r="O2360" s="99">
        <f>IFERROR(VLOOKUP(B2360,'Pre-Summary'!$BO$6:$BQ$48,3, FALSE),O2359)</f>
        <v>1.508</v>
      </c>
      <c r="P2360" s="99">
        <f>IFERROR(VLOOKUP(B2360,'Pre-Summary'!$BS$6:$BU$35,3,FALSE),P2359)</f>
        <v>0.379</v>
      </c>
      <c r="Q2360" s="54">
        <f t="shared" si="108"/>
        <v>3.9788918205804751</v>
      </c>
      <c r="R2360" s="53">
        <f>IFERROR(VLOOKUP(B2360,'Pre-Summary'!$BG$6:$BM$44,7,FALSE),R2361)</f>
        <v>9.7948682664336664E-2</v>
      </c>
      <c r="S2360" s="53">
        <f>IFERROR(VLOOKUP(B2360,'Pre-Summary'!$BG$6:$BM$44,6,FALSE),S2361)</f>
        <v>0.10614035087720526</v>
      </c>
      <c r="T2360" s="45" t="str">
        <f>IFERROR(VLOOKUP(B2360,'Pre-Summary'!$Y$6:$AC$83, 3,FALSE),"")</f>
        <v/>
      </c>
      <c r="U2360" s="45" t="str">
        <f>IFERROR(VLOOKUP(B2360,'Pre-Summary'!$Y$6:$AC$83, 4,FALSE),"")</f>
        <v/>
      </c>
      <c r="V2360" t="str">
        <f>IFERROR(VLOOKUP(B2360,'Pre-Summary'!$Y$6:$AC$83, 5,FALSE),"")</f>
        <v/>
      </c>
      <c r="W2360" s="45" t="str">
        <f>IFERROR(VLOOKUP(B2360,'Pre-Summary'!$Y$6:$AD$83,6,FALSE),"")</f>
        <v/>
      </c>
      <c r="X2360" t="str">
        <f>IFERROR(VLOOKUP('Pre-Summary'!$DB$6:$DD$63,3,FALSE),"")</f>
        <v/>
      </c>
      <c r="Y2360" t="str">
        <f>IFERROR(VLOOKUP(B2360,'Pre-Summary'!$CR$6:$CT$36,3,FALSE),"")</f>
        <v/>
      </c>
      <c r="Z2360" s="45" t="str">
        <f>IFERROR(VLOOKUP(B2360,'Pre-Summary'!$BZ$6:$CB$63,2,FALSE),"")</f>
        <v/>
      </c>
      <c r="AA2360" s="45" t="str">
        <f>IFERROR(VLOOKUP(B2360,'Pre-Summary'!$CG$6:$CI$70,2,FALSE),"")</f>
        <v/>
      </c>
      <c r="AB2360" s="99">
        <f>IFERROR(VLOOKUP(B2360,'Pre-Summary'!$A$6:$P$178,9,FALSE),AB2361)</f>
        <v>0.33989240270305521</v>
      </c>
      <c r="AC2360" s="10">
        <f>IFERROR(VLOOKUP(Summary!B2360,'Pre-Summary'!$A$6:$P$184,5, FALSE)/100,AC2361)</f>
        <v>0.95883799999999997</v>
      </c>
      <c r="AD2360" s="10">
        <f>IFERROR(VLOOKUP(Summary!B2360,'Pre-Summary'!$A$6:$P$184,3, FALSE)/100,AD2361)</f>
        <v>3.3588666666666663E-2</v>
      </c>
      <c r="AE2360" s="10">
        <f>IFERROR(VLOOKUP(Summary!B2360,'Pre-Summary'!$A$6:$P$184,7, FALSE)/100,AE2361)</f>
        <v>7.5729999999999999E-3</v>
      </c>
      <c r="AF2360" s="99">
        <f t="shared" si="109"/>
        <v>1.1416532616925353E-2</v>
      </c>
      <c r="AG2360" s="99">
        <f t="shared" si="110"/>
        <v>2.5740051656702369E-3</v>
      </c>
      <c r="AH2360" s="10" t="str">
        <f>IFERROR(VLOOKUP(B2360,'Pre-Summary'!$AZ$6:$BE$65,3,FALSE),"")</f>
        <v/>
      </c>
      <c r="AI2360" s="10" t="str">
        <f>IFERROR(VLOOKUP(B2360,'Pre-Summary'!$AZ$6:$BE$65,5,FALSE),"")</f>
        <v/>
      </c>
      <c r="AJ2360" s="10" t="str">
        <f>IFERROR(VLOOKUP(B2360,'Pre-Summary'!$AZ$6:$BE$65,4,FALSE),"")</f>
        <v/>
      </c>
      <c r="AK2360" s="10" t="str">
        <f>IFERROR(VLOOKUP(B2360,'Pre-Summary'!$AZ$6:$BE$65,6,FALSE),"")</f>
        <v/>
      </c>
      <c r="AL2360" s="10" t="str">
        <f>IFERROR(VLOOKUP(B2360,'Pre-Summary'!$BG$6:$BL$44,3,FALSE),"")</f>
        <v/>
      </c>
      <c r="AM2360" s="10" t="str">
        <f>IFERROR(VLOOKUP(B2360,'Pre-Summary'!$BG$6:$BL$44,4,FALSE),"")</f>
        <v/>
      </c>
    </row>
    <row r="2361" spans="2:39" ht="15" customHeight="1" x14ac:dyDescent="0.3">
      <c r="B2361">
        <v>235.8</v>
      </c>
      <c r="C2361" t="str">
        <f>IFERROR(VLOOKUP(B2361,'Pre-Summary'!$DI$6:$DM$23,4,FALSE),"")</f>
        <v/>
      </c>
      <c r="D2361" s="10" t="str">
        <f>IFERROR(VLOOKUP(B2361,'Pre-Summary'!$AT$6:$AX$14,5,FALSE),D2360)</f>
        <v>Wolfe v3: went back to modified wolfe + EDTA and switched CuSO4 to CUCl2</v>
      </c>
      <c r="E2361" s="10" t="str">
        <f>IFERROR(VLOOKUP(B2361,'Pre-Summary'!$AT$6:$AX$15,4,FALSE),"")</f>
        <v/>
      </c>
      <c r="F2361">
        <f>IFERROR(VLOOKUP(B2361,'Pre-Summary'!$AL$6:$AQ$13,6,FALSE),F2360)</f>
        <v>5.9405263157894746E-2</v>
      </c>
      <c r="G2361" t="str">
        <f>IFERROR(VLOOKUP(B2361,'Pre-Summary'!$AE$6:$AJ$85,3,FALSE),"")</f>
        <v/>
      </c>
      <c r="H2361" t="str">
        <f>IFERROR(VLOOKUP(B2361,'Pre-Summary'!$AE$6:$AJ$85,4,FALSE),"")</f>
        <v/>
      </c>
      <c r="I2361" t="str">
        <f>IFERROR(VLOOKUP(B2361,'Pre-Summary'!$AE$6:$AJ$85,5,FALSE),"")</f>
        <v/>
      </c>
      <c r="J2361" s="45" t="str">
        <f>IFERROR(VLOOKUP(B2361,'Pre-Summary'!$AE$6:$AJ$85,6, FALSE),"")</f>
        <v/>
      </c>
      <c r="K2361" s="45" t="str">
        <f>IFERROR(VLOOKUP(B2361,'Pre-Summary'!$DE$6:$DG$61,3,FALSE),"")</f>
        <v/>
      </c>
      <c r="L2361" s="45" t="str">
        <f>IFERROR(VLOOKUP(B2361,'Pre-Summary'!$CU$6:$CW$36,3,FALSE),"")</f>
        <v/>
      </c>
      <c r="M2361" s="45" t="str">
        <f>IFERROR(VLOOKUP(B2361,'Pre-Summary'!$BW$6:$BY$58,2,FALSE),"")</f>
        <v/>
      </c>
      <c r="N2361" s="45" t="str">
        <f>IFERROR(VLOOKUP(B2361,'Pre-Summary'!$CD$6:$CF$64,2,FALSE),"")</f>
        <v/>
      </c>
      <c r="O2361" s="99">
        <f>IFERROR(VLOOKUP(B2361,'Pre-Summary'!$BO$6:$BQ$48,3, FALSE),O2360)</f>
        <v>1.508</v>
      </c>
      <c r="P2361" s="99">
        <f>IFERROR(VLOOKUP(B2361,'Pre-Summary'!$BS$6:$BU$35,3,FALSE),P2360)</f>
        <v>0.379</v>
      </c>
      <c r="Q2361" s="54">
        <f t="shared" si="108"/>
        <v>3.9788918205804751</v>
      </c>
      <c r="R2361" s="53">
        <f>IFERROR(VLOOKUP(B2361,'Pre-Summary'!$BG$6:$BM$44,7,FALSE),R2362)</f>
        <v>9.7948682664336664E-2</v>
      </c>
      <c r="S2361" s="53">
        <f>IFERROR(VLOOKUP(B2361,'Pre-Summary'!$BG$6:$BM$44,6,FALSE),S2362)</f>
        <v>0.10614035087720526</v>
      </c>
      <c r="T2361" s="45" t="str">
        <f>IFERROR(VLOOKUP(B2361,'Pre-Summary'!$Y$6:$AC$83, 3,FALSE),"")</f>
        <v/>
      </c>
      <c r="U2361" s="45" t="str">
        <f>IFERROR(VLOOKUP(B2361,'Pre-Summary'!$Y$6:$AC$83, 4,FALSE),"")</f>
        <v/>
      </c>
      <c r="V2361" t="str">
        <f>IFERROR(VLOOKUP(B2361,'Pre-Summary'!$Y$6:$AC$83, 5,FALSE),"")</f>
        <v/>
      </c>
      <c r="W2361" s="45" t="str">
        <f>IFERROR(VLOOKUP(B2361,'Pre-Summary'!$Y$6:$AD$83,6,FALSE),"")</f>
        <v/>
      </c>
      <c r="X2361" t="str">
        <f>IFERROR(VLOOKUP('Pre-Summary'!$DB$6:$DD$63,3,FALSE),"")</f>
        <v/>
      </c>
      <c r="Y2361" t="str">
        <f>IFERROR(VLOOKUP(B2361,'Pre-Summary'!$CR$6:$CT$36,3,FALSE),"")</f>
        <v/>
      </c>
      <c r="Z2361" s="45" t="str">
        <f>IFERROR(VLOOKUP(B2361,'Pre-Summary'!$BZ$6:$CB$63,2,FALSE),"")</f>
        <v/>
      </c>
      <c r="AA2361" s="45" t="str">
        <f>IFERROR(VLOOKUP(B2361,'Pre-Summary'!$CG$6:$CI$70,2,FALSE),"")</f>
        <v/>
      </c>
      <c r="AB2361" s="99">
        <f>IFERROR(VLOOKUP(B2361,'Pre-Summary'!$A$6:$P$178,9,FALSE),AB2362)</f>
        <v>0.33989240270305521</v>
      </c>
      <c r="AC2361" s="10">
        <f>IFERROR(VLOOKUP(Summary!B2361,'Pre-Summary'!$A$6:$P$184,5, FALSE)/100,AC2362)</f>
        <v>0.95883799999999997</v>
      </c>
      <c r="AD2361" s="10">
        <f>IFERROR(VLOOKUP(Summary!B2361,'Pre-Summary'!$A$6:$P$184,3, FALSE)/100,AD2362)</f>
        <v>3.3588666666666663E-2</v>
      </c>
      <c r="AE2361" s="10">
        <f>IFERROR(VLOOKUP(Summary!B2361,'Pre-Summary'!$A$6:$P$184,7, FALSE)/100,AE2362)</f>
        <v>7.5729999999999999E-3</v>
      </c>
      <c r="AF2361" s="99">
        <f t="shared" si="109"/>
        <v>1.1416532616925353E-2</v>
      </c>
      <c r="AG2361" s="99">
        <f t="shared" si="110"/>
        <v>2.5740051656702369E-3</v>
      </c>
      <c r="AH2361" s="10" t="str">
        <f>IFERROR(VLOOKUP(B2361,'Pre-Summary'!$AZ$6:$BE$65,3,FALSE),"")</f>
        <v/>
      </c>
      <c r="AI2361" s="10" t="str">
        <f>IFERROR(VLOOKUP(B2361,'Pre-Summary'!$AZ$6:$BE$65,5,FALSE),"")</f>
        <v/>
      </c>
      <c r="AJ2361" s="10" t="str">
        <f>IFERROR(VLOOKUP(B2361,'Pre-Summary'!$AZ$6:$BE$65,4,FALSE),"")</f>
        <v/>
      </c>
      <c r="AK2361" s="10" t="str">
        <f>IFERROR(VLOOKUP(B2361,'Pre-Summary'!$AZ$6:$BE$65,6,FALSE),"")</f>
        <v/>
      </c>
      <c r="AL2361" s="10" t="str">
        <f>IFERROR(VLOOKUP(B2361,'Pre-Summary'!$BG$6:$BL$44,3,FALSE),"")</f>
        <v/>
      </c>
      <c r="AM2361" s="10" t="str">
        <f>IFERROR(VLOOKUP(B2361,'Pre-Summary'!$BG$6:$BL$44,4,FALSE),"")</f>
        <v/>
      </c>
    </row>
    <row r="2362" spans="2:39" ht="15" customHeight="1" x14ac:dyDescent="0.3">
      <c r="B2362">
        <v>235.9</v>
      </c>
      <c r="C2362" t="str">
        <f>IFERROR(VLOOKUP(B2362,'Pre-Summary'!$DI$6:$DM$23,4,FALSE),"")</f>
        <v/>
      </c>
      <c r="D2362" s="10" t="str">
        <f>IFERROR(VLOOKUP(B2362,'Pre-Summary'!$AT$6:$AX$14,5,FALSE),D2361)</f>
        <v>Wolfe v3: went back to modified wolfe + EDTA and switched CuSO4 to CUCl2</v>
      </c>
      <c r="E2362" s="10" t="str">
        <f>IFERROR(VLOOKUP(B2362,'Pre-Summary'!$AT$6:$AX$15,4,FALSE),"")</f>
        <v/>
      </c>
      <c r="F2362">
        <f>IFERROR(VLOOKUP(B2362,'Pre-Summary'!$AL$6:$AQ$13,6,FALSE),F2361)</f>
        <v>5.9405263157894746E-2</v>
      </c>
      <c r="G2362" t="str">
        <f>IFERROR(VLOOKUP(B2362,'Pre-Summary'!$AE$6:$AJ$85,3,FALSE),"")</f>
        <v/>
      </c>
      <c r="H2362" t="str">
        <f>IFERROR(VLOOKUP(B2362,'Pre-Summary'!$AE$6:$AJ$85,4,FALSE),"")</f>
        <v/>
      </c>
      <c r="I2362" t="str">
        <f>IFERROR(VLOOKUP(B2362,'Pre-Summary'!$AE$6:$AJ$85,5,FALSE),"")</f>
        <v/>
      </c>
      <c r="J2362" s="45" t="str">
        <f>IFERROR(VLOOKUP(B2362,'Pre-Summary'!$AE$6:$AJ$85,6, FALSE),"")</f>
        <v/>
      </c>
      <c r="K2362" s="45" t="str">
        <f>IFERROR(VLOOKUP(B2362,'Pre-Summary'!$DE$6:$DG$61,3,FALSE),"")</f>
        <v/>
      </c>
      <c r="L2362" s="45" t="str">
        <f>IFERROR(VLOOKUP(B2362,'Pre-Summary'!$CU$6:$CW$36,3,FALSE),"")</f>
        <v/>
      </c>
      <c r="M2362" s="45" t="str">
        <f>IFERROR(VLOOKUP(B2362,'Pre-Summary'!$BW$6:$BY$58,2,FALSE),"")</f>
        <v/>
      </c>
      <c r="N2362" s="45" t="str">
        <f>IFERROR(VLOOKUP(B2362,'Pre-Summary'!$CD$6:$CF$64,2,FALSE),"")</f>
        <v/>
      </c>
      <c r="O2362" s="99">
        <f>IFERROR(VLOOKUP(B2362,'Pre-Summary'!$BO$6:$BQ$48,3, FALSE),O2361)</f>
        <v>1.508</v>
      </c>
      <c r="P2362" s="99">
        <f>IFERROR(VLOOKUP(B2362,'Pre-Summary'!$BS$6:$BU$35,3,FALSE),P2361)</f>
        <v>0.379</v>
      </c>
      <c r="Q2362" s="54">
        <f t="shared" si="108"/>
        <v>3.9788918205804751</v>
      </c>
      <c r="R2362" s="53">
        <f>IFERROR(VLOOKUP(B2362,'Pre-Summary'!$BG$6:$BM$44,7,FALSE),R2363)</f>
        <v>9.7948682664336664E-2</v>
      </c>
      <c r="S2362" s="53">
        <f>IFERROR(VLOOKUP(B2362,'Pre-Summary'!$BG$6:$BM$44,6,FALSE),S2363)</f>
        <v>0.10614035087720526</v>
      </c>
      <c r="T2362" s="45" t="str">
        <f>IFERROR(VLOOKUP(B2362,'Pre-Summary'!$Y$6:$AC$83, 3,FALSE),"")</f>
        <v/>
      </c>
      <c r="U2362" s="45" t="str">
        <f>IFERROR(VLOOKUP(B2362,'Pre-Summary'!$Y$6:$AC$83, 4,FALSE),"")</f>
        <v/>
      </c>
      <c r="V2362" t="str">
        <f>IFERROR(VLOOKUP(B2362,'Pre-Summary'!$Y$6:$AC$83, 5,FALSE),"")</f>
        <v/>
      </c>
      <c r="W2362" s="45" t="str">
        <f>IFERROR(VLOOKUP(B2362,'Pre-Summary'!$Y$6:$AD$83,6,FALSE),"")</f>
        <v/>
      </c>
      <c r="X2362" t="str">
        <f>IFERROR(VLOOKUP('Pre-Summary'!$DB$6:$DD$63,3,FALSE),"")</f>
        <v/>
      </c>
      <c r="Y2362" t="str">
        <f>IFERROR(VLOOKUP(B2362,'Pre-Summary'!$CR$6:$CT$36,3,FALSE),"")</f>
        <v/>
      </c>
      <c r="Z2362" s="45" t="str">
        <f>IFERROR(VLOOKUP(B2362,'Pre-Summary'!$BZ$6:$CB$63,2,FALSE),"")</f>
        <v/>
      </c>
      <c r="AA2362" s="45" t="str">
        <f>IFERROR(VLOOKUP(B2362,'Pre-Summary'!$CG$6:$CI$70,2,FALSE),"")</f>
        <v/>
      </c>
      <c r="AB2362" s="99">
        <f>IFERROR(VLOOKUP(B2362,'Pre-Summary'!$A$6:$P$178,9,FALSE),AB2363)</f>
        <v>0.33989240270305521</v>
      </c>
      <c r="AC2362" s="10">
        <f>IFERROR(VLOOKUP(Summary!B2362,'Pre-Summary'!$A$6:$P$184,5, FALSE)/100,AC2363)</f>
        <v>0.95883799999999997</v>
      </c>
      <c r="AD2362" s="10">
        <f>IFERROR(VLOOKUP(Summary!B2362,'Pre-Summary'!$A$6:$P$184,3, FALSE)/100,AD2363)</f>
        <v>3.3588666666666663E-2</v>
      </c>
      <c r="AE2362" s="10">
        <f>IFERROR(VLOOKUP(Summary!B2362,'Pre-Summary'!$A$6:$P$184,7, FALSE)/100,AE2363)</f>
        <v>7.5729999999999999E-3</v>
      </c>
      <c r="AF2362" s="99">
        <f t="shared" si="109"/>
        <v>1.1416532616925353E-2</v>
      </c>
      <c r="AG2362" s="99">
        <f t="shared" si="110"/>
        <v>2.5740051656702369E-3</v>
      </c>
      <c r="AH2362" s="10" t="str">
        <f>IFERROR(VLOOKUP(B2362,'Pre-Summary'!$AZ$6:$BE$65,3,FALSE),"")</f>
        <v/>
      </c>
      <c r="AI2362" s="10" t="str">
        <f>IFERROR(VLOOKUP(B2362,'Pre-Summary'!$AZ$6:$BE$65,5,FALSE),"")</f>
        <v/>
      </c>
      <c r="AJ2362" s="10" t="str">
        <f>IFERROR(VLOOKUP(B2362,'Pre-Summary'!$AZ$6:$BE$65,4,FALSE),"")</f>
        <v/>
      </c>
      <c r="AK2362" s="10" t="str">
        <f>IFERROR(VLOOKUP(B2362,'Pre-Summary'!$AZ$6:$BE$65,6,FALSE),"")</f>
        <v/>
      </c>
      <c r="AL2362" s="10" t="str">
        <f>IFERROR(VLOOKUP(B2362,'Pre-Summary'!$BG$6:$BL$44,3,FALSE),"")</f>
        <v/>
      </c>
      <c r="AM2362" s="10" t="str">
        <f>IFERROR(VLOOKUP(B2362,'Pre-Summary'!$BG$6:$BL$44,4,FALSE),"")</f>
        <v/>
      </c>
    </row>
    <row r="2363" spans="2:39" ht="15" customHeight="1" x14ac:dyDescent="0.3">
      <c r="B2363">
        <v>236</v>
      </c>
      <c r="C2363" t="str">
        <f>IFERROR(VLOOKUP(B2363,'Pre-Summary'!$DI$6:$DM$23,4,FALSE),"")</f>
        <v/>
      </c>
      <c r="D2363" s="10" t="str">
        <f>IFERROR(VLOOKUP(B2363,'Pre-Summary'!$AT$6:$AX$14,5,FALSE),D2362)</f>
        <v>Wolfe v3: went back to modified wolfe + EDTA and switched CuSO4 to CUCl2</v>
      </c>
      <c r="E2363" s="10" t="str">
        <f>IFERROR(VLOOKUP(B2363,'Pre-Summary'!$AT$6:$AX$15,4,FALSE),"")</f>
        <v/>
      </c>
      <c r="F2363">
        <f>IFERROR(VLOOKUP(B2363,'Pre-Summary'!$AL$6:$AQ$13,6,FALSE),F2362)</f>
        <v>5.9405263157894746E-2</v>
      </c>
      <c r="G2363" t="str">
        <f>IFERROR(VLOOKUP(B2363,'Pre-Summary'!$AE$6:$AJ$85,3,FALSE),"")</f>
        <v/>
      </c>
      <c r="H2363" t="str">
        <f>IFERROR(VLOOKUP(B2363,'Pre-Summary'!$AE$6:$AJ$85,4,FALSE),"")</f>
        <v/>
      </c>
      <c r="I2363" t="str">
        <f>IFERROR(VLOOKUP(B2363,'Pre-Summary'!$AE$6:$AJ$85,5,FALSE),"")</f>
        <v/>
      </c>
      <c r="J2363" s="45" t="str">
        <f>IFERROR(VLOOKUP(B2363,'Pre-Summary'!$AE$6:$AJ$85,6, FALSE),"")</f>
        <v/>
      </c>
      <c r="K2363" s="45" t="str">
        <f>IFERROR(VLOOKUP(B2363,'Pre-Summary'!$DE$6:$DG$61,3,FALSE),"")</f>
        <v/>
      </c>
      <c r="L2363" s="45" t="str">
        <f>IFERROR(VLOOKUP(B2363,'Pre-Summary'!$CU$6:$CW$36,3,FALSE),"")</f>
        <v/>
      </c>
      <c r="M2363" s="45" t="str">
        <f>IFERROR(VLOOKUP(B2363,'Pre-Summary'!$BW$6:$BY$58,2,FALSE),"")</f>
        <v/>
      </c>
      <c r="N2363" s="45" t="str">
        <f>IFERROR(VLOOKUP(B2363,'Pre-Summary'!$CD$6:$CF$64,2,FALSE),"")</f>
        <v/>
      </c>
      <c r="O2363" s="99">
        <f>IFERROR(VLOOKUP(B2363,'Pre-Summary'!$BO$6:$BQ$48,3, FALSE),O2362)</f>
        <v>1.508</v>
      </c>
      <c r="P2363" s="99">
        <f>IFERROR(VLOOKUP(B2363,'Pre-Summary'!$BS$6:$BU$35,3,FALSE),P2362)</f>
        <v>0.379</v>
      </c>
      <c r="Q2363" s="54">
        <f t="shared" si="108"/>
        <v>3.9788918205804751</v>
      </c>
      <c r="R2363" s="53">
        <f>IFERROR(VLOOKUP(B2363,'Pre-Summary'!$BG$6:$BM$44,7,FALSE),R2364)</f>
        <v>9.7948682664336664E-2</v>
      </c>
      <c r="S2363" s="53">
        <f>IFERROR(VLOOKUP(B2363,'Pre-Summary'!$BG$6:$BM$44,6,FALSE),S2364)</f>
        <v>0.10614035087720526</v>
      </c>
      <c r="T2363" s="45" t="str">
        <f>IFERROR(VLOOKUP(B2363,'Pre-Summary'!$Y$6:$AC$83, 3,FALSE),"")</f>
        <v/>
      </c>
      <c r="U2363" s="45" t="str">
        <f>IFERROR(VLOOKUP(B2363,'Pre-Summary'!$Y$6:$AC$83, 4,FALSE),"")</f>
        <v/>
      </c>
      <c r="V2363" t="str">
        <f>IFERROR(VLOOKUP(B2363,'Pre-Summary'!$Y$6:$AC$83, 5,FALSE),"")</f>
        <v/>
      </c>
      <c r="W2363" s="45" t="str">
        <f>IFERROR(VLOOKUP(B2363,'Pre-Summary'!$Y$6:$AD$83,6,FALSE),"")</f>
        <v/>
      </c>
      <c r="X2363" t="str">
        <f>IFERROR(VLOOKUP('Pre-Summary'!$DB$6:$DD$63,3,FALSE),"")</f>
        <v/>
      </c>
      <c r="Y2363" t="str">
        <f>IFERROR(VLOOKUP(B2363,'Pre-Summary'!$CR$6:$CT$36,3,FALSE),"")</f>
        <v/>
      </c>
      <c r="Z2363" s="45" t="str">
        <f>IFERROR(VLOOKUP(B2363,'Pre-Summary'!$BZ$6:$CB$63,2,FALSE),"")</f>
        <v/>
      </c>
      <c r="AA2363" s="45" t="str">
        <f>IFERROR(VLOOKUP(B2363,'Pre-Summary'!$CG$6:$CI$70,2,FALSE),"")</f>
        <v/>
      </c>
      <c r="AB2363" s="99">
        <f>IFERROR(VLOOKUP(B2363,'Pre-Summary'!$A$6:$P$178,9,FALSE),AB2364)</f>
        <v>0.33989240270305521</v>
      </c>
      <c r="AC2363" s="10">
        <f>IFERROR(VLOOKUP(Summary!B2363,'Pre-Summary'!$A$6:$P$184,5, FALSE)/100,AC2364)</f>
        <v>0.95883799999999997</v>
      </c>
      <c r="AD2363" s="10">
        <f>IFERROR(VLOOKUP(Summary!B2363,'Pre-Summary'!$A$6:$P$184,3, FALSE)/100,AD2364)</f>
        <v>3.3588666666666663E-2</v>
      </c>
      <c r="AE2363" s="10">
        <f>IFERROR(VLOOKUP(Summary!B2363,'Pre-Summary'!$A$6:$P$184,7, FALSE)/100,AE2364)</f>
        <v>7.5729999999999999E-3</v>
      </c>
      <c r="AF2363" s="99">
        <f t="shared" si="109"/>
        <v>1.1416532616925353E-2</v>
      </c>
      <c r="AG2363" s="99">
        <f t="shared" si="110"/>
        <v>2.5740051656702369E-3</v>
      </c>
      <c r="AH2363" s="10" t="str">
        <f>IFERROR(VLOOKUP(B2363,'Pre-Summary'!$AZ$6:$BE$65,3,FALSE),"")</f>
        <v/>
      </c>
      <c r="AI2363" s="10" t="str">
        <f>IFERROR(VLOOKUP(B2363,'Pre-Summary'!$AZ$6:$BE$65,5,FALSE),"")</f>
        <v/>
      </c>
      <c r="AJ2363" s="10" t="str">
        <f>IFERROR(VLOOKUP(B2363,'Pre-Summary'!$AZ$6:$BE$65,4,FALSE),"")</f>
        <v/>
      </c>
      <c r="AK2363" s="10" t="str">
        <f>IFERROR(VLOOKUP(B2363,'Pre-Summary'!$AZ$6:$BE$65,6,FALSE),"")</f>
        <v/>
      </c>
      <c r="AL2363" s="10" t="str">
        <f>IFERROR(VLOOKUP(B2363,'Pre-Summary'!$BG$6:$BL$44,3,FALSE),"")</f>
        <v/>
      </c>
      <c r="AM2363" s="10" t="str">
        <f>IFERROR(VLOOKUP(B2363,'Pre-Summary'!$BG$6:$BL$44,4,FALSE),"")</f>
        <v/>
      </c>
    </row>
    <row r="2364" spans="2:39" ht="15" customHeight="1" x14ac:dyDescent="0.3">
      <c r="B2364">
        <v>236.1</v>
      </c>
      <c r="C2364" t="str">
        <f>IFERROR(VLOOKUP(B2364,'Pre-Summary'!$DI$6:$DM$23,4,FALSE),"")</f>
        <v/>
      </c>
      <c r="D2364" s="10" t="str">
        <f>IFERROR(VLOOKUP(B2364,'Pre-Summary'!$AT$6:$AX$14,5,FALSE),D2363)</f>
        <v>Wolfe v3: went back to modified wolfe + EDTA and switched CuSO4 to CUCl2</v>
      </c>
      <c r="E2364" s="10" t="str">
        <f>IFERROR(VLOOKUP(B2364,'Pre-Summary'!$AT$6:$AX$15,4,FALSE),"")</f>
        <v/>
      </c>
      <c r="F2364">
        <f>IFERROR(VLOOKUP(B2364,'Pre-Summary'!$AL$6:$AQ$13,6,FALSE),F2363)</f>
        <v>5.9405263157894746E-2</v>
      </c>
      <c r="G2364" t="str">
        <f>IFERROR(VLOOKUP(B2364,'Pre-Summary'!$AE$6:$AJ$85,3,FALSE),"")</f>
        <v/>
      </c>
      <c r="H2364" t="str">
        <f>IFERROR(VLOOKUP(B2364,'Pre-Summary'!$AE$6:$AJ$85,4,FALSE),"")</f>
        <v/>
      </c>
      <c r="I2364" t="str">
        <f>IFERROR(VLOOKUP(B2364,'Pre-Summary'!$AE$6:$AJ$85,5,FALSE),"")</f>
        <v/>
      </c>
      <c r="J2364" s="45" t="str">
        <f>IFERROR(VLOOKUP(B2364,'Pre-Summary'!$AE$6:$AJ$85,6, FALSE),"")</f>
        <v/>
      </c>
      <c r="K2364" s="45" t="str">
        <f>IFERROR(VLOOKUP(B2364,'Pre-Summary'!$DE$6:$DG$61,3,FALSE),"")</f>
        <v/>
      </c>
      <c r="L2364" s="45" t="str">
        <f>IFERROR(VLOOKUP(B2364,'Pre-Summary'!$CU$6:$CW$36,3,FALSE),"")</f>
        <v/>
      </c>
      <c r="M2364" s="45" t="str">
        <f>IFERROR(VLOOKUP(B2364,'Pre-Summary'!$BW$6:$BY$58,2,FALSE),"")</f>
        <v/>
      </c>
      <c r="N2364" s="45" t="str">
        <f>IFERROR(VLOOKUP(B2364,'Pre-Summary'!$CD$6:$CF$64,2,FALSE),"")</f>
        <v/>
      </c>
      <c r="O2364" s="99">
        <f>IFERROR(VLOOKUP(B2364,'Pre-Summary'!$BO$6:$BQ$48,3, FALSE),O2363)</f>
        <v>1.508</v>
      </c>
      <c r="P2364" s="99">
        <f>IFERROR(VLOOKUP(B2364,'Pre-Summary'!$BS$6:$BU$35,3,FALSE),P2363)</f>
        <v>0.379</v>
      </c>
      <c r="Q2364" s="54">
        <f t="shared" si="108"/>
        <v>3.9788918205804751</v>
      </c>
      <c r="R2364" s="53">
        <f>IFERROR(VLOOKUP(B2364,'Pre-Summary'!$BG$6:$BM$44,7,FALSE),R2365)</f>
        <v>9.7948682664336664E-2</v>
      </c>
      <c r="S2364" s="53">
        <f>IFERROR(VLOOKUP(B2364,'Pre-Summary'!$BG$6:$BM$44,6,FALSE),S2365)</f>
        <v>0.10614035087720526</v>
      </c>
      <c r="T2364" s="45" t="str">
        <f>IFERROR(VLOOKUP(B2364,'Pre-Summary'!$Y$6:$AC$83, 3,FALSE),"")</f>
        <v/>
      </c>
      <c r="U2364" s="45" t="str">
        <f>IFERROR(VLOOKUP(B2364,'Pre-Summary'!$Y$6:$AC$83, 4,FALSE),"")</f>
        <v/>
      </c>
      <c r="V2364" t="str">
        <f>IFERROR(VLOOKUP(B2364,'Pre-Summary'!$Y$6:$AC$83, 5,FALSE),"")</f>
        <v/>
      </c>
      <c r="W2364" s="45" t="str">
        <f>IFERROR(VLOOKUP(B2364,'Pre-Summary'!$Y$6:$AD$83,6,FALSE),"")</f>
        <v/>
      </c>
      <c r="X2364" t="str">
        <f>IFERROR(VLOOKUP('Pre-Summary'!$DB$6:$DD$63,3,FALSE),"")</f>
        <v/>
      </c>
      <c r="Y2364" t="str">
        <f>IFERROR(VLOOKUP(B2364,'Pre-Summary'!$CR$6:$CT$36,3,FALSE),"")</f>
        <v/>
      </c>
      <c r="Z2364" s="45" t="str">
        <f>IFERROR(VLOOKUP(B2364,'Pre-Summary'!$BZ$6:$CB$63,2,FALSE),"")</f>
        <v/>
      </c>
      <c r="AA2364" s="45" t="str">
        <f>IFERROR(VLOOKUP(B2364,'Pre-Summary'!$CG$6:$CI$70,2,FALSE),"")</f>
        <v/>
      </c>
      <c r="AB2364" s="99">
        <f>IFERROR(VLOOKUP(B2364,'Pre-Summary'!$A$6:$P$178,9,FALSE),AB2365)</f>
        <v>0.33989240270305521</v>
      </c>
      <c r="AC2364" s="10">
        <f>IFERROR(VLOOKUP(Summary!B2364,'Pre-Summary'!$A$6:$P$184,5, FALSE)/100,AC2365)</f>
        <v>0.95883799999999997</v>
      </c>
      <c r="AD2364" s="10">
        <f>IFERROR(VLOOKUP(Summary!B2364,'Pre-Summary'!$A$6:$P$184,3, FALSE)/100,AD2365)</f>
        <v>3.3588666666666663E-2</v>
      </c>
      <c r="AE2364" s="10">
        <f>IFERROR(VLOOKUP(Summary!B2364,'Pre-Summary'!$A$6:$P$184,7, FALSE)/100,AE2365)</f>
        <v>7.5729999999999999E-3</v>
      </c>
      <c r="AF2364" s="99">
        <f t="shared" si="109"/>
        <v>1.1416532616925353E-2</v>
      </c>
      <c r="AG2364" s="99">
        <f t="shared" si="110"/>
        <v>2.5740051656702369E-3</v>
      </c>
      <c r="AH2364" s="10" t="str">
        <f>IFERROR(VLOOKUP(B2364,'Pre-Summary'!$AZ$6:$BE$65,3,FALSE),"")</f>
        <v/>
      </c>
      <c r="AI2364" s="10" t="str">
        <f>IFERROR(VLOOKUP(B2364,'Pre-Summary'!$AZ$6:$BE$65,5,FALSE),"")</f>
        <v/>
      </c>
      <c r="AJ2364" s="10" t="str">
        <f>IFERROR(VLOOKUP(B2364,'Pre-Summary'!$AZ$6:$BE$65,4,FALSE),"")</f>
        <v/>
      </c>
      <c r="AK2364" s="10" t="str">
        <f>IFERROR(VLOOKUP(B2364,'Pre-Summary'!$AZ$6:$BE$65,6,FALSE),"")</f>
        <v/>
      </c>
      <c r="AL2364" s="10" t="str">
        <f>IFERROR(VLOOKUP(B2364,'Pre-Summary'!$BG$6:$BL$44,3,FALSE),"")</f>
        <v/>
      </c>
      <c r="AM2364" s="10" t="str">
        <f>IFERROR(VLOOKUP(B2364,'Pre-Summary'!$BG$6:$BL$44,4,FALSE),"")</f>
        <v/>
      </c>
    </row>
    <row r="2365" spans="2:39" ht="15" customHeight="1" x14ac:dyDescent="0.3">
      <c r="B2365">
        <v>236.2</v>
      </c>
      <c r="C2365" t="str">
        <f>IFERROR(VLOOKUP(B2365,'Pre-Summary'!$DI$6:$DM$23,4,FALSE),"")</f>
        <v/>
      </c>
      <c r="D2365" s="10" t="str">
        <f>IFERROR(VLOOKUP(B2365,'Pre-Summary'!$AT$6:$AX$14,5,FALSE),D2364)</f>
        <v>Wolfe v3: went back to modified wolfe + EDTA and switched CuSO4 to CUCl2</v>
      </c>
      <c r="E2365" s="10" t="str">
        <f>IFERROR(VLOOKUP(B2365,'Pre-Summary'!$AT$6:$AX$15,4,FALSE),"")</f>
        <v/>
      </c>
      <c r="F2365">
        <f>IFERROR(VLOOKUP(B2365,'Pre-Summary'!$AL$6:$AQ$13,6,FALSE),F2364)</f>
        <v>5.9405263157894746E-2</v>
      </c>
      <c r="G2365" t="str">
        <f>IFERROR(VLOOKUP(B2365,'Pre-Summary'!$AE$6:$AJ$85,3,FALSE),"")</f>
        <v/>
      </c>
      <c r="H2365" t="str">
        <f>IFERROR(VLOOKUP(B2365,'Pre-Summary'!$AE$6:$AJ$85,4,FALSE),"")</f>
        <v/>
      </c>
      <c r="I2365" t="str">
        <f>IFERROR(VLOOKUP(B2365,'Pre-Summary'!$AE$6:$AJ$85,5,FALSE),"")</f>
        <v/>
      </c>
      <c r="J2365" s="45" t="str">
        <f>IFERROR(VLOOKUP(B2365,'Pre-Summary'!$AE$6:$AJ$85,6, FALSE),"")</f>
        <v/>
      </c>
      <c r="K2365" s="45" t="str">
        <f>IFERROR(VLOOKUP(B2365,'Pre-Summary'!$DE$6:$DG$61,3,FALSE),"")</f>
        <v/>
      </c>
      <c r="L2365" s="45" t="str">
        <f>IFERROR(VLOOKUP(B2365,'Pre-Summary'!$CU$6:$CW$36,3,FALSE),"")</f>
        <v/>
      </c>
      <c r="M2365" s="45" t="str">
        <f>IFERROR(VLOOKUP(B2365,'Pre-Summary'!$BW$6:$BY$58,2,FALSE),"")</f>
        <v/>
      </c>
      <c r="N2365" s="45" t="str">
        <f>IFERROR(VLOOKUP(B2365,'Pre-Summary'!$CD$6:$CF$64,2,FALSE),"")</f>
        <v/>
      </c>
      <c r="O2365" s="99">
        <f>IFERROR(VLOOKUP(B2365,'Pre-Summary'!$BO$6:$BQ$48,3, FALSE),O2364)</f>
        <v>1.508</v>
      </c>
      <c r="P2365" s="99">
        <f>IFERROR(VLOOKUP(B2365,'Pre-Summary'!$BS$6:$BU$35,3,FALSE),P2364)</f>
        <v>0.379</v>
      </c>
      <c r="Q2365" s="54">
        <f t="shared" si="108"/>
        <v>3.9788918205804751</v>
      </c>
      <c r="R2365" s="53">
        <f>IFERROR(VLOOKUP(B2365,'Pre-Summary'!$BG$6:$BM$44,7,FALSE),R2366)</f>
        <v>9.7948682664336664E-2</v>
      </c>
      <c r="S2365" s="53">
        <f>IFERROR(VLOOKUP(B2365,'Pre-Summary'!$BG$6:$BM$44,6,FALSE),S2366)</f>
        <v>0.10614035087720526</v>
      </c>
      <c r="T2365" s="45" t="str">
        <f>IFERROR(VLOOKUP(B2365,'Pre-Summary'!$Y$6:$AC$83, 3,FALSE),"")</f>
        <v/>
      </c>
      <c r="U2365" s="45" t="str">
        <f>IFERROR(VLOOKUP(B2365,'Pre-Summary'!$Y$6:$AC$83, 4,FALSE),"")</f>
        <v/>
      </c>
      <c r="V2365" t="str">
        <f>IFERROR(VLOOKUP(B2365,'Pre-Summary'!$Y$6:$AC$83, 5,FALSE),"")</f>
        <v/>
      </c>
      <c r="W2365" s="45" t="str">
        <f>IFERROR(VLOOKUP(B2365,'Pre-Summary'!$Y$6:$AD$83,6,FALSE),"")</f>
        <v/>
      </c>
      <c r="X2365" t="str">
        <f>IFERROR(VLOOKUP('Pre-Summary'!$DB$6:$DD$63,3,FALSE),"")</f>
        <v/>
      </c>
      <c r="Y2365" t="str">
        <f>IFERROR(VLOOKUP(B2365,'Pre-Summary'!$CR$6:$CT$36,3,FALSE),"")</f>
        <v/>
      </c>
      <c r="Z2365" s="45" t="str">
        <f>IFERROR(VLOOKUP(B2365,'Pre-Summary'!$BZ$6:$CB$63,2,FALSE),"")</f>
        <v/>
      </c>
      <c r="AA2365" s="45" t="str">
        <f>IFERROR(VLOOKUP(B2365,'Pre-Summary'!$CG$6:$CI$70,2,FALSE),"")</f>
        <v/>
      </c>
      <c r="AB2365" s="99">
        <f>IFERROR(VLOOKUP(B2365,'Pre-Summary'!$A$6:$P$178,9,FALSE),AB2366)</f>
        <v>0.33989240270305521</v>
      </c>
      <c r="AC2365" s="10">
        <f>IFERROR(VLOOKUP(Summary!B2365,'Pre-Summary'!$A$6:$P$184,5, FALSE)/100,AC2366)</f>
        <v>0.95883799999999997</v>
      </c>
      <c r="AD2365" s="10">
        <f>IFERROR(VLOOKUP(Summary!B2365,'Pre-Summary'!$A$6:$P$184,3, FALSE)/100,AD2366)</f>
        <v>3.3588666666666663E-2</v>
      </c>
      <c r="AE2365" s="10">
        <f>IFERROR(VLOOKUP(Summary!B2365,'Pre-Summary'!$A$6:$P$184,7, FALSE)/100,AE2366)</f>
        <v>7.5729999999999999E-3</v>
      </c>
      <c r="AF2365" s="99">
        <f t="shared" si="109"/>
        <v>1.1416532616925353E-2</v>
      </c>
      <c r="AG2365" s="99">
        <f t="shared" si="110"/>
        <v>2.5740051656702369E-3</v>
      </c>
      <c r="AH2365" s="10" t="str">
        <f>IFERROR(VLOOKUP(B2365,'Pre-Summary'!$AZ$6:$BE$65,3,FALSE),"")</f>
        <v/>
      </c>
      <c r="AI2365" s="10" t="str">
        <f>IFERROR(VLOOKUP(B2365,'Pre-Summary'!$AZ$6:$BE$65,5,FALSE),"")</f>
        <v/>
      </c>
      <c r="AJ2365" s="10" t="str">
        <f>IFERROR(VLOOKUP(B2365,'Pre-Summary'!$AZ$6:$BE$65,4,FALSE),"")</f>
        <v/>
      </c>
      <c r="AK2365" s="10" t="str">
        <f>IFERROR(VLOOKUP(B2365,'Pre-Summary'!$AZ$6:$BE$65,6,FALSE),"")</f>
        <v/>
      </c>
      <c r="AL2365" s="10" t="str">
        <f>IFERROR(VLOOKUP(B2365,'Pre-Summary'!$BG$6:$BL$44,3,FALSE),"")</f>
        <v/>
      </c>
      <c r="AM2365" s="10" t="str">
        <f>IFERROR(VLOOKUP(B2365,'Pre-Summary'!$BG$6:$BL$44,4,FALSE),"")</f>
        <v/>
      </c>
    </row>
    <row r="2366" spans="2:39" ht="15" customHeight="1" x14ac:dyDescent="0.3">
      <c r="B2366">
        <v>236.3</v>
      </c>
      <c r="C2366" t="str">
        <f>IFERROR(VLOOKUP(B2366,'Pre-Summary'!$DI$6:$DM$23,4,FALSE),"")</f>
        <v/>
      </c>
      <c r="D2366" s="10" t="str">
        <f>IFERROR(VLOOKUP(B2366,'Pre-Summary'!$AT$6:$AX$14,5,FALSE),D2365)</f>
        <v>Wolfe v3: went back to modified wolfe + EDTA and switched CuSO4 to CUCl2</v>
      </c>
      <c r="E2366" s="10" t="str">
        <f>IFERROR(VLOOKUP(B2366,'Pre-Summary'!$AT$6:$AX$15,4,FALSE),"")</f>
        <v/>
      </c>
      <c r="F2366">
        <f>IFERROR(VLOOKUP(B2366,'Pre-Summary'!$AL$6:$AQ$13,6,FALSE),F2365)</f>
        <v>5.9405263157894746E-2</v>
      </c>
      <c r="G2366" t="str">
        <f>IFERROR(VLOOKUP(B2366,'Pre-Summary'!$AE$6:$AJ$85,3,FALSE),"")</f>
        <v/>
      </c>
      <c r="H2366" t="str">
        <f>IFERROR(VLOOKUP(B2366,'Pre-Summary'!$AE$6:$AJ$85,4,FALSE),"")</f>
        <v/>
      </c>
      <c r="I2366" t="str">
        <f>IFERROR(VLOOKUP(B2366,'Pre-Summary'!$AE$6:$AJ$85,5,FALSE),"")</f>
        <v/>
      </c>
      <c r="J2366" s="45" t="str">
        <f>IFERROR(VLOOKUP(B2366,'Pre-Summary'!$AE$6:$AJ$85,6, FALSE),"")</f>
        <v/>
      </c>
      <c r="K2366" s="45" t="str">
        <f>IFERROR(VLOOKUP(B2366,'Pre-Summary'!$DE$6:$DG$61,3,FALSE),"")</f>
        <v/>
      </c>
      <c r="L2366" s="45" t="str">
        <f>IFERROR(VLOOKUP(B2366,'Pre-Summary'!$CU$6:$CW$36,3,FALSE),"")</f>
        <v/>
      </c>
      <c r="M2366" s="45" t="str">
        <f>IFERROR(VLOOKUP(B2366,'Pre-Summary'!$BW$6:$BY$58,2,FALSE),"")</f>
        <v/>
      </c>
      <c r="N2366" s="45" t="str">
        <f>IFERROR(VLOOKUP(B2366,'Pre-Summary'!$CD$6:$CF$64,2,FALSE),"")</f>
        <v/>
      </c>
      <c r="O2366" s="99">
        <f>IFERROR(VLOOKUP(B2366,'Pre-Summary'!$BO$6:$BQ$48,3, FALSE),O2365)</f>
        <v>1.508</v>
      </c>
      <c r="P2366" s="99">
        <f>IFERROR(VLOOKUP(B2366,'Pre-Summary'!$BS$6:$BU$35,3,FALSE),P2365)</f>
        <v>0.379</v>
      </c>
      <c r="Q2366" s="54">
        <f t="shared" si="108"/>
        <v>3.9788918205804751</v>
      </c>
      <c r="R2366" s="53">
        <f>IFERROR(VLOOKUP(B2366,'Pre-Summary'!$BG$6:$BM$44,7,FALSE),R2367)</f>
        <v>9.7948682664336664E-2</v>
      </c>
      <c r="S2366" s="53">
        <f>IFERROR(VLOOKUP(B2366,'Pre-Summary'!$BG$6:$BM$44,6,FALSE),S2367)</f>
        <v>0.10614035087720526</v>
      </c>
      <c r="T2366" s="45" t="str">
        <f>IFERROR(VLOOKUP(B2366,'Pre-Summary'!$Y$6:$AC$83, 3,FALSE),"")</f>
        <v/>
      </c>
      <c r="U2366" s="45" t="str">
        <f>IFERROR(VLOOKUP(B2366,'Pre-Summary'!$Y$6:$AC$83, 4,FALSE),"")</f>
        <v/>
      </c>
      <c r="V2366" t="str">
        <f>IFERROR(VLOOKUP(B2366,'Pre-Summary'!$Y$6:$AC$83, 5,FALSE),"")</f>
        <v/>
      </c>
      <c r="W2366" s="45" t="str">
        <f>IFERROR(VLOOKUP(B2366,'Pre-Summary'!$Y$6:$AD$83,6,FALSE),"")</f>
        <v/>
      </c>
      <c r="X2366" t="str">
        <f>IFERROR(VLOOKUP('Pre-Summary'!$DB$6:$DD$63,3,FALSE),"")</f>
        <v/>
      </c>
      <c r="Y2366" t="str">
        <f>IFERROR(VLOOKUP(B2366,'Pre-Summary'!$CR$6:$CT$36,3,FALSE),"")</f>
        <v/>
      </c>
      <c r="Z2366" s="45" t="str">
        <f>IFERROR(VLOOKUP(B2366,'Pre-Summary'!$BZ$6:$CB$63,2,FALSE),"")</f>
        <v/>
      </c>
      <c r="AA2366" s="45" t="str">
        <f>IFERROR(VLOOKUP(B2366,'Pre-Summary'!$CG$6:$CI$70,2,FALSE),"")</f>
        <v/>
      </c>
      <c r="AB2366" s="99">
        <f>IFERROR(VLOOKUP(B2366,'Pre-Summary'!$A$6:$P$178,9,FALSE),AB2367)</f>
        <v>0.33989240270305521</v>
      </c>
      <c r="AC2366" s="10">
        <f>IFERROR(VLOOKUP(Summary!B2366,'Pre-Summary'!$A$6:$P$184,5, FALSE)/100,AC2367)</f>
        <v>0.95883799999999997</v>
      </c>
      <c r="AD2366" s="10">
        <f>IFERROR(VLOOKUP(Summary!B2366,'Pre-Summary'!$A$6:$P$184,3, FALSE)/100,AD2367)</f>
        <v>3.3588666666666663E-2</v>
      </c>
      <c r="AE2366" s="10">
        <f>IFERROR(VLOOKUP(Summary!B2366,'Pre-Summary'!$A$6:$P$184,7, FALSE)/100,AE2367)</f>
        <v>7.5729999999999999E-3</v>
      </c>
      <c r="AF2366" s="99">
        <f t="shared" si="109"/>
        <v>1.1416532616925353E-2</v>
      </c>
      <c r="AG2366" s="99">
        <f t="shared" si="110"/>
        <v>2.5740051656702369E-3</v>
      </c>
      <c r="AH2366" s="10" t="str">
        <f>IFERROR(VLOOKUP(B2366,'Pre-Summary'!$AZ$6:$BE$65,3,FALSE),"")</f>
        <v/>
      </c>
      <c r="AI2366" s="10" t="str">
        <f>IFERROR(VLOOKUP(B2366,'Pre-Summary'!$AZ$6:$BE$65,5,FALSE),"")</f>
        <v/>
      </c>
      <c r="AJ2366" s="10" t="str">
        <f>IFERROR(VLOOKUP(B2366,'Pre-Summary'!$AZ$6:$BE$65,4,FALSE),"")</f>
        <v/>
      </c>
      <c r="AK2366" s="10" t="str">
        <f>IFERROR(VLOOKUP(B2366,'Pre-Summary'!$AZ$6:$BE$65,6,FALSE),"")</f>
        <v/>
      </c>
      <c r="AL2366" s="10" t="str">
        <f>IFERROR(VLOOKUP(B2366,'Pre-Summary'!$BG$6:$BL$44,3,FALSE),"")</f>
        <v/>
      </c>
      <c r="AM2366" s="10" t="str">
        <f>IFERROR(VLOOKUP(B2366,'Pre-Summary'!$BG$6:$BL$44,4,FALSE),"")</f>
        <v/>
      </c>
    </row>
    <row r="2367" spans="2:39" ht="15" customHeight="1" x14ac:dyDescent="0.3">
      <c r="B2367">
        <v>236.4</v>
      </c>
      <c r="C2367" t="str">
        <f>IFERROR(VLOOKUP(B2367,'Pre-Summary'!$DI$6:$DM$23,4,FALSE),"")</f>
        <v/>
      </c>
      <c r="D2367" s="10" t="str">
        <f>IFERROR(VLOOKUP(B2367,'Pre-Summary'!$AT$6:$AX$14,5,FALSE),D2366)</f>
        <v>Wolfe v3: went back to modified wolfe + EDTA and switched CuSO4 to CUCl2</v>
      </c>
      <c r="E2367" s="10" t="str">
        <f>IFERROR(VLOOKUP(B2367,'Pre-Summary'!$AT$6:$AX$15,4,FALSE),"")</f>
        <v/>
      </c>
      <c r="F2367">
        <f>IFERROR(VLOOKUP(B2367,'Pre-Summary'!$AL$6:$AQ$13,6,FALSE),F2366)</f>
        <v>5.9405263157894746E-2</v>
      </c>
      <c r="G2367" t="str">
        <f>IFERROR(VLOOKUP(B2367,'Pre-Summary'!$AE$6:$AJ$85,3,FALSE),"")</f>
        <v/>
      </c>
      <c r="H2367" t="str">
        <f>IFERROR(VLOOKUP(B2367,'Pre-Summary'!$AE$6:$AJ$85,4,FALSE),"")</f>
        <v/>
      </c>
      <c r="I2367" t="str">
        <f>IFERROR(VLOOKUP(B2367,'Pre-Summary'!$AE$6:$AJ$85,5,FALSE),"")</f>
        <v/>
      </c>
      <c r="J2367" s="45" t="str">
        <f>IFERROR(VLOOKUP(B2367,'Pre-Summary'!$AE$6:$AJ$85,6, FALSE),"")</f>
        <v/>
      </c>
      <c r="K2367" s="45" t="str">
        <f>IFERROR(VLOOKUP(B2367,'Pre-Summary'!$DE$6:$DG$61,3,FALSE),"")</f>
        <v/>
      </c>
      <c r="L2367" s="45" t="str">
        <f>IFERROR(VLOOKUP(B2367,'Pre-Summary'!$CU$6:$CW$36,3,FALSE),"")</f>
        <v/>
      </c>
      <c r="M2367" s="45" t="str">
        <f>IFERROR(VLOOKUP(B2367,'Pre-Summary'!$BW$6:$BY$58,2,FALSE),"")</f>
        <v/>
      </c>
      <c r="N2367" s="45" t="str">
        <f>IFERROR(VLOOKUP(B2367,'Pre-Summary'!$CD$6:$CF$64,2,FALSE),"")</f>
        <v/>
      </c>
      <c r="O2367" s="99">
        <f>IFERROR(VLOOKUP(B2367,'Pre-Summary'!$BO$6:$BQ$48,3, FALSE),O2366)</f>
        <v>1.508</v>
      </c>
      <c r="P2367" s="99">
        <f>IFERROR(VLOOKUP(B2367,'Pre-Summary'!$BS$6:$BU$35,3,FALSE),P2366)</f>
        <v>0.379</v>
      </c>
      <c r="Q2367" s="54">
        <f t="shared" si="108"/>
        <v>3.9788918205804751</v>
      </c>
      <c r="R2367" s="53">
        <f>IFERROR(VLOOKUP(B2367,'Pre-Summary'!$BG$6:$BM$44,7,FALSE),R2368)</f>
        <v>9.7948682664336664E-2</v>
      </c>
      <c r="S2367" s="53">
        <f>IFERROR(VLOOKUP(B2367,'Pre-Summary'!$BG$6:$BM$44,6,FALSE),S2368)</f>
        <v>0.10614035087720526</v>
      </c>
      <c r="T2367" s="45" t="str">
        <f>IFERROR(VLOOKUP(B2367,'Pre-Summary'!$Y$6:$AC$83, 3,FALSE),"")</f>
        <v/>
      </c>
      <c r="U2367" s="45" t="str">
        <f>IFERROR(VLOOKUP(B2367,'Pre-Summary'!$Y$6:$AC$83, 4,FALSE),"")</f>
        <v/>
      </c>
      <c r="V2367" t="str">
        <f>IFERROR(VLOOKUP(B2367,'Pre-Summary'!$Y$6:$AC$83, 5,FALSE),"")</f>
        <v/>
      </c>
      <c r="W2367" s="45" t="str">
        <f>IFERROR(VLOOKUP(B2367,'Pre-Summary'!$Y$6:$AD$83,6,FALSE),"")</f>
        <v/>
      </c>
      <c r="X2367" t="str">
        <f>IFERROR(VLOOKUP('Pre-Summary'!$DB$6:$DD$63,3,FALSE),"")</f>
        <v/>
      </c>
      <c r="Y2367" t="str">
        <f>IFERROR(VLOOKUP(B2367,'Pre-Summary'!$CR$6:$CT$36,3,FALSE),"")</f>
        <v/>
      </c>
      <c r="Z2367" s="45" t="str">
        <f>IFERROR(VLOOKUP(B2367,'Pre-Summary'!$BZ$6:$CB$63,2,FALSE),"")</f>
        <v/>
      </c>
      <c r="AA2367" s="45" t="str">
        <f>IFERROR(VLOOKUP(B2367,'Pre-Summary'!$CG$6:$CI$70,2,FALSE),"")</f>
        <v/>
      </c>
      <c r="AB2367" s="99">
        <f>IFERROR(VLOOKUP(B2367,'Pre-Summary'!$A$6:$P$178,9,FALSE),AB2368)</f>
        <v>0.33989240270305521</v>
      </c>
      <c r="AC2367" s="10">
        <f>IFERROR(VLOOKUP(Summary!B2367,'Pre-Summary'!$A$6:$P$184,5, FALSE)/100,AC2368)</f>
        <v>0.95883799999999997</v>
      </c>
      <c r="AD2367" s="10">
        <f>IFERROR(VLOOKUP(Summary!B2367,'Pre-Summary'!$A$6:$P$184,3, FALSE)/100,AD2368)</f>
        <v>3.3588666666666663E-2</v>
      </c>
      <c r="AE2367" s="10">
        <f>IFERROR(VLOOKUP(Summary!B2367,'Pre-Summary'!$A$6:$P$184,7, FALSE)/100,AE2368)</f>
        <v>7.5729999999999999E-3</v>
      </c>
      <c r="AF2367" s="99">
        <f t="shared" si="109"/>
        <v>1.1416532616925353E-2</v>
      </c>
      <c r="AG2367" s="99">
        <f t="shared" si="110"/>
        <v>2.5740051656702369E-3</v>
      </c>
      <c r="AH2367" s="10" t="str">
        <f>IFERROR(VLOOKUP(B2367,'Pre-Summary'!$AZ$6:$BE$65,3,FALSE),"")</f>
        <v/>
      </c>
      <c r="AI2367" s="10" t="str">
        <f>IFERROR(VLOOKUP(B2367,'Pre-Summary'!$AZ$6:$BE$65,5,FALSE),"")</f>
        <v/>
      </c>
      <c r="AJ2367" s="10" t="str">
        <f>IFERROR(VLOOKUP(B2367,'Pre-Summary'!$AZ$6:$BE$65,4,FALSE),"")</f>
        <v/>
      </c>
      <c r="AK2367" s="10" t="str">
        <f>IFERROR(VLOOKUP(B2367,'Pre-Summary'!$AZ$6:$BE$65,6,FALSE),"")</f>
        <v/>
      </c>
      <c r="AL2367" s="10" t="str">
        <f>IFERROR(VLOOKUP(B2367,'Pre-Summary'!$BG$6:$BL$44,3,FALSE),"")</f>
        <v/>
      </c>
      <c r="AM2367" s="10" t="str">
        <f>IFERROR(VLOOKUP(B2367,'Pre-Summary'!$BG$6:$BL$44,4,FALSE),"")</f>
        <v/>
      </c>
    </row>
    <row r="2368" spans="2:39" ht="15" customHeight="1" x14ac:dyDescent="0.3">
      <c r="B2368">
        <v>236.5</v>
      </c>
      <c r="C2368" t="str">
        <f>IFERROR(VLOOKUP(B2368,'Pre-Summary'!$DI$6:$DM$23,4,FALSE),"")</f>
        <v/>
      </c>
      <c r="D2368" s="10" t="str">
        <f>IFERROR(VLOOKUP(B2368,'Pre-Summary'!$AT$6:$AX$14,5,FALSE),D2367)</f>
        <v>Wolfe v3: went back to modified wolfe + EDTA and switched CuSO4 to CUCl2</v>
      </c>
      <c r="E2368" s="10" t="str">
        <f>IFERROR(VLOOKUP(B2368,'Pre-Summary'!$AT$6:$AX$15,4,FALSE),"")</f>
        <v/>
      </c>
      <c r="F2368">
        <f>IFERROR(VLOOKUP(B2368,'Pre-Summary'!$AL$6:$AQ$13,6,FALSE),F2367)</f>
        <v>5.9405263157894746E-2</v>
      </c>
      <c r="G2368" t="str">
        <f>IFERROR(VLOOKUP(B2368,'Pre-Summary'!$AE$6:$AJ$85,3,FALSE),"")</f>
        <v/>
      </c>
      <c r="H2368" t="str">
        <f>IFERROR(VLOOKUP(B2368,'Pre-Summary'!$AE$6:$AJ$85,4,FALSE),"")</f>
        <v/>
      </c>
      <c r="I2368" t="str">
        <f>IFERROR(VLOOKUP(B2368,'Pre-Summary'!$AE$6:$AJ$85,5,FALSE),"")</f>
        <v/>
      </c>
      <c r="J2368" s="45">
        <f>IFERROR(VLOOKUP(B2368,'Pre-Summary'!$AE$6:$AJ$85,6, FALSE),"")</f>
        <v>0</v>
      </c>
      <c r="K2368" s="45" t="str">
        <f>IFERROR(VLOOKUP(B2368,'Pre-Summary'!$DE$6:$DG$61,3,FALSE),"")</f>
        <v/>
      </c>
      <c r="L2368" s="45" t="str">
        <f>IFERROR(VLOOKUP(B2368,'Pre-Summary'!$CU$6:$CW$36,3,FALSE),"")</f>
        <v/>
      </c>
      <c r="M2368" s="45" t="str">
        <f>IFERROR(VLOOKUP(B2368,'Pre-Summary'!$BW$6:$BY$58,2,FALSE),"")</f>
        <v/>
      </c>
      <c r="N2368" s="45" t="str">
        <f>IFERROR(VLOOKUP(B2368,'Pre-Summary'!$CD$6:$CF$64,2,FALSE),"")</f>
        <v/>
      </c>
      <c r="O2368" s="99">
        <f>IFERROR(VLOOKUP(B2368,'Pre-Summary'!$BO$6:$BQ$48,3, FALSE),O2367)</f>
        <v>1.508</v>
      </c>
      <c r="P2368" s="99">
        <f>IFERROR(VLOOKUP(B2368,'Pre-Summary'!$BS$6:$BU$35,3,FALSE),P2367)</f>
        <v>0.379</v>
      </c>
      <c r="Q2368" s="54">
        <f t="shared" si="108"/>
        <v>3.9788918205804751</v>
      </c>
      <c r="R2368" s="53">
        <f>IFERROR(VLOOKUP(B2368,'Pre-Summary'!$BG$6:$BM$44,7,FALSE),R2369)</f>
        <v>9.7948682664336664E-2</v>
      </c>
      <c r="S2368" s="53">
        <f>IFERROR(VLOOKUP(B2368,'Pre-Summary'!$BG$6:$BM$44,6,FALSE),S2369)</f>
        <v>0.10614035087720526</v>
      </c>
      <c r="T2368" s="45">
        <f>IFERROR(VLOOKUP(B2368,'Pre-Summary'!$Y$6:$AC$83, 3,FALSE),"")</f>
        <v>2.7193770000000002</v>
      </c>
      <c r="U2368" s="45">
        <f>IFERROR(VLOOKUP(B2368,'Pre-Summary'!$Y$6:$AC$83, 4,FALSE),"")</f>
        <v>1.6568989999999999</v>
      </c>
      <c r="V2368">
        <f>IFERROR(VLOOKUP(B2368,'Pre-Summary'!$Y$6:$AC$83, 5,FALSE),"")</f>
        <v>1.333286</v>
      </c>
      <c r="W2368" s="45">
        <f>IFERROR(VLOOKUP(B2368,'Pre-Summary'!$Y$6:$AD$83,6,FALSE),"")</f>
        <v>7.8340342929999993</v>
      </c>
      <c r="X2368" t="str">
        <f>IFERROR(VLOOKUP('Pre-Summary'!$DB$6:$DD$63,3,FALSE),"")</f>
        <v/>
      </c>
      <c r="Y2368" t="str">
        <f>IFERROR(VLOOKUP(B2368,'Pre-Summary'!$CR$6:$CT$36,3,FALSE),"")</f>
        <v/>
      </c>
      <c r="Z2368" s="45" t="str">
        <f>IFERROR(VLOOKUP(B2368,'Pre-Summary'!$BZ$6:$CB$63,2,FALSE),"")</f>
        <v/>
      </c>
      <c r="AA2368" s="45" t="str">
        <f>IFERROR(VLOOKUP(B2368,'Pre-Summary'!$CG$6:$CI$70,2,FALSE),"")</f>
        <v/>
      </c>
      <c r="AB2368" s="99">
        <f>IFERROR(VLOOKUP(B2368,'Pre-Summary'!$A$6:$P$178,9,FALSE),AB2369)</f>
        <v>0.33989240270305521</v>
      </c>
      <c r="AC2368" s="10">
        <f>IFERROR(VLOOKUP(Summary!B2368,'Pre-Summary'!$A$6:$P$184,5, FALSE)/100,AC2369)</f>
        <v>0.95883799999999997</v>
      </c>
      <c r="AD2368" s="10">
        <f>IFERROR(VLOOKUP(Summary!B2368,'Pre-Summary'!$A$6:$P$184,3, FALSE)/100,AD2369)</f>
        <v>3.3588666666666663E-2</v>
      </c>
      <c r="AE2368" s="10">
        <f>IFERROR(VLOOKUP(Summary!B2368,'Pre-Summary'!$A$6:$P$184,7, FALSE)/100,AE2369)</f>
        <v>7.5729999999999999E-3</v>
      </c>
      <c r="AF2368" s="99">
        <f t="shared" si="109"/>
        <v>1.1416532616925353E-2</v>
      </c>
      <c r="AG2368" s="99">
        <f t="shared" si="110"/>
        <v>2.5740051656702369E-3</v>
      </c>
      <c r="AH2368" s="10" t="str">
        <f>IFERROR(VLOOKUP(B2368,'Pre-Summary'!$AZ$6:$BE$65,3,FALSE),"")</f>
        <v/>
      </c>
      <c r="AI2368" s="10" t="str">
        <f>IFERROR(VLOOKUP(B2368,'Pre-Summary'!$AZ$6:$BE$65,5,FALSE),"")</f>
        <v/>
      </c>
      <c r="AJ2368" s="10" t="str">
        <f>IFERROR(VLOOKUP(B2368,'Pre-Summary'!$AZ$6:$BE$65,4,FALSE),"")</f>
        <v/>
      </c>
      <c r="AK2368" s="10" t="str">
        <f>IFERROR(VLOOKUP(B2368,'Pre-Summary'!$AZ$6:$BE$65,6,FALSE),"")</f>
        <v/>
      </c>
      <c r="AL2368" s="10" t="str">
        <f>IFERROR(VLOOKUP(B2368,'Pre-Summary'!$BG$6:$BL$44,3,FALSE),"")</f>
        <v/>
      </c>
      <c r="AM2368" s="10" t="str">
        <f>IFERROR(VLOOKUP(B2368,'Pre-Summary'!$BG$6:$BL$44,4,FALSE),"")</f>
        <v/>
      </c>
    </row>
    <row r="2369" spans="2:39" ht="15" customHeight="1" x14ac:dyDescent="0.3">
      <c r="B2369">
        <v>236.6</v>
      </c>
      <c r="C2369" t="str">
        <f>IFERROR(VLOOKUP(B2369,'Pre-Summary'!$DI$6:$DM$23,4,FALSE),"")</f>
        <v/>
      </c>
      <c r="D2369" s="10" t="str">
        <f>IFERROR(VLOOKUP(B2369,'Pre-Summary'!$AT$6:$AX$14,5,FALSE),D2368)</f>
        <v>Wolfe v3: went back to modified wolfe + EDTA and switched CuSO4 to CUCl2</v>
      </c>
      <c r="E2369" s="10" t="str">
        <f>IFERROR(VLOOKUP(B2369,'Pre-Summary'!$AT$6:$AX$15,4,FALSE),"")</f>
        <v/>
      </c>
      <c r="F2369">
        <f>IFERROR(VLOOKUP(B2369,'Pre-Summary'!$AL$6:$AQ$13,6,FALSE),F2368)</f>
        <v>5.9405263157894746E-2</v>
      </c>
      <c r="G2369" t="str">
        <f>IFERROR(VLOOKUP(B2369,'Pre-Summary'!$AE$6:$AJ$85,3,FALSE),"")</f>
        <v/>
      </c>
      <c r="H2369" t="str">
        <f>IFERROR(VLOOKUP(B2369,'Pre-Summary'!$AE$6:$AJ$85,4,FALSE),"")</f>
        <v/>
      </c>
      <c r="I2369" t="str">
        <f>IFERROR(VLOOKUP(B2369,'Pre-Summary'!$AE$6:$AJ$85,5,FALSE),"")</f>
        <v/>
      </c>
      <c r="J2369" s="45" t="str">
        <f>IFERROR(VLOOKUP(B2369,'Pre-Summary'!$AE$6:$AJ$85,6, FALSE),"")</f>
        <v/>
      </c>
      <c r="K2369" s="45" t="str">
        <f>IFERROR(VLOOKUP(B2369,'Pre-Summary'!$DE$6:$DG$61,3,FALSE),"")</f>
        <v/>
      </c>
      <c r="L2369" s="45" t="str">
        <f>IFERROR(VLOOKUP(B2369,'Pre-Summary'!$CU$6:$CW$36,3,FALSE),"")</f>
        <v/>
      </c>
      <c r="M2369" s="45" t="str">
        <f>IFERROR(VLOOKUP(B2369,'Pre-Summary'!$BW$6:$BY$58,2,FALSE),"")</f>
        <v/>
      </c>
      <c r="N2369" s="45" t="str">
        <f>IFERROR(VLOOKUP(B2369,'Pre-Summary'!$CD$6:$CF$64,2,FALSE),"")</f>
        <v/>
      </c>
      <c r="O2369" s="99">
        <f>IFERROR(VLOOKUP(B2369,'Pre-Summary'!$BO$6:$BQ$48,3, FALSE),O2368)</f>
        <v>1.508</v>
      </c>
      <c r="P2369" s="99">
        <f>IFERROR(VLOOKUP(B2369,'Pre-Summary'!$BS$6:$BU$35,3,FALSE),P2368)</f>
        <v>0.379</v>
      </c>
      <c r="Q2369" s="54">
        <f t="shared" si="108"/>
        <v>3.9788918205804751</v>
      </c>
      <c r="R2369" s="53">
        <f>IFERROR(VLOOKUP(B2369,'Pre-Summary'!$BG$6:$BM$44,7,FALSE),R2370)</f>
        <v>9.7948682664336664E-2</v>
      </c>
      <c r="S2369" s="53">
        <f>IFERROR(VLOOKUP(B2369,'Pre-Summary'!$BG$6:$BM$44,6,FALSE),S2370)</f>
        <v>0.10614035087720526</v>
      </c>
      <c r="T2369" s="45" t="str">
        <f>IFERROR(VLOOKUP(B2369,'Pre-Summary'!$Y$6:$AC$83, 3,FALSE),"")</f>
        <v/>
      </c>
      <c r="U2369" s="45" t="str">
        <f>IFERROR(VLOOKUP(B2369,'Pre-Summary'!$Y$6:$AC$83, 4,FALSE),"")</f>
        <v/>
      </c>
      <c r="V2369" t="str">
        <f>IFERROR(VLOOKUP(B2369,'Pre-Summary'!$Y$6:$AC$83, 5,FALSE),"")</f>
        <v/>
      </c>
      <c r="W2369" s="45" t="str">
        <f>IFERROR(VLOOKUP(B2369,'Pre-Summary'!$Y$6:$AD$83,6,FALSE),"")</f>
        <v/>
      </c>
      <c r="X2369" t="str">
        <f>IFERROR(VLOOKUP('Pre-Summary'!$DB$6:$DD$63,3,FALSE),"")</f>
        <v/>
      </c>
      <c r="Y2369" t="str">
        <f>IFERROR(VLOOKUP(B2369,'Pre-Summary'!$CR$6:$CT$36,3,FALSE),"")</f>
        <v/>
      </c>
      <c r="Z2369" s="45" t="str">
        <f>IFERROR(VLOOKUP(B2369,'Pre-Summary'!$BZ$6:$CB$63,2,FALSE),"")</f>
        <v/>
      </c>
      <c r="AA2369" s="45" t="str">
        <f>IFERROR(VLOOKUP(B2369,'Pre-Summary'!$CG$6:$CI$70,2,FALSE),"")</f>
        <v/>
      </c>
      <c r="AB2369" s="99">
        <f>IFERROR(VLOOKUP(B2369,'Pre-Summary'!$A$6:$P$178,9,FALSE),AB2370)</f>
        <v>0.33989240270305521</v>
      </c>
      <c r="AC2369" s="10">
        <f>IFERROR(VLOOKUP(Summary!B2369,'Pre-Summary'!$A$6:$P$184,5, FALSE)/100,AC2370)</f>
        <v>0.95883799999999997</v>
      </c>
      <c r="AD2369" s="10">
        <f>IFERROR(VLOOKUP(Summary!B2369,'Pre-Summary'!$A$6:$P$184,3, FALSE)/100,AD2370)</f>
        <v>3.3588666666666663E-2</v>
      </c>
      <c r="AE2369" s="10">
        <f>IFERROR(VLOOKUP(Summary!B2369,'Pre-Summary'!$A$6:$P$184,7, FALSE)/100,AE2370)</f>
        <v>7.5729999999999999E-3</v>
      </c>
      <c r="AF2369" s="99">
        <f t="shared" si="109"/>
        <v>1.1416532616925353E-2</v>
      </c>
      <c r="AG2369" s="99">
        <f t="shared" si="110"/>
        <v>2.5740051656702369E-3</v>
      </c>
      <c r="AH2369" s="10" t="str">
        <f>IFERROR(VLOOKUP(B2369,'Pre-Summary'!$AZ$6:$BE$65,3,FALSE),"")</f>
        <v/>
      </c>
      <c r="AI2369" s="10" t="str">
        <f>IFERROR(VLOOKUP(B2369,'Pre-Summary'!$AZ$6:$BE$65,5,FALSE),"")</f>
        <v/>
      </c>
      <c r="AJ2369" s="10" t="str">
        <f>IFERROR(VLOOKUP(B2369,'Pre-Summary'!$AZ$6:$BE$65,4,FALSE),"")</f>
        <v/>
      </c>
      <c r="AK2369" s="10" t="str">
        <f>IFERROR(VLOOKUP(B2369,'Pre-Summary'!$AZ$6:$BE$65,6,FALSE),"")</f>
        <v/>
      </c>
      <c r="AL2369" s="10" t="str">
        <f>IFERROR(VLOOKUP(B2369,'Pre-Summary'!$BG$6:$BL$44,3,FALSE),"")</f>
        <v/>
      </c>
      <c r="AM2369" s="10" t="str">
        <f>IFERROR(VLOOKUP(B2369,'Pre-Summary'!$BG$6:$BL$44,4,FALSE),"")</f>
        <v/>
      </c>
    </row>
    <row r="2370" spans="2:39" ht="15" customHeight="1" x14ac:dyDescent="0.3">
      <c r="B2370">
        <v>236.7</v>
      </c>
      <c r="C2370" t="str">
        <f>IFERROR(VLOOKUP(B2370,'Pre-Summary'!$DI$6:$DM$23,4,FALSE),"")</f>
        <v/>
      </c>
      <c r="D2370" s="10" t="str">
        <f>IFERROR(VLOOKUP(B2370,'Pre-Summary'!$AT$6:$AX$14,5,FALSE),D2369)</f>
        <v>Wolfe v3: went back to modified wolfe + EDTA and switched CuSO4 to CUCl2</v>
      </c>
      <c r="E2370" s="10" t="str">
        <f>IFERROR(VLOOKUP(B2370,'Pre-Summary'!$AT$6:$AX$15,4,FALSE),"")</f>
        <v/>
      </c>
      <c r="F2370">
        <f>IFERROR(VLOOKUP(B2370,'Pre-Summary'!$AL$6:$AQ$13,6,FALSE),F2369)</f>
        <v>5.9405263157894746E-2</v>
      </c>
      <c r="G2370" t="str">
        <f>IFERROR(VLOOKUP(B2370,'Pre-Summary'!$AE$6:$AJ$85,3,FALSE),"")</f>
        <v/>
      </c>
      <c r="H2370" t="str">
        <f>IFERROR(VLOOKUP(B2370,'Pre-Summary'!$AE$6:$AJ$85,4,FALSE),"")</f>
        <v/>
      </c>
      <c r="I2370" t="str">
        <f>IFERROR(VLOOKUP(B2370,'Pre-Summary'!$AE$6:$AJ$85,5,FALSE),"")</f>
        <v/>
      </c>
      <c r="J2370" s="45" t="str">
        <f>IFERROR(VLOOKUP(B2370,'Pre-Summary'!$AE$6:$AJ$85,6, FALSE),"")</f>
        <v/>
      </c>
      <c r="K2370" s="45" t="str">
        <f>IFERROR(VLOOKUP(B2370,'Pre-Summary'!$DE$6:$DG$61,3,FALSE),"")</f>
        <v/>
      </c>
      <c r="L2370" s="45" t="str">
        <f>IFERROR(VLOOKUP(B2370,'Pre-Summary'!$CU$6:$CW$36,3,FALSE),"")</f>
        <v/>
      </c>
      <c r="M2370" s="45" t="str">
        <f>IFERROR(VLOOKUP(B2370,'Pre-Summary'!$BW$6:$BY$58,2,FALSE),"")</f>
        <v/>
      </c>
      <c r="N2370" s="45" t="str">
        <f>IFERROR(VLOOKUP(B2370,'Pre-Summary'!$CD$6:$CF$64,2,FALSE),"")</f>
        <v/>
      </c>
      <c r="O2370" s="99">
        <f>IFERROR(VLOOKUP(B2370,'Pre-Summary'!$BO$6:$BQ$48,3, FALSE),O2369)</f>
        <v>1.508</v>
      </c>
      <c r="P2370" s="99">
        <f>IFERROR(VLOOKUP(B2370,'Pre-Summary'!$BS$6:$BU$35,3,FALSE),P2369)</f>
        <v>0.379</v>
      </c>
      <c r="Q2370" s="54">
        <f t="shared" si="108"/>
        <v>3.9788918205804751</v>
      </c>
      <c r="R2370" s="53">
        <f>IFERROR(VLOOKUP(B2370,'Pre-Summary'!$BG$6:$BM$44,7,FALSE),R2371)</f>
        <v>9.7948682664336664E-2</v>
      </c>
      <c r="S2370" s="53">
        <f>IFERROR(VLOOKUP(B2370,'Pre-Summary'!$BG$6:$BM$44,6,FALSE),S2371)</f>
        <v>0.10614035087720526</v>
      </c>
      <c r="T2370" s="45" t="str">
        <f>IFERROR(VLOOKUP(B2370,'Pre-Summary'!$Y$6:$AC$83, 3,FALSE),"")</f>
        <v/>
      </c>
      <c r="U2370" s="45" t="str">
        <f>IFERROR(VLOOKUP(B2370,'Pre-Summary'!$Y$6:$AC$83, 4,FALSE),"")</f>
        <v/>
      </c>
      <c r="V2370" t="str">
        <f>IFERROR(VLOOKUP(B2370,'Pre-Summary'!$Y$6:$AC$83, 5,FALSE),"")</f>
        <v/>
      </c>
      <c r="W2370" s="45" t="str">
        <f>IFERROR(VLOOKUP(B2370,'Pre-Summary'!$Y$6:$AD$83,6,FALSE),"")</f>
        <v/>
      </c>
      <c r="X2370" t="str">
        <f>IFERROR(VLOOKUP('Pre-Summary'!$DB$6:$DD$63,3,FALSE),"")</f>
        <v/>
      </c>
      <c r="Y2370" t="str">
        <f>IFERROR(VLOOKUP(B2370,'Pre-Summary'!$CR$6:$CT$36,3,FALSE),"")</f>
        <v/>
      </c>
      <c r="Z2370" s="45" t="str">
        <f>IFERROR(VLOOKUP(B2370,'Pre-Summary'!$BZ$6:$CB$63,2,FALSE),"")</f>
        <v/>
      </c>
      <c r="AA2370" s="45" t="str">
        <f>IFERROR(VLOOKUP(B2370,'Pre-Summary'!$CG$6:$CI$70,2,FALSE),"")</f>
        <v/>
      </c>
      <c r="AB2370" s="99">
        <f>IFERROR(VLOOKUP(B2370,'Pre-Summary'!$A$6:$P$178,9,FALSE),AB2371)</f>
        <v>0.33989240270305521</v>
      </c>
      <c r="AC2370" s="10">
        <f>IFERROR(VLOOKUP(Summary!B2370,'Pre-Summary'!$A$6:$P$184,5, FALSE)/100,AC2371)</f>
        <v>0.95883799999999997</v>
      </c>
      <c r="AD2370" s="10">
        <f>IFERROR(VLOOKUP(Summary!B2370,'Pre-Summary'!$A$6:$P$184,3, FALSE)/100,AD2371)</f>
        <v>3.3588666666666663E-2</v>
      </c>
      <c r="AE2370" s="10">
        <f>IFERROR(VLOOKUP(Summary!B2370,'Pre-Summary'!$A$6:$P$184,7, FALSE)/100,AE2371)</f>
        <v>7.5729999999999999E-3</v>
      </c>
      <c r="AF2370" s="99">
        <f t="shared" si="109"/>
        <v>1.1416532616925353E-2</v>
      </c>
      <c r="AG2370" s="99">
        <f t="shared" si="110"/>
        <v>2.5740051656702369E-3</v>
      </c>
      <c r="AH2370" s="10" t="str">
        <f>IFERROR(VLOOKUP(B2370,'Pre-Summary'!$AZ$6:$BE$65,3,FALSE),"")</f>
        <v/>
      </c>
      <c r="AI2370" s="10" t="str">
        <f>IFERROR(VLOOKUP(B2370,'Pre-Summary'!$AZ$6:$BE$65,5,FALSE),"")</f>
        <v/>
      </c>
      <c r="AJ2370" s="10" t="str">
        <f>IFERROR(VLOOKUP(B2370,'Pre-Summary'!$AZ$6:$BE$65,4,FALSE),"")</f>
        <v/>
      </c>
      <c r="AK2370" s="10" t="str">
        <f>IFERROR(VLOOKUP(B2370,'Pre-Summary'!$AZ$6:$BE$65,6,FALSE),"")</f>
        <v/>
      </c>
      <c r="AL2370" s="10" t="str">
        <f>IFERROR(VLOOKUP(B2370,'Pre-Summary'!$BG$6:$BL$44,3,FALSE),"")</f>
        <v/>
      </c>
      <c r="AM2370" s="10" t="str">
        <f>IFERROR(VLOOKUP(B2370,'Pre-Summary'!$BG$6:$BL$44,4,FALSE),"")</f>
        <v/>
      </c>
    </row>
    <row r="2371" spans="2:39" ht="15" customHeight="1" x14ac:dyDescent="0.3">
      <c r="B2371">
        <v>236.8</v>
      </c>
      <c r="C2371" t="str">
        <f>IFERROR(VLOOKUP(B2371,'Pre-Summary'!$DI$6:$DM$23,4,FALSE),"")</f>
        <v/>
      </c>
      <c r="D2371" s="10" t="str">
        <f>IFERROR(VLOOKUP(B2371,'Pre-Summary'!$AT$6:$AX$14,5,FALSE),D2370)</f>
        <v>Wolfe v3: went back to modified wolfe + EDTA and switched CuSO4 to CUCl2</v>
      </c>
      <c r="E2371" s="10" t="str">
        <f>IFERROR(VLOOKUP(B2371,'Pre-Summary'!$AT$6:$AX$15,4,FALSE),"")</f>
        <v/>
      </c>
      <c r="F2371">
        <f>IFERROR(VLOOKUP(B2371,'Pre-Summary'!$AL$6:$AQ$13,6,FALSE),F2370)</f>
        <v>5.9405263157894746E-2</v>
      </c>
      <c r="G2371" t="str">
        <f>IFERROR(VLOOKUP(B2371,'Pre-Summary'!$AE$6:$AJ$85,3,FALSE),"")</f>
        <v/>
      </c>
      <c r="H2371" t="str">
        <f>IFERROR(VLOOKUP(B2371,'Pre-Summary'!$AE$6:$AJ$85,4,FALSE),"")</f>
        <v/>
      </c>
      <c r="I2371" t="str">
        <f>IFERROR(VLOOKUP(B2371,'Pre-Summary'!$AE$6:$AJ$85,5,FALSE),"")</f>
        <v/>
      </c>
      <c r="J2371" s="45" t="str">
        <f>IFERROR(VLOOKUP(B2371,'Pre-Summary'!$AE$6:$AJ$85,6, FALSE),"")</f>
        <v/>
      </c>
      <c r="K2371" s="45" t="str">
        <f>IFERROR(VLOOKUP(B2371,'Pre-Summary'!$DE$6:$DG$61,3,FALSE),"")</f>
        <v/>
      </c>
      <c r="L2371" s="45" t="str">
        <f>IFERROR(VLOOKUP(B2371,'Pre-Summary'!$CU$6:$CW$36,3,FALSE),"")</f>
        <v/>
      </c>
      <c r="M2371" s="45" t="str">
        <f>IFERROR(VLOOKUP(B2371,'Pre-Summary'!$BW$6:$BY$58,2,FALSE),"")</f>
        <v/>
      </c>
      <c r="N2371" s="45" t="str">
        <f>IFERROR(VLOOKUP(B2371,'Pre-Summary'!$CD$6:$CF$64,2,FALSE),"")</f>
        <v/>
      </c>
      <c r="O2371" s="99">
        <f>IFERROR(VLOOKUP(B2371,'Pre-Summary'!$BO$6:$BQ$48,3, FALSE),O2370)</f>
        <v>1.508</v>
      </c>
      <c r="P2371" s="99">
        <f>IFERROR(VLOOKUP(B2371,'Pre-Summary'!$BS$6:$BU$35,3,FALSE),P2370)</f>
        <v>0.379</v>
      </c>
      <c r="Q2371" s="54">
        <f t="shared" ref="Q2371:Q2434" si="111">O2371/P2371</f>
        <v>3.9788918205804751</v>
      </c>
      <c r="R2371" s="53">
        <f>IFERROR(VLOOKUP(B2371,'Pre-Summary'!$BG$6:$BM$44,7,FALSE),R2372)</f>
        <v>9.7948682664336664E-2</v>
      </c>
      <c r="S2371" s="53">
        <f>IFERROR(VLOOKUP(B2371,'Pre-Summary'!$BG$6:$BM$44,6,FALSE),S2372)</f>
        <v>0.10614035087720526</v>
      </c>
      <c r="T2371" s="45" t="str">
        <f>IFERROR(VLOOKUP(B2371,'Pre-Summary'!$Y$6:$AC$83, 3,FALSE),"")</f>
        <v/>
      </c>
      <c r="U2371" s="45" t="str">
        <f>IFERROR(VLOOKUP(B2371,'Pre-Summary'!$Y$6:$AC$83, 4,FALSE),"")</f>
        <v/>
      </c>
      <c r="V2371" t="str">
        <f>IFERROR(VLOOKUP(B2371,'Pre-Summary'!$Y$6:$AC$83, 5,FALSE),"")</f>
        <v/>
      </c>
      <c r="W2371" s="45" t="str">
        <f>IFERROR(VLOOKUP(B2371,'Pre-Summary'!$Y$6:$AD$83,6,FALSE),"")</f>
        <v/>
      </c>
      <c r="X2371" t="str">
        <f>IFERROR(VLOOKUP('Pre-Summary'!$DB$6:$DD$63,3,FALSE),"")</f>
        <v/>
      </c>
      <c r="Y2371" t="str">
        <f>IFERROR(VLOOKUP(B2371,'Pre-Summary'!$CR$6:$CT$36,3,FALSE),"")</f>
        <v/>
      </c>
      <c r="Z2371" s="45" t="str">
        <f>IFERROR(VLOOKUP(B2371,'Pre-Summary'!$BZ$6:$CB$63,2,FALSE),"")</f>
        <v/>
      </c>
      <c r="AA2371" s="45" t="str">
        <f>IFERROR(VLOOKUP(B2371,'Pre-Summary'!$CG$6:$CI$70,2,FALSE),"")</f>
        <v/>
      </c>
      <c r="AB2371" s="99">
        <f>IFERROR(VLOOKUP(B2371,'Pre-Summary'!$A$6:$P$178,9,FALSE),AB2372)</f>
        <v>0.33989240270305521</v>
      </c>
      <c r="AC2371" s="10">
        <f>IFERROR(VLOOKUP(Summary!B2371,'Pre-Summary'!$A$6:$P$184,5, FALSE)/100,AC2372)</f>
        <v>0.95883799999999997</v>
      </c>
      <c r="AD2371" s="10">
        <f>IFERROR(VLOOKUP(Summary!B2371,'Pre-Summary'!$A$6:$P$184,3, FALSE)/100,AD2372)</f>
        <v>3.3588666666666663E-2</v>
      </c>
      <c r="AE2371" s="10">
        <f>IFERROR(VLOOKUP(Summary!B2371,'Pre-Summary'!$A$6:$P$184,7, FALSE)/100,AE2372)</f>
        <v>7.5729999999999999E-3</v>
      </c>
      <c r="AF2371" s="99">
        <f t="shared" ref="AF2371:AF2434" si="112">AD2371*AB2371</f>
        <v>1.1416532616925353E-2</v>
      </c>
      <c r="AG2371" s="99">
        <f t="shared" ref="AG2371:AG2434" si="113">AB2371*AE2371</f>
        <v>2.5740051656702369E-3</v>
      </c>
      <c r="AH2371" s="10" t="str">
        <f>IFERROR(VLOOKUP(B2371,'Pre-Summary'!$AZ$6:$BE$65,3,FALSE),"")</f>
        <v/>
      </c>
      <c r="AI2371" s="10" t="str">
        <f>IFERROR(VLOOKUP(B2371,'Pre-Summary'!$AZ$6:$BE$65,5,FALSE),"")</f>
        <v/>
      </c>
      <c r="AJ2371" s="10" t="str">
        <f>IFERROR(VLOOKUP(B2371,'Pre-Summary'!$AZ$6:$BE$65,4,FALSE),"")</f>
        <v/>
      </c>
      <c r="AK2371" s="10" t="str">
        <f>IFERROR(VLOOKUP(B2371,'Pre-Summary'!$AZ$6:$BE$65,6,FALSE),"")</f>
        <v/>
      </c>
      <c r="AL2371" s="10" t="str">
        <f>IFERROR(VLOOKUP(B2371,'Pre-Summary'!$BG$6:$BL$44,3,FALSE),"")</f>
        <v/>
      </c>
      <c r="AM2371" s="10" t="str">
        <f>IFERROR(VLOOKUP(B2371,'Pre-Summary'!$BG$6:$BL$44,4,FALSE),"")</f>
        <v/>
      </c>
    </row>
    <row r="2372" spans="2:39" ht="15" customHeight="1" x14ac:dyDescent="0.3">
      <c r="B2372">
        <v>236.9</v>
      </c>
      <c r="C2372" t="str">
        <f>IFERROR(VLOOKUP(B2372,'Pre-Summary'!$DI$6:$DM$23,4,FALSE),"")</f>
        <v/>
      </c>
      <c r="D2372" s="10" t="str">
        <f>IFERROR(VLOOKUP(B2372,'Pre-Summary'!$AT$6:$AX$14,5,FALSE),D2371)</f>
        <v>Wolfe v3: went back to modified wolfe + EDTA and switched CuSO4 to CUCl2</v>
      </c>
      <c r="E2372" s="10" t="str">
        <f>IFERROR(VLOOKUP(B2372,'Pre-Summary'!$AT$6:$AX$15,4,FALSE),"")</f>
        <v/>
      </c>
      <c r="F2372">
        <f>IFERROR(VLOOKUP(B2372,'Pre-Summary'!$AL$6:$AQ$13,6,FALSE),F2371)</f>
        <v>5.9405263157894746E-2</v>
      </c>
      <c r="G2372" t="str">
        <f>IFERROR(VLOOKUP(B2372,'Pre-Summary'!$AE$6:$AJ$85,3,FALSE),"")</f>
        <v/>
      </c>
      <c r="H2372" t="str">
        <f>IFERROR(VLOOKUP(B2372,'Pre-Summary'!$AE$6:$AJ$85,4,FALSE),"")</f>
        <v/>
      </c>
      <c r="I2372" t="str">
        <f>IFERROR(VLOOKUP(B2372,'Pre-Summary'!$AE$6:$AJ$85,5,FALSE),"")</f>
        <v/>
      </c>
      <c r="J2372" s="45" t="str">
        <f>IFERROR(VLOOKUP(B2372,'Pre-Summary'!$AE$6:$AJ$85,6, FALSE),"")</f>
        <v/>
      </c>
      <c r="K2372" s="45">
        <f>IFERROR(VLOOKUP(B2372,'Pre-Summary'!$DE$6:$DG$61,3,FALSE),"")</f>
        <v>570</v>
      </c>
      <c r="L2372" s="45">
        <f>IFERROR(VLOOKUP(B2372,'Pre-Summary'!$CU$6:$CW$36,3,FALSE),"")</f>
        <v>297.39999999999998</v>
      </c>
      <c r="M2372" s="45" t="str">
        <f>IFERROR(VLOOKUP(B2372,'Pre-Summary'!$BW$6:$BY$58,2,FALSE),"")</f>
        <v/>
      </c>
      <c r="N2372" s="45" t="str">
        <f>IFERROR(VLOOKUP(B2372,'Pre-Summary'!$CD$6:$CF$64,2,FALSE),"")</f>
        <v/>
      </c>
      <c r="O2372" s="99">
        <f>IFERROR(VLOOKUP(B2372,'Pre-Summary'!$BO$6:$BQ$48,3, FALSE),O2371)</f>
        <v>1.508</v>
      </c>
      <c r="P2372" s="99">
        <f>IFERROR(VLOOKUP(B2372,'Pre-Summary'!$BS$6:$BU$35,3,FALSE),P2371)</f>
        <v>0.379</v>
      </c>
      <c r="Q2372" s="54">
        <f t="shared" si="111"/>
        <v>3.9788918205804751</v>
      </c>
      <c r="R2372" s="53">
        <f>IFERROR(VLOOKUP(B2372,'Pre-Summary'!$BG$6:$BM$44,7,FALSE),R2373)</f>
        <v>9.7948682664336664E-2</v>
      </c>
      <c r="S2372" s="53">
        <f>IFERROR(VLOOKUP(B2372,'Pre-Summary'!$BG$6:$BM$44,6,FALSE),S2373)</f>
        <v>0.10614035087720526</v>
      </c>
      <c r="T2372" s="45" t="str">
        <f>IFERROR(VLOOKUP(B2372,'Pre-Summary'!$Y$6:$AC$83, 3,FALSE),"")</f>
        <v/>
      </c>
      <c r="U2372" s="45" t="str">
        <f>IFERROR(VLOOKUP(B2372,'Pre-Summary'!$Y$6:$AC$83, 4,FALSE),"")</f>
        <v/>
      </c>
      <c r="V2372" t="str">
        <f>IFERROR(VLOOKUP(B2372,'Pre-Summary'!$Y$6:$AC$83, 5,FALSE),"")</f>
        <v/>
      </c>
      <c r="W2372" s="45" t="str">
        <f>IFERROR(VLOOKUP(B2372,'Pre-Summary'!$Y$6:$AD$83,6,FALSE),"")</f>
        <v/>
      </c>
      <c r="X2372" t="str">
        <f>IFERROR(VLOOKUP('Pre-Summary'!$DB$6:$DD$63,3,FALSE),"")</f>
        <v/>
      </c>
      <c r="Y2372">
        <f>IFERROR(VLOOKUP(B2372,'Pre-Summary'!$CR$6:$CT$36,3,FALSE),"")</f>
        <v>290</v>
      </c>
      <c r="Z2372" s="45" t="str">
        <f>IFERROR(VLOOKUP(B2372,'Pre-Summary'!$BZ$6:$CB$63,2,FALSE),"")</f>
        <v/>
      </c>
      <c r="AA2372" s="45">
        <f>IFERROR(VLOOKUP(B2372,'Pre-Summary'!$CG$6:$CI$70,2,FALSE),"")</f>
        <v>173.88130355638566</v>
      </c>
      <c r="AB2372" s="99">
        <f>IFERROR(VLOOKUP(B2372,'Pre-Summary'!$A$6:$P$178,9,FALSE),AB2373)</f>
        <v>0.33989240270305521</v>
      </c>
      <c r="AC2372" s="10">
        <f>IFERROR(VLOOKUP(Summary!B2372,'Pre-Summary'!$A$6:$P$184,5, FALSE)/100,AC2373)</f>
        <v>0.95883799999999997</v>
      </c>
      <c r="AD2372" s="10">
        <f>IFERROR(VLOOKUP(Summary!B2372,'Pre-Summary'!$A$6:$P$184,3, FALSE)/100,AD2373)</f>
        <v>3.3588666666666663E-2</v>
      </c>
      <c r="AE2372" s="10">
        <f>IFERROR(VLOOKUP(Summary!B2372,'Pre-Summary'!$A$6:$P$184,7, FALSE)/100,AE2373)</f>
        <v>7.5729999999999999E-3</v>
      </c>
      <c r="AF2372" s="99">
        <f t="shared" si="112"/>
        <v>1.1416532616925353E-2</v>
      </c>
      <c r="AG2372" s="99">
        <f t="shared" si="113"/>
        <v>2.5740051656702369E-3</v>
      </c>
      <c r="AH2372" s="10" t="str">
        <f>IFERROR(VLOOKUP(B2372,'Pre-Summary'!$AZ$6:$BE$65,3,FALSE),"")</f>
        <v/>
      </c>
      <c r="AI2372" s="10" t="str">
        <f>IFERROR(VLOOKUP(B2372,'Pre-Summary'!$AZ$6:$BE$65,5,FALSE),"")</f>
        <v/>
      </c>
      <c r="AJ2372" s="10" t="str">
        <f>IFERROR(VLOOKUP(B2372,'Pre-Summary'!$AZ$6:$BE$65,4,FALSE),"")</f>
        <v/>
      </c>
      <c r="AK2372" s="10" t="str">
        <f>IFERROR(VLOOKUP(B2372,'Pre-Summary'!$AZ$6:$BE$65,6,FALSE),"")</f>
        <v/>
      </c>
      <c r="AL2372" s="10" t="str">
        <f>IFERROR(VLOOKUP(B2372,'Pre-Summary'!$BG$6:$BL$44,3,FALSE),"")</f>
        <v/>
      </c>
      <c r="AM2372" s="10" t="str">
        <f>IFERROR(VLOOKUP(B2372,'Pre-Summary'!$BG$6:$BL$44,4,FALSE),"")</f>
        <v/>
      </c>
    </row>
    <row r="2373" spans="2:39" ht="15" customHeight="1" x14ac:dyDescent="0.3">
      <c r="B2373">
        <v>237</v>
      </c>
      <c r="C2373" t="str">
        <f>IFERROR(VLOOKUP(B2373,'Pre-Summary'!$DI$6:$DM$23,4,FALSE),"")</f>
        <v/>
      </c>
      <c r="D2373" s="10" t="str">
        <f>IFERROR(VLOOKUP(B2373,'Pre-Summary'!$AT$6:$AX$14,5,FALSE),D2372)</f>
        <v>Wolfe v3: went back to modified wolfe + EDTA and switched CuSO4 to CUCl2</v>
      </c>
      <c r="E2373" s="10" t="str">
        <f>IFERROR(VLOOKUP(B2373,'Pre-Summary'!$AT$6:$AX$15,4,FALSE),"")</f>
        <v/>
      </c>
      <c r="F2373">
        <f>IFERROR(VLOOKUP(B2373,'Pre-Summary'!$AL$6:$AQ$13,6,FALSE),F2372)</f>
        <v>5.9405263157894746E-2</v>
      </c>
      <c r="G2373" t="str">
        <f>IFERROR(VLOOKUP(B2373,'Pre-Summary'!$AE$6:$AJ$85,3,FALSE),"")</f>
        <v/>
      </c>
      <c r="H2373" t="str">
        <f>IFERROR(VLOOKUP(B2373,'Pre-Summary'!$AE$6:$AJ$85,4,FALSE),"")</f>
        <v/>
      </c>
      <c r="I2373" t="str">
        <f>IFERROR(VLOOKUP(B2373,'Pre-Summary'!$AE$6:$AJ$85,5,FALSE),"")</f>
        <v/>
      </c>
      <c r="J2373" s="45" t="str">
        <f>IFERROR(VLOOKUP(B2373,'Pre-Summary'!$AE$6:$AJ$85,6, FALSE),"")</f>
        <v/>
      </c>
      <c r="K2373" s="45" t="str">
        <f>IFERROR(VLOOKUP(B2373,'Pre-Summary'!$DE$6:$DG$61,3,FALSE),"")</f>
        <v/>
      </c>
      <c r="L2373" s="45" t="str">
        <f>IFERROR(VLOOKUP(B2373,'Pre-Summary'!$CU$6:$CW$36,3,FALSE),"")</f>
        <v/>
      </c>
      <c r="M2373" s="45" t="str">
        <f>IFERROR(VLOOKUP(B2373,'Pre-Summary'!$BW$6:$BY$58,2,FALSE),"")</f>
        <v/>
      </c>
      <c r="N2373" s="45" t="str">
        <f>IFERROR(VLOOKUP(B2373,'Pre-Summary'!$CD$6:$CF$64,2,FALSE),"")</f>
        <v/>
      </c>
      <c r="O2373" s="99">
        <f>IFERROR(VLOOKUP(B2373,'Pre-Summary'!$BO$6:$BQ$48,3, FALSE),O2372)</f>
        <v>1.508</v>
      </c>
      <c r="P2373" s="99">
        <f>IFERROR(VLOOKUP(B2373,'Pre-Summary'!$BS$6:$BU$35,3,FALSE),P2372)</f>
        <v>0.379</v>
      </c>
      <c r="Q2373" s="54">
        <f t="shared" si="111"/>
        <v>3.9788918205804751</v>
      </c>
      <c r="R2373" s="53">
        <f>IFERROR(VLOOKUP(B2373,'Pre-Summary'!$BG$6:$BM$44,7,FALSE),R2374)</f>
        <v>9.7948682664336664E-2</v>
      </c>
      <c r="S2373" s="53">
        <f>IFERROR(VLOOKUP(B2373,'Pre-Summary'!$BG$6:$BM$44,6,FALSE),S2374)</f>
        <v>0.10614035087720526</v>
      </c>
      <c r="T2373" s="45" t="str">
        <f>IFERROR(VLOOKUP(B2373,'Pre-Summary'!$Y$6:$AC$83, 3,FALSE),"")</f>
        <v/>
      </c>
      <c r="U2373" s="45" t="str">
        <f>IFERROR(VLOOKUP(B2373,'Pre-Summary'!$Y$6:$AC$83, 4,FALSE),"")</f>
        <v/>
      </c>
      <c r="V2373" t="str">
        <f>IFERROR(VLOOKUP(B2373,'Pre-Summary'!$Y$6:$AC$83, 5,FALSE),"")</f>
        <v/>
      </c>
      <c r="W2373" s="45" t="str">
        <f>IFERROR(VLOOKUP(B2373,'Pre-Summary'!$Y$6:$AD$83,6,FALSE),"")</f>
        <v/>
      </c>
      <c r="X2373" t="str">
        <f>IFERROR(VLOOKUP('Pre-Summary'!$DB$6:$DD$63,3,FALSE),"")</f>
        <v/>
      </c>
      <c r="Y2373" t="str">
        <f>IFERROR(VLOOKUP(B2373,'Pre-Summary'!$CR$6:$CT$36,3,FALSE),"")</f>
        <v/>
      </c>
      <c r="Z2373" s="45" t="str">
        <f>IFERROR(VLOOKUP(B2373,'Pre-Summary'!$BZ$6:$CB$63,2,FALSE),"")</f>
        <v/>
      </c>
      <c r="AA2373" s="45" t="str">
        <f>IFERROR(VLOOKUP(B2373,'Pre-Summary'!$CG$6:$CI$70,2,FALSE),"")</f>
        <v/>
      </c>
      <c r="AB2373" s="99">
        <f>IFERROR(VLOOKUP(B2373,'Pre-Summary'!$A$6:$P$178,9,FALSE),AB2374)</f>
        <v>0.36135763747385435</v>
      </c>
      <c r="AC2373" s="10">
        <f>IFERROR(VLOOKUP(Summary!B2373,'Pre-Summary'!$A$6:$P$184,5, FALSE)/100,AC2374)</f>
        <v>0.95724033333333336</v>
      </c>
      <c r="AD2373" s="10">
        <f>IFERROR(VLOOKUP(Summary!B2373,'Pre-Summary'!$A$6:$P$184,3, FALSE)/100,AD2374)</f>
        <v>3.7687000000000005E-2</v>
      </c>
      <c r="AE2373" s="10">
        <f>IFERROR(VLOOKUP(Summary!B2373,'Pre-Summary'!$A$6:$P$184,7, FALSE)/100,AE2374)</f>
        <v>5.0666666666666672E-3</v>
      </c>
      <c r="AF2373" s="99">
        <f t="shared" si="112"/>
        <v>1.3618485283477151E-2</v>
      </c>
      <c r="AG2373" s="99">
        <f t="shared" si="113"/>
        <v>1.8308786965341955E-3</v>
      </c>
      <c r="AH2373" s="10">
        <f>IFERROR(VLOOKUP(B2373,'Pre-Summary'!$AZ$6:$BE$65,3,FALSE),"")</f>
        <v>396</v>
      </c>
      <c r="AI2373" s="10">
        <f>IFERROR(VLOOKUP(B2373,'Pre-Summary'!$AZ$6:$BE$65,5,FALSE),"")</f>
        <v>249</v>
      </c>
      <c r="AJ2373" s="10">
        <f>IFERROR(VLOOKUP(B2373,'Pre-Summary'!$AZ$6:$BE$65,4,FALSE),"")</f>
        <v>322</v>
      </c>
      <c r="AK2373" s="10">
        <f>IFERROR(VLOOKUP(B2373,'Pre-Summary'!$AZ$6:$BE$65,6,FALSE),"")</f>
        <v>210</v>
      </c>
      <c r="AL2373" s="10">
        <f>IFERROR(VLOOKUP(B2373,'Pre-Summary'!$BG$6:$BL$44,3,FALSE),"")</f>
        <v>4.6379623168173287</v>
      </c>
      <c r="AM2373" s="10">
        <f>IFERROR(VLOOKUP(B2373,'Pre-Summary'!$BG$6:$BL$44,4,FALSE),"")</f>
        <v>2.9442148760327176</v>
      </c>
    </row>
    <row r="2374" spans="2:39" ht="15" customHeight="1" x14ac:dyDescent="0.3">
      <c r="B2374">
        <v>237.1</v>
      </c>
      <c r="C2374" t="str">
        <f>IFERROR(VLOOKUP(B2374,'Pre-Summary'!$DI$6:$DM$23,4,FALSE),"")</f>
        <v/>
      </c>
      <c r="D2374" s="10" t="str">
        <f>IFERROR(VLOOKUP(B2374,'Pre-Summary'!$AT$6:$AX$14,5,FALSE),D2373)</f>
        <v>Wolfe v3: went back to modified wolfe + EDTA and switched CuSO4 to CUCl2</v>
      </c>
      <c r="E2374" s="10" t="str">
        <f>IFERROR(VLOOKUP(B2374,'Pre-Summary'!$AT$6:$AX$15,4,FALSE),"")</f>
        <v/>
      </c>
      <c r="F2374">
        <f>IFERROR(VLOOKUP(B2374,'Pre-Summary'!$AL$6:$AQ$13,6,FALSE),F2373)</f>
        <v>5.9405263157894746E-2</v>
      </c>
      <c r="G2374" t="str">
        <f>IFERROR(VLOOKUP(B2374,'Pre-Summary'!$AE$6:$AJ$85,3,FALSE),"")</f>
        <v/>
      </c>
      <c r="H2374" t="str">
        <f>IFERROR(VLOOKUP(B2374,'Pre-Summary'!$AE$6:$AJ$85,4,FALSE),"")</f>
        <v/>
      </c>
      <c r="I2374" t="str">
        <f>IFERROR(VLOOKUP(B2374,'Pre-Summary'!$AE$6:$AJ$85,5,FALSE),"")</f>
        <v/>
      </c>
      <c r="J2374" s="45" t="str">
        <f>IFERROR(VLOOKUP(B2374,'Pre-Summary'!$AE$6:$AJ$85,6, FALSE),"")</f>
        <v/>
      </c>
      <c r="K2374" s="45" t="str">
        <f>IFERROR(VLOOKUP(B2374,'Pre-Summary'!$DE$6:$DG$61,3,FALSE),"")</f>
        <v/>
      </c>
      <c r="L2374" s="45" t="str">
        <f>IFERROR(VLOOKUP(B2374,'Pre-Summary'!$CU$6:$CW$36,3,FALSE),"")</f>
        <v/>
      </c>
      <c r="M2374" s="45" t="str">
        <f>IFERROR(VLOOKUP(B2374,'Pre-Summary'!$BW$6:$BY$58,2,FALSE),"")</f>
        <v/>
      </c>
      <c r="N2374" s="45" t="str">
        <f>IFERROR(VLOOKUP(B2374,'Pre-Summary'!$CD$6:$CF$64,2,FALSE),"")</f>
        <v/>
      </c>
      <c r="O2374" s="99">
        <f>IFERROR(VLOOKUP(B2374,'Pre-Summary'!$BO$6:$BQ$48,3, FALSE),O2373)</f>
        <v>1.508</v>
      </c>
      <c r="P2374" s="99">
        <f>IFERROR(VLOOKUP(B2374,'Pre-Summary'!$BS$6:$BU$35,3,FALSE),P2373)</f>
        <v>0.379</v>
      </c>
      <c r="Q2374" s="54">
        <f t="shared" si="111"/>
        <v>3.9788918205804751</v>
      </c>
      <c r="R2374" s="53">
        <f>IFERROR(VLOOKUP(B2374,'Pre-Summary'!$BG$6:$BM$44,7,FALSE),R2375)</f>
        <v>0.10033855833824304</v>
      </c>
      <c r="S2374" s="53">
        <f>IFERROR(VLOOKUP(B2374,'Pre-Summary'!$BG$6:$BM$44,6,FALSE),S2375)</f>
        <v>9.2355104881156017E-2</v>
      </c>
      <c r="T2374" s="45" t="str">
        <f>IFERROR(VLOOKUP(B2374,'Pre-Summary'!$Y$6:$AC$83, 3,FALSE),"")</f>
        <v/>
      </c>
      <c r="U2374" s="45" t="str">
        <f>IFERROR(VLOOKUP(B2374,'Pre-Summary'!$Y$6:$AC$83, 4,FALSE),"")</f>
        <v/>
      </c>
      <c r="V2374" t="str">
        <f>IFERROR(VLOOKUP(B2374,'Pre-Summary'!$Y$6:$AC$83, 5,FALSE),"")</f>
        <v/>
      </c>
      <c r="W2374" s="45" t="str">
        <f>IFERROR(VLOOKUP(B2374,'Pre-Summary'!$Y$6:$AD$83,6,FALSE),"")</f>
        <v/>
      </c>
      <c r="X2374" t="str">
        <f>IFERROR(VLOOKUP('Pre-Summary'!$DB$6:$DD$63,3,FALSE),"")</f>
        <v/>
      </c>
      <c r="Y2374" t="str">
        <f>IFERROR(VLOOKUP(B2374,'Pre-Summary'!$CR$6:$CT$36,3,FALSE),"")</f>
        <v/>
      </c>
      <c r="Z2374" s="45" t="str">
        <f>IFERROR(VLOOKUP(B2374,'Pre-Summary'!$BZ$6:$CB$63,2,FALSE),"")</f>
        <v/>
      </c>
      <c r="AA2374" s="45" t="str">
        <f>IFERROR(VLOOKUP(B2374,'Pre-Summary'!$CG$6:$CI$70,2,FALSE),"")</f>
        <v/>
      </c>
      <c r="AB2374" s="99">
        <f>IFERROR(VLOOKUP(B2374,'Pre-Summary'!$A$6:$P$178,9,FALSE),AB2375)</f>
        <v>0.36135763747385435</v>
      </c>
      <c r="AC2374" s="10">
        <f>IFERROR(VLOOKUP(Summary!B2374,'Pre-Summary'!$A$6:$P$184,5, FALSE)/100,AC2375)</f>
        <v>0.95724033333333336</v>
      </c>
      <c r="AD2374" s="10">
        <f>IFERROR(VLOOKUP(Summary!B2374,'Pre-Summary'!$A$6:$P$184,3, FALSE)/100,AD2375)</f>
        <v>3.7687000000000005E-2</v>
      </c>
      <c r="AE2374" s="10">
        <f>IFERROR(VLOOKUP(Summary!B2374,'Pre-Summary'!$A$6:$P$184,7, FALSE)/100,AE2375)</f>
        <v>5.0666666666666672E-3</v>
      </c>
      <c r="AF2374" s="99">
        <f t="shared" si="112"/>
        <v>1.3618485283477151E-2</v>
      </c>
      <c r="AG2374" s="99">
        <f t="shared" si="113"/>
        <v>1.8308786965341955E-3</v>
      </c>
      <c r="AH2374" s="10" t="str">
        <f>IFERROR(VLOOKUP(B2374,'Pre-Summary'!$AZ$6:$BE$65,3,FALSE),"")</f>
        <v/>
      </c>
      <c r="AI2374" s="10" t="str">
        <f>IFERROR(VLOOKUP(B2374,'Pre-Summary'!$AZ$6:$BE$65,5,FALSE),"")</f>
        <v/>
      </c>
      <c r="AJ2374" s="10" t="str">
        <f>IFERROR(VLOOKUP(B2374,'Pre-Summary'!$AZ$6:$BE$65,4,FALSE),"")</f>
        <v/>
      </c>
      <c r="AK2374" s="10" t="str">
        <f>IFERROR(VLOOKUP(B2374,'Pre-Summary'!$AZ$6:$BE$65,6,FALSE),"")</f>
        <v/>
      </c>
      <c r="AL2374" s="10" t="str">
        <f>IFERROR(VLOOKUP(B2374,'Pre-Summary'!$BG$6:$BL$44,3,FALSE),"")</f>
        <v/>
      </c>
      <c r="AM2374" s="10" t="str">
        <f>IFERROR(VLOOKUP(B2374,'Pre-Summary'!$BG$6:$BL$44,4,FALSE),"")</f>
        <v/>
      </c>
    </row>
    <row r="2375" spans="2:39" ht="15" customHeight="1" x14ac:dyDescent="0.3">
      <c r="B2375">
        <v>237.2</v>
      </c>
      <c r="C2375" t="str">
        <f>IFERROR(VLOOKUP(B2375,'Pre-Summary'!$DI$6:$DM$23,4,FALSE),"")</f>
        <v/>
      </c>
      <c r="D2375" s="10" t="str">
        <f>IFERROR(VLOOKUP(B2375,'Pre-Summary'!$AT$6:$AX$14,5,FALSE),D2374)</f>
        <v>Wolfe v3: went back to modified wolfe + EDTA and switched CuSO4 to CUCl2</v>
      </c>
      <c r="E2375" s="10" t="str">
        <f>IFERROR(VLOOKUP(B2375,'Pre-Summary'!$AT$6:$AX$15,4,FALSE),"")</f>
        <v/>
      </c>
      <c r="F2375">
        <f>IFERROR(VLOOKUP(B2375,'Pre-Summary'!$AL$6:$AQ$13,6,FALSE),F2374)</f>
        <v>5.9405263157894746E-2</v>
      </c>
      <c r="G2375" t="str">
        <f>IFERROR(VLOOKUP(B2375,'Pre-Summary'!$AE$6:$AJ$85,3,FALSE),"")</f>
        <v/>
      </c>
      <c r="H2375" t="str">
        <f>IFERROR(VLOOKUP(B2375,'Pre-Summary'!$AE$6:$AJ$85,4,FALSE),"")</f>
        <v/>
      </c>
      <c r="I2375" t="str">
        <f>IFERROR(VLOOKUP(B2375,'Pre-Summary'!$AE$6:$AJ$85,5,FALSE),"")</f>
        <v/>
      </c>
      <c r="J2375" s="45" t="str">
        <f>IFERROR(VLOOKUP(B2375,'Pre-Summary'!$AE$6:$AJ$85,6, FALSE),"")</f>
        <v/>
      </c>
      <c r="K2375" s="45" t="str">
        <f>IFERROR(VLOOKUP(B2375,'Pre-Summary'!$DE$6:$DG$61,3,FALSE),"")</f>
        <v/>
      </c>
      <c r="L2375" s="45" t="str">
        <f>IFERROR(VLOOKUP(B2375,'Pre-Summary'!$CU$6:$CW$36,3,FALSE),"")</f>
        <v/>
      </c>
      <c r="M2375" s="45" t="str">
        <f>IFERROR(VLOOKUP(B2375,'Pre-Summary'!$BW$6:$BY$58,2,FALSE),"")</f>
        <v/>
      </c>
      <c r="N2375" s="45" t="str">
        <f>IFERROR(VLOOKUP(B2375,'Pre-Summary'!$CD$6:$CF$64,2,FALSE),"")</f>
        <v/>
      </c>
      <c r="O2375" s="99">
        <f>IFERROR(VLOOKUP(B2375,'Pre-Summary'!$BO$6:$BQ$48,3, FALSE),O2374)</f>
        <v>1.508</v>
      </c>
      <c r="P2375" s="99">
        <f>IFERROR(VLOOKUP(B2375,'Pre-Summary'!$BS$6:$BU$35,3,FALSE),P2374)</f>
        <v>0.379</v>
      </c>
      <c r="Q2375" s="54">
        <f t="shared" si="111"/>
        <v>3.9788918205804751</v>
      </c>
      <c r="R2375" s="53">
        <f>IFERROR(VLOOKUP(B2375,'Pre-Summary'!$BG$6:$BM$44,7,FALSE),R2376)</f>
        <v>0.10033855833824304</v>
      </c>
      <c r="S2375" s="53">
        <f>IFERROR(VLOOKUP(B2375,'Pre-Summary'!$BG$6:$BM$44,6,FALSE),S2376)</f>
        <v>9.2355104881156017E-2</v>
      </c>
      <c r="T2375" s="45" t="str">
        <f>IFERROR(VLOOKUP(B2375,'Pre-Summary'!$Y$6:$AC$83, 3,FALSE),"")</f>
        <v/>
      </c>
      <c r="U2375" s="45" t="str">
        <f>IFERROR(VLOOKUP(B2375,'Pre-Summary'!$Y$6:$AC$83, 4,FALSE),"")</f>
        <v/>
      </c>
      <c r="V2375" t="str">
        <f>IFERROR(VLOOKUP(B2375,'Pre-Summary'!$Y$6:$AC$83, 5,FALSE),"")</f>
        <v/>
      </c>
      <c r="W2375" s="45" t="str">
        <f>IFERROR(VLOOKUP(B2375,'Pre-Summary'!$Y$6:$AD$83,6,FALSE),"")</f>
        <v/>
      </c>
      <c r="X2375" t="str">
        <f>IFERROR(VLOOKUP('Pre-Summary'!$DB$6:$DD$63,3,FALSE),"")</f>
        <v/>
      </c>
      <c r="Y2375" t="str">
        <f>IFERROR(VLOOKUP(B2375,'Pre-Summary'!$CR$6:$CT$36,3,FALSE),"")</f>
        <v/>
      </c>
      <c r="Z2375" s="45" t="str">
        <f>IFERROR(VLOOKUP(B2375,'Pre-Summary'!$BZ$6:$CB$63,2,FALSE),"")</f>
        <v/>
      </c>
      <c r="AA2375" s="45" t="str">
        <f>IFERROR(VLOOKUP(B2375,'Pre-Summary'!$CG$6:$CI$70,2,FALSE),"")</f>
        <v/>
      </c>
      <c r="AB2375" s="99">
        <f>IFERROR(VLOOKUP(B2375,'Pre-Summary'!$A$6:$P$178,9,FALSE),AB2376)</f>
        <v>0.36135763747385435</v>
      </c>
      <c r="AC2375" s="10">
        <f>IFERROR(VLOOKUP(Summary!B2375,'Pre-Summary'!$A$6:$P$184,5, FALSE)/100,AC2376)</f>
        <v>0.95724033333333336</v>
      </c>
      <c r="AD2375" s="10">
        <f>IFERROR(VLOOKUP(Summary!B2375,'Pre-Summary'!$A$6:$P$184,3, FALSE)/100,AD2376)</f>
        <v>3.7687000000000005E-2</v>
      </c>
      <c r="AE2375" s="10">
        <f>IFERROR(VLOOKUP(Summary!B2375,'Pre-Summary'!$A$6:$P$184,7, FALSE)/100,AE2376)</f>
        <v>5.0666666666666672E-3</v>
      </c>
      <c r="AF2375" s="99">
        <f t="shared" si="112"/>
        <v>1.3618485283477151E-2</v>
      </c>
      <c r="AG2375" s="99">
        <f t="shared" si="113"/>
        <v>1.8308786965341955E-3</v>
      </c>
      <c r="AH2375" s="10" t="str">
        <f>IFERROR(VLOOKUP(B2375,'Pre-Summary'!$AZ$6:$BE$65,3,FALSE),"")</f>
        <v/>
      </c>
      <c r="AI2375" s="10" t="str">
        <f>IFERROR(VLOOKUP(B2375,'Pre-Summary'!$AZ$6:$BE$65,5,FALSE),"")</f>
        <v/>
      </c>
      <c r="AJ2375" s="10" t="str">
        <f>IFERROR(VLOOKUP(B2375,'Pre-Summary'!$AZ$6:$BE$65,4,FALSE),"")</f>
        <v/>
      </c>
      <c r="AK2375" s="10" t="str">
        <f>IFERROR(VLOOKUP(B2375,'Pre-Summary'!$AZ$6:$BE$65,6,FALSE),"")</f>
        <v/>
      </c>
      <c r="AL2375" s="10" t="str">
        <f>IFERROR(VLOOKUP(B2375,'Pre-Summary'!$BG$6:$BL$44,3,FALSE),"")</f>
        <v/>
      </c>
      <c r="AM2375" s="10" t="str">
        <f>IFERROR(VLOOKUP(B2375,'Pre-Summary'!$BG$6:$BL$44,4,FALSE),"")</f>
        <v/>
      </c>
    </row>
    <row r="2376" spans="2:39" ht="15" customHeight="1" x14ac:dyDescent="0.3">
      <c r="B2376">
        <v>237.3</v>
      </c>
      <c r="C2376" t="str">
        <f>IFERROR(VLOOKUP(B2376,'Pre-Summary'!$DI$6:$DM$23,4,FALSE),"")</f>
        <v/>
      </c>
      <c r="D2376" s="10" t="str">
        <f>IFERROR(VLOOKUP(B2376,'Pre-Summary'!$AT$6:$AX$14,5,FALSE),D2375)</f>
        <v>Wolfe v3: went back to modified wolfe + EDTA and switched CuSO4 to CUCl2</v>
      </c>
      <c r="E2376" s="10" t="str">
        <f>IFERROR(VLOOKUP(B2376,'Pre-Summary'!$AT$6:$AX$15,4,FALSE),"")</f>
        <v/>
      </c>
      <c r="F2376">
        <f>IFERROR(VLOOKUP(B2376,'Pre-Summary'!$AL$6:$AQ$13,6,FALSE),F2375)</f>
        <v>5.9405263157894746E-2</v>
      </c>
      <c r="G2376" t="str">
        <f>IFERROR(VLOOKUP(B2376,'Pre-Summary'!$AE$6:$AJ$85,3,FALSE),"")</f>
        <v/>
      </c>
      <c r="H2376" t="str">
        <f>IFERROR(VLOOKUP(B2376,'Pre-Summary'!$AE$6:$AJ$85,4,FALSE),"")</f>
        <v/>
      </c>
      <c r="I2376" t="str">
        <f>IFERROR(VLOOKUP(B2376,'Pre-Summary'!$AE$6:$AJ$85,5,FALSE),"")</f>
        <v/>
      </c>
      <c r="J2376" s="45" t="str">
        <f>IFERROR(VLOOKUP(B2376,'Pre-Summary'!$AE$6:$AJ$85,6, FALSE),"")</f>
        <v/>
      </c>
      <c r="K2376" s="45" t="str">
        <f>IFERROR(VLOOKUP(B2376,'Pre-Summary'!$DE$6:$DG$61,3,FALSE),"")</f>
        <v/>
      </c>
      <c r="L2376" s="45" t="str">
        <f>IFERROR(VLOOKUP(B2376,'Pre-Summary'!$CU$6:$CW$36,3,FALSE),"")</f>
        <v/>
      </c>
      <c r="M2376" s="45" t="str">
        <f>IFERROR(VLOOKUP(B2376,'Pre-Summary'!$BW$6:$BY$58,2,FALSE),"")</f>
        <v/>
      </c>
      <c r="N2376" s="45" t="str">
        <f>IFERROR(VLOOKUP(B2376,'Pre-Summary'!$CD$6:$CF$64,2,FALSE),"")</f>
        <v/>
      </c>
      <c r="O2376" s="99">
        <f>IFERROR(VLOOKUP(B2376,'Pre-Summary'!$BO$6:$BQ$48,3, FALSE),O2375)</f>
        <v>1.508</v>
      </c>
      <c r="P2376" s="99">
        <f>IFERROR(VLOOKUP(B2376,'Pre-Summary'!$BS$6:$BU$35,3,FALSE),P2375)</f>
        <v>0.379</v>
      </c>
      <c r="Q2376" s="54">
        <f t="shared" si="111"/>
        <v>3.9788918205804751</v>
      </c>
      <c r="R2376" s="53">
        <f>IFERROR(VLOOKUP(B2376,'Pre-Summary'!$BG$6:$BM$44,7,FALSE),R2377)</f>
        <v>0.10033855833824304</v>
      </c>
      <c r="S2376" s="53">
        <f>IFERROR(VLOOKUP(B2376,'Pre-Summary'!$BG$6:$BM$44,6,FALSE),S2377)</f>
        <v>9.2355104881156017E-2</v>
      </c>
      <c r="T2376" s="45" t="str">
        <f>IFERROR(VLOOKUP(B2376,'Pre-Summary'!$Y$6:$AC$83, 3,FALSE),"")</f>
        <v/>
      </c>
      <c r="U2376" s="45" t="str">
        <f>IFERROR(VLOOKUP(B2376,'Pre-Summary'!$Y$6:$AC$83, 4,FALSE),"")</f>
        <v/>
      </c>
      <c r="V2376" t="str">
        <f>IFERROR(VLOOKUP(B2376,'Pre-Summary'!$Y$6:$AC$83, 5,FALSE),"")</f>
        <v/>
      </c>
      <c r="W2376" s="45" t="str">
        <f>IFERROR(VLOOKUP(B2376,'Pre-Summary'!$Y$6:$AD$83,6,FALSE),"")</f>
        <v/>
      </c>
      <c r="X2376" t="str">
        <f>IFERROR(VLOOKUP('Pre-Summary'!$DB$6:$DD$63,3,FALSE),"")</f>
        <v/>
      </c>
      <c r="Y2376" t="str">
        <f>IFERROR(VLOOKUP(B2376,'Pre-Summary'!$CR$6:$CT$36,3,FALSE),"")</f>
        <v/>
      </c>
      <c r="Z2376" s="45" t="str">
        <f>IFERROR(VLOOKUP(B2376,'Pre-Summary'!$BZ$6:$CB$63,2,FALSE),"")</f>
        <v/>
      </c>
      <c r="AA2376" s="45" t="str">
        <f>IFERROR(VLOOKUP(B2376,'Pre-Summary'!$CG$6:$CI$70,2,FALSE),"")</f>
        <v/>
      </c>
      <c r="AB2376" s="99">
        <f>IFERROR(VLOOKUP(B2376,'Pre-Summary'!$A$6:$P$178,9,FALSE),AB2377)</f>
        <v>0.36135763747385435</v>
      </c>
      <c r="AC2376" s="10">
        <f>IFERROR(VLOOKUP(Summary!B2376,'Pre-Summary'!$A$6:$P$184,5, FALSE)/100,AC2377)</f>
        <v>0.95724033333333336</v>
      </c>
      <c r="AD2376" s="10">
        <f>IFERROR(VLOOKUP(Summary!B2376,'Pre-Summary'!$A$6:$P$184,3, FALSE)/100,AD2377)</f>
        <v>3.7687000000000005E-2</v>
      </c>
      <c r="AE2376" s="10">
        <f>IFERROR(VLOOKUP(Summary!B2376,'Pre-Summary'!$A$6:$P$184,7, FALSE)/100,AE2377)</f>
        <v>5.0666666666666672E-3</v>
      </c>
      <c r="AF2376" s="99">
        <f t="shared" si="112"/>
        <v>1.3618485283477151E-2</v>
      </c>
      <c r="AG2376" s="99">
        <f t="shared" si="113"/>
        <v>1.8308786965341955E-3</v>
      </c>
      <c r="AH2376" s="10" t="str">
        <f>IFERROR(VLOOKUP(B2376,'Pre-Summary'!$AZ$6:$BE$65,3,FALSE),"")</f>
        <v/>
      </c>
      <c r="AI2376" s="10" t="str">
        <f>IFERROR(VLOOKUP(B2376,'Pre-Summary'!$AZ$6:$BE$65,5,FALSE),"")</f>
        <v/>
      </c>
      <c r="AJ2376" s="10" t="str">
        <f>IFERROR(VLOOKUP(B2376,'Pre-Summary'!$AZ$6:$BE$65,4,FALSE),"")</f>
        <v/>
      </c>
      <c r="AK2376" s="10" t="str">
        <f>IFERROR(VLOOKUP(B2376,'Pre-Summary'!$AZ$6:$BE$65,6,FALSE),"")</f>
        <v/>
      </c>
      <c r="AL2376" s="10" t="str">
        <f>IFERROR(VLOOKUP(B2376,'Pre-Summary'!$BG$6:$BL$44,3,FALSE),"")</f>
        <v/>
      </c>
      <c r="AM2376" s="10" t="str">
        <f>IFERROR(VLOOKUP(B2376,'Pre-Summary'!$BG$6:$BL$44,4,FALSE),"")</f>
        <v/>
      </c>
    </row>
    <row r="2377" spans="2:39" ht="15" customHeight="1" x14ac:dyDescent="0.3">
      <c r="B2377">
        <v>237.4</v>
      </c>
      <c r="C2377" t="str">
        <f>IFERROR(VLOOKUP(B2377,'Pre-Summary'!$DI$6:$DM$23,4,FALSE),"")</f>
        <v/>
      </c>
      <c r="D2377" s="10" t="str">
        <f>IFERROR(VLOOKUP(B2377,'Pre-Summary'!$AT$6:$AX$14,5,FALSE),D2376)</f>
        <v>Wolfe v3: went back to modified wolfe + EDTA and switched CuSO4 to CUCl2</v>
      </c>
      <c r="E2377" s="10" t="str">
        <f>IFERROR(VLOOKUP(B2377,'Pre-Summary'!$AT$6:$AX$15,4,FALSE),"")</f>
        <v/>
      </c>
      <c r="F2377">
        <f>IFERROR(VLOOKUP(B2377,'Pre-Summary'!$AL$6:$AQ$13,6,FALSE),F2376)</f>
        <v>5.9405263157894746E-2</v>
      </c>
      <c r="G2377" t="str">
        <f>IFERROR(VLOOKUP(B2377,'Pre-Summary'!$AE$6:$AJ$85,3,FALSE),"")</f>
        <v/>
      </c>
      <c r="H2377" t="str">
        <f>IFERROR(VLOOKUP(B2377,'Pre-Summary'!$AE$6:$AJ$85,4,FALSE),"")</f>
        <v/>
      </c>
      <c r="I2377" t="str">
        <f>IFERROR(VLOOKUP(B2377,'Pre-Summary'!$AE$6:$AJ$85,5,FALSE),"")</f>
        <v/>
      </c>
      <c r="J2377" s="45" t="str">
        <f>IFERROR(VLOOKUP(B2377,'Pre-Summary'!$AE$6:$AJ$85,6, FALSE),"")</f>
        <v/>
      </c>
      <c r="K2377" s="45" t="str">
        <f>IFERROR(VLOOKUP(B2377,'Pre-Summary'!$DE$6:$DG$61,3,FALSE),"")</f>
        <v/>
      </c>
      <c r="L2377" s="45" t="str">
        <f>IFERROR(VLOOKUP(B2377,'Pre-Summary'!$CU$6:$CW$36,3,FALSE),"")</f>
        <v/>
      </c>
      <c r="M2377" s="45" t="str">
        <f>IFERROR(VLOOKUP(B2377,'Pre-Summary'!$BW$6:$BY$58,2,FALSE),"")</f>
        <v/>
      </c>
      <c r="N2377" s="45" t="str">
        <f>IFERROR(VLOOKUP(B2377,'Pre-Summary'!$CD$6:$CF$64,2,FALSE),"")</f>
        <v/>
      </c>
      <c r="O2377" s="99">
        <f>IFERROR(VLOOKUP(B2377,'Pre-Summary'!$BO$6:$BQ$48,3, FALSE),O2376)</f>
        <v>1.508</v>
      </c>
      <c r="P2377" s="99">
        <f>IFERROR(VLOOKUP(B2377,'Pre-Summary'!$BS$6:$BU$35,3,FALSE),P2376)</f>
        <v>0.379</v>
      </c>
      <c r="Q2377" s="54">
        <f t="shared" si="111"/>
        <v>3.9788918205804751</v>
      </c>
      <c r="R2377" s="53">
        <f>IFERROR(VLOOKUP(B2377,'Pre-Summary'!$BG$6:$BM$44,7,FALSE),R2378)</f>
        <v>0.10033855833824304</v>
      </c>
      <c r="S2377" s="53">
        <f>IFERROR(VLOOKUP(B2377,'Pre-Summary'!$BG$6:$BM$44,6,FALSE),S2378)</f>
        <v>9.2355104881156017E-2</v>
      </c>
      <c r="T2377" s="45" t="str">
        <f>IFERROR(VLOOKUP(B2377,'Pre-Summary'!$Y$6:$AC$83, 3,FALSE),"")</f>
        <v/>
      </c>
      <c r="U2377" s="45" t="str">
        <f>IFERROR(VLOOKUP(B2377,'Pre-Summary'!$Y$6:$AC$83, 4,FALSE),"")</f>
        <v/>
      </c>
      <c r="V2377" t="str">
        <f>IFERROR(VLOOKUP(B2377,'Pre-Summary'!$Y$6:$AC$83, 5,FALSE),"")</f>
        <v/>
      </c>
      <c r="W2377" s="45" t="str">
        <f>IFERROR(VLOOKUP(B2377,'Pre-Summary'!$Y$6:$AD$83,6,FALSE),"")</f>
        <v/>
      </c>
      <c r="X2377" t="str">
        <f>IFERROR(VLOOKUP('Pre-Summary'!$DB$6:$DD$63,3,FALSE),"")</f>
        <v/>
      </c>
      <c r="Y2377" t="str">
        <f>IFERROR(VLOOKUP(B2377,'Pre-Summary'!$CR$6:$CT$36,3,FALSE),"")</f>
        <v/>
      </c>
      <c r="Z2377" s="45" t="str">
        <f>IFERROR(VLOOKUP(B2377,'Pre-Summary'!$BZ$6:$CB$63,2,FALSE),"")</f>
        <v/>
      </c>
      <c r="AA2377" s="45" t="str">
        <f>IFERROR(VLOOKUP(B2377,'Pre-Summary'!$CG$6:$CI$70,2,FALSE),"")</f>
        <v/>
      </c>
      <c r="AB2377" s="99">
        <f>IFERROR(VLOOKUP(B2377,'Pre-Summary'!$A$6:$P$178,9,FALSE),AB2378)</f>
        <v>0.36135763747385435</v>
      </c>
      <c r="AC2377" s="10">
        <f>IFERROR(VLOOKUP(Summary!B2377,'Pre-Summary'!$A$6:$P$184,5, FALSE)/100,AC2378)</f>
        <v>0.95724033333333336</v>
      </c>
      <c r="AD2377" s="10">
        <f>IFERROR(VLOOKUP(Summary!B2377,'Pre-Summary'!$A$6:$P$184,3, FALSE)/100,AD2378)</f>
        <v>3.7687000000000005E-2</v>
      </c>
      <c r="AE2377" s="10">
        <f>IFERROR(VLOOKUP(Summary!B2377,'Pre-Summary'!$A$6:$P$184,7, FALSE)/100,AE2378)</f>
        <v>5.0666666666666672E-3</v>
      </c>
      <c r="AF2377" s="99">
        <f t="shared" si="112"/>
        <v>1.3618485283477151E-2</v>
      </c>
      <c r="AG2377" s="99">
        <f t="shared" si="113"/>
        <v>1.8308786965341955E-3</v>
      </c>
      <c r="AH2377" s="10" t="str">
        <f>IFERROR(VLOOKUP(B2377,'Pre-Summary'!$AZ$6:$BE$65,3,FALSE),"")</f>
        <v/>
      </c>
      <c r="AI2377" s="10" t="str">
        <f>IFERROR(VLOOKUP(B2377,'Pre-Summary'!$AZ$6:$BE$65,5,FALSE),"")</f>
        <v/>
      </c>
      <c r="AJ2377" s="10" t="str">
        <f>IFERROR(VLOOKUP(B2377,'Pre-Summary'!$AZ$6:$BE$65,4,FALSE),"")</f>
        <v/>
      </c>
      <c r="AK2377" s="10" t="str">
        <f>IFERROR(VLOOKUP(B2377,'Pre-Summary'!$AZ$6:$BE$65,6,FALSE),"")</f>
        <v/>
      </c>
      <c r="AL2377" s="10" t="str">
        <f>IFERROR(VLOOKUP(B2377,'Pre-Summary'!$BG$6:$BL$44,3,FALSE),"")</f>
        <v/>
      </c>
      <c r="AM2377" s="10" t="str">
        <f>IFERROR(VLOOKUP(B2377,'Pre-Summary'!$BG$6:$BL$44,4,FALSE),"")</f>
        <v/>
      </c>
    </row>
    <row r="2378" spans="2:39" ht="15" customHeight="1" x14ac:dyDescent="0.3">
      <c r="B2378">
        <v>237.5</v>
      </c>
      <c r="C2378" t="str">
        <f>IFERROR(VLOOKUP(B2378,'Pre-Summary'!$DI$6:$DM$23,4,FALSE),"")</f>
        <v/>
      </c>
      <c r="D2378" s="10" t="str">
        <f>IFERROR(VLOOKUP(B2378,'Pre-Summary'!$AT$6:$AX$14,5,FALSE),D2377)</f>
        <v>Wolfe v3: went back to modified wolfe + EDTA and switched CuSO4 to CUCl2</v>
      </c>
      <c r="E2378" s="10" t="str">
        <f>IFERROR(VLOOKUP(B2378,'Pre-Summary'!$AT$6:$AX$15,4,FALSE),"")</f>
        <v/>
      </c>
      <c r="F2378">
        <f>IFERROR(VLOOKUP(B2378,'Pre-Summary'!$AL$6:$AQ$13,6,FALSE),F2377)</f>
        <v>5.9405263157894746E-2</v>
      </c>
      <c r="G2378" t="str">
        <f>IFERROR(VLOOKUP(B2378,'Pre-Summary'!$AE$6:$AJ$85,3,FALSE),"")</f>
        <v/>
      </c>
      <c r="H2378" t="str">
        <f>IFERROR(VLOOKUP(B2378,'Pre-Summary'!$AE$6:$AJ$85,4,FALSE),"")</f>
        <v/>
      </c>
      <c r="I2378" t="str">
        <f>IFERROR(VLOOKUP(B2378,'Pre-Summary'!$AE$6:$AJ$85,5,FALSE),"")</f>
        <v/>
      </c>
      <c r="J2378" s="45" t="str">
        <f>IFERROR(VLOOKUP(B2378,'Pre-Summary'!$AE$6:$AJ$85,6, FALSE),"")</f>
        <v/>
      </c>
      <c r="K2378" s="45" t="str">
        <f>IFERROR(VLOOKUP(B2378,'Pre-Summary'!$DE$6:$DG$61,3,FALSE),"")</f>
        <v/>
      </c>
      <c r="L2378" s="45" t="str">
        <f>IFERROR(VLOOKUP(B2378,'Pre-Summary'!$CU$6:$CW$36,3,FALSE),"")</f>
        <v/>
      </c>
      <c r="M2378" s="45" t="str">
        <f>IFERROR(VLOOKUP(B2378,'Pre-Summary'!$BW$6:$BY$58,2,FALSE),"")</f>
        <v/>
      </c>
      <c r="N2378" s="45" t="str">
        <f>IFERROR(VLOOKUP(B2378,'Pre-Summary'!$CD$6:$CF$64,2,FALSE),"")</f>
        <v/>
      </c>
      <c r="O2378" s="99">
        <f>IFERROR(VLOOKUP(B2378,'Pre-Summary'!$BO$6:$BQ$48,3, FALSE),O2377)</f>
        <v>1.508</v>
      </c>
      <c r="P2378" s="99">
        <f>IFERROR(VLOOKUP(B2378,'Pre-Summary'!$BS$6:$BU$35,3,FALSE),P2377)</f>
        <v>0.379</v>
      </c>
      <c r="Q2378" s="54">
        <f t="shared" si="111"/>
        <v>3.9788918205804751</v>
      </c>
      <c r="R2378" s="53">
        <f>IFERROR(VLOOKUP(B2378,'Pre-Summary'!$BG$6:$BM$44,7,FALSE),R2379)</f>
        <v>0.10033855833824304</v>
      </c>
      <c r="S2378" s="53">
        <f>IFERROR(VLOOKUP(B2378,'Pre-Summary'!$BG$6:$BM$44,6,FALSE),S2379)</f>
        <v>9.2355104881156017E-2</v>
      </c>
      <c r="T2378" s="45" t="str">
        <f>IFERROR(VLOOKUP(B2378,'Pre-Summary'!$Y$6:$AC$83, 3,FALSE),"")</f>
        <v/>
      </c>
      <c r="U2378" s="45" t="str">
        <f>IFERROR(VLOOKUP(B2378,'Pre-Summary'!$Y$6:$AC$83, 4,FALSE),"")</f>
        <v/>
      </c>
      <c r="V2378" t="str">
        <f>IFERROR(VLOOKUP(B2378,'Pre-Summary'!$Y$6:$AC$83, 5,FALSE),"")</f>
        <v/>
      </c>
      <c r="W2378" s="45" t="str">
        <f>IFERROR(VLOOKUP(B2378,'Pre-Summary'!$Y$6:$AD$83,6,FALSE),"")</f>
        <v/>
      </c>
      <c r="X2378" t="str">
        <f>IFERROR(VLOOKUP('Pre-Summary'!$DB$6:$DD$63,3,FALSE),"")</f>
        <v/>
      </c>
      <c r="Y2378" t="str">
        <f>IFERROR(VLOOKUP(B2378,'Pre-Summary'!$CR$6:$CT$36,3,FALSE),"")</f>
        <v/>
      </c>
      <c r="Z2378" s="45" t="str">
        <f>IFERROR(VLOOKUP(B2378,'Pre-Summary'!$BZ$6:$CB$63,2,FALSE),"")</f>
        <v/>
      </c>
      <c r="AA2378" s="45" t="str">
        <f>IFERROR(VLOOKUP(B2378,'Pre-Summary'!$CG$6:$CI$70,2,FALSE),"")</f>
        <v/>
      </c>
      <c r="AB2378" s="99">
        <f>IFERROR(VLOOKUP(B2378,'Pre-Summary'!$A$6:$P$178,9,FALSE),AB2379)</f>
        <v>0.36135763747385435</v>
      </c>
      <c r="AC2378" s="10">
        <f>IFERROR(VLOOKUP(Summary!B2378,'Pre-Summary'!$A$6:$P$184,5, FALSE)/100,AC2379)</f>
        <v>0.95724033333333336</v>
      </c>
      <c r="AD2378" s="10">
        <f>IFERROR(VLOOKUP(Summary!B2378,'Pre-Summary'!$A$6:$P$184,3, FALSE)/100,AD2379)</f>
        <v>3.7687000000000005E-2</v>
      </c>
      <c r="AE2378" s="10">
        <f>IFERROR(VLOOKUP(Summary!B2378,'Pre-Summary'!$A$6:$P$184,7, FALSE)/100,AE2379)</f>
        <v>5.0666666666666672E-3</v>
      </c>
      <c r="AF2378" s="99">
        <f t="shared" si="112"/>
        <v>1.3618485283477151E-2</v>
      </c>
      <c r="AG2378" s="99">
        <f t="shared" si="113"/>
        <v>1.8308786965341955E-3</v>
      </c>
      <c r="AH2378" s="10" t="str">
        <f>IFERROR(VLOOKUP(B2378,'Pre-Summary'!$AZ$6:$BE$65,3,FALSE),"")</f>
        <v/>
      </c>
      <c r="AI2378" s="10" t="str">
        <f>IFERROR(VLOOKUP(B2378,'Pre-Summary'!$AZ$6:$BE$65,5,FALSE),"")</f>
        <v/>
      </c>
      <c r="AJ2378" s="10" t="str">
        <f>IFERROR(VLOOKUP(B2378,'Pre-Summary'!$AZ$6:$BE$65,4,FALSE),"")</f>
        <v/>
      </c>
      <c r="AK2378" s="10" t="str">
        <f>IFERROR(VLOOKUP(B2378,'Pre-Summary'!$AZ$6:$BE$65,6,FALSE),"")</f>
        <v/>
      </c>
      <c r="AL2378" s="10" t="str">
        <f>IFERROR(VLOOKUP(B2378,'Pre-Summary'!$BG$6:$BL$44,3,FALSE),"")</f>
        <v/>
      </c>
      <c r="AM2378" s="10" t="str">
        <f>IFERROR(VLOOKUP(B2378,'Pre-Summary'!$BG$6:$BL$44,4,FALSE),"")</f>
        <v/>
      </c>
    </row>
    <row r="2379" spans="2:39" ht="15" customHeight="1" x14ac:dyDescent="0.3">
      <c r="B2379">
        <v>237.6</v>
      </c>
      <c r="C2379" t="str">
        <f>IFERROR(VLOOKUP(B2379,'Pre-Summary'!$DI$6:$DM$23,4,FALSE),"")</f>
        <v/>
      </c>
      <c r="D2379" s="10" t="str">
        <f>IFERROR(VLOOKUP(B2379,'Pre-Summary'!$AT$6:$AX$14,5,FALSE),D2378)</f>
        <v>Wolfe v3: went back to modified wolfe + EDTA and switched CuSO4 to CUCl2</v>
      </c>
      <c r="E2379" s="10" t="str">
        <f>IFERROR(VLOOKUP(B2379,'Pre-Summary'!$AT$6:$AX$15,4,FALSE),"")</f>
        <v/>
      </c>
      <c r="F2379">
        <f>IFERROR(VLOOKUP(B2379,'Pre-Summary'!$AL$6:$AQ$13,6,FALSE),F2378)</f>
        <v>5.9405263157894746E-2</v>
      </c>
      <c r="G2379" t="str">
        <f>IFERROR(VLOOKUP(B2379,'Pre-Summary'!$AE$6:$AJ$85,3,FALSE),"")</f>
        <v/>
      </c>
      <c r="H2379" t="str">
        <f>IFERROR(VLOOKUP(B2379,'Pre-Summary'!$AE$6:$AJ$85,4,FALSE),"")</f>
        <v/>
      </c>
      <c r="I2379" t="str">
        <f>IFERROR(VLOOKUP(B2379,'Pre-Summary'!$AE$6:$AJ$85,5,FALSE),"")</f>
        <v/>
      </c>
      <c r="J2379" s="45" t="str">
        <f>IFERROR(VLOOKUP(B2379,'Pre-Summary'!$AE$6:$AJ$85,6, FALSE),"")</f>
        <v/>
      </c>
      <c r="K2379" s="45" t="str">
        <f>IFERROR(VLOOKUP(B2379,'Pre-Summary'!$DE$6:$DG$61,3,FALSE),"")</f>
        <v/>
      </c>
      <c r="L2379" s="45" t="str">
        <f>IFERROR(VLOOKUP(B2379,'Pre-Summary'!$CU$6:$CW$36,3,FALSE),"")</f>
        <v/>
      </c>
      <c r="M2379" s="45" t="str">
        <f>IFERROR(VLOOKUP(B2379,'Pre-Summary'!$BW$6:$BY$58,2,FALSE),"")</f>
        <v/>
      </c>
      <c r="N2379" s="45" t="str">
        <f>IFERROR(VLOOKUP(B2379,'Pre-Summary'!$CD$6:$CF$64,2,FALSE),"")</f>
        <v/>
      </c>
      <c r="O2379" s="99">
        <f>IFERROR(VLOOKUP(B2379,'Pre-Summary'!$BO$6:$BQ$48,3, FALSE),O2378)</f>
        <v>1.508</v>
      </c>
      <c r="P2379" s="99">
        <f>IFERROR(VLOOKUP(B2379,'Pre-Summary'!$BS$6:$BU$35,3,FALSE),P2378)</f>
        <v>0.379</v>
      </c>
      <c r="Q2379" s="54">
        <f t="shared" si="111"/>
        <v>3.9788918205804751</v>
      </c>
      <c r="R2379" s="53">
        <f>IFERROR(VLOOKUP(B2379,'Pre-Summary'!$BG$6:$BM$44,7,FALSE),R2380)</f>
        <v>0.10033855833824304</v>
      </c>
      <c r="S2379" s="53">
        <f>IFERROR(VLOOKUP(B2379,'Pre-Summary'!$BG$6:$BM$44,6,FALSE),S2380)</f>
        <v>9.2355104881156017E-2</v>
      </c>
      <c r="T2379" s="45" t="str">
        <f>IFERROR(VLOOKUP(B2379,'Pre-Summary'!$Y$6:$AC$83, 3,FALSE),"")</f>
        <v/>
      </c>
      <c r="U2379" s="45" t="str">
        <f>IFERROR(VLOOKUP(B2379,'Pre-Summary'!$Y$6:$AC$83, 4,FALSE),"")</f>
        <v/>
      </c>
      <c r="V2379" t="str">
        <f>IFERROR(VLOOKUP(B2379,'Pre-Summary'!$Y$6:$AC$83, 5,FALSE),"")</f>
        <v/>
      </c>
      <c r="W2379" s="45" t="str">
        <f>IFERROR(VLOOKUP(B2379,'Pre-Summary'!$Y$6:$AD$83,6,FALSE),"")</f>
        <v/>
      </c>
      <c r="X2379" t="str">
        <f>IFERROR(VLOOKUP('Pre-Summary'!$DB$6:$DD$63,3,FALSE),"")</f>
        <v/>
      </c>
      <c r="Y2379" t="str">
        <f>IFERROR(VLOOKUP(B2379,'Pre-Summary'!$CR$6:$CT$36,3,FALSE),"")</f>
        <v/>
      </c>
      <c r="Z2379" s="45" t="str">
        <f>IFERROR(VLOOKUP(B2379,'Pre-Summary'!$BZ$6:$CB$63,2,FALSE),"")</f>
        <v/>
      </c>
      <c r="AA2379" s="45" t="str">
        <f>IFERROR(VLOOKUP(B2379,'Pre-Summary'!$CG$6:$CI$70,2,FALSE),"")</f>
        <v/>
      </c>
      <c r="AB2379" s="99">
        <f>IFERROR(VLOOKUP(B2379,'Pre-Summary'!$A$6:$P$178,9,FALSE),AB2380)</f>
        <v>0.36135763747385435</v>
      </c>
      <c r="AC2379" s="10">
        <f>IFERROR(VLOOKUP(Summary!B2379,'Pre-Summary'!$A$6:$P$184,5, FALSE)/100,AC2380)</f>
        <v>0.95724033333333336</v>
      </c>
      <c r="AD2379" s="10">
        <f>IFERROR(VLOOKUP(Summary!B2379,'Pre-Summary'!$A$6:$P$184,3, FALSE)/100,AD2380)</f>
        <v>3.7687000000000005E-2</v>
      </c>
      <c r="AE2379" s="10">
        <f>IFERROR(VLOOKUP(Summary!B2379,'Pre-Summary'!$A$6:$P$184,7, FALSE)/100,AE2380)</f>
        <v>5.0666666666666672E-3</v>
      </c>
      <c r="AF2379" s="99">
        <f t="shared" si="112"/>
        <v>1.3618485283477151E-2</v>
      </c>
      <c r="AG2379" s="99">
        <f t="shared" si="113"/>
        <v>1.8308786965341955E-3</v>
      </c>
      <c r="AH2379" s="10" t="str">
        <f>IFERROR(VLOOKUP(B2379,'Pre-Summary'!$AZ$6:$BE$65,3,FALSE),"")</f>
        <v/>
      </c>
      <c r="AI2379" s="10" t="str">
        <f>IFERROR(VLOOKUP(B2379,'Pre-Summary'!$AZ$6:$BE$65,5,FALSE),"")</f>
        <v/>
      </c>
      <c r="AJ2379" s="10" t="str">
        <f>IFERROR(VLOOKUP(B2379,'Pre-Summary'!$AZ$6:$BE$65,4,FALSE),"")</f>
        <v/>
      </c>
      <c r="AK2379" s="10" t="str">
        <f>IFERROR(VLOOKUP(B2379,'Pre-Summary'!$AZ$6:$BE$65,6,FALSE),"")</f>
        <v/>
      </c>
      <c r="AL2379" s="10" t="str">
        <f>IFERROR(VLOOKUP(B2379,'Pre-Summary'!$BG$6:$BL$44,3,FALSE),"")</f>
        <v/>
      </c>
      <c r="AM2379" s="10" t="str">
        <f>IFERROR(VLOOKUP(B2379,'Pre-Summary'!$BG$6:$BL$44,4,FALSE),"")</f>
        <v/>
      </c>
    </row>
    <row r="2380" spans="2:39" ht="15" customHeight="1" x14ac:dyDescent="0.3">
      <c r="B2380">
        <v>237.7</v>
      </c>
      <c r="C2380" t="str">
        <f>IFERROR(VLOOKUP(B2380,'Pre-Summary'!$DI$6:$DM$23,4,FALSE),"")</f>
        <v/>
      </c>
      <c r="D2380" s="10" t="str">
        <f>IFERROR(VLOOKUP(B2380,'Pre-Summary'!$AT$6:$AX$14,5,FALSE),D2379)</f>
        <v>Wolfe v3: went back to modified wolfe + EDTA and switched CuSO4 to CUCl2</v>
      </c>
      <c r="E2380" s="10" t="str">
        <f>IFERROR(VLOOKUP(B2380,'Pre-Summary'!$AT$6:$AX$15,4,FALSE),"")</f>
        <v/>
      </c>
      <c r="F2380">
        <f>IFERROR(VLOOKUP(B2380,'Pre-Summary'!$AL$6:$AQ$13,6,FALSE),F2379)</f>
        <v>5.9405263157894746E-2</v>
      </c>
      <c r="G2380" t="str">
        <f>IFERROR(VLOOKUP(B2380,'Pre-Summary'!$AE$6:$AJ$85,3,FALSE),"")</f>
        <v/>
      </c>
      <c r="H2380" t="str">
        <f>IFERROR(VLOOKUP(B2380,'Pre-Summary'!$AE$6:$AJ$85,4,FALSE),"")</f>
        <v/>
      </c>
      <c r="I2380" t="str">
        <f>IFERROR(VLOOKUP(B2380,'Pre-Summary'!$AE$6:$AJ$85,5,FALSE),"")</f>
        <v/>
      </c>
      <c r="J2380" s="45" t="str">
        <f>IFERROR(VLOOKUP(B2380,'Pre-Summary'!$AE$6:$AJ$85,6, FALSE),"")</f>
        <v/>
      </c>
      <c r="K2380" s="45" t="str">
        <f>IFERROR(VLOOKUP(B2380,'Pre-Summary'!$DE$6:$DG$61,3,FALSE),"")</f>
        <v/>
      </c>
      <c r="L2380" s="45" t="str">
        <f>IFERROR(VLOOKUP(B2380,'Pre-Summary'!$CU$6:$CW$36,3,FALSE),"")</f>
        <v/>
      </c>
      <c r="M2380" s="45" t="str">
        <f>IFERROR(VLOOKUP(B2380,'Pre-Summary'!$BW$6:$BY$58,2,FALSE),"")</f>
        <v/>
      </c>
      <c r="N2380" s="45" t="str">
        <f>IFERROR(VLOOKUP(B2380,'Pre-Summary'!$CD$6:$CF$64,2,FALSE),"")</f>
        <v/>
      </c>
      <c r="O2380" s="99">
        <f>IFERROR(VLOOKUP(B2380,'Pre-Summary'!$BO$6:$BQ$48,3, FALSE),O2379)</f>
        <v>1.508</v>
      </c>
      <c r="P2380" s="99">
        <f>IFERROR(VLOOKUP(B2380,'Pre-Summary'!$BS$6:$BU$35,3,FALSE),P2379)</f>
        <v>0.379</v>
      </c>
      <c r="Q2380" s="54">
        <f t="shared" si="111"/>
        <v>3.9788918205804751</v>
      </c>
      <c r="R2380" s="53">
        <f>IFERROR(VLOOKUP(B2380,'Pre-Summary'!$BG$6:$BM$44,7,FALSE),R2381)</f>
        <v>0.10033855833824304</v>
      </c>
      <c r="S2380" s="53">
        <f>IFERROR(VLOOKUP(B2380,'Pre-Summary'!$BG$6:$BM$44,6,FALSE),S2381)</f>
        <v>9.2355104881156017E-2</v>
      </c>
      <c r="T2380" s="45" t="str">
        <f>IFERROR(VLOOKUP(B2380,'Pre-Summary'!$Y$6:$AC$83, 3,FALSE),"")</f>
        <v/>
      </c>
      <c r="U2380" s="45" t="str">
        <f>IFERROR(VLOOKUP(B2380,'Pre-Summary'!$Y$6:$AC$83, 4,FALSE),"")</f>
        <v/>
      </c>
      <c r="V2380" t="str">
        <f>IFERROR(VLOOKUP(B2380,'Pre-Summary'!$Y$6:$AC$83, 5,FALSE),"")</f>
        <v/>
      </c>
      <c r="W2380" s="45" t="str">
        <f>IFERROR(VLOOKUP(B2380,'Pre-Summary'!$Y$6:$AD$83,6,FALSE),"")</f>
        <v/>
      </c>
      <c r="X2380" t="str">
        <f>IFERROR(VLOOKUP('Pre-Summary'!$DB$6:$DD$63,3,FALSE),"")</f>
        <v/>
      </c>
      <c r="Y2380" t="str">
        <f>IFERROR(VLOOKUP(B2380,'Pre-Summary'!$CR$6:$CT$36,3,FALSE),"")</f>
        <v/>
      </c>
      <c r="Z2380" s="45" t="str">
        <f>IFERROR(VLOOKUP(B2380,'Pre-Summary'!$BZ$6:$CB$63,2,FALSE),"")</f>
        <v/>
      </c>
      <c r="AA2380" s="45" t="str">
        <f>IFERROR(VLOOKUP(B2380,'Pre-Summary'!$CG$6:$CI$70,2,FALSE),"")</f>
        <v/>
      </c>
      <c r="AB2380" s="99">
        <f>IFERROR(VLOOKUP(B2380,'Pre-Summary'!$A$6:$P$178,9,FALSE),AB2381)</f>
        <v>0.36135763747385435</v>
      </c>
      <c r="AC2380" s="10">
        <f>IFERROR(VLOOKUP(Summary!B2380,'Pre-Summary'!$A$6:$P$184,5, FALSE)/100,AC2381)</f>
        <v>0.95724033333333336</v>
      </c>
      <c r="AD2380" s="10">
        <f>IFERROR(VLOOKUP(Summary!B2380,'Pre-Summary'!$A$6:$P$184,3, FALSE)/100,AD2381)</f>
        <v>3.7687000000000005E-2</v>
      </c>
      <c r="AE2380" s="10">
        <f>IFERROR(VLOOKUP(Summary!B2380,'Pre-Summary'!$A$6:$P$184,7, FALSE)/100,AE2381)</f>
        <v>5.0666666666666672E-3</v>
      </c>
      <c r="AF2380" s="99">
        <f t="shared" si="112"/>
        <v>1.3618485283477151E-2</v>
      </c>
      <c r="AG2380" s="99">
        <f t="shared" si="113"/>
        <v>1.8308786965341955E-3</v>
      </c>
      <c r="AH2380" s="10" t="str">
        <f>IFERROR(VLOOKUP(B2380,'Pre-Summary'!$AZ$6:$BE$65,3,FALSE),"")</f>
        <v/>
      </c>
      <c r="AI2380" s="10" t="str">
        <f>IFERROR(VLOOKUP(B2380,'Pre-Summary'!$AZ$6:$BE$65,5,FALSE),"")</f>
        <v/>
      </c>
      <c r="AJ2380" s="10" t="str">
        <f>IFERROR(VLOOKUP(B2380,'Pre-Summary'!$AZ$6:$BE$65,4,FALSE),"")</f>
        <v/>
      </c>
      <c r="AK2380" s="10" t="str">
        <f>IFERROR(VLOOKUP(B2380,'Pre-Summary'!$AZ$6:$BE$65,6,FALSE),"")</f>
        <v/>
      </c>
      <c r="AL2380" s="10" t="str">
        <f>IFERROR(VLOOKUP(B2380,'Pre-Summary'!$BG$6:$BL$44,3,FALSE),"")</f>
        <v/>
      </c>
      <c r="AM2380" s="10" t="str">
        <f>IFERROR(VLOOKUP(B2380,'Pre-Summary'!$BG$6:$BL$44,4,FALSE),"")</f>
        <v/>
      </c>
    </row>
    <row r="2381" spans="2:39" ht="15" customHeight="1" x14ac:dyDescent="0.3">
      <c r="B2381">
        <v>237.8</v>
      </c>
      <c r="C2381" t="str">
        <f>IFERROR(VLOOKUP(B2381,'Pre-Summary'!$DI$6:$DM$23,4,FALSE),"")</f>
        <v/>
      </c>
      <c r="D2381" s="10" t="str">
        <f>IFERROR(VLOOKUP(B2381,'Pre-Summary'!$AT$6:$AX$14,5,FALSE),D2380)</f>
        <v>Wolfe v3: went back to modified wolfe + EDTA and switched CuSO4 to CUCl2</v>
      </c>
      <c r="E2381" s="10" t="str">
        <f>IFERROR(VLOOKUP(B2381,'Pre-Summary'!$AT$6:$AX$15,4,FALSE),"")</f>
        <v/>
      </c>
      <c r="F2381">
        <f>IFERROR(VLOOKUP(B2381,'Pre-Summary'!$AL$6:$AQ$13,6,FALSE),F2380)</f>
        <v>5.9405263157894746E-2</v>
      </c>
      <c r="G2381" t="str">
        <f>IFERROR(VLOOKUP(B2381,'Pre-Summary'!$AE$6:$AJ$85,3,FALSE),"")</f>
        <v/>
      </c>
      <c r="H2381" t="str">
        <f>IFERROR(VLOOKUP(B2381,'Pre-Summary'!$AE$6:$AJ$85,4,FALSE),"")</f>
        <v/>
      </c>
      <c r="I2381" t="str">
        <f>IFERROR(VLOOKUP(B2381,'Pre-Summary'!$AE$6:$AJ$85,5,FALSE),"")</f>
        <v/>
      </c>
      <c r="J2381" s="45" t="str">
        <f>IFERROR(VLOOKUP(B2381,'Pre-Summary'!$AE$6:$AJ$85,6, FALSE),"")</f>
        <v/>
      </c>
      <c r="K2381" s="45" t="str">
        <f>IFERROR(VLOOKUP(B2381,'Pre-Summary'!$DE$6:$DG$61,3,FALSE),"")</f>
        <v/>
      </c>
      <c r="L2381" s="45" t="str">
        <f>IFERROR(VLOOKUP(B2381,'Pre-Summary'!$CU$6:$CW$36,3,FALSE),"")</f>
        <v/>
      </c>
      <c r="M2381" s="45" t="str">
        <f>IFERROR(VLOOKUP(B2381,'Pre-Summary'!$BW$6:$BY$58,2,FALSE),"")</f>
        <v/>
      </c>
      <c r="N2381" s="45" t="str">
        <f>IFERROR(VLOOKUP(B2381,'Pre-Summary'!$CD$6:$CF$64,2,FALSE),"")</f>
        <v/>
      </c>
      <c r="O2381" s="99">
        <f>IFERROR(VLOOKUP(B2381,'Pre-Summary'!$BO$6:$BQ$48,3, FALSE),O2380)</f>
        <v>1.508</v>
      </c>
      <c r="P2381" s="99">
        <f>IFERROR(VLOOKUP(B2381,'Pre-Summary'!$BS$6:$BU$35,3,FALSE),P2380)</f>
        <v>0.379</v>
      </c>
      <c r="Q2381" s="54">
        <f t="shared" si="111"/>
        <v>3.9788918205804751</v>
      </c>
      <c r="R2381" s="53">
        <f>IFERROR(VLOOKUP(B2381,'Pre-Summary'!$BG$6:$BM$44,7,FALSE),R2382)</f>
        <v>0.10033855833824304</v>
      </c>
      <c r="S2381" s="53">
        <f>IFERROR(VLOOKUP(B2381,'Pre-Summary'!$BG$6:$BM$44,6,FALSE),S2382)</f>
        <v>9.2355104881156017E-2</v>
      </c>
      <c r="T2381" s="45" t="str">
        <f>IFERROR(VLOOKUP(B2381,'Pre-Summary'!$Y$6:$AC$83, 3,FALSE),"")</f>
        <v/>
      </c>
      <c r="U2381" s="45" t="str">
        <f>IFERROR(VLOOKUP(B2381,'Pre-Summary'!$Y$6:$AC$83, 4,FALSE),"")</f>
        <v/>
      </c>
      <c r="V2381" t="str">
        <f>IFERROR(VLOOKUP(B2381,'Pre-Summary'!$Y$6:$AC$83, 5,FALSE),"")</f>
        <v/>
      </c>
      <c r="W2381" s="45" t="str">
        <f>IFERROR(VLOOKUP(B2381,'Pre-Summary'!$Y$6:$AD$83,6,FALSE),"")</f>
        <v/>
      </c>
      <c r="X2381" t="str">
        <f>IFERROR(VLOOKUP('Pre-Summary'!$DB$6:$DD$63,3,FALSE),"")</f>
        <v/>
      </c>
      <c r="Y2381" t="str">
        <f>IFERROR(VLOOKUP(B2381,'Pre-Summary'!$CR$6:$CT$36,3,FALSE),"")</f>
        <v/>
      </c>
      <c r="Z2381" s="45" t="str">
        <f>IFERROR(VLOOKUP(B2381,'Pre-Summary'!$BZ$6:$CB$63,2,FALSE),"")</f>
        <v/>
      </c>
      <c r="AA2381" s="45" t="str">
        <f>IFERROR(VLOOKUP(B2381,'Pre-Summary'!$CG$6:$CI$70,2,FALSE),"")</f>
        <v/>
      </c>
      <c r="AB2381" s="99">
        <f>IFERROR(VLOOKUP(B2381,'Pre-Summary'!$A$6:$P$178,9,FALSE),AB2382)</f>
        <v>0.36135763747385435</v>
      </c>
      <c r="AC2381" s="10">
        <f>IFERROR(VLOOKUP(Summary!B2381,'Pre-Summary'!$A$6:$P$184,5, FALSE)/100,AC2382)</f>
        <v>0.95724033333333336</v>
      </c>
      <c r="AD2381" s="10">
        <f>IFERROR(VLOOKUP(Summary!B2381,'Pre-Summary'!$A$6:$P$184,3, FALSE)/100,AD2382)</f>
        <v>3.7687000000000005E-2</v>
      </c>
      <c r="AE2381" s="10">
        <f>IFERROR(VLOOKUP(Summary!B2381,'Pre-Summary'!$A$6:$P$184,7, FALSE)/100,AE2382)</f>
        <v>5.0666666666666672E-3</v>
      </c>
      <c r="AF2381" s="99">
        <f t="shared" si="112"/>
        <v>1.3618485283477151E-2</v>
      </c>
      <c r="AG2381" s="99">
        <f t="shared" si="113"/>
        <v>1.8308786965341955E-3</v>
      </c>
      <c r="AH2381" s="10" t="str">
        <f>IFERROR(VLOOKUP(B2381,'Pre-Summary'!$AZ$6:$BE$65,3,FALSE),"")</f>
        <v/>
      </c>
      <c r="AI2381" s="10" t="str">
        <f>IFERROR(VLOOKUP(B2381,'Pre-Summary'!$AZ$6:$BE$65,5,FALSE),"")</f>
        <v/>
      </c>
      <c r="AJ2381" s="10" t="str">
        <f>IFERROR(VLOOKUP(B2381,'Pre-Summary'!$AZ$6:$BE$65,4,FALSE),"")</f>
        <v/>
      </c>
      <c r="AK2381" s="10" t="str">
        <f>IFERROR(VLOOKUP(B2381,'Pre-Summary'!$AZ$6:$BE$65,6,FALSE),"")</f>
        <v/>
      </c>
      <c r="AL2381" s="10" t="str">
        <f>IFERROR(VLOOKUP(B2381,'Pre-Summary'!$BG$6:$BL$44,3,FALSE),"")</f>
        <v/>
      </c>
      <c r="AM2381" s="10" t="str">
        <f>IFERROR(VLOOKUP(B2381,'Pre-Summary'!$BG$6:$BL$44,4,FALSE),"")</f>
        <v/>
      </c>
    </row>
    <row r="2382" spans="2:39" ht="15" customHeight="1" x14ac:dyDescent="0.3">
      <c r="B2382">
        <v>237.9</v>
      </c>
      <c r="C2382" t="str">
        <f>IFERROR(VLOOKUP(B2382,'Pre-Summary'!$DI$6:$DM$23,4,FALSE),"")</f>
        <v/>
      </c>
      <c r="D2382" s="10" t="str">
        <f>IFERROR(VLOOKUP(B2382,'Pre-Summary'!$AT$6:$AX$14,5,FALSE),D2381)</f>
        <v>Wolfe v3: went back to modified wolfe + EDTA and switched CuSO4 to CUCl2</v>
      </c>
      <c r="E2382" s="10" t="str">
        <f>IFERROR(VLOOKUP(B2382,'Pre-Summary'!$AT$6:$AX$15,4,FALSE),"")</f>
        <v/>
      </c>
      <c r="F2382">
        <f>IFERROR(VLOOKUP(B2382,'Pre-Summary'!$AL$6:$AQ$13,6,FALSE),F2381)</f>
        <v>5.9405263157894746E-2</v>
      </c>
      <c r="G2382" t="str">
        <f>IFERROR(VLOOKUP(B2382,'Pre-Summary'!$AE$6:$AJ$85,3,FALSE),"")</f>
        <v/>
      </c>
      <c r="H2382" t="str">
        <f>IFERROR(VLOOKUP(B2382,'Pre-Summary'!$AE$6:$AJ$85,4,FALSE),"")</f>
        <v/>
      </c>
      <c r="I2382" t="str">
        <f>IFERROR(VLOOKUP(B2382,'Pre-Summary'!$AE$6:$AJ$85,5,FALSE),"")</f>
        <v/>
      </c>
      <c r="J2382" s="45" t="str">
        <f>IFERROR(VLOOKUP(B2382,'Pre-Summary'!$AE$6:$AJ$85,6, FALSE),"")</f>
        <v/>
      </c>
      <c r="K2382" s="45" t="str">
        <f>IFERROR(VLOOKUP(B2382,'Pre-Summary'!$DE$6:$DG$61,3,FALSE),"")</f>
        <v/>
      </c>
      <c r="L2382" s="45" t="str">
        <f>IFERROR(VLOOKUP(B2382,'Pre-Summary'!$CU$6:$CW$36,3,FALSE),"")</f>
        <v/>
      </c>
      <c r="M2382" s="45" t="str">
        <f>IFERROR(VLOOKUP(B2382,'Pre-Summary'!$BW$6:$BY$58,2,FALSE),"")</f>
        <v/>
      </c>
      <c r="N2382" s="45" t="str">
        <f>IFERROR(VLOOKUP(B2382,'Pre-Summary'!$CD$6:$CF$64,2,FALSE),"")</f>
        <v/>
      </c>
      <c r="O2382" s="99">
        <f>IFERROR(VLOOKUP(B2382,'Pre-Summary'!$BO$6:$BQ$48,3, FALSE),O2381)</f>
        <v>1.508</v>
      </c>
      <c r="P2382" s="99">
        <f>IFERROR(VLOOKUP(B2382,'Pre-Summary'!$BS$6:$BU$35,3,FALSE),P2381)</f>
        <v>0.379</v>
      </c>
      <c r="Q2382" s="54">
        <f t="shared" si="111"/>
        <v>3.9788918205804751</v>
      </c>
      <c r="R2382" s="53">
        <f>IFERROR(VLOOKUP(B2382,'Pre-Summary'!$BG$6:$BM$44,7,FALSE),R2383)</f>
        <v>0.10033855833824304</v>
      </c>
      <c r="S2382" s="53">
        <f>IFERROR(VLOOKUP(B2382,'Pre-Summary'!$BG$6:$BM$44,6,FALSE),S2383)</f>
        <v>9.2355104881156017E-2</v>
      </c>
      <c r="T2382" s="45" t="str">
        <f>IFERROR(VLOOKUP(B2382,'Pre-Summary'!$Y$6:$AC$83, 3,FALSE),"")</f>
        <v/>
      </c>
      <c r="U2382" s="45" t="str">
        <f>IFERROR(VLOOKUP(B2382,'Pre-Summary'!$Y$6:$AC$83, 4,FALSE),"")</f>
        <v/>
      </c>
      <c r="V2382" t="str">
        <f>IFERROR(VLOOKUP(B2382,'Pre-Summary'!$Y$6:$AC$83, 5,FALSE),"")</f>
        <v/>
      </c>
      <c r="W2382" s="45" t="str">
        <f>IFERROR(VLOOKUP(B2382,'Pre-Summary'!$Y$6:$AD$83,6,FALSE),"")</f>
        <v/>
      </c>
      <c r="X2382" t="str">
        <f>IFERROR(VLOOKUP('Pre-Summary'!$DB$6:$DD$63,3,FALSE),"")</f>
        <v/>
      </c>
      <c r="Y2382" t="str">
        <f>IFERROR(VLOOKUP(B2382,'Pre-Summary'!$CR$6:$CT$36,3,FALSE),"")</f>
        <v/>
      </c>
      <c r="Z2382" s="45" t="str">
        <f>IFERROR(VLOOKUP(B2382,'Pre-Summary'!$BZ$6:$CB$63,2,FALSE),"")</f>
        <v/>
      </c>
      <c r="AA2382" s="45" t="str">
        <f>IFERROR(VLOOKUP(B2382,'Pre-Summary'!$CG$6:$CI$70,2,FALSE),"")</f>
        <v/>
      </c>
      <c r="AB2382" s="99">
        <f>IFERROR(VLOOKUP(B2382,'Pre-Summary'!$A$6:$P$178,9,FALSE),AB2383)</f>
        <v>0.36135763747385435</v>
      </c>
      <c r="AC2382" s="10">
        <f>IFERROR(VLOOKUP(Summary!B2382,'Pre-Summary'!$A$6:$P$184,5, FALSE)/100,AC2383)</f>
        <v>0.95724033333333336</v>
      </c>
      <c r="AD2382" s="10">
        <f>IFERROR(VLOOKUP(Summary!B2382,'Pre-Summary'!$A$6:$P$184,3, FALSE)/100,AD2383)</f>
        <v>3.7687000000000005E-2</v>
      </c>
      <c r="AE2382" s="10">
        <f>IFERROR(VLOOKUP(Summary!B2382,'Pre-Summary'!$A$6:$P$184,7, FALSE)/100,AE2383)</f>
        <v>5.0666666666666672E-3</v>
      </c>
      <c r="AF2382" s="99">
        <f t="shared" si="112"/>
        <v>1.3618485283477151E-2</v>
      </c>
      <c r="AG2382" s="99">
        <f t="shared" si="113"/>
        <v>1.8308786965341955E-3</v>
      </c>
      <c r="AH2382" s="10" t="str">
        <f>IFERROR(VLOOKUP(B2382,'Pre-Summary'!$AZ$6:$BE$65,3,FALSE),"")</f>
        <v/>
      </c>
      <c r="AI2382" s="10" t="str">
        <f>IFERROR(VLOOKUP(B2382,'Pre-Summary'!$AZ$6:$BE$65,5,FALSE),"")</f>
        <v/>
      </c>
      <c r="AJ2382" s="10" t="str">
        <f>IFERROR(VLOOKUP(B2382,'Pre-Summary'!$AZ$6:$BE$65,4,FALSE),"")</f>
        <v/>
      </c>
      <c r="AK2382" s="10" t="str">
        <f>IFERROR(VLOOKUP(B2382,'Pre-Summary'!$AZ$6:$BE$65,6,FALSE),"")</f>
        <v/>
      </c>
      <c r="AL2382" s="10" t="str">
        <f>IFERROR(VLOOKUP(B2382,'Pre-Summary'!$BG$6:$BL$44,3,FALSE),"")</f>
        <v/>
      </c>
      <c r="AM2382" s="10" t="str">
        <f>IFERROR(VLOOKUP(B2382,'Pre-Summary'!$BG$6:$BL$44,4,FALSE),"")</f>
        <v/>
      </c>
    </row>
    <row r="2383" spans="2:39" ht="15" customHeight="1" x14ac:dyDescent="0.3">
      <c r="B2383">
        <v>238</v>
      </c>
      <c r="C2383" t="str">
        <f>IFERROR(VLOOKUP(B2383,'Pre-Summary'!$DI$6:$DM$23,4,FALSE),"")</f>
        <v>N12</v>
      </c>
      <c r="D2383" s="10" t="str">
        <f>IFERROR(VLOOKUP(B2383,'Pre-Summary'!$AT$6:$AX$14,5,FALSE),D2382)</f>
        <v>Wolfe v3: went back to modified wolfe + EDTA and switched CuSO4 to CUCl2</v>
      </c>
      <c r="E2383" s="10" t="str">
        <f>IFERROR(VLOOKUP(B2383,'Pre-Summary'!$AT$6:$AX$15,4,FALSE),"")</f>
        <v/>
      </c>
      <c r="F2383">
        <f>IFERROR(VLOOKUP(B2383,'Pre-Summary'!$AL$6:$AQ$13,6,FALSE),F2382)</f>
        <v>5.9405263157894746E-2</v>
      </c>
      <c r="G2383" t="str">
        <f>IFERROR(VLOOKUP(B2383,'Pre-Summary'!$AE$6:$AJ$85,3,FALSE),"")</f>
        <v/>
      </c>
      <c r="H2383" t="str">
        <f>IFERROR(VLOOKUP(B2383,'Pre-Summary'!$AE$6:$AJ$85,4,FALSE),"")</f>
        <v/>
      </c>
      <c r="I2383" t="str">
        <f>IFERROR(VLOOKUP(B2383,'Pre-Summary'!$AE$6:$AJ$85,5,FALSE),"")</f>
        <v/>
      </c>
      <c r="J2383" s="45" t="str">
        <f>IFERROR(VLOOKUP(B2383,'Pre-Summary'!$AE$6:$AJ$85,6, FALSE),"")</f>
        <v/>
      </c>
      <c r="K2383" s="45" t="str">
        <f>IFERROR(VLOOKUP(B2383,'Pre-Summary'!$DE$6:$DG$61,3,FALSE),"")</f>
        <v/>
      </c>
      <c r="L2383" s="45" t="str">
        <f>IFERROR(VLOOKUP(B2383,'Pre-Summary'!$CU$6:$CW$36,3,FALSE),"")</f>
        <v/>
      </c>
      <c r="M2383" s="45" t="str">
        <f>IFERROR(VLOOKUP(B2383,'Pre-Summary'!$BW$6:$BY$58,2,FALSE),"")</f>
        <v/>
      </c>
      <c r="N2383" s="45" t="str">
        <f>IFERROR(VLOOKUP(B2383,'Pre-Summary'!$CD$6:$CF$64,2,FALSE),"")</f>
        <v/>
      </c>
      <c r="O2383" s="99">
        <f>IFERROR(VLOOKUP(B2383,'Pre-Summary'!$BO$6:$BQ$48,3, FALSE),O2382)</f>
        <v>1.508</v>
      </c>
      <c r="P2383" s="99">
        <f>IFERROR(VLOOKUP(B2383,'Pre-Summary'!$BS$6:$BU$35,3,FALSE),P2382)</f>
        <v>0.379</v>
      </c>
      <c r="Q2383" s="54">
        <f t="shared" si="111"/>
        <v>3.9788918205804751</v>
      </c>
      <c r="R2383" s="53">
        <f>IFERROR(VLOOKUP(B2383,'Pre-Summary'!$BG$6:$BM$44,7,FALSE),R2384)</f>
        <v>0.10033855833824304</v>
      </c>
      <c r="S2383" s="53">
        <f>IFERROR(VLOOKUP(B2383,'Pre-Summary'!$BG$6:$BM$44,6,FALSE),S2384)</f>
        <v>9.2355104881156017E-2</v>
      </c>
      <c r="T2383" s="45" t="str">
        <f>IFERROR(VLOOKUP(B2383,'Pre-Summary'!$Y$6:$AC$83, 3,FALSE),"")</f>
        <v/>
      </c>
      <c r="U2383" s="45" t="str">
        <f>IFERROR(VLOOKUP(B2383,'Pre-Summary'!$Y$6:$AC$83, 4,FALSE),"")</f>
        <v/>
      </c>
      <c r="V2383" t="str">
        <f>IFERROR(VLOOKUP(B2383,'Pre-Summary'!$Y$6:$AC$83, 5,FALSE),"")</f>
        <v/>
      </c>
      <c r="W2383" s="45" t="str">
        <f>IFERROR(VLOOKUP(B2383,'Pre-Summary'!$Y$6:$AD$83,6,FALSE),"")</f>
        <v/>
      </c>
      <c r="X2383" t="str">
        <f>IFERROR(VLOOKUP('Pre-Summary'!$DB$6:$DD$63,3,FALSE),"")</f>
        <v/>
      </c>
      <c r="Y2383" t="str">
        <f>IFERROR(VLOOKUP(B2383,'Pre-Summary'!$CR$6:$CT$36,3,FALSE),"")</f>
        <v/>
      </c>
      <c r="Z2383" s="45" t="str">
        <f>IFERROR(VLOOKUP(B2383,'Pre-Summary'!$BZ$6:$CB$63,2,FALSE),"")</f>
        <v/>
      </c>
      <c r="AA2383" s="45" t="str">
        <f>IFERROR(VLOOKUP(B2383,'Pre-Summary'!$CG$6:$CI$70,2,FALSE),"")</f>
        <v/>
      </c>
      <c r="AB2383" s="99">
        <f>IFERROR(VLOOKUP(B2383,'Pre-Summary'!$A$6:$P$178,9,FALSE),AB2384)</f>
        <v>0.38366504783087224</v>
      </c>
      <c r="AC2383" s="10">
        <f>IFERROR(VLOOKUP(Summary!B2383,'Pre-Summary'!$A$6:$P$184,5, FALSE)/100,AC2384)</f>
        <v>0.95182900000000004</v>
      </c>
      <c r="AD2383" s="10">
        <f>IFERROR(VLOOKUP(Summary!B2383,'Pre-Summary'!$A$6:$P$184,3, FALSE)/100,AD2384)</f>
        <v>4.3159666666666673E-2</v>
      </c>
      <c r="AE2383" s="10">
        <f>IFERROR(VLOOKUP(Summary!B2383,'Pre-Summary'!$A$6:$P$184,7, FALSE)/100,AE2384)</f>
        <v>5.0109999999999998E-3</v>
      </c>
      <c r="AF2383" s="99">
        <f t="shared" si="112"/>
        <v>1.6558855576031171E-2</v>
      </c>
      <c r="AG2383" s="99">
        <f t="shared" si="113"/>
        <v>1.9225455546805006E-3</v>
      </c>
      <c r="AH2383" s="10" t="str">
        <f>IFERROR(VLOOKUP(B2383,'Pre-Summary'!$AZ$6:$BE$65,3,FALSE),"")</f>
        <v/>
      </c>
      <c r="AI2383" s="10" t="str">
        <f>IFERROR(VLOOKUP(B2383,'Pre-Summary'!$AZ$6:$BE$65,5,FALSE),"")</f>
        <v/>
      </c>
      <c r="AJ2383" s="10" t="str">
        <f>IFERROR(VLOOKUP(B2383,'Pre-Summary'!$AZ$6:$BE$65,4,FALSE),"")</f>
        <v/>
      </c>
      <c r="AK2383" s="10" t="str">
        <f>IFERROR(VLOOKUP(B2383,'Pre-Summary'!$AZ$6:$BE$65,6,FALSE),"")</f>
        <v/>
      </c>
      <c r="AL2383" s="10" t="str">
        <f>IFERROR(VLOOKUP(B2383,'Pre-Summary'!$BG$6:$BL$44,3,FALSE),"")</f>
        <v/>
      </c>
      <c r="AM2383" s="10" t="str">
        <f>IFERROR(VLOOKUP(B2383,'Pre-Summary'!$BG$6:$BL$44,4,FALSE),"")</f>
        <v/>
      </c>
    </row>
    <row r="2384" spans="2:39" ht="15" customHeight="1" x14ac:dyDescent="0.3">
      <c r="B2384">
        <v>238.1</v>
      </c>
      <c r="C2384" t="str">
        <f>IFERROR(VLOOKUP(B2384,'Pre-Summary'!$DI$6:$DM$23,4,FALSE),"")</f>
        <v/>
      </c>
      <c r="D2384" s="10" t="str">
        <f>IFERROR(VLOOKUP(B2384,'Pre-Summary'!$AT$6:$AX$14,5,FALSE),D2383)</f>
        <v>Wolfe v3: went back to modified wolfe + EDTA and switched CuSO4 to CUCl2</v>
      </c>
      <c r="E2384" s="10" t="str">
        <f>IFERROR(VLOOKUP(B2384,'Pre-Summary'!$AT$6:$AX$15,4,FALSE),"")</f>
        <v/>
      </c>
      <c r="F2384">
        <f>IFERROR(VLOOKUP(B2384,'Pre-Summary'!$AL$6:$AQ$13,6,FALSE),F2383)</f>
        <v>5.9405263157894746E-2</v>
      </c>
      <c r="G2384" t="str">
        <f>IFERROR(VLOOKUP(B2384,'Pre-Summary'!$AE$6:$AJ$85,3,FALSE),"")</f>
        <v/>
      </c>
      <c r="H2384" t="str">
        <f>IFERROR(VLOOKUP(B2384,'Pre-Summary'!$AE$6:$AJ$85,4,FALSE),"")</f>
        <v/>
      </c>
      <c r="I2384" t="str">
        <f>IFERROR(VLOOKUP(B2384,'Pre-Summary'!$AE$6:$AJ$85,5,FALSE),"")</f>
        <v/>
      </c>
      <c r="J2384" s="45" t="str">
        <f>IFERROR(VLOOKUP(B2384,'Pre-Summary'!$AE$6:$AJ$85,6, FALSE),"")</f>
        <v/>
      </c>
      <c r="K2384" s="45" t="str">
        <f>IFERROR(VLOOKUP(B2384,'Pre-Summary'!$DE$6:$DG$61,3,FALSE),"")</f>
        <v/>
      </c>
      <c r="L2384" s="45" t="str">
        <f>IFERROR(VLOOKUP(B2384,'Pre-Summary'!$CU$6:$CW$36,3,FALSE),"")</f>
        <v/>
      </c>
      <c r="M2384" s="45" t="str">
        <f>IFERROR(VLOOKUP(B2384,'Pre-Summary'!$BW$6:$BY$58,2,FALSE),"")</f>
        <v/>
      </c>
      <c r="N2384" s="45" t="str">
        <f>IFERROR(VLOOKUP(B2384,'Pre-Summary'!$CD$6:$CF$64,2,FALSE),"")</f>
        <v/>
      </c>
      <c r="O2384" s="99">
        <f>IFERROR(VLOOKUP(B2384,'Pre-Summary'!$BO$6:$BQ$48,3, FALSE),O2383)</f>
        <v>1.508</v>
      </c>
      <c r="P2384" s="99">
        <f>IFERROR(VLOOKUP(B2384,'Pre-Summary'!$BS$6:$BU$35,3,FALSE),P2383)</f>
        <v>0.379</v>
      </c>
      <c r="Q2384" s="54">
        <f t="shared" si="111"/>
        <v>3.9788918205804751</v>
      </c>
      <c r="R2384" s="53">
        <f>IFERROR(VLOOKUP(B2384,'Pre-Summary'!$BG$6:$BM$44,7,FALSE),R2385)</f>
        <v>0.10033855833824304</v>
      </c>
      <c r="S2384" s="53">
        <f>IFERROR(VLOOKUP(B2384,'Pre-Summary'!$BG$6:$BM$44,6,FALSE),S2385)</f>
        <v>9.2355104881156017E-2</v>
      </c>
      <c r="T2384" s="45" t="str">
        <f>IFERROR(VLOOKUP(B2384,'Pre-Summary'!$Y$6:$AC$83, 3,FALSE),"")</f>
        <v/>
      </c>
      <c r="U2384" s="45" t="str">
        <f>IFERROR(VLOOKUP(B2384,'Pre-Summary'!$Y$6:$AC$83, 4,FALSE),"")</f>
        <v/>
      </c>
      <c r="V2384" t="str">
        <f>IFERROR(VLOOKUP(B2384,'Pre-Summary'!$Y$6:$AC$83, 5,FALSE),"")</f>
        <v/>
      </c>
      <c r="W2384" s="45" t="str">
        <f>IFERROR(VLOOKUP(B2384,'Pre-Summary'!$Y$6:$AD$83,6,FALSE),"")</f>
        <v/>
      </c>
      <c r="X2384" t="str">
        <f>IFERROR(VLOOKUP('Pre-Summary'!$DB$6:$DD$63,3,FALSE),"")</f>
        <v/>
      </c>
      <c r="Y2384" t="str">
        <f>IFERROR(VLOOKUP(B2384,'Pre-Summary'!$CR$6:$CT$36,3,FALSE),"")</f>
        <v/>
      </c>
      <c r="Z2384" s="45" t="str">
        <f>IFERROR(VLOOKUP(B2384,'Pre-Summary'!$BZ$6:$CB$63,2,FALSE),"")</f>
        <v/>
      </c>
      <c r="AA2384" s="45" t="str">
        <f>IFERROR(VLOOKUP(B2384,'Pre-Summary'!$CG$6:$CI$70,2,FALSE),"")</f>
        <v/>
      </c>
      <c r="AB2384" s="99">
        <f>IFERROR(VLOOKUP(B2384,'Pre-Summary'!$A$6:$P$178,9,FALSE),AB2385)</f>
        <v>0.38366504783087224</v>
      </c>
      <c r="AC2384" s="10">
        <f>IFERROR(VLOOKUP(Summary!B2384,'Pre-Summary'!$A$6:$P$184,5, FALSE)/100,AC2385)</f>
        <v>0.95182900000000004</v>
      </c>
      <c r="AD2384" s="10">
        <f>IFERROR(VLOOKUP(Summary!B2384,'Pre-Summary'!$A$6:$P$184,3, FALSE)/100,AD2385)</f>
        <v>4.3159666666666673E-2</v>
      </c>
      <c r="AE2384" s="10">
        <f>IFERROR(VLOOKUP(Summary!B2384,'Pre-Summary'!$A$6:$P$184,7, FALSE)/100,AE2385)</f>
        <v>5.0109999999999998E-3</v>
      </c>
      <c r="AF2384" s="99">
        <f t="shared" si="112"/>
        <v>1.6558855576031171E-2</v>
      </c>
      <c r="AG2384" s="99">
        <f t="shared" si="113"/>
        <v>1.9225455546805006E-3</v>
      </c>
      <c r="AH2384" s="10" t="str">
        <f>IFERROR(VLOOKUP(B2384,'Pre-Summary'!$AZ$6:$BE$65,3,FALSE),"")</f>
        <v/>
      </c>
      <c r="AI2384" s="10" t="str">
        <f>IFERROR(VLOOKUP(B2384,'Pre-Summary'!$AZ$6:$BE$65,5,FALSE),"")</f>
        <v/>
      </c>
      <c r="AJ2384" s="10" t="str">
        <f>IFERROR(VLOOKUP(B2384,'Pre-Summary'!$AZ$6:$BE$65,4,FALSE),"")</f>
        <v/>
      </c>
      <c r="AK2384" s="10" t="str">
        <f>IFERROR(VLOOKUP(B2384,'Pre-Summary'!$AZ$6:$BE$65,6,FALSE),"")</f>
        <v/>
      </c>
      <c r="AL2384" s="10" t="str">
        <f>IFERROR(VLOOKUP(B2384,'Pre-Summary'!$BG$6:$BL$44,3,FALSE),"")</f>
        <v/>
      </c>
      <c r="AM2384" s="10" t="str">
        <f>IFERROR(VLOOKUP(B2384,'Pre-Summary'!$BG$6:$BL$44,4,FALSE),"")</f>
        <v/>
      </c>
    </row>
    <row r="2385" spans="2:39" ht="15" customHeight="1" x14ac:dyDescent="0.3">
      <c r="B2385">
        <v>238.2</v>
      </c>
      <c r="C2385" t="str">
        <f>IFERROR(VLOOKUP(B2385,'Pre-Summary'!$DI$6:$DM$23,4,FALSE),"")</f>
        <v/>
      </c>
      <c r="D2385" s="10" t="str">
        <f>IFERROR(VLOOKUP(B2385,'Pre-Summary'!$AT$6:$AX$14,5,FALSE),D2384)</f>
        <v>Wolfe v3: went back to modified wolfe + EDTA and switched CuSO4 to CUCl2</v>
      </c>
      <c r="E2385" s="10" t="str">
        <f>IFERROR(VLOOKUP(B2385,'Pre-Summary'!$AT$6:$AX$15,4,FALSE),"")</f>
        <v/>
      </c>
      <c r="F2385">
        <f>IFERROR(VLOOKUP(B2385,'Pre-Summary'!$AL$6:$AQ$13,6,FALSE),F2384)</f>
        <v>5.9405263157894746E-2</v>
      </c>
      <c r="G2385" t="str">
        <f>IFERROR(VLOOKUP(B2385,'Pre-Summary'!$AE$6:$AJ$85,3,FALSE),"")</f>
        <v/>
      </c>
      <c r="H2385" t="str">
        <f>IFERROR(VLOOKUP(B2385,'Pre-Summary'!$AE$6:$AJ$85,4,FALSE),"")</f>
        <v/>
      </c>
      <c r="I2385" t="str">
        <f>IFERROR(VLOOKUP(B2385,'Pre-Summary'!$AE$6:$AJ$85,5,FALSE),"")</f>
        <v/>
      </c>
      <c r="J2385" s="45" t="str">
        <f>IFERROR(VLOOKUP(B2385,'Pre-Summary'!$AE$6:$AJ$85,6, FALSE),"")</f>
        <v/>
      </c>
      <c r="K2385" s="45" t="str">
        <f>IFERROR(VLOOKUP(B2385,'Pre-Summary'!$DE$6:$DG$61,3,FALSE),"")</f>
        <v/>
      </c>
      <c r="L2385" s="45" t="str">
        <f>IFERROR(VLOOKUP(B2385,'Pre-Summary'!$CU$6:$CW$36,3,FALSE),"")</f>
        <v/>
      </c>
      <c r="M2385" s="45" t="str">
        <f>IFERROR(VLOOKUP(B2385,'Pre-Summary'!$BW$6:$BY$58,2,FALSE),"")</f>
        <v/>
      </c>
      <c r="N2385" s="45" t="str">
        <f>IFERROR(VLOOKUP(B2385,'Pre-Summary'!$CD$6:$CF$64,2,FALSE),"")</f>
        <v/>
      </c>
      <c r="O2385" s="99">
        <f>IFERROR(VLOOKUP(B2385,'Pre-Summary'!$BO$6:$BQ$48,3, FALSE),O2384)</f>
        <v>1.508</v>
      </c>
      <c r="P2385" s="99">
        <f>IFERROR(VLOOKUP(B2385,'Pre-Summary'!$BS$6:$BU$35,3,FALSE),P2384)</f>
        <v>0.379</v>
      </c>
      <c r="Q2385" s="54">
        <f t="shared" si="111"/>
        <v>3.9788918205804751</v>
      </c>
      <c r="R2385" s="53">
        <f>IFERROR(VLOOKUP(B2385,'Pre-Summary'!$BG$6:$BM$44,7,FALSE),R2386)</f>
        <v>0.10033855833824304</v>
      </c>
      <c r="S2385" s="53">
        <f>IFERROR(VLOOKUP(B2385,'Pre-Summary'!$BG$6:$BM$44,6,FALSE),S2386)</f>
        <v>9.2355104881156017E-2</v>
      </c>
      <c r="T2385" s="45" t="str">
        <f>IFERROR(VLOOKUP(B2385,'Pre-Summary'!$Y$6:$AC$83, 3,FALSE),"")</f>
        <v/>
      </c>
      <c r="U2385" s="45" t="str">
        <f>IFERROR(VLOOKUP(B2385,'Pre-Summary'!$Y$6:$AC$83, 4,FALSE),"")</f>
        <v/>
      </c>
      <c r="V2385" t="str">
        <f>IFERROR(VLOOKUP(B2385,'Pre-Summary'!$Y$6:$AC$83, 5,FALSE),"")</f>
        <v/>
      </c>
      <c r="W2385" s="45" t="str">
        <f>IFERROR(VLOOKUP(B2385,'Pre-Summary'!$Y$6:$AD$83,6,FALSE),"")</f>
        <v/>
      </c>
      <c r="X2385" t="str">
        <f>IFERROR(VLOOKUP('Pre-Summary'!$DB$6:$DD$63,3,FALSE),"")</f>
        <v/>
      </c>
      <c r="Y2385" t="str">
        <f>IFERROR(VLOOKUP(B2385,'Pre-Summary'!$CR$6:$CT$36,3,FALSE),"")</f>
        <v/>
      </c>
      <c r="Z2385" s="45" t="str">
        <f>IFERROR(VLOOKUP(B2385,'Pre-Summary'!$BZ$6:$CB$63,2,FALSE),"")</f>
        <v/>
      </c>
      <c r="AA2385" s="45" t="str">
        <f>IFERROR(VLOOKUP(B2385,'Pre-Summary'!$CG$6:$CI$70,2,FALSE),"")</f>
        <v/>
      </c>
      <c r="AB2385" s="99">
        <f>IFERROR(VLOOKUP(B2385,'Pre-Summary'!$A$6:$P$178,9,FALSE),AB2386)</f>
        <v>0.38366504783087224</v>
      </c>
      <c r="AC2385" s="10">
        <f>IFERROR(VLOOKUP(Summary!B2385,'Pre-Summary'!$A$6:$P$184,5, FALSE)/100,AC2386)</f>
        <v>0.95182900000000004</v>
      </c>
      <c r="AD2385" s="10">
        <f>IFERROR(VLOOKUP(Summary!B2385,'Pre-Summary'!$A$6:$P$184,3, FALSE)/100,AD2386)</f>
        <v>4.3159666666666673E-2</v>
      </c>
      <c r="AE2385" s="10">
        <f>IFERROR(VLOOKUP(Summary!B2385,'Pre-Summary'!$A$6:$P$184,7, FALSE)/100,AE2386)</f>
        <v>5.0109999999999998E-3</v>
      </c>
      <c r="AF2385" s="99">
        <f t="shared" si="112"/>
        <v>1.6558855576031171E-2</v>
      </c>
      <c r="AG2385" s="99">
        <f t="shared" si="113"/>
        <v>1.9225455546805006E-3</v>
      </c>
      <c r="AH2385" s="10" t="str">
        <f>IFERROR(VLOOKUP(B2385,'Pre-Summary'!$AZ$6:$BE$65,3,FALSE),"")</f>
        <v/>
      </c>
      <c r="AI2385" s="10" t="str">
        <f>IFERROR(VLOOKUP(B2385,'Pre-Summary'!$AZ$6:$BE$65,5,FALSE),"")</f>
        <v/>
      </c>
      <c r="AJ2385" s="10" t="str">
        <f>IFERROR(VLOOKUP(B2385,'Pre-Summary'!$AZ$6:$BE$65,4,FALSE),"")</f>
        <v/>
      </c>
      <c r="AK2385" s="10" t="str">
        <f>IFERROR(VLOOKUP(B2385,'Pre-Summary'!$AZ$6:$BE$65,6,FALSE),"")</f>
        <v/>
      </c>
      <c r="AL2385" s="10" t="str">
        <f>IFERROR(VLOOKUP(B2385,'Pre-Summary'!$BG$6:$BL$44,3,FALSE),"")</f>
        <v/>
      </c>
      <c r="AM2385" s="10" t="str">
        <f>IFERROR(VLOOKUP(B2385,'Pre-Summary'!$BG$6:$BL$44,4,FALSE),"")</f>
        <v/>
      </c>
    </row>
    <row r="2386" spans="2:39" ht="15" customHeight="1" x14ac:dyDescent="0.3">
      <c r="B2386">
        <v>238.3</v>
      </c>
      <c r="C2386" t="str">
        <f>IFERROR(VLOOKUP(B2386,'Pre-Summary'!$DI$6:$DM$23,4,FALSE),"")</f>
        <v/>
      </c>
      <c r="D2386" s="10" t="str">
        <f>IFERROR(VLOOKUP(B2386,'Pre-Summary'!$AT$6:$AX$14,5,FALSE),D2385)</f>
        <v>Wolfe v3: went back to modified wolfe + EDTA and switched CuSO4 to CUCl2</v>
      </c>
      <c r="E2386" s="10" t="str">
        <f>IFERROR(VLOOKUP(B2386,'Pre-Summary'!$AT$6:$AX$15,4,FALSE),"")</f>
        <v/>
      </c>
      <c r="F2386">
        <f>IFERROR(VLOOKUP(B2386,'Pre-Summary'!$AL$6:$AQ$13,6,FALSE),F2385)</f>
        <v>5.9405263157894746E-2</v>
      </c>
      <c r="G2386" t="str">
        <f>IFERROR(VLOOKUP(B2386,'Pre-Summary'!$AE$6:$AJ$85,3,FALSE),"")</f>
        <v/>
      </c>
      <c r="H2386" t="str">
        <f>IFERROR(VLOOKUP(B2386,'Pre-Summary'!$AE$6:$AJ$85,4,FALSE),"")</f>
        <v/>
      </c>
      <c r="I2386" t="str">
        <f>IFERROR(VLOOKUP(B2386,'Pre-Summary'!$AE$6:$AJ$85,5,FALSE),"")</f>
        <v/>
      </c>
      <c r="J2386" s="45" t="str">
        <f>IFERROR(VLOOKUP(B2386,'Pre-Summary'!$AE$6:$AJ$85,6, FALSE),"")</f>
        <v/>
      </c>
      <c r="K2386" s="45" t="str">
        <f>IFERROR(VLOOKUP(B2386,'Pre-Summary'!$DE$6:$DG$61,3,FALSE),"")</f>
        <v/>
      </c>
      <c r="L2386" s="45" t="str">
        <f>IFERROR(VLOOKUP(B2386,'Pre-Summary'!$CU$6:$CW$36,3,FALSE),"")</f>
        <v/>
      </c>
      <c r="M2386" s="45" t="str">
        <f>IFERROR(VLOOKUP(B2386,'Pre-Summary'!$BW$6:$BY$58,2,FALSE),"")</f>
        <v/>
      </c>
      <c r="N2386" s="45" t="str">
        <f>IFERROR(VLOOKUP(B2386,'Pre-Summary'!$CD$6:$CF$64,2,FALSE),"")</f>
        <v/>
      </c>
      <c r="O2386" s="99">
        <f>IFERROR(VLOOKUP(B2386,'Pre-Summary'!$BO$6:$BQ$48,3, FALSE),O2385)</f>
        <v>1.508</v>
      </c>
      <c r="P2386" s="99">
        <f>IFERROR(VLOOKUP(B2386,'Pre-Summary'!$BS$6:$BU$35,3,FALSE),P2385)</f>
        <v>0.379</v>
      </c>
      <c r="Q2386" s="54">
        <f t="shared" si="111"/>
        <v>3.9788918205804751</v>
      </c>
      <c r="R2386" s="53">
        <f>IFERROR(VLOOKUP(B2386,'Pre-Summary'!$BG$6:$BM$44,7,FALSE),R2387)</f>
        <v>0.10033855833824304</v>
      </c>
      <c r="S2386" s="53">
        <f>IFERROR(VLOOKUP(B2386,'Pre-Summary'!$BG$6:$BM$44,6,FALSE),S2387)</f>
        <v>9.2355104881156017E-2</v>
      </c>
      <c r="T2386" s="45" t="str">
        <f>IFERROR(VLOOKUP(B2386,'Pre-Summary'!$Y$6:$AC$83, 3,FALSE),"")</f>
        <v/>
      </c>
      <c r="U2386" s="45" t="str">
        <f>IFERROR(VLOOKUP(B2386,'Pre-Summary'!$Y$6:$AC$83, 4,FALSE),"")</f>
        <v/>
      </c>
      <c r="V2386" t="str">
        <f>IFERROR(VLOOKUP(B2386,'Pre-Summary'!$Y$6:$AC$83, 5,FALSE),"")</f>
        <v/>
      </c>
      <c r="W2386" s="45" t="str">
        <f>IFERROR(VLOOKUP(B2386,'Pre-Summary'!$Y$6:$AD$83,6,FALSE),"")</f>
        <v/>
      </c>
      <c r="X2386" t="str">
        <f>IFERROR(VLOOKUP('Pre-Summary'!$DB$6:$DD$63,3,FALSE),"")</f>
        <v/>
      </c>
      <c r="Y2386" t="str">
        <f>IFERROR(VLOOKUP(B2386,'Pre-Summary'!$CR$6:$CT$36,3,FALSE),"")</f>
        <v/>
      </c>
      <c r="Z2386" s="45" t="str">
        <f>IFERROR(VLOOKUP(B2386,'Pre-Summary'!$BZ$6:$CB$63,2,FALSE),"")</f>
        <v/>
      </c>
      <c r="AA2386" s="45" t="str">
        <f>IFERROR(VLOOKUP(B2386,'Pre-Summary'!$CG$6:$CI$70,2,FALSE),"")</f>
        <v/>
      </c>
      <c r="AB2386" s="99">
        <f>IFERROR(VLOOKUP(B2386,'Pre-Summary'!$A$6:$P$178,9,FALSE),AB2387)</f>
        <v>0.38366504783087224</v>
      </c>
      <c r="AC2386" s="10">
        <f>IFERROR(VLOOKUP(Summary!B2386,'Pre-Summary'!$A$6:$P$184,5, FALSE)/100,AC2387)</f>
        <v>0.95182900000000004</v>
      </c>
      <c r="AD2386" s="10">
        <f>IFERROR(VLOOKUP(Summary!B2386,'Pre-Summary'!$A$6:$P$184,3, FALSE)/100,AD2387)</f>
        <v>4.3159666666666673E-2</v>
      </c>
      <c r="AE2386" s="10">
        <f>IFERROR(VLOOKUP(Summary!B2386,'Pre-Summary'!$A$6:$P$184,7, FALSE)/100,AE2387)</f>
        <v>5.0109999999999998E-3</v>
      </c>
      <c r="AF2386" s="99">
        <f t="shared" si="112"/>
        <v>1.6558855576031171E-2</v>
      </c>
      <c r="AG2386" s="99">
        <f t="shared" si="113"/>
        <v>1.9225455546805006E-3</v>
      </c>
      <c r="AH2386" s="10" t="str">
        <f>IFERROR(VLOOKUP(B2386,'Pre-Summary'!$AZ$6:$BE$65,3,FALSE),"")</f>
        <v/>
      </c>
      <c r="AI2386" s="10" t="str">
        <f>IFERROR(VLOOKUP(B2386,'Pre-Summary'!$AZ$6:$BE$65,5,FALSE),"")</f>
        <v/>
      </c>
      <c r="AJ2386" s="10" t="str">
        <f>IFERROR(VLOOKUP(B2386,'Pre-Summary'!$AZ$6:$BE$65,4,FALSE),"")</f>
        <v/>
      </c>
      <c r="AK2386" s="10" t="str">
        <f>IFERROR(VLOOKUP(B2386,'Pre-Summary'!$AZ$6:$BE$65,6,FALSE),"")</f>
        <v/>
      </c>
      <c r="AL2386" s="10" t="str">
        <f>IFERROR(VLOOKUP(B2386,'Pre-Summary'!$BG$6:$BL$44,3,FALSE),"")</f>
        <v/>
      </c>
      <c r="AM2386" s="10" t="str">
        <f>IFERROR(VLOOKUP(B2386,'Pre-Summary'!$BG$6:$BL$44,4,FALSE),"")</f>
        <v/>
      </c>
    </row>
    <row r="2387" spans="2:39" ht="15" customHeight="1" x14ac:dyDescent="0.3">
      <c r="B2387">
        <v>238.4</v>
      </c>
      <c r="C2387" t="str">
        <f>IFERROR(VLOOKUP(B2387,'Pre-Summary'!$DI$6:$DM$23,4,FALSE),"")</f>
        <v/>
      </c>
      <c r="D2387" s="10" t="str">
        <f>IFERROR(VLOOKUP(B2387,'Pre-Summary'!$AT$6:$AX$14,5,FALSE),D2386)</f>
        <v>Wolfe v3: went back to modified wolfe + EDTA and switched CuSO4 to CUCl2</v>
      </c>
      <c r="E2387" s="10" t="str">
        <f>IFERROR(VLOOKUP(B2387,'Pre-Summary'!$AT$6:$AX$15,4,FALSE),"")</f>
        <v/>
      </c>
      <c r="F2387">
        <f>IFERROR(VLOOKUP(B2387,'Pre-Summary'!$AL$6:$AQ$13,6,FALSE),F2386)</f>
        <v>5.9405263157894746E-2</v>
      </c>
      <c r="G2387" t="str">
        <f>IFERROR(VLOOKUP(B2387,'Pre-Summary'!$AE$6:$AJ$85,3,FALSE),"")</f>
        <v/>
      </c>
      <c r="H2387" t="str">
        <f>IFERROR(VLOOKUP(B2387,'Pre-Summary'!$AE$6:$AJ$85,4,FALSE),"")</f>
        <v/>
      </c>
      <c r="I2387" t="str">
        <f>IFERROR(VLOOKUP(B2387,'Pre-Summary'!$AE$6:$AJ$85,5,FALSE),"")</f>
        <v/>
      </c>
      <c r="J2387" s="45" t="str">
        <f>IFERROR(VLOOKUP(B2387,'Pre-Summary'!$AE$6:$AJ$85,6, FALSE),"")</f>
        <v/>
      </c>
      <c r="K2387" s="45" t="str">
        <f>IFERROR(VLOOKUP(B2387,'Pre-Summary'!$DE$6:$DG$61,3,FALSE),"")</f>
        <v/>
      </c>
      <c r="L2387" s="45" t="str">
        <f>IFERROR(VLOOKUP(B2387,'Pre-Summary'!$CU$6:$CW$36,3,FALSE),"")</f>
        <v/>
      </c>
      <c r="M2387" s="45" t="str">
        <f>IFERROR(VLOOKUP(B2387,'Pre-Summary'!$BW$6:$BY$58,2,FALSE),"")</f>
        <v/>
      </c>
      <c r="N2387" s="45" t="str">
        <f>IFERROR(VLOOKUP(B2387,'Pre-Summary'!$CD$6:$CF$64,2,FALSE),"")</f>
        <v/>
      </c>
      <c r="O2387" s="99">
        <f>IFERROR(VLOOKUP(B2387,'Pre-Summary'!$BO$6:$BQ$48,3, FALSE),O2386)</f>
        <v>1.508</v>
      </c>
      <c r="P2387" s="99">
        <f>IFERROR(VLOOKUP(B2387,'Pre-Summary'!$BS$6:$BU$35,3,FALSE),P2386)</f>
        <v>0.379</v>
      </c>
      <c r="Q2387" s="54">
        <f t="shared" si="111"/>
        <v>3.9788918205804751</v>
      </c>
      <c r="R2387" s="53">
        <f>IFERROR(VLOOKUP(B2387,'Pre-Summary'!$BG$6:$BM$44,7,FALSE),R2388)</f>
        <v>0.10033855833824304</v>
      </c>
      <c r="S2387" s="53">
        <f>IFERROR(VLOOKUP(B2387,'Pre-Summary'!$BG$6:$BM$44,6,FALSE),S2388)</f>
        <v>9.2355104881156017E-2</v>
      </c>
      <c r="T2387" s="45" t="str">
        <f>IFERROR(VLOOKUP(B2387,'Pre-Summary'!$Y$6:$AC$83, 3,FALSE),"")</f>
        <v/>
      </c>
      <c r="U2387" s="45" t="str">
        <f>IFERROR(VLOOKUP(B2387,'Pre-Summary'!$Y$6:$AC$83, 4,FALSE),"")</f>
        <v/>
      </c>
      <c r="V2387" t="str">
        <f>IFERROR(VLOOKUP(B2387,'Pre-Summary'!$Y$6:$AC$83, 5,FALSE),"")</f>
        <v/>
      </c>
      <c r="W2387" s="45" t="str">
        <f>IFERROR(VLOOKUP(B2387,'Pre-Summary'!$Y$6:$AD$83,6,FALSE),"")</f>
        <v/>
      </c>
      <c r="X2387" t="str">
        <f>IFERROR(VLOOKUP('Pre-Summary'!$DB$6:$DD$63,3,FALSE),"")</f>
        <v/>
      </c>
      <c r="Y2387" t="str">
        <f>IFERROR(VLOOKUP(B2387,'Pre-Summary'!$CR$6:$CT$36,3,FALSE),"")</f>
        <v/>
      </c>
      <c r="Z2387" s="45" t="str">
        <f>IFERROR(VLOOKUP(B2387,'Pre-Summary'!$BZ$6:$CB$63,2,FALSE),"")</f>
        <v/>
      </c>
      <c r="AA2387" s="45" t="str">
        <f>IFERROR(VLOOKUP(B2387,'Pre-Summary'!$CG$6:$CI$70,2,FALSE),"")</f>
        <v/>
      </c>
      <c r="AB2387" s="99">
        <f>IFERROR(VLOOKUP(B2387,'Pre-Summary'!$A$6:$P$178,9,FALSE),AB2388)</f>
        <v>0.38366504783087224</v>
      </c>
      <c r="AC2387" s="10">
        <f>IFERROR(VLOOKUP(Summary!B2387,'Pre-Summary'!$A$6:$P$184,5, FALSE)/100,AC2388)</f>
        <v>0.95182900000000004</v>
      </c>
      <c r="AD2387" s="10">
        <f>IFERROR(VLOOKUP(Summary!B2387,'Pre-Summary'!$A$6:$P$184,3, FALSE)/100,AD2388)</f>
        <v>4.3159666666666673E-2</v>
      </c>
      <c r="AE2387" s="10">
        <f>IFERROR(VLOOKUP(Summary!B2387,'Pre-Summary'!$A$6:$P$184,7, FALSE)/100,AE2388)</f>
        <v>5.0109999999999998E-3</v>
      </c>
      <c r="AF2387" s="99">
        <f t="shared" si="112"/>
        <v>1.6558855576031171E-2</v>
      </c>
      <c r="AG2387" s="99">
        <f t="shared" si="113"/>
        <v>1.9225455546805006E-3</v>
      </c>
      <c r="AH2387" s="10" t="str">
        <f>IFERROR(VLOOKUP(B2387,'Pre-Summary'!$AZ$6:$BE$65,3,FALSE),"")</f>
        <v/>
      </c>
      <c r="AI2387" s="10" t="str">
        <f>IFERROR(VLOOKUP(B2387,'Pre-Summary'!$AZ$6:$BE$65,5,FALSE),"")</f>
        <v/>
      </c>
      <c r="AJ2387" s="10" t="str">
        <f>IFERROR(VLOOKUP(B2387,'Pre-Summary'!$AZ$6:$BE$65,4,FALSE),"")</f>
        <v/>
      </c>
      <c r="AK2387" s="10" t="str">
        <f>IFERROR(VLOOKUP(B2387,'Pre-Summary'!$AZ$6:$BE$65,6,FALSE),"")</f>
        <v/>
      </c>
      <c r="AL2387" s="10" t="str">
        <f>IFERROR(VLOOKUP(B2387,'Pre-Summary'!$BG$6:$BL$44,3,FALSE),"")</f>
        <v/>
      </c>
      <c r="AM2387" s="10" t="str">
        <f>IFERROR(VLOOKUP(B2387,'Pre-Summary'!$BG$6:$BL$44,4,FALSE),"")</f>
        <v/>
      </c>
    </row>
    <row r="2388" spans="2:39" ht="15" customHeight="1" x14ac:dyDescent="0.3">
      <c r="B2388">
        <v>238.5</v>
      </c>
      <c r="C2388" t="str">
        <f>IFERROR(VLOOKUP(B2388,'Pre-Summary'!$DI$6:$DM$23,4,FALSE),"")</f>
        <v/>
      </c>
      <c r="D2388" s="10" t="str">
        <f>IFERROR(VLOOKUP(B2388,'Pre-Summary'!$AT$6:$AX$14,5,FALSE),D2387)</f>
        <v>Wolfe v3: went back to modified wolfe + EDTA and switched CuSO4 to CUCl2</v>
      </c>
      <c r="E2388" s="10" t="str">
        <f>IFERROR(VLOOKUP(B2388,'Pre-Summary'!$AT$6:$AX$15,4,FALSE),"")</f>
        <v/>
      </c>
      <c r="F2388">
        <f>IFERROR(VLOOKUP(B2388,'Pre-Summary'!$AL$6:$AQ$13,6,FALSE),F2387)</f>
        <v>5.9405263157894746E-2</v>
      </c>
      <c r="G2388" t="str">
        <f>IFERROR(VLOOKUP(B2388,'Pre-Summary'!$AE$6:$AJ$85,3,FALSE),"")</f>
        <v/>
      </c>
      <c r="H2388" t="str">
        <f>IFERROR(VLOOKUP(B2388,'Pre-Summary'!$AE$6:$AJ$85,4,FALSE),"")</f>
        <v/>
      </c>
      <c r="I2388" t="str">
        <f>IFERROR(VLOOKUP(B2388,'Pre-Summary'!$AE$6:$AJ$85,5,FALSE),"")</f>
        <v/>
      </c>
      <c r="J2388" s="45" t="str">
        <f>IFERROR(VLOOKUP(B2388,'Pre-Summary'!$AE$6:$AJ$85,6, FALSE),"")</f>
        <v/>
      </c>
      <c r="K2388" s="45" t="str">
        <f>IFERROR(VLOOKUP(B2388,'Pre-Summary'!$DE$6:$DG$61,3,FALSE),"")</f>
        <v/>
      </c>
      <c r="L2388" s="45" t="str">
        <f>IFERROR(VLOOKUP(B2388,'Pre-Summary'!$CU$6:$CW$36,3,FALSE),"")</f>
        <v/>
      </c>
      <c r="M2388" s="45" t="str">
        <f>IFERROR(VLOOKUP(B2388,'Pre-Summary'!$BW$6:$BY$58,2,FALSE),"")</f>
        <v/>
      </c>
      <c r="N2388" s="45" t="str">
        <f>IFERROR(VLOOKUP(B2388,'Pre-Summary'!$CD$6:$CF$64,2,FALSE),"")</f>
        <v/>
      </c>
      <c r="O2388" s="99">
        <f>IFERROR(VLOOKUP(B2388,'Pre-Summary'!$BO$6:$BQ$48,3, FALSE),O2387)</f>
        <v>1.508</v>
      </c>
      <c r="P2388" s="99">
        <f>IFERROR(VLOOKUP(B2388,'Pre-Summary'!$BS$6:$BU$35,3,FALSE),P2387)</f>
        <v>0.379</v>
      </c>
      <c r="Q2388" s="54">
        <f t="shared" si="111"/>
        <v>3.9788918205804751</v>
      </c>
      <c r="R2388" s="53">
        <f>IFERROR(VLOOKUP(B2388,'Pre-Summary'!$BG$6:$BM$44,7,FALSE),R2389)</f>
        <v>0.10033855833824304</v>
      </c>
      <c r="S2388" s="53">
        <f>IFERROR(VLOOKUP(B2388,'Pre-Summary'!$BG$6:$BM$44,6,FALSE),S2389)</f>
        <v>9.2355104881156017E-2</v>
      </c>
      <c r="T2388" s="45" t="str">
        <f>IFERROR(VLOOKUP(B2388,'Pre-Summary'!$Y$6:$AC$83, 3,FALSE),"")</f>
        <v/>
      </c>
      <c r="U2388" s="45" t="str">
        <f>IFERROR(VLOOKUP(B2388,'Pre-Summary'!$Y$6:$AC$83, 4,FALSE),"")</f>
        <v/>
      </c>
      <c r="V2388" t="str">
        <f>IFERROR(VLOOKUP(B2388,'Pre-Summary'!$Y$6:$AC$83, 5,FALSE),"")</f>
        <v/>
      </c>
      <c r="W2388" s="45" t="str">
        <f>IFERROR(VLOOKUP(B2388,'Pre-Summary'!$Y$6:$AD$83,6,FALSE),"")</f>
        <v/>
      </c>
      <c r="X2388" t="str">
        <f>IFERROR(VLOOKUP('Pre-Summary'!$DB$6:$DD$63,3,FALSE),"")</f>
        <v/>
      </c>
      <c r="Y2388" t="str">
        <f>IFERROR(VLOOKUP(B2388,'Pre-Summary'!$CR$6:$CT$36,3,FALSE),"")</f>
        <v/>
      </c>
      <c r="Z2388" s="45" t="str">
        <f>IFERROR(VLOOKUP(B2388,'Pre-Summary'!$BZ$6:$CB$63,2,FALSE),"")</f>
        <v/>
      </c>
      <c r="AA2388" s="45" t="str">
        <f>IFERROR(VLOOKUP(B2388,'Pre-Summary'!$CG$6:$CI$70,2,FALSE),"")</f>
        <v/>
      </c>
      <c r="AB2388" s="99">
        <f>IFERROR(VLOOKUP(B2388,'Pre-Summary'!$A$6:$P$178,9,FALSE),AB2389)</f>
        <v>0.38366504783087224</v>
      </c>
      <c r="AC2388" s="10">
        <f>IFERROR(VLOOKUP(Summary!B2388,'Pre-Summary'!$A$6:$P$184,5, FALSE)/100,AC2389)</f>
        <v>0.95182900000000004</v>
      </c>
      <c r="AD2388" s="10">
        <f>IFERROR(VLOOKUP(Summary!B2388,'Pre-Summary'!$A$6:$P$184,3, FALSE)/100,AD2389)</f>
        <v>4.3159666666666673E-2</v>
      </c>
      <c r="AE2388" s="10">
        <f>IFERROR(VLOOKUP(Summary!B2388,'Pre-Summary'!$A$6:$P$184,7, FALSE)/100,AE2389)</f>
        <v>5.0109999999999998E-3</v>
      </c>
      <c r="AF2388" s="99">
        <f t="shared" si="112"/>
        <v>1.6558855576031171E-2</v>
      </c>
      <c r="AG2388" s="99">
        <f t="shared" si="113"/>
        <v>1.9225455546805006E-3</v>
      </c>
      <c r="AH2388" s="10" t="str">
        <f>IFERROR(VLOOKUP(B2388,'Pre-Summary'!$AZ$6:$BE$65,3,FALSE),"")</f>
        <v/>
      </c>
      <c r="AI2388" s="10" t="str">
        <f>IFERROR(VLOOKUP(B2388,'Pre-Summary'!$AZ$6:$BE$65,5,FALSE),"")</f>
        <v/>
      </c>
      <c r="AJ2388" s="10" t="str">
        <f>IFERROR(VLOOKUP(B2388,'Pre-Summary'!$AZ$6:$BE$65,4,FALSE),"")</f>
        <v/>
      </c>
      <c r="AK2388" s="10" t="str">
        <f>IFERROR(VLOOKUP(B2388,'Pre-Summary'!$AZ$6:$BE$65,6,FALSE),"")</f>
        <v/>
      </c>
      <c r="AL2388" s="10" t="str">
        <f>IFERROR(VLOOKUP(B2388,'Pre-Summary'!$BG$6:$BL$44,3,FALSE),"")</f>
        <v/>
      </c>
      <c r="AM2388" s="10" t="str">
        <f>IFERROR(VLOOKUP(B2388,'Pre-Summary'!$BG$6:$BL$44,4,FALSE),"")</f>
        <v/>
      </c>
    </row>
    <row r="2389" spans="2:39" ht="15" customHeight="1" x14ac:dyDescent="0.3">
      <c r="B2389">
        <v>238.6</v>
      </c>
      <c r="C2389" t="str">
        <f>IFERROR(VLOOKUP(B2389,'Pre-Summary'!$DI$6:$DM$23,4,FALSE),"")</f>
        <v/>
      </c>
      <c r="D2389" s="10" t="str">
        <f>IFERROR(VLOOKUP(B2389,'Pre-Summary'!$AT$6:$AX$14,5,FALSE),D2388)</f>
        <v>Wolfe v3: went back to modified wolfe + EDTA and switched CuSO4 to CUCl2</v>
      </c>
      <c r="E2389" s="10" t="str">
        <f>IFERROR(VLOOKUP(B2389,'Pre-Summary'!$AT$6:$AX$15,4,FALSE),"")</f>
        <v/>
      </c>
      <c r="F2389">
        <f>IFERROR(VLOOKUP(B2389,'Pre-Summary'!$AL$6:$AQ$13,6,FALSE),F2388)</f>
        <v>5.9405263157894746E-2</v>
      </c>
      <c r="G2389" t="str">
        <f>IFERROR(VLOOKUP(B2389,'Pre-Summary'!$AE$6:$AJ$85,3,FALSE),"")</f>
        <v/>
      </c>
      <c r="H2389" t="str">
        <f>IFERROR(VLOOKUP(B2389,'Pre-Summary'!$AE$6:$AJ$85,4,FALSE),"")</f>
        <v/>
      </c>
      <c r="I2389" t="str">
        <f>IFERROR(VLOOKUP(B2389,'Pre-Summary'!$AE$6:$AJ$85,5,FALSE),"")</f>
        <v/>
      </c>
      <c r="J2389" s="45" t="str">
        <f>IFERROR(VLOOKUP(B2389,'Pre-Summary'!$AE$6:$AJ$85,6, FALSE),"")</f>
        <v/>
      </c>
      <c r="K2389" s="45" t="str">
        <f>IFERROR(VLOOKUP(B2389,'Pre-Summary'!$DE$6:$DG$61,3,FALSE),"")</f>
        <v/>
      </c>
      <c r="L2389" s="45" t="str">
        <f>IFERROR(VLOOKUP(B2389,'Pre-Summary'!$CU$6:$CW$36,3,FALSE),"")</f>
        <v/>
      </c>
      <c r="M2389" s="45" t="str">
        <f>IFERROR(VLOOKUP(B2389,'Pre-Summary'!$BW$6:$BY$58,2,FALSE),"")</f>
        <v/>
      </c>
      <c r="N2389" s="45" t="str">
        <f>IFERROR(VLOOKUP(B2389,'Pre-Summary'!$CD$6:$CF$64,2,FALSE),"")</f>
        <v/>
      </c>
      <c r="O2389" s="99">
        <f>IFERROR(VLOOKUP(B2389,'Pre-Summary'!$BO$6:$BQ$48,3, FALSE),O2388)</f>
        <v>1.508</v>
      </c>
      <c r="P2389" s="99">
        <f>IFERROR(VLOOKUP(B2389,'Pre-Summary'!$BS$6:$BU$35,3,FALSE),P2388)</f>
        <v>0.379</v>
      </c>
      <c r="Q2389" s="54">
        <f t="shared" si="111"/>
        <v>3.9788918205804751</v>
      </c>
      <c r="R2389" s="53">
        <f>IFERROR(VLOOKUP(B2389,'Pre-Summary'!$BG$6:$BM$44,7,FALSE),R2390)</f>
        <v>0.10033855833824304</v>
      </c>
      <c r="S2389" s="53">
        <f>IFERROR(VLOOKUP(B2389,'Pre-Summary'!$BG$6:$BM$44,6,FALSE),S2390)</f>
        <v>9.2355104881156017E-2</v>
      </c>
      <c r="T2389" s="45" t="str">
        <f>IFERROR(VLOOKUP(B2389,'Pre-Summary'!$Y$6:$AC$83, 3,FALSE),"")</f>
        <v/>
      </c>
      <c r="U2389" s="45" t="str">
        <f>IFERROR(VLOOKUP(B2389,'Pre-Summary'!$Y$6:$AC$83, 4,FALSE),"")</f>
        <v/>
      </c>
      <c r="V2389" t="str">
        <f>IFERROR(VLOOKUP(B2389,'Pre-Summary'!$Y$6:$AC$83, 5,FALSE),"")</f>
        <v/>
      </c>
      <c r="W2389" s="45" t="str">
        <f>IFERROR(VLOOKUP(B2389,'Pre-Summary'!$Y$6:$AD$83,6,FALSE),"")</f>
        <v/>
      </c>
      <c r="X2389" t="str">
        <f>IFERROR(VLOOKUP('Pre-Summary'!$DB$6:$DD$63,3,FALSE),"")</f>
        <v/>
      </c>
      <c r="Y2389" t="str">
        <f>IFERROR(VLOOKUP(B2389,'Pre-Summary'!$CR$6:$CT$36,3,FALSE),"")</f>
        <v/>
      </c>
      <c r="Z2389" s="45" t="str">
        <f>IFERROR(VLOOKUP(B2389,'Pre-Summary'!$BZ$6:$CB$63,2,FALSE),"")</f>
        <v/>
      </c>
      <c r="AA2389" s="45" t="str">
        <f>IFERROR(VLOOKUP(B2389,'Pre-Summary'!$CG$6:$CI$70,2,FALSE),"")</f>
        <v/>
      </c>
      <c r="AB2389" s="99">
        <f>IFERROR(VLOOKUP(B2389,'Pre-Summary'!$A$6:$P$178,9,FALSE),AB2390)</f>
        <v>0.38366504783087224</v>
      </c>
      <c r="AC2389" s="10">
        <f>IFERROR(VLOOKUP(Summary!B2389,'Pre-Summary'!$A$6:$P$184,5, FALSE)/100,AC2390)</f>
        <v>0.95182900000000004</v>
      </c>
      <c r="AD2389" s="10">
        <f>IFERROR(VLOOKUP(Summary!B2389,'Pre-Summary'!$A$6:$P$184,3, FALSE)/100,AD2390)</f>
        <v>4.3159666666666673E-2</v>
      </c>
      <c r="AE2389" s="10">
        <f>IFERROR(VLOOKUP(Summary!B2389,'Pre-Summary'!$A$6:$P$184,7, FALSE)/100,AE2390)</f>
        <v>5.0109999999999998E-3</v>
      </c>
      <c r="AF2389" s="99">
        <f t="shared" si="112"/>
        <v>1.6558855576031171E-2</v>
      </c>
      <c r="AG2389" s="99">
        <f t="shared" si="113"/>
        <v>1.9225455546805006E-3</v>
      </c>
      <c r="AH2389" s="10" t="str">
        <f>IFERROR(VLOOKUP(B2389,'Pre-Summary'!$AZ$6:$BE$65,3,FALSE),"")</f>
        <v/>
      </c>
      <c r="AI2389" s="10" t="str">
        <f>IFERROR(VLOOKUP(B2389,'Pre-Summary'!$AZ$6:$BE$65,5,FALSE),"")</f>
        <v/>
      </c>
      <c r="AJ2389" s="10" t="str">
        <f>IFERROR(VLOOKUP(B2389,'Pre-Summary'!$AZ$6:$BE$65,4,FALSE),"")</f>
        <v/>
      </c>
      <c r="AK2389" s="10" t="str">
        <f>IFERROR(VLOOKUP(B2389,'Pre-Summary'!$AZ$6:$BE$65,6,FALSE),"")</f>
        <v/>
      </c>
      <c r="AL2389" s="10" t="str">
        <f>IFERROR(VLOOKUP(B2389,'Pre-Summary'!$BG$6:$BL$44,3,FALSE),"")</f>
        <v/>
      </c>
      <c r="AM2389" s="10" t="str">
        <f>IFERROR(VLOOKUP(B2389,'Pre-Summary'!$BG$6:$BL$44,4,FALSE),"")</f>
        <v/>
      </c>
    </row>
    <row r="2390" spans="2:39" ht="15" customHeight="1" x14ac:dyDescent="0.3">
      <c r="B2390">
        <v>238.7</v>
      </c>
      <c r="C2390" t="str">
        <f>IFERROR(VLOOKUP(B2390,'Pre-Summary'!$DI$6:$DM$23,4,FALSE),"")</f>
        <v/>
      </c>
      <c r="D2390" s="10" t="str">
        <f>IFERROR(VLOOKUP(B2390,'Pre-Summary'!$AT$6:$AX$14,5,FALSE),D2389)</f>
        <v>Wolfe v3: went back to modified wolfe + EDTA and switched CuSO4 to CUCl2</v>
      </c>
      <c r="E2390" s="10" t="str">
        <f>IFERROR(VLOOKUP(B2390,'Pre-Summary'!$AT$6:$AX$15,4,FALSE),"")</f>
        <v/>
      </c>
      <c r="F2390">
        <f>IFERROR(VLOOKUP(B2390,'Pre-Summary'!$AL$6:$AQ$13,6,FALSE),F2389)</f>
        <v>5.9405263157894746E-2</v>
      </c>
      <c r="G2390" t="str">
        <f>IFERROR(VLOOKUP(B2390,'Pre-Summary'!$AE$6:$AJ$85,3,FALSE),"")</f>
        <v/>
      </c>
      <c r="H2390" t="str">
        <f>IFERROR(VLOOKUP(B2390,'Pre-Summary'!$AE$6:$AJ$85,4,FALSE),"")</f>
        <v/>
      </c>
      <c r="I2390" t="str">
        <f>IFERROR(VLOOKUP(B2390,'Pre-Summary'!$AE$6:$AJ$85,5,FALSE),"")</f>
        <v/>
      </c>
      <c r="J2390" s="45" t="str">
        <f>IFERROR(VLOOKUP(B2390,'Pre-Summary'!$AE$6:$AJ$85,6, FALSE),"")</f>
        <v/>
      </c>
      <c r="K2390" s="45" t="str">
        <f>IFERROR(VLOOKUP(B2390,'Pre-Summary'!$DE$6:$DG$61,3,FALSE),"")</f>
        <v/>
      </c>
      <c r="L2390" s="45" t="str">
        <f>IFERROR(VLOOKUP(B2390,'Pre-Summary'!$CU$6:$CW$36,3,FALSE),"")</f>
        <v/>
      </c>
      <c r="M2390" s="45" t="str">
        <f>IFERROR(VLOOKUP(B2390,'Pre-Summary'!$BW$6:$BY$58,2,FALSE),"")</f>
        <v/>
      </c>
      <c r="N2390" s="45" t="str">
        <f>IFERROR(VLOOKUP(B2390,'Pre-Summary'!$CD$6:$CF$64,2,FALSE),"")</f>
        <v/>
      </c>
      <c r="O2390" s="99">
        <f>IFERROR(VLOOKUP(B2390,'Pre-Summary'!$BO$6:$BQ$48,3, FALSE),O2389)</f>
        <v>1.508</v>
      </c>
      <c r="P2390" s="99">
        <f>IFERROR(VLOOKUP(B2390,'Pre-Summary'!$BS$6:$BU$35,3,FALSE),P2389)</f>
        <v>0.379</v>
      </c>
      <c r="Q2390" s="54">
        <f t="shared" si="111"/>
        <v>3.9788918205804751</v>
      </c>
      <c r="R2390" s="53">
        <f>IFERROR(VLOOKUP(B2390,'Pre-Summary'!$BG$6:$BM$44,7,FALSE),R2391)</f>
        <v>0.10033855833824304</v>
      </c>
      <c r="S2390" s="53">
        <f>IFERROR(VLOOKUP(B2390,'Pre-Summary'!$BG$6:$BM$44,6,FALSE),S2391)</f>
        <v>9.2355104881156017E-2</v>
      </c>
      <c r="T2390" s="45" t="str">
        <f>IFERROR(VLOOKUP(B2390,'Pre-Summary'!$Y$6:$AC$83, 3,FALSE),"")</f>
        <v/>
      </c>
      <c r="U2390" s="45" t="str">
        <f>IFERROR(VLOOKUP(B2390,'Pre-Summary'!$Y$6:$AC$83, 4,FALSE),"")</f>
        <v/>
      </c>
      <c r="V2390" t="str">
        <f>IFERROR(VLOOKUP(B2390,'Pre-Summary'!$Y$6:$AC$83, 5,FALSE),"")</f>
        <v/>
      </c>
      <c r="W2390" s="45" t="str">
        <f>IFERROR(VLOOKUP(B2390,'Pre-Summary'!$Y$6:$AD$83,6,FALSE),"")</f>
        <v/>
      </c>
      <c r="X2390" t="str">
        <f>IFERROR(VLOOKUP('Pre-Summary'!$DB$6:$DD$63,3,FALSE),"")</f>
        <v/>
      </c>
      <c r="Y2390" t="str">
        <f>IFERROR(VLOOKUP(B2390,'Pre-Summary'!$CR$6:$CT$36,3,FALSE),"")</f>
        <v/>
      </c>
      <c r="Z2390" s="45" t="str">
        <f>IFERROR(VLOOKUP(B2390,'Pre-Summary'!$BZ$6:$CB$63,2,FALSE),"")</f>
        <v/>
      </c>
      <c r="AA2390" s="45" t="str">
        <f>IFERROR(VLOOKUP(B2390,'Pre-Summary'!$CG$6:$CI$70,2,FALSE),"")</f>
        <v/>
      </c>
      <c r="AB2390" s="99">
        <f>IFERROR(VLOOKUP(B2390,'Pre-Summary'!$A$6:$P$178,9,FALSE),AB2391)</f>
        <v>0.38366504783087224</v>
      </c>
      <c r="AC2390" s="10">
        <f>IFERROR(VLOOKUP(Summary!B2390,'Pre-Summary'!$A$6:$P$184,5, FALSE)/100,AC2391)</f>
        <v>0.95182900000000004</v>
      </c>
      <c r="AD2390" s="10">
        <f>IFERROR(VLOOKUP(Summary!B2390,'Pre-Summary'!$A$6:$P$184,3, FALSE)/100,AD2391)</f>
        <v>4.3159666666666673E-2</v>
      </c>
      <c r="AE2390" s="10">
        <f>IFERROR(VLOOKUP(Summary!B2390,'Pre-Summary'!$A$6:$P$184,7, FALSE)/100,AE2391)</f>
        <v>5.0109999999999998E-3</v>
      </c>
      <c r="AF2390" s="99">
        <f t="shared" si="112"/>
        <v>1.6558855576031171E-2</v>
      </c>
      <c r="AG2390" s="99">
        <f t="shared" si="113"/>
        <v>1.9225455546805006E-3</v>
      </c>
      <c r="AH2390" s="10" t="str">
        <f>IFERROR(VLOOKUP(B2390,'Pre-Summary'!$AZ$6:$BE$65,3,FALSE),"")</f>
        <v/>
      </c>
      <c r="AI2390" s="10" t="str">
        <f>IFERROR(VLOOKUP(B2390,'Pre-Summary'!$AZ$6:$BE$65,5,FALSE),"")</f>
        <v/>
      </c>
      <c r="AJ2390" s="10" t="str">
        <f>IFERROR(VLOOKUP(B2390,'Pre-Summary'!$AZ$6:$BE$65,4,FALSE),"")</f>
        <v/>
      </c>
      <c r="AK2390" s="10" t="str">
        <f>IFERROR(VLOOKUP(B2390,'Pre-Summary'!$AZ$6:$BE$65,6,FALSE),"")</f>
        <v/>
      </c>
      <c r="AL2390" s="10" t="str">
        <f>IFERROR(VLOOKUP(B2390,'Pre-Summary'!$BG$6:$BL$44,3,FALSE),"")</f>
        <v/>
      </c>
      <c r="AM2390" s="10" t="str">
        <f>IFERROR(VLOOKUP(B2390,'Pre-Summary'!$BG$6:$BL$44,4,FALSE),"")</f>
        <v/>
      </c>
    </row>
    <row r="2391" spans="2:39" ht="15" customHeight="1" x14ac:dyDescent="0.3">
      <c r="B2391">
        <v>238.8</v>
      </c>
      <c r="C2391" t="str">
        <f>IFERROR(VLOOKUP(B2391,'Pre-Summary'!$DI$6:$DM$23,4,FALSE),"")</f>
        <v/>
      </c>
      <c r="D2391" s="10" t="str">
        <f>IFERROR(VLOOKUP(B2391,'Pre-Summary'!$AT$6:$AX$14,5,FALSE),D2390)</f>
        <v>Wolfe v3: went back to modified wolfe + EDTA and switched CuSO4 to CUCl2</v>
      </c>
      <c r="E2391" s="10" t="str">
        <f>IFERROR(VLOOKUP(B2391,'Pre-Summary'!$AT$6:$AX$15,4,FALSE),"")</f>
        <v/>
      </c>
      <c r="F2391">
        <f>IFERROR(VLOOKUP(B2391,'Pre-Summary'!$AL$6:$AQ$13,6,FALSE),F2390)</f>
        <v>5.9405263157894746E-2</v>
      </c>
      <c r="G2391" t="str">
        <f>IFERROR(VLOOKUP(B2391,'Pre-Summary'!$AE$6:$AJ$85,3,FALSE),"")</f>
        <v/>
      </c>
      <c r="H2391" t="str">
        <f>IFERROR(VLOOKUP(B2391,'Pre-Summary'!$AE$6:$AJ$85,4,FALSE),"")</f>
        <v/>
      </c>
      <c r="I2391" t="str">
        <f>IFERROR(VLOOKUP(B2391,'Pre-Summary'!$AE$6:$AJ$85,5,FALSE),"")</f>
        <v/>
      </c>
      <c r="J2391" s="45" t="str">
        <f>IFERROR(VLOOKUP(B2391,'Pre-Summary'!$AE$6:$AJ$85,6, FALSE),"")</f>
        <v/>
      </c>
      <c r="K2391" s="45" t="str">
        <f>IFERROR(VLOOKUP(B2391,'Pre-Summary'!$DE$6:$DG$61,3,FALSE),"")</f>
        <v/>
      </c>
      <c r="L2391" s="45" t="str">
        <f>IFERROR(VLOOKUP(B2391,'Pre-Summary'!$CU$6:$CW$36,3,FALSE),"")</f>
        <v/>
      </c>
      <c r="M2391" s="45" t="str">
        <f>IFERROR(VLOOKUP(B2391,'Pre-Summary'!$BW$6:$BY$58,2,FALSE),"")</f>
        <v/>
      </c>
      <c r="N2391" s="45" t="str">
        <f>IFERROR(VLOOKUP(B2391,'Pre-Summary'!$CD$6:$CF$64,2,FALSE),"")</f>
        <v/>
      </c>
      <c r="O2391" s="99">
        <f>IFERROR(VLOOKUP(B2391,'Pre-Summary'!$BO$6:$BQ$48,3, FALSE),O2390)</f>
        <v>1.508</v>
      </c>
      <c r="P2391" s="99">
        <f>IFERROR(VLOOKUP(B2391,'Pre-Summary'!$BS$6:$BU$35,3,FALSE),P2390)</f>
        <v>0.379</v>
      </c>
      <c r="Q2391" s="54">
        <f t="shared" si="111"/>
        <v>3.9788918205804751</v>
      </c>
      <c r="R2391" s="53">
        <f>IFERROR(VLOOKUP(B2391,'Pre-Summary'!$BG$6:$BM$44,7,FALSE),R2392)</f>
        <v>0.10033855833824304</v>
      </c>
      <c r="S2391" s="53">
        <f>IFERROR(VLOOKUP(B2391,'Pre-Summary'!$BG$6:$BM$44,6,FALSE),S2392)</f>
        <v>9.2355104881156017E-2</v>
      </c>
      <c r="T2391" s="45" t="str">
        <f>IFERROR(VLOOKUP(B2391,'Pre-Summary'!$Y$6:$AC$83, 3,FALSE),"")</f>
        <v/>
      </c>
      <c r="U2391" s="45" t="str">
        <f>IFERROR(VLOOKUP(B2391,'Pre-Summary'!$Y$6:$AC$83, 4,FALSE),"")</f>
        <v/>
      </c>
      <c r="V2391" t="str">
        <f>IFERROR(VLOOKUP(B2391,'Pre-Summary'!$Y$6:$AC$83, 5,FALSE),"")</f>
        <v/>
      </c>
      <c r="W2391" s="45" t="str">
        <f>IFERROR(VLOOKUP(B2391,'Pre-Summary'!$Y$6:$AD$83,6,FALSE),"")</f>
        <v/>
      </c>
      <c r="X2391" t="str">
        <f>IFERROR(VLOOKUP('Pre-Summary'!$DB$6:$DD$63,3,FALSE),"")</f>
        <v/>
      </c>
      <c r="Y2391" t="str">
        <f>IFERROR(VLOOKUP(B2391,'Pre-Summary'!$CR$6:$CT$36,3,FALSE),"")</f>
        <v/>
      </c>
      <c r="Z2391" s="45" t="str">
        <f>IFERROR(VLOOKUP(B2391,'Pre-Summary'!$BZ$6:$CB$63,2,FALSE),"")</f>
        <v/>
      </c>
      <c r="AA2391" s="45" t="str">
        <f>IFERROR(VLOOKUP(B2391,'Pre-Summary'!$CG$6:$CI$70,2,FALSE),"")</f>
        <v/>
      </c>
      <c r="AB2391" s="99">
        <f>IFERROR(VLOOKUP(B2391,'Pre-Summary'!$A$6:$P$178,9,FALSE),AB2392)</f>
        <v>0.38366504783087224</v>
      </c>
      <c r="AC2391" s="10">
        <f>IFERROR(VLOOKUP(Summary!B2391,'Pre-Summary'!$A$6:$P$184,5, FALSE)/100,AC2392)</f>
        <v>0.95182900000000004</v>
      </c>
      <c r="AD2391" s="10">
        <f>IFERROR(VLOOKUP(Summary!B2391,'Pre-Summary'!$A$6:$P$184,3, FALSE)/100,AD2392)</f>
        <v>4.3159666666666673E-2</v>
      </c>
      <c r="AE2391" s="10">
        <f>IFERROR(VLOOKUP(Summary!B2391,'Pre-Summary'!$A$6:$P$184,7, FALSE)/100,AE2392)</f>
        <v>5.0109999999999998E-3</v>
      </c>
      <c r="AF2391" s="99">
        <f t="shared" si="112"/>
        <v>1.6558855576031171E-2</v>
      </c>
      <c r="AG2391" s="99">
        <f t="shared" si="113"/>
        <v>1.9225455546805006E-3</v>
      </c>
      <c r="AH2391" s="10" t="str">
        <f>IFERROR(VLOOKUP(B2391,'Pre-Summary'!$AZ$6:$BE$65,3,FALSE),"")</f>
        <v/>
      </c>
      <c r="AI2391" s="10" t="str">
        <f>IFERROR(VLOOKUP(B2391,'Pre-Summary'!$AZ$6:$BE$65,5,FALSE),"")</f>
        <v/>
      </c>
      <c r="AJ2391" s="10" t="str">
        <f>IFERROR(VLOOKUP(B2391,'Pre-Summary'!$AZ$6:$BE$65,4,FALSE),"")</f>
        <v/>
      </c>
      <c r="AK2391" s="10" t="str">
        <f>IFERROR(VLOOKUP(B2391,'Pre-Summary'!$AZ$6:$BE$65,6,FALSE),"")</f>
        <v/>
      </c>
      <c r="AL2391" s="10" t="str">
        <f>IFERROR(VLOOKUP(B2391,'Pre-Summary'!$BG$6:$BL$44,3,FALSE),"")</f>
        <v/>
      </c>
      <c r="AM2391" s="10" t="str">
        <f>IFERROR(VLOOKUP(B2391,'Pre-Summary'!$BG$6:$BL$44,4,FALSE),"")</f>
        <v/>
      </c>
    </row>
    <row r="2392" spans="2:39" ht="15" customHeight="1" x14ac:dyDescent="0.3">
      <c r="B2392">
        <v>238.9</v>
      </c>
      <c r="C2392" t="str">
        <f>IFERROR(VLOOKUP(B2392,'Pre-Summary'!$DI$6:$DM$23,4,FALSE),"")</f>
        <v/>
      </c>
      <c r="D2392" s="10" t="str">
        <f>IFERROR(VLOOKUP(B2392,'Pre-Summary'!$AT$6:$AX$14,5,FALSE),D2391)</f>
        <v>Wolfe v3: went back to modified wolfe + EDTA and switched CuSO4 to CUCl2</v>
      </c>
      <c r="E2392" s="10" t="str">
        <f>IFERROR(VLOOKUP(B2392,'Pre-Summary'!$AT$6:$AX$15,4,FALSE),"")</f>
        <v/>
      </c>
      <c r="F2392">
        <f>IFERROR(VLOOKUP(B2392,'Pre-Summary'!$AL$6:$AQ$13,6,FALSE),F2391)</f>
        <v>5.9405263157894746E-2</v>
      </c>
      <c r="G2392" t="str">
        <f>IFERROR(VLOOKUP(B2392,'Pre-Summary'!$AE$6:$AJ$85,3,FALSE),"")</f>
        <v/>
      </c>
      <c r="H2392" t="str">
        <f>IFERROR(VLOOKUP(B2392,'Pre-Summary'!$AE$6:$AJ$85,4,FALSE),"")</f>
        <v/>
      </c>
      <c r="I2392" t="str">
        <f>IFERROR(VLOOKUP(B2392,'Pre-Summary'!$AE$6:$AJ$85,5,FALSE),"")</f>
        <v/>
      </c>
      <c r="J2392" s="45" t="str">
        <f>IFERROR(VLOOKUP(B2392,'Pre-Summary'!$AE$6:$AJ$85,6, FALSE),"")</f>
        <v/>
      </c>
      <c r="K2392" s="45" t="str">
        <f>IFERROR(VLOOKUP(B2392,'Pre-Summary'!$DE$6:$DG$61,3,FALSE),"")</f>
        <v/>
      </c>
      <c r="L2392" s="45" t="str">
        <f>IFERROR(VLOOKUP(B2392,'Pre-Summary'!$CU$6:$CW$36,3,FALSE),"")</f>
        <v/>
      </c>
      <c r="M2392" s="45" t="str">
        <f>IFERROR(VLOOKUP(B2392,'Pre-Summary'!$BW$6:$BY$58,2,FALSE),"")</f>
        <v/>
      </c>
      <c r="N2392" s="45" t="str">
        <f>IFERROR(VLOOKUP(B2392,'Pre-Summary'!$CD$6:$CF$64,2,FALSE),"")</f>
        <v/>
      </c>
      <c r="O2392" s="99">
        <f>IFERROR(VLOOKUP(B2392,'Pre-Summary'!$BO$6:$BQ$48,3, FALSE),O2391)</f>
        <v>1.508</v>
      </c>
      <c r="P2392" s="99">
        <f>IFERROR(VLOOKUP(B2392,'Pre-Summary'!$BS$6:$BU$35,3,FALSE),P2391)</f>
        <v>0.379</v>
      </c>
      <c r="Q2392" s="54">
        <f t="shared" si="111"/>
        <v>3.9788918205804751</v>
      </c>
      <c r="R2392" s="53">
        <f>IFERROR(VLOOKUP(B2392,'Pre-Summary'!$BG$6:$BM$44,7,FALSE),R2393)</f>
        <v>0.10033855833824304</v>
      </c>
      <c r="S2392" s="53">
        <f>IFERROR(VLOOKUP(B2392,'Pre-Summary'!$BG$6:$BM$44,6,FALSE),S2393)</f>
        <v>9.2355104881156017E-2</v>
      </c>
      <c r="T2392" s="45" t="str">
        <f>IFERROR(VLOOKUP(B2392,'Pre-Summary'!$Y$6:$AC$83, 3,FALSE),"")</f>
        <v/>
      </c>
      <c r="U2392" s="45" t="str">
        <f>IFERROR(VLOOKUP(B2392,'Pre-Summary'!$Y$6:$AC$83, 4,FALSE),"")</f>
        <v/>
      </c>
      <c r="V2392" t="str">
        <f>IFERROR(VLOOKUP(B2392,'Pre-Summary'!$Y$6:$AC$83, 5,FALSE),"")</f>
        <v/>
      </c>
      <c r="W2392" s="45" t="str">
        <f>IFERROR(VLOOKUP(B2392,'Pre-Summary'!$Y$6:$AD$83,6,FALSE),"")</f>
        <v/>
      </c>
      <c r="X2392" t="str">
        <f>IFERROR(VLOOKUP('Pre-Summary'!$DB$6:$DD$63,3,FALSE),"")</f>
        <v/>
      </c>
      <c r="Y2392" t="str">
        <f>IFERROR(VLOOKUP(B2392,'Pre-Summary'!$CR$6:$CT$36,3,FALSE),"")</f>
        <v/>
      </c>
      <c r="Z2392" s="45" t="str">
        <f>IFERROR(VLOOKUP(B2392,'Pre-Summary'!$BZ$6:$CB$63,2,FALSE),"")</f>
        <v/>
      </c>
      <c r="AA2392" s="45" t="str">
        <f>IFERROR(VLOOKUP(B2392,'Pre-Summary'!$CG$6:$CI$70,2,FALSE),"")</f>
        <v/>
      </c>
      <c r="AB2392" s="99">
        <f>IFERROR(VLOOKUP(B2392,'Pre-Summary'!$A$6:$P$178,9,FALSE),AB2393)</f>
        <v>0.38366504783087224</v>
      </c>
      <c r="AC2392" s="10">
        <f>IFERROR(VLOOKUP(Summary!B2392,'Pre-Summary'!$A$6:$P$184,5, FALSE)/100,AC2393)</f>
        <v>0.95182900000000004</v>
      </c>
      <c r="AD2392" s="10">
        <f>IFERROR(VLOOKUP(Summary!B2392,'Pre-Summary'!$A$6:$P$184,3, FALSE)/100,AD2393)</f>
        <v>4.3159666666666673E-2</v>
      </c>
      <c r="AE2392" s="10">
        <f>IFERROR(VLOOKUP(Summary!B2392,'Pre-Summary'!$A$6:$P$184,7, FALSE)/100,AE2393)</f>
        <v>5.0109999999999998E-3</v>
      </c>
      <c r="AF2392" s="99">
        <f t="shared" si="112"/>
        <v>1.6558855576031171E-2</v>
      </c>
      <c r="AG2392" s="99">
        <f t="shared" si="113"/>
        <v>1.9225455546805006E-3</v>
      </c>
      <c r="AH2392" s="10" t="str">
        <f>IFERROR(VLOOKUP(B2392,'Pre-Summary'!$AZ$6:$BE$65,3,FALSE),"")</f>
        <v/>
      </c>
      <c r="AI2392" s="10" t="str">
        <f>IFERROR(VLOOKUP(B2392,'Pre-Summary'!$AZ$6:$BE$65,5,FALSE),"")</f>
        <v/>
      </c>
      <c r="AJ2392" s="10" t="str">
        <f>IFERROR(VLOOKUP(B2392,'Pre-Summary'!$AZ$6:$BE$65,4,FALSE),"")</f>
        <v/>
      </c>
      <c r="AK2392" s="10" t="str">
        <f>IFERROR(VLOOKUP(B2392,'Pre-Summary'!$AZ$6:$BE$65,6,FALSE),"")</f>
        <v/>
      </c>
      <c r="AL2392" s="10" t="str">
        <f>IFERROR(VLOOKUP(B2392,'Pre-Summary'!$BG$6:$BL$44,3,FALSE),"")</f>
        <v/>
      </c>
      <c r="AM2392" s="10" t="str">
        <f>IFERROR(VLOOKUP(B2392,'Pre-Summary'!$BG$6:$BL$44,4,FALSE),"")</f>
        <v/>
      </c>
    </row>
    <row r="2393" spans="2:39" ht="15" customHeight="1" x14ac:dyDescent="0.3">
      <c r="B2393">
        <v>239</v>
      </c>
      <c r="C2393" t="str">
        <f>IFERROR(VLOOKUP(B2393,'Pre-Summary'!$DI$6:$DM$23,4,FALSE),"")</f>
        <v/>
      </c>
      <c r="D2393" s="10" t="str">
        <f>IFERROR(VLOOKUP(B2393,'Pre-Summary'!$AT$6:$AX$14,5,FALSE),D2392)</f>
        <v>Wolfe v3: went back to modified wolfe + EDTA and switched CuSO4 to CUCl2</v>
      </c>
      <c r="E2393" s="10" t="str">
        <f>IFERROR(VLOOKUP(B2393,'Pre-Summary'!$AT$6:$AX$15,4,FALSE),"")</f>
        <v/>
      </c>
      <c r="F2393">
        <f>IFERROR(VLOOKUP(B2393,'Pre-Summary'!$AL$6:$AQ$13,6,FALSE),F2392)</f>
        <v>5.9405263157894746E-2</v>
      </c>
      <c r="G2393" t="str">
        <f>IFERROR(VLOOKUP(B2393,'Pre-Summary'!$AE$6:$AJ$85,3,FALSE),"")</f>
        <v/>
      </c>
      <c r="H2393" t="str">
        <f>IFERROR(VLOOKUP(B2393,'Pre-Summary'!$AE$6:$AJ$85,4,FALSE),"")</f>
        <v/>
      </c>
      <c r="I2393" t="str">
        <f>IFERROR(VLOOKUP(B2393,'Pre-Summary'!$AE$6:$AJ$85,5,FALSE),"")</f>
        <v/>
      </c>
      <c r="J2393" s="45" t="str">
        <f>IFERROR(VLOOKUP(B2393,'Pre-Summary'!$AE$6:$AJ$85,6, FALSE),"")</f>
        <v/>
      </c>
      <c r="K2393" s="45" t="str">
        <f>IFERROR(VLOOKUP(B2393,'Pre-Summary'!$DE$6:$DG$61,3,FALSE),"")</f>
        <v/>
      </c>
      <c r="L2393" s="45" t="str">
        <f>IFERROR(VLOOKUP(B2393,'Pre-Summary'!$CU$6:$CW$36,3,FALSE),"")</f>
        <v/>
      </c>
      <c r="M2393" s="45" t="str">
        <f>IFERROR(VLOOKUP(B2393,'Pre-Summary'!$BW$6:$BY$58,2,FALSE),"")</f>
        <v/>
      </c>
      <c r="N2393" s="45" t="str">
        <f>IFERROR(VLOOKUP(B2393,'Pre-Summary'!$CD$6:$CF$64,2,FALSE),"")</f>
        <v/>
      </c>
      <c r="O2393" s="99">
        <f>IFERROR(VLOOKUP(B2393,'Pre-Summary'!$BO$6:$BQ$48,3, FALSE),O2392)</f>
        <v>1.508</v>
      </c>
      <c r="P2393" s="99">
        <f>IFERROR(VLOOKUP(B2393,'Pre-Summary'!$BS$6:$BU$35,3,FALSE),P2392)</f>
        <v>0.379</v>
      </c>
      <c r="Q2393" s="54">
        <f t="shared" si="111"/>
        <v>3.9788918205804751</v>
      </c>
      <c r="R2393" s="53">
        <f>IFERROR(VLOOKUP(B2393,'Pre-Summary'!$BG$6:$BM$44,7,FALSE),R2394)</f>
        <v>0.10033855833824304</v>
      </c>
      <c r="S2393" s="53">
        <f>IFERROR(VLOOKUP(B2393,'Pre-Summary'!$BG$6:$BM$44,6,FALSE),S2394)</f>
        <v>9.2355104881156017E-2</v>
      </c>
      <c r="T2393" s="45" t="str">
        <f>IFERROR(VLOOKUP(B2393,'Pre-Summary'!$Y$6:$AC$83, 3,FALSE),"")</f>
        <v/>
      </c>
      <c r="U2393" s="45" t="str">
        <f>IFERROR(VLOOKUP(B2393,'Pre-Summary'!$Y$6:$AC$83, 4,FALSE),"")</f>
        <v/>
      </c>
      <c r="V2393" t="str">
        <f>IFERROR(VLOOKUP(B2393,'Pre-Summary'!$Y$6:$AC$83, 5,FALSE),"")</f>
        <v/>
      </c>
      <c r="W2393" s="45" t="str">
        <f>IFERROR(VLOOKUP(B2393,'Pre-Summary'!$Y$6:$AD$83,6,FALSE),"")</f>
        <v/>
      </c>
      <c r="X2393" t="str">
        <f>IFERROR(VLOOKUP('Pre-Summary'!$DB$6:$DD$63,3,FALSE),"")</f>
        <v/>
      </c>
      <c r="Y2393" t="str">
        <f>IFERROR(VLOOKUP(B2393,'Pre-Summary'!$CR$6:$CT$36,3,FALSE),"")</f>
        <v/>
      </c>
      <c r="Z2393" s="45" t="str">
        <f>IFERROR(VLOOKUP(B2393,'Pre-Summary'!$BZ$6:$CB$63,2,FALSE),"")</f>
        <v/>
      </c>
      <c r="AA2393" s="45" t="str">
        <f>IFERROR(VLOOKUP(B2393,'Pre-Summary'!$CG$6:$CI$70,2,FALSE),"")</f>
        <v/>
      </c>
      <c r="AB2393" s="99">
        <f>IFERROR(VLOOKUP(B2393,'Pre-Summary'!$A$6:$P$178,9,FALSE),AB2394)</f>
        <v>0.36931468446424193</v>
      </c>
      <c r="AC2393" s="10">
        <f>IFERROR(VLOOKUP(Summary!B2393,'Pre-Summary'!$A$6:$P$184,5, FALSE)/100,AC2394)</f>
        <v>0.94508233333333336</v>
      </c>
      <c r="AD2393" s="10">
        <f>IFERROR(VLOOKUP(Summary!B2393,'Pre-Summary'!$A$6:$P$184,3, FALSE)/100,AD2394)</f>
        <v>4.7865666666666667E-2</v>
      </c>
      <c r="AE2393" s="10">
        <f>IFERROR(VLOOKUP(Summary!B2393,'Pre-Summary'!$A$6:$P$184,7, FALSE)/100,AE2394)</f>
        <v>7.0520000000000001E-3</v>
      </c>
      <c r="AF2393" s="99">
        <f t="shared" si="112"/>
        <v>1.7677493581670582E-2</v>
      </c>
      <c r="AG2393" s="99">
        <f t="shared" si="113"/>
        <v>2.6044071548418342E-3</v>
      </c>
      <c r="AH2393" s="10" t="str">
        <f>IFERROR(VLOOKUP(B2393,'Pre-Summary'!$AZ$6:$BE$65,3,FALSE),"")</f>
        <v/>
      </c>
      <c r="AI2393" s="10" t="str">
        <f>IFERROR(VLOOKUP(B2393,'Pre-Summary'!$AZ$6:$BE$65,5,FALSE),"")</f>
        <v/>
      </c>
      <c r="AJ2393" s="10" t="str">
        <f>IFERROR(VLOOKUP(B2393,'Pre-Summary'!$AZ$6:$BE$65,4,FALSE),"")</f>
        <v/>
      </c>
      <c r="AK2393" s="10" t="str">
        <f>IFERROR(VLOOKUP(B2393,'Pre-Summary'!$AZ$6:$BE$65,6,FALSE),"")</f>
        <v/>
      </c>
      <c r="AL2393" s="10" t="str">
        <f>IFERROR(VLOOKUP(B2393,'Pre-Summary'!$BG$6:$BL$44,3,FALSE),"")</f>
        <v/>
      </c>
      <c r="AM2393" s="10" t="str">
        <f>IFERROR(VLOOKUP(B2393,'Pre-Summary'!$BG$6:$BL$44,4,FALSE),"")</f>
        <v/>
      </c>
    </row>
    <row r="2394" spans="2:39" ht="15" customHeight="1" x14ac:dyDescent="0.3">
      <c r="B2394">
        <v>239.1</v>
      </c>
      <c r="C2394" t="str">
        <f>IFERROR(VLOOKUP(B2394,'Pre-Summary'!$DI$6:$DM$23,4,FALSE),"")</f>
        <v/>
      </c>
      <c r="D2394" s="10" t="str">
        <f>IFERROR(VLOOKUP(B2394,'Pre-Summary'!$AT$6:$AX$14,5,FALSE),D2393)</f>
        <v>Wolfe v3: went back to modified wolfe + EDTA and switched CuSO4 to CUCl2</v>
      </c>
      <c r="E2394" s="10" t="str">
        <f>IFERROR(VLOOKUP(B2394,'Pre-Summary'!$AT$6:$AX$15,4,FALSE),"")</f>
        <v/>
      </c>
      <c r="F2394">
        <f>IFERROR(VLOOKUP(B2394,'Pre-Summary'!$AL$6:$AQ$13,6,FALSE),F2393)</f>
        <v>5.9405263157894746E-2</v>
      </c>
      <c r="G2394" t="str">
        <f>IFERROR(VLOOKUP(B2394,'Pre-Summary'!$AE$6:$AJ$85,3,FALSE),"")</f>
        <v/>
      </c>
      <c r="H2394" t="str">
        <f>IFERROR(VLOOKUP(B2394,'Pre-Summary'!$AE$6:$AJ$85,4,FALSE),"")</f>
        <v/>
      </c>
      <c r="I2394" t="str">
        <f>IFERROR(VLOOKUP(B2394,'Pre-Summary'!$AE$6:$AJ$85,5,FALSE),"")</f>
        <v/>
      </c>
      <c r="J2394" s="45" t="str">
        <f>IFERROR(VLOOKUP(B2394,'Pre-Summary'!$AE$6:$AJ$85,6, FALSE),"")</f>
        <v/>
      </c>
      <c r="K2394" s="45" t="str">
        <f>IFERROR(VLOOKUP(B2394,'Pre-Summary'!$DE$6:$DG$61,3,FALSE),"")</f>
        <v/>
      </c>
      <c r="L2394" s="45" t="str">
        <f>IFERROR(VLOOKUP(B2394,'Pre-Summary'!$CU$6:$CW$36,3,FALSE),"")</f>
        <v/>
      </c>
      <c r="M2394" s="45" t="str">
        <f>IFERROR(VLOOKUP(B2394,'Pre-Summary'!$BW$6:$BY$58,2,FALSE),"")</f>
        <v/>
      </c>
      <c r="N2394" s="45" t="str">
        <f>IFERROR(VLOOKUP(B2394,'Pre-Summary'!$CD$6:$CF$64,2,FALSE),"")</f>
        <v/>
      </c>
      <c r="O2394" s="99">
        <f>IFERROR(VLOOKUP(B2394,'Pre-Summary'!$BO$6:$BQ$48,3, FALSE),O2393)</f>
        <v>1.508</v>
      </c>
      <c r="P2394" s="99">
        <f>IFERROR(VLOOKUP(B2394,'Pre-Summary'!$BS$6:$BU$35,3,FALSE),P2393)</f>
        <v>0.379</v>
      </c>
      <c r="Q2394" s="54">
        <f t="shared" si="111"/>
        <v>3.9788918205804751</v>
      </c>
      <c r="R2394" s="53">
        <f>IFERROR(VLOOKUP(B2394,'Pre-Summary'!$BG$6:$BM$44,7,FALSE),R2395)</f>
        <v>0.10033855833824304</v>
      </c>
      <c r="S2394" s="53">
        <f>IFERROR(VLOOKUP(B2394,'Pre-Summary'!$BG$6:$BM$44,6,FALSE),S2395)</f>
        <v>9.2355104881156017E-2</v>
      </c>
      <c r="T2394" s="45" t="str">
        <f>IFERROR(VLOOKUP(B2394,'Pre-Summary'!$Y$6:$AC$83, 3,FALSE),"")</f>
        <v/>
      </c>
      <c r="U2394" s="45" t="str">
        <f>IFERROR(VLOOKUP(B2394,'Pre-Summary'!$Y$6:$AC$83, 4,FALSE),"")</f>
        <v/>
      </c>
      <c r="V2394" t="str">
        <f>IFERROR(VLOOKUP(B2394,'Pre-Summary'!$Y$6:$AC$83, 5,FALSE),"")</f>
        <v/>
      </c>
      <c r="W2394" s="45" t="str">
        <f>IFERROR(VLOOKUP(B2394,'Pre-Summary'!$Y$6:$AD$83,6,FALSE),"")</f>
        <v/>
      </c>
      <c r="X2394" t="str">
        <f>IFERROR(VLOOKUP('Pre-Summary'!$DB$6:$DD$63,3,FALSE),"")</f>
        <v/>
      </c>
      <c r="Y2394" t="str">
        <f>IFERROR(VLOOKUP(B2394,'Pre-Summary'!$CR$6:$CT$36,3,FALSE),"")</f>
        <v/>
      </c>
      <c r="Z2394" s="45" t="str">
        <f>IFERROR(VLOOKUP(B2394,'Pre-Summary'!$BZ$6:$CB$63,2,FALSE),"")</f>
        <v/>
      </c>
      <c r="AA2394" s="45" t="str">
        <f>IFERROR(VLOOKUP(B2394,'Pre-Summary'!$CG$6:$CI$70,2,FALSE),"")</f>
        <v/>
      </c>
      <c r="AB2394" s="99">
        <f>IFERROR(VLOOKUP(B2394,'Pre-Summary'!$A$6:$P$178,9,FALSE),AB2395)</f>
        <v>0.36931468446424193</v>
      </c>
      <c r="AC2394" s="10">
        <f>IFERROR(VLOOKUP(Summary!B2394,'Pre-Summary'!$A$6:$P$184,5, FALSE)/100,AC2395)</f>
        <v>0.94508233333333336</v>
      </c>
      <c r="AD2394" s="10">
        <f>IFERROR(VLOOKUP(Summary!B2394,'Pre-Summary'!$A$6:$P$184,3, FALSE)/100,AD2395)</f>
        <v>4.7865666666666667E-2</v>
      </c>
      <c r="AE2394" s="10">
        <f>IFERROR(VLOOKUP(Summary!B2394,'Pre-Summary'!$A$6:$P$184,7, FALSE)/100,AE2395)</f>
        <v>7.0520000000000001E-3</v>
      </c>
      <c r="AF2394" s="99">
        <f t="shared" si="112"/>
        <v>1.7677493581670582E-2</v>
      </c>
      <c r="AG2394" s="99">
        <f t="shared" si="113"/>
        <v>2.6044071548418342E-3</v>
      </c>
      <c r="AH2394" s="10" t="str">
        <f>IFERROR(VLOOKUP(B2394,'Pre-Summary'!$AZ$6:$BE$65,3,FALSE),"")</f>
        <v/>
      </c>
      <c r="AI2394" s="10" t="str">
        <f>IFERROR(VLOOKUP(B2394,'Pre-Summary'!$AZ$6:$BE$65,5,FALSE),"")</f>
        <v/>
      </c>
      <c r="AJ2394" s="10" t="str">
        <f>IFERROR(VLOOKUP(B2394,'Pre-Summary'!$AZ$6:$BE$65,4,FALSE),"")</f>
        <v/>
      </c>
      <c r="AK2394" s="10" t="str">
        <f>IFERROR(VLOOKUP(B2394,'Pre-Summary'!$AZ$6:$BE$65,6,FALSE),"")</f>
        <v/>
      </c>
      <c r="AL2394" s="10" t="str">
        <f>IFERROR(VLOOKUP(B2394,'Pre-Summary'!$BG$6:$BL$44,3,FALSE),"")</f>
        <v/>
      </c>
      <c r="AM2394" s="10" t="str">
        <f>IFERROR(VLOOKUP(B2394,'Pre-Summary'!$BG$6:$BL$44,4,FALSE),"")</f>
        <v/>
      </c>
    </row>
    <row r="2395" spans="2:39" ht="15" customHeight="1" x14ac:dyDescent="0.3">
      <c r="B2395">
        <v>239.2</v>
      </c>
      <c r="C2395" t="str">
        <f>IFERROR(VLOOKUP(B2395,'Pre-Summary'!$DI$6:$DM$23,4,FALSE),"")</f>
        <v/>
      </c>
      <c r="D2395" s="10" t="str">
        <f>IFERROR(VLOOKUP(B2395,'Pre-Summary'!$AT$6:$AX$14,5,FALSE),D2394)</f>
        <v>Wolfe v3: went back to modified wolfe + EDTA and switched CuSO4 to CUCl2</v>
      </c>
      <c r="E2395" s="10" t="str">
        <f>IFERROR(VLOOKUP(B2395,'Pre-Summary'!$AT$6:$AX$15,4,FALSE),"")</f>
        <v/>
      </c>
      <c r="F2395">
        <f>IFERROR(VLOOKUP(B2395,'Pre-Summary'!$AL$6:$AQ$13,6,FALSE),F2394)</f>
        <v>5.9405263157894746E-2</v>
      </c>
      <c r="G2395" t="str">
        <f>IFERROR(VLOOKUP(B2395,'Pre-Summary'!$AE$6:$AJ$85,3,FALSE),"")</f>
        <v/>
      </c>
      <c r="H2395" t="str">
        <f>IFERROR(VLOOKUP(B2395,'Pre-Summary'!$AE$6:$AJ$85,4,FALSE),"")</f>
        <v/>
      </c>
      <c r="I2395" t="str">
        <f>IFERROR(VLOOKUP(B2395,'Pre-Summary'!$AE$6:$AJ$85,5,FALSE),"")</f>
        <v/>
      </c>
      <c r="J2395" s="45" t="str">
        <f>IFERROR(VLOOKUP(B2395,'Pre-Summary'!$AE$6:$AJ$85,6, FALSE),"")</f>
        <v/>
      </c>
      <c r="K2395" s="45" t="str">
        <f>IFERROR(VLOOKUP(B2395,'Pre-Summary'!$DE$6:$DG$61,3,FALSE),"")</f>
        <v/>
      </c>
      <c r="L2395" s="45" t="str">
        <f>IFERROR(VLOOKUP(B2395,'Pre-Summary'!$CU$6:$CW$36,3,FALSE),"")</f>
        <v/>
      </c>
      <c r="M2395" s="45" t="str">
        <f>IFERROR(VLOOKUP(B2395,'Pre-Summary'!$BW$6:$BY$58,2,FALSE),"")</f>
        <v/>
      </c>
      <c r="N2395" s="45" t="str">
        <f>IFERROR(VLOOKUP(B2395,'Pre-Summary'!$CD$6:$CF$64,2,FALSE),"")</f>
        <v/>
      </c>
      <c r="O2395" s="99">
        <f>IFERROR(VLOOKUP(B2395,'Pre-Summary'!$BO$6:$BQ$48,3, FALSE),O2394)</f>
        <v>1.508</v>
      </c>
      <c r="P2395" s="99">
        <f>IFERROR(VLOOKUP(B2395,'Pre-Summary'!$BS$6:$BU$35,3,FALSE),P2394)</f>
        <v>0.379</v>
      </c>
      <c r="Q2395" s="54">
        <f t="shared" si="111"/>
        <v>3.9788918205804751</v>
      </c>
      <c r="R2395" s="53">
        <f>IFERROR(VLOOKUP(B2395,'Pre-Summary'!$BG$6:$BM$44,7,FALSE),R2396)</f>
        <v>0.10033855833824304</v>
      </c>
      <c r="S2395" s="53">
        <f>IFERROR(VLOOKUP(B2395,'Pre-Summary'!$BG$6:$BM$44,6,FALSE),S2396)</f>
        <v>9.2355104881156017E-2</v>
      </c>
      <c r="T2395" s="45" t="str">
        <f>IFERROR(VLOOKUP(B2395,'Pre-Summary'!$Y$6:$AC$83, 3,FALSE),"")</f>
        <v/>
      </c>
      <c r="U2395" s="45" t="str">
        <f>IFERROR(VLOOKUP(B2395,'Pre-Summary'!$Y$6:$AC$83, 4,FALSE),"")</f>
        <v/>
      </c>
      <c r="V2395" t="str">
        <f>IFERROR(VLOOKUP(B2395,'Pre-Summary'!$Y$6:$AC$83, 5,FALSE),"")</f>
        <v/>
      </c>
      <c r="W2395" s="45" t="str">
        <f>IFERROR(VLOOKUP(B2395,'Pre-Summary'!$Y$6:$AD$83,6,FALSE),"")</f>
        <v/>
      </c>
      <c r="X2395" t="str">
        <f>IFERROR(VLOOKUP('Pre-Summary'!$DB$6:$DD$63,3,FALSE),"")</f>
        <v/>
      </c>
      <c r="Y2395" t="str">
        <f>IFERROR(VLOOKUP(B2395,'Pre-Summary'!$CR$6:$CT$36,3,FALSE),"")</f>
        <v/>
      </c>
      <c r="Z2395" s="45" t="str">
        <f>IFERROR(VLOOKUP(B2395,'Pre-Summary'!$BZ$6:$CB$63,2,FALSE),"")</f>
        <v/>
      </c>
      <c r="AA2395" s="45" t="str">
        <f>IFERROR(VLOOKUP(B2395,'Pre-Summary'!$CG$6:$CI$70,2,FALSE),"")</f>
        <v/>
      </c>
      <c r="AB2395" s="99">
        <f>IFERROR(VLOOKUP(B2395,'Pre-Summary'!$A$6:$P$178,9,FALSE),AB2396)</f>
        <v>0.36931468446424193</v>
      </c>
      <c r="AC2395" s="10">
        <f>IFERROR(VLOOKUP(Summary!B2395,'Pre-Summary'!$A$6:$P$184,5, FALSE)/100,AC2396)</f>
        <v>0.94508233333333336</v>
      </c>
      <c r="AD2395" s="10">
        <f>IFERROR(VLOOKUP(Summary!B2395,'Pre-Summary'!$A$6:$P$184,3, FALSE)/100,AD2396)</f>
        <v>4.7865666666666667E-2</v>
      </c>
      <c r="AE2395" s="10">
        <f>IFERROR(VLOOKUP(Summary!B2395,'Pre-Summary'!$A$6:$P$184,7, FALSE)/100,AE2396)</f>
        <v>7.0520000000000001E-3</v>
      </c>
      <c r="AF2395" s="99">
        <f t="shared" si="112"/>
        <v>1.7677493581670582E-2</v>
      </c>
      <c r="AG2395" s="99">
        <f t="shared" si="113"/>
        <v>2.6044071548418342E-3</v>
      </c>
      <c r="AH2395" s="10" t="str">
        <f>IFERROR(VLOOKUP(B2395,'Pre-Summary'!$AZ$6:$BE$65,3,FALSE),"")</f>
        <v/>
      </c>
      <c r="AI2395" s="10" t="str">
        <f>IFERROR(VLOOKUP(B2395,'Pre-Summary'!$AZ$6:$BE$65,5,FALSE),"")</f>
        <v/>
      </c>
      <c r="AJ2395" s="10" t="str">
        <f>IFERROR(VLOOKUP(B2395,'Pre-Summary'!$AZ$6:$BE$65,4,FALSE),"")</f>
        <v/>
      </c>
      <c r="AK2395" s="10" t="str">
        <f>IFERROR(VLOOKUP(B2395,'Pre-Summary'!$AZ$6:$BE$65,6,FALSE),"")</f>
        <v/>
      </c>
      <c r="AL2395" s="10" t="str">
        <f>IFERROR(VLOOKUP(B2395,'Pre-Summary'!$BG$6:$BL$44,3,FALSE),"")</f>
        <v/>
      </c>
      <c r="AM2395" s="10" t="str">
        <f>IFERROR(VLOOKUP(B2395,'Pre-Summary'!$BG$6:$BL$44,4,FALSE),"")</f>
        <v/>
      </c>
    </row>
    <row r="2396" spans="2:39" ht="15" customHeight="1" x14ac:dyDescent="0.3">
      <c r="B2396">
        <v>239.3</v>
      </c>
      <c r="C2396" t="str">
        <f>IFERROR(VLOOKUP(B2396,'Pre-Summary'!$DI$6:$DM$23,4,FALSE),"")</f>
        <v/>
      </c>
      <c r="D2396" s="10" t="str">
        <f>IFERROR(VLOOKUP(B2396,'Pre-Summary'!$AT$6:$AX$14,5,FALSE),D2395)</f>
        <v>Wolfe v3: went back to modified wolfe + EDTA and switched CuSO4 to CUCl2</v>
      </c>
      <c r="E2396" s="10" t="str">
        <f>IFERROR(VLOOKUP(B2396,'Pre-Summary'!$AT$6:$AX$15,4,FALSE),"")</f>
        <v/>
      </c>
      <c r="F2396">
        <f>IFERROR(VLOOKUP(B2396,'Pre-Summary'!$AL$6:$AQ$13,6,FALSE),F2395)</f>
        <v>5.9405263157894746E-2</v>
      </c>
      <c r="G2396" t="str">
        <f>IFERROR(VLOOKUP(B2396,'Pre-Summary'!$AE$6:$AJ$85,3,FALSE),"")</f>
        <v/>
      </c>
      <c r="H2396" t="str">
        <f>IFERROR(VLOOKUP(B2396,'Pre-Summary'!$AE$6:$AJ$85,4,FALSE),"")</f>
        <v/>
      </c>
      <c r="I2396" t="str">
        <f>IFERROR(VLOOKUP(B2396,'Pre-Summary'!$AE$6:$AJ$85,5,FALSE),"")</f>
        <v/>
      </c>
      <c r="J2396" s="45" t="str">
        <f>IFERROR(VLOOKUP(B2396,'Pre-Summary'!$AE$6:$AJ$85,6, FALSE),"")</f>
        <v/>
      </c>
      <c r="K2396" s="45" t="str">
        <f>IFERROR(VLOOKUP(B2396,'Pre-Summary'!$DE$6:$DG$61,3,FALSE),"")</f>
        <v/>
      </c>
      <c r="L2396" s="45" t="str">
        <f>IFERROR(VLOOKUP(B2396,'Pre-Summary'!$CU$6:$CW$36,3,FALSE),"")</f>
        <v/>
      </c>
      <c r="M2396" s="45" t="str">
        <f>IFERROR(VLOOKUP(B2396,'Pre-Summary'!$BW$6:$BY$58,2,FALSE),"")</f>
        <v/>
      </c>
      <c r="N2396" s="45" t="str">
        <f>IFERROR(VLOOKUP(B2396,'Pre-Summary'!$CD$6:$CF$64,2,FALSE),"")</f>
        <v/>
      </c>
      <c r="O2396" s="99">
        <f>IFERROR(VLOOKUP(B2396,'Pre-Summary'!$BO$6:$BQ$48,3, FALSE),O2395)</f>
        <v>1.508</v>
      </c>
      <c r="P2396" s="99">
        <f>IFERROR(VLOOKUP(B2396,'Pre-Summary'!$BS$6:$BU$35,3,FALSE),P2395)</f>
        <v>0.379</v>
      </c>
      <c r="Q2396" s="54">
        <f t="shared" si="111"/>
        <v>3.9788918205804751</v>
      </c>
      <c r="R2396" s="53">
        <f>IFERROR(VLOOKUP(B2396,'Pre-Summary'!$BG$6:$BM$44,7,FALSE),R2397)</f>
        <v>0.10033855833824304</v>
      </c>
      <c r="S2396" s="53">
        <f>IFERROR(VLOOKUP(B2396,'Pre-Summary'!$BG$6:$BM$44,6,FALSE),S2397)</f>
        <v>9.2355104881156017E-2</v>
      </c>
      <c r="T2396" s="45" t="str">
        <f>IFERROR(VLOOKUP(B2396,'Pre-Summary'!$Y$6:$AC$83, 3,FALSE),"")</f>
        <v/>
      </c>
      <c r="U2396" s="45" t="str">
        <f>IFERROR(VLOOKUP(B2396,'Pre-Summary'!$Y$6:$AC$83, 4,FALSE),"")</f>
        <v/>
      </c>
      <c r="V2396" t="str">
        <f>IFERROR(VLOOKUP(B2396,'Pre-Summary'!$Y$6:$AC$83, 5,FALSE),"")</f>
        <v/>
      </c>
      <c r="W2396" s="45" t="str">
        <f>IFERROR(VLOOKUP(B2396,'Pre-Summary'!$Y$6:$AD$83,6,FALSE),"")</f>
        <v/>
      </c>
      <c r="X2396" t="str">
        <f>IFERROR(VLOOKUP('Pre-Summary'!$DB$6:$DD$63,3,FALSE),"")</f>
        <v/>
      </c>
      <c r="Y2396" t="str">
        <f>IFERROR(VLOOKUP(B2396,'Pre-Summary'!$CR$6:$CT$36,3,FALSE),"")</f>
        <v/>
      </c>
      <c r="Z2396" s="45" t="str">
        <f>IFERROR(VLOOKUP(B2396,'Pre-Summary'!$BZ$6:$CB$63,2,FALSE),"")</f>
        <v/>
      </c>
      <c r="AA2396" s="45" t="str">
        <f>IFERROR(VLOOKUP(B2396,'Pre-Summary'!$CG$6:$CI$70,2,FALSE),"")</f>
        <v/>
      </c>
      <c r="AB2396" s="99">
        <f>IFERROR(VLOOKUP(B2396,'Pre-Summary'!$A$6:$P$178,9,FALSE),AB2397)</f>
        <v>0.36931468446424193</v>
      </c>
      <c r="AC2396" s="10">
        <f>IFERROR(VLOOKUP(Summary!B2396,'Pre-Summary'!$A$6:$P$184,5, FALSE)/100,AC2397)</f>
        <v>0.94508233333333336</v>
      </c>
      <c r="AD2396" s="10">
        <f>IFERROR(VLOOKUP(Summary!B2396,'Pre-Summary'!$A$6:$P$184,3, FALSE)/100,AD2397)</f>
        <v>4.7865666666666667E-2</v>
      </c>
      <c r="AE2396" s="10">
        <f>IFERROR(VLOOKUP(Summary!B2396,'Pre-Summary'!$A$6:$P$184,7, FALSE)/100,AE2397)</f>
        <v>7.0520000000000001E-3</v>
      </c>
      <c r="AF2396" s="99">
        <f t="shared" si="112"/>
        <v>1.7677493581670582E-2</v>
      </c>
      <c r="AG2396" s="99">
        <f t="shared" si="113"/>
        <v>2.6044071548418342E-3</v>
      </c>
      <c r="AH2396" s="10" t="str">
        <f>IFERROR(VLOOKUP(B2396,'Pre-Summary'!$AZ$6:$BE$65,3,FALSE),"")</f>
        <v/>
      </c>
      <c r="AI2396" s="10" t="str">
        <f>IFERROR(VLOOKUP(B2396,'Pre-Summary'!$AZ$6:$BE$65,5,FALSE),"")</f>
        <v/>
      </c>
      <c r="AJ2396" s="10" t="str">
        <f>IFERROR(VLOOKUP(B2396,'Pre-Summary'!$AZ$6:$BE$65,4,FALSE),"")</f>
        <v/>
      </c>
      <c r="AK2396" s="10" t="str">
        <f>IFERROR(VLOOKUP(B2396,'Pre-Summary'!$AZ$6:$BE$65,6,FALSE),"")</f>
        <v/>
      </c>
      <c r="AL2396" s="10" t="str">
        <f>IFERROR(VLOOKUP(B2396,'Pre-Summary'!$BG$6:$BL$44,3,FALSE),"")</f>
        <v/>
      </c>
      <c r="AM2396" s="10" t="str">
        <f>IFERROR(VLOOKUP(B2396,'Pre-Summary'!$BG$6:$BL$44,4,FALSE),"")</f>
        <v/>
      </c>
    </row>
    <row r="2397" spans="2:39" ht="15" customHeight="1" x14ac:dyDescent="0.3">
      <c r="B2397">
        <v>239.4</v>
      </c>
      <c r="C2397" t="str">
        <f>IFERROR(VLOOKUP(B2397,'Pre-Summary'!$DI$6:$DM$23,4,FALSE),"")</f>
        <v/>
      </c>
      <c r="D2397" s="10" t="str">
        <f>IFERROR(VLOOKUP(B2397,'Pre-Summary'!$AT$6:$AX$14,5,FALSE),D2396)</f>
        <v>Wolfe v3: went back to modified wolfe + EDTA and switched CuSO4 to CUCl2</v>
      </c>
      <c r="E2397" s="10" t="str">
        <f>IFERROR(VLOOKUP(B2397,'Pre-Summary'!$AT$6:$AX$15,4,FALSE),"")</f>
        <v/>
      </c>
      <c r="F2397">
        <f>IFERROR(VLOOKUP(B2397,'Pre-Summary'!$AL$6:$AQ$13,6,FALSE),F2396)</f>
        <v>5.9405263157894746E-2</v>
      </c>
      <c r="G2397" t="str">
        <f>IFERROR(VLOOKUP(B2397,'Pre-Summary'!$AE$6:$AJ$85,3,FALSE),"")</f>
        <v/>
      </c>
      <c r="H2397" t="str">
        <f>IFERROR(VLOOKUP(B2397,'Pre-Summary'!$AE$6:$AJ$85,4,FALSE),"")</f>
        <v/>
      </c>
      <c r="I2397" t="str">
        <f>IFERROR(VLOOKUP(B2397,'Pre-Summary'!$AE$6:$AJ$85,5,FALSE),"")</f>
        <v/>
      </c>
      <c r="J2397" s="45" t="str">
        <f>IFERROR(VLOOKUP(B2397,'Pre-Summary'!$AE$6:$AJ$85,6, FALSE),"")</f>
        <v/>
      </c>
      <c r="K2397" s="45" t="str">
        <f>IFERROR(VLOOKUP(B2397,'Pre-Summary'!$DE$6:$DG$61,3,FALSE),"")</f>
        <v/>
      </c>
      <c r="L2397" s="45" t="str">
        <f>IFERROR(VLOOKUP(B2397,'Pre-Summary'!$CU$6:$CW$36,3,FALSE),"")</f>
        <v/>
      </c>
      <c r="M2397" s="45" t="str">
        <f>IFERROR(VLOOKUP(B2397,'Pre-Summary'!$BW$6:$BY$58,2,FALSE),"")</f>
        <v/>
      </c>
      <c r="N2397" s="45" t="str">
        <f>IFERROR(VLOOKUP(B2397,'Pre-Summary'!$CD$6:$CF$64,2,FALSE),"")</f>
        <v/>
      </c>
      <c r="O2397" s="99">
        <f>IFERROR(VLOOKUP(B2397,'Pre-Summary'!$BO$6:$BQ$48,3, FALSE),O2396)</f>
        <v>1.508</v>
      </c>
      <c r="P2397" s="99">
        <f>IFERROR(VLOOKUP(B2397,'Pre-Summary'!$BS$6:$BU$35,3,FALSE),P2396)</f>
        <v>0.379</v>
      </c>
      <c r="Q2397" s="54">
        <f t="shared" si="111"/>
        <v>3.9788918205804751</v>
      </c>
      <c r="R2397" s="53">
        <f>IFERROR(VLOOKUP(B2397,'Pre-Summary'!$BG$6:$BM$44,7,FALSE),R2398)</f>
        <v>0.10033855833824304</v>
      </c>
      <c r="S2397" s="53">
        <f>IFERROR(VLOOKUP(B2397,'Pre-Summary'!$BG$6:$BM$44,6,FALSE),S2398)</f>
        <v>9.2355104881156017E-2</v>
      </c>
      <c r="T2397" s="45" t="str">
        <f>IFERROR(VLOOKUP(B2397,'Pre-Summary'!$Y$6:$AC$83, 3,FALSE),"")</f>
        <v/>
      </c>
      <c r="U2397" s="45" t="str">
        <f>IFERROR(VLOOKUP(B2397,'Pre-Summary'!$Y$6:$AC$83, 4,FALSE),"")</f>
        <v/>
      </c>
      <c r="V2397" t="str">
        <f>IFERROR(VLOOKUP(B2397,'Pre-Summary'!$Y$6:$AC$83, 5,FALSE),"")</f>
        <v/>
      </c>
      <c r="W2397" s="45" t="str">
        <f>IFERROR(VLOOKUP(B2397,'Pre-Summary'!$Y$6:$AD$83,6,FALSE),"")</f>
        <v/>
      </c>
      <c r="X2397" t="str">
        <f>IFERROR(VLOOKUP('Pre-Summary'!$DB$6:$DD$63,3,FALSE),"")</f>
        <v/>
      </c>
      <c r="Y2397" t="str">
        <f>IFERROR(VLOOKUP(B2397,'Pre-Summary'!$CR$6:$CT$36,3,FALSE),"")</f>
        <v/>
      </c>
      <c r="Z2397" s="45" t="str">
        <f>IFERROR(VLOOKUP(B2397,'Pre-Summary'!$BZ$6:$CB$63,2,FALSE),"")</f>
        <v/>
      </c>
      <c r="AA2397" s="45" t="str">
        <f>IFERROR(VLOOKUP(B2397,'Pre-Summary'!$CG$6:$CI$70,2,FALSE),"")</f>
        <v/>
      </c>
      <c r="AB2397" s="99">
        <f>IFERROR(VLOOKUP(B2397,'Pre-Summary'!$A$6:$P$178,9,FALSE),AB2398)</f>
        <v>0.36931468446424193</v>
      </c>
      <c r="AC2397" s="10">
        <f>IFERROR(VLOOKUP(Summary!B2397,'Pre-Summary'!$A$6:$P$184,5, FALSE)/100,AC2398)</f>
        <v>0.94508233333333336</v>
      </c>
      <c r="AD2397" s="10">
        <f>IFERROR(VLOOKUP(Summary!B2397,'Pre-Summary'!$A$6:$P$184,3, FALSE)/100,AD2398)</f>
        <v>4.7865666666666667E-2</v>
      </c>
      <c r="AE2397" s="10">
        <f>IFERROR(VLOOKUP(Summary!B2397,'Pre-Summary'!$A$6:$P$184,7, FALSE)/100,AE2398)</f>
        <v>7.0520000000000001E-3</v>
      </c>
      <c r="AF2397" s="99">
        <f t="shared" si="112"/>
        <v>1.7677493581670582E-2</v>
      </c>
      <c r="AG2397" s="99">
        <f t="shared" si="113"/>
        <v>2.6044071548418342E-3</v>
      </c>
      <c r="AH2397" s="10" t="str">
        <f>IFERROR(VLOOKUP(B2397,'Pre-Summary'!$AZ$6:$BE$65,3,FALSE),"")</f>
        <v/>
      </c>
      <c r="AI2397" s="10" t="str">
        <f>IFERROR(VLOOKUP(B2397,'Pre-Summary'!$AZ$6:$BE$65,5,FALSE),"")</f>
        <v/>
      </c>
      <c r="AJ2397" s="10" t="str">
        <f>IFERROR(VLOOKUP(B2397,'Pre-Summary'!$AZ$6:$BE$65,4,FALSE),"")</f>
        <v/>
      </c>
      <c r="AK2397" s="10" t="str">
        <f>IFERROR(VLOOKUP(B2397,'Pre-Summary'!$AZ$6:$BE$65,6,FALSE),"")</f>
        <v/>
      </c>
      <c r="AL2397" s="10" t="str">
        <f>IFERROR(VLOOKUP(B2397,'Pre-Summary'!$BG$6:$BL$44,3,FALSE),"")</f>
        <v/>
      </c>
      <c r="AM2397" s="10" t="str">
        <f>IFERROR(VLOOKUP(B2397,'Pre-Summary'!$BG$6:$BL$44,4,FALSE),"")</f>
        <v/>
      </c>
    </row>
    <row r="2398" spans="2:39" ht="15" customHeight="1" x14ac:dyDescent="0.3">
      <c r="B2398">
        <v>239.5</v>
      </c>
      <c r="C2398" t="str">
        <f>IFERROR(VLOOKUP(B2398,'Pre-Summary'!$DI$6:$DM$23,4,FALSE),"")</f>
        <v/>
      </c>
      <c r="D2398" s="10" t="str">
        <f>IFERROR(VLOOKUP(B2398,'Pre-Summary'!$AT$6:$AX$14,5,FALSE),D2397)</f>
        <v>Wolfe v3: went back to modified wolfe + EDTA and switched CuSO4 to CUCl2</v>
      </c>
      <c r="E2398" s="10" t="str">
        <f>IFERROR(VLOOKUP(B2398,'Pre-Summary'!$AT$6:$AX$15,4,FALSE),"")</f>
        <v/>
      </c>
      <c r="F2398">
        <f>IFERROR(VLOOKUP(B2398,'Pre-Summary'!$AL$6:$AQ$13,6,FALSE),F2397)</f>
        <v>5.9405263157894746E-2</v>
      </c>
      <c r="G2398">
        <f>IFERROR(VLOOKUP(B2398,'Pre-Summary'!$AE$6:$AJ$85,3,FALSE),"")</f>
        <v>138.62710000000001</v>
      </c>
      <c r="H2398">
        <f>IFERROR(VLOOKUP(B2398,'Pre-Summary'!$AE$6:$AJ$85,4,FALSE),"")</f>
        <v>0.88931199999999999</v>
      </c>
      <c r="I2398" t="str">
        <f>IFERROR(VLOOKUP(B2398,'Pre-Summary'!$AE$6:$AJ$85,5,FALSE),"")</f>
        <v/>
      </c>
      <c r="J2398" s="45">
        <f>IFERROR(VLOOKUP(B2398,'Pre-Summary'!$AE$6:$AJ$85,6, FALSE),"")</f>
        <v>147.9151157</v>
      </c>
      <c r="K2398" s="45" t="str">
        <f>IFERROR(VLOOKUP(B2398,'Pre-Summary'!$DE$6:$DG$61,3,FALSE),"")</f>
        <v/>
      </c>
      <c r="L2398" s="45" t="str">
        <f>IFERROR(VLOOKUP(B2398,'Pre-Summary'!$CU$6:$CW$36,3,FALSE),"")</f>
        <v/>
      </c>
      <c r="M2398" s="45" t="str">
        <f>IFERROR(VLOOKUP(B2398,'Pre-Summary'!$BW$6:$BY$58,2,FALSE),"")</f>
        <v/>
      </c>
      <c r="N2398" s="45">
        <f>IFERROR(VLOOKUP(B2398,'Pre-Summary'!$CD$6:$CF$64,2,FALSE),"")</f>
        <v>212.89259987741661</v>
      </c>
      <c r="O2398" s="99">
        <f>IFERROR(VLOOKUP(B2398,'Pre-Summary'!$BO$6:$BQ$48,3, FALSE),O2397)</f>
        <v>1.508</v>
      </c>
      <c r="P2398" s="99">
        <f>IFERROR(VLOOKUP(B2398,'Pre-Summary'!$BS$6:$BU$35,3,FALSE),P2397)</f>
        <v>0.379</v>
      </c>
      <c r="Q2398" s="54">
        <f t="shared" si="111"/>
        <v>3.9788918205804751</v>
      </c>
      <c r="R2398" s="53">
        <f>IFERROR(VLOOKUP(B2398,'Pre-Summary'!$BG$6:$BM$44,7,FALSE),R2399)</f>
        <v>0.10033855833824304</v>
      </c>
      <c r="S2398" s="53">
        <f>IFERROR(VLOOKUP(B2398,'Pre-Summary'!$BG$6:$BM$44,6,FALSE),S2399)</f>
        <v>9.2355104881156017E-2</v>
      </c>
      <c r="T2398" s="45">
        <f>IFERROR(VLOOKUP(B2398,'Pre-Summary'!$Y$6:$AC$83, 3,FALSE),"")</f>
        <v>3.2662110000000002</v>
      </c>
      <c r="U2398" s="45" t="str">
        <f>IFERROR(VLOOKUP(B2398,'Pre-Summary'!$Y$6:$AC$83, 4,FALSE),"")</f>
        <v/>
      </c>
      <c r="V2398" t="str">
        <f>IFERROR(VLOOKUP(B2398,'Pre-Summary'!$Y$6:$AC$83, 5,FALSE),"")</f>
        <v/>
      </c>
      <c r="W2398" s="45">
        <f>IFERROR(VLOOKUP(B2398,'Pre-Summary'!$Y$6:$AD$83,6,FALSE),"")</f>
        <v>3.485047137</v>
      </c>
      <c r="X2398" t="str">
        <f>IFERROR(VLOOKUP('Pre-Summary'!$DB$6:$DD$63,3,FALSE),"")</f>
        <v/>
      </c>
      <c r="Y2398" t="str">
        <f>IFERROR(VLOOKUP(B2398,'Pre-Summary'!$CR$6:$CT$36,3,FALSE),"")</f>
        <v/>
      </c>
      <c r="Z2398" s="45" t="str">
        <f>IFERROR(VLOOKUP(B2398,'Pre-Summary'!$BZ$6:$CB$63,2,FALSE),"")</f>
        <v/>
      </c>
      <c r="AA2398" s="45" t="str">
        <f>IFERROR(VLOOKUP(B2398,'Pre-Summary'!$CG$6:$CI$70,2,FALSE),"")</f>
        <v/>
      </c>
      <c r="AB2398" s="99">
        <f>IFERROR(VLOOKUP(B2398,'Pre-Summary'!$A$6:$P$178,9,FALSE),AB2399)</f>
        <v>0.36931468446424193</v>
      </c>
      <c r="AC2398" s="10">
        <f>IFERROR(VLOOKUP(Summary!B2398,'Pre-Summary'!$A$6:$P$184,5, FALSE)/100,AC2399)</f>
        <v>0.94508233333333336</v>
      </c>
      <c r="AD2398" s="10">
        <f>IFERROR(VLOOKUP(Summary!B2398,'Pre-Summary'!$A$6:$P$184,3, FALSE)/100,AD2399)</f>
        <v>4.7865666666666667E-2</v>
      </c>
      <c r="AE2398" s="10">
        <f>IFERROR(VLOOKUP(Summary!B2398,'Pre-Summary'!$A$6:$P$184,7, FALSE)/100,AE2399)</f>
        <v>7.0520000000000001E-3</v>
      </c>
      <c r="AF2398" s="99">
        <f t="shared" si="112"/>
        <v>1.7677493581670582E-2</v>
      </c>
      <c r="AG2398" s="99">
        <f t="shared" si="113"/>
        <v>2.6044071548418342E-3</v>
      </c>
      <c r="AH2398" s="10" t="str">
        <f>IFERROR(VLOOKUP(B2398,'Pre-Summary'!$AZ$6:$BE$65,3,FALSE),"")</f>
        <v/>
      </c>
      <c r="AI2398" s="10" t="str">
        <f>IFERROR(VLOOKUP(B2398,'Pre-Summary'!$AZ$6:$BE$65,5,FALSE),"")</f>
        <v/>
      </c>
      <c r="AJ2398" s="10" t="str">
        <f>IFERROR(VLOOKUP(B2398,'Pre-Summary'!$AZ$6:$BE$65,4,FALSE),"")</f>
        <v/>
      </c>
      <c r="AK2398" s="10" t="str">
        <f>IFERROR(VLOOKUP(B2398,'Pre-Summary'!$AZ$6:$BE$65,6,FALSE),"")</f>
        <v/>
      </c>
      <c r="AL2398" s="10" t="str">
        <f>IFERROR(VLOOKUP(B2398,'Pre-Summary'!$BG$6:$BL$44,3,FALSE),"")</f>
        <v/>
      </c>
      <c r="AM2398" s="10" t="str">
        <f>IFERROR(VLOOKUP(B2398,'Pre-Summary'!$BG$6:$BL$44,4,FALSE),"")</f>
        <v/>
      </c>
    </row>
    <row r="2399" spans="2:39" ht="15" customHeight="1" x14ac:dyDescent="0.3">
      <c r="B2399">
        <v>239.6</v>
      </c>
      <c r="C2399" t="str">
        <f>IFERROR(VLOOKUP(B2399,'Pre-Summary'!$DI$6:$DM$23,4,FALSE),"")</f>
        <v/>
      </c>
      <c r="D2399" s="10" t="str">
        <f>IFERROR(VLOOKUP(B2399,'Pre-Summary'!$AT$6:$AX$14,5,FALSE),D2398)</f>
        <v>Wolfe v3: went back to modified wolfe + EDTA and switched CuSO4 to CUCl2</v>
      </c>
      <c r="E2399" s="10" t="str">
        <f>IFERROR(VLOOKUP(B2399,'Pre-Summary'!$AT$6:$AX$15,4,FALSE),"")</f>
        <v/>
      </c>
      <c r="F2399">
        <f>IFERROR(VLOOKUP(B2399,'Pre-Summary'!$AL$6:$AQ$13,6,FALSE),F2398)</f>
        <v>5.9405263157894746E-2</v>
      </c>
      <c r="G2399" t="str">
        <f>IFERROR(VLOOKUP(B2399,'Pre-Summary'!$AE$6:$AJ$85,3,FALSE),"")</f>
        <v/>
      </c>
      <c r="H2399" t="str">
        <f>IFERROR(VLOOKUP(B2399,'Pre-Summary'!$AE$6:$AJ$85,4,FALSE),"")</f>
        <v/>
      </c>
      <c r="I2399" t="str">
        <f>IFERROR(VLOOKUP(B2399,'Pre-Summary'!$AE$6:$AJ$85,5,FALSE),"")</f>
        <v/>
      </c>
      <c r="J2399" s="45" t="str">
        <f>IFERROR(VLOOKUP(B2399,'Pre-Summary'!$AE$6:$AJ$85,6, FALSE),"")</f>
        <v/>
      </c>
      <c r="K2399" s="45" t="str">
        <f>IFERROR(VLOOKUP(B2399,'Pre-Summary'!$DE$6:$DG$61,3,FALSE),"")</f>
        <v/>
      </c>
      <c r="L2399" s="45" t="str">
        <f>IFERROR(VLOOKUP(B2399,'Pre-Summary'!$CU$6:$CW$36,3,FALSE),"")</f>
        <v/>
      </c>
      <c r="M2399" s="45" t="str">
        <f>IFERROR(VLOOKUP(B2399,'Pre-Summary'!$BW$6:$BY$58,2,FALSE),"")</f>
        <v/>
      </c>
      <c r="N2399" s="45" t="str">
        <f>IFERROR(VLOOKUP(B2399,'Pre-Summary'!$CD$6:$CF$64,2,FALSE),"")</f>
        <v/>
      </c>
      <c r="O2399" s="99">
        <f>IFERROR(VLOOKUP(B2399,'Pre-Summary'!$BO$6:$BQ$48,3, FALSE),O2398)</f>
        <v>1.508</v>
      </c>
      <c r="P2399" s="99">
        <f>IFERROR(VLOOKUP(B2399,'Pre-Summary'!$BS$6:$BU$35,3,FALSE),P2398)</f>
        <v>0.379</v>
      </c>
      <c r="Q2399" s="54">
        <f t="shared" si="111"/>
        <v>3.9788918205804751</v>
      </c>
      <c r="R2399" s="53">
        <f>IFERROR(VLOOKUP(B2399,'Pre-Summary'!$BG$6:$BM$44,7,FALSE),R2400)</f>
        <v>0.10033855833824304</v>
      </c>
      <c r="S2399" s="53">
        <f>IFERROR(VLOOKUP(B2399,'Pre-Summary'!$BG$6:$BM$44,6,FALSE),S2400)</f>
        <v>9.2355104881156017E-2</v>
      </c>
      <c r="T2399" s="45" t="str">
        <f>IFERROR(VLOOKUP(B2399,'Pre-Summary'!$Y$6:$AC$83, 3,FALSE),"")</f>
        <v/>
      </c>
      <c r="U2399" s="45" t="str">
        <f>IFERROR(VLOOKUP(B2399,'Pre-Summary'!$Y$6:$AC$83, 4,FALSE),"")</f>
        <v/>
      </c>
      <c r="V2399" t="str">
        <f>IFERROR(VLOOKUP(B2399,'Pre-Summary'!$Y$6:$AC$83, 5,FALSE),"")</f>
        <v/>
      </c>
      <c r="W2399" s="45" t="str">
        <f>IFERROR(VLOOKUP(B2399,'Pre-Summary'!$Y$6:$AD$83,6,FALSE),"")</f>
        <v/>
      </c>
      <c r="X2399" t="str">
        <f>IFERROR(VLOOKUP('Pre-Summary'!$DB$6:$DD$63,3,FALSE),"")</f>
        <v/>
      </c>
      <c r="Y2399" t="str">
        <f>IFERROR(VLOOKUP(B2399,'Pre-Summary'!$CR$6:$CT$36,3,FALSE),"")</f>
        <v/>
      </c>
      <c r="Z2399" s="45" t="str">
        <f>IFERROR(VLOOKUP(B2399,'Pre-Summary'!$BZ$6:$CB$63,2,FALSE),"")</f>
        <v/>
      </c>
      <c r="AA2399" s="45" t="str">
        <f>IFERROR(VLOOKUP(B2399,'Pre-Summary'!$CG$6:$CI$70,2,FALSE),"")</f>
        <v/>
      </c>
      <c r="AB2399" s="99">
        <f>IFERROR(VLOOKUP(B2399,'Pre-Summary'!$A$6:$P$178,9,FALSE),AB2400)</f>
        <v>0.36931468446424193</v>
      </c>
      <c r="AC2399" s="10">
        <f>IFERROR(VLOOKUP(Summary!B2399,'Pre-Summary'!$A$6:$P$184,5, FALSE)/100,AC2400)</f>
        <v>0.94508233333333336</v>
      </c>
      <c r="AD2399" s="10">
        <f>IFERROR(VLOOKUP(Summary!B2399,'Pre-Summary'!$A$6:$P$184,3, FALSE)/100,AD2400)</f>
        <v>4.7865666666666667E-2</v>
      </c>
      <c r="AE2399" s="10">
        <f>IFERROR(VLOOKUP(Summary!B2399,'Pre-Summary'!$A$6:$P$184,7, FALSE)/100,AE2400)</f>
        <v>7.0520000000000001E-3</v>
      </c>
      <c r="AF2399" s="99">
        <f t="shared" si="112"/>
        <v>1.7677493581670582E-2</v>
      </c>
      <c r="AG2399" s="99">
        <f t="shared" si="113"/>
        <v>2.6044071548418342E-3</v>
      </c>
      <c r="AH2399" s="10" t="str">
        <f>IFERROR(VLOOKUP(B2399,'Pre-Summary'!$AZ$6:$BE$65,3,FALSE),"")</f>
        <v/>
      </c>
      <c r="AI2399" s="10" t="str">
        <f>IFERROR(VLOOKUP(B2399,'Pre-Summary'!$AZ$6:$BE$65,5,FALSE),"")</f>
        <v/>
      </c>
      <c r="AJ2399" s="10" t="str">
        <f>IFERROR(VLOOKUP(B2399,'Pre-Summary'!$AZ$6:$BE$65,4,FALSE),"")</f>
        <v/>
      </c>
      <c r="AK2399" s="10" t="str">
        <f>IFERROR(VLOOKUP(B2399,'Pre-Summary'!$AZ$6:$BE$65,6,FALSE),"")</f>
        <v/>
      </c>
      <c r="AL2399" s="10" t="str">
        <f>IFERROR(VLOOKUP(B2399,'Pre-Summary'!$BG$6:$BL$44,3,FALSE),"")</f>
        <v/>
      </c>
      <c r="AM2399" s="10" t="str">
        <f>IFERROR(VLOOKUP(B2399,'Pre-Summary'!$BG$6:$BL$44,4,FALSE),"")</f>
        <v/>
      </c>
    </row>
    <row r="2400" spans="2:39" ht="15" customHeight="1" x14ac:dyDescent="0.3">
      <c r="B2400">
        <v>239.7</v>
      </c>
      <c r="C2400" t="str">
        <f>IFERROR(VLOOKUP(B2400,'Pre-Summary'!$DI$6:$DM$23,4,FALSE),"")</f>
        <v/>
      </c>
      <c r="D2400" s="10" t="str">
        <f>IFERROR(VLOOKUP(B2400,'Pre-Summary'!$AT$6:$AX$14,5,FALSE),D2399)</f>
        <v>Wolfe v3: went back to modified wolfe + EDTA and switched CuSO4 to CUCl2</v>
      </c>
      <c r="E2400" s="10" t="str">
        <f>IFERROR(VLOOKUP(B2400,'Pre-Summary'!$AT$6:$AX$15,4,FALSE),"")</f>
        <v/>
      </c>
      <c r="F2400">
        <f>IFERROR(VLOOKUP(B2400,'Pre-Summary'!$AL$6:$AQ$13,6,FALSE),F2399)</f>
        <v>5.9405263157894746E-2</v>
      </c>
      <c r="G2400" t="str">
        <f>IFERROR(VLOOKUP(B2400,'Pre-Summary'!$AE$6:$AJ$85,3,FALSE),"")</f>
        <v/>
      </c>
      <c r="H2400" t="str">
        <f>IFERROR(VLOOKUP(B2400,'Pre-Summary'!$AE$6:$AJ$85,4,FALSE),"")</f>
        <v/>
      </c>
      <c r="I2400" t="str">
        <f>IFERROR(VLOOKUP(B2400,'Pre-Summary'!$AE$6:$AJ$85,5,FALSE),"")</f>
        <v/>
      </c>
      <c r="J2400" s="45" t="str">
        <f>IFERROR(VLOOKUP(B2400,'Pre-Summary'!$AE$6:$AJ$85,6, FALSE),"")</f>
        <v/>
      </c>
      <c r="K2400" s="45" t="str">
        <f>IFERROR(VLOOKUP(B2400,'Pre-Summary'!$DE$6:$DG$61,3,FALSE),"")</f>
        <v/>
      </c>
      <c r="L2400" s="45" t="str">
        <f>IFERROR(VLOOKUP(B2400,'Pre-Summary'!$CU$6:$CW$36,3,FALSE),"")</f>
        <v/>
      </c>
      <c r="M2400" s="45" t="str">
        <f>IFERROR(VLOOKUP(B2400,'Pre-Summary'!$BW$6:$BY$58,2,FALSE),"")</f>
        <v/>
      </c>
      <c r="N2400" s="45" t="str">
        <f>IFERROR(VLOOKUP(B2400,'Pre-Summary'!$CD$6:$CF$64,2,FALSE),"")</f>
        <v/>
      </c>
      <c r="O2400" s="99">
        <f>IFERROR(VLOOKUP(B2400,'Pre-Summary'!$BO$6:$BQ$48,3, FALSE),O2399)</f>
        <v>1.508</v>
      </c>
      <c r="P2400" s="99">
        <f>IFERROR(VLOOKUP(B2400,'Pre-Summary'!$BS$6:$BU$35,3,FALSE),P2399)</f>
        <v>0.379</v>
      </c>
      <c r="Q2400" s="54">
        <f t="shared" si="111"/>
        <v>3.9788918205804751</v>
      </c>
      <c r="R2400" s="53">
        <f>IFERROR(VLOOKUP(B2400,'Pre-Summary'!$BG$6:$BM$44,7,FALSE),R2401)</f>
        <v>0.10033855833824304</v>
      </c>
      <c r="S2400" s="53">
        <f>IFERROR(VLOOKUP(B2400,'Pre-Summary'!$BG$6:$BM$44,6,FALSE),S2401)</f>
        <v>9.2355104881156017E-2</v>
      </c>
      <c r="T2400" s="45" t="str">
        <f>IFERROR(VLOOKUP(B2400,'Pre-Summary'!$Y$6:$AC$83, 3,FALSE),"")</f>
        <v/>
      </c>
      <c r="U2400" s="45" t="str">
        <f>IFERROR(VLOOKUP(B2400,'Pre-Summary'!$Y$6:$AC$83, 4,FALSE),"")</f>
        <v/>
      </c>
      <c r="V2400" t="str">
        <f>IFERROR(VLOOKUP(B2400,'Pre-Summary'!$Y$6:$AC$83, 5,FALSE),"")</f>
        <v/>
      </c>
      <c r="W2400" s="45" t="str">
        <f>IFERROR(VLOOKUP(B2400,'Pre-Summary'!$Y$6:$AD$83,6,FALSE),"")</f>
        <v/>
      </c>
      <c r="X2400" t="str">
        <f>IFERROR(VLOOKUP('Pre-Summary'!$DB$6:$DD$63,3,FALSE),"")</f>
        <v/>
      </c>
      <c r="Y2400" t="str">
        <f>IFERROR(VLOOKUP(B2400,'Pre-Summary'!$CR$6:$CT$36,3,FALSE),"")</f>
        <v/>
      </c>
      <c r="Z2400" s="45" t="str">
        <f>IFERROR(VLOOKUP(B2400,'Pre-Summary'!$BZ$6:$CB$63,2,FALSE),"")</f>
        <v/>
      </c>
      <c r="AA2400" s="45" t="str">
        <f>IFERROR(VLOOKUP(B2400,'Pre-Summary'!$CG$6:$CI$70,2,FALSE),"")</f>
        <v/>
      </c>
      <c r="AB2400" s="99">
        <f>IFERROR(VLOOKUP(B2400,'Pre-Summary'!$A$6:$P$178,9,FALSE),AB2401)</f>
        <v>0.36931468446424193</v>
      </c>
      <c r="AC2400" s="10">
        <f>IFERROR(VLOOKUP(Summary!B2400,'Pre-Summary'!$A$6:$P$184,5, FALSE)/100,AC2401)</f>
        <v>0.94508233333333336</v>
      </c>
      <c r="AD2400" s="10">
        <f>IFERROR(VLOOKUP(Summary!B2400,'Pre-Summary'!$A$6:$P$184,3, FALSE)/100,AD2401)</f>
        <v>4.7865666666666667E-2</v>
      </c>
      <c r="AE2400" s="10">
        <f>IFERROR(VLOOKUP(Summary!B2400,'Pre-Summary'!$A$6:$P$184,7, FALSE)/100,AE2401)</f>
        <v>7.0520000000000001E-3</v>
      </c>
      <c r="AF2400" s="99">
        <f t="shared" si="112"/>
        <v>1.7677493581670582E-2</v>
      </c>
      <c r="AG2400" s="99">
        <f t="shared" si="113"/>
        <v>2.6044071548418342E-3</v>
      </c>
      <c r="AH2400" s="10" t="str">
        <f>IFERROR(VLOOKUP(B2400,'Pre-Summary'!$AZ$6:$BE$65,3,FALSE),"")</f>
        <v/>
      </c>
      <c r="AI2400" s="10" t="str">
        <f>IFERROR(VLOOKUP(B2400,'Pre-Summary'!$AZ$6:$BE$65,5,FALSE),"")</f>
        <v/>
      </c>
      <c r="AJ2400" s="10" t="str">
        <f>IFERROR(VLOOKUP(B2400,'Pre-Summary'!$AZ$6:$BE$65,4,FALSE),"")</f>
        <v/>
      </c>
      <c r="AK2400" s="10" t="str">
        <f>IFERROR(VLOOKUP(B2400,'Pre-Summary'!$AZ$6:$BE$65,6,FALSE),"")</f>
        <v/>
      </c>
      <c r="AL2400" s="10" t="str">
        <f>IFERROR(VLOOKUP(B2400,'Pre-Summary'!$BG$6:$BL$44,3,FALSE),"")</f>
        <v/>
      </c>
      <c r="AM2400" s="10" t="str">
        <f>IFERROR(VLOOKUP(B2400,'Pre-Summary'!$BG$6:$BL$44,4,FALSE),"")</f>
        <v/>
      </c>
    </row>
    <row r="2401" spans="2:39" ht="15" customHeight="1" x14ac:dyDescent="0.3">
      <c r="B2401">
        <v>239.8</v>
      </c>
      <c r="C2401" t="str">
        <f>IFERROR(VLOOKUP(B2401,'Pre-Summary'!$DI$6:$DM$23,4,FALSE),"")</f>
        <v/>
      </c>
      <c r="D2401" s="10" t="str">
        <f>IFERROR(VLOOKUP(B2401,'Pre-Summary'!$AT$6:$AX$14,5,FALSE),D2400)</f>
        <v>Wolfe v3: went back to modified wolfe + EDTA and switched CuSO4 to CUCl2</v>
      </c>
      <c r="E2401" s="10" t="str">
        <f>IFERROR(VLOOKUP(B2401,'Pre-Summary'!$AT$6:$AX$15,4,FALSE),"")</f>
        <v/>
      </c>
      <c r="F2401">
        <f>IFERROR(VLOOKUP(B2401,'Pre-Summary'!$AL$6:$AQ$13,6,FALSE),F2400)</f>
        <v>5.9405263157894746E-2</v>
      </c>
      <c r="G2401" t="str">
        <f>IFERROR(VLOOKUP(B2401,'Pre-Summary'!$AE$6:$AJ$85,3,FALSE),"")</f>
        <v/>
      </c>
      <c r="H2401" t="str">
        <f>IFERROR(VLOOKUP(B2401,'Pre-Summary'!$AE$6:$AJ$85,4,FALSE),"")</f>
        <v/>
      </c>
      <c r="I2401" t="str">
        <f>IFERROR(VLOOKUP(B2401,'Pre-Summary'!$AE$6:$AJ$85,5,FALSE),"")</f>
        <v/>
      </c>
      <c r="J2401" s="45" t="str">
        <f>IFERROR(VLOOKUP(B2401,'Pre-Summary'!$AE$6:$AJ$85,6, FALSE),"")</f>
        <v/>
      </c>
      <c r="K2401" s="45" t="str">
        <f>IFERROR(VLOOKUP(B2401,'Pre-Summary'!$DE$6:$DG$61,3,FALSE),"")</f>
        <v/>
      </c>
      <c r="L2401" s="45" t="str">
        <f>IFERROR(VLOOKUP(B2401,'Pre-Summary'!$CU$6:$CW$36,3,FALSE),"")</f>
        <v/>
      </c>
      <c r="M2401" s="45" t="str">
        <f>IFERROR(VLOOKUP(B2401,'Pre-Summary'!$BW$6:$BY$58,2,FALSE),"")</f>
        <v/>
      </c>
      <c r="N2401" s="45" t="str">
        <f>IFERROR(VLOOKUP(B2401,'Pre-Summary'!$CD$6:$CF$64,2,FALSE),"")</f>
        <v/>
      </c>
      <c r="O2401" s="99">
        <f>IFERROR(VLOOKUP(B2401,'Pre-Summary'!$BO$6:$BQ$48,3, FALSE),O2400)</f>
        <v>1.508</v>
      </c>
      <c r="P2401" s="99">
        <f>IFERROR(VLOOKUP(B2401,'Pre-Summary'!$BS$6:$BU$35,3,FALSE),P2400)</f>
        <v>0.379</v>
      </c>
      <c r="Q2401" s="54">
        <f t="shared" si="111"/>
        <v>3.9788918205804751</v>
      </c>
      <c r="R2401" s="53">
        <f>IFERROR(VLOOKUP(B2401,'Pre-Summary'!$BG$6:$BM$44,7,FALSE),R2402)</f>
        <v>0.10033855833824304</v>
      </c>
      <c r="S2401" s="53">
        <f>IFERROR(VLOOKUP(B2401,'Pre-Summary'!$BG$6:$BM$44,6,FALSE),S2402)</f>
        <v>9.2355104881156017E-2</v>
      </c>
      <c r="T2401" s="45" t="str">
        <f>IFERROR(VLOOKUP(B2401,'Pre-Summary'!$Y$6:$AC$83, 3,FALSE),"")</f>
        <v/>
      </c>
      <c r="U2401" s="45" t="str">
        <f>IFERROR(VLOOKUP(B2401,'Pre-Summary'!$Y$6:$AC$83, 4,FALSE),"")</f>
        <v/>
      </c>
      <c r="V2401" t="str">
        <f>IFERROR(VLOOKUP(B2401,'Pre-Summary'!$Y$6:$AC$83, 5,FALSE),"")</f>
        <v/>
      </c>
      <c r="W2401" s="45" t="str">
        <f>IFERROR(VLOOKUP(B2401,'Pre-Summary'!$Y$6:$AD$83,6,FALSE),"")</f>
        <v/>
      </c>
      <c r="X2401" t="str">
        <f>IFERROR(VLOOKUP('Pre-Summary'!$DB$6:$DD$63,3,FALSE),"")</f>
        <v/>
      </c>
      <c r="Y2401" t="str">
        <f>IFERROR(VLOOKUP(B2401,'Pre-Summary'!$CR$6:$CT$36,3,FALSE),"")</f>
        <v/>
      </c>
      <c r="Z2401" s="45" t="str">
        <f>IFERROR(VLOOKUP(B2401,'Pre-Summary'!$BZ$6:$CB$63,2,FALSE),"")</f>
        <v/>
      </c>
      <c r="AA2401" s="45" t="str">
        <f>IFERROR(VLOOKUP(B2401,'Pre-Summary'!$CG$6:$CI$70,2,FALSE),"")</f>
        <v/>
      </c>
      <c r="AB2401" s="99">
        <f>IFERROR(VLOOKUP(B2401,'Pre-Summary'!$A$6:$P$178,9,FALSE),AB2402)</f>
        <v>0.36931468446424193</v>
      </c>
      <c r="AC2401" s="10">
        <f>IFERROR(VLOOKUP(Summary!B2401,'Pre-Summary'!$A$6:$P$184,5, FALSE)/100,AC2402)</f>
        <v>0.94508233333333336</v>
      </c>
      <c r="AD2401" s="10">
        <f>IFERROR(VLOOKUP(Summary!B2401,'Pre-Summary'!$A$6:$P$184,3, FALSE)/100,AD2402)</f>
        <v>4.7865666666666667E-2</v>
      </c>
      <c r="AE2401" s="10">
        <f>IFERROR(VLOOKUP(Summary!B2401,'Pre-Summary'!$A$6:$P$184,7, FALSE)/100,AE2402)</f>
        <v>7.0520000000000001E-3</v>
      </c>
      <c r="AF2401" s="99">
        <f t="shared" si="112"/>
        <v>1.7677493581670582E-2</v>
      </c>
      <c r="AG2401" s="99">
        <f t="shared" si="113"/>
        <v>2.6044071548418342E-3</v>
      </c>
      <c r="AH2401" s="10" t="str">
        <f>IFERROR(VLOOKUP(B2401,'Pre-Summary'!$AZ$6:$BE$65,3,FALSE),"")</f>
        <v/>
      </c>
      <c r="AI2401" s="10" t="str">
        <f>IFERROR(VLOOKUP(B2401,'Pre-Summary'!$AZ$6:$BE$65,5,FALSE),"")</f>
        <v/>
      </c>
      <c r="AJ2401" s="10" t="str">
        <f>IFERROR(VLOOKUP(B2401,'Pre-Summary'!$AZ$6:$BE$65,4,FALSE),"")</f>
        <v/>
      </c>
      <c r="AK2401" s="10" t="str">
        <f>IFERROR(VLOOKUP(B2401,'Pre-Summary'!$AZ$6:$BE$65,6,FALSE),"")</f>
        <v/>
      </c>
      <c r="AL2401" s="10" t="str">
        <f>IFERROR(VLOOKUP(B2401,'Pre-Summary'!$BG$6:$BL$44,3,FALSE),"")</f>
        <v/>
      </c>
      <c r="AM2401" s="10" t="str">
        <f>IFERROR(VLOOKUP(B2401,'Pre-Summary'!$BG$6:$BL$44,4,FALSE),"")</f>
        <v/>
      </c>
    </row>
    <row r="2402" spans="2:39" ht="15" customHeight="1" x14ac:dyDescent="0.3">
      <c r="B2402">
        <v>239.9</v>
      </c>
      <c r="C2402" t="str">
        <f>IFERROR(VLOOKUP(B2402,'Pre-Summary'!$DI$6:$DM$23,4,FALSE),"")</f>
        <v/>
      </c>
      <c r="D2402" s="10" t="str">
        <f>IFERROR(VLOOKUP(B2402,'Pre-Summary'!$AT$6:$AX$14,5,FALSE),D2401)</f>
        <v>Wolfe v3: went back to modified wolfe + EDTA and switched CuSO4 to CUCl2</v>
      </c>
      <c r="E2402" s="10" t="str">
        <f>IFERROR(VLOOKUP(B2402,'Pre-Summary'!$AT$6:$AX$15,4,FALSE),"")</f>
        <v/>
      </c>
      <c r="F2402">
        <f>IFERROR(VLOOKUP(B2402,'Pre-Summary'!$AL$6:$AQ$13,6,FALSE),F2401)</f>
        <v>5.9405263157894746E-2</v>
      </c>
      <c r="G2402" t="str">
        <f>IFERROR(VLOOKUP(B2402,'Pre-Summary'!$AE$6:$AJ$85,3,FALSE),"")</f>
        <v/>
      </c>
      <c r="H2402" t="str">
        <f>IFERROR(VLOOKUP(B2402,'Pre-Summary'!$AE$6:$AJ$85,4,FALSE),"")</f>
        <v/>
      </c>
      <c r="I2402" t="str">
        <f>IFERROR(VLOOKUP(B2402,'Pre-Summary'!$AE$6:$AJ$85,5,FALSE),"")</f>
        <v/>
      </c>
      <c r="J2402" s="45" t="str">
        <f>IFERROR(VLOOKUP(B2402,'Pre-Summary'!$AE$6:$AJ$85,6, FALSE),"")</f>
        <v/>
      </c>
      <c r="K2402" s="45" t="str">
        <f>IFERROR(VLOOKUP(B2402,'Pre-Summary'!$DE$6:$DG$61,3,FALSE),"")</f>
        <v/>
      </c>
      <c r="L2402" s="45" t="str">
        <f>IFERROR(VLOOKUP(B2402,'Pre-Summary'!$CU$6:$CW$36,3,FALSE),"")</f>
        <v/>
      </c>
      <c r="M2402" s="45" t="str">
        <f>IFERROR(VLOOKUP(B2402,'Pre-Summary'!$BW$6:$BY$58,2,FALSE),"")</f>
        <v/>
      </c>
      <c r="N2402" s="45" t="str">
        <f>IFERROR(VLOOKUP(B2402,'Pre-Summary'!$CD$6:$CF$64,2,FALSE),"")</f>
        <v/>
      </c>
      <c r="O2402" s="99">
        <f>IFERROR(VLOOKUP(B2402,'Pre-Summary'!$BO$6:$BQ$48,3, FALSE),O2401)</f>
        <v>1.508</v>
      </c>
      <c r="P2402" s="99">
        <f>IFERROR(VLOOKUP(B2402,'Pre-Summary'!$BS$6:$BU$35,3,FALSE),P2401)</f>
        <v>0.379</v>
      </c>
      <c r="Q2402" s="54">
        <f t="shared" si="111"/>
        <v>3.9788918205804751</v>
      </c>
      <c r="R2402" s="53">
        <f>IFERROR(VLOOKUP(B2402,'Pre-Summary'!$BG$6:$BM$44,7,FALSE),R2403)</f>
        <v>0.10033855833824304</v>
      </c>
      <c r="S2402" s="53">
        <f>IFERROR(VLOOKUP(B2402,'Pre-Summary'!$BG$6:$BM$44,6,FALSE),S2403)</f>
        <v>9.2355104881156017E-2</v>
      </c>
      <c r="T2402" s="45" t="str">
        <f>IFERROR(VLOOKUP(B2402,'Pre-Summary'!$Y$6:$AC$83, 3,FALSE),"")</f>
        <v/>
      </c>
      <c r="U2402" s="45" t="str">
        <f>IFERROR(VLOOKUP(B2402,'Pre-Summary'!$Y$6:$AC$83, 4,FALSE),"")</f>
        <v/>
      </c>
      <c r="V2402" t="str">
        <f>IFERROR(VLOOKUP(B2402,'Pre-Summary'!$Y$6:$AC$83, 5,FALSE),"")</f>
        <v/>
      </c>
      <c r="W2402" s="45" t="str">
        <f>IFERROR(VLOOKUP(B2402,'Pre-Summary'!$Y$6:$AD$83,6,FALSE),"")</f>
        <v/>
      </c>
      <c r="X2402" t="str">
        <f>IFERROR(VLOOKUP('Pre-Summary'!$DB$6:$DD$63,3,FALSE),"")</f>
        <v/>
      </c>
      <c r="Y2402" t="str">
        <f>IFERROR(VLOOKUP(B2402,'Pre-Summary'!$CR$6:$CT$36,3,FALSE),"")</f>
        <v/>
      </c>
      <c r="Z2402" s="45" t="str">
        <f>IFERROR(VLOOKUP(B2402,'Pre-Summary'!$BZ$6:$CB$63,2,FALSE),"")</f>
        <v/>
      </c>
      <c r="AA2402" s="45" t="str">
        <f>IFERROR(VLOOKUP(B2402,'Pre-Summary'!$CG$6:$CI$70,2,FALSE),"")</f>
        <v/>
      </c>
      <c r="AB2402" s="99">
        <f>IFERROR(VLOOKUP(B2402,'Pre-Summary'!$A$6:$P$178,9,FALSE),AB2403)</f>
        <v>0.36931468446424193</v>
      </c>
      <c r="AC2402" s="10">
        <f>IFERROR(VLOOKUP(Summary!B2402,'Pre-Summary'!$A$6:$P$184,5, FALSE)/100,AC2403)</f>
        <v>0.94508233333333336</v>
      </c>
      <c r="AD2402" s="10">
        <f>IFERROR(VLOOKUP(Summary!B2402,'Pre-Summary'!$A$6:$P$184,3, FALSE)/100,AD2403)</f>
        <v>4.7865666666666667E-2</v>
      </c>
      <c r="AE2402" s="10">
        <f>IFERROR(VLOOKUP(Summary!B2402,'Pre-Summary'!$A$6:$P$184,7, FALSE)/100,AE2403)</f>
        <v>7.0520000000000001E-3</v>
      </c>
      <c r="AF2402" s="99">
        <f t="shared" si="112"/>
        <v>1.7677493581670582E-2</v>
      </c>
      <c r="AG2402" s="99">
        <f t="shared" si="113"/>
        <v>2.6044071548418342E-3</v>
      </c>
      <c r="AH2402" s="10" t="str">
        <f>IFERROR(VLOOKUP(B2402,'Pre-Summary'!$AZ$6:$BE$65,3,FALSE),"")</f>
        <v/>
      </c>
      <c r="AI2402" s="10" t="str">
        <f>IFERROR(VLOOKUP(B2402,'Pre-Summary'!$AZ$6:$BE$65,5,FALSE),"")</f>
        <v/>
      </c>
      <c r="AJ2402" s="10" t="str">
        <f>IFERROR(VLOOKUP(B2402,'Pre-Summary'!$AZ$6:$BE$65,4,FALSE),"")</f>
        <v/>
      </c>
      <c r="AK2402" s="10" t="str">
        <f>IFERROR(VLOOKUP(B2402,'Pre-Summary'!$AZ$6:$BE$65,6,FALSE),"")</f>
        <v/>
      </c>
      <c r="AL2402" s="10" t="str">
        <f>IFERROR(VLOOKUP(B2402,'Pre-Summary'!$BG$6:$BL$44,3,FALSE),"")</f>
        <v/>
      </c>
      <c r="AM2402" s="10" t="str">
        <f>IFERROR(VLOOKUP(B2402,'Pre-Summary'!$BG$6:$BL$44,4,FALSE),"")</f>
        <v/>
      </c>
    </row>
    <row r="2403" spans="2:39" ht="15" customHeight="1" x14ac:dyDescent="0.3">
      <c r="B2403">
        <v>240</v>
      </c>
      <c r="C2403" t="str">
        <f>IFERROR(VLOOKUP(B2403,'Pre-Summary'!$DI$6:$DM$23,4,FALSE),"")</f>
        <v/>
      </c>
      <c r="D2403" s="10" t="str">
        <f>IFERROR(VLOOKUP(B2403,'Pre-Summary'!$AT$6:$AX$14,5,FALSE),D2402)</f>
        <v>Wolfe v3: went back to modified wolfe + EDTA and switched CuSO4 to CUCl2</v>
      </c>
      <c r="E2403" s="10" t="str">
        <f>IFERROR(VLOOKUP(B2403,'Pre-Summary'!$AT$6:$AX$15,4,FALSE),"")</f>
        <v/>
      </c>
      <c r="F2403">
        <f>IFERROR(VLOOKUP(B2403,'Pre-Summary'!$AL$6:$AQ$13,6,FALSE),F2402)</f>
        <v>5.9405263157894746E-2</v>
      </c>
      <c r="G2403" t="str">
        <f>IFERROR(VLOOKUP(B2403,'Pre-Summary'!$AE$6:$AJ$85,3,FALSE),"")</f>
        <v/>
      </c>
      <c r="H2403" t="str">
        <f>IFERROR(VLOOKUP(B2403,'Pre-Summary'!$AE$6:$AJ$85,4,FALSE),"")</f>
        <v/>
      </c>
      <c r="I2403" t="str">
        <f>IFERROR(VLOOKUP(B2403,'Pre-Summary'!$AE$6:$AJ$85,5,FALSE),"")</f>
        <v/>
      </c>
      <c r="J2403" s="45" t="str">
        <f>IFERROR(VLOOKUP(B2403,'Pre-Summary'!$AE$6:$AJ$85,6, FALSE),"")</f>
        <v/>
      </c>
      <c r="K2403" s="45">
        <f>IFERROR(VLOOKUP(B2403,'Pre-Summary'!$DE$6:$DG$61,3,FALSE),"")</f>
        <v>820</v>
      </c>
      <c r="L2403" s="45" t="str">
        <f>IFERROR(VLOOKUP(B2403,'Pre-Summary'!$CU$6:$CW$36,3,FALSE),"")</f>
        <v/>
      </c>
      <c r="M2403" s="45" t="str">
        <f>IFERROR(VLOOKUP(B2403,'Pre-Summary'!$BW$6:$BY$58,2,FALSE),"")</f>
        <v/>
      </c>
      <c r="N2403" s="45" t="str">
        <f>IFERROR(VLOOKUP(B2403,'Pre-Summary'!$CD$6:$CF$64,2,FALSE),"")</f>
        <v/>
      </c>
      <c r="O2403" s="99">
        <f>IFERROR(VLOOKUP(B2403,'Pre-Summary'!$BO$6:$BQ$48,3, FALSE),O2402)</f>
        <v>1.508</v>
      </c>
      <c r="P2403" s="99">
        <f>IFERROR(VLOOKUP(B2403,'Pre-Summary'!$BS$6:$BU$35,3,FALSE),P2402)</f>
        <v>0.379</v>
      </c>
      <c r="Q2403" s="54">
        <f t="shared" si="111"/>
        <v>3.9788918205804751</v>
      </c>
      <c r="R2403" s="53">
        <f>IFERROR(VLOOKUP(B2403,'Pre-Summary'!$BG$6:$BM$44,7,FALSE),R2404)</f>
        <v>0.10033855833824304</v>
      </c>
      <c r="S2403" s="53">
        <f>IFERROR(VLOOKUP(B2403,'Pre-Summary'!$BG$6:$BM$44,6,FALSE),S2404)</f>
        <v>9.2355104881156017E-2</v>
      </c>
      <c r="T2403" s="45" t="str">
        <f>IFERROR(VLOOKUP(B2403,'Pre-Summary'!$Y$6:$AC$83, 3,FALSE),"")</f>
        <v/>
      </c>
      <c r="U2403" s="45" t="str">
        <f>IFERROR(VLOOKUP(B2403,'Pre-Summary'!$Y$6:$AC$83, 4,FALSE),"")</f>
        <v/>
      </c>
      <c r="V2403" t="str">
        <f>IFERROR(VLOOKUP(B2403,'Pre-Summary'!$Y$6:$AC$83, 5,FALSE),"")</f>
        <v/>
      </c>
      <c r="W2403" s="45" t="str">
        <f>IFERROR(VLOOKUP(B2403,'Pre-Summary'!$Y$6:$AD$83,6,FALSE),"")</f>
        <v/>
      </c>
      <c r="X2403" t="str">
        <f>IFERROR(VLOOKUP('Pre-Summary'!$DB$6:$DD$63,3,FALSE),"")</f>
        <v/>
      </c>
      <c r="Y2403" t="str">
        <f>IFERROR(VLOOKUP(B2403,'Pre-Summary'!$CR$6:$CT$36,3,FALSE),"")</f>
        <v/>
      </c>
      <c r="Z2403" s="45">
        <f>IFERROR(VLOOKUP(B2403,'Pre-Summary'!$BZ$6:$CB$63,2,FALSE),"")</f>
        <v>30.863817959665976</v>
      </c>
      <c r="AA2403" s="45">
        <f>IFERROR(VLOOKUP(B2403,'Pre-Summary'!$CG$6:$CI$70,2,FALSE),"")</f>
        <v>184.34091689941474</v>
      </c>
      <c r="AB2403" s="99">
        <f>IFERROR(VLOOKUP(B2403,'Pre-Summary'!$A$6:$P$178,9,FALSE),AB2404)</f>
        <v>0.36931468446424193</v>
      </c>
      <c r="AC2403" s="10">
        <f>IFERROR(VLOOKUP(Summary!B2403,'Pre-Summary'!$A$6:$P$184,5, FALSE)/100,AC2404)</f>
        <v>0.94508233333333336</v>
      </c>
      <c r="AD2403" s="10">
        <f>IFERROR(VLOOKUP(Summary!B2403,'Pre-Summary'!$A$6:$P$184,3, FALSE)/100,AD2404)</f>
        <v>4.7865666666666667E-2</v>
      </c>
      <c r="AE2403" s="10">
        <f>IFERROR(VLOOKUP(Summary!B2403,'Pre-Summary'!$A$6:$P$184,7, FALSE)/100,AE2404)</f>
        <v>7.0520000000000001E-3</v>
      </c>
      <c r="AF2403" s="99">
        <f t="shared" si="112"/>
        <v>1.7677493581670582E-2</v>
      </c>
      <c r="AG2403" s="99">
        <f t="shared" si="113"/>
        <v>2.6044071548418342E-3</v>
      </c>
      <c r="AH2403" s="10" t="str">
        <f>IFERROR(VLOOKUP(B2403,'Pre-Summary'!$AZ$6:$BE$65,3,FALSE),"")</f>
        <v/>
      </c>
      <c r="AI2403" s="10" t="str">
        <f>IFERROR(VLOOKUP(B2403,'Pre-Summary'!$AZ$6:$BE$65,5,FALSE),"")</f>
        <v/>
      </c>
      <c r="AJ2403" s="10" t="str">
        <f>IFERROR(VLOOKUP(B2403,'Pre-Summary'!$AZ$6:$BE$65,4,FALSE),"")</f>
        <v/>
      </c>
      <c r="AK2403" s="10" t="str">
        <f>IFERROR(VLOOKUP(B2403,'Pre-Summary'!$AZ$6:$BE$65,6,FALSE),"")</f>
        <v/>
      </c>
      <c r="AL2403" s="10" t="str">
        <f>IFERROR(VLOOKUP(B2403,'Pre-Summary'!$BG$6:$BL$44,3,FALSE),"")</f>
        <v/>
      </c>
      <c r="AM2403" s="10" t="str">
        <f>IFERROR(VLOOKUP(B2403,'Pre-Summary'!$BG$6:$BL$44,4,FALSE),"")</f>
        <v/>
      </c>
    </row>
    <row r="2404" spans="2:39" ht="15" customHeight="1" x14ac:dyDescent="0.3">
      <c r="B2404">
        <v>240.1</v>
      </c>
      <c r="C2404" t="str">
        <f>IFERROR(VLOOKUP(B2404,'Pre-Summary'!$DI$6:$DM$23,4,FALSE),"")</f>
        <v/>
      </c>
      <c r="D2404" s="10" t="str">
        <f>IFERROR(VLOOKUP(B2404,'Pre-Summary'!$AT$6:$AX$14,5,FALSE),D2403)</f>
        <v>Wolfe v3: went back to modified wolfe + EDTA and switched CuSO4 to CUCl2</v>
      </c>
      <c r="E2404" s="10" t="str">
        <f>IFERROR(VLOOKUP(B2404,'Pre-Summary'!$AT$6:$AX$15,4,FALSE),"")</f>
        <v/>
      </c>
      <c r="F2404">
        <f>IFERROR(VLOOKUP(B2404,'Pre-Summary'!$AL$6:$AQ$13,6,FALSE),F2403)</f>
        <v>5.9405263157894746E-2</v>
      </c>
      <c r="G2404" t="str">
        <f>IFERROR(VLOOKUP(B2404,'Pre-Summary'!$AE$6:$AJ$85,3,FALSE),"")</f>
        <v/>
      </c>
      <c r="H2404" t="str">
        <f>IFERROR(VLOOKUP(B2404,'Pre-Summary'!$AE$6:$AJ$85,4,FALSE),"")</f>
        <v/>
      </c>
      <c r="I2404" t="str">
        <f>IFERROR(VLOOKUP(B2404,'Pre-Summary'!$AE$6:$AJ$85,5,FALSE),"")</f>
        <v/>
      </c>
      <c r="J2404" s="45" t="str">
        <f>IFERROR(VLOOKUP(B2404,'Pre-Summary'!$AE$6:$AJ$85,6, FALSE),"")</f>
        <v/>
      </c>
      <c r="K2404" s="45" t="str">
        <f>IFERROR(VLOOKUP(B2404,'Pre-Summary'!$DE$6:$DG$61,3,FALSE),"")</f>
        <v/>
      </c>
      <c r="L2404" s="45" t="str">
        <f>IFERROR(VLOOKUP(B2404,'Pre-Summary'!$CU$6:$CW$36,3,FALSE),"")</f>
        <v/>
      </c>
      <c r="M2404" s="45" t="str">
        <f>IFERROR(VLOOKUP(B2404,'Pre-Summary'!$BW$6:$BY$58,2,FALSE),"")</f>
        <v/>
      </c>
      <c r="N2404" s="45" t="str">
        <f>IFERROR(VLOOKUP(B2404,'Pre-Summary'!$CD$6:$CF$64,2,FALSE),"")</f>
        <v/>
      </c>
      <c r="O2404" s="99">
        <f>IFERROR(VLOOKUP(B2404,'Pre-Summary'!$BO$6:$BQ$48,3, FALSE),O2403)</f>
        <v>1.508</v>
      </c>
      <c r="P2404" s="99">
        <f>IFERROR(VLOOKUP(B2404,'Pre-Summary'!$BS$6:$BU$35,3,FALSE),P2403)</f>
        <v>0.379</v>
      </c>
      <c r="Q2404" s="54">
        <f t="shared" si="111"/>
        <v>3.9788918205804751</v>
      </c>
      <c r="R2404" s="53">
        <f>IFERROR(VLOOKUP(B2404,'Pre-Summary'!$BG$6:$BM$44,7,FALSE),R2405)</f>
        <v>0.10033855833824304</v>
      </c>
      <c r="S2404" s="53">
        <f>IFERROR(VLOOKUP(B2404,'Pre-Summary'!$BG$6:$BM$44,6,FALSE),S2405)</f>
        <v>9.2355104881156017E-2</v>
      </c>
      <c r="T2404" s="45" t="str">
        <f>IFERROR(VLOOKUP(B2404,'Pre-Summary'!$Y$6:$AC$83, 3,FALSE),"")</f>
        <v/>
      </c>
      <c r="U2404" s="45" t="str">
        <f>IFERROR(VLOOKUP(B2404,'Pre-Summary'!$Y$6:$AC$83, 4,FALSE),"")</f>
        <v/>
      </c>
      <c r="V2404" t="str">
        <f>IFERROR(VLOOKUP(B2404,'Pre-Summary'!$Y$6:$AC$83, 5,FALSE),"")</f>
        <v/>
      </c>
      <c r="W2404" s="45" t="str">
        <f>IFERROR(VLOOKUP(B2404,'Pre-Summary'!$Y$6:$AD$83,6,FALSE),"")</f>
        <v/>
      </c>
      <c r="X2404" t="str">
        <f>IFERROR(VLOOKUP('Pre-Summary'!$DB$6:$DD$63,3,FALSE),"")</f>
        <v/>
      </c>
      <c r="Y2404" t="str">
        <f>IFERROR(VLOOKUP(B2404,'Pre-Summary'!$CR$6:$CT$36,3,FALSE),"")</f>
        <v/>
      </c>
      <c r="Z2404" s="45" t="str">
        <f>IFERROR(VLOOKUP(B2404,'Pre-Summary'!$BZ$6:$CB$63,2,FALSE),"")</f>
        <v/>
      </c>
      <c r="AA2404" s="45" t="str">
        <f>IFERROR(VLOOKUP(B2404,'Pre-Summary'!$CG$6:$CI$70,2,FALSE),"")</f>
        <v/>
      </c>
      <c r="AB2404" s="99">
        <f>IFERROR(VLOOKUP(B2404,'Pre-Summary'!$A$6:$P$178,9,FALSE),AB2405)</f>
        <v>0.43748610197577364</v>
      </c>
      <c r="AC2404" s="10">
        <f>IFERROR(VLOOKUP(Summary!B2404,'Pre-Summary'!$A$6:$P$184,5, FALSE)/100,AC2405)</f>
        <v>0.93948033333333325</v>
      </c>
      <c r="AD2404" s="10">
        <f>IFERROR(VLOOKUP(Summary!B2404,'Pre-Summary'!$A$6:$P$184,3, FALSE)/100,AD2405)</f>
        <v>5.2729666666666661E-2</v>
      </c>
      <c r="AE2404" s="10">
        <f>IFERROR(VLOOKUP(Summary!B2404,'Pre-Summary'!$A$6:$P$184,7, FALSE)/100,AE2405)</f>
        <v>7.79E-3</v>
      </c>
      <c r="AF2404" s="99">
        <f t="shared" si="112"/>
        <v>2.3068496328481881E-2</v>
      </c>
      <c r="AG2404" s="99">
        <f t="shared" si="113"/>
        <v>3.4080167343912768E-3</v>
      </c>
      <c r="AH2404" s="10" t="str">
        <f>IFERROR(VLOOKUP(B2404,'Pre-Summary'!$AZ$6:$BE$65,3,FALSE),"")</f>
        <v/>
      </c>
      <c r="AI2404" s="10" t="str">
        <f>IFERROR(VLOOKUP(B2404,'Pre-Summary'!$AZ$6:$BE$65,5,FALSE),"")</f>
        <v/>
      </c>
      <c r="AJ2404" s="10" t="str">
        <f>IFERROR(VLOOKUP(B2404,'Pre-Summary'!$AZ$6:$BE$65,4,FALSE),"")</f>
        <v/>
      </c>
      <c r="AK2404" s="10" t="str">
        <f>IFERROR(VLOOKUP(B2404,'Pre-Summary'!$AZ$6:$BE$65,6,FALSE),"")</f>
        <v/>
      </c>
      <c r="AL2404" s="10" t="str">
        <f>IFERROR(VLOOKUP(B2404,'Pre-Summary'!$BG$6:$BL$44,3,FALSE),"")</f>
        <v/>
      </c>
      <c r="AM2404" s="10" t="str">
        <f>IFERROR(VLOOKUP(B2404,'Pre-Summary'!$BG$6:$BL$44,4,FALSE),"")</f>
        <v/>
      </c>
    </row>
    <row r="2405" spans="2:39" ht="15" customHeight="1" x14ac:dyDescent="0.3">
      <c r="B2405">
        <v>240.2</v>
      </c>
      <c r="C2405" t="str">
        <f>IFERROR(VLOOKUP(B2405,'Pre-Summary'!$DI$6:$DM$23,4,FALSE),"")</f>
        <v/>
      </c>
      <c r="D2405" s="10" t="str">
        <f>IFERROR(VLOOKUP(B2405,'Pre-Summary'!$AT$6:$AX$14,5,FALSE),D2404)</f>
        <v>Wolfe v3: went back to modified wolfe + EDTA and switched CuSO4 to CUCl2</v>
      </c>
      <c r="E2405" s="10" t="str">
        <f>IFERROR(VLOOKUP(B2405,'Pre-Summary'!$AT$6:$AX$15,4,FALSE),"")</f>
        <v/>
      </c>
      <c r="F2405">
        <f>IFERROR(VLOOKUP(B2405,'Pre-Summary'!$AL$6:$AQ$13,6,FALSE),F2404)</f>
        <v>5.9405263157894746E-2</v>
      </c>
      <c r="G2405" t="str">
        <f>IFERROR(VLOOKUP(B2405,'Pre-Summary'!$AE$6:$AJ$85,3,FALSE),"")</f>
        <v/>
      </c>
      <c r="H2405" t="str">
        <f>IFERROR(VLOOKUP(B2405,'Pre-Summary'!$AE$6:$AJ$85,4,FALSE),"")</f>
        <v/>
      </c>
      <c r="I2405" t="str">
        <f>IFERROR(VLOOKUP(B2405,'Pre-Summary'!$AE$6:$AJ$85,5,FALSE),"")</f>
        <v/>
      </c>
      <c r="J2405" s="45" t="str">
        <f>IFERROR(VLOOKUP(B2405,'Pre-Summary'!$AE$6:$AJ$85,6, FALSE),"")</f>
        <v/>
      </c>
      <c r="K2405" s="45" t="str">
        <f>IFERROR(VLOOKUP(B2405,'Pre-Summary'!$DE$6:$DG$61,3,FALSE),"")</f>
        <v/>
      </c>
      <c r="L2405" s="45" t="str">
        <f>IFERROR(VLOOKUP(B2405,'Pre-Summary'!$CU$6:$CW$36,3,FALSE),"")</f>
        <v/>
      </c>
      <c r="M2405" s="45" t="str">
        <f>IFERROR(VLOOKUP(B2405,'Pre-Summary'!$BW$6:$BY$58,2,FALSE),"")</f>
        <v/>
      </c>
      <c r="N2405" s="45" t="str">
        <f>IFERROR(VLOOKUP(B2405,'Pre-Summary'!$CD$6:$CF$64,2,FALSE),"")</f>
        <v/>
      </c>
      <c r="O2405" s="99">
        <f>IFERROR(VLOOKUP(B2405,'Pre-Summary'!$BO$6:$BQ$48,3, FALSE),O2404)</f>
        <v>1.508</v>
      </c>
      <c r="P2405" s="99">
        <f>IFERROR(VLOOKUP(B2405,'Pre-Summary'!$BS$6:$BU$35,3,FALSE),P2404)</f>
        <v>0.379</v>
      </c>
      <c r="Q2405" s="54">
        <f t="shared" si="111"/>
        <v>3.9788918205804751</v>
      </c>
      <c r="R2405" s="53">
        <f>IFERROR(VLOOKUP(B2405,'Pre-Summary'!$BG$6:$BM$44,7,FALSE),R2406)</f>
        <v>0.10033855833824304</v>
      </c>
      <c r="S2405" s="53">
        <f>IFERROR(VLOOKUP(B2405,'Pre-Summary'!$BG$6:$BM$44,6,FALSE),S2406)</f>
        <v>9.2355104881156017E-2</v>
      </c>
      <c r="T2405" s="45" t="str">
        <f>IFERROR(VLOOKUP(B2405,'Pre-Summary'!$Y$6:$AC$83, 3,FALSE),"")</f>
        <v/>
      </c>
      <c r="U2405" s="45" t="str">
        <f>IFERROR(VLOOKUP(B2405,'Pre-Summary'!$Y$6:$AC$83, 4,FALSE),"")</f>
        <v/>
      </c>
      <c r="V2405" t="str">
        <f>IFERROR(VLOOKUP(B2405,'Pre-Summary'!$Y$6:$AC$83, 5,FALSE),"")</f>
        <v/>
      </c>
      <c r="W2405" s="45" t="str">
        <f>IFERROR(VLOOKUP(B2405,'Pre-Summary'!$Y$6:$AD$83,6,FALSE),"")</f>
        <v/>
      </c>
      <c r="X2405" t="str">
        <f>IFERROR(VLOOKUP('Pre-Summary'!$DB$6:$DD$63,3,FALSE),"")</f>
        <v/>
      </c>
      <c r="Y2405" t="str">
        <f>IFERROR(VLOOKUP(B2405,'Pre-Summary'!$CR$6:$CT$36,3,FALSE),"")</f>
        <v/>
      </c>
      <c r="Z2405" s="45" t="str">
        <f>IFERROR(VLOOKUP(B2405,'Pre-Summary'!$BZ$6:$CB$63,2,FALSE),"")</f>
        <v/>
      </c>
      <c r="AA2405" s="45" t="str">
        <f>IFERROR(VLOOKUP(B2405,'Pre-Summary'!$CG$6:$CI$70,2,FALSE),"")</f>
        <v/>
      </c>
      <c r="AB2405" s="99">
        <f>IFERROR(VLOOKUP(B2405,'Pre-Summary'!$A$6:$P$178,9,FALSE),AB2406)</f>
        <v>0.43748610197577364</v>
      </c>
      <c r="AC2405" s="10">
        <f>IFERROR(VLOOKUP(Summary!B2405,'Pre-Summary'!$A$6:$P$184,5, FALSE)/100,AC2406)</f>
        <v>0.93948033333333325</v>
      </c>
      <c r="AD2405" s="10">
        <f>IFERROR(VLOOKUP(Summary!B2405,'Pre-Summary'!$A$6:$P$184,3, FALSE)/100,AD2406)</f>
        <v>5.2729666666666661E-2</v>
      </c>
      <c r="AE2405" s="10">
        <f>IFERROR(VLOOKUP(Summary!B2405,'Pre-Summary'!$A$6:$P$184,7, FALSE)/100,AE2406)</f>
        <v>7.79E-3</v>
      </c>
      <c r="AF2405" s="99">
        <f t="shared" si="112"/>
        <v>2.3068496328481881E-2</v>
      </c>
      <c r="AG2405" s="99">
        <f t="shared" si="113"/>
        <v>3.4080167343912768E-3</v>
      </c>
      <c r="AH2405" s="10" t="str">
        <f>IFERROR(VLOOKUP(B2405,'Pre-Summary'!$AZ$6:$BE$65,3,FALSE),"")</f>
        <v/>
      </c>
      <c r="AI2405" s="10" t="str">
        <f>IFERROR(VLOOKUP(B2405,'Pre-Summary'!$AZ$6:$BE$65,5,FALSE),"")</f>
        <v/>
      </c>
      <c r="AJ2405" s="10" t="str">
        <f>IFERROR(VLOOKUP(B2405,'Pre-Summary'!$AZ$6:$BE$65,4,FALSE),"")</f>
        <v/>
      </c>
      <c r="AK2405" s="10" t="str">
        <f>IFERROR(VLOOKUP(B2405,'Pre-Summary'!$AZ$6:$BE$65,6,FALSE),"")</f>
        <v/>
      </c>
      <c r="AL2405" s="10" t="str">
        <f>IFERROR(VLOOKUP(B2405,'Pre-Summary'!$BG$6:$BL$44,3,FALSE),"")</f>
        <v/>
      </c>
      <c r="AM2405" s="10" t="str">
        <f>IFERROR(VLOOKUP(B2405,'Pre-Summary'!$BG$6:$BL$44,4,FALSE),"")</f>
        <v/>
      </c>
    </row>
    <row r="2406" spans="2:39" ht="15" customHeight="1" x14ac:dyDescent="0.3">
      <c r="B2406">
        <v>240.3</v>
      </c>
      <c r="C2406" t="str">
        <f>IFERROR(VLOOKUP(B2406,'Pre-Summary'!$DI$6:$DM$23,4,FALSE),"")</f>
        <v/>
      </c>
      <c r="D2406" s="10" t="str">
        <f>IFERROR(VLOOKUP(B2406,'Pre-Summary'!$AT$6:$AX$14,5,FALSE),D2405)</f>
        <v>Wolfe v3: went back to modified wolfe + EDTA and switched CuSO4 to CUCl2</v>
      </c>
      <c r="E2406" s="10" t="str">
        <f>IFERROR(VLOOKUP(B2406,'Pre-Summary'!$AT$6:$AX$15,4,FALSE),"")</f>
        <v/>
      </c>
      <c r="F2406">
        <f>IFERROR(VLOOKUP(B2406,'Pre-Summary'!$AL$6:$AQ$13,6,FALSE),F2405)</f>
        <v>5.9405263157894746E-2</v>
      </c>
      <c r="G2406" t="str">
        <f>IFERROR(VLOOKUP(B2406,'Pre-Summary'!$AE$6:$AJ$85,3,FALSE),"")</f>
        <v/>
      </c>
      <c r="H2406" t="str">
        <f>IFERROR(VLOOKUP(B2406,'Pre-Summary'!$AE$6:$AJ$85,4,FALSE),"")</f>
        <v/>
      </c>
      <c r="I2406" t="str">
        <f>IFERROR(VLOOKUP(B2406,'Pre-Summary'!$AE$6:$AJ$85,5,FALSE),"")</f>
        <v/>
      </c>
      <c r="J2406" s="45" t="str">
        <f>IFERROR(VLOOKUP(B2406,'Pre-Summary'!$AE$6:$AJ$85,6, FALSE),"")</f>
        <v/>
      </c>
      <c r="K2406" s="45" t="str">
        <f>IFERROR(VLOOKUP(B2406,'Pre-Summary'!$DE$6:$DG$61,3,FALSE),"")</f>
        <v/>
      </c>
      <c r="L2406" s="45" t="str">
        <f>IFERROR(VLOOKUP(B2406,'Pre-Summary'!$CU$6:$CW$36,3,FALSE),"")</f>
        <v/>
      </c>
      <c r="M2406" s="45" t="str">
        <f>IFERROR(VLOOKUP(B2406,'Pre-Summary'!$BW$6:$BY$58,2,FALSE),"")</f>
        <v/>
      </c>
      <c r="N2406" s="45" t="str">
        <f>IFERROR(VLOOKUP(B2406,'Pre-Summary'!$CD$6:$CF$64,2,FALSE),"")</f>
        <v/>
      </c>
      <c r="O2406" s="99">
        <f>IFERROR(VLOOKUP(B2406,'Pre-Summary'!$BO$6:$BQ$48,3, FALSE),O2405)</f>
        <v>1.508</v>
      </c>
      <c r="P2406" s="99">
        <f>IFERROR(VLOOKUP(B2406,'Pre-Summary'!$BS$6:$BU$35,3,FALSE),P2405)</f>
        <v>0.379</v>
      </c>
      <c r="Q2406" s="54">
        <f t="shared" si="111"/>
        <v>3.9788918205804751</v>
      </c>
      <c r="R2406" s="53">
        <f>IFERROR(VLOOKUP(B2406,'Pre-Summary'!$BG$6:$BM$44,7,FALSE),R2407)</f>
        <v>0.10033855833824304</v>
      </c>
      <c r="S2406" s="53">
        <f>IFERROR(VLOOKUP(B2406,'Pre-Summary'!$BG$6:$BM$44,6,FALSE),S2407)</f>
        <v>9.2355104881156017E-2</v>
      </c>
      <c r="T2406" s="45" t="str">
        <f>IFERROR(VLOOKUP(B2406,'Pre-Summary'!$Y$6:$AC$83, 3,FALSE),"")</f>
        <v/>
      </c>
      <c r="U2406" s="45" t="str">
        <f>IFERROR(VLOOKUP(B2406,'Pre-Summary'!$Y$6:$AC$83, 4,FALSE),"")</f>
        <v/>
      </c>
      <c r="V2406" t="str">
        <f>IFERROR(VLOOKUP(B2406,'Pre-Summary'!$Y$6:$AC$83, 5,FALSE),"")</f>
        <v/>
      </c>
      <c r="W2406" s="45" t="str">
        <f>IFERROR(VLOOKUP(B2406,'Pre-Summary'!$Y$6:$AD$83,6,FALSE),"")</f>
        <v/>
      </c>
      <c r="X2406" t="str">
        <f>IFERROR(VLOOKUP('Pre-Summary'!$DB$6:$DD$63,3,FALSE),"")</f>
        <v/>
      </c>
      <c r="Y2406" t="str">
        <f>IFERROR(VLOOKUP(B2406,'Pre-Summary'!$CR$6:$CT$36,3,FALSE),"")</f>
        <v/>
      </c>
      <c r="Z2406" s="45" t="str">
        <f>IFERROR(VLOOKUP(B2406,'Pre-Summary'!$BZ$6:$CB$63,2,FALSE),"")</f>
        <v/>
      </c>
      <c r="AA2406" s="45" t="str">
        <f>IFERROR(VLOOKUP(B2406,'Pre-Summary'!$CG$6:$CI$70,2,FALSE),"")</f>
        <v/>
      </c>
      <c r="AB2406" s="99">
        <f>IFERROR(VLOOKUP(B2406,'Pre-Summary'!$A$6:$P$178,9,FALSE),AB2407)</f>
        <v>0.43748610197577364</v>
      </c>
      <c r="AC2406" s="10">
        <f>IFERROR(VLOOKUP(Summary!B2406,'Pre-Summary'!$A$6:$P$184,5, FALSE)/100,AC2407)</f>
        <v>0.93948033333333325</v>
      </c>
      <c r="AD2406" s="10">
        <f>IFERROR(VLOOKUP(Summary!B2406,'Pre-Summary'!$A$6:$P$184,3, FALSE)/100,AD2407)</f>
        <v>5.2729666666666661E-2</v>
      </c>
      <c r="AE2406" s="10">
        <f>IFERROR(VLOOKUP(Summary!B2406,'Pre-Summary'!$A$6:$P$184,7, FALSE)/100,AE2407)</f>
        <v>7.79E-3</v>
      </c>
      <c r="AF2406" s="99">
        <f t="shared" si="112"/>
        <v>2.3068496328481881E-2</v>
      </c>
      <c r="AG2406" s="99">
        <f t="shared" si="113"/>
        <v>3.4080167343912768E-3</v>
      </c>
      <c r="AH2406" s="10" t="str">
        <f>IFERROR(VLOOKUP(B2406,'Pre-Summary'!$AZ$6:$BE$65,3,FALSE),"")</f>
        <v/>
      </c>
      <c r="AI2406" s="10" t="str">
        <f>IFERROR(VLOOKUP(B2406,'Pre-Summary'!$AZ$6:$BE$65,5,FALSE),"")</f>
        <v/>
      </c>
      <c r="AJ2406" s="10" t="str">
        <f>IFERROR(VLOOKUP(B2406,'Pre-Summary'!$AZ$6:$BE$65,4,FALSE),"")</f>
        <v/>
      </c>
      <c r="AK2406" s="10" t="str">
        <f>IFERROR(VLOOKUP(B2406,'Pre-Summary'!$AZ$6:$BE$65,6,FALSE),"")</f>
        <v/>
      </c>
      <c r="AL2406" s="10" t="str">
        <f>IFERROR(VLOOKUP(B2406,'Pre-Summary'!$BG$6:$BL$44,3,FALSE),"")</f>
        <v/>
      </c>
      <c r="AM2406" s="10" t="str">
        <f>IFERROR(VLOOKUP(B2406,'Pre-Summary'!$BG$6:$BL$44,4,FALSE),"")</f>
        <v/>
      </c>
    </row>
    <row r="2407" spans="2:39" ht="15" customHeight="1" x14ac:dyDescent="0.3">
      <c r="B2407">
        <v>240.4</v>
      </c>
      <c r="C2407" t="str">
        <f>IFERROR(VLOOKUP(B2407,'Pre-Summary'!$DI$6:$DM$23,4,FALSE),"")</f>
        <v/>
      </c>
      <c r="D2407" s="10" t="str">
        <f>IFERROR(VLOOKUP(B2407,'Pre-Summary'!$AT$6:$AX$14,5,FALSE),D2406)</f>
        <v>Wolfe v3: went back to modified wolfe + EDTA and switched CuSO4 to CUCl2</v>
      </c>
      <c r="E2407" s="10" t="str">
        <f>IFERROR(VLOOKUP(B2407,'Pre-Summary'!$AT$6:$AX$15,4,FALSE),"")</f>
        <v/>
      </c>
      <c r="F2407">
        <f>IFERROR(VLOOKUP(B2407,'Pre-Summary'!$AL$6:$AQ$13,6,FALSE),F2406)</f>
        <v>5.9405263157894746E-2</v>
      </c>
      <c r="G2407" t="str">
        <f>IFERROR(VLOOKUP(B2407,'Pre-Summary'!$AE$6:$AJ$85,3,FALSE),"")</f>
        <v/>
      </c>
      <c r="H2407" t="str">
        <f>IFERROR(VLOOKUP(B2407,'Pre-Summary'!$AE$6:$AJ$85,4,FALSE),"")</f>
        <v/>
      </c>
      <c r="I2407" t="str">
        <f>IFERROR(VLOOKUP(B2407,'Pre-Summary'!$AE$6:$AJ$85,5,FALSE),"")</f>
        <v/>
      </c>
      <c r="J2407" s="45" t="str">
        <f>IFERROR(VLOOKUP(B2407,'Pre-Summary'!$AE$6:$AJ$85,6, FALSE),"")</f>
        <v/>
      </c>
      <c r="K2407" s="45" t="str">
        <f>IFERROR(VLOOKUP(B2407,'Pre-Summary'!$DE$6:$DG$61,3,FALSE),"")</f>
        <v/>
      </c>
      <c r="L2407" s="45" t="str">
        <f>IFERROR(VLOOKUP(B2407,'Pre-Summary'!$CU$6:$CW$36,3,FALSE),"")</f>
        <v/>
      </c>
      <c r="M2407" s="45" t="str">
        <f>IFERROR(VLOOKUP(B2407,'Pre-Summary'!$BW$6:$BY$58,2,FALSE),"")</f>
        <v/>
      </c>
      <c r="N2407" s="45" t="str">
        <f>IFERROR(VLOOKUP(B2407,'Pre-Summary'!$CD$6:$CF$64,2,FALSE),"")</f>
        <v/>
      </c>
      <c r="O2407" s="99">
        <f>IFERROR(VLOOKUP(B2407,'Pre-Summary'!$BO$6:$BQ$48,3, FALSE),O2406)</f>
        <v>1.508</v>
      </c>
      <c r="P2407" s="99">
        <f>IFERROR(VLOOKUP(B2407,'Pre-Summary'!$BS$6:$BU$35,3,FALSE),P2406)</f>
        <v>0.379</v>
      </c>
      <c r="Q2407" s="54">
        <f t="shared" si="111"/>
        <v>3.9788918205804751</v>
      </c>
      <c r="R2407" s="53">
        <f>IFERROR(VLOOKUP(B2407,'Pre-Summary'!$BG$6:$BM$44,7,FALSE),R2408)</f>
        <v>0.10033855833824304</v>
      </c>
      <c r="S2407" s="53">
        <f>IFERROR(VLOOKUP(B2407,'Pre-Summary'!$BG$6:$BM$44,6,FALSE),S2408)</f>
        <v>9.2355104881156017E-2</v>
      </c>
      <c r="T2407" s="45" t="str">
        <f>IFERROR(VLOOKUP(B2407,'Pre-Summary'!$Y$6:$AC$83, 3,FALSE),"")</f>
        <v/>
      </c>
      <c r="U2407" s="45" t="str">
        <f>IFERROR(VLOOKUP(B2407,'Pre-Summary'!$Y$6:$AC$83, 4,FALSE),"")</f>
        <v/>
      </c>
      <c r="V2407" t="str">
        <f>IFERROR(VLOOKUP(B2407,'Pre-Summary'!$Y$6:$AC$83, 5,FALSE),"")</f>
        <v/>
      </c>
      <c r="W2407" s="45" t="str">
        <f>IFERROR(VLOOKUP(B2407,'Pre-Summary'!$Y$6:$AD$83,6,FALSE),"")</f>
        <v/>
      </c>
      <c r="X2407" t="str">
        <f>IFERROR(VLOOKUP('Pre-Summary'!$DB$6:$DD$63,3,FALSE),"")</f>
        <v/>
      </c>
      <c r="Y2407" t="str">
        <f>IFERROR(VLOOKUP(B2407,'Pre-Summary'!$CR$6:$CT$36,3,FALSE),"")</f>
        <v/>
      </c>
      <c r="Z2407" s="45" t="str">
        <f>IFERROR(VLOOKUP(B2407,'Pre-Summary'!$BZ$6:$CB$63,2,FALSE),"")</f>
        <v/>
      </c>
      <c r="AA2407" s="45" t="str">
        <f>IFERROR(VLOOKUP(B2407,'Pre-Summary'!$CG$6:$CI$70,2,FALSE),"")</f>
        <v/>
      </c>
      <c r="AB2407" s="99">
        <f>IFERROR(VLOOKUP(B2407,'Pre-Summary'!$A$6:$P$178,9,FALSE),AB2408)</f>
        <v>0.43748610197577364</v>
      </c>
      <c r="AC2407" s="10">
        <f>IFERROR(VLOOKUP(Summary!B2407,'Pre-Summary'!$A$6:$P$184,5, FALSE)/100,AC2408)</f>
        <v>0.93948033333333325</v>
      </c>
      <c r="AD2407" s="10">
        <f>IFERROR(VLOOKUP(Summary!B2407,'Pre-Summary'!$A$6:$P$184,3, FALSE)/100,AD2408)</f>
        <v>5.2729666666666661E-2</v>
      </c>
      <c r="AE2407" s="10">
        <f>IFERROR(VLOOKUP(Summary!B2407,'Pre-Summary'!$A$6:$P$184,7, FALSE)/100,AE2408)</f>
        <v>7.79E-3</v>
      </c>
      <c r="AF2407" s="99">
        <f t="shared" si="112"/>
        <v>2.3068496328481881E-2</v>
      </c>
      <c r="AG2407" s="99">
        <f t="shared" si="113"/>
        <v>3.4080167343912768E-3</v>
      </c>
      <c r="AH2407" s="10" t="str">
        <f>IFERROR(VLOOKUP(B2407,'Pre-Summary'!$AZ$6:$BE$65,3,FALSE),"")</f>
        <v/>
      </c>
      <c r="AI2407" s="10" t="str">
        <f>IFERROR(VLOOKUP(B2407,'Pre-Summary'!$AZ$6:$BE$65,5,FALSE),"")</f>
        <v/>
      </c>
      <c r="AJ2407" s="10" t="str">
        <f>IFERROR(VLOOKUP(B2407,'Pre-Summary'!$AZ$6:$BE$65,4,FALSE),"")</f>
        <v/>
      </c>
      <c r="AK2407" s="10" t="str">
        <f>IFERROR(VLOOKUP(B2407,'Pre-Summary'!$AZ$6:$BE$65,6,FALSE),"")</f>
        <v/>
      </c>
      <c r="AL2407" s="10" t="str">
        <f>IFERROR(VLOOKUP(B2407,'Pre-Summary'!$BG$6:$BL$44,3,FALSE),"")</f>
        <v/>
      </c>
      <c r="AM2407" s="10" t="str">
        <f>IFERROR(VLOOKUP(B2407,'Pre-Summary'!$BG$6:$BL$44,4,FALSE),"")</f>
        <v/>
      </c>
    </row>
    <row r="2408" spans="2:39" ht="15" customHeight="1" x14ac:dyDescent="0.3">
      <c r="B2408">
        <v>240.5</v>
      </c>
      <c r="C2408" t="str">
        <f>IFERROR(VLOOKUP(B2408,'Pre-Summary'!$DI$6:$DM$23,4,FALSE),"")</f>
        <v/>
      </c>
      <c r="D2408" s="10" t="str">
        <f>IFERROR(VLOOKUP(B2408,'Pre-Summary'!$AT$6:$AX$14,5,FALSE),D2407)</f>
        <v>Wolfe v3: went back to modified wolfe + EDTA and switched CuSO4 to CUCl2</v>
      </c>
      <c r="E2408" s="10" t="str">
        <f>IFERROR(VLOOKUP(B2408,'Pre-Summary'!$AT$6:$AX$15,4,FALSE),"")</f>
        <v/>
      </c>
      <c r="F2408">
        <f>IFERROR(VLOOKUP(B2408,'Pre-Summary'!$AL$6:$AQ$13,6,FALSE),F2407)</f>
        <v>5.9405263157894746E-2</v>
      </c>
      <c r="G2408" t="str">
        <f>IFERROR(VLOOKUP(B2408,'Pre-Summary'!$AE$6:$AJ$85,3,FALSE),"")</f>
        <v/>
      </c>
      <c r="H2408" t="str">
        <f>IFERROR(VLOOKUP(B2408,'Pre-Summary'!$AE$6:$AJ$85,4,FALSE),"")</f>
        <v/>
      </c>
      <c r="I2408" t="str">
        <f>IFERROR(VLOOKUP(B2408,'Pre-Summary'!$AE$6:$AJ$85,5,FALSE),"")</f>
        <v/>
      </c>
      <c r="J2408" s="45" t="str">
        <f>IFERROR(VLOOKUP(B2408,'Pre-Summary'!$AE$6:$AJ$85,6, FALSE),"")</f>
        <v/>
      </c>
      <c r="K2408" s="45" t="str">
        <f>IFERROR(VLOOKUP(B2408,'Pre-Summary'!$DE$6:$DG$61,3,FALSE),"")</f>
        <v/>
      </c>
      <c r="L2408" s="45" t="str">
        <f>IFERROR(VLOOKUP(B2408,'Pre-Summary'!$CU$6:$CW$36,3,FALSE),"")</f>
        <v/>
      </c>
      <c r="M2408" s="45" t="str">
        <f>IFERROR(VLOOKUP(B2408,'Pre-Summary'!$BW$6:$BY$58,2,FALSE),"")</f>
        <v/>
      </c>
      <c r="N2408" s="45" t="str">
        <f>IFERROR(VLOOKUP(B2408,'Pre-Summary'!$CD$6:$CF$64,2,FALSE),"")</f>
        <v/>
      </c>
      <c r="O2408" s="99">
        <f>IFERROR(VLOOKUP(B2408,'Pre-Summary'!$BO$6:$BQ$48,3, FALSE),O2407)</f>
        <v>1.508</v>
      </c>
      <c r="P2408" s="99">
        <f>IFERROR(VLOOKUP(B2408,'Pre-Summary'!$BS$6:$BU$35,3,FALSE),P2407)</f>
        <v>0.379</v>
      </c>
      <c r="Q2408" s="54">
        <f t="shared" si="111"/>
        <v>3.9788918205804751</v>
      </c>
      <c r="R2408" s="53">
        <f>IFERROR(VLOOKUP(B2408,'Pre-Summary'!$BG$6:$BM$44,7,FALSE),R2409)</f>
        <v>0.10033855833824304</v>
      </c>
      <c r="S2408" s="53">
        <f>IFERROR(VLOOKUP(B2408,'Pre-Summary'!$BG$6:$BM$44,6,FALSE),S2409)</f>
        <v>9.2355104881156017E-2</v>
      </c>
      <c r="T2408" s="45" t="str">
        <f>IFERROR(VLOOKUP(B2408,'Pre-Summary'!$Y$6:$AC$83, 3,FALSE),"")</f>
        <v/>
      </c>
      <c r="U2408" s="45" t="str">
        <f>IFERROR(VLOOKUP(B2408,'Pre-Summary'!$Y$6:$AC$83, 4,FALSE),"")</f>
        <v/>
      </c>
      <c r="V2408" t="str">
        <f>IFERROR(VLOOKUP(B2408,'Pre-Summary'!$Y$6:$AC$83, 5,FALSE),"")</f>
        <v/>
      </c>
      <c r="W2408" s="45" t="str">
        <f>IFERROR(VLOOKUP(B2408,'Pre-Summary'!$Y$6:$AD$83,6,FALSE),"")</f>
        <v/>
      </c>
      <c r="X2408" t="str">
        <f>IFERROR(VLOOKUP('Pre-Summary'!$DB$6:$DD$63,3,FALSE),"")</f>
        <v/>
      </c>
      <c r="Y2408" t="str">
        <f>IFERROR(VLOOKUP(B2408,'Pre-Summary'!$CR$6:$CT$36,3,FALSE),"")</f>
        <v/>
      </c>
      <c r="Z2408" s="45" t="str">
        <f>IFERROR(VLOOKUP(B2408,'Pre-Summary'!$BZ$6:$CB$63,2,FALSE),"")</f>
        <v/>
      </c>
      <c r="AA2408" s="45" t="str">
        <f>IFERROR(VLOOKUP(B2408,'Pre-Summary'!$CG$6:$CI$70,2,FALSE),"")</f>
        <v/>
      </c>
      <c r="AB2408" s="99">
        <f>IFERROR(VLOOKUP(B2408,'Pre-Summary'!$A$6:$P$178,9,FALSE),AB2409)</f>
        <v>0.43748610197577364</v>
      </c>
      <c r="AC2408" s="10">
        <f>IFERROR(VLOOKUP(Summary!B2408,'Pre-Summary'!$A$6:$P$184,5, FALSE)/100,AC2409)</f>
        <v>0.93948033333333325</v>
      </c>
      <c r="AD2408" s="10">
        <f>IFERROR(VLOOKUP(Summary!B2408,'Pre-Summary'!$A$6:$P$184,3, FALSE)/100,AD2409)</f>
        <v>5.2729666666666661E-2</v>
      </c>
      <c r="AE2408" s="10">
        <f>IFERROR(VLOOKUP(Summary!B2408,'Pre-Summary'!$A$6:$P$184,7, FALSE)/100,AE2409)</f>
        <v>7.79E-3</v>
      </c>
      <c r="AF2408" s="99">
        <f t="shared" si="112"/>
        <v>2.3068496328481881E-2</v>
      </c>
      <c r="AG2408" s="99">
        <f t="shared" si="113"/>
        <v>3.4080167343912768E-3</v>
      </c>
      <c r="AH2408" s="10" t="str">
        <f>IFERROR(VLOOKUP(B2408,'Pre-Summary'!$AZ$6:$BE$65,3,FALSE),"")</f>
        <v/>
      </c>
      <c r="AI2408" s="10" t="str">
        <f>IFERROR(VLOOKUP(B2408,'Pre-Summary'!$AZ$6:$BE$65,5,FALSE),"")</f>
        <v/>
      </c>
      <c r="AJ2408" s="10" t="str">
        <f>IFERROR(VLOOKUP(B2408,'Pre-Summary'!$AZ$6:$BE$65,4,FALSE),"")</f>
        <v/>
      </c>
      <c r="AK2408" s="10" t="str">
        <f>IFERROR(VLOOKUP(B2408,'Pre-Summary'!$AZ$6:$BE$65,6,FALSE),"")</f>
        <v/>
      </c>
      <c r="AL2408" s="10" t="str">
        <f>IFERROR(VLOOKUP(B2408,'Pre-Summary'!$BG$6:$BL$44,3,FALSE),"")</f>
        <v/>
      </c>
      <c r="AM2408" s="10" t="str">
        <f>IFERROR(VLOOKUP(B2408,'Pre-Summary'!$BG$6:$BL$44,4,FALSE),"")</f>
        <v/>
      </c>
    </row>
    <row r="2409" spans="2:39" ht="15" customHeight="1" x14ac:dyDescent="0.3">
      <c r="B2409">
        <v>240.6</v>
      </c>
      <c r="C2409" t="str">
        <f>IFERROR(VLOOKUP(B2409,'Pre-Summary'!$DI$6:$DM$23,4,FALSE),"")</f>
        <v/>
      </c>
      <c r="D2409" s="10" t="str">
        <f>IFERROR(VLOOKUP(B2409,'Pre-Summary'!$AT$6:$AX$14,5,FALSE),D2408)</f>
        <v>Wolfe v3: went back to modified wolfe + EDTA and switched CuSO4 to CUCl2</v>
      </c>
      <c r="E2409" s="10" t="str">
        <f>IFERROR(VLOOKUP(B2409,'Pre-Summary'!$AT$6:$AX$15,4,FALSE),"")</f>
        <v/>
      </c>
      <c r="F2409">
        <f>IFERROR(VLOOKUP(B2409,'Pre-Summary'!$AL$6:$AQ$13,6,FALSE),F2408)</f>
        <v>5.9405263157894746E-2</v>
      </c>
      <c r="G2409" t="str">
        <f>IFERROR(VLOOKUP(B2409,'Pre-Summary'!$AE$6:$AJ$85,3,FALSE),"")</f>
        <v/>
      </c>
      <c r="H2409" t="str">
        <f>IFERROR(VLOOKUP(B2409,'Pre-Summary'!$AE$6:$AJ$85,4,FALSE),"")</f>
        <v/>
      </c>
      <c r="I2409" t="str">
        <f>IFERROR(VLOOKUP(B2409,'Pre-Summary'!$AE$6:$AJ$85,5,FALSE),"")</f>
        <v/>
      </c>
      <c r="J2409" s="45" t="str">
        <f>IFERROR(VLOOKUP(B2409,'Pre-Summary'!$AE$6:$AJ$85,6, FALSE),"")</f>
        <v/>
      </c>
      <c r="K2409" s="45" t="str">
        <f>IFERROR(VLOOKUP(B2409,'Pre-Summary'!$DE$6:$DG$61,3,FALSE),"")</f>
        <v/>
      </c>
      <c r="L2409" s="45" t="str">
        <f>IFERROR(VLOOKUP(B2409,'Pre-Summary'!$CU$6:$CW$36,3,FALSE),"")</f>
        <v/>
      </c>
      <c r="M2409" s="45" t="str">
        <f>IFERROR(VLOOKUP(B2409,'Pre-Summary'!$BW$6:$BY$58,2,FALSE),"")</f>
        <v/>
      </c>
      <c r="N2409" s="45" t="str">
        <f>IFERROR(VLOOKUP(B2409,'Pre-Summary'!$CD$6:$CF$64,2,FALSE),"")</f>
        <v/>
      </c>
      <c r="O2409" s="99">
        <f>IFERROR(VLOOKUP(B2409,'Pre-Summary'!$BO$6:$BQ$48,3, FALSE),O2408)</f>
        <v>1.508</v>
      </c>
      <c r="P2409" s="99">
        <f>IFERROR(VLOOKUP(B2409,'Pre-Summary'!$BS$6:$BU$35,3,FALSE),P2408)</f>
        <v>0.379</v>
      </c>
      <c r="Q2409" s="54">
        <f t="shared" si="111"/>
        <v>3.9788918205804751</v>
      </c>
      <c r="R2409" s="53">
        <f>IFERROR(VLOOKUP(B2409,'Pre-Summary'!$BG$6:$BM$44,7,FALSE),R2410)</f>
        <v>0.10033855833824304</v>
      </c>
      <c r="S2409" s="53">
        <f>IFERROR(VLOOKUP(B2409,'Pre-Summary'!$BG$6:$BM$44,6,FALSE),S2410)</f>
        <v>9.2355104881156017E-2</v>
      </c>
      <c r="T2409" s="45" t="str">
        <f>IFERROR(VLOOKUP(B2409,'Pre-Summary'!$Y$6:$AC$83, 3,FALSE),"")</f>
        <v/>
      </c>
      <c r="U2409" s="45" t="str">
        <f>IFERROR(VLOOKUP(B2409,'Pre-Summary'!$Y$6:$AC$83, 4,FALSE),"")</f>
        <v/>
      </c>
      <c r="V2409" t="str">
        <f>IFERROR(VLOOKUP(B2409,'Pre-Summary'!$Y$6:$AC$83, 5,FALSE),"")</f>
        <v/>
      </c>
      <c r="W2409" s="45" t="str">
        <f>IFERROR(VLOOKUP(B2409,'Pre-Summary'!$Y$6:$AD$83,6,FALSE),"")</f>
        <v/>
      </c>
      <c r="X2409" t="str">
        <f>IFERROR(VLOOKUP('Pre-Summary'!$DB$6:$DD$63,3,FALSE),"")</f>
        <v/>
      </c>
      <c r="Y2409" t="str">
        <f>IFERROR(VLOOKUP(B2409,'Pre-Summary'!$CR$6:$CT$36,3,FALSE),"")</f>
        <v/>
      </c>
      <c r="Z2409" s="45" t="str">
        <f>IFERROR(VLOOKUP(B2409,'Pre-Summary'!$BZ$6:$CB$63,2,FALSE),"")</f>
        <v/>
      </c>
      <c r="AA2409" s="45" t="str">
        <f>IFERROR(VLOOKUP(B2409,'Pre-Summary'!$CG$6:$CI$70,2,FALSE),"")</f>
        <v/>
      </c>
      <c r="AB2409" s="99">
        <f>IFERROR(VLOOKUP(B2409,'Pre-Summary'!$A$6:$P$178,9,FALSE),AB2410)</f>
        <v>0.43748610197577364</v>
      </c>
      <c r="AC2409" s="10">
        <f>IFERROR(VLOOKUP(Summary!B2409,'Pre-Summary'!$A$6:$P$184,5, FALSE)/100,AC2410)</f>
        <v>0.93948033333333325</v>
      </c>
      <c r="AD2409" s="10">
        <f>IFERROR(VLOOKUP(Summary!B2409,'Pre-Summary'!$A$6:$P$184,3, FALSE)/100,AD2410)</f>
        <v>5.2729666666666661E-2</v>
      </c>
      <c r="AE2409" s="10">
        <f>IFERROR(VLOOKUP(Summary!B2409,'Pre-Summary'!$A$6:$P$184,7, FALSE)/100,AE2410)</f>
        <v>7.79E-3</v>
      </c>
      <c r="AF2409" s="99">
        <f t="shared" si="112"/>
        <v>2.3068496328481881E-2</v>
      </c>
      <c r="AG2409" s="99">
        <f t="shared" si="113"/>
        <v>3.4080167343912768E-3</v>
      </c>
      <c r="AH2409" s="10" t="str">
        <f>IFERROR(VLOOKUP(B2409,'Pre-Summary'!$AZ$6:$BE$65,3,FALSE),"")</f>
        <v/>
      </c>
      <c r="AI2409" s="10" t="str">
        <f>IFERROR(VLOOKUP(B2409,'Pre-Summary'!$AZ$6:$BE$65,5,FALSE),"")</f>
        <v/>
      </c>
      <c r="AJ2409" s="10" t="str">
        <f>IFERROR(VLOOKUP(B2409,'Pre-Summary'!$AZ$6:$BE$65,4,FALSE),"")</f>
        <v/>
      </c>
      <c r="AK2409" s="10" t="str">
        <f>IFERROR(VLOOKUP(B2409,'Pre-Summary'!$AZ$6:$BE$65,6,FALSE),"")</f>
        <v/>
      </c>
      <c r="AL2409" s="10" t="str">
        <f>IFERROR(VLOOKUP(B2409,'Pre-Summary'!$BG$6:$BL$44,3,FALSE),"")</f>
        <v/>
      </c>
      <c r="AM2409" s="10" t="str">
        <f>IFERROR(VLOOKUP(B2409,'Pre-Summary'!$BG$6:$BL$44,4,FALSE),"")</f>
        <v/>
      </c>
    </row>
    <row r="2410" spans="2:39" ht="15" customHeight="1" x14ac:dyDescent="0.3">
      <c r="B2410">
        <v>240.7</v>
      </c>
      <c r="C2410" t="str">
        <f>IFERROR(VLOOKUP(B2410,'Pre-Summary'!$DI$6:$DM$23,4,FALSE),"")</f>
        <v/>
      </c>
      <c r="D2410" s="10" t="str">
        <f>IFERROR(VLOOKUP(B2410,'Pre-Summary'!$AT$6:$AX$14,5,FALSE),D2409)</f>
        <v>Wolfe v3: went back to modified wolfe + EDTA and switched CuSO4 to CUCl2</v>
      </c>
      <c r="E2410" s="10" t="str">
        <f>IFERROR(VLOOKUP(B2410,'Pre-Summary'!$AT$6:$AX$15,4,FALSE),"")</f>
        <v/>
      </c>
      <c r="F2410">
        <f>IFERROR(VLOOKUP(B2410,'Pre-Summary'!$AL$6:$AQ$13,6,FALSE),F2409)</f>
        <v>5.9405263157894746E-2</v>
      </c>
      <c r="G2410" t="str">
        <f>IFERROR(VLOOKUP(B2410,'Pre-Summary'!$AE$6:$AJ$85,3,FALSE),"")</f>
        <v/>
      </c>
      <c r="H2410" t="str">
        <f>IFERROR(VLOOKUP(B2410,'Pre-Summary'!$AE$6:$AJ$85,4,FALSE),"")</f>
        <v/>
      </c>
      <c r="I2410" t="str">
        <f>IFERROR(VLOOKUP(B2410,'Pre-Summary'!$AE$6:$AJ$85,5,FALSE),"")</f>
        <v/>
      </c>
      <c r="J2410" s="45" t="str">
        <f>IFERROR(VLOOKUP(B2410,'Pre-Summary'!$AE$6:$AJ$85,6, FALSE),"")</f>
        <v/>
      </c>
      <c r="K2410" s="45" t="str">
        <f>IFERROR(VLOOKUP(B2410,'Pre-Summary'!$DE$6:$DG$61,3,FALSE),"")</f>
        <v/>
      </c>
      <c r="L2410" s="45" t="str">
        <f>IFERROR(VLOOKUP(B2410,'Pre-Summary'!$CU$6:$CW$36,3,FALSE),"")</f>
        <v/>
      </c>
      <c r="M2410" s="45" t="str">
        <f>IFERROR(VLOOKUP(B2410,'Pre-Summary'!$BW$6:$BY$58,2,FALSE),"")</f>
        <v/>
      </c>
      <c r="N2410" s="45" t="str">
        <f>IFERROR(VLOOKUP(B2410,'Pre-Summary'!$CD$6:$CF$64,2,FALSE),"")</f>
        <v/>
      </c>
      <c r="O2410" s="99">
        <f>IFERROR(VLOOKUP(B2410,'Pre-Summary'!$BO$6:$BQ$48,3, FALSE),O2409)</f>
        <v>1.508</v>
      </c>
      <c r="P2410" s="99">
        <f>IFERROR(VLOOKUP(B2410,'Pre-Summary'!$BS$6:$BU$35,3,FALSE),P2409)</f>
        <v>0.379</v>
      </c>
      <c r="Q2410" s="54">
        <f t="shared" si="111"/>
        <v>3.9788918205804751</v>
      </c>
      <c r="R2410" s="53">
        <f>IFERROR(VLOOKUP(B2410,'Pre-Summary'!$BG$6:$BM$44,7,FALSE),R2411)</f>
        <v>0.10033855833824304</v>
      </c>
      <c r="S2410" s="53">
        <f>IFERROR(VLOOKUP(B2410,'Pre-Summary'!$BG$6:$BM$44,6,FALSE),S2411)</f>
        <v>9.2355104881156017E-2</v>
      </c>
      <c r="T2410" s="45" t="str">
        <f>IFERROR(VLOOKUP(B2410,'Pre-Summary'!$Y$6:$AC$83, 3,FALSE),"")</f>
        <v/>
      </c>
      <c r="U2410" s="45" t="str">
        <f>IFERROR(VLOOKUP(B2410,'Pre-Summary'!$Y$6:$AC$83, 4,FALSE),"")</f>
        <v/>
      </c>
      <c r="V2410" t="str">
        <f>IFERROR(VLOOKUP(B2410,'Pre-Summary'!$Y$6:$AC$83, 5,FALSE),"")</f>
        <v/>
      </c>
      <c r="W2410" s="45" t="str">
        <f>IFERROR(VLOOKUP(B2410,'Pre-Summary'!$Y$6:$AD$83,6,FALSE),"")</f>
        <v/>
      </c>
      <c r="X2410" t="str">
        <f>IFERROR(VLOOKUP('Pre-Summary'!$DB$6:$DD$63,3,FALSE),"")</f>
        <v/>
      </c>
      <c r="Y2410" t="str">
        <f>IFERROR(VLOOKUP(B2410,'Pre-Summary'!$CR$6:$CT$36,3,FALSE),"")</f>
        <v/>
      </c>
      <c r="Z2410" s="45" t="str">
        <f>IFERROR(VLOOKUP(B2410,'Pre-Summary'!$BZ$6:$CB$63,2,FALSE),"")</f>
        <v/>
      </c>
      <c r="AA2410" s="45" t="str">
        <f>IFERROR(VLOOKUP(B2410,'Pre-Summary'!$CG$6:$CI$70,2,FALSE),"")</f>
        <v/>
      </c>
      <c r="AB2410" s="99">
        <f>IFERROR(VLOOKUP(B2410,'Pre-Summary'!$A$6:$P$178,9,FALSE),AB2411)</f>
        <v>0.43748610197577364</v>
      </c>
      <c r="AC2410" s="10">
        <f>IFERROR(VLOOKUP(Summary!B2410,'Pre-Summary'!$A$6:$P$184,5, FALSE)/100,AC2411)</f>
        <v>0.93948033333333325</v>
      </c>
      <c r="AD2410" s="10">
        <f>IFERROR(VLOOKUP(Summary!B2410,'Pre-Summary'!$A$6:$P$184,3, FALSE)/100,AD2411)</f>
        <v>5.2729666666666661E-2</v>
      </c>
      <c r="AE2410" s="10">
        <f>IFERROR(VLOOKUP(Summary!B2410,'Pre-Summary'!$A$6:$P$184,7, FALSE)/100,AE2411)</f>
        <v>7.79E-3</v>
      </c>
      <c r="AF2410" s="99">
        <f t="shared" si="112"/>
        <v>2.3068496328481881E-2</v>
      </c>
      <c r="AG2410" s="99">
        <f t="shared" si="113"/>
        <v>3.4080167343912768E-3</v>
      </c>
      <c r="AH2410" s="10" t="str">
        <f>IFERROR(VLOOKUP(B2410,'Pre-Summary'!$AZ$6:$BE$65,3,FALSE),"")</f>
        <v/>
      </c>
      <c r="AI2410" s="10" t="str">
        <f>IFERROR(VLOOKUP(B2410,'Pre-Summary'!$AZ$6:$BE$65,5,FALSE),"")</f>
        <v/>
      </c>
      <c r="AJ2410" s="10" t="str">
        <f>IFERROR(VLOOKUP(B2410,'Pre-Summary'!$AZ$6:$BE$65,4,FALSE),"")</f>
        <v/>
      </c>
      <c r="AK2410" s="10" t="str">
        <f>IFERROR(VLOOKUP(B2410,'Pre-Summary'!$AZ$6:$BE$65,6,FALSE),"")</f>
        <v/>
      </c>
      <c r="AL2410" s="10" t="str">
        <f>IFERROR(VLOOKUP(B2410,'Pre-Summary'!$BG$6:$BL$44,3,FALSE),"")</f>
        <v/>
      </c>
      <c r="AM2410" s="10" t="str">
        <f>IFERROR(VLOOKUP(B2410,'Pre-Summary'!$BG$6:$BL$44,4,FALSE),"")</f>
        <v/>
      </c>
    </row>
    <row r="2411" spans="2:39" ht="15" customHeight="1" x14ac:dyDescent="0.3">
      <c r="B2411">
        <v>240.8</v>
      </c>
      <c r="C2411" t="str">
        <f>IFERROR(VLOOKUP(B2411,'Pre-Summary'!$DI$6:$DM$23,4,FALSE),"")</f>
        <v/>
      </c>
      <c r="D2411" s="10" t="str">
        <f>IFERROR(VLOOKUP(B2411,'Pre-Summary'!$AT$6:$AX$14,5,FALSE),D2410)</f>
        <v>Wolfe v3: went back to modified wolfe + EDTA and switched CuSO4 to CUCl2</v>
      </c>
      <c r="E2411" s="10" t="str">
        <f>IFERROR(VLOOKUP(B2411,'Pre-Summary'!$AT$6:$AX$15,4,FALSE),"")</f>
        <v/>
      </c>
      <c r="F2411">
        <f>IFERROR(VLOOKUP(B2411,'Pre-Summary'!$AL$6:$AQ$13,6,FALSE),F2410)</f>
        <v>5.9405263157894746E-2</v>
      </c>
      <c r="G2411" t="str">
        <f>IFERROR(VLOOKUP(B2411,'Pre-Summary'!$AE$6:$AJ$85,3,FALSE),"")</f>
        <v/>
      </c>
      <c r="H2411" t="str">
        <f>IFERROR(VLOOKUP(B2411,'Pre-Summary'!$AE$6:$AJ$85,4,FALSE),"")</f>
        <v/>
      </c>
      <c r="I2411" t="str">
        <f>IFERROR(VLOOKUP(B2411,'Pre-Summary'!$AE$6:$AJ$85,5,FALSE),"")</f>
        <v/>
      </c>
      <c r="J2411" s="45" t="str">
        <f>IFERROR(VLOOKUP(B2411,'Pre-Summary'!$AE$6:$AJ$85,6, FALSE),"")</f>
        <v/>
      </c>
      <c r="K2411" s="45" t="str">
        <f>IFERROR(VLOOKUP(B2411,'Pre-Summary'!$DE$6:$DG$61,3,FALSE),"")</f>
        <v/>
      </c>
      <c r="L2411" s="45" t="str">
        <f>IFERROR(VLOOKUP(B2411,'Pre-Summary'!$CU$6:$CW$36,3,FALSE),"")</f>
        <v/>
      </c>
      <c r="M2411" s="45" t="str">
        <f>IFERROR(VLOOKUP(B2411,'Pre-Summary'!$BW$6:$BY$58,2,FALSE),"")</f>
        <v/>
      </c>
      <c r="N2411" s="45" t="str">
        <f>IFERROR(VLOOKUP(B2411,'Pre-Summary'!$CD$6:$CF$64,2,FALSE),"")</f>
        <v/>
      </c>
      <c r="O2411" s="99">
        <f>IFERROR(VLOOKUP(B2411,'Pre-Summary'!$BO$6:$BQ$48,3, FALSE),O2410)</f>
        <v>1.508</v>
      </c>
      <c r="P2411" s="99">
        <f>IFERROR(VLOOKUP(B2411,'Pre-Summary'!$BS$6:$BU$35,3,FALSE),P2410)</f>
        <v>0.379</v>
      </c>
      <c r="Q2411" s="54">
        <f t="shared" si="111"/>
        <v>3.9788918205804751</v>
      </c>
      <c r="R2411" s="53">
        <f>IFERROR(VLOOKUP(B2411,'Pre-Summary'!$BG$6:$BM$44,7,FALSE),R2412)</f>
        <v>0.10033855833824304</v>
      </c>
      <c r="S2411" s="53">
        <f>IFERROR(VLOOKUP(B2411,'Pre-Summary'!$BG$6:$BM$44,6,FALSE),S2412)</f>
        <v>9.2355104881156017E-2</v>
      </c>
      <c r="T2411" s="45" t="str">
        <f>IFERROR(VLOOKUP(B2411,'Pre-Summary'!$Y$6:$AC$83, 3,FALSE),"")</f>
        <v/>
      </c>
      <c r="U2411" s="45" t="str">
        <f>IFERROR(VLOOKUP(B2411,'Pre-Summary'!$Y$6:$AC$83, 4,FALSE),"")</f>
        <v/>
      </c>
      <c r="V2411" t="str">
        <f>IFERROR(VLOOKUP(B2411,'Pre-Summary'!$Y$6:$AC$83, 5,FALSE),"")</f>
        <v/>
      </c>
      <c r="W2411" s="45" t="str">
        <f>IFERROR(VLOOKUP(B2411,'Pre-Summary'!$Y$6:$AD$83,6,FALSE),"")</f>
        <v/>
      </c>
      <c r="X2411" t="str">
        <f>IFERROR(VLOOKUP('Pre-Summary'!$DB$6:$DD$63,3,FALSE),"")</f>
        <v/>
      </c>
      <c r="Y2411" t="str">
        <f>IFERROR(VLOOKUP(B2411,'Pre-Summary'!$CR$6:$CT$36,3,FALSE),"")</f>
        <v/>
      </c>
      <c r="Z2411" s="45" t="str">
        <f>IFERROR(VLOOKUP(B2411,'Pre-Summary'!$BZ$6:$CB$63,2,FALSE),"")</f>
        <v/>
      </c>
      <c r="AA2411" s="45" t="str">
        <f>IFERROR(VLOOKUP(B2411,'Pre-Summary'!$CG$6:$CI$70,2,FALSE),"")</f>
        <v/>
      </c>
      <c r="AB2411" s="99">
        <f>IFERROR(VLOOKUP(B2411,'Pre-Summary'!$A$6:$P$178,9,FALSE),AB2412)</f>
        <v>0.43748610197577364</v>
      </c>
      <c r="AC2411" s="10">
        <f>IFERROR(VLOOKUP(Summary!B2411,'Pre-Summary'!$A$6:$P$184,5, FALSE)/100,AC2412)</f>
        <v>0.93948033333333325</v>
      </c>
      <c r="AD2411" s="10">
        <f>IFERROR(VLOOKUP(Summary!B2411,'Pre-Summary'!$A$6:$P$184,3, FALSE)/100,AD2412)</f>
        <v>5.2729666666666661E-2</v>
      </c>
      <c r="AE2411" s="10">
        <f>IFERROR(VLOOKUP(Summary!B2411,'Pre-Summary'!$A$6:$P$184,7, FALSE)/100,AE2412)</f>
        <v>7.79E-3</v>
      </c>
      <c r="AF2411" s="99">
        <f t="shared" si="112"/>
        <v>2.3068496328481881E-2</v>
      </c>
      <c r="AG2411" s="99">
        <f t="shared" si="113"/>
        <v>3.4080167343912768E-3</v>
      </c>
      <c r="AH2411" s="10" t="str">
        <f>IFERROR(VLOOKUP(B2411,'Pre-Summary'!$AZ$6:$BE$65,3,FALSE),"")</f>
        <v/>
      </c>
      <c r="AI2411" s="10" t="str">
        <f>IFERROR(VLOOKUP(B2411,'Pre-Summary'!$AZ$6:$BE$65,5,FALSE),"")</f>
        <v/>
      </c>
      <c r="AJ2411" s="10" t="str">
        <f>IFERROR(VLOOKUP(B2411,'Pre-Summary'!$AZ$6:$BE$65,4,FALSE),"")</f>
        <v/>
      </c>
      <c r="AK2411" s="10" t="str">
        <f>IFERROR(VLOOKUP(B2411,'Pre-Summary'!$AZ$6:$BE$65,6,FALSE),"")</f>
        <v/>
      </c>
      <c r="AL2411" s="10" t="str">
        <f>IFERROR(VLOOKUP(B2411,'Pre-Summary'!$BG$6:$BL$44,3,FALSE),"")</f>
        <v/>
      </c>
      <c r="AM2411" s="10" t="str">
        <f>IFERROR(VLOOKUP(B2411,'Pre-Summary'!$BG$6:$BL$44,4,FALSE),"")</f>
        <v/>
      </c>
    </row>
    <row r="2412" spans="2:39" ht="15" customHeight="1" x14ac:dyDescent="0.3">
      <c r="B2412">
        <v>240.9</v>
      </c>
      <c r="C2412" t="str">
        <f>IFERROR(VLOOKUP(B2412,'Pre-Summary'!$DI$6:$DM$23,4,FALSE),"")</f>
        <v/>
      </c>
      <c r="D2412" s="10" t="str">
        <f>IFERROR(VLOOKUP(B2412,'Pre-Summary'!$AT$6:$AX$14,5,FALSE),D2411)</f>
        <v>Wolfe v3: went back to modified wolfe + EDTA and switched CuSO4 to CUCl2</v>
      </c>
      <c r="E2412" s="10" t="str">
        <f>IFERROR(VLOOKUP(B2412,'Pre-Summary'!$AT$6:$AX$15,4,FALSE),"")</f>
        <v/>
      </c>
      <c r="F2412">
        <f>IFERROR(VLOOKUP(B2412,'Pre-Summary'!$AL$6:$AQ$13,6,FALSE),F2411)</f>
        <v>5.9405263157894746E-2</v>
      </c>
      <c r="G2412" t="str">
        <f>IFERROR(VLOOKUP(B2412,'Pre-Summary'!$AE$6:$AJ$85,3,FALSE),"")</f>
        <v/>
      </c>
      <c r="H2412" t="str">
        <f>IFERROR(VLOOKUP(B2412,'Pre-Summary'!$AE$6:$AJ$85,4,FALSE),"")</f>
        <v/>
      </c>
      <c r="I2412" t="str">
        <f>IFERROR(VLOOKUP(B2412,'Pre-Summary'!$AE$6:$AJ$85,5,FALSE),"")</f>
        <v/>
      </c>
      <c r="J2412" s="45" t="str">
        <f>IFERROR(VLOOKUP(B2412,'Pre-Summary'!$AE$6:$AJ$85,6, FALSE),"")</f>
        <v/>
      </c>
      <c r="K2412" s="45" t="str">
        <f>IFERROR(VLOOKUP(B2412,'Pre-Summary'!$DE$6:$DG$61,3,FALSE),"")</f>
        <v/>
      </c>
      <c r="L2412" s="45" t="str">
        <f>IFERROR(VLOOKUP(B2412,'Pre-Summary'!$CU$6:$CW$36,3,FALSE),"")</f>
        <v/>
      </c>
      <c r="M2412" s="45" t="str">
        <f>IFERROR(VLOOKUP(B2412,'Pre-Summary'!$BW$6:$BY$58,2,FALSE),"")</f>
        <v/>
      </c>
      <c r="N2412" s="45" t="str">
        <f>IFERROR(VLOOKUP(B2412,'Pre-Summary'!$CD$6:$CF$64,2,FALSE),"")</f>
        <v/>
      </c>
      <c r="O2412" s="99">
        <f>IFERROR(VLOOKUP(B2412,'Pre-Summary'!$BO$6:$BQ$48,3, FALSE),O2411)</f>
        <v>1.508</v>
      </c>
      <c r="P2412" s="99">
        <f>IFERROR(VLOOKUP(B2412,'Pre-Summary'!$BS$6:$BU$35,3,FALSE),P2411)</f>
        <v>0.379</v>
      </c>
      <c r="Q2412" s="54">
        <f t="shared" si="111"/>
        <v>3.9788918205804751</v>
      </c>
      <c r="R2412" s="53">
        <f>IFERROR(VLOOKUP(B2412,'Pre-Summary'!$BG$6:$BM$44,7,FALSE),R2413)</f>
        <v>0.10033855833824304</v>
      </c>
      <c r="S2412" s="53">
        <f>IFERROR(VLOOKUP(B2412,'Pre-Summary'!$BG$6:$BM$44,6,FALSE),S2413)</f>
        <v>9.2355104881156017E-2</v>
      </c>
      <c r="T2412" s="45" t="str">
        <f>IFERROR(VLOOKUP(B2412,'Pre-Summary'!$Y$6:$AC$83, 3,FALSE),"")</f>
        <v/>
      </c>
      <c r="U2412" s="45" t="str">
        <f>IFERROR(VLOOKUP(B2412,'Pre-Summary'!$Y$6:$AC$83, 4,FALSE),"")</f>
        <v/>
      </c>
      <c r="V2412" t="str">
        <f>IFERROR(VLOOKUP(B2412,'Pre-Summary'!$Y$6:$AC$83, 5,FALSE),"")</f>
        <v/>
      </c>
      <c r="W2412" s="45" t="str">
        <f>IFERROR(VLOOKUP(B2412,'Pre-Summary'!$Y$6:$AD$83,6,FALSE),"")</f>
        <v/>
      </c>
      <c r="X2412" t="str">
        <f>IFERROR(VLOOKUP('Pre-Summary'!$DB$6:$DD$63,3,FALSE),"")</f>
        <v/>
      </c>
      <c r="Y2412" t="str">
        <f>IFERROR(VLOOKUP(B2412,'Pre-Summary'!$CR$6:$CT$36,3,FALSE),"")</f>
        <v/>
      </c>
      <c r="Z2412" s="45" t="str">
        <f>IFERROR(VLOOKUP(B2412,'Pre-Summary'!$BZ$6:$CB$63,2,FALSE),"")</f>
        <v/>
      </c>
      <c r="AA2412" s="45" t="str">
        <f>IFERROR(VLOOKUP(B2412,'Pre-Summary'!$CG$6:$CI$70,2,FALSE),"")</f>
        <v/>
      </c>
      <c r="AB2412" s="99">
        <f>IFERROR(VLOOKUP(B2412,'Pre-Summary'!$A$6:$P$178,9,FALSE),AB2413)</f>
        <v>0.43748610197577364</v>
      </c>
      <c r="AC2412" s="10">
        <f>IFERROR(VLOOKUP(Summary!B2412,'Pre-Summary'!$A$6:$P$184,5, FALSE)/100,AC2413)</f>
        <v>0.93948033333333325</v>
      </c>
      <c r="AD2412" s="10">
        <f>IFERROR(VLOOKUP(Summary!B2412,'Pre-Summary'!$A$6:$P$184,3, FALSE)/100,AD2413)</f>
        <v>5.2729666666666661E-2</v>
      </c>
      <c r="AE2412" s="10">
        <f>IFERROR(VLOOKUP(Summary!B2412,'Pre-Summary'!$A$6:$P$184,7, FALSE)/100,AE2413)</f>
        <v>7.79E-3</v>
      </c>
      <c r="AF2412" s="99">
        <f t="shared" si="112"/>
        <v>2.3068496328481881E-2</v>
      </c>
      <c r="AG2412" s="99">
        <f t="shared" si="113"/>
        <v>3.4080167343912768E-3</v>
      </c>
      <c r="AH2412" s="10" t="str">
        <f>IFERROR(VLOOKUP(B2412,'Pre-Summary'!$AZ$6:$BE$65,3,FALSE),"")</f>
        <v/>
      </c>
      <c r="AI2412" s="10" t="str">
        <f>IFERROR(VLOOKUP(B2412,'Pre-Summary'!$AZ$6:$BE$65,5,FALSE),"")</f>
        <v/>
      </c>
      <c r="AJ2412" s="10" t="str">
        <f>IFERROR(VLOOKUP(B2412,'Pre-Summary'!$AZ$6:$BE$65,4,FALSE),"")</f>
        <v/>
      </c>
      <c r="AK2412" s="10" t="str">
        <f>IFERROR(VLOOKUP(B2412,'Pre-Summary'!$AZ$6:$BE$65,6,FALSE),"")</f>
        <v/>
      </c>
      <c r="AL2412" s="10" t="str">
        <f>IFERROR(VLOOKUP(B2412,'Pre-Summary'!$BG$6:$BL$44,3,FALSE),"")</f>
        <v/>
      </c>
      <c r="AM2412" s="10" t="str">
        <f>IFERROR(VLOOKUP(B2412,'Pre-Summary'!$BG$6:$BL$44,4,FALSE),"")</f>
        <v/>
      </c>
    </row>
    <row r="2413" spans="2:39" ht="15" customHeight="1" x14ac:dyDescent="0.3">
      <c r="B2413">
        <v>241</v>
      </c>
      <c r="C2413" t="str">
        <f>IFERROR(VLOOKUP(B2413,'Pre-Summary'!$DI$6:$DM$23,4,FALSE),"")</f>
        <v/>
      </c>
      <c r="D2413" s="10" t="str">
        <f>IFERROR(VLOOKUP(B2413,'Pre-Summary'!$AT$6:$AX$14,5,FALSE),D2412)</f>
        <v>Wolfe v3: went back to modified wolfe + EDTA and switched CuSO4 to CUCl2</v>
      </c>
      <c r="E2413" s="10" t="str">
        <f>IFERROR(VLOOKUP(B2413,'Pre-Summary'!$AT$6:$AX$15,4,FALSE),"")</f>
        <v/>
      </c>
      <c r="F2413">
        <f>IFERROR(VLOOKUP(B2413,'Pre-Summary'!$AL$6:$AQ$13,6,FALSE),F2412)</f>
        <v>5.9405263157894746E-2</v>
      </c>
      <c r="G2413" t="str">
        <f>IFERROR(VLOOKUP(B2413,'Pre-Summary'!$AE$6:$AJ$85,3,FALSE),"")</f>
        <v/>
      </c>
      <c r="H2413" t="str">
        <f>IFERROR(VLOOKUP(B2413,'Pre-Summary'!$AE$6:$AJ$85,4,FALSE),"")</f>
        <v/>
      </c>
      <c r="I2413" t="str">
        <f>IFERROR(VLOOKUP(B2413,'Pre-Summary'!$AE$6:$AJ$85,5,FALSE),"")</f>
        <v/>
      </c>
      <c r="J2413" s="45" t="str">
        <f>IFERROR(VLOOKUP(B2413,'Pre-Summary'!$AE$6:$AJ$85,6, FALSE),"")</f>
        <v/>
      </c>
      <c r="K2413" s="45" t="str">
        <f>IFERROR(VLOOKUP(B2413,'Pre-Summary'!$DE$6:$DG$61,3,FALSE),"")</f>
        <v/>
      </c>
      <c r="L2413" s="45" t="str">
        <f>IFERROR(VLOOKUP(B2413,'Pre-Summary'!$CU$6:$CW$36,3,FALSE),"")</f>
        <v/>
      </c>
      <c r="M2413" s="45" t="str">
        <f>IFERROR(VLOOKUP(B2413,'Pre-Summary'!$BW$6:$BY$58,2,FALSE),"")</f>
        <v/>
      </c>
      <c r="N2413" s="45" t="str">
        <f>IFERROR(VLOOKUP(B2413,'Pre-Summary'!$CD$6:$CF$64,2,FALSE),"")</f>
        <v/>
      </c>
      <c r="O2413" s="99">
        <f>IFERROR(VLOOKUP(B2413,'Pre-Summary'!$BO$6:$BQ$48,3, FALSE),O2412)</f>
        <v>1.508</v>
      </c>
      <c r="P2413" s="99">
        <f>IFERROR(VLOOKUP(B2413,'Pre-Summary'!$BS$6:$BU$35,3,FALSE),P2412)</f>
        <v>0.4</v>
      </c>
      <c r="Q2413" s="54">
        <f t="shared" si="111"/>
        <v>3.77</v>
      </c>
      <c r="R2413" s="53">
        <f>IFERROR(VLOOKUP(B2413,'Pre-Summary'!$BG$6:$BM$44,7,FALSE),R2414)</f>
        <v>0.10033855833824304</v>
      </c>
      <c r="S2413" s="53">
        <f>IFERROR(VLOOKUP(B2413,'Pre-Summary'!$BG$6:$BM$44,6,FALSE),S2414)</f>
        <v>9.2355104881156017E-2</v>
      </c>
      <c r="T2413" s="45" t="str">
        <f>IFERROR(VLOOKUP(B2413,'Pre-Summary'!$Y$6:$AC$83, 3,FALSE),"")</f>
        <v/>
      </c>
      <c r="U2413" s="45" t="str">
        <f>IFERROR(VLOOKUP(B2413,'Pre-Summary'!$Y$6:$AC$83, 4,FALSE),"")</f>
        <v/>
      </c>
      <c r="V2413" t="str">
        <f>IFERROR(VLOOKUP(B2413,'Pre-Summary'!$Y$6:$AC$83, 5,FALSE),"")</f>
        <v/>
      </c>
      <c r="W2413" s="45" t="str">
        <f>IFERROR(VLOOKUP(B2413,'Pre-Summary'!$Y$6:$AD$83,6,FALSE),"")</f>
        <v/>
      </c>
      <c r="X2413" t="str">
        <f>IFERROR(VLOOKUP('Pre-Summary'!$DB$6:$DD$63,3,FALSE),"")</f>
        <v/>
      </c>
      <c r="Y2413" t="str">
        <f>IFERROR(VLOOKUP(B2413,'Pre-Summary'!$CR$6:$CT$36,3,FALSE),"")</f>
        <v/>
      </c>
      <c r="Z2413" s="45" t="str">
        <f>IFERROR(VLOOKUP(B2413,'Pre-Summary'!$BZ$6:$CB$63,2,FALSE),"")</f>
        <v/>
      </c>
      <c r="AA2413" s="45" t="str">
        <f>IFERROR(VLOOKUP(B2413,'Pre-Summary'!$CG$6:$CI$70,2,FALSE),"")</f>
        <v/>
      </c>
      <c r="AB2413" s="99">
        <f>IFERROR(VLOOKUP(B2413,'Pre-Summary'!$A$6:$P$178,9,FALSE),AB2414)</f>
        <v>0.37146051582655759</v>
      </c>
      <c r="AC2413" s="10">
        <f>IFERROR(VLOOKUP(Summary!B2413,'Pre-Summary'!$A$6:$P$184,5, FALSE)/100,AC2414)</f>
        <v>0.92695399999999994</v>
      </c>
      <c r="AD2413" s="10">
        <f>IFERROR(VLOOKUP(Summary!B2413,'Pre-Summary'!$A$6:$P$184,3, FALSE)/100,AD2414)</f>
        <v>6.3200000000000006E-2</v>
      </c>
      <c r="AE2413" s="10">
        <f>IFERROR(VLOOKUP(Summary!B2413,'Pre-Summary'!$A$6:$P$184,7, FALSE)/100,AE2414)</f>
        <v>9.8456666666666675E-3</v>
      </c>
      <c r="AF2413" s="99">
        <f t="shared" si="112"/>
        <v>2.3476304600238442E-2</v>
      </c>
      <c r="AG2413" s="99">
        <f t="shared" si="113"/>
        <v>3.6572764186563441E-3</v>
      </c>
      <c r="AH2413" s="10" t="str">
        <f>IFERROR(VLOOKUP(B2413,'Pre-Summary'!$AZ$6:$BE$65,3,FALSE),"")</f>
        <v/>
      </c>
      <c r="AI2413" s="10" t="str">
        <f>IFERROR(VLOOKUP(B2413,'Pre-Summary'!$AZ$6:$BE$65,5,FALSE),"")</f>
        <v/>
      </c>
      <c r="AJ2413" s="10" t="str">
        <f>IFERROR(VLOOKUP(B2413,'Pre-Summary'!$AZ$6:$BE$65,4,FALSE),"")</f>
        <v/>
      </c>
      <c r="AK2413" s="10" t="str">
        <f>IFERROR(VLOOKUP(B2413,'Pre-Summary'!$AZ$6:$BE$65,6,FALSE),"")</f>
        <v/>
      </c>
      <c r="AL2413" s="10" t="str">
        <f>IFERROR(VLOOKUP(B2413,'Pre-Summary'!$BG$6:$BL$44,3,FALSE),"")</f>
        <v/>
      </c>
      <c r="AM2413" s="10" t="str">
        <f>IFERROR(VLOOKUP(B2413,'Pre-Summary'!$BG$6:$BL$44,4,FALSE),"")</f>
        <v/>
      </c>
    </row>
    <row r="2414" spans="2:39" ht="15" customHeight="1" x14ac:dyDescent="0.3">
      <c r="B2414">
        <v>241.1</v>
      </c>
      <c r="C2414" t="str">
        <f>IFERROR(VLOOKUP(B2414,'Pre-Summary'!$DI$6:$DM$23,4,FALSE),"")</f>
        <v/>
      </c>
      <c r="D2414" s="10" t="str">
        <f>IFERROR(VLOOKUP(B2414,'Pre-Summary'!$AT$6:$AX$14,5,FALSE),D2413)</f>
        <v>Wolfe v3: went back to modified wolfe + EDTA and switched CuSO4 to CUCl2</v>
      </c>
      <c r="E2414" s="10" t="str">
        <f>IFERROR(VLOOKUP(B2414,'Pre-Summary'!$AT$6:$AX$15,4,FALSE),"")</f>
        <v/>
      </c>
      <c r="F2414">
        <f>IFERROR(VLOOKUP(B2414,'Pre-Summary'!$AL$6:$AQ$13,6,FALSE),F2413)</f>
        <v>5.9405263157894746E-2</v>
      </c>
      <c r="G2414" t="str">
        <f>IFERROR(VLOOKUP(B2414,'Pre-Summary'!$AE$6:$AJ$85,3,FALSE),"")</f>
        <v/>
      </c>
      <c r="H2414" t="str">
        <f>IFERROR(VLOOKUP(B2414,'Pre-Summary'!$AE$6:$AJ$85,4,FALSE),"")</f>
        <v/>
      </c>
      <c r="I2414" t="str">
        <f>IFERROR(VLOOKUP(B2414,'Pre-Summary'!$AE$6:$AJ$85,5,FALSE),"")</f>
        <v/>
      </c>
      <c r="J2414" s="45" t="str">
        <f>IFERROR(VLOOKUP(B2414,'Pre-Summary'!$AE$6:$AJ$85,6, FALSE),"")</f>
        <v/>
      </c>
      <c r="K2414" s="45" t="str">
        <f>IFERROR(VLOOKUP(B2414,'Pre-Summary'!$DE$6:$DG$61,3,FALSE),"")</f>
        <v/>
      </c>
      <c r="L2414" s="45" t="str">
        <f>IFERROR(VLOOKUP(B2414,'Pre-Summary'!$CU$6:$CW$36,3,FALSE),"")</f>
        <v/>
      </c>
      <c r="M2414" s="45" t="str">
        <f>IFERROR(VLOOKUP(B2414,'Pre-Summary'!$BW$6:$BY$58,2,FALSE),"")</f>
        <v/>
      </c>
      <c r="N2414" s="45" t="str">
        <f>IFERROR(VLOOKUP(B2414,'Pre-Summary'!$CD$6:$CF$64,2,FALSE),"")</f>
        <v/>
      </c>
      <c r="O2414" s="99">
        <f>IFERROR(VLOOKUP(B2414,'Pre-Summary'!$BO$6:$BQ$48,3, FALSE),O2413)</f>
        <v>1.508</v>
      </c>
      <c r="P2414" s="99">
        <f>IFERROR(VLOOKUP(B2414,'Pre-Summary'!$BS$6:$BU$35,3,FALSE),P2413)</f>
        <v>0.4</v>
      </c>
      <c r="Q2414" s="54">
        <f t="shared" si="111"/>
        <v>3.77</v>
      </c>
      <c r="R2414" s="53">
        <f>IFERROR(VLOOKUP(B2414,'Pre-Summary'!$BG$6:$BM$44,7,FALSE),R2415)</f>
        <v>0.10033855833824304</v>
      </c>
      <c r="S2414" s="53">
        <f>IFERROR(VLOOKUP(B2414,'Pre-Summary'!$BG$6:$BM$44,6,FALSE),S2415)</f>
        <v>9.2355104881156017E-2</v>
      </c>
      <c r="T2414" s="45" t="str">
        <f>IFERROR(VLOOKUP(B2414,'Pre-Summary'!$Y$6:$AC$83, 3,FALSE),"")</f>
        <v/>
      </c>
      <c r="U2414" s="45" t="str">
        <f>IFERROR(VLOOKUP(B2414,'Pre-Summary'!$Y$6:$AC$83, 4,FALSE),"")</f>
        <v/>
      </c>
      <c r="V2414" t="str">
        <f>IFERROR(VLOOKUP(B2414,'Pre-Summary'!$Y$6:$AC$83, 5,FALSE),"")</f>
        <v/>
      </c>
      <c r="W2414" s="45" t="str">
        <f>IFERROR(VLOOKUP(B2414,'Pre-Summary'!$Y$6:$AD$83,6,FALSE),"")</f>
        <v/>
      </c>
      <c r="X2414" t="str">
        <f>IFERROR(VLOOKUP('Pre-Summary'!$DB$6:$DD$63,3,FALSE),"")</f>
        <v/>
      </c>
      <c r="Y2414" t="str">
        <f>IFERROR(VLOOKUP(B2414,'Pre-Summary'!$CR$6:$CT$36,3,FALSE),"")</f>
        <v/>
      </c>
      <c r="Z2414" s="45" t="str">
        <f>IFERROR(VLOOKUP(B2414,'Pre-Summary'!$BZ$6:$CB$63,2,FALSE),"")</f>
        <v/>
      </c>
      <c r="AA2414" s="45" t="str">
        <f>IFERROR(VLOOKUP(B2414,'Pre-Summary'!$CG$6:$CI$70,2,FALSE),"")</f>
        <v/>
      </c>
      <c r="AB2414" s="99">
        <f>IFERROR(VLOOKUP(B2414,'Pre-Summary'!$A$6:$P$178,9,FALSE),AB2415)</f>
        <v>0.37146051582655759</v>
      </c>
      <c r="AC2414" s="10">
        <f>IFERROR(VLOOKUP(Summary!B2414,'Pre-Summary'!$A$6:$P$184,5, FALSE)/100,AC2415)</f>
        <v>0.92695399999999994</v>
      </c>
      <c r="AD2414" s="10">
        <f>IFERROR(VLOOKUP(Summary!B2414,'Pre-Summary'!$A$6:$P$184,3, FALSE)/100,AD2415)</f>
        <v>6.3200000000000006E-2</v>
      </c>
      <c r="AE2414" s="10">
        <f>IFERROR(VLOOKUP(Summary!B2414,'Pre-Summary'!$A$6:$P$184,7, FALSE)/100,AE2415)</f>
        <v>9.8456666666666675E-3</v>
      </c>
      <c r="AF2414" s="99">
        <f t="shared" si="112"/>
        <v>2.3476304600238442E-2</v>
      </c>
      <c r="AG2414" s="99">
        <f t="shared" si="113"/>
        <v>3.6572764186563441E-3</v>
      </c>
      <c r="AH2414" s="10" t="str">
        <f>IFERROR(VLOOKUP(B2414,'Pre-Summary'!$AZ$6:$BE$65,3,FALSE),"")</f>
        <v/>
      </c>
      <c r="AI2414" s="10" t="str">
        <f>IFERROR(VLOOKUP(B2414,'Pre-Summary'!$AZ$6:$BE$65,5,FALSE),"")</f>
        <v/>
      </c>
      <c r="AJ2414" s="10" t="str">
        <f>IFERROR(VLOOKUP(B2414,'Pre-Summary'!$AZ$6:$BE$65,4,FALSE),"")</f>
        <v/>
      </c>
      <c r="AK2414" s="10" t="str">
        <f>IFERROR(VLOOKUP(B2414,'Pre-Summary'!$AZ$6:$BE$65,6,FALSE),"")</f>
        <v/>
      </c>
      <c r="AL2414" s="10" t="str">
        <f>IFERROR(VLOOKUP(B2414,'Pre-Summary'!$BG$6:$BL$44,3,FALSE),"")</f>
        <v/>
      </c>
      <c r="AM2414" s="10" t="str">
        <f>IFERROR(VLOOKUP(B2414,'Pre-Summary'!$BG$6:$BL$44,4,FALSE),"")</f>
        <v/>
      </c>
    </row>
    <row r="2415" spans="2:39" ht="15" customHeight="1" x14ac:dyDescent="0.3">
      <c r="B2415">
        <v>241.2</v>
      </c>
      <c r="C2415" t="str">
        <f>IFERROR(VLOOKUP(B2415,'Pre-Summary'!$DI$6:$DM$23,4,FALSE),"")</f>
        <v/>
      </c>
      <c r="D2415" s="10" t="str">
        <f>IFERROR(VLOOKUP(B2415,'Pre-Summary'!$AT$6:$AX$14,5,FALSE),D2414)</f>
        <v>Wolfe v3: went back to modified wolfe + EDTA and switched CuSO4 to CUCl2</v>
      </c>
      <c r="E2415" s="10" t="str">
        <f>IFERROR(VLOOKUP(B2415,'Pre-Summary'!$AT$6:$AX$15,4,FALSE),"")</f>
        <v/>
      </c>
      <c r="F2415">
        <f>IFERROR(VLOOKUP(B2415,'Pre-Summary'!$AL$6:$AQ$13,6,FALSE),F2414)</f>
        <v>5.9405263157894746E-2</v>
      </c>
      <c r="G2415" t="str">
        <f>IFERROR(VLOOKUP(B2415,'Pre-Summary'!$AE$6:$AJ$85,3,FALSE),"")</f>
        <v/>
      </c>
      <c r="H2415" t="str">
        <f>IFERROR(VLOOKUP(B2415,'Pre-Summary'!$AE$6:$AJ$85,4,FALSE),"")</f>
        <v/>
      </c>
      <c r="I2415" t="str">
        <f>IFERROR(VLOOKUP(B2415,'Pre-Summary'!$AE$6:$AJ$85,5,FALSE),"")</f>
        <v/>
      </c>
      <c r="J2415" s="45" t="str">
        <f>IFERROR(VLOOKUP(B2415,'Pre-Summary'!$AE$6:$AJ$85,6, FALSE),"")</f>
        <v/>
      </c>
      <c r="K2415" s="45" t="str">
        <f>IFERROR(VLOOKUP(B2415,'Pre-Summary'!$DE$6:$DG$61,3,FALSE),"")</f>
        <v/>
      </c>
      <c r="L2415" s="45" t="str">
        <f>IFERROR(VLOOKUP(B2415,'Pre-Summary'!$CU$6:$CW$36,3,FALSE),"")</f>
        <v/>
      </c>
      <c r="M2415" s="45" t="str">
        <f>IFERROR(VLOOKUP(B2415,'Pre-Summary'!$BW$6:$BY$58,2,FALSE),"")</f>
        <v/>
      </c>
      <c r="N2415" s="45" t="str">
        <f>IFERROR(VLOOKUP(B2415,'Pre-Summary'!$CD$6:$CF$64,2,FALSE),"")</f>
        <v/>
      </c>
      <c r="O2415" s="99">
        <f>IFERROR(VLOOKUP(B2415,'Pre-Summary'!$BO$6:$BQ$48,3, FALSE),O2414)</f>
        <v>1.508</v>
      </c>
      <c r="P2415" s="99">
        <f>IFERROR(VLOOKUP(B2415,'Pre-Summary'!$BS$6:$BU$35,3,FALSE),P2414)</f>
        <v>0.4</v>
      </c>
      <c r="Q2415" s="54">
        <f t="shared" si="111"/>
        <v>3.77</v>
      </c>
      <c r="R2415" s="53">
        <f>IFERROR(VLOOKUP(B2415,'Pre-Summary'!$BG$6:$BM$44,7,FALSE),R2416)</f>
        <v>0.10033855833824304</v>
      </c>
      <c r="S2415" s="53">
        <f>IFERROR(VLOOKUP(B2415,'Pre-Summary'!$BG$6:$BM$44,6,FALSE),S2416)</f>
        <v>9.2355104881156017E-2</v>
      </c>
      <c r="T2415" s="45" t="str">
        <f>IFERROR(VLOOKUP(B2415,'Pre-Summary'!$Y$6:$AC$83, 3,FALSE),"")</f>
        <v/>
      </c>
      <c r="U2415" s="45" t="str">
        <f>IFERROR(VLOOKUP(B2415,'Pre-Summary'!$Y$6:$AC$83, 4,FALSE),"")</f>
        <v/>
      </c>
      <c r="V2415" t="str">
        <f>IFERROR(VLOOKUP(B2415,'Pre-Summary'!$Y$6:$AC$83, 5,FALSE),"")</f>
        <v/>
      </c>
      <c r="W2415" s="45" t="str">
        <f>IFERROR(VLOOKUP(B2415,'Pre-Summary'!$Y$6:$AD$83,6,FALSE),"")</f>
        <v/>
      </c>
      <c r="X2415" t="str">
        <f>IFERROR(VLOOKUP('Pre-Summary'!$DB$6:$DD$63,3,FALSE),"")</f>
        <v/>
      </c>
      <c r="Y2415" t="str">
        <f>IFERROR(VLOOKUP(B2415,'Pre-Summary'!$CR$6:$CT$36,3,FALSE),"")</f>
        <v/>
      </c>
      <c r="Z2415" s="45" t="str">
        <f>IFERROR(VLOOKUP(B2415,'Pre-Summary'!$BZ$6:$CB$63,2,FALSE),"")</f>
        <v/>
      </c>
      <c r="AA2415" s="45" t="str">
        <f>IFERROR(VLOOKUP(B2415,'Pre-Summary'!$CG$6:$CI$70,2,FALSE),"")</f>
        <v/>
      </c>
      <c r="AB2415" s="99">
        <f>IFERROR(VLOOKUP(B2415,'Pre-Summary'!$A$6:$P$178,9,FALSE),AB2416)</f>
        <v>0.37146051582655759</v>
      </c>
      <c r="AC2415" s="10">
        <f>IFERROR(VLOOKUP(Summary!B2415,'Pre-Summary'!$A$6:$P$184,5, FALSE)/100,AC2416)</f>
        <v>0.92695399999999994</v>
      </c>
      <c r="AD2415" s="10">
        <f>IFERROR(VLOOKUP(Summary!B2415,'Pre-Summary'!$A$6:$P$184,3, FALSE)/100,AD2416)</f>
        <v>6.3200000000000006E-2</v>
      </c>
      <c r="AE2415" s="10">
        <f>IFERROR(VLOOKUP(Summary!B2415,'Pre-Summary'!$A$6:$P$184,7, FALSE)/100,AE2416)</f>
        <v>9.8456666666666675E-3</v>
      </c>
      <c r="AF2415" s="99">
        <f t="shared" si="112"/>
        <v>2.3476304600238442E-2</v>
      </c>
      <c r="AG2415" s="99">
        <f t="shared" si="113"/>
        <v>3.6572764186563441E-3</v>
      </c>
      <c r="AH2415" s="10" t="str">
        <f>IFERROR(VLOOKUP(B2415,'Pre-Summary'!$AZ$6:$BE$65,3,FALSE),"")</f>
        <v/>
      </c>
      <c r="AI2415" s="10" t="str">
        <f>IFERROR(VLOOKUP(B2415,'Pre-Summary'!$AZ$6:$BE$65,5,FALSE),"")</f>
        <v/>
      </c>
      <c r="AJ2415" s="10" t="str">
        <f>IFERROR(VLOOKUP(B2415,'Pre-Summary'!$AZ$6:$BE$65,4,FALSE),"")</f>
        <v/>
      </c>
      <c r="AK2415" s="10" t="str">
        <f>IFERROR(VLOOKUP(B2415,'Pre-Summary'!$AZ$6:$BE$65,6,FALSE),"")</f>
        <v/>
      </c>
      <c r="AL2415" s="10" t="str">
        <f>IFERROR(VLOOKUP(B2415,'Pre-Summary'!$BG$6:$BL$44,3,FALSE),"")</f>
        <v/>
      </c>
      <c r="AM2415" s="10" t="str">
        <f>IFERROR(VLOOKUP(B2415,'Pre-Summary'!$BG$6:$BL$44,4,FALSE),"")</f>
        <v/>
      </c>
    </row>
    <row r="2416" spans="2:39" ht="15" customHeight="1" x14ac:dyDescent="0.3">
      <c r="B2416">
        <v>241.3</v>
      </c>
      <c r="C2416" t="str">
        <f>IFERROR(VLOOKUP(B2416,'Pre-Summary'!$DI$6:$DM$23,4,FALSE),"")</f>
        <v/>
      </c>
      <c r="D2416" s="10" t="str">
        <f>IFERROR(VLOOKUP(B2416,'Pre-Summary'!$AT$6:$AX$14,5,FALSE),D2415)</f>
        <v>Wolfe v3: went back to modified wolfe + EDTA and switched CuSO4 to CUCl2</v>
      </c>
      <c r="E2416" s="10" t="str">
        <f>IFERROR(VLOOKUP(B2416,'Pre-Summary'!$AT$6:$AX$15,4,FALSE),"")</f>
        <v/>
      </c>
      <c r="F2416">
        <f>IFERROR(VLOOKUP(B2416,'Pre-Summary'!$AL$6:$AQ$13,6,FALSE),F2415)</f>
        <v>5.9405263157894746E-2</v>
      </c>
      <c r="G2416" t="str">
        <f>IFERROR(VLOOKUP(B2416,'Pre-Summary'!$AE$6:$AJ$85,3,FALSE),"")</f>
        <v/>
      </c>
      <c r="H2416" t="str">
        <f>IFERROR(VLOOKUP(B2416,'Pre-Summary'!$AE$6:$AJ$85,4,FALSE),"")</f>
        <v/>
      </c>
      <c r="I2416" t="str">
        <f>IFERROR(VLOOKUP(B2416,'Pre-Summary'!$AE$6:$AJ$85,5,FALSE),"")</f>
        <v/>
      </c>
      <c r="J2416" s="45" t="str">
        <f>IFERROR(VLOOKUP(B2416,'Pre-Summary'!$AE$6:$AJ$85,6, FALSE),"")</f>
        <v/>
      </c>
      <c r="K2416" s="45" t="str">
        <f>IFERROR(VLOOKUP(B2416,'Pre-Summary'!$DE$6:$DG$61,3,FALSE),"")</f>
        <v/>
      </c>
      <c r="L2416" s="45" t="str">
        <f>IFERROR(VLOOKUP(B2416,'Pre-Summary'!$CU$6:$CW$36,3,FALSE),"")</f>
        <v/>
      </c>
      <c r="M2416" s="45" t="str">
        <f>IFERROR(VLOOKUP(B2416,'Pre-Summary'!$BW$6:$BY$58,2,FALSE),"")</f>
        <v/>
      </c>
      <c r="N2416" s="45" t="str">
        <f>IFERROR(VLOOKUP(B2416,'Pre-Summary'!$CD$6:$CF$64,2,FALSE),"")</f>
        <v/>
      </c>
      <c r="O2416" s="99">
        <f>IFERROR(VLOOKUP(B2416,'Pre-Summary'!$BO$6:$BQ$48,3, FALSE),O2415)</f>
        <v>1.508</v>
      </c>
      <c r="P2416" s="99">
        <f>IFERROR(VLOOKUP(B2416,'Pre-Summary'!$BS$6:$BU$35,3,FALSE),P2415)</f>
        <v>0.4</v>
      </c>
      <c r="Q2416" s="54">
        <f t="shared" si="111"/>
        <v>3.77</v>
      </c>
      <c r="R2416" s="53">
        <f>IFERROR(VLOOKUP(B2416,'Pre-Summary'!$BG$6:$BM$44,7,FALSE),R2417)</f>
        <v>0.10033855833824304</v>
      </c>
      <c r="S2416" s="53">
        <f>IFERROR(VLOOKUP(B2416,'Pre-Summary'!$BG$6:$BM$44,6,FALSE),S2417)</f>
        <v>9.2355104881156017E-2</v>
      </c>
      <c r="T2416" s="45" t="str">
        <f>IFERROR(VLOOKUP(B2416,'Pre-Summary'!$Y$6:$AC$83, 3,FALSE),"")</f>
        <v/>
      </c>
      <c r="U2416" s="45" t="str">
        <f>IFERROR(VLOOKUP(B2416,'Pre-Summary'!$Y$6:$AC$83, 4,FALSE),"")</f>
        <v/>
      </c>
      <c r="V2416" t="str">
        <f>IFERROR(VLOOKUP(B2416,'Pre-Summary'!$Y$6:$AC$83, 5,FALSE),"")</f>
        <v/>
      </c>
      <c r="W2416" s="45" t="str">
        <f>IFERROR(VLOOKUP(B2416,'Pre-Summary'!$Y$6:$AD$83,6,FALSE),"")</f>
        <v/>
      </c>
      <c r="X2416" t="str">
        <f>IFERROR(VLOOKUP('Pre-Summary'!$DB$6:$DD$63,3,FALSE),"")</f>
        <v/>
      </c>
      <c r="Y2416" t="str">
        <f>IFERROR(VLOOKUP(B2416,'Pre-Summary'!$CR$6:$CT$36,3,FALSE),"")</f>
        <v/>
      </c>
      <c r="Z2416" s="45" t="str">
        <f>IFERROR(VLOOKUP(B2416,'Pre-Summary'!$BZ$6:$CB$63,2,FALSE),"")</f>
        <v/>
      </c>
      <c r="AA2416" s="45" t="str">
        <f>IFERROR(VLOOKUP(B2416,'Pre-Summary'!$CG$6:$CI$70,2,FALSE),"")</f>
        <v/>
      </c>
      <c r="AB2416" s="99">
        <f>IFERROR(VLOOKUP(B2416,'Pre-Summary'!$A$6:$P$178,9,FALSE),AB2417)</f>
        <v>0.37146051582655759</v>
      </c>
      <c r="AC2416" s="10">
        <f>IFERROR(VLOOKUP(Summary!B2416,'Pre-Summary'!$A$6:$P$184,5, FALSE)/100,AC2417)</f>
        <v>0.92695399999999994</v>
      </c>
      <c r="AD2416" s="10">
        <f>IFERROR(VLOOKUP(Summary!B2416,'Pre-Summary'!$A$6:$P$184,3, FALSE)/100,AD2417)</f>
        <v>6.3200000000000006E-2</v>
      </c>
      <c r="AE2416" s="10">
        <f>IFERROR(VLOOKUP(Summary!B2416,'Pre-Summary'!$A$6:$P$184,7, FALSE)/100,AE2417)</f>
        <v>9.8456666666666675E-3</v>
      </c>
      <c r="AF2416" s="99">
        <f t="shared" si="112"/>
        <v>2.3476304600238442E-2</v>
      </c>
      <c r="AG2416" s="99">
        <f t="shared" si="113"/>
        <v>3.6572764186563441E-3</v>
      </c>
      <c r="AH2416" s="10" t="str">
        <f>IFERROR(VLOOKUP(B2416,'Pre-Summary'!$AZ$6:$BE$65,3,FALSE),"")</f>
        <v/>
      </c>
      <c r="AI2416" s="10" t="str">
        <f>IFERROR(VLOOKUP(B2416,'Pre-Summary'!$AZ$6:$BE$65,5,FALSE),"")</f>
        <v/>
      </c>
      <c r="AJ2416" s="10" t="str">
        <f>IFERROR(VLOOKUP(B2416,'Pre-Summary'!$AZ$6:$BE$65,4,FALSE),"")</f>
        <v/>
      </c>
      <c r="AK2416" s="10" t="str">
        <f>IFERROR(VLOOKUP(B2416,'Pre-Summary'!$AZ$6:$BE$65,6,FALSE),"")</f>
        <v/>
      </c>
      <c r="AL2416" s="10" t="str">
        <f>IFERROR(VLOOKUP(B2416,'Pre-Summary'!$BG$6:$BL$44,3,FALSE),"")</f>
        <v/>
      </c>
      <c r="AM2416" s="10" t="str">
        <f>IFERROR(VLOOKUP(B2416,'Pre-Summary'!$BG$6:$BL$44,4,FALSE),"")</f>
        <v/>
      </c>
    </row>
    <row r="2417" spans="2:39" ht="15" customHeight="1" x14ac:dyDescent="0.3">
      <c r="B2417">
        <v>241.4</v>
      </c>
      <c r="C2417" t="str">
        <f>IFERROR(VLOOKUP(B2417,'Pre-Summary'!$DI$6:$DM$23,4,FALSE),"")</f>
        <v/>
      </c>
      <c r="D2417" s="10" t="str">
        <f>IFERROR(VLOOKUP(B2417,'Pre-Summary'!$AT$6:$AX$14,5,FALSE),D2416)</f>
        <v>Wolfe v3: went back to modified wolfe + EDTA and switched CuSO4 to CUCl2</v>
      </c>
      <c r="E2417" s="10" t="str">
        <f>IFERROR(VLOOKUP(B2417,'Pre-Summary'!$AT$6:$AX$15,4,FALSE),"")</f>
        <v/>
      </c>
      <c r="F2417">
        <f>IFERROR(VLOOKUP(B2417,'Pre-Summary'!$AL$6:$AQ$13,6,FALSE),F2416)</f>
        <v>5.9405263157894746E-2</v>
      </c>
      <c r="G2417" t="str">
        <f>IFERROR(VLOOKUP(B2417,'Pre-Summary'!$AE$6:$AJ$85,3,FALSE),"")</f>
        <v/>
      </c>
      <c r="H2417" t="str">
        <f>IFERROR(VLOOKUP(B2417,'Pre-Summary'!$AE$6:$AJ$85,4,FALSE),"")</f>
        <v/>
      </c>
      <c r="I2417" t="str">
        <f>IFERROR(VLOOKUP(B2417,'Pre-Summary'!$AE$6:$AJ$85,5,FALSE),"")</f>
        <v/>
      </c>
      <c r="J2417" s="45" t="str">
        <f>IFERROR(VLOOKUP(B2417,'Pre-Summary'!$AE$6:$AJ$85,6, FALSE),"")</f>
        <v/>
      </c>
      <c r="K2417" s="45" t="str">
        <f>IFERROR(VLOOKUP(B2417,'Pre-Summary'!$DE$6:$DG$61,3,FALSE),"")</f>
        <v/>
      </c>
      <c r="L2417" s="45" t="str">
        <f>IFERROR(VLOOKUP(B2417,'Pre-Summary'!$CU$6:$CW$36,3,FALSE),"")</f>
        <v/>
      </c>
      <c r="M2417" s="45" t="str">
        <f>IFERROR(VLOOKUP(B2417,'Pre-Summary'!$BW$6:$BY$58,2,FALSE),"")</f>
        <v/>
      </c>
      <c r="N2417" s="45" t="str">
        <f>IFERROR(VLOOKUP(B2417,'Pre-Summary'!$CD$6:$CF$64,2,FALSE),"")</f>
        <v/>
      </c>
      <c r="O2417" s="99">
        <f>IFERROR(VLOOKUP(B2417,'Pre-Summary'!$BO$6:$BQ$48,3, FALSE),O2416)</f>
        <v>1.508</v>
      </c>
      <c r="P2417" s="99">
        <f>IFERROR(VLOOKUP(B2417,'Pre-Summary'!$BS$6:$BU$35,3,FALSE),P2416)</f>
        <v>0.4</v>
      </c>
      <c r="Q2417" s="54">
        <f t="shared" si="111"/>
        <v>3.77</v>
      </c>
      <c r="R2417" s="53">
        <f>IFERROR(VLOOKUP(B2417,'Pre-Summary'!$BG$6:$BM$44,7,FALSE),R2418)</f>
        <v>0.10033855833824304</v>
      </c>
      <c r="S2417" s="53">
        <f>IFERROR(VLOOKUP(B2417,'Pre-Summary'!$BG$6:$BM$44,6,FALSE),S2418)</f>
        <v>9.2355104881156017E-2</v>
      </c>
      <c r="T2417" s="45" t="str">
        <f>IFERROR(VLOOKUP(B2417,'Pre-Summary'!$Y$6:$AC$83, 3,FALSE),"")</f>
        <v/>
      </c>
      <c r="U2417" s="45" t="str">
        <f>IFERROR(VLOOKUP(B2417,'Pre-Summary'!$Y$6:$AC$83, 4,FALSE),"")</f>
        <v/>
      </c>
      <c r="V2417" t="str">
        <f>IFERROR(VLOOKUP(B2417,'Pre-Summary'!$Y$6:$AC$83, 5,FALSE),"")</f>
        <v/>
      </c>
      <c r="W2417" s="45" t="str">
        <f>IFERROR(VLOOKUP(B2417,'Pre-Summary'!$Y$6:$AD$83,6,FALSE),"")</f>
        <v/>
      </c>
      <c r="X2417" t="str">
        <f>IFERROR(VLOOKUP('Pre-Summary'!$DB$6:$DD$63,3,FALSE),"")</f>
        <v/>
      </c>
      <c r="Y2417" t="str">
        <f>IFERROR(VLOOKUP(B2417,'Pre-Summary'!$CR$6:$CT$36,3,FALSE),"")</f>
        <v/>
      </c>
      <c r="Z2417" s="45" t="str">
        <f>IFERROR(VLOOKUP(B2417,'Pre-Summary'!$BZ$6:$CB$63,2,FALSE),"")</f>
        <v/>
      </c>
      <c r="AA2417" s="45" t="str">
        <f>IFERROR(VLOOKUP(B2417,'Pre-Summary'!$CG$6:$CI$70,2,FALSE),"")</f>
        <v/>
      </c>
      <c r="AB2417" s="99">
        <f>IFERROR(VLOOKUP(B2417,'Pre-Summary'!$A$6:$P$178,9,FALSE),AB2418)</f>
        <v>0.37146051582655759</v>
      </c>
      <c r="AC2417" s="10">
        <f>IFERROR(VLOOKUP(Summary!B2417,'Pre-Summary'!$A$6:$P$184,5, FALSE)/100,AC2418)</f>
        <v>0.92695399999999994</v>
      </c>
      <c r="AD2417" s="10">
        <f>IFERROR(VLOOKUP(Summary!B2417,'Pre-Summary'!$A$6:$P$184,3, FALSE)/100,AD2418)</f>
        <v>6.3200000000000006E-2</v>
      </c>
      <c r="AE2417" s="10">
        <f>IFERROR(VLOOKUP(Summary!B2417,'Pre-Summary'!$A$6:$P$184,7, FALSE)/100,AE2418)</f>
        <v>9.8456666666666675E-3</v>
      </c>
      <c r="AF2417" s="99">
        <f t="shared" si="112"/>
        <v>2.3476304600238442E-2</v>
      </c>
      <c r="AG2417" s="99">
        <f t="shared" si="113"/>
        <v>3.6572764186563441E-3</v>
      </c>
      <c r="AH2417" s="10" t="str">
        <f>IFERROR(VLOOKUP(B2417,'Pre-Summary'!$AZ$6:$BE$65,3,FALSE),"")</f>
        <v/>
      </c>
      <c r="AI2417" s="10" t="str">
        <f>IFERROR(VLOOKUP(B2417,'Pre-Summary'!$AZ$6:$BE$65,5,FALSE),"")</f>
        <v/>
      </c>
      <c r="AJ2417" s="10" t="str">
        <f>IFERROR(VLOOKUP(B2417,'Pre-Summary'!$AZ$6:$BE$65,4,FALSE),"")</f>
        <v/>
      </c>
      <c r="AK2417" s="10" t="str">
        <f>IFERROR(VLOOKUP(B2417,'Pre-Summary'!$AZ$6:$BE$65,6,FALSE),"")</f>
        <v/>
      </c>
      <c r="AL2417" s="10" t="str">
        <f>IFERROR(VLOOKUP(B2417,'Pre-Summary'!$BG$6:$BL$44,3,FALSE),"")</f>
        <v/>
      </c>
      <c r="AM2417" s="10" t="str">
        <f>IFERROR(VLOOKUP(B2417,'Pre-Summary'!$BG$6:$BL$44,4,FALSE),"")</f>
        <v/>
      </c>
    </row>
    <row r="2418" spans="2:39" ht="15" customHeight="1" x14ac:dyDescent="0.3">
      <c r="B2418">
        <v>241.5</v>
      </c>
      <c r="C2418" t="str">
        <f>IFERROR(VLOOKUP(B2418,'Pre-Summary'!$DI$6:$DM$23,4,FALSE),"")</f>
        <v/>
      </c>
      <c r="D2418" s="10" t="str">
        <f>IFERROR(VLOOKUP(B2418,'Pre-Summary'!$AT$6:$AX$14,5,FALSE),D2417)</f>
        <v>Wolfe v3: went back to modified wolfe + EDTA and switched CuSO4 to CUCl2</v>
      </c>
      <c r="E2418" s="10" t="str">
        <f>IFERROR(VLOOKUP(B2418,'Pre-Summary'!$AT$6:$AX$15,4,FALSE),"")</f>
        <v/>
      </c>
      <c r="F2418">
        <f>IFERROR(VLOOKUP(B2418,'Pre-Summary'!$AL$6:$AQ$13,6,FALSE),F2417)</f>
        <v>5.9405263157894746E-2</v>
      </c>
      <c r="G2418" t="str">
        <f>IFERROR(VLOOKUP(B2418,'Pre-Summary'!$AE$6:$AJ$85,3,FALSE),"")</f>
        <v/>
      </c>
      <c r="H2418" t="str">
        <f>IFERROR(VLOOKUP(B2418,'Pre-Summary'!$AE$6:$AJ$85,4,FALSE),"")</f>
        <v/>
      </c>
      <c r="I2418" t="str">
        <f>IFERROR(VLOOKUP(B2418,'Pre-Summary'!$AE$6:$AJ$85,5,FALSE),"")</f>
        <v/>
      </c>
      <c r="J2418" s="45" t="str">
        <f>IFERROR(VLOOKUP(B2418,'Pre-Summary'!$AE$6:$AJ$85,6, FALSE),"")</f>
        <v/>
      </c>
      <c r="K2418" s="45" t="str">
        <f>IFERROR(VLOOKUP(B2418,'Pre-Summary'!$DE$6:$DG$61,3,FALSE),"")</f>
        <v/>
      </c>
      <c r="L2418" s="45" t="str">
        <f>IFERROR(VLOOKUP(B2418,'Pre-Summary'!$CU$6:$CW$36,3,FALSE),"")</f>
        <v/>
      </c>
      <c r="M2418" s="45" t="str">
        <f>IFERROR(VLOOKUP(B2418,'Pre-Summary'!$BW$6:$BY$58,2,FALSE),"")</f>
        <v/>
      </c>
      <c r="N2418" s="45" t="str">
        <f>IFERROR(VLOOKUP(B2418,'Pre-Summary'!$CD$6:$CF$64,2,FALSE),"")</f>
        <v/>
      </c>
      <c r="O2418" s="99">
        <f>IFERROR(VLOOKUP(B2418,'Pre-Summary'!$BO$6:$BQ$48,3, FALSE),O2417)</f>
        <v>1.508</v>
      </c>
      <c r="P2418" s="99">
        <f>IFERROR(VLOOKUP(B2418,'Pre-Summary'!$BS$6:$BU$35,3,FALSE),P2417)</f>
        <v>0.4</v>
      </c>
      <c r="Q2418" s="54">
        <f t="shared" si="111"/>
        <v>3.77</v>
      </c>
      <c r="R2418" s="53">
        <f>IFERROR(VLOOKUP(B2418,'Pre-Summary'!$BG$6:$BM$44,7,FALSE),R2419)</f>
        <v>0.10033855833824304</v>
      </c>
      <c r="S2418" s="53">
        <f>IFERROR(VLOOKUP(B2418,'Pre-Summary'!$BG$6:$BM$44,6,FALSE),S2419)</f>
        <v>9.2355104881156017E-2</v>
      </c>
      <c r="T2418" s="45" t="str">
        <f>IFERROR(VLOOKUP(B2418,'Pre-Summary'!$Y$6:$AC$83, 3,FALSE),"")</f>
        <v/>
      </c>
      <c r="U2418" s="45" t="str">
        <f>IFERROR(VLOOKUP(B2418,'Pre-Summary'!$Y$6:$AC$83, 4,FALSE),"")</f>
        <v/>
      </c>
      <c r="V2418" t="str">
        <f>IFERROR(VLOOKUP(B2418,'Pre-Summary'!$Y$6:$AC$83, 5,FALSE),"")</f>
        <v/>
      </c>
      <c r="W2418" s="45" t="str">
        <f>IFERROR(VLOOKUP(B2418,'Pre-Summary'!$Y$6:$AD$83,6,FALSE),"")</f>
        <v/>
      </c>
      <c r="X2418" t="str">
        <f>IFERROR(VLOOKUP('Pre-Summary'!$DB$6:$DD$63,3,FALSE),"")</f>
        <v/>
      </c>
      <c r="Y2418" t="str">
        <f>IFERROR(VLOOKUP(B2418,'Pre-Summary'!$CR$6:$CT$36,3,FALSE),"")</f>
        <v/>
      </c>
      <c r="Z2418" s="45" t="str">
        <f>IFERROR(VLOOKUP(B2418,'Pre-Summary'!$BZ$6:$CB$63,2,FALSE),"")</f>
        <v/>
      </c>
      <c r="AA2418" s="45" t="str">
        <f>IFERROR(VLOOKUP(B2418,'Pre-Summary'!$CG$6:$CI$70,2,FALSE),"")</f>
        <v/>
      </c>
      <c r="AB2418" s="99">
        <f>IFERROR(VLOOKUP(B2418,'Pre-Summary'!$A$6:$P$178,9,FALSE),AB2419)</f>
        <v>0.37146051582655759</v>
      </c>
      <c r="AC2418" s="10">
        <f>IFERROR(VLOOKUP(Summary!B2418,'Pre-Summary'!$A$6:$P$184,5, FALSE)/100,AC2419)</f>
        <v>0.92695399999999994</v>
      </c>
      <c r="AD2418" s="10">
        <f>IFERROR(VLOOKUP(Summary!B2418,'Pre-Summary'!$A$6:$P$184,3, FALSE)/100,AD2419)</f>
        <v>6.3200000000000006E-2</v>
      </c>
      <c r="AE2418" s="10">
        <f>IFERROR(VLOOKUP(Summary!B2418,'Pre-Summary'!$A$6:$P$184,7, FALSE)/100,AE2419)</f>
        <v>9.8456666666666675E-3</v>
      </c>
      <c r="AF2418" s="99">
        <f t="shared" si="112"/>
        <v>2.3476304600238442E-2</v>
      </c>
      <c r="AG2418" s="99">
        <f t="shared" si="113"/>
        <v>3.6572764186563441E-3</v>
      </c>
      <c r="AH2418" s="10" t="str">
        <f>IFERROR(VLOOKUP(B2418,'Pre-Summary'!$AZ$6:$BE$65,3,FALSE),"")</f>
        <v/>
      </c>
      <c r="AI2418" s="10" t="str">
        <f>IFERROR(VLOOKUP(B2418,'Pre-Summary'!$AZ$6:$BE$65,5,FALSE),"")</f>
        <v/>
      </c>
      <c r="AJ2418" s="10" t="str">
        <f>IFERROR(VLOOKUP(B2418,'Pre-Summary'!$AZ$6:$BE$65,4,FALSE),"")</f>
        <v/>
      </c>
      <c r="AK2418" s="10" t="str">
        <f>IFERROR(VLOOKUP(B2418,'Pre-Summary'!$AZ$6:$BE$65,6,FALSE),"")</f>
        <v/>
      </c>
      <c r="AL2418" s="10" t="str">
        <f>IFERROR(VLOOKUP(B2418,'Pre-Summary'!$BG$6:$BL$44,3,FALSE),"")</f>
        <v/>
      </c>
      <c r="AM2418" s="10" t="str">
        <f>IFERROR(VLOOKUP(B2418,'Pre-Summary'!$BG$6:$BL$44,4,FALSE),"")</f>
        <v/>
      </c>
    </row>
    <row r="2419" spans="2:39" ht="15" customHeight="1" x14ac:dyDescent="0.3">
      <c r="B2419">
        <v>241.6</v>
      </c>
      <c r="C2419" t="str">
        <f>IFERROR(VLOOKUP(B2419,'Pre-Summary'!$DI$6:$DM$23,4,FALSE),"")</f>
        <v/>
      </c>
      <c r="D2419" s="10" t="str">
        <f>IFERROR(VLOOKUP(B2419,'Pre-Summary'!$AT$6:$AX$14,5,FALSE),D2418)</f>
        <v>Wolfe v3: went back to modified wolfe + EDTA and switched CuSO4 to CUCl2</v>
      </c>
      <c r="E2419" s="10" t="str">
        <f>IFERROR(VLOOKUP(B2419,'Pre-Summary'!$AT$6:$AX$15,4,FALSE),"")</f>
        <v/>
      </c>
      <c r="F2419">
        <f>IFERROR(VLOOKUP(B2419,'Pre-Summary'!$AL$6:$AQ$13,6,FALSE),F2418)</f>
        <v>5.9405263157894746E-2</v>
      </c>
      <c r="G2419" t="str">
        <f>IFERROR(VLOOKUP(B2419,'Pre-Summary'!$AE$6:$AJ$85,3,FALSE),"")</f>
        <v/>
      </c>
      <c r="H2419" t="str">
        <f>IFERROR(VLOOKUP(B2419,'Pre-Summary'!$AE$6:$AJ$85,4,FALSE),"")</f>
        <v/>
      </c>
      <c r="I2419" t="str">
        <f>IFERROR(VLOOKUP(B2419,'Pre-Summary'!$AE$6:$AJ$85,5,FALSE),"")</f>
        <v/>
      </c>
      <c r="J2419" s="45" t="str">
        <f>IFERROR(VLOOKUP(B2419,'Pre-Summary'!$AE$6:$AJ$85,6, FALSE),"")</f>
        <v/>
      </c>
      <c r="K2419" s="45" t="str">
        <f>IFERROR(VLOOKUP(B2419,'Pre-Summary'!$DE$6:$DG$61,3,FALSE),"")</f>
        <v/>
      </c>
      <c r="L2419" s="45" t="str">
        <f>IFERROR(VLOOKUP(B2419,'Pre-Summary'!$CU$6:$CW$36,3,FALSE),"")</f>
        <v/>
      </c>
      <c r="M2419" s="45" t="str">
        <f>IFERROR(VLOOKUP(B2419,'Pre-Summary'!$BW$6:$BY$58,2,FALSE),"")</f>
        <v/>
      </c>
      <c r="N2419" s="45" t="str">
        <f>IFERROR(VLOOKUP(B2419,'Pre-Summary'!$CD$6:$CF$64,2,FALSE),"")</f>
        <v/>
      </c>
      <c r="O2419" s="99">
        <f>IFERROR(VLOOKUP(B2419,'Pre-Summary'!$BO$6:$BQ$48,3, FALSE),O2418)</f>
        <v>1.508</v>
      </c>
      <c r="P2419" s="99">
        <f>IFERROR(VLOOKUP(B2419,'Pre-Summary'!$BS$6:$BU$35,3,FALSE),P2418)</f>
        <v>0.4</v>
      </c>
      <c r="Q2419" s="54">
        <f t="shared" si="111"/>
        <v>3.77</v>
      </c>
      <c r="R2419" s="53">
        <f>IFERROR(VLOOKUP(B2419,'Pre-Summary'!$BG$6:$BM$44,7,FALSE),R2420)</f>
        <v>0.10033855833824304</v>
      </c>
      <c r="S2419" s="53">
        <f>IFERROR(VLOOKUP(B2419,'Pre-Summary'!$BG$6:$BM$44,6,FALSE),S2420)</f>
        <v>9.2355104881156017E-2</v>
      </c>
      <c r="T2419" s="45" t="str">
        <f>IFERROR(VLOOKUP(B2419,'Pre-Summary'!$Y$6:$AC$83, 3,FALSE),"")</f>
        <v/>
      </c>
      <c r="U2419" s="45" t="str">
        <f>IFERROR(VLOOKUP(B2419,'Pre-Summary'!$Y$6:$AC$83, 4,FALSE),"")</f>
        <v/>
      </c>
      <c r="V2419" t="str">
        <f>IFERROR(VLOOKUP(B2419,'Pre-Summary'!$Y$6:$AC$83, 5,FALSE),"")</f>
        <v/>
      </c>
      <c r="W2419" s="45" t="str">
        <f>IFERROR(VLOOKUP(B2419,'Pre-Summary'!$Y$6:$AD$83,6,FALSE),"")</f>
        <v/>
      </c>
      <c r="X2419" t="str">
        <f>IFERROR(VLOOKUP('Pre-Summary'!$DB$6:$DD$63,3,FALSE),"")</f>
        <v/>
      </c>
      <c r="Y2419" t="str">
        <f>IFERROR(VLOOKUP(B2419,'Pre-Summary'!$CR$6:$CT$36,3,FALSE),"")</f>
        <v/>
      </c>
      <c r="Z2419" s="45" t="str">
        <f>IFERROR(VLOOKUP(B2419,'Pre-Summary'!$BZ$6:$CB$63,2,FALSE),"")</f>
        <v/>
      </c>
      <c r="AA2419" s="45" t="str">
        <f>IFERROR(VLOOKUP(B2419,'Pre-Summary'!$CG$6:$CI$70,2,FALSE),"")</f>
        <v/>
      </c>
      <c r="AB2419" s="99">
        <f>IFERROR(VLOOKUP(B2419,'Pre-Summary'!$A$6:$P$178,9,FALSE),AB2420)</f>
        <v>0.37146051582655759</v>
      </c>
      <c r="AC2419" s="10">
        <f>IFERROR(VLOOKUP(Summary!B2419,'Pre-Summary'!$A$6:$P$184,5, FALSE)/100,AC2420)</f>
        <v>0.92695399999999994</v>
      </c>
      <c r="AD2419" s="10">
        <f>IFERROR(VLOOKUP(Summary!B2419,'Pre-Summary'!$A$6:$P$184,3, FALSE)/100,AD2420)</f>
        <v>6.3200000000000006E-2</v>
      </c>
      <c r="AE2419" s="10">
        <f>IFERROR(VLOOKUP(Summary!B2419,'Pre-Summary'!$A$6:$P$184,7, FALSE)/100,AE2420)</f>
        <v>9.8456666666666675E-3</v>
      </c>
      <c r="AF2419" s="99">
        <f t="shared" si="112"/>
        <v>2.3476304600238442E-2</v>
      </c>
      <c r="AG2419" s="99">
        <f t="shared" si="113"/>
        <v>3.6572764186563441E-3</v>
      </c>
      <c r="AH2419" s="10" t="str">
        <f>IFERROR(VLOOKUP(B2419,'Pre-Summary'!$AZ$6:$BE$65,3,FALSE),"")</f>
        <v/>
      </c>
      <c r="AI2419" s="10" t="str">
        <f>IFERROR(VLOOKUP(B2419,'Pre-Summary'!$AZ$6:$BE$65,5,FALSE),"")</f>
        <v/>
      </c>
      <c r="AJ2419" s="10" t="str">
        <f>IFERROR(VLOOKUP(B2419,'Pre-Summary'!$AZ$6:$BE$65,4,FALSE),"")</f>
        <v/>
      </c>
      <c r="AK2419" s="10" t="str">
        <f>IFERROR(VLOOKUP(B2419,'Pre-Summary'!$AZ$6:$BE$65,6,FALSE),"")</f>
        <v/>
      </c>
      <c r="AL2419" s="10" t="str">
        <f>IFERROR(VLOOKUP(B2419,'Pre-Summary'!$BG$6:$BL$44,3,FALSE),"")</f>
        <v/>
      </c>
      <c r="AM2419" s="10" t="str">
        <f>IFERROR(VLOOKUP(B2419,'Pre-Summary'!$BG$6:$BL$44,4,FALSE),"")</f>
        <v/>
      </c>
    </row>
    <row r="2420" spans="2:39" ht="15" customHeight="1" x14ac:dyDescent="0.3">
      <c r="B2420">
        <v>241.7</v>
      </c>
      <c r="C2420" t="str">
        <f>IFERROR(VLOOKUP(B2420,'Pre-Summary'!$DI$6:$DM$23,4,FALSE),"")</f>
        <v/>
      </c>
      <c r="D2420" s="10" t="str">
        <f>IFERROR(VLOOKUP(B2420,'Pre-Summary'!$AT$6:$AX$14,5,FALSE),D2419)</f>
        <v>Wolfe v3: went back to modified wolfe + EDTA and switched CuSO4 to CUCl2</v>
      </c>
      <c r="E2420" s="10" t="str">
        <f>IFERROR(VLOOKUP(B2420,'Pre-Summary'!$AT$6:$AX$15,4,FALSE),"")</f>
        <v/>
      </c>
      <c r="F2420">
        <f>IFERROR(VLOOKUP(B2420,'Pre-Summary'!$AL$6:$AQ$13,6,FALSE),F2419)</f>
        <v>5.9405263157894746E-2</v>
      </c>
      <c r="G2420" t="str">
        <f>IFERROR(VLOOKUP(B2420,'Pre-Summary'!$AE$6:$AJ$85,3,FALSE),"")</f>
        <v/>
      </c>
      <c r="H2420" t="str">
        <f>IFERROR(VLOOKUP(B2420,'Pre-Summary'!$AE$6:$AJ$85,4,FALSE),"")</f>
        <v/>
      </c>
      <c r="I2420" t="str">
        <f>IFERROR(VLOOKUP(B2420,'Pre-Summary'!$AE$6:$AJ$85,5,FALSE),"")</f>
        <v/>
      </c>
      <c r="J2420" s="45" t="str">
        <f>IFERROR(VLOOKUP(B2420,'Pre-Summary'!$AE$6:$AJ$85,6, FALSE),"")</f>
        <v/>
      </c>
      <c r="K2420" s="45" t="str">
        <f>IFERROR(VLOOKUP(B2420,'Pre-Summary'!$DE$6:$DG$61,3,FALSE),"")</f>
        <v/>
      </c>
      <c r="L2420" s="45" t="str">
        <f>IFERROR(VLOOKUP(B2420,'Pre-Summary'!$CU$6:$CW$36,3,FALSE),"")</f>
        <v/>
      </c>
      <c r="M2420" s="45" t="str">
        <f>IFERROR(VLOOKUP(B2420,'Pre-Summary'!$BW$6:$BY$58,2,FALSE),"")</f>
        <v/>
      </c>
      <c r="N2420" s="45" t="str">
        <f>IFERROR(VLOOKUP(B2420,'Pre-Summary'!$CD$6:$CF$64,2,FALSE),"")</f>
        <v/>
      </c>
      <c r="O2420" s="99">
        <f>IFERROR(VLOOKUP(B2420,'Pre-Summary'!$BO$6:$BQ$48,3, FALSE),O2419)</f>
        <v>1.508</v>
      </c>
      <c r="P2420" s="99">
        <f>IFERROR(VLOOKUP(B2420,'Pre-Summary'!$BS$6:$BU$35,3,FALSE),P2419)</f>
        <v>0.4</v>
      </c>
      <c r="Q2420" s="54">
        <f t="shared" si="111"/>
        <v>3.77</v>
      </c>
      <c r="R2420" s="53">
        <f>IFERROR(VLOOKUP(B2420,'Pre-Summary'!$BG$6:$BM$44,7,FALSE),R2421)</f>
        <v>0.10033855833824304</v>
      </c>
      <c r="S2420" s="53">
        <f>IFERROR(VLOOKUP(B2420,'Pre-Summary'!$BG$6:$BM$44,6,FALSE),S2421)</f>
        <v>9.2355104881156017E-2</v>
      </c>
      <c r="T2420" s="45" t="str">
        <f>IFERROR(VLOOKUP(B2420,'Pre-Summary'!$Y$6:$AC$83, 3,FALSE),"")</f>
        <v/>
      </c>
      <c r="U2420" s="45" t="str">
        <f>IFERROR(VLOOKUP(B2420,'Pre-Summary'!$Y$6:$AC$83, 4,FALSE),"")</f>
        <v/>
      </c>
      <c r="V2420" t="str">
        <f>IFERROR(VLOOKUP(B2420,'Pre-Summary'!$Y$6:$AC$83, 5,FALSE),"")</f>
        <v/>
      </c>
      <c r="W2420" s="45" t="str">
        <f>IFERROR(VLOOKUP(B2420,'Pre-Summary'!$Y$6:$AD$83,6,FALSE),"")</f>
        <v/>
      </c>
      <c r="X2420" t="str">
        <f>IFERROR(VLOOKUP('Pre-Summary'!$DB$6:$DD$63,3,FALSE),"")</f>
        <v/>
      </c>
      <c r="Y2420" t="str">
        <f>IFERROR(VLOOKUP(B2420,'Pre-Summary'!$CR$6:$CT$36,3,FALSE),"")</f>
        <v/>
      </c>
      <c r="Z2420" s="45" t="str">
        <f>IFERROR(VLOOKUP(B2420,'Pre-Summary'!$BZ$6:$CB$63,2,FALSE),"")</f>
        <v/>
      </c>
      <c r="AA2420" s="45" t="str">
        <f>IFERROR(VLOOKUP(B2420,'Pre-Summary'!$CG$6:$CI$70,2,FALSE),"")</f>
        <v/>
      </c>
      <c r="AB2420" s="99">
        <f>IFERROR(VLOOKUP(B2420,'Pre-Summary'!$A$6:$P$178,9,FALSE),AB2421)</f>
        <v>0.37146051582655759</v>
      </c>
      <c r="AC2420" s="10">
        <f>IFERROR(VLOOKUP(Summary!B2420,'Pre-Summary'!$A$6:$P$184,5, FALSE)/100,AC2421)</f>
        <v>0.92695399999999994</v>
      </c>
      <c r="AD2420" s="10">
        <f>IFERROR(VLOOKUP(Summary!B2420,'Pre-Summary'!$A$6:$P$184,3, FALSE)/100,AD2421)</f>
        <v>6.3200000000000006E-2</v>
      </c>
      <c r="AE2420" s="10">
        <f>IFERROR(VLOOKUP(Summary!B2420,'Pre-Summary'!$A$6:$P$184,7, FALSE)/100,AE2421)</f>
        <v>9.8456666666666675E-3</v>
      </c>
      <c r="AF2420" s="99">
        <f t="shared" si="112"/>
        <v>2.3476304600238442E-2</v>
      </c>
      <c r="AG2420" s="99">
        <f t="shared" si="113"/>
        <v>3.6572764186563441E-3</v>
      </c>
      <c r="AH2420" s="10" t="str">
        <f>IFERROR(VLOOKUP(B2420,'Pre-Summary'!$AZ$6:$BE$65,3,FALSE),"")</f>
        <v/>
      </c>
      <c r="AI2420" s="10" t="str">
        <f>IFERROR(VLOOKUP(B2420,'Pre-Summary'!$AZ$6:$BE$65,5,FALSE),"")</f>
        <v/>
      </c>
      <c r="AJ2420" s="10" t="str">
        <f>IFERROR(VLOOKUP(B2420,'Pre-Summary'!$AZ$6:$BE$65,4,FALSE),"")</f>
        <v/>
      </c>
      <c r="AK2420" s="10" t="str">
        <f>IFERROR(VLOOKUP(B2420,'Pre-Summary'!$AZ$6:$BE$65,6,FALSE),"")</f>
        <v/>
      </c>
      <c r="AL2420" s="10" t="str">
        <f>IFERROR(VLOOKUP(B2420,'Pre-Summary'!$BG$6:$BL$44,3,FALSE),"")</f>
        <v/>
      </c>
      <c r="AM2420" s="10" t="str">
        <f>IFERROR(VLOOKUP(B2420,'Pre-Summary'!$BG$6:$BL$44,4,FALSE),"")</f>
        <v/>
      </c>
    </row>
    <row r="2421" spans="2:39" ht="15" customHeight="1" x14ac:dyDescent="0.3">
      <c r="B2421">
        <v>241.8</v>
      </c>
      <c r="C2421" t="str">
        <f>IFERROR(VLOOKUP(B2421,'Pre-Summary'!$DI$6:$DM$23,4,FALSE),"")</f>
        <v/>
      </c>
      <c r="D2421" s="10" t="str">
        <f>IFERROR(VLOOKUP(B2421,'Pre-Summary'!$AT$6:$AX$14,5,FALSE),D2420)</f>
        <v>Wolfe v3: went back to modified wolfe + EDTA and switched CuSO4 to CUCl2</v>
      </c>
      <c r="E2421" s="10" t="str">
        <f>IFERROR(VLOOKUP(B2421,'Pre-Summary'!$AT$6:$AX$15,4,FALSE),"")</f>
        <v/>
      </c>
      <c r="F2421">
        <f>IFERROR(VLOOKUP(B2421,'Pre-Summary'!$AL$6:$AQ$13,6,FALSE),F2420)</f>
        <v>5.9405263157894746E-2</v>
      </c>
      <c r="G2421" t="str">
        <f>IFERROR(VLOOKUP(B2421,'Pre-Summary'!$AE$6:$AJ$85,3,FALSE),"")</f>
        <v/>
      </c>
      <c r="H2421" t="str">
        <f>IFERROR(VLOOKUP(B2421,'Pre-Summary'!$AE$6:$AJ$85,4,FALSE),"")</f>
        <v/>
      </c>
      <c r="I2421" t="str">
        <f>IFERROR(VLOOKUP(B2421,'Pre-Summary'!$AE$6:$AJ$85,5,FALSE),"")</f>
        <v/>
      </c>
      <c r="J2421" s="45" t="str">
        <f>IFERROR(VLOOKUP(B2421,'Pre-Summary'!$AE$6:$AJ$85,6, FALSE),"")</f>
        <v/>
      </c>
      <c r="K2421" s="45" t="str">
        <f>IFERROR(VLOOKUP(B2421,'Pre-Summary'!$DE$6:$DG$61,3,FALSE),"")</f>
        <v/>
      </c>
      <c r="L2421" s="45" t="str">
        <f>IFERROR(VLOOKUP(B2421,'Pre-Summary'!$CU$6:$CW$36,3,FALSE),"")</f>
        <v/>
      </c>
      <c r="M2421" s="45" t="str">
        <f>IFERROR(VLOOKUP(B2421,'Pre-Summary'!$BW$6:$BY$58,2,FALSE),"")</f>
        <v/>
      </c>
      <c r="N2421" s="45" t="str">
        <f>IFERROR(VLOOKUP(B2421,'Pre-Summary'!$CD$6:$CF$64,2,FALSE),"")</f>
        <v/>
      </c>
      <c r="O2421" s="99">
        <f>IFERROR(VLOOKUP(B2421,'Pre-Summary'!$BO$6:$BQ$48,3, FALSE),O2420)</f>
        <v>1.508</v>
      </c>
      <c r="P2421" s="99">
        <f>IFERROR(VLOOKUP(B2421,'Pre-Summary'!$BS$6:$BU$35,3,FALSE),P2420)</f>
        <v>0.4</v>
      </c>
      <c r="Q2421" s="54">
        <f t="shared" si="111"/>
        <v>3.77</v>
      </c>
      <c r="R2421" s="53">
        <f>IFERROR(VLOOKUP(B2421,'Pre-Summary'!$BG$6:$BM$44,7,FALSE),R2422)</f>
        <v>0.10033855833824304</v>
      </c>
      <c r="S2421" s="53">
        <f>IFERROR(VLOOKUP(B2421,'Pre-Summary'!$BG$6:$BM$44,6,FALSE),S2422)</f>
        <v>9.2355104881156017E-2</v>
      </c>
      <c r="T2421" s="45" t="str">
        <f>IFERROR(VLOOKUP(B2421,'Pre-Summary'!$Y$6:$AC$83, 3,FALSE),"")</f>
        <v/>
      </c>
      <c r="U2421" s="45" t="str">
        <f>IFERROR(VLOOKUP(B2421,'Pre-Summary'!$Y$6:$AC$83, 4,FALSE),"")</f>
        <v/>
      </c>
      <c r="V2421" t="str">
        <f>IFERROR(VLOOKUP(B2421,'Pre-Summary'!$Y$6:$AC$83, 5,FALSE),"")</f>
        <v/>
      </c>
      <c r="W2421" s="45" t="str">
        <f>IFERROR(VLOOKUP(B2421,'Pre-Summary'!$Y$6:$AD$83,6,FALSE),"")</f>
        <v/>
      </c>
      <c r="X2421" t="str">
        <f>IFERROR(VLOOKUP('Pre-Summary'!$DB$6:$DD$63,3,FALSE),"")</f>
        <v/>
      </c>
      <c r="Y2421" t="str">
        <f>IFERROR(VLOOKUP(B2421,'Pre-Summary'!$CR$6:$CT$36,3,FALSE),"")</f>
        <v/>
      </c>
      <c r="Z2421" s="45" t="str">
        <f>IFERROR(VLOOKUP(B2421,'Pre-Summary'!$BZ$6:$CB$63,2,FALSE),"")</f>
        <v/>
      </c>
      <c r="AA2421" s="45" t="str">
        <f>IFERROR(VLOOKUP(B2421,'Pre-Summary'!$CG$6:$CI$70,2,FALSE),"")</f>
        <v/>
      </c>
      <c r="AB2421" s="99">
        <f>IFERROR(VLOOKUP(B2421,'Pre-Summary'!$A$6:$P$178,9,FALSE),AB2422)</f>
        <v>0.37146051582655759</v>
      </c>
      <c r="AC2421" s="10">
        <f>IFERROR(VLOOKUP(Summary!B2421,'Pre-Summary'!$A$6:$P$184,5, FALSE)/100,AC2422)</f>
        <v>0.92695399999999994</v>
      </c>
      <c r="AD2421" s="10">
        <f>IFERROR(VLOOKUP(Summary!B2421,'Pre-Summary'!$A$6:$P$184,3, FALSE)/100,AD2422)</f>
        <v>6.3200000000000006E-2</v>
      </c>
      <c r="AE2421" s="10">
        <f>IFERROR(VLOOKUP(Summary!B2421,'Pre-Summary'!$A$6:$P$184,7, FALSE)/100,AE2422)</f>
        <v>9.8456666666666675E-3</v>
      </c>
      <c r="AF2421" s="99">
        <f t="shared" si="112"/>
        <v>2.3476304600238442E-2</v>
      </c>
      <c r="AG2421" s="99">
        <f t="shared" si="113"/>
        <v>3.6572764186563441E-3</v>
      </c>
      <c r="AH2421" s="10" t="str">
        <f>IFERROR(VLOOKUP(B2421,'Pre-Summary'!$AZ$6:$BE$65,3,FALSE),"")</f>
        <v/>
      </c>
      <c r="AI2421" s="10" t="str">
        <f>IFERROR(VLOOKUP(B2421,'Pre-Summary'!$AZ$6:$BE$65,5,FALSE),"")</f>
        <v/>
      </c>
      <c r="AJ2421" s="10" t="str">
        <f>IFERROR(VLOOKUP(B2421,'Pre-Summary'!$AZ$6:$BE$65,4,FALSE),"")</f>
        <v/>
      </c>
      <c r="AK2421" s="10" t="str">
        <f>IFERROR(VLOOKUP(B2421,'Pre-Summary'!$AZ$6:$BE$65,6,FALSE),"")</f>
        <v/>
      </c>
      <c r="AL2421" s="10" t="str">
        <f>IFERROR(VLOOKUP(B2421,'Pre-Summary'!$BG$6:$BL$44,3,FALSE),"")</f>
        <v/>
      </c>
      <c r="AM2421" s="10" t="str">
        <f>IFERROR(VLOOKUP(B2421,'Pre-Summary'!$BG$6:$BL$44,4,FALSE),"")</f>
        <v/>
      </c>
    </row>
    <row r="2422" spans="2:39" ht="15" customHeight="1" x14ac:dyDescent="0.3">
      <c r="B2422">
        <v>241.9</v>
      </c>
      <c r="C2422" t="str">
        <f>IFERROR(VLOOKUP(B2422,'Pre-Summary'!$DI$6:$DM$23,4,FALSE),"")</f>
        <v/>
      </c>
      <c r="D2422" s="10" t="str">
        <f>IFERROR(VLOOKUP(B2422,'Pre-Summary'!$AT$6:$AX$14,5,FALSE),D2421)</f>
        <v>Wolfe v3: went back to modified wolfe + EDTA and switched CuSO4 to CUCl2</v>
      </c>
      <c r="E2422" s="10" t="str">
        <f>IFERROR(VLOOKUP(B2422,'Pre-Summary'!$AT$6:$AX$15,4,FALSE),"")</f>
        <v/>
      </c>
      <c r="F2422">
        <f>IFERROR(VLOOKUP(B2422,'Pre-Summary'!$AL$6:$AQ$13,6,FALSE),F2421)</f>
        <v>5.9405263157894746E-2</v>
      </c>
      <c r="G2422" t="str">
        <f>IFERROR(VLOOKUP(B2422,'Pre-Summary'!$AE$6:$AJ$85,3,FALSE),"")</f>
        <v/>
      </c>
      <c r="H2422" t="str">
        <f>IFERROR(VLOOKUP(B2422,'Pre-Summary'!$AE$6:$AJ$85,4,FALSE),"")</f>
        <v/>
      </c>
      <c r="I2422" t="str">
        <f>IFERROR(VLOOKUP(B2422,'Pre-Summary'!$AE$6:$AJ$85,5,FALSE),"")</f>
        <v/>
      </c>
      <c r="J2422" s="45" t="str">
        <f>IFERROR(VLOOKUP(B2422,'Pre-Summary'!$AE$6:$AJ$85,6, FALSE),"")</f>
        <v/>
      </c>
      <c r="K2422" s="45" t="str">
        <f>IFERROR(VLOOKUP(B2422,'Pre-Summary'!$DE$6:$DG$61,3,FALSE),"")</f>
        <v/>
      </c>
      <c r="L2422" s="45" t="str">
        <f>IFERROR(VLOOKUP(B2422,'Pre-Summary'!$CU$6:$CW$36,3,FALSE),"")</f>
        <v/>
      </c>
      <c r="M2422" s="45" t="str">
        <f>IFERROR(VLOOKUP(B2422,'Pre-Summary'!$BW$6:$BY$58,2,FALSE),"")</f>
        <v/>
      </c>
      <c r="N2422" s="45" t="str">
        <f>IFERROR(VLOOKUP(B2422,'Pre-Summary'!$CD$6:$CF$64,2,FALSE),"")</f>
        <v/>
      </c>
      <c r="O2422" s="99">
        <f>IFERROR(VLOOKUP(B2422,'Pre-Summary'!$BO$6:$BQ$48,3, FALSE),O2421)</f>
        <v>1.508</v>
      </c>
      <c r="P2422" s="99">
        <f>IFERROR(VLOOKUP(B2422,'Pre-Summary'!$BS$6:$BU$35,3,FALSE),P2421)</f>
        <v>0.4</v>
      </c>
      <c r="Q2422" s="54">
        <f t="shared" si="111"/>
        <v>3.77</v>
      </c>
      <c r="R2422" s="53">
        <f>IFERROR(VLOOKUP(B2422,'Pre-Summary'!$BG$6:$BM$44,7,FALSE),R2423)</f>
        <v>0.10033855833824304</v>
      </c>
      <c r="S2422" s="53">
        <f>IFERROR(VLOOKUP(B2422,'Pre-Summary'!$BG$6:$BM$44,6,FALSE),S2423)</f>
        <v>9.2355104881156017E-2</v>
      </c>
      <c r="T2422" s="45" t="str">
        <f>IFERROR(VLOOKUP(B2422,'Pre-Summary'!$Y$6:$AC$83, 3,FALSE),"")</f>
        <v/>
      </c>
      <c r="U2422" s="45" t="str">
        <f>IFERROR(VLOOKUP(B2422,'Pre-Summary'!$Y$6:$AC$83, 4,FALSE),"")</f>
        <v/>
      </c>
      <c r="V2422" t="str">
        <f>IFERROR(VLOOKUP(B2422,'Pre-Summary'!$Y$6:$AC$83, 5,FALSE),"")</f>
        <v/>
      </c>
      <c r="W2422" s="45" t="str">
        <f>IFERROR(VLOOKUP(B2422,'Pre-Summary'!$Y$6:$AD$83,6,FALSE),"")</f>
        <v/>
      </c>
      <c r="X2422" t="str">
        <f>IFERROR(VLOOKUP('Pre-Summary'!$DB$6:$DD$63,3,FALSE),"")</f>
        <v/>
      </c>
      <c r="Y2422" t="str">
        <f>IFERROR(VLOOKUP(B2422,'Pre-Summary'!$CR$6:$CT$36,3,FALSE),"")</f>
        <v/>
      </c>
      <c r="Z2422" s="45" t="str">
        <f>IFERROR(VLOOKUP(B2422,'Pre-Summary'!$BZ$6:$CB$63,2,FALSE),"")</f>
        <v/>
      </c>
      <c r="AA2422" s="45" t="str">
        <f>IFERROR(VLOOKUP(B2422,'Pre-Summary'!$CG$6:$CI$70,2,FALSE),"")</f>
        <v/>
      </c>
      <c r="AB2422" s="99">
        <f>IFERROR(VLOOKUP(B2422,'Pre-Summary'!$A$6:$P$178,9,FALSE),AB2423)</f>
        <v>0.37146051582655759</v>
      </c>
      <c r="AC2422" s="10">
        <f>IFERROR(VLOOKUP(Summary!B2422,'Pre-Summary'!$A$6:$P$184,5, FALSE)/100,AC2423)</f>
        <v>0.92695399999999994</v>
      </c>
      <c r="AD2422" s="10">
        <f>IFERROR(VLOOKUP(Summary!B2422,'Pre-Summary'!$A$6:$P$184,3, FALSE)/100,AD2423)</f>
        <v>6.3200000000000006E-2</v>
      </c>
      <c r="AE2422" s="10">
        <f>IFERROR(VLOOKUP(Summary!B2422,'Pre-Summary'!$A$6:$P$184,7, FALSE)/100,AE2423)</f>
        <v>9.8456666666666675E-3</v>
      </c>
      <c r="AF2422" s="99">
        <f t="shared" si="112"/>
        <v>2.3476304600238442E-2</v>
      </c>
      <c r="AG2422" s="99">
        <f t="shared" si="113"/>
        <v>3.6572764186563441E-3</v>
      </c>
      <c r="AH2422" s="10" t="str">
        <f>IFERROR(VLOOKUP(B2422,'Pre-Summary'!$AZ$6:$BE$65,3,FALSE),"")</f>
        <v/>
      </c>
      <c r="AI2422" s="10" t="str">
        <f>IFERROR(VLOOKUP(B2422,'Pre-Summary'!$AZ$6:$BE$65,5,FALSE),"")</f>
        <v/>
      </c>
      <c r="AJ2422" s="10" t="str">
        <f>IFERROR(VLOOKUP(B2422,'Pre-Summary'!$AZ$6:$BE$65,4,FALSE),"")</f>
        <v/>
      </c>
      <c r="AK2422" s="10" t="str">
        <f>IFERROR(VLOOKUP(B2422,'Pre-Summary'!$AZ$6:$BE$65,6,FALSE),"")</f>
        <v/>
      </c>
      <c r="AL2422" s="10" t="str">
        <f>IFERROR(VLOOKUP(B2422,'Pre-Summary'!$BG$6:$BL$44,3,FALSE),"")</f>
        <v/>
      </c>
      <c r="AM2422" s="10" t="str">
        <f>IFERROR(VLOOKUP(B2422,'Pre-Summary'!$BG$6:$BL$44,4,FALSE),"")</f>
        <v/>
      </c>
    </row>
    <row r="2423" spans="2:39" ht="15" customHeight="1" x14ac:dyDescent="0.3">
      <c r="B2423">
        <v>242</v>
      </c>
      <c r="C2423" t="str">
        <f>IFERROR(VLOOKUP(B2423,'Pre-Summary'!$DI$6:$DM$23,4,FALSE),"")</f>
        <v/>
      </c>
      <c r="D2423" s="10" t="str">
        <f>IFERROR(VLOOKUP(B2423,'Pre-Summary'!$AT$6:$AX$14,5,FALSE),D2422)</f>
        <v>Wolfe v3: went back to modified wolfe + EDTA and switched CuSO4 to CUCl2</v>
      </c>
      <c r="E2423" s="10" t="str">
        <f>IFERROR(VLOOKUP(B2423,'Pre-Summary'!$AT$6:$AX$15,4,FALSE),"")</f>
        <v/>
      </c>
      <c r="F2423">
        <f>IFERROR(VLOOKUP(B2423,'Pre-Summary'!$AL$6:$AQ$13,6,FALSE),F2422)</f>
        <v>5.9405263157894746E-2</v>
      </c>
      <c r="G2423" t="str">
        <f>IFERROR(VLOOKUP(B2423,'Pre-Summary'!$AE$6:$AJ$85,3,FALSE),"")</f>
        <v/>
      </c>
      <c r="H2423" t="str">
        <f>IFERROR(VLOOKUP(B2423,'Pre-Summary'!$AE$6:$AJ$85,4,FALSE),"")</f>
        <v/>
      </c>
      <c r="I2423" t="str">
        <f>IFERROR(VLOOKUP(B2423,'Pre-Summary'!$AE$6:$AJ$85,5,FALSE),"")</f>
        <v/>
      </c>
      <c r="J2423" s="45" t="str">
        <f>IFERROR(VLOOKUP(B2423,'Pre-Summary'!$AE$6:$AJ$85,6, FALSE),"")</f>
        <v/>
      </c>
      <c r="K2423" s="45" t="str">
        <f>IFERROR(VLOOKUP(B2423,'Pre-Summary'!$DE$6:$DG$61,3,FALSE),"")</f>
        <v/>
      </c>
      <c r="L2423" s="45" t="str">
        <f>IFERROR(VLOOKUP(B2423,'Pre-Summary'!$CU$6:$CW$36,3,FALSE),"")</f>
        <v/>
      </c>
      <c r="M2423" s="45" t="str">
        <f>IFERROR(VLOOKUP(B2423,'Pre-Summary'!$BW$6:$BY$58,2,FALSE),"")</f>
        <v/>
      </c>
      <c r="N2423" s="45" t="str">
        <f>IFERROR(VLOOKUP(B2423,'Pre-Summary'!$CD$6:$CF$64,2,FALSE),"")</f>
        <v/>
      </c>
      <c r="O2423" s="99">
        <f>IFERROR(VLOOKUP(B2423,'Pre-Summary'!$BO$6:$BQ$48,3, FALSE),O2422)</f>
        <v>1.508</v>
      </c>
      <c r="P2423" s="99">
        <f>IFERROR(VLOOKUP(B2423,'Pre-Summary'!$BS$6:$BU$35,3,FALSE),P2422)</f>
        <v>0.4</v>
      </c>
      <c r="Q2423" s="54">
        <f t="shared" si="111"/>
        <v>3.77</v>
      </c>
      <c r="R2423" s="53">
        <f>IFERROR(VLOOKUP(B2423,'Pre-Summary'!$BG$6:$BM$44,7,FALSE),R2424)</f>
        <v>0.10033855833824304</v>
      </c>
      <c r="S2423" s="53">
        <f>IFERROR(VLOOKUP(B2423,'Pre-Summary'!$BG$6:$BM$44,6,FALSE),S2424)</f>
        <v>9.2355104881156017E-2</v>
      </c>
      <c r="T2423" s="45" t="str">
        <f>IFERROR(VLOOKUP(B2423,'Pre-Summary'!$Y$6:$AC$83, 3,FALSE),"")</f>
        <v/>
      </c>
      <c r="U2423" s="45" t="str">
        <f>IFERROR(VLOOKUP(B2423,'Pre-Summary'!$Y$6:$AC$83, 4,FALSE),"")</f>
        <v/>
      </c>
      <c r="V2423" t="str">
        <f>IFERROR(VLOOKUP(B2423,'Pre-Summary'!$Y$6:$AC$83, 5,FALSE),"")</f>
        <v/>
      </c>
      <c r="W2423" s="45" t="str">
        <f>IFERROR(VLOOKUP(B2423,'Pre-Summary'!$Y$6:$AD$83,6,FALSE),"")</f>
        <v/>
      </c>
      <c r="X2423" t="str">
        <f>IFERROR(VLOOKUP('Pre-Summary'!$DB$6:$DD$63,3,FALSE),"")</f>
        <v/>
      </c>
      <c r="Y2423" t="str">
        <f>IFERROR(VLOOKUP(B2423,'Pre-Summary'!$CR$6:$CT$36,3,FALSE),"")</f>
        <v/>
      </c>
      <c r="Z2423" s="45" t="str">
        <f>IFERROR(VLOOKUP(B2423,'Pre-Summary'!$BZ$6:$CB$63,2,FALSE),"")</f>
        <v/>
      </c>
      <c r="AA2423" s="45" t="str">
        <f>IFERROR(VLOOKUP(B2423,'Pre-Summary'!$CG$6:$CI$70,2,FALSE),"")</f>
        <v/>
      </c>
      <c r="AB2423" s="99">
        <f>IFERROR(VLOOKUP(B2423,'Pre-Summary'!$A$6:$P$178,9,FALSE),AB2424)</f>
        <v>0.37146051582655759</v>
      </c>
      <c r="AC2423" s="10">
        <f>IFERROR(VLOOKUP(Summary!B2423,'Pre-Summary'!$A$6:$P$184,5, FALSE)/100,AC2424)</f>
        <v>0.92695399999999994</v>
      </c>
      <c r="AD2423" s="10">
        <f>IFERROR(VLOOKUP(Summary!B2423,'Pre-Summary'!$A$6:$P$184,3, FALSE)/100,AD2424)</f>
        <v>6.3200000000000006E-2</v>
      </c>
      <c r="AE2423" s="10">
        <f>IFERROR(VLOOKUP(Summary!B2423,'Pre-Summary'!$A$6:$P$184,7, FALSE)/100,AE2424)</f>
        <v>9.8456666666666675E-3</v>
      </c>
      <c r="AF2423" s="99">
        <f t="shared" si="112"/>
        <v>2.3476304600238442E-2</v>
      </c>
      <c r="AG2423" s="99">
        <f t="shared" si="113"/>
        <v>3.6572764186563441E-3</v>
      </c>
      <c r="AH2423" s="10" t="str">
        <f>IFERROR(VLOOKUP(B2423,'Pre-Summary'!$AZ$6:$BE$65,3,FALSE),"")</f>
        <v/>
      </c>
      <c r="AI2423" s="10" t="str">
        <f>IFERROR(VLOOKUP(B2423,'Pre-Summary'!$AZ$6:$BE$65,5,FALSE),"")</f>
        <v/>
      </c>
      <c r="AJ2423" s="10" t="str">
        <f>IFERROR(VLOOKUP(B2423,'Pre-Summary'!$AZ$6:$BE$65,4,FALSE),"")</f>
        <v/>
      </c>
      <c r="AK2423" s="10" t="str">
        <f>IFERROR(VLOOKUP(B2423,'Pre-Summary'!$AZ$6:$BE$65,6,FALSE),"")</f>
        <v/>
      </c>
      <c r="AL2423" s="10" t="str">
        <f>IFERROR(VLOOKUP(B2423,'Pre-Summary'!$BG$6:$BL$44,3,FALSE),"")</f>
        <v/>
      </c>
      <c r="AM2423" s="10" t="str">
        <f>IFERROR(VLOOKUP(B2423,'Pre-Summary'!$BG$6:$BL$44,4,FALSE),"")</f>
        <v/>
      </c>
    </row>
    <row r="2424" spans="2:39" ht="15" customHeight="1" x14ac:dyDescent="0.3">
      <c r="B2424">
        <v>242.1</v>
      </c>
      <c r="C2424" t="str">
        <f>IFERROR(VLOOKUP(B2424,'Pre-Summary'!$DI$6:$DM$23,4,FALSE),"")</f>
        <v/>
      </c>
      <c r="D2424" s="10" t="str">
        <f>IFERROR(VLOOKUP(B2424,'Pre-Summary'!$AT$6:$AX$14,5,FALSE),D2423)</f>
        <v>Wolfe v3: went back to modified wolfe + EDTA and switched CuSO4 to CUCl2</v>
      </c>
      <c r="E2424" s="10" t="str">
        <f>IFERROR(VLOOKUP(B2424,'Pre-Summary'!$AT$6:$AX$15,4,FALSE),"")</f>
        <v/>
      </c>
      <c r="F2424">
        <f>IFERROR(VLOOKUP(B2424,'Pre-Summary'!$AL$6:$AQ$13,6,FALSE),F2423)</f>
        <v>5.9405263157894746E-2</v>
      </c>
      <c r="G2424" t="str">
        <f>IFERROR(VLOOKUP(B2424,'Pre-Summary'!$AE$6:$AJ$85,3,FALSE),"")</f>
        <v/>
      </c>
      <c r="H2424" t="str">
        <f>IFERROR(VLOOKUP(B2424,'Pre-Summary'!$AE$6:$AJ$85,4,FALSE),"")</f>
        <v/>
      </c>
      <c r="I2424" t="str">
        <f>IFERROR(VLOOKUP(B2424,'Pre-Summary'!$AE$6:$AJ$85,5,FALSE),"")</f>
        <v/>
      </c>
      <c r="J2424" s="45" t="str">
        <f>IFERROR(VLOOKUP(B2424,'Pre-Summary'!$AE$6:$AJ$85,6, FALSE),"")</f>
        <v/>
      </c>
      <c r="K2424" s="45" t="str">
        <f>IFERROR(VLOOKUP(B2424,'Pre-Summary'!$DE$6:$DG$61,3,FALSE),"")</f>
        <v/>
      </c>
      <c r="L2424" s="45" t="str">
        <f>IFERROR(VLOOKUP(B2424,'Pre-Summary'!$CU$6:$CW$36,3,FALSE),"")</f>
        <v/>
      </c>
      <c r="M2424" s="45" t="str">
        <f>IFERROR(VLOOKUP(B2424,'Pre-Summary'!$BW$6:$BY$58,2,FALSE),"")</f>
        <v/>
      </c>
      <c r="N2424" s="45" t="str">
        <f>IFERROR(VLOOKUP(B2424,'Pre-Summary'!$CD$6:$CF$64,2,FALSE),"")</f>
        <v/>
      </c>
      <c r="O2424" s="99">
        <f>IFERROR(VLOOKUP(B2424,'Pre-Summary'!$BO$6:$BQ$48,3, FALSE),O2423)</f>
        <v>1.508</v>
      </c>
      <c r="P2424" s="99">
        <f>IFERROR(VLOOKUP(B2424,'Pre-Summary'!$BS$6:$BU$35,3,FALSE),P2423)</f>
        <v>0.4</v>
      </c>
      <c r="Q2424" s="54">
        <f t="shared" si="111"/>
        <v>3.77</v>
      </c>
      <c r="R2424" s="53">
        <f>IFERROR(VLOOKUP(B2424,'Pre-Summary'!$BG$6:$BM$44,7,FALSE),R2425)</f>
        <v>0.10033855833824304</v>
      </c>
      <c r="S2424" s="53">
        <f>IFERROR(VLOOKUP(B2424,'Pre-Summary'!$BG$6:$BM$44,6,FALSE),S2425)</f>
        <v>9.2355104881156017E-2</v>
      </c>
      <c r="T2424" s="45" t="str">
        <f>IFERROR(VLOOKUP(B2424,'Pre-Summary'!$Y$6:$AC$83, 3,FALSE),"")</f>
        <v/>
      </c>
      <c r="U2424" s="45" t="str">
        <f>IFERROR(VLOOKUP(B2424,'Pre-Summary'!$Y$6:$AC$83, 4,FALSE),"")</f>
        <v/>
      </c>
      <c r="V2424" t="str">
        <f>IFERROR(VLOOKUP(B2424,'Pre-Summary'!$Y$6:$AC$83, 5,FALSE),"")</f>
        <v/>
      </c>
      <c r="W2424" s="45" t="str">
        <f>IFERROR(VLOOKUP(B2424,'Pre-Summary'!$Y$6:$AD$83,6,FALSE),"")</f>
        <v/>
      </c>
      <c r="X2424" t="str">
        <f>IFERROR(VLOOKUP('Pre-Summary'!$DB$6:$DD$63,3,FALSE),"")</f>
        <v/>
      </c>
      <c r="Y2424" t="str">
        <f>IFERROR(VLOOKUP(B2424,'Pre-Summary'!$CR$6:$CT$36,3,FALSE),"")</f>
        <v/>
      </c>
      <c r="Z2424" s="45" t="str">
        <f>IFERROR(VLOOKUP(B2424,'Pre-Summary'!$BZ$6:$CB$63,2,FALSE),"")</f>
        <v/>
      </c>
      <c r="AA2424" s="45" t="str">
        <f>IFERROR(VLOOKUP(B2424,'Pre-Summary'!$CG$6:$CI$70,2,FALSE),"")</f>
        <v/>
      </c>
      <c r="AB2424" s="99">
        <f>IFERROR(VLOOKUP(B2424,'Pre-Summary'!$A$6:$P$178,9,FALSE),AB2425)</f>
        <v>0.37146051582655759</v>
      </c>
      <c r="AC2424" s="10">
        <f>IFERROR(VLOOKUP(Summary!B2424,'Pre-Summary'!$A$6:$P$184,5, FALSE)/100,AC2425)</f>
        <v>0.92695399999999994</v>
      </c>
      <c r="AD2424" s="10">
        <f>IFERROR(VLOOKUP(Summary!B2424,'Pre-Summary'!$A$6:$P$184,3, FALSE)/100,AD2425)</f>
        <v>6.3200000000000006E-2</v>
      </c>
      <c r="AE2424" s="10">
        <f>IFERROR(VLOOKUP(Summary!B2424,'Pre-Summary'!$A$6:$P$184,7, FALSE)/100,AE2425)</f>
        <v>9.8456666666666675E-3</v>
      </c>
      <c r="AF2424" s="99">
        <f t="shared" si="112"/>
        <v>2.3476304600238442E-2</v>
      </c>
      <c r="AG2424" s="99">
        <f t="shared" si="113"/>
        <v>3.6572764186563441E-3</v>
      </c>
      <c r="AH2424" s="10" t="str">
        <f>IFERROR(VLOOKUP(B2424,'Pre-Summary'!$AZ$6:$BE$65,3,FALSE),"")</f>
        <v/>
      </c>
      <c r="AI2424" s="10" t="str">
        <f>IFERROR(VLOOKUP(B2424,'Pre-Summary'!$AZ$6:$BE$65,5,FALSE),"")</f>
        <v/>
      </c>
      <c r="AJ2424" s="10" t="str">
        <f>IFERROR(VLOOKUP(B2424,'Pre-Summary'!$AZ$6:$BE$65,4,FALSE),"")</f>
        <v/>
      </c>
      <c r="AK2424" s="10" t="str">
        <f>IFERROR(VLOOKUP(B2424,'Pre-Summary'!$AZ$6:$BE$65,6,FALSE),"")</f>
        <v/>
      </c>
      <c r="AL2424" s="10" t="str">
        <f>IFERROR(VLOOKUP(B2424,'Pre-Summary'!$BG$6:$BL$44,3,FALSE),"")</f>
        <v/>
      </c>
      <c r="AM2424" s="10" t="str">
        <f>IFERROR(VLOOKUP(B2424,'Pre-Summary'!$BG$6:$BL$44,4,FALSE),"")</f>
        <v/>
      </c>
    </row>
    <row r="2425" spans="2:39" ht="15" customHeight="1" x14ac:dyDescent="0.3">
      <c r="B2425">
        <v>242.2</v>
      </c>
      <c r="C2425" t="str">
        <f>IFERROR(VLOOKUP(B2425,'Pre-Summary'!$DI$6:$DM$23,4,FALSE),"")</f>
        <v/>
      </c>
      <c r="D2425" s="10" t="str">
        <f>IFERROR(VLOOKUP(B2425,'Pre-Summary'!$AT$6:$AX$14,5,FALSE),D2424)</f>
        <v>Wolfe v3: went back to modified wolfe + EDTA and switched CuSO4 to CUCl2</v>
      </c>
      <c r="E2425" s="10" t="str">
        <f>IFERROR(VLOOKUP(B2425,'Pre-Summary'!$AT$6:$AX$15,4,FALSE),"")</f>
        <v/>
      </c>
      <c r="F2425">
        <f>IFERROR(VLOOKUP(B2425,'Pre-Summary'!$AL$6:$AQ$13,6,FALSE),F2424)</f>
        <v>5.9405263157894746E-2</v>
      </c>
      <c r="G2425" t="str">
        <f>IFERROR(VLOOKUP(B2425,'Pre-Summary'!$AE$6:$AJ$85,3,FALSE),"")</f>
        <v/>
      </c>
      <c r="H2425" t="str">
        <f>IFERROR(VLOOKUP(B2425,'Pre-Summary'!$AE$6:$AJ$85,4,FALSE),"")</f>
        <v/>
      </c>
      <c r="I2425" t="str">
        <f>IFERROR(VLOOKUP(B2425,'Pre-Summary'!$AE$6:$AJ$85,5,FALSE),"")</f>
        <v/>
      </c>
      <c r="J2425" s="45" t="str">
        <f>IFERROR(VLOOKUP(B2425,'Pre-Summary'!$AE$6:$AJ$85,6, FALSE),"")</f>
        <v/>
      </c>
      <c r="K2425" s="45" t="str">
        <f>IFERROR(VLOOKUP(B2425,'Pre-Summary'!$DE$6:$DG$61,3,FALSE),"")</f>
        <v/>
      </c>
      <c r="L2425" s="45" t="str">
        <f>IFERROR(VLOOKUP(B2425,'Pre-Summary'!$CU$6:$CW$36,3,FALSE),"")</f>
        <v/>
      </c>
      <c r="M2425" s="45" t="str">
        <f>IFERROR(VLOOKUP(B2425,'Pre-Summary'!$BW$6:$BY$58,2,FALSE),"")</f>
        <v/>
      </c>
      <c r="N2425" s="45" t="str">
        <f>IFERROR(VLOOKUP(B2425,'Pre-Summary'!$CD$6:$CF$64,2,FALSE),"")</f>
        <v/>
      </c>
      <c r="O2425" s="99">
        <f>IFERROR(VLOOKUP(B2425,'Pre-Summary'!$BO$6:$BQ$48,3, FALSE),O2424)</f>
        <v>1.508</v>
      </c>
      <c r="P2425" s="99">
        <f>IFERROR(VLOOKUP(B2425,'Pre-Summary'!$BS$6:$BU$35,3,FALSE),P2424)</f>
        <v>0.4</v>
      </c>
      <c r="Q2425" s="54">
        <f t="shared" si="111"/>
        <v>3.77</v>
      </c>
      <c r="R2425" s="53">
        <f>IFERROR(VLOOKUP(B2425,'Pre-Summary'!$BG$6:$BM$44,7,FALSE),R2426)</f>
        <v>0.10033855833824304</v>
      </c>
      <c r="S2425" s="53">
        <f>IFERROR(VLOOKUP(B2425,'Pre-Summary'!$BG$6:$BM$44,6,FALSE),S2426)</f>
        <v>9.2355104881156017E-2</v>
      </c>
      <c r="T2425" s="45" t="str">
        <f>IFERROR(VLOOKUP(B2425,'Pre-Summary'!$Y$6:$AC$83, 3,FALSE),"")</f>
        <v/>
      </c>
      <c r="U2425" s="45" t="str">
        <f>IFERROR(VLOOKUP(B2425,'Pre-Summary'!$Y$6:$AC$83, 4,FALSE),"")</f>
        <v/>
      </c>
      <c r="V2425" t="str">
        <f>IFERROR(VLOOKUP(B2425,'Pre-Summary'!$Y$6:$AC$83, 5,FALSE),"")</f>
        <v/>
      </c>
      <c r="W2425" s="45" t="str">
        <f>IFERROR(VLOOKUP(B2425,'Pre-Summary'!$Y$6:$AD$83,6,FALSE),"")</f>
        <v/>
      </c>
      <c r="X2425" t="str">
        <f>IFERROR(VLOOKUP('Pre-Summary'!$DB$6:$DD$63,3,FALSE),"")</f>
        <v/>
      </c>
      <c r="Y2425" t="str">
        <f>IFERROR(VLOOKUP(B2425,'Pre-Summary'!$CR$6:$CT$36,3,FALSE),"")</f>
        <v/>
      </c>
      <c r="Z2425" s="45" t="str">
        <f>IFERROR(VLOOKUP(B2425,'Pre-Summary'!$BZ$6:$CB$63,2,FALSE),"")</f>
        <v/>
      </c>
      <c r="AA2425" s="45" t="str">
        <f>IFERROR(VLOOKUP(B2425,'Pre-Summary'!$CG$6:$CI$70,2,FALSE),"")</f>
        <v/>
      </c>
      <c r="AB2425" s="99">
        <f>IFERROR(VLOOKUP(B2425,'Pre-Summary'!$A$6:$P$178,9,FALSE),AB2426)</f>
        <v>0.37146051582655759</v>
      </c>
      <c r="AC2425" s="10">
        <f>IFERROR(VLOOKUP(Summary!B2425,'Pre-Summary'!$A$6:$P$184,5, FALSE)/100,AC2426)</f>
        <v>0.92695399999999994</v>
      </c>
      <c r="AD2425" s="10">
        <f>IFERROR(VLOOKUP(Summary!B2425,'Pre-Summary'!$A$6:$P$184,3, FALSE)/100,AD2426)</f>
        <v>6.3200000000000006E-2</v>
      </c>
      <c r="AE2425" s="10">
        <f>IFERROR(VLOOKUP(Summary!B2425,'Pre-Summary'!$A$6:$P$184,7, FALSE)/100,AE2426)</f>
        <v>9.8456666666666675E-3</v>
      </c>
      <c r="AF2425" s="99">
        <f t="shared" si="112"/>
        <v>2.3476304600238442E-2</v>
      </c>
      <c r="AG2425" s="99">
        <f t="shared" si="113"/>
        <v>3.6572764186563441E-3</v>
      </c>
      <c r="AH2425" s="10" t="str">
        <f>IFERROR(VLOOKUP(B2425,'Pre-Summary'!$AZ$6:$BE$65,3,FALSE),"")</f>
        <v/>
      </c>
      <c r="AI2425" s="10" t="str">
        <f>IFERROR(VLOOKUP(B2425,'Pre-Summary'!$AZ$6:$BE$65,5,FALSE),"")</f>
        <v/>
      </c>
      <c r="AJ2425" s="10" t="str">
        <f>IFERROR(VLOOKUP(B2425,'Pre-Summary'!$AZ$6:$BE$65,4,FALSE),"")</f>
        <v/>
      </c>
      <c r="AK2425" s="10" t="str">
        <f>IFERROR(VLOOKUP(B2425,'Pre-Summary'!$AZ$6:$BE$65,6,FALSE),"")</f>
        <v/>
      </c>
      <c r="AL2425" s="10" t="str">
        <f>IFERROR(VLOOKUP(B2425,'Pre-Summary'!$BG$6:$BL$44,3,FALSE),"")</f>
        <v/>
      </c>
      <c r="AM2425" s="10" t="str">
        <f>IFERROR(VLOOKUP(B2425,'Pre-Summary'!$BG$6:$BL$44,4,FALSE),"")</f>
        <v/>
      </c>
    </row>
    <row r="2426" spans="2:39" ht="15" customHeight="1" x14ac:dyDescent="0.3">
      <c r="B2426">
        <v>242.3</v>
      </c>
      <c r="C2426" t="str">
        <f>IFERROR(VLOOKUP(B2426,'Pre-Summary'!$DI$6:$DM$23,4,FALSE),"")</f>
        <v/>
      </c>
      <c r="D2426" s="10" t="str">
        <f>IFERROR(VLOOKUP(B2426,'Pre-Summary'!$AT$6:$AX$14,5,FALSE),D2425)</f>
        <v>Wolfe v3: went back to modified wolfe + EDTA and switched CuSO4 to CUCl2</v>
      </c>
      <c r="E2426" s="10" t="str">
        <f>IFERROR(VLOOKUP(B2426,'Pre-Summary'!$AT$6:$AX$15,4,FALSE),"")</f>
        <v/>
      </c>
      <c r="F2426">
        <f>IFERROR(VLOOKUP(B2426,'Pre-Summary'!$AL$6:$AQ$13,6,FALSE),F2425)</f>
        <v>5.9405263157894746E-2</v>
      </c>
      <c r="G2426" t="str">
        <f>IFERROR(VLOOKUP(B2426,'Pre-Summary'!$AE$6:$AJ$85,3,FALSE),"")</f>
        <v/>
      </c>
      <c r="H2426" t="str">
        <f>IFERROR(VLOOKUP(B2426,'Pre-Summary'!$AE$6:$AJ$85,4,FALSE),"")</f>
        <v/>
      </c>
      <c r="I2426" t="str">
        <f>IFERROR(VLOOKUP(B2426,'Pre-Summary'!$AE$6:$AJ$85,5,FALSE),"")</f>
        <v/>
      </c>
      <c r="J2426" s="45" t="str">
        <f>IFERROR(VLOOKUP(B2426,'Pre-Summary'!$AE$6:$AJ$85,6, FALSE),"")</f>
        <v/>
      </c>
      <c r="K2426" s="45" t="str">
        <f>IFERROR(VLOOKUP(B2426,'Pre-Summary'!$DE$6:$DG$61,3,FALSE),"")</f>
        <v/>
      </c>
      <c r="L2426" s="45" t="str">
        <f>IFERROR(VLOOKUP(B2426,'Pre-Summary'!$CU$6:$CW$36,3,FALSE),"")</f>
        <v/>
      </c>
      <c r="M2426" s="45" t="str">
        <f>IFERROR(VLOOKUP(B2426,'Pre-Summary'!$BW$6:$BY$58,2,FALSE),"")</f>
        <v/>
      </c>
      <c r="N2426" s="45" t="str">
        <f>IFERROR(VLOOKUP(B2426,'Pre-Summary'!$CD$6:$CF$64,2,FALSE),"")</f>
        <v/>
      </c>
      <c r="O2426" s="99">
        <f>IFERROR(VLOOKUP(B2426,'Pre-Summary'!$BO$6:$BQ$48,3, FALSE),O2425)</f>
        <v>1.508</v>
      </c>
      <c r="P2426" s="99">
        <f>IFERROR(VLOOKUP(B2426,'Pre-Summary'!$BS$6:$BU$35,3,FALSE),P2425)</f>
        <v>0.4</v>
      </c>
      <c r="Q2426" s="54">
        <f t="shared" si="111"/>
        <v>3.77</v>
      </c>
      <c r="R2426" s="53">
        <f>IFERROR(VLOOKUP(B2426,'Pre-Summary'!$BG$6:$BM$44,7,FALSE),R2427)</f>
        <v>0.10033855833824304</v>
      </c>
      <c r="S2426" s="53">
        <f>IFERROR(VLOOKUP(B2426,'Pre-Summary'!$BG$6:$BM$44,6,FALSE),S2427)</f>
        <v>9.2355104881156017E-2</v>
      </c>
      <c r="T2426" s="45" t="str">
        <f>IFERROR(VLOOKUP(B2426,'Pre-Summary'!$Y$6:$AC$83, 3,FALSE),"")</f>
        <v/>
      </c>
      <c r="U2426" s="45" t="str">
        <f>IFERROR(VLOOKUP(B2426,'Pre-Summary'!$Y$6:$AC$83, 4,FALSE),"")</f>
        <v/>
      </c>
      <c r="V2426" t="str">
        <f>IFERROR(VLOOKUP(B2426,'Pre-Summary'!$Y$6:$AC$83, 5,FALSE),"")</f>
        <v/>
      </c>
      <c r="W2426" s="45" t="str">
        <f>IFERROR(VLOOKUP(B2426,'Pre-Summary'!$Y$6:$AD$83,6,FALSE),"")</f>
        <v/>
      </c>
      <c r="X2426" t="str">
        <f>IFERROR(VLOOKUP('Pre-Summary'!$DB$6:$DD$63,3,FALSE),"")</f>
        <v/>
      </c>
      <c r="Y2426" t="str">
        <f>IFERROR(VLOOKUP(B2426,'Pre-Summary'!$CR$6:$CT$36,3,FALSE),"")</f>
        <v/>
      </c>
      <c r="Z2426" s="45" t="str">
        <f>IFERROR(VLOOKUP(B2426,'Pre-Summary'!$BZ$6:$CB$63,2,FALSE),"")</f>
        <v/>
      </c>
      <c r="AA2426" s="45" t="str">
        <f>IFERROR(VLOOKUP(B2426,'Pre-Summary'!$CG$6:$CI$70,2,FALSE),"")</f>
        <v/>
      </c>
      <c r="AB2426" s="99">
        <f>IFERROR(VLOOKUP(B2426,'Pre-Summary'!$A$6:$P$178,9,FALSE),AB2427)</f>
        <v>0.37146051582655759</v>
      </c>
      <c r="AC2426" s="10">
        <f>IFERROR(VLOOKUP(Summary!B2426,'Pre-Summary'!$A$6:$P$184,5, FALSE)/100,AC2427)</f>
        <v>0.92695399999999994</v>
      </c>
      <c r="AD2426" s="10">
        <f>IFERROR(VLOOKUP(Summary!B2426,'Pre-Summary'!$A$6:$P$184,3, FALSE)/100,AD2427)</f>
        <v>6.3200000000000006E-2</v>
      </c>
      <c r="AE2426" s="10">
        <f>IFERROR(VLOOKUP(Summary!B2426,'Pre-Summary'!$A$6:$P$184,7, FALSE)/100,AE2427)</f>
        <v>9.8456666666666675E-3</v>
      </c>
      <c r="AF2426" s="99">
        <f t="shared" si="112"/>
        <v>2.3476304600238442E-2</v>
      </c>
      <c r="AG2426" s="99">
        <f t="shared" si="113"/>
        <v>3.6572764186563441E-3</v>
      </c>
      <c r="AH2426" s="10" t="str">
        <f>IFERROR(VLOOKUP(B2426,'Pre-Summary'!$AZ$6:$BE$65,3,FALSE),"")</f>
        <v/>
      </c>
      <c r="AI2426" s="10" t="str">
        <f>IFERROR(VLOOKUP(B2426,'Pre-Summary'!$AZ$6:$BE$65,5,FALSE),"")</f>
        <v/>
      </c>
      <c r="AJ2426" s="10" t="str">
        <f>IFERROR(VLOOKUP(B2426,'Pre-Summary'!$AZ$6:$BE$65,4,FALSE),"")</f>
        <v/>
      </c>
      <c r="AK2426" s="10" t="str">
        <f>IFERROR(VLOOKUP(B2426,'Pre-Summary'!$AZ$6:$BE$65,6,FALSE),"")</f>
        <v/>
      </c>
      <c r="AL2426" s="10" t="str">
        <f>IFERROR(VLOOKUP(B2426,'Pre-Summary'!$BG$6:$BL$44,3,FALSE),"")</f>
        <v/>
      </c>
      <c r="AM2426" s="10" t="str">
        <f>IFERROR(VLOOKUP(B2426,'Pre-Summary'!$BG$6:$BL$44,4,FALSE),"")</f>
        <v/>
      </c>
    </row>
    <row r="2427" spans="2:39" ht="15" customHeight="1" x14ac:dyDescent="0.3">
      <c r="B2427">
        <v>242.4</v>
      </c>
      <c r="C2427" t="str">
        <f>IFERROR(VLOOKUP(B2427,'Pre-Summary'!$DI$6:$DM$23,4,FALSE),"")</f>
        <v/>
      </c>
      <c r="D2427" s="10" t="str">
        <f>IFERROR(VLOOKUP(B2427,'Pre-Summary'!$AT$6:$AX$14,5,FALSE),D2426)</f>
        <v>Wolfe v3: went back to modified wolfe + EDTA and switched CuSO4 to CUCl2</v>
      </c>
      <c r="E2427" s="10" t="str">
        <f>IFERROR(VLOOKUP(B2427,'Pre-Summary'!$AT$6:$AX$15,4,FALSE),"")</f>
        <v/>
      </c>
      <c r="F2427">
        <f>IFERROR(VLOOKUP(B2427,'Pre-Summary'!$AL$6:$AQ$13,6,FALSE),F2426)</f>
        <v>5.9405263157894746E-2</v>
      </c>
      <c r="G2427" t="str">
        <f>IFERROR(VLOOKUP(B2427,'Pre-Summary'!$AE$6:$AJ$85,3,FALSE),"")</f>
        <v/>
      </c>
      <c r="H2427" t="str">
        <f>IFERROR(VLOOKUP(B2427,'Pre-Summary'!$AE$6:$AJ$85,4,FALSE),"")</f>
        <v/>
      </c>
      <c r="I2427" t="str">
        <f>IFERROR(VLOOKUP(B2427,'Pre-Summary'!$AE$6:$AJ$85,5,FALSE),"")</f>
        <v/>
      </c>
      <c r="J2427" s="45" t="str">
        <f>IFERROR(VLOOKUP(B2427,'Pre-Summary'!$AE$6:$AJ$85,6, FALSE),"")</f>
        <v/>
      </c>
      <c r="K2427" s="45" t="str">
        <f>IFERROR(VLOOKUP(B2427,'Pre-Summary'!$DE$6:$DG$61,3,FALSE),"")</f>
        <v/>
      </c>
      <c r="L2427" s="45" t="str">
        <f>IFERROR(VLOOKUP(B2427,'Pre-Summary'!$CU$6:$CW$36,3,FALSE),"")</f>
        <v/>
      </c>
      <c r="M2427" s="45" t="str">
        <f>IFERROR(VLOOKUP(B2427,'Pre-Summary'!$BW$6:$BY$58,2,FALSE),"")</f>
        <v/>
      </c>
      <c r="N2427" s="45" t="str">
        <f>IFERROR(VLOOKUP(B2427,'Pre-Summary'!$CD$6:$CF$64,2,FALSE),"")</f>
        <v/>
      </c>
      <c r="O2427" s="99">
        <f>IFERROR(VLOOKUP(B2427,'Pre-Summary'!$BO$6:$BQ$48,3, FALSE),O2426)</f>
        <v>1.508</v>
      </c>
      <c r="P2427" s="99">
        <f>IFERROR(VLOOKUP(B2427,'Pre-Summary'!$BS$6:$BU$35,3,FALSE),P2426)</f>
        <v>0.4</v>
      </c>
      <c r="Q2427" s="54">
        <f t="shared" si="111"/>
        <v>3.77</v>
      </c>
      <c r="R2427" s="53">
        <f>IFERROR(VLOOKUP(B2427,'Pre-Summary'!$BG$6:$BM$44,7,FALSE),R2428)</f>
        <v>0.10033855833824304</v>
      </c>
      <c r="S2427" s="53">
        <f>IFERROR(VLOOKUP(B2427,'Pre-Summary'!$BG$6:$BM$44,6,FALSE),S2428)</f>
        <v>9.2355104881156017E-2</v>
      </c>
      <c r="T2427" s="45" t="str">
        <f>IFERROR(VLOOKUP(B2427,'Pre-Summary'!$Y$6:$AC$83, 3,FALSE),"")</f>
        <v/>
      </c>
      <c r="U2427" s="45" t="str">
        <f>IFERROR(VLOOKUP(B2427,'Pre-Summary'!$Y$6:$AC$83, 4,FALSE),"")</f>
        <v/>
      </c>
      <c r="V2427" t="str">
        <f>IFERROR(VLOOKUP(B2427,'Pre-Summary'!$Y$6:$AC$83, 5,FALSE),"")</f>
        <v/>
      </c>
      <c r="W2427" s="45" t="str">
        <f>IFERROR(VLOOKUP(B2427,'Pre-Summary'!$Y$6:$AD$83,6,FALSE),"")</f>
        <v/>
      </c>
      <c r="X2427" t="str">
        <f>IFERROR(VLOOKUP('Pre-Summary'!$DB$6:$DD$63,3,FALSE),"")</f>
        <v/>
      </c>
      <c r="Y2427" t="str">
        <f>IFERROR(VLOOKUP(B2427,'Pre-Summary'!$CR$6:$CT$36,3,FALSE),"")</f>
        <v/>
      </c>
      <c r="Z2427" s="45" t="str">
        <f>IFERROR(VLOOKUP(B2427,'Pre-Summary'!$BZ$6:$CB$63,2,FALSE),"")</f>
        <v/>
      </c>
      <c r="AA2427" s="45" t="str">
        <f>IFERROR(VLOOKUP(B2427,'Pre-Summary'!$CG$6:$CI$70,2,FALSE),"")</f>
        <v/>
      </c>
      <c r="AB2427" s="99">
        <f>IFERROR(VLOOKUP(B2427,'Pre-Summary'!$A$6:$P$178,9,FALSE),AB2428)</f>
        <v>0.37146051582655759</v>
      </c>
      <c r="AC2427" s="10">
        <f>IFERROR(VLOOKUP(Summary!B2427,'Pre-Summary'!$A$6:$P$184,5, FALSE)/100,AC2428)</f>
        <v>0.92695399999999994</v>
      </c>
      <c r="AD2427" s="10">
        <f>IFERROR(VLOOKUP(Summary!B2427,'Pre-Summary'!$A$6:$P$184,3, FALSE)/100,AD2428)</f>
        <v>6.3200000000000006E-2</v>
      </c>
      <c r="AE2427" s="10">
        <f>IFERROR(VLOOKUP(Summary!B2427,'Pre-Summary'!$A$6:$P$184,7, FALSE)/100,AE2428)</f>
        <v>9.8456666666666675E-3</v>
      </c>
      <c r="AF2427" s="99">
        <f t="shared" si="112"/>
        <v>2.3476304600238442E-2</v>
      </c>
      <c r="AG2427" s="99">
        <f t="shared" si="113"/>
        <v>3.6572764186563441E-3</v>
      </c>
      <c r="AH2427" s="10" t="str">
        <f>IFERROR(VLOOKUP(B2427,'Pre-Summary'!$AZ$6:$BE$65,3,FALSE),"")</f>
        <v/>
      </c>
      <c r="AI2427" s="10" t="str">
        <f>IFERROR(VLOOKUP(B2427,'Pre-Summary'!$AZ$6:$BE$65,5,FALSE),"")</f>
        <v/>
      </c>
      <c r="AJ2427" s="10" t="str">
        <f>IFERROR(VLOOKUP(B2427,'Pre-Summary'!$AZ$6:$BE$65,4,FALSE),"")</f>
        <v/>
      </c>
      <c r="AK2427" s="10" t="str">
        <f>IFERROR(VLOOKUP(B2427,'Pre-Summary'!$AZ$6:$BE$65,6,FALSE),"")</f>
        <v/>
      </c>
      <c r="AL2427" s="10" t="str">
        <f>IFERROR(VLOOKUP(B2427,'Pre-Summary'!$BG$6:$BL$44,3,FALSE),"")</f>
        <v/>
      </c>
      <c r="AM2427" s="10" t="str">
        <f>IFERROR(VLOOKUP(B2427,'Pre-Summary'!$BG$6:$BL$44,4,FALSE),"")</f>
        <v/>
      </c>
    </row>
    <row r="2428" spans="2:39" ht="15" customHeight="1" x14ac:dyDescent="0.3">
      <c r="B2428">
        <v>242.5</v>
      </c>
      <c r="C2428" t="str">
        <f>IFERROR(VLOOKUP(B2428,'Pre-Summary'!$DI$6:$DM$23,4,FALSE),"")</f>
        <v/>
      </c>
      <c r="D2428" s="10" t="str">
        <f>IFERROR(VLOOKUP(B2428,'Pre-Summary'!$AT$6:$AX$14,5,FALSE),D2427)</f>
        <v>Wolfe v3: went back to modified wolfe + EDTA and switched CuSO4 to CUCl2</v>
      </c>
      <c r="E2428" s="10" t="str">
        <f>IFERROR(VLOOKUP(B2428,'Pre-Summary'!$AT$6:$AX$15,4,FALSE),"")</f>
        <v/>
      </c>
      <c r="F2428">
        <f>IFERROR(VLOOKUP(B2428,'Pre-Summary'!$AL$6:$AQ$13,6,FALSE),F2427)</f>
        <v>5.9405263157894746E-2</v>
      </c>
      <c r="G2428" t="str">
        <f>IFERROR(VLOOKUP(B2428,'Pre-Summary'!$AE$6:$AJ$85,3,FALSE),"")</f>
        <v/>
      </c>
      <c r="H2428" t="str">
        <f>IFERROR(VLOOKUP(B2428,'Pre-Summary'!$AE$6:$AJ$85,4,FALSE),"")</f>
        <v/>
      </c>
      <c r="I2428" t="str">
        <f>IFERROR(VLOOKUP(B2428,'Pre-Summary'!$AE$6:$AJ$85,5,FALSE),"")</f>
        <v/>
      </c>
      <c r="J2428" s="45" t="str">
        <f>IFERROR(VLOOKUP(B2428,'Pre-Summary'!$AE$6:$AJ$85,6, FALSE),"")</f>
        <v/>
      </c>
      <c r="K2428" s="45" t="str">
        <f>IFERROR(VLOOKUP(B2428,'Pre-Summary'!$DE$6:$DG$61,3,FALSE),"")</f>
        <v/>
      </c>
      <c r="L2428" s="45" t="str">
        <f>IFERROR(VLOOKUP(B2428,'Pre-Summary'!$CU$6:$CW$36,3,FALSE),"")</f>
        <v/>
      </c>
      <c r="M2428" s="45" t="str">
        <f>IFERROR(VLOOKUP(B2428,'Pre-Summary'!$BW$6:$BY$58,2,FALSE),"")</f>
        <v/>
      </c>
      <c r="N2428" s="45" t="str">
        <f>IFERROR(VLOOKUP(B2428,'Pre-Summary'!$CD$6:$CF$64,2,FALSE),"")</f>
        <v/>
      </c>
      <c r="O2428" s="99">
        <f>IFERROR(VLOOKUP(B2428,'Pre-Summary'!$BO$6:$BQ$48,3, FALSE),O2427)</f>
        <v>1.508</v>
      </c>
      <c r="P2428" s="99">
        <f>IFERROR(VLOOKUP(B2428,'Pre-Summary'!$BS$6:$BU$35,3,FALSE),P2427)</f>
        <v>0.4</v>
      </c>
      <c r="Q2428" s="54">
        <f t="shared" si="111"/>
        <v>3.77</v>
      </c>
      <c r="R2428" s="53">
        <f>IFERROR(VLOOKUP(B2428,'Pre-Summary'!$BG$6:$BM$44,7,FALSE),R2429)</f>
        <v>0.10033855833824304</v>
      </c>
      <c r="S2428" s="53">
        <f>IFERROR(VLOOKUP(B2428,'Pre-Summary'!$BG$6:$BM$44,6,FALSE),S2429)</f>
        <v>9.2355104881156017E-2</v>
      </c>
      <c r="T2428" s="45" t="str">
        <f>IFERROR(VLOOKUP(B2428,'Pre-Summary'!$Y$6:$AC$83, 3,FALSE),"")</f>
        <v/>
      </c>
      <c r="U2428" s="45" t="str">
        <f>IFERROR(VLOOKUP(B2428,'Pre-Summary'!$Y$6:$AC$83, 4,FALSE),"")</f>
        <v/>
      </c>
      <c r="V2428" t="str">
        <f>IFERROR(VLOOKUP(B2428,'Pre-Summary'!$Y$6:$AC$83, 5,FALSE),"")</f>
        <v/>
      </c>
      <c r="W2428" s="45" t="str">
        <f>IFERROR(VLOOKUP(B2428,'Pre-Summary'!$Y$6:$AD$83,6,FALSE),"")</f>
        <v/>
      </c>
      <c r="X2428" t="str">
        <f>IFERROR(VLOOKUP('Pre-Summary'!$DB$6:$DD$63,3,FALSE),"")</f>
        <v/>
      </c>
      <c r="Y2428" t="str">
        <f>IFERROR(VLOOKUP(B2428,'Pre-Summary'!$CR$6:$CT$36,3,FALSE),"")</f>
        <v/>
      </c>
      <c r="Z2428" s="45" t="str">
        <f>IFERROR(VLOOKUP(B2428,'Pre-Summary'!$BZ$6:$CB$63,2,FALSE),"")</f>
        <v/>
      </c>
      <c r="AA2428" s="45" t="str">
        <f>IFERROR(VLOOKUP(B2428,'Pre-Summary'!$CG$6:$CI$70,2,FALSE),"")</f>
        <v/>
      </c>
      <c r="AB2428" s="99">
        <f>IFERROR(VLOOKUP(B2428,'Pre-Summary'!$A$6:$P$178,9,FALSE),AB2429)</f>
        <v>0.37146051582655759</v>
      </c>
      <c r="AC2428" s="10">
        <f>IFERROR(VLOOKUP(Summary!B2428,'Pre-Summary'!$A$6:$P$184,5, FALSE)/100,AC2429)</f>
        <v>0.92695399999999994</v>
      </c>
      <c r="AD2428" s="10">
        <f>IFERROR(VLOOKUP(Summary!B2428,'Pre-Summary'!$A$6:$P$184,3, FALSE)/100,AD2429)</f>
        <v>6.3200000000000006E-2</v>
      </c>
      <c r="AE2428" s="10">
        <f>IFERROR(VLOOKUP(Summary!B2428,'Pre-Summary'!$A$6:$P$184,7, FALSE)/100,AE2429)</f>
        <v>9.8456666666666675E-3</v>
      </c>
      <c r="AF2428" s="99">
        <f t="shared" si="112"/>
        <v>2.3476304600238442E-2</v>
      </c>
      <c r="AG2428" s="99">
        <f t="shared" si="113"/>
        <v>3.6572764186563441E-3</v>
      </c>
      <c r="AH2428" s="10" t="str">
        <f>IFERROR(VLOOKUP(B2428,'Pre-Summary'!$AZ$6:$BE$65,3,FALSE),"")</f>
        <v/>
      </c>
      <c r="AI2428" s="10" t="str">
        <f>IFERROR(VLOOKUP(B2428,'Pre-Summary'!$AZ$6:$BE$65,5,FALSE),"")</f>
        <v/>
      </c>
      <c r="AJ2428" s="10" t="str">
        <f>IFERROR(VLOOKUP(B2428,'Pre-Summary'!$AZ$6:$BE$65,4,FALSE),"")</f>
        <v/>
      </c>
      <c r="AK2428" s="10" t="str">
        <f>IFERROR(VLOOKUP(B2428,'Pre-Summary'!$AZ$6:$BE$65,6,FALSE),"")</f>
        <v/>
      </c>
      <c r="AL2428" s="10" t="str">
        <f>IFERROR(VLOOKUP(B2428,'Pre-Summary'!$BG$6:$BL$44,3,FALSE),"")</f>
        <v/>
      </c>
      <c r="AM2428" s="10" t="str">
        <f>IFERROR(VLOOKUP(B2428,'Pre-Summary'!$BG$6:$BL$44,4,FALSE),"")</f>
        <v/>
      </c>
    </row>
    <row r="2429" spans="2:39" ht="15" customHeight="1" x14ac:dyDescent="0.3">
      <c r="B2429">
        <v>242.6</v>
      </c>
      <c r="C2429" t="str">
        <f>IFERROR(VLOOKUP(B2429,'Pre-Summary'!$DI$6:$DM$23,4,FALSE),"")</f>
        <v/>
      </c>
      <c r="D2429" s="10" t="str">
        <f>IFERROR(VLOOKUP(B2429,'Pre-Summary'!$AT$6:$AX$14,5,FALSE),D2428)</f>
        <v>Wolfe v3: went back to modified wolfe + EDTA and switched CuSO4 to CUCl2</v>
      </c>
      <c r="E2429" s="10" t="str">
        <f>IFERROR(VLOOKUP(B2429,'Pre-Summary'!$AT$6:$AX$15,4,FALSE),"")</f>
        <v/>
      </c>
      <c r="F2429">
        <f>IFERROR(VLOOKUP(B2429,'Pre-Summary'!$AL$6:$AQ$13,6,FALSE),F2428)</f>
        <v>5.9405263157894746E-2</v>
      </c>
      <c r="G2429" t="str">
        <f>IFERROR(VLOOKUP(B2429,'Pre-Summary'!$AE$6:$AJ$85,3,FALSE),"")</f>
        <v/>
      </c>
      <c r="H2429" t="str">
        <f>IFERROR(VLOOKUP(B2429,'Pre-Summary'!$AE$6:$AJ$85,4,FALSE),"")</f>
        <v/>
      </c>
      <c r="I2429" t="str">
        <f>IFERROR(VLOOKUP(B2429,'Pre-Summary'!$AE$6:$AJ$85,5,FALSE),"")</f>
        <v/>
      </c>
      <c r="J2429" s="45" t="str">
        <f>IFERROR(VLOOKUP(B2429,'Pre-Summary'!$AE$6:$AJ$85,6, FALSE),"")</f>
        <v/>
      </c>
      <c r="K2429" s="45" t="str">
        <f>IFERROR(VLOOKUP(B2429,'Pre-Summary'!$DE$6:$DG$61,3,FALSE),"")</f>
        <v/>
      </c>
      <c r="L2429" s="45" t="str">
        <f>IFERROR(VLOOKUP(B2429,'Pre-Summary'!$CU$6:$CW$36,3,FALSE),"")</f>
        <v/>
      </c>
      <c r="M2429" s="45" t="str">
        <f>IFERROR(VLOOKUP(B2429,'Pre-Summary'!$BW$6:$BY$58,2,FALSE),"")</f>
        <v/>
      </c>
      <c r="N2429" s="45" t="str">
        <f>IFERROR(VLOOKUP(B2429,'Pre-Summary'!$CD$6:$CF$64,2,FALSE),"")</f>
        <v/>
      </c>
      <c r="O2429" s="99">
        <f>IFERROR(VLOOKUP(B2429,'Pre-Summary'!$BO$6:$BQ$48,3, FALSE),O2428)</f>
        <v>1.508</v>
      </c>
      <c r="P2429" s="99">
        <f>IFERROR(VLOOKUP(B2429,'Pre-Summary'!$BS$6:$BU$35,3,FALSE),P2428)</f>
        <v>0.4</v>
      </c>
      <c r="Q2429" s="54">
        <f t="shared" si="111"/>
        <v>3.77</v>
      </c>
      <c r="R2429" s="53">
        <f>IFERROR(VLOOKUP(B2429,'Pre-Summary'!$BG$6:$BM$44,7,FALSE),R2430)</f>
        <v>0.10033855833824304</v>
      </c>
      <c r="S2429" s="53">
        <f>IFERROR(VLOOKUP(B2429,'Pre-Summary'!$BG$6:$BM$44,6,FALSE),S2430)</f>
        <v>9.2355104881156017E-2</v>
      </c>
      <c r="T2429" s="45" t="str">
        <f>IFERROR(VLOOKUP(B2429,'Pre-Summary'!$Y$6:$AC$83, 3,FALSE),"")</f>
        <v/>
      </c>
      <c r="U2429" s="45" t="str">
        <f>IFERROR(VLOOKUP(B2429,'Pre-Summary'!$Y$6:$AC$83, 4,FALSE),"")</f>
        <v/>
      </c>
      <c r="V2429" t="str">
        <f>IFERROR(VLOOKUP(B2429,'Pre-Summary'!$Y$6:$AC$83, 5,FALSE),"")</f>
        <v/>
      </c>
      <c r="W2429" s="45" t="str">
        <f>IFERROR(VLOOKUP(B2429,'Pre-Summary'!$Y$6:$AD$83,6,FALSE),"")</f>
        <v/>
      </c>
      <c r="X2429" t="str">
        <f>IFERROR(VLOOKUP('Pre-Summary'!$DB$6:$DD$63,3,FALSE),"")</f>
        <v/>
      </c>
      <c r="Y2429" t="str">
        <f>IFERROR(VLOOKUP(B2429,'Pre-Summary'!$CR$6:$CT$36,3,FALSE),"")</f>
        <v/>
      </c>
      <c r="Z2429" s="45" t="str">
        <f>IFERROR(VLOOKUP(B2429,'Pre-Summary'!$BZ$6:$CB$63,2,FALSE),"")</f>
        <v/>
      </c>
      <c r="AA2429" s="45" t="str">
        <f>IFERROR(VLOOKUP(B2429,'Pre-Summary'!$CG$6:$CI$70,2,FALSE),"")</f>
        <v/>
      </c>
      <c r="AB2429" s="99">
        <f>IFERROR(VLOOKUP(B2429,'Pre-Summary'!$A$6:$P$178,9,FALSE),AB2430)</f>
        <v>0.37146051582655759</v>
      </c>
      <c r="AC2429" s="10">
        <f>IFERROR(VLOOKUP(Summary!B2429,'Pre-Summary'!$A$6:$P$184,5, FALSE)/100,AC2430)</f>
        <v>0.92695399999999994</v>
      </c>
      <c r="AD2429" s="10">
        <f>IFERROR(VLOOKUP(Summary!B2429,'Pre-Summary'!$A$6:$P$184,3, FALSE)/100,AD2430)</f>
        <v>6.3200000000000006E-2</v>
      </c>
      <c r="AE2429" s="10">
        <f>IFERROR(VLOOKUP(Summary!B2429,'Pre-Summary'!$A$6:$P$184,7, FALSE)/100,AE2430)</f>
        <v>9.8456666666666675E-3</v>
      </c>
      <c r="AF2429" s="99">
        <f t="shared" si="112"/>
        <v>2.3476304600238442E-2</v>
      </c>
      <c r="AG2429" s="99">
        <f t="shared" si="113"/>
        <v>3.6572764186563441E-3</v>
      </c>
      <c r="AH2429" s="10" t="str">
        <f>IFERROR(VLOOKUP(B2429,'Pre-Summary'!$AZ$6:$BE$65,3,FALSE),"")</f>
        <v/>
      </c>
      <c r="AI2429" s="10" t="str">
        <f>IFERROR(VLOOKUP(B2429,'Pre-Summary'!$AZ$6:$BE$65,5,FALSE),"")</f>
        <v/>
      </c>
      <c r="AJ2429" s="10" t="str">
        <f>IFERROR(VLOOKUP(B2429,'Pre-Summary'!$AZ$6:$BE$65,4,FALSE),"")</f>
        <v/>
      </c>
      <c r="AK2429" s="10" t="str">
        <f>IFERROR(VLOOKUP(B2429,'Pre-Summary'!$AZ$6:$BE$65,6,FALSE),"")</f>
        <v/>
      </c>
      <c r="AL2429" s="10" t="str">
        <f>IFERROR(VLOOKUP(B2429,'Pre-Summary'!$BG$6:$BL$44,3,FALSE),"")</f>
        <v/>
      </c>
      <c r="AM2429" s="10" t="str">
        <f>IFERROR(VLOOKUP(B2429,'Pre-Summary'!$BG$6:$BL$44,4,FALSE),"")</f>
        <v/>
      </c>
    </row>
    <row r="2430" spans="2:39" ht="15" customHeight="1" x14ac:dyDescent="0.3">
      <c r="B2430">
        <v>242.7</v>
      </c>
      <c r="C2430" t="str">
        <f>IFERROR(VLOOKUP(B2430,'Pre-Summary'!$DI$6:$DM$23,4,FALSE),"")</f>
        <v/>
      </c>
      <c r="D2430" s="10" t="str">
        <f>IFERROR(VLOOKUP(B2430,'Pre-Summary'!$AT$6:$AX$14,5,FALSE),D2429)</f>
        <v>Wolfe v3: went back to modified wolfe + EDTA and switched CuSO4 to CUCl2</v>
      </c>
      <c r="E2430" s="10" t="str">
        <f>IFERROR(VLOOKUP(B2430,'Pre-Summary'!$AT$6:$AX$15,4,FALSE),"")</f>
        <v/>
      </c>
      <c r="F2430">
        <f>IFERROR(VLOOKUP(B2430,'Pre-Summary'!$AL$6:$AQ$13,6,FALSE),F2429)</f>
        <v>5.9405263157894746E-2</v>
      </c>
      <c r="G2430" t="str">
        <f>IFERROR(VLOOKUP(B2430,'Pre-Summary'!$AE$6:$AJ$85,3,FALSE),"")</f>
        <v/>
      </c>
      <c r="H2430" t="str">
        <f>IFERROR(VLOOKUP(B2430,'Pre-Summary'!$AE$6:$AJ$85,4,FALSE),"")</f>
        <v/>
      </c>
      <c r="I2430" t="str">
        <f>IFERROR(VLOOKUP(B2430,'Pre-Summary'!$AE$6:$AJ$85,5,FALSE),"")</f>
        <v/>
      </c>
      <c r="J2430" s="45" t="str">
        <f>IFERROR(VLOOKUP(B2430,'Pre-Summary'!$AE$6:$AJ$85,6, FALSE),"")</f>
        <v/>
      </c>
      <c r="K2430" s="45" t="str">
        <f>IFERROR(VLOOKUP(B2430,'Pre-Summary'!$DE$6:$DG$61,3,FALSE),"")</f>
        <v/>
      </c>
      <c r="L2430" s="45" t="str">
        <f>IFERROR(VLOOKUP(B2430,'Pre-Summary'!$CU$6:$CW$36,3,FALSE),"")</f>
        <v/>
      </c>
      <c r="M2430" s="45" t="str">
        <f>IFERROR(VLOOKUP(B2430,'Pre-Summary'!$BW$6:$BY$58,2,FALSE),"")</f>
        <v/>
      </c>
      <c r="N2430" s="45" t="str">
        <f>IFERROR(VLOOKUP(B2430,'Pre-Summary'!$CD$6:$CF$64,2,FALSE),"")</f>
        <v/>
      </c>
      <c r="O2430" s="99">
        <f>IFERROR(VLOOKUP(B2430,'Pre-Summary'!$BO$6:$BQ$48,3, FALSE),O2429)</f>
        <v>1.508</v>
      </c>
      <c r="P2430" s="99">
        <f>IFERROR(VLOOKUP(B2430,'Pre-Summary'!$BS$6:$BU$35,3,FALSE),P2429)</f>
        <v>0.4</v>
      </c>
      <c r="Q2430" s="54">
        <f t="shared" si="111"/>
        <v>3.77</v>
      </c>
      <c r="R2430" s="53">
        <f>IFERROR(VLOOKUP(B2430,'Pre-Summary'!$BG$6:$BM$44,7,FALSE),R2431)</f>
        <v>0.10033855833824304</v>
      </c>
      <c r="S2430" s="53">
        <f>IFERROR(VLOOKUP(B2430,'Pre-Summary'!$BG$6:$BM$44,6,FALSE),S2431)</f>
        <v>9.2355104881156017E-2</v>
      </c>
      <c r="T2430" s="45" t="str">
        <f>IFERROR(VLOOKUP(B2430,'Pre-Summary'!$Y$6:$AC$83, 3,FALSE),"")</f>
        <v/>
      </c>
      <c r="U2430" s="45" t="str">
        <f>IFERROR(VLOOKUP(B2430,'Pre-Summary'!$Y$6:$AC$83, 4,FALSE),"")</f>
        <v/>
      </c>
      <c r="V2430" t="str">
        <f>IFERROR(VLOOKUP(B2430,'Pre-Summary'!$Y$6:$AC$83, 5,FALSE),"")</f>
        <v/>
      </c>
      <c r="W2430" s="45" t="str">
        <f>IFERROR(VLOOKUP(B2430,'Pre-Summary'!$Y$6:$AD$83,6,FALSE),"")</f>
        <v/>
      </c>
      <c r="X2430" t="str">
        <f>IFERROR(VLOOKUP('Pre-Summary'!$DB$6:$DD$63,3,FALSE),"")</f>
        <v/>
      </c>
      <c r="Y2430" t="str">
        <f>IFERROR(VLOOKUP(B2430,'Pre-Summary'!$CR$6:$CT$36,3,FALSE),"")</f>
        <v/>
      </c>
      <c r="Z2430" s="45" t="str">
        <f>IFERROR(VLOOKUP(B2430,'Pre-Summary'!$BZ$6:$CB$63,2,FALSE),"")</f>
        <v/>
      </c>
      <c r="AA2430" s="45" t="str">
        <f>IFERROR(VLOOKUP(B2430,'Pre-Summary'!$CG$6:$CI$70,2,FALSE),"")</f>
        <v/>
      </c>
      <c r="AB2430" s="99">
        <f>IFERROR(VLOOKUP(B2430,'Pre-Summary'!$A$6:$P$178,9,FALSE),AB2431)</f>
        <v>0.37146051582655759</v>
      </c>
      <c r="AC2430" s="10">
        <f>IFERROR(VLOOKUP(Summary!B2430,'Pre-Summary'!$A$6:$P$184,5, FALSE)/100,AC2431)</f>
        <v>0.92695399999999994</v>
      </c>
      <c r="AD2430" s="10">
        <f>IFERROR(VLOOKUP(Summary!B2430,'Pre-Summary'!$A$6:$P$184,3, FALSE)/100,AD2431)</f>
        <v>6.3200000000000006E-2</v>
      </c>
      <c r="AE2430" s="10">
        <f>IFERROR(VLOOKUP(Summary!B2430,'Pre-Summary'!$A$6:$P$184,7, FALSE)/100,AE2431)</f>
        <v>9.8456666666666675E-3</v>
      </c>
      <c r="AF2430" s="99">
        <f t="shared" si="112"/>
        <v>2.3476304600238442E-2</v>
      </c>
      <c r="AG2430" s="99">
        <f t="shared" si="113"/>
        <v>3.6572764186563441E-3</v>
      </c>
      <c r="AH2430" s="10" t="str">
        <f>IFERROR(VLOOKUP(B2430,'Pre-Summary'!$AZ$6:$BE$65,3,FALSE),"")</f>
        <v/>
      </c>
      <c r="AI2430" s="10" t="str">
        <f>IFERROR(VLOOKUP(B2430,'Pre-Summary'!$AZ$6:$BE$65,5,FALSE),"")</f>
        <v/>
      </c>
      <c r="AJ2430" s="10" t="str">
        <f>IFERROR(VLOOKUP(B2430,'Pre-Summary'!$AZ$6:$BE$65,4,FALSE),"")</f>
        <v/>
      </c>
      <c r="AK2430" s="10" t="str">
        <f>IFERROR(VLOOKUP(B2430,'Pre-Summary'!$AZ$6:$BE$65,6,FALSE),"")</f>
        <v/>
      </c>
      <c r="AL2430" s="10" t="str">
        <f>IFERROR(VLOOKUP(B2430,'Pre-Summary'!$BG$6:$BL$44,3,FALSE),"")</f>
        <v/>
      </c>
      <c r="AM2430" s="10" t="str">
        <f>IFERROR(VLOOKUP(B2430,'Pre-Summary'!$BG$6:$BL$44,4,FALSE),"")</f>
        <v/>
      </c>
    </row>
    <row r="2431" spans="2:39" ht="15" customHeight="1" x14ac:dyDescent="0.3">
      <c r="B2431">
        <v>242.8</v>
      </c>
      <c r="C2431" t="str">
        <f>IFERROR(VLOOKUP(B2431,'Pre-Summary'!$DI$6:$DM$23,4,FALSE),"")</f>
        <v/>
      </c>
      <c r="D2431" s="10" t="str">
        <f>IFERROR(VLOOKUP(B2431,'Pre-Summary'!$AT$6:$AX$14,5,FALSE),D2430)</f>
        <v>Wolfe v3: went back to modified wolfe + EDTA and switched CuSO4 to CUCl2</v>
      </c>
      <c r="E2431" s="10" t="str">
        <f>IFERROR(VLOOKUP(B2431,'Pre-Summary'!$AT$6:$AX$15,4,FALSE),"")</f>
        <v/>
      </c>
      <c r="F2431">
        <f>IFERROR(VLOOKUP(B2431,'Pre-Summary'!$AL$6:$AQ$13,6,FALSE),F2430)</f>
        <v>5.9405263157894746E-2</v>
      </c>
      <c r="G2431" t="str">
        <f>IFERROR(VLOOKUP(B2431,'Pre-Summary'!$AE$6:$AJ$85,3,FALSE),"")</f>
        <v/>
      </c>
      <c r="H2431" t="str">
        <f>IFERROR(VLOOKUP(B2431,'Pre-Summary'!$AE$6:$AJ$85,4,FALSE),"")</f>
        <v/>
      </c>
      <c r="I2431" t="str">
        <f>IFERROR(VLOOKUP(B2431,'Pre-Summary'!$AE$6:$AJ$85,5,FALSE),"")</f>
        <v/>
      </c>
      <c r="J2431" s="45" t="str">
        <f>IFERROR(VLOOKUP(B2431,'Pre-Summary'!$AE$6:$AJ$85,6, FALSE),"")</f>
        <v/>
      </c>
      <c r="K2431" s="45" t="str">
        <f>IFERROR(VLOOKUP(B2431,'Pre-Summary'!$DE$6:$DG$61,3,FALSE),"")</f>
        <v/>
      </c>
      <c r="L2431" s="45" t="str">
        <f>IFERROR(VLOOKUP(B2431,'Pre-Summary'!$CU$6:$CW$36,3,FALSE),"")</f>
        <v/>
      </c>
      <c r="M2431" s="45" t="str">
        <f>IFERROR(VLOOKUP(B2431,'Pre-Summary'!$BW$6:$BY$58,2,FALSE),"")</f>
        <v/>
      </c>
      <c r="N2431" s="45" t="str">
        <f>IFERROR(VLOOKUP(B2431,'Pre-Summary'!$CD$6:$CF$64,2,FALSE),"")</f>
        <v/>
      </c>
      <c r="O2431" s="99">
        <f>IFERROR(VLOOKUP(B2431,'Pre-Summary'!$BO$6:$BQ$48,3, FALSE),O2430)</f>
        <v>1.508</v>
      </c>
      <c r="P2431" s="99">
        <f>IFERROR(VLOOKUP(B2431,'Pre-Summary'!$BS$6:$BU$35,3,FALSE),P2430)</f>
        <v>0.4</v>
      </c>
      <c r="Q2431" s="54">
        <f t="shared" si="111"/>
        <v>3.77</v>
      </c>
      <c r="R2431" s="53">
        <f>IFERROR(VLOOKUP(B2431,'Pre-Summary'!$BG$6:$BM$44,7,FALSE),R2432)</f>
        <v>0.10033855833824304</v>
      </c>
      <c r="S2431" s="53">
        <f>IFERROR(VLOOKUP(B2431,'Pre-Summary'!$BG$6:$BM$44,6,FALSE),S2432)</f>
        <v>9.2355104881156017E-2</v>
      </c>
      <c r="T2431" s="45" t="str">
        <f>IFERROR(VLOOKUP(B2431,'Pre-Summary'!$Y$6:$AC$83, 3,FALSE),"")</f>
        <v/>
      </c>
      <c r="U2431" s="45" t="str">
        <f>IFERROR(VLOOKUP(B2431,'Pre-Summary'!$Y$6:$AC$83, 4,FALSE),"")</f>
        <v/>
      </c>
      <c r="V2431" t="str">
        <f>IFERROR(VLOOKUP(B2431,'Pre-Summary'!$Y$6:$AC$83, 5,FALSE),"")</f>
        <v/>
      </c>
      <c r="W2431" s="45" t="str">
        <f>IFERROR(VLOOKUP(B2431,'Pre-Summary'!$Y$6:$AD$83,6,FALSE),"")</f>
        <v/>
      </c>
      <c r="X2431" t="str">
        <f>IFERROR(VLOOKUP('Pre-Summary'!$DB$6:$DD$63,3,FALSE),"")</f>
        <v/>
      </c>
      <c r="Y2431" t="str">
        <f>IFERROR(VLOOKUP(B2431,'Pre-Summary'!$CR$6:$CT$36,3,FALSE),"")</f>
        <v/>
      </c>
      <c r="Z2431" s="45" t="str">
        <f>IFERROR(VLOOKUP(B2431,'Pre-Summary'!$BZ$6:$CB$63,2,FALSE),"")</f>
        <v/>
      </c>
      <c r="AA2431" s="45" t="str">
        <f>IFERROR(VLOOKUP(B2431,'Pre-Summary'!$CG$6:$CI$70,2,FALSE),"")</f>
        <v/>
      </c>
      <c r="AB2431" s="99">
        <f>IFERROR(VLOOKUP(B2431,'Pre-Summary'!$A$6:$P$178,9,FALSE),AB2432)</f>
        <v>0.37146051582655759</v>
      </c>
      <c r="AC2431" s="10">
        <f>IFERROR(VLOOKUP(Summary!B2431,'Pre-Summary'!$A$6:$P$184,5, FALSE)/100,AC2432)</f>
        <v>0.92695399999999994</v>
      </c>
      <c r="AD2431" s="10">
        <f>IFERROR(VLOOKUP(Summary!B2431,'Pre-Summary'!$A$6:$P$184,3, FALSE)/100,AD2432)</f>
        <v>6.3200000000000006E-2</v>
      </c>
      <c r="AE2431" s="10">
        <f>IFERROR(VLOOKUP(Summary!B2431,'Pre-Summary'!$A$6:$P$184,7, FALSE)/100,AE2432)</f>
        <v>9.8456666666666675E-3</v>
      </c>
      <c r="AF2431" s="99">
        <f t="shared" si="112"/>
        <v>2.3476304600238442E-2</v>
      </c>
      <c r="AG2431" s="99">
        <f t="shared" si="113"/>
        <v>3.6572764186563441E-3</v>
      </c>
      <c r="AH2431" s="10" t="str">
        <f>IFERROR(VLOOKUP(B2431,'Pre-Summary'!$AZ$6:$BE$65,3,FALSE),"")</f>
        <v/>
      </c>
      <c r="AI2431" s="10" t="str">
        <f>IFERROR(VLOOKUP(B2431,'Pre-Summary'!$AZ$6:$BE$65,5,FALSE),"")</f>
        <v/>
      </c>
      <c r="AJ2431" s="10" t="str">
        <f>IFERROR(VLOOKUP(B2431,'Pre-Summary'!$AZ$6:$BE$65,4,FALSE),"")</f>
        <v/>
      </c>
      <c r="AK2431" s="10" t="str">
        <f>IFERROR(VLOOKUP(B2431,'Pre-Summary'!$AZ$6:$BE$65,6,FALSE),"")</f>
        <v/>
      </c>
      <c r="AL2431" s="10" t="str">
        <f>IFERROR(VLOOKUP(B2431,'Pre-Summary'!$BG$6:$BL$44,3,FALSE),"")</f>
        <v/>
      </c>
      <c r="AM2431" s="10" t="str">
        <f>IFERROR(VLOOKUP(B2431,'Pre-Summary'!$BG$6:$BL$44,4,FALSE),"")</f>
        <v/>
      </c>
    </row>
    <row r="2432" spans="2:39" ht="15" customHeight="1" x14ac:dyDescent="0.3">
      <c r="B2432">
        <v>242.9</v>
      </c>
      <c r="C2432" t="str">
        <f>IFERROR(VLOOKUP(B2432,'Pre-Summary'!$DI$6:$DM$23,4,FALSE),"")</f>
        <v/>
      </c>
      <c r="D2432" s="10" t="str">
        <f>IFERROR(VLOOKUP(B2432,'Pre-Summary'!$AT$6:$AX$14,5,FALSE),D2431)</f>
        <v>Wolfe v3: went back to modified wolfe + EDTA and switched CuSO4 to CUCl2</v>
      </c>
      <c r="E2432" s="10" t="str">
        <f>IFERROR(VLOOKUP(B2432,'Pre-Summary'!$AT$6:$AX$15,4,FALSE),"")</f>
        <v/>
      </c>
      <c r="F2432">
        <f>IFERROR(VLOOKUP(B2432,'Pre-Summary'!$AL$6:$AQ$13,6,FALSE),F2431)</f>
        <v>5.9405263157894746E-2</v>
      </c>
      <c r="G2432" t="str">
        <f>IFERROR(VLOOKUP(B2432,'Pre-Summary'!$AE$6:$AJ$85,3,FALSE),"")</f>
        <v/>
      </c>
      <c r="H2432" t="str">
        <f>IFERROR(VLOOKUP(B2432,'Pre-Summary'!$AE$6:$AJ$85,4,FALSE),"")</f>
        <v/>
      </c>
      <c r="I2432" t="str">
        <f>IFERROR(VLOOKUP(B2432,'Pre-Summary'!$AE$6:$AJ$85,5,FALSE),"")</f>
        <v/>
      </c>
      <c r="J2432" s="45" t="str">
        <f>IFERROR(VLOOKUP(B2432,'Pre-Summary'!$AE$6:$AJ$85,6, FALSE),"")</f>
        <v/>
      </c>
      <c r="K2432" s="45" t="str">
        <f>IFERROR(VLOOKUP(B2432,'Pre-Summary'!$DE$6:$DG$61,3,FALSE),"")</f>
        <v/>
      </c>
      <c r="L2432" s="45" t="str">
        <f>IFERROR(VLOOKUP(B2432,'Pre-Summary'!$CU$6:$CW$36,3,FALSE),"")</f>
        <v/>
      </c>
      <c r="M2432" s="45" t="str">
        <f>IFERROR(VLOOKUP(B2432,'Pre-Summary'!$BW$6:$BY$58,2,FALSE),"")</f>
        <v/>
      </c>
      <c r="N2432" s="45" t="str">
        <f>IFERROR(VLOOKUP(B2432,'Pre-Summary'!$CD$6:$CF$64,2,FALSE),"")</f>
        <v/>
      </c>
      <c r="O2432" s="99">
        <f>IFERROR(VLOOKUP(B2432,'Pre-Summary'!$BO$6:$BQ$48,3, FALSE),O2431)</f>
        <v>1.508</v>
      </c>
      <c r="P2432" s="99">
        <f>IFERROR(VLOOKUP(B2432,'Pre-Summary'!$BS$6:$BU$35,3,FALSE),P2431)</f>
        <v>0.4</v>
      </c>
      <c r="Q2432" s="54">
        <f t="shared" si="111"/>
        <v>3.77</v>
      </c>
      <c r="R2432" s="53">
        <f>IFERROR(VLOOKUP(B2432,'Pre-Summary'!$BG$6:$BM$44,7,FALSE),R2433)</f>
        <v>0.10033855833824304</v>
      </c>
      <c r="S2432" s="53">
        <f>IFERROR(VLOOKUP(B2432,'Pre-Summary'!$BG$6:$BM$44,6,FALSE),S2433)</f>
        <v>9.2355104881156017E-2</v>
      </c>
      <c r="T2432" s="45" t="str">
        <f>IFERROR(VLOOKUP(B2432,'Pre-Summary'!$Y$6:$AC$83, 3,FALSE),"")</f>
        <v/>
      </c>
      <c r="U2432" s="45" t="str">
        <f>IFERROR(VLOOKUP(B2432,'Pre-Summary'!$Y$6:$AC$83, 4,FALSE),"")</f>
        <v/>
      </c>
      <c r="V2432" t="str">
        <f>IFERROR(VLOOKUP(B2432,'Pre-Summary'!$Y$6:$AC$83, 5,FALSE),"")</f>
        <v/>
      </c>
      <c r="W2432" s="45" t="str">
        <f>IFERROR(VLOOKUP(B2432,'Pre-Summary'!$Y$6:$AD$83,6,FALSE),"")</f>
        <v/>
      </c>
      <c r="X2432" t="str">
        <f>IFERROR(VLOOKUP('Pre-Summary'!$DB$6:$DD$63,3,FALSE),"")</f>
        <v/>
      </c>
      <c r="Y2432" t="str">
        <f>IFERROR(VLOOKUP(B2432,'Pre-Summary'!$CR$6:$CT$36,3,FALSE),"")</f>
        <v/>
      </c>
      <c r="Z2432" s="45" t="str">
        <f>IFERROR(VLOOKUP(B2432,'Pre-Summary'!$BZ$6:$CB$63,2,FALSE),"")</f>
        <v/>
      </c>
      <c r="AA2432" s="45" t="str">
        <f>IFERROR(VLOOKUP(B2432,'Pre-Summary'!$CG$6:$CI$70,2,FALSE),"")</f>
        <v/>
      </c>
      <c r="AB2432" s="99">
        <f>IFERROR(VLOOKUP(B2432,'Pre-Summary'!$A$6:$P$178,9,FALSE),AB2433)</f>
        <v>0.37146051582655759</v>
      </c>
      <c r="AC2432" s="10">
        <f>IFERROR(VLOOKUP(Summary!B2432,'Pre-Summary'!$A$6:$P$184,5, FALSE)/100,AC2433)</f>
        <v>0.92695399999999994</v>
      </c>
      <c r="AD2432" s="10">
        <f>IFERROR(VLOOKUP(Summary!B2432,'Pre-Summary'!$A$6:$P$184,3, FALSE)/100,AD2433)</f>
        <v>6.3200000000000006E-2</v>
      </c>
      <c r="AE2432" s="10">
        <f>IFERROR(VLOOKUP(Summary!B2432,'Pre-Summary'!$A$6:$P$184,7, FALSE)/100,AE2433)</f>
        <v>9.8456666666666675E-3</v>
      </c>
      <c r="AF2432" s="99">
        <f t="shared" si="112"/>
        <v>2.3476304600238442E-2</v>
      </c>
      <c r="AG2432" s="99">
        <f t="shared" si="113"/>
        <v>3.6572764186563441E-3</v>
      </c>
      <c r="AH2432" s="10" t="str">
        <f>IFERROR(VLOOKUP(B2432,'Pre-Summary'!$AZ$6:$BE$65,3,FALSE),"")</f>
        <v/>
      </c>
      <c r="AI2432" s="10" t="str">
        <f>IFERROR(VLOOKUP(B2432,'Pre-Summary'!$AZ$6:$BE$65,5,FALSE),"")</f>
        <v/>
      </c>
      <c r="AJ2432" s="10" t="str">
        <f>IFERROR(VLOOKUP(B2432,'Pre-Summary'!$AZ$6:$BE$65,4,FALSE),"")</f>
        <v/>
      </c>
      <c r="AK2432" s="10" t="str">
        <f>IFERROR(VLOOKUP(B2432,'Pre-Summary'!$AZ$6:$BE$65,6,FALSE),"")</f>
        <v/>
      </c>
      <c r="AL2432" s="10" t="str">
        <f>IFERROR(VLOOKUP(B2432,'Pre-Summary'!$BG$6:$BL$44,3,FALSE),"")</f>
        <v/>
      </c>
      <c r="AM2432" s="10" t="str">
        <f>IFERROR(VLOOKUP(B2432,'Pre-Summary'!$BG$6:$BL$44,4,FALSE),"")</f>
        <v/>
      </c>
    </row>
    <row r="2433" spans="2:39" ht="15" customHeight="1" x14ac:dyDescent="0.3">
      <c r="B2433">
        <v>243</v>
      </c>
      <c r="C2433" t="str">
        <f>IFERROR(VLOOKUP(B2433,'Pre-Summary'!$DI$6:$DM$23,4,FALSE),"")</f>
        <v/>
      </c>
      <c r="D2433" s="10" t="str">
        <f>IFERROR(VLOOKUP(B2433,'Pre-Summary'!$AT$6:$AX$14,5,FALSE),D2432)</f>
        <v>Wolfe v3: went back to modified wolfe + EDTA and switched CuSO4 to CUCl2</v>
      </c>
      <c r="E2433" s="10" t="str">
        <f>IFERROR(VLOOKUP(B2433,'Pre-Summary'!$AT$6:$AX$15,4,FALSE),"")</f>
        <v/>
      </c>
      <c r="F2433">
        <f>IFERROR(VLOOKUP(B2433,'Pre-Summary'!$AL$6:$AQ$13,6,FALSE),F2432)</f>
        <v>5.9405263157894746E-2</v>
      </c>
      <c r="G2433" t="str">
        <f>IFERROR(VLOOKUP(B2433,'Pre-Summary'!$AE$6:$AJ$85,3,FALSE),"")</f>
        <v/>
      </c>
      <c r="H2433" t="str">
        <f>IFERROR(VLOOKUP(B2433,'Pre-Summary'!$AE$6:$AJ$85,4,FALSE),"")</f>
        <v/>
      </c>
      <c r="I2433" t="str">
        <f>IFERROR(VLOOKUP(B2433,'Pre-Summary'!$AE$6:$AJ$85,5,FALSE),"")</f>
        <v/>
      </c>
      <c r="J2433" s="45" t="str">
        <f>IFERROR(VLOOKUP(B2433,'Pre-Summary'!$AE$6:$AJ$85,6, FALSE),"")</f>
        <v/>
      </c>
      <c r="K2433" s="45" t="str">
        <f>IFERROR(VLOOKUP(B2433,'Pre-Summary'!$DE$6:$DG$61,3,FALSE),"")</f>
        <v/>
      </c>
      <c r="L2433" s="45" t="str">
        <f>IFERROR(VLOOKUP(B2433,'Pre-Summary'!$CU$6:$CW$36,3,FALSE),"")</f>
        <v/>
      </c>
      <c r="M2433" s="45" t="str">
        <f>IFERROR(VLOOKUP(B2433,'Pre-Summary'!$BW$6:$BY$58,2,FALSE),"")</f>
        <v/>
      </c>
      <c r="N2433" s="45" t="str">
        <f>IFERROR(VLOOKUP(B2433,'Pre-Summary'!$CD$6:$CF$64,2,FALSE),"")</f>
        <v/>
      </c>
      <c r="O2433" s="99">
        <f>IFERROR(VLOOKUP(B2433,'Pre-Summary'!$BO$6:$BQ$48,3, FALSE),O2432)</f>
        <v>1.508</v>
      </c>
      <c r="P2433" s="99">
        <f>IFERROR(VLOOKUP(B2433,'Pre-Summary'!$BS$6:$BU$35,3,FALSE),P2432)</f>
        <v>0.4</v>
      </c>
      <c r="Q2433" s="54">
        <f t="shared" si="111"/>
        <v>3.77</v>
      </c>
      <c r="R2433" s="53">
        <f>IFERROR(VLOOKUP(B2433,'Pre-Summary'!$BG$6:$BM$44,7,FALSE),R2434)</f>
        <v>0.10033855833824304</v>
      </c>
      <c r="S2433" s="53">
        <f>IFERROR(VLOOKUP(B2433,'Pre-Summary'!$BG$6:$BM$44,6,FALSE),S2434)</f>
        <v>9.2355104881156017E-2</v>
      </c>
      <c r="T2433" s="45" t="str">
        <f>IFERROR(VLOOKUP(B2433,'Pre-Summary'!$Y$6:$AC$83, 3,FALSE),"")</f>
        <v/>
      </c>
      <c r="U2433" s="45" t="str">
        <f>IFERROR(VLOOKUP(B2433,'Pre-Summary'!$Y$6:$AC$83, 4,FALSE),"")</f>
        <v/>
      </c>
      <c r="V2433" t="str">
        <f>IFERROR(VLOOKUP(B2433,'Pre-Summary'!$Y$6:$AC$83, 5,FALSE),"")</f>
        <v/>
      </c>
      <c r="W2433" s="45" t="str">
        <f>IFERROR(VLOOKUP(B2433,'Pre-Summary'!$Y$6:$AD$83,6,FALSE),"")</f>
        <v/>
      </c>
      <c r="X2433" t="str">
        <f>IFERROR(VLOOKUP('Pre-Summary'!$DB$6:$DD$63,3,FALSE),"")</f>
        <v/>
      </c>
      <c r="Y2433" t="str">
        <f>IFERROR(VLOOKUP(B2433,'Pre-Summary'!$CR$6:$CT$36,3,FALSE),"")</f>
        <v/>
      </c>
      <c r="Z2433" s="45" t="str">
        <f>IFERROR(VLOOKUP(B2433,'Pre-Summary'!$BZ$6:$CB$63,2,FALSE),"")</f>
        <v/>
      </c>
      <c r="AA2433" s="45" t="str">
        <f>IFERROR(VLOOKUP(B2433,'Pre-Summary'!$CG$6:$CI$70,2,FALSE),"")</f>
        <v/>
      </c>
      <c r="AB2433" s="99">
        <f>IFERROR(VLOOKUP(B2433,'Pre-Summary'!$A$6:$P$178,9,FALSE),AB2434)</f>
        <v>0.37146051582655759</v>
      </c>
      <c r="AC2433" s="10">
        <f>IFERROR(VLOOKUP(Summary!B2433,'Pre-Summary'!$A$6:$P$184,5, FALSE)/100,AC2434)</f>
        <v>0.92695399999999994</v>
      </c>
      <c r="AD2433" s="10">
        <f>IFERROR(VLOOKUP(Summary!B2433,'Pre-Summary'!$A$6:$P$184,3, FALSE)/100,AD2434)</f>
        <v>6.3200000000000006E-2</v>
      </c>
      <c r="AE2433" s="10">
        <f>IFERROR(VLOOKUP(Summary!B2433,'Pre-Summary'!$A$6:$P$184,7, FALSE)/100,AE2434)</f>
        <v>9.8456666666666675E-3</v>
      </c>
      <c r="AF2433" s="99">
        <f t="shared" si="112"/>
        <v>2.3476304600238442E-2</v>
      </c>
      <c r="AG2433" s="99">
        <f t="shared" si="113"/>
        <v>3.6572764186563441E-3</v>
      </c>
      <c r="AH2433" s="10" t="str">
        <f>IFERROR(VLOOKUP(B2433,'Pre-Summary'!$AZ$6:$BE$65,3,FALSE),"")</f>
        <v/>
      </c>
      <c r="AI2433" s="10" t="str">
        <f>IFERROR(VLOOKUP(B2433,'Pre-Summary'!$AZ$6:$BE$65,5,FALSE),"")</f>
        <v/>
      </c>
      <c r="AJ2433" s="10" t="str">
        <f>IFERROR(VLOOKUP(B2433,'Pre-Summary'!$AZ$6:$BE$65,4,FALSE),"")</f>
        <v/>
      </c>
      <c r="AK2433" s="10" t="str">
        <f>IFERROR(VLOOKUP(B2433,'Pre-Summary'!$AZ$6:$BE$65,6,FALSE),"")</f>
        <v/>
      </c>
      <c r="AL2433" s="10" t="str">
        <f>IFERROR(VLOOKUP(B2433,'Pre-Summary'!$BG$6:$BL$44,3,FALSE),"")</f>
        <v/>
      </c>
      <c r="AM2433" s="10" t="str">
        <f>IFERROR(VLOOKUP(B2433,'Pre-Summary'!$BG$6:$BL$44,4,FALSE),"")</f>
        <v/>
      </c>
    </row>
    <row r="2434" spans="2:39" ht="15" customHeight="1" x14ac:dyDescent="0.3">
      <c r="B2434">
        <v>243.1</v>
      </c>
      <c r="C2434" t="str">
        <f>IFERROR(VLOOKUP(B2434,'Pre-Summary'!$DI$6:$DM$23,4,FALSE),"")</f>
        <v/>
      </c>
      <c r="D2434" s="10" t="str">
        <f>IFERROR(VLOOKUP(B2434,'Pre-Summary'!$AT$6:$AX$14,5,FALSE),D2433)</f>
        <v>Wolfe v3: went back to modified wolfe + EDTA and switched CuSO4 to CUCl2</v>
      </c>
      <c r="E2434" s="10" t="str">
        <f>IFERROR(VLOOKUP(B2434,'Pre-Summary'!$AT$6:$AX$15,4,FALSE),"")</f>
        <v/>
      </c>
      <c r="F2434">
        <f>IFERROR(VLOOKUP(B2434,'Pre-Summary'!$AL$6:$AQ$13,6,FALSE),F2433)</f>
        <v>5.9405263157894746E-2</v>
      </c>
      <c r="G2434" t="str">
        <f>IFERROR(VLOOKUP(B2434,'Pre-Summary'!$AE$6:$AJ$85,3,FALSE),"")</f>
        <v/>
      </c>
      <c r="H2434" t="str">
        <f>IFERROR(VLOOKUP(B2434,'Pre-Summary'!$AE$6:$AJ$85,4,FALSE),"")</f>
        <v/>
      </c>
      <c r="I2434" t="str">
        <f>IFERROR(VLOOKUP(B2434,'Pre-Summary'!$AE$6:$AJ$85,5,FALSE),"")</f>
        <v/>
      </c>
      <c r="J2434" s="45" t="str">
        <f>IFERROR(VLOOKUP(B2434,'Pre-Summary'!$AE$6:$AJ$85,6, FALSE),"")</f>
        <v/>
      </c>
      <c r="K2434" s="45" t="str">
        <f>IFERROR(VLOOKUP(B2434,'Pre-Summary'!$DE$6:$DG$61,3,FALSE),"")</f>
        <v/>
      </c>
      <c r="L2434" s="45" t="str">
        <f>IFERROR(VLOOKUP(B2434,'Pre-Summary'!$CU$6:$CW$36,3,FALSE),"")</f>
        <v/>
      </c>
      <c r="M2434" s="45" t="str">
        <f>IFERROR(VLOOKUP(B2434,'Pre-Summary'!$BW$6:$BY$58,2,FALSE),"")</f>
        <v/>
      </c>
      <c r="N2434" s="45" t="str">
        <f>IFERROR(VLOOKUP(B2434,'Pre-Summary'!$CD$6:$CF$64,2,FALSE),"")</f>
        <v/>
      </c>
      <c r="O2434" s="99">
        <f>IFERROR(VLOOKUP(B2434,'Pre-Summary'!$BO$6:$BQ$48,3, FALSE),O2433)</f>
        <v>1.508</v>
      </c>
      <c r="P2434" s="99">
        <f>IFERROR(VLOOKUP(B2434,'Pre-Summary'!$BS$6:$BU$35,3,FALSE),P2433)</f>
        <v>0.4</v>
      </c>
      <c r="Q2434" s="54">
        <f t="shared" si="111"/>
        <v>3.77</v>
      </c>
      <c r="R2434" s="53">
        <f>IFERROR(VLOOKUP(B2434,'Pre-Summary'!$BG$6:$BM$44,7,FALSE),R2435)</f>
        <v>0.10033855833824304</v>
      </c>
      <c r="S2434" s="53">
        <f>IFERROR(VLOOKUP(B2434,'Pre-Summary'!$BG$6:$BM$44,6,FALSE),S2435)</f>
        <v>9.2355104881156017E-2</v>
      </c>
      <c r="T2434" s="45" t="str">
        <f>IFERROR(VLOOKUP(B2434,'Pre-Summary'!$Y$6:$AC$83, 3,FALSE),"")</f>
        <v/>
      </c>
      <c r="U2434" s="45" t="str">
        <f>IFERROR(VLOOKUP(B2434,'Pre-Summary'!$Y$6:$AC$83, 4,FALSE),"")</f>
        <v/>
      </c>
      <c r="V2434" t="str">
        <f>IFERROR(VLOOKUP(B2434,'Pre-Summary'!$Y$6:$AC$83, 5,FALSE),"")</f>
        <v/>
      </c>
      <c r="W2434" s="45" t="str">
        <f>IFERROR(VLOOKUP(B2434,'Pre-Summary'!$Y$6:$AD$83,6,FALSE),"")</f>
        <v/>
      </c>
      <c r="X2434" t="str">
        <f>IFERROR(VLOOKUP('Pre-Summary'!$DB$6:$DD$63,3,FALSE),"")</f>
        <v/>
      </c>
      <c r="Y2434" t="str">
        <f>IFERROR(VLOOKUP(B2434,'Pre-Summary'!$CR$6:$CT$36,3,FALSE),"")</f>
        <v/>
      </c>
      <c r="Z2434" s="45" t="str">
        <f>IFERROR(VLOOKUP(B2434,'Pre-Summary'!$BZ$6:$CB$63,2,FALSE),"")</f>
        <v/>
      </c>
      <c r="AA2434" s="45" t="str">
        <f>IFERROR(VLOOKUP(B2434,'Pre-Summary'!$CG$6:$CI$70,2,FALSE),"")</f>
        <v/>
      </c>
      <c r="AB2434" s="99">
        <f>IFERROR(VLOOKUP(B2434,'Pre-Summary'!$A$6:$P$178,9,FALSE),AB2435)</f>
        <v>0.37146051582655759</v>
      </c>
      <c r="AC2434" s="10">
        <f>IFERROR(VLOOKUP(Summary!B2434,'Pre-Summary'!$A$6:$P$184,5, FALSE)/100,AC2435)</f>
        <v>0.92695399999999994</v>
      </c>
      <c r="AD2434" s="10">
        <f>IFERROR(VLOOKUP(Summary!B2434,'Pre-Summary'!$A$6:$P$184,3, FALSE)/100,AD2435)</f>
        <v>6.3200000000000006E-2</v>
      </c>
      <c r="AE2434" s="10">
        <f>IFERROR(VLOOKUP(Summary!B2434,'Pre-Summary'!$A$6:$P$184,7, FALSE)/100,AE2435)</f>
        <v>9.8456666666666675E-3</v>
      </c>
      <c r="AF2434" s="99">
        <f t="shared" si="112"/>
        <v>2.3476304600238442E-2</v>
      </c>
      <c r="AG2434" s="99">
        <f t="shared" si="113"/>
        <v>3.6572764186563441E-3</v>
      </c>
      <c r="AH2434" s="10" t="str">
        <f>IFERROR(VLOOKUP(B2434,'Pre-Summary'!$AZ$6:$BE$65,3,FALSE),"")</f>
        <v/>
      </c>
      <c r="AI2434" s="10" t="str">
        <f>IFERROR(VLOOKUP(B2434,'Pre-Summary'!$AZ$6:$BE$65,5,FALSE),"")</f>
        <v/>
      </c>
      <c r="AJ2434" s="10" t="str">
        <f>IFERROR(VLOOKUP(B2434,'Pre-Summary'!$AZ$6:$BE$65,4,FALSE),"")</f>
        <v/>
      </c>
      <c r="AK2434" s="10" t="str">
        <f>IFERROR(VLOOKUP(B2434,'Pre-Summary'!$AZ$6:$BE$65,6,FALSE),"")</f>
        <v/>
      </c>
      <c r="AL2434" s="10" t="str">
        <f>IFERROR(VLOOKUP(B2434,'Pre-Summary'!$BG$6:$BL$44,3,FALSE),"")</f>
        <v/>
      </c>
      <c r="AM2434" s="10" t="str">
        <f>IFERROR(VLOOKUP(B2434,'Pre-Summary'!$BG$6:$BL$44,4,FALSE),"")</f>
        <v/>
      </c>
    </row>
    <row r="2435" spans="2:39" ht="15" customHeight="1" x14ac:dyDescent="0.3">
      <c r="B2435">
        <v>243.2</v>
      </c>
      <c r="C2435" t="str">
        <f>IFERROR(VLOOKUP(B2435,'Pre-Summary'!$DI$6:$DM$23,4,FALSE),"")</f>
        <v/>
      </c>
      <c r="D2435" s="10" t="str">
        <f>IFERROR(VLOOKUP(B2435,'Pre-Summary'!$AT$6:$AX$14,5,FALSE),D2434)</f>
        <v>Wolfe v3: went back to modified wolfe + EDTA and switched CuSO4 to CUCl2</v>
      </c>
      <c r="E2435" s="10" t="str">
        <f>IFERROR(VLOOKUP(B2435,'Pre-Summary'!$AT$6:$AX$15,4,FALSE),"")</f>
        <v/>
      </c>
      <c r="F2435">
        <f>IFERROR(VLOOKUP(B2435,'Pre-Summary'!$AL$6:$AQ$13,6,FALSE),F2434)</f>
        <v>5.9405263157894746E-2</v>
      </c>
      <c r="G2435" t="str">
        <f>IFERROR(VLOOKUP(B2435,'Pre-Summary'!$AE$6:$AJ$85,3,FALSE),"")</f>
        <v/>
      </c>
      <c r="H2435" t="str">
        <f>IFERROR(VLOOKUP(B2435,'Pre-Summary'!$AE$6:$AJ$85,4,FALSE),"")</f>
        <v/>
      </c>
      <c r="I2435" t="str">
        <f>IFERROR(VLOOKUP(B2435,'Pre-Summary'!$AE$6:$AJ$85,5,FALSE),"")</f>
        <v/>
      </c>
      <c r="J2435" s="45" t="str">
        <f>IFERROR(VLOOKUP(B2435,'Pre-Summary'!$AE$6:$AJ$85,6, FALSE),"")</f>
        <v/>
      </c>
      <c r="K2435" s="45" t="str">
        <f>IFERROR(VLOOKUP(B2435,'Pre-Summary'!$DE$6:$DG$61,3,FALSE),"")</f>
        <v/>
      </c>
      <c r="L2435" s="45" t="str">
        <f>IFERROR(VLOOKUP(B2435,'Pre-Summary'!$CU$6:$CW$36,3,FALSE),"")</f>
        <v/>
      </c>
      <c r="M2435" s="45" t="str">
        <f>IFERROR(VLOOKUP(B2435,'Pre-Summary'!$BW$6:$BY$58,2,FALSE),"")</f>
        <v/>
      </c>
      <c r="N2435" s="45" t="str">
        <f>IFERROR(VLOOKUP(B2435,'Pre-Summary'!$CD$6:$CF$64,2,FALSE),"")</f>
        <v/>
      </c>
      <c r="O2435" s="99">
        <f>IFERROR(VLOOKUP(B2435,'Pre-Summary'!$BO$6:$BQ$48,3, FALSE),O2434)</f>
        <v>1.508</v>
      </c>
      <c r="P2435" s="99">
        <f>IFERROR(VLOOKUP(B2435,'Pre-Summary'!$BS$6:$BU$35,3,FALSE),P2434)</f>
        <v>0.4</v>
      </c>
      <c r="Q2435" s="54">
        <f t="shared" ref="Q2435:Q2498" si="114">O2435/P2435</f>
        <v>3.77</v>
      </c>
      <c r="R2435" s="53">
        <f>IFERROR(VLOOKUP(B2435,'Pre-Summary'!$BG$6:$BM$44,7,FALSE),R2436)</f>
        <v>0.10033855833824304</v>
      </c>
      <c r="S2435" s="53">
        <f>IFERROR(VLOOKUP(B2435,'Pre-Summary'!$BG$6:$BM$44,6,FALSE),S2436)</f>
        <v>9.2355104881156017E-2</v>
      </c>
      <c r="T2435" s="45" t="str">
        <f>IFERROR(VLOOKUP(B2435,'Pre-Summary'!$Y$6:$AC$83, 3,FALSE),"")</f>
        <v/>
      </c>
      <c r="U2435" s="45" t="str">
        <f>IFERROR(VLOOKUP(B2435,'Pre-Summary'!$Y$6:$AC$83, 4,FALSE),"")</f>
        <v/>
      </c>
      <c r="V2435" t="str">
        <f>IFERROR(VLOOKUP(B2435,'Pre-Summary'!$Y$6:$AC$83, 5,FALSE),"")</f>
        <v/>
      </c>
      <c r="W2435" s="45" t="str">
        <f>IFERROR(VLOOKUP(B2435,'Pre-Summary'!$Y$6:$AD$83,6,FALSE),"")</f>
        <v/>
      </c>
      <c r="X2435" t="str">
        <f>IFERROR(VLOOKUP('Pre-Summary'!$DB$6:$DD$63,3,FALSE),"")</f>
        <v/>
      </c>
      <c r="Y2435" t="str">
        <f>IFERROR(VLOOKUP(B2435,'Pre-Summary'!$CR$6:$CT$36,3,FALSE),"")</f>
        <v/>
      </c>
      <c r="Z2435" s="45" t="str">
        <f>IFERROR(VLOOKUP(B2435,'Pre-Summary'!$BZ$6:$CB$63,2,FALSE),"")</f>
        <v/>
      </c>
      <c r="AA2435" s="45" t="str">
        <f>IFERROR(VLOOKUP(B2435,'Pre-Summary'!$CG$6:$CI$70,2,FALSE),"")</f>
        <v/>
      </c>
      <c r="AB2435" s="99">
        <f>IFERROR(VLOOKUP(B2435,'Pre-Summary'!$A$6:$P$178,9,FALSE),AB2436)</f>
        <v>0.37146051582655759</v>
      </c>
      <c r="AC2435" s="10">
        <f>IFERROR(VLOOKUP(Summary!B2435,'Pre-Summary'!$A$6:$P$184,5, FALSE)/100,AC2436)</f>
        <v>0.92695399999999994</v>
      </c>
      <c r="AD2435" s="10">
        <f>IFERROR(VLOOKUP(Summary!B2435,'Pre-Summary'!$A$6:$P$184,3, FALSE)/100,AD2436)</f>
        <v>6.3200000000000006E-2</v>
      </c>
      <c r="AE2435" s="10">
        <f>IFERROR(VLOOKUP(Summary!B2435,'Pre-Summary'!$A$6:$P$184,7, FALSE)/100,AE2436)</f>
        <v>9.8456666666666675E-3</v>
      </c>
      <c r="AF2435" s="99">
        <f t="shared" ref="AF2435:AF2498" si="115">AD2435*AB2435</f>
        <v>2.3476304600238442E-2</v>
      </c>
      <c r="AG2435" s="99">
        <f t="shared" ref="AG2435:AG2498" si="116">AB2435*AE2435</f>
        <v>3.6572764186563441E-3</v>
      </c>
      <c r="AH2435" s="10" t="str">
        <f>IFERROR(VLOOKUP(B2435,'Pre-Summary'!$AZ$6:$BE$65,3,FALSE),"")</f>
        <v/>
      </c>
      <c r="AI2435" s="10" t="str">
        <f>IFERROR(VLOOKUP(B2435,'Pre-Summary'!$AZ$6:$BE$65,5,FALSE),"")</f>
        <v/>
      </c>
      <c r="AJ2435" s="10" t="str">
        <f>IFERROR(VLOOKUP(B2435,'Pre-Summary'!$AZ$6:$BE$65,4,FALSE),"")</f>
        <v/>
      </c>
      <c r="AK2435" s="10" t="str">
        <f>IFERROR(VLOOKUP(B2435,'Pre-Summary'!$AZ$6:$BE$65,6,FALSE),"")</f>
        <v/>
      </c>
      <c r="AL2435" s="10" t="str">
        <f>IFERROR(VLOOKUP(B2435,'Pre-Summary'!$BG$6:$BL$44,3,FALSE),"")</f>
        <v/>
      </c>
      <c r="AM2435" s="10" t="str">
        <f>IFERROR(VLOOKUP(B2435,'Pre-Summary'!$BG$6:$BL$44,4,FALSE),"")</f>
        <v/>
      </c>
    </row>
    <row r="2436" spans="2:39" ht="15" customHeight="1" x14ac:dyDescent="0.3">
      <c r="B2436">
        <v>243.3</v>
      </c>
      <c r="C2436" t="str">
        <f>IFERROR(VLOOKUP(B2436,'Pre-Summary'!$DI$6:$DM$23,4,FALSE),"")</f>
        <v/>
      </c>
      <c r="D2436" s="10" t="str">
        <f>IFERROR(VLOOKUP(B2436,'Pre-Summary'!$AT$6:$AX$14,5,FALSE),D2435)</f>
        <v>Wolfe v3: went back to modified wolfe + EDTA and switched CuSO4 to CUCl2</v>
      </c>
      <c r="E2436" s="10" t="str">
        <f>IFERROR(VLOOKUP(B2436,'Pre-Summary'!$AT$6:$AX$15,4,FALSE),"")</f>
        <v/>
      </c>
      <c r="F2436">
        <f>IFERROR(VLOOKUP(B2436,'Pre-Summary'!$AL$6:$AQ$13,6,FALSE),F2435)</f>
        <v>5.9405263157894746E-2</v>
      </c>
      <c r="G2436" t="str">
        <f>IFERROR(VLOOKUP(B2436,'Pre-Summary'!$AE$6:$AJ$85,3,FALSE),"")</f>
        <v/>
      </c>
      <c r="H2436" t="str">
        <f>IFERROR(VLOOKUP(B2436,'Pre-Summary'!$AE$6:$AJ$85,4,FALSE),"")</f>
        <v/>
      </c>
      <c r="I2436" t="str">
        <f>IFERROR(VLOOKUP(B2436,'Pre-Summary'!$AE$6:$AJ$85,5,FALSE),"")</f>
        <v/>
      </c>
      <c r="J2436" s="45" t="str">
        <f>IFERROR(VLOOKUP(B2436,'Pre-Summary'!$AE$6:$AJ$85,6, FALSE),"")</f>
        <v/>
      </c>
      <c r="K2436" s="45" t="str">
        <f>IFERROR(VLOOKUP(B2436,'Pre-Summary'!$DE$6:$DG$61,3,FALSE),"")</f>
        <v/>
      </c>
      <c r="L2436" s="45" t="str">
        <f>IFERROR(VLOOKUP(B2436,'Pre-Summary'!$CU$6:$CW$36,3,FALSE),"")</f>
        <v/>
      </c>
      <c r="M2436" s="45" t="str">
        <f>IFERROR(VLOOKUP(B2436,'Pre-Summary'!$BW$6:$BY$58,2,FALSE),"")</f>
        <v/>
      </c>
      <c r="N2436" s="45" t="str">
        <f>IFERROR(VLOOKUP(B2436,'Pre-Summary'!$CD$6:$CF$64,2,FALSE),"")</f>
        <v/>
      </c>
      <c r="O2436" s="99">
        <f>IFERROR(VLOOKUP(B2436,'Pre-Summary'!$BO$6:$BQ$48,3, FALSE),O2435)</f>
        <v>1.508</v>
      </c>
      <c r="P2436" s="99">
        <f>IFERROR(VLOOKUP(B2436,'Pre-Summary'!$BS$6:$BU$35,3,FALSE),P2435)</f>
        <v>0.4</v>
      </c>
      <c r="Q2436" s="54">
        <f t="shared" si="114"/>
        <v>3.77</v>
      </c>
      <c r="R2436" s="53">
        <f>IFERROR(VLOOKUP(B2436,'Pre-Summary'!$BG$6:$BM$44,7,FALSE),R2437)</f>
        <v>0.10033855833824304</v>
      </c>
      <c r="S2436" s="53">
        <f>IFERROR(VLOOKUP(B2436,'Pre-Summary'!$BG$6:$BM$44,6,FALSE),S2437)</f>
        <v>9.2355104881156017E-2</v>
      </c>
      <c r="T2436" s="45" t="str">
        <f>IFERROR(VLOOKUP(B2436,'Pre-Summary'!$Y$6:$AC$83, 3,FALSE),"")</f>
        <v/>
      </c>
      <c r="U2436" s="45" t="str">
        <f>IFERROR(VLOOKUP(B2436,'Pre-Summary'!$Y$6:$AC$83, 4,FALSE),"")</f>
        <v/>
      </c>
      <c r="V2436" t="str">
        <f>IFERROR(VLOOKUP(B2436,'Pre-Summary'!$Y$6:$AC$83, 5,FALSE),"")</f>
        <v/>
      </c>
      <c r="W2436" s="45" t="str">
        <f>IFERROR(VLOOKUP(B2436,'Pre-Summary'!$Y$6:$AD$83,6,FALSE),"")</f>
        <v/>
      </c>
      <c r="X2436" t="str">
        <f>IFERROR(VLOOKUP('Pre-Summary'!$DB$6:$DD$63,3,FALSE),"")</f>
        <v/>
      </c>
      <c r="Y2436" t="str">
        <f>IFERROR(VLOOKUP(B2436,'Pre-Summary'!$CR$6:$CT$36,3,FALSE),"")</f>
        <v/>
      </c>
      <c r="Z2436" s="45" t="str">
        <f>IFERROR(VLOOKUP(B2436,'Pre-Summary'!$BZ$6:$CB$63,2,FALSE),"")</f>
        <v/>
      </c>
      <c r="AA2436" s="45" t="str">
        <f>IFERROR(VLOOKUP(B2436,'Pre-Summary'!$CG$6:$CI$70,2,FALSE),"")</f>
        <v/>
      </c>
      <c r="AB2436" s="99">
        <f>IFERROR(VLOOKUP(B2436,'Pre-Summary'!$A$6:$P$178,9,FALSE),AB2437)</f>
        <v>0.37146051582655759</v>
      </c>
      <c r="AC2436" s="10">
        <f>IFERROR(VLOOKUP(Summary!B2436,'Pre-Summary'!$A$6:$P$184,5, FALSE)/100,AC2437)</f>
        <v>0.92695399999999994</v>
      </c>
      <c r="AD2436" s="10">
        <f>IFERROR(VLOOKUP(Summary!B2436,'Pre-Summary'!$A$6:$P$184,3, FALSE)/100,AD2437)</f>
        <v>6.3200000000000006E-2</v>
      </c>
      <c r="AE2436" s="10">
        <f>IFERROR(VLOOKUP(Summary!B2436,'Pre-Summary'!$A$6:$P$184,7, FALSE)/100,AE2437)</f>
        <v>9.8456666666666675E-3</v>
      </c>
      <c r="AF2436" s="99">
        <f t="shared" si="115"/>
        <v>2.3476304600238442E-2</v>
      </c>
      <c r="AG2436" s="99">
        <f t="shared" si="116"/>
        <v>3.6572764186563441E-3</v>
      </c>
      <c r="AH2436" s="10" t="str">
        <f>IFERROR(VLOOKUP(B2436,'Pre-Summary'!$AZ$6:$BE$65,3,FALSE),"")</f>
        <v/>
      </c>
      <c r="AI2436" s="10" t="str">
        <f>IFERROR(VLOOKUP(B2436,'Pre-Summary'!$AZ$6:$BE$65,5,FALSE),"")</f>
        <v/>
      </c>
      <c r="AJ2436" s="10" t="str">
        <f>IFERROR(VLOOKUP(B2436,'Pre-Summary'!$AZ$6:$BE$65,4,FALSE),"")</f>
        <v/>
      </c>
      <c r="AK2436" s="10" t="str">
        <f>IFERROR(VLOOKUP(B2436,'Pre-Summary'!$AZ$6:$BE$65,6,FALSE),"")</f>
        <v/>
      </c>
      <c r="AL2436" s="10" t="str">
        <f>IFERROR(VLOOKUP(B2436,'Pre-Summary'!$BG$6:$BL$44,3,FALSE),"")</f>
        <v/>
      </c>
      <c r="AM2436" s="10" t="str">
        <f>IFERROR(VLOOKUP(B2436,'Pre-Summary'!$BG$6:$BL$44,4,FALSE),"")</f>
        <v/>
      </c>
    </row>
    <row r="2437" spans="2:39" ht="15" customHeight="1" x14ac:dyDescent="0.3">
      <c r="B2437">
        <v>243.4</v>
      </c>
      <c r="C2437" t="str">
        <f>IFERROR(VLOOKUP(B2437,'Pre-Summary'!$DI$6:$DM$23,4,FALSE),"")</f>
        <v/>
      </c>
      <c r="D2437" s="10" t="str">
        <f>IFERROR(VLOOKUP(B2437,'Pre-Summary'!$AT$6:$AX$14,5,FALSE),D2436)</f>
        <v>Wolfe v3: went back to modified wolfe + EDTA and switched CuSO4 to CUCl2</v>
      </c>
      <c r="E2437" s="10" t="str">
        <f>IFERROR(VLOOKUP(B2437,'Pre-Summary'!$AT$6:$AX$15,4,FALSE),"")</f>
        <v/>
      </c>
      <c r="F2437">
        <f>IFERROR(VLOOKUP(B2437,'Pre-Summary'!$AL$6:$AQ$13,6,FALSE),F2436)</f>
        <v>5.9405263157894746E-2</v>
      </c>
      <c r="G2437" t="str">
        <f>IFERROR(VLOOKUP(B2437,'Pre-Summary'!$AE$6:$AJ$85,3,FALSE),"")</f>
        <v/>
      </c>
      <c r="H2437" t="str">
        <f>IFERROR(VLOOKUP(B2437,'Pre-Summary'!$AE$6:$AJ$85,4,FALSE),"")</f>
        <v/>
      </c>
      <c r="I2437" t="str">
        <f>IFERROR(VLOOKUP(B2437,'Pre-Summary'!$AE$6:$AJ$85,5,FALSE),"")</f>
        <v/>
      </c>
      <c r="J2437" s="45" t="str">
        <f>IFERROR(VLOOKUP(B2437,'Pre-Summary'!$AE$6:$AJ$85,6, FALSE),"")</f>
        <v/>
      </c>
      <c r="K2437" s="45" t="str">
        <f>IFERROR(VLOOKUP(B2437,'Pre-Summary'!$DE$6:$DG$61,3,FALSE),"")</f>
        <v/>
      </c>
      <c r="L2437" s="45" t="str">
        <f>IFERROR(VLOOKUP(B2437,'Pre-Summary'!$CU$6:$CW$36,3,FALSE),"")</f>
        <v/>
      </c>
      <c r="M2437" s="45" t="str">
        <f>IFERROR(VLOOKUP(B2437,'Pre-Summary'!$BW$6:$BY$58,2,FALSE),"")</f>
        <v/>
      </c>
      <c r="N2437" s="45" t="str">
        <f>IFERROR(VLOOKUP(B2437,'Pre-Summary'!$CD$6:$CF$64,2,FALSE),"")</f>
        <v/>
      </c>
      <c r="O2437" s="99">
        <f>IFERROR(VLOOKUP(B2437,'Pre-Summary'!$BO$6:$BQ$48,3, FALSE),O2436)</f>
        <v>1.508</v>
      </c>
      <c r="P2437" s="99">
        <f>IFERROR(VLOOKUP(B2437,'Pre-Summary'!$BS$6:$BU$35,3,FALSE),P2436)</f>
        <v>0.4</v>
      </c>
      <c r="Q2437" s="54">
        <f t="shared" si="114"/>
        <v>3.77</v>
      </c>
      <c r="R2437" s="53">
        <f>IFERROR(VLOOKUP(B2437,'Pre-Summary'!$BG$6:$BM$44,7,FALSE),R2438)</f>
        <v>0.10033855833824304</v>
      </c>
      <c r="S2437" s="53">
        <f>IFERROR(VLOOKUP(B2437,'Pre-Summary'!$BG$6:$BM$44,6,FALSE),S2438)</f>
        <v>9.2355104881156017E-2</v>
      </c>
      <c r="T2437" s="45" t="str">
        <f>IFERROR(VLOOKUP(B2437,'Pre-Summary'!$Y$6:$AC$83, 3,FALSE),"")</f>
        <v/>
      </c>
      <c r="U2437" s="45" t="str">
        <f>IFERROR(VLOOKUP(B2437,'Pre-Summary'!$Y$6:$AC$83, 4,FALSE),"")</f>
        <v/>
      </c>
      <c r="V2437" t="str">
        <f>IFERROR(VLOOKUP(B2437,'Pre-Summary'!$Y$6:$AC$83, 5,FALSE),"")</f>
        <v/>
      </c>
      <c r="W2437" s="45" t="str">
        <f>IFERROR(VLOOKUP(B2437,'Pre-Summary'!$Y$6:$AD$83,6,FALSE),"")</f>
        <v/>
      </c>
      <c r="X2437" t="str">
        <f>IFERROR(VLOOKUP('Pre-Summary'!$DB$6:$DD$63,3,FALSE),"")</f>
        <v/>
      </c>
      <c r="Y2437" t="str">
        <f>IFERROR(VLOOKUP(B2437,'Pre-Summary'!$CR$6:$CT$36,3,FALSE),"")</f>
        <v/>
      </c>
      <c r="Z2437" s="45" t="str">
        <f>IFERROR(VLOOKUP(B2437,'Pre-Summary'!$BZ$6:$CB$63,2,FALSE),"")</f>
        <v/>
      </c>
      <c r="AA2437" s="45" t="str">
        <f>IFERROR(VLOOKUP(B2437,'Pre-Summary'!$CG$6:$CI$70,2,FALSE),"")</f>
        <v/>
      </c>
      <c r="AB2437" s="99">
        <f>IFERROR(VLOOKUP(B2437,'Pre-Summary'!$A$6:$P$178,9,FALSE),AB2438)</f>
        <v>0.37146051582655759</v>
      </c>
      <c r="AC2437" s="10">
        <f>IFERROR(VLOOKUP(Summary!B2437,'Pre-Summary'!$A$6:$P$184,5, FALSE)/100,AC2438)</f>
        <v>0.92695399999999994</v>
      </c>
      <c r="AD2437" s="10">
        <f>IFERROR(VLOOKUP(Summary!B2437,'Pre-Summary'!$A$6:$P$184,3, FALSE)/100,AD2438)</f>
        <v>6.3200000000000006E-2</v>
      </c>
      <c r="AE2437" s="10">
        <f>IFERROR(VLOOKUP(Summary!B2437,'Pre-Summary'!$A$6:$P$184,7, FALSE)/100,AE2438)</f>
        <v>9.8456666666666675E-3</v>
      </c>
      <c r="AF2437" s="99">
        <f t="shared" si="115"/>
        <v>2.3476304600238442E-2</v>
      </c>
      <c r="AG2437" s="99">
        <f t="shared" si="116"/>
        <v>3.6572764186563441E-3</v>
      </c>
      <c r="AH2437" s="10" t="str">
        <f>IFERROR(VLOOKUP(B2437,'Pre-Summary'!$AZ$6:$BE$65,3,FALSE),"")</f>
        <v/>
      </c>
      <c r="AI2437" s="10" t="str">
        <f>IFERROR(VLOOKUP(B2437,'Pre-Summary'!$AZ$6:$BE$65,5,FALSE),"")</f>
        <v/>
      </c>
      <c r="AJ2437" s="10" t="str">
        <f>IFERROR(VLOOKUP(B2437,'Pre-Summary'!$AZ$6:$BE$65,4,FALSE),"")</f>
        <v/>
      </c>
      <c r="AK2437" s="10" t="str">
        <f>IFERROR(VLOOKUP(B2437,'Pre-Summary'!$AZ$6:$BE$65,6,FALSE),"")</f>
        <v/>
      </c>
      <c r="AL2437" s="10" t="str">
        <f>IFERROR(VLOOKUP(B2437,'Pre-Summary'!$BG$6:$BL$44,3,FALSE),"")</f>
        <v/>
      </c>
      <c r="AM2437" s="10" t="str">
        <f>IFERROR(VLOOKUP(B2437,'Pre-Summary'!$BG$6:$BL$44,4,FALSE),"")</f>
        <v/>
      </c>
    </row>
    <row r="2438" spans="2:39" ht="15" customHeight="1" x14ac:dyDescent="0.3">
      <c r="B2438">
        <v>243.5</v>
      </c>
      <c r="C2438" t="str">
        <f>IFERROR(VLOOKUP(B2438,'Pre-Summary'!$DI$6:$DM$23,4,FALSE),"")</f>
        <v/>
      </c>
      <c r="D2438" s="10" t="str">
        <f>IFERROR(VLOOKUP(B2438,'Pre-Summary'!$AT$6:$AX$14,5,FALSE),D2437)</f>
        <v>Wolfe v3: went back to modified wolfe + EDTA and switched CuSO4 to CUCl2</v>
      </c>
      <c r="E2438" s="10" t="str">
        <f>IFERROR(VLOOKUP(B2438,'Pre-Summary'!$AT$6:$AX$15,4,FALSE),"")</f>
        <v/>
      </c>
      <c r="F2438">
        <f>IFERROR(VLOOKUP(B2438,'Pre-Summary'!$AL$6:$AQ$13,6,FALSE),F2437)</f>
        <v>5.9405263157894746E-2</v>
      </c>
      <c r="G2438">
        <f>IFERROR(VLOOKUP(B2438,'Pre-Summary'!$AE$6:$AJ$85,3,FALSE),"")</f>
        <v>4.6506774964599478</v>
      </c>
      <c r="H2438" t="str">
        <f>IFERROR(VLOOKUP(B2438,'Pre-Summary'!$AE$6:$AJ$85,4,FALSE),"")</f>
        <v/>
      </c>
      <c r="I2438" t="str">
        <f>IFERROR(VLOOKUP(B2438,'Pre-Summary'!$AE$6:$AJ$85,5,FALSE),"")</f>
        <v/>
      </c>
      <c r="J2438" s="45">
        <f>IFERROR(VLOOKUP(B2438,'Pre-Summary'!$AE$6:$AJ$85,6, FALSE),"")</f>
        <v>4.9622728887227643</v>
      </c>
      <c r="K2438" s="45" t="str">
        <f>IFERROR(VLOOKUP(B2438,'Pre-Summary'!$DE$6:$DG$61,3,FALSE),"")</f>
        <v/>
      </c>
      <c r="L2438" s="45" t="str">
        <f>IFERROR(VLOOKUP(B2438,'Pre-Summary'!$CU$6:$CW$36,3,FALSE),"")</f>
        <v/>
      </c>
      <c r="M2438" s="45" t="str">
        <f>IFERROR(VLOOKUP(B2438,'Pre-Summary'!$BW$6:$BY$58,2,FALSE),"")</f>
        <v/>
      </c>
      <c r="N2438" s="45">
        <f>IFERROR(VLOOKUP(B2438,'Pre-Summary'!$CD$6:$CF$64,2,FALSE),"")</f>
        <v>222.3764468690544</v>
      </c>
      <c r="O2438" s="99">
        <f>IFERROR(VLOOKUP(B2438,'Pre-Summary'!$BO$6:$BQ$48,3, FALSE),O2437)</f>
        <v>1.508</v>
      </c>
      <c r="P2438" s="99">
        <f>IFERROR(VLOOKUP(B2438,'Pre-Summary'!$BS$6:$BU$35,3,FALSE),P2437)</f>
        <v>0.4</v>
      </c>
      <c r="Q2438" s="54">
        <f t="shared" si="114"/>
        <v>3.77</v>
      </c>
      <c r="R2438" s="53">
        <f>IFERROR(VLOOKUP(B2438,'Pre-Summary'!$BG$6:$BM$44,7,FALSE),R2439)</f>
        <v>0.10033855833824304</v>
      </c>
      <c r="S2438" s="53">
        <f>IFERROR(VLOOKUP(B2438,'Pre-Summary'!$BG$6:$BM$44,6,FALSE),S2439)</f>
        <v>9.2355104881156017E-2</v>
      </c>
      <c r="T2438" s="45">
        <f>IFERROR(VLOOKUP(B2438,'Pre-Summary'!$Y$6:$AC$83, 3,FALSE),"")</f>
        <v>3.1796264541220856</v>
      </c>
      <c r="U2438" s="45" t="str">
        <f>IFERROR(VLOOKUP(B2438,'Pre-Summary'!$Y$6:$AC$83, 4,FALSE),"")</f>
        <v/>
      </c>
      <c r="V2438" t="str">
        <f>IFERROR(VLOOKUP(B2438,'Pre-Summary'!$Y$6:$AC$83, 5,FALSE),"")</f>
        <v/>
      </c>
      <c r="W2438" s="45">
        <f>IFERROR(VLOOKUP(B2438,'Pre-Summary'!$Y$6:$AD$83,6,FALSE),"")</f>
        <v>3.3926614265482651</v>
      </c>
      <c r="X2438" t="str">
        <f>IFERROR(VLOOKUP('Pre-Summary'!$DB$6:$DD$63,3,FALSE),"")</f>
        <v/>
      </c>
      <c r="Y2438" t="str">
        <f>IFERROR(VLOOKUP(B2438,'Pre-Summary'!$CR$6:$CT$36,3,FALSE),"")</f>
        <v/>
      </c>
      <c r="Z2438" s="45" t="str">
        <f>IFERROR(VLOOKUP(B2438,'Pre-Summary'!$BZ$6:$CB$63,2,FALSE),"")</f>
        <v/>
      </c>
      <c r="AA2438" s="45" t="str">
        <f>IFERROR(VLOOKUP(B2438,'Pre-Summary'!$CG$6:$CI$70,2,FALSE),"")</f>
        <v/>
      </c>
      <c r="AB2438" s="99">
        <f>IFERROR(VLOOKUP(B2438,'Pre-Summary'!$A$6:$P$178,9,FALSE),AB2439)</f>
        <v>0.37146051582655759</v>
      </c>
      <c r="AC2438" s="10">
        <f>IFERROR(VLOOKUP(Summary!B2438,'Pre-Summary'!$A$6:$P$184,5, FALSE)/100,AC2439)</f>
        <v>0.92695399999999994</v>
      </c>
      <c r="AD2438" s="10">
        <f>IFERROR(VLOOKUP(Summary!B2438,'Pre-Summary'!$A$6:$P$184,3, FALSE)/100,AD2439)</f>
        <v>6.3200000000000006E-2</v>
      </c>
      <c r="AE2438" s="10">
        <f>IFERROR(VLOOKUP(Summary!B2438,'Pre-Summary'!$A$6:$P$184,7, FALSE)/100,AE2439)</f>
        <v>9.8456666666666675E-3</v>
      </c>
      <c r="AF2438" s="99">
        <f t="shared" si="115"/>
        <v>2.3476304600238442E-2</v>
      </c>
      <c r="AG2438" s="99">
        <f t="shared" si="116"/>
        <v>3.6572764186563441E-3</v>
      </c>
      <c r="AH2438" s="10" t="str">
        <f>IFERROR(VLOOKUP(B2438,'Pre-Summary'!$AZ$6:$BE$65,3,FALSE),"")</f>
        <v/>
      </c>
      <c r="AI2438" s="10" t="str">
        <f>IFERROR(VLOOKUP(B2438,'Pre-Summary'!$AZ$6:$BE$65,5,FALSE),"")</f>
        <v/>
      </c>
      <c r="AJ2438" s="10" t="str">
        <f>IFERROR(VLOOKUP(B2438,'Pre-Summary'!$AZ$6:$BE$65,4,FALSE),"")</f>
        <v/>
      </c>
      <c r="AK2438" s="10" t="str">
        <f>IFERROR(VLOOKUP(B2438,'Pre-Summary'!$AZ$6:$BE$65,6,FALSE),"")</f>
        <v/>
      </c>
      <c r="AL2438" s="10" t="str">
        <f>IFERROR(VLOOKUP(B2438,'Pre-Summary'!$BG$6:$BL$44,3,FALSE),"")</f>
        <v/>
      </c>
      <c r="AM2438" s="10" t="str">
        <f>IFERROR(VLOOKUP(B2438,'Pre-Summary'!$BG$6:$BL$44,4,FALSE),"")</f>
        <v/>
      </c>
    </row>
    <row r="2439" spans="2:39" ht="15" customHeight="1" x14ac:dyDescent="0.3">
      <c r="B2439">
        <v>243.6</v>
      </c>
      <c r="C2439" t="str">
        <f>IFERROR(VLOOKUP(B2439,'Pre-Summary'!$DI$6:$DM$23,4,FALSE),"")</f>
        <v/>
      </c>
      <c r="D2439" s="10" t="str">
        <f>IFERROR(VLOOKUP(B2439,'Pre-Summary'!$AT$6:$AX$14,5,FALSE),D2438)</f>
        <v>Wolfe v3: went back to modified wolfe + EDTA and switched CuSO4 to CUCl2</v>
      </c>
      <c r="E2439" s="10" t="str">
        <f>IFERROR(VLOOKUP(B2439,'Pre-Summary'!$AT$6:$AX$15,4,FALSE),"")</f>
        <v/>
      </c>
      <c r="F2439">
        <f>IFERROR(VLOOKUP(B2439,'Pre-Summary'!$AL$6:$AQ$13,6,FALSE),F2438)</f>
        <v>5.9405263157894746E-2</v>
      </c>
      <c r="G2439" t="str">
        <f>IFERROR(VLOOKUP(B2439,'Pre-Summary'!$AE$6:$AJ$85,3,FALSE),"")</f>
        <v/>
      </c>
      <c r="H2439" t="str">
        <f>IFERROR(VLOOKUP(B2439,'Pre-Summary'!$AE$6:$AJ$85,4,FALSE),"")</f>
        <v/>
      </c>
      <c r="I2439" t="str">
        <f>IFERROR(VLOOKUP(B2439,'Pre-Summary'!$AE$6:$AJ$85,5,FALSE),"")</f>
        <v/>
      </c>
      <c r="J2439" s="45" t="str">
        <f>IFERROR(VLOOKUP(B2439,'Pre-Summary'!$AE$6:$AJ$85,6, FALSE),"")</f>
        <v/>
      </c>
      <c r="K2439" s="45" t="str">
        <f>IFERROR(VLOOKUP(B2439,'Pre-Summary'!$DE$6:$DG$61,3,FALSE),"")</f>
        <v/>
      </c>
      <c r="L2439" s="45" t="str">
        <f>IFERROR(VLOOKUP(B2439,'Pre-Summary'!$CU$6:$CW$36,3,FALSE),"")</f>
        <v/>
      </c>
      <c r="M2439" s="45" t="str">
        <f>IFERROR(VLOOKUP(B2439,'Pre-Summary'!$BW$6:$BY$58,2,FALSE),"")</f>
        <v/>
      </c>
      <c r="N2439" s="45" t="str">
        <f>IFERROR(VLOOKUP(B2439,'Pre-Summary'!$CD$6:$CF$64,2,FALSE),"")</f>
        <v/>
      </c>
      <c r="O2439" s="99">
        <f>IFERROR(VLOOKUP(B2439,'Pre-Summary'!$BO$6:$BQ$48,3, FALSE),O2438)</f>
        <v>1.508</v>
      </c>
      <c r="P2439" s="99">
        <f>IFERROR(VLOOKUP(B2439,'Pre-Summary'!$BS$6:$BU$35,3,FALSE),P2438)</f>
        <v>0.4</v>
      </c>
      <c r="Q2439" s="54">
        <f t="shared" si="114"/>
        <v>3.77</v>
      </c>
      <c r="R2439" s="53">
        <f>IFERROR(VLOOKUP(B2439,'Pre-Summary'!$BG$6:$BM$44,7,FALSE),R2440)</f>
        <v>0.10033855833824304</v>
      </c>
      <c r="S2439" s="53">
        <f>IFERROR(VLOOKUP(B2439,'Pre-Summary'!$BG$6:$BM$44,6,FALSE),S2440)</f>
        <v>9.2355104881156017E-2</v>
      </c>
      <c r="T2439" s="45" t="str">
        <f>IFERROR(VLOOKUP(B2439,'Pre-Summary'!$Y$6:$AC$83, 3,FALSE),"")</f>
        <v/>
      </c>
      <c r="U2439" s="45" t="str">
        <f>IFERROR(VLOOKUP(B2439,'Pre-Summary'!$Y$6:$AC$83, 4,FALSE),"")</f>
        <v/>
      </c>
      <c r="V2439" t="str">
        <f>IFERROR(VLOOKUP(B2439,'Pre-Summary'!$Y$6:$AC$83, 5,FALSE),"")</f>
        <v/>
      </c>
      <c r="W2439" s="45" t="str">
        <f>IFERROR(VLOOKUP(B2439,'Pre-Summary'!$Y$6:$AD$83,6,FALSE),"")</f>
        <v/>
      </c>
      <c r="X2439" t="str">
        <f>IFERROR(VLOOKUP('Pre-Summary'!$DB$6:$DD$63,3,FALSE),"")</f>
        <v/>
      </c>
      <c r="Y2439" t="str">
        <f>IFERROR(VLOOKUP(B2439,'Pre-Summary'!$CR$6:$CT$36,3,FALSE),"")</f>
        <v/>
      </c>
      <c r="Z2439" s="45" t="str">
        <f>IFERROR(VLOOKUP(B2439,'Pre-Summary'!$BZ$6:$CB$63,2,FALSE),"")</f>
        <v/>
      </c>
      <c r="AA2439" s="45" t="str">
        <f>IFERROR(VLOOKUP(B2439,'Pre-Summary'!$CG$6:$CI$70,2,FALSE),"")</f>
        <v/>
      </c>
      <c r="AB2439" s="99">
        <f>IFERROR(VLOOKUP(B2439,'Pre-Summary'!$A$6:$P$178,9,FALSE),AB2440)</f>
        <v>0.37146051582655759</v>
      </c>
      <c r="AC2439" s="10">
        <f>IFERROR(VLOOKUP(Summary!B2439,'Pre-Summary'!$A$6:$P$184,5, FALSE)/100,AC2440)</f>
        <v>0.92695399999999994</v>
      </c>
      <c r="AD2439" s="10">
        <f>IFERROR(VLOOKUP(Summary!B2439,'Pre-Summary'!$A$6:$P$184,3, FALSE)/100,AD2440)</f>
        <v>6.3200000000000006E-2</v>
      </c>
      <c r="AE2439" s="10">
        <f>IFERROR(VLOOKUP(Summary!B2439,'Pre-Summary'!$A$6:$P$184,7, FALSE)/100,AE2440)</f>
        <v>9.8456666666666675E-3</v>
      </c>
      <c r="AF2439" s="99">
        <f t="shared" si="115"/>
        <v>2.3476304600238442E-2</v>
      </c>
      <c r="AG2439" s="99">
        <f t="shared" si="116"/>
        <v>3.6572764186563441E-3</v>
      </c>
      <c r="AH2439" s="10" t="str">
        <f>IFERROR(VLOOKUP(B2439,'Pre-Summary'!$AZ$6:$BE$65,3,FALSE),"")</f>
        <v/>
      </c>
      <c r="AI2439" s="10" t="str">
        <f>IFERROR(VLOOKUP(B2439,'Pre-Summary'!$AZ$6:$BE$65,5,FALSE),"")</f>
        <v/>
      </c>
      <c r="AJ2439" s="10" t="str">
        <f>IFERROR(VLOOKUP(B2439,'Pre-Summary'!$AZ$6:$BE$65,4,FALSE),"")</f>
        <v/>
      </c>
      <c r="AK2439" s="10" t="str">
        <f>IFERROR(VLOOKUP(B2439,'Pre-Summary'!$AZ$6:$BE$65,6,FALSE),"")</f>
        <v/>
      </c>
      <c r="AL2439" s="10" t="str">
        <f>IFERROR(VLOOKUP(B2439,'Pre-Summary'!$BG$6:$BL$44,3,FALSE),"")</f>
        <v/>
      </c>
      <c r="AM2439" s="10" t="str">
        <f>IFERROR(VLOOKUP(B2439,'Pre-Summary'!$BG$6:$BL$44,4,FALSE),"")</f>
        <v/>
      </c>
    </row>
    <row r="2440" spans="2:39" ht="15" customHeight="1" x14ac:dyDescent="0.3">
      <c r="B2440">
        <v>243.7</v>
      </c>
      <c r="C2440" t="str">
        <f>IFERROR(VLOOKUP(B2440,'Pre-Summary'!$DI$6:$DM$23,4,FALSE),"")</f>
        <v/>
      </c>
      <c r="D2440" s="10" t="str">
        <f>IFERROR(VLOOKUP(B2440,'Pre-Summary'!$AT$6:$AX$14,5,FALSE),D2439)</f>
        <v>Wolfe v3: went back to modified wolfe + EDTA and switched CuSO4 to CUCl2</v>
      </c>
      <c r="E2440" s="10" t="str">
        <f>IFERROR(VLOOKUP(B2440,'Pre-Summary'!$AT$6:$AX$15,4,FALSE),"")</f>
        <v/>
      </c>
      <c r="F2440">
        <f>IFERROR(VLOOKUP(B2440,'Pre-Summary'!$AL$6:$AQ$13,6,FALSE),F2439)</f>
        <v>5.9405263157894746E-2</v>
      </c>
      <c r="G2440" t="str">
        <f>IFERROR(VLOOKUP(B2440,'Pre-Summary'!$AE$6:$AJ$85,3,FALSE),"")</f>
        <v/>
      </c>
      <c r="H2440" t="str">
        <f>IFERROR(VLOOKUP(B2440,'Pre-Summary'!$AE$6:$AJ$85,4,FALSE),"")</f>
        <v/>
      </c>
      <c r="I2440" t="str">
        <f>IFERROR(VLOOKUP(B2440,'Pre-Summary'!$AE$6:$AJ$85,5,FALSE),"")</f>
        <v/>
      </c>
      <c r="J2440" s="45" t="str">
        <f>IFERROR(VLOOKUP(B2440,'Pre-Summary'!$AE$6:$AJ$85,6, FALSE),"")</f>
        <v/>
      </c>
      <c r="K2440" s="45" t="str">
        <f>IFERROR(VLOOKUP(B2440,'Pre-Summary'!$DE$6:$DG$61,3,FALSE),"")</f>
        <v/>
      </c>
      <c r="L2440" s="45" t="str">
        <f>IFERROR(VLOOKUP(B2440,'Pre-Summary'!$CU$6:$CW$36,3,FALSE),"")</f>
        <v/>
      </c>
      <c r="M2440" s="45" t="str">
        <f>IFERROR(VLOOKUP(B2440,'Pre-Summary'!$BW$6:$BY$58,2,FALSE),"")</f>
        <v/>
      </c>
      <c r="N2440" s="45" t="str">
        <f>IFERROR(VLOOKUP(B2440,'Pre-Summary'!$CD$6:$CF$64,2,FALSE),"")</f>
        <v/>
      </c>
      <c r="O2440" s="99">
        <f>IFERROR(VLOOKUP(B2440,'Pre-Summary'!$BO$6:$BQ$48,3, FALSE),O2439)</f>
        <v>1.508</v>
      </c>
      <c r="P2440" s="99">
        <f>IFERROR(VLOOKUP(B2440,'Pre-Summary'!$BS$6:$BU$35,3,FALSE),P2439)</f>
        <v>0.4</v>
      </c>
      <c r="Q2440" s="54">
        <f t="shared" si="114"/>
        <v>3.77</v>
      </c>
      <c r="R2440" s="53">
        <f>IFERROR(VLOOKUP(B2440,'Pre-Summary'!$BG$6:$BM$44,7,FALSE),R2441)</f>
        <v>0.10033855833824304</v>
      </c>
      <c r="S2440" s="53">
        <f>IFERROR(VLOOKUP(B2440,'Pre-Summary'!$BG$6:$BM$44,6,FALSE),S2441)</f>
        <v>9.2355104881156017E-2</v>
      </c>
      <c r="T2440" s="45" t="str">
        <f>IFERROR(VLOOKUP(B2440,'Pre-Summary'!$Y$6:$AC$83, 3,FALSE),"")</f>
        <v/>
      </c>
      <c r="U2440" s="45" t="str">
        <f>IFERROR(VLOOKUP(B2440,'Pre-Summary'!$Y$6:$AC$83, 4,FALSE),"")</f>
        <v/>
      </c>
      <c r="V2440" t="str">
        <f>IFERROR(VLOOKUP(B2440,'Pre-Summary'!$Y$6:$AC$83, 5,FALSE),"")</f>
        <v/>
      </c>
      <c r="W2440" s="45" t="str">
        <f>IFERROR(VLOOKUP(B2440,'Pre-Summary'!$Y$6:$AD$83,6,FALSE),"")</f>
        <v/>
      </c>
      <c r="X2440" t="str">
        <f>IFERROR(VLOOKUP('Pre-Summary'!$DB$6:$DD$63,3,FALSE),"")</f>
        <v/>
      </c>
      <c r="Y2440" t="str">
        <f>IFERROR(VLOOKUP(B2440,'Pre-Summary'!$CR$6:$CT$36,3,FALSE),"")</f>
        <v/>
      </c>
      <c r="Z2440" s="45" t="str">
        <f>IFERROR(VLOOKUP(B2440,'Pre-Summary'!$BZ$6:$CB$63,2,FALSE),"")</f>
        <v/>
      </c>
      <c r="AA2440" s="45" t="str">
        <f>IFERROR(VLOOKUP(B2440,'Pre-Summary'!$CG$6:$CI$70,2,FALSE),"")</f>
        <v/>
      </c>
      <c r="AB2440" s="99">
        <f>IFERROR(VLOOKUP(B2440,'Pre-Summary'!$A$6:$P$178,9,FALSE),AB2441)</f>
        <v>0.37146051582655759</v>
      </c>
      <c r="AC2440" s="10">
        <f>IFERROR(VLOOKUP(Summary!B2440,'Pre-Summary'!$A$6:$P$184,5, FALSE)/100,AC2441)</f>
        <v>0.92695399999999994</v>
      </c>
      <c r="AD2440" s="10">
        <f>IFERROR(VLOOKUP(Summary!B2440,'Pre-Summary'!$A$6:$P$184,3, FALSE)/100,AD2441)</f>
        <v>6.3200000000000006E-2</v>
      </c>
      <c r="AE2440" s="10">
        <f>IFERROR(VLOOKUP(Summary!B2440,'Pre-Summary'!$A$6:$P$184,7, FALSE)/100,AE2441)</f>
        <v>9.8456666666666675E-3</v>
      </c>
      <c r="AF2440" s="99">
        <f t="shared" si="115"/>
        <v>2.3476304600238442E-2</v>
      </c>
      <c r="AG2440" s="99">
        <f t="shared" si="116"/>
        <v>3.6572764186563441E-3</v>
      </c>
      <c r="AH2440" s="10" t="str">
        <f>IFERROR(VLOOKUP(B2440,'Pre-Summary'!$AZ$6:$BE$65,3,FALSE),"")</f>
        <v/>
      </c>
      <c r="AI2440" s="10" t="str">
        <f>IFERROR(VLOOKUP(B2440,'Pre-Summary'!$AZ$6:$BE$65,5,FALSE),"")</f>
        <v/>
      </c>
      <c r="AJ2440" s="10" t="str">
        <f>IFERROR(VLOOKUP(B2440,'Pre-Summary'!$AZ$6:$BE$65,4,FALSE),"")</f>
        <v/>
      </c>
      <c r="AK2440" s="10" t="str">
        <f>IFERROR(VLOOKUP(B2440,'Pre-Summary'!$AZ$6:$BE$65,6,FALSE),"")</f>
        <v/>
      </c>
      <c r="AL2440" s="10" t="str">
        <f>IFERROR(VLOOKUP(B2440,'Pre-Summary'!$BG$6:$BL$44,3,FALSE),"")</f>
        <v/>
      </c>
      <c r="AM2440" s="10" t="str">
        <f>IFERROR(VLOOKUP(B2440,'Pre-Summary'!$BG$6:$BL$44,4,FALSE),"")</f>
        <v/>
      </c>
    </row>
    <row r="2441" spans="2:39" ht="15" customHeight="1" x14ac:dyDescent="0.3">
      <c r="B2441">
        <v>243.8</v>
      </c>
      <c r="C2441" t="str">
        <f>IFERROR(VLOOKUP(B2441,'Pre-Summary'!$DI$6:$DM$23,4,FALSE),"")</f>
        <v/>
      </c>
      <c r="D2441" s="10" t="str">
        <f>IFERROR(VLOOKUP(B2441,'Pre-Summary'!$AT$6:$AX$14,5,FALSE),D2440)</f>
        <v>Wolfe v3: went back to modified wolfe + EDTA and switched CuSO4 to CUCl2</v>
      </c>
      <c r="E2441" s="10" t="str">
        <f>IFERROR(VLOOKUP(B2441,'Pre-Summary'!$AT$6:$AX$15,4,FALSE),"")</f>
        <v/>
      </c>
      <c r="F2441">
        <f>IFERROR(VLOOKUP(B2441,'Pre-Summary'!$AL$6:$AQ$13,6,FALSE),F2440)</f>
        <v>5.9405263157894746E-2</v>
      </c>
      <c r="G2441" t="str">
        <f>IFERROR(VLOOKUP(B2441,'Pre-Summary'!$AE$6:$AJ$85,3,FALSE),"")</f>
        <v/>
      </c>
      <c r="H2441" t="str">
        <f>IFERROR(VLOOKUP(B2441,'Pre-Summary'!$AE$6:$AJ$85,4,FALSE),"")</f>
        <v/>
      </c>
      <c r="I2441" t="str">
        <f>IFERROR(VLOOKUP(B2441,'Pre-Summary'!$AE$6:$AJ$85,5,FALSE),"")</f>
        <v/>
      </c>
      <c r="J2441" s="45" t="str">
        <f>IFERROR(VLOOKUP(B2441,'Pre-Summary'!$AE$6:$AJ$85,6, FALSE),"")</f>
        <v/>
      </c>
      <c r="K2441" s="45" t="str">
        <f>IFERROR(VLOOKUP(B2441,'Pre-Summary'!$DE$6:$DG$61,3,FALSE),"")</f>
        <v/>
      </c>
      <c r="L2441" s="45" t="str">
        <f>IFERROR(VLOOKUP(B2441,'Pre-Summary'!$CU$6:$CW$36,3,FALSE),"")</f>
        <v/>
      </c>
      <c r="M2441" s="45" t="str">
        <f>IFERROR(VLOOKUP(B2441,'Pre-Summary'!$BW$6:$BY$58,2,FALSE),"")</f>
        <v/>
      </c>
      <c r="N2441" s="45" t="str">
        <f>IFERROR(VLOOKUP(B2441,'Pre-Summary'!$CD$6:$CF$64,2,FALSE),"")</f>
        <v/>
      </c>
      <c r="O2441" s="99">
        <f>IFERROR(VLOOKUP(B2441,'Pre-Summary'!$BO$6:$BQ$48,3, FALSE),O2440)</f>
        <v>1.508</v>
      </c>
      <c r="P2441" s="99">
        <f>IFERROR(VLOOKUP(B2441,'Pre-Summary'!$BS$6:$BU$35,3,FALSE),P2440)</f>
        <v>0.4</v>
      </c>
      <c r="Q2441" s="54">
        <f t="shared" si="114"/>
        <v>3.77</v>
      </c>
      <c r="R2441" s="53">
        <f>IFERROR(VLOOKUP(B2441,'Pre-Summary'!$BG$6:$BM$44,7,FALSE),R2442)</f>
        <v>0.10033855833824304</v>
      </c>
      <c r="S2441" s="53">
        <f>IFERROR(VLOOKUP(B2441,'Pre-Summary'!$BG$6:$BM$44,6,FALSE),S2442)</f>
        <v>9.2355104881156017E-2</v>
      </c>
      <c r="T2441" s="45" t="str">
        <f>IFERROR(VLOOKUP(B2441,'Pre-Summary'!$Y$6:$AC$83, 3,FALSE),"")</f>
        <v/>
      </c>
      <c r="U2441" s="45" t="str">
        <f>IFERROR(VLOOKUP(B2441,'Pre-Summary'!$Y$6:$AC$83, 4,FALSE),"")</f>
        <v/>
      </c>
      <c r="V2441" t="str">
        <f>IFERROR(VLOOKUP(B2441,'Pre-Summary'!$Y$6:$AC$83, 5,FALSE),"")</f>
        <v/>
      </c>
      <c r="W2441" s="45" t="str">
        <f>IFERROR(VLOOKUP(B2441,'Pre-Summary'!$Y$6:$AD$83,6,FALSE),"")</f>
        <v/>
      </c>
      <c r="X2441" t="str">
        <f>IFERROR(VLOOKUP('Pre-Summary'!$DB$6:$DD$63,3,FALSE),"")</f>
        <v/>
      </c>
      <c r="Y2441" t="str">
        <f>IFERROR(VLOOKUP(B2441,'Pre-Summary'!$CR$6:$CT$36,3,FALSE),"")</f>
        <v/>
      </c>
      <c r="Z2441" s="45" t="str">
        <f>IFERROR(VLOOKUP(B2441,'Pre-Summary'!$BZ$6:$CB$63,2,FALSE),"")</f>
        <v/>
      </c>
      <c r="AA2441" s="45" t="str">
        <f>IFERROR(VLOOKUP(B2441,'Pre-Summary'!$CG$6:$CI$70,2,FALSE),"")</f>
        <v/>
      </c>
      <c r="AB2441" s="99">
        <f>IFERROR(VLOOKUP(B2441,'Pre-Summary'!$A$6:$P$178,9,FALSE),AB2442)</f>
        <v>0.37146051582655759</v>
      </c>
      <c r="AC2441" s="10">
        <f>IFERROR(VLOOKUP(Summary!B2441,'Pre-Summary'!$A$6:$P$184,5, FALSE)/100,AC2442)</f>
        <v>0.92695399999999994</v>
      </c>
      <c r="AD2441" s="10">
        <f>IFERROR(VLOOKUP(Summary!B2441,'Pre-Summary'!$A$6:$P$184,3, FALSE)/100,AD2442)</f>
        <v>6.3200000000000006E-2</v>
      </c>
      <c r="AE2441" s="10">
        <f>IFERROR(VLOOKUP(Summary!B2441,'Pre-Summary'!$A$6:$P$184,7, FALSE)/100,AE2442)</f>
        <v>9.8456666666666675E-3</v>
      </c>
      <c r="AF2441" s="99">
        <f t="shared" si="115"/>
        <v>2.3476304600238442E-2</v>
      </c>
      <c r="AG2441" s="99">
        <f t="shared" si="116"/>
        <v>3.6572764186563441E-3</v>
      </c>
      <c r="AH2441" s="10" t="str">
        <f>IFERROR(VLOOKUP(B2441,'Pre-Summary'!$AZ$6:$BE$65,3,FALSE),"")</f>
        <v/>
      </c>
      <c r="AI2441" s="10" t="str">
        <f>IFERROR(VLOOKUP(B2441,'Pre-Summary'!$AZ$6:$BE$65,5,FALSE),"")</f>
        <v/>
      </c>
      <c r="AJ2441" s="10" t="str">
        <f>IFERROR(VLOOKUP(B2441,'Pre-Summary'!$AZ$6:$BE$65,4,FALSE),"")</f>
        <v/>
      </c>
      <c r="AK2441" s="10" t="str">
        <f>IFERROR(VLOOKUP(B2441,'Pre-Summary'!$AZ$6:$BE$65,6,FALSE),"")</f>
        <v/>
      </c>
      <c r="AL2441" s="10" t="str">
        <f>IFERROR(VLOOKUP(B2441,'Pre-Summary'!$BG$6:$BL$44,3,FALSE),"")</f>
        <v/>
      </c>
      <c r="AM2441" s="10" t="str">
        <f>IFERROR(VLOOKUP(B2441,'Pre-Summary'!$BG$6:$BL$44,4,FALSE),"")</f>
        <v/>
      </c>
    </row>
    <row r="2442" spans="2:39" ht="15" customHeight="1" x14ac:dyDescent="0.3">
      <c r="B2442">
        <v>243.9</v>
      </c>
      <c r="C2442" t="str">
        <f>IFERROR(VLOOKUP(B2442,'Pre-Summary'!$DI$6:$DM$23,4,FALSE),"")</f>
        <v/>
      </c>
      <c r="D2442" s="10" t="str">
        <f>IFERROR(VLOOKUP(B2442,'Pre-Summary'!$AT$6:$AX$14,5,FALSE),D2441)</f>
        <v>Wolfe v3: went back to modified wolfe + EDTA and switched CuSO4 to CUCl2</v>
      </c>
      <c r="E2442" s="10" t="str">
        <f>IFERROR(VLOOKUP(B2442,'Pre-Summary'!$AT$6:$AX$15,4,FALSE),"")</f>
        <v/>
      </c>
      <c r="F2442">
        <f>IFERROR(VLOOKUP(B2442,'Pre-Summary'!$AL$6:$AQ$13,6,FALSE),F2441)</f>
        <v>5.9405263157894746E-2</v>
      </c>
      <c r="G2442" t="str">
        <f>IFERROR(VLOOKUP(B2442,'Pre-Summary'!$AE$6:$AJ$85,3,FALSE),"")</f>
        <v/>
      </c>
      <c r="H2442" t="str">
        <f>IFERROR(VLOOKUP(B2442,'Pre-Summary'!$AE$6:$AJ$85,4,FALSE),"")</f>
        <v/>
      </c>
      <c r="I2442" t="str">
        <f>IFERROR(VLOOKUP(B2442,'Pre-Summary'!$AE$6:$AJ$85,5,FALSE),"")</f>
        <v/>
      </c>
      <c r="J2442" s="45" t="str">
        <f>IFERROR(VLOOKUP(B2442,'Pre-Summary'!$AE$6:$AJ$85,6, FALSE),"")</f>
        <v/>
      </c>
      <c r="K2442" s="45">
        <f>IFERROR(VLOOKUP(B2442,'Pre-Summary'!$DE$6:$DG$61,3,FALSE),"")</f>
        <v>1110</v>
      </c>
      <c r="L2442" s="45">
        <f>IFERROR(VLOOKUP(B2442,'Pre-Summary'!$CU$6:$CW$36,3,FALSE),"")</f>
        <v>275.8</v>
      </c>
      <c r="M2442" s="45" t="str">
        <f>IFERROR(VLOOKUP(B2442,'Pre-Summary'!$BW$6:$BY$58,2,FALSE),"")</f>
        <v/>
      </c>
      <c r="N2442" s="45" t="str">
        <f>IFERROR(VLOOKUP(B2442,'Pre-Summary'!$CD$6:$CF$64,2,FALSE),"")</f>
        <v/>
      </c>
      <c r="O2442" s="99">
        <f>IFERROR(VLOOKUP(B2442,'Pre-Summary'!$BO$6:$BQ$48,3, FALSE),O2441)</f>
        <v>1.508</v>
      </c>
      <c r="P2442" s="99">
        <f>IFERROR(VLOOKUP(B2442,'Pre-Summary'!$BS$6:$BU$35,3,FALSE),P2441)</f>
        <v>0.4</v>
      </c>
      <c r="Q2442" s="54">
        <f t="shared" si="114"/>
        <v>3.77</v>
      </c>
      <c r="R2442" s="53">
        <f>IFERROR(VLOOKUP(B2442,'Pre-Summary'!$BG$6:$BM$44,7,FALSE),R2443)</f>
        <v>0.10033855833824304</v>
      </c>
      <c r="S2442" s="53">
        <f>IFERROR(VLOOKUP(B2442,'Pre-Summary'!$BG$6:$BM$44,6,FALSE),S2443)</f>
        <v>9.2355104881156017E-2</v>
      </c>
      <c r="T2442" s="45" t="str">
        <f>IFERROR(VLOOKUP(B2442,'Pre-Summary'!$Y$6:$AC$83, 3,FALSE),"")</f>
        <v/>
      </c>
      <c r="U2442" s="45" t="str">
        <f>IFERROR(VLOOKUP(B2442,'Pre-Summary'!$Y$6:$AC$83, 4,FALSE),"")</f>
        <v/>
      </c>
      <c r="V2442" t="str">
        <f>IFERROR(VLOOKUP(B2442,'Pre-Summary'!$Y$6:$AC$83, 5,FALSE),"")</f>
        <v/>
      </c>
      <c r="W2442" s="45" t="str">
        <f>IFERROR(VLOOKUP(B2442,'Pre-Summary'!$Y$6:$AD$83,6,FALSE),"")</f>
        <v/>
      </c>
      <c r="X2442" t="str">
        <f>IFERROR(VLOOKUP('Pre-Summary'!$DB$6:$DD$63,3,FALSE),"")</f>
        <v/>
      </c>
      <c r="Y2442">
        <f>IFERROR(VLOOKUP(B2442,'Pre-Summary'!$CR$6:$CT$36,3,FALSE),"")</f>
        <v>291.60000000000002</v>
      </c>
      <c r="Z2442" s="45">
        <f>IFERROR(VLOOKUP(B2442,'Pre-Summary'!$BZ$6:$CB$63,2,FALSE),"")</f>
        <v>32.883293425359177</v>
      </c>
      <c r="AA2442" s="45">
        <f>IFERROR(VLOOKUP(B2442,'Pre-Summary'!$CG$6:$CI$70,2,FALSE),"")</f>
        <v>190.50828026094976</v>
      </c>
      <c r="AB2442" s="99">
        <f>IFERROR(VLOOKUP(B2442,'Pre-Summary'!$A$6:$P$178,9,FALSE),AB2443)</f>
        <v>0.37146051582655759</v>
      </c>
      <c r="AC2442" s="10">
        <f>IFERROR(VLOOKUP(Summary!B2442,'Pre-Summary'!$A$6:$P$184,5, FALSE)/100,AC2443)</f>
        <v>0.92695399999999994</v>
      </c>
      <c r="AD2442" s="10">
        <f>IFERROR(VLOOKUP(Summary!B2442,'Pre-Summary'!$A$6:$P$184,3, FALSE)/100,AD2443)</f>
        <v>6.3200000000000006E-2</v>
      </c>
      <c r="AE2442" s="10">
        <f>IFERROR(VLOOKUP(Summary!B2442,'Pre-Summary'!$A$6:$P$184,7, FALSE)/100,AE2443)</f>
        <v>9.8456666666666675E-3</v>
      </c>
      <c r="AF2442" s="99">
        <f t="shared" si="115"/>
        <v>2.3476304600238442E-2</v>
      </c>
      <c r="AG2442" s="99">
        <f t="shared" si="116"/>
        <v>3.6572764186563441E-3</v>
      </c>
      <c r="AH2442" s="10">
        <f>IFERROR(VLOOKUP(B2442,'Pre-Summary'!$AZ$6:$BE$65,3,FALSE),"")</f>
        <v>722</v>
      </c>
      <c r="AI2442" s="10">
        <f>IFERROR(VLOOKUP(B2442,'Pre-Summary'!$AZ$6:$BE$65,5,FALSE),"")</f>
        <v>403</v>
      </c>
      <c r="AJ2442" s="10">
        <f>IFERROR(VLOOKUP(B2442,'Pre-Summary'!$AZ$6:$BE$65,4,FALSE),"")</f>
        <v>591</v>
      </c>
      <c r="AK2442" s="10">
        <f>IFERROR(VLOOKUP(B2442,'Pre-Summary'!$AZ$6:$BE$65,6,FALSE),"")</f>
        <v>352</v>
      </c>
      <c r="AL2442" s="10">
        <f>IFERROR(VLOOKUP(B2442,'Pre-Summary'!$BG$6:$BL$44,3,FALSE),"")</f>
        <v>5.5555710246771355</v>
      </c>
      <c r="AM2442" s="10">
        <f>IFERROR(VLOOKUP(B2442,'Pre-Summary'!$BG$6:$BL$44,4,FALSE),"")</f>
        <v>3.3836786867616016</v>
      </c>
    </row>
    <row r="2443" spans="2:39" ht="15" customHeight="1" x14ac:dyDescent="0.3">
      <c r="B2443">
        <v>244</v>
      </c>
      <c r="C2443" t="str">
        <f>IFERROR(VLOOKUP(B2443,'Pre-Summary'!$DI$6:$DM$23,4,FALSE),"")</f>
        <v/>
      </c>
      <c r="D2443" s="10" t="str">
        <f>IFERROR(VLOOKUP(B2443,'Pre-Summary'!$AT$6:$AX$14,5,FALSE),D2442)</f>
        <v>Wolfe v3: went back to modified wolfe + EDTA and switched CuSO4 to CUCl2</v>
      </c>
      <c r="E2443" s="10" t="str">
        <f>IFERROR(VLOOKUP(B2443,'Pre-Summary'!$AT$6:$AX$15,4,FALSE),"")</f>
        <v/>
      </c>
      <c r="F2443">
        <f>IFERROR(VLOOKUP(B2443,'Pre-Summary'!$AL$6:$AQ$13,6,FALSE),F2442)</f>
        <v>5.9405263157894746E-2</v>
      </c>
      <c r="G2443" t="str">
        <f>IFERROR(VLOOKUP(B2443,'Pre-Summary'!$AE$6:$AJ$85,3,FALSE),"")</f>
        <v/>
      </c>
      <c r="H2443" t="str">
        <f>IFERROR(VLOOKUP(B2443,'Pre-Summary'!$AE$6:$AJ$85,4,FALSE),"")</f>
        <v/>
      </c>
      <c r="I2443" t="str">
        <f>IFERROR(VLOOKUP(B2443,'Pre-Summary'!$AE$6:$AJ$85,5,FALSE),"")</f>
        <v/>
      </c>
      <c r="J2443" s="45" t="str">
        <f>IFERROR(VLOOKUP(B2443,'Pre-Summary'!$AE$6:$AJ$85,6, FALSE),"")</f>
        <v/>
      </c>
      <c r="K2443" s="45" t="str">
        <f>IFERROR(VLOOKUP(B2443,'Pre-Summary'!$DE$6:$DG$61,3,FALSE),"")</f>
        <v/>
      </c>
      <c r="L2443" s="45" t="str">
        <f>IFERROR(VLOOKUP(B2443,'Pre-Summary'!$CU$6:$CW$36,3,FALSE),"")</f>
        <v/>
      </c>
      <c r="M2443" s="45" t="str">
        <f>IFERROR(VLOOKUP(B2443,'Pre-Summary'!$BW$6:$BY$58,2,FALSE),"")</f>
        <v/>
      </c>
      <c r="N2443" s="45" t="str">
        <f>IFERROR(VLOOKUP(B2443,'Pre-Summary'!$CD$6:$CF$64,2,FALSE),"")</f>
        <v/>
      </c>
      <c r="O2443" s="99">
        <f>IFERROR(VLOOKUP(B2443,'Pre-Summary'!$BO$6:$BQ$48,3, FALSE),O2442)</f>
        <v>1.508</v>
      </c>
      <c r="P2443" s="99">
        <f>IFERROR(VLOOKUP(B2443,'Pre-Summary'!$BS$6:$BU$35,3,FALSE),P2442)</f>
        <v>0.4</v>
      </c>
      <c r="Q2443" s="54">
        <f t="shared" si="114"/>
        <v>3.77</v>
      </c>
      <c r="R2443" s="53">
        <f>IFERROR(VLOOKUP(B2443,'Pre-Summary'!$BG$6:$BM$44,7,FALSE),R2444)</f>
        <v>0.1051381075353212</v>
      </c>
      <c r="S2443" s="53">
        <f>IFERROR(VLOOKUP(B2443,'Pre-Summary'!$BG$6:$BM$44,6,FALSE),S2444)</f>
        <v>9.6348174087088401E-2</v>
      </c>
      <c r="T2443" s="45" t="str">
        <f>IFERROR(VLOOKUP(B2443,'Pre-Summary'!$Y$6:$AC$83, 3,FALSE),"")</f>
        <v/>
      </c>
      <c r="U2443" s="45" t="str">
        <f>IFERROR(VLOOKUP(B2443,'Pre-Summary'!$Y$6:$AC$83, 4,FALSE),"")</f>
        <v/>
      </c>
      <c r="V2443" t="str">
        <f>IFERROR(VLOOKUP(B2443,'Pre-Summary'!$Y$6:$AC$83, 5,FALSE),"")</f>
        <v/>
      </c>
      <c r="W2443" s="45" t="str">
        <f>IFERROR(VLOOKUP(B2443,'Pre-Summary'!$Y$6:$AD$83,6,FALSE),"")</f>
        <v/>
      </c>
      <c r="X2443" t="str">
        <f>IFERROR(VLOOKUP('Pre-Summary'!$DB$6:$DD$63,3,FALSE),"")</f>
        <v/>
      </c>
      <c r="Y2443" t="str">
        <f>IFERROR(VLOOKUP(B2443,'Pre-Summary'!$CR$6:$CT$36,3,FALSE),"")</f>
        <v/>
      </c>
      <c r="Z2443" s="45" t="str">
        <f>IFERROR(VLOOKUP(B2443,'Pre-Summary'!$BZ$6:$CB$63,2,FALSE),"")</f>
        <v/>
      </c>
      <c r="AA2443" s="45" t="str">
        <f>IFERROR(VLOOKUP(B2443,'Pre-Summary'!$CG$6:$CI$70,2,FALSE),"")</f>
        <v/>
      </c>
      <c r="AB2443" s="99">
        <f>IFERROR(VLOOKUP(B2443,'Pre-Summary'!$A$6:$P$178,9,FALSE),AB2444)</f>
        <v>0.4103112914127236</v>
      </c>
      <c r="AC2443" s="10">
        <f>IFERROR(VLOOKUP(Summary!B2443,'Pre-Summary'!$A$6:$P$184,5, FALSE)/100,AC2444)</f>
        <v>0.92401933333333319</v>
      </c>
      <c r="AD2443" s="10">
        <f>IFERROR(VLOOKUP(Summary!B2443,'Pre-Summary'!$A$6:$P$184,3, FALSE)/100,AD2444)</f>
        <v>6.4073666666666668E-2</v>
      </c>
      <c r="AE2443" s="10">
        <f>IFERROR(VLOOKUP(Summary!B2443,'Pre-Summary'!$A$6:$P$184,7, FALSE)/100,AE2444)</f>
        <v>1.1906999999999999E-2</v>
      </c>
      <c r="AF2443" s="99">
        <f t="shared" si="115"/>
        <v>2.6290148915548383E-2</v>
      </c>
      <c r="AG2443" s="99">
        <f t="shared" si="116"/>
        <v>4.8855765468512995E-3</v>
      </c>
      <c r="AH2443" s="10" t="str">
        <f>IFERROR(VLOOKUP(B2443,'Pre-Summary'!$AZ$6:$BE$65,3,FALSE),"")</f>
        <v/>
      </c>
      <c r="AI2443" s="10" t="str">
        <f>IFERROR(VLOOKUP(B2443,'Pre-Summary'!$AZ$6:$BE$65,5,FALSE),"")</f>
        <v/>
      </c>
      <c r="AJ2443" s="10" t="str">
        <f>IFERROR(VLOOKUP(B2443,'Pre-Summary'!$AZ$6:$BE$65,4,FALSE),"")</f>
        <v/>
      </c>
      <c r="AK2443" s="10" t="str">
        <f>IFERROR(VLOOKUP(B2443,'Pre-Summary'!$AZ$6:$BE$65,6,FALSE),"")</f>
        <v/>
      </c>
      <c r="AL2443" s="10" t="str">
        <f>IFERROR(VLOOKUP(B2443,'Pre-Summary'!$BG$6:$BL$44,3,FALSE),"")</f>
        <v/>
      </c>
      <c r="AM2443" s="10" t="str">
        <f>IFERROR(VLOOKUP(B2443,'Pre-Summary'!$BG$6:$BL$44,4,FALSE),"")</f>
        <v/>
      </c>
    </row>
    <row r="2444" spans="2:39" ht="15" customHeight="1" x14ac:dyDescent="0.3">
      <c r="B2444">
        <v>244.1</v>
      </c>
      <c r="C2444" t="str">
        <f>IFERROR(VLOOKUP(B2444,'Pre-Summary'!$DI$6:$DM$23,4,FALSE),"")</f>
        <v/>
      </c>
      <c r="D2444" s="10" t="str">
        <f>IFERROR(VLOOKUP(B2444,'Pre-Summary'!$AT$6:$AX$14,5,FALSE),D2443)</f>
        <v>Wolfe v3: went back to modified wolfe + EDTA and switched CuSO4 to CUCl2</v>
      </c>
      <c r="E2444" s="10" t="str">
        <f>IFERROR(VLOOKUP(B2444,'Pre-Summary'!$AT$6:$AX$15,4,FALSE),"")</f>
        <v/>
      </c>
      <c r="F2444">
        <f>IFERROR(VLOOKUP(B2444,'Pre-Summary'!$AL$6:$AQ$13,6,FALSE),F2443)</f>
        <v>5.9405263157894746E-2</v>
      </c>
      <c r="G2444" t="str">
        <f>IFERROR(VLOOKUP(B2444,'Pre-Summary'!$AE$6:$AJ$85,3,FALSE),"")</f>
        <v/>
      </c>
      <c r="H2444" t="str">
        <f>IFERROR(VLOOKUP(B2444,'Pre-Summary'!$AE$6:$AJ$85,4,FALSE),"")</f>
        <v/>
      </c>
      <c r="I2444" t="str">
        <f>IFERROR(VLOOKUP(B2444,'Pre-Summary'!$AE$6:$AJ$85,5,FALSE),"")</f>
        <v/>
      </c>
      <c r="J2444" s="45" t="str">
        <f>IFERROR(VLOOKUP(B2444,'Pre-Summary'!$AE$6:$AJ$85,6, FALSE),"")</f>
        <v/>
      </c>
      <c r="K2444" s="45" t="str">
        <f>IFERROR(VLOOKUP(B2444,'Pre-Summary'!$DE$6:$DG$61,3,FALSE),"")</f>
        <v/>
      </c>
      <c r="L2444" s="45" t="str">
        <f>IFERROR(VLOOKUP(B2444,'Pre-Summary'!$CU$6:$CW$36,3,FALSE),"")</f>
        <v/>
      </c>
      <c r="M2444" s="45" t="str">
        <f>IFERROR(VLOOKUP(B2444,'Pre-Summary'!$BW$6:$BY$58,2,FALSE),"")</f>
        <v/>
      </c>
      <c r="N2444" s="45" t="str">
        <f>IFERROR(VLOOKUP(B2444,'Pre-Summary'!$CD$6:$CF$64,2,FALSE),"")</f>
        <v/>
      </c>
      <c r="O2444" s="99">
        <f>IFERROR(VLOOKUP(B2444,'Pre-Summary'!$BO$6:$BQ$48,3, FALSE),O2443)</f>
        <v>1.508</v>
      </c>
      <c r="P2444" s="99">
        <f>IFERROR(VLOOKUP(B2444,'Pre-Summary'!$BS$6:$BU$35,3,FALSE),P2443)</f>
        <v>0.4</v>
      </c>
      <c r="Q2444" s="54">
        <f t="shared" si="114"/>
        <v>3.77</v>
      </c>
      <c r="R2444" s="53">
        <f>IFERROR(VLOOKUP(B2444,'Pre-Summary'!$BG$6:$BM$44,7,FALSE),R2445)</f>
        <v>0.1051381075353212</v>
      </c>
      <c r="S2444" s="53">
        <f>IFERROR(VLOOKUP(B2444,'Pre-Summary'!$BG$6:$BM$44,6,FALSE),S2445)</f>
        <v>9.6348174087088401E-2</v>
      </c>
      <c r="T2444" s="45" t="str">
        <f>IFERROR(VLOOKUP(B2444,'Pre-Summary'!$Y$6:$AC$83, 3,FALSE),"")</f>
        <v/>
      </c>
      <c r="U2444" s="45" t="str">
        <f>IFERROR(VLOOKUP(B2444,'Pre-Summary'!$Y$6:$AC$83, 4,FALSE),"")</f>
        <v/>
      </c>
      <c r="V2444" t="str">
        <f>IFERROR(VLOOKUP(B2444,'Pre-Summary'!$Y$6:$AC$83, 5,FALSE),"")</f>
        <v/>
      </c>
      <c r="W2444" s="45" t="str">
        <f>IFERROR(VLOOKUP(B2444,'Pre-Summary'!$Y$6:$AD$83,6,FALSE),"")</f>
        <v/>
      </c>
      <c r="X2444" t="str">
        <f>IFERROR(VLOOKUP('Pre-Summary'!$DB$6:$DD$63,3,FALSE),"")</f>
        <v/>
      </c>
      <c r="Y2444" t="str">
        <f>IFERROR(VLOOKUP(B2444,'Pre-Summary'!$CR$6:$CT$36,3,FALSE),"")</f>
        <v/>
      </c>
      <c r="Z2444" s="45" t="str">
        <f>IFERROR(VLOOKUP(B2444,'Pre-Summary'!$BZ$6:$CB$63,2,FALSE),"")</f>
        <v/>
      </c>
      <c r="AA2444" s="45" t="str">
        <f>IFERROR(VLOOKUP(B2444,'Pre-Summary'!$CG$6:$CI$70,2,FALSE),"")</f>
        <v/>
      </c>
      <c r="AB2444" s="99">
        <f>IFERROR(VLOOKUP(B2444,'Pre-Summary'!$A$6:$P$178,9,FALSE),AB2445)</f>
        <v>0.4103112914127236</v>
      </c>
      <c r="AC2444" s="10">
        <f>IFERROR(VLOOKUP(Summary!B2444,'Pre-Summary'!$A$6:$P$184,5, FALSE)/100,AC2445)</f>
        <v>0.92401933333333319</v>
      </c>
      <c r="AD2444" s="10">
        <f>IFERROR(VLOOKUP(Summary!B2444,'Pre-Summary'!$A$6:$P$184,3, FALSE)/100,AD2445)</f>
        <v>6.4073666666666668E-2</v>
      </c>
      <c r="AE2444" s="10">
        <f>IFERROR(VLOOKUP(Summary!B2444,'Pre-Summary'!$A$6:$P$184,7, FALSE)/100,AE2445)</f>
        <v>1.1906999999999999E-2</v>
      </c>
      <c r="AF2444" s="99">
        <f t="shared" si="115"/>
        <v>2.6290148915548383E-2</v>
      </c>
      <c r="AG2444" s="99">
        <f t="shared" si="116"/>
        <v>4.8855765468512995E-3</v>
      </c>
      <c r="AH2444" s="10" t="str">
        <f>IFERROR(VLOOKUP(B2444,'Pre-Summary'!$AZ$6:$BE$65,3,FALSE),"")</f>
        <v/>
      </c>
      <c r="AI2444" s="10" t="str">
        <f>IFERROR(VLOOKUP(B2444,'Pre-Summary'!$AZ$6:$BE$65,5,FALSE),"")</f>
        <v/>
      </c>
      <c r="AJ2444" s="10" t="str">
        <f>IFERROR(VLOOKUP(B2444,'Pre-Summary'!$AZ$6:$BE$65,4,FALSE),"")</f>
        <v/>
      </c>
      <c r="AK2444" s="10" t="str">
        <f>IFERROR(VLOOKUP(B2444,'Pre-Summary'!$AZ$6:$BE$65,6,FALSE),"")</f>
        <v/>
      </c>
      <c r="AL2444" s="10" t="str">
        <f>IFERROR(VLOOKUP(B2444,'Pre-Summary'!$BG$6:$BL$44,3,FALSE),"")</f>
        <v/>
      </c>
      <c r="AM2444" s="10" t="str">
        <f>IFERROR(VLOOKUP(B2444,'Pre-Summary'!$BG$6:$BL$44,4,FALSE),"")</f>
        <v/>
      </c>
    </row>
    <row r="2445" spans="2:39" ht="15" customHeight="1" x14ac:dyDescent="0.3">
      <c r="B2445">
        <v>244.2</v>
      </c>
      <c r="C2445" t="str">
        <f>IFERROR(VLOOKUP(B2445,'Pre-Summary'!$DI$6:$DM$23,4,FALSE),"")</f>
        <v/>
      </c>
      <c r="D2445" s="10" t="str">
        <f>IFERROR(VLOOKUP(B2445,'Pre-Summary'!$AT$6:$AX$14,5,FALSE),D2444)</f>
        <v>Wolfe v3: went back to modified wolfe + EDTA and switched CuSO4 to CUCl2</v>
      </c>
      <c r="E2445" s="10" t="str">
        <f>IFERROR(VLOOKUP(B2445,'Pre-Summary'!$AT$6:$AX$15,4,FALSE),"")</f>
        <v/>
      </c>
      <c r="F2445">
        <f>IFERROR(VLOOKUP(B2445,'Pre-Summary'!$AL$6:$AQ$13,6,FALSE),F2444)</f>
        <v>5.9405263157894746E-2</v>
      </c>
      <c r="G2445" t="str">
        <f>IFERROR(VLOOKUP(B2445,'Pre-Summary'!$AE$6:$AJ$85,3,FALSE),"")</f>
        <v/>
      </c>
      <c r="H2445" t="str">
        <f>IFERROR(VLOOKUP(B2445,'Pre-Summary'!$AE$6:$AJ$85,4,FALSE),"")</f>
        <v/>
      </c>
      <c r="I2445" t="str">
        <f>IFERROR(VLOOKUP(B2445,'Pre-Summary'!$AE$6:$AJ$85,5,FALSE),"")</f>
        <v/>
      </c>
      <c r="J2445" s="45" t="str">
        <f>IFERROR(VLOOKUP(B2445,'Pre-Summary'!$AE$6:$AJ$85,6, FALSE),"")</f>
        <v/>
      </c>
      <c r="K2445" s="45" t="str">
        <f>IFERROR(VLOOKUP(B2445,'Pre-Summary'!$DE$6:$DG$61,3,FALSE),"")</f>
        <v/>
      </c>
      <c r="L2445" s="45" t="str">
        <f>IFERROR(VLOOKUP(B2445,'Pre-Summary'!$CU$6:$CW$36,3,FALSE),"")</f>
        <v/>
      </c>
      <c r="M2445" s="45" t="str">
        <f>IFERROR(VLOOKUP(B2445,'Pre-Summary'!$BW$6:$BY$58,2,FALSE),"")</f>
        <v/>
      </c>
      <c r="N2445" s="45" t="str">
        <f>IFERROR(VLOOKUP(B2445,'Pre-Summary'!$CD$6:$CF$64,2,FALSE),"")</f>
        <v/>
      </c>
      <c r="O2445" s="99">
        <f>IFERROR(VLOOKUP(B2445,'Pre-Summary'!$BO$6:$BQ$48,3, FALSE),O2444)</f>
        <v>1.508</v>
      </c>
      <c r="P2445" s="99">
        <f>IFERROR(VLOOKUP(B2445,'Pre-Summary'!$BS$6:$BU$35,3,FALSE),P2444)</f>
        <v>0.4</v>
      </c>
      <c r="Q2445" s="54">
        <f t="shared" si="114"/>
        <v>3.77</v>
      </c>
      <c r="R2445" s="53">
        <f>IFERROR(VLOOKUP(B2445,'Pre-Summary'!$BG$6:$BM$44,7,FALSE),R2446)</f>
        <v>0.1051381075353212</v>
      </c>
      <c r="S2445" s="53">
        <f>IFERROR(VLOOKUP(B2445,'Pre-Summary'!$BG$6:$BM$44,6,FALSE),S2446)</f>
        <v>9.6348174087088401E-2</v>
      </c>
      <c r="T2445" s="45" t="str">
        <f>IFERROR(VLOOKUP(B2445,'Pre-Summary'!$Y$6:$AC$83, 3,FALSE),"")</f>
        <v/>
      </c>
      <c r="U2445" s="45" t="str">
        <f>IFERROR(VLOOKUP(B2445,'Pre-Summary'!$Y$6:$AC$83, 4,FALSE),"")</f>
        <v/>
      </c>
      <c r="V2445" t="str">
        <f>IFERROR(VLOOKUP(B2445,'Pre-Summary'!$Y$6:$AC$83, 5,FALSE),"")</f>
        <v/>
      </c>
      <c r="W2445" s="45" t="str">
        <f>IFERROR(VLOOKUP(B2445,'Pre-Summary'!$Y$6:$AD$83,6,FALSE),"")</f>
        <v/>
      </c>
      <c r="X2445" t="str">
        <f>IFERROR(VLOOKUP('Pre-Summary'!$DB$6:$DD$63,3,FALSE),"")</f>
        <v/>
      </c>
      <c r="Y2445" t="str">
        <f>IFERROR(VLOOKUP(B2445,'Pre-Summary'!$CR$6:$CT$36,3,FALSE),"")</f>
        <v/>
      </c>
      <c r="Z2445" s="45" t="str">
        <f>IFERROR(VLOOKUP(B2445,'Pre-Summary'!$BZ$6:$CB$63,2,FALSE),"")</f>
        <v/>
      </c>
      <c r="AA2445" s="45" t="str">
        <f>IFERROR(VLOOKUP(B2445,'Pre-Summary'!$CG$6:$CI$70,2,FALSE),"")</f>
        <v/>
      </c>
      <c r="AB2445" s="99">
        <f>IFERROR(VLOOKUP(B2445,'Pre-Summary'!$A$6:$P$178,9,FALSE),AB2446)</f>
        <v>0.4103112914127236</v>
      </c>
      <c r="AC2445" s="10">
        <f>IFERROR(VLOOKUP(Summary!B2445,'Pre-Summary'!$A$6:$P$184,5, FALSE)/100,AC2446)</f>
        <v>0.92401933333333319</v>
      </c>
      <c r="AD2445" s="10">
        <f>IFERROR(VLOOKUP(Summary!B2445,'Pre-Summary'!$A$6:$P$184,3, FALSE)/100,AD2446)</f>
        <v>6.4073666666666668E-2</v>
      </c>
      <c r="AE2445" s="10">
        <f>IFERROR(VLOOKUP(Summary!B2445,'Pre-Summary'!$A$6:$P$184,7, FALSE)/100,AE2446)</f>
        <v>1.1906999999999999E-2</v>
      </c>
      <c r="AF2445" s="99">
        <f t="shared" si="115"/>
        <v>2.6290148915548383E-2</v>
      </c>
      <c r="AG2445" s="99">
        <f t="shared" si="116"/>
        <v>4.8855765468512995E-3</v>
      </c>
      <c r="AH2445" s="10" t="str">
        <f>IFERROR(VLOOKUP(B2445,'Pre-Summary'!$AZ$6:$BE$65,3,FALSE),"")</f>
        <v/>
      </c>
      <c r="AI2445" s="10" t="str">
        <f>IFERROR(VLOOKUP(B2445,'Pre-Summary'!$AZ$6:$BE$65,5,FALSE),"")</f>
        <v/>
      </c>
      <c r="AJ2445" s="10" t="str">
        <f>IFERROR(VLOOKUP(B2445,'Pre-Summary'!$AZ$6:$BE$65,4,FALSE),"")</f>
        <v/>
      </c>
      <c r="AK2445" s="10" t="str">
        <f>IFERROR(VLOOKUP(B2445,'Pre-Summary'!$AZ$6:$BE$65,6,FALSE),"")</f>
        <v/>
      </c>
      <c r="AL2445" s="10" t="str">
        <f>IFERROR(VLOOKUP(B2445,'Pre-Summary'!$BG$6:$BL$44,3,FALSE),"")</f>
        <v/>
      </c>
      <c r="AM2445" s="10" t="str">
        <f>IFERROR(VLOOKUP(B2445,'Pre-Summary'!$BG$6:$BL$44,4,FALSE),"")</f>
        <v/>
      </c>
    </row>
    <row r="2446" spans="2:39" ht="15" customHeight="1" x14ac:dyDescent="0.3">
      <c r="B2446">
        <v>244.3</v>
      </c>
      <c r="C2446" t="str">
        <f>IFERROR(VLOOKUP(B2446,'Pre-Summary'!$DI$6:$DM$23,4,FALSE),"")</f>
        <v/>
      </c>
      <c r="D2446" s="10" t="str">
        <f>IFERROR(VLOOKUP(B2446,'Pre-Summary'!$AT$6:$AX$14,5,FALSE),D2445)</f>
        <v>Wolfe v3: went back to modified wolfe + EDTA and switched CuSO4 to CUCl2</v>
      </c>
      <c r="E2446" s="10" t="str">
        <f>IFERROR(VLOOKUP(B2446,'Pre-Summary'!$AT$6:$AX$15,4,FALSE),"")</f>
        <v/>
      </c>
      <c r="F2446">
        <f>IFERROR(VLOOKUP(B2446,'Pre-Summary'!$AL$6:$AQ$13,6,FALSE),F2445)</f>
        <v>5.9405263157894746E-2</v>
      </c>
      <c r="G2446" t="str">
        <f>IFERROR(VLOOKUP(B2446,'Pre-Summary'!$AE$6:$AJ$85,3,FALSE),"")</f>
        <v/>
      </c>
      <c r="H2446" t="str">
        <f>IFERROR(VLOOKUP(B2446,'Pre-Summary'!$AE$6:$AJ$85,4,FALSE),"")</f>
        <v/>
      </c>
      <c r="I2446" t="str">
        <f>IFERROR(VLOOKUP(B2446,'Pre-Summary'!$AE$6:$AJ$85,5,FALSE),"")</f>
        <v/>
      </c>
      <c r="J2446" s="45" t="str">
        <f>IFERROR(VLOOKUP(B2446,'Pre-Summary'!$AE$6:$AJ$85,6, FALSE),"")</f>
        <v/>
      </c>
      <c r="K2446" s="45" t="str">
        <f>IFERROR(VLOOKUP(B2446,'Pre-Summary'!$DE$6:$DG$61,3,FALSE),"")</f>
        <v/>
      </c>
      <c r="L2446" s="45" t="str">
        <f>IFERROR(VLOOKUP(B2446,'Pre-Summary'!$CU$6:$CW$36,3,FALSE),"")</f>
        <v/>
      </c>
      <c r="M2446" s="45" t="str">
        <f>IFERROR(VLOOKUP(B2446,'Pre-Summary'!$BW$6:$BY$58,2,FALSE),"")</f>
        <v/>
      </c>
      <c r="N2446" s="45" t="str">
        <f>IFERROR(VLOOKUP(B2446,'Pre-Summary'!$CD$6:$CF$64,2,FALSE),"")</f>
        <v/>
      </c>
      <c r="O2446" s="99">
        <f>IFERROR(VLOOKUP(B2446,'Pre-Summary'!$BO$6:$BQ$48,3, FALSE),O2445)</f>
        <v>1.508</v>
      </c>
      <c r="P2446" s="99">
        <f>IFERROR(VLOOKUP(B2446,'Pre-Summary'!$BS$6:$BU$35,3,FALSE),P2445)</f>
        <v>0.4</v>
      </c>
      <c r="Q2446" s="54">
        <f t="shared" si="114"/>
        <v>3.77</v>
      </c>
      <c r="R2446" s="53">
        <f>IFERROR(VLOOKUP(B2446,'Pre-Summary'!$BG$6:$BM$44,7,FALSE),R2447)</f>
        <v>0.1051381075353212</v>
      </c>
      <c r="S2446" s="53">
        <f>IFERROR(VLOOKUP(B2446,'Pre-Summary'!$BG$6:$BM$44,6,FALSE),S2447)</f>
        <v>9.6348174087088401E-2</v>
      </c>
      <c r="T2446" s="45" t="str">
        <f>IFERROR(VLOOKUP(B2446,'Pre-Summary'!$Y$6:$AC$83, 3,FALSE),"")</f>
        <v/>
      </c>
      <c r="U2446" s="45" t="str">
        <f>IFERROR(VLOOKUP(B2446,'Pre-Summary'!$Y$6:$AC$83, 4,FALSE),"")</f>
        <v/>
      </c>
      <c r="V2446" t="str">
        <f>IFERROR(VLOOKUP(B2446,'Pre-Summary'!$Y$6:$AC$83, 5,FALSE),"")</f>
        <v/>
      </c>
      <c r="W2446" s="45" t="str">
        <f>IFERROR(VLOOKUP(B2446,'Pre-Summary'!$Y$6:$AD$83,6,FALSE),"")</f>
        <v/>
      </c>
      <c r="X2446" t="str">
        <f>IFERROR(VLOOKUP('Pre-Summary'!$DB$6:$DD$63,3,FALSE),"")</f>
        <v/>
      </c>
      <c r="Y2446" t="str">
        <f>IFERROR(VLOOKUP(B2446,'Pre-Summary'!$CR$6:$CT$36,3,FALSE),"")</f>
        <v/>
      </c>
      <c r="Z2446" s="45" t="str">
        <f>IFERROR(VLOOKUP(B2446,'Pre-Summary'!$BZ$6:$CB$63,2,FALSE),"")</f>
        <v/>
      </c>
      <c r="AA2446" s="45" t="str">
        <f>IFERROR(VLOOKUP(B2446,'Pre-Summary'!$CG$6:$CI$70,2,FALSE),"")</f>
        <v/>
      </c>
      <c r="AB2446" s="99">
        <f>IFERROR(VLOOKUP(B2446,'Pre-Summary'!$A$6:$P$178,9,FALSE),AB2447)</f>
        <v>0.4103112914127236</v>
      </c>
      <c r="AC2446" s="10">
        <f>IFERROR(VLOOKUP(Summary!B2446,'Pre-Summary'!$A$6:$P$184,5, FALSE)/100,AC2447)</f>
        <v>0.92401933333333319</v>
      </c>
      <c r="AD2446" s="10">
        <f>IFERROR(VLOOKUP(Summary!B2446,'Pre-Summary'!$A$6:$P$184,3, FALSE)/100,AD2447)</f>
        <v>6.4073666666666668E-2</v>
      </c>
      <c r="AE2446" s="10">
        <f>IFERROR(VLOOKUP(Summary!B2446,'Pre-Summary'!$A$6:$P$184,7, FALSE)/100,AE2447)</f>
        <v>1.1906999999999999E-2</v>
      </c>
      <c r="AF2446" s="99">
        <f t="shared" si="115"/>
        <v>2.6290148915548383E-2</v>
      </c>
      <c r="AG2446" s="99">
        <f t="shared" si="116"/>
        <v>4.8855765468512995E-3</v>
      </c>
      <c r="AH2446" s="10" t="str">
        <f>IFERROR(VLOOKUP(B2446,'Pre-Summary'!$AZ$6:$BE$65,3,FALSE),"")</f>
        <v/>
      </c>
      <c r="AI2446" s="10" t="str">
        <f>IFERROR(VLOOKUP(B2446,'Pre-Summary'!$AZ$6:$BE$65,5,FALSE),"")</f>
        <v/>
      </c>
      <c r="AJ2446" s="10" t="str">
        <f>IFERROR(VLOOKUP(B2446,'Pre-Summary'!$AZ$6:$BE$65,4,FALSE),"")</f>
        <v/>
      </c>
      <c r="AK2446" s="10" t="str">
        <f>IFERROR(VLOOKUP(B2446,'Pre-Summary'!$AZ$6:$BE$65,6,FALSE),"")</f>
        <v/>
      </c>
      <c r="AL2446" s="10" t="str">
        <f>IFERROR(VLOOKUP(B2446,'Pre-Summary'!$BG$6:$BL$44,3,FALSE),"")</f>
        <v/>
      </c>
      <c r="AM2446" s="10" t="str">
        <f>IFERROR(VLOOKUP(B2446,'Pre-Summary'!$BG$6:$BL$44,4,FALSE),"")</f>
        <v/>
      </c>
    </row>
    <row r="2447" spans="2:39" ht="15" customHeight="1" x14ac:dyDescent="0.3">
      <c r="B2447">
        <v>244.4</v>
      </c>
      <c r="C2447" t="str">
        <f>IFERROR(VLOOKUP(B2447,'Pre-Summary'!$DI$6:$DM$23,4,FALSE),"")</f>
        <v/>
      </c>
      <c r="D2447" s="10" t="str">
        <f>IFERROR(VLOOKUP(B2447,'Pre-Summary'!$AT$6:$AX$14,5,FALSE),D2446)</f>
        <v>Wolfe v3: went back to modified wolfe + EDTA and switched CuSO4 to CUCl2</v>
      </c>
      <c r="E2447" s="10" t="str">
        <f>IFERROR(VLOOKUP(B2447,'Pre-Summary'!$AT$6:$AX$15,4,FALSE),"")</f>
        <v/>
      </c>
      <c r="F2447">
        <f>IFERROR(VLOOKUP(B2447,'Pre-Summary'!$AL$6:$AQ$13,6,FALSE),F2446)</f>
        <v>5.9405263157894746E-2</v>
      </c>
      <c r="G2447" t="str">
        <f>IFERROR(VLOOKUP(B2447,'Pre-Summary'!$AE$6:$AJ$85,3,FALSE),"")</f>
        <v/>
      </c>
      <c r="H2447" t="str">
        <f>IFERROR(VLOOKUP(B2447,'Pre-Summary'!$AE$6:$AJ$85,4,FALSE),"")</f>
        <v/>
      </c>
      <c r="I2447" t="str">
        <f>IFERROR(VLOOKUP(B2447,'Pre-Summary'!$AE$6:$AJ$85,5,FALSE),"")</f>
        <v/>
      </c>
      <c r="J2447" s="45" t="str">
        <f>IFERROR(VLOOKUP(B2447,'Pre-Summary'!$AE$6:$AJ$85,6, FALSE),"")</f>
        <v/>
      </c>
      <c r="K2447" s="45" t="str">
        <f>IFERROR(VLOOKUP(B2447,'Pre-Summary'!$DE$6:$DG$61,3,FALSE),"")</f>
        <v/>
      </c>
      <c r="L2447" s="45" t="str">
        <f>IFERROR(VLOOKUP(B2447,'Pre-Summary'!$CU$6:$CW$36,3,FALSE),"")</f>
        <v/>
      </c>
      <c r="M2447" s="45" t="str">
        <f>IFERROR(VLOOKUP(B2447,'Pre-Summary'!$BW$6:$BY$58,2,FALSE),"")</f>
        <v/>
      </c>
      <c r="N2447" s="45" t="str">
        <f>IFERROR(VLOOKUP(B2447,'Pre-Summary'!$CD$6:$CF$64,2,FALSE),"")</f>
        <v/>
      </c>
      <c r="O2447" s="99">
        <f>IFERROR(VLOOKUP(B2447,'Pre-Summary'!$BO$6:$BQ$48,3, FALSE),O2446)</f>
        <v>1.508</v>
      </c>
      <c r="P2447" s="99">
        <f>IFERROR(VLOOKUP(B2447,'Pre-Summary'!$BS$6:$BU$35,3,FALSE),P2446)</f>
        <v>0.4</v>
      </c>
      <c r="Q2447" s="54">
        <f t="shared" si="114"/>
        <v>3.77</v>
      </c>
      <c r="R2447" s="53">
        <f>IFERROR(VLOOKUP(B2447,'Pre-Summary'!$BG$6:$BM$44,7,FALSE),R2448)</f>
        <v>0.1051381075353212</v>
      </c>
      <c r="S2447" s="53">
        <f>IFERROR(VLOOKUP(B2447,'Pre-Summary'!$BG$6:$BM$44,6,FALSE),S2448)</f>
        <v>9.6348174087088401E-2</v>
      </c>
      <c r="T2447" s="45" t="str">
        <f>IFERROR(VLOOKUP(B2447,'Pre-Summary'!$Y$6:$AC$83, 3,FALSE),"")</f>
        <v/>
      </c>
      <c r="U2447" s="45" t="str">
        <f>IFERROR(VLOOKUP(B2447,'Pre-Summary'!$Y$6:$AC$83, 4,FALSE),"")</f>
        <v/>
      </c>
      <c r="V2447" t="str">
        <f>IFERROR(VLOOKUP(B2447,'Pre-Summary'!$Y$6:$AC$83, 5,FALSE),"")</f>
        <v/>
      </c>
      <c r="W2447" s="45" t="str">
        <f>IFERROR(VLOOKUP(B2447,'Pre-Summary'!$Y$6:$AD$83,6,FALSE),"")</f>
        <v/>
      </c>
      <c r="X2447" t="str">
        <f>IFERROR(VLOOKUP('Pre-Summary'!$DB$6:$DD$63,3,FALSE),"")</f>
        <v/>
      </c>
      <c r="Y2447" t="str">
        <f>IFERROR(VLOOKUP(B2447,'Pre-Summary'!$CR$6:$CT$36,3,FALSE),"")</f>
        <v/>
      </c>
      <c r="Z2447" s="45" t="str">
        <f>IFERROR(VLOOKUP(B2447,'Pre-Summary'!$BZ$6:$CB$63,2,FALSE),"")</f>
        <v/>
      </c>
      <c r="AA2447" s="45" t="str">
        <f>IFERROR(VLOOKUP(B2447,'Pre-Summary'!$CG$6:$CI$70,2,FALSE),"")</f>
        <v/>
      </c>
      <c r="AB2447" s="99">
        <f>IFERROR(VLOOKUP(B2447,'Pre-Summary'!$A$6:$P$178,9,FALSE),AB2448)</f>
        <v>0.4103112914127236</v>
      </c>
      <c r="AC2447" s="10">
        <f>IFERROR(VLOOKUP(Summary!B2447,'Pre-Summary'!$A$6:$P$184,5, FALSE)/100,AC2448)</f>
        <v>0.92401933333333319</v>
      </c>
      <c r="AD2447" s="10">
        <f>IFERROR(VLOOKUP(Summary!B2447,'Pre-Summary'!$A$6:$P$184,3, FALSE)/100,AD2448)</f>
        <v>6.4073666666666668E-2</v>
      </c>
      <c r="AE2447" s="10">
        <f>IFERROR(VLOOKUP(Summary!B2447,'Pre-Summary'!$A$6:$P$184,7, FALSE)/100,AE2448)</f>
        <v>1.1906999999999999E-2</v>
      </c>
      <c r="AF2447" s="99">
        <f t="shared" si="115"/>
        <v>2.6290148915548383E-2</v>
      </c>
      <c r="AG2447" s="99">
        <f t="shared" si="116"/>
        <v>4.8855765468512995E-3</v>
      </c>
      <c r="AH2447" s="10" t="str">
        <f>IFERROR(VLOOKUP(B2447,'Pre-Summary'!$AZ$6:$BE$65,3,FALSE),"")</f>
        <v/>
      </c>
      <c r="AI2447" s="10" t="str">
        <f>IFERROR(VLOOKUP(B2447,'Pre-Summary'!$AZ$6:$BE$65,5,FALSE),"")</f>
        <v/>
      </c>
      <c r="AJ2447" s="10" t="str">
        <f>IFERROR(VLOOKUP(B2447,'Pre-Summary'!$AZ$6:$BE$65,4,FALSE),"")</f>
        <v/>
      </c>
      <c r="AK2447" s="10" t="str">
        <f>IFERROR(VLOOKUP(B2447,'Pre-Summary'!$AZ$6:$BE$65,6,FALSE),"")</f>
        <v/>
      </c>
      <c r="AL2447" s="10" t="str">
        <f>IFERROR(VLOOKUP(B2447,'Pre-Summary'!$BG$6:$BL$44,3,FALSE),"")</f>
        <v/>
      </c>
      <c r="AM2447" s="10" t="str">
        <f>IFERROR(VLOOKUP(B2447,'Pre-Summary'!$BG$6:$BL$44,4,FALSE),"")</f>
        <v/>
      </c>
    </row>
    <row r="2448" spans="2:39" ht="15" customHeight="1" x14ac:dyDescent="0.3">
      <c r="B2448">
        <v>244.5</v>
      </c>
      <c r="C2448" t="str">
        <f>IFERROR(VLOOKUP(B2448,'Pre-Summary'!$DI$6:$DM$23,4,FALSE),"")</f>
        <v/>
      </c>
      <c r="D2448" s="10" t="str">
        <f>IFERROR(VLOOKUP(B2448,'Pre-Summary'!$AT$6:$AX$14,5,FALSE),D2447)</f>
        <v>Wolfe v3: went back to modified wolfe + EDTA and switched CuSO4 to CUCl2</v>
      </c>
      <c r="E2448" s="10" t="str">
        <f>IFERROR(VLOOKUP(B2448,'Pre-Summary'!$AT$6:$AX$15,4,FALSE),"")</f>
        <v/>
      </c>
      <c r="F2448">
        <f>IFERROR(VLOOKUP(B2448,'Pre-Summary'!$AL$6:$AQ$13,6,FALSE),F2447)</f>
        <v>5.9405263157894746E-2</v>
      </c>
      <c r="G2448" t="str">
        <f>IFERROR(VLOOKUP(B2448,'Pre-Summary'!$AE$6:$AJ$85,3,FALSE),"")</f>
        <v/>
      </c>
      <c r="H2448" t="str">
        <f>IFERROR(VLOOKUP(B2448,'Pre-Summary'!$AE$6:$AJ$85,4,FALSE),"")</f>
        <v/>
      </c>
      <c r="I2448" t="str">
        <f>IFERROR(VLOOKUP(B2448,'Pre-Summary'!$AE$6:$AJ$85,5,FALSE),"")</f>
        <v/>
      </c>
      <c r="J2448" s="45" t="str">
        <f>IFERROR(VLOOKUP(B2448,'Pre-Summary'!$AE$6:$AJ$85,6, FALSE),"")</f>
        <v/>
      </c>
      <c r="K2448" s="45" t="str">
        <f>IFERROR(VLOOKUP(B2448,'Pre-Summary'!$DE$6:$DG$61,3,FALSE),"")</f>
        <v/>
      </c>
      <c r="L2448" s="45" t="str">
        <f>IFERROR(VLOOKUP(B2448,'Pre-Summary'!$CU$6:$CW$36,3,FALSE),"")</f>
        <v/>
      </c>
      <c r="M2448" s="45" t="str">
        <f>IFERROR(VLOOKUP(B2448,'Pre-Summary'!$BW$6:$BY$58,2,FALSE),"")</f>
        <v/>
      </c>
      <c r="N2448" s="45" t="str">
        <f>IFERROR(VLOOKUP(B2448,'Pre-Summary'!$CD$6:$CF$64,2,FALSE),"")</f>
        <v/>
      </c>
      <c r="O2448" s="99">
        <f>IFERROR(VLOOKUP(B2448,'Pre-Summary'!$BO$6:$BQ$48,3, FALSE),O2447)</f>
        <v>1.508</v>
      </c>
      <c r="P2448" s="99">
        <f>IFERROR(VLOOKUP(B2448,'Pre-Summary'!$BS$6:$BU$35,3,FALSE),P2447)</f>
        <v>0.4</v>
      </c>
      <c r="Q2448" s="54">
        <f t="shared" si="114"/>
        <v>3.77</v>
      </c>
      <c r="R2448" s="53">
        <f>IFERROR(VLOOKUP(B2448,'Pre-Summary'!$BG$6:$BM$44,7,FALSE),R2449)</f>
        <v>0.1051381075353212</v>
      </c>
      <c r="S2448" s="53">
        <f>IFERROR(VLOOKUP(B2448,'Pre-Summary'!$BG$6:$BM$44,6,FALSE),S2449)</f>
        <v>9.6348174087088401E-2</v>
      </c>
      <c r="T2448" s="45" t="str">
        <f>IFERROR(VLOOKUP(B2448,'Pre-Summary'!$Y$6:$AC$83, 3,FALSE),"")</f>
        <v/>
      </c>
      <c r="U2448" s="45" t="str">
        <f>IFERROR(VLOOKUP(B2448,'Pre-Summary'!$Y$6:$AC$83, 4,FALSE),"")</f>
        <v/>
      </c>
      <c r="V2448" t="str">
        <f>IFERROR(VLOOKUP(B2448,'Pre-Summary'!$Y$6:$AC$83, 5,FALSE),"")</f>
        <v/>
      </c>
      <c r="W2448" s="45" t="str">
        <f>IFERROR(VLOOKUP(B2448,'Pre-Summary'!$Y$6:$AD$83,6,FALSE),"")</f>
        <v/>
      </c>
      <c r="X2448" t="str">
        <f>IFERROR(VLOOKUP('Pre-Summary'!$DB$6:$DD$63,3,FALSE),"")</f>
        <v/>
      </c>
      <c r="Y2448" t="str">
        <f>IFERROR(VLOOKUP(B2448,'Pre-Summary'!$CR$6:$CT$36,3,FALSE),"")</f>
        <v/>
      </c>
      <c r="Z2448" s="45" t="str">
        <f>IFERROR(VLOOKUP(B2448,'Pre-Summary'!$BZ$6:$CB$63,2,FALSE),"")</f>
        <v/>
      </c>
      <c r="AA2448" s="45" t="str">
        <f>IFERROR(VLOOKUP(B2448,'Pre-Summary'!$CG$6:$CI$70,2,FALSE),"")</f>
        <v/>
      </c>
      <c r="AB2448" s="99">
        <f>IFERROR(VLOOKUP(B2448,'Pre-Summary'!$A$6:$P$178,9,FALSE),AB2449)</f>
        <v>0.4103112914127236</v>
      </c>
      <c r="AC2448" s="10">
        <f>IFERROR(VLOOKUP(Summary!B2448,'Pre-Summary'!$A$6:$P$184,5, FALSE)/100,AC2449)</f>
        <v>0.92401933333333319</v>
      </c>
      <c r="AD2448" s="10">
        <f>IFERROR(VLOOKUP(Summary!B2448,'Pre-Summary'!$A$6:$P$184,3, FALSE)/100,AD2449)</f>
        <v>6.4073666666666668E-2</v>
      </c>
      <c r="AE2448" s="10">
        <f>IFERROR(VLOOKUP(Summary!B2448,'Pre-Summary'!$A$6:$P$184,7, FALSE)/100,AE2449)</f>
        <v>1.1906999999999999E-2</v>
      </c>
      <c r="AF2448" s="99">
        <f t="shared" si="115"/>
        <v>2.6290148915548383E-2</v>
      </c>
      <c r="AG2448" s="99">
        <f t="shared" si="116"/>
        <v>4.8855765468512995E-3</v>
      </c>
      <c r="AH2448" s="10" t="str">
        <f>IFERROR(VLOOKUP(B2448,'Pre-Summary'!$AZ$6:$BE$65,3,FALSE),"")</f>
        <v/>
      </c>
      <c r="AI2448" s="10" t="str">
        <f>IFERROR(VLOOKUP(B2448,'Pre-Summary'!$AZ$6:$BE$65,5,FALSE),"")</f>
        <v/>
      </c>
      <c r="AJ2448" s="10" t="str">
        <f>IFERROR(VLOOKUP(B2448,'Pre-Summary'!$AZ$6:$BE$65,4,FALSE),"")</f>
        <v/>
      </c>
      <c r="AK2448" s="10" t="str">
        <f>IFERROR(VLOOKUP(B2448,'Pre-Summary'!$AZ$6:$BE$65,6,FALSE),"")</f>
        <v/>
      </c>
      <c r="AL2448" s="10" t="str">
        <f>IFERROR(VLOOKUP(B2448,'Pre-Summary'!$BG$6:$BL$44,3,FALSE),"")</f>
        <v/>
      </c>
      <c r="AM2448" s="10" t="str">
        <f>IFERROR(VLOOKUP(B2448,'Pre-Summary'!$BG$6:$BL$44,4,FALSE),"")</f>
        <v/>
      </c>
    </row>
    <row r="2449" spans="2:39" ht="15" customHeight="1" x14ac:dyDescent="0.3">
      <c r="B2449">
        <v>244.6</v>
      </c>
      <c r="C2449" t="str">
        <f>IFERROR(VLOOKUP(B2449,'Pre-Summary'!$DI$6:$DM$23,4,FALSE),"")</f>
        <v/>
      </c>
      <c r="D2449" s="10" t="str">
        <f>IFERROR(VLOOKUP(B2449,'Pre-Summary'!$AT$6:$AX$14,5,FALSE),D2448)</f>
        <v>Wolfe v3: went back to modified wolfe + EDTA and switched CuSO4 to CUCl2</v>
      </c>
      <c r="E2449" s="10" t="str">
        <f>IFERROR(VLOOKUP(B2449,'Pre-Summary'!$AT$6:$AX$15,4,FALSE),"")</f>
        <v/>
      </c>
      <c r="F2449">
        <f>IFERROR(VLOOKUP(B2449,'Pre-Summary'!$AL$6:$AQ$13,6,FALSE),F2448)</f>
        <v>5.9405263157894746E-2</v>
      </c>
      <c r="G2449" t="str">
        <f>IFERROR(VLOOKUP(B2449,'Pre-Summary'!$AE$6:$AJ$85,3,FALSE),"")</f>
        <v/>
      </c>
      <c r="H2449" t="str">
        <f>IFERROR(VLOOKUP(B2449,'Pre-Summary'!$AE$6:$AJ$85,4,FALSE),"")</f>
        <v/>
      </c>
      <c r="I2449" t="str">
        <f>IFERROR(VLOOKUP(B2449,'Pre-Summary'!$AE$6:$AJ$85,5,FALSE),"")</f>
        <v/>
      </c>
      <c r="J2449" s="45" t="str">
        <f>IFERROR(VLOOKUP(B2449,'Pre-Summary'!$AE$6:$AJ$85,6, FALSE),"")</f>
        <v/>
      </c>
      <c r="K2449" s="45" t="str">
        <f>IFERROR(VLOOKUP(B2449,'Pre-Summary'!$DE$6:$DG$61,3,FALSE),"")</f>
        <v/>
      </c>
      <c r="L2449" s="45" t="str">
        <f>IFERROR(VLOOKUP(B2449,'Pre-Summary'!$CU$6:$CW$36,3,FALSE),"")</f>
        <v/>
      </c>
      <c r="M2449" s="45" t="str">
        <f>IFERROR(VLOOKUP(B2449,'Pre-Summary'!$BW$6:$BY$58,2,FALSE),"")</f>
        <v/>
      </c>
      <c r="N2449" s="45" t="str">
        <f>IFERROR(VLOOKUP(B2449,'Pre-Summary'!$CD$6:$CF$64,2,FALSE),"")</f>
        <v/>
      </c>
      <c r="O2449" s="99">
        <f>IFERROR(VLOOKUP(B2449,'Pre-Summary'!$BO$6:$BQ$48,3, FALSE),O2448)</f>
        <v>1.508</v>
      </c>
      <c r="P2449" s="99">
        <f>IFERROR(VLOOKUP(B2449,'Pre-Summary'!$BS$6:$BU$35,3,FALSE),P2448)</f>
        <v>0.4</v>
      </c>
      <c r="Q2449" s="54">
        <f t="shared" si="114"/>
        <v>3.77</v>
      </c>
      <c r="R2449" s="53">
        <f>IFERROR(VLOOKUP(B2449,'Pre-Summary'!$BG$6:$BM$44,7,FALSE),R2450)</f>
        <v>0.1051381075353212</v>
      </c>
      <c r="S2449" s="53">
        <f>IFERROR(VLOOKUP(B2449,'Pre-Summary'!$BG$6:$BM$44,6,FALSE),S2450)</f>
        <v>9.6348174087088401E-2</v>
      </c>
      <c r="T2449" s="45" t="str">
        <f>IFERROR(VLOOKUP(B2449,'Pre-Summary'!$Y$6:$AC$83, 3,FALSE),"")</f>
        <v/>
      </c>
      <c r="U2449" s="45" t="str">
        <f>IFERROR(VLOOKUP(B2449,'Pre-Summary'!$Y$6:$AC$83, 4,FALSE),"")</f>
        <v/>
      </c>
      <c r="V2449" t="str">
        <f>IFERROR(VLOOKUP(B2449,'Pre-Summary'!$Y$6:$AC$83, 5,FALSE),"")</f>
        <v/>
      </c>
      <c r="W2449" s="45" t="str">
        <f>IFERROR(VLOOKUP(B2449,'Pre-Summary'!$Y$6:$AD$83,6,FALSE),"")</f>
        <v/>
      </c>
      <c r="X2449" t="str">
        <f>IFERROR(VLOOKUP('Pre-Summary'!$DB$6:$DD$63,3,FALSE),"")</f>
        <v/>
      </c>
      <c r="Y2449" t="str">
        <f>IFERROR(VLOOKUP(B2449,'Pre-Summary'!$CR$6:$CT$36,3,FALSE),"")</f>
        <v/>
      </c>
      <c r="Z2449" s="45" t="str">
        <f>IFERROR(VLOOKUP(B2449,'Pre-Summary'!$BZ$6:$CB$63,2,FALSE),"")</f>
        <v/>
      </c>
      <c r="AA2449" s="45" t="str">
        <f>IFERROR(VLOOKUP(B2449,'Pre-Summary'!$CG$6:$CI$70,2,FALSE),"")</f>
        <v/>
      </c>
      <c r="AB2449" s="99">
        <f>IFERROR(VLOOKUP(B2449,'Pre-Summary'!$A$6:$P$178,9,FALSE),AB2450)</f>
        <v>0.4103112914127236</v>
      </c>
      <c r="AC2449" s="10">
        <f>IFERROR(VLOOKUP(Summary!B2449,'Pre-Summary'!$A$6:$P$184,5, FALSE)/100,AC2450)</f>
        <v>0.92401933333333319</v>
      </c>
      <c r="AD2449" s="10">
        <f>IFERROR(VLOOKUP(Summary!B2449,'Pre-Summary'!$A$6:$P$184,3, FALSE)/100,AD2450)</f>
        <v>6.4073666666666668E-2</v>
      </c>
      <c r="AE2449" s="10">
        <f>IFERROR(VLOOKUP(Summary!B2449,'Pre-Summary'!$A$6:$P$184,7, FALSE)/100,AE2450)</f>
        <v>1.1906999999999999E-2</v>
      </c>
      <c r="AF2449" s="99">
        <f t="shared" si="115"/>
        <v>2.6290148915548383E-2</v>
      </c>
      <c r="AG2449" s="99">
        <f t="shared" si="116"/>
        <v>4.8855765468512995E-3</v>
      </c>
      <c r="AH2449" s="10" t="str">
        <f>IFERROR(VLOOKUP(B2449,'Pre-Summary'!$AZ$6:$BE$65,3,FALSE),"")</f>
        <v/>
      </c>
      <c r="AI2449" s="10" t="str">
        <f>IFERROR(VLOOKUP(B2449,'Pre-Summary'!$AZ$6:$BE$65,5,FALSE),"")</f>
        <v/>
      </c>
      <c r="AJ2449" s="10" t="str">
        <f>IFERROR(VLOOKUP(B2449,'Pre-Summary'!$AZ$6:$BE$65,4,FALSE),"")</f>
        <v/>
      </c>
      <c r="AK2449" s="10" t="str">
        <f>IFERROR(VLOOKUP(B2449,'Pre-Summary'!$AZ$6:$BE$65,6,FALSE),"")</f>
        <v/>
      </c>
      <c r="AL2449" s="10" t="str">
        <f>IFERROR(VLOOKUP(B2449,'Pre-Summary'!$BG$6:$BL$44,3,FALSE),"")</f>
        <v/>
      </c>
      <c r="AM2449" s="10" t="str">
        <f>IFERROR(VLOOKUP(B2449,'Pre-Summary'!$BG$6:$BL$44,4,FALSE),"")</f>
        <v/>
      </c>
    </row>
    <row r="2450" spans="2:39" ht="15" customHeight="1" x14ac:dyDescent="0.3">
      <c r="B2450">
        <v>244.7</v>
      </c>
      <c r="C2450" t="str">
        <f>IFERROR(VLOOKUP(B2450,'Pre-Summary'!$DI$6:$DM$23,4,FALSE),"")</f>
        <v/>
      </c>
      <c r="D2450" s="10" t="str">
        <f>IFERROR(VLOOKUP(B2450,'Pre-Summary'!$AT$6:$AX$14,5,FALSE),D2449)</f>
        <v>Wolfe v3: went back to modified wolfe + EDTA and switched CuSO4 to CUCl2</v>
      </c>
      <c r="E2450" s="10" t="str">
        <f>IFERROR(VLOOKUP(B2450,'Pre-Summary'!$AT$6:$AX$15,4,FALSE),"")</f>
        <v/>
      </c>
      <c r="F2450">
        <f>IFERROR(VLOOKUP(B2450,'Pre-Summary'!$AL$6:$AQ$13,6,FALSE),F2449)</f>
        <v>5.9405263157894746E-2</v>
      </c>
      <c r="G2450" t="str">
        <f>IFERROR(VLOOKUP(B2450,'Pre-Summary'!$AE$6:$AJ$85,3,FALSE),"")</f>
        <v/>
      </c>
      <c r="H2450" t="str">
        <f>IFERROR(VLOOKUP(B2450,'Pre-Summary'!$AE$6:$AJ$85,4,FALSE),"")</f>
        <v/>
      </c>
      <c r="I2450" t="str">
        <f>IFERROR(VLOOKUP(B2450,'Pre-Summary'!$AE$6:$AJ$85,5,FALSE),"")</f>
        <v/>
      </c>
      <c r="J2450" s="45" t="str">
        <f>IFERROR(VLOOKUP(B2450,'Pre-Summary'!$AE$6:$AJ$85,6, FALSE),"")</f>
        <v/>
      </c>
      <c r="K2450" s="45" t="str">
        <f>IFERROR(VLOOKUP(B2450,'Pre-Summary'!$DE$6:$DG$61,3,FALSE),"")</f>
        <v/>
      </c>
      <c r="L2450" s="45" t="str">
        <f>IFERROR(VLOOKUP(B2450,'Pre-Summary'!$CU$6:$CW$36,3,FALSE),"")</f>
        <v/>
      </c>
      <c r="M2450" s="45" t="str">
        <f>IFERROR(VLOOKUP(B2450,'Pre-Summary'!$BW$6:$BY$58,2,FALSE),"")</f>
        <v/>
      </c>
      <c r="N2450" s="45" t="str">
        <f>IFERROR(VLOOKUP(B2450,'Pre-Summary'!$CD$6:$CF$64,2,FALSE),"")</f>
        <v/>
      </c>
      <c r="O2450" s="99">
        <f>IFERROR(VLOOKUP(B2450,'Pre-Summary'!$BO$6:$BQ$48,3, FALSE),O2449)</f>
        <v>1.508</v>
      </c>
      <c r="P2450" s="99">
        <f>IFERROR(VLOOKUP(B2450,'Pre-Summary'!$BS$6:$BU$35,3,FALSE),P2449)</f>
        <v>0.4</v>
      </c>
      <c r="Q2450" s="54">
        <f t="shared" si="114"/>
        <v>3.77</v>
      </c>
      <c r="R2450" s="53">
        <f>IFERROR(VLOOKUP(B2450,'Pre-Summary'!$BG$6:$BM$44,7,FALSE),R2451)</f>
        <v>0.1051381075353212</v>
      </c>
      <c r="S2450" s="53">
        <f>IFERROR(VLOOKUP(B2450,'Pre-Summary'!$BG$6:$BM$44,6,FALSE),S2451)</f>
        <v>9.6348174087088401E-2</v>
      </c>
      <c r="T2450" s="45" t="str">
        <f>IFERROR(VLOOKUP(B2450,'Pre-Summary'!$Y$6:$AC$83, 3,FALSE),"")</f>
        <v/>
      </c>
      <c r="U2450" s="45" t="str">
        <f>IFERROR(VLOOKUP(B2450,'Pre-Summary'!$Y$6:$AC$83, 4,FALSE),"")</f>
        <v/>
      </c>
      <c r="V2450" t="str">
        <f>IFERROR(VLOOKUP(B2450,'Pre-Summary'!$Y$6:$AC$83, 5,FALSE),"")</f>
        <v/>
      </c>
      <c r="W2450" s="45" t="str">
        <f>IFERROR(VLOOKUP(B2450,'Pre-Summary'!$Y$6:$AD$83,6,FALSE),"")</f>
        <v/>
      </c>
      <c r="X2450" t="str">
        <f>IFERROR(VLOOKUP('Pre-Summary'!$DB$6:$DD$63,3,FALSE),"")</f>
        <v/>
      </c>
      <c r="Y2450" t="str">
        <f>IFERROR(VLOOKUP(B2450,'Pre-Summary'!$CR$6:$CT$36,3,FALSE),"")</f>
        <v/>
      </c>
      <c r="Z2450" s="45" t="str">
        <f>IFERROR(VLOOKUP(B2450,'Pre-Summary'!$BZ$6:$CB$63,2,FALSE),"")</f>
        <v/>
      </c>
      <c r="AA2450" s="45" t="str">
        <f>IFERROR(VLOOKUP(B2450,'Pre-Summary'!$CG$6:$CI$70,2,FALSE),"")</f>
        <v/>
      </c>
      <c r="AB2450" s="99">
        <f>IFERROR(VLOOKUP(B2450,'Pre-Summary'!$A$6:$P$178,9,FALSE),AB2451)</f>
        <v>0.4103112914127236</v>
      </c>
      <c r="AC2450" s="10">
        <f>IFERROR(VLOOKUP(Summary!B2450,'Pre-Summary'!$A$6:$P$184,5, FALSE)/100,AC2451)</f>
        <v>0.92401933333333319</v>
      </c>
      <c r="AD2450" s="10">
        <f>IFERROR(VLOOKUP(Summary!B2450,'Pre-Summary'!$A$6:$P$184,3, FALSE)/100,AD2451)</f>
        <v>6.4073666666666668E-2</v>
      </c>
      <c r="AE2450" s="10">
        <f>IFERROR(VLOOKUP(Summary!B2450,'Pre-Summary'!$A$6:$P$184,7, FALSE)/100,AE2451)</f>
        <v>1.1906999999999999E-2</v>
      </c>
      <c r="AF2450" s="99">
        <f t="shared" si="115"/>
        <v>2.6290148915548383E-2</v>
      </c>
      <c r="AG2450" s="99">
        <f t="shared" si="116"/>
        <v>4.8855765468512995E-3</v>
      </c>
      <c r="AH2450" s="10" t="str">
        <f>IFERROR(VLOOKUP(B2450,'Pre-Summary'!$AZ$6:$BE$65,3,FALSE),"")</f>
        <v/>
      </c>
      <c r="AI2450" s="10" t="str">
        <f>IFERROR(VLOOKUP(B2450,'Pre-Summary'!$AZ$6:$BE$65,5,FALSE),"")</f>
        <v/>
      </c>
      <c r="AJ2450" s="10" t="str">
        <f>IFERROR(VLOOKUP(B2450,'Pre-Summary'!$AZ$6:$BE$65,4,FALSE),"")</f>
        <v/>
      </c>
      <c r="AK2450" s="10" t="str">
        <f>IFERROR(VLOOKUP(B2450,'Pre-Summary'!$AZ$6:$BE$65,6,FALSE),"")</f>
        <v/>
      </c>
      <c r="AL2450" s="10" t="str">
        <f>IFERROR(VLOOKUP(B2450,'Pre-Summary'!$BG$6:$BL$44,3,FALSE),"")</f>
        <v/>
      </c>
      <c r="AM2450" s="10" t="str">
        <f>IFERROR(VLOOKUP(B2450,'Pre-Summary'!$BG$6:$BL$44,4,FALSE),"")</f>
        <v/>
      </c>
    </row>
    <row r="2451" spans="2:39" ht="15" customHeight="1" x14ac:dyDescent="0.3">
      <c r="B2451">
        <v>244.8</v>
      </c>
      <c r="C2451" t="str">
        <f>IFERROR(VLOOKUP(B2451,'Pre-Summary'!$DI$6:$DM$23,4,FALSE),"")</f>
        <v/>
      </c>
      <c r="D2451" s="10" t="str">
        <f>IFERROR(VLOOKUP(B2451,'Pre-Summary'!$AT$6:$AX$14,5,FALSE),D2450)</f>
        <v>Wolfe v3: went back to modified wolfe + EDTA and switched CuSO4 to CUCl2</v>
      </c>
      <c r="E2451" s="10" t="str">
        <f>IFERROR(VLOOKUP(B2451,'Pre-Summary'!$AT$6:$AX$15,4,FALSE),"")</f>
        <v/>
      </c>
      <c r="F2451">
        <f>IFERROR(VLOOKUP(B2451,'Pre-Summary'!$AL$6:$AQ$13,6,FALSE),F2450)</f>
        <v>5.9405263157894746E-2</v>
      </c>
      <c r="G2451" t="str">
        <f>IFERROR(VLOOKUP(B2451,'Pre-Summary'!$AE$6:$AJ$85,3,FALSE),"")</f>
        <v/>
      </c>
      <c r="H2451" t="str">
        <f>IFERROR(VLOOKUP(B2451,'Pre-Summary'!$AE$6:$AJ$85,4,FALSE),"")</f>
        <v/>
      </c>
      <c r="I2451" t="str">
        <f>IFERROR(VLOOKUP(B2451,'Pre-Summary'!$AE$6:$AJ$85,5,FALSE),"")</f>
        <v/>
      </c>
      <c r="J2451" s="45" t="str">
        <f>IFERROR(VLOOKUP(B2451,'Pre-Summary'!$AE$6:$AJ$85,6, FALSE),"")</f>
        <v/>
      </c>
      <c r="K2451" s="45" t="str">
        <f>IFERROR(VLOOKUP(B2451,'Pre-Summary'!$DE$6:$DG$61,3,FALSE),"")</f>
        <v/>
      </c>
      <c r="L2451" s="45" t="str">
        <f>IFERROR(VLOOKUP(B2451,'Pre-Summary'!$CU$6:$CW$36,3,FALSE),"")</f>
        <v/>
      </c>
      <c r="M2451" s="45" t="str">
        <f>IFERROR(VLOOKUP(B2451,'Pre-Summary'!$BW$6:$BY$58,2,FALSE),"")</f>
        <v/>
      </c>
      <c r="N2451" s="45" t="str">
        <f>IFERROR(VLOOKUP(B2451,'Pre-Summary'!$CD$6:$CF$64,2,FALSE),"")</f>
        <v/>
      </c>
      <c r="O2451" s="99">
        <f>IFERROR(VLOOKUP(B2451,'Pre-Summary'!$BO$6:$BQ$48,3, FALSE),O2450)</f>
        <v>1.508</v>
      </c>
      <c r="P2451" s="99">
        <f>IFERROR(VLOOKUP(B2451,'Pre-Summary'!$BS$6:$BU$35,3,FALSE),P2450)</f>
        <v>0.4</v>
      </c>
      <c r="Q2451" s="54">
        <f t="shared" si="114"/>
        <v>3.77</v>
      </c>
      <c r="R2451" s="53">
        <f>IFERROR(VLOOKUP(B2451,'Pre-Summary'!$BG$6:$BM$44,7,FALSE),R2452)</f>
        <v>0.1051381075353212</v>
      </c>
      <c r="S2451" s="53">
        <f>IFERROR(VLOOKUP(B2451,'Pre-Summary'!$BG$6:$BM$44,6,FALSE),S2452)</f>
        <v>9.6348174087088401E-2</v>
      </c>
      <c r="T2451" s="45" t="str">
        <f>IFERROR(VLOOKUP(B2451,'Pre-Summary'!$Y$6:$AC$83, 3,FALSE),"")</f>
        <v/>
      </c>
      <c r="U2451" s="45" t="str">
        <f>IFERROR(VLOOKUP(B2451,'Pre-Summary'!$Y$6:$AC$83, 4,FALSE),"")</f>
        <v/>
      </c>
      <c r="V2451" t="str">
        <f>IFERROR(VLOOKUP(B2451,'Pre-Summary'!$Y$6:$AC$83, 5,FALSE),"")</f>
        <v/>
      </c>
      <c r="W2451" s="45" t="str">
        <f>IFERROR(VLOOKUP(B2451,'Pre-Summary'!$Y$6:$AD$83,6,FALSE),"")</f>
        <v/>
      </c>
      <c r="X2451" t="str">
        <f>IFERROR(VLOOKUP('Pre-Summary'!$DB$6:$DD$63,3,FALSE),"")</f>
        <v/>
      </c>
      <c r="Y2451" t="str">
        <f>IFERROR(VLOOKUP(B2451,'Pre-Summary'!$CR$6:$CT$36,3,FALSE),"")</f>
        <v/>
      </c>
      <c r="Z2451" s="45" t="str">
        <f>IFERROR(VLOOKUP(B2451,'Pre-Summary'!$BZ$6:$CB$63,2,FALSE),"")</f>
        <v/>
      </c>
      <c r="AA2451" s="45" t="str">
        <f>IFERROR(VLOOKUP(B2451,'Pre-Summary'!$CG$6:$CI$70,2,FALSE),"")</f>
        <v/>
      </c>
      <c r="AB2451" s="99">
        <f>IFERROR(VLOOKUP(B2451,'Pre-Summary'!$A$6:$P$178,9,FALSE),AB2452)</f>
        <v>0.4103112914127236</v>
      </c>
      <c r="AC2451" s="10">
        <f>IFERROR(VLOOKUP(Summary!B2451,'Pre-Summary'!$A$6:$P$184,5, FALSE)/100,AC2452)</f>
        <v>0.92401933333333319</v>
      </c>
      <c r="AD2451" s="10">
        <f>IFERROR(VLOOKUP(Summary!B2451,'Pre-Summary'!$A$6:$P$184,3, FALSE)/100,AD2452)</f>
        <v>6.4073666666666668E-2</v>
      </c>
      <c r="AE2451" s="10">
        <f>IFERROR(VLOOKUP(Summary!B2451,'Pre-Summary'!$A$6:$P$184,7, FALSE)/100,AE2452)</f>
        <v>1.1906999999999999E-2</v>
      </c>
      <c r="AF2451" s="99">
        <f t="shared" si="115"/>
        <v>2.6290148915548383E-2</v>
      </c>
      <c r="AG2451" s="99">
        <f t="shared" si="116"/>
        <v>4.8855765468512995E-3</v>
      </c>
      <c r="AH2451" s="10" t="str">
        <f>IFERROR(VLOOKUP(B2451,'Pre-Summary'!$AZ$6:$BE$65,3,FALSE),"")</f>
        <v/>
      </c>
      <c r="AI2451" s="10" t="str">
        <f>IFERROR(VLOOKUP(B2451,'Pre-Summary'!$AZ$6:$BE$65,5,FALSE),"")</f>
        <v/>
      </c>
      <c r="AJ2451" s="10" t="str">
        <f>IFERROR(VLOOKUP(B2451,'Pre-Summary'!$AZ$6:$BE$65,4,FALSE),"")</f>
        <v/>
      </c>
      <c r="AK2451" s="10" t="str">
        <f>IFERROR(VLOOKUP(B2451,'Pre-Summary'!$AZ$6:$BE$65,6,FALSE),"")</f>
        <v/>
      </c>
      <c r="AL2451" s="10" t="str">
        <f>IFERROR(VLOOKUP(B2451,'Pre-Summary'!$BG$6:$BL$44,3,FALSE),"")</f>
        <v/>
      </c>
      <c r="AM2451" s="10" t="str">
        <f>IFERROR(VLOOKUP(B2451,'Pre-Summary'!$BG$6:$BL$44,4,FALSE),"")</f>
        <v/>
      </c>
    </row>
    <row r="2452" spans="2:39" ht="15" customHeight="1" x14ac:dyDescent="0.3">
      <c r="B2452">
        <v>244.9</v>
      </c>
      <c r="C2452" t="str">
        <f>IFERROR(VLOOKUP(B2452,'Pre-Summary'!$DI$6:$DM$23,4,FALSE),"")</f>
        <v/>
      </c>
      <c r="D2452" s="10" t="str">
        <f>IFERROR(VLOOKUP(B2452,'Pre-Summary'!$AT$6:$AX$14,5,FALSE),D2451)</f>
        <v>Wolfe v3: went back to modified wolfe + EDTA and switched CuSO4 to CUCl2</v>
      </c>
      <c r="E2452" s="10" t="str">
        <f>IFERROR(VLOOKUP(B2452,'Pre-Summary'!$AT$6:$AX$15,4,FALSE),"")</f>
        <v/>
      </c>
      <c r="F2452">
        <f>IFERROR(VLOOKUP(B2452,'Pre-Summary'!$AL$6:$AQ$13,6,FALSE),F2451)</f>
        <v>5.9405263157894746E-2</v>
      </c>
      <c r="G2452" t="str">
        <f>IFERROR(VLOOKUP(B2452,'Pre-Summary'!$AE$6:$AJ$85,3,FALSE),"")</f>
        <v/>
      </c>
      <c r="H2452" t="str">
        <f>IFERROR(VLOOKUP(B2452,'Pre-Summary'!$AE$6:$AJ$85,4,FALSE),"")</f>
        <v/>
      </c>
      <c r="I2452" t="str">
        <f>IFERROR(VLOOKUP(B2452,'Pre-Summary'!$AE$6:$AJ$85,5,FALSE),"")</f>
        <v/>
      </c>
      <c r="J2452" s="45" t="str">
        <f>IFERROR(VLOOKUP(B2452,'Pre-Summary'!$AE$6:$AJ$85,6, FALSE),"")</f>
        <v/>
      </c>
      <c r="K2452" s="45" t="str">
        <f>IFERROR(VLOOKUP(B2452,'Pre-Summary'!$DE$6:$DG$61,3,FALSE),"")</f>
        <v/>
      </c>
      <c r="L2452" s="45" t="str">
        <f>IFERROR(VLOOKUP(B2452,'Pre-Summary'!$CU$6:$CW$36,3,FALSE),"")</f>
        <v/>
      </c>
      <c r="M2452" s="45" t="str">
        <f>IFERROR(VLOOKUP(B2452,'Pre-Summary'!$BW$6:$BY$58,2,FALSE),"")</f>
        <v/>
      </c>
      <c r="N2452" s="45" t="str">
        <f>IFERROR(VLOOKUP(B2452,'Pre-Summary'!$CD$6:$CF$64,2,FALSE),"")</f>
        <v/>
      </c>
      <c r="O2452" s="99">
        <f>IFERROR(VLOOKUP(B2452,'Pre-Summary'!$BO$6:$BQ$48,3, FALSE),O2451)</f>
        <v>1.508</v>
      </c>
      <c r="P2452" s="99">
        <f>IFERROR(VLOOKUP(B2452,'Pre-Summary'!$BS$6:$BU$35,3,FALSE),P2451)</f>
        <v>0.4</v>
      </c>
      <c r="Q2452" s="54">
        <f t="shared" si="114"/>
        <v>3.77</v>
      </c>
      <c r="R2452" s="53">
        <f>IFERROR(VLOOKUP(B2452,'Pre-Summary'!$BG$6:$BM$44,7,FALSE),R2453)</f>
        <v>0.1051381075353212</v>
      </c>
      <c r="S2452" s="53">
        <f>IFERROR(VLOOKUP(B2452,'Pre-Summary'!$BG$6:$BM$44,6,FALSE),S2453)</f>
        <v>9.6348174087088401E-2</v>
      </c>
      <c r="T2452" s="45" t="str">
        <f>IFERROR(VLOOKUP(B2452,'Pre-Summary'!$Y$6:$AC$83, 3,FALSE),"")</f>
        <v/>
      </c>
      <c r="U2452" s="45" t="str">
        <f>IFERROR(VLOOKUP(B2452,'Pre-Summary'!$Y$6:$AC$83, 4,FALSE),"")</f>
        <v/>
      </c>
      <c r="V2452" t="str">
        <f>IFERROR(VLOOKUP(B2452,'Pre-Summary'!$Y$6:$AC$83, 5,FALSE),"")</f>
        <v/>
      </c>
      <c r="W2452" s="45" t="str">
        <f>IFERROR(VLOOKUP(B2452,'Pre-Summary'!$Y$6:$AD$83,6,FALSE),"")</f>
        <v/>
      </c>
      <c r="X2452" t="str">
        <f>IFERROR(VLOOKUP('Pre-Summary'!$DB$6:$DD$63,3,FALSE),"")</f>
        <v/>
      </c>
      <c r="Y2452" t="str">
        <f>IFERROR(VLOOKUP(B2452,'Pre-Summary'!$CR$6:$CT$36,3,FALSE),"")</f>
        <v/>
      </c>
      <c r="Z2452" s="45" t="str">
        <f>IFERROR(VLOOKUP(B2452,'Pre-Summary'!$BZ$6:$CB$63,2,FALSE),"")</f>
        <v/>
      </c>
      <c r="AA2452" s="45" t="str">
        <f>IFERROR(VLOOKUP(B2452,'Pre-Summary'!$CG$6:$CI$70,2,FALSE),"")</f>
        <v/>
      </c>
      <c r="AB2452" s="99">
        <f>IFERROR(VLOOKUP(B2452,'Pre-Summary'!$A$6:$P$178,9,FALSE),AB2453)</f>
        <v>0.4103112914127236</v>
      </c>
      <c r="AC2452" s="10">
        <f>IFERROR(VLOOKUP(Summary!B2452,'Pre-Summary'!$A$6:$P$184,5, FALSE)/100,AC2453)</f>
        <v>0.92401933333333319</v>
      </c>
      <c r="AD2452" s="10">
        <f>IFERROR(VLOOKUP(Summary!B2452,'Pre-Summary'!$A$6:$P$184,3, FALSE)/100,AD2453)</f>
        <v>6.4073666666666668E-2</v>
      </c>
      <c r="AE2452" s="10">
        <f>IFERROR(VLOOKUP(Summary!B2452,'Pre-Summary'!$A$6:$P$184,7, FALSE)/100,AE2453)</f>
        <v>1.1906999999999999E-2</v>
      </c>
      <c r="AF2452" s="99">
        <f t="shared" si="115"/>
        <v>2.6290148915548383E-2</v>
      </c>
      <c r="AG2452" s="99">
        <f t="shared" si="116"/>
        <v>4.8855765468512995E-3</v>
      </c>
      <c r="AH2452" s="10" t="str">
        <f>IFERROR(VLOOKUP(B2452,'Pre-Summary'!$AZ$6:$BE$65,3,FALSE),"")</f>
        <v/>
      </c>
      <c r="AI2452" s="10" t="str">
        <f>IFERROR(VLOOKUP(B2452,'Pre-Summary'!$AZ$6:$BE$65,5,FALSE),"")</f>
        <v/>
      </c>
      <c r="AJ2452" s="10" t="str">
        <f>IFERROR(VLOOKUP(B2452,'Pre-Summary'!$AZ$6:$BE$65,4,FALSE),"")</f>
        <v/>
      </c>
      <c r="AK2452" s="10" t="str">
        <f>IFERROR(VLOOKUP(B2452,'Pre-Summary'!$AZ$6:$BE$65,6,FALSE),"")</f>
        <v/>
      </c>
      <c r="AL2452" s="10" t="str">
        <f>IFERROR(VLOOKUP(B2452,'Pre-Summary'!$BG$6:$BL$44,3,FALSE),"")</f>
        <v/>
      </c>
      <c r="AM2452" s="10" t="str">
        <f>IFERROR(VLOOKUP(B2452,'Pre-Summary'!$BG$6:$BL$44,4,FALSE),"")</f>
        <v/>
      </c>
    </row>
    <row r="2453" spans="2:39" ht="15" customHeight="1" x14ac:dyDescent="0.3">
      <c r="B2453">
        <v>245</v>
      </c>
      <c r="C2453" t="str">
        <f>IFERROR(VLOOKUP(B2453,'Pre-Summary'!$DI$6:$DM$23,4,FALSE),"")</f>
        <v/>
      </c>
      <c r="D2453" s="10" t="str">
        <f>IFERROR(VLOOKUP(B2453,'Pre-Summary'!$AT$6:$AX$14,5,FALSE),D2452)</f>
        <v>Wolfe v3: went back to modified wolfe + EDTA and switched CuSO4 to CUCl2</v>
      </c>
      <c r="E2453" s="10" t="str">
        <f>IFERROR(VLOOKUP(B2453,'Pre-Summary'!$AT$6:$AX$15,4,FALSE),"")</f>
        <v/>
      </c>
      <c r="F2453">
        <f>IFERROR(VLOOKUP(B2453,'Pre-Summary'!$AL$6:$AQ$13,6,FALSE),F2452)</f>
        <v>5.9405263157894746E-2</v>
      </c>
      <c r="G2453" t="str">
        <f>IFERROR(VLOOKUP(B2453,'Pre-Summary'!$AE$6:$AJ$85,3,FALSE),"")</f>
        <v/>
      </c>
      <c r="H2453" t="str">
        <f>IFERROR(VLOOKUP(B2453,'Pre-Summary'!$AE$6:$AJ$85,4,FALSE),"")</f>
        <v/>
      </c>
      <c r="I2453" t="str">
        <f>IFERROR(VLOOKUP(B2453,'Pre-Summary'!$AE$6:$AJ$85,5,FALSE),"")</f>
        <v/>
      </c>
      <c r="J2453" s="45" t="str">
        <f>IFERROR(VLOOKUP(B2453,'Pre-Summary'!$AE$6:$AJ$85,6, FALSE),"")</f>
        <v/>
      </c>
      <c r="K2453" s="45" t="str">
        <f>IFERROR(VLOOKUP(B2453,'Pre-Summary'!$DE$6:$DG$61,3,FALSE),"")</f>
        <v/>
      </c>
      <c r="L2453" s="45" t="str">
        <f>IFERROR(VLOOKUP(B2453,'Pre-Summary'!$CU$6:$CW$36,3,FALSE),"")</f>
        <v/>
      </c>
      <c r="M2453" s="45" t="str">
        <f>IFERROR(VLOOKUP(B2453,'Pre-Summary'!$BW$6:$BY$58,2,FALSE),"")</f>
        <v/>
      </c>
      <c r="N2453" s="45" t="str">
        <f>IFERROR(VLOOKUP(B2453,'Pre-Summary'!$CD$6:$CF$64,2,FALSE),"")</f>
        <v/>
      </c>
      <c r="O2453" s="99">
        <f>IFERROR(VLOOKUP(B2453,'Pre-Summary'!$BO$6:$BQ$48,3, FALSE),O2452)</f>
        <v>1.508</v>
      </c>
      <c r="P2453" s="99">
        <f>IFERROR(VLOOKUP(B2453,'Pre-Summary'!$BS$6:$BU$35,3,FALSE),P2452)</f>
        <v>0.4</v>
      </c>
      <c r="Q2453" s="54">
        <f t="shared" si="114"/>
        <v>3.77</v>
      </c>
      <c r="R2453" s="53">
        <f>IFERROR(VLOOKUP(B2453,'Pre-Summary'!$BG$6:$BM$44,7,FALSE),R2454)</f>
        <v>0.1051381075353212</v>
      </c>
      <c r="S2453" s="53">
        <f>IFERROR(VLOOKUP(B2453,'Pre-Summary'!$BG$6:$BM$44,6,FALSE),S2454)</f>
        <v>9.6348174087088401E-2</v>
      </c>
      <c r="T2453" s="45" t="str">
        <f>IFERROR(VLOOKUP(B2453,'Pre-Summary'!$Y$6:$AC$83, 3,FALSE),"")</f>
        <v/>
      </c>
      <c r="U2453" s="45" t="str">
        <f>IFERROR(VLOOKUP(B2453,'Pre-Summary'!$Y$6:$AC$83, 4,FALSE),"")</f>
        <v/>
      </c>
      <c r="V2453" t="str">
        <f>IFERROR(VLOOKUP(B2453,'Pre-Summary'!$Y$6:$AC$83, 5,FALSE),"")</f>
        <v/>
      </c>
      <c r="W2453" s="45" t="str">
        <f>IFERROR(VLOOKUP(B2453,'Pre-Summary'!$Y$6:$AD$83,6,FALSE),"")</f>
        <v/>
      </c>
      <c r="X2453" t="str">
        <f>IFERROR(VLOOKUP('Pre-Summary'!$DB$6:$DD$63,3,FALSE),"")</f>
        <v/>
      </c>
      <c r="Y2453" t="str">
        <f>IFERROR(VLOOKUP(B2453,'Pre-Summary'!$CR$6:$CT$36,3,FALSE),"")</f>
        <v/>
      </c>
      <c r="Z2453" s="45" t="str">
        <f>IFERROR(VLOOKUP(B2453,'Pre-Summary'!$BZ$6:$CB$63,2,FALSE),"")</f>
        <v/>
      </c>
      <c r="AA2453" s="45" t="str">
        <f>IFERROR(VLOOKUP(B2453,'Pre-Summary'!$CG$6:$CI$70,2,FALSE),"")</f>
        <v/>
      </c>
      <c r="AB2453" s="99">
        <f>IFERROR(VLOOKUP(B2453,'Pre-Summary'!$A$6:$P$178,9,FALSE),AB2454)</f>
        <v>0.35797790540428687</v>
      </c>
      <c r="AC2453" s="10">
        <f>IFERROR(VLOOKUP(Summary!B2453,'Pre-Summary'!$A$6:$P$184,5, FALSE)/100,AC2454)</f>
        <v>0.92186266666666672</v>
      </c>
      <c r="AD2453" s="10">
        <f>IFERROR(VLOOKUP(Summary!B2453,'Pre-Summary'!$A$6:$P$184,3, FALSE)/100,AD2454)</f>
        <v>6.3254999999999992E-2</v>
      </c>
      <c r="AE2453" s="10">
        <f>IFERROR(VLOOKUP(Summary!B2453,'Pre-Summary'!$A$6:$P$184,7, FALSE)/100,AE2454)</f>
        <v>1.4882333333333336E-2</v>
      </c>
      <c r="AF2453" s="99">
        <f t="shared" si="115"/>
        <v>2.2643892406348162E-2</v>
      </c>
      <c r="AG2453" s="99">
        <f t="shared" si="116"/>
        <v>5.3275465141950666E-3</v>
      </c>
      <c r="AH2453" s="10" t="str">
        <f>IFERROR(VLOOKUP(B2453,'Pre-Summary'!$AZ$6:$BE$65,3,FALSE),"")</f>
        <v/>
      </c>
      <c r="AI2453" s="10" t="str">
        <f>IFERROR(VLOOKUP(B2453,'Pre-Summary'!$AZ$6:$BE$65,5,FALSE),"")</f>
        <v/>
      </c>
      <c r="AJ2453" s="10" t="str">
        <f>IFERROR(VLOOKUP(B2453,'Pre-Summary'!$AZ$6:$BE$65,4,FALSE),"")</f>
        <v/>
      </c>
      <c r="AK2453" s="10" t="str">
        <f>IFERROR(VLOOKUP(B2453,'Pre-Summary'!$AZ$6:$BE$65,6,FALSE),"")</f>
        <v/>
      </c>
      <c r="AL2453" s="10" t="str">
        <f>IFERROR(VLOOKUP(B2453,'Pre-Summary'!$BG$6:$BL$44,3,FALSE),"")</f>
        <v/>
      </c>
      <c r="AM2453" s="10" t="str">
        <f>IFERROR(VLOOKUP(B2453,'Pre-Summary'!$BG$6:$BL$44,4,FALSE),"")</f>
        <v/>
      </c>
    </row>
    <row r="2454" spans="2:39" ht="15" customHeight="1" x14ac:dyDescent="0.3">
      <c r="B2454">
        <v>245.1</v>
      </c>
      <c r="C2454" t="str">
        <f>IFERROR(VLOOKUP(B2454,'Pre-Summary'!$DI$6:$DM$23,4,FALSE),"")</f>
        <v/>
      </c>
      <c r="D2454" s="10" t="str">
        <f>IFERROR(VLOOKUP(B2454,'Pre-Summary'!$AT$6:$AX$14,5,FALSE),D2453)</f>
        <v>Wolfe v3: went back to modified wolfe + EDTA and switched CuSO4 to CUCl2</v>
      </c>
      <c r="E2454" s="10" t="str">
        <f>IFERROR(VLOOKUP(B2454,'Pre-Summary'!$AT$6:$AX$15,4,FALSE),"")</f>
        <v/>
      </c>
      <c r="F2454">
        <f>IFERROR(VLOOKUP(B2454,'Pre-Summary'!$AL$6:$AQ$13,6,FALSE),F2453)</f>
        <v>5.9405263157894746E-2</v>
      </c>
      <c r="G2454" t="str">
        <f>IFERROR(VLOOKUP(B2454,'Pre-Summary'!$AE$6:$AJ$85,3,FALSE),"")</f>
        <v/>
      </c>
      <c r="H2454" t="str">
        <f>IFERROR(VLOOKUP(B2454,'Pre-Summary'!$AE$6:$AJ$85,4,FALSE),"")</f>
        <v/>
      </c>
      <c r="I2454" t="str">
        <f>IFERROR(VLOOKUP(B2454,'Pre-Summary'!$AE$6:$AJ$85,5,FALSE),"")</f>
        <v/>
      </c>
      <c r="J2454" s="45" t="str">
        <f>IFERROR(VLOOKUP(B2454,'Pre-Summary'!$AE$6:$AJ$85,6, FALSE),"")</f>
        <v/>
      </c>
      <c r="K2454" s="45" t="str">
        <f>IFERROR(VLOOKUP(B2454,'Pre-Summary'!$DE$6:$DG$61,3,FALSE),"")</f>
        <v/>
      </c>
      <c r="L2454" s="45" t="str">
        <f>IFERROR(VLOOKUP(B2454,'Pre-Summary'!$CU$6:$CW$36,3,FALSE),"")</f>
        <v/>
      </c>
      <c r="M2454" s="45" t="str">
        <f>IFERROR(VLOOKUP(B2454,'Pre-Summary'!$BW$6:$BY$58,2,FALSE),"")</f>
        <v/>
      </c>
      <c r="N2454" s="45" t="str">
        <f>IFERROR(VLOOKUP(B2454,'Pre-Summary'!$CD$6:$CF$64,2,FALSE),"")</f>
        <v/>
      </c>
      <c r="O2454" s="99">
        <f>IFERROR(VLOOKUP(B2454,'Pre-Summary'!$BO$6:$BQ$48,3, FALSE),O2453)</f>
        <v>1.508</v>
      </c>
      <c r="P2454" s="99">
        <f>IFERROR(VLOOKUP(B2454,'Pre-Summary'!$BS$6:$BU$35,3,FALSE),P2453)</f>
        <v>0.4</v>
      </c>
      <c r="Q2454" s="54">
        <f t="shared" si="114"/>
        <v>3.77</v>
      </c>
      <c r="R2454" s="53">
        <f>IFERROR(VLOOKUP(B2454,'Pre-Summary'!$BG$6:$BM$44,7,FALSE),R2455)</f>
        <v>0.1051381075353212</v>
      </c>
      <c r="S2454" s="53">
        <f>IFERROR(VLOOKUP(B2454,'Pre-Summary'!$BG$6:$BM$44,6,FALSE),S2455)</f>
        <v>9.6348174087088401E-2</v>
      </c>
      <c r="T2454" s="45" t="str">
        <f>IFERROR(VLOOKUP(B2454,'Pre-Summary'!$Y$6:$AC$83, 3,FALSE),"")</f>
        <v/>
      </c>
      <c r="U2454" s="45" t="str">
        <f>IFERROR(VLOOKUP(B2454,'Pre-Summary'!$Y$6:$AC$83, 4,FALSE),"")</f>
        <v/>
      </c>
      <c r="V2454" t="str">
        <f>IFERROR(VLOOKUP(B2454,'Pre-Summary'!$Y$6:$AC$83, 5,FALSE),"")</f>
        <v/>
      </c>
      <c r="W2454" s="45" t="str">
        <f>IFERROR(VLOOKUP(B2454,'Pre-Summary'!$Y$6:$AD$83,6,FALSE),"")</f>
        <v/>
      </c>
      <c r="X2454" t="str">
        <f>IFERROR(VLOOKUP('Pre-Summary'!$DB$6:$DD$63,3,FALSE),"")</f>
        <v/>
      </c>
      <c r="Y2454" t="str">
        <f>IFERROR(VLOOKUP(B2454,'Pre-Summary'!$CR$6:$CT$36,3,FALSE),"")</f>
        <v/>
      </c>
      <c r="Z2454" s="45" t="str">
        <f>IFERROR(VLOOKUP(B2454,'Pre-Summary'!$BZ$6:$CB$63,2,FALSE),"")</f>
        <v/>
      </c>
      <c r="AA2454" s="45" t="str">
        <f>IFERROR(VLOOKUP(B2454,'Pre-Summary'!$CG$6:$CI$70,2,FALSE),"")</f>
        <v/>
      </c>
      <c r="AB2454" s="99">
        <f>IFERROR(VLOOKUP(B2454,'Pre-Summary'!$A$6:$P$178,9,FALSE),AB2455)</f>
        <v>0.35797790540428687</v>
      </c>
      <c r="AC2454" s="10">
        <f>IFERROR(VLOOKUP(Summary!B2454,'Pre-Summary'!$A$6:$P$184,5, FALSE)/100,AC2455)</f>
        <v>0.92186266666666672</v>
      </c>
      <c r="AD2454" s="10">
        <f>IFERROR(VLOOKUP(Summary!B2454,'Pre-Summary'!$A$6:$P$184,3, FALSE)/100,AD2455)</f>
        <v>6.3254999999999992E-2</v>
      </c>
      <c r="AE2454" s="10">
        <f>IFERROR(VLOOKUP(Summary!B2454,'Pre-Summary'!$A$6:$P$184,7, FALSE)/100,AE2455)</f>
        <v>1.4882333333333336E-2</v>
      </c>
      <c r="AF2454" s="99">
        <f t="shared" si="115"/>
        <v>2.2643892406348162E-2</v>
      </c>
      <c r="AG2454" s="99">
        <f t="shared" si="116"/>
        <v>5.3275465141950666E-3</v>
      </c>
      <c r="AH2454" s="10" t="str">
        <f>IFERROR(VLOOKUP(B2454,'Pre-Summary'!$AZ$6:$BE$65,3,FALSE),"")</f>
        <v/>
      </c>
      <c r="AI2454" s="10" t="str">
        <f>IFERROR(VLOOKUP(B2454,'Pre-Summary'!$AZ$6:$BE$65,5,FALSE),"")</f>
        <v/>
      </c>
      <c r="AJ2454" s="10" t="str">
        <f>IFERROR(VLOOKUP(B2454,'Pre-Summary'!$AZ$6:$BE$65,4,FALSE),"")</f>
        <v/>
      </c>
      <c r="AK2454" s="10" t="str">
        <f>IFERROR(VLOOKUP(B2454,'Pre-Summary'!$AZ$6:$BE$65,6,FALSE),"")</f>
        <v/>
      </c>
      <c r="AL2454" s="10" t="str">
        <f>IFERROR(VLOOKUP(B2454,'Pre-Summary'!$BG$6:$BL$44,3,FALSE),"")</f>
        <v/>
      </c>
      <c r="AM2454" s="10" t="str">
        <f>IFERROR(VLOOKUP(B2454,'Pre-Summary'!$BG$6:$BL$44,4,FALSE),"")</f>
        <v/>
      </c>
    </row>
    <row r="2455" spans="2:39" ht="15" customHeight="1" x14ac:dyDescent="0.3">
      <c r="B2455">
        <v>245.2</v>
      </c>
      <c r="C2455" t="str">
        <f>IFERROR(VLOOKUP(B2455,'Pre-Summary'!$DI$6:$DM$23,4,FALSE),"")</f>
        <v/>
      </c>
      <c r="D2455" s="10" t="str">
        <f>IFERROR(VLOOKUP(B2455,'Pre-Summary'!$AT$6:$AX$14,5,FALSE),D2454)</f>
        <v>Wolfe v3: went back to modified wolfe + EDTA and switched CuSO4 to CUCl2</v>
      </c>
      <c r="E2455" s="10" t="str">
        <f>IFERROR(VLOOKUP(B2455,'Pre-Summary'!$AT$6:$AX$15,4,FALSE),"")</f>
        <v/>
      </c>
      <c r="F2455">
        <f>IFERROR(VLOOKUP(B2455,'Pre-Summary'!$AL$6:$AQ$13,6,FALSE),F2454)</f>
        <v>5.9405263157894746E-2</v>
      </c>
      <c r="G2455" t="str">
        <f>IFERROR(VLOOKUP(B2455,'Pre-Summary'!$AE$6:$AJ$85,3,FALSE),"")</f>
        <v/>
      </c>
      <c r="H2455" t="str">
        <f>IFERROR(VLOOKUP(B2455,'Pre-Summary'!$AE$6:$AJ$85,4,FALSE),"")</f>
        <v/>
      </c>
      <c r="I2455" t="str">
        <f>IFERROR(VLOOKUP(B2455,'Pre-Summary'!$AE$6:$AJ$85,5,FALSE),"")</f>
        <v/>
      </c>
      <c r="J2455" s="45" t="str">
        <f>IFERROR(VLOOKUP(B2455,'Pre-Summary'!$AE$6:$AJ$85,6, FALSE),"")</f>
        <v/>
      </c>
      <c r="K2455" s="45" t="str">
        <f>IFERROR(VLOOKUP(B2455,'Pre-Summary'!$DE$6:$DG$61,3,FALSE),"")</f>
        <v/>
      </c>
      <c r="L2455" s="45" t="str">
        <f>IFERROR(VLOOKUP(B2455,'Pre-Summary'!$CU$6:$CW$36,3,FALSE),"")</f>
        <v/>
      </c>
      <c r="M2455" s="45" t="str">
        <f>IFERROR(VLOOKUP(B2455,'Pre-Summary'!$BW$6:$BY$58,2,FALSE),"")</f>
        <v/>
      </c>
      <c r="N2455" s="45" t="str">
        <f>IFERROR(VLOOKUP(B2455,'Pre-Summary'!$CD$6:$CF$64,2,FALSE),"")</f>
        <v/>
      </c>
      <c r="O2455" s="99">
        <f>IFERROR(VLOOKUP(B2455,'Pre-Summary'!$BO$6:$BQ$48,3, FALSE),O2454)</f>
        <v>1.508</v>
      </c>
      <c r="P2455" s="99">
        <f>IFERROR(VLOOKUP(B2455,'Pre-Summary'!$BS$6:$BU$35,3,FALSE),P2454)</f>
        <v>0.4</v>
      </c>
      <c r="Q2455" s="54">
        <f t="shared" si="114"/>
        <v>3.77</v>
      </c>
      <c r="R2455" s="53">
        <f>IFERROR(VLOOKUP(B2455,'Pre-Summary'!$BG$6:$BM$44,7,FALSE),R2456)</f>
        <v>0.1051381075353212</v>
      </c>
      <c r="S2455" s="53">
        <f>IFERROR(VLOOKUP(B2455,'Pre-Summary'!$BG$6:$BM$44,6,FALSE),S2456)</f>
        <v>9.6348174087088401E-2</v>
      </c>
      <c r="T2455" s="45" t="str">
        <f>IFERROR(VLOOKUP(B2455,'Pre-Summary'!$Y$6:$AC$83, 3,FALSE),"")</f>
        <v/>
      </c>
      <c r="U2455" s="45" t="str">
        <f>IFERROR(VLOOKUP(B2455,'Pre-Summary'!$Y$6:$AC$83, 4,FALSE),"")</f>
        <v/>
      </c>
      <c r="V2455" t="str">
        <f>IFERROR(VLOOKUP(B2455,'Pre-Summary'!$Y$6:$AC$83, 5,FALSE),"")</f>
        <v/>
      </c>
      <c r="W2455" s="45" t="str">
        <f>IFERROR(VLOOKUP(B2455,'Pre-Summary'!$Y$6:$AD$83,6,FALSE),"")</f>
        <v/>
      </c>
      <c r="X2455" t="str">
        <f>IFERROR(VLOOKUP('Pre-Summary'!$DB$6:$DD$63,3,FALSE),"")</f>
        <v/>
      </c>
      <c r="Y2455" t="str">
        <f>IFERROR(VLOOKUP(B2455,'Pre-Summary'!$CR$6:$CT$36,3,FALSE),"")</f>
        <v/>
      </c>
      <c r="Z2455" s="45" t="str">
        <f>IFERROR(VLOOKUP(B2455,'Pre-Summary'!$BZ$6:$CB$63,2,FALSE),"")</f>
        <v/>
      </c>
      <c r="AA2455" s="45" t="str">
        <f>IFERROR(VLOOKUP(B2455,'Pre-Summary'!$CG$6:$CI$70,2,FALSE),"")</f>
        <v/>
      </c>
      <c r="AB2455" s="99">
        <f>IFERROR(VLOOKUP(B2455,'Pre-Summary'!$A$6:$P$178,9,FALSE),AB2456)</f>
        <v>0.35797790540428687</v>
      </c>
      <c r="AC2455" s="10">
        <f>IFERROR(VLOOKUP(Summary!B2455,'Pre-Summary'!$A$6:$P$184,5, FALSE)/100,AC2456)</f>
        <v>0.92186266666666672</v>
      </c>
      <c r="AD2455" s="10">
        <f>IFERROR(VLOOKUP(Summary!B2455,'Pre-Summary'!$A$6:$P$184,3, FALSE)/100,AD2456)</f>
        <v>6.3254999999999992E-2</v>
      </c>
      <c r="AE2455" s="10">
        <f>IFERROR(VLOOKUP(Summary!B2455,'Pre-Summary'!$A$6:$P$184,7, FALSE)/100,AE2456)</f>
        <v>1.4882333333333336E-2</v>
      </c>
      <c r="AF2455" s="99">
        <f t="shared" si="115"/>
        <v>2.2643892406348162E-2</v>
      </c>
      <c r="AG2455" s="99">
        <f t="shared" si="116"/>
        <v>5.3275465141950666E-3</v>
      </c>
      <c r="AH2455" s="10" t="str">
        <f>IFERROR(VLOOKUP(B2455,'Pre-Summary'!$AZ$6:$BE$65,3,FALSE),"")</f>
        <v/>
      </c>
      <c r="AI2455" s="10" t="str">
        <f>IFERROR(VLOOKUP(B2455,'Pre-Summary'!$AZ$6:$BE$65,5,FALSE),"")</f>
        <v/>
      </c>
      <c r="AJ2455" s="10" t="str">
        <f>IFERROR(VLOOKUP(B2455,'Pre-Summary'!$AZ$6:$BE$65,4,FALSE),"")</f>
        <v/>
      </c>
      <c r="AK2455" s="10" t="str">
        <f>IFERROR(VLOOKUP(B2455,'Pre-Summary'!$AZ$6:$BE$65,6,FALSE),"")</f>
        <v/>
      </c>
      <c r="AL2455" s="10" t="str">
        <f>IFERROR(VLOOKUP(B2455,'Pre-Summary'!$BG$6:$BL$44,3,FALSE),"")</f>
        <v/>
      </c>
      <c r="AM2455" s="10" t="str">
        <f>IFERROR(VLOOKUP(B2455,'Pre-Summary'!$BG$6:$BL$44,4,FALSE),"")</f>
        <v/>
      </c>
    </row>
    <row r="2456" spans="2:39" ht="15" customHeight="1" x14ac:dyDescent="0.3">
      <c r="B2456">
        <v>245.3</v>
      </c>
      <c r="C2456" t="str">
        <f>IFERROR(VLOOKUP(B2456,'Pre-Summary'!$DI$6:$DM$23,4,FALSE),"")</f>
        <v/>
      </c>
      <c r="D2456" s="10" t="str">
        <f>IFERROR(VLOOKUP(B2456,'Pre-Summary'!$AT$6:$AX$14,5,FALSE),D2455)</f>
        <v>Wolfe v3: went back to modified wolfe + EDTA and switched CuSO4 to CUCl2</v>
      </c>
      <c r="E2456" s="10" t="str">
        <f>IFERROR(VLOOKUP(B2456,'Pre-Summary'!$AT$6:$AX$15,4,FALSE),"")</f>
        <v/>
      </c>
      <c r="F2456">
        <f>IFERROR(VLOOKUP(B2456,'Pre-Summary'!$AL$6:$AQ$13,6,FALSE),F2455)</f>
        <v>5.9405263157894746E-2</v>
      </c>
      <c r="G2456" t="str">
        <f>IFERROR(VLOOKUP(B2456,'Pre-Summary'!$AE$6:$AJ$85,3,FALSE),"")</f>
        <v/>
      </c>
      <c r="H2456" t="str">
        <f>IFERROR(VLOOKUP(B2456,'Pre-Summary'!$AE$6:$AJ$85,4,FALSE),"")</f>
        <v/>
      </c>
      <c r="I2456" t="str">
        <f>IFERROR(VLOOKUP(B2456,'Pre-Summary'!$AE$6:$AJ$85,5,FALSE),"")</f>
        <v/>
      </c>
      <c r="J2456" s="45" t="str">
        <f>IFERROR(VLOOKUP(B2456,'Pre-Summary'!$AE$6:$AJ$85,6, FALSE),"")</f>
        <v/>
      </c>
      <c r="K2456" s="45" t="str">
        <f>IFERROR(VLOOKUP(B2456,'Pre-Summary'!$DE$6:$DG$61,3,FALSE),"")</f>
        <v/>
      </c>
      <c r="L2456" s="45" t="str">
        <f>IFERROR(VLOOKUP(B2456,'Pre-Summary'!$CU$6:$CW$36,3,FALSE),"")</f>
        <v/>
      </c>
      <c r="M2456" s="45" t="str">
        <f>IFERROR(VLOOKUP(B2456,'Pre-Summary'!$BW$6:$BY$58,2,FALSE),"")</f>
        <v/>
      </c>
      <c r="N2456" s="45" t="str">
        <f>IFERROR(VLOOKUP(B2456,'Pre-Summary'!$CD$6:$CF$64,2,FALSE),"")</f>
        <v/>
      </c>
      <c r="O2456" s="99">
        <f>IFERROR(VLOOKUP(B2456,'Pre-Summary'!$BO$6:$BQ$48,3, FALSE),O2455)</f>
        <v>1.508</v>
      </c>
      <c r="P2456" s="99">
        <f>IFERROR(VLOOKUP(B2456,'Pre-Summary'!$BS$6:$BU$35,3,FALSE),P2455)</f>
        <v>0.4</v>
      </c>
      <c r="Q2456" s="54">
        <f t="shared" si="114"/>
        <v>3.77</v>
      </c>
      <c r="R2456" s="53">
        <f>IFERROR(VLOOKUP(B2456,'Pre-Summary'!$BG$6:$BM$44,7,FALSE),R2457)</f>
        <v>0.1051381075353212</v>
      </c>
      <c r="S2456" s="53">
        <f>IFERROR(VLOOKUP(B2456,'Pre-Summary'!$BG$6:$BM$44,6,FALSE),S2457)</f>
        <v>9.6348174087088401E-2</v>
      </c>
      <c r="T2456" s="45" t="str">
        <f>IFERROR(VLOOKUP(B2456,'Pre-Summary'!$Y$6:$AC$83, 3,FALSE),"")</f>
        <v/>
      </c>
      <c r="U2456" s="45" t="str">
        <f>IFERROR(VLOOKUP(B2456,'Pre-Summary'!$Y$6:$AC$83, 4,FALSE),"")</f>
        <v/>
      </c>
      <c r="V2456" t="str">
        <f>IFERROR(VLOOKUP(B2456,'Pre-Summary'!$Y$6:$AC$83, 5,FALSE),"")</f>
        <v/>
      </c>
      <c r="W2456" s="45" t="str">
        <f>IFERROR(VLOOKUP(B2456,'Pre-Summary'!$Y$6:$AD$83,6,FALSE),"")</f>
        <v/>
      </c>
      <c r="X2456" t="str">
        <f>IFERROR(VLOOKUP('Pre-Summary'!$DB$6:$DD$63,3,FALSE),"")</f>
        <v/>
      </c>
      <c r="Y2456" t="str">
        <f>IFERROR(VLOOKUP(B2456,'Pre-Summary'!$CR$6:$CT$36,3,FALSE),"")</f>
        <v/>
      </c>
      <c r="Z2456" s="45" t="str">
        <f>IFERROR(VLOOKUP(B2456,'Pre-Summary'!$BZ$6:$CB$63,2,FALSE),"")</f>
        <v/>
      </c>
      <c r="AA2456" s="45" t="str">
        <f>IFERROR(VLOOKUP(B2456,'Pre-Summary'!$CG$6:$CI$70,2,FALSE),"")</f>
        <v/>
      </c>
      <c r="AB2456" s="99">
        <f>IFERROR(VLOOKUP(B2456,'Pre-Summary'!$A$6:$P$178,9,FALSE),AB2457)</f>
        <v>0.35797790540428687</v>
      </c>
      <c r="AC2456" s="10">
        <f>IFERROR(VLOOKUP(Summary!B2456,'Pre-Summary'!$A$6:$P$184,5, FALSE)/100,AC2457)</f>
        <v>0.92186266666666672</v>
      </c>
      <c r="AD2456" s="10">
        <f>IFERROR(VLOOKUP(Summary!B2456,'Pre-Summary'!$A$6:$P$184,3, FALSE)/100,AD2457)</f>
        <v>6.3254999999999992E-2</v>
      </c>
      <c r="AE2456" s="10">
        <f>IFERROR(VLOOKUP(Summary!B2456,'Pre-Summary'!$A$6:$P$184,7, FALSE)/100,AE2457)</f>
        <v>1.4882333333333336E-2</v>
      </c>
      <c r="AF2456" s="99">
        <f t="shared" si="115"/>
        <v>2.2643892406348162E-2</v>
      </c>
      <c r="AG2456" s="99">
        <f t="shared" si="116"/>
        <v>5.3275465141950666E-3</v>
      </c>
      <c r="AH2456" s="10" t="str">
        <f>IFERROR(VLOOKUP(B2456,'Pre-Summary'!$AZ$6:$BE$65,3,FALSE),"")</f>
        <v/>
      </c>
      <c r="AI2456" s="10" t="str">
        <f>IFERROR(VLOOKUP(B2456,'Pre-Summary'!$AZ$6:$BE$65,5,FALSE),"")</f>
        <v/>
      </c>
      <c r="AJ2456" s="10" t="str">
        <f>IFERROR(VLOOKUP(B2456,'Pre-Summary'!$AZ$6:$BE$65,4,FALSE),"")</f>
        <v/>
      </c>
      <c r="AK2456" s="10" t="str">
        <f>IFERROR(VLOOKUP(B2456,'Pre-Summary'!$AZ$6:$BE$65,6,FALSE),"")</f>
        <v/>
      </c>
      <c r="AL2456" s="10" t="str">
        <f>IFERROR(VLOOKUP(B2456,'Pre-Summary'!$BG$6:$BL$44,3,FALSE),"")</f>
        <v/>
      </c>
      <c r="AM2456" s="10" t="str">
        <f>IFERROR(VLOOKUP(B2456,'Pre-Summary'!$BG$6:$BL$44,4,FALSE),"")</f>
        <v/>
      </c>
    </row>
    <row r="2457" spans="2:39" ht="15" customHeight="1" x14ac:dyDescent="0.3">
      <c r="B2457">
        <v>245.4</v>
      </c>
      <c r="C2457" t="str">
        <f>IFERROR(VLOOKUP(B2457,'Pre-Summary'!$DI$6:$DM$23,4,FALSE),"")</f>
        <v/>
      </c>
      <c r="D2457" s="10" t="str">
        <f>IFERROR(VLOOKUP(B2457,'Pre-Summary'!$AT$6:$AX$14,5,FALSE),D2456)</f>
        <v>Wolfe v3: went back to modified wolfe + EDTA and switched CuSO4 to CUCl2</v>
      </c>
      <c r="E2457" s="10" t="str">
        <f>IFERROR(VLOOKUP(B2457,'Pre-Summary'!$AT$6:$AX$15,4,FALSE),"")</f>
        <v/>
      </c>
      <c r="F2457">
        <f>IFERROR(VLOOKUP(B2457,'Pre-Summary'!$AL$6:$AQ$13,6,FALSE),F2456)</f>
        <v>5.9405263157894746E-2</v>
      </c>
      <c r="G2457" t="str">
        <f>IFERROR(VLOOKUP(B2457,'Pre-Summary'!$AE$6:$AJ$85,3,FALSE),"")</f>
        <v/>
      </c>
      <c r="H2457" t="str">
        <f>IFERROR(VLOOKUP(B2457,'Pre-Summary'!$AE$6:$AJ$85,4,FALSE),"")</f>
        <v/>
      </c>
      <c r="I2457" t="str">
        <f>IFERROR(VLOOKUP(B2457,'Pre-Summary'!$AE$6:$AJ$85,5,FALSE),"")</f>
        <v/>
      </c>
      <c r="J2457" s="45" t="str">
        <f>IFERROR(VLOOKUP(B2457,'Pre-Summary'!$AE$6:$AJ$85,6, FALSE),"")</f>
        <v/>
      </c>
      <c r="K2457" s="45" t="str">
        <f>IFERROR(VLOOKUP(B2457,'Pre-Summary'!$DE$6:$DG$61,3,FALSE),"")</f>
        <v/>
      </c>
      <c r="L2457" s="45" t="str">
        <f>IFERROR(VLOOKUP(B2457,'Pre-Summary'!$CU$6:$CW$36,3,FALSE),"")</f>
        <v/>
      </c>
      <c r="M2457" s="45" t="str">
        <f>IFERROR(VLOOKUP(B2457,'Pre-Summary'!$BW$6:$BY$58,2,FALSE),"")</f>
        <v/>
      </c>
      <c r="N2457" s="45" t="str">
        <f>IFERROR(VLOOKUP(B2457,'Pre-Summary'!$CD$6:$CF$64,2,FALSE),"")</f>
        <v/>
      </c>
      <c r="O2457" s="99">
        <f>IFERROR(VLOOKUP(B2457,'Pre-Summary'!$BO$6:$BQ$48,3, FALSE),O2456)</f>
        <v>1.508</v>
      </c>
      <c r="P2457" s="99">
        <f>IFERROR(VLOOKUP(B2457,'Pre-Summary'!$BS$6:$BU$35,3,FALSE),P2456)</f>
        <v>0.4</v>
      </c>
      <c r="Q2457" s="54">
        <f t="shared" si="114"/>
        <v>3.77</v>
      </c>
      <c r="R2457" s="53">
        <f>IFERROR(VLOOKUP(B2457,'Pre-Summary'!$BG$6:$BM$44,7,FALSE),R2458)</f>
        <v>0.1051381075353212</v>
      </c>
      <c r="S2457" s="53">
        <f>IFERROR(VLOOKUP(B2457,'Pre-Summary'!$BG$6:$BM$44,6,FALSE),S2458)</f>
        <v>9.6348174087088401E-2</v>
      </c>
      <c r="T2457" s="45" t="str">
        <f>IFERROR(VLOOKUP(B2457,'Pre-Summary'!$Y$6:$AC$83, 3,FALSE),"")</f>
        <v/>
      </c>
      <c r="U2457" s="45" t="str">
        <f>IFERROR(VLOOKUP(B2457,'Pre-Summary'!$Y$6:$AC$83, 4,FALSE),"")</f>
        <v/>
      </c>
      <c r="V2457" t="str">
        <f>IFERROR(VLOOKUP(B2457,'Pre-Summary'!$Y$6:$AC$83, 5,FALSE),"")</f>
        <v/>
      </c>
      <c r="W2457" s="45" t="str">
        <f>IFERROR(VLOOKUP(B2457,'Pre-Summary'!$Y$6:$AD$83,6,FALSE),"")</f>
        <v/>
      </c>
      <c r="X2457" t="str">
        <f>IFERROR(VLOOKUP('Pre-Summary'!$DB$6:$DD$63,3,FALSE),"")</f>
        <v/>
      </c>
      <c r="Y2457" t="str">
        <f>IFERROR(VLOOKUP(B2457,'Pre-Summary'!$CR$6:$CT$36,3,FALSE),"")</f>
        <v/>
      </c>
      <c r="Z2457" s="45" t="str">
        <f>IFERROR(VLOOKUP(B2457,'Pre-Summary'!$BZ$6:$CB$63,2,FALSE),"")</f>
        <v/>
      </c>
      <c r="AA2457" s="45" t="str">
        <f>IFERROR(VLOOKUP(B2457,'Pre-Summary'!$CG$6:$CI$70,2,FALSE),"")</f>
        <v/>
      </c>
      <c r="AB2457" s="99">
        <f>IFERROR(VLOOKUP(B2457,'Pre-Summary'!$A$6:$P$178,9,FALSE),AB2458)</f>
        <v>0.35797790540428687</v>
      </c>
      <c r="AC2457" s="10">
        <f>IFERROR(VLOOKUP(Summary!B2457,'Pre-Summary'!$A$6:$P$184,5, FALSE)/100,AC2458)</f>
        <v>0.92186266666666672</v>
      </c>
      <c r="AD2457" s="10">
        <f>IFERROR(VLOOKUP(Summary!B2457,'Pre-Summary'!$A$6:$P$184,3, FALSE)/100,AD2458)</f>
        <v>6.3254999999999992E-2</v>
      </c>
      <c r="AE2457" s="10">
        <f>IFERROR(VLOOKUP(Summary!B2457,'Pre-Summary'!$A$6:$P$184,7, FALSE)/100,AE2458)</f>
        <v>1.4882333333333336E-2</v>
      </c>
      <c r="AF2457" s="99">
        <f t="shared" si="115"/>
        <v>2.2643892406348162E-2</v>
      </c>
      <c r="AG2457" s="99">
        <f t="shared" si="116"/>
        <v>5.3275465141950666E-3</v>
      </c>
      <c r="AH2457" s="10" t="str">
        <f>IFERROR(VLOOKUP(B2457,'Pre-Summary'!$AZ$6:$BE$65,3,FALSE),"")</f>
        <v/>
      </c>
      <c r="AI2457" s="10" t="str">
        <f>IFERROR(VLOOKUP(B2457,'Pre-Summary'!$AZ$6:$BE$65,5,FALSE),"")</f>
        <v/>
      </c>
      <c r="AJ2457" s="10" t="str">
        <f>IFERROR(VLOOKUP(B2457,'Pre-Summary'!$AZ$6:$BE$65,4,FALSE),"")</f>
        <v/>
      </c>
      <c r="AK2457" s="10" t="str">
        <f>IFERROR(VLOOKUP(B2457,'Pre-Summary'!$AZ$6:$BE$65,6,FALSE),"")</f>
        <v/>
      </c>
      <c r="AL2457" s="10" t="str">
        <f>IFERROR(VLOOKUP(B2457,'Pre-Summary'!$BG$6:$BL$44,3,FALSE),"")</f>
        <v/>
      </c>
      <c r="AM2457" s="10" t="str">
        <f>IFERROR(VLOOKUP(B2457,'Pre-Summary'!$BG$6:$BL$44,4,FALSE),"")</f>
        <v/>
      </c>
    </row>
    <row r="2458" spans="2:39" ht="15" customHeight="1" x14ac:dyDescent="0.3">
      <c r="B2458">
        <v>245.5</v>
      </c>
      <c r="C2458" t="str">
        <f>IFERROR(VLOOKUP(B2458,'Pre-Summary'!$DI$6:$DM$23,4,FALSE),"")</f>
        <v/>
      </c>
      <c r="D2458" s="10" t="str">
        <f>IFERROR(VLOOKUP(B2458,'Pre-Summary'!$AT$6:$AX$14,5,FALSE),D2457)</f>
        <v>Wolfe v3: went back to modified wolfe + EDTA and switched CuSO4 to CUCl2</v>
      </c>
      <c r="E2458" s="10" t="str">
        <f>IFERROR(VLOOKUP(B2458,'Pre-Summary'!$AT$6:$AX$15,4,FALSE),"")</f>
        <v/>
      </c>
      <c r="F2458">
        <f>IFERROR(VLOOKUP(B2458,'Pre-Summary'!$AL$6:$AQ$13,6,FALSE),F2457)</f>
        <v>5.9405263157894746E-2</v>
      </c>
      <c r="G2458" t="str">
        <f>IFERROR(VLOOKUP(B2458,'Pre-Summary'!$AE$6:$AJ$85,3,FALSE),"")</f>
        <v/>
      </c>
      <c r="H2458" t="str">
        <f>IFERROR(VLOOKUP(B2458,'Pre-Summary'!$AE$6:$AJ$85,4,FALSE),"")</f>
        <v/>
      </c>
      <c r="I2458" t="str">
        <f>IFERROR(VLOOKUP(B2458,'Pre-Summary'!$AE$6:$AJ$85,5,FALSE),"")</f>
        <v/>
      </c>
      <c r="J2458" s="45" t="str">
        <f>IFERROR(VLOOKUP(B2458,'Pre-Summary'!$AE$6:$AJ$85,6, FALSE),"")</f>
        <v/>
      </c>
      <c r="K2458" s="45" t="str">
        <f>IFERROR(VLOOKUP(B2458,'Pre-Summary'!$DE$6:$DG$61,3,FALSE),"")</f>
        <v/>
      </c>
      <c r="L2458" s="45" t="str">
        <f>IFERROR(VLOOKUP(B2458,'Pre-Summary'!$CU$6:$CW$36,3,FALSE),"")</f>
        <v/>
      </c>
      <c r="M2458" s="45" t="str">
        <f>IFERROR(VLOOKUP(B2458,'Pre-Summary'!$BW$6:$BY$58,2,FALSE),"")</f>
        <v/>
      </c>
      <c r="N2458" s="45" t="str">
        <f>IFERROR(VLOOKUP(B2458,'Pre-Summary'!$CD$6:$CF$64,2,FALSE),"")</f>
        <v/>
      </c>
      <c r="O2458" s="99">
        <f>IFERROR(VLOOKUP(B2458,'Pre-Summary'!$BO$6:$BQ$48,3, FALSE),O2457)</f>
        <v>1.508</v>
      </c>
      <c r="P2458" s="99">
        <f>IFERROR(VLOOKUP(B2458,'Pre-Summary'!$BS$6:$BU$35,3,FALSE),P2457)</f>
        <v>0.4</v>
      </c>
      <c r="Q2458" s="54">
        <f t="shared" si="114"/>
        <v>3.77</v>
      </c>
      <c r="R2458" s="53">
        <f>IFERROR(VLOOKUP(B2458,'Pre-Summary'!$BG$6:$BM$44,7,FALSE),R2459)</f>
        <v>0.1051381075353212</v>
      </c>
      <c r="S2458" s="53">
        <f>IFERROR(VLOOKUP(B2458,'Pre-Summary'!$BG$6:$BM$44,6,FALSE),S2459)</f>
        <v>9.6348174087088401E-2</v>
      </c>
      <c r="T2458" s="45" t="str">
        <f>IFERROR(VLOOKUP(B2458,'Pre-Summary'!$Y$6:$AC$83, 3,FALSE),"")</f>
        <v/>
      </c>
      <c r="U2458" s="45" t="str">
        <f>IFERROR(VLOOKUP(B2458,'Pre-Summary'!$Y$6:$AC$83, 4,FALSE),"")</f>
        <v/>
      </c>
      <c r="V2458" t="str">
        <f>IFERROR(VLOOKUP(B2458,'Pre-Summary'!$Y$6:$AC$83, 5,FALSE),"")</f>
        <v/>
      </c>
      <c r="W2458" s="45" t="str">
        <f>IFERROR(VLOOKUP(B2458,'Pre-Summary'!$Y$6:$AD$83,6,FALSE),"")</f>
        <v/>
      </c>
      <c r="X2458" t="str">
        <f>IFERROR(VLOOKUP('Pre-Summary'!$DB$6:$DD$63,3,FALSE),"")</f>
        <v/>
      </c>
      <c r="Y2458" t="str">
        <f>IFERROR(VLOOKUP(B2458,'Pre-Summary'!$CR$6:$CT$36,3,FALSE),"")</f>
        <v/>
      </c>
      <c r="Z2458" s="45" t="str">
        <f>IFERROR(VLOOKUP(B2458,'Pre-Summary'!$BZ$6:$CB$63,2,FALSE),"")</f>
        <v/>
      </c>
      <c r="AA2458" s="45" t="str">
        <f>IFERROR(VLOOKUP(B2458,'Pre-Summary'!$CG$6:$CI$70,2,FALSE),"")</f>
        <v/>
      </c>
      <c r="AB2458" s="99">
        <f>IFERROR(VLOOKUP(B2458,'Pre-Summary'!$A$6:$P$178,9,FALSE),AB2459)</f>
        <v>0.35797790540428687</v>
      </c>
      <c r="AC2458" s="10">
        <f>IFERROR(VLOOKUP(Summary!B2458,'Pre-Summary'!$A$6:$P$184,5, FALSE)/100,AC2459)</f>
        <v>0.92186266666666672</v>
      </c>
      <c r="AD2458" s="10">
        <f>IFERROR(VLOOKUP(Summary!B2458,'Pre-Summary'!$A$6:$P$184,3, FALSE)/100,AD2459)</f>
        <v>6.3254999999999992E-2</v>
      </c>
      <c r="AE2458" s="10">
        <f>IFERROR(VLOOKUP(Summary!B2458,'Pre-Summary'!$A$6:$P$184,7, FALSE)/100,AE2459)</f>
        <v>1.4882333333333336E-2</v>
      </c>
      <c r="AF2458" s="99">
        <f t="shared" si="115"/>
        <v>2.2643892406348162E-2</v>
      </c>
      <c r="AG2458" s="99">
        <f t="shared" si="116"/>
        <v>5.3275465141950666E-3</v>
      </c>
      <c r="AH2458" s="10" t="str">
        <f>IFERROR(VLOOKUP(B2458,'Pre-Summary'!$AZ$6:$BE$65,3,FALSE),"")</f>
        <v/>
      </c>
      <c r="AI2458" s="10" t="str">
        <f>IFERROR(VLOOKUP(B2458,'Pre-Summary'!$AZ$6:$BE$65,5,FALSE),"")</f>
        <v/>
      </c>
      <c r="AJ2458" s="10" t="str">
        <f>IFERROR(VLOOKUP(B2458,'Pre-Summary'!$AZ$6:$BE$65,4,FALSE),"")</f>
        <v/>
      </c>
      <c r="AK2458" s="10" t="str">
        <f>IFERROR(VLOOKUP(B2458,'Pre-Summary'!$AZ$6:$BE$65,6,FALSE),"")</f>
        <v/>
      </c>
      <c r="AL2458" s="10" t="str">
        <f>IFERROR(VLOOKUP(B2458,'Pre-Summary'!$BG$6:$BL$44,3,FALSE),"")</f>
        <v/>
      </c>
      <c r="AM2458" s="10" t="str">
        <f>IFERROR(VLOOKUP(B2458,'Pre-Summary'!$BG$6:$BL$44,4,FALSE),"")</f>
        <v/>
      </c>
    </row>
    <row r="2459" spans="2:39" ht="15" customHeight="1" x14ac:dyDescent="0.3">
      <c r="B2459">
        <v>245.6</v>
      </c>
      <c r="C2459" t="str">
        <f>IFERROR(VLOOKUP(B2459,'Pre-Summary'!$DI$6:$DM$23,4,FALSE),"")</f>
        <v/>
      </c>
      <c r="D2459" s="10" t="str">
        <f>IFERROR(VLOOKUP(B2459,'Pre-Summary'!$AT$6:$AX$14,5,FALSE),D2458)</f>
        <v>Wolfe v3: went back to modified wolfe + EDTA and switched CuSO4 to CUCl2</v>
      </c>
      <c r="E2459" s="10" t="str">
        <f>IFERROR(VLOOKUP(B2459,'Pre-Summary'!$AT$6:$AX$15,4,FALSE),"")</f>
        <v/>
      </c>
      <c r="F2459">
        <f>IFERROR(VLOOKUP(B2459,'Pre-Summary'!$AL$6:$AQ$13,6,FALSE),F2458)</f>
        <v>5.9405263157894746E-2</v>
      </c>
      <c r="G2459" t="str">
        <f>IFERROR(VLOOKUP(B2459,'Pre-Summary'!$AE$6:$AJ$85,3,FALSE),"")</f>
        <v/>
      </c>
      <c r="H2459" t="str">
        <f>IFERROR(VLOOKUP(B2459,'Pre-Summary'!$AE$6:$AJ$85,4,FALSE),"")</f>
        <v/>
      </c>
      <c r="I2459" t="str">
        <f>IFERROR(VLOOKUP(B2459,'Pre-Summary'!$AE$6:$AJ$85,5,FALSE),"")</f>
        <v/>
      </c>
      <c r="J2459" s="45" t="str">
        <f>IFERROR(VLOOKUP(B2459,'Pre-Summary'!$AE$6:$AJ$85,6, FALSE),"")</f>
        <v/>
      </c>
      <c r="K2459" s="45" t="str">
        <f>IFERROR(VLOOKUP(B2459,'Pre-Summary'!$DE$6:$DG$61,3,FALSE),"")</f>
        <v/>
      </c>
      <c r="L2459" s="45" t="str">
        <f>IFERROR(VLOOKUP(B2459,'Pre-Summary'!$CU$6:$CW$36,3,FALSE),"")</f>
        <v/>
      </c>
      <c r="M2459" s="45" t="str">
        <f>IFERROR(VLOOKUP(B2459,'Pre-Summary'!$BW$6:$BY$58,2,FALSE),"")</f>
        <v/>
      </c>
      <c r="N2459" s="45" t="str">
        <f>IFERROR(VLOOKUP(B2459,'Pre-Summary'!$CD$6:$CF$64,2,FALSE),"")</f>
        <v/>
      </c>
      <c r="O2459" s="99">
        <f>IFERROR(VLOOKUP(B2459,'Pre-Summary'!$BO$6:$BQ$48,3, FALSE),O2458)</f>
        <v>1.508</v>
      </c>
      <c r="P2459" s="99">
        <f>IFERROR(VLOOKUP(B2459,'Pre-Summary'!$BS$6:$BU$35,3,FALSE),P2458)</f>
        <v>0.4</v>
      </c>
      <c r="Q2459" s="54">
        <f t="shared" si="114"/>
        <v>3.77</v>
      </c>
      <c r="R2459" s="53">
        <f>IFERROR(VLOOKUP(B2459,'Pre-Summary'!$BG$6:$BM$44,7,FALSE),R2460)</f>
        <v>0.1051381075353212</v>
      </c>
      <c r="S2459" s="53">
        <f>IFERROR(VLOOKUP(B2459,'Pre-Summary'!$BG$6:$BM$44,6,FALSE),S2460)</f>
        <v>9.6348174087088401E-2</v>
      </c>
      <c r="T2459" s="45" t="str">
        <f>IFERROR(VLOOKUP(B2459,'Pre-Summary'!$Y$6:$AC$83, 3,FALSE),"")</f>
        <v/>
      </c>
      <c r="U2459" s="45" t="str">
        <f>IFERROR(VLOOKUP(B2459,'Pre-Summary'!$Y$6:$AC$83, 4,FALSE),"")</f>
        <v/>
      </c>
      <c r="V2459" t="str">
        <f>IFERROR(VLOOKUP(B2459,'Pre-Summary'!$Y$6:$AC$83, 5,FALSE),"")</f>
        <v/>
      </c>
      <c r="W2459" s="45" t="str">
        <f>IFERROR(VLOOKUP(B2459,'Pre-Summary'!$Y$6:$AD$83,6,FALSE),"")</f>
        <v/>
      </c>
      <c r="X2459" t="str">
        <f>IFERROR(VLOOKUP('Pre-Summary'!$DB$6:$DD$63,3,FALSE),"")</f>
        <v/>
      </c>
      <c r="Y2459" t="str">
        <f>IFERROR(VLOOKUP(B2459,'Pre-Summary'!$CR$6:$CT$36,3,FALSE),"")</f>
        <v/>
      </c>
      <c r="Z2459" s="45" t="str">
        <f>IFERROR(VLOOKUP(B2459,'Pre-Summary'!$BZ$6:$CB$63,2,FALSE),"")</f>
        <v/>
      </c>
      <c r="AA2459" s="45" t="str">
        <f>IFERROR(VLOOKUP(B2459,'Pre-Summary'!$CG$6:$CI$70,2,FALSE),"")</f>
        <v/>
      </c>
      <c r="AB2459" s="99">
        <f>IFERROR(VLOOKUP(B2459,'Pre-Summary'!$A$6:$P$178,9,FALSE),AB2460)</f>
        <v>0.35797790540428687</v>
      </c>
      <c r="AC2459" s="10">
        <f>IFERROR(VLOOKUP(Summary!B2459,'Pre-Summary'!$A$6:$P$184,5, FALSE)/100,AC2460)</f>
        <v>0.92186266666666672</v>
      </c>
      <c r="AD2459" s="10">
        <f>IFERROR(VLOOKUP(Summary!B2459,'Pre-Summary'!$A$6:$P$184,3, FALSE)/100,AD2460)</f>
        <v>6.3254999999999992E-2</v>
      </c>
      <c r="AE2459" s="10">
        <f>IFERROR(VLOOKUP(Summary!B2459,'Pre-Summary'!$A$6:$P$184,7, FALSE)/100,AE2460)</f>
        <v>1.4882333333333336E-2</v>
      </c>
      <c r="AF2459" s="99">
        <f t="shared" si="115"/>
        <v>2.2643892406348162E-2</v>
      </c>
      <c r="AG2459" s="99">
        <f t="shared" si="116"/>
        <v>5.3275465141950666E-3</v>
      </c>
      <c r="AH2459" s="10" t="str">
        <f>IFERROR(VLOOKUP(B2459,'Pre-Summary'!$AZ$6:$BE$65,3,FALSE),"")</f>
        <v/>
      </c>
      <c r="AI2459" s="10" t="str">
        <f>IFERROR(VLOOKUP(B2459,'Pre-Summary'!$AZ$6:$BE$65,5,FALSE),"")</f>
        <v/>
      </c>
      <c r="AJ2459" s="10" t="str">
        <f>IFERROR(VLOOKUP(B2459,'Pre-Summary'!$AZ$6:$BE$65,4,FALSE),"")</f>
        <v/>
      </c>
      <c r="AK2459" s="10" t="str">
        <f>IFERROR(VLOOKUP(B2459,'Pre-Summary'!$AZ$6:$BE$65,6,FALSE),"")</f>
        <v/>
      </c>
      <c r="AL2459" s="10" t="str">
        <f>IFERROR(VLOOKUP(B2459,'Pre-Summary'!$BG$6:$BL$44,3,FALSE),"")</f>
        <v/>
      </c>
      <c r="AM2459" s="10" t="str">
        <f>IFERROR(VLOOKUP(B2459,'Pre-Summary'!$BG$6:$BL$44,4,FALSE),"")</f>
        <v/>
      </c>
    </row>
    <row r="2460" spans="2:39" ht="15" customHeight="1" x14ac:dyDescent="0.3">
      <c r="B2460">
        <v>245.7</v>
      </c>
      <c r="C2460" t="str">
        <f>IFERROR(VLOOKUP(B2460,'Pre-Summary'!$DI$6:$DM$23,4,FALSE),"")</f>
        <v/>
      </c>
      <c r="D2460" s="10" t="str">
        <f>IFERROR(VLOOKUP(B2460,'Pre-Summary'!$AT$6:$AX$14,5,FALSE),D2459)</f>
        <v>Wolfe v3: went back to modified wolfe + EDTA and switched CuSO4 to CUCl2</v>
      </c>
      <c r="E2460" s="10" t="str">
        <f>IFERROR(VLOOKUP(B2460,'Pre-Summary'!$AT$6:$AX$15,4,FALSE),"")</f>
        <v/>
      </c>
      <c r="F2460">
        <f>IFERROR(VLOOKUP(B2460,'Pre-Summary'!$AL$6:$AQ$13,6,FALSE),F2459)</f>
        <v>5.9405263157894746E-2</v>
      </c>
      <c r="G2460" t="str">
        <f>IFERROR(VLOOKUP(B2460,'Pre-Summary'!$AE$6:$AJ$85,3,FALSE),"")</f>
        <v/>
      </c>
      <c r="H2460" t="str">
        <f>IFERROR(VLOOKUP(B2460,'Pre-Summary'!$AE$6:$AJ$85,4,FALSE),"")</f>
        <v/>
      </c>
      <c r="I2460" t="str">
        <f>IFERROR(VLOOKUP(B2460,'Pre-Summary'!$AE$6:$AJ$85,5,FALSE),"")</f>
        <v/>
      </c>
      <c r="J2460" s="45" t="str">
        <f>IFERROR(VLOOKUP(B2460,'Pre-Summary'!$AE$6:$AJ$85,6, FALSE),"")</f>
        <v/>
      </c>
      <c r="K2460" s="45" t="str">
        <f>IFERROR(VLOOKUP(B2460,'Pre-Summary'!$DE$6:$DG$61,3,FALSE),"")</f>
        <v/>
      </c>
      <c r="L2460" s="45" t="str">
        <f>IFERROR(VLOOKUP(B2460,'Pre-Summary'!$CU$6:$CW$36,3,FALSE),"")</f>
        <v/>
      </c>
      <c r="M2460" s="45" t="str">
        <f>IFERROR(VLOOKUP(B2460,'Pre-Summary'!$BW$6:$BY$58,2,FALSE),"")</f>
        <v/>
      </c>
      <c r="N2460" s="45" t="str">
        <f>IFERROR(VLOOKUP(B2460,'Pre-Summary'!$CD$6:$CF$64,2,FALSE),"")</f>
        <v/>
      </c>
      <c r="O2460" s="99">
        <f>IFERROR(VLOOKUP(B2460,'Pre-Summary'!$BO$6:$BQ$48,3, FALSE),O2459)</f>
        <v>1.508</v>
      </c>
      <c r="P2460" s="99">
        <f>IFERROR(VLOOKUP(B2460,'Pre-Summary'!$BS$6:$BU$35,3,FALSE),P2459)</f>
        <v>0.4</v>
      </c>
      <c r="Q2460" s="54">
        <f t="shared" si="114"/>
        <v>3.77</v>
      </c>
      <c r="R2460" s="53">
        <f>IFERROR(VLOOKUP(B2460,'Pre-Summary'!$BG$6:$BM$44,7,FALSE),R2461)</f>
        <v>0.1051381075353212</v>
      </c>
      <c r="S2460" s="53">
        <f>IFERROR(VLOOKUP(B2460,'Pre-Summary'!$BG$6:$BM$44,6,FALSE),S2461)</f>
        <v>9.6348174087088401E-2</v>
      </c>
      <c r="T2460" s="45" t="str">
        <f>IFERROR(VLOOKUP(B2460,'Pre-Summary'!$Y$6:$AC$83, 3,FALSE),"")</f>
        <v/>
      </c>
      <c r="U2460" s="45" t="str">
        <f>IFERROR(VLOOKUP(B2460,'Pre-Summary'!$Y$6:$AC$83, 4,FALSE),"")</f>
        <v/>
      </c>
      <c r="V2460" t="str">
        <f>IFERROR(VLOOKUP(B2460,'Pre-Summary'!$Y$6:$AC$83, 5,FALSE),"")</f>
        <v/>
      </c>
      <c r="W2460" s="45" t="str">
        <f>IFERROR(VLOOKUP(B2460,'Pre-Summary'!$Y$6:$AD$83,6,FALSE),"")</f>
        <v/>
      </c>
      <c r="X2460" t="str">
        <f>IFERROR(VLOOKUP('Pre-Summary'!$DB$6:$DD$63,3,FALSE),"")</f>
        <v/>
      </c>
      <c r="Y2460" t="str">
        <f>IFERROR(VLOOKUP(B2460,'Pre-Summary'!$CR$6:$CT$36,3,FALSE),"")</f>
        <v/>
      </c>
      <c r="Z2460" s="45" t="str">
        <f>IFERROR(VLOOKUP(B2460,'Pre-Summary'!$BZ$6:$CB$63,2,FALSE),"")</f>
        <v/>
      </c>
      <c r="AA2460" s="45" t="str">
        <f>IFERROR(VLOOKUP(B2460,'Pre-Summary'!$CG$6:$CI$70,2,FALSE),"")</f>
        <v/>
      </c>
      <c r="AB2460" s="99">
        <f>IFERROR(VLOOKUP(B2460,'Pre-Summary'!$A$6:$P$178,9,FALSE),AB2461)</f>
        <v>0.35797790540428687</v>
      </c>
      <c r="AC2460" s="10">
        <f>IFERROR(VLOOKUP(Summary!B2460,'Pre-Summary'!$A$6:$P$184,5, FALSE)/100,AC2461)</f>
        <v>0.92186266666666672</v>
      </c>
      <c r="AD2460" s="10">
        <f>IFERROR(VLOOKUP(Summary!B2460,'Pre-Summary'!$A$6:$P$184,3, FALSE)/100,AD2461)</f>
        <v>6.3254999999999992E-2</v>
      </c>
      <c r="AE2460" s="10">
        <f>IFERROR(VLOOKUP(Summary!B2460,'Pre-Summary'!$A$6:$P$184,7, FALSE)/100,AE2461)</f>
        <v>1.4882333333333336E-2</v>
      </c>
      <c r="AF2460" s="99">
        <f t="shared" si="115"/>
        <v>2.2643892406348162E-2</v>
      </c>
      <c r="AG2460" s="99">
        <f t="shared" si="116"/>
        <v>5.3275465141950666E-3</v>
      </c>
      <c r="AH2460" s="10" t="str">
        <f>IFERROR(VLOOKUP(B2460,'Pre-Summary'!$AZ$6:$BE$65,3,FALSE),"")</f>
        <v/>
      </c>
      <c r="AI2460" s="10" t="str">
        <f>IFERROR(VLOOKUP(B2460,'Pre-Summary'!$AZ$6:$BE$65,5,FALSE),"")</f>
        <v/>
      </c>
      <c r="AJ2460" s="10" t="str">
        <f>IFERROR(VLOOKUP(B2460,'Pre-Summary'!$AZ$6:$BE$65,4,FALSE),"")</f>
        <v/>
      </c>
      <c r="AK2460" s="10" t="str">
        <f>IFERROR(VLOOKUP(B2460,'Pre-Summary'!$AZ$6:$BE$65,6,FALSE),"")</f>
        <v/>
      </c>
      <c r="AL2460" s="10" t="str">
        <f>IFERROR(VLOOKUP(B2460,'Pre-Summary'!$BG$6:$BL$44,3,FALSE),"")</f>
        <v/>
      </c>
      <c r="AM2460" s="10" t="str">
        <f>IFERROR(VLOOKUP(B2460,'Pre-Summary'!$BG$6:$BL$44,4,FALSE),"")</f>
        <v/>
      </c>
    </row>
    <row r="2461" spans="2:39" ht="15" customHeight="1" x14ac:dyDescent="0.3">
      <c r="B2461">
        <v>245.8</v>
      </c>
      <c r="C2461" t="str">
        <f>IFERROR(VLOOKUP(B2461,'Pre-Summary'!$DI$6:$DM$23,4,FALSE),"")</f>
        <v/>
      </c>
      <c r="D2461" s="10" t="str">
        <f>IFERROR(VLOOKUP(B2461,'Pre-Summary'!$AT$6:$AX$14,5,FALSE),D2460)</f>
        <v>Wolfe v3: went back to modified wolfe + EDTA and switched CuSO4 to CUCl2</v>
      </c>
      <c r="E2461" s="10" t="str">
        <f>IFERROR(VLOOKUP(B2461,'Pre-Summary'!$AT$6:$AX$15,4,FALSE),"")</f>
        <v/>
      </c>
      <c r="F2461">
        <f>IFERROR(VLOOKUP(B2461,'Pre-Summary'!$AL$6:$AQ$13,6,FALSE),F2460)</f>
        <v>5.9405263157894746E-2</v>
      </c>
      <c r="G2461" t="str">
        <f>IFERROR(VLOOKUP(B2461,'Pre-Summary'!$AE$6:$AJ$85,3,FALSE),"")</f>
        <v/>
      </c>
      <c r="H2461" t="str">
        <f>IFERROR(VLOOKUP(B2461,'Pre-Summary'!$AE$6:$AJ$85,4,FALSE),"")</f>
        <v/>
      </c>
      <c r="I2461" t="str">
        <f>IFERROR(VLOOKUP(B2461,'Pre-Summary'!$AE$6:$AJ$85,5,FALSE),"")</f>
        <v/>
      </c>
      <c r="J2461" s="45" t="str">
        <f>IFERROR(VLOOKUP(B2461,'Pre-Summary'!$AE$6:$AJ$85,6, FALSE),"")</f>
        <v/>
      </c>
      <c r="K2461" s="45" t="str">
        <f>IFERROR(VLOOKUP(B2461,'Pre-Summary'!$DE$6:$DG$61,3,FALSE),"")</f>
        <v/>
      </c>
      <c r="L2461" s="45" t="str">
        <f>IFERROR(VLOOKUP(B2461,'Pre-Summary'!$CU$6:$CW$36,3,FALSE),"")</f>
        <v/>
      </c>
      <c r="M2461" s="45" t="str">
        <f>IFERROR(VLOOKUP(B2461,'Pre-Summary'!$BW$6:$BY$58,2,FALSE),"")</f>
        <v/>
      </c>
      <c r="N2461" s="45" t="str">
        <f>IFERROR(VLOOKUP(B2461,'Pre-Summary'!$CD$6:$CF$64,2,FALSE),"")</f>
        <v/>
      </c>
      <c r="O2461" s="99">
        <f>IFERROR(VLOOKUP(B2461,'Pre-Summary'!$BO$6:$BQ$48,3, FALSE),O2460)</f>
        <v>1.508</v>
      </c>
      <c r="P2461" s="99">
        <f>IFERROR(VLOOKUP(B2461,'Pre-Summary'!$BS$6:$BU$35,3,FALSE),P2460)</f>
        <v>0.4</v>
      </c>
      <c r="Q2461" s="54">
        <f t="shared" si="114"/>
        <v>3.77</v>
      </c>
      <c r="R2461" s="53">
        <f>IFERROR(VLOOKUP(B2461,'Pre-Summary'!$BG$6:$BM$44,7,FALSE),R2462)</f>
        <v>0.1051381075353212</v>
      </c>
      <c r="S2461" s="53">
        <f>IFERROR(VLOOKUP(B2461,'Pre-Summary'!$BG$6:$BM$44,6,FALSE),S2462)</f>
        <v>9.6348174087088401E-2</v>
      </c>
      <c r="T2461" s="45" t="str">
        <f>IFERROR(VLOOKUP(B2461,'Pre-Summary'!$Y$6:$AC$83, 3,FALSE),"")</f>
        <v/>
      </c>
      <c r="U2461" s="45" t="str">
        <f>IFERROR(VLOOKUP(B2461,'Pre-Summary'!$Y$6:$AC$83, 4,FALSE),"")</f>
        <v/>
      </c>
      <c r="V2461" t="str">
        <f>IFERROR(VLOOKUP(B2461,'Pre-Summary'!$Y$6:$AC$83, 5,FALSE),"")</f>
        <v/>
      </c>
      <c r="W2461" s="45" t="str">
        <f>IFERROR(VLOOKUP(B2461,'Pre-Summary'!$Y$6:$AD$83,6,FALSE),"")</f>
        <v/>
      </c>
      <c r="X2461" t="str">
        <f>IFERROR(VLOOKUP('Pre-Summary'!$DB$6:$DD$63,3,FALSE),"")</f>
        <v/>
      </c>
      <c r="Y2461" t="str">
        <f>IFERROR(VLOOKUP(B2461,'Pre-Summary'!$CR$6:$CT$36,3,FALSE),"")</f>
        <v/>
      </c>
      <c r="Z2461" s="45" t="str">
        <f>IFERROR(VLOOKUP(B2461,'Pre-Summary'!$BZ$6:$CB$63,2,FALSE),"")</f>
        <v/>
      </c>
      <c r="AA2461" s="45" t="str">
        <f>IFERROR(VLOOKUP(B2461,'Pre-Summary'!$CG$6:$CI$70,2,FALSE),"")</f>
        <v/>
      </c>
      <c r="AB2461" s="99">
        <f>IFERROR(VLOOKUP(B2461,'Pre-Summary'!$A$6:$P$178,9,FALSE),AB2462)</f>
        <v>0.35797790540428687</v>
      </c>
      <c r="AC2461" s="10">
        <f>IFERROR(VLOOKUP(Summary!B2461,'Pre-Summary'!$A$6:$P$184,5, FALSE)/100,AC2462)</f>
        <v>0.92186266666666672</v>
      </c>
      <c r="AD2461" s="10">
        <f>IFERROR(VLOOKUP(Summary!B2461,'Pre-Summary'!$A$6:$P$184,3, FALSE)/100,AD2462)</f>
        <v>6.3254999999999992E-2</v>
      </c>
      <c r="AE2461" s="10">
        <f>IFERROR(VLOOKUP(Summary!B2461,'Pre-Summary'!$A$6:$P$184,7, FALSE)/100,AE2462)</f>
        <v>1.4882333333333336E-2</v>
      </c>
      <c r="AF2461" s="99">
        <f t="shared" si="115"/>
        <v>2.2643892406348162E-2</v>
      </c>
      <c r="AG2461" s="99">
        <f t="shared" si="116"/>
        <v>5.3275465141950666E-3</v>
      </c>
      <c r="AH2461" s="10" t="str">
        <f>IFERROR(VLOOKUP(B2461,'Pre-Summary'!$AZ$6:$BE$65,3,FALSE),"")</f>
        <v/>
      </c>
      <c r="AI2461" s="10" t="str">
        <f>IFERROR(VLOOKUP(B2461,'Pre-Summary'!$AZ$6:$BE$65,5,FALSE),"")</f>
        <v/>
      </c>
      <c r="AJ2461" s="10" t="str">
        <f>IFERROR(VLOOKUP(B2461,'Pre-Summary'!$AZ$6:$BE$65,4,FALSE),"")</f>
        <v/>
      </c>
      <c r="AK2461" s="10" t="str">
        <f>IFERROR(VLOOKUP(B2461,'Pre-Summary'!$AZ$6:$BE$65,6,FALSE),"")</f>
        <v/>
      </c>
      <c r="AL2461" s="10" t="str">
        <f>IFERROR(VLOOKUP(B2461,'Pre-Summary'!$BG$6:$BL$44,3,FALSE),"")</f>
        <v/>
      </c>
      <c r="AM2461" s="10" t="str">
        <f>IFERROR(VLOOKUP(B2461,'Pre-Summary'!$BG$6:$BL$44,4,FALSE),"")</f>
        <v/>
      </c>
    </row>
    <row r="2462" spans="2:39" ht="15" customHeight="1" x14ac:dyDescent="0.3">
      <c r="B2462">
        <v>245.9</v>
      </c>
      <c r="C2462" t="str">
        <f>IFERROR(VLOOKUP(B2462,'Pre-Summary'!$DI$6:$DM$23,4,FALSE),"")</f>
        <v/>
      </c>
      <c r="D2462" s="10" t="str">
        <f>IFERROR(VLOOKUP(B2462,'Pre-Summary'!$AT$6:$AX$14,5,FALSE),D2461)</f>
        <v>Wolfe v3: went back to modified wolfe + EDTA and switched CuSO4 to CUCl2</v>
      </c>
      <c r="E2462" s="10" t="str">
        <f>IFERROR(VLOOKUP(B2462,'Pre-Summary'!$AT$6:$AX$15,4,FALSE),"")</f>
        <v/>
      </c>
      <c r="F2462">
        <f>IFERROR(VLOOKUP(B2462,'Pre-Summary'!$AL$6:$AQ$13,6,FALSE),F2461)</f>
        <v>5.9405263157894746E-2</v>
      </c>
      <c r="G2462" t="str">
        <f>IFERROR(VLOOKUP(B2462,'Pre-Summary'!$AE$6:$AJ$85,3,FALSE),"")</f>
        <v/>
      </c>
      <c r="H2462" t="str">
        <f>IFERROR(VLOOKUP(B2462,'Pre-Summary'!$AE$6:$AJ$85,4,FALSE),"")</f>
        <v/>
      </c>
      <c r="I2462" t="str">
        <f>IFERROR(VLOOKUP(B2462,'Pre-Summary'!$AE$6:$AJ$85,5,FALSE),"")</f>
        <v/>
      </c>
      <c r="J2462" s="45" t="str">
        <f>IFERROR(VLOOKUP(B2462,'Pre-Summary'!$AE$6:$AJ$85,6, FALSE),"")</f>
        <v/>
      </c>
      <c r="K2462" s="45" t="str">
        <f>IFERROR(VLOOKUP(B2462,'Pre-Summary'!$DE$6:$DG$61,3,FALSE),"")</f>
        <v/>
      </c>
      <c r="L2462" s="45" t="str">
        <f>IFERROR(VLOOKUP(B2462,'Pre-Summary'!$CU$6:$CW$36,3,FALSE),"")</f>
        <v/>
      </c>
      <c r="M2462" s="45" t="str">
        <f>IFERROR(VLOOKUP(B2462,'Pre-Summary'!$BW$6:$BY$58,2,FALSE),"")</f>
        <v/>
      </c>
      <c r="N2462" s="45" t="str">
        <f>IFERROR(VLOOKUP(B2462,'Pre-Summary'!$CD$6:$CF$64,2,FALSE),"")</f>
        <v/>
      </c>
      <c r="O2462" s="99">
        <f>IFERROR(VLOOKUP(B2462,'Pre-Summary'!$BO$6:$BQ$48,3, FALSE),O2461)</f>
        <v>1.508</v>
      </c>
      <c r="P2462" s="99">
        <f>IFERROR(VLOOKUP(B2462,'Pre-Summary'!$BS$6:$BU$35,3,FALSE),P2461)</f>
        <v>0.4</v>
      </c>
      <c r="Q2462" s="54">
        <f t="shared" si="114"/>
        <v>3.77</v>
      </c>
      <c r="R2462" s="53">
        <f>IFERROR(VLOOKUP(B2462,'Pre-Summary'!$BG$6:$BM$44,7,FALSE),R2463)</f>
        <v>0.1051381075353212</v>
      </c>
      <c r="S2462" s="53">
        <f>IFERROR(VLOOKUP(B2462,'Pre-Summary'!$BG$6:$BM$44,6,FALSE),S2463)</f>
        <v>9.6348174087088401E-2</v>
      </c>
      <c r="T2462" s="45" t="str">
        <f>IFERROR(VLOOKUP(B2462,'Pre-Summary'!$Y$6:$AC$83, 3,FALSE),"")</f>
        <v/>
      </c>
      <c r="U2462" s="45" t="str">
        <f>IFERROR(VLOOKUP(B2462,'Pre-Summary'!$Y$6:$AC$83, 4,FALSE),"")</f>
        <v/>
      </c>
      <c r="V2462" t="str">
        <f>IFERROR(VLOOKUP(B2462,'Pre-Summary'!$Y$6:$AC$83, 5,FALSE),"")</f>
        <v/>
      </c>
      <c r="W2462" s="45" t="str">
        <f>IFERROR(VLOOKUP(B2462,'Pre-Summary'!$Y$6:$AD$83,6,FALSE),"")</f>
        <v/>
      </c>
      <c r="X2462" t="str">
        <f>IFERROR(VLOOKUP('Pre-Summary'!$DB$6:$DD$63,3,FALSE),"")</f>
        <v/>
      </c>
      <c r="Y2462" t="str">
        <f>IFERROR(VLOOKUP(B2462,'Pre-Summary'!$CR$6:$CT$36,3,FALSE),"")</f>
        <v/>
      </c>
      <c r="Z2462" s="45" t="str">
        <f>IFERROR(VLOOKUP(B2462,'Pre-Summary'!$BZ$6:$CB$63,2,FALSE),"")</f>
        <v/>
      </c>
      <c r="AA2462" s="45" t="str">
        <f>IFERROR(VLOOKUP(B2462,'Pre-Summary'!$CG$6:$CI$70,2,FALSE),"")</f>
        <v/>
      </c>
      <c r="AB2462" s="99">
        <f>IFERROR(VLOOKUP(B2462,'Pre-Summary'!$A$6:$P$178,9,FALSE),AB2463)</f>
        <v>0.35797790540428687</v>
      </c>
      <c r="AC2462" s="10">
        <f>IFERROR(VLOOKUP(Summary!B2462,'Pre-Summary'!$A$6:$P$184,5, FALSE)/100,AC2463)</f>
        <v>0.92186266666666672</v>
      </c>
      <c r="AD2462" s="10">
        <f>IFERROR(VLOOKUP(Summary!B2462,'Pre-Summary'!$A$6:$P$184,3, FALSE)/100,AD2463)</f>
        <v>6.3254999999999992E-2</v>
      </c>
      <c r="AE2462" s="10">
        <f>IFERROR(VLOOKUP(Summary!B2462,'Pre-Summary'!$A$6:$P$184,7, FALSE)/100,AE2463)</f>
        <v>1.4882333333333336E-2</v>
      </c>
      <c r="AF2462" s="99">
        <f t="shared" si="115"/>
        <v>2.2643892406348162E-2</v>
      </c>
      <c r="AG2462" s="99">
        <f t="shared" si="116"/>
        <v>5.3275465141950666E-3</v>
      </c>
      <c r="AH2462" s="10" t="str">
        <f>IFERROR(VLOOKUP(B2462,'Pre-Summary'!$AZ$6:$BE$65,3,FALSE),"")</f>
        <v/>
      </c>
      <c r="AI2462" s="10" t="str">
        <f>IFERROR(VLOOKUP(B2462,'Pre-Summary'!$AZ$6:$BE$65,5,FALSE),"")</f>
        <v/>
      </c>
      <c r="AJ2462" s="10" t="str">
        <f>IFERROR(VLOOKUP(B2462,'Pre-Summary'!$AZ$6:$BE$65,4,FALSE),"")</f>
        <v/>
      </c>
      <c r="AK2462" s="10" t="str">
        <f>IFERROR(VLOOKUP(B2462,'Pre-Summary'!$AZ$6:$BE$65,6,FALSE),"")</f>
        <v/>
      </c>
      <c r="AL2462" s="10" t="str">
        <f>IFERROR(VLOOKUP(B2462,'Pre-Summary'!$BG$6:$BL$44,3,FALSE),"")</f>
        <v/>
      </c>
      <c r="AM2462" s="10" t="str">
        <f>IFERROR(VLOOKUP(B2462,'Pre-Summary'!$BG$6:$BL$44,4,FALSE),"")</f>
        <v/>
      </c>
    </row>
    <row r="2463" spans="2:39" ht="15" customHeight="1" x14ac:dyDescent="0.3">
      <c r="B2463">
        <v>246</v>
      </c>
      <c r="C2463" t="str">
        <f>IFERROR(VLOOKUP(B2463,'Pre-Summary'!$DI$6:$DM$23,4,FALSE),"")</f>
        <v/>
      </c>
      <c r="D2463" s="10" t="str">
        <f>IFERROR(VLOOKUP(B2463,'Pre-Summary'!$AT$6:$AX$14,5,FALSE),D2462)</f>
        <v>Wolfe v3: went back to modified wolfe + EDTA and switched CuSO4 to CUCl2</v>
      </c>
      <c r="E2463" s="10" t="str">
        <f>IFERROR(VLOOKUP(B2463,'Pre-Summary'!$AT$6:$AX$15,4,FALSE),"")</f>
        <v/>
      </c>
      <c r="F2463">
        <f>IFERROR(VLOOKUP(B2463,'Pre-Summary'!$AL$6:$AQ$13,6,FALSE),F2462)</f>
        <v>5.9405263157894746E-2</v>
      </c>
      <c r="G2463" t="str">
        <f>IFERROR(VLOOKUP(B2463,'Pre-Summary'!$AE$6:$AJ$85,3,FALSE),"")</f>
        <v/>
      </c>
      <c r="H2463" t="str">
        <f>IFERROR(VLOOKUP(B2463,'Pre-Summary'!$AE$6:$AJ$85,4,FALSE),"")</f>
        <v/>
      </c>
      <c r="I2463" t="str">
        <f>IFERROR(VLOOKUP(B2463,'Pre-Summary'!$AE$6:$AJ$85,5,FALSE),"")</f>
        <v/>
      </c>
      <c r="J2463" s="45" t="str">
        <f>IFERROR(VLOOKUP(B2463,'Pre-Summary'!$AE$6:$AJ$85,6, FALSE),"")</f>
        <v/>
      </c>
      <c r="K2463" s="45" t="str">
        <f>IFERROR(VLOOKUP(B2463,'Pre-Summary'!$DE$6:$DG$61,3,FALSE),"")</f>
        <v/>
      </c>
      <c r="L2463" s="45" t="str">
        <f>IFERROR(VLOOKUP(B2463,'Pre-Summary'!$CU$6:$CW$36,3,FALSE),"")</f>
        <v/>
      </c>
      <c r="M2463" s="45" t="str">
        <f>IFERROR(VLOOKUP(B2463,'Pre-Summary'!$BW$6:$BY$58,2,FALSE),"")</f>
        <v/>
      </c>
      <c r="N2463" s="45" t="str">
        <f>IFERROR(VLOOKUP(B2463,'Pre-Summary'!$CD$6:$CF$64,2,FALSE),"")</f>
        <v/>
      </c>
      <c r="O2463" s="99">
        <f>IFERROR(VLOOKUP(B2463,'Pre-Summary'!$BO$6:$BQ$48,3, FALSE),O2462)</f>
        <v>1.508</v>
      </c>
      <c r="P2463" s="99">
        <f>IFERROR(VLOOKUP(B2463,'Pre-Summary'!$BS$6:$BU$35,3,FALSE),P2462)</f>
        <v>0.4</v>
      </c>
      <c r="Q2463" s="54">
        <f t="shared" si="114"/>
        <v>3.77</v>
      </c>
      <c r="R2463" s="53">
        <f>IFERROR(VLOOKUP(B2463,'Pre-Summary'!$BG$6:$BM$44,7,FALSE),R2464)</f>
        <v>0.1051381075353212</v>
      </c>
      <c r="S2463" s="53">
        <f>IFERROR(VLOOKUP(B2463,'Pre-Summary'!$BG$6:$BM$44,6,FALSE),S2464)</f>
        <v>9.6348174087088401E-2</v>
      </c>
      <c r="T2463" s="45" t="str">
        <f>IFERROR(VLOOKUP(B2463,'Pre-Summary'!$Y$6:$AC$83, 3,FALSE),"")</f>
        <v/>
      </c>
      <c r="U2463" s="45" t="str">
        <f>IFERROR(VLOOKUP(B2463,'Pre-Summary'!$Y$6:$AC$83, 4,FALSE),"")</f>
        <v/>
      </c>
      <c r="V2463" t="str">
        <f>IFERROR(VLOOKUP(B2463,'Pre-Summary'!$Y$6:$AC$83, 5,FALSE),"")</f>
        <v/>
      </c>
      <c r="W2463" s="45" t="str">
        <f>IFERROR(VLOOKUP(B2463,'Pre-Summary'!$Y$6:$AD$83,6,FALSE),"")</f>
        <v/>
      </c>
      <c r="X2463" t="str">
        <f>IFERROR(VLOOKUP('Pre-Summary'!$DB$6:$DD$63,3,FALSE),"")</f>
        <v/>
      </c>
      <c r="Y2463" t="str">
        <f>IFERROR(VLOOKUP(B2463,'Pre-Summary'!$CR$6:$CT$36,3,FALSE),"")</f>
        <v/>
      </c>
      <c r="Z2463" s="45" t="str">
        <f>IFERROR(VLOOKUP(B2463,'Pre-Summary'!$BZ$6:$CB$63,2,FALSE),"")</f>
        <v/>
      </c>
      <c r="AA2463" s="45" t="str">
        <f>IFERROR(VLOOKUP(B2463,'Pre-Summary'!$CG$6:$CI$70,2,FALSE),"")</f>
        <v/>
      </c>
      <c r="AB2463" s="99">
        <f>IFERROR(VLOOKUP(B2463,'Pre-Summary'!$A$6:$P$178,9,FALSE),AB2464)</f>
        <v>0.35840219629386882</v>
      </c>
      <c r="AC2463" s="10">
        <f>IFERROR(VLOOKUP(Summary!B2463,'Pre-Summary'!$A$6:$P$184,5, FALSE)/100,AC2464)</f>
        <v>0.93231133333333327</v>
      </c>
      <c r="AD2463" s="10">
        <f>IFERROR(VLOOKUP(Summary!B2463,'Pre-Summary'!$A$6:$P$184,3, FALSE)/100,AD2464)</f>
        <v>5.5926333333333328E-2</v>
      </c>
      <c r="AE2463" s="10">
        <f>IFERROR(VLOOKUP(Summary!B2463,'Pre-Summary'!$A$6:$P$184,7, FALSE)/100,AE2464)</f>
        <v>1.1762333333333333E-2</v>
      </c>
      <c r="AF2463" s="99">
        <f t="shared" si="115"/>
        <v>2.0044120697329672E-2</v>
      </c>
      <c r="AG2463" s="99">
        <f t="shared" si="116"/>
        <v>4.2156461002072496E-3</v>
      </c>
      <c r="AH2463" s="10" t="str">
        <f>IFERROR(VLOOKUP(B2463,'Pre-Summary'!$AZ$6:$BE$65,3,FALSE),"")</f>
        <v/>
      </c>
      <c r="AI2463" s="10" t="str">
        <f>IFERROR(VLOOKUP(B2463,'Pre-Summary'!$AZ$6:$BE$65,5,FALSE),"")</f>
        <v/>
      </c>
      <c r="AJ2463" s="10" t="str">
        <f>IFERROR(VLOOKUP(B2463,'Pre-Summary'!$AZ$6:$BE$65,4,FALSE),"")</f>
        <v/>
      </c>
      <c r="AK2463" s="10" t="str">
        <f>IFERROR(VLOOKUP(B2463,'Pre-Summary'!$AZ$6:$BE$65,6,FALSE),"")</f>
        <v/>
      </c>
      <c r="AL2463" s="10" t="str">
        <f>IFERROR(VLOOKUP(B2463,'Pre-Summary'!$BG$6:$BL$44,3,FALSE),"")</f>
        <v/>
      </c>
      <c r="AM2463" s="10" t="str">
        <f>IFERROR(VLOOKUP(B2463,'Pre-Summary'!$BG$6:$BL$44,4,FALSE),"")</f>
        <v/>
      </c>
    </row>
    <row r="2464" spans="2:39" ht="15" customHeight="1" x14ac:dyDescent="0.3">
      <c r="B2464">
        <v>246.1</v>
      </c>
      <c r="C2464" t="str">
        <f>IFERROR(VLOOKUP(B2464,'Pre-Summary'!$DI$6:$DM$23,4,FALSE),"")</f>
        <v/>
      </c>
      <c r="D2464" s="10" t="str">
        <f>IFERROR(VLOOKUP(B2464,'Pre-Summary'!$AT$6:$AX$14,5,FALSE),D2463)</f>
        <v>Wolfe v3: went back to modified wolfe + EDTA and switched CuSO4 to CUCl2</v>
      </c>
      <c r="E2464" s="10" t="str">
        <f>IFERROR(VLOOKUP(B2464,'Pre-Summary'!$AT$6:$AX$15,4,FALSE),"")</f>
        <v/>
      </c>
      <c r="F2464">
        <f>IFERROR(VLOOKUP(B2464,'Pre-Summary'!$AL$6:$AQ$13,6,FALSE),F2463)</f>
        <v>5.9405263157894746E-2</v>
      </c>
      <c r="G2464" t="str">
        <f>IFERROR(VLOOKUP(B2464,'Pre-Summary'!$AE$6:$AJ$85,3,FALSE),"")</f>
        <v/>
      </c>
      <c r="H2464" t="str">
        <f>IFERROR(VLOOKUP(B2464,'Pre-Summary'!$AE$6:$AJ$85,4,FALSE),"")</f>
        <v/>
      </c>
      <c r="I2464" t="str">
        <f>IFERROR(VLOOKUP(B2464,'Pre-Summary'!$AE$6:$AJ$85,5,FALSE),"")</f>
        <v/>
      </c>
      <c r="J2464" s="45" t="str">
        <f>IFERROR(VLOOKUP(B2464,'Pre-Summary'!$AE$6:$AJ$85,6, FALSE),"")</f>
        <v/>
      </c>
      <c r="K2464" s="45" t="str">
        <f>IFERROR(VLOOKUP(B2464,'Pre-Summary'!$DE$6:$DG$61,3,FALSE),"")</f>
        <v/>
      </c>
      <c r="L2464" s="45" t="str">
        <f>IFERROR(VLOOKUP(B2464,'Pre-Summary'!$CU$6:$CW$36,3,FALSE),"")</f>
        <v/>
      </c>
      <c r="M2464" s="45" t="str">
        <f>IFERROR(VLOOKUP(B2464,'Pre-Summary'!$BW$6:$BY$58,2,FALSE),"")</f>
        <v/>
      </c>
      <c r="N2464" s="45" t="str">
        <f>IFERROR(VLOOKUP(B2464,'Pre-Summary'!$CD$6:$CF$64,2,FALSE),"")</f>
        <v/>
      </c>
      <c r="O2464" s="99">
        <f>IFERROR(VLOOKUP(B2464,'Pre-Summary'!$BO$6:$BQ$48,3, FALSE),O2463)</f>
        <v>1.508</v>
      </c>
      <c r="P2464" s="99">
        <f>IFERROR(VLOOKUP(B2464,'Pre-Summary'!$BS$6:$BU$35,3,FALSE),P2463)</f>
        <v>0.4</v>
      </c>
      <c r="Q2464" s="54">
        <f t="shared" si="114"/>
        <v>3.77</v>
      </c>
      <c r="R2464" s="53">
        <f>IFERROR(VLOOKUP(B2464,'Pre-Summary'!$BG$6:$BM$44,7,FALSE),R2465)</f>
        <v>0.1051381075353212</v>
      </c>
      <c r="S2464" s="53">
        <f>IFERROR(VLOOKUP(B2464,'Pre-Summary'!$BG$6:$BM$44,6,FALSE),S2465)</f>
        <v>9.6348174087088401E-2</v>
      </c>
      <c r="T2464" s="45" t="str">
        <f>IFERROR(VLOOKUP(B2464,'Pre-Summary'!$Y$6:$AC$83, 3,FALSE),"")</f>
        <v/>
      </c>
      <c r="U2464" s="45" t="str">
        <f>IFERROR(VLOOKUP(B2464,'Pre-Summary'!$Y$6:$AC$83, 4,FALSE),"")</f>
        <v/>
      </c>
      <c r="V2464" t="str">
        <f>IFERROR(VLOOKUP(B2464,'Pre-Summary'!$Y$6:$AC$83, 5,FALSE),"")</f>
        <v/>
      </c>
      <c r="W2464" s="45" t="str">
        <f>IFERROR(VLOOKUP(B2464,'Pre-Summary'!$Y$6:$AD$83,6,FALSE),"")</f>
        <v/>
      </c>
      <c r="X2464" t="str">
        <f>IFERROR(VLOOKUP('Pre-Summary'!$DB$6:$DD$63,3,FALSE),"")</f>
        <v/>
      </c>
      <c r="Y2464" t="str">
        <f>IFERROR(VLOOKUP(B2464,'Pre-Summary'!$CR$6:$CT$36,3,FALSE),"")</f>
        <v/>
      </c>
      <c r="Z2464" s="45" t="str">
        <f>IFERROR(VLOOKUP(B2464,'Pre-Summary'!$BZ$6:$CB$63,2,FALSE),"")</f>
        <v/>
      </c>
      <c r="AA2464" s="45" t="str">
        <f>IFERROR(VLOOKUP(B2464,'Pre-Summary'!$CG$6:$CI$70,2,FALSE),"")</f>
        <v/>
      </c>
      <c r="AB2464" s="99">
        <f>IFERROR(VLOOKUP(B2464,'Pre-Summary'!$A$6:$P$178,9,FALSE),AB2465)</f>
        <v>0.35840219629386882</v>
      </c>
      <c r="AC2464" s="10">
        <f>IFERROR(VLOOKUP(Summary!B2464,'Pre-Summary'!$A$6:$P$184,5, FALSE)/100,AC2465)</f>
        <v>0.93231133333333327</v>
      </c>
      <c r="AD2464" s="10">
        <f>IFERROR(VLOOKUP(Summary!B2464,'Pre-Summary'!$A$6:$P$184,3, FALSE)/100,AD2465)</f>
        <v>5.5926333333333328E-2</v>
      </c>
      <c r="AE2464" s="10">
        <f>IFERROR(VLOOKUP(Summary!B2464,'Pre-Summary'!$A$6:$P$184,7, FALSE)/100,AE2465)</f>
        <v>1.1762333333333333E-2</v>
      </c>
      <c r="AF2464" s="99">
        <f t="shared" si="115"/>
        <v>2.0044120697329672E-2</v>
      </c>
      <c r="AG2464" s="99">
        <f t="shared" si="116"/>
        <v>4.2156461002072496E-3</v>
      </c>
      <c r="AH2464" s="10" t="str">
        <f>IFERROR(VLOOKUP(B2464,'Pre-Summary'!$AZ$6:$BE$65,3,FALSE),"")</f>
        <v/>
      </c>
      <c r="AI2464" s="10" t="str">
        <f>IFERROR(VLOOKUP(B2464,'Pre-Summary'!$AZ$6:$BE$65,5,FALSE),"")</f>
        <v/>
      </c>
      <c r="AJ2464" s="10" t="str">
        <f>IFERROR(VLOOKUP(B2464,'Pre-Summary'!$AZ$6:$BE$65,4,FALSE),"")</f>
        <v/>
      </c>
      <c r="AK2464" s="10" t="str">
        <f>IFERROR(VLOOKUP(B2464,'Pre-Summary'!$AZ$6:$BE$65,6,FALSE),"")</f>
        <v/>
      </c>
      <c r="AL2464" s="10" t="str">
        <f>IFERROR(VLOOKUP(B2464,'Pre-Summary'!$BG$6:$BL$44,3,FALSE),"")</f>
        <v/>
      </c>
      <c r="AM2464" s="10" t="str">
        <f>IFERROR(VLOOKUP(B2464,'Pre-Summary'!$BG$6:$BL$44,4,FALSE),"")</f>
        <v/>
      </c>
    </row>
    <row r="2465" spans="2:39" ht="15" customHeight="1" x14ac:dyDescent="0.3">
      <c r="B2465">
        <v>246.2</v>
      </c>
      <c r="C2465" t="str">
        <f>IFERROR(VLOOKUP(B2465,'Pre-Summary'!$DI$6:$DM$23,4,FALSE),"")</f>
        <v/>
      </c>
      <c r="D2465" s="10" t="str">
        <f>IFERROR(VLOOKUP(B2465,'Pre-Summary'!$AT$6:$AX$14,5,FALSE),D2464)</f>
        <v>Wolfe v3: went back to modified wolfe + EDTA and switched CuSO4 to CUCl2</v>
      </c>
      <c r="E2465" s="10" t="str">
        <f>IFERROR(VLOOKUP(B2465,'Pre-Summary'!$AT$6:$AX$15,4,FALSE),"")</f>
        <v/>
      </c>
      <c r="F2465">
        <f>IFERROR(VLOOKUP(B2465,'Pre-Summary'!$AL$6:$AQ$13,6,FALSE),F2464)</f>
        <v>5.9405263157894746E-2</v>
      </c>
      <c r="G2465" t="str">
        <f>IFERROR(VLOOKUP(B2465,'Pre-Summary'!$AE$6:$AJ$85,3,FALSE),"")</f>
        <v/>
      </c>
      <c r="H2465" t="str">
        <f>IFERROR(VLOOKUP(B2465,'Pre-Summary'!$AE$6:$AJ$85,4,FALSE),"")</f>
        <v/>
      </c>
      <c r="I2465" t="str">
        <f>IFERROR(VLOOKUP(B2465,'Pre-Summary'!$AE$6:$AJ$85,5,FALSE),"")</f>
        <v/>
      </c>
      <c r="J2465" s="45" t="str">
        <f>IFERROR(VLOOKUP(B2465,'Pre-Summary'!$AE$6:$AJ$85,6, FALSE),"")</f>
        <v/>
      </c>
      <c r="K2465" s="45" t="str">
        <f>IFERROR(VLOOKUP(B2465,'Pre-Summary'!$DE$6:$DG$61,3,FALSE),"")</f>
        <v/>
      </c>
      <c r="L2465" s="45" t="str">
        <f>IFERROR(VLOOKUP(B2465,'Pre-Summary'!$CU$6:$CW$36,3,FALSE),"")</f>
        <v/>
      </c>
      <c r="M2465" s="45" t="str">
        <f>IFERROR(VLOOKUP(B2465,'Pre-Summary'!$BW$6:$BY$58,2,FALSE),"")</f>
        <v/>
      </c>
      <c r="N2465" s="45" t="str">
        <f>IFERROR(VLOOKUP(B2465,'Pre-Summary'!$CD$6:$CF$64,2,FALSE),"")</f>
        <v/>
      </c>
      <c r="O2465" s="99">
        <f>IFERROR(VLOOKUP(B2465,'Pre-Summary'!$BO$6:$BQ$48,3, FALSE),O2464)</f>
        <v>1.508</v>
      </c>
      <c r="P2465" s="99">
        <f>IFERROR(VLOOKUP(B2465,'Pre-Summary'!$BS$6:$BU$35,3,FALSE),P2464)</f>
        <v>0.4</v>
      </c>
      <c r="Q2465" s="54">
        <f t="shared" si="114"/>
        <v>3.77</v>
      </c>
      <c r="R2465" s="53">
        <f>IFERROR(VLOOKUP(B2465,'Pre-Summary'!$BG$6:$BM$44,7,FALSE),R2466)</f>
        <v>0.1051381075353212</v>
      </c>
      <c r="S2465" s="53">
        <f>IFERROR(VLOOKUP(B2465,'Pre-Summary'!$BG$6:$BM$44,6,FALSE),S2466)</f>
        <v>9.6348174087088401E-2</v>
      </c>
      <c r="T2465" s="45" t="str">
        <f>IFERROR(VLOOKUP(B2465,'Pre-Summary'!$Y$6:$AC$83, 3,FALSE),"")</f>
        <v/>
      </c>
      <c r="U2465" s="45" t="str">
        <f>IFERROR(VLOOKUP(B2465,'Pre-Summary'!$Y$6:$AC$83, 4,FALSE),"")</f>
        <v/>
      </c>
      <c r="V2465" t="str">
        <f>IFERROR(VLOOKUP(B2465,'Pre-Summary'!$Y$6:$AC$83, 5,FALSE),"")</f>
        <v/>
      </c>
      <c r="W2465" s="45" t="str">
        <f>IFERROR(VLOOKUP(B2465,'Pre-Summary'!$Y$6:$AD$83,6,FALSE),"")</f>
        <v/>
      </c>
      <c r="X2465" t="str">
        <f>IFERROR(VLOOKUP('Pre-Summary'!$DB$6:$DD$63,3,FALSE),"")</f>
        <v/>
      </c>
      <c r="Y2465" t="str">
        <f>IFERROR(VLOOKUP(B2465,'Pre-Summary'!$CR$6:$CT$36,3,FALSE),"")</f>
        <v/>
      </c>
      <c r="Z2465" s="45" t="str">
        <f>IFERROR(VLOOKUP(B2465,'Pre-Summary'!$BZ$6:$CB$63,2,FALSE),"")</f>
        <v/>
      </c>
      <c r="AA2465" s="45" t="str">
        <f>IFERROR(VLOOKUP(B2465,'Pre-Summary'!$CG$6:$CI$70,2,FALSE),"")</f>
        <v/>
      </c>
      <c r="AB2465" s="99">
        <f>IFERROR(VLOOKUP(B2465,'Pre-Summary'!$A$6:$P$178,9,FALSE),AB2466)</f>
        <v>0.35840219629386882</v>
      </c>
      <c r="AC2465" s="10">
        <f>IFERROR(VLOOKUP(Summary!B2465,'Pre-Summary'!$A$6:$P$184,5, FALSE)/100,AC2466)</f>
        <v>0.93231133333333327</v>
      </c>
      <c r="AD2465" s="10">
        <f>IFERROR(VLOOKUP(Summary!B2465,'Pre-Summary'!$A$6:$P$184,3, FALSE)/100,AD2466)</f>
        <v>5.5926333333333328E-2</v>
      </c>
      <c r="AE2465" s="10">
        <f>IFERROR(VLOOKUP(Summary!B2465,'Pre-Summary'!$A$6:$P$184,7, FALSE)/100,AE2466)</f>
        <v>1.1762333333333333E-2</v>
      </c>
      <c r="AF2465" s="99">
        <f t="shared" si="115"/>
        <v>2.0044120697329672E-2</v>
      </c>
      <c r="AG2465" s="99">
        <f t="shared" si="116"/>
        <v>4.2156461002072496E-3</v>
      </c>
      <c r="AH2465" s="10" t="str">
        <f>IFERROR(VLOOKUP(B2465,'Pre-Summary'!$AZ$6:$BE$65,3,FALSE),"")</f>
        <v/>
      </c>
      <c r="AI2465" s="10" t="str">
        <f>IFERROR(VLOOKUP(B2465,'Pre-Summary'!$AZ$6:$BE$65,5,FALSE),"")</f>
        <v/>
      </c>
      <c r="AJ2465" s="10" t="str">
        <f>IFERROR(VLOOKUP(B2465,'Pre-Summary'!$AZ$6:$BE$65,4,FALSE),"")</f>
        <v/>
      </c>
      <c r="AK2465" s="10" t="str">
        <f>IFERROR(VLOOKUP(B2465,'Pre-Summary'!$AZ$6:$BE$65,6,FALSE),"")</f>
        <v/>
      </c>
      <c r="AL2465" s="10" t="str">
        <f>IFERROR(VLOOKUP(B2465,'Pre-Summary'!$BG$6:$BL$44,3,FALSE),"")</f>
        <v/>
      </c>
      <c r="AM2465" s="10" t="str">
        <f>IFERROR(VLOOKUP(B2465,'Pre-Summary'!$BG$6:$BL$44,4,FALSE),"")</f>
        <v/>
      </c>
    </row>
    <row r="2466" spans="2:39" ht="15" customHeight="1" x14ac:dyDescent="0.3">
      <c r="B2466">
        <v>246.3</v>
      </c>
      <c r="C2466" t="str">
        <f>IFERROR(VLOOKUP(B2466,'Pre-Summary'!$DI$6:$DM$23,4,FALSE),"")</f>
        <v/>
      </c>
      <c r="D2466" s="10" t="str">
        <f>IFERROR(VLOOKUP(B2466,'Pre-Summary'!$AT$6:$AX$14,5,FALSE),D2465)</f>
        <v>Wolfe v3: went back to modified wolfe + EDTA and switched CuSO4 to CUCl2</v>
      </c>
      <c r="E2466" s="10" t="str">
        <f>IFERROR(VLOOKUP(B2466,'Pre-Summary'!$AT$6:$AX$15,4,FALSE),"")</f>
        <v/>
      </c>
      <c r="F2466">
        <f>IFERROR(VLOOKUP(B2466,'Pre-Summary'!$AL$6:$AQ$13,6,FALSE),F2465)</f>
        <v>5.9405263157894746E-2</v>
      </c>
      <c r="G2466" t="str">
        <f>IFERROR(VLOOKUP(B2466,'Pre-Summary'!$AE$6:$AJ$85,3,FALSE),"")</f>
        <v/>
      </c>
      <c r="H2466" t="str">
        <f>IFERROR(VLOOKUP(B2466,'Pre-Summary'!$AE$6:$AJ$85,4,FALSE),"")</f>
        <v/>
      </c>
      <c r="I2466" t="str">
        <f>IFERROR(VLOOKUP(B2466,'Pre-Summary'!$AE$6:$AJ$85,5,FALSE),"")</f>
        <v/>
      </c>
      <c r="J2466" s="45" t="str">
        <f>IFERROR(VLOOKUP(B2466,'Pre-Summary'!$AE$6:$AJ$85,6, FALSE),"")</f>
        <v/>
      </c>
      <c r="K2466" s="45" t="str">
        <f>IFERROR(VLOOKUP(B2466,'Pre-Summary'!$DE$6:$DG$61,3,FALSE),"")</f>
        <v/>
      </c>
      <c r="L2466" s="45" t="str">
        <f>IFERROR(VLOOKUP(B2466,'Pre-Summary'!$CU$6:$CW$36,3,FALSE),"")</f>
        <v/>
      </c>
      <c r="M2466" s="45" t="str">
        <f>IFERROR(VLOOKUP(B2466,'Pre-Summary'!$BW$6:$BY$58,2,FALSE),"")</f>
        <v/>
      </c>
      <c r="N2466" s="45" t="str">
        <f>IFERROR(VLOOKUP(B2466,'Pre-Summary'!$CD$6:$CF$64,2,FALSE),"")</f>
        <v/>
      </c>
      <c r="O2466" s="99">
        <f>IFERROR(VLOOKUP(B2466,'Pre-Summary'!$BO$6:$BQ$48,3, FALSE),O2465)</f>
        <v>1.508</v>
      </c>
      <c r="P2466" s="99">
        <f>IFERROR(VLOOKUP(B2466,'Pre-Summary'!$BS$6:$BU$35,3,FALSE),P2465)</f>
        <v>0.4</v>
      </c>
      <c r="Q2466" s="54">
        <f t="shared" si="114"/>
        <v>3.77</v>
      </c>
      <c r="R2466" s="53">
        <f>IFERROR(VLOOKUP(B2466,'Pre-Summary'!$BG$6:$BM$44,7,FALSE),R2467)</f>
        <v>0.1051381075353212</v>
      </c>
      <c r="S2466" s="53">
        <f>IFERROR(VLOOKUP(B2466,'Pre-Summary'!$BG$6:$BM$44,6,FALSE),S2467)</f>
        <v>9.6348174087088401E-2</v>
      </c>
      <c r="T2466" s="45" t="str">
        <f>IFERROR(VLOOKUP(B2466,'Pre-Summary'!$Y$6:$AC$83, 3,FALSE),"")</f>
        <v/>
      </c>
      <c r="U2466" s="45" t="str">
        <f>IFERROR(VLOOKUP(B2466,'Pre-Summary'!$Y$6:$AC$83, 4,FALSE),"")</f>
        <v/>
      </c>
      <c r="V2466" t="str">
        <f>IFERROR(VLOOKUP(B2466,'Pre-Summary'!$Y$6:$AC$83, 5,FALSE),"")</f>
        <v/>
      </c>
      <c r="W2466" s="45" t="str">
        <f>IFERROR(VLOOKUP(B2466,'Pre-Summary'!$Y$6:$AD$83,6,FALSE),"")</f>
        <v/>
      </c>
      <c r="X2466" t="str">
        <f>IFERROR(VLOOKUP('Pre-Summary'!$DB$6:$DD$63,3,FALSE),"")</f>
        <v/>
      </c>
      <c r="Y2466" t="str">
        <f>IFERROR(VLOOKUP(B2466,'Pre-Summary'!$CR$6:$CT$36,3,FALSE),"")</f>
        <v/>
      </c>
      <c r="Z2466" s="45" t="str">
        <f>IFERROR(VLOOKUP(B2466,'Pre-Summary'!$BZ$6:$CB$63,2,FALSE),"")</f>
        <v/>
      </c>
      <c r="AA2466" s="45" t="str">
        <f>IFERROR(VLOOKUP(B2466,'Pre-Summary'!$CG$6:$CI$70,2,FALSE),"")</f>
        <v/>
      </c>
      <c r="AB2466" s="99">
        <f>IFERROR(VLOOKUP(B2466,'Pre-Summary'!$A$6:$P$178,9,FALSE),AB2467)</f>
        <v>0.35840219629386882</v>
      </c>
      <c r="AC2466" s="10">
        <f>IFERROR(VLOOKUP(Summary!B2466,'Pre-Summary'!$A$6:$P$184,5, FALSE)/100,AC2467)</f>
        <v>0.93231133333333327</v>
      </c>
      <c r="AD2466" s="10">
        <f>IFERROR(VLOOKUP(Summary!B2466,'Pre-Summary'!$A$6:$P$184,3, FALSE)/100,AD2467)</f>
        <v>5.5926333333333328E-2</v>
      </c>
      <c r="AE2466" s="10">
        <f>IFERROR(VLOOKUP(Summary!B2466,'Pre-Summary'!$A$6:$P$184,7, FALSE)/100,AE2467)</f>
        <v>1.1762333333333333E-2</v>
      </c>
      <c r="AF2466" s="99">
        <f t="shared" si="115"/>
        <v>2.0044120697329672E-2</v>
      </c>
      <c r="AG2466" s="99">
        <f t="shared" si="116"/>
        <v>4.2156461002072496E-3</v>
      </c>
      <c r="AH2466" s="10" t="str">
        <f>IFERROR(VLOOKUP(B2466,'Pre-Summary'!$AZ$6:$BE$65,3,FALSE),"")</f>
        <v/>
      </c>
      <c r="AI2466" s="10" t="str">
        <f>IFERROR(VLOOKUP(B2466,'Pre-Summary'!$AZ$6:$BE$65,5,FALSE),"")</f>
        <v/>
      </c>
      <c r="AJ2466" s="10" t="str">
        <f>IFERROR(VLOOKUP(B2466,'Pre-Summary'!$AZ$6:$BE$65,4,FALSE),"")</f>
        <v/>
      </c>
      <c r="AK2466" s="10" t="str">
        <f>IFERROR(VLOOKUP(B2466,'Pre-Summary'!$AZ$6:$BE$65,6,FALSE),"")</f>
        <v/>
      </c>
      <c r="AL2466" s="10" t="str">
        <f>IFERROR(VLOOKUP(B2466,'Pre-Summary'!$BG$6:$BL$44,3,FALSE),"")</f>
        <v/>
      </c>
      <c r="AM2466" s="10" t="str">
        <f>IFERROR(VLOOKUP(B2466,'Pre-Summary'!$BG$6:$BL$44,4,FALSE),"")</f>
        <v/>
      </c>
    </row>
    <row r="2467" spans="2:39" ht="15" customHeight="1" x14ac:dyDescent="0.3">
      <c r="B2467">
        <v>246.4</v>
      </c>
      <c r="C2467" t="str">
        <f>IFERROR(VLOOKUP(B2467,'Pre-Summary'!$DI$6:$DM$23,4,FALSE),"")</f>
        <v/>
      </c>
      <c r="D2467" s="10" t="str">
        <f>IFERROR(VLOOKUP(B2467,'Pre-Summary'!$AT$6:$AX$14,5,FALSE),D2466)</f>
        <v>Wolfe v3: went back to modified wolfe + EDTA and switched CuSO4 to CUCl2</v>
      </c>
      <c r="E2467" s="10" t="str">
        <f>IFERROR(VLOOKUP(B2467,'Pre-Summary'!$AT$6:$AX$15,4,FALSE),"")</f>
        <v/>
      </c>
      <c r="F2467">
        <f>IFERROR(VLOOKUP(B2467,'Pre-Summary'!$AL$6:$AQ$13,6,FALSE),F2466)</f>
        <v>5.9405263157894746E-2</v>
      </c>
      <c r="G2467" t="str">
        <f>IFERROR(VLOOKUP(B2467,'Pre-Summary'!$AE$6:$AJ$85,3,FALSE),"")</f>
        <v/>
      </c>
      <c r="H2467" t="str">
        <f>IFERROR(VLOOKUP(B2467,'Pre-Summary'!$AE$6:$AJ$85,4,FALSE),"")</f>
        <v/>
      </c>
      <c r="I2467" t="str">
        <f>IFERROR(VLOOKUP(B2467,'Pre-Summary'!$AE$6:$AJ$85,5,FALSE),"")</f>
        <v/>
      </c>
      <c r="J2467" s="45" t="str">
        <f>IFERROR(VLOOKUP(B2467,'Pre-Summary'!$AE$6:$AJ$85,6, FALSE),"")</f>
        <v/>
      </c>
      <c r="K2467" s="45" t="str">
        <f>IFERROR(VLOOKUP(B2467,'Pre-Summary'!$DE$6:$DG$61,3,FALSE),"")</f>
        <v/>
      </c>
      <c r="L2467" s="45" t="str">
        <f>IFERROR(VLOOKUP(B2467,'Pre-Summary'!$CU$6:$CW$36,3,FALSE),"")</f>
        <v/>
      </c>
      <c r="M2467" s="45" t="str">
        <f>IFERROR(VLOOKUP(B2467,'Pre-Summary'!$BW$6:$BY$58,2,FALSE),"")</f>
        <v/>
      </c>
      <c r="N2467" s="45" t="str">
        <f>IFERROR(VLOOKUP(B2467,'Pre-Summary'!$CD$6:$CF$64,2,FALSE),"")</f>
        <v/>
      </c>
      <c r="O2467" s="99">
        <f>IFERROR(VLOOKUP(B2467,'Pre-Summary'!$BO$6:$BQ$48,3, FALSE),O2466)</f>
        <v>1.508</v>
      </c>
      <c r="P2467" s="99">
        <f>IFERROR(VLOOKUP(B2467,'Pre-Summary'!$BS$6:$BU$35,3,FALSE),P2466)</f>
        <v>0.4</v>
      </c>
      <c r="Q2467" s="54">
        <f t="shared" si="114"/>
        <v>3.77</v>
      </c>
      <c r="R2467" s="53">
        <f>IFERROR(VLOOKUP(B2467,'Pre-Summary'!$BG$6:$BM$44,7,FALSE),R2468)</f>
        <v>0.1051381075353212</v>
      </c>
      <c r="S2467" s="53">
        <f>IFERROR(VLOOKUP(B2467,'Pre-Summary'!$BG$6:$BM$44,6,FALSE),S2468)</f>
        <v>9.6348174087088401E-2</v>
      </c>
      <c r="T2467" s="45" t="str">
        <f>IFERROR(VLOOKUP(B2467,'Pre-Summary'!$Y$6:$AC$83, 3,FALSE),"")</f>
        <v/>
      </c>
      <c r="U2467" s="45" t="str">
        <f>IFERROR(VLOOKUP(B2467,'Pre-Summary'!$Y$6:$AC$83, 4,FALSE),"")</f>
        <v/>
      </c>
      <c r="V2467" t="str">
        <f>IFERROR(VLOOKUP(B2467,'Pre-Summary'!$Y$6:$AC$83, 5,FALSE),"")</f>
        <v/>
      </c>
      <c r="W2467" s="45" t="str">
        <f>IFERROR(VLOOKUP(B2467,'Pre-Summary'!$Y$6:$AD$83,6,FALSE),"")</f>
        <v/>
      </c>
      <c r="X2467" t="str">
        <f>IFERROR(VLOOKUP('Pre-Summary'!$DB$6:$DD$63,3,FALSE),"")</f>
        <v/>
      </c>
      <c r="Y2467" t="str">
        <f>IFERROR(VLOOKUP(B2467,'Pre-Summary'!$CR$6:$CT$36,3,FALSE),"")</f>
        <v/>
      </c>
      <c r="Z2467" s="45" t="str">
        <f>IFERROR(VLOOKUP(B2467,'Pre-Summary'!$BZ$6:$CB$63,2,FALSE),"")</f>
        <v/>
      </c>
      <c r="AA2467" s="45" t="str">
        <f>IFERROR(VLOOKUP(B2467,'Pre-Summary'!$CG$6:$CI$70,2,FALSE),"")</f>
        <v/>
      </c>
      <c r="AB2467" s="99">
        <f>IFERROR(VLOOKUP(B2467,'Pre-Summary'!$A$6:$P$178,9,FALSE),AB2468)</f>
        <v>0.35840219629386882</v>
      </c>
      <c r="AC2467" s="10">
        <f>IFERROR(VLOOKUP(Summary!B2467,'Pre-Summary'!$A$6:$P$184,5, FALSE)/100,AC2468)</f>
        <v>0.93231133333333327</v>
      </c>
      <c r="AD2467" s="10">
        <f>IFERROR(VLOOKUP(Summary!B2467,'Pre-Summary'!$A$6:$P$184,3, FALSE)/100,AD2468)</f>
        <v>5.5926333333333328E-2</v>
      </c>
      <c r="AE2467" s="10">
        <f>IFERROR(VLOOKUP(Summary!B2467,'Pre-Summary'!$A$6:$P$184,7, FALSE)/100,AE2468)</f>
        <v>1.1762333333333333E-2</v>
      </c>
      <c r="AF2467" s="99">
        <f t="shared" si="115"/>
        <v>2.0044120697329672E-2</v>
      </c>
      <c r="AG2467" s="99">
        <f t="shared" si="116"/>
        <v>4.2156461002072496E-3</v>
      </c>
      <c r="AH2467" s="10" t="str">
        <f>IFERROR(VLOOKUP(B2467,'Pre-Summary'!$AZ$6:$BE$65,3,FALSE),"")</f>
        <v/>
      </c>
      <c r="AI2467" s="10" t="str">
        <f>IFERROR(VLOOKUP(B2467,'Pre-Summary'!$AZ$6:$BE$65,5,FALSE),"")</f>
        <v/>
      </c>
      <c r="AJ2467" s="10" t="str">
        <f>IFERROR(VLOOKUP(B2467,'Pre-Summary'!$AZ$6:$BE$65,4,FALSE),"")</f>
        <v/>
      </c>
      <c r="AK2467" s="10" t="str">
        <f>IFERROR(VLOOKUP(B2467,'Pre-Summary'!$AZ$6:$BE$65,6,FALSE),"")</f>
        <v/>
      </c>
      <c r="AL2467" s="10" t="str">
        <f>IFERROR(VLOOKUP(B2467,'Pre-Summary'!$BG$6:$BL$44,3,FALSE),"")</f>
        <v/>
      </c>
      <c r="AM2467" s="10" t="str">
        <f>IFERROR(VLOOKUP(B2467,'Pre-Summary'!$BG$6:$BL$44,4,FALSE),"")</f>
        <v/>
      </c>
    </row>
    <row r="2468" spans="2:39" ht="15" customHeight="1" x14ac:dyDescent="0.3">
      <c r="B2468">
        <v>246.5</v>
      </c>
      <c r="C2468" t="str">
        <f>IFERROR(VLOOKUP(B2468,'Pre-Summary'!$DI$6:$DM$23,4,FALSE),"")</f>
        <v/>
      </c>
      <c r="D2468" s="10" t="str">
        <f>IFERROR(VLOOKUP(B2468,'Pre-Summary'!$AT$6:$AX$14,5,FALSE),D2467)</f>
        <v>Wolfe v3: went back to modified wolfe + EDTA and switched CuSO4 to CUCl2</v>
      </c>
      <c r="E2468" s="10" t="str">
        <f>IFERROR(VLOOKUP(B2468,'Pre-Summary'!$AT$6:$AX$15,4,FALSE),"")</f>
        <v/>
      </c>
      <c r="F2468">
        <f>IFERROR(VLOOKUP(B2468,'Pre-Summary'!$AL$6:$AQ$13,6,FALSE),F2467)</f>
        <v>5.9405263157894746E-2</v>
      </c>
      <c r="G2468">
        <f>IFERROR(VLOOKUP(B2468,'Pre-Summary'!$AE$6:$AJ$85,3,FALSE),"")</f>
        <v>122.5314072878233</v>
      </c>
      <c r="H2468">
        <f>IFERROR(VLOOKUP(B2468,'Pre-Summary'!$AE$6:$AJ$85,4,FALSE),"")</f>
        <v>0.66035298499999995</v>
      </c>
      <c r="I2468" t="str">
        <f>IFERROR(VLOOKUP(B2468,'Pre-Summary'!$AE$6:$AJ$85,5,FALSE),"")</f>
        <v/>
      </c>
      <c r="J2468" s="45">
        <f>IFERROR(VLOOKUP(B2468,'Pre-Summary'!$AE$6:$AJ$85,6, FALSE),"")</f>
        <v>130.74101157610747</v>
      </c>
      <c r="K2468" s="45" t="str">
        <f>IFERROR(VLOOKUP(B2468,'Pre-Summary'!$DE$6:$DG$61,3,FALSE),"")</f>
        <v/>
      </c>
      <c r="L2468" s="45" t="str">
        <f>IFERROR(VLOOKUP(B2468,'Pre-Summary'!$CU$6:$CW$36,3,FALSE),"")</f>
        <v/>
      </c>
      <c r="M2468" s="45" t="str">
        <f>IFERROR(VLOOKUP(B2468,'Pre-Summary'!$BW$6:$BY$58,2,FALSE),"")</f>
        <v/>
      </c>
      <c r="N2468" s="45">
        <f>IFERROR(VLOOKUP(B2468,'Pre-Summary'!$CD$6:$CF$64,2,FALSE),"")</f>
        <v>212.11857445571525</v>
      </c>
      <c r="O2468" s="99">
        <f>IFERROR(VLOOKUP(B2468,'Pre-Summary'!$BO$6:$BQ$48,3, FALSE),O2467)</f>
        <v>1.508</v>
      </c>
      <c r="P2468" s="99">
        <f>IFERROR(VLOOKUP(B2468,'Pre-Summary'!$BS$6:$BU$35,3,FALSE),P2467)</f>
        <v>0.4</v>
      </c>
      <c r="Q2468" s="54">
        <f t="shared" si="114"/>
        <v>3.77</v>
      </c>
      <c r="R2468" s="53">
        <f>IFERROR(VLOOKUP(B2468,'Pre-Summary'!$BG$6:$BM$44,7,FALSE),R2469)</f>
        <v>0.1051381075353212</v>
      </c>
      <c r="S2468" s="53">
        <f>IFERROR(VLOOKUP(B2468,'Pre-Summary'!$BG$6:$BM$44,6,FALSE),S2469)</f>
        <v>9.6348174087088401E-2</v>
      </c>
      <c r="T2468" s="45" t="str">
        <f>IFERROR(VLOOKUP(B2468,'Pre-Summary'!$Y$6:$AC$83, 3,FALSE),"")</f>
        <v/>
      </c>
      <c r="U2468" s="45">
        <f>IFERROR(VLOOKUP(B2468,'Pre-Summary'!$Y$6:$AC$83, 4,FALSE),"")</f>
        <v>0.60241542199999998</v>
      </c>
      <c r="V2468" t="str">
        <f>IFERROR(VLOOKUP(B2468,'Pre-Summary'!$Y$6:$AC$83, 5,FALSE),"")</f>
        <v/>
      </c>
      <c r="W2468" s="45">
        <f>IFERROR(VLOOKUP(B2468,'Pre-Summary'!$Y$6:$AD$83,6,FALSE),"")</f>
        <v>0.91205694890799993</v>
      </c>
      <c r="X2468" t="str">
        <f>IFERROR(VLOOKUP('Pre-Summary'!$DB$6:$DD$63,3,FALSE),"")</f>
        <v/>
      </c>
      <c r="Y2468" t="str">
        <f>IFERROR(VLOOKUP(B2468,'Pre-Summary'!$CR$6:$CT$36,3,FALSE),"")</f>
        <v/>
      </c>
      <c r="Z2468" s="45" t="str">
        <f>IFERROR(VLOOKUP(B2468,'Pre-Summary'!$BZ$6:$CB$63,2,FALSE),"")</f>
        <v/>
      </c>
      <c r="AA2468" s="45" t="str">
        <f>IFERROR(VLOOKUP(B2468,'Pre-Summary'!$CG$6:$CI$70,2,FALSE),"")</f>
        <v/>
      </c>
      <c r="AB2468" s="99">
        <f>IFERROR(VLOOKUP(B2468,'Pre-Summary'!$A$6:$P$178,9,FALSE),AB2469)</f>
        <v>0.35840219629386882</v>
      </c>
      <c r="AC2468" s="10">
        <f>IFERROR(VLOOKUP(Summary!B2468,'Pre-Summary'!$A$6:$P$184,5, FALSE)/100,AC2469)</f>
        <v>0.93231133333333327</v>
      </c>
      <c r="AD2468" s="10">
        <f>IFERROR(VLOOKUP(Summary!B2468,'Pre-Summary'!$A$6:$P$184,3, FALSE)/100,AD2469)</f>
        <v>5.5926333333333328E-2</v>
      </c>
      <c r="AE2468" s="10">
        <f>IFERROR(VLOOKUP(Summary!B2468,'Pre-Summary'!$A$6:$P$184,7, FALSE)/100,AE2469)</f>
        <v>1.1762333333333333E-2</v>
      </c>
      <c r="AF2468" s="99">
        <f t="shared" si="115"/>
        <v>2.0044120697329672E-2</v>
      </c>
      <c r="AG2468" s="99">
        <f t="shared" si="116"/>
        <v>4.2156461002072496E-3</v>
      </c>
      <c r="AH2468" s="10" t="str">
        <f>IFERROR(VLOOKUP(B2468,'Pre-Summary'!$AZ$6:$BE$65,3,FALSE),"")</f>
        <v/>
      </c>
      <c r="AI2468" s="10" t="str">
        <f>IFERROR(VLOOKUP(B2468,'Pre-Summary'!$AZ$6:$BE$65,5,FALSE),"")</f>
        <v/>
      </c>
      <c r="AJ2468" s="10" t="str">
        <f>IFERROR(VLOOKUP(B2468,'Pre-Summary'!$AZ$6:$BE$65,4,FALSE),"")</f>
        <v/>
      </c>
      <c r="AK2468" s="10" t="str">
        <f>IFERROR(VLOOKUP(B2468,'Pre-Summary'!$AZ$6:$BE$65,6,FALSE),"")</f>
        <v/>
      </c>
      <c r="AL2468" s="10" t="str">
        <f>IFERROR(VLOOKUP(B2468,'Pre-Summary'!$BG$6:$BL$44,3,FALSE),"")</f>
        <v/>
      </c>
      <c r="AM2468" s="10" t="str">
        <f>IFERROR(VLOOKUP(B2468,'Pre-Summary'!$BG$6:$BL$44,4,FALSE),"")</f>
        <v/>
      </c>
    </row>
    <row r="2469" spans="2:39" ht="15" customHeight="1" x14ac:dyDescent="0.3">
      <c r="B2469">
        <v>246.6</v>
      </c>
      <c r="C2469" t="str">
        <f>IFERROR(VLOOKUP(B2469,'Pre-Summary'!$DI$6:$DM$23,4,FALSE),"")</f>
        <v/>
      </c>
      <c r="D2469" s="10" t="str">
        <f>IFERROR(VLOOKUP(B2469,'Pre-Summary'!$AT$6:$AX$14,5,FALSE),D2468)</f>
        <v>Wolfe v3: went back to modified wolfe + EDTA and switched CuSO4 to CUCl2</v>
      </c>
      <c r="E2469" s="10" t="str">
        <f>IFERROR(VLOOKUP(B2469,'Pre-Summary'!$AT$6:$AX$15,4,FALSE),"")</f>
        <v/>
      </c>
      <c r="F2469">
        <f>IFERROR(VLOOKUP(B2469,'Pre-Summary'!$AL$6:$AQ$13,6,FALSE),F2468)</f>
        <v>5.9405263157894746E-2</v>
      </c>
      <c r="G2469" t="str">
        <f>IFERROR(VLOOKUP(B2469,'Pre-Summary'!$AE$6:$AJ$85,3,FALSE),"")</f>
        <v/>
      </c>
      <c r="H2469" t="str">
        <f>IFERROR(VLOOKUP(B2469,'Pre-Summary'!$AE$6:$AJ$85,4,FALSE),"")</f>
        <v/>
      </c>
      <c r="I2469" t="str">
        <f>IFERROR(VLOOKUP(B2469,'Pre-Summary'!$AE$6:$AJ$85,5,FALSE),"")</f>
        <v/>
      </c>
      <c r="J2469" s="45" t="str">
        <f>IFERROR(VLOOKUP(B2469,'Pre-Summary'!$AE$6:$AJ$85,6, FALSE),"")</f>
        <v/>
      </c>
      <c r="K2469" s="45" t="str">
        <f>IFERROR(VLOOKUP(B2469,'Pre-Summary'!$DE$6:$DG$61,3,FALSE),"")</f>
        <v/>
      </c>
      <c r="L2469" s="45" t="str">
        <f>IFERROR(VLOOKUP(B2469,'Pre-Summary'!$CU$6:$CW$36,3,FALSE),"")</f>
        <v/>
      </c>
      <c r="M2469" s="45" t="str">
        <f>IFERROR(VLOOKUP(B2469,'Pre-Summary'!$BW$6:$BY$58,2,FALSE),"")</f>
        <v/>
      </c>
      <c r="N2469" s="45" t="str">
        <f>IFERROR(VLOOKUP(B2469,'Pre-Summary'!$CD$6:$CF$64,2,FALSE),"")</f>
        <v/>
      </c>
      <c r="O2469" s="99">
        <f>IFERROR(VLOOKUP(B2469,'Pre-Summary'!$BO$6:$BQ$48,3, FALSE),O2468)</f>
        <v>1.508</v>
      </c>
      <c r="P2469" s="99">
        <f>IFERROR(VLOOKUP(B2469,'Pre-Summary'!$BS$6:$BU$35,3,FALSE),P2468)</f>
        <v>0.4</v>
      </c>
      <c r="Q2469" s="54">
        <f t="shared" si="114"/>
        <v>3.77</v>
      </c>
      <c r="R2469" s="53">
        <f>IFERROR(VLOOKUP(B2469,'Pre-Summary'!$BG$6:$BM$44,7,FALSE),R2470)</f>
        <v>0.1051381075353212</v>
      </c>
      <c r="S2469" s="53">
        <f>IFERROR(VLOOKUP(B2469,'Pre-Summary'!$BG$6:$BM$44,6,FALSE),S2470)</f>
        <v>9.6348174087088401E-2</v>
      </c>
      <c r="T2469" s="45" t="str">
        <f>IFERROR(VLOOKUP(B2469,'Pre-Summary'!$Y$6:$AC$83, 3,FALSE),"")</f>
        <v/>
      </c>
      <c r="U2469" s="45" t="str">
        <f>IFERROR(VLOOKUP(B2469,'Pre-Summary'!$Y$6:$AC$83, 4,FALSE),"")</f>
        <v/>
      </c>
      <c r="V2469" t="str">
        <f>IFERROR(VLOOKUP(B2469,'Pre-Summary'!$Y$6:$AC$83, 5,FALSE),"")</f>
        <v/>
      </c>
      <c r="W2469" s="45" t="str">
        <f>IFERROR(VLOOKUP(B2469,'Pre-Summary'!$Y$6:$AD$83,6,FALSE),"")</f>
        <v/>
      </c>
      <c r="X2469" t="str">
        <f>IFERROR(VLOOKUP('Pre-Summary'!$DB$6:$DD$63,3,FALSE),"")</f>
        <v/>
      </c>
      <c r="Y2469" t="str">
        <f>IFERROR(VLOOKUP(B2469,'Pre-Summary'!$CR$6:$CT$36,3,FALSE),"")</f>
        <v/>
      </c>
      <c r="Z2469" s="45" t="str">
        <f>IFERROR(VLOOKUP(B2469,'Pre-Summary'!$BZ$6:$CB$63,2,FALSE),"")</f>
        <v/>
      </c>
      <c r="AA2469" s="45" t="str">
        <f>IFERROR(VLOOKUP(B2469,'Pre-Summary'!$CG$6:$CI$70,2,FALSE),"")</f>
        <v/>
      </c>
      <c r="AB2469" s="99">
        <f>IFERROR(VLOOKUP(B2469,'Pre-Summary'!$A$6:$P$178,9,FALSE),AB2470)</f>
        <v>0.35840219629386882</v>
      </c>
      <c r="AC2469" s="10">
        <f>IFERROR(VLOOKUP(Summary!B2469,'Pre-Summary'!$A$6:$P$184,5, FALSE)/100,AC2470)</f>
        <v>0.93231133333333327</v>
      </c>
      <c r="AD2469" s="10">
        <f>IFERROR(VLOOKUP(Summary!B2469,'Pre-Summary'!$A$6:$P$184,3, FALSE)/100,AD2470)</f>
        <v>5.5926333333333328E-2</v>
      </c>
      <c r="AE2469" s="10">
        <f>IFERROR(VLOOKUP(Summary!B2469,'Pre-Summary'!$A$6:$P$184,7, FALSE)/100,AE2470)</f>
        <v>1.1762333333333333E-2</v>
      </c>
      <c r="AF2469" s="99">
        <f t="shared" si="115"/>
        <v>2.0044120697329672E-2</v>
      </c>
      <c r="AG2469" s="99">
        <f t="shared" si="116"/>
        <v>4.2156461002072496E-3</v>
      </c>
      <c r="AH2469" s="10" t="str">
        <f>IFERROR(VLOOKUP(B2469,'Pre-Summary'!$AZ$6:$BE$65,3,FALSE),"")</f>
        <v/>
      </c>
      <c r="AI2469" s="10" t="str">
        <f>IFERROR(VLOOKUP(B2469,'Pre-Summary'!$AZ$6:$BE$65,5,FALSE),"")</f>
        <v/>
      </c>
      <c r="AJ2469" s="10" t="str">
        <f>IFERROR(VLOOKUP(B2469,'Pre-Summary'!$AZ$6:$BE$65,4,FALSE),"")</f>
        <v/>
      </c>
      <c r="AK2469" s="10" t="str">
        <f>IFERROR(VLOOKUP(B2469,'Pre-Summary'!$AZ$6:$BE$65,6,FALSE),"")</f>
        <v/>
      </c>
      <c r="AL2469" s="10" t="str">
        <f>IFERROR(VLOOKUP(B2469,'Pre-Summary'!$BG$6:$BL$44,3,FALSE),"")</f>
        <v/>
      </c>
      <c r="AM2469" s="10" t="str">
        <f>IFERROR(VLOOKUP(B2469,'Pre-Summary'!$BG$6:$BL$44,4,FALSE),"")</f>
        <v/>
      </c>
    </row>
    <row r="2470" spans="2:39" ht="15" customHeight="1" x14ac:dyDescent="0.3">
      <c r="B2470">
        <v>246.7</v>
      </c>
      <c r="C2470" t="str">
        <f>IFERROR(VLOOKUP(B2470,'Pre-Summary'!$DI$6:$DM$23,4,FALSE),"")</f>
        <v/>
      </c>
      <c r="D2470" s="10" t="str">
        <f>IFERROR(VLOOKUP(B2470,'Pre-Summary'!$AT$6:$AX$14,5,FALSE),D2469)</f>
        <v>Wolfe v3: went back to modified wolfe + EDTA and switched CuSO4 to CUCl2</v>
      </c>
      <c r="E2470" s="10" t="str">
        <f>IFERROR(VLOOKUP(B2470,'Pre-Summary'!$AT$6:$AX$15,4,FALSE),"")</f>
        <v/>
      </c>
      <c r="F2470">
        <f>IFERROR(VLOOKUP(B2470,'Pre-Summary'!$AL$6:$AQ$13,6,FALSE),F2469)</f>
        <v>5.9405263157894746E-2</v>
      </c>
      <c r="G2470" t="str">
        <f>IFERROR(VLOOKUP(B2470,'Pre-Summary'!$AE$6:$AJ$85,3,FALSE),"")</f>
        <v/>
      </c>
      <c r="H2470" t="str">
        <f>IFERROR(VLOOKUP(B2470,'Pre-Summary'!$AE$6:$AJ$85,4,FALSE),"")</f>
        <v/>
      </c>
      <c r="I2470" t="str">
        <f>IFERROR(VLOOKUP(B2470,'Pre-Summary'!$AE$6:$AJ$85,5,FALSE),"")</f>
        <v/>
      </c>
      <c r="J2470" s="45" t="str">
        <f>IFERROR(VLOOKUP(B2470,'Pre-Summary'!$AE$6:$AJ$85,6, FALSE),"")</f>
        <v/>
      </c>
      <c r="K2470" s="45" t="str">
        <f>IFERROR(VLOOKUP(B2470,'Pre-Summary'!$DE$6:$DG$61,3,FALSE),"")</f>
        <v/>
      </c>
      <c r="L2470" s="45" t="str">
        <f>IFERROR(VLOOKUP(B2470,'Pre-Summary'!$CU$6:$CW$36,3,FALSE),"")</f>
        <v/>
      </c>
      <c r="M2470" s="45" t="str">
        <f>IFERROR(VLOOKUP(B2470,'Pre-Summary'!$BW$6:$BY$58,2,FALSE),"")</f>
        <v/>
      </c>
      <c r="N2470" s="45" t="str">
        <f>IFERROR(VLOOKUP(B2470,'Pre-Summary'!$CD$6:$CF$64,2,FALSE),"")</f>
        <v/>
      </c>
      <c r="O2470" s="99">
        <f>IFERROR(VLOOKUP(B2470,'Pre-Summary'!$BO$6:$BQ$48,3, FALSE),O2469)</f>
        <v>1.508</v>
      </c>
      <c r="P2470" s="99">
        <f>IFERROR(VLOOKUP(B2470,'Pre-Summary'!$BS$6:$BU$35,3,FALSE),P2469)</f>
        <v>0.4</v>
      </c>
      <c r="Q2470" s="54">
        <f t="shared" si="114"/>
        <v>3.77</v>
      </c>
      <c r="R2470" s="53">
        <f>IFERROR(VLOOKUP(B2470,'Pre-Summary'!$BG$6:$BM$44,7,FALSE),R2471)</f>
        <v>0.1051381075353212</v>
      </c>
      <c r="S2470" s="53">
        <f>IFERROR(VLOOKUP(B2470,'Pre-Summary'!$BG$6:$BM$44,6,FALSE),S2471)</f>
        <v>9.6348174087088401E-2</v>
      </c>
      <c r="T2470" s="45" t="str">
        <f>IFERROR(VLOOKUP(B2470,'Pre-Summary'!$Y$6:$AC$83, 3,FALSE),"")</f>
        <v/>
      </c>
      <c r="U2470" s="45" t="str">
        <f>IFERROR(VLOOKUP(B2470,'Pre-Summary'!$Y$6:$AC$83, 4,FALSE),"")</f>
        <v/>
      </c>
      <c r="V2470" t="str">
        <f>IFERROR(VLOOKUP(B2470,'Pre-Summary'!$Y$6:$AC$83, 5,FALSE),"")</f>
        <v/>
      </c>
      <c r="W2470" s="45" t="str">
        <f>IFERROR(VLOOKUP(B2470,'Pre-Summary'!$Y$6:$AD$83,6,FALSE),"")</f>
        <v/>
      </c>
      <c r="X2470" t="str">
        <f>IFERROR(VLOOKUP('Pre-Summary'!$DB$6:$DD$63,3,FALSE),"")</f>
        <v/>
      </c>
      <c r="Y2470" t="str">
        <f>IFERROR(VLOOKUP(B2470,'Pre-Summary'!$CR$6:$CT$36,3,FALSE),"")</f>
        <v/>
      </c>
      <c r="Z2470" s="45" t="str">
        <f>IFERROR(VLOOKUP(B2470,'Pre-Summary'!$BZ$6:$CB$63,2,FALSE),"")</f>
        <v/>
      </c>
      <c r="AA2470" s="45" t="str">
        <f>IFERROR(VLOOKUP(B2470,'Pre-Summary'!$CG$6:$CI$70,2,FALSE),"")</f>
        <v/>
      </c>
      <c r="AB2470" s="99">
        <f>IFERROR(VLOOKUP(B2470,'Pre-Summary'!$A$6:$P$178,9,FALSE),AB2471)</f>
        <v>0.35840219629386882</v>
      </c>
      <c r="AC2470" s="10">
        <f>IFERROR(VLOOKUP(Summary!B2470,'Pre-Summary'!$A$6:$P$184,5, FALSE)/100,AC2471)</f>
        <v>0.93231133333333327</v>
      </c>
      <c r="AD2470" s="10">
        <f>IFERROR(VLOOKUP(Summary!B2470,'Pre-Summary'!$A$6:$P$184,3, FALSE)/100,AD2471)</f>
        <v>5.5926333333333328E-2</v>
      </c>
      <c r="AE2470" s="10">
        <f>IFERROR(VLOOKUP(Summary!B2470,'Pre-Summary'!$A$6:$P$184,7, FALSE)/100,AE2471)</f>
        <v>1.1762333333333333E-2</v>
      </c>
      <c r="AF2470" s="99">
        <f t="shared" si="115"/>
        <v>2.0044120697329672E-2</v>
      </c>
      <c r="AG2470" s="99">
        <f t="shared" si="116"/>
        <v>4.2156461002072496E-3</v>
      </c>
      <c r="AH2470" s="10" t="str">
        <f>IFERROR(VLOOKUP(B2470,'Pre-Summary'!$AZ$6:$BE$65,3,FALSE),"")</f>
        <v/>
      </c>
      <c r="AI2470" s="10" t="str">
        <f>IFERROR(VLOOKUP(B2470,'Pre-Summary'!$AZ$6:$BE$65,5,FALSE),"")</f>
        <v/>
      </c>
      <c r="AJ2470" s="10" t="str">
        <f>IFERROR(VLOOKUP(B2470,'Pre-Summary'!$AZ$6:$BE$65,4,FALSE),"")</f>
        <v/>
      </c>
      <c r="AK2470" s="10" t="str">
        <f>IFERROR(VLOOKUP(B2470,'Pre-Summary'!$AZ$6:$BE$65,6,FALSE),"")</f>
        <v/>
      </c>
      <c r="AL2470" s="10" t="str">
        <f>IFERROR(VLOOKUP(B2470,'Pre-Summary'!$BG$6:$BL$44,3,FALSE),"")</f>
        <v/>
      </c>
      <c r="AM2470" s="10" t="str">
        <f>IFERROR(VLOOKUP(B2470,'Pre-Summary'!$BG$6:$BL$44,4,FALSE),"")</f>
        <v/>
      </c>
    </row>
    <row r="2471" spans="2:39" ht="15" customHeight="1" x14ac:dyDescent="0.3">
      <c r="B2471">
        <v>246.8</v>
      </c>
      <c r="C2471" t="str">
        <f>IFERROR(VLOOKUP(B2471,'Pre-Summary'!$DI$6:$DM$23,4,FALSE),"")</f>
        <v/>
      </c>
      <c r="D2471" s="10" t="str">
        <f>IFERROR(VLOOKUP(B2471,'Pre-Summary'!$AT$6:$AX$14,5,FALSE),D2470)</f>
        <v>Wolfe v3: went back to modified wolfe + EDTA and switched CuSO4 to CUCl2</v>
      </c>
      <c r="E2471" s="10" t="str">
        <f>IFERROR(VLOOKUP(B2471,'Pre-Summary'!$AT$6:$AX$15,4,FALSE),"")</f>
        <v/>
      </c>
      <c r="F2471">
        <f>IFERROR(VLOOKUP(B2471,'Pre-Summary'!$AL$6:$AQ$13,6,FALSE),F2470)</f>
        <v>5.9405263157894746E-2</v>
      </c>
      <c r="G2471" t="str">
        <f>IFERROR(VLOOKUP(B2471,'Pre-Summary'!$AE$6:$AJ$85,3,FALSE),"")</f>
        <v/>
      </c>
      <c r="H2471" t="str">
        <f>IFERROR(VLOOKUP(B2471,'Pre-Summary'!$AE$6:$AJ$85,4,FALSE),"")</f>
        <v/>
      </c>
      <c r="I2471" t="str">
        <f>IFERROR(VLOOKUP(B2471,'Pre-Summary'!$AE$6:$AJ$85,5,FALSE),"")</f>
        <v/>
      </c>
      <c r="J2471" s="45" t="str">
        <f>IFERROR(VLOOKUP(B2471,'Pre-Summary'!$AE$6:$AJ$85,6, FALSE),"")</f>
        <v/>
      </c>
      <c r="K2471" s="45" t="str">
        <f>IFERROR(VLOOKUP(B2471,'Pre-Summary'!$DE$6:$DG$61,3,FALSE),"")</f>
        <v/>
      </c>
      <c r="L2471" s="45" t="str">
        <f>IFERROR(VLOOKUP(B2471,'Pre-Summary'!$CU$6:$CW$36,3,FALSE),"")</f>
        <v/>
      </c>
      <c r="M2471" s="45" t="str">
        <f>IFERROR(VLOOKUP(B2471,'Pre-Summary'!$BW$6:$BY$58,2,FALSE),"")</f>
        <v/>
      </c>
      <c r="N2471" s="45" t="str">
        <f>IFERROR(VLOOKUP(B2471,'Pre-Summary'!$CD$6:$CF$64,2,FALSE),"")</f>
        <v/>
      </c>
      <c r="O2471" s="99">
        <f>IFERROR(VLOOKUP(B2471,'Pre-Summary'!$BO$6:$BQ$48,3, FALSE),O2470)</f>
        <v>1.508</v>
      </c>
      <c r="P2471" s="99">
        <f>IFERROR(VLOOKUP(B2471,'Pre-Summary'!$BS$6:$BU$35,3,FALSE),P2470)</f>
        <v>0.4</v>
      </c>
      <c r="Q2471" s="54">
        <f t="shared" si="114"/>
        <v>3.77</v>
      </c>
      <c r="R2471" s="53">
        <f>IFERROR(VLOOKUP(B2471,'Pre-Summary'!$BG$6:$BM$44,7,FALSE),R2472)</f>
        <v>0.1051381075353212</v>
      </c>
      <c r="S2471" s="53">
        <f>IFERROR(VLOOKUP(B2471,'Pre-Summary'!$BG$6:$BM$44,6,FALSE),S2472)</f>
        <v>9.6348174087088401E-2</v>
      </c>
      <c r="T2471" s="45" t="str">
        <f>IFERROR(VLOOKUP(B2471,'Pre-Summary'!$Y$6:$AC$83, 3,FALSE),"")</f>
        <v/>
      </c>
      <c r="U2471" s="45" t="str">
        <f>IFERROR(VLOOKUP(B2471,'Pre-Summary'!$Y$6:$AC$83, 4,FALSE),"")</f>
        <v/>
      </c>
      <c r="V2471" t="str">
        <f>IFERROR(VLOOKUP(B2471,'Pre-Summary'!$Y$6:$AC$83, 5,FALSE),"")</f>
        <v/>
      </c>
      <c r="W2471" s="45" t="str">
        <f>IFERROR(VLOOKUP(B2471,'Pre-Summary'!$Y$6:$AD$83,6,FALSE),"")</f>
        <v/>
      </c>
      <c r="X2471" t="str">
        <f>IFERROR(VLOOKUP('Pre-Summary'!$DB$6:$DD$63,3,FALSE),"")</f>
        <v/>
      </c>
      <c r="Y2471" t="str">
        <f>IFERROR(VLOOKUP(B2471,'Pre-Summary'!$CR$6:$CT$36,3,FALSE),"")</f>
        <v/>
      </c>
      <c r="Z2471" s="45" t="str">
        <f>IFERROR(VLOOKUP(B2471,'Pre-Summary'!$BZ$6:$CB$63,2,FALSE),"")</f>
        <v/>
      </c>
      <c r="AA2471" s="45" t="str">
        <f>IFERROR(VLOOKUP(B2471,'Pre-Summary'!$CG$6:$CI$70,2,FALSE),"")</f>
        <v/>
      </c>
      <c r="AB2471" s="99">
        <f>IFERROR(VLOOKUP(B2471,'Pre-Summary'!$A$6:$P$178,9,FALSE),AB2472)</f>
        <v>0.35840219629386882</v>
      </c>
      <c r="AC2471" s="10">
        <f>IFERROR(VLOOKUP(Summary!B2471,'Pre-Summary'!$A$6:$P$184,5, FALSE)/100,AC2472)</f>
        <v>0.93231133333333327</v>
      </c>
      <c r="AD2471" s="10">
        <f>IFERROR(VLOOKUP(Summary!B2471,'Pre-Summary'!$A$6:$P$184,3, FALSE)/100,AD2472)</f>
        <v>5.5926333333333328E-2</v>
      </c>
      <c r="AE2471" s="10">
        <f>IFERROR(VLOOKUP(Summary!B2471,'Pre-Summary'!$A$6:$P$184,7, FALSE)/100,AE2472)</f>
        <v>1.1762333333333333E-2</v>
      </c>
      <c r="AF2471" s="99">
        <f t="shared" si="115"/>
        <v>2.0044120697329672E-2</v>
      </c>
      <c r="AG2471" s="99">
        <f t="shared" si="116"/>
        <v>4.2156461002072496E-3</v>
      </c>
      <c r="AH2471" s="10" t="str">
        <f>IFERROR(VLOOKUP(B2471,'Pre-Summary'!$AZ$6:$BE$65,3,FALSE),"")</f>
        <v/>
      </c>
      <c r="AI2471" s="10" t="str">
        <f>IFERROR(VLOOKUP(B2471,'Pre-Summary'!$AZ$6:$BE$65,5,FALSE),"")</f>
        <v/>
      </c>
      <c r="AJ2471" s="10" t="str">
        <f>IFERROR(VLOOKUP(B2471,'Pre-Summary'!$AZ$6:$BE$65,4,FALSE),"")</f>
        <v/>
      </c>
      <c r="AK2471" s="10" t="str">
        <f>IFERROR(VLOOKUP(B2471,'Pre-Summary'!$AZ$6:$BE$65,6,FALSE),"")</f>
        <v/>
      </c>
      <c r="AL2471" s="10" t="str">
        <f>IFERROR(VLOOKUP(B2471,'Pre-Summary'!$BG$6:$BL$44,3,FALSE),"")</f>
        <v/>
      </c>
      <c r="AM2471" s="10" t="str">
        <f>IFERROR(VLOOKUP(B2471,'Pre-Summary'!$BG$6:$BL$44,4,FALSE),"")</f>
        <v/>
      </c>
    </row>
    <row r="2472" spans="2:39" ht="15" customHeight="1" x14ac:dyDescent="0.3">
      <c r="B2472">
        <v>246.9</v>
      </c>
      <c r="C2472" t="str">
        <f>IFERROR(VLOOKUP(B2472,'Pre-Summary'!$DI$6:$DM$23,4,FALSE),"")</f>
        <v/>
      </c>
      <c r="D2472" s="10" t="str">
        <f>IFERROR(VLOOKUP(B2472,'Pre-Summary'!$AT$6:$AX$14,5,FALSE),D2471)</f>
        <v>Wolfe v3: went back to modified wolfe + EDTA and switched CuSO4 to CUCl2</v>
      </c>
      <c r="E2472" s="10" t="str">
        <f>IFERROR(VLOOKUP(B2472,'Pre-Summary'!$AT$6:$AX$15,4,FALSE),"")</f>
        <v/>
      </c>
      <c r="F2472">
        <f>IFERROR(VLOOKUP(B2472,'Pre-Summary'!$AL$6:$AQ$13,6,FALSE),F2471)</f>
        <v>5.9405263157894746E-2</v>
      </c>
      <c r="G2472" t="str">
        <f>IFERROR(VLOOKUP(B2472,'Pre-Summary'!$AE$6:$AJ$85,3,FALSE),"")</f>
        <v/>
      </c>
      <c r="H2472" t="str">
        <f>IFERROR(VLOOKUP(B2472,'Pre-Summary'!$AE$6:$AJ$85,4,FALSE),"")</f>
        <v/>
      </c>
      <c r="I2472" t="str">
        <f>IFERROR(VLOOKUP(B2472,'Pre-Summary'!$AE$6:$AJ$85,5,FALSE),"")</f>
        <v/>
      </c>
      <c r="J2472" s="45" t="str">
        <f>IFERROR(VLOOKUP(B2472,'Pre-Summary'!$AE$6:$AJ$85,6, FALSE),"")</f>
        <v/>
      </c>
      <c r="K2472" s="45">
        <f>IFERROR(VLOOKUP(B2472,'Pre-Summary'!$DE$6:$DG$61,3,FALSE),"")</f>
        <v>800</v>
      </c>
      <c r="L2472" s="45" t="str">
        <f>IFERROR(VLOOKUP(B2472,'Pre-Summary'!$CU$6:$CW$36,3,FALSE),"")</f>
        <v/>
      </c>
      <c r="M2472" s="45">
        <f>IFERROR(VLOOKUP(B2472,'Pre-Summary'!$BW$6:$BY$58,2,FALSE),"")</f>
        <v>10.226119364994949</v>
      </c>
      <c r="N2472" s="45" t="str">
        <f>IFERROR(VLOOKUP(B2472,'Pre-Summary'!$CD$6:$CF$64,2,FALSE),"")</f>
        <v/>
      </c>
      <c r="O2472" s="99">
        <f>IFERROR(VLOOKUP(B2472,'Pre-Summary'!$BO$6:$BQ$48,3, FALSE),O2471)</f>
        <v>1.508</v>
      </c>
      <c r="P2472" s="99">
        <f>IFERROR(VLOOKUP(B2472,'Pre-Summary'!$BS$6:$BU$35,3,FALSE),P2471)</f>
        <v>0.4</v>
      </c>
      <c r="Q2472" s="54">
        <f t="shared" si="114"/>
        <v>3.77</v>
      </c>
      <c r="R2472" s="53">
        <f>IFERROR(VLOOKUP(B2472,'Pre-Summary'!$BG$6:$BM$44,7,FALSE),R2473)</f>
        <v>0.1051381075353212</v>
      </c>
      <c r="S2472" s="53">
        <f>IFERROR(VLOOKUP(B2472,'Pre-Summary'!$BG$6:$BM$44,6,FALSE),S2473)</f>
        <v>9.6348174087088401E-2</v>
      </c>
      <c r="T2472" s="45" t="str">
        <f>IFERROR(VLOOKUP(B2472,'Pre-Summary'!$Y$6:$AC$83, 3,FALSE),"")</f>
        <v/>
      </c>
      <c r="U2472" s="45" t="str">
        <f>IFERROR(VLOOKUP(B2472,'Pre-Summary'!$Y$6:$AC$83, 4,FALSE),"")</f>
        <v/>
      </c>
      <c r="V2472" t="str">
        <f>IFERROR(VLOOKUP(B2472,'Pre-Summary'!$Y$6:$AC$83, 5,FALSE),"")</f>
        <v/>
      </c>
      <c r="W2472" s="45" t="str">
        <f>IFERROR(VLOOKUP(B2472,'Pre-Summary'!$Y$6:$AD$83,6,FALSE),"")</f>
        <v/>
      </c>
      <c r="X2472" t="str">
        <f>IFERROR(VLOOKUP('Pre-Summary'!$DB$6:$DD$63,3,FALSE),"")</f>
        <v/>
      </c>
      <c r="Y2472" t="str">
        <f>IFERROR(VLOOKUP(B2472,'Pre-Summary'!$CR$6:$CT$36,3,FALSE),"")</f>
        <v/>
      </c>
      <c r="Z2472" s="45">
        <f>IFERROR(VLOOKUP(B2472,'Pre-Summary'!$BZ$6:$CB$63,2,FALSE),"")</f>
        <v>29.652181226601733</v>
      </c>
      <c r="AA2472" s="45">
        <f>IFERROR(VLOOKUP(B2472,'Pre-Summary'!$CG$6:$CI$70,2,FALSE),"")</f>
        <v>185.79900302046127</v>
      </c>
      <c r="AB2472" s="99">
        <f>IFERROR(VLOOKUP(B2472,'Pre-Summary'!$A$6:$P$178,9,FALSE),AB2473)</f>
        <v>0.35840219629386882</v>
      </c>
      <c r="AC2472" s="10">
        <f>IFERROR(VLOOKUP(Summary!B2472,'Pre-Summary'!$A$6:$P$184,5, FALSE)/100,AC2473)</f>
        <v>0.93231133333333327</v>
      </c>
      <c r="AD2472" s="10">
        <f>IFERROR(VLOOKUP(Summary!B2472,'Pre-Summary'!$A$6:$P$184,3, FALSE)/100,AD2473)</f>
        <v>5.5926333333333328E-2</v>
      </c>
      <c r="AE2472" s="10">
        <f>IFERROR(VLOOKUP(Summary!B2472,'Pre-Summary'!$A$6:$P$184,7, FALSE)/100,AE2473)</f>
        <v>1.1762333333333333E-2</v>
      </c>
      <c r="AF2472" s="99">
        <f t="shared" si="115"/>
        <v>2.0044120697329672E-2</v>
      </c>
      <c r="AG2472" s="99">
        <f t="shared" si="116"/>
        <v>4.2156461002072496E-3</v>
      </c>
      <c r="AH2472" s="10" t="str">
        <f>IFERROR(VLOOKUP(B2472,'Pre-Summary'!$AZ$6:$BE$65,3,FALSE),"")</f>
        <v/>
      </c>
      <c r="AI2472" s="10" t="str">
        <f>IFERROR(VLOOKUP(B2472,'Pre-Summary'!$AZ$6:$BE$65,5,FALSE),"")</f>
        <v/>
      </c>
      <c r="AJ2472" s="10" t="str">
        <f>IFERROR(VLOOKUP(B2472,'Pre-Summary'!$AZ$6:$BE$65,4,FALSE),"")</f>
        <v/>
      </c>
      <c r="AK2472" s="10" t="str">
        <f>IFERROR(VLOOKUP(B2472,'Pre-Summary'!$AZ$6:$BE$65,6,FALSE),"")</f>
        <v/>
      </c>
      <c r="AL2472" s="10" t="str">
        <f>IFERROR(VLOOKUP(B2472,'Pre-Summary'!$BG$6:$BL$44,3,FALSE),"")</f>
        <v/>
      </c>
      <c r="AM2472" s="10" t="str">
        <f>IFERROR(VLOOKUP(B2472,'Pre-Summary'!$BG$6:$BL$44,4,FALSE),"")</f>
        <v/>
      </c>
    </row>
    <row r="2473" spans="2:39" ht="15" customHeight="1" x14ac:dyDescent="0.3">
      <c r="B2473">
        <v>247</v>
      </c>
      <c r="C2473" t="str">
        <f>IFERROR(VLOOKUP(B2473,'Pre-Summary'!$DI$6:$DM$23,4,FALSE),"")</f>
        <v/>
      </c>
      <c r="D2473" s="10" t="str">
        <f>IFERROR(VLOOKUP(B2473,'Pre-Summary'!$AT$6:$AX$14,5,FALSE),D2472)</f>
        <v>Wolfe v3: went back to modified wolfe + EDTA and switched CuSO4 to CUCl2</v>
      </c>
      <c r="E2473" s="10" t="str">
        <f>IFERROR(VLOOKUP(B2473,'Pre-Summary'!$AT$6:$AX$15,4,FALSE),"")</f>
        <v/>
      </c>
      <c r="F2473">
        <f>IFERROR(VLOOKUP(B2473,'Pre-Summary'!$AL$6:$AQ$13,6,FALSE),F2472)</f>
        <v>5.9405263157894746E-2</v>
      </c>
      <c r="G2473" t="str">
        <f>IFERROR(VLOOKUP(B2473,'Pre-Summary'!$AE$6:$AJ$85,3,FALSE),"")</f>
        <v/>
      </c>
      <c r="H2473" t="str">
        <f>IFERROR(VLOOKUP(B2473,'Pre-Summary'!$AE$6:$AJ$85,4,FALSE),"")</f>
        <v/>
      </c>
      <c r="I2473" t="str">
        <f>IFERROR(VLOOKUP(B2473,'Pre-Summary'!$AE$6:$AJ$85,5,FALSE),"")</f>
        <v/>
      </c>
      <c r="J2473" s="45" t="str">
        <f>IFERROR(VLOOKUP(B2473,'Pre-Summary'!$AE$6:$AJ$85,6, FALSE),"")</f>
        <v/>
      </c>
      <c r="K2473" s="45" t="str">
        <f>IFERROR(VLOOKUP(B2473,'Pre-Summary'!$DE$6:$DG$61,3,FALSE),"")</f>
        <v/>
      </c>
      <c r="L2473" s="45" t="str">
        <f>IFERROR(VLOOKUP(B2473,'Pre-Summary'!$CU$6:$CW$36,3,FALSE),"")</f>
        <v/>
      </c>
      <c r="M2473" s="45" t="str">
        <f>IFERROR(VLOOKUP(B2473,'Pre-Summary'!$BW$6:$BY$58,2,FALSE),"")</f>
        <v/>
      </c>
      <c r="N2473" s="45" t="str">
        <f>IFERROR(VLOOKUP(B2473,'Pre-Summary'!$CD$6:$CF$64,2,FALSE),"")</f>
        <v/>
      </c>
      <c r="O2473" s="99">
        <f>IFERROR(VLOOKUP(B2473,'Pre-Summary'!$BO$6:$BQ$48,3, FALSE),O2472)</f>
        <v>1.508</v>
      </c>
      <c r="P2473" s="99">
        <f>IFERROR(VLOOKUP(B2473,'Pre-Summary'!$BS$6:$BU$35,3,FALSE),P2472)</f>
        <v>0.4</v>
      </c>
      <c r="Q2473" s="54">
        <f t="shared" si="114"/>
        <v>3.77</v>
      </c>
      <c r="R2473" s="53">
        <f>IFERROR(VLOOKUP(B2473,'Pre-Summary'!$BG$6:$BM$44,7,FALSE),R2474)</f>
        <v>0.1051381075353212</v>
      </c>
      <c r="S2473" s="53">
        <f>IFERROR(VLOOKUP(B2473,'Pre-Summary'!$BG$6:$BM$44,6,FALSE),S2474)</f>
        <v>9.6348174087088401E-2</v>
      </c>
      <c r="T2473" s="45" t="str">
        <f>IFERROR(VLOOKUP(B2473,'Pre-Summary'!$Y$6:$AC$83, 3,FALSE),"")</f>
        <v/>
      </c>
      <c r="U2473" s="45" t="str">
        <f>IFERROR(VLOOKUP(B2473,'Pre-Summary'!$Y$6:$AC$83, 4,FALSE),"")</f>
        <v/>
      </c>
      <c r="V2473" t="str">
        <f>IFERROR(VLOOKUP(B2473,'Pre-Summary'!$Y$6:$AC$83, 5,FALSE),"")</f>
        <v/>
      </c>
      <c r="W2473" s="45" t="str">
        <f>IFERROR(VLOOKUP(B2473,'Pre-Summary'!$Y$6:$AD$83,6,FALSE),"")</f>
        <v/>
      </c>
      <c r="X2473" t="str">
        <f>IFERROR(VLOOKUP('Pre-Summary'!$DB$6:$DD$63,3,FALSE),"")</f>
        <v/>
      </c>
      <c r="Y2473" t="str">
        <f>IFERROR(VLOOKUP(B2473,'Pre-Summary'!$CR$6:$CT$36,3,FALSE),"")</f>
        <v/>
      </c>
      <c r="Z2473" s="45" t="str">
        <f>IFERROR(VLOOKUP(B2473,'Pre-Summary'!$BZ$6:$CB$63,2,FALSE),"")</f>
        <v/>
      </c>
      <c r="AA2473" s="45" t="str">
        <f>IFERROR(VLOOKUP(B2473,'Pre-Summary'!$CG$6:$CI$70,2,FALSE),"")</f>
        <v/>
      </c>
      <c r="AB2473" s="99">
        <f>IFERROR(VLOOKUP(B2473,'Pre-Summary'!$A$6:$P$178,9,FALSE),AB2474)</f>
        <v>0.35840219629386882</v>
      </c>
      <c r="AC2473" s="10">
        <f>IFERROR(VLOOKUP(Summary!B2473,'Pre-Summary'!$A$6:$P$184,5, FALSE)/100,AC2474)</f>
        <v>0.93231133333333327</v>
      </c>
      <c r="AD2473" s="10">
        <f>IFERROR(VLOOKUP(Summary!B2473,'Pre-Summary'!$A$6:$P$184,3, FALSE)/100,AD2474)</f>
        <v>5.5926333333333328E-2</v>
      </c>
      <c r="AE2473" s="10">
        <f>IFERROR(VLOOKUP(Summary!B2473,'Pre-Summary'!$A$6:$P$184,7, FALSE)/100,AE2474)</f>
        <v>1.1762333333333333E-2</v>
      </c>
      <c r="AF2473" s="99">
        <f t="shared" si="115"/>
        <v>2.0044120697329672E-2</v>
      </c>
      <c r="AG2473" s="99">
        <f t="shared" si="116"/>
        <v>4.2156461002072496E-3</v>
      </c>
      <c r="AH2473" s="10" t="str">
        <f>IFERROR(VLOOKUP(B2473,'Pre-Summary'!$AZ$6:$BE$65,3,FALSE),"")</f>
        <v/>
      </c>
      <c r="AI2473" s="10" t="str">
        <f>IFERROR(VLOOKUP(B2473,'Pre-Summary'!$AZ$6:$BE$65,5,FALSE),"")</f>
        <v/>
      </c>
      <c r="AJ2473" s="10" t="str">
        <f>IFERROR(VLOOKUP(B2473,'Pre-Summary'!$AZ$6:$BE$65,4,FALSE),"")</f>
        <v/>
      </c>
      <c r="AK2473" s="10" t="str">
        <f>IFERROR(VLOOKUP(B2473,'Pre-Summary'!$AZ$6:$BE$65,6,FALSE),"")</f>
        <v/>
      </c>
      <c r="AL2473" s="10" t="str">
        <f>IFERROR(VLOOKUP(B2473,'Pre-Summary'!$BG$6:$BL$44,3,FALSE),"")</f>
        <v/>
      </c>
      <c r="AM2473" s="10" t="str">
        <f>IFERROR(VLOOKUP(B2473,'Pre-Summary'!$BG$6:$BL$44,4,FALSE),"")</f>
        <v/>
      </c>
    </row>
    <row r="2474" spans="2:39" ht="15" customHeight="1" x14ac:dyDescent="0.3">
      <c r="B2474">
        <v>247.1</v>
      </c>
      <c r="C2474" t="str">
        <f>IFERROR(VLOOKUP(B2474,'Pre-Summary'!$DI$6:$DM$23,4,FALSE),"")</f>
        <v/>
      </c>
      <c r="D2474" s="10" t="str">
        <f>IFERROR(VLOOKUP(B2474,'Pre-Summary'!$AT$6:$AX$14,5,FALSE),D2473)</f>
        <v>Wolfe v3: went back to modified wolfe + EDTA and switched CuSO4 to CUCl2</v>
      </c>
      <c r="E2474" s="10" t="str">
        <f>IFERROR(VLOOKUP(B2474,'Pre-Summary'!$AT$6:$AX$15,4,FALSE),"")</f>
        <v/>
      </c>
      <c r="F2474">
        <f>IFERROR(VLOOKUP(B2474,'Pre-Summary'!$AL$6:$AQ$13,6,FALSE),F2473)</f>
        <v>5.9405263157894746E-2</v>
      </c>
      <c r="G2474" t="str">
        <f>IFERROR(VLOOKUP(B2474,'Pre-Summary'!$AE$6:$AJ$85,3,FALSE),"")</f>
        <v/>
      </c>
      <c r="H2474" t="str">
        <f>IFERROR(VLOOKUP(B2474,'Pre-Summary'!$AE$6:$AJ$85,4,FALSE),"")</f>
        <v/>
      </c>
      <c r="I2474" t="str">
        <f>IFERROR(VLOOKUP(B2474,'Pre-Summary'!$AE$6:$AJ$85,5,FALSE),"")</f>
        <v/>
      </c>
      <c r="J2474" s="45" t="str">
        <f>IFERROR(VLOOKUP(B2474,'Pre-Summary'!$AE$6:$AJ$85,6, FALSE),"")</f>
        <v/>
      </c>
      <c r="K2474" s="45" t="str">
        <f>IFERROR(VLOOKUP(B2474,'Pre-Summary'!$DE$6:$DG$61,3,FALSE),"")</f>
        <v/>
      </c>
      <c r="L2474" s="45" t="str">
        <f>IFERROR(VLOOKUP(B2474,'Pre-Summary'!$CU$6:$CW$36,3,FALSE),"")</f>
        <v/>
      </c>
      <c r="M2474" s="45" t="str">
        <f>IFERROR(VLOOKUP(B2474,'Pre-Summary'!$BW$6:$BY$58,2,FALSE),"")</f>
        <v/>
      </c>
      <c r="N2474" s="45" t="str">
        <f>IFERROR(VLOOKUP(B2474,'Pre-Summary'!$CD$6:$CF$64,2,FALSE),"")</f>
        <v/>
      </c>
      <c r="O2474" s="99">
        <f>IFERROR(VLOOKUP(B2474,'Pre-Summary'!$BO$6:$BQ$48,3, FALSE),O2473)</f>
        <v>1.508</v>
      </c>
      <c r="P2474" s="99">
        <f>IFERROR(VLOOKUP(B2474,'Pre-Summary'!$BS$6:$BU$35,3,FALSE),P2473)</f>
        <v>0.4</v>
      </c>
      <c r="Q2474" s="54">
        <f t="shared" si="114"/>
        <v>3.77</v>
      </c>
      <c r="R2474" s="53">
        <f>IFERROR(VLOOKUP(B2474,'Pre-Summary'!$BG$6:$BM$44,7,FALSE),R2475)</f>
        <v>0.1051381075353212</v>
      </c>
      <c r="S2474" s="53">
        <f>IFERROR(VLOOKUP(B2474,'Pre-Summary'!$BG$6:$BM$44,6,FALSE),S2475)</f>
        <v>9.6348174087088401E-2</v>
      </c>
      <c r="T2474" s="45" t="str">
        <f>IFERROR(VLOOKUP(B2474,'Pre-Summary'!$Y$6:$AC$83, 3,FALSE),"")</f>
        <v/>
      </c>
      <c r="U2474" s="45" t="str">
        <f>IFERROR(VLOOKUP(B2474,'Pre-Summary'!$Y$6:$AC$83, 4,FALSE),"")</f>
        <v/>
      </c>
      <c r="V2474" t="str">
        <f>IFERROR(VLOOKUP(B2474,'Pre-Summary'!$Y$6:$AC$83, 5,FALSE),"")</f>
        <v/>
      </c>
      <c r="W2474" s="45" t="str">
        <f>IFERROR(VLOOKUP(B2474,'Pre-Summary'!$Y$6:$AD$83,6,FALSE),"")</f>
        <v/>
      </c>
      <c r="X2474" t="str">
        <f>IFERROR(VLOOKUP('Pre-Summary'!$DB$6:$DD$63,3,FALSE),"")</f>
        <v/>
      </c>
      <c r="Y2474" t="str">
        <f>IFERROR(VLOOKUP(B2474,'Pre-Summary'!$CR$6:$CT$36,3,FALSE),"")</f>
        <v/>
      </c>
      <c r="Z2474" s="45" t="str">
        <f>IFERROR(VLOOKUP(B2474,'Pre-Summary'!$BZ$6:$CB$63,2,FALSE),"")</f>
        <v/>
      </c>
      <c r="AA2474" s="45" t="str">
        <f>IFERROR(VLOOKUP(B2474,'Pre-Summary'!$CG$6:$CI$70,2,FALSE),"")</f>
        <v/>
      </c>
      <c r="AB2474" s="99">
        <f>IFERROR(VLOOKUP(B2474,'Pre-Summary'!$A$6:$P$178,9,FALSE),AB2475)</f>
        <v>0.36862727272714263</v>
      </c>
      <c r="AC2474" s="10">
        <f>IFERROR(VLOOKUP(Summary!B2474,'Pre-Summary'!$A$6:$P$184,5, FALSE)/100,AC2475)</f>
        <v>0.94580233333333341</v>
      </c>
      <c r="AD2474" s="10">
        <f>IFERROR(VLOOKUP(Summary!B2474,'Pre-Summary'!$A$6:$P$184,3, FALSE)/100,AD2475)</f>
        <v>4.0728999999999994E-2</v>
      </c>
      <c r="AE2474" s="10">
        <f>IFERROR(VLOOKUP(Summary!B2474,'Pre-Summary'!$A$6:$P$184,7, FALSE)/100,AE2475)</f>
        <v>1.3468333333333334E-2</v>
      </c>
      <c r="AF2474" s="99">
        <f t="shared" si="115"/>
        <v>1.501382019090379E-2</v>
      </c>
      <c r="AG2474" s="99">
        <f t="shared" si="116"/>
        <v>4.9647949848467326E-3</v>
      </c>
      <c r="AH2474" s="10" t="str">
        <f>IFERROR(VLOOKUP(B2474,'Pre-Summary'!$AZ$6:$BE$65,3,FALSE),"")</f>
        <v/>
      </c>
      <c r="AI2474" s="10" t="str">
        <f>IFERROR(VLOOKUP(B2474,'Pre-Summary'!$AZ$6:$BE$65,5,FALSE),"")</f>
        <v/>
      </c>
      <c r="AJ2474" s="10" t="str">
        <f>IFERROR(VLOOKUP(B2474,'Pre-Summary'!$AZ$6:$BE$65,4,FALSE),"")</f>
        <v/>
      </c>
      <c r="AK2474" s="10" t="str">
        <f>IFERROR(VLOOKUP(B2474,'Pre-Summary'!$AZ$6:$BE$65,6,FALSE),"")</f>
        <v/>
      </c>
      <c r="AL2474" s="10" t="str">
        <f>IFERROR(VLOOKUP(B2474,'Pre-Summary'!$BG$6:$BL$44,3,FALSE),"")</f>
        <v/>
      </c>
      <c r="AM2474" s="10" t="str">
        <f>IFERROR(VLOOKUP(B2474,'Pre-Summary'!$BG$6:$BL$44,4,FALSE),"")</f>
        <v/>
      </c>
    </row>
    <row r="2475" spans="2:39" ht="15" customHeight="1" x14ac:dyDescent="0.3">
      <c r="B2475">
        <v>247.2</v>
      </c>
      <c r="C2475" t="str">
        <f>IFERROR(VLOOKUP(B2475,'Pre-Summary'!$DI$6:$DM$23,4,FALSE),"")</f>
        <v/>
      </c>
      <c r="D2475" s="10" t="str">
        <f>IFERROR(VLOOKUP(B2475,'Pre-Summary'!$AT$6:$AX$14,5,FALSE),D2474)</f>
        <v>Wolfe v3: went back to modified wolfe + EDTA and switched CuSO4 to CUCl2</v>
      </c>
      <c r="E2475" s="10" t="str">
        <f>IFERROR(VLOOKUP(B2475,'Pre-Summary'!$AT$6:$AX$15,4,FALSE),"")</f>
        <v/>
      </c>
      <c r="F2475">
        <f>IFERROR(VLOOKUP(B2475,'Pre-Summary'!$AL$6:$AQ$13,6,FALSE),F2474)</f>
        <v>5.9405263157894746E-2</v>
      </c>
      <c r="G2475" t="str">
        <f>IFERROR(VLOOKUP(B2475,'Pre-Summary'!$AE$6:$AJ$85,3,FALSE),"")</f>
        <v/>
      </c>
      <c r="H2475" t="str">
        <f>IFERROR(VLOOKUP(B2475,'Pre-Summary'!$AE$6:$AJ$85,4,FALSE),"")</f>
        <v/>
      </c>
      <c r="I2475" t="str">
        <f>IFERROR(VLOOKUP(B2475,'Pre-Summary'!$AE$6:$AJ$85,5,FALSE),"")</f>
        <v/>
      </c>
      <c r="J2475" s="45" t="str">
        <f>IFERROR(VLOOKUP(B2475,'Pre-Summary'!$AE$6:$AJ$85,6, FALSE),"")</f>
        <v/>
      </c>
      <c r="K2475" s="45" t="str">
        <f>IFERROR(VLOOKUP(B2475,'Pre-Summary'!$DE$6:$DG$61,3,FALSE),"")</f>
        <v/>
      </c>
      <c r="L2475" s="45" t="str">
        <f>IFERROR(VLOOKUP(B2475,'Pre-Summary'!$CU$6:$CW$36,3,FALSE),"")</f>
        <v/>
      </c>
      <c r="M2475" s="45" t="str">
        <f>IFERROR(VLOOKUP(B2475,'Pre-Summary'!$BW$6:$BY$58,2,FALSE),"")</f>
        <v/>
      </c>
      <c r="N2475" s="45" t="str">
        <f>IFERROR(VLOOKUP(B2475,'Pre-Summary'!$CD$6:$CF$64,2,FALSE),"")</f>
        <v/>
      </c>
      <c r="O2475" s="99">
        <f>IFERROR(VLOOKUP(B2475,'Pre-Summary'!$BO$6:$BQ$48,3, FALSE),O2474)</f>
        <v>1.508</v>
      </c>
      <c r="P2475" s="99">
        <f>IFERROR(VLOOKUP(B2475,'Pre-Summary'!$BS$6:$BU$35,3,FALSE),P2474)</f>
        <v>0.4</v>
      </c>
      <c r="Q2475" s="54">
        <f t="shared" si="114"/>
        <v>3.77</v>
      </c>
      <c r="R2475" s="53">
        <f>IFERROR(VLOOKUP(B2475,'Pre-Summary'!$BG$6:$BM$44,7,FALSE),R2476)</f>
        <v>0.1051381075353212</v>
      </c>
      <c r="S2475" s="53">
        <f>IFERROR(VLOOKUP(B2475,'Pre-Summary'!$BG$6:$BM$44,6,FALSE),S2476)</f>
        <v>9.6348174087088401E-2</v>
      </c>
      <c r="T2475" s="45" t="str">
        <f>IFERROR(VLOOKUP(B2475,'Pre-Summary'!$Y$6:$AC$83, 3,FALSE),"")</f>
        <v/>
      </c>
      <c r="U2475" s="45" t="str">
        <f>IFERROR(VLOOKUP(B2475,'Pre-Summary'!$Y$6:$AC$83, 4,FALSE),"")</f>
        <v/>
      </c>
      <c r="V2475" t="str">
        <f>IFERROR(VLOOKUP(B2475,'Pre-Summary'!$Y$6:$AC$83, 5,FALSE),"")</f>
        <v/>
      </c>
      <c r="W2475" s="45" t="str">
        <f>IFERROR(VLOOKUP(B2475,'Pre-Summary'!$Y$6:$AD$83,6,FALSE),"")</f>
        <v/>
      </c>
      <c r="X2475" t="str">
        <f>IFERROR(VLOOKUP('Pre-Summary'!$DB$6:$DD$63,3,FALSE),"")</f>
        <v/>
      </c>
      <c r="Y2475" t="str">
        <f>IFERROR(VLOOKUP(B2475,'Pre-Summary'!$CR$6:$CT$36,3,FALSE),"")</f>
        <v/>
      </c>
      <c r="Z2475" s="45" t="str">
        <f>IFERROR(VLOOKUP(B2475,'Pre-Summary'!$BZ$6:$CB$63,2,FALSE),"")</f>
        <v/>
      </c>
      <c r="AA2475" s="45" t="str">
        <f>IFERROR(VLOOKUP(B2475,'Pre-Summary'!$CG$6:$CI$70,2,FALSE),"")</f>
        <v/>
      </c>
      <c r="AB2475" s="99">
        <f>IFERROR(VLOOKUP(B2475,'Pre-Summary'!$A$6:$P$178,9,FALSE),AB2476)</f>
        <v>0.36862727272714263</v>
      </c>
      <c r="AC2475" s="10">
        <f>IFERROR(VLOOKUP(Summary!B2475,'Pre-Summary'!$A$6:$P$184,5, FALSE)/100,AC2476)</f>
        <v>0.94580233333333341</v>
      </c>
      <c r="AD2475" s="10">
        <f>IFERROR(VLOOKUP(Summary!B2475,'Pre-Summary'!$A$6:$P$184,3, FALSE)/100,AD2476)</f>
        <v>4.0728999999999994E-2</v>
      </c>
      <c r="AE2475" s="10">
        <f>IFERROR(VLOOKUP(Summary!B2475,'Pre-Summary'!$A$6:$P$184,7, FALSE)/100,AE2476)</f>
        <v>1.3468333333333334E-2</v>
      </c>
      <c r="AF2475" s="99">
        <f t="shared" si="115"/>
        <v>1.501382019090379E-2</v>
      </c>
      <c r="AG2475" s="99">
        <f t="shared" si="116"/>
        <v>4.9647949848467326E-3</v>
      </c>
      <c r="AH2475" s="10" t="str">
        <f>IFERROR(VLOOKUP(B2475,'Pre-Summary'!$AZ$6:$BE$65,3,FALSE),"")</f>
        <v/>
      </c>
      <c r="AI2475" s="10" t="str">
        <f>IFERROR(VLOOKUP(B2475,'Pre-Summary'!$AZ$6:$BE$65,5,FALSE),"")</f>
        <v/>
      </c>
      <c r="AJ2475" s="10" t="str">
        <f>IFERROR(VLOOKUP(B2475,'Pre-Summary'!$AZ$6:$BE$65,4,FALSE),"")</f>
        <v/>
      </c>
      <c r="AK2475" s="10" t="str">
        <f>IFERROR(VLOOKUP(B2475,'Pre-Summary'!$AZ$6:$BE$65,6,FALSE),"")</f>
        <v/>
      </c>
      <c r="AL2475" s="10" t="str">
        <f>IFERROR(VLOOKUP(B2475,'Pre-Summary'!$BG$6:$BL$44,3,FALSE),"")</f>
        <v/>
      </c>
      <c r="AM2475" s="10" t="str">
        <f>IFERROR(VLOOKUP(B2475,'Pre-Summary'!$BG$6:$BL$44,4,FALSE),"")</f>
        <v/>
      </c>
    </row>
    <row r="2476" spans="2:39" ht="15" customHeight="1" x14ac:dyDescent="0.3">
      <c r="B2476">
        <v>247.3</v>
      </c>
      <c r="C2476" t="str">
        <f>IFERROR(VLOOKUP(B2476,'Pre-Summary'!$DI$6:$DM$23,4,FALSE),"")</f>
        <v/>
      </c>
      <c r="D2476" s="10" t="str">
        <f>IFERROR(VLOOKUP(B2476,'Pre-Summary'!$AT$6:$AX$14,5,FALSE),D2475)</f>
        <v>Wolfe v3: went back to modified wolfe + EDTA and switched CuSO4 to CUCl2</v>
      </c>
      <c r="E2476" s="10" t="str">
        <f>IFERROR(VLOOKUP(B2476,'Pre-Summary'!$AT$6:$AX$15,4,FALSE),"")</f>
        <v/>
      </c>
      <c r="F2476">
        <f>IFERROR(VLOOKUP(B2476,'Pre-Summary'!$AL$6:$AQ$13,6,FALSE),F2475)</f>
        <v>5.9405263157894746E-2</v>
      </c>
      <c r="G2476" t="str">
        <f>IFERROR(VLOOKUP(B2476,'Pre-Summary'!$AE$6:$AJ$85,3,FALSE),"")</f>
        <v/>
      </c>
      <c r="H2476" t="str">
        <f>IFERROR(VLOOKUP(B2476,'Pre-Summary'!$AE$6:$AJ$85,4,FALSE),"")</f>
        <v/>
      </c>
      <c r="I2476" t="str">
        <f>IFERROR(VLOOKUP(B2476,'Pre-Summary'!$AE$6:$AJ$85,5,FALSE),"")</f>
        <v/>
      </c>
      <c r="J2476" s="45" t="str">
        <f>IFERROR(VLOOKUP(B2476,'Pre-Summary'!$AE$6:$AJ$85,6, FALSE),"")</f>
        <v/>
      </c>
      <c r="K2476" s="45" t="str">
        <f>IFERROR(VLOOKUP(B2476,'Pre-Summary'!$DE$6:$DG$61,3,FALSE),"")</f>
        <v/>
      </c>
      <c r="L2476" s="45" t="str">
        <f>IFERROR(VLOOKUP(B2476,'Pre-Summary'!$CU$6:$CW$36,3,FALSE),"")</f>
        <v/>
      </c>
      <c r="M2476" s="45" t="str">
        <f>IFERROR(VLOOKUP(B2476,'Pre-Summary'!$BW$6:$BY$58,2,FALSE),"")</f>
        <v/>
      </c>
      <c r="N2476" s="45" t="str">
        <f>IFERROR(VLOOKUP(B2476,'Pre-Summary'!$CD$6:$CF$64,2,FALSE),"")</f>
        <v/>
      </c>
      <c r="O2476" s="99">
        <f>IFERROR(VLOOKUP(B2476,'Pre-Summary'!$BO$6:$BQ$48,3, FALSE),O2475)</f>
        <v>1.508</v>
      </c>
      <c r="P2476" s="99">
        <f>IFERROR(VLOOKUP(B2476,'Pre-Summary'!$BS$6:$BU$35,3,FALSE),P2475)</f>
        <v>0.4</v>
      </c>
      <c r="Q2476" s="54">
        <f t="shared" si="114"/>
        <v>3.77</v>
      </c>
      <c r="R2476" s="53">
        <f>IFERROR(VLOOKUP(B2476,'Pre-Summary'!$BG$6:$BM$44,7,FALSE),R2477)</f>
        <v>0.1051381075353212</v>
      </c>
      <c r="S2476" s="53">
        <f>IFERROR(VLOOKUP(B2476,'Pre-Summary'!$BG$6:$BM$44,6,FALSE),S2477)</f>
        <v>9.6348174087088401E-2</v>
      </c>
      <c r="T2476" s="45" t="str">
        <f>IFERROR(VLOOKUP(B2476,'Pre-Summary'!$Y$6:$AC$83, 3,FALSE),"")</f>
        <v/>
      </c>
      <c r="U2476" s="45" t="str">
        <f>IFERROR(VLOOKUP(B2476,'Pre-Summary'!$Y$6:$AC$83, 4,FALSE),"")</f>
        <v/>
      </c>
      <c r="V2476" t="str">
        <f>IFERROR(VLOOKUP(B2476,'Pre-Summary'!$Y$6:$AC$83, 5,FALSE),"")</f>
        <v/>
      </c>
      <c r="W2476" s="45" t="str">
        <f>IFERROR(VLOOKUP(B2476,'Pre-Summary'!$Y$6:$AD$83,6,FALSE),"")</f>
        <v/>
      </c>
      <c r="X2476" t="str">
        <f>IFERROR(VLOOKUP('Pre-Summary'!$DB$6:$DD$63,3,FALSE),"")</f>
        <v/>
      </c>
      <c r="Y2476" t="str">
        <f>IFERROR(VLOOKUP(B2476,'Pre-Summary'!$CR$6:$CT$36,3,FALSE),"")</f>
        <v/>
      </c>
      <c r="Z2476" s="45" t="str">
        <f>IFERROR(VLOOKUP(B2476,'Pre-Summary'!$BZ$6:$CB$63,2,FALSE),"")</f>
        <v/>
      </c>
      <c r="AA2476" s="45" t="str">
        <f>IFERROR(VLOOKUP(B2476,'Pre-Summary'!$CG$6:$CI$70,2,FALSE),"")</f>
        <v/>
      </c>
      <c r="AB2476" s="99">
        <f>IFERROR(VLOOKUP(B2476,'Pre-Summary'!$A$6:$P$178,9,FALSE),AB2477)</f>
        <v>0.36862727272714263</v>
      </c>
      <c r="AC2476" s="10">
        <f>IFERROR(VLOOKUP(Summary!B2476,'Pre-Summary'!$A$6:$P$184,5, FALSE)/100,AC2477)</f>
        <v>0.94580233333333341</v>
      </c>
      <c r="AD2476" s="10">
        <f>IFERROR(VLOOKUP(Summary!B2476,'Pre-Summary'!$A$6:$P$184,3, FALSE)/100,AD2477)</f>
        <v>4.0728999999999994E-2</v>
      </c>
      <c r="AE2476" s="10">
        <f>IFERROR(VLOOKUP(Summary!B2476,'Pre-Summary'!$A$6:$P$184,7, FALSE)/100,AE2477)</f>
        <v>1.3468333333333334E-2</v>
      </c>
      <c r="AF2476" s="99">
        <f t="shared" si="115"/>
        <v>1.501382019090379E-2</v>
      </c>
      <c r="AG2476" s="99">
        <f t="shared" si="116"/>
        <v>4.9647949848467326E-3</v>
      </c>
      <c r="AH2476" s="10" t="str">
        <f>IFERROR(VLOOKUP(B2476,'Pre-Summary'!$AZ$6:$BE$65,3,FALSE),"")</f>
        <v/>
      </c>
      <c r="AI2476" s="10" t="str">
        <f>IFERROR(VLOOKUP(B2476,'Pre-Summary'!$AZ$6:$BE$65,5,FALSE),"")</f>
        <v/>
      </c>
      <c r="AJ2476" s="10" t="str">
        <f>IFERROR(VLOOKUP(B2476,'Pre-Summary'!$AZ$6:$BE$65,4,FALSE),"")</f>
        <v/>
      </c>
      <c r="AK2476" s="10" t="str">
        <f>IFERROR(VLOOKUP(B2476,'Pre-Summary'!$AZ$6:$BE$65,6,FALSE),"")</f>
        <v/>
      </c>
      <c r="AL2476" s="10" t="str">
        <f>IFERROR(VLOOKUP(B2476,'Pre-Summary'!$BG$6:$BL$44,3,FALSE),"")</f>
        <v/>
      </c>
      <c r="AM2476" s="10" t="str">
        <f>IFERROR(VLOOKUP(B2476,'Pre-Summary'!$BG$6:$BL$44,4,FALSE),"")</f>
        <v/>
      </c>
    </row>
    <row r="2477" spans="2:39" ht="15" customHeight="1" x14ac:dyDescent="0.3">
      <c r="B2477">
        <v>247.4</v>
      </c>
      <c r="C2477" t="str">
        <f>IFERROR(VLOOKUP(B2477,'Pre-Summary'!$DI$6:$DM$23,4,FALSE),"")</f>
        <v/>
      </c>
      <c r="D2477" s="10" t="str">
        <f>IFERROR(VLOOKUP(B2477,'Pre-Summary'!$AT$6:$AX$14,5,FALSE),D2476)</f>
        <v>Wolfe v3: went back to modified wolfe + EDTA and switched CuSO4 to CUCl2</v>
      </c>
      <c r="E2477" s="10" t="str">
        <f>IFERROR(VLOOKUP(B2477,'Pre-Summary'!$AT$6:$AX$15,4,FALSE),"")</f>
        <v/>
      </c>
      <c r="F2477">
        <f>IFERROR(VLOOKUP(B2477,'Pre-Summary'!$AL$6:$AQ$13,6,FALSE),F2476)</f>
        <v>5.9405263157894746E-2</v>
      </c>
      <c r="G2477" t="str">
        <f>IFERROR(VLOOKUP(B2477,'Pre-Summary'!$AE$6:$AJ$85,3,FALSE),"")</f>
        <v/>
      </c>
      <c r="H2477" t="str">
        <f>IFERROR(VLOOKUP(B2477,'Pre-Summary'!$AE$6:$AJ$85,4,FALSE),"")</f>
        <v/>
      </c>
      <c r="I2477" t="str">
        <f>IFERROR(VLOOKUP(B2477,'Pre-Summary'!$AE$6:$AJ$85,5,FALSE),"")</f>
        <v/>
      </c>
      <c r="J2477" s="45" t="str">
        <f>IFERROR(VLOOKUP(B2477,'Pre-Summary'!$AE$6:$AJ$85,6, FALSE),"")</f>
        <v/>
      </c>
      <c r="K2477" s="45" t="str">
        <f>IFERROR(VLOOKUP(B2477,'Pre-Summary'!$DE$6:$DG$61,3,FALSE),"")</f>
        <v/>
      </c>
      <c r="L2477" s="45" t="str">
        <f>IFERROR(VLOOKUP(B2477,'Pre-Summary'!$CU$6:$CW$36,3,FALSE),"")</f>
        <v/>
      </c>
      <c r="M2477" s="45" t="str">
        <f>IFERROR(VLOOKUP(B2477,'Pre-Summary'!$BW$6:$BY$58,2,FALSE),"")</f>
        <v/>
      </c>
      <c r="N2477" s="45" t="str">
        <f>IFERROR(VLOOKUP(B2477,'Pre-Summary'!$CD$6:$CF$64,2,FALSE),"")</f>
        <v/>
      </c>
      <c r="O2477" s="99">
        <f>IFERROR(VLOOKUP(B2477,'Pre-Summary'!$BO$6:$BQ$48,3, FALSE),O2476)</f>
        <v>1.508</v>
      </c>
      <c r="P2477" s="99">
        <f>IFERROR(VLOOKUP(B2477,'Pre-Summary'!$BS$6:$BU$35,3,FALSE),P2476)</f>
        <v>0.4</v>
      </c>
      <c r="Q2477" s="54">
        <f t="shared" si="114"/>
        <v>3.77</v>
      </c>
      <c r="R2477" s="53">
        <f>IFERROR(VLOOKUP(B2477,'Pre-Summary'!$BG$6:$BM$44,7,FALSE),R2478)</f>
        <v>0.1051381075353212</v>
      </c>
      <c r="S2477" s="53">
        <f>IFERROR(VLOOKUP(B2477,'Pre-Summary'!$BG$6:$BM$44,6,FALSE),S2478)</f>
        <v>9.6348174087088401E-2</v>
      </c>
      <c r="T2477" s="45" t="str">
        <f>IFERROR(VLOOKUP(B2477,'Pre-Summary'!$Y$6:$AC$83, 3,FALSE),"")</f>
        <v/>
      </c>
      <c r="U2477" s="45" t="str">
        <f>IFERROR(VLOOKUP(B2477,'Pre-Summary'!$Y$6:$AC$83, 4,FALSE),"")</f>
        <v/>
      </c>
      <c r="V2477" t="str">
        <f>IFERROR(VLOOKUP(B2477,'Pre-Summary'!$Y$6:$AC$83, 5,FALSE),"")</f>
        <v/>
      </c>
      <c r="W2477" s="45" t="str">
        <f>IFERROR(VLOOKUP(B2477,'Pre-Summary'!$Y$6:$AD$83,6,FALSE),"")</f>
        <v/>
      </c>
      <c r="X2477" t="str">
        <f>IFERROR(VLOOKUP('Pre-Summary'!$DB$6:$DD$63,3,FALSE),"")</f>
        <v/>
      </c>
      <c r="Y2477" t="str">
        <f>IFERROR(VLOOKUP(B2477,'Pre-Summary'!$CR$6:$CT$36,3,FALSE),"")</f>
        <v/>
      </c>
      <c r="Z2477" s="45" t="str">
        <f>IFERROR(VLOOKUP(B2477,'Pre-Summary'!$BZ$6:$CB$63,2,FALSE),"")</f>
        <v/>
      </c>
      <c r="AA2477" s="45" t="str">
        <f>IFERROR(VLOOKUP(B2477,'Pre-Summary'!$CG$6:$CI$70,2,FALSE),"")</f>
        <v/>
      </c>
      <c r="AB2477" s="99">
        <f>IFERROR(VLOOKUP(B2477,'Pre-Summary'!$A$6:$P$178,9,FALSE),AB2478)</f>
        <v>0.36862727272714263</v>
      </c>
      <c r="AC2477" s="10">
        <f>IFERROR(VLOOKUP(Summary!B2477,'Pre-Summary'!$A$6:$P$184,5, FALSE)/100,AC2478)</f>
        <v>0.94580233333333341</v>
      </c>
      <c r="AD2477" s="10">
        <f>IFERROR(VLOOKUP(Summary!B2477,'Pre-Summary'!$A$6:$P$184,3, FALSE)/100,AD2478)</f>
        <v>4.0728999999999994E-2</v>
      </c>
      <c r="AE2477" s="10">
        <f>IFERROR(VLOOKUP(Summary!B2477,'Pre-Summary'!$A$6:$P$184,7, FALSE)/100,AE2478)</f>
        <v>1.3468333333333334E-2</v>
      </c>
      <c r="AF2477" s="99">
        <f t="shared" si="115"/>
        <v>1.501382019090379E-2</v>
      </c>
      <c r="AG2477" s="99">
        <f t="shared" si="116"/>
        <v>4.9647949848467326E-3</v>
      </c>
      <c r="AH2477" s="10" t="str">
        <f>IFERROR(VLOOKUP(B2477,'Pre-Summary'!$AZ$6:$BE$65,3,FALSE),"")</f>
        <v/>
      </c>
      <c r="AI2477" s="10" t="str">
        <f>IFERROR(VLOOKUP(B2477,'Pre-Summary'!$AZ$6:$BE$65,5,FALSE),"")</f>
        <v/>
      </c>
      <c r="AJ2477" s="10" t="str">
        <f>IFERROR(VLOOKUP(B2477,'Pre-Summary'!$AZ$6:$BE$65,4,FALSE),"")</f>
        <v/>
      </c>
      <c r="AK2477" s="10" t="str">
        <f>IFERROR(VLOOKUP(B2477,'Pre-Summary'!$AZ$6:$BE$65,6,FALSE),"")</f>
        <v/>
      </c>
      <c r="AL2477" s="10" t="str">
        <f>IFERROR(VLOOKUP(B2477,'Pre-Summary'!$BG$6:$BL$44,3,FALSE),"")</f>
        <v/>
      </c>
      <c r="AM2477" s="10" t="str">
        <f>IFERROR(VLOOKUP(B2477,'Pre-Summary'!$BG$6:$BL$44,4,FALSE),"")</f>
        <v/>
      </c>
    </row>
    <row r="2478" spans="2:39" ht="15" customHeight="1" x14ac:dyDescent="0.3">
      <c r="B2478">
        <v>247.5</v>
      </c>
      <c r="C2478" t="str">
        <f>IFERROR(VLOOKUP(B2478,'Pre-Summary'!$DI$6:$DM$23,4,FALSE),"")</f>
        <v/>
      </c>
      <c r="D2478" s="10" t="str">
        <f>IFERROR(VLOOKUP(B2478,'Pre-Summary'!$AT$6:$AX$14,5,FALSE),D2477)</f>
        <v>Wolfe v3: went back to modified wolfe + EDTA and switched CuSO4 to CUCl2</v>
      </c>
      <c r="E2478" s="10" t="str">
        <f>IFERROR(VLOOKUP(B2478,'Pre-Summary'!$AT$6:$AX$15,4,FALSE),"")</f>
        <v/>
      </c>
      <c r="F2478">
        <f>IFERROR(VLOOKUP(B2478,'Pre-Summary'!$AL$6:$AQ$13,6,FALSE),F2477)</f>
        <v>5.9405263157894746E-2</v>
      </c>
      <c r="G2478" t="str">
        <f>IFERROR(VLOOKUP(B2478,'Pre-Summary'!$AE$6:$AJ$85,3,FALSE),"")</f>
        <v/>
      </c>
      <c r="H2478" t="str">
        <f>IFERROR(VLOOKUP(B2478,'Pre-Summary'!$AE$6:$AJ$85,4,FALSE),"")</f>
        <v/>
      </c>
      <c r="I2478" t="str">
        <f>IFERROR(VLOOKUP(B2478,'Pre-Summary'!$AE$6:$AJ$85,5,FALSE),"")</f>
        <v/>
      </c>
      <c r="J2478" s="45" t="str">
        <f>IFERROR(VLOOKUP(B2478,'Pre-Summary'!$AE$6:$AJ$85,6, FALSE),"")</f>
        <v/>
      </c>
      <c r="K2478" s="45" t="str">
        <f>IFERROR(VLOOKUP(B2478,'Pre-Summary'!$DE$6:$DG$61,3,FALSE),"")</f>
        <v/>
      </c>
      <c r="L2478" s="45" t="str">
        <f>IFERROR(VLOOKUP(B2478,'Pre-Summary'!$CU$6:$CW$36,3,FALSE),"")</f>
        <v/>
      </c>
      <c r="M2478" s="45" t="str">
        <f>IFERROR(VLOOKUP(B2478,'Pre-Summary'!$BW$6:$BY$58,2,FALSE),"")</f>
        <v/>
      </c>
      <c r="N2478" s="45" t="str">
        <f>IFERROR(VLOOKUP(B2478,'Pre-Summary'!$CD$6:$CF$64,2,FALSE),"")</f>
        <v/>
      </c>
      <c r="O2478" s="99">
        <f>IFERROR(VLOOKUP(B2478,'Pre-Summary'!$BO$6:$BQ$48,3, FALSE),O2477)</f>
        <v>1.508</v>
      </c>
      <c r="P2478" s="99">
        <f>IFERROR(VLOOKUP(B2478,'Pre-Summary'!$BS$6:$BU$35,3,FALSE),P2477)</f>
        <v>0.4</v>
      </c>
      <c r="Q2478" s="54">
        <f t="shared" si="114"/>
        <v>3.77</v>
      </c>
      <c r="R2478" s="53">
        <f>IFERROR(VLOOKUP(B2478,'Pre-Summary'!$BG$6:$BM$44,7,FALSE),R2479)</f>
        <v>0.1051381075353212</v>
      </c>
      <c r="S2478" s="53">
        <f>IFERROR(VLOOKUP(B2478,'Pre-Summary'!$BG$6:$BM$44,6,FALSE),S2479)</f>
        <v>9.6348174087088401E-2</v>
      </c>
      <c r="T2478" s="45" t="str">
        <f>IFERROR(VLOOKUP(B2478,'Pre-Summary'!$Y$6:$AC$83, 3,FALSE),"")</f>
        <v/>
      </c>
      <c r="U2478" s="45" t="str">
        <f>IFERROR(VLOOKUP(B2478,'Pre-Summary'!$Y$6:$AC$83, 4,FALSE),"")</f>
        <v/>
      </c>
      <c r="V2478" t="str">
        <f>IFERROR(VLOOKUP(B2478,'Pre-Summary'!$Y$6:$AC$83, 5,FALSE),"")</f>
        <v/>
      </c>
      <c r="W2478" s="45" t="str">
        <f>IFERROR(VLOOKUP(B2478,'Pre-Summary'!$Y$6:$AD$83,6,FALSE),"")</f>
        <v/>
      </c>
      <c r="X2478" t="str">
        <f>IFERROR(VLOOKUP('Pre-Summary'!$DB$6:$DD$63,3,FALSE),"")</f>
        <v/>
      </c>
      <c r="Y2478" t="str">
        <f>IFERROR(VLOOKUP(B2478,'Pre-Summary'!$CR$6:$CT$36,3,FALSE),"")</f>
        <v/>
      </c>
      <c r="Z2478" s="45" t="str">
        <f>IFERROR(VLOOKUP(B2478,'Pre-Summary'!$BZ$6:$CB$63,2,FALSE),"")</f>
        <v/>
      </c>
      <c r="AA2478" s="45" t="str">
        <f>IFERROR(VLOOKUP(B2478,'Pre-Summary'!$CG$6:$CI$70,2,FALSE),"")</f>
        <v/>
      </c>
      <c r="AB2478" s="99">
        <f>IFERROR(VLOOKUP(B2478,'Pre-Summary'!$A$6:$P$178,9,FALSE),AB2479)</f>
        <v>0.36862727272714263</v>
      </c>
      <c r="AC2478" s="10">
        <f>IFERROR(VLOOKUP(Summary!B2478,'Pre-Summary'!$A$6:$P$184,5, FALSE)/100,AC2479)</f>
        <v>0.94580233333333341</v>
      </c>
      <c r="AD2478" s="10">
        <f>IFERROR(VLOOKUP(Summary!B2478,'Pre-Summary'!$A$6:$P$184,3, FALSE)/100,AD2479)</f>
        <v>4.0728999999999994E-2</v>
      </c>
      <c r="AE2478" s="10">
        <f>IFERROR(VLOOKUP(Summary!B2478,'Pre-Summary'!$A$6:$P$184,7, FALSE)/100,AE2479)</f>
        <v>1.3468333333333334E-2</v>
      </c>
      <c r="AF2478" s="99">
        <f t="shared" si="115"/>
        <v>1.501382019090379E-2</v>
      </c>
      <c r="AG2478" s="99">
        <f t="shared" si="116"/>
        <v>4.9647949848467326E-3</v>
      </c>
      <c r="AH2478" s="10" t="str">
        <f>IFERROR(VLOOKUP(B2478,'Pre-Summary'!$AZ$6:$BE$65,3,FALSE),"")</f>
        <v/>
      </c>
      <c r="AI2478" s="10" t="str">
        <f>IFERROR(VLOOKUP(B2478,'Pre-Summary'!$AZ$6:$BE$65,5,FALSE),"")</f>
        <v/>
      </c>
      <c r="AJ2478" s="10" t="str">
        <f>IFERROR(VLOOKUP(B2478,'Pre-Summary'!$AZ$6:$BE$65,4,FALSE),"")</f>
        <v/>
      </c>
      <c r="AK2478" s="10" t="str">
        <f>IFERROR(VLOOKUP(B2478,'Pre-Summary'!$AZ$6:$BE$65,6,FALSE),"")</f>
        <v/>
      </c>
      <c r="AL2478" s="10" t="str">
        <f>IFERROR(VLOOKUP(B2478,'Pre-Summary'!$BG$6:$BL$44,3,FALSE),"")</f>
        <v/>
      </c>
      <c r="AM2478" s="10" t="str">
        <f>IFERROR(VLOOKUP(B2478,'Pre-Summary'!$BG$6:$BL$44,4,FALSE),"")</f>
        <v/>
      </c>
    </row>
    <row r="2479" spans="2:39" ht="15" customHeight="1" x14ac:dyDescent="0.3">
      <c r="B2479">
        <v>247.6</v>
      </c>
      <c r="C2479" t="str">
        <f>IFERROR(VLOOKUP(B2479,'Pre-Summary'!$DI$6:$DM$23,4,FALSE),"")</f>
        <v/>
      </c>
      <c r="D2479" s="10" t="str">
        <f>IFERROR(VLOOKUP(B2479,'Pre-Summary'!$AT$6:$AX$14,5,FALSE),D2478)</f>
        <v>Wolfe v3: went back to modified wolfe + EDTA and switched CuSO4 to CUCl2</v>
      </c>
      <c r="E2479" s="10" t="str">
        <f>IFERROR(VLOOKUP(B2479,'Pre-Summary'!$AT$6:$AX$15,4,FALSE),"")</f>
        <v/>
      </c>
      <c r="F2479">
        <f>IFERROR(VLOOKUP(B2479,'Pre-Summary'!$AL$6:$AQ$13,6,FALSE),F2478)</f>
        <v>5.9405263157894746E-2</v>
      </c>
      <c r="G2479" t="str">
        <f>IFERROR(VLOOKUP(B2479,'Pre-Summary'!$AE$6:$AJ$85,3,FALSE),"")</f>
        <v/>
      </c>
      <c r="H2479" t="str">
        <f>IFERROR(VLOOKUP(B2479,'Pre-Summary'!$AE$6:$AJ$85,4,FALSE),"")</f>
        <v/>
      </c>
      <c r="I2479" t="str">
        <f>IFERROR(VLOOKUP(B2479,'Pre-Summary'!$AE$6:$AJ$85,5,FALSE),"")</f>
        <v/>
      </c>
      <c r="J2479" s="45" t="str">
        <f>IFERROR(VLOOKUP(B2479,'Pre-Summary'!$AE$6:$AJ$85,6, FALSE),"")</f>
        <v/>
      </c>
      <c r="K2479" s="45" t="str">
        <f>IFERROR(VLOOKUP(B2479,'Pre-Summary'!$DE$6:$DG$61,3,FALSE),"")</f>
        <v/>
      </c>
      <c r="L2479" s="45" t="str">
        <f>IFERROR(VLOOKUP(B2479,'Pre-Summary'!$CU$6:$CW$36,3,FALSE),"")</f>
        <v/>
      </c>
      <c r="M2479" s="45" t="str">
        <f>IFERROR(VLOOKUP(B2479,'Pre-Summary'!$BW$6:$BY$58,2,FALSE),"")</f>
        <v/>
      </c>
      <c r="N2479" s="45" t="str">
        <f>IFERROR(VLOOKUP(B2479,'Pre-Summary'!$CD$6:$CF$64,2,FALSE),"")</f>
        <v/>
      </c>
      <c r="O2479" s="99">
        <f>IFERROR(VLOOKUP(B2479,'Pre-Summary'!$BO$6:$BQ$48,3, FALSE),O2478)</f>
        <v>1.508</v>
      </c>
      <c r="P2479" s="99">
        <f>IFERROR(VLOOKUP(B2479,'Pre-Summary'!$BS$6:$BU$35,3,FALSE),P2478)</f>
        <v>0.4</v>
      </c>
      <c r="Q2479" s="54">
        <f t="shared" si="114"/>
        <v>3.77</v>
      </c>
      <c r="R2479" s="53">
        <f>IFERROR(VLOOKUP(B2479,'Pre-Summary'!$BG$6:$BM$44,7,FALSE),R2480)</f>
        <v>0.1051381075353212</v>
      </c>
      <c r="S2479" s="53">
        <f>IFERROR(VLOOKUP(B2479,'Pre-Summary'!$BG$6:$BM$44,6,FALSE),S2480)</f>
        <v>9.6348174087088401E-2</v>
      </c>
      <c r="T2479" s="45" t="str">
        <f>IFERROR(VLOOKUP(B2479,'Pre-Summary'!$Y$6:$AC$83, 3,FALSE),"")</f>
        <v/>
      </c>
      <c r="U2479" s="45" t="str">
        <f>IFERROR(VLOOKUP(B2479,'Pre-Summary'!$Y$6:$AC$83, 4,FALSE),"")</f>
        <v/>
      </c>
      <c r="V2479" t="str">
        <f>IFERROR(VLOOKUP(B2479,'Pre-Summary'!$Y$6:$AC$83, 5,FALSE),"")</f>
        <v/>
      </c>
      <c r="W2479" s="45" t="str">
        <f>IFERROR(VLOOKUP(B2479,'Pre-Summary'!$Y$6:$AD$83,6,FALSE),"")</f>
        <v/>
      </c>
      <c r="X2479" t="str">
        <f>IFERROR(VLOOKUP('Pre-Summary'!$DB$6:$DD$63,3,FALSE),"")</f>
        <v/>
      </c>
      <c r="Y2479" t="str">
        <f>IFERROR(VLOOKUP(B2479,'Pre-Summary'!$CR$6:$CT$36,3,FALSE),"")</f>
        <v/>
      </c>
      <c r="Z2479" s="45" t="str">
        <f>IFERROR(VLOOKUP(B2479,'Pre-Summary'!$BZ$6:$CB$63,2,FALSE),"")</f>
        <v/>
      </c>
      <c r="AA2479" s="45" t="str">
        <f>IFERROR(VLOOKUP(B2479,'Pre-Summary'!$CG$6:$CI$70,2,FALSE),"")</f>
        <v/>
      </c>
      <c r="AB2479" s="99">
        <f>IFERROR(VLOOKUP(B2479,'Pre-Summary'!$A$6:$P$178,9,FALSE),AB2480)</f>
        <v>0.36862727272714263</v>
      </c>
      <c r="AC2479" s="10">
        <f>IFERROR(VLOOKUP(Summary!B2479,'Pre-Summary'!$A$6:$P$184,5, FALSE)/100,AC2480)</f>
        <v>0.94580233333333341</v>
      </c>
      <c r="AD2479" s="10">
        <f>IFERROR(VLOOKUP(Summary!B2479,'Pre-Summary'!$A$6:$P$184,3, FALSE)/100,AD2480)</f>
        <v>4.0728999999999994E-2</v>
      </c>
      <c r="AE2479" s="10">
        <f>IFERROR(VLOOKUP(Summary!B2479,'Pre-Summary'!$A$6:$P$184,7, FALSE)/100,AE2480)</f>
        <v>1.3468333333333334E-2</v>
      </c>
      <c r="AF2479" s="99">
        <f t="shared" si="115"/>
        <v>1.501382019090379E-2</v>
      </c>
      <c r="AG2479" s="99">
        <f t="shared" si="116"/>
        <v>4.9647949848467326E-3</v>
      </c>
      <c r="AH2479" s="10" t="str">
        <f>IFERROR(VLOOKUP(B2479,'Pre-Summary'!$AZ$6:$BE$65,3,FALSE),"")</f>
        <v/>
      </c>
      <c r="AI2479" s="10" t="str">
        <f>IFERROR(VLOOKUP(B2479,'Pre-Summary'!$AZ$6:$BE$65,5,FALSE),"")</f>
        <v/>
      </c>
      <c r="AJ2479" s="10" t="str">
        <f>IFERROR(VLOOKUP(B2479,'Pre-Summary'!$AZ$6:$BE$65,4,FALSE),"")</f>
        <v/>
      </c>
      <c r="AK2479" s="10" t="str">
        <f>IFERROR(VLOOKUP(B2479,'Pre-Summary'!$AZ$6:$BE$65,6,FALSE),"")</f>
        <v/>
      </c>
      <c r="AL2479" s="10" t="str">
        <f>IFERROR(VLOOKUP(B2479,'Pre-Summary'!$BG$6:$BL$44,3,FALSE),"")</f>
        <v/>
      </c>
      <c r="AM2479" s="10" t="str">
        <f>IFERROR(VLOOKUP(B2479,'Pre-Summary'!$BG$6:$BL$44,4,FALSE),"")</f>
        <v/>
      </c>
    </row>
    <row r="2480" spans="2:39" ht="15" customHeight="1" x14ac:dyDescent="0.3">
      <c r="B2480">
        <v>247.7</v>
      </c>
      <c r="C2480" t="str">
        <f>IFERROR(VLOOKUP(B2480,'Pre-Summary'!$DI$6:$DM$23,4,FALSE),"")</f>
        <v/>
      </c>
      <c r="D2480" s="10" t="str">
        <f>IFERROR(VLOOKUP(B2480,'Pre-Summary'!$AT$6:$AX$14,5,FALSE),D2479)</f>
        <v>Wolfe v3: went back to modified wolfe + EDTA and switched CuSO4 to CUCl2</v>
      </c>
      <c r="E2480" s="10" t="str">
        <f>IFERROR(VLOOKUP(B2480,'Pre-Summary'!$AT$6:$AX$15,4,FALSE),"")</f>
        <v/>
      </c>
      <c r="F2480">
        <f>IFERROR(VLOOKUP(B2480,'Pre-Summary'!$AL$6:$AQ$13,6,FALSE),F2479)</f>
        <v>5.9405263157894746E-2</v>
      </c>
      <c r="G2480" t="str">
        <f>IFERROR(VLOOKUP(B2480,'Pre-Summary'!$AE$6:$AJ$85,3,FALSE),"")</f>
        <v/>
      </c>
      <c r="H2480" t="str">
        <f>IFERROR(VLOOKUP(B2480,'Pre-Summary'!$AE$6:$AJ$85,4,FALSE),"")</f>
        <v/>
      </c>
      <c r="I2480" t="str">
        <f>IFERROR(VLOOKUP(B2480,'Pre-Summary'!$AE$6:$AJ$85,5,FALSE),"")</f>
        <v/>
      </c>
      <c r="J2480" s="45" t="str">
        <f>IFERROR(VLOOKUP(B2480,'Pre-Summary'!$AE$6:$AJ$85,6, FALSE),"")</f>
        <v/>
      </c>
      <c r="K2480" s="45" t="str">
        <f>IFERROR(VLOOKUP(B2480,'Pre-Summary'!$DE$6:$DG$61,3,FALSE),"")</f>
        <v/>
      </c>
      <c r="L2480" s="45" t="str">
        <f>IFERROR(VLOOKUP(B2480,'Pre-Summary'!$CU$6:$CW$36,3,FALSE),"")</f>
        <v/>
      </c>
      <c r="M2480" s="45" t="str">
        <f>IFERROR(VLOOKUP(B2480,'Pre-Summary'!$BW$6:$BY$58,2,FALSE),"")</f>
        <v/>
      </c>
      <c r="N2480" s="45" t="str">
        <f>IFERROR(VLOOKUP(B2480,'Pre-Summary'!$CD$6:$CF$64,2,FALSE),"")</f>
        <v/>
      </c>
      <c r="O2480" s="99">
        <f>IFERROR(VLOOKUP(B2480,'Pre-Summary'!$BO$6:$BQ$48,3, FALSE),O2479)</f>
        <v>1.508</v>
      </c>
      <c r="P2480" s="99">
        <f>IFERROR(VLOOKUP(B2480,'Pre-Summary'!$BS$6:$BU$35,3,FALSE),P2479)</f>
        <v>0.4</v>
      </c>
      <c r="Q2480" s="54">
        <f t="shared" si="114"/>
        <v>3.77</v>
      </c>
      <c r="R2480" s="53">
        <f>IFERROR(VLOOKUP(B2480,'Pre-Summary'!$BG$6:$BM$44,7,FALSE),R2481)</f>
        <v>0.1051381075353212</v>
      </c>
      <c r="S2480" s="53">
        <f>IFERROR(VLOOKUP(B2480,'Pre-Summary'!$BG$6:$BM$44,6,FALSE),S2481)</f>
        <v>9.6348174087088401E-2</v>
      </c>
      <c r="T2480" s="45" t="str">
        <f>IFERROR(VLOOKUP(B2480,'Pre-Summary'!$Y$6:$AC$83, 3,FALSE),"")</f>
        <v/>
      </c>
      <c r="U2480" s="45" t="str">
        <f>IFERROR(VLOOKUP(B2480,'Pre-Summary'!$Y$6:$AC$83, 4,FALSE),"")</f>
        <v/>
      </c>
      <c r="V2480" t="str">
        <f>IFERROR(VLOOKUP(B2480,'Pre-Summary'!$Y$6:$AC$83, 5,FALSE),"")</f>
        <v/>
      </c>
      <c r="W2480" s="45" t="str">
        <f>IFERROR(VLOOKUP(B2480,'Pre-Summary'!$Y$6:$AD$83,6,FALSE),"")</f>
        <v/>
      </c>
      <c r="X2480" t="str">
        <f>IFERROR(VLOOKUP('Pre-Summary'!$DB$6:$DD$63,3,FALSE),"")</f>
        <v/>
      </c>
      <c r="Y2480" t="str">
        <f>IFERROR(VLOOKUP(B2480,'Pre-Summary'!$CR$6:$CT$36,3,FALSE),"")</f>
        <v/>
      </c>
      <c r="Z2480" s="45" t="str">
        <f>IFERROR(VLOOKUP(B2480,'Pre-Summary'!$BZ$6:$CB$63,2,FALSE),"")</f>
        <v/>
      </c>
      <c r="AA2480" s="45" t="str">
        <f>IFERROR(VLOOKUP(B2480,'Pre-Summary'!$CG$6:$CI$70,2,FALSE),"")</f>
        <v/>
      </c>
      <c r="AB2480" s="99">
        <f>IFERROR(VLOOKUP(B2480,'Pre-Summary'!$A$6:$P$178,9,FALSE),AB2481)</f>
        <v>0.36862727272714263</v>
      </c>
      <c r="AC2480" s="10">
        <f>IFERROR(VLOOKUP(Summary!B2480,'Pre-Summary'!$A$6:$P$184,5, FALSE)/100,AC2481)</f>
        <v>0.94580233333333341</v>
      </c>
      <c r="AD2480" s="10">
        <f>IFERROR(VLOOKUP(Summary!B2480,'Pre-Summary'!$A$6:$P$184,3, FALSE)/100,AD2481)</f>
        <v>4.0728999999999994E-2</v>
      </c>
      <c r="AE2480" s="10">
        <f>IFERROR(VLOOKUP(Summary!B2480,'Pre-Summary'!$A$6:$P$184,7, FALSE)/100,AE2481)</f>
        <v>1.3468333333333334E-2</v>
      </c>
      <c r="AF2480" s="99">
        <f t="shared" si="115"/>
        <v>1.501382019090379E-2</v>
      </c>
      <c r="AG2480" s="99">
        <f t="shared" si="116"/>
        <v>4.9647949848467326E-3</v>
      </c>
      <c r="AH2480" s="10" t="str">
        <f>IFERROR(VLOOKUP(B2480,'Pre-Summary'!$AZ$6:$BE$65,3,FALSE),"")</f>
        <v/>
      </c>
      <c r="AI2480" s="10" t="str">
        <f>IFERROR(VLOOKUP(B2480,'Pre-Summary'!$AZ$6:$BE$65,5,FALSE),"")</f>
        <v/>
      </c>
      <c r="AJ2480" s="10" t="str">
        <f>IFERROR(VLOOKUP(B2480,'Pre-Summary'!$AZ$6:$BE$65,4,FALSE),"")</f>
        <v/>
      </c>
      <c r="AK2480" s="10" t="str">
        <f>IFERROR(VLOOKUP(B2480,'Pre-Summary'!$AZ$6:$BE$65,6,FALSE),"")</f>
        <v/>
      </c>
      <c r="AL2480" s="10" t="str">
        <f>IFERROR(VLOOKUP(B2480,'Pre-Summary'!$BG$6:$BL$44,3,FALSE),"")</f>
        <v/>
      </c>
      <c r="AM2480" s="10" t="str">
        <f>IFERROR(VLOOKUP(B2480,'Pre-Summary'!$BG$6:$BL$44,4,FALSE),"")</f>
        <v/>
      </c>
    </row>
    <row r="2481" spans="2:39" ht="15" customHeight="1" x14ac:dyDescent="0.3">
      <c r="B2481">
        <v>247.8</v>
      </c>
      <c r="C2481" t="str">
        <f>IFERROR(VLOOKUP(B2481,'Pre-Summary'!$DI$6:$DM$23,4,FALSE),"")</f>
        <v/>
      </c>
      <c r="D2481" s="10" t="str">
        <f>IFERROR(VLOOKUP(B2481,'Pre-Summary'!$AT$6:$AX$14,5,FALSE),D2480)</f>
        <v>Wolfe v3: went back to modified wolfe + EDTA and switched CuSO4 to CUCl2</v>
      </c>
      <c r="E2481" s="10" t="str">
        <f>IFERROR(VLOOKUP(B2481,'Pre-Summary'!$AT$6:$AX$15,4,FALSE),"")</f>
        <v/>
      </c>
      <c r="F2481">
        <f>IFERROR(VLOOKUP(B2481,'Pre-Summary'!$AL$6:$AQ$13,6,FALSE),F2480)</f>
        <v>5.9405263157894746E-2</v>
      </c>
      <c r="G2481" t="str">
        <f>IFERROR(VLOOKUP(B2481,'Pre-Summary'!$AE$6:$AJ$85,3,FALSE),"")</f>
        <v/>
      </c>
      <c r="H2481" t="str">
        <f>IFERROR(VLOOKUP(B2481,'Pre-Summary'!$AE$6:$AJ$85,4,FALSE),"")</f>
        <v/>
      </c>
      <c r="I2481" t="str">
        <f>IFERROR(VLOOKUP(B2481,'Pre-Summary'!$AE$6:$AJ$85,5,FALSE),"")</f>
        <v/>
      </c>
      <c r="J2481" s="45" t="str">
        <f>IFERROR(VLOOKUP(B2481,'Pre-Summary'!$AE$6:$AJ$85,6, FALSE),"")</f>
        <v/>
      </c>
      <c r="K2481" s="45" t="str">
        <f>IFERROR(VLOOKUP(B2481,'Pre-Summary'!$DE$6:$DG$61,3,FALSE),"")</f>
        <v/>
      </c>
      <c r="L2481" s="45" t="str">
        <f>IFERROR(VLOOKUP(B2481,'Pre-Summary'!$CU$6:$CW$36,3,FALSE),"")</f>
        <v/>
      </c>
      <c r="M2481" s="45" t="str">
        <f>IFERROR(VLOOKUP(B2481,'Pre-Summary'!$BW$6:$BY$58,2,FALSE),"")</f>
        <v/>
      </c>
      <c r="N2481" s="45" t="str">
        <f>IFERROR(VLOOKUP(B2481,'Pre-Summary'!$CD$6:$CF$64,2,FALSE),"")</f>
        <v/>
      </c>
      <c r="O2481" s="99">
        <f>IFERROR(VLOOKUP(B2481,'Pre-Summary'!$BO$6:$BQ$48,3, FALSE),O2480)</f>
        <v>1.508</v>
      </c>
      <c r="P2481" s="99">
        <f>IFERROR(VLOOKUP(B2481,'Pre-Summary'!$BS$6:$BU$35,3,FALSE),P2480)</f>
        <v>0.4</v>
      </c>
      <c r="Q2481" s="54">
        <f t="shared" si="114"/>
        <v>3.77</v>
      </c>
      <c r="R2481" s="53">
        <f>IFERROR(VLOOKUP(B2481,'Pre-Summary'!$BG$6:$BM$44,7,FALSE),R2482)</f>
        <v>0.1051381075353212</v>
      </c>
      <c r="S2481" s="53">
        <f>IFERROR(VLOOKUP(B2481,'Pre-Summary'!$BG$6:$BM$44,6,FALSE),S2482)</f>
        <v>9.6348174087088401E-2</v>
      </c>
      <c r="T2481" s="45" t="str">
        <f>IFERROR(VLOOKUP(B2481,'Pre-Summary'!$Y$6:$AC$83, 3,FALSE),"")</f>
        <v/>
      </c>
      <c r="U2481" s="45" t="str">
        <f>IFERROR(VLOOKUP(B2481,'Pre-Summary'!$Y$6:$AC$83, 4,FALSE),"")</f>
        <v/>
      </c>
      <c r="V2481" t="str">
        <f>IFERROR(VLOOKUP(B2481,'Pre-Summary'!$Y$6:$AC$83, 5,FALSE),"")</f>
        <v/>
      </c>
      <c r="W2481" s="45" t="str">
        <f>IFERROR(VLOOKUP(B2481,'Pre-Summary'!$Y$6:$AD$83,6,FALSE),"")</f>
        <v/>
      </c>
      <c r="X2481" t="str">
        <f>IFERROR(VLOOKUP('Pre-Summary'!$DB$6:$DD$63,3,FALSE),"")</f>
        <v/>
      </c>
      <c r="Y2481" t="str">
        <f>IFERROR(VLOOKUP(B2481,'Pre-Summary'!$CR$6:$CT$36,3,FALSE),"")</f>
        <v/>
      </c>
      <c r="Z2481" s="45" t="str">
        <f>IFERROR(VLOOKUP(B2481,'Pre-Summary'!$BZ$6:$CB$63,2,FALSE),"")</f>
        <v/>
      </c>
      <c r="AA2481" s="45" t="str">
        <f>IFERROR(VLOOKUP(B2481,'Pre-Summary'!$CG$6:$CI$70,2,FALSE),"")</f>
        <v/>
      </c>
      <c r="AB2481" s="99">
        <f>IFERROR(VLOOKUP(B2481,'Pre-Summary'!$A$6:$P$178,9,FALSE),AB2482)</f>
        <v>0.36862727272714263</v>
      </c>
      <c r="AC2481" s="10">
        <f>IFERROR(VLOOKUP(Summary!B2481,'Pre-Summary'!$A$6:$P$184,5, FALSE)/100,AC2482)</f>
        <v>0.94580233333333341</v>
      </c>
      <c r="AD2481" s="10">
        <f>IFERROR(VLOOKUP(Summary!B2481,'Pre-Summary'!$A$6:$P$184,3, FALSE)/100,AD2482)</f>
        <v>4.0728999999999994E-2</v>
      </c>
      <c r="AE2481" s="10">
        <f>IFERROR(VLOOKUP(Summary!B2481,'Pre-Summary'!$A$6:$P$184,7, FALSE)/100,AE2482)</f>
        <v>1.3468333333333334E-2</v>
      </c>
      <c r="AF2481" s="99">
        <f t="shared" si="115"/>
        <v>1.501382019090379E-2</v>
      </c>
      <c r="AG2481" s="99">
        <f t="shared" si="116"/>
        <v>4.9647949848467326E-3</v>
      </c>
      <c r="AH2481" s="10" t="str">
        <f>IFERROR(VLOOKUP(B2481,'Pre-Summary'!$AZ$6:$BE$65,3,FALSE),"")</f>
        <v/>
      </c>
      <c r="AI2481" s="10" t="str">
        <f>IFERROR(VLOOKUP(B2481,'Pre-Summary'!$AZ$6:$BE$65,5,FALSE),"")</f>
        <v/>
      </c>
      <c r="AJ2481" s="10" t="str">
        <f>IFERROR(VLOOKUP(B2481,'Pre-Summary'!$AZ$6:$BE$65,4,FALSE),"")</f>
        <v/>
      </c>
      <c r="AK2481" s="10" t="str">
        <f>IFERROR(VLOOKUP(B2481,'Pre-Summary'!$AZ$6:$BE$65,6,FALSE),"")</f>
        <v/>
      </c>
      <c r="AL2481" s="10" t="str">
        <f>IFERROR(VLOOKUP(B2481,'Pre-Summary'!$BG$6:$BL$44,3,FALSE),"")</f>
        <v/>
      </c>
      <c r="AM2481" s="10" t="str">
        <f>IFERROR(VLOOKUP(B2481,'Pre-Summary'!$BG$6:$BL$44,4,FALSE),"")</f>
        <v/>
      </c>
    </row>
    <row r="2482" spans="2:39" ht="15" customHeight="1" x14ac:dyDescent="0.3">
      <c r="B2482">
        <v>247.9</v>
      </c>
      <c r="C2482" t="str">
        <f>IFERROR(VLOOKUP(B2482,'Pre-Summary'!$DI$6:$DM$23,4,FALSE),"")</f>
        <v/>
      </c>
      <c r="D2482" s="10" t="str">
        <f>IFERROR(VLOOKUP(B2482,'Pre-Summary'!$AT$6:$AX$14,5,FALSE),D2481)</f>
        <v>Wolfe v3: went back to modified wolfe + EDTA and switched CuSO4 to CUCl2</v>
      </c>
      <c r="E2482" s="10" t="str">
        <f>IFERROR(VLOOKUP(B2482,'Pre-Summary'!$AT$6:$AX$15,4,FALSE),"")</f>
        <v/>
      </c>
      <c r="F2482">
        <f>IFERROR(VLOOKUP(B2482,'Pre-Summary'!$AL$6:$AQ$13,6,FALSE),F2481)</f>
        <v>5.9405263157894746E-2</v>
      </c>
      <c r="G2482" t="str">
        <f>IFERROR(VLOOKUP(B2482,'Pre-Summary'!$AE$6:$AJ$85,3,FALSE),"")</f>
        <v/>
      </c>
      <c r="H2482" t="str">
        <f>IFERROR(VLOOKUP(B2482,'Pre-Summary'!$AE$6:$AJ$85,4,FALSE),"")</f>
        <v/>
      </c>
      <c r="I2482" t="str">
        <f>IFERROR(VLOOKUP(B2482,'Pre-Summary'!$AE$6:$AJ$85,5,FALSE),"")</f>
        <v/>
      </c>
      <c r="J2482" s="45" t="str">
        <f>IFERROR(VLOOKUP(B2482,'Pre-Summary'!$AE$6:$AJ$85,6, FALSE),"")</f>
        <v/>
      </c>
      <c r="K2482" s="45" t="str">
        <f>IFERROR(VLOOKUP(B2482,'Pre-Summary'!$DE$6:$DG$61,3,FALSE),"")</f>
        <v/>
      </c>
      <c r="L2482" s="45" t="str">
        <f>IFERROR(VLOOKUP(B2482,'Pre-Summary'!$CU$6:$CW$36,3,FALSE),"")</f>
        <v/>
      </c>
      <c r="M2482" s="45" t="str">
        <f>IFERROR(VLOOKUP(B2482,'Pre-Summary'!$BW$6:$BY$58,2,FALSE),"")</f>
        <v/>
      </c>
      <c r="N2482" s="45" t="str">
        <f>IFERROR(VLOOKUP(B2482,'Pre-Summary'!$CD$6:$CF$64,2,FALSE),"")</f>
        <v/>
      </c>
      <c r="O2482" s="99">
        <f>IFERROR(VLOOKUP(B2482,'Pre-Summary'!$BO$6:$BQ$48,3, FALSE),O2481)</f>
        <v>1.508</v>
      </c>
      <c r="P2482" s="99">
        <f>IFERROR(VLOOKUP(B2482,'Pre-Summary'!$BS$6:$BU$35,3,FALSE),P2481)</f>
        <v>0.4</v>
      </c>
      <c r="Q2482" s="54">
        <f t="shared" si="114"/>
        <v>3.77</v>
      </c>
      <c r="R2482" s="53">
        <f>IFERROR(VLOOKUP(B2482,'Pre-Summary'!$BG$6:$BM$44,7,FALSE),R2483)</f>
        <v>0.1051381075353212</v>
      </c>
      <c r="S2482" s="53">
        <f>IFERROR(VLOOKUP(B2482,'Pre-Summary'!$BG$6:$BM$44,6,FALSE),S2483)</f>
        <v>9.6348174087088401E-2</v>
      </c>
      <c r="T2482" s="45" t="str">
        <f>IFERROR(VLOOKUP(B2482,'Pre-Summary'!$Y$6:$AC$83, 3,FALSE),"")</f>
        <v/>
      </c>
      <c r="U2482" s="45" t="str">
        <f>IFERROR(VLOOKUP(B2482,'Pre-Summary'!$Y$6:$AC$83, 4,FALSE),"")</f>
        <v/>
      </c>
      <c r="V2482" t="str">
        <f>IFERROR(VLOOKUP(B2482,'Pre-Summary'!$Y$6:$AC$83, 5,FALSE),"")</f>
        <v/>
      </c>
      <c r="W2482" s="45" t="str">
        <f>IFERROR(VLOOKUP(B2482,'Pre-Summary'!$Y$6:$AD$83,6,FALSE),"")</f>
        <v/>
      </c>
      <c r="X2482" t="str">
        <f>IFERROR(VLOOKUP('Pre-Summary'!$DB$6:$DD$63,3,FALSE),"")</f>
        <v/>
      </c>
      <c r="Y2482" t="str">
        <f>IFERROR(VLOOKUP(B2482,'Pre-Summary'!$CR$6:$CT$36,3,FALSE),"")</f>
        <v/>
      </c>
      <c r="Z2482" s="45" t="str">
        <f>IFERROR(VLOOKUP(B2482,'Pre-Summary'!$BZ$6:$CB$63,2,FALSE),"")</f>
        <v/>
      </c>
      <c r="AA2482" s="45" t="str">
        <f>IFERROR(VLOOKUP(B2482,'Pre-Summary'!$CG$6:$CI$70,2,FALSE),"")</f>
        <v/>
      </c>
      <c r="AB2482" s="99">
        <f>IFERROR(VLOOKUP(B2482,'Pre-Summary'!$A$6:$P$178,9,FALSE),AB2483)</f>
        <v>0.36862727272714263</v>
      </c>
      <c r="AC2482" s="10">
        <f>IFERROR(VLOOKUP(Summary!B2482,'Pre-Summary'!$A$6:$P$184,5, FALSE)/100,AC2483)</f>
        <v>0.94580233333333341</v>
      </c>
      <c r="AD2482" s="10">
        <f>IFERROR(VLOOKUP(Summary!B2482,'Pre-Summary'!$A$6:$P$184,3, FALSE)/100,AD2483)</f>
        <v>4.0728999999999994E-2</v>
      </c>
      <c r="AE2482" s="10">
        <f>IFERROR(VLOOKUP(Summary!B2482,'Pre-Summary'!$A$6:$P$184,7, FALSE)/100,AE2483)</f>
        <v>1.3468333333333334E-2</v>
      </c>
      <c r="AF2482" s="99">
        <f t="shared" si="115"/>
        <v>1.501382019090379E-2</v>
      </c>
      <c r="AG2482" s="99">
        <f t="shared" si="116"/>
        <v>4.9647949848467326E-3</v>
      </c>
      <c r="AH2482" s="10" t="str">
        <f>IFERROR(VLOOKUP(B2482,'Pre-Summary'!$AZ$6:$BE$65,3,FALSE),"")</f>
        <v/>
      </c>
      <c r="AI2482" s="10" t="str">
        <f>IFERROR(VLOOKUP(B2482,'Pre-Summary'!$AZ$6:$BE$65,5,FALSE),"")</f>
        <v/>
      </c>
      <c r="AJ2482" s="10" t="str">
        <f>IFERROR(VLOOKUP(B2482,'Pre-Summary'!$AZ$6:$BE$65,4,FALSE),"")</f>
        <v/>
      </c>
      <c r="AK2482" s="10" t="str">
        <f>IFERROR(VLOOKUP(B2482,'Pre-Summary'!$AZ$6:$BE$65,6,FALSE),"")</f>
        <v/>
      </c>
      <c r="AL2482" s="10" t="str">
        <f>IFERROR(VLOOKUP(B2482,'Pre-Summary'!$BG$6:$BL$44,3,FALSE),"")</f>
        <v/>
      </c>
      <c r="AM2482" s="10" t="str">
        <f>IFERROR(VLOOKUP(B2482,'Pre-Summary'!$BG$6:$BL$44,4,FALSE),"")</f>
        <v/>
      </c>
    </row>
    <row r="2483" spans="2:39" ht="15" customHeight="1" x14ac:dyDescent="0.3">
      <c r="B2483">
        <v>248</v>
      </c>
      <c r="C2483" t="str">
        <f>IFERROR(VLOOKUP(B2483,'Pre-Summary'!$DI$6:$DM$23,4,FALSE),"")</f>
        <v/>
      </c>
      <c r="D2483" s="10" t="str">
        <f>IFERROR(VLOOKUP(B2483,'Pre-Summary'!$AT$6:$AX$14,5,FALSE),D2482)</f>
        <v>Wolfe v3: went back to modified wolfe + EDTA and switched CuSO4 to CUCl2</v>
      </c>
      <c r="E2483" s="10" t="str">
        <f>IFERROR(VLOOKUP(B2483,'Pre-Summary'!$AT$6:$AX$15,4,FALSE),"")</f>
        <v/>
      </c>
      <c r="F2483">
        <f>IFERROR(VLOOKUP(B2483,'Pre-Summary'!$AL$6:$AQ$13,6,FALSE),F2482)</f>
        <v>5.9405263157894746E-2</v>
      </c>
      <c r="G2483" t="str">
        <f>IFERROR(VLOOKUP(B2483,'Pre-Summary'!$AE$6:$AJ$85,3,FALSE),"")</f>
        <v/>
      </c>
      <c r="H2483" t="str">
        <f>IFERROR(VLOOKUP(B2483,'Pre-Summary'!$AE$6:$AJ$85,4,FALSE),"")</f>
        <v/>
      </c>
      <c r="I2483" t="str">
        <f>IFERROR(VLOOKUP(B2483,'Pre-Summary'!$AE$6:$AJ$85,5,FALSE),"")</f>
        <v/>
      </c>
      <c r="J2483" s="45" t="str">
        <f>IFERROR(VLOOKUP(B2483,'Pre-Summary'!$AE$6:$AJ$85,6, FALSE),"")</f>
        <v/>
      </c>
      <c r="K2483" s="45" t="str">
        <f>IFERROR(VLOOKUP(B2483,'Pre-Summary'!$DE$6:$DG$61,3,FALSE),"")</f>
        <v/>
      </c>
      <c r="L2483" s="45" t="str">
        <f>IFERROR(VLOOKUP(B2483,'Pre-Summary'!$CU$6:$CW$36,3,FALSE),"")</f>
        <v/>
      </c>
      <c r="M2483" s="45" t="str">
        <f>IFERROR(VLOOKUP(B2483,'Pre-Summary'!$BW$6:$BY$58,2,FALSE),"")</f>
        <v/>
      </c>
      <c r="N2483" s="45" t="str">
        <f>IFERROR(VLOOKUP(B2483,'Pre-Summary'!$CD$6:$CF$64,2,FALSE),"")</f>
        <v/>
      </c>
      <c r="O2483" s="99">
        <f>IFERROR(VLOOKUP(B2483,'Pre-Summary'!$BO$6:$BQ$48,3, FALSE),O2482)</f>
        <v>1.508</v>
      </c>
      <c r="P2483" s="99">
        <f>IFERROR(VLOOKUP(B2483,'Pre-Summary'!$BS$6:$BU$35,3,FALSE),P2482)</f>
        <v>0.4</v>
      </c>
      <c r="Q2483" s="54">
        <f t="shared" si="114"/>
        <v>3.77</v>
      </c>
      <c r="R2483" s="53">
        <f>IFERROR(VLOOKUP(B2483,'Pre-Summary'!$BG$6:$BM$44,7,FALSE),R2484)</f>
        <v>0.1051381075353212</v>
      </c>
      <c r="S2483" s="53">
        <f>IFERROR(VLOOKUP(B2483,'Pre-Summary'!$BG$6:$BM$44,6,FALSE),S2484)</f>
        <v>9.6348174087088401E-2</v>
      </c>
      <c r="T2483" s="45" t="str">
        <f>IFERROR(VLOOKUP(B2483,'Pre-Summary'!$Y$6:$AC$83, 3,FALSE),"")</f>
        <v/>
      </c>
      <c r="U2483" s="45" t="str">
        <f>IFERROR(VLOOKUP(B2483,'Pre-Summary'!$Y$6:$AC$83, 4,FALSE),"")</f>
        <v/>
      </c>
      <c r="V2483" t="str">
        <f>IFERROR(VLOOKUP(B2483,'Pre-Summary'!$Y$6:$AC$83, 5,FALSE),"")</f>
        <v/>
      </c>
      <c r="W2483" s="45" t="str">
        <f>IFERROR(VLOOKUP(B2483,'Pre-Summary'!$Y$6:$AD$83,6,FALSE),"")</f>
        <v/>
      </c>
      <c r="X2483" t="str">
        <f>IFERROR(VLOOKUP('Pre-Summary'!$DB$6:$DD$63,3,FALSE),"")</f>
        <v/>
      </c>
      <c r="Y2483" t="str">
        <f>IFERROR(VLOOKUP(B2483,'Pre-Summary'!$CR$6:$CT$36,3,FALSE),"")</f>
        <v/>
      </c>
      <c r="Z2483" s="45" t="str">
        <f>IFERROR(VLOOKUP(B2483,'Pre-Summary'!$BZ$6:$CB$63,2,FALSE),"")</f>
        <v/>
      </c>
      <c r="AA2483" s="45" t="str">
        <f>IFERROR(VLOOKUP(B2483,'Pre-Summary'!$CG$6:$CI$70,2,FALSE),"")</f>
        <v/>
      </c>
      <c r="AB2483" s="99">
        <f>IFERROR(VLOOKUP(B2483,'Pre-Summary'!$A$6:$P$178,9,FALSE),AB2484)</f>
        <v>0.35236427409982735</v>
      </c>
      <c r="AC2483" s="10">
        <f>IFERROR(VLOOKUP(Summary!B2483,'Pre-Summary'!$A$6:$P$184,5, FALSE)/100,AC2484)</f>
        <v>0.96895166666666666</v>
      </c>
      <c r="AD2483" s="10">
        <f>IFERROR(VLOOKUP(Summary!B2483,'Pre-Summary'!$A$6:$P$184,3, FALSE)/100,AD2484)</f>
        <v>2.0058333333333334E-2</v>
      </c>
      <c r="AE2483" s="10">
        <f>IFERROR(VLOOKUP(Summary!B2483,'Pre-Summary'!$A$6:$P$184,7, FALSE)/100,AE2484)</f>
        <v>1.0990333333333335E-2</v>
      </c>
      <c r="AF2483" s="99">
        <f t="shared" si="115"/>
        <v>7.0678400646523708E-3</v>
      </c>
      <c r="AG2483" s="99">
        <f t="shared" si="116"/>
        <v>3.8726008271151363E-3</v>
      </c>
      <c r="AH2483" s="10" t="str">
        <f>IFERROR(VLOOKUP(B2483,'Pre-Summary'!$AZ$6:$BE$65,3,FALSE),"")</f>
        <v/>
      </c>
      <c r="AI2483" s="10" t="str">
        <f>IFERROR(VLOOKUP(B2483,'Pre-Summary'!$AZ$6:$BE$65,5,FALSE),"")</f>
        <v/>
      </c>
      <c r="AJ2483" s="10" t="str">
        <f>IFERROR(VLOOKUP(B2483,'Pre-Summary'!$AZ$6:$BE$65,4,FALSE),"")</f>
        <v/>
      </c>
      <c r="AK2483" s="10" t="str">
        <f>IFERROR(VLOOKUP(B2483,'Pre-Summary'!$AZ$6:$BE$65,6,FALSE),"")</f>
        <v/>
      </c>
      <c r="AL2483" s="10" t="str">
        <f>IFERROR(VLOOKUP(B2483,'Pre-Summary'!$BG$6:$BL$44,3,FALSE),"")</f>
        <v/>
      </c>
      <c r="AM2483" s="10" t="str">
        <f>IFERROR(VLOOKUP(B2483,'Pre-Summary'!$BG$6:$BL$44,4,FALSE),"")</f>
        <v/>
      </c>
    </row>
    <row r="2484" spans="2:39" ht="15" customHeight="1" x14ac:dyDescent="0.3">
      <c r="B2484">
        <v>248.1</v>
      </c>
      <c r="C2484" t="str">
        <f>IFERROR(VLOOKUP(B2484,'Pre-Summary'!$DI$6:$DM$23,4,FALSE),"")</f>
        <v/>
      </c>
      <c r="D2484" s="10" t="str">
        <f>IFERROR(VLOOKUP(B2484,'Pre-Summary'!$AT$6:$AX$14,5,FALSE),D2483)</f>
        <v>Wolfe v3: went back to modified wolfe + EDTA and switched CuSO4 to CUCl2</v>
      </c>
      <c r="E2484" s="10" t="str">
        <f>IFERROR(VLOOKUP(B2484,'Pre-Summary'!$AT$6:$AX$15,4,FALSE),"")</f>
        <v/>
      </c>
      <c r="F2484">
        <f>IFERROR(VLOOKUP(B2484,'Pre-Summary'!$AL$6:$AQ$13,6,FALSE),F2483)</f>
        <v>5.9405263157894746E-2</v>
      </c>
      <c r="G2484" t="str">
        <f>IFERROR(VLOOKUP(B2484,'Pre-Summary'!$AE$6:$AJ$85,3,FALSE),"")</f>
        <v/>
      </c>
      <c r="H2484" t="str">
        <f>IFERROR(VLOOKUP(B2484,'Pre-Summary'!$AE$6:$AJ$85,4,FALSE),"")</f>
        <v/>
      </c>
      <c r="I2484" t="str">
        <f>IFERROR(VLOOKUP(B2484,'Pre-Summary'!$AE$6:$AJ$85,5,FALSE),"")</f>
        <v/>
      </c>
      <c r="J2484" s="45" t="str">
        <f>IFERROR(VLOOKUP(B2484,'Pre-Summary'!$AE$6:$AJ$85,6, FALSE),"")</f>
        <v/>
      </c>
      <c r="K2484" s="45" t="str">
        <f>IFERROR(VLOOKUP(B2484,'Pre-Summary'!$DE$6:$DG$61,3,FALSE),"")</f>
        <v/>
      </c>
      <c r="L2484" s="45" t="str">
        <f>IFERROR(VLOOKUP(B2484,'Pre-Summary'!$CU$6:$CW$36,3,FALSE),"")</f>
        <v/>
      </c>
      <c r="M2484" s="45" t="str">
        <f>IFERROR(VLOOKUP(B2484,'Pre-Summary'!$BW$6:$BY$58,2,FALSE),"")</f>
        <v/>
      </c>
      <c r="N2484" s="45" t="str">
        <f>IFERROR(VLOOKUP(B2484,'Pre-Summary'!$CD$6:$CF$64,2,FALSE),"")</f>
        <v/>
      </c>
      <c r="O2484" s="99">
        <f>IFERROR(VLOOKUP(B2484,'Pre-Summary'!$BO$6:$BQ$48,3, FALSE),O2483)</f>
        <v>1.508</v>
      </c>
      <c r="P2484" s="99">
        <f>IFERROR(VLOOKUP(B2484,'Pre-Summary'!$BS$6:$BU$35,3,FALSE),P2483)</f>
        <v>0.4</v>
      </c>
      <c r="Q2484" s="54">
        <f t="shared" si="114"/>
        <v>3.77</v>
      </c>
      <c r="R2484" s="53">
        <f>IFERROR(VLOOKUP(B2484,'Pre-Summary'!$BG$6:$BM$44,7,FALSE),R2485)</f>
        <v>0.1051381075353212</v>
      </c>
      <c r="S2484" s="53">
        <f>IFERROR(VLOOKUP(B2484,'Pre-Summary'!$BG$6:$BM$44,6,FALSE),S2485)</f>
        <v>9.6348174087088401E-2</v>
      </c>
      <c r="T2484" s="45" t="str">
        <f>IFERROR(VLOOKUP(B2484,'Pre-Summary'!$Y$6:$AC$83, 3,FALSE),"")</f>
        <v/>
      </c>
      <c r="U2484" s="45" t="str">
        <f>IFERROR(VLOOKUP(B2484,'Pre-Summary'!$Y$6:$AC$83, 4,FALSE),"")</f>
        <v/>
      </c>
      <c r="V2484" t="str">
        <f>IFERROR(VLOOKUP(B2484,'Pre-Summary'!$Y$6:$AC$83, 5,FALSE),"")</f>
        <v/>
      </c>
      <c r="W2484" s="45" t="str">
        <f>IFERROR(VLOOKUP(B2484,'Pre-Summary'!$Y$6:$AD$83,6,FALSE),"")</f>
        <v/>
      </c>
      <c r="X2484" t="str">
        <f>IFERROR(VLOOKUP('Pre-Summary'!$DB$6:$DD$63,3,FALSE),"")</f>
        <v/>
      </c>
      <c r="Y2484" t="str">
        <f>IFERROR(VLOOKUP(B2484,'Pre-Summary'!$CR$6:$CT$36,3,FALSE),"")</f>
        <v/>
      </c>
      <c r="Z2484" s="45" t="str">
        <f>IFERROR(VLOOKUP(B2484,'Pre-Summary'!$BZ$6:$CB$63,2,FALSE),"")</f>
        <v/>
      </c>
      <c r="AA2484" s="45" t="str">
        <f>IFERROR(VLOOKUP(B2484,'Pre-Summary'!$CG$6:$CI$70,2,FALSE),"")</f>
        <v/>
      </c>
      <c r="AB2484" s="99">
        <f>IFERROR(VLOOKUP(B2484,'Pre-Summary'!$A$6:$P$178,9,FALSE),AB2485)</f>
        <v>0.35236427409982735</v>
      </c>
      <c r="AC2484" s="10">
        <f>IFERROR(VLOOKUP(Summary!B2484,'Pre-Summary'!$A$6:$P$184,5, FALSE)/100,AC2485)</f>
        <v>0.96895166666666666</v>
      </c>
      <c r="AD2484" s="10">
        <f>IFERROR(VLOOKUP(Summary!B2484,'Pre-Summary'!$A$6:$P$184,3, FALSE)/100,AD2485)</f>
        <v>2.0058333333333334E-2</v>
      </c>
      <c r="AE2484" s="10">
        <f>IFERROR(VLOOKUP(Summary!B2484,'Pre-Summary'!$A$6:$P$184,7, FALSE)/100,AE2485)</f>
        <v>1.0990333333333335E-2</v>
      </c>
      <c r="AF2484" s="99">
        <f t="shared" si="115"/>
        <v>7.0678400646523708E-3</v>
      </c>
      <c r="AG2484" s="99">
        <f t="shared" si="116"/>
        <v>3.8726008271151363E-3</v>
      </c>
      <c r="AH2484" s="10" t="str">
        <f>IFERROR(VLOOKUP(B2484,'Pre-Summary'!$AZ$6:$BE$65,3,FALSE),"")</f>
        <v/>
      </c>
      <c r="AI2484" s="10" t="str">
        <f>IFERROR(VLOOKUP(B2484,'Pre-Summary'!$AZ$6:$BE$65,5,FALSE),"")</f>
        <v/>
      </c>
      <c r="AJ2484" s="10" t="str">
        <f>IFERROR(VLOOKUP(B2484,'Pre-Summary'!$AZ$6:$BE$65,4,FALSE),"")</f>
        <v/>
      </c>
      <c r="AK2484" s="10" t="str">
        <f>IFERROR(VLOOKUP(B2484,'Pre-Summary'!$AZ$6:$BE$65,6,FALSE),"")</f>
        <v/>
      </c>
      <c r="AL2484" s="10" t="str">
        <f>IFERROR(VLOOKUP(B2484,'Pre-Summary'!$BG$6:$BL$44,3,FALSE),"")</f>
        <v/>
      </c>
      <c r="AM2484" s="10" t="str">
        <f>IFERROR(VLOOKUP(B2484,'Pre-Summary'!$BG$6:$BL$44,4,FALSE),"")</f>
        <v/>
      </c>
    </row>
    <row r="2485" spans="2:39" ht="15" customHeight="1" x14ac:dyDescent="0.3">
      <c r="B2485">
        <v>248.2</v>
      </c>
      <c r="C2485" t="str">
        <f>IFERROR(VLOOKUP(B2485,'Pre-Summary'!$DI$6:$DM$23,4,FALSE),"")</f>
        <v/>
      </c>
      <c r="D2485" s="10" t="str">
        <f>IFERROR(VLOOKUP(B2485,'Pre-Summary'!$AT$6:$AX$14,5,FALSE),D2484)</f>
        <v>Wolfe v3: went back to modified wolfe + EDTA and switched CuSO4 to CUCl2</v>
      </c>
      <c r="E2485" s="10" t="str">
        <f>IFERROR(VLOOKUP(B2485,'Pre-Summary'!$AT$6:$AX$15,4,FALSE),"")</f>
        <v/>
      </c>
      <c r="F2485">
        <f>IFERROR(VLOOKUP(B2485,'Pre-Summary'!$AL$6:$AQ$13,6,FALSE),F2484)</f>
        <v>5.9405263157894746E-2</v>
      </c>
      <c r="G2485" t="str">
        <f>IFERROR(VLOOKUP(B2485,'Pre-Summary'!$AE$6:$AJ$85,3,FALSE),"")</f>
        <v/>
      </c>
      <c r="H2485" t="str">
        <f>IFERROR(VLOOKUP(B2485,'Pre-Summary'!$AE$6:$AJ$85,4,FALSE),"")</f>
        <v/>
      </c>
      <c r="I2485" t="str">
        <f>IFERROR(VLOOKUP(B2485,'Pre-Summary'!$AE$6:$AJ$85,5,FALSE),"")</f>
        <v/>
      </c>
      <c r="J2485" s="45" t="str">
        <f>IFERROR(VLOOKUP(B2485,'Pre-Summary'!$AE$6:$AJ$85,6, FALSE),"")</f>
        <v/>
      </c>
      <c r="K2485" s="45" t="str">
        <f>IFERROR(VLOOKUP(B2485,'Pre-Summary'!$DE$6:$DG$61,3,FALSE),"")</f>
        <v/>
      </c>
      <c r="L2485" s="45" t="str">
        <f>IFERROR(VLOOKUP(B2485,'Pre-Summary'!$CU$6:$CW$36,3,FALSE),"")</f>
        <v/>
      </c>
      <c r="M2485" s="45" t="str">
        <f>IFERROR(VLOOKUP(B2485,'Pre-Summary'!$BW$6:$BY$58,2,FALSE),"")</f>
        <v/>
      </c>
      <c r="N2485" s="45" t="str">
        <f>IFERROR(VLOOKUP(B2485,'Pre-Summary'!$CD$6:$CF$64,2,FALSE),"")</f>
        <v/>
      </c>
      <c r="O2485" s="99">
        <f>IFERROR(VLOOKUP(B2485,'Pre-Summary'!$BO$6:$BQ$48,3, FALSE),O2484)</f>
        <v>1.508</v>
      </c>
      <c r="P2485" s="99">
        <f>IFERROR(VLOOKUP(B2485,'Pre-Summary'!$BS$6:$BU$35,3,FALSE),P2484)</f>
        <v>0.4</v>
      </c>
      <c r="Q2485" s="54">
        <f t="shared" si="114"/>
        <v>3.77</v>
      </c>
      <c r="R2485" s="53">
        <f>IFERROR(VLOOKUP(B2485,'Pre-Summary'!$BG$6:$BM$44,7,FALSE),R2486)</f>
        <v>0.1051381075353212</v>
      </c>
      <c r="S2485" s="53">
        <f>IFERROR(VLOOKUP(B2485,'Pre-Summary'!$BG$6:$BM$44,6,FALSE),S2486)</f>
        <v>9.6348174087088401E-2</v>
      </c>
      <c r="T2485" s="45" t="str">
        <f>IFERROR(VLOOKUP(B2485,'Pre-Summary'!$Y$6:$AC$83, 3,FALSE),"")</f>
        <v/>
      </c>
      <c r="U2485" s="45" t="str">
        <f>IFERROR(VLOOKUP(B2485,'Pre-Summary'!$Y$6:$AC$83, 4,FALSE),"")</f>
        <v/>
      </c>
      <c r="V2485" t="str">
        <f>IFERROR(VLOOKUP(B2485,'Pre-Summary'!$Y$6:$AC$83, 5,FALSE),"")</f>
        <v/>
      </c>
      <c r="W2485" s="45" t="str">
        <f>IFERROR(VLOOKUP(B2485,'Pre-Summary'!$Y$6:$AD$83,6,FALSE),"")</f>
        <v/>
      </c>
      <c r="X2485" t="str">
        <f>IFERROR(VLOOKUP('Pre-Summary'!$DB$6:$DD$63,3,FALSE),"")</f>
        <v/>
      </c>
      <c r="Y2485" t="str">
        <f>IFERROR(VLOOKUP(B2485,'Pre-Summary'!$CR$6:$CT$36,3,FALSE),"")</f>
        <v/>
      </c>
      <c r="Z2485" s="45" t="str">
        <f>IFERROR(VLOOKUP(B2485,'Pre-Summary'!$BZ$6:$CB$63,2,FALSE),"")</f>
        <v/>
      </c>
      <c r="AA2485" s="45" t="str">
        <f>IFERROR(VLOOKUP(B2485,'Pre-Summary'!$CG$6:$CI$70,2,FALSE),"")</f>
        <v/>
      </c>
      <c r="AB2485" s="99">
        <f>IFERROR(VLOOKUP(B2485,'Pre-Summary'!$A$6:$P$178,9,FALSE),AB2486)</f>
        <v>0.35236427409982735</v>
      </c>
      <c r="AC2485" s="10">
        <f>IFERROR(VLOOKUP(Summary!B2485,'Pre-Summary'!$A$6:$P$184,5, FALSE)/100,AC2486)</f>
        <v>0.96895166666666666</v>
      </c>
      <c r="AD2485" s="10">
        <f>IFERROR(VLOOKUP(Summary!B2485,'Pre-Summary'!$A$6:$P$184,3, FALSE)/100,AD2486)</f>
        <v>2.0058333333333334E-2</v>
      </c>
      <c r="AE2485" s="10">
        <f>IFERROR(VLOOKUP(Summary!B2485,'Pre-Summary'!$A$6:$P$184,7, FALSE)/100,AE2486)</f>
        <v>1.0990333333333335E-2</v>
      </c>
      <c r="AF2485" s="99">
        <f t="shared" si="115"/>
        <v>7.0678400646523708E-3</v>
      </c>
      <c r="AG2485" s="99">
        <f t="shared" si="116"/>
        <v>3.8726008271151363E-3</v>
      </c>
      <c r="AH2485" s="10" t="str">
        <f>IFERROR(VLOOKUP(B2485,'Pre-Summary'!$AZ$6:$BE$65,3,FALSE),"")</f>
        <v/>
      </c>
      <c r="AI2485" s="10" t="str">
        <f>IFERROR(VLOOKUP(B2485,'Pre-Summary'!$AZ$6:$BE$65,5,FALSE),"")</f>
        <v/>
      </c>
      <c r="AJ2485" s="10" t="str">
        <f>IFERROR(VLOOKUP(B2485,'Pre-Summary'!$AZ$6:$BE$65,4,FALSE),"")</f>
        <v/>
      </c>
      <c r="AK2485" s="10" t="str">
        <f>IFERROR(VLOOKUP(B2485,'Pre-Summary'!$AZ$6:$BE$65,6,FALSE),"")</f>
        <v/>
      </c>
      <c r="AL2485" s="10" t="str">
        <f>IFERROR(VLOOKUP(B2485,'Pre-Summary'!$BG$6:$BL$44,3,FALSE),"")</f>
        <v/>
      </c>
      <c r="AM2485" s="10" t="str">
        <f>IFERROR(VLOOKUP(B2485,'Pre-Summary'!$BG$6:$BL$44,4,FALSE),"")</f>
        <v/>
      </c>
    </row>
    <row r="2486" spans="2:39" ht="15" customHeight="1" x14ac:dyDescent="0.3">
      <c r="B2486">
        <v>248.3</v>
      </c>
      <c r="C2486" t="str">
        <f>IFERROR(VLOOKUP(B2486,'Pre-Summary'!$DI$6:$DM$23,4,FALSE),"")</f>
        <v/>
      </c>
      <c r="D2486" s="10" t="str">
        <f>IFERROR(VLOOKUP(B2486,'Pre-Summary'!$AT$6:$AX$14,5,FALSE),D2485)</f>
        <v>Wolfe v3: went back to modified wolfe + EDTA and switched CuSO4 to CUCl2</v>
      </c>
      <c r="E2486" s="10" t="str">
        <f>IFERROR(VLOOKUP(B2486,'Pre-Summary'!$AT$6:$AX$15,4,FALSE),"")</f>
        <v/>
      </c>
      <c r="F2486">
        <f>IFERROR(VLOOKUP(B2486,'Pre-Summary'!$AL$6:$AQ$13,6,FALSE),F2485)</f>
        <v>5.9405263157894746E-2</v>
      </c>
      <c r="G2486" t="str">
        <f>IFERROR(VLOOKUP(B2486,'Pre-Summary'!$AE$6:$AJ$85,3,FALSE),"")</f>
        <v/>
      </c>
      <c r="H2486" t="str">
        <f>IFERROR(VLOOKUP(B2486,'Pre-Summary'!$AE$6:$AJ$85,4,FALSE),"")</f>
        <v/>
      </c>
      <c r="I2486" t="str">
        <f>IFERROR(VLOOKUP(B2486,'Pre-Summary'!$AE$6:$AJ$85,5,FALSE),"")</f>
        <v/>
      </c>
      <c r="J2486" s="45" t="str">
        <f>IFERROR(VLOOKUP(B2486,'Pre-Summary'!$AE$6:$AJ$85,6, FALSE),"")</f>
        <v/>
      </c>
      <c r="K2486" s="45" t="str">
        <f>IFERROR(VLOOKUP(B2486,'Pre-Summary'!$DE$6:$DG$61,3,FALSE),"")</f>
        <v/>
      </c>
      <c r="L2486" s="45" t="str">
        <f>IFERROR(VLOOKUP(B2486,'Pre-Summary'!$CU$6:$CW$36,3,FALSE),"")</f>
        <v/>
      </c>
      <c r="M2486" s="45" t="str">
        <f>IFERROR(VLOOKUP(B2486,'Pre-Summary'!$BW$6:$BY$58,2,FALSE),"")</f>
        <v/>
      </c>
      <c r="N2486" s="45" t="str">
        <f>IFERROR(VLOOKUP(B2486,'Pre-Summary'!$CD$6:$CF$64,2,FALSE),"")</f>
        <v/>
      </c>
      <c r="O2486" s="99">
        <f>IFERROR(VLOOKUP(B2486,'Pre-Summary'!$BO$6:$BQ$48,3, FALSE),O2485)</f>
        <v>1.508</v>
      </c>
      <c r="P2486" s="99">
        <f>IFERROR(VLOOKUP(B2486,'Pre-Summary'!$BS$6:$BU$35,3,FALSE),P2485)</f>
        <v>0.4</v>
      </c>
      <c r="Q2486" s="54">
        <f t="shared" si="114"/>
        <v>3.77</v>
      </c>
      <c r="R2486" s="53">
        <f>IFERROR(VLOOKUP(B2486,'Pre-Summary'!$BG$6:$BM$44,7,FALSE),R2487)</f>
        <v>0.1051381075353212</v>
      </c>
      <c r="S2486" s="53">
        <f>IFERROR(VLOOKUP(B2486,'Pre-Summary'!$BG$6:$BM$44,6,FALSE),S2487)</f>
        <v>9.6348174087088401E-2</v>
      </c>
      <c r="T2486" s="45" t="str">
        <f>IFERROR(VLOOKUP(B2486,'Pre-Summary'!$Y$6:$AC$83, 3,FALSE),"")</f>
        <v/>
      </c>
      <c r="U2486" s="45" t="str">
        <f>IFERROR(VLOOKUP(B2486,'Pre-Summary'!$Y$6:$AC$83, 4,FALSE),"")</f>
        <v/>
      </c>
      <c r="V2486" t="str">
        <f>IFERROR(VLOOKUP(B2486,'Pre-Summary'!$Y$6:$AC$83, 5,FALSE),"")</f>
        <v/>
      </c>
      <c r="W2486" s="45" t="str">
        <f>IFERROR(VLOOKUP(B2486,'Pre-Summary'!$Y$6:$AD$83,6,FALSE),"")</f>
        <v/>
      </c>
      <c r="X2486" t="str">
        <f>IFERROR(VLOOKUP('Pre-Summary'!$DB$6:$DD$63,3,FALSE),"")</f>
        <v/>
      </c>
      <c r="Y2486" t="str">
        <f>IFERROR(VLOOKUP(B2486,'Pre-Summary'!$CR$6:$CT$36,3,FALSE),"")</f>
        <v/>
      </c>
      <c r="Z2486" s="45" t="str">
        <f>IFERROR(VLOOKUP(B2486,'Pre-Summary'!$BZ$6:$CB$63,2,FALSE),"")</f>
        <v/>
      </c>
      <c r="AA2486" s="45" t="str">
        <f>IFERROR(VLOOKUP(B2486,'Pre-Summary'!$CG$6:$CI$70,2,FALSE),"")</f>
        <v/>
      </c>
      <c r="AB2486" s="99">
        <f>IFERROR(VLOOKUP(B2486,'Pre-Summary'!$A$6:$P$178,9,FALSE),AB2487)</f>
        <v>0.35236427409982735</v>
      </c>
      <c r="AC2486" s="10">
        <f>IFERROR(VLOOKUP(Summary!B2486,'Pre-Summary'!$A$6:$P$184,5, FALSE)/100,AC2487)</f>
        <v>0.96895166666666666</v>
      </c>
      <c r="AD2486" s="10">
        <f>IFERROR(VLOOKUP(Summary!B2486,'Pre-Summary'!$A$6:$P$184,3, FALSE)/100,AD2487)</f>
        <v>2.0058333333333334E-2</v>
      </c>
      <c r="AE2486" s="10">
        <f>IFERROR(VLOOKUP(Summary!B2486,'Pre-Summary'!$A$6:$P$184,7, FALSE)/100,AE2487)</f>
        <v>1.0990333333333335E-2</v>
      </c>
      <c r="AF2486" s="99">
        <f t="shared" si="115"/>
        <v>7.0678400646523708E-3</v>
      </c>
      <c r="AG2486" s="99">
        <f t="shared" si="116"/>
        <v>3.8726008271151363E-3</v>
      </c>
      <c r="AH2486" s="10" t="str">
        <f>IFERROR(VLOOKUP(B2486,'Pre-Summary'!$AZ$6:$BE$65,3,FALSE),"")</f>
        <v/>
      </c>
      <c r="AI2486" s="10" t="str">
        <f>IFERROR(VLOOKUP(B2486,'Pre-Summary'!$AZ$6:$BE$65,5,FALSE),"")</f>
        <v/>
      </c>
      <c r="AJ2486" s="10" t="str">
        <f>IFERROR(VLOOKUP(B2486,'Pre-Summary'!$AZ$6:$BE$65,4,FALSE),"")</f>
        <v/>
      </c>
      <c r="AK2486" s="10" t="str">
        <f>IFERROR(VLOOKUP(B2486,'Pre-Summary'!$AZ$6:$BE$65,6,FALSE),"")</f>
        <v/>
      </c>
      <c r="AL2486" s="10" t="str">
        <f>IFERROR(VLOOKUP(B2486,'Pre-Summary'!$BG$6:$BL$44,3,FALSE),"")</f>
        <v/>
      </c>
      <c r="AM2486" s="10" t="str">
        <f>IFERROR(VLOOKUP(B2486,'Pre-Summary'!$BG$6:$BL$44,4,FALSE),"")</f>
        <v/>
      </c>
    </row>
    <row r="2487" spans="2:39" ht="15" customHeight="1" x14ac:dyDescent="0.3">
      <c r="B2487">
        <v>248.4</v>
      </c>
      <c r="C2487" t="str">
        <f>IFERROR(VLOOKUP(B2487,'Pre-Summary'!$DI$6:$DM$23,4,FALSE),"")</f>
        <v/>
      </c>
      <c r="D2487" s="10" t="str">
        <f>IFERROR(VLOOKUP(B2487,'Pre-Summary'!$AT$6:$AX$14,5,FALSE),D2486)</f>
        <v>Wolfe v3: went back to modified wolfe + EDTA and switched CuSO4 to CUCl2</v>
      </c>
      <c r="E2487" s="10" t="str">
        <f>IFERROR(VLOOKUP(B2487,'Pre-Summary'!$AT$6:$AX$15,4,FALSE),"")</f>
        <v/>
      </c>
      <c r="F2487">
        <f>IFERROR(VLOOKUP(B2487,'Pre-Summary'!$AL$6:$AQ$13,6,FALSE),F2486)</f>
        <v>5.9405263157894746E-2</v>
      </c>
      <c r="G2487" t="str">
        <f>IFERROR(VLOOKUP(B2487,'Pre-Summary'!$AE$6:$AJ$85,3,FALSE),"")</f>
        <v/>
      </c>
      <c r="H2487" t="str">
        <f>IFERROR(VLOOKUP(B2487,'Pre-Summary'!$AE$6:$AJ$85,4,FALSE),"")</f>
        <v/>
      </c>
      <c r="I2487" t="str">
        <f>IFERROR(VLOOKUP(B2487,'Pre-Summary'!$AE$6:$AJ$85,5,FALSE),"")</f>
        <v/>
      </c>
      <c r="J2487" s="45" t="str">
        <f>IFERROR(VLOOKUP(B2487,'Pre-Summary'!$AE$6:$AJ$85,6, FALSE),"")</f>
        <v/>
      </c>
      <c r="K2487" s="45" t="str">
        <f>IFERROR(VLOOKUP(B2487,'Pre-Summary'!$DE$6:$DG$61,3,FALSE),"")</f>
        <v/>
      </c>
      <c r="L2487" s="45" t="str">
        <f>IFERROR(VLOOKUP(B2487,'Pre-Summary'!$CU$6:$CW$36,3,FALSE),"")</f>
        <v/>
      </c>
      <c r="M2487" s="45" t="str">
        <f>IFERROR(VLOOKUP(B2487,'Pre-Summary'!$BW$6:$BY$58,2,FALSE),"")</f>
        <v/>
      </c>
      <c r="N2487" s="45" t="str">
        <f>IFERROR(VLOOKUP(B2487,'Pre-Summary'!$CD$6:$CF$64,2,FALSE),"")</f>
        <v/>
      </c>
      <c r="O2487" s="99">
        <f>IFERROR(VLOOKUP(B2487,'Pre-Summary'!$BO$6:$BQ$48,3, FALSE),O2486)</f>
        <v>1.508</v>
      </c>
      <c r="P2487" s="99">
        <f>IFERROR(VLOOKUP(B2487,'Pre-Summary'!$BS$6:$BU$35,3,FALSE),P2486)</f>
        <v>0.4</v>
      </c>
      <c r="Q2487" s="54">
        <f t="shared" si="114"/>
        <v>3.77</v>
      </c>
      <c r="R2487" s="53">
        <f>IFERROR(VLOOKUP(B2487,'Pre-Summary'!$BG$6:$BM$44,7,FALSE),R2488)</f>
        <v>0.1051381075353212</v>
      </c>
      <c r="S2487" s="53">
        <f>IFERROR(VLOOKUP(B2487,'Pre-Summary'!$BG$6:$BM$44,6,FALSE),S2488)</f>
        <v>9.6348174087088401E-2</v>
      </c>
      <c r="T2487" s="45" t="str">
        <f>IFERROR(VLOOKUP(B2487,'Pre-Summary'!$Y$6:$AC$83, 3,FALSE),"")</f>
        <v/>
      </c>
      <c r="U2487" s="45" t="str">
        <f>IFERROR(VLOOKUP(B2487,'Pre-Summary'!$Y$6:$AC$83, 4,FALSE),"")</f>
        <v/>
      </c>
      <c r="V2487" t="str">
        <f>IFERROR(VLOOKUP(B2487,'Pre-Summary'!$Y$6:$AC$83, 5,FALSE),"")</f>
        <v/>
      </c>
      <c r="W2487" s="45" t="str">
        <f>IFERROR(VLOOKUP(B2487,'Pre-Summary'!$Y$6:$AD$83,6,FALSE),"")</f>
        <v/>
      </c>
      <c r="X2487" t="str">
        <f>IFERROR(VLOOKUP('Pre-Summary'!$DB$6:$DD$63,3,FALSE),"")</f>
        <v/>
      </c>
      <c r="Y2487" t="str">
        <f>IFERROR(VLOOKUP(B2487,'Pre-Summary'!$CR$6:$CT$36,3,FALSE),"")</f>
        <v/>
      </c>
      <c r="Z2487" s="45" t="str">
        <f>IFERROR(VLOOKUP(B2487,'Pre-Summary'!$BZ$6:$CB$63,2,FALSE),"")</f>
        <v/>
      </c>
      <c r="AA2487" s="45" t="str">
        <f>IFERROR(VLOOKUP(B2487,'Pre-Summary'!$CG$6:$CI$70,2,FALSE),"")</f>
        <v/>
      </c>
      <c r="AB2487" s="99">
        <f>IFERROR(VLOOKUP(B2487,'Pre-Summary'!$A$6:$P$178,9,FALSE),AB2488)</f>
        <v>0.35236427409982735</v>
      </c>
      <c r="AC2487" s="10">
        <f>IFERROR(VLOOKUP(Summary!B2487,'Pre-Summary'!$A$6:$P$184,5, FALSE)/100,AC2488)</f>
        <v>0.96895166666666666</v>
      </c>
      <c r="AD2487" s="10">
        <f>IFERROR(VLOOKUP(Summary!B2487,'Pre-Summary'!$A$6:$P$184,3, FALSE)/100,AD2488)</f>
        <v>2.0058333333333334E-2</v>
      </c>
      <c r="AE2487" s="10">
        <f>IFERROR(VLOOKUP(Summary!B2487,'Pre-Summary'!$A$6:$P$184,7, FALSE)/100,AE2488)</f>
        <v>1.0990333333333335E-2</v>
      </c>
      <c r="AF2487" s="99">
        <f t="shared" si="115"/>
        <v>7.0678400646523708E-3</v>
      </c>
      <c r="AG2487" s="99">
        <f t="shared" si="116"/>
        <v>3.8726008271151363E-3</v>
      </c>
      <c r="AH2487" s="10" t="str">
        <f>IFERROR(VLOOKUP(B2487,'Pre-Summary'!$AZ$6:$BE$65,3,FALSE),"")</f>
        <v/>
      </c>
      <c r="AI2487" s="10" t="str">
        <f>IFERROR(VLOOKUP(B2487,'Pre-Summary'!$AZ$6:$BE$65,5,FALSE),"")</f>
        <v/>
      </c>
      <c r="AJ2487" s="10" t="str">
        <f>IFERROR(VLOOKUP(B2487,'Pre-Summary'!$AZ$6:$BE$65,4,FALSE),"")</f>
        <v/>
      </c>
      <c r="AK2487" s="10" t="str">
        <f>IFERROR(VLOOKUP(B2487,'Pre-Summary'!$AZ$6:$BE$65,6,FALSE),"")</f>
        <v/>
      </c>
      <c r="AL2487" s="10" t="str">
        <f>IFERROR(VLOOKUP(B2487,'Pre-Summary'!$BG$6:$BL$44,3,FALSE),"")</f>
        <v/>
      </c>
      <c r="AM2487" s="10" t="str">
        <f>IFERROR(VLOOKUP(B2487,'Pre-Summary'!$BG$6:$BL$44,4,FALSE),"")</f>
        <v/>
      </c>
    </row>
    <row r="2488" spans="2:39" ht="15" customHeight="1" x14ac:dyDescent="0.3">
      <c r="B2488">
        <v>248.5</v>
      </c>
      <c r="C2488" t="str">
        <f>IFERROR(VLOOKUP(B2488,'Pre-Summary'!$DI$6:$DM$23,4,FALSE),"")</f>
        <v/>
      </c>
      <c r="D2488" s="10" t="str">
        <f>IFERROR(VLOOKUP(B2488,'Pre-Summary'!$AT$6:$AX$14,5,FALSE),D2487)</f>
        <v>Wolfe v3: went back to modified wolfe + EDTA and switched CuSO4 to CUCl2</v>
      </c>
      <c r="E2488" s="10" t="str">
        <f>IFERROR(VLOOKUP(B2488,'Pre-Summary'!$AT$6:$AX$15,4,FALSE),"")</f>
        <v/>
      </c>
      <c r="F2488">
        <f>IFERROR(VLOOKUP(B2488,'Pre-Summary'!$AL$6:$AQ$13,6,FALSE),F2487)</f>
        <v>5.9405263157894746E-2</v>
      </c>
      <c r="G2488" t="str">
        <f>IFERROR(VLOOKUP(B2488,'Pre-Summary'!$AE$6:$AJ$85,3,FALSE),"")</f>
        <v/>
      </c>
      <c r="H2488" t="str">
        <f>IFERROR(VLOOKUP(B2488,'Pre-Summary'!$AE$6:$AJ$85,4,FALSE),"")</f>
        <v/>
      </c>
      <c r="I2488" t="str">
        <f>IFERROR(VLOOKUP(B2488,'Pre-Summary'!$AE$6:$AJ$85,5,FALSE),"")</f>
        <v/>
      </c>
      <c r="J2488" s="45" t="str">
        <f>IFERROR(VLOOKUP(B2488,'Pre-Summary'!$AE$6:$AJ$85,6, FALSE),"")</f>
        <v/>
      </c>
      <c r="K2488" s="45" t="str">
        <f>IFERROR(VLOOKUP(B2488,'Pre-Summary'!$DE$6:$DG$61,3,FALSE),"")</f>
        <v/>
      </c>
      <c r="L2488" s="45" t="str">
        <f>IFERROR(VLOOKUP(B2488,'Pre-Summary'!$CU$6:$CW$36,3,FALSE),"")</f>
        <v/>
      </c>
      <c r="M2488" s="45" t="str">
        <f>IFERROR(VLOOKUP(B2488,'Pre-Summary'!$BW$6:$BY$58,2,FALSE),"")</f>
        <v/>
      </c>
      <c r="N2488" s="45" t="str">
        <f>IFERROR(VLOOKUP(B2488,'Pre-Summary'!$CD$6:$CF$64,2,FALSE),"")</f>
        <v/>
      </c>
      <c r="O2488" s="99">
        <f>IFERROR(VLOOKUP(B2488,'Pre-Summary'!$BO$6:$BQ$48,3, FALSE),O2487)</f>
        <v>1.508</v>
      </c>
      <c r="P2488" s="99">
        <f>IFERROR(VLOOKUP(B2488,'Pre-Summary'!$BS$6:$BU$35,3,FALSE),P2487)</f>
        <v>0.4</v>
      </c>
      <c r="Q2488" s="54">
        <f t="shared" si="114"/>
        <v>3.77</v>
      </c>
      <c r="R2488" s="53">
        <f>IFERROR(VLOOKUP(B2488,'Pre-Summary'!$BG$6:$BM$44,7,FALSE),R2489)</f>
        <v>0.1051381075353212</v>
      </c>
      <c r="S2488" s="53">
        <f>IFERROR(VLOOKUP(B2488,'Pre-Summary'!$BG$6:$BM$44,6,FALSE),S2489)</f>
        <v>9.6348174087088401E-2</v>
      </c>
      <c r="T2488" s="45" t="str">
        <f>IFERROR(VLOOKUP(B2488,'Pre-Summary'!$Y$6:$AC$83, 3,FALSE),"")</f>
        <v/>
      </c>
      <c r="U2488" s="45" t="str">
        <f>IFERROR(VLOOKUP(B2488,'Pre-Summary'!$Y$6:$AC$83, 4,FALSE),"")</f>
        <v/>
      </c>
      <c r="V2488" t="str">
        <f>IFERROR(VLOOKUP(B2488,'Pre-Summary'!$Y$6:$AC$83, 5,FALSE),"")</f>
        <v/>
      </c>
      <c r="W2488" s="45" t="str">
        <f>IFERROR(VLOOKUP(B2488,'Pre-Summary'!$Y$6:$AD$83,6,FALSE),"")</f>
        <v/>
      </c>
      <c r="X2488" t="str">
        <f>IFERROR(VLOOKUP('Pre-Summary'!$DB$6:$DD$63,3,FALSE),"")</f>
        <v/>
      </c>
      <c r="Y2488" t="str">
        <f>IFERROR(VLOOKUP(B2488,'Pre-Summary'!$CR$6:$CT$36,3,FALSE),"")</f>
        <v/>
      </c>
      <c r="Z2488" s="45" t="str">
        <f>IFERROR(VLOOKUP(B2488,'Pre-Summary'!$BZ$6:$CB$63,2,FALSE),"")</f>
        <v/>
      </c>
      <c r="AA2488" s="45" t="str">
        <f>IFERROR(VLOOKUP(B2488,'Pre-Summary'!$CG$6:$CI$70,2,FALSE),"")</f>
        <v/>
      </c>
      <c r="AB2488" s="99">
        <f>IFERROR(VLOOKUP(B2488,'Pre-Summary'!$A$6:$P$178,9,FALSE),AB2489)</f>
        <v>0.35236427409982735</v>
      </c>
      <c r="AC2488" s="10">
        <f>IFERROR(VLOOKUP(Summary!B2488,'Pre-Summary'!$A$6:$P$184,5, FALSE)/100,AC2489)</f>
        <v>0.96895166666666666</v>
      </c>
      <c r="AD2488" s="10">
        <f>IFERROR(VLOOKUP(Summary!B2488,'Pre-Summary'!$A$6:$P$184,3, FALSE)/100,AD2489)</f>
        <v>2.0058333333333334E-2</v>
      </c>
      <c r="AE2488" s="10">
        <f>IFERROR(VLOOKUP(Summary!B2488,'Pre-Summary'!$A$6:$P$184,7, FALSE)/100,AE2489)</f>
        <v>1.0990333333333335E-2</v>
      </c>
      <c r="AF2488" s="99">
        <f t="shared" si="115"/>
        <v>7.0678400646523708E-3</v>
      </c>
      <c r="AG2488" s="99">
        <f t="shared" si="116"/>
        <v>3.8726008271151363E-3</v>
      </c>
      <c r="AH2488" s="10" t="str">
        <f>IFERROR(VLOOKUP(B2488,'Pre-Summary'!$AZ$6:$BE$65,3,FALSE),"")</f>
        <v/>
      </c>
      <c r="AI2488" s="10" t="str">
        <f>IFERROR(VLOOKUP(B2488,'Pre-Summary'!$AZ$6:$BE$65,5,FALSE),"")</f>
        <v/>
      </c>
      <c r="AJ2488" s="10" t="str">
        <f>IFERROR(VLOOKUP(B2488,'Pre-Summary'!$AZ$6:$BE$65,4,FALSE),"")</f>
        <v/>
      </c>
      <c r="AK2488" s="10" t="str">
        <f>IFERROR(VLOOKUP(B2488,'Pre-Summary'!$AZ$6:$BE$65,6,FALSE),"")</f>
        <v/>
      </c>
      <c r="AL2488" s="10" t="str">
        <f>IFERROR(VLOOKUP(B2488,'Pre-Summary'!$BG$6:$BL$44,3,FALSE),"")</f>
        <v/>
      </c>
      <c r="AM2488" s="10" t="str">
        <f>IFERROR(VLOOKUP(B2488,'Pre-Summary'!$BG$6:$BL$44,4,FALSE),"")</f>
        <v/>
      </c>
    </row>
    <row r="2489" spans="2:39" ht="15" customHeight="1" x14ac:dyDescent="0.3">
      <c r="B2489">
        <v>248.6</v>
      </c>
      <c r="C2489" t="str">
        <f>IFERROR(VLOOKUP(B2489,'Pre-Summary'!$DI$6:$DM$23,4,FALSE),"")</f>
        <v/>
      </c>
      <c r="D2489" s="10" t="str">
        <f>IFERROR(VLOOKUP(B2489,'Pre-Summary'!$AT$6:$AX$14,5,FALSE),D2488)</f>
        <v>Wolfe v3: went back to modified wolfe + EDTA and switched CuSO4 to CUCl2</v>
      </c>
      <c r="E2489" s="10" t="str">
        <f>IFERROR(VLOOKUP(B2489,'Pre-Summary'!$AT$6:$AX$15,4,FALSE),"")</f>
        <v/>
      </c>
      <c r="F2489">
        <f>IFERROR(VLOOKUP(B2489,'Pre-Summary'!$AL$6:$AQ$13,6,FALSE),F2488)</f>
        <v>5.9405263157894746E-2</v>
      </c>
      <c r="G2489" t="str">
        <f>IFERROR(VLOOKUP(B2489,'Pre-Summary'!$AE$6:$AJ$85,3,FALSE),"")</f>
        <v/>
      </c>
      <c r="H2489" t="str">
        <f>IFERROR(VLOOKUP(B2489,'Pre-Summary'!$AE$6:$AJ$85,4,FALSE),"")</f>
        <v/>
      </c>
      <c r="I2489" t="str">
        <f>IFERROR(VLOOKUP(B2489,'Pre-Summary'!$AE$6:$AJ$85,5,FALSE),"")</f>
        <v/>
      </c>
      <c r="J2489" s="45" t="str">
        <f>IFERROR(VLOOKUP(B2489,'Pre-Summary'!$AE$6:$AJ$85,6, FALSE),"")</f>
        <v/>
      </c>
      <c r="K2489" s="45" t="str">
        <f>IFERROR(VLOOKUP(B2489,'Pre-Summary'!$DE$6:$DG$61,3,FALSE),"")</f>
        <v/>
      </c>
      <c r="L2489" s="45" t="str">
        <f>IFERROR(VLOOKUP(B2489,'Pre-Summary'!$CU$6:$CW$36,3,FALSE),"")</f>
        <v/>
      </c>
      <c r="M2489" s="45" t="str">
        <f>IFERROR(VLOOKUP(B2489,'Pre-Summary'!$BW$6:$BY$58,2,FALSE),"")</f>
        <v/>
      </c>
      <c r="N2489" s="45" t="str">
        <f>IFERROR(VLOOKUP(B2489,'Pre-Summary'!$CD$6:$CF$64,2,FALSE),"")</f>
        <v/>
      </c>
      <c r="O2489" s="99">
        <f>IFERROR(VLOOKUP(B2489,'Pre-Summary'!$BO$6:$BQ$48,3, FALSE),O2488)</f>
        <v>1.508</v>
      </c>
      <c r="P2489" s="99">
        <f>IFERROR(VLOOKUP(B2489,'Pre-Summary'!$BS$6:$BU$35,3,FALSE),P2488)</f>
        <v>0.4</v>
      </c>
      <c r="Q2489" s="54">
        <f t="shared" si="114"/>
        <v>3.77</v>
      </c>
      <c r="R2489" s="53">
        <f>IFERROR(VLOOKUP(B2489,'Pre-Summary'!$BG$6:$BM$44,7,FALSE),R2490)</f>
        <v>0.1051381075353212</v>
      </c>
      <c r="S2489" s="53">
        <f>IFERROR(VLOOKUP(B2489,'Pre-Summary'!$BG$6:$BM$44,6,FALSE),S2490)</f>
        <v>9.6348174087088401E-2</v>
      </c>
      <c r="T2489" s="45" t="str">
        <f>IFERROR(VLOOKUP(B2489,'Pre-Summary'!$Y$6:$AC$83, 3,FALSE),"")</f>
        <v/>
      </c>
      <c r="U2489" s="45" t="str">
        <f>IFERROR(VLOOKUP(B2489,'Pre-Summary'!$Y$6:$AC$83, 4,FALSE),"")</f>
        <v/>
      </c>
      <c r="V2489" t="str">
        <f>IFERROR(VLOOKUP(B2489,'Pre-Summary'!$Y$6:$AC$83, 5,FALSE),"")</f>
        <v/>
      </c>
      <c r="W2489" s="45" t="str">
        <f>IFERROR(VLOOKUP(B2489,'Pre-Summary'!$Y$6:$AD$83,6,FALSE),"")</f>
        <v/>
      </c>
      <c r="X2489" t="str">
        <f>IFERROR(VLOOKUP('Pre-Summary'!$DB$6:$DD$63,3,FALSE),"")</f>
        <v/>
      </c>
      <c r="Y2489" t="str">
        <f>IFERROR(VLOOKUP(B2489,'Pre-Summary'!$CR$6:$CT$36,3,FALSE),"")</f>
        <v/>
      </c>
      <c r="Z2489" s="45" t="str">
        <f>IFERROR(VLOOKUP(B2489,'Pre-Summary'!$BZ$6:$CB$63,2,FALSE),"")</f>
        <v/>
      </c>
      <c r="AA2489" s="45" t="str">
        <f>IFERROR(VLOOKUP(B2489,'Pre-Summary'!$CG$6:$CI$70,2,FALSE),"")</f>
        <v/>
      </c>
      <c r="AB2489" s="99">
        <f>IFERROR(VLOOKUP(B2489,'Pre-Summary'!$A$6:$P$178,9,FALSE),AB2490)</f>
        <v>0.35236427409982735</v>
      </c>
      <c r="AC2489" s="10">
        <f>IFERROR(VLOOKUP(Summary!B2489,'Pre-Summary'!$A$6:$P$184,5, FALSE)/100,AC2490)</f>
        <v>0.96895166666666666</v>
      </c>
      <c r="AD2489" s="10">
        <f>IFERROR(VLOOKUP(Summary!B2489,'Pre-Summary'!$A$6:$P$184,3, FALSE)/100,AD2490)</f>
        <v>2.0058333333333334E-2</v>
      </c>
      <c r="AE2489" s="10">
        <f>IFERROR(VLOOKUP(Summary!B2489,'Pre-Summary'!$A$6:$P$184,7, FALSE)/100,AE2490)</f>
        <v>1.0990333333333335E-2</v>
      </c>
      <c r="AF2489" s="99">
        <f t="shared" si="115"/>
        <v>7.0678400646523708E-3</v>
      </c>
      <c r="AG2489" s="99">
        <f t="shared" si="116"/>
        <v>3.8726008271151363E-3</v>
      </c>
      <c r="AH2489" s="10" t="str">
        <f>IFERROR(VLOOKUP(B2489,'Pre-Summary'!$AZ$6:$BE$65,3,FALSE),"")</f>
        <v/>
      </c>
      <c r="AI2489" s="10" t="str">
        <f>IFERROR(VLOOKUP(B2489,'Pre-Summary'!$AZ$6:$BE$65,5,FALSE),"")</f>
        <v/>
      </c>
      <c r="AJ2489" s="10" t="str">
        <f>IFERROR(VLOOKUP(B2489,'Pre-Summary'!$AZ$6:$BE$65,4,FALSE),"")</f>
        <v/>
      </c>
      <c r="AK2489" s="10" t="str">
        <f>IFERROR(VLOOKUP(B2489,'Pre-Summary'!$AZ$6:$BE$65,6,FALSE),"")</f>
        <v/>
      </c>
      <c r="AL2489" s="10" t="str">
        <f>IFERROR(VLOOKUP(B2489,'Pre-Summary'!$BG$6:$BL$44,3,FALSE),"")</f>
        <v/>
      </c>
      <c r="AM2489" s="10" t="str">
        <f>IFERROR(VLOOKUP(B2489,'Pre-Summary'!$BG$6:$BL$44,4,FALSE),"")</f>
        <v/>
      </c>
    </row>
    <row r="2490" spans="2:39" ht="15" customHeight="1" x14ac:dyDescent="0.3">
      <c r="B2490">
        <v>248.7</v>
      </c>
      <c r="C2490" t="str">
        <f>IFERROR(VLOOKUP(B2490,'Pre-Summary'!$DI$6:$DM$23,4,FALSE),"")</f>
        <v/>
      </c>
      <c r="D2490" s="10" t="str">
        <f>IFERROR(VLOOKUP(B2490,'Pre-Summary'!$AT$6:$AX$14,5,FALSE),D2489)</f>
        <v>Wolfe v3: went back to modified wolfe + EDTA and switched CuSO4 to CUCl2</v>
      </c>
      <c r="E2490" s="10" t="str">
        <f>IFERROR(VLOOKUP(B2490,'Pre-Summary'!$AT$6:$AX$15,4,FALSE),"")</f>
        <v/>
      </c>
      <c r="F2490">
        <f>IFERROR(VLOOKUP(B2490,'Pre-Summary'!$AL$6:$AQ$13,6,FALSE),F2489)</f>
        <v>5.9405263157894746E-2</v>
      </c>
      <c r="G2490" t="str">
        <f>IFERROR(VLOOKUP(B2490,'Pre-Summary'!$AE$6:$AJ$85,3,FALSE),"")</f>
        <v/>
      </c>
      <c r="H2490" t="str">
        <f>IFERROR(VLOOKUP(B2490,'Pre-Summary'!$AE$6:$AJ$85,4,FALSE),"")</f>
        <v/>
      </c>
      <c r="I2490" t="str">
        <f>IFERROR(VLOOKUP(B2490,'Pre-Summary'!$AE$6:$AJ$85,5,FALSE),"")</f>
        <v/>
      </c>
      <c r="J2490" s="45" t="str">
        <f>IFERROR(VLOOKUP(B2490,'Pre-Summary'!$AE$6:$AJ$85,6, FALSE),"")</f>
        <v/>
      </c>
      <c r="K2490" s="45" t="str">
        <f>IFERROR(VLOOKUP(B2490,'Pre-Summary'!$DE$6:$DG$61,3,FALSE),"")</f>
        <v/>
      </c>
      <c r="L2490" s="45" t="str">
        <f>IFERROR(VLOOKUP(B2490,'Pre-Summary'!$CU$6:$CW$36,3,FALSE),"")</f>
        <v/>
      </c>
      <c r="M2490" s="45" t="str">
        <f>IFERROR(VLOOKUP(B2490,'Pre-Summary'!$BW$6:$BY$58,2,FALSE),"")</f>
        <v/>
      </c>
      <c r="N2490" s="45" t="str">
        <f>IFERROR(VLOOKUP(B2490,'Pre-Summary'!$CD$6:$CF$64,2,FALSE),"")</f>
        <v/>
      </c>
      <c r="O2490" s="99">
        <f>IFERROR(VLOOKUP(B2490,'Pre-Summary'!$BO$6:$BQ$48,3, FALSE),O2489)</f>
        <v>1.508</v>
      </c>
      <c r="P2490" s="99">
        <f>IFERROR(VLOOKUP(B2490,'Pre-Summary'!$BS$6:$BU$35,3,FALSE),P2489)</f>
        <v>0.4</v>
      </c>
      <c r="Q2490" s="54">
        <f t="shared" si="114"/>
        <v>3.77</v>
      </c>
      <c r="R2490" s="53">
        <f>IFERROR(VLOOKUP(B2490,'Pre-Summary'!$BG$6:$BM$44,7,FALSE),R2491)</f>
        <v>0.1051381075353212</v>
      </c>
      <c r="S2490" s="53">
        <f>IFERROR(VLOOKUP(B2490,'Pre-Summary'!$BG$6:$BM$44,6,FALSE),S2491)</f>
        <v>9.6348174087088401E-2</v>
      </c>
      <c r="T2490" s="45" t="str">
        <f>IFERROR(VLOOKUP(B2490,'Pre-Summary'!$Y$6:$AC$83, 3,FALSE),"")</f>
        <v/>
      </c>
      <c r="U2490" s="45" t="str">
        <f>IFERROR(VLOOKUP(B2490,'Pre-Summary'!$Y$6:$AC$83, 4,FALSE),"")</f>
        <v/>
      </c>
      <c r="V2490" t="str">
        <f>IFERROR(VLOOKUP(B2490,'Pre-Summary'!$Y$6:$AC$83, 5,FALSE),"")</f>
        <v/>
      </c>
      <c r="W2490" s="45" t="str">
        <f>IFERROR(VLOOKUP(B2490,'Pre-Summary'!$Y$6:$AD$83,6,FALSE),"")</f>
        <v/>
      </c>
      <c r="X2490" t="str">
        <f>IFERROR(VLOOKUP('Pre-Summary'!$DB$6:$DD$63,3,FALSE),"")</f>
        <v/>
      </c>
      <c r="Y2490" t="str">
        <f>IFERROR(VLOOKUP(B2490,'Pre-Summary'!$CR$6:$CT$36,3,FALSE),"")</f>
        <v/>
      </c>
      <c r="Z2490" s="45" t="str">
        <f>IFERROR(VLOOKUP(B2490,'Pre-Summary'!$BZ$6:$CB$63,2,FALSE),"")</f>
        <v/>
      </c>
      <c r="AA2490" s="45" t="str">
        <f>IFERROR(VLOOKUP(B2490,'Pre-Summary'!$CG$6:$CI$70,2,FALSE),"")</f>
        <v/>
      </c>
      <c r="AB2490" s="99">
        <f>IFERROR(VLOOKUP(B2490,'Pre-Summary'!$A$6:$P$178,9,FALSE),AB2491)</f>
        <v>0.35236427409982735</v>
      </c>
      <c r="AC2490" s="10">
        <f>IFERROR(VLOOKUP(Summary!B2490,'Pre-Summary'!$A$6:$P$184,5, FALSE)/100,AC2491)</f>
        <v>0.96895166666666666</v>
      </c>
      <c r="AD2490" s="10">
        <f>IFERROR(VLOOKUP(Summary!B2490,'Pre-Summary'!$A$6:$P$184,3, FALSE)/100,AD2491)</f>
        <v>2.0058333333333334E-2</v>
      </c>
      <c r="AE2490" s="10">
        <f>IFERROR(VLOOKUP(Summary!B2490,'Pre-Summary'!$A$6:$P$184,7, FALSE)/100,AE2491)</f>
        <v>1.0990333333333335E-2</v>
      </c>
      <c r="AF2490" s="99">
        <f t="shared" si="115"/>
        <v>7.0678400646523708E-3</v>
      </c>
      <c r="AG2490" s="99">
        <f t="shared" si="116"/>
        <v>3.8726008271151363E-3</v>
      </c>
      <c r="AH2490" s="10" t="str">
        <f>IFERROR(VLOOKUP(B2490,'Pre-Summary'!$AZ$6:$BE$65,3,FALSE),"")</f>
        <v/>
      </c>
      <c r="AI2490" s="10" t="str">
        <f>IFERROR(VLOOKUP(B2490,'Pre-Summary'!$AZ$6:$BE$65,5,FALSE),"")</f>
        <v/>
      </c>
      <c r="AJ2490" s="10" t="str">
        <f>IFERROR(VLOOKUP(B2490,'Pre-Summary'!$AZ$6:$BE$65,4,FALSE),"")</f>
        <v/>
      </c>
      <c r="AK2490" s="10" t="str">
        <f>IFERROR(VLOOKUP(B2490,'Pre-Summary'!$AZ$6:$BE$65,6,FALSE),"")</f>
        <v/>
      </c>
      <c r="AL2490" s="10" t="str">
        <f>IFERROR(VLOOKUP(B2490,'Pre-Summary'!$BG$6:$BL$44,3,FALSE),"")</f>
        <v/>
      </c>
      <c r="AM2490" s="10" t="str">
        <f>IFERROR(VLOOKUP(B2490,'Pre-Summary'!$BG$6:$BL$44,4,FALSE),"")</f>
        <v/>
      </c>
    </row>
    <row r="2491" spans="2:39" ht="15" customHeight="1" x14ac:dyDescent="0.3">
      <c r="B2491">
        <v>248.8</v>
      </c>
      <c r="C2491" t="str">
        <f>IFERROR(VLOOKUP(B2491,'Pre-Summary'!$DI$6:$DM$23,4,FALSE),"")</f>
        <v/>
      </c>
      <c r="D2491" s="10" t="str">
        <f>IFERROR(VLOOKUP(B2491,'Pre-Summary'!$AT$6:$AX$14,5,FALSE),D2490)</f>
        <v>Wolfe v3: went back to modified wolfe + EDTA and switched CuSO4 to CUCl2</v>
      </c>
      <c r="E2491" s="10" t="str">
        <f>IFERROR(VLOOKUP(B2491,'Pre-Summary'!$AT$6:$AX$15,4,FALSE),"")</f>
        <v/>
      </c>
      <c r="F2491">
        <f>IFERROR(VLOOKUP(B2491,'Pre-Summary'!$AL$6:$AQ$13,6,FALSE),F2490)</f>
        <v>5.9405263157894746E-2</v>
      </c>
      <c r="G2491" t="str">
        <f>IFERROR(VLOOKUP(B2491,'Pre-Summary'!$AE$6:$AJ$85,3,FALSE),"")</f>
        <v/>
      </c>
      <c r="H2491" t="str">
        <f>IFERROR(VLOOKUP(B2491,'Pre-Summary'!$AE$6:$AJ$85,4,FALSE),"")</f>
        <v/>
      </c>
      <c r="I2491" t="str">
        <f>IFERROR(VLOOKUP(B2491,'Pre-Summary'!$AE$6:$AJ$85,5,FALSE),"")</f>
        <v/>
      </c>
      <c r="J2491" s="45" t="str">
        <f>IFERROR(VLOOKUP(B2491,'Pre-Summary'!$AE$6:$AJ$85,6, FALSE),"")</f>
        <v/>
      </c>
      <c r="K2491" s="45" t="str">
        <f>IFERROR(VLOOKUP(B2491,'Pre-Summary'!$DE$6:$DG$61,3,FALSE),"")</f>
        <v/>
      </c>
      <c r="L2491" s="45" t="str">
        <f>IFERROR(VLOOKUP(B2491,'Pre-Summary'!$CU$6:$CW$36,3,FALSE),"")</f>
        <v/>
      </c>
      <c r="M2491" s="45" t="str">
        <f>IFERROR(VLOOKUP(B2491,'Pre-Summary'!$BW$6:$BY$58,2,FALSE),"")</f>
        <v/>
      </c>
      <c r="N2491" s="45" t="str">
        <f>IFERROR(VLOOKUP(B2491,'Pre-Summary'!$CD$6:$CF$64,2,FALSE),"")</f>
        <v/>
      </c>
      <c r="O2491" s="99">
        <f>IFERROR(VLOOKUP(B2491,'Pre-Summary'!$BO$6:$BQ$48,3, FALSE),O2490)</f>
        <v>1.508</v>
      </c>
      <c r="P2491" s="99">
        <f>IFERROR(VLOOKUP(B2491,'Pre-Summary'!$BS$6:$BU$35,3,FALSE),P2490)</f>
        <v>0.4</v>
      </c>
      <c r="Q2491" s="54">
        <f t="shared" si="114"/>
        <v>3.77</v>
      </c>
      <c r="R2491" s="53">
        <f>IFERROR(VLOOKUP(B2491,'Pre-Summary'!$BG$6:$BM$44,7,FALSE),R2492)</f>
        <v>0.1051381075353212</v>
      </c>
      <c r="S2491" s="53">
        <f>IFERROR(VLOOKUP(B2491,'Pre-Summary'!$BG$6:$BM$44,6,FALSE),S2492)</f>
        <v>9.6348174087088401E-2</v>
      </c>
      <c r="T2491" s="45" t="str">
        <f>IFERROR(VLOOKUP(B2491,'Pre-Summary'!$Y$6:$AC$83, 3,FALSE),"")</f>
        <v/>
      </c>
      <c r="U2491" s="45" t="str">
        <f>IFERROR(VLOOKUP(B2491,'Pre-Summary'!$Y$6:$AC$83, 4,FALSE),"")</f>
        <v/>
      </c>
      <c r="V2491" t="str">
        <f>IFERROR(VLOOKUP(B2491,'Pre-Summary'!$Y$6:$AC$83, 5,FALSE),"")</f>
        <v/>
      </c>
      <c r="W2491" s="45" t="str">
        <f>IFERROR(VLOOKUP(B2491,'Pre-Summary'!$Y$6:$AD$83,6,FALSE),"")</f>
        <v/>
      </c>
      <c r="X2491" t="str">
        <f>IFERROR(VLOOKUP('Pre-Summary'!$DB$6:$DD$63,3,FALSE),"")</f>
        <v/>
      </c>
      <c r="Y2491" t="str">
        <f>IFERROR(VLOOKUP(B2491,'Pre-Summary'!$CR$6:$CT$36,3,FALSE),"")</f>
        <v/>
      </c>
      <c r="Z2491" s="45" t="str">
        <f>IFERROR(VLOOKUP(B2491,'Pre-Summary'!$BZ$6:$CB$63,2,FALSE),"")</f>
        <v/>
      </c>
      <c r="AA2491" s="45" t="str">
        <f>IFERROR(VLOOKUP(B2491,'Pre-Summary'!$CG$6:$CI$70,2,FALSE),"")</f>
        <v/>
      </c>
      <c r="AB2491" s="99">
        <f>IFERROR(VLOOKUP(B2491,'Pre-Summary'!$A$6:$P$178,9,FALSE),AB2492)</f>
        <v>0.35236427409982735</v>
      </c>
      <c r="AC2491" s="10">
        <f>IFERROR(VLOOKUP(Summary!B2491,'Pre-Summary'!$A$6:$P$184,5, FALSE)/100,AC2492)</f>
        <v>0.96895166666666666</v>
      </c>
      <c r="AD2491" s="10">
        <f>IFERROR(VLOOKUP(Summary!B2491,'Pre-Summary'!$A$6:$P$184,3, FALSE)/100,AD2492)</f>
        <v>2.0058333333333334E-2</v>
      </c>
      <c r="AE2491" s="10">
        <f>IFERROR(VLOOKUP(Summary!B2491,'Pre-Summary'!$A$6:$P$184,7, FALSE)/100,AE2492)</f>
        <v>1.0990333333333335E-2</v>
      </c>
      <c r="AF2491" s="99">
        <f t="shared" si="115"/>
        <v>7.0678400646523708E-3</v>
      </c>
      <c r="AG2491" s="99">
        <f t="shared" si="116"/>
        <v>3.8726008271151363E-3</v>
      </c>
      <c r="AH2491" s="10" t="str">
        <f>IFERROR(VLOOKUP(B2491,'Pre-Summary'!$AZ$6:$BE$65,3,FALSE),"")</f>
        <v/>
      </c>
      <c r="AI2491" s="10" t="str">
        <f>IFERROR(VLOOKUP(B2491,'Pre-Summary'!$AZ$6:$BE$65,5,FALSE),"")</f>
        <v/>
      </c>
      <c r="AJ2491" s="10" t="str">
        <f>IFERROR(VLOOKUP(B2491,'Pre-Summary'!$AZ$6:$BE$65,4,FALSE),"")</f>
        <v/>
      </c>
      <c r="AK2491" s="10" t="str">
        <f>IFERROR(VLOOKUP(B2491,'Pre-Summary'!$AZ$6:$BE$65,6,FALSE),"")</f>
        <v/>
      </c>
      <c r="AL2491" s="10" t="str">
        <f>IFERROR(VLOOKUP(B2491,'Pre-Summary'!$BG$6:$BL$44,3,FALSE),"")</f>
        <v/>
      </c>
      <c r="AM2491" s="10" t="str">
        <f>IFERROR(VLOOKUP(B2491,'Pre-Summary'!$BG$6:$BL$44,4,FALSE),"")</f>
        <v/>
      </c>
    </row>
    <row r="2492" spans="2:39" ht="15" customHeight="1" x14ac:dyDescent="0.3">
      <c r="B2492">
        <v>248.9</v>
      </c>
      <c r="C2492" t="str">
        <f>IFERROR(VLOOKUP(B2492,'Pre-Summary'!$DI$6:$DM$23,4,FALSE),"")</f>
        <v/>
      </c>
      <c r="D2492" s="10" t="str">
        <f>IFERROR(VLOOKUP(B2492,'Pre-Summary'!$AT$6:$AX$14,5,FALSE),D2491)</f>
        <v>Wolfe v3: went back to modified wolfe + EDTA and switched CuSO4 to CUCl2</v>
      </c>
      <c r="E2492" s="10" t="str">
        <f>IFERROR(VLOOKUP(B2492,'Pre-Summary'!$AT$6:$AX$15,4,FALSE),"")</f>
        <v/>
      </c>
      <c r="F2492">
        <f>IFERROR(VLOOKUP(B2492,'Pre-Summary'!$AL$6:$AQ$13,6,FALSE),F2491)</f>
        <v>5.9405263157894746E-2</v>
      </c>
      <c r="G2492" t="str">
        <f>IFERROR(VLOOKUP(B2492,'Pre-Summary'!$AE$6:$AJ$85,3,FALSE),"")</f>
        <v/>
      </c>
      <c r="H2492" t="str">
        <f>IFERROR(VLOOKUP(B2492,'Pre-Summary'!$AE$6:$AJ$85,4,FALSE),"")</f>
        <v/>
      </c>
      <c r="I2492" t="str">
        <f>IFERROR(VLOOKUP(B2492,'Pre-Summary'!$AE$6:$AJ$85,5,FALSE),"")</f>
        <v/>
      </c>
      <c r="J2492" s="45" t="str">
        <f>IFERROR(VLOOKUP(B2492,'Pre-Summary'!$AE$6:$AJ$85,6, FALSE),"")</f>
        <v/>
      </c>
      <c r="K2492" s="45" t="str">
        <f>IFERROR(VLOOKUP(B2492,'Pre-Summary'!$DE$6:$DG$61,3,FALSE),"")</f>
        <v/>
      </c>
      <c r="L2492" s="45" t="str">
        <f>IFERROR(VLOOKUP(B2492,'Pre-Summary'!$CU$6:$CW$36,3,FALSE),"")</f>
        <v/>
      </c>
      <c r="M2492" s="45" t="str">
        <f>IFERROR(VLOOKUP(B2492,'Pre-Summary'!$BW$6:$BY$58,2,FALSE),"")</f>
        <v/>
      </c>
      <c r="N2492" s="45" t="str">
        <f>IFERROR(VLOOKUP(B2492,'Pre-Summary'!$CD$6:$CF$64,2,FALSE),"")</f>
        <v/>
      </c>
      <c r="O2492" s="99">
        <f>IFERROR(VLOOKUP(B2492,'Pre-Summary'!$BO$6:$BQ$48,3, FALSE),O2491)</f>
        <v>1.508</v>
      </c>
      <c r="P2492" s="99">
        <f>IFERROR(VLOOKUP(B2492,'Pre-Summary'!$BS$6:$BU$35,3,FALSE),P2491)</f>
        <v>0.4</v>
      </c>
      <c r="Q2492" s="54">
        <f t="shared" si="114"/>
        <v>3.77</v>
      </c>
      <c r="R2492" s="53">
        <f>IFERROR(VLOOKUP(B2492,'Pre-Summary'!$BG$6:$BM$44,7,FALSE),R2493)</f>
        <v>0.1051381075353212</v>
      </c>
      <c r="S2492" s="53">
        <f>IFERROR(VLOOKUP(B2492,'Pre-Summary'!$BG$6:$BM$44,6,FALSE),S2493)</f>
        <v>9.6348174087088401E-2</v>
      </c>
      <c r="T2492" s="45" t="str">
        <f>IFERROR(VLOOKUP(B2492,'Pre-Summary'!$Y$6:$AC$83, 3,FALSE),"")</f>
        <v/>
      </c>
      <c r="U2492" s="45" t="str">
        <f>IFERROR(VLOOKUP(B2492,'Pre-Summary'!$Y$6:$AC$83, 4,FALSE),"")</f>
        <v/>
      </c>
      <c r="V2492" t="str">
        <f>IFERROR(VLOOKUP(B2492,'Pre-Summary'!$Y$6:$AC$83, 5,FALSE),"")</f>
        <v/>
      </c>
      <c r="W2492" s="45" t="str">
        <f>IFERROR(VLOOKUP(B2492,'Pre-Summary'!$Y$6:$AD$83,6,FALSE),"")</f>
        <v/>
      </c>
      <c r="X2492" t="str">
        <f>IFERROR(VLOOKUP('Pre-Summary'!$DB$6:$DD$63,3,FALSE),"")</f>
        <v/>
      </c>
      <c r="Y2492" t="str">
        <f>IFERROR(VLOOKUP(B2492,'Pre-Summary'!$CR$6:$CT$36,3,FALSE),"")</f>
        <v/>
      </c>
      <c r="Z2492" s="45" t="str">
        <f>IFERROR(VLOOKUP(B2492,'Pre-Summary'!$BZ$6:$CB$63,2,FALSE),"")</f>
        <v/>
      </c>
      <c r="AA2492" s="45" t="str">
        <f>IFERROR(VLOOKUP(B2492,'Pre-Summary'!$CG$6:$CI$70,2,FALSE),"")</f>
        <v/>
      </c>
      <c r="AB2492" s="99">
        <f>IFERROR(VLOOKUP(B2492,'Pre-Summary'!$A$6:$P$178,9,FALSE),AB2493)</f>
        <v>0.35236427409982735</v>
      </c>
      <c r="AC2492" s="10">
        <f>IFERROR(VLOOKUP(Summary!B2492,'Pre-Summary'!$A$6:$P$184,5, FALSE)/100,AC2493)</f>
        <v>0.96895166666666666</v>
      </c>
      <c r="AD2492" s="10">
        <f>IFERROR(VLOOKUP(Summary!B2492,'Pre-Summary'!$A$6:$P$184,3, FALSE)/100,AD2493)</f>
        <v>2.0058333333333334E-2</v>
      </c>
      <c r="AE2492" s="10">
        <f>IFERROR(VLOOKUP(Summary!B2492,'Pre-Summary'!$A$6:$P$184,7, FALSE)/100,AE2493)</f>
        <v>1.0990333333333335E-2</v>
      </c>
      <c r="AF2492" s="99">
        <f t="shared" si="115"/>
        <v>7.0678400646523708E-3</v>
      </c>
      <c r="AG2492" s="99">
        <f t="shared" si="116"/>
        <v>3.8726008271151363E-3</v>
      </c>
      <c r="AH2492" s="10" t="str">
        <f>IFERROR(VLOOKUP(B2492,'Pre-Summary'!$AZ$6:$BE$65,3,FALSE),"")</f>
        <v/>
      </c>
      <c r="AI2492" s="10" t="str">
        <f>IFERROR(VLOOKUP(B2492,'Pre-Summary'!$AZ$6:$BE$65,5,FALSE),"")</f>
        <v/>
      </c>
      <c r="AJ2492" s="10" t="str">
        <f>IFERROR(VLOOKUP(B2492,'Pre-Summary'!$AZ$6:$BE$65,4,FALSE),"")</f>
        <v/>
      </c>
      <c r="AK2492" s="10" t="str">
        <f>IFERROR(VLOOKUP(B2492,'Pre-Summary'!$AZ$6:$BE$65,6,FALSE),"")</f>
        <v/>
      </c>
      <c r="AL2492" s="10" t="str">
        <f>IFERROR(VLOOKUP(B2492,'Pre-Summary'!$BG$6:$BL$44,3,FALSE),"")</f>
        <v/>
      </c>
      <c r="AM2492" s="10" t="str">
        <f>IFERROR(VLOOKUP(B2492,'Pre-Summary'!$BG$6:$BL$44,4,FALSE),"")</f>
        <v/>
      </c>
    </row>
    <row r="2493" spans="2:39" ht="15" customHeight="1" x14ac:dyDescent="0.3">
      <c r="B2493">
        <v>249</v>
      </c>
      <c r="C2493" t="str">
        <f>IFERROR(VLOOKUP(B2493,'Pre-Summary'!$DI$6:$DM$23,4,FALSE),"")</f>
        <v/>
      </c>
      <c r="D2493" s="10" t="str">
        <f>IFERROR(VLOOKUP(B2493,'Pre-Summary'!$AT$6:$AX$14,5,FALSE),D2492)</f>
        <v>Wolfe v3: went back to modified wolfe + EDTA and switched CuSO4 to CUCl2</v>
      </c>
      <c r="E2493" s="10" t="str">
        <f>IFERROR(VLOOKUP(B2493,'Pre-Summary'!$AT$6:$AX$15,4,FALSE),"")</f>
        <v/>
      </c>
      <c r="F2493">
        <f>IFERROR(VLOOKUP(B2493,'Pre-Summary'!$AL$6:$AQ$13,6,FALSE),F2492)</f>
        <v>5.9405263157894746E-2</v>
      </c>
      <c r="G2493" t="str">
        <f>IFERROR(VLOOKUP(B2493,'Pre-Summary'!$AE$6:$AJ$85,3,FALSE),"")</f>
        <v/>
      </c>
      <c r="H2493" t="str">
        <f>IFERROR(VLOOKUP(B2493,'Pre-Summary'!$AE$6:$AJ$85,4,FALSE),"")</f>
        <v/>
      </c>
      <c r="I2493" t="str">
        <f>IFERROR(VLOOKUP(B2493,'Pre-Summary'!$AE$6:$AJ$85,5,FALSE),"")</f>
        <v/>
      </c>
      <c r="J2493" s="45" t="str">
        <f>IFERROR(VLOOKUP(B2493,'Pre-Summary'!$AE$6:$AJ$85,6, FALSE),"")</f>
        <v/>
      </c>
      <c r="K2493" s="45" t="str">
        <f>IFERROR(VLOOKUP(B2493,'Pre-Summary'!$DE$6:$DG$61,3,FALSE),"")</f>
        <v/>
      </c>
      <c r="L2493" s="45" t="str">
        <f>IFERROR(VLOOKUP(B2493,'Pre-Summary'!$CU$6:$CW$36,3,FALSE),"")</f>
        <v/>
      </c>
      <c r="M2493" s="45" t="str">
        <f>IFERROR(VLOOKUP(B2493,'Pre-Summary'!$BW$6:$BY$58,2,FALSE),"")</f>
        <v/>
      </c>
      <c r="N2493" s="45" t="str">
        <f>IFERROR(VLOOKUP(B2493,'Pre-Summary'!$CD$6:$CF$64,2,FALSE),"")</f>
        <v/>
      </c>
      <c r="O2493" s="99">
        <f>IFERROR(VLOOKUP(B2493,'Pre-Summary'!$BO$6:$BQ$48,3, FALSE),O2492)</f>
        <v>1.508</v>
      </c>
      <c r="P2493" s="99">
        <f>IFERROR(VLOOKUP(B2493,'Pre-Summary'!$BS$6:$BU$35,3,FALSE),P2492)</f>
        <v>0.4</v>
      </c>
      <c r="Q2493" s="54">
        <f t="shared" si="114"/>
        <v>3.77</v>
      </c>
      <c r="R2493" s="53">
        <f>IFERROR(VLOOKUP(B2493,'Pre-Summary'!$BG$6:$BM$44,7,FALSE),R2494)</f>
        <v>0.1051381075353212</v>
      </c>
      <c r="S2493" s="53">
        <f>IFERROR(VLOOKUP(B2493,'Pre-Summary'!$BG$6:$BM$44,6,FALSE),S2494)</f>
        <v>9.6348174087088401E-2</v>
      </c>
      <c r="T2493" s="45" t="str">
        <f>IFERROR(VLOOKUP(B2493,'Pre-Summary'!$Y$6:$AC$83, 3,FALSE),"")</f>
        <v/>
      </c>
      <c r="U2493" s="45" t="str">
        <f>IFERROR(VLOOKUP(B2493,'Pre-Summary'!$Y$6:$AC$83, 4,FALSE),"")</f>
        <v/>
      </c>
      <c r="V2493" t="str">
        <f>IFERROR(VLOOKUP(B2493,'Pre-Summary'!$Y$6:$AC$83, 5,FALSE),"")</f>
        <v/>
      </c>
      <c r="W2493" s="45" t="str">
        <f>IFERROR(VLOOKUP(B2493,'Pre-Summary'!$Y$6:$AD$83,6,FALSE),"")</f>
        <v/>
      </c>
      <c r="X2493" t="str">
        <f>IFERROR(VLOOKUP('Pre-Summary'!$DB$6:$DD$63,3,FALSE),"")</f>
        <v/>
      </c>
      <c r="Y2493" t="str">
        <f>IFERROR(VLOOKUP(B2493,'Pre-Summary'!$CR$6:$CT$36,3,FALSE),"")</f>
        <v/>
      </c>
      <c r="Z2493" s="45" t="str">
        <f>IFERROR(VLOOKUP(B2493,'Pre-Summary'!$BZ$6:$CB$63,2,FALSE),"")</f>
        <v/>
      </c>
      <c r="AA2493" s="45" t="str">
        <f>IFERROR(VLOOKUP(B2493,'Pre-Summary'!$CG$6:$CI$70,2,FALSE),"")</f>
        <v/>
      </c>
      <c r="AB2493" s="99">
        <f>IFERROR(VLOOKUP(B2493,'Pre-Summary'!$A$6:$P$178,9,FALSE),AB2494)</f>
        <v>0.35236427409982735</v>
      </c>
      <c r="AC2493" s="10">
        <f>IFERROR(VLOOKUP(Summary!B2493,'Pre-Summary'!$A$6:$P$184,5, FALSE)/100,AC2494)</f>
        <v>0.96895166666666666</v>
      </c>
      <c r="AD2493" s="10">
        <f>IFERROR(VLOOKUP(Summary!B2493,'Pre-Summary'!$A$6:$P$184,3, FALSE)/100,AD2494)</f>
        <v>2.0058333333333334E-2</v>
      </c>
      <c r="AE2493" s="10">
        <f>IFERROR(VLOOKUP(Summary!B2493,'Pre-Summary'!$A$6:$P$184,7, FALSE)/100,AE2494)</f>
        <v>1.0990333333333335E-2</v>
      </c>
      <c r="AF2493" s="99">
        <f t="shared" si="115"/>
        <v>7.0678400646523708E-3</v>
      </c>
      <c r="AG2493" s="99">
        <f t="shared" si="116"/>
        <v>3.8726008271151363E-3</v>
      </c>
      <c r="AH2493" s="10" t="str">
        <f>IFERROR(VLOOKUP(B2493,'Pre-Summary'!$AZ$6:$BE$65,3,FALSE),"")</f>
        <v/>
      </c>
      <c r="AI2493" s="10" t="str">
        <f>IFERROR(VLOOKUP(B2493,'Pre-Summary'!$AZ$6:$BE$65,5,FALSE),"")</f>
        <v/>
      </c>
      <c r="AJ2493" s="10" t="str">
        <f>IFERROR(VLOOKUP(B2493,'Pre-Summary'!$AZ$6:$BE$65,4,FALSE),"")</f>
        <v/>
      </c>
      <c r="AK2493" s="10" t="str">
        <f>IFERROR(VLOOKUP(B2493,'Pre-Summary'!$AZ$6:$BE$65,6,FALSE),"")</f>
        <v/>
      </c>
      <c r="AL2493" s="10" t="str">
        <f>IFERROR(VLOOKUP(B2493,'Pre-Summary'!$BG$6:$BL$44,3,FALSE),"")</f>
        <v/>
      </c>
      <c r="AM2493" s="10" t="str">
        <f>IFERROR(VLOOKUP(B2493,'Pre-Summary'!$BG$6:$BL$44,4,FALSE),"")</f>
        <v/>
      </c>
    </row>
    <row r="2494" spans="2:39" ht="15" customHeight="1" x14ac:dyDescent="0.3">
      <c r="B2494">
        <v>249.1</v>
      </c>
      <c r="C2494" t="str">
        <f>IFERROR(VLOOKUP(B2494,'Pre-Summary'!$DI$6:$DM$23,4,FALSE),"")</f>
        <v/>
      </c>
      <c r="D2494" s="10" t="str">
        <f>IFERROR(VLOOKUP(B2494,'Pre-Summary'!$AT$6:$AX$14,5,FALSE),D2493)</f>
        <v>Wolfe v3: went back to modified wolfe + EDTA and switched CuSO4 to CUCl2</v>
      </c>
      <c r="E2494" s="10" t="str">
        <f>IFERROR(VLOOKUP(B2494,'Pre-Summary'!$AT$6:$AX$15,4,FALSE),"")</f>
        <v/>
      </c>
      <c r="F2494">
        <f>IFERROR(VLOOKUP(B2494,'Pre-Summary'!$AL$6:$AQ$13,6,FALSE),F2493)</f>
        <v>5.9405263157894746E-2</v>
      </c>
      <c r="G2494" t="str">
        <f>IFERROR(VLOOKUP(B2494,'Pre-Summary'!$AE$6:$AJ$85,3,FALSE),"")</f>
        <v/>
      </c>
      <c r="H2494" t="str">
        <f>IFERROR(VLOOKUP(B2494,'Pre-Summary'!$AE$6:$AJ$85,4,FALSE),"")</f>
        <v/>
      </c>
      <c r="I2494" t="str">
        <f>IFERROR(VLOOKUP(B2494,'Pre-Summary'!$AE$6:$AJ$85,5,FALSE),"")</f>
        <v/>
      </c>
      <c r="J2494" s="45" t="str">
        <f>IFERROR(VLOOKUP(B2494,'Pre-Summary'!$AE$6:$AJ$85,6, FALSE),"")</f>
        <v/>
      </c>
      <c r="K2494" s="45" t="str">
        <f>IFERROR(VLOOKUP(B2494,'Pre-Summary'!$DE$6:$DG$61,3,FALSE),"")</f>
        <v/>
      </c>
      <c r="L2494" s="45" t="str">
        <f>IFERROR(VLOOKUP(B2494,'Pre-Summary'!$CU$6:$CW$36,3,FALSE),"")</f>
        <v/>
      </c>
      <c r="M2494" s="45" t="str">
        <f>IFERROR(VLOOKUP(B2494,'Pre-Summary'!$BW$6:$BY$58,2,FALSE),"")</f>
        <v/>
      </c>
      <c r="N2494" s="45" t="str">
        <f>IFERROR(VLOOKUP(B2494,'Pre-Summary'!$CD$6:$CF$64,2,FALSE),"")</f>
        <v/>
      </c>
      <c r="O2494" s="99">
        <f>IFERROR(VLOOKUP(B2494,'Pre-Summary'!$BO$6:$BQ$48,3, FALSE),O2493)</f>
        <v>1.508</v>
      </c>
      <c r="P2494" s="99">
        <f>IFERROR(VLOOKUP(B2494,'Pre-Summary'!$BS$6:$BU$35,3,FALSE),P2493)</f>
        <v>0.4</v>
      </c>
      <c r="Q2494" s="54">
        <f t="shared" si="114"/>
        <v>3.77</v>
      </c>
      <c r="R2494" s="53">
        <f>IFERROR(VLOOKUP(B2494,'Pre-Summary'!$BG$6:$BM$44,7,FALSE),R2495)</f>
        <v>0.1051381075353212</v>
      </c>
      <c r="S2494" s="53">
        <f>IFERROR(VLOOKUP(B2494,'Pre-Summary'!$BG$6:$BM$44,6,FALSE),S2495)</f>
        <v>9.6348174087088401E-2</v>
      </c>
      <c r="T2494" s="45" t="str">
        <f>IFERROR(VLOOKUP(B2494,'Pre-Summary'!$Y$6:$AC$83, 3,FALSE),"")</f>
        <v/>
      </c>
      <c r="U2494" s="45" t="str">
        <f>IFERROR(VLOOKUP(B2494,'Pre-Summary'!$Y$6:$AC$83, 4,FALSE),"")</f>
        <v/>
      </c>
      <c r="V2494" t="str">
        <f>IFERROR(VLOOKUP(B2494,'Pre-Summary'!$Y$6:$AC$83, 5,FALSE),"")</f>
        <v/>
      </c>
      <c r="W2494" s="45" t="str">
        <f>IFERROR(VLOOKUP(B2494,'Pre-Summary'!$Y$6:$AD$83,6,FALSE),"")</f>
        <v/>
      </c>
      <c r="X2494" t="str">
        <f>IFERROR(VLOOKUP('Pre-Summary'!$DB$6:$DD$63,3,FALSE),"")</f>
        <v/>
      </c>
      <c r="Y2494" t="str">
        <f>IFERROR(VLOOKUP(B2494,'Pre-Summary'!$CR$6:$CT$36,3,FALSE),"")</f>
        <v/>
      </c>
      <c r="Z2494" s="45" t="str">
        <f>IFERROR(VLOOKUP(B2494,'Pre-Summary'!$BZ$6:$CB$63,2,FALSE),"")</f>
        <v/>
      </c>
      <c r="AA2494" s="45" t="str">
        <f>IFERROR(VLOOKUP(B2494,'Pre-Summary'!$CG$6:$CI$70,2,FALSE),"")</f>
        <v/>
      </c>
      <c r="AB2494" s="99">
        <f>IFERROR(VLOOKUP(B2494,'Pre-Summary'!$A$6:$P$178,9,FALSE),AB2495)</f>
        <v>0.35236427409982735</v>
      </c>
      <c r="AC2494" s="10">
        <f>IFERROR(VLOOKUP(Summary!B2494,'Pre-Summary'!$A$6:$P$184,5, FALSE)/100,AC2495)</f>
        <v>0.96895166666666666</v>
      </c>
      <c r="AD2494" s="10">
        <f>IFERROR(VLOOKUP(Summary!B2494,'Pre-Summary'!$A$6:$P$184,3, FALSE)/100,AD2495)</f>
        <v>2.0058333333333334E-2</v>
      </c>
      <c r="AE2494" s="10">
        <f>IFERROR(VLOOKUP(Summary!B2494,'Pre-Summary'!$A$6:$P$184,7, FALSE)/100,AE2495)</f>
        <v>1.0990333333333335E-2</v>
      </c>
      <c r="AF2494" s="99">
        <f t="shared" si="115"/>
        <v>7.0678400646523708E-3</v>
      </c>
      <c r="AG2494" s="99">
        <f t="shared" si="116"/>
        <v>3.8726008271151363E-3</v>
      </c>
      <c r="AH2494" s="10" t="str">
        <f>IFERROR(VLOOKUP(B2494,'Pre-Summary'!$AZ$6:$BE$65,3,FALSE),"")</f>
        <v/>
      </c>
      <c r="AI2494" s="10" t="str">
        <f>IFERROR(VLOOKUP(B2494,'Pre-Summary'!$AZ$6:$BE$65,5,FALSE),"")</f>
        <v/>
      </c>
      <c r="AJ2494" s="10" t="str">
        <f>IFERROR(VLOOKUP(B2494,'Pre-Summary'!$AZ$6:$BE$65,4,FALSE),"")</f>
        <v/>
      </c>
      <c r="AK2494" s="10" t="str">
        <f>IFERROR(VLOOKUP(B2494,'Pre-Summary'!$AZ$6:$BE$65,6,FALSE),"")</f>
        <v/>
      </c>
      <c r="AL2494" s="10" t="str">
        <f>IFERROR(VLOOKUP(B2494,'Pre-Summary'!$BG$6:$BL$44,3,FALSE),"")</f>
        <v/>
      </c>
      <c r="AM2494" s="10" t="str">
        <f>IFERROR(VLOOKUP(B2494,'Pre-Summary'!$BG$6:$BL$44,4,FALSE),"")</f>
        <v/>
      </c>
    </row>
    <row r="2495" spans="2:39" ht="15" customHeight="1" x14ac:dyDescent="0.3">
      <c r="B2495">
        <v>249.2</v>
      </c>
      <c r="C2495" t="str">
        <f>IFERROR(VLOOKUP(B2495,'Pre-Summary'!$DI$6:$DM$23,4,FALSE),"")</f>
        <v/>
      </c>
      <c r="D2495" s="10" t="str">
        <f>IFERROR(VLOOKUP(B2495,'Pre-Summary'!$AT$6:$AX$14,5,FALSE),D2494)</f>
        <v>Wolfe v3: went back to modified wolfe + EDTA and switched CuSO4 to CUCl2</v>
      </c>
      <c r="E2495" s="10" t="str">
        <f>IFERROR(VLOOKUP(B2495,'Pre-Summary'!$AT$6:$AX$15,4,FALSE),"")</f>
        <v/>
      </c>
      <c r="F2495">
        <f>IFERROR(VLOOKUP(B2495,'Pre-Summary'!$AL$6:$AQ$13,6,FALSE),F2494)</f>
        <v>5.9405263157894746E-2</v>
      </c>
      <c r="G2495" t="str">
        <f>IFERROR(VLOOKUP(B2495,'Pre-Summary'!$AE$6:$AJ$85,3,FALSE),"")</f>
        <v/>
      </c>
      <c r="H2495" t="str">
        <f>IFERROR(VLOOKUP(B2495,'Pre-Summary'!$AE$6:$AJ$85,4,FALSE),"")</f>
        <v/>
      </c>
      <c r="I2495" t="str">
        <f>IFERROR(VLOOKUP(B2495,'Pre-Summary'!$AE$6:$AJ$85,5,FALSE),"")</f>
        <v/>
      </c>
      <c r="J2495" s="45" t="str">
        <f>IFERROR(VLOOKUP(B2495,'Pre-Summary'!$AE$6:$AJ$85,6, FALSE),"")</f>
        <v/>
      </c>
      <c r="K2495" s="45" t="str">
        <f>IFERROR(VLOOKUP(B2495,'Pre-Summary'!$DE$6:$DG$61,3,FALSE),"")</f>
        <v/>
      </c>
      <c r="L2495" s="45" t="str">
        <f>IFERROR(VLOOKUP(B2495,'Pre-Summary'!$CU$6:$CW$36,3,FALSE),"")</f>
        <v/>
      </c>
      <c r="M2495" s="45" t="str">
        <f>IFERROR(VLOOKUP(B2495,'Pre-Summary'!$BW$6:$BY$58,2,FALSE),"")</f>
        <v/>
      </c>
      <c r="N2495" s="45" t="str">
        <f>IFERROR(VLOOKUP(B2495,'Pre-Summary'!$CD$6:$CF$64,2,FALSE),"")</f>
        <v/>
      </c>
      <c r="O2495" s="99">
        <f>IFERROR(VLOOKUP(B2495,'Pre-Summary'!$BO$6:$BQ$48,3, FALSE),O2494)</f>
        <v>1.508</v>
      </c>
      <c r="P2495" s="99">
        <f>IFERROR(VLOOKUP(B2495,'Pre-Summary'!$BS$6:$BU$35,3,FALSE),P2494)</f>
        <v>0.4</v>
      </c>
      <c r="Q2495" s="54">
        <f t="shared" si="114"/>
        <v>3.77</v>
      </c>
      <c r="R2495" s="53">
        <f>IFERROR(VLOOKUP(B2495,'Pre-Summary'!$BG$6:$BM$44,7,FALSE),R2496)</f>
        <v>0.1051381075353212</v>
      </c>
      <c r="S2495" s="53">
        <f>IFERROR(VLOOKUP(B2495,'Pre-Summary'!$BG$6:$BM$44,6,FALSE),S2496)</f>
        <v>9.6348174087088401E-2</v>
      </c>
      <c r="T2495" s="45" t="str">
        <f>IFERROR(VLOOKUP(B2495,'Pre-Summary'!$Y$6:$AC$83, 3,FALSE),"")</f>
        <v/>
      </c>
      <c r="U2495" s="45" t="str">
        <f>IFERROR(VLOOKUP(B2495,'Pre-Summary'!$Y$6:$AC$83, 4,FALSE),"")</f>
        <v/>
      </c>
      <c r="V2495" t="str">
        <f>IFERROR(VLOOKUP(B2495,'Pre-Summary'!$Y$6:$AC$83, 5,FALSE),"")</f>
        <v/>
      </c>
      <c r="W2495" s="45" t="str">
        <f>IFERROR(VLOOKUP(B2495,'Pre-Summary'!$Y$6:$AD$83,6,FALSE),"")</f>
        <v/>
      </c>
      <c r="X2495" t="str">
        <f>IFERROR(VLOOKUP('Pre-Summary'!$DB$6:$DD$63,3,FALSE),"")</f>
        <v/>
      </c>
      <c r="Y2495" t="str">
        <f>IFERROR(VLOOKUP(B2495,'Pre-Summary'!$CR$6:$CT$36,3,FALSE),"")</f>
        <v/>
      </c>
      <c r="Z2495" s="45" t="str">
        <f>IFERROR(VLOOKUP(B2495,'Pre-Summary'!$BZ$6:$CB$63,2,FALSE),"")</f>
        <v/>
      </c>
      <c r="AA2495" s="45" t="str">
        <f>IFERROR(VLOOKUP(B2495,'Pre-Summary'!$CG$6:$CI$70,2,FALSE),"")</f>
        <v/>
      </c>
      <c r="AB2495" s="99">
        <f>IFERROR(VLOOKUP(B2495,'Pre-Summary'!$A$6:$P$178,9,FALSE),AB2496)</f>
        <v>0.35236427409982735</v>
      </c>
      <c r="AC2495" s="10">
        <f>IFERROR(VLOOKUP(Summary!B2495,'Pre-Summary'!$A$6:$P$184,5, FALSE)/100,AC2496)</f>
        <v>0.96895166666666666</v>
      </c>
      <c r="AD2495" s="10">
        <f>IFERROR(VLOOKUP(Summary!B2495,'Pre-Summary'!$A$6:$P$184,3, FALSE)/100,AD2496)</f>
        <v>2.0058333333333334E-2</v>
      </c>
      <c r="AE2495" s="10">
        <f>IFERROR(VLOOKUP(Summary!B2495,'Pre-Summary'!$A$6:$P$184,7, FALSE)/100,AE2496)</f>
        <v>1.0990333333333335E-2</v>
      </c>
      <c r="AF2495" s="99">
        <f t="shared" si="115"/>
        <v>7.0678400646523708E-3</v>
      </c>
      <c r="AG2495" s="99">
        <f t="shared" si="116"/>
        <v>3.8726008271151363E-3</v>
      </c>
      <c r="AH2495" s="10" t="str">
        <f>IFERROR(VLOOKUP(B2495,'Pre-Summary'!$AZ$6:$BE$65,3,FALSE),"")</f>
        <v/>
      </c>
      <c r="AI2495" s="10" t="str">
        <f>IFERROR(VLOOKUP(B2495,'Pre-Summary'!$AZ$6:$BE$65,5,FALSE),"")</f>
        <v/>
      </c>
      <c r="AJ2495" s="10" t="str">
        <f>IFERROR(VLOOKUP(B2495,'Pre-Summary'!$AZ$6:$BE$65,4,FALSE),"")</f>
        <v/>
      </c>
      <c r="AK2495" s="10" t="str">
        <f>IFERROR(VLOOKUP(B2495,'Pre-Summary'!$AZ$6:$BE$65,6,FALSE),"")</f>
        <v/>
      </c>
      <c r="AL2495" s="10" t="str">
        <f>IFERROR(VLOOKUP(B2495,'Pre-Summary'!$BG$6:$BL$44,3,FALSE),"")</f>
        <v/>
      </c>
      <c r="AM2495" s="10" t="str">
        <f>IFERROR(VLOOKUP(B2495,'Pre-Summary'!$BG$6:$BL$44,4,FALSE),"")</f>
        <v/>
      </c>
    </row>
    <row r="2496" spans="2:39" ht="15" customHeight="1" x14ac:dyDescent="0.3">
      <c r="B2496">
        <v>249.3</v>
      </c>
      <c r="C2496" t="str">
        <f>IFERROR(VLOOKUP(B2496,'Pre-Summary'!$DI$6:$DM$23,4,FALSE),"")</f>
        <v/>
      </c>
      <c r="D2496" s="10" t="str">
        <f>IFERROR(VLOOKUP(B2496,'Pre-Summary'!$AT$6:$AX$14,5,FALSE),D2495)</f>
        <v>Wolfe v3: went back to modified wolfe + EDTA and switched CuSO4 to CUCl2</v>
      </c>
      <c r="E2496" s="10" t="str">
        <f>IFERROR(VLOOKUP(B2496,'Pre-Summary'!$AT$6:$AX$15,4,FALSE),"")</f>
        <v/>
      </c>
      <c r="F2496">
        <f>IFERROR(VLOOKUP(B2496,'Pre-Summary'!$AL$6:$AQ$13,6,FALSE),F2495)</f>
        <v>5.9405263157894746E-2</v>
      </c>
      <c r="G2496" t="str">
        <f>IFERROR(VLOOKUP(B2496,'Pre-Summary'!$AE$6:$AJ$85,3,FALSE),"")</f>
        <v/>
      </c>
      <c r="H2496" t="str">
        <f>IFERROR(VLOOKUP(B2496,'Pre-Summary'!$AE$6:$AJ$85,4,FALSE),"")</f>
        <v/>
      </c>
      <c r="I2496" t="str">
        <f>IFERROR(VLOOKUP(B2496,'Pre-Summary'!$AE$6:$AJ$85,5,FALSE),"")</f>
        <v/>
      </c>
      <c r="J2496" s="45" t="str">
        <f>IFERROR(VLOOKUP(B2496,'Pre-Summary'!$AE$6:$AJ$85,6, FALSE),"")</f>
        <v/>
      </c>
      <c r="K2496" s="45" t="str">
        <f>IFERROR(VLOOKUP(B2496,'Pre-Summary'!$DE$6:$DG$61,3,FALSE),"")</f>
        <v/>
      </c>
      <c r="L2496" s="45" t="str">
        <f>IFERROR(VLOOKUP(B2496,'Pre-Summary'!$CU$6:$CW$36,3,FALSE),"")</f>
        <v/>
      </c>
      <c r="M2496" s="45" t="str">
        <f>IFERROR(VLOOKUP(B2496,'Pre-Summary'!$BW$6:$BY$58,2,FALSE),"")</f>
        <v/>
      </c>
      <c r="N2496" s="45" t="str">
        <f>IFERROR(VLOOKUP(B2496,'Pre-Summary'!$CD$6:$CF$64,2,FALSE),"")</f>
        <v/>
      </c>
      <c r="O2496" s="99">
        <f>IFERROR(VLOOKUP(B2496,'Pre-Summary'!$BO$6:$BQ$48,3, FALSE),O2495)</f>
        <v>1.508</v>
      </c>
      <c r="P2496" s="99">
        <f>IFERROR(VLOOKUP(B2496,'Pre-Summary'!$BS$6:$BU$35,3,FALSE),P2495)</f>
        <v>0.4</v>
      </c>
      <c r="Q2496" s="54">
        <f t="shared" si="114"/>
        <v>3.77</v>
      </c>
      <c r="R2496" s="53">
        <f>IFERROR(VLOOKUP(B2496,'Pre-Summary'!$BG$6:$BM$44,7,FALSE),R2497)</f>
        <v>0.1051381075353212</v>
      </c>
      <c r="S2496" s="53">
        <f>IFERROR(VLOOKUP(B2496,'Pre-Summary'!$BG$6:$BM$44,6,FALSE),S2497)</f>
        <v>9.6348174087088401E-2</v>
      </c>
      <c r="T2496" s="45" t="str">
        <f>IFERROR(VLOOKUP(B2496,'Pre-Summary'!$Y$6:$AC$83, 3,FALSE),"")</f>
        <v/>
      </c>
      <c r="U2496" s="45" t="str">
        <f>IFERROR(VLOOKUP(B2496,'Pre-Summary'!$Y$6:$AC$83, 4,FALSE),"")</f>
        <v/>
      </c>
      <c r="V2496" t="str">
        <f>IFERROR(VLOOKUP(B2496,'Pre-Summary'!$Y$6:$AC$83, 5,FALSE),"")</f>
        <v/>
      </c>
      <c r="W2496" s="45" t="str">
        <f>IFERROR(VLOOKUP(B2496,'Pre-Summary'!$Y$6:$AD$83,6,FALSE),"")</f>
        <v/>
      </c>
      <c r="X2496" t="str">
        <f>IFERROR(VLOOKUP('Pre-Summary'!$DB$6:$DD$63,3,FALSE),"")</f>
        <v/>
      </c>
      <c r="Y2496" t="str">
        <f>IFERROR(VLOOKUP(B2496,'Pre-Summary'!$CR$6:$CT$36,3,FALSE),"")</f>
        <v/>
      </c>
      <c r="Z2496" s="45" t="str">
        <f>IFERROR(VLOOKUP(B2496,'Pre-Summary'!$BZ$6:$CB$63,2,FALSE),"")</f>
        <v/>
      </c>
      <c r="AA2496" s="45" t="str">
        <f>IFERROR(VLOOKUP(B2496,'Pre-Summary'!$CG$6:$CI$70,2,FALSE),"")</f>
        <v/>
      </c>
      <c r="AB2496" s="99">
        <f>IFERROR(VLOOKUP(B2496,'Pre-Summary'!$A$6:$P$178,9,FALSE),AB2497)</f>
        <v>0.35236427409982735</v>
      </c>
      <c r="AC2496" s="10">
        <f>IFERROR(VLOOKUP(Summary!B2496,'Pre-Summary'!$A$6:$P$184,5, FALSE)/100,AC2497)</f>
        <v>0.96895166666666666</v>
      </c>
      <c r="AD2496" s="10">
        <f>IFERROR(VLOOKUP(Summary!B2496,'Pre-Summary'!$A$6:$P$184,3, FALSE)/100,AD2497)</f>
        <v>2.0058333333333334E-2</v>
      </c>
      <c r="AE2496" s="10">
        <f>IFERROR(VLOOKUP(Summary!B2496,'Pre-Summary'!$A$6:$P$184,7, FALSE)/100,AE2497)</f>
        <v>1.0990333333333335E-2</v>
      </c>
      <c r="AF2496" s="99">
        <f t="shared" si="115"/>
        <v>7.0678400646523708E-3</v>
      </c>
      <c r="AG2496" s="99">
        <f t="shared" si="116"/>
        <v>3.8726008271151363E-3</v>
      </c>
      <c r="AH2496" s="10" t="str">
        <f>IFERROR(VLOOKUP(B2496,'Pre-Summary'!$AZ$6:$BE$65,3,FALSE),"")</f>
        <v/>
      </c>
      <c r="AI2496" s="10" t="str">
        <f>IFERROR(VLOOKUP(B2496,'Pre-Summary'!$AZ$6:$BE$65,5,FALSE),"")</f>
        <v/>
      </c>
      <c r="AJ2496" s="10" t="str">
        <f>IFERROR(VLOOKUP(B2496,'Pre-Summary'!$AZ$6:$BE$65,4,FALSE),"")</f>
        <v/>
      </c>
      <c r="AK2496" s="10" t="str">
        <f>IFERROR(VLOOKUP(B2496,'Pre-Summary'!$AZ$6:$BE$65,6,FALSE),"")</f>
        <v/>
      </c>
      <c r="AL2496" s="10" t="str">
        <f>IFERROR(VLOOKUP(B2496,'Pre-Summary'!$BG$6:$BL$44,3,FALSE),"")</f>
        <v/>
      </c>
      <c r="AM2496" s="10" t="str">
        <f>IFERROR(VLOOKUP(B2496,'Pre-Summary'!$BG$6:$BL$44,4,FALSE),"")</f>
        <v/>
      </c>
    </row>
    <row r="2497" spans="2:39" ht="15" customHeight="1" x14ac:dyDescent="0.3">
      <c r="B2497">
        <v>249.4</v>
      </c>
      <c r="C2497" t="str">
        <f>IFERROR(VLOOKUP(B2497,'Pre-Summary'!$DI$6:$DM$23,4,FALSE),"")</f>
        <v/>
      </c>
      <c r="D2497" s="10" t="str">
        <f>IFERROR(VLOOKUP(B2497,'Pre-Summary'!$AT$6:$AX$14,5,FALSE),D2496)</f>
        <v>Wolfe v3: went back to modified wolfe + EDTA and switched CuSO4 to CUCl2</v>
      </c>
      <c r="E2497" s="10" t="str">
        <f>IFERROR(VLOOKUP(B2497,'Pre-Summary'!$AT$6:$AX$15,4,FALSE),"")</f>
        <v/>
      </c>
      <c r="F2497">
        <f>IFERROR(VLOOKUP(B2497,'Pre-Summary'!$AL$6:$AQ$13,6,FALSE),F2496)</f>
        <v>5.9405263157894746E-2</v>
      </c>
      <c r="G2497" t="str">
        <f>IFERROR(VLOOKUP(B2497,'Pre-Summary'!$AE$6:$AJ$85,3,FALSE),"")</f>
        <v/>
      </c>
      <c r="H2497" t="str">
        <f>IFERROR(VLOOKUP(B2497,'Pre-Summary'!$AE$6:$AJ$85,4,FALSE),"")</f>
        <v/>
      </c>
      <c r="I2497" t="str">
        <f>IFERROR(VLOOKUP(B2497,'Pre-Summary'!$AE$6:$AJ$85,5,FALSE),"")</f>
        <v/>
      </c>
      <c r="J2497" s="45" t="str">
        <f>IFERROR(VLOOKUP(B2497,'Pre-Summary'!$AE$6:$AJ$85,6, FALSE),"")</f>
        <v/>
      </c>
      <c r="K2497" s="45" t="str">
        <f>IFERROR(VLOOKUP(B2497,'Pre-Summary'!$DE$6:$DG$61,3,FALSE),"")</f>
        <v/>
      </c>
      <c r="L2497" s="45" t="str">
        <f>IFERROR(VLOOKUP(B2497,'Pre-Summary'!$CU$6:$CW$36,3,FALSE),"")</f>
        <v/>
      </c>
      <c r="M2497" s="45" t="str">
        <f>IFERROR(VLOOKUP(B2497,'Pre-Summary'!$BW$6:$BY$58,2,FALSE),"")</f>
        <v/>
      </c>
      <c r="N2497" s="45" t="str">
        <f>IFERROR(VLOOKUP(B2497,'Pre-Summary'!$CD$6:$CF$64,2,FALSE),"")</f>
        <v/>
      </c>
      <c r="O2497" s="99">
        <f>IFERROR(VLOOKUP(B2497,'Pre-Summary'!$BO$6:$BQ$48,3, FALSE),O2496)</f>
        <v>1.508</v>
      </c>
      <c r="P2497" s="99">
        <f>IFERROR(VLOOKUP(B2497,'Pre-Summary'!$BS$6:$BU$35,3,FALSE),P2496)</f>
        <v>0.4</v>
      </c>
      <c r="Q2497" s="54">
        <f t="shared" si="114"/>
        <v>3.77</v>
      </c>
      <c r="R2497" s="53">
        <f>IFERROR(VLOOKUP(B2497,'Pre-Summary'!$BG$6:$BM$44,7,FALSE),R2498)</f>
        <v>0.1051381075353212</v>
      </c>
      <c r="S2497" s="53">
        <f>IFERROR(VLOOKUP(B2497,'Pre-Summary'!$BG$6:$BM$44,6,FALSE),S2498)</f>
        <v>9.6348174087088401E-2</v>
      </c>
      <c r="T2497" s="45" t="str">
        <f>IFERROR(VLOOKUP(B2497,'Pre-Summary'!$Y$6:$AC$83, 3,FALSE),"")</f>
        <v/>
      </c>
      <c r="U2497" s="45" t="str">
        <f>IFERROR(VLOOKUP(B2497,'Pre-Summary'!$Y$6:$AC$83, 4,FALSE),"")</f>
        <v/>
      </c>
      <c r="V2497" t="str">
        <f>IFERROR(VLOOKUP(B2497,'Pre-Summary'!$Y$6:$AC$83, 5,FALSE),"")</f>
        <v/>
      </c>
      <c r="W2497" s="45" t="str">
        <f>IFERROR(VLOOKUP(B2497,'Pre-Summary'!$Y$6:$AD$83,6,FALSE),"")</f>
        <v/>
      </c>
      <c r="X2497" t="str">
        <f>IFERROR(VLOOKUP('Pre-Summary'!$DB$6:$DD$63,3,FALSE),"")</f>
        <v/>
      </c>
      <c r="Y2497" t="str">
        <f>IFERROR(VLOOKUP(B2497,'Pre-Summary'!$CR$6:$CT$36,3,FALSE),"")</f>
        <v/>
      </c>
      <c r="Z2497" s="45" t="str">
        <f>IFERROR(VLOOKUP(B2497,'Pre-Summary'!$BZ$6:$CB$63,2,FALSE),"")</f>
        <v/>
      </c>
      <c r="AA2497" s="45" t="str">
        <f>IFERROR(VLOOKUP(B2497,'Pre-Summary'!$CG$6:$CI$70,2,FALSE),"")</f>
        <v/>
      </c>
      <c r="AB2497" s="99">
        <f>IFERROR(VLOOKUP(B2497,'Pre-Summary'!$A$6:$P$178,9,FALSE),AB2498)</f>
        <v>0.35236427409982735</v>
      </c>
      <c r="AC2497" s="10">
        <f>IFERROR(VLOOKUP(Summary!B2497,'Pre-Summary'!$A$6:$P$184,5, FALSE)/100,AC2498)</f>
        <v>0.96895166666666666</v>
      </c>
      <c r="AD2497" s="10">
        <f>IFERROR(VLOOKUP(Summary!B2497,'Pre-Summary'!$A$6:$P$184,3, FALSE)/100,AD2498)</f>
        <v>2.0058333333333334E-2</v>
      </c>
      <c r="AE2497" s="10">
        <f>IFERROR(VLOOKUP(Summary!B2497,'Pre-Summary'!$A$6:$P$184,7, FALSE)/100,AE2498)</f>
        <v>1.0990333333333335E-2</v>
      </c>
      <c r="AF2497" s="99">
        <f t="shared" si="115"/>
        <v>7.0678400646523708E-3</v>
      </c>
      <c r="AG2497" s="99">
        <f t="shared" si="116"/>
        <v>3.8726008271151363E-3</v>
      </c>
      <c r="AH2497" s="10" t="str">
        <f>IFERROR(VLOOKUP(B2497,'Pre-Summary'!$AZ$6:$BE$65,3,FALSE),"")</f>
        <v/>
      </c>
      <c r="AI2497" s="10" t="str">
        <f>IFERROR(VLOOKUP(B2497,'Pre-Summary'!$AZ$6:$BE$65,5,FALSE),"")</f>
        <v/>
      </c>
      <c r="AJ2497" s="10" t="str">
        <f>IFERROR(VLOOKUP(B2497,'Pre-Summary'!$AZ$6:$BE$65,4,FALSE),"")</f>
        <v/>
      </c>
      <c r="AK2497" s="10" t="str">
        <f>IFERROR(VLOOKUP(B2497,'Pre-Summary'!$AZ$6:$BE$65,6,FALSE),"")</f>
        <v/>
      </c>
      <c r="AL2497" s="10" t="str">
        <f>IFERROR(VLOOKUP(B2497,'Pre-Summary'!$BG$6:$BL$44,3,FALSE),"")</f>
        <v/>
      </c>
      <c r="AM2497" s="10" t="str">
        <f>IFERROR(VLOOKUP(B2497,'Pre-Summary'!$BG$6:$BL$44,4,FALSE),"")</f>
        <v/>
      </c>
    </row>
    <row r="2498" spans="2:39" ht="15" customHeight="1" x14ac:dyDescent="0.3">
      <c r="B2498">
        <v>249.5</v>
      </c>
      <c r="C2498" t="str">
        <f>IFERROR(VLOOKUP(B2498,'Pre-Summary'!$DI$6:$DM$23,4,FALSE),"")</f>
        <v/>
      </c>
      <c r="D2498" s="10" t="str">
        <f>IFERROR(VLOOKUP(B2498,'Pre-Summary'!$AT$6:$AX$14,5,FALSE),D2497)</f>
        <v>Wolfe v3: went back to modified wolfe + EDTA and switched CuSO4 to CUCl2</v>
      </c>
      <c r="E2498" s="10" t="str">
        <f>IFERROR(VLOOKUP(B2498,'Pre-Summary'!$AT$6:$AX$15,4,FALSE),"")</f>
        <v/>
      </c>
      <c r="F2498">
        <f>IFERROR(VLOOKUP(B2498,'Pre-Summary'!$AL$6:$AQ$13,6,FALSE),F2497)</f>
        <v>5.9405263157894746E-2</v>
      </c>
      <c r="G2498" t="str">
        <f>IFERROR(VLOOKUP(B2498,'Pre-Summary'!$AE$6:$AJ$85,3,FALSE),"")</f>
        <v/>
      </c>
      <c r="H2498" t="str">
        <f>IFERROR(VLOOKUP(B2498,'Pre-Summary'!$AE$6:$AJ$85,4,FALSE),"")</f>
        <v/>
      </c>
      <c r="I2498" t="str">
        <f>IFERROR(VLOOKUP(B2498,'Pre-Summary'!$AE$6:$AJ$85,5,FALSE),"")</f>
        <v/>
      </c>
      <c r="J2498" s="45" t="str">
        <f>IFERROR(VLOOKUP(B2498,'Pre-Summary'!$AE$6:$AJ$85,6, FALSE),"")</f>
        <v/>
      </c>
      <c r="K2498" s="45" t="str">
        <f>IFERROR(VLOOKUP(B2498,'Pre-Summary'!$DE$6:$DG$61,3,FALSE),"")</f>
        <v/>
      </c>
      <c r="L2498" s="45" t="str">
        <f>IFERROR(VLOOKUP(B2498,'Pre-Summary'!$CU$6:$CW$36,3,FALSE),"")</f>
        <v/>
      </c>
      <c r="M2498" s="45" t="str">
        <f>IFERROR(VLOOKUP(B2498,'Pre-Summary'!$BW$6:$BY$58,2,FALSE),"")</f>
        <v/>
      </c>
      <c r="N2498" s="45" t="str">
        <f>IFERROR(VLOOKUP(B2498,'Pre-Summary'!$CD$6:$CF$64,2,FALSE),"")</f>
        <v/>
      </c>
      <c r="O2498" s="99">
        <f>IFERROR(VLOOKUP(B2498,'Pre-Summary'!$BO$6:$BQ$48,3, FALSE),O2497)</f>
        <v>1.508</v>
      </c>
      <c r="P2498" s="99">
        <f>IFERROR(VLOOKUP(B2498,'Pre-Summary'!$BS$6:$BU$35,3,FALSE),P2497)</f>
        <v>0.4</v>
      </c>
      <c r="Q2498" s="54">
        <f t="shared" si="114"/>
        <v>3.77</v>
      </c>
      <c r="R2498" s="53">
        <f>IFERROR(VLOOKUP(B2498,'Pre-Summary'!$BG$6:$BM$44,7,FALSE),R2499)</f>
        <v>0.1051381075353212</v>
      </c>
      <c r="S2498" s="53">
        <f>IFERROR(VLOOKUP(B2498,'Pre-Summary'!$BG$6:$BM$44,6,FALSE),S2499)</f>
        <v>9.6348174087088401E-2</v>
      </c>
      <c r="T2498" s="45" t="str">
        <f>IFERROR(VLOOKUP(B2498,'Pre-Summary'!$Y$6:$AC$83, 3,FALSE),"")</f>
        <v/>
      </c>
      <c r="U2498" s="45" t="str">
        <f>IFERROR(VLOOKUP(B2498,'Pre-Summary'!$Y$6:$AC$83, 4,FALSE),"")</f>
        <v/>
      </c>
      <c r="V2498" t="str">
        <f>IFERROR(VLOOKUP(B2498,'Pre-Summary'!$Y$6:$AC$83, 5,FALSE),"")</f>
        <v/>
      </c>
      <c r="W2498" s="45" t="str">
        <f>IFERROR(VLOOKUP(B2498,'Pre-Summary'!$Y$6:$AD$83,6,FALSE),"")</f>
        <v/>
      </c>
      <c r="X2498" t="str">
        <f>IFERROR(VLOOKUP('Pre-Summary'!$DB$6:$DD$63,3,FALSE),"")</f>
        <v/>
      </c>
      <c r="Y2498" t="str">
        <f>IFERROR(VLOOKUP(B2498,'Pre-Summary'!$CR$6:$CT$36,3,FALSE),"")</f>
        <v/>
      </c>
      <c r="Z2498" s="45" t="str">
        <f>IFERROR(VLOOKUP(B2498,'Pre-Summary'!$BZ$6:$CB$63,2,FALSE),"")</f>
        <v/>
      </c>
      <c r="AA2498" s="45" t="str">
        <f>IFERROR(VLOOKUP(B2498,'Pre-Summary'!$CG$6:$CI$70,2,FALSE),"")</f>
        <v/>
      </c>
      <c r="AB2498" s="99">
        <f>IFERROR(VLOOKUP(B2498,'Pre-Summary'!$A$6:$P$178,9,FALSE),AB2499)</f>
        <v>0.35236427409982735</v>
      </c>
      <c r="AC2498" s="10">
        <f>IFERROR(VLOOKUP(Summary!B2498,'Pre-Summary'!$A$6:$P$184,5, FALSE)/100,AC2499)</f>
        <v>0.96895166666666666</v>
      </c>
      <c r="AD2498" s="10">
        <f>IFERROR(VLOOKUP(Summary!B2498,'Pre-Summary'!$A$6:$P$184,3, FALSE)/100,AD2499)</f>
        <v>2.0058333333333334E-2</v>
      </c>
      <c r="AE2498" s="10">
        <f>IFERROR(VLOOKUP(Summary!B2498,'Pre-Summary'!$A$6:$P$184,7, FALSE)/100,AE2499)</f>
        <v>1.0990333333333335E-2</v>
      </c>
      <c r="AF2498" s="99">
        <f t="shared" si="115"/>
        <v>7.0678400646523708E-3</v>
      </c>
      <c r="AG2498" s="99">
        <f t="shared" si="116"/>
        <v>3.8726008271151363E-3</v>
      </c>
      <c r="AH2498" s="10" t="str">
        <f>IFERROR(VLOOKUP(B2498,'Pre-Summary'!$AZ$6:$BE$65,3,FALSE),"")</f>
        <v/>
      </c>
      <c r="AI2498" s="10" t="str">
        <f>IFERROR(VLOOKUP(B2498,'Pre-Summary'!$AZ$6:$BE$65,5,FALSE),"")</f>
        <v/>
      </c>
      <c r="AJ2498" s="10" t="str">
        <f>IFERROR(VLOOKUP(B2498,'Pre-Summary'!$AZ$6:$BE$65,4,FALSE),"")</f>
        <v/>
      </c>
      <c r="AK2498" s="10" t="str">
        <f>IFERROR(VLOOKUP(B2498,'Pre-Summary'!$AZ$6:$BE$65,6,FALSE),"")</f>
        <v/>
      </c>
      <c r="AL2498" s="10" t="str">
        <f>IFERROR(VLOOKUP(B2498,'Pre-Summary'!$BG$6:$BL$44,3,FALSE),"")</f>
        <v/>
      </c>
      <c r="AM2498" s="10" t="str">
        <f>IFERROR(VLOOKUP(B2498,'Pre-Summary'!$BG$6:$BL$44,4,FALSE),"")</f>
        <v/>
      </c>
    </row>
    <row r="2499" spans="2:39" ht="15" customHeight="1" x14ac:dyDescent="0.3">
      <c r="B2499">
        <v>249.6</v>
      </c>
      <c r="C2499" t="str">
        <f>IFERROR(VLOOKUP(B2499,'Pre-Summary'!$DI$6:$DM$23,4,FALSE),"")</f>
        <v/>
      </c>
      <c r="D2499" s="10" t="str">
        <f>IFERROR(VLOOKUP(B2499,'Pre-Summary'!$AT$6:$AX$14,5,FALSE),D2498)</f>
        <v>Wolfe v3: went back to modified wolfe + EDTA and switched CuSO4 to CUCl2</v>
      </c>
      <c r="E2499" s="10" t="str">
        <f>IFERROR(VLOOKUP(B2499,'Pre-Summary'!$AT$6:$AX$15,4,FALSE),"")</f>
        <v/>
      </c>
      <c r="F2499">
        <f>IFERROR(VLOOKUP(B2499,'Pre-Summary'!$AL$6:$AQ$13,6,FALSE),F2498)</f>
        <v>5.9405263157894746E-2</v>
      </c>
      <c r="G2499" t="str">
        <f>IFERROR(VLOOKUP(B2499,'Pre-Summary'!$AE$6:$AJ$85,3,FALSE),"")</f>
        <v/>
      </c>
      <c r="H2499" t="str">
        <f>IFERROR(VLOOKUP(B2499,'Pre-Summary'!$AE$6:$AJ$85,4,FALSE),"")</f>
        <v/>
      </c>
      <c r="I2499" t="str">
        <f>IFERROR(VLOOKUP(B2499,'Pre-Summary'!$AE$6:$AJ$85,5,FALSE),"")</f>
        <v/>
      </c>
      <c r="J2499" s="45" t="str">
        <f>IFERROR(VLOOKUP(B2499,'Pre-Summary'!$AE$6:$AJ$85,6, FALSE),"")</f>
        <v/>
      </c>
      <c r="K2499" s="45" t="str">
        <f>IFERROR(VLOOKUP(B2499,'Pre-Summary'!$DE$6:$DG$61,3,FALSE),"")</f>
        <v/>
      </c>
      <c r="L2499" s="45" t="str">
        <f>IFERROR(VLOOKUP(B2499,'Pre-Summary'!$CU$6:$CW$36,3,FALSE),"")</f>
        <v/>
      </c>
      <c r="M2499" s="45" t="str">
        <f>IFERROR(VLOOKUP(B2499,'Pre-Summary'!$BW$6:$BY$58,2,FALSE),"")</f>
        <v/>
      </c>
      <c r="N2499" s="45" t="str">
        <f>IFERROR(VLOOKUP(B2499,'Pre-Summary'!$CD$6:$CF$64,2,FALSE),"")</f>
        <v/>
      </c>
      <c r="O2499" s="99">
        <f>IFERROR(VLOOKUP(B2499,'Pre-Summary'!$BO$6:$BQ$48,3, FALSE),O2498)</f>
        <v>1.508</v>
      </c>
      <c r="P2499" s="99">
        <f>IFERROR(VLOOKUP(B2499,'Pre-Summary'!$BS$6:$BU$35,3,FALSE),P2498)</f>
        <v>0.4</v>
      </c>
      <c r="Q2499" s="54">
        <f t="shared" ref="Q2499:Q2562" si="117">O2499/P2499</f>
        <v>3.77</v>
      </c>
      <c r="R2499" s="53">
        <f>IFERROR(VLOOKUP(B2499,'Pre-Summary'!$BG$6:$BM$44,7,FALSE),R2500)</f>
        <v>0.1051381075353212</v>
      </c>
      <c r="S2499" s="53">
        <f>IFERROR(VLOOKUP(B2499,'Pre-Summary'!$BG$6:$BM$44,6,FALSE),S2500)</f>
        <v>9.6348174087088401E-2</v>
      </c>
      <c r="T2499" s="45" t="str">
        <f>IFERROR(VLOOKUP(B2499,'Pre-Summary'!$Y$6:$AC$83, 3,FALSE),"")</f>
        <v/>
      </c>
      <c r="U2499" s="45" t="str">
        <f>IFERROR(VLOOKUP(B2499,'Pre-Summary'!$Y$6:$AC$83, 4,FALSE),"")</f>
        <v/>
      </c>
      <c r="V2499" t="str">
        <f>IFERROR(VLOOKUP(B2499,'Pre-Summary'!$Y$6:$AC$83, 5,FALSE),"")</f>
        <v/>
      </c>
      <c r="W2499" s="45" t="str">
        <f>IFERROR(VLOOKUP(B2499,'Pre-Summary'!$Y$6:$AD$83,6,FALSE),"")</f>
        <v/>
      </c>
      <c r="X2499" t="str">
        <f>IFERROR(VLOOKUP('Pre-Summary'!$DB$6:$DD$63,3,FALSE),"")</f>
        <v/>
      </c>
      <c r="Y2499" t="str">
        <f>IFERROR(VLOOKUP(B2499,'Pre-Summary'!$CR$6:$CT$36,3,FALSE),"")</f>
        <v/>
      </c>
      <c r="Z2499" s="45" t="str">
        <f>IFERROR(VLOOKUP(B2499,'Pre-Summary'!$BZ$6:$CB$63,2,FALSE),"")</f>
        <v/>
      </c>
      <c r="AA2499" s="45" t="str">
        <f>IFERROR(VLOOKUP(B2499,'Pre-Summary'!$CG$6:$CI$70,2,FALSE),"")</f>
        <v/>
      </c>
      <c r="AB2499" s="99">
        <f>IFERROR(VLOOKUP(B2499,'Pre-Summary'!$A$6:$P$178,9,FALSE),AB2500)</f>
        <v>0.35236427409982735</v>
      </c>
      <c r="AC2499" s="10">
        <f>IFERROR(VLOOKUP(Summary!B2499,'Pre-Summary'!$A$6:$P$184,5, FALSE)/100,AC2500)</f>
        <v>0.96895166666666666</v>
      </c>
      <c r="AD2499" s="10">
        <f>IFERROR(VLOOKUP(Summary!B2499,'Pre-Summary'!$A$6:$P$184,3, FALSE)/100,AD2500)</f>
        <v>2.0058333333333334E-2</v>
      </c>
      <c r="AE2499" s="10">
        <f>IFERROR(VLOOKUP(Summary!B2499,'Pre-Summary'!$A$6:$P$184,7, FALSE)/100,AE2500)</f>
        <v>1.0990333333333335E-2</v>
      </c>
      <c r="AF2499" s="99">
        <f t="shared" ref="AF2499:AF2562" si="118">AD2499*AB2499</f>
        <v>7.0678400646523708E-3</v>
      </c>
      <c r="AG2499" s="99">
        <f t="shared" ref="AG2499:AG2562" si="119">AB2499*AE2499</f>
        <v>3.8726008271151363E-3</v>
      </c>
      <c r="AH2499" s="10" t="str">
        <f>IFERROR(VLOOKUP(B2499,'Pre-Summary'!$AZ$6:$BE$65,3,FALSE),"")</f>
        <v/>
      </c>
      <c r="AI2499" s="10" t="str">
        <f>IFERROR(VLOOKUP(B2499,'Pre-Summary'!$AZ$6:$BE$65,5,FALSE),"")</f>
        <v/>
      </c>
      <c r="AJ2499" s="10" t="str">
        <f>IFERROR(VLOOKUP(B2499,'Pre-Summary'!$AZ$6:$BE$65,4,FALSE),"")</f>
        <v/>
      </c>
      <c r="AK2499" s="10" t="str">
        <f>IFERROR(VLOOKUP(B2499,'Pre-Summary'!$AZ$6:$BE$65,6,FALSE),"")</f>
        <v/>
      </c>
      <c r="AL2499" s="10" t="str">
        <f>IFERROR(VLOOKUP(B2499,'Pre-Summary'!$BG$6:$BL$44,3,FALSE),"")</f>
        <v/>
      </c>
      <c r="AM2499" s="10" t="str">
        <f>IFERROR(VLOOKUP(B2499,'Pre-Summary'!$BG$6:$BL$44,4,FALSE),"")</f>
        <v/>
      </c>
    </row>
    <row r="2500" spans="2:39" ht="15" customHeight="1" x14ac:dyDescent="0.3">
      <c r="B2500">
        <v>249.7</v>
      </c>
      <c r="C2500" t="str">
        <f>IFERROR(VLOOKUP(B2500,'Pre-Summary'!$DI$6:$DM$23,4,FALSE),"")</f>
        <v/>
      </c>
      <c r="D2500" s="10" t="str">
        <f>IFERROR(VLOOKUP(B2500,'Pre-Summary'!$AT$6:$AX$14,5,FALSE),D2499)</f>
        <v>Wolfe v3: went back to modified wolfe + EDTA and switched CuSO4 to CUCl2</v>
      </c>
      <c r="E2500" s="10" t="str">
        <f>IFERROR(VLOOKUP(B2500,'Pre-Summary'!$AT$6:$AX$15,4,FALSE),"")</f>
        <v/>
      </c>
      <c r="F2500">
        <f>IFERROR(VLOOKUP(B2500,'Pre-Summary'!$AL$6:$AQ$13,6,FALSE),F2499)</f>
        <v>5.9405263157894746E-2</v>
      </c>
      <c r="G2500" t="str">
        <f>IFERROR(VLOOKUP(B2500,'Pre-Summary'!$AE$6:$AJ$85,3,FALSE),"")</f>
        <v/>
      </c>
      <c r="H2500" t="str">
        <f>IFERROR(VLOOKUP(B2500,'Pre-Summary'!$AE$6:$AJ$85,4,FALSE),"")</f>
        <v/>
      </c>
      <c r="I2500" t="str">
        <f>IFERROR(VLOOKUP(B2500,'Pre-Summary'!$AE$6:$AJ$85,5,FALSE),"")</f>
        <v/>
      </c>
      <c r="J2500" s="45" t="str">
        <f>IFERROR(VLOOKUP(B2500,'Pre-Summary'!$AE$6:$AJ$85,6, FALSE),"")</f>
        <v/>
      </c>
      <c r="K2500" s="45" t="str">
        <f>IFERROR(VLOOKUP(B2500,'Pre-Summary'!$DE$6:$DG$61,3,FALSE),"")</f>
        <v/>
      </c>
      <c r="L2500" s="45" t="str">
        <f>IFERROR(VLOOKUP(B2500,'Pre-Summary'!$CU$6:$CW$36,3,FALSE),"")</f>
        <v/>
      </c>
      <c r="M2500" s="45" t="str">
        <f>IFERROR(VLOOKUP(B2500,'Pre-Summary'!$BW$6:$BY$58,2,FALSE),"")</f>
        <v/>
      </c>
      <c r="N2500" s="45" t="str">
        <f>IFERROR(VLOOKUP(B2500,'Pre-Summary'!$CD$6:$CF$64,2,FALSE),"")</f>
        <v/>
      </c>
      <c r="O2500" s="99">
        <f>IFERROR(VLOOKUP(B2500,'Pre-Summary'!$BO$6:$BQ$48,3, FALSE),O2499)</f>
        <v>1.508</v>
      </c>
      <c r="P2500" s="99">
        <f>IFERROR(VLOOKUP(B2500,'Pre-Summary'!$BS$6:$BU$35,3,FALSE),P2499)</f>
        <v>0.4</v>
      </c>
      <c r="Q2500" s="54">
        <f t="shared" si="117"/>
        <v>3.77</v>
      </c>
      <c r="R2500" s="53">
        <f>IFERROR(VLOOKUP(B2500,'Pre-Summary'!$BG$6:$BM$44,7,FALSE),R2501)</f>
        <v>0.1051381075353212</v>
      </c>
      <c r="S2500" s="53">
        <f>IFERROR(VLOOKUP(B2500,'Pre-Summary'!$BG$6:$BM$44,6,FALSE),S2501)</f>
        <v>9.6348174087088401E-2</v>
      </c>
      <c r="T2500" s="45" t="str">
        <f>IFERROR(VLOOKUP(B2500,'Pre-Summary'!$Y$6:$AC$83, 3,FALSE),"")</f>
        <v/>
      </c>
      <c r="U2500" s="45" t="str">
        <f>IFERROR(VLOOKUP(B2500,'Pre-Summary'!$Y$6:$AC$83, 4,FALSE),"")</f>
        <v/>
      </c>
      <c r="V2500" t="str">
        <f>IFERROR(VLOOKUP(B2500,'Pre-Summary'!$Y$6:$AC$83, 5,FALSE),"")</f>
        <v/>
      </c>
      <c r="W2500" s="45" t="str">
        <f>IFERROR(VLOOKUP(B2500,'Pre-Summary'!$Y$6:$AD$83,6,FALSE),"")</f>
        <v/>
      </c>
      <c r="X2500" t="str">
        <f>IFERROR(VLOOKUP('Pre-Summary'!$DB$6:$DD$63,3,FALSE),"")</f>
        <v/>
      </c>
      <c r="Y2500" t="str">
        <f>IFERROR(VLOOKUP(B2500,'Pre-Summary'!$CR$6:$CT$36,3,FALSE),"")</f>
        <v/>
      </c>
      <c r="Z2500" s="45" t="str">
        <f>IFERROR(VLOOKUP(B2500,'Pre-Summary'!$BZ$6:$CB$63,2,FALSE),"")</f>
        <v/>
      </c>
      <c r="AA2500" s="45" t="str">
        <f>IFERROR(VLOOKUP(B2500,'Pre-Summary'!$CG$6:$CI$70,2,FALSE),"")</f>
        <v/>
      </c>
      <c r="AB2500" s="99">
        <f>IFERROR(VLOOKUP(B2500,'Pre-Summary'!$A$6:$P$178,9,FALSE),AB2501)</f>
        <v>0.35236427409982735</v>
      </c>
      <c r="AC2500" s="10">
        <f>IFERROR(VLOOKUP(Summary!B2500,'Pre-Summary'!$A$6:$P$184,5, FALSE)/100,AC2501)</f>
        <v>0.96895166666666666</v>
      </c>
      <c r="AD2500" s="10">
        <f>IFERROR(VLOOKUP(Summary!B2500,'Pre-Summary'!$A$6:$P$184,3, FALSE)/100,AD2501)</f>
        <v>2.0058333333333334E-2</v>
      </c>
      <c r="AE2500" s="10">
        <f>IFERROR(VLOOKUP(Summary!B2500,'Pre-Summary'!$A$6:$P$184,7, FALSE)/100,AE2501)</f>
        <v>1.0990333333333335E-2</v>
      </c>
      <c r="AF2500" s="99">
        <f t="shared" si="118"/>
        <v>7.0678400646523708E-3</v>
      </c>
      <c r="AG2500" s="99">
        <f t="shared" si="119"/>
        <v>3.8726008271151363E-3</v>
      </c>
      <c r="AH2500" s="10" t="str">
        <f>IFERROR(VLOOKUP(B2500,'Pre-Summary'!$AZ$6:$BE$65,3,FALSE),"")</f>
        <v/>
      </c>
      <c r="AI2500" s="10" t="str">
        <f>IFERROR(VLOOKUP(B2500,'Pre-Summary'!$AZ$6:$BE$65,5,FALSE),"")</f>
        <v/>
      </c>
      <c r="AJ2500" s="10" t="str">
        <f>IFERROR(VLOOKUP(B2500,'Pre-Summary'!$AZ$6:$BE$65,4,FALSE),"")</f>
        <v/>
      </c>
      <c r="AK2500" s="10" t="str">
        <f>IFERROR(VLOOKUP(B2500,'Pre-Summary'!$AZ$6:$BE$65,6,FALSE),"")</f>
        <v/>
      </c>
      <c r="AL2500" s="10" t="str">
        <f>IFERROR(VLOOKUP(B2500,'Pre-Summary'!$BG$6:$BL$44,3,FALSE),"")</f>
        <v/>
      </c>
      <c r="AM2500" s="10" t="str">
        <f>IFERROR(VLOOKUP(B2500,'Pre-Summary'!$BG$6:$BL$44,4,FALSE),"")</f>
        <v/>
      </c>
    </row>
    <row r="2501" spans="2:39" ht="15" customHeight="1" x14ac:dyDescent="0.3">
      <c r="B2501">
        <v>249.8</v>
      </c>
      <c r="C2501" t="str">
        <f>IFERROR(VLOOKUP(B2501,'Pre-Summary'!$DI$6:$DM$23,4,FALSE),"")</f>
        <v/>
      </c>
      <c r="D2501" s="10" t="str">
        <f>IFERROR(VLOOKUP(B2501,'Pre-Summary'!$AT$6:$AX$14,5,FALSE),D2500)</f>
        <v>Wolfe v3: went back to modified wolfe + EDTA and switched CuSO4 to CUCl2</v>
      </c>
      <c r="E2501" s="10" t="str">
        <f>IFERROR(VLOOKUP(B2501,'Pre-Summary'!$AT$6:$AX$15,4,FALSE),"")</f>
        <v/>
      </c>
      <c r="F2501">
        <f>IFERROR(VLOOKUP(B2501,'Pre-Summary'!$AL$6:$AQ$13,6,FALSE),F2500)</f>
        <v>5.9405263157894746E-2</v>
      </c>
      <c r="G2501" t="str">
        <f>IFERROR(VLOOKUP(B2501,'Pre-Summary'!$AE$6:$AJ$85,3,FALSE),"")</f>
        <v/>
      </c>
      <c r="H2501" t="str">
        <f>IFERROR(VLOOKUP(B2501,'Pre-Summary'!$AE$6:$AJ$85,4,FALSE),"")</f>
        <v/>
      </c>
      <c r="I2501" t="str">
        <f>IFERROR(VLOOKUP(B2501,'Pre-Summary'!$AE$6:$AJ$85,5,FALSE),"")</f>
        <v/>
      </c>
      <c r="J2501" s="45" t="str">
        <f>IFERROR(VLOOKUP(B2501,'Pre-Summary'!$AE$6:$AJ$85,6, FALSE),"")</f>
        <v/>
      </c>
      <c r="K2501" s="45" t="str">
        <f>IFERROR(VLOOKUP(B2501,'Pre-Summary'!$DE$6:$DG$61,3,FALSE),"")</f>
        <v/>
      </c>
      <c r="L2501" s="45" t="str">
        <f>IFERROR(VLOOKUP(B2501,'Pre-Summary'!$CU$6:$CW$36,3,FALSE),"")</f>
        <v/>
      </c>
      <c r="M2501" s="45" t="str">
        <f>IFERROR(VLOOKUP(B2501,'Pre-Summary'!$BW$6:$BY$58,2,FALSE),"")</f>
        <v/>
      </c>
      <c r="N2501" s="45" t="str">
        <f>IFERROR(VLOOKUP(B2501,'Pre-Summary'!$CD$6:$CF$64,2,FALSE),"")</f>
        <v/>
      </c>
      <c r="O2501" s="99">
        <f>IFERROR(VLOOKUP(B2501,'Pre-Summary'!$BO$6:$BQ$48,3, FALSE),O2500)</f>
        <v>1.508</v>
      </c>
      <c r="P2501" s="99">
        <f>IFERROR(VLOOKUP(B2501,'Pre-Summary'!$BS$6:$BU$35,3,FALSE),P2500)</f>
        <v>0.4</v>
      </c>
      <c r="Q2501" s="54">
        <f t="shared" si="117"/>
        <v>3.77</v>
      </c>
      <c r="R2501" s="53">
        <f>IFERROR(VLOOKUP(B2501,'Pre-Summary'!$BG$6:$BM$44,7,FALSE),R2502)</f>
        <v>0.1051381075353212</v>
      </c>
      <c r="S2501" s="53">
        <f>IFERROR(VLOOKUP(B2501,'Pre-Summary'!$BG$6:$BM$44,6,FALSE),S2502)</f>
        <v>9.6348174087088401E-2</v>
      </c>
      <c r="T2501" s="45" t="str">
        <f>IFERROR(VLOOKUP(B2501,'Pre-Summary'!$Y$6:$AC$83, 3,FALSE),"")</f>
        <v/>
      </c>
      <c r="U2501" s="45" t="str">
        <f>IFERROR(VLOOKUP(B2501,'Pre-Summary'!$Y$6:$AC$83, 4,FALSE),"")</f>
        <v/>
      </c>
      <c r="V2501" t="str">
        <f>IFERROR(VLOOKUP(B2501,'Pre-Summary'!$Y$6:$AC$83, 5,FALSE),"")</f>
        <v/>
      </c>
      <c r="W2501" s="45" t="str">
        <f>IFERROR(VLOOKUP(B2501,'Pre-Summary'!$Y$6:$AD$83,6,FALSE),"")</f>
        <v/>
      </c>
      <c r="X2501" t="str">
        <f>IFERROR(VLOOKUP('Pre-Summary'!$DB$6:$DD$63,3,FALSE),"")</f>
        <v/>
      </c>
      <c r="Y2501" t="str">
        <f>IFERROR(VLOOKUP(B2501,'Pre-Summary'!$CR$6:$CT$36,3,FALSE),"")</f>
        <v/>
      </c>
      <c r="Z2501" s="45" t="str">
        <f>IFERROR(VLOOKUP(B2501,'Pre-Summary'!$BZ$6:$CB$63,2,FALSE),"")</f>
        <v/>
      </c>
      <c r="AA2501" s="45" t="str">
        <f>IFERROR(VLOOKUP(B2501,'Pre-Summary'!$CG$6:$CI$70,2,FALSE),"")</f>
        <v/>
      </c>
      <c r="AB2501" s="99">
        <f>IFERROR(VLOOKUP(B2501,'Pre-Summary'!$A$6:$P$178,9,FALSE),AB2502)</f>
        <v>0.35236427409982735</v>
      </c>
      <c r="AC2501" s="10">
        <f>IFERROR(VLOOKUP(Summary!B2501,'Pre-Summary'!$A$6:$P$184,5, FALSE)/100,AC2502)</f>
        <v>0.96895166666666666</v>
      </c>
      <c r="AD2501" s="10">
        <f>IFERROR(VLOOKUP(Summary!B2501,'Pre-Summary'!$A$6:$P$184,3, FALSE)/100,AD2502)</f>
        <v>2.0058333333333334E-2</v>
      </c>
      <c r="AE2501" s="10">
        <f>IFERROR(VLOOKUP(Summary!B2501,'Pre-Summary'!$A$6:$P$184,7, FALSE)/100,AE2502)</f>
        <v>1.0990333333333335E-2</v>
      </c>
      <c r="AF2501" s="99">
        <f t="shared" si="118"/>
        <v>7.0678400646523708E-3</v>
      </c>
      <c r="AG2501" s="99">
        <f t="shared" si="119"/>
        <v>3.8726008271151363E-3</v>
      </c>
      <c r="AH2501" s="10" t="str">
        <f>IFERROR(VLOOKUP(B2501,'Pre-Summary'!$AZ$6:$BE$65,3,FALSE),"")</f>
        <v/>
      </c>
      <c r="AI2501" s="10" t="str">
        <f>IFERROR(VLOOKUP(B2501,'Pre-Summary'!$AZ$6:$BE$65,5,FALSE),"")</f>
        <v/>
      </c>
      <c r="AJ2501" s="10" t="str">
        <f>IFERROR(VLOOKUP(B2501,'Pre-Summary'!$AZ$6:$BE$65,4,FALSE),"")</f>
        <v/>
      </c>
      <c r="AK2501" s="10" t="str">
        <f>IFERROR(VLOOKUP(B2501,'Pre-Summary'!$AZ$6:$BE$65,6,FALSE),"")</f>
        <v/>
      </c>
      <c r="AL2501" s="10" t="str">
        <f>IFERROR(VLOOKUP(B2501,'Pre-Summary'!$BG$6:$BL$44,3,FALSE),"")</f>
        <v/>
      </c>
      <c r="AM2501" s="10" t="str">
        <f>IFERROR(VLOOKUP(B2501,'Pre-Summary'!$BG$6:$BL$44,4,FALSE),"")</f>
        <v/>
      </c>
    </row>
    <row r="2502" spans="2:39" ht="15" customHeight="1" x14ac:dyDescent="0.3">
      <c r="B2502">
        <v>249.9</v>
      </c>
      <c r="C2502" t="str">
        <f>IFERROR(VLOOKUP(B2502,'Pre-Summary'!$DI$6:$DM$23,4,FALSE),"")</f>
        <v/>
      </c>
      <c r="D2502" s="10" t="str">
        <f>IFERROR(VLOOKUP(B2502,'Pre-Summary'!$AT$6:$AX$14,5,FALSE),D2501)</f>
        <v>Wolfe v3: went back to modified wolfe + EDTA and switched CuSO4 to CUCl2</v>
      </c>
      <c r="E2502" s="10" t="str">
        <f>IFERROR(VLOOKUP(B2502,'Pre-Summary'!$AT$6:$AX$15,4,FALSE),"")</f>
        <v/>
      </c>
      <c r="F2502">
        <f>IFERROR(VLOOKUP(B2502,'Pre-Summary'!$AL$6:$AQ$13,6,FALSE),F2501)</f>
        <v>5.9405263157894746E-2</v>
      </c>
      <c r="G2502" t="str">
        <f>IFERROR(VLOOKUP(B2502,'Pre-Summary'!$AE$6:$AJ$85,3,FALSE),"")</f>
        <v/>
      </c>
      <c r="H2502" t="str">
        <f>IFERROR(VLOOKUP(B2502,'Pre-Summary'!$AE$6:$AJ$85,4,FALSE),"")</f>
        <v/>
      </c>
      <c r="I2502" t="str">
        <f>IFERROR(VLOOKUP(B2502,'Pre-Summary'!$AE$6:$AJ$85,5,FALSE),"")</f>
        <v/>
      </c>
      <c r="J2502" s="45" t="str">
        <f>IFERROR(VLOOKUP(B2502,'Pre-Summary'!$AE$6:$AJ$85,6, FALSE),"")</f>
        <v/>
      </c>
      <c r="K2502" s="45" t="str">
        <f>IFERROR(VLOOKUP(B2502,'Pre-Summary'!$DE$6:$DG$61,3,FALSE),"")</f>
        <v/>
      </c>
      <c r="L2502" s="45" t="str">
        <f>IFERROR(VLOOKUP(B2502,'Pre-Summary'!$CU$6:$CW$36,3,FALSE),"")</f>
        <v/>
      </c>
      <c r="M2502" s="45" t="str">
        <f>IFERROR(VLOOKUP(B2502,'Pre-Summary'!$BW$6:$BY$58,2,FALSE),"")</f>
        <v/>
      </c>
      <c r="N2502" s="45" t="str">
        <f>IFERROR(VLOOKUP(B2502,'Pre-Summary'!$CD$6:$CF$64,2,FALSE),"")</f>
        <v/>
      </c>
      <c r="O2502" s="99">
        <f>IFERROR(VLOOKUP(B2502,'Pre-Summary'!$BO$6:$BQ$48,3, FALSE),O2501)</f>
        <v>1.508</v>
      </c>
      <c r="P2502" s="99">
        <f>IFERROR(VLOOKUP(B2502,'Pre-Summary'!$BS$6:$BU$35,3,FALSE),P2501)</f>
        <v>0.4</v>
      </c>
      <c r="Q2502" s="54">
        <f t="shared" si="117"/>
        <v>3.77</v>
      </c>
      <c r="R2502" s="53">
        <f>IFERROR(VLOOKUP(B2502,'Pre-Summary'!$BG$6:$BM$44,7,FALSE),R2503)</f>
        <v>0.1051381075353212</v>
      </c>
      <c r="S2502" s="53">
        <f>IFERROR(VLOOKUP(B2502,'Pre-Summary'!$BG$6:$BM$44,6,FALSE),S2503)</f>
        <v>9.6348174087088401E-2</v>
      </c>
      <c r="T2502" s="45" t="str">
        <f>IFERROR(VLOOKUP(B2502,'Pre-Summary'!$Y$6:$AC$83, 3,FALSE),"")</f>
        <v/>
      </c>
      <c r="U2502" s="45" t="str">
        <f>IFERROR(VLOOKUP(B2502,'Pre-Summary'!$Y$6:$AC$83, 4,FALSE),"")</f>
        <v/>
      </c>
      <c r="V2502" t="str">
        <f>IFERROR(VLOOKUP(B2502,'Pre-Summary'!$Y$6:$AC$83, 5,FALSE),"")</f>
        <v/>
      </c>
      <c r="W2502" s="45" t="str">
        <f>IFERROR(VLOOKUP(B2502,'Pre-Summary'!$Y$6:$AD$83,6,FALSE),"")</f>
        <v/>
      </c>
      <c r="X2502" t="str">
        <f>IFERROR(VLOOKUP('Pre-Summary'!$DB$6:$DD$63,3,FALSE),"")</f>
        <v/>
      </c>
      <c r="Y2502" t="str">
        <f>IFERROR(VLOOKUP(B2502,'Pre-Summary'!$CR$6:$CT$36,3,FALSE),"")</f>
        <v/>
      </c>
      <c r="Z2502" s="45" t="str">
        <f>IFERROR(VLOOKUP(B2502,'Pre-Summary'!$BZ$6:$CB$63,2,FALSE),"")</f>
        <v/>
      </c>
      <c r="AA2502" s="45" t="str">
        <f>IFERROR(VLOOKUP(B2502,'Pre-Summary'!$CG$6:$CI$70,2,FALSE),"")</f>
        <v/>
      </c>
      <c r="AB2502" s="99">
        <f>IFERROR(VLOOKUP(B2502,'Pre-Summary'!$A$6:$P$178,9,FALSE),AB2503)</f>
        <v>0.35236427409982735</v>
      </c>
      <c r="AC2502" s="10">
        <f>IFERROR(VLOOKUP(Summary!B2502,'Pre-Summary'!$A$6:$P$184,5, FALSE)/100,AC2503)</f>
        <v>0.96895166666666666</v>
      </c>
      <c r="AD2502" s="10">
        <f>IFERROR(VLOOKUP(Summary!B2502,'Pre-Summary'!$A$6:$P$184,3, FALSE)/100,AD2503)</f>
        <v>2.0058333333333334E-2</v>
      </c>
      <c r="AE2502" s="10">
        <f>IFERROR(VLOOKUP(Summary!B2502,'Pre-Summary'!$A$6:$P$184,7, FALSE)/100,AE2503)</f>
        <v>1.0990333333333335E-2</v>
      </c>
      <c r="AF2502" s="99">
        <f t="shared" si="118"/>
        <v>7.0678400646523708E-3</v>
      </c>
      <c r="AG2502" s="99">
        <f t="shared" si="119"/>
        <v>3.8726008271151363E-3</v>
      </c>
      <c r="AH2502" s="10" t="str">
        <f>IFERROR(VLOOKUP(B2502,'Pre-Summary'!$AZ$6:$BE$65,3,FALSE),"")</f>
        <v/>
      </c>
      <c r="AI2502" s="10" t="str">
        <f>IFERROR(VLOOKUP(B2502,'Pre-Summary'!$AZ$6:$BE$65,5,FALSE),"")</f>
        <v/>
      </c>
      <c r="AJ2502" s="10" t="str">
        <f>IFERROR(VLOOKUP(B2502,'Pre-Summary'!$AZ$6:$BE$65,4,FALSE),"")</f>
        <v/>
      </c>
      <c r="AK2502" s="10" t="str">
        <f>IFERROR(VLOOKUP(B2502,'Pre-Summary'!$AZ$6:$BE$65,6,FALSE),"")</f>
        <v/>
      </c>
      <c r="AL2502" s="10" t="str">
        <f>IFERROR(VLOOKUP(B2502,'Pre-Summary'!$BG$6:$BL$44,3,FALSE),"")</f>
        <v/>
      </c>
      <c r="AM2502" s="10" t="str">
        <f>IFERROR(VLOOKUP(B2502,'Pre-Summary'!$BG$6:$BL$44,4,FALSE),"")</f>
        <v/>
      </c>
    </row>
    <row r="2503" spans="2:39" ht="15" customHeight="1" x14ac:dyDescent="0.3">
      <c r="B2503">
        <v>250</v>
      </c>
      <c r="C2503" t="str">
        <f>IFERROR(VLOOKUP(B2503,'Pre-Summary'!$DI$6:$DM$23,4,FALSE),"")</f>
        <v/>
      </c>
      <c r="D2503" s="10" t="str">
        <f>IFERROR(VLOOKUP(B2503,'Pre-Summary'!$AT$6:$AX$14,5,FALSE),D2502)</f>
        <v>Wolfe v3: went back to modified wolfe + EDTA and switched CuSO4 to CUCl2</v>
      </c>
      <c r="E2503" s="10" t="str">
        <f>IFERROR(VLOOKUP(B2503,'Pre-Summary'!$AT$6:$AX$15,4,FALSE),"")</f>
        <v/>
      </c>
      <c r="F2503">
        <f>IFERROR(VLOOKUP(B2503,'Pre-Summary'!$AL$6:$AQ$13,6,FALSE),F2502)</f>
        <v>5.9405263157894746E-2</v>
      </c>
      <c r="G2503" t="str">
        <f>IFERROR(VLOOKUP(B2503,'Pre-Summary'!$AE$6:$AJ$85,3,FALSE),"")</f>
        <v/>
      </c>
      <c r="H2503" t="str">
        <f>IFERROR(VLOOKUP(B2503,'Pre-Summary'!$AE$6:$AJ$85,4,FALSE),"")</f>
        <v/>
      </c>
      <c r="I2503" t="str">
        <f>IFERROR(VLOOKUP(B2503,'Pre-Summary'!$AE$6:$AJ$85,5,FALSE),"")</f>
        <v/>
      </c>
      <c r="J2503" s="45" t="str">
        <f>IFERROR(VLOOKUP(B2503,'Pre-Summary'!$AE$6:$AJ$85,6, FALSE),"")</f>
        <v/>
      </c>
      <c r="K2503" s="45" t="str">
        <f>IFERROR(VLOOKUP(B2503,'Pre-Summary'!$DE$6:$DG$61,3,FALSE),"")</f>
        <v/>
      </c>
      <c r="L2503" s="45" t="str">
        <f>IFERROR(VLOOKUP(B2503,'Pre-Summary'!$CU$6:$CW$36,3,FALSE),"")</f>
        <v/>
      </c>
      <c r="M2503" s="45" t="str">
        <f>IFERROR(VLOOKUP(B2503,'Pre-Summary'!$BW$6:$BY$58,2,FALSE),"")</f>
        <v/>
      </c>
      <c r="N2503" s="45" t="str">
        <f>IFERROR(VLOOKUP(B2503,'Pre-Summary'!$CD$6:$CF$64,2,FALSE),"")</f>
        <v/>
      </c>
      <c r="O2503" s="99">
        <f>IFERROR(VLOOKUP(B2503,'Pre-Summary'!$BO$6:$BQ$48,3, FALSE),O2502)</f>
        <v>1.508</v>
      </c>
      <c r="P2503" s="99">
        <f>IFERROR(VLOOKUP(B2503,'Pre-Summary'!$BS$6:$BU$35,3,FALSE),P2502)</f>
        <v>0.4</v>
      </c>
      <c r="Q2503" s="54">
        <f t="shared" si="117"/>
        <v>3.77</v>
      </c>
      <c r="R2503" s="53">
        <f>IFERROR(VLOOKUP(B2503,'Pre-Summary'!$BG$6:$BM$44,7,FALSE),R2504)</f>
        <v>0.1051381075353212</v>
      </c>
      <c r="S2503" s="53">
        <f>IFERROR(VLOOKUP(B2503,'Pre-Summary'!$BG$6:$BM$44,6,FALSE),S2504)</f>
        <v>9.6348174087088401E-2</v>
      </c>
      <c r="T2503" s="45" t="str">
        <f>IFERROR(VLOOKUP(B2503,'Pre-Summary'!$Y$6:$AC$83, 3,FALSE),"")</f>
        <v/>
      </c>
      <c r="U2503" s="45" t="str">
        <f>IFERROR(VLOOKUP(B2503,'Pre-Summary'!$Y$6:$AC$83, 4,FALSE),"")</f>
        <v/>
      </c>
      <c r="V2503" t="str">
        <f>IFERROR(VLOOKUP(B2503,'Pre-Summary'!$Y$6:$AC$83, 5,FALSE),"")</f>
        <v/>
      </c>
      <c r="W2503" s="45" t="str">
        <f>IFERROR(VLOOKUP(B2503,'Pre-Summary'!$Y$6:$AD$83,6,FALSE),"")</f>
        <v/>
      </c>
      <c r="X2503" t="str">
        <f>IFERROR(VLOOKUP('Pre-Summary'!$DB$6:$DD$63,3,FALSE),"")</f>
        <v/>
      </c>
      <c r="Y2503" t="str">
        <f>IFERROR(VLOOKUP(B2503,'Pre-Summary'!$CR$6:$CT$36,3,FALSE),"")</f>
        <v/>
      </c>
      <c r="Z2503" s="45" t="str">
        <f>IFERROR(VLOOKUP(B2503,'Pre-Summary'!$BZ$6:$CB$63,2,FALSE),"")</f>
        <v/>
      </c>
      <c r="AA2503" s="45" t="str">
        <f>IFERROR(VLOOKUP(B2503,'Pre-Summary'!$CG$6:$CI$70,2,FALSE),"")</f>
        <v/>
      </c>
      <c r="AB2503" s="99">
        <f>IFERROR(VLOOKUP(B2503,'Pre-Summary'!$A$6:$P$178,9,FALSE),AB2504)</f>
        <v>0.35236427409982735</v>
      </c>
      <c r="AC2503" s="10">
        <f>IFERROR(VLOOKUP(Summary!B2503,'Pre-Summary'!$A$6:$P$184,5, FALSE)/100,AC2504)</f>
        <v>0.96895166666666666</v>
      </c>
      <c r="AD2503" s="10">
        <f>IFERROR(VLOOKUP(Summary!B2503,'Pre-Summary'!$A$6:$P$184,3, FALSE)/100,AD2504)</f>
        <v>2.0058333333333334E-2</v>
      </c>
      <c r="AE2503" s="10">
        <f>IFERROR(VLOOKUP(Summary!B2503,'Pre-Summary'!$A$6:$P$184,7, FALSE)/100,AE2504)</f>
        <v>1.0990333333333335E-2</v>
      </c>
      <c r="AF2503" s="99">
        <f t="shared" si="118"/>
        <v>7.0678400646523708E-3</v>
      </c>
      <c r="AG2503" s="99">
        <f t="shared" si="119"/>
        <v>3.8726008271151363E-3</v>
      </c>
      <c r="AH2503" s="10" t="str">
        <f>IFERROR(VLOOKUP(B2503,'Pre-Summary'!$AZ$6:$BE$65,3,FALSE),"")</f>
        <v/>
      </c>
      <c r="AI2503" s="10" t="str">
        <f>IFERROR(VLOOKUP(B2503,'Pre-Summary'!$AZ$6:$BE$65,5,FALSE),"")</f>
        <v/>
      </c>
      <c r="AJ2503" s="10" t="str">
        <f>IFERROR(VLOOKUP(B2503,'Pre-Summary'!$AZ$6:$BE$65,4,FALSE),"")</f>
        <v/>
      </c>
      <c r="AK2503" s="10" t="str">
        <f>IFERROR(VLOOKUP(B2503,'Pre-Summary'!$AZ$6:$BE$65,6,FALSE),"")</f>
        <v/>
      </c>
      <c r="AL2503" s="10" t="str">
        <f>IFERROR(VLOOKUP(B2503,'Pre-Summary'!$BG$6:$BL$44,3,FALSE),"")</f>
        <v/>
      </c>
      <c r="AM2503" s="10" t="str">
        <f>IFERROR(VLOOKUP(B2503,'Pre-Summary'!$BG$6:$BL$44,4,FALSE),"")</f>
        <v/>
      </c>
    </row>
    <row r="2504" spans="2:39" ht="15" customHeight="1" x14ac:dyDescent="0.3">
      <c r="B2504">
        <v>250.1</v>
      </c>
      <c r="C2504" t="str">
        <f>IFERROR(VLOOKUP(B2504,'Pre-Summary'!$DI$6:$DM$23,4,FALSE),"")</f>
        <v/>
      </c>
      <c r="D2504" s="10" t="str">
        <f>IFERROR(VLOOKUP(B2504,'Pre-Summary'!$AT$6:$AX$14,5,FALSE),D2503)</f>
        <v>Wolfe v3: went back to modified wolfe + EDTA and switched CuSO4 to CUCl2</v>
      </c>
      <c r="E2504" s="10" t="str">
        <f>IFERROR(VLOOKUP(B2504,'Pre-Summary'!$AT$6:$AX$15,4,FALSE),"")</f>
        <v/>
      </c>
      <c r="F2504">
        <f>IFERROR(VLOOKUP(B2504,'Pre-Summary'!$AL$6:$AQ$13,6,FALSE),F2503)</f>
        <v>5.9405263157894746E-2</v>
      </c>
      <c r="G2504" t="str">
        <f>IFERROR(VLOOKUP(B2504,'Pre-Summary'!$AE$6:$AJ$85,3,FALSE),"")</f>
        <v/>
      </c>
      <c r="H2504" t="str">
        <f>IFERROR(VLOOKUP(B2504,'Pre-Summary'!$AE$6:$AJ$85,4,FALSE),"")</f>
        <v/>
      </c>
      <c r="I2504" t="str">
        <f>IFERROR(VLOOKUP(B2504,'Pre-Summary'!$AE$6:$AJ$85,5,FALSE),"")</f>
        <v/>
      </c>
      <c r="J2504" s="45" t="str">
        <f>IFERROR(VLOOKUP(B2504,'Pre-Summary'!$AE$6:$AJ$85,6, FALSE),"")</f>
        <v/>
      </c>
      <c r="K2504" s="45" t="str">
        <f>IFERROR(VLOOKUP(B2504,'Pre-Summary'!$DE$6:$DG$61,3,FALSE),"")</f>
        <v/>
      </c>
      <c r="L2504" s="45" t="str">
        <f>IFERROR(VLOOKUP(B2504,'Pre-Summary'!$CU$6:$CW$36,3,FALSE),"")</f>
        <v/>
      </c>
      <c r="M2504" s="45" t="str">
        <f>IFERROR(VLOOKUP(B2504,'Pre-Summary'!$BW$6:$BY$58,2,FALSE),"")</f>
        <v/>
      </c>
      <c r="N2504" s="45" t="str">
        <f>IFERROR(VLOOKUP(B2504,'Pre-Summary'!$CD$6:$CF$64,2,FALSE),"")</f>
        <v/>
      </c>
      <c r="O2504" s="99">
        <f>IFERROR(VLOOKUP(B2504,'Pre-Summary'!$BO$6:$BQ$48,3, FALSE),O2503)</f>
        <v>1.508</v>
      </c>
      <c r="P2504" s="99">
        <f>IFERROR(VLOOKUP(B2504,'Pre-Summary'!$BS$6:$BU$35,3,FALSE),P2503)</f>
        <v>0.4</v>
      </c>
      <c r="Q2504" s="54">
        <f t="shared" si="117"/>
        <v>3.77</v>
      </c>
      <c r="R2504" s="53">
        <f>IFERROR(VLOOKUP(B2504,'Pre-Summary'!$BG$6:$BM$44,7,FALSE),R2505)</f>
        <v>0.1051381075353212</v>
      </c>
      <c r="S2504" s="53">
        <f>IFERROR(VLOOKUP(B2504,'Pre-Summary'!$BG$6:$BM$44,6,FALSE),S2505)</f>
        <v>9.6348174087088401E-2</v>
      </c>
      <c r="T2504" s="45" t="str">
        <f>IFERROR(VLOOKUP(B2504,'Pre-Summary'!$Y$6:$AC$83, 3,FALSE),"")</f>
        <v/>
      </c>
      <c r="U2504" s="45" t="str">
        <f>IFERROR(VLOOKUP(B2504,'Pre-Summary'!$Y$6:$AC$83, 4,FALSE),"")</f>
        <v/>
      </c>
      <c r="V2504" t="str">
        <f>IFERROR(VLOOKUP(B2504,'Pre-Summary'!$Y$6:$AC$83, 5,FALSE),"")</f>
        <v/>
      </c>
      <c r="W2504" s="45" t="str">
        <f>IFERROR(VLOOKUP(B2504,'Pre-Summary'!$Y$6:$AD$83,6,FALSE),"")</f>
        <v/>
      </c>
      <c r="X2504" t="str">
        <f>IFERROR(VLOOKUP('Pre-Summary'!$DB$6:$DD$63,3,FALSE),"")</f>
        <v/>
      </c>
      <c r="Y2504" t="str">
        <f>IFERROR(VLOOKUP(B2504,'Pre-Summary'!$CR$6:$CT$36,3,FALSE),"")</f>
        <v/>
      </c>
      <c r="Z2504" s="45" t="str">
        <f>IFERROR(VLOOKUP(B2504,'Pre-Summary'!$BZ$6:$CB$63,2,FALSE),"")</f>
        <v/>
      </c>
      <c r="AA2504" s="45" t="str">
        <f>IFERROR(VLOOKUP(B2504,'Pre-Summary'!$CG$6:$CI$70,2,FALSE),"")</f>
        <v/>
      </c>
      <c r="AB2504" s="99">
        <f>IFERROR(VLOOKUP(B2504,'Pre-Summary'!$A$6:$P$178,9,FALSE),AB2505)</f>
        <v>0.35236427409982735</v>
      </c>
      <c r="AC2504" s="10">
        <f>IFERROR(VLOOKUP(Summary!B2504,'Pre-Summary'!$A$6:$P$184,5, FALSE)/100,AC2505)</f>
        <v>0.96895166666666666</v>
      </c>
      <c r="AD2504" s="10">
        <f>IFERROR(VLOOKUP(Summary!B2504,'Pre-Summary'!$A$6:$P$184,3, FALSE)/100,AD2505)</f>
        <v>2.0058333333333334E-2</v>
      </c>
      <c r="AE2504" s="10">
        <f>IFERROR(VLOOKUP(Summary!B2504,'Pre-Summary'!$A$6:$P$184,7, FALSE)/100,AE2505)</f>
        <v>1.0990333333333335E-2</v>
      </c>
      <c r="AF2504" s="99">
        <f t="shared" si="118"/>
        <v>7.0678400646523708E-3</v>
      </c>
      <c r="AG2504" s="99">
        <f t="shared" si="119"/>
        <v>3.8726008271151363E-3</v>
      </c>
      <c r="AH2504" s="10" t="str">
        <f>IFERROR(VLOOKUP(B2504,'Pre-Summary'!$AZ$6:$BE$65,3,FALSE),"")</f>
        <v/>
      </c>
      <c r="AI2504" s="10" t="str">
        <f>IFERROR(VLOOKUP(B2504,'Pre-Summary'!$AZ$6:$BE$65,5,FALSE),"")</f>
        <v/>
      </c>
      <c r="AJ2504" s="10" t="str">
        <f>IFERROR(VLOOKUP(B2504,'Pre-Summary'!$AZ$6:$BE$65,4,FALSE),"")</f>
        <v/>
      </c>
      <c r="AK2504" s="10" t="str">
        <f>IFERROR(VLOOKUP(B2504,'Pre-Summary'!$AZ$6:$BE$65,6,FALSE),"")</f>
        <v/>
      </c>
      <c r="AL2504" s="10" t="str">
        <f>IFERROR(VLOOKUP(B2504,'Pre-Summary'!$BG$6:$BL$44,3,FALSE),"")</f>
        <v/>
      </c>
      <c r="AM2504" s="10" t="str">
        <f>IFERROR(VLOOKUP(B2504,'Pre-Summary'!$BG$6:$BL$44,4,FALSE),"")</f>
        <v/>
      </c>
    </row>
    <row r="2505" spans="2:39" ht="15" customHeight="1" x14ac:dyDescent="0.3">
      <c r="B2505">
        <v>250.2</v>
      </c>
      <c r="C2505" t="str">
        <f>IFERROR(VLOOKUP(B2505,'Pre-Summary'!$DI$6:$DM$23,4,FALSE),"")</f>
        <v/>
      </c>
      <c r="D2505" s="10" t="str">
        <f>IFERROR(VLOOKUP(B2505,'Pre-Summary'!$AT$6:$AX$14,5,FALSE),D2504)</f>
        <v>Wolfe v3: went back to modified wolfe + EDTA and switched CuSO4 to CUCl2</v>
      </c>
      <c r="E2505" s="10" t="str">
        <f>IFERROR(VLOOKUP(B2505,'Pre-Summary'!$AT$6:$AX$15,4,FALSE),"")</f>
        <v/>
      </c>
      <c r="F2505">
        <f>IFERROR(VLOOKUP(B2505,'Pre-Summary'!$AL$6:$AQ$13,6,FALSE),F2504)</f>
        <v>5.9405263157894746E-2</v>
      </c>
      <c r="G2505" t="str">
        <f>IFERROR(VLOOKUP(B2505,'Pre-Summary'!$AE$6:$AJ$85,3,FALSE),"")</f>
        <v/>
      </c>
      <c r="H2505" t="str">
        <f>IFERROR(VLOOKUP(B2505,'Pre-Summary'!$AE$6:$AJ$85,4,FALSE),"")</f>
        <v/>
      </c>
      <c r="I2505" t="str">
        <f>IFERROR(VLOOKUP(B2505,'Pre-Summary'!$AE$6:$AJ$85,5,FALSE),"")</f>
        <v/>
      </c>
      <c r="J2505" s="45" t="str">
        <f>IFERROR(VLOOKUP(B2505,'Pre-Summary'!$AE$6:$AJ$85,6, FALSE),"")</f>
        <v/>
      </c>
      <c r="K2505" s="45" t="str">
        <f>IFERROR(VLOOKUP(B2505,'Pre-Summary'!$DE$6:$DG$61,3,FALSE),"")</f>
        <v/>
      </c>
      <c r="L2505" s="45" t="str">
        <f>IFERROR(VLOOKUP(B2505,'Pre-Summary'!$CU$6:$CW$36,3,FALSE),"")</f>
        <v/>
      </c>
      <c r="M2505" s="45" t="str">
        <f>IFERROR(VLOOKUP(B2505,'Pre-Summary'!$BW$6:$BY$58,2,FALSE),"")</f>
        <v/>
      </c>
      <c r="N2505" s="45" t="str">
        <f>IFERROR(VLOOKUP(B2505,'Pre-Summary'!$CD$6:$CF$64,2,FALSE),"")</f>
        <v/>
      </c>
      <c r="O2505" s="99">
        <f>IFERROR(VLOOKUP(B2505,'Pre-Summary'!$BO$6:$BQ$48,3, FALSE),O2504)</f>
        <v>1.508</v>
      </c>
      <c r="P2505" s="99">
        <f>IFERROR(VLOOKUP(B2505,'Pre-Summary'!$BS$6:$BU$35,3,FALSE),P2504)</f>
        <v>0.4</v>
      </c>
      <c r="Q2505" s="54">
        <f t="shared" si="117"/>
        <v>3.77</v>
      </c>
      <c r="R2505" s="53">
        <f>IFERROR(VLOOKUP(B2505,'Pre-Summary'!$BG$6:$BM$44,7,FALSE),R2506)</f>
        <v>0.1051381075353212</v>
      </c>
      <c r="S2505" s="53">
        <f>IFERROR(VLOOKUP(B2505,'Pre-Summary'!$BG$6:$BM$44,6,FALSE),S2506)</f>
        <v>9.6348174087088401E-2</v>
      </c>
      <c r="T2505" s="45" t="str">
        <f>IFERROR(VLOOKUP(B2505,'Pre-Summary'!$Y$6:$AC$83, 3,FALSE),"")</f>
        <v/>
      </c>
      <c r="U2505" s="45" t="str">
        <f>IFERROR(VLOOKUP(B2505,'Pre-Summary'!$Y$6:$AC$83, 4,FALSE),"")</f>
        <v/>
      </c>
      <c r="V2505" t="str">
        <f>IFERROR(VLOOKUP(B2505,'Pre-Summary'!$Y$6:$AC$83, 5,FALSE),"")</f>
        <v/>
      </c>
      <c r="W2505" s="45" t="str">
        <f>IFERROR(VLOOKUP(B2505,'Pre-Summary'!$Y$6:$AD$83,6,FALSE),"")</f>
        <v/>
      </c>
      <c r="X2505" t="str">
        <f>IFERROR(VLOOKUP('Pre-Summary'!$DB$6:$DD$63,3,FALSE),"")</f>
        <v/>
      </c>
      <c r="Y2505" t="str">
        <f>IFERROR(VLOOKUP(B2505,'Pre-Summary'!$CR$6:$CT$36,3,FALSE),"")</f>
        <v/>
      </c>
      <c r="Z2505" s="45" t="str">
        <f>IFERROR(VLOOKUP(B2505,'Pre-Summary'!$BZ$6:$CB$63,2,FALSE),"")</f>
        <v/>
      </c>
      <c r="AA2505" s="45" t="str">
        <f>IFERROR(VLOOKUP(B2505,'Pre-Summary'!$CG$6:$CI$70,2,FALSE),"")</f>
        <v/>
      </c>
      <c r="AB2505" s="99">
        <f>IFERROR(VLOOKUP(B2505,'Pre-Summary'!$A$6:$P$178,9,FALSE),AB2506)</f>
        <v>0.35236427409982735</v>
      </c>
      <c r="AC2505" s="10">
        <f>IFERROR(VLOOKUP(Summary!B2505,'Pre-Summary'!$A$6:$P$184,5, FALSE)/100,AC2506)</f>
        <v>0.96895166666666666</v>
      </c>
      <c r="AD2505" s="10">
        <f>IFERROR(VLOOKUP(Summary!B2505,'Pre-Summary'!$A$6:$P$184,3, FALSE)/100,AD2506)</f>
        <v>2.0058333333333334E-2</v>
      </c>
      <c r="AE2505" s="10">
        <f>IFERROR(VLOOKUP(Summary!B2505,'Pre-Summary'!$A$6:$P$184,7, FALSE)/100,AE2506)</f>
        <v>1.0990333333333335E-2</v>
      </c>
      <c r="AF2505" s="99">
        <f t="shared" si="118"/>
        <v>7.0678400646523708E-3</v>
      </c>
      <c r="AG2505" s="99">
        <f t="shared" si="119"/>
        <v>3.8726008271151363E-3</v>
      </c>
      <c r="AH2505" s="10" t="str">
        <f>IFERROR(VLOOKUP(B2505,'Pre-Summary'!$AZ$6:$BE$65,3,FALSE),"")</f>
        <v/>
      </c>
      <c r="AI2505" s="10" t="str">
        <f>IFERROR(VLOOKUP(B2505,'Pre-Summary'!$AZ$6:$BE$65,5,FALSE),"")</f>
        <v/>
      </c>
      <c r="AJ2505" s="10" t="str">
        <f>IFERROR(VLOOKUP(B2505,'Pre-Summary'!$AZ$6:$BE$65,4,FALSE),"")</f>
        <v/>
      </c>
      <c r="AK2505" s="10" t="str">
        <f>IFERROR(VLOOKUP(B2505,'Pre-Summary'!$AZ$6:$BE$65,6,FALSE),"")</f>
        <v/>
      </c>
      <c r="AL2505" s="10" t="str">
        <f>IFERROR(VLOOKUP(B2505,'Pre-Summary'!$BG$6:$BL$44,3,FALSE),"")</f>
        <v/>
      </c>
      <c r="AM2505" s="10" t="str">
        <f>IFERROR(VLOOKUP(B2505,'Pre-Summary'!$BG$6:$BL$44,4,FALSE),"")</f>
        <v/>
      </c>
    </row>
    <row r="2506" spans="2:39" ht="15" customHeight="1" x14ac:dyDescent="0.3">
      <c r="B2506">
        <v>250.3</v>
      </c>
      <c r="C2506" t="str">
        <f>IFERROR(VLOOKUP(B2506,'Pre-Summary'!$DI$6:$DM$23,4,FALSE),"")</f>
        <v/>
      </c>
      <c r="D2506" s="10" t="str">
        <f>IFERROR(VLOOKUP(B2506,'Pre-Summary'!$AT$6:$AX$14,5,FALSE),D2505)</f>
        <v>Wolfe v3: went back to modified wolfe + EDTA and switched CuSO4 to CUCl2</v>
      </c>
      <c r="E2506" s="10" t="str">
        <f>IFERROR(VLOOKUP(B2506,'Pre-Summary'!$AT$6:$AX$15,4,FALSE),"")</f>
        <v/>
      </c>
      <c r="F2506">
        <f>IFERROR(VLOOKUP(B2506,'Pre-Summary'!$AL$6:$AQ$13,6,FALSE),F2505)</f>
        <v>5.9405263157894746E-2</v>
      </c>
      <c r="G2506" t="str">
        <f>IFERROR(VLOOKUP(B2506,'Pre-Summary'!$AE$6:$AJ$85,3,FALSE),"")</f>
        <v/>
      </c>
      <c r="H2506" t="str">
        <f>IFERROR(VLOOKUP(B2506,'Pre-Summary'!$AE$6:$AJ$85,4,FALSE),"")</f>
        <v/>
      </c>
      <c r="I2506" t="str">
        <f>IFERROR(VLOOKUP(B2506,'Pre-Summary'!$AE$6:$AJ$85,5,FALSE),"")</f>
        <v/>
      </c>
      <c r="J2506" s="45" t="str">
        <f>IFERROR(VLOOKUP(B2506,'Pre-Summary'!$AE$6:$AJ$85,6, FALSE),"")</f>
        <v/>
      </c>
      <c r="K2506" s="45" t="str">
        <f>IFERROR(VLOOKUP(B2506,'Pre-Summary'!$DE$6:$DG$61,3,FALSE),"")</f>
        <v/>
      </c>
      <c r="L2506" s="45" t="str">
        <f>IFERROR(VLOOKUP(B2506,'Pre-Summary'!$CU$6:$CW$36,3,FALSE),"")</f>
        <v/>
      </c>
      <c r="M2506" s="45" t="str">
        <f>IFERROR(VLOOKUP(B2506,'Pre-Summary'!$BW$6:$BY$58,2,FALSE),"")</f>
        <v/>
      </c>
      <c r="N2506" s="45" t="str">
        <f>IFERROR(VLOOKUP(B2506,'Pre-Summary'!$CD$6:$CF$64,2,FALSE),"")</f>
        <v/>
      </c>
      <c r="O2506" s="99">
        <f>IFERROR(VLOOKUP(B2506,'Pre-Summary'!$BO$6:$BQ$48,3, FALSE),O2505)</f>
        <v>1.508</v>
      </c>
      <c r="P2506" s="99">
        <f>IFERROR(VLOOKUP(B2506,'Pre-Summary'!$BS$6:$BU$35,3,FALSE),P2505)</f>
        <v>0.4</v>
      </c>
      <c r="Q2506" s="54">
        <f t="shared" si="117"/>
        <v>3.77</v>
      </c>
      <c r="R2506" s="53">
        <f>IFERROR(VLOOKUP(B2506,'Pre-Summary'!$BG$6:$BM$44,7,FALSE),R2507)</f>
        <v>0.1051381075353212</v>
      </c>
      <c r="S2506" s="53">
        <f>IFERROR(VLOOKUP(B2506,'Pre-Summary'!$BG$6:$BM$44,6,FALSE),S2507)</f>
        <v>9.6348174087088401E-2</v>
      </c>
      <c r="T2506" s="45" t="str">
        <f>IFERROR(VLOOKUP(B2506,'Pre-Summary'!$Y$6:$AC$83, 3,FALSE),"")</f>
        <v/>
      </c>
      <c r="U2506" s="45" t="str">
        <f>IFERROR(VLOOKUP(B2506,'Pre-Summary'!$Y$6:$AC$83, 4,FALSE),"")</f>
        <v/>
      </c>
      <c r="V2506" t="str">
        <f>IFERROR(VLOOKUP(B2506,'Pre-Summary'!$Y$6:$AC$83, 5,FALSE),"")</f>
        <v/>
      </c>
      <c r="W2506" s="45" t="str">
        <f>IFERROR(VLOOKUP(B2506,'Pre-Summary'!$Y$6:$AD$83,6,FALSE),"")</f>
        <v/>
      </c>
      <c r="X2506" t="str">
        <f>IFERROR(VLOOKUP('Pre-Summary'!$DB$6:$DD$63,3,FALSE),"")</f>
        <v/>
      </c>
      <c r="Y2506" t="str">
        <f>IFERROR(VLOOKUP(B2506,'Pre-Summary'!$CR$6:$CT$36,3,FALSE),"")</f>
        <v/>
      </c>
      <c r="Z2506" s="45" t="str">
        <f>IFERROR(VLOOKUP(B2506,'Pre-Summary'!$BZ$6:$CB$63,2,FALSE),"")</f>
        <v/>
      </c>
      <c r="AA2506" s="45" t="str">
        <f>IFERROR(VLOOKUP(B2506,'Pre-Summary'!$CG$6:$CI$70,2,FALSE),"")</f>
        <v/>
      </c>
      <c r="AB2506" s="99">
        <f>IFERROR(VLOOKUP(B2506,'Pre-Summary'!$A$6:$P$178,9,FALSE),AB2507)</f>
        <v>0.35236427409982735</v>
      </c>
      <c r="AC2506" s="10">
        <f>IFERROR(VLOOKUP(Summary!B2506,'Pre-Summary'!$A$6:$P$184,5, FALSE)/100,AC2507)</f>
        <v>0.96895166666666666</v>
      </c>
      <c r="AD2506" s="10">
        <f>IFERROR(VLOOKUP(Summary!B2506,'Pre-Summary'!$A$6:$P$184,3, FALSE)/100,AD2507)</f>
        <v>2.0058333333333334E-2</v>
      </c>
      <c r="AE2506" s="10">
        <f>IFERROR(VLOOKUP(Summary!B2506,'Pre-Summary'!$A$6:$P$184,7, FALSE)/100,AE2507)</f>
        <v>1.0990333333333335E-2</v>
      </c>
      <c r="AF2506" s="99">
        <f t="shared" si="118"/>
        <v>7.0678400646523708E-3</v>
      </c>
      <c r="AG2506" s="99">
        <f t="shared" si="119"/>
        <v>3.8726008271151363E-3</v>
      </c>
      <c r="AH2506" s="10" t="str">
        <f>IFERROR(VLOOKUP(B2506,'Pre-Summary'!$AZ$6:$BE$65,3,FALSE),"")</f>
        <v/>
      </c>
      <c r="AI2506" s="10" t="str">
        <f>IFERROR(VLOOKUP(B2506,'Pre-Summary'!$AZ$6:$BE$65,5,FALSE),"")</f>
        <v/>
      </c>
      <c r="AJ2506" s="10" t="str">
        <f>IFERROR(VLOOKUP(B2506,'Pre-Summary'!$AZ$6:$BE$65,4,FALSE),"")</f>
        <v/>
      </c>
      <c r="AK2506" s="10" t="str">
        <f>IFERROR(VLOOKUP(B2506,'Pre-Summary'!$AZ$6:$BE$65,6,FALSE),"")</f>
        <v/>
      </c>
      <c r="AL2506" s="10" t="str">
        <f>IFERROR(VLOOKUP(B2506,'Pre-Summary'!$BG$6:$BL$44,3,FALSE),"")</f>
        <v/>
      </c>
      <c r="AM2506" s="10" t="str">
        <f>IFERROR(VLOOKUP(B2506,'Pre-Summary'!$BG$6:$BL$44,4,FALSE),"")</f>
        <v/>
      </c>
    </row>
    <row r="2507" spans="2:39" ht="15" customHeight="1" x14ac:dyDescent="0.3">
      <c r="B2507">
        <v>250.4</v>
      </c>
      <c r="C2507" t="str">
        <f>IFERROR(VLOOKUP(B2507,'Pre-Summary'!$DI$6:$DM$23,4,FALSE),"")</f>
        <v/>
      </c>
      <c r="D2507" s="10" t="str">
        <f>IFERROR(VLOOKUP(B2507,'Pre-Summary'!$AT$6:$AX$14,5,FALSE),D2506)</f>
        <v>Wolfe v3: went back to modified wolfe + EDTA and switched CuSO4 to CUCl2</v>
      </c>
      <c r="E2507" s="10" t="str">
        <f>IFERROR(VLOOKUP(B2507,'Pre-Summary'!$AT$6:$AX$15,4,FALSE),"")</f>
        <v/>
      </c>
      <c r="F2507">
        <f>IFERROR(VLOOKUP(B2507,'Pre-Summary'!$AL$6:$AQ$13,6,FALSE),F2506)</f>
        <v>5.9405263157894746E-2</v>
      </c>
      <c r="G2507" t="str">
        <f>IFERROR(VLOOKUP(B2507,'Pre-Summary'!$AE$6:$AJ$85,3,FALSE),"")</f>
        <v/>
      </c>
      <c r="H2507" t="str">
        <f>IFERROR(VLOOKUP(B2507,'Pre-Summary'!$AE$6:$AJ$85,4,FALSE),"")</f>
        <v/>
      </c>
      <c r="I2507" t="str">
        <f>IFERROR(VLOOKUP(B2507,'Pre-Summary'!$AE$6:$AJ$85,5,FALSE),"")</f>
        <v/>
      </c>
      <c r="J2507" s="45" t="str">
        <f>IFERROR(VLOOKUP(B2507,'Pre-Summary'!$AE$6:$AJ$85,6, FALSE),"")</f>
        <v/>
      </c>
      <c r="K2507" s="45" t="str">
        <f>IFERROR(VLOOKUP(B2507,'Pre-Summary'!$DE$6:$DG$61,3,FALSE),"")</f>
        <v/>
      </c>
      <c r="L2507" s="45" t="str">
        <f>IFERROR(VLOOKUP(B2507,'Pre-Summary'!$CU$6:$CW$36,3,FALSE),"")</f>
        <v/>
      </c>
      <c r="M2507" s="45" t="str">
        <f>IFERROR(VLOOKUP(B2507,'Pre-Summary'!$BW$6:$BY$58,2,FALSE),"")</f>
        <v/>
      </c>
      <c r="N2507" s="45" t="str">
        <f>IFERROR(VLOOKUP(B2507,'Pre-Summary'!$CD$6:$CF$64,2,FALSE),"")</f>
        <v/>
      </c>
      <c r="O2507" s="99">
        <f>IFERROR(VLOOKUP(B2507,'Pre-Summary'!$BO$6:$BQ$48,3, FALSE),O2506)</f>
        <v>1.508</v>
      </c>
      <c r="P2507" s="99">
        <f>IFERROR(VLOOKUP(B2507,'Pre-Summary'!$BS$6:$BU$35,3,FALSE),P2506)</f>
        <v>0.4</v>
      </c>
      <c r="Q2507" s="54">
        <f t="shared" si="117"/>
        <v>3.77</v>
      </c>
      <c r="R2507" s="53">
        <f>IFERROR(VLOOKUP(B2507,'Pre-Summary'!$BG$6:$BM$44,7,FALSE),R2508)</f>
        <v>0.1051381075353212</v>
      </c>
      <c r="S2507" s="53">
        <f>IFERROR(VLOOKUP(B2507,'Pre-Summary'!$BG$6:$BM$44,6,FALSE),S2508)</f>
        <v>9.6348174087088401E-2</v>
      </c>
      <c r="T2507" s="45" t="str">
        <f>IFERROR(VLOOKUP(B2507,'Pre-Summary'!$Y$6:$AC$83, 3,FALSE),"")</f>
        <v/>
      </c>
      <c r="U2507" s="45" t="str">
        <f>IFERROR(VLOOKUP(B2507,'Pre-Summary'!$Y$6:$AC$83, 4,FALSE),"")</f>
        <v/>
      </c>
      <c r="V2507" t="str">
        <f>IFERROR(VLOOKUP(B2507,'Pre-Summary'!$Y$6:$AC$83, 5,FALSE),"")</f>
        <v/>
      </c>
      <c r="W2507" s="45" t="str">
        <f>IFERROR(VLOOKUP(B2507,'Pre-Summary'!$Y$6:$AD$83,6,FALSE),"")</f>
        <v/>
      </c>
      <c r="X2507" t="str">
        <f>IFERROR(VLOOKUP('Pre-Summary'!$DB$6:$DD$63,3,FALSE),"")</f>
        <v/>
      </c>
      <c r="Y2507" t="str">
        <f>IFERROR(VLOOKUP(B2507,'Pre-Summary'!$CR$6:$CT$36,3,FALSE),"")</f>
        <v/>
      </c>
      <c r="Z2507" s="45" t="str">
        <f>IFERROR(VLOOKUP(B2507,'Pre-Summary'!$BZ$6:$CB$63,2,FALSE),"")</f>
        <v/>
      </c>
      <c r="AA2507" s="45" t="str">
        <f>IFERROR(VLOOKUP(B2507,'Pre-Summary'!$CG$6:$CI$70,2,FALSE),"")</f>
        <v/>
      </c>
      <c r="AB2507" s="99">
        <f>IFERROR(VLOOKUP(B2507,'Pre-Summary'!$A$6:$P$178,9,FALSE),AB2508)</f>
        <v>0.35236427409982735</v>
      </c>
      <c r="AC2507" s="10">
        <f>IFERROR(VLOOKUP(Summary!B2507,'Pre-Summary'!$A$6:$P$184,5, FALSE)/100,AC2508)</f>
        <v>0.96895166666666666</v>
      </c>
      <c r="AD2507" s="10">
        <f>IFERROR(VLOOKUP(Summary!B2507,'Pre-Summary'!$A$6:$P$184,3, FALSE)/100,AD2508)</f>
        <v>2.0058333333333334E-2</v>
      </c>
      <c r="AE2507" s="10">
        <f>IFERROR(VLOOKUP(Summary!B2507,'Pre-Summary'!$A$6:$P$184,7, FALSE)/100,AE2508)</f>
        <v>1.0990333333333335E-2</v>
      </c>
      <c r="AF2507" s="99">
        <f t="shared" si="118"/>
        <v>7.0678400646523708E-3</v>
      </c>
      <c r="AG2507" s="99">
        <f t="shared" si="119"/>
        <v>3.8726008271151363E-3</v>
      </c>
      <c r="AH2507" s="10" t="str">
        <f>IFERROR(VLOOKUP(B2507,'Pre-Summary'!$AZ$6:$BE$65,3,FALSE),"")</f>
        <v/>
      </c>
      <c r="AI2507" s="10" t="str">
        <f>IFERROR(VLOOKUP(B2507,'Pre-Summary'!$AZ$6:$BE$65,5,FALSE),"")</f>
        <v/>
      </c>
      <c r="AJ2507" s="10" t="str">
        <f>IFERROR(VLOOKUP(B2507,'Pre-Summary'!$AZ$6:$BE$65,4,FALSE),"")</f>
        <v/>
      </c>
      <c r="AK2507" s="10" t="str">
        <f>IFERROR(VLOOKUP(B2507,'Pre-Summary'!$AZ$6:$BE$65,6,FALSE),"")</f>
        <v/>
      </c>
      <c r="AL2507" s="10" t="str">
        <f>IFERROR(VLOOKUP(B2507,'Pre-Summary'!$BG$6:$BL$44,3,FALSE),"")</f>
        <v/>
      </c>
      <c r="AM2507" s="10" t="str">
        <f>IFERROR(VLOOKUP(B2507,'Pre-Summary'!$BG$6:$BL$44,4,FALSE),"")</f>
        <v/>
      </c>
    </row>
    <row r="2508" spans="2:39" ht="15" customHeight="1" x14ac:dyDescent="0.3">
      <c r="B2508">
        <v>250.5</v>
      </c>
      <c r="C2508" t="str">
        <f>IFERROR(VLOOKUP(B2508,'Pre-Summary'!$DI$6:$DM$23,4,FALSE),"")</f>
        <v/>
      </c>
      <c r="D2508" s="10" t="str">
        <f>IFERROR(VLOOKUP(B2508,'Pre-Summary'!$AT$6:$AX$14,5,FALSE),D2507)</f>
        <v>Wolfe v3: went back to modified wolfe + EDTA and switched CuSO4 to CUCl2</v>
      </c>
      <c r="E2508" s="10" t="str">
        <f>IFERROR(VLOOKUP(B2508,'Pre-Summary'!$AT$6:$AX$15,4,FALSE),"")</f>
        <v/>
      </c>
      <c r="F2508">
        <f>IFERROR(VLOOKUP(B2508,'Pre-Summary'!$AL$6:$AQ$13,6,FALSE),F2507)</f>
        <v>5.9405263157894746E-2</v>
      </c>
      <c r="G2508" t="str">
        <f>IFERROR(VLOOKUP(B2508,'Pre-Summary'!$AE$6:$AJ$85,3,FALSE),"")</f>
        <v/>
      </c>
      <c r="H2508" t="str">
        <f>IFERROR(VLOOKUP(B2508,'Pre-Summary'!$AE$6:$AJ$85,4,FALSE),"")</f>
        <v/>
      </c>
      <c r="I2508" t="str">
        <f>IFERROR(VLOOKUP(B2508,'Pre-Summary'!$AE$6:$AJ$85,5,FALSE),"")</f>
        <v/>
      </c>
      <c r="J2508" s="45" t="str">
        <f>IFERROR(VLOOKUP(B2508,'Pre-Summary'!$AE$6:$AJ$85,6, FALSE),"")</f>
        <v/>
      </c>
      <c r="K2508" s="45" t="str">
        <f>IFERROR(VLOOKUP(B2508,'Pre-Summary'!$DE$6:$DG$61,3,FALSE),"")</f>
        <v/>
      </c>
      <c r="L2508" s="45" t="str">
        <f>IFERROR(VLOOKUP(B2508,'Pre-Summary'!$CU$6:$CW$36,3,FALSE),"")</f>
        <v/>
      </c>
      <c r="M2508" s="45" t="str">
        <f>IFERROR(VLOOKUP(B2508,'Pre-Summary'!$BW$6:$BY$58,2,FALSE),"")</f>
        <v/>
      </c>
      <c r="N2508" s="45" t="str">
        <f>IFERROR(VLOOKUP(B2508,'Pre-Summary'!$CD$6:$CF$64,2,FALSE),"")</f>
        <v/>
      </c>
      <c r="O2508" s="99">
        <f>IFERROR(VLOOKUP(B2508,'Pre-Summary'!$BO$6:$BQ$48,3, FALSE),O2507)</f>
        <v>1.508</v>
      </c>
      <c r="P2508" s="99">
        <f>IFERROR(VLOOKUP(B2508,'Pre-Summary'!$BS$6:$BU$35,3,FALSE),P2507)</f>
        <v>0.4</v>
      </c>
      <c r="Q2508" s="54">
        <f t="shared" si="117"/>
        <v>3.77</v>
      </c>
      <c r="R2508" s="53">
        <f>IFERROR(VLOOKUP(B2508,'Pre-Summary'!$BG$6:$BM$44,7,FALSE),R2509)</f>
        <v>0.1051381075353212</v>
      </c>
      <c r="S2508" s="53">
        <f>IFERROR(VLOOKUP(B2508,'Pre-Summary'!$BG$6:$BM$44,6,FALSE),S2509)</f>
        <v>9.6348174087088401E-2</v>
      </c>
      <c r="T2508" s="45" t="str">
        <f>IFERROR(VLOOKUP(B2508,'Pre-Summary'!$Y$6:$AC$83, 3,FALSE),"")</f>
        <v/>
      </c>
      <c r="U2508" s="45" t="str">
        <f>IFERROR(VLOOKUP(B2508,'Pre-Summary'!$Y$6:$AC$83, 4,FALSE),"")</f>
        <v/>
      </c>
      <c r="V2508" t="str">
        <f>IFERROR(VLOOKUP(B2508,'Pre-Summary'!$Y$6:$AC$83, 5,FALSE),"")</f>
        <v/>
      </c>
      <c r="W2508" s="45" t="str">
        <f>IFERROR(VLOOKUP(B2508,'Pre-Summary'!$Y$6:$AD$83,6,FALSE),"")</f>
        <v/>
      </c>
      <c r="X2508" t="str">
        <f>IFERROR(VLOOKUP('Pre-Summary'!$DB$6:$DD$63,3,FALSE),"")</f>
        <v/>
      </c>
      <c r="Y2508" t="str">
        <f>IFERROR(VLOOKUP(B2508,'Pre-Summary'!$CR$6:$CT$36,3,FALSE),"")</f>
        <v/>
      </c>
      <c r="Z2508" s="45" t="str">
        <f>IFERROR(VLOOKUP(B2508,'Pre-Summary'!$BZ$6:$CB$63,2,FALSE),"")</f>
        <v/>
      </c>
      <c r="AA2508" s="45" t="str">
        <f>IFERROR(VLOOKUP(B2508,'Pre-Summary'!$CG$6:$CI$70,2,FALSE),"")</f>
        <v/>
      </c>
      <c r="AB2508" s="99">
        <f>IFERROR(VLOOKUP(B2508,'Pre-Summary'!$A$6:$P$178,9,FALSE),AB2509)</f>
        <v>0.35236427409982735</v>
      </c>
      <c r="AC2508" s="10">
        <f>IFERROR(VLOOKUP(Summary!B2508,'Pre-Summary'!$A$6:$P$184,5, FALSE)/100,AC2509)</f>
        <v>0.96895166666666666</v>
      </c>
      <c r="AD2508" s="10">
        <f>IFERROR(VLOOKUP(Summary!B2508,'Pre-Summary'!$A$6:$P$184,3, FALSE)/100,AD2509)</f>
        <v>2.0058333333333334E-2</v>
      </c>
      <c r="AE2508" s="10">
        <f>IFERROR(VLOOKUP(Summary!B2508,'Pre-Summary'!$A$6:$P$184,7, FALSE)/100,AE2509)</f>
        <v>1.0990333333333335E-2</v>
      </c>
      <c r="AF2508" s="99">
        <f t="shared" si="118"/>
        <v>7.0678400646523708E-3</v>
      </c>
      <c r="AG2508" s="99">
        <f t="shared" si="119"/>
        <v>3.8726008271151363E-3</v>
      </c>
      <c r="AH2508" s="10" t="str">
        <f>IFERROR(VLOOKUP(B2508,'Pre-Summary'!$AZ$6:$BE$65,3,FALSE),"")</f>
        <v/>
      </c>
      <c r="AI2508" s="10" t="str">
        <f>IFERROR(VLOOKUP(B2508,'Pre-Summary'!$AZ$6:$BE$65,5,FALSE),"")</f>
        <v/>
      </c>
      <c r="AJ2508" s="10" t="str">
        <f>IFERROR(VLOOKUP(B2508,'Pre-Summary'!$AZ$6:$BE$65,4,FALSE),"")</f>
        <v/>
      </c>
      <c r="AK2508" s="10" t="str">
        <f>IFERROR(VLOOKUP(B2508,'Pre-Summary'!$AZ$6:$BE$65,6,FALSE),"")</f>
        <v/>
      </c>
      <c r="AL2508" s="10" t="str">
        <f>IFERROR(VLOOKUP(B2508,'Pre-Summary'!$BG$6:$BL$44,3,FALSE),"")</f>
        <v/>
      </c>
      <c r="AM2508" s="10" t="str">
        <f>IFERROR(VLOOKUP(B2508,'Pre-Summary'!$BG$6:$BL$44,4,FALSE),"")</f>
        <v/>
      </c>
    </row>
    <row r="2509" spans="2:39" ht="15" customHeight="1" x14ac:dyDescent="0.3">
      <c r="B2509">
        <v>250.6</v>
      </c>
      <c r="C2509" t="str">
        <f>IFERROR(VLOOKUP(B2509,'Pre-Summary'!$DI$6:$DM$23,4,FALSE),"")</f>
        <v/>
      </c>
      <c r="D2509" s="10" t="str">
        <f>IFERROR(VLOOKUP(B2509,'Pre-Summary'!$AT$6:$AX$14,5,FALSE),D2508)</f>
        <v>Wolfe v3: went back to modified wolfe + EDTA and switched CuSO4 to CUCl2</v>
      </c>
      <c r="E2509" s="10" t="str">
        <f>IFERROR(VLOOKUP(B2509,'Pre-Summary'!$AT$6:$AX$15,4,FALSE),"")</f>
        <v/>
      </c>
      <c r="F2509">
        <f>IFERROR(VLOOKUP(B2509,'Pre-Summary'!$AL$6:$AQ$13,6,FALSE),F2508)</f>
        <v>5.9405263157894746E-2</v>
      </c>
      <c r="G2509" t="str">
        <f>IFERROR(VLOOKUP(B2509,'Pre-Summary'!$AE$6:$AJ$85,3,FALSE),"")</f>
        <v/>
      </c>
      <c r="H2509" t="str">
        <f>IFERROR(VLOOKUP(B2509,'Pre-Summary'!$AE$6:$AJ$85,4,FALSE),"")</f>
        <v/>
      </c>
      <c r="I2509" t="str">
        <f>IFERROR(VLOOKUP(B2509,'Pre-Summary'!$AE$6:$AJ$85,5,FALSE),"")</f>
        <v/>
      </c>
      <c r="J2509" s="45" t="str">
        <f>IFERROR(VLOOKUP(B2509,'Pre-Summary'!$AE$6:$AJ$85,6, FALSE),"")</f>
        <v/>
      </c>
      <c r="K2509" s="45" t="str">
        <f>IFERROR(VLOOKUP(B2509,'Pre-Summary'!$DE$6:$DG$61,3,FALSE),"")</f>
        <v/>
      </c>
      <c r="L2509" s="45" t="str">
        <f>IFERROR(VLOOKUP(B2509,'Pre-Summary'!$CU$6:$CW$36,3,FALSE),"")</f>
        <v/>
      </c>
      <c r="M2509" s="45" t="str">
        <f>IFERROR(VLOOKUP(B2509,'Pre-Summary'!$BW$6:$BY$58,2,FALSE),"")</f>
        <v/>
      </c>
      <c r="N2509" s="45" t="str">
        <f>IFERROR(VLOOKUP(B2509,'Pre-Summary'!$CD$6:$CF$64,2,FALSE),"")</f>
        <v/>
      </c>
      <c r="O2509" s="99">
        <f>IFERROR(VLOOKUP(B2509,'Pre-Summary'!$BO$6:$BQ$48,3, FALSE),O2508)</f>
        <v>1.508</v>
      </c>
      <c r="P2509" s="99">
        <f>IFERROR(VLOOKUP(B2509,'Pre-Summary'!$BS$6:$BU$35,3,FALSE),P2508)</f>
        <v>0.4</v>
      </c>
      <c r="Q2509" s="54">
        <f t="shared" si="117"/>
        <v>3.77</v>
      </c>
      <c r="R2509" s="53">
        <f>IFERROR(VLOOKUP(B2509,'Pre-Summary'!$BG$6:$BM$44,7,FALSE),R2510)</f>
        <v>0.1051381075353212</v>
      </c>
      <c r="S2509" s="53">
        <f>IFERROR(VLOOKUP(B2509,'Pre-Summary'!$BG$6:$BM$44,6,FALSE),S2510)</f>
        <v>9.6348174087088401E-2</v>
      </c>
      <c r="T2509" s="45" t="str">
        <f>IFERROR(VLOOKUP(B2509,'Pre-Summary'!$Y$6:$AC$83, 3,FALSE),"")</f>
        <v/>
      </c>
      <c r="U2509" s="45" t="str">
        <f>IFERROR(VLOOKUP(B2509,'Pre-Summary'!$Y$6:$AC$83, 4,FALSE),"")</f>
        <v/>
      </c>
      <c r="V2509" t="str">
        <f>IFERROR(VLOOKUP(B2509,'Pre-Summary'!$Y$6:$AC$83, 5,FALSE),"")</f>
        <v/>
      </c>
      <c r="W2509" s="45" t="str">
        <f>IFERROR(VLOOKUP(B2509,'Pre-Summary'!$Y$6:$AD$83,6,FALSE),"")</f>
        <v/>
      </c>
      <c r="X2509" t="str">
        <f>IFERROR(VLOOKUP('Pre-Summary'!$DB$6:$DD$63,3,FALSE),"")</f>
        <v/>
      </c>
      <c r="Y2509" t="str">
        <f>IFERROR(VLOOKUP(B2509,'Pre-Summary'!$CR$6:$CT$36,3,FALSE),"")</f>
        <v/>
      </c>
      <c r="Z2509" s="45" t="str">
        <f>IFERROR(VLOOKUP(B2509,'Pre-Summary'!$BZ$6:$CB$63,2,FALSE),"")</f>
        <v/>
      </c>
      <c r="AA2509" s="45" t="str">
        <f>IFERROR(VLOOKUP(B2509,'Pre-Summary'!$CG$6:$CI$70,2,FALSE),"")</f>
        <v/>
      </c>
      <c r="AB2509" s="99">
        <f>IFERROR(VLOOKUP(B2509,'Pre-Summary'!$A$6:$P$178,9,FALSE),AB2510)</f>
        <v>0.35236427409982735</v>
      </c>
      <c r="AC2509" s="10">
        <f>IFERROR(VLOOKUP(Summary!B2509,'Pre-Summary'!$A$6:$P$184,5, FALSE)/100,AC2510)</f>
        <v>0.96895166666666666</v>
      </c>
      <c r="AD2509" s="10">
        <f>IFERROR(VLOOKUP(Summary!B2509,'Pre-Summary'!$A$6:$P$184,3, FALSE)/100,AD2510)</f>
        <v>2.0058333333333334E-2</v>
      </c>
      <c r="AE2509" s="10">
        <f>IFERROR(VLOOKUP(Summary!B2509,'Pre-Summary'!$A$6:$P$184,7, FALSE)/100,AE2510)</f>
        <v>1.0990333333333335E-2</v>
      </c>
      <c r="AF2509" s="99">
        <f t="shared" si="118"/>
        <v>7.0678400646523708E-3</v>
      </c>
      <c r="AG2509" s="99">
        <f t="shared" si="119"/>
        <v>3.8726008271151363E-3</v>
      </c>
      <c r="AH2509" s="10" t="str">
        <f>IFERROR(VLOOKUP(B2509,'Pre-Summary'!$AZ$6:$BE$65,3,FALSE),"")</f>
        <v/>
      </c>
      <c r="AI2509" s="10" t="str">
        <f>IFERROR(VLOOKUP(B2509,'Pre-Summary'!$AZ$6:$BE$65,5,FALSE),"")</f>
        <v/>
      </c>
      <c r="AJ2509" s="10" t="str">
        <f>IFERROR(VLOOKUP(B2509,'Pre-Summary'!$AZ$6:$BE$65,4,FALSE),"")</f>
        <v/>
      </c>
      <c r="AK2509" s="10" t="str">
        <f>IFERROR(VLOOKUP(B2509,'Pre-Summary'!$AZ$6:$BE$65,6,FALSE),"")</f>
        <v/>
      </c>
      <c r="AL2509" s="10" t="str">
        <f>IFERROR(VLOOKUP(B2509,'Pre-Summary'!$BG$6:$BL$44,3,FALSE),"")</f>
        <v/>
      </c>
      <c r="AM2509" s="10" t="str">
        <f>IFERROR(VLOOKUP(B2509,'Pre-Summary'!$BG$6:$BL$44,4,FALSE),"")</f>
        <v/>
      </c>
    </row>
    <row r="2510" spans="2:39" ht="15" customHeight="1" x14ac:dyDescent="0.3">
      <c r="B2510">
        <v>250.7</v>
      </c>
      <c r="C2510" t="str">
        <f>IFERROR(VLOOKUP(B2510,'Pre-Summary'!$DI$6:$DM$23,4,FALSE),"")</f>
        <v/>
      </c>
      <c r="D2510" s="10" t="str">
        <f>IFERROR(VLOOKUP(B2510,'Pre-Summary'!$AT$6:$AX$14,5,FALSE),D2509)</f>
        <v>Wolfe v3: went back to modified wolfe + EDTA and switched CuSO4 to CUCl2</v>
      </c>
      <c r="E2510" s="10" t="str">
        <f>IFERROR(VLOOKUP(B2510,'Pre-Summary'!$AT$6:$AX$15,4,FALSE),"")</f>
        <v/>
      </c>
      <c r="F2510">
        <f>IFERROR(VLOOKUP(B2510,'Pre-Summary'!$AL$6:$AQ$13,6,FALSE),F2509)</f>
        <v>5.9405263157894746E-2</v>
      </c>
      <c r="G2510" t="str">
        <f>IFERROR(VLOOKUP(B2510,'Pre-Summary'!$AE$6:$AJ$85,3,FALSE),"")</f>
        <v/>
      </c>
      <c r="H2510" t="str">
        <f>IFERROR(VLOOKUP(B2510,'Pre-Summary'!$AE$6:$AJ$85,4,FALSE),"")</f>
        <v/>
      </c>
      <c r="I2510" t="str">
        <f>IFERROR(VLOOKUP(B2510,'Pre-Summary'!$AE$6:$AJ$85,5,FALSE),"")</f>
        <v/>
      </c>
      <c r="J2510" s="45" t="str">
        <f>IFERROR(VLOOKUP(B2510,'Pre-Summary'!$AE$6:$AJ$85,6, FALSE),"")</f>
        <v/>
      </c>
      <c r="K2510" s="45" t="str">
        <f>IFERROR(VLOOKUP(B2510,'Pre-Summary'!$DE$6:$DG$61,3,FALSE),"")</f>
        <v/>
      </c>
      <c r="L2510" s="45" t="str">
        <f>IFERROR(VLOOKUP(B2510,'Pre-Summary'!$CU$6:$CW$36,3,FALSE),"")</f>
        <v/>
      </c>
      <c r="M2510" s="45" t="str">
        <f>IFERROR(VLOOKUP(B2510,'Pre-Summary'!$BW$6:$BY$58,2,FALSE),"")</f>
        <v/>
      </c>
      <c r="N2510" s="45" t="str">
        <f>IFERROR(VLOOKUP(B2510,'Pre-Summary'!$CD$6:$CF$64,2,FALSE),"")</f>
        <v/>
      </c>
      <c r="O2510" s="99">
        <f>IFERROR(VLOOKUP(B2510,'Pre-Summary'!$BO$6:$BQ$48,3, FALSE),O2509)</f>
        <v>1.508</v>
      </c>
      <c r="P2510" s="99">
        <f>IFERROR(VLOOKUP(B2510,'Pre-Summary'!$BS$6:$BU$35,3,FALSE),P2509)</f>
        <v>0.4</v>
      </c>
      <c r="Q2510" s="54">
        <f t="shared" si="117"/>
        <v>3.77</v>
      </c>
      <c r="R2510" s="53">
        <f>IFERROR(VLOOKUP(B2510,'Pre-Summary'!$BG$6:$BM$44,7,FALSE),R2511)</f>
        <v>0.1051381075353212</v>
      </c>
      <c r="S2510" s="53">
        <f>IFERROR(VLOOKUP(B2510,'Pre-Summary'!$BG$6:$BM$44,6,FALSE),S2511)</f>
        <v>9.6348174087088401E-2</v>
      </c>
      <c r="T2510" s="45" t="str">
        <f>IFERROR(VLOOKUP(B2510,'Pre-Summary'!$Y$6:$AC$83, 3,FALSE),"")</f>
        <v/>
      </c>
      <c r="U2510" s="45" t="str">
        <f>IFERROR(VLOOKUP(B2510,'Pre-Summary'!$Y$6:$AC$83, 4,FALSE),"")</f>
        <v/>
      </c>
      <c r="V2510" t="str">
        <f>IFERROR(VLOOKUP(B2510,'Pre-Summary'!$Y$6:$AC$83, 5,FALSE),"")</f>
        <v/>
      </c>
      <c r="W2510" s="45" t="str">
        <f>IFERROR(VLOOKUP(B2510,'Pre-Summary'!$Y$6:$AD$83,6,FALSE),"")</f>
        <v/>
      </c>
      <c r="X2510" t="str">
        <f>IFERROR(VLOOKUP('Pre-Summary'!$DB$6:$DD$63,3,FALSE),"")</f>
        <v/>
      </c>
      <c r="Y2510" t="str">
        <f>IFERROR(VLOOKUP(B2510,'Pre-Summary'!$CR$6:$CT$36,3,FALSE),"")</f>
        <v/>
      </c>
      <c r="Z2510" s="45" t="str">
        <f>IFERROR(VLOOKUP(B2510,'Pre-Summary'!$BZ$6:$CB$63,2,FALSE),"")</f>
        <v/>
      </c>
      <c r="AA2510" s="45" t="str">
        <f>IFERROR(VLOOKUP(B2510,'Pre-Summary'!$CG$6:$CI$70,2,FALSE),"")</f>
        <v/>
      </c>
      <c r="AB2510" s="99">
        <f>IFERROR(VLOOKUP(B2510,'Pre-Summary'!$A$6:$P$178,9,FALSE),AB2511)</f>
        <v>0.35236427409982735</v>
      </c>
      <c r="AC2510" s="10">
        <f>IFERROR(VLOOKUP(Summary!B2510,'Pre-Summary'!$A$6:$P$184,5, FALSE)/100,AC2511)</f>
        <v>0.96895166666666666</v>
      </c>
      <c r="AD2510" s="10">
        <f>IFERROR(VLOOKUP(Summary!B2510,'Pre-Summary'!$A$6:$P$184,3, FALSE)/100,AD2511)</f>
        <v>2.0058333333333334E-2</v>
      </c>
      <c r="AE2510" s="10">
        <f>IFERROR(VLOOKUP(Summary!B2510,'Pre-Summary'!$A$6:$P$184,7, FALSE)/100,AE2511)</f>
        <v>1.0990333333333335E-2</v>
      </c>
      <c r="AF2510" s="99">
        <f t="shared" si="118"/>
        <v>7.0678400646523708E-3</v>
      </c>
      <c r="AG2510" s="99">
        <f t="shared" si="119"/>
        <v>3.8726008271151363E-3</v>
      </c>
      <c r="AH2510" s="10" t="str">
        <f>IFERROR(VLOOKUP(B2510,'Pre-Summary'!$AZ$6:$BE$65,3,FALSE),"")</f>
        <v/>
      </c>
      <c r="AI2510" s="10" t="str">
        <f>IFERROR(VLOOKUP(B2510,'Pre-Summary'!$AZ$6:$BE$65,5,FALSE),"")</f>
        <v/>
      </c>
      <c r="AJ2510" s="10" t="str">
        <f>IFERROR(VLOOKUP(B2510,'Pre-Summary'!$AZ$6:$BE$65,4,FALSE),"")</f>
        <v/>
      </c>
      <c r="AK2510" s="10" t="str">
        <f>IFERROR(VLOOKUP(B2510,'Pre-Summary'!$AZ$6:$BE$65,6,FALSE),"")</f>
        <v/>
      </c>
      <c r="AL2510" s="10" t="str">
        <f>IFERROR(VLOOKUP(B2510,'Pre-Summary'!$BG$6:$BL$44,3,FALSE),"")</f>
        <v/>
      </c>
      <c r="AM2510" s="10" t="str">
        <f>IFERROR(VLOOKUP(B2510,'Pre-Summary'!$BG$6:$BL$44,4,FALSE),"")</f>
        <v/>
      </c>
    </row>
    <row r="2511" spans="2:39" ht="15" customHeight="1" x14ac:dyDescent="0.3">
      <c r="B2511">
        <v>250.8</v>
      </c>
      <c r="C2511" t="str">
        <f>IFERROR(VLOOKUP(B2511,'Pre-Summary'!$DI$6:$DM$23,4,FALSE),"")</f>
        <v/>
      </c>
      <c r="D2511" s="10" t="str">
        <f>IFERROR(VLOOKUP(B2511,'Pre-Summary'!$AT$6:$AX$14,5,FALSE),D2510)</f>
        <v>Wolfe v3: went back to modified wolfe + EDTA and switched CuSO4 to CUCl2</v>
      </c>
      <c r="E2511" s="10" t="str">
        <f>IFERROR(VLOOKUP(B2511,'Pre-Summary'!$AT$6:$AX$15,4,FALSE),"")</f>
        <v/>
      </c>
      <c r="F2511">
        <f>IFERROR(VLOOKUP(B2511,'Pre-Summary'!$AL$6:$AQ$13,6,FALSE),F2510)</f>
        <v>5.9405263157894746E-2</v>
      </c>
      <c r="G2511" t="str">
        <f>IFERROR(VLOOKUP(B2511,'Pre-Summary'!$AE$6:$AJ$85,3,FALSE),"")</f>
        <v/>
      </c>
      <c r="H2511" t="str">
        <f>IFERROR(VLOOKUP(B2511,'Pre-Summary'!$AE$6:$AJ$85,4,FALSE),"")</f>
        <v/>
      </c>
      <c r="I2511" t="str">
        <f>IFERROR(VLOOKUP(B2511,'Pre-Summary'!$AE$6:$AJ$85,5,FALSE),"")</f>
        <v/>
      </c>
      <c r="J2511" s="45" t="str">
        <f>IFERROR(VLOOKUP(B2511,'Pre-Summary'!$AE$6:$AJ$85,6, FALSE),"")</f>
        <v/>
      </c>
      <c r="K2511" s="45" t="str">
        <f>IFERROR(VLOOKUP(B2511,'Pre-Summary'!$DE$6:$DG$61,3,FALSE),"")</f>
        <v/>
      </c>
      <c r="L2511" s="45" t="str">
        <f>IFERROR(VLOOKUP(B2511,'Pre-Summary'!$CU$6:$CW$36,3,FALSE),"")</f>
        <v/>
      </c>
      <c r="M2511" s="45" t="str">
        <f>IFERROR(VLOOKUP(B2511,'Pre-Summary'!$BW$6:$BY$58,2,FALSE),"")</f>
        <v/>
      </c>
      <c r="N2511" s="45" t="str">
        <f>IFERROR(VLOOKUP(B2511,'Pre-Summary'!$CD$6:$CF$64,2,FALSE),"")</f>
        <v/>
      </c>
      <c r="O2511" s="99">
        <f>IFERROR(VLOOKUP(B2511,'Pre-Summary'!$BO$6:$BQ$48,3, FALSE),O2510)</f>
        <v>1.508</v>
      </c>
      <c r="P2511" s="99">
        <f>IFERROR(VLOOKUP(B2511,'Pre-Summary'!$BS$6:$BU$35,3,FALSE),P2510)</f>
        <v>0.4</v>
      </c>
      <c r="Q2511" s="54">
        <f t="shared" si="117"/>
        <v>3.77</v>
      </c>
      <c r="R2511" s="53">
        <f>IFERROR(VLOOKUP(B2511,'Pre-Summary'!$BG$6:$BM$44,7,FALSE),R2512)</f>
        <v>0.1051381075353212</v>
      </c>
      <c r="S2511" s="53">
        <f>IFERROR(VLOOKUP(B2511,'Pre-Summary'!$BG$6:$BM$44,6,FALSE),S2512)</f>
        <v>9.6348174087088401E-2</v>
      </c>
      <c r="T2511" s="45" t="str">
        <f>IFERROR(VLOOKUP(B2511,'Pre-Summary'!$Y$6:$AC$83, 3,FALSE),"")</f>
        <v/>
      </c>
      <c r="U2511" s="45" t="str">
        <f>IFERROR(VLOOKUP(B2511,'Pre-Summary'!$Y$6:$AC$83, 4,FALSE),"")</f>
        <v/>
      </c>
      <c r="V2511" t="str">
        <f>IFERROR(VLOOKUP(B2511,'Pre-Summary'!$Y$6:$AC$83, 5,FALSE),"")</f>
        <v/>
      </c>
      <c r="W2511" s="45" t="str">
        <f>IFERROR(VLOOKUP(B2511,'Pre-Summary'!$Y$6:$AD$83,6,FALSE),"")</f>
        <v/>
      </c>
      <c r="X2511" t="str">
        <f>IFERROR(VLOOKUP('Pre-Summary'!$DB$6:$DD$63,3,FALSE),"")</f>
        <v/>
      </c>
      <c r="Y2511" t="str">
        <f>IFERROR(VLOOKUP(B2511,'Pre-Summary'!$CR$6:$CT$36,3,FALSE),"")</f>
        <v/>
      </c>
      <c r="Z2511" s="45" t="str">
        <f>IFERROR(VLOOKUP(B2511,'Pre-Summary'!$BZ$6:$CB$63,2,FALSE),"")</f>
        <v/>
      </c>
      <c r="AA2511" s="45" t="str">
        <f>IFERROR(VLOOKUP(B2511,'Pre-Summary'!$CG$6:$CI$70,2,FALSE),"")</f>
        <v/>
      </c>
      <c r="AB2511" s="99">
        <f>IFERROR(VLOOKUP(B2511,'Pre-Summary'!$A$6:$P$178,9,FALSE),AB2512)</f>
        <v>0.35236427409982735</v>
      </c>
      <c r="AC2511" s="10">
        <f>IFERROR(VLOOKUP(Summary!B2511,'Pre-Summary'!$A$6:$P$184,5, FALSE)/100,AC2512)</f>
        <v>0.96895166666666666</v>
      </c>
      <c r="AD2511" s="10">
        <f>IFERROR(VLOOKUP(Summary!B2511,'Pre-Summary'!$A$6:$P$184,3, FALSE)/100,AD2512)</f>
        <v>2.0058333333333334E-2</v>
      </c>
      <c r="AE2511" s="10">
        <f>IFERROR(VLOOKUP(Summary!B2511,'Pre-Summary'!$A$6:$P$184,7, FALSE)/100,AE2512)</f>
        <v>1.0990333333333335E-2</v>
      </c>
      <c r="AF2511" s="99">
        <f t="shared" si="118"/>
        <v>7.0678400646523708E-3</v>
      </c>
      <c r="AG2511" s="99">
        <f t="shared" si="119"/>
        <v>3.8726008271151363E-3</v>
      </c>
      <c r="AH2511" s="10" t="str">
        <f>IFERROR(VLOOKUP(B2511,'Pre-Summary'!$AZ$6:$BE$65,3,FALSE),"")</f>
        <v/>
      </c>
      <c r="AI2511" s="10" t="str">
        <f>IFERROR(VLOOKUP(B2511,'Pre-Summary'!$AZ$6:$BE$65,5,FALSE),"")</f>
        <v/>
      </c>
      <c r="AJ2511" s="10" t="str">
        <f>IFERROR(VLOOKUP(B2511,'Pre-Summary'!$AZ$6:$BE$65,4,FALSE),"")</f>
        <v/>
      </c>
      <c r="AK2511" s="10" t="str">
        <f>IFERROR(VLOOKUP(B2511,'Pre-Summary'!$AZ$6:$BE$65,6,FALSE),"")</f>
        <v/>
      </c>
      <c r="AL2511" s="10" t="str">
        <f>IFERROR(VLOOKUP(B2511,'Pre-Summary'!$BG$6:$BL$44,3,FALSE),"")</f>
        <v/>
      </c>
      <c r="AM2511" s="10" t="str">
        <f>IFERROR(VLOOKUP(B2511,'Pre-Summary'!$BG$6:$BL$44,4,FALSE),"")</f>
        <v/>
      </c>
    </row>
    <row r="2512" spans="2:39" ht="15" customHeight="1" x14ac:dyDescent="0.3">
      <c r="B2512">
        <v>250.9</v>
      </c>
      <c r="C2512" t="str">
        <f>IFERROR(VLOOKUP(B2512,'Pre-Summary'!$DI$6:$DM$23,4,FALSE),"")</f>
        <v/>
      </c>
      <c r="D2512" s="10" t="str">
        <f>IFERROR(VLOOKUP(B2512,'Pre-Summary'!$AT$6:$AX$14,5,FALSE),D2511)</f>
        <v>Wolfe v3: went back to modified wolfe + EDTA and switched CuSO4 to CUCl2</v>
      </c>
      <c r="E2512" s="10" t="str">
        <f>IFERROR(VLOOKUP(B2512,'Pre-Summary'!$AT$6:$AX$15,4,FALSE),"")</f>
        <v/>
      </c>
      <c r="F2512">
        <f>IFERROR(VLOOKUP(B2512,'Pre-Summary'!$AL$6:$AQ$13,6,FALSE),F2511)</f>
        <v>5.9405263157894746E-2</v>
      </c>
      <c r="G2512" t="str">
        <f>IFERROR(VLOOKUP(B2512,'Pre-Summary'!$AE$6:$AJ$85,3,FALSE),"")</f>
        <v/>
      </c>
      <c r="H2512" t="str">
        <f>IFERROR(VLOOKUP(B2512,'Pre-Summary'!$AE$6:$AJ$85,4,FALSE),"")</f>
        <v/>
      </c>
      <c r="I2512" t="str">
        <f>IFERROR(VLOOKUP(B2512,'Pre-Summary'!$AE$6:$AJ$85,5,FALSE),"")</f>
        <v/>
      </c>
      <c r="J2512" s="45" t="str">
        <f>IFERROR(VLOOKUP(B2512,'Pre-Summary'!$AE$6:$AJ$85,6, FALSE),"")</f>
        <v/>
      </c>
      <c r="K2512" s="45" t="str">
        <f>IFERROR(VLOOKUP(B2512,'Pre-Summary'!$DE$6:$DG$61,3,FALSE),"")</f>
        <v/>
      </c>
      <c r="L2512" s="45" t="str">
        <f>IFERROR(VLOOKUP(B2512,'Pre-Summary'!$CU$6:$CW$36,3,FALSE),"")</f>
        <v/>
      </c>
      <c r="M2512" s="45" t="str">
        <f>IFERROR(VLOOKUP(B2512,'Pre-Summary'!$BW$6:$BY$58,2,FALSE),"")</f>
        <v/>
      </c>
      <c r="N2512" s="45" t="str">
        <f>IFERROR(VLOOKUP(B2512,'Pre-Summary'!$CD$6:$CF$64,2,FALSE),"")</f>
        <v/>
      </c>
      <c r="O2512" s="99">
        <f>IFERROR(VLOOKUP(B2512,'Pre-Summary'!$BO$6:$BQ$48,3, FALSE),O2511)</f>
        <v>1.508</v>
      </c>
      <c r="P2512" s="99">
        <f>IFERROR(VLOOKUP(B2512,'Pre-Summary'!$BS$6:$BU$35,3,FALSE),P2511)</f>
        <v>0.4</v>
      </c>
      <c r="Q2512" s="54">
        <f t="shared" si="117"/>
        <v>3.77</v>
      </c>
      <c r="R2512" s="53">
        <f>IFERROR(VLOOKUP(B2512,'Pre-Summary'!$BG$6:$BM$44,7,FALSE),R2513)</f>
        <v>0.1051381075353212</v>
      </c>
      <c r="S2512" s="53">
        <f>IFERROR(VLOOKUP(B2512,'Pre-Summary'!$BG$6:$BM$44,6,FALSE),S2513)</f>
        <v>9.6348174087088401E-2</v>
      </c>
      <c r="T2512" s="45" t="str">
        <f>IFERROR(VLOOKUP(B2512,'Pre-Summary'!$Y$6:$AC$83, 3,FALSE),"")</f>
        <v/>
      </c>
      <c r="U2512" s="45" t="str">
        <f>IFERROR(VLOOKUP(B2512,'Pre-Summary'!$Y$6:$AC$83, 4,FALSE),"")</f>
        <v/>
      </c>
      <c r="V2512" t="str">
        <f>IFERROR(VLOOKUP(B2512,'Pre-Summary'!$Y$6:$AC$83, 5,FALSE),"")</f>
        <v/>
      </c>
      <c r="W2512" s="45" t="str">
        <f>IFERROR(VLOOKUP(B2512,'Pre-Summary'!$Y$6:$AD$83,6,FALSE),"")</f>
        <v/>
      </c>
      <c r="X2512" t="str">
        <f>IFERROR(VLOOKUP('Pre-Summary'!$DB$6:$DD$63,3,FALSE),"")</f>
        <v/>
      </c>
      <c r="Y2512" t="str">
        <f>IFERROR(VLOOKUP(B2512,'Pre-Summary'!$CR$6:$CT$36,3,FALSE),"")</f>
        <v/>
      </c>
      <c r="Z2512" s="45" t="str">
        <f>IFERROR(VLOOKUP(B2512,'Pre-Summary'!$BZ$6:$CB$63,2,FALSE),"")</f>
        <v/>
      </c>
      <c r="AA2512" s="45" t="str">
        <f>IFERROR(VLOOKUP(B2512,'Pre-Summary'!$CG$6:$CI$70,2,FALSE),"")</f>
        <v/>
      </c>
      <c r="AB2512" s="99">
        <f>IFERROR(VLOOKUP(B2512,'Pre-Summary'!$A$6:$P$178,9,FALSE),AB2513)</f>
        <v>0.35236427409982735</v>
      </c>
      <c r="AC2512" s="10">
        <f>IFERROR(VLOOKUP(Summary!B2512,'Pre-Summary'!$A$6:$P$184,5, FALSE)/100,AC2513)</f>
        <v>0.96895166666666666</v>
      </c>
      <c r="AD2512" s="10">
        <f>IFERROR(VLOOKUP(Summary!B2512,'Pre-Summary'!$A$6:$P$184,3, FALSE)/100,AD2513)</f>
        <v>2.0058333333333334E-2</v>
      </c>
      <c r="AE2512" s="10">
        <f>IFERROR(VLOOKUP(Summary!B2512,'Pre-Summary'!$A$6:$P$184,7, FALSE)/100,AE2513)</f>
        <v>1.0990333333333335E-2</v>
      </c>
      <c r="AF2512" s="99">
        <f t="shared" si="118"/>
        <v>7.0678400646523708E-3</v>
      </c>
      <c r="AG2512" s="99">
        <f t="shared" si="119"/>
        <v>3.8726008271151363E-3</v>
      </c>
      <c r="AH2512" s="10">
        <f>IFERROR(VLOOKUP(B2512,'Pre-Summary'!$AZ$6:$BE$65,3,FALSE),"")</f>
        <v>524</v>
      </c>
      <c r="AI2512" s="10">
        <f>IFERROR(VLOOKUP(B2512,'Pre-Summary'!$AZ$6:$BE$65,5,FALSE),"")</f>
        <v>209</v>
      </c>
      <c r="AJ2512" s="10">
        <f>IFERROR(VLOOKUP(B2512,'Pre-Summary'!$AZ$6:$BE$65,4,FALSE),"")</f>
        <v>453</v>
      </c>
      <c r="AK2512" s="10">
        <f>IFERROR(VLOOKUP(B2512,'Pre-Summary'!$AZ$6:$BE$65,6,FALSE),"")</f>
        <v>171</v>
      </c>
      <c r="AL2512" s="10">
        <f>IFERROR(VLOOKUP(B2512,'Pre-Summary'!$BG$6:$BL$44,3,FALSE),"")</f>
        <v>7.3705456256692541</v>
      </c>
      <c r="AM2512" s="10">
        <f>IFERROR(VLOOKUP(B2512,'Pre-Summary'!$BG$6:$BL$44,4,FALSE),"")</f>
        <v>3.243444963653733</v>
      </c>
    </row>
    <row r="2513" spans="2:39" ht="15" customHeight="1" x14ac:dyDescent="0.3">
      <c r="B2513">
        <v>251</v>
      </c>
      <c r="C2513" t="str">
        <f>IFERROR(VLOOKUP(B2513,'Pre-Summary'!$DI$6:$DM$23,4,FALSE),"")</f>
        <v/>
      </c>
      <c r="D2513" s="10" t="str">
        <f>IFERROR(VLOOKUP(B2513,'Pre-Summary'!$AT$6:$AX$14,5,FALSE),D2512)</f>
        <v>Wolfe v3: went back to modified wolfe + EDTA and switched CuSO4 to CUCl2</v>
      </c>
      <c r="E2513" s="10" t="str">
        <f>IFERROR(VLOOKUP(B2513,'Pre-Summary'!$AT$6:$AX$15,4,FALSE),"")</f>
        <v/>
      </c>
      <c r="F2513">
        <f>IFERROR(VLOOKUP(B2513,'Pre-Summary'!$AL$6:$AQ$13,6,FALSE),F2512)</f>
        <v>5.9405263157894746E-2</v>
      </c>
      <c r="G2513" t="str">
        <f>IFERROR(VLOOKUP(B2513,'Pre-Summary'!$AE$6:$AJ$85,3,FALSE),"")</f>
        <v/>
      </c>
      <c r="H2513" t="str">
        <f>IFERROR(VLOOKUP(B2513,'Pre-Summary'!$AE$6:$AJ$85,4,FALSE),"")</f>
        <v/>
      </c>
      <c r="I2513" t="str">
        <f>IFERROR(VLOOKUP(B2513,'Pre-Summary'!$AE$6:$AJ$85,5,FALSE),"")</f>
        <v/>
      </c>
      <c r="J2513" s="45" t="str">
        <f>IFERROR(VLOOKUP(B2513,'Pre-Summary'!$AE$6:$AJ$85,6, FALSE),"")</f>
        <v/>
      </c>
      <c r="K2513" s="45" t="str">
        <f>IFERROR(VLOOKUP(B2513,'Pre-Summary'!$DE$6:$DG$61,3,FALSE),"")</f>
        <v/>
      </c>
      <c r="L2513" s="45" t="str">
        <f>IFERROR(VLOOKUP(B2513,'Pre-Summary'!$CU$6:$CW$36,3,FALSE),"")</f>
        <v/>
      </c>
      <c r="M2513" s="45" t="str">
        <f>IFERROR(VLOOKUP(B2513,'Pre-Summary'!$BW$6:$BY$58,2,FALSE),"")</f>
        <v/>
      </c>
      <c r="N2513" s="45" t="str">
        <f>IFERROR(VLOOKUP(B2513,'Pre-Summary'!$CD$6:$CF$64,2,FALSE),"")</f>
        <v/>
      </c>
      <c r="O2513" s="99">
        <f>IFERROR(VLOOKUP(B2513,'Pre-Summary'!$BO$6:$BQ$48,3, FALSE),O2512)</f>
        <v>1.508</v>
      </c>
      <c r="P2513" s="99">
        <f>IFERROR(VLOOKUP(B2513,'Pre-Summary'!$BS$6:$BU$35,3,FALSE),P2512)</f>
        <v>0.4</v>
      </c>
      <c r="Q2513" s="54">
        <f t="shared" si="117"/>
        <v>3.77</v>
      </c>
      <c r="R2513" s="53">
        <f>IFERROR(VLOOKUP(B2513,'Pre-Summary'!$BG$6:$BM$44,7,FALSE),R2514)</f>
        <v>0.11030801475343607</v>
      </c>
      <c r="S2513" s="53">
        <f>IFERROR(VLOOKUP(B2513,'Pre-Summary'!$BG$6:$BM$44,6,FALSE),S2514)</f>
        <v>0.11504859134187218</v>
      </c>
      <c r="T2513" s="45" t="str">
        <f>IFERROR(VLOOKUP(B2513,'Pre-Summary'!$Y$6:$AC$83, 3,FALSE),"")</f>
        <v/>
      </c>
      <c r="U2513" s="45" t="str">
        <f>IFERROR(VLOOKUP(B2513,'Pre-Summary'!$Y$6:$AC$83, 4,FALSE),"")</f>
        <v/>
      </c>
      <c r="V2513" t="str">
        <f>IFERROR(VLOOKUP(B2513,'Pre-Summary'!$Y$6:$AC$83, 5,FALSE),"")</f>
        <v/>
      </c>
      <c r="W2513" s="45" t="str">
        <f>IFERROR(VLOOKUP(B2513,'Pre-Summary'!$Y$6:$AD$83,6,FALSE),"")</f>
        <v/>
      </c>
      <c r="X2513" t="str">
        <f>IFERROR(VLOOKUP('Pre-Summary'!$DB$6:$DD$63,3,FALSE),"")</f>
        <v/>
      </c>
      <c r="Y2513" t="str">
        <f>IFERROR(VLOOKUP(B2513,'Pre-Summary'!$CR$6:$CT$36,3,FALSE),"")</f>
        <v/>
      </c>
      <c r="Z2513" s="45" t="str">
        <f>IFERROR(VLOOKUP(B2513,'Pre-Summary'!$BZ$6:$CB$63,2,FALSE),"")</f>
        <v/>
      </c>
      <c r="AA2513" s="45" t="str">
        <f>IFERROR(VLOOKUP(B2513,'Pre-Summary'!$CG$6:$CI$70,2,FALSE),"")</f>
        <v/>
      </c>
      <c r="AB2513" s="99">
        <f>IFERROR(VLOOKUP(B2513,'Pre-Summary'!$A$6:$P$178,9,FALSE),AB2514)</f>
        <v>0.38080182803021162</v>
      </c>
      <c r="AC2513" s="10">
        <f>IFERROR(VLOOKUP(Summary!B2513,'Pre-Summary'!$A$6:$P$184,5, FALSE)/100,AC2514)</f>
        <v>0.98776766666666671</v>
      </c>
      <c r="AD2513" s="10">
        <f>IFERROR(VLOOKUP(Summary!B2513,'Pre-Summary'!$A$6:$P$184,3, FALSE)/100,AD2514)</f>
        <v>2.2106666666666668E-3</v>
      </c>
      <c r="AE2513" s="10">
        <f>IFERROR(VLOOKUP(Summary!B2513,'Pre-Summary'!$A$6:$P$184,7, FALSE)/100,AE2514)</f>
        <v>1.0021666666666667E-2</v>
      </c>
      <c r="AF2513" s="99">
        <f t="shared" si="118"/>
        <v>8.4182590783212115E-4</v>
      </c>
      <c r="AG2513" s="99">
        <f t="shared" si="119"/>
        <v>3.8162689865761041E-3</v>
      </c>
      <c r="AH2513" s="10" t="str">
        <f>IFERROR(VLOOKUP(B2513,'Pre-Summary'!$AZ$6:$BE$65,3,FALSE),"")</f>
        <v/>
      </c>
      <c r="AI2513" s="10" t="str">
        <f>IFERROR(VLOOKUP(B2513,'Pre-Summary'!$AZ$6:$BE$65,5,FALSE),"")</f>
        <v/>
      </c>
      <c r="AJ2513" s="10" t="str">
        <f>IFERROR(VLOOKUP(B2513,'Pre-Summary'!$AZ$6:$BE$65,4,FALSE),"")</f>
        <v/>
      </c>
      <c r="AK2513" s="10" t="str">
        <f>IFERROR(VLOOKUP(B2513,'Pre-Summary'!$AZ$6:$BE$65,6,FALSE),"")</f>
        <v/>
      </c>
      <c r="AL2513" s="10" t="str">
        <f>IFERROR(VLOOKUP(B2513,'Pre-Summary'!$BG$6:$BL$44,3,FALSE),"")</f>
        <v/>
      </c>
      <c r="AM2513" s="10" t="str">
        <f>IFERROR(VLOOKUP(B2513,'Pre-Summary'!$BG$6:$BL$44,4,FALSE),"")</f>
        <v/>
      </c>
    </row>
    <row r="2514" spans="2:39" ht="15" customHeight="1" x14ac:dyDescent="0.3">
      <c r="B2514">
        <v>251.1</v>
      </c>
      <c r="C2514" t="str">
        <f>IFERROR(VLOOKUP(B2514,'Pre-Summary'!$DI$6:$DM$23,4,FALSE),"")</f>
        <v/>
      </c>
      <c r="D2514" s="10" t="str">
        <f>IFERROR(VLOOKUP(B2514,'Pre-Summary'!$AT$6:$AX$14,5,FALSE),D2513)</f>
        <v>Wolfe v3: went back to modified wolfe + EDTA and switched CuSO4 to CUCl2</v>
      </c>
      <c r="E2514" s="10" t="str">
        <f>IFERROR(VLOOKUP(B2514,'Pre-Summary'!$AT$6:$AX$15,4,FALSE),"")</f>
        <v/>
      </c>
      <c r="F2514">
        <f>IFERROR(VLOOKUP(B2514,'Pre-Summary'!$AL$6:$AQ$13,6,FALSE),F2513)</f>
        <v>5.9405263157894746E-2</v>
      </c>
      <c r="G2514" t="str">
        <f>IFERROR(VLOOKUP(B2514,'Pre-Summary'!$AE$6:$AJ$85,3,FALSE),"")</f>
        <v/>
      </c>
      <c r="H2514" t="str">
        <f>IFERROR(VLOOKUP(B2514,'Pre-Summary'!$AE$6:$AJ$85,4,FALSE),"")</f>
        <v/>
      </c>
      <c r="I2514" t="str">
        <f>IFERROR(VLOOKUP(B2514,'Pre-Summary'!$AE$6:$AJ$85,5,FALSE),"")</f>
        <v/>
      </c>
      <c r="J2514" s="45" t="str">
        <f>IFERROR(VLOOKUP(B2514,'Pre-Summary'!$AE$6:$AJ$85,6, FALSE),"")</f>
        <v/>
      </c>
      <c r="K2514" s="45" t="str">
        <f>IFERROR(VLOOKUP(B2514,'Pre-Summary'!$DE$6:$DG$61,3,FALSE),"")</f>
        <v/>
      </c>
      <c r="L2514" s="45" t="str">
        <f>IFERROR(VLOOKUP(B2514,'Pre-Summary'!$CU$6:$CW$36,3,FALSE),"")</f>
        <v/>
      </c>
      <c r="M2514" s="45" t="str">
        <f>IFERROR(VLOOKUP(B2514,'Pre-Summary'!$BW$6:$BY$58,2,FALSE),"")</f>
        <v/>
      </c>
      <c r="N2514" s="45" t="str">
        <f>IFERROR(VLOOKUP(B2514,'Pre-Summary'!$CD$6:$CF$64,2,FALSE),"")</f>
        <v/>
      </c>
      <c r="O2514" s="99">
        <f>IFERROR(VLOOKUP(B2514,'Pre-Summary'!$BO$6:$BQ$48,3, FALSE),O2513)</f>
        <v>1.508</v>
      </c>
      <c r="P2514" s="99">
        <f>IFERROR(VLOOKUP(B2514,'Pre-Summary'!$BS$6:$BU$35,3,FALSE),P2513)</f>
        <v>0.4</v>
      </c>
      <c r="Q2514" s="54">
        <f t="shared" si="117"/>
        <v>3.77</v>
      </c>
      <c r="R2514" s="53">
        <f>IFERROR(VLOOKUP(B2514,'Pre-Summary'!$BG$6:$BM$44,7,FALSE),R2515)</f>
        <v>0.11030801475343607</v>
      </c>
      <c r="S2514" s="53">
        <f>IFERROR(VLOOKUP(B2514,'Pre-Summary'!$BG$6:$BM$44,6,FALSE),S2515)</f>
        <v>0.11504859134187218</v>
      </c>
      <c r="T2514" s="45" t="str">
        <f>IFERROR(VLOOKUP(B2514,'Pre-Summary'!$Y$6:$AC$83, 3,FALSE),"")</f>
        <v/>
      </c>
      <c r="U2514" s="45" t="str">
        <f>IFERROR(VLOOKUP(B2514,'Pre-Summary'!$Y$6:$AC$83, 4,FALSE),"")</f>
        <v/>
      </c>
      <c r="V2514" t="str">
        <f>IFERROR(VLOOKUP(B2514,'Pre-Summary'!$Y$6:$AC$83, 5,FALSE),"")</f>
        <v/>
      </c>
      <c r="W2514" s="45" t="str">
        <f>IFERROR(VLOOKUP(B2514,'Pre-Summary'!$Y$6:$AD$83,6,FALSE),"")</f>
        <v/>
      </c>
      <c r="X2514" t="str">
        <f>IFERROR(VLOOKUP('Pre-Summary'!$DB$6:$DD$63,3,FALSE),"")</f>
        <v/>
      </c>
      <c r="Y2514" t="str">
        <f>IFERROR(VLOOKUP(B2514,'Pre-Summary'!$CR$6:$CT$36,3,FALSE),"")</f>
        <v/>
      </c>
      <c r="Z2514" s="45" t="str">
        <f>IFERROR(VLOOKUP(B2514,'Pre-Summary'!$BZ$6:$CB$63,2,FALSE),"")</f>
        <v/>
      </c>
      <c r="AA2514" s="45" t="str">
        <f>IFERROR(VLOOKUP(B2514,'Pre-Summary'!$CG$6:$CI$70,2,FALSE),"")</f>
        <v/>
      </c>
      <c r="AB2514" s="99">
        <f>IFERROR(VLOOKUP(B2514,'Pre-Summary'!$A$6:$P$178,9,FALSE),AB2515)</f>
        <v>0.38080182803021162</v>
      </c>
      <c r="AC2514" s="10">
        <f>IFERROR(VLOOKUP(Summary!B2514,'Pre-Summary'!$A$6:$P$184,5, FALSE)/100,AC2515)</f>
        <v>0.98776766666666671</v>
      </c>
      <c r="AD2514" s="10">
        <f>IFERROR(VLOOKUP(Summary!B2514,'Pre-Summary'!$A$6:$P$184,3, FALSE)/100,AD2515)</f>
        <v>2.2106666666666668E-3</v>
      </c>
      <c r="AE2514" s="10">
        <f>IFERROR(VLOOKUP(Summary!B2514,'Pre-Summary'!$A$6:$P$184,7, FALSE)/100,AE2515)</f>
        <v>1.0021666666666667E-2</v>
      </c>
      <c r="AF2514" s="99">
        <f t="shared" si="118"/>
        <v>8.4182590783212115E-4</v>
      </c>
      <c r="AG2514" s="99">
        <f t="shared" si="119"/>
        <v>3.8162689865761041E-3</v>
      </c>
      <c r="AH2514" s="10" t="str">
        <f>IFERROR(VLOOKUP(B2514,'Pre-Summary'!$AZ$6:$BE$65,3,FALSE),"")</f>
        <v/>
      </c>
      <c r="AI2514" s="10" t="str">
        <f>IFERROR(VLOOKUP(B2514,'Pre-Summary'!$AZ$6:$BE$65,5,FALSE),"")</f>
        <v/>
      </c>
      <c r="AJ2514" s="10" t="str">
        <f>IFERROR(VLOOKUP(B2514,'Pre-Summary'!$AZ$6:$BE$65,4,FALSE),"")</f>
        <v/>
      </c>
      <c r="AK2514" s="10" t="str">
        <f>IFERROR(VLOOKUP(B2514,'Pre-Summary'!$AZ$6:$BE$65,6,FALSE),"")</f>
        <v/>
      </c>
      <c r="AL2514" s="10" t="str">
        <f>IFERROR(VLOOKUP(B2514,'Pre-Summary'!$BG$6:$BL$44,3,FALSE),"")</f>
        <v/>
      </c>
      <c r="AM2514" s="10" t="str">
        <f>IFERROR(VLOOKUP(B2514,'Pre-Summary'!$BG$6:$BL$44,4,FALSE),"")</f>
        <v/>
      </c>
    </row>
    <row r="2515" spans="2:39" ht="15" customHeight="1" x14ac:dyDescent="0.3">
      <c r="B2515">
        <v>251.2</v>
      </c>
      <c r="C2515" t="str">
        <f>IFERROR(VLOOKUP(B2515,'Pre-Summary'!$DI$6:$DM$23,4,FALSE),"")</f>
        <v/>
      </c>
      <c r="D2515" s="10" t="str">
        <f>IFERROR(VLOOKUP(B2515,'Pre-Summary'!$AT$6:$AX$14,5,FALSE),D2514)</f>
        <v>Wolfe v3: went back to modified wolfe + EDTA and switched CuSO4 to CUCl2</v>
      </c>
      <c r="E2515" s="10" t="str">
        <f>IFERROR(VLOOKUP(B2515,'Pre-Summary'!$AT$6:$AX$15,4,FALSE),"")</f>
        <v/>
      </c>
      <c r="F2515">
        <f>IFERROR(VLOOKUP(B2515,'Pre-Summary'!$AL$6:$AQ$13,6,FALSE),F2514)</f>
        <v>5.9405263157894746E-2</v>
      </c>
      <c r="G2515" t="str">
        <f>IFERROR(VLOOKUP(B2515,'Pre-Summary'!$AE$6:$AJ$85,3,FALSE),"")</f>
        <v/>
      </c>
      <c r="H2515" t="str">
        <f>IFERROR(VLOOKUP(B2515,'Pre-Summary'!$AE$6:$AJ$85,4,FALSE),"")</f>
        <v/>
      </c>
      <c r="I2515" t="str">
        <f>IFERROR(VLOOKUP(B2515,'Pre-Summary'!$AE$6:$AJ$85,5,FALSE),"")</f>
        <v/>
      </c>
      <c r="J2515" s="45" t="str">
        <f>IFERROR(VLOOKUP(B2515,'Pre-Summary'!$AE$6:$AJ$85,6, FALSE),"")</f>
        <v/>
      </c>
      <c r="K2515" s="45" t="str">
        <f>IFERROR(VLOOKUP(B2515,'Pre-Summary'!$DE$6:$DG$61,3,FALSE),"")</f>
        <v/>
      </c>
      <c r="L2515" s="45" t="str">
        <f>IFERROR(VLOOKUP(B2515,'Pre-Summary'!$CU$6:$CW$36,3,FALSE),"")</f>
        <v/>
      </c>
      <c r="M2515" s="45" t="str">
        <f>IFERROR(VLOOKUP(B2515,'Pre-Summary'!$BW$6:$BY$58,2,FALSE),"")</f>
        <v/>
      </c>
      <c r="N2515" s="45" t="str">
        <f>IFERROR(VLOOKUP(B2515,'Pre-Summary'!$CD$6:$CF$64,2,FALSE),"")</f>
        <v/>
      </c>
      <c r="O2515" s="99">
        <f>IFERROR(VLOOKUP(B2515,'Pre-Summary'!$BO$6:$BQ$48,3, FALSE),O2514)</f>
        <v>1.508</v>
      </c>
      <c r="P2515" s="99">
        <f>IFERROR(VLOOKUP(B2515,'Pre-Summary'!$BS$6:$BU$35,3,FALSE),P2514)</f>
        <v>0.4</v>
      </c>
      <c r="Q2515" s="54">
        <f t="shared" si="117"/>
        <v>3.77</v>
      </c>
      <c r="R2515" s="53">
        <f>IFERROR(VLOOKUP(B2515,'Pre-Summary'!$BG$6:$BM$44,7,FALSE),R2516)</f>
        <v>0.11030801475343607</v>
      </c>
      <c r="S2515" s="53">
        <f>IFERROR(VLOOKUP(B2515,'Pre-Summary'!$BG$6:$BM$44,6,FALSE),S2516)</f>
        <v>0.11504859134187218</v>
      </c>
      <c r="T2515" s="45" t="str">
        <f>IFERROR(VLOOKUP(B2515,'Pre-Summary'!$Y$6:$AC$83, 3,FALSE),"")</f>
        <v/>
      </c>
      <c r="U2515" s="45" t="str">
        <f>IFERROR(VLOOKUP(B2515,'Pre-Summary'!$Y$6:$AC$83, 4,FALSE),"")</f>
        <v/>
      </c>
      <c r="V2515" t="str">
        <f>IFERROR(VLOOKUP(B2515,'Pre-Summary'!$Y$6:$AC$83, 5,FALSE),"")</f>
        <v/>
      </c>
      <c r="W2515" s="45" t="str">
        <f>IFERROR(VLOOKUP(B2515,'Pre-Summary'!$Y$6:$AD$83,6,FALSE),"")</f>
        <v/>
      </c>
      <c r="X2515" t="str">
        <f>IFERROR(VLOOKUP('Pre-Summary'!$DB$6:$DD$63,3,FALSE),"")</f>
        <v/>
      </c>
      <c r="Y2515" t="str">
        <f>IFERROR(VLOOKUP(B2515,'Pre-Summary'!$CR$6:$CT$36,3,FALSE),"")</f>
        <v/>
      </c>
      <c r="Z2515" s="45" t="str">
        <f>IFERROR(VLOOKUP(B2515,'Pre-Summary'!$BZ$6:$CB$63,2,FALSE),"")</f>
        <v/>
      </c>
      <c r="AA2515" s="45" t="str">
        <f>IFERROR(VLOOKUP(B2515,'Pre-Summary'!$CG$6:$CI$70,2,FALSE),"")</f>
        <v/>
      </c>
      <c r="AB2515" s="99">
        <f>IFERROR(VLOOKUP(B2515,'Pre-Summary'!$A$6:$P$178,9,FALSE),AB2516)</f>
        <v>0.38080182803021162</v>
      </c>
      <c r="AC2515" s="10">
        <f>IFERROR(VLOOKUP(Summary!B2515,'Pre-Summary'!$A$6:$P$184,5, FALSE)/100,AC2516)</f>
        <v>0.98776766666666671</v>
      </c>
      <c r="AD2515" s="10">
        <f>IFERROR(VLOOKUP(Summary!B2515,'Pre-Summary'!$A$6:$P$184,3, FALSE)/100,AD2516)</f>
        <v>2.2106666666666668E-3</v>
      </c>
      <c r="AE2515" s="10">
        <f>IFERROR(VLOOKUP(Summary!B2515,'Pre-Summary'!$A$6:$P$184,7, FALSE)/100,AE2516)</f>
        <v>1.0021666666666667E-2</v>
      </c>
      <c r="AF2515" s="99">
        <f t="shared" si="118"/>
        <v>8.4182590783212115E-4</v>
      </c>
      <c r="AG2515" s="99">
        <f t="shared" si="119"/>
        <v>3.8162689865761041E-3</v>
      </c>
      <c r="AH2515" s="10" t="str">
        <f>IFERROR(VLOOKUP(B2515,'Pre-Summary'!$AZ$6:$BE$65,3,FALSE),"")</f>
        <v/>
      </c>
      <c r="AI2515" s="10" t="str">
        <f>IFERROR(VLOOKUP(B2515,'Pre-Summary'!$AZ$6:$BE$65,5,FALSE),"")</f>
        <v/>
      </c>
      <c r="AJ2515" s="10" t="str">
        <f>IFERROR(VLOOKUP(B2515,'Pre-Summary'!$AZ$6:$BE$65,4,FALSE),"")</f>
        <v/>
      </c>
      <c r="AK2515" s="10" t="str">
        <f>IFERROR(VLOOKUP(B2515,'Pre-Summary'!$AZ$6:$BE$65,6,FALSE),"")</f>
        <v/>
      </c>
      <c r="AL2515" s="10" t="str">
        <f>IFERROR(VLOOKUP(B2515,'Pre-Summary'!$BG$6:$BL$44,3,FALSE),"")</f>
        <v/>
      </c>
      <c r="AM2515" s="10" t="str">
        <f>IFERROR(VLOOKUP(B2515,'Pre-Summary'!$BG$6:$BL$44,4,FALSE),"")</f>
        <v/>
      </c>
    </row>
    <row r="2516" spans="2:39" ht="15" customHeight="1" x14ac:dyDescent="0.3">
      <c r="B2516">
        <v>251.3</v>
      </c>
      <c r="C2516" t="str">
        <f>IFERROR(VLOOKUP(B2516,'Pre-Summary'!$DI$6:$DM$23,4,FALSE),"")</f>
        <v/>
      </c>
      <c r="D2516" s="10" t="str">
        <f>IFERROR(VLOOKUP(B2516,'Pre-Summary'!$AT$6:$AX$14,5,FALSE),D2515)</f>
        <v>Wolfe v3: went back to modified wolfe + EDTA and switched CuSO4 to CUCl2</v>
      </c>
      <c r="E2516" s="10" t="str">
        <f>IFERROR(VLOOKUP(B2516,'Pre-Summary'!$AT$6:$AX$15,4,FALSE),"")</f>
        <v/>
      </c>
      <c r="F2516">
        <f>IFERROR(VLOOKUP(B2516,'Pre-Summary'!$AL$6:$AQ$13,6,FALSE),F2515)</f>
        <v>5.9405263157894746E-2</v>
      </c>
      <c r="G2516" t="str">
        <f>IFERROR(VLOOKUP(B2516,'Pre-Summary'!$AE$6:$AJ$85,3,FALSE),"")</f>
        <v/>
      </c>
      <c r="H2516" t="str">
        <f>IFERROR(VLOOKUP(B2516,'Pre-Summary'!$AE$6:$AJ$85,4,FALSE),"")</f>
        <v/>
      </c>
      <c r="I2516" t="str">
        <f>IFERROR(VLOOKUP(B2516,'Pre-Summary'!$AE$6:$AJ$85,5,FALSE),"")</f>
        <v/>
      </c>
      <c r="J2516" s="45" t="str">
        <f>IFERROR(VLOOKUP(B2516,'Pre-Summary'!$AE$6:$AJ$85,6, FALSE),"")</f>
        <v/>
      </c>
      <c r="K2516" s="45" t="str">
        <f>IFERROR(VLOOKUP(B2516,'Pre-Summary'!$DE$6:$DG$61,3,FALSE),"")</f>
        <v/>
      </c>
      <c r="L2516" s="45" t="str">
        <f>IFERROR(VLOOKUP(B2516,'Pre-Summary'!$CU$6:$CW$36,3,FALSE),"")</f>
        <v/>
      </c>
      <c r="M2516" s="45" t="str">
        <f>IFERROR(VLOOKUP(B2516,'Pre-Summary'!$BW$6:$BY$58,2,FALSE),"")</f>
        <v/>
      </c>
      <c r="N2516" s="45" t="str">
        <f>IFERROR(VLOOKUP(B2516,'Pre-Summary'!$CD$6:$CF$64,2,FALSE),"")</f>
        <v/>
      </c>
      <c r="O2516" s="99">
        <f>IFERROR(VLOOKUP(B2516,'Pre-Summary'!$BO$6:$BQ$48,3, FALSE),O2515)</f>
        <v>1.508</v>
      </c>
      <c r="P2516" s="99">
        <f>IFERROR(VLOOKUP(B2516,'Pre-Summary'!$BS$6:$BU$35,3,FALSE),P2515)</f>
        <v>0.4</v>
      </c>
      <c r="Q2516" s="54">
        <f t="shared" si="117"/>
        <v>3.77</v>
      </c>
      <c r="R2516" s="53">
        <f>IFERROR(VLOOKUP(B2516,'Pre-Summary'!$BG$6:$BM$44,7,FALSE),R2517)</f>
        <v>0.11030801475343607</v>
      </c>
      <c r="S2516" s="53">
        <f>IFERROR(VLOOKUP(B2516,'Pre-Summary'!$BG$6:$BM$44,6,FALSE),S2517)</f>
        <v>0.11504859134187218</v>
      </c>
      <c r="T2516" s="45" t="str">
        <f>IFERROR(VLOOKUP(B2516,'Pre-Summary'!$Y$6:$AC$83, 3,FALSE),"")</f>
        <v/>
      </c>
      <c r="U2516" s="45" t="str">
        <f>IFERROR(VLOOKUP(B2516,'Pre-Summary'!$Y$6:$AC$83, 4,FALSE),"")</f>
        <v/>
      </c>
      <c r="V2516" t="str">
        <f>IFERROR(VLOOKUP(B2516,'Pre-Summary'!$Y$6:$AC$83, 5,FALSE),"")</f>
        <v/>
      </c>
      <c r="W2516" s="45" t="str">
        <f>IFERROR(VLOOKUP(B2516,'Pre-Summary'!$Y$6:$AD$83,6,FALSE),"")</f>
        <v/>
      </c>
      <c r="X2516" t="str">
        <f>IFERROR(VLOOKUP('Pre-Summary'!$DB$6:$DD$63,3,FALSE),"")</f>
        <v/>
      </c>
      <c r="Y2516" t="str">
        <f>IFERROR(VLOOKUP(B2516,'Pre-Summary'!$CR$6:$CT$36,3,FALSE),"")</f>
        <v/>
      </c>
      <c r="Z2516" s="45" t="str">
        <f>IFERROR(VLOOKUP(B2516,'Pre-Summary'!$BZ$6:$CB$63,2,FALSE),"")</f>
        <v/>
      </c>
      <c r="AA2516" s="45" t="str">
        <f>IFERROR(VLOOKUP(B2516,'Pre-Summary'!$CG$6:$CI$70,2,FALSE),"")</f>
        <v/>
      </c>
      <c r="AB2516" s="99">
        <f>IFERROR(VLOOKUP(B2516,'Pre-Summary'!$A$6:$P$178,9,FALSE),AB2517)</f>
        <v>0.38080182803021162</v>
      </c>
      <c r="AC2516" s="10">
        <f>IFERROR(VLOOKUP(Summary!B2516,'Pre-Summary'!$A$6:$P$184,5, FALSE)/100,AC2517)</f>
        <v>0.98776766666666671</v>
      </c>
      <c r="AD2516" s="10">
        <f>IFERROR(VLOOKUP(Summary!B2516,'Pre-Summary'!$A$6:$P$184,3, FALSE)/100,AD2517)</f>
        <v>2.2106666666666668E-3</v>
      </c>
      <c r="AE2516" s="10">
        <f>IFERROR(VLOOKUP(Summary!B2516,'Pre-Summary'!$A$6:$P$184,7, FALSE)/100,AE2517)</f>
        <v>1.0021666666666667E-2</v>
      </c>
      <c r="AF2516" s="99">
        <f t="shared" si="118"/>
        <v>8.4182590783212115E-4</v>
      </c>
      <c r="AG2516" s="99">
        <f t="shared" si="119"/>
        <v>3.8162689865761041E-3</v>
      </c>
      <c r="AH2516" s="10" t="str">
        <f>IFERROR(VLOOKUP(B2516,'Pre-Summary'!$AZ$6:$BE$65,3,FALSE),"")</f>
        <v/>
      </c>
      <c r="AI2516" s="10" t="str">
        <f>IFERROR(VLOOKUP(B2516,'Pre-Summary'!$AZ$6:$BE$65,5,FALSE),"")</f>
        <v/>
      </c>
      <c r="AJ2516" s="10" t="str">
        <f>IFERROR(VLOOKUP(B2516,'Pre-Summary'!$AZ$6:$BE$65,4,FALSE),"")</f>
        <v/>
      </c>
      <c r="AK2516" s="10" t="str">
        <f>IFERROR(VLOOKUP(B2516,'Pre-Summary'!$AZ$6:$BE$65,6,FALSE),"")</f>
        <v/>
      </c>
      <c r="AL2516" s="10" t="str">
        <f>IFERROR(VLOOKUP(B2516,'Pre-Summary'!$BG$6:$BL$44,3,FALSE),"")</f>
        <v/>
      </c>
      <c r="AM2516" s="10" t="str">
        <f>IFERROR(VLOOKUP(B2516,'Pre-Summary'!$BG$6:$BL$44,4,FALSE),"")</f>
        <v/>
      </c>
    </row>
    <row r="2517" spans="2:39" ht="15" customHeight="1" x14ac:dyDescent="0.3">
      <c r="B2517">
        <v>251.4</v>
      </c>
      <c r="C2517" t="str">
        <f>IFERROR(VLOOKUP(B2517,'Pre-Summary'!$DI$6:$DM$23,4,FALSE),"")</f>
        <v/>
      </c>
      <c r="D2517" s="10" t="str">
        <f>IFERROR(VLOOKUP(B2517,'Pre-Summary'!$AT$6:$AX$14,5,FALSE),D2516)</f>
        <v>Wolfe v3: went back to modified wolfe + EDTA and switched CuSO4 to CUCl2</v>
      </c>
      <c r="E2517" s="10" t="str">
        <f>IFERROR(VLOOKUP(B2517,'Pre-Summary'!$AT$6:$AX$15,4,FALSE),"")</f>
        <v/>
      </c>
      <c r="F2517">
        <f>IFERROR(VLOOKUP(B2517,'Pre-Summary'!$AL$6:$AQ$13,6,FALSE),F2516)</f>
        <v>5.9405263157894746E-2</v>
      </c>
      <c r="G2517" t="str">
        <f>IFERROR(VLOOKUP(B2517,'Pre-Summary'!$AE$6:$AJ$85,3,FALSE),"")</f>
        <v/>
      </c>
      <c r="H2517" t="str">
        <f>IFERROR(VLOOKUP(B2517,'Pre-Summary'!$AE$6:$AJ$85,4,FALSE),"")</f>
        <v/>
      </c>
      <c r="I2517" t="str">
        <f>IFERROR(VLOOKUP(B2517,'Pre-Summary'!$AE$6:$AJ$85,5,FALSE),"")</f>
        <v/>
      </c>
      <c r="J2517" s="45" t="str">
        <f>IFERROR(VLOOKUP(B2517,'Pre-Summary'!$AE$6:$AJ$85,6, FALSE),"")</f>
        <v/>
      </c>
      <c r="K2517" s="45" t="str">
        <f>IFERROR(VLOOKUP(B2517,'Pre-Summary'!$DE$6:$DG$61,3,FALSE),"")</f>
        <v/>
      </c>
      <c r="L2517" s="45" t="str">
        <f>IFERROR(VLOOKUP(B2517,'Pre-Summary'!$CU$6:$CW$36,3,FALSE),"")</f>
        <v/>
      </c>
      <c r="M2517" s="45" t="str">
        <f>IFERROR(VLOOKUP(B2517,'Pre-Summary'!$BW$6:$BY$58,2,FALSE),"")</f>
        <v/>
      </c>
      <c r="N2517" s="45" t="str">
        <f>IFERROR(VLOOKUP(B2517,'Pre-Summary'!$CD$6:$CF$64,2,FALSE),"")</f>
        <v/>
      </c>
      <c r="O2517" s="99">
        <f>IFERROR(VLOOKUP(B2517,'Pre-Summary'!$BO$6:$BQ$48,3, FALSE),O2516)</f>
        <v>1.508</v>
      </c>
      <c r="P2517" s="99">
        <f>IFERROR(VLOOKUP(B2517,'Pre-Summary'!$BS$6:$BU$35,3,FALSE),P2516)</f>
        <v>0.4</v>
      </c>
      <c r="Q2517" s="54">
        <f t="shared" si="117"/>
        <v>3.77</v>
      </c>
      <c r="R2517" s="53">
        <f>IFERROR(VLOOKUP(B2517,'Pre-Summary'!$BG$6:$BM$44,7,FALSE),R2518)</f>
        <v>0.11030801475343607</v>
      </c>
      <c r="S2517" s="53">
        <f>IFERROR(VLOOKUP(B2517,'Pre-Summary'!$BG$6:$BM$44,6,FALSE),S2518)</f>
        <v>0.11504859134187218</v>
      </c>
      <c r="T2517" s="45" t="str">
        <f>IFERROR(VLOOKUP(B2517,'Pre-Summary'!$Y$6:$AC$83, 3,FALSE),"")</f>
        <v/>
      </c>
      <c r="U2517" s="45" t="str">
        <f>IFERROR(VLOOKUP(B2517,'Pre-Summary'!$Y$6:$AC$83, 4,FALSE),"")</f>
        <v/>
      </c>
      <c r="V2517" t="str">
        <f>IFERROR(VLOOKUP(B2517,'Pre-Summary'!$Y$6:$AC$83, 5,FALSE),"")</f>
        <v/>
      </c>
      <c r="W2517" s="45" t="str">
        <f>IFERROR(VLOOKUP(B2517,'Pre-Summary'!$Y$6:$AD$83,6,FALSE),"")</f>
        <v/>
      </c>
      <c r="X2517" t="str">
        <f>IFERROR(VLOOKUP('Pre-Summary'!$DB$6:$DD$63,3,FALSE),"")</f>
        <v/>
      </c>
      <c r="Y2517" t="str">
        <f>IFERROR(VLOOKUP(B2517,'Pre-Summary'!$CR$6:$CT$36,3,FALSE),"")</f>
        <v/>
      </c>
      <c r="Z2517" s="45" t="str">
        <f>IFERROR(VLOOKUP(B2517,'Pre-Summary'!$BZ$6:$CB$63,2,FALSE),"")</f>
        <v/>
      </c>
      <c r="AA2517" s="45" t="str">
        <f>IFERROR(VLOOKUP(B2517,'Pre-Summary'!$CG$6:$CI$70,2,FALSE),"")</f>
        <v/>
      </c>
      <c r="AB2517" s="99">
        <f>IFERROR(VLOOKUP(B2517,'Pre-Summary'!$A$6:$P$178,9,FALSE),AB2518)</f>
        <v>0.38080182803021162</v>
      </c>
      <c r="AC2517" s="10">
        <f>IFERROR(VLOOKUP(Summary!B2517,'Pre-Summary'!$A$6:$P$184,5, FALSE)/100,AC2518)</f>
        <v>0.98776766666666671</v>
      </c>
      <c r="AD2517" s="10">
        <f>IFERROR(VLOOKUP(Summary!B2517,'Pre-Summary'!$A$6:$P$184,3, FALSE)/100,AD2518)</f>
        <v>2.2106666666666668E-3</v>
      </c>
      <c r="AE2517" s="10">
        <f>IFERROR(VLOOKUP(Summary!B2517,'Pre-Summary'!$A$6:$P$184,7, FALSE)/100,AE2518)</f>
        <v>1.0021666666666667E-2</v>
      </c>
      <c r="AF2517" s="99">
        <f t="shared" si="118"/>
        <v>8.4182590783212115E-4</v>
      </c>
      <c r="AG2517" s="99">
        <f t="shared" si="119"/>
        <v>3.8162689865761041E-3</v>
      </c>
      <c r="AH2517" s="10" t="str">
        <f>IFERROR(VLOOKUP(B2517,'Pre-Summary'!$AZ$6:$BE$65,3,FALSE),"")</f>
        <v/>
      </c>
      <c r="AI2517" s="10" t="str">
        <f>IFERROR(VLOOKUP(B2517,'Pre-Summary'!$AZ$6:$BE$65,5,FALSE),"")</f>
        <v/>
      </c>
      <c r="AJ2517" s="10" t="str">
        <f>IFERROR(VLOOKUP(B2517,'Pre-Summary'!$AZ$6:$BE$65,4,FALSE),"")</f>
        <v/>
      </c>
      <c r="AK2517" s="10" t="str">
        <f>IFERROR(VLOOKUP(B2517,'Pre-Summary'!$AZ$6:$BE$65,6,FALSE),"")</f>
        <v/>
      </c>
      <c r="AL2517" s="10" t="str">
        <f>IFERROR(VLOOKUP(B2517,'Pre-Summary'!$BG$6:$BL$44,3,FALSE),"")</f>
        <v/>
      </c>
      <c r="AM2517" s="10" t="str">
        <f>IFERROR(VLOOKUP(B2517,'Pre-Summary'!$BG$6:$BL$44,4,FALSE),"")</f>
        <v/>
      </c>
    </row>
    <row r="2518" spans="2:39" ht="15" customHeight="1" x14ac:dyDescent="0.3">
      <c r="B2518">
        <v>251.5</v>
      </c>
      <c r="C2518" t="str">
        <f>IFERROR(VLOOKUP(B2518,'Pre-Summary'!$DI$6:$DM$23,4,FALSE),"")</f>
        <v/>
      </c>
      <c r="D2518" s="10" t="str">
        <f>IFERROR(VLOOKUP(B2518,'Pre-Summary'!$AT$6:$AX$14,5,FALSE),D2517)</f>
        <v>Wolfe v3: went back to modified wolfe + EDTA and switched CuSO4 to CUCl2</v>
      </c>
      <c r="E2518" s="10" t="str">
        <f>IFERROR(VLOOKUP(B2518,'Pre-Summary'!$AT$6:$AX$15,4,FALSE),"")</f>
        <v/>
      </c>
      <c r="F2518">
        <f>IFERROR(VLOOKUP(B2518,'Pre-Summary'!$AL$6:$AQ$13,6,FALSE),F2517)</f>
        <v>5.9405263157894746E-2</v>
      </c>
      <c r="G2518" t="str">
        <f>IFERROR(VLOOKUP(B2518,'Pre-Summary'!$AE$6:$AJ$85,3,FALSE),"")</f>
        <v/>
      </c>
      <c r="H2518" t="str">
        <f>IFERROR(VLOOKUP(B2518,'Pre-Summary'!$AE$6:$AJ$85,4,FALSE),"")</f>
        <v/>
      </c>
      <c r="I2518" t="str">
        <f>IFERROR(VLOOKUP(B2518,'Pre-Summary'!$AE$6:$AJ$85,5,FALSE),"")</f>
        <v/>
      </c>
      <c r="J2518" s="45" t="str">
        <f>IFERROR(VLOOKUP(B2518,'Pre-Summary'!$AE$6:$AJ$85,6, FALSE),"")</f>
        <v/>
      </c>
      <c r="K2518" s="45" t="str">
        <f>IFERROR(VLOOKUP(B2518,'Pre-Summary'!$DE$6:$DG$61,3,FALSE),"")</f>
        <v/>
      </c>
      <c r="L2518" s="45" t="str">
        <f>IFERROR(VLOOKUP(B2518,'Pre-Summary'!$CU$6:$CW$36,3,FALSE),"")</f>
        <v/>
      </c>
      <c r="M2518" s="45" t="str">
        <f>IFERROR(VLOOKUP(B2518,'Pre-Summary'!$BW$6:$BY$58,2,FALSE),"")</f>
        <v/>
      </c>
      <c r="N2518" s="45" t="str">
        <f>IFERROR(VLOOKUP(B2518,'Pre-Summary'!$CD$6:$CF$64,2,FALSE),"")</f>
        <v/>
      </c>
      <c r="O2518" s="99">
        <f>IFERROR(VLOOKUP(B2518,'Pre-Summary'!$BO$6:$BQ$48,3, FALSE),O2517)</f>
        <v>1.508</v>
      </c>
      <c r="P2518" s="99">
        <f>IFERROR(VLOOKUP(B2518,'Pre-Summary'!$BS$6:$BU$35,3,FALSE),P2517)</f>
        <v>0.4</v>
      </c>
      <c r="Q2518" s="54">
        <f t="shared" si="117"/>
        <v>3.77</v>
      </c>
      <c r="R2518" s="53">
        <f>IFERROR(VLOOKUP(B2518,'Pre-Summary'!$BG$6:$BM$44,7,FALSE),R2519)</f>
        <v>0.11030801475343607</v>
      </c>
      <c r="S2518" s="53">
        <f>IFERROR(VLOOKUP(B2518,'Pre-Summary'!$BG$6:$BM$44,6,FALSE),S2519)</f>
        <v>0.11504859134187218</v>
      </c>
      <c r="T2518" s="45" t="str">
        <f>IFERROR(VLOOKUP(B2518,'Pre-Summary'!$Y$6:$AC$83, 3,FALSE),"")</f>
        <v/>
      </c>
      <c r="U2518" s="45" t="str">
        <f>IFERROR(VLOOKUP(B2518,'Pre-Summary'!$Y$6:$AC$83, 4,FALSE),"")</f>
        <v/>
      </c>
      <c r="V2518" t="str">
        <f>IFERROR(VLOOKUP(B2518,'Pre-Summary'!$Y$6:$AC$83, 5,FALSE),"")</f>
        <v/>
      </c>
      <c r="W2518" s="45" t="str">
        <f>IFERROR(VLOOKUP(B2518,'Pre-Summary'!$Y$6:$AD$83,6,FALSE),"")</f>
        <v/>
      </c>
      <c r="X2518" t="str">
        <f>IFERROR(VLOOKUP('Pre-Summary'!$DB$6:$DD$63,3,FALSE),"")</f>
        <v/>
      </c>
      <c r="Y2518" t="str">
        <f>IFERROR(VLOOKUP(B2518,'Pre-Summary'!$CR$6:$CT$36,3,FALSE),"")</f>
        <v/>
      </c>
      <c r="Z2518" s="45" t="str">
        <f>IFERROR(VLOOKUP(B2518,'Pre-Summary'!$BZ$6:$CB$63,2,FALSE),"")</f>
        <v/>
      </c>
      <c r="AA2518" s="45" t="str">
        <f>IFERROR(VLOOKUP(B2518,'Pre-Summary'!$CG$6:$CI$70,2,FALSE),"")</f>
        <v/>
      </c>
      <c r="AB2518" s="99">
        <f>IFERROR(VLOOKUP(B2518,'Pre-Summary'!$A$6:$P$178,9,FALSE),AB2519)</f>
        <v>0.38080182803021162</v>
      </c>
      <c r="AC2518" s="10">
        <f>IFERROR(VLOOKUP(Summary!B2518,'Pre-Summary'!$A$6:$P$184,5, FALSE)/100,AC2519)</f>
        <v>0.98776766666666671</v>
      </c>
      <c r="AD2518" s="10">
        <f>IFERROR(VLOOKUP(Summary!B2518,'Pre-Summary'!$A$6:$P$184,3, FALSE)/100,AD2519)</f>
        <v>2.2106666666666668E-3</v>
      </c>
      <c r="AE2518" s="10">
        <f>IFERROR(VLOOKUP(Summary!B2518,'Pre-Summary'!$A$6:$P$184,7, FALSE)/100,AE2519)</f>
        <v>1.0021666666666667E-2</v>
      </c>
      <c r="AF2518" s="99">
        <f t="shared" si="118"/>
        <v>8.4182590783212115E-4</v>
      </c>
      <c r="AG2518" s="99">
        <f t="shared" si="119"/>
        <v>3.8162689865761041E-3</v>
      </c>
      <c r="AH2518" s="10" t="str">
        <f>IFERROR(VLOOKUP(B2518,'Pre-Summary'!$AZ$6:$BE$65,3,FALSE),"")</f>
        <v/>
      </c>
      <c r="AI2518" s="10" t="str">
        <f>IFERROR(VLOOKUP(B2518,'Pre-Summary'!$AZ$6:$BE$65,5,FALSE),"")</f>
        <v/>
      </c>
      <c r="AJ2518" s="10" t="str">
        <f>IFERROR(VLOOKUP(B2518,'Pre-Summary'!$AZ$6:$BE$65,4,FALSE),"")</f>
        <v/>
      </c>
      <c r="AK2518" s="10" t="str">
        <f>IFERROR(VLOOKUP(B2518,'Pre-Summary'!$AZ$6:$BE$65,6,FALSE),"")</f>
        <v/>
      </c>
      <c r="AL2518" s="10" t="str">
        <f>IFERROR(VLOOKUP(B2518,'Pre-Summary'!$BG$6:$BL$44,3,FALSE),"")</f>
        <v/>
      </c>
      <c r="AM2518" s="10" t="str">
        <f>IFERROR(VLOOKUP(B2518,'Pre-Summary'!$BG$6:$BL$44,4,FALSE),"")</f>
        <v/>
      </c>
    </row>
    <row r="2519" spans="2:39" ht="15" customHeight="1" x14ac:dyDescent="0.3">
      <c r="B2519">
        <v>251.6</v>
      </c>
      <c r="C2519" t="str">
        <f>IFERROR(VLOOKUP(B2519,'Pre-Summary'!$DI$6:$DM$23,4,FALSE),"")</f>
        <v/>
      </c>
      <c r="D2519" s="10" t="str">
        <f>IFERROR(VLOOKUP(B2519,'Pre-Summary'!$AT$6:$AX$14,5,FALSE),D2518)</f>
        <v>Wolfe v3: went back to modified wolfe + EDTA and switched CuSO4 to CUCl2</v>
      </c>
      <c r="E2519" s="10" t="str">
        <f>IFERROR(VLOOKUP(B2519,'Pre-Summary'!$AT$6:$AX$15,4,FALSE),"")</f>
        <v/>
      </c>
      <c r="F2519">
        <f>IFERROR(VLOOKUP(B2519,'Pre-Summary'!$AL$6:$AQ$13,6,FALSE),F2518)</f>
        <v>5.9405263157894746E-2</v>
      </c>
      <c r="G2519" t="str">
        <f>IFERROR(VLOOKUP(B2519,'Pre-Summary'!$AE$6:$AJ$85,3,FALSE),"")</f>
        <v/>
      </c>
      <c r="H2519" t="str">
        <f>IFERROR(VLOOKUP(B2519,'Pre-Summary'!$AE$6:$AJ$85,4,FALSE),"")</f>
        <v/>
      </c>
      <c r="I2519" t="str">
        <f>IFERROR(VLOOKUP(B2519,'Pre-Summary'!$AE$6:$AJ$85,5,FALSE),"")</f>
        <v/>
      </c>
      <c r="J2519" s="45" t="str">
        <f>IFERROR(VLOOKUP(B2519,'Pre-Summary'!$AE$6:$AJ$85,6, FALSE),"")</f>
        <v/>
      </c>
      <c r="K2519" s="45" t="str">
        <f>IFERROR(VLOOKUP(B2519,'Pre-Summary'!$DE$6:$DG$61,3,FALSE),"")</f>
        <v/>
      </c>
      <c r="L2519" s="45" t="str">
        <f>IFERROR(VLOOKUP(B2519,'Pre-Summary'!$CU$6:$CW$36,3,FALSE),"")</f>
        <v/>
      </c>
      <c r="M2519" s="45" t="str">
        <f>IFERROR(VLOOKUP(B2519,'Pre-Summary'!$BW$6:$BY$58,2,FALSE),"")</f>
        <v/>
      </c>
      <c r="N2519" s="45" t="str">
        <f>IFERROR(VLOOKUP(B2519,'Pre-Summary'!$CD$6:$CF$64,2,FALSE),"")</f>
        <v/>
      </c>
      <c r="O2519" s="99">
        <f>IFERROR(VLOOKUP(B2519,'Pre-Summary'!$BO$6:$BQ$48,3, FALSE),O2518)</f>
        <v>1.508</v>
      </c>
      <c r="P2519" s="99">
        <f>IFERROR(VLOOKUP(B2519,'Pre-Summary'!$BS$6:$BU$35,3,FALSE),P2518)</f>
        <v>0.4</v>
      </c>
      <c r="Q2519" s="54">
        <f t="shared" si="117"/>
        <v>3.77</v>
      </c>
      <c r="R2519" s="53">
        <f>IFERROR(VLOOKUP(B2519,'Pre-Summary'!$BG$6:$BM$44,7,FALSE),R2520)</f>
        <v>0.11030801475343607</v>
      </c>
      <c r="S2519" s="53">
        <f>IFERROR(VLOOKUP(B2519,'Pre-Summary'!$BG$6:$BM$44,6,FALSE),S2520)</f>
        <v>0.11504859134187218</v>
      </c>
      <c r="T2519" s="45" t="str">
        <f>IFERROR(VLOOKUP(B2519,'Pre-Summary'!$Y$6:$AC$83, 3,FALSE),"")</f>
        <v/>
      </c>
      <c r="U2519" s="45" t="str">
        <f>IFERROR(VLOOKUP(B2519,'Pre-Summary'!$Y$6:$AC$83, 4,FALSE),"")</f>
        <v/>
      </c>
      <c r="V2519" t="str">
        <f>IFERROR(VLOOKUP(B2519,'Pre-Summary'!$Y$6:$AC$83, 5,FALSE),"")</f>
        <v/>
      </c>
      <c r="W2519" s="45" t="str">
        <f>IFERROR(VLOOKUP(B2519,'Pre-Summary'!$Y$6:$AD$83,6,FALSE),"")</f>
        <v/>
      </c>
      <c r="X2519" t="str">
        <f>IFERROR(VLOOKUP('Pre-Summary'!$DB$6:$DD$63,3,FALSE),"")</f>
        <v/>
      </c>
      <c r="Y2519" t="str">
        <f>IFERROR(VLOOKUP(B2519,'Pre-Summary'!$CR$6:$CT$36,3,FALSE),"")</f>
        <v/>
      </c>
      <c r="Z2519" s="45" t="str">
        <f>IFERROR(VLOOKUP(B2519,'Pre-Summary'!$BZ$6:$CB$63,2,FALSE),"")</f>
        <v/>
      </c>
      <c r="AA2519" s="45" t="str">
        <f>IFERROR(VLOOKUP(B2519,'Pre-Summary'!$CG$6:$CI$70,2,FALSE),"")</f>
        <v/>
      </c>
      <c r="AB2519" s="99">
        <f>IFERROR(VLOOKUP(B2519,'Pre-Summary'!$A$6:$P$178,9,FALSE),AB2520)</f>
        <v>0.38080182803021162</v>
      </c>
      <c r="AC2519" s="10">
        <f>IFERROR(VLOOKUP(Summary!B2519,'Pre-Summary'!$A$6:$P$184,5, FALSE)/100,AC2520)</f>
        <v>0.98776766666666671</v>
      </c>
      <c r="AD2519" s="10">
        <f>IFERROR(VLOOKUP(Summary!B2519,'Pre-Summary'!$A$6:$P$184,3, FALSE)/100,AD2520)</f>
        <v>2.2106666666666668E-3</v>
      </c>
      <c r="AE2519" s="10">
        <f>IFERROR(VLOOKUP(Summary!B2519,'Pre-Summary'!$A$6:$P$184,7, FALSE)/100,AE2520)</f>
        <v>1.0021666666666667E-2</v>
      </c>
      <c r="AF2519" s="99">
        <f t="shared" si="118"/>
        <v>8.4182590783212115E-4</v>
      </c>
      <c r="AG2519" s="99">
        <f t="shared" si="119"/>
        <v>3.8162689865761041E-3</v>
      </c>
      <c r="AH2519" s="10" t="str">
        <f>IFERROR(VLOOKUP(B2519,'Pre-Summary'!$AZ$6:$BE$65,3,FALSE),"")</f>
        <v/>
      </c>
      <c r="AI2519" s="10" t="str">
        <f>IFERROR(VLOOKUP(B2519,'Pre-Summary'!$AZ$6:$BE$65,5,FALSE),"")</f>
        <v/>
      </c>
      <c r="AJ2519" s="10" t="str">
        <f>IFERROR(VLOOKUP(B2519,'Pre-Summary'!$AZ$6:$BE$65,4,FALSE),"")</f>
        <v/>
      </c>
      <c r="AK2519" s="10" t="str">
        <f>IFERROR(VLOOKUP(B2519,'Pre-Summary'!$AZ$6:$BE$65,6,FALSE),"")</f>
        <v/>
      </c>
      <c r="AL2519" s="10" t="str">
        <f>IFERROR(VLOOKUP(B2519,'Pre-Summary'!$BG$6:$BL$44,3,FALSE),"")</f>
        <v/>
      </c>
      <c r="AM2519" s="10" t="str">
        <f>IFERROR(VLOOKUP(B2519,'Pre-Summary'!$BG$6:$BL$44,4,FALSE),"")</f>
        <v/>
      </c>
    </row>
    <row r="2520" spans="2:39" ht="15" customHeight="1" x14ac:dyDescent="0.3">
      <c r="B2520">
        <v>251.7</v>
      </c>
      <c r="C2520" t="str">
        <f>IFERROR(VLOOKUP(B2520,'Pre-Summary'!$DI$6:$DM$23,4,FALSE),"")</f>
        <v/>
      </c>
      <c r="D2520" s="10" t="str">
        <f>IFERROR(VLOOKUP(B2520,'Pre-Summary'!$AT$6:$AX$14,5,FALSE),D2519)</f>
        <v>Wolfe v3: went back to modified wolfe + EDTA and switched CuSO4 to CUCl2</v>
      </c>
      <c r="E2520" s="10" t="str">
        <f>IFERROR(VLOOKUP(B2520,'Pre-Summary'!$AT$6:$AX$15,4,FALSE),"")</f>
        <v/>
      </c>
      <c r="F2520">
        <f>IFERROR(VLOOKUP(B2520,'Pre-Summary'!$AL$6:$AQ$13,6,FALSE),F2519)</f>
        <v>5.9405263157894746E-2</v>
      </c>
      <c r="G2520" t="str">
        <f>IFERROR(VLOOKUP(B2520,'Pre-Summary'!$AE$6:$AJ$85,3,FALSE),"")</f>
        <v/>
      </c>
      <c r="H2520" t="str">
        <f>IFERROR(VLOOKUP(B2520,'Pre-Summary'!$AE$6:$AJ$85,4,FALSE),"")</f>
        <v/>
      </c>
      <c r="I2520" t="str">
        <f>IFERROR(VLOOKUP(B2520,'Pre-Summary'!$AE$6:$AJ$85,5,FALSE),"")</f>
        <v/>
      </c>
      <c r="J2520" s="45" t="str">
        <f>IFERROR(VLOOKUP(B2520,'Pre-Summary'!$AE$6:$AJ$85,6, FALSE),"")</f>
        <v/>
      </c>
      <c r="K2520" s="45" t="str">
        <f>IFERROR(VLOOKUP(B2520,'Pre-Summary'!$DE$6:$DG$61,3,FALSE),"")</f>
        <v/>
      </c>
      <c r="L2520" s="45" t="str">
        <f>IFERROR(VLOOKUP(B2520,'Pre-Summary'!$CU$6:$CW$36,3,FALSE),"")</f>
        <v/>
      </c>
      <c r="M2520" s="45" t="str">
        <f>IFERROR(VLOOKUP(B2520,'Pre-Summary'!$BW$6:$BY$58,2,FALSE),"")</f>
        <v/>
      </c>
      <c r="N2520" s="45" t="str">
        <f>IFERROR(VLOOKUP(B2520,'Pre-Summary'!$CD$6:$CF$64,2,FALSE),"")</f>
        <v/>
      </c>
      <c r="O2520" s="99">
        <f>IFERROR(VLOOKUP(B2520,'Pre-Summary'!$BO$6:$BQ$48,3, FALSE),O2519)</f>
        <v>1.508</v>
      </c>
      <c r="P2520" s="99">
        <f>IFERROR(VLOOKUP(B2520,'Pre-Summary'!$BS$6:$BU$35,3,FALSE),P2519)</f>
        <v>0.4</v>
      </c>
      <c r="Q2520" s="54">
        <f t="shared" si="117"/>
        <v>3.77</v>
      </c>
      <c r="R2520" s="53">
        <f>IFERROR(VLOOKUP(B2520,'Pre-Summary'!$BG$6:$BM$44,7,FALSE),R2521)</f>
        <v>0.11030801475343607</v>
      </c>
      <c r="S2520" s="53">
        <f>IFERROR(VLOOKUP(B2520,'Pre-Summary'!$BG$6:$BM$44,6,FALSE),S2521)</f>
        <v>0.11504859134187218</v>
      </c>
      <c r="T2520" s="45" t="str">
        <f>IFERROR(VLOOKUP(B2520,'Pre-Summary'!$Y$6:$AC$83, 3,FALSE),"")</f>
        <v/>
      </c>
      <c r="U2520" s="45" t="str">
        <f>IFERROR(VLOOKUP(B2520,'Pre-Summary'!$Y$6:$AC$83, 4,FALSE),"")</f>
        <v/>
      </c>
      <c r="V2520" t="str">
        <f>IFERROR(VLOOKUP(B2520,'Pre-Summary'!$Y$6:$AC$83, 5,FALSE),"")</f>
        <v/>
      </c>
      <c r="W2520" s="45" t="str">
        <f>IFERROR(VLOOKUP(B2520,'Pre-Summary'!$Y$6:$AD$83,6,FALSE),"")</f>
        <v/>
      </c>
      <c r="X2520" t="str">
        <f>IFERROR(VLOOKUP('Pre-Summary'!$DB$6:$DD$63,3,FALSE),"")</f>
        <v/>
      </c>
      <c r="Y2520" t="str">
        <f>IFERROR(VLOOKUP(B2520,'Pre-Summary'!$CR$6:$CT$36,3,FALSE),"")</f>
        <v/>
      </c>
      <c r="Z2520" s="45" t="str">
        <f>IFERROR(VLOOKUP(B2520,'Pre-Summary'!$BZ$6:$CB$63,2,FALSE),"")</f>
        <v/>
      </c>
      <c r="AA2520" s="45" t="str">
        <f>IFERROR(VLOOKUP(B2520,'Pre-Summary'!$CG$6:$CI$70,2,FALSE),"")</f>
        <v/>
      </c>
      <c r="AB2520" s="99">
        <f>IFERROR(VLOOKUP(B2520,'Pre-Summary'!$A$6:$P$178,9,FALSE),AB2521)</f>
        <v>0.38080182803021162</v>
      </c>
      <c r="AC2520" s="10">
        <f>IFERROR(VLOOKUP(Summary!B2520,'Pre-Summary'!$A$6:$P$184,5, FALSE)/100,AC2521)</f>
        <v>0.98776766666666671</v>
      </c>
      <c r="AD2520" s="10">
        <f>IFERROR(VLOOKUP(Summary!B2520,'Pre-Summary'!$A$6:$P$184,3, FALSE)/100,AD2521)</f>
        <v>2.2106666666666668E-3</v>
      </c>
      <c r="AE2520" s="10">
        <f>IFERROR(VLOOKUP(Summary!B2520,'Pre-Summary'!$A$6:$P$184,7, FALSE)/100,AE2521)</f>
        <v>1.0021666666666667E-2</v>
      </c>
      <c r="AF2520" s="99">
        <f t="shared" si="118"/>
        <v>8.4182590783212115E-4</v>
      </c>
      <c r="AG2520" s="99">
        <f t="shared" si="119"/>
        <v>3.8162689865761041E-3</v>
      </c>
      <c r="AH2520" s="10" t="str">
        <f>IFERROR(VLOOKUP(B2520,'Pre-Summary'!$AZ$6:$BE$65,3,FALSE),"")</f>
        <v/>
      </c>
      <c r="AI2520" s="10" t="str">
        <f>IFERROR(VLOOKUP(B2520,'Pre-Summary'!$AZ$6:$BE$65,5,FALSE),"")</f>
        <v/>
      </c>
      <c r="AJ2520" s="10" t="str">
        <f>IFERROR(VLOOKUP(B2520,'Pre-Summary'!$AZ$6:$BE$65,4,FALSE),"")</f>
        <v/>
      </c>
      <c r="AK2520" s="10" t="str">
        <f>IFERROR(VLOOKUP(B2520,'Pre-Summary'!$AZ$6:$BE$65,6,FALSE),"")</f>
        <v/>
      </c>
      <c r="AL2520" s="10" t="str">
        <f>IFERROR(VLOOKUP(B2520,'Pre-Summary'!$BG$6:$BL$44,3,FALSE),"")</f>
        <v/>
      </c>
      <c r="AM2520" s="10" t="str">
        <f>IFERROR(VLOOKUP(B2520,'Pre-Summary'!$BG$6:$BL$44,4,FALSE),"")</f>
        <v/>
      </c>
    </row>
    <row r="2521" spans="2:39" ht="15" customHeight="1" x14ac:dyDescent="0.3">
      <c r="B2521">
        <v>251.8</v>
      </c>
      <c r="C2521" t="str">
        <f>IFERROR(VLOOKUP(B2521,'Pre-Summary'!$DI$6:$DM$23,4,FALSE),"")</f>
        <v/>
      </c>
      <c r="D2521" s="10" t="str">
        <f>IFERROR(VLOOKUP(B2521,'Pre-Summary'!$AT$6:$AX$14,5,FALSE),D2520)</f>
        <v>Wolfe v3: went back to modified wolfe + EDTA and switched CuSO4 to CUCl2</v>
      </c>
      <c r="E2521" s="10" t="str">
        <f>IFERROR(VLOOKUP(B2521,'Pre-Summary'!$AT$6:$AX$15,4,FALSE),"")</f>
        <v/>
      </c>
      <c r="F2521">
        <f>IFERROR(VLOOKUP(B2521,'Pre-Summary'!$AL$6:$AQ$13,6,FALSE),F2520)</f>
        <v>5.9405263157894746E-2</v>
      </c>
      <c r="G2521" t="str">
        <f>IFERROR(VLOOKUP(B2521,'Pre-Summary'!$AE$6:$AJ$85,3,FALSE),"")</f>
        <v/>
      </c>
      <c r="H2521" t="str">
        <f>IFERROR(VLOOKUP(B2521,'Pre-Summary'!$AE$6:$AJ$85,4,FALSE),"")</f>
        <v/>
      </c>
      <c r="I2521" t="str">
        <f>IFERROR(VLOOKUP(B2521,'Pre-Summary'!$AE$6:$AJ$85,5,FALSE),"")</f>
        <v/>
      </c>
      <c r="J2521" s="45" t="str">
        <f>IFERROR(VLOOKUP(B2521,'Pre-Summary'!$AE$6:$AJ$85,6, FALSE),"")</f>
        <v/>
      </c>
      <c r="K2521" s="45" t="str">
        <f>IFERROR(VLOOKUP(B2521,'Pre-Summary'!$DE$6:$DG$61,3,FALSE),"")</f>
        <v/>
      </c>
      <c r="L2521" s="45" t="str">
        <f>IFERROR(VLOOKUP(B2521,'Pre-Summary'!$CU$6:$CW$36,3,FALSE),"")</f>
        <v/>
      </c>
      <c r="M2521" s="45" t="str">
        <f>IFERROR(VLOOKUP(B2521,'Pre-Summary'!$BW$6:$BY$58,2,FALSE),"")</f>
        <v/>
      </c>
      <c r="N2521" s="45" t="str">
        <f>IFERROR(VLOOKUP(B2521,'Pre-Summary'!$CD$6:$CF$64,2,FALSE),"")</f>
        <v/>
      </c>
      <c r="O2521" s="99">
        <f>IFERROR(VLOOKUP(B2521,'Pre-Summary'!$BO$6:$BQ$48,3, FALSE),O2520)</f>
        <v>1.508</v>
      </c>
      <c r="P2521" s="99">
        <f>IFERROR(VLOOKUP(B2521,'Pre-Summary'!$BS$6:$BU$35,3,FALSE),P2520)</f>
        <v>0.4</v>
      </c>
      <c r="Q2521" s="54">
        <f t="shared" si="117"/>
        <v>3.77</v>
      </c>
      <c r="R2521" s="53">
        <f>IFERROR(VLOOKUP(B2521,'Pre-Summary'!$BG$6:$BM$44,7,FALSE),R2522)</f>
        <v>0.11030801475343607</v>
      </c>
      <c r="S2521" s="53">
        <f>IFERROR(VLOOKUP(B2521,'Pre-Summary'!$BG$6:$BM$44,6,FALSE),S2522)</f>
        <v>0.11504859134187218</v>
      </c>
      <c r="T2521" s="45" t="str">
        <f>IFERROR(VLOOKUP(B2521,'Pre-Summary'!$Y$6:$AC$83, 3,FALSE),"")</f>
        <v/>
      </c>
      <c r="U2521" s="45" t="str">
        <f>IFERROR(VLOOKUP(B2521,'Pre-Summary'!$Y$6:$AC$83, 4,FALSE),"")</f>
        <v/>
      </c>
      <c r="V2521" t="str">
        <f>IFERROR(VLOOKUP(B2521,'Pre-Summary'!$Y$6:$AC$83, 5,FALSE),"")</f>
        <v/>
      </c>
      <c r="W2521" s="45" t="str">
        <f>IFERROR(VLOOKUP(B2521,'Pre-Summary'!$Y$6:$AD$83,6,FALSE),"")</f>
        <v/>
      </c>
      <c r="X2521" t="str">
        <f>IFERROR(VLOOKUP('Pre-Summary'!$DB$6:$DD$63,3,FALSE),"")</f>
        <v/>
      </c>
      <c r="Y2521" t="str">
        <f>IFERROR(VLOOKUP(B2521,'Pre-Summary'!$CR$6:$CT$36,3,FALSE),"")</f>
        <v/>
      </c>
      <c r="Z2521" s="45" t="str">
        <f>IFERROR(VLOOKUP(B2521,'Pre-Summary'!$BZ$6:$CB$63,2,FALSE),"")</f>
        <v/>
      </c>
      <c r="AA2521" s="45" t="str">
        <f>IFERROR(VLOOKUP(B2521,'Pre-Summary'!$CG$6:$CI$70,2,FALSE),"")</f>
        <v/>
      </c>
      <c r="AB2521" s="99">
        <f>IFERROR(VLOOKUP(B2521,'Pre-Summary'!$A$6:$P$178,9,FALSE),AB2522)</f>
        <v>0.38080182803021162</v>
      </c>
      <c r="AC2521" s="10">
        <f>IFERROR(VLOOKUP(Summary!B2521,'Pre-Summary'!$A$6:$P$184,5, FALSE)/100,AC2522)</f>
        <v>0.98776766666666671</v>
      </c>
      <c r="AD2521" s="10">
        <f>IFERROR(VLOOKUP(Summary!B2521,'Pre-Summary'!$A$6:$P$184,3, FALSE)/100,AD2522)</f>
        <v>2.2106666666666668E-3</v>
      </c>
      <c r="AE2521" s="10">
        <f>IFERROR(VLOOKUP(Summary!B2521,'Pre-Summary'!$A$6:$P$184,7, FALSE)/100,AE2522)</f>
        <v>1.0021666666666667E-2</v>
      </c>
      <c r="AF2521" s="99">
        <f t="shared" si="118"/>
        <v>8.4182590783212115E-4</v>
      </c>
      <c r="AG2521" s="99">
        <f t="shared" si="119"/>
        <v>3.8162689865761041E-3</v>
      </c>
      <c r="AH2521" s="10" t="str">
        <f>IFERROR(VLOOKUP(B2521,'Pre-Summary'!$AZ$6:$BE$65,3,FALSE),"")</f>
        <v/>
      </c>
      <c r="AI2521" s="10" t="str">
        <f>IFERROR(VLOOKUP(B2521,'Pre-Summary'!$AZ$6:$BE$65,5,FALSE),"")</f>
        <v/>
      </c>
      <c r="AJ2521" s="10" t="str">
        <f>IFERROR(VLOOKUP(B2521,'Pre-Summary'!$AZ$6:$BE$65,4,FALSE),"")</f>
        <v/>
      </c>
      <c r="AK2521" s="10" t="str">
        <f>IFERROR(VLOOKUP(B2521,'Pre-Summary'!$AZ$6:$BE$65,6,FALSE),"")</f>
        <v/>
      </c>
      <c r="AL2521" s="10" t="str">
        <f>IFERROR(VLOOKUP(B2521,'Pre-Summary'!$BG$6:$BL$44,3,FALSE),"")</f>
        <v/>
      </c>
      <c r="AM2521" s="10" t="str">
        <f>IFERROR(VLOOKUP(B2521,'Pre-Summary'!$BG$6:$BL$44,4,FALSE),"")</f>
        <v/>
      </c>
    </row>
    <row r="2522" spans="2:39" ht="15" customHeight="1" x14ac:dyDescent="0.3">
      <c r="B2522">
        <v>251.9</v>
      </c>
      <c r="C2522" t="str">
        <f>IFERROR(VLOOKUP(B2522,'Pre-Summary'!$DI$6:$DM$23,4,FALSE),"")</f>
        <v/>
      </c>
      <c r="D2522" s="10" t="str">
        <f>IFERROR(VLOOKUP(B2522,'Pre-Summary'!$AT$6:$AX$14,5,FALSE),D2521)</f>
        <v>Wolfe v3: went back to modified wolfe + EDTA and switched CuSO4 to CUCl2</v>
      </c>
      <c r="E2522" s="10" t="str">
        <f>IFERROR(VLOOKUP(B2522,'Pre-Summary'!$AT$6:$AX$15,4,FALSE),"")</f>
        <v/>
      </c>
      <c r="F2522">
        <f>IFERROR(VLOOKUP(B2522,'Pre-Summary'!$AL$6:$AQ$13,6,FALSE),F2521)</f>
        <v>5.9405263157894746E-2</v>
      </c>
      <c r="G2522" t="str">
        <f>IFERROR(VLOOKUP(B2522,'Pre-Summary'!$AE$6:$AJ$85,3,FALSE),"")</f>
        <v/>
      </c>
      <c r="H2522" t="str">
        <f>IFERROR(VLOOKUP(B2522,'Pre-Summary'!$AE$6:$AJ$85,4,FALSE),"")</f>
        <v/>
      </c>
      <c r="I2522" t="str">
        <f>IFERROR(VLOOKUP(B2522,'Pre-Summary'!$AE$6:$AJ$85,5,FALSE),"")</f>
        <v/>
      </c>
      <c r="J2522" s="45" t="str">
        <f>IFERROR(VLOOKUP(B2522,'Pre-Summary'!$AE$6:$AJ$85,6, FALSE),"")</f>
        <v/>
      </c>
      <c r="K2522" s="45" t="str">
        <f>IFERROR(VLOOKUP(B2522,'Pre-Summary'!$DE$6:$DG$61,3,FALSE),"")</f>
        <v/>
      </c>
      <c r="L2522" s="45" t="str">
        <f>IFERROR(VLOOKUP(B2522,'Pre-Summary'!$CU$6:$CW$36,3,FALSE),"")</f>
        <v/>
      </c>
      <c r="M2522" s="45" t="str">
        <f>IFERROR(VLOOKUP(B2522,'Pre-Summary'!$BW$6:$BY$58,2,FALSE),"")</f>
        <v/>
      </c>
      <c r="N2522" s="45" t="str">
        <f>IFERROR(VLOOKUP(B2522,'Pre-Summary'!$CD$6:$CF$64,2,FALSE),"")</f>
        <v/>
      </c>
      <c r="O2522" s="99">
        <f>IFERROR(VLOOKUP(B2522,'Pre-Summary'!$BO$6:$BQ$48,3, FALSE),O2521)</f>
        <v>1.508</v>
      </c>
      <c r="P2522" s="99">
        <f>IFERROR(VLOOKUP(B2522,'Pre-Summary'!$BS$6:$BU$35,3,FALSE),P2521)</f>
        <v>0.4</v>
      </c>
      <c r="Q2522" s="54">
        <f t="shared" si="117"/>
        <v>3.77</v>
      </c>
      <c r="R2522" s="53">
        <f>IFERROR(VLOOKUP(B2522,'Pre-Summary'!$BG$6:$BM$44,7,FALSE),R2523)</f>
        <v>0.11030801475343607</v>
      </c>
      <c r="S2522" s="53">
        <f>IFERROR(VLOOKUP(B2522,'Pre-Summary'!$BG$6:$BM$44,6,FALSE),S2523)</f>
        <v>0.11504859134187218</v>
      </c>
      <c r="T2522" s="45" t="str">
        <f>IFERROR(VLOOKUP(B2522,'Pre-Summary'!$Y$6:$AC$83, 3,FALSE),"")</f>
        <v/>
      </c>
      <c r="U2522" s="45" t="str">
        <f>IFERROR(VLOOKUP(B2522,'Pre-Summary'!$Y$6:$AC$83, 4,FALSE),"")</f>
        <v/>
      </c>
      <c r="V2522" t="str">
        <f>IFERROR(VLOOKUP(B2522,'Pre-Summary'!$Y$6:$AC$83, 5,FALSE),"")</f>
        <v/>
      </c>
      <c r="W2522" s="45" t="str">
        <f>IFERROR(VLOOKUP(B2522,'Pre-Summary'!$Y$6:$AD$83,6,FALSE),"")</f>
        <v/>
      </c>
      <c r="X2522" t="str">
        <f>IFERROR(VLOOKUP('Pre-Summary'!$DB$6:$DD$63,3,FALSE),"")</f>
        <v/>
      </c>
      <c r="Y2522" t="str">
        <f>IFERROR(VLOOKUP(B2522,'Pre-Summary'!$CR$6:$CT$36,3,FALSE),"")</f>
        <v/>
      </c>
      <c r="Z2522" s="45" t="str">
        <f>IFERROR(VLOOKUP(B2522,'Pre-Summary'!$BZ$6:$CB$63,2,FALSE),"")</f>
        <v/>
      </c>
      <c r="AA2522" s="45" t="str">
        <f>IFERROR(VLOOKUP(B2522,'Pre-Summary'!$CG$6:$CI$70,2,FALSE),"")</f>
        <v/>
      </c>
      <c r="AB2522" s="99">
        <f>IFERROR(VLOOKUP(B2522,'Pre-Summary'!$A$6:$P$178,9,FALSE),AB2523)</f>
        <v>0.38080182803021162</v>
      </c>
      <c r="AC2522" s="10">
        <f>IFERROR(VLOOKUP(Summary!B2522,'Pre-Summary'!$A$6:$P$184,5, FALSE)/100,AC2523)</f>
        <v>0.98776766666666671</v>
      </c>
      <c r="AD2522" s="10">
        <f>IFERROR(VLOOKUP(Summary!B2522,'Pre-Summary'!$A$6:$P$184,3, FALSE)/100,AD2523)</f>
        <v>2.2106666666666668E-3</v>
      </c>
      <c r="AE2522" s="10">
        <f>IFERROR(VLOOKUP(Summary!B2522,'Pre-Summary'!$A$6:$P$184,7, FALSE)/100,AE2523)</f>
        <v>1.0021666666666667E-2</v>
      </c>
      <c r="AF2522" s="99">
        <f t="shared" si="118"/>
        <v>8.4182590783212115E-4</v>
      </c>
      <c r="AG2522" s="99">
        <f t="shared" si="119"/>
        <v>3.8162689865761041E-3</v>
      </c>
      <c r="AH2522" s="10" t="str">
        <f>IFERROR(VLOOKUP(B2522,'Pre-Summary'!$AZ$6:$BE$65,3,FALSE),"")</f>
        <v/>
      </c>
      <c r="AI2522" s="10" t="str">
        <f>IFERROR(VLOOKUP(B2522,'Pre-Summary'!$AZ$6:$BE$65,5,FALSE),"")</f>
        <v/>
      </c>
      <c r="AJ2522" s="10" t="str">
        <f>IFERROR(VLOOKUP(B2522,'Pre-Summary'!$AZ$6:$BE$65,4,FALSE),"")</f>
        <v/>
      </c>
      <c r="AK2522" s="10" t="str">
        <f>IFERROR(VLOOKUP(B2522,'Pre-Summary'!$AZ$6:$BE$65,6,FALSE),"")</f>
        <v/>
      </c>
      <c r="AL2522" s="10" t="str">
        <f>IFERROR(VLOOKUP(B2522,'Pre-Summary'!$BG$6:$BL$44,3,FALSE),"")</f>
        <v/>
      </c>
      <c r="AM2522" s="10" t="str">
        <f>IFERROR(VLOOKUP(B2522,'Pre-Summary'!$BG$6:$BL$44,4,FALSE),"")</f>
        <v/>
      </c>
    </row>
    <row r="2523" spans="2:39" ht="15" customHeight="1" x14ac:dyDescent="0.3">
      <c r="B2523">
        <v>252</v>
      </c>
      <c r="C2523" t="str">
        <f>IFERROR(VLOOKUP(B2523,'Pre-Summary'!$DI$6:$DM$23,4,FALSE),"")</f>
        <v/>
      </c>
      <c r="D2523" s="10" t="str">
        <f>IFERROR(VLOOKUP(B2523,'Pre-Summary'!$AT$6:$AX$14,5,FALSE),D2522)</f>
        <v>Wolfe v3: went back to modified wolfe + EDTA and switched CuSO4 to CUCl2</v>
      </c>
      <c r="E2523" s="10" t="str">
        <f>IFERROR(VLOOKUP(B2523,'Pre-Summary'!$AT$6:$AX$15,4,FALSE),"")</f>
        <v/>
      </c>
      <c r="F2523">
        <f>IFERROR(VLOOKUP(B2523,'Pre-Summary'!$AL$6:$AQ$13,6,FALSE),F2522)</f>
        <v>5.9405263157894746E-2</v>
      </c>
      <c r="G2523" t="str">
        <f>IFERROR(VLOOKUP(B2523,'Pre-Summary'!$AE$6:$AJ$85,3,FALSE),"")</f>
        <v/>
      </c>
      <c r="H2523" t="str">
        <f>IFERROR(VLOOKUP(B2523,'Pre-Summary'!$AE$6:$AJ$85,4,FALSE),"")</f>
        <v/>
      </c>
      <c r="I2523" t="str">
        <f>IFERROR(VLOOKUP(B2523,'Pre-Summary'!$AE$6:$AJ$85,5,FALSE),"")</f>
        <v/>
      </c>
      <c r="J2523" s="45" t="str">
        <f>IFERROR(VLOOKUP(B2523,'Pre-Summary'!$AE$6:$AJ$85,6, FALSE),"")</f>
        <v/>
      </c>
      <c r="K2523" s="45" t="str">
        <f>IFERROR(VLOOKUP(B2523,'Pre-Summary'!$DE$6:$DG$61,3,FALSE),"")</f>
        <v/>
      </c>
      <c r="L2523" s="45" t="str">
        <f>IFERROR(VLOOKUP(B2523,'Pre-Summary'!$CU$6:$CW$36,3,FALSE),"")</f>
        <v/>
      </c>
      <c r="M2523" s="45" t="str">
        <f>IFERROR(VLOOKUP(B2523,'Pre-Summary'!$BW$6:$BY$58,2,FALSE),"")</f>
        <v/>
      </c>
      <c r="N2523" s="45" t="str">
        <f>IFERROR(VLOOKUP(B2523,'Pre-Summary'!$CD$6:$CF$64,2,FALSE),"")</f>
        <v/>
      </c>
      <c r="O2523" s="99">
        <f>IFERROR(VLOOKUP(B2523,'Pre-Summary'!$BO$6:$BQ$48,3, FALSE),O2522)</f>
        <v>1.508</v>
      </c>
      <c r="P2523" s="99">
        <f>IFERROR(VLOOKUP(B2523,'Pre-Summary'!$BS$6:$BU$35,3,FALSE),P2522)</f>
        <v>0.4</v>
      </c>
      <c r="Q2523" s="54">
        <f t="shared" si="117"/>
        <v>3.77</v>
      </c>
      <c r="R2523" s="53">
        <f>IFERROR(VLOOKUP(B2523,'Pre-Summary'!$BG$6:$BM$44,7,FALSE),R2524)</f>
        <v>0.11030801475343607</v>
      </c>
      <c r="S2523" s="53">
        <f>IFERROR(VLOOKUP(B2523,'Pre-Summary'!$BG$6:$BM$44,6,FALSE),S2524)</f>
        <v>0.11504859134187218</v>
      </c>
      <c r="T2523" s="45" t="str">
        <f>IFERROR(VLOOKUP(B2523,'Pre-Summary'!$Y$6:$AC$83, 3,FALSE),"")</f>
        <v/>
      </c>
      <c r="U2523" s="45" t="str">
        <f>IFERROR(VLOOKUP(B2523,'Pre-Summary'!$Y$6:$AC$83, 4,FALSE),"")</f>
        <v/>
      </c>
      <c r="V2523" t="str">
        <f>IFERROR(VLOOKUP(B2523,'Pre-Summary'!$Y$6:$AC$83, 5,FALSE),"")</f>
        <v/>
      </c>
      <c r="W2523" s="45" t="str">
        <f>IFERROR(VLOOKUP(B2523,'Pre-Summary'!$Y$6:$AD$83,6,FALSE),"")</f>
        <v/>
      </c>
      <c r="X2523" t="str">
        <f>IFERROR(VLOOKUP('Pre-Summary'!$DB$6:$DD$63,3,FALSE),"")</f>
        <v/>
      </c>
      <c r="Y2523" t="str">
        <f>IFERROR(VLOOKUP(B2523,'Pre-Summary'!$CR$6:$CT$36,3,FALSE),"")</f>
        <v/>
      </c>
      <c r="Z2523" s="45" t="str">
        <f>IFERROR(VLOOKUP(B2523,'Pre-Summary'!$BZ$6:$CB$63,2,FALSE),"")</f>
        <v/>
      </c>
      <c r="AA2523" s="45" t="str">
        <f>IFERROR(VLOOKUP(B2523,'Pre-Summary'!$CG$6:$CI$70,2,FALSE),"")</f>
        <v/>
      </c>
      <c r="AB2523" s="99">
        <f>IFERROR(VLOOKUP(B2523,'Pre-Summary'!$A$6:$P$178,9,FALSE),AB2524)</f>
        <v>0.38080182803021162</v>
      </c>
      <c r="AC2523" s="10">
        <f>IFERROR(VLOOKUP(Summary!B2523,'Pre-Summary'!$A$6:$P$184,5, FALSE)/100,AC2524)</f>
        <v>0.98776766666666671</v>
      </c>
      <c r="AD2523" s="10">
        <f>IFERROR(VLOOKUP(Summary!B2523,'Pre-Summary'!$A$6:$P$184,3, FALSE)/100,AD2524)</f>
        <v>2.2106666666666668E-3</v>
      </c>
      <c r="AE2523" s="10">
        <f>IFERROR(VLOOKUP(Summary!B2523,'Pre-Summary'!$A$6:$P$184,7, FALSE)/100,AE2524)</f>
        <v>1.0021666666666667E-2</v>
      </c>
      <c r="AF2523" s="99">
        <f t="shared" si="118"/>
        <v>8.4182590783212115E-4</v>
      </c>
      <c r="AG2523" s="99">
        <f t="shared" si="119"/>
        <v>3.8162689865761041E-3</v>
      </c>
      <c r="AH2523" s="10" t="str">
        <f>IFERROR(VLOOKUP(B2523,'Pre-Summary'!$AZ$6:$BE$65,3,FALSE),"")</f>
        <v/>
      </c>
      <c r="AI2523" s="10" t="str">
        <f>IFERROR(VLOOKUP(B2523,'Pre-Summary'!$AZ$6:$BE$65,5,FALSE),"")</f>
        <v/>
      </c>
      <c r="AJ2523" s="10" t="str">
        <f>IFERROR(VLOOKUP(B2523,'Pre-Summary'!$AZ$6:$BE$65,4,FALSE),"")</f>
        <v/>
      </c>
      <c r="AK2523" s="10" t="str">
        <f>IFERROR(VLOOKUP(B2523,'Pre-Summary'!$AZ$6:$BE$65,6,FALSE),"")</f>
        <v/>
      </c>
      <c r="AL2523" s="10" t="str">
        <f>IFERROR(VLOOKUP(B2523,'Pre-Summary'!$BG$6:$BL$44,3,FALSE),"")</f>
        <v/>
      </c>
      <c r="AM2523" s="10" t="str">
        <f>IFERROR(VLOOKUP(B2523,'Pre-Summary'!$BG$6:$BL$44,4,FALSE),"")</f>
        <v/>
      </c>
    </row>
    <row r="2524" spans="2:39" ht="15" customHeight="1" x14ac:dyDescent="0.3">
      <c r="B2524">
        <v>252.1</v>
      </c>
      <c r="C2524" t="str">
        <f>IFERROR(VLOOKUP(B2524,'Pre-Summary'!$DI$6:$DM$23,4,FALSE),"")</f>
        <v/>
      </c>
      <c r="D2524" s="10" t="str">
        <f>IFERROR(VLOOKUP(B2524,'Pre-Summary'!$AT$6:$AX$14,5,FALSE),D2523)</f>
        <v>Wolfe v3: went back to modified wolfe + EDTA and switched CuSO4 to CUCl2</v>
      </c>
      <c r="E2524" s="10" t="str">
        <f>IFERROR(VLOOKUP(B2524,'Pre-Summary'!$AT$6:$AX$15,4,FALSE),"")</f>
        <v/>
      </c>
      <c r="F2524">
        <f>IFERROR(VLOOKUP(B2524,'Pre-Summary'!$AL$6:$AQ$13,6,FALSE),F2523)</f>
        <v>5.9405263157894746E-2</v>
      </c>
      <c r="G2524" t="str">
        <f>IFERROR(VLOOKUP(B2524,'Pre-Summary'!$AE$6:$AJ$85,3,FALSE),"")</f>
        <v/>
      </c>
      <c r="H2524" t="str">
        <f>IFERROR(VLOOKUP(B2524,'Pre-Summary'!$AE$6:$AJ$85,4,FALSE),"")</f>
        <v/>
      </c>
      <c r="I2524" t="str">
        <f>IFERROR(VLOOKUP(B2524,'Pre-Summary'!$AE$6:$AJ$85,5,FALSE),"")</f>
        <v/>
      </c>
      <c r="J2524" s="45" t="str">
        <f>IFERROR(VLOOKUP(B2524,'Pre-Summary'!$AE$6:$AJ$85,6, FALSE),"")</f>
        <v/>
      </c>
      <c r="K2524" s="45" t="str">
        <f>IFERROR(VLOOKUP(B2524,'Pre-Summary'!$DE$6:$DG$61,3,FALSE),"")</f>
        <v/>
      </c>
      <c r="L2524" s="45" t="str">
        <f>IFERROR(VLOOKUP(B2524,'Pre-Summary'!$CU$6:$CW$36,3,FALSE),"")</f>
        <v/>
      </c>
      <c r="M2524" s="45" t="str">
        <f>IFERROR(VLOOKUP(B2524,'Pre-Summary'!$BW$6:$BY$58,2,FALSE),"")</f>
        <v/>
      </c>
      <c r="N2524" s="45" t="str">
        <f>IFERROR(VLOOKUP(B2524,'Pre-Summary'!$CD$6:$CF$64,2,FALSE),"")</f>
        <v/>
      </c>
      <c r="O2524" s="99">
        <f>IFERROR(VLOOKUP(B2524,'Pre-Summary'!$BO$6:$BQ$48,3, FALSE),O2523)</f>
        <v>1.508</v>
      </c>
      <c r="P2524" s="99">
        <f>IFERROR(VLOOKUP(B2524,'Pre-Summary'!$BS$6:$BU$35,3,FALSE),P2523)</f>
        <v>0.4</v>
      </c>
      <c r="Q2524" s="54">
        <f t="shared" si="117"/>
        <v>3.77</v>
      </c>
      <c r="R2524" s="53">
        <f>IFERROR(VLOOKUP(B2524,'Pre-Summary'!$BG$6:$BM$44,7,FALSE),R2525)</f>
        <v>0.11030801475343607</v>
      </c>
      <c r="S2524" s="53">
        <f>IFERROR(VLOOKUP(B2524,'Pre-Summary'!$BG$6:$BM$44,6,FALSE),S2525)</f>
        <v>0.11504859134187218</v>
      </c>
      <c r="T2524" s="45" t="str">
        <f>IFERROR(VLOOKUP(B2524,'Pre-Summary'!$Y$6:$AC$83, 3,FALSE),"")</f>
        <v/>
      </c>
      <c r="U2524" s="45" t="str">
        <f>IFERROR(VLOOKUP(B2524,'Pre-Summary'!$Y$6:$AC$83, 4,FALSE),"")</f>
        <v/>
      </c>
      <c r="V2524" t="str">
        <f>IFERROR(VLOOKUP(B2524,'Pre-Summary'!$Y$6:$AC$83, 5,FALSE),"")</f>
        <v/>
      </c>
      <c r="W2524" s="45" t="str">
        <f>IFERROR(VLOOKUP(B2524,'Pre-Summary'!$Y$6:$AD$83,6,FALSE),"")</f>
        <v/>
      </c>
      <c r="X2524" t="str">
        <f>IFERROR(VLOOKUP('Pre-Summary'!$DB$6:$DD$63,3,FALSE),"")</f>
        <v/>
      </c>
      <c r="Y2524" t="str">
        <f>IFERROR(VLOOKUP(B2524,'Pre-Summary'!$CR$6:$CT$36,3,FALSE),"")</f>
        <v/>
      </c>
      <c r="Z2524" s="45" t="str">
        <f>IFERROR(VLOOKUP(B2524,'Pre-Summary'!$BZ$6:$CB$63,2,FALSE),"")</f>
        <v/>
      </c>
      <c r="AA2524" s="45" t="str">
        <f>IFERROR(VLOOKUP(B2524,'Pre-Summary'!$CG$6:$CI$70,2,FALSE),"")</f>
        <v/>
      </c>
      <c r="AB2524" s="99">
        <f>IFERROR(VLOOKUP(B2524,'Pre-Summary'!$A$6:$P$178,9,FALSE),AB2525)</f>
        <v>0.38080182803021162</v>
      </c>
      <c r="AC2524" s="10">
        <f>IFERROR(VLOOKUP(Summary!B2524,'Pre-Summary'!$A$6:$P$184,5, FALSE)/100,AC2525)</f>
        <v>0.98776766666666671</v>
      </c>
      <c r="AD2524" s="10">
        <f>IFERROR(VLOOKUP(Summary!B2524,'Pre-Summary'!$A$6:$P$184,3, FALSE)/100,AD2525)</f>
        <v>2.2106666666666668E-3</v>
      </c>
      <c r="AE2524" s="10">
        <f>IFERROR(VLOOKUP(Summary!B2524,'Pre-Summary'!$A$6:$P$184,7, FALSE)/100,AE2525)</f>
        <v>1.0021666666666667E-2</v>
      </c>
      <c r="AF2524" s="99">
        <f t="shared" si="118"/>
        <v>8.4182590783212115E-4</v>
      </c>
      <c r="AG2524" s="99">
        <f t="shared" si="119"/>
        <v>3.8162689865761041E-3</v>
      </c>
      <c r="AH2524" s="10" t="str">
        <f>IFERROR(VLOOKUP(B2524,'Pre-Summary'!$AZ$6:$BE$65,3,FALSE),"")</f>
        <v/>
      </c>
      <c r="AI2524" s="10" t="str">
        <f>IFERROR(VLOOKUP(B2524,'Pre-Summary'!$AZ$6:$BE$65,5,FALSE),"")</f>
        <v/>
      </c>
      <c r="AJ2524" s="10" t="str">
        <f>IFERROR(VLOOKUP(B2524,'Pre-Summary'!$AZ$6:$BE$65,4,FALSE),"")</f>
        <v/>
      </c>
      <c r="AK2524" s="10" t="str">
        <f>IFERROR(VLOOKUP(B2524,'Pre-Summary'!$AZ$6:$BE$65,6,FALSE),"")</f>
        <v/>
      </c>
      <c r="AL2524" s="10" t="str">
        <f>IFERROR(VLOOKUP(B2524,'Pre-Summary'!$BG$6:$BL$44,3,FALSE),"")</f>
        <v/>
      </c>
      <c r="AM2524" s="10" t="str">
        <f>IFERROR(VLOOKUP(B2524,'Pre-Summary'!$BG$6:$BL$44,4,FALSE),"")</f>
        <v/>
      </c>
    </row>
    <row r="2525" spans="2:39" ht="15" customHeight="1" x14ac:dyDescent="0.3">
      <c r="B2525">
        <v>252.2</v>
      </c>
      <c r="C2525" t="str">
        <f>IFERROR(VLOOKUP(B2525,'Pre-Summary'!$DI$6:$DM$23,4,FALSE),"")</f>
        <v/>
      </c>
      <c r="D2525" s="10" t="str">
        <f>IFERROR(VLOOKUP(B2525,'Pre-Summary'!$AT$6:$AX$14,5,FALSE),D2524)</f>
        <v>Wolfe v3: went back to modified wolfe + EDTA and switched CuSO4 to CUCl2</v>
      </c>
      <c r="E2525" s="10" t="str">
        <f>IFERROR(VLOOKUP(B2525,'Pre-Summary'!$AT$6:$AX$15,4,FALSE),"")</f>
        <v/>
      </c>
      <c r="F2525">
        <f>IFERROR(VLOOKUP(B2525,'Pre-Summary'!$AL$6:$AQ$13,6,FALSE),F2524)</f>
        <v>5.9405263157894746E-2</v>
      </c>
      <c r="G2525" t="str">
        <f>IFERROR(VLOOKUP(B2525,'Pre-Summary'!$AE$6:$AJ$85,3,FALSE),"")</f>
        <v/>
      </c>
      <c r="H2525" t="str">
        <f>IFERROR(VLOOKUP(B2525,'Pre-Summary'!$AE$6:$AJ$85,4,FALSE),"")</f>
        <v/>
      </c>
      <c r="I2525" t="str">
        <f>IFERROR(VLOOKUP(B2525,'Pre-Summary'!$AE$6:$AJ$85,5,FALSE),"")</f>
        <v/>
      </c>
      <c r="J2525" s="45" t="str">
        <f>IFERROR(VLOOKUP(B2525,'Pre-Summary'!$AE$6:$AJ$85,6, FALSE),"")</f>
        <v/>
      </c>
      <c r="K2525" s="45" t="str">
        <f>IFERROR(VLOOKUP(B2525,'Pre-Summary'!$DE$6:$DG$61,3,FALSE),"")</f>
        <v/>
      </c>
      <c r="L2525" s="45" t="str">
        <f>IFERROR(VLOOKUP(B2525,'Pre-Summary'!$CU$6:$CW$36,3,FALSE),"")</f>
        <v/>
      </c>
      <c r="M2525" s="45" t="str">
        <f>IFERROR(VLOOKUP(B2525,'Pre-Summary'!$BW$6:$BY$58,2,FALSE),"")</f>
        <v/>
      </c>
      <c r="N2525" s="45" t="str">
        <f>IFERROR(VLOOKUP(B2525,'Pre-Summary'!$CD$6:$CF$64,2,FALSE),"")</f>
        <v/>
      </c>
      <c r="O2525" s="99">
        <f>IFERROR(VLOOKUP(B2525,'Pre-Summary'!$BO$6:$BQ$48,3, FALSE),O2524)</f>
        <v>1.508</v>
      </c>
      <c r="P2525" s="99">
        <f>IFERROR(VLOOKUP(B2525,'Pre-Summary'!$BS$6:$BU$35,3,FALSE),P2524)</f>
        <v>0.4</v>
      </c>
      <c r="Q2525" s="54">
        <f t="shared" si="117"/>
        <v>3.77</v>
      </c>
      <c r="R2525" s="53">
        <f>IFERROR(VLOOKUP(B2525,'Pre-Summary'!$BG$6:$BM$44,7,FALSE),R2526)</f>
        <v>0.11030801475343607</v>
      </c>
      <c r="S2525" s="53">
        <f>IFERROR(VLOOKUP(B2525,'Pre-Summary'!$BG$6:$BM$44,6,FALSE),S2526)</f>
        <v>0.11504859134187218</v>
      </c>
      <c r="T2525" s="45" t="str">
        <f>IFERROR(VLOOKUP(B2525,'Pre-Summary'!$Y$6:$AC$83, 3,FALSE),"")</f>
        <v/>
      </c>
      <c r="U2525" s="45" t="str">
        <f>IFERROR(VLOOKUP(B2525,'Pre-Summary'!$Y$6:$AC$83, 4,FALSE),"")</f>
        <v/>
      </c>
      <c r="V2525" t="str">
        <f>IFERROR(VLOOKUP(B2525,'Pre-Summary'!$Y$6:$AC$83, 5,FALSE),"")</f>
        <v/>
      </c>
      <c r="W2525" s="45" t="str">
        <f>IFERROR(VLOOKUP(B2525,'Pre-Summary'!$Y$6:$AD$83,6,FALSE),"")</f>
        <v/>
      </c>
      <c r="X2525" t="str">
        <f>IFERROR(VLOOKUP('Pre-Summary'!$DB$6:$DD$63,3,FALSE),"")</f>
        <v/>
      </c>
      <c r="Y2525" t="str">
        <f>IFERROR(VLOOKUP(B2525,'Pre-Summary'!$CR$6:$CT$36,3,FALSE),"")</f>
        <v/>
      </c>
      <c r="Z2525" s="45" t="str">
        <f>IFERROR(VLOOKUP(B2525,'Pre-Summary'!$BZ$6:$CB$63,2,FALSE),"")</f>
        <v/>
      </c>
      <c r="AA2525" s="45" t="str">
        <f>IFERROR(VLOOKUP(B2525,'Pre-Summary'!$CG$6:$CI$70,2,FALSE),"")</f>
        <v/>
      </c>
      <c r="AB2525" s="99">
        <f>IFERROR(VLOOKUP(B2525,'Pre-Summary'!$A$6:$P$178,9,FALSE),AB2526)</f>
        <v>0.38080182803021162</v>
      </c>
      <c r="AC2525" s="10">
        <f>IFERROR(VLOOKUP(Summary!B2525,'Pre-Summary'!$A$6:$P$184,5, FALSE)/100,AC2526)</f>
        <v>0.98776766666666671</v>
      </c>
      <c r="AD2525" s="10">
        <f>IFERROR(VLOOKUP(Summary!B2525,'Pre-Summary'!$A$6:$P$184,3, FALSE)/100,AD2526)</f>
        <v>2.2106666666666668E-3</v>
      </c>
      <c r="AE2525" s="10">
        <f>IFERROR(VLOOKUP(Summary!B2525,'Pre-Summary'!$A$6:$P$184,7, FALSE)/100,AE2526)</f>
        <v>1.0021666666666667E-2</v>
      </c>
      <c r="AF2525" s="99">
        <f t="shared" si="118"/>
        <v>8.4182590783212115E-4</v>
      </c>
      <c r="AG2525" s="99">
        <f t="shared" si="119"/>
        <v>3.8162689865761041E-3</v>
      </c>
      <c r="AH2525" s="10" t="str">
        <f>IFERROR(VLOOKUP(B2525,'Pre-Summary'!$AZ$6:$BE$65,3,FALSE),"")</f>
        <v/>
      </c>
      <c r="AI2525" s="10" t="str">
        <f>IFERROR(VLOOKUP(B2525,'Pre-Summary'!$AZ$6:$BE$65,5,FALSE),"")</f>
        <v/>
      </c>
      <c r="AJ2525" s="10" t="str">
        <f>IFERROR(VLOOKUP(B2525,'Pre-Summary'!$AZ$6:$BE$65,4,FALSE),"")</f>
        <v/>
      </c>
      <c r="AK2525" s="10" t="str">
        <f>IFERROR(VLOOKUP(B2525,'Pre-Summary'!$AZ$6:$BE$65,6,FALSE),"")</f>
        <v/>
      </c>
      <c r="AL2525" s="10" t="str">
        <f>IFERROR(VLOOKUP(B2525,'Pre-Summary'!$BG$6:$BL$44,3,FALSE),"")</f>
        <v/>
      </c>
      <c r="AM2525" s="10" t="str">
        <f>IFERROR(VLOOKUP(B2525,'Pre-Summary'!$BG$6:$BL$44,4,FALSE),"")</f>
        <v/>
      </c>
    </row>
    <row r="2526" spans="2:39" ht="15" customHeight="1" x14ac:dyDescent="0.3">
      <c r="B2526">
        <v>252.3</v>
      </c>
      <c r="C2526" t="str">
        <f>IFERROR(VLOOKUP(B2526,'Pre-Summary'!$DI$6:$DM$23,4,FALSE),"")</f>
        <v/>
      </c>
      <c r="D2526" s="10" t="str">
        <f>IFERROR(VLOOKUP(B2526,'Pre-Summary'!$AT$6:$AX$14,5,FALSE),D2525)</f>
        <v>Wolfe v3: went back to modified wolfe + EDTA and switched CuSO4 to CUCl2</v>
      </c>
      <c r="E2526" s="10" t="str">
        <f>IFERROR(VLOOKUP(B2526,'Pre-Summary'!$AT$6:$AX$15,4,FALSE),"")</f>
        <v/>
      </c>
      <c r="F2526">
        <f>IFERROR(VLOOKUP(B2526,'Pre-Summary'!$AL$6:$AQ$13,6,FALSE),F2525)</f>
        <v>5.9405263157894746E-2</v>
      </c>
      <c r="G2526" t="str">
        <f>IFERROR(VLOOKUP(B2526,'Pre-Summary'!$AE$6:$AJ$85,3,FALSE),"")</f>
        <v/>
      </c>
      <c r="H2526" t="str">
        <f>IFERROR(VLOOKUP(B2526,'Pre-Summary'!$AE$6:$AJ$85,4,FALSE),"")</f>
        <v/>
      </c>
      <c r="I2526" t="str">
        <f>IFERROR(VLOOKUP(B2526,'Pre-Summary'!$AE$6:$AJ$85,5,FALSE),"")</f>
        <v/>
      </c>
      <c r="J2526" s="45" t="str">
        <f>IFERROR(VLOOKUP(B2526,'Pre-Summary'!$AE$6:$AJ$85,6, FALSE),"")</f>
        <v/>
      </c>
      <c r="K2526" s="45" t="str">
        <f>IFERROR(VLOOKUP(B2526,'Pre-Summary'!$DE$6:$DG$61,3,FALSE),"")</f>
        <v/>
      </c>
      <c r="L2526" s="45" t="str">
        <f>IFERROR(VLOOKUP(B2526,'Pre-Summary'!$CU$6:$CW$36,3,FALSE),"")</f>
        <v/>
      </c>
      <c r="M2526" s="45" t="str">
        <f>IFERROR(VLOOKUP(B2526,'Pre-Summary'!$BW$6:$BY$58,2,FALSE),"")</f>
        <v/>
      </c>
      <c r="N2526" s="45" t="str">
        <f>IFERROR(VLOOKUP(B2526,'Pre-Summary'!$CD$6:$CF$64,2,FALSE),"")</f>
        <v/>
      </c>
      <c r="O2526" s="99">
        <f>IFERROR(VLOOKUP(B2526,'Pre-Summary'!$BO$6:$BQ$48,3, FALSE),O2525)</f>
        <v>1.508</v>
      </c>
      <c r="P2526" s="99">
        <f>IFERROR(VLOOKUP(B2526,'Pre-Summary'!$BS$6:$BU$35,3,FALSE),P2525)</f>
        <v>0.4</v>
      </c>
      <c r="Q2526" s="54">
        <f t="shared" si="117"/>
        <v>3.77</v>
      </c>
      <c r="R2526" s="53">
        <f>IFERROR(VLOOKUP(B2526,'Pre-Summary'!$BG$6:$BM$44,7,FALSE),R2527)</f>
        <v>0.11030801475343607</v>
      </c>
      <c r="S2526" s="53">
        <f>IFERROR(VLOOKUP(B2526,'Pre-Summary'!$BG$6:$BM$44,6,FALSE),S2527)</f>
        <v>0.11504859134187218</v>
      </c>
      <c r="T2526" s="45" t="str">
        <f>IFERROR(VLOOKUP(B2526,'Pre-Summary'!$Y$6:$AC$83, 3,FALSE),"")</f>
        <v/>
      </c>
      <c r="U2526" s="45" t="str">
        <f>IFERROR(VLOOKUP(B2526,'Pre-Summary'!$Y$6:$AC$83, 4,FALSE),"")</f>
        <v/>
      </c>
      <c r="V2526" t="str">
        <f>IFERROR(VLOOKUP(B2526,'Pre-Summary'!$Y$6:$AC$83, 5,FALSE),"")</f>
        <v/>
      </c>
      <c r="W2526" s="45" t="str">
        <f>IFERROR(VLOOKUP(B2526,'Pre-Summary'!$Y$6:$AD$83,6,FALSE),"")</f>
        <v/>
      </c>
      <c r="X2526" t="str">
        <f>IFERROR(VLOOKUP('Pre-Summary'!$DB$6:$DD$63,3,FALSE),"")</f>
        <v/>
      </c>
      <c r="Y2526" t="str">
        <f>IFERROR(VLOOKUP(B2526,'Pre-Summary'!$CR$6:$CT$36,3,FALSE),"")</f>
        <v/>
      </c>
      <c r="Z2526" s="45" t="str">
        <f>IFERROR(VLOOKUP(B2526,'Pre-Summary'!$BZ$6:$CB$63,2,FALSE),"")</f>
        <v/>
      </c>
      <c r="AA2526" s="45" t="str">
        <f>IFERROR(VLOOKUP(B2526,'Pre-Summary'!$CG$6:$CI$70,2,FALSE),"")</f>
        <v/>
      </c>
      <c r="AB2526" s="99">
        <f>IFERROR(VLOOKUP(B2526,'Pre-Summary'!$A$6:$P$178,9,FALSE),AB2527)</f>
        <v>0.38080182803021162</v>
      </c>
      <c r="AC2526" s="10">
        <f>IFERROR(VLOOKUP(Summary!B2526,'Pre-Summary'!$A$6:$P$184,5, FALSE)/100,AC2527)</f>
        <v>0.98776766666666671</v>
      </c>
      <c r="AD2526" s="10">
        <f>IFERROR(VLOOKUP(Summary!B2526,'Pre-Summary'!$A$6:$P$184,3, FALSE)/100,AD2527)</f>
        <v>2.2106666666666668E-3</v>
      </c>
      <c r="AE2526" s="10">
        <f>IFERROR(VLOOKUP(Summary!B2526,'Pre-Summary'!$A$6:$P$184,7, FALSE)/100,AE2527)</f>
        <v>1.0021666666666667E-2</v>
      </c>
      <c r="AF2526" s="99">
        <f t="shared" si="118"/>
        <v>8.4182590783212115E-4</v>
      </c>
      <c r="AG2526" s="99">
        <f t="shared" si="119"/>
        <v>3.8162689865761041E-3</v>
      </c>
      <c r="AH2526" s="10" t="str">
        <f>IFERROR(VLOOKUP(B2526,'Pre-Summary'!$AZ$6:$BE$65,3,FALSE),"")</f>
        <v/>
      </c>
      <c r="AI2526" s="10" t="str">
        <f>IFERROR(VLOOKUP(B2526,'Pre-Summary'!$AZ$6:$BE$65,5,FALSE),"")</f>
        <v/>
      </c>
      <c r="AJ2526" s="10" t="str">
        <f>IFERROR(VLOOKUP(B2526,'Pre-Summary'!$AZ$6:$BE$65,4,FALSE),"")</f>
        <v/>
      </c>
      <c r="AK2526" s="10" t="str">
        <f>IFERROR(VLOOKUP(B2526,'Pre-Summary'!$AZ$6:$BE$65,6,FALSE),"")</f>
        <v/>
      </c>
      <c r="AL2526" s="10" t="str">
        <f>IFERROR(VLOOKUP(B2526,'Pre-Summary'!$BG$6:$BL$44,3,FALSE),"")</f>
        <v/>
      </c>
      <c r="AM2526" s="10" t="str">
        <f>IFERROR(VLOOKUP(B2526,'Pre-Summary'!$BG$6:$BL$44,4,FALSE),"")</f>
        <v/>
      </c>
    </row>
    <row r="2527" spans="2:39" ht="15" customHeight="1" x14ac:dyDescent="0.3">
      <c r="B2527">
        <v>252.4</v>
      </c>
      <c r="C2527" t="str">
        <f>IFERROR(VLOOKUP(B2527,'Pre-Summary'!$DI$6:$DM$23,4,FALSE),"")</f>
        <v/>
      </c>
      <c r="D2527" s="10" t="str">
        <f>IFERROR(VLOOKUP(B2527,'Pre-Summary'!$AT$6:$AX$14,5,FALSE),D2526)</f>
        <v>Wolfe v3: went back to modified wolfe + EDTA and switched CuSO4 to CUCl2</v>
      </c>
      <c r="E2527" s="10" t="str">
        <f>IFERROR(VLOOKUP(B2527,'Pre-Summary'!$AT$6:$AX$15,4,FALSE),"")</f>
        <v/>
      </c>
      <c r="F2527">
        <f>IFERROR(VLOOKUP(B2527,'Pre-Summary'!$AL$6:$AQ$13,6,FALSE),F2526)</f>
        <v>5.9405263157894746E-2</v>
      </c>
      <c r="G2527" t="str">
        <f>IFERROR(VLOOKUP(B2527,'Pre-Summary'!$AE$6:$AJ$85,3,FALSE),"")</f>
        <v/>
      </c>
      <c r="H2527" t="str">
        <f>IFERROR(VLOOKUP(B2527,'Pre-Summary'!$AE$6:$AJ$85,4,FALSE),"")</f>
        <v/>
      </c>
      <c r="I2527" t="str">
        <f>IFERROR(VLOOKUP(B2527,'Pre-Summary'!$AE$6:$AJ$85,5,FALSE),"")</f>
        <v/>
      </c>
      <c r="J2527" s="45" t="str">
        <f>IFERROR(VLOOKUP(B2527,'Pre-Summary'!$AE$6:$AJ$85,6, FALSE),"")</f>
        <v/>
      </c>
      <c r="K2527" s="45" t="str">
        <f>IFERROR(VLOOKUP(B2527,'Pre-Summary'!$DE$6:$DG$61,3,FALSE),"")</f>
        <v/>
      </c>
      <c r="L2527" s="45" t="str">
        <f>IFERROR(VLOOKUP(B2527,'Pre-Summary'!$CU$6:$CW$36,3,FALSE),"")</f>
        <v/>
      </c>
      <c r="M2527" s="45" t="str">
        <f>IFERROR(VLOOKUP(B2527,'Pre-Summary'!$BW$6:$BY$58,2,FALSE),"")</f>
        <v/>
      </c>
      <c r="N2527" s="45" t="str">
        <f>IFERROR(VLOOKUP(B2527,'Pre-Summary'!$CD$6:$CF$64,2,FALSE),"")</f>
        <v/>
      </c>
      <c r="O2527" s="99">
        <f>IFERROR(VLOOKUP(B2527,'Pre-Summary'!$BO$6:$BQ$48,3, FALSE),O2526)</f>
        <v>1.508</v>
      </c>
      <c r="P2527" s="99">
        <f>IFERROR(VLOOKUP(B2527,'Pre-Summary'!$BS$6:$BU$35,3,FALSE),P2526)</f>
        <v>0.4</v>
      </c>
      <c r="Q2527" s="54">
        <f t="shared" si="117"/>
        <v>3.77</v>
      </c>
      <c r="R2527" s="53">
        <f>IFERROR(VLOOKUP(B2527,'Pre-Summary'!$BG$6:$BM$44,7,FALSE),R2528)</f>
        <v>0.11030801475343607</v>
      </c>
      <c r="S2527" s="53">
        <f>IFERROR(VLOOKUP(B2527,'Pre-Summary'!$BG$6:$BM$44,6,FALSE),S2528)</f>
        <v>0.11504859134187218</v>
      </c>
      <c r="T2527" s="45" t="str">
        <f>IFERROR(VLOOKUP(B2527,'Pre-Summary'!$Y$6:$AC$83, 3,FALSE),"")</f>
        <v/>
      </c>
      <c r="U2527" s="45" t="str">
        <f>IFERROR(VLOOKUP(B2527,'Pre-Summary'!$Y$6:$AC$83, 4,FALSE),"")</f>
        <v/>
      </c>
      <c r="V2527" t="str">
        <f>IFERROR(VLOOKUP(B2527,'Pre-Summary'!$Y$6:$AC$83, 5,FALSE),"")</f>
        <v/>
      </c>
      <c r="W2527" s="45" t="str">
        <f>IFERROR(VLOOKUP(B2527,'Pre-Summary'!$Y$6:$AD$83,6,FALSE),"")</f>
        <v/>
      </c>
      <c r="X2527" t="str">
        <f>IFERROR(VLOOKUP('Pre-Summary'!$DB$6:$DD$63,3,FALSE),"")</f>
        <v/>
      </c>
      <c r="Y2527" t="str">
        <f>IFERROR(VLOOKUP(B2527,'Pre-Summary'!$CR$6:$CT$36,3,FALSE),"")</f>
        <v/>
      </c>
      <c r="Z2527" s="45" t="str">
        <f>IFERROR(VLOOKUP(B2527,'Pre-Summary'!$BZ$6:$CB$63,2,FALSE),"")</f>
        <v/>
      </c>
      <c r="AA2527" s="45" t="str">
        <f>IFERROR(VLOOKUP(B2527,'Pre-Summary'!$CG$6:$CI$70,2,FALSE),"")</f>
        <v/>
      </c>
      <c r="AB2527" s="99">
        <f>IFERROR(VLOOKUP(B2527,'Pre-Summary'!$A$6:$P$178,9,FALSE),AB2528)</f>
        <v>0.38080182803021162</v>
      </c>
      <c r="AC2527" s="10">
        <f>IFERROR(VLOOKUP(Summary!B2527,'Pre-Summary'!$A$6:$P$184,5, FALSE)/100,AC2528)</f>
        <v>0.98776766666666671</v>
      </c>
      <c r="AD2527" s="10">
        <f>IFERROR(VLOOKUP(Summary!B2527,'Pre-Summary'!$A$6:$P$184,3, FALSE)/100,AD2528)</f>
        <v>2.2106666666666668E-3</v>
      </c>
      <c r="AE2527" s="10">
        <f>IFERROR(VLOOKUP(Summary!B2527,'Pre-Summary'!$A$6:$P$184,7, FALSE)/100,AE2528)</f>
        <v>1.0021666666666667E-2</v>
      </c>
      <c r="AF2527" s="99">
        <f t="shared" si="118"/>
        <v>8.4182590783212115E-4</v>
      </c>
      <c r="AG2527" s="99">
        <f t="shared" si="119"/>
        <v>3.8162689865761041E-3</v>
      </c>
      <c r="AH2527" s="10" t="str">
        <f>IFERROR(VLOOKUP(B2527,'Pre-Summary'!$AZ$6:$BE$65,3,FALSE),"")</f>
        <v/>
      </c>
      <c r="AI2527" s="10" t="str">
        <f>IFERROR(VLOOKUP(B2527,'Pre-Summary'!$AZ$6:$BE$65,5,FALSE),"")</f>
        <v/>
      </c>
      <c r="AJ2527" s="10" t="str">
        <f>IFERROR(VLOOKUP(B2527,'Pre-Summary'!$AZ$6:$BE$65,4,FALSE),"")</f>
        <v/>
      </c>
      <c r="AK2527" s="10" t="str">
        <f>IFERROR(VLOOKUP(B2527,'Pre-Summary'!$AZ$6:$BE$65,6,FALSE),"")</f>
        <v/>
      </c>
      <c r="AL2527" s="10" t="str">
        <f>IFERROR(VLOOKUP(B2527,'Pre-Summary'!$BG$6:$BL$44,3,FALSE),"")</f>
        <v/>
      </c>
      <c r="AM2527" s="10" t="str">
        <f>IFERROR(VLOOKUP(B2527,'Pre-Summary'!$BG$6:$BL$44,4,FALSE),"")</f>
        <v/>
      </c>
    </row>
    <row r="2528" spans="2:39" ht="15" customHeight="1" x14ac:dyDescent="0.3">
      <c r="B2528">
        <v>252.5</v>
      </c>
      <c r="C2528" t="str">
        <f>IFERROR(VLOOKUP(B2528,'Pre-Summary'!$DI$6:$DM$23,4,FALSE),"")</f>
        <v/>
      </c>
      <c r="D2528" s="10" t="str">
        <f>IFERROR(VLOOKUP(B2528,'Pre-Summary'!$AT$6:$AX$14,5,FALSE),D2527)</f>
        <v>Wolfe v3: went back to modified wolfe + EDTA and switched CuSO4 to CUCl2</v>
      </c>
      <c r="E2528" s="10" t="str">
        <f>IFERROR(VLOOKUP(B2528,'Pre-Summary'!$AT$6:$AX$15,4,FALSE),"")</f>
        <v/>
      </c>
      <c r="F2528">
        <f>IFERROR(VLOOKUP(B2528,'Pre-Summary'!$AL$6:$AQ$13,6,FALSE),F2527)</f>
        <v>5.9405263157894746E-2</v>
      </c>
      <c r="G2528" t="str">
        <f>IFERROR(VLOOKUP(B2528,'Pre-Summary'!$AE$6:$AJ$85,3,FALSE),"")</f>
        <v/>
      </c>
      <c r="H2528" t="str">
        <f>IFERROR(VLOOKUP(B2528,'Pre-Summary'!$AE$6:$AJ$85,4,FALSE),"")</f>
        <v/>
      </c>
      <c r="I2528" t="str">
        <f>IFERROR(VLOOKUP(B2528,'Pre-Summary'!$AE$6:$AJ$85,5,FALSE),"")</f>
        <v/>
      </c>
      <c r="J2528" s="45" t="str">
        <f>IFERROR(VLOOKUP(B2528,'Pre-Summary'!$AE$6:$AJ$85,6, FALSE),"")</f>
        <v/>
      </c>
      <c r="K2528" s="45" t="str">
        <f>IFERROR(VLOOKUP(B2528,'Pre-Summary'!$DE$6:$DG$61,3,FALSE),"")</f>
        <v/>
      </c>
      <c r="L2528" s="45" t="str">
        <f>IFERROR(VLOOKUP(B2528,'Pre-Summary'!$CU$6:$CW$36,3,FALSE),"")</f>
        <v/>
      </c>
      <c r="M2528" s="45" t="str">
        <f>IFERROR(VLOOKUP(B2528,'Pre-Summary'!$BW$6:$BY$58,2,FALSE),"")</f>
        <v/>
      </c>
      <c r="N2528" s="45" t="str">
        <f>IFERROR(VLOOKUP(B2528,'Pre-Summary'!$CD$6:$CF$64,2,FALSE),"")</f>
        <v/>
      </c>
      <c r="O2528" s="99">
        <f>IFERROR(VLOOKUP(B2528,'Pre-Summary'!$BO$6:$BQ$48,3, FALSE),O2527)</f>
        <v>1.508</v>
      </c>
      <c r="P2528" s="99">
        <f>IFERROR(VLOOKUP(B2528,'Pre-Summary'!$BS$6:$BU$35,3,FALSE),P2527)</f>
        <v>0.4</v>
      </c>
      <c r="Q2528" s="54">
        <f t="shared" si="117"/>
        <v>3.77</v>
      </c>
      <c r="R2528" s="53">
        <f>IFERROR(VLOOKUP(B2528,'Pre-Summary'!$BG$6:$BM$44,7,FALSE),R2529)</f>
        <v>0.11030801475343607</v>
      </c>
      <c r="S2528" s="53">
        <f>IFERROR(VLOOKUP(B2528,'Pre-Summary'!$BG$6:$BM$44,6,FALSE),S2529)</f>
        <v>0.11504859134187218</v>
      </c>
      <c r="T2528" s="45" t="str">
        <f>IFERROR(VLOOKUP(B2528,'Pre-Summary'!$Y$6:$AC$83, 3,FALSE),"")</f>
        <v/>
      </c>
      <c r="U2528" s="45" t="str">
        <f>IFERROR(VLOOKUP(B2528,'Pre-Summary'!$Y$6:$AC$83, 4,FALSE),"")</f>
        <v/>
      </c>
      <c r="V2528" t="str">
        <f>IFERROR(VLOOKUP(B2528,'Pre-Summary'!$Y$6:$AC$83, 5,FALSE),"")</f>
        <v/>
      </c>
      <c r="W2528" s="45" t="str">
        <f>IFERROR(VLOOKUP(B2528,'Pre-Summary'!$Y$6:$AD$83,6,FALSE),"")</f>
        <v/>
      </c>
      <c r="X2528" t="str">
        <f>IFERROR(VLOOKUP('Pre-Summary'!$DB$6:$DD$63,3,FALSE),"")</f>
        <v/>
      </c>
      <c r="Y2528" t="str">
        <f>IFERROR(VLOOKUP(B2528,'Pre-Summary'!$CR$6:$CT$36,3,FALSE),"")</f>
        <v/>
      </c>
      <c r="Z2528" s="45" t="str">
        <f>IFERROR(VLOOKUP(B2528,'Pre-Summary'!$BZ$6:$CB$63,2,FALSE),"")</f>
        <v/>
      </c>
      <c r="AA2528" s="45" t="str">
        <f>IFERROR(VLOOKUP(B2528,'Pre-Summary'!$CG$6:$CI$70,2,FALSE),"")</f>
        <v/>
      </c>
      <c r="AB2528" s="99">
        <f>IFERROR(VLOOKUP(B2528,'Pre-Summary'!$A$6:$P$178,9,FALSE),AB2529)</f>
        <v>0.38080182803021162</v>
      </c>
      <c r="AC2528" s="10">
        <f>IFERROR(VLOOKUP(Summary!B2528,'Pre-Summary'!$A$6:$P$184,5, FALSE)/100,AC2529)</f>
        <v>0.98776766666666671</v>
      </c>
      <c r="AD2528" s="10">
        <f>IFERROR(VLOOKUP(Summary!B2528,'Pre-Summary'!$A$6:$P$184,3, FALSE)/100,AD2529)</f>
        <v>2.2106666666666668E-3</v>
      </c>
      <c r="AE2528" s="10">
        <f>IFERROR(VLOOKUP(Summary!B2528,'Pre-Summary'!$A$6:$P$184,7, FALSE)/100,AE2529)</f>
        <v>1.0021666666666667E-2</v>
      </c>
      <c r="AF2528" s="99">
        <f t="shared" si="118"/>
        <v>8.4182590783212115E-4</v>
      </c>
      <c r="AG2528" s="99">
        <f t="shared" si="119"/>
        <v>3.8162689865761041E-3</v>
      </c>
      <c r="AH2528" s="10" t="str">
        <f>IFERROR(VLOOKUP(B2528,'Pre-Summary'!$AZ$6:$BE$65,3,FALSE),"")</f>
        <v/>
      </c>
      <c r="AI2528" s="10" t="str">
        <f>IFERROR(VLOOKUP(B2528,'Pre-Summary'!$AZ$6:$BE$65,5,FALSE),"")</f>
        <v/>
      </c>
      <c r="AJ2528" s="10" t="str">
        <f>IFERROR(VLOOKUP(B2528,'Pre-Summary'!$AZ$6:$BE$65,4,FALSE),"")</f>
        <v/>
      </c>
      <c r="AK2528" s="10" t="str">
        <f>IFERROR(VLOOKUP(B2528,'Pre-Summary'!$AZ$6:$BE$65,6,FALSE),"")</f>
        <v/>
      </c>
      <c r="AL2528" s="10" t="str">
        <f>IFERROR(VLOOKUP(B2528,'Pre-Summary'!$BG$6:$BL$44,3,FALSE),"")</f>
        <v/>
      </c>
      <c r="AM2528" s="10" t="str">
        <f>IFERROR(VLOOKUP(B2528,'Pre-Summary'!$BG$6:$BL$44,4,FALSE),"")</f>
        <v/>
      </c>
    </row>
    <row r="2529" spans="2:39" ht="15" customHeight="1" x14ac:dyDescent="0.3">
      <c r="B2529">
        <v>252.6</v>
      </c>
      <c r="C2529" t="str">
        <f>IFERROR(VLOOKUP(B2529,'Pre-Summary'!$DI$6:$DM$23,4,FALSE),"")</f>
        <v/>
      </c>
      <c r="D2529" s="10" t="str">
        <f>IFERROR(VLOOKUP(B2529,'Pre-Summary'!$AT$6:$AX$14,5,FALSE),D2528)</f>
        <v>Wolfe v3: went back to modified wolfe + EDTA and switched CuSO4 to CUCl2</v>
      </c>
      <c r="E2529" s="10" t="str">
        <f>IFERROR(VLOOKUP(B2529,'Pre-Summary'!$AT$6:$AX$15,4,FALSE),"")</f>
        <v/>
      </c>
      <c r="F2529">
        <f>IFERROR(VLOOKUP(B2529,'Pre-Summary'!$AL$6:$AQ$13,6,FALSE),F2528)</f>
        <v>5.9405263157894746E-2</v>
      </c>
      <c r="G2529" t="str">
        <f>IFERROR(VLOOKUP(B2529,'Pre-Summary'!$AE$6:$AJ$85,3,FALSE),"")</f>
        <v/>
      </c>
      <c r="H2529" t="str">
        <f>IFERROR(VLOOKUP(B2529,'Pre-Summary'!$AE$6:$AJ$85,4,FALSE),"")</f>
        <v/>
      </c>
      <c r="I2529" t="str">
        <f>IFERROR(VLOOKUP(B2529,'Pre-Summary'!$AE$6:$AJ$85,5,FALSE),"")</f>
        <v/>
      </c>
      <c r="J2529" s="45" t="str">
        <f>IFERROR(VLOOKUP(B2529,'Pre-Summary'!$AE$6:$AJ$85,6, FALSE),"")</f>
        <v/>
      </c>
      <c r="K2529" s="45" t="str">
        <f>IFERROR(VLOOKUP(B2529,'Pre-Summary'!$DE$6:$DG$61,3,FALSE),"")</f>
        <v/>
      </c>
      <c r="L2529" s="45" t="str">
        <f>IFERROR(VLOOKUP(B2529,'Pre-Summary'!$CU$6:$CW$36,3,FALSE),"")</f>
        <v/>
      </c>
      <c r="M2529" s="45" t="str">
        <f>IFERROR(VLOOKUP(B2529,'Pre-Summary'!$BW$6:$BY$58,2,FALSE),"")</f>
        <v/>
      </c>
      <c r="N2529" s="45" t="str">
        <f>IFERROR(VLOOKUP(B2529,'Pre-Summary'!$CD$6:$CF$64,2,FALSE),"")</f>
        <v/>
      </c>
      <c r="O2529" s="99">
        <f>IFERROR(VLOOKUP(B2529,'Pre-Summary'!$BO$6:$BQ$48,3, FALSE),O2528)</f>
        <v>1.508</v>
      </c>
      <c r="P2529" s="99">
        <f>IFERROR(VLOOKUP(B2529,'Pre-Summary'!$BS$6:$BU$35,3,FALSE),P2528)</f>
        <v>0.4</v>
      </c>
      <c r="Q2529" s="54">
        <f t="shared" si="117"/>
        <v>3.77</v>
      </c>
      <c r="R2529" s="53">
        <f>IFERROR(VLOOKUP(B2529,'Pre-Summary'!$BG$6:$BM$44,7,FALSE),R2530)</f>
        <v>0.11030801475343607</v>
      </c>
      <c r="S2529" s="53">
        <f>IFERROR(VLOOKUP(B2529,'Pre-Summary'!$BG$6:$BM$44,6,FALSE),S2530)</f>
        <v>0.11504859134187218</v>
      </c>
      <c r="T2529" s="45" t="str">
        <f>IFERROR(VLOOKUP(B2529,'Pre-Summary'!$Y$6:$AC$83, 3,FALSE),"")</f>
        <v/>
      </c>
      <c r="U2529" s="45" t="str">
        <f>IFERROR(VLOOKUP(B2529,'Pre-Summary'!$Y$6:$AC$83, 4,FALSE),"")</f>
        <v/>
      </c>
      <c r="V2529" t="str">
        <f>IFERROR(VLOOKUP(B2529,'Pre-Summary'!$Y$6:$AC$83, 5,FALSE),"")</f>
        <v/>
      </c>
      <c r="W2529" s="45" t="str">
        <f>IFERROR(VLOOKUP(B2529,'Pre-Summary'!$Y$6:$AD$83,6,FALSE),"")</f>
        <v/>
      </c>
      <c r="X2529" t="str">
        <f>IFERROR(VLOOKUP('Pre-Summary'!$DB$6:$DD$63,3,FALSE),"")</f>
        <v/>
      </c>
      <c r="Y2529" t="str">
        <f>IFERROR(VLOOKUP(B2529,'Pre-Summary'!$CR$6:$CT$36,3,FALSE),"")</f>
        <v/>
      </c>
      <c r="Z2529" s="45" t="str">
        <f>IFERROR(VLOOKUP(B2529,'Pre-Summary'!$BZ$6:$CB$63,2,FALSE),"")</f>
        <v/>
      </c>
      <c r="AA2529" s="45" t="str">
        <f>IFERROR(VLOOKUP(B2529,'Pre-Summary'!$CG$6:$CI$70,2,FALSE),"")</f>
        <v/>
      </c>
      <c r="AB2529" s="99">
        <f>IFERROR(VLOOKUP(B2529,'Pre-Summary'!$A$6:$P$178,9,FALSE),AB2530)</f>
        <v>0.38080182803021162</v>
      </c>
      <c r="AC2529" s="10">
        <f>IFERROR(VLOOKUP(Summary!B2529,'Pre-Summary'!$A$6:$P$184,5, FALSE)/100,AC2530)</f>
        <v>0.98776766666666671</v>
      </c>
      <c r="AD2529" s="10">
        <f>IFERROR(VLOOKUP(Summary!B2529,'Pre-Summary'!$A$6:$P$184,3, FALSE)/100,AD2530)</f>
        <v>2.2106666666666668E-3</v>
      </c>
      <c r="AE2529" s="10">
        <f>IFERROR(VLOOKUP(Summary!B2529,'Pre-Summary'!$A$6:$P$184,7, FALSE)/100,AE2530)</f>
        <v>1.0021666666666667E-2</v>
      </c>
      <c r="AF2529" s="99">
        <f t="shared" si="118"/>
        <v>8.4182590783212115E-4</v>
      </c>
      <c r="AG2529" s="99">
        <f t="shared" si="119"/>
        <v>3.8162689865761041E-3</v>
      </c>
      <c r="AH2529" s="10" t="str">
        <f>IFERROR(VLOOKUP(B2529,'Pre-Summary'!$AZ$6:$BE$65,3,FALSE),"")</f>
        <v/>
      </c>
      <c r="AI2529" s="10" t="str">
        <f>IFERROR(VLOOKUP(B2529,'Pre-Summary'!$AZ$6:$BE$65,5,FALSE),"")</f>
        <v/>
      </c>
      <c r="AJ2529" s="10" t="str">
        <f>IFERROR(VLOOKUP(B2529,'Pre-Summary'!$AZ$6:$BE$65,4,FALSE),"")</f>
        <v/>
      </c>
      <c r="AK2529" s="10" t="str">
        <f>IFERROR(VLOOKUP(B2529,'Pre-Summary'!$AZ$6:$BE$65,6,FALSE),"")</f>
        <v/>
      </c>
      <c r="AL2529" s="10" t="str">
        <f>IFERROR(VLOOKUP(B2529,'Pre-Summary'!$BG$6:$BL$44,3,FALSE),"")</f>
        <v/>
      </c>
      <c r="AM2529" s="10" t="str">
        <f>IFERROR(VLOOKUP(B2529,'Pre-Summary'!$BG$6:$BL$44,4,FALSE),"")</f>
        <v/>
      </c>
    </row>
    <row r="2530" spans="2:39" ht="15" customHeight="1" x14ac:dyDescent="0.3">
      <c r="B2530">
        <v>252.7</v>
      </c>
      <c r="C2530" t="str">
        <f>IFERROR(VLOOKUP(B2530,'Pre-Summary'!$DI$6:$DM$23,4,FALSE),"")</f>
        <v/>
      </c>
      <c r="D2530" s="10" t="str">
        <f>IFERROR(VLOOKUP(B2530,'Pre-Summary'!$AT$6:$AX$14,5,FALSE),D2529)</f>
        <v>Wolfe v3: went back to modified wolfe + EDTA and switched CuSO4 to CUCl2</v>
      </c>
      <c r="E2530" s="10" t="str">
        <f>IFERROR(VLOOKUP(B2530,'Pre-Summary'!$AT$6:$AX$15,4,FALSE),"")</f>
        <v/>
      </c>
      <c r="F2530">
        <f>IFERROR(VLOOKUP(B2530,'Pre-Summary'!$AL$6:$AQ$13,6,FALSE),F2529)</f>
        <v>5.9405263157894746E-2</v>
      </c>
      <c r="G2530" t="str">
        <f>IFERROR(VLOOKUP(B2530,'Pre-Summary'!$AE$6:$AJ$85,3,FALSE),"")</f>
        <v/>
      </c>
      <c r="H2530" t="str">
        <f>IFERROR(VLOOKUP(B2530,'Pre-Summary'!$AE$6:$AJ$85,4,FALSE),"")</f>
        <v/>
      </c>
      <c r="I2530" t="str">
        <f>IFERROR(VLOOKUP(B2530,'Pre-Summary'!$AE$6:$AJ$85,5,FALSE),"")</f>
        <v/>
      </c>
      <c r="J2530" s="45" t="str">
        <f>IFERROR(VLOOKUP(B2530,'Pre-Summary'!$AE$6:$AJ$85,6, FALSE),"")</f>
        <v/>
      </c>
      <c r="K2530" s="45" t="str">
        <f>IFERROR(VLOOKUP(B2530,'Pre-Summary'!$DE$6:$DG$61,3,FALSE),"")</f>
        <v/>
      </c>
      <c r="L2530" s="45" t="str">
        <f>IFERROR(VLOOKUP(B2530,'Pre-Summary'!$CU$6:$CW$36,3,FALSE),"")</f>
        <v/>
      </c>
      <c r="M2530" s="45" t="str">
        <f>IFERROR(VLOOKUP(B2530,'Pre-Summary'!$BW$6:$BY$58,2,FALSE),"")</f>
        <v/>
      </c>
      <c r="N2530" s="45" t="str">
        <f>IFERROR(VLOOKUP(B2530,'Pre-Summary'!$CD$6:$CF$64,2,FALSE),"")</f>
        <v/>
      </c>
      <c r="O2530" s="99">
        <f>IFERROR(VLOOKUP(B2530,'Pre-Summary'!$BO$6:$BQ$48,3, FALSE),O2529)</f>
        <v>1.508</v>
      </c>
      <c r="P2530" s="99">
        <f>IFERROR(VLOOKUP(B2530,'Pre-Summary'!$BS$6:$BU$35,3,FALSE),P2529)</f>
        <v>0.4</v>
      </c>
      <c r="Q2530" s="54">
        <f t="shared" si="117"/>
        <v>3.77</v>
      </c>
      <c r="R2530" s="53">
        <f>IFERROR(VLOOKUP(B2530,'Pre-Summary'!$BG$6:$BM$44,7,FALSE),R2531)</f>
        <v>0.11030801475343607</v>
      </c>
      <c r="S2530" s="53">
        <f>IFERROR(VLOOKUP(B2530,'Pre-Summary'!$BG$6:$BM$44,6,FALSE),S2531)</f>
        <v>0.11504859134187218</v>
      </c>
      <c r="T2530" s="45" t="str">
        <f>IFERROR(VLOOKUP(B2530,'Pre-Summary'!$Y$6:$AC$83, 3,FALSE),"")</f>
        <v/>
      </c>
      <c r="U2530" s="45" t="str">
        <f>IFERROR(VLOOKUP(B2530,'Pre-Summary'!$Y$6:$AC$83, 4,FALSE),"")</f>
        <v/>
      </c>
      <c r="V2530" t="str">
        <f>IFERROR(VLOOKUP(B2530,'Pre-Summary'!$Y$6:$AC$83, 5,FALSE),"")</f>
        <v/>
      </c>
      <c r="W2530" s="45" t="str">
        <f>IFERROR(VLOOKUP(B2530,'Pre-Summary'!$Y$6:$AD$83,6,FALSE),"")</f>
        <v/>
      </c>
      <c r="X2530" t="str">
        <f>IFERROR(VLOOKUP('Pre-Summary'!$DB$6:$DD$63,3,FALSE),"")</f>
        <v/>
      </c>
      <c r="Y2530" t="str">
        <f>IFERROR(VLOOKUP(B2530,'Pre-Summary'!$CR$6:$CT$36,3,FALSE),"")</f>
        <v/>
      </c>
      <c r="Z2530" s="45" t="str">
        <f>IFERROR(VLOOKUP(B2530,'Pre-Summary'!$BZ$6:$CB$63,2,FALSE),"")</f>
        <v/>
      </c>
      <c r="AA2530" s="45" t="str">
        <f>IFERROR(VLOOKUP(B2530,'Pre-Summary'!$CG$6:$CI$70,2,FALSE),"")</f>
        <v/>
      </c>
      <c r="AB2530" s="99">
        <f>IFERROR(VLOOKUP(B2530,'Pre-Summary'!$A$6:$P$178,9,FALSE),AB2531)</f>
        <v>0.38080182803021162</v>
      </c>
      <c r="AC2530" s="10">
        <f>IFERROR(VLOOKUP(Summary!B2530,'Pre-Summary'!$A$6:$P$184,5, FALSE)/100,AC2531)</f>
        <v>0.98776766666666671</v>
      </c>
      <c r="AD2530" s="10">
        <f>IFERROR(VLOOKUP(Summary!B2530,'Pre-Summary'!$A$6:$P$184,3, FALSE)/100,AD2531)</f>
        <v>2.2106666666666668E-3</v>
      </c>
      <c r="AE2530" s="10">
        <f>IFERROR(VLOOKUP(Summary!B2530,'Pre-Summary'!$A$6:$P$184,7, FALSE)/100,AE2531)</f>
        <v>1.0021666666666667E-2</v>
      </c>
      <c r="AF2530" s="99">
        <f t="shared" si="118"/>
        <v>8.4182590783212115E-4</v>
      </c>
      <c r="AG2530" s="99">
        <f t="shared" si="119"/>
        <v>3.8162689865761041E-3</v>
      </c>
      <c r="AH2530" s="10" t="str">
        <f>IFERROR(VLOOKUP(B2530,'Pre-Summary'!$AZ$6:$BE$65,3,FALSE),"")</f>
        <v/>
      </c>
      <c r="AI2530" s="10" t="str">
        <f>IFERROR(VLOOKUP(B2530,'Pre-Summary'!$AZ$6:$BE$65,5,FALSE),"")</f>
        <v/>
      </c>
      <c r="AJ2530" s="10" t="str">
        <f>IFERROR(VLOOKUP(B2530,'Pre-Summary'!$AZ$6:$BE$65,4,FALSE),"")</f>
        <v/>
      </c>
      <c r="AK2530" s="10" t="str">
        <f>IFERROR(VLOOKUP(B2530,'Pre-Summary'!$AZ$6:$BE$65,6,FALSE),"")</f>
        <v/>
      </c>
      <c r="AL2530" s="10" t="str">
        <f>IFERROR(VLOOKUP(B2530,'Pre-Summary'!$BG$6:$BL$44,3,FALSE),"")</f>
        <v/>
      </c>
      <c r="AM2530" s="10" t="str">
        <f>IFERROR(VLOOKUP(B2530,'Pre-Summary'!$BG$6:$BL$44,4,FALSE),"")</f>
        <v/>
      </c>
    </row>
    <row r="2531" spans="2:39" ht="15" customHeight="1" x14ac:dyDescent="0.3">
      <c r="B2531">
        <v>252.8</v>
      </c>
      <c r="C2531" t="str">
        <f>IFERROR(VLOOKUP(B2531,'Pre-Summary'!$DI$6:$DM$23,4,FALSE),"")</f>
        <v/>
      </c>
      <c r="D2531" s="10" t="str">
        <f>IFERROR(VLOOKUP(B2531,'Pre-Summary'!$AT$6:$AX$14,5,FALSE),D2530)</f>
        <v>Wolfe v3: went back to modified wolfe + EDTA and switched CuSO4 to CUCl2</v>
      </c>
      <c r="E2531" s="10" t="str">
        <f>IFERROR(VLOOKUP(B2531,'Pre-Summary'!$AT$6:$AX$15,4,FALSE),"")</f>
        <v/>
      </c>
      <c r="F2531">
        <f>IFERROR(VLOOKUP(B2531,'Pre-Summary'!$AL$6:$AQ$13,6,FALSE),F2530)</f>
        <v>5.9405263157894746E-2</v>
      </c>
      <c r="G2531" t="str">
        <f>IFERROR(VLOOKUP(B2531,'Pre-Summary'!$AE$6:$AJ$85,3,FALSE),"")</f>
        <v/>
      </c>
      <c r="H2531" t="str">
        <f>IFERROR(VLOOKUP(B2531,'Pre-Summary'!$AE$6:$AJ$85,4,FALSE),"")</f>
        <v/>
      </c>
      <c r="I2531" t="str">
        <f>IFERROR(VLOOKUP(B2531,'Pre-Summary'!$AE$6:$AJ$85,5,FALSE),"")</f>
        <v/>
      </c>
      <c r="J2531" s="45" t="str">
        <f>IFERROR(VLOOKUP(B2531,'Pre-Summary'!$AE$6:$AJ$85,6, FALSE),"")</f>
        <v/>
      </c>
      <c r="K2531" s="45" t="str">
        <f>IFERROR(VLOOKUP(B2531,'Pre-Summary'!$DE$6:$DG$61,3,FALSE),"")</f>
        <v/>
      </c>
      <c r="L2531" s="45" t="str">
        <f>IFERROR(VLOOKUP(B2531,'Pre-Summary'!$CU$6:$CW$36,3,FALSE),"")</f>
        <v/>
      </c>
      <c r="M2531" s="45" t="str">
        <f>IFERROR(VLOOKUP(B2531,'Pre-Summary'!$BW$6:$BY$58,2,FALSE),"")</f>
        <v/>
      </c>
      <c r="N2531" s="45" t="str">
        <f>IFERROR(VLOOKUP(B2531,'Pre-Summary'!$CD$6:$CF$64,2,FALSE),"")</f>
        <v/>
      </c>
      <c r="O2531" s="99">
        <f>IFERROR(VLOOKUP(B2531,'Pre-Summary'!$BO$6:$BQ$48,3, FALSE),O2530)</f>
        <v>1.508</v>
      </c>
      <c r="P2531" s="99">
        <f>IFERROR(VLOOKUP(B2531,'Pre-Summary'!$BS$6:$BU$35,3,FALSE),P2530)</f>
        <v>0.4</v>
      </c>
      <c r="Q2531" s="54">
        <f t="shared" si="117"/>
        <v>3.77</v>
      </c>
      <c r="R2531" s="53">
        <f>IFERROR(VLOOKUP(B2531,'Pre-Summary'!$BG$6:$BM$44,7,FALSE),R2532)</f>
        <v>0.11030801475343607</v>
      </c>
      <c r="S2531" s="53">
        <f>IFERROR(VLOOKUP(B2531,'Pre-Summary'!$BG$6:$BM$44,6,FALSE),S2532)</f>
        <v>0.11504859134187218</v>
      </c>
      <c r="T2531" s="45" t="str">
        <f>IFERROR(VLOOKUP(B2531,'Pre-Summary'!$Y$6:$AC$83, 3,FALSE),"")</f>
        <v/>
      </c>
      <c r="U2531" s="45" t="str">
        <f>IFERROR(VLOOKUP(B2531,'Pre-Summary'!$Y$6:$AC$83, 4,FALSE),"")</f>
        <v/>
      </c>
      <c r="V2531" t="str">
        <f>IFERROR(VLOOKUP(B2531,'Pre-Summary'!$Y$6:$AC$83, 5,FALSE),"")</f>
        <v/>
      </c>
      <c r="W2531" s="45" t="str">
        <f>IFERROR(VLOOKUP(B2531,'Pre-Summary'!$Y$6:$AD$83,6,FALSE),"")</f>
        <v/>
      </c>
      <c r="X2531" t="str">
        <f>IFERROR(VLOOKUP('Pre-Summary'!$DB$6:$DD$63,3,FALSE),"")</f>
        <v/>
      </c>
      <c r="Y2531" t="str">
        <f>IFERROR(VLOOKUP(B2531,'Pre-Summary'!$CR$6:$CT$36,3,FALSE),"")</f>
        <v/>
      </c>
      <c r="Z2531" s="45" t="str">
        <f>IFERROR(VLOOKUP(B2531,'Pre-Summary'!$BZ$6:$CB$63,2,FALSE),"")</f>
        <v/>
      </c>
      <c r="AA2531" s="45" t="str">
        <f>IFERROR(VLOOKUP(B2531,'Pre-Summary'!$CG$6:$CI$70,2,FALSE),"")</f>
        <v/>
      </c>
      <c r="AB2531" s="99">
        <f>IFERROR(VLOOKUP(B2531,'Pre-Summary'!$A$6:$P$178,9,FALSE),AB2532)</f>
        <v>0.38080182803021162</v>
      </c>
      <c r="AC2531" s="10">
        <f>IFERROR(VLOOKUP(Summary!B2531,'Pre-Summary'!$A$6:$P$184,5, FALSE)/100,AC2532)</f>
        <v>0.98776766666666671</v>
      </c>
      <c r="AD2531" s="10">
        <f>IFERROR(VLOOKUP(Summary!B2531,'Pre-Summary'!$A$6:$P$184,3, FALSE)/100,AD2532)</f>
        <v>2.2106666666666668E-3</v>
      </c>
      <c r="AE2531" s="10">
        <f>IFERROR(VLOOKUP(Summary!B2531,'Pre-Summary'!$A$6:$P$184,7, FALSE)/100,AE2532)</f>
        <v>1.0021666666666667E-2</v>
      </c>
      <c r="AF2531" s="99">
        <f t="shared" si="118"/>
        <v>8.4182590783212115E-4</v>
      </c>
      <c r="AG2531" s="99">
        <f t="shared" si="119"/>
        <v>3.8162689865761041E-3</v>
      </c>
      <c r="AH2531" s="10" t="str">
        <f>IFERROR(VLOOKUP(B2531,'Pre-Summary'!$AZ$6:$BE$65,3,FALSE),"")</f>
        <v/>
      </c>
      <c r="AI2531" s="10" t="str">
        <f>IFERROR(VLOOKUP(B2531,'Pre-Summary'!$AZ$6:$BE$65,5,FALSE),"")</f>
        <v/>
      </c>
      <c r="AJ2531" s="10" t="str">
        <f>IFERROR(VLOOKUP(B2531,'Pre-Summary'!$AZ$6:$BE$65,4,FALSE),"")</f>
        <v/>
      </c>
      <c r="AK2531" s="10" t="str">
        <f>IFERROR(VLOOKUP(B2531,'Pre-Summary'!$AZ$6:$BE$65,6,FALSE),"")</f>
        <v/>
      </c>
      <c r="AL2531" s="10" t="str">
        <f>IFERROR(VLOOKUP(B2531,'Pre-Summary'!$BG$6:$BL$44,3,FALSE),"")</f>
        <v/>
      </c>
      <c r="AM2531" s="10" t="str">
        <f>IFERROR(VLOOKUP(B2531,'Pre-Summary'!$BG$6:$BL$44,4,FALSE),"")</f>
        <v/>
      </c>
    </row>
    <row r="2532" spans="2:39" ht="15" customHeight="1" x14ac:dyDescent="0.3">
      <c r="B2532">
        <v>252.9</v>
      </c>
      <c r="C2532" t="str">
        <f>IFERROR(VLOOKUP(B2532,'Pre-Summary'!$DI$6:$DM$23,4,FALSE),"")</f>
        <v/>
      </c>
      <c r="D2532" s="10" t="str">
        <f>IFERROR(VLOOKUP(B2532,'Pre-Summary'!$AT$6:$AX$14,5,FALSE),D2531)</f>
        <v>Wolfe v3: went back to modified wolfe + EDTA and switched CuSO4 to CUCl2</v>
      </c>
      <c r="E2532" s="10" t="str">
        <f>IFERROR(VLOOKUP(B2532,'Pre-Summary'!$AT$6:$AX$15,4,FALSE),"")</f>
        <v/>
      </c>
      <c r="F2532">
        <f>IFERROR(VLOOKUP(B2532,'Pre-Summary'!$AL$6:$AQ$13,6,FALSE),F2531)</f>
        <v>5.9405263157894746E-2</v>
      </c>
      <c r="G2532" t="str">
        <f>IFERROR(VLOOKUP(B2532,'Pre-Summary'!$AE$6:$AJ$85,3,FALSE),"")</f>
        <v/>
      </c>
      <c r="H2532" t="str">
        <f>IFERROR(VLOOKUP(B2532,'Pre-Summary'!$AE$6:$AJ$85,4,FALSE),"")</f>
        <v/>
      </c>
      <c r="I2532" t="str">
        <f>IFERROR(VLOOKUP(B2532,'Pre-Summary'!$AE$6:$AJ$85,5,FALSE),"")</f>
        <v/>
      </c>
      <c r="J2532" s="45" t="str">
        <f>IFERROR(VLOOKUP(B2532,'Pre-Summary'!$AE$6:$AJ$85,6, FALSE),"")</f>
        <v/>
      </c>
      <c r="K2532" s="45" t="str">
        <f>IFERROR(VLOOKUP(B2532,'Pre-Summary'!$DE$6:$DG$61,3,FALSE),"")</f>
        <v/>
      </c>
      <c r="L2532" s="45" t="str">
        <f>IFERROR(VLOOKUP(B2532,'Pre-Summary'!$CU$6:$CW$36,3,FALSE),"")</f>
        <v/>
      </c>
      <c r="M2532" s="45" t="str">
        <f>IFERROR(VLOOKUP(B2532,'Pre-Summary'!$BW$6:$BY$58,2,FALSE),"")</f>
        <v/>
      </c>
      <c r="N2532" s="45" t="str">
        <f>IFERROR(VLOOKUP(B2532,'Pre-Summary'!$CD$6:$CF$64,2,FALSE),"")</f>
        <v/>
      </c>
      <c r="O2532" s="99">
        <f>IFERROR(VLOOKUP(B2532,'Pre-Summary'!$BO$6:$BQ$48,3, FALSE),O2531)</f>
        <v>1.508</v>
      </c>
      <c r="P2532" s="99">
        <f>IFERROR(VLOOKUP(B2532,'Pre-Summary'!$BS$6:$BU$35,3,FALSE),P2531)</f>
        <v>0.4</v>
      </c>
      <c r="Q2532" s="54">
        <f t="shared" si="117"/>
        <v>3.77</v>
      </c>
      <c r="R2532" s="53">
        <f>IFERROR(VLOOKUP(B2532,'Pre-Summary'!$BG$6:$BM$44,7,FALSE),R2533)</f>
        <v>0.11030801475343607</v>
      </c>
      <c r="S2532" s="53">
        <f>IFERROR(VLOOKUP(B2532,'Pre-Summary'!$BG$6:$BM$44,6,FALSE),S2533)</f>
        <v>0.11504859134187218</v>
      </c>
      <c r="T2532" s="45" t="str">
        <f>IFERROR(VLOOKUP(B2532,'Pre-Summary'!$Y$6:$AC$83, 3,FALSE),"")</f>
        <v/>
      </c>
      <c r="U2532" s="45" t="str">
        <f>IFERROR(VLOOKUP(B2532,'Pre-Summary'!$Y$6:$AC$83, 4,FALSE),"")</f>
        <v/>
      </c>
      <c r="V2532" t="str">
        <f>IFERROR(VLOOKUP(B2532,'Pre-Summary'!$Y$6:$AC$83, 5,FALSE),"")</f>
        <v/>
      </c>
      <c r="W2532" s="45" t="str">
        <f>IFERROR(VLOOKUP(B2532,'Pre-Summary'!$Y$6:$AD$83,6,FALSE),"")</f>
        <v/>
      </c>
      <c r="X2532" t="str">
        <f>IFERROR(VLOOKUP('Pre-Summary'!$DB$6:$DD$63,3,FALSE),"")</f>
        <v/>
      </c>
      <c r="Y2532" t="str">
        <f>IFERROR(VLOOKUP(B2532,'Pre-Summary'!$CR$6:$CT$36,3,FALSE),"")</f>
        <v/>
      </c>
      <c r="Z2532" s="45" t="str">
        <f>IFERROR(VLOOKUP(B2532,'Pre-Summary'!$BZ$6:$CB$63,2,FALSE),"")</f>
        <v/>
      </c>
      <c r="AA2532" s="45" t="str">
        <f>IFERROR(VLOOKUP(B2532,'Pre-Summary'!$CG$6:$CI$70,2,FALSE),"")</f>
        <v/>
      </c>
      <c r="AB2532" s="99">
        <f>IFERROR(VLOOKUP(B2532,'Pre-Summary'!$A$6:$P$178,9,FALSE),AB2533)</f>
        <v>0.38080182803021162</v>
      </c>
      <c r="AC2532" s="10">
        <f>IFERROR(VLOOKUP(Summary!B2532,'Pre-Summary'!$A$6:$P$184,5, FALSE)/100,AC2533)</f>
        <v>0.98776766666666671</v>
      </c>
      <c r="AD2532" s="10">
        <f>IFERROR(VLOOKUP(Summary!B2532,'Pre-Summary'!$A$6:$P$184,3, FALSE)/100,AD2533)</f>
        <v>2.2106666666666668E-3</v>
      </c>
      <c r="AE2532" s="10">
        <f>IFERROR(VLOOKUP(Summary!B2532,'Pre-Summary'!$A$6:$P$184,7, FALSE)/100,AE2533)</f>
        <v>1.0021666666666667E-2</v>
      </c>
      <c r="AF2532" s="99">
        <f t="shared" si="118"/>
        <v>8.4182590783212115E-4</v>
      </c>
      <c r="AG2532" s="99">
        <f t="shared" si="119"/>
        <v>3.8162689865761041E-3</v>
      </c>
      <c r="AH2532" s="10" t="str">
        <f>IFERROR(VLOOKUP(B2532,'Pre-Summary'!$AZ$6:$BE$65,3,FALSE),"")</f>
        <v/>
      </c>
      <c r="AI2532" s="10" t="str">
        <f>IFERROR(VLOOKUP(B2532,'Pre-Summary'!$AZ$6:$BE$65,5,FALSE),"")</f>
        <v/>
      </c>
      <c r="AJ2532" s="10" t="str">
        <f>IFERROR(VLOOKUP(B2532,'Pre-Summary'!$AZ$6:$BE$65,4,FALSE),"")</f>
        <v/>
      </c>
      <c r="AK2532" s="10" t="str">
        <f>IFERROR(VLOOKUP(B2532,'Pre-Summary'!$AZ$6:$BE$65,6,FALSE),"")</f>
        <v/>
      </c>
      <c r="AL2532" s="10" t="str">
        <f>IFERROR(VLOOKUP(B2532,'Pre-Summary'!$BG$6:$BL$44,3,FALSE),"")</f>
        <v/>
      </c>
      <c r="AM2532" s="10" t="str">
        <f>IFERROR(VLOOKUP(B2532,'Pre-Summary'!$BG$6:$BL$44,4,FALSE),"")</f>
        <v/>
      </c>
    </row>
    <row r="2533" spans="2:39" ht="15" customHeight="1" x14ac:dyDescent="0.3">
      <c r="B2533">
        <v>253</v>
      </c>
      <c r="C2533" t="str">
        <f>IFERROR(VLOOKUP(B2533,'Pre-Summary'!$DI$6:$DM$23,4,FALSE),"")</f>
        <v/>
      </c>
      <c r="D2533" s="10" t="str">
        <f>IFERROR(VLOOKUP(B2533,'Pre-Summary'!$AT$6:$AX$14,5,FALSE),D2532)</f>
        <v>Wolfe v3: went back to modified wolfe + EDTA and switched CuSO4 to CUCl2</v>
      </c>
      <c r="E2533" s="10" t="str">
        <f>IFERROR(VLOOKUP(B2533,'Pre-Summary'!$AT$6:$AX$15,4,FALSE),"")</f>
        <v/>
      </c>
      <c r="F2533">
        <f>IFERROR(VLOOKUP(B2533,'Pre-Summary'!$AL$6:$AQ$13,6,FALSE),F2532)</f>
        <v>5.9405263157894746E-2</v>
      </c>
      <c r="G2533" t="str">
        <f>IFERROR(VLOOKUP(B2533,'Pre-Summary'!$AE$6:$AJ$85,3,FALSE),"")</f>
        <v/>
      </c>
      <c r="H2533" t="str">
        <f>IFERROR(VLOOKUP(B2533,'Pre-Summary'!$AE$6:$AJ$85,4,FALSE),"")</f>
        <v/>
      </c>
      <c r="I2533" t="str">
        <f>IFERROR(VLOOKUP(B2533,'Pre-Summary'!$AE$6:$AJ$85,5,FALSE),"")</f>
        <v/>
      </c>
      <c r="J2533" s="45" t="str">
        <f>IFERROR(VLOOKUP(B2533,'Pre-Summary'!$AE$6:$AJ$85,6, FALSE),"")</f>
        <v/>
      </c>
      <c r="K2533" s="45" t="str">
        <f>IFERROR(VLOOKUP(B2533,'Pre-Summary'!$DE$6:$DG$61,3,FALSE),"")</f>
        <v/>
      </c>
      <c r="L2533" s="45" t="str">
        <f>IFERROR(VLOOKUP(B2533,'Pre-Summary'!$CU$6:$CW$36,3,FALSE),"")</f>
        <v/>
      </c>
      <c r="M2533" s="45" t="str">
        <f>IFERROR(VLOOKUP(B2533,'Pre-Summary'!$BW$6:$BY$58,2,FALSE),"")</f>
        <v/>
      </c>
      <c r="N2533" s="45" t="str">
        <f>IFERROR(VLOOKUP(B2533,'Pre-Summary'!$CD$6:$CF$64,2,FALSE),"")</f>
        <v/>
      </c>
      <c r="O2533" s="99">
        <f>IFERROR(VLOOKUP(B2533,'Pre-Summary'!$BO$6:$BQ$48,3, FALSE),O2532)</f>
        <v>1.508</v>
      </c>
      <c r="P2533" s="99">
        <f>IFERROR(VLOOKUP(B2533,'Pre-Summary'!$BS$6:$BU$35,3,FALSE),P2532)</f>
        <v>0.4</v>
      </c>
      <c r="Q2533" s="54">
        <f t="shared" si="117"/>
        <v>3.77</v>
      </c>
      <c r="R2533" s="53">
        <f>IFERROR(VLOOKUP(B2533,'Pre-Summary'!$BG$6:$BM$44,7,FALSE),R2534)</f>
        <v>0.11030801475343607</v>
      </c>
      <c r="S2533" s="53">
        <f>IFERROR(VLOOKUP(B2533,'Pre-Summary'!$BG$6:$BM$44,6,FALSE),S2534)</f>
        <v>0.11504859134187218</v>
      </c>
      <c r="T2533" s="45" t="str">
        <f>IFERROR(VLOOKUP(B2533,'Pre-Summary'!$Y$6:$AC$83, 3,FALSE),"")</f>
        <v/>
      </c>
      <c r="U2533" s="45" t="str">
        <f>IFERROR(VLOOKUP(B2533,'Pre-Summary'!$Y$6:$AC$83, 4,FALSE),"")</f>
        <v/>
      </c>
      <c r="V2533" t="str">
        <f>IFERROR(VLOOKUP(B2533,'Pre-Summary'!$Y$6:$AC$83, 5,FALSE),"")</f>
        <v/>
      </c>
      <c r="W2533" s="45" t="str">
        <f>IFERROR(VLOOKUP(B2533,'Pre-Summary'!$Y$6:$AD$83,6,FALSE),"")</f>
        <v/>
      </c>
      <c r="X2533" t="str">
        <f>IFERROR(VLOOKUP('Pre-Summary'!$DB$6:$DD$63,3,FALSE),"")</f>
        <v/>
      </c>
      <c r="Y2533" t="str">
        <f>IFERROR(VLOOKUP(B2533,'Pre-Summary'!$CR$6:$CT$36,3,FALSE),"")</f>
        <v/>
      </c>
      <c r="Z2533" s="45" t="str">
        <f>IFERROR(VLOOKUP(B2533,'Pre-Summary'!$BZ$6:$CB$63,2,FALSE),"")</f>
        <v/>
      </c>
      <c r="AA2533" s="45" t="str">
        <f>IFERROR(VLOOKUP(B2533,'Pre-Summary'!$CG$6:$CI$70,2,FALSE),"")</f>
        <v/>
      </c>
      <c r="AB2533" s="99">
        <f>IFERROR(VLOOKUP(B2533,'Pre-Summary'!$A$6:$P$178,9,FALSE),AB2534)</f>
        <v>0.38080182803021162</v>
      </c>
      <c r="AC2533" s="10">
        <f>IFERROR(VLOOKUP(Summary!B2533,'Pre-Summary'!$A$6:$P$184,5, FALSE)/100,AC2534)</f>
        <v>0.98776766666666671</v>
      </c>
      <c r="AD2533" s="10">
        <f>IFERROR(VLOOKUP(Summary!B2533,'Pre-Summary'!$A$6:$P$184,3, FALSE)/100,AD2534)</f>
        <v>2.2106666666666668E-3</v>
      </c>
      <c r="AE2533" s="10">
        <f>IFERROR(VLOOKUP(Summary!B2533,'Pre-Summary'!$A$6:$P$184,7, FALSE)/100,AE2534)</f>
        <v>1.0021666666666667E-2</v>
      </c>
      <c r="AF2533" s="99">
        <f t="shared" si="118"/>
        <v>8.4182590783212115E-4</v>
      </c>
      <c r="AG2533" s="99">
        <f t="shared" si="119"/>
        <v>3.8162689865761041E-3</v>
      </c>
      <c r="AH2533" s="10" t="str">
        <f>IFERROR(VLOOKUP(B2533,'Pre-Summary'!$AZ$6:$BE$65,3,FALSE),"")</f>
        <v/>
      </c>
      <c r="AI2533" s="10" t="str">
        <f>IFERROR(VLOOKUP(B2533,'Pre-Summary'!$AZ$6:$BE$65,5,FALSE),"")</f>
        <v/>
      </c>
      <c r="AJ2533" s="10" t="str">
        <f>IFERROR(VLOOKUP(B2533,'Pre-Summary'!$AZ$6:$BE$65,4,FALSE),"")</f>
        <v/>
      </c>
      <c r="AK2533" s="10" t="str">
        <f>IFERROR(VLOOKUP(B2533,'Pre-Summary'!$AZ$6:$BE$65,6,FALSE),"")</f>
        <v/>
      </c>
      <c r="AL2533" s="10" t="str">
        <f>IFERROR(VLOOKUP(B2533,'Pre-Summary'!$BG$6:$BL$44,3,FALSE),"")</f>
        <v/>
      </c>
      <c r="AM2533" s="10" t="str">
        <f>IFERROR(VLOOKUP(B2533,'Pre-Summary'!$BG$6:$BL$44,4,FALSE),"")</f>
        <v/>
      </c>
    </row>
    <row r="2534" spans="2:39" ht="15" customHeight="1" x14ac:dyDescent="0.3">
      <c r="B2534">
        <v>253.1</v>
      </c>
      <c r="C2534" t="str">
        <f>IFERROR(VLOOKUP(B2534,'Pre-Summary'!$DI$6:$DM$23,4,FALSE),"")</f>
        <v/>
      </c>
      <c r="D2534" s="10" t="str">
        <f>IFERROR(VLOOKUP(B2534,'Pre-Summary'!$AT$6:$AX$14,5,FALSE),D2533)</f>
        <v>Wolfe v3: went back to modified wolfe + EDTA and switched CuSO4 to CUCl2</v>
      </c>
      <c r="E2534" s="10" t="str">
        <f>IFERROR(VLOOKUP(B2534,'Pre-Summary'!$AT$6:$AX$15,4,FALSE),"")</f>
        <v/>
      </c>
      <c r="F2534">
        <f>IFERROR(VLOOKUP(B2534,'Pre-Summary'!$AL$6:$AQ$13,6,FALSE),F2533)</f>
        <v>5.9405263157894746E-2</v>
      </c>
      <c r="G2534" t="str">
        <f>IFERROR(VLOOKUP(B2534,'Pre-Summary'!$AE$6:$AJ$85,3,FALSE),"")</f>
        <v/>
      </c>
      <c r="H2534" t="str">
        <f>IFERROR(VLOOKUP(B2534,'Pre-Summary'!$AE$6:$AJ$85,4,FALSE),"")</f>
        <v/>
      </c>
      <c r="I2534" t="str">
        <f>IFERROR(VLOOKUP(B2534,'Pre-Summary'!$AE$6:$AJ$85,5,FALSE),"")</f>
        <v/>
      </c>
      <c r="J2534" s="45" t="str">
        <f>IFERROR(VLOOKUP(B2534,'Pre-Summary'!$AE$6:$AJ$85,6, FALSE),"")</f>
        <v/>
      </c>
      <c r="K2534" s="45" t="str">
        <f>IFERROR(VLOOKUP(B2534,'Pre-Summary'!$DE$6:$DG$61,3,FALSE),"")</f>
        <v/>
      </c>
      <c r="L2534" s="45" t="str">
        <f>IFERROR(VLOOKUP(B2534,'Pre-Summary'!$CU$6:$CW$36,3,FALSE),"")</f>
        <v/>
      </c>
      <c r="M2534" s="45" t="str">
        <f>IFERROR(VLOOKUP(B2534,'Pre-Summary'!$BW$6:$BY$58,2,FALSE),"")</f>
        <v/>
      </c>
      <c r="N2534" s="45" t="str">
        <f>IFERROR(VLOOKUP(B2534,'Pre-Summary'!$CD$6:$CF$64,2,FALSE),"")</f>
        <v/>
      </c>
      <c r="O2534" s="99">
        <f>IFERROR(VLOOKUP(B2534,'Pre-Summary'!$BO$6:$BQ$48,3, FALSE),O2533)</f>
        <v>1.508</v>
      </c>
      <c r="P2534" s="99">
        <f>IFERROR(VLOOKUP(B2534,'Pre-Summary'!$BS$6:$BU$35,3,FALSE),P2533)</f>
        <v>0.4</v>
      </c>
      <c r="Q2534" s="54">
        <f t="shared" si="117"/>
        <v>3.77</v>
      </c>
      <c r="R2534" s="53">
        <f>IFERROR(VLOOKUP(B2534,'Pre-Summary'!$BG$6:$BM$44,7,FALSE),R2535)</f>
        <v>0.11030801475343607</v>
      </c>
      <c r="S2534" s="53">
        <f>IFERROR(VLOOKUP(B2534,'Pre-Summary'!$BG$6:$BM$44,6,FALSE),S2535)</f>
        <v>0.11504859134187218</v>
      </c>
      <c r="T2534" s="45" t="str">
        <f>IFERROR(VLOOKUP(B2534,'Pre-Summary'!$Y$6:$AC$83, 3,FALSE),"")</f>
        <v/>
      </c>
      <c r="U2534" s="45" t="str">
        <f>IFERROR(VLOOKUP(B2534,'Pre-Summary'!$Y$6:$AC$83, 4,FALSE),"")</f>
        <v/>
      </c>
      <c r="V2534" t="str">
        <f>IFERROR(VLOOKUP(B2534,'Pre-Summary'!$Y$6:$AC$83, 5,FALSE),"")</f>
        <v/>
      </c>
      <c r="W2534" s="45" t="str">
        <f>IFERROR(VLOOKUP(B2534,'Pre-Summary'!$Y$6:$AD$83,6,FALSE),"")</f>
        <v/>
      </c>
      <c r="X2534" t="str">
        <f>IFERROR(VLOOKUP('Pre-Summary'!$DB$6:$DD$63,3,FALSE),"")</f>
        <v/>
      </c>
      <c r="Y2534" t="str">
        <f>IFERROR(VLOOKUP(B2534,'Pre-Summary'!$CR$6:$CT$36,3,FALSE),"")</f>
        <v/>
      </c>
      <c r="Z2534" s="45" t="str">
        <f>IFERROR(VLOOKUP(B2534,'Pre-Summary'!$BZ$6:$CB$63,2,FALSE),"")</f>
        <v/>
      </c>
      <c r="AA2534" s="45" t="str">
        <f>IFERROR(VLOOKUP(B2534,'Pre-Summary'!$CG$6:$CI$70,2,FALSE),"")</f>
        <v/>
      </c>
      <c r="AB2534" s="99">
        <f>IFERROR(VLOOKUP(B2534,'Pre-Summary'!$A$6:$P$178,9,FALSE),AB2535)</f>
        <v>0.38080182803021162</v>
      </c>
      <c r="AC2534" s="10">
        <f>IFERROR(VLOOKUP(Summary!B2534,'Pre-Summary'!$A$6:$P$184,5, FALSE)/100,AC2535)</f>
        <v>0.98776766666666671</v>
      </c>
      <c r="AD2534" s="10">
        <f>IFERROR(VLOOKUP(Summary!B2534,'Pre-Summary'!$A$6:$P$184,3, FALSE)/100,AD2535)</f>
        <v>2.2106666666666668E-3</v>
      </c>
      <c r="AE2534" s="10">
        <f>IFERROR(VLOOKUP(Summary!B2534,'Pre-Summary'!$A$6:$P$184,7, FALSE)/100,AE2535)</f>
        <v>1.0021666666666667E-2</v>
      </c>
      <c r="AF2534" s="99">
        <f t="shared" si="118"/>
        <v>8.4182590783212115E-4</v>
      </c>
      <c r="AG2534" s="99">
        <f t="shared" si="119"/>
        <v>3.8162689865761041E-3</v>
      </c>
      <c r="AH2534" s="10" t="str">
        <f>IFERROR(VLOOKUP(B2534,'Pre-Summary'!$AZ$6:$BE$65,3,FALSE),"")</f>
        <v/>
      </c>
      <c r="AI2534" s="10" t="str">
        <f>IFERROR(VLOOKUP(B2534,'Pre-Summary'!$AZ$6:$BE$65,5,FALSE),"")</f>
        <v/>
      </c>
      <c r="AJ2534" s="10" t="str">
        <f>IFERROR(VLOOKUP(B2534,'Pre-Summary'!$AZ$6:$BE$65,4,FALSE),"")</f>
        <v/>
      </c>
      <c r="AK2534" s="10" t="str">
        <f>IFERROR(VLOOKUP(B2534,'Pre-Summary'!$AZ$6:$BE$65,6,FALSE),"")</f>
        <v/>
      </c>
      <c r="AL2534" s="10" t="str">
        <f>IFERROR(VLOOKUP(B2534,'Pre-Summary'!$BG$6:$BL$44,3,FALSE),"")</f>
        <v/>
      </c>
      <c r="AM2534" s="10" t="str">
        <f>IFERROR(VLOOKUP(B2534,'Pre-Summary'!$BG$6:$BL$44,4,FALSE),"")</f>
        <v/>
      </c>
    </row>
    <row r="2535" spans="2:39" ht="15" customHeight="1" x14ac:dyDescent="0.3">
      <c r="B2535">
        <v>253.2</v>
      </c>
      <c r="C2535" t="str">
        <f>IFERROR(VLOOKUP(B2535,'Pre-Summary'!$DI$6:$DM$23,4,FALSE),"")</f>
        <v/>
      </c>
      <c r="D2535" s="10" t="str">
        <f>IFERROR(VLOOKUP(B2535,'Pre-Summary'!$AT$6:$AX$14,5,FALSE),D2534)</f>
        <v>Wolfe v3: went back to modified wolfe + EDTA and switched CuSO4 to CUCl2</v>
      </c>
      <c r="E2535" s="10" t="str">
        <f>IFERROR(VLOOKUP(B2535,'Pre-Summary'!$AT$6:$AX$15,4,FALSE),"")</f>
        <v/>
      </c>
      <c r="F2535">
        <f>IFERROR(VLOOKUP(B2535,'Pre-Summary'!$AL$6:$AQ$13,6,FALSE),F2534)</f>
        <v>5.9405263157894746E-2</v>
      </c>
      <c r="G2535" t="str">
        <f>IFERROR(VLOOKUP(B2535,'Pre-Summary'!$AE$6:$AJ$85,3,FALSE),"")</f>
        <v/>
      </c>
      <c r="H2535" t="str">
        <f>IFERROR(VLOOKUP(B2535,'Pre-Summary'!$AE$6:$AJ$85,4,FALSE),"")</f>
        <v/>
      </c>
      <c r="I2535" t="str">
        <f>IFERROR(VLOOKUP(B2535,'Pre-Summary'!$AE$6:$AJ$85,5,FALSE),"")</f>
        <v/>
      </c>
      <c r="J2535" s="45" t="str">
        <f>IFERROR(VLOOKUP(B2535,'Pre-Summary'!$AE$6:$AJ$85,6, FALSE),"")</f>
        <v/>
      </c>
      <c r="K2535" s="45" t="str">
        <f>IFERROR(VLOOKUP(B2535,'Pre-Summary'!$DE$6:$DG$61,3,FALSE),"")</f>
        <v/>
      </c>
      <c r="L2535" s="45" t="str">
        <f>IFERROR(VLOOKUP(B2535,'Pre-Summary'!$CU$6:$CW$36,3,FALSE),"")</f>
        <v/>
      </c>
      <c r="M2535" s="45" t="str">
        <f>IFERROR(VLOOKUP(B2535,'Pre-Summary'!$BW$6:$BY$58,2,FALSE),"")</f>
        <v/>
      </c>
      <c r="N2535" s="45" t="str">
        <f>IFERROR(VLOOKUP(B2535,'Pre-Summary'!$CD$6:$CF$64,2,FALSE),"")</f>
        <v/>
      </c>
      <c r="O2535" s="99">
        <f>IFERROR(VLOOKUP(B2535,'Pre-Summary'!$BO$6:$BQ$48,3, FALSE),O2534)</f>
        <v>1.508</v>
      </c>
      <c r="P2535" s="99">
        <f>IFERROR(VLOOKUP(B2535,'Pre-Summary'!$BS$6:$BU$35,3,FALSE),P2534)</f>
        <v>0.4</v>
      </c>
      <c r="Q2535" s="54">
        <f t="shared" si="117"/>
        <v>3.77</v>
      </c>
      <c r="R2535" s="53">
        <f>IFERROR(VLOOKUP(B2535,'Pre-Summary'!$BG$6:$BM$44,7,FALSE),R2536)</f>
        <v>0.11030801475343607</v>
      </c>
      <c r="S2535" s="53">
        <f>IFERROR(VLOOKUP(B2535,'Pre-Summary'!$BG$6:$BM$44,6,FALSE),S2536)</f>
        <v>0.11504859134187218</v>
      </c>
      <c r="T2535" s="45" t="str">
        <f>IFERROR(VLOOKUP(B2535,'Pre-Summary'!$Y$6:$AC$83, 3,FALSE),"")</f>
        <v/>
      </c>
      <c r="U2535" s="45" t="str">
        <f>IFERROR(VLOOKUP(B2535,'Pre-Summary'!$Y$6:$AC$83, 4,FALSE),"")</f>
        <v/>
      </c>
      <c r="V2535" t="str">
        <f>IFERROR(VLOOKUP(B2535,'Pre-Summary'!$Y$6:$AC$83, 5,FALSE),"")</f>
        <v/>
      </c>
      <c r="W2535" s="45" t="str">
        <f>IFERROR(VLOOKUP(B2535,'Pre-Summary'!$Y$6:$AD$83,6,FALSE),"")</f>
        <v/>
      </c>
      <c r="X2535" t="str">
        <f>IFERROR(VLOOKUP('Pre-Summary'!$DB$6:$DD$63,3,FALSE),"")</f>
        <v/>
      </c>
      <c r="Y2535" t="str">
        <f>IFERROR(VLOOKUP(B2535,'Pre-Summary'!$CR$6:$CT$36,3,FALSE),"")</f>
        <v/>
      </c>
      <c r="Z2535" s="45" t="str">
        <f>IFERROR(VLOOKUP(B2535,'Pre-Summary'!$BZ$6:$CB$63,2,FALSE),"")</f>
        <v/>
      </c>
      <c r="AA2535" s="45" t="str">
        <f>IFERROR(VLOOKUP(B2535,'Pre-Summary'!$CG$6:$CI$70,2,FALSE),"")</f>
        <v/>
      </c>
      <c r="AB2535" s="99">
        <f>IFERROR(VLOOKUP(B2535,'Pre-Summary'!$A$6:$P$178,9,FALSE),AB2536)</f>
        <v>0.38080182803021162</v>
      </c>
      <c r="AC2535" s="10">
        <f>IFERROR(VLOOKUP(Summary!B2535,'Pre-Summary'!$A$6:$P$184,5, FALSE)/100,AC2536)</f>
        <v>0.98776766666666671</v>
      </c>
      <c r="AD2535" s="10">
        <f>IFERROR(VLOOKUP(Summary!B2535,'Pre-Summary'!$A$6:$P$184,3, FALSE)/100,AD2536)</f>
        <v>2.2106666666666668E-3</v>
      </c>
      <c r="AE2535" s="10">
        <f>IFERROR(VLOOKUP(Summary!B2535,'Pre-Summary'!$A$6:$P$184,7, FALSE)/100,AE2536)</f>
        <v>1.0021666666666667E-2</v>
      </c>
      <c r="AF2535" s="99">
        <f t="shared" si="118"/>
        <v>8.4182590783212115E-4</v>
      </c>
      <c r="AG2535" s="99">
        <f t="shared" si="119"/>
        <v>3.8162689865761041E-3</v>
      </c>
      <c r="AH2535" s="10" t="str">
        <f>IFERROR(VLOOKUP(B2535,'Pre-Summary'!$AZ$6:$BE$65,3,FALSE),"")</f>
        <v/>
      </c>
      <c r="AI2535" s="10" t="str">
        <f>IFERROR(VLOOKUP(B2535,'Pre-Summary'!$AZ$6:$BE$65,5,FALSE),"")</f>
        <v/>
      </c>
      <c r="AJ2535" s="10" t="str">
        <f>IFERROR(VLOOKUP(B2535,'Pre-Summary'!$AZ$6:$BE$65,4,FALSE),"")</f>
        <v/>
      </c>
      <c r="AK2535" s="10" t="str">
        <f>IFERROR(VLOOKUP(B2535,'Pre-Summary'!$AZ$6:$BE$65,6,FALSE),"")</f>
        <v/>
      </c>
      <c r="AL2535" s="10" t="str">
        <f>IFERROR(VLOOKUP(B2535,'Pre-Summary'!$BG$6:$BL$44,3,FALSE),"")</f>
        <v/>
      </c>
      <c r="AM2535" s="10" t="str">
        <f>IFERROR(VLOOKUP(B2535,'Pre-Summary'!$BG$6:$BL$44,4,FALSE),"")</f>
        <v/>
      </c>
    </row>
    <row r="2536" spans="2:39" ht="15" customHeight="1" x14ac:dyDescent="0.3">
      <c r="B2536">
        <v>253.3</v>
      </c>
      <c r="C2536" t="str">
        <f>IFERROR(VLOOKUP(B2536,'Pre-Summary'!$DI$6:$DM$23,4,FALSE),"")</f>
        <v/>
      </c>
      <c r="D2536" s="10" t="str">
        <f>IFERROR(VLOOKUP(B2536,'Pre-Summary'!$AT$6:$AX$14,5,FALSE),D2535)</f>
        <v>Wolfe v3: went back to modified wolfe + EDTA and switched CuSO4 to CUCl2</v>
      </c>
      <c r="E2536" s="10" t="str">
        <f>IFERROR(VLOOKUP(B2536,'Pre-Summary'!$AT$6:$AX$15,4,FALSE),"")</f>
        <v/>
      </c>
      <c r="F2536">
        <f>IFERROR(VLOOKUP(B2536,'Pre-Summary'!$AL$6:$AQ$13,6,FALSE),F2535)</f>
        <v>5.9405263157894746E-2</v>
      </c>
      <c r="G2536" t="str">
        <f>IFERROR(VLOOKUP(B2536,'Pre-Summary'!$AE$6:$AJ$85,3,FALSE),"")</f>
        <v/>
      </c>
      <c r="H2536" t="str">
        <f>IFERROR(VLOOKUP(B2536,'Pre-Summary'!$AE$6:$AJ$85,4,FALSE),"")</f>
        <v/>
      </c>
      <c r="I2536" t="str">
        <f>IFERROR(VLOOKUP(B2536,'Pre-Summary'!$AE$6:$AJ$85,5,FALSE),"")</f>
        <v/>
      </c>
      <c r="J2536" s="45" t="str">
        <f>IFERROR(VLOOKUP(B2536,'Pre-Summary'!$AE$6:$AJ$85,6, FALSE),"")</f>
        <v/>
      </c>
      <c r="K2536" s="45" t="str">
        <f>IFERROR(VLOOKUP(B2536,'Pre-Summary'!$DE$6:$DG$61,3,FALSE),"")</f>
        <v/>
      </c>
      <c r="L2536" s="45" t="str">
        <f>IFERROR(VLOOKUP(B2536,'Pre-Summary'!$CU$6:$CW$36,3,FALSE),"")</f>
        <v/>
      </c>
      <c r="M2536" s="45" t="str">
        <f>IFERROR(VLOOKUP(B2536,'Pre-Summary'!$BW$6:$BY$58,2,FALSE),"")</f>
        <v/>
      </c>
      <c r="N2536" s="45" t="str">
        <f>IFERROR(VLOOKUP(B2536,'Pre-Summary'!$CD$6:$CF$64,2,FALSE),"")</f>
        <v/>
      </c>
      <c r="O2536" s="99">
        <f>IFERROR(VLOOKUP(B2536,'Pre-Summary'!$BO$6:$BQ$48,3, FALSE),O2535)</f>
        <v>1.508</v>
      </c>
      <c r="P2536" s="99">
        <f>IFERROR(VLOOKUP(B2536,'Pre-Summary'!$BS$6:$BU$35,3,FALSE),P2535)</f>
        <v>0.4</v>
      </c>
      <c r="Q2536" s="54">
        <f t="shared" si="117"/>
        <v>3.77</v>
      </c>
      <c r="R2536" s="53">
        <f>IFERROR(VLOOKUP(B2536,'Pre-Summary'!$BG$6:$BM$44,7,FALSE),R2537)</f>
        <v>0.11030801475343607</v>
      </c>
      <c r="S2536" s="53">
        <f>IFERROR(VLOOKUP(B2536,'Pre-Summary'!$BG$6:$BM$44,6,FALSE),S2537)</f>
        <v>0.11504859134187218</v>
      </c>
      <c r="T2536" s="45" t="str">
        <f>IFERROR(VLOOKUP(B2536,'Pre-Summary'!$Y$6:$AC$83, 3,FALSE),"")</f>
        <v/>
      </c>
      <c r="U2536" s="45" t="str">
        <f>IFERROR(VLOOKUP(B2536,'Pre-Summary'!$Y$6:$AC$83, 4,FALSE),"")</f>
        <v/>
      </c>
      <c r="V2536" t="str">
        <f>IFERROR(VLOOKUP(B2536,'Pre-Summary'!$Y$6:$AC$83, 5,FALSE),"")</f>
        <v/>
      </c>
      <c r="W2536" s="45" t="str">
        <f>IFERROR(VLOOKUP(B2536,'Pre-Summary'!$Y$6:$AD$83,6,FALSE),"")</f>
        <v/>
      </c>
      <c r="X2536" t="str">
        <f>IFERROR(VLOOKUP('Pre-Summary'!$DB$6:$DD$63,3,FALSE),"")</f>
        <v/>
      </c>
      <c r="Y2536" t="str">
        <f>IFERROR(VLOOKUP(B2536,'Pre-Summary'!$CR$6:$CT$36,3,FALSE),"")</f>
        <v/>
      </c>
      <c r="Z2536" s="45" t="str">
        <f>IFERROR(VLOOKUP(B2536,'Pre-Summary'!$BZ$6:$CB$63,2,FALSE),"")</f>
        <v/>
      </c>
      <c r="AA2536" s="45" t="str">
        <f>IFERROR(VLOOKUP(B2536,'Pre-Summary'!$CG$6:$CI$70,2,FALSE),"")</f>
        <v/>
      </c>
      <c r="AB2536" s="99">
        <f>IFERROR(VLOOKUP(B2536,'Pre-Summary'!$A$6:$P$178,9,FALSE),AB2537)</f>
        <v>0.38080182803021162</v>
      </c>
      <c r="AC2536" s="10">
        <f>IFERROR(VLOOKUP(Summary!B2536,'Pre-Summary'!$A$6:$P$184,5, FALSE)/100,AC2537)</f>
        <v>0.98776766666666671</v>
      </c>
      <c r="AD2536" s="10">
        <f>IFERROR(VLOOKUP(Summary!B2536,'Pre-Summary'!$A$6:$P$184,3, FALSE)/100,AD2537)</f>
        <v>2.2106666666666668E-3</v>
      </c>
      <c r="AE2536" s="10">
        <f>IFERROR(VLOOKUP(Summary!B2536,'Pre-Summary'!$A$6:$P$184,7, FALSE)/100,AE2537)</f>
        <v>1.0021666666666667E-2</v>
      </c>
      <c r="AF2536" s="99">
        <f t="shared" si="118"/>
        <v>8.4182590783212115E-4</v>
      </c>
      <c r="AG2536" s="99">
        <f t="shared" si="119"/>
        <v>3.8162689865761041E-3</v>
      </c>
      <c r="AH2536" s="10" t="str">
        <f>IFERROR(VLOOKUP(B2536,'Pre-Summary'!$AZ$6:$BE$65,3,FALSE),"")</f>
        <v/>
      </c>
      <c r="AI2536" s="10" t="str">
        <f>IFERROR(VLOOKUP(B2536,'Pre-Summary'!$AZ$6:$BE$65,5,FALSE),"")</f>
        <v/>
      </c>
      <c r="AJ2536" s="10" t="str">
        <f>IFERROR(VLOOKUP(B2536,'Pre-Summary'!$AZ$6:$BE$65,4,FALSE),"")</f>
        <v/>
      </c>
      <c r="AK2536" s="10" t="str">
        <f>IFERROR(VLOOKUP(B2536,'Pre-Summary'!$AZ$6:$BE$65,6,FALSE),"")</f>
        <v/>
      </c>
      <c r="AL2536" s="10" t="str">
        <f>IFERROR(VLOOKUP(B2536,'Pre-Summary'!$BG$6:$BL$44,3,FALSE),"")</f>
        <v/>
      </c>
      <c r="AM2536" s="10" t="str">
        <f>IFERROR(VLOOKUP(B2536,'Pre-Summary'!$BG$6:$BL$44,4,FALSE),"")</f>
        <v/>
      </c>
    </row>
    <row r="2537" spans="2:39" ht="15" customHeight="1" x14ac:dyDescent="0.3">
      <c r="B2537">
        <v>253.4</v>
      </c>
      <c r="C2537" t="str">
        <f>IFERROR(VLOOKUP(B2537,'Pre-Summary'!$DI$6:$DM$23,4,FALSE),"")</f>
        <v/>
      </c>
      <c r="D2537" s="10" t="str">
        <f>IFERROR(VLOOKUP(B2537,'Pre-Summary'!$AT$6:$AX$14,5,FALSE),D2536)</f>
        <v>Wolfe v3: went back to modified wolfe + EDTA and switched CuSO4 to CUCl2</v>
      </c>
      <c r="E2537" s="10" t="str">
        <f>IFERROR(VLOOKUP(B2537,'Pre-Summary'!$AT$6:$AX$15,4,FALSE),"")</f>
        <v/>
      </c>
      <c r="F2537">
        <f>IFERROR(VLOOKUP(B2537,'Pre-Summary'!$AL$6:$AQ$13,6,FALSE),F2536)</f>
        <v>5.9405263157894746E-2</v>
      </c>
      <c r="G2537" t="str">
        <f>IFERROR(VLOOKUP(B2537,'Pre-Summary'!$AE$6:$AJ$85,3,FALSE),"")</f>
        <v/>
      </c>
      <c r="H2537" t="str">
        <f>IFERROR(VLOOKUP(B2537,'Pre-Summary'!$AE$6:$AJ$85,4,FALSE),"")</f>
        <v/>
      </c>
      <c r="I2537" t="str">
        <f>IFERROR(VLOOKUP(B2537,'Pre-Summary'!$AE$6:$AJ$85,5,FALSE),"")</f>
        <v/>
      </c>
      <c r="J2537" s="45" t="str">
        <f>IFERROR(VLOOKUP(B2537,'Pre-Summary'!$AE$6:$AJ$85,6, FALSE),"")</f>
        <v/>
      </c>
      <c r="K2537" s="45" t="str">
        <f>IFERROR(VLOOKUP(B2537,'Pre-Summary'!$DE$6:$DG$61,3,FALSE),"")</f>
        <v/>
      </c>
      <c r="L2537" s="45" t="str">
        <f>IFERROR(VLOOKUP(B2537,'Pre-Summary'!$CU$6:$CW$36,3,FALSE),"")</f>
        <v/>
      </c>
      <c r="M2537" s="45" t="str">
        <f>IFERROR(VLOOKUP(B2537,'Pre-Summary'!$BW$6:$BY$58,2,FALSE),"")</f>
        <v/>
      </c>
      <c r="N2537" s="45" t="str">
        <f>IFERROR(VLOOKUP(B2537,'Pre-Summary'!$CD$6:$CF$64,2,FALSE),"")</f>
        <v/>
      </c>
      <c r="O2537" s="99">
        <f>IFERROR(VLOOKUP(B2537,'Pre-Summary'!$BO$6:$BQ$48,3, FALSE),O2536)</f>
        <v>1.508</v>
      </c>
      <c r="P2537" s="99">
        <f>IFERROR(VLOOKUP(B2537,'Pre-Summary'!$BS$6:$BU$35,3,FALSE),P2536)</f>
        <v>0.4</v>
      </c>
      <c r="Q2537" s="54">
        <f t="shared" si="117"/>
        <v>3.77</v>
      </c>
      <c r="R2537" s="53">
        <f>IFERROR(VLOOKUP(B2537,'Pre-Summary'!$BG$6:$BM$44,7,FALSE),R2538)</f>
        <v>0.11030801475343607</v>
      </c>
      <c r="S2537" s="53">
        <f>IFERROR(VLOOKUP(B2537,'Pre-Summary'!$BG$6:$BM$44,6,FALSE),S2538)</f>
        <v>0.11504859134187218</v>
      </c>
      <c r="T2537" s="45" t="str">
        <f>IFERROR(VLOOKUP(B2537,'Pre-Summary'!$Y$6:$AC$83, 3,FALSE),"")</f>
        <v/>
      </c>
      <c r="U2537" s="45" t="str">
        <f>IFERROR(VLOOKUP(B2537,'Pre-Summary'!$Y$6:$AC$83, 4,FALSE),"")</f>
        <v/>
      </c>
      <c r="V2537" t="str">
        <f>IFERROR(VLOOKUP(B2537,'Pre-Summary'!$Y$6:$AC$83, 5,FALSE),"")</f>
        <v/>
      </c>
      <c r="W2537" s="45" t="str">
        <f>IFERROR(VLOOKUP(B2537,'Pre-Summary'!$Y$6:$AD$83,6,FALSE),"")</f>
        <v/>
      </c>
      <c r="X2537" t="str">
        <f>IFERROR(VLOOKUP('Pre-Summary'!$DB$6:$DD$63,3,FALSE),"")</f>
        <v/>
      </c>
      <c r="Y2537" t="str">
        <f>IFERROR(VLOOKUP(B2537,'Pre-Summary'!$CR$6:$CT$36,3,FALSE),"")</f>
        <v/>
      </c>
      <c r="Z2537" s="45" t="str">
        <f>IFERROR(VLOOKUP(B2537,'Pre-Summary'!$BZ$6:$CB$63,2,FALSE),"")</f>
        <v/>
      </c>
      <c r="AA2537" s="45" t="str">
        <f>IFERROR(VLOOKUP(B2537,'Pre-Summary'!$CG$6:$CI$70,2,FALSE),"")</f>
        <v/>
      </c>
      <c r="AB2537" s="99">
        <f>IFERROR(VLOOKUP(B2537,'Pre-Summary'!$A$6:$P$178,9,FALSE),AB2538)</f>
        <v>0.38080182803021162</v>
      </c>
      <c r="AC2537" s="10">
        <f>IFERROR(VLOOKUP(Summary!B2537,'Pre-Summary'!$A$6:$P$184,5, FALSE)/100,AC2538)</f>
        <v>0.98776766666666671</v>
      </c>
      <c r="AD2537" s="10">
        <f>IFERROR(VLOOKUP(Summary!B2537,'Pre-Summary'!$A$6:$P$184,3, FALSE)/100,AD2538)</f>
        <v>2.2106666666666668E-3</v>
      </c>
      <c r="AE2537" s="10">
        <f>IFERROR(VLOOKUP(Summary!B2537,'Pre-Summary'!$A$6:$P$184,7, FALSE)/100,AE2538)</f>
        <v>1.0021666666666667E-2</v>
      </c>
      <c r="AF2537" s="99">
        <f t="shared" si="118"/>
        <v>8.4182590783212115E-4</v>
      </c>
      <c r="AG2537" s="99">
        <f t="shared" si="119"/>
        <v>3.8162689865761041E-3</v>
      </c>
      <c r="AH2537" s="10" t="str">
        <f>IFERROR(VLOOKUP(B2537,'Pre-Summary'!$AZ$6:$BE$65,3,FALSE),"")</f>
        <v/>
      </c>
      <c r="AI2537" s="10" t="str">
        <f>IFERROR(VLOOKUP(B2537,'Pre-Summary'!$AZ$6:$BE$65,5,FALSE),"")</f>
        <v/>
      </c>
      <c r="AJ2537" s="10" t="str">
        <f>IFERROR(VLOOKUP(B2537,'Pre-Summary'!$AZ$6:$BE$65,4,FALSE),"")</f>
        <v/>
      </c>
      <c r="AK2537" s="10" t="str">
        <f>IFERROR(VLOOKUP(B2537,'Pre-Summary'!$AZ$6:$BE$65,6,FALSE),"")</f>
        <v/>
      </c>
      <c r="AL2537" s="10" t="str">
        <f>IFERROR(VLOOKUP(B2537,'Pre-Summary'!$BG$6:$BL$44,3,FALSE),"")</f>
        <v/>
      </c>
      <c r="AM2537" s="10" t="str">
        <f>IFERROR(VLOOKUP(B2537,'Pre-Summary'!$BG$6:$BL$44,4,FALSE),"")</f>
        <v/>
      </c>
    </row>
    <row r="2538" spans="2:39" ht="15" customHeight="1" x14ac:dyDescent="0.3">
      <c r="B2538">
        <v>253.5</v>
      </c>
      <c r="C2538" t="str">
        <f>IFERROR(VLOOKUP(B2538,'Pre-Summary'!$DI$6:$DM$23,4,FALSE),"")</f>
        <v/>
      </c>
      <c r="D2538" s="10" t="str">
        <f>IFERROR(VLOOKUP(B2538,'Pre-Summary'!$AT$6:$AX$14,5,FALSE),D2537)</f>
        <v>Wolfe v3: went back to modified wolfe + EDTA and switched CuSO4 to CUCl2</v>
      </c>
      <c r="E2538" s="10" t="str">
        <f>IFERROR(VLOOKUP(B2538,'Pre-Summary'!$AT$6:$AX$15,4,FALSE),"")</f>
        <v/>
      </c>
      <c r="F2538">
        <f>IFERROR(VLOOKUP(B2538,'Pre-Summary'!$AL$6:$AQ$13,6,FALSE),F2537)</f>
        <v>5.9405263157894746E-2</v>
      </c>
      <c r="G2538" t="str">
        <f>IFERROR(VLOOKUP(B2538,'Pre-Summary'!$AE$6:$AJ$85,3,FALSE),"")</f>
        <v/>
      </c>
      <c r="H2538" t="str">
        <f>IFERROR(VLOOKUP(B2538,'Pre-Summary'!$AE$6:$AJ$85,4,FALSE),"")</f>
        <v/>
      </c>
      <c r="I2538" t="str">
        <f>IFERROR(VLOOKUP(B2538,'Pre-Summary'!$AE$6:$AJ$85,5,FALSE),"")</f>
        <v/>
      </c>
      <c r="J2538" s="45" t="str">
        <f>IFERROR(VLOOKUP(B2538,'Pre-Summary'!$AE$6:$AJ$85,6, FALSE),"")</f>
        <v/>
      </c>
      <c r="K2538" s="45" t="str">
        <f>IFERROR(VLOOKUP(B2538,'Pre-Summary'!$DE$6:$DG$61,3,FALSE),"")</f>
        <v/>
      </c>
      <c r="L2538" s="45" t="str">
        <f>IFERROR(VLOOKUP(B2538,'Pre-Summary'!$CU$6:$CW$36,3,FALSE),"")</f>
        <v/>
      </c>
      <c r="M2538" s="45" t="str">
        <f>IFERROR(VLOOKUP(B2538,'Pre-Summary'!$BW$6:$BY$58,2,FALSE),"")</f>
        <v/>
      </c>
      <c r="N2538" s="45" t="str">
        <f>IFERROR(VLOOKUP(B2538,'Pre-Summary'!$CD$6:$CF$64,2,FALSE),"")</f>
        <v/>
      </c>
      <c r="O2538" s="99">
        <f>IFERROR(VLOOKUP(B2538,'Pre-Summary'!$BO$6:$BQ$48,3, FALSE),O2537)</f>
        <v>1.508</v>
      </c>
      <c r="P2538" s="99">
        <f>IFERROR(VLOOKUP(B2538,'Pre-Summary'!$BS$6:$BU$35,3,FALSE),P2537)</f>
        <v>0.4</v>
      </c>
      <c r="Q2538" s="54">
        <f t="shared" si="117"/>
        <v>3.77</v>
      </c>
      <c r="R2538" s="53">
        <f>IFERROR(VLOOKUP(B2538,'Pre-Summary'!$BG$6:$BM$44,7,FALSE),R2539)</f>
        <v>0.11030801475343607</v>
      </c>
      <c r="S2538" s="53">
        <f>IFERROR(VLOOKUP(B2538,'Pre-Summary'!$BG$6:$BM$44,6,FALSE),S2539)</f>
        <v>0.11504859134187218</v>
      </c>
      <c r="T2538" s="45" t="str">
        <f>IFERROR(VLOOKUP(B2538,'Pre-Summary'!$Y$6:$AC$83, 3,FALSE),"")</f>
        <v/>
      </c>
      <c r="U2538" s="45" t="str">
        <f>IFERROR(VLOOKUP(B2538,'Pre-Summary'!$Y$6:$AC$83, 4,FALSE),"")</f>
        <v/>
      </c>
      <c r="V2538" t="str">
        <f>IFERROR(VLOOKUP(B2538,'Pre-Summary'!$Y$6:$AC$83, 5,FALSE),"")</f>
        <v/>
      </c>
      <c r="W2538" s="45" t="str">
        <f>IFERROR(VLOOKUP(B2538,'Pre-Summary'!$Y$6:$AD$83,6,FALSE),"")</f>
        <v/>
      </c>
      <c r="X2538" t="str">
        <f>IFERROR(VLOOKUP('Pre-Summary'!$DB$6:$DD$63,3,FALSE),"")</f>
        <v/>
      </c>
      <c r="Y2538" t="str">
        <f>IFERROR(VLOOKUP(B2538,'Pre-Summary'!$CR$6:$CT$36,3,FALSE),"")</f>
        <v/>
      </c>
      <c r="Z2538" s="45" t="str">
        <f>IFERROR(VLOOKUP(B2538,'Pre-Summary'!$BZ$6:$CB$63,2,FALSE),"")</f>
        <v/>
      </c>
      <c r="AA2538" s="45" t="str">
        <f>IFERROR(VLOOKUP(B2538,'Pre-Summary'!$CG$6:$CI$70,2,FALSE),"")</f>
        <v/>
      </c>
      <c r="AB2538" s="99">
        <f>IFERROR(VLOOKUP(B2538,'Pre-Summary'!$A$6:$P$178,9,FALSE),AB2539)</f>
        <v>0.38080182803021162</v>
      </c>
      <c r="AC2538" s="10">
        <f>IFERROR(VLOOKUP(Summary!B2538,'Pre-Summary'!$A$6:$P$184,5, FALSE)/100,AC2539)</f>
        <v>0.98776766666666671</v>
      </c>
      <c r="AD2538" s="10">
        <f>IFERROR(VLOOKUP(Summary!B2538,'Pre-Summary'!$A$6:$P$184,3, FALSE)/100,AD2539)</f>
        <v>2.2106666666666668E-3</v>
      </c>
      <c r="AE2538" s="10">
        <f>IFERROR(VLOOKUP(Summary!B2538,'Pre-Summary'!$A$6:$P$184,7, FALSE)/100,AE2539)</f>
        <v>1.0021666666666667E-2</v>
      </c>
      <c r="AF2538" s="99">
        <f t="shared" si="118"/>
        <v>8.4182590783212115E-4</v>
      </c>
      <c r="AG2538" s="99">
        <f t="shared" si="119"/>
        <v>3.8162689865761041E-3</v>
      </c>
      <c r="AH2538" s="10" t="str">
        <f>IFERROR(VLOOKUP(B2538,'Pre-Summary'!$AZ$6:$BE$65,3,FALSE),"")</f>
        <v/>
      </c>
      <c r="AI2538" s="10" t="str">
        <f>IFERROR(VLOOKUP(B2538,'Pre-Summary'!$AZ$6:$BE$65,5,FALSE),"")</f>
        <v/>
      </c>
      <c r="AJ2538" s="10" t="str">
        <f>IFERROR(VLOOKUP(B2538,'Pre-Summary'!$AZ$6:$BE$65,4,FALSE),"")</f>
        <v/>
      </c>
      <c r="AK2538" s="10" t="str">
        <f>IFERROR(VLOOKUP(B2538,'Pre-Summary'!$AZ$6:$BE$65,6,FALSE),"")</f>
        <v/>
      </c>
      <c r="AL2538" s="10" t="str">
        <f>IFERROR(VLOOKUP(B2538,'Pre-Summary'!$BG$6:$BL$44,3,FALSE),"")</f>
        <v/>
      </c>
      <c r="AM2538" s="10" t="str">
        <f>IFERROR(VLOOKUP(B2538,'Pre-Summary'!$BG$6:$BL$44,4,FALSE),"")</f>
        <v/>
      </c>
    </row>
    <row r="2539" spans="2:39" ht="15" customHeight="1" x14ac:dyDescent="0.3">
      <c r="B2539">
        <v>253.6</v>
      </c>
      <c r="C2539" t="str">
        <f>IFERROR(VLOOKUP(B2539,'Pre-Summary'!$DI$6:$DM$23,4,FALSE),"")</f>
        <v/>
      </c>
      <c r="D2539" s="10" t="str">
        <f>IFERROR(VLOOKUP(B2539,'Pre-Summary'!$AT$6:$AX$14,5,FALSE),D2538)</f>
        <v>Wolfe v3: went back to modified wolfe + EDTA and switched CuSO4 to CUCl2</v>
      </c>
      <c r="E2539" s="10" t="str">
        <f>IFERROR(VLOOKUP(B2539,'Pre-Summary'!$AT$6:$AX$15,4,FALSE),"")</f>
        <v/>
      </c>
      <c r="F2539">
        <f>IFERROR(VLOOKUP(B2539,'Pre-Summary'!$AL$6:$AQ$13,6,FALSE),F2538)</f>
        <v>5.9405263157894746E-2</v>
      </c>
      <c r="G2539" t="str">
        <f>IFERROR(VLOOKUP(B2539,'Pre-Summary'!$AE$6:$AJ$85,3,FALSE),"")</f>
        <v/>
      </c>
      <c r="H2539" t="str">
        <f>IFERROR(VLOOKUP(B2539,'Pre-Summary'!$AE$6:$AJ$85,4,FALSE),"")</f>
        <v/>
      </c>
      <c r="I2539" t="str">
        <f>IFERROR(VLOOKUP(B2539,'Pre-Summary'!$AE$6:$AJ$85,5,FALSE),"")</f>
        <v/>
      </c>
      <c r="J2539" s="45" t="str">
        <f>IFERROR(VLOOKUP(B2539,'Pre-Summary'!$AE$6:$AJ$85,6, FALSE),"")</f>
        <v/>
      </c>
      <c r="K2539" s="45" t="str">
        <f>IFERROR(VLOOKUP(B2539,'Pre-Summary'!$DE$6:$DG$61,3,FALSE),"")</f>
        <v/>
      </c>
      <c r="L2539" s="45" t="str">
        <f>IFERROR(VLOOKUP(B2539,'Pre-Summary'!$CU$6:$CW$36,3,FALSE),"")</f>
        <v/>
      </c>
      <c r="M2539" s="45" t="str">
        <f>IFERROR(VLOOKUP(B2539,'Pre-Summary'!$BW$6:$BY$58,2,FALSE),"")</f>
        <v/>
      </c>
      <c r="N2539" s="45" t="str">
        <f>IFERROR(VLOOKUP(B2539,'Pre-Summary'!$CD$6:$CF$64,2,FALSE),"")</f>
        <v/>
      </c>
      <c r="O2539" s="99">
        <f>IFERROR(VLOOKUP(B2539,'Pre-Summary'!$BO$6:$BQ$48,3, FALSE),O2538)</f>
        <v>1.508</v>
      </c>
      <c r="P2539" s="99">
        <f>IFERROR(VLOOKUP(B2539,'Pre-Summary'!$BS$6:$BU$35,3,FALSE),P2538)</f>
        <v>0.4</v>
      </c>
      <c r="Q2539" s="54">
        <f t="shared" si="117"/>
        <v>3.77</v>
      </c>
      <c r="R2539" s="53">
        <f>IFERROR(VLOOKUP(B2539,'Pre-Summary'!$BG$6:$BM$44,7,FALSE),R2540)</f>
        <v>0.11030801475343607</v>
      </c>
      <c r="S2539" s="53">
        <f>IFERROR(VLOOKUP(B2539,'Pre-Summary'!$BG$6:$BM$44,6,FALSE),S2540)</f>
        <v>0.11504859134187218</v>
      </c>
      <c r="T2539" s="45" t="str">
        <f>IFERROR(VLOOKUP(B2539,'Pre-Summary'!$Y$6:$AC$83, 3,FALSE),"")</f>
        <v/>
      </c>
      <c r="U2539" s="45" t="str">
        <f>IFERROR(VLOOKUP(B2539,'Pre-Summary'!$Y$6:$AC$83, 4,FALSE),"")</f>
        <v/>
      </c>
      <c r="V2539" t="str">
        <f>IFERROR(VLOOKUP(B2539,'Pre-Summary'!$Y$6:$AC$83, 5,FALSE),"")</f>
        <v/>
      </c>
      <c r="W2539" s="45" t="str">
        <f>IFERROR(VLOOKUP(B2539,'Pre-Summary'!$Y$6:$AD$83,6,FALSE),"")</f>
        <v/>
      </c>
      <c r="X2539" t="str">
        <f>IFERROR(VLOOKUP('Pre-Summary'!$DB$6:$DD$63,3,FALSE),"")</f>
        <v/>
      </c>
      <c r="Y2539" t="str">
        <f>IFERROR(VLOOKUP(B2539,'Pre-Summary'!$CR$6:$CT$36,3,FALSE),"")</f>
        <v/>
      </c>
      <c r="Z2539" s="45" t="str">
        <f>IFERROR(VLOOKUP(B2539,'Pre-Summary'!$BZ$6:$CB$63,2,FALSE),"")</f>
        <v/>
      </c>
      <c r="AA2539" s="45" t="str">
        <f>IFERROR(VLOOKUP(B2539,'Pre-Summary'!$CG$6:$CI$70,2,FALSE),"")</f>
        <v/>
      </c>
      <c r="AB2539" s="99">
        <f>IFERROR(VLOOKUP(B2539,'Pre-Summary'!$A$6:$P$178,9,FALSE),AB2540)</f>
        <v>0.38080182803021162</v>
      </c>
      <c r="AC2539" s="10">
        <f>IFERROR(VLOOKUP(Summary!B2539,'Pre-Summary'!$A$6:$P$184,5, FALSE)/100,AC2540)</f>
        <v>0.98776766666666671</v>
      </c>
      <c r="AD2539" s="10">
        <f>IFERROR(VLOOKUP(Summary!B2539,'Pre-Summary'!$A$6:$P$184,3, FALSE)/100,AD2540)</f>
        <v>2.2106666666666668E-3</v>
      </c>
      <c r="AE2539" s="10">
        <f>IFERROR(VLOOKUP(Summary!B2539,'Pre-Summary'!$A$6:$P$184,7, FALSE)/100,AE2540)</f>
        <v>1.0021666666666667E-2</v>
      </c>
      <c r="AF2539" s="99">
        <f t="shared" si="118"/>
        <v>8.4182590783212115E-4</v>
      </c>
      <c r="AG2539" s="99">
        <f t="shared" si="119"/>
        <v>3.8162689865761041E-3</v>
      </c>
      <c r="AH2539" s="10" t="str">
        <f>IFERROR(VLOOKUP(B2539,'Pre-Summary'!$AZ$6:$BE$65,3,FALSE),"")</f>
        <v/>
      </c>
      <c r="AI2539" s="10" t="str">
        <f>IFERROR(VLOOKUP(B2539,'Pre-Summary'!$AZ$6:$BE$65,5,FALSE),"")</f>
        <v/>
      </c>
      <c r="AJ2539" s="10" t="str">
        <f>IFERROR(VLOOKUP(B2539,'Pre-Summary'!$AZ$6:$BE$65,4,FALSE),"")</f>
        <v/>
      </c>
      <c r="AK2539" s="10" t="str">
        <f>IFERROR(VLOOKUP(B2539,'Pre-Summary'!$AZ$6:$BE$65,6,FALSE),"")</f>
        <v/>
      </c>
      <c r="AL2539" s="10" t="str">
        <f>IFERROR(VLOOKUP(B2539,'Pre-Summary'!$BG$6:$BL$44,3,FALSE),"")</f>
        <v/>
      </c>
      <c r="AM2539" s="10" t="str">
        <f>IFERROR(VLOOKUP(B2539,'Pre-Summary'!$BG$6:$BL$44,4,FALSE),"")</f>
        <v/>
      </c>
    </row>
    <row r="2540" spans="2:39" ht="15" customHeight="1" x14ac:dyDescent="0.3">
      <c r="B2540">
        <v>253.7</v>
      </c>
      <c r="C2540" t="str">
        <f>IFERROR(VLOOKUP(B2540,'Pre-Summary'!$DI$6:$DM$23,4,FALSE),"")</f>
        <v/>
      </c>
      <c r="D2540" s="10" t="str">
        <f>IFERROR(VLOOKUP(B2540,'Pre-Summary'!$AT$6:$AX$14,5,FALSE),D2539)</f>
        <v>Wolfe v3: went back to modified wolfe + EDTA and switched CuSO4 to CUCl2</v>
      </c>
      <c r="E2540" s="10" t="str">
        <f>IFERROR(VLOOKUP(B2540,'Pre-Summary'!$AT$6:$AX$15,4,FALSE),"")</f>
        <v/>
      </c>
      <c r="F2540">
        <f>IFERROR(VLOOKUP(B2540,'Pre-Summary'!$AL$6:$AQ$13,6,FALSE),F2539)</f>
        <v>5.9405263157894746E-2</v>
      </c>
      <c r="G2540" t="str">
        <f>IFERROR(VLOOKUP(B2540,'Pre-Summary'!$AE$6:$AJ$85,3,FALSE),"")</f>
        <v/>
      </c>
      <c r="H2540" t="str">
        <f>IFERROR(VLOOKUP(B2540,'Pre-Summary'!$AE$6:$AJ$85,4,FALSE),"")</f>
        <v/>
      </c>
      <c r="I2540" t="str">
        <f>IFERROR(VLOOKUP(B2540,'Pre-Summary'!$AE$6:$AJ$85,5,FALSE),"")</f>
        <v/>
      </c>
      <c r="J2540" s="45" t="str">
        <f>IFERROR(VLOOKUP(B2540,'Pre-Summary'!$AE$6:$AJ$85,6, FALSE),"")</f>
        <v/>
      </c>
      <c r="K2540" s="45" t="str">
        <f>IFERROR(VLOOKUP(B2540,'Pre-Summary'!$DE$6:$DG$61,3,FALSE),"")</f>
        <v/>
      </c>
      <c r="L2540" s="45" t="str">
        <f>IFERROR(VLOOKUP(B2540,'Pre-Summary'!$CU$6:$CW$36,3,FALSE),"")</f>
        <v/>
      </c>
      <c r="M2540" s="45" t="str">
        <f>IFERROR(VLOOKUP(B2540,'Pre-Summary'!$BW$6:$BY$58,2,FALSE),"")</f>
        <v/>
      </c>
      <c r="N2540" s="45" t="str">
        <f>IFERROR(VLOOKUP(B2540,'Pre-Summary'!$CD$6:$CF$64,2,FALSE),"")</f>
        <v/>
      </c>
      <c r="O2540" s="99">
        <f>IFERROR(VLOOKUP(B2540,'Pre-Summary'!$BO$6:$BQ$48,3, FALSE),O2539)</f>
        <v>1.508</v>
      </c>
      <c r="P2540" s="99">
        <f>IFERROR(VLOOKUP(B2540,'Pre-Summary'!$BS$6:$BU$35,3,FALSE),P2539)</f>
        <v>0.4</v>
      </c>
      <c r="Q2540" s="54">
        <f t="shared" si="117"/>
        <v>3.77</v>
      </c>
      <c r="R2540" s="53">
        <f>IFERROR(VLOOKUP(B2540,'Pre-Summary'!$BG$6:$BM$44,7,FALSE),R2541)</f>
        <v>0.11030801475343607</v>
      </c>
      <c r="S2540" s="53">
        <f>IFERROR(VLOOKUP(B2540,'Pre-Summary'!$BG$6:$BM$44,6,FALSE),S2541)</f>
        <v>0.11504859134187218</v>
      </c>
      <c r="T2540" s="45" t="str">
        <f>IFERROR(VLOOKUP(B2540,'Pre-Summary'!$Y$6:$AC$83, 3,FALSE),"")</f>
        <v/>
      </c>
      <c r="U2540" s="45" t="str">
        <f>IFERROR(VLOOKUP(B2540,'Pre-Summary'!$Y$6:$AC$83, 4,FALSE),"")</f>
        <v/>
      </c>
      <c r="V2540" t="str">
        <f>IFERROR(VLOOKUP(B2540,'Pre-Summary'!$Y$6:$AC$83, 5,FALSE),"")</f>
        <v/>
      </c>
      <c r="W2540" s="45" t="str">
        <f>IFERROR(VLOOKUP(B2540,'Pre-Summary'!$Y$6:$AD$83,6,FALSE),"")</f>
        <v/>
      </c>
      <c r="X2540" t="str">
        <f>IFERROR(VLOOKUP('Pre-Summary'!$DB$6:$DD$63,3,FALSE),"")</f>
        <v/>
      </c>
      <c r="Y2540" t="str">
        <f>IFERROR(VLOOKUP(B2540,'Pre-Summary'!$CR$6:$CT$36,3,FALSE),"")</f>
        <v/>
      </c>
      <c r="Z2540" s="45" t="str">
        <f>IFERROR(VLOOKUP(B2540,'Pre-Summary'!$BZ$6:$CB$63,2,FALSE),"")</f>
        <v/>
      </c>
      <c r="AA2540" s="45" t="str">
        <f>IFERROR(VLOOKUP(B2540,'Pre-Summary'!$CG$6:$CI$70,2,FALSE),"")</f>
        <v/>
      </c>
      <c r="AB2540" s="99">
        <f>IFERROR(VLOOKUP(B2540,'Pre-Summary'!$A$6:$P$178,9,FALSE),AB2541)</f>
        <v>0.38080182803021162</v>
      </c>
      <c r="AC2540" s="10">
        <f>IFERROR(VLOOKUP(Summary!B2540,'Pre-Summary'!$A$6:$P$184,5, FALSE)/100,AC2541)</f>
        <v>0.98776766666666671</v>
      </c>
      <c r="AD2540" s="10">
        <f>IFERROR(VLOOKUP(Summary!B2540,'Pre-Summary'!$A$6:$P$184,3, FALSE)/100,AD2541)</f>
        <v>2.2106666666666668E-3</v>
      </c>
      <c r="AE2540" s="10">
        <f>IFERROR(VLOOKUP(Summary!B2540,'Pre-Summary'!$A$6:$P$184,7, FALSE)/100,AE2541)</f>
        <v>1.0021666666666667E-2</v>
      </c>
      <c r="AF2540" s="99">
        <f t="shared" si="118"/>
        <v>8.4182590783212115E-4</v>
      </c>
      <c r="AG2540" s="99">
        <f t="shared" si="119"/>
        <v>3.8162689865761041E-3</v>
      </c>
      <c r="AH2540" s="10" t="str">
        <f>IFERROR(VLOOKUP(B2540,'Pre-Summary'!$AZ$6:$BE$65,3,FALSE),"")</f>
        <v/>
      </c>
      <c r="AI2540" s="10" t="str">
        <f>IFERROR(VLOOKUP(B2540,'Pre-Summary'!$AZ$6:$BE$65,5,FALSE),"")</f>
        <v/>
      </c>
      <c r="AJ2540" s="10" t="str">
        <f>IFERROR(VLOOKUP(B2540,'Pre-Summary'!$AZ$6:$BE$65,4,FALSE),"")</f>
        <v/>
      </c>
      <c r="AK2540" s="10" t="str">
        <f>IFERROR(VLOOKUP(B2540,'Pre-Summary'!$AZ$6:$BE$65,6,FALSE),"")</f>
        <v/>
      </c>
      <c r="AL2540" s="10" t="str">
        <f>IFERROR(VLOOKUP(B2540,'Pre-Summary'!$BG$6:$BL$44,3,FALSE),"")</f>
        <v/>
      </c>
      <c r="AM2540" s="10" t="str">
        <f>IFERROR(VLOOKUP(B2540,'Pre-Summary'!$BG$6:$BL$44,4,FALSE),"")</f>
        <v/>
      </c>
    </row>
    <row r="2541" spans="2:39" ht="15" customHeight="1" x14ac:dyDescent="0.3">
      <c r="B2541">
        <v>253.8</v>
      </c>
      <c r="C2541" t="str">
        <f>IFERROR(VLOOKUP(B2541,'Pre-Summary'!$DI$6:$DM$23,4,FALSE),"")</f>
        <v/>
      </c>
      <c r="D2541" s="10" t="str">
        <f>IFERROR(VLOOKUP(B2541,'Pre-Summary'!$AT$6:$AX$14,5,FALSE),D2540)</f>
        <v>Wolfe v3: went back to modified wolfe + EDTA and switched CuSO4 to CUCl2</v>
      </c>
      <c r="E2541" s="10" t="str">
        <f>IFERROR(VLOOKUP(B2541,'Pre-Summary'!$AT$6:$AX$15,4,FALSE),"")</f>
        <v/>
      </c>
      <c r="F2541">
        <f>IFERROR(VLOOKUP(B2541,'Pre-Summary'!$AL$6:$AQ$13,6,FALSE),F2540)</f>
        <v>5.9405263157894746E-2</v>
      </c>
      <c r="G2541" t="str">
        <f>IFERROR(VLOOKUP(B2541,'Pre-Summary'!$AE$6:$AJ$85,3,FALSE),"")</f>
        <v/>
      </c>
      <c r="H2541" t="str">
        <f>IFERROR(VLOOKUP(B2541,'Pre-Summary'!$AE$6:$AJ$85,4,FALSE),"")</f>
        <v/>
      </c>
      <c r="I2541" t="str">
        <f>IFERROR(VLOOKUP(B2541,'Pre-Summary'!$AE$6:$AJ$85,5,FALSE),"")</f>
        <v/>
      </c>
      <c r="J2541" s="45" t="str">
        <f>IFERROR(VLOOKUP(B2541,'Pre-Summary'!$AE$6:$AJ$85,6, FALSE),"")</f>
        <v/>
      </c>
      <c r="K2541" s="45" t="str">
        <f>IFERROR(VLOOKUP(B2541,'Pre-Summary'!$DE$6:$DG$61,3,FALSE),"")</f>
        <v/>
      </c>
      <c r="L2541" s="45" t="str">
        <f>IFERROR(VLOOKUP(B2541,'Pre-Summary'!$CU$6:$CW$36,3,FALSE),"")</f>
        <v/>
      </c>
      <c r="M2541" s="45" t="str">
        <f>IFERROR(VLOOKUP(B2541,'Pre-Summary'!$BW$6:$BY$58,2,FALSE),"")</f>
        <v/>
      </c>
      <c r="N2541" s="45" t="str">
        <f>IFERROR(VLOOKUP(B2541,'Pre-Summary'!$CD$6:$CF$64,2,FALSE),"")</f>
        <v/>
      </c>
      <c r="O2541" s="99">
        <f>IFERROR(VLOOKUP(B2541,'Pre-Summary'!$BO$6:$BQ$48,3, FALSE),O2540)</f>
        <v>1.508</v>
      </c>
      <c r="P2541" s="99">
        <f>IFERROR(VLOOKUP(B2541,'Pre-Summary'!$BS$6:$BU$35,3,FALSE),P2540)</f>
        <v>0.4</v>
      </c>
      <c r="Q2541" s="54">
        <f t="shared" si="117"/>
        <v>3.77</v>
      </c>
      <c r="R2541" s="53">
        <f>IFERROR(VLOOKUP(B2541,'Pre-Summary'!$BG$6:$BM$44,7,FALSE),R2542)</f>
        <v>0.11030801475343607</v>
      </c>
      <c r="S2541" s="53">
        <f>IFERROR(VLOOKUP(B2541,'Pre-Summary'!$BG$6:$BM$44,6,FALSE),S2542)</f>
        <v>0.11504859134187218</v>
      </c>
      <c r="T2541" s="45" t="str">
        <f>IFERROR(VLOOKUP(B2541,'Pre-Summary'!$Y$6:$AC$83, 3,FALSE),"")</f>
        <v/>
      </c>
      <c r="U2541" s="45" t="str">
        <f>IFERROR(VLOOKUP(B2541,'Pre-Summary'!$Y$6:$AC$83, 4,FALSE),"")</f>
        <v/>
      </c>
      <c r="V2541" t="str">
        <f>IFERROR(VLOOKUP(B2541,'Pre-Summary'!$Y$6:$AC$83, 5,FALSE),"")</f>
        <v/>
      </c>
      <c r="W2541" s="45" t="str">
        <f>IFERROR(VLOOKUP(B2541,'Pre-Summary'!$Y$6:$AD$83,6,FALSE),"")</f>
        <v/>
      </c>
      <c r="X2541" t="str">
        <f>IFERROR(VLOOKUP('Pre-Summary'!$DB$6:$DD$63,3,FALSE),"")</f>
        <v/>
      </c>
      <c r="Y2541" t="str">
        <f>IFERROR(VLOOKUP(B2541,'Pre-Summary'!$CR$6:$CT$36,3,FALSE),"")</f>
        <v/>
      </c>
      <c r="Z2541" s="45" t="str">
        <f>IFERROR(VLOOKUP(B2541,'Pre-Summary'!$BZ$6:$CB$63,2,FALSE),"")</f>
        <v/>
      </c>
      <c r="AA2541" s="45" t="str">
        <f>IFERROR(VLOOKUP(B2541,'Pre-Summary'!$CG$6:$CI$70,2,FALSE),"")</f>
        <v/>
      </c>
      <c r="AB2541" s="99">
        <f>IFERROR(VLOOKUP(B2541,'Pre-Summary'!$A$6:$P$178,9,FALSE),AB2542)</f>
        <v>0.38080182803021162</v>
      </c>
      <c r="AC2541" s="10">
        <f>IFERROR(VLOOKUP(Summary!B2541,'Pre-Summary'!$A$6:$P$184,5, FALSE)/100,AC2542)</f>
        <v>0.98776766666666671</v>
      </c>
      <c r="AD2541" s="10">
        <f>IFERROR(VLOOKUP(Summary!B2541,'Pre-Summary'!$A$6:$P$184,3, FALSE)/100,AD2542)</f>
        <v>2.2106666666666668E-3</v>
      </c>
      <c r="AE2541" s="10">
        <f>IFERROR(VLOOKUP(Summary!B2541,'Pre-Summary'!$A$6:$P$184,7, FALSE)/100,AE2542)</f>
        <v>1.0021666666666667E-2</v>
      </c>
      <c r="AF2541" s="99">
        <f t="shared" si="118"/>
        <v>8.4182590783212115E-4</v>
      </c>
      <c r="AG2541" s="99">
        <f t="shared" si="119"/>
        <v>3.8162689865761041E-3</v>
      </c>
      <c r="AH2541" s="10" t="str">
        <f>IFERROR(VLOOKUP(B2541,'Pre-Summary'!$AZ$6:$BE$65,3,FALSE),"")</f>
        <v/>
      </c>
      <c r="AI2541" s="10" t="str">
        <f>IFERROR(VLOOKUP(B2541,'Pre-Summary'!$AZ$6:$BE$65,5,FALSE),"")</f>
        <v/>
      </c>
      <c r="AJ2541" s="10" t="str">
        <f>IFERROR(VLOOKUP(B2541,'Pre-Summary'!$AZ$6:$BE$65,4,FALSE),"")</f>
        <v/>
      </c>
      <c r="AK2541" s="10" t="str">
        <f>IFERROR(VLOOKUP(B2541,'Pre-Summary'!$AZ$6:$BE$65,6,FALSE),"")</f>
        <v/>
      </c>
      <c r="AL2541" s="10" t="str">
        <f>IFERROR(VLOOKUP(B2541,'Pre-Summary'!$BG$6:$BL$44,3,FALSE),"")</f>
        <v/>
      </c>
      <c r="AM2541" s="10" t="str">
        <f>IFERROR(VLOOKUP(B2541,'Pre-Summary'!$BG$6:$BL$44,4,FALSE),"")</f>
        <v/>
      </c>
    </row>
    <row r="2542" spans="2:39" ht="15" customHeight="1" x14ac:dyDescent="0.3">
      <c r="B2542">
        <v>253.9</v>
      </c>
      <c r="C2542" t="str">
        <f>IFERROR(VLOOKUP(B2542,'Pre-Summary'!$DI$6:$DM$23,4,FALSE),"")</f>
        <v/>
      </c>
      <c r="D2542" s="10" t="str">
        <f>IFERROR(VLOOKUP(B2542,'Pre-Summary'!$AT$6:$AX$14,5,FALSE),D2541)</f>
        <v>Wolfe v3: went back to modified wolfe + EDTA and switched CuSO4 to CUCl2</v>
      </c>
      <c r="E2542" s="10" t="str">
        <f>IFERROR(VLOOKUP(B2542,'Pre-Summary'!$AT$6:$AX$15,4,FALSE),"")</f>
        <v/>
      </c>
      <c r="F2542">
        <f>IFERROR(VLOOKUP(B2542,'Pre-Summary'!$AL$6:$AQ$13,6,FALSE),F2541)</f>
        <v>5.9405263157894746E-2</v>
      </c>
      <c r="G2542" t="str">
        <f>IFERROR(VLOOKUP(B2542,'Pre-Summary'!$AE$6:$AJ$85,3,FALSE),"")</f>
        <v/>
      </c>
      <c r="H2542" t="str">
        <f>IFERROR(VLOOKUP(B2542,'Pre-Summary'!$AE$6:$AJ$85,4,FALSE),"")</f>
        <v/>
      </c>
      <c r="I2542" t="str">
        <f>IFERROR(VLOOKUP(B2542,'Pre-Summary'!$AE$6:$AJ$85,5,FALSE),"")</f>
        <v/>
      </c>
      <c r="J2542" s="45" t="str">
        <f>IFERROR(VLOOKUP(B2542,'Pre-Summary'!$AE$6:$AJ$85,6, FALSE),"")</f>
        <v/>
      </c>
      <c r="K2542" s="45" t="str">
        <f>IFERROR(VLOOKUP(B2542,'Pre-Summary'!$DE$6:$DG$61,3,FALSE),"")</f>
        <v/>
      </c>
      <c r="L2542" s="45" t="str">
        <f>IFERROR(VLOOKUP(B2542,'Pre-Summary'!$CU$6:$CW$36,3,FALSE),"")</f>
        <v/>
      </c>
      <c r="M2542" s="45" t="str">
        <f>IFERROR(VLOOKUP(B2542,'Pre-Summary'!$BW$6:$BY$58,2,FALSE),"")</f>
        <v/>
      </c>
      <c r="N2542" s="45" t="str">
        <f>IFERROR(VLOOKUP(B2542,'Pre-Summary'!$CD$6:$CF$64,2,FALSE),"")</f>
        <v/>
      </c>
      <c r="O2542" s="99">
        <f>IFERROR(VLOOKUP(B2542,'Pre-Summary'!$BO$6:$BQ$48,3, FALSE),O2541)</f>
        <v>1.508</v>
      </c>
      <c r="P2542" s="99">
        <f>IFERROR(VLOOKUP(B2542,'Pre-Summary'!$BS$6:$BU$35,3,FALSE),P2541)</f>
        <v>0.4</v>
      </c>
      <c r="Q2542" s="54">
        <f t="shared" si="117"/>
        <v>3.77</v>
      </c>
      <c r="R2542" s="53">
        <f>IFERROR(VLOOKUP(B2542,'Pre-Summary'!$BG$6:$BM$44,7,FALSE),R2543)</f>
        <v>0.11030801475343607</v>
      </c>
      <c r="S2542" s="53">
        <f>IFERROR(VLOOKUP(B2542,'Pre-Summary'!$BG$6:$BM$44,6,FALSE),S2543)</f>
        <v>0.11504859134187218</v>
      </c>
      <c r="T2542" s="45" t="str">
        <f>IFERROR(VLOOKUP(B2542,'Pre-Summary'!$Y$6:$AC$83, 3,FALSE),"")</f>
        <v/>
      </c>
      <c r="U2542" s="45" t="str">
        <f>IFERROR(VLOOKUP(B2542,'Pre-Summary'!$Y$6:$AC$83, 4,FALSE),"")</f>
        <v/>
      </c>
      <c r="V2542" t="str">
        <f>IFERROR(VLOOKUP(B2542,'Pre-Summary'!$Y$6:$AC$83, 5,FALSE),"")</f>
        <v/>
      </c>
      <c r="W2542" s="45" t="str">
        <f>IFERROR(VLOOKUP(B2542,'Pre-Summary'!$Y$6:$AD$83,6,FALSE),"")</f>
        <v/>
      </c>
      <c r="X2542" t="str">
        <f>IFERROR(VLOOKUP('Pre-Summary'!$DB$6:$DD$63,3,FALSE),"")</f>
        <v/>
      </c>
      <c r="Y2542" t="str">
        <f>IFERROR(VLOOKUP(B2542,'Pre-Summary'!$CR$6:$CT$36,3,FALSE),"")</f>
        <v/>
      </c>
      <c r="Z2542" s="45" t="str">
        <f>IFERROR(VLOOKUP(B2542,'Pre-Summary'!$BZ$6:$CB$63,2,FALSE),"")</f>
        <v/>
      </c>
      <c r="AA2542" s="45" t="str">
        <f>IFERROR(VLOOKUP(B2542,'Pre-Summary'!$CG$6:$CI$70,2,FALSE),"")</f>
        <v/>
      </c>
      <c r="AB2542" s="99">
        <f>IFERROR(VLOOKUP(B2542,'Pre-Summary'!$A$6:$P$178,9,FALSE),AB2543)</f>
        <v>0.38080182803021162</v>
      </c>
      <c r="AC2542" s="10">
        <f>IFERROR(VLOOKUP(Summary!B2542,'Pre-Summary'!$A$6:$P$184,5, FALSE)/100,AC2543)</f>
        <v>0.98776766666666671</v>
      </c>
      <c r="AD2542" s="10">
        <f>IFERROR(VLOOKUP(Summary!B2542,'Pre-Summary'!$A$6:$P$184,3, FALSE)/100,AD2543)</f>
        <v>2.2106666666666668E-3</v>
      </c>
      <c r="AE2542" s="10">
        <f>IFERROR(VLOOKUP(Summary!B2542,'Pre-Summary'!$A$6:$P$184,7, FALSE)/100,AE2543)</f>
        <v>1.0021666666666667E-2</v>
      </c>
      <c r="AF2542" s="99">
        <f t="shared" si="118"/>
        <v>8.4182590783212115E-4</v>
      </c>
      <c r="AG2542" s="99">
        <f t="shared" si="119"/>
        <v>3.8162689865761041E-3</v>
      </c>
      <c r="AH2542" s="10" t="str">
        <f>IFERROR(VLOOKUP(B2542,'Pre-Summary'!$AZ$6:$BE$65,3,FALSE),"")</f>
        <v/>
      </c>
      <c r="AI2542" s="10" t="str">
        <f>IFERROR(VLOOKUP(B2542,'Pre-Summary'!$AZ$6:$BE$65,5,FALSE),"")</f>
        <v/>
      </c>
      <c r="AJ2542" s="10" t="str">
        <f>IFERROR(VLOOKUP(B2542,'Pre-Summary'!$AZ$6:$BE$65,4,FALSE),"")</f>
        <v/>
      </c>
      <c r="AK2542" s="10" t="str">
        <f>IFERROR(VLOOKUP(B2542,'Pre-Summary'!$AZ$6:$BE$65,6,FALSE),"")</f>
        <v/>
      </c>
      <c r="AL2542" s="10" t="str">
        <f>IFERROR(VLOOKUP(B2542,'Pre-Summary'!$BG$6:$BL$44,3,FALSE),"")</f>
        <v/>
      </c>
      <c r="AM2542" s="10" t="str">
        <f>IFERROR(VLOOKUP(B2542,'Pre-Summary'!$BG$6:$BL$44,4,FALSE),"")</f>
        <v/>
      </c>
    </row>
    <row r="2543" spans="2:39" ht="15" customHeight="1" x14ac:dyDescent="0.3">
      <c r="B2543">
        <v>254</v>
      </c>
      <c r="C2543" t="str">
        <f>IFERROR(VLOOKUP(B2543,'Pre-Summary'!$DI$6:$DM$23,4,FALSE),"")</f>
        <v/>
      </c>
      <c r="D2543" s="10" t="str">
        <f>IFERROR(VLOOKUP(B2543,'Pre-Summary'!$AT$6:$AX$14,5,FALSE),D2542)</f>
        <v>Wolfe v3: went back to modified wolfe + EDTA and switched CuSO4 to CUCl2</v>
      </c>
      <c r="E2543" s="10" t="str">
        <f>IFERROR(VLOOKUP(B2543,'Pre-Summary'!$AT$6:$AX$15,4,FALSE),"")</f>
        <v/>
      </c>
      <c r="F2543">
        <f>IFERROR(VLOOKUP(B2543,'Pre-Summary'!$AL$6:$AQ$13,6,FALSE),F2542)</f>
        <v>5.9405263157894746E-2</v>
      </c>
      <c r="G2543" t="str">
        <f>IFERROR(VLOOKUP(B2543,'Pre-Summary'!$AE$6:$AJ$85,3,FALSE),"")</f>
        <v/>
      </c>
      <c r="H2543" t="str">
        <f>IFERROR(VLOOKUP(B2543,'Pre-Summary'!$AE$6:$AJ$85,4,FALSE),"")</f>
        <v/>
      </c>
      <c r="I2543" t="str">
        <f>IFERROR(VLOOKUP(B2543,'Pre-Summary'!$AE$6:$AJ$85,5,FALSE),"")</f>
        <v/>
      </c>
      <c r="J2543" s="45" t="str">
        <f>IFERROR(VLOOKUP(B2543,'Pre-Summary'!$AE$6:$AJ$85,6, FALSE),"")</f>
        <v/>
      </c>
      <c r="K2543" s="45" t="str">
        <f>IFERROR(VLOOKUP(B2543,'Pre-Summary'!$DE$6:$DG$61,3,FALSE),"")</f>
        <v/>
      </c>
      <c r="L2543" s="45" t="str">
        <f>IFERROR(VLOOKUP(B2543,'Pre-Summary'!$CU$6:$CW$36,3,FALSE),"")</f>
        <v/>
      </c>
      <c r="M2543" s="45" t="str">
        <f>IFERROR(VLOOKUP(B2543,'Pre-Summary'!$BW$6:$BY$58,2,FALSE),"")</f>
        <v/>
      </c>
      <c r="N2543" s="45" t="str">
        <f>IFERROR(VLOOKUP(B2543,'Pre-Summary'!$CD$6:$CF$64,2,FALSE),"")</f>
        <v/>
      </c>
      <c r="O2543" s="99">
        <f>IFERROR(VLOOKUP(B2543,'Pre-Summary'!$BO$6:$BQ$48,3, FALSE),O2542)</f>
        <v>1.508</v>
      </c>
      <c r="P2543" s="99">
        <f>IFERROR(VLOOKUP(B2543,'Pre-Summary'!$BS$6:$BU$35,3,FALSE),P2542)</f>
        <v>0.4</v>
      </c>
      <c r="Q2543" s="54">
        <f t="shared" si="117"/>
        <v>3.77</v>
      </c>
      <c r="R2543" s="53">
        <f>IFERROR(VLOOKUP(B2543,'Pre-Summary'!$BG$6:$BM$44,7,FALSE),R2544)</f>
        <v>0.11030801475343607</v>
      </c>
      <c r="S2543" s="53">
        <f>IFERROR(VLOOKUP(B2543,'Pre-Summary'!$BG$6:$BM$44,6,FALSE),S2544)</f>
        <v>0.11504859134187218</v>
      </c>
      <c r="T2543" s="45" t="str">
        <f>IFERROR(VLOOKUP(B2543,'Pre-Summary'!$Y$6:$AC$83, 3,FALSE),"")</f>
        <v/>
      </c>
      <c r="U2543" s="45" t="str">
        <f>IFERROR(VLOOKUP(B2543,'Pre-Summary'!$Y$6:$AC$83, 4,FALSE),"")</f>
        <v/>
      </c>
      <c r="V2543" t="str">
        <f>IFERROR(VLOOKUP(B2543,'Pre-Summary'!$Y$6:$AC$83, 5,FALSE),"")</f>
        <v/>
      </c>
      <c r="W2543" s="45" t="str">
        <f>IFERROR(VLOOKUP(B2543,'Pre-Summary'!$Y$6:$AD$83,6,FALSE),"")</f>
        <v/>
      </c>
      <c r="X2543" t="str">
        <f>IFERROR(VLOOKUP('Pre-Summary'!$DB$6:$DD$63,3,FALSE),"")</f>
        <v/>
      </c>
      <c r="Y2543" t="str">
        <f>IFERROR(VLOOKUP(B2543,'Pre-Summary'!$CR$6:$CT$36,3,FALSE),"")</f>
        <v/>
      </c>
      <c r="Z2543" s="45" t="str">
        <f>IFERROR(VLOOKUP(B2543,'Pre-Summary'!$BZ$6:$CB$63,2,FALSE),"")</f>
        <v/>
      </c>
      <c r="AA2543" s="45" t="str">
        <f>IFERROR(VLOOKUP(B2543,'Pre-Summary'!$CG$6:$CI$70,2,FALSE),"")</f>
        <v/>
      </c>
      <c r="AB2543" s="99">
        <f>IFERROR(VLOOKUP(B2543,'Pre-Summary'!$A$6:$P$178,9,FALSE),AB2544)</f>
        <v>0.38080182803021162</v>
      </c>
      <c r="AC2543" s="10">
        <f>IFERROR(VLOOKUP(Summary!B2543,'Pre-Summary'!$A$6:$P$184,5, FALSE)/100,AC2544)</f>
        <v>0.98776766666666671</v>
      </c>
      <c r="AD2543" s="10">
        <f>IFERROR(VLOOKUP(Summary!B2543,'Pre-Summary'!$A$6:$P$184,3, FALSE)/100,AD2544)</f>
        <v>2.2106666666666668E-3</v>
      </c>
      <c r="AE2543" s="10">
        <f>IFERROR(VLOOKUP(Summary!B2543,'Pre-Summary'!$A$6:$P$184,7, FALSE)/100,AE2544)</f>
        <v>1.0021666666666667E-2</v>
      </c>
      <c r="AF2543" s="99">
        <f t="shared" si="118"/>
        <v>8.4182590783212115E-4</v>
      </c>
      <c r="AG2543" s="99">
        <f t="shared" si="119"/>
        <v>3.8162689865761041E-3</v>
      </c>
      <c r="AH2543" s="10" t="str">
        <f>IFERROR(VLOOKUP(B2543,'Pre-Summary'!$AZ$6:$BE$65,3,FALSE),"")</f>
        <v/>
      </c>
      <c r="AI2543" s="10" t="str">
        <f>IFERROR(VLOOKUP(B2543,'Pre-Summary'!$AZ$6:$BE$65,5,FALSE),"")</f>
        <v/>
      </c>
      <c r="AJ2543" s="10" t="str">
        <f>IFERROR(VLOOKUP(B2543,'Pre-Summary'!$AZ$6:$BE$65,4,FALSE),"")</f>
        <v/>
      </c>
      <c r="AK2543" s="10" t="str">
        <f>IFERROR(VLOOKUP(B2543,'Pre-Summary'!$AZ$6:$BE$65,6,FALSE),"")</f>
        <v/>
      </c>
      <c r="AL2543" s="10" t="str">
        <f>IFERROR(VLOOKUP(B2543,'Pre-Summary'!$BG$6:$BL$44,3,FALSE),"")</f>
        <v/>
      </c>
      <c r="AM2543" s="10" t="str">
        <f>IFERROR(VLOOKUP(B2543,'Pre-Summary'!$BG$6:$BL$44,4,FALSE),"")</f>
        <v/>
      </c>
    </row>
    <row r="2544" spans="2:39" ht="15" customHeight="1" x14ac:dyDescent="0.3">
      <c r="B2544">
        <v>254.1</v>
      </c>
      <c r="C2544" t="str">
        <f>IFERROR(VLOOKUP(B2544,'Pre-Summary'!$DI$6:$DM$23,4,FALSE),"")</f>
        <v/>
      </c>
      <c r="D2544" s="10" t="str">
        <f>IFERROR(VLOOKUP(B2544,'Pre-Summary'!$AT$6:$AX$14,5,FALSE),D2543)</f>
        <v>Wolfe v3: went back to modified wolfe + EDTA and switched CuSO4 to CUCl2</v>
      </c>
      <c r="E2544" s="10" t="str">
        <f>IFERROR(VLOOKUP(B2544,'Pre-Summary'!$AT$6:$AX$15,4,FALSE),"")</f>
        <v/>
      </c>
      <c r="F2544">
        <f>IFERROR(VLOOKUP(B2544,'Pre-Summary'!$AL$6:$AQ$13,6,FALSE),F2543)</f>
        <v>5.9405263157894746E-2</v>
      </c>
      <c r="G2544" t="str">
        <f>IFERROR(VLOOKUP(B2544,'Pre-Summary'!$AE$6:$AJ$85,3,FALSE),"")</f>
        <v/>
      </c>
      <c r="H2544" t="str">
        <f>IFERROR(VLOOKUP(B2544,'Pre-Summary'!$AE$6:$AJ$85,4,FALSE),"")</f>
        <v/>
      </c>
      <c r="I2544" t="str">
        <f>IFERROR(VLOOKUP(B2544,'Pre-Summary'!$AE$6:$AJ$85,5,FALSE),"")</f>
        <v/>
      </c>
      <c r="J2544" s="45" t="str">
        <f>IFERROR(VLOOKUP(B2544,'Pre-Summary'!$AE$6:$AJ$85,6, FALSE),"")</f>
        <v/>
      </c>
      <c r="K2544" s="45" t="str">
        <f>IFERROR(VLOOKUP(B2544,'Pre-Summary'!$DE$6:$DG$61,3,FALSE),"")</f>
        <v/>
      </c>
      <c r="L2544" s="45" t="str">
        <f>IFERROR(VLOOKUP(B2544,'Pre-Summary'!$CU$6:$CW$36,3,FALSE),"")</f>
        <v/>
      </c>
      <c r="M2544" s="45" t="str">
        <f>IFERROR(VLOOKUP(B2544,'Pre-Summary'!$BW$6:$BY$58,2,FALSE),"")</f>
        <v/>
      </c>
      <c r="N2544" s="45" t="str">
        <f>IFERROR(VLOOKUP(B2544,'Pre-Summary'!$CD$6:$CF$64,2,FALSE),"")</f>
        <v/>
      </c>
      <c r="O2544" s="99">
        <f>IFERROR(VLOOKUP(B2544,'Pre-Summary'!$BO$6:$BQ$48,3, FALSE),O2543)</f>
        <v>1.508</v>
      </c>
      <c r="P2544" s="99">
        <f>IFERROR(VLOOKUP(B2544,'Pre-Summary'!$BS$6:$BU$35,3,FALSE),P2543)</f>
        <v>0.4</v>
      </c>
      <c r="Q2544" s="54">
        <f t="shared" si="117"/>
        <v>3.77</v>
      </c>
      <c r="R2544" s="53">
        <f>IFERROR(VLOOKUP(B2544,'Pre-Summary'!$BG$6:$BM$44,7,FALSE),R2545)</f>
        <v>0.11030801475343607</v>
      </c>
      <c r="S2544" s="53">
        <f>IFERROR(VLOOKUP(B2544,'Pre-Summary'!$BG$6:$BM$44,6,FALSE),S2545)</f>
        <v>0.11504859134187218</v>
      </c>
      <c r="T2544" s="45" t="str">
        <f>IFERROR(VLOOKUP(B2544,'Pre-Summary'!$Y$6:$AC$83, 3,FALSE),"")</f>
        <v/>
      </c>
      <c r="U2544" s="45" t="str">
        <f>IFERROR(VLOOKUP(B2544,'Pre-Summary'!$Y$6:$AC$83, 4,FALSE),"")</f>
        <v/>
      </c>
      <c r="V2544" t="str">
        <f>IFERROR(VLOOKUP(B2544,'Pre-Summary'!$Y$6:$AC$83, 5,FALSE),"")</f>
        <v/>
      </c>
      <c r="W2544" s="45" t="str">
        <f>IFERROR(VLOOKUP(B2544,'Pre-Summary'!$Y$6:$AD$83,6,FALSE),"")</f>
        <v/>
      </c>
      <c r="X2544" t="str">
        <f>IFERROR(VLOOKUP('Pre-Summary'!$DB$6:$DD$63,3,FALSE),"")</f>
        <v/>
      </c>
      <c r="Y2544" t="str">
        <f>IFERROR(VLOOKUP(B2544,'Pre-Summary'!$CR$6:$CT$36,3,FALSE),"")</f>
        <v/>
      </c>
      <c r="Z2544" s="45" t="str">
        <f>IFERROR(VLOOKUP(B2544,'Pre-Summary'!$BZ$6:$CB$63,2,FALSE),"")</f>
        <v/>
      </c>
      <c r="AA2544" s="45" t="str">
        <f>IFERROR(VLOOKUP(B2544,'Pre-Summary'!$CG$6:$CI$70,2,FALSE),"")</f>
        <v/>
      </c>
      <c r="AB2544" s="99">
        <f>IFERROR(VLOOKUP(B2544,'Pre-Summary'!$A$6:$P$178,9,FALSE),AB2545)</f>
        <v>0.37499300891044984</v>
      </c>
      <c r="AC2544" s="10">
        <f>IFERROR(VLOOKUP(Summary!B2544,'Pre-Summary'!$A$6:$P$184,5, FALSE)/100,AC2545)</f>
        <v>0.98701300000000003</v>
      </c>
      <c r="AD2544" s="10">
        <f>IFERROR(VLOOKUP(Summary!B2544,'Pre-Summary'!$A$6:$P$184,3, FALSE)/100,AD2545)</f>
        <v>4.0270000000000002E-3</v>
      </c>
      <c r="AE2544" s="10">
        <f>IFERROR(VLOOKUP(Summary!B2544,'Pre-Summary'!$A$6:$P$184,7, FALSE)/100,AE2545)</f>
        <v>8.960333333333334E-3</v>
      </c>
      <c r="AF2544" s="99">
        <f t="shared" si="118"/>
        <v>1.5100968468823815E-3</v>
      </c>
      <c r="AG2544" s="99">
        <f t="shared" si="119"/>
        <v>3.3600623575072677E-3</v>
      </c>
      <c r="AH2544" s="10" t="str">
        <f>IFERROR(VLOOKUP(B2544,'Pre-Summary'!$AZ$6:$BE$65,3,FALSE),"")</f>
        <v/>
      </c>
      <c r="AI2544" s="10" t="str">
        <f>IFERROR(VLOOKUP(B2544,'Pre-Summary'!$AZ$6:$BE$65,5,FALSE),"")</f>
        <v/>
      </c>
      <c r="AJ2544" s="10" t="str">
        <f>IFERROR(VLOOKUP(B2544,'Pre-Summary'!$AZ$6:$BE$65,4,FALSE),"")</f>
        <v/>
      </c>
      <c r="AK2544" s="10" t="str">
        <f>IFERROR(VLOOKUP(B2544,'Pre-Summary'!$AZ$6:$BE$65,6,FALSE),"")</f>
        <v/>
      </c>
      <c r="AL2544" s="10" t="str">
        <f>IFERROR(VLOOKUP(B2544,'Pre-Summary'!$BG$6:$BL$44,3,FALSE),"")</f>
        <v/>
      </c>
      <c r="AM2544" s="10" t="str">
        <f>IFERROR(VLOOKUP(B2544,'Pre-Summary'!$BG$6:$BL$44,4,FALSE),"")</f>
        <v/>
      </c>
    </row>
    <row r="2545" spans="2:39" ht="15" customHeight="1" x14ac:dyDescent="0.3">
      <c r="B2545">
        <v>254.2</v>
      </c>
      <c r="C2545" t="str">
        <f>IFERROR(VLOOKUP(B2545,'Pre-Summary'!$DI$6:$DM$23,4,FALSE),"")</f>
        <v/>
      </c>
      <c r="D2545" s="10" t="str">
        <f>IFERROR(VLOOKUP(B2545,'Pre-Summary'!$AT$6:$AX$14,5,FALSE),D2544)</f>
        <v>Wolfe v3: went back to modified wolfe + EDTA and switched CuSO4 to CUCl2</v>
      </c>
      <c r="E2545" s="10" t="str">
        <f>IFERROR(VLOOKUP(B2545,'Pre-Summary'!$AT$6:$AX$15,4,FALSE),"")</f>
        <v/>
      </c>
      <c r="F2545">
        <f>IFERROR(VLOOKUP(B2545,'Pre-Summary'!$AL$6:$AQ$13,6,FALSE),F2544)</f>
        <v>5.9405263157894746E-2</v>
      </c>
      <c r="G2545" t="str">
        <f>IFERROR(VLOOKUP(B2545,'Pre-Summary'!$AE$6:$AJ$85,3,FALSE),"")</f>
        <v/>
      </c>
      <c r="H2545" t="str">
        <f>IFERROR(VLOOKUP(B2545,'Pre-Summary'!$AE$6:$AJ$85,4,FALSE),"")</f>
        <v/>
      </c>
      <c r="I2545" t="str">
        <f>IFERROR(VLOOKUP(B2545,'Pre-Summary'!$AE$6:$AJ$85,5,FALSE),"")</f>
        <v/>
      </c>
      <c r="J2545" s="45" t="str">
        <f>IFERROR(VLOOKUP(B2545,'Pre-Summary'!$AE$6:$AJ$85,6, FALSE),"")</f>
        <v/>
      </c>
      <c r="K2545" s="45" t="str">
        <f>IFERROR(VLOOKUP(B2545,'Pre-Summary'!$DE$6:$DG$61,3,FALSE),"")</f>
        <v/>
      </c>
      <c r="L2545" s="45" t="str">
        <f>IFERROR(VLOOKUP(B2545,'Pre-Summary'!$CU$6:$CW$36,3,FALSE),"")</f>
        <v/>
      </c>
      <c r="M2545" s="45" t="str">
        <f>IFERROR(VLOOKUP(B2545,'Pre-Summary'!$BW$6:$BY$58,2,FALSE),"")</f>
        <v/>
      </c>
      <c r="N2545" s="45" t="str">
        <f>IFERROR(VLOOKUP(B2545,'Pre-Summary'!$CD$6:$CF$64,2,FALSE),"")</f>
        <v/>
      </c>
      <c r="O2545" s="99">
        <f>IFERROR(VLOOKUP(B2545,'Pre-Summary'!$BO$6:$BQ$48,3, FALSE),O2544)</f>
        <v>1.508</v>
      </c>
      <c r="P2545" s="99">
        <f>IFERROR(VLOOKUP(B2545,'Pre-Summary'!$BS$6:$BU$35,3,FALSE),P2544)</f>
        <v>0.4</v>
      </c>
      <c r="Q2545" s="54">
        <f t="shared" si="117"/>
        <v>3.77</v>
      </c>
      <c r="R2545" s="53">
        <f>IFERROR(VLOOKUP(B2545,'Pre-Summary'!$BG$6:$BM$44,7,FALSE),R2546)</f>
        <v>0.11030801475343607</v>
      </c>
      <c r="S2545" s="53">
        <f>IFERROR(VLOOKUP(B2545,'Pre-Summary'!$BG$6:$BM$44,6,FALSE),S2546)</f>
        <v>0.11504859134187218</v>
      </c>
      <c r="T2545" s="45" t="str">
        <f>IFERROR(VLOOKUP(B2545,'Pre-Summary'!$Y$6:$AC$83, 3,FALSE),"")</f>
        <v/>
      </c>
      <c r="U2545" s="45" t="str">
        <f>IFERROR(VLOOKUP(B2545,'Pre-Summary'!$Y$6:$AC$83, 4,FALSE),"")</f>
        <v/>
      </c>
      <c r="V2545" t="str">
        <f>IFERROR(VLOOKUP(B2545,'Pre-Summary'!$Y$6:$AC$83, 5,FALSE),"")</f>
        <v/>
      </c>
      <c r="W2545" s="45" t="str">
        <f>IFERROR(VLOOKUP(B2545,'Pre-Summary'!$Y$6:$AD$83,6,FALSE),"")</f>
        <v/>
      </c>
      <c r="X2545" t="str">
        <f>IFERROR(VLOOKUP('Pre-Summary'!$DB$6:$DD$63,3,FALSE),"")</f>
        <v/>
      </c>
      <c r="Y2545" t="str">
        <f>IFERROR(VLOOKUP(B2545,'Pre-Summary'!$CR$6:$CT$36,3,FALSE),"")</f>
        <v/>
      </c>
      <c r="Z2545" s="45" t="str">
        <f>IFERROR(VLOOKUP(B2545,'Pre-Summary'!$BZ$6:$CB$63,2,FALSE),"")</f>
        <v/>
      </c>
      <c r="AA2545" s="45" t="str">
        <f>IFERROR(VLOOKUP(B2545,'Pre-Summary'!$CG$6:$CI$70,2,FALSE),"")</f>
        <v/>
      </c>
      <c r="AB2545" s="99">
        <f>IFERROR(VLOOKUP(B2545,'Pre-Summary'!$A$6:$P$178,9,FALSE),AB2546)</f>
        <v>0.37499300891044984</v>
      </c>
      <c r="AC2545" s="10">
        <f>IFERROR(VLOOKUP(Summary!B2545,'Pre-Summary'!$A$6:$P$184,5, FALSE)/100,AC2546)</f>
        <v>0.98701300000000003</v>
      </c>
      <c r="AD2545" s="10">
        <f>IFERROR(VLOOKUP(Summary!B2545,'Pre-Summary'!$A$6:$P$184,3, FALSE)/100,AD2546)</f>
        <v>4.0270000000000002E-3</v>
      </c>
      <c r="AE2545" s="10">
        <f>IFERROR(VLOOKUP(Summary!B2545,'Pre-Summary'!$A$6:$P$184,7, FALSE)/100,AE2546)</f>
        <v>8.960333333333334E-3</v>
      </c>
      <c r="AF2545" s="99">
        <f t="shared" si="118"/>
        <v>1.5100968468823815E-3</v>
      </c>
      <c r="AG2545" s="99">
        <f t="shared" si="119"/>
        <v>3.3600623575072677E-3</v>
      </c>
      <c r="AH2545" s="10" t="str">
        <f>IFERROR(VLOOKUP(B2545,'Pre-Summary'!$AZ$6:$BE$65,3,FALSE),"")</f>
        <v/>
      </c>
      <c r="AI2545" s="10" t="str">
        <f>IFERROR(VLOOKUP(B2545,'Pre-Summary'!$AZ$6:$BE$65,5,FALSE),"")</f>
        <v/>
      </c>
      <c r="AJ2545" s="10" t="str">
        <f>IFERROR(VLOOKUP(B2545,'Pre-Summary'!$AZ$6:$BE$65,4,FALSE),"")</f>
        <v/>
      </c>
      <c r="AK2545" s="10" t="str">
        <f>IFERROR(VLOOKUP(B2545,'Pre-Summary'!$AZ$6:$BE$65,6,FALSE),"")</f>
        <v/>
      </c>
      <c r="AL2545" s="10" t="str">
        <f>IFERROR(VLOOKUP(B2545,'Pre-Summary'!$BG$6:$BL$44,3,FALSE),"")</f>
        <v/>
      </c>
      <c r="AM2545" s="10" t="str">
        <f>IFERROR(VLOOKUP(B2545,'Pre-Summary'!$BG$6:$BL$44,4,FALSE),"")</f>
        <v/>
      </c>
    </row>
    <row r="2546" spans="2:39" ht="15" customHeight="1" x14ac:dyDescent="0.3">
      <c r="B2546">
        <v>254.3</v>
      </c>
      <c r="C2546" t="str">
        <f>IFERROR(VLOOKUP(B2546,'Pre-Summary'!$DI$6:$DM$23,4,FALSE),"")</f>
        <v/>
      </c>
      <c r="D2546" s="10" t="str">
        <f>IFERROR(VLOOKUP(B2546,'Pre-Summary'!$AT$6:$AX$14,5,FALSE),D2545)</f>
        <v>Wolfe v3: went back to modified wolfe + EDTA and switched CuSO4 to CUCl2</v>
      </c>
      <c r="E2546" s="10" t="str">
        <f>IFERROR(VLOOKUP(B2546,'Pre-Summary'!$AT$6:$AX$15,4,FALSE),"")</f>
        <v/>
      </c>
      <c r="F2546">
        <f>IFERROR(VLOOKUP(B2546,'Pre-Summary'!$AL$6:$AQ$13,6,FALSE),F2545)</f>
        <v>5.9405263157894746E-2</v>
      </c>
      <c r="G2546" t="str">
        <f>IFERROR(VLOOKUP(B2546,'Pre-Summary'!$AE$6:$AJ$85,3,FALSE),"")</f>
        <v/>
      </c>
      <c r="H2546" t="str">
        <f>IFERROR(VLOOKUP(B2546,'Pre-Summary'!$AE$6:$AJ$85,4,FALSE),"")</f>
        <v/>
      </c>
      <c r="I2546" t="str">
        <f>IFERROR(VLOOKUP(B2546,'Pre-Summary'!$AE$6:$AJ$85,5,FALSE),"")</f>
        <v/>
      </c>
      <c r="J2546" s="45" t="str">
        <f>IFERROR(VLOOKUP(B2546,'Pre-Summary'!$AE$6:$AJ$85,6, FALSE),"")</f>
        <v/>
      </c>
      <c r="K2546" s="45" t="str">
        <f>IFERROR(VLOOKUP(B2546,'Pre-Summary'!$DE$6:$DG$61,3,FALSE),"")</f>
        <v/>
      </c>
      <c r="L2546" s="45" t="str">
        <f>IFERROR(VLOOKUP(B2546,'Pre-Summary'!$CU$6:$CW$36,3,FALSE),"")</f>
        <v/>
      </c>
      <c r="M2546" s="45" t="str">
        <f>IFERROR(VLOOKUP(B2546,'Pre-Summary'!$BW$6:$BY$58,2,FALSE),"")</f>
        <v/>
      </c>
      <c r="N2546" s="45" t="str">
        <f>IFERROR(VLOOKUP(B2546,'Pre-Summary'!$CD$6:$CF$64,2,FALSE),"")</f>
        <v/>
      </c>
      <c r="O2546" s="99">
        <f>IFERROR(VLOOKUP(B2546,'Pre-Summary'!$BO$6:$BQ$48,3, FALSE),O2545)</f>
        <v>1.508</v>
      </c>
      <c r="P2546" s="99">
        <f>IFERROR(VLOOKUP(B2546,'Pre-Summary'!$BS$6:$BU$35,3,FALSE),P2545)</f>
        <v>0.4</v>
      </c>
      <c r="Q2546" s="54">
        <f t="shared" si="117"/>
        <v>3.77</v>
      </c>
      <c r="R2546" s="53">
        <f>IFERROR(VLOOKUP(B2546,'Pre-Summary'!$BG$6:$BM$44,7,FALSE),R2547)</f>
        <v>0.11030801475343607</v>
      </c>
      <c r="S2546" s="53">
        <f>IFERROR(VLOOKUP(B2546,'Pre-Summary'!$BG$6:$BM$44,6,FALSE),S2547)</f>
        <v>0.11504859134187218</v>
      </c>
      <c r="T2546" s="45" t="str">
        <f>IFERROR(VLOOKUP(B2546,'Pre-Summary'!$Y$6:$AC$83, 3,FALSE),"")</f>
        <v/>
      </c>
      <c r="U2546" s="45" t="str">
        <f>IFERROR(VLOOKUP(B2546,'Pre-Summary'!$Y$6:$AC$83, 4,FALSE),"")</f>
        <v/>
      </c>
      <c r="V2546" t="str">
        <f>IFERROR(VLOOKUP(B2546,'Pre-Summary'!$Y$6:$AC$83, 5,FALSE),"")</f>
        <v/>
      </c>
      <c r="W2546" s="45" t="str">
        <f>IFERROR(VLOOKUP(B2546,'Pre-Summary'!$Y$6:$AD$83,6,FALSE),"")</f>
        <v/>
      </c>
      <c r="X2546" t="str">
        <f>IFERROR(VLOOKUP('Pre-Summary'!$DB$6:$DD$63,3,FALSE),"")</f>
        <v/>
      </c>
      <c r="Y2546" t="str">
        <f>IFERROR(VLOOKUP(B2546,'Pre-Summary'!$CR$6:$CT$36,3,FALSE),"")</f>
        <v/>
      </c>
      <c r="Z2546" s="45" t="str">
        <f>IFERROR(VLOOKUP(B2546,'Pre-Summary'!$BZ$6:$CB$63,2,FALSE),"")</f>
        <v/>
      </c>
      <c r="AA2546" s="45" t="str">
        <f>IFERROR(VLOOKUP(B2546,'Pre-Summary'!$CG$6:$CI$70,2,FALSE),"")</f>
        <v/>
      </c>
      <c r="AB2546" s="99">
        <f>IFERROR(VLOOKUP(B2546,'Pre-Summary'!$A$6:$P$178,9,FALSE),AB2547)</f>
        <v>0.37499300891044984</v>
      </c>
      <c r="AC2546" s="10">
        <f>IFERROR(VLOOKUP(Summary!B2546,'Pre-Summary'!$A$6:$P$184,5, FALSE)/100,AC2547)</f>
        <v>0.98701300000000003</v>
      </c>
      <c r="AD2546" s="10">
        <f>IFERROR(VLOOKUP(Summary!B2546,'Pre-Summary'!$A$6:$P$184,3, FALSE)/100,AD2547)</f>
        <v>4.0270000000000002E-3</v>
      </c>
      <c r="AE2546" s="10">
        <f>IFERROR(VLOOKUP(Summary!B2546,'Pre-Summary'!$A$6:$P$184,7, FALSE)/100,AE2547)</f>
        <v>8.960333333333334E-3</v>
      </c>
      <c r="AF2546" s="99">
        <f t="shared" si="118"/>
        <v>1.5100968468823815E-3</v>
      </c>
      <c r="AG2546" s="99">
        <f t="shared" si="119"/>
        <v>3.3600623575072677E-3</v>
      </c>
      <c r="AH2546" s="10" t="str">
        <f>IFERROR(VLOOKUP(B2546,'Pre-Summary'!$AZ$6:$BE$65,3,FALSE),"")</f>
        <v/>
      </c>
      <c r="AI2546" s="10" t="str">
        <f>IFERROR(VLOOKUP(B2546,'Pre-Summary'!$AZ$6:$BE$65,5,FALSE),"")</f>
        <v/>
      </c>
      <c r="AJ2546" s="10" t="str">
        <f>IFERROR(VLOOKUP(B2546,'Pre-Summary'!$AZ$6:$BE$65,4,FALSE),"")</f>
        <v/>
      </c>
      <c r="AK2546" s="10" t="str">
        <f>IFERROR(VLOOKUP(B2546,'Pre-Summary'!$AZ$6:$BE$65,6,FALSE),"")</f>
        <v/>
      </c>
      <c r="AL2546" s="10" t="str">
        <f>IFERROR(VLOOKUP(B2546,'Pre-Summary'!$BG$6:$BL$44,3,FALSE),"")</f>
        <v/>
      </c>
      <c r="AM2546" s="10" t="str">
        <f>IFERROR(VLOOKUP(B2546,'Pre-Summary'!$BG$6:$BL$44,4,FALSE),"")</f>
        <v/>
      </c>
    </row>
    <row r="2547" spans="2:39" ht="15" customHeight="1" x14ac:dyDescent="0.3">
      <c r="B2547">
        <v>254.4</v>
      </c>
      <c r="C2547" t="str">
        <f>IFERROR(VLOOKUP(B2547,'Pre-Summary'!$DI$6:$DM$23,4,FALSE),"")</f>
        <v/>
      </c>
      <c r="D2547" s="10" t="str">
        <f>IFERROR(VLOOKUP(B2547,'Pre-Summary'!$AT$6:$AX$14,5,FALSE),D2546)</f>
        <v>Wolfe v3: went back to modified wolfe + EDTA and switched CuSO4 to CUCl2</v>
      </c>
      <c r="E2547" s="10" t="str">
        <f>IFERROR(VLOOKUP(B2547,'Pre-Summary'!$AT$6:$AX$15,4,FALSE),"")</f>
        <v/>
      </c>
      <c r="F2547">
        <f>IFERROR(VLOOKUP(B2547,'Pre-Summary'!$AL$6:$AQ$13,6,FALSE),F2546)</f>
        <v>5.9405263157894746E-2</v>
      </c>
      <c r="G2547" t="str">
        <f>IFERROR(VLOOKUP(B2547,'Pre-Summary'!$AE$6:$AJ$85,3,FALSE),"")</f>
        <v/>
      </c>
      <c r="H2547" t="str">
        <f>IFERROR(VLOOKUP(B2547,'Pre-Summary'!$AE$6:$AJ$85,4,FALSE),"")</f>
        <v/>
      </c>
      <c r="I2547" t="str">
        <f>IFERROR(VLOOKUP(B2547,'Pre-Summary'!$AE$6:$AJ$85,5,FALSE),"")</f>
        <v/>
      </c>
      <c r="J2547" s="45" t="str">
        <f>IFERROR(VLOOKUP(B2547,'Pre-Summary'!$AE$6:$AJ$85,6, FALSE),"")</f>
        <v/>
      </c>
      <c r="K2547" s="45" t="str">
        <f>IFERROR(VLOOKUP(B2547,'Pre-Summary'!$DE$6:$DG$61,3,FALSE),"")</f>
        <v/>
      </c>
      <c r="L2547" s="45" t="str">
        <f>IFERROR(VLOOKUP(B2547,'Pre-Summary'!$CU$6:$CW$36,3,FALSE),"")</f>
        <v/>
      </c>
      <c r="M2547" s="45" t="str">
        <f>IFERROR(VLOOKUP(B2547,'Pre-Summary'!$BW$6:$BY$58,2,FALSE),"")</f>
        <v/>
      </c>
      <c r="N2547" s="45" t="str">
        <f>IFERROR(VLOOKUP(B2547,'Pre-Summary'!$CD$6:$CF$64,2,FALSE),"")</f>
        <v/>
      </c>
      <c r="O2547" s="99">
        <f>IFERROR(VLOOKUP(B2547,'Pre-Summary'!$BO$6:$BQ$48,3, FALSE),O2546)</f>
        <v>1.508</v>
      </c>
      <c r="P2547" s="99">
        <f>IFERROR(VLOOKUP(B2547,'Pre-Summary'!$BS$6:$BU$35,3,FALSE),P2546)</f>
        <v>0.4</v>
      </c>
      <c r="Q2547" s="54">
        <f t="shared" si="117"/>
        <v>3.77</v>
      </c>
      <c r="R2547" s="53">
        <f>IFERROR(VLOOKUP(B2547,'Pre-Summary'!$BG$6:$BM$44,7,FALSE),R2548)</f>
        <v>0.11030801475343607</v>
      </c>
      <c r="S2547" s="53">
        <f>IFERROR(VLOOKUP(B2547,'Pre-Summary'!$BG$6:$BM$44,6,FALSE),S2548)</f>
        <v>0.11504859134187218</v>
      </c>
      <c r="T2547" s="45" t="str">
        <f>IFERROR(VLOOKUP(B2547,'Pre-Summary'!$Y$6:$AC$83, 3,FALSE),"")</f>
        <v/>
      </c>
      <c r="U2547" s="45" t="str">
        <f>IFERROR(VLOOKUP(B2547,'Pre-Summary'!$Y$6:$AC$83, 4,FALSE),"")</f>
        <v/>
      </c>
      <c r="V2547" t="str">
        <f>IFERROR(VLOOKUP(B2547,'Pre-Summary'!$Y$6:$AC$83, 5,FALSE),"")</f>
        <v/>
      </c>
      <c r="W2547" s="45" t="str">
        <f>IFERROR(VLOOKUP(B2547,'Pre-Summary'!$Y$6:$AD$83,6,FALSE),"")</f>
        <v/>
      </c>
      <c r="X2547" t="str">
        <f>IFERROR(VLOOKUP('Pre-Summary'!$DB$6:$DD$63,3,FALSE),"")</f>
        <v/>
      </c>
      <c r="Y2547" t="str">
        <f>IFERROR(VLOOKUP(B2547,'Pre-Summary'!$CR$6:$CT$36,3,FALSE),"")</f>
        <v/>
      </c>
      <c r="Z2547" s="45" t="str">
        <f>IFERROR(VLOOKUP(B2547,'Pre-Summary'!$BZ$6:$CB$63,2,FALSE),"")</f>
        <v/>
      </c>
      <c r="AA2547" s="45" t="str">
        <f>IFERROR(VLOOKUP(B2547,'Pre-Summary'!$CG$6:$CI$70,2,FALSE),"")</f>
        <v/>
      </c>
      <c r="AB2547" s="99">
        <f>IFERROR(VLOOKUP(B2547,'Pre-Summary'!$A$6:$P$178,9,FALSE),AB2548)</f>
        <v>0.37499300891044984</v>
      </c>
      <c r="AC2547" s="10">
        <f>IFERROR(VLOOKUP(Summary!B2547,'Pre-Summary'!$A$6:$P$184,5, FALSE)/100,AC2548)</f>
        <v>0.98701300000000003</v>
      </c>
      <c r="AD2547" s="10">
        <f>IFERROR(VLOOKUP(Summary!B2547,'Pre-Summary'!$A$6:$P$184,3, FALSE)/100,AD2548)</f>
        <v>4.0270000000000002E-3</v>
      </c>
      <c r="AE2547" s="10">
        <f>IFERROR(VLOOKUP(Summary!B2547,'Pre-Summary'!$A$6:$P$184,7, FALSE)/100,AE2548)</f>
        <v>8.960333333333334E-3</v>
      </c>
      <c r="AF2547" s="99">
        <f t="shared" si="118"/>
        <v>1.5100968468823815E-3</v>
      </c>
      <c r="AG2547" s="99">
        <f t="shared" si="119"/>
        <v>3.3600623575072677E-3</v>
      </c>
      <c r="AH2547" s="10" t="str">
        <f>IFERROR(VLOOKUP(B2547,'Pre-Summary'!$AZ$6:$BE$65,3,FALSE),"")</f>
        <v/>
      </c>
      <c r="AI2547" s="10" t="str">
        <f>IFERROR(VLOOKUP(B2547,'Pre-Summary'!$AZ$6:$BE$65,5,FALSE),"")</f>
        <v/>
      </c>
      <c r="AJ2547" s="10" t="str">
        <f>IFERROR(VLOOKUP(B2547,'Pre-Summary'!$AZ$6:$BE$65,4,FALSE),"")</f>
        <v/>
      </c>
      <c r="AK2547" s="10" t="str">
        <f>IFERROR(VLOOKUP(B2547,'Pre-Summary'!$AZ$6:$BE$65,6,FALSE),"")</f>
        <v/>
      </c>
      <c r="AL2547" s="10" t="str">
        <f>IFERROR(VLOOKUP(B2547,'Pre-Summary'!$BG$6:$BL$44,3,FALSE),"")</f>
        <v/>
      </c>
      <c r="AM2547" s="10" t="str">
        <f>IFERROR(VLOOKUP(B2547,'Pre-Summary'!$BG$6:$BL$44,4,FALSE),"")</f>
        <v/>
      </c>
    </row>
    <row r="2548" spans="2:39" ht="15" customHeight="1" x14ac:dyDescent="0.3">
      <c r="B2548">
        <v>254.5</v>
      </c>
      <c r="C2548" t="str">
        <f>IFERROR(VLOOKUP(B2548,'Pre-Summary'!$DI$6:$DM$23,4,FALSE),"")</f>
        <v/>
      </c>
      <c r="D2548" s="10" t="str">
        <f>IFERROR(VLOOKUP(B2548,'Pre-Summary'!$AT$6:$AX$14,5,FALSE),D2547)</f>
        <v>Wolfe v3: went back to modified wolfe + EDTA and switched CuSO4 to CUCl2</v>
      </c>
      <c r="E2548" s="10" t="str">
        <f>IFERROR(VLOOKUP(B2548,'Pre-Summary'!$AT$6:$AX$15,4,FALSE),"")</f>
        <v/>
      </c>
      <c r="F2548">
        <f>IFERROR(VLOOKUP(B2548,'Pre-Summary'!$AL$6:$AQ$13,6,FALSE),F2547)</f>
        <v>5.9405263157894746E-2</v>
      </c>
      <c r="G2548" t="str">
        <f>IFERROR(VLOOKUP(B2548,'Pre-Summary'!$AE$6:$AJ$85,3,FALSE),"")</f>
        <v/>
      </c>
      <c r="H2548" t="str">
        <f>IFERROR(VLOOKUP(B2548,'Pre-Summary'!$AE$6:$AJ$85,4,FALSE),"")</f>
        <v/>
      </c>
      <c r="I2548" t="str">
        <f>IFERROR(VLOOKUP(B2548,'Pre-Summary'!$AE$6:$AJ$85,5,FALSE),"")</f>
        <v/>
      </c>
      <c r="J2548" s="45" t="str">
        <f>IFERROR(VLOOKUP(B2548,'Pre-Summary'!$AE$6:$AJ$85,6, FALSE),"")</f>
        <v/>
      </c>
      <c r="K2548" s="45" t="str">
        <f>IFERROR(VLOOKUP(B2548,'Pre-Summary'!$DE$6:$DG$61,3,FALSE),"")</f>
        <v/>
      </c>
      <c r="L2548" s="45" t="str">
        <f>IFERROR(VLOOKUP(B2548,'Pre-Summary'!$CU$6:$CW$36,3,FALSE),"")</f>
        <v/>
      </c>
      <c r="M2548" s="45" t="str">
        <f>IFERROR(VLOOKUP(B2548,'Pre-Summary'!$BW$6:$BY$58,2,FALSE),"")</f>
        <v/>
      </c>
      <c r="N2548" s="45" t="str">
        <f>IFERROR(VLOOKUP(B2548,'Pre-Summary'!$CD$6:$CF$64,2,FALSE),"")</f>
        <v/>
      </c>
      <c r="O2548" s="99">
        <f>IFERROR(VLOOKUP(B2548,'Pre-Summary'!$BO$6:$BQ$48,3, FALSE),O2547)</f>
        <v>1.508</v>
      </c>
      <c r="P2548" s="99">
        <f>IFERROR(VLOOKUP(B2548,'Pre-Summary'!$BS$6:$BU$35,3,FALSE),P2547)</f>
        <v>0.4</v>
      </c>
      <c r="Q2548" s="54">
        <f t="shared" si="117"/>
        <v>3.77</v>
      </c>
      <c r="R2548" s="53">
        <f>IFERROR(VLOOKUP(B2548,'Pre-Summary'!$BG$6:$BM$44,7,FALSE),R2549)</f>
        <v>0.11030801475343607</v>
      </c>
      <c r="S2548" s="53">
        <f>IFERROR(VLOOKUP(B2548,'Pre-Summary'!$BG$6:$BM$44,6,FALSE),S2549)</f>
        <v>0.11504859134187218</v>
      </c>
      <c r="T2548" s="45" t="str">
        <f>IFERROR(VLOOKUP(B2548,'Pre-Summary'!$Y$6:$AC$83, 3,FALSE),"")</f>
        <v/>
      </c>
      <c r="U2548" s="45" t="str">
        <f>IFERROR(VLOOKUP(B2548,'Pre-Summary'!$Y$6:$AC$83, 4,FALSE),"")</f>
        <v/>
      </c>
      <c r="V2548" t="str">
        <f>IFERROR(VLOOKUP(B2548,'Pre-Summary'!$Y$6:$AC$83, 5,FALSE),"")</f>
        <v/>
      </c>
      <c r="W2548" s="45" t="str">
        <f>IFERROR(VLOOKUP(B2548,'Pre-Summary'!$Y$6:$AD$83,6,FALSE),"")</f>
        <v/>
      </c>
      <c r="X2548" t="str">
        <f>IFERROR(VLOOKUP('Pre-Summary'!$DB$6:$DD$63,3,FALSE),"")</f>
        <v/>
      </c>
      <c r="Y2548" t="str">
        <f>IFERROR(VLOOKUP(B2548,'Pre-Summary'!$CR$6:$CT$36,3,FALSE),"")</f>
        <v/>
      </c>
      <c r="Z2548" s="45" t="str">
        <f>IFERROR(VLOOKUP(B2548,'Pre-Summary'!$BZ$6:$CB$63,2,FALSE),"")</f>
        <v/>
      </c>
      <c r="AA2548" s="45" t="str">
        <f>IFERROR(VLOOKUP(B2548,'Pre-Summary'!$CG$6:$CI$70,2,FALSE),"")</f>
        <v/>
      </c>
      <c r="AB2548" s="99">
        <f>IFERROR(VLOOKUP(B2548,'Pre-Summary'!$A$6:$P$178,9,FALSE),AB2549)</f>
        <v>0.37499300891044984</v>
      </c>
      <c r="AC2548" s="10">
        <f>IFERROR(VLOOKUP(Summary!B2548,'Pre-Summary'!$A$6:$P$184,5, FALSE)/100,AC2549)</f>
        <v>0.98701300000000003</v>
      </c>
      <c r="AD2548" s="10">
        <f>IFERROR(VLOOKUP(Summary!B2548,'Pre-Summary'!$A$6:$P$184,3, FALSE)/100,AD2549)</f>
        <v>4.0270000000000002E-3</v>
      </c>
      <c r="AE2548" s="10">
        <f>IFERROR(VLOOKUP(Summary!B2548,'Pre-Summary'!$A$6:$P$184,7, FALSE)/100,AE2549)</f>
        <v>8.960333333333334E-3</v>
      </c>
      <c r="AF2548" s="99">
        <f t="shared" si="118"/>
        <v>1.5100968468823815E-3</v>
      </c>
      <c r="AG2548" s="99">
        <f t="shared" si="119"/>
        <v>3.3600623575072677E-3</v>
      </c>
      <c r="AH2548" s="10" t="str">
        <f>IFERROR(VLOOKUP(B2548,'Pre-Summary'!$AZ$6:$BE$65,3,FALSE),"")</f>
        <v/>
      </c>
      <c r="AI2548" s="10" t="str">
        <f>IFERROR(VLOOKUP(B2548,'Pre-Summary'!$AZ$6:$BE$65,5,FALSE),"")</f>
        <v/>
      </c>
      <c r="AJ2548" s="10" t="str">
        <f>IFERROR(VLOOKUP(B2548,'Pre-Summary'!$AZ$6:$BE$65,4,FALSE),"")</f>
        <v/>
      </c>
      <c r="AK2548" s="10" t="str">
        <f>IFERROR(VLOOKUP(B2548,'Pre-Summary'!$AZ$6:$BE$65,6,FALSE),"")</f>
        <v/>
      </c>
      <c r="AL2548" s="10" t="str">
        <f>IFERROR(VLOOKUP(B2548,'Pre-Summary'!$BG$6:$BL$44,3,FALSE),"")</f>
        <v/>
      </c>
      <c r="AM2548" s="10" t="str">
        <f>IFERROR(VLOOKUP(B2548,'Pre-Summary'!$BG$6:$BL$44,4,FALSE),"")</f>
        <v/>
      </c>
    </row>
    <row r="2549" spans="2:39" ht="15" customHeight="1" x14ac:dyDescent="0.3">
      <c r="B2549">
        <v>254.6</v>
      </c>
      <c r="C2549" t="str">
        <f>IFERROR(VLOOKUP(B2549,'Pre-Summary'!$DI$6:$DM$23,4,FALSE),"")</f>
        <v/>
      </c>
      <c r="D2549" s="10" t="str">
        <f>IFERROR(VLOOKUP(B2549,'Pre-Summary'!$AT$6:$AX$14,5,FALSE),D2548)</f>
        <v>Wolfe v3: went back to modified wolfe + EDTA and switched CuSO4 to CUCl2</v>
      </c>
      <c r="E2549" s="10" t="str">
        <f>IFERROR(VLOOKUP(B2549,'Pre-Summary'!$AT$6:$AX$15,4,FALSE),"")</f>
        <v/>
      </c>
      <c r="F2549">
        <f>IFERROR(VLOOKUP(B2549,'Pre-Summary'!$AL$6:$AQ$13,6,FALSE),F2548)</f>
        <v>5.9405263157894746E-2</v>
      </c>
      <c r="G2549" t="str">
        <f>IFERROR(VLOOKUP(B2549,'Pre-Summary'!$AE$6:$AJ$85,3,FALSE),"")</f>
        <v/>
      </c>
      <c r="H2549" t="str">
        <f>IFERROR(VLOOKUP(B2549,'Pre-Summary'!$AE$6:$AJ$85,4,FALSE),"")</f>
        <v/>
      </c>
      <c r="I2549" t="str">
        <f>IFERROR(VLOOKUP(B2549,'Pre-Summary'!$AE$6:$AJ$85,5,FALSE),"")</f>
        <v/>
      </c>
      <c r="J2549" s="45" t="str">
        <f>IFERROR(VLOOKUP(B2549,'Pre-Summary'!$AE$6:$AJ$85,6, FALSE),"")</f>
        <v/>
      </c>
      <c r="K2549" s="45" t="str">
        <f>IFERROR(VLOOKUP(B2549,'Pre-Summary'!$DE$6:$DG$61,3,FALSE),"")</f>
        <v/>
      </c>
      <c r="L2549" s="45" t="str">
        <f>IFERROR(VLOOKUP(B2549,'Pre-Summary'!$CU$6:$CW$36,3,FALSE),"")</f>
        <v/>
      </c>
      <c r="M2549" s="45" t="str">
        <f>IFERROR(VLOOKUP(B2549,'Pre-Summary'!$BW$6:$BY$58,2,FALSE),"")</f>
        <v/>
      </c>
      <c r="N2549" s="45" t="str">
        <f>IFERROR(VLOOKUP(B2549,'Pre-Summary'!$CD$6:$CF$64,2,FALSE),"")</f>
        <v/>
      </c>
      <c r="O2549" s="99">
        <f>IFERROR(VLOOKUP(B2549,'Pre-Summary'!$BO$6:$BQ$48,3, FALSE),O2548)</f>
        <v>1.508</v>
      </c>
      <c r="P2549" s="99">
        <f>IFERROR(VLOOKUP(B2549,'Pre-Summary'!$BS$6:$BU$35,3,FALSE),P2548)</f>
        <v>0.4</v>
      </c>
      <c r="Q2549" s="54">
        <f t="shared" si="117"/>
        <v>3.77</v>
      </c>
      <c r="R2549" s="53">
        <f>IFERROR(VLOOKUP(B2549,'Pre-Summary'!$BG$6:$BM$44,7,FALSE),R2550)</f>
        <v>0.11030801475343607</v>
      </c>
      <c r="S2549" s="53">
        <f>IFERROR(VLOOKUP(B2549,'Pre-Summary'!$BG$6:$BM$44,6,FALSE),S2550)</f>
        <v>0.11504859134187218</v>
      </c>
      <c r="T2549" s="45" t="str">
        <f>IFERROR(VLOOKUP(B2549,'Pre-Summary'!$Y$6:$AC$83, 3,FALSE),"")</f>
        <v/>
      </c>
      <c r="U2549" s="45" t="str">
        <f>IFERROR(VLOOKUP(B2549,'Pre-Summary'!$Y$6:$AC$83, 4,FALSE),"")</f>
        <v/>
      </c>
      <c r="V2549" t="str">
        <f>IFERROR(VLOOKUP(B2549,'Pre-Summary'!$Y$6:$AC$83, 5,FALSE),"")</f>
        <v/>
      </c>
      <c r="W2549" s="45" t="str">
        <f>IFERROR(VLOOKUP(B2549,'Pre-Summary'!$Y$6:$AD$83,6,FALSE),"")</f>
        <v/>
      </c>
      <c r="X2549" t="str">
        <f>IFERROR(VLOOKUP('Pre-Summary'!$DB$6:$DD$63,3,FALSE),"")</f>
        <v/>
      </c>
      <c r="Y2549" t="str">
        <f>IFERROR(VLOOKUP(B2549,'Pre-Summary'!$CR$6:$CT$36,3,FALSE),"")</f>
        <v/>
      </c>
      <c r="Z2549" s="45" t="str">
        <f>IFERROR(VLOOKUP(B2549,'Pre-Summary'!$BZ$6:$CB$63,2,FALSE),"")</f>
        <v/>
      </c>
      <c r="AA2549" s="45" t="str">
        <f>IFERROR(VLOOKUP(B2549,'Pre-Summary'!$CG$6:$CI$70,2,FALSE),"")</f>
        <v/>
      </c>
      <c r="AB2549" s="99">
        <f>IFERROR(VLOOKUP(B2549,'Pre-Summary'!$A$6:$P$178,9,FALSE),AB2550)</f>
        <v>0.37499300891044984</v>
      </c>
      <c r="AC2549" s="10">
        <f>IFERROR(VLOOKUP(Summary!B2549,'Pre-Summary'!$A$6:$P$184,5, FALSE)/100,AC2550)</f>
        <v>0.98701300000000003</v>
      </c>
      <c r="AD2549" s="10">
        <f>IFERROR(VLOOKUP(Summary!B2549,'Pre-Summary'!$A$6:$P$184,3, FALSE)/100,AD2550)</f>
        <v>4.0270000000000002E-3</v>
      </c>
      <c r="AE2549" s="10">
        <f>IFERROR(VLOOKUP(Summary!B2549,'Pre-Summary'!$A$6:$P$184,7, FALSE)/100,AE2550)</f>
        <v>8.960333333333334E-3</v>
      </c>
      <c r="AF2549" s="99">
        <f t="shared" si="118"/>
        <v>1.5100968468823815E-3</v>
      </c>
      <c r="AG2549" s="99">
        <f t="shared" si="119"/>
        <v>3.3600623575072677E-3</v>
      </c>
      <c r="AH2549" s="10" t="str">
        <f>IFERROR(VLOOKUP(B2549,'Pre-Summary'!$AZ$6:$BE$65,3,FALSE),"")</f>
        <v/>
      </c>
      <c r="AI2549" s="10" t="str">
        <f>IFERROR(VLOOKUP(B2549,'Pre-Summary'!$AZ$6:$BE$65,5,FALSE),"")</f>
        <v/>
      </c>
      <c r="AJ2549" s="10" t="str">
        <f>IFERROR(VLOOKUP(B2549,'Pre-Summary'!$AZ$6:$BE$65,4,FALSE),"")</f>
        <v/>
      </c>
      <c r="AK2549" s="10" t="str">
        <f>IFERROR(VLOOKUP(B2549,'Pre-Summary'!$AZ$6:$BE$65,6,FALSE),"")</f>
        <v/>
      </c>
      <c r="AL2549" s="10" t="str">
        <f>IFERROR(VLOOKUP(B2549,'Pre-Summary'!$BG$6:$BL$44,3,FALSE),"")</f>
        <v/>
      </c>
      <c r="AM2549" s="10" t="str">
        <f>IFERROR(VLOOKUP(B2549,'Pre-Summary'!$BG$6:$BL$44,4,FALSE),"")</f>
        <v/>
      </c>
    </row>
    <row r="2550" spans="2:39" ht="15" customHeight="1" x14ac:dyDescent="0.3">
      <c r="B2550">
        <v>254.7</v>
      </c>
      <c r="C2550" t="str">
        <f>IFERROR(VLOOKUP(B2550,'Pre-Summary'!$DI$6:$DM$23,4,FALSE),"")</f>
        <v/>
      </c>
      <c r="D2550" s="10" t="str">
        <f>IFERROR(VLOOKUP(B2550,'Pre-Summary'!$AT$6:$AX$14,5,FALSE),D2549)</f>
        <v>Wolfe v3: went back to modified wolfe + EDTA and switched CuSO4 to CUCl2</v>
      </c>
      <c r="E2550" s="10" t="str">
        <f>IFERROR(VLOOKUP(B2550,'Pre-Summary'!$AT$6:$AX$15,4,FALSE),"")</f>
        <v/>
      </c>
      <c r="F2550">
        <f>IFERROR(VLOOKUP(B2550,'Pre-Summary'!$AL$6:$AQ$13,6,FALSE),F2549)</f>
        <v>5.9405263157894746E-2</v>
      </c>
      <c r="G2550" t="str">
        <f>IFERROR(VLOOKUP(B2550,'Pre-Summary'!$AE$6:$AJ$85,3,FALSE),"")</f>
        <v/>
      </c>
      <c r="H2550" t="str">
        <f>IFERROR(VLOOKUP(B2550,'Pre-Summary'!$AE$6:$AJ$85,4,FALSE),"")</f>
        <v/>
      </c>
      <c r="I2550" t="str">
        <f>IFERROR(VLOOKUP(B2550,'Pre-Summary'!$AE$6:$AJ$85,5,FALSE),"")</f>
        <v/>
      </c>
      <c r="J2550" s="45" t="str">
        <f>IFERROR(VLOOKUP(B2550,'Pre-Summary'!$AE$6:$AJ$85,6, FALSE),"")</f>
        <v/>
      </c>
      <c r="K2550" s="45" t="str">
        <f>IFERROR(VLOOKUP(B2550,'Pre-Summary'!$DE$6:$DG$61,3,FALSE),"")</f>
        <v/>
      </c>
      <c r="L2550" s="45" t="str">
        <f>IFERROR(VLOOKUP(B2550,'Pre-Summary'!$CU$6:$CW$36,3,FALSE),"")</f>
        <v/>
      </c>
      <c r="M2550" s="45" t="str">
        <f>IFERROR(VLOOKUP(B2550,'Pre-Summary'!$BW$6:$BY$58,2,FALSE),"")</f>
        <v/>
      </c>
      <c r="N2550" s="45" t="str">
        <f>IFERROR(VLOOKUP(B2550,'Pre-Summary'!$CD$6:$CF$64,2,FALSE),"")</f>
        <v/>
      </c>
      <c r="O2550" s="99">
        <f>IFERROR(VLOOKUP(B2550,'Pre-Summary'!$BO$6:$BQ$48,3, FALSE),O2549)</f>
        <v>1.508</v>
      </c>
      <c r="P2550" s="99">
        <f>IFERROR(VLOOKUP(B2550,'Pre-Summary'!$BS$6:$BU$35,3,FALSE),P2549)</f>
        <v>0.4</v>
      </c>
      <c r="Q2550" s="54">
        <f t="shared" si="117"/>
        <v>3.77</v>
      </c>
      <c r="R2550" s="53">
        <f>IFERROR(VLOOKUP(B2550,'Pre-Summary'!$BG$6:$BM$44,7,FALSE),R2551)</f>
        <v>0.11030801475343607</v>
      </c>
      <c r="S2550" s="53">
        <f>IFERROR(VLOOKUP(B2550,'Pre-Summary'!$BG$6:$BM$44,6,FALSE),S2551)</f>
        <v>0.11504859134187218</v>
      </c>
      <c r="T2550" s="45" t="str">
        <f>IFERROR(VLOOKUP(B2550,'Pre-Summary'!$Y$6:$AC$83, 3,FALSE),"")</f>
        <v/>
      </c>
      <c r="U2550" s="45" t="str">
        <f>IFERROR(VLOOKUP(B2550,'Pre-Summary'!$Y$6:$AC$83, 4,FALSE),"")</f>
        <v/>
      </c>
      <c r="V2550" t="str">
        <f>IFERROR(VLOOKUP(B2550,'Pre-Summary'!$Y$6:$AC$83, 5,FALSE),"")</f>
        <v/>
      </c>
      <c r="W2550" s="45" t="str">
        <f>IFERROR(VLOOKUP(B2550,'Pre-Summary'!$Y$6:$AD$83,6,FALSE),"")</f>
        <v/>
      </c>
      <c r="X2550" t="str">
        <f>IFERROR(VLOOKUP('Pre-Summary'!$DB$6:$DD$63,3,FALSE),"")</f>
        <v/>
      </c>
      <c r="Y2550" t="str">
        <f>IFERROR(VLOOKUP(B2550,'Pre-Summary'!$CR$6:$CT$36,3,FALSE),"")</f>
        <v/>
      </c>
      <c r="Z2550" s="45" t="str">
        <f>IFERROR(VLOOKUP(B2550,'Pre-Summary'!$BZ$6:$CB$63,2,FALSE),"")</f>
        <v/>
      </c>
      <c r="AA2550" s="45" t="str">
        <f>IFERROR(VLOOKUP(B2550,'Pre-Summary'!$CG$6:$CI$70,2,FALSE),"")</f>
        <v/>
      </c>
      <c r="AB2550" s="99">
        <f>IFERROR(VLOOKUP(B2550,'Pre-Summary'!$A$6:$P$178,9,FALSE),AB2551)</f>
        <v>0.37499300891044984</v>
      </c>
      <c r="AC2550" s="10">
        <f>IFERROR(VLOOKUP(Summary!B2550,'Pre-Summary'!$A$6:$P$184,5, FALSE)/100,AC2551)</f>
        <v>0.98701300000000003</v>
      </c>
      <c r="AD2550" s="10">
        <f>IFERROR(VLOOKUP(Summary!B2550,'Pre-Summary'!$A$6:$P$184,3, FALSE)/100,AD2551)</f>
        <v>4.0270000000000002E-3</v>
      </c>
      <c r="AE2550" s="10">
        <f>IFERROR(VLOOKUP(Summary!B2550,'Pre-Summary'!$A$6:$P$184,7, FALSE)/100,AE2551)</f>
        <v>8.960333333333334E-3</v>
      </c>
      <c r="AF2550" s="99">
        <f t="shared" si="118"/>
        <v>1.5100968468823815E-3</v>
      </c>
      <c r="AG2550" s="99">
        <f t="shared" si="119"/>
        <v>3.3600623575072677E-3</v>
      </c>
      <c r="AH2550" s="10" t="str">
        <f>IFERROR(VLOOKUP(B2550,'Pre-Summary'!$AZ$6:$BE$65,3,FALSE),"")</f>
        <v/>
      </c>
      <c r="AI2550" s="10" t="str">
        <f>IFERROR(VLOOKUP(B2550,'Pre-Summary'!$AZ$6:$BE$65,5,FALSE),"")</f>
        <v/>
      </c>
      <c r="AJ2550" s="10" t="str">
        <f>IFERROR(VLOOKUP(B2550,'Pre-Summary'!$AZ$6:$BE$65,4,FALSE),"")</f>
        <v/>
      </c>
      <c r="AK2550" s="10" t="str">
        <f>IFERROR(VLOOKUP(B2550,'Pre-Summary'!$AZ$6:$BE$65,6,FALSE),"")</f>
        <v/>
      </c>
      <c r="AL2550" s="10" t="str">
        <f>IFERROR(VLOOKUP(B2550,'Pre-Summary'!$BG$6:$BL$44,3,FALSE),"")</f>
        <v/>
      </c>
      <c r="AM2550" s="10" t="str">
        <f>IFERROR(VLOOKUP(B2550,'Pre-Summary'!$BG$6:$BL$44,4,FALSE),"")</f>
        <v/>
      </c>
    </row>
    <row r="2551" spans="2:39" ht="15" customHeight="1" x14ac:dyDescent="0.3">
      <c r="B2551">
        <v>254.8</v>
      </c>
      <c r="C2551" t="str">
        <f>IFERROR(VLOOKUP(B2551,'Pre-Summary'!$DI$6:$DM$23,4,FALSE),"")</f>
        <v/>
      </c>
      <c r="D2551" s="10" t="str">
        <f>IFERROR(VLOOKUP(B2551,'Pre-Summary'!$AT$6:$AX$14,5,FALSE),D2550)</f>
        <v>Wolfe v3: went back to modified wolfe + EDTA and switched CuSO4 to CUCl2</v>
      </c>
      <c r="E2551" s="10" t="str">
        <f>IFERROR(VLOOKUP(B2551,'Pre-Summary'!$AT$6:$AX$15,4,FALSE),"")</f>
        <v/>
      </c>
      <c r="F2551">
        <f>IFERROR(VLOOKUP(B2551,'Pre-Summary'!$AL$6:$AQ$13,6,FALSE),F2550)</f>
        <v>5.9405263157894746E-2</v>
      </c>
      <c r="G2551" t="str">
        <f>IFERROR(VLOOKUP(B2551,'Pre-Summary'!$AE$6:$AJ$85,3,FALSE),"")</f>
        <v/>
      </c>
      <c r="H2551" t="str">
        <f>IFERROR(VLOOKUP(B2551,'Pre-Summary'!$AE$6:$AJ$85,4,FALSE),"")</f>
        <v/>
      </c>
      <c r="I2551" t="str">
        <f>IFERROR(VLOOKUP(B2551,'Pre-Summary'!$AE$6:$AJ$85,5,FALSE),"")</f>
        <v/>
      </c>
      <c r="J2551" s="45" t="str">
        <f>IFERROR(VLOOKUP(B2551,'Pre-Summary'!$AE$6:$AJ$85,6, FALSE),"")</f>
        <v/>
      </c>
      <c r="K2551" s="45" t="str">
        <f>IFERROR(VLOOKUP(B2551,'Pre-Summary'!$DE$6:$DG$61,3,FALSE),"")</f>
        <v/>
      </c>
      <c r="L2551" s="45" t="str">
        <f>IFERROR(VLOOKUP(B2551,'Pre-Summary'!$CU$6:$CW$36,3,FALSE),"")</f>
        <v/>
      </c>
      <c r="M2551" s="45" t="str">
        <f>IFERROR(VLOOKUP(B2551,'Pre-Summary'!$BW$6:$BY$58,2,FALSE),"")</f>
        <v/>
      </c>
      <c r="N2551" s="45" t="str">
        <f>IFERROR(VLOOKUP(B2551,'Pre-Summary'!$CD$6:$CF$64,2,FALSE),"")</f>
        <v/>
      </c>
      <c r="O2551" s="99">
        <f>IFERROR(VLOOKUP(B2551,'Pre-Summary'!$BO$6:$BQ$48,3, FALSE),O2550)</f>
        <v>1.508</v>
      </c>
      <c r="P2551" s="99">
        <f>IFERROR(VLOOKUP(B2551,'Pre-Summary'!$BS$6:$BU$35,3,FALSE),P2550)</f>
        <v>0.4</v>
      </c>
      <c r="Q2551" s="54">
        <f t="shared" si="117"/>
        <v>3.77</v>
      </c>
      <c r="R2551" s="53">
        <f>IFERROR(VLOOKUP(B2551,'Pre-Summary'!$BG$6:$BM$44,7,FALSE),R2552)</f>
        <v>0.11030801475343607</v>
      </c>
      <c r="S2551" s="53">
        <f>IFERROR(VLOOKUP(B2551,'Pre-Summary'!$BG$6:$BM$44,6,FALSE),S2552)</f>
        <v>0.11504859134187218</v>
      </c>
      <c r="T2551" s="45" t="str">
        <f>IFERROR(VLOOKUP(B2551,'Pre-Summary'!$Y$6:$AC$83, 3,FALSE),"")</f>
        <v/>
      </c>
      <c r="U2551" s="45" t="str">
        <f>IFERROR(VLOOKUP(B2551,'Pre-Summary'!$Y$6:$AC$83, 4,FALSE),"")</f>
        <v/>
      </c>
      <c r="V2551" t="str">
        <f>IFERROR(VLOOKUP(B2551,'Pre-Summary'!$Y$6:$AC$83, 5,FALSE),"")</f>
        <v/>
      </c>
      <c r="W2551" s="45" t="str">
        <f>IFERROR(VLOOKUP(B2551,'Pre-Summary'!$Y$6:$AD$83,6,FALSE),"")</f>
        <v/>
      </c>
      <c r="X2551" t="str">
        <f>IFERROR(VLOOKUP('Pre-Summary'!$DB$6:$DD$63,3,FALSE),"")</f>
        <v/>
      </c>
      <c r="Y2551" t="str">
        <f>IFERROR(VLOOKUP(B2551,'Pre-Summary'!$CR$6:$CT$36,3,FALSE),"")</f>
        <v/>
      </c>
      <c r="Z2551" s="45" t="str">
        <f>IFERROR(VLOOKUP(B2551,'Pre-Summary'!$BZ$6:$CB$63,2,FALSE),"")</f>
        <v/>
      </c>
      <c r="AA2551" s="45" t="str">
        <f>IFERROR(VLOOKUP(B2551,'Pre-Summary'!$CG$6:$CI$70,2,FALSE),"")</f>
        <v/>
      </c>
      <c r="AB2551" s="99">
        <f>IFERROR(VLOOKUP(B2551,'Pre-Summary'!$A$6:$P$178,9,FALSE),AB2552)</f>
        <v>0.37499300891044984</v>
      </c>
      <c r="AC2551" s="10">
        <f>IFERROR(VLOOKUP(Summary!B2551,'Pre-Summary'!$A$6:$P$184,5, FALSE)/100,AC2552)</f>
        <v>0.98701300000000003</v>
      </c>
      <c r="AD2551" s="10">
        <f>IFERROR(VLOOKUP(Summary!B2551,'Pre-Summary'!$A$6:$P$184,3, FALSE)/100,AD2552)</f>
        <v>4.0270000000000002E-3</v>
      </c>
      <c r="AE2551" s="10">
        <f>IFERROR(VLOOKUP(Summary!B2551,'Pre-Summary'!$A$6:$P$184,7, FALSE)/100,AE2552)</f>
        <v>8.960333333333334E-3</v>
      </c>
      <c r="AF2551" s="99">
        <f t="shared" si="118"/>
        <v>1.5100968468823815E-3</v>
      </c>
      <c r="AG2551" s="99">
        <f t="shared" si="119"/>
        <v>3.3600623575072677E-3</v>
      </c>
      <c r="AH2551" s="10" t="str">
        <f>IFERROR(VLOOKUP(B2551,'Pre-Summary'!$AZ$6:$BE$65,3,FALSE),"")</f>
        <v/>
      </c>
      <c r="AI2551" s="10" t="str">
        <f>IFERROR(VLOOKUP(B2551,'Pre-Summary'!$AZ$6:$BE$65,5,FALSE),"")</f>
        <v/>
      </c>
      <c r="AJ2551" s="10" t="str">
        <f>IFERROR(VLOOKUP(B2551,'Pre-Summary'!$AZ$6:$BE$65,4,FALSE),"")</f>
        <v/>
      </c>
      <c r="AK2551" s="10" t="str">
        <f>IFERROR(VLOOKUP(B2551,'Pre-Summary'!$AZ$6:$BE$65,6,FALSE),"")</f>
        <v/>
      </c>
      <c r="AL2551" s="10" t="str">
        <f>IFERROR(VLOOKUP(B2551,'Pre-Summary'!$BG$6:$BL$44,3,FALSE),"")</f>
        <v/>
      </c>
      <c r="AM2551" s="10" t="str">
        <f>IFERROR(VLOOKUP(B2551,'Pre-Summary'!$BG$6:$BL$44,4,FALSE),"")</f>
        <v/>
      </c>
    </row>
    <row r="2552" spans="2:39" ht="15" customHeight="1" x14ac:dyDescent="0.3">
      <c r="B2552">
        <v>254.9</v>
      </c>
      <c r="C2552" t="str">
        <f>IFERROR(VLOOKUP(B2552,'Pre-Summary'!$DI$6:$DM$23,4,FALSE),"")</f>
        <v/>
      </c>
      <c r="D2552" s="10" t="str">
        <f>IFERROR(VLOOKUP(B2552,'Pre-Summary'!$AT$6:$AX$14,5,FALSE),D2551)</f>
        <v>Wolfe v3: went back to modified wolfe + EDTA and switched CuSO4 to CUCl2</v>
      </c>
      <c r="E2552" s="10" t="str">
        <f>IFERROR(VLOOKUP(B2552,'Pre-Summary'!$AT$6:$AX$15,4,FALSE),"")</f>
        <v/>
      </c>
      <c r="F2552">
        <f>IFERROR(VLOOKUP(B2552,'Pre-Summary'!$AL$6:$AQ$13,6,FALSE),F2551)</f>
        <v>5.9405263157894746E-2</v>
      </c>
      <c r="G2552" t="str">
        <f>IFERROR(VLOOKUP(B2552,'Pre-Summary'!$AE$6:$AJ$85,3,FALSE),"")</f>
        <v/>
      </c>
      <c r="H2552" t="str">
        <f>IFERROR(VLOOKUP(B2552,'Pre-Summary'!$AE$6:$AJ$85,4,FALSE),"")</f>
        <v/>
      </c>
      <c r="I2552" t="str">
        <f>IFERROR(VLOOKUP(B2552,'Pre-Summary'!$AE$6:$AJ$85,5,FALSE),"")</f>
        <v/>
      </c>
      <c r="J2552" s="45" t="str">
        <f>IFERROR(VLOOKUP(B2552,'Pre-Summary'!$AE$6:$AJ$85,6, FALSE),"")</f>
        <v/>
      </c>
      <c r="K2552" s="45" t="str">
        <f>IFERROR(VLOOKUP(B2552,'Pre-Summary'!$DE$6:$DG$61,3,FALSE),"")</f>
        <v/>
      </c>
      <c r="L2552" s="45" t="str">
        <f>IFERROR(VLOOKUP(B2552,'Pre-Summary'!$CU$6:$CW$36,3,FALSE),"")</f>
        <v/>
      </c>
      <c r="M2552" s="45" t="str">
        <f>IFERROR(VLOOKUP(B2552,'Pre-Summary'!$BW$6:$BY$58,2,FALSE),"")</f>
        <v/>
      </c>
      <c r="N2552" s="45" t="str">
        <f>IFERROR(VLOOKUP(B2552,'Pre-Summary'!$CD$6:$CF$64,2,FALSE),"")</f>
        <v/>
      </c>
      <c r="O2552" s="99">
        <f>IFERROR(VLOOKUP(B2552,'Pre-Summary'!$BO$6:$BQ$48,3, FALSE),O2551)</f>
        <v>1.508</v>
      </c>
      <c r="P2552" s="99">
        <f>IFERROR(VLOOKUP(B2552,'Pre-Summary'!$BS$6:$BU$35,3,FALSE),P2551)</f>
        <v>0.4</v>
      </c>
      <c r="Q2552" s="54">
        <f t="shared" si="117"/>
        <v>3.77</v>
      </c>
      <c r="R2552" s="53">
        <f>IFERROR(VLOOKUP(B2552,'Pre-Summary'!$BG$6:$BM$44,7,FALSE),R2553)</f>
        <v>0.11030801475343607</v>
      </c>
      <c r="S2552" s="53">
        <f>IFERROR(VLOOKUP(B2552,'Pre-Summary'!$BG$6:$BM$44,6,FALSE),S2553)</f>
        <v>0.11504859134187218</v>
      </c>
      <c r="T2552" s="45" t="str">
        <f>IFERROR(VLOOKUP(B2552,'Pre-Summary'!$Y$6:$AC$83, 3,FALSE),"")</f>
        <v/>
      </c>
      <c r="U2552" s="45" t="str">
        <f>IFERROR(VLOOKUP(B2552,'Pre-Summary'!$Y$6:$AC$83, 4,FALSE),"")</f>
        <v/>
      </c>
      <c r="V2552" t="str">
        <f>IFERROR(VLOOKUP(B2552,'Pre-Summary'!$Y$6:$AC$83, 5,FALSE),"")</f>
        <v/>
      </c>
      <c r="W2552" s="45" t="str">
        <f>IFERROR(VLOOKUP(B2552,'Pre-Summary'!$Y$6:$AD$83,6,FALSE),"")</f>
        <v/>
      </c>
      <c r="X2552" t="str">
        <f>IFERROR(VLOOKUP('Pre-Summary'!$DB$6:$DD$63,3,FALSE),"")</f>
        <v/>
      </c>
      <c r="Y2552" t="str">
        <f>IFERROR(VLOOKUP(B2552,'Pre-Summary'!$CR$6:$CT$36,3,FALSE),"")</f>
        <v/>
      </c>
      <c r="Z2552" s="45" t="str">
        <f>IFERROR(VLOOKUP(B2552,'Pre-Summary'!$BZ$6:$CB$63,2,FALSE),"")</f>
        <v/>
      </c>
      <c r="AA2552" s="45" t="str">
        <f>IFERROR(VLOOKUP(B2552,'Pre-Summary'!$CG$6:$CI$70,2,FALSE),"")</f>
        <v/>
      </c>
      <c r="AB2552" s="99">
        <f>IFERROR(VLOOKUP(B2552,'Pre-Summary'!$A$6:$P$178,9,FALSE),AB2553)</f>
        <v>0.37499300891044984</v>
      </c>
      <c r="AC2552" s="10">
        <f>IFERROR(VLOOKUP(Summary!B2552,'Pre-Summary'!$A$6:$P$184,5, FALSE)/100,AC2553)</f>
        <v>0.98701300000000003</v>
      </c>
      <c r="AD2552" s="10">
        <f>IFERROR(VLOOKUP(Summary!B2552,'Pre-Summary'!$A$6:$P$184,3, FALSE)/100,AD2553)</f>
        <v>4.0270000000000002E-3</v>
      </c>
      <c r="AE2552" s="10">
        <f>IFERROR(VLOOKUP(Summary!B2552,'Pre-Summary'!$A$6:$P$184,7, FALSE)/100,AE2553)</f>
        <v>8.960333333333334E-3</v>
      </c>
      <c r="AF2552" s="99">
        <f t="shared" si="118"/>
        <v>1.5100968468823815E-3</v>
      </c>
      <c r="AG2552" s="99">
        <f t="shared" si="119"/>
        <v>3.3600623575072677E-3</v>
      </c>
      <c r="AH2552" s="10" t="str">
        <f>IFERROR(VLOOKUP(B2552,'Pre-Summary'!$AZ$6:$BE$65,3,FALSE),"")</f>
        <v/>
      </c>
      <c r="AI2552" s="10" t="str">
        <f>IFERROR(VLOOKUP(B2552,'Pre-Summary'!$AZ$6:$BE$65,5,FALSE),"")</f>
        <v/>
      </c>
      <c r="AJ2552" s="10" t="str">
        <f>IFERROR(VLOOKUP(B2552,'Pre-Summary'!$AZ$6:$BE$65,4,FALSE),"")</f>
        <v/>
      </c>
      <c r="AK2552" s="10" t="str">
        <f>IFERROR(VLOOKUP(B2552,'Pre-Summary'!$AZ$6:$BE$65,6,FALSE),"")</f>
        <v/>
      </c>
      <c r="AL2552" s="10" t="str">
        <f>IFERROR(VLOOKUP(B2552,'Pre-Summary'!$BG$6:$BL$44,3,FALSE),"")</f>
        <v/>
      </c>
      <c r="AM2552" s="10" t="str">
        <f>IFERROR(VLOOKUP(B2552,'Pre-Summary'!$BG$6:$BL$44,4,FALSE),"")</f>
        <v/>
      </c>
    </row>
    <row r="2553" spans="2:39" ht="15" customHeight="1" x14ac:dyDescent="0.3">
      <c r="B2553">
        <v>255</v>
      </c>
      <c r="C2553" t="str">
        <f>IFERROR(VLOOKUP(B2553,'Pre-Summary'!$DI$6:$DM$23,4,FALSE),"")</f>
        <v/>
      </c>
      <c r="D2553" s="10" t="str">
        <f>IFERROR(VLOOKUP(B2553,'Pre-Summary'!$AT$6:$AX$14,5,FALSE),D2552)</f>
        <v>Wolfe v3: went back to modified wolfe + EDTA and switched CuSO4 to CUCl2</v>
      </c>
      <c r="E2553" s="10" t="str">
        <f>IFERROR(VLOOKUP(B2553,'Pre-Summary'!$AT$6:$AX$15,4,FALSE),"")</f>
        <v/>
      </c>
      <c r="F2553">
        <f>IFERROR(VLOOKUP(B2553,'Pre-Summary'!$AL$6:$AQ$13,6,FALSE),F2552)</f>
        <v>5.9405263157894746E-2</v>
      </c>
      <c r="G2553" t="str">
        <f>IFERROR(VLOOKUP(B2553,'Pre-Summary'!$AE$6:$AJ$85,3,FALSE),"")</f>
        <v/>
      </c>
      <c r="H2553" t="str">
        <f>IFERROR(VLOOKUP(B2553,'Pre-Summary'!$AE$6:$AJ$85,4,FALSE),"")</f>
        <v/>
      </c>
      <c r="I2553" t="str">
        <f>IFERROR(VLOOKUP(B2553,'Pre-Summary'!$AE$6:$AJ$85,5,FALSE),"")</f>
        <v/>
      </c>
      <c r="J2553" s="45" t="str">
        <f>IFERROR(VLOOKUP(B2553,'Pre-Summary'!$AE$6:$AJ$85,6, FALSE),"")</f>
        <v/>
      </c>
      <c r="K2553" s="45" t="str">
        <f>IFERROR(VLOOKUP(B2553,'Pre-Summary'!$DE$6:$DG$61,3,FALSE),"")</f>
        <v/>
      </c>
      <c r="L2553" s="45" t="str">
        <f>IFERROR(VLOOKUP(B2553,'Pre-Summary'!$CU$6:$CW$36,3,FALSE),"")</f>
        <v/>
      </c>
      <c r="M2553" s="45" t="str">
        <f>IFERROR(VLOOKUP(B2553,'Pre-Summary'!$BW$6:$BY$58,2,FALSE),"")</f>
        <v/>
      </c>
      <c r="N2553" s="45" t="str">
        <f>IFERROR(VLOOKUP(B2553,'Pre-Summary'!$CD$6:$CF$64,2,FALSE),"")</f>
        <v/>
      </c>
      <c r="O2553" s="99">
        <f>IFERROR(VLOOKUP(B2553,'Pre-Summary'!$BO$6:$BQ$48,3, FALSE),O2552)</f>
        <v>1.508</v>
      </c>
      <c r="P2553" s="99">
        <f>IFERROR(VLOOKUP(B2553,'Pre-Summary'!$BS$6:$BU$35,3,FALSE),P2552)</f>
        <v>0.4</v>
      </c>
      <c r="Q2553" s="54">
        <f t="shared" si="117"/>
        <v>3.77</v>
      </c>
      <c r="R2553" s="53">
        <f>IFERROR(VLOOKUP(B2553,'Pre-Summary'!$BG$6:$BM$44,7,FALSE),R2554)</f>
        <v>0.11030801475343607</v>
      </c>
      <c r="S2553" s="53">
        <f>IFERROR(VLOOKUP(B2553,'Pre-Summary'!$BG$6:$BM$44,6,FALSE),S2554)</f>
        <v>0.11504859134187218</v>
      </c>
      <c r="T2553" s="45" t="str">
        <f>IFERROR(VLOOKUP(B2553,'Pre-Summary'!$Y$6:$AC$83, 3,FALSE),"")</f>
        <v/>
      </c>
      <c r="U2553" s="45" t="str">
        <f>IFERROR(VLOOKUP(B2553,'Pre-Summary'!$Y$6:$AC$83, 4,FALSE),"")</f>
        <v/>
      </c>
      <c r="V2553" t="str">
        <f>IFERROR(VLOOKUP(B2553,'Pre-Summary'!$Y$6:$AC$83, 5,FALSE),"")</f>
        <v/>
      </c>
      <c r="W2553" s="45" t="str">
        <f>IFERROR(VLOOKUP(B2553,'Pre-Summary'!$Y$6:$AD$83,6,FALSE),"")</f>
        <v/>
      </c>
      <c r="X2553" t="str">
        <f>IFERROR(VLOOKUP('Pre-Summary'!$DB$6:$DD$63,3,FALSE),"")</f>
        <v/>
      </c>
      <c r="Y2553" t="str">
        <f>IFERROR(VLOOKUP(B2553,'Pre-Summary'!$CR$6:$CT$36,3,FALSE),"")</f>
        <v/>
      </c>
      <c r="Z2553" s="45" t="str">
        <f>IFERROR(VLOOKUP(B2553,'Pre-Summary'!$BZ$6:$CB$63,2,FALSE),"")</f>
        <v/>
      </c>
      <c r="AA2553" s="45" t="str">
        <f>IFERROR(VLOOKUP(B2553,'Pre-Summary'!$CG$6:$CI$70,2,FALSE),"")</f>
        <v/>
      </c>
      <c r="AB2553" s="99">
        <f>IFERROR(VLOOKUP(B2553,'Pre-Summary'!$A$6:$P$178,9,FALSE),AB2554)</f>
        <v>0.37499300891044984</v>
      </c>
      <c r="AC2553" s="10">
        <f>IFERROR(VLOOKUP(Summary!B2553,'Pre-Summary'!$A$6:$P$184,5, FALSE)/100,AC2554)</f>
        <v>0.98701300000000003</v>
      </c>
      <c r="AD2553" s="10">
        <f>IFERROR(VLOOKUP(Summary!B2553,'Pre-Summary'!$A$6:$P$184,3, FALSE)/100,AD2554)</f>
        <v>4.0270000000000002E-3</v>
      </c>
      <c r="AE2553" s="10">
        <f>IFERROR(VLOOKUP(Summary!B2553,'Pre-Summary'!$A$6:$P$184,7, FALSE)/100,AE2554)</f>
        <v>8.960333333333334E-3</v>
      </c>
      <c r="AF2553" s="99">
        <f t="shared" si="118"/>
        <v>1.5100968468823815E-3</v>
      </c>
      <c r="AG2553" s="99">
        <f t="shared" si="119"/>
        <v>3.3600623575072677E-3</v>
      </c>
      <c r="AH2553" s="10" t="str">
        <f>IFERROR(VLOOKUP(B2553,'Pre-Summary'!$AZ$6:$BE$65,3,FALSE),"")</f>
        <v/>
      </c>
      <c r="AI2553" s="10" t="str">
        <f>IFERROR(VLOOKUP(B2553,'Pre-Summary'!$AZ$6:$BE$65,5,FALSE),"")</f>
        <v/>
      </c>
      <c r="AJ2553" s="10" t="str">
        <f>IFERROR(VLOOKUP(B2553,'Pre-Summary'!$AZ$6:$BE$65,4,FALSE),"")</f>
        <v/>
      </c>
      <c r="AK2553" s="10" t="str">
        <f>IFERROR(VLOOKUP(B2553,'Pre-Summary'!$AZ$6:$BE$65,6,FALSE),"")</f>
        <v/>
      </c>
      <c r="AL2553" s="10" t="str">
        <f>IFERROR(VLOOKUP(B2553,'Pre-Summary'!$BG$6:$BL$44,3,FALSE),"")</f>
        <v/>
      </c>
      <c r="AM2553" s="10" t="str">
        <f>IFERROR(VLOOKUP(B2553,'Pre-Summary'!$BG$6:$BL$44,4,FALSE),"")</f>
        <v/>
      </c>
    </row>
    <row r="2554" spans="2:39" ht="15" customHeight="1" x14ac:dyDescent="0.3">
      <c r="B2554">
        <v>255.1</v>
      </c>
      <c r="C2554" t="str">
        <f>IFERROR(VLOOKUP(B2554,'Pre-Summary'!$DI$6:$DM$23,4,FALSE),"")</f>
        <v/>
      </c>
      <c r="D2554" s="10" t="str">
        <f>IFERROR(VLOOKUP(B2554,'Pre-Summary'!$AT$6:$AX$14,5,FALSE),D2553)</f>
        <v>Wolfe v3: went back to modified wolfe + EDTA and switched CuSO4 to CUCl2</v>
      </c>
      <c r="E2554" s="10" t="str">
        <f>IFERROR(VLOOKUP(B2554,'Pre-Summary'!$AT$6:$AX$15,4,FALSE),"")</f>
        <v/>
      </c>
      <c r="F2554">
        <f>IFERROR(VLOOKUP(B2554,'Pre-Summary'!$AL$6:$AQ$13,6,FALSE),F2553)</f>
        <v>5.9405263157894746E-2</v>
      </c>
      <c r="G2554" t="str">
        <f>IFERROR(VLOOKUP(B2554,'Pre-Summary'!$AE$6:$AJ$85,3,FALSE),"")</f>
        <v/>
      </c>
      <c r="H2554" t="str">
        <f>IFERROR(VLOOKUP(B2554,'Pre-Summary'!$AE$6:$AJ$85,4,FALSE),"")</f>
        <v/>
      </c>
      <c r="I2554" t="str">
        <f>IFERROR(VLOOKUP(B2554,'Pre-Summary'!$AE$6:$AJ$85,5,FALSE),"")</f>
        <v/>
      </c>
      <c r="J2554" s="45" t="str">
        <f>IFERROR(VLOOKUP(B2554,'Pre-Summary'!$AE$6:$AJ$85,6, FALSE),"")</f>
        <v/>
      </c>
      <c r="K2554" s="45" t="str">
        <f>IFERROR(VLOOKUP(B2554,'Pre-Summary'!$DE$6:$DG$61,3,FALSE),"")</f>
        <v/>
      </c>
      <c r="L2554" s="45" t="str">
        <f>IFERROR(VLOOKUP(B2554,'Pre-Summary'!$CU$6:$CW$36,3,FALSE),"")</f>
        <v/>
      </c>
      <c r="M2554" s="45" t="str">
        <f>IFERROR(VLOOKUP(B2554,'Pre-Summary'!$BW$6:$BY$58,2,FALSE),"")</f>
        <v/>
      </c>
      <c r="N2554" s="45" t="str">
        <f>IFERROR(VLOOKUP(B2554,'Pre-Summary'!$CD$6:$CF$64,2,FALSE),"")</f>
        <v/>
      </c>
      <c r="O2554" s="99">
        <f>IFERROR(VLOOKUP(B2554,'Pre-Summary'!$BO$6:$BQ$48,3, FALSE),O2553)</f>
        <v>1.508</v>
      </c>
      <c r="P2554" s="99">
        <f>IFERROR(VLOOKUP(B2554,'Pre-Summary'!$BS$6:$BU$35,3,FALSE),P2553)</f>
        <v>0.4</v>
      </c>
      <c r="Q2554" s="54">
        <f t="shared" si="117"/>
        <v>3.77</v>
      </c>
      <c r="R2554" s="53">
        <f>IFERROR(VLOOKUP(B2554,'Pre-Summary'!$BG$6:$BM$44,7,FALSE),R2555)</f>
        <v>0.11030801475343607</v>
      </c>
      <c r="S2554" s="53">
        <f>IFERROR(VLOOKUP(B2554,'Pre-Summary'!$BG$6:$BM$44,6,FALSE),S2555)</f>
        <v>0.11504859134187218</v>
      </c>
      <c r="T2554" s="45" t="str">
        <f>IFERROR(VLOOKUP(B2554,'Pre-Summary'!$Y$6:$AC$83, 3,FALSE),"")</f>
        <v/>
      </c>
      <c r="U2554" s="45" t="str">
        <f>IFERROR(VLOOKUP(B2554,'Pre-Summary'!$Y$6:$AC$83, 4,FALSE),"")</f>
        <v/>
      </c>
      <c r="V2554" t="str">
        <f>IFERROR(VLOOKUP(B2554,'Pre-Summary'!$Y$6:$AC$83, 5,FALSE),"")</f>
        <v/>
      </c>
      <c r="W2554" s="45" t="str">
        <f>IFERROR(VLOOKUP(B2554,'Pre-Summary'!$Y$6:$AD$83,6,FALSE),"")</f>
        <v/>
      </c>
      <c r="X2554" t="str">
        <f>IFERROR(VLOOKUP('Pre-Summary'!$DB$6:$DD$63,3,FALSE),"")</f>
        <v/>
      </c>
      <c r="Y2554" t="str">
        <f>IFERROR(VLOOKUP(B2554,'Pre-Summary'!$CR$6:$CT$36,3,FALSE),"")</f>
        <v/>
      </c>
      <c r="Z2554" s="45" t="str">
        <f>IFERROR(VLOOKUP(B2554,'Pre-Summary'!$BZ$6:$CB$63,2,FALSE),"")</f>
        <v/>
      </c>
      <c r="AA2554" s="45" t="str">
        <f>IFERROR(VLOOKUP(B2554,'Pre-Summary'!$CG$6:$CI$70,2,FALSE),"")</f>
        <v/>
      </c>
      <c r="AB2554" s="99">
        <f>IFERROR(VLOOKUP(B2554,'Pre-Summary'!$A$6:$P$178,9,FALSE),AB2555)</f>
        <v>0.44037364184945627</v>
      </c>
      <c r="AC2554" s="10">
        <f>IFERROR(VLOOKUP(Summary!B2554,'Pre-Summary'!$A$6:$P$184,5, FALSE)/100,AC2555)</f>
        <v>0.9629049999999999</v>
      </c>
      <c r="AD2554" s="10">
        <f>IFERROR(VLOOKUP(Summary!B2554,'Pre-Summary'!$A$6:$P$184,3, FALSE)/100,AD2555)</f>
        <v>3.0608333333333331E-2</v>
      </c>
      <c r="AE2554" s="10">
        <f>IFERROR(VLOOKUP(Summary!B2554,'Pre-Summary'!$A$6:$P$184,7, FALSE)/100,AE2555)</f>
        <v>6.4959999999999992E-3</v>
      </c>
      <c r="AF2554" s="99">
        <f t="shared" si="118"/>
        <v>1.3479103220942106E-2</v>
      </c>
      <c r="AG2554" s="99">
        <f t="shared" si="119"/>
        <v>2.8606671774540674E-3</v>
      </c>
      <c r="AH2554" s="10" t="str">
        <f>IFERROR(VLOOKUP(B2554,'Pre-Summary'!$AZ$6:$BE$65,3,FALSE),"")</f>
        <v/>
      </c>
      <c r="AI2554" s="10" t="str">
        <f>IFERROR(VLOOKUP(B2554,'Pre-Summary'!$AZ$6:$BE$65,5,FALSE),"")</f>
        <v/>
      </c>
      <c r="AJ2554" s="10" t="str">
        <f>IFERROR(VLOOKUP(B2554,'Pre-Summary'!$AZ$6:$BE$65,4,FALSE),"")</f>
        <v/>
      </c>
      <c r="AK2554" s="10" t="str">
        <f>IFERROR(VLOOKUP(B2554,'Pre-Summary'!$AZ$6:$BE$65,6,FALSE),"")</f>
        <v/>
      </c>
      <c r="AL2554" s="10" t="str">
        <f>IFERROR(VLOOKUP(B2554,'Pre-Summary'!$BG$6:$BL$44,3,FALSE),"")</f>
        <v/>
      </c>
      <c r="AM2554" s="10" t="str">
        <f>IFERROR(VLOOKUP(B2554,'Pre-Summary'!$BG$6:$BL$44,4,FALSE),"")</f>
        <v/>
      </c>
    </row>
    <row r="2555" spans="2:39" ht="15" customHeight="1" x14ac:dyDescent="0.3">
      <c r="B2555">
        <v>255.2</v>
      </c>
      <c r="C2555" t="str">
        <f>IFERROR(VLOOKUP(B2555,'Pre-Summary'!$DI$6:$DM$23,4,FALSE),"")</f>
        <v/>
      </c>
      <c r="D2555" s="10" t="str">
        <f>IFERROR(VLOOKUP(B2555,'Pre-Summary'!$AT$6:$AX$14,5,FALSE),D2554)</f>
        <v>Wolfe v3: went back to modified wolfe + EDTA and switched CuSO4 to CUCl2</v>
      </c>
      <c r="E2555" s="10" t="str">
        <f>IFERROR(VLOOKUP(B2555,'Pre-Summary'!$AT$6:$AX$15,4,FALSE),"")</f>
        <v/>
      </c>
      <c r="F2555">
        <f>IFERROR(VLOOKUP(B2555,'Pre-Summary'!$AL$6:$AQ$13,6,FALSE),F2554)</f>
        <v>5.9405263157894746E-2</v>
      </c>
      <c r="G2555" t="str">
        <f>IFERROR(VLOOKUP(B2555,'Pre-Summary'!$AE$6:$AJ$85,3,FALSE),"")</f>
        <v/>
      </c>
      <c r="H2555" t="str">
        <f>IFERROR(VLOOKUP(B2555,'Pre-Summary'!$AE$6:$AJ$85,4,FALSE),"")</f>
        <v/>
      </c>
      <c r="I2555" t="str">
        <f>IFERROR(VLOOKUP(B2555,'Pre-Summary'!$AE$6:$AJ$85,5,FALSE),"")</f>
        <v/>
      </c>
      <c r="J2555" s="45" t="str">
        <f>IFERROR(VLOOKUP(B2555,'Pre-Summary'!$AE$6:$AJ$85,6, FALSE),"")</f>
        <v/>
      </c>
      <c r="K2555" s="45" t="str">
        <f>IFERROR(VLOOKUP(B2555,'Pre-Summary'!$DE$6:$DG$61,3,FALSE),"")</f>
        <v/>
      </c>
      <c r="L2555" s="45" t="str">
        <f>IFERROR(VLOOKUP(B2555,'Pre-Summary'!$CU$6:$CW$36,3,FALSE),"")</f>
        <v/>
      </c>
      <c r="M2555" s="45" t="str">
        <f>IFERROR(VLOOKUP(B2555,'Pre-Summary'!$BW$6:$BY$58,2,FALSE),"")</f>
        <v/>
      </c>
      <c r="N2555" s="45" t="str">
        <f>IFERROR(VLOOKUP(B2555,'Pre-Summary'!$CD$6:$CF$64,2,FALSE),"")</f>
        <v/>
      </c>
      <c r="O2555" s="99">
        <f>IFERROR(VLOOKUP(B2555,'Pre-Summary'!$BO$6:$BQ$48,3, FALSE),O2554)</f>
        <v>1.508</v>
      </c>
      <c r="P2555" s="99">
        <f>IFERROR(VLOOKUP(B2555,'Pre-Summary'!$BS$6:$BU$35,3,FALSE),P2554)</f>
        <v>0.4</v>
      </c>
      <c r="Q2555" s="54">
        <f t="shared" si="117"/>
        <v>3.77</v>
      </c>
      <c r="R2555" s="53">
        <f>IFERROR(VLOOKUP(B2555,'Pre-Summary'!$BG$6:$BM$44,7,FALSE),R2556)</f>
        <v>0.11030801475343607</v>
      </c>
      <c r="S2555" s="53">
        <f>IFERROR(VLOOKUP(B2555,'Pre-Summary'!$BG$6:$BM$44,6,FALSE),S2556)</f>
        <v>0.11504859134187218</v>
      </c>
      <c r="T2555" s="45" t="str">
        <f>IFERROR(VLOOKUP(B2555,'Pre-Summary'!$Y$6:$AC$83, 3,FALSE),"")</f>
        <v/>
      </c>
      <c r="U2555" s="45" t="str">
        <f>IFERROR(VLOOKUP(B2555,'Pre-Summary'!$Y$6:$AC$83, 4,FALSE),"")</f>
        <v/>
      </c>
      <c r="V2555" t="str">
        <f>IFERROR(VLOOKUP(B2555,'Pre-Summary'!$Y$6:$AC$83, 5,FALSE),"")</f>
        <v/>
      </c>
      <c r="W2555" s="45" t="str">
        <f>IFERROR(VLOOKUP(B2555,'Pre-Summary'!$Y$6:$AD$83,6,FALSE),"")</f>
        <v/>
      </c>
      <c r="X2555" t="str">
        <f>IFERROR(VLOOKUP('Pre-Summary'!$DB$6:$DD$63,3,FALSE),"")</f>
        <v/>
      </c>
      <c r="Y2555" t="str">
        <f>IFERROR(VLOOKUP(B2555,'Pre-Summary'!$CR$6:$CT$36,3,FALSE),"")</f>
        <v/>
      </c>
      <c r="Z2555" s="45" t="str">
        <f>IFERROR(VLOOKUP(B2555,'Pre-Summary'!$BZ$6:$CB$63,2,FALSE),"")</f>
        <v/>
      </c>
      <c r="AA2555" s="45" t="str">
        <f>IFERROR(VLOOKUP(B2555,'Pre-Summary'!$CG$6:$CI$70,2,FALSE),"")</f>
        <v/>
      </c>
      <c r="AB2555" s="99">
        <f>IFERROR(VLOOKUP(B2555,'Pre-Summary'!$A$6:$P$178,9,FALSE),AB2556)</f>
        <v>0.44037364184945627</v>
      </c>
      <c r="AC2555" s="10">
        <f>IFERROR(VLOOKUP(Summary!B2555,'Pre-Summary'!$A$6:$P$184,5, FALSE)/100,AC2556)</f>
        <v>0.9629049999999999</v>
      </c>
      <c r="AD2555" s="10">
        <f>IFERROR(VLOOKUP(Summary!B2555,'Pre-Summary'!$A$6:$P$184,3, FALSE)/100,AD2556)</f>
        <v>3.0608333333333331E-2</v>
      </c>
      <c r="AE2555" s="10">
        <f>IFERROR(VLOOKUP(Summary!B2555,'Pre-Summary'!$A$6:$P$184,7, FALSE)/100,AE2556)</f>
        <v>6.4959999999999992E-3</v>
      </c>
      <c r="AF2555" s="99">
        <f t="shared" si="118"/>
        <v>1.3479103220942106E-2</v>
      </c>
      <c r="AG2555" s="99">
        <f t="shared" si="119"/>
        <v>2.8606671774540674E-3</v>
      </c>
      <c r="AH2555" s="10" t="str">
        <f>IFERROR(VLOOKUP(B2555,'Pre-Summary'!$AZ$6:$BE$65,3,FALSE),"")</f>
        <v/>
      </c>
      <c r="AI2555" s="10" t="str">
        <f>IFERROR(VLOOKUP(B2555,'Pre-Summary'!$AZ$6:$BE$65,5,FALSE),"")</f>
        <v/>
      </c>
      <c r="AJ2555" s="10" t="str">
        <f>IFERROR(VLOOKUP(B2555,'Pre-Summary'!$AZ$6:$BE$65,4,FALSE),"")</f>
        <v/>
      </c>
      <c r="AK2555" s="10" t="str">
        <f>IFERROR(VLOOKUP(B2555,'Pre-Summary'!$AZ$6:$BE$65,6,FALSE),"")</f>
        <v/>
      </c>
      <c r="AL2555" s="10" t="str">
        <f>IFERROR(VLOOKUP(B2555,'Pre-Summary'!$BG$6:$BL$44,3,FALSE),"")</f>
        <v/>
      </c>
      <c r="AM2555" s="10" t="str">
        <f>IFERROR(VLOOKUP(B2555,'Pre-Summary'!$BG$6:$BL$44,4,FALSE),"")</f>
        <v/>
      </c>
    </row>
    <row r="2556" spans="2:39" ht="15" customHeight="1" x14ac:dyDescent="0.3">
      <c r="B2556">
        <v>255.3</v>
      </c>
      <c r="C2556" t="str">
        <f>IFERROR(VLOOKUP(B2556,'Pre-Summary'!$DI$6:$DM$23,4,FALSE),"")</f>
        <v/>
      </c>
      <c r="D2556" s="10" t="str">
        <f>IFERROR(VLOOKUP(B2556,'Pre-Summary'!$AT$6:$AX$14,5,FALSE),D2555)</f>
        <v>Wolfe v3: went back to modified wolfe + EDTA and switched CuSO4 to CUCl2</v>
      </c>
      <c r="E2556" s="10" t="str">
        <f>IFERROR(VLOOKUP(B2556,'Pre-Summary'!$AT$6:$AX$15,4,FALSE),"")</f>
        <v/>
      </c>
      <c r="F2556">
        <f>IFERROR(VLOOKUP(B2556,'Pre-Summary'!$AL$6:$AQ$13,6,FALSE),F2555)</f>
        <v>5.9405263157894746E-2</v>
      </c>
      <c r="G2556" t="str">
        <f>IFERROR(VLOOKUP(B2556,'Pre-Summary'!$AE$6:$AJ$85,3,FALSE),"")</f>
        <v/>
      </c>
      <c r="H2556" t="str">
        <f>IFERROR(VLOOKUP(B2556,'Pre-Summary'!$AE$6:$AJ$85,4,FALSE),"")</f>
        <v/>
      </c>
      <c r="I2556" t="str">
        <f>IFERROR(VLOOKUP(B2556,'Pre-Summary'!$AE$6:$AJ$85,5,FALSE),"")</f>
        <v/>
      </c>
      <c r="J2556" s="45" t="str">
        <f>IFERROR(VLOOKUP(B2556,'Pre-Summary'!$AE$6:$AJ$85,6, FALSE),"")</f>
        <v/>
      </c>
      <c r="K2556" s="45" t="str">
        <f>IFERROR(VLOOKUP(B2556,'Pre-Summary'!$DE$6:$DG$61,3,FALSE),"")</f>
        <v/>
      </c>
      <c r="L2556" s="45" t="str">
        <f>IFERROR(VLOOKUP(B2556,'Pre-Summary'!$CU$6:$CW$36,3,FALSE),"")</f>
        <v/>
      </c>
      <c r="M2556" s="45" t="str">
        <f>IFERROR(VLOOKUP(B2556,'Pre-Summary'!$BW$6:$BY$58,2,FALSE),"")</f>
        <v/>
      </c>
      <c r="N2556" s="45" t="str">
        <f>IFERROR(VLOOKUP(B2556,'Pre-Summary'!$CD$6:$CF$64,2,FALSE),"")</f>
        <v/>
      </c>
      <c r="O2556" s="99">
        <f>IFERROR(VLOOKUP(B2556,'Pre-Summary'!$BO$6:$BQ$48,3, FALSE),O2555)</f>
        <v>1.508</v>
      </c>
      <c r="P2556" s="99">
        <f>IFERROR(VLOOKUP(B2556,'Pre-Summary'!$BS$6:$BU$35,3,FALSE),P2555)</f>
        <v>0.4</v>
      </c>
      <c r="Q2556" s="54">
        <f t="shared" si="117"/>
        <v>3.77</v>
      </c>
      <c r="R2556" s="53">
        <f>IFERROR(VLOOKUP(B2556,'Pre-Summary'!$BG$6:$BM$44,7,FALSE),R2557)</f>
        <v>0.11030801475343607</v>
      </c>
      <c r="S2556" s="53">
        <f>IFERROR(VLOOKUP(B2556,'Pre-Summary'!$BG$6:$BM$44,6,FALSE),S2557)</f>
        <v>0.11504859134187218</v>
      </c>
      <c r="T2556" s="45" t="str">
        <f>IFERROR(VLOOKUP(B2556,'Pre-Summary'!$Y$6:$AC$83, 3,FALSE),"")</f>
        <v/>
      </c>
      <c r="U2556" s="45" t="str">
        <f>IFERROR(VLOOKUP(B2556,'Pre-Summary'!$Y$6:$AC$83, 4,FALSE),"")</f>
        <v/>
      </c>
      <c r="V2556" t="str">
        <f>IFERROR(VLOOKUP(B2556,'Pre-Summary'!$Y$6:$AC$83, 5,FALSE),"")</f>
        <v/>
      </c>
      <c r="W2556" s="45" t="str">
        <f>IFERROR(VLOOKUP(B2556,'Pre-Summary'!$Y$6:$AD$83,6,FALSE),"")</f>
        <v/>
      </c>
      <c r="X2556" t="str">
        <f>IFERROR(VLOOKUP('Pre-Summary'!$DB$6:$DD$63,3,FALSE),"")</f>
        <v/>
      </c>
      <c r="Y2556" t="str">
        <f>IFERROR(VLOOKUP(B2556,'Pre-Summary'!$CR$6:$CT$36,3,FALSE),"")</f>
        <v/>
      </c>
      <c r="Z2556" s="45" t="str">
        <f>IFERROR(VLOOKUP(B2556,'Pre-Summary'!$BZ$6:$CB$63,2,FALSE),"")</f>
        <v/>
      </c>
      <c r="AA2556" s="45" t="str">
        <f>IFERROR(VLOOKUP(B2556,'Pre-Summary'!$CG$6:$CI$70,2,FALSE),"")</f>
        <v/>
      </c>
      <c r="AB2556" s="99">
        <f>IFERROR(VLOOKUP(B2556,'Pre-Summary'!$A$6:$P$178,9,FALSE),AB2557)</f>
        <v>0.44037364184945627</v>
      </c>
      <c r="AC2556" s="10">
        <f>IFERROR(VLOOKUP(Summary!B2556,'Pre-Summary'!$A$6:$P$184,5, FALSE)/100,AC2557)</f>
        <v>0.9629049999999999</v>
      </c>
      <c r="AD2556" s="10">
        <f>IFERROR(VLOOKUP(Summary!B2556,'Pre-Summary'!$A$6:$P$184,3, FALSE)/100,AD2557)</f>
        <v>3.0608333333333331E-2</v>
      </c>
      <c r="AE2556" s="10">
        <f>IFERROR(VLOOKUP(Summary!B2556,'Pre-Summary'!$A$6:$P$184,7, FALSE)/100,AE2557)</f>
        <v>6.4959999999999992E-3</v>
      </c>
      <c r="AF2556" s="99">
        <f t="shared" si="118"/>
        <v>1.3479103220942106E-2</v>
      </c>
      <c r="AG2556" s="99">
        <f t="shared" si="119"/>
        <v>2.8606671774540674E-3</v>
      </c>
      <c r="AH2556" s="10" t="str">
        <f>IFERROR(VLOOKUP(B2556,'Pre-Summary'!$AZ$6:$BE$65,3,FALSE),"")</f>
        <v/>
      </c>
      <c r="AI2556" s="10" t="str">
        <f>IFERROR(VLOOKUP(B2556,'Pre-Summary'!$AZ$6:$BE$65,5,FALSE),"")</f>
        <v/>
      </c>
      <c r="AJ2556" s="10" t="str">
        <f>IFERROR(VLOOKUP(B2556,'Pre-Summary'!$AZ$6:$BE$65,4,FALSE),"")</f>
        <v/>
      </c>
      <c r="AK2556" s="10" t="str">
        <f>IFERROR(VLOOKUP(B2556,'Pre-Summary'!$AZ$6:$BE$65,6,FALSE),"")</f>
        <v/>
      </c>
      <c r="AL2556" s="10" t="str">
        <f>IFERROR(VLOOKUP(B2556,'Pre-Summary'!$BG$6:$BL$44,3,FALSE),"")</f>
        <v/>
      </c>
      <c r="AM2556" s="10" t="str">
        <f>IFERROR(VLOOKUP(B2556,'Pre-Summary'!$BG$6:$BL$44,4,FALSE),"")</f>
        <v/>
      </c>
    </row>
    <row r="2557" spans="2:39" ht="15" customHeight="1" x14ac:dyDescent="0.3">
      <c r="B2557">
        <v>255.4</v>
      </c>
      <c r="C2557" t="str">
        <f>IFERROR(VLOOKUP(B2557,'Pre-Summary'!$DI$6:$DM$23,4,FALSE),"")</f>
        <v/>
      </c>
      <c r="D2557" s="10" t="str">
        <f>IFERROR(VLOOKUP(B2557,'Pre-Summary'!$AT$6:$AX$14,5,FALSE),D2556)</f>
        <v>Wolfe v3: went back to modified wolfe + EDTA and switched CuSO4 to CUCl2</v>
      </c>
      <c r="E2557" s="10" t="str">
        <f>IFERROR(VLOOKUP(B2557,'Pre-Summary'!$AT$6:$AX$15,4,FALSE),"")</f>
        <v/>
      </c>
      <c r="F2557">
        <f>IFERROR(VLOOKUP(B2557,'Pre-Summary'!$AL$6:$AQ$13,6,FALSE),F2556)</f>
        <v>5.9405263157894746E-2</v>
      </c>
      <c r="G2557" t="str">
        <f>IFERROR(VLOOKUP(B2557,'Pre-Summary'!$AE$6:$AJ$85,3,FALSE),"")</f>
        <v/>
      </c>
      <c r="H2557" t="str">
        <f>IFERROR(VLOOKUP(B2557,'Pre-Summary'!$AE$6:$AJ$85,4,FALSE),"")</f>
        <v/>
      </c>
      <c r="I2557" t="str">
        <f>IFERROR(VLOOKUP(B2557,'Pre-Summary'!$AE$6:$AJ$85,5,FALSE),"")</f>
        <v/>
      </c>
      <c r="J2557" s="45" t="str">
        <f>IFERROR(VLOOKUP(B2557,'Pre-Summary'!$AE$6:$AJ$85,6, FALSE),"")</f>
        <v/>
      </c>
      <c r="K2557" s="45" t="str">
        <f>IFERROR(VLOOKUP(B2557,'Pre-Summary'!$DE$6:$DG$61,3,FALSE),"")</f>
        <v/>
      </c>
      <c r="L2557" s="45" t="str">
        <f>IFERROR(VLOOKUP(B2557,'Pre-Summary'!$CU$6:$CW$36,3,FALSE),"")</f>
        <v/>
      </c>
      <c r="M2557" s="45" t="str">
        <f>IFERROR(VLOOKUP(B2557,'Pre-Summary'!$BW$6:$BY$58,2,FALSE),"")</f>
        <v/>
      </c>
      <c r="N2557" s="45" t="str">
        <f>IFERROR(VLOOKUP(B2557,'Pre-Summary'!$CD$6:$CF$64,2,FALSE),"")</f>
        <v/>
      </c>
      <c r="O2557" s="99">
        <f>IFERROR(VLOOKUP(B2557,'Pre-Summary'!$BO$6:$BQ$48,3, FALSE),O2556)</f>
        <v>1.508</v>
      </c>
      <c r="P2557" s="99">
        <f>IFERROR(VLOOKUP(B2557,'Pre-Summary'!$BS$6:$BU$35,3,FALSE),P2556)</f>
        <v>0.4</v>
      </c>
      <c r="Q2557" s="54">
        <f t="shared" si="117"/>
        <v>3.77</v>
      </c>
      <c r="R2557" s="53">
        <f>IFERROR(VLOOKUP(B2557,'Pre-Summary'!$BG$6:$BM$44,7,FALSE),R2558)</f>
        <v>0.11030801475343607</v>
      </c>
      <c r="S2557" s="53">
        <f>IFERROR(VLOOKUP(B2557,'Pre-Summary'!$BG$6:$BM$44,6,FALSE),S2558)</f>
        <v>0.11504859134187218</v>
      </c>
      <c r="T2557" s="45" t="str">
        <f>IFERROR(VLOOKUP(B2557,'Pre-Summary'!$Y$6:$AC$83, 3,FALSE),"")</f>
        <v/>
      </c>
      <c r="U2557" s="45" t="str">
        <f>IFERROR(VLOOKUP(B2557,'Pre-Summary'!$Y$6:$AC$83, 4,FALSE),"")</f>
        <v/>
      </c>
      <c r="V2557" t="str">
        <f>IFERROR(VLOOKUP(B2557,'Pre-Summary'!$Y$6:$AC$83, 5,FALSE),"")</f>
        <v/>
      </c>
      <c r="W2557" s="45" t="str">
        <f>IFERROR(VLOOKUP(B2557,'Pre-Summary'!$Y$6:$AD$83,6,FALSE),"")</f>
        <v/>
      </c>
      <c r="X2557" t="str">
        <f>IFERROR(VLOOKUP('Pre-Summary'!$DB$6:$DD$63,3,FALSE),"")</f>
        <v/>
      </c>
      <c r="Y2557" t="str">
        <f>IFERROR(VLOOKUP(B2557,'Pre-Summary'!$CR$6:$CT$36,3,FALSE),"")</f>
        <v/>
      </c>
      <c r="Z2557" s="45" t="str">
        <f>IFERROR(VLOOKUP(B2557,'Pre-Summary'!$BZ$6:$CB$63,2,FALSE),"")</f>
        <v/>
      </c>
      <c r="AA2557" s="45" t="str">
        <f>IFERROR(VLOOKUP(B2557,'Pre-Summary'!$CG$6:$CI$70,2,FALSE),"")</f>
        <v/>
      </c>
      <c r="AB2557" s="99">
        <f>IFERROR(VLOOKUP(B2557,'Pre-Summary'!$A$6:$P$178,9,FALSE),AB2558)</f>
        <v>0.44037364184945627</v>
      </c>
      <c r="AC2557" s="10">
        <f>IFERROR(VLOOKUP(Summary!B2557,'Pre-Summary'!$A$6:$P$184,5, FALSE)/100,AC2558)</f>
        <v>0.9629049999999999</v>
      </c>
      <c r="AD2557" s="10">
        <f>IFERROR(VLOOKUP(Summary!B2557,'Pre-Summary'!$A$6:$P$184,3, FALSE)/100,AD2558)</f>
        <v>3.0608333333333331E-2</v>
      </c>
      <c r="AE2557" s="10">
        <f>IFERROR(VLOOKUP(Summary!B2557,'Pre-Summary'!$A$6:$P$184,7, FALSE)/100,AE2558)</f>
        <v>6.4959999999999992E-3</v>
      </c>
      <c r="AF2557" s="99">
        <f t="shared" si="118"/>
        <v>1.3479103220942106E-2</v>
      </c>
      <c r="AG2557" s="99">
        <f t="shared" si="119"/>
        <v>2.8606671774540674E-3</v>
      </c>
      <c r="AH2557" s="10" t="str">
        <f>IFERROR(VLOOKUP(B2557,'Pre-Summary'!$AZ$6:$BE$65,3,FALSE),"")</f>
        <v/>
      </c>
      <c r="AI2557" s="10" t="str">
        <f>IFERROR(VLOOKUP(B2557,'Pre-Summary'!$AZ$6:$BE$65,5,FALSE),"")</f>
        <v/>
      </c>
      <c r="AJ2557" s="10" t="str">
        <f>IFERROR(VLOOKUP(B2557,'Pre-Summary'!$AZ$6:$BE$65,4,FALSE),"")</f>
        <v/>
      </c>
      <c r="AK2557" s="10" t="str">
        <f>IFERROR(VLOOKUP(B2557,'Pre-Summary'!$AZ$6:$BE$65,6,FALSE),"")</f>
        <v/>
      </c>
      <c r="AL2557" s="10" t="str">
        <f>IFERROR(VLOOKUP(B2557,'Pre-Summary'!$BG$6:$BL$44,3,FALSE),"")</f>
        <v/>
      </c>
      <c r="AM2557" s="10" t="str">
        <f>IFERROR(VLOOKUP(B2557,'Pre-Summary'!$BG$6:$BL$44,4,FALSE),"")</f>
        <v/>
      </c>
    </row>
    <row r="2558" spans="2:39" ht="15" customHeight="1" x14ac:dyDescent="0.3">
      <c r="B2558">
        <v>255.5</v>
      </c>
      <c r="C2558" t="str">
        <f>IFERROR(VLOOKUP(B2558,'Pre-Summary'!$DI$6:$DM$23,4,FALSE),"")</f>
        <v/>
      </c>
      <c r="D2558" s="10" t="str">
        <f>IFERROR(VLOOKUP(B2558,'Pre-Summary'!$AT$6:$AX$14,5,FALSE),D2557)</f>
        <v>Wolfe v3: went back to modified wolfe + EDTA and switched CuSO4 to CUCl2</v>
      </c>
      <c r="E2558" s="10" t="str">
        <f>IFERROR(VLOOKUP(B2558,'Pre-Summary'!$AT$6:$AX$15,4,FALSE),"")</f>
        <v/>
      </c>
      <c r="F2558">
        <f>IFERROR(VLOOKUP(B2558,'Pre-Summary'!$AL$6:$AQ$13,6,FALSE),F2557)</f>
        <v>5.9405263157894746E-2</v>
      </c>
      <c r="G2558" t="str">
        <f>IFERROR(VLOOKUP(B2558,'Pre-Summary'!$AE$6:$AJ$85,3,FALSE),"")</f>
        <v/>
      </c>
      <c r="H2558" t="str">
        <f>IFERROR(VLOOKUP(B2558,'Pre-Summary'!$AE$6:$AJ$85,4,FALSE),"")</f>
        <v/>
      </c>
      <c r="I2558" t="str">
        <f>IFERROR(VLOOKUP(B2558,'Pre-Summary'!$AE$6:$AJ$85,5,FALSE),"")</f>
        <v/>
      </c>
      <c r="J2558" s="45" t="str">
        <f>IFERROR(VLOOKUP(B2558,'Pre-Summary'!$AE$6:$AJ$85,6, FALSE),"")</f>
        <v/>
      </c>
      <c r="K2558" s="45" t="str">
        <f>IFERROR(VLOOKUP(B2558,'Pre-Summary'!$DE$6:$DG$61,3,FALSE),"")</f>
        <v/>
      </c>
      <c r="L2558" s="45" t="str">
        <f>IFERROR(VLOOKUP(B2558,'Pre-Summary'!$CU$6:$CW$36,3,FALSE),"")</f>
        <v/>
      </c>
      <c r="M2558" s="45" t="str">
        <f>IFERROR(VLOOKUP(B2558,'Pre-Summary'!$BW$6:$BY$58,2,FALSE),"")</f>
        <v/>
      </c>
      <c r="N2558" s="45" t="str">
        <f>IFERROR(VLOOKUP(B2558,'Pre-Summary'!$CD$6:$CF$64,2,FALSE),"")</f>
        <v/>
      </c>
      <c r="O2558" s="99">
        <f>IFERROR(VLOOKUP(B2558,'Pre-Summary'!$BO$6:$BQ$48,3, FALSE),O2557)</f>
        <v>1.508</v>
      </c>
      <c r="P2558" s="99">
        <f>IFERROR(VLOOKUP(B2558,'Pre-Summary'!$BS$6:$BU$35,3,FALSE),P2557)</f>
        <v>0.4</v>
      </c>
      <c r="Q2558" s="54">
        <f t="shared" si="117"/>
        <v>3.77</v>
      </c>
      <c r="R2558" s="53">
        <f>IFERROR(VLOOKUP(B2558,'Pre-Summary'!$BG$6:$BM$44,7,FALSE),R2559)</f>
        <v>0.11030801475343607</v>
      </c>
      <c r="S2558" s="53">
        <f>IFERROR(VLOOKUP(B2558,'Pre-Summary'!$BG$6:$BM$44,6,FALSE),S2559)</f>
        <v>0.11504859134187218</v>
      </c>
      <c r="T2558" s="45" t="str">
        <f>IFERROR(VLOOKUP(B2558,'Pre-Summary'!$Y$6:$AC$83, 3,FALSE),"")</f>
        <v/>
      </c>
      <c r="U2558" s="45" t="str">
        <f>IFERROR(VLOOKUP(B2558,'Pre-Summary'!$Y$6:$AC$83, 4,FALSE),"")</f>
        <v/>
      </c>
      <c r="V2558" t="str">
        <f>IFERROR(VLOOKUP(B2558,'Pre-Summary'!$Y$6:$AC$83, 5,FALSE),"")</f>
        <v/>
      </c>
      <c r="W2558" s="45" t="str">
        <f>IFERROR(VLOOKUP(B2558,'Pre-Summary'!$Y$6:$AD$83,6,FALSE),"")</f>
        <v/>
      </c>
      <c r="X2558" t="str">
        <f>IFERROR(VLOOKUP('Pre-Summary'!$DB$6:$DD$63,3,FALSE),"")</f>
        <v/>
      </c>
      <c r="Y2558" t="str">
        <f>IFERROR(VLOOKUP(B2558,'Pre-Summary'!$CR$6:$CT$36,3,FALSE),"")</f>
        <v/>
      </c>
      <c r="Z2558" s="45" t="str">
        <f>IFERROR(VLOOKUP(B2558,'Pre-Summary'!$BZ$6:$CB$63,2,FALSE),"")</f>
        <v/>
      </c>
      <c r="AA2558" s="45" t="str">
        <f>IFERROR(VLOOKUP(B2558,'Pre-Summary'!$CG$6:$CI$70,2,FALSE),"")</f>
        <v/>
      </c>
      <c r="AB2558" s="99">
        <f>IFERROR(VLOOKUP(B2558,'Pre-Summary'!$A$6:$P$178,9,FALSE),AB2559)</f>
        <v>0.44037364184945627</v>
      </c>
      <c r="AC2558" s="10">
        <f>IFERROR(VLOOKUP(Summary!B2558,'Pre-Summary'!$A$6:$P$184,5, FALSE)/100,AC2559)</f>
        <v>0.9629049999999999</v>
      </c>
      <c r="AD2558" s="10">
        <f>IFERROR(VLOOKUP(Summary!B2558,'Pre-Summary'!$A$6:$P$184,3, FALSE)/100,AD2559)</f>
        <v>3.0608333333333331E-2</v>
      </c>
      <c r="AE2558" s="10">
        <f>IFERROR(VLOOKUP(Summary!B2558,'Pre-Summary'!$A$6:$P$184,7, FALSE)/100,AE2559)</f>
        <v>6.4959999999999992E-3</v>
      </c>
      <c r="AF2558" s="99">
        <f t="shared" si="118"/>
        <v>1.3479103220942106E-2</v>
      </c>
      <c r="AG2558" s="99">
        <f t="shared" si="119"/>
        <v>2.8606671774540674E-3</v>
      </c>
      <c r="AH2558" s="10" t="str">
        <f>IFERROR(VLOOKUP(B2558,'Pre-Summary'!$AZ$6:$BE$65,3,FALSE),"")</f>
        <v/>
      </c>
      <c r="AI2558" s="10" t="str">
        <f>IFERROR(VLOOKUP(B2558,'Pre-Summary'!$AZ$6:$BE$65,5,FALSE),"")</f>
        <v/>
      </c>
      <c r="AJ2558" s="10" t="str">
        <f>IFERROR(VLOOKUP(B2558,'Pre-Summary'!$AZ$6:$BE$65,4,FALSE),"")</f>
        <v/>
      </c>
      <c r="AK2558" s="10" t="str">
        <f>IFERROR(VLOOKUP(B2558,'Pre-Summary'!$AZ$6:$BE$65,6,FALSE),"")</f>
        <v/>
      </c>
      <c r="AL2558" s="10" t="str">
        <f>IFERROR(VLOOKUP(B2558,'Pre-Summary'!$BG$6:$BL$44,3,FALSE),"")</f>
        <v/>
      </c>
      <c r="AM2558" s="10" t="str">
        <f>IFERROR(VLOOKUP(B2558,'Pre-Summary'!$BG$6:$BL$44,4,FALSE),"")</f>
        <v/>
      </c>
    </row>
    <row r="2559" spans="2:39" ht="15" customHeight="1" x14ac:dyDescent="0.3">
      <c r="B2559">
        <v>255.6</v>
      </c>
      <c r="C2559" t="str">
        <f>IFERROR(VLOOKUP(B2559,'Pre-Summary'!$DI$6:$DM$23,4,FALSE),"")</f>
        <v/>
      </c>
      <c r="D2559" s="10" t="str">
        <f>IFERROR(VLOOKUP(B2559,'Pre-Summary'!$AT$6:$AX$14,5,FALSE),D2558)</f>
        <v>Wolfe v3: went back to modified wolfe + EDTA and switched CuSO4 to CUCl2</v>
      </c>
      <c r="E2559" s="10" t="str">
        <f>IFERROR(VLOOKUP(B2559,'Pre-Summary'!$AT$6:$AX$15,4,FALSE),"")</f>
        <v/>
      </c>
      <c r="F2559">
        <f>IFERROR(VLOOKUP(B2559,'Pre-Summary'!$AL$6:$AQ$13,6,FALSE),F2558)</f>
        <v>5.9405263157894746E-2</v>
      </c>
      <c r="G2559" t="str">
        <f>IFERROR(VLOOKUP(B2559,'Pre-Summary'!$AE$6:$AJ$85,3,FALSE),"")</f>
        <v/>
      </c>
      <c r="H2559" t="str">
        <f>IFERROR(VLOOKUP(B2559,'Pre-Summary'!$AE$6:$AJ$85,4,FALSE),"")</f>
        <v/>
      </c>
      <c r="I2559" t="str">
        <f>IFERROR(VLOOKUP(B2559,'Pre-Summary'!$AE$6:$AJ$85,5,FALSE),"")</f>
        <v/>
      </c>
      <c r="J2559" s="45" t="str">
        <f>IFERROR(VLOOKUP(B2559,'Pre-Summary'!$AE$6:$AJ$85,6, FALSE),"")</f>
        <v/>
      </c>
      <c r="K2559" s="45" t="str">
        <f>IFERROR(VLOOKUP(B2559,'Pre-Summary'!$DE$6:$DG$61,3,FALSE),"")</f>
        <v/>
      </c>
      <c r="L2559" s="45" t="str">
        <f>IFERROR(VLOOKUP(B2559,'Pre-Summary'!$CU$6:$CW$36,3,FALSE),"")</f>
        <v/>
      </c>
      <c r="M2559" s="45" t="str">
        <f>IFERROR(VLOOKUP(B2559,'Pre-Summary'!$BW$6:$BY$58,2,FALSE),"")</f>
        <v/>
      </c>
      <c r="N2559" s="45" t="str">
        <f>IFERROR(VLOOKUP(B2559,'Pre-Summary'!$CD$6:$CF$64,2,FALSE),"")</f>
        <v/>
      </c>
      <c r="O2559" s="99">
        <f>IFERROR(VLOOKUP(B2559,'Pre-Summary'!$BO$6:$BQ$48,3, FALSE),O2558)</f>
        <v>1.508</v>
      </c>
      <c r="P2559" s="99">
        <f>IFERROR(VLOOKUP(B2559,'Pre-Summary'!$BS$6:$BU$35,3,FALSE),P2558)</f>
        <v>0.4</v>
      </c>
      <c r="Q2559" s="54">
        <f t="shared" si="117"/>
        <v>3.77</v>
      </c>
      <c r="R2559" s="53">
        <f>IFERROR(VLOOKUP(B2559,'Pre-Summary'!$BG$6:$BM$44,7,FALSE),R2560)</f>
        <v>0.11030801475343607</v>
      </c>
      <c r="S2559" s="53">
        <f>IFERROR(VLOOKUP(B2559,'Pre-Summary'!$BG$6:$BM$44,6,FALSE),S2560)</f>
        <v>0.11504859134187218</v>
      </c>
      <c r="T2559" s="45" t="str">
        <f>IFERROR(VLOOKUP(B2559,'Pre-Summary'!$Y$6:$AC$83, 3,FALSE),"")</f>
        <v/>
      </c>
      <c r="U2559" s="45" t="str">
        <f>IFERROR(VLOOKUP(B2559,'Pre-Summary'!$Y$6:$AC$83, 4,FALSE),"")</f>
        <v/>
      </c>
      <c r="V2559" t="str">
        <f>IFERROR(VLOOKUP(B2559,'Pre-Summary'!$Y$6:$AC$83, 5,FALSE),"")</f>
        <v/>
      </c>
      <c r="W2559" s="45" t="str">
        <f>IFERROR(VLOOKUP(B2559,'Pre-Summary'!$Y$6:$AD$83,6,FALSE),"")</f>
        <v/>
      </c>
      <c r="X2559" t="str">
        <f>IFERROR(VLOOKUP('Pre-Summary'!$DB$6:$DD$63,3,FALSE),"")</f>
        <v/>
      </c>
      <c r="Y2559" t="str">
        <f>IFERROR(VLOOKUP(B2559,'Pre-Summary'!$CR$6:$CT$36,3,FALSE),"")</f>
        <v/>
      </c>
      <c r="Z2559" s="45" t="str">
        <f>IFERROR(VLOOKUP(B2559,'Pre-Summary'!$BZ$6:$CB$63,2,FALSE),"")</f>
        <v/>
      </c>
      <c r="AA2559" s="45" t="str">
        <f>IFERROR(VLOOKUP(B2559,'Pre-Summary'!$CG$6:$CI$70,2,FALSE),"")</f>
        <v/>
      </c>
      <c r="AB2559" s="99">
        <f>IFERROR(VLOOKUP(B2559,'Pre-Summary'!$A$6:$P$178,9,FALSE),AB2560)</f>
        <v>0.44037364184945627</v>
      </c>
      <c r="AC2559" s="10">
        <f>IFERROR(VLOOKUP(Summary!B2559,'Pre-Summary'!$A$6:$P$184,5, FALSE)/100,AC2560)</f>
        <v>0.9629049999999999</v>
      </c>
      <c r="AD2559" s="10">
        <f>IFERROR(VLOOKUP(Summary!B2559,'Pre-Summary'!$A$6:$P$184,3, FALSE)/100,AD2560)</f>
        <v>3.0608333333333331E-2</v>
      </c>
      <c r="AE2559" s="10">
        <f>IFERROR(VLOOKUP(Summary!B2559,'Pre-Summary'!$A$6:$P$184,7, FALSE)/100,AE2560)</f>
        <v>6.4959999999999992E-3</v>
      </c>
      <c r="AF2559" s="99">
        <f t="shared" si="118"/>
        <v>1.3479103220942106E-2</v>
      </c>
      <c r="AG2559" s="99">
        <f t="shared" si="119"/>
        <v>2.8606671774540674E-3</v>
      </c>
      <c r="AH2559" s="10" t="str">
        <f>IFERROR(VLOOKUP(B2559,'Pre-Summary'!$AZ$6:$BE$65,3,FALSE),"")</f>
        <v/>
      </c>
      <c r="AI2559" s="10" t="str">
        <f>IFERROR(VLOOKUP(B2559,'Pre-Summary'!$AZ$6:$BE$65,5,FALSE),"")</f>
        <v/>
      </c>
      <c r="AJ2559" s="10" t="str">
        <f>IFERROR(VLOOKUP(B2559,'Pre-Summary'!$AZ$6:$BE$65,4,FALSE),"")</f>
        <v/>
      </c>
      <c r="AK2559" s="10" t="str">
        <f>IFERROR(VLOOKUP(B2559,'Pre-Summary'!$AZ$6:$BE$65,6,FALSE),"")</f>
        <v/>
      </c>
      <c r="AL2559" s="10" t="str">
        <f>IFERROR(VLOOKUP(B2559,'Pre-Summary'!$BG$6:$BL$44,3,FALSE),"")</f>
        <v/>
      </c>
      <c r="AM2559" s="10" t="str">
        <f>IFERROR(VLOOKUP(B2559,'Pre-Summary'!$BG$6:$BL$44,4,FALSE),"")</f>
        <v/>
      </c>
    </row>
    <row r="2560" spans="2:39" ht="15" customHeight="1" x14ac:dyDescent="0.3">
      <c r="B2560">
        <v>255.7</v>
      </c>
      <c r="C2560" t="str">
        <f>IFERROR(VLOOKUP(B2560,'Pre-Summary'!$DI$6:$DM$23,4,FALSE),"")</f>
        <v/>
      </c>
      <c r="D2560" s="10" t="str">
        <f>IFERROR(VLOOKUP(B2560,'Pre-Summary'!$AT$6:$AX$14,5,FALSE),D2559)</f>
        <v>Wolfe v3: went back to modified wolfe + EDTA and switched CuSO4 to CUCl2</v>
      </c>
      <c r="E2560" s="10" t="str">
        <f>IFERROR(VLOOKUP(B2560,'Pre-Summary'!$AT$6:$AX$15,4,FALSE),"")</f>
        <v/>
      </c>
      <c r="F2560">
        <f>IFERROR(VLOOKUP(B2560,'Pre-Summary'!$AL$6:$AQ$13,6,FALSE),F2559)</f>
        <v>5.9405263157894746E-2</v>
      </c>
      <c r="G2560" t="str">
        <f>IFERROR(VLOOKUP(B2560,'Pre-Summary'!$AE$6:$AJ$85,3,FALSE),"")</f>
        <v/>
      </c>
      <c r="H2560" t="str">
        <f>IFERROR(VLOOKUP(B2560,'Pre-Summary'!$AE$6:$AJ$85,4,FALSE),"")</f>
        <v/>
      </c>
      <c r="I2560" t="str">
        <f>IFERROR(VLOOKUP(B2560,'Pre-Summary'!$AE$6:$AJ$85,5,FALSE),"")</f>
        <v/>
      </c>
      <c r="J2560" s="45" t="str">
        <f>IFERROR(VLOOKUP(B2560,'Pre-Summary'!$AE$6:$AJ$85,6, FALSE),"")</f>
        <v/>
      </c>
      <c r="K2560" s="45" t="str">
        <f>IFERROR(VLOOKUP(B2560,'Pre-Summary'!$DE$6:$DG$61,3,FALSE),"")</f>
        <v/>
      </c>
      <c r="L2560" s="45" t="str">
        <f>IFERROR(VLOOKUP(B2560,'Pre-Summary'!$CU$6:$CW$36,3,FALSE),"")</f>
        <v/>
      </c>
      <c r="M2560" s="45" t="str">
        <f>IFERROR(VLOOKUP(B2560,'Pre-Summary'!$BW$6:$BY$58,2,FALSE),"")</f>
        <v/>
      </c>
      <c r="N2560" s="45" t="str">
        <f>IFERROR(VLOOKUP(B2560,'Pre-Summary'!$CD$6:$CF$64,2,FALSE),"")</f>
        <v/>
      </c>
      <c r="O2560" s="99">
        <f>IFERROR(VLOOKUP(B2560,'Pre-Summary'!$BO$6:$BQ$48,3, FALSE),O2559)</f>
        <v>1.508</v>
      </c>
      <c r="P2560" s="99">
        <f>IFERROR(VLOOKUP(B2560,'Pre-Summary'!$BS$6:$BU$35,3,FALSE),P2559)</f>
        <v>0.4</v>
      </c>
      <c r="Q2560" s="54">
        <f t="shared" si="117"/>
        <v>3.77</v>
      </c>
      <c r="R2560" s="53">
        <f>IFERROR(VLOOKUP(B2560,'Pre-Summary'!$BG$6:$BM$44,7,FALSE),R2561)</f>
        <v>0.11030801475343607</v>
      </c>
      <c r="S2560" s="53">
        <f>IFERROR(VLOOKUP(B2560,'Pre-Summary'!$BG$6:$BM$44,6,FALSE),S2561)</f>
        <v>0.11504859134187218</v>
      </c>
      <c r="T2560" s="45" t="str">
        <f>IFERROR(VLOOKUP(B2560,'Pre-Summary'!$Y$6:$AC$83, 3,FALSE),"")</f>
        <v/>
      </c>
      <c r="U2560" s="45" t="str">
        <f>IFERROR(VLOOKUP(B2560,'Pre-Summary'!$Y$6:$AC$83, 4,FALSE),"")</f>
        <v/>
      </c>
      <c r="V2560" t="str">
        <f>IFERROR(VLOOKUP(B2560,'Pre-Summary'!$Y$6:$AC$83, 5,FALSE),"")</f>
        <v/>
      </c>
      <c r="W2560" s="45" t="str">
        <f>IFERROR(VLOOKUP(B2560,'Pre-Summary'!$Y$6:$AD$83,6,FALSE),"")</f>
        <v/>
      </c>
      <c r="X2560" t="str">
        <f>IFERROR(VLOOKUP('Pre-Summary'!$DB$6:$DD$63,3,FALSE),"")</f>
        <v/>
      </c>
      <c r="Y2560" t="str">
        <f>IFERROR(VLOOKUP(B2560,'Pre-Summary'!$CR$6:$CT$36,3,FALSE),"")</f>
        <v/>
      </c>
      <c r="Z2560" s="45" t="str">
        <f>IFERROR(VLOOKUP(B2560,'Pre-Summary'!$BZ$6:$CB$63,2,FALSE),"")</f>
        <v/>
      </c>
      <c r="AA2560" s="45" t="str">
        <f>IFERROR(VLOOKUP(B2560,'Pre-Summary'!$CG$6:$CI$70,2,FALSE),"")</f>
        <v/>
      </c>
      <c r="AB2560" s="99">
        <f>IFERROR(VLOOKUP(B2560,'Pre-Summary'!$A$6:$P$178,9,FALSE),AB2561)</f>
        <v>0.44037364184945627</v>
      </c>
      <c r="AC2560" s="10">
        <f>IFERROR(VLOOKUP(Summary!B2560,'Pre-Summary'!$A$6:$P$184,5, FALSE)/100,AC2561)</f>
        <v>0.9629049999999999</v>
      </c>
      <c r="AD2560" s="10">
        <f>IFERROR(VLOOKUP(Summary!B2560,'Pre-Summary'!$A$6:$P$184,3, FALSE)/100,AD2561)</f>
        <v>3.0608333333333331E-2</v>
      </c>
      <c r="AE2560" s="10">
        <f>IFERROR(VLOOKUP(Summary!B2560,'Pre-Summary'!$A$6:$P$184,7, FALSE)/100,AE2561)</f>
        <v>6.4959999999999992E-3</v>
      </c>
      <c r="AF2560" s="99">
        <f t="shared" si="118"/>
        <v>1.3479103220942106E-2</v>
      </c>
      <c r="AG2560" s="99">
        <f t="shared" si="119"/>
        <v>2.8606671774540674E-3</v>
      </c>
      <c r="AH2560" s="10" t="str">
        <f>IFERROR(VLOOKUP(B2560,'Pre-Summary'!$AZ$6:$BE$65,3,FALSE),"")</f>
        <v/>
      </c>
      <c r="AI2560" s="10" t="str">
        <f>IFERROR(VLOOKUP(B2560,'Pre-Summary'!$AZ$6:$BE$65,5,FALSE),"")</f>
        <v/>
      </c>
      <c r="AJ2560" s="10" t="str">
        <f>IFERROR(VLOOKUP(B2560,'Pre-Summary'!$AZ$6:$BE$65,4,FALSE),"")</f>
        <v/>
      </c>
      <c r="AK2560" s="10" t="str">
        <f>IFERROR(VLOOKUP(B2560,'Pre-Summary'!$AZ$6:$BE$65,6,FALSE),"")</f>
        <v/>
      </c>
      <c r="AL2560" s="10" t="str">
        <f>IFERROR(VLOOKUP(B2560,'Pre-Summary'!$BG$6:$BL$44,3,FALSE),"")</f>
        <v/>
      </c>
      <c r="AM2560" s="10" t="str">
        <f>IFERROR(VLOOKUP(B2560,'Pre-Summary'!$BG$6:$BL$44,4,FALSE),"")</f>
        <v/>
      </c>
    </row>
    <row r="2561" spans="2:39" ht="15" customHeight="1" x14ac:dyDescent="0.3">
      <c r="B2561">
        <v>255.8</v>
      </c>
      <c r="C2561" t="str">
        <f>IFERROR(VLOOKUP(B2561,'Pre-Summary'!$DI$6:$DM$23,4,FALSE),"")</f>
        <v/>
      </c>
      <c r="D2561" s="10" t="str">
        <f>IFERROR(VLOOKUP(B2561,'Pre-Summary'!$AT$6:$AX$14,5,FALSE),D2560)</f>
        <v>Wolfe v3: went back to modified wolfe + EDTA and switched CuSO4 to CUCl2</v>
      </c>
      <c r="E2561" s="10" t="str">
        <f>IFERROR(VLOOKUP(B2561,'Pre-Summary'!$AT$6:$AX$15,4,FALSE),"")</f>
        <v/>
      </c>
      <c r="F2561">
        <f>IFERROR(VLOOKUP(B2561,'Pre-Summary'!$AL$6:$AQ$13,6,FALSE),F2560)</f>
        <v>5.9405263157894746E-2</v>
      </c>
      <c r="G2561" t="str">
        <f>IFERROR(VLOOKUP(B2561,'Pre-Summary'!$AE$6:$AJ$85,3,FALSE),"")</f>
        <v/>
      </c>
      <c r="H2561" t="str">
        <f>IFERROR(VLOOKUP(B2561,'Pre-Summary'!$AE$6:$AJ$85,4,FALSE),"")</f>
        <v/>
      </c>
      <c r="I2561" t="str">
        <f>IFERROR(VLOOKUP(B2561,'Pre-Summary'!$AE$6:$AJ$85,5,FALSE),"")</f>
        <v/>
      </c>
      <c r="J2561" s="45" t="str">
        <f>IFERROR(VLOOKUP(B2561,'Pre-Summary'!$AE$6:$AJ$85,6, FALSE),"")</f>
        <v/>
      </c>
      <c r="K2561" s="45" t="str">
        <f>IFERROR(VLOOKUP(B2561,'Pre-Summary'!$DE$6:$DG$61,3,FALSE),"")</f>
        <v/>
      </c>
      <c r="L2561" s="45" t="str">
        <f>IFERROR(VLOOKUP(B2561,'Pre-Summary'!$CU$6:$CW$36,3,FALSE),"")</f>
        <v/>
      </c>
      <c r="M2561" s="45" t="str">
        <f>IFERROR(VLOOKUP(B2561,'Pre-Summary'!$BW$6:$BY$58,2,FALSE),"")</f>
        <v/>
      </c>
      <c r="N2561" s="45" t="str">
        <f>IFERROR(VLOOKUP(B2561,'Pre-Summary'!$CD$6:$CF$64,2,FALSE),"")</f>
        <v/>
      </c>
      <c r="O2561" s="99">
        <f>IFERROR(VLOOKUP(B2561,'Pre-Summary'!$BO$6:$BQ$48,3, FALSE),O2560)</f>
        <v>1.508</v>
      </c>
      <c r="P2561" s="99">
        <f>IFERROR(VLOOKUP(B2561,'Pre-Summary'!$BS$6:$BU$35,3,FALSE),P2560)</f>
        <v>0.4</v>
      </c>
      <c r="Q2561" s="54">
        <f t="shared" si="117"/>
        <v>3.77</v>
      </c>
      <c r="R2561" s="53">
        <f>IFERROR(VLOOKUP(B2561,'Pre-Summary'!$BG$6:$BM$44,7,FALSE),R2562)</f>
        <v>0.11030801475343607</v>
      </c>
      <c r="S2561" s="53">
        <f>IFERROR(VLOOKUP(B2561,'Pre-Summary'!$BG$6:$BM$44,6,FALSE),S2562)</f>
        <v>0.11504859134187218</v>
      </c>
      <c r="T2561" s="45" t="str">
        <f>IFERROR(VLOOKUP(B2561,'Pre-Summary'!$Y$6:$AC$83, 3,FALSE),"")</f>
        <v/>
      </c>
      <c r="U2561" s="45" t="str">
        <f>IFERROR(VLOOKUP(B2561,'Pre-Summary'!$Y$6:$AC$83, 4,FALSE),"")</f>
        <v/>
      </c>
      <c r="V2561" t="str">
        <f>IFERROR(VLOOKUP(B2561,'Pre-Summary'!$Y$6:$AC$83, 5,FALSE),"")</f>
        <v/>
      </c>
      <c r="W2561" s="45" t="str">
        <f>IFERROR(VLOOKUP(B2561,'Pre-Summary'!$Y$6:$AD$83,6,FALSE),"")</f>
        <v/>
      </c>
      <c r="X2561" t="str">
        <f>IFERROR(VLOOKUP('Pre-Summary'!$DB$6:$DD$63,3,FALSE),"")</f>
        <v/>
      </c>
      <c r="Y2561" t="str">
        <f>IFERROR(VLOOKUP(B2561,'Pre-Summary'!$CR$6:$CT$36,3,FALSE),"")</f>
        <v/>
      </c>
      <c r="Z2561" s="45" t="str">
        <f>IFERROR(VLOOKUP(B2561,'Pre-Summary'!$BZ$6:$CB$63,2,FALSE),"")</f>
        <v/>
      </c>
      <c r="AA2561" s="45" t="str">
        <f>IFERROR(VLOOKUP(B2561,'Pre-Summary'!$CG$6:$CI$70,2,FALSE),"")</f>
        <v/>
      </c>
      <c r="AB2561" s="99">
        <f>IFERROR(VLOOKUP(B2561,'Pre-Summary'!$A$6:$P$178,9,FALSE),AB2562)</f>
        <v>0.44037364184945627</v>
      </c>
      <c r="AC2561" s="10">
        <f>IFERROR(VLOOKUP(Summary!B2561,'Pre-Summary'!$A$6:$P$184,5, FALSE)/100,AC2562)</f>
        <v>0.9629049999999999</v>
      </c>
      <c r="AD2561" s="10">
        <f>IFERROR(VLOOKUP(Summary!B2561,'Pre-Summary'!$A$6:$P$184,3, FALSE)/100,AD2562)</f>
        <v>3.0608333333333331E-2</v>
      </c>
      <c r="AE2561" s="10">
        <f>IFERROR(VLOOKUP(Summary!B2561,'Pre-Summary'!$A$6:$P$184,7, FALSE)/100,AE2562)</f>
        <v>6.4959999999999992E-3</v>
      </c>
      <c r="AF2561" s="99">
        <f t="shared" si="118"/>
        <v>1.3479103220942106E-2</v>
      </c>
      <c r="AG2561" s="99">
        <f t="shared" si="119"/>
        <v>2.8606671774540674E-3</v>
      </c>
      <c r="AH2561" s="10" t="str">
        <f>IFERROR(VLOOKUP(B2561,'Pre-Summary'!$AZ$6:$BE$65,3,FALSE),"")</f>
        <v/>
      </c>
      <c r="AI2561" s="10" t="str">
        <f>IFERROR(VLOOKUP(B2561,'Pre-Summary'!$AZ$6:$BE$65,5,FALSE),"")</f>
        <v/>
      </c>
      <c r="AJ2561" s="10" t="str">
        <f>IFERROR(VLOOKUP(B2561,'Pre-Summary'!$AZ$6:$BE$65,4,FALSE),"")</f>
        <v/>
      </c>
      <c r="AK2561" s="10" t="str">
        <f>IFERROR(VLOOKUP(B2561,'Pre-Summary'!$AZ$6:$BE$65,6,FALSE),"")</f>
        <v/>
      </c>
      <c r="AL2561" s="10" t="str">
        <f>IFERROR(VLOOKUP(B2561,'Pre-Summary'!$BG$6:$BL$44,3,FALSE),"")</f>
        <v/>
      </c>
      <c r="AM2561" s="10" t="str">
        <f>IFERROR(VLOOKUP(B2561,'Pre-Summary'!$BG$6:$BL$44,4,FALSE),"")</f>
        <v/>
      </c>
    </row>
    <row r="2562" spans="2:39" ht="15" customHeight="1" x14ac:dyDescent="0.3">
      <c r="B2562">
        <v>255.9</v>
      </c>
      <c r="C2562" t="str">
        <f>IFERROR(VLOOKUP(B2562,'Pre-Summary'!$DI$6:$DM$23,4,FALSE),"")</f>
        <v/>
      </c>
      <c r="D2562" s="10" t="str">
        <f>IFERROR(VLOOKUP(B2562,'Pre-Summary'!$AT$6:$AX$14,5,FALSE),D2561)</f>
        <v>Wolfe v3: went back to modified wolfe + EDTA and switched CuSO4 to CUCl2</v>
      </c>
      <c r="E2562" s="10" t="str">
        <f>IFERROR(VLOOKUP(B2562,'Pre-Summary'!$AT$6:$AX$15,4,FALSE),"")</f>
        <v/>
      </c>
      <c r="F2562">
        <f>IFERROR(VLOOKUP(B2562,'Pre-Summary'!$AL$6:$AQ$13,6,FALSE),F2561)</f>
        <v>5.9405263157894746E-2</v>
      </c>
      <c r="G2562" t="str">
        <f>IFERROR(VLOOKUP(B2562,'Pre-Summary'!$AE$6:$AJ$85,3,FALSE),"")</f>
        <v/>
      </c>
      <c r="H2562" t="str">
        <f>IFERROR(VLOOKUP(B2562,'Pre-Summary'!$AE$6:$AJ$85,4,FALSE),"")</f>
        <v/>
      </c>
      <c r="I2562" t="str">
        <f>IFERROR(VLOOKUP(B2562,'Pre-Summary'!$AE$6:$AJ$85,5,FALSE),"")</f>
        <v/>
      </c>
      <c r="J2562" s="45" t="str">
        <f>IFERROR(VLOOKUP(B2562,'Pre-Summary'!$AE$6:$AJ$85,6, FALSE),"")</f>
        <v/>
      </c>
      <c r="K2562" s="45" t="str">
        <f>IFERROR(VLOOKUP(B2562,'Pre-Summary'!$DE$6:$DG$61,3,FALSE),"")</f>
        <v/>
      </c>
      <c r="L2562" s="45" t="str">
        <f>IFERROR(VLOOKUP(B2562,'Pre-Summary'!$CU$6:$CW$36,3,FALSE),"")</f>
        <v/>
      </c>
      <c r="M2562" s="45" t="str">
        <f>IFERROR(VLOOKUP(B2562,'Pre-Summary'!$BW$6:$BY$58,2,FALSE),"")</f>
        <v/>
      </c>
      <c r="N2562" s="45" t="str">
        <f>IFERROR(VLOOKUP(B2562,'Pre-Summary'!$CD$6:$CF$64,2,FALSE),"")</f>
        <v/>
      </c>
      <c r="O2562" s="99">
        <f>IFERROR(VLOOKUP(B2562,'Pre-Summary'!$BO$6:$BQ$48,3, FALSE),O2561)</f>
        <v>1.508</v>
      </c>
      <c r="P2562" s="99">
        <f>IFERROR(VLOOKUP(B2562,'Pre-Summary'!$BS$6:$BU$35,3,FALSE),P2561)</f>
        <v>0.4</v>
      </c>
      <c r="Q2562" s="54">
        <f t="shared" si="117"/>
        <v>3.77</v>
      </c>
      <c r="R2562" s="53">
        <f>IFERROR(VLOOKUP(B2562,'Pre-Summary'!$BG$6:$BM$44,7,FALSE),R2563)</f>
        <v>0.11030801475343607</v>
      </c>
      <c r="S2562" s="53">
        <f>IFERROR(VLOOKUP(B2562,'Pre-Summary'!$BG$6:$BM$44,6,FALSE),S2563)</f>
        <v>0.11504859134187218</v>
      </c>
      <c r="T2562" s="45" t="str">
        <f>IFERROR(VLOOKUP(B2562,'Pre-Summary'!$Y$6:$AC$83, 3,FALSE),"")</f>
        <v/>
      </c>
      <c r="U2562" s="45" t="str">
        <f>IFERROR(VLOOKUP(B2562,'Pre-Summary'!$Y$6:$AC$83, 4,FALSE),"")</f>
        <v/>
      </c>
      <c r="V2562" t="str">
        <f>IFERROR(VLOOKUP(B2562,'Pre-Summary'!$Y$6:$AC$83, 5,FALSE),"")</f>
        <v/>
      </c>
      <c r="W2562" s="45" t="str">
        <f>IFERROR(VLOOKUP(B2562,'Pre-Summary'!$Y$6:$AD$83,6,FALSE),"")</f>
        <v/>
      </c>
      <c r="X2562" t="str">
        <f>IFERROR(VLOOKUP('Pre-Summary'!$DB$6:$DD$63,3,FALSE),"")</f>
        <v/>
      </c>
      <c r="Y2562" t="str">
        <f>IFERROR(VLOOKUP(B2562,'Pre-Summary'!$CR$6:$CT$36,3,FALSE),"")</f>
        <v/>
      </c>
      <c r="Z2562" s="45" t="str">
        <f>IFERROR(VLOOKUP(B2562,'Pre-Summary'!$BZ$6:$CB$63,2,FALSE),"")</f>
        <v/>
      </c>
      <c r="AA2562" s="45" t="str">
        <f>IFERROR(VLOOKUP(B2562,'Pre-Summary'!$CG$6:$CI$70,2,FALSE),"")</f>
        <v/>
      </c>
      <c r="AB2562" s="99">
        <f>IFERROR(VLOOKUP(B2562,'Pre-Summary'!$A$6:$P$178,9,FALSE),AB2563)</f>
        <v>0.44037364184945627</v>
      </c>
      <c r="AC2562" s="10">
        <f>IFERROR(VLOOKUP(Summary!B2562,'Pre-Summary'!$A$6:$P$184,5, FALSE)/100,AC2563)</f>
        <v>0.9629049999999999</v>
      </c>
      <c r="AD2562" s="10">
        <f>IFERROR(VLOOKUP(Summary!B2562,'Pre-Summary'!$A$6:$P$184,3, FALSE)/100,AD2563)</f>
        <v>3.0608333333333331E-2</v>
      </c>
      <c r="AE2562" s="10">
        <f>IFERROR(VLOOKUP(Summary!B2562,'Pre-Summary'!$A$6:$P$184,7, FALSE)/100,AE2563)</f>
        <v>6.4959999999999992E-3</v>
      </c>
      <c r="AF2562" s="99">
        <f t="shared" si="118"/>
        <v>1.3479103220942106E-2</v>
      </c>
      <c r="AG2562" s="99">
        <f t="shared" si="119"/>
        <v>2.8606671774540674E-3</v>
      </c>
      <c r="AH2562" s="10" t="str">
        <f>IFERROR(VLOOKUP(B2562,'Pre-Summary'!$AZ$6:$BE$65,3,FALSE),"")</f>
        <v/>
      </c>
      <c r="AI2562" s="10" t="str">
        <f>IFERROR(VLOOKUP(B2562,'Pre-Summary'!$AZ$6:$BE$65,5,FALSE),"")</f>
        <v/>
      </c>
      <c r="AJ2562" s="10" t="str">
        <f>IFERROR(VLOOKUP(B2562,'Pre-Summary'!$AZ$6:$BE$65,4,FALSE),"")</f>
        <v/>
      </c>
      <c r="AK2562" s="10" t="str">
        <f>IFERROR(VLOOKUP(B2562,'Pre-Summary'!$AZ$6:$BE$65,6,FALSE),"")</f>
        <v/>
      </c>
      <c r="AL2562" s="10" t="str">
        <f>IFERROR(VLOOKUP(B2562,'Pre-Summary'!$BG$6:$BL$44,3,FALSE),"")</f>
        <v/>
      </c>
      <c r="AM2562" s="10" t="str">
        <f>IFERROR(VLOOKUP(B2562,'Pre-Summary'!$BG$6:$BL$44,4,FALSE),"")</f>
        <v/>
      </c>
    </row>
    <row r="2563" spans="2:39" ht="15" customHeight="1" x14ac:dyDescent="0.3">
      <c r="B2563">
        <v>256</v>
      </c>
      <c r="C2563" t="str">
        <f>IFERROR(VLOOKUP(B2563,'Pre-Summary'!$DI$6:$DM$23,4,FALSE),"")</f>
        <v/>
      </c>
      <c r="D2563" s="10" t="str">
        <f>IFERROR(VLOOKUP(B2563,'Pre-Summary'!$AT$6:$AX$14,5,FALSE),D2562)</f>
        <v>Wolfe v3: went back to modified wolfe + EDTA and switched CuSO4 to CUCl2</v>
      </c>
      <c r="E2563" s="10" t="str">
        <f>IFERROR(VLOOKUP(B2563,'Pre-Summary'!$AT$6:$AX$15,4,FALSE),"")</f>
        <v/>
      </c>
      <c r="F2563">
        <f>IFERROR(VLOOKUP(B2563,'Pre-Summary'!$AL$6:$AQ$13,6,FALSE),F2562)</f>
        <v>5.9405263157894746E-2</v>
      </c>
      <c r="G2563" t="str">
        <f>IFERROR(VLOOKUP(B2563,'Pre-Summary'!$AE$6:$AJ$85,3,FALSE),"")</f>
        <v/>
      </c>
      <c r="H2563" t="str">
        <f>IFERROR(VLOOKUP(B2563,'Pre-Summary'!$AE$6:$AJ$85,4,FALSE),"")</f>
        <v/>
      </c>
      <c r="I2563" t="str">
        <f>IFERROR(VLOOKUP(B2563,'Pre-Summary'!$AE$6:$AJ$85,5,FALSE),"")</f>
        <v/>
      </c>
      <c r="J2563" s="45" t="str">
        <f>IFERROR(VLOOKUP(B2563,'Pre-Summary'!$AE$6:$AJ$85,6, FALSE),"")</f>
        <v/>
      </c>
      <c r="K2563" s="45" t="str">
        <f>IFERROR(VLOOKUP(B2563,'Pre-Summary'!$DE$6:$DG$61,3,FALSE),"")</f>
        <v/>
      </c>
      <c r="L2563" s="45" t="str">
        <f>IFERROR(VLOOKUP(B2563,'Pre-Summary'!$CU$6:$CW$36,3,FALSE),"")</f>
        <v/>
      </c>
      <c r="M2563" s="45" t="str">
        <f>IFERROR(VLOOKUP(B2563,'Pre-Summary'!$BW$6:$BY$58,2,FALSE),"")</f>
        <v/>
      </c>
      <c r="N2563" s="45" t="str">
        <f>IFERROR(VLOOKUP(B2563,'Pre-Summary'!$CD$6:$CF$64,2,FALSE),"")</f>
        <v/>
      </c>
      <c r="O2563" s="99">
        <f>IFERROR(VLOOKUP(B2563,'Pre-Summary'!$BO$6:$BQ$48,3, FALSE),O2562)</f>
        <v>1.508</v>
      </c>
      <c r="P2563" s="99">
        <f>IFERROR(VLOOKUP(B2563,'Pre-Summary'!$BS$6:$BU$35,3,FALSE),P2562)</f>
        <v>0.4</v>
      </c>
      <c r="Q2563" s="54">
        <f t="shared" ref="Q2563:Q2626" si="120">O2563/P2563</f>
        <v>3.77</v>
      </c>
      <c r="R2563" s="53">
        <f>IFERROR(VLOOKUP(B2563,'Pre-Summary'!$BG$6:$BM$44,7,FALSE),R2564)</f>
        <v>0.11030801475343607</v>
      </c>
      <c r="S2563" s="53">
        <f>IFERROR(VLOOKUP(B2563,'Pre-Summary'!$BG$6:$BM$44,6,FALSE),S2564)</f>
        <v>0.11504859134187218</v>
      </c>
      <c r="T2563" s="45" t="str">
        <f>IFERROR(VLOOKUP(B2563,'Pre-Summary'!$Y$6:$AC$83, 3,FALSE),"")</f>
        <v/>
      </c>
      <c r="U2563" s="45" t="str">
        <f>IFERROR(VLOOKUP(B2563,'Pre-Summary'!$Y$6:$AC$83, 4,FALSE),"")</f>
        <v/>
      </c>
      <c r="V2563" t="str">
        <f>IFERROR(VLOOKUP(B2563,'Pre-Summary'!$Y$6:$AC$83, 5,FALSE),"")</f>
        <v/>
      </c>
      <c r="W2563" s="45" t="str">
        <f>IFERROR(VLOOKUP(B2563,'Pre-Summary'!$Y$6:$AD$83,6,FALSE),"")</f>
        <v/>
      </c>
      <c r="X2563" t="str">
        <f>IFERROR(VLOOKUP('Pre-Summary'!$DB$6:$DD$63,3,FALSE),"")</f>
        <v/>
      </c>
      <c r="Y2563" t="str">
        <f>IFERROR(VLOOKUP(B2563,'Pre-Summary'!$CR$6:$CT$36,3,FALSE),"")</f>
        <v/>
      </c>
      <c r="Z2563" s="45" t="str">
        <f>IFERROR(VLOOKUP(B2563,'Pre-Summary'!$BZ$6:$CB$63,2,FALSE),"")</f>
        <v/>
      </c>
      <c r="AA2563" s="45" t="str">
        <f>IFERROR(VLOOKUP(B2563,'Pre-Summary'!$CG$6:$CI$70,2,FALSE),"")</f>
        <v/>
      </c>
      <c r="AB2563" s="99">
        <f>IFERROR(VLOOKUP(B2563,'Pre-Summary'!$A$6:$P$178,9,FALSE),AB2564)</f>
        <v>0.44037364184945627</v>
      </c>
      <c r="AC2563" s="10">
        <f>IFERROR(VLOOKUP(Summary!B2563,'Pre-Summary'!$A$6:$P$184,5, FALSE)/100,AC2564)</f>
        <v>0.9629049999999999</v>
      </c>
      <c r="AD2563" s="10">
        <f>IFERROR(VLOOKUP(Summary!B2563,'Pre-Summary'!$A$6:$P$184,3, FALSE)/100,AD2564)</f>
        <v>3.0608333333333331E-2</v>
      </c>
      <c r="AE2563" s="10">
        <f>IFERROR(VLOOKUP(Summary!B2563,'Pre-Summary'!$A$6:$P$184,7, FALSE)/100,AE2564)</f>
        <v>6.4959999999999992E-3</v>
      </c>
      <c r="AF2563" s="99">
        <f t="shared" ref="AF2563:AF2626" si="121">AD2563*AB2563</f>
        <v>1.3479103220942106E-2</v>
      </c>
      <c r="AG2563" s="99">
        <f t="shared" ref="AG2563:AG2626" si="122">AB2563*AE2563</f>
        <v>2.8606671774540674E-3</v>
      </c>
      <c r="AH2563" s="10" t="str">
        <f>IFERROR(VLOOKUP(B2563,'Pre-Summary'!$AZ$6:$BE$65,3,FALSE),"")</f>
        <v/>
      </c>
      <c r="AI2563" s="10" t="str">
        <f>IFERROR(VLOOKUP(B2563,'Pre-Summary'!$AZ$6:$BE$65,5,FALSE),"")</f>
        <v/>
      </c>
      <c r="AJ2563" s="10" t="str">
        <f>IFERROR(VLOOKUP(B2563,'Pre-Summary'!$AZ$6:$BE$65,4,FALSE),"")</f>
        <v/>
      </c>
      <c r="AK2563" s="10" t="str">
        <f>IFERROR(VLOOKUP(B2563,'Pre-Summary'!$AZ$6:$BE$65,6,FALSE),"")</f>
        <v/>
      </c>
      <c r="AL2563" s="10" t="str">
        <f>IFERROR(VLOOKUP(B2563,'Pre-Summary'!$BG$6:$BL$44,3,FALSE),"")</f>
        <v/>
      </c>
      <c r="AM2563" s="10" t="str">
        <f>IFERROR(VLOOKUP(B2563,'Pre-Summary'!$BG$6:$BL$44,4,FALSE),"")</f>
        <v/>
      </c>
    </row>
    <row r="2564" spans="2:39" ht="15" customHeight="1" x14ac:dyDescent="0.3">
      <c r="B2564">
        <v>256.10000000000002</v>
      </c>
      <c r="C2564" t="str">
        <f>IFERROR(VLOOKUP(B2564,'Pre-Summary'!$DI$6:$DM$23,4,FALSE),"")</f>
        <v/>
      </c>
      <c r="D2564" s="10" t="str">
        <f>IFERROR(VLOOKUP(B2564,'Pre-Summary'!$AT$6:$AX$14,5,FALSE),D2563)</f>
        <v>Wolfe v3: went back to modified wolfe + EDTA and switched CuSO4 to CUCl2</v>
      </c>
      <c r="E2564" s="10" t="str">
        <f>IFERROR(VLOOKUP(B2564,'Pre-Summary'!$AT$6:$AX$15,4,FALSE),"")</f>
        <v/>
      </c>
      <c r="F2564">
        <f>IFERROR(VLOOKUP(B2564,'Pre-Summary'!$AL$6:$AQ$13,6,FALSE),F2563)</f>
        <v>5.9405263157894746E-2</v>
      </c>
      <c r="G2564" t="str">
        <f>IFERROR(VLOOKUP(B2564,'Pre-Summary'!$AE$6:$AJ$85,3,FALSE),"")</f>
        <v/>
      </c>
      <c r="H2564" t="str">
        <f>IFERROR(VLOOKUP(B2564,'Pre-Summary'!$AE$6:$AJ$85,4,FALSE),"")</f>
        <v/>
      </c>
      <c r="I2564" t="str">
        <f>IFERROR(VLOOKUP(B2564,'Pre-Summary'!$AE$6:$AJ$85,5,FALSE),"")</f>
        <v/>
      </c>
      <c r="J2564" s="45" t="str">
        <f>IFERROR(VLOOKUP(B2564,'Pre-Summary'!$AE$6:$AJ$85,6, FALSE),"")</f>
        <v/>
      </c>
      <c r="K2564" s="45" t="str">
        <f>IFERROR(VLOOKUP(B2564,'Pre-Summary'!$DE$6:$DG$61,3,FALSE),"")</f>
        <v/>
      </c>
      <c r="L2564" s="45" t="str">
        <f>IFERROR(VLOOKUP(B2564,'Pre-Summary'!$CU$6:$CW$36,3,FALSE),"")</f>
        <v/>
      </c>
      <c r="M2564" s="45" t="str">
        <f>IFERROR(VLOOKUP(B2564,'Pre-Summary'!$BW$6:$BY$58,2,FALSE),"")</f>
        <v/>
      </c>
      <c r="N2564" s="45" t="str">
        <f>IFERROR(VLOOKUP(B2564,'Pre-Summary'!$CD$6:$CF$64,2,FALSE),"")</f>
        <v/>
      </c>
      <c r="O2564" s="99">
        <f>IFERROR(VLOOKUP(B2564,'Pre-Summary'!$BO$6:$BQ$48,3, FALSE),O2563)</f>
        <v>1.508</v>
      </c>
      <c r="P2564" s="99">
        <f>IFERROR(VLOOKUP(B2564,'Pre-Summary'!$BS$6:$BU$35,3,FALSE),P2563)</f>
        <v>0.4</v>
      </c>
      <c r="Q2564" s="54">
        <f t="shared" si="120"/>
        <v>3.77</v>
      </c>
      <c r="R2564" s="53">
        <f>IFERROR(VLOOKUP(B2564,'Pre-Summary'!$BG$6:$BM$44,7,FALSE),R2565)</f>
        <v>0.11030801475343607</v>
      </c>
      <c r="S2564" s="53">
        <f>IFERROR(VLOOKUP(B2564,'Pre-Summary'!$BG$6:$BM$44,6,FALSE),S2565)</f>
        <v>0.11504859134187218</v>
      </c>
      <c r="T2564" s="45" t="str">
        <f>IFERROR(VLOOKUP(B2564,'Pre-Summary'!$Y$6:$AC$83, 3,FALSE),"")</f>
        <v/>
      </c>
      <c r="U2564" s="45" t="str">
        <f>IFERROR(VLOOKUP(B2564,'Pre-Summary'!$Y$6:$AC$83, 4,FALSE),"")</f>
        <v/>
      </c>
      <c r="V2564" t="str">
        <f>IFERROR(VLOOKUP(B2564,'Pre-Summary'!$Y$6:$AC$83, 5,FALSE),"")</f>
        <v/>
      </c>
      <c r="W2564" s="45" t="str">
        <f>IFERROR(VLOOKUP(B2564,'Pre-Summary'!$Y$6:$AD$83,6,FALSE),"")</f>
        <v/>
      </c>
      <c r="X2564" t="str">
        <f>IFERROR(VLOOKUP('Pre-Summary'!$DB$6:$DD$63,3,FALSE),"")</f>
        <v/>
      </c>
      <c r="Y2564" t="str">
        <f>IFERROR(VLOOKUP(B2564,'Pre-Summary'!$CR$6:$CT$36,3,FALSE),"")</f>
        <v/>
      </c>
      <c r="Z2564" s="45" t="str">
        <f>IFERROR(VLOOKUP(B2564,'Pre-Summary'!$BZ$6:$CB$63,2,FALSE),"")</f>
        <v/>
      </c>
      <c r="AA2564" s="45" t="str">
        <f>IFERROR(VLOOKUP(B2564,'Pre-Summary'!$CG$6:$CI$70,2,FALSE),"")</f>
        <v/>
      </c>
      <c r="AB2564" s="99">
        <f>IFERROR(VLOOKUP(B2564,'Pre-Summary'!$A$6:$P$178,9,FALSE),AB2565)</f>
        <v>0.44037364184945627</v>
      </c>
      <c r="AC2564" s="10">
        <f>IFERROR(VLOOKUP(Summary!B2564,'Pre-Summary'!$A$6:$P$184,5, FALSE)/100,AC2565)</f>
        <v>0.9629049999999999</v>
      </c>
      <c r="AD2564" s="10">
        <f>IFERROR(VLOOKUP(Summary!B2564,'Pre-Summary'!$A$6:$P$184,3, FALSE)/100,AD2565)</f>
        <v>3.0608333333333331E-2</v>
      </c>
      <c r="AE2564" s="10">
        <f>IFERROR(VLOOKUP(Summary!B2564,'Pre-Summary'!$A$6:$P$184,7, FALSE)/100,AE2565)</f>
        <v>6.4959999999999992E-3</v>
      </c>
      <c r="AF2564" s="99">
        <f t="shared" si="121"/>
        <v>1.3479103220942106E-2</v>
      </c>
      <c r="AG2564" s="99">
        <f t="shared" si="122"/>
        <v>2.8606671774540674E-3</v>
      </c>
      <c r="AH2564" s="10" t="str">
        <f>IFERROR(VLOOKUP(B2564,'Pre-Summary'!$AZ$6:$BE$65,3,FALSE),"")</f>
        <v/>
      </c>
      <c r="AI2564" s="10" t="str">
        <f>IFERROR(VLOOKUP(B2564,'Pre-Summary'!$AZ$6:$BE$65,5,FALSE),"")</f>
        <v/>
      </c>
      <c r="AJ2564" s="10" t="str">
        <f>IFERROR(VLOOKUP(B2564,'Pre-Summary'!$AZ$6:$BE$65,4,FALSE),"")</f>
        <v/>
      </c>
      <c r="AK2564" s="10" t="str">
        <f>IFERROR(VLOOKUP(B2564,'Pre-Summary'!$AZ$6:$BE$65,6,FALSE),"")</f>
        <v/>
      </c>
      <c r="AL2564" s="10" t="str">
        <f>IFERROR(VLOOKUP(B2564,'Pre-Summary'!$BG$6:$BL$44,3,FALSE),"")</f>
        <v/>
      </c>
      <c r="AM2564" s="10" t="str">
        <f>IFERROR(VLOOKUP(B2564,'Pre-Summary'!$BG$6:$BL$44,4,FALSE),"")</f>
        <v/>
      </c>
    </row>
    <row r="2565" spans="2:39" ht="15" customHeight="1" x14ac:dyDescent="0.3">
      <c r="B2565">
        <v>256.2</v>
      </c>
      <c r="C2565" t="str">
        <f>IFERROR(VLOOKUP(B2565,'Pre-Summary'!$DI$6:$DM$23,4,FALSE),"")</f>
        <v/>
      </c>
      <c r="D2565" s="10" t="str">
        <f>IFERROR(VLOOKUP(B2565,'Pre-Summary'!$AT$6:$AX$14,5,FALSE),D2564)</f>
        <v>Wolfe v3: went back to modified wolfe + EDTA and switched CuSO4 to CUCl2</v>
      </c>
      <c r="E2565" s="10" t="str">
        <f>IFERROR(VLOOKUP(B2565,'Pre-Summary'!$AT$6:$AX$15,4,FALSE),"")</f>
        <v/>
      </c>
      <c r="F2565">
        <f>IFERROR(VLOOKUP(B2565,'Pre-Summary'!$AL$6:$AQ$13,6,FALSE),F2564)</f>
        <v>5.9405263157894746E-2</v>
      </c>
      <c r="G2565" t="str">
        <f>IFERROR(VLOOKUP(B2565,'Pre-Summary'!$AE$6:$AJ$85,3,FALSE),"")</f>
        <v/>
      </c>
      <c r="H2565" t="str">
        <f>IFERROR(VLOOKUP(B2565,'Pre-Summary'!$AE$6:$AJ$85,4,FALSE),"")</f>
        <v/>
      </c>
      <c r="I2565" t="str">
        <f>IFERROR(VLOOKUP(B2565,'Pre-Summary'!$AE$6:$AJ$85,5,FALSE),"")</f>
        <v/>
      </c>
      <c r="J2565" s="45" t="str">
        <f>IFERROR(VLOOKUP(B2565,'Pre-Summary'!$AE$6:$AJ$85,6, FALSE),"")</f>
        <v/>
      </c>
      <c r="K2565" s="45" t="str">
        <f>IFERROR(VLOOKUP(B2565,'Pre-Summary'!$DE$6:$DG$61,3,FALSE),"")</f>
        <v/>
      </c>
      <c r="L2565" s="45" t="str">
        <f>IFERROR(VLOOKUP(B2565,'Pre-Summary'!$CU$6:$CW$36,3,FALSE),"")</f>
        <v/>
      </c>
      <c r="M2565" s="45" t="str">
        <f>IFERROR(VLOOKUP(B2565,'Pre-Summary'!$BW$6:$BY$58,2,FALSE),"")</f>
        <v/>
      </c>
      <c r="N2565" s="45" t="str">
        <f>IFERROR(VLOOKUP(B2565,'Pre-Summary'!$CD$6:$CF$64,2,FALSE),"")</f>
        <v/>
      </c>
      <c r="O2565" s="99">
        <f>IFERROR(VLOOKUP(B2565,'Pre-Summary'!$BO$6:$BQ$48,3, FALSE),O2564)</f>
        <v>1.508</v>
      </c>
      <c r="P2565" s="99">
        <f>IFERROR(VLOOKUP(B2565,'Pre-Summary'!$BS$6:$BU$35,3,FALSE),P2564)</f>
        <v>0.4</v>
      </c>
      <c r="Q2565" s="54">
        <f t="shared" si="120"/>
        <v>3.77</v>
      </c>
      <c r="R2565" s="53">
        <f>IFERROR(VLOOKUP(B2565,'Pre-Summary'!$BG$6:$BM$44,7,FALSE),R2566)</f>
        <v>0.11030801475343607</v>
      </c>
      <c r="S2565" s="53">
        <f>IFERROR(VLOOKUP(B2565,'Pre-Summary'!$BG$6:$BM$44,6,FALSE),S2566)</f>
        <v>0.11504859134187218</v>
      </c>
      <c r="T2565" s="45" t="str">
        <f>IFERROR(VLOOKUP(B2565,'Pre-Summary'!$Y$6:$AC$83, 3,FALSE),"")</f>
        <v/>
      </c>
      <c r="U2565" s="45" t="str">
        <f>IFERROR(VLOOKUP(B2565,'Pre-Summary'!$Y$6:$AC$83, 4,FALSE),"")</f>
        <v/>
      </c>
      <c r="V2565" t="str">
        <f>IFERROR(VLOOKUP(B2565,'Pre-Summary'!$Y$6:$AC$83, 5,FALSE),"")</f>
        <v/>
      </c>
      <c r="W2565" s="45" t="str">
        <f>IFERROR(VLOOKUP(B2565,'Pre-Summary'!$Y$6:$AD$83,6,FALSE),"")</f>
        <v/>
      </c>
      <c r="X2565" t="str">
        <f>IFERROR(VLOOKUP('Pre-Summary'!$DB$6:$DD$63,3,FALSE),"")</f>
        <v/>
      </c>
      <c r="Y2565" t="str">
        <f>IFERROR(VLOOKUP(B2565,'Pre-Summary'!$CR$6:$CT$36,3,FALSE),"")</f>
        <v/>
      </c>
      <c r="Z2565" s="45" t="str">
        <f>IFERROR(VLOOKUP(B2565,'Pre-Summary'!$BZ$6:$CB$63,2,FALSE),"")</f>
        <v/>
      </c>
      <c r="AA2565" s="45" t="str">
        <f>IFERROR(VLOOKUP(B2565,'Pre-Summary'!$CG$6:$CI$70,2,FALSE),"")</f>
        <v/>
      </c>
      <c r="AB2565" s="99">
        <f>IFERROR(VLOOKUP(B2565,'Pre-Summary'!$A$6:$P$178,9,FALSE),AB2566)</f>
        <v>0.44037364184945627</v>
      </c>
      <c r="AC2565" s="10">
        <f>IFERROR(VLOOKUP(Summary!B2565,'Pre-Summary'!$A$6:$P$184,5, FALSE)/100,AC2566)</f>
        <v>0.9629049999999999</v>
      </c>
      <c r="AD2565" s="10">
        <f>IFERROR(VLOOKUP(Summary!B2565,'Pre-Summary'!$A$6:$P$184,3, FALSE)/100,AD2566)</f>
        <v>3.0608333333333331E-2</v>
      </c>
      <c r="AE2565" s="10">
        <f>IFERROR(VLOOKUP(Summary!B2565,'Pre-Summary'!$A$6:$P$184,7, FALSE)/100,AE2566)</f>
        <v>6.4959999999999992E-3</v>
      </c>
      <c r="AF2565" s="99">
        <f t="shared" si="121"/>
        <v>1.3479103220942106E-2</v>
      </c>
      <c r="AG2565" s="99">
        <f t="shared" si="122"/>
        <v>2.8606671774540674E-3</v>
      </c>
      <c r="AH2565" s="10" t="str">
        <f>IFERROR(VLOOKUP(B2565,'Pre-Summary'!$AZ$6:$BE$65,3,FALSE),"")</f>
        <v/>
      </c>
      <c r="AI2565" s="10" t="str">
        <f>IFERROR(VLOOKUP(B2565,'Pre-Summary'!$AZ$6:$BE$65,5,FALSE),"")</f>
        <v/>
      </c>
      <c r="AJ2565" s="10" t="str">
        <f>IFERROR(VLOOKUP(B2565,'Pre-Summary'!$AZ$6:$BE$65,4,FALSE),"")</f>
        <v/>
      </c>
      <c r="AK2565" s="10" t="str">
        <f>IFERROR(VLOOKUP(B2565,'Pre-Summary'!$AZ$6:$BE$65,6,FALSE),"")</f>
        <v/>
      </c>
      <c r="AL2565" s="10" t="str">
        <f>IFERROR(VLOOKUP(B2565,'Pre-Summary'!$BG$6:$BL$44,3,FALSE),"")</f>
        <v/>
      </c>
      <c r="AM2565" s="10" t="str">
        <f>IFERROR(VLOOKUP(B2565,'Pre-Summary'!$BG$6:$BL$44,4,FALSE),"")</f>
        <v/>
      </c>
    </row>
    <row r="2566" spans="2:39" ht="15" customHeight="1" x14ac:dyDescent="0.3">
      <c r="B2566">
        <v>256.3</v>
      </c>
      <c r="C2566" t="str">
        <f>IFERROR(VLOOKUP(B2566,'Pre-Summary'!$DI$6:$DM$23,4,FALSE),"")</f>
        <v/>
      </c>
      <c r="D2566" s="10" t="str">
        <f>IFERROR(VLOOKUP(B2566,'Pre-Summary'!$AT$6:$AX$14,5,FALSE),D2565)</f>
        <v>Wolfe v3: went back to modified wolfe + EDTA and switched CuSO4 to CUCl2</v>
      </c>
      <c r="E2566" s="10" t="str">
        <f>IFERROR(VLOOKUP(B2566,'Pre-Summary'!$AT$6:$AX$15,4,FALSE),"")</f>
        <v/>
      </c>
      <c r="F2566">
        <f>IFERROR(VLOOKUP(B2566,'Pre-Summary'!$AL$6:$AQ$13,6,FALSE),F2565)</f>
        <v>5.9405263157894746E-2</v>
      </c>
      <c r="G2566" t="str">
        <f>IFERROR(VLOOKUP(B2566,'Pre-Summary'!$AE$6:$AJ$85,3,FALSE),"")</f>
        <v/>
      </c>
      <c r="H2566" t="str">
        <f>IFERROR(VLOOKUP(B2566,'Pre-Summary'!$AE$6:$AJ$85,4,FALSE),"")</f>
        <v/>
      </c>
      <c r="I2566" t="str">
        <f>IFERROR(VLOOKUP(B2566,'Pre-Summary'!$AE$6:$AJ$85,5,FALSE),"")</f>
        <v/>
      </c>
      <c r="J2566" s="45" t="str">
        <f>IFERROR(VLOOKUP(B2566,'Pre-Summary'!$AE$6:$AJ$85,6, FALSE),"")</f>
        <v/>
      </c>
      <c r="K2566" s="45" t="str">
        <f>IFERROR(VLOOKUP(B2566,'Pre-Summary'!$DE$6:$DG$61,3,FALSE),"")</f>
        <v/>
      </c>
      <c r="L2566" s="45" t="str">
        <f>IFERROR(VLOOKUP(B2566,'Pre-Summary'!$CU$6:$CW$36,3,FALSE),"")</f>
        <v/>
      </c>
      <c r="M2566" s="45" t="str">
        <f>IFERROR(VLOOKUP(B2566,'Pre-Summary'!$BW$6:$BY$58,2,FALSE),"")</f>
        <v/>
      </c>
      <c r="N2566" s="45" t="str">
        <f>IFERROR(VLOOKUP(B2566,'Pre-Summary'!$CD$6:$CF$64,2,FALSE),"")</f>
        <v/>
      </c>
      <c r="O2566" s="99">
        <f>IFERROR(VLOOKUP(B2566,'Pre-Summary'!$BO$6:$BQ$48,3, FALSE),O2565)</f>
        <v>1.508</v>
      </c>
      <c r="P2566" s="99">
        <f>IFERROR(VLOOKUP(B2566,'Pre-Summary'!$BS$6:$BU$35,3,FALSE),P2565)</f>
        <v>0.4</v>
      </c>
      <c r="Q2566" s="54">
        <f t="shared" si="120"/>
        <v>3.77</v>
      </c>
      <c r="R2566" s="53">
        <f>IFERROR(VLOOKUP(B2566,'Pre-Summary'!$BG$6:$BM$44,7,FALSE),R2567)</f>
        <v>0.11030801475343607</v>
      </c>
      <c r="S2566" s="53">
        <f>IFERROR(VLOOKUP(B2566,'Pre-Summary'!$BG$6:$BM$44,6,FALSE),S2567)</f>
        <v>0.11504859134187218</v>
      </c>
      <c r="T2566" s="45" t="str">
        <f>IFERROR(VLOOKUP(B2566,'Pre-Summary'!$Y$6:$AC$83, 3,FALSE),"")</f>
        <v/>
      </c>
      <c r="U2566" s="45" t="str">
        <f>IFERROR(VLOOKUP(B2566,'Pre-Summary'!$Y$6:$AC$83, 4,FALSE),"")</f>
        <v/>
      </c>
      <c r="V2566" t="str">
        <f>IFERROR(VLOOKUP(B2566,'Pre-Summary'!$Y$6:$AC$83, 5,FALSE),"")</f>
        <v/>
      </c>
      <c r="W2566" s="45" t="str">
        <f>IFERROR(VLOOKUP(B2566,'Pre-Summary'!$Y$6:$AD$83,6,FALSE),"")</f>
        <v/>
      </c>
      <c r="X2566" t="str">
        <f>IFERROR(VLOOKUP('Pre-Summary'!$DB$6:$DD$63,3,FALSE),"")</f>
        <v/>
      </c>
      <c r="Y2566" t="str">
        <f>IFERROR(VLOOKUP(B2566,'Pre-Summary'!$CR$6:$CT$36,3,FALSE),"")</f>
        <v/>
      </c>
      <c r="Z2566" s="45" t="str">
        <f>IFERROR(VLOOKUP(B2566,'Pre-Summary'!$BZ$6:$CB$63,2,FALSE),"")</f>
        <v/>
      </c>
      <c r="AA2566" s="45" t="str">
        <f>IFERROR(VLOOKUP(B2566,'Pre-Summary'!$CG$6:$CI$70,2,FALSE),"")</f>
        <v/>
      </c>
      <c r="AB2566" s="99">
        <f>IFERROR(VLOOKUP(B2566,'Pre-Summary'!$A$6:$P$178,9,FALSE),AB2567)</f>
        <v>0.44037364184945627</v>
      </c>
      <c r="AC2566" s="10">
        <f>IFERROR(VLOOKUP(Summary!B2566,'Pre-Summary'!$A$6:$P$184,5, FALSE)/100,AC2567)</f>
        <v>0.9629049999999999</v>
      </c>
      <c r="AD2566" s="10">
        <f>IFERROR(VLOOKUP(Summary!B2566,'Pre-Summary'!$A$6:$P$184,3, FALSE)/100,AD2567)</f>
        <v>3.0608333333333331E-2</v>
      </c>
      <c r="AE2566" s="10">
        <f>IFERROR(VLOOKUP(Summary!B2566,'Pre-Summary'!$A$6:$P$184,7, FALSE)/100,AE2567)</f>
        <v>6.4959999999999992E-3</v>
      </c>
      <c r="AF2566" s="99">
        <f t="shared" si="121"/>
        <v>1.3479103220942106E-2</v>
      </c>
      <c r="AG2566" s="99">
        <f t="shared" si="122"/>
        <v>2.8606671774540674E-3</v>
      </c>
      <c r="AH2566" s="10" t="str">
        <f>IFERROR(VLOOKUP(B2566,'Pre-Summary'!$AZ$6:$BE$65,3,FALSE),"")</f>
        <v/>
      </c>
      <c r="AI2566" s="10" t="str">
        <f>IFERROR(VLOOKUP(B2566,'Pre-Summary'!$AZ$6:$BE$65,5,FALSE),"")</f>
        <v/>
      </c>
      <c r="AJ2566" s="10" t="str">
        <f>IFERROR(VLOOKUP(B2566,'Pre-Summary'!$AZ$6:$BE$65,4,FALSE),"")</f>
        <v/>
      </c>
      <c r="AK2566" s="10" t="str">
        <f>IFERROR(VLOOKUP(B2566,'Pre-Summary'!$AZ$6:$BE$65,6,FALSE),"")</f>
        <v/>
      </c>
      <c r="AL2566" s="10" t="str">
        <f>IFERROR(VLOOKUP(B2566,'Pre-Summary'!$BG$6:$BL$44,3,FALSE),"")</f>
        <v/>
      </c>
      <c r="AM2566" s="10" t="str">
        <f>IFERROR(VLOOKUP(B2566,'Pre-Summary'!$BG$6:$BL$44,4,FALSE),"")</f>
        <v/>
      </c>
    </row>
    <row r="2567" spans="2:39" ht="15" customHeight="1" x14ac:dyDescent="0.3">
      <c r="B2567">
        <v>256.39999999999998</v>
      </c>
      <c r="C2567" t="str">
        <f>IFERROR(VLOOKUP(B2567,'Pre-Summary'!$DI$6:$DM$23,4,FALSE),"")</f>
        <v/>
      </c>
      <c r="D2567" s="10" t="str">
        <f>IFERROR(VLOOKUP(B2567,'Pre-Summary'!$AT$6:$AX$14,5,FALSE),D2566)</f>
        <v>Wolfe v3: went back to modified wolfe + EDTA and switched CuSO4 to CUCl2</v>
      </c>
      <c r="E2567" s="10" t="str">
        <f>IFERROR(VLOOKUP(B2567,'Pre-Summary'!$AT$6:$AX$15,4,FALSE),"")</f>
        <v/>
      </c>
      <c r="F2567">
        <f>IFERROR(VLOOKUP(B2567,'Pre-Summary'!$AL$6:$AQ$13,6,FALSE),F2566)</f>
        <v>5.9405263157894746E-2</v>
      </c>
      <c r="G2567" t="str">
        <f>IFERROR(VLOOKUP(B2567,'Pre-Summary'!$AE$6:$AJ$85,3,FALSE),"")</f>
        <v/>
      </c>
      <c r="H2567" t="str">
        <f>IFERROR(VLOOKUP(B2567,'Pre-Summary'!$AE$6:$AJ$85,4,FALSE),"")</f>
        <v/>
      </c>
      <c r="I2567" t="str">
        <f>IFERROR(VLOOKUP(B2567,'Pre-Summary'!$AE$6:$AJ$85,5,FALSE),"")</f>
        <v/>
      </c>
      <c r="J2567" s="45" t="str">
        <f>IFERROR(VLOOKUP(B2567,'Pre-Summary'!$AE$6:$AJ$85,6, FALSE),"")</f>
        <v/>
      </c>
      <c r="K2567" s="45" t="str">
        <f>IFERROR(VLOOKUP(B2567,'Pre-Summary'!$DE$6:$DG$61,3,FALSE),"")</f>
        <v/>
      </c>
      <c r="L2567" s="45" t="str">
        <f>IFERROR(VLOOKUP(B2567,'Pre-Summary'!$CU$6:$CW$36,3,FALSE),"")</f>
        <v/>
      </c>
      <c r="M2567" s="45" t="str">
        <f>IFERROR(VLOOKUP(B2567,'Pre-Summary'!$BW$6:$BY$58,2,FALSE),"")</f>
        <v/>
      </c>
      <c r="N2567" s="45" t="str">
        <f>IFERROR(VLOOKUP(B2567,'Pre-Summary'!$CD$6:$CF$64,2,FALSE),"")</f>
        <v/>
      </c>
      <c r="O2567" s="99">
        <f>IFERROR(VLOOKUP(B2567,'Pre-Summary'!$BO$6:$BQ$48,3, FALSE),O2566)</f>
        <v>1.508</v>
      </c>
      <c r="P2567" s="99">
        <f>IFERROR(VLOOKUP(B2567,'Pre-Summary'!$BS$6:$BU$35,3,FALSE),P2566)</f>
        <v>0.4</v>
      </c>
      <c r="Q2567" s="54">
        <f t="shared" si="120"/>
        <v>3.77</v>
      </c>
      <c r="R2567" s="53">
        <f>IFERROR(VLOOKUP(B2567,'Pre-Summary'!$BG$6:$BM$44,7,FALSE),R2568)</f>
        <v>0.11030801475343607</v>
      </c>
      <c r="S2567" s="53">
        <f>IFERROR(VLOOKUP(B2567,'Pre-Summary'!$BG$6:$BM$44,6,FALSE),S2568)</f>
        <v>0.11504859134187218</v>
      </c>
      <c r="T2567" s="45" t="str">
        <f>IFERROR(VLOOKUP(B2567,'Pre-Summary'!$Y$6:$AC$83, 3,FALSE),"")</f>
        <v/>
      </c>
      <c r="U2567" s="45" t="str">
        <f>IFERROR(VLOOKUP(B2567,'Pre-Summary'!$Y$6:$AC$83, 4,FALSE),"")</f>
        <v/>
      </c>
      <c r="V2567" t="str">
        <f>IFERROR(VLOOKUP(B2567,'Pre-Summary'!$Y$6:$AC$83, 5,FALSE),"")</f>
        <v/>
      </c>
      <c r="W2567" s="45" t="str">
        <f>IFERROR(VLOOKUP(B2567,'Pre-Summary'!$Y$6:$AD$83,6,FALSE),"")</f>
        <v/>
      </c>
      <c r="X2567" t="str">
        <f>IFERROR(VLOOKUP('Pre-Summary'!$DB$6:$DD$63,3,FALSE),"")</f>
        <v/>
      </c>
      <c r="Y2567" t="str">
        <f>IFERROR(VLOOKUP(B2567,'Pre-Summary'!$CR$6:$CT$36,3,FALSE),"")</f>
        <v/>
      </c>
      <c r="Z2567" s="45" t="str">
        <f>IFERROR(VLOOKUP(B2567,'Pre-Summary'!$BZ$6:$CB$63,2,FALSE),"")</f>
        <v/>
      </c>
      <c r="AA2567" s="45" t="str">
        <f>IFERROR(VLOOKUP(B2567,'Pre-Summary'!$CG$6:$CI$70,2,FALSE),"")</f>
        <v/>
      </c>
      <c r="AB2567" s="99">
        <f>IFERROR(VLOOKUP(B2567,'Pre-Summary'!$A$6:$P$178,9,FALSE),AB2568)</f>
        <v>0.44037364184945627</v>
      </c>
      <c r="AC2567" s="10">
        <f>IFERROR(VLOOKUP(Summary!B2567,'Pre-Summary'!$A$6:$P$184,5, FALSE)/100,AC2568)</f>
        <v>0.9629049999999999</v>
      </c>
      <c r="AD2567" s="10">
        <f>IFERROR(VLOOKUP(Summary!B2567,'Pre-Summary'!$A$6:$P$184,3, FALSE)/100,AD2568)</f>
        <v>3.0608333333333331E-2</v>
      </c>
      <c r="AE2567" s="10">
        <f>IFERROR(VLOOKUP(Summary!B2567,'Pre-Summary'!$A$6:$P$184,7, FALSE)/100,AE2568)</f>
        <v>6.4959999999999992E-3</v>
      </c>
      <c r="AF2567" s="99">
        <f t="shared" si="121"/>
        <v>1.3479103220942106E-2</v>
      </c>
      <c r="AG2567" s="99">
        <f t="shared" si="122"/>
        <v>2.8606671774540674E-3</v>
      </c>
      <c r="AH2567" s="10" t="str">
        <f>IFERROR(VLOOKUP(B2567,'Pre-Summary'!$AZ$6:$BE$65,3,FALSE),"")</f>
        <v/>
      </c>
      <c r="AI2567" s="10" t="str">
        <f>IFERROR(VLOOKUP(B2567,'Pre-Summary'!$AZ$6:$BE$65,5,FALSE),"")</f>
        <v/>
      </c>
      <c r="AJ2567" s="10" t="str">
        <f>IFERROR(VLOOKUP(B2567,'Pre-Summary'!$AZ$6:$BE$65,4,FALSE),"")</f>
        <v/>
      </c>
      <c r="AK2567" s="10" t="str">
        <f>IFERROR(VLOOKUP(B2567,'Pre-Summary'!$AZ$6:$BE$65,6,FALSE),"")</f>
        <v/>
      </c>
      <c r="AL2567" s="10" t="str">
        <f>IFERROR(VLOOKUP(B2567,'Pre-Summary'!$BG$6:$BL$44,3,FALSE),"")</f>
        <v/>
      </c>
      <c r="AM2567" s="10" t="str">
        <f>IFERROR(VLOOKUP(B2567,'Pre-Summary'!$BG$6:$BL$44,4,FALSE),"")</f>
        <v/>
      </c>
    </row>
    <row r="2568" spans="2:39" ht="15" customHeight="1" x14ac:dyDescent="0.3">
      <c r="B2568">
        <v>256.5</v>
      </c>
      <c r="C2568" t="str">
        <f>IFERROR(VLOOKUP(B2568,'Pre-Summary'!$DI$6:$DM$23,4,FALSE),"")</f>
        <v/>
      </c>
      <c r="D2568" s="10" t="str">
        <f>IFERROR(VLOOKUP(B2568,'Pre-Summary'!$AT$6:$AX$14,5,FALSE),D2567)</f>
        <v>Wolfe v3: went back to modified wolfe + EDTA and switched CuSO4 to CUCl2</v>
      </c>
      <c r="E2568" s="10" t="str">
        <f>IFERROR(VLOOKUP(B2568,'Pre-Summary'!$AT$6:$AX$15,4,FALSE),"")</f>
        <v/>
      </c>
      <c r="F2568">
        <f>IFERROR(VLOOKUP(B2568,'Pre-Summary'!$AL$6:$AQ$13,6,FALSE),F2567)</f>
        <v>5.9405263157894746E-2</v>
      </c>
      <c r="G2568" t="str">
        <f>IFERROR(VLOOKUP(B2568,'Pre-Summary'!$AE$6:$AJ$85,3,FALSE),"")</f>
        <v/>
      </c>
      <c r="H2568" t="str">
        <f>IFERROR(VLOOKUP(B2568,'Pre-Summary'!$AE$6:$AJ$85,4,FALSE),"")</f>
        <v/>
      </c>
      <c r="I2568" t="str">
        <f>IFERROR(VLOOKUP(B2568,'Pre-Summary'!$AE$6:$AJ$85,5,FALSE),"")</f>
        <v/>
      </c>
      <c r="J2568" s="45" t="str">
        <f>IFERROR(VLOOKUP(B2568,'Pre-Summary'!$AE$6:$AJ$85,6, FALSE),"")</f>
        <v/>
      </c>
      <c r="K2568" s="45" t="str">
        <f>IFERROR(VLOOKUP(B2568,'Pre-Summary'!$DE$6:$DG$61,3,FALSE),"")</f>
        <v/>
      </c>
      <c r="L2568" s="45" t="str">
        <f>IFERROR(VLOOKUP(B2568,'Pre-Summary'!$CU$6:$CW$36,3,FALSE),"")</f>
        <v/>
      </c>
      <c r="M2568" s="45" t="str">
        <f>IFERROR(VLOOKUP(B2568,'Pre-Summary'!$BW$6:$BY$58,2,FALSE),"")</f>
        <v/>
      </c>
      <c r="N2568" s="45" t="str">
        <f>IFERROR(VLOOKUP(B2568,'Pre-Summary'!$CD$6:$CF$64,2,FALSE),"")</f>
        <v/>
      </c>
      <c r="O2568" s="99">
        <f>IFERROR(VLOOKUP(B2568,'Pre-Summary'!$BO$6:$BQ$48,3, FALSE),O2567)</f>
        <v>1.508</v>
      </c>
      <c r="P2568" s="99">
        <f>IFERROR(VLOOKUP(B2568,'Pre-Summary'!$BS$6:$BU$35,3,FALSE),P2567)</f>
        <v>0.4</v>
      </c>
      <c r="Q2568" s="54">
        <f t="shared" si="120"/>
        <v>3.77</v>
      </c>
      <c r="R2568" s="53">
        <f>IFERROR(VLOOKUP(B2568,'Pre-Summary'!$BG$6:$BM$44,7,FALSE),R2569)</f>
        <v>0.11030801475343607</v>
      </c>
      <c r="S2568" s="53">
        <f>IFERROR(VLOOKUP(B2568,'Pre-Summary'!$BG$6:$BM$44,6,FALSE),S2569)</f>
        <v>0.11504859134187218</v>
      </c>
      <c r="T2568" s="45" t="str">
        <f>IFERROR(VLOOKUP(B2568,'Pre-Summary'!$Y$6:$AC$83, 3,FALSE),"")</f>
        <v/>
      </c>
      <c r="U2568" s="45" t="str">
        <f>IFERROR(VLOOKUP(B2568,'Pre-Summary'!$Y$6:$AC$83, 4,FALSE),"")</f>
        <v/>
      </c>
      <c r="V2568" t="str">
        <f>IFERROR(VLOOKUP(B2568,'Pre-Summary'!$Y$6:$AC$83, 5,FALSE),"")</f>
        <v/>
      </c>
      <c r="W2568" s="45" t="str">
        <f>IFERROR(VLOOKUP(B2568,'Pre-Summary'!$Y$6:$AD$83,6,FALSE),"")</f>
        <v/>
      </c>
      <c r="X2568" t="str">
        <f>IFERROR(VLOOKUP('Pre-Summary'!$DB$6:$DD$63,3,FALSE),"")</f>
        <v/>
      </c>
      <c r="Y2568" t="str">
        <f>IFERROR(VLOOKUP(B2568,'Pre-Summary'!$CR$6:$CT$36,3,FALSE),"")</f>
        <v/>
      </c>
      <c r="Z2568" s="45" t="str">
        <f>IFERROR(VLOOKUP(B2568,'Pre-Summary'!$BZ$6:$CB$63,2,FALSE),"")</f>
        <v/>
      </c>
      <c r="AA2568" s="45" t="str">
        <f>IFERROR(VLOOKUP(B2568,'Pre-Summary'!$CG$6:$CI$70,2,FALSE),"")</f>
        <v/>
      </c>
      <c r="AB2568" s="99">
        <f>IFERROR(VLOOKUP(B2568,'Pre-Summary'!$A$6:$P$178,9,FALSE),AB2569)</f>
        <v>0.44037364184945627</v>
      </c>
      <c r="AC2568" s="10">
        <f>IFERROR(VLOOKUP(Summary!B2568,'Pre-Summary'!$A$6:$P$184,5, FALSE)/100,AC2569)</f>
        <v>0.9629049999999999</v>
      </c>
      <c r="AD2568" s="10">
        <f>IFERROR(VLOOKUP(Summary!B2568,'Pre-Summary'!$A$6:$P$184,3, FALSE)/100,AD2569)</f>
        <v>3.0608333333333331E-2</v>
      </c>
      <c r="AE2568" s="10">
        <f>IFERROR(VLOOKUP(Summary!B2568,'Pre-Summary'!$A$6:$P$184,7, FALSE)/100,AE2569)</f>
        <v>6.4959999999999992E-3</v>
      </c>
      <c r="AF2568" s="99">
        <f t="shared" si="121"/>
        <v>1.3479103220942106E-2</v>
      </c>
      <c r="AG2568" s="99">
        <f t="shared" si="122"/>
        <v>2.8606671774540674E-3</v>
      </c>
      <c r="AH2568" s="10" t="str">
        <f>IFERROR(VLOOKUP(B2568,'Pre-Summary'!$AZ$6:$BE$65,3,FALSE),"")</f>
        <v/>
      </c>
      <c r="AI2568" s="10" t="str">
        <f>IFERROR(VLOOKUP(B2568,'Pre-Summary'!$AZ$6:$BE$65,5,FALSE),"")</f>
        <v/>
      </c>
      <c r="AJ2568" s="10" t="str">
        <f>IFERROR(VLOOKUP(B2568,'Pre-Summary'!$AZ$6:$BE$65,4,FALSE),"")</f>
        <v/>
      </c>
      <c r="AK2568" s="10" t="str">
        <f>IFERROR(VLOOKUP(B2568,'Pre-Summary'!$AZ$6:$BE$65,6,FALSE),"")</f>
        <v/>
      </c>
      <c r="AL2568" s="10" t="str">
        <f>IFERROR(VLOOKUP(B2568,'Pre-Summary'!$BG$6:$BL$44,3,FALSE),"")</f>
        <v/>
      </c>
      <c r="AM2568" s="10" t="str">
        <f>IFERROR(VLOOKUP(B2568,'Pre-Summary'!$BG$6:$BL$44,4,FALSE),"")</f>
        <v/>
      </c>
    </row>
    <row r="2569" spans="2:39" ht="15" customHeight="1" x14ac:dyDescent="0.3">
      <c r="B2569">
        <v>256.60000000000002</v>
      </c>
      <c r="C2569" t="str">
        <f>IFERROR(VLOOKUP(B2569,'Pre-Summary'!$DI$6:$DM$23,4,FALSE),"")</f>
        <v/>
      </c>
      <c r="D2569" s="10" t="str">
        <f>IFERROR(VLOOKUP(B2569,'Pre-Summary'!$AT$6:$AX$14,5,FALSE),D2568)</f>
        <v>Wolfe v3: went back to modified wolfe + EDTA and switched CuSO4 to CUCl2</v>
      </c>
      <c r="E2569" s="10" t="str">
        <f>IFERROR(VLOOKUP(B2569,'Pre-Summary'!$AT$6:$AX$15,4,FALSE),"")</f>
        <v/>
      </c>
      <c r="F2569">
        <f>IFERROR(VLOOKUP(B2569,'Pre-Summary'!$AL$6:$AQ$13,6,FALSE),F2568)</f>
        <v>5.9405263157894746E-2</v>
      </c>
      <c r="G2569" t="str">
        <f>IFERROR(VLOOKUP(B2569,'Pre-Summary'!$AE$6:$AJ$85,3,FALSE),"")</f>
        <v/>
      </c>
      <c r="H2569" t="str">
        <f>IFERROR(VLOOKUP(B2569,'Pre-Summary'!$AE$6:$AJ$85,4,FALSE),"")</f>
        <v/>
      </c>
      <c r="I2569" t="str">
        <f>IFERROR(VLOOKUP(B2569,'Pre-Summary'!$AE$6:$AJ$85,5,FALSE),"")</f>
        <v/>
      </c>
      <c r="J2569" s="45" t="str">
        <f>IFERROR(VLOOKUP(B2569,'Pre-Summary'!$AE$6:$AJ$85,6, FALSE),"")</f>
        <v/>
      </c>
      <c r="K2569" s="45" t="str">
        <f>IFERROR(VLOOKUP(B2569,'Pre-Summary'!$DE$6:$DG$61,3,FALSE),"")</f>
        <v/>
      </c>
      <c r="L2569" s="45" t="str">
        <f>IFERROR(VLOOKUP(B2569,'Pre-Summary'!$CU$6:$CW$36,3,FALSE),"")</f>
        <v/>
      </c>
      <c r="M2569" s="45" t="str">
        <f>IFERROR(VLOOKUP(B2569,'Pre-Summary'!$BW$6:$BY$58,2,FALSE),"")</f>
        <v/>
      </c>
      <c r="N2569" s="45" t="str">
        <f>IFERROR(VLOOKUP(B2569,'Pre-Summary'!$CD$6:$CF$64,2,FALSE),"")</f>
        <v/>
      </c>
      <c r="O2569" s="99">
        <f>IFERROR(VLOOKUP(B2569,'Pre-Summary'!$BO$6:$BQ$48,3, FALSE),O2568)</f>
        <v>1.508</v>
      </c>
      <c r="P2569" s="99">
        <f>IFERROR(VLOOKUP(B2569,'Pre-Summary'!$BS$6:$BU$35,3,FALSE),P2568)</f>
        <v>0.4</v>
      </c>
      <c r="Q2569" s="54">
        <f t="shared" si="120"/>
        <v>3.77</v>
      </c>
      <c r="R2569" s="53">
        <f>IFERROR(VLOOKUP(B2569,'Pre-Summary'!$BG$6:$BM$44,7,FALSE),R2570)</f>
        <v>0.11030801475343607</v>
      </c>
      <c r="S2569" s="53">
        <f>IFERROR(VLOOKUP(B2569,'Pre-Summary'!$BG$6:$BM$44,6,FALSE),S2570)</f>
        <v>0.11504859134187218</v>
      </c>
      <c r="T2569" s="45" t="str">
        <f>IFERROR(VLOOKUP(B2569,'Pre-Summary'!$Y$6:$AC$83, 3,FALSE),"")</f>
        <v/>
      </c>
      <c r="U2569" s="45" t="str">
        <f>IFERROR(VLOOKUP(B2569,'Pre-Summary'!$Y$6:$AC$83, 4,FALSE),"")</f>
        <v/>
      </c>
      <c r="V2569" t="str">
        <f>IFERROR(VLOOKUP(B2569,'Pre-Summary'!$Y$6:$AC$83, 5,FALSE),"")</f>
        <v/>
      </c>
      <c r="W2569" s="45" t="str">
        <f>IFERROR(VLOOKUP(B2569,'Pre-Summary'!$Y$6:$AD$83,6,FALSE),"")</f>
        <v/>
      </c>
      <c r="X2569" t="str">
        <f>IFERROR(VLOOKUP('Pre-Summary'!$DB$6:$DD$63,3,FALSE),"")</f>
        <v/>
      </c>
      <c r="Y2569" t="str">
        <f>IFERROR(VLOOKUP(B2569,'Pre-Summary'!$CR$6:$CT$36,3,FALSE),"")</f>
        <v/>
      </c>
      <c r="Z2569" s="45" t="str">
        <f>IFERROR(VLOOKUP(B2569,'Pre-Summary'!$BZ$6:$CB$63,2,FALSE),"")</f>
        <v/>
      </c>
      <c r="AA2569" s="45" t="str">
        <f>IFERROR(VLOOKUP(B2569,'Pre-Summary'!$CG$6:$CI$70,2,FALSE),"")</f>
        <v/>
      </c>
      <c r="AB2569" s="99">
        <f>IFERROR(VLOOKUP(B2569,'Pre-Summary'!$A$6:$P$178,9,FALSE),AB2570)</f>
        <v>0.44037364184945627</v>
      </c>
      <c r="AC2569" s="10">
        <f>IFERROR(VLOOKUP(Summary!B2569,'Pre-Summary'!$A$6:$P$184,5, FALSE)/100,AC2570)</f>
        <v>0.9629049999999999</v>
      </c>
      <c r="AD2569" s="10">
        <f>IFERROR(VLOOKUP(Summary!B2569,'Pre-Summary'!$A$6:$P$184,3, FALSE)/100,AD2570)</f>
        <v>3.0608333333333331E-2</v>
      </c>
      <c r="AE2569" s="10">
        <f>IFERROR(VLOOKUP(Summary!B2569,'Pre-Summary'!$A$6:$P$184,7, FALSE)/100,AE2570)</f>
        <v>6.4959999999999992E-3</v>
      </c>
      <c r="AF2569" s="99">
        <f t="shared" si="121"/>
        <v>1.3479103220942106E-2</v>
      </c>
      <c r="AG2569" s="99">
        <f t="shared" si="122"/>
        <v>2.8606671774540674E-3</v>
      </c>
      <c r="AH2569" s="10" t="str">
        <f>IFERROR(VLOOKUP(B2569,'Pre-Summary'!$AZ$6:$BE$65,3,FALSE),"")</f>
        <v/>
      </c>
      <c r="AI2569" s="10" t="str">
        <f>IFERROR(VLOOKUP(B2569,'Pre-Summary'!$AZ$6:$BE$65,5,FALSE),"")</f>
        <v/>
      </c>
      <c r="AJ2569" s="10" t="str">
        <f>IFERROR(VLOOKUP(B2569,'Pre-Summary'!$AZ$6:$BE$65,4,FALSE),"")</f>
        <v/>
      </c>
      <c r="AK2569" s="10" t="str">
        <f>IFERROR(VLOOKUP(B2569,'Pre-Summary'!$AZ$6:$BE$65,6,FALSE),"")</f>
        <v/>
      </c>
      <c r="AL2569" s="10" t="str">
        <f>IFERROR(VLOOKUP(B2569,'Pre-Summary'!$BG$6:$BL$44,3,FALSE),"")</f>
        <v/>
      </c>
      <c r="AM2569" s="10" t="str">
        <f>IFERROR(VLOOKUP(B2569,'Pre-Summary'!$BG$6:$BL$44,4,FALSE),"")</f>
        <v/>
      </c>
    </row>
    <row r="2570" spans="2:39" ht="15" customHeight="1" x14ac:dyDescent="0.3">
      <c r="B2570">
        <v>256.7</v>
      </c>
      <c r="C2570" t="str">
        <f>IFERROR(VLOOKUP(B2570,'Pre-Summary'!$DI$6:$DM$23,4,FALSE),"")</f>
        <v/>
      </c>
      <c r="D2570" s="10" t="str">
        <f>IFERROR(VLOOKUP(B2570,'Pre-Summary'!$AT$6:$AX$14,5,FALSE),D2569)</f>
        <v>Wolfe v3: went back to modified wolfe + EDTA and switched CuSO4 to CUCl2</v>
      </c>
      <c r="E2570" s="10" t="str">
        <f>IFERROR(VLOOKUP(B2570,'Pre-Summary'!$AT$6:$AX$15,4,FALSE),"")</f>
        <v/>
      </c>
      <c r="F2570">
        <f>IFERROR(VLOOKUP(B2570,'Pre-Summary'!$AL$6:$AQ$13,6,FALSE),F2569)</f>
        <v>5.9405263157894746E-2</v>
      </c>
      <c r="G2570" t="str">
        <f>IFERROR(VLOOKUP(B2570,'Pre-Summary'!$AE$6:$AJ$85,3,FALSE),"")</f>
        <v/>
      </c>
      <c r="H2570" t="str">
        <f>IFERROR(VLOOKUP(B2570,'Pre-Summary'!$AE$6:$AJ$85,4,FALSE),"")</f>
        <v/>
      </c>
      <c r="I2570" t="str">
        <f>IFERROR(VLOOKUP(B2570,'Pre-Summary'!$AE$6:$AJ$85,5,FALSE),"")</f>
        <v/>
      </c>
      <c r="J2570" s="45" t="str">
        <f>IFERROR(VLOOKUP(B2570,'Pre-Summary'!$AE$6:$AJ$85,6, FALSE),"")</f>
        <v/>
      </c>
      <c r="K2570" s="45" t="str">
        <f>IFERROR(VLOOKUP(B2570,'Pre-Summary'!$DE$6:$DG$61,3,FALSE),"")</f>
        <v/>
      </c>
      <c r="L2570" s="45" t="str">
        <f>IFERROR(VLOOKUP(B2570,'Pre-Summary'!$CU$6:$CW$36,3,FALSE),"")</f>
        <v/>
      </c>
      <c r="M2570" s="45" t="str">
        <f>IFERROR(VLOOKUP(B2570,'Pre-Summary'!$BW$6:$BY$58,2,FALSE),"")</f>
        <v/>
      </c>
      <c r="N2570" s="45" t="str">
        <f>IFERROR(VLOOKUP(B2570,'Pre-Summary'!$CD$6:$CF$64,2,FALSE),"")</f>
        <v/>
      </c>
      <c r="O2570" s="99">
        <f>IFERROR(VLOOKUP(B2570,'Pre-Summary'!$BO$6:$BQ$48,3, FALSE),O2569)</f>
        <v>1.508</v>
      </c>
      <c r="P2570" s="99">
        <f>IFERROR(VLOOKUP(B2570,'Pre-Summary'!$BS$6:$BU$35,3,FALSE),P2569)</f>
        <v>0.4</v>
      </c>
      <c r="Q2570" s="54">
        <f t="shared" si="120"/>
        <v>3.77</v>
      </c>
      <c r="R2570" s="53">
        <f>IFERROR(VLOOKUP(B2570,'Pre-Summary'!$BG$6:$BM$44,7,FALSE),R2571)</f>
        <v>0.11030801475343607</v>
      </c>
      <c r="S2570" s="53">
        <f>IFERROR(VLOOKUP(B2570,'Pre-Summary'!$BG$6:$BM$44,6,FALSE),S2571)</f>
        <v>0.11504859134187218</v>
      </c>
      <c r="T2570" s="45" t="str">
        <f>IFERROR(VLOOKUP(B2570,'Pre-Summary'!$Y$6:$AC$83, 3,FALSE),"")</f>
        <v/>
      </c>
      <c r="U2570" s="45" t="str">
        <f>IFERROR(VLOOKUP(B2570,'Pre-Summary'!$Y$6:$AC$83, 4,FALSE),"")</f>
        <v/>
      </c>
      <c r="V2570" t="str">
        <f>IFERROR(VLOOKUP(B2570,'Pre-Summary'!$Y$6:$AC$83, 5,FALSE),"")</f>
        <v/>
      </c>
      <c r="W2570" s="45" t="str">
        <f>IFERROR(VLOOKUP(B2570,'Pre-Summary'!$Y$6:$AD$83,6,FALSE),"")</f>
        <v/>
      </c>
      <c r="X2570" t="str">
        <f>IFERROR(VLOOKUP('Pre-Summary'!$DB$6:$DD$63,3,FALSE),"")</f>
        <v/>
      </c>
      <c r="Y2570" t="str">
        <f>IFERROR(VLOOKUP(B2570,'Pre-Summary'!$CR$6:$CT$36,3,FALSE),"")</f>
        <v/>
      </c>
      <c r="Z2570" s="45" t="str">
        <f>IFERROR(VLOOKUP(B2570,'Pre-Summary'!$BZ$6:$CB$63,2,FALSE),"")</f>
        <v/>
      </c>
      <c r="AA2570" s="45" t="str">
        <f>IFERROR(VLOOKUP(B2570,'Pre-Summary'!$CG$6:$CI$70,2,FALSE),"")</f>
        <v/>
      </c>
      <c r="AB2570" s="99">
        <f>IFERROR(VLOOKUP(B2570,'Pre-Summary'!$A$6:$P$178,9,FALSE),AB2571)</f>
        <v>0.44037364184945627</v>
      </c>
      <c r="AC2570" s="10">
        <f>IFERROR(VLOOKUP(Summary!B2570,'Pre-Summary'!$A$6:$P$184,5, FALSE)/100,AC2571)</f>
        <v>0.9629049999999999</v>
      </c>
      <c r="AD2570" s="10">
        <f>IFERROR(VLOOKUP(Summary!B2570,'Pre-Summary'!$A$6:$P$184,3, FALSE)/100,AD2571)</f>
        <v>3.0608333333333331E-2</v>
      </c>
      <c r="AE2570" s="10">
        <f>IFERROR(VLOOKUP(Summary!B2570,'Pre-Summary'!$A$6:$P$184,7, FALSE)/100,AE2571)</f>
        <v>6.4959999999999992E-3</v>
      </c>
      <c r="AF2570" s="99">
        <f t="shared" si="121"/>
        <v>1.3479103220942106E-2</v>
      </c>
      <c r="AG2570" s="99">
        <f t="shared" si="122"/>
        <v>2.8606671774540674E-3</v>
      </c>
      <c r="AH2570" s="10" t="str">
        <f>IFERROR(VLOOKUP(B2570,'Pre-Summary'!$AZ$6:$BE$65,3,FALSE),"")</f>
        <v/>
      </c>
      <c r="AI2570" s="10" t="str">
        <f>IFERROR(VLOOKUP(B2570,'Pre-Summary'!$AZ$6:$BE$65,5,FALSE),"")</f>
        <v/>
      </c>
      <c r="AJ2570" s="10" t="str">
        <f>IFERROR(VLOOKUP(B2570,'Pre-Summary'!$AZ$6:$BE$65,4,FALSE),"")</f>
        <v/>
      </c>
      <c r="AK2570" s="10" t="str">
        <f>IFERROR(VLOOKUP(B2570,'Pre-Summary'!$AZ$6:$BE$65,6,FALSE),"")</f>
        <v/>
      </c>
      <c r="AL2570" s="10" t="str">
        <f>IFERROR(VLOOKUP(B2570,'Pre-Summary'!$BG$6:$BL$44,3,FALSE),"")</f>
        <v/>
      </c>
      <c r="AM2570" s="10" t="str">
        <f>IFERROR(VLOOKUP(B2570,'Pre-Summary'!$BG$6:$BL$44,4,FALSE),"")</f>
        <v/>
      </c>
    </row>
    <row r="2571" spans="2:39" ht="15" customHeight="1" x14ac:dyDescent="0.3">
      <c r="B2571">
        <v>256.8</v>
      </c>
      <c r="C2571" t="str">
        <f>IFERROR(VLOOKUP(B2571,'Pre-Summary'!$DI$6:$DM$23,4,FALSE),"")</f>
        <v/>
      </c>
      <c r="D2571" s="10" t="str">
        <f>IFERROR(VLOOKUP(B2571,'Pre-Summary'!$AT$6:$AX$14,5,FALSE),D2570)</f>
        <v>Wolfe v3: went back to modified wolfe + EDTA and switched CuSO4 to CUCl2</v>
      </c>
      <c r="E2571" s="10" t="str">
        <f>IFERROR(VLOOKUP(B2571,'Pre-Summary'!$AT$6:$AX$15,4,FALSE),"")</f>
        <v/>
      </c>
      <c r="F2571">
        <f>IFERROR(VLOOKUP(B2571,'Pre-Summary'!$AL$6:$AQ$13,6,FALSE),F2570)</f>
        <v>5.9405263157894746E-2</v>
      </c>
      <c r="G2571" t="str">
        <f>IFERROR(VLOOKUP(B2571,'Pre-Summary'!$AE$6:$AJ$85,3,FALSE),"")</f>
        <v/>
      </c>
      <c r="H2571" t="str">
        <f>IFERROR(VLOOKUP(B2571,'Pre-Summary'!$AE$6:$AJ$85,4,FALSE),"")</f>
        <v/>
      </c>
      <c r="I2571" t="str">
        <f>IFERROR(VLOOKUP(B2571,'Pre-Summary'!$AE$6:$AJ$85,5,FALSE),"")</f>
        <v/>
      </c>
      <c r="J2571" s="45" t="str">
        <f>IFERROR(VLOOKUP(B2571,'Pre-Summary'!$AE$6:$AJ$85,6, FALSE),"")</f>
        <v/>
      </c>
      <c r="K2571" s="45" t="str">
        <f>IFERROR(VLOOKUP(B2571,'Pre-Summary'!$DE$6:$DG$61,3,FALSE),"")</f>
        <v/>
      </c>
      <c r="L2571" s="45" t="str">
        <f>IFERROR(VLOOKUP(B2571,'Pre-Summary'!$CU$6:$CW$36,3,FALSE),"")</f>
        <v/>
      </c>
      <c r="M2571" s="45" t="str">
        <f>IFERROR(VLOOKUP(B2571,'Pre-Summary'!$BW$6:$BY$58,2,FALSE),"")</f>
        <v/>
      </c>
      <c r="N2571" s="45" t="str">
        <f>IFERROR(VLOOKUP(B2571,'Pre-Summary'!$CD$6:$CF$64,2,FALSE),"")</f>
        <v/>
      </c>
      <c r="O2571" s="99">
        <f>IFERROR(VLOOKUP(B2571,'Pre-Summary'!$BO$6:$BQ$48,3, FALSE),O2570)</f>
        <v>1.508</v>
      </c>
      <c r="P2571" s="99">
        <f>IFERROR(VLOOKUP(B2571,'Pre-Summary'!$BS$6:$BU$35,3,FALSE),P2570)</f>
        <v>0.4</v>
      </c>
      <c r="Q2571" s="54">
        <f t="shared" si="120"/>
        <v>3.77</v>
      </c>
      <c r="R2571" s="53">
        <f>IFERROR(VLOOKUP(B2571,'Pre-Summary'!$BG$6:$BM$44,7,FALSE),R2572)</f>
        <v>0.11030801475343607</v>
      </c>
      <c r="S2571" s="53">
        <f>IFERROR(VLOOKUP(B2571,'Pre-Summary'!$BG$6:$BM$44,6,FALSE),S2572)</f>
        <v>0.11504859134187218</v>
      </c>
      <c r="T2571" s="45" t="str">
        <f>IFERROR(VLOOKUP(B2571,'Pre-Summary'!$Y$6:$AC$83, 3,FALSE),"")</f>
        <v/>
      </c>
      <c r="U2571" s="45" t="str">
        <f>IFERROR(VLOOKUP(B2571,'Pre-Summary'!$Y$6:$AC$83, 4,FALSE),"")</f>
        <v/>
      </c>
      <c r="V2571" t="str">
        <f>IFERROR(VLOOKUP(B2571,'Pre-Summary'!$Y$6:$AC$83, 5,FALSE),"")</f>
        <v/>
      </c>
      <c r="W2571" s="45" t="str">
        <f>IFERROR(VLOOKUP(B2571,'Pre-Summary'!$Y$6:$AD$83,6,FALSE),"")</f>
        <v/>
      </c>
      <c r="X2571" t="str">
        <f>IFERROR(VLOOKUP('Pre-Summary'!$DB$6:$DD$63,3,FALSE),"")</f>
        <v/>
      </c>
      <c r="Y2571" t="str">
        <f>IFERROR(VLOOKUP(B2571,'Pre-Summary'!$CR$6:$CT$36,3,FALSE),"")</f>
        <v/>
      </c>
      <c r="Z2571" s="45" t="str">
        <f>IFERROR(VLOOKUP(B2571,'Pre-Summary'!$BZ$6:$CB$63,2,FALSE),"")</f>
        <v/>
      </c>
      <c r="AA2571" s="45" t="str">
        <f>IFERROR(VLOOKUP(B2571,'Pre-Summary'!$CG$6:$CI$70,2,FALSE),"")</f>
        <v/>
      </c>
      <c r="AB2571" s="99">
        <f>IFERROR(VLOOKUP(B2571,'Pre-Summary'!$A$6:$P$178,9,FALSE),AB2572)</f>
        <v>0.44037364184945627</v>
      </c>
      <c r="AC2571" s="10">
        <f>IFERROR(VLOOKUP(Summary!B2571,'Pre-Summary'!$A$6:$P$184,5, FALSE)/100,AC2572)</f>
        <v>0.9629049999999999</v>
      </c>
      <c r="AD2571" s="10">
        <f>IFERROR(VLOOKUP(Summary!B2571,'Pre-Summary'!$A$6:$P$184,3, FALSE)/100,AD2572)</f>
        <v>3.0608333333333331E-2</v>
      </c>
      <c r="AE2571" s="10">
        <f>IFERROR(VLOOKUP(Summary!B2571,'Pre-Summary'!$A$6:$P$184,7, FALSE)/100,AE2572)</f>
        <v>6.4959999999999992E-3</v>
      </c>
      <c r="AF2571" s="99">
        <f t="shared" si="121"/>
        <v>1.3479103220942106E-2</v>
      </c>
      <c r="AG2571" s="99">
        <f t="shared" si="122"/>
        <v>2.8606671774540674E-3</v>
      </c>
      <c r="AH2571" s="10" t="str">
        <f>IFERROR(VLOOKUP(B2571,'Pre-Summary'!$AZ$6:$BE$65,3,FALSE),"")</f>
        <v/>
      </c>
      <c r="AI2571" s="10" t="str">
        <f>IFERROR(VLOOKUP(B2571,'Pre-Summary'!$AZ$6:$BE$65,5,FALSE),"")</f>
        <v/>
      </c>
      <c r="AJ2571" s="10" t="str">
        <f>IFERROR(VLOOKUP(B2571,'Pre-Summary'!$AZ$6:$BE$65,4,FALSE),"")</f>
        <v/>
      </c>
      <c r="AK2571" s="10" t="str">
        <f>IFERROR(VLOOKUP(B2571,'Pre-Summary'!$AZ$6:$BE$65,6,FALSE),"")</f>
        <v/>
      </c>
      <c r="AL2571" s="10" t="str">
        <f>IFERROR(VLOOKUP(B2571,'Pre-Summary'!$BG$6:$BL$44,3,FALSE),"")</f>
        <v/>
      </c>
      <c r="AM2571" s="10" t="str">
        <f>IFERROR(VLOOKUP(B2571,'Pre-Summary'!$BG$6:$BL$44,4,FALSE),"")</f>
        <v/>
      </c>
    </row>
    <row r="2572" spans="2:39" ht="15" customHeight="1" x14ac:dyDescent="0.3">
      <c r="B2572">
        <v>256.89999999999998</v>
      </c>
      <c r="C2572" t="str">
        <f>IFERROR(VLOOKUP(B2572,'Pre-Summary'!$DI$6:$DM$23,4,FALSE),"")</f>
        <v/>
      </c>
      <c r="D2572" s="10" t="str">
        <f>IFERROR(VLOOKUP(B2572,'Pre-Summary'!$AT$6:$AX$14,5,FALSE),D2571)</f>
        <v>Wolfe v3: went back to modified wolfe + EDTA and switched CuSO4 to CUCl2</v>
      </c>
      <c r="E2572" s="10" t="str">
        <f>IFERROR(VLOOKUP(B2572,'Pre-Summary'!$AT$6:$AX$15,4,FALSE),"")</f>
        <v/>
      </c>
      <c r="F2572">
        <f>IFERROR(VLOOKUP(B2572,'Pre-Summary'!$AL$6:$AQ$13,6,FALSE),F2571)</f>
        <v>5.9405263157894746E-2</v>
      </c>
      <c r="G2572" t="str">
        <f>IFERROR(VLOOKUP(B2572,'Pre-Summary'!$AE$6:$AJ$85,3,FALSE),"")</f>
        <v/>
      </c>
      <c r="H2572" t="str">
        <f>IFERROR(VLOOKUP(B2572,'Pre-Summary'!$AE$6:$AJ$85,4,FALSE),"")</f>
        <v/>
      </c>
      <c r="I2572" t="str">
        <f>IFERROR(VLOOKUP(B2572,'Pre-Summary'!$AE$6:$AJ$85,5,FALSE),"")</f>
        <v/>
      </c>
      <c r="J2572" s="45" t="str">
        <f>IFERROR(VLOOKUP(B2572,'Pre-Summary'!$AE$6:$AJ$85,6, FALSE),"")</f>
        <v/>
      </c>
      <c r="K2572" s="45" t="str">
        <f>IFERROR(VLOOKUP(B2572,'Pre-Summary'!$DE$6:$DG$61,3,FALSE),"")</f>
        <v/>
      </c>
      <c r="L2572" s="45" t="str">
        <f>IFERROR(VLOOKUP(B2572,'Pre-Summary'!$CU$6:$CW$36,3,FALSE),"")</f>
        <v/>
      </c>
      <c r="M2572" s="45" t="str">
        <f>IFERROR(VLOOKUP(B2572,'Pre-Summary'!$BW$6:$BY$58,2,FALSE),"")</f>
        <v/>
      </c>
      <c r="N2572" s="45" t="str">
        <f>IFERROR(VLOOKUP(B2572,'Pre-Summary'!$CD$6:$CF$64,2,FALSE),"")</f>
        <v/>
      </c>
      <c r="O2572" s="99">
        <f>IFERROR(VLOOKUP(B2572,'Pre-Summary'!$BO$6:$BQ$48,3, FALSE),O2571)</f>
        <v>1.508</v>
      </c>
      <c r="P2572" s="99">
        <f>IFERROR(VLOOKUP(B2572,'Pre-Summary'!$BS$6:$BU$35,3,FALSE),P2571)</f>
        <v>0.4</v>
      </c>
      <c r="Q2572" s="54">
        <f t="shared" si="120"/>
        <v>3.77</v>
      </c>
      <c r="R2572" s="53">
        <f>IFERROR(VLOOKUP(B2572,'Pre-Summary'!$BG$6:$BM$44,7,FALSE),R2573)</f>
        <v>0.11030801475343607</v>
      </c>
      <c r="S2572" s="53">
        <f>IFERROR(VLOOKUP(B2572,'Pre-Summary'!$BG$6:$BM$44,6,FALSE),S2573)</f>
        <v>0.11504859134187218</v>
      </c>
      <c r="T2572" s="45" t="str">
        <f>IFERROR(VLOOKUP(B2572,'Pre-Summary'!$Y$6:$AC$83, 3,FALSE),"")</f>
        <v/>
      </c>
      <c r="U2572" s="45" t="str">
        <f>IFERROR(VLOOKUP(B2572,'Pre-Summary'!$Y$6:$AC$83, 4,FALSE),"")</f>
        <v/>
      </c>
      <c r="V2572" t="str">
        <f>IFERROR(VLOOKUP(B2572,'Pre-Summary'!$Y$6:$AC$83, 5,FALSE),"")</f>
        <v/>
      </c>
      <c r="W2572" s="45" t="str">
        <f>IFERROR(VLOOKUP(B2572,'Pre-Summary'!$Y$6:$AD$83,6,FALSE),"")</f>
        <v/>
      </c>
      <c r="X2572" t="str">
        <f>IFERROR(VLOOKUP('Pre-Summary'!$DB$6:$DD$63,3,FALSE),"")</f>
        <v/>
      </c>
      <c r="Y2572" t="str">
        <f>IFERROR(VLOOKUP(B2572,'Pre-Summary'!$CR$6:$CT$36,3,FALSE),"")</f>
        <v/>
      </c>
      <c r="Z2572" s="45" t="str">
        <f>IFERROR(VLOOKUP(B2572,'Pre-Summary'!$BZ$6:$CB$63,2,FALSE),"")</f>
        <v/>
      </c>
      <c r="AA2572" s="45" t="str">
        <f>IFERROR(VLOOKUP(B2572,'Pre-Summary'!$CG$6:$CI$70,2,FALSE),"")</f>
        <v/>
      </c>
      <c r="AB2572" s="99">
        <f>IFERROR(VLOOKUP(B2572,'Pre-Summary'!$A$6:$P$178,9,FALSE),AB2573)</f>
        <v>0.44037364184945627</v>
      </c>
      <c r="AC2572" s="10">
        <f>IFERROR(VLOOKUP(Summary!B2572,'Pre-Summary'!$A$6:$P$184,5, FALSE)/100,AC2573)</f>
        <v>0.9629049999999999</v>
      </c>
      <c r="AD2572" s="10">
        <f>IFERROR(VLOOKUP(Summary!B2572,'Pre-Summary'!$A$6:$P$184,3, FALSE)/100,AD2573)</f>
        <v>3.0608333333333331E-2</v>
      </c>
      <c r="AE2572" s="10">
        <f>IFERROR(VLOOKUP(Summary!B2572,'Pre-Summary'!$A$6:$P$184,7, FALSE)/100,AE2573)</f>
        <v>6.4959999999999992E-3</v>
      </c>
      <c r="AF2572" s="99">
        <f t="shared" si="121"/>
        <v>1.3479103220942106E-2</v>
      </c>
      <c r="AG2572" s="99">
        <f t="shared" si="122"/>
        <v>2.8606671774540674E-3</v>
      </c>
      <c r="AH2572" s="10" t="str">
        <f>IFERROR(VLOOKUP(B2572,'Pre-Summary'!$AZ$6:$BE$65,3,FALSE),"")</f>
        <v/>
      </c>
      <c r="AI2572" s="10" t="str">
        <f>IFERROR(VLOOKUP(B2572,'Pre-Summary'!$AZ$6:$BE$65,5,FALSE),"")</f>
        <v/>
      </c>
      <c r="AJ2572" s="10" t="str">
        <f>IFERROR(VLOOKUP(B2572,'Pre-Summary'!$AZ$6:$BE$65,4,FALSE),"")</f>
        <v/>
      </c>
      <c r="AK2572" s="10" t="str">
        <f>IFERROR(VLOOKUP(B2572,'Pre-Summary'!$AZ$6:$BE$65,6,FALSE),"")</f>
        <v/>
      </c>
      <c r="AL2572" s="10" t="str">
        <f>IFERROR(VLOOKUP(B2572,'Pre-Summary'!$BG$6:$BL$44,3,FALSE),"")</f>
        <v/>
      </c>
      <c r="AM2572" s="10" t="str">
        <f>IFERROR(VLOOKUP(B2572,'Pre-Summary'!$BG$6:$BL$44,4,FALSE),"")</f>
        <v/>
      </c>
    </row>
    <row r="2573" spans="2:39" ht="15" customHeight="1" x14ac:dyDescent="0.3">
      <c r="B2573">
        <v>257</v>
      </c>
      <c r="C2573" t="str">
        <f>IFERROR(VLOOKUP(B2573,'Pre-Summary'!$DI$6:$DM$23,4,FALSE),"")</f>
        <v/>
      </c>
      <c r="D2573" s="10" t="str">
        <f>IFERROR(VLOOKUP(B2573,'Pre-Summary'!$AT$6:$AX$14,5,FALSE),D2572)</f>
        <v>Wolfe v3: went back to modified wolfe + EDTA and switched CuSO4 to CUCl2</v>
      </c>
      <c r="E2573" s="10" t="str">
        <f>IFERROR(VLOOKUP(B2573,'Pre-Summary'!$AT$6:$AX$15,4,FALSE),"")</f>
        <v/>
      </c>
      <c r="F2573">
        <f>IFERROR(VLOOKUP(B2573,'Pre-Summary'!$AL$6:$AQ$13,6,FALSE),F2572)</f>
        <v>5.9405263157894746E-2</v>
      </c>
      <c r="G2573" t="str">
        <f>IFERROR(VLOOKUP(B2573,'Pre-Summary'!$AE$6:$AJ$85,3,FALSE),"")</f>
        <v/>
      </c>
      <c r="H2573" t="str">
        <f>IFERROR(VLOOKUP(B2573,'Pre-Summary'!$AE$6:$AJ$85,4,FALSE),"")</f>
        <v/>
      </c>
      <c r="I2573" t="str">
        <f>IFERROR(VLOOKUP(B2573,'Pre-Summary'!$AE$6:$AJ$85,5,FALSE),"")</f>
        <v/>
      </c>
      <c r="J2573" s="45" t="str">
        <f>IFERROR(VLOOKUP(B2573,'Pre-Summary'!$AE$6:$AJ$85,6, FALSE),"")</f>
        <v/>
      </c>
      <c r="K2573" s="45" t="str">
        <f>IFERROR(VLOOKUP(B2573,'Pre-Summary'!$DE$6:$DG$61,3,FALSE),"")</f>
        <v/>
      </c>
      <c r="L2573" s="45" t="str">
        <f>IFERROR(VLOOKUP(B2573,'Pre-Summary'!$CU$6:$CW$36,3,FALSE),"")</f>
        <v/>
      </c>
      <c r="M2573" s="45" t="str">
        <f>IFERROR(VLOOKUP(B2573,'Pre-Summary'!$BW$6:$BY$58,2,FALSE),"")</f>
        <v/>
      </c>
      <c r="N2573" s="45" t="str">
        <f>IFERROR(VLOOKUP(B2573,'Pre-Summary'!$CD$6:$CF$64,2,FALSE),"")</f>
        <v/>
      </c>
      <c r="O2573" s="99">
        <f>IFERROR(VLOOKUP(B2573,'Pre-Summary'!$BO$6:$BQ$48,3, FALSE),O2572)</f>
        <v>1.508</v>
      </c>
      <c r="P2573" s="99">
        <f>IFERROR(VLOOKUP(B2573,'Pre-Summary'!$BS$6:$BU$35,3,FALSE),P2572)</f>
        <v>0.4</v>
      </c>
      <c r="Q2573" s="54">
        <f t="shared" si="120"/>
        <v>3.77</v>
      </c>
      <c r="R2573" s="53">
        <f>IFERROR(VLOOKUP(B2573,'Pre-Summary'!$BG$6:$BM$44,7,FALSE),R2574)</f>
        <v>0.11030801475343607</v>
      </c>
      <c r="S2573" s="53">
        <f>IFERROR(VLOOKUP(B2573,'Pre-Summary'!$BG$6:$BM$44,6,FALSE),S2574)</f>
        <v>0.11504859134187218</v>
      </c>
      <c r="T2573" s="45" t="str">
        <f>IFERROR(VLOOKUP(B2573,'Pre-Summary'!$Y$6:$AC$83, 3,FALSE),"")</f>
        <v/>
      </c>
      <c r="U2573" s="45" t="str">
        <f>IFERROR(VLOOKUP(B2573,'Pre-Summary'!$Y$6:$AC$83, 4,FALSE),"")</f>
        <v/>
      </c>
      <c r="V2573" t="str">
        <f>IFERROR(VLOOKUP(B2573,'Pre-Summary'!$Y$6:$AC$83, 5,FALSE),"")</f>
        <v/>
      </c>
      <c r="W2573" s="45" t="str">
        <f>IFERROR(VLOOKUP(B2573,'Pre-Summary'!$Y$6:$AD$83,6,FALSE),"")</f>
        <v/>
      </c>
      <c r="X2573" t="str">
        <f>IFERROR(VLOOKUP('Pre-Summary'!$DB$6:$DD$63,3,FALSE),"")</f>
        <v/>
      </c>
      <c r="Y2573" t="str">
        <f>IFERROR(VLOOKUP(B2573,'Pre-Summary'!$CR$6:$CT$36,3,FALSE),"")</f>
        <v/>
      </c>
      <c r="Z2573" s="45" t="str">
        <f>IFERROR(VLOOKUP(B2573,'Pre-Summary'!$BZ$6:$CB$63,2,FALSE),"")</f>
        <v/>
      </c>
      <c r="AA2573" s="45" t="str">
        <f>IFERROR(VLOOKUP(B2573,'Pre-Summary'!$CG$6:$CI$70,2,FALSE),"")</f>
        <v/>
      </c>
      <c r="AB2573" s="99">
        <f>IFERROR(VLOOKUP(B2573,'Pre-Summary'!$A$6:$P$178,9,FALSE),AB2574)</f>
        <v>0.44037364184945627</v>
      </c>
      <c r="AC2573" s="10">
        <f>IFERROR(VLOOKUP(Summary!B2573,'Pre-Summary'!$A$6:$P$184,5, FALSE)/100,AC2574)</f>
        <v>0.9629049999999999</v>
      </c>
      <c r="AD2573" s="10">
        <f>IFERROR(VLOOKUP(Summary!B2573,'Pre-Summary'!$A$6:$P$184,3, FALSE)/100,AD2574)</f>
        <v>3.0608333333333331E-2</v>
      </c>
      <c r="AE2573" s="10">
        <f>IFERROR(VLOOKUP(Summary!B2573,'Pre-Summary'!$A$6:$P$184,7, FALSE)/100,AE2574)</f>
        <v>6.4959999999999992E-3</v>
      </c>
      <c r="AF2573" s="99">
        <f t="shared" si="121"/>
        <v>1.3479103220942106E-2</v>
      </c>
      <c r="AG2573" s="99">
        <f t="shared" si="122"/>
        <v>2.8606671774540674E-3</v>
      </c>
      <c r="AH2573" s="10" t="str">
        <f>IFERROR(VLOOKUP(B2573,'Pre-Summary'!$AZ$6:$BE$65,3,FALSE),"")</f>
        <v/>
      </c>
      <c r="AI2573" s="10" t="str">
        <f>IFERROR(VLOOKUP(B2573,'Pre-Summary'!$AZ$6:$BE$65,5,FALSE),"")</f>
        <v/>
      </c>
      <c r="AJ2573" s="10" t="str">
        <f>IFERROR(VLOOKUP(B2573,'Pre-Summary'!$AZ$6:$BE$65,4,FALSE),"")</f>
        <v/>
      </c>
      <c r="AK2573" s="10" t="str">
        <f>IFERROR(VLOOKUP(B2573,'Pre-Summary'!$AZ$6:$BE$65,6,FALSE),"")</f>
        <v/>
      </c>
      <c r="AL2573" s="10" t="str">
        <f>IFERROR(VLOOKUP(B2573,'Pre-Summary'!$BG$6:$BL$44,3,FALSE),"")</f>
        <v/>
      </c>
      <c r="AM2573" s="10" t="str">
        <f>IFERROR(VLOOKUP(B2573,'Pre-Summary'!$BG$6:$BL$44,4,FALSE),"")</f>
        <v/>
      </c>
    </row>
    <row r="2574" spans="2:39" ht="15" customHeight="1" x14ac:dyDescent="0.3">
      <c r="B2574">
        <v>257.10000000000002</v>
      </c>
      <c r="C2574" t="str">
        <f>IFERROR(VLOOKUP(B2574,'Pre-Summary'!$DI$6:$DM$23,4,FALSE),"")</f>
        <v/>
      </c>
      <c r="D2574" s="10" t="str">
        <f>IFERROR(VLOOKUP(B2574,'Pre-Summary'!$AT$6:$AX$14,5,FALSE),D2573)</f>
        <v>Wolfe v3: went back to modified wolfe + EDTA and switched CuSO4 to CUCl2</v>
      </c>
      <c r="E2574" s="10" t="str">
        <f>IFERROR(VLOOKUP(B2574,'Pre-Summary'!$AT$6:$AX$15,4,FALSE),"")</f>
        <v/>
      </c>
      <c r="F2574">
        <f>IFERROR(VLOOKUP(B2574,'Pre-Summary'!$AL$6:$AQ$13,6,FALSE),F2573)</f>
        <v>5.9405263157894746E-2</v>
      </c>
      <c r="G2574" t="str">
        <f>IFERROR(VLOOKUP(B2574,'Pre-Summary'!$AE$6:$AJ$85,3,FALSE),"")</f>
        <v/>
      </c>
      <c r="H2574" t="str">
        <f>IFERROR(VLOOKUP(B2574,'Pre-Summary'!$AE$6:$AJ$85,4,FALSE),"")</f>
        <v/>
      </c>
      <c r="I2574" t="str">
        <f>IFERROR(VLOOKUP(B2574,'Pre-Summary'!$AE$6:$AJ$85,5,FALSE),"")</f>
        <v/>
      </c>
      <c r="J2574" s="45" t="str">
        <f>IFERROR(VLOOKUP(B2574,'Pre-Summary'!$AE$6:$AJ$85,6, FALSE),"")</f>
        <v/>
      </c>
      <c r="K2574" s="45" t="str">
        <f>IFERROR(VLOOKUP(B2574,'Pre-Summary'!$DE$6:$DG$61,3,FALSE),"")</f>
        <v/>
      </c>
      <c r="L2574" s="45" t="str">
        <f>IFERROR(VLOOKUP(B2574,'Pre-Summary'!$CU$6:$CW$36,3,FALSE),"")</f>
        <v/>
      </c>
      <c r="M2574" s="45" t="str">
        <f>IFERROR(VLOOKUP(B2574,'Pre-Summary'!$BW$6:$BY$58,2,FALSE),"")</f>
        <v/>
      </c>
      <c r="N2574" s="45" t="str">
        <f>IFERROR(VLOOKUP(B2574,'Pre-Summary'!$CD$6:$CF$64,2,FALSE),"")</f>
        <v/>
      </c>
      <c r="O2574" s="99">
        <f>IFERROR(VLOOKUP(B2574,'Pre-Summary'!$BO$6:$BQ$48,3, FALSE),O2573)</f>
        <v>1.508</v>
      </c>
      <c r="P2574" s="99">
        <f>IFERROR(VLOOKUP(B2574,'Pre-Summary'!$BS$6:$BU$35,3,FALSE),P2573)</f>
        <v>0.4</v>
      </c>
      <c r="Q2574" s="54">
        <f t="shared" si="120"/>
        <v>3.77</v>
      </c>
      <c r="R2574" s="53">
        <f>IFERROR(VLOOKUP(B2574,'Pre-Summary'!$BG$6:$BM$44,7,FALSE),R2575)</f>
        <v>0.11030801475343607</v>
      </c>
      <c r="S2574" s="53">
        <f>IFERROR(VLOOKUP(B2574,'Pre-Summary'!$BG$6:$BM$44,6,FALSE),S2575)</f>
        <v>0.11504859134187218</v>
      </c>
      <c r="T2574" s="45" t="str">
        <f>IFERROR(VLOOKUP(B2574,'Pre-Summary'!$Y$6:$AC$83, 3,FALSE),"")</f>
        <v/>
      </c>
      <c r="U2574" s="45" t="str">
        <f>IFERROR(VLOOKUP(B2574,'Pre-Summary'!$Y$6:$AC$83, 4,FALSE),"")</f>
        <v/>
      </c>
      <c r="V2574" t="str">
        <f>IFERROR(VLOOKUP(B2574,'Pre-Summary'!$Y$6:$AC$83, 5,FALSE),"")</f>
        <v/>
      </c>
      <c r="W2574" s="45" t="str">
        <f>IFERROR(VLOOKUP(B2574,'Pre-Summary'!$Y$6:$AD$83,6,FALSE),"")</f>
        <v/>
      </c>
      <c r="X2574" t="str">
        <f>IFERROR(VLOOKUP('Pre-Summary'!$DB$6:$DD$63,3,FALSE),"")</f>
        <v/>
      </c>
      <c r="Y2574" t="str">
        <f>IFERROR(VLOOKUP(B2574,'Pre-Summary'!$CR$6:$CT$36,3,FALSE),"")</f>
        <v/>
      </c>
      <c r="Z2574" s="45" t="str">
        <f>IFERROR(VLOOKUP(B2574,'Pre-Summary'!$BZ$6:$CB$63,2,FALSE),"")</f>
        <v/>
      </c>
      <c r="AA2574" s="45" t="str">
        <f>IFERROR(VLOOKUP(B2574,'Pre-Summary'!$CG$6:$CI$70,2,FALSE),"")</f>
        <v/>
      </c>
      <c r="AB2574" s="99">
        <f>IFERROR(VLOOKUP(B2574,'Pre-Summary'!$A$6:$P$178,9,FALSE),AB2575)</f>
        <v>0.44037364184945627</v>
      </c>
      <c r="AC2574" s="10">
        <f>IFERROR(VLOOKUP(Summary!B2574,'Pre-Summary'!$A$6:$P$184,5, FALSE)/100,AC2575)</f>
        <v>0.9629049999999999</v>
      </c>
      <c r="AD2574" s="10">
        <f>IFERROR(VLOOKUP(Summary!B2574,'Pre-Summary'!$A$6:$P$184,3, FALSE)/100,AD2575)</f>
        <v>3.0608333333333331E-2</v>
      </c>
      <c r="AE2574" s="10">
        <f>IFERROR(VLOOKUP(Summary!B2574,'Pre-Summary'!$A$6:$P$184,7, FALSE)/100,AE2575)</f>
        <v>6.4959999999999992E-3</v>
      </c>
      <c r="AF2574" s="99">
        <f t="shared" si="121"/>
        <v>1.3479103220942106E-2</v>
      </c>
      <c r="AG2574" s="99">
        <f t="shared" si="122"/>
        <v>2.8606671774540674E-3</v>
      </c>
      <c r="AH2574" s="10" t="str">
        <f>IFERROR(VLOOKUP(B2574,'Pre-Summary'!$AZ$6:$BE$65,3,FALSE),"")</f>
        <v/>
      </c>
      <c r="AI2574" s="10" t="str">
        <f>IFERROR(VLOOKUP(B2574,'Pre-Summary'!$AZ$6:$BE$65,5,FALSE),"")</f>
        <v/>
      </c>
      <c r="AJ2574" s="10" t="str">
        <f>IFERROR(VLOOKUP(B2574,'Pre-Summary'!$AZ$6:$BE$65,4,FALSE),"")</f>
        <v/>
      </c>
      <c r="AK2574" s="10" t="str">
        <f>IFERROR(VLOOKUP(B2574,'Pre-Summary'!$AZ$6:$BE$65,6,FALSE),"")</f>
        <v/>
      </c>
      <c r="AL2574" s="10" t="str">
        <f>IFERROR(VLOOKUP(B2574,'Pre-Summary'!$BG$6:$BL$44,3,FALSE),"")</f>
        <v/>
      </c>
      <c r="AM2574" s="10" t="str">
        <f>IFERROR(VLOOKUP(B2574,'Pre-Summary'!$BG$6:$BL$44,4,FALSE),"")</f>
        <v/>
      </c>
    </row>
    <row r="2575" spans="2:39" ht="15" customHeight="1" x14ac:dyDescent="0.3">
      <c r="B2575">
        <v>257.2</v>
      </c>
      <c r="C2575" t="str">
        <f>IFERROR(VLOOKUP(B2575,'Pre-Summary'!$DI$6:$DM$23,4,FALSE),"")</f>
        <v/>
      </c>
      <c r="D2575" s="10" t="str">
        <f>IFERROR(VLOOKUP(B2575,'Pre-Summary'!$AT$6:$AX$14,5,FALSE),D2574)</f>
        <v>Wolfe v3: went back to modified wolfe + EDTA and switched CuSO4 to CUCl2</v>
      </c>
      <c r="E2575" s="10" t="str">
        <f>IFERROR(VLOOKUP(B2575,'Pre-Summary'!$AT$6:$AX$15,4,FALSE),"")</f>
        <v/>
      </c>
      <c r="F2575">
        <f>IFERROR(VLOOKUP(B2575,'Pre-Summary'!$AL$6:$AQ$13,6,FALSE),F2574)</f>
        <v>5.9405263157894746E-2</v>
      </c>
      <c r="G2575" t="str">
        <f>IFERROR(VLOOKUP(B2575,'Pre-Summary'!$AE$6:$AJ$85,3,FALSE),"")</f>
        <v/>
      </c>
      <c r="H2575" t="str">
        <f>IFERROR(VLOOKUP(B2575,'Pre-Summary'!$AE$6:$AJ$85,4,FALSE),"")</f>
        <v/>
      </c>
      <c r="I2575" t="str">
        <f>IFERROR(VLOOKUP(B2575,'Pre-Summary'!$AE$6:$AJ$85,5,FALSE),"")</f>
        <v/>
      </c>
      <c r="J2575" s="45" t="str">
        <f>IFERROR(VLOOKUP(B2575,'Pre-Summary'!$AE$6:$AJ$85,6, FALSE),"")</f>
        <v/>
      </c>
      <c r="K2575" s="45" t="str">
        <f>IFERROR(VLOOKUP(B2575,'Pre-Summary'!$DE$6:$DG$61,3,FALSE),"")</f>
        <v/>
      </c>
      <c r="L2575" s="45" t="str">
        <f>IFERROR(VLOOKUP(B2575,'Pre-Summary'!$CU$6:$CW$36,3,FALSE),"")</f>
        <v/>
      </c>
      <c r="M2575" s="45" t="str">
        <f>IFERROR(VLOOKUP(B2575,'Pre-Summary'!$BW$6:$BY$58,2,FALSE),"")</f>
        <v/>
      </c>
      <c r="N2575" s="45" t="str">
        <f>IFERROR(VLOOKUP(B2575,'Pre-Summary'!$CD$6:$CF$64,2,FALSE),"")</f>
        <v/>
      </c>
      <c r="O2575" s="99">
        <f>IFERROR(VLOOKUP(B2575,'Pre-Summary'!$BO$6:$BQ$48,3, FALSE),O2574)</f>
        <v>1.508</v>
      </c>
      <c r="P2575" s="99">
        <f>IFERROR(VLOOKUP(B2575,'Pre-Summary'!$BS$6:$BU$35,3,FALSE),P2574)</f>
        <v>0.4</v>
      </c>
      <c r="Q2575" s="54">
        <f t="shared" si="120"/>
        <v>3.77</v>
      </c>
      <c r="R2575" s="53">
        <f>IFERROR(VLOOKUP(B2575,'Pre-Summary'!$BG$6:$BM$44,7,FALSE),R2576)</f>
        <v>0.11030801475343607</v>
      </c>
      <c r="S2575" s="53">
        <f>IFERROR(VLOOKUP(B2575,'Pre-Summary'!$BG$6:$BM$44,6,FALSE),S2576)</f>
        <v>0.11504859134187218</v>
      </c>
      <c r="T2575" s="45" t="str">
        <f>IFERROR(VLOOKUP(B2575,'Pre-Summary'!$Y$6:$AC$83, 3,FALSE),"")</f>
        <v/>
      </c>
      <c r="U2575" s="45" t="str">
        <f>IFERROR(VLOOKUP(B2575,'Pre-Summary'!$Y$6:$AC$83, 4,FALSE),"")</f>
        <v/>
      </c>
      <c r="V2575" t="str">
        <f>IFERROR(VLOOKUP(B2575,'Pre-Summary'!$Y$6:$AC$83, 5,FALSE),"")</f>
        <v/>
      </c>
      <c r="W2575" s="45" t="str">
        <f>IFERROR(VLOOKUP(B2575,'Pre-Summary'!$Y$6:$AD$83,6,FALSE),"")</f>
        <v/>
      </c>
      <c r="X2575" t="str">
        <f>IFERROR(VLOOKUP('Pre-Summary'!$DB$6:$DD$63,3,FALSE),"")</f>
        <v/>
      </c>
      <c r="Y2575" t="str">
        <f>IFERROR(VLOOKUP(B2575,'Pre-Summary'!$CR$6:$CT$36,3,FALSE),"")</f>
        <v/>
      </c>
      <c r="Z2575" s="45" t="str">
        <f>IFERROR(VLOOKUP(B2575,'Pre-Summary'!$BZ$6:$CB$63,2,FALSE),"")</f>
        <v/>
      </c>
      <c r="AA2575" s="45" t="str">
        <f>IFERROR(VLOOKUP(B2575,'Pre-Summary'!$CG$6:$CI$70,2,FALSE),"")</f>
        <v/>
      </c>
      <c r="AB2575" s="99">
        <f>IFERROR(VLOOKUP(B2575,'Pre-Summary'!$A$6:$P$178,9,FALSE),AB2576)</f>
        <v>0.44037364184945627</v>
      </c>
      <c r="AC2575" s="10">
        <f>IFERROR(VLOOKUP(Summary!B2575,'Pre-Summary'!$A$6:$P$184,5, FALSE)/100,AC2576)</f>
        <v>0.9629049999999999</v>
      </c>
      <c r="AD2575" s="10">
        <f>IFERROR(VLOOKUP(Summary!B2575,'Pre-Summary'!$A$6:$P$184,3, FALSE)/100,AD2576)</f>
        <v>3.0608333333333331E-2</v>
      </c>
      <c r="AE2575" s="10">
        <f>IFERROR(VLOOKUP(Summary!B2575,'Pre-Summary'!$A$6:$P$184,7, FALSE)/100,AE2576)</f>
        <v>6.4959999999999992E-3</v>
      </c>
      <c r="AF2575" s="99">
        <f t="shared" si="121"/>
        <v>1.3479103220942106E-2</v>
      </c>
      <c r="AG2575" s="99">
        <f t="shared" si="122"/>
        <v>2.8606671774540674E-3</v>
      </c>
      <c r="AH2575" s="10" t="str">
        <f>IFERROR(VLOOKUP(B2575,'Pre-Summary'!$AZ$6:$BE$65,3,FALSE),"")</f>
        <v/>
      </c>
      <c r="AI2575" s="10" t="str">
        <f>IFERROR(VLOOKUP(B2575,'Pre-Summary'!$AZ$6:$BE$65,5,FALSE),"")</f>
        <v/>
      </c>
      <c r="AJ2575" s="10" t="str">
        <f>IFERROR(VLOOKUP(B2575,'Pre-Summary'!$AZ$6:$BE$65,4,FALSE),"")</f>
        <v/>
      </c>
      <c r="AK2575" s="10" t="str">
        <f>IFERROR(VLOOKUP(B2575,'Pre-Summary'!$AZ$6:$BE$65,6,FALSE),"")</f>
        <v/>
      </c>
      <c r="AL2575" s="10" t="str">
        <f>IFERROR(VLOOKUP(B2575,'Pre-Summary'!$BG$6:$BL$44,3,FALSE),"")</f>
        <v/>
      </c>
      <c r="AM2575" s="10" t="str">
        <f>IFERROR(VLOOKUP(B2575,'Pre-Summary'!$BG$6:$BL$44,4,FALSE),"")</f>
        <v/>
      </c>
    </row>
    <row r="2576" spans="2:39" ht="15" customHeight="1" x14ac:dyDescent="0.3">
      <c r="B2576">
        <v>257.3</v>
      </c>
      <c r="C2576" t="str">
        <f>IFERROR(VLOOKUP(B2576,'Pre-Summary'!$DI$6:$DM$23,4,FALSE),"")</f>
        <v/>
      </c>
      <c r="D2576" s="10" t="str">
        <f>IFERROR(VLOOKUP(B2576,'Pre-Summary'!$AT$6:$AX$14,5,FALSE),D2575)</f>
        <v>Wolfe v3: went back to modified wolfe + EDTA and switched CuSO4 to CUCl2</v>
      </c>
      <c r="E2576" s="10" t="str">
        <f>IFERROR(VLOOKUP(B2576,'Pre-Summary'!$AT$6:$AX$15,4,FALSE),"")</f>
        <v/>
      </c>
      <c r="F2576">
        <f>IFERROR(VLOOKUP(B2576,'Pre-Summary'!$AL$6:$AQ$13,6,FALSE),F2575)</f>
        <v>5.9405263157894746E-2</v>
      </c>
      <c r="G2576" t="str">
        <f>IFERROR(VLOOKUP(B2576,'Pre-Summary'!$AE$6:$AJ$85,3,FALSE),"")</f>
        <v/>
      </c>
      <c r="H2576" t="str">
        <f>IFERROR(VLOOKUP(B2576,'Pre-Summary'!$AE$6:$AJ$85,4,FALSE),"")</f>
        <v/>
      </c>
      <c r="I2576" t="str">
        <f>IFERROR(VLOOKUP(B2576,'Pre-Summary'!$AE$6:$AJ$85,5,FALSE),"")</f>
        <v/>
      </c>
      <c r="J2576" s="45" t="str">
        <f>IFERROR(VLOOKUP(B2576,'Pre-Summary'!$AE$6:$AJ$85,6, FALSE),"")</f>
        <v/>
      </c>
      <c r="K2576" s="45" t="str">
        <f>IFERROR(VLOOKUP(B2576,'Pre-Summary'!$DE$6:$DG$61,3,FALSE),"")</f>
        <v/>
      </c>
      <c r="L2576" s="45" t="str">
        <f>IFERROR(VLOOKUP(B2576,'Pre-Summary'!$CU$6:$CW$36,3,FALSE),"")</f>
        <v/>
      </c>
      <c r="M2576" s="45" t="str">
        <f>IFERROR(VLOOKUP(B2576,'Pre-Summary'!$BW$6:$BY$58,2,FALSE),"")</f>
        <v/>
      </c>
      <c r="N2576" s="45" t="str">
        <f>IFERROR(VLOOKUP(B2576,'Pre-Summary'!$CD$6:$CF$64,2,FALSE),"")</f>
        <v/>
      </c>
      <c r="O2576" s="99">
        <f>IFERROR(VLOOKUP(B2576,'Pre-Summary'!$BO$6:$BQ$48,3, FALSE),O2575)</f>
        <v>1.508</v>
      </c>
      <c r="P2576" s="99">
        <f>IFERROR(VLOOKUP(B2576,'Pre-Summary'!$BS$6:$BU$35,3,FALSE),P2575)</f>
        <v>0.4</v>
      </c>
      <c r="Q2576" s="54">
        <f t="shared" si="120"/>
        <v>3.77</v>
      </c>
      <c r="R2576" s="53">
        <f>IFERROR(VLOOKUP(B2576,'Pre-Summary'!$BG$6:$BM$44,7,FALSE),R2577)</f>
        <v>0.11030801475343607</v>
      </c>
      <c r="S2576" s="53">
        <f>IFERROR(VLOOKUP(B2576,'Pre-Summary'!$BG$6:$BM$44,6,FALSE),S2577)</f>
        <v>0.11504859134187218</v>
      </c>
      <c r="T2576" s="45" t="str">
        <f>IFERROR(VLOOKUP(B2576,'Pre-Summary'!$Y$6:$AC$83, 3,FALSE),"")</f>
        <v/>
      </c>
      <c r="U2576" s="45" t="str">
        <f>IFERROR(VLOOKUP(B2576,'Pre-Summary'!$Y$6:$AC$83, 4,FALSE),"")</f>
        <v/>
      </c>
      <c r="V2576" t="str">
        <f>IFERROR(VLOOKUP(B2576,'Pre-Summary'!$Y$6:$AC$83, 5,FALSE),"")</f>
        <v/>
      </c>
      <c r="W2576" s="45" t="str">
        <f>IFERROR(VLOOKUP(B2576,'Pre-Summary'!$Y$6:$AD$83,6,FALSE),"")</f>
        <v/>
      </c>
      <c r="X2576" t="str">
        <f>IFERROR(VLOOKUP('Pre-Summary'!$DB$6:$DD$63,3,FALSE),"")</f>
        <v/>
      </c>
      <c r="Y2576" t="str">
        <f>IFERROR(VLOOKUP(B2576,'Pre-Summary'!$CR$6:$CT$36,3,FALSE),"")</f>
        <v/>
      </c>
      <c r="Z2576" s="45" t="str">
        <f>IFERROR(VLOOKUP(B2576,'Pre-Summary'!$BZ$6:$CB$63,2,FALSE),"")</f>
        <v/>
      </c>
      <c r="AA2576" s="45" t="str">
        <f>IFERROR(VLOOKUP(B2576,'Pre-Summary'!$CG$6:$CI$70,2,FALSE),"")</f>
        <v/>
      </c>
      <c r="AB2576" s="99">
        <f>IFERROR(VLOOKUP(B2576,'Pre-Summary'!$A$6:$P$178,9,FALSE),AB2577)</f>
        <v>0.44037364184945627</v>
      </c>
      <c r="AC2576" s="10">
        <f>IFERROR(VLOOKUP(Summary!B2576,'Pre-Summary'!$A$6:$P$184,5, FALSE)/100,AC2577)</f>
        <v>0.9629049999999999</v>
      </c>
      <c r="AD2576" s="10">
        <f>IFERROR(VLOOKUP(Summary!B2576,'Pre-Summary'!$A$6:$P$184,3, FALSE)/100,AD2577)</f>
        <v>3.0608333333333331E-2</v>
      </c>
      <c r="AE2576" s="10">
        <f>IFERROR(VLOOKUP(Summary!B2576,'Pre-Summary'!$A$6:$P$184,7, FALSE)/100,AE2577)</f>
        <v>6.4959999999999992E-3</v>
      </c>
      <c r="AF2576" s="99">
        <f t="shared" si="121"/>
        <v>1.3479103220942106E-2</v>
      </c>
      <c r="AG2576" s="99">
        <f t="shared" si="122"/>
        <v>2.8606671774540674E-3</v>
      </c>
      <c r="AH2576" s="10" t="str">
        <f>IFERROR(VLOOKUP(B2576,'Pre-Summary'!$AZ$6:$BE$65,3,FALSE),"")</f>
        <v/>
      </c>
      <c r="AI2576" s="10" t="str">
        <f>IFERROR(VLOOKUP(B2576,'Pre-Summary'!$AZ$6:$BE$65,5,FALSE),"")</f>
        <v/>
      </c>
      <c r="AJ2576" s="10" t="str">
        <f>IFERROR(VLOOKUP(B2576,'Pre-Summary'!$AZ$6:$BE$65,4,FALSE),"")</f>
        <v/>
      </c>
      <c r="AK2576" s="10" t="str">
        <f>IFERROR(VLOOKUP(B2576,'Pre-Summary'!$AZ$6:$BE$65,6,FALSE),"")</f>
        <v/>
      </c>
      <c r="AL2576" s="10" t="str">
        <f>IFERROR(VLOOKUP(B2576,'Pre-Summary'!$BG$6:$BL$44,3,FALSE),"")</f>
        <v/>
      </c>
      <c r="AM2576" s="10" t="str">
        <f>IFERROR(VLOOKUP(B2576,'Pre-Summary'!$BG$6:$BL$44,4,FALSE),"")</f>
        <v/>
      </c>
    </row>
    <row r="2577" spans="2:39" ht="15" customHeight="1" x14ac:dyDescent="0.3">
      <c r="B2577">
        <v>257.39999999999998</v>
      </c>
      <c r="C2577" t="str">
        <f>IFERROR(VLOOKUP(B2577,'Pre-Summary'!$DI$6:$DM$23,4,FALSE),"")</f>
        <v/>
      </c>
      <c r="D2577" s="10" t="str">
        <f>IFERROR(VLOOKUP(B2577,'Pre-Summary'!$AT$6:$AX$14,5,FALSE),D2576)</f>
        <v>Wolfe v3: went back to modified wolfe + EDTA and switched CuSO4 to CUCl2</v>
      </c>
      <c r="E2577" s="10" t="str">
        <f>IFERROR(VLOOKUP(B2577,'Pre-Summary'!$AT$6:$AX$15,4,FALSE),"")</f>
        <v/>
      </c>
      <c r="F2577">
        <f>IFERROR(VLOOKUP(B2577,'Pre-Summary'!$AL$6:$AQ$13,6,FALSE),F2576)</f>
        <v>5.9405263157894746E-2</v>
      </c>
      <c r="G2577" t="str">
        <f>IFERROR(VLOOKUP(B2577,'Pre-Summary'!$AE$6:$AJ$85,3,FALSE),"")</f>
        <v/>
      </c>
      <c r="H2577" t="str">
        <f>IFERROR(VLOOKUP(B2577,'Pre-Summary'!$AE$6:$AJ$85,4,FALSE),"")</f>
        <v/>
      </c>
      <c r="I2577" t="str">
        <f>IFERROR(VLOOKUP(B2577,'Pre-Summary'!$AE$6:$AJ$85,5,FALSE),"")</f>
        <v/>
      </c>
      <c r="J2577" s="45" t="str">
        <f>IFERROR(VLOOKUP(B2577,'Pre-Summary'!$AE$6:$AJ$85,6, FALSE),"")</f>
        <v/>
      </c>
      <c r="K2577" s="45" t="str">
        <f>IFERROR(VLOOKUP(B2577,'Pre-Summary'!$DE$6:$DG$61,3,FALSE),"")</f>
        <v/>
      </c>
      <c r="L2577" s="45" t="str">
        <f>IFERROR(VLOOKUP(B2577,'Pre-Summary'!$CU$6:$CW$36,3,FALSE),"")</f>
        <v/>
      </c>
      <c r="M2577" s="45" t="str">
        <f>IFERROR(VLOOKUP(B2577,'Pre-Summary'!$BW$6:$BY$58,2,FALSE),"")</f>
        <v/>
      </c>
      <c r="N2577" s="45" t="str">
        <f>IFERROR(VLOOKUP(B2577,'Pre-Summary'!$CD$6:$CF$64,2,FALSE),"")</f>
        <v/>
      </c>
      <c r="O2577" s="99">
        <f>IFERROR(VLOOKUP(B2577,'Pre-Summary'!$BO$6:$BQ$48,3, FALSE),O2576)</f>
        <v>1.508</v>
      </c>
      <c r="P2577" s="99">
        <f>IFERROR(VLOOKUP(B2577,'Pre-Summary'!$BS$6:$BU$35,3,FALSE),P2576)</f>
        <v>0.4</v>
      </c>
      <c r="Q2577" s="54">
        <f t="shared" si="120"/>
        <v>3.77</v>
      </c>
      <c r="R2577" s="53">
        <f>IFERROR(VLOOKUP(B2577,'Pre-Summary'!$BG$6:$BM$44,7,FALSE),R2578)</f>
        <v>0.11030801475343607</v>
      </c>
      <c r="S2577" s="53">
        <f>IFERROR(VLOOKUP(B2577,'Pre-Summary'!$BG$6:$BM$44,6,FALSE),S2578)</f>
        <v>0.11504859134187218</v>
      </c>
      <c r="T2577" s="45" t="str">
        <f>IFERROR(VLOOKUP(B2577,'Pre-Summary'!$Y$6:$AC$83, 3,FALSE),"")</f>
        <v/>
      </c>
      <c r="U2577" s="45" t="str">
        <f>IFERROR(VLOOKUP(B2577,'Pre-Summary'!$Y$6:$AC$83, 4,FALSE),"")</f>
        <v/>
      </c>
      <c r="V2577" t="str">
        <f>IFERROR(VLOOKUP(B2577,'Pre-Summary'!$Y$6:$AC$83, 5,FALSE),"")</f>
        <v/>
      </c>
      <c r="W2577" s="45" t="str">
        <f>IFERROR(VLOOKUP(B2577,'Pre-Summary'!$Y$6:$AD$83,6,FALSE),"")</f>
        <v/>
      </c>
      <c r="X2577" t="str">
        <f>IFERROR(VLOOKUP('Pre-Summary'!$DB$6:$DD$63,3,FALSE),"")</f>
        <v/>
      </c>
      <c r="Y2577" t="str">
        <f>IFERROR(VLOOKUP(B2577,'Pre-Summary'!$CR$6:$CT$36,3,FALSE),"")</f>
        <v/>
      </c>
      <c r="Z2577" s="45" t="str">
        <f>IFERROR(VLOOKUP(B2577,'Pre-Summary'!$BZ$6:$CB$63,2,FALSE),"")</f>
        <v/>
      </c>
      <c r="AA2577" s="45" t="str">
        <f>IFERROR(VLOOKUP(B2577,'Pre-Summary'!$CG$6:$CI$70,2,FALSE),"")</f>
        <v/>
      </c>
      <c r="AB2577" s="99">
        <f>IFERROR(VLOOKUP(B2577,'Pre-Summary'!$A$6:$P$178,9,FALSE),AB2578)</f>
        <v>0.44037364184945627</v>
      </c>
      <c r="AC2577" s="10">
        <f>IFERROR(VLOOKUP(Summary!B2577,'Pre-Summary'!$A$6:$P$184,5, FALSE)/100,AC2578)</f>
        <v>0.9629049999999999</v>
      </c>
      <c r="AD2577" s="10">
        <f>IFERROR(VLOOKUP(Summary!B2577,'Pre-Summary'!$A$6:$P$184,3, FALSE)/100,AD2578)</f>
        <v>3.0608333333333331E-2</v>
      </c>
      <c r="AE2577" s="10">
        <f>IFERROR(VLOOKUP(Summary!B2577,'Pre-Summary'!$A$6:$P$184,7, FALSE)/100,AE2578)</f>
        <v>6.4959999999999992E-3</v>
      </c>
      <c r="AF2577" s="99">
        <f t="shared" si="121"/>
        <v>1.3479103220942106E-2</v>
      </c>
      <c r="AG2577" s="99">
        <f t="shared" si="122"/>
        <v>2.8606671774540674E-3</v>
      </c>
      <c r="AH2577" s="10" t="str">
        <f>IFERROR(VLOOKUP(B2577,'Pre-Summary'!$AZ$6:$BE$65,3,FALSE),"")</f>
        <v/>
      </c>
      <c r="AI2577" s="10" t="str">
        <f>IFERROR(VLOOKUP(B2577,'Pre-Summary'!$AZ$6:$BE$65,5,FALSE),"")</f>
        <v/>
      </c>
      <c r="AJ2577" s="10" t="str">
        <f>IFERROR(VLOOKUP(B2577,'Pre-Summary'!$AZ$6:$BE$65,4,FALSE),"")</f>
        <v/>
      </c>
      <c r="AK2577" s="10" t="str">
        <f>IFERROR(VLOOKUP(B2577,'Pre-Summary'!$AZ$6:$BE$65,6,FALSE),"")</f>
        <v/>
      </c>
      <c r="AL2577" s="10" t="str">
        <f>IFERROR(VLOOKUP(B2577,'Pre-Summary'!$BG$6:$BL$44,3,FALSE),"")</f>
        <v/>
      </c>
      <c r="AM2577" s="10" t="str">
        <f>IFERROR(VLOOKUP(B2577,'Pre-Summary'!$BG$6:$BL$44,4,FALSE),"")</f>
        <v/>
      </c>
    </row>
    <row r="2578" spans="2:39" ht="15" customHeight="1" x14ac:dyDescent="0.3">
      <c r="B2578">
        <v>257.5</v>
      </c>
      <c r="C2578" t="str">
        <f>IFERROR(VLOOKUP(B2578,'Pre-Summary'!$DI$6:$DM$23,4,FALSE),"")</f>
        <v/>
      </c>
      <c r="D2578" s="10" t="str">
        <f>IFERROR(VLOOKUP(B2578,'Pre-Summary'!$AT$6:$AX$14,5,FALSE),D2577)</f>
        <v>Wolfe v3: went back to modified wolfe + EDTA and switched CuSO4 to CUCl2</v>
      </c>
      <c r="E2578" s="10" t="str">
        <f>IFERROR(VLOOKUP(B2578,'Pre-Summary'!$AT$6:$AX$15,4,FALSE),"")</f>
        <v/>
      </c>
      <c r="F2578">
        <f>IFERROR(VLOOKUP(B2578,'Pre-Summary'!$AL$6:$AQ$13,6,FALSE),F2577)</f>
        <v>5.9405263157894746E-2</v>
      </c>
      <c r="G2578" t="str">
        <f>IFERROR(VLOOKUP(B2578,'Pre-Summary'!$AE$6:$AJ$85,3,FALSE),"")</f>
        <v/>
      </c>
      <c r="H2578" t="str">
        <f>IFERROR(VLOOKUP(B2578,'Pre-Summary'!$AE$6:$AJ$85,4,FALSE),"")</f>
        <v/>
      </c>
      <c r="I2578" t="str">
        <f>IFERROR(VLOOKUP(B2578,'Pre-Summary'!$AE$6:$AJ$85,5,FALSE),"")</f>
        <v/>
      </c>
      <c r="J2578" s="45">
        <f>IFERROR(VLOOKUP(B2578,'Pre-Summary'!$AE$6:$AJ$85,6, FALSE),"")</f>
        <v>0</v>
      </c>
      <c r="K2578" s="45" t="str">
        <f>IFERROR(VLOOKUP(B2578,'Pre-Summary'!$DE$6:$DG$61,3,FALSE),"")</f>
        <v/>
      </c>
      <c r="L2578" s="45" t="str">
        <f>IFERROR(VLOOKUP(B2578,'Pre-Summary'!$CU$6:$CW$36,3,FALSE),"")</f>
        <v/>
      </c>
      <c r="M2578" s="45" t="str">
        <f>IFERROR(VLOOKUP(B2578,'Pre-Summary'!$BW$6:$BY$58,2,FALSE),"")</f>
        <v/>
      </c>
      <c r="N2578" s="45">
        <f>IFERROR(VLOOKUP(B2578,'Pre-Summary'!$CD$6:$CF$64,2,FALSE),"")</f>
        <v>164.4851078033341</v>
      </c>
      <c r="O2578" s="99">
        <f>IFERROR(VLOOKUP(B2578,'Pre-Summary'!$BO$6:$BQ$48,3, FALSE),O2577)</f>
        <v>1.508</v>
      </c>
      <c r="P2578" s="99">
        <f>IFERROR(VLOOKUP(B2578,'Pre-Summary'!$BS$6:$BU$35,3,FALSE),P2577)</f>
        <v>0.4</v>
      </c>
      <c r="Q2578" s="54">
        <f t="shared" si="120"/>
        <v>3.77</v>
      </c>
      <c r="R2578" s="53">
        <f>IFERROR(VLOOKUP(B2578,'Pre-Summary'!$BG$6:$BM$44,7,FALSE),R2579)</f>
        <v>0.11030801475343607</v>
      </c>
      <c r="S2578" s="53">
        <f>IFERROR(VLOOKUP(B2578,'Pre-Summary'!$BG$6:$BM$44,6,FALSE),S2579)</f>
        <v>0.11504859134187218</v>
      </c>
      <c r="T2578" s="45">
        <f>IFERROR(VLOOKUP(B2578,'Pre-Summary'!$Y$6:$AC$83, 3,FALSE),"")</f>
        <v>2.941736744</v>
      </c>
      <c r="U2578" s="45" t="str">
        <f>IFERROR(VLOOKUP(B2578,'Pre-Summary'!$Y$6:$AC$83, 4,FALSE),"")</f>
        <v/>
      </c>
      <c r="V2578" t="str">
        <f>IFERROR(VLOOKUP(B2578,'Pre-Summary'!$Y$6:$AC$83, 5,FALSE),"")</f>
        <v/>
      </c>
      <c r="W2578" s="45">
        <f>IFERROR(VLOOKUP(B2578,'Pre-Summary'!$Y$6:$AD$83,6,FALSE),"")</f>
        <v>3.1388331058479997</v>
      </c>
      <c r="X2578" t="str">
        <f>IFERROR(VLOOKUP('Pre-Summary'!$DB$6:$DD$63,3,FALSE),"")</f>
        <v/>
      </c>
      <c r="Y2578" t="str">
        <f>IFERROR(VLOOKUP(B2578,'Pre-Summary'!$CR$6:$CT$36,3,FALSE),"")</f>
        <v/>
      </c>
      <c r="Z2578" s="45" t="str">
        <f>IFERROR(VLOOKUP(B2578,'Pre-Summary'!$BZ$6:$CB$63,2,FALSE),"")</f>
        <v/>
      </c>
      <c r="AA2578" s="45" t="str">
        <f>IFERROR(VLOOKUP(B2578,'Pre-Summary'!$CG$6:$CI$70,2,FALSE),"")</f>
        <v/>
      </c>
      <c r="AB2578" s="99">
        <f>IFERROR(VLOOKUP(B2578,'Pre-Summary'!$A$6:$P$178,9,FALSE),AB2579)</f>
        <v>0.44037364184945627</v>
      </c>
      <c r="AC2578" s="10">
        <f>IFERROR(VLOOKUP(Summary!B2578,'Pre-Summary'!$A$6:$P$184,5, FALSE)/100,AC2579)</f>
        <v>0.9629049999999999</v>
      </c>
      <c r="AD2578" s="10">
        <f>IFERROR(VLOOKUP(Summary!B2578,'Pre-Summary'!$A$6:$P$184,3, FALSE)/100,AD2579)</f>
        <v>3.0608333333333331E-2</v>
      </c>
      <c r="AE2578" s="10">
        <f>IFERROR(VLOOKUP(Summary!B2578,'Pre-Summary'!$A$6:$P$184,7, FALSE)/100,AE2579)</f>
        <v>6.4959999999999992E-3</v>
      </c>
      <c r="AF2578" s="99">
        <f t="shared" si="121"/>
        <v>1.3479103220942106E-2</v>
      </c>
      <c r="AG2578" s="99">
        <f t="shared" si="122"/>
        <v>2.8606671774540674E-3</v>
      </c>
      <c r="AH2578" s="10" t="str">
        <f>IFERROR(VLOOKUP(B2578,'Pre-Summary'!$AZ$6:$BE$65,3,FALSE),"")</f>
        <v/>
      </c>
      <c r="AI2578" s="10" t="str">
        <f>IFERROR(VLOOKUP(B2578,'Pre-Summary'!$AZ$6:$BE$65,5,FALSE),"")</f>
        <v/>
      </c>
      <c r="AJ2578" s="10" t="str">
        <f>IFERROR(VLOOKUP(B2578,'Pre-Summary'!$AZ$6:$BE$65,4,FALSE),"")</f>
        <v/>
      </c>
      <c r="AK2578" s="10" t="str">
        <f>IFERROR(VLOOKUP(B2578,'Pre-Summary'!$AZ$6:$BE$65,6,FALSE),"")</f>
        <v/>
      </c>
      <c r="AL2578" s="10" t="str">
        <f>IFERROR(VLOOKUP(B2578,'Pre-Summary'!$BG$6:$BL$44,3,FALSE),"")</f>
        <v/>
      </c>
      <c r="AM2578" s="10" t="str">
        <f>IFERROR(VLOOKUP(B2578,'Pre-Summary'!$BG$6:$BL$44,4,FALSE),"")</f>
        <v/>
      </c>
    </row>
    <row r="2579" spans="2:39" ht="15" customHeight="1" x14ac:dyDescent="0.3">
      <c r="B2579">
        <v>257.60000000000002</v>
      </c>
      <c r="C2579" t="str">
        <f>IFERROR(VLOOKUP(B2579,'Pre-Summary'!$DI$6:$DM$23,4,FALSE),"")</f>
        <v/>
      </c>
      <c r="D2579" s="10" t="str">
        <f>IFERROR(VLOOKUP(B2579,'Pre-Summary'!$AT$6:$AX$14,5,FALSE),D2578)</f>
        <v>Wolfe v3: went back to modified wolfe + EDTA and switched CuSO4 to CUCl2</v>
      </c>
      <c r="E2579" s="10" t="str">
        <f>IFERROR(VLOOKUP(B2579,'Pre-Summary'!$AT$6:$AX$15,4,FALSE),"")</f>
        <v/>
      </c>
      <c r="F2579">
        <f>IFERROR(VLOOKUP(B2579,'Pre-Summary'!$AL$6:$AQ$13,6,FALSE),F2578)</f>
        <v>5.9405263157894746E-2</v>
      </c>
      <c r="G2579" t="str">
        <f>IFERROR(VLOOKUP(B2579,'Pre-Summary'!$AE$6:$AJ$85,3,FALSE),"")</f>
        <v/>
      </c>
      <c r="H2579" t="str">
        <f>IFERROR(VLOOKUP(B2579,'Pre-Summary'!$AE$6:$AJ$85,4,FALSE),"")</f>
        <v/>
      </c>
      <c r="I2579" t="str">
        <f>IFERROR(VLOOKUP(B2579,'Pre-Summary'!$AE$6:$AJ$85,5,FALSE),"")</f>
        <v/>
      </c>
      <c r="J2579" s="45" t="str">
        <f>IFERROR(VLOOKUP(B2579,'Pre-Summary'!$AE$6:$AJ$85,6, FALSE),"")</f>
        <v/>
      </c>
      <c r="K2579" s="45" t="str">
        <f>IFERROR(VLOOKUP(B2579,'Pre-Summary'!$DE$6:$DG$61,3,FALSE),"")</f>
        <v/>
      </c>
      <c r="L2579" s="45" t="str">
        <f>IFERROR(VLOOKUP(B2579,'Pre-Summary'!$CU$6:$CW$36,3,FALSE),"")</f>
        <v/>
      </c>
      <c r="M2579" s="45" t="str">
        <f>IFERROR(VLOOKUP(B2579,'Pre-Summary'!$BW$6:$BY$58,2,FALSE),"")</f>
        <v/>
      </c>
      <c r="N2579" s="45" t="str">
        <f>IFERROR(VLOOKUP(B2579,'Pre-Summary'!$CD$6:$CF$64,2,FALSE),"")</f>
        <v/>
      </c>
      <c r="O2579" s="99">
        <f>IFERROR(VLOOKUP(B2579,'Pre-Summary'!$BO$6:$BQ$48,3, FALSE),O2578)</f>
        <v>1.508</v>
      </c>
      <c r="P2579" s="99">
        <f>IFERROR(VLOOKUP(B2579,'Pre-Summary'!$BS$6:$BU$35,3,FALSE),P2578)</f>
        <v>0.4</v>
      </c>
      <c r="Q2579" s="54">
        <f t="shared" si="120"/>
        <v>3.77</v>
      </c>
      <c r="R2579" s="53">
        <f>IFERROR(VLOOKUP(B2579,'Pre-Summary'!$BG$6:$BM$44,7,FALSE),R2580)</f>
        <v>0.11030801475343607</v>
      </c>
      <c r="S2579" s="53">
        <f>IFERROR(VLOOKUP(B2579,'Pre-Summary'!$BG$6:$BM$44,6,FALSE),S2580)</f>
        <v>0.11504859134187218</v>
      </c>
      <c r="T2579" s="45" t="str">
        <f>IFERROR(VLOOKUP(B2579,'Pre-Summary'!$Y$6:$AC$83, 3,FALSE),"")</f>
        <v/>
      </c>
      <c r="U2579" s="45" t="str">
        <f>IFERROR(VLOOKUP(B2579,'Pre-Summary'!$Y$6:$AC$83, 4,FALSE),"")</f>
        <v/>
      </c>
      <c r="V2579" t="str">
        <f>IFERROR(VLOOKUP(B2579,'Pre-Summary'!$Y$6:$AC$83, 5,FALSE),"")</f>
        <v/>
      </c>
      <c r="W2579" s="45" t="str">
        <f>IFERROR(VLOOKUP(B2579,'Pre-Summary'!$Y$6:$AD$83,6,FALSE),"")</f>
        <v/>
      </c>
      <c r="X2579" t="str">
        <f>IFERROR(VLOOKUP('Pre-Summary'!$DB$6:$DD$63,3,FALSE),"")</f>
        <v/>
      </c>
      <c r="Y2579" t="str">
        <f>IFERROR(VLOOKUP(B2579,'Pre-Summary'!$CR$6:$CT$36,3,FALSE),"")</f>
        <v/>
      </c>
      <c r="Z2579" s="45" t="str">
        <f>IFERROR(VLOOKUP(B2579,'Pre-Summary'!$BZ$6:$CB$63,2,FALSE),"")</f>
        <v/>
      </c>
      <c r="AA2579" s="45" t="str">
        <f>IFERROR(VLOOKUP(B2579,'Pre-Summary'!$CG$6:$CI$70,2,FALSE),"")</f>
        <v/>
      </c>
      <c r="AB2579" s="99">
        <f>IFERROR(VLOOKUP(B2579,'Pre-Summary'!$A$6:$P$178,9,FALSE),AB2580)</f>
        <v>0.44037364184945627</v>
      </c>
      <c r="AC2579" s="10">
        <f>IFERROR(VLOOKUP(Summary!B2579,'Pre-Summary'!$A$6:$P$184,5, FALSE)/100,AC2580)</f>
        <v>0.9629049999999999</v>
      </c>
      <c r="AD2579" s="10">
        <f>IFERROR(VLOOKUP(Summary!B2579,'Pre-Summary'!$A$6:$P$184,3, FALSE)/100,AD2580)</f>
        <v>3.0608333333333331E-2</v>
      </c>
      <c r="AE2579" s="10">
        <f>IFERROR(VLOOKUP(Summary!B2579,'Pre-Summary'!$A$6:$P$184,7, FALSE)/100,AE2580)</f>
        <v>6.4959999999999992E-3</v>
      </c>
      <c r="AF2579" s="99">
        <f t="shared" si="121"/>
        <v>1.3479103220942106E-2</v>
      </c>
      <c r="AG2579" s="99">
        <f t="shared" si="122"/>
        <v>2.8606671774540674E-3</v>
      </c>
      <c r="AH2579" s="10" t="str">
        <f>IFERROR(VLOOKUP(B2579,'Pre-Summary'!$AZ$6:$BE$65,3,FALSE),"")</f>
        <v/>
      </c>
      <c r="AI2579" s="10" t="str">
        <f>IFERROR(VLOOKUP(B2579,'Pre-Summary'!$AZ$6:$BE$65,5,FALSE),"")</f>
        <v/>
      </c>
      <c r="AJ2579" s="10" t="str">
        <f>IFERROR(VLOOKUP(B2579,'Pre-Summary'!$AZ$6:$BE$65,4,FALSE),"")</f>
        <v/>
      </c>
      <c r="AK2579" s="10" t="str">
        <f>IFERROR(VLOOKUP(B2579,'Pre-Summary'!$AZ$6:$BE$65,6,FALSE),"")</f>
        <v/>
      </c>
      <c r="AL2579" s="10" t="str">
        <f>IFERROR(VLOOKUP(B2579,'Pre-Summary'!$BG$6:$BL$44,3,FALSE),"")</f>
        <v/>
      </c>
      <c r="AM2579" s="10" t="str">
        <f>IFERROR(VLOOKUP(B2579,'Pre-Summary'!$BG$6:$BL$44,4,FALSE),"")</f>
        <v/>
      </c>
    </row>
    <row r="2580" spans="2:39" ht="15" customHeight="1" x14ac:dyDescent="0.3">
      <c r="B2580">
        <v>257.7</v>
      </c>
      <c r="C2580" t="str">
        <f>IFERROR(VLOOKUP(B2580,'Pre-Summary'!$DI$6:$DM$23,4,FALSE),"")</f>
        <v/>
      </c>
      <c r="D2580" s="10" t="str">
        <f>IFERROR(VLOOKUP(B2580,'Pre-Summary'!$AT$6:$AX$14,5,FALSE),D2579)</f>
        <v>Wolfe v3: went back to modified wolfe + EDTA and switched CuSO4 to CUCl2</v>
      </c>
      <c r="E2580" s="10" t="str">
        <f>IFERROR(VLOOKUP(B2580,'Pre-Summary'!$AT$6:$AX$15,4,FALSE),"")</f>
        <v/>
      </c>
      <c r="F2580">
        <f>IFERROR(VLOOKUP(B2580,'Pre-Summary'!$AL$6:$AQ$13,6,FALSE),F2579)</f>
        <v>5.9405263157894746E-2</v>
      </c>
      <c r="G2580" t="str">
        <f>IFERROR(VLOOKUP(B2580,'Pre-Summary'!$AE$6:$AJ$85,3,FALSE),"")</f>
        <v/>
      </c>
      <c r="H2580" t="str">
        <f>IFERROR(VLOOKUP(B2580,'Pre-Summary'!$AE$6:$AJ$85,4,FALSE),"")</f>
        <v/>
      </c>
      <c r="I2580" t="str">
        <f>IFERROR(VLOOKUP(B2580,'Pre-Summary'!$AE$6:$AJ$85,5,FALSE),"")</f>
        <v/>
      </c>
      <c r="J2580" s="45" t="str">
        <f>IFERROR(VLOOKUP(B2580,'Pre-Summary'!$AE$6:$AJ$85,6, FALSE),"")</f>
        <v/>
      </c>
      <c r="K2580" s="45" t="str">
        <f>IFERROR(VLOOKUP(B2580,'Pre-Summary'!$DE$6:$DG$61,3,FALSE),"")</f>
        <v/>
      </c>
      <c r="L2580" s="45" t="str">
        <f>IFERROR(VLOOKUP(B2580,'Pre-Summary'!$CU$6:$CW$36,3,FALSE),"")</f>
        <v/>
      </c>
      <c r="M2580" s="45" t="str">
        <f>IFERROR(VLOOKUP(B2580,'Pre-Summary'!$BW$6:$BY$58,2,FALSE),"")</f>
        <v/>
      </c>
      <c r="N2580" s="45" t="str">
        <f>IFERROR(VLOOKUP(B2580,'Pre-Summary'!$CD$6:$CF$64,2,FALSE),"")</f>
        <v/>
      </c>
      <c r="O2580" s="99">
        <f>IFERROR(VLOOKUP(B2580,'Pre-Summary'!$BO$6:$BQ$48,3, FALSE),O2579)</f>
        <v>1.508</v>
      </c>
      <c r="P2580" s="99">
        <f>IFERROR(VLOOKUP(B2580,'Pre-Summary'!$BS$6:$BU$35,3,FALSE),P2579)</f>
        <v>0.4</v>
      </c>
      <c r="Q2580" s="54">
        <f t="shared" si="120"/>
        <v>3.77</v>
      </c>
      <c r="R2580" s="53">
        <f>IFERROR(VLOOKUP(B2580,'Pre-Summary'!$BG$6:$BM$44,7,FALSE),R2581)</f>
        <v>0.11030801475343607</v>
      </c>
      <c r="S2580" s="53">
        <f>IFERROR(VLOOKUP(B2580,'Pre-Summary'!$BG$6:$BM$44,6,FALSE),S2581)</f>
        <v>0.11504859134187218</v>
      </c>
      <c r="T2580" s="45" t="str">
        <f>IFERROR(VLOOKUP(B2580,'Pre-Summary'!$Y$6:$AC$83, 3,FALSE),"")</f>
        <v/>
      </c>
      <c r="U2580" s="45" t="str">
        <f>IFERROR(VLOOKUP(B2580,'Pre-Summary'!$Y$6:$AC$83, 4,FALSE),"")</f>
        <v/>
      </c>
      <c r="V2580" t="str">
        <f>IFERROR(VLOOKUP(B2580,'Pre-Summary'!$Y$6:$AC$83, 5,FALSE),"")</f>
        <v/>
      </c>
      <c r="W2580" s="45" t="str">
        <f>IFERROR(VLOOKUP(B2580,'Pre-Summary'!$Y$6:$AD$83,6,FALSE),"")</f>
        <v/>
      </c>
      <c r="X2580" t="str">
        <f>IFERROR(VLOOKUP('Pre-Summary'!$DB$6:$DD$63,3,FALSE),"")</f>
        <v/>
      </c>
      <c r="Y2580" t="str">
        <f>IFERROR(VLOOKUP(B2580,'Pre-Summary'!$CR$6:$CT$36,3,FALSE),"")</f>
        <v/>
      </c>
      <c r="Z2580" s="45" t="str">
        <f>IFERROR(VLOOKUP(B2580,'Pre-Summary'!$BZ$6:$CB$63,2,FALSE),"")</f>
        <v/>
      </c>
      <c r="AA2580" s="45" t="str">
        <f>IFERROR(VLOOKUP(B2580,'Pre-Summary'!$CG$6:$CI$70,2,FALSE),"")</f>
        <v/>
      </c>
      <c r="AB2580" s="99">
        <f>IFERROR(VLOOKUP(B2580,'Pre-Summary'!$A$6:$P$178,9,FALSE),AB2581)</f>
        <v>0.44037364184945627</v>
      </c>
      <c r="AC2580" s="10">
        <f>IFERROR(VLOOKUP(Summary!B2580,'Pre-Summary'!$A$6:$P$184,5, FALSE)/100,AC2581)</f>
        <v>0.9629049999999999</v>
      </c>
      <c r="AD2580" s="10">
        <f>IFERROR(VLOOKUP(Summary!B2580,'Pre-Summary'!$A$6:$P$184,3, FALSE)/100,AD2581)</f>
        <v>3.0608333333333331E-2</v>
      </c>
      <c r="AE2580" s="10">
        <f>IFERROR(VLOOKUP(Summary!B2580,'Pre-Summary'!$A$6:$P$184,7, FALSE)/100,AE2581)</f>
        <v>6.4959999999999992E-3</v>
      </c>
      <c r="AF2580" s="99">
        <f t="shared" si="121"/>
        <v>1.3479103220942106E-2</v>
      </c>
      <c r="AG2580" s="99">
        <f t="shared" si="122"/>
        <v>2.8606671774540674E-3</v>
      </c>
      <c r="AH2580" s="10" t="str">
        <f>IFERROR(VLOOKUP(B2580,'Pre-Summary'!$AZ$6:$BE$65,3,FALSE),"")</f>
        <v/>
      </c>
      <c r="AI2580" s="10" t="str">
        <f>IFERROR(VLOOKUP(B2580,'Pre-Summary'!$AZ$6:$BE$65,5,FALSE),"")</f>
        <v/>
      </c>
      <c r="AJ2580" s="10" t="str">
        <f>IFERROR(VLOOKUP(B2580,'Pre-Summary'!$AZ$6:$BE$65,4,FALSE),"")</f>
        <v/>
      </c>
      <c r="AK2580" s="10" t="str">
        <f>IFERROR(VLOOKUP(B2580,'Pre-Summary'!$AZ$6:$BE$65,6,FALSE),"")</f>
        <v/>
      </c>
      <c r="AL2580" s="10" t="str">
        <f>IFERROR(VLOOKUP(B2580,'Pre-Summary'!$BG$6:$BL$44,3,FALSE),"")</f>
        <v/>
      </c>
      <c r="AM2580" s="10" t="str">
        <f>IFERROR(VLOOKUP(B2580,'Pre-Summary'!$BG$6:$BL$44,4,FALSE),"")</f>
        <v/>
      </c>
    </row>
    <row r="2581" spans="2:39" ht="15" customHeight="1" x14ac:dyDescent="0.3">
      <c r="B2581">
        <v>257.8</v>
      </c>
      <c r="C2581" t="str">
        <f>IFERROR(VLOOKUP(B2581,'Pre-Summary'!$DI$6:$DM$23,4,FALSE),"")</f>
        <v/>
      </c>
      <c r="D2581" s="10" t="str">
        <f>IFERROR(VLOOKUP(B2581,'Pre-Summary'!$AT$6:$AX$14,5,FALSE),D2580)</f>
        <v>Wolfe v3: went back to modified wolfe + EDTA and switched CuSO4 to CUCl2</v>
      </c>
      <c r="E2581" s="10" t="str">
        <f>IFERROR(VLOOKUP(B2581,'Pre-Summary'!$AT$6:$AX$15,4,FALSE),"")</f>
        <v/>
      </c>
      <c r="F2581">
        <f>IFERROR(VLOOKUP(B2581,'Pre-Summary'!$AL$6:$AQ$13,6,FALSE),F2580)</f>
        <v>5.9405263157894746E-2</v>
      </c>
      <c r="G2581" t="str">
        <f>IFERROR(VLOOKUP(B2581,'Pre-Summary'!$AE$6:$AJ$85,3,FALSE),"")</f>
        <v/>
      </c>
      <c r="H2581" t="str">
        <f>IFERROR(VLOOKUP(B2581,'Pre-Summary'!$AE$6:$AJ$85,4,FALSE),"")</f>
        <v/>
      </c>
      <c r="I2581" t="str">
        <f>IFERROR(VLOOKUP(B2581,'Pre-Summary'!$AE$6:$AJ$85,5,FALSE),"")</f>
        <v/>
      </c>
      <c r="J2581" s="45" t="str">
        <f>IFERROR(VLOOKUP(B2581,'Pre-Summary'!$AE$6:$AJ$85,6, FALSE),"")</f>
        <v/>
      </c>
      <c r="K2581" s="45" t="str">
        <f>IFERROR(VLOOKUP(B2581,'Pre-Summary'!$DE$6:$DG$61,3,FALSE),"")</f>
        <v/>
      </c>
      <c r="L2581" s="45" t="str">
        <f>IFERROR(VLOOKUP(B2581,'Pre-Summary'!$CU$6:$CW$36,3,FALSE),"")</f>
        <v/>
      </c>
      <c r="M2581" s="45" t="str">
        <f>IFERROR(VLOOKUP(B2581,'Pre-Summary'!$BW$6:$BY$58,2,FALSE),"")</f>
        <v/>
      </c>
      <c r="N2581" s="45" t="str">
        <f>IFERROR(VLOOKUP(B2581,'Pre-Summary'!$CD$6:$CF$64,2,FALSE),"")</f>
        <v/>
      </c>
      <c r="O2581" s="99">
        <f>IFERROR(VLOOKUP(B2581,'Pre-Summary'!$BO$6:$BQ$48,3, FALSE),O2580)</f>
        <v>1.508</v>
      </c>
      <c r="P2581" s="99">
        <f>IFERROR(VLOOKUP(B2581,'Pre-Summary'!$BS$6:$BU$35,3,FALSE),P2580)</f>
        <v>0.4</v>
      </c>
      <c r="Q2581" s="54">
        <f t="shared" si="120"/>
        <v>3.77</v>
      </c>
      <c r="R2581" s="53">
        <f>IFERROR(VLOOKUP(B2581,'Pre-Summary'!$BG$6:$BM$44,7,FALSE),R2582)</f>
        <v>0.11030801475343607</v>
      </c>
      <c r="S2581" s="53">
        <f>IFERROR(VLOOKUP(B2581,'Pre-Summary'!$BG$6:$BM$44,6,FALSE),S2582)</f>
        <v>0.11504859134187218</v>
      </c>
      <c r="T2581" s="45" t="str">
        <f>IFERROR(VLOOKUP(B2581,'Pre-Summary'!$Y$6:$AC$83, 3,FALSE),"")</f>
        <v/>
      </c>
      <c r="U2581" s="45" t="str">
        <f>IFERROR(VLOOKUP(B2581,'Pre-Summary'!$Y$6:$AC$83, 4,FALSE),"")</f>
        <v/>
      </c>
      <c r="V2581" t="str">
        <f>IFERROR(VLOOKUP(B2581,'Pre-Summary'!$Y$6:$AC$83, 5,FALSE),"")</f>
        <v/>
      </c>
      <c r="W2581" s="45" t="str">
        <f>IFERROR(VLOOKUP(B2581,'Pre-Summary'!$Y$6:$AD$83,6,FALSE),"")</f>
        <v/>
      </c>
      <c r="X2581" t="str">
        <f>IFERROR(VLOOKUP('Pre-Summary'!$DB$6:$DD$63,3,FALSE),"")</f>
        <v/>
      </c>
      <c r="Y2581" t="str">
        <f>IFERROR(VLOOKUP(B2581,'Pre-Summary'!$CR$6:$CT$36,3,FALSE),"")</f>
        <v/>
      </c>
      <c r="Z2581" s="45" t="str">
        <f>IFERROR(VLOOKUP(B2581,'Pre-Summary'!$BZ$6:$CB$63,2,FALSE),"")</f>
        <v/>
      </c>
      <c r="AA2581" s="45" t="str">
        <f>IFERROR(VLOOKUP(B2581,'Pre-Summary'!$CG$6:$CI$70,2,FALSE),"")</f>
        <v/>
      </c>
      <c r="AB2581" s="99">
        <f>IFERROR(VLOOKUP(B2581,'Pre-Summary'!$A$6:$P$178,9,FALSE),AB2582)</f>
        <v>0.44037364184945627</v>
      </c>
      <c r="AC2581" s="10">
        <f>IFERROR(VLOOKUP(Summary!B2581,'Pre-Summary'!$A$6:$P$184,5, FALSE)/100,AC2582)</f>
        <v>0.9629049999999999</v>
      </c>
      <c r="AD2581" s="10">
        <f>IFERROR(VLOOKUP(Summary!B2581,'Pre-Summary'!$A$6:$P$184,3, FALSE)/100,AD2582)</f>
        <v>3.0608333333333331E-2</v>
      </c>
      <c r="AE2581" s="10">
        <f>IFERROR(VLOOKUP(Summary!B2581,'Pre-Summary'!$A$6:$P$184,7, FALSE)/100,AE2582)</f>
        <v>6.4959999999999992E-3</v>
      </c>
      <c r="AF2581" s="99">
        <f t="shared" si="121"/>
        <v>1.3479103220942106E-2</v>
      </c>
      <c r="AG2581" s="99">
        <f t="shared" si="122"/>
        <v>2.8606671774540674E-3</v>
      </c>
      <c r="AH2581" s="10" t="str">
        <f>IFERROR(VLOOKUP(B2581,'Pre-Summary'!$AZ$6:$BE$65,3,FALSE),"")</f>
        <v/>
      </c>
      <c r="AI2581" s="10" t="str">
        <f>IFERROR(VLOOKUP(B2581,'Pre-Summary'!$AZ$6:$BE$65,5,FALSE),"")</f>
        <v/>
      </c>
      <c r="AJ2581" s="10" t="str">
        <f>IFERROR(VLOOKUP(B2581,'Pre-Summary'!$AZ$6:$BE$65,4,FALSE),"")</f>
        <v/>
      </c>
      <c r="AK2581" s="10" t="str">
        <f>IFERROR(VLOOKUP(B2581,'Pre-Summary'!$AZ$6:$BE$65,6,FALSE),"")</f>
        <v/>
      </c>
      <c r="AL2581" s="10" t="str">
        <f>IFERROR(VLOOKUP(B2581,'Pre-Summary'!$BG$6:$BL$44,3,FALSE),"")</f>
        <v/>
      </c>
      <c r="AM2581" s="10" t="str">
        <f>IFERROR(VLOOKUP(B2581,'Pre-Summary'!$BG$6:$BL$44,4,FALSE),"")</f>
        <v/>
      </c>
    </row>
    <row r="2582" spans="2:39" ht="15" customHeight="1" x14ac:dyDescent="0.3">
      <c r="B2582">
        <v>257.89999999999998</v>
      </c>
      <c r="C2582" t="str">
        <f>IFERROR(VLOOKUP(B2582,'Pre-Summary'!$DI$6:$DM$23,4,FALSE),"")</f>
        <v/>
      </c>
      <c r="D2582" s="10" t="str">
        <f>IFERROR(VLOOKUP(B2582,'Pre-Summary'!$AT$6:$AX$14,5,FALSE),D2581)</f>
        <v>Wolfe v3: went back to modified wolfe + EDTA and switched CuSO4 to CUCl2</v>
      </c>
      <c r="E2582" s="10" t="str">
        <f>IFERROR(VLOOKUP(B2582,'Pre-Summary'!$AT$6:$AX$15,4,FALSE),"")</f>
        <v/>
      </c>
      <c r="F2582">
        <f>IFERROR(VLOOKUP(B2582,'Pre-Summary'!$AL$6:$AQ$13,6,FALSE),F2581)</f>
        <v>5.9405263157894746E-2</v>
      </c>
      <c r="G2582" t="str">
        <f>IFERROR(VLOOKUP(B2582,'Pre-Summary'!$AE$6:$AJ$85,3,FALSE),"")</f>
        <v/>
      </c>
      <c r="H2582" t="str">
        <f>IFERROR(VLOOKUP(B2582,'Pre-Summary'!$AE$6:$AJ$85,4,FALSE),"")</f>
        <v/>
      </c>
      <c r="I2582" t="str">
        <f>IFERROR(VLOOKUP(B2582,'Pre-Summary'!$AE$6:$AJ$85,5,FALSE),"")</f>
        <v/>
      </c>
      <c r="J2582" s="45" t="str">
        <f>IFERROR(VLOOKUP(B2582,'Pre-Summary'!$AE$6:$AJ$85,6, FALSE),"")</f>
        <v/>
      </c>
      <c r="K2582" s="45" t="str">
        <f>IFERROR(VLOOKUP(B2582,'Pre-Summary'!$DE$6:$DG$61,3,FALSE),"")</f>
        <v/>
      </c>
      <c r="L2582" s="45" t="str">
        <f>IFERROR(VLOOKUP(B2582,'Pre-Summary'!$CU$6:$CW$36,3,FALSE),"")</f>
        <v/>
      </c>
      <c r="M2582" s="45" t="str">
        <f>IFERROR(VLOOKUP(B2582,'Pre-Summary'!$BW$6:$BY$58,2,FALSE),"")</f>
        <v/>
      </c>
      <c r="N2582" s="45" t="str">
        <f>IFERROR(VLOOKUP(B2582,'Pre-Summary'!$CD$6:$CF$64,2,FALSE),"")</f>
        <v/>
      </c>
      <c r="O2582" s="99">
        <f>IFERROR(VLOOKUP(B2582,'Pre-Summary'!$BO$6:$BQ$48,3, FALSE),O2581)</f>
        <v>1.508</v>
      </c>
      <c r="P2582" s="99">
        <f>IFERROR(VLOOKUP(B2582,'Pre-Summary'!$BS$6:$BU$35,3,FALSE),P2581)</f>
        <v>0.4</v>
      </c>
      <c r="Q2582" s="54">
        <f t="shared" si="120"/>
        <v>3.77</v>
      </c>
      <c r="R2582" s="53">
        <f>IFERROR(VLOOKUP(B2582,'Pre-Summary'!$BG$6:$BM$44,7,FALSE),R2583)</f>
        <v>0.11030801475343607</v>
      </c>
      <c r="S2582" s="53">
        <f>IFERROR(VLOOKUP(B2582,'Pre-Summary'!$BG$6:$BM$44,6,FALSE),S2583)</f>
        <v>0.11504859134187218</v>
      </c>
      <c r="T2582" s="45" t="str">
        <f>IFERROR(VLOOKUP(B2582,'Pre-Summary'!$Y$6:$AC$83, 3,FALSE),"")</f>
        <v/>
      </c>
      <c r="U2582" s="45" t="str">
        <f>IFERROR(VLOOKUP(B2582,'Pre-Summary'!$Y$6:$AC$83, 4,FALSE),"")</f>
        <v/>
      </c>
      <c r="V2582" t="str">
        <f>IFERROR(VLOOKUP(B2582,'Pre-Summary'!$Y$6:$AC$83, 5,FALSE),"")</f>
        <v/>
      </c>
      <c r="W2582" s="45" t="str">
        <f>IFERROR(VLOOKUP(B2582,'Pre-Summary'!$Y$6:$AD$83,6,FALSE),"")</f>
        <v/>
      </c>
      <c r="X2582" t="str">
        <f>IFERROR(VLOOKUP('Pre-Summary'!$DB$6:$DD$63,3,FALSE),"")</f>
        <v/>
      </c>
      <c r="Y2582" t="str">
        <f>IFERROR(VLOOKUP(B2582,'Pre-Summary'!$CR$6:$CT$36,3,FALSE),"")</f>
        <v/>
      </c>
      <c r="Z2582" s="45" t="str">
        <f>IFERROR(VLOOKUP(B2582,'Pre-Summary'!$BZ$6:$CB$63,2,FALSE),"")</f>
        <v/>
      </c>
      <c r="AA2582" s="45" t="str">
        <f>IFERROR(VLOOKUP(B2582,'Pre-Summary'!$CG$6:$CI$70,2,FALSE),"")</f>
        <v/>
      </c>
      <c r="AB2582" s="99">
        <f>IFERROR(VLOOKUP(B2582,'Pre-Summary'!$A$6:$P$178,9,FALSE),AB2583)</f>
        <v>0.44037364184945627</v>
      </c>
      <c r="AC2582" s="10">
        <f>IFERROR(VLOOKUP(Summary!B2582,'Pre-Summary'!$A$6:$P$184,5, FALSE)/100,AC2583)</f>
        <v>0.9629049999999999</v>
      </c>
      <c r="AD2582" s="10">
        <f>IFERROR(VLOOKUP(Summary!B2582,'Pre-Summary'!$A$6:$P$184,3, FALSE)/100,AD2583)</f>
        <v>3.0608333333333331E-2</v>
      </c>
      <c r="AE2582" s="10">
        <f>IFERROR(VLOOKUP(Summary!B2582,'Pre-Summary'!$A$6:$P$184,7, FALSE)/100,AE2583)</f>
        <v>6.4959999999999992E-3</v>
      </c>
      <c r="AF2582" s="99">
        <f t="shared" si="121"/>
        <v>1.3479103220942106E-2</v>
      </c>
      <c r="AG2582" s="99">
        <f t="shared" si="122"/>
        <v>2.8606671774540674E-3</v>
      </c>
      <c r="AH2582" s="10" t="str">
        <f>IFERROR(VLOOKUP(B2582,'Pre-Summary'!$AZ$6:$BE$65,3,FALSE),"")</f>
        <v/>
      </c>
      <c r="AI2582" s="10" t="str">
        <f>IFERROR(VLOOKUP(B2582,'Pre-Summary'!$AZ$6:$BE$65,5,FALSE),"")</f>
        <v/>
      </c>
      <c r="AJ2582" s="10" t="str">
        <f>IFERROR(VLOOKUP(B2582,'Pre-Summary'!$AZ$6:$BE$65,4,FALSE),"")</f>
        <v/>
      </c>
      <c r="AK2582" s="10" t="str">
        <f>IFERROR(VLOOKUP(B2582,'Pre-Summary'!$AZ$6:$BE$65,6,FALSE),"")</f>
        <v/>
      </c>
      <c r="AL2582" s="10" t="str">
        <f>IFERROR(VLOOKUP(B2582,'Pre-Summary'!$BG$6:$BL$44,3,FALSE),"")</f>
        <v/>
      </c>
      <c r="AM2582" s="10" t="str">
        <f>IFERROR(VLOOKUP(B2582,'Pre-Summary'!$BG$6:$BL$44,4,FALSE),"")</f>
        <v/>
      </c>
    </row>
    <row r="2583" spans="2:39" ht="15" customHeight="1" x14ac:dyDescent="0.3">
      <c r="B2583">
        <v>258</v>
      </c>
      <c r="C2583" t="str">
        <f>IFERROR(VLOOKUP(B2583,'Pre-Summary'!$DI$6:$DM$23,4,FALSE),"")</f>
        <v/>
      </c>
      <c r="D2583" s="10" t="str">
        <f>IFERROR(VLOOKUP(B2583,'Pre-Summary'!$AT$6:$AX$14,5,FALSE),D2582)</f>
        <v>Wolfe v3: went back to modified wolfe + EDTA and switched CuSO4 to CUCl2</v>
      </c>
      <c r="E2583" s="10" t="str">
        <f>IFERROR(VLOOKUP(B2583,'Pre-Summary'!$AT$6:$AX$15,4,FALSE),"")</f>
        <v/>
      </c>
      <c r="F2583">
        <f>IFERROR(VLOOKUP(B2583,'Pre-Summary'!$AL$6:$AQ$13,6,FALSE),F2582)</f>
        <v>5.9405263157894746E-2</v>
      </c>
      <c r="G2583" t="str">
        <f>IFERROR(VLOOKUP(B2583,'Pre-Summary'!$AE$6:$AJ$85,3,FALSE),"")</f>
        <v/>
      </c>
      <c r="H2583" t="str">
        <f>IFERROR(VLOOKUP(B2583,'Pre-Summary'!$AE$6:$AJ$85,4,FALSE),"")</f>
        <v/>
      </c>
      <c r="I2583" t="str">
        <f>IFERROR(VLOOKUP(B2583,'Pre-Summary'!$AE$6:$AJ$85,5,FALSE),"")</f>
        <v/>
      </c>
      <c r="J2583" s="45" t="str">
        <f>IFERROR(VLOOKUP(B2583,'Pre-Summary'!$AE$6:$AJ$85,6, FALSE),"")</f>
        <v/>
      </c>
      <c r="K2583" s="45" t="str">
        <f>IFERROR(VLOOKUP(B2583,'Pre-Summary'!$DE$6:$DG$61,3,FALSE),"")</f>
        <v/>
      </c>
      <c r="L2583" s="45" t="str">
        <f>IFERROR(VLOOKUP(B2583,'Pre-Summary'!$CU$6:$CW$36,3,FALSE),"")</f>
        <v/>
      </c>
      <c r="M2583" s="45" t="str">
        <f>IFERROR(VLOOKUP(B2583,'Pre-Summary'!$BW$6:$BY$58,2,FALSE),"")</f>
        <v/>
      </c>
      <c r="N2583" s="45" t="str">
        <f>IFERROR(VLOOKUP(B2583,'Pre-Summary'!$CD$6:$CF$64,2,FALSE),"")</f>
        <v/>
      </c>
      <c r="O2583" s="99">
        <f>IFERROR(VLOOKUP(B2583,'Pre-Summary'!$BO$6:$BQ$48,3, FALSE),O2582)</f>
        <v>1.508</v>
      </c>
      <c r="P2583" s="99">
        <f>IFERROR(VLOOKUP(B2583,'Pre-Summary'!$BS$6:$BU$35,3,FALSE),P2582)</f>
        <v>0.4</v>
      </c>
      <c r="Q2583" s="54">
        <f t="shared" si="120"/>
        <v>3.77</v>
      </c>
      <c r="R2583" s="53">
        <f>IFERROR(VLOOKUP(B2583,'Pre-Summary'!$BG$6:$BM$44,7,FALSE),R2584)</f>
        <v>0.11030801475343607</v>
      </c>
      <c r="S2583" s="53">
        <f>IFERROR(VLOOKUP(B2583,'Pre-Summary'!$BG$6:$BM$44,6,FALSE),S2584)</f>
        <v>0.11504859134187218</v>
      </c>
      <c r="T2583" s="45" t="str">
        <f>IFERROR(VLOOKUP(B2583,'Pre-Summary'!$Y$6:$AC$83, 3,FALSE),"")</f>
        <v/>
      </c>
      <c r="U2583" s="45" t="str">
        <f>IFERROR(VLOOKUP(B2583,'Pre-Summary'!$Y$6:$AC$83, 4,FALSE),"")</f>
        <v/>
      </c>
      <c r="V2583" t="str">
        <f>IFERROR(VLOOKUP(B2583,'Pre-Summary'!$Y$6:$AC$83, 5,FALSE),"")</f>
        <v/>
      </c>
      <c r="W2583" s="45" t="str">
        <f>IFERROR(VLOOKUP(B2583,'Pre-Summary'!$Y$6:$AD$83,6,FALSE),"")</f>
        <v/>
      </c>
      <c r="X2583" t="str">
        <f>IFERROR(VLOOKUP('Pre-Summary'!$DB$6:$DD$63,3,FALSE),"")</f>
        <v/>
      </c>
      <c r="Y2583" t="str">
        <f>IFERROR(VLOOKUP(B2583,'Pre-Summary'!$CR$6:$CT$36,3,FALSE),"")</f>
        <v/>
      </c>
      <c r="Z2583" s="45" t="str">
        <f>IFERROR(VLOOKUP(B2583,'Pre-Summary'!$BZ$6:$CB$63,2,FALSE),"")</f>
        <v/>
      </c>
      <c r="AA2583" s="45" t="str">
        <f>IFERROR(VLOOKUP(B2583,'Pre-Summary'!$CG$6:$CI$70,2,FALSE),"")</f>
        <v/>
      </c>
      <c r="AB2583" s="99">
        <f>IFERROR(VLOOKUP(B2583,'Pre-Summary'!$A$6:$P$178,9,FALSE),AB2584)</f>
        <v>0.44037364184945627</v>
      </c>
      <c r="AC2583" s="10">
        <f>IFERROR(VLOOKUP(Summary!B2583,'Pre-Summary'!$A$6:$P$184,5, FALSE)/100,AC2584)</f>
        <v>0.9629049999999999</v>
      </c>
      <c r="AD2583" s="10">
        <f>IFERROR(VLOOKUP(Summary!B2583,'Pre-Summary'!$A$6:$P$184,3, FALSE)/100,AD2584)</f>
        <v>3.0608333333333331E-2</v>
      </c>
      <c r="AE2583" s="10">
        <f>IFERROR(VLOOKUP(Summary!B2583,'Pre-Summary'!$A$6:$P$184,7, FALSE)/100,AE2584)</f>
        <v>6.4959999999999992E-3</v>
      </c>
      <c r="AF2583" s="99">
        <f t="shared" si="121"/>
        <v>1.3479103220942106E-2</v>
      </c>
      <c r="AG2583" s="99">
        <f t="shared" si="122"/>
        <v>2.8606671774540674E-3</v>
      </c>
      <c r="AH2583" s="10">
        <f>IFERROR(VLOOKUP(B2583,'Pre-Summary'!$AZ$6:$BE$65,3,FALSE),"")</f>
        <v>256</v>
      </c>
      <c r="AI2583" s="10">
        <f>IFERROR(VLOOKUP(B2583,'Pre-Summary'!$AZ$6:$BE$65,5,FALSE),"")</f>
        <v>111</v>
      </c>
      <c r="AJ2583" s="10">
        <f>IFERROR(VLOOKUP(B2583,'Pre-Summary'!$AZ$6:$BE$65,4,FALSE),"")</f>
        <v>191</v>
      </c>
      <c r="AK2583" s="10">
        <f>IFERROR(VLOOKUP(B2583,'Pre-Summary'!$AZ$6:$BE$65,6,FALSE),"")</f>
        <v>88</v>
      </c>
      <c r="AL2583" s="10">
        <f>IFERROR(VLOOKUP(B2583,'Pre-Summary'!$BG$6:$BL$44,3,FALSE),"")</f>
        <v>6.0617961648907492</v>
      </c>
      <c r="AM2583" s="10">
        <f>IFERROR(VLOOKUP(B2583,'Pre-Summary'!$BG$6:$BL$44,4,FALSE),"")</f>
        <v>2.7162436006834008</v>
      </c>
    </row>
    <row r="2584" spans="2:39" ht="15" customHeight="1" x14ac:dyDescent="0.3">
      <c r="B2584">
        <v>258.10000000000002</v>
      </c>
      <c r="C2584" t="str">
        <f>IFERROR(VLOOKUP(B2584,'Pre-Summary'!$DI$6:$DM$23,4,FALSE),"")</f>
        <v/>
      </c>
      <c r="D2584" s="10" t="str">
        <f>IFERROR(VLOOKUP(B2584,'Pre-Summary'!$AT$6:$AX$14,5,FALSE),D2583)</f>
        <v>Wolfe v3: went back to modified wolfe + EDTA and switched CuSO4 to CUCl2</v>
      </c>
      <c r="E2584" s="10" t="str">
        <f>IFERROR(VLOOKUP(B2584,'Pre-Summary'!$AT$6:$AX$15,4,FALSE),"")</f>
        <v/>
      </c>
      <c r="F2584">
        <f>IFERROR(VLOOKUP(B2584,'Pre-Summary'!$AL$6:$AQ$13,6,FALSE),F2583)</f>
        <v>5.9405263157894746E-2</v>
      </c>
      <c r="G2584" t="str">
        <f>IFERROR(VLOOKUP(B2584,'Pre-Summary'!$AE$6:$AJ$85,3,FALSE),"")</f>
        <v/>
      </c>
      <c r="H2584" t="str">
        <f>IFERROR(VLOOKUP(B2584,'Pre-Summary'!$AE$6:$AJ$85,4,FALSE),"")</f>
        <v/>
      </c>
      <c r="I2584" t="str">
        <f>IFERROR(VLOOKUP(B2584,'Pre-Summary'!$AE$6:$AJ$85,5,FALSE),"")</f>
        <v/>
      </c>
      <c r="J2584" s="45" t="str">
        <f>IFERROR(VLOOKUP(B2584,'Pre-Summary'!$AE$6:$AJ$85,6, FALSE),"")</f>
        <v/>
      </c>
      <c r="K2584" s="45" t="str">
        <f>IFERROR(VLOOKUP(B2584,'Pre-Summary'!$DE$6:$DG$61,3,FALSE),"")</f>
        <v/>
      </c>
      <c r="L2584" s="45" t="str">
        <f>IFERROR(VLOOKUP(B2584,'Pre-Summary'!$CU$6:$CW$36,3,FALSE),"")</f>
        <v/>
      </c>
      <c r="M2584" s="45" t="str">
        <f>IFERROR(VLOOKUP(B2584,'Pre-Summary'!$BW$6:$BY$58,2,FALSE),"")</f>
        <v/>
      </c>
      <c r="N2584" s="45" t="str">
        <f>IFERROR(VLOOKUP(B2584,'Pre-Summary'!$CD$6:$CF$64,2,FALSE),"")</f>
        <v/>
      </c>
      <c r="O2584" s="99">
        <f>IFERROR(VLOOKUP(B2584,'Pre-Summary'!$BO$6:$BQ$48,3, FALSE),O2583)</f>
        <v>1.508</v>
      </c>
      <c r="P2584" s="99">
        <f>IFERROR(VLOOKUP(B2584,'Pre-Summary'!$BS$6:$BU$35,3,FALSE),P2583)</f>
        <v>0.4</v>
      </c>
      <c r="Q2584" s="54">
        <f t="shared" si="120"/>
        <v>3.77</v>
      </c>
      <c r="R2584" s="53">
        <f>IFERROR(VLOOKUP(B2584,'Pre-Summary'!$BG$6:$BM$44,7,FALSE),R2585)</f>
        <v>0.10528059183238438</v>
      </c>
      <c r="S2584" s="53">
        <f>IFERROR(VLOOKUP(B2584,'Pre-Summary'!$BG$6:$BM$44,6,FALSE),S2585)</f>
        <v>0.10567591412599613</v>
      </c>
      <c r="T2584" s="45" t="str">
        <f>IFERROR(VLOOKUP(B2584,'Pre-Summary'!$Y$6:$AC$83, 3,FALSE),"")</f>
        <v/>
      </c>
      <c r="U2584" s="45" t="str">
        <f>IFERROR(VLOOKUP(B2584,'Pre-Summary'!$Y$6:$AC$83, 4,FALSE),"")</f>
        <v/>
      </c>
      <c r="V2584" t="str">
        <f>IFERROR(VLOOKUP(B2584,'Pre-Summary'!$Y$6:$AC$83, 5,FALSE),"")</f>
        <v/>
      </c>
      <c r="W2584" s="45" t="str">
        <f>IFERROR(VLOOKUP(B2584,'Pre-Summary'!$Y$6:$AD$83,6,FALSE),"")</f>
        <v/>
      </c>
      <c r="X2584" t="str">
        <f>IFERROR(VLOOKUP('Pre-Summary'!$DB$6:$DD$63,3,FALSE),"")</f>
        <v/>
      </c>
      <c r="Y2584" t="str">
        <f>IFERROR(VLOOKUP(B2584,'Pre-Summary'!$CR$6:$CT$36,3,FALSE),"")</f>
        <v/>
      </c>
      <c r="Z2584" s="45" t="str">
        <f>IFERROR(VLOOKUP(B2584,'Pre-Summary'!$BZ$6:$CB$63,2,FALSE),"")</f>
        <v/>
      </c>
      <c r="AA2584" s="45" t="str">
        <f>IFERROR(VLOOKUP(B2584,'Pre-Summary'!$CG$6:$CI$70,2,FALSE),"")</f>
        <v/>
      </c>
      <c r="AB2584" s="99">
        <f>IFERROR(VLOOKUP(B2584,'Pre-Summary'!$A$6:$P$178,9,FALSE),AB2585)</f>
        <v>0.44037364184945627</v>
      </c>
      <c r="AC2584" s="10">
        <f>IFERROR(VLOOKUP(Summary!B2584,'Pre-Summary'!$A$6:$P$184,5, FALSE)/100,AC2585)</f>
        <v>0.9629049999999999</v>
      </c>
      <c r="AD2584" s="10">
        <f>IFERROR(VLOOKUP(Summary!B2584,'Pre-Summary'!$A$6:$P$184,3, FALSE)/100,AD2585)</f>
        <v>3.0608333333333331E-2</v>
      </c>
      <c r="AE2584" s="10">
        <f>IFERROR(VLOOKUP(Summary!B2584,'Pre-Summary'!$A$6:$P$184,7, FALSE)/100,AE2585)</f>
        <v>6.4959999999999992E-3</v>
      </c>
      <c r="AF2584" s="99">
        <f t="shared" si="121"/>
        <v>1.3479103220942106E-2</v>
      </c>
      <c r="AG2584" s="99">
        <f t="shared" si="122"/>
        <v>2.8606671774540674E-3</v>
      </c>
      <c r="AH2584" s="10" t="str">
        <f>IFERROR(VLOOKUP(B2584,'Pre-Summary'!$AZ$6:$BE$65,3,FALSE),"")</f>
        <v/>
      </c>
      <c r="AI2584" s="10" t="str">
        <f>IFERROR(VLOOKUP(B2584,'Pre-Summary'!$AZ$6:$BE$65,5,FALSE),"")</f>
        <v/>
      </c>
      <c r="AJ2584" s="10" t="str">
        <f>IFERROR(VLOOKUP(B2584,'Pre-Summary'!$AZ$6:$BE$65,4,FALSE),"")</f>
        <v/>
      </c>
      <c r="AK2584" s="10" t="str">
        <f>IFERROR(VLOOKUP(B2584,'Pre-Summary'!$AZ$6:$BE$65,6,FALSE),"")</f>
        <v/>
      </c>
      <c r="AL2584" s="10" t="str">
        <f>IFERROR(VLOOKUP(B2584,'Pre-Summary'!$BG$6:$BL$44,3,FALSE),"")</f>
        <v/>
      </c>
      <c r="AM2584" s="10" t="str">
        <f>IFERROR(VLOOKUP(B2584,'Pre-Summary'!$BG$6:$BL$44,4,FALSE),"")</f>
        <v/>
      </c>
    </row>
    <row r="2585" spans="2:39" ht="15" customHeight="1" x14ac:dyDescent="0.3">
      <c r="B2585">
        <v>258.2</v>
      </c>
      <c r="C2585" t="str">
        <f>IFERROR(VLOOKUP(B2585,'Pre-Summary'!$DI$6:$DM$23,4,FALSE),"")</f>
        <v/>
      </c>
      <c r="D2585" s="10" t="str">
        <f>IFERROR(VLOOKUP(B2585,'Pre-Summary'!$AT$6:$AX$14,5,FALSE),D2584)</f>
        <v>Wolfe v3: went back to modified wolfe + EDTA and switched CuSO4 to CUCl2</v>
      </c>
      <c r="E2585" s="10" t="str">
        <f>IFERROR(VLOOKUP(B2585,'Pre-Summary'!$AT$6:$AX$15,4,FALSE),"")</f>
        <v/>
      </c>
      <c r="F2585">
        <f>IFERROR(VLOOKUP(B2585,'Pre-Summary'!$AL$6:$AQ$13,6,FALSE),F2584)</f>
        <v>5.9405263157894746E-2</v>
      </c>
      <c r="G2585" t="str">
        <f>IFERROR(VLOOKUP(B2585,'Pre-Summary'!$AE$6:$AJ$85,3,FALSE),"")</f>
        <v/>
      </c>
      <c r="H2585" t="str">
        <f>IFERROR(VLOOKUP(B2585,'Pre-Summary'!$AE$6:$AJ$85,4,FALSE),"")</f>
        <v/>
      </c>
      <c r="I2585" t="str">
        <f>IFERROR(VLOOKUP(B2585,'Pre-Summary'!$AE$6:$AJ$85,5,FALSE),"")</f>
        <v/>
      </c>
      <c r="J2585" s="45" t="str">
        <f>IFERROR(VLOOKUP(B2585,'Pre-Summary'!$AE$6:$AJ$85,6, FALSE),"")</f>
        <v/>
      </c>
      <c r="K2585" s="45" t="str">
        <f>IFERROR(VLOOKUP(B2585,'Pre-Summary'!$DE$6:$DG$61,3,FALSE),"")</f>
        <v/>
      </c>
      <c r="L2585" s="45" t="str">
        <f>IFERROR(VLOOKUP(B2585,'Pre-Summary'!$CU$6:$CW$36,3,FALSE),"")</f>
        <v/>
      </c>
      <c r="M2585" s="45" t="str">
        <f>IFERROR(VLOOKUP(B2585,'Pre-Summary'!$BW$6:$BY$58,2,FALSE),"")</f>
        <v/>
      </c>
      <c r="N2585" s="45" t="str">
        <f>IFERROR(VLOOKUP(B2585,'Pre-Summary'!$CD$6:$CF$64,2,FALSE),"")</f>
        <v/>
      </c>
      <c r="O2585" s="99">
        <f>IFERROR(VLOOKUP(B2585,'Pre-Summary'!$BO$6:$BQ$48,3, FALSE),O2584)</f>
        <v>1.508</v>
      </c>
      <c r="P2585" s="99">
        <f>IFERROR(VLOOKUP(B2585,'Pre-Summary'!$BS$6:$BU$35,3,FALSE),P2584)</f>
        <v>0.4</v>
      </c>
      <c r="Q2585" s="54">
        <f t="shared" si="120"/>
        <v>3.77</v>
      </c>
      <c r="R2585" s="53">
        <f>IFERROR(VLOOKUP(B2585,'Pre-Summary'!$BG$6:$BM$44,7,FALSE),R2586)</f>
        <v>0.10528059183238438</v>
      </c>
      <c r="S2585" s="53">
        <f>IFERROR(VLOOKUP(B2585,'Pre-Summary'!$BG$6:$BM$44,6,FALSE),S2586)</f>
        <v>0.10567591412599613</v>
      </c>
      <c r="T2585" s="45" t="str">
        <f>IFERROR(VLOOKUP(B2585,'Pre-Summary'!$Y$6:$AC$83, 3,FALSE),"")</f>
        <v/>
      </c>
      <c r="U2585" s="45" t="str">
        <f>IFERROR(VLOOKUP(B2585,'Pre-Summary'!$Y$6:$AC$83, 4,FALSE),"")</f>
        <v/>
      </c>
      <c r="V2585" t="str">
        <f>IFERROR(VLOOKUP(B2585,'Pre-Summary'!$Y$6:$AC$83, 5,FALSE),"")</f>
        <v/>
      </c>
      <c r="W2585" s="45" t="str">
        <f>IFERROR(VLOOKUP(B2585,'Pre-Summary'!$Y$6:$AD$83,6,FALSE),"")</f>
        <v/>
      </c>
      <c r="X2585" t="str">
        <f>IFERROR(VLOOKUP('Pre-Summary'!$DB$6:$DD$63,3,FALSE),"")</f>
        <v/>
      </c>
      <c r="Y2585" t="str">
        <f>IFERROR(VLOOKUP(B2585,'Pre-Summary'!$CR$6:$CT$36,3,FALSE),"")</f>
        <v/>
      </c>
      <c r="Z2585" s="45" t="str">
        <f>IFERROR(VLOOKUP(B2585,'Pre-Summary'!$BZ$6:$CB$63,2,FALSE),"")</f>
        <v/>
      </c>
      <c r="AA2585" s="45" t="str">
        <f>IFERROR(VLOOKUP(B2585,'Pre-Summary'!$CG$6:$CI$70,2,FALSE),"")</f>
        <v/>
      </c>
      <c r="AB2585" s="99">
        <f>IFERROR(VLOOKUP(B2585,'Pre-Summary'!$A$6:$P$178,9,FALSE),AB2586)</f>
        <v>0.44037364184945627</v>
      </c>
      <c r="AC2585" s="10">
        <f>IFERROR(VLOOKUP(Summary!B2585,'Pre-Summary'!$A$6:$P$184,5, FALSE)/100,AC2586)</f>
        <v>0.9629049999999999</v>
      </c>
      <c r="AD2585" s="10">
        <f>IFERROR(VLOOKUP(Summary!B2585,'Pre-Summary'!$A$6:$P$184,3, FALSE)/100,AD2586)</f>
        <v>3.0608333333333331E-2</v>
      </c>
      <c r="AE2585" s="10">
        <f>IFERROR(VLOOKUP(Summary!B2585,'Pre-Summary'!$A$6:$P$184,7, FALSE)/100,AE2586)</f>
        <v>6.4959999999999992E-3</v>
      </c>
      <c r="AF2585" s="99">
        <f t="shared" si="121"/>
        <v>1.3479103220942106E-2</v>
      </c>
      <c r="AG2585" s="99">
        <f t="shared" si="122"/>
        <v>2.8606671774540674E-3</v>
      </c>
      <c r="AH2585" s="10" t="str">
        <f>IFERROR(VLOOKUP(B2585,'Pre-Summary'!$AZ$6:$BE$65,3,FALSE),"")</f>
        <v/>
      </c>
      <c r="AI2585" s="10" t="str">
        <f>IFERROR(VLOOKUP(B2585,'Pre-Summary'!$AZ$6:$BE$65,5,FALSE),"")</f>
        <v/>
      </c>
      <c r="AJ2585" s="10" t="str">
        <f>IFERROR(VLOOKUP(B2585,'Pre-Summary'!$AZ$6:$BE$65,4,FALSE),"")</f>
        <v/>
      </c>
      <c r="AK2585" s="10" t="str">
        <f>IFERROR(VLOOKUP(B2585,'Pre-Summary'!$AZ$6:$BE$65,6,FALSE),"")</f>
        <v/>
      </c>
      <c r="AL2585" s="10" t="str">
        <f>IFERROR(VLOOKUP(B2585,'Pre-Summary'!$BG$6:$BL$44,3,FALSE),"")</f>
        <v/>
      </c>
      <c r="AM2585" s="10" t="str">
        <f>IFERROR(VLOOKUP(B2585,'Pre-Summary'!$BG$6:$BL$44,4,FALSE),"")</f>
        <v/>
      </c>
    </row>
    <row r="2586" spans="2:39" ht="15" customHeight="1" x14ac:dyDescent="0.3">
      <c r="B2586">
        <v>258.3</v>
      </c>
      <c r="C2586" t="str">
        <f>IFERROR(VLOOKUP(B2586,'Pre-Summary'!$DI$6:$DM$23,4,FALSE),"")</f>
        <v/>
      </c>
      <c r="D2586" s="10" t="str">
        <f>IFERROR(VLOOKUP(B2586,'Pre-Summary'!$AT$6:$AX$14,5,FALSE),D2585)</f>
        <v>Wolfe v3: went back to modified wolfe + EDTA and switched CuSO4 to CUCl2</v>
      </c>
      <c r="E2586" s="10" t="str">
        <f>IFERROR(VLOOKUP(B2586,'Pre-Summary'!$AT$6:$AX$15,4,FALSE),"")</f>
        <v/>
      </c>
      <c r="F2586">
        <f>IFERROR(VLOOKUP(B2586,'Pre-Summary'!$AL$6:$AQ$13,6,FALSE),F2585)</f>
        <v>5.9405263157894746E-2</v>
      </c>
      <c r="G2586" t="str">
        <f>IFERROR(VLOOKUP(B2586,'Pre-Summary'!$AE$6:$AJ$85,3,FALSE),"")</f>
        <v/>
      </c>
      <c r="H2586" t="str">
        <f>IFERROR(VLOOKUP(B2586,'Pre-Summary'!$AE$6:$AJ$85,4,FALSE),"")</f>
        <v/>
      </c>
      <c r="I2586" t="str">
        <f>IFERROR(VLOOKUP(B2586,'Pre-Summary'!$AE$6:$AJ$85,5,FALSE),"")</f>
        <v/>
      </c>
      <c r="J2586" s="45" t="str">
        <f>IFERROR(VLOOKUP(B2586,'Pre-Summary'!$AE$6:$AJ$85,6, FALSE),"")</f>
        <v/>
      </c>
      <c r="K2586" s="45" t="str">
        <f>IFERROR(VLOOKUP(B2586,'Pre-Summary'!$DE$6:$DG$61,3,FALSE),"")</f>
        <v/>
      </c>
      <c r="L2586" s="45" t="str">
        <f>IFERROR(VLOOKUP(B2586,'Pre-Summary'!$CU$6:$CW$36,3,FALSE),"")</f>
        <v/>
      </c>
      <c r="M2586" s="45" t="str">
        <f>IFERROR(VLOOKUP(B2586,'Pre-Summary'!$BW$6:$BY$58,2,FALSE),"")</f>
        <v/>
      </c>
      <c r="N2586" s="45" t="str">
        <f>IFERROR(VLOOKUP(B2586,'Pre-Summary'!$CD$6:$CF$64,2,FALSE),"")</f>
        <v/>
      </c>
      <c r="O2586" s="99">
        <f>IFERROR(VLOOKUP(B2586,'Pre-Summary'!$BO$6:$BQ$48,3, FALSE),O2585)</f>
        <v>1.508</v>
      </c>
      <c r="P2586" s="99">
        <f>IFERROR(VLOOKUP(B2586,'Pre-Summary'!$BS$6:$BU$35,3,FALSE),P2585)</f>
        <v>0.4</v>
      </c>
      <c r="Q2586" s="54">
        <f t="shared" si="120"/>
        <v>3.77</v>
      </c>
      <c r="R2586" s="53">
        <f>IFERROR(VLOOKUP(B2586,'Pre-Summary'!$BG$6:$BM$44,7,FALSE),R2587)</f>
        <v>0.10528059183238438</v>
      </c>
      <c r="S2586" s="53">
        <f>IFERROR(VLOOKUP(B2586,'Pre-Summary'!$BG$6:$BM$44,6,FALSE),S2587)</f>
        <v>0.10567591412599613</v>
      </c>
      <c r="T2586" s="45" t="str">
        <f>IFERROR(VLOOKUP(B2586,'Pre-Summary'!$Y$6:$AC$83, 3,FALSE),"")</f>
        <v/>
      </c>
      <c r="U2586" s="45" t="str">
        <f>IFERROR(VLOOKUP(B2586,'Pre-Summary'!$Y$6:$AC$83, 4,FALSE),"")</f>
        <v/>
      </c>
      <c r="V2586" t="str">
        <f>IFERROR(VLOOKUP(B2586,'Pre-Summary'!$Y$6:$AC$83, 5,FALSE),"")</f>
        <v/>
      </c>
      <c r="W2586" s="45" t="str">
        <f>IFERROR(VLOOKUP(B2586,'Pre-Summary'!$Y$6:$AD$83,6,FALSE),"")</f>
        <v/>
      </c>
      <c r="X2586" t="str">
        <f>IFERROR(VLOOKUP('Pre-Summary'!$DB$6:$DD$63,3,FALSE),"")</f>
        <v/>
      </c>
      <c r="Y2586" t="str">
        <f>IFERROR(VLOOKUP(B2586,'Pre-Summary'!$CR$6:$CT$36,3,FALSE),"")</f>
        <v/>
      </c>
      <c r="Z2586" s="45" t="str">
        <f>IFERROR(VLOOKUP(B2586,'Pre-Summary'!$BZ$6:$CB$63,2,FALSE),"")</f>
        <v/>
      </c>
      <c r="AA2586" s="45" t="str">
        <f>IFERROR(VLOOKUP(B2586,'Pre-Summary'!$CG$6:$CI$70,2,FALSE),"")</f>
        <v/>
      </c>
      <c r="AB2586" s="99">
        <f>IFERROR(VLOOKUP(B2586,'Pre-Summary'!$A$6:$P$178,9,FALSE),AB2587)</f>
        <v>0.44037364184945627</v>
      </c>
      <c r="AC2586" s="10">
        <f>IFERROR(VLOOKUP(Summary!B2586,'Pre-Summary'!$A$6:$P$184,5, FALSE)/100,AC2587)</f>
        <v>0.9629049999999999</v>
      </c>
      <c r="AD2586" s="10">
        <f>IFERROR(VLOOKUP(Summary!B2586,'Pre-Summary'!$A$6:$P$184,3, FALSE)/100,AD2587)</f>
        <v>3.0608333333333331E-2</v>
      </c>
      <c r="AE2586" s="10">
        <f>IFERROR(VLOOKUP(Summary!B2586,'Pre-Summary'!$A$6:$P$184,7, FALSE)/100,AE2587)</f>
        <v>6.4959999999999992E-3</v>
      </c>
      <c r="AF2586" s="99">
        <f t="shared" si="121"/>
        <v>1.3479103220942106E-2</v>
      </c>
      <c r="AG2586" s="99">
        <f t="shared" si="122"/>
        <v>2.8606671774540674E-3</v>
      </c>
      <c r="AH2586" s="10" t="str">
        <f>IFERROR(VLOOKUP(B2586,'Pre-Summary'!$AZ$6:$BE$65,3,FALSE),"")</f>
        <v/>
      </c>
      <c r="AI2586" s="10" t="str">
        <f>IFERROR(VLOOKUP(B2586,'Pre-Summary'!$AZ$6:$BE$65,5,FALSE),"")</f>
        <v/>
      </c>
      <c r="AJ2586" s="10" t="str">
        <f>IFERROR(VLOOKUP(B2586,'Pre-Summary'!$AZ$6:$BE$65,4,FALSE),"")</f>
        <v/>
      </c>
      <c r="AK2586" s="10" t="str">
        <f>IFERROR(VLOOKUP(B2586,'Pre-Summary'!$AZ$6:$BE$65,6,FALSE),"")</f>
        <v/>
      </c>
      <c r="AL2586" s="10" t="str">
        <f>IFERROR(VLOOKUP(B2586,'Pre-Summary'!$BG$6:$BL$44,3,FALSE),"")</f>
        <v/>
      </c>
      <c r="AM2586" s="10" t="str">
        <f>IFERROR(VLOOKUP(B2586,'Pre-Summary'!$BG$6:$BL$44,4,FALSE),"")</f>
        <v/>
      </c>
    </row>
    <row r="2587" spans="2:39" ht="15" customHeight="1" x14ac:dyDescent="0.3">
      <c r="B2587">
        <v>258.39999999999998</v>
      </c>
      <c r="C2587" t="str">
        <f>IFERROR(VLOOKUP(B2587,'Pre-Summary'!$DI$6:$DM$23,4,FALSE),"")</f>
        <v/>
      </c>
      <c r="D2587" s="10" t="str">
        <f>IFERROR(VLOOKUP(B2587,'Pre-Summary'!$AT$6:$AX$14,5,FALSE),D2586)</f>
        <v>Wolfe v3: went back to modified wolfe + EDTA and switched CuSO4 to CUCl2</v>
      </c>
      <c r="E2587" s="10" t="str">
        <f>IFERROR(VLOOKUP(B2587,'Pre-Summary'!$AT$6:$AX$15,4,FALSE),"")</f>
        <v/>
      </c>
      <c r="F2587">
        <f>IFERROR(VLOOKUP(B2587,'Pre-Summary'!$AL$6:$AQ$13,6,FALSE),F2586)</f>
        <v>5.9405263157894746E-2</v>
      </c>
      <c r="G2587" t="str">
        <f>IFERROR(VLOOKUP(B2587,'Pre-Summary'!$AE$6:$AJ$85,3,FALSE),"")</f>
        <v/>
      </c>
      <c r="H2587" t="str">
        <f>IFERROR(VLOOKUP(B2587,'Pre-Summary'!$AE$6:$AJ$85,4,FALSE),"")</f>
        <v/>
      </c>
      <c r="I2587" t="str">
        <f>IFERROR(VLOOKUP(B2587,'Pre-Summary'!$AE$6:$AJ$85,5,FALSE),"")</f>
        <v/>
      </c>
      <c r="J2587" s="45" t="str">
        <f>IFERROR(VLOOKUP(B2587,'Pre-Summary'!$AE$6:$AJ$85,6, FALSE),"")</f>
        <v/>
      </c>
      <c r="K2587" s="45" t="str">
        <f>IFERROR(VLOOKUP(B2587,'Pre-Summary'!$DE$6:$DG$61,3,FALSE),"")</f>
        <v/>
      </c>
      <c r="L2587" s="45" t="str">
        <f>IFERROR(VLOOKUP(B2587,'Pre-Summary'!$CU$6:$CW$36,3,FALSE),"")</f>
        <v/>
      </c>
      <c r="M2587" s="45" t="str">
        <f>IFERROR(VLOOKUP(B2587,'Pre-Summary'!$BW$6:$BY$58,2,FALSE),"")</f>
        <v/>
      </c>
      <c r="N2587" s="45" t="str">
        <f>IFERROR(VLOOKUP(B2587,'Pre-Summary'!$CD$6:$CF$64,2,FALSE),"")</f>
        <v/>
      </c>
      <c r="O2587" s="99">
        <f>IFERROR(VLOOKUP(B2587,'Pre-Summary'!$BO$6:$BQ$48,3, FALSE),O2586)</f>
        <v>1.508</v>
      </c>
      <c r="P2587" s="99">
        <f>IFERROR(VLOOKUP(B2587,'Pre-Summary'!$BS$6:$BU$35,3,FALSE),P2586)</f>
        <v>0.4</v>
      </c>
      <c r="Q2587" s="54">
        <f t="shared" si="120"/>
        <v>3.77</v>
      </c>
      <c r="R2587" s="53">
        <f>IFERROR(VLOOKUP(B2587,'Pre-Summary'!$BG$6:$BM$44,7,FALSE),R2588)</f>
        <v>0.10528059183238438</v>
      </c>
      <c r="S2587" s="53">
        <f>IFERROR(VLOOKUP(B2587,'Pre-Summary'!$BG$6:$BM$44,6,FALSE),S2588)</f>
        <v>0.10567591412599613</v>
      </c>
      <c r="T2587" s="45" t="str">
        <f>IFERROR(VLOOKUP(B2587,'Pre-Summary'!$Y$6:$AC$83, 3,FALSE),"")</f>
        <v/>
      </c>
      <c r="U2587" s="45" t="str">
        <f>IFERROR(VLOOKUP(B2587,'Pre-Summary'!$Y$6:$AC$83, 4,FALSE),"")</f>
        <v/>
      </c>
      <c r="V2587" t="str">
        <f>IFERROR(VLOOKUP(B2587,'Pre-Summary'!$Y$6:$AC$83, 5,FALSE),"")</f>
        <v/>
      </c>
      <c r="W2587" s="45" t="str">
        <f>IFERROR(VLOOKUP(B2587,'Pre-Summary'!$Y$6:$AD$83,6,FALSE),"")</f>
        <v/>
      </c>
      <c r="X2587" t="str">
        <f>IFERROR(VLOOKUP('Pre-Summary'!$DB$6:$DD$63,3,FALSE),"")</f>
        <v/>
      </c>
      <c r="Y2587" t="str">
        <f>IFERROR(VLOOKUP(B2587,'Pre-Summary'!$CR$6:$CT$36,3,FALSE),"")</f>
        <v/>
      </c>
      <c r="Z2587" s="45" t="str">
        <f>IFERROR(VLOOKUP(B2587,'Pre-Summary'!$BZ$6:$CB$63,2,FALSE),"")</f>
        <v/>
      </c>
      <c r="AA2587" s="45" t="str">
        <f>IFERROR(VLOOKUP(B2587,'Pre-Summary'!$CG$6:$CI$70,2,FALSE),"")</f>
        <v/>
      </c>
      <c r="AB2587" s="99">
        <f>IFERROR(VLOOKUP(B2587,'Pre-Summary'!$A$6:$P$178,9,FALSE),AB2588)</f>
        <v>0.44037364184945627</v>
      </c>
      <c r="AC2587" s="10">
        <f>IFERROR(VLOOKUP(Summary!B2587,'Pre-Summary'!$A$6:$P$184,5, FALSE)/100,AC2588)</f>
        <v>0.9629049999999999</v>
      </c>
      <c r="AD2587" s="10">
        <f>IFERROR(VLOOKUP(Summary!B2587,'Pre-Summary'!$A$6:$P$184,3, FALSE)/100,AD2588)</f>
        <v>3.0608333333333331E-2</v>
      </c>
      <c r="AE2587" s="10">
        <f>IFERROR(VLOOKUP(Summary!B2587,'Pre-Summary'!$A$6:$P$184,7, FALSE)/100,AE2588)</f>
        <v>6.4959999999999992E-3</v>
      </c>
      <c r="AF2587" s="99">
        <f t="shared" si="121"/>
        <v>1.3479103220942106E-2</v>
      </c>
      <c r="AG2587" s="99">
        <f t="shared" si="122"/>
        <v>2.8606671774540674E-3</v>
      </c>
      <c r="AH2587" s="10" t="str">
        <f>IFERROR(VLOOKUP(B2587,'Pre-Summary'!$AZ$6:$BE$65,3,FALSE),"")</f>
        <v/>
      </c>
      <c r="AI2587" s="10" t="str">
        <f>IFERROR(VLOOKUP(B2587,'Pre-Summary'!$AZ$6:$BE$65,5,FALSE),"")</f>
        <v/>
      </c>
      <c r="AJ2587" s="10" t="str">
        <f>IFERROR(VLOOKUP(B2587,'Pre-Summary'!$AZ$6:$BE$65,4,FALSE),"")</f>
        <v/>
      </c>
      <c r="AK2587" s="10" t="str">
        <f>IFERROR(VLOOKUP(B2587,'Pre-Summary'!$AZ$6:$BE$65,6,FALSE),"")</f>
        <v/>
      </c>
      <c r="AL2587" s="10" t="str">
        <f>IFERROR(VLOOKUP(B2587,'Pre-Summary'!$BG$6:$BL$44,3,FALSE),"")</f>
        <v/>
      </c>
      <c r="AM2587" s="10" t="str">
        <f>IFERROR(VLOOKUP(B2587,'Pre-Summary'!$BG$6:$BL$44,4,FALSE),"")</f>
        <v/>
      </c>
    </row>
    <row r="2588" spans="2:39" ht="15" customHeight="1" x14ac:dyDescent="0.3">
      <c r="B2588">
        <v>258.5</v>
      </c>
      <c r="C2588" t="str">
        <f>IFERROR(VLOOKUP(B2588,'Pre-Summary'!$DI$6:$DM$23,4,FALSE),"")</f>
        <v/>
      </c>
      <c r="D2588" s="10" t="str">
        <f>IFERROR(VLOOKUP(B2588,'Pre-Summary'!$AT$6:$AX$14,5,FALSE),D2587)</f>
        <v>Wolfe v3: went back to modified wolfe + EDTA and switched CuSO4 to CUCl2</v>
      </c>
      <c r="E2588" s="10" t="str">
        <f>IFERROR(VLOOKUP(B2588,'Pre-Summary'!$AT$6:$AX$15,4,FALSE),"")</f>
        <v/>
      </c>
      <c r="F2588">
        <f>IFERROR(VLOOKUP(B2588,'Pre-Summary'!$AL$6:$AQ$13,6,FALSE),F2587)</f>
        <v>5.9405263157894746E-2</v>
      </c>
      <c r="G2588" t="str">
        <f>IFERROR(VLOOKUP(B2588,'Pre-Summary'!$AE$6:$AJ$85,3,FALSE),"")</f>
        <v/>
      </c>
      <c r="H2588" t="str">
        <f>IFERROR(VLOOKUP(B2588,'Pre-Summary'!$AE$6:$AJ$85,4,FALSE),"")</f>
        <v/>
      </c>
      <c r="I2588" t="str">
        <f>IFERROR(VLOOKUP(B2588,'Pre-Summary'!$AE$6:$AJ$85,5,FALSE),"")</f>
        <v/>
      </c>
      <c r="J2588" s="45" t="str">
        <f>IFERROR(VLOOKUP(B2588,'Pre-Summary'!$AE$6:$AJ$85,6, FALSE),"")</f>
        <v/>
      </c>
      <c r="K2588" s="45" t="str">
        <f>IFERROR(VLOOKUP(B2588,'Pre-Summary'!$DE$6:$DG$61,3,FALSE),"")</f>
        <v/>
      </c>
      <c r="L2588" s="45" t="str">
        <f>IFERROR(VLOOKUP(B2588,'Pre-Summary'!$CU$6:$CW$36,3,FALSE),"")</f>
        <v/>
      </c>
      <c r="M2588" s="45" t="str">
        <f>IFERROR(VLOOKUP(B2588,'Pre-Summary'!$BW$6:$BY$58,2,FALSE),"")</f>
        <v/>
      </c>
      <c r="N2588" s="45" t="str">
        <f>IFERROR(VLOOKUP(B2588,'Pre-Summary'!$CD$6:$CF$64,2,FALSE),"")</f>
        <v/>
      </c>
      <c r="O2588" s="99">
        <f>IFERROR(VLOOKUP(B2588,'Pre-Summary'!$BO$6:$BQ$48,3, FALSE),O2587)</f>
        <v>1.508</v>
      </c>
      <c r="P2588" s="99">
        <f>IFERROR(VLOOKUP(B2588,'Pre-Summary'!$BS$6:$BU$35,3,FALSE),P2587)</f>
        <v>0.4</v>
      </c>
      <c r="Q2588" s="54">
        <f t="shared" si="120"/>
        <v>3.77</v>
      </c>
      <c r="R2588" s="53">
        <f>IFERROR(VLOOKUP(B2588,'Pre-Summary'!$BG$6:$BM$44,7,FALSE),R2589)</f>
        <v>0.10528059183238438</v>
      </c>
      <c r="S2588" s="53">
        <f>IFERROR(VLOOKUP(B2588,'Pre-Summary'!$BG$6:$BM$44,6,FALSE),S2589)</f>
        <v>0.10567591412599613</v>
      </c>
      <c r="T2588" s="45" t="str">
        <f>IFERROR(VLOOKUP(B2588,'Pre-Summary'!$Y$6:$AC$83, 3,FALSE),"")</f>
        <v/>
      </c>
      <c r="U2588" s="45" t="str">
        <f>IFERROR(VLOOKUP(B2588,'Pre-Summary'!$Y$6:$AC$83, 4,FALSE),"")</f>
        <v/>
      </c>
      <c r="V2588" t="str">
        <f>IFERROR(VLOOKUP(B2588,'Pre-Summary'!$Y$6:$AC$83, 5,FALSE),"")</f>
        <v/>
      </c>
      <c r="W2588" s="45" t="str">
        <f>IFERROR(VLOOKUP(B2588,'Pre-Summary'!$Y$6:$AD$83,6,FALSE),"")</f>
        <v/>
      </c>
      <c r="X2588" t="str">
        <f>IFERROR(VLOOKUP('Pre-Summary'!$DB$6:$DD$63,3,FALSE),"")</f>
        <v/>
      </c>
      <c r="Y2588" t="str">
        <f>IFERROR(VLOOKUP(B2588,'Pre-Summary'!$CR$6:$CT$36,3,FALSE),"")</f>
        <v/>
      </c>
      <c r="Z2588" s="45" t="str">
        <f>IFERROR(VLOOKUP(B2588,'Pre-Summary'!$BZ$6:$CB$63,2,FALSE),"")</f>
        <v/>
      </c>
      <c r="AA2588" s="45" t="str">
        <f>IFERROR(VLOOKUP(B2588,'Pre-Summary'!$CG$6:$CI$70,2,FALSE),"")</f>
        <v/>
      </c>
      <c r="AB2588" s="99">
        <f>IFERROR(VLOOKUP(B2588,'Pre-Summary'!$A$6:$P$178,9,FALSE),AB2589)</f>
        <v>0.44037364184945627</v>
      </c>
      <c r="AC2588" s="10">
        <f>IFERROR(VLOOKUP(Summary!B2588,'Pre-Summary'!$A$6:$P$184,5, FALSE)/100,AC2589)</f>
        <v>0.9629049999999999</v>
      </c>
      <c r="AD2588" s="10">
        <f>IFERROR(VLOOKUP(Summary!B2588,'Pre-Summary'!$A$6:$P$184,3, FALSE)/100,AD2589)</f>
        <v>3.0608333333333331E-2</v>
      </c>
      <c r="AE2588" s="10">
        <f>IFERROR(VLOOKUP(Summary!B2588,'Pre-Summary'!$A$6:$P$184,7, FALSE)/100,AE2589)</f>
        <v>6.4959999999999992E-3</v>
      </c>
      <c r="AF2588" s="99">
        <f t="shared" si="121"/>
        <v>1.3479103220942106E-2</v>
      </c>
      <c r="AG2588" s="99">
        <f t="shared" si="122"/>
        <v>2.8606671774540674E-3</v>
      </c>
      <c r="AH2588" s="10" t="str">
        <f>IFERROR(VLOOKUP(B2588,'Pre-Summary'!$AZ$6:$BE$65,3,FALSE),"")</f>
        <v/>
      </c>
      <c r="AI2588" s="10" t="str">
        <f>IFERROR(VLOOKUP(B2588,'Pre-Summary'!$AZ$6:$BE$65,5,FALSE),"")</f>
        <v/>
      </c>
      <c r="AJ2588" s="10" t="str">
        <f>IFERROR(VLOOKUP(B2588,'Pre-Summary'!$AZ$6:$BE$65,4,FALSE),"")</f>
        <v/>
      </c>
      <c r="AK2588" s="10" t="str">
        <f>IFERROR(VLOOKUP(B2588,'Pre-Summary'!$AZ$6:$BE$65,6,FALSE),"")</f>
        <v/>
      </c>
      <c r="AL2588" s="10" t="str">
        <f>IFERROR(VLOOKUP(B2588,'Pre-Summary'!$BG$6:$BL$44,3,FALSE),"")</f>
        <v/>
      </c>
      <c r="AM2588" s="10" t="str">
        <f>IFERROR(VLOOKUP(B2588,'Pre-Summary'!$BG$6:$BL$44,4,FALSE),"")</f>
        <v/>
      </c>
    </row>
    <row r="2589" spans="2:39" ht="15" customHeight="1" x14ac:dyDescent="0.3">
      <c r="B2589">
        <v>258.60000000000002</v>
      </c>
      <c r="C2589" t="str">
        <f>IFERROR(VLOOKUP(B2589,'Pre-Summary'!$DI$6:$DM$23,4,FALSE),"")</f>
        <v/>
      </c>
      <c r="D2589" s="10" t="str">
        <f>IFERROR(VLOOKUP(B2589,'Pre-Summary'!$AT$6:$AX$14,5,FALSE),D2588)</f>
        <v>Wolfe v3: went back to modified wolfe + EDTA and switched CuSO4 to CUCl2</v>
      </c>
      <c r="E2589" s="10" t="str">
        <f>IFERROR(VLOOKUP(B2589,'Pre-Summary'!$AT$6:$AX$15,4,FALSE),"")</f>
        <v/>
      </c>
      <c r="F2589">
        <f>IFERROR(VLOOKUP(B2589,'Pre-Summary'!$AL$6:$AQ$13,6,FALSE),F2588)</f>
        <v>5.9405263157894746E-2</v>
      </c>
      <c r="G2589" t="str">
        <f>IFERROR(VLOOKUP(B2589,'Pre-Summary'!$AE$6:$AJ$85,3,FALSE),"")</f>
        <v/>
      </c>
      <c r="H2589" t="str">
        <f>IFERROR(VLOOKUP(B2589,'Pre-Summary'!$AE$6:$AJ$85,4,FALSE),"")</f>
        <v/>
      </c>
      <c r="I2589" t="str">
        <f>IFERROR(VLOOKUP(B2589,'Pre-Summary'!$AE$6:$AJ$85,5,FALSE),"")</f>
        <v/>
      </c>
      <c r="J2589" s="45" t="str">
        <f>IFERROR(VLOOKUP(B2589,'Pre-Summary'!$AE$6:$AJ$85,6, FALSE),"")</f>
        <v/>
      </c>
      <c r="K2589" s="45" t="str">
        <f>IFERROR(VLOOKUP(B2589,'Pre-Summary'!$DE$6:$DG$61,3,FALSE),"")</f>
        <v/>
      </c>
      <c r="L2589" s="45" t="str">
        <f>IFERROR(VLOOKUP(B2589,'Pre-Summary'!$CU$6:$CW$36,3,FALSE),"")</f>
        <v/>
      </c>
      <c r="M2589" s="45" t="str">
        <f>IFERROR(VLOOKUP(B2589,'Pre-Summary'!$BW$6:$BY$58,2,FALSE),"")</f>
        <v/>
      </c>
      <c r="N2589" s="45" t="str">
        <f>IFERROR(VLOOKUP(B2589,'Pre-Summary'!$CD$6:$CF$64,2,FALSE),"")</f>
        <v/>
      </c>
      <c r="O2589" s="99">
        <f>IFERROR(VLOOKUP(B2589,'Pre-Summary'!$BO$6:$BQ$48,3, FALSE),O2588)</f>
        <v>1.508</v>
      </c>
      <c r="P2589" s="99">
        <f>IFERROR(VLOOKUP(B2589,'Pre-Summary'!$BS$6:$BU$35,3,FALSE),P2588)</f>
        <v>0.4</v>
      </c>
      <c r="Q2589" s="54">
        <f t="shared" si="120"/>
        <v>3.77</v>
      </c>
      <c r="R2589" s="53">
        <f>IFERROR(VLOOKUP(B2589,'Pre-Summary'!$BG$6:$BM$44,7,FALSE),R2590)</f>
        <v>0.10528059183238438</v>
      </c>
      <c r="S2589" s="53">
        <f>IFERROR(VLOOKUP(B2589,'Pre-Summary'!$BG$6:$BM$44,6,FALSE),S2590)</f>
        <v>0.10567591412599613</v>
      </c>
      <c r="T2589" s="45" t="str">
        <f>IFERROR(VLOOKUP(B2589,'Pre-Summary'!$Y$6:$AC$83, 3,FALSE),"")</f>
        <v/>
      </c>
      <c r="U2589" s="45" t="str">
        <f>IFERROR(VLOOKUP(B2589,'Pre-Summary'!$Y$6:$AC$83, 4,FALSE),"")</f>
        <v/>
      </c>
      <c r="V2589" t="str">
        <f>IFERROR(VLOOKUP(B2589,'Pre-Summary'!$Y$6:$AC$83, 5,FALSE),"")</f>
        <v/>
      </c>
      <c r="W2589" s="45" t="str">
        <f>IFERROR(VLOOKUP(B2589,'Pre-Summary'!$Y$6:$AD$83,6,FALSE),"")</f>
        <v/>
      </c>
      <c r="X2589" t="str">
        <f>IFERROR(VLOOKUP('Pre-Summary'!$DB$6:$DD$63,3,FALSE),"")</f>
        <v/>
      </c>
      <c r="Y2589" t="str">
        <f>IFERROR(VLOOKUP(B2589,'Pre-Summary'!$CR$6:$CT$36,3,FALSE),"")</f>
        <v/>
      </c>
      <c r="Z2589" s="45" t="str">
        <f>IFERROR(VLOOKUP(B2589,'Pre-Summary'!$BZ$6:$CB$63,2,FALSE),"")</f>
        <v/>
      </c>
      <c r="AA2589" s="45" t="str">
        <f>IFERROR(VLOOKUP(B2589,'Pre-Summary'!$CG$6:$CI$70,2,FALSE),"")</f>
        <v/>
      </c>
      <c r="AB2589" s="99">
        <f>IFERROR(VLOOKUP(B2589,'Pre-Summary'!$A$6:$P$178,9,FALSE),AB2590)</f>
        <v>0.44037364184945627</v>
      </c>
      <c r="AC2589" s="10">
        <f>IFERROR(VLOOKUP(Summary!B2589,'Pre-Summary'!$A$6:$P$184,5, FALSE)/100,AC2590)</f>
        <v>0.9629049999999999</v>
      </c>
      <c r="AD2589" s="10">
        <f>IFERROR(VLOOKUP(Summary!B2589,'Pre-Summary'!$A$6:$P$184,3, FALSE)/100,AD2590)</f>
        <v>3.0608333333333331E-2</v>
      </c>
      <c r="AE2589" s="10">
        <f>IFERROR(VLOOKUP(Summary!B2589,'Pre-Summary'!$A$6:$P$184,7, FALSE)/100,AE2590)</f>
        <v>6.4959999999999992E-3</v>
      </c>
      <c r="AF2589" s="99">
        <f t="shared" si="121"/>
        <v>1.3479103220942106E-2</v>
      </c>
      <c r="AG2589" s="99">
        <f t="shared" si="122"/>
        <v>2.8606671774540674E-3</v>
      </c>
      <c r="AH2589" s="10" t="str">
        <f>IFERROR(VLOOKUP(B2589,'Pre-Summary'!$AZ$6:$BE$65,3,FALSE),"")</f>
        <v/>
      </c>
      <c r="AI2589" s="10" t="str">
        <f>IFERROR(VLOOKUP(B2589,'Pre-Summary'!$AZ$6:$BE$65,5,FALSE),"")</f>
        <v/>
      </c>
      <c r="AJ2589" s="10" t="str">
        <f>IFERROR(VLOOKUP(B2589,'Pre-Summary'!$AZ$6:$BE$65,4,FALSE),"")</f>
        <v/>
      </c>
      <c r="AK2589" s="10" t="str">
        <f>IFERROR(VLOOKUP(B2589,'Pre-Summary'!$AZ$6:$BE$65,6,FALSE),"")</f>
        <v/>
      </c>
      <c r="AL2589" s="10" t="str">
        <f>IFERROR(VLOOKUP(B2589,'Pre-Summary'!$BG$6:$BL$44,3,FALSE),"")</f>
        <v/>
      </c>
      <c r="AM2589" s="10" t="str">
        <f>IFERROR(VLOOKUP(B2589,'Pre-Summary'!$BG$6:$BL$44,4,FALSE),"")</f>
        <v/>
      </c>
    </row>
    <row r="2590" spans="2:39" ht="15" customHeight="1" x14ac:dyDescent="0.3">
      <c r="B2590">
        <v>258.7</v>
      </c>
      <c r="C2590" t="str">
        <f>IFERROR(VLOOKUP(B2590,'Pre-Summary'!$DI$6:$DM$23,4,FALSE),"")</f>
        <v/>
      </c>
      <c r="D2590" s="10" t="str">
        <f>IFERROR(VLOOKUP(B2590,'Pre-Summary'!$AT$6:$AX$14,5,FALSE),D2589)</f>
        <v>Wolfe v3: went back to modified wolfe + EDTA and switched CuSO4 to CUCl2</v>
      </c>
      <c r="E2590" s="10" t="str">
        <f>IFERROR(VLOOKUP(B2590,'Pre-Summary'!$AT$6:$AX$15,4,FALSE),"")</f>
        <v/>
      </c>
      <c r="F2590">
        <f>IFERROR(VLOOKUP(B2590,'Pre-Summary'!$AL$6:$AQ$13,6,FALSE),F2589)</f>
        <v>5.9405263157894746E-2</v>
      </c>
      <c r="G2590" t="str">
        <f>IFERROR(VLOOKUP(B2590,'Pre-Summary'!$AE$6:$AJ$85,3,FALSE),"")</f>
        <v/>
      </c>
      <c r="H2590" t="str">
        <f>IFERROR(VLOOKUP(B2590,'Pre-Summary'!$AE$6:$AJ$85,4,FALSE),"")</f>
        <v/>
      </c>
      <c r="I2590" t="str">
        <f>IFERROR(VLOOKUP(B2590,'Pre-Summary'!$AE$6:$AJ$85,5,FALSE),"")</f>
        <v/>
      </c>
      <c r="J2590" s="45" t="str">
        <f>IFERROR(VLOOKUP(B2590,'Pre-Summary'!$AE$6:$AJ$85,6, FALSE),"")</f>
        <v/>
      </c>
      <c r="K2590" s="45" t="str">
        <f>IFERROR(VLOOKUP(B2590,'Pre-Summary'!$DE$6:$DG$61,3,FALSE),"")</f>
        <v/>
      </c>
      <c r="L2590" s="45" t="str">
        <f>IFERROR(VLOOKUP(B2590,'Pre-Summary'!$CU$6:$CW$36,3,FALSE),"")</f>
        <v/>
      </c>
      <c r="M2590" s="45" t="str">
        <f>IFERROR(VLOOKUP(B2590,'Pre-Summary'!$BW$6:$BY$58,2,FALSE),"")</f>
        <v/>
      </c>
      <c r="N2590" s="45" t="str">
        <f>IFERROR(VLOOKUP(B2590,'Pre-Summary'!$CD$6:$CF$64,2,FALSE),"")</f>
        <v/>
      </c>
      <c r="O2590" s="99">
        <f>IFERROR(VLOOKUP(B2590,'Pre-Summary'!$BO$6:$BQ$48,3, FALSE),O2589)</f>
        <v>1.508</v>
      </c>
      <c r="P2590" s="99">
        <f>IFERROR(VLOOKUP(B2590,'Pre-Summary'!$BS$6:$BU$35,3,FALSE),P2589)</f>
        <v>0.4</v>
      </c>
      <c r="Q2590" s="54">
        <f t="shared" si="120"/>
        <v>3.77</v>
      </c>
      <c r="R2590" s="53">
        <f>IFERROR(VLOOKUP(B2590,'Pre-Summary'!$BG$6:$BM$44,7,FALSE),R2591)</f>
        <v>0.10528059183238438</v>
      </c>
      <c r="S2590" s="53">
        <f>IFERROR(VLOOKUP(B2590,'Pre-Summary'!$BG$6:$BM$44,6,FALSE),S2591)</f>
        <v>0.10567591412599613</v>
      </c>
      <c r="T2590" s="45" t="str">
        <f>IFERROR(VLOOKUP(B2590,'Pre-Summary'!$Y$6:$AC$83, 3,FALSE),"")</f>
        <v/>
      </c>
      <c r="U2590" s="45" t="str">
        <f>IFERROR(VLOOKUP(B2590,'Pre-Summary'!$Y$6:$AC$83, 4,FALSE),"")</f>
        <v/>
      </c>
      <c r="V2590" t="str">
        <f>IFERROR(VLOOKUP(B2590,'Pre-Summary'!$Y$6:$AC$83, 5,FALSE),"")</f>
        <v/>
      </c>
      <c r="W2590" s="45" t="str">
        <f>IFERROR(VLOOKUP(B2590,'Pre-Summary'!$Y$6:$AD$83,6,FALSE),"")</f>
        <v/>
      </c>
      <c r="X2590" t="str">
        <f>IFERROR(VLOOKUP('Pre-Summary'!$DB$6:$DD$63,3,FALSE),"")</f>
        <v/>
      </c>
      <c r="Y2590" t="str">
        <f>IFERROR(VLOOKUP(B2590,'Pre-Summary'!$CR$6:$CT$36,3,FALSE),"")</f>
        <v/>
      </c>
      <c r="Z2590" s="45" t="str">
        <f>IFERROR(VLOOKUP(B2590,'Pre-Summary'!$BZ$6:$CB$63,2,FALSE),"")</f>
        <v/>
      </c>
      <c r="AA2590" s="45" t="str">
        <f>IFERROR(VLOOKUP(B2590,'Pre-Summary'!$CG$6:$CI$70,2,FALSE),"")</f>
        <v/>
      </c>
      <c r="AB2590" s="99">
        <f>IFERROR(VLOOKUP(B2590,'Pre-Summary'!$A$6:$P$178,9,FALSE),AB2591)</f>
        <v>0.44037364184945627</v>
      </c>
      <c r="AC2590" s="10">
        <f>IFERROR(VLOOKUP(Summary!B2590,'Pre-Summary'!$A$6:$P$184,5, FALSE)/100,AC2591)</f>
        <v>0.9629049999999999</v>
      </c>
      <c r="AD2590" s="10">
        <f>IFERROR(VLOOKUP(Summary!B2590,'Pre-Summary'!$A$6:$P$184,3, FALSE)/100,AD2591)</f>
        <v>3.0608333333333331E-2</v>
      </c>
      <c r="AE2590" s="10">
        <f>IFERROR(VLOOKUP(Summary!B2590,'Pre-Summary'!$A$6:$P$184,7, FALSE)/100,AE2591)</f>
        <v>6.4959999999999992E-3</v>
      </c>
      <c r="AF2590" s="99">
        <f t="shared" si="121"/>
        <v>1.3479103220942106E-2</v>
      </c>
      <c r="AG2590" s="99">
        <f t="shared" si="122"/>
        <v>2.8606671774540674E-3</v>
      </c>
      <c r="AH2590" s="10" t="str">
        <f>IFERROR(VLOOKUP(B2590,'Pre-Summary'!$AZ$6:$BE$65,3,FALSE),"")</f>
        <v/>
      </c>
      <c r="AI2590" s="10" t="str">
        <f>IFERROR(VLOOKUP(B2590,'Pre-Summary'!$AZ$6:$BE$65,5,FALSE),"")</f>
        <v/>
      </c>
      <c r="AJ2590" s="10" t="str">
        <f>IFERROR(VLOOKUP(B2590,'Pre-Summary'!$AZ$6:$BE$65,4,FALSE),"")</f>
        <v/>
      </c>
      <c r="AK2590" s="10" t="str">
        <f>IFERROR(VLOOKUP(B2590,'Pre-Summary'!$AZ$6:$BE$65,6,FALSE),"")</f>
        <v/>
      </c>
      <c r="AL2590" s="10" t="str">
        <f>IFERROR(VLOOKUP(B2590,'Pre-Summary'!$BG$6:$BL$44,3,FALSE),"")</f>
        <v/>
      </c>
      <c r="AM2590" s="10" t="str">
        <f>IFERROR(VLOOKUP(B2590,'Pre-Summary'!$BG$6:$BL$44,4,FALSE),"")</f>
        <v/>
      </c>
    </row>
    <row r="2591" spans="2:39" ht="15" customHeight="1" x14ac:dyDescent="0.3">
      <c r="B2591">
        <v>258.8</v>
      </c>
      <c r="C2591" t="str">
        <f>IFERROR(VLOOKUP(B2591,'Pre-Summary'!$DI$6:$DM$23,4,FALSE),"")</f>
        <v/>
      </c>
      <c r="D2591" s="10" t="str">
        <f>IFERROR(VLOOKUP(B2591,'Pre-Summary'!$AT$6:$AX$14,5,FALSE),D2590)</f>
        <v>Wolfe v3: went back to modified wolfe + EDTA and switched CuSO4 to CUCl2</v>
      </c>
      <c r="E2591" s="10" t="str">
        <f>IFERROR(VLOOKUP(B2591,'Pre-Summary'!$AT$6:$AX$15,4,FALSE),"")</f>
        <v/>
      </c>
      <c r="F2591">
        <f>IFERROR(VLOOKUP(B2591,'Pre-Summary'!$AL$6:$AQ$13,6,FALSE),F2590)</f>
        <v>5.9405263157894746E-2</v>
      </c>
      <c r="G2591" t="str">
        <f>IFERROR(VLOOKUP(B2591,'Pre-Summary'!$AE$6:$AJ$85,3,FALSE),"")</f>
        <v/>
      </c>
      <c r="H2591" t="str">
        <f>IFERROR(VLOOKUP(B2591,'Pre-Summary'!$AE$6:$AJ$85,4,FALSE),"")</f>
        <v/>
      </c>
      <c r="I2591" t="str">
        <f>IFERROR(VLOOKUP(B2591,'Pre-Summary'!$AE$6:$AJ$85,5,FALSE),"")</f>
        <v/>
      </c>
      <c r="J2591" s="45" t="str">
        <f>IFERROR(VLOOKUP(B2591,'Pre-Summary'!$AE$6:$AJ$85,6, FALSE),"")</f>
        <v/>
      </c>
      <c r="K2591" s="45" t="str">
        <f>IFERROR(VLOOKUP(B2591,'Pre-Summary'!$DE$6:$DG$61,3,FALSE),"")</f>
        <v/>
      </c>
      <c r="L2591" s="45" t="str">
        <f>IFERROR(VLOOKUP(B2591,'Pre-Summary'!$CU$6:$CW$36,3,FALSE),"")</f>
        <v/>
      </c>
      <c r="M2591" s="45" t="str">
        <f>IFERROR(VLOOKUP(B2591,'Pre-Summary'!$BW$6:$BY$58,2,FALSE),"")</f>
        <v/>
      </c>
      <c r="N2591" s="45" t="str">
        <f>IFERROR(VLOOKUP(B2591,'Pre-Summary'!$CD$6:$CF$64,2,FALSE),"")</f>
        <v/>
      </c>
      <c r="O2591" s="99">
        <f>IFERROR(VLOOKUP(B2591,'Pre-Summary'!$BO$6:$BQ$48,3, FALSE),O2590)</f>
        <v>1.508</v>
      </c>
      <c r="P2591" s="99">
        <f>IFERROR(VLOOKUP(B2591,'Pre-Summary'!$BS$6:$BU$35,3,FALSE),P2590)</f>
        <v>0.4</v>
      </c>
      <c r="Q2591" s="54">
        <f t="shared" si="120"/>
        <v>3.77</v>
      </c>
      <c r="R2591" s="53">
        <f>IFERROR(VLOOKUP(B2591,'Pre-Summary'!$BG$6:$BM$44,7,FALSE),R2592)</f>
        <v>0.10528059183238438</v>
      </c>
      <c r="S2591" s="53">
        <f>IFERROR(VLOOKUP(B2591,'Pre-Summary'!$BG$6:$BM$44,6,FALSE),S2592)</f>
        <v>0.10567591412599613</v>
      </c>
      <c r="T2591" s="45" t="str">
        <f>IFERROR(VLOOKUP(B2591,'Pre-Summary'!$Y$6:$AC$83, 3,FALSE),"")</f>
        <v/>
      </c>
      <c r="U2591" s="45" t="str">
        <f>IFERROR(VLOOKUP(B2591,'Pre-Summary'!$Y$6:$AC$83, 4,FALSE),"")</f>
        <v/>
      </c>
      <c r="V2591" t="str">
        <f>IFERROR(VLOOKUP(B2591,'Pre-Summary'!$Y$6:$AC$83, 5,FALSE),"")</f>
        <v/>
      </c>
      <c r="W2591" s="45" t="str">
        <f>IFERROR(VLOOKUP(B2591,'Pre-Summary'!$Y$6:$AD$83,6,FALSE),"")</f>
        <v/>
      </c>
      <c r="X2591" t="str">
        <f>IFERROR(VLOOKUP('Pre-Summary'!$DB$6:$DD$63,3,FALSE),"")</f>
        <v/>
      </c>
      <c r="Y2591" t="str">
        <f>IFERROR(VLOOKUP(B2591,'Pre-Summary'!$CR$6:$CT$36,3,FALSE),"")</f>
        <v/>
      </c>
      <c r="Z2591" s="45" t="str">
        <f>IFERROR(VLOOKUP(B2591,'Pre-Summary'!$BZ$6:$CB$63,2,FALSE),"")</f>
        <v/>
      </c>
      <c r="AA2591" s="45" t="str">
        <f>IFERROR(VLOOKUP(B2591,'Pre-Summary'!$CG$6:$CI$70,2,FALSE),"")</f>
        <v/>
      </c>
      <c r="AB2591" s="99">
        <f>IFERROR(VLOOKUP(B2591,'Pre-Summary'!$A$6:$P$178,9,FALSE),AB2592)</f>
        <v>0.44037364184945627</v>
      </c>
      <c r="AC2591" s="10">
        <f>IFERROR(VLOOKUP(Summary!B2591,'Pre-Summary'!$A$6:$P$184,5, FALSE)/100,AC2592)</f>
        <v>0.9629049999999999</v>
      </c>
      <c r="AD2591" s="10">
        <f>IFERROR(VLOOKUP(Summary!B2591,'Pre-Summary'!$A$6:$P$184,3, FALSE)/100,AD2592)</f>
        <v>3.0608333333333331E-2</v>
      </c>
      <c r="AE2591" s="10">
        <f>IFERROR(VLOOKUP(Summary!B2591,'Pre-Summary'!$A$6:$P$184,7, FALSE)/100,AE2592)</f>
        <v>6.4959999999999992E-3</v>
      </c>
      <c r="AF2591" s="99">
        <f t="shared" si="121"/>
        <v>1.3479103220942106E-2</v>
      </c>
      <c r="AG2591" s="99">
        <f t="shared" si="122"/>
        <v>2.8606671774540674E-3</v>
      </c>
      <c r="AH2591" s="10" t="str">
        <f>IFERROR(VLOOKUP(B2591,'Pre-Summary'!$AZ$6:$BE$65,3,FALSE),"")</f>
        <v/>
      </c>
      <c r="AI2591" s="10" t="str">
        <f>IFERROR(VLOOKUP(B2591,'Pre-Summary'!$AZ$6:$BE$65,5,FALSE),"")</f>
        <v/>
      </c>
      <c r="AJ2591" s="10" t="str">
        <f>IFERROR(VLOOKUP(B2591,'Pre-Summary'!$AZ$6:$BE$65,4,FALSE),"")</f>
        <v/>
      </c>
      <c r="AK2591" s="10" t="str">
        <f>IFERROR(VLOOKUP(B2591,'Pre-Summary'!$AZ$6:$BE$65,6,FALSE),"")</f>
        <v/>
      </c>
      <c r="AL2591" s="10" t="str">
        <f>IFERROR(VLOOKUP(B2591,'Pre-Summary'!$BG$6:$BL$44,3,FALSE),"")</f>
        <v/>
      </c>
      <c r="AM2591" s="10" t="str">
        <f>IFERROR(VLOOKUP(B2591,'Pre-Summary'!$BG$6:$BL$44,4,FALSE),"")</f>
        <v/>
      </c>
    </row>
    <row r="2592" spans="2:39" ht="15" customHeight="1" x14ac:dyDescent="0.3">
      <c r="B2592">
        <v>258.89999999999998</v>
      </c>
      <c r="C2592" t="str">
        <f>IFERROR(VLOOKUP(B2592,'Pre-Summary'!$DI$6:$DM$23,4,FALSE),"")</f>
        <v/>
      </c>
      <c r="D2592" s="10" t="str">
        <f>IFERROR(VLOOKUP(B2592,'Pre-Summary'!$AT$6:$AX$14,5,FALSE),D2591)</f>
        <v>Wolfe v3: went back to modified wolfe + EDTA and switched CuSO4 to CUCl2</v>
      </c>
      <c r="E2592" s="10" t="str">
        <f>IFERROR(VLOOKUP(B2592,'Pre-Summary'!$AT$6:$AX$15,4,FALSE),"")</f>
        <v/>
      </c>
      <c r="F2592">
        <f>IFERROR(VLOOKUP(B2592,'Pre-Summary'!$AL$6:$AQ$13,6,FALSE),F2591)</f>
        <v>5.9405263157894746E-2</v>
      </c>
      <c r="G2592" t="str">
        <f>IFERROR(VLOOKUP(B2592,'Pre-Summary'!$AE$6:$AJ$85,3,FALSE),"")</f>
        <v/>
      </c>
      <c r="H2592" t="str">
        <f>IFERROR(VLOOKUP(B2592,'Pre-Summary'!$AE$6:$AJ$85,4,FALSE),"")</f>
        <v/>
      </c>
      <c r="I2592" t="str">
        <f>IFERROR(VLOOKUP(B2592,'Pre-Summary'!$AE$6:$AJ$85,5,FALSE),"")</f>
        <v/>
      </c>
      <c r="J2592" s="45" t="str">
        <f>IFERROR(VLOOKUP(B2592,'Pre-Summary'!$AE$6:$AJ$85,6, FALSE),"")</f>
        <v/>
      </c>
      <c r="K2592" s="45" t="str">
        <f>IFERROR(VLOOKUP(B2592,'Pre-Summary'!$DE$6:$DG$61,3,FALSE),"")</f>
        <v/>
      </c>
      <c r="L2592" s="45" t="str">
        <f>IFERROR(VLOOKUP(B2592,'Pre-Summary'!$CU$6:$CW$36,3,FALSE),"")</f>
        <v/>
      </c>
      <c r="M2592" s="45" t="str">
        <f>IFERROR(VLOOKUP(B2592,'Pre-Summary'!$BW$6:$BY$58,2,FALSE),"")</f>
        <v/>
      </c>
      <c r="N2592" s="45" t="str">
        <f>IFERROR(VLOOKUP(B2592,'Pre-Summary'!$CD$6:$CF$64,2,FALSE),"")</f>
        <v/>
      </c>
      <c r="O2592" s="99">
        <f>IFERROR(VLOOKUP(B2592,'Pre-Summary'!$BO$6:$BQ$48,3, FALSE),O2591)</f>
        <v>1.508</v>
      </c>
      <c r="P2592" s="99">
        <f>IFERROR(VLOOKUP(B2592,'Pre-Summary'!$BS$6:$BU$35,3,FALSE),P2591)</f>
        <v>0.4</v>
      </c>
      <c r="Q2592" s="54">
        <f t="shared" si="120"/>
        <v>3.77</v>
      </c>
      <c r="R2592" s="53">
        <f>IFERROR(VLOOKUP(B2592,'Pre-Summary'!$BG$6:$BM$44,7,FALSE),R2593)</f>
        <v>0.10528059183238438</v>
      </c>
      <c r="S2592" s="53">
        <f>IFERROR(VLOOKUP(B2592,'Pre-Summary'!$BG$6:$BM$44,6,FALSE),S2593)</f>
        <v>0.10567591412599613</v>
      </c>
      <c r="T2592" s="45" t="str">
        <f>IFERROR(VLOOKUP(B2592,'Pre-Summary'!$Y$6:$AC$83, 3,FALSE),"")</f>
        <v/>
      </c>
      <c r="U2592" s="45" t="str">
        <f>IFERROR(VLOOKUP(B2592,'Pre-Summary'!$Y$6:$AC$83, 4,FALSE),"")</f>
        <v/>
      </c>
      <c r="V2592" t="str">
        <f>IFERROR(VLOOKUP(B2592,'Pre-Summary'!$Y$6:$AC$83, 5,FALSE),"")</f>
        <v/>
      </c>
      <c r="W2592" s="45" t="str">
        <f>IFERROR(VLOOKUP(B2592,'Pre-Summary'!$Y$6:$AD$83,6,FALSE),"")</f>
        <v/>
      </c>
      <c r="X2592" t="str">
        <f>IFERROR(VLOOKUP('Pre-Summary'!$DB$6:$DD$63,3,FALSE),"")</f>
        <v/>
      </c>
      <c r="Y2592" t="str">
        <f>IFERROR(VLOOKUP(B2592,'Pre-Summary'!$CR$6:$CT$36,3,FALSE),"")</f>
        <v/>
      </c>
      <c r="Z2592" s="45" t="str">
        <f>IFERROR(VLOOKUP(B2592,'Pre-Summary'!$BZ$6:$CB$63,2,FALSE),"")</f>
        <v/>
      </c>
      <c r="AA2592" s="45" t="str">
        <f>IFERROR(VLOOKUP(B2592,'Pre-Summary'!$CG$6:$CI$70,2,FALSE),"")</f>
        <v/>
      </c>
      <c r="AB2592" s="99">
        <f>IFERROR(VLOOKUP(B2592,'Pre-Summary'!$A$6:$P$178,9,FALSE),AB2593)</f>
        <v>0.44037364184945627</v>
      </c>
      <c r="AC2592" s="10">
        <f>IFERROR(VLOOKUP(Summary!B2592,'Pre-Summary'!$A$6:$P$184,5, FALSE)/100,AC2593)</f>
        <v>0.9629049999999999</v>
      </c>
      <c r="AD2592" s="10">
        <f>IFERROR(VLOOKUP(Summary!B2592,'Pre-Summary'!$A$6:$P$184,3, FALSE)/100,AD2593)</f>
        <v>3.0608333333333331E-2</v>
      </c>
      <c r="AE2592" s="10">
        <f>IFERROR(VLOOKUP(Summary!B2592,'Pre-Summary'!$A$6:$P$184,7, FALSE)/100,AE2593)</f>
        <v>6.4959999999999992E-3</v>
      </c>
      <c r="AF2592" s="99">
        <f t="shared" si="121"/>
        <v>1.3479103220942106E-2</v>
      </c>
      <c r="AG2592" s="99">
        <f t="shared" si="122"/>
        <v>2.8606671774540674E-3</v>
      </c>
      <c r="AH2592" s="10" t="str">
        <f>IFERROR(VLOOKUP(B2592,'Pre-Summary'!$AZ$6:$BE$65,3,FALSE),"")</f>
        <v/>
      </c>
      <c r="AI2592" s="10" t="str">
        <f>IFERROR(VLOOKUP(B2592,'Pre-Summary'!$AZ$6:$BE$65,5,FALSE),"")</f>
        <v/>
      </c>
      <c r="AJ2592" s="10" t="str">
        <f>IFERROR(VLOOKUP(B2592,'Pre-Summary'!$AZ$6:$BE$65,4,FALSE),"")</f>
        <v/>
      </c>
      <c r="AK2592" s="10" t="str">
        <f>IFERROR(VLOOKUP(B2592,'Pre-Summary'!$AZ$6:$BE$65,6,FALSE),"")</f>
        <v/>
      </c>
      <c r="AL2592" s="10" t="str">
        <f>IFERROR(VLOOKUP(B2592,'Pre-Summary'!$BG$6:$BL$44,3,FALSE),"")</f>
        <v/>
      </c>
      <c r="AM2592" s="10" t="str">
        <f>IFERROR(VLOOKUP(B2592,'Pre-Summary'!$BG$6:$BL$44,4,FALSE),"")</f>
        <v/>
      </c>
    </row>
    <row r="2593" spans="2:39" ht="15" customHeight="1" x14ac:dyDescent="0.3">
      <c r="B2593">
        <v>259</v>
      </c>
      <c r="C2593" t="str">
        <f>IFERROR(VLOOKUP(B2593,'Pre-Summary'!$DI$6:$DM$23,4,FALSE),"")</f>
        <v/>
      </c>
      <c r="D2593" s="10" t="str">
        <f>IFERROR(VLOOKUP(B2593,'Pre-Summary'!$AT$6:$AX$14,5,FALSE),D2592)</f>
        <v>Wolfe v3: went back to modified wolfe + EDTA and switched CuSO4 to CUCl2</v>
      </c>
      <c r="E2593" s="10" t="str">
        <f>IFERROR(VLOOKUP(B2593,'Pre-Summary'!$AT$6:$AX$15,4,FALSE),"")</f>
        <v/>
      </c>
      <c r="F2593">
        <f>IFERROR(VLOOKUP(B2593,'Pre-Summary'!$AL$6:$AQ$13,6,FALSE),F2592)</f>
        <v>5.9405263157894746E-2</v>
      </c>
      <c r="G2593" t="str">
        <f>IFERROR(VLOOKUP(B2593,'Pre-Summary'!$AE$6:$AJ$85,3,FALSE),"")</f>
        <v/>
      </c>
      <c r="H2593" t="str">
        <f>IFERROR(VLOOKUP(B2593,'Pre-Summary'!$AE$6:$AJ$85,4,FALSE),"")</f>
        <v/>
      </c>
      <c r="I2593" t="str">
        <f>IFERROR(VLOOKUP(B2593,'Pre-Summary'!$AE$6:$AJ$85,5,FALSE),"")</f>
        <v/>
      </c>
      <c r="J2593" s="45" t="str">
        <f>IFERROR(VLOOKUP(B2593,'Pre-Summary'!$AE$6:$AJ$85,6, FALSE),"")</f>
        <v/>
      </c>
      <c r="K2593" s="45" t="str">
        <f>IFERROR(VLOOKUP(B2593,'Pre-Summary'!$DE$6:$DG$61,3,FALSE),"")</f>
        <v/>
      </c>
      <c r="L2593" s="45" t="str">
        <f>IFERROR(VLOOKUP(B2593,'Pre-Summary'!$CU$6:$CW$36,3,FALSE),"")</f>
        <v/>
      </c>
      <c r="M2593" s="45" t="str">
        <f>IFERROR(VLOOKUP(B2593,'Pre-Summary'!$BW$6:$BY$58,2,FALSE),"")</f>
        <v/>
      </c>
      <c r="N2593" s="45" t="str">
        <f>IFERROR(VLOOKUP(B2593,'Pre-Summary'!$CD$6:$CF$64,2,FALSE),"")</f>
        <v/>
      </c>
      <c r="O2593" s="99">
        <f>IFERROR(VLOOKUP(B2593,'Pre-Summary'!$BO$6:$BQ$48,3, FALSE),O2592)</f>
        <v>1.508</v>
      </c>
      <c r="P2593" s="99">
        <f>IFERROR(VLOOKUP(B2593,'Pre-Summary'!$BS$6:$BU$35,3,FALSE),P2592)</f>
        <v>0.4</v>
      </c>
      <c r="Q2593" s="54">
        <f t="shared" si="120"/>
        <v>3.77</v>
      </c>
      <c r="R2593" s="53">
        <f>IFERROR(VLOOKUP(B2593,'Pre-Summary'!$BG$6:$BM$44,7,FALSE),R2594)</f>
        <v>0.10528059183238438</v>
      </c>
      <c r="S2593" s="53">
        <f>IFERROR(VLOOKUP(B2593,'Pre-Summary'!$BG$6:$BM$44,6,FALSE),S2594)</f>
        <v>0.10567591412599613</v>
      </c>
      <c r="T2593" s="45" t="str">
        <f>IFERROR(VLOOKUP(B2593,'Pre-Summary'!$Y$6:$AC$83, 3,FALSE),"")</f>
        <v/>
      </c>
      <c r="U2593" s="45" t="str">
        <f>IFERROR(VLOOKUP(B2593,'Pre-Summary'!$Y$6:$AC$83, 4,FALSE),"")</f>
        <v/>
      </c>
      <c r="V2593" t="str">
        <f>IFERROR(VLOOKUP(B2593,'Pre-Summary'!$Y$6:$AC$83, 5,FALSE),"")</f>
        <v/>
      </c>
      <c r="W2593" s="45" t="str">
        <f>IFERROR(VLOOKUP(B2593,'Pre-Summary'!$Y$6:$AD$83,6,FALSE),"")</f>
        <v/>
      </c>
      <c r="X2593" t="str">
        <f>IFERROR(VLOOKUP('Pre-Summary'!$DB$6:$DD$63,3,FALSE),"")</f>
        <v/>
      </c>
      <c r="Y2593" t="str">
        <f>IFERROR(VLOOKUP(B2593,'Pre-Summary'!$CR$6:$CT$36,3,FALSE),"")</f>
        <v/>
      </c>
      <c r="Z2593" s="45" t="str">
        <f>IFERROR(VLOOKUP(B2593,'Pre-Summary'!$BZ$6:$CB$63,2,FALSE),"")</f>
        <v/>
      </c>
      <c r="AA2593" s="45" t="str">
        <f>IFERROR(VLOOKUP(B2593,'Pre-Summary'!$CG$6:$CI$70,2,FALSE),"")</f>
        <v/>
      </c>
      <c r="AB2593" s="99">
        <f>IFERROR(VLOOKUP(B2593,'Pre-Summary'!$A$6:$P$178,9,FALSE),AB2594)</f>
        <v>0.44037364184945627</v>
      </c>
      <c r="AC2593" s="10">
        <f>IFERROR(VLOOKUP(Summary!B2593,'Pre-Summary'!$A$6:$P$184,5, FALSE)/100,AC2594)</f>
        <v>0.9629049999999999</v>
      </c>
      <c r="AD2593" s="10">
        <f>IFERROR(VLOOKUP(Summary!B2593,'Pre-Summary'!$A$6:$P$184,3, FALSE)/100,AD2594)</f>
        <v>3.0608333333333331E-2</v>
      </c>
      <c r="AE2593" s="10">
        <f>IFERROR(VLOOKUP(Summary!B2593,'Pre-Summary'!$A$6:$P$184,7, FALSE)/100,AE2594)</f>
        <v>6.4959999999999992E-3</v>
      </c>
      <c r="AF2593" s="99">
        <f t="shared" si="121"/>
        <v>1.3479103220942106E-2</v>
      </c>
      <c r="AG2593" s="99">
        <f t="shared" si="122"/>
        <v>2.8606671774540674E-3</v>
      </c>
      <c r="AH2593" s="10" t="str">
        <f>IFERROR(VLOOKUP(B2593,'Pre-Summary'!$AZ$6:$BE$65,3,FALSE),"")</f>
        <v/>
      </c>
      <c r="AI2593" s="10" t="str">
        <f>IFERROR(VLOOKUP(B2593,'Pre-Summary'!$AZ$6:$BE$65,5,FALSE),"")</f>
        <v/>
      </c>
      <c r="AJ2593" s="10" t="str">
        <f>IFERROR(VLOOKUP(B2593,'Pre-Summary'!$AZ$6:$BE$65,4,FALSE),"")</f>
        <v/>
      </c>
      <c r="AK2593" s="10" t="str">
        <f>IFERROR(VLOOKUP(B2593,'Pre-Summary'!$AZ$6:$BE$65,6,FALSE),"")</f>
        <v/>
      </c>
      <c r="AL2593" s="10" t="str">
        <f>IFERROR(VLOOKUP(B2593,'Pre-Summary'!$BG$6:$BL$44,3,FALSE),"")</f>
        <v/>
      </c>
      <c r="AM2593" s="10" t="str">
        <f>IFERROR(VLOOKUP(B2593,'Pre-Summary'!$BG$6:$BL$44,4,FALSE),"")</f>
        <v/>
      </c>
    </row>
    <row r="2594" spans="2:39" ht="15" customHeight="1" x14ac:dyDescent="0.3">
      <c r="B2594">
        <v>259.10000000000002</v>
      </c>
      <c r="C2594" t="str">
        <f>IFERROR(VLOOKUP(B2594,'Pre-Summary'!$DI$6:$DM$23,4,FALSE),"")</f>
        <v/>
      </c>
      <c r="D2594" s="10" t="str">
        <f>IFERROR(VLOOKUP(B2594,'Pre-Summary'!$AT$6:$AX$14,5,FALSE),D2593)</f>
        <v>Wolfe v3: went back to modified wolfe + EDTA and switched CuSO4 to CUCl2</v>
      </c>
      <c r="E2594" s="10" t="str">
        <f>IFERROR(VLOOKUP(B2594,'Pre-Summary'!$AT$6:$AX$15,4,FALSE),"")</f>
        <v/>
      </c>
      <c r="F2594">
        <f>IFERROR(VLOOKUP(B2594,'Pre-Summary'!$AL$6:$AQ$13,6,FALSE),F2593)</f>
        <v>5.9405263157894746E-2</v>
      </c>
      <c r="G2594" t="str">
        <f>IFERROR(VLOOKUP(B2594,'Pre-Summary'!$AE$6:$AJ$85,3,FALSE),"")</f>
        <v/>
      </c>
      <c r="H2594" t="str">
        <f>IFERROR(VLOOKUP(B2594,'Pre-Summary'!$AE$6:$AJ$85,4,FALSE),"")</f>
        <v/>
      </c>
      <c r="I2594" t="str">
        <f>IFERROR(VLOOKUP(B2594,'Pre-Summary'!$AE$6:$AJ$85,5,FALSE),"")</f>
        <v/>
      </c>
      <c r="J2594" s="45" t="str">
        <f>IFERROR(VLOOKUP(B2594,'Pre-Summary'!$AE$6:$AJ$85,6, FALSE),"")</f>
        <v/>
      </c>
      <c r="K2594" s="45" t="str">
        <f>IFERROR(VLOOKUP(B2594,'Pre-Summary'!$DE$6:$DG$61,3,FALSE),"")</f>
        <v/>
      </c>
      <c r="L2594" s="45" t="str">
        <f>IFERROR(VLOOKUP(B2594,'Pre-Summary'!$CU$6:$CW$36,3,FALSE),"")</f>
        <v/>
      </c>
      <c r="M2594" s="45" t="str">
        <f>IFERROR(VLOOKUP(B2594,'Pre-Summary'!$BW$6:$BY$58,2,FALSE),"")</f>
        <v/>
      </c>
      <c r="N2594" s="45" t="str">
        <f>IFERROR(VLOOKUP(B2594,'Pre-Summary'!$CD$6:$CF$64,2,FALSE),"")</f>
        <v/>
      </c>
      <c r="O2594" s="99">
        <f>IFERROR(VLOOKUP(B2594,'Pre-Summary'!$BO$6:$BQ$48,3, FALSE),O2593)</f>
        <v>1.83</v>
      </c>
      <c r="P2594" s="99">
        <f>IFERROR(VLOOKUP(B2594,'Pre-Summary'!$BS$6:$BU$35,3,FALSE),P2593)</f>
        <v>0.46200000000000002</v>
      </c>
      <c r="Q2594" s="54">
        <f t="shared" si="120"/>
        <v>3.9610389610389611</v>
      </c>
      <c r="R2594" s="53">
        <f>IFERROR(VLOOKUP(B2594,'Pre-Summary'!$BG$6:$BM$44,7,FALSE),R2595)</f>
        <v>0.10528059183238438</v>
      </c>
      <c r="S2594" s="53">
        <f>IFERROR(VLOOKUP(B2594,'Pre-Summary'!$BG$6:$BM$44,6,FALSE),S2595)</f>
        <v>0.10567591412599613</v>
      </c>
      <c r="T2594" s="45" t="str">
        <f>IFERROR(VLOOKUP(B2594,'Pre-Summary'!$Y$6:$AC$83, 3,FALSE),"")</f>
        <v/>
      </c>
      <c r="U2594" s="45" t="str">
        <f>IFERROR(VLOOKUP(B2594,'Pre-Summary'!$Y$6:$AC$83, 4,FALSE),"")</f>
        <v/>
      </c>
      <c r="V2594" t="str">
        <f>IFERROR(VLOOKUP(B2594,'Pre-Summary'!$Y$6:$AC$83, 5,FALSE),"")</f>
        <v/>
      </c>
      <c r="W2594" s="45" t="str">
        <f>IFERROR(VLOOKUP(B2594,'Pre-Summary'!$Y$6:$AD$83,6,FALSE),"")</f>
        <v/>
      </c>
      <c r="X2594" t="str">
        <f>IFERROR(VLOOKUP('Pre-Summary'!$DB$6:$DD$63,3,FALSE),"")</f>
        <v/>
      </c>
      <c r="Y2594" t="str">
        <f>IFERROR(VLOOKUP(B2594,'Pre-Summary'!$CR$6:$CT$36,3,FALSE),"")</f>
        <v/>
      </c>
      <c r="Z2594" s="45" t="str">
        <f>IFERROR(VLOOKUP(B2594,'Pre-Summary'!$BZ$6:$CB$63,2,FALSE),"")</f>
        <v/>
      </c>
      <c r="AA2594" s="45" t="str">
        <f>IFERROR(VLOOKUP(B2594,'Pre-Summary'!$CG$6:$CI$70,2,FALSE),"")</f>
        <v/>
      </c>
      <c r="AB2594" s="99">
        <f>IFERROR(VLOOKUP(B2594,'Pre-Summary'!$A$6:$P$178,9,FALSE),AB2595)</f>
        <v>0.44037364184945627</v>
      </c>
      <c r="AC2594" s="10">
        <f>IFERROR(VLOOKUP(Summary!B2594,'Pre-Summary'!$A$6:$P$184,5, FALSE)/100,AC2595)</f>
        <v>0.9629049999999999</v>
      </c>
      <c r="AD2594" s="10">
        <f>IFERROR(VLOOKUP(Summary!B2594,'Pre-Summary'!$A$6:$P$184,3, FALSE)/100,AD2595)</f>
        <v>3.0608333333333331E-2</v>
      </c>
      <c r="AE2594" s="10">
        <f>IFERROR(VLOOKUP(Summary!B2594,'Pre-Summary'!$A$6:$P$184,7, FALSE)/100,AE2595)</f>
        <v>6.4959999999999992E-3</v>
      </c>
      <c r="AF2594" s="99">
        <f t="shared" si="121"/>
        <v>1.3479103220942106E-2</v>
      </c>
      <c r="AG2594" s="99">
        <f t="shared" si="122"/>
        <v>2.8606671774540674E-3</v>
      </c>
      <c r="AH2594" s="10" t="str">
        <f>IFERROR(VLOOKUP(B2594,'Pre-Summary'!$AZ$6:$BE$65,3,FALSE),"")</f>
        <v/>
      </c>
      <c r="AI2594" s="10" t="str">
        <f>IFERROR(VLOOKUP(B2594,'Pre-Summary'!$AZ$6:$BE$65,5,FALSE),"")</f>
        <v/>
      </c>
      <c r="AJ2594" s="10" t="str">
        <f>IFERROR(VLOOKUP(B2594,'Pre-Summary'!$AZ$6:$BE$65,4,FALSE),"")</f>
        <v/>
      </c>
      <c r="AK2594" s="10" t="str">
        <f>IFERROR(VLOOKUP(B2594,'Pre-Summary'!$AZ$6:$BE$65,6,FALSE),"")</f>
        <v/>
      </c>
      <c r="AL2594" s="10" t="str">
        <f>IFERROR(VLOOKUP(B2594,'Pre-Summary'!$BG$6:$BL$44,3,FALSE),"")</f>
        <v/>
      </c>
      <c r="AM2594" s="10" t="str">
        <f>IFERROR(VLOOKUP(B2594,'Pre-Summary'!$BG$6:$BL$44,4,FALSE),"")</f>
        <v/>
      </c>
    </row>
    <row r="2595" spans="2:39" ht="15" customHeight="1" x14ac:dyDescent="0.3">
      <c r="B2595">
        <v>259.2</v>
      </c>
      <c r="C2595" t="str">
        <f>IFERROR(VLOOKUP(B2595,'Pre-Summary'!$DI$6:$DM$23,4,FALSE),"")</f>
        <v/>
      </c>
      <c r="D2595" s="10" t="str">
        <f>IFERROR(VLOOKUP(B2595,'Pre-Summary'!$AT$6:$AX$14,5,FALSE),D2594)</f>
        <v>Wolfe v3: went back to modified wolfe + EDTA and switched CuSO4 to CUCl2</v>
      </c>
      <c r="E2595" s="10" t="str">
        <f>IFERROR(VLOOKUP(B2595,'Pre-Summary'!$AT$6:$AX$15,4,FALSE),"")</f>
        <v/>
      </c>
      <c r="F2595">
        <f>IFERROR(VLOOKUP(B2595,'Pre-Summary'!$AL$6:$AQ$13,6,FALSE),F2594)</f>
        <v>5.9405263157894746E-2</v>
      </c>
      <c r="G2595" t="str">
        <f>IFERROR(VLOOKUP(B2595,'Pre-Summary'!$AE$6:$AJ$85,3,FALSE),"")</f>
        <v/>
      </c>
      <c r="H2595" t="str">
        <f>IFERROR(VLOOKUP(B2595,'Pre-Summary'!$AE$6:$AJ$85,4,FALSE),"")</f>
        <v/>
      </c>
      <c r="I2595" t="str">
        <f>IFERROR(VLOOKUP(B2595,'Pre-Summary'!$AE$6:$AJ$85,5,FALSE),"")</f>
        <v/>
      </c>
      <c r="J2595" s="45" t="str">
        <f>IFERROR(VLOOKUP(B2595,'Pre-Summary'!$AE$6:$AJ$85,6, FALSE),"")</f>
        <v/>
      </c>
      <c r="K2595" s="45" t="str">
        <f>IFERROR(VLOOKUP(B2595,'Pre-Summary'!$DE$6:$DG$61,3,FALSE),"")</f>
        <v/>
      </c>
      <c r="L2595" s="45" t="str">
        <f>IFERROR(VLOOKUP(B2595,'Pre-Summary'!$CU$6:$CW$36,3,FALSE),"")</f>
        <v/>
      </c>
      <c r="M2595" s="45" t="str">
        <f>IFERROR(VLOOKUP(B2595,'Pre-Summary'!$BW$6:$BY$58,2,FALSE),"")</f>
        <v/>
      </c>
      <c r="N2595" s="45" t="str">
        <f>IFERROR(VLOOKUP(B2595,'Pre-Summary'!$CD$6:$CF$64,2,FALSE),"")</f>
        <v/>
      </c>
      <c r="O2595" s="99">
        <f>IFERROR(VLOOKUP(B2595,'Pre-Summary'!$BO$6:$BQ$48,3, FALSE),O2594)</f>
        <v>1.83</v>
      </c>
      <c r="P2595" s="99">
        <f>IFERROR(VLOOKUP(B2595,'Pre-Summary'!$BS$6:$BU$35,3,FALSE),P2594)</f>
        <v>0.46200000000000002</v>
      </c>
      <c r="Q2595" s="54">
        <f t="shared" si="120"/>
        <v>3.9610389610389611</v>
      </c>
      <c r="R2595" s="53">
        <f>IFERROR(VLOOKUP(B2595,'Pre-Summary'!$BG$6:$BM$44,7,FALSE),R2596)</f>
        <v>0.10528059183238438</v>
      </c>
      <c r="S2595" s="53">
        <f>IFERROR(VLOOKUP(B2595,'Pre-Summary'!$BG$6:$BM$44,6,FALSE),S2596)</f>
        <v>0.10567591412599613</v>
      </c>
      <c r="T2595" s="45" t="str">
        <f>IFERROR(VLOOKUP(B2595,'Pre-Summary'!$Y$6:$AC$83, 3,FALSE),"")</f>
        <v/>
      </c>
      <c r="U2595" s="45" t="str">
        <f>IFERROR(VLOOKUP(B2595,'Pre-Summary'!$Y$6:$AC$83, 4,FALSE),"")</f>
        <v/>
      </c>
      <c r="V2595" t="str">
        <f>IFERROR(VLOOKUP(B2595,'Pre-Summary'!$Y$6:$AC$83, 5,FALSE),"")</f>
        <v/>
      </c>
      <c r="W2595" s="45" t="str">
        <f>IFERROR(VLOOKUP(B2595,'Pre-Summary'!$Y$6:$AD$83,6,FALSE),"")</f>
        <v/>
      </c>
      <c r="X2595" t="str">
        <f>IFERROR(VLOOKUP('Pre-Summary'!$DB$6:$DD$63,3,FALSE),"")</f>
        <v/>
      </c>
      <c r="Y2595" t="str">
        <f>IFERROR(VLOOKUP(B2595,'Pre-Summary'!$CR$6:$CT$36,3,FALSE),"")</f>
        <v/>
      </c>
      <c r="Z2595" s="45" t="str">
        <f>IFERROR(VLOOKUP(B2595,'Pre-Summary'!$BZ$6:$CB$63,2,FALSE),"")</f>
        <v/>
      </c>
      <c r="AA2595" s="45" t="str">
        <f>IFERROR(VLOOKUP(B2595,'Pre-Summary'!$CG$6:$CI$70,2,FALSE),"")</f>
        <v/>
      </c>
      <c r="AB2595" s="99">
        <f>IFERROR(VLOOKUP(B2595,'Pre-Summary'!$A$6:$P$178,9,FALSE),AB2596)</f>
        <v>0.44037364184945627</v>
      </c>
      <c r="AC2595" s="10">
        <f>IFERROR(VLOOKUP(Summary!B2595,'Pre-Summary'!$A$6:$P$184,5, FALSE)/100,AC2596)</f>
        <v>0.9629049999999999</v>
      </c>
      <c r="AD2595" s="10">
        <f>IFERROR(VLOOKUP(Summary!B2595,'Pre-Summary'!$A$6:$P$184,3, FALSE)/100,AD2596)</f>
        <v>3.0608333333333331E-2</v>
      </c>
      <c r="AE2595" s="10">
        <f>IFERROR(VLOOKUP(Summary!B2595,'Pre-Summary'!$A$6:$P$184,7, FALSE)/100,AE2596)</f>
        <v>6.4959999999999992E-3</v>
      </c>
      <c r="AF2595" s="99">
        <f t="shared" si="121"/>
        <v>1.3479103220942106E-2</v>
      </c>
      <c r="AG2595" s="99">
        <f t="shared" si="122"/>
        <v>2.8606671774540674E-3</v>
      </c>
      <c r="AH2595" s="10" t="str">
        <f>IFERROR(VLOOKUP(B2595,'Pre-Summary'!$AZ$6:$BE$65,3,FALSE),"")</f>
        <v/>
      </c>
      <c r="AI2595" s="10" t="str">
        <f>IFERROR(VLOOKUP(B2595,'Pre-Summary'!$AZ$6:$BE$65,5,FALSE),"")</f>
        <v/>
      </c>
      <c r="AJ2595" s="10" t="str">
        <f>IFERROR(VLOOKUP(B2595,'Pre-Summary'!$AZ$6:$BE$65,4,FALSE),"")</f>
        <v/>
      </c>
      <c r="AK2595" s="10" t="str">
        <f>IFERROR(VLOOKUP(B2595,'Pre-Summary'!$AZ$6:$BE$65,6,FALSE),"")</f>
        <v/>
      </c>
      <c r="AL2595" s="10" t="str">
        <f>IFERROR(VLOOKUP(B2595,'Pre-Summary'!$BG$6:$BL$44,3,FALSE),"")</f>
        <v/>
      </c>
      <c r="AM2595" s="10" t="str">
        <f>IFERROR(VLOOKUP(B2595,'Pre-Summary'!$BG$6:$BL$44,4,FALSE),"")</f>
        <v/>
      </c>
    </row>
    <row r="2596" spans="2:39" ht="15" customHeight="1" x14ac:dyDescent="0.3">
      <c r="B2596">
        <v>259.3</v>
      </c>
      <c r="C2596" t="str">
        <f>IFERROR(VLOOKUP(B2596,'Pre-Summary'!$DI$6:$DM$23,4,FALSE),"")</f>
        <v/>
      </c>
      <c r="D2596" s="10" t="str">
        <f>IFERROR(VLOOKUP(B2596,'Pre-Summary'!$AT$6:$AX$14,5,FALSE),D2595)</f>
        <v>Wolfe v3: went back to modified wolfe + EDTA and switched CuSO4 to CUCl2</v>
      </c>
      <c r="E2596" s="10" t="str">
        <f>IFERROR(VLOOKUP(B2596,'Pre-Summary'!$AT$6:$AX$15,4,FALSE),"")</f>
        <v/>
      </c>
      <c r="F2596">
        <f>IFERROR(VLOOKUP(B2596,'Pre-Summary'!$AL$6:$AQ$13,6,FALSE),F2595)</f>
        <v>5.9405263157894746E-2</v>
      </c>
      <c r="G2596" t="str">
        <f>IFERROR(VLOOKUP(B2596,'Pre-Summary'!$AE$6:$AJ$85,3,FALSE),"")</f>
        <v/>
      </c>
      <c r="H2596" t="str">
        <f>IFERROR(VLOOKUP(B2596,'Pre-Summary'!$AE$6:$AJ$85,4,FALSE),"")</f>
        <v/>
      </c>
      <c r="I2596" t="str">
        <f>IFERROR(VLOOKUP(B2596,'Pre-Summary'!$AE$6:$AJ$85,5,FALSE),"")</f>
        <v/>
      </c>
      <c r="J2596" s="45" t="str">
        <f>IFERROR(VLOOKUP(B2596,'Pre-Summary'!$AE$6:$AJ$85,6, FALSE),"")</f>
        <v/>
      </c>
      <c r="K2596" s="45" t="str">
        <f>IFERROR(VLOOKUP(B2596,'Pre-Summary'!$DE$6:$DG$61,3,FALSE),"")</f>
        <v/>
      </c>
      <c r="L2596" s="45" t="str">
        <f>IFERROR(VLOOKUP(B2596,'Pre-Summary'!$CU$6:$CW$36,3,FALSE),"")</f>
        <v/>
      </c>
      <c r="M2596" s="45" t="str">
        <f>IFERROR(VLOOKUP(B2596,'Pre-Summary'!$BW$6:$BY$58,2,FALSE),"")</f>
        <v/>
      </c>
      <c r="N2596" s="45" t="str">
        <f>IFERROR(VLOOKUP(B2596,'Pre-Summary'!$CD$6:$CF$64,2,FALSE),"")</f>
        <v/>
      </c>
      <c r="O2596" s="99">
        <f>IFERROR(VLOOKUP(B2596,'Pre-Summary'!$BO$6:$BQ$48,3, FALSE),O2595)</f>
        <v>1.83</v>
      </c>
      <c r="P2596" s="99">
        <f>IFERROR(VLOOKUP(B2596,'Pre-Summary'!$BS$6:$BU$35,3,FALSE),P2595)</f>
        <v>0.46200000000000002</v>
      </c>
      <c r="Q2596" s="54">
        <f t="shared" si="120"/>
        <v>3.9610389610389611</v>
      </c>
      <c r="R2596" s="53">
        <f>IFERROR(VLOOKUP(B2596,'Pre-Summary'!$BG$6:$BM$44,7,FALSE),R2597)</f>
        <v>0.10528059183238438</v>
      </c>
      <c r="S2596" s="53">
        <f>IFERROR(VLOOKUP(B2596,'Pre-Summary'!$BG$6:$BM$44,6,FALSE),S2597)</f>
        <v>0.10567591412599613</v>
      </c>
      <c r="T2596" s="45" t="str">
        <f>IFERROR(VLOOKUP(B2596,'Pre-Summary'!$Y$6:$AC$83, 3,FALSE),"")</f>
        <v/>
      </c>
      <c r="U2596" s="45" t="str">
        <f>IFERROR(VLOOKUP(B2596,'Pre-Summary'!$Y$6:$AC$83, 4,FALSE),"")</f>
        <v/>
      </c>
      <c r="V2596" t="str">
        <f>IFERROR(VLOOKUP(B2596,'Pre-Summary'!$Y$6:$AC$83, 5,FALSE),"")</f>
        <v/>
      </c>
      <c r="W2596" s="45" t="str">
        <f>IFERROR(VLOOKUP(B2596,'Pre-Summary'!$Y$6:$AD$83,6,FALSE),"")</f>
        <v/>
      </c>
      <c r="X2596" t="str">
        <f>IFERROR(VLOOKUP('Pre-Summary'!$DB$6:$DD$63,3,FALSE),"")</f>
        <v/>
      </c>
      <c r="Y2596" t="str">
        <f>IFERROR(VLOOKUP(B2596,'Pre-Summary'!$CR$6:$CT$36,3,FALSE),"")</f>
        <v/>
      </c>
      <c r="Z2596" s="45" t="str">
        <f>IFERROR(VLOOKUP(B2596,'Pre-Summary'!$BZ$6:$CB$63,2,FALSE),"")</f>
        <v/>
      </c>
      <c r="AA2596" s="45" t="str">
        <f>IFERROR(VLOOKUP(B2596,'Pre-Summary'!$CG$6:$CI$70,2,FALSE),"")</f>
        <v/>
      </c>
      <c r="AB2596" s="99">
        <f>IFERROR(VLOOKUP(B2596,'Pre-Summary'!$A$6:$P$178,9,FALSE),AB2597)</f>
        <v>0.44037364184945627</v>
      </c>
      <c r="AC2596" s="10">
        <f>IFERROR(VLOOKUP(Summary!B2596,'Pre-Summary'!$A$6:$P$184,5, FALSE)/100,AC2597)</f>
        <v>0.9629049999999999</v>
      </c>
      <c r="AD2596" s="10">
        <f>IFERROR(VLOOKUP(Summary!B2596,'Pre-Summary'!$A$6:$P$184,3, FALSE)/100,AD2597)</f>
        <v>3.0608333333333331E-2</v>
      </c>
      <c r="AE2596" s="10">
        <f>IFERROR(VLOOKUP(Summary!B2596,'Pre-Summary'!$A$6:$P$184,7, FALSE)/100,AE2597)</f>
        <v>6.4959999999999992E-3</v>
      </c>
      <c r="AF2596" s="99">
        <f t="shared" si="121"/>
        <v>1.3479103220942106E-2</v>
      </c>
      <c r="AG2596" s="99">
        <f t="shared" si="122"/>
        <v>2.8606671774540674E-3</v>
      </c>
      <c r="AH2596" s="10" t="str">
        <f>IFERROR(VLOOKUP(B2596,'Pre-Summary'!$AZ$6:$BE$65,3,FALSE),"")</f>
        <v/>
      </c>
      <c r="AI2596" s="10" t="str">
        <f>IFERROR(VLOOKUP(B2596,'Pre-Summary'!$AZ$6:$BE$65,5,FALSE),"")</f>
        <v/>
      </c>
      <c r="AJ2596" s="10" t="str">
        <f>IFERROR(VLOOKUP(B2596,'Pre-Summary'!$AZ$6:$BE$65,4,FALSE),"")</f>
        <v/>
      </c>
      <c r="AK2596" s="10" t="str">
        <f>IFERROR(VLOOKUP(B2596,'Pre-Summary'!$AZ$6:$BE$65,6,FALSE),"")</f>
        <v/>
      </c>
      <c r="AL2596" s="10" t="str">
        <f>IFERROR(VLOOKUP(B2596,'Pre-Summary'!$BG$6:$BL$44,3,FALSE),"")</f>
        <v/>
      </c>
      <c r="AM2596" s="10" t="str">
        <f>IFERROR(VLOOKUP(B2596,'Pre-Summary'!$BG$6:$BL$44,4,FALSE),"")</f>
        <v/>
      </c>
    </row>
    <row r="2597" spans="2:39" ht="15" customHeight="1" x14ac:dyDescent="0.3">
      <c r="B2597">
        <v>259.39999999999998</v>
      </c>
      <c r="C2597" t="str">
        <f>IFERROR(VLOOKUP(B2597,'Pre-Summary'!$DI$6:$DM$23,4,FALSE),"")</f>
        <v/>
      </c>
      <c r="D2597" s="10" t="str">
        <f>IFERROR(VLOOKUP(B2597,'Pre-Summary'!$AT$6:$AX$14,5,FALSE),D2596)</f>
        <v>Wolfe v3: went back to modified wolfe + EDTA and switched CuSO4 to CUCl2</v>
      </c>
      <c r="E2597" s="10" t="str">
        <f>IFERROR(VLOOKUP(B2597,'Pre-Summary'!$AT$6:$AX$15,4,FALSE),"")</f>
        <v/>
      </c>
      <c r="F2597">
        <f>IFERROR(VLOOKUP(B2597,'Pre-Summary'!$AL$6:$AQ$13,6,FALSE),F2596)</f>
        <v>5.9405263157894746E-2</v>
      </c>
      <c r="G2597" t="str">
        <f>IFERROR(VLOOKUP(B2597,'Pre-Summary'!$AE$6:$AJ$85,3,FALSE),"")</f>
        <v/>
      </c>
      <c r="H2597" t="str">
        <f>IFERROR(VLOOKUP(B2597,'Pre-Summary'!$AE$6:$AJ$85,4,FALSE),"")</f>
        <v/>
      </c>
      <c r="I2597" t="str">
        <f>IFERROR(VLOOKUP(B2597,'Pre-Summary'!$AE$6:$AJ$85,5,FALSE),"")</f>
        <v/>
      </c>
      <c r="J2597" s="45" t="str">
        <f>IFERROR(VLOOKUP(B2597,'Pre-Summary'!$AE$6:$AJ$85,6, FALSE),"")</f>
        <v/>
      </c>
      <c r="K2597" s="45" t="str">
        <f>IFERROR(VLOOKUP(B2597,'Pre-Summary'!$DE$6:$DG$61,3,FALSE),"")</f>
        <v/>
      </c>
      <c r="L2597" s="45" t="str">
        <f>IFERROR(VLOOKUP(B2597,'Pre-Summary'!$CU$6:$CW$36,3,FALSE),"")</f>
        <v/>
      </c>
      <c r="M2597" s="45" t="str">
        <f>IFERROR(VLOOKUP(B2597,'Pre-Summary'!$BW$6:$BY$58,2,FALSE),"")</f>
        <v/>
      </c>
      <c r="N2597" s="45" t="str">
        <f>IFERROR(VLOOKUP(B2597,'Pre-Summary'!$CD$6:$CF$64,2,FALSE),"")</f>
        <v/>
      </c>
      <c r="O2597" s="99">
        <f>IFERROR(VLOOKUP(B2597,'Pre-Summary'!$BO$6:$BQ$48,3, FALSE),O2596)</f>
        <v>1.83</v>
      </c>
      <c r="P2597" s="99">
        <f>IFERROR(VLOOKUP(B2597,'Pre-Summary'!$BS$6:$BU$35,3,FALSE),P2596)</f>
        <v>0.46200000000000002</v>
      </c>
      <c r="Q2597" s="54">
        <f t="shared" si="120"/>
        <v>3.9610389610389611</v>
      </c>
      <c r="R2597" s="53">
        <f>IFERROR(VLOOKUP(B2597,'Pre-Summary'!$BG$6:$BM$44,7,FALSE),R2598)</f>
        <v>0.10528059183238438</v>
      </c>
      <c r="S2597" s="53">
        <f>IFERROR(VLOOKUP(B2597,'Pre-Summary'!$BG$6:$BM$44,6,FALSE),S2598)</f>
        <v>0.10567591412599613</v>
      </c>
      <c r="T2597" s="45" t="str">
        <f>IFERROR(VLOOKUP(B2597,'Pre-Summary'!$Y$6:$AC$83, 3,FALSE),"")</f>
        <v/>
      </c>
      <c r="U2597" s="45" t="str">
        <f>IFERROR(VLOOKUP(B2597,'Pre-Summary'!$Y$6:$AC$83, 4,FALSE),"")</f>
        <v/>
      </c>
      <c r="V2597" t="str">
        <f>IFERROR(VLOOKUP(B2597,'Pre-Summary'!$Y$6:$AC$83, 5,FALSE),"")</f>
        <v/>
      </c>
      <c r="W2597" s="45" t="str">
        <f>IFERROR(VLOOKUP(B2597,'Pre-Summary'!$Y$6:$AD$83,6,FALSE),"")</f>
        <v/>
      </c>
      <c r="X2597" t="str">
        <f>IFERROR(VLOOKUP('Pre-Summary'!$DB$6:$DD$63,3,FALSE),"")</f>
        <v/>
      </c>
      <c r="Y2597" t="str">
        <f>IFERROR(VLOOKUP(B2597,'Pre-Summary'!$CR$6:$CT$36,3,FALSE),"")</f>
        <v/>
      </c>
      <c r="Z2597" s="45" t="str">
        <f>IFERROR(VLOOKUP(B2597,'Pre-Summary'!$BZ$6:$CB$63,2,FALSE),"")</f>
        <v/>
      </c>
      <c r="AA2597" s="45" t="str">
        <f>IFERROR(VLOOKUP(B2597,'Pre-Summary'!$CG$6:$CI$70,2,FALSE),"")</f>
        <v/>
      </c>
      <c r="AB2597" s="99">
        <f>IFERROR(VLOOKUP(B2597,'Pre-Summary'!$A$6:$P$178,9,FALSE),AB2598)</f>
        <v>0.44037364184945627</v>
      </c>
      <c r="AC2597" s="10">
        <f>IFERROR(VLOOKUP(Summary!B2597,'Pre-Summary'!$A$6:$P$184,5, FALSE)/100,AC2598)</f>
        <v>0.9629049999999999</v>
      </c>
      <c r="AD2597" s="10">
        <f>IFERROR(VLOOKUP(Summary!B2597,'Pre-Summary'!$A$6:$P$184,3, FALSE)/100,AD2598)</f>
        <v>3.0608333333333331E-2</v>
      </c>
      <c r="AE2597" s="10">
        <f>IFERROR(VLOOKUP(Summary!B2597,'Pre-Summary'!$A$6:$P$184,7, FALSE)/100,AE2598)</f>
        <v>6.4959999999999992E-3</v>
      </c>
      <c r="AF2597" s="99">
        <f t="shared" si="121"/>
        <v>1.3479103220942106E-2</v>
      </c>
      <c r="AG2597" s="99">
        <f t="shared" si="122"/>
        <v>2.8606671774540674E-3</v>
      </c>
      <c r="AH2597" s="10" t="str">
        <f>IFERROR(VLOOKUP(B2597,'Pre-Summary'!$AZ$6:$BE$65,3,FALSE),"")</f>
        <v/>
      </c>
      <c r="AI2597" s="10" t="str">
        <f>IFERROR(VLOOKUP(B2597,'Pre-Summary'!$AZ$6:$BE$65,5,FALSE),"")</f>
        <v/>
      </c>
      <c r="AJ2597" s="10" t="str">
        <f>IFERROR(VLOOKUP(B2597,'Pre-Summary'!$AZ$6:$BE$65,4,FALSE),"")</f>
        <v/>
      </c>
      <c r="AK2597" s="10" t="str">
        <f>IFERROR(VLOOKUP(B2597,'Pre-Summary'!$AZ$6:$BE$65,6,FALSE),"")</f>
        <v/>
      </c>
      <c r="AL2597" s="10" t="str">
        <f>IFERROR(VLOOKUP(B2597,'Pre-Summary'!$BG$6:$BL$44,3,FALSE),"")</f>
        <v/>
      </c>
      <c r="AM2597" s="10" t="str">
        <f>IFERROR(VLOOKUP(B2597,'Pre-Summary'!$BG$6:$BL$44,4,FALSE),"")</f>
        <v/>
      </c>
    </row>
    <row r="2598" spans="2:39" ht="15" customHeight="1" x14ac:dyDescent="0.3">
      <c r="B2598">
        <v>259.5</v>
      </c>
      <c r="C2598" t="str">
        <f>IFERROR(VLOOKUP(B2598,'Pre-Summary'!$DI$6:$DM$23,4,FALSE),"")</f>
        <v/>
      </c>
      <c r="D2598" s="10" t="str">
        <f>IFERROR(VLOOKUP(B2598,'Pre-Summary'!$AT$6:$AX$14,5,FALSE),D2597)</f>
        <v>Wolfe v3: went back to modified wolfe + EDTA and switched CuSO4 to CUCl2</v>
      </c>
      <c r="E2598" s="10" t="str">
        <f>IFERROR(VLOOKUP(B2598,'Pre-Summary'!$AT$6:$AX$15,4,FALSE),"")</f>
        <v/>
      </c>
      <c r="F2598">
        <f>IFERROR(VLOOKUP(B2598,'Pre-Summary'!$AL$6:$AQ$13,6,FALSE),F2597)</f>
        <v>5.9405263157894746E-2</v>
      </c>
      <c r="G2598" t="str">
        <f>IFERROR(VLOOKUP(B2598,'Pre-Summary'!$AE$6:$AJ$85,3,FALSE),"")</f>
        <v/>
      </c>
      <c r="H2598" t="str">
        <f>IFERROR(VLOOKUP(B2598,'Pre-Summary'!$AE$6:$AJ$85,4,FALSE),"")</f>
        <v/>
      </c>
      <c r="I2598" t="str">
        <f>IFERROR(VLOOKUP(B2598,'Pre-Summary'!$AE$6:$AJ$85,5,FALSE),"")</f>
        <v/>
      </c>
      <c r="J2598" s="45" t="str">
        <f>IFERROR(VLOOKUP(B2598,'Pre-Summary'!$AE$6:$AJ$85,6, FALSE),"")</f>
        <v/>
      </c>
      <c r="K2598" s="45" t="str">
        <f>IFERROR(VLOOKUP(B2598,'Pre-Summary'!$DE$6:$DG$61,3,FALSE),"")</f>
        <v/>
      </c>
      <c r="L2598" s="45" t="str">
        <f>IFERROR(VLOOKUP(B2598,'Pre-Summary'!$CU$6:$CW$36,3,FALSE),"")</f>
        <v/>
      </c>
      <c r="M2598" s="45" t="str">
        <f>IFERROR(VLOOKUP(B2598,'Pre-Summary'!$BW$6:$BY$58,2,FALSE),"")</f>
        <v/>
      </c>
      <c r="N2598" s="45" t="str">
        <f>IFERROR(VLOOKUP(B2598,'Pre-Summary'!$CD$6:$CF$64,2,FALSE),"")</f>
        <v/>
      </c>
      <c r="O2598" s="99">
        <f>IFERROR(VLOOKUP(B2598,'Pre-Summary'!$BO$6:$BQ$48,3, FALSE),O2597)</f>
        <v>1.83</v>
      </c>
      <c r="P2598" s="99">
        <f>IFERROR(VLOOKUP(B2598,'Pre-Summary'!$BS$6:$BU$35,3,FALSE),P2597)</f>
        <v>0.46200000000000002</v>
      </c>
      <c r="Q2598" s="54">
        <f t="shared" si="120"/>
        <v>3.9610389610389611</v>
      </c>
      <c r="R2598" s="53">
        <f>IFERROR(VLOOKUP(B2598,'Pre-Summary'!$BG$6:$BM$44,7,FALSE),R2599)</f>
        <v>0.10528059183238438</v>
      </c>
      <c r="S2598" s="53">
        <f>IFERROR(VLOOKUP(B2598,'Pre-Summary'!$BG$6:$BM$44,6,FALSE),S2599)</f>
        <v>0.10567591412599613</v>
      </c>
      <c r="T2598" s="45" t="str">
        <f>IFERROR(VLOOKUP(B2598,'Pre-Summary'!$Y$6:$AC$83, 3,FALSE),"")</f>
        <v/>
      </c>
      <c r="U2598" s="45" t="str">
        <f>IFERROR(VLOOKUP(B2598,'Pre-Summary'!$Y$6:$AC$83, 4,FALSE),"")</f>
        <v/>
      </c>
      <c r="V2598" t="str">
        <f>IFERROR(VLOOKUP(B2598,'Pre-Summary'!$Y$6:$AC$83, 5,FALSE),"")</f>
        <v/>
      </c>
      <c r="W2598" s="45" t="str">
        <f>IFERROR(VLOOKUP(B2598,'Pre-Summary'!$Y$6:$AD$83,6,FALSE),"")</f>
        <v/>
      </c>
      <c r="X2598" t="str">
        <f>IFERROR(VLOOKUP('Pre-Summary'!$DB$6:$DD$63,3,FALSE),"")</f>
        <v/>
      </c>
      <c r="Y2598" t="str">
        <f>IFERROR(VLOOKUP(B2598,'Pre-Summary'!$CR$6:$CT$36,3,FALSE),"")</f>
        <v/>
      </c>
      <c r="Z2598" s="45" t="str">
        <f>IFERROR(VLOOKUP(B2598,'Pre-Summary'!$BZ$6:$CB$63,2,FALSE),"")</f>
        <v/>
      </c>
      <c r="AA2598" s="45" t="str">
        <f>IFERROR(VLOOKUP(B2598,'Pre-Summary'!$CG$6:$CI$70,2,FALSE),"")</f>
        <v/>
      </c>
      <c r="AB2598" s="99">
        <f>IFERROR(VLOOKUP(B2598,'Pre-Summary'!$A$6:$P$178,9,FALSE),AB2599)</f>
        <v>0.44037364184945627</v>
      </c>
      <c r="AC2598" s="10">
        <f>IFERROR(VLOOKUP(Summary!B2598,'Pre-Summary'!$A$6:$P$184,5, FALSE)/100,AC2599)</f>
        <v>0.9629049999999999</v>
      </c>
      <c r="AD2598" s="10">
        <f>IFERROR(VLOOKUP(Summary!B2598,'Pre-Summary'!$A$6:$P$184,3, FALSE)/100,AD2599)</f>
        <v>3.0608333333333331E-2</v>
      </c>
      <c r="AE2598" s="10">
        <f>IFERROR(VLOOKUP(Summary!B2598,'Pre-Summary'!$A$6:$P$184,7, FALSE)/100,AE2599)</f>
        <v>6.4959999999999992E-3</v>
      </c>
      <c r="AF2598" s="99">
        <f t="shared" si="121"/>
        <v>1.3479103220942106E-2</v>
      </c>
      <c r="AG2598" s="99">
        <f t="shared" si="122"/>
        <v>2.8606671774540674E-3</v>
      </c>
      <c r="AH2598" s="10" t="str">
        <f>IFERROR(VLOOKUP(B2598,'Pre-Summary'!$AZ$6:$BE$65,3,FALSE),"")</f>
        <v/>
      </c>
      <c r="AI2598" s="10" t="str">
        <f>IFERROR(VLOOKUP(B2598,'Pre-Summary'!$AZ$6:$BE$65,5,FALSE),"")</f>
        <v/>
      </c>
      <c r="AJ2598" s="10" t="str">
        <f>IFERROR(VLOOKUP(B2598,'Pre-Summary'!$AZ$6:$BE$65,4,FALSE),"")</f>
        <v/>
      </c>
      <c r="AK2598" s="10" t="str">
        <f>IFERROR(VLOOKUP(B2598,'Pre-Summary'!$AZ$6:$BE$65,6,FALSE),"")</f>
        <v/>
      </c>
      <c r="AL2598" s="10" t="str">
        <f>IFERROR(VLOOKUP(B2598,'Pre-Summary'!$BG$6:$BL$44,3,FALSE),"")</f>
        <v/>
      </c>
      <c r="AM2598" s="10" t="str">
        <f>IFERROR(VLOOKUP(B2598,'Pre-Summary'!$BG$6:$BL$44,4,FALSE),"")</f>
        <v/>
      </c>
    </row>
    <row r="2599" spans="2:39" ht="15" customHeight="1" x14ac:dyDescent="0.3">
      <c r="B2599">
        <v>259.60000000000002</v>
      </c>
      <c r="C2599" t="str">
        <f>IFERROR(VLOOKUP(B2599,'Pre-Summary'!$DI$6:$DM$23,4,FALSE),"")</f>
        <v/>
      </c>
      <c r="D2599" s="10" t="str">
        <f>IFERROR(VLOOKUP(B2599,'Pre-Summary'!$AT$6:$AX$14,5,FALSE),D2598)</f>
        <v>Wolfe v3: went back to modified wolfe + EDTA and switched CuSO4 to CUCl2</v>
      </c>
      <c r="E2599" s="10" t="str">
        <f>IFERROR(VLOOKUP(B2599,'Pre-Summary'!$AT$6:$AX$15,4,FALSE),"")</f>
        <v/>
      </c>
      <c r="F2599">
        <f>IFERROR(VLOOKUP(B2599,'Pre-Summary'!$AL$6:$AQ$13,6,FALSE),F2598)</f>
        <v>5.9405263157894746E-2</v>
      </c>
      <c r="G2599" t="str">
        <f>IFERROR(VLOOKUP(B2599,'Pre-Summary'!$AE$6:$AJ$85,3,FALSE),"")</f>
        <v/>
      </c>
      <c r="H2599" t="str">
        <f>IFERROR(VLOOKUP(B2599,'Pre-Summary'!$AE$6:$AJ$85,4,FALSE),"")</f>
        <v/>
      </c>
      <c r="I2599" t="str">
        <f>IFERROR(VLOOKUP(B2599,'Pre-Summary'!$AE$6:$AJ$85,5,FALSE),"")</f>
        <v/>
      </c>
      <c r="J2599" s="45" t="str">
        <f>IFERROR(VLOOKUP(B2599,'Pre-Summary'!$AE$6:$AJ$85,6, FALSE),"")</f>
        <v/>
      </c>
      <c r="K2599" s="45" t="str">
        <f>IFERROR(VLOOKUP(B2599,'Pre-Summary'!$DE$6:$DG$61,3,FALSE),"")</f>
        <v/>
      </c>
      <c r="L2599" s="45" t="str">
        <f>IFERROR(VLOOKUP(B2599,'Pre-Summary'!$CU$6:$CW$36,3,FALSE),"")</f>
        <v/>
      </c>
      <c r="M2599" s="45" t="str">
        <f>IFERROR(VLOOKUP(B2599,'Pre-Summary'!$BW$6:$BY$58,2,FALSE),"")</f>
        <v/>
      </c>
      <c r="N2599" s="45" t="str">
        <f>IFERROR(VLOOKUP(B2599,'Pre-Summary'!$CD$6:$CF$64,2,FALSE),"")</f>
        <v/>
      </c>
      <c r="O2599" s="99">
        <f>IFERROR(VLOOKUP(B2599,'Pre-Summary'!$BO$6:$BQ$48,3, FALSE),O2598)</f>
        <v>1.83</v>
      </c>
      <c r="P2599" s="99">
        <f>IFERROR(VLOOKUP(B2599,'Pre-Summary'!$BS$6:$BU$35,3,FALSE),P2598)</f>
        <v>0.46200000000000002</v>
      </c>
      <c r="Q2599" s="54">
        <f t="shared" si="120"/>
        <v>3.9610389610389611</v>
      </c>
      <c r="R2599" s="53">
        <f>IFERROR(VLOOKUP(B2599,'Pre-Summary'!$BG$6:$BM$44,7,FALSE),R2600)</f>
        <v>0.10528059183238438</v>
      </c>
      <c r="S2599" s="53">
        <f>IFERROR(VLOOKUP(B2599,'Pre-Summary'!$BG$6:$BM$44,6,FALSE),S2600)</f>
        <v>0.10567591412599613</v>
      </c>
      <c r="T2599" s="45" t="str">
        <f>IFERROR(VLOOKUP(B2599,'Pre-Summary'!$Y$6:$AC$83, 3,FALSE),"")</f>
        <v/>
      </c>
      <c r="U2599" s="45" t="str">
        <f>IFERROR(VLOOKUP(B2599,'Pre-Summary'!$Y$6:$AC$83, 4,FALSE),"")</f>
        <v/>
      </c>
      <c r="V2599" t="str">
        <f>IFERROR(VLOOKUP(B2599,'Pre-Summary'!$Y$6:$AC$83, 5,FALSE),"")</f>
        <v/>
      </c>
      <c r="W2599" s="45" t="str">
        <f>IFERROR(VLOOKUP(B2599,'Pre-Summary'!$Y$6:$AD$83,6,FALSE),"")</f>
        <v/>
      </c>
      <c r="X2599" t="str">
        <f>IFERROR(VLOOKUP('Pre-Summary'!$DB$6:$DD$63,3,FALSE),"")</f>
        <v/>
      </c>
      <c r="Y2599" t="str">
        <f>IFERROR(VLOOKUP(B2599,'Pre-Summary'!$CR$6:$CT$36,3,FALSE),"")</f>
        <v/>
      </c>
      <c r="Z2599" s="45" t="str">
        <f>IFERROR(VLOOKUP(B2599,'Pre-Summary'!$BZ$6:$CB$63,2,FALSE),"")</f>
        <v/>
      </c>
      <c r="AA2599" s="45" t="str">
        <f>IFERROR(VLOOKUP(B2599,'Pre-Summary'!$CG$6:$CI$70,2,FALSE),"")</f>
        <v/>
      </c>
      <c r="AB2599" s="99">
        <f>IFERROR(VLOOKUP(B2599,'Pre-Summary'!$A$6:$P$178,9,FALSE),AB2600)</f>
        <v>0.44037364184945627</v>
      </c>
      <c r="AC2599" s="10">
        <f>IFERROR(VLOOKUP(Summary!B2599,'Pre-Summary'!$A$6:$P$184,5, FALSE)/100,AC2600)</f>
        <v>0.9629049999999999</v>
      </c>
      <c r="AD2599" s="10">
        <f>IFERROR(VLOOKUP(Summary!B2599,'Pre-Summary'!$A$6:$P$184,3, FALSE)/100,AD2600)</f>
        <v>3.0608333333333331E-2</v>
      </c>
      <c r="AE2599" s="10">
        <f>IFERROR(VLOOKUP(Summary!B2599,'Pre-Summary'!$A$6:$P$184,7, FALSE)/100,AE2600)</f>
        <v>6.4959999999999992E-3</v>
      </c>
      <c r="AF2599" s="99">
        <f t="shared" si="121"/>
        <v>1.3479103220942106E-2</v>
      </c>
      <c r="AG2599" s="99">
        <f t="shared" si="122"/>
        <v>2.8606671774540674E-3</v>
      </c>
      <c r="AH2599" s="10" t="str">
        <f>IFERROR(VLOOKUP(B2599,'Pre-Summary'!$AZ$6:$BE$65,3,FALSE),"")</f>
        <v/>
      </c>
      <c r="AI2599" s="10" t="str">
        <f>IFERROR(VLOOKUP(B2599,'Pre-Summary'!$AZ$6:$BE$65,5,FALSE),"")</f>
        <v/>
      </c>
      <c r="AJ2599" s="10" t="str">
        <f>IFERROR(VLOOKUP(B2599,'Pre-Summary'!$AZ$6:$BE$65,4,FALSE),"")</f>
        <v/>
      </c>
      <c r="AK2599" s="10" t="str">
        <f>IFERROR(VLOOKUP(B2599,'Pre-Summary'!$AZ$6:$BE$65,6,FALSE),"")</f>
        <v/>
      </c>
      <c r="AL2599" s="10" t="str">
        <f>IFERROR(VLOOKUP(B2599,'Pre-Summary'!$BG$6:$BL$44,3,FALSE),"")</f>
        <v/>
      </c>
      <c r="AM2599" s="10" t="str">
        <f>IFERROR(VLOOKUP(B2599,'Pre-Summary'!$BG$6:$BL$44,4,FALSE),"")</f>
        <v/>
      </c>
    </row>
    <row r="2600" spans="2:39" ht="15" customHeight="1" x14ac:dyDescent="0.3">
      <c r="B2600">
        <v>259.7</v>
      </c>
      <c r="C2600" t="str">
        <f>IFERROR(VLOOKUP(B2600,'Pre-Summary'!$DI$6:$DM$23,4,FALSE),"")</f>
        <v/>
      </c>
      <c r="D2600" s="10" t="str">
        <f>IFERROR(VLOOKUP(B2600,'Pre-Summary'!$AT$6:$AX$14,5,FALSE),D2599)</f>
        <v>Wolfe v3: went back to modified wolfe + EDTA and switched CuSO4 to CUCl2</v>
      </c>
      <c r="E2600" s="10" t="str">
        <f>IFERROR(VLOOKUP(B2600,'Pre-Summary'!$AT$6:$AX$15,4,FALSE),"")</f>
        <v/>
      </c>
      <c r="F2600">
        <f>IFERROR(VLOOKUP(B2600,'Pre-Summary'!$AL$6:$AQ$13,6,FALSE),F2599)</f>
        <v>5.9405263157894746E-2</v>
      </c>
      <c r="G2600" t="str">
        <f>IFERROR(VLOOKUP(B2600,'Pre-Summary'!$AE$6:$AJ$85,3,FALSE),"")</f>
        <v/>
      </c>
      <c r="H2600" t="str">
        <f>IFERROR(VLOOKUP(B2600,'Pre-Summary'!$AE$6:$AJ$85,4,FALSE),"")</f>
        <v/>
      </c>
      <c r="I2600" t="str">
        <f>IFERROR(VLOOKUP(B2600,'Pre-Summary'!$AE$6:$AJ$85,5,FALSE),"")</f>
        <v/>
      </c>
      <c r="J2600" s="45" t="str">
        <f>IFERROR(VLOOKUP(B2600,'Pre-Summary'!$AE$6:$AJ$85,6, FALSE),"")</f>
        <v/>
      </c>
      <c r="K2600" s="45" t="str">
        <f>IFERROR(VLOOKUP(B2600,'Pre-Summary'!$DE$6:$DG$61,3,FALSE),"")</f>
        <v/>
      </c>
      <c r="L2600" s="45" t="str">
        <f>IFERROR(VLOOKUP(B2600,'Pre-Summary'!$CU$6:$CW$36,3,FALSE),"")</f>
        <v/>
      </c>
      <c r="M2600" s="45" t="str">
        <f>IFERROR(VLOOKUP(B2600,'Pre-Summary'!$BW$6:$BY$58,2,FALSE),"")</f>
        <v/>
      </c>
      <c r="N2600" s="45" t="str">
        <f>IFERROR(VLOOKUP(B2600,'Pre-Summary'!$CD$6:$CF$64,2,FALSE),"")</f>
        <v/>
      </c>
      <c r="O2600" s="99">
        <f>IFERROR(VLOOKUP(B2600,'Pre-Summary'!$BO$6:$BQ$48,3, FALSE),O2599)</f>
        <v>1.83</v>
      </c>
      <c r="P2600" s="99">
        <f>IFERROR(VLOOKUP(B2600,'Pre-Summary'!$BS$6:$BU$35,3,FALSE),P2599)</f>
        <v>0.46200000000000002</v>
      </c>
      <c r="Q2600" s="54">
        <f t="shared" si="120"/>
        <v>3.9610389610389611</v>
      </c>
      <c r="R2600" s="53">
        <f>IFERROR(VLOOKUP(B2600,'Pre-Summary'!$BG$6:$BM$44,7,FALSE),R2601)</f>
        <v>0.10528059183238438</v>
      </c>
      <c r="S2600" s="53">
        <f>IFERROR(VLOOKUP(B2600,'Pre-Summary'!$BG$6:$BM$44,6,FALSE),S2601)</f>
        <v>0.10567591412599613</v>
      </c>
      <c r="T2600" s="45" t="str">
        <f>IFERROR(VLOOKUP(B2600,'Pre-Summary'!$Y$6:$AC$83, 3,FALSE),"")</f>
        <v/>
      </c>
      <c r="U2600" s="45" t="str">
        <f>IFERROR(VLOOKUP(B2600,'Pre-Summary'!$Y$6:$AC$83, 4,FALSE),"")</f>
        <v/>
      </c>
      <c r="V2600" t="str">
        <f>IFERROR(VLOOKUP(B2600,'Pre-Summary'!$Y$6:$AC$83, 5,FALSE),"")</f>
        <v/>
      </c>
      <c r="W2600" s="45" t="str">
        <f>IFERROR(VLOOKUP(B2600,'Pre-Summary'!$Y$6:$AD$83,6,FALSE),"")</f>
        <v/>
      </c>
      <c r="X2600" t="str">
        <f>IFERROR(VLOOKUP('Pre-Summary'!$DB$6:$DD$63,3,FALSE),"")</f>
        <v/>
      </c>
      <c r="Y2600" t="str">
        <f>IFERROR(VLOOKUP(B2600,'Pre-Summary'!$CR$6:$CT$36,3,FALSE),"")</f>
        <v/>
      </c>
      <c r="Z2600" s="45" t="str">
        <f>IFERROR(VLOOKUP(B2600,'Pre-Summary'!$BZ$6:$CB$63,2,FALSE),"")</f>
        <v/>
      </c>
      <c r="AA2600" s="45" t="str">
        <f>IFERROR(VLOOKUP(B2600,'Pre-Summary'!$CG$6:$CI$70,2,FALSE),"")</f>
        <v/>
      </c>
      <c r="AB2600" s="99">
        <f>IFERROR(VLOOKUP(B2600,'Pre-Summary'!$A$6:$P$178,9,FALSE),AB2601)</f>
        <v>0.44037364184945627</v>
      </c>
      <c r="AC2600" s="10">
        <f>IFERROR(VLOOKUP(Summary!B2600,'Pre-Summary'!$A$6:$P$184,5, FALSE)/100,AC2601)</f>
        <v>0.9629049999999999</v>
      </c>
      <c r="AD2600" s="10">
        <f>IFERROR(VLOOKUP(Summary!B2600,'Pre-Summary'!$A$6:$P$184,3, FALSE)/100,AD2601)</f>
        <v>3.0608333333333331E-2</v>
      </c>
      <c r="AE2600" s="10">
        <f>IFERROR(VLOOKUP(Summary!B2600,'Pre-Summary'!$A$6:$P$184,7, FALSE)/100,AE2601)</f>
        <v>6.4959999999999992E-3</v>
      </c>
      <c r="AF2600" s="99">
        <f t="shared" si="121"/>
        <v>1.3479103220942106E-2</v>
      </c>
      <c r="AG2600" s="99">
        <f t="shared" si="122"/>
        <v>2.8606671774540674E-3</v>
      </c>
      <c r="AH2600" s="10" t="str">
        <f>IFERROR(VLOOKUP(B2600,'Pre-Summary'!$AZ$6:$BE$65,3,FALSE),"")</f>
        <v/>
      </c>
      <c r="AI2600" s="10" t="str">
        <f>IFERROR(VLOOKUP(B2600,'Pre-Summary'!$AZ$6:$BE$65,5,FALSE),"")</f>
        <v/>
      </c>
      <c r="AJ2600" s="10" t="str">
        <f>IFERROR(VLOOKUP(B2600,'Pre-Summary'!$AZ$6:$BE$65,4,FALSE),"")</f>
        <v/>
      </c>
      <c r="AK2600" s="10" t="str">
        <f>IFERROR(VLOOKUP(B2600,'Pre-Summary'!$AZ$6:$BE$65,6,FALSE),"")</f>
        <v/>
      </c>
      <c r="AL2600" s="10" t="str">
        <f>IFERROR(VLOOKUP(B2600,'Pre-Summary'!$BG$6:$BL$44,3,FALSE),"")</f>
        <v/>
      </c>
      <c r="AM2600" s="10" t="str">
        <f>IFERROR(VLOOKUP(B2600,'Pre-Summary'!$BG$6:$BL$44,4,FALSE),"")</f>
        <v/>
      </c>
    </row>
    <row r="2601" spans="2:39" ht="15" customHeight="1" x14ac:dyDescent="0.3">
      <c r="B2601">
        <v>259.8</v>
      </c>
      <c r="C2601" t="str">
        <f>IFERROR(VLOOKUP(B2601,'Pre-Summary'!$DI$6:$DM$23,4,FALSE),"")</f>
        <v/>
      </c>
      <c r="D2601" s="10" t="str">
        <f>IFERROR(VLOOKUP(B2601,'Pre-Summary'!$AT$6:$AX$14,5,FALSE),D2600)</f>
        <v>Wolfe v3: went back to modified wolfe + EDTA and switched CuSO4 to CUCl2</v>
      </c>
      <c r="E2601" s="10" t="str">
        <f>IFERROR(VLOOKUP(B2601,'Pre-Summary'!$AT$6:$AX$15,4,FALSE),"")</f>
        <v/>
      </c>
      <c r="F2601">
        <f>IFERROR(VLOOKUP(B2601,'Pre-Summary'!$AL$6:$AQ$13,6,FALSE),F2600)</f>
        <v>5.9405263157894746E-2</v>
      </c>
      <c r="G2601" t="str">
        <f>IFERROR(VLOOKUP(B2601,'Pre-Summary'!$AE$6:$AJ$85,3,FALSE),"")</f>
        <v/>
      </c>
      <c r="H2601" t="str">
        <f>IFERROR(VLOOKUP(B2601,'Pre-Summary'!$AE$6:$AJ$85,4,FALSE),"")</f>
        <v/>
      </c>
      <c r="I2601" t="str">
        <f>IFERROR(VLOOKUP(B2601,'Pre-Summary'!$AE$6:$AJ$85,5,FALSE),"")</f>
        <v/>
      </c>
      <c r="J2601" s="45" t="str">
        <f>IFERROR(VLOOKUP(B2601,'Pre-Summary'!$AE$6:$AJ$85,6, FALSE),"")</f>
        <v/>
      </c>
      <c r="K2601" s="45" t="str">
        <f>IFERROR(VLOOKUP(B2601,'Pre-Summary'!$DE$6:$DG$61,3,FALSE),"")</f>
        <v/>
      </c>
      <c r="L2601" s="45" t="str">
        <f>IFERROR(VLOOKUP(B2601,'Pre-Summary'!$CU$6:$CW$36,3,FALSE),"")</f>
        <v/>
      </c>
      <c r="M2601" s="45" t="str">
        <f>IFERROR(VLOOKUP(B2601,'Pre-Summary'!$BW$6:$BY$58,2,FALSE),"")</f>
        <v/>
      </c>
      <c r="N2601" s="45" t="str">
        <f>IFERROR(VLOOKUP(B2601,'Pre-Summary'!$CD$6:$CF$64,2,FALSE),"")</f>
        <v/>
      </c>
      <c r="O2601" s="99">
        <f>IFERROR(VLOOKUP(B2601,'Pre-Summary'!$BO$6:$BQ$48,3, FALSE),O2600)</f>
        <v>1.83</v>
      </c>
      <c r="P2601" s="99">
        <f>IFERROR(VLOOKUP(B2601,'Pre-Summary'!$BS$6:$BU$35,3,FALSE),P2600)</f>
        <v>0.46200000000000002</v>
      </c>
      <c r="Q2601" s="54">
        <f t="shared" si="120"/>
        <v>3.9610389610389611</v>
      </c>
      <c r="R2601" s="53">
        <f>IFERROR(VLOOKUP(B2601,'Pre-Summary'!$BG$6:$BM$44,7,FALSE),R2602)</f>
        <v>0.10528059183238438</v>
      </c>
      <c r="S2601" s="53">
        <f>IFERROR(VLOOKUP(B2601,'Pre-Summary'!$BG$6:$BM$44,6,FALSE),S2602)</f>
        <v>0.10567591412599613</v>
      </c>
      <c r="T2601" s="45" t="str">
        <f>IFERROR(VLOOKUP(B2601,'Pre-Summary'!$Y$6:$AC$83, 3,FALSE),"")</f>
        <v/>
      </c>
      <c r="U2601" s="45" t="str">
        <f>IFERROR(VLOOKUP(B2601,'Pre-Summary'!$Y$6:$AC$83, 4,FALSE),"")</f>
        <v/>
      </c>
      <c r="V2601" t="str">
        <f>IFERROR(VLOOKUP(B2601,'Pre-Summary'!$Y$6:$AC$83, 5,FALSE),"")</f>
        <v/>
      </c>
      <c r="W2601" s="45" t="str">
        <f>IFERROR(VLOOKUP(B2601,'Pre-Summary'!$Y$6:$AD$83,6,FALSE),"")</f>
        <v/>
      </c>
      <c r="X2601" t="str">
        <f>IFERROR(VLOOKUP('Pre-Summary'!$DB$6:$DD$63,3,FALSE),"")</f>
        <v/>
      </c>
      <c r="Y2601" t="str">
        <f>IFERROR(VLOOKUP(B2601,'Pre-Summary'!$CR$6:$CT$36,3,FALSE),"")</f>
        <v/>
      </c>
      <c r="Z2601" s="45" t="str">
        <f>IFERROR(VLOOKUP(B2601,'Pre-Summary'!$BZ$6:$CB$63,2,FALSE),"")</f>
        <v/>
      </c>
      <c r="AA2601" s="45" t="str">
        <f>IFERROR(VLOOKUP(B2601,'Pre-Summary'!$CG$6:$CI$70,2,FALSE),"")</f>
        <v/>
      </c>
      <c r="AB2601" s="99">
        <f>IFERROR(VLOOKUP(B2601,'Pre-Summary'!$A$6:$P$178,9,FALSE),AB2602)</f>
        <v>0.44037364184945627</v>
      </c>
      <c r="AC2601" s="10">
        <f>IFERROR(VLOOKUP(Summary!B2601,'Pre-Summary'!$A$6:$P$184,5, FALSE)/100,AC2602)</f>
        <v>0.9629049999999999</v>
      </c>
      <c r="AD2601" s="10">
        <f>IFERROR(VLOOKUP(Summary!B2601,'Pre-Summary'!$A$6:$P$184,3, FALSE)/100,AD2602)</f>
        <v>3.0608333333333331E-2</v>
      </c>
      <c r="AE2601" s="10">
        <f>IFERROR(VLOOKUP(Summary!B2601,'Pre-Summary'!$A$6:$P$184,7, FALSE)/100,AE2602)</f>
        <v>6.4959999999999992E-3</v>
      </c>
      <c r="AF2601" s="99">
        <f t="shared" si="121"/>
        <v>1.3479103220942106E-2</v>
      </c>
      <c r="AG2601" s="99">
        <f t="shared" si="122"/>
        <v>2.8606671774540674E-3</v>
      </c>
      <c r="AH2601" s="10" t="str">
        <f>IFERROR(VLOOKUP(B2601,'Pre-Summary'!$AZ$6:$BE$65,3,FALSE),"")</f>
        <v/>
      </c>
      <c r="AI2601" s="10" t="str">
        <f>IFERROR(VLOOKUP(B2601,'Pre-Summary'!$AZ$6:$BE$65,5,FALSE),"")</f>
        <v/>
      </c>
      <c r="AJ2601" s="10" t="str">
        <f>IFERROR(VLOOKUP(B2601,'Pre-Summary'!$AZ$6:$BE$65,4,FALSE),"")</f>
        <v/>
      </c>
      <c r="AK2601" s="10" t="str">
        <f>IFERROR(VLOOKUP(B2601,'Pre-Summary'!$AZ$6:$BE$65,6,FALSE),"")</f>
        <v/>
      </c>
      <c r="AL2601" s="10" t="str">
        <f>IFERROR(VLOOKUP(B2601,'Pre-Summary'!$BG$6:$BL$44,3,FALSE),"")</f>
        <v/>
      </c>
      <c r="AM2601" s="10" t="str">
        <f>IFERROR(VLOOKUP(B2601,'Pre-Summary'!$BG$6:$BL$44,4,FALSE),"")</f>
        <v/>
      </c>
    </row>
    <row r="2602" spans="2:39" ht="15" customHeight="1" x14ac:dyDescent="0.3">
      <c r="B2602">
        <v>259.89999999999998</v>
      </c>
      <c r="C2602" t="str">
        <f>IFERROR(VLOOKUP(B2602,'Pre-Summary'!$DI$6:$DM$23,4,FALSE),"")</f>
        <v/>
      </c>
      <c r="D2602" s="10" t="str">
        <f>IFERROR(VLOOKUP(B2602,'Pre-Summary'!$AT$6:$AX$14,5,FALSE),D2601)</f>
        <v>Wolfe v3: went back to modified wolfe + EDTA and switched CuSO4 to CUCl2</v>
      </c>
      <c r="E2602" s="10" t="str">
        <f>IFERROR(VLOOKUP(B2602,'Pre-Summary'!$AT$6:$AX$15,4,FALSE),"")</f>
        <v/>
      </c>
      <c r="F2602">
        <f>IFERROR(VLOOKUP(B2602,'Pre-Summary'!$AL$6:$AQ$13,6,FALSE),F2601)</f>
        <v>5.9405263157894746E-2</v>
      </c>
      <c r="G2602" t="str">
        <f>IFERROR(VLOOKUP(B2602,'Pre-Summary'!$AE$6:$AJ$85,3,FALSE),"")</f>
        <v/>
      </c>
      <c r="H2602" t="str">
        <f>IFERROR(VLOOKUP(B2602,'Pre-Summary'!$AE$6:$AJ$85,4,FALSE),"")</f>
        <v/>
      </c>
      <c r="I2602" t="str">
        <f>IFERROR(VLOOKUP(B2602,'Pre-Summary'!$AE$6:$AJ$85,5,FALSE),"")</f>
        <v/>
      </c>
      <c r="J2602" s="45" t="str">
        <f>IFERROR(VLOOKUP(B2602,'Pre-Summary'!$AE$6:$AJ$85,6, FALSE),"")</f>
        <v/>
      </c>
      <c r="K2602" s="45" t="str">
        <f>IFERROR(VLOOKUP(B2602,'Pre-Summary'!$DE$6:$DG$61,3,FALSE),"")</f>
        <v/>
      </c>
      <c r="L2602" s="45" t="str">
        <f>IFERROR(VLOOKUP(B2602,'Pre-Summary'!$CU$6:$CW$36,3,FALSE),"")</f>
        <v/>
      </c>
      <c r="M2602" s="45" t="str">
        <f>IFERROR(VLOOKUP(B2602,'Pre-Summary'!$BW$6:$BY$58,2,FALSE),"")</f>
        <v/>
      </c>
      <c r="N2602" s="45" t="str">
        <f>IFERROR(VLOOKUP(B2602,'Pre-Summary'!$CD$6:$CF$64,2,FALSE),"")</f>
        <v/>
      </c>
      <c r="O2602" s="99">
        <f>IFERROR(VLOOKUP(B2602,'Pre-Summary'!$BO$6:$BQ$48,3, FALSE),O2601)</f>
        <v>1.83</v>
      </c>
      <c r="P2602" s="99">
        <f>IFERROR(VLOOKUP(B2602,'Pre-Summary'!$BS$6:$BU$35,3,FALSE),P2601)</f>
        <v>0.46200000000000002</v>
      </c>
      <c r="Q2602" s="54">
        <f t="shared" si="120"/>
        <v>3.9610389610389611</v>
      </c>
      <c r="R2602" s="53">
        <f>IFERROR(VLOOKUP(B2602,'Pre-Summary'!$BG$6:$BM$44,7,FALSE),R2603)</f>
        <v>0.10528059183238438</v>
      </c>
      <c r="S2602" s="53">
        <f>IFERROR(VLOOKUP(B2602,'Pre-Summary'!$BG$6:$BM$44,6,FALSE),S2603)</f>
        <v>0.10567591412599613</v>
      </c>
      <c r="T2602" s="45" t="str">
        <f>IFERROR(VLOOKUP(B2602,'Pre-Summary'!$Y$6:$AC$83, 3,FALSE),"")</f>
        <v/>
      </c>
      <c r="U2602" s="45" t="str">
        <f>IFERROR(VLOOKUP(B2602,'Pre-Summary'!$Y$6:$AC$83, 4,FALSE),"")</f>
        <v/>
      </c>
      <c r="V2602" t="str">
        <f>IFERROR(VLOOKUP(B2602,'Pre-Summary'!$Y$6:$AC$83, 5,FALSE),"")</f>
        <v/>
      </c>
      <c r="W2602" s="45" t="str">
        <f>IFERROR(VLOOKUP(B2602,'Pre-Summary'!$Y$6:$AD$83,6,FALSE),"")</f>
        <v/>
      </c>
      <c r="X2602" t="str">
        <f>IFERROR(VLOOKUP('Pre-Summary'!$DB$6:$DD$63,3,FALSE),"")</f>
        <v/>
      </c>
      <c r="Y2602" t="str">
        <f>IFERROR(VLOOKUP(B2602,'Pre-Summary'!$CR$6:$CT$36,3,FALSE),"")</f>
        <v/>
      </c>
      <c r="Z2602" s="45" t="str">
        <f>IFERROR(VLOOKUP(B2602,'Pre-Summary'!$BZ$6:$CB$63,2,FALSE),"")</f>
        <v/>
      </c>
      <c r="AA2602" s="45" t="str">
        <f>IFERROR(VLOOKUP(B2602,'Pre-Summary'!$CG$6:$CI$70,2,FALSE),"")</f>
        <v/>
      </c>
      <c r="AB2602" s="99">
        <f>IFERROR(VLOOKUP(B2602,'Pre-Summary'!$A$6:$P$178,9,FALSE),AB2603)</f>
        <v>0.44037364184945627</v>
      </c>
      <c r="AC2602" s="10">
        <f>IFERROR(VLOOKUP(Summary!B2602,'Pre-Summary'!$A$6:$P$184,5, FALSE)/100,AC2603)</f>
        <v>0.9629049999999999</v>
      </c>
      <c r="AD2602" s="10">
        <f>IFERROR(VLOOKUP(Summary!B2602,'Pre-Summary'!$A$6:$P$184,3, FALSE)/100,AD2603)</f>
        <v>3.0608333333333331E-2</v>
      </c>
      <c r="AE2602" s="10">
        <f>IFERROR(VLOOKUP(Summary!B2602,'Pre-Summary'!$A$6:$P$184,7, FALSE)/100,AE2603)</f>
        <v>6.4959999999999992E-3</v>
      </c>
      <c r="AF2602" s="99">
        <f t="shared" si="121"/>
        <v>1.3479103220942106E-2</v>
      </c>
      <c r="AG2602" s="99">
        <f t="shared" si="122"/>
        <v>2.8606671774540674E-3</v>
      </c>
      <c r="AH2602" s="10" t="str">
        <f>IFERROR(VLOOKUP(B2602,'Pre-Summary'!$AZ$6:$BE$65,3,FALSE),"")</f>
        <v/>
      </c>
      <c r="AI2602" s="10" t="str">
        <f>IFERROR(VLOOKUP(B2602,'Pre-Summary'!$AZ$6:$BE$65,5,FALSE),"")</f>
        <v/>
      </c>
      <c r="AJ2602" s="10" t="str">
        <f>IFERROR(VLOOKUP(B2602,'Pre-Summary'!$AZ$6:$BE$65,4,FALSE),"")</f>
        <v/>
      </c>
      <c r="AK2602" s="10" t="str">
        <f>IFERROR(VLOOKUP(B2602,'Pre-Summary'!$AZ$6:$BE$65,6,FALSE),"")</f>
        <v/>
      </c>
      <c r="AL2602" s="10" t="str">
        <f>IFERROR(VLOOKUP(B2602,'Pre-Summary'!$BG$6:$BL$44,3,FALSE),"")</f>
        <v/>
      </c>
      <c r="AM2602" s="10" t="str">
        <f>IFERROR(VLOOKUP(B2602,'Pre-Summary'!$BG$6:$BL$44,4,FALSE),"")</f>
        <v/>
      </c>
    </row>
    <row r="2603" spans="2:39" ht="15" customHeight="1" x14ac:dyDescent="0.3">
      <c r="B2603">
        <v>260</v>
      </c>
      <c r="C2603" t="str">
        <f>IFERROR(VLOOKUP(B2603,'Pre-Summary'!$DI$6:$DM$23,4,FALSE),"")</f>
        <v/>
      </c>
      <c r="D2603" s="10" t="str">
        <f>IFERROR(VLOOKUP(B2603,'Pre-Summary'!$AT$6:$AX$14,5,FALSE),D2602)</f>
        <v>Wolfe v3: went back to modified wolfe + EDTA and switched CuSO4 to CUCl2</v>
      </c>
      <c r="E2603" s="10" t="str">
        <f>IFERROR(VLOOKUP(B2603,'Pre-Summary'!$AT$6:$AX$15,4,FALSE),"")</f>
        <v/>
      </c>
      <c r="F2603">
        <f>IFERROR(VLOOKUP(B2603,'Pre-Summary'!$AL$6:$AQ$13,6,FALSE),F2602)</f>
        <v>5.9405263157894746E-2</v>
      </c>
      <c r="G2603" t="str">
        <f>IFERROR(VLOOKUP(B2603,'Pre-Summary'!$AE$6:$AJ$85,3,FALSE),"")</f>
        <v/>
      </c>
      <c r="H2603" t="str">
        <f>IFERROR(VLOOKUP(B2603,'Pre-Summary'!$AE$6:$AJ$85,4,FALSE),"")</f>
        <v/>
      </c>
      <c r="I2603" t="str">
        <f>IFERROR(VLOOKUP(B2603,'Pre-Summary'!$AE$6:$AJ$85,5,FALSE),"")</f>
        <v/>
      </c>
      <c r="J2603" s="45" t="str">
        <f>IFERROR(VLOOKUP(B2603,'Pre-Summary'!$AE$6:$AJ$85,6, FALSE),"")</f>
        <v/>
      </c>
      <c r="K2603" s="45" t="str">
        <f>IFERROR(VLOOKUP(B2603,'Pre-Summary'!$DE$6:$DG$61,3,FALSE),"")</f>
        <v/>
      </c>
      <c r="L2603" s="45" t="str">
        <f>IFERROR(VLOOKUP(B2603,'Pre-Summary'!$CU$6:$CW$36,3,FALSE),"")</f>
        <v/>
      </c>
      <c r="M2603" s="45" t="str">
        <f>IFERROR(VLOOKUP(B2603,'Pre-Summary'!$BW$6:$BY$58,2,FALSE),"")</f>
        <v/>
      </c>
      <c r="N2603" s="45" t="str">
        <f>IFERROR(VLOOKUP(B2603,'Pre-Summary'!$CD$6:$CF$64,2,FALSE),"")</f>
        <v/>
      </c>
      <c r="O2603" s="99">
        <f>IFERROR(VLOOKUP(B2603,'Pre-Summary'!$BO$6:$BQ$48,3, FALSE),O2602)</f>
        <v>1.83</v>
      </c>
      <c r="P2603" s="99">
        <f>IFERROR(VLOOKUP(B2603,'Pre-Summary'!$BS$6:$BU$35,3,FALSE),P2602)</f>
        <v>0.46200000000000002</v>
      </c>
      <c r="Q2603" s="54">
        <f t="shared" si="120"/>
        <v>3.9610389610389611</v>
      </c>
      <c r="R2603" s="53">
        <f>IFERROR(VLOOKUP(B2603,'Pre-Summary'!$BG$6:$BM$44,7,FALSE),R2604)</f>
        <v>0.10528059183238438</v>
      </c>
      <c r="S2603" s="53">
        <f>IFERROR(VLOOKUP(B2603,'Pre-Summary'!$BG$6:$BM$44,6,FALSE),S2604)</f>
        <v>0.10567591412599613</v>
      </c>
      <c r="T2603" s="45" t="str">
        <f>IFERROR(VLOOKUP(B2603,'Pre-Summary'!$Y$6:$AC$83, 3,FALSE),"")</f>
        <v/>
      </c>
      <c r="U2603" s="45" t="str">
        <f>IFERROR(VLOOKUP(B2603,'Pre-Summary'!$Y$6:$AC$83, 4,FALSE),"")</f>
        <v/>
      </c>
      <c r="V2603" t="str">
        <f>IFERROR(VLOOKUP(B2603,'Pre-Summary'!$Y$6:$AC$83, 5,FALSE),"")</f>
        <v/>
      </c>
      <c r="W2603" s="45" t="str">
        <f>IFERROR(VLOOKUP(B2603,'Pre-Summary'!$Y$6:$AD$83,6,FALSE),"")</f>
        <v/>
      </c>
      <c r="X2603" t="str">
        <f>IFERROR(VLOOKUP('Pre-Summary'!$DB$6:$DD$63,3,FALSE),"")</f>
        <v/>
      </c>
      <c r="Y2603" t="str">
        <f>IFERROR(VLOOKUP(B2603,'Pre-Summary'!$CR$6:$CT$36,3,FALSE),"")</f>
        <v/>
      </c>
      <c r="Z2603" s="45" t="str">
        <f>IFERROR(VLOOKUP(B2603,'Pre-Summary'!$BZ$6:$CB$63,2,FALSE),"")</f>
        <v/>
      </c>
      <c r="AA2603" s="45" t="str">
        <f>IFERROR(VLOOKUP(B2603,'Pre-Summary'!$CG$6:$CI$70,2,FALSE),"")</f>
        <v/>
      </c>
      <c r="AB2603" s="99">
        <f>IFERROR(VLOOKUP(B2603,'Pre-Summary'!$A$6:$P$178,9,FALSE),AB2604)</f>
        <v>0.44037364184945627</v>
      </c>
      <c r="AC2603" s="10">
        <f>IFERROR(VLOOKUP(Summary!B2603,'Pre-Summary'!$A$6:$P$184,5, FALSE)/100,AC2604)</f>
        <v>0.9629049999999999</v>
      </c>
      <c r="AD2603" s="10">
        <f>IFERROR(VLOOKUP(Summary!B2603,'Pre-Summary'!$A$6:$P$184,3, FALSE)/100,AD2604)</f>
        <v>3.0608333333333331E-2</v>
      </c>
      <c r="AE2603" s="10">
        <f>IFERROR(VLOOKUP(Summary!B2603,'Pre-Summary'!$A$6:$P$184,7, FALSE)/100,AE2604)</f>
        <v>6.4959999999999992E-3</v>
      </c>
      <c r="AF2603" s="99">
        <f t="shared" si="121"/>
        <v>1.3479103220942106E-2</v>
      </c>
      <c r="AG2603" s="99">
        <f t="shared" si="122"/>
        <v>2.8606671774540674E-3</v>
      </c>
      <c r="AH2603" s="10" t="str">
        <f>IFERROR(VLOOKUP(B2603,'Pre-Summary'!$AZ$6:$BE$65,3,FALSE),"")</f>
        <v/>
      </c>
      <c r="AI2603" s="10" t="str">
        <f>IFERROR(VLOOKUP(B2603,'Pre-Summary'!$AZ$6:$BE$65,5,FALSE),"")</f>
        <v/>
      </c>
      <c r="AJ2603" s="10" t="str">
        <f>IFERROR(VLOOKUP(B2603,'Pre-Summary'!$AZ$6:$BE$65,4,FALSE),"")</f>
        <v/>
      </c>
      <c r="AK2603" s="10" t="str">
        <f>IFERROR(VLOOKUP(B2603,'Pre-Summary'!$AZ$6:$BE$65,6,FALSE),"")</f>
        <v/>
      </c>
      <c r="AL2603" s="10" t="str">
        <f>IFERROR(VLOOKUP(B2603,'Pre-Summary'!$BG$6:$BL$44,3,FALSE),"")</f>
        <v/>
      </c>
      <c r="AM2603" s="10" t="str">
        <f>IFERROR(VLOOKUP(B2603,'Pre-Summary'!$BG$6:$BL$44,4,FALSE),"")</f>
        <v/>
      </c>
    </row>
    <row r="2604" spans="2:39" ht="15" customHeight="1" x14ac:dyDescent="0.3">
      <c r="B2604">
        <v>260.10000000000002</v>
      </c>
      <c r="C2604" t="str">
        <f>IFERROR(VLOOKUP(B2604,'Pre-Summary'!$DI$6:$DM$23,4,FALSE),"")</f>
        <v/>
      </c>
      <c r="D2604" s="10" t="str">
        <f>IFERROR(VLOOKUP(B2604,'Pre-Summary'!$AT$6:$AX$14,5,FALSE),D2603)</f>
        <v>Wolfe v3: went back to modified wolfe + EDTA and switched CuSO4 to CUCl2</v>
      </c>
      <c r="E2604" s="10" t="str">
        <f>IFERROR(VLOOKUP(B2604,'Pre-Summary'!$AT$6:$AX$15,4,FALSE),"")</f>
        <v/>
      </c>
      <c r="F2604">
        <f>IFERROR(VLOOKUP(B2604,'Pre-Summary'!$AL$6:$AQ$13,6,FALSE),F2603)</f>
        <v>5.9405263157894746E-2</v>
      </c>
      <c r="G2604" t="str">
        <f>IFERROR(VLOOKUP(B2604,'Pre-Summary'!$AE$6:$AJ$85,3,FALSE),"")</f>
        <v/>
      </c>
      <c r="H2604" t="str">
        <f>IFERROR(VLOOKUP(B2604,'Pre-Summary'!$AE$6:$AJ$85,4,FALSE),"")</f>
        <v/>
      </c>
      <c r="I2604" t="str">
        <f>IFERROR(VLOOKUP(B2604,'Pre-Summary'!$AE$6:$AJ$85,5,FALSE),"")</f>
        <v/>
      </c>
      <c r="J2604" s="45" t="str">
        <f>IFERROR(VLOOKUP(B2604,'Pre-Summary'!$AE$6:$AJ$85,6, FALSE),"")</f>
        <v/>
      </c>
      <c r="K2604" s="45" t="str">
        <f>IFERROR(VLOOKUP(B2604,'Pre-Summary'!$DE$6:$DG$61,3,FALSE),"")</f>
        <v/>
      </c>
      <c r="L2604" s="45" t="str">
        <f>IFERROR(VLOOKUP(B2604,'Pre-Summary'!$CU$6:$CW$36,3,FALSE),"")</f>
        <v/>
      </c>
      <c r="M2604" s="45" t="str">
        <f>IFERROR(VLOOKUP(B2604,'Pre-Summary'!$BW$6:$BY$58,2,FALSE),"")</f>
        <v/>
      </c>
      <c r="N2604" s="45" t="str">
        <f>IFERROR(VLOOKUP(B2604,'Pre-Summary'!$CD$6:$CF$64,2,FALSE),"")</f>
        <v/>
      </c>
      <c r="O2604" s="99">
        <f>IFERROR(VLOOKUP(B2604,'Pre-Summary'!$BO$6:$BQ$48,3, FALSE),O2603)</f>
        <v>1.83</v>
      </c>
      <c r="P2604" s="99">
        <f>IFERROR(VLOOKUP(B2604,'Pre-Summary'!$BS$6:$BU$35,3,FALSE),P2603)</f>
        <v>0.46200000000000002</v>
      </c>
      <c r="Q2604" s="54">
        <f t="shared" si="120"/>
        <v>3.9610389610389611</v>
      </c>
      <c r="R2604" s="53">
        <f>IFERROR(VLOOKUP(B2604,'Pre-Summary'!$BG$6:$BM$44,7,FALSE),R2605)</f>
        <v>0.10528059183238438</v>
      </c>
      <c r="S2604" s="53">
        <f>IFERROR(VLOOKUP(B2604,'Pre-Summary'!$BG$6:$BM$44,6,FALSE),S2605)</f>
        <v>0.10567591412599613</v>
      </c>
      <c r="T2604" s="45" t="str">
        <f>IFERROR(VLOOKUP(B2604,'Pre-Summary'!$Y$6:$AC$83, 3,FALSE),"")</f>
        <v/>
      </c>
      <c r="U2604" s="45" t="str">
        <f>IFERROR(VLOOKUP(B2604,'Pre-Summary'!$Y$6:$AC$83, 4,FALSE),"")</f>
        <v/>
      </c>
      <c r="V2604" t="str">
        <f>IFERROR(VLOOKUP(B2604,'Pre-Summary'!$Y$6:$AC$83, 5,FALSE),"")</f>
        <v/>
      </c>
      <c r="W2604" s="45" t="str">
        <f>IFERROR(VLOOKUP(B2604,'Pre-Summary'!$Y$6:$AD$83,6,FALSE),"")</f>
        <v/>
      </c>
      <c r="X2604" t="str">
        <f>IFERROR(VLOOKUP('Pre-Summary'!$DB$6:$DD$63,3,FALSE),"")</f>
        <v/>
      </c>
      <c r="Y2604" t="str">
        <f>IFERROR(VLOOKUP(B2604,'Pre-Summary'!$CR$6:$CT$36,3,FALSE),"")</f>
        <v/>
      </c>
      <c r="Z2604" s="45" t="str">
        <f>IFERROR(VLOOKUP(B2604,'Pre-Summary'!$BZ$6:$CB$63,2,FALSE),"")</f>
        <v/>
      </c>
      <c r="AA2604" s="45" t="str">
        <f>IFERROR(VLOOKUP(B2604,'Pre-Summary'!$CG$6:$CI$70,2,FALSE),"")</f>
        <v/>
      </c>
      <c r="AB2604" s="99">
        <f>IFERROR(VLOOKUP(B2604,'Pre-Summary'!$A$6:$P$178,9,FALSE),AB2605)</f>
        <v>0.44037364184945627</v>
      </c>
      <c r="AC2604" s="10">
        <f>IFERROR(VLOOKUP(Summary!B2604,'Pre-Summary'!$A$6:$P$184,5, FALSE)/100,AC2605)</f>
        <v>0.9629049999999999</v>
      </c>
      <c r="AD2604" s="10">
        <f>IFERROR(VLOOKUP(Summary!B2604,'Pre-Summary'!$A$6:$P$184,3, FALSE)/100,AD2605)</f>
        <v>3.0608333333333331E-2</v>
      </c>
      <c r="AE2604" s="10">
        <f>IFERROR(VLOOKUP(Summary!B2604,'Pre-Summary'!$A$6:$P$184,7, FALSE)/100,AE2605)</f>
        <v>6.4959999999999992E-3</v>
      </c>
      <c r="AF2604" s="99">
        <f t="shared" si="121"/>
        <v>1.3479103220942106E-2</v>
      </c>
      <c r="AG2604" s="99">
        <f t="shared" si="122"/>
        <v>2.8606671774540674E-3</v>
      </c>
      <c r="AH2604" s="10" t="str">
        <f>IFERROR(VLOOKUP(B2604,'Pre-Summary'!$AZ$6:$BE$65,3,FALSE),"")</f>
        <v/>
      </c>
      <c r="AI2604" s="10" t="str">
        <f>IFERROR(VLOOKUP(B2604,'Pre-Summary'!$AZ$6:$BE$65,5,FALSE),"")</f>
        <v/>
      </c>
      <c r="AJ2604" s="10" t="str">
        <f>IFERROR(VLOOKUP(B2604,'Pre-Summary'!$AZ$6:$BE$65,4,FALSE),"")</f>
        <v/>
      </c>
      <c r="AK2604" s="10" t="str">
        <f>IFERROR(VLOOKUP(B2604,'Pre-Summary'!$AZ$6:$BE$65,6,FALSE),"")</f>
        <v/>
      </c>
      <c r="AL2604" s="10" t="str">
        <f>IFERROR(VLOOKUP(B2604,'Pre-Summary'!$BG$6:$BL$44,3,FALSE),"")</f>
        <v/>
      </c>
      <c r="AM2604" s="10" t="str">
        <f>IFERROR(VLOOKUP(B2604,'Pre-Summary'!$BG$6:$BL$44,4,FALSE),"")</f>
        <v/>
      </c>
    </row>
    <row r="2605" spans="2:39" ht="15" customHeight="1" x14ac:dyDescent="0.3">
      <c r="B2605">
        <v>260.2</v>
      </c>
      <c r="C2605" t="str">
        <f>IFERROR(VLOOKUP(B2605,'Pre-Summary'!$DI$6:$DM$23,4,FALSE),"")</f>
        <v/>
      </c>
      <c r="D2605" s="10" t="str">
        <f>IFERROR(VLOOKUP(B2605,'Pre-Summary'!$AT$6:$AX$14,5,FALSE),D2604)</f>
        <v>Wolfe v3: went back to modified wolfe + EDTA and switched CuSO4 to CUCl2</v>
      </c>
      <c r="E2605" s="10" t="str">
        <f>IFERROR(VLOOKUP(B2605,'Pre-Summary'!$AT$6:$AX$15,4,FALSE),"")</f>
        <v/>
      </c>
      <c r="F2605">
        <f>IFERROR(VLOOKUP(B2605,'Pre-Summary'!$AL$6:$AQ$13,6,FALSE),F2604)</f>
        <v>5.9405263157894746E-2</v>
      </c>
      <c r="G2605" t="str">
        <f>IFERROR(VLOOKUP(B2605,'Pre-Summary'!$AE$6:$AJ$85,3,FALSE),"")</f>
        <v/>
      </c>
      <c r="H2605" t="str">
        <f>IFERROR(VLOOKUP(B2605,'Pre-Summary'!$AE$6:$AJ$85,4,FALSE),"")</f>
        <v/>
      </c>
      <c r="I2605" t="str">
        <f>IFERROR(VLOOKUP(B2605,'Pre-Summary'!$AE$6:$AJ$85,5,FALSE),"")</f>
        <v/>
      </c>
      <c r="J2605" s="45" t="str">
        <f>IFERROR(VLOOKUP(B2605,'Pre-Summary'!$AE$6:$AJ$85,6, FALSE),"")</f>
        <v/>
      </c>
      <c r="K2605" s="45" t="str">
        <f>IFERROR(VLOOKUP(B2605,'Pre-Summary'!$DE$6:$DG$61,3,FALSE),"")</f>
        <v/>
      </c>
      <c r="L2605" s="45" t="str">
        <f>IFERROR(VLOOKUP(B2605,'Pre-Summary'!$CU$6:$CW$36,3,FALSE),"")</f>
        <v/>
      </c>
      <c r="M2605" s="45" t="str">
        <f>IFERROR(VLOOKUP(B2605,'Pre-Summary'!$BW$6:$BY$58,2,FALSE),"")</f>
        <v/>
      </c>
      <c r="N2605" s="45" t="str">
        <f>IFERROR(VLOOKUP(B2605,'Pre-Summary'!$CD$6:$CF$64,2,FALSE),"")</f>
        <v/>
      </c>
      <c r="O2605" s="99">
        <f>IFERROR(VLOOKUP(B2605,'Pre-Summary'!$BO$6:$BQ$48,3, FALSE),O2604)</f>
        <v>1.83</v>
      </c>
      <c r="P2605" s="99">
        <f>IFERROR(VLOOKUP(B2605,'Pre-Summary'!$BS$6:$BU$35,3,FALSE),P2604)</f>
        <v>0.46200000000000002</v>
      </c>
      <c r="Q2605" s="54">
        <f t="shared" si="120"/>
        <v>3.9610389610389611</v>
      </c>
      <c r="R2605" s="53">
        <f>IFERROR(VLOOKUP(B2605,'Pre-Summary'!$BG$6:$BM$44,7,FALSE),R2606)</f>
        <v>0.10528059183238438</v>
      </c>
      <c r="S2605" s="53">
        <f>IFERROR(VLOOKUP(B2605,'Pre-Summary'!$BG$6:$BM$44,6,FALSE),S2606)</f>
        <v>0.10567591412599613</v>
      </c>
      <c r="T2605" s="45" t="str">
        <f>IFERROR(VLOOKUP(B2605,'Pre-Summary'!$Y$6:$AC$83, 3,FALSE),"")</f>
        <v/>
      </c>
      <c r="U2605" s="45" t="str">
        <f>IFERROR(VLOOKUP(B2605,'Pre-Summary'!$Y$6:$AC$83, 4,FALSE),"")</f>
        <v/>
      </c>
      <c r="V2605" t="str">
        <f>IFERROR(VLOOKUP(B2605,'Pre-Summary'!$Y$6:$AC$83, 5,FALSE),"")</f>
        <v/>
      </c>
      <c r="W2605" s="45" t="str">
        <f>IFERROR(VLOOKUP(B2605,'Pre-Summary'!$Y$6:$AD$83,6,FALSE),"")</f>
        <v/>
      </c>
      <c r="X2605" t="str">
        <f>IFERROR(VLOOKUP('Pre-Summary'!$DB$6:$DD$63,3,FALSE),"")</f>
        <v/>
      </c>
      <c r="Y2605" t="str">
        <f>IFERROR(VLOOKUP(B2605,'Pre-Summary'!$CR$6:$CT$36,3,FALSE),"")</f>
        <v/>
      </c>
      <c r="Z2605" s="45" t="str">
        <f>IFERROR(VLOOKUP(B2605,'Pre-Summary'!$BZ$6:$CB$63,2,FALSE),"")</f>
        <v/>
      </c>
      <c r="AA2605" s="45" t="str">
        <f>IFERROR(VLOOKUP(B2605,'Pre-Summary'!$CG$6:$CI$70,2,FALSE),"")</f>
        <v/>
      </c>
      <c r="AB2605" s="99">
        <f>IFERROR(VLOOKUP(B2605,'Pre-Summary'!$A$6:$P$178,9,FALSE),AB2606)</f>
        <v>0.44037364184945627</v>
      </c>
      <c r="AC2605" s="10">
        <f>IFERROR(VLOOKUP(Summary!B2605,'Pre-Summary'!$A$6:$P$184,5, FALSE)/100,AC2606)</f>
        <v>0.9629049999999999</v>
      </c>
      <c r="AD2605" s="10">
        <f>IFERROR(VLOOKUP(Summary!B2605,'Pre-Summary'!$A$6:$P$184,3, FALSE)/100,AD2606)</f>
        <v>3.0608333333333331E-2</v>
      </c>
      <c r="AE2605" s="10">
        <f>IFERROR(VLOOKUP(Summary!B2605,'Pre-Summary'!$A$6:$P$184,7, FALSE)/100,AE2606)</f>
        <v>6.4959999999999992E-3</v>
      </c>
      <c r="AF2605" s="99">
        <f t="shared" si="121"/>
        <v>1.3479103220942106E-2</v>
      </c>
      <c r="AG2605" s="99">
        <f t="shared" si="122"/>
        <v>2.8606671774540674E-3</v>
      </c>
      <c r="AH2605" s="10" t="str">
        <f>IFERROR(VLOOKUP(B2605,'Pre-Summary'!$AZ$6:$BE$65,3,FALSE),"")</f>
        <v/>
      </c>
      <c r="AI2605" s="10" t="str">
        <f>IFERROR(VLOOKUP(B2605,'Pre-Summary'!$AZ$6:$BE$65,5,FALSE),"")</f>
        <v/>
      </c>
      <c r="AJ2605" s="10" t="str">
        <f>IFERROR(VLOOKUP(B2605,'Pre-Summary'!$AZ$6:$BE$65,4,FALSE),"")</f>
        <v/>
      </c>
      <c r="AK2605" s="10" t="str">
        <f>IFERROR(VLOOKUP(B2605,'Pre-Summary'!$AZ$6:$BE$65,6,FALSE),"")</f>
        <v/>
      </c>
      <c r="AL2605" s="10" t="str">
        <f>IFERROR(VLOOKUP(B2605,'Pre-Summary'!$BG$6:$BL$44,3,FALSE),"")</f>
        <v/>
      </c>
      <c r="AM2605" s="10" t="str">
        <f>IFERROR(VLOOKUP(B2605,'Pre-Summary'!$BG$6:$BL$44,4,FALSE),"")</f>
        <v/>
      </c>
    </row>
    <row r="2606" spans="2:39" ht="15" customHeight="1" x14ac:dyDescent="0.3">
      <c r="B2606">
        <v>260.3</v>
      </c>
      <c r="C2606" t="str">
        <f>IFERROR(VLOOKUP(B2606,'Pre-Summary'!$DI$6:$DM$23,4,FALSE),"")</f>
        <v/>
      </c>
      <c r="D2606" s="10" t="str">
        <f>IFERROR(VLOOKUP(B2606,'Pre-Summary'!$AT$6:$AX$14,5,FALSE),D2605)</f>
        <v>Wolfe v3: went back to modified wolfe + EDTA and switched CuSO4 to CUCl2</v>
      </c>
      <c r="E2606" s="10" t="str">
        <f>IFERROR(VLOOKUP(B2606,'Pre-Summary'!$AT$6:$AX$15,4,FALSE),"")</f>
        <v/>
      </c>
      <c r="F2606">
        <f>IFERROR(VLOOKUP(B2606,'Pre-Summary'!$AL$6:$AQ$13,6,FALSE),F2605)</f>
        <v>5.9405263157894746E-2</v>
      </c>
      <c r="G2606" t="str">
        <f>IFERROR(VLOOKUP(B2606,'Pre-Summary'!$AE$6:$AJ$85,3,FALSE),"")</f>
        <v/>
      </c>
      <c r="H2606" t="str">
        <f>IFERROR(VLOOKUP(B2606,'Pre-Summary'!$AE$6:$AJ$85,4,FALSE),"")</f>
        <v/>
      </c>
      <c r="I2606" t="str">
        <f>IFERROR(VLOOKUP(B2606,'Pre-Summary'!$AE$6:$AJ$85,5,FALSE),"")</f>
        <v/>
      </c>
      <c r="J2606" s="45" t="str">
        <f>IFERROR(VLOOKUP(B2606,'Pre-Summary'!$AE$6:$AJ$85,6, FALSE),"")</f>
        <v/>
      </c>
      <c r="K2606" s="45" t="str">
        <f>IFERROR(VLOOKUP(B2606,'Pre-Summary'!$DE$6:$DG$61,3,FALSE),"")</f>
        <v/>
      </c>
      <c r="L2606" s="45" t="str">
        <f>IFERROR(VLOOKUP(B2606,'Pre-Summary'!$CU$6:$CW$36,3,FALSE),"")</f>
        <v/>
      </c>
      <c r="M2606" s="45" t="str">
        <f>IFERROR(VLOOKUP(B2606,'Pre-Summary'!$BW$6:$BY$58,2,FALSE),"")</f>
        <v/>
      </c>
      <c r="N2606" s="45" t="str">
        <f>IFERROR(VLOOKUP(B2606,'Pre-Summary'!$CD$6:$CF$64,2,FALSE),"")</f>
        <v/>
      </c>
      <c r="O2606" s="99">
        <f>IFERROR(VLOOKUP(B2606,'Pre-Summary'!$BO$6:$BQ$48,3, FALSE),O2605)</f>
        <v>1.83</v>
      </c>
      <c r="P2606" s="99">
        <f>IFERROR(VLOOKUP(B2606,'Pre-Summary'!$BS$6:$BU$35,3,FALSE),P2605)</f>
        <v>0.46200000000000002</v>
      </c>
      <c r="Q2606" s="54">
        <f t="shared" si="120"/>
        <v>3.9610389610389611</v>
      </c>
      <c r="R2606" s="53">
        <f>IFERROR(VLOOKUP(B2606,'Pre-Summary'!$BG$6:$BM$44,7,FALSE),R2607)</f>
        <v>0.10528059183238438</v>
      </c>
      <c r="S2606" s="53">
        <f>IFERROR(VLOOKUP(B2606,'Pre-Summary'!$BG$6:$BM$44,6,FALSE),S2607)</f>
        <v>0.10567591412599613</v>
      </c>
      <c r="T2606" s="45" t="str">
        <f>IFERROR(VLOOKUP(B2606,'Pre-Summary'!$Y$6:$AC$83, 3,FALSE),"")</f>
        <v/>
      </c>
      <c r="U2606" s="45" t="str">
        <f>IFERROR(VLOOKUP(B2606,'Pre-Summary'!$Y$6:$AC$83, 4,FALSE),"")</f>
        <v/>
      </c>
      <c r="V2606" t="str">
        <f>IFERROR(VLOOKUP(B2606,'Pre-Summary'!$Y$6:$AC$83, 5,FALSE),"")</f>
        <v/>
      </c>
      <c r="W2606" s="45" t="str">
        <f>IFERROR(VLOOKUP(B2606,'Pre-Summary'!$Y$6:$AD$83,6,FALSE),"")</f>
        <v/>
      </c>
      <c r="X2606" t="str">
        <f>IFERROR(VLOOKUP('Pre-Summary'!$DB$6:$DD$63,3,FALSE),"")</f>
        <v/>
      </c>
      <c r="Y2606" t="str">
        <f>IFERROR(VLOOKUP(B2606,'Pre-Summary'!$CR$6:$CT$36,3,FALSE),"")</f>
        <v/>
      </c>
      <c r="Z2606" s="45" t="str">
        <f>IFERROR(VLOOKUP(B2606,'Pre-Summary'!$BZ$6:$CB$63,2,FALSE),"")</f>
        <v/>
      </c>
      <c r="AA2606" s="45" t="str">
        <f>IFERROR(VLOOKUP(B2606,'Pre-Summary'!$CG$6:$CI$70,2,FALSE),"")</f>
        <v/>
      </c>
      <c r="AB2606" s="99">
        <f>IFERROR(VLOOKUP(B2606,'Pre-Summary'!$A$6:$P$178,9,FALSE),AB2607)</f>
        <v>0.44037364184945627</v>
      </c>
      <c r="AC2606" s="10">
        <f>IFERROR(VLOOKUP(Summary!B2606,'Pre-Summary'!$A$6:$P$184,5, FALSE)/100,AC2607)</f>
        <v>0.9629049999999999</v>
      </c>
      <c r="AD2606" s="10">
        <f>IFERROR(VLOOKUP(Summary!B2606,'Pre-Summary'!$A$6:$P$184,3, FALSE)/100,AD2607)</f>
        <v>3.0608333333333331E-2</v>
      </c>
      <c r="AE2606" s="10">
        <f>IFERROR(VLOOKUP(Summary!B2606,'Pre-Summary'!$A$6:$P$184,7, FALSE)/100,AE2607)</f>
        <v>6.4959999999999992E-3</v>
      </c>
      <c r="AF2606" s="99">
        <f t="shared" si="121"/>
        <v>1.3479103220942106E-2</v>
      </c>
      <c r="AG2606" s="99">
        <f t="shared" si="122"/>
        <v>2.8606671774540674E-3</v>
      </c>
      <c r="AH2606" s="10" t="str">
        <f>IFERROR(VLOOKUP(B2606,'Pre-Summary'!$AZ$6:$BE$65,3,FALSE),"")</f>
        <v/>
      </c>
      <c r="AI2606" s="10" t="str">
        <f>IFERROR(VLOOKUP(B2606,'Pre-Summary'!$AZ$6:$BE$65,5,FALSE),"")</f>
        <v/>
      </c>
      <c r="AJ2606" s="10" t="str">
        <f>IFERROR(VLOOKUP(B2606,'Pre-Summary'!$AZ$6:$BE$65,4,FALSE),"")</f>
        <v/>
      </c>
      <c r="AK2606" s="10" t="str">
        <f>IFERROR(VLOOKUP(B2606,'Pre-Summary'!$AZ$6:$BE$65,6,FALSE),"")</f>
        <v/>
      </c>
      <c r="AL2606" s="10" t="str">
        <f>IFERROR(VLOOKUP(B2606,'Pre-Summary'!$BG$6:$BL$44,3,FALSE),"")</f>
        <v/>
      </c>
      <c r="AM2606" s="10" t="str">
        <f>IFERROR(VLOOKUP(B2606,'Pre-Summary'!$BG$6:$BL$44,4,FALSE),"")</f>
        <v/>
      </c>
    </row>
    <row r="2607" spans="2:39" ht="15" customHeight="1" x14ac:dyDescent="0.3">
      <c r="B2607">
        <v>260.39999999999998</v>
      </c>
      <c r="C2607" t="str">
        <f>IFERROR(VLOOKUP(B2607,'Pre-Summary'!$DI$6:$DM$23,4,FALSE),"")</f>
        <v/>
      </c>
      <c r="D2607" s="10" t="str">
        <f>IFERROR(VLOOKUP(B2607,'Pre-Summary'!$AT$6:$AX$14,5,FALSE),D2606)</f>
        <v>Wolfe v3: went back to modified wolfe + EDTA and switched CuSO4 to CUCl2</v>
      </c>
      <c r="E2607" s="10" t="str">
        <f>IFERROR(VLOOKUP(B2607,'Pre-Summary'!$AT$6:$AX$15,4,FALSE),"")</f>
        <v/>
      </c>
      <c r="F2607">
        <f>IFERROR(VLOOKUP(B2607,'Pre-Summary'!$AL$6:$AQ$13,6,FALSE),F2606)</f>
        <v>5.9405263157894746E-2</v>
      </c>
      <c r="G2607" t="str">
        <f>IFERROR(VLOOKUP(B2607,'Pre-Summary'!$AE$6:$AJ$85,3,FALSE),"")</f>
        <v/>
      </c>
      <c r="H2607" t="str">
        <f>IFERROR(VLOOKUP(B2607,'Pre-Summary'!$AE$6:$AJ$85,4,FALSE),"")</f>
        <v/>
      </c>
      <c r="I2607" t="str">
        <f>IFERROR(VLOOKUP(B2607,'Pre-Summary'!$AE$6:$AJ$85,5,FALSE),"")</f>
        <v/>
      </c>
      <c r="J2607" s="45" t="str">
        <f>IFERROR(VLOOKUP(B2607,'Pre-Summary'!$AE$6:$AJ$85,6, FALSE),"")</f>
        <v/>
      </c>
      <c r="K2607" s="45" t="str">
        <f>IFERROR(VLOOKUP(B2607,'Pre-Summary'!$DE$6:$DG$61,3,FALSE),"")</f>
        <v/>
      </c>
      <c r="L2607" s="45" t="str">
        <f>IFERROR(VLOOKUP(B2607,'Pre-Summary'!$CU$6:$CW$36,3,FALSE),"")</f>
        <v/>
      </c>
      <c r="M2607" s="45" t="str">
        <f>IFERROR(VLOOKUP(B2607,'Pre-Summary'!$BW$6:$BY$58,2,FALSE),"")</f>
        <v/>
      </c>
      <c r="N2607" s="45" t="str">
        <f>IFERROR(VLOOKUP(B2607,'Pre-Summary'!$CD$6:$CF$64,2,FALSE),"")</f>
        <v/>
      </c>
      <c r="O2607" s="99">
        <f>IFERROR(VLOOKUP(B2607,'Pre-Summary'!$BO$6:$BQ$48,3, FALSE),O2606)</f>
        <v>1.83</v>
      </c>
      <c r="P2607" s="99">
        <f>IFERROR(VLOOKUP(B2607,'Pre-Summary'!$BS$6:$BU$35,3,FALSE),P2606)</f>
        <v>0.46200000000000002</v>
      </c>
      <c r="Q2607" s="54">
        <f t="shared" si="120"/>
        <v>3.9610389610389611</v>
      </c>
      <c r="R2607" s="53">
        <f>IFERROR(VLOOKUP(B2607,'Pre-Summary'!$BG$6:$BM$44,7,FALSE),R2608)</f>
        <v>0.10528059183238438</v>
      </c>
      <c r="S2607" s="53">
        <f>IFERROR(VLOOKUP(B2607,'Pre-Summary'!$BG$6:$BM$44,6,FALSE),S2608)</f>
        <v>0.10567591412599613</v>
      </c>
      <c r="T2607" s="45" t="str">
        <f>IFERROR(VLOOKUP(B2607,'Pre-Summary'!$Y$6:$AC$83, 3,FALSE),"")</f>
        <v/>
      </c>
      <c r="U2607" s="45" t="str">
        <f>IFERROR(VLOOKUP(B2607,'Pre-Summary'!$Y$6:$AC$83, 4,FALSE),"")</f>
        <v/>
      </c>
      <c r="V2607" t="str">
        <f>IFERROR(VLOOKUP(B2607,'Pre-Summary'!$Y$6:$AC$83, 5,FALSE),"")</f>
        <v/>
      </c>
      <c r="W2607" s="45" t="str">
        <f>IFERROR(VLOOKUP(B2607,'Pre-Summary'!$Y$6:$AD$83,6,FALSE),"")</f>
        <v/>
      </c>
      <c r="X2607" t="str">
        <f>IFERROR(VLOOKUP('Pre-Summary'!$DB$6:$DD$63,3,FALSE),"")</f>
        <v/>
      </c>
      <c r="Y2607" t="str">
        <f>IFERROR(VLOOKUP(B2607,'Pre-Summary'!$CR$6:$CT$36,3,FALSE),"")</f>
        <v/>
      </c>
      <c r="Z2607" s="45" t="str">
        <f>IFERROR(VLOOKUP(B2607,'Pre-Summary'!$BZ$6:$CB$63,2,FALSE),"")</f>
        <v/>
      </c>
      <c r="AA2607" s="45" t="str">
        <f>IFERROR(VLOOKUP(B2607,'Pre-Summary'!$CG$6:$CI$70,2,FALSE),"")</f>
        <v/>
      </c>
      <c r="AB2607" s="99">
        <f>IFERROR(VLOOKUP(B2607,'Pre-Summary'!$A$6:$P$178,9,FALSE),AB2608)</f>
        <v>0.44037364184945627</v>
      </c>
      <c r="AC2607" s="10">
        <f>IFERROR(VLOOKUP(Summary!B2607,'Pre-Summary'!$A$6:$P$184,5, FALSE)/100,AC2608)</f>
        <v>0.9629049999999999</v>
      </c>
      <c r="AD2607" s="10">
        <f>IFERROR(VLOOKUP(Summary!B2607,'Pre-Summary'!$A$6:$P$184,3, FALSE)/100,AD2608)</f>
        <v>3.0608333333333331E-2</v>
      </c>
      <c r="AE2607" s="10">
        <f>IFERROR(VLOOKUP(Summary!B2607,'Pre-Summary'!$A$6:$P$184,7, FALSE)/100,AE2608)</f>
        <v>6.4959999999999992E-3</v>
      </c>
      <c r="AF2607" s="99">
        <f t="shared" si="121"/>
        <v>1.3479103220942106E-2</v>
      </c>
      <c r="AG2607" s="99">
        <f t="shared" si="122"/>
        <v>2.8606671774540674E-3</v>
      </c>
      <c r="AH2607" s="10" t="str">
        <f>IFERROR(VLOOKUP(B2607,'Pre-Summary'!$AZ$6:$BE$65,3,FALSE),"")</f>
        <v/>
      </c>
      <c r="AI2607" s="10" t="str">
        <f>IFERROR(VLOOKUP(B2607,'Pre-Summary'!$AZ$6:$BE$65,5,FALSE),"")</f>
        <v/>
      </c>
      <c r="AJ2607" s="10" t="str">
        <f>IFERROR(VLOOKUP(B2607,'Pre-Summary'!$AZ$6:$BE$65,4,FALSE),"")</f>
        <v/>
      </c>
      <c r="AK2607" s="10" t="str">
        <f>IFERROR(VLOOKUP(B2607,'Pre-Summary'!$AZ$6:$BE$65,6,FALSE),"")</f>
        <v/>
      </c>
      <c r="AL2607" s="10" t="str">
        <f>IFERROR(VLOOKUP(B2607,'Pre-Summary'!$BG$6:$BL$44,3,FALSE),"")</f>
        <v/>
      </c>
      <c r="AM2607" s="10" t="str">
        <f>IFERROR(VLOOKUP(B2607,'Pre-Summary'!$BG$6:$BL$44,4,FALSE),"")</f>
        <v/>
      </c>
    </row>
    <row r="2608" spans="2:39" ht="15" customHeight="1" x14ac:dyDescent="0.3">
      <c r="B2608">
        <v>260.5</v>
      </c>
      <c r="C2608" t="str">
        <f>IFERROR(VLOOKUP(B2608,'Pre-Summary'!$DI$6:$DM$23,4,FALSE),"")</f>
        <v/>
      </c>
      <c r="D2608" s="10" t="str">
        <f>IFERROR(VLOOKUP(B2608,'Pre-Summary'!$AT$6:$AX$14,5,FALSE),D2607)</f>
        <v>Wolfe v3: went back to modified wolfe + EDTA and switched CuSO4 to CUCl2</v>
      </c>
      <c r="E2608" s="10" t="str">
        <f>IFERROR(VLOOKUP(B2608,'Pre-Summary'!$AT$6:$AX$15,4,FALSE),"")</f>
        <v/>
      </c>
      <c r="F2608">
        <f>IFERROR(VLOOKUP(B2608,'Pre-Summary'!$AL$6:$AQ$13,6,FALSE),F2607)</f>
        <v>5.9405263157894746E-2</v>
      </c>
      <c r="G2608">
        <f>IFERROR(VLOOKUP(B2608,'Pre-Summary'!$AE$6:$AJ$85,3,FALSE),"")</f>
        <v>1.4089692309999999</v>
      </c>
      <c r="H2608" t="str">
        <f>IFERROR(VLOOKUP(B2608,'Pre-Summary'!$AE$6:$AJ$85,4,FALSE),"")</f>
        <v/>
      </c>
      <c r="I2608" t="str">
        <f>IFERROR(VLOOKUP(B2608,'Pre-Summary'!$AE$6:$AJ$85,5,FALSE),"")</f>
        <v/>
      </c>
      <c r="J2608" s="45">
        <f>IFERROR(VLOOKUP(B2608,'Pre-Summary'!$AE$6:$AJ$85,6, FALSE),"")</f>
        <v>1.5033701694769999</v>
      </c>
      <c r="K2608" s="45">
        <f>IFERROR(VLOOKUP(B2608,'Pre-Summary'!$DE$6:$DG$61,3,FALSE),"")</f>
        <v>828</v>
      </c>
      <c r="L2608" s="45" t="str">
        <f>IFERROR(VLOOKUP(B2608,'Pre-Summary'!$CU$6:$CW$36,3,FALSE),"")</f>
        <v/>
      </c>
      <c r="M2608" s="45" t="str">
        <f>IFERROR(VLOOKUP(B2608,'Pre-Summary'!$BW$6:$BY$58,2,FALSE),"")</f>
        <v/>
      </c>
      <c r="N2608" s="45">
        <f>IFERROR(VLOOKUP(B2608,'Pre-Summary'!$CD$6:$CF$64,2,FALSE),"")</f>
        <v>209.39099707187711</v>
      </c>
      <c r="O2608" s="99">
        <f>IFERROR(VLOOKUP(B2608,'Pre-Summary'!$BO$6:$BQ$48,3, FALSE),O2607)</f>
        <v>1.83</v>
      </c>
      <c r="P2608" s="99">
        <f>IFERROR(VLOOKUP(B2608,'Pre-Summary'!$BS$6:$BU$35,3,FALSE),P2607)</f>
        <v>0.46200000000000002</v>
      </c>
      <c r="Q2608" s="54">
        <f t="shared" si="120"/>
        <v>3.9610389610389611</v>
      </c>
      <c r="R2608" s="53">
        <f>IFERROR(VLOOKUP(B2608,'Pre-Summary'!$BG$6:$BM$44,7,FALSE),R2609)</f>
        <v>0.10528059183238438</v>
      </c>
      <c r="S2608" s="53">
        <f>IFERROR(VLOOKUP(B2608,'Pre-Summary'!$BG$6:$BM$44,6,FALSE),S2609)</f>
        <v>0.10567591412599613</v>
      </c>
      <c r="T2608" s="45">
        <f>IFERROR(VLOOKUP(B2608,'Pre-Summary'!$Y$6:$AC$83, 3,FALSE),"")</f>
        <v>2.8794065940000002</v>
      </c>
      <c r="U2608" s="45" t="str">
        <f>IFERROR(VLOOKUP(B2608,'Pre-Summary'!$Y$6:$AC$83, 4,FALSE),"")</f>
        <v/>
      </c>
      <c r="V2608" t="str">
        <f>IFERROR(VLOOKUP(B2608,'Pre-Summary'!$Y$6:$AC$83, 5,FALSE),"")</f>
        <v/>
      </c>
      <c r="W2608" s="45">
        <f>IFERROR(VLOOKUP(B2608,'Pre-Summary'!$Y$6:$AD$83,6,FALSE),"")</f>
        <v>3.072326835798</v>
      </c>
      <c r="X2608" t="str">
        <f>IFERROR(VLOOKUP('Pre-Summary'!$DB$6:$DD$63,3,FALSE),"")</f>
        <v/>
      </c>
      <c r="Y2608" t="str">
        <f>IFERROR(VLOOKUP(B2608,'Pre-Summary'!$CR$6:$CT$36,3,FALSE),"")</f>
        <v/>
      </c>
      <c r="Z2608" s="45" t="str">
        <f>IFERROR(VLOOKUP(B2608,'Pre-Summary'!$BZ$6:$CB$63,2,FALSE),"")</f>
        <v/>
      </c>
      <c r="AA2608" s="45" t="str">
        <f>IFERROR(VLOOKUP(B2608,'Pre-Summary'!$CG$6:$CI$70,2,FALSE),"")</f>
        <v/>
      </c>
      <c r="AB2608" s="99">
        <f>IFERROR(VLOOKUP(B2608,'Pre-Summary'!$A$6:$P$178,9,FALSE),AB2609)</f>
        <v>0.44037364184945627</v>
      </c>
      <c r="AC2608" s="10">
        <f>IFERROR(VLOOKUP(Summary!B2608,'Pre-Summary'!$A$6:$P$184,5, FALSE)/100,AC2609)</f>
        <v>0.9629049999999999</v>
      </c>
      <c r="AD2608" s="10">
        <f>IFERROR(VLOOKUP(Summary!B2608,'Pre-Summary'!$A$6:$P$184,3, FALSE)/100,AD2609)</f>
        <v>3.0608333333333331E-2</v>
      </c>
      <c r="AE2608" s="10">
        <f>IFERROR(VLOOKUP(Summary!B2608,'Pre-Summary'!$A$6:$P$184,7, FALSE)/100,AE2609)</f>
        <v>6.4959999999999992E-3</v>
      </c>
      <c r="AF2608" s="99">
        <f t="shared" si="121"/>
        <v>1.3479103220942106E-2</v>
      </c>
      <c r="AG2608" s="99">
        <f t="shared" si="122"/>
        <v>2.8606671774540674E-3</v>
      </c>
      <c r="AH2608" s="10" t="str">
        <f>IFERROR(VLOOKUP(B2608,'Pre-Summary'!$AZ$6:$BE$65,3,FALSE),"")</f>
        <v/>
      </c>
      <c r="AI2608" s="10" t="str">
        <f>IFERROR(VLOOKUP(B2608,'Pre-Summary'!$AZ$6:$BE$65,5,FALSE),"")</f>
        <v/>
      </c>
      <c r="AJ2608" s="10" t="str">
        <f>IFERROR(VLOOKUP(B2608,'Pre-Summary'!$AZ$6:$BE$65,4,FALSE),"")</f>
        <v/>
      </c>
      <c r="AK2608" s="10" t="str">
        <f>IFERROR(VLOOKUP(B2608,'Pre-Summary'!$AZ$6:$BE$65,6,FALSE),"")</f>
        <v/>
      </c>
      <c r="AL2608" s="10" t="str">
        <f>IFERROR(VLOOKUP(B2608,'Pre-Summary'!$BG$6:$BL$44,3,FALSE),"")</f>
        <v/>
      </c>
      <c r="AM2608" s="10" t="str">
        <f>IFERROR(VLOOKUP(B2608,'Pre-Summary'!$BG$6:$BL$44,4,FALSE),"")</f>
        <v/>
      </c>
    </row>
    <row r="2609" spans="2:39" ht="15" customHeight="1" x14ac:dyDescent="0.3">
      <c r="B2609">
        <v>260.60000000000002</v>
      </c>
      <c r="C2609" t="str">
        <f>IFERROR(VLOOKUP(B2609,'Pre-Summary'!$DI$6:$DM$23,4,FALSE),"")</f>
        <v/>
      </c>
      <c r="D2609" s="10" t="str">
        <f>IFERROR(VLOOKUP(B2609,'Pre-Summary'!$AT$6:$AX$14,5,FALSE),D2608)</f>
        <v>Wolfe v3: went back to modified wolfe + EDTA and switched CuSO4 to CUCl2</v>
      </c>
      <c r="E2609" s="10" t="str">
        <f>IFERROR(VLOOKUP(B2609,'Pre-Summary'!$AT$6:$AX$15,4,FALSE),"")</f>
        <v/>
      </c>
      <c r="F2609">
        <f>IFERROR(VLOOKUP(B2609,'Pre-Summary'!$AL$6:$AQ$13,6,FALSE),F2608)</f>
        <v>5.9405263157894746E-2</v>
      </c>
      <c r="G2609" t="str">
        <f>IFERROR(VLOOKUP(B2609,'Pre-Summary'!$AE$6:$AJ$85,3,FALSE),"")</f>
        <v/>
      </c>
      <c r="H2609" t="str">
        <f>IFERROR(VLOOKUP(B2609,'Pre-Summary'!$AE$6:$AJ$85,4,FALSE),"")</f>
        <v/>
      </c>
      <c r="I2609" t="str">
        <f>IFERROR(VLOOKUP(B2609,'Pre-Summary'!$AE$6:$AJ$85,5,FALSE),"")</f>
        <v/>
      </c>
      <c r="J2609" s="45" t="str">
        <f>IFERROR(VLOOKUP(B2609,'Pre-Summary'!$AE$6:$AJ$85,6, FALSE),"")</f>
        <v/>
      </c>
      <c r="K2609" s="45" t="str">
        <f>IFERROR(VLOOKUP(B2609,'Pre-Summary'!$DE$6:$DG$61,3,FALSE),"")</f>
        <v/>
      </c>
      <c r="L2609" s="45" t="str">
        <f>IFERROR(VLOOKUP(B2609,'Pre-Summary'!$CU$6:$CW$36,3,FALSE),"")</f>
        <v/>
      </c>
      <c r="M2609" s="45" t="str">
        <f>IFERROR(VLOOKUP(B2609,'Pre-Summary'!$BW$6:$BY$58,2,FALSE),"")</f>
        <v/>
      </c>
      <c r="N2609" s="45" t="str">
        <f>IFERROR(VLOOKUP(B2609,'Pre-Summary'!$CD$6:$CF$64,2,FALSE),"")</f>
        <v/>
      </c>
      <c r="O2609" s="99">
        <f>IFERROR(VLOOKUP(B2609,'Pre-Summary'!$BO$6:$BQ$48,3, FALSE),O2608)</f>
        <v>1.83</v>
      </c>
      <c r="P2609" s="99">
        <f>IFERROR(VLOOKUP(B2609,'Pre-Summary'!$BS$6:$BU$35,3,FALSE),P2608)</f>
        <v>0.46200000000000002</v>
      </c>
      <c r="Q2609" s="54">
        <f t="shared" si="120"/>
        <v>3.9610389610389611</v>
      </c>
      <c r="R2609" s="53">
        <f>IFERROR(VLOOKUP(B2609,'Pre-Summary'!$BG$6:$BM$44,7,FALSE),R2610)</f>
        <v>0.10528059183238438</v>
      </c>
      <c r="S2609" s="53">
        <f>IFERROR(VLOOKUP(B2609,'Pre-Summary'!$BG$6:$BM$44,6,FALSE),S2610)</f>
        <v>0.10567591412599613</v>
      </c>
      <c r="T2609" s="45" t="str">
        <f>IFERROR(VLOOKUP(B2609,'Pre-Summary'!$Y$6:$AC$83, 3,FALSE),"")</f>
        <v/>
      </c>
      <c r="U2609" s="45" t="str">
        <f>IFERROR(VLOOKUP(B2609,'Pre-Summary'!$Y$6:$AC$83, 4,FALSE),"")</f>
        <v/>
      </c>
      <c r="V2609" t="str">
        <f>IFERROR(VLOOKUP(B2609,'Pre-Summary'!$Y$6:$AC$83, 5,FALSE),"")</f>
        <v/>
      </c>
      <c r="W2609" s="45" t="str">
        <f>IFERROR(VLOOKUP(B2609,'Pre-Summary'!$Y$6:$AD$83,6,FALSE),"")</f>
        <v/>
      </c>
      <c r="X2609" t="str">
        <f>IFERROR(VLOOKUP('Pre-Summary'!$DB$6:$DD$63,3,FALSE),"")</f>
        <v/>
      </c>
      <c r="Y2609" t="str">
        <f>IFERROR(VLOOKUP(B2609,'Pre-Summary'!$CR$6:$CT$36,3,FALSE),"")</f>
        <v/>
      </c>
      <c r="Z2609" s="45" t="str">
        <f>IFERROR(VLOOKUP(B2609,'Pre-Summary'!$BZ$6:$CB$63,2,FALSE),"")</f>
        <v/>
      </c>
      <c r="AA2609" s="45" t="str">
        <f>IFERROR(VLOOKUP(B2609,'Pre-Summary'!$CG$6:$CI$70,2,FALSE),"")</f>
        <v/>
      </c>
      <c r="AB2609" s="99">
        <f>IFERROR(VLOOKUP(B2609,'Pre-Summary'!$A$6:$P$178,9,FALSE),AB2610)</f>
        <v>0.44037364184945627</v>
      </c>
      <c r="AC2609" s="10">
        <f>IFERROR(VLOOKUP(Summary!B2609,'Pre-Summary'!$A$6:$P$184,5, FALSE)/100,AC2610)</f>
        <v>0.9629049999999999</v>
      </c>
      <c r="AD2609" s="10">
        <f>IFERROR(VLOOKUP(Summary!B2609,'Pre-Summary'!$A$6:$P$184,3, FALSE)/100,AD2610)</f>
        <v>3.0608333333333331E-2</v>
      </c>
      <c r="AE2609" s="10">
        <f>IFERROR(VLOOKUP(Summary!B2609,'Pre-Summary'!$A$6:$P$184,7, FALSE)/100,AE2610)</f>
        <v>6.4959999999999992E-3</v>
      </c>
      <c r="AF2609" s="99">
        <f t="shared" si="121"/>
        <v>1.3479103220942106E-2</v>
      </c>
      <c r="AG2609" s="99">
        <f t="shared" si="122"/>
        <v>2.8606671774540674E-3</v>
      </c>
      <c r="AH2609" s="10" t="str">
        <f>IFERROR(VLOOKUP(B2609,'Pre-Summary'!$AZ$6:$BE$65,3,FALSE),"")</f>
        <v/>
      </c>
      <c r="AI2609" s="10" t="str">
        <f>IFERROR(VLOOKUP(B2609,'Pre-Summary'!$AZ$6:$BE$65,5,FALSE),"")</f>
        <v/>
      </c>
      <c r="AJ2609" s="10" t="str">
        <f>IFERROR(VLOOKUP(B2609,'Pre-Summary'!$AZ$6:$BE$65,4,FALSE),"")</f>
        <v/>
      </c>
      <c r="AK2609" s="10" t="str">
        <f>IFERROR(VLOOKUP(B2609,'Pre-Summary'!$AZ$6:$BE$65,6,FALSE),"")</f>
        <v/>
      </c>
      <c r="AL2609" s="10" t="str">
        <f>IFERROR(VLOOKUP(B2609,'Pre-Summary'!$BG$6:$BL$44,3,FALSE),"")</f>
        <v/>
      </c>
      <c r="AM2609" s="10" t="str">
        <f>IFERROR(VLOOKUP(B2609,'Pre-Summary'!$BG$6:$BL$44,4,FALSE),"")</f>
        <v/>
      </c>
    </row>
    <row r="2610" spans="2:39" ht="15" customHeight="1" x14ac:dyDescent="0.3">
      <c r="B2610">
        <v>260.7</v>
      </c>
      <c r="C2610" t="str">
        <f>IFERROR(VLOOKUP(B2610,'Pre-Summary'!$DI$6:$DM$23,4,FALSE),"")</f>
        <v/>
      </c>
      <c r="D2610" s="10" t="str">
        <f>IFERROR(VLOOKUP(B2610,'Pre-Summary'!$AT$6:$AX$14,5,FALSE),D2609)</f>
        <v>Wolfe v3: went back to modified wolfe + EDTA and switched CuSO4 to CUCl2</v>
      </c>
      <c r="E2610" s="10" t="str">
        <f>IFERROR(VLOOKUP(B2610,'Pre-Summary'!$AT$6:$AX$15,4,FALSE),"")</f>
        <v/>
      </c>
      <c r="F2610">
        <f>IFERROR(VLOOKUP(B2610,'Pre-Summary'!$AL$6:$AQ$13,6,FALSE),F2609)</f>
        <v>5.9405263157894746E-2</v>
      </c>
      <c r="G2610" t="str">
        <f>IFERROR(VLOOKUP(B2610,'Pre-Summary'!$AE$6:$AJ$85,3,FALSE),"")</f>
        <v/>
      </c>
      <c r="H2610" t="str">
        <f>IFERROR(VLOOKUP(B2610,'Pre-Summary'!$AE$6:$AJ$85,4,FALSE),"")</f>
        <v/>
      </c>
      <c r="I2610" t="str">
        <f>IFERROR(VLOOKUP(B2610,'Pre-Summary'!$AE$6:$AJ$85,5,FALSE),"")</f>
        <v/>
      </c>
      <c r="J2610" s="45" t="str">
        <f>IFERROR(VLOOKUP(B2610,'Pre-Summary'!$AE$6:$AJ$85,6, FALSE),"")</f>
        <v/>
      </c>
      <c r="K2610" s="45" t="str">
        <f>IFERROR(VLOOKUP(B2610,'Pre-Summary'!$DE$6:$DG$61,3,FALSE),"")</f>
        <v/>
      </c>
      <c r="L2610" s="45" t="str">
        <f>IFERROR(VLOOKUP(B2610,'Pre-Summary'!$CU$6:$CW$36,3,FALSE),"")</f>
        <v/>
      </c>
      <c r="M2610" s="45" t="str">
        <f>IFERROR(VLOOKUP(B2610,'Pre-Summary'!$BW$6:$BY$58,2,FALSE),"")</f>
        <v/>
      </c>
      <c r="N2610" s="45" t="str">
        <f>IFERROR(VLOOKUP(B2610,'Pre-Summary'!$CD$6:$CF$64,2,FALSE),"")</f>
        <v/>
      </c>
      <c r="O2610" s="99">
        <f>IFERROR(VLOOKUP(B2610,'Pre-Summary'!$BO$6:$BQ$48,3, FALSE),O2609)</f>
        <v>1.83</v>
      </c>
      <c r="P2610" s="99">
        <f>IFERROR(VLOOKUP(B2610,'Pre-Summary'!$BS$6:$BU$35,3,FALSE),P2609)</f>
        <v>0.46200000000000002</v>
      </c>
      <c r="Q2610" s="54">
        <f t="shared" si="120"/>
        <v>3.9610389610389611</v>
      </c>
      <c r="R2610" s="53">
        <f>IFERROR(VLOOKUP(B2610,'Pre-Summary'!$BG$6:$BM$44,7,FALSE),R2611)</f>
        <v>0.10528059183238438</v>
      </c>
      <c r="S2610" s="53">
        <f>IFERROR(VLOOKUP(B2610,'Pre-Summary'!$BG$6:$BM$44,6,FALSE),S2611)</f>
        <v>0.10567591412599613</v>
      </c>
      <c r="T2610" s="45" t="str">
        <f>IFERROR(VLOOKUP(B2610,'Pre-Summary'!$Y$6:$AC$83, 3,FALSE),"")</f>
        <v/>
      </c>
      <c r="U2610" s="45" t="str">
        <f>IFERROR(VLOOKUP(B2610,'Pre-Summary'!$Y$6:$AC$83, 4,FALSE),"")</f>
        <v/>
      </c>
      <c r="V2610" t="str">
        <f>IFERROR(VLOOKUP(B2610,'Pre-Summary'!$Y$6:$AC$83, 5,FALSE),"")</f>
        <v/>
      </c>
      <c r="W2610" s="45" t="str">
        <f>IFERROR(VLOOKUP(B2610,'Pre-Summary'!$Y$6:$AD$83,6,FALSE),"")</f>
        <v/>
      </c>
      <c r="X2610" t="str">
        <f>IFERROR(VLOOKUP('Pre-Summary'!$DB$6:$DD$63,3,FALSE),"")</f>
        <v/>
      </c>
      <c r="Y2610" t="str">
        <f>IFERROR(VLOOKUP(B2610,'Pre-Summary'!$CR$6:$CT$36,3,FALSE),"")</f>
        <v/>
      </c>
      <c r="Z2610" s="45" t="str">
        <f>IFERROR(VLOOKUP(B2610,'Pre-Summary'!$BZ$6:$CB$63,2,FALSE),"")</f>
        <v/>
      </c>
      <c r="AA2610" s="45" t="str">
        <f>IFERROR(VLOOKUP(B2610,'Pre-Summary'!$CG$6:$CI$70,2,FALSE),"")</f>
        <v/>
      </c>
      <c r="AB2610" s="99">
        <f>IFERROR(VLOOKUP(B2610,'Pre-Summary'!$A$6:$P$178,9,FALSE),AB2611)</f>
        <v>0.44037364184945627</v>
      </c>
      <c r="AC2610" s="10">
        <f>IFERROR(VLOOKUP(Summary!B2610,'Pre-Summary'!$A$6:$P$184,5, FALSE)/100,AC2611)</f>
        <v>0.9629049999999999</v>
      </c>
      <c r="AD2610" s="10">
        <f>IFERROR(VLOOKUP(Summary!B2610,'Pre-Summary'!$A$6:$P$184,3, FALSE)/100,AD2611)</f>
        <v>3.0608333333333331E-2</v>
      </c>
      <c r="AE2610" s="10">
        <f>IFERROR(VLOOKUP(Summary!B2610,'Pre-Summary'!$A$6:$P$184,7, FALSE)/100,AE2611)</f>
        <v>6.4959999999999992E-3</v>
      </c>
      <c r="AF2610" s="99">
        <f t="shared" si="121"/>
        <v>1.3479103220942106E-2</v>
      </c>
      <c r="AG2610" s="99">
        <f t="shared" si="122"/>
        <v>2.8606671774540674E-3</v>
      </c>
      <c r="AH2610" s="10" t="str">
        <f>IFERROR(VLOOKUP(B2610,'Pre-Summary'!$AZ$6:$BE$65,3,FALSE),"")</f>
        <v/>
      </c>
      <c r="AI2610" s="10" t="str">
        <f>IFERROR(VLOOKUP(B2610,'Pre-Summary'!$AZ$6:$BE$65,5,FALSE),"")</f>
        <v/>
      </c>
      <c r="AJ2610" s="10" t="str">
        <f>IFERROR(VLOOKUP(B2610,'Pre-Summary'!$AZ$6:$BE$65,4,FALSE),"")</f>
        <v/>
      </c>
      <c r="AK2610" s="10" t="str">
        <f>IFERROR(VLOOKUP(B2610,'Pre-Summary'!$AZ$6:$BE$65,6,FALSE),"")</f>
        <v/>
      </c>
      <c r="AL2610" s="10" t="str">
        <f>IFERROR(VLOOKUP(B2610,'Pre-Summary'!$BG$6:$BL$44,3,FALSE),"")</f>
        <v/>
      </c>
      <c r="AM2610" s="10" t="str">
        <f>IFERROR(VLOOKUP(B2610,'Pre-Summary'!$BG$6:$BL$44,4,FALSE),"")</f>
        <v/>
      </c>
    </row>
    <row r="2611" spans="2:39" ht="15" customHeight="1" x14ac:dyDescent="0.3">
      <c r="B2611">
        <v>260.8</v>
      </c>
      <c r="C2611" t="str">
        <f>IFERROR(VLOOKUP(B2611,'Pre-Summary'!$DI$6:$DM$23,4,FALSE),"")</f>
        <v/>
      </c>
      <c r="D2611" s="10" t="str">
        <f>IFERROR(VLOOKUP(B2611,'Pre-Summary'!$AT$6:$AX$14,5,FALSE),D2610)</f>
        <v>Wolfe v3: went back to modified wolfe + EDTA and switched CuSO4 to CUCl2</v>
      </c>
      <c r="E2611" s="10" t="str">
        <f>IFERROR(VLOOKUP(B2611,'Pre-Summary'!$AT$6:$AX$15,4,FALSE),"")</f>
        <v/>
      </c>
      <c r="F2611">
        <f>IFERROR(VLOOKUP(B2611,'Pre-Summary'!$AL$6:$AQ$13,6,FALSE),F2610)</f>
        <v>5.9405263157894746E-2</v>
      </c>
      <c r="G2611" t="str">
        <f>IFERROR(VLOOKUP(B2611,'Pre-Summary'!$AE$6:$AJ$85,3,FALSE),"")</f>
        <v/>
      </c>
      <c r="H2611" t="str">
        <f>IFERROR(VLOOKUP(B2611,'Pre-Summary'!$AE$6:$AJ$85,4,FALSE),"")</f>
        <v/>
      </c>
      <c r="I2611" t="str">
        <f>IFERROR(VLOOKUP(B2611,'Pre-Summary'!$AE$6:$AJ$85,5,FALSE),"")</f>
        <v/>
      </c>
      <c r="J2611" s="45" t="str">
        <f>IFERROR(VLOOKUP(B2611,'Pre-Summary'!$AE$6:$AJ$85,6, FALSE),"")</f>
        <v/>
      </c>
      <c r="K2611" s="45" t="str">
        <f>IFERROR(VLOOKUP(B2611,'Pre-Summary'!$DE$6:$DG$61,3,FALSE),"")</f>
        <v/>
      </c>
      <c r="L2611" s="45" t="str">
        <f>IFERROR(VLOOKUP(B2611,'Pre-Summary'!$CU$6:$CW$36,3,FALSE),"")</f>
        <v/>
      </c>
      <c r="M2611" s="45" t="str">
        <f>IFERROR(VLOOKUP(B2611,'Pre-Summary'!$BW$6:$BY$58,2,FALSE),"")</f>
        <v/>
      </c>
      <c r="N2611" s="45" t="str">
        <f>IFERROR(VLOOKUP(B2611,'Pre-Summary'!$CD$6:$CF$64,2,FALSE),"")</f>
        <v/>
      </c>
      <c r="O2611" s="99">
        <f>IFERROR(VLOOKUP(B2611,'Pre-Summary'!$BO$6:$BQ$48,3, FALSE),O2610)</f>
        <v>1.83</v>
      </c>
      <c r="P2611" s="99">
        <f>IFERROR(VLOOKUP(B2611,'Pre-Summary'!$BS$6:$BU$35,3,FALSE),P2610)</f>
        <v>0.46200000000000002</v>
      </c>
      <c r="Q2611" s="54">
        <f t="shared" si="120"/>
        <v>3.9610389610389611</v>
      </c>
      <c r="R2611" s="53">
        <f>IFERROR(VLOOKUP(B2611,'Pre-Summary'!$BG$6:$BM$44,7,FALSE),R2612)</f>
        <v>0.10528059183238438</v>
      </c>
      <c r="S2611" s="53">
        <f>IFERROR(VLOOKUP(B2611,'Pre-Summary'!$BG$6:$BM$44,6,FALSE),S2612)</f>
        <v>0.10567591412599613</v>
      </c>
      <c r="T2611" s="45" t="str">
        <f>IFERROR(VLOOKUP(B2611,'Pre-Summary'!$Y$6:$AC$83, 3,FALSE),"")</f>
        <v/>
      </c>
      <c r="U2611" s="45" t="str">
        <f>IFERROR(VLOOKUP(B2611,'Pre-Summary'!$Y$6:$AC$83, 4,FALSE),"")</f>
        <v/>
      </c>
      <c r="V2611" t="str">
        <f>IFERROR(VLOOKUP(B2611,'Pre-Summary'!$Y$6:$AC$83, 5,FALSE),"")</f>
        <v/>
      </c>
      <c r="W2611" s="45" t="str">
        <f>IFERROR(VLOOKUP(B2611,'Pre-Summary'!$Y$6:$AD$83,6,FALSE),"")</f>
        <v/>
      </c>
      <c r="X2611" t="str">
        <f>IFERROR(VLOOKUP('Pre-Summary'!$DB$6:$DD$63,3,FALSE),"")</f>
        <v/>
      </c>
      <c r="Y2611" t="str">
        <f>IFERROR(VLOOKUP(B2611,'Pre-Summary'!$CR$6:$CT$36,3,FALSE),"")</f>
        <v/>
      </c>
      <c r="Z2611" s="45" t="str">
        <f>IFERROR(VLOOKUP(B2611,'Pre-Summary'!$BZ$6:$CB$63,2,FALSE),"")</f>
        <v/>
      </c>
      <c r="AA2611" s="45" t="str">
        <f>IFERROR(VLOOKUP(B2611,'Pre-Summary'!$CG$6:$CI$70,2,FALSE),"")</f>
        <v/>
      </c>
      <c r="AB2611" s="99">
        <f>IFERROR(VLOOKUP(B2611,'Pre-Summary'!$A$6:$P$178,9,FALSE),AB2612)</f>
        <v>0.44037364184945627</v>
      </c>
      <c r="AC2611" s="10">
        <f>IFERROR(VLOOKUP(Summary!B2611,'Pre-Summary'!$A$6:$P$184,5, FALSE)/100,AC2612)</f>
        <v>0.9629049999999999</v>
      </c>
      <c r="AD2611" s="10">
        <f>IFERROR(VLOOKUP(Summary!B2611,'Pre-Summary'!$A$6:$P$184,3, FALSE)/100,AD2612)</f>
        <v>3.0608333333333331E-2</v>
      </c>
      <c r="AE2611" s="10">
        <f>IFERROR(VLOOKUP(Summary!B2611,'Pre-Summary'!$A$6:$P$184,7, FALSE)/100,AE2612)</f>
        <v>6.4959999999999992E-3</v>
      </c>
      <c r="AF2611" s="99">
        <f t="shared" si="121"/>
        <v>1.3479103220942106E-2</v>
      </c>
      <c r="AG2611" s="99">
        <f t="shared" si="122"/>
        <v>2.8606671774540674E-3</v>
      </c>
      <c r="AH2611" s="10" t="str">
        <f>IFERROR(VLOOKUP(B2611,'Pre-Summary'!$AZ$6:$BE$65,3,FALSE),"")</f>
        <v/>
      </c>
      <c r="AI2611" s="10" t="str">
        <f>IFERROR(VLOOKUP(B2611,'Pre-Summary'!$AZ$6:$BE$65,5,FALSE),"")</f>
        <v/>
      </c>
      <c r="AJ2611" s="10" t="str">
        <f>IFERROR(VLOOKUP(B2611,'Pre-Summary'!$AZ$6:$BE$65,4,FALSE),"")</f>
        <v/>
      </c>
      <c r="AK2611" s="10" t="str">
        <f>IFERROR(VLOOKUP(B2611,'Pre-Summary'!$AZ$6:$BE$65,6,FALSE),"")</f>
        <v/>
      </c>
      <c r="AL2611" s="10" t="str">
        <f>IFERROR(VLOOKUP(B2611,'Pre-Summary'!$BG$6:$BL$44,3,FALSE),"")</f>
        <v/>
      </c>
      <c r="AM2611" s="10" t="str">
        <f>IFERROR(VLOOKUP(B2611,'Pre-Summary'!$BG$6:$BL$44,4,FALSE),"")</f>
        <v/>
      </c>
    </row>
    <row r="2612" spans="2:39" ht="15" customHeight="1" x14ac:dyDescent="0.3">
      <c r="B2612">
        <v>260.89999999999998</v>
      </c>
      <c r="C2612" t="str">
        <f>IFERROR(VLOOKUP(B2612,'Pre-Summary'!$DI$6:$DM$23,4,FALSE),"")</f>
        <v/>
      </c>
      <c r="D2612" s="10" t="str">
        <f>IFERROR(VLOOKUP(B2612,'Pre-Summary'!$AT$6:$AX$14,5,FALSE),D2611)</f>
        <v>Wolfe v3: went back to modified wolfe + EDTA and switched CuSO4 to CUCl2</v>
      </c>
      <c r="E2612" s="10" t="str">
        <f>IFERROR(VLOOKUP(B2612,'Pre-Summary'!$AT$6:$AX$15,4,FALSE),"")</f>
        <v/>
      </c>
      <c r="F2612">
        <f>IFERROR(VLOOKUP(B2612,'Pre-Summary'!$AL$6:$AQ$13,6,FALSE),F2611)</f>
        <v>5.9405263157894746E-2</v>
      </c>
      <c r="G2612" t="str">
        <f>IFERROR(VLOOKUP(B2612,'Pre-Summary'!$AE$6:$AJ$85,3,FALSE),"")</f>
        <v/>
      </c>
      <c r="H2612" t="str">
        <f>IFERROR(VLOOKUP(B2612,'Pre-Summary'!$AE$6:$AJ$85,4,FALSE),"")</f>
        <v/>
      </c>
      <c r="I2612" t="str">
        <f>IFERROR(VLOOKUP(B2612,'Pre-Summary'!$AE$6:$AJ$85,5,FALSE),"")</f>
        <v/>
      </c>
      <c r="J2612" s="45" t="str">
        <f>IFERROR(VLOOKUP(B2612,'Pre-Summary'!$AE$6:$AJ$85,6, FALSE),"")</f>
        <v/>
      </c>
      <c r="K2612" s="45" t="str">
        <f>IFERROR(VLOOKUP(B2612,'Pre-Summary'!$DE$6:$DG$61,3,FALSE),"")</f>
        <v/>
      </c>
      <c r="L2612" s="45" t="str">
        <f>IFERROR(VLOOKUP(B2612,'Pre-Summary'!$CU$6:$CW$36,3,FALSE),"")</f>
        <v/>
      </c>
      <c r="M2612" s="45" t="str">
        <f>IFERROR(VLOOKUP(B2612,'Pre-Summary'!$BW$6:$BY$58,2,FALSE),"")</f>
        <v/>
      </c>
      <c r="N2612" s="45" t="str">
        <f>IFERROR(VLOOKUP(B2612,'Pre-Summary'!$CD$6:$CF$64,2,FALSE),"")</f>
        <v/>
      </c>
      <c r="O2612" s="99">
        <f>IFERROR(VLOOKUP(B2612,'Pre-Summary'!$BO$6:$BQ$48,3, FALSE),O2611)</f>
        <v>1.83</v>
      </c>
      <c r="P2612" s="99">
        <f>IFERROR(VLOOKUP(B2612,'Pre-Summary'!$BS$6:$BU$35,3,FALSE),P2611)</f>
        <v>0.46200000000000002</v>
      </c>
      <c r="Q2612" s="54">
        <f t="shared" si="120"/>
        <v>3.9610389610389611</v>
      </c>
      <c r="R2612" s="53">
        <f>IFERROR(VLOOKUP(B2612,'Pre-Summary'!$BG$6:$BM$44,7,FALSE),R2613)</f>
        <v>0.10528059183238438</v>
      </c>
      <c r="S2612" s="53">
        <f>IFERROR(VLOOKUP(B2612,'Pre-Summary'!$BG$6:$BM$44,6,FALSE),S2613)</f>
        <v>0.10567591412599613</v>
      </c>
      <c r="T2612" s="45" t="str">
        <f>IFERROR(VLOOKUP(B2612,'Pre-Summary'!$Y$6:$AC$83, 3,FALSE),"")</f>
        <v/>
      </c>
      <c r="U2612" s="45" t="str">
        <f>IFERROR(VLOOKUP(B2612,'Pre-Summary'!$Y$6:$AC$83, 4,FALSE),"")</f>
        <v/>
      </c>
      <c r="V2612" t="str">
        <f>IFERROR(VLOOKUP(B2612,'Pre-Summary'!$Y$6:$AC$83, 5,FALSE),"")</f>
        <v/>
      </c>
      <c r="W2612" s="45" t="str">
        <f>IFERROR(VLOOKUP(B2612,'Pre-Summary'!$Y$6:$AD$83,6,FALSE),"")</f>
        <v/>
      </c>
      <c r="X2612" t="str">
        <f>IFERROR(VLOOKUP('Pre-Summary'!$DB$6:$DD$63,3,FALSE),"")</f>
        <v/>
      </c>
      <c r="Y2612" t="str">
        <f>IFERROR(VLOOKUP(B2612,'Pre-Summary'!$CR$6:$CT$36,3,FALSE),"")</f>
        <v/>
      </c>
      <c r="Z2612" s="45" t="str">
        <f>IFERROR(VLOOKUP(B2612,'Pre-Summary'!$BZ$6:$CB$63,2,FALSE),"")</f>
        <v/>
      </c>
      <c r="AA2612" s="45" t="str">
        <f>IFERROR(VLOOKUP(B2612,'Pre-Summary'!$CG$6:$CI$70,2,FALSE),"")</f>
        <v/>
      </c>
      <c r="AB2612" s="99">
        <f>IFERROR(VLOOKUP(B2612,'Pre-Summary'!$A$6:$P$178,9,FALSE),AB2613)</f>
        <v>0.44037364184945627</v>
      </c>
      <c r="AC2612" s="10">
        <f>IFERROR(VLOOKUP(Summary!B2612,'Pre-Summary'!$A$6:$P$184,5, FALSE)/100,AC2613)</f>
        <v>0.9629049999999999</v>
      </c>
      <c r="AD2612" s="10">
        <f>IFERROR(VLOOKUP(Summary!B2612,'Pre-Summary'!$A$6:$P$184,3, FALSE)/100,AD2613)</f>
        <v>3.0608333333333331E-2</v>
      </c>
      <c r="AE2612" s="10">
        <f>IFERROR(VLOOKUP(Summary!B2612,'Pre-Summary'!$A$6:$P$184,7, FALSE)/100,AE2613)</f>
        <v>6.4959999999999992E-3</v>
      </c>
      <c r="AF2612" s="99">
        <f t="shared" si="121"/>
        <v>1.3479103220942106E-2</v>
      </c>
      <c r="AG2612" s="99">
        <f t="shared" si="122"/>
        <v>2.8606671774540674E-3</v>
      </c>
      <c r="AH2612" s="10" t="str">
        <f>IFERROR(VLOOKUP(B2612,'Pre-Summary'!$AZ$6:$BE$65,3,FALSE),"")</f>
        <v/>
      </c>
      <c r="AI2612" s="10" t="str">
        <f>IFERROR(VLOOKUP(B2612,'Pre-Summary'!$AZ$6:$BE$65,5,FALSE),"")</f>
        <v/>
      </c>
      <c r="AJ2612" s="10" t="str">
        <f>IFERROR(VLOOKUP(B2612,'Pre-Summary'!$AZ$6:$BE$65,4,FALSE),"")</f>
        <v/>
      </c>
      <c r="AK2612" s="10" t="str">
        <f>IFERROR(VLOOKUP(B2612,'Pre-Summary'!$AZ$6:$BE$65,6,FALSE),"")</f>
        <v/>
      </c>
      <c r="AL2612" s="10" t="str">
        <f>IFERROR(VLOOKUP(B2612,'Pre-Summary'!$BG$6:$BL$44,3,FALSE),"")</f>
        <v/>
      </c>
      <c r="AM2612" s="10" t="str">
        <f>IFERROR(VLOOKUP(B2612,'Pre-Summary'!$BG$6:$BL$44,4,FALSE),"")</f>
        <v/>
      </c>
    </row>
    <row r="2613" spans="2:39" ht="15" customHeight="1" x14ac:dyDescent="0.3">
      <c r="B2613">
        <v>261</v>
      </c>
      <c r="C2613" t="str">
        <f>IFERROR(VLOOKUP(B2613,'Pre-Summary'!$DI$6:$DM$23,4,FALSE),"")</f>
        <v/>
      </c>
      <c r="D2613" s="10" t="str">
        <f>IFERROR(VLOOKUP(B2613,'Pre-Summary'!$AT$6:$AX$14,5,FALSE),D2612)</f>
        <v>Wolfe v3: went back to modified wolfe + EDTA and switched CuSO4 to CUCl2</v>
      </c>
      <c r="E2613" s="10" t="str">
        <f>IFERROR(VLOOKUP(B2613,'Pre-Summary'!$AT$6:$AX$15,4,FALSE),"")</f>
        <v/>
      </c>
      <c r="F2613">
        <f>IFERROR(VLOOKUP(B2613,'Pre-Summary'!$AL$6:$AQ$13,6,FALSE),F2612)</f>
        <v>5.9405263157894746E-2</v>
      </c>
      <c r="G2613" t="str">
        <f>IFERROR(VLOOKUP(B2613,'Pre-Summary'!$AE$6:$AJ$85,3,FALSE),"")</f>
        <v/>
      </c>
      <c r="H2613" t="str">
        <f>IFERROR(VLOOKUP(B2613,'Pre-Summary'!$AE$6:$AJ$85,4,FALSE),"")</f>
        <v/>
      </c>
      <c r="I2613" t="str">
        <f>IFERROR(VLOOKUP(B2613,'Pre-Summary'!$AE$6:$AJ$85,5,FALSE),"")</f>
        <v/>
      </c>
      <c r="J2613" s="45" t="str">
        <f>IFERROR(VLOOKUP(B2613,'Pre-Summary'!$AE$6:$AJ$85,6, FALSE),"")</f>
        <v/>
      </c>
      <c r="K2613" s="45" t="str">
        <f>IFERROR(VLOOKUP(B2613,'Pre-Summary'!$DE$6:$DG$61,3,FALSE),"")</f>
        <v/>
      </c>
      <c r="L2613" s="45" t="str">
        <f>IFERROR(VLOOKUP(B2613,'Pre-Summary'!$CU$6:$CW$36,3,FALSE),"")</f>
        <v/>
      </c>
      <c r="M2613" s="45" t="str">
        <f>IFERROR(VLOOKUP(B2613,'Pre-Summary'!$BW$6:$BY$58,2,FALSE),"")</f>
        <v/>
      </c>
      <c r="N2613" s="45" t="str">
        <f>IFERROR(VLOOKUP(B2613,'Pre-Summary'!$CD$6:$CF$64,2,FALSE),"")</f>
        <v/>
      </c>
      <c r="O2613" s="99">
        <f>IFERROR(VLOOKUP(B2613,'Pre-Summary'!$BO$6:$BQ$48,3, FALSE),O2612)</f>
        <v>1.83</v>
      </c>
      <c r="P2613" s="99">
        <f>IFERROR(VLOOKUP(B2613,'Pre-Summary'!$BS$6:$BU$35,3,FALSE),P2612)</f>
        <v>0.46200000000000002</v>
      </c>
      <c r="Q2613" s="54">
        <f t="shared" si="120"/>
        <v>3.9610389610389611</v>
      </c>
      <c r="R2613" s="53">
        <f>IFERROR(VLOOKUP(B2613,'Pre-Summary'!$BG$6:$BM$44,7,FALSE),R2614)</f>
        <v>0.10528059183238438</v>
      </c>
      <c r="S2613" s="53">
        <f>IFERROR(VLOOKUP(B2613,'Pre-Summary'!$BG$6:$BM$44,6,FALSE),S2614)</f>
        <v>0.10567591412599613</v>
      </c>
      <c r="T2613" s="45" t="str">
        <f>IFERROR(VLOOKUP(B2613,'Pre-Summary'!$Y$6:$AC$83, 3,FALSE),"")</f>
        <v/>
      </c>
      <c r="U2613" s="45" t="str">
        <f>IFERROR(VLOOKUP(B2613,'Pre-Summary'!$Y$6:$AC$83, 4,FALSE),"")</f>
        <v/>
      </c>
      <c r="V2613" t="str">
        <f>IFERROR(VLOOKUP(B2613,'Pre-Summary'!$Y$6:$AC$83, 5,FALSE),"")</f>
        <v/>
      </c>
      <c r="W2613" s="45" t="str">
        <f>IFERROR(VLOOKUP(B2613,'Pre-Summary'!$Y$6:$AD$83,6,FALSE),"")</f>
        <v/>
      </c>
      <c r="X2613" t="str">
        <f>IFERROR(VLOOKUP('Pre-Summary'!$DB$6:$DD$63,3,FALSE),"")</f>
        <v/>
      </c>
      <c r="Y2613" t="str">
        <f>IFERROR(VLOOKUP(B2613,'Pre-Summary'!$CR$6:$CT$36,3,FALSE),"")</f>
        <v/>
      </c>
      <c r="Z2613" s="45" t="str">
        <f>IFERROR(VLOOKUP(B2613,'Pre-Summary'!$BZ$6:$CB$63,2,FALSE),"")</f>
        <v/>
      </c>
      <c r="AA2613" s="45" t="str">
        <f>IFERROR(VLOOKUP(B2613,'Pre-Summary'!$CG$6:$CI$70,2,FALSE),"")</f>
        <v/>
      </c>
      <c r="AB2613" s="99">
        <f>IFERROR(VLOOKUP(B2613,'Pre-Summary'!$A$6:$P$178,9,FALSE),AB2614)</f>
        <v>0.44037364184945627</v>
      </c>
      <c r="AC2613" s="10">
        <f>IFERROR(VLOOKUP(Summary!B2613,'Pre-Summary'!$A$6:$P$184,5, FALSE)/100,AC2614)</f>
        <v>0.9629049999999999</v>
      </c>
      <c r="AD2613" s="10">
        <f>IFERROR(VLOOKUP(Summary!B2613,'Pre-Summary'!$A$6:$P$184,3, FALSE)/100,AD2614)</f>
        <v>3.0608333333333331E-2</v>
      </c>
      <c r="AE2613" s="10">
        <f>IFERROR(VLOOKUP(Summary!B2613,'Pre-Summary'!$A$6:$P$184,7, FALSE)/100,AE2614)</f>
        <v>6.4959999999999992E-3</v>
      </c>
      <c r="AF2613" s="99">
        <f t="shared" si="121"/>
        <v>1.3479103220942106E-2</v>
      </c>
      <c r="AG2613" s="99">
        <f t="shared" si="122"/>
        <v>2.8606671774540674E-3</v>
      </c>
      <c r="AH2613" s="10" t="str">
        <f>IFERROR(VLOOKUP(B2613,'Pre-Summary'!$AZ$6:$BE$65,3,FALSE),"")</f>
        <v/>
      </c>
      <c r="AI2613" s="10" t="str">
        <f>IFERROR(VLOOKUP(B2613,'Pre-Summary'!$AZ$6:$BE$65,5,FALSE),"")</f>
        <v/>
      </c>
      <c r="AJ2613" s="10" t="str">
        <f>IFERROR(VLOOKUP(B2613,'Pre-Summary'!$AZ$6:$BE$65,4,FALSE),"")</f>
        <v/>
      </c>
      <c r="AK2613" s="10" t="str">
        <f>IFERROR(VLOOKUP(B2613,'Pre-Summary'!$AZ$6:$BE$65,6,FALSE),"")</f>
        <v/>
      </c>
      <c r="AL2613" s="10" t="str">
        <f>IFERROR(VLOOKUP(B2613,'Pre-Summary'!$BG$6:$BL$44,3,FALSE),"")</f>
        <v/>
      </c>
      <c r="AM2613" s="10" t="str">
        <f>IFERROR(VLOOKUP(B2613,'Pre-Summary'!$BG$6:$BL$44,4,FALSE),"")</f>
        <v/>
      </c>
    </row>
    <row r="2614" spans="2:39" ht="15" customHeight="1" x14ac:dyDescent="0.3">
      <c r="B2614">
        <v>261.10000000000002</v>
      </c>
      <c r="C2614" t="str">
        <f>IFERROR(VLOOKUP(B2614,'Pre-Summary'!$DI$6:$DM$23,4,FALSE),"")</f>
        <v/>
      </c>
      <c r="D2614" s="10" t="str">
        <f>IFERROR(VLOOKUP(B2614,'Pre-Summary'!$AT$6:$AX$14,5,FALSE),D2613)</f>
        <v>Wolfe v3: went back to modified wolfe + EDTA and switched CuSO4 to CUCl2</v>
      </c>
      <c r="E2614" s="10" t="str">
        <f>IFERROR(VLOOKUP(B2614,'Pre-Summary'!$AT$6:$AX$15,4,FALSE),"")</f>
        <v/>
      </c>
      <c r="F2614">
        <f>IFERROR(VLOOKUP(B2614,'Pre-Summary'!$AL$6:$AQ$13,6,FALSE),F2613)</f>
        <v>5.9405263157894746E-2</v>
      </c>
      <c r="G2614" t="str">
        <f>IFERROR(VLOOKUP(B2614,'Pre-Summary'!$AE$6:$AJ$85,3,FALSE),"")</f>
        <v/>
      </c>
      <c r="H2614" t="str">
        <f>IFERROR(VLOOKUP(B2614,'Pre-Summary'!$AE$6:$AJ$85,4,FALSE),"")</f>
        <v/>
      </c>
      <c r="I2614" t="str">
        <f>IFERROR(VLOOKUP(B2614,'Pre-Summary'!$AE$6:$AJ$85,5,FALSE),"")</f>
        <v/>
      </c>
      <c r="J2614" s="45" t="str">
        <f>IFERROR(VLOOKUP(B2614,'Pre-Summary'!$AE$6:$AJ$85,6, FALSE),"")</f>
        <v/>
      </c>
      <c r="K2614" s="45" t="str">
        <f>IFERROR(VLOOKUP(B2614,'Pre-Summary'!$DE$6:$DG$61,3,FALSE),"")</f>
        <v/>
      </c>
      <c r="L2614" s="45" t="str">
        <f>IFERROR(VLOOKUP(B2614,'Pre-Summary'!$CU$6:$CW$36,3,FALSE),"")</f>
        <v/>
      </c>
      <c r="M2614" s="45" t="str">
        <f>IFERROR(VLOOKUP(B2614,'Pre-Summary'!$BW$6:$BY$58,2,FALSE),"")</f>
        <v/>
      </c>
      <c r="N2614" s="45" t="str">
        <f>IFERROR(VLOOKUP(B2614,'Pre-Summary'!$CD$6:$CF$64,2,FALSE),"")</f>
        <v/>
      </c>
      <c r="O2614" s="99">
        <f>IFERROR(VLOOKUP(B2614,'Pre-Summary'!$BO$6:$BQ$48,3, FALSE),O2613)</f>
        <v>1.83</v>
      </c>
      <c r="P2614" s="99">
        <f>IFERROR(VLOOKUP(B2614,'Pre-Summary'!$BS$6:$BU$35,3,FALSE),P2613)</f>
        <v>0.46200000000000002</v>
      </c>
      <c r="Q2614" s="54">
        <f t="shared" si="120"/>
        <v>3.9610389610389611</v>
      </c>
      <c r="R2614" s="53">
        <f>IFERROR(VLOOKUP(B2614,'Pre-Summary'!$BG$6:$BM$44,7,FALSE),R2615)</f>
        <v>0.10528059183238438</v>
      </c>
      <c r="S2614" s="53">
        <f>IFERROR(VLOOKUP(B2614,'Pre-Summary'!$BG$6:$BM$44,6,FALSE),S2615)</f>
        <v>0.10567591412599613</v>
      </c>
      <c r="T2614" s="45" t="str">
        <f>IFERROR(VLOOKUP(B2614,'Pre-Summary'!$Y$6:$AC$83, 3,FALSE),"")</f>
        <v/>
      </c>
      <c r="U2614" s="45" t="str">
        <f>IFERROR(VLOOKUP(B2614,'Pre-Summary'!$Y$6:$AC$83, 4,FALSE),"")</f>
        <v/>
      </c>
      <c r="V2614" t="str">
        <f>IFERROR(VLOOKUP(B2614,'Pre-Summary'!$Y$6:$AC$83, 5,FALSE),"")</f>
        <v/>
      </c>
      <c r="W2614" s="45" t="str">
        <f>IFERROR(VLOOKUP(B2614,'Pre-Summary'!$Y$6:$AD$83,6,FALSE),"")</f>
        <v/>
      </c>
      <c r="X2614" t="str">
        <f>IFERROR(VLOOKUP('Pre-Summary'!$DB$6:$DD$63,3,FALSE),"")</f>
        <v/>
      </c>
      <c r="Y2614" t="str">
        <f>IFERROR(VLOOKUP(B2614,'Pre-Summary'!$CR$6:$CT$36,3,FALSE),"")</f>
        <v/>
      </c>
      <c r="Z2614" s="45" t="str">
        <f>IFERROR(VLOOKUP(B2614,'Pre-Summary'!$BZ$6:$CB$63,2,FALSE),"")</f>
        <v/>
      </c>
      <c r="AA2614" s="45" t="str">
        <f>IFERROR(VLOOKUP(B2614,'Pre-Summary'!$CG$6:$CI$70,2,FALSE),"")</f>
        <v/>
      </c>
      <c r="AB2614" s="99">
        <f>IFERROR(VLOOKUP(B2614,'Pre-Summary'!$A$6:$P$178,9,FALSE),AB2615)</f>
        <v>0.43582647412843634</v>
      </c>
      <c r="AC2614" s="10">
        <f>IFERROR(VLOOKUP(Summary!B2614,'Pre-Summary'!$A$6:$P$184,5, FALSE)/100,AC2615)</f>
        <v>0.93941799999999998</v>
      </c>
      <c r="AD2614" s="10">
        <f>IFERROR(VLOOKUP(Summary!B2614,'Pre-Summary'!$A$6:$P$184,3, FALSE)/100,AD2615)</f>
        <v>4.8995666666666667E-2</v>
      </c>
      <c r="AE2614" s="10">
        <f>IFERROR(VLOOKUP(Summary!B2614,'Pre-Summary'!$A$6:$P$184,7, FALSE)/100,AE2615)</f>
        <v>1.1586666666666667E-2</v>
      </c>
      <c r="AF2614" s="99">
        <f t="shared" si="121"/>
        <v>2.1353608650905489E-2</v>
      </c>
      <c r="AG2614" s="99">
        <f t="shared" si="122"/>
        <v>5.0497760802348159E-3</v>
      </c>
      <c r="AH2614" s="10" t="str">
        <f>IFERROR(VLOOKUP(B2614,'Pre-Summary'!$AZ$6:$BE$65,3,FALSE),"")</f>
        <v/>
      </c>
      <c r="AI2614" s="10" t="str">
        <f>IFERROR(VLOOKUP(B2614,'Pre-Summary'!$AZ$6:$BE$65,5,FALSE),"")</f>
        <v/>
      </c>
      <c r="AJ2614" s="10" t="str">
        <f>IFERROR(VLOOKUP(B2614,'Pre-Summary'!$AZ$6:$BE$65,4,FALSE),"")</f>
        <v/>
      </c>
      <c r="AK2614" s="10" t="str">
        <f>IFERROR(VLOOKUP(B2614,'Pre-Summary'!$AZ$6:$BE$65,6,FALSE),"")</f>
        <v/>
      </c>
      <c r="AL2614" s="10" t="str">
        <f>IFERROR(VLOOKUP(B2614,'Pre-Summary'!$BG$6:$BL$44,3,FALSE),"")</f>
        <v/>
      </c>
      <c r="AM2614" s="10" t="str">
        <f>IFERROR(VLOOKUP(B2614,'Pre-Summary'!$BG$6:$BL$44,4,FALSE),"")</f>
        <v/>
      </c>
    </row>
    <row r="2615" spans="2:39" ht="15" customHeight="1" x14ac:dyDescent="0.3">
      <c r="B2615">
        <v>261.2</v>
      </c>
      <c r="C2615" t="str">
        <f>IFERROR(VLOOKUP(B2615,'Pre-Summary'!$DI$6:$DM$23,4,FALSE),"")</f>
        <v/>
      </c>
      <c r="D2615" s="10" t="str">
        <f>IFERROR(VLOOKUP(B2615,'Pre-Summary'!$AT$6:$AX$14,5,FALSE),D2614)</f>
        <v>Wolfe v3: went back to modified wolfe + EDTA and switched CuSO4 to CUCl2</v>
      </c>
      <c r="E2615" s="10" t="str">
        <f>IFERROR(VLOOKUP(B2615,'Pre-Summary'!$AT$6:$AX$15,4,FALSE),"")</f>
        <v/>
      </c>
      <c r="F2615">
        <f>IFERROR(VLOOKUP(B2615,'Pre-Summary'!$AL$6:$AQ$13,6,FALSE),F2614)</f>
        <v>5.9405263157894746E-2</v>
      </c>
      <c r="G2615" t="str">
        <f>IFERROR(VLOOKUP(B2615,'Pre-Summary'!$AE$6:$AJ$85,3,FALSE),"")</f>
        <v/>
      </c>
      <c r="H2615" t="str">
        <f>IFERROR(VLOOKUP(B2615,'Pre-Summary'!$AE$6:$AJ$85,4,FALSE),"")</f>
        <v/>
      </c>
      <c r="I2615" t="str">
        <f>IFERROR(VLOOKUP(B2615,'Pre-Summary'!$AE$6:$AJ$85,5,FALSE),"")</f>
        <v/>
      </c>
      <c r="J2615" s="45" t="str">
        <f>IFERROR(VLOOKUP(B2615,'Pre-Summary'!$AE$6:$AJ$85,6, FALSE),"")</f>
        <v/>
      </c>
      <c r="K2615" s="45" t="str">
        <f>IFERROR(VLOOKUP(B2615,'Pre-Summary'!$DE$6:$DG$61,3,FALSE),"")</f>
        <v/>
      </c>
      <c r="L2615" s="45" t="str">
        <f>IFERROR(VLOOKUP(B2615,'Pre-Summary'!$CU$6:$CW$36,3,FALSE),"")</f>
        <v/>
      </c>
      <c r="M2615" s="45" t="str">
        <f>IFERROR(VLOOKUP(B2615,'Pre-Summary'!$BW$6:$BY$58,2,FALSE),"")</f>
        <v/>
      </c>
      <c r="N2615" s="45" t="str">
        <f>IFERROR(VLOOKUP(B2615,'Pre-Summary'!$CD$6:$CF$64,2,FALSE),"")</f>
        <v/>
      </c>
      <c r="O2615" s="99">
        <f>IFERROR(VLOOKUP(B2615,'Pre-Summary'!$BO$6:$BQ$48,3, FALSE),O2614)</f>
        <v>1.83</v>
      </c>
      <c r="P2615" s="99">
        <f>IFERROR(VLOOKUP(B2615,'Pre-Summary'!$BS$6:$BU$35,3,FALSE),P2614)</f>
        <v>0.46200000000000002</v>
      </c>
      <c r="Q2615" s="54">
        <f t="shared" si="120"/>
        <v>3.9610389610389611</v>
      </c>
      <c r="R2615" s="53">
        <f>IFERROR(VLOOKUP(B2615,'Pre-Summary'!$BG$6:$BM$44,7,FALSE),R2616)</f>
        <v>0.10528059183238438</v>
      </c>
      <c r="S2615" s="53">
        <f>IFERROR(VLOOKUP(B2615,'Pre-Summary'!$BG$6:$BM$44,6,FALSE),S2616)</f>
        <v>0.10567591412599613</v>
      </c>
      <c r="T2615" s="45" t="str">
        <f>IFERROR(VLOOKUP(B2615,'Pre-Summary'!$Y$6:$AC$83, 3,FALSE),"")</f>
        <v/>
      </c>
      <c r="U2615" s="45" t="str">
        <f>IFERROR(VLOOKUP(B2615,'Pre-Summary'!$Y$6:$AC$83, 4,FALSE),"")</f>
        <v/>
      </c>
      <c r="V2615" t="str">
        <f>IFERROR(VLOOKUP(B2615,'Pre-Summary'!$Y$6:$AC$83, 5,FALSE),"")</f>
        <v/>
      </c>
      <c r="W2615" s="45" t="str">
        <f>IFERROR(VLOOKUP(B2615,'Pre-Summary'!$Y$6:$AD$83,6,FALSE),"")</f>
        <v/>
      </c>
      <c r="X2615" t="str">
        <f>IFERROR(VLOOKUP('Pre-Summary'!$DB$6:$DD$63,3,FALSE),"")</f>
        <v/>
      </c>
      <c r="Y2615" t="str">
        <f>IFERROR(VLOOKUP(B2615,'Pre-Summary'!$CR$6:$CT$36,3,FALSE),"")</f>
        <v/>
      </c>
      <c r="Z2615" s="45" t="str">
        <f>IFERROR(VLOOKUP(B2615,'Pre-Summary'!$BZ$6:$CB$63,2,FALSE),"")</f>
        <v/>
      </c>
      <c r="AA2615" s="45" t="str">
        <f>IFERROR(VLOOKUP(B2615,'Pre-Summary'!$CG$6:$CI$70,2,FALSE),"")</f>
        <v/>
      </c>
      <c r="AB2615" s="99">
        <f>IFERROR(VLOOKUP(B2615,'Pre-Summary'!$A$6:$P$178,9,FALSE),AB2616)</f>
        <v>0.43582647412843634</v>
      </c>
      <c r="AC2615" s="10">
        <f>IFERROR(VLOOKUP(Summary!B2615,'Pre-Summary'!$A$6:$P$184,5, FALSE)/100,AC2616)</f>
        <v>0.93941799999999998</v>
      </c>
      <c r="AD2615" s="10">
        <f>IFERROR(VLOOKUP(Summary!B2615,'Pre-Summary'!$A$6:$P$184,3, FALSE)/100,AD2616)</f>
        <v>4.8995666666666667E-2</v>
      </c>
      <c r="AE2615" s="10">
        <f>IFERROR(VLOOKUP(Summary!B2615,'Pre-Summary'!$A$6:$P$184,7, FALSE)/100,AE2616)</f>
        <v>1.1586666666666667E-2</v>
      </c>
      <c r="AF2615" s="99">
        <f t="shared" si="121"/>
        <v>2.1353608650905489E-2</v>
      </c>
      <c r="AG2615" s="99">
        <f t="shared" si="122"/>
        <v>5.0497760802348159E-3</v>
      </c>
      <c r="AH2615" s="10" t="str">
        <f>IFERROR(VLOOKUP(B2615,'Pre-Summary'!$AZ$6:$BE$65,3,FALSE),"")</f>
        <v/>
      </c>
      <c r="AI2615" s="10" t="str">
        <f>IFERROR(VLOOKUP(B2615,'Pre-Summary'!$AZ$6:$BE$65,5,FALSE),"")</f>
        <v/>
      </c>
      <c r="AJ2615" s="10" t="str">
        <f>IFERROR(VLOOKUP(B2615,'Pre-Summary'!$AZ$6:$BE$65,4,FALSE),"")</f>
        <v/>
      </c>
      <c r="AK2615" s="10" t="str">
        <f>IFERROR(VLOOKUP(B2615,'Pre-Summary'!$AZ$6:$BE$65,6,FALSE),"")</f>
        <v/>
      </c>
      <c r="AL2615" s="10" t="str">
        <f>IFERROR(VLOOKUP(B2615,'Pre-Summary'!$BG$6:$BL$44,3,FALSE),"")</f>
        <v/>
      </c>
      <c r="AM2615" s="10" t="str">
        <f>IFERROR(VLOOKUP(B2615,'Pre-Summary'!$BG$6:$BL$44,4,FALSE),"")</f>
        <v/>
      </c>
    </row>
    <row r="2616" spans="2:39" ht="15" customHeight="1" x14ac:dyDescent="0.3">
      <c r="B2616">
        <v>261.3</v>
      </c>
      <c r="C2616" t="str">
        <f>IFERROR(VLOOKUP(B2616,'Pre-Summary'!$DI$6:$DM$23,4,FALSE),"")</f>
        <v/>
      </c>
      <c r="D2616" s="10" t="str">
        <f>IFERROR(VLOOKUP(B2616,'Pre-Summary'!$AT$6:$AX$14,5,FALSE),D2615)</f>
        <v>Wolfe v3: went back to modified wolfe + EDTA and switched CuSO4 to CUCl2</v>
      </c>
      <c r="E2616" s="10" t="str">
        <f>IFERROR(VLOOKUP(B2616,'Pre-Summary'!$AT$6:$AX$15,4,FALSE),"")</f>
        <v/>
      </c>
      <c r="F2616">
        <f>IFERROR(VLOOKUP(B2616,'Pre-Summary'!$AL$6:$AQ$13,6,FALSE),F2615)</f>
        <v>5.9405263157894746E-2</v>
      </c>
      <c r="G2616" t="str">
        <f>IFERROR(VLOOKUP(B2616,'Pre-Summary'!$AE$6:$AJ$85,3,FALSE),"")</f>
        <v/>
      </c>
      <c r="H2616" t="str">
        <f>IFERROR(VLOOKUP(B2616,'Pre-Summary'!$AE$6:$AJ$85,4,FALSE),"")</f>
        <v/>
      </c>
      <c r="I2616" t="str">
        <f>IFERROR(VLOOKUP(B2616,'Pre-Summary'!$AE$6:$AJ$85,5,FALSE),"")</f>
        <v/>
      </c>
      <c r="J2616" s="45" t="str">
        <f>IFERROR(VLOOKUP(B2616,'Pre-Summary'!$AE$6:$AJ$85,6, FALSE),"")</f>
        <v/>
      </c>
      <c r="K2616" s="45" t="str">
        <f>IFERROR(VLOOKUP(B2616,'Pre-Summary'!$DE$6:$DG$61,3,FALSE),"")</f>
        <v/>
      </c>
      <c r="L2616" s="45" t="str">
        <f>IFERROR(VLOOKUP(B2616,'Pre-Summary'!$CU$6:$CW$36,3,FALSE),"")</f>
        <v/>
      </c>
      <c r="M2616" s="45" t="str">
        <f>IFERROR(VLOOKUP(B2616,'Pre-Summary'!$BW$6:$BY$58,2,FALSE),"")</f>
        <v/>
      </c>
      <c r="N2616" s="45" t="str">
        <f>IFERROR(VLOOKUP(B2616,'Pre-Summary'!$CD$6:$CF$64,2,FALSE),"")</f>
        <v/>
      </c>
      <c r="O2616" s="99">
        <f>IFERROR(VLOOKUP(B2616,'Pre-Summary'!$BO$6:$BQ$48,3, FALSE),O2615)</f>
        <v>1.83</v>
      </c>
      <c r="P2616" s="99">
        <f>IFERROR(VLOOKUP(B2616,'Pre-Summary'!$BS$6:$BU$35,3,FALSE),P2615)</f>
        <v>0.46200000000000002</v>
      </c>
      <c r="Q2616" s="54">
        <f t="shared" si="120"/>
        <v>3.9610389610389611</v>
      </c>
      <c r="R2616" s="53">
        <f>IFERROR(VLOOKUP(B2616,'Pre-Summary'!$BG$6:$BM$44,7,FALSE),R2617)</f>
        <v>0.10528059183238438</v>
      </c>
      <c r="S2616" s="53">
        <f>IFERROR(VLOOKUP(B2616,'Pre-Summary'!$BG$6:$BM$44,6,FALSE),S2617)</f>
        <v>0.10567591412599613</v>
      </c>
      <c r="T2616" s="45" t="str">
        <f>IFERROR(VLOOKUP(B2616,'Pre-Summary'!$Y$6:$AC$83, 3,FALSE),"")</f>
        <v/>
      </c>
      <c r="U2616" s="45" t="str">
        <f>IFERROR(VLOOKUP(B2616,'Pre-Summary'!$Y$6:$AC$83, 4,FALSE),"")</f>
        <v/>
      </c>
      <c r="V2616" t="str">
        <f>IFERROR(VLOOKUP(B2616,'Pre-Summary'!$Y$6:$AC$83, 5,FALSE),"")</f>
        <v/>
      </c>
      <c r="W2616" s="45" t="str">
        <f>IFERROR(VLOOKUP(B2616,'Pre-Summary'!$Y$6:$AD$83,6,FALSE),"")</f>
        <v/>
      </c>
      <c r="X2616" t="str">
        <f>IFERROR(VLOOKUP('Pre-Summary'!$DB$6:$DD$63,3,FALSE),"")</f>
        <v/>
      </c>
      <c r="Y2616" t="str">
        <f>IFERROR(VLOOKUP(B2616,'Pre-Summary'!$CR$6:$CT$36,3,FALSE),"")</f>
        <v/>
      </c>
      <c r="Z2616" s="45" t="str">
        <f>IFERROR(VLOOKUP(B2616,'Pre-Summary'!$BZ$6:$CB$63,2,FALSE),"")</f>
        <v/>
      </c>
      <c r="AA2616" s="45" t="str">
        <f>IFERROR(VLOOKUP(B2616,'Pre-Summary'!$CG$6:$CI$70,2,FALSE),"")</f>
        <v/>
      </c>
      <c r="AB2616" s="99">
        <f>IFERROR(VLOOKUP(B2616,'Pre-Summary'!$A$6:$P$178,9,FALSE),AB2617)</f>
        <v>0.43582647412843634</v>
      </c>
      <c r="AC2616" s="10">
        <f>IFERROR(VLOOKUP(Summary!B2616,'Pre-Summary'!$A$6:$P$184,5, FALSE)/100,AC2617)</f>
        <v>0.93941799999999998</v>
      </c>
      <c r="AD2616" s="10">
        <f>IFERROR(VLOOKUP(Summary!B2616,'Pre-Summary'!$A$6:$P$184,3, FALSE)/100,AD2617)</f>
        <v>4.8995666666666667E-2</v>
      </c>
      <c r="AE2616" s="10">
        <f>IFERROR(VLOOKUP(Summary!B2616,'Pre-Summary'!$A$6:$P$184,7, FALSE)/100,AE2617)</f>
        <v>1.1586666666666667E-2</v>
      </c>
      <c r="AF2616" s="99">
        <f t="shared" si="121"/>
        <v>2.1353608650905489E-2</v>
      </c>
      <c r="AG2616" s="99">
        <f t="shared" si="122"/>
        <v>5.0497760802348159E-3</v>
      </c>
      <c r="AH2616" s="10" t="str">
        <f>IFERROR(VLOOKUP(B2616,'Pre-Summary'!$AZ$6:$BE$65,3,FALSE),"")</f>
        <v/>
      </c>
      <c r="AI2616" s="10" t="str">
        <f>IFERROR(VLOOKUP(B2616,'Pre-Summary'!$AZ$6:$BE$65,5,FALSE),"")</f>
        <v/>
      </c>
      <c r="AJ2616" s="10" t="str">
        <f>IFERROR(VLOOKUP(B2616,'Pre-Summary'!$AZ$6:$BE$65,4,FALSE),"")</f>
        <v/>
      </c>
      <c r="AK2616" s="10" t="str">
        <f>IFERROR(VLOOKUP(B2616,'Pre-Summary'!$AZ$6:$BE$65,6,FALSE),"")</f>
        <v/>
      </c>
      <c r="AL2616" s="10" t="str">
        <f>IFERROR(VLOOKUP(B2616,'Pre-Summary'!$BG$6:$BL$44,3,FALSE),"")</f>
        <v/>
      </c>
      <c r="AM2616" s="10" t="str">
        <f>IFERROR(VLOOKUP(B2616,'Pre-Summary'!$BG$6:$BL$44,4,FALSE),"")</f>
        <v/>
      </c>
    </row>
    <row r="2617" spans="2:39" ht="15" customHeight="1" x14ac:dyDescent="0.3">
      <c r="B2617">
        <v>261.39999999999998</v>
      </c>
      <c r="C2617" t="str">
        <f>IFERROR(VLOOKUP(B2617,'Pre-Summary'!$DI$6:$DM$23,4,FALSE),"")</f>
        <v/>
      </c>
      <c r="D2617" s="10" t="str">
        <f>IFERROR(VLOOKUP(B2617,'Pre-Summary'!$AT$6:$AX$14,5,FALSE),D2616)</f>
        <v>Wolfe v3: went back to modified wolfe + EDTA and switched CuSO4 to CUCl2</v>
      </c>
      <c r="E2617" s="10" t="str">
        <f>IFERROR(VLOOKUP(B2617,'Pre-Summary'!$AT$6:$AX$15,4,FALSE),"")</f>
        <v/>
      </c>
      <c r="F2617">
        <f>IFERROR(VLOOKUP(B2617,'Pre-Summary'!$AL$6:$AQ$13,6,FALSE),F2616)</f>
        <v>5.9405263157894746E-2</v>
      </c>
      <c r="G2617" t="str">
        <f>IFERROR(VLOOKUP(B2617,'Pre-Summary'!$AE$6:$AJ$85,3,FALSE),"")</f>
        <v/>
      </c>
      <c r="H2617" t="str">
        <f>IFERROR(VLOOKUP(B2617,'Pre-Summary'!$AE$6:$AJ$85,4,FALSE),"")</f>
        <v/>
      </c>
      <c r="I2617" t="str">
        <f>IFERROR(VLOOKUP(B2617,'Pre-Summary'!$AE$6:$AJ$85,5,FALSE),"")</f>
        <v/>
      </c>
      <c r="J2617" s="45" t="str">
        <f>IFERROR(VLOOKUP(B2617,'Pre-Summary'!$AE$6:$AJ$85,6, FALSE),"")</f>
        <v/>
      </c>
      <c r="K2617" s="45" t="str">
        <f>IFERROR(VLOOKUP(B2617,'Pre-Summary'!$DE$6:$DG$61,3,FALSE),"")</f>
        <v/>
      </c>
      <c r="L2617" s="45" t="str">
        <f>IFERROR(VLOOKUP(B2617,'Pre-Summary'!$CU$6:$CW$36,3,FALSE),"")</f>
        <v/>
      </c>
      <c r="M2617" s="45" t="str">
        <f>IFERROR(VLOOKUP(B2617,'Pre-Summary'!$BW$6:$BY$58,2,FALSE),"")</f>
        <v/>
      </c>
      <c r="N2617" s="45" t="str">
        <f>IFERROR(VLOOKUP(B2617,'Pre-Summary'!$CD$6:$CF$64,2,FALSE),"")</f>
        <v/>
      </c>
      <c r="O2617" s="99">
        <f>IFERROR(VLOOKUP(B2617,'Pre-Summary'!$BO$6:$BQ$48,3, FALSE),O2616)</f>
        <v>1.83</v>
      </c>
      <c r="P2617" s="99">
        <f>IFERROR(VLOOKUP(B2617,'Pre-Summary'!$BS$6:$BU$35,3,FALSE),P2616)</f>
        <v>0.46200000000000002</v>
      </c>
      <c r="Q2617" s="54">
        <f t="shared" si="120"/>
        <v>3.9610389610389611</v>
      </c>
      <c r="R2617" s="53">
        <f>IFERROR(VLOOKUP(B2617,'Pre-Summary'!$BG$6:$BM$44,7,FALSE),R2618)</f>
        <v>0.10528059183238438</v>
      </c>
      <c r="S2617" s="53">
        <f>IFERROR(VLOOKUP(B2617,'Pre-Summary'!$BG$6:$BM$44,6,FALSE),S2618)</f>
        <v>0.10567591412599613</v>
      </c>
      <c r="T2617" s="45" t="str">
        <f>IFERROR(VLOOKUP(B2617,'Pre-Summary'!$Y$6:$AC$83, 3,FALSE),"")</f>
        <v/>
      </c>
      <c r="U2617" s="45" t="str">
        <f>IFERROR(VLOOKUP(B2617,'Pre-Summary'!$Y$6:$AC$83, 4,FALSE),"")</f>
        <v/>
      </c>
      <c r="V2617" t="str">
        <f>IFERROR(VLOOKUP(B2617,'Pre-Summary'!$Y$6:$AC$83, 5,FALSE),"")</f>
        <v/>
      </c>
      <c r="W2617" s="45" t="str">
        <f>IFERROR(VLOOKUP(B2617,'Pre-Summary'!$Y$6:$AD$83,6,FALSE),"")</f>
        <v/>
      </c>
      <c r="X2617" t="str">
        <f>IFERROR(VLOOKUP('Pre-Summary'!$DB$6:$DD$63,3,FALSE),"")</f>
        <v/>
      </c>
      <c r="Y2617" t="str">
        <f>IFERROR(VLOOKUP(B2617,'Pre-Summary'!$CR$6:$CT$36,3,FALSE),"")</f>
        <v/>
      </c>
      <c r="Z2617" s="45" t="str">
        <f>IFERROR(VLOOKUP(B2617,'Pre-Summary'!$BZ$6:$CB$63,2,FALSE),"")</f>
        <v/>
      </c>
      <c r="AA2617" s="45" t="str">
        <f>IFERROR(VLOOKUP(B2617,'Pre-Summary'!$CG$6:$CI$70,2,FALSE),"")</f>
        <v/>
      </c>
      <c r="AB2617" s="99">
        <f>IFERROR(VLOOKUP(B2617,'Pre-Summary'!$A$6:$P$178,9,FALSE),AB2618)</f>
        <v>0.43582647412843634</v>
      </c>
      <c r="AC2617" s="10">
        <f>IFERROR(VLOOKUP(Summary!B2617,'Pre-Summary'!$A$6:$P$184,5, FALSE)/100,AC2618)</f>
        <v>0.93941799999999998</v>
      </c>
      <c r="AD2617" s="10">
        <f>IFERROR(VLOOKUP(Summary!B2617,'Pre-Summary'!$A$6:$P$184,3, FALSE)/100,AD2618)</f>
        <v>4.8995666666666667E-2</v>
      </c>
      <c r="AE2617" s="10">
        <f>IFERROR(VLOOKUP(Summary!B2617,'Pre-Summary'!$A$6:$P$184,7, FALSE)/100,AE2618)</f>
        <v>1.1586666666666667E-2</v>
      </c>
      <c r="AF2617" s="99">
        <f t="shared" si="121"/>
        <v>2.1353608650905489E-2</v>
      </c>
      <c r="AG2617" s="99">
        <f t="shared" si="122"/>
        <v>5.0497760802348159E-3</v>
      </c>
      <c r="AH2617" s="10" t="str">
        <f>IFERROR(VLOOKUP(B2617,'Pre-Summary'!$AZ$6:$BE$65,3,FALSE),"")</f>
        <v/>
      </c>
      <c r="AI2617" s="10" t="str">
        <f>IFERROR(VLOOKUP(B2617,'Pre-Summary'!$AZ$6:$BE$65,5,FALSE),"")</f>
        <v/>
      </c>
      <c r="AJ2617" s="10" t="str">
        <f>IFERROR(VLOOKUP(B2617,'Pre-Summary'!$AZ$6:$BE$65,4,FALSE),"")</f>
        <v/>
      </c>
      <c r="AK2617" s="10" t="str">
        <f>IFERROR(VLOOKUP(B2617,'Pre-Summary'!$AZ$6:$BE$65,6,FALSE),"")</f>
        <v/>
      </c>
      <c r="AL2617" s="10" t="str">
        <f>IFERROR(VLOOKUP(B2617,'Pre-Summary'!$BG$6:$BL$44,3,FALSE),"")</f>
        <v/>
      </c>
      <c r="AM2617" s="10" t="str">
        <f>IFERROR(VLOOKUP(B2617,'Pre-Summary'!$BG$6:$BL$44,4,FALSE),"")</f>
        <v/>
      </c>
    </row>
    <row r="2618" spans="2:39" ht="15" customHeight="1" x14ac:dyDescent="0.3">
      <c r="B2618">
        <v>261.5</v>
      </c>
      <c r="C2618" t="str">
        <f>IFERROR(VLOOKUP(B2618,'Pre-Summary'!$DI$6:$DM$23,4,FALSE),"")</f>
        <v/>
      </c>
      <c r="D2618" s="10" t="str">
        <f>IFERROR(VLOOKUP(B2618,'Pre-Summary'!$AT$6:$AX$14,5,FALSE),D2617)</f>
        <v>Wolfe v3: went back to modified wolfe + EDTA and switched CuSO4 to CUCl2</v>
      </c>
      <c r="E2618" s="10" t="str">
        <f>IFERROR(VLOOKUP(B2618,'Pre-Summary'!$AT$6:$AX$15,4,FALSE),"")</f>
        <v/>
      </c>
      <c r="F2618">
        <f>IFERROR(VLOOKUP(B2618,'Pre-Summary'!$AL$6:$AQ$13,6,FALSE),F2617)</f>
        <v>5.9405263157894746E-2</v>
      </c>
      <c r="G2618" t="str">
        <f>IFERROR(VLOOKUP(B2618,'Pre-Summary'!$AE$6:$AJ$85,3,FALSE),"")</f>
        <v/>
      </c>
      <c r="H2618" t="str">
        <f>IFERROR(VLOOKUP(B2618,'Pre-Summary'!$AE$6:$AJ$85,4,FALSE),"")</f>
        <v/>
      </c>
      <c r="I2618" t="str">
        <f>IFERROR(VLOOKUP(B2618,'Pre-Summary'!$AE$6:$AJ$85,5,FALSE),"")</f>
        <v/>
      </c>
      <c r="J2618" s="45" t="str">
        <f>IFERROR(VLOOKUP(B2618,'Pre-Summary'!$AE$6:$AJ$85,6, FALSE),"")</f>
        <v/>
      </c>
      <c r="K2618" s="45" t="str">
        <f>IFERROR(VLOOKUP(B2618,'Pre-Summary'!$DE$6:$DG$61,3,FALSE),"")</f>
        <v/>
      </c>
      <c r="L2618" s="45" t="str">
        <f>IFERROR(VLOOKUP(B2618,'Pre-Summary'!$CU$6:$CW$36,3,FALSE),"")</f>
        <v/>
      </c>
      <c r="M2618" s="45" t="str">
        <f>IFERROR(VLOOKUP(B2618,'Pre-Summary'!$BW$6:$BY$58,2,FALSE),"")</f>
        <v/>
      </c>
      <c r="N2618" s="45" t="str">
        <f>IFERROR(VLOOKUP(B2618,'Pre-Summary'!$CD$6:$CF$64,2,FALSE),"")</f>
        <v/>
      </c>
      <c r="O2618" s="99">
        <f>IFERROR(VLOOKUP(B2618,'Pre-Summary'!$BO$6:$BQ$48,3, FALSE),O2617)</f>
        <v>1.83</v>
      </c>
      <c r="P2618" s="99">
        <f>IFERROR(VLOOKUP(B2618,'Pre-Summary'!$BS$6:$BU$35,3,FALSE),P2617)</f>
        <v>0.46200000000000002</v>
      </c>
      <c r="Q2618" s="54">
        <f t="shared" si="120"/>
        <v>3.9610389610389611</v>
      </c>
      <c r="R2618" s="53">
        <f>IFERROR(VLOOKUP(B2618,'Pre-Summary'!$BG$6:$BM$44,7,FALSE),R2619)</f>
        <v>0.10528059183238438</v>
      </c>
      <c r="S2618" s="53">
        <f>IFERROR(VLOOKUP(B2618,'Pre-Summary'!$BG$6:$BM$44,6,FALSE),S2619)</f>
        <v>0.10567591412599613</v>
      </c>
      <c r="T2618" s="45" t="str">
        <f>IFERROR(VLOOKUP(B2618,'Pre-Summary'!$Y$6:$AC$83, 3,FALSE),"")</f>
        <v/>
      </c>
      <c r="U2618" s="45" t="str">
        <f>IFERROR(VLOOKUP(B2618,'Pre-Summary'!$Y$6:$AC$83, 4,FALSE),"")</f>
        <v/>
      </c>
      <c r="V2618" t="str">
        <f>IFERROR(VLOOKUP(B2618,'Pre-Summary'!$Y$6:$AC$83, 5,FALSE),"")</f>
        <v/>
      </c>
      <c r="W2618" s="45" t="str">
        <f>IFERROR(VLOOKUP(B2618,'Pre-Summary'!$Y$6:$AD$83,6,FALSE),"")</f>
        <v/>
      </c>
      <c r="X2618" t="str">
        <f>IFERROR(VLOOKUP('Pre-Summary'!$DB$6:$DD$63,3,FALSE),"")</f>
        <v/>
      </c>
      <c r="Y2618" t="str">
        <f>IFERROR(VLOOKUP(B2618,'Pre-Summary'!$CR$6:$CT$36,3,FALSE),"")</f>
        <v/>
      </c>
      <c r="Z2618" s="45" t="str">
        <f>IFERROR(VLOOKUP(B2618,'Pre-Summary'!$BZ$6:$CB$63,2,FALSE),"")</f>
        <v/>
      </c>
      <c r="AA2618" s="45" t="str">
        <f>IFERROR(VLOOKUP(B2618,'Pre-Summary'!$CG$6:$CI$70,2,FALSE),"")</f>
        <v/>
      </c>
      <c r="AB2618" s="99">
        <f>IFERROR(VLOOKUP(B2618,'Pre-Summary'!$A$6:$P$178,9,FALSE),AB2619)</f>
        <v>0.43582647412843634</v>
      </c>
      <c r="AC2618" s="10">
        <f>IFERROR(VLOOKUP(Summary!B2618,'Pre-Summary'!$A$6:$P$184,5, FALSE)/100,AC2619)</f>
        <v>0.93941799999999998</v>
      </c>
      <c r="AD2618" s="10">
        <f>IFERROR(VLOOKUP(Summary!B2618,'Pre-Summary'!$A$6:$P$184,3, FALSE)/100,AD2619)</f>
        <v>4.8995666666666667E-2</v>
      </c>
      <c r="AE2618" s="10">
        <f>IFERROR(VLOOKUP(Summary!B2618,'Pre-Summary'!$A$6:$P$184,7, FALSE)/100,AE2619)</f>
        <v>1.1586666666666667E-2</v>
      </c>
      <c r="AF2618" s="99">
        <f t="shared" si="121"/>
        <v>2.1353608650905489E-2</v>
      </c>
      <c r="AG2618" s="99">
        <f t="shared" si="122"/>
        <v>5.0497760802348159E-3</v>
      </c>
      <c r="AH2618" s="10" t="str">
        <f>IFERROR(VLOOKUP(B2618,'Pre-Summary'!$AZ$6:$BE$65,3,FALSE),"")</f>
        <v/>
      </c>
      <c r="AI2618" s="10" t="str">
        <f>IFERROR(VLOOKUP(B2618,'Pre-Summary'!$AZ$6:$BE$65,5,FALSE),"")</f>
        <v/>
      </c>
      <c r="AJ2618" s="10" t="str">
        <f>IFERROR(VLOOKUP(B2618,'Pre-Summary'!$AZ$6:$BE$65,4,FALSE),"")</f>
        <v/>
      </c>
      <c r="AK2618" s="10" t="str">
        <f>IFERROR(VLOOKUP(B2618,'Pre-Summary'!$AZ$6:$BE$65,6,FALSE),"")</f>
        <v/>
      </c>
      <c r="AL2618" s="10" t="str">
        <f>IFERROR(VLOOKUP(B2618,'Pre-Summary'!$BG$6:$BL$44,3,FALSE),"")</f>
        <v/>
      </c>
      <c r="AM2618" s="10" t="str">
        <f>IFERROR(VLOOKUP(B2618,'Pre-Summary'!$BG$6:$BL$44,4,FALSE),"")</f>
        <v/>
      </c>
    </row>
    <row r="2619" spans="2:39" ht="15" customHeight="1" x14ac:dyDescent="0.3">
      <c r="B2619">
        <v>261.60000000000002</v>
      </c>
      <c r="C2619" t="str">
        <f>IFERROR(VLOOKUP(B2619,'Pre-Summary'!$DI$6:$DM$23,4,FALSE),"")</f>
        <v/>
      </c>
      <c r="D2619" s="10" t="str">
        <f>IFERROR(VLOOKUP(B2619,'Pre-Summary'!$AT$6:$AX$14,5,FALSE),D2618)</f>
        <v>Wolfe v3: went back to modified wolfe + EDTA and switched CuSO4 to CUCl2</v>
      </c>
      <c r="E2619" s="10" t="str">
        <f>IFERROR(VLOOKUP(B2619,'Pre-Summary'!$AT$6:$AX$15,4,FALSE),"")</f>
        <v/>
      </c>
      <c r="F2619">
        <f>IFERROR(VLOOKUP(B2619,'Pre-Summary'!$AL$6:$AQ$13,6,FALSE),F2618)</f>
        <v>5.9405263157894746E-2</v>
      </c>
      <c r="G2619" t="str">
        <f>IFERROR(VLOOKUP(B2619,'Pre-Summary'!$AE$6:$AJ$85,3,FALSE),"")</f>
        <v/>
      </c>
      <c r="H2619" t="str">
        <f>IFERROR(VLOOKUP(B2619,'Pre-Summary'!$AE$6:$AJ$85,4,FALSE),"")</f>
        <v/>
      </c>
      <c r="I2619" t="str">
        <f>IFERROR(VLOOKUP(B2619,'Pre-Summary'!$AE$6:$AJ$85,5,FALSE),"")</f>
        <v/>
      </c>
      <c r="J2619" s="45" t="str">
        <f>IFERROR(VLOOKUP(B2619,'Pre-Summary'!$AE$6:$AJ$85,6, FALSE),"")</f>
        <v/>
      </c>
      <c r="K2619" s="45" t="str">
        <f>IFERROR(VLOOKUP(B2619,'Pre-Summary'!$DE$6:$DG$61,3,FALSE),"")</f>
        <v/>
      </c>
      <c r="L2619" s="45" t="str">
        <f>IFERROR(VLOOKUP(B2619,'Pre-Summary'!$CU$6:$CW$36,3,FALSE),"")</f>
        <v/>
      </c>
      <c r="M2619" s="45" t="str">
        <f>IFERROR(VLOOKUP(B2619,'Pre-Summary'!$BW$6:$BY$58,2,FALSE),"")</f>
        <v/>
      </c>
      <c r="N2619" s="45" t="str">
        <f>IFERROR(VLOOKUP(B2619,'Pre-Summary'!$CD$6:$CF$64,2,FALSE),"")</f>
        <v/>
      </c>
      <c r="O2619" s="99">
        <f>IFERROR(VLOOKUP(B2619,'Pre-Summary'!$BO$6:$BQ$48,3, FALSE),O2618)</f>
        <v>1.83</v>
      </c>
      <c r="P2619" s="99">
        <f>IFERROR(VLOOKUP(B2619,'Pre-Summary'!$BS$6:$BU$35,3,FALSE),P2618)</f>
        <v>0.46200000000000002</v>
      </c>
      <c r="Q2619" s="54">
        <f t="shared" si="120"/>
        <v>3.9610389610389611</v>
      </c>
      <c r="R2619" s="53">
        <f>IFERROR(VLOOKUP(B2619,'Pre-Summary'!$BG$6:$BM$44,7,FALSE),R2620)</f>
        <v>0.10528059183238438</v>
      </c>
      <c r="S2619" s="53">
        <f>IFERROR(VLOOKUP(B2619,'Pre-Summary'!$BG$6:$BM$44,6,FALSE),S2620)</f>
        <v>0.10567591412599613</v>
      </c>
      <c r="T2619" s="45" t="str">
        <f>IFERROR(VLOOKUP(B2619,'Pre-Summary'!$Y$6:$AC$83, 3,FALSE),"")</f>
        <v/>
      </c>
      <c r="U2619" s="45" t="str">
        <f>IFERROR(VLOOKUP(B2619,'Pre-Summary'!$Y$6:$AC$83, 4,FALSE),"")</f>
        <v/>
      </c>
      <c r="V2619" t="str">
        <f>IFERROR(VLOOKUP(B2619,'Pre-Summary'!$Y$6:$AC$83, 5,FALSE),"")</f>
        <v/>
      </c>
      <c r="W2619" s="45" t="str">
        <f>IFERROR(VLOOKUP(B2619,'Pre-Summary'!$Y$6:$AD$83,6,FALSE),"")</f>
        <v/>
      </c>
      <c r="X2619" t="str">
        <f>IFERROR(VLOOKUP('Pre-Summary'!$DB$6:$DD$63,3,FALSE),"")</f>
        <v/>
      </c>
      <c r="Y2619" t="str">
        <f>IFERROR(VLOOKUP(B2619,'Pre-Summary'!$CR$6:$CT$36,3,FALSE),"")</f>
        <v/>
      </c>
      <c r="Z2619" s="45" t="str">
        <f>IFERROR(VLOOKUP(B2619,'Pre-Summary'!$BZ$6:$CB$63,2,FALSE),"")</f>
        <v/>
      </c>
      <c r="AA2619" s="45" t="str">
        <f>IFERROR(VLOOKUP(B2619,'Pre-Summary'!$CG$6:$CI$70,2,FALSE),"")</f>
        <v/>
      </c>
      <c r="AB2619" s="99">
        <f>IFERROR(VLOOKUP(B2619,'Pre-Summary'!$A$6:$P$178,9,FALSE),AB2620)</f>
        <v>0.43582647412843634</v>
      </c>
      <c r="AC2619" s="10">
        <f>IFERROR(VLOOKUP(Summary!B2619,'Pre-Summary'!$A$6:$P$184,5, FALSE)/100,AC2620)</f>
        <v>0.93941799999999998</v>
      </c>
      <c r="AD2619" s="10">
        <f>IFERROR(VLOOKUP(Summary!B2619,'Pre-Summary'!$A$6:$P$184,3, FALSE)/100,AD2620)</f>
        <v>4.8995666666666667E-2</v>
      </c>
      <c r="AE2619" s="10">
        <f>IFERROR(VLOOKUP(Summary!B2619,'Pre-Summary'!$A$6:$P$184,7, FALSE)/100,AE2620)</f>
        <v>1.1586666666666667E-2</v>
      </c>
      <c r="AF2619" s="99">
        <f t="shared" si="121"/>
        <v>2.1353608650905489E-2</v>
      </c>
      <c r="AG2619" s="99">
        <f t="shared" si="122"/>
        <v>5.0497760802348159E-3</v>
      </c>
      <c r="AH2619" s="10" t="str">
        <f>IFERROR(VLOOKUP(B2619,'Pre-Summary'!$AZ$6:$BE$65,3,FALSE),"")</f>
        <v/>
      </c>
      <c r="AI2619" s="10" t="str">
        <f>IFERROR(VLOOKUP(B2619,'Pre-Summary'!$AZ$6:$BE$65,5,FALSE),"")</f>
        <v/>
      </c>
      <c r="AJ2619" s="10" t="str">
        <f>IFERROR(VLOOKUP(B2619,'Pre-Summary'!$AZ$6:$BE$65,4,FALSE),"")</f>
        <v/>
      </c>
      <c r="AK2619" s="10" t="str">
        <f>IFERROR(VLOOKUP(B2619,'Pre-Summary'!$AZ$6:$BE$65,6,FALSE),"")</f>
        <v/>
      </c>
      <c r="AL2619" s="10" t="str">
        <f>IFERROR(VLOOKUP(B2619,'Pre-Summary'!$BG$6:$BL$44,3,FALSE),"")</f>
        <v/>
      </c>
      <c r="AM2619" s="10" t="str">
        <f>IFERROR(VLOOKUP(B2619,'Pre-Summary'!$BG$6:$BL$44,4,FALSE),"")</f>
        <v/>
      </c>
    </row>
    <row r="2620" spans="2:39" ht="15" customHeight="1" x14ac:dyDescent="0.3">
      <c r="B2620">
        <v>261.7</v>
      </c>
      <c r="C2620" t="str">
        <f>IFERROR(VLOOKUP(B2620,'Pre-Summary'!$DI$6:$DM$23,4,FALSE),"")</f>
        <v/>
      </c>
      <c r="D2620" s="10" t="str">
        <f>IFERROR(VLOOKUP(B2620,'Pre-Summary'!$AT$6:$AX$14,5,FALSE),D2619)</f>
        <v>Wolfe v3: went back to modified wolfe + EDTA and switched CuSO4 to CUCl2</v>
      </c>
      <c r="E2620" s="10" t="str">
        <f>IFERROR(VLOOKUP(B2620,'Pre-Summary'!$AT$6:$AX$15,4,FALSE),"")</f>
        <v/>
      </c>
      <c r="F2620">
        <f>IFERROR(VLOOKUP(B2620,'Pre-Summary'!$AL$6:$AQ$13,6,FALSE),F2619)</f>
        <v>5.9405263157894746E-2</v>
      </c>
      <c r="G2620" t="str">
        <f>IFERROR(VLOOKUP(B2620,'Pre-Summary'!$AE$6:$AJ$85,3,FALSE),"")</f>
        <v/>
      </c>
      <c r="H2620" t="str">
        <f>IFERROR(VLOOKUP(B2620,'Pre-Summary'!$AE$6:$AJ$85,4,FALSE),"")</f>
        <v/>
      </c>
      <c r="I2620" t="str">
        <f>IFERROR(VLOOKUP(B2620,'Pre-Summary'!$AE$6:$AJ$85,5,FALSE),"")</f>
        <v/>
      </c>
      <c r="J2620" s="45" t="str">
        <f>IFERROR(VLOOKUP(B2620,'Pre-Summary'!$AE$6:$AJ$85,6, FALSE),"")</f>
        <v/>
      </c>
      <c r="K2620" s="45" t="str">
        <f>IFERROR(VLOOKUP(B2620,'Pre-Summary'!$DE$6:$DG$61,3,FALSE),"")</f>
        <v/>
      </c>
      <c r="L2620" s="45" t="str">
        <f>IFERROR(VLOOKUP(B2620,'Pre-Summary'!$CU$6:$CW$36,3,FALSE),"")</f>
        <v/>
      </c>
      <c r="M2620" s="45" t="str">
        <f>IFERROR(VLOOKUP(B2620,'Pre-Summary'!$BW$6:$BY$58,2,FALSE),"")</f>
        <v/>
      </c>
      <c r="N2620" s="45" t="str">
        <f>IFERROR(VLOOKUP(B2620,'Pre-Summary'!$CD$6:$CF$64,2,FALSE),"")</f>
        <v/>
      </c>
      <c r="O2620" s="99">
        <f>IFERROR(VLOOKUP(B2620,'Pre-Summary'!$BO$6:$BQ$48,3, FALSE),O2619)</f>
        <v>1.83</v>
      </c>
      <c r="P2620" s="99">
        <f>IFERROR(VLOOKUP(B2620,'Pre-Summary'!$BS$6:$BU$35,3,FALSE),P2619)</f>
        <v>0.46200000000000002</v>
      </c>
      <c r="Q2620" s="54">
        <f t="shared" si="120"/>
        <v>3.9610389610389611</v>
      </c>
      <c r="R2620" s="53">
        <f>IFERROR(VLOOKUP(B2620,'Pre-Summary'!$BG$6:$BM$44,7,FALSE),R2621)</f>
        <v>0.10528059183238438</v>
      </c>
      <c r="S2620" s="53">
        <f>IFERROR(VLOOKUP(B2620,'Pre-Summary'!$BG$6:$BM$44,6,FALSE),S2621)</f>
        <v>0.10567591412599613</v>
      </c>
      <c r="T2620" s="45" t="str">
        <f>IFERROR(VLOOKUP(B2620,'Pre-Summary'!$Y$6:$AC$83, 3,FALSE),"")</f>
        <v/>
      </c>
      <c r="U2620" s="45" t="str">
        <f>IFERROR(VLOOKUP(B2620,'Pre-Summary'!$Y$6:$AC$83, 4,FALSE),"")</f>
        <v/>
      </c>
      <c r="V2620" t="str">
        <f>IFERROR(VLOOKUP(B2620,'Pre-Summary'!$Y$6:$AC$83, 5,FALSE),"")</f>
        <v/>
      </c>
      <c r="W2620" s="45" t="str">
        <f>IFERROR(VLOOKUP(B2620,'Pre-Summary'!$Y$6:$AD$83,6,FALSE),"")</f>
        <v/>
      </c>
      <c r="X2620" t="str">
        <f>IFERROR(VLOOKUP('Pre-Summary'!$DB$6:$DD$63,3,FALSE),"")</f>
        <v/>
      </c>
      <c r="Y2620" t="str">
        <f>IFERROR(VLOOKUP(B2620,'Pre-Summary'!$CR$6:$CT$36,3,FALSE),"")</f>
        <v/>
      </c>
      <c r="Z2620" s="45" t="str">
        <f>IFERROR(VLOOKUP(B2620,'Pre-Summary'!$BZ$6:$CB$63,2,FALSE),"")</f>
        <v/>
      </c>
      <c r="AA2620" s="45" t="str">
        <f>IFERROR(VLOOKUP(B2620,'Pre-Summary'!$CG$6:$CI$70,2,FALSE),"")</f>
        <v/>
      </c>
      <c r="AB2620" s="99">
        <f>IFERROR(VLOOKUP(B2620,'Pre-Summary'!$A$6:$P$178,9,FALSE),AB2621)</f>
        <v>0.43582647412843634</v>
      </c>
      <c r="AC2620" s="10">
        <f>IFERROR(VLOOKUP(Summary!B2620,'Pre-Summary'!$A$6:$P$184,5, FALSE)/100,AC2621)</f>
        <v>0.93941799999999998</v>
      </c>
      <c r="AD2620" s="10">
        <f>IFERROR(VLOOKUP(Summary!B2620,'Pre-Summary'!$A$6:$P$184,3, FALSE)/100,AD2621)</f>
        <v>4.8995666666666667E-2</v>
      </c>
      <c r="AE2620" s="10">
        <f>IFERROR(VLOOKUP(Summary!B2620,'Pre-Summary'!$A$6:$P$184,7, FALSE)/100,AE2621)</f>
        <v>1.1586666666666667E-2</v>
      </c>
      <c r="AF2620" s="99">
        <f t="shared" si="121"/>
        <v>2.1353608650905489E-2</v>
      </c>
      <c r="AG2620" s="99">
        <f t="shared" si="122"/>
        <v>5.0497760802348159E-3</v>
      </c>
      <c r="AH2620" s="10" t="str">
        <f>IFERROR(VLOOKUP(B2620,'Pre-Summary'!$AZ$6:$BE$65,3,FALSE),"")</f>
        <v/>
      </c>
      <c r="AI2620" s="10" t="str">
        <f>IFERROR(VLOOKUP(B2620,'Pre-Summary'!$AZ$6:$BE$65,5,FALSE),"")</f>
        <v/>
      </c>
      <c r="AJ2620" s="10" t="str">
        <f>IFERROR(VLOOKUP(B2620,'Pre-Summary'!$AZ$6:$BE$65,4,FALSE),"")</f>
        <v/>
      </c>
      <c r="AK2620" s="10" t="str">
        <f>IFERROR(VLOOKUP(B2620,'Pre-Summary'!$AZ$6:$BE$65,6,FALSE),"")</f>
        <v/>
      </c>
      <c r="AL2620" s="10" t="str">
        <f>IFERROR(VLOOKUP(B2620,'Pre-Summary'!$BG$6:$BL$44,3,FALSE),"")</f>
        <v/>
      </c>
      <c r="AM2620" s="10" t="str">
        <f>IFERROR(VLOOKUP(B2620,'Pre-Summary'!$BG$6:$BL$44,4,FALSE),"")</f>
        <v/>
      </c>
    </row>
    <row r="2621" spans="2:39" ht="15" customHeight="1" x14ac:dyDescent="0.3">
      <c r="B2621">
        <v>261.8</v>
      </c>
      <c r="C2621" t="str">
        <f>IFERROR(VLOOKUP(B2621,'Pre-Summary'!$DI$6:$DM$23,4,FALSE),"")</f>
        <v/>
      </c>
      <c r="D2621" s="10" t="str">
        <f>IFERROR(VLOOKUP(B2621,'Pre-Summary'!$AT$6:$AX$14,5,FALSE),D2620)</f>
        <v>Wolfe v3: went back to modified wolfe + EDTA and switched CuSO4 to CUCl2</v>
      </c>
      <c r="E2621" s="10" t="str">
        <f>IFERROR(VLOOKUP(B2621,'Pre-Summary'!$AT$6:$AX$15,4,FALSE),"")</f>
        <v/>
      </c>
      <c r="F2621">
        <f>IFERROR(VLOOKUP(B2621,'Pre-Summary'!$AL$6:$AQ$13,6,FALSE),F2620)</f>
        <v>5.9405263157894746E-2</v>
      </c>
      <c r="G2621" t="str">
        <f>IFERROR(VLOOKUP(B2621,'Pre-Summary'!$AE$6:$AJ$85,3,FALSE),"")</f>
        <v/>
      </c>
      <c r="H2621" t="str">
        <f>IFERROR(VLOOKUP(B2621,'Pre-Summary'!$AE$6:$AJ$85,4,FALSE),"")</f>
        <v/>
      </c>
      <c r="I2621" t="str">
        <f>IFERROR(VLOOKUP(B2621,'Pre-Summary'!$AE$6:$AJ$85,5,FALSE),"")</f>
        <v/>
      </c>
      <c r="J2621" s="45" t="str">
        <f>IFERROR(VLOOKUP(B2621,'Pre-Summary'!$AE$6:$AJ$85,6, FALSE),"")</f>
        <v/>
      </c>
      <c r="K2621" s="45" t="str">
        <f>IFERROR(VLOOKUP(B2621,'Pre-Summary'!$DE$6:$DG$61,3,FALSE),"")</f>
        <v/>
      </c>
      <c r="L2621" s="45" t="str">
        <f>IFERROR(VLOOKUP(B2621,'Pre-Summary'!$CU$6:$CW$36,3,FALSE),"")</f>
        <v/>
      </c>
      <c r="M2621" s="45" t="str">
        <f>IFERROR(VLOOKUP(B2621,'Pre-Summary'!$BW$6:$BY$58,2,FALSE),"")</f>
        <v/>
      </c>
      <c r="N2621" s="45" t="str">
        <f>IFERROR(VLOOKUP(B2621,'Pre-Summary'!$CD$6:$CF$64,2,FALSE),"")</f>
        <v/>
      </c>
      <c r="O2621" s="99">
        <f>IFERROR(VLOOKUP(B2621,'Pre-Summary'!$BO$6:$BQ$48,3, FALSE),O2620)</f>
        <v>1.83</v>
      </c>
      <c r="P2621" s="99">
        <f>IFERROR(VLOOKUP(B2621,'Pre-Summary'!$BS$6:$BU$35,3,FALSE),P2620)</f>
        <v>0.46200000000000002</v>
      </c>
      <c r="Q2621" s="54">
        <f t="shared" si="120"/>
        <v>3.9610389610389611</v>
      </c>
      <c r="R2621" s="53">
        <f>IFERROR(VLOOKUP(B2621,'Pre-Summary'!$BG$6:$BM$44,7,FALSE),R2622)</f>
        <v>0.10528059183238438</v>
      </c>
      <c r="S2621" s="53">
        <f>IFERROR(VLOOKUP(B2621,'Pre-Summary'!$BG$6:$BM$44,6,FALSE),S2622)</f>
        <v>0.10567591412599613</v>
      </c>
      <c r="T2621" s="45" t="str">
        <f>IFERROR(VLOOKUP(B2621,'Pre-Summary'!$Y$6:$AC$83, 3,FALSE),"")</f>
        <v/>
      </c>
      <c r="U2621" s="45" t="str">
        <f>IFERROR(VLOOKUP(B2621,'Pre-Summary'!$Y$6:$AC$83, 4,FALSE),"")</f>
        <v/>
      </c>
      <c r="V2621" t="str">
        <f>IFERROR(VLOOKUP(B2621,'Pre-Summary'!$Y$6:$AC$83, 5,FALSE),"")</f>
        <v/>
      </c>
      <c r="W2621" s="45" t="str">
        <f>IFERROR(VLOOKUP(B2621,'Pre-Summary'!$Y$6:$AD$83,6,FALSE),"")</f>
        <v/>
      </c>
      <c r="X2621" t="str">
        <f>IFERROR(VLOOKUP('Pre-Summary'!$DB$6:$DD$63,3,FALSE),"")</f>
        <v/>
      </c>
      <c r="Y2621" t="str">
        <f>IFERROR(VLOOKUP(B2621,'Pre-Summary'!$CR$6:$CT$36,3,FALSE),"")</f>
        <v/>
      </c>
      <c r="Z2621" s="45" t="str">
        <f>IFERROR(VLOOKUP(B2621,'Pre-Summary'!$BZ$6:$CB$63,2,FALSE),"")</f>
        <v/>
      </c>
      <c r="AA2621" s="45" t="str">
        <f>IFERROR(VLOOKUP(B2621,'Pre-Summary'!$CG$6:$CI$70,2,FALSE),"")</f>
        <v/>
      </c>
      <c r="AB2621" s="99">
        <f>IFERROR(VLOOKUP(B2621,'Pre-Summary'!$A$6:$P$178,9,FALSE),AB2622)</f>
        <v>0.43582647412843634</v>
      </c>
      <c r="AC2621" s="10">
        <f>IFERROR(VLOOKUP(Summary!B2621,'Pre-Summary'!$A$6:$P$184,5, FALSE)/100,AC2622)</f>
        <v>0.93941799999999998</v>
      </c>
      <c r="AD2621" s="10">
        <f>IFERROR(VLOOKUP(Summary!B2621,'Pre-Summary'!$A$6:$P$184,3, FALSE)/100,AD2622)</f>
        <v>4.8995666666666667E-2</v>
      </c>
      <c r="AE2621" s="10">
        <f>IFERROR(VLOOKUP(Summary!B2621,'Pre-Summary'!$A$6:$P$184,7, FALSE)/100,AE2622)</f>
        <v>1.1586666666666667E-2</v>
      </c>
      <c r="AF2621" s="99">
        <f t="shared" si="121"/>
        <v>2.1353608650905489E-2</v>
      </c>
      <c r="AG2621" s="99">
        <f t="shared" si="122"/>
        <v>5.0497760802348159E-3</v>
      </c>
      <c r="AH2621" s="10" t="str">
        <f>IFERROR(VLOOKUP(B2621,'Pre-Summary'!$AZ$6:$BE$65,3,FALSE),"")</f>
        <v/>
      </c>
      <c r="AI2621" s="10" t="str">
        <f>IFERROR(VLOOKUP(B2621,'Pre-Summary'!$AZ$6:$BE$65,5,FALSE),"")</f>
        <v/>
      </c>
      <c r="AJ2621" s="10" t="str">
        <f>IFERROR(VLOOKUP(B2621,'Pre-Summary'!$AZ$6:$BE$65,4,FALSE),"")</f>
        <v/>
      </c>
      <c r="AK2621" s="10" t="str">
        <f>IFERROR(VLOOKUP(B2621,'Pre-Summary'!$AZ$6:$BE$65,6,FALSE),"")</f>
        <v/>
      </c>
      <c r="AL2621" s="10" t="str">
        <f>IFERROR(VLOOKUP(B2621,'Pre-Summary'!$BG$6:$BL$44,3,FALSE),"")</f>
        <v/>
      </c>
      <c r="AM2621" s="10" t="str">
        <f>IFERROR(VLOOKUP(B2621,'Pre-Summary'!$BG$6:$BL$44,4,FALSE),"")</f>
        <v/>
      </c>
    </row>
    <row r="2622" spans="2:39" ht="15" customHeight="1" x14ac:dyDescent="0.3">
      <c r="B2622">
        <v>261.89999999999998</v>
      </c>
      <c r="C2622" t="str">
        <f>IFERROR(VLOOKUP(B2622,'Pre-Summary'!$DI$6:$DM$23,4,FALSE),"")</f>
        <v/>
      </c>
      <c r="D2622" s="10" t="str">
        <f>IFERROR(VLOOKUP(B2622,'Pre-Summary'!$AT$6:$AX$14,5,FALSE),D2621)</f>
        <v>Wolfe v3: went back to modified wolfe + EDTA and switched CuSO4 to CUCl2</v>
      </c>
      <c r="E2622" s="10" t="str">
        <f>IFERROR(VLOOKUP(B2622,'Pre-Summary'!$AT$6:$AX$15,4,FALSE),"")</f>
        <v/>
      </c>
      <c r="F2622">
        <f>IFERROR(VLOOKUP(B2622,'Pre-Summary'!$AL$6:$AQ$13,6,FALSE),F2621)</f>
        <v>5.9405263157894746E-2</v>
      </c>
      <c r="G2622" t="str">
        <f>IFERROR(VLOOKUP(B2622,'Pre-Summary'!$AE$6:$AJ$85,3,FALSE),"")</f>
        <v/>
      </c>
      <c r="H2622" t="str">
        <f>IFERROR(VLOOKUP(B2622,'Pre-Summary'!$AE$6:$AJ$85,4,FALSE),"")</f>
        <v/>
      </c>
      <c r="I2622" t="str">
        <f>IFERROR(VLOOKUP(B2622,'Pre-Summary'!$AE$6:$AJ$85,5,FALSE),"")</f>
        <v/>
      </c>
      <c r="J2622" s="45" t="str">
        <f>IFERROR(VLOOKUP(B2622,'Pre-Summary'!$AE$6:$AJ$85,6, FALSE),"")</f>
        <v/>
      </c>
      <c r="K2622" s="45" t="str">
        <f>IFERROR(VLOOKUP(B2622,'Pre-Summary'!$DE$6:$DG$61,3,FALSE),"")</f>
        <v/>
      </c>
      <c r="L2622" s="45" t="str">
        <f>IFERROR(VLOOKUP(B2622,'Pre-Summary'!$CU$6:$CW$36,3,FALSE),"")</f>
        <v/>
      </c>
      <c r="M2622" s="45" t="str">
        <f>IFERROR(VLOOKUP(B2622,'Pre-Summary'!$BW$6:$BY$58,2,FALSE),"")</f>
        <v/>
      </c>
      <c r="N2622" s="45" t="str">
        <f>IFERROR(VLOOKUP(B2622,'Pre-Summary'!$CD$6:$CF$64,2,FALSE),"")</f>
        <v/>
      </c>
      <c r="O2622" s="99">
        <f>IFERROR(VLOOKUP(B2622,'Pre-Summary'!$BO$6:$BQ$48,3, FALSE),O2621)</f>
        <v>1.83</v>
      </c>
      <c r="P2622" s="99">
        <f>IFERROR(VLOOKUP(B2622,'Pre-Summary'!$BS$6:$BU$35,3,FALSE),P2621)</f>
        <v>0.46200000000000002</v>
      </c>
      <c r="Q2622" s="54">
        <f t="shared" si="120"/>
        <v>3.9610389610389611</v>
      </c>
      <c r="R2622" s="53">
        <f>IFERROR(VLOOKUP(B2622,'Pre-Summary'!$BG$6:$BM$44,7,FALSE),R2623)</f>
        <v>0.10528059183238438</v>
      </c>
      <c r="S2622" s="53">
        <f>IFERROR(VLOOKUP(B2622,'Pre-Summary'!$BG$6:$BM$44,6,FALSE),S2623)</f>
        <v>0.10567591412599613</v>
      </c>
      <c r="T2622" s="45" t="str">
        <f>IFERROR(VLOOKUP(B2622,'Pre-Summary'!$Y$6:$AC$83, 3,FALSE),"")</f>
        <v/>
      </c>
      <c r="U2622" s="45" t="str">
        <f>IFERROR(VLOOKUP(B2622,'Pre-Summary'!$Y$6:$AC$83, 4,FALSE),"")</f>
        <v/>
      </c>
      <c r="V2622" t="str">
        <f>IFERROR(VLOOKUP(B2622,'Pre-Summary'!$Y$6:$AC$83, 5,FALSE),"")</f>
        <v/>
      </c>
      <c r="W2622" s="45" t="str">
        <f>IFERROR(VLOOKUP(B2622,'Pre-Summary'!$Y$6:$AD$83,6,FALSE),"")</f>
        <v/>
      </c>
      <c r="X2622" t="str">
        <f>IFERROR(VLOOKUP('Pre-Summary'!$DB$6:$DD$63,3,FALSE),"")</f>
        <v/>
      </c>
      <c r="Y2622" t="str">
        <f>IFERROR(VLOOKUP(B2622,'Pre-Summary'!$CR$6:$CT$36,3,FALSE),"")</f>
        <v/>
      </c>
      <c r="Z2622" s="45" t="str">
        <f>IFERROR(VLOOKUP(B2622,'Pre-Summary'!$BZ$6:$CB$63,2,FALSE),"")</f>
        <v/>
      </c>
      <c r="AA2622" s="45" t="str">
        <f>IFERROR(VLOOKUP(B2622,'Pre-Summary'!$CG$6:$CI$70,2,FALSE),"")</f>
        <v/>
      </c>
      <c r="AB2622" s="99">
        <f>IFERROR(VLOOKUP(B2622,'Pre-Summary'!$A$6:$P$178,9,FALSE),AB2623)</f>
        <v>0.43582647412843634</v>
      </c>
      <c r="AC2622" s="10">
        <f>IFERROR(VLOOKUP(Summary!B2622,'Pre-Summary'!$A$6:$P$184,5, FALSE)/100,AC2623)</f>
        <v>0.93941799999999998</v>
      </c>
      <c r="AD2622" s="10">
        <f>IFERROR(VLOOKUP(Summary!B2622,'Pre-Summary'!$A$6:$P$184,3, FALSE)/100,AD2623)</f>
        <v>4.8995666666666667E-2</v>
      </c>
      <c r="AE2622" s="10">
        <f>IFERROR(VLOOKUP(Summary!B2622,'Pre-Summary'!$A$6:$P$184,7, FALSE)/100,AE2623)</f>
        <v>1.1586666666666667E-2</v>
      </c>
      <c r="AF2622" s="99">
        <f t="shared" si="121"/>
        <v>2.1353608650905489E-2</v>
      </c>
      <c r="AG2622" s="99">
        <f t="shared" si="122"/>
        <v>5.0497760802348159E-3</v>
      </c>
      <c r="AH2622" s="10" t="str">
        <f>IFERROR(VLOOKUP(B2622,'Pre-Summary'!$AZ$6:$BE$65,3,FALSE),"")</f>
        <v/>
      </c>
      <c r="AI2622" s="10" t="str">
        <f>IFERROR(VLOOKUP(B2622,'Pre-Summary'!$AZ$6:$BE$65,5,FALSE),"")</f>
        <v/>
      </c>
      <c r="AJ2622" s="10" t="str">
        <f>IFERROR(VLOOKUP(B2622,'Pre-Summary'!$AZ$6:$BE$65,4,FALSE),"")</f>
        <v/>
      </c>
      <c r="AK2622" s="10" t="str">
        <f>IFERROR(VLOOKUP(B2622,'Pre-Summary'!$AZ$6:$BE$65,6,FALSE),"")</f>
        <v/>
      </c>
      <c r="AL2622" s="10" t="str">
        <f>IFERROR(VLOOKUP(B2622,'Pre-Summary'!$BG$6:$BL$44,3,FALSE),"")</f>
        <v/>
      </c>
      <c r="AM2622" s="10" t="str">
        <f>IFERROR(VLOOKUP(B2622,'Pre-Summary'!$BG$6:$BL$44,4,FALSE),"")</f>
        <v/>
      </c>
    </row>
    <row r="2623" spans="2:39" ht="15" customHeight="1" x14ac:dyDescent="0.3">
      <c r="B2623">
        <v>262</v>
      </c>
      <c r="C2623" t="str">
        <f>IFERROR(VLOOKUP(B2623,'Pre-Summary'!$DI$6:$DM$23,4,FALSE),"")</f>
        <v/>
      </c>
      <c r="D2623" s="10" t="str">
        <f>IFERROR(VLOOKUP(B2623,'Pre-Summary'!$AT$6:$AX$14,5,FALSE),D2622)</f>
        <v>Wolfe v3: went back to modified wolfe + EDTA and switched CuSO4 to CUCl2</v>
      </c>
      <c r="E2623" s="10" t="str">
        <f>IFERROR(VLOOKUP(B2623,'Pre-Summary'!$AT$6:$AX$15,4,FALSE),"")</f>
        <v/>
      </c>
      <c r="F2623">
        <f>IFERROR(VLOOKUP(B2623,'Pre-Summary'!$AL$6:$AQ$13,6,FALSE),F2622)</f>
        <v>5.9405263157894746E-2</v>
      </c>
      <c r="G2623" t="str">
        <f>IFERROR(VLOOKUP(B2623,'Pre-Summary'!$AE$6:$AJ$85,3,FALSE),"")</f>
        <v/>
      </c>
      <c r="H2623" t="str">
        <f>IFERROR(VLOOKUP(B2623,'Pre-Summary'!$AE$6:$AJ$85,4,FALSE),"")</f>
        <v/>
      </c>
      <c r="I2623" t="str">
        <f>IFERROR(VLOOKUP(B2623,'Pre-Summary'!$AE$6:$AJ$85,5,FALSE),"")</f>
        <v/>
      </c>
      <c r="J2623" s="45" t="str">
        <f>IFERROR(VLOOKUP(B2623,'Pre-Summary'!$AE$6:$AJ$85,6, FALSE),"")</f>
        <v/>
      </c>
      <c r="K2623" s="45" t="str">
        <f>IFERROR(VLOOKUP(B2623,'Pre-Summary'!$DE$6:$DG$61,3,FALSE),"")</f>
        <v/>
      </c>
      <c r="L2623" s="45" t="str">
        <f>IFERROR(VLOOKUP(B2623,'Pre-Summary'!$CU$6:$CW$36,3,FALSE),"")</f>
        <v/>
      </c>
      <c r="M2623" s="45" t="str">
        <f>IFERROR(VLOOKUP(B2623,'Pre-Summary'!$BW$6:$BY$58,2,FALSE),"")</f>
        <v/>
      </c>
      <c r="N2623" s="45" t="str">
        <f>IFERROR(VLOOKUP(B2623,'Pre-Summary'!$CD$6:$CF$64,2,FALSE),"")</f>
        <v/>
      </c>
      <c r="O2623" s="99">
        <f>IFERROR(VLOOKUP(B2623,'Pre-Summary'!$BO$6:$BQ$48,3, FALSE),O2622)</f>
        <v>1.83</v>
      </c>
      <c r="P2623" s="99">
        <f>IFERROR(VLOOKUP(B2623,'Pre-Summary'!$BS$6:$BU$35,3,FALSE),P2622)</f>
        <v>0.46200000000000002</v>
      </c>
      <c r="Q2623" s="54">
        <f t="shared" si="120"/>
        <v>3.9610389610389611</v>
      </c>
      <c r="R2623" s="53">
        <f>IFERROR(VLOOKUP(B2623,'Pre-Summary'!$BG$6:$BM$44,7,FALSE),R2624)</f>
        <v>0.10528059183238438</v>
      </c>
      <c r="S2623" s="53">
        <f>IFERROR(VLOOKUP(B2623,'Pre-Summary'!$BG$6:$BM$44,6,FALSE),S2624)</f>
        <v>0.10567591412599613</v>
      </c>
      <c r="T2623" s="45" t="str">
        <f>IFERROR(VLOOKUP(B2623,'Pre-Summary'!$Y$6:$AC$83, 3,FALSE),"")</f>
        <v/>
      </c>
      <c r="U2623" s="45" t="str">
        <f>IFERROR(VLOOKUP(B2623,'Pre-Summary'!$Y$6:$AC$83, 4,FALSE),"")</f>
        <v/>
      </c>
      <c r="V2623" t="str">
        <f>IFERROR(VLOOKUP(B2623,'Pre-Summary'!$Y$6:$AC$83, 5,FALSE),"")</f>
        <v/>
      </c>
      <c r="W2623" s="45" t="str">
        <f>IFERROR(VLOOKUP(B2623,'Pre-Summary'!$Y$6:$AD$83,6,FALSE),"")</f>
        <v/>
      </c>
      <c r="X2623" t="str">
        <f>IFERROR(VLOOKUP('Pre-Summary'!$DB$6:$DD$63,3,FALSE),"")</f>
        <v/>
      </c>
      <c r="Y2623" t="str">
        <f>IFERROR(VLOOKUP(B2623,'Pre-Summary'!$CR$6:$CT$36,3,FALSE),"")</f>
        <v/>
      </c>
      <c r="Z2623" s="45" t="str">
        <f>IFERROR(VLOOKUP(B2623,'Pre-Summary'!$BZ$6:$CB$63,2,FALSE),"")</f>
        <v/>
      </c>
      <c r="AA2623" s="45" t="str">
        <f>IFERROR(VLOOKUP(B2623,'Pre-Summary'!$CG$6:$CI$70,2,FALSE),"")</f>
        <v/>
      </c>
      <c r="AB2623" s="99">
        <f>IFERROR(VLOOKUP(B2623,'Pre-Summary'!$A$6:$P$178,9,FALSE),AB2624)</f>
        <v>0.43582647412843634</v>
      </c>
      <c r="AC2623" s="10">
        <f>IFERROR(VLOOKUP(Summary!B2623,'Pre-Summary'!$A$6:$P$184,5, FALSE)/100,AC2624)</f>
        <v>0.93941799999999998</v>
      </c>
      <c r="AD2623" s="10">
        <f>IFERROR(VLOOKUP(Summary!B2623,'Pre-Summary'!$A$6:$P$184,3, FALSE)/100,AD2624)</f>
        <v>4.8995666666666667E-2</v>
      </c>
      <c r="AE2623" s="10">
        <f>IFERROR(VLOOKUP(Summary!B2623,'Pre-Summary'!$A$6:$P$184,7, FALSE)/100,AE2624)</f>
        <v>1.1586666666666667E-2</v>
      </c>
      <c r="AF2623" s="99">
        <f t="shared" si="121"/>
        <v>2.1353608650905489E-2</v>
      </c>
      <c r="AG2623" s="99">
        <f t="shared" si="122"/>
        <v>5.0497760802348159E-3</v>
      </c>
      <c r="AH2623" s="10" t="str">
        <f>IFERROR(VLOOKUP(B2623,'Pre-Summary'!$AZ$6:$BE$65,3,FALSE),"")</f>
        <v/>
      </c>
      <c r="AI2623" s="10" t="str">
        <f>IFERROR(VLOOKUP(B2623,'Pre-Summary'!$AZ$6:$BE$65,5,FALSE),"")</f>
        <v/>
      </c>
      <c r="AJ2623" s="10" t="str">
        <f>IFERROR(VLOOKUP(B2623,'Pre-Summary'!$AZ$6:$BE$65,4,FALSE),"")</f>
        <v/>
      </c>
      <c r="AK2623" s="10" t="str">
        <f>IFERROR(VLOOKUP(B2623,'Pre-Summary'!$AZ$6:$BE$65,6,FALSE),"")</f>
        <v/>
      </c>
      <c r="AL2623" s="10" t="str">
        <f>IFERROR(VLOOKUP(B2623,'Pre-Summary'!$BG$6:$BL$44,3,FALSE),"")</f>
        <v/>
      </c>
      <c r="AM2623" s="10" t="str">
        <f>IFERROR(VLOOKUP(B2623,'Pre-Summary'!$BG$6:$BL$44,4,FALSE),"")</f>
        <v/>
      </c>
    </row>
    <row r="2624" spans="2:39" ht="15" customHeight="1" x14ac:dyDescent="0.3">
      <c r="B2624">
        <v>262.10000000000002</v>
      </c>
      <c r="C2624" t="str">
        <f>IFERROR(VLOOKUP(B2624,'Pre-Summary'!$DI$6:$DM$23,4,FALSE),"")</f>
        <v/>
      </c>
      <c r="D2624" s="10" t="str">
        <f>IFERROR(VLOOKUP(B2624,'Pre-Summary'!$AT$6:$AX$14,5,FALSE),D2623)</f>
        <v>Wolfe v3: went back to modified wolfe + EDTA and switched CuSO4 to CUCl2</v>
      </c>
      <c r="E2624" s="10" t="str">
        <f>IFERROR(VLOOKUP(B2624,'Pre-Summary'!$AT$6:$AX$15,4,FALSE),"")</f>
        <v/>
      </c>
      <c r="F2624">
        <f>IFERROR(VLOOKUP(B2624,'Pre-Summary'!$AL$6:$AQ$13,6,FALSE),F2623)</f>
        <v>5.9405263157894746E-2</v>
      </c>
      <c r="G2624" t="str">
        <f>IFERROR(VLOOKUP(B2624,'Pre-Summary'!$AE$6:$AJ$85,3,FALSE),"")</f>
        <v/>
      </c>
      <c r="H2624" t="str">
        <f>IFERROR(VLOOKUP(B2624,'Pre-Summary'!$AE$6:$AJ$85,4,FALSE),"")</f>
        <v/>
      </c>
      <c r="I2624" t="str">
        <f>IFERROR(VLOOKUP(B2624,'Pre-Summary'!$AE$6:$AJ$85,5,FALSE),"")</f>
        <v/>
      </c>
      <c r="J2624" s="45" t="str">
        <f>IFERROR(VLOOKUP(B2624,'Pre-Summary'!$AE$6:$AJ$85,6, FALSE),"")</f>
        <v/>
      </c>
      <c r="K2624" s="45" t="str">
        <f>IFERROR(VLOOKUP(B2624,'Pre-Summary'!$DE$6:$DG$61,3,FALSE),"")</f>
        <v/>
      </c>
      <c r="L2624" s="45" t="str">
        <f>IFERROR(VLOOKUP(B2624,'Pre-Summary'!$CU$6:$CW$36,3,FALSE),"")</f>
        <v/>
      </c>
      <c r="M2624" s="45" t="str">
        <f>IFERROR(VLOOKUP(B2624,'Pre-Summary'!$BW$6:$BY$58,2,FALSE),"")</f>
        <v/>
      </c>
      <c r="N2624" s="45" t="str">
        <f>IFERROR(VLOOKUP(B2624,'Pre-Summary'!$CD$6:$CF$64,2,FALSE),"")</f>
        <v/>
      </c>
      <c r="O2624" s="99">
        <f>IFERROR(VLOOKUP(B2624,'Pre-Summary'!$BO$6:$BQ$48,3, FALSE),O2623)</f>
        <v>1.83</v>
      </c>
      <c r="P2624" s="99">
        <f>IFERROR(VLOOKUP(B2624,'Pre-Summary'!$BS$6:$BU$35,3,FALSE),P2623)</f>
        <v>0.46200000000000002</v>
      </c>
      <c r="Q2624" s="54">
        <f t="shared" si="120"/>
        <v>3.9610389610389611</v>
      </c>
      <c r="R2624" s="53">
        <f>IFERROR(VLOOKUP(B2624,'Pre-Summary'!$BG$6:$BM$44,7,FALSE),R2625)</f>
        <v>0.10528059183238438</v>
      </c>
      <c r="S2624" s="53">
        <f>IFERROR(VLOOKUP(B2624,'Pre-Summary'!$BG$6:$BM$44,6,FALSE),S2625)</f>
        <v>0.10567591412599613</v>
      </c>
      <c r="T2624" s="45" t="str">
        <f>IFERROR(VLOOKUP(B2624,'Pre-Summary'!$Y$6:$AC$83, 3,FALSE),"")</f>
        <v/>
      </c>
      <c r="U2624" s="45" t="str">
        <f>IFERROR(VLOOKUP(B2624,'Pre-Summary'!$Y$6:$AC$83, 4,FALSE),"")</f>
        <v/>
      </c>
      <c r="V2624" t="str">
        <f>IFERROR(VLOOKUP(B2624,'Pre-Summary'!$Y$6:$AC$83, 5,FALSE),"")</f>
        <v/>
      </c>
      <c r="W2624" s="45" t="str">
        <f>IFERROR(VLOOKUP(B2624,'Pre-Summary'!$Y$6:$AD$83,6,FALSE),"")</f>
        <v/>
      </c>
      <c r="X2624" t="str">
        <f>IFERROR(VLOOKUP('Pre-Summary'!$DB$6:$DD$63,3,FALSE),"")</f>
        <v/>
      </c>
      <c r="Y2624" t="str">
        <f>IFERROR(VLOOKUP(B2624,'Pre-Summary'!$CR$6:$CT$36,3,FALSE),"")</f>
        <v/>
      </c>
      <c r="Z2624" s="45" t="str">
        <f>IFERROR(VLOOKUP(B2624,'Pre-Summary'!$BZ$6:$CB$63,2,FALSE),"")</f>
        <v/>
      </c>
      <c r="AA2624" s="45" t="str">
        <f>IFERROR(VLOOKUP(B2624,'Pre-Summary'!$CG$6:$CI$70,2,FALSE),"")</f>
        <v/>
      </c>
      <c r="AB2624" s="99">
        <f>IFERROR(VLOOKUP(B2624,'Pre-Summary'!$A$6:$P$178,9,FALSE),AB2625)</f>
        <v>0.43582647412843634</v>
      </c>
      <c r="AC2624" s="10">
        <f>IFERROR(VLOOKUP(Summary!B2624,'Pre-Summary'!$A$6:$P$184,5, FALSE)/100,AC2625)</f>
        <v>0.93941799999999998</v>
      </c>
      <c r="AD2624" s="10">
        <f>IFERROR(VLOOKUP(Summary!B2624,'Pre-Summary'!$A$6:$P$184,3, FALSE)/100,AD2625)</f>
        <v>4.8995666666666667E-2</v>
      </c>
      <c r="AE2624" s="10">
        <f>IFERROR(VLOOKUP(Summary!B2624,'Pre-Summary'!$A$6:$P$184,7, FALSE)/100,AE2625)</f>
        <v>1.1586666666666667E-2</v>
      </c>
      <c r="AF2624" s="99">
        <f t="shared" si="121"/>
        <v>2.1353608650905489E-2</v>
      </c>
      <c r="AG2624" s="99">
        <f t="shared" si="122"/>
        <v>5.0497760802348159E-3</v>
      </c>
      <c r="AH2624" s="10" t="str">
        <f>IFERROR(VLOOKUP(B2624,'Pre-Summary'!$AZ$6:$BE$65,3,FALSE),"")</f>
        <v/>
      </c>
      <c r="AI2624" s="10" t="str">
        <f>IFERROR(VLOOKUP(B2624,'Pre-Summary'!$AZ$6:$BE$65,5,FALSE),"")</f>
        <v/>
      </c>
      <c r="AJ2624" s="10" t="str">
        <f>IFERROR(VLOOKUP(B2624,'Pre-Summary'!$AZ$6:$BE$65,4,FALSE),"")</f>
        <v/>
      </c>
      <c r="AK2624" s="10" t="str">
        <f>IFERROR(VLOOKUP(B2624,'Pre-Summary'!$AZ$6:$BE$65,6,FALSE),"")</f>
        <v/>
      </c>
      <c r="AL2624" s="10" t="str">
        <f>IFERROR(VLOOKUP(B2624,'Pre-Summary'!$BG$6:$BL$44,3,FALSE),"")</f>
        <v/>
      </c>
      <c r="AM2624" s="10" t="str">
        <f>IFERROR(VLOOKUP(B2624,'Pre-Summary'!$BG$6:$BL$44,4,FALSE),"")</f>
        <v/>
      </c>
    </row>
    <row r="2625" spans="2:39" ht="15" customHeight="1" x14ac:dyDescent="0.3">
      <c r="B2625">
        <v>262.2</v>
      </c>
      <c r="C2625" t="str">
        <f>IFERROR(VLOOKUP(B2625,'Pre-Summary'!$DI$6:$DM$23,4,FALSE),"")</f>
        <v/>
      </c>
      <c r="D2625" s="10" t="str">
        <f>IFERROR(VLOOKUP(B2625,'Pre-Summary'!$AT$6:$AX$14,5,FALSE),D2624)</f>
        <v>Wolfe v3: went back to modified wolfe + EDTA and switched CuSO4 to CUCl2</v>
      </c>
      <c r="E2625" s="10" t="str">
        <f>IFERROR(VLOOKUP(B2625,'Pre-Summary'!$AT$6:$AX$15,4,FALSE),"")</f>
        <v/>
      </c>
      <c r="F2625">
        <f>IFERROR(VLOOKUP(B2625,'Pre-Summary'!$AL$6:$AQ$13,6,FALSE),F2624)</f>
        <v>5.9405263157894746E-2</v>
      </c>
      <c r="G2625" t="str">
        <f>IFERROR(VLOOKUP(B2625,'Pre-Summary'!$AE$6:$AJ$85,3,FALSE),"")</f>
        <v/>
      </c>
      <c r="H2625" t="str">
        <f>IFERROR(VLOOKUP(B2625,'Pre-Summary'!$AE$6:$AJ$85,4,FALSE),"")</f>
        <v/>
      </c>
      <c r="I2625" t="str">
        <f>IFERROR(VLOOKUP(B2625,'Pre-Summary'!$AE$6:$AJ$85,5,FALSE),"")</f>
        <v/>
      </c>
      <c r="J2625" s="45" t="str">
        <f>IFERROR(VLOOKUP(B2625,'Pre-Summary'!$AE$6:$AJ$85,6, FALSE),"")</f>
        <v/>
      </c>
      <c r="K2625" s="45" t="str">
        <f>IFERROR(VLOOKUP(B2625,'Pre-Summary'!$DE$6:$DG$61,3,FALSE),"")</f>
        <v/>
      </c>
      <c r="L2625" s="45" t="str">
        <f>IFERROR(VLOOKUP(B2625,'Pre-Summary'!$CU$6:$CW$36,3,FALSE),"")</f>
        <v/>
      </c>
      <c r="M2625" s="45" t="str">
        <f>IFERROR(VLOOKUP(B2625,'Pre-Summary'!$BW$6:$BY$58,2,FALSE),"")</f>
        <v/>
      </c>
      <c r="N2625" s="45" t="str">
        <f>IFERROR(VLOOKUP(B2625,'Pre-Summary'!$CD$6:$CF$64,2,FALSE),"")</f>
        <v/>
      </c>
      <c r="O2625" s="99">
        <f>IFERROR(VLOOKUP(B2625,'Pre-Summary'!$BO$6:$BQ$48,3, FALSE),O2624)</f>
        <v>1.83</v>
      </c>
      <c r="P2625" s="99">
        <f>IFERROR(VLOOKUP(B2625,'Pre-Summary'!$BS$6:$BU$35,3,FALSE),P2624)</f>
        <v>0.46200000000000002</v>
      </c>
      <c r="Q2625" s="54">
        <f t="shared" si="120"/>
        <v>3.9610389610389611</v>
      </c>
      <c r="R2625" s="53">
        <f>IFERROR(VLOOKUP(B2625,'Pre-Summary'!$BG$6:$BM$44,7,FALSE),R2626)</f>
        <v>0.10528059183238438</v>
      </c>
      <c r="S2625" s="53">
        <f>IFERROR(VLOOKUP(B2625,'Pre-Summary'!$BG$6:$BM$44,6,FALSE),S2626)</f>
        <v>0.10567591412599613</v>
      </c>
      <c r="T2625" s="45" t="str">
        <f>IFERROR(VLOOKUP(B2625,'Pre-Summary'!$Y$6:$AC$83, 3,FALSE),"")</f>
        <v/>
      </c>
      <c r="U2625" s="45" t="str">
        <f>IFERROR(VLOOKUP(B2625,'Pre-Summary'!$Y$6:$AC$83, 4,FALSE),"")</f>
        <v/>
      </c>
      <c r="V2625" t="str">
        <f>IFERROR(VLOOKUP(B2625,'Pre-Summary'!$Y$6:$AC$83, 5,FALSE),"")</f>
        <v/>
      </c>
      <c r="W2625" s="45" t="str">
        <f>IFERROR(VLOOKUP(B2625,'Pre-Summary'!$Y$6:$AD$83,6,FALSE),"")</f>
        <v/>
      </c>
      <c r="X2625" t="str">
        <f>IFERROR(VLOOKUP('Pre-Summary'!$DB$6:$DD$63,3,FALSE),"")</f>
        <v/>
      </c>
      <c r="Y2625" t="str">
        <f>IFERROR(VLOOKUP(B2625,'Pre-Summary'!$CR$6:$CT$36,3,FALSE),"")</f>
        <v/>
      </c>
      <c r="Z2625" s="45" t="str">
        <f>IFERROR(VLOOKUP(B2625,'Pre-Summary'!$BZ$6:$CB$63,2,FALSE),"")</f>
        <v/>
      </c>
      <c r="AA2625" s="45" t="str">
        <f>IFERROR(VLOOKUP(B2625,'Pre-Summary'!$CG$6:$CI$70,2,FALSE),"")</f>
        <v/>
      </c>
      <c r="AB2625" s="99">
        <f>IFERROR(VLOOKUP(B2625,'Pre-Summary'!$A$6:$P$178,9,FALSE),AB2626)</f>
        <v>0.43582647412843634</v>
      </c>
      <c r="AC2625" s="10">
        <f>IFERROR(VLOOKUP(Summary!B2625,'Pre-Summary'!$A$6:$P$184,5, FALSE)/100,AC2626)</f>
        <v>0.93941799999999998</v>
      </c>
      <c r="AD2625" s="10">
        <f>IFERROR(VLOOKUP(Summary!B2625,'Pre-Summary'!$A$6:$P$184,3, FALSE)/100,AD2626)</f>
        <v>4.8995666666666667E-2</v>
      </c>
      <c r="AE2625" s="10">
        <f>IFERROR(VLOOKUP(Summary!B2625,'Pre-Summary'!$A$6:$P$184,7, FALSE)/100,AE2626)</f>
        <v>1.1586666666666667E-2</v>
      </c>
      <c r="AF2625" s="99">
        <f t="shared" si="121"/>
        <v>2.1353608650905489E-2</v>
      </c>
      <c r="AG2625" s="99">
        <f t="shared" si="122"/>
        <v>5.0497760802348159E-3</v>
      </c>
      <c r="AH2625" s="10" t="str">
        <f>IFERROR(VLOOKUP(B2625,'Pre-Summary'!$AZ$6:$BE$65,3,FALSE),"")</f>
        <v/>
      </c>
      <c r="AI2625" s="10" t="str">
        <f>IFERROR(VLOOKUP(B2625,'Pre-Summary'!$AZ$6:$BE$65,5,FALSE),"")</f>
        <v/>
      </c>
      <c r="AJ2625" s="10" t="str">
        <f>IFERROR(VLOOKUP(B2625,'Pre-Summary'!$AZ$6:$BE$65,4,FALSE),"")</f>
        <v/>
      </c>
      <c r="AK2625" s="10" t="str">
        <f>IFERROR(VLOOKUP(B2625,'Pre-Summary'!$AZ$6:$BE$65,6,FALSE),"")</f>
        <v/>
      </c>
      <c r="AL2625" s="10" t="str">
        <f>IFERROR(VLOOKUP(B2625,'Pre-Summary'!$BG$6:$BL$44,3,FALSE),"")</f>
        <v/>
      </c>
      <c r="AM2625" s="10" t="str">
        <f>IFERROR(VLOOKUP(B2625,'Pre-Summary'!$BG$6:$BL$44,4,FALSE),"")</f>
        <v/>
      </c>
    </row>
    <row r="2626" spans="2:39" ht="15" customHeight="1" x14ac:dyDescent="0.3">
      <c r="B2626">
        <v>262.3</v>
      </c>
      <c r="C2626" t="str">
        <f>IFERROR(VLOOKUP(B2626,'Pre-Summary'!$DI$6:$DM$23,4,FALSE),"")</f>
        <v/>
      </c>
      <c r="D2626" s="10" t="str">
        <f>IFERROR(VLOOKUP(B2626,'Pre-Summary'!$AT$6:$AX$14,5,FALSE),D2625)</f>
        <v>Wolfe v3: went back to modified wolfe + EDTA and switched CuSO4 to CUCl2</v>
      </c>
      <c r="E2626" s="10" t="str">
        <f>IFERROR(VLOOKUP(B2626,'Pre-Summary'!$AT$6:$AX$15,4,FALSE),"")</f>
        <v/>
      </c>
      <c r="F2626">
        <f>IFERROR(VLOOKUP(B2626,'Pre-Summary'!$AL$6:$AQ$13,6,FALSE),F2625)</f>
        <v>5.9405263157894746E-2</v>
      </c>
      <c r="G2626" t="str">
        <f>IFERROR(VLOOKUP(B2626,'Pre-Summary'!$AE$6:$AJ$85,3,FALSE),"")</f>
        <v/>
      </c>
      <c r="H2626" t="str">
        <f>IFERROR(VLOOKUP(B2626,'Pre-Summary'!$AE$6:$AJ$85,4,FALSE),"")</f>
        <v/>
      </c>
      <c r="I2626" t="str">
        <f>IFERROR(VLOOKUP(B2626,'Pre-Summary'!$AE$6:$AJ$85,5,FALSE),"")</f>
        <v/>
      </c>
      <c r="J2626" s="45" t="str">
        <f>IFERROR(VLOOKUP(B2626,'Pre-Summary'!$AE$6:$AJ$85,6, FALSE),"")</f>
        <v/>
      </c>
      <c r="K2626" s="45" t="str">
        <f>IFERROR(VLOOKUP(B2626,'Pre-Summary'!$DE$6:$DG$61,3,FALSE),"")</f>
        <v/>
      </c>
      <c r="L2626" s="45" t="str">
        <f>IFERROR(VLOOKUP(B2626,'Pre-Summary'!$CU$6:$CW$36,3,FALSE),"")</f>
        <v/>
      </c>
      <c r="M2626" s="45" t="str">
        <f>IFERROR(VLOOKUP(B2626,'Pre-Summary'!$BW$6:$BY$58,2,FALSE),"")</f>
        <v/>
      </c>
      <c r="N2626" s="45" t="str">
        <f>IFERROR(VLOOKUP(B2626,'Pre-Summary'!$CD$6:$CF$64,2,FALSE),"")</f>
        <v/>
      </c>
      <c r="O2626" s="99">
        <f>IFERROR(VLOOKUP(B2626,'Pre-Summary'!$BO$6:$BQ$48,3, FALSE),O2625)</f>
        <v>1.83</v>
      </c>
      <c r="P2626" s="99">
        <f>IFERROR(VLOOKUP(B2626,'Pre-Summary'!$BS$6:$BU$35,3,FALSE),P2625)</f>
        <v>0.46200000000000002</v>
      </c>
      <c r="Q2626" s="54">
        <f t="shared" si="120"/>
        <v>3.9610389610389611</v>
      </c>
      <c r="R2626" s="53">
        <f>IFERROR(VLOOKUP(B2626,'Pre-Summary'!$BG$6:$BM$44,7,FALSE),R2627)</f>
        <v>0.10528059183238438</v>
      </c>
      <c r="S2626" s="53">
        <f>IFERROR(VLOOKUP(B2626,'Pre-Summary'!$BG$6:$BM$44,6,FALSE),S2627)</f>
        <v>0.10567591412599613</v>
      </c>
      <c r="T2626" s="45" t="str">
        <f>IFERROR(VLOOKUP(B2626,'Pre-Summary'!$Y$6:$AC$83, 3,FALSE),"")</f>
        <v/>
      </c>
      <c r="U2626" s="45" t="str">
        <f>IFERROR(VLOOKUP(B2626,'Pre-Summary'!$Y$6:$AC$83, 4,FALSE),"")</f>
        <v/>
      </c>
      <c r="V2626" t="str">
        <f>IFERROR(VLOOKUP(B2626,'Pre-Summary'!$Y$6:$AC$83, 5,FALSE),"")</f>
        <v/>
      </c>
      <c r="W2626" s="45" t="str">
        <f>IFERROR(VLOOKUP(B2626,'Pre-Summary'!$Y$6:$AD$83,6,FALSE),"")</f>
        <v/>
      </c>
      <c r="X2626" t="str">
        <f>IFERROR(VLOOKUP('Pre-Summary'!$DB$6:$DD$63,3,FALSE),"")</f>
        <v/>
      </c>
      <c r="Y2626" t="str">
        <f>IFERROR(VLOOKUP(B2626,'Pre-Summary'!$CR$6:$CT$36,3,FALSE),"")</f>
        <v/>
      </c>
      <c r="Z2626" s="45" t="str">
        <f>IFERROR(VLOOKUP(B2626,'Pre-Summary'!$BZ$6:$CB$63,2,FALSE),"")</f>
        <v/>
      </c>
      <c r="AA2626" s="45" t="str">
        <f>IFERROR(VLOOKUP(B2626,'Pre-Summary'!$CG$6:$CI$70,2,FALSE),"")</f>
        <v/>
      </c>
      <c r="AB2626" s="99">
        <f>IFERROR(VLOOKUP(B2626,'Pre-Summary'!$A$6:$P$178,9,FALSE),AB2627)</f>
        <v>0.43582647412843634</v>
      </c>
      <c r="AC2626" s="10">
        <f>IFERROR(VLOOKUP(Summary!B2626,'Pre-Summary'!$A$6:$P$184,5, FALSE)/100,AC2627)</f>
        <v>0.93941799999999998</v>
      </c>
      <c r="AD2626" s="10">
        <f>IFERROR(VLOOKUP(Summary!B2626,'Pre-Summary'!$A$6:$P$184,3, FALSE)/100,AD2627)</f>
        <v>4.8995666666666667E-2</v>
      </c>
      <c r="AE2626" s="10">
        <f>IFERROR(VLOOKUP(Summary!B2626,'Pre-Summary'!$A$6:$P$184,7, FALSE)/100,AE2627)</f>
        <v>1.1586666666666667E-2</v>
      </c>
      <c r="AF2626" s="99">
        <f t="shared" si="121"/>
        <v>2.1353608650905489E-2</v>
      </c>
      <c r="AG2626" s="99">
        <f t="shared" si="122"/>
        <v>5.0497760802348159E-3</v>
      </c>
      <c r="AH2626" s="10" t="str">
        <f>IFERROR(VLOOKUP(B2626,'Pre-Summary'!$AZ$6:$BE$65,3,FALSE),"")</f>
        <v/>
      </c>
      <c r="AI2626" s="10" t="str">
        <f>IFERROR(VLOOKUP(B2626,'Pre-Summary'!$AZ$6:$BE$65,5,FALSE),"")</f>
        <v/>
      </c>
      <c r="AJ2626" s="10" t="str">
        <f>IFERROR(VLOOKUP(B2626,'Pre-Summary'!$AZ$6:$BE$65,4,FALSE),"")</f>
        <v/>
      </c>
      <c r="AK2626" s="10" t="str">
        <f>IFERROR(VLOOKUP(B2626,'Pre-Summary'!$AZ$6:$BE$65,6,FALSE),"")</f>
        <v/>
      </c>
      <c r="AL2626" s="10" t="str">
        <f>IFERROR(VLOOKUP(B2626,'Pre-Summary'!$BG$6:$BL$44,3,FALSE),"")</f>
        <v/>
      </c>
      <c r="AM2626" s="10" t="str">
        <f>IFERROR(VLOOKUP(B2626,'Pre-Summary'!$BG$6:$BL$44,4,FALSE),"")</f>
        <v/>
      </c>
    </row>
    <row r="2627" spans="2:39" ht="15" customHeight="1" x14ac:dyDescent="0.3">
      <c r="B2627">
        <v>262.39999999999998</v>
      </c>
      <c r="C2627" t="str">
        <f>IFERROR(VLOOKUP(B2627,'Pre-Summary'!$DI$6:$DM$23,4,FALSE),"")</f>
        <v/>
      </c>
      <c r="D2627" s="10" t="str">
        <f>IFERROR(VLOOKUP(B2627,'Pre-Summary'!$AT$6:$AX$14,5,FALSE),D2626)</f>
        <v>Wolfe v3: went back to modified wolfe + EDTA and switched CuSO4 to CUCl2</v>
      </c>
      <c r="E2627" s="10" t="str">
        <f>IFERROR(VLOOKUP(B2627,'Pre-Summary'!$AT$6:$AX$15,4,FALSE),"")</f>
        <v/>
      </c>
      <c r="F2627">
        <f>IFERROR(VLOOKUP(B2627,'Pre-Summary'!$AL$6:$AQ$13,6,FALSE),F2626)</f>
        <v>5.9405263157894746E-2</v>
      </c>
      <c r="G2627" t="str">
        <f>IFERROR(VLOOKUP(B2627,'Pre-Summary'!$AE$6:$AJ$85,3,FALSE),"")</f>
        <v/>
      </c>
      <c r="H2627" t="str">
        <f>IFERROR(VLOOKUP(B2627,'Pre-Summary'!$AE$6:$AJ$85,4,FALSE),"")</f>
        <v/>
      </c>
      <c r="I2627" t="str">
        <f>IFERROR(VLOOKUP(B2627,'Pre-Summary'!$AE$6:$AJ$85,5,FALSE),"")</f>
        <v/>
      </c>
      <c r="J2627" s="45" t="str">
        <f>IFERROR(VLOOKUP(B2627,'Pre-Summary'!$AE$6:$AJ$85,6, FALSE),"")</f>
        <v/>
      </c>
      <c r="K2627" s="45" t="str">
        <f>IFERROR(VLOOKUP(B2627,'Pre-Summary'!$DE$6:$DG$61,3,FALSE),"")</f>
        <v/>
      </c>
      <c r="L2627" s="45" t="str">
        <f>IFERROR(VLOOKUP(B2627,'Pre-Summary'!$CU$6:$CW$36,3,FALSE),"")</f>
        <v/>
      </c>
      <c r="M2627" s="45" t="str">
        <f>IFERROR(VLOOKUP(B2627,'Pre-Summary'!$BW$6:$BY$58,2,FALSE),"")</f>
        <v/>
      </c>
      <c r="N2627" s="45" t="str">
        <f>IFERROR(VLOOKUP(B2627,'Pre-Summary'!$CD$6:$CF$64,2,FALSE),"")</f>
        <v/>
      </c>
      <c r="O2627" s="99">
        <f>IFERROR(VLOOKUP(B2627,'Pre-Summary'!$BO$6:$BQ$48,3, FALSE),O2626)</f>
        <v>1.83</v>
      </c>
      <c r="P2627" s="99">
        <f>IFERROR(VLOOKUP(B2627,'Pre-Summary'!$BS$6:$BU$35,3,FALSE),P2626)</f>
        <v>0.46200000000000002</v>
      </c>
      <c r="Q2627" s="54">
        <f t="shared" ref="Q2627:Q2690" si="123">O2627/P2627</f>
        <v>3.9610389610389611</v>
      </c>
      <c r="R2627" s="53">
        <f>IFERROR(VLOOKUP(B2627,'Pre-Summary'!$BG$6:$BM$44,7,FALSE),R2628)</f>
        <v>0.10528059183238438</v>
      </c>
      <c r="S2627" s="53">
        <f>IFERROR(VLOOKUP(B2627,'Pre-Summary'!$BG$6:$BM$44,6,FALSE),S2628)</f>
        <v>0.10567591412599613</v>
      </c>
      <c r="T2627" s="45" t="str">
        <f>IFERROR(VLOOKUP(B2627,'Pre-Summary'!$Y$6:$AC$83, 3,FALSE),"")</f>
        <v/>
      </c>
      <c r="U2627" s="45" t="str">
        <f>IFERROR(VLOOKUP(B2627,'Pre-Summary'!$Y$6:$AC$83, 4,FALSE),"")</f>
        <v/>
      </c>
      <c r="V2627" t="str">
        <f>IFERROR(VLOOKUP(B2627,'Pre-Summary'!$Y$6:$AC$83, 5,FALSE),"")</f>
        <v/>
      </c>
      <c r="W2627" s="45" t="str">
        <f>IFERROR(VLOOKUP(B2627,'Pre-Summary'!$Y$6:$AD$83,6,FALSE),"")</f>
        <v/>
      </c>
      <c r="X2627" t="str">
        <f>IFERROR(VLOOKUP('Pre-Summary'!$DB$6:$DD$63,3,FALSE),"")</f>
        <v/>
      </c>
      <c r="Y2627" t="str">
        <f>IFERROR(VLOOKUP(B2627,'Pre-Summary'!$CR$6:$CT$36,3,FALSE),"")</f>
        <v/>
      </c>
      <c r="Z2627" s="45" t="str">
        <f>IFERROR(VLOOKUP(B2627,'Pre-Summary'!$BZ$6:$CB$63,2,FALSE),"")</f>
        <v/>
      </c>
      <c r="AA2627" s="45" t="str">
        <f>IFERROR(VLOOKUP(B2627,'Pre-Summary'!$CG$6:$CI$70,2,FALSE),"")</f>
        <v/>
      </c>
      <c r="AB2627" s="99">
        <f>IFERROR(VLOOKUP(B2627,'Pre-Summary'!$A$6:$P$178,9,FALSE),AB2628)</f>
        <v>0.43582647412843634</v>
      </c>
      <c r="AC2627" s="10">
        <f>IFERROR(VLOOKUP(Summary!B2627,'Pre-Summary'!$A$6:$P$184,5, FALSE)/100,AC2628)</f>
        <v>0.93941799999999998</v>
      </c>
      <c r="AD2627" s="10">
        <f>IFERROR(VLOOKUP(Summary!B2627,'Pre-Summary'!$A$6:$P$184,3, FALSE)/100,AD2628)</f>
        <v>4.8995666666666667E-2</v>
      </c>
      <c r="AE2627" s="10">
        <f>IFERROR(VLOOKUP(Summary!B2627,'Pre-Summary'!$A$6:$P$184,7, FALSE)/100,AE2628)</f>
        <v>1.1586666666666667E-2</v>
      </c>
      <c r="AF2627" s="99">
        <f t="shared" ref="AF2627:AF2690" si="124">AD2627*AB2627</f>
        <v>2.1353608650905489E-2</v>
      </c>
      <c r="AG2627" s="99">
        <f t="shared" ref="AG2627:AG2690" si="125">AB2627*AE2627</f>
        <v>5.0497760802348159E-3</v>
      </c>
      <c r="AH2627" s="10" t="str">
        <f>IFERROR(VLOOKUP(B2627,'Pre-Summary'!$AZ$6:$BE$65,3,FALSE),"")</f>
        <v/>
      </c>
      <c r="AI2627" s="10" t="str">
        <f>IFERROR(VLOOKUP(B2627,'Pre-Summary'!$AZ$6:$BE$65,5,FALSE),"")</f>
        <v/>
      </c>
      <c r="AJ2627" s="10" t="str">
        <f>IFERROR(VLOOKUP(B2627,'Pre-Summary'!$AZ$6:$BE$65,4,FALSE),"")</f>
        <v/>
      </c>
      <c r="AK2627" s="10" t="str">
        <f>IFERROR(VLOOKUP(B2627,'Pre-Summary'!$AZ$6:$BE$65,6,FALSE),"")</f>
        <v/>
      </c>
      <c r="AL2627" s="10" t="str">
        <f>IFERROR(VLOOKUP(B2627,'Pre-Summary'!$BG$6:$BL$44,3,FALSE),"")</f>
        <v/>
      </c>
      <c r="AM2627" s="10" t="str">
        <f>IFERROR(VLOOKUP(B2627,'Pre-Summary'!$BG$6:$BL$44,4,FALSE),"")</f>
        <v/>
      </c>
    </row>
    <row r="2628" spans="2:39" ht="15" customHeight="1" x14ac:dyDescent="0.3">
      <c r="B2628">
        <v>262.5</v>
      </c>
      <c r="C2628" t="str">
        <f>IFERROR(VLOOKUP(B2628,'Pre-Summary'!$DI$6:$DM$23,4,FALSE),"")</f>
        <v/>
      </c>
      <c r="D2628" s="10" t="str">
        <f>IFERROR(VLOOKUP(B2628,'Pre-Summary'!$AT$6:$AX$14,5,FALSE),D2627)</f>
        <v>Wolfe v3: went back to modified wolfe + EDTA and switched CuSO4 to CUCl2</v>
      </c>
      <c r="E2628" s="10" t="str">
        <f>IFERROR(VLOOKUP(B2628,'Pre-Summary'!$AT$6:$AX$15,4,FALSE),"")</f>
        <v/>
      </c>
      <c r="F2628">
        <f>IFERROR(VLOOKUP(B2628,'Pre-Summary'!$AL$6:$AQ$13,6,FALSE),F2627)</f>
        <v>5.9405263157894746E-2</v>
      </c>
      <c r="G2628" t="str">
        <f>IFERROR(VLOOKUP(B2628,'Pre-Summary'!$AE$6:$AJ$85,3,FALSE),"")</f>
        <v/>
      </c>
      <c r="H2628" t="str">
        <f>IFERROR(VLOOKUP(B2628,'Pre-Summary'!$AE$6:$AJ$85,4,FALSE),"")</f>
        <v/>
      </c>
      <c r="I2628" t="str">
        <f>IFERROR(VLOOKUP(B2628,'Pre-Summary'!$AE$6:$AJ$85,5,FALSE),"")</f>
        <v/>
      </c>
      <c r="J2628" s="45" t="str">
        <f>IFERROR(VLOOKUP(B2628,'Pre-Summary'!$AE$6:$AJ$85,6, FALSE),"")</f>
        <v/>
      </c>
      <c r="K2628" s="45" t="str">
        <f>IFERROR(VLOOKUP(B2628,'Pre-Summary'!$DE$6:$DG$61,3,FALSE),"")</f>
        <v/>
      </c>
      <c r="L2628" s="45" t="str">
        <f>IFERROR(VLOOKUP(B2628,'Pre-Summary'!$CU$6:$CW$36,3,FALSE),"")</f>
        <v/>
      </c>
      <c r="M2628" s="45" t="str">
        <f>IFERROR(VLOOKUP(B2628,'Pre-Summary'!$BW$6:$BY$58,2,FALSE),"")</f>
        <v/>
      </c>
      <c r="N2628" s="45" t="str">
        <f>IFERROR(VLOOKUP(B2628,'Pre-Summary'!$CD$6:$CF$64,2,FALSE),"")</f>
        <v/>
      </c>
      <c r="O2628" s="99">
        <f>IFERROR(VLOOKUP(B2628,'Pre-Summary'!$BO$6:$BQ$48,3, FALSE),O2627)</f>
        <v>1.83</v>
      </c>
      <c r="P2628" s="99">
        <f>IFERROR(VLOOKUP(B2628,'Pre-Summary'!$BS$6:$BU$35,3,FALSE),P2627)</f>
        <v>0.46200000000000002</v>
      </c>
      <c r="Q2628" s="54">
        <f t="shared" si="123"/>
        <v>3.9610389610389611</v>
      </c>
      <c r="R2628" s="53">
        <f>IFERROR(VLOOKUP(B2628,'Pre-Summary'!$BG$6:$BM$44,7,FALSE),R2629)</f>
        <v>0.10528059183238438</v>
      </c>
      <c r="S2628" s="53">
        <f>IFERROR(VLOOKUP(B2628,'Pre-Summary'!$BG$6:$BM$44,6,FALSE),S2629)</f>
        <v>0.10567591412599613</v>
      </c>
      <c r="T2628" s="45" t="str">
        <f>IFERROR(VLOOKUP(B2628,'Pre-Summary'!$Y$6:$AC$83, 3,FALSE),"")</f>
        <v/>
      </c>
      <c r="U2628" s="45" t="str">
        <f>IFERROR(VLOOKUP(B2628,'Pre-Summary'!$Y$6:$AC$83, 4,FALSE),"")</f>
        <v/>
      </c>
      <c r="V2628" t="str">
        <f>IFERROR(VLOOKUP(B2628,'Pre-Summary'!$Y$6:$AC$83, 5,FALSE),"")</f>
        <v/>
      </c>
      <c r="W2628" s="45" t="str">
        <f>IFERROR(VLOOKUP(B2628,'Pre-Summary'!$Y$6:$AD$83,6,FALSE),"")</f>
        <v/>
      </c>
      <c r="X2628" t="str">
        <f>IFERROR(VLOOKUP('Pre-Summary'!$DB$6:$DD$63,3,FALSE),"")</f>
        <v/>
      </c>
      <c r="Y2628" t="str">
        <f>IFERROR(VLOOKUP(B2628,'Pre-Summary'!$CR$6:$CT$36,3,FALSE),"")</f>
        <v/>
      </c>
      <c r="Z2628" s="45" t="str">
        <f>IFERROR(VLOOKUP(B2628,'Pre-Summary'!$BZ$6:$CB$63,2,FALSE),"")</f>
        <v/>
      </c>
      <c r="AA2628" s="45" t="str">
        <f>IFERROR(VLOOKUP(B2628,'Pre-Summary'!$CG$6:$CI$70,2,FALSE),"")</f>
        <v/>
      </c>
      <c r="AB2628" s="99">
        <f>IFERROR(VLOOKUP(B2628,'Pre-Summary'!$A$6:$P$178,9,FALSE),AB2629)</f>
        <v>0.43582647412843634</v>
      </c>
      <c r="AC2628" s="10">
        <f>IFERROR(VLOOKUP(Summary!B2628,'Pre-Summary'!$A$6:$P$184,5, FALSE)/100,AC2629)</f>
        <v>0.93941799999999998</v>
      </c>
      <c r="AD2628" s="10">
        <f>IFERROR(VLOOKUP(Summary!B2628,'Pre-Summary'!$A$6:$P$184,3, FALSE)/100,AD2629)</f>
        <v>4.8995666666666667E-2</v>
      </c>
      <c r="AE2628" s="10">
        <f>IFERROR(VLOOKUP(Summary!B2628,'Pre-Summary'!$A$6:$P$184,7, FALSE)/100,AE2629)</f>
        <v>1.1586666666666667E-2</v>
      </c>
      <c r="AF2628" s="99">
        <f t="shared" si="124"/>
        <v>2.1353608650905489E-2</v>
      </c>
      <c r="AG2628" s="99">
        <f t="shared" si="125"/>
        <v>5.0497760802348159E-3</v>
      </c>
      <c r="AH2628" s="10" t="str">
        <f>IFERROR(VLOOKUP(B2628,'Pre-Summary'!$AZ$6:$BE$65,3,FALSE),"")</f>
        <v/>
      </c>
      <c r="AI2628" s="10" t="str">
        <f>IFERROR(VLOOKUP(B2628,'Pre-Summary'!$AZ$6:$BE$65,5,FALSE),"")</f>
        <v/>
      </c>
      <c r="AJ2628" s="10" t="str">
        <f>IFERROR(VLOOKUP(B2628,'Pre-Summary'!$AZ$6:$BE$65,4,FALSE),"")</f>
        <v/>
      </c>
      <c r="AK2628" s="10" t="str">
        <f>IFERROR(VLOOKUP(B2628,'Pre-Summary'!$AZ$6:$BE$65,6,FALSE),"")</f>
        <v/>
      </c>
      <c r="AL2628" s="10" t="str">
        <f>IFERROR(VLOOKUP(B2628,'Pre-Summary'!$BG$6:$BL$44,3,FALSE),"")</f>
        <v/>
      </c>
      <c r="AM2628" s="10" t="str">
        <f>IFERROR(VLOOKUP(B2628,'Pre-Summary'!$BG$6:$BL$44,4,FALSE),"")</f>
        <v/>
      </c>
    </row>
    <row r="2629" spans="2:39" ht="15" customHeight="1" x14ac:dyDescent="0.3">
      <c r="B2629">
        <v>262.60000000000002</v>
      </c>
      <c r="C2629" t="str">
        <f>IFERROR(VLOOKUP(B2629,'Pre-Summary'!$DI$6:$DM$23,4,FALSE),"")</f>
        <v/>
      </c>
      <c r="D2629" s="10" t="str">
        <f>IFERROR(VLOOKUP(B2629,'Pre-Summary'!$AT$6:$AX$14,5,FALSE),D2628)</f>
        <v>Wolfe v3: went back to modified wolfe + EDTA and switched CuSO4 to CUCl2</v>
      </c>
      <c r="E2629" s="10" t="str">
        <f>IFERROR(VLOOKUP(B2629,'Pre-Summary'!$AT$6:$AX$15,4,FALSE),"")</f>
        <v/>
      </c>
      <c r="F2629">
        <f>IFERROR(VLOOKUP(B2629,'Pre-Summary'!$AL$6:$AQ$13,6,FALSE),F2628)</f>
        <v>5.9405263157894746E-2</v>
      </c>
      <c r="G2629" t="str">
        <f>IFERROR(VLOOKUP(B2629,'Pre-Summary'!$AE$6:$AJ$85,3,FALSE),"")</f>
        <v/>
      </c>
      <c r="H2629" t="str">
        <f>IFERROR(VLOOKUP(B2629,'Pre-Summary'!$AE$6:$AJ$85,4,FALSE),"")</f>
        <v/>
      </c>
      <c r="I2629" t="str">
        <f>IFERROR(VLOOKUP(B2629,'Pre-Summary'!$AE$6:$AJ$85,5,FALSE),"")</f>
        <v/>
      </c>
      <c r="J2629" s="45" t="str">
        <f>IFERROR(VLOOKUP(B2629,'Pre-Summary'!$AE$6:$AJ$85,6, FALSE),"")</f>
        <v/>
      </c>
      <c r="K2629" s="45" t="str">
        <f>IFERROR(VLOOKUP(B2629,'Pre-Summary'!$DE$6:$DG$61,3,FALSE),"")</f>
        <v/>
      </c>
      <c r="L2629" s="45" t="str">
        <f>IFERROR(VLOOKUP(B2629,'Pre-Summary'!$CU$6:$CW$36,3,FALSE),"")</f>
        <v/>
      </c>
      <c r="M2629" s="45" t="str">
        <f>IFERROR(VLOOKUP(B2629,'Pre-Summary'!$BW$6:$BY$58,2,FALSE),"")</f>
        <v/>
      </c>
      <c r="N2629" s="45" t="str">
        <f>IFERROR(VLOOKUP(B2629,'Pre-Summary'!$CD$6:$CF$64,2,FALSE),"")</f>
        <v/>
      </c>
      <c r="O2629" s="99">
        <f>IFERROR(VLOOKUP(B2629,'Pre-Summary'!$BO$6:$BQ$48,3, FALSE),O2628)</f>
        <v>1.83</v>
      </c>
      <c r="P2629" s="99">
        <f>IFERROR(VLOOKUP(B2629,'Pre-Summary'!$BS$6:$BU$35,3,FALSE),P2628)</f>
        <v>0.46200000000000002</v>
      </c>
      <c r="Q2629" s="54">
        <f t="shared" si="123"/>
        <v>3.9610389610389611</v>
      </c>
      <c r="R2629" s="53">
        <f>IFERROR(VLOOKUP(B2629,'Pre-Summary'!$BG$6:$BM$44,7,FALSE),R2630)</f>
        <v>0.10528059183238438</v>
      </c>
      <c r="S2629" s="53">
        <f>IFERROR(VLOOKUP(B2629,'Pre-Summary'!$BG$6:$BM$44,6,FALSE),S2630)</f>
        <v>0.10567591412599613</v>
      </c>
      <c r="T2629" s="45" t="str">
        <f>IFERROR(VLOOKUP(B2629,'Pre-Summary'!$Y$6:$AC$83, 3,FALSE),"")</f>
        <v/>
      </c>
      <c r="U2629" s="45" t="str">
        <f>IFERROR(VLOOKUP(B2629,'Pre-Summary'!$Y$6:$AC$83, 4,FALSE),"")</f>
        <v/>
      </c>
      <c r="V2629" t="str">
        <f>IFERROR(VLOOKUP(B2629,'Pre-Summary'!$Y$6:$AC$83, 5,FALSE),"")</f>
        <v/>
      </c>
      <c r="W2629" s="45" t="str">
        <f>IFERROR(VLOOKUP(B2629,'Pre-Summary'!$Y$6:$AD$83,6,FALSE),"")</f>
        <v/>
      </c>
      <c r="X2629" t="str">
        <f>IFERROR(VLOOKUP('Pre-Summary'!$DB$6:$DD$63,3,FALSE),"")</f>
        <v/>
      </c>
      <c r="Y2629" t="str">
        <f>IFERROR(VLOOKUP(B2629,'Pre-Summary'!$CR$6:$CT$36,3,FALSE),"")</f>
        <v/>
      </c>
      <c r="Z2629" s="45" t="str">
        <f>IFERROR(VLOOKUP(B2629,'Pre-Summary'!$BZ$6:$CB$63,2,FALSE),"")</f>
        <v/>
      </c>
      <c r="AA2629" s="45" t="str">
        <f>IFERROR(VLOOKUP(B2629,'Pre-Summary'!$CG$6:$CI$70,2,FALSE),"")</f>
        <v/>
      </c>
      <c r="AB2629" s="99">
        <f>IFERROR(VLOOKUP(B2629,'Pre-Summary'!$A$6:$P$178,9,FALSE),AB2630)</f>
        <v>0.43582647412843634</v>
      </c>
      <c r="AC2629" s="10">
        <f>IFERROR(VLOOKUP(Summary!B2629,'Pre-Summary'!$A$6:$P$184,5, FALSE)/100,AC2630)</f>
        <v>0.93941799999999998</v>
      </c>
      <c r="AD2629" s="10">
        <f>IFERROR(VLOOKUP(Summary!B2629,'Pre-Summary'!$A$6:$P$184,3, FALSE)/100,AD2630)</f>
        <v>4.8995666666666667E-2</v>
      </c>
      <c r="AE2629" s="10">
        <f>IFERROR(VLOOKUP(Summary!B2629,'Pre-Summary'!$A$6:$P$184,7, FALSE)/100,AE2630)</f>
        <v>1.1586666666666667E-2</v>
      </c>
      <c r="AF2629" s="99">
        <f t="shared" si="124"/>
        <v>2.1353608650905489E-2</v>
      </c>
      <c r="AG2629" s="99">
        <f t="shared" si="125"/>
        <v>5.0497760802348159E-3</v>
      </c>
      <c r="AH2629" s="10" t="str">
        <f>IFERROR(VLOOKUP(B2629,'Pre-Summary'!$AZ$6:$BE$65,3,FALSE),"")</f>
        <v/>
      </c>
      <c r="AI2629" s="10" t="str">
        <f>IFERROR(VLOOKUP(B2629,'Pre-Summary'!$AZ$6:$BE$65,5,FALSE),"")</f>
        <v/>
      </c>
      <c r="AJ2629" s="10" t="str">
        <f>IFERROR(VLOOKUP(B2629,'Pre-Summary'!$AZ$6:$BE$65,4,FALSE),"")</f>
        <v/>
      </c>
      <c r="AK2629" s="10" t="str">
        <f>IFERROR(VLOOKUP(B2629,'Pre-Summary'!$AZ$6:$BE$65,6,FALSE),"")</f>
        <v/>
      </c>
      <c r="AL2629" s="10" t="str">
        <f>IFERROR(VLOOKUP(B2629,'Pre-Summary'!$BG$6:$BL$44,3,FALSE),"")</f>
        <v/>
      </c>
      <c r="AM2629" s="10" t="str">
        <f>IFERROR(VLOOKUP(B2629,'Pre-Summary'!$BG$6:$BL$44,4,FALSE),"")</f>
        <v/>
      </c>
    </row>
    <row r="2630" spans="2:39" ht="15" customHeight="1" x14ac:dyDescent="0.3">
      <c r="B2630">
        <v>262.7</v>
      </c>
      <c r="C2630" t="str">
        <f>IFERROR(VLOOKUP(B2630,'Pre-Summary'!$DI$6:$DM$23,4,FALSE),"")</f>
        <v/>
      </c>
      <c r="D2630" s="10" t="str">
        <f>IFERROR(VLOOKUP(B2630,'Pre-Summary'!$AT$6:$AX$14,5,FALSE),D2629)</f>
        <v>Wolfe v3: went back to modified wolfe + EDTA and switched CuSO4 to CUCl2</v>
      </c>
      <c r="E2630" s="10" t="str">
        <f>IFERROR(VLOOKUP(B2630,'Pre-Summary'!$AT$6:$AX$15,4,FALSE),"")</f>
        <v/>
      </c>
      <c r="F2630">
        <f>IFERROR(VLOOKUP(B2630,'Pre-Summary'!$AL$6:$AQ$13,6,FALSE),F2629)</f>
        <v>5.9405263157894746E-2</v>
      </c>
      <c r="G2630" t="str">
        <f>IFERROR(VLOOKUP(B2630,'Pre-Summary'!$AE$6:$AJ$85,3,FALSE),"")</f>
        <v/>
      </c>
      <c r="H2630" t="str">
        <f>IFERROR(VLOOKUP(B2630,'Pre-Summary'!$AE$6:$AJ$85,4,FALSE),"")</f>
        <v/>
      </c>
      <c r="I2630" t="str">
        <f>IFERROR(VLOOKUP(B2630,'Pre-Summary'!$AE$6:$AJ$85,5,FALSE),"")</f>
        <v/>
      </c>
      <c r="J2630" s="45" t="str">
        <f>IFERROR(VLOOKUP(B2630,'Pre-Summary'!$AE$6:$AJ$85,6, FALSE),"")</f>
        <v/>
      </c>
      <c r="K2630" s="45" t="str">
        <f>IFERROR(VLOOKUP(B2630,'Pre-Summary'!$DE$6:$DG$61,3,FALSE),"")</f>
        <v/>
      </c>
      <c r="L2630" s="45" t="str">
        <f>IFERROR(VLOOKUP(B2630,'Pre-Summary'!$CU$6:$CW$36,3,FALSE),"")</f>
        <v/>
      </c>
      <c r="M2630" s="45" t="str">
        <f>IFERROR(VLOOKUP(B2630,'Pre-Summary'!$BW$6:$BY$58,2,FALSE),"")</f>
        <v/>
      </c>
      <c r="N2630" s="45" t="str">
        <f>IFERROR(VLOOKUP(B2630,'Pre-Summary'!$CD$6:$CF$64,2,FALSE),"")</f>
        <v/>
      </c>
      <c r="O2630" s="99">
        <f>IFERROR(VLOOKUP(B2630,'Pre-Summary'!$BO$6:$BQ$48,3, FALSE),O2629)</f>
        <v>1.83</v>
      </c>
      <c r="P2630" s="99">
        <f>IFERROR(VLOOKUP(B2630,'Pre-Summary'!$BS$6:$BU$35,3,FALSE),P2629)</f>
        <v>0.46200000000000002</v>
      </c>
      <c r="Q2630" s="54">
        <f t="shared" si="123"/>
        <v>3.9610389610389611</v>
      </c>
      <c r="R2630" s="53">
        <f>IFERROR(VLOOKUP(B2630,'Pre-Summary'!$BG$6:$BM$44,7,FALSE),R2631)</f>
        <v>0.10528059183238438</v>
      </c>
      <c r="S2630" s="53">
        <f>IFERROR(VLOOKUP(B2630,'Pre-Summary'!$BG$6:$BM$44,6,FALSE),S2631)</f>
        <v>0.10567591412599613</v>
      </c>
      <c r="T2630" s="45" t="str">
        <f>IFERROR(VLOOKUP(B2630,'Pre-Summary'!$Y$6:$AC$83, 3,FALSE),"")</f>
        <v/>
      </c>
      <c r="U2630" s="45" t="str">
        <f>IFERROR(VLOOKUP(B2630,'Pre-Summary'!$Y$6:$AC$83, 4,FALSE),"")</f>
        <v/>
      </c>
      <c r="V2630" t="str">
        <f>IFERROR(VLOOKUP(B2630,'Pre-Summary'!$Y$6:$AC$83, 5,FALSE),"")</f>
        <v/>
      </c>
      <c r="W2630" s="45" t="str">
        <f>IFERROR(VLOOKUP(B2630,'Pre-Summary'!$Y$6:$AD$83,6,FALSE),"")</f>
        <v/>
      </c>
      <c r="X2630" t="str">
        <f>IFERROR(VLOOKUP('Pre-Summary'!$DB$6:$DD$63,3,FALSE),"")</f>
        <v/>
      </c>
      <c r="Y2630" t="str">
        <f>IFERROR(VLOOKUP(B2630,'Pre-Summary'!$CR$6:$CT$36,3,FALSE),"")</f>
        <v/>
      </c>
      <c r="Z2630" s="45" t="str">
        <f>IFERROR(VLOOKUP(B2630,'Pre-Summary'!$BZ$6:$CB$63,2,FALSE),"")</f>
        <v/>
      </c>
      <c r="AA2630" s="45" t="str">
        <f>IFERROR(VLOOKUP(B2630,'Pre-Summary'!$CG$6:$CI$70,2,FALSE),"")</f>
        <v/>
      </c>
      <c r="AB2630" s="99">
        <f>IFERROR(VLOOKUP(B2630,'Pre-Summary'!$A$6:$P$178,9,FALSE),AB2631)</f>
        <v>0.43582647412843634</v>
      </c>
      <c r="AC2630" s="10">
        <f>IFERROR(VLOOKUP(Summary!B2630,'Pre-Summary'!$A$6:$P$184,5, FALSE)/100,AC2631)</f>
        <v>0.93941799999999998</v>
      </c>
      <c r="AD2630" s="10">
        <f>IFERROR(VLOOKUP(Summary!B2630,'Pre-Summary'!$A$6:$P$184,3, FALSE)/100,AD2631)</f>
        <v>4.8995666666666667E-2</v>
      </c>
      <c r="AE2630" s="10">
        <f>IFERROR(VLOOKUP(Summary!B2630,'Pre-Summary'!$A$6:$P$184,7, FALSE)/100,AE2631)</f>
        <v>1.1586666666666667E-2</v>
      </c>
      <c r="AF2630" s="99">
        <f t="shared" si="124"/>
        <v>2.1353608650905489E-2</v>
      </c>
      <c r="AG2630" s="99">
        <f t="shared" si="125"/>
        <v>5.0497760802348159E-3</v>
      </c>
      <c r="AH2630" s="10" t="str">
        <f>IFERROR(VLOOKUP(B2630,'Pre-Summary'!$AZ$6:$BE$65,3,FALSE),"")</f>
        <v/>
      </c>
      <c r="AI2630" s="10" t="str">
        <f>IFERROR(VLOOKUP(B2630,'Pre-Summary'!$AZ$6:$BE$65,5,FALSE),"")</f>
        <v/>
      </c>
      <c r="AJ2630" s="10" t="str">
        <f>IFERROR(VLOOKUP(B2630,'Pre-Summary'!$AZ$6:$BE$65,4,FALSE),"")</f>
        <v/>
      </c>
      <c r="AK2630" s="10" t="str">
        <f>IFERROR(VLOOKUP(B2630,'Pre-Summary'!$AZ$6:$BE$65,6,FALSE),"")</f>
        <v/>
      </c>
      <c r="AL2630" s="10" t="str">
        <f>IFERROR(VLOOKUP(B2630,'Pre-Summary'!$BG$6:$BL$44,3,FALSE),"")</f>
        <v/>
      </c>
      <c r="AM2630" s="10" t="str">
        <f>IFERROR(VLOOKUP(B2630,'Pre-Summary'!$BG$6:$BL$44,4,FALSE),"")</f>
        <v/>
      </c>
    </row>
    <row r="2631" spans="2:39" ht="15" customHeight="1" x14ac:dyDescent="0.3">
      <c r="B2631">
        <v>262.8</v>
      </c>
      <c r="C2631" t="str">
        <f>IFERROR(VLOOKUP(B2631,'Pre-Summary'!$DI$6:$DM$23,4,FALSE),"")</f>
        <v/>
      </c>
      <c r="D2631" s="10" t="str">
        <f>IFERROR(VLOOKUP(B2631,'Pre-Summary'!$AT$6:$AX$14,5,FALSE),D2630)</f>
        <v>Wolfe v3: went back to modified wolfe + EDTA and switched CuSO4 to CUCl2</v>
      </c>
      <c r="E2631" s="10" t="str">
        <f>IFERROR(VLOOKUP(B2631,'Pre-Summary'!$AT$6:$AX$15,4,FALSE),"")</f>
        <v/>
      </c>
      <c r="F2631">
        <f>IFERROR(VLOOKUP(B2631,'Pre-Summary'!$AL$6:$AQ$13,6,FALSE),F2630)</f>
        <v>5.9405263157894746E-2</v>
      </c>
      <c r="G2631" t="str">
        <f>IFERROR(VLOOKUP(B2631,'Pre-Summary'!$AE$6:$AJ$85,3,FALSE),"")</f>
        <v/>
      </c>
      <c r="H2631" t="str">
        <f>IFERROR(VLOOKUP(B2631,'Pre-Summary'!$AE$6:$AJ$85,4,FALSE),"")</f>
        <v/>
      </c>
      <c r="I2631" t="str">
        <f>IFERROR(VLOOKUP(B2631,'Pre-Summary'!$AE$6:$AJ$85,5,FALSE),"")</f>
        <v/>
      </c>
      <c r="J2631" s="45" t="str">
        <f>IFERROR(VLOOKUP(B2631,'Pre-Summary'!$AE$6:$AJ$85,6, FALSE),"")</f>
        <v/>
      </c>
      <c r="K2631" s="45" t="str">
        <f>IFERROR(VLOOKUP(B2631,'Pre-Summary'!$DE$6:$DG$61,3,FALSE),"")</f>
        <v/>
      </c>
      <c r="L2631" s="45" t="str">
        <f>IFERROR(VLOOKUP(B2631,'Pre-Summary'!$CU$6:$CW$36,3,FALSE),"")</f>
        <v/>
      </c>
      <c r="M2631" s="45" t="str">
        <f>IFERROR(VLOOKUP(B2631,'Pre-Summary'!$BW$6:$BY$58,2,FALSE),"")</f>
        <v/>
      </c>
      <c r="N2631" s="45" t="str">
        <f>IFERROR(VLOOKUP(B2631,'Pre-Summary'!$CD$6:$CF$64,2,FALSE),"")</f>
        <v/>
      </c>
      <c r="O2631" s="99">
        <f>IFERROR(VLOOKUP(B2631,'Pre-Summary'!$BO$6:$BQ$48,3, FALSE),O2630)</f>
        <v>1.83</v>
      </c>
      <c r="P2631" s="99">
        <f>IFERROR(VLOOKUP(B2631,'Pre-Summary'!$BS$6:$BU$35,3,FALSE),P2630)</f>
        <v>0.46200000000000002</v>
      </c>
      <c r="Q2631" s="54">
        <f t="shared" si="123"/>
        <v>3.9610389610389611</v>
      </c>
      <c r="R2631" s="53">
        <f>IFERROR(VLOOKUP(B2631,'Pre-Summary'!$BG$6:$BM$44,7,FALSE),R2632)</f>
        <v>0.10528059183238438</v>
      </c>
      <c r="S2631" s="53">
        <f>IFERROR(VLOOKUP(B2631,'Pre-Summary'!$BG$6:$BM$44,6,FALSE),S2632)</f>
        <v>0.10567591412599613</v>
      </c>
      <c r="T2631" s="45" t="str">
        <f>IFERROR(VLOOKUP(B2631,'Pre-Summary'!$Y$6:$AC$83, 3,FALSE),"")</f>
        <v/>
      </c>
      <c r="U2631" s="45" t="str">
        <f>IFERROR(VLOOKUP(B2631,'Pre-Summary'!$Y$6:$AC$83, 4,FALSE),"")</f>
        <v/>
      </c>
      <c r="V2631" t="str">
        <f>IFERROR(VLOOKUP(B2631,'Pre-Summary'!$Y$6:$AC$83, 5,FALSE),"")</f>
        <v/>
      </c>
      <c r="W2631" s="45" t="str">
        <f>IFERROR(VLOOKUP(B2631,'Pre-Summary'!$Y$6:$AD$83,6,FALSE),"")</f>
        <v/>
      </c>
      <c r="X2631" t="str">
        <f>IFERROR(VLOOKUP('Pre-Summary'!$DB$6:$DD$63,3,FALSE),"")</f>
        <v/>
      </c>
      <c r="Y2631" t="str">
        <f>IFERROR(VLOOKUP(B2631,'Pre-Summary'!$CR$6:$CT$36,3,FALSE),"")</f>
        <v/>
      </c>
      <c r="Z2631" s="45" t="str">
        <f>IFERROR(VLOOKUP(B2631,'Pre-Summary'!$BZ$6:$CB$63,2,FALSE),"")</f>
        <v/>
      </c>
      <c r="AA2631" s="45" t="str">
        <f>IFERROR(VLOOKUP(B2631,'Pre-Summary'!$CG$6:$CI$70,2,FALSE),"")</f>
        <v/>
      </c>
      <c r="AB2631" s="99">
        <f>IFERROR(VLOOKUP(B2631,'Pre-Summary'!$A$6:$P$178,9,FALSE),AB2632)</f>
        <v>0.43582647412843634</v>
      </c>
      <c r="AC2631" s="10">
        <f>IFERROR(VLOOKUP(Summary!B2631,'Pre-Summary'!$A$6:$P$184,5, FALSE)/100,AC2632)</f>
        <v>0.93941799999999998</v>
      </c>
      <c r="AD2631" s="10">
        <f>IFERROR(VLOOKUP(Summary!B2631,'Pre-Summary'!$A$6:$P$184,3, FALSE)/100,AD2632)</f>
        <v>4.8995666666666667E-2</v>
      </c>
      <c r="AE2631" s="10">
        <f>IFERROR(VLOOKUP(Summary!B2631,'Pre-Summary'!$A$6:$P$184,7, FALSE)/100,AE2632)</f>
        <v>1.1586666666666667E-2</v>
      </c>
      <c r="AF2631" s="99">
        <f t="shared" si="124"/>
        <v>2.1353608650905489E-2</v>
      </c>
      <c r="AG2631" s="99">
        <f t="shared" si="125"/>
        <v>5.0497760802348159E-3</v>
      </c>
      <c r="AH2631" s="10" t="str">
        <f>IFERROR(VLOOKUP(B2631,'Pre-Summary'!$AZ$6:$BE$65,3,FALSE),"")</f>
        <v/>
      </c>
      <c r="AI2631" s="10" t="str">
        <f>IFERROR(VLOOKUP(B2631,'Pre-Summary'!$AZ$6:$BE$65,5,FALSE),"")</f>
        <v/>
      </c>
      <c r="AJ2631" s="10" t="str">
        <f>IFERROR(VLOOKUP(B2631,'Pre-Summary'!$AZ$6:$BE$65,4,FALSE),"")</f>
        <v/>
      </c>
      <c r="AK2631" s="10" t="str">
        <f>IFERROR(VLOOKUP(B2631,'Pre-Summary'!$AZ$6:$BE$65,6,FALSE),"")</f>
        <v/>
      </c>
      <c r="AL2631" s="10" t="str">
        <f>IFERROR(VLOOKUP(B2631,'Pre-Summary'!$BG$6:$BL$44,3,FALSE),"")</f>
        <v/>
      </c>
      <c r="AM2631" s="10" t="str">
        <f>IFERROR(VLOOKUP(B2631,'Pre-Summary'!$BG$6:$BL$44,4,FALSE),"")</f>
        <v/>
      </c>
    </row>
    <row r="2632" spans="2:39" ht="15" customHeight="1" x14ac:dyDescent="0.3">
      <c r="B2632">
        <v>262.89999999999998</v>
      </c>
      <c r="C2632" t="str">
        <f>IFERROR(VLOOKUP(B2632,'Pre-Summary'!$DI$6:$DM$23,4,FALSE),"")</f>
        <v/>
      </c>
      <c r="D2632" s="10" t="str">
        <f>IFERROR(VLOOKUP(B2632,'Pre-Summary'!$AT$6:$AX$14,5,FALSE),D2631)</f>
        <v>Wolfe v3: went back to modified wolfe + EDTA and switched CuSO4 to CUCl2</v>
      </c>
      <c r="E2632" s="10" t="str">
        <f>IFERROR(VLOOKUP(B2632,'Pre-Summary'!$AT$6:$AX$15,4,FALSE),"")</f>
        <v/>
      </c>
      <c r="F2632">
        <f>IFERROR(VLOOKUP(B2632,'Pre-Summary'!$AL$6:$AQ$13,6,FALSE),F2631)</f>
        <v>5.9405263157894746E-2</v>
      </c>
      <c r="G2632" t="str">
        <f>IFERROR(VLOOKUP(B2632,'Pre-Summary'!$AE$6:$AJ$85,3,FALSE),"")</f>
        <v/>
      </c>
      <c r="H2632" t="str">
        <f>IFERROR(VLOOKUP(B2632,'Pre-Summary'!$AE$6:$AJ$85,4,FALSE),"")</f>
        <v/>
      </c>
      <c r="I2632" t="str">
        <f>IFERROR(VLOOKUP(B2632,'Pre-Summary'!$AE$6:$AJ$85,5,FALSE),"")</f>
        <v/>
      </c>
      <c r="J2632" s="45" t="str">
        <f>IFERROR(VLOOKUP(B2632,'Pre-Summary'!$AE$6:$AJ$85,6, FALSE),"")</f>
        <v/>
      </c>
      <c r="K2632" s="45" t="str">
        <f>IFERROR(VLOOKUP(B2632,'Pre-Summary'!$DE$6:$DG$61,3,FALSE),"")</f>
        <v/>
      </c>
      <c r="L2632" s="45" t="str">
        <f>IFERROR(VLOOKUP(B2632,'Pre-Summary'!$CU$6:$CW$36,3,FALSE),"")</f>
        <v/>
      </c>
      <c r="M2632" s="45" t="str">
        <f>IFERROR(VLOOKUP(B2632,'Pre-Summary'!$BW$6:$BY$58,2,FALSE),"")</f>
        <v/>
      </c>
      <c r="N2632" s="45" t="str">
        <f>IFERROR(VLOOKUP(B2632,'Pre-Summary'!$CD$6:$CF$64,2,FALSE),"")</f>
        <v/>
      </c>
      <c r="O2632" s="99">
        <f>IFERROR(VLOOKUP(B2632,'Pre-Summary'!$BO$6:$BQ$48,3, FALSE),O2631)</f>
        <v>1.83</v>
      </c>
      <c r="P2632" s="99">
        <f>IFERROR(VLOOKUP(B2632,'Pre-Summary'!$BS$6:$BU$35,3,FALSE),P2631)</f>
        <v>0.46200000000000002</v>
      </c>
      <c r="Q2632" s="54">
        <f t="shared" si="123"/>
        <v>3.9610389610389611</v>
      </c>
      <c r="R2632" s="53">
        <f>IFERROR(VLOOKUP(B2632,'Pre-Summary'!$BG$6:$BM$44,7,FALSE),R2633)</f>
        <v>0.10528059183238438</v>
      </c>
      <c r="S2632" s="53">
        <f>IFERROR(VLOOKUP(B2632,'Pre-Summary'!$BG$6:$BM$44,6,FALSE),S2633)</f>
        <v>0.10567591412599613</v>
      </c>
      <c r="T2632" s="45" t="str">
        <f>IFERROR(VLOOKUP(B2632,'Pre-Summary'!$Y$6:$AC$83, 3,FALSE),"")</f>
        <v/>
      </c>
      <c r="U2632" s="45" t="str">
        <f>IFERROR(VLOOKUP(B2632,'Pre-Summary'!$Y$6:$AC$83, 4,FALSE),"")</f>
        <v/>
      </c>
      <c r="V2632" t="str">
        <f>IFERROR(VLOOKUP(B2632,'Pre-Summary'!$Y$6:$AC$83, 5,FALSE),"")</f>
        <v/>
      </c>
      <c r="W2632" s="45" t="str">
        <f>IFERROR(VLOOKUP(B2632,'Pre-Summary'!$Y$6:$AD$83,6,FALSE),"")</f>
        <v/>
      </c>
      <c r="X2632" t="str">
        <f>IFERROR(VLOOKUP('Pre-Summary'!$DB$6:$DD$63,3,FALSE),"")</f>
        <v/>
      </c>
      <c r="Y2632" t="str">
        <f>IFERROR(VLOOKUP(B2632,'Pre-Summary'!$CR$6:$CT$36,3,FALSE),"")</f>
        <v/>
      </c>
      <c r="Z2632" s="45" t="str">
        <f>IFERROR(VLOOKUP(B2632,'Pre-Summary'!$BZ$6:$CB$63,2,FALSE),"")</f>
        <v/>
      </c>
      <c r="AA2632" s="45" t="str">
        <f>IFERROR(VLOOKUP(B2632,'Pre-Summary'!$CG$6:$CI$70,2,FALSE),"")</f>
        <v/>
      </c>
      <c r="AB2632" s="99">
        <f>IFERROR(VLOOKUP(B2632,'Pre-Summary'!$A$6:$P$178,9,FALSE),AB2633)</f>
        <v>0.43582647412843634</v>
      </c>
      <c r="AC2632" s="10">
        <f>IFERROR(VLOOKUP(Summary!B2632,'Pre-Summary'!$A$6:$P$184,5, FALSE)/100,AC2633)</f>
        <v>0.93941799999999998</v>
      </c>
      <c r="AD2632" s="10">
        <f>IFERROR(VLOOKUP(Summary!B2632,'Pre-Summary'!$A$6:$P$184,3, FALSE)/100,AD2633)</f>
        <v>4.8995666666666667E-2</v>
      </c>
      <c r="AE2632" s="10">
        <f>IFERROR(VLOOKUP(Summary!B2632,'Pre-Summary'!$A$6:$P$184,7, FALSE)/100,AE2633)</f>
        <v>1.1586666666666667E-2</v>
      </c>
      <c r="AF2632" s="99">
        <f t="shared" si="124"/>
        <v>2.1353608650905489E-2</v>
      </c>
      <c r="AG2632" s="99">
        <f t="shared" si="125"/>
        <v>5.0497760802348159E-3</v>
      </c>
      <c r="AH2632" s="10" t="str">
        <f>IFERROR(VLOOKUP(B2632,'Pre-Summary'!$AZ$6:$BE$65,3,FALSE),"")</f>
        <v/>
      </c>
      <c r="AI2632" s="10" t="str">
        <f>IFERROR(VLOOKUP(B2632,'Pre-Summary'!$AZ$6:$BE$65,5,FALSE),"")</f>
        <v/>
      </c>
      <c r="AJ2632" s="10" t="str">
        <f>IFERROR(VLOOKUP(B2632,'Pre-Summary'!$AZ$6:$BE$65,4,FALSE),"")</f>
        <v/>
      </c>
      <c r="AK2632" s="10" t="str">
        <f>IFERROR(VLOOKUP(B2632,'Pre-Summary'!$AZ$6:$BE$65,6,FALSE),"")</f>
        <v/>
      </c>
      <c r="AL2632" s="10" t="str">
        <f>IFERROR(VLOOKUP(B2632,'Pre-Summary'!$BG$6:$BL$44,3,FALSE),"")</f>
        <v/>
      </c>
      <c r="AM2632" s="10" t="str">
        <f>IFERROR(VLOOKUP(B2632,'Pre-Summary'!$BG$6:$BL$44,4,FALSE),"")</f>
        <v/>
      </c>
    </row>
    <row r="2633" spans="2:39" ht="15" customHeight="1" x14ac:dyDescent="0.3">
      <c r="B2633">
        <v>263</v>
      </c>
      <c r="C2633" t="str">
        <f>IFERROR(VLOOKUP(B2633,'Pre-Summary'!$DI$6:$DM$23,4,FALSE),"")</f>
        <v/>
      </c>
      <c r="D2633" s="10" t="str">
        <f>IFERROR(VLOOKUP(B2633,'Pre-Summary'!$AT$6:$AX$14,5,FALSE),D2632)</f>
        <v>Wolfe v3: went back to modified wolfe + EDTA and switched CuSO4 to CUCl2</v>
      </c>
      <c r="E2633" s="10" t="str">
        <f>IFERROR(VLOOKUP(B2633,'Pre-Summary'!$AT$6:$AX$15,4,FALSE),"")</f>
        <v/>
      </c>
      <c r="F2633">
        <f>IFERROR(VLOOKUP(B2633,'Pre-Summary'!$AL$6:$AQ$13,6,FALSE),F2632)</f>
        <v>5.9405263157894746E-2</v>
      </c>
      <c r="G2633" t="str">
        <f>IFERROR(VLOOKUP(B2633,'Pre-Summary'!$AE$6:$AJ$85,3,FALSE),"")</f>
        <v/>
      </c>
      <c r="H2633" t="str">
        <f>IFERROR(VLOOKUP(B2633,'Pre-Summary'!$AE$6:$AJ$85,4,FALSE),"")</f>
        <v/>
      </c>
      <c r="I2633" t="str">
        <f>IFERROR(VLOOKUP(B2633,'Pre-Summary'!$AE$6:$AJ$85,5,FALSE),"")</f>
        <v/>
      </c>
      <c r="J2633" s="45" t="str">
        <f>IFERROR(VLOOKUP(B2633,'Pre-Summary'!$AE$6:$AJ$85,6, FALSE),"")</f>
        <v/>
      </c>
      <c r="K2633" s="45" t="str">
        <f>IFERROR(VLOOKUP(B2633,'Pre-Summary'!$DE$6:$DG$61,3,FALSE),"")</f>
        <v/>
      </c>
      <c r="L2633" s="45" t="str">
        <f>IFERROR(VLOOKUP(B2633,'Pre-Summary'!$CU$6:$CW$36,3,FALSE),"")</f>
        <v/>
      </c>
      <c r="M2633" s="45" t="str">
        <f>IFERROR(VLOOKUP(B2633,'Pre-Summary'!$BW$6:$BY$58,2,FALSE),"")</f>
        <v/>
      </c>
      <c r="N2633" s="45" t="str">
        <f>IFERROR(VLOOKUP(B2633,'Pre-Summary'!$CD$6:$CF$64,2,FALSE),"")</f>
        <v/>
      </c>
      <c r="O2633" s="99">
        <f>IFERROR(VLOOKUP(B2633,'Pre-Summary'!$BO$6:$BQ$48,3, FALSE),O2632)</f>
        <v>1.83</v>
      </c>
      <c r="P2633" s="99">
        <f>IFERROR(VLOOKUP(B2633,'Pre-Summary'!$BS$6:$BU$35,3,FALSE),P2632)</f>
        <v>0.46200000000000002</v>
      </c>
      <c r="Q2633" s="54">
        <f t="shared" si="123"/>
        <v>3.9610389610389611</v>
      </c>
      <c r="R2633" s="53">
        <f>IFERROR(VLOOKUP(B2633,'Pre-Summary'!$BG$6:$BM$44,7,FALSE),R2634)</f>
        <v>0.10528059183238438</v>
      </c>
      <c r="S2633" s="53">
        <f>IFERROR(VLOOKUP(B2633,'Pre-Summary'!$BG$6:$BM$44,6,FALSE),S2634)</f>
        <v>0.10567591412599613</v>
      </c>
      <c r="T2633" s="45" t="str">
        <f>IFERROR(VLOOKUP(B2633,'Pre-Summary'!$Y$6:$AC$83, 3,FALSE),"")</f>
        <v/>
      </c>
      <c r="U2633" s="45" t="str">
        <f>IFERROR(VLOOKUP(B2633,'Pre-Summary'!$Y$6:$AC$83, 4,FALSE),"")</f>
        <v/>
      </c>
      <c r="V2633" t="str">
        <f>IFERROR(VLOOKUP(B2633,'Pre-Summary'!$Y$6:$AC$83, 5,FALSE),"")</f>
        <v/>
      </c>
      <c r="W2633" s="45" t="str">
        <f>IFERROR(VLOOKUP(B2633,'Pre-Summary'!$Y$6:$AD$83,6,FALSE),"")</f>
        <v/>
      </c>
      <c r="X2633" t="str">
        <f>IFERROR(VLOOKUP('Pre-Summary'!$DB$6:$DD$63,3,FALSE),"")</f>
        <v/>
      </c>
      <c r="Y2633" t="str">
        <f>IFERROR(VLOOKUP(B2633,'Pre-Summary'!$CR$6:$CT$36,3,FALSE),"")</f>
        <v/>
      </c>
      <c r="Z2633" s="45" t="str">
        <f>IFERROR(VLOOKUP(B2633,'Pre-Summary'!$BZ$6:$CB$63,2,FALSE),"")</f>
        <v/>
      </c>
      <c r="AA2633" s="45" t="str">
        <f>IFERROR(VLOOKUP(B2633,'Pre-Summary'!$CG$6:$CI$70,2,FALSE),"")</f>
        <v/>
      </c>
      <c r="AB2633" s="99">
        <f>IFERROR(VLOOKUP(B2633,'Pre-Summary'!$A$6:$P$178,9,FALSE),AB2634)</f>
        <v>0.43582647412843634</v>
      </c>
      <c r="AC2633" s="10">
        <f>IFERROR(VLOOKUP(Summary!B2633,'Pre-Summary'!$A$6:$P$184,5, FALSE)/100,AC2634)</f>
        <v>0.93941799999999998</v>
      </c>
      <c r="AD2633" s="10">
        <f>IFERROR(VLOOKUP(Summary!B2633,'Pre-Summary'!$A$6:$P$184,3, FALSE)/100,AD2634)</f>
        <v>4.8995666666666667E-2</v>
      </c>
      <c r="AE2633" s="10">
        <f>IFERROR(VLOOKUP(Summary!B2633,'Pre-Summary'!$A$6:$P$184,7, FALSE)/100,AE2634)</f>
        <v>1.1586666666666667E-2</v>
      </c>
      <c r="AF2633" s="99">
        <f t="shared" si="124"/>
        <v>2.1353608650905489E-2</v>
      </c>
      <c r="AG2633" s="99">
        <f t="shared" si="125"/>
        <v>5.0497760802348159E-3</v>
      </c>
      <c r="AH2633" s="10" t="str">
        <f>IFERROR(VLOOKUP(B2633,'Pre-Summary'!$AZ$6:$BE$65,3,FALSE),"")</f>
        <v/>
      </c>
      <c r="AI2633" s="10" t="str">
        <f>IFERROR(VLOOKUP(B2633,'Pre-Summary'!$AZ$6:$BE$65,5,FALSE),"")</f>
        <v/>
      </c>
      <c r="AJ2633" s="10" t="str">
        <f>IFERROR(VLOOKUP(B2633,'Pre-Summary'!$AZ$6:$BE$65,4,FALSE),"")</f>
        <v/>
      </c>
      <c r="AK2633" s="10" t="str">
        <f>IFERROR(VLOOKUP(B2633,'Pre-Summary'!$AZ$6:$BE$65,6,FALSE),"")</f>
        <v/>
      </c>
      <c r="AL2633" s="10" t="str">
        <f>IFERROR(VLOOKUP(B2633,'Pre-Summary'!$BG$6:$BL$44,3,FALSE),"")</f>
        <v/>
      </c>
      <c r="AM2633" s="10" t="str">
        <f>IFERROR(VLOOKUP(B2633,'Pre-Summary'!$BG$6:$BL$44,4,FALSE),"")</f>
        <v/>
      </c>
    </row>
    <row r="2634" spans="2:39" ht="15" customHeight="1" x14ac:dyDescent="0.3">
      <c r="B2634">
        <v>263.10000000000002</v>
      </c>
      <c r="C2634" t="str">
        <f>IFERROR(VLOOKUP(B2634,'Pre-Summary'!$DI$6:$DM$23,4,FALSE),"")</f>
        <v/>
      </c>
      <c r="D2634" s="10" t="str">
        <f>IFERROR(VLOOKUP(B2634,'Pre-Summary'!$AT$6:$AX$14,5,FALSE),D2633)</f>
        <v>Wolfe v3: went back to modified wolfe + EDTA and switched CuSO4 to CUCl2</v>
      </c>
      <c r="E2634" s="10" t="str">
        <f>IFERROR(VLOOKUP(B2634,'Pre-Summary'!$AT$6:$AX$15,4,FALSE),"")</f>
        <v/>
      </c>
      <c r="F2634">
        <f>IFERROR(VLOOKUP(B2634,'Pre-Summary'!$AL$6:$AQ$13,6,FALSE),F2633)</f>
        <v>5.9405263157894746E-2</v>
      </c>
      <c r="G2634" t="str">
        <f>IFERROR(VLOOKUP(B2634,'Pre-Summary'!$AE$6:$AJ$85,3,FALSE),"")</f>
        <v/>
      </c>
      <c r="H2634" t="str">
        <f>IFERROR(VLOOKUP(B2634,'Pre-Summary'!$AE$6:$AJ$85,4,FALSE),"")</f>
        <v/>
      </c>
      <c r="I2634" t="str">
        <f>IFERROR(VLOOKUP(B2634,'Pre-Summary'!$AE$6:$AJ$85,5,FALSE),"")</f>
        <v/>
      </c>
      <c r="J2634" s="45" t="str">
        <f>IFERROR(VLOOKUP(B2634,'Pre-Summary'!$AE$6:$AJ$85,6, FALSE),"")</f>
        <v/>
      </c>
      <c r="K2634" s="45" t="str">
        <f>IFERROR(VLOOKUP(B2634,'Pre-Summary'!$DE$6:$DG$61,3,FALSE),"")</f>
        <v/>
      </c>
      <c r="L2634" s="45" t="str">
        <f>IFERROR(VLOOKUP(B2634,'Pre-Summary'!$CU$6:$CW$36,3,FALSE),"")</f>
        <v/>
      </c>
      <c r="M2634" s="45" t="str">
        <f>IFERROR(VLOOKUP(B2634,'Pre-Summary'!$BW$6:$BY$58,2,FALSE),"")</f>
        <v/>
      </c>
      <c r="N2634" s="45" t="str">
        <f>IFERROR(VLOOKUP(B2634,'Pre-Summary'!$CD$6:$CF$64,2,FALSE),"")</f>
        <v/>
      </c>
      <c r="O2634" s="99">
        <f>IFERROR(VLOOKUP(B2634,'Pre-Summary'!$BO$6:$BQ$48,3, FALSE),O2633)</f>
        <v>1.83</v>
      </c>
      <c r="P2634" s="99">
        <f>IFERROR(VLOOKUP(B2634,'Pre-Summary'!$BS$6:$BU$35,3,FALSE),P2633)</f>
        <v>0.46200000000000002</v>
      </c>
      <c r="Q2634" s="54">
        <f t="shared" si="123"/>
        <v>3.9610389610389611</v>
      </c>
      <c r="R2634" s="53">
        <f>IFERROR(VLOOKUP(B2634,'Pre-Summary'!$BG$6:$BM$44,7,FALSE),R2635)</f>
        <v>0.10528059183238438</v>
      </c>
      <c r="S2634" s="53">
        <f>IFERROR(VLOOKUP(B2634,'Pre-Summary'!$BG$6:$BM$44,6,FALSE),S2635)</f>
        <v>0.10567591412599613</v>
      </c>
      <c r="T2634" s="45" t="str">
        <f>IFERROR(VLOOKUP(B2634,'Pre-Summary'!$Y$6:$AC$83, 3,FALSE),"")</f>
        <v/>
      </c>
      <c r="U2634" s="45" t="str">
        <f>IFERROR(VLOOKUP(B2634,'Pre-Summary'!$Y$6:$AC$83, 4,FALSE),"")</f>
        <v/>
      </c>
      <c r="V2634" t="str">
        <f>IFERROR(VLOOKUP(B2634,'Pre-Summary'!$Y$6:$AC$83, 5,FALSE),"")</f>
        <v/>
      </c>
      <c r="W2634" s="45" t="str">
        <f>IFERROR(VLOOKUP(B2634,'Pre-Summary'!$Y$6:$AD$83,6,FALSE),"")</f>
        <v/>
      </c>
      <c r="X2634" t="str">
        <f>IFERROR(VLOOKUP('Pre-Summary'!$DB$6:$DD$63,3,FALSE),"")</f>
        <v/>
      </c>
      <c r="Y2634" t="str">
        <f>IFERROR(VLOOKUP(B2634,'Pre-Summary'!$CR$6:$CT$36,3,FALSE),"")</f>
        <v/>
      </c>
      <c r="Z2634" s="45" t="str">
        <f>IFERROR(VLOOKUP(B2634,'Pre-Summary'!$BZ$6:$CB$63,2,FALSE),"")</f>
        <v/>
      </c>
      <c r="AA2634" s="45" t="str">
        <f>IFERROR(VLOOKUP(B2634,'Pre-Summary'!$CG$6:$CI$70,2,FALSE),"")</f>
        <v/>
      </c>
      <c r="AB2634" s="99">
        <f>IFERROR(VLOOKUP(B2634,'Pre-Summary'!$A$6:$P$178,9,FALSE),AB2635)</f>
        <v>0.43582647412843634</v>
      </c>
      <c r="AC2634" s="10">
        <f>IFERROR(VLOOKUP(Summary!B2634,'Pre-Summary'!$A$6:$P$184,5, FALSE)/100,AC2635)</f>
        <v>0.93941799999999998</v>
      </c>
      <c r="AD2634" s="10">
        <f>IFERROR(VLOOKUP(Summary!B2634,'Pre-Summary'!$A$6:$P$184,3, FALSE)/100,AD2635)</f>
        <v>4.8995666666666667E-2</v>
      </c>
      <c r="AE2634" s="10">
        <f>IFERROR(VLOOKUP(Summary!B2634,'Pre-Summary'!$A$6:$P$184,7, FALSE)/100,AE2635)</f>
        <v>1.1586666666666667E-2</v>
      </c>
      <c r="AF2634" s="99">
        <f t="shared" si="124"/>
        <v>2.1353608650905489E-2</v>
      </c>
      <c r="AG2634" s="99">
        <f t="shared" si="125"/>
        <v>5.0497760802348159E-3</v>
      </c>
      <c r="AH2634" s="10" t="str">
        <f>IFERROR(VLOOKUP(B2634,'Pre-Summary'!$AZ$6:$BE$65,3,FALSE),"")</f>
        <v/>
      </c>
      <c r="AI2634" s="10" t="str">
        <f>IFERROR(VLOOKUP(B2634,'Pre-Summary'!$AZ$6:$BE$65,5,FALSE),"")</f>
        <v/>
      </c>
      <c r="AJ2634" s="10" t="str">
        <f>IFERROR(VLOOKUP(B2634,'Pre-Summary'!$AZ$6:$BE$65,4,FALSE),"")</f>
        <v/>
      </c>
      <c r="AK2634" s="10" t="str">
        <f>IFERROR(VLOOKUP(B2634,'Pre-Summary'!$AZ$6:$BE$65,6,FALSE),"")</f>
        <v/>
      </c>
      <c r="AL2634" s="10" t="str">
        <f>IFERROR(VLOOKUP(B2634,'Pre-Summary'!$BG$6:$BL$44,3,FALSE),"")</f>
        <v/>
      </c>
      <c r="AM2634" s="10" t="str">
        <f>IFERROR(VLOOKUP(B2634,'Pre-Summary'!$BG$6:$BL$44,4,FALSE),"")</f>
        <v/>
      </c>
    </row>
    <row r="2635" spans="2:39" ht="15" customHeight="1" x14ac:dyDescent="0.3">
      <c r="B2635">
        <v>263.2</v>
      </c>
      <c r="C2635" t="str">
        <f>IFERROR(VLOOKUP(B2635,'Pre-Summary'!$DI$6:$DM$23,4,FALSE),"")</f>
        <v/>
      </c>
      <c r="D2635" s="10" t="str">
        <f>IFERROR(VLOOKUP(B2635,'Pre-Summary'!$AT$6:$AX$14,5,FALSE),D2634)</f>
        <v>Wolfe v3: went back to modified wolfe + EDTA and switched CuSO4 to CUCl2</v>
      </c>
      <c r="E2635" s="10" t="str">
        <f>IFERROR(VLOOKUP(B2635,'Pre-Summary'!$AT$6:$AX$15,4,FALSE),"")</f>
        <v/>
      </c>
      <c r="F2635">
        <f>IFERROR(VLOOKUP(B2635,'Pre-Summary'!$AL$6:$AQ$13,6,FALSE),F2634)</f>
        <v>5.9405263157894746E-2</v>
      </c>
      <c r="G2635" t="str">
        <f>IFERROR(VLOOKUP(B2635,'Pre-Summary'!$AE$6:$AJ$85,3,FALSE),"")</f>
        <v/>
      </c>
      <c r="H2635" t="str">
        <f>IFERROR(VLOOKUP(B2635,'Pre-Summary'!$AE$6:$AJ$85,4,FALSE),"")</f>
        <v/>
      </c>
      <c r="I2635" t="str">
        <f>IFERROR(VLOOKUP(B2635,'Pre-Summary'!$AE$6:$AJ$85,5,FALSE),"")</f>
        <v/>
      </c>
      <c r="J2635" s="45" t="str">
        <f>IFERROR(VLOOKUP(B2635,'Pre-Summary'!$AE$6:$AJ$85,6, FALSE),"")</f>
        <v/>
      </c>
      <c r="K2635" s="45" t="str">
        <f>IFERROR(VLOOKUP(B2635,'Pre-Summary'!$DE$6:$DG$61,3,FALSE),"")</f>
        <v/>
      </c>
      <c r="L2635" s="45" t="str">
        <f>IFERROR(VLOOKUP(B2635,'Pre-Summary'!$CU$6:$CW$36,3,FALSE),"")</f>
        <v/>
      </c>
      <c r="M2635" s="45" t="str">
        <f>IFERROR(VLOOKUP(B2635,'Pre-Summary'!$BW$6:$BY$58,2,FALSE),"")</f>
        <v/>
      </c>
      <c r="N2635" s="45" t="str">
        <f>IFERROR(VLOOKUP(B2635,'Pre-Summary'!$CD$6:$CF$64,2,FALSE),"")</f>
        <v/>
      </c>
      <c r="O2635" s="99">
        <f>IFERROR(VLOOKUP(B2635,'Pre-Summary'!$BO$6:$BQ$48,3, FALSE),O2634)</f>
        <v>1.83</v>
      </c>
      <c r="P2635" s="99">
        <f>IFERROR(VLOOKUP(B2635,'Pre-Summary'!$BS$6:$BU$35,3,FALSE),P2634)</f>
        <v>0.46200000000000002</v>
      </c>
      <c r="Q2635" s="54">
        <f t="shared" si="123"/>
        <v>3.9610389610389611</v>
      </c>
      <c r="R2635" s="53">
        <f>IFERROR(VLOOKUP(B2635,'Pre-Summary'!$BG$6:$BM$44,7,FALSE),R2636)</f>
        <v>0.10528059183238438</v>
      </c>
      <c r="S2635" s="53">
        <f>IFERROR(VLOOKUP(B2635,'Pre-Summary'!$BG$6:$BM$44,6,FALSE),S2636)</f>
        <v>0.10567591412599613</v>
      </c>
      <c r="T2635" s="45" t="str">
        <f>IFERROR(VLOOKUP(B2635,'Pre-Summary'!$Y$6:$AC$83, 3,FALSE),"")</f>
        <v/>
      </c>
      <c r="U2635" s="45" t="str">
        <f>IFERROR(VLOOKUP(B2635,'Pre-Summary'!$Y$6:$AC$83, 4,FALSE),"")</f>
        <v/>
      </c>
      <c r="V2635" t="str">
        <f>IFERROR(VLOOKUP(B2635,'Pre-Summary'!$Y$6:$AC$83, 5,FALSE),"")</f>
        <v/>
      </c>
      <c r="W2635" s="45" t="str">
        <f>IFERROR(VLOOKUP(B2635,'Pre-Summary'!$Y$6:$AD$83,6,FALSE),"")</f>
        <v/>
      </c>
      <c r="X2635" t="str">
        <f>IFERROR(VLOOKUP('Pre-Summary'!$DB$6:$DD$63,3,FALSE),"")</f>
        <v/>
      </c>
      <c r="Y2635" t="str">
        <f>IFERROR(VLOOKUP(B2635,'Pre-Summary'!$CR$6:$CT$36,3,FALSE),"")</f>
        <v/>
      </c>
      <c r="Z2635" s="45" t="str">
        <f>IFERROR(VLOOKUP(B2635,'Pre-Summary'!$BZ$6:$CB$63,2,FALSE),"")</f>
        <v/>
      </c>
      <c r="AA2635" s="45" t="str">
        <f>IFERROR(VLOOKUP(B2635,'Pre-Summary'!$CG$6:$CI$70,2,FALSE),"")</f>
        <v/>
      </c>
      <c r="AB2635" s="99">
        <f>IFERROR(VLOOKUP(B2635,'Pre-Summary'!$A$6:$P$178,9,FALSE),AB2636)</f>
        <v>0.43582647412843634</v>
      </c>
      <c r="AC2635" s="10">
        <f>IFERROR(VLOOKUP(Summary!B2635,'Pre-Summary'!$A$6:$P$184,5, FALSE)/100,AC2636)</f>
        <v>0.93941799999999998</v>
      </c>
      <c r="AD2635" s="10">
        <f>IFERROR(VLOOKUP(Summary!B2635,'Pre-Summary'!$A$6:$P$184,3, FALSE)/100,AD2636)</f>
        <v>4.8995666666666667E-2</v>
      </c>
      <c r="AE2635" s="10">
        <f>IFERROR(VLOOKUP(Summary!B2635,'Pre-Summary'!$A$6:$P$184,7, FALSE)/100,AE2636)</f>
        <v>1.1586666666666667E-2</v>
      </c>
      <c r="AF2635" s="99">
        <f t="shared" si="124"/>
        <v>2.1353608650905489E-2</v>
      </c>
      <c r="AG2635" s="99">
        <f t="shared" si="125"/>
        <v>5.0497760802348159E-3</v>
      </c>
      <c r="AH2635" s="10" t="str">
        <f>IFERROR(VLOOKUP(B2635,'Pre-Summary'!$AZ$6:$BE$65,3,FALSE),"")</f>
        <v/>
      </c>
      <c r="AI2635" s="10" t="str">
        <f>IFERROR(VLOOKUP(B2635,'Pre-Summary'!$AZ$6:$BE$65,5,FALSE),"")</f>
        <v/>
      </c>
      <c r="AJ2635" s="10" t="str">
        <f>IFERROR(VLOOKUP(B2635,'Pre-Summary'!$AZ$6:$BE$65,4,FALSE),"")</f>
        <v/>
      </c>
      <c r="AK2635" s="10" t="str">
        <f>IFERROR(VLOOKUP(B2635,'Pre-Summary'!$AZ$6:$BE$65,6,FALSE),"")</f>
        <v/>
      </c>
      <c r="AL2635" s="10" t="str">
        <f>IFERROR(VLOOKUP(B2635,'Pre-Summary'!$BG$6:$BL$44,3,FALSE),"")</f>
        <v/>
      </c>
      <c r="AM2635" s="10" t="str">
        <f>IFERROR(VLOOKUP(B2635,'Pre-Summary'!$BG$6:$BL$44,4,FALSE),"")</f>
        <v/>
      </c>
    </row>
    <row r="2636" spans="2:39" ht="15" customHeight="1" x14ac:dyDescent="0.3">
      <c r="B2636">
        <v>263.3</v>
      </c>
      <c r="C2636" t="str">
        <f>IFERROR(VLOOKUP(B2636,'Pre-Summary'!$DI$6:$DM$23,4,FALSE),"")</f>
        <v/>
      </c>
      <c r="D2636" s="10" t="str">
        <f>IFERROR(VLOOKUP(B2636,'Pre-Summary'!$AT$6:$AX$14,5,FALSE),D2635)</f>
        <v>Wolfe v3: went back to modified wolfe + EDTA and switched CuSO4 to CUCl2</v>
      </c>
      <c r="E2636" s="10" t="str">
        <f>IFERROR(VLOOKUP(B2636,'Pre-Summary'!$AT$6:$AX$15,4,FALSE),"")</f>
        <v/>
      </c>
      <c r="F2636">
        <f>IFERROR(VLOOKUP(B2636,'Pre-Summary'!$AL$6:$AQ$13,6,FALSE),F2635)</f>
        <v>5.9405263157894746E-2</v>
      </c>
      <c r="G2636" t="str">
        <f>IFERROR(VLOOKUP(B2636,'Pre-Summary'!$AE$6:$AJ$85,3,FALSE),"")</f>
        <v/>
      </c>
      <c r="H2636" t="str">
        <f>IFERROR(VLOOKUP(B2636,'Pre-Summary'!$AE$6:$AJ$85,4,FALSE),"")</f>
        <v/>
      </c>
      <c r="I2636" t="str">
        <f>IFERROR(VLOOKUP(B2636,'Pre-Summary'!$AE$6:$AJ$85,5,FALSE),"")</f>
        <v/>
      </c>
      <c r="J2636" s="45" t="str">
        <f>IFERROR(VLOOKUP(B2636,'Pre-Summary'!$AE$6:$AJ$85,6, FALSE),"")</f>
        <v/>
      </c>
      <c r="K2636" s="45" t="str">
        <f>IFERROR(VLOOKUP(B2636,'Pre-Summary'!$DE$6:$DG$61,3,FALSE),"")</f>
        <v/>
      </c>
      <c r="L2636" s="45" t="str">
        <f>IFERROR(VLOOKUP(B2636,'Pre-Summary'!$CU$6:$CW$36,3,FALSE),"")</f>
        <v/>
      </c>
      <c r="M2636" s="45" t="str">
        <f>IFERROR(VLOOKUP(B2636,'Pre-Summary'!$BW$6:$BY$58,2,FALSE),"")</f>
        <v/>
      </c>
      <c r="N2636" s="45" t="str">
        <f>IFERROR(VLOOKUP(B2636,'Pre-Summary'!$CD$6:$CF$64,2,FALSE),"")</f>
        <v/>
      </c>
      <c r="O2636" s="99">
        <f>IFERROR(VLOOKUP(B2636,'Pre-Summary'!$BO$6:$BQ$48,3, FALSE),O2635)</f>
        <v>1.83</v>
      </c>
      <c r="P2636" s="99">
        <f>IFERROR(VLOOKUP(B2636,'Pre-Summary'!$BS$6:$BU$35,3,FALSE),P2635)</f>
        <v>0.46200000000000002</v>
      </c>
      <c r="Q2636" s="54">
        <f t="shared" si="123"/>
        <v>3.9610389610389611</v>
      </c>
      <c r="R2636" s="53">
        <f>IFERROR(VLOOKUP(B2636,'Pre-Summary'!$BG$6:$BM$44,7,FALSE),R2637)</f>
        <v>0.10528059183238438</v>
      </c>
      <c r="S2636" s="53">
        <f>IFERROR(VLOOKUP(B2636,'Pre-Summary'!$BG$6:$BM$44,6,FALSE),S2637)</f>
        <v>0.10567591412599613</v>
      </c>
      <c r="T2636" s="45" t="str">
        <f>IFERROR(VLOOKUP(B2636,'Pre-Summary'!$Y$6:$AC$83, 3,FALSE),"")</f>
        <v/>
      </c>
      <c r="U2636" s="45" t="str">
        <f>IFERROR(VLOOKUP(B2636,'Pre-Summary'!$Y$6:$AC$83, 4,FALSE),"")</f>
        <v/>
      </c>
      <c r="V2636" t="str">
        <f>IFERROR(VLOOKUP(B2636,'Pre-Summary'!$Y$6:$AC$83, 5,FALSE),"")</f>
        <v/>
      </c>
      <c r="W2636" s="45" t="str">
        <f>IFERROR(VLOOKUP(B2636,'Pre-Summary'!$Y$6:$AD$83,6,FALSE),"")</f>
        <v/>
      </c>
      <c r="X2636" t="str">
        <f>IFERROR(VLOOKUP('Pre-Summary'!$DB$6:$DD$63,3,FALSE),"")</f>
        <v/>
      </c>
      <c r="Y2636" t="str">
        <f>IFERROR(VLOOKUP(B2636,'Pre-Summary'!$CR$6:$CT$36,3,FALSE),"")</f>
        <v/>
      </c>
      <c r="Z2636" s="45" t="str">
        <f>IFERROR(VLOOKUP(B2636,'Pre-Summary'!$BZ$6:$CB$63,2,FALSE),"")</f>
        <v/>
      </c>
      <c r="AA2636" s="45" t="str">
        <f>IFERROR(VLOOKUP(B2636,'Pre-Summary'!$CG$6:$CI$70,2,FALSE),"")</f>
        <v/>
      </c>
      <c r="AB2636" s="99">
        <f>IFERROR(VLOOKUP(B2636,'Pre-Summary'!$A$6:$P$178,9,FALSE),AB2637)</f>
        <v>0.43582647412843634</v>
      </c>
      <c r="AC2636" s="10">
        <f>IFERROR(VLOOKUP(Summary!B2636,'Pre-Summary'!$A$6:$P$184,5, FALSE)/100,AC2637)</f>
        <v>0.93941799999999998</v>
      </c>
      <c r="AD2636" s="10">
        <f>IFERROR(VLOOKUP(Summary!B2636,'Pre-Summary'!$A$6:$P$184,3, FALSE)/100,AD2637)</f>
        <v>4.8995666666666667E-2</v>
      </c>
      <c r="AE2636" s="10">
        <f>IFERROR(VLOOKUP(Summary!B2636,'Pre-Summary'!$A$6:$P$184,7, FALSE)/100,AE2637)</f>
        <v>1.1586666666666667E-2</v>
      </c>
      <c r="AF2636" s="99">
        <f t="shared" si="124"/>
        <v>2.1353608650905489E-2</v>
      </c>
      <c r="AG2636" s="99">
        <f t="shared" si="125"/>
        <v>5.0497760802348159E-3</v>
      </c>
      <c r="AH2636" s="10" t="str">
        <f>IFERROR(VLOOKUP(B2636,'Pre-Summary'!$AZ$6:$BE$65,3,FALSE),"")</f>
        <v/>
      </c>
      <c r="AI2636" s="10" t="str">
        <f>IFERROR(VLOOKUP(B2636,'Pre-Summary'!$AZ$6:$BE$65,5,FALSE),"")</f>
        <v/>
      </c>
      <c r="AJ2636" s="10" t="str">
        <f>IFERROR(VLOOKUP(B2636,'Pre-Summary'!$AZ$6:$BE$65,4,FALSE),"")</f>
        <v/>
      </c>
      <c r="AK2636" s="10" t="str">
        <f>IFERROR(VLOOKUP(B2636,'Pre-Summary'!$AZ$6:$BE$65,6,FALSE),"")</f>
        <v/>
      </c>
      <c r="AL2636" s="10" t="str">
        <f>IFERROR(VLOOKUP(B2636,'Pre-Summary'!$BG$6:$BL$44,3,FALSE),"")</f>
        <v/>
      </c>
      <c r="AM2636" s="10" t="str">
        <f>IFERROR(VLOOKUP(B2636,'Pre-Summary'!$BG$6:$BL$44,4,FALSE),"")</f>
        <v/>
      </c>
    </row>
    <row r="2637" spans="2:39" ht="15" customHeight="1" x14ac:dyDescent="0.3">
      <c r="B2637">
        <v>263.39999999999998</v>
      </c>
      <c r="C2637" t="str">
        <f>IFERROR(VLOOKUP(B2637,'Pre-Summary'!$DI$6:$DM$23,4,FALSE),"")</f>
        <v/>
      </c>
      <c r="D2637" s="10" t="str">
        <f>IFERROR(VLOOKUP(B2637,'Pre-Summary'!$AT$6:$AX$14,5,FALSE),D2636)</f>
        <v>Wolfe v3: went back to modified wolfe + EDTA and switched CuSO4 to CUCl2</v>
      </c>
      <c r="E2637" s="10" t="str">
        <f>IFERROR(VLOOKUP(B2637,'Pre-Summary'!$AT$6:$AX$15,4,FALSE),"")</f>
        <v/>
      </c>
      <c r="F2637">
        <f>IFERROR(VLOOKUP(B2637,'Pre-Summary'!$AL$6:$AQ$13,6,FALSE),F2636)</f>
        <v>5.9405263157894746E-2</v>
      </c>
      <c r="G2637" t="str">
        <f>IFERROR(VLOOKUP(B2637,'Pre-Summary'!$AE$6:$AJ$85,3,FALSE),"")</f>
        <v/>
      </c>
      <c r="H2637" t="str">
        <f>IFERROR(VLOOKUP(B2637,'Pre-Summary'!$AE$6:$AJ$85,4,FALSE),"")</f>
        <v/>
      </c>
      <c r="I2637" t="str">
        <f>IFERROR(VLOOKUP(B2637,'Pre-Summary'!$AE$6:$AJ$85,5,FALSE),"")</f>
        <v/>
      </c>
      <c r="J2637" s="45" t="str">
        <f>IFERROR(VLOOKUP(B2637,'Pre-Summary'!$AE$6:$AJ$85,6, FALSE),"")</f>
        <v/>
      </c>
      <c r="K2637" s="45" t="str">
        <f>IFERROR(VLOOKUP(B2637,'Pre-Summary'!$DE$6:$DG$61,3,FALSE),"")</f>
        <v/>
      </c>
      <c r="L2637" s="45" t="str">
        <f>IFERROR(VLOOKUP(B2637,'Pre-Summary'!$CU$6:$CW$36,3,FALSE),"")</f>
        <v/>
      </c>
      <c r="M2637" s="45" t="str">
        <f>IFERROR(VLOOKUP(B2637,'Pre-Summary'!$BW$6:$BY$58,2,FALSE),"")</f>
        <v/>
      </c>
      <c r="N2637" s="45" t="str">
        <f>IFERROR(VLOOKUP(B2637,'Pre-Summary'!$CD$6:$CF$64,2,FALSE),"")</f>
        <v/>
      </c>
      <c r="O2637" s="99">
        <f>IFERROR(VLOOKUP(B2637,'Pre-Summary'!$BO$6:$BQ$48,3, FALSE),O2636)</f>
        <v>1.83</v>
      </c>
      <c r="P2637" s="99">
        <f>IFERROR(VLOOKUP(B2637,'Pre-Summary'!$BS$6:$BU$35,3,FALSE),P2636)</f>
        <v>0.46200000000000002</v>
      </c>
      <c r="Q2637" s="54">
        <f t="shared" si="123"/>
        <v>3.9610389610389611</v>
      </c>
      <c r="R2637" s="53">
        <f>IFERROR(VLOOKUP(B2637,'Pre-Summary'!$BG$6:$BM$44,7,FALSE),R2638)</f>
        <v>0.10528059183238438</v>
      </c>
      <c r="S2637" s="53">
        <f>IFERROR(VLOOKUP(B2637,'Pre-Summary'!$BG$6:$BM$44,6,FALSE),S2638)</f>
        <v>0.10567591412599613</v>
      </c>
      <c r="T2637" s="45" t="str">
        <f>IFERROR(VLOOKUP(B2637,'Pre-Summary'!$Y$6:$AC$83, 3,FALSE),"")</f>
        <v/>
      </c>
      <c r="U2637" s="45" t="str">
        <f>IFERROR(VLOOKUP(B2637,'Pre-Summary'!$Y$6:$AC$83, 4,FALSE),"")</f>
        <v/>
      </c>
      <c r="V2637" t="str">
        <f>IFERROR(VLOOKUP(B2637,'Pre-Summary'!$Y$6:$AC$83, 5,FALSE),"")</f>
        <v/>
      </c>
      <c r="W2637" s="45" t="str">
        <f>IFERROR(VLOOKUP(B2637,'Pre-Summary'!$Y$6:$AD$83,6,FALSE),"")</f>
        <v/>
      </c>
      <c r="X2637" t="str">
        <f>IFERROR(VLOOKUP('Pre-Summary'!$DB$6:$DD$63,3,FALSE),"")</f>
        <v/>
      </c>
      <c r="Y2637" t="str">
        <f>IFERROR(VLOOKUP(B2637,'Pre-Summary'!$CR$6:$CT$36,3,FALSE),"")</f>
        <v/>
      </c>
      <c r="Z2637" s="45" t="str">
        <f>IFERROR(VLOOKUP(B2637,'Pre-Summary'!$BZ$6:$CB$63,2,FALSE),"")</f>
        <v/>
      </c>
      <c r="AA2637" s="45" t="str">
        <f>IFERROR(VLOOKUP(B2637,'Pre-Summary'!$CG$6:$CI$70,2,FALSE),"")</f>
        <v/>
      </c>
      <c r="AB2637" s="99">
        <f>IFERROR(VLOOKUP(B2637,'Pre-Summary'!$A$6:$P$178,9,FALSE),AB2638)</f>
        <v>0.43582647412843634</v>
      </c>
      <c r="AC2637" s="10">
        <f>IFERROR(VLOOKUP(Summary!B2637,'Pre-Summary'!$A$6:$P$184,5, FALSE)/100,AC2638)</f>
        <v>0.93941799999999998</v>
      </c>
      <c r="AD2637" s="10">
        <f>IFERROR(VLOOKUP(Summary!B2637,'Pre-Summary'!$A$6:$P$184,3, FALSE)/100,AD2638)</f>
        <v>4.8995666666666667E-2</v>
      </c>
      <c r="AE2637" s="10">
        <f>IFERROR(VLOOKUP(Summary!B2637,'Pre-Summary'!$A$6:$P$184,7, FALSE)/100,AE2638)</f>
        <v>1.1586666666666667E-2</v>
      </c>
      <c r="AF2637" s="99">
        <f t="shared" si="124"/>
        <v>2.1353608650905489E-2</v>
      </c>
      <c r="AG2637" s="99">
        <f t="shared" si="125"/>
        <v>5.0497760802348159E-3</v>
      </c>
      <c r="AH2637" s="10" t="str">
        <f>IFERROR(VLOOKUP(B2637,'Pre-Summary'!$AZ$6:$BE$65,3,FALSE),"")</f>
        <v/>
      </c>
      <c r="AI2637" s="10" t="str">
        <f>IFERROR(VLOOKUP(B2637,'Pre-Summary'!$AZ$6:$BE$65,5,FALSE),"")</f>
        <v/>
      </c>
      <c r="AJ2637" s="10" t="str">
        <f>IFERROR(VLOOKUP(B2637,'Pre-Summary'!$AZ$6:$BE$65,4,FALSE),"")</f>
        <v/>
      </c>
      <c r="AK2637" s="10" t="str">
        <f>IFERROR(VLOOKUP(B2637,'Pre-Summary'!$AZ$6:$BE$65,6,FALSE),"")</f>
        <v/>
      </c>
      <c r="AL2637" s="10" t="str">
        <f>IFERROR(VLOOKUP(B2637,'Pre-Summary'!$BG$6:$BL$44,3,FALSE),"")</f>
        <v/>
      </c>
      <c r="AM2637" s="10" t="str">
        <f>IFERROR(VLOOKUP(B2637,'Pre-Summary'!$BG$6:$BL$44,4,FALSE),"")</f>
        <v/>
      </c>
    </row>
    <row r="2638" spans="2:39" ht="15" customHeight="1" x14ac:dyDescent="0.3">
      <c r="B2638">
        <v>263.5</v>
      </c>
      <c r="C2638" t="str">
        <f>IFERROR(VLOOKUP(B2638,'Pre-Summary'!$DI$6:$DM$23,4,FALSE),"")</f>
        <v/>
      </c>
      <c r="D2638" s="10" t="str">
        <f>IFERROR(VLOOKUP(B2638,'Pre-Summary'!$AT$6:$AX$14,5,FALSE),D2637)</f>
        <v>Wolfe v3: went back to modified wolfe + EDTA and switched CuSO4 to CUCl2</v>
      </c>
      <c r="E2638" s="10" t="str">
        <f>IFERROR(VLOOKUP(B2638,'Pre-Summary'!$AT$6:$AX$15,4,FALSE),"")</f>
        <v/>
      </c>
      <c r="F2638">
        <f>IFERROR(VLOOKUP(B2638,'Pre-Summary'!$AL$6:$AQ$13,6,FALSE),F2637)</f>
        <v>5.9405263157894746E-2</v>
      </c>
      <c r="G2638" t="str">
        <f>IFERROR(VLOOKUP(B2638,'Pre-Summary'!$AE$6:$AJ$85,3,FALSE),"")</f>
        <v/>
      </c>
      <c r="H2638" t="str">
        <f>IFERROR(VLOOKUP(B2638,'Pre-Summary'!$AE$6:$AJ$85,4,FALSE),"")</f>
        <v/>
      </c>
      <c r="I2638" t="str">
        <f>IFERROR(VLOOKUP(B2638,'Pre-Summary'!$AE$6:$AJ$85,5,FALSE),"")</f>
        <v/>
      </c>
      <c r="J2638" s="45" t="str">
        <f>IFERROR(VLOOKUP(B2638,'Pre-Summary'!$AE$6:$AJ$85,6, FALSE),"")</f>
        <v/>
      </c>
      <c r="K2638" s="45" t="str">
        <f>IFERROR(VLOOKUP(B2638,'Pre-Summary'!$DE$6:$DG$61,3,FALSE),"")</f>
        <v/>
      </c>
      <c r="L2638" s="45" t="str">
        <f>IFERROR(VLOOKUP(B2638,'Pre-Summary'!$CU$6:$CW$36,3,FALSE),"")</f>
        <v/>
      </c>
      <c r="M2638" s="45" t="str">
        <f>IFERROR(VLOOKUP(B2638,'Pre-Summary'!$BW$6:$BY$58,2,FALSE),"")</f>
        <v/>
      </c>
      <c r="N2638" s="45" t="str">
        <f>IFERROR(VLOOKUP(B2638,'Pre-Summary'!$CD$6:$CF$64,2,FALSE),"")</f>
        <v/>
      </c>
      <c r="O2638" s="99">
        <f>IFERROR(VLOOKUP(B2638,'Pre-Summary'!$BO$6:$BQ$48,3, FALSE),O2637)</f>
        <v>1.83</v>
      </c>
      <c r="P2638" s="99">
        <f>IFERROR(VLOOKUP(B2638,'Pre-Summary'!$BS$6:$BU$35,3,FALSE),P2637)</f>
        <v>0.46200000000000002</v>
      </c>
      <c r="Q2638" s="54">
        <f t="shared" si="123"/>
        <v>3.9610389610389611</v>
      </c>
      <c r="R2638" s="53">
        <f>IFERROR(VLOOKUP(B2638,'Pre-Summary'!$BG$6:$BM$44,7,FALSE),R2639)</f>
        <v>0.10528059183238438</v>
      </c>
      <c r="S2638" s="53">
        <f>IFERROR(VLOOKUP(B2638,'Pre-Summary'!$BG$6:$BM$44,6,FALSE),S2639)</f>
        <v>0.10567591412599613</v>
      </c>
      <c r="T2638" s="45" t="str">
        <f>IFERROR(VLOOKUP(B2638,'Pre-Summary'!$Y$6:$AC$83, 3,FALSE),"")</f>
        <v/>
      </c>
      <c r="U2638" s="45" t="str">
        <f>IFERROR(VLOOKUP(B2638,'Pre-Summary'!$Y$6:$AC$83, 4,FALSE),"")</f>
        <v/>
      </c>
      <c r="V2638" t="str">
        <f>IFERROR(VLOOKUP(B2638,'Pre-Summary'!$Y$6:$AC$83, 5,FALSE),"")</f>
        <v/>
      </c>
      <c r="W2638" s="45" t="str">
        <f>IFERROR(VLOOKUP(B2638,'Pre-Summary'!$Y$6:$AD$83,6,FALSE),"")</f>
        <v/>
      </c>
      <c r="X2638" t="str">
        <f>IFERROR(VLOOKUP('Pre-Summary'!$DB$6:$DD$63,3,FALSE),"")</f>
        <v/>
      </c>
      <c r="Y2638" t="str">
        <f>IFERROR(VLOOKUP(B2638,'Pre-Summary'!$CR$6:$CT$36,3,FALSE),"")</f>
        <v/>
      </c>
      <c r="Z2638" s="45" t="str">
        <f>IFERROR(VLOOKUP(B2638,'Pre-Summary'!$BZ$6:$CB$63,2,FALSE),"")</f>
        <v/>
      </c>
      <c r="AA2638" s="45" t="str">
        <f>IFERROR(VLOOKUP(B2638,'Pre-Summary'!$CG$6:$CI$70,2,FALSE),"")</f>
        <v/>
      </c>
      <c r="AB2638" s="99">
        <f>IFERROR(VLOOKUP(B2638,'Pre-Summary'!$A$6:$P$178,9,FALSE),AB2639)</f>
        <v>0.43582647412843634</v>
      </c>
      <c r="AC2638" s="10">
        <f>IFERROR(VLOOKUP(Summary!B2638,'Pre-Summary'!$A$6:$P$184,5, FALSE)/100,AC2639)</f>
        <v>0.93941799999999998</v>
      </c>
      <c r="AD2638" s="10">
        <f>IFERROR(VLOOKUP(Summary!B2638,'Pre-Summary'!$A$6:$P$184,3, FALSE)/100,AD2639)</f>
        <v>4.8995666666666667E-2</v>
      </c>
      <c r="AE2638" s="10">
        <f>IFERROR(VLOOKUP(Summary!B2638,'Pre-Summary'!$A$6:$P$184,7, FALSE)/100,AE2639)</f>
        <v>1.1586666666666667E-2</v>
      </c>
      <c r="AF2638" s="99">
        <f t="shared" si="124"/>
        <v>2.1353608650905489E-2</v>
      </c>
      <c r="AG2638" s="99">
        <f t="shared" si="125"/>
        <v>5.0497760802348159E-3</v>
      </c>
      <c r="AH2638" s="10" t="str">
        <f>IFERROR(VLOOKUP(B2638,'Pre-Summary'!$AZ$6:$BE$65,3,FALSE),"")</f>
        <v/>
      </c>
      <c r="AI2638" s="10" t="str">
        <f>IFERROR(VLOOKUP(B2638,'Pre-Summary'!$AZ$6:$BE$65,5,FALSE),"")</f>
        <v/>
      </c>
      <c r="AJ2638" s="10" t="str">
        <f>IFERROR(VLOOKUP(B2638,'Pre-Summary'!$AZ$6:$BE$65,4,FALSE),"")</f>
        <v/>
      </c>
      <c r="AK2638" s="10" t="str">
        <f>IFERROR(VLOOKUP(B2638,'Pre-Summary'!$AZ$6:$BE$65,6,FALSE),"")</f>
        <v/>
      </c>
      <c r="AL2638" s="10" t="str">
        <f>IFERROR(VLOOKUP(B2638,'Pre-Summary'!$BG$6:$BL$44,3,FALSE),"")</f>
        <v/>
      </c>
      <c r="AM2638" s="10" t="str">
        <f>IFERROR(VLOOKUP(B2638,'Pre-Summary'!$BG$6:$BL$44,4,FALSE),"")</f>
        <v/>
      </c>
    </row>
    <row r="2639" spans="2:39" ht="15" customHeight="1" x14ac:dyDescent="0.3">
      <c r="B2639">
        <v>263.60000000000002</v>
      </c>
      <c r="C2639" t="str">
        <f>IFERROR(VLOOKUP(B2639,'Pre-Summary'!$DI$6:$DM$23,4,FALSE),"")</f>
        <v/>
      </c>
      <c r="D2639" s="10" t="str">
        <f>IFERROR(VLOOKUP(B2639,'Pre-Summary'!$AT$6:$AX$14,5,FALSE),D2638)</f>
        <v>Wolfe v3: went back to modified wolfe + EDTA and switched CuSO4 to CUCl2</v>
      </c>
      <c r="E2639" s="10" t="str">
        <f>IFERROR(VLOOKUP(B2639,'Pre-Summary'!$AT$6:$AX$15,4,FALSE),"")</f>
        <v/>
      </c>
      <c r="F2639">
        <f>IFERROR(VLOOKUP(B2639,'Pre-Summary'!$AL$6:$AQ$13,6,FALSE),F2638)</f>
        <v>5.9405263157894746E-2</v>
      </c>
      <c r="G2639" t="str">
        <f>IFERROR(VLOOKUP(B2639,'Pre-Summary'!$AE$6:$AJ$85,3,FALSE),"")</f>
        <v/>
      </c>
      <c r="H2639" t="str">
        <f>IFERROR(VLOOKUP(B2639,'Pre-Summary'!$AE$6:$AJ$85,4,FALSE),"")</f>
        <v/>
      </c>
      <c r="I2639" t="str">
        <f>IFERROR(VLOOKUP(B2639,'Pre-Summary'!$AE$6:$AJ$85,5,FALSE),"")</f>
        <v/>
      </c>
      <c r="J2639" s="45" t="str">
        <f>IFERROR(VLOOKUP(B2639,'Pre-Summary'!$AE$6:$AJ$85,6, FALSE),"")</f>
        <v/>
      </c>
      <c r="K2639" s="45" t="str">
        <f>IFERROR(VLOOKUP(B2639,'Pre-Summary'!$DE$6:$DG$61,3,FALSE),"")</f>
        <v/>
      </c>
      <c r="L2639" s="45" t="str">
        <f>IFERROR(VLOOKUP(B2639,'Pre-Summary'!$CU$6:$CW$36,3,FALSE),"")</f>
        <v/>
      </c>
      <c r="M2639" s="45" t="str">
        <f>IFERROR(VLOOKUP(B2639,'Pre-Summary'!$BW$6:$BY$58,2,FALSE),"")</f>
        <v/>
      </c>
      <c r="N2639" s="45" t="str">
        <f>IFERROR(VLOOKUP(B2639,'Pre-Summary'!$CD$6:$CF$64,2,FALSE),"")</f>
        <v/>
      </c>
      <c r="O2639" s="99">
        <f>IFERROR(VLOOKUP(B2639,'Pre-Summary'!$BO$6:$BQ$48,3, FALSE),O2638)</f>
        <v>1.83</v>
      </c>
      <c r="P2639" s="99">
        <f>IFERROR(VLOOKUP(B2639,'Pre-Summary'!$BS$6:$BU$35,3,FALSE),P2638)</f>
        <v>0.46200000000000002</v>
      </c>
      <c r="Q2639" s="54">
        <f t="shared" si="123"/>
        <v>3.9610389610389611</v>
      </c>
      <c r="R2639" s="53">
        <f>IFERROR(VLOOKUP(B2639,'Pre-Summary'!$BG$6:$BM$44,7,FALSE),R2640)</f>
        <v>0.10528059183238438</v>
      </c>
      <c r="S2639" s="53">
        <f>IFERROR(VLOOKUP(B2639,'Pre-Summary'!$BG$6:$BM$44,6,FALSE),S2640)</f>
        <v>0.10567591412599613</v>
      </c>
      <c r="T2639" s="45" t="str">
        <f>IFERROR(VLOOKUP(B2639,'Pre-Summary'!$Y$6:$AC$83, 3,FALSE),"")</f>
        <v/>
      </c>
      <c r="U2639" s="45" t="str">
        <f>IFERROR(VLOOKUP(B2639,'Pre-Summary'!$Y$6:$AC$83, 4,FALSE),"")</f>
        <v/>
      </c>
      <c r="V2639" t="str">
        <f>IFERROR(VLOOKUP(B2639,'Pre-Summary'!$Y$6:$AC$83, 5,FALSE),"")</f>
        <v/>
      </c>
      <c r="W2639" s="45" t="str">
        <f>IFERROR(VLOOKUP(B2639,'Pre-Summary'!$Y$6:$AD$83,6,FALSE),"")</f>
        <v/>
      </c>
      <c r="X2639" t="str">
        <f>IFERROR(VLOOKUP('Pre-Summary'!$DB$6:$DD$63,3,FALSE),"")</f>
        <v/>
      </c>
      <c r="Y2639" t="str">
        <f>IFERROR(VLOOKUP(B2639,'Pre-Summary'!$CR$6:$CT$36,3,FALSE),"")</f>
        <v/>
      </c>
      <c r="Z2639" s="45" t="str">
        <f>IFERROR(VLOOKUP(B2639,'Pre-Summary'!$BZ$6:$CB$63,2,FALSE),"")</f>
        <v/>
      </c>
      <c r="AA2639" s="45" t="str">
        <f>IFERROR(VLOOKUP(B2639,'Pre-Summary'!$CG$6:$CI$70,2,FALSE),"")</f>
        <v/>
      </c>
      <c r="AB2639" s="99">
        <f>IFERROR(VLOOKUP(B2639,'Pre-Summary'!$A$6:$P$178,9,FALSE),AB2640)</f>
        <v>0.43582647412843634</v>
      </c>
      <c r="AC2639" s="10">
        <f>IFERROR(VLOOKUP(Summary!B2639,'Pre-Summary'!$A$6:$P$184,5, FALSE)/100,AC2640)</f>
        <v>0.93941799999999998</v>
      </c>
      <c r="AD2639" s="10">
        <f>IFERROR(VLOOKUP(Summary!B2639,'Pre-Summary'!$A$6:$P$184,3, FALSE)/100,AD2640)</f>
        <v>4.8995666666666667E-2</v>
      </c>
      <c r="AE2639" s="10">
        <f>IFERROR(VLOOKUP(Summary!B2639,'Pre-Summary'!$A$6:$P$184,7, FALSE)/100,AE2640)</f>
        <v>1.1586666666666667E-2</v>
      </c>
      <c r="AF2639" s="99">
        <f t="shared" si="124"/>
        <v>2.1353608650905489E-2</v>
      </c>
      <c r="AG2639" s="99">
        <f t="shared" si="125"/>
        <v>5.0497760802348159E-3</v>
      </c>
      <c r="AH2639" s="10" t="str">
        <f>IFERROR(VLOOKUP(B2639,'Pre-Summary'!$AZ$6:$BE$65,3,FALSE),"")</f>
        <v/>
      </c>
      <c r="AI2639" s="10" t="str">
        <f>IFERROR(VLOOKUP(B2639,'Pre-Summary'!$AZ$6:$BE$65,5,FALSE),"")</f>
        <v/>
      </c>
      <c r="AJ2639" s="10" t="str">
        <f>IFERROR(VLOOKUP(B2639,'Pre-Summary'!$AZ$6:$BE$65,4,FALSE),"")</f>
        <v/>
      </c>
      <c r="AK2639" s="10" t="str">
        <f>IFERROR(VLOOKUP(B2639,'Pre-Summary'!$AZ$6:$BE$65,6,FALSE),"")</f>
        <v/>
      </c>
      <c r="AL2639" s="10" t="str">
        <f>IFERROR(VLOOKUP(B2639,'Pre-Summary'!$BG$6:$BL$44,3,FALSE),"")</f>
        <v/>
      </c>
      <c r="AM2639" s="10" t="str">
        <f>IFERROR(VLOOKUP(B2639,'Pre-Summary'!$BG$6:$BL$44,4,FALSE),"")</f>
        <v/>
      </c>
    </row>
    <row r="2640" spans="2:39" ht="15" customHeight="1" x14ac:dyDescent="0.3">
      <c r="B2640">
        <v>263.7</v>
      </c>
      <c r="C2640" t="str">
        <f>IFERROR(VLOOKUP(B2640,'Pre-Summary'!$DI$6:$DM$23,4,FALSE),"")</f>
        <v/>
      </c>
      <c r="D2640" s="10" t="str">
        <f>IFERROR(VLOOKUP(B2640,'Pre-Summary'!$AT$6:$AX$14,5,FALSE),D2639)</f>
        <v>Wolfe v3: went back to modified wolfe + EDTA and switched CuSO4 to CUCl2</v>
      </c>
      <c r="E2640" s="10" t="str">
        <f>IFERROR(VLOOKUP(B2640,'Pre-Summary'!$AT$6:$AX$15,4,FALSE),"")</f>
        <v/>
      </c>
      <c r="F2640">
        <f>IFERROR(VLOOKUP(B2640,'Pre-Summary'!$AL$6:$AQ$13,6,FALSE),F2639)</f>
        <v>5.9405263157894746E-2</v>
      </c>
      <c r="G2640" t="str">
        <f>IFERROR(VLOOKUP(B2640,'Pre-Summary'!$AE$6:$AJ$85,3,FALSE),"")</f>
        <v/>
      </c>
      <c r="H2640" t="str">
        <f>IFERROR(VLOOKUP(B2640,'Pre-Summary'!$AE$6:$AJ$85,4,FALSE),"")</f>
        <v/>
      </c>
      <c r="I2640" t="str">
        <f>IFERROR(VLOOKUP(B2640,'Pre-Summary'!$AE$6:$AJ$85,5,FALSE),"")</f>
        <v/>
      </c>
      <c r="J2640" s="45" t="str">
        <f>IFERROR(VLOOKUP(B2640,'Pre-Summary'!$AE$6:$AJ$85,6, FALSE),"")</f>
        <v/>
      </c>
      <c r="K2640" s="45" t="str">
        <f>IFERROR(VLOOKUP(B2640,'Pre-Summary'!$DE$6:$DG$61,3,FALSE),"")</f>
        <v/>
      </c>
      <c r="L2640" s="45" t="str">
        <f>IFERROR(VLOOKUP(B2640,'Pre-Summary'!$CU$6:$CW$36,3,FALSE),"")</f>
        <v/>
      </c>
      <c r="M2640" s="45" t="str">
        <f>IFERROR(VLOOKUP(B2640,'Pre-Summary'!$BW$6:$BY$58,2,FALSE),"")</f>
        <v/>
      </c>
      <c r="N2640" s="45" t="str">
        <f>IFERROR(VLOOKUP(B2640,'Pre-Summary'!$CD$6:$CF$64,2,FALSE),"")</f>
        <v/>
      </c>
      <c r="O2640" s="99">
        <f>IFERROR(VLOOKUP(B2640,'Pre-Summary'!$BO$6:$BQ$48,3, FALSE),O2639)</f>
        <v>1.83</v>
      </c>
      <c r="P2640" s="99">
        <f>IFERROR(VLOOKUP(B2640,'Pre-Summary'!$BS$6:$BU$35,3,FALSE),P2639)</f>
        <v>0.46200000000000002</v>
      </c>
      <c r="Q2640" s="54">
        <f t="shared" si="123"/>
        <v>3.9610389610389611</v>
      </c>
      <c r="R2640" s="53">
        <f>IFERROR(VLOOKUP(B2640,'Pre-Summary'!$BG$6:$BM$44,7,FALSE),R2641)</f>
        <v>0.10528059183238438</v>
      </c>
      <c r="S2640" s="53">
        <f>IFERROR(VLOOKUP(B2640,'Pre-Summary'!$BG$6:$BM$44,6,FALSE),S2641)</f>
        <v>0.10567591412599613</v>
      </c>
      <c r="T2640" s="45" t="str">
        <f>IFERROR(VLOOKUP(B2640,'Pre-Summary'!$Y$6:$AC$83, 3,FALSE),"")</f>
        <v/>
      </c>
      <c r="U2640" s="45" t="str">
        <f>IFERROR(VLOOKUP(B2640,'Pre-Summary'!$Y$6:$AC$83, 4,FALSE),"")</f>
        <v/>
      </c>
      <c r="V2640" t="str">
        <f>IFERROR(VLOOKUP(B2640,'Pre-Summary'!$Y$6:$AC$83, 5,FALSE),"")</f>
        <v/>
      </c>
      <c r="W2640" s="45" t="str">
        <f>IFERROR(VLOOKUP(B2640,'Pre-Summary'!$Y$6:$AD$83,6,FALSE),"")</f>
        <v/>
      </c>
      <c r="X2640" t="str">
        <f>IFERROR(VLOOKUP('Pre-Summary'!$DB$6:$DD$63,3,FALSE),"")</f>
        <v/>
      </c>
      <c r="Y2640" t="str">
        <f>IFERROR(VLOOKUP(B2640,'Pre-Summary'!$CR$6:$CT$36,3,FALSE),"")</f>
        <v/>
      </c>
      <c r="Z2640" s="45" t="str">
        <f>IFERROR(VLOOKUP(B2640,'Pre-Summary'!$BZ$6:$CB$63,2,FALSE),"")</f>
        <v/>
      </c>
      <c r="AA2640" s="45" t="str">
        <f>IFERROR(VLOOKUP(B2640,'Pre-Summary'!$CG$6:$CI$70,2,FALSE),"")</f>
        <v/>
      </c>
      <c r="AB2640" s="99">
        <f>IFERROR(VLOOKUP(B2640,'Pre-Summary'!$A$6:$P$178,9,FALSE),AB2641)</f>
        <v>0.43582647412843634</v>
      </c>
      <c r="AC2640" s="10">
        <f>IFERROR(VLOOKUP(Summary!B2640,'Pre-Summary'!$A$6:$P$184,5, FALSE)/100,AC2641)</f>
        <v>0.93941799999999998</v>
      </c>
      <c r="AD2640" s="10">
        <f>IFERROR(VLOOKUP(Summary!B2640,'Pre-Summary'!$A$6:$P$184,3, FALSE)/100,AD2641)</f>
        <v>4.8995666666666667E-2</v>
      </c>
      <c r="AE2640" s="10">
        <f>IFERROR(VLOOKUP(Summary!B2640,'Pre-Summary'!$A$6:$P$184,7, FALSE)/100,AE2641)</f>
        <v>1.1586666666666667E-2</v>
      </c>
      <c r="AF2640" s="99">
        <f t="shared" si="124"/>
        <v>2.1353608650905489E-2</v>
      </c>
      <c r="AG2640" s="99">
        <f t="shared" si="125"/>
        <v>5.0497760802348159E-3</v>
      </c>
      <c r="AH2640" s="10" t="str">
        <f>IFERROR(VLOOKUP(B2640,'Pre-Summary'!$AZ$6:$BE$65,3,FALSE),"")</f>
        <v/>
      </c>
      <c r="AI2640" s="10" t="str">
        <f>IFERROR(VLOOKUP(B2640,'Pre-Summary'!$AZ$6:$BE$65,5,FALSE),"")</f>
        <v/>
      </c>
      <c r="AJ2640" s="10" t="str">
        <f>IFERROR(VLOOKUP(B2640,'Pre-Summary'!$AZ$6:$BE$65,4,FALSE),"")</f>
        <v/>
      </c>
      <c r="AK2640" s="10" t="str">
        <f>IFERROR(VLOOKUP(B2640,'Pre-Summary'!$AZ$6:$BE$65,6,FALSE),"")</f>
        <v/>
      </c>
      <c r="AL2640" s="10" t="str">
        <f>IFERROR(VLOOKUP(B2640,'Pre-Summary'!$BG$6:$BL$44,3,FALSE),"")</f>
        <v/>
      </c>
      <c r="AM2640" s="10" t="str">
        <f>IFERROR(VLOOKUP(B2640,'Pre-Summary'!$BG$6:$BL$44,4,FALSE),"")</f>
        <v/>
      </c>
    </row>
    <row r="2641" spans="2:39" ht="15" customHeight="1" x14ac:dyDescent="0.3">
      <c r="B2641">
        <v>263.8</v>
      </c>
      <c r="C2641" t="str">
        <f>IFERROR(VLOOKUP(B2641,'Pre-Summary'!$DI$6:$DM$23,4,FALSE),"")</f>
        <v/>
      </c>
      <c r="D2641" s="10" t="str">
        <f>IFERROR(VLOOKUP(B2641,'Pre-Summary'!$AT$6:$AX$14,5,FALSE),D2640)</f>
        <v>Wolfe v3: went back to modified wolfe + EDTA and switched CuSO4 to CUCl2</v>
      </c>
      <c r="E2641" s="10" t="str">
        <f>IFERROR(VLOOKUP(B2641,'Pre-Summary'!$AT$6:$AX$15,4,FALSE),"")</f>
        <v/>
      </c>
      <c r="F2641">
        <f>IFERROR(VLOOKUP(B2641,'Pre-Summary'!$AL$6:$AQ$13,6,FALSE),F2640)</f>
        <v>5.9405263157894746E-2</v>
      </c>
      <c r="G2641" t="str">
        <f>IFERROR(VLOOKUP(B2641,'Pre-Summary'!$AE$6:$AJ$85,3,FALSE),"")</f>
        <v/>
      </c>
      <c r="H2641" t="str">
        <f>IFERROR(VLOOKUP(B2641,'Pre-Summary'!$AE$6:$AJ$85,4,FALSE),"")</f>
        <v/>
      </c>
      <c r="I2641" t="str">
        <f>IFERROR(VLOOKUP(B2641,'Pre-Summary'!$AE$6:$AJ$85,5,FALSE),"")</f>
        <v/>
      </c>
      <c r="J2641" s="45" t="str">
        <f>IFERROR(VLOOKUP(B2641,'Pre-Summary'!$AE$6:$AJ$85,6, FALSE),"")</f>
        <v/>
      </c>
      <c r="K2641" s="45" t="str">
        <f>IFERROR(VLOOKUP(B2641,'Pre-Summary'!$DE$6:$DG$61,3,FALSE),"")</f>
        <v/>
      </c>
      <c r="L2641" s="45" t="str">
        <f>IFERROR(VLOOKUP(B2641,'Pre-Summary'!$CU$6:$CW$36,3,FALSE),"")</f>
        <v/>
      </c>
      <c r="M2641" s="45" t="str">
        <f>IFERROR(VLOOKUP(B2641,'Pre-Summary'!$BW$6:$BY$58,2,FALSE),"")</f>
        <v/>
      </c>
      <c r="N2641" s="45" t="str">
        <f>IFERROR(VLOOKUP(B2641,'Pre-Summary'!$CD$6:$CF$64,2,FALSE),"")</f>
        <v/>
      </c>
      <c r="O2641" s="99">
        <f>IFERROR(VLOOKUP(B2641,'Pre-Summary'!$BO$6:$BQ$48,3, FALSE),O2640)</f>
        <v>1.83</v>
      </c>
      <c r="P2641" s="99">
        <f>IFERROR(VLOOKUP(B2641,'Pre-Summary'!$BS$6:$BU$35,3,FALSE),P2640)</f>
        <v>0.46200000000000002</v>
      </c>
      <c r="Q2641" s="54">
        <f t="shared" si="123"/>
        <v>3.9610389610389611</v>
      </c>
      <c r="R2641" s="53">
        <f>IFERROR(VLOOKUP(B2641,'Pre-Summary'!$BG$6:$BM$44,7,FALSE),R2642)</f>
        <v>0.10528059183238438</v>
      </c>
      <c r="S2641" s="53">
        <f>IFERROR(VLOOKUP(B2641,'Pre-Summary'!$BG$6:$BM$44,6,FALSE),S2642)</f>
        <v>0.10567591412599613</v>
      </c>
      <c r="T2641" s="45" t="str">
        <f>IFERROR(VLOOKUP(B2641,'Pre-Summary'!$Y$6:$AC$83, 3,FALSE),"")</f>
        <v/>
      </c>
      <c r="U2641" s="45" t="str">
        <f>IFERROR(VLOOKUP(B2641,'Pre-Summary'!$Y$6:$AC$83, 4,FALSE),"")</f>
        <v/>
      </c>
      <c r="V2641" t="str">
        <f>IFERROR(VLOOKUP(B2641,'Pre-Summary'!$Y$6:$AC$83, 5,FALSE),"")</f>
        <v/>
      </c>
      <c r="W2641" s="45" t="str">
        <f>IFERROR(VLOOKUP(B2641,'Pre-Summary'!$Y$6:$AD$83,6,FALSE),"")</f>
        <v/>
      </c>
      <c r="X2641" t="str">
        <f>IFERROR(VLOOKUP('Pre-Summary'!$DB$6:$DD$63,3,FALSE),"")</f>
        <v/>
      </c>
      <c r="Y2641" t="str">
        <f>IFERROR(VLOOKUP(B2641,'Pre-Summary'!$CR$6:$CT$36,3,FALSE),"")</f>
        <v/>
      </c>
      <c r="Z2641" s="45" t="str">
        <f>IFERROR(VLOOKUP(B2641,'Pre-Summary'!$BZ$6:$CB$63,2,FALSE),"")</f>
        <v/>
      </c>
      <c r="AA2641" s="45" t="str">
        <f>IFERROR(VLOOKUP(B2641,'Pre-Summary'!$CG$6:$CI$70,2,FALSE),"")</f>
        <v/>
      </c>
      <c r="AB2641" s="99">
        <f>IFERROR(VLOOKUP(B2641,'Pre-Summary'!$A$6:$P$178,9,FALSE),AB2642)</f>
        <v>0.43582647412843634</v>
      </c>
      <c r="AC2641" s="10">
        <f>IFERROR(VLOOKUP(Summary!B2641,'Pre-Summary'!$A$6:$P$184,5, FALSE)/100,AC2642)</f>
        <v>0.93941799999999998</v>
      </c>
      <c r="AD2641" s="10">
        <f>IFERROR(VLOOKUP(Summary!B2641,'Pre-Summary'!$A$6:$P$184,3, FALSE)/100,AD2642)</f>
        <v>4.8995666666666667E-2</v>
      </c>
      <c r="AE2641" s="10">
        <f>IFERROR(VLOOKUP(Summary!B2641,'Pre-Summary'!$A$6:$P$184,7, FALSE)/100,AE2642)</f>
        <v>1.1586666666666667E-2</v>
      </c>
      <c r="AF2641" s="99">
        <f t="shared" si="124"/>
        <v>2.1353608650905489E-2</v>
      </c>
      <c r="AG2641" s="99">
        <f t="shared" si="125"/>
        <v>5.0497760802348159E-3</v>
      </c>
      <c r="AH2641" s="10" t="str">
        <f>IFERROR(VLOOKUP(B2641,'Pre-Summary'!$AZ$6:$BE$65,3,FALSE),"")</f>
        <v/>
      </c>
      <c r="AI2641" s="10" t="str">
        <f>IFERROR(VLOOKUP(B2641,'Pre-Summary'!$AZ$6:$BE$65,5,FALSE),"")</f>
        <v/>
      </c>
      <c r="AJ2641" s="10" t="str">
        <f>IFERROR(VLOOKUP(B2641,'Pre-Summary'!$AZ$6:$BE$65,4,FALSE),"")</f>
        <v/>
      </c>
      <c r="AK2641" s="10" t="str">
        <f>IFERROR(VLOOKUP(B2641,'Pre-Summary'!$AZ$6:$BE$65,6,FALSE),"")</f>
        <v/>
      </c>
      <c r="AL2641" s="10" t="str">
        <f>IFERROR(VLOOKUP(B2641,'Pre-Summary'!$BG$6:$BL$44,3,FALSE),"")</f>
        <v/>
      </c>
      <c r="AM2641" s="10" t="str">
        <f>IFERROR(VLOOKUP(B2641,'Pre-Summary'!$BG$6:$BL$44,4,FALSE),"")</f>
        <v/>
      </c>
    </row>
    <row r="2642" spans="2:39" ht="15" customHeight="1" x14ac:dyDescent="0.3">
      <c r="B2642">
        <v>263.89999999999998</v>
      </c>
      <c r="C2642" t="str">
        <f>IFERROR(VLOOKUP(B2642,'Pre-Summary'!$DI$6:$DM$23,4,FALSE),"")</f>
        <v/>
      </c>
      <c r="D2642" s="10" t="str">
        <f>IFERROR(VLOOKUP(B2642,'Pre-Summary'!$AT$6:$AX$14,5,FALSE),D2641)</f>
        <v>Wolfe v3: went back to modified wolfe + EDTA and switched CuSO4 to CUCl2</v>
      </c>
      <c r="E2642" s="10" t="str">
        <f>IFERROR(VLOOKUP(B2642,'Pre-Summary'!$AT$6:$AX$15,4,FALSE),"")</f>
        <v/>
      </c>
      <c r="F2642">
        <f>IFERROR(VLOOKUP(B2642,'Pre-Summary'!$AL$6:$AQ$13,6,FALSE),F2641)</f>
        <v>5.9405263157894746E-2</v>
      </c>
      <c r="G2642" t="str">
        <f>IFERROR(VLOOKUP(B2642,'Pre-Summary'!$AE$6:$AJ$85,3,FALSE),"")</f>
        <v/>
      </c>
      <c r="H2642" t="str">
        <f>IFERROR(VLOOKUP(B2642,'Pre-Summary'!$AE$6:$AJ$85,4,FALSE),"")</f>
        <v/>
      </c>
      <c r="I2642" t="str">
        <f>IFERROR(VLOOKUP(B2642,'Pre-Summary'!$AE$6:$AJ$85,5,FALSE),"")</f>
        <v/>
      </c>
      <c r="J2642" s="45" t="str">
        <f>IFERROR(VLOOKUP(B2642,'Pre-Summary'!$AE$6:$AJ$85,6, FALSE),"")</f>
        <v/>
      </c>
      <c r="K2642" s="45" t="str">
        <f>IFERROR(VLOOKUP(B2642,'Pre-Summary'!$DE$6:$DG$61,3,FALSE),"")</f>
        <v/>
      </c>
      <c r="L2642" s="45" t="str">
        <f>IFERROR(VLOOKUP(B2642,'Pre-Summary'!$CU$6:$CW$36,3,FALSE),"")</f>
        <v/>
      </c>
      <c r="M2642" s="45" t="str">
        <f>IFERROR(VLOOKUP(B2642,'Pre-Summary'!$BW$6:$BY$58,2,FALSE),"")</f>
        <v/>
      </c>
      <c r="N2642" s="45" t="str">
        <f>IFERROR(VLOOKUP(B2642,'Pre-Summary'!$CD$6:$CF$64,2,FALSE),"")</f>
        <v/>
      </c>
      <c r="O2642" s="99">
        <f>IFERROR(VLOOKUP(B2642,'Pre-Summary'!$BO$6:$BQ$48,3, FALSE),O2641)</f>
        <v>1.83</v>
      </c>
      <c r="P2642" s="99">
        <f>IFERROR(VLOOKUP(B2642,'Pre-Summary'!$BS$6:$BU$35,3,FALSE),P2641)</f>
        <v>0.46200000000000002</v>
      </c>
      <c r="Q2642" s="54">
        <f t="shared" si="123"/>
        <v>3.9610389610389611</v>
      </c>
      <c r="R2642" s="53">
        <f>IFERROR(VLOOKUP(B2642,'Pre-Summary'!$BG$6:$BM$44,7,FALSE),R2643)</f>
        <v>0.10528059183238438</v>
      </c>
      <c r="S2642" s="53">
        <f>IFERROR(VLOOKUP(B2642,'Pre-Summary'!$BG$6:$BM$44,6,FALSE),S2643)</f>
        <v>0.10567591412599613</v>
      </c>
      <c r="T2642" s="45" t="str">
        <f>IFERROR(VLOOKUP(B2642,'Pre-Summary'!$Y$6:$AC$83, 3,FALSE),"")</f>
        <v/>
      </c>
      <c r="U2642" s="45" t="str">
        <f>IFERROR(VLOOKUP(B2642,'Pre-Summary'!$Y$6:$AC$83, 4,FALSE),"")</f>
        <v/>
      </c>
      <c r="V2642" t="str">
        <f>IFERROR(VLOOKUP(B2642,'Pre-Summary'!$Y$6:$AC$83, 5,FALSE),"")</f>
        <v/>
      </c>
      <c r="W2642" s="45" t="str">
        <f>IFERROR(VLOOKUP(B2642,'Pre-Summary'!$Y$6:$AD$83,6,FALSE),"")</f>
        <v/>
      </c>
      <c r="X2642" t="str">
        <f>IFERROR(VLOOKUP('Pre-Summary'!$DB$6:$DD$63,3,FALSE),"")</f>
        <v/>
      </c>
      <c r="Y2642" t="str">
        <f>IFERROR(VLOOKUP(B2642,'Pre-Summary'!$CR$6:$CT$36,3,FALSE),"")</f>
        <v/>
      </c>
      <c r="Z2642" s="45" t="str">
        <f>IFERROR(VLOOKUP(B2642,'Pre-Summary'!$BZ$6:$CB$63,2,FALSE),"")</f>
        <v/>
      </c>
      <c r="AA2642" s="45" t="str">
        <f>IFERROR(VLOOKUP(B2642,'Pre-Summary'!$CG$6:$CI$70,2,FALSE),"")</f>
        <v/>
      </c>
      <c r="AB2642" s="99">
        <f>IFERROR(VLOOKUP(B2642,'Pre-Summary'!$A$6:$P$178,9,FALSE),AB2643)</f>
        <v>0.43582647412843634</v>
      </c>
      <c r="AC2642" s="10">
        <f>IFERROR(VLOOKUP(Summary!B2642,'Pre-Summary'!$A$6:$P$184,5, FALSE)/100,AC2643)</f>
        <v>0.93941799999999998</v>
      </c>
      <c r="AD2642" s="10">
        <f>IFERROR(VLOOKUP(Summary!B2642,'Pre-Summary'!$A$6:$P$184,3, FALSE)/100,AD2643)</f>
        <v>4.8995666666666667E-2</v>
      </c>
      <c r="AE2642" s="10">
        <f>IFERROR(VLOOKUP(Summary!B2642,'Pre-Summary'!$A$6:$P$184,7, FALSE)/100,AE2643)</f>
        <v>1.1586666666666667E-2</v>
      </c>
      <c r="AF2642" s="99">
        <f t="shared" si="124"/>
        <v>2.1353608650905489E-2</v>
      </c>
      <c r="AG2642" s="99">
        <f t="shared" si="125"/>
        <v>5.0497760802348159E-3</v>
      </c>
      <c r="AH2642" s="10" t="str">
        <f>IFERROR(VLOOKUP(B2642,'Pre-Summary'!$AZ$6:$BE$65,3,FALSE),"")</f>
        <v/>
      </c>
      <c r="AI2642" s="10" t="str">
        <f>IFERROR(VLOOKUP(B2642,'Pre-Summary'!$AZ$6:$BE$65,5,FALSE),"")</f>
        <v/>
      </c>
      <c r="AJ2642" s="10" t="str">
        <f>IFERROR(VLOOKUP(B2642,'Pre-Summary'!$AZ$6:$BE$65,4,FALSE),"")</f>
        <v/>
      </c>
      <c r="AK2642" s="10" t="str">
        <f>IFERROR(VLOOKUP(B2642,'Pre-Summary'!$AZ$6:$BE$65,6,FALSE),"")</f>
        <v/>
      </c>
      <c r="AL2642" s="10" t="str">
        <f>IFERROR(VLOOKUP(B2642,'Pre-Summary'!$BG$6:$BL$44,3,FALSE),"")</f>
        <v/>
      </c>
      <c r="AM2642" s="10" t="str">
        <f>IFERROR(VLOOKUP(B2642,'Pre-Summary'!$BG$6:$BL$44,4,FALSE),"")</f>
        <v/>
      </c>
    </row>
    <row r="2643" spans="2:39" ht="15" customHeight="1" x14ac:dyDescent="0.3">
      <c r="B2643">
        <v>264</v>
      </c>
      <c r="C2643" t="str">
        <f>IFERROR(VLOOKUP(B2643,'Pre-Summary'!$DI$6:$DM$23,4,FALSE),"")</f>
        <v/>
      </c>
      <c r="D2643" s="10" t="str">
        <f>IFERROR(VLOOKUP(B2643,'Pre-Summary'!$AT$6:$AX$14,5,FALSE),D2642)</f>
        <v>Wolfe v3: went back to modified wolfe + EDTA and switched CuSO4 to CUCl2</v>
      </c>
      <c r="E2643" s="10" t="str">
        <f>IFERROR(VLOOKUP(B2643,'Pre-Summary'!$AT$6:$AX$15,4,FALSE),"")</f>
        <v/>
      </c>
      <c r="F2643">
        <f>IFERROR(VLOOKUP(B2643,'Pre-Summary'!$AL$6:$AQ$13,6,FALSE),F2642)</f>
        <v>5.9405263157894746E-2</v>
      </c>
      <c r="G2643" t="str">
        <f>IFERROR(VLOOKUP(B2643,'Pre-Summary'!$AE$6:$AJ$85,3,FALSE),"")</f>
        <v/>
      </c>
      <c r="H2643" t="str">
        <f>IFERROR(VLOOKUP(B2643,'Pre-Summary'!$AE$6:$AJ$85,4,FALSE),"")</f>
        <v/>
      </c>
      <c r="I2643" t="str">
        <f>IFERROR(VLOOKUP(B2643,'Pre-Summary'!$AE$6:$AJ$85,5,FALSE),"")</f>
        <v/>
      </c>
      <c r="J2643" s="45" t="str">
        <f>IFERROR(VLOOKUP(B2643,'Pre-Summary'!$AE$6:$AJ$85,6, FALSE),"")</f>
        <v/>
      </c>
      <c r="K2643" s="45" t="str">
        <f>IFERROR(VLOOKUP(B2643,'Pre-Summary'!$DE$6:$DG$61,3,FALSE),"")</f>
        <v/>
      </c>
      <c r="L2643" s="45" t="str">
        <f>IFERROR(VLOOKUP(B2643,'Pre-Summary'!$CU$6:$CW$36,3,FALSE),"")</f>
        <v/>
      </c>
      <c r="M2643" s="45" t="str">
        <f>IFERROR(VLOOKUP(B2643,'Pre-Summary'!$BW$6:$BY$58,2,FALSE),"")</f>
        <v/>
      </c>
      <c r="N2643" s="45" t="str">
        <f>IFERROR(VLOOKUP(B2643,'Pre-Summary'!$CD$6:$CF$64,2,FALSE),"")</f>
        <v/>
      </c>
      <c r="O2643" s="99">
        <f>IFERROR(VLOOKUP(B2643,'Pre-Summary'!$BO$6:$BQ$48,3, FALSE),O2642)</f>
        <v>1.83</v>
      </c>
      <c r="P2643" s="99">
        <f>IFERROR(VLOOKUP(B2643,'Pre-Summary'!$BS$6:$BU$35,3,FALSE),P2642)</f>
        <v>0.46200000000000002</v>
      </c>
      <c r="Q2643" s="54">
        <f t="shared" si="123"/>
        <v>3.9610389610389611</v>
      </c>
      <c r="R2643" s="53">
        <f>IFERROR(VLOOKUP(B2643,'Pre-Summary'!$BG$6:$BM$44,7,FALSE),R2644)</f>
        <v>0.10528059183238438</v>
      </c>
      <c r="S2643" s="53">
        <f>IFERROR(VLOOKUP(B2643,'Pre-Summary'!$BG$6:$BM$44,6,FALSE),S2644)</f>
        <v>0.10567591412599613</v>
      </c>
      <c r="T2643" s="45" t="str">
        <f>IFERROR(VLOOKUP(B2643,'Pre-Summary'!$Y$6:$AC$83, 3,FALSE),"")</f>
        <v/>
      </c>
      <c r="U2643" s="45" t="str">
        <f>IFERROR(VLOOKUP(B2643,'Pre-Summary'!$Y$6:$AC$83, 4,FALSE),"")</f>
        <v/>
      </c>
      <c r="V2643" t="str">
        <f>IFERROR(VLOOKUP(B2643,'Pre-Summary'!$Y$6:$AC$83, 5,FALSE),"")</f>
        <v/>
      </c>
      <c r="W2643" s="45" t="str">
        <f>IFERROR(VLOOKUP(B2643,'Pre-Summary'!$Y$6:$AD$83,6,FALSE),"")</f>
        <v/>
      </c>
      <c r="X2643" t="str">
        <f>IFERROR(VLOOKUP('Pre-Summary'!$DB$6:$DD$63,3,FALSE),"")</f>
        <v/>
      </c>
      <c r="Y2643" t="str">
        <f>IFERROR(VLOOKUP(B2643,'Pre-Summary'!$CR$6:$CT$36,3,FALSE),"")</f>
        <v/>
      </c>
      <c r="Z2643" s="45" t="str">
        <f>IFERROR(VLOOKUP(B2643,'Pre-Summary'!$BZ$6:$CB$63,2,FALSE),"")</f>
        <v/>
      </c>
      <c r="AA2643" s="45" t="str">
        <f>IFERROR(VLOOKUP(B2643,'Pre-Summary'!$CG$6:$CI$70,2,FALSE),"")</f>
        <v/>
      </c>
      <c r="AB2643" s="99">
        <f>IFERROR(VLOOKUP(B2643,'Pre-Summary'!$A$6:$P$178,9,FALSE),AB2644)</f>
        <v>0.43582647412843634</v>
      </c>
      <c r="AC2643" s="10">
        <f>IFERROR(VLOOKUP(Summary!B2643,'Pre-Summary'!$A$6:$P$184,5, FALSE)/100,AC2644)</f>
        <v>0.93941799999999998</v>
      </c>
      <c r="AD2643" s="10">
        <f>IFERROR(VLOOKUP(Summary!B2643,'Pre-Summary'!$A$6:$P$184,3, FALSE)/100,AD2644)</f>
        <v>4.8995666666666667E-2</v>
      </c>
      <c r="AE2643" s="10">
        <f>IFERROR(VLOOKUP(Summary!B2643,'Pre-Summary'!$A$6:$P$184,7, FALSE)/100,AE2644)</f>
        <v>1.1586666666666667E-2</v>
      </c>
      <c r="AF2643" s="99">
        <f t="shared" si="124"/>
        <v>2.1353608650905489E-2</v>
      </c>
      <c r="AG2643" s="99">
        <f t="shared" si="125"/>
        <v>5.0497760802348159E-3</v>
      </c>
      <c r="AH2643" s="10" t="str">
        <f>IFERROR(VLOOKUP(B2643,'Pre-Summary'!$AZ$6:$BE$65,3,FALSE),"")</f>
        <v/>
      </c>
      <c r="AI2643" s="10" t="str">
        <f>IFERROR(VLOOKUP(B2643,'Pre-Summary'!$AZ$6:$BE$65,5,FALSE),"")</f>
        <v/>
      </c>
      <c r="AJ2643" s="10" t="str">
        <f>IFERROR(VLOOKUP(B2643,'Pre-Summary'!$AZ$6:$BE$65,4,FALSE),"")</f>
        <v/>
      </c>
      <c r="AK2643" s="10" t="str">
        <f>IFERROR(VLOOKUP(B2643,'Pre-Summary'!$AZ$6:$BE$65,6,FALSE),"")</f>
        <v/>
      </c>
      <c r="AL2643" s="10" t="str">
        <f>IFERROR(VLOOKUP(B2643,'Pre-Summary'!$BG$6:$BL$44,3,FALSE),"")</f>
        <v/>
      </c>
      <c r="AM2643" s="10" t="str">
        <f>IFERROR(VLOOKUP(B2643,'Pre-Summary'!$BG$6:$BL$44,4,FALSE),"")</f>
        <v/>
      </c>
    </row>
    <row r="2644" spans="2:39" ht="15" customHeight="1" x14ac:dyDescent="0.3">
      <c r="B2644">
        <v>264.10000000000002</v>
      </c>
      <c r="C2644" t="str">
        <f>IFERROR(VLOOKUP(B2644,'Pre-Summary'!$DI$6:$DM$23,4,FALSE),"")</f>
        <v/>
      </c>
      <c r="D2644" s="10" t="str">
        <f>IFERROR(VLOOKUP(B2644,'Pre-Summary'!$AT$6:$AX$14,5,FALSE),D2643)</f>
        <v>Wolfe v3: went back to modified wolfe + EDTA and switched CuSO4 to CUCl2</v>
      </c>
      <c r="E2644" s="10" t="str">
        <f>IFERROR(VLOOKUP(B2644,'Pre-Summary'!$AT$6:$AX$15,4,FALSE),"")</f>
        <v/>
      </c>
      <c r="F2644">
        <f>IFERROR(VLOOKUP(B2644,'Pre-Summary'!$AL$6:$AQ$13,6,FALSE),F2643)</f>
        <v>5.9405263157894746E-2</v>
      </c>
      <c r="G2644" t="str">
        <f>IFERROR(VLOOKUP(B2644,'Pre-Summary'!$AE$6:$AJ$85,3,FALSE),"")</f>
        <v/>
      </c>
      <c r="H2644" t="str">
        <f>IFERROR(VLOOKUP(B2644,'Pre-Summary'!$AE$6:$AJ$85,4,FALSE),"")</f>
        <v/>
      </c>
      <c r="I2644" t="str">
        <f>IFERROR(VLOOKUP(B2644,'Pre-Summary'!$AE$6:$AJ$85,5,FALSE),"")</f>
        <v/>
      </c>
      <c r="J2644" s="45" t="str">
        <f>IFERROR(VLOOKUP(B2644,'Pre-Summary'!$AE$6:$AJ$85,6, FALSE),"")</f>
        <v/>
      </c>
      <c r="K2644" s="45" t="str">
        <f>IFERROR(VLOOKUP(B2644,'Pre-Summary'!$DE$6:$DG$61,3,FALSE),"")</f>
        <v/>
      </c>
      <c r="L2644" s="45" t="str">
        <f>IFERROR(VLOOKUP(B2644,'Pre-Summary'!$CU$6:$CW$36,3,FALSE),"")</f>
        <v/>
      </c>
      <c r="M2644" s="45" t="str">
        <f>IFERROR(VLOOKUP(B2644,'Pre-Summary'!$BW$6:$BY$58,2,FALSE),"")</f>
        <v/>
      </c>
      <c r="N2644" s="45" t="str">
        <f>IFERROR(VLOOKUP(B2644,'Pre-Summary'!$CD$6:$CF$64,2,FALSE),"")</f>
        <v/>
      </c>
      <c r="O2644" s="99">
        <f>IFERROR(VLOOKUP(B2644,'Pre-Summary'!$BO$6:$BQ$48,3, FALSE),O2643)</f>
        <v>1.83</v>
      </c>
      <c r="P2644" s="99">
        <f>IFERROR(VLOOKUP(B2644,'Pre-Summary'!$BS$6:$BU$35,3,FALSE),P2643)</f>
        <v>0.46200000000000002</v>
      </c>
      <c r="Q2644" s="54">
        <f t="shared" si="123"/>
        <v>3.9610389610389611</v>
      </c>
      <c r="R2644" s="53">
        <f>IFERROR(VLOOKUP(B2644,'Pre-Summary'!$BG$6:$BM$44,7,FALSE),R2645)</f>
        <v>0.10528059183238438</v>
      </c>
      <c r="S2644" s="53">
        <f>IFERROR(VLOOKUP(B2644,'Pre-Summary'!$BG$6:$BM$44,6,FALSE),S2645)</f>
        <v>0.10567591412599613</v>
      </c>
      <c r="T2644" s="45" t="str">
        <f>IFERROR(VLOOKUP(B2644,'Pre-Summary'!$Y$6:$AC$83, 3,FALSE),"")</f>
        <v/>
      </c>
      <c r="U2644" s="45" t="str">
        <f>IFERROR(VLOOKUP(B2644,'Pre-Summary'!$Y$6:$AC$83, 4,FALSE),"")</f>
        <v/>
      </c>
      <c r="V2644" t="str">
        <f>IFERROR(VLOOKUP(B2644,'Pre-Summary'!$Y$6:$AC$83, 5,FALSE),"")</f>
        <v/>
      </c>
      <c r="W2644" s="45" t="str">
        <f>IFERROR(VLOOKUP(B2644,'Pre-Summary'!$Y$6:$AD$83,6,FALSE),"")</f>
        <v/>
      </c>
      <c r="X2644" t="str">
        <f>IFERROR(VLOOKUP('Pre-Summary'!$DB$6:$DD$63,3,FALSE),"")</f>
        <v/>
      </c>
      <c r="Y2644" t="str">
        <f>IFERROR(VLOOKUP(B2644,'Pre-Summary'!$CR$6:$CT$36,3,FALSE),"")</f>
        <v/>
      </c>
      <c r="Z2644" s="45" t="str">
        <f>IFERROR(VLOOKUP(B2644,'Pre-Summary'!$BZ$6:$CB$63,2,FALSE),"")</f>
        <v/>
      </c>
      <c r="AA2644" s="45" t="str">
        <f>IFERROR(VLOOKUP(B2644,'Pre-Summary'!$CG$6:$CI$70,2,FALSE),"")</f>
        <v/>
      </c>
      <c r="AB2644" s="99">
        <f>IFERROR(VLOOKUP(B2644,'Pre-Summary'!$A$6:$P$178,9,FALSE),AB2645)</f>
        <v>0.43582647412843634</v>
      </c>
      <c r="AC2644" s="10">
        <f>IFERROR(VLOOKUP(Summary!B2644,'Pre-Summary'!$A$6:$P$184,5, FALSE)/100,AC2645)</f>
        <v>0.93941799999999998</v>
      </c>
      <c r="AD2644" s="10">
        <f>IFERROR(VLOOKUP(Summary!B2644,'Pre-Summary'!$A$6:$P$184,3, FALSE)/100,AD2645)</f>
        <v>4.8995666666666667E-2</v>
      </c>
      <c r="AE2644" s="10">
        <f>IFERROR(VLOOKUP(Summary!B2644,'Pre-Summary'!$A$6:$P$184,7, FALSE)/100,AE2645)</f>
        <v>1.1586666666666667E-2</v>
      </c>
      <c r="AF2644" s="99">
        <f t="shared" si="124"/>
        <v>2.1353608650905489E-2</v>
      </c>
      <c r="AG2644" s="99">
        <f t="shared" si="125"/>
        <v>5.0497760802348159E-3</v>
      </c>
      <c r="AH2644" s="10" t="str">
        <f>IFERROR(VLOOKUP(B2644,'Pre-Summary'!$AZ$6:$BE$65,3,FALSE),"")</f>
        <v/>
      </c>
      <c r="AI2644" s="10" t="str">
        <f>IFERROR(VLOOKUP(B2644,'Pre-Summary'!$AZ$6:$BE$65,5,FALSE),"")</f>
        <v/>
      </c>
      <c r="AJ2644" s="10" t="str">
        <f>IFERROR(VLOOKUP(B2644,'Pre-Summary'!$AZ$6:$BE$65,4,FALSE),"")</f>
        <v/>
      </c>
      <c r="AK2644" s="10" t="str">
        <f>IFERROR(VLOOKUP(B2644,'Pre-Summary'!$AZ$6:$BE$65,6,FALSE),"")</f>
        <v/>
      </c>
      <c r="AL2644" s="10" t="str">
        <f>IFERROR(VLOOKUP(B2644,'Pre-Summary'!$BG$6:$BL$44,3,FALSE),"")</f>
        <v/>
      </c>
      <c r="AM2644" s="10" t="str">
        <f>IFERROR(VLOOKUP(B2644,'Pre-Summary'!$BG$6:$BL$44,4,FALSE),"")</f>
        <v/>
      </c>
    </row>
    <row r="2645" spans="2:39" ht="15" customHeight="1" x14ac:dyDescent="0.3">
      <c r="B2645">
        <v>264.2</v>
      </c>
      <c r="C2645" t="str">
        <f>IFERROR(VLOOKUP(B2645,'Pre-Summary'!$DI$6:$DM$23,4,FALSE),"")</f>
        <v/>
      </c>
      <c r="D2645" s="10" t="str">
        <f>IFERROR(VLOOKUP(B2645,'Pre-Summary'!$AT$6:$AX$14,5,FALSE),D2644)</f>
        <v>Wolfe v3: went back to modified wolfe + EDTA and switched CuSO4 to CUCl2</v>
      </c>
      <c r="E2645" s="10" t="str">
        <f>IFERROR(VLOOKUP(B2645,'Pre-Summary'!$AT$6:$AX$15,4,FALSE),"")</f>
        <v/>
      </c>
      <c r="F2645">
        <f>IFERROR(VLOOKUP(B2645,'Pre-Summary'!$AL$6:$AQ$13,6,FALSE),F2644)</f>
        <v>5.9405263157894746E-2</v>
      </c>
      <c r="G2645" t="str">
        <f>IFERROR(VLOOKUP(B2645,'Pre-Summary'!$AE$6:$AJ$85,3,FALSE),"")</f>
        <v/>
      </c>
      <c r="H2645" t="str">
        <f>IFERROR(VLOOKUP(B2645,'Pre-Summary'!$AE$6:$AJ$85,4,FALSE),"")</f>
        <v/>
      </c>
      <c r="I2645" t="str">
        <f>IFERROR(VLOOKUP(B2645,'Pre-Summary'!$AE$6:$AJ$85,5,FALSE),"")</f>
        <v/>
      </c>
      <c r="J2645" s="45" t="str">
        <f>IFERROR(VLOOKUP(B2645,'Pre-Summary'!$AE$6:$AJ$85,6, FALSE),"")</f>
        <v/>
      </c>
      <c r="K2645" s="45" t="str">
        <f>IFERROR(VLOOKUP(B2645,'Pre-Summary'!$DE$6:$DG$61,3,FALSE),"")</f>
        <v/>
      </c>
      <c r="L2645" s="45" t="str">
        <f>IFERROR(VLOOKUP(B2645,'Pre-Summary'!$CU$6:$CW$36,3,FALSE),"")</f>
        <v/>
      </c>
      <c r="M2645" s="45" t="str">
        <f>IFERROR(VLOOKUP(B2645,'Pre-Summary'!$BW$6:$BY$58,2,FALSE),"")</f>
        <v/>
      </c>
      <c r="N2645" s="45" t="str">
        <f>IFERROR(VLOOKUP(B2645,'Pre-Summary'!$CD$6:$CF$64,2,FALSE),"")</f>
        <v/>
      </c>
      <c r="O2645" s="99">
        <f>IFERROR(VLOOKUP(B2645,'Pre-Summary'!$BO$6:$BQ$48,3, FALSE),O2644)</f>
        <v>1.83</v>
      </c>
      <c r="P2645" s="99">
        <f>IFERROR(VLOOKUP(B2645,'Pre-Summary'!$BS$6:$BU$35,3,FALSE),P2644)</f>
        <v>0.46200000000000002</v>
      </c>
      <c r="Q2645" s="54">
        <f t="shared" si="123"/>
        <v>3.9610389610389611</v>
      </c>
      <c r="R2645" s="53">
        <f>IFERROR(VLOOKUP(B2645,'Pre-Summary'!$BG$6:$BM$44,7,FALSE),R2646)</f>
        <v>0.10528059183238438</v>
      </c>
      <c r="S2645" s="53">
        <f>IFERROR(VLOOKUP(B2645,'Pre-Summary'!$BG$6:$BM$44,6,FALSE),S2646)</f>
        <v>0.10567591412599613</v>
      </c>
      <c r="T2645" s="45" t="str">
        <f>IFERROR(VLOOKUP(B2645,'Pre-Summary'!$Y$6:$AC$83, 3,FALSE),"")</f>
        <v/>
      </c>
      <c r="U2645" s="45" t="str">
        <f>IFERROR(VLOOKUP(B2645,'Pre-Summary'!$Y$6:$AC$83, 4,FALSE),"")</f>
        <v/>
      </c>
      <c r="V2645" t="str">
        <f>IFERROR(VLOOKUP(B2645,'Pre-Summary'!$Y$6:$AC$83, 5,FALSE),"")</f>
        <v/>
      </c>
      <c r="W2645" s="45" t="str">
        <f>IFERROR(VLOOKUP(B2645,'Pre-Summary'!$Y$6:$AD$83,6,FALSE),"")</f>
        <v/>
      </c>
      <c r="X2645" t="str">
        <f>IFERROR(VLOOKUP('Pre-Summary'!$DB$6:$DD$63,3,FALSE),"")</f>
        <v/>
      </c>
      <c r="Y2645" t="str">
        <f>IFERROR(VLOOKUP(B2645,'Pre-Summary'!$CR$6:$CT$36,3,FALSE),"")</f>
        <v/>
      </c>
      <c r="Z2645" s="45" t="str">
        <f>IFERROR(VLOOKUP(B2645,'Pre-Summary'!$BZ$6:$CB$63,2,FALSE),"")</f>
        <v/>
      </c>
      <c r="AA2645" s="45" t="str">
        <f>IFERROR(VLOOKUP(B2645,'Pre-Summary'!$CG$6:$CI$70,2,FALSE),"")</f>
        <v/>
      </c>
      <c r="AB2645" s="99">
        <f>IFERROR(VLOOKUP(B2645,'Pre-Summary'!$A$6:$P$178,9,FALSE),AB2646)</f>
        <v>0.43582647412843634</v>
      </c>
      <c r="AC2645" s="10">
        <f>IFERROR(VLOOKUP(Summary!B2645,'Pre-Summary'!$A$6:$P$184,5, FALSE)/100,AC2646)</f>
        <v>0.93941799999999998</v>
      </c>
      <c r="AD2645" s="10">
        <f>IFERROR(VLOOKUP(Summary!B2645,'Pre-Summary'!$A$6:$P$184,3, FALSE)/100,AD2646)</f>
        <v>4.8995666666666667E-2</v>
      </c>
      <c r="AE2645" s="10">
        <f>IFERROR(VLOOKUP(Summary!B2645,'Pre-Summary'!$A$6:$P$184,7, FALSE)/100,AE2646)</f>
        <v>1.1586666666666667E-2</v>
      </c>
      <c r="AF2645" s="99">
        <f t="shared" si="124"/>
        <v>2.1353608650905489E-2</v>
      </c>
      <c r="AG2645" s="99">
        <f t="shared" si="125"/>
        <v>5.0497760802348159E-3</v>
      </c>
      <c r="AH2645" s="10" t="str">
        <f>IFERROR(VLOOKUP(B2645,'Pre-Summary'!$AZ$6:$BE$65,3,FALSE),"")</f>
        <v/>
      </c>
      <c r="AI2645" s="10" t="str">
        <f>IFERROR(VLOOKUP(B2645,'Pre-Summary'!$AZ$6:$BE$65,5,FALSE),"")</f>
        <v/>
      </c>
      <c r="AJ2645" s="10" t="str">
        <f>IFERROR(VLOOKUP(B2645,'Pre-Summary'!$AZ$6:$BE$65,4,FALSE),"")</f>
        <v/>
      </c>
      <c r="AK2645" s="10" t="str">
        <f>IFERROR(VLOOKUP(B2645,'Pre-Summary'!$AZ$6:$BE$65,6,FALSE),"")</f>
        <v/>
      </c>
      <c r="AL2645" s="10" t="str">
        <f>IFERROR(VLOOKUP(B2645,'Pre-Summary'!$BG$6:$BL$44,3,FALSE),"")</f>
        <v/>
      </c>
      <c r="AM2645" s="10" t="str">
        <f>IFERROR(VLOOKUP(B2645,'Pre-Summary'!$BG$6:$BL$44,4,FALSE),"")</f>
        <v/>
      </c>
    </row>
    <row r="2646" spans="2:39" ht="15" customHeight="1" x14ac:dyDescent="0.3">
      <c r="B2646">
        <v>264.3</v>
      </c>
      <c r="C2646" t="str">
        <f>IFERROR(VLOOKUP(B2646,'Pre-Summary'!$DI$6:$DM$23,4,FALSE),"")</f>
        <v/>
      </c>
      <c r="D2646" s="10" t="str">
        <f>IFERROR(VLOOKUP(B2646,'Pre-Summary'!$AT$6:$AX$14,5,FALSE),D2645)</f>
        <v>Wolfe v3: went back to modified wolfe + EDTA and switched CuSO4 to CUCl2</v>
      </c>
      <c r="E2646" s="10" t="str">
        <f>IFERROR(VLOOKUP(B2646,'Pre-Summary'!$AT$6:$AX$15,4,FALSE),"")</f>
        <v/>
      </c>
      <c r="F2646">
        <f>IFERROR(VLOOKUP(B2646,'Pre-Summary'!$AL$6:$AQ$13,6,FALSE),F2645)</f>
        <v>5.9405263157894746E-2</v>
      </c>
      <c r="G2646" t="str">
        <f>IFERROR(VLOOKUP(B2646,'Pre-Summary'!$AE$6:$AJ$85,3,FALSE),"")</f>
        <v/>
      </c>
      <c r="H2646" t="str">
        <f>IFERROR(VLOOKUP(B2646,'Pre-Summary'!$AE$6:$AJ$85,4,FALSE),"")</f>
        <v/>
      </c>
      <c r="I2646" t="str">
        <f>IFERROR(VLOOKUP(B2646,'Pre-Summary'!$AE$6:$AJ$85,5,FALSE),"")</f>
        <v/>
      </c>
      <c r="J2646" s="45" t="str">
        <f>IFERROR(VLOOKUP(B2646,'Pre-Summary'!$AE$6:$AJ$85,6, FALSE),"")</f>
        <v/>
      </c>
      <c r="K2646" s="45" t="str">
        <f>IFERROR(VLOOKUP(B2646,'Pre-Summary'!$DE$6:$DG$61,3,FALSE),"")</f>
        <v/>
      </c>
      <c r="L2646" s="45" t="str">
        <f>IFERROR(VLOOKUP(B2646,'Pre-Summary'!$CU$6:$CW$36,3,FALSE),"")</f>
        <v/>
      </c>
      <c r="M2646" s="45" t="str">
        <f>IFERROR(VLOOKUP(B2646,'Pre-Summary'!$BW$6:$BY$58,2,FALSE),"")</f>
        <v/>
      </c>
      <c r="N2646" s="45" t="str">
        <f>IFERROR(VLOOKUP(B2646,'Pre-Summary'!$CD$6:$CF$64,2,FALSE),"")</f>
        <v/>
      </c>
      <c r="O2646" s="99">
        <f>IFERROR(VLOOKUP(B2646,'Pre-Summary'!$BO$6:$BQ$48,3, FALSE),O2645)</f>
        <v>1.83</v>
      </c>
      <c r="P2646" s="99">
        <f>IFERROR(VLOOKUP(B2646,'Pre-Summary'!$BS$6:$BU$35,3,FALSE),P2645)</f>
        <v>0.46200000000000002</v>
      </c>
      <c r="Q2646" s="54">
        <f t="shared" si="123"/>
        <v>3.9610389610389611</v>
      </c>
      <c r="R2646" s="53">
        <f>IFERROR(VLOOKUP(B2646,'Pre-Summary'!$BG$6:$BM$44,7,FALSE),R2647)</f>
        <v>0.10528059183238438</v>
      </c>
      <c r="S2646" s="53">
        <f>IFERROR(VLOOKUP(B2646,'Pre-Summary'!$BG$6:$BM$44,6,FALSE),S2647)</f>
        <v>0.10567591412599613</v>
      </c>
      <c r="T2646" s="45" t="str">
        <f>IFERROR(VLOOKUP(B2646,'Pre-Summary'!$Y$6:$AC$83, 3,FALSE),"")</f>
        <v/>
      </c>
      <c r="U2646" s="45" t="str">
        <f>IFERROR(VLOOKUP(B2646,'Pre-Summary'!$Y$6:$AC$83, 4,FALSE),"")</f>
        <v/>
      </c>
      <c r="V2646" t="str">
        <f>IFERROR(VLOOKUP(B2646,'Pre-Summary'!$Y$6:$AC$83, 5,FALSE),"")</f>
        <v/>
      </c>
      <c r="W2646" s="45" t="str">
        <f>IFERROR(VLOOKUP(B2646,'Pre-Summary'!$Y$6:$AD$83,6,FALSE),"")</f>
        <v/>
      </c>
      <c r="X2646" t="str">
        <f>IFERROR(VLOOKUP('Pre-Summary'!$DB$6:$DD$63,3,FALSE),"")</f>
        <v/>
      </c>
      <c r="Y2646" t="str">
        <f>IFERROR(VLOOKUP(B2646,'Pre-Summary'!$CR$6:$CT$36,3,FALSE),"")</f>
        <v/>
      </c>
      <c r="Z2646" s="45" t="str">
        <f>IFERROR(VLOOKUP(B2646,'Pre-Summary'!$BZ$6:$CB$63,2,FALSE),"")</f>
        <v/>
      </c>
      <c r="AA2646" s="45" t="str">
        <f>IFERROR(VLOOKUP(B2646,'Pre-Summary'!$CG$6:$CI$70,2,FALSE),"")</f>
        <v/>
      </c>
      <c r="AB2646" s="99">
        <f>IFERROR(VLOOKUP(B2646,'Pre-Summary'!$A$6:$P$178,9,FALSE),AB2647)</f>
        <v>0.43582647412843634</v>
      </c>
      <c r="AC2646" s="10">
        <f>IFERROR(VLOOKUP(Summary!B2646,'Pre-Summary'!$A$6:$P$184,5, FALSE)/100,AC2647)</f>
        <v>0.93941799999999998</v>
      </c>
      <c r="AD2646" s="10">
        <f>IFERROR(VLOOKUP(Summary!B2646,'Pre-Summary'!$A$6:$P$184,3, FALSE)/100,AD2647)</f>
        <v>4.8995666666666667E-2</v>
      </c>
      <c r="AE2646" s="10">
        <f>IFERROR(VLOOKUP(Summary!B2646,'Pre-Summary'!$A$6:$P$184,7, FALSE)/100,AE2647)</f>
        <v>1.1586666666666667E-2</v>
      </c>
      <c r="AF2646" s="99">
        <f t="shared" si="124"/>
        <v>2.1353608650905489E-2</v>
      </c>
      <c r="AG2646" s="99">
        <f t="shared" si="125"/>
        <v>5.0497760802348159E-3</v>
      </c>
      <c r="AH2646" s="10" t="str">
        <f>IFERROR(VLOOKUP(B2646,'Pre-Summary'!$AZ$6:$BE$65,3,FALSE),"")</f>
        <v/>
      </c>
      <c r="AI2646" s="10" t="str">
        <f>IFERROR(VLOOKUP(B2646,'Pre-Summary'!$AZ$6:$BE$65,5,FALSE),"")</f>
        <v/>
      </c>
      <c r="AJ2646" s="10" t="str">
        <f>IFERROR(VLOOKUP(B2646,'Pre-Summary'!$AZ$6:$BE$65,4,FALSE),"")</f>
        <v/>
      </c>
      <c r="AK2646" s="10" t="str">
        <f>IFERROR(VLOOKUP(B2646,'Pre-Summary'!$AZ$6:$BE$65,6,FALSE),"")</f>
        <v/>
      </c>
      <c r="AL2646" s="10" t="str">
        <f>IFERROR(VLOOKUP(B2646,'Pre-Summary'!$BG$6:$BL$44,3,FALSE),"")</f>
        <v/>
      </c>
      <c r="AM2646" s="10" t="str">
        <f>IFERROR(VLOOKUP(B2646,'Pre-Summary'!$BG$6:$BL$44,4,FALSE),"")</f>
        <v/>
      </c>
    </row>
    <row r="2647" spans="2:39" ht="15" customHeight="1" x14ac:dyDescent="0.3">
      <c r="B2647">
        <v>264.39999999999998</v>
      </c>
      <c r="C2647" t="str">
        <f>IFERROR(VLOOKUP(B2647,'Pre-Summary'!$DI$6:$DM$23,4,FALSE),"")</f>
        <v/>
      </c>
      <c r="D2647" s="10" t="str">
        <f>IFERROR(VLOOKUP(B2647,'Pre-Summary'!$AT$6:$AX$14,5,FALSE),D2646)</f>
        <v>Wolfe v3: went back to modified wolfe + EDTA and switched CuSO4 to CUCl2</v>
      </c>
      <c r="E2647" s="10" t="str">
        <f>IFERROR(VLOOKUP(B2647,'Pre-Summary'!$AT$6:$AX$15,4,FALSE),"")</f>
        <v/>
      </c>
      <c r="F2647">
        <f>IFERROR(VLOOKUP(B2647,'Pre-Summary'!$AL$6:$AQ$13,6,FALSE),F2646)</f>
        <v>5.9405263157894746E-2</v>
      </c>
      <c r="G2647" t="str">
        <f>IFERROR(VLOOKUP(B2647,'Pre-Summary'!$AE$6:$AJ$85,3,FALSE),"")</f>
        <v/>
      </c>
      <c r="H2647" t="str">
        <f>IFERROR(VLOOKUP(B2647,'Pre-Summary'!$AE$6:$AJ$85,4,FALSE),"")</f>
        <v/>
      </c>
      <c r="I2647" t="str">
        <f>IFERROR(VLOOKUP(B2647,'Pre-Summary'!$AE$6:$AJ$85,5,FALSE),"")</f>
        <v/>
      </c>
      <c r="J2647" s="45" t="str">
        <f>IFERROR(VLOOKUP(B2647,'Pre-Summary'!$AE$6:$AJ$85,6, FALSE),"")</f>
        <v/>
      </c>
      <c r="K2647" s="45" t="str">
        <f>IFERROR(VLOOKUP(B2647,'Pre-Summary'!$DE$6:$DG$61,3,FALSE),"")</f>
        <v/>
      </c>
      <c r="L2647" s="45" t="str">
        <f>IFERROR(VLOOKUP(B2647,'Pre-Summary'!$CU$6:$CW$36,3,FALSE),"")</f>
        <v/>
      </c>
      <c r="M2647" s="45" t="str">
        <f>IFERROR(VLOOKUP(B2647,'Pre-Summary'!$BW$6:$BY$58,2,FALSE),"")</f>
        <v/>
      </c>
      <c r="N2647" s="45" t="str">
        <f>IFERROR(VLOOKUP(B2647,'Pre-Summary'!$CD$6:$CF$64,2,FALSE),"")</f>
        <v/>
      </c>
      <c r="O2647" s="99">
        <f>IFERROR(VLOOKUP(B2647,'Pre-Summary'!$BO$6:$BQ$48,3, FALSE),O2646)</f>
        <v>1.83</v>
      </c>
      <c r="P2647" s="99">
        <f>IFERROR(VLOOKUP(B2647,'Pre-Summary'!$BS$6:$BU$35,3,FALSE),P2646)</f>
        <v>0.46200000000000002</v>
      </c>
      <c r="Q2647" s="54">
        <f t="shared" si="123"/>
        <v>3.9610389610389611</v>
      </c>
      <c r="R2647" s="53">
        <f>IFERROR(VLOOKUP(B2647,'Pre-Summary'!$BG$6:$BM$44,7,FALSE),R2648)</f>
        <v>0.10528059183238438</v>
      </c>
      <c r="S2647" s="53">
        <f>IFERROR(VLOOKUP(B2647,'Pre-Summary'!$BG$6:$BM$44,6,FALSE),S2648)</f>
        <v>0.10567591412599613</v>
      </c>
      <c r="T2647" s="45" t="str">
        <f>IFERROR(VLOOKUP(B2647,'Pre-Summary'!$Y$6:$AC$83, 3,FALSE),"")</f>
        <v/>
      </c>
      <c r="U2647" s="45" t="str">
        <f>IFERROR(VLOOKUP(B2647,'Pre-Summary'!$Y$6:$AC$83, 4,FALSE),"")</f>
        <v/>
      </c>
      <c r="V2647" t="str">
        <f>IFERROR(VLOOKUP(B2647,'Pre-Summary'!$Y$6:$AC$83, 5,FALSE),"")</f>
        <v/>
      </c>
      <c r="W2647" s="45" t="str">
        <f>IFERROR(VLOOKUP(B2647,'Pre-Summary'!$Y$6:$AD$83,6,FALSE),"")</f>
        <v/>
      </c>
      <c r="X2647" t="str">
        <f>IFERROR(VLOOKUP('Pre-Summary'!$DB$6:$DD$63,3,FALSE),"")</f>
        <v/>
      </c>
      <c r="Y2647" t="str">
        <f>IFERROR(VLOOKUP(B2647,'Pre-Summary'!$CR$6:$CT$36,3,FALSE),"")</f>
        <v/>
      </c>
      <c r="Z2647" s="45" t="str">
        <f>IFERROR(VLOOKUP(B2647,'Pre-Summary'!$BZ$6:$CB$63,2,FALSE),"")</f>
        <v/>
      </c>
      <c r="AA2647" s="45" t="str">
        <f>IFERROR(VLOOKUP(B2647,'Pre-Summary'!$CG$6:$CI$70,2,FALSE),"")</f>
        <v/>
      </c>
      <c r="AB2647" s="99">
        <f>IFERROR(VLOOKUP(B2647,'Pre-Summary'!$A$6:$P$178,9,FALSE),AB2648)</f>
        <v>0.43582647412843634</v>
      </c>
      <c r="AC2647" s="10">
        <f>IFERROR(VLOOKUP(Summary!B2647,'Pre-Summary'!$A$6:$P$184,5, FALSE)/100,AC2648)</f>
        <v>0.93941799999999998</v>
      </c>
      <c r="AD2647" s="10">
        <f>IFERROR(VLOOKUP(Summary!B2647,'Pre-Summary'!$A$6:$P$184,3, FALSE)/100,AD2648)</f>
        <v>4.8995666666666667E-2</v>
      </c>
      <c r="AE2647" s="10">
        <f>IFERROR(VLOOKUP(Summary!B2647,'Pre-Summary'!$A$6:$P$184,7, FALSE)/100,AE2648)</f>
        <v>1.1586666666666667E-2</v>
      </c>
      <c r="AF2647" s="99">
        <f t="shared" si="124"/>
        <v>2.1353608650905489E-2</v>
      </c>
      <c r="AG2647" s="99">
        <f t="shared" si="125"/>
        <v>5.0497760802348159E-3</v>
      </c>
      <c r="AH2647" s="10" t="str">
        <f>IFERROR(VLOOKUP(B2647,'Pre-Summary'!$AZ$6:$BE$65,3,FALSE),"")</f>
        <v/>
      </c>
      <c r="AI2647" s="10" t="str">
        <f>IFERROR(VLOOKUP(B2647,'Pre-Summary'!$AZ$6:$BE$65,5,FALSE),"")</f>
        <v/>
      </c>
      <c r="AJ2647" s="10" t="str">
        <f>IFERROR(VLOOKUP(B2647,'Pre-Summary'!$AZ$6:$BE$65,4,FALSE),"")</f>
        <v/>
      </c>
      <c r="AK2647" s="10" t="str">
        <f>IFERROR(VLOOKUP(B2647,'Pre-Summary'!$AZ$6:$BE$65,6,FALSE),"")</f>
        <v/>
      </c>
      <c r="AL2647" s="10" t="str">
        <f>IFERROR(VLOOKUP(B2647,'Pre-Summary'!$BG$6:$BL$44,3,FALSE),"")</f>
        <v/>
      </c>
      <c r="AM2647" s="10" t="str">
        <f>IFERROR(VLOOKUP(B2647,'Pre-Summary'!$BG$6:$BL$44,4,FALSE),"")</f>
        <v/>
      </c>
    </row>
    <row r="2648" spans="2:39" ht="15" customHeight="1" x14ac:dyDescent="0.3">
      <c r="B2648">
        <v>264.5</v>
      </c>
      <c r="C2648" t="str">
        <f>IFERROR(VLOOKUP(B2648,'Pre-Summary'!$DI$6:$DM$23,4,FALSE),"")</f>
        <v/>
      </c>
      <c r="D2648" s="10" t="str">
        <f>IFERROR(VLOOKUP(B2648,'Pre-Summary'!$AT$6:$AX$14,5,FALSE),D2647)</f>
        <v>Wolfe v3: went back to modified wolfe + EDTA and switched CuSO4 to CUCl2</v>
      </c>
      <c r="E2648" s="10" t="str">
        <f>IFERROR(VLOOKUP(B2648,'Pre-Summary'!$AT$6:$AX$15,4,FALSE),"")</f>
        <v/>
      </c>
      <c r="F2648">
        <f>IFERROR(VLOOKUP(B2648,'Pre-Summary'!$AL$6:$AQ$13,6,FALSE),F2647)</f>
        <v>5.9405263157894746E-2</v>
      </c>
      <c r="G2648">
        <f>IFERROR(VLOOKUP(B2648,'Pre-Summary'!$AE$6:$AJ$85,3,FALSE),"")</f>
        <v>123.7675167</v>
      </c>
      <c r="H2648">
        <f>IFERROR(VLOOKUP(B2648,'Pre-Summary'!$AE$6:$AJ$85,4,FALSE),"")</f>
        <v>0.95331230199999994</v>
      </c>
      <c r="I2648">
        <f>IFERROR(VLOOKUP(B2648,'Pre-Summary'!$AE$6:$AJ$85,5,FALSE),"")</f>
        <v>0.46043236199999998</v>
      </c>
      <c r="J2648" s="45">
        <f>IFERROR(VLOOKUP(B2648,'Pre-Summary'!$AE$6:$AJ$85,6, FALSE),"")</f>
        <v>134.34032117824398</v>
      </c>
      <c r="K2648" s="45">
        <f>IFERROR(VLOOKUP(B2648,'Pre-Summary'!$DE$6:$DG$61,3,FALSE),"")</f>
        <v>650</v>
      </c>
      <c r="L2648" s="45" t="str">
        <f>IFERROR(VLOOKUP(B2648,'Pre-Summary'!$CU$6:$CW$36,3,FALSE),"")</f>
        <v/>
      </c>
      <c r="M2648" s="45" t="str">
        <f>IFERROR(VLOOKUP(B2648,'Pre-Summary'!$BW$6:$BY$58,2,FALSE),"")</f>
        <v/>
      </c>
      <c r="N2648" s="45">
        <f>IFERROR(VLOOKUP(B2648,'Pre-Summary'!$CD$6:$CF$64,2,FALSE),"")</f>
        <v>202.60854096687984</v>
      </c>
      <c r="O2648" s="99">
        <f>IFERROR(VLOOKUP(B2648,'Pre-Summary'!$BO$6:$BQ$48,3, FALSE),O2647)</f>
        <v>1.83</v>
      </c>
      <c r="P2648" s="99">
        <f>IFERROR(VLOOKUP(B2648,'Pre-Summary'!$BS$6:$BU$35,3,FALSE),P2647)</f>
        <v>0.46200000000000002</v>
      </c>
      <c r="Q2648" s="54">
        <f t="shared" si="123"/>
        <v>3.9610389610389611</v>
      </c>
      <c r="R2648" s="53">
        <f>IFERROR(VLOOKUP(B2648,'Pre-Summary'!$BG$6:$BM$44,7,FALSE),R2649)</f>
        <v>0.10528059183238438</v>
      </c>
      <c r="S2648" s="53">
        <f>IFERROR(VLOOKUP(B2648,'Pre-Summary'!$BG$6:$BM$44,6,FALSE),S2649)</f>
        <v>0.10567591412599613</v>
      </c>
      <c r="T2648" s="45">
        <f>IFERROR(VLOOKUP(B2648,'Pre-Summary'!$Y$6:$AC$83, 3,FALSE),"")</f>
        <v>3.0650707690000001</v>
      </c>
      <c r="U2648" s="45">
        <f>IFERROR(VLOOKUP(B2648,'Pre-Summary'!$Y$6:$AC$83, 4,FALSE),"")</f>
        <v>0.62391225900000002</v>
      </c>
      <c r="V2648">
        <f>IFERROR(VLOOKUP(B2648,'Pre-Summary'!$Y$6:$AC$83, 5,FALSE),"")</f>
        <v>0.47191804199999998</v>
      </c>
      <c r="W2648" s="45">
        <f>IFERROR(VLOOKUP(B2648,'Pre-Summary'!$Y$6:$AD$83,6,FALSE),"")</f>
        <v>5.0729806710050003</v>
      </c>
      <c r="X2648" t="str">
        <f>IFERROR(VLOOKUP('Pre-Summary'!$DB$6:$DD$63,3,FALSE),"")</f>
        <v/>
      </c>
      <c r="Y2648" t="str">
        <f>IFERROR(VLOOKUP(B2648,'Pre-Summary'!$CR$6:$CT$36,3,FALSE),"")</f>
        <v/>
      </c>
      <c r="Z2648" s="45" t="str">
        <f>IFERROR(VLOOKUP(B2648,'Pre-Summary'!$BZ$6:$CB$63,2,FALSE),"")</f>
        <v/>
      </c>
      <c r="AA2648" s="45" t="str">
        <f>IFERROR(VLOOKUP(B2648,'Pre-Summary'!$CG$6:$CI$70,2,FALSE),"")</f>
        <v/>
      </c>
      <c r="AB2648" s="99">
        <f>IFERROR(VLOOKUP(B2648,'Pre-Summary'!$A$6:$P$178,9,FALSE),AB2649)</f>
        <v>0.43582647412843634</v>
      </c>
      <c r="AC2648" s="10">
        <f>IFERROR(VLOOKUP(Summary!B2648,'Pre-Summary'!$A$6:$P$184,5, FALSE)/100,AC2649)</f>
        <v>0.93941799999999998</v>
      </c>
      <c r="AD2648" s="10">
        <f>IFERROR(VLOOKUP(Summary!B2648,'Pre-Summary'!$A$6:$P$184,3, FALSE)/100,AD2649)</f>
        <v>4.8995666666666667E-2</v>
      </c>
      <c r="AE2648" s="10">
        <f>IFERROR(VLOOKUP(Summary!B2648,'Pre-Summary'!$A$6:$P$184,7, FALSE)/100,AE2649)</f>
        <v>1.1586666666666667E-2</v>
      </c>
      <c r="AF2648" s="99">
        <f t="shared" si="124"/>
        <v>2.1353608650905489E-2</v>
      </c>
      <c r="AG2648" s="99">
        <f t="shared" si="125"/>
        <v>5.0497760802348159E-3</v>
      </c>
      <c r="AH2648" s="10" t="str">
        <f>IFERROR(VLOOKUP(B2648,'Pre-Summary'!$AZ$6:$BE$65,3,FALSE),"")</f>
        <v/>
      </c>
      <c r="AI2648" s="10" t="str">
        <f>IFERROR(VLOOKUP(B2648,'Pre-Summary'!$AZ$6:$BE$65,5,FALSE),"")</f>
        <v/>
      </c>
      <c r="AJ2648" s="10" t="str">
        <f>IFERROR(VLOOKUP(B2648,'Pre-Summary'!$AZ$6:$BE$65,4,FALSE),"")</f>
        <v/>
      </c>
      <c r="AK2648" s="10" t="str">
        <f>IFERROR(VLOOKUP(B2648,'Pre-Summary'!$AZ$6:$BE$65,6,FALSE),"")</f>
        <v/>
      </c>
      <c r="AL2648" s="10" t="str">
        <f>IFERROR(VLOOKUP(B2648,'Pre-Summary'!$BG$6:$BL$44,3,FALSE),"")</f>
        <v/>
      </c>
      <c r="AM2648" s="10" t="str">
        <f>IFERROR(VLOOKUP(B2648,'Pre-Summary'!$BG$6:$BL$44,4,FALSE),"")</f>
        <v/>
      </c>
    </row>
    <row r="2649" spans="2:39" ht="15" customHeight="1" x14ac:dyDescent="0.3">
      <c r="B2649">
        <v>264.60000000000002</v>
      </c>
      <c r="C2649" t="str">
        <f>IFERROR(VLOOKUP(B2649,'Pre-Summary'!$DI$6:$DM$23,4,FALSE),"")</f>
        <v/>
      </c>
      <c r="D2649" s="10" t="str">
        <f>IFERROR(VLOOKUP(B2649,'Pre-Summary'!$AT$6:$AX$14,5,FALSE),D2648)</f>
        <v>Wolfe v3: went back to modified wolfe + EDTA and switched CuSO4 to CUCl2</v>
      </c>
      <c r="E2649" s="10" t="str">
        <f>IFERROR(VLOOKUP(B2649,'Pre-Summary'!$AT$6:$AX$15,4,FALSE),"")</f>
        <v/>
      </c>
      <c r="F2649">
        <f>IFERROR(VLOOKUP(B2649,'Pre-Summary'!$AL$6:$AQ$13,6,FALSE),F2648)</f>
        <v>5.9405263157894746E-2</v>
      </c>
      <c r="G2649" t="str">
        <f>IFERROR(VLOOKUP(B2649,'Pre-Summary'!$AE$6:$AJ$85,3,FALSE),"")</f>
        <v/>
      </c>
      <c r="H2649" t="str">
        <f>IFERROR(VLOOKUP(B2649,'Pre-Summary'!$AE$6:$AJ$85,4,FALSE),"")</f>
        <v/>
      </c>
      <c r="I2649" t="str">
        <f>IFERROR(VLOOKUP(B2649,'Pre-Summary'!$AE$6:$AJ$85,5,FALSE),"")</f>
        <v/>
      </c>
      <c r="J2649" s="45" t="str">
        <f>IFERROR(VLOOKUP(B2649,'Pre-Summary'!$AE$6:$AJ$85,6, FALSE),"")</f>
        <v/>
      </c>
      <c r="K2649" s="45" t="str">
        <f>IFERROR(VLOOKUP(B2649,'Pre-Summary'!$DE$6:$DG$61,3,FALSE),"")</f>
        <v/>
      </c>
      <c r="L2649" s="45" t="str">
        <f>IFERROR(VLOOKUP(B2649,'Pre-Summary'!$CU$6:$CW$36,3,FALSE),"")</f>
        <v/>
      </c>
      <c r="M2649" s="45" t="str">
        <f>IFERROR(VLOOKUP(B2649,'Pre-Summary'!$BW$6:$BY$58,2,FALSE),"")</f>
        <v/>
      </c>
      <c r="N2649" s="45" t="str">
        <f>IFERROR(VLOOKUP(B2649,'Pre-Summary'!$CD$6:$CF$64,2,FALSE),"")</f>
        <v/>
      </c>
      <c r="O2649" s="99">
        <f>IFERROR(VLOOKUP(B2649,'Pre-Summary'!$BO$6:$BQ$48,3, FALSE),O2648)</f>
        <v>1.83</v>
      </c>
      <c r="P2649" s="99">
        <f>IFERROR(VLOOKUP(B2649,'Pre-Summary'!$BS$6:$BU$35,3,FALSE),P2648)</f>
        <v>0.46200000000000002</v>
      </c>
      <c r="Q2649" s="54">
        <f t="shared" si="123"/>
        <v>3.9610389610389611</v>
      </c>
      <c r="R2649" s="53">
        <f>IFERROR(VLOOKUP(B2649,'Pre-Summary'!$BG$6:$BM$44,7,FALSE),R2650)</f>
        <v>0.10528059183238438</v>
      </c>
      <c r="S2649" s="53">
        <f>IFERROR(VLOOKUP(B2649,'Pre-Summary'!$BG$6:$BM$44,6,FALSE),S2650)</f>
        <v>0.10567591412599613</v>
      </c>
      <c r="T2649" s="45" t="str">
        <f>IFERROR(VLOOKUP(B2649,'Pre-Summary'!$Y$6:$AC$83, 3,FALSE),"")</f>
        <v/>
      </c>
      <c r="U2649" s="45" t="str">
        <f>IFERROR(VLOOKUP(B2649,'Pre-Summary'!$Y$6:$AC$83, 4,FALSE),"")</f>
        <v/>
      </c>
      <c r="V2649" t="str">
        <f>IFERROR(VLOOKUP(B2649,'Pre-Summary'!$Y$6:$AC$83, 5,FALSE),"")</f>
        <v/>
      </c>
      <c r="W2649" s="45" t="str">
        <f>IFERROR(VLOOKUP(B2649,'Pre-Summary'!$Y$6:$AD$83,6,FALSE),"")</f>
        <v/>
      </c>
      <c r="X2649" t="str">
        <f>IFERROR(VLOOKUP('Pre-Summary'!$DB$6:$DD$63,3,FALSE),"")</f>
        <v/>
      </c>
      <c r="Y2649" t="str">
        <f>IFERROR(VLOOKUP(B2649,'Pre-Summary'!$CR$6:$CT$36,3,FALSE),"")</f>
        <v/>
      </c>
      <c r="Z2649" s="45" t="str">
        <f>IFERROR(VLOOKUP(B2649,'Pre-Summary'!$BZ$6:$CB$63,2,FALSE),"")</f>
        <v/>
      </c>
      <c r="AA2649" s="45" t="str">
        <f>IFERROR(VLOOKUP(B2649,'Pre-Summary'!$CG$6:$CI$70,2,FALSE),"")</f>
        <v/>
      </c>
      <c r="AB2649" s="99">
        <f>IFERROR(VLOOKUP(B2649,'Pre-Summary'!$A$6:$P$178,9,FALSE),AB2650)</f>
        <v>0.43582647412843634</v>
      </c>
      <c r="AC2649" s="10">
        <f>IFERROR(VLOOKUP(Summary!B2649,'Pre-Summary'!$A$6:$P$184,5, FALSE)/100,AC2650)</f>
        <v>0.93941799999999998</v>
      </c>
      <c r="AD2649" s="10">
        <f>IFERROR(VLOOKUP(Summary!B2649,'Pre-Summary'!$A$6:$P$184,3, FALSE)/100,AD2650)</f>
        <v>4.8995666666666667E-2</v>
      </c>
      <c r="AE2649" s="10">
        <f>IFERROR(VLOOKUP(Summary!B2649,'Pre-Summary'!$A$6:$P$184,7, FALSE)/100,AE2650)</f>
        <v>1.1586666666666667E-2</v>
      </c>
      <c r="AF2649" s="99">
        <f t="shared" si="124"/>
        <v>2.1353608650905489E-2</v>
      </c>
      <c r="AG2649" s="99">
        <f t="shared" si="125"/>
        <v>5.0497760802348159E-3</v>
      </c>
      <c r="AH2649" s="10" t="str">
        <f>IFERROR(VLOOKUP(B2649,'Pre-Summary'!$AZ$6:$BE$65,3,FALSE),"")</f>
        <v/>
      </c>
      <c r="AI2649" s="10" t="str">
        <f>IFERROR(VLOOKUP(B2649,'Pre-Summary'!$AZ$6:$BE$65,5,FALSE),"")</f>
        <v/>
      </c>
      <c r="AJ2649" s="10" t="str">
        <f>IFERROR(VLOOKUP(B2649,'Pre-Summary'!$AZ$6:$BE$65,4,FALSE),"")</f>
        <v/>
      </c>
      <c r="AK2649" s="10" t="str">
        <f>IFERROR(VLOOKUP(B2649,'Pre-Summary'!$AZ$6:$BE$65,6,FALSE),"")</f>
        <v/>
      </c>
      <c r="AL2649" s="10" t="str">
        <f>IFERROR(VLOOKUP(B2649,'Pre-Summary'!$BG$6:$BL$44,3,FALSE),"")</f>
        <v/>
      </c>
      <c r="AM2649" s="10" t="str">
        <f>IFERROR(VLOOKUP(B2649,'Pre-Summary'!$BG$6:$BL$44,4,FALSE),"")</f>
        <v/>
      </c>
    </row>
    <row r="2650" spans="2:39" ht="15" customHeight="1" x14ac:dyDescent="0.3">
      <c r="B2650">
        <v>264.7</v>
      </c>
      <c r="C2650" t="str">
        <f>IFERROR(VLOOKUP(B2650,'Pre-Summary'!$DI$6:$DM$23,4,FALSE),"")</f>
        <v/>
      </c>
      <c r="D2650" s="10" t="str">
        <f>IFERROR(VLOOKUP(B2650,'Pre-Summary'!$AT$6:$AX$14,5,FALSE),D2649)</f>
        <v>Wolfe v3: went back to modified wolfe + EDTA and switched CuSO4 to CUCl2</v>
      </c>
      <c r="E2650" s="10" t="str">
        <f>IFERROR(VLOOKUP(B2650,'Pre-Summary'!$AT$6:$AX$15,4,FALSE),"")</f>
        <v/>
      </c>
      <c r="F2650">
        <f>IFERROR(VLOOKUP(B2650,'Pre-Summary'!$AL$6:$AQ$13,6,FALSE),F2649)</f>
        <v>5.9405263157894746E-2</v>
      </c>
      <c r="G2650" t="str">
        <f>IFERROR(VLOOKUP(B2650,'Pre-Summary'!$AE$6:$AJ$85,3,FALSE),"")</f>
        <v/>
      </c>
      <c r="H2650" t="str">
        <f>IFERROR(VLOOKUP(B2650,'Pre-Summary'!$AE$6:$AJ$85,4,FALSE),"")</f>
        <v/>
      </c>
      <c r="I2650" t="str">
        <f>IFERROR(VLOOKUP(B2650,'Pre-Summary'!$AE$6:$AJ$85,5,FALSE),"")</f>
        <v/>
      </c>
      <c r="J2650" s="45" t="str">
        <f>IFERROR(VLOOKUP(B2650,'Pre-Summary'!$AE$6:$AJ$85,6, FALSE),"")</f>
        <v/>
      </c>
      <c r="K2650" s="45" t="str">
        <f>IFERROR(VLOOKUP(B2650,'Pre-Summary'!$DE$6:$DG$61,3,FALSE),"")</f>
        <v/>
      </c>
      <c r="L2650" s="45" t="str">
        <f>IFERROR(VLOOKUP(B2650,'Pre-Summary'!$CU$6:$CW$36,3,FALSE),"")</f>
        <v/>
      </c>
      <c r="M2650" s="45" t="str">
        <f>IFERROR(VLOOKUP(B2650,'Pre-Summary'!$BW$6:$BY$58,2,FALSE),"")</f>
        <v/>
      </c>
      <c r="N2650" s="45" t="str">
        <f>IFERROR(VLOOKUP(B2650,'Pre-Summary'!$CD$6:$CF$64,2,FALSE),"")</f>
        <v/>
      </c>
      <c r="O2650" s="99">
        <f>IFERROR(VLOOKUP(B2650,'Pre-Summary'!$BO$6:$BQ$48,3, FALSE),O2649)</f>
        <v>1.83</v>
      </c>
      <c r="P2650" s="99">
        <f>IFERROR(VLOOKUP(B2650,'Pre-Summary'!$BS$6:$BU$35,3,FALSE),P2649)</f>
        <v>0.46200000000000002</v>
      </c>
      <c r="Q2650" s="54">
        <f t="shared" si="123"/>
        <v>3.9610389610389611</v>
      </c>
      <c r="R2650" s="53">
        <f>IFERROR(VLOOKUP(B2650,'Pre-Summary'!$BG$6:$BM$44,7,FALSE),R2651)</f>
        <v>0.10528059183238438</v>
      </c>
      <c r="S2650" s="53">
        <f>IFERROR(VLOOKUP(B2650,'Pre-Summary'!$BG$6:$BM$44,6,FALSE),S2651)</f>
        <v>0.10567591412599613</v>
      </c>
      <c r="T2650" s="45" t="str">
        <f>IFERROR(VLOOKUP(B2650,'Pre-Summary'!$Y$6:$AC$83, 3,FALSE),"")</f>
        <v/>
      </c>
      <c r="U2650" s="45" t="str">
        <f>IFERROR(VLOOKUP(B2650,'Pre-Summary'!$Y$6:$AC$83, 4,FALSE),"")</f>
        <v/>
      </c>
      <c r="V2650" t="str">
        <f>IFERROR(VLOOKUP(B2650,'Pre-Summary'!$Y$6:$AC$83, 5,FALSE),"")</f>
        <v/>
      </c>
      <c r="W2650" s="45" t="str">
        <f>IFERROR(VLOOKUP(B2650,'Pre-Summary'!$Y$6:$AD$83,6,FALSE),"")</f>
        <v/>
      </c>
      <c r="X2650" t="str">
        <f>IFERROR(VLOOKUP('Pre-Summary'!$DB$6:$DD$63,3,FALSE),"")</f>
        <v/>
      </c>
      <c r="Y2650" t="str">
        <f>IFERROR(VLOOKUP(B2650,'Pre-Summary'!$CR$6:$CT$36,3,FALSE),"")</f>
        <v/>
      </c>
      <c r="Z2650" s="45" t="str">
        <f>IFERROR(VLOOKUP(B2650,'Pre-Summary'!$BZ$6:$CB$63,2,FALSE),"")</f>
        <v/>
      </c>
      <c r="AA2650" s="45" t="str">
        <f>IFERROR(VLOOKUP(B2650,'Pre-Summary'!$CG$6:$CI$70,2,FALSE),"")</f>
        <v/>
      </c>
      <c r="AB2650" s="99">
        <f>IFERROR(VLOOKUP(B2650,'Pre-Summary'!$A$6:$P$178,9,FALSE),AB2651)</f>
        <v>0.43582647412843634</v>
      </c>
      <c r="AC2650" s="10">
        <f>IFERROR(VLOOKUP(Summary!B2650,'Pre-Summary'!$A$6:$P$184,5, FALSE)/100,AC2651)</f>
        <v>0.93941799999999998</v>
      </c>
      <c r="AD2650" s="10">
        <f>IFERROR(VLOOKUP(Summary!B2650,'Pre-Summary'!$A$6:$P$184,3, FALSE)/100,AD2651)</f>
        <v>4.8995666666666667E-2</v>
      </c>
      <c r="AE2650" s="10">
        <f>IFERROR(VLOOKUP(Summary!B2650,'Pre-Summary'!$A$6:$P$184,7, FALSE)/100,AE2651)</f>
        <v>1.1586666666666667E-2</v>
      </c>
      <c r="AF2650" s="99">
        <f t="shared" si="124"/>
        <v>2.1353608650905489E-2</v>
      </c>
      <c r="AG2650" s="99">
        <f t="shared" si="125"/>
        <v>5.0497760802348159E-3</v>
      </c>
      <c r="AH2650" s="10" t="str">
        <f>IFERROR(VLOOKUP(B2650,'Pre-Summary'!$AZ$6:$BE$65,3,FALSE),"")</f>
        <v/>
      </c>
      <c r="AI2650" s="10" t="str">
        <f>IFERROR(VLOOKUP(B2650,'Pre-Summary'!$AZ$6:$BE$65,5,FALSE),"")</f>
        <v/>
      </c>
      <c r="AJ2650" s="10" t="str">
        <f>IFERROR(VLOOKUP(B2650,'Pre-Summary'!$AZ$6:$BE$65,4,FALSE),"")</f>
        <v/>
      </c>
      <c r="AK2650" s="10" t="str">
        <f>IFERROR(VLOOKUP(B2650,'Pre-Summary'!$AZ$6:$BE$65,6,FALSE),"")</f>
        <v/>
      </c>
      <c r="AL2650" s="10" t="str">
        <f>IFERROR(VLOOKUP(B2650,'Pre-Summary'!$BG$6:$BL$44,3,FALSE),"")</f>
        <v/>
      </c>
      <c r="AM2650" s="10" t="str">
        <f>IFERROR(VLOOKUP(B2650,'Pre-Summary'!$BG$6:$BL$44,4,FALSE),"")</f>
        <v/>
      </c>
    </row>
    <row r="2651" spans="2:39" ht="15" customHeight="1" x14ac:dyDescent="0.3">
      <c r="B2651">
        <v>264.8</v>
      </c>
      <c r="C2651" t="str">
        <f>IFERROR(VLOOKUP(B2651,'Pre-Summary'!$DI$6:$DM$23,4,FALSE),"")</f>
        <v/>
      </c>
      <c r="D2651" s="10" t="str">
        <f>IFERROR(VLOOKUP(B2651,'Pre-Summary'!$AT$6:$AX$14,5,FALSE),D2650)</f>
        <v>Wolfe v3: went back to modified wolfe + EDTA and switched CuSO4 to CUCl2</v>
      </c>
      <c r="E2651" s="10" t="str">
        <f>IFERROR(VLOOKUP(B2651,'Pre-Summary'!$AT$6:$AX$15,4,FALSE),"")</f>
        <v/>
      </c>
      <c r="F2651">
        <f>IFERROR(VLOOKUP(B2651,'Pre-Summary'!$AL$6:$AQ$13,6,FALSE),F2650)</f>
        <v>5.9405263157894746E-2</v>
      </c>
      <c r="G2651" t="str">
        <f>IFERROR(VLOOKUP(B2651,'Pre-Summary'!$AE$6:$AJ$85,3,FALSE),"")</f>
        <v/>
      </c>
      <c r="H2651" t="str">
        <f>IFERROR(VLOOKUP(B2651,'Pre-Summary'!$AE$6:$AJ$85,4,FALSE),"")</f>
        <v/>
      </c>
      <c r="I2651" t="str">
        <f>IFERROR(VLOOKUP(B2651,'Pre-Summary'!$AE$6:$AJ$85,5,FALSE),"")</f>
        <v/>
      </c>
      <c r="J2651" s="45" t="str">
        <f>IFERROR(VLOOKUP(B2651,'Pre-Summary'!$AE$6:$AJ$85,6, FALSE),"")</f>
        <v/>
      </c>
      <c r="K2651" s="45" t="str">
        <f>IFERROR(VLOOKUP(B2651,'Pre-Summary'!$DE$6:$DG$61,3,FALSE),"")</f>
        <v/>
      </c>
      <c r="L2651" s="45">
        <f>IFERROR(VLOOKUP(B2651,'Pre-Summary'!$CU$6:$CW$36,3,FALSE),"")</f>
        <v>286</v>
      </c>
      <c r="M2651" s="45">
        <f>IFERROR(VLOOKUP(B2651,'Pre-Summary'!$BW$6:$BY$58,2,FALSE),"")</f>
        <v>4.0489641580775411</v>
      </c>
      <c r="N2651" s="45" t="str">
        <f>IFERROR(VLOOKUP(B2651,'Pre-Summary'!$CD$6:$CF$64,2,FALSE),"")</f>
        <v/>
      </c>
      <c r="O2651" s="99">
        <f>IFERROR(VLOOKUP(B2651,'Pre-Summary'!$BO$6:$BQ$48,3, FALSE),O2650)</f>
        <v>1.83</v>
      </c>
      <c r="P2651" s="99">
        <f>IFERROR(VLOOKUP(B2651,'Pre-Summary'!$BS$6:$BU$35,3,FALSE),P2650)</f>
        <v>0.46200000000000002</v>
      </c>
      <c r="Q2651" s="54">
        <f t="shared" si="123"/>
        <v>3.9610389610389611</v>
      </c>
      <c r="R2651" s="53">
        <f>IFERROR(VLOOKUP(B2651,'Pre-Summary'!$BG$6:$BM$44,7,FALSE),R2652)</f>
        <v>0.10528059183238438</v>
      </c>
      <c r="S2651" s="53">
        <f>IFERROR(VLOOKUP(B2651,'Pre-Summary'!$BG$6:$BM$44,6,FALSE),S2652)</f>
        <v>0.10567591412599613</v>
      </c>
      <c r="T2651" s="45" t="str">
        <f>IFERROR(VLOOKUP(B2651,'Pre-Summary'!$Y$6:$AC$83, 3,FALSE),"")</f>
        <v/>
      </c>
      <c r="U2651" s="45" t="str">
        <f>IFERROR(VLOOKUP(B2651,'Pre-Summary'!$Y$6:$AC$83, 4,FALSE),"")</f>
        <v/>
      </c>
      <c r="V2651" t="str">
        <f>IFERROR(VLOOKUP(B2651,'Pre-Summary'!$Y$6:$AC$83, 5,FALSE),"")</f>
        <v/>
      </c>
      <c r="W2651" s="45" t="str">
        <f>IFERROR(VLOOKUP(B2651,'Pre-Summary'!$Y$6:$AD$83,6,FALSE),"")</f>
        <v/>
      </c>
      <c r="X2651" t="str">
        <f>IFERROR(VLOOKUP('Pre-Summary'!$DB$6:$DD$63,3,FALSE),"")</f>
        <v/>
      </c>
      <c r="Y2651">
        <f>IFERROR(VLOOKUP(B2651,'Pre-Summary'!$CR$6:$CT$36,3,FALSE),"")</f>
        <v>281.8</v>
      </c>
      <c r="Z2651" s="45">
        <f>IFERROR(VLOOKUP(B2651,'Pre-Summary'!$BZ$6:$CB$63,2,FALSE),"")</f>
        <v>0</v>
      </c>
      <c r="AA2651" s="45">
        <f>IFERROR(VLOOKUP(B2651,'Pre-Summary'!$CG$6:$CI$70,2,FALSE),"")</f>
        <v>166.63342053522021</v>
      </c>
      <c r="AB2651" s="99">
        <f>IFERROR(VLOOKUP(B2651,'Pre-Summary'!$A$6:$P$178,9,FALSE),AB2652)</f>
        <v>0.43582647412843634</v>
      </c>
      <c r="AC2651" s="10">
        <f>IFERROR(VLOOKUP(Summary!B2651,'Pre-Summary'!$A$6:$P$184,5, FALSE)/100,AC2652)</f>
        <v>0.93941799999999998</v>
      </c>
      <c r="AD2651" s="10">
        <f>IFERROR(VLOOKUP(Summary!B2651,'Pre-Summary'!$A$6:$P$184,3, FALSE)/100,AD2652)</f>
        <v>4.8995666666666667E-2</v>
      </c>
      <c r="AE2651" s="10">
        <f>IFERROR(VLOOKUP(Summary!B2651,'Pre-Summary'!$A$6:$P$184,7, FALSE)/100,AE2652)</f>
        <v>1.1586666666666667E-2</v>
      </c>
      <c r="AF2651" s="99">
        <f t="shared" si="124"/>
        <v>2.1353608650905489E-2</v>
      </c>
      <c r="AG2651" s="99">
        <f t="shared" si="125"/>
        <v>5.0497760802348159E-3</v>
      </c>
      <c r="AH2651" s="10" t="str">
        <f>IFERROR(VLOOKUP(B2651,'Pre-Summary'!$AZ$6:$BE$65,3,FALSE),"")</f>
        <v/>
      </c>
      <c r="AI2651" s="10" t="str">
        <f>IFERROR(VLOOKUP(B2651,'Pre-Summary'!$AZ$6:$BE$65,5,FALSE),"")</f>
        <v/>
      </c>
      <c r="AJ2651" s="10" t="str">
        <f>IFERROR(VLOOKUP(B2651,'Pre-Summary'!$AZ$6:$BE$65,4,FALSE),"")</f>
        <v/>
      </c>
      <c r="AK2651" s="10" t="str">
        <f>IFERROR(VLOOKUP(B2651,'Pre-Summary'!$AZ$6:$BE$65,6,FALSE),"")</f>
        <v/>
      </c>
      <c r="AL2651" s="10" t="str">
        <f>IFERROR(VLOOKUP(B2651,'Pre-Summary'!$BG$6:$BL$44,3,FALSE),"")</f>
        <v/>
      </c>
      <c r="AM2651" s="10" t="str">
        <f>IFERROR(VLOOKUP(B2651,'Pre-Summary'!$BG$6:$BL$44,4,FALSE),"")</f>
        <v/>
      </c>
    </row>
    <row r="2652" spans="2:39" ht="15" customHeight="1" x14ac:dyDescent="0.3">
      <c r="B2652">
        <v>264.89999999999998</v>
      </c>
      <c r="C2652" t="str">
        <f>IFERROR(VLOOKUP(B2652,'Pre-Summary'!$DI$6:$DM$23,4,FALSE),"")</f>
        <v/>
      </c>
      <c r="D2652" s="10" t="str">
        <f>IFERROR(VLOOKUP(B2652,'Pre-Summary'!$AT$6:$AX$14,5,FALSE),D2651)</f>
        <v>Wolfe v3: went back to modified wolfe + EDTA and switched CuSO4 to CUCl2</v>
      </c>
      <c r="E2652" s="10" t="str">
        <f>IFERROR(VLOOKUP(B2652,'Pre-Summary'!$AT$6:$AX$15,4,FALSE),"")</f>
        <v/>
      </c>
      <c r="F2652">
        <f>IFERROR(VLOOKUP(B2652,'Pre-Summary'!$AL$6:$AQ$13,6,FALSE),F2651)</f>
        <v>5.9405263157894746E-2</v>
      </c>
      <c r="G2652" t="str">
        <f>IFERROR(VLOOKUP(B2652,'Pre-Summary'!$AE$6:$AJ$85,3,FALSE),"")</f>
        <v/>
      </c>
      <c r="H2652" t="str">
        <f>IFERROR(VLOOKUP(B2652,'Pre-Summary'!$AE$6:$AJ$85,4,FALSE),"")</f>
        <v/>
      </c>
      <c r="I2652" t="str">
        <f>IFERROR(VLOOKUP(B2652,'Pre-Summary'!$AE$6:$AJ$85,5,FALSE),"")</f>
        <v/>
      </c>
      <c r="J2652" s="45" t="str">
        <f>IFERROR(VLOOKUP(B2652,'Pre-Summary'!$AE$6:$AJ$85,6, FALSE),"")</f>
        <v/>
      </c>
      <c r="K2652" s="45" t="str">
        <f>IFERROR(VLOOKUP(B2652,'Pre-Summary'!$DE$6:$DG$61,3,FALSE),"")</f>
        <v/>
      </c>
      <c r="L2652" s="45" t="str">
        <f>IFERROR(VLOOKUP(B2652,'Pre-Summary'!$CU$6:$CW$36,3,FALSE),"")</f>
        <v/>
      </c>
      <c r="M2652" s="45" t="str">
        <f>IFERROR(VLOOKUP(B2652,'Pre-Summary'!$BW$6:$BY$58,2,FALSE),"")</f>
        <v/>
      </c>
      <c r="N2652" s="45" t="str">
        <f>IFERROR(VLOOKUP(B2652,'Pre-Summary'!$CD$6:$CF$64,2,FALSE),"")</f>
        <v/>
      </c>
      <c r="O2652" s="99">
        <f>IFERROR(VLOOKUP(B2652,'Pre-Summary'!$BO$6:$BQ$48,3, FALSE),O2651)</f>
        <v>1.83</v>
      </c>
      <c r="P2652" s="99">
        <f>IFERROR(VLOOKUP(B2652,'Pre-Summary'!$BS$6:$BU$35,3,FALSE),P2651)</f>
        <v>0.46200000000000002</v>
      </c>
      <c r="Q2652" s="54">
        <f t="shared" si="123"/>
        <v>3.9610389610389611</v>
      </c>
      <c r="R2652" s="53">
        <f>IFERROR(VLOOKUP(B2652,'Pre-Summary'!$BG$6:$BM$44,7,FALSE),R2653)</f>
        <v>0.10528059183238438</v>
      </c>
      <c r="S2652" s="53">
        <f>IFERROR(VLOOKUP(B2652,'Pre-Summary'!$BG$6:$BM$44,6,FALSE),S2653)</f>
        <v>0.10567591412599613</v>
      </c>
      <c r="T2652" s="45" t="str">
        <f>IFERROR(VLOOKUP(B2652,'Pre-Summary'!$Y$6:$AC$83, 3,FALSE),"")</f>
        <v/>
      </c>
      <c r="U2652" s="45" t="str">
        <f>IFERROR(VLOOKUP(B2652,'Pre-Summary'!$Y$6:$AC$83, 4,FALSE),"")</f>
        <v/>
      </c>
      <c r="V2652" t="str">
        <f>IFERROR(VLOOKUP(B2652,'Pre-Summary'!$Y$6:$AC$83, 5,FALSE),"")</f>
        <v/>
      </c>
      <c r="W2652" s="45" t="str">
        <f>IFERROR(VLOOKUP(B2652,'Pre-Summary'!$Y$6:$AD$83,6,FALSE),"")</f>
        <v/>
      </c>
      <c r="X2652" t="str">
        <f>IFERROR(VLOOKUP('Pre-Summary'!$DB$6:$DD$63,3,FALSE),"")</f>
        <v/>
      </c>
      <c r="Y2652" t="str">
        <f>IFERROR(VLOOKUP(B2652,'Pre-Summary'!$CR$6:$CT$36,3,FALSE),"")</f>
        <v/>
      </c>
      <c r="Z2652" s="45" t="str">
        <f>IFERROR(VLOOKUP(B2652,'Pre-Summary'!$BZ$6:$CB$63,2,FALSE),"")</f>
        <v/>
      </c>
      <c r="AA2652" s="45" t="str">
        <f>IFERROR(VLOOKUP(B2652,'Pre-Summary'!$CG$6:$CI$70,2,FALSE),"")</f>
        <v/>
      </c>
      <c r="AB2652" s="99">
        <f>IFERROR(VLOOKUP(B2652,'Pre-Summary'!$A$6:$P$178,9,FALSE),AB2653)</f>
        <v>0.44425190445462043</v>
      </c>
      <c r="AC2652" s="10">
        <f>IFERROR(VLOOKUP(Summary!B2652,'Pre-Summary'!$A$6:$P$184,5, FALSE)/100,AC2653)</f>
        <v>0.95692499999999991</v>
      </c>
      <c r="AD2652" s="10">
        <f>IFERROR(VLOOKUP(Summary!B2652,'Pre-Summary'!$A$6:$P$184,3, FALSE)/100,AD2653)</f>
        <v>3.3729333333333333E-2</v>
      </c>
      <c r="AE2652" s="10">
        <f>IFERROR(VLOOKUP(Summary!B2652,'Pre-Summary'!$A$6:$P$184,7, FALSE)/100,AE2653)</f>
        <v>9.3456666666666671E-3</v>
      </c>
      <c r="AF2652" s="99">
        <f t="shared" si="124"/>
        <v>1.4984320569318045E-2</v>
      </c>
      <c r="AG2652" s="99">
        <f t="shared" si="125"/>
        <v>4.1518302150647312E-3</v>
      </c>
      <c r="AH2652" s="10" t="str">
        <f>IFERROR(VLOOKUP(B2652,'Pre-Summary'!$AZ$6:$BE$65,3,FALSE),"")</f>
        <v/>
      </c>
      <c r="AI2652" s="10" t="str">
        <f>IFERROR(VLOOKUP(B2652,'Pre-Summary'!$AZ$6:$BE$65,5,FALSE),"")</f>
        <v/>
      </c>
      <c r="AJ2652" s="10" t="str">
        <f>IFERROR(VLOOKUP(B2652,'Pre-Summary'!$AZ$6:$BE$65,4,FALSE),"")</f>
        <v/>
      </c>
      <c r="AK2652" s="10" t="str">
        <f>IFERROR(VLOOKUP(B2652,'Pre-Summary'!$AZ$6:$BE$65,6,FALSE),"")</f>
        <v/>
      </c>
      <c r="AL2652" s="10" t="str">
        <f>IFERROR(VLOOKUP(B2652,'Pre-Summary'!$BG$6:$BL$44,3,FALSE),"")</f>
        <v/>
      </c>
      <c r="AM2652" s="10" t="str">
        <f>IFERROR(VLOOKUP(B2652,'Pre-Summary'!$BG$6:$BL$44,4,FALSE),"")</f>
        <v/>
      </c>
    </row>
    <row r="2653" spans="2:39" ht="15" customHeight="1" x14ac:dyDescent="0.3">
      <c r="B2653">
        <v>265</v>
      </c>
      <c r="C2653" t="str">
        <f>IFERROR(VLOOKUP(B2653,'Pre-Summary'!$DI$6:$DM$23,4,FALSE),"")</f>
        <v/>
      </c>
      <c r="D2653" s="10" t="str">
        <f>IFERROR(VLOOKUP(B2653,'Pre-Summary'!$AT$6:$AX$14,5,FALSE),D2652)</f>
        <v>Wolfe v3: went back to modified wolfe + EDTA and switched CuSO4 to CUCl2</v>
      </c>
      <c r="E2653" s="10" t="str">
        <f>IFERROR(VLOOKUP(B2653,'Pre-Summary'!$AT$6:$AX$15,4,FALSE),"")</f>
        <v/>
      </c>
      <c r="F2653">
        <f>IFERROR(VLOOKUP(B2653,'Pre-Summary'!$AL$6:$AQ$13,6,FALSE),F2652)</f>
        <v>5.9405263157894746E-2</v>
      </c>
      <c r="G2653" t="str">
        <f>IFERROR(VLOOKUP(B2653,'Pre-Summary'!$AE$6:$AJ$85,3,FALSE),"")</f>
        <v/>
      </c>
      <c r="H2653" t="str">
        <f>IFERROR(VLOOKUP(B2653,'Pre-Summary'!$AE$6:$AJ$85,4,FALSE),"")</f>
        <v/>
      </c>
      <c r="I2653" t="str">
        <f>IFERROR(VLOOKUP(B2653,'Pre-Summary'!$AE$6:$AJ$85,5,FALSE),"")</f>
        <v/>
      </c>
      <c r="J2653" s="45" t="str">
        <f>IFERROR(VLOOKUP(B2653,'Pre-Summary'!$AE$6:$AJ$85,6, FALSE),"")</f>
        <v/>
      </c>
      <c r="K2653" s="45" t="str">
        <f>IFERROR(VLOOKUP(B2653,'Pre-Summary'!$DE$6:$DG$61,3,FALSE),"")</f>
        <v/>
      </c>
      <c r="L2653" s="45" t="str">
        <f>IFERROR(VLOOKUP(B2653,'Pre-Summary'!$CU$6:$CW$36,3,FALSE),"")</f>
        <v/>
      </c>
      <c r="M2653" s="45" t="str">
        <f>IFERROR(VLOOKUP(B2653,'Pre-Summary'!$BW$6:$BY$58,2,FALSE),"")</f>
        <v/>
      </c>
      <c r="N2653" s="45" t="str">
        <f>IFERROR(VLOOKUP(B2653,'Pre-Summary'!$CD$6:$CF$64,2,FALSE),"")</f>
        <v/>
      </c>
      <c r="O2653" s="99">
        <f>IFERROR(VLOOKUP(B2653,'Pre-Summary'!$BO$6:$BQ$48,3, FALSE),O2652)</f>
        <v>1.83</v>
      </c>
      <c r="P2653" s="99">
        <f>IFERROR(VLOOKUP(B2653,'Pre-Summary'!$BS$6:$BU$35,3,FALSE),P2652)</f>
        <v>0.46200000000000002</v>
      </c>
      <c r="Q2653" s="54">
        <f t="shared" si="123"/>
        <v>3.9610389610389611</v>
      </c>
      <c r="R2653" s="53">
        <f>IFERROR(VLOOKUP(B2653,'Pre-Summary'!$BG$6:$BM$44,7,FALSE),R2654)</f>
        <v>0.10528059183238438</v>
      </c>
      <c r="S2653" s="53">
        <f>IFERROR(VLOOKUP(B2653,'Pre-Summary'!$BG$6:$BM$44,6,FALSE),S2654)</f>
        <v>0.10567591412599613</v>
      </c>
      <c r="T2653" s="45" t="str">
        <f>IFERROR(VLOOKUP(B2653,'Pre-Summary'!$Y$6:$AC$83, 3,FALSE),"")</f>
        <v/>
      </c>
      <c r="U2653" s="45" t="str">
        <f>IFERROR(VLOOKUP(B2653,'Pre-Summary'!$Y$6:$AC$83, 4,FALSE),"")</f>
        <v/>
      </c>
      <c r="V2653" t="str">
        <f>IFERROR(VLOOKUP(B2653,'Pre-Summary'!$Y$6:$AC$83, 5,FALSE),"")</f>
        <v/>
      </c>
      <c r="W2653" s="45" t="str">
        <f>IFERROR(VLOOKUP(B2653,'Pre-Summary'!$Y$6:$AD$83,6,FALSE),"")</f>
        <v/>
      </c>
      <c r="X2653" t="str">
        <f>IFERROR(VLOOKUP('Pre-Summary'!$DB$6:$DD$63,3,FALSE),"")</f>
        <v/>
      </c>
      <c r="Y2653" t="str">
        <f>IFERROR(VLOOKUP(B2653,'Pre-Summary'!$CR$6:$CT$36,3,FALSE),"")</f>
        <v/>
      </c>
      <c r="Z2653" s="45" t="str">
        <f>IFERROR(VLOOKUP(B2653,'Pre-Summary'!$BZ$6:$CB$63,2,FALSE),"")</f>
        <v/>
      </c>
      <c r="AA2653" s="45" t="str">
        <f>IFERROR(VLOOKUP(B2653,'Pre-Summary'!$CG$6:$CI$70,2,FALSE),"")</f>
        <v/>
      </c>
      <c r="AB2653" s="99">
        <f>IFERROR(VLOOKUP(B2653,'Pre-Summary'!$A$6:$P$178,9,FALSE),AB2654)</f>
        <v>0.44425190445462043</v>
      </c>
      <c r="AC2653" s="10">
        <f>IFERROR(VLOOKUP(Summary!B2653,'Pre-Summary'!$A$6:$P$184,5, FALSE)/100,AC2654)</f>
        <v>0.95692499999999991</v>
      </c>
      <c r="AD2653" s="10">
        <f>IFERROR(VLOOKUP(Summary!B2653,'Pre-Summary'!$A$6:$P$184,3, FALSE)/100,AD2654)</f>
        <v>3.3729333333333333E-2</v>
      </c>
      <c r="AE2653" s="10">
        <f>IFERROR(VLOOKUP(Summary!B2653,'Pre-Summary'!$A$6:$P$184,7, FALSE)/100,AE2654)</f>
        <v>9.3456666666666671E-3</v>
      </c>
      <c r="AF2653" s="99">
        <f t="shared" si="124"/>
        <v>1.4984320569318045E-2</v>
      </c>
      <c r="AG2653" s="99">
        <f t="shared" si="125"/>
        <v>4.1518302150647312E-3</v>
      </c>
      <c r="AH2653" s="10">
        <f>IFERROR(VLOOKUP(B2653,'Pre-Summary'!$AZ$6:$BE$65,3,FALSE),"")</f>
        <v>231</v>
      </c>
      <c r="AI2653" s="10">
        <f>IFERROR(VLOOKUP(B2653,'Pre-Summary'!$AZ$6:$BE$65,5,FALSE),"")</f>
        <v>132</v>
      </c>
      <c r="AJ2653" s="10">
        <f>IFERROR(VLOOKUP(B2653,'Pre-Summary'!$AZ$6:$BE$65,4,FALSE),"")</f>
        <v>169</v>
      </c>
      <c r="AK2653" s="10">
        <f>IFERROR(VLOOKUP(B2653,'Pre-Summary'!$AZ$6:$BE$65,6,FALSE),"")</f>
        <v>96</v>
      </c>
      <c r="AL2653" s="10">
        <f>IFERROR(VLOOKUP(B2653,'Pre-Summary'!$BG$6:$BL$44,3,FALSE),"")</f>
        <v>4.915129405289596</v>
      </c>
      <c r="AM2653" s="10">
        <f>IFERROR(VLOOKUP(B2653,'Pre-Summary'!$BG$6:$BL$44,4,FALSE),"")</f>
        <v>2.9571544526921243</v>
      </c>
    </row>
    <row r="2654" spans="2:39" ht="15" customHeight="1" x14ac:dyDescent="0.3">
      <c r="B2654">
        <v>265.10000000000002</v>
      </c>
      <c r="C2654" t="str">
        <f>IFERROR(VLOOKUP(B2654,'Pre-Summary'!$DI$6:$DM$23,4,FALSE),"")</f>
        <v/>
      </c>
      <c r="D2654" s="10" t="str">
        <f>IFERROR(VLOOKUP(B2654,'Pre-Summary'!$AT$6:$AX$14,5,FALSE),D2653)</f>
        <v>Wolfe v3: went back to modified wolfe + EDTA and switched CuSO4 to CUCl2</v>
      </c>
      <c r="E2654" s="10" t="str">
        <f>IFERROR(VLOOKUP(B2654,'Pre-Summary'!$AT$6:$AX$15,4,FALSE),"")</f>
        <v/>
      </c>
      <c r="F2654">
        <f>IFERROR(VLOOKUP(B2654,'Pre-Summary'!$AL$6:$AQ$13,6,FALSE),F2653)</f>
        <v>5.9405263157894746E-2</v>
      </c>
      <c r="G2654" t="str">
        <f>IFERROR(VLOOKUP(B2654,'Pre-Summary'!$AE$6:$AJ$85,3,FALSE),"")</f>
        <v/>
      </c>
      <c r="H2654" t="str">
        <f>IFERROR(VLOOKUP(B2654,'Pre-Summary'!$AE$6:$AJ$85,4,FALSE),"")</f>
        <v/>
      </c>
      <c r="I2654" t="str">
        <f>IFERROR(VLOOKUP(B2654,'Pre-Summary'!$AE$6:$AJ$85,5,FALSE),"")</f>
        <v/>
      </c>
      <c r="J2654" s="45" t="str">
        <f>IFERROR(VLOOKUP(B2654,'Pre-Summary'!$AE$6:$AJ$85,6, FALSE),"")</f>
        <v/>
      </c>
      <c r="K2654" s="45" t="str">
        <f>IFERROR(VLOOKUP(B2654,'Pre-Summary'!$DE$6:$DG$61,3,FALSE),"")</f>
        <v/>
      </c>
      <c r="L2654" s="45" t="str">
        <f>IFERROR(VLOOKUP(B2654,'Pre-Summary'!$CU$6:$CW$36,3,FALSE),"")</f>
        <v/>
      </c>
      <c r="M2654" s="45" t="str">
        <f>IFERROR(VLOOKUP(B2654,'Pre-Summary'!$BW$6:$BY$58,2,FALSE),"")</f>
        <v/>
      </c>
      <c r="N2654" s="45" t="str">
        <f>IFERROR(VLOOKUP(B2654,'Pre-Summary'!$CD$6:$CF$64,2,FALSE),"")</f>
        <v/>
      </c>
      <c r="O2654" s="99">
        <f>IFERROR(VLOOKUP(B2654,'Pre-Summary'!$BO$6:$BQ$48,3, FALSE),O2653)</f>
        <v>1.83</v>
      </c>
      <c r="P2654" s="99">
        <f>IFERROR(VLOOKUP(B2654,'Pre-Summary'!$BS$6:$BU$35,3,FALSE),P2653)</f>
        <v>0.46200000000000002</v>
      </c>
      <c r="Q2654" s="54">
        <f t="shared" si="123"/>
        <v>3.9610389610389611</v>
      </c>
      <c r="R2654" s="53">
        <f>IFERROR(VLOOKUP(B2654,'Pre-Summary'!$BG$6:$BM$44,7,FALSE),R2655)</f>
        <v>9.7903492963591104E-2</v>
      </c>
      <c r="S2654" s="53">
        <f>IFERROR(VLOOKUP(B2654,'Pre-Summary'!$BG$6:$BM$44,6,FALSE),S2655)</f>
        <v>0.1105986773408305</v>
      </c>
      <c r="T2654" s="45" t="str">
        <f>IFERROR(VLOOKUP(B2654,'Pre-Summary'!$Y$6:$AC$83, 3,FALSE),"")</f>
        <v/>
      </c>
      <c r="U2654" s="45" t="str">
        <f>IFERROR(VLOOKUP(B2654,'Pre-Summary'!$Y$6:$AC$83, 4,FALSE),"")</f>
        <v/>
      </c>
      <c r="V2654" t="str">
        <f>IFERROR(VLOOKUP(B2654,'Pre-Summary'!$Y$6:$AC$83, 5,FALSE),"")</f>
        <v/>
      </c>
      <c r="W2654" s="45" t="str">
        <f>IFERROR(VLOOKUP(B2654,'Pre-Summary'!$Y$6:$AD$83,6,FALSE),"")</f>
        <v/>
      </c>
      <c r="X2654" t="str">
        <f>IFERROR(VLOOKUP('Pre-Summary'!$DB$6:$DD$63,3,FALSE),"")</f>
        <v/>
      </c>
      <c r="Y2654" t="str">
        <f>IFERROR(VLOOKUP(B2654,'Pre-Summary'!$CR$6:$CT$36,3,FALSE),"")</f>
        <v/>
      </c>
      <c r="Z2654" s="45" t="str">
        <f>IFERROR(VLOOKUP(B2654,'Pre-Summary'!$BZ$6:$CB$63,2,FALSE),"")</f>
        <v/>
      </c>
      <c r="AA2654" s="45" t="str">
        <f>IFERROR(VLOOKUP(B2654,'Pre-Summary'!$CG$6:$CI$70,2,FALSE),"")</f>
        <v/>
      </c>
      <c r="AB2654" s="99">
        <f>IFERROR(VLOOKUP(B2654,'Pre-Summary'!$A$6:$P$178,9,FALSE),AB2655)</f>
        <v>0.44425190445462043</v>
      </c>
      <c r="AC2654" s="10">
        <f>IFERROR(VLOOKUP(Summary!B2654,'Pre-Summary'!$A$6:$P$184,5, FALSE)/100,AC2655)</f>
        <v>0.95692499999999991</v>
      </c>
      <c r="AD2654" s="10">
        <f>IFERROR(VLOOKUP(Summary!B2654,'Pre-Summary'!$A$6:$P$184,3, FALSE)/100,AD2655)</f>
        <v>3.3729333333333333E-2</v>
      </c>
      <c r="AE2654" s="10">
        <f>IFERROR(VLOOKUP(Summary!B2654,'Pre-Summary'!$A$6:$P$184,7, FALSE)/100,AE2655)</f>
        <v>9.3456666666666671E-3</v>
      </c>
      <c r="AF2654" s="99">
        <f t="shared" si="124"/>
        <v>1.4984320569318045E-2</v>
      </c>
      <c r="AG2654" s="99">
        <f t="shared" si="125"/>
        <v>4.1518302150647312E-3</v>
      </c>
      <c r="AH2654" s="10" t="str">
        <f>IFERROR(VLOOKUP(B2654,'Pre-Summary'!$AZ$6:$BE$65,3,FALSE),"")</f>
        <v/>
      </c>
      <c r="AI2654" s="10" t="str">
        <f>IFERROR(VLOOKUP(B2654,'Pre-Summary'!$AZ$6:$BE$65,5,FALSE),"")</f>
        <v/>
      </c>
      <c r="AJ2654" s="10" t="str">
        <f>IFERROR(VLOOKUP(B2654,'Pre-Summary'!$AZ$6:$BE$65,4,FALSE),"")</f>
        <v/>
      </c>
      <c r="AK2654" s="10" t="str">
        <f>IFERROR(VLOOKUP(B2654,'Pre-Summary'!$AZ$6:$BE$65,6,FALSE),"")</f>
        <v/>
      </c>
      <c r="AL2654" s="10" t="str">
        <f>IFERROR(VLOOKUP(B2654,'Pre-Summary'!$BG$6:$BL$44,3,FALSE),"")</f>
        <v/>
      </c>
      <c r="AM2654" s="10" t="str">
        <f>IFERROR(VLOOKUP(B2654,'Pre-Summary'!$BG$6:$BL$44,4,FALSE),"")</f>
        <v/>
      </c>
    </row>
    <row r="2655" spans="2:39" ht="15" customHeight="1" x14ac:dyDescent="0.3">
      <c r="B2655">
        <v>265.2</v>
      </c>
      <c r="C2655" t="str">
        <f>IFERROR(VLOOKUP(B2655,'Pre-Summary'!$DI$6:$DM$23,4,FALSE),"")</f>
        <v/>
      </c>
      <c r="D2655" s="10" t="str">
        <f>IFERROR(VLOOKUP(B2655,'Pre-Summary'!$AT$6:$AX$14,5,FALSE),D2654)</f>
        <v>Wolfe v3: went back to modified wolfe + EDTA and switched CuSO4 to CUCl2</v>
      </c>
      <c r="E2655" s="10" t="str">
        <f>IFERROR(VLOOKUP(B2655,'Pre-Summary'!$AT$6:$AX$15,4,FALSE),"")</f>
        <v/>
      </c>
      <c r="F2655">
        <f>IFERROR(VLOOKUP(B2655,'Pre-Summary'!$AL$6:$AQ$13,6,FALSE),F2654)</f>
        <v>5.9405263157894746E-2</v>
      </c>
      <c r="G2655" t="str">
        <f>IFERROR(VLOOKUP(B2655,'Pre-Summary'!$AE$6:$AJ$85,3,FALSE),"")</f>
        <v/>
      </c>
      <c r="H2655" t="str">
        <f>IFERROR(VLOOKUP(B2655,'Pre-Summary'!$AE$6:$AJ$85,4,FALSE),"")</f>
        <v/>
      </c>
      <c r="I2655" t="str">
        <f>IFERROR(VLOOKUP(B2655,'Pre-Summary'!$AE$6:$AJ$85,5,FALSE),"")</f>
        <v/>
      </c>
      <c r="J2655" s="45" t="str">
        <f>IFERROR(VLOOKUP(B2655,'Pre-Summary'!$AE$6:$AJ$85,6, FALSE),"")</f>
        <v/>
      </c>
      <c r="K2655" s="45" t="str">
        <f>IFERROR(VLOOKUP(B2655,'Pre-Summary'!$DE$6:$DG$61,3,FALSE),"")</f>
        <v/>
      </c>
      <c r="L2655" s="45" t="str">
        <f>IFERROR(VLOOKUP(B2655,'Pre-Summary'!$CU$6:$CW$36,3,FALSE),"")</f>
        <v/>
      </c>
      <c r="M2655" s="45" t="str">
        <f>IFERROR(VLOOKUP(B2655,'Pre-Summary'!$BW$6:$BY$58,2,FALSE),"")</f>
        <v/>
      </c>
      <c r="N2655" s="45" t="str">
        <f>IFERROR(VLOOKUP(B2655,'Pre-Summary'!$CD$6:$CF$64,2,FALSE),"")</f>
        <v/>
      </c>
      <c r="O2655" s="99">
        <f>IFERROR(VLOOKUP(B2655,'Pre-Summary'!$BO$6:$BQ$48,3, FALSE),O2654)</f>
        <v>1.83</v>
      </c>
      <c r="P2655" s="99">
        <f>IFERROR(VLOOKUP(B2655,'Pre-Summary'!$BS$6:$BU$35,3,FALSE),P2654)</f>
        <v>0.46200000000000002</v>
      </c>
      <c r="Q2655" s="54">
        <f t="shared" si="123"/>
        <v>3.9610389610389611</v>
      </c>
      <c r="R2655" s="53">
        <f>IFERROR(VLOOKUP(B2655,'Pre-Summary'!$BG$6:$BM$44,7,FALSE),R2656)</f>
        <v>9.7903492963591104E-2</v>
      </c>
      <c r="S2655" s="53">
        <f>IFERROR(VLOOKUP(B2655,'Pre-Summary'!$BG$6:$BM$44,6,FALSE),S2656)</f>
        <v>0.1105986773408305</v>
      </c>
      <c r="T2655" s="45" t="str">
        <f>IFERROR(VLOOKUP(B2655,'Pre-Summary'!$Y$6:$AC$83, 3,FALSE),"")</f>
        <v/>
      </c>
      <c r="U2655" s="45" t="str">
        <f>IFERROR(VLOOKUP(B2655,'Pre-Summary'!$Y$6:$AC$83, 4,FALSE),"")</f>
        <v/>
      </c>
      <c r="V2655" t="str">
        <f>IFERROR(VLOOKUP(B2655,'Pre-Summary'!$Y$6:$AC$83, 5,FALSE),"")</f>
        <v/>
      </c>
      <c r="W2655" s="45" t="str">
        <f>IFERROR(VLOOKUP(B2655,'Pre-Summary'!$Y$6:$AD$83,6,FALSE),"")</f>
        <v/>
      </c>
      <c r="X2655" t="str">
        <f>IFERROR(VLOOKUP('Pre-Summary'!$DB$6:$DD$63,3,FALSE),"")</f>
        <v/>
      </c>
      <c r="Y2655" t="str">
        <f>IFERROR(VLOOKUP(B2655,'Pre-Summary'!$CR$6:$CT$36,3,FALSE),"")</f>
        <v/>
      </c>
      <c r="Z2655" s="45" t="str">
        <f>IFERROR(VLOOKUP(B2655,'Pre-Summary'!$BZ$6:$CB$63,2,FALSE),"")</f>
        <v/>
      </c>
      <c r="AA2655" s="45" t="str">
        <f>IFERROR(VLOOKUP(B2655,'Pre-Summary'!$CG$6:$CI$70,2,FALSE),"")</f>
        <v/>
      </c>
      <c r="AB2655" s="99">
        <f>IFERROR(VLOOKUP(B2655,'Pre-Summary'!$A$6:$P$178,9,FALSE),AB2656)</f>
        <v>0.44425190445462043</v>
      </c>
      <c r="AC2655" s="10">
        <f>IFERROR(VLOOKUP(Summary!B2655,'Pre-Summary'!$A$6:$P$184,5, FALSE)/100,AC2656)</f>
        <v>0.95692499999999991</v>
      </c>
      <c r="AD2655" s="10">
        <f>IFERROR(VLOOKUP(Summary!B2655,'Pre-Summary'!$A$6:$P$184,3, FALSE)/100,AD2656)</f>
        <v>3.3729333333333333E-2</v>
      </c>
      <c r="AE2655" s="10">
        <f>IFERROR(VLOOKUP(Summary!B2655,'Pre-Summary'!$A$6:$P$184,7, FALSE)/100,AE2656)</f>
        <v>9.3456666666666671E-3</v>
      </c>
      <c r="AF2655" s="99">
        <f t="shared" si="124"/>
        <v>1.4984320569318045E-2</v>
      </c>
      <c r="AG2655" s="99">
        <f t="shared" si="125"/>
        <v>4.1518302150647312E-3</v>
      </c>
      <c r="AH2655" s="10" t="str">
        <f>IFERROR(VLOOKUP(B2655,'Pre-Summary'!$AZ$6:$BE$65,3,FALSE),"")</f>
        <v/>
      </c>
      <c r="AI2655" s="10" t="str">
        <f>IFERROR(VLOOKUP(B2655,'Pre-Summary'!$AZ$6:$BE$65,5,FALSE),"")</f>
        <v/>
      </c>
      <c r="AJ2655" s="10" t="str">
        <f>IFERROR(VLOOKUP(B2655,'Pre-Summary'!$AZ$6:$BE$65,4,FALSE),"")</f>
        <v/>
      </c>
      <c r="AK2655" s="10" t="str">
        <f>IFERROR(VLOOKUP(B2655,'Pre-Summary'!$AZ$6:$BE$65,6,FALSE),"")</f>
        <v/>
      </c>
      <c r="AL2655" s="10" t="str">
        <f>IFERROR(VLOOKUP(B2655,'Pre-Summary'!$BG$6:$BL$44,3,FALSE),"")</f>
        <v/>
      </c>
      <c r="AM2655" s="10" t="str">
        <f>IFERROR(VLOOKUP(B2655,'Pre-Summary'!$BG$6:$BL$44,4,FALSE),"")</f>
        <v/>
      </c>
    </row>
    <row r="2656" spans="2:39" ht="15" customHeight="1" x14ac:dyDescent="0.3">
      <c r="B2656">
        <v>265.3</v>
      </c>
      <c r="C2656" t="str">
        <f>IFERROR(VLOOKUP(B2656,'Pre-Summary'!$DI$6:$DM$23,4,FALSE),"")</f>
        <v/>
      </c>
      <c r="D2656" s="10" t="str">
        <f>IFERROR(VLOOKUP(B2656,'Pre-Summary'!$AT$6:$AX$14,5,FALSE),D2655)</f>
        <v>Wolfe v3: went back to modified wolfe + EDTA and switched CuSO4 to CUCl2</v>
      </c>
      <c r="E2656" s="10" t="str">
        <f>IFERROR(VLOOKUP(B2656,'Pre-Summary'!$AT$6:$AX$15,4,FALSE),"")</f>
        <v/>
      </c>
      <c r="F2656">
        <f>IFERROR(VLOOKUP(B2656,'Pre-Summary'!$AL$6:$AQ$13,6,FALSE),F2655)</f>
        <v>5.9405263157894746E-2</v>
      </c>
      <c r="G2656" t="str">
        <f>IFERROR(VLOOKUP(B2656,'Pre-Summary'!$AE$6:$AJ$85,3,FALSE),"")</f>
        <v/>
      </c>
      <c r="H2656" t="str">
        <f>IFERROR(VLOOKUP(B2656,'Pre-Summary'!$AE$6:$AJ$85,4,FALSE),"")</f>
        <v/>
      </c>
      <c r="I2656" t="str">
        <f>IFERROR(VLOOKUP(B2656,'Pre-Summary'!$AE$6:$AJ$85,5,FALSE),"")</f>
        <v/>
      </c>
      <c r="J2656" s="45" t="str">
        <f>IFERROR(VLOOKUP(B2656,'Pre-Summary'!$AE$6:$AJ$85,6, FALSE),"")</f>
        <v/>
      </c>
      <c r="K2656" s="45" t="str">
        <f>IFERROR(VLOOKUP(B2656,'Pre-Summary'!$DE$6:$DG$61,3,FALSE),"")</f>
        <v/>
      </c>
      <c r="L2656" s="45" t="str">
        <f>IFERROR(VLOOKUP(B2656,'Pre-Summary'!$CU$6:$CW$36,3,FALSE),"")</f>
        <v/>
      </c>
      <c r="M2656" s="45" t="str">
        <f>IFERROR(VLOOKUP(B2656,'Pre-Summary'!$BW$6:$BY$58,2,FALSE),"")</f>
        <v/>
      </c>
      <c r="N2656" s="45" t="str">
        <f>IFERROR(VLOOKUP(B2656,'Pre-Summary'!$CD$6:$CF$64,2,FALSE),"")</f>
        <v/>
      </c>
      <c r="O2656" s="99">
        <f>IFERROR(VLOOKUP(B2656,'Pre-Summary'!$BO$6:$BQ$48,3, FALSE),O2655)</f>
        <v>1.83</v>
      </c>
      <c r="P2656" s="99">
        <f>IFERROR(VLOOKUP(B2656,'Pre-Summary'!$BS$6:$BU$35,3,FALSE),P2655)</f>
        <v>0.46200000000000002</v>
      </c>
      <c r="Q2656" s="54">
        <f t="shared" si="123"/>
        <v>3.9610389610389611</v>
      </c>
      <c r="R2656" s="53">
        <f>IFERROR(VLOOKUP(B2656,'Pre-Summary'!$BG$6:$BM$44,7,FALSE),R2657)</f>
        <v>9.7903492963591104E-2</v>
      </c>
      <c r="S2656" s="53">
        <f>IFERROR(VLOOKUP(B2656,'Pre-Summary'!$BG$6:$BM$44,6,FALSE),S2657)</f>
        <v>0.1105986773408305</v>
      </c>
      <c r="T2656" s="45" t="str">
        <f>IFERROR(VLOOKUP(B2656,'Pre-Summary'!$Y$6:$AC$83, 3,FALSE),"")</f>
        <v/>
      </c>
      <c r="U2656" s="45" t="str">
        <f>IFERROR(VLOOKUP(B2656,'Pre-Summary'!$Y$6:$AC$83, 4,FALSE),"")</f>
        <v/>
      </c>
      <c r="V2656" t="str">
        <f>IFERROR(VLOOKUP(B2656,'Pre-Summary'!$Y$6:$AC$83, 5,FALSE),"")</f>
        <v/>
      </c>
      <c r="W2656" s="45" t="str">
        <f>IFERROR(VLOOKUP(B2656,'Pre-Summary'!$Y$6:$AD$83,6,FALSE),"")</f>
        <v/>
      </c>
      <c r="X2656" t="str">
        <f>IFERROR(VLOOKUP('Pre-Summary'!$DB$6:$DD$63,3,FALSE),"")</f>
        <v/>
      </c>
      <c r="Y2656" t="str">
        <f>IFERROR(VLOOKUP(B2656,'Pre-Summary'!$CR$6:$CT$36,3,FALSE),"")</f>
        <v/>
      </c>
      <c r="Z2656" s="45" t="str">
        <f>IFERROR(VLOOKUP(B2656,'Pre-Summary'!$BZ$6:$CB$63,2,FALSE),"")</f>
        <v/>
      </c>
      <c r="AA2656" s="45" t="str">
        <f>IFERROR(VLOOKUP(B2656,'Pre-Summary'!$CG$6:$CI$70,2,FALSE),"")</f>
        <v/>
      </c>
      <c r="AB2656" s="99">
        <f>IFERROR(VLOOKUP(B2656,'Pre-Summary'!$A$6:$P$178,9,FALSE),AB2657)</f>
        <v>0.44425190445462043</v>
      </c>
      <c r="AC2656" s="10">
        <f>IFERROR(VLOOKUP(Summary!B2656,'Pre-Summary'!$A$6:$P$184,5, FALSE)/100,AC2657)</f>
        <v>0.95692499999999991</v>
      </c>
      <c r="AD2656" s="10">
        <f>IFERROR(VLOOKUP(Summary!B2656,'Pre-Summary'!$A$6:$P$184,3, FALSE)/100,AD2657)</f>
        <v>3.3729333333333333E-2</v>
      </c>
      <c r="AE2656" s="10">
        <f>IFERROR(VLOOKUP(Summary!B2656,'Pre-Summary'!$A$6:$P$184,7, FALSE)/100,AE2657)</f>
        <v>9.3456666666666671E-3</v>
      </c>
      <c r="AF2656" s="99">
        <f t="shared" si="124"/>
        <v>1.4984320569318045E-2</v>
      </c>
      <c r="AG2656" s="99">
        <f t="shared" si="125"/>
        <v>4.1518302150647312E-3</v>
      </c>
      <c r="AH2656" s="10" t="str">
        <f>IFERROR(VLOOKUP(B2656,'Pre-Summary'!$AZ$6:$BE$65,3,FALSE),"")</f>
        <v/>
      </c>
      <c r="AI2656" s="10" t="str">
        <f>IFERROR(VLOOKUP(B2656,'Pre-Summary'!$AZ$6:$BE$65,5,FALSE),"")</f>
        <v/>
      </c>
      <c r="AJ2656" s="10" t="str">
        <f>IFERROR(VLOOKUP(B2656,'Pre-Summary'!$AZ$6:$BE$65,4,FALSE),"")</f>
        <v/>
      </c>
      <c r="AK2656" s="10" t="str">
        <f>IFERROR(VLOOKUP(B2656,'Pre-Summary'!$AZ$6:$BE$65,6,FALSE),"")</f>
        <v/>
      </c>
      <c r="AL2656" s="10" t="str">
        <f>IFERROR(VLOOKUP(B2656,'Pre-Summary'!$BG$6:$BL$44,3,FALSE),"")</f>
        <v/>
      </c>
      <c r="AM2656" s="10" t="str">
        <f>IFERROR(VLOOKUP(B2656,'Pre-Summary'!$BG$6:$BL$44,4,FALSE),"")</f>
        <v/>
      </c>
    </row>
    <row r="2657" spans="2:39" ht="15" customHeight="1" x14ac:dyDescent="0.3">
      <c r="B2657">
        <v>265.39999999999998</v>
      </c>
      <c r="C2657" t="str">
        <f>IFERROR(VLOOKUP(B2657,'Pre-Summary'!$DI$6:$DM$23,4,FALSE),"")</f>
        <v/>
      </c>
      <c r="D2657" s="10" t="str">
        <f>IFERROR(VLOOKUP(B2657,'Pre-Summary'!$AT$6:$AX$14,5,FALSE),D2656)</f>
        <v>Wolfe v3: went back to modified wolfe + EDTA and switched CuSO4 to CUCl2</v>
      </c>
      <c r="E2657" s="10" t="str">
        <f>IFERROR(VLOOKUP(B2657,'Pre-Summary'!$AT$6:$AX$15,4,FALSE),"")</f>
        <v/>
      </c>
      <c r="F2657">
        <f>IFERROR(VLOOKUP(B2657,'Pre-Summary'!$AL$6:$AQ$13,6,FALSE),F2656)</f>
        <v>5.9405263157894746E-2</v>
      </c>
      <c r="G2657" t="str">
        <f>IFERROR(VLOOKUP(B2657,'Pre-Summary'!$AE$6:$AJ$85,3,FALSE),"")</f>
        <v/>
      </c>
      <c r="H2657" t="str">
        <f>IFERROR(VLOOKUP(B2657,'Pre-Summary'!$AE$6:$AJ$85,4,FALSE),"")</f>
        <v/>
      </c>
      <c r="I2657" t="str">
        <f>IFERROR(VLOOKUP(B2657,'Pre-Summary'!$AE$6:$AJ$85,5,FALSE),"")</f>
        <v/>
      </c>
      <c r="J2657" s="45" t="str">
        <f>IFERROR(VLOOKUP(B2657,'Pre-Summary'!$AE$6:$AJ$85,6, FALSE),"")</f>
        <v/>
      </c>
      <c r="K2657" s="45" t="str">
        <f>IFERROR(VLOOKUP(B2657,'Pre-Summary'!$DE$6:$DG$61,3,FALSE),"")</f>
        <v/>
      </c>
      <c r="L2657" s="45" t="str">
        <f>IFERROR(VLOOKUP(B2657,'Pre-Summary'!$CU$6:$CW$36,3,FALSE),"")</f>
        <v/>
      </c>
      <c r="M2657" s="45" t="str">
        <f>IFERROR(VLOOKUP(B2657,'Pre-Summary'!$BW$6:$BY$58,2,FALSE),"")</f>
        <v/>
      </c>
      <c r="N2657" s="45" t="str">
        <f>IFERROR(VLOOKUP(B2657,'Pre-Summary'!$CD$6:$CF$64,2,FALSE),"")</f>
        <v/>
      </c>
      <c r="O2657" s="99">
        <f>IFERROR(VLOOKUP(B2657,'Pre-Summary'!$BO$6:$BQ$48,3, FALSE),O2656)</f>
        <v>1.83</v>
      </c>
      <c r="P2657" s="99">
        <f>IFERROR(VLOOKUP(B2657,'Pre-Summary'!$BS$6:$BU$35,3,FALSE),P2656)</f>
        <v>0.46200000000000002</v>
      </c>
      <c r="Q2657" s="54">
        <f t="shared" si="123"/>
        <v>3.9610389610389611</v>
      </c>
      <c r="R2657" s="53">
        <f>IFERROR(VLOOKUP(B2657,'Pre-Summary'!$BG$6:$BM$44,7,FALSE),R2658)</f>
        <v>9.7903492963591104E-2</v>
      </c>
      <c r="S2657" s="53">
        <f>IFERROR(VLOOKUP(B2657,'Pre-Summary'!$BG$6:$BM$44,6,FALSE),S2658)</f>
        <v>0.1105986773408305</v>
      </c>
      <c r="T2657" s="45" t="str">
        <f>IFERROR(VLOOKUP(B2657,'Pre-Summary'!$Y$6:$AC$83, 3,FALSE),"")</f>
        <v/>
      </c>
      <c r="U2657" s="45" t="str">
        <f>IFERROR(VLOOKUP(B2657,'Pre-Summary'!$Y$6:$AC$83, 4,FALSE),"")</f>
        <v/>
      </c>
      <c r="V2657" t="str">
        <f>IFERROR(VLOOKUP(B2657,'Pre-Summary'!$Y$6:$AC$83, 5,FALSE),"")</f>
        <v/>
      </c>
      <c r="W2657" s="45" t="str">
        <f>IFERROR(VLOOKUP(B2657,'Pre-Summary'!$Y$6:$AD$83,6,FALSE),"")</f>
        <v/>
      </c>
      <c r="X2657" t="str">
        <f>IFERROR(VLOOKUP('Pre-Summary'!$DB$6:$DD$63,3,FALSE),"")</f>
        <v/>
      </c>
      <c r="Y2657" t="str">
        <f>IFERROR(VLOOKUP(B2657,'Pre-Summary'!$CR$6:$CT$36,3,FALSE),"")</f>
        <v/>
      </c>
      <c r="Z2657" s="45" t="str">
        <f>IFERROR(VLOOKUP(B2657,'Pre-Summary'!$BZ$6:$CB$63,2,FALSE),"")</f>
        <v/>
      </c>
      <c r="AA2657" s="45" t="str">
        <f>IFERROR(VLOOKUP(B2657,'Pre-Summary'!$CG$6:$CI$70,2,FALSE),"")</f>
        <v/>
      </c>
      <c r="AB2657" s="99">
        <f>IFERROR(VLOOKUP(B2657,'Pre-Summary'!$A$6:$P$178,9,FALSE),AB2658)</f>
        <v>0.44425190445462043</v>
      </c>
      <c r="AC2657" s="10">
        <f>IFERROR(VLOOKUP(Summary!B2657,'Pre-Summary'!$A$6:$P$184,5, FALSE)/100,AC2658)</f>
        <v>0.95692499999999991</v>
      </c>
      <c r="AD2657" s="10">
        <f>IFERROR(VLOOKUP(Summary!B2657,'Pre-Summary'!$A$6:$P$184,3, FALSE)/100,AD2658)</f>
        <v>3.3729333333333333E-2</v>
      </c>
      <c r="AE2657" s="10">
        <f>IFERROR(VLOOKUP(Summary!B2657,'Pre-Summary'!$A$6:$P$184,7, FALSE)/100,AE2658)</f>
        <v>9.3456666666666671E-3</v>
      </c>
      <c r="AF2657" s="99">
        <f t="shared" si="124"/>
        <v>1.4984320569318045E-2</v>
      </c>
      <c r="AG2657" s="99">
        <f t="shared" si="125"/>
        <v>4.1518302150647312E-3</v>
      </c>
      <c r="AH2657" s="10" t="str">
        <f>IFERROR(VLOOKUP(B2657,'Pre-Summary'!$AZ$6:$BE$65,3,FALSE),"")</f>
        <v/>
      </c>
      <c r="AI2657" s="10" t="str">
        <f>IFERROR(VLOOKUP(B2657,'Pre-Summary'!$AZ$6:$BE$65,5,FALSE),"")</f>
        <v/>
      </c>
      <c r="AJ2657" s="10" t="str">
        <f>IFERROR(VLOOKUP(B2657,'Pre-Summary'!$AZ$6:$BE$65,4,FALSE),"")</f>
        <v/>
      </c>
      <c r="AK2657" s="10" t="str">
        <f>IFERROR(VLOOKUP(B2657,'Pre-Summary'!$AZ$6:$BE$65,6,FALSE),"")</f>
        <v/>
      </c>
      <c r="AL2657" s="10" t="str">
        <f>IFERROR(VLOOKUP(B2657,'Pre-Summary'!$BG$6:$BL$44,3,FALSE),"")</f>
        <v/>
      </c>
      <c r="AM2657" s="10" t="str">
        <f>IFERROR(VLOOKUP(B2657,'Pre-Summary'!$BG$6:$BL$44,4,FALSE),"")</f>
        <v/>
      </c>
    </row>
    <row r="2658" spans="2:39" ht="15" customHeight="1" x14ac:dyDescent="0.3">
      <c r="B2658">
        <v>265.5</v>
      </c>
      <c r="C2658" t="str">
        <f>IFERROR(VLOOKUP(B2658,'Pre-Summary'!$DI$6:$DM$23,4,FALSE),"")</f>
        <v/>
      </c>
      <c r="D2658" s="10" t="str">
        <f>IFERROR(VLOOKUP(B2658,'Pre-Summary'!$AT$6:$AX$14,5,FALSE),D2657)</f>
        <v>Wolfe v3: went back to modified wolfe + EDTA and switched CuSO4 to CUCl2</v>
      </c>
      <c r="E2658" s="10" t="str">
        <f>IFERROR(VLOOKUP(B2658,'Pre-Summary'!$AT$6:$AX$15,4,FALSE),"")</f>
        <v/>
      </c>
      <c r="F2658">
        <f>IFERROR(VLOOKUP(B2658,'Pre-Summary'!$AL$6:$AQ$13,6,FALSE),F2657)</f>
        <v>5.9405263157894746E-2</v>
      </c>
      <c r="G2658" t="str">
        <f>IFERROR(VLOOKUP(B2658,'Pre-Summary'!$AE$6:$AJ$85,3,FALSE),"")</f>
        <v/>
      </c>
      <c r="H2658" t="str">
        <f>IFERROR(VLOOKUP(B2658,'Pre-Summary'!$AE$6:$AJ$85,4,FALSE),"")</f>
        <v/>
      </c>
      <c r="I2658" t="str">
        <f>IFERROR(VLOOKUP(B2658,'Pre-Summary'!$AE$6:$AJ$85,5,FALSE),"")</f>
        <v/>
      </c>
      <c r="J2658" s="45" t="str">
        <f>IFERROR(VLOOKUP(B2658,'Pre-Summary'!$AE$6:$AJ$85,6, FALSE),"")</f>
        <v/>
      </c>
      <c r="K2658" s="45" t="str">
        <f>IFERROR(VLOOKUP(B2658,'Pre-Summary'!$DE$6:$DG$61,3,FALSE),"")</f>
        <v/>
      </c>
      <c r="L2658" s="45" t="str">
        <f>IFERROR(VLOOKUP(B2658,'Pre-Summary'!$CU$6:$CW$36,3,FALSE),"")</f>
        <v/>
      </c>
      <c r="M2658" s="45" t="str">
        <f>IFERROR(VLOOKUP(B2658,'Pre-Summary'!$BW$6:$BY$58,2,FALSE),"")</f>
        <v/>
      </c>
      <c r="N2658" s="45" t="str">
        <f>IFERROR(VLOOKUP(B2658,'Pre-Summary'!$CD$6:$CF$64,2,FALSE),"")</f>
        <v/>
      </c>
      <c r="O2658" s="99">
        <f>IFERROR(VLOOKUP(B2658,'Pre-Summary'!$BO$6:$BQ$48,3, FALSE),O2657)</f>
        <v>1.83</v>
      </c>
      <c r="P2658" s="99">
        <f>IFERROR(VLOOKUP(B2658,'Pre-Summary'!$BS$6:$BU$35,3,FALSE),P2657)</f>
        <v>0.46200000000000002</v>
      </c>
      <c r="Q2658" s="54">
        <f t="shared" si="123"/>
        <v>3.9610389610389611</v>
      </c>
      <c r="R2658" s="53">
        <f>IFERROR(VLOOKUP(B2658,'Pre-Summary'!$BG$6:$BM$44,7,FALSE),R2659)</f>
        <v>9.7903492963591104E-2</v>
      </c>
      <c r="S2658" s="53">
        <f>IFERROR(VLOOKUP(B2658,'Pre-Summary'!$BG$6:$BM$44,6,FALSE),S2659)</f>
        <v>0.1105986773408305</v>
      </c>
      <c r="T2658" s="45" t="str">
        <f>IFERROR(VLOOKUP(B2658,'Pre-Summary'!$Y$6:$AC$83, 3,FALSE),"")</f>
        <v/>
      </c>
      <c r="U2658" s="45" t="str">
        <f>IFERROR(VLOOKUP(B2658,'Pre-Summary'!$Y$6:$AC$83, 4,FALSE),"")</f>
        <v/>
      </c>
      <c r="V2658" t="str">
        <f>IFERROR(VLOOKUP(B2658,'Pre-Summary'!$Y$6:$AC$83, 5,FALSE),"")</f>
        <v/>
      </c>
      <c r="W2658" s="45" t="str">
        <f>IFERROR(VLOOKUP(B2658,'Pre-Summary'!$Y$6:$AD$83,6,FALSE),"")</f>
        <v/>
      </c>
      <c r="X2658" t="str">
        <f>IFERROR(VLOOKUP('Pre-Summary'!$DB$6:$DD$63,3,FALSE),"")</f>
        <v/>
      </c>
      <c r="Y2658" t="str">
        <f>IFERROR(VLOOKUP(B2658,'Pre-Summary'!$CR$6:$CT$36,3,FALSE),"")</f>
        <v/>
      </c>
      <c r="Z2658" s="45" t="str">
        <f>IFERROR(VLOOKUP(B2658,'Pre-Summary'!$BZ$6:$CB$63,2,FALSE),"")</f>
        <v/>
      </c>
      <c r="AA2658" s="45" t="str">
        <f>IFERROR(VLOOKUP(B2658,'Pre-Summary'!$CG$6:$CI$70,2,FALSE),"")</f>
        <v/>
      </c>
      <c r="AB2658" s="99">
        <f>IFERROR(VLOOKUP(B2658,'Pre-Summary'!$A$6:$P$178,9,FALSE),AB2659)</f>
        <v>0.44425190445462043</v>
      </c>
      <c r="AC2658" s="10">
        <f>IFERROR(VLOOKUP(Summary!B2658,'Pre-Summary'!$A$6:$P$184,5, FALSE)/100,AC2659)</f>
        <v>0.95692499999999991</v>
      </c>
      <c r="AD2658" s="10">
        <f>IFERROR(VLOOKUP(Summary!B2658,'Pre-Summary'!$A$6:$P$184,3, FALSE)/100,AD2659)</f>
        <v>3.3729333333333333E-2</v>
      </c>
      <c r="AE2658" s="10">
        <f>IFERROR(VLOOKUP(Summary!B2658,'Pre-Summary'!$A$6:$P$184,7, FALSE)/100,AE2659)</f>
        <v>9.3456666666666671E-3</v>
      </c>
      <c r="AF2658" s="99">
        <f t="shared" si="124"/>
        <v>1.4984320569318045E-2</v>
      </c>
      <c r="AG2658" s="99">
        <f t="shared" si="125"/>
        <v>4.1518302150647312E-3</v>
      </c>
      <c r="AH2658" s="10" t="str">
        <f>IFERROR(VLOOKUP(B2658,'Pre-Summary'!$AZ$6:$BE$65,3,FALSE),"")</f>
        <v/>
      </c>
      <c r="AI2658" s="10" t="str">
        <f>IFERROR(VLOOKUP(B2658,'Pre-Summary'!$AZ$6:$BE$65,5,FALSE),"")</f>
        <v/>
      </c>
      <c r="AJ2658" s="10" t="str">
        <f>IFERROR(VLOOKUP(B2658,'Pre-Summary'!$AZ$6:$BE$65,4,FALSE),"")</f>
        <v/>
      </c>
      <c r="AK2658" s="10" t="str">
        <f>IFERROR(VLOOKUP(B2658,'Pre-Summary'!$AZ$6:$BE$65,6,FALSE),"")</f>
        <v/>
      </c>
      <c r="AL2658" s="10" t="str">
        <f>IFERROR(VLOOKUP(B2658,'Pre-Summary'!$BG$6:$BL$44,3,FALSE),"")</f>
        <v/>
      </c>
      <c r="AM2658" s="10" t="str">
        <f>IFERROR(VLOOKUP(B2658,'Pre-Summary'!$BG$6:$BL$44,4,FALSE),"")</f>
        <v/>
      </c>
    </row>
    <row r="2659" spans="2:39" ht="15" customHeight="1" x14ac:dyDescent="0.3">
      <c r="B2659">
        <v>265.60000000000002</v>
      </c>
      <c r="C2659" t="str">
        <f>IFERROR(VLOOKUP(B2659,'Pre-Summary'!$DI$6:$DM$23,4,FALSE),"")</f>
        <v/>
      </c>
      <c r="D2659" s="10" t="str">
        <f>IFERROR(VLOOKUP(B2659,'Pre-Summary'!$AT$6:$AX$14,5,FALSE),D2658)</f>
        <v>Wolfe v3: went back to modified wolfe + EDTA and switched CuSO4 to CUCl2</v>
      </c>
      <c r="E2659" s="10" t="str">
        <f>IFERROR(VLOOKUP(B2659,'Pre-Summary'!$AT$6:$AX$15,4,FALSE),"")</f>
        <v/>
      </c>
      <c r="F2659">
        <f>IFERROR(VLOOKUP(B2659,'Pre-Summary'!$AL$6:$AQ$13,6,FALSE),F2658)</f>
        <v>5.9405263157894746E-2</v>
      </c>
      <c r="G2659" t="str">
        <f>IFERROR(VLOOKUP(B2659,'Pre-Summary'!$AE$6:$AJ$85,3,FALSE),"")</f>
        <v/>
      </c>
      <c r="H2659" t="str">
        <f>IFERROR(VLOOKUP(B2659,'Pre-Summary'!$AE$6:$AJ$85,4,FALSE),"")</f>
        <v/>
      </c>
      <c r="I2659" t="str">
        <f>IFERROR(VLOOKUP(B2659,'Pre-Summary'!$AE$6:$AJ$85,5,FALSE),"")</f>
        <v/>
      </c>
      <c r="J2659" s="45" t="str">
        <f>IFERROR(VLOOKUP(B2659,'Pre-Summary'!$AE$6:$AJ$85,6, FALSE),"")</f>
        <v/>
      </c>
      <c r="K2659" s="45" t="str">
        <f>IFERROR(VLOOKUP(B2659,'Pre-Summary'!$DE$6:$DG$61,3,FALSE),"")</f>
        <v/>
      </c>
      <c r="L2659" s="45" t="str">
        <f>IFERROR(VLOOKUP(B2659,'Pre-Summary'!$CU$6:$CW$36,3,FALSE),"")</f>
        <v/>
      </c>
      <c r="M2659" s="45" t="str">
        <f>IFERROR(VLOOKUP(B2659,'Pre-Summary'!$BW$6:$BY$58,2,FALSE),"")</f>
        <v/>
      </c>
      <c r="N2659" s="45" t="str">
        <f>IFERROR(VLOOKUP(B2659,'Pre-Summary'!$CD$6:$CF$64,2,FALSE),"")</f>
        <v/>
      </c>
      <c r="O2659" s="99">
        <f>IFERROR(VLOOKUP(B2659,'Pre-Summary'!$BO$6:$BQ$48,3, FALSE),O2658)</f>
        <v>1.83</v>
      </c>
      <c r="P2659" s="99">
        <f>IFERROR(VLOOKUP(B2659,'Pre-Summary'!$BS$6:$BU$35,3,FALSE),P2658)</f>
        <v>0.46200000000000002</v>
      </c>
      <c r="Q2659" s="54">
        <f t="shared" si="123"/>
        <v>3.9610389610389611</v>
      </c>
      <c r="R2659" s="53">
        <f>IFERROR(VLOOKUP(B2659,'Pre-Summary'!$BG$6:$BM$44,7,FALSE),R2660)</f>
        <v>9.7903492963591104E-2</v>
      </c>
      <c r="S2659" s="53">
        <f>IFERROR(VLOOKUP(B2659,'Pre-Summary'!$BG$6:$BM$44,6,FALSE),S2660)</f>
        <v>0.1105986773408305</v>
      </c>
      <c r="T2659" s="45" t="str">
        <f>IFERROR(VLOOKUP(B2659,'Pre-Summary'!$Y$6:$AC$83, 3,FALSE),"")</f>
        <v/>
      </c>
      <c r="U2659" s="45" t="str">
        <f>IFERROR(VLOOKUP(B2659,'Pre-Summary'!$Y$6:$AC$83, 4,FALSE),"")</f>
        <v/>
      </c>
      <c r="V2659" t="str">
        <f>IFERROR(VLOOKUP(B2659,'Pre-Summary'!$Y$6:$AC$83, 5,FALSE),"")</f>
        <v/>
      </c>
      <c r="W2659" s="45" t="str">
        <f>IFERROR(VLOOKUP(B2659,'Pre-Summary'!$Y$6:$AD$83,6,FALSE),"")</f>
        <v/>
      </c>
      <c r="X2659" t="str">
        <f>IFERROR(VLOOKUP('Pre-Summary'!$DB$6:$DD$63,3,FALSE),"")</f>
        <v/>
      </c>
      <c r="Y2659" t="str">
        <f>IFERROR(VLOOKUP(B2659,'Pre-Summary'!$CR$6:$CT$36,3,FALSE),"")</f>
        <v/>
      </c>
      <c r="Z2659" s="45" t="str">
        <f>IFERROR(VLOOKUP(B2659,'Pre-Summary'!$BZ$6:$CB$63,2,FALSE),"")</f>
        <v/>
      </c>
      <c r="AA2659" s="45" t="str">
        <f>IFERROR(VLOOKUP(B2659,'Pre-Summary'!$CG$6:$CI$70,2,FALSE),"")</f>
        <v/>
      </c>
      <c r="AB2659" s="99">
        <f>IFERROR(VLOOKUP(B2659,'Pre-Summary'!$A$6:$P$178,9,FALSE),AB2660)</f>
        <v>0.44425190445462043</v>
      </c>
      <c r="AC2659" s="10">
        <f>IFERROR(VLOOKUP(Summary!B2659,'Pre-Summary'!$A$6:$P$184,5, FALSE)/100,AC2660)</f>
        <v>0.95692499999999991</v>
      </c>
      <c r="AD2659" s="10">
        <f>IFERROR(VLOOKUP(Summary!B2659,'Pre-Summary'!$A$6:$P$184,3, FALSE)/100,AD2660)</f>
        <v>3.3729333333333333E-2</v>
      </c>
      <c r="AE2659" s="10">
        <f>IFERROR(VLOOKUP(Summary!B2659,'Pre-Summary'!$A$6:$P$184,7, FALSE)/100,AE2660)</f>
        <v>9.3456666666666671E-3</v>
      </c>
      <c r="AF2659" s="99">
        <f t="shared" si="124"/>
        <v>1.4984320569318045E-2</v>
      </c>
      <c r="AG2659" s="99">
        <f t="shared" si="125"/>
        <v>4.1518302150647312E-3</v>
      </c>
      <c r="AH2659" s="10" t="str">
        <f>IFERROR(VLOOKUP(B2659,'Pre-Summary'!$AZ$6:$BE$65,3,FALSE),"")</f>
        <v/>
      </c>
      <c r="AI2659" s="10" t="str">
        <f>IFERROR(VLOOKUP(B2659,'Pre-Summary'!$AZ$6:$BE$65,5,FALSE),"")</f>
        <v/>
      </c>
      <c r="AJ2659" s="10" t="str">
        <f>IFERROR(VLOOKUP(B2659,'Pre-Summary'!$AZ$6:$BE$65,4,FALSE),"")</f>
        <v/>
      </c>
      <c r="AK2659" s="10" t="str">
        <f>IFERROR(VLOOKUP(B2659,'Pre-Summary'!$AZ$6:$BE$65,6,FALSE),"")</f>
        <v/>
      </c>
      <c r="AL2659" s="10" t="str">
        <f>IFERROR(VLOOKUP(B2659,'Pre-Summary'!$BG$6:$BL$44,3,FALSE),"")</f>
        <v/>
      </c>
      <c r="AM2659" s="10" t="str">
        <f>IFERROR(VLOOKUP(B2659,'Pre-Summary'!$BG$6:$BL$44,4,FALSE),"")</f>
        <v/>
      </c>
    </row>
    <row r="2660" spans="2:39" ht="15" customHeight="1" x14ac:dyDescent="0.3">
      <c r="B2660">
        <v>265.7</v>
      </c>
      <c r="C2660" t="str">
        <f>IFERROR(VLOOKUP(B2660,'Pre-Summary'!$DI$6:$DM$23,4,FALSE),"")</f>
        <v/>
      </c>
      <c r="D2660" s="10" t="str">
        <f>IFERROR(VLOOKUP(B2660,'Pre-Summary'!$AT$6:$AX$14,5,FALSE),D2659)</f>
        <v>Wolfe v3: went back to modified wolfe + EDTA and switched CuSO4 to CUCl2</v>
      </c>
      <c r="E2660" s="10" t="str">
        <f>IFERROR(VLOOKUP(B2660,'Pre-Summary'!$AT$6:$AX$15,4,FALSE),"")</f>
        <v/>
      </c>
      <c r="F2660">
        <f>IFERROR(VLOOKUP(B2660,'Pre-Summary'!$AL$6:$AQ$13,6,FALSE),F2659)</f>
        <v>5.9405263157894746E-2</v>
      </c>
      <c r="G2660" t="str">
        <f>IFERROR(VLOOKUP(B2660,'Pre-Summary'!$AE$6:$AJ$85,3,FALSE),"")</f>
        <v/>
      </c>
      <c r="H2660" t="str">
        <f>IFERROR(VLOOKUP(B2660,'Pre-Summary'!$AE$6:$AJ$85,4,FALSE),"")</f>
        <v/>
      </c>
      <c r="I2660" t="str">
        <f>IFERROR(VLOOKUP(B2660,'Pre-Summary'!$AE$6:$AJ$85,5,FALSE),"")</f>
        <v/>
      </c>
      <c r="J2660" s="45" t="str">
        <f>IFERROR(VLOOKUP(B2660,'Pre-Summary'!$AE$6:$AJ$85,6, FALSE),"")</f>
        <v/>
      </c>
      <c r="K2660" s="45" t="str">
        <f>IFERROR(VLOOKUP(B2660,'Pre-Summary'!$DE$6:$DG$61,3,FALSE),"")</f>
        <v/>
      </c>
      <c r="L2660" s="45" t="str">
        <f>IFERROR(VLOOKUP(B2660,'Pre-Summary'!$CU$6:$CW$36,3,FALSE),"")</f>
        <v/>
      </c>
      <c r="M2660" s="45" t="str">
        <f>IFERROR(VLOOKUP(B2660,'Pre-Summary'!$BW$6:$BY$58,2,FALSE),"")</f>
        <v/>
      </c>
      <c r="N2660" s="45" t="str">
        <f>IFERROR(VLOOKUP(B2660,'Pre-Summary'!$CD$6:$CF$64,2,FALSE),"")</f>
        <v/>
      </c>
      <c r="O2660" s="99">
        <f>IFERROR(VLOOKUP(B2660,'Pre-Summary'!$BO$6:$BQ$48,3, FALSE),O2659)</f>
        <v>1.83</v>
      </c>
      <c r="P2660" s="99">
        <f>IFERROR(VLOOKUP(B2660,'Pre-Summary'!$BS$6:$BU$35,3,FALSE),P2659)</f>
        <v>0.46200000000000002</v>
      </c>
      <c r="Q2660" s="54">
        <f t="shared" si="123"/>
        <v>3.9610389610389611</v>
      </c>
      <c r="R2660" s="53">
        <f>IFERROR(VLOOKUP(B2660,'Pre-Summary'!$BG$6:$BM$44,7,FALSE),R2661)</f>
        <v>9.7903492963591104E-2</v>
      </c>
      <c r="S2660" s="53">
        <f>IFERROR(VLOOKUP(B2660,'Pre-Summary'!$BG$6:$BM$44,6,FALSE),S2661)</f>
        <v>0.1105986773408305</v>
      </c>
      <c r="T2660" s="45" t="str">
        <f>IFERROR(VLOOKUP(B2660,'Pre-Summary'!$Y$6:$AC$83, 3,FALSE),"")</f>
        <v/>
      </c>
      <c r="U2660" s="45" t="str">
        <f>IFERROR(VLOOKUP(B2660,'Pre-Summary'!$Y$6:$AC$83, 4,FALSE),"")</f>
        <v/>
      </c>
      <c r="V2660" t="str">
        <f>IFERROR(VLOOKUP(B2660,'Pre-Summary'!$Y$6:$AC$83, 5,FALSE),"")</f>
        <v/>
      </c>
      <c r="W2660" s="45" t="str">
        <f>IFERROR(VLOOKUP(B2660,'Pre-Summary'!$Y$6:$AD$83,6,FALSE),"")</f>
        <v/>
      </c>
      <c r="X2660" t="str">
        <f>IFERROR(VLOOKUP('Pre-Summary'!$DB$6:$DD$63,3,FALSE),"")</f>
        <v/>
      </c>
      <c r="Y2660" t="str">
        <f>IFERROR(VLOOKUP(B2660,'Pre-Summary'!$CR$6:$CT$36,3,FALSE),"")</f>
        <v/>
      </c>
      <c r="Z2660" s="45" t="str">
        <f>IFERROR(VLOOKUP(B2660,'Pre-Summary'!$BZ$6:$CB$63,2,FALSE),"")</f>
        <v/>
      </c>
      <c r="AA2660" s="45" t="str">
        <f>IFERROR(VLOOKUP(B2660,'Pre-Summary'!$CG$6:$CI$70,2,FALSE),"")</f>
        <v/>
      </c>
      <c r="AB2660" s="99">
        <f>IFERROR(VLOOKUP(B2660,'Pre-Summary'!$A$6:$P$178,9,FALSE),AB2661)</f>
        <v>0.44425190445462043</v>
      </c>
      <c r="AC2660" s="10">
        <f>IFERROR(VLOOKUP(Summary!B2660,'Pre-Summary'!$A$6:$P$184,5, FALSE)/100,AC2661)</f>
        <v>0.95692499999999991</v>
      </c>
      <c r="AD2660" s="10">
        <f>IFERROR(VLOOKUP(Summary!B2660,'Pre-Summary'!$A$6:$P$184,3, FALSE)/100,AD2661)</f>
        <v>3.3729333333333333E-2</v>
      </c>
      <c r="AE2660" s="10">
        <f>IFERROR(VLOOKUP(Summary!B2660,'Pre-Summary'!$A$6:$P$184,7, FALSE)/100,AE2661)</f>
        <v>9.3456666666666671E-3</v>
      </c>
      <c r="AF2660" s="99">
        <f t="shared" si="124"/>
        <v>1.4984320569318045E-2</v>
      </c>
      <c r="AG2660" s="99">
        <f t="shared" si="125"/>
        <v>4.1518302150647312E-3</v>
      </c>
      <c r="AH2660" s="10" t="str">
        <f>IFERROR(VLOOKUP(B2660,'Pre-Summary'!$AZ$6:$BE$65,3,FALSE),"")</f>
        <v/>
      </c>
      <c r="AI2660" s="10" t="str">
        <f>IFERROR(VLOOKUP(B2660,'Pre-Summary'!$AZ$6:$BE$65,5,FALSE),"")</f>
        <v/>
      </c>
      <c r="AJ2660" s="10" t="str">
        <f>IFERROR(VLOOKUP(B2660,'Pre-Summary'!$AZ$6:$BE$65,4,FALSE),"")</f>
        <v/>
      </c>
      <c r="AK2660" s="10" t="str">
        <f>IFERROR(VLOOKUP(B2660,'Pre-Summary'!$AZ$6:$BE$65,6,FALSE),"")</f>
        <v/>
      </c>
      <c r="AL2660" s="10" t="str">
        <f>IFERROR(VLOOKUP(B2660,'Pre-Summary'!$BG$6:$BL$44,3,FALSE),"")</f>
        <v/>
      </c>
      <c r="AM2660" s="10" t="str">
        <f>IFERROR(VLOOKUP(B2660,'Pre-Summary'!$BG$6:$BL$44,4,FALSE),"")</f>
        <v/>
      </c>
    </row>
    <row r="2661" spans="2:39" ht="15" customHeight="1" x14ac:dyDescent="0.3">
      <c r="B2661">
        <v>265.8</v>
      </c>
      <c r="C2661" t="str">
        <f>IFERROR(VLOOKUP(B2661,'Pre-Summary'!$DI$6:$DM$23,4,FALSE),"")</f>
        <v/>
      </c>
      <c r="D2661" s="10" t="str">
        <f>IFERROR(VLOOKUP(B2661,'Pre-Summary'!$AT$6:$AX$14,5,FALSE),D2660)</f>
        <v>Wolfe v3: went back to modified wolfe + EDTA and switched CuSO4 to CUCl2</v>
      </c>
      <c r="E2661" s="10" t="str">
        <f>IFERROR(VLOOKUP(B2661,'Pre-Summary'!$AT$6:$AX$15,4,FALSE),"")</f>
        <v/>
      </c>
      <c r="F2661">
        <f>IFERROR(VLOOKUP(B2661,'Pre-Summary'!$AL$6:$AQ$13,6,FALSE),F2660)</f>
        <v>5.9405263157894746E-2</v>
      </c>
      <c r="G2661" t="str">
        <f>IFERROR(VLOOKUP(B2661,'Pre-Summary'!$AE$6:$AJ$85,3,FALSE),"")</f>
        <v/>
      </c>
      <c r="H2661" t="str">
        <f>IFERROR(VLOOKUP(B2661,'Pre-Summary'!$AE$6:$AJ$85,4,FALSE),"")</f>
        <v/>
      </c>
      <c r="I2661" t="str">
        <f>IFERROR(VLOOKUP(B2661,'Pre-Summary'!$AE$6:$AJ$85,5,FALSE),"")</f>
        <v/>
      </c>
      <c r="J2661" s="45" t="str">
        <f>IFERROR(VLOOKUP(B2661,'Pre-Summary'!$AE$6:$AJ$85,6, FALSE),"")</f>
        <v/>
      </c>
      <c r="K2661" s="45" t="str">
        <f>IFERROR(VLOOKUP(B2661,'Pre-Summary'!$DE$6:$DG$61,3,FALSE),"")</f>
        <v/>
      </c>
      <c r="L2661" s="45" t="str">
        <f>IFERROR(VLOOKUP(B2661,'Pre-Summary'!$CU$6:$CW$36,3,FALSE),"")</f>
        <v/>
      </c>
      <c r="M2661" s="45" t="str">
        <f>IFERROR(VLOOKUP(B2661,'Pre-Summary'!$BW$6:$BY$58,2,FALSE),"")</f>
        <v/>
      </c>
      <c r="N2661" s="45" t="str">
        <f>IFERROR(VLOOKUP(B2661,'Pre-Summary'!$CD$6:$CF$64,2,FALSE),"")</f>
        <v/>
      </c>
      <c r="O2661" s="99">
        <f>IFERROR(VLOOKUP(B2661,'Pre-Summary'!$BO$6:$BQ$48,3, FALSE),O2660)</f>
        <v>1.83</v>
      </c>
      <c r="P2661" s="99">
        <f>IFERROR(VLOOKUP(B2661,'Pre-Summary'!$BS$6:$BU$35,3,FALSE),P2660)</f>
        <v>0.46200000000000002</v>
      </c>
      <c r="Q2661" s="54">
        <f t="shared" si="123"/>
        <v>3.9610389610389611</v>
      </c>
      <c r="R2661" s="53">
        <f>IFERROR(VLOOKUP(B2661,'Pre-Summary'!$BG$6:$BM$44,7,FALSE),R2662)</f>
        <v>9.7903492963591104E-2</v>
      </c>
      <c r="S2661" s="53">
        <f>IFERROR(VLOOKUP(B2661,'Pre-Summary'!$BG$6:$BM$44,6,FALSE),S2662)</f>
        <v>0.1105986773408305</v>
      </c>
      <c r="T2661" s="45" t="str">
        <f>IFERROR(VLOOKUP(B2661,'Pre-Summary'!$Y$6:$AC$83, 3,FALSE),"")</f>
        <v/>
      </c>
      <c r="U2661" s="45" t="str">
        <f>IFERROR(VLOOKUP(B2661,'Pre-Summary'!$Y$6:$AC$83, 4,FALSE),"")</f>
        <v/>
      </c>
      <c r="V2661" t="str">
        <f>IFERROR(VLOOKUP(B2661,'Pre-Summary'!$Y$6:$AC$83, 5,FALSE),"")</f>
        <v/>
      </c>
      <c r="W2661" s="45" t="str">
        <f>IFERROR(VLOOKUP(B2661,'Pre-Summary'!$Y$6:$AD$83,6,FALSE),"")</f>
        <v/>
      </c>
      <c r="X2661" t="str">
        <f>IFERROR(VLOOKUP('Pre-Summary'!$DB$6:$DD$63,3,FALSE),"")</f>
        <v/>
      </c>
      <c r="Y2661" t="str">
        <f>IFERROR(VLOOKUP(B2661,'Pre-Summary'!$CR$6:$CT$36,3,FALSE),"")</f>
        <v/>
      </c>
      <c r="Z2661" s="45" t="str">
        <f>IFERROR(VLOOKUP(B2661,'Pre-Summary'!$BZ$6:$CB$63,2,FALSE),"")</f>
        <v/>
      </c>
      <c r="AA2661" s="45" t="str">
        <f>IFERROR(VLOOKUP(B2661,'Pre-Summary'!$CG$6:$CI$70,2,FALSE),"")</f>
        <v/>
      </c>
      <c r="AB2661" s="99">
        <f>IFERROR(VLOOKUP(B2661,'Pre-Summary'!$A$6:$P$178,9,FALSE),AB2662)</f>
        <v>0.44425190445462043</v>
      </c>
      <c r="AC2661" s="10">
        <f>IFERROR(VLOOKUP(Summary!B2661,'Pre-Summary'!$A$6:$P$184,5, FALSE)/100,AC2662)</f>
        <v>0.95692499999999991</v>
      </c>
      <c r="AD2661" s="10">
        <f>IFERROR(VLOOKUP(Summary!B2661,'Pre-Summary'!$A$6:$P$184,3, FALSE)/100,AD2662)</f>
        <v>3.3729333333333333E-2</v>
      </c>
      <c r="AE2661" s="10">
        <f>IFERROR(VLOOKUP(Summary!B2661,'Pre-Summary'!$A$6:$P$184,7, FALSE)/100,AE2662)</f>
        <v>9.3456666666666671E-3</v>
      </c>
      <c r="AF2661" s="99">
        <f t="shared" si="124"/>
        <v>1.4984320569318045E-2</v>
      </c>
      <c r="AG2661" s="99">
        <f t="shared" si="125"/>
        <v>4.1518302150647312E-3</v>
      </c>
      <c r="AH2661" s="10" t="str">
        <f>IFERROR(VLOOKUP(B2661,'Pre-Summary'!$AZ$6:$BE$65,3,FALSE),"")</f>
        <v/>
      </c>
      <c r="AI2661" s="10" t="str">
        <f>IFERROR(VLOOKUP(B2661,'Pre-Summary'!$AZ$6:$BE$65,5,FALSE),"")</f>
        <v/>
      </c>
      <c r="AJ2661" s="10" t="str">
        <f>IFERROR(VLOOKUP(B2661,'Pre-Summary'!$AZ$6:$BE$65,4,FALSE),"")</f>
        <v/>
      </c>
      <c r="AK2661" s="10" t="str">
        <f>IFERROR(VLOOKUP(B2661,'Pre-Summary'!$AZ$6:$BE$65,6,FALSE),"")</f>
        <v/>
      </c>
      <c r="AL2661" s="10" t="str">
        <f>IFERROR(VLOOKUP(B2661,'Pre-Summary'!$BG$6:$BL$44,3,FALSE),"")</f>
        <v/>
      </c>
      <c r="AM2661" s="10" t="str">
        <f>IFERROR(VLOOKUP(B2661,'Pre-Summary'!$BG$6:$BL$44,4,FALSE),"")</f>
        <v/>
      </c>
    </row>
    <row r="2662" spans="2:39" ht="15" customHeight="1" x14ac:dyDescent="0.3">
      <c r="B2662">
        <v>265.89999999999998</v>
      </c>
      <c r="C2662" t="str">
        <f>IFERROR(VLOOKUP(B2662,'Pre-Summary'!$DI$6:$DM$23,4,FALSE),"")</f>
        <v/>
      </c>
      <c r="D2662" s="10" t="str">
        <f>IFERROR(VLOOKUP(B2662,'Pre-Summary'!$AT$6:$AX$14,5,FALSE),D2661)</f>
        <v>Wolfe v3: went back to modified wolfe + EDTA and switched CuSO4 to CUCl2</v>
      </c>
      <c r="E2662" s="10" t="str">
        <f>IFERROR(VLOOKUP(B2662,'Pre-Summary'!$AT$6:$AX$15,4,FALSE),"")</f>
        <v/>
      </c>
      <c r="F2662">
        <f>IFERROR(VLOOKUP(B2662,'Pre-Summary'!$AL$6:$AQ$13,6,FALSE),F2661)</f>
        <v>5.9405263157894746E-2</v>
      </c>
      <c r="G2662" t="str">
        <f>IFERROR(VLOOKUP(B2662,'Pre-Summary'!$AE$6:$AJ$85,3,FALSE),"")</f>
        <v/>
      </c>
      <c r="H2662" t="str">
        <f>IFERROR(VLOOKUP(B2662,'Pre-Summary'!$AE$6:$AJ$85,4,FALSE),"")</f>
        <v/>
      </c>
      <c r="I2662" t="str">
        <f>IFERROR(VLOOKUP(B2662,'Pre-Summary'!$AE$6:$AJ$85,5,FALSE),"")</f>
        <v/>
      </c>
      <c r="J2662" s="45" t="str">
        <f>IFERROR(VLOOKUP(B2662,'Pre-Summary'!$AE$6:$AJ$85,6, FALSE),"")</f>
        <v/>
      </c>
      <c r="K2662" s="45" t="str">
        <f>IFERROR(VLOOKUP(B2662,'Pre-Summary'!$DE$6:$DG$61,3,FALSE),"")</f>
        <v/>
      </c>
      <c r="L2662" s="45" t="str">
        <f>IFERROR(VLOOKUP(B2662,'Pre-Summary'!$CU$6:$CW$36,3,FALSE),"")</f>
        <v/>
      </c>
      <c r="M2662" s="45" t="str">
        <f>IFERROR(VLOOKUP(B2662,'Pre-Summary'!$BW$6:$BY$58,2,FALSE),"")</f>
        <v/>
      </c>
      <c r="N2662" s="45" t="str">
        <f>IFERROR(VLOOKUP(B2662,'Pre-Summary'!$CD$6:$CF$64,2,FALSE),"")</f>
        <v/>
      </c>
      <c r="O2662" s="99">
        <f>IFERROR(VLOOKUP(B2662,'Pre-Summary'!$BO$6:$BQ$48,3, FALSE),O2661)</f>
        <v>1.83</v>
      </c>
      <c r="P2662" s="99">
        <f>IFERROR(VLOOKUP(B2662,'Pre-Summary'!$BS$6:$BU$35,3,FALSE),P2661)</f>
        <v>0.46200000000000002</v>
      </c>
      <c r="Q2662" s="54">
        <f t="shared" si="123"/>
        <v>3.9610389610389611</v>
      </c>
      <c r="R2662" s="53">
        <f>IFERROR(VLOOKUP(B2662,'Pre-Summary'!$BG$6:$BM$44,7,FALSE),R2663)</f>
        <v>9.7903492963591104E-2</v>
      </c>
      <c r="S2662" s="53">
        <f>IFERROR(VLOOKUP(B2662,'Pre-Summary'!$BG$6:$BM$44,6,FALSE),S2663)</f>
        <v>0.1105986773408305</v>
      </c>
      <c r="T2662" s="45" t="str">
        <f>IFERROR(VLOOKUP(B2662,'Pre-Summary'!$Y$6:$AC$83, 3,FALSE),"")</f>
        <v/>
      </c>
      <c r="U2662" s="45" t="str">
        <f>IFERROR(VLOOKUP(B2662,'Pre-Summary'!$Y$6:$AC$83, 4,FALSE),"")</f>
        <v/>
      </c>
      <c r="V2662" t="str">
        <f>IFERROR(VLOOKUP(B2662,'Pre-Summary'!$Y$6:$AC$83, 5,FALSE),"")</f>
        <v/>
      </c>
      <c r="W2662" s="45" t="str">
        <f>IFERROR(VLOOKUP(B2662,'Pre-Summary'!$Y$6:$AD$83,6,FALSE),"")</f>
        <v/>
      </c>
      <c r="X2662" t="str">
        <f>IFERROR(VLOOKUP('Pre-Summary'!$DB$6:$DD$63,3,FALSE),"")</f>
        <v/>
      </c>
      <c r="Y2662" t="str">
        <f>IFERROR(VLOOKUP(B2662,'Pre-Summary'!$CR$6:$CT$36,3,FALSE),"")</f>
        <v/>
      </c>
      <c r="Z2662" s="45" t="str">
        <f>IFERROR(VLOOKUP(B2662,'Pre-Summary'!$BZ$6:$CB$63,2,FALSE),"")</f>
        <v/>
      </c>
      <c r="AA2662" s="45" t="str">
        <f>IFERROR(VLOOKUP(B2662,'Pre-Summary'!$CG$6:$CI$70,2,FALSE),"")</f>
        <v/>
      </c>
      <c r="AB2662" s="99">
        <f>IFERROR(VLOOKUP(B2662,'Pre-Summary'!$A$6:$P$178,9,FALSE),AB2663)</f>
        <v>0.44425190445462043</v>
      </c>
      <c r="AC2662" s="10">
        <f>IFERROR(VLOOKUP(Summary!B2662,'Pre-Summary'!$A$6:$P$184,5, FALSE)/100,AC2663)</f>
        <v>0.95692499999999991</v>
      </c>
      <c r="AD2662" s="10">
        <f>IFERROR(VLOOKUP(Summary!B2662,'Pre-Summary'!$A$6:$P$184,3, FALSE)/100,AD2663)</f>
        <v>3.3729333333333333E-2</v>
      </c>
      <c r="AE2662" s="10">
        <f>IFERROR(VLOOKUP(Summary!B2662,'Pre-Summary'!$A$6:$P$184,7, FALSE)/100,AE2663)</f>
        <v>9.3456666666666671E-3</v>
      </c>
      <c r="AF2662" s="99">
        <f t="shared" si="124"/>
        <v>1.4984320569318045E-2</v>
      </c>
      <c r="AG2662" s="99">
        <f t="shared" si="125"/>
        <v>4.1518302150647312E-3</v>
      </c>
      <c r="AH2662" s="10" t="str">
        <f>IFERROR(VLOOKUP(B2662,'Pre-Summary'!$AZ$6:$BE$65,3,FALSE),"")</f>
        <v/>
      </c>
      <c r="AI2662" s="10" t="str">
        <f>IFERROR(VLOOKUP(B2662,'Pre-Summary'!$AZ$6:$BE$65,5,FALSE),"")</f>
        <v/>
      </c>
      <c r="AJ2662" s="10" t="str">
        <f>IFERROR(VLOOKUP(B2662,'Pre-Summary'!$AZ$6:$BE$65,4,FALSE),"")</f>
        <v/>
      </c>
      <c r="AK2662" s="10" t="str">
        <f>IFERROR(VLOOKUP(B2662,'Pre-Summary'!$AZ$6:$BE$65,6,FALSE),"")</f>
        <v/>
      </c>
      <c r="AL2662" s="10" t="str">
        <f>IFERROR(VLOOKUP(B2662,'Pre-Summary'!$BG$6:$BL$44,3,FALSE),"")</f>
        <v/>
      </c>
      <c r="AM2662" s="10" t="str">
        <f>IFERROR(VLOOKUP(B2662,'Pre-Summary'!$BG$6:$BL$44,4,FALSE),"")</f>
        <v/>
      </c>
    </row>
    <row r="2663" spans="2:39" ht="15" customHeight="1" x14ac:dyDescent="0.3">
      <c r="B2663">
        <v>266</v>
      </c>
      <c r="C2663" t="str">
        <f>IFERROR(VLOOKUP(B2663,'Pre-Summary'!$DI$6:$DM$23,4,FALSE),"")</f>
        <v/>
      </c>
      <c r="D2663" s="10" t="str">
        <f>IFERROR(VLOOKUP(B2663,'Pre-Summary'!$AT$6:$AX$14,5,FALSE),D2662)</f>
        <v>Wolfe v3: went back to modified wolfe + EDTA and switched CuSO4 to CUCl2</v>
      </c>
      <c r="E2663" s="10" t="str">
        <f>IFERROR(VLOOKUP(B2663,'Pre-Summary'!$AT$6:$AX$15,4,FALSE),"")</f>
        <v/>
      </c>
      <c r="F2663">
        <f>IFERROR(VLOOKUP(B2663,'Pre-Summary'!$AL$6:$AQ$13,6,FALSE),F2662)</f>
        <v>5.9405263157894746E-2</v>
      </c>
      <c r="G2663" t="str">
        <f>IFERROR(VLOOKUP(B2663,'Pre-Summary'!$AE$6:$AJ$85,3,FALSE),"")</f>
        <v/>
      </c>
      <c r="H2663" t="str">
        <f>IFERROR(VLOOKUP(B2663,'Pre-Summary'!$AE$6:$AJ$85,4,FALSE),"")</f>
        <v/>
      </c>
      <c r="I2663" t="str">
        <f>IFERROR(VLOOKUP(B2663,'Pre-Summary'!$AE$6:$AJ$85,5,FALSE),"")</f>
        <v/>
      </c>
      <c r="J2663" s="45" t="str">
        <f>IFERROR(VLOOKUP(B2663,'Pre-Summary'!$AE$6:$AJ$85,6, FALSE),"")</f>
        <v/>
      </c>
      <c r="K2663" s="45" t="str">
        <f>IFERROR(VLOOKUP(B2663,'Pre-Summary'!$DE$6:$DG$61,3,FALSE),"")</f>
        <v/>
      </c>
      <c r="L2663" s="45" t="str">
        <f>IFERROR(VLOOKUP(B2663,'Pre-Summary'!$CU$6:$CW$36,3,FALSE),"")</f>
        <v/>
      </c>
      <c r="M2663" s="45" t="str">
        <f>IFERROR(VLOOKUP(B2663,'Pre-Summary'!$BW$6:$BY$58,2,FALSE),"")</f>
        <v/>
      </c>
      <c r="N2663" s="45" t="str">
        <f>IFERROR(VLOOKUP(B2663,'Pre-Summary'!$CD$6:$CF$64,2,FALSE),"")</f>
        <v/>
      </c>
      <c r="O2663" s="99">
        <f>IFERROR(VLOOKUP(B2663,'Pre-Summary'!$BO$6:$BQ$48,3, FALSE),O2662)</f>
        <v>1.83</v>
      </c>
      <c r="P2663" s="99">
        <f>IFERROR(VLOOKUP(B2663,'Pre-Summary'!$BS$6:$BU$35,3,FALSE),P2662)</f>
        <v>0.46200000000000002</v>
      </c>
      <c r="Q2663" s="54">
        <f t="shared" si="123"/>
        <v>3.9610389610389611</v>
      </c>
      <c r="R2663" s="53">
        <f>IFERROR(VLOOKUP(B2663,'Pre-Summary'!$BG$6:$BM$44,7,FALSE),R2664)</f>
        <v>9.7903492963591104E-2</v>
      </c>
      <c r="S2663" s="53">
        <f>IFERROR(VLOOKUP(B2663,'Pre-Summary'!$BG$6:$BM$44,6,FALSE),S2664)</f>
        <v>0.1105986773408305</v>
      </c>
      <c r="T2663" s="45" t="str">
        <f>IFERROR(VLOOKUP(B2663,'Pre-Summary'!$Y$6:$AC$83, 3,FALSE),"")</f>
        <v/>
      </c>
      <c r="U2663" s="45" t="str">
        <f>IFERROR(VLOOKUP(B2663,'Pre-Summary'!$Y$6:$AC$83, 4,FALSE),"")</f>
        <v/>
      </c>
      <c r="V2663" t="str">
        <f>IFERROR(VLOOKUP(B2663,'Pre-Summary'!$Y$6:$AC$83, 5,FALSE),"")</f>
        <v/>
      </c>
      <c r="W2663" s="45" t="str">
        <f>IFERROR(VLOOKUP(B2663,'Pre-Summary'!$Y$6:$AD$83,6,FALSE),"")</f>
        <v/>
      </c>
      <c r="X2663" t="str">
        <f>IFERROR(VLOOKUP('Pre-Summary'!$DB$6:$DD$63,3,FALSE),"")</f>
        <v/>
      </c>
      <c r="Y2663" t="str">
        <f>IFERROR(VLOOKUP(B2663,'Pre-Summary'!$CR$6:$CT$36,3,FALSE),"")</f>
        <v/>
      </c>
      <c r="Z2663" s="45" t="str">
        <f>IFERROR(VLOOKUP(B2663,'Pre-Summary'!$BZ$6:$CB$63,2,FALSE),"")</f>
        <v/>
      </c>
      <c r="AA2663" s="45" t="str">
        <f>IFERROR(VLOOKUP(B2663,'Pre-Summary'!$CG$6:$CI$70,2,FALSE),"")</f>
        <v/>
      </c>
      <c r="AB2663" s="99">
        <f>IFERROR(VLOOKUP(B2663,'Pre-Summary'!$A$6:$P$178,9,FALSE),AB2664)</f>
        <v>0.44425190445462043</v>
      </c>
      <c r="AC2663" s="10">
        <f>IFERROR(VLOOKUP(Summary!B2663,'Pre-Summary'!$A$6:$P$184,5, FALSE)/100,AC2664)</f>
        <v>0.95692499999999991</v>
      </c>
      <c r="AD2663" s="10">
        <f>IFERROR(VLOOKUP(Summary!B2663,'Pre-Summary'!$A$6:$P$184,3, FALSE)/100,AD2664)</f>
        <v>3.3729333333333333E-2</v>
      </c>
      <c r="AE2663" s="10">
        <f>IFERROR(VLOOKUP(Summary!B2663,'Pre-Summary'!$A$6:$P$184,7, FALSE)/100,AE2664)</f>
        <v>9.3456666666666671E-3</v>
      </c>
      <c r="AF2663" s="99">
        <f t="shared" si="124"/>
        <v>1.4984320569318045E-2</v>
      </c>
      <c r="AG2663" s="99">
        <f t="shared" si="125"/>
        <v>4.1518302150647312E-3</v>
      </c>
      <c r="AH2663" s="10" t="str">
        <f>IFERROR(VLOOKUP(B2663,'Pre-Summary'!$AZ$6:$BE$65,3,FALSE),"")</f>
        <v/>
      </c>
      <c r="AI2663" s="10" t="str">
        <f>IFERROR(VLOOKUP(B2663,'Pre-Summary'!$AZ$6:$BE$65,5,FALSE),"")</f>
        <v/>
      </c>
      <c r="AJ2663" s="10" t="str">
        <f>IFERROR(VLOOKUP(B2663,'Pre-Summary'!$AZ$6:$BE$65,4,FALSE),"")</f>
        <v/>
      </c>
      <c r="AK2663" s="10" t="str">
        <f>IFERROR(VLOOKUP(B2663,'Pre-Summary'!$AZ$6:$BE$65,6,FALSE),"")</f>
        <v/>
      </c>
      <c r="AL2663" s="10" t="str">
        <f>IFERROR(VLOOKUP(B2663,'Pre-Summary'!$BG$6:$BL$44,3,FALSE),"")</f>
        <v/>
      </c>
      <c r="AM2663" s="10" t="str">
        <f>IFERROR(VLOOKUP(B2663,'Pre-Summary'!$BG$6:$BL$44,4,FALSE),"")</f>
        <v/>
      </c>
    </row>
    <row r="2664" spans="2:39" ht="15" customHeight="1" x14ac:dyDescent="0.3">
      <c r="B2664">
        <v>266.10000000000002</v>
      </c>
      <c r="C2664" t="str">
        <f>IFERROR(VLOOKUP(B2664,'Pre-Summary'!$DI$6:$DM$23,4,FALSE),"")</f>
        <v/>
      </c>
      <c r="D2664" s="10" t="str">
        <f>IFERROR(VLOOKUP(B2664,'Pre-Summary'!$AT$6:$AX$14,5,FALSE),D2663)</f>
        <v>Wolfe v3: went back to modified wolfe + EDTA and switched CuSO4 to CUCl2</v>
      </c>
      <c r="E2664" s="10" t="str">
        <f>IFERROR(VLOOKUP(B2664,'Pre-Summary'!$AT$6:$AX$15,4,FALSE),"")</f>
        <v/>
      </c>
      <c r="F2664">
        <f>IFERROR(VLOOKUP(B2664,'Pre-Summary'!$AL$6:$AQ$13,6,FALSE),F2663)</f>
        <v>5.9405263157894746E-2</v>
      </c>
      <c r="G2664" t="str">
        <f>IFERROR(VLOOKUP(B2664,'Pre-Summary'!$AE$6:$AJ$85,3,FALSE),"")</f>
        <v/>
      </c>
      <c r="H2664" t="str">
        <f>IFERROR(VLOOKUP(B2664,'Pre-Summary'!$AE$6:$AJ$85,4,FALSE),"")</f>
        <v/>
      </c>
      <c r="I2664" t="str">
        <f>IFERROR(VLOOKUP(B2664,'Pre-Summary'!$AE$6:$AJ$85,5,FALSE),"")</f>
        <v/>
      </c>
      <c r="J2664" s="45" t="str">
        <f>IFERROR(VLOOKUP(B2664,'Pre-Summary'!$AE$6:$AJ$85,6, FALSE),"")</f>
        <v/>
      </c>
      <c r="K2664" s="45" t="str">
        <f>IFERROR(VLOOKUP(B2664,'Pre-Summary'!$DE$6:$DG$61,3,FALSE),"")</f>
        <v/>
      </c>
      <c r="L2664" s="45" t="str">
        <f>IFERROR(VLOOKUP(B2664,'Pre-Summary'!$CU$6:$CW$36,3,FALSE),"")</f>
        <v/>
      </c>
      <c r="M2664" s="45" t="str">
        <f>IFERROR(VLOOKUP(B2664,'Pre-Summary'!$BW$6:$BY$58,2,FALSE),"")</f>
        <v/>
      </c>
      <c r="N2664" s="45" t="str">
        <f>IFERROR(VLOOKUP(B2664,'Pre-Summary'!$CD$6:$CF$64,2,FALSE),"")</f>
        <v/>
      </c>
      <c r="O2664" s="99">
        <f>IFERROR(VLOOKUP(B2664,'Pre-Summary'!$BO$6:$BQ$48,3, FALSE),O2663)</f>
        <v>1.83</v>
      </c>
      <c r="P2664" s="99">
        <f>IFERROR(VLOOKUP(B2664,'Pre-Summary'!$BS$6:$BU$35,3,FALSE),P2663)</f>
        <v>0.46200000000000002</v>
      </c>
      <c r="Q2664" s="54">
        <f t="shared" si="123"/>
        <v>3.9610389610389611</v>
      </c>
      <c r="R2664" s="53">
        <f>IFERROR(VLOOKUP(B2664,'Pre-Summary'!$BG$6:$BM$44,7,FALSE),R2665)</f>
        <v>9.7903492963591104E-2</v>
      </c>
      <c r="S2664" s="53">
        <f>IFERROR(VLOOKUP(B2664,'Pre-Summary'!$BG$6:$BM$44,6,FALSE),S2665)</f>
        <v>0.1105986773408305</v>
      </c>
      <c r="T2664" s="45" t="str">
        <f>IFERROR(VLOOKUP(B2664,'Pre-Summary'!$Y$6:$AC$83, 3,FALSE),"")</f>
        <v/>
      </c>
      <c r="U2664" s="45" t="str">
        <f>IFERROR(VLOOKUP(B2664,'Pre-Summary'!$Y$6:$AC$83, 4,FALSE),"")</f>
        <v/>
      </c>
      <c r="V2664" t="str">
        <f>IFERROR(VLOOKUP(B2664,'Pre-Summary'!$Y$6:$AC$83, 5,FALSE),"")</f>
        <v/>
      </c>
      <c r="W2664" s="45" t="str">
        <f>IFERROR(VLOOKUP(B2664,'Pre-Summary'!$Y$6:$AD$83,6,FALSE),"")</f>
        <v/>
      </c>
      <c r="X2664" t="str">
        <f>IFERROR(VLOOKUP('Pre-Summary'!$DB$6:$DD$63,3,FALSE),"")</f>
        <v/>
      </c>
      <c r="Y2664" t="str">
        <f>IFERROR(VLOOKUP(B2664,'Pre-Summary'!$CR$6:$CT$36,3,FALSE),"")</f>
        <v/>
      </c>
      <c r="Z2664" s="45" t="str">
        <f>IFERROR(VLOOKUP(B2664,'Pre-Summary'!$BZ$6:$CB$63,2,FALSE),"")</f>
        <v/>
      </c>
      <c r="AA2664" s="45" t="str">
        <f>IFERROR(VLOOKUP(B2664,'Pre-Summary'!$CG$6:$CI$70,2,FALSE),"")</f>
        <v/>
      </c>
      <c r="AB2664" s="99">
        <f>IFERROR(VLOOKUP(B2664,'Pre-Summary'!$A$6:$P$178,9,FALSE),AB2665)</f>
        <v>0.44425190445462043</v>
      </c>
      <c r="AC2664" s="10">
        <f>IFERROR(VLOOKUP(Summary!B2664,'Pre-Summary'!$A$6:$P$184,5, FALSE)/100,AC2665)</f>
        <v>0.95692499999999991</v>
      </c>
      <c r="AD2664" s="10">
        <f>IFERROR(VLOOKUP(Summary!B2664,'Pre-Summary'!$A$6:$P$184,3, FALSE)/100,AD2665)</f>
        <v>3.3729333333333333E-2</v>
      </c>
      <c r="AE2664" s="10">
        <f>IFERROR(VLOOKUP(Summary!B2664,'Pre-Summary'!$A$6:$P$184,7, FALSE)/100,AE2665)</f>
        <v>9.3456666666666671E-3</v>
      </c>
      <c r="AF2664" s="99">
        <f t="shared" si="124"/>
        <v>1.4984320569318045E-2</v>
      </c>
      <c r="AG2664" s="99">
        <f t="shared" si="125"/>
        <v>4.1518302150647312E-3</v>
      </c>
      <c r="AH2664" s="10" t="str">
        <f>IFERROR(VLOOKUP(B2664,'Pre-Summary'!$AZ$6:$BE$65,3,FALSE),"")</f>
        <v/>
      </c>
      <c r="AI2664" s="10" t="str">
        <f>IFERROR(VLOOKUP(B2664,'Pre-Summary'!$AZ$6:$BE$65,5,FALSE),"")</f>
        <v/>
      </c>
      <c r="AJ2664" s="10" t="str">
        <f>IFERROR(VLOOKUP(B2664,'Pre-Summary'!$AZ$6:$BE$65,4,FALSE),"")</f>
        <v/>
      </c>
      <c r="AK2664" s="10" t="str">
        <f>IFERROR(VLOOKUP(B2664,'Pre-Summary'!$AZ$6:$BE$65,6,FALSE),"")</f>
        <v/>
      </c>
      <c r="AL2664" s="10" t="str">
        <f>IFERROR(VLOOKUP(B2664,'Pre-Summary'!$BG$6:$BL$44,3,FALSE),"")</f>
        <v/>
      </c>
      <c r="AM2664" s="10" t="str">
        <f>IFERROR(VLOOKUP(B2664,'Pre-Summary'!$BG$6:$BL$44,4,FALSE),"")</f>
        <v/>
      </c>
    </row>
    <row r="2665" spans="2:39" ht="15" customHeight="1" x14ac:dyDescent="0.3">
      <c r="B2665">
        <v>266.2</v>
      </c>
      <c r="C2665" t="str">
        <f>IFERROR(VLOOKUP(B2665,'Pre-Summary'!$DI$6:$DM$23,4,FALSE),"")</f>
        <v/>
      </c>
      <c r="D2665" s="10" t="str">
        <f>IFERROR(VLOOKUP(B2665,'Pre-Summary'!$AT$6:$AX$14,5,FALSE),D2664)</f>
        <v>Wolfe v3: went back to modified wolfe + EDTA and switched CuSO4 to CUCl2</v>
      </c>
      <c r="E2665" s="10" t="str">
        <f>IFERROR(VLOOKUP(B2665,'Pre-Summary'!$AT$6:$AX$15,4,FALSE),"")</f>
        <v/>
      </c>
      <c r="F2665">
        <f>IFERROR(VLOOKUP(B2665,'Pre-Summary'!$AL$6:$AQ$13,6,FALSE),F2664)</f>
        <v>5.9405263157894746E-2</v>
      </c>
      <c r="G2665" t="str">
        <f>IFERROR(VLOOKUP(B2665,'Pre-Summary'!$AE$6:$AJ$85,3,FALSE),"")</f>
        <v/>
      </c>
      <c r="H2665" t="str">
        <f>IFERROR(VLOOKUP(B2665,'Pre-Summary'!$AE$6:$AJ$85,4,FALSE),"")</f>
        <v/>
      </c>
      <c r="I2665" t="str">
        <f>IFERROR(VLOOKUP(B2665,'Pre-Summary'!$AE$6:$AJ$85,5,FALSE),"")</f>
        <v/>
      </c>
      <c r="J2665" s="45" t="str">
        <f>IFERROR(VLOOKUP(B2665,'Pre-Summary'!$AE$6:$AJ$85,6, FALSE),"")</f>
        <v/>
      </c>
      <c r="K2665" s="45" t="str">
        <f>IFERROR(VLOOKUP(B2665,'Pre-Summary'!$DE$6:$DG$61,3,FALSE),"")</f>
        <v/>
      </c>
      <c r="L2665" s="45" t="str">
        <f>IFERROR(VLOOKUP(B2665,'Pre-Summary'!$CU$6:$CW$36,3,FALSE),"")</f>
        <v/>
      </c>
      <c r="M2665" s="45" t="str">
        <f>IFERROR(VLOOKUP(B2665,'Pre-Summary'!$BW$6:$BY$58,2,FALSE),"")</f>
        <v/>
      </c>
      <c r="N2665" s="45" t="str">
        <f>IFERROR(VLOOKUP(B2665,'Pre-Summary'!$CD$6:$CF$64,2,FALSE),"")</f>
        <v/>
      </c>
      <c r="O2665" s="99">
        <f>IFERROR(VLOOKUP(B2665,'Pre-Summary'!$BO$6:$BQ$48,3, FALSE),O2664)</f>
        <v>1.83</v>
      </c>
      <c r="P2665" s="99">
        <f>IFERROR(VLOOKUP(B2665,'Pre-Summary'!$BS$6:$BU$35,3,FALSE),P2664)</f>
        <v>0.46200000000000002</v>
      </c>
      <c r="Q2665" s="54">
        <f t="shared" si="123"/>
        <v>3.9610389610389611</v>
      </c>
      <c r="R2665" s="53">
        <f>IFERROR(VLOOKUP(B2665,'Pre-Summary'!$BG$6:$BM$44,7,FALSE),R2666)</f>
        <v>9.7903492963591104E-2</v>
      </c>
      <c r="S2665" s="53">
        <f>IFERROR(VLOOKUP(B2665,'Pre-Summary'!$BG$6:$BM$44,6,FALSE),S2666)</f>
        <v>0.1105986773408305</v>
      </c>
      <c r="T2665" s="45" t="str">
        <f>IFERROR(VLOOKUP(B2665,'Pre-Summary'!$Y$6:$AC$83, 3,FALSE),"")</f>
        <v/>
      </c>
      <c r="U2665" s="45" t="str">
        <f>IFERROR(VLOOKUP(B2665,'Pre-Summary'!$Y$6:$AC$83, 4,FALSE),"")</f>
        <v/>
      </c>
      <c r="V2665" t="str">
        <f>IFERROR(VLOOKUP(B2665,'Pre-Summary'!$Y$6:$AC$83, 5,FALSE),"")</f>
        <v/>
      </c>
      <c r="W2665" s="45" t="str">
        <f>IFERROR(VLOOKUP(B2665,'Pre-Summary'!$Y$6:$AD$83,6,FALSE),"")</f>
        <v/>
      </c>
      <c r="X2665" t="str">
        <f>IFERROR(VLOOKUP('Pre-Summary'!$DB$6:$DD$63,3,FALSE),"")</f>
        <v/>
      </c>
      <c r="Y2665" t="str">
        <f>IFERROR(VLOOKUP(B2665,'Pre-Summary'!$CR$6:$CT$36,3,FALSE),"")</f>
        <v/>
      </c>
      <c r="Z2665" s="45" t="str">
        <f>IFERROR(VLOOKUP(B2665,'Pre-Summary'!$BZ$6:$CB$63,2,FALSE),"")</f>
        <v/>
      </c>
      <c r="AA2665" s="45" t="str">
        <f>IFERROR(VLOOKUP(B2665,'Pre-Summary'!$CG$6:$CI$70,2,FALSE),"")</f>
        <v/>
      </c>
      <c r="AB2665" s="99">
        <f>IFERROR(VLOOKUP(B2665,'Pre-Summary'!$A$6:$P$178,9,FALSE),AB2666)</f>
        <v>0.44425190445462043</v>
      </c>
      <c r="AC2665" s="10">
        <f>IFERROR(VLOOKUP(Summary!B2665,'Pre-Summary'!$A$6:$P$184,5, FALSE)/100,AC2666)</f>
        <v>0.95692499999999991</v>
      </c>
      <c r="AD2665" s="10">
        <f>IFERROR(VLOOKUP(Summary!B2665,'Pre-Summary'!$A$6:$P$184,3, FALSE)/100,AD2666)</f>
        <v>3.3729333333333333E-2</v>
      </c>
      <c r="AE2665" s="10">
        <f>IFERROR(VLOOKUP(Summary!B2665,'Pre-Summary'!$A$6:$P$184,7, FALSE)/100,AE2666)</f>
        <v>9.3456666666666671E-3</v>
      </c>
      <c r="AF2665" s="99">
        <f t="shared" si="124"/>
        <v>1.4984320569318045E-2</v>
      </c>
      <c r="AG2665" s="99">
        <f t="shared" si="125"/>
        <v>4.1518302150647312E-3</v>
      </c>
      <c r="AH2665" s="10" t="str">
        <f>IFERROR(VLOOKUP(B2665,'Pre-Summary'!$AZ$6:$BE$65,3,FALSE),"")</f>
        <v/>
      </c>
      <c r="AI2665" s="10" t="str">
        <f>IFERROR(VLOOKUP(B2665,'Pre-Summary'!$AZ$6:$BE$65,5,FALSE),"")</f>
        <v/>
      </c>
      <c r="AJ2665" s="10" t="str">
        <f>IFERROR(VLOOKUP(B2665,'Pre-Summary'!$AZ$6:$BE$65,4,FALSE),"")</f>
        <v/>
      </c>
      <c r="AK2665" s="10" t="str">
        <f>IFERROR(VLOOKUP(B2665,'Pre-Summary'!$AZ$6:$BE$65,6,FALSE),"")</f>
        <v/>
      </c>
      <c r="AL2665" s="10" t="str">
        <f>IFERROR(VLOOKUP(B2665,'Pre-Summary'!$BG$6:$BL$44,3,FALSE),"")</f>
        <v/>
      </c>
      <c r="AM2665" s="10" t="str">
        <f>IFERROR(VLOOKUP(B2665,'Pre-Summary'!$BG$6:$BL$44,4,FALSE),"")</f>
        <v/>
      </c>
    </row>
    <row r="2666" spans="2:39" ht="15" customHeight="1" x14ac:dyDescent="0.3">
      <c r="B2666">
        <v>266.3</v>
      </c>
      <c r="C2666" t="str">
        <f>IFERROR(VLOOKUP(B2666,'Pre-Summary'!$DI$6:$DM$23,4,FALSE),"")</f>
        <v/>
      </c>
      <c r="D2666" s="10" t="str">
        <f>IFERROR(VLOOKUP(B2666,'Pre-Summary'!$AT$6:$AX$14,5,FALSE),D2665)</f>
        <v>Wolfe v3: went back to modified wolfe + EDTA and switched CuSO4 to CUCl2</v>
      </c>
      <c r="E2666" s="10" t="str">
        <f>IFERROR(VLOOKUP(B2666,'Pre-Summary'!$AT$6:$AX$15,4,FALSE),"")</f>
        <v/>
      </c>
      <c r="F2666">
        <f>IFERROR(VLOOKUP(B2666,'Pre-Summary'!$AL$6:$AQ$13,6,FALSE),F2665)</f>
        <v>5.9405263157894746E-2</v>
      </c>
      <c r="G2666" t="str">
        <f>IFERROR(VLOOKUP(B2666,'Pre-Summary'!$AE$6:$AJ$85,3,FALSE),"")</f>
        <v/>
      </c>
      <c r="H2666" t="str">
        <f>IFERROR(VLOOKUP(B2666,'Pre-Summary'!$AE$6:$AJ$85,4,FALSE),"")</f>
        <v/>
      </c>
      <c r="I2666" t="str">
        <f>IFERROR(VLOOKUP(B2666,'Pre-Summary'!$AE$6:$AJ$85,5,FALSE),"")</f>
        <v/>
      </c>
      <c r="J2666" s="45" t="str">
        <f>IFERROR(VLOOKUP(B2666,'Pre-Summary'!$AE$6:$AJ$85,6, FALSE),"")</f>
        <v/>
      </c>
      <c r="K2666" s="45" t="str">
        <f>IFERROR(VLOOKUP(B2666,'Pre-Summary'!$DE$6:$DG$61,3,FALSE),"")</f>
        <v/>
      </c>
      <c r="L2666" s="45" t="str">
        <f>IFERROR(VLOOKUP(B2666,'Pre-Summary'!$CU$6:$CW$36,3,FALSE),"")</f>
        <v/>
      </c>
      <c r="M2666" s="45" t="str">
        <f>IFERROR(VLOOKUP(B2666,'Pre-Summary'!$BW$6:$BY$58,2,FALSE),"")</f>
        <v/>
      </c>
      <c r="N2666" s="45" t="str">
        <f>IFERROR(VLOOKUP(B2666,'Pre-Summary'!$CD$6:$CF$64,2,FALSE),"")</f>
        <v/>
      </c>
      <c r="O2666" s="99">
        <f>IFERROR(VLOOKUP(B2666,'Pre-Summary'!$BO$6:$BQ$48,3, FALSE),O2665)</f>
        <v>1.83</v>
      </c>
      <c r="P2666" s="99">
        <f>IFERROR(VLOOKUP(B2666,'Pre-Summary'!$BS$6:$BU$35,3,FALSE),P2665)</f>
        <v>0.46200000000000002</v>
      </c>
      <c r="Q2666" s="54">
        <f t="shared" si="123"/>
        <v>3.9610389610389611</v>
      </c>
      <c r="R2666" s="53">
        <f>IFERROR(VLOOKUP(B2666,'Pre-Summary'!$BG$6:$BM$44,7,FALSE),R2667)</f>
        <v>9.7903492963591104E-2</v>
      </c>
      <c r="S2666" s="53">
        <f>IFERROR(VLOOKUP(B2666,'Pre-Summary'!$BG$6:$BM$44,6,FALSE),S2667)</f>
        <v>0.1105986773408305</v>
      </c>
      <c r="T2666" s="45" t="str">
        <f>IFERROR(VLOOKUP(B2666,'Pre-Summary'!$Y$6:$AC$83, 3,FALSE),"")</f>
        <v/>
      </c>
      <c r="U2666" s="45" t="str">
        <f>IFERROR(VLOOKUP(B2666,'Pre-Summary'!$Y$6:$AC$83, 4,FALSE),"")</f>
        <v/>
      </c>
      <c r="V2666" t="str">
        <f>IFERROR(VLOOKUP(B2666,'Pre-Summary'!$Y$6:$AC$83, 5,FALSE),"")</f>
        <v/>
      </c>
      <c r="W2666" s="45" t="str">
        <f>IFERROR(VLOOKUP(B2666,'Pre-Summary'!$Y$6:$AD$83,6,FALSE),"")</f>
        <v/>
      </c>
      <c r="X2666" t="str">
        <f>IFERROR(VLOOKUP('Pre-Summary'!$DB$6:$DD$63,3,FALSE),"")</f>
        <v/>
      </c>
      <c r="Y2666" t="str">
        <f>IFERROR(VLOOKUP(B2666,'Pre-Summary'!$CR$6:$CT$36,3,FALSE),"")</f>
        <v/>
      </c>
      <c r="Z2666" s="45" t="str">
        <f>IFERROR(VLOOKUP(B2666,'Pre-Summary'!$BZ$6:$CB$63,2,FALSE),"")</f>
        <v/>
      </c>
      <c r="AA2666" s="45" t="str">
        <f>IFERROR(VLOOKUP(B2666,'Pre-Summary'!$CG$6:$CI$70,2,FALSE),"")</f>
        <v/>
      </c>
      <c r="AB2666" s="99">
        <f>IFERROR(VLOOKUP(B2666,'Pre-Summary'!$A$6:$P$178,9,FALSE),AB2667)</f>
        <v>0.44425190445462043</v>
      </c>
      <c r="AC2666" s="10">
        <f>IFERROR(VLOOKUP(Summary!B2666,'Pre-Summary'!$A$6:$P$184,5, FALSE)/100,AC2667)</f>
        <v>0.95692499999999991</v>
      </c>
      <c r="AD2666" s="10">
        <f>IFERROR(VLOOKUP(Summary!B2666,'Pre-Summary'!$A$6:$P$184,3, FALSE)/100,AD2667)</f>
        <v>3.3729333333333333E-2</v>
      </c>
      <c r="AE2666" s="10">
        <f>IFERROR(VLOOKUP(Summary!B2666,'Pre-Summary'!$A$6:$P$184,7, FALSE)/100,AE2667)</f>
        <v>9.3456666666666671E-3</v>
      </c>
      <c r="AF2666" s="99">
        <f t="shared" si="124"/>
        <v>1.4984320569318045E-2</v>
      </c>
      <c r="AG2666" s="99">
        <f t="shared" si="125"/>
        <v>4.1518302150647312E-3</v>
      </c>
      <c r="AH2666" s="10" t="str">
        <f>IFERROR(VLOOKUP(B2666,'Pre-Summary'!$AZ$6:$BE$65,3,FALSE),"")</f>
        <v/>
      </c>
      <c r="AI2666" s="10" t="str">
        <f>IFERROR(VLOOKUP(B2666,'Pre-Summary'!$AZ$6:$BE$65,5,FALSE),"")</f>
        <v/>
      </c>
      <c r="AJ2666" s="10" t="str">
        <f>IFERROR(VLOOKUP(B2666,'Pre-Summary'!$AZ$6:$BE$65,4,FALSE),"")</f>
        <v/>
      </c>
      <c r="AK2666" s="10" t="str">
        <f>IFERROR(VLOOKUP(B2666,'Pre-Summary'!$AZ$6:$BE$65,6,FALSE),"")</f>
        <v/>
      </c>
      <c r="AL2666" s="10" t="str">
        <f>IFERROR(VLOOKUP(B2666,'Pre-Summary'!$BG$6:$BL$44,3,FALSE),"")</f>
        <v/>
      </c>
      <c r="AM2666" s="10" t="str">
        <f>IFERROR(VLOOKUP(B2666,'Pre-Summary'!$BG$6:$BL$44,4,FALSE),"")</f>
        <v/>
      </c>
    </row>
    <row r="2667" spans="2:39" ht="15" customHeight="1" x14ac:dyDescent="0.3">
      <c r="B2667">
        <v>266.39999999999998</v>
      </c>
      <c r="C2667" t="str">
        <f>IFERROR(VLOOKUP(B2667,'Pre-Summary'!$DI$6:$DM$23,4,FALSE),"")</f>
        <v/>
      </c>
      <c r="D2667" s="10" t="str">
        <f>IFERROR(VLOOKUP(B2667,'Pre-Summary'!$AT$6:$AX$14,5,FALSE),D2666)</f>
        <v>Wolfe v3: went back to modified wolfe + EDTA and switched CuSO4 to CUCl2</v>
      </c>
      <c r="E2667" s="10" t="str">
        <f>IFERROR(VLOOKUP(B2667,'Pre-Summary'!$AT$6:$AX$15,4,FALSE),"")</f>
        <v/>
      </c>
      <c r="F2667">
        <f>IFERROR(VLOOKUP(B2667,'Pre-Summary'!$AL$6:$AQ$13,6,FALSE),F2666)</f>
        <v>5.9405263157894746E-2</v>
      </c>
      <c r="G2667" t="str">
        <f>IFERROR(VLOOKUP(B2667,'Pre-Summary'!$AE$6:$AJ$85,3,FALSE),"")</f>
        <v/>
      </c>
      <c r="H2667" t="str">
        <f>IFERROR(VLOOKUP(B2667,'Pre-Summary'!$AE$6:$AJ$85,4,FALSE),"")</f>
        <v/>
      </c>
      <c r="I2667" t="str">
        <f>IFERROR(VLOOKUP(B2667,'Pre-Summary'!$AE$6:$AJ$85,5,FALSE),"")</f>
        <v/>
      </c>
      <c r="J2667" s="45" t="str">
        <f>IFERROR(VLOOKUP(B2667,'Pre-Summary'!$AE$6:$AJ$85,6, FALSE),"")</f>
        <v/>
      </c>
      <c r="K2667" s="45" t="str">
        <f>IFERROR(VLOOKUP(B2667,'Pre-Summary'!$DE$6:$DG$61,3,FALSE),"")</f>
        <v/>
      </c>
      <c r="L2667" s="45" t="str">
        <f>IFERROR(VLOOKUP(B2667,'Pre-Summary'!$CU$6:$CW$36,3,FALSE),"")</f>
        <v/>
      </c>
      <c r="M2667" s="45" t="str">
        <f>IFERROR(VLOOKUP(B2667,'Pre-Summary'!$BW$6:$BY$58,2,FALSE),"")</f>
        <v/>
      </c>
      <c r="N2667" s="45" t="str">
        <f>IFERROR(VLOOKUP(B2667,'Pre-Summary'!$CD$6:$CF$64,2,FALSE),"")</f>
        <v/>
      </c>
      <c r="O2667" s="99">
        <f>IFERROR(VLOOKUP(B2667,'Pre-Summary'!$BO$6:$BQ$48,3, FALSE),O2666)</f>
        <v>1.83</v>
      </c>
      <c r="P2667" s="99">
        <f>IFERROR(VLOOKUP(B2667,'Pre-Summary'!$BS$6:$BU$35,3,FALSE),P2666)</f>
        <v>0.46200000000000002</v>
      </c>
      <c r="Q2667" s="54">
        <f t="shared" si="123"/>
        <v>3.9610389610389611</v>
      </c>
      <c r="R2667" s="53">
        <f>IFERROR(VLOOKUP(B2667,'Pre-Summary'!$BG$6:$BM$44,7,FALSE),R2668)</f>
        <v>9.7903492963591104E-2</v>
      </c>
      <c r="S2667" s="53">
        <f>IFERROR(VLOOKUP(B2667,'Pre-Summary'!$BG$6:$BM$44,6,FALSE),S2668)</f>
        <v>0.1105986773408305</v>
      </c>
      <c r="T2667" s="45" t="str">
        <f>IFERROR(VLOOKUP(B2667,'Pre-Summary'!$Y$6:$AC$83, 3,FALSE),"")</f>
        <v/>
      </c>
      <c r="U2667" s="45" t="str">
        <f>IFERROR(VLOOKUP(B2667,'Pre-Summary'!$Y$6:$AC$83, 4,FALSE),"")</f>
        <v/>
      </c>
      <c r="V2667" t="str">
        <f>IFERROR(VLOOKUP(B2667,'Pre-Summary'!$Y$6:$AC$83, 5,FALSE),"")</f>
        <v/>
      </c>
      <c r="W2667" s="45" t="str">
        <f>IFERROR(VLOOKUP(B2667,'Pre-Summary'!$Y$6:$AD$83,6,FALSE),"")</f>
        <v/>
      </c>
      <c r="X2667" t="str">
        <f>IFERROR(VLOOKUP('Pre-Summary'!$DB$6:$DD$63,3,FALSE),"")</f>
        <v/>
      </c>
      <c r="Y2667" t="str">
        <f>IFERROR(VLOOKUP(B2667,'Pre-Summary'!$CR$6:$CT$36,3,FALSE),"")</f>
        <v/>
      </c>
      <c r="Z2667" s="45" t="str">
        <f>IFERROR(VLOOKUP(B2667,'Pre-Summary'!$BZ$6:$CB$63,2,FALSE),"")</f>
        <v/>
      </c>
      <c r="AA2667" s="45" t="str">
        <f>IFERROR(VLOOKUP(B2667,'Pre-Summary'!$CG$6:$CI$70,2,FALSE),"")</f>
        <v/>
      </c>
      <c r="AB2667" s="99">
        <f>IFERROR(VLOOKUP(B2667,'Pre-Summary'!$A$6:$P$178,9,FALSE),AB2668)</f>
        <v>0.44425190445462043</v>
      </c>
      <c r="AC2667" s="10">
        <f>IFERROR(VLOOKUP(Summary!B2667,'Pre-Summary'!$A$6:$P$184,5, FALSE)/100,AC2668)</f>
        <v>0.95692499999999991</v>
      </c>
      <c r="AD2667" s="10">
        <f>IFERROR(VLOOKUP(Summary!B2667,'Pre-Summary'!$A$6:$P$184,3, FALSE)/100,AD2668)</f>
        <v>3.3729333333333333E-2</v>
      </c>
      <c r="AE2667" s="10">
        <f>IFERROR(VLOOKUP(Summary!B2667,'Pre-Summary'!$A$6:$P$184,7, FALSE)/100,AE2668)</f>
        <v>9.3456666666666671E-3</v>
      </c>
      <c r="AF2667" s="99">
        <f t="shared" si="124"/>
        <v>1.4984320569318045E-2</v>
      </c>
      <c r="AG2667" s="99">
        <f t="shared" si="125"/>
        <v>4.1518302150647312E-3</v>
      </c>
      <c r="AH2667" s="10" t="str">
        <f>IFERROR(VLOOKUP(B2667,'Pre-Summary'!$AZ$6:$BE$65,3,FALSE),"")</f>
        <v/>
      </c>
      <c r="AI2667" s="10" t="str">
        <f>IFERROR(VLOOKUP(B2667,'Pre-Summary'!$AZ$6:$BE$65,5,FALSE),"")</f>
        <v/>
      </c>
      <c r="AJ2667" s="10" t="str">
        <f>IFERROR(VLOOKUP(B2667,'Pre-Summary'!$AZ$6:$BE$65,4,FALSE),"")</f>
        <v/>
      </c>
      <c r="AK2667" s="10" t="str">
        <f>IFERROR(VLOOKUP(B2667,'Pre-Summary'!$AZ$6:$BE$65,6,FALSE),"")</f>
        <v/>
      </c>
      <c r="AL2667" s="10" t="str">
        <f>IFERROR(VLOOKUP(B2667,'Pre-Summary'!$BG$6:$BL$44,3,FALSE),"")</f>
        <v/>
      </c>
      <c r="AM2667" s="10" t="str">
        <f>IFERROR(VLOOKUP(B2667,'Pre-Summary'!$BG$6:$BL$44,4,FALSE),"")</f>
        <v/>
      </c>
    </row>
    <row r="2668" spans="2:39" ht="15" customHeight="1" x14ac:dyDescent="0.3">
      <c r="B2668">
        <v>266.5</v>
      </c>
      <c r="C2668" t="str">
        <f>IFERROR(VLOOKUP(B2668,'Pre-Summary'!$DI$6:$DM$23,4,FALSE),"")</f>
        <v/>
      </c>
      <c r="D2668" s="10" t="str">
        <f>IFERROR(VLOOKUP(B2668,'Pre-Summary'!$AT$6:$AX$14,5,FALSE),D2667)</f>
        <v>Wolfe v3: went back to modified wolfe + EDTA and switched CuSO4 to CUCl2</v>
      </c>
      <c r="E2668" s="10" t="str">
        <f>IFERROR(VLOOKUP(B2668,'Pre-Summary'!$AT$6:$AX$15,4,FALSE),"")</f>
        <v/>
      </c>
      <c r="F2668">
        <f>IFERROR(VLOOKUP(B2668,'Pre-Summary'!$AL$6:$AQ$13,6,FALSE),F2667)</f>
        <v>5.9405263157894746E-2</v>
      </c>
      <c r="G2668" t="str">
        <f>IFERROR(VLOOKUP(B2668,'Pre-Summary'!$AE$6:$AJ$85,3,FALSE),"")</f>
        <v/>
      </c>
      <c r="H2668" t="str">
        <f>IFERROR(VLOOKUP(B2668,'Pre-Summary'!$AE$6:$AJ$85,4,FALSE),"")</f>
        <v/>
      </c>
      <c r="I2668" t="str">
        <f>IFERROR(VLOOKUP(B2668,'Pre-Summary'!$AE$6:$AJ$85,5,FALSE),"")</f>
        <v/>
      </c>
      <c r="J2668" s="45" t="str">
        <f>IFERROR(VLOOKUP(B2668,'Pre-Summary'!$AE$6:$AJ$85,6, FALSE),"")</f>
        <v/>
      </c>
      <c r="K2668" s="45" t="str">
        <f>IFERROR(VLOOKUP(B2668,'Pre-Summary'!$DE$6:$DG$61,3,FALSE),"")</f>
        <v/>
      </c>
      <c r="L2668" s="45" t="str">
        <f>IFERROR(VLOOKUP(B2668,'Pre-Summary'!$CU$6:$CW$36,3,FALSE),"")</f>
        <v/>
      </c>
      <c r="M2668" s="45" t="str">
        <f>IFERROR(VLOOKUP(B2668,'Pre-Summary'!$BW$6:$BY$58,2,FALSE),"")</f>
        <v/>
      </c>
      <c r="N2668" s="45" t="str">
        <f>IFERROR(VLOOKUP(B2668,'Pre-Summary'!$CD$6:$CF$64,2,FALSE),"")</f>
        <v/>
      </c>
      <c r="O2668" s="99">
        <f>IFERROR(VLOOKUP(B2668,'Pre-Summary'!$BO$6:$BQ$48,3, FALSE),O2667)</f>
        <v>1.83</v>
      </c>
      <c r="P2668" s="99">
        <f>IFERROR(VLOOKUP(B2668,'Pre-Summary'!$BS$6:$BU$35,3,FALSE),P2667)</f>
        <v>0.46200000000000002</v>
      </c>
      <c r="Q2668" s="54">
        <f t="shared" si="123"/>
        <v>3.9610389610389611</v>
      </c>
      <c r="R2668" s="53">
        <f>IFERROR(VLOOKUP(B2668,'Pre-Summary'!$BG$6:$BM$44,7,FALSE),R2669)</f>
        <v>9.7903492963591104E-2</v>
      </c>
      <c r="S2668" s="53">
        <f>IFERROR(VLOOKUP(B2668,'Pre-Summary'!$BG$6:$BM$44,6,FALSE),S2669)</f>
        <v>0.1105986773408305</v>
      </c>
      <c r="T2668" s="45" t="str">
        <f>IFERROR(VLOOKUP(B2668,'Pre-Summary'!$Y$6:$AC$83, 3,FALSE),"")</f>
        <v/>
      </c>
      <c r="U2668" s="45" t="str">
        <f>IFERROR(VLOOKUP(B2668,'Pre-Summary'!$Y$6:$AC$83, 4,FALSE),"")</f>
        <v/>
      </c>
      <c r="V2668" t="str">
        <f>IFERROR(VLOOKUP(B2668,'Pre-Summary'!$Y$6:$AC$83, 5,FALSE),"")</f>
        <v/>
      </c>
      <c r="W2668" s="45" t="str">
        <f>IFERROR(VLOOKUP(B2668,'Pre-Summary'!$Y$6:$AD$83,6,FALSE),"")</f>
        <v/>
      </c>
      <c r="X2668" t="str">
        <f>IFERROR(VLOOKUP('Pre-Summary'!$DB$6:$DD$63,3,FALSE),"")</f>
        <v/>
      </c>
      <c r="Y2668" t="str">
        <f>IFERROR(VLOOKUP(B2668,'Pre-Summary'!$CR$6:$CT$36,3,FALSE),"")</f>
        <v/>
      </c>
      <c r="Z2668" s="45" t="str">
        <f>IFERROR(VLOOKUP(B2668,'Pre-Summary'!$BZ$6:$CB$63,2,FALSE),"")</f>
        <v/>
      </c>
      <c r="AA2668" s="45" t="str">
        <f>IFERROR(VLOOKUP(B2668,'Pre-Summary'!$CG$6:$CI$70,2,FALSE),"")</f>
        <v/>
      </c>
      <c r="AB2668" s="99">
        <f>IFERROR(VLOOKUP(B2668,'Pre-Summary'!$A$6:$P$178,9,FALSE),AB2669)</f>
        <v>0.44425190445462043</v>
      </c>
      <c r="AC2668" s="10">
        <f>IFERROR(VLOOKUP(Summary!B2668,'Pre-Summary'!$A$6:$P$184,5, FALSE)/100,AC2669)</f>
        <v>0.95692499999999991</v>
      </c>
      <c r="AD2668" s="10">
        <f>IFERROR(VLOOKUP(Summary!B2668,'Pre-Summary'!$A$6:$P$184,3, FALSE)/100,AD2669)</f>
        <v>3.3729333333333333E-2</v>
      </c>
      <c r="AE2668" s="10">
        <f>IFERROR(VLOOKUP(Summary!B2668,'Pre-Summary'!$A$6:$P$184,7, FALSE)/100,AE2669)</f>
        <v>9.3456666666666671E-3</v>
      </c>
      <c r="AF2668" s="99">
        <f t="shared" si="124"/>
        <v>1.4984320569318045E-2</v>
      </c>
      <c r="AG2668" s="99">
        <f t="shared" si="125"/>
        <v>4.1518302150647312E-3</v>
      </c>
      <c r="AH2668" s="10" t="str">
        <f>IFERROR(VLOOKUP(B2668,'Pre-Summary'!$AZ$6:$BE$65,3,FALSE),"")</f>
        <v/>
      </c>
      <c r="AI2668" s="10" t="str">
        <f>IFERROR(VLOOKUP(B2668,'Pre-Summary'!$AZ$6:$BE$65,5,FALSE),"")</f>
        <v/>
      </c>
      <c r="AJ2668" s="10" t="str">
        <f>IFERROR(VLOOKUP(B2668,'Pre-Summary'!$AZ$6:$BE$65,4,FALSE),"")</f>
        <v/>
      </c>
      <c r="AK2668" s="10" t="str">
        <f>IFERROR(VLOOKUP(B2668,'Pre-Summary'!$AZ$6:$BE$65,6,FALSE),"")</f>
        <v/>
      </c>
      <c r="AL2668" s="10" t="str">
        <f>IFERROR(VLOOKUP(B2668,'Pre-Summary'!$BG$6:$BL$44,3,FALSE),"")</f>
        <v/>
      </c>
      <c r="AM2668" s="10" t="str">
        <f>IFERROR(VLOOKUP(B2668,'Pre-Summary'!$BG$6:$BL$44,4,FALSE),"")</f>
        <v/>
      </c>
    </row>
    <row r="2669" spans="2:39" ht="15" customHeight="1" x14ac:dyDescent="0.3">
      <c r="B2669">
        <v>266.60000000000002</v>
      </c>
      <c r="C2669" t="str">
        <f>IFERROR(VLOOKUP(B2669,'Pre-Summary'!$DI$6:$DM$23,4,FALSE),"")</f>
        <v/>
      </c>
      <c r="D2669" s="10" t="str">
        <f>IFERROR(VLOOKUP(B2669,'Pre-Summary'!$AT$6:$AX$14,5,FALSE),D2668)</f>
        <v>Wolfe v3: went back to modified wolfe + EDTA and switched CuSO4 to CUCl2</v>
      </c>
      <c r="E2669" s="10" t="str">
        <f>IFERROR(VLOOKUP(B2669,'Pre-Summary'!$AT$6:$AX$15,4,FALSE),"")</f>
        <v/>
      </c>
      <c r="F2669">
        <f>IFERROR(VLOOKUP(B2669,'Pre-Summary'!$AL$6:$AQ$13,6,FALSE),F2668)</f>
        <v>5.9405263157894746E-2</v>
      </c>
      <c r="G2669" t="str">
        <f>IFERROR(VLOOKUP(B2669,'Pre-Summary'!$AE$6:$AJ$85,3,FALSE),"")</f>
        <v/>
      </c>
      <c r="H2669" t="str">
        <f>IFERROR(VLOOKUP(B2669,'Pre-Summary'!$AE$6:$AJ$85,4,FALSE),"")</f>
        <v/>
      </c>
      <c r="I2669" t="str">
        <f>IFERROR(VLOOKUP(B2669,'Pre-Summary'!$AE$6:$AJ$85,5,FALSE),"")</f>
        <v/>
      </c>
      <c r="J2669" s="45" t="str">
        <f>IFERROR(VLOOKUP(B2669,'Pre-Summary'!$AE$6:$AJ$85,6, FALSE),"")</f>
        <v/>
      </c>
      <c r="K2669" s="45" t="str">
        <f>IFERROR(VLOOKUP(B2669,'Pre-Summary'!$DE$6:$DG$61,3,FALSE),"")</f>
        <v/>
      </c>
      <c r="L2669" s="45" t="str">
        <f>IFERROR(VLOOKUP(B2669,'Pre-Summary'!$CU$6:$CW$36,3,FALSE),"")</f>
        <v/>
      </c>
      <c r="M2669" s="45" t="str">
        <f>IFERROR(VLOOKUP(B2669,'Pre-Summary'!$BW$6:$BY$58,2,FALSE),"")</f>
        <v/>
      </c>
      <c r="N2669" s="45" t="str">
        <f>IFERROR(VLOOKUP(B2669,'Pre-Summary'!$CD$6:$CF$64,2,FALSE),"")</f>
        <v/>
      </c>
      <c r="O2669" s="99">
        <f>IFERROR(VLOOKUP(B2669,'Pre-Summary'!$BO$6:$BQ$48,3, FALSE),O2668)</f>
        <v>1.83</v>
      </c>
      <c r="P2669" s="99">
        <f>IFERROR(VLOOKUP(B2669,'Pre-Summary'!$BS$6:$BU$35,3,FALSE),P2668)</f>
        <v>0.46200000000000002</v>
      </c>
      <c r="Q2669" s="54">
        <f t="shared" si="123"/>
        <v>3.9610389610389611</v>
      </c>
      <c r="R2669" s="53">
        <f>IFERROR(VLOOKUP(B2669,'Pre-Summary'!$BG$6:$BM$44,7,FALSE),R2670)</f>
        <v>9.7903492963591104E-2</v>
      </c>
      <c r="S2669" s="53">
        <f>IFERROR(VLOOKUP(B2669,'Pre-Summary'!$BG$6:$BM$44,6,FALSE),S2670)</f>
        <v>0.1105986773408305</v>
      </c>
      <c r="T2669" s="45" t="str">
        <f>IFERROR(VLOOKUP(B2669,'Pre-Summary'!$Y$6:$AC$83, 3,FALSE),"")</f>
        <v/>
      </c>
      <c r="U2669" s="45" t="str">
        <f>IFERROR(VLOOKUP(B2669,'Pre-Summary'!$Y$6:$AC$83, 4,FALSE),"")</f>
        <v/>
      </c>
      <c r="V2669" t="str">
        <f>IFERROR(VLOOKUP(B2669,'Pre-Summary'!$Y$6:$AC$83, 5,FALSE),"")</f>
        <v/>
      </c>
      <c r="W2669" s="45" t="str">
        <f>IFERROR(VLOOKUP(B2669,'Pre-Summary'!$Y$6:$AD$83,6,FALSE),"")</f>
        <v/>
      </c>
      <c r="X2669" t="str">
        <f>IFERROR(VLOOKUP('Pre-Summary'!$DB$6:$DD$63,3,FALSE),"")</f>
        <v/>
      </c>
      <c r="Y2669" t="str">
        <f>IFERROR(VLOOKUP(B2669,'Pre-Summary'!$CR$6:$CT$36,3,FALSE),"")</f>
        <v/>
      </c>
      <c r="Z2669" s="45" t="str">
        <f>IFERROR(VLOOKUP(B2669,'Pre-Summary'!$BZ$6:$CB$63,2,FALSE),"")</f>
        <v/>
      </c>
      <c r="AA2669" s="45" t="str">
        <f>IFERROR(VLOOKUP(B2669,'Pre-Summary'!$CG$6:$CI$70,2,FALSE),"")</f>
        <v/>
      </c>
      <c r="AB2669" s="99">
        <f>IFERROR(VLOOKUP(B2669,'Pre-Summary'!$A$6:$P$178,9,FALSE),AB2670)</f>
        <v>0.44425190445462043</v>
      </c>
      <c r="AC2669" s="10">
        <f>IFERROR(VLOOKUP(Summary!B2669,'Pre-Summary'!$A$6:$P$184,5, FALSE)/100,AC2670)</f>
        <v>0.95692499999999991</v>
      </c>
      <c r="AD2669" s="10">
        <f>IFERROR(VLOOKUP(Summary!B2669,'Pre-Summary'!$A$6:$P$184,3, FALSE)/100,AD2670)</f>
        <v>3.3729333333333333E-2</v>
      </c>
      <c r="AE2669" s="10">
        <f>IFERROR(VLOOKUP(Summary!B2669,'Pre-Summary'!$A$6:$P$184,7, FALSE)/100,AE2670)</f>
        <v>9.3456666666666671E-3</v>
      </c>
      <c r="AF2669" s="99">
        <f t="shared" si="124"/>
        <v>1.4984320569318045E-2</v>
      </c>
      <c r="AG2669" s="99">
        <f t="shared" si="125"/>
        <v>4.1518302150647312E-3</v>
      </c>
      <c r="AH2669" s="10" t="str">
        <f>IFERROR(VLOOKUP(B2669,'Pre-Summary'!$AZ$6:$BE$65,3,FALSE),"")</f>
        <v/>
      </c>
      <c r="AI2669" s="10" t="str">
        <f>IFERROR(VLOOKUP(B2669,'Pre-Summary'!$AZ$6:$BE$65,5,FALSE),"")</f>
        <v/>
      </c>
      <c r="AJ2669" s="10" t="str">
        <f>IFERROR(VLOOKUP(B2669,'Pre-Summary'!$AZ$6:$BE$65,4,FALSE),"")</f>
        <v/>
      </c>
      <c r="AK2669" s="10" t="str">
        <f>IFERROR(VLOOKUP(B2669,'Pre-Summary'!$AZ$6:$BE$65,6,FALSE),"")</f>
        <v/>
      </c>
      <c r="AL2669" s="10" t="str">
        <f>IFERROR(VLOOKUP(B2669,'Pre-Summary'!$BG$6:$BL$44,3,FALSE),"")</f>
        <v/>
      </c>
      <c r="AM2669" s="10" t="str">
        <f>IFERROR(VLOOKUP(B2669,'Pre-Summary'!$BG$6:$BL$44,4,FALSE),"")</f>
        <v/>
      </c>
    </row>
    <row r="2670" spans="2:39" ht="15" customHeight="1" x14ac:dyDescent="0.3">
      <c r="B2670">
        <v>266.7</v>
      </c>
      <c r="C2670" t="str">
        <f>IFERROR(VLOOKUP(B2670,'Pre-Summary'!$DI$6:$DM$23,4,FALSE),"")</f>
        <v/>
      </c>
      <c r="D2670" s="10" t="str">
        <f>IFERROR(VLOOKUP(B2670,'Pre-Summary'!$AT$6:$AX$14,5,FALSE),D2669)</f>
        <v>Wolfe v3: went back to modified wolfe + EDTA and switched CuSO4 to CUCl2</v>
      </c>
      <c r="E2670" s="10" t="str">
        <f>IFERROR(VLOOKUP(B2670,'Pre-Summary'!$AT$6:$AX$15,4,FALSE),"")</f>
        <v/>
      </c>
      <c r="F2670">
        <f>IFERROR(VLOOKUP(B2670,'Pre-Summary'!$AL$6:$AQ$13,6,FALSE),F2669)</f>
        <v>5.9405263157894746E-2</v>
      </c>
      <c r="G2670" t="str">
        <f>IFERROR(VLOOKUP(B2670,'Pre-Summary'!$AE$6:$AJ$85,3,FALSE),"")</f>
        <v/>
      </c>
      <c r="H2670" t="str">
        <f>IFERROR(VLOOKUP(B2670,'Pre-Summary'!$AE$6:$AJ$85,4,FALSE),"")</f>
        <v/>
      </c>
      <c r="I2670" t="str">
        <f>IFERROR(VLOOKUP(B2670,'Pre-Summary'!$AE$6:$AJ$85,5,FALSE),"")</f>
        <v/>
      </c>
      <c r="J2670" s="45" t="str">
        <f>IFERROR(VLOOKUP(B2670,'Pre-Summary'!$AE$6:$AJ$85,6, FALSE),"")</f>
        <v/>
      </c>
      <c r="K2670" s="45" t="str">
        <f>IFERROR(VLOOKUP(B2670,'Pre-Summary'!$DE$6:$DG$61,3,FALSE),"")</f>
        <v/>
      </c>
      <c r="L2670" s="45" t="str">
        <f>IFERROR(VLOOKUP(B2670,'Pre-Summary'!$CU$6:$CW$36,3,FALSE),"")</f>
        <v/>
      </c>
      <c r="M2670" s="45" t="str">
        <f>IFERROR(VLOOKUP(B2670,'Pre-Summary'!$BW$6:$BY$58,2,FALSE),"")</f>
        <v/>
      </c>
      <c r="N2670" s="45" t="str">
        <f>IFERROR(VLOOKUP(B2670,'Pre-Summary'!$CD$6:$CF$64,2,FALSE),"")</f>
        <v/>
      </c>
      <c r="O2670" s="99">
        <f>IFERROR(VLOOKUP(B2670,'Pre-Summary'!$BO$6:$BQ$48,3, FALSE),O2669)</f>
        <v>1.83</v>
      </c>
      <c r="P2670" s="99">
        <f>IFERROR(VLOOKUP(B2670,'Pre-Summary'!$BS$6:$BU$35,3,FALSE),P2669)</f>
        <v>0.46200000000000002</v>
      </c>
      <c r="Q2670" s="54">
        <f t="shared" si="123"/>
        <v>3.9610389610389611</v>
      </c>
      <c r="R2670" s="53">
        <f>IFERROR(VLOOKUP(B2670,'Pre-Summary'!$BG$6:$BM$44,7,FALSE),R2671)</f>
        <v>9.7903492963591104E-2</v>
      </c>
      <c r="S2670" s="53">
        <f>IFERROR(VLOOKUP(B2670,'Pre-Summary'!$BG$6:$BM$44,6,FALSE),S2671)</f>
        <v>0.1105986773408305</v>
      </c>
      <c r="T2670" s="45" t="str">
        <f>IFERROR(VLOOKUP(B2670,'Pre-Summary'!$Y$6:$AC$83, 3,FALSE),"")</f>
        <v/>
      </c>
      <c r="U2670" s="45" t="str">
        <f>IFERROR(VLOOKUP(B2670,'Pre-Summary'!$Y$6:$AC$83, 4,FALSE),"")</f>
        <v/>
      </c>
      <c r="V2670" t="str">
        <f>IFERROR(VLOOKUP(B2670,'Pre-Summary'!$Y$6:$AC$83, 5,FALSE),"")</f>
        <v/>
      </c>
      <c r="W2670" s="45" t="str">
        <f>IFERROR(VLOOKUP(B2670,'Pre-Summary'!$Y$6:$AD$83,6,FALSE),"")</f>
        <v/>
      </c>
      <c r="X2670" t="str">
        <f>IFERROR(VLOOKUP('Pre-Summary'!$DB$6:$DD$63,3,FALSE),"")</f>
        <v/>
      </c>
      <c r="Y2670" t="str">
        <f>IFERROR(VLOOKUP(B2670,'Pre-Summary'!$CR$6:$CT$36,3,FALSE),"")</f>
        <v/>
      </c>
      <c r="Z2670" s="45" t="str">
        <f>IFERROR(VLOOKUP(B2670,'Pre-Summary'!$BZ$6:$CB$63,2,FALSE),"")</f>
        <v/>
      </c>
      <c r="AA2670" s="45" t="str">
        <f>IFERROR(VLOOKUP(B2670,'Pre-Summary'!$CG$6:$CI$70,2,FALSE),"")</f>
        <v/>
      </c>
      <c r="AB2670" s="99">
        <f>IFERROR(VLOOKUP(B2670,'Pre-Summary'!$A$6:$P$178,9,FALSE),AB2671)</f>
        <v>0.44425190445462043</v>
      </c>
      <c r="AC2670" s="10">
        <f>IFERROR(VLOOKUP(Summary!B2670,'Pre-Summary'!$A$6:$P$184,5, FALSE)/100,AC2671)</f>
        <v>0.95692499999999991</v>
      </c>
      <c r="AD2670" s="10">
        <f>IFERROR(VLOOKUP(Summary!B2670,'Pre-Summary'!$A$6:$P$184,3, FALSE)/100,AD2671)</f>
        <v>3.3729333333333333E-2</v>
      </c>
      <c r="AE2670" s="10">
        <f>IFERROR(VLOOKUP(Summary!B2670,'Pre-Summary'!$A$6:$P$184,7, FALSE)/100,AE2671)</f>
        <v>9.3456666666666671E-3</v>
      </c>
      <c r="AF2670" s="99">
        <f t="shared" si="124"/>
        <v>1.4984320569318045E-2</v>
      </c>
      <c r="AG2670" s="99">
        <f t="shared" si="125"/>
        <v>4.1518302150647312E-3</v>
      </c>
      <c r="AH2670" s="10" t="str">
        <f>IFERROR(VLOOKUP(B2670,'Pre-Summary'!$AZ$6:$BE$65,3,FALSE),"")</f>
        <v/>
      </c>
      <c r="AI2670" s="10" t="str">
        <f>IFERROR(VLOOKUP(B2670,'Pre-Summary'!$AZ$6:$BE$65,5,FALSE),"")</f>
        <v/>
      </c>
      <c r="AJ2670" s="10" t="str">
        <f>IFERROR(VLOOKUP(B2670,'Pre-Summary'!$AZ$6:$BE$65,4,FALSE),"")</f>
        <v/>
      </c>
      <c r="AK2670" s="10" t="str">
        <f>IFERROR(VLOOKUP(B2670,'Pre-Summary'!$AZ$6:$BE$65,6,FALSE),"")</f>
        <v/>
      </c>
      <c r="AL2670" s="10" t="str">
        <f>IFERROR(VLOOKUP(B2670,'Pre-Summary'!$BG$6:$BL$44,3,FALSE),"")</f>
        <v/>
      </c>
      <c r="AM2670" s="10" t="str">
        <f>IFERROR(VLOOKUP(B2670,'Pre-Summary'!$BG$6:$BL$44,4,FALSE),"")</f>
        <v/>
      </c>
    </row>
    <row r="2671" spans="2:39" ht="15" customHeight="1" x14ac:dyDescent="0.3">
      <c r="B2671">
        <v>266.8</v>
      </c>
      <c r="C2671" t="str">
        <f>IFERROR(VLOOKUP(B2671,'Pre-Summary'!$DI$6:$DM$23,4,FALSE),"")</f>
        <v/>
      </c>
      <c r="D2671" s="10" t="str">
        <f>IFERROR(VLOOKUP(B2671,'Pre-Summary'!$AT$6:$AX$14,5,FALSE),D2670)</f>
        <v>Wolfe v3: went back to modified wolfe + EDTA and switched CuSO4 to CUCl2</v>
      </c>
      <c r="E2671" s="10" t="str">
        <f>IFERROR(VLOOKUP(B2671,'Pre-Summary'!$AT$6:$AX$15,4,FALSE),"")</f>
        <v/>
      </c>
      <c r="F2671">
        <f>IFERROR(VLOOKUP(B2671,'Pre-Summary'!$AL$6:$AQ$13,6,FALSE),F2670)</f>
        <v>5.9405263157894746E-2</v>
      </c>
      <c r="G2671" t="str">
        <f>IFERROR(VLOOKUP(B2671,'Pre-Summary'!$AE$6:$AJ$85,3,FALSE),"")</f>
        <v/>
      </c>
      <c r="H2671" t="str">
        <f>IFERROR(VLOOKUP(B2671,'Pre-Summary'!$AE$6:$AJ$85,4,FALSE),"")</f>
        <v/>
      </c>
      <c r="I2671" t="str">
        <f>IFERROR(VLOOKUP(B2671,'Pre-Summary'!$AE$6:$AJ$85,5,FALSE),"")</f>
        <v/>
      </c>
      <c r="J2671" s="45" t="str">
        <f>IFERROR(VLOOKUP(B2671,'Pre-Summary'!$AE$6:$AJ$85,6, FALSE),"")</f>
        <v/>
      </c>
      <c r="K2671" s="45" t="str">
        <f>IFERROR(VLOOKUP(B2671,'Pre-Summary'!$DE$6:$DG$61,3,FALSE),"")</f>
        <v/>
      </c>
      <c r="L2671" s="45" t="str">
        <f>IFERROR(VLOOKUP(B2671,'Pre-Summary'!$CU$6:$CW$36,3,FALSE),"")</f>
        <v/>
      </c>
      <c r="M2671" s="45" t="str">
        <f>IFERROR(VLOOKUP(B2671,'Pre-Summary'!$BW$6:$BY$58,2,FALSE),"")</f>
        <v/>
      </c>
      <c r="N2671" s="45" t="str">
        <f>IFERROR(VLOOKUP(B2671,'Pre-Summary'!$CD$6:$CF$64,2,FALSE),"")</f>
        <v/>
      </c>
      <c r="O2671" s="99">
        <f>IFERROR(VLOOKUP(B2671,'Pre-Summary'!$BO$6:$BQ$48,3, FALSE),O2670)</f>
        <v>1.83</v>
      </c>
      <c r="P2671" s="99">
        <f>IFERROR(VLOOKUP(B2671,'Pre-Summary'!$BS$6:$BU$35,3,FALSE),P2670)</f>
        <v>0.46200000000000002</v>
      </c>
      <c r="Q2671" s="54">
        <f t="shared" si="123"/>
        <v>3.9610389610389611</v>
      </c>
      <c r="R2671" s="53">
        <f>IFERROR(VLOOKUP(B2671,'Pre-Summary'!$BG$6:$BM$44,7,FALSE),R2672)</f>
        <v>9.7903492963591104E-2</v>
      </c>
      <c r="S2671" s="53">
        <f>IFERROR(VLOOKUP(B2671,'Pre-Summary'!$BG$6:$BM$44,6,FALSE),S2672)</f>
        <v>0.1105986773408305</v>
      </c>
      <c r="T2671" s="45" t="str">
        <f>IFERROR(VLOOKUP(B2671,'Pre-Summary'!$Y$6:$AC$83, 3,FALSE),"")</f>
        <v/>
      </c>
      <c r="U2671" s="45" t="str">
        <f>IFERROR(VLOOKUP(B2671,'Pre-Summary'!$Y$6:$AC$83, 4,FALSE),"")</f>
        <v/>
      </c>
      <c r="V2671" t="str">
        <f>IFERROR(VLOOKUP(B2671,'Pre-Summary'!$Y$6:$AC$83, 5,FALSE),"")</f>
        <v/>
      </c>
      <c r="W2671" s="45" t="str">
        <f>IFERROR(VLOOKUP(B2671,'Pre-Summary'!$Y$6:$AD$83,6,FALSE),"")</f>
        <v/>
      </c>
      <c r="X2671" t="str">
        <f>IFERROR(VLOOKUP('Pre-Summary'!$DB$6:$DD$63,3,FALSE),"")</f>
        <v/>
      </c>
      <c r="Y2671" t="str">
        <f>IFERROR(VLOOKUP(B2671,'Pre-Summary'!$CR$6:$CT$36,3,FALSE),"")</f>
        <v/>
      </c>
      <c r="Z2671" s="45" t="str">
        <f>IFERROR(VLOOKUP(B2671,'Pre-Summary'!$BZ$6:$CB$63,2,FALSE),"")</f>
        <v/>
      </c>
      <c r="AA2671" s="45" t="str">
        <f>IFERROR(VLOOKUP(B2671,'Pre-Summary'!$CG$6:$CI$70,2,FALSE),"")</f>
        <v/>
      </c>
      <c r="AB2671" s="99">
        <f>IFERROR(VLOOKUP(B2671,'Pre-Summary'!$A$6:$P$178,9,FALSE),AB2672)</f>
        <v>0.44425190445462043</v>
      </c>
      <c r="AC2671" s="10">
        <f>IFERROR(VLOOKUP(Summary!B2671,'Pre-Summary'!$A$6:$P$184,5, FALSE)/100,AC2672)</f>
        <v>0.95692499999999991</v>
      </c>
      <c r="AD2671" s="10">
        <f>IFERROR(VLOOKUP(Summary!B2671,'Pre-Summary'!$A$6:$P$184,3, FALSE)/100,AD2672)</f>
        <v>3.3729333333333333E-2</v>
      </c>
      <c r="AE2671" s="10">
        <f>IFERROR(VLOOKUP(Summary!B2671,'Pre-Summary'!$A$6:$P$184,7, FALSE)/100,AE2672)</f>
        <v>9.3456666666666671E-3</v>
      </c>
      <c r="AF2671" s="99">
        <f t="shared" si="124"/>
        <v>1.4984320569318045E-2</v>
      </c>
      <c r="AG2671" s="99">
        <f t="shared" si="125"/>
        <v>4.1518302150647312E-3</v>
      </c>
      <c r="AH2671" s="10" t="str">
        <f>IFERROR(VLOOKUP(B2671,'Pre-Summary'!$AZ$6:$BE$65,3,FALSE),"")</f>
        <v/>
      </c>
      <c r="AI2671" s="10" t="str">
        <f>IFERROR(VLOOKUP(B2671,'Pre-Summary'!$AZ$6:$BE$65,5,FALSE),"")</f>
        <v/>
      </c>
      <c r="AJ2671" s="10" t="str">
        <f>IFERROR(VLOOKUP(B2671,'Pre-Summary'!$AZ$6:$BE$65,4,FALSE),"")</f>
        <v/>
      </c>
      <c r="AK2671" s="10" t="str">
        <f>IFERROR(VLOOKUP(B2671,'Pre-Summary'!$AZ$6:$BE$65,6,FALSE),"")</f>
        <v/>
      </c>
      <c r="AL2671" s="10" t="str">
        <f>IFERROR(VLOOKUP(B2671,'Pre-Summary'!$BG$6:$BL$44,3,FALSE),"")</f>
        <v/>
      </c>
      <c r="AM2671" s="10" t="str">
        <f>IFERROR(VLOOKUP(B2671,'Pre-Summary'!$BG$6:$BL$44,4,FALSE),"")</f>
        <v/>
      </c>
    </row>
    <row r="2672" spans="2:39" ht="15" customHeight="1" x14ac:dyDescent="0.3">
      <c r="B2672">
        <v>266.89999999999998</v>
      </c>
      <c r="C2672" t="str">
        <f>IFERROR(VLOOKUP(B2672,'Pre-Summary'!$DI$6:$DM$23,4,FALSE),"")</f>
        <v/>
      </c>
      <c r="D2672" s="10" t="str">
        <f>IFERROR(VLOOKUP(B2672,'Pre-Summary'!$AT$6:$AX$14,5,FALSE),D2671)</f>
        <v>Wolfe v3: went back to modified wolfe + EDTA and switched CuSO4 to CUCl2</v>
      </c>
      <c r="E2672" s="10" t="str">
        <f>IFERROR(VLOOKUP(B2672,'Pre-Summary'!$AT$6:$AX$15,4,FALSE),"")</f>
        <v/>
      </c>
      <c r="F2672">
        <f>IFERROR(VLOOKUP(B2672,'Pre-Summary'!$AL$6:$AQ$13,6,FALSE),F2671)</f>
        <v>5.9405263157894746E-2</v>
      </c>
      <c r="G2672" t="str">
        <f>IFERROR(VLOOKUP(B2672,'Pre-Summary'!$AE$6:$AJ$85,3,FALSE),"")</f>
        <v/>
      </c>
      <c r="H2672" t="str">
        <f>IFERROR(VLOOKUP(B2672,'Pre-Summary'!$AE$6:$AJ$85,4,FALSE),"")</f>
        <v/>
      </c>
      <c r="I2672" t="str">
        <f>IFERROR(VLOOKUP(B2672,'Pre-Summary'!$AE$6:$AJ$85,5,FALSE),"")</f>
        <v/>
      </c>
      <c r="J2672" s="45" t="str">
        <f>IFERROR(VLOOKUP(B2672,'Pre-Summary'!$AE$6:$AJ$85,6, FALSE),"")</f>
        <v/>
      </c>
      <c r="K2672" s="45" t="str">
        <f>IFERROR(VLOOKUP(B2672,'Pre-Summary'!$DE$6:$DG$61,3,FALSE),"")</f>
        <v/>
      </c>
      <c r="L2672" s="45" t="str">
        <f>IFERROR(VLOOKUP(B2672,'Pre-Summary'!$CU$6:$CW$36,3,FALSE),"")</f>
        <v/>
      </c>
      <c r="M2672" s="45" t="str">
        <f>IFERROR(VLOOKUP(B2672,'Pre-Summary'!$BW$6:$BY$58,2,FALSE),"")</f>
        <v/>
      </c>
      <c r="N2672" s="45" t="str">
        <f>IFERROR(VLOOKUP(B2672,'Pre-Summary'!$CD$6:$CF$64,2,FALSE),"")</f>
        <v/>
      </c>
      <c r="O2672" s="99">
        <f>IFERROR(VLOOKUP(B2672,'Pre-Summary'!$BO$6:$BQ$48,3, FALSE),O2671)</f>
        <v>1.83</v>
      </c>
      <c r="P2672" s="99">
        <f>IFERROR(VLOOKUP(B2672,'Pre-Summary'!$BS$6:$BU$35,3,FALSE),P2671)</f>
        <v>0.46200000000000002</v>
      </c>
      <c r="Q2672" s="54">
        <f t="shared" si="123"/>
        <v>3.9610389610389611</v>
      </c>
      <c r="R2672" s="53">
        <f>IFERROR(VLOOKUP(B2672,'Pre-Summary'!$BG$6:$BM$44,7,FALSE),R2673)</f>
        <v>9.7903492963591104E-2</v>
      </c>
      <c r="S2672" s="53">
        <f>IFERROR(VLOOKUP(B2672,'Pre-Summary'!$BG$6:$BM$44,6,FALSE),S2673)</f>
        <v>0.1105986773408305</v>
      </c>
      <c r="T2672" s="45" t="str">
        <f>IFERROR(VLOOKUP(B2672,'Pre-Summary'!$Y$6:$AC$83, 3,FALSE),"")</f>
        <v/>
      </c>
      <c r="U2672" s="45" t="str">
        <f>IFERROR(VLOOKUP(B2672,'Pre-Summary'!$Y$6:$AC$83, 4,FALSE),"")</f>
        <v/>
      </c>
      <c r="V2672" t="str">
        <f>IFERROR(VLOOKUP(B2672,'Pre-Summary'!$Y$6:$AC$83, 5,FALSE),"")</f>
        <v/>
      </c>
      <c r="W2672" s="45" t="str">
        <f>IFERROR(VLOOKUP(B2672,'Pre-Summary'!$Y$6:$AD$83,6,FALSE),"")</f>
        <v/>
      </c>
      <c r="X2672" t="str">
        <f>IFERROR(VLOOKUP('Pre-Summary'!$DB$6:$DD$63,3,FALSE),"")</f>
        <v/>
      </c>
      <c r="Y2672" t="str">
        <f>IFERROR(VLOOKUP(B2672,'Pre-Summary'!$CR$6:$CT$36,3,FALSE),"")</f>
        <v/>
      </c>
      <c r="Z2672" s="45" t="str">
        <f>IFERROR(VLOOKUP(B2672,'Pre-Summary'!$BZ$6:$CB$63,2,FALSE),"")</f>
        <v/>
      </c>
      <c r="AA2672" s="45" t="str">
        <f>IFERROR(VLOOKUP(B2672,'Pre-Summary'!$CG$6:$CI$70,2,FALSE),"")</f>
        <v/>
      </c>
      <c r="AB2672" s="99">
        <f>IFERROR(VLOOKUP(B2672,'Pre-Summary'!$A$6:$P$178,9,FALSE),AB2673)</f>
        <v>0.44425190445462043</v>
      </c>
      <c r="AC2672" s="10">
        <f>IFERROR(VLOOKUP(Summary!B2672,'Pre-Summary'!$A$6:$P$184,5, FALSE)/100,AC2673)</f>
        <v>0.95692499999999991</v>
      </c>
      <c r="AD2672" s="10">
        <f>IFERROR(VLOOKUP(Summary!B2672,'Pre-Summary'!$A$6:$P$184,3, FALSE)/100,AD2673)</f>
        <v>3.3729333333333333E-2</v>
      </c>
      <c r="AE2672" s="10">
        <f>IFERROR(VLOOKUP(Summary!B2672,'Pre-Summary'!$A$6:$P$184,7, FALSE)/100,AE2673)</f>
        <v>9.3456666666666671E-3</v>
      </c>
      <c r="AF2672" s="99">
        <f t="shared" si="124"/>
        <v>1.4984320569318045E-2</v>
      </c>
      <c r="AG2672" s="99">
        <f t="shared" si="125"/>
        <v>4.1518302150647312E-3</v>
      </c>
      <c r="AH2672" s="10" t="str">
        <f>IFERROR(VLOOKUP(B2672,'Pre-Summary'!$AZ$6:$BE$65,3,FALSE),"")</f>
        <v/>
      </c>
      <c r="AI2672" s="10" t="str">
        <f>IFERROR(VLOOKUP(B2672,'Pre-Summary'!$AZ$6:$BE$65,5,FALSE),"")</f>
        <v/>
      </c>
      <c r="AJ2672" s="10" t="str">
        <f>IFERROR(VLOOKUP(B2672,'Pre-Summary'!$AZ$6:$BE$65,4,FALSE),"")</f>
        <v/>
      </c>
      <c r="AK2672" s="10" t="str">
        <f>IFERROR(VLOOKUP(B2672,'Pre-Summary'!$AZ$6:$BE$65,6,FALSE),"")</f>
        <v/>
      </c>
      <c r="AL2672" s="10" t="str">
        <f>IFERROR(VLOOKUP(B2672,'Pre-Summary'!$BG$6:$BL$44,3,FALSE),"")</f>
        <v/>
      </c>
      <c r="AM2672" s="10" t="str">
        <f>IFERROR(VLOOKUP(B2672,'Pre-Summary'!$BG$6:$BL$44,4,FALSE),"")</f>
        <v/>
      </c>
    </row>
    <row r="2673" spans="2:39" ht="15" customHeight="1" x14ac:dyDescent="0.3">
      <c r="B2673">
        <v>267</v>
      </c>
      <c r="C2673" t="str">
        <f>IFERROR(VLOOKUP(B2673,'Pre-Summary'!$DI$6:$DM$23,4,FALSE),"")</f>
        <v/>
      </c>
      <c r="D2673" s="10" t="str">
        <f>IFERROR(VLOOKUP(B2673,'Pre-Summary'!$AT$6:$AX$14,5,FALSE),D2672)</f>
        <v>Wolfe v3: went back to modified wolfe + EDTA and switched CuSO4 to CUCl2</v>
      </c>
      <c r="E2673" s="10" t="str">
        <f>IFERROR(VLOOKUP(B2673,'Pre-Summary'!$AT$6:$AX$15,4,FALSE),"")</f>
        <v/>
      </c>
      <c r="F2673">
        <f>IFERROR(VLOOKUP(B2673,'Pre-Summary'!$AL$6:$AQ$13,6,FALSE),F2672)</f>
        <v>5.9405263157894746E-2</v>
      </c>
      <c r="G2673" t="str">
        <f>IFERROR(VLOOKUP(B2673,'Pre-Summary'!$AE$6:$AJ$85,3,FALSE),"")</f>
        <v/>
      </c>
      <c r="H2673" t="str">
        <f>IFERROR(VLOOKUP(B2673,'Pre-Summary'!$AE$6:$AJ$85,4,FALSE),"")</f>
        <v/>
      </c>
      <c r="I2673" t="str">
        <f>IFERROR(VLOOKUP(B2673,'Pre-Summary'!$AE$6:$AJ$85,5,FALSE),"")</f>
        <v/>
      </c>
      <c r="J2673" s="45" t="str">
        <f>IFERROR(VLOOKUP(B2673,'Pre-Summary'!$AE$6:$AJ$85,6, FALSE),"")</f>
        <v/>
      </c>
      <c r="K2673" s="45" t="str">
        <f>IFERROR(VLOOKUP(B2673,'Pre-Summary'!$DE$6:$DG$61,3,FALSE),"")</f>
        <v/>
      </c>
      <c r="L2673" s="45" t="str">
        <f>IFERROR(VLOOKUP(B2673,'Pre-Summary'!$CU$6:$CW$36,3,FALSE),"")</f>
        <v/>
      </c>
      <c r="M2673" s="45" t="str">
        <f>IFERROR(VLOOKUP(B2673,'Pre-Summary'!$BW$6:$BY$58,2,FALSE),"")</f>
        <v/>
      </c>
      <c r="N2673" s="45" t="str">
        <f>IFERROR(VLOOKUP(B2673,'Pre-Summary'!$CD$6:$CF$64,2,FALSE),"")</f>
        <v/>
      </c>
      <c r="O2673" s="99">
        <f>IFERROR(VLOOKUP(B2673,'Pre-Summary'!$BO$6:$BQ$48,3, FALSE),O2672)</f>
        <v>1.83</v>
      </c>
      <c r="P2673" s="99">
        <f>IFERROR(VLOOKUP(B2673,'Pre-Summary'!$BS$6:$BU$35,3,FALSE),P2672)</f>
        <v>0.46200000000000002</v>
      </c>
      <c r="Q2673" s="54">
        <f t="shared" si="123"/>
        <v>3.9610389610389611</v>
      </c>
      <c r="R2673" s="53">
        <f>IFERROR(VLOOKUP(B2673,'Pre-Summary'!$BG$6:$BM$44,7,FALSE),R2674)</f>
        <v>9.7903492963591104E-2</v>
      </c>
      <c r="S2673" s="53">
        <f>IFERROR(VLOOKUP(B2673,'Pre-Summary'!$BG$6:$BM$44,6,FALSE),S2674)</f>
        <v>0.1105986773408305</v>
      </c>
      <c r="T2673" s="45" t="str">
        <f>IFERROR(VLOOKUP(B2673,'Pre-Summary'!$Y$6:$AC$83, 3,FALSE),"")</f>
        <v/>
      </c>
      <c r="U2673" s="45" t="str">
        <f>IFERROR(VLOOKUP(B2673,'Pre-Summary'!$Y$6:$AC$83, 4,FALSE),"")</f>
        <v/>
      </c>
      <c r="V2673" t="str">
        <f>IFERROR(VLOOKUP(B2673,'Pre-Summary'!$Y$6:$AC$83, 5,FALSE),"")</f>
        <v/>
      </c>
      <c r="W2673" s="45" t="str">
        <f>IFERROR(VLOOKUP(B2673,'Pre-Summary'!$Y$6:$AD$83,6,FALSE),"")</f>
        <v/>
      </c>
      <c r="X2673" t="str">
        <f>IFERROR(VLOOKUP('Pre-Summary'!$DB$6:$DD$63,3,FALSE),"")</f>
        <v/>
      </c>
      <c r="Y2673" t="str">
        <f>IFERROR(VLOOKUP(B2673,'Pre-Summary'!$CR$6:$CT$36,3,FALSE),"")</f>
        <v/>
      </c>
      <c r="Z2673" s="45" t="str">
        <f>IFERROR(VLOOKUP(B2673,'Pre-Summary'!$BZ$6:$CB$63,2,FALSE),"")</f>
        <v/>
      </c>
      <c r="AA2673" s="45" t="str">
        <f>IFERROR(VLOOKUP(B2673,'Pre-Summary'!$CG$6:$CI$70,2,FALSE),"")</f>
        <v/>
      </c>
      <c r="AB2673" s="99">
        <f>IFERROR(VLOOKUP(B2673,'Pre-Summary'!$A$6:$P$178,9,FALSE),AB2674)</f>
        <v>0.44425190445462043</v>
      </c>
      <c r="AC2673" s="10">
        <f>IFERROR(VLOOKUP(Summary!B2673,'Pre-Summary'!$A$6:$P$184,5, FALSE)/100,AC2674)</f>
        <v>0.95692499999999991</v>
      </c>
      <c r="AD2673" s="10">
        <f>IFERROR(VLOOKUP(Summary!B2673,'Pre-Summary'!$A$6:$P$184,3, FALSE)/100,AD2674)</f>
        <v>3.3729333333333333E-2</v>
      </c>
      <c r="AE2673" s="10">
        <f>IFERROR(VLOOKUP(Summary!B2673,'Pre-Summary'!$A$6:$P$184,7, FALSE)/100,AE2674)</f>
        <v>9.3456666666666671E-3</v>
      </c>
      <c r="AF2673" s="99">
        <f t="shared" si="124"/>
        <v>1.4984320569318045E-2</v>
      </c>
      <c r="AG2673" s="99">
        <f t="shared" si="125"/>
        <v>4.1518302150647312E-3</v>
      </c>
      <c r="AH2673" s="10" t="str">
        <f>IFERROR(VLOOKUP(B2673,'Pre-Summary'!$AZ$6:$BE$65,3,FALSE),"")</f>
        <v/>
      </c>
      <c r="AI2673" s="10" t="str">
        <f>IFERROR(VLOOKUP(B2673,'Pre-Summary'!$AZ$6:$BE$65,5,FALSE),"")</f>
        <v/>
      </c>
      <c r="AJ2673" s="10" t="str">
        <f>IFERROR(VLOOKUP(B2673,'Pre-Summary'!$AZ$6:$BE$65,4,FALSE),"")</f>
        <v/>
      </c>
      <c r="AK2673" s="10" t="str">
        <f>IFERROR(VLOOKUP(B2673,'Pre-Summary'!$AZ$6:$BE$65,6,FALSE),"")</f>
        <v/>
      </c>
      <c r="AL2673" s="10" t="str">
        <f>IFERROR(VLOOKUP(B2673,'Pre-Summary'!$BG$6:$BL$44,3,FALSE),"")</f>
        <v/>
      </c>
      <c r="AM2673" s="10" t="str">
        <f>IFERROR(VLOOKUP(B2673,'Pre-Summary'!$BG$6:$BL$44,4,FALSE),"")</f>
        <v/>
      </c>
    </row>
    <row r="2674" spans="2:39" ht="15" customHeight="1" x14ac:dyDescent="0.3">
      <c r="B2674">
        <v>267.10000000000002</v>
      </c>
      <c r="C2674" t="str">
        <f>IFERROR(VLOOKUP(B2674,'Pre-Summary'!$DI$6:$DM$23,4,FALSE),"")</f>
        <v/>
      </c>
      <c r="D2674" s="10" t="str">
        <f>IFERROR(VLOOKUP(B2674,'Pre-Summary'!$AT$6:$AX$14,5,FALSE),D2673)</f>
        <v>Wolfe v3: went back to modified wolfe + EDTA and switched CuSO4 to CUCl2</v>
      </c>
      <c r="E2674" s="10" t="str">
        <f>IFERROR(VLOOKUP(B2674,'Pre-Summary'!$AT$6:$AX$15,4,FALSE),"")</f>
        <v/>
      </c>
      <c r="F2674">
        <f>IFERROR(VLOOKUP(B2674,'Pre-Summary'!$AL$6:$AQ$13,6,FALSE),F2673)</f>
        <v>5.9405263157894746E-2</v>
      </c>
      <c r="G2674" t="str">
        <f>IFERROR(VLOOKUP(B2674,'Pre-Summary'!$AE$6:$AJ$85,3,FALSE),"")</f>
        <v/>
      </c>
      <c r="H2674" t="str">
        <f>IFERROR(VLOOKUP(B2674,'Pre-Summary'!$AE$6:$AJ$85,4,FALSE),"")</f>
        <v/>
      </c>
      <c r="I2674" t="str">
        <f>IFERROR(VLOOKUP(B2674,'Pre-Summary'!$AE$6:$AJ$85,5,FALSE),"")</f>
        <v/>
      </c>
      <c r="J2674" s="45" t="str">
        <f>IFERROR(VLOOKUP(B2674,'Pre-Summary'!$AE$6:$AJ$85,6, FALSE),"")</f>
        <v/>
      </c>
      <c r="K2674" s="45" t="str">
        <f>IFERROR(VLOOKUP(B2674,'Pre-Summary'!$DE$6:$DG$61,3,FALSE),"")</f>
        <v/>
      </c>
      <c r="L2674" s="45" t="str">
        <f>IFERROR(VLOOKUP(B2674,'Pre-Summary'!$CU$6:$CW$36,3,FALSE),"")</f>
        <v/>
      </c>
      <c r="M2674" s="45" t="str">
        <f>IFERROR(VLOOKUP(B2674,'Pre-Summary'!$BW$6:$BY$58,2,FALSE),"")</f>
        <v/>
      </c>
      <c r="N2674" s="45" t="str">
        <f>IFERROR(VLOOKUP(B2674,'Pre-Summary'!$CD$6:$CF$64,2,FALSE),"")</f>
        <v/>
      </c>
      <c r="O2674" s="99">
        <f>IFERROR(VLOOKUP(B2674,'Pre-Summary'!$BO$6:$BQ$48,3, FALSE),O2673)</f>
        <v>1.83</v>
      </c>
      <c r="P2674" s="99">
        <f>IFERROR(VLOOKUP(B2674,'Pre-Summary'!$BS$6:$BU$35,3,FALSE),P2673)</f>
        <v>0.46200000000000002</v>
      </c>
      <c r="Q2674" s="54">
        <f t="shared" si="123"/>
        <v>3.9610389610389611</v>
      </c>
      <c r="R2674" s="53">
        <f>IFERROR(VLOOKUP(B2674,'Pre-Summary'!$BG$6:$BM$44,7,FALSE),R2675)</f>
        <v>9.7903492963591104E-2</v>
      </c>
      <c r="S2674" s="53">
        <f>IFERROR(VLOOKUP(B2674,'Pre-Summary'!$BG$6:$BM$44,6,FALSE),S2675)</f>
        <v>0.1105986773408305</v>
      </c>
      <c r="T2674" s="45" t="str">
        <f>IFERROR(VLOOKUP(B2674,'Pre-Summary'!$Y$6:$AC$83, 3,FALSE),"")</f>
        <v/>
      </c>
      <c r="U2674" s="45" t="str">
        <f>IFERROR(VLOOKUP(B2674,'Pre-Summary'!$Y$6:$AC$83, 4,FALSE),"")</f>
        <v/>
      </c>
      <c r="V2674" t="str">
        <f>IFERROR(VLOOKUP(B2674,'Pre-Summary'!$Y$6:$AC$83, 5,FALSE),"")</f>
        <v/>
      </c>
      <c r="W2674" s="45" t="str">
        <f>IFERROR(VLOOKUP(B2674,'Pre-Summary'!$Y$6:$AD$83,6,FALSE),"")</f>
        <v/>
      </c>
      <c r="X2674" t="str">
        <f>IFERROR(VLOOKUP('Pre-Summary'!$DB$6:$DD$63,3,FALSE),"")</f>
        <v/>
      </c>
      <c r="Y2674" t="str">
        <f>IFERROR(VLOOKUP(B2674,'Pre-Summary'!$CR$6:$CT$36,3,FALSE),"")</f>
        <v/>
      </c>
      <c r="Z2674" s="45" t="str">
        <f>IFERROR(VLOOKUP(B2674,'Pre-Summary'!$BZ$6:$CB$63,2,FALSE),"")</f>
        <v/>
      </c>
      <c r="AA2674" s="45" t="str">
        <f>IFERROR(VLOOKUP(B2674,'Pre-Summary'!$CG$6:$CI$70,2,FALSE),"")</f>
        <v/>
      </c>
      <c r="AB2674" s="99">
        <f>IFERROR(VLOOKUP(B2674,'Pre-Summary'!$A$6:$P$178,9,FALSE),AB2675)</f>
        <v>0.44425190445462043</v>
      </c>
      <c r="AC2674" s="10">
        <f>IFERROR(VLOOKUP(Summary!B2674,'Pre-Summary'!$A$6:$P$184,5, FALSE)/100,AC2675)</f>
        <v>0.95692499999999991</v>
      </c>
      <c r="AD2674" s="10">
        <f>IFERROR(VLOOKUP(Summary!B2674,'Pre-Summary'!$A$6:$P$184,3, FALSE)/100,AD2675)</f>
        <v>3.3729333333333333E-2</v>
      </c>
      <c r="AE2674" s="10">
        <f>IFERROR(VLOOKUP(Summary!B2674,'Pre-Summary'!$A$6:$P$184,7, FALSE)/100,AE2675)</f>
        <v>9.3456666666666671E-3</v>
      </c>
      <c r="AF2674" s="99">
        <f t="shared" si="124"/>
        <v>1.4984320569318045E-2</v>
      </c>
      <c r="AG2674" s="99">
        <f t="shared" si="125"/>
        <v>4.1518302150647312E-3</v>
      </c>
      <c r="AH2674" s="10" t="str">
        <f>IFERROR(VLOOKUP(B2674,'Pre-Summary'!$AZ$6:$BE$65,3,FALSE),"")</f>
        <v/>
      </c>
      <c r="AI2674" s="10" t="str">
        <f>IFERROR(VLOOKUP(B2674,'Pre-Summary'!$AZ$6:$BE$65,5,FALSE),"")</f>
        <v/>
      </c>
      <c r="AJ2674" s="10" t="str">
        <f>IFERROR(VLOOKUP(B2674,'Pre-Summary'!$AZ$6:$BE$65,4,FALSE),"")</f>
        <v/>
      </c>
      <c r="AK2674" s="10" t="str">
        <f>IFERROR(VLOOKUP(B2674,'Pre-Summary'!$AZ$6:$BE$65,6,FALSE),"")</f>
        <v/>
      </c>
      <c r="AL2674" s="10" t="str">
        <f>IFERROR(VLOOKUP(B2674,'Pre-Summary'!$BG$6:$BL$44,3,FALSE),"")</f>
        <v/>
      </c>
      <c r="AM2674" s="10" t="str">
        <f>IFERROR(VLOOKUP(B2674,'Pre-Summary'!$BG$6:$BL$44,4,FALSE),"")</f>
        <v/>
      </c>
    </row>
    <row r="2675" spans="2:39" ht="15" customHeight="1" x14ac:dyDescent="0.3">
      <c r="B2675">
        <v>267.2</v>
      </c>
      <c r="C2675" t="str">
        <f>IFERROR(VLOOKUP(B2675,'Pre-Summary'!$DI$6:$DM$23,4,FALSE),"")</f>
        <v/>
      </c>
      <c r="D2675" s="10" t="str">
        <f>IFERROR(VLOOKUP(B2675,'Pre-Summary'!$AT$6:$AX$14,5,FALSE),D2674)</f>
        <v>Wolfe v3: went back to modified wolfe + EDTA and switched CuSO4 to CUCl2</v>
      </c>
      <c r="E2675" s="10" t="str">
        <f>IFERROR(VLOOKUP(B2675,'Pre-Summary'!$AT$6:$AX$15,4,FALSE),"")</f>
        <v/>
      </c>
      <c r="F2675">
        <f>IFERROR(VLOOKUP(B2675,'Pre-Summary'!$AL$6:$AQ$13,6,FALSE),F2674)</f>
        <v>5.9405263157894746E-2</v>
      </c>
      <c r="G2675" t="str">
        <f>IFERROR(VLOOKUP(B2675,'Pre-Summary'!$AE$6:$AJ$85,3,FALSE),"")</f>
        <v/>
      </c>
      <c r="H2675" t="str">
        <f>IFERROR(VLOOKUP(B2675,'Pre-Summary'!$AE$6:$AJ$85,4,FALSE),"")</f>
        <v/>
      </c>
      <c r="I2675" t="str">
        <f>IFERROR(VLOOKUP(B2675,'Pre-Summary'!$AE$6:$AJ$85,5,FALSE),"")</f>
        <v/>
      </c>
      <c r="J2675" s="45" t="str">
        <f>IFERROR(VLOOKUP(B2675,'Pre-Summary'!$AE$6:$AJ$85,6, FALSE),"")</f>
        <v/>
      </c>
      <c r="K2675" s="45" t="str">
        <f>IFERROR(VLOOKUP(B2675,'Pre-Summary'!$DE$6:$DG$61,3,FALSE),"")</f>
        <v/>
      </c>
      <c r="L2675" s="45" t="str">
        <f>IFERROR(VLOOKUP(B2675,'Pre-Summary'!$CU$6:$CW$36,3,FALSE),"")</f>
        <v/>
      </c>
      <c r="M2675" s="45" t="str">
        <f>IFERROR(VLOOKUP(B2675,'Pre-Summary'!$BW$6:$BY$58,2,FALSE),"")</f>
        <v/>
      </c>
      <c r="N2675" s="45" t="str">
        <f>IFERROR(VLOOKUP(B2675,'Pre-Summary'!$CD$6:$CF$64,2,FALSE),"")</f>
        <v/>
      </c>
      <c r="O2675" s="99">
        <f>IFERROR(VLOOKUP(B2675,'Pre-Summary'!$BO$6:$BQ$48,3, FALSE),O2674)</f>
        <v>1.83</v>
      </c>
      <c r="P2675" s="99">
        <f>IFERROR(VLOOKUP(B2675,'Pre-Summary'!$BS$6:$BU$35,3,FALSE),P2674)</f>
        <v>0.46200000000000002</v>
      </c>
      <c r="Q2675" s="54">
        <f t="shared" si="123"/>
        <v>3.9610389610389611</v>
      </c>
      <c r="R2675" s="53">
        <f>IFERROR(VLOOKUP(B2675,'Pre-Summary'!$BG$6:$BM$44,7,FALSE),R2676)</f>
        <v>9.7903492963591104E-2</v>
      </c>
      <c r="S2675" s="53">
        <f>IFERROR(VLOOKUP(B2675,'Pre-Summary'!$BG$6:$BM$44,6,FALSE),S2676)</f>
        <v>0.1105986773408305</v>
      </c>
      <c r="T2675" s="45" t="str">
        <f>IFERROR(VLOOKUP(B2675,'Pre-Summary'!$Y$6:$AC$83, 3,FALSE),"")</f>
        <v/>
      </c>
      <c r="U2675" s="45" t="str">
        <f>IFERROR(VLOOKUP(B2675,'Pre-Summary'!$Y$6:$AC$83, 4,FALSE),"")</f>
        <v/>
      </c>
      <c r="V2675" t="str">
        <f>IFERROR(VLOOKUP(B2675,'Pre-Summary'!$Y$6:$AC$83, 5,FALSE),"")</f>
        <v/>
      </c>
      <c r="W2675" s="45" t="str">
        <f>IFERROR(VLOOKUP(B2675,'Pre-Summary'!$Y$6:$AD$83,6,FALSE),"")</f>
        <v/>
      </c>
      <c r="X2675" t="str">
        <f>IFERROR(VLOOKUP('Pre-Summary'!$DB$6:$DD$63,3,FALSE),"")</f>
        <v/>
      </c>
      <c r="Y2675" t="str">
        <f>IFERROR(VLOOKUP(B2675,'Pre-Summary'!$CR$6:$CT$36,3,FALSE),"")</f>
        <v/>
      </c>
      <c r="Z2675" s="45" t="str">
        <f>IFERROR(VLOOKUP(B2675,'Pre-Summary'!$BZ$6:$CB$63,2,FALSE),"")</f>
        <v/>
      </c>
      <c r="AA2675" s="45" t="str">
        <f>IFERROR(VLOOKUP(B2675,'Pre-Summary'!$CG$6:$CI$70,2,FALSE),"")</f>
        <v/>
      </c>
      <c r="AB2675" s="99">
        <f>IFERROR(VLOOKUP(B2675,'Pre-Summary'!$A$6:$P$178,9,FALSE),AB2676)</f>
        <v>0.44425190445462043</v>
      </c>
      <c r="AC2675" s="10">
        <f>IFERROR(VLOOKUP(Summary!B2675,'Pre-Summary'!$A$6:$P$184,5, FALSE)/100,AC2676)</f>
        <v>0.95692499999999991</v>
      </c>
      <c r="AD2675" s="10">
        <f>IFERROR(VLOOKUP(Summary!B2675,'Pre-Summary'!$A$6:$P$184,3, FALSE)/100,AD2676)</f>
        <v>3.3729333333333333E-2</v>
      </c>
      <c r="AE2675" s="10">
        <f>IFERROR(VLOOKUP(Summary!B2675,'Pre-Summary'!$A$6:$P$184,7, FALSE)/100,AE2676)</f>
        <v>9.3456666666666671E-3</v>
      </c>
      <c r="AF2675" s="99">
        <f t="shared" si="124"/>
        <v>1.4984320569318045E-2</v>
      </c>
      <c r="AG2675" s="99">
        <f t="shared" si="125"/>
        <v>4.1518302150647312E-3</v>
      </c>
      <c r="AH2675" s="10" t="str">
        <f>IFERROR(VLOOKUP(B2675,'Pre-Summary'!$AZ$6:$BE$65,3,FALSE),"")</f>
        <v/>
      </c>
      <c r="AI2675" s="10" t="str">
        <f>IFERROR(VLOOKUP(B2675,'Pre-Summary'!$AZ$6:$BE$65,5,FALSE),"")</f>
        <v/>
      </c>
      <c r="AJ2675" s="10" t="str">
        <f>IFERROR(VLOOKUP(B2675,'Pre-Summary'!$AZ$6:$BE$65,4,FALSE),"")</f>
        <v/>
      </c>
      <c r="AK2675" s="10" t="str">
        <f>IFERROR(VLOOKUP(B2675,'Pre-Summary'!$AZ$6:$BE$65,6,FALSE),"")</f>
        <v/>
      </c>
      <c r="AL2675" s="10" t="str">
        <f>IFERROR(VLOOKUP(B2675,'Pre-Summary'!$BG$6:$BL$44,3,FALSE),"")</f>
        <v/>
      </c>
      <c r="AM2675" s="10" t="str">
        <f>IFERROR(VLOOKUP(B2675,'Pre-Summary'!$BG$6:$BL$44,4,FALSE),"")</f>
        <v/>
      </c>
    </row>
    <row r="2676" spans="2:39" ht="15" customHeight="1" x14ac:dyDescent="0.3">
      <c r="B2676">
        <v>267.3</v>
      </c>
      <c r="C2676" t="str">
        <f>IFERROR(VLOOKUP(B2676,'Pre-Summary'!$DI$6:$DM$23,4,FALSE),"")</f>
        <v/>
      </c>
      <c r="D2676" s="10" t="str">
        <f>IFERROR(VLOOKUP(B2676,'Pre-Summary'!$AT$6:$AX$14,5,FALSE),D2675)</f>
        <v>Wolfe v3: went back to modified wolfe + EDTA and switched CuSO4 to CUCl2</v>
      </c>
      <c r="E2676" s="10" t="str">
        <f>IFERROR(VLOOKUP(B2676,'Pre-Summary'!$AT$6:$AX$15,4,FALSE),"")</f>
        <v/>
      </c>
      <c r="F2676">
        <f>IFERROR(VLOOKUP(B2676,'Pre-Summary'!$AL$6:$AQ$13,6,FALSE),F2675)</f>
        <v>5.9405263157894746E-2</v>
      </c>
      <c r="G2676" t="str">
        <f>IFERROR(VLOOKUP(B2676,'Pre-Summary'!$AE$6:$AJ$85,3,FALSE),"")</f>
        <v/>
      </c>
      <c r="H2676" t="str">
        <f>IFERROR(VLOOKUP(B2676,'Pre-Summary'!$AE$6:$AJ$85,4,FALSE),"")</f>
        <v/>
      </c>
      <c r="I2676" t="str">
        <f>IFERROR(VLOOKUP(B2676,'Pre-Summary'!$AE$6:$AJ$85,5,FALSE),"")</f>
        <v/>
      </c>
      <c r="J2676" s="45" t="str">
        <f>IFERROR(VLOOKUP(B2676,'Pre-Summary'!$AE$6:$AJ$85,6, FALSE),"")</f>
        <v/>
      </c>
      <c r="K2676" s="45" t="str">
        <f>IFERROR(VLOOKUP(B2676,'Pre-Summary'!$DE$6:$DG$61,3,FALSE),"")</f>
        <v/>
      </c>
      <c r="L2676" s="45" t="str">
        <f>IFERROR(VLOOKUP(B2676,'Pre-Summary'!$CU$6:$CW$36,3,FALSE),"")</f>
        <v/>
      </c>
      <c r="M2676" s="45" t="str">
        <f>IFERROR(VLOOKUP(B2676,'Pre-Summary'!$BW$6:$BY$58,2,FALSE),"")</f>
        <v/>
      </c>
      <c r="N2676" s="45" t="str">
        <f>IFERROR(VLOOKUP(B2676,'Pre-Summary'!$CD$6:$CF$64,2,FALSE),"")</f>
        <v/>
      </c>
      <c r="O2676" s="99">
        <f>IFERROR(VLOOKUP(B2676,'Pre-Summary'!$BO$6:$BQ$48,3, FALSE),O2675)</f>
        <v>1.83</v>
      </c>
      <c r="P2676" s="99">
        <f>IFERROR(VLOOKUP(B2676,'Pre-Summary'!$BS$6:$BU$35,3,FALSE),P2675)</f>
        <v>0.46200000000000002</v>
      </c>
      <c r="Q2676" s="54">
        <f t="shared" si="123"/>
        <v>3.9610389610389611</v>
      </c>
      <c r="R2676" s="53">
        <f>IFERROR(VLOOKUP(B2676,'Pre-Summary'!$BG$6:$BM$44,7,FALSE),R2677)</f>
        <v>9.7903492963591104E-2</v>
      </c>
      <c r="S2676" s="53">
        <f>IFERROR(VLOOKUP(B2676,'Pre-Summary'!$BG$6:$BM$44,6,FALSE),S2677)</f>
        <v>0.1105986773408305</v>
      </c>
      <c r="T2676" s="45" t="str">
        <f>IFERROR(VLOOKUP(B2676,'Pre-Summary'!$Y$6:$AC$83, 3,FALSE),"")</f>
        <v/>
      </c>
      <c r="U2676" s="45" t="str">
        <f>IFERROR(VLOOKUP(B2676,'Pre-Summary'!$Y$6:$AC$83, 4,FALSE),"")</f>
        <v/>
      </c>
      <c r="V2676" t="str">
        <f>IFERROR(VLOOKUP(B2676,'Pre-Summary'!$Y$6:$AC$83, 5,FALSE),"")</f>
        <v/>
      </c>
      <c r="W2676" s="45" t="str">
        <f>IFERROR(VLOOKUP(B2676,'Pre-Summary'!$Y$6:$AD$83,6,FALSE),"")</f>
        <v/>
      </c>
      <c r="X2676" t="str">
        <f>IFERROR(VLOOKUP('Pre-Summary'!$DB$6:$DD$63,3,FALSE),"")</f>
        <v/>
      </c>
      <c r="Y2676" t="str">
        <f>IFERROR(VLOOKUP(B2676,'Pre-Summary'!$CR$6:$CT$36,3,FALSE),"")</f>
        <v/>
      </c>
      <c r="Z2676" s="45" t="str">
        <f>IFERROR(VLOOKUP(B2676,'Pre-Summary'!$BZ$6:$CB$63,2,FALSE),"")</f>
        <v/>
      </c>
      <c r="AA2676" s="45" t="str">
        <f>IFERROR(VLOOKUP(B2676,'Pre-Summary'!$CG$6:$CI$70,2,FALSE),"")</f>
        <v/>
      </c>
      <c r="AB2676" s="99">
        <f>IFERROR(VLOOKUP(B2676,'Pre-Summary'!$A$6:$P$178,9,FALSE),AB2677)</f>
        <v>0.44425190445462043</v>
      </c>
      <c r="AC2676" s="10">
        <f>IFERROR(VLOOKUP(Summary!B2676,'Pre-Summary'!$A$6:$P$184,5, FALSE)/100,AC2677)</f>
        <v>0.95692499999999991</v>
      </c>
      <c r="AD2676" s="10">
        <f>IFERROR(VLOOKUP(Summary!B2676,'Pre-Summary'!$A$6:$P$184,3, FALSE)/100,AD2677)</f>
        <v>3.3729333333333333E-2</v>
      </c>
      <c r="AE2676" s="10">
        <f>IFERROR(VLOOKUP(Summary!B2676,'Pre-Summary'!$A$6:$P$184,7, FALSE)/100,AE2677)</f>
        <v>9.3456666666666671E-3</v>
      </c>
      <c r="AF2676" s="99">
        <f t="shared" si="124"/>
        <v>1.4984320569318045E-2</v>
      </c>
      <c r="AG2676" s="99">
        <f t="shared" si="125"/>
        <v>4.1518302150647312E-3</v>
      </c>
      <c r="AH2676" s="10" t="str">
        <f>IFERROR(VLOOKUP(B2676,'Pre-Summary'!$AZ$6:$BE$65,3,FALSE),"")</f>
        <v/>
      </c>
      <c r="AI2676" s="10" t="str">
        <f>IFERROR(VLOOKUP(B2676,'Pre-Summary'!$AZ$6:$BE$65,5,FALSE),"")</f>
        <v/>
      </c>
      <c r="AJ2676" s="10" t="str">
        <f>IFERROR(VLOOKUP(B2676,'Pre-Summary'!$AZ$6:$BE$65,4,FALSE),"")</f>
        <v/>
      </c>
      <c r="AK2676" s="10" t="str">
        <f>IFERROR(VLOOKUP(B2676,'Pre-Summary'!$AZ$6:$BE$65,6,FALSE),"")</f>
        <v/>
      </c>
      <c r="AL2676" s="10" t="str">
        <f>IFERROR(VLOOKUP(B2676,'Pre-Summary'!$BG$6:$BL$44,3,FALSE),"")</f>
        <v/>
      </c>
      <c r="AM2676" s="10" t="str">
        <f>IFERROR(VLOOKUP(B2676,'Pre-Summary'!$BG$6:$BL$44,4,FALSE),"")</f>
        <v/>
      </c>
    </row>
    <row r="2677" spans="2:39" ht="15" customHeight="1" x14ac:dyDescent="0.3">
      <c r="B2677">
        <v>267.39999999999998</v>
      </c>
      <c r="C2677" t="str">
        <f>IFERROR(VLOOKUP(B2677,'Pre-Summary'!$DI$6:$DM$23,4,FALSE),"")</f>
        <v/>
      </c>
      <c r="D2677" s="10" t="str">
        <f>IFERROR(VLOOKUP(B2677,'Pre-Summary'!$AT$6:$AX$14,5,FALSE),D2676)</f>
        <v>Wolfe v3: went back to modified wolfe + EDTA and switched CuSO4 to CUCl2</v>
      </c>
      <c r="E2677" s="10" t="str">
        <f>IFERROR(VLOOKUP(B2677,'Pre-Summary'!$AT$6:$AX$15,4,FALSE),"")</f>
        <v/>
      </c>
      <c r="F2677">
        <f>IFERROR(VLOOKUP(B2677,'Pre-Summary'!$AL$6:$AQ$13,6,FALSE),F2676)</f>
        <v>5.9405263157894746E-2</v>
      </c>
      <c r="G2677" t="str">
        <f>IFERROR(VLOOKUP(B2677,'Pre-Summary'!$AE$6:$AJ$85,3,FALSE),"")</f>
        <v/>
      </c>
      <c r="H2677" t="str">
        <f>IFERROR(VLOOKUP(B2677,'Pre-Summary'!$AE$6:$AJ$85,4,FALSE),"")</f>
        <v/>
      </c>
      <c r="I2677" t="str">
        <f>IFERROR(VLOOKUP(B2677,'Pre-Summary'!$AE$6:$AJ$85,5,FALSE),"")</f>
        <v/>
      </c>
      <c r="J2677" s="45" t="str">
        <f>IFERROR(VLOOKUP(B2677,'Pre-Summary'!$AE$6:$AJ$85,6, FALSE),"")</f>
        <v/>
      </c>
      <c r="K2677" s="45" t="str">
        <f>IFERROR(VLOOKUP(B2677,'Pre-Summary'!$DE$6:$DG$61,3,FALSE),"")</f>
        <v/>
      </c>
      <c r="L2677" s="45" t="str">
        <f>IFERROR(VLOOKUP(B2677,'Pre-Summary'!$CU$6:$CW$36,3,FALSE),"")</f>
        <v/>
      </c>
      <c r="M2677" s="45" t="str">
        <f>IFERROR(VLOOKUP(B2677,'Pre-Summary'!$BW$6:$BY$58,2,FALSE),"")</f>
        <v/>
      </c>
      <c r="N2677" s="45" t="str">
        <f>IFERROR(VLOOKUP(B2677,'Pre-Summary'!$CD$6:$CF$64,2,FALSE),"")</f>
        <v/>
      </c>
      <c r="O2677" s="99">
        <f>IFERROR(VLOOKUP(B2677,'Pre-Summary'!$BO$6:$BQ$48,3, FALSE),O2676)</f>
        <v>1.83</v>
      </c>
      <c r="P2677" s="99">
        <f>IFERROR(VLOOKUP(B2677,'Pre-Summary'!$BS$6:$BU$35,3,FALSE),P2676)</f>
        <v>0.46200000000000002</v>
      </c>
      <c r="Q2677" s="54">
        <f t="shared" si="123"/>
        <v>3.9610389610389611</v>
      </c>
      <c r="R2677" s="53">
        <f>IFERROR(VLOOKUP(B2677,'Pre-Summary'!$BG$6:$BM$44,7,FALSE),R2678)</f>
        <v>9.7903492963591104E-2</v>
      </c>
      <c r="S2677" s="53">
        <f>IFERROR(VLOOKUP(B2677,'Pre-Summary'!$BG$6:$BM$44,6,FALSE),S2678)</f>
        <v>0.1105986773408305</v>
      </c>
      <c r="T2677" s="45" t="str">
        <f>IFERROR(VLOOKUP(B2677,'Pre-Summary'!$Y$6:$AC$83, 3,FALSE),"")</f>
        <v/>
      </c>
      <c r="U2677" s="45" t="str">
        <f>IFERROR(VLOOKUP(B2677,'Pre-Summary'!$Y$6:$AC$83, 4,FALSE),"")</f>
        <v/>
      </c>
      <c r="V2677" t="str">
        <f>IFERROR(VLOOKUP(B2677,'Pre-Summary'!$Y$6:$AC$83, 5,FALSE),"")</f>
        <v/>
      </c>
      <c r="W2677" s="45" t="str">
        <f>IFERROR(VLOOKUP(B2677,'Pre-Summary'!$Y$6:$AD$83,6,FALSE),"")</f>
        <v/>
      </c>
      <c r="X2677" t="str">
        <f>IFERROR(VLOOKUP('Pre-Summary'!$DB$6:$DD$63,3,FALSE),"")</f>
        <v/>
      </c>
      <c r="Y2677" t="str">
        <f>IFERROR(VLOOKUP(B2677,'Pre-Summary'!$CR$6:$CT$36,3,FALSE),"")</f>
        <v/>
      </c>
      <c r="Z2677" s="45" t="str">
        <f>IFERROR(VLOOKUP(B2677,'Pre-Summary'!$BZ$6:$CB$63,2,FALSE),"")</f>
        <v/>
      </c>
      <c r="AA2677" s="45" t="str">
        <f>IFERROR(VLOOKUP(B2677,'Pre-Summary'!$CG$6:$CI$70,2,FALSE),"")</f>
        <v/>
      </c>
      <c r="AB2677" s="99">
        <f>IFERROR(VLOOKUP(B2677,'Pre-Summary'!$A$6:$P$178,9,FALSE),AB2678)</f>
        <v>0.44425190445462043</v>
      </c>
      <c r="AC2677" s="10">
        <f>IFERROR(VLOOKUP(Summary!B2677,'Pre-Summary'!$A$6:$P$184,5, FALSE)/100,AC2678)</f>
        <v>0.95692499999999991</v>
      </c>
      <c r="AD2677" s="10">
        <f>IFERROR(VLOOKUP(Summary!B2677,'Pre-Summary'!$A$6:$P$184,3, FALSE)/100,AD2678)</f>
        <v>3.3729333333333333E-2</v>
      </c>
      <c r="AE2677" s="10">
        <f>IFERROR(VLOOKUP(Summary!B2677,'Pre-Summary'!$A$6:$P$184,7, FALSE)/100,AE2678)</f>
        <v>9.3456666666666671E-3</v>
      </c>
      <c r="AF2677" s="99">
        <f t="shared" si="124"/>
        <v>1.4984320569318045E-2</v>
      </c>
      <c r="AG2677" s="99">
        <f t="shared" si="125"/>
        <v>4.1518302150647312E-3</v>
      </c>
      <c r="AH2677" s="10" t="str">
        <f>IFERROR(VLOOKUP(B2677,'Pre-Summary'!$AZ$6:$BE$65,3,FALSE),"")</f>
        <v/>
      </c>
      <c r="AI2677" s="10" t="str">
        <f>IFERROR(VLOOKUP(B2677,'Pre-Summary'!$AZ$6:$BE$65,5,FALSE),"")</f>
        <v/>
      </c>
      <c r="AJ2677" s="10" t="str">
        <f>IFERROR(VLOOKUP(B2677,'Pre-Summary'!$AZ$6:$BE$65,4,FALSE),"")</f>
        <v/>
      </c>
      <c r="AK2677" s="10" t="str">
        <f>IFERROR(VLOOKUP(B2677,'Pre-Summary'!$AZ$6:$BE$65,6,FALSE),"")</f>
        <v/>
      </c>
      <c r="AL2677" s="10" t="str">
        <f>IFERROR(VLOOKUP(B2677,'Pre-Summary'!$BG$6:$BL$44,3,FALSE),"")</f>
        <v/>
      </c>
      <c r="AM2677" s="10" t="str">
        <f>IFERROR(VLOOKUP(B2677,'Pre-Summary'!$BG$6:$BL$44,4,FALSE),"")</f>
        <v/>
      </c>
    </row>
    <row r="2678" spans="2:39" ht="15" customHeight="1" x14ac:dyDescent="0.3">
      <c r="B2678">
        <v>267.5</v>
      </c>
      <c r="C2678" t="str">
        <f>IFERROR(VLOOKUP(B2678,'Pre-Summary'!$DI$6:$DM$23,4,FALSE),"")</f>
        <v/>
      </c>
      <c r="D2678" s="10" t="str">
        <f>IFERROR(VLOOKUP(B2678,'Pre-Summary'!$AT$6:$AX$14,5,FALSE),D2677)</f>
        <v>Wolfe v3: went back to modified wolfe + EDTA and switched CuSO4 to CUCl2</v>
      </c>
      <c r="E2678" s="10" t="str">
        <f>IFERROR(VLOOKUP(B2678,'Pre-Summary'!$AT$6:$AX$15,4,FALSE),"")</f>
        <v/>
      </c>
      <c r="F2678">
        <f>IFERROR(VLOOKUP(B2678,'Pre-Summary'!$AL$6:$AQ$13,6,FALSE),F2677)</f>
        <v>5.9405263157894746E-2</v>
      </c>
      <c r="G2678" t="str">
        <f>IFERROR(VLOOKUP(B2678,'Pre-Summary'!$AE$6:$AJ$85,3,FALSE),"")</f>
        <v/>
      </c>
      <c r="H2678" t="str">
        <f>IFERROR(VLOOKUP(B2678,'Pre-Summary'!$AE$6:$AJ$85,4,FALSE),"")</f>
        <v/>
      </c>
      <c r="I2678" t="str">
        <f>IFERROR(VLOOKUP(B2678,'Pre-Summary'!$AE$6:$AJ$85,5,FALSE),"")</f>
        <v/>
      </c>
      <c r="J2678" s="45">
        <f>IFERROR(VLOOKUP(B2678,'Pre-Summary'!$AE$6:$AJ$85,6, FALSE),"")</f>
        <v>0</v>
      </c>
      <c r="K2678" s="45" t="str">
        <f>IFERROR(VLOOKUP(B2678,'Pre-Summary'!$DE$6:$DG$61,3,FALSE),"")</f>
        <v/>
      </c>
      <c r="L2678" s="45" t="str">
        <f>IFERROR(VLOOKUP(B2678,'Pre-Summary'!$CU$6:$CW$36,3,FALSE),"")</f>
        <v/>
      </c>
      <c r="M2678" s="45" t="str">
        <f>IFERROR(VLOOKUP(B2678,'Pre-Summary'!$BW$6:$BY$58,2,FALSE),"")</f>
        <v/>
      </c>
      <c r="N2678" s="45">
        <f>IFERROR(VLOOKUP(B2678,'Pre-Summary'!$CD$6:$CF$64,2,FALSE),"")</f>
        <v>175.87533106361366</v>
      </c>
      <c r="O2678" s="99">
        <f>IFERROR(VLOOKUP(B2678,'Pre-Summary'!$BO$6:$BQ$48,3, FALSE),O2677)</f>
        <v>1.83</v>
      </c>
      <c r="P2678" s="99">
        <f>IFERROR(VLOOKUP(B2678,'Pre-Summary'!$BS$6:$BU$35,3,FALSE),P2677)</f>
        <v>0.46200000000000002</v>
      </c>
      <c r="Q2678" s="54">
        <f t="shared" si="123"/>
        <v>3.9610389610389611</v>
      </c>
      <c r="R2678" s="53">
        <f>IFERROR(VLOOKUP(B2678,'Pre-Summary'!$BG$6:$BM$44,7,FALSE),R2679)</f>
        <v>9.7903492963591104E-2</v>
      </c>
      <c r="S2678" s="53">
        <f>IFERROR(VLOOKUP(B2678,'Pre-Summary'!$BG$6:$BM$44,6,FALSE),S2679)</f>
        <v>0.1105986773408305</v>
      </c>
      <c r="T2678" s="45">
        <f>IFERROR(VLOOKUP(B2678,'Pre-Summary'!$Y$6:$AC$83, 3,FALSE),"")</f>
        <v>2.5391471490000002</v>
      </c>
      <c r="U2678" s="45" t="str">
        <f>IFERROR(VLOOKUP(B2678,'Pre-Summary'!$Y$6:$AC$83, 4,FALSE),"")</f>
        <v/>
      </c>
      <c r="V2678" t="str">
        <f>IFERROR(VLOOKUP(B2678,'Pre-Summary'!$Y$6:$AC$83, 5,FALSE),"")</f>
        <v/>
      </c>
      <c r="W2678" s="45">
        <f>IFERROR(VLOOKUP(B2678,'Pre-Summary'!$Y$6:$AD$83,6,FALSE),"")</f>
        <v>2.7092700079830001</v>
      </c>
      <c r="X2678" t="str">
        <f>IFERROR(VLOOKUP('Pre-Summary'!$DB$6:$DD$63,3,FALSE),"")</f>
        <v/>
      </c>
      <c r="Y2678" t="str">
        <f>IFERROR(VLOOKUP(B2678,'Pre-Summary'!$CR$6:$CT$36,3,FALSE),"")</f>
        <v/>
      </c>
      <c r="Z2678" s="45" t="str">
        <f>IFERROR(VLOOKUP(B2678,'Pre-Summary'!$BZ$6:$CB$63,2,FALSE),"")</f>
        <v/>
      </c>
      <c r="AA2678" s="45" t="str">
        <f>IFERROR(VLOOKUP(B2678,'Pre-Summary'!$CG$6:$CI$70,2,FALSE),"")</f>
        <v/>
      </c>
      <c r="AB2678" s="99">
        <f>IFERROR(VLOOKUP(B2678,'Pre-Summary'!$A$6:$P$178,9,FALSE),AB2679)</f>
        <v>0.44425190445462043</v>
      </c>
      <c r="AC2678" s="10">
        <f>IFERROR(VLOOKUP(Summary!B2678,'Pre-Summary'!$A$6:$P$184,5, FALSE)/100,AC2679)</f>
        <v>0.95692499999999991</v>
      </c>
      <c r="AD2678" s="10">
        <f>IFERROR(VLOOKUP(Summary!B2678,'Pre-Summary'!$A$6:$P$184,3, FALSE)/100,AD2679)</f>
        <v>3.3729333333333333E-2</v>
      </c>
      <c r="AE2678" s="10">
        <f>IFERROR(VLOOKUP(Summary!B2678,'Pre-Summary'!$A$6:$P$184,7, FALSE)/100,AE2679)</f>
        <v>9.3456666666666671E-3</v>
      </c>
      <c r="AF2678" s="99">
        <f t="shared" si="124"/>
        <v>1.4984320569318045E-2</v>
      </c>
      <c r="AG2678" s="99">
        <f t="shared" si="125"/>
        <v>4.1518302150647312E-3</v>
      </c>
      <c r="AH2678" s="10" t="str">
        <f>IFERROR(VLOOKUP(B2678,'Pre-Summary'!$AZ$6:$BE$65,3,FALSE),"")</f>
        <v/>
      </c>
      <c r="AI2678" s="10" t="str">
        <f>IFERROR(VLOOKUP(B2678,'Pre-Summary'!$AZ$6:$BE$65,5,FALSE),"")</f>
        <v/>
      </c>
      <c r="AJ2678" s="10" t="str">
        <f>IFERROR(VLOOKUP(B2678,'Pre-Summary'!$AZ$6:$BE$65,4,FALSE),"")</f>
        <v/>
      </c>
      <c r="AK2678" s="10" t="str">
        <f>IFERROR(VLOOKUP(B2678,'Pre-Summary'!$AZ$6:$BE$65,6,FALSE),"")</f>
        <v/>
      </c>
      <c r="AL2678" s="10" t="str">
        <f>IFERROR(VLOOKUP(B2678,'Pre-Summary'!$BG$6:$BL$44,3,FALSE),"")</f>
        <v/>
      </c>
      <c r="AM2678" s="10" t="str">
        <f>IFERROR(VLOOKUP(B2678,'Pre-Summary'!$BG$6:$BL$44,4,FALSE),"")</f>
        <v/>
      </c>
    </row>
    <row r="2679" spans="2:39" ht="15" customHeight="1" x14ac:dyDescent="0.3">
      <c r="B2679">
        <v>267.60000000000002</v>
      </c>
      <c r="C2679" t="str">
        <f>IFERROR(VLOOKUP(B2679,'Pre-Summary'!$DI$6:$DM$23,4,FALSE),"")</f>
        <v/>
      </c>
      <c r="D2679" s="10" t="str">
        <f>IFERROR(VLOOKUP(B2679,'Pre-Summary'!$AT$6:$AX$14,5,FALSE),D2678)</f>
        <v>Wolfe v3: went back to modified wolfe + EDTA and switched CuSO4 to CUCl2</v>
      </c>
      <c r="E2679" s="10" t="str">
        <f>IFERROR(VLOOKUP(B2679,'Pre-Summary'!$AT$6:$AX$15,4,FALSE),"")</f>
        <v/>
      </c>
      <c r="F2679">
        <f>IFERROR(VLOOKUP(B2679,'Pre-Summary'!$AL$6:$AQ$13,6,FALSE),F2678)</f>
        <v>5.9405263157894746E-2</v>
      </c>
      <c r="G2679" t="str">
        <f>IFERROR(VLOOKUP(B2679,'Pre-Summary'!$AE$6:$AJ$85,3,FALSE),"")</f>
        <v/>
      </c>
      <c r="H2679" t="str">
        <f>IFERROR(VLOOKUP(B2679,'Pre-Summary'!$AE$6:$AJ$85,4,FALSE),"")</f>
        <v/>
      </c>
      <c r="I2679" t="str">
        <f>IFERROR(VLOOKUP(B2679,'Pre-Summary'!$AE$6:$AJ$85,5,FALSE),"")</f>
        <v/>
      </c>
      <c r="J2679" s="45" t="str">
        <f>IFERROR(VLOOKUP(B2679,'Pre-Summary'!$AE$6:$AJ$85,6, FALSE),"")</f>
        <v/>
      </c>
      <c r="K2679" s="45" t="str">
        <f>IFERROR(VLOOKUP(B2679,'Pre-Summary'!$DE$6:$DG$61,3,FALSE),"")</f>
        <v/>
      </c>
      <c r="L2679" s="45" t="str">
        <f>IFERROR(VLOOKUP(B2679,'Pre-Summary'!$CU$6:$CW$36,3,FALSE),"")</f>
        <v/>
      </c>
      <c r="M2679" s="45" t="str">
        <f>IFERROR(VLOOKUP(B2679,'Pre-Summary'!$BW$6:$BY$58,2,FALSE),"")</f>
        <v/>
      </c>
      <c r="N2679" s="45" t="str">
        <f>IFERROR(VLOOKUP(B2679,'Pre-Summary'!$CD$6:$CF$64,2,FALSE),"")</f>
        <v/>
      </c>
      <c r="O2679" s="99">
        <f>IFERROR(VLOOKUP(B2679,'Pre-Summary'!$BO$6:$BQ$48,3, FALSE),O2678)</f>
        <v>1.83</v>
      </c>
      <c r="P2679" s="99">
        <f>IFERROR(VLOOKUP(B2679,'Pre-Summary'!$BS$6:$BU$35,3,FALSE),P2678)</f>
        <v>0.46200000000000002</v>
      </c>
      <c r="Q2679" s="54">
        <f t="shared" si="123"/>
        <v>3.9610389610389611</v>
      </c>
      <c r="R2679" s="53">
        <f>IFERROR(VLOOKUP(B2679,'Pre-Summary'!$BG$6:$BM$44,7,FALSE),R2680)</f>
        <v>9.7903492963591104E-2</v>
      </c>
      <c r="S2679" s="53">
        <f>IFERROR(VLOOKUP(B2679,'Pre-Summary'!$BG$6:$BM$44,6,FALSE),S2680)</f>
        <v>0.1105986773408305</v>
      </c>
      <c r="T2679" s="45" t="str">
        <f>IFERROR(VLOOKUP(B2679,'Pre-Summary'!$Y$6:$AC$83, 3,FALSE),"")</f>
        <v/>
      </c>
      <c r="U2679" s="45" t="str">
        <f>IFERROR(VLOOKUP(B2679,'Pre-Summary'!$Y$6:$AC$83, 4,FALSE),"")</f>
        <v/>
      </c>
      <c r="V2679" t="str">
        <f>IFERROR(VLOOKUP(B2679,'Pre-Summary'!$Y$6:$AC$83, 5,FALSE),"")</f>
        <v/>
      </c>
      <c r="W2679" s="45" t="str">
        <f>IFERROR(VLOOKUP(B2679,'Pre-Summary'!$Y$6:$AD$83,6,FALSE),"")</f>
        <v/>
      </c>
      <c r="X2679" t="str">
        <f>IFERROR(VLOOKUP('Pre-Summary'!$DB$6:$DD$63,3,FALSE),"")</f>
        <v/>
      </c>
      <c r="Y2679" t="str">
        <f>IFERROR(VLOOKUP(B2679,'Pre-Summary'!$CR$6:$CT$36,3,FALSE),"")</f>
        <v/>
      </c>
      <c r="Z2679" s="45" t="str">
        <f>IFERROR(VLOOKUP(B2679,'Pre-Summary'!$BZ$6:$CB$63,2,FALSE),"")</f>
        <v/>
      </c>
      <c r="AA2679" s="45" t="str">
        <f>IFERROR(VLOOKUP(B2679,'Pre-Summary'!$CG$6:$CI$70,2,FALSE),"")</f>
        <v/>
      </c>
      <c r="AB2679" s="99">
        <f>IFERROR(VLOOKUP(B2679,'Pre-Summary'!$A$6:$P$178,9,FALSE),AB2680)</f>
        <v>0.44425190445462043</v>
      </c>
      <c r="AC2679" s="10">
        <f>IFERROR(VLOOKUP(Summary!B2679,'Pre-Summary'!$A$6:$P$184,5, FALSE)/100,AC2680)</f>
        <v>0.95692499999999991</v>
      </c>
      <c r="AD2679" s="10">
        <f>IFERROR(VLOOKUP(Summary!B2679,'Pre-Summary'!$A$6:$P$184,3, FALSE)/100,AD2680)</f>
        <v>3.3729333333333333E-2</v>
      </c>
      <c r="AE2679" s="10">
        <f>IFERROR(VLOOKUP(Summary!B2679,'Pre-Summary'!$A$6:$P$184,7, FALSE)/100,AE2680)</f>
        <v>9.3456666666666671E-3</v>
      </c>
      <c r="AF2679" s="99">
        <f t="shared" si="124"/>
        <v>1.4984320569318045E-2</v>
      </c>
      <c r="AG2679" s="99">
        <f t="shared" si="125"/>
        <v>4.1518302150647312E-3</v>
      </c>
      <c r="AH2679" s="10" t="str">
        <f>IFERROR(VLOOKUP(B2679,'Pre-Summary'!$AZ$6:$BE$65,3,FALSE),"")</f>
        <v/>
      </c>
      <c r="AI2679" s="10" t="str">
        <f>IFERROR(VLOOKUP(B2679,'Pre-Summary'!$AZ$6:$BE$65,5,FALSE),"")</f>
        <v/>
      </c>
      <c r="AJ2679" s="10" t="str">
        <f>IFERROR(VLOOKUP(B2679,'Pre-Summary'!$AZ$6:$BE$65,4,FALSE),"")</f>
        <v/>
      </c>
      <c r="AK2679" s="10" t="str">
        <f>IFERROR(VLOOKUP(B2679,'Pre-Summary'!$AZ$6:$BE$65,6,FALSE),"")</f>
        <v/>
      </c>
      <c r="AL2679" s="10" t="str">
        <f>IFERROR(VLOOKUP(B2679,'Pre-Summary'!$BG$6:$BL$44,3,FALSE),"")</f>
        <v/>
      </c>
      <c r="AM2679" s="10" t="str">
        <f>IFERROR(VLOOKUP(B2679,'Pre-Summary'!$BG$6:$BL$44,4,FALSE),"")</f>
        <v/>
      </c>
    </row>
    <row r="2680" spans="2:39" ht="15" customHeight="1" x14ac:dyDescent="0.3">
      <c r="B2680">
        <v>267.7</v>
      </c>
      <c r="C2680" t="str">
        <f>IFERROR(VLOOKUP(B2680,'Pre-Summary'!$DI$6:$DM$23,4,FALSE),"")</f>
        <v/>
      </c>
      <c r="D2680" s="10" t="str">
        <f>IFERROR(VLOOKUP(B2680,'Pre-Summary'!$AT$6:$AX$14,5,FALSE),D2679)</f>
        <v>Wolfe v3: went back to modified wolfe + EDTA and switched CuSO4 to CUCl2</v>
      </c>
      <c r="E2680" s="10" t="str">
        <f>IFERROR(VLOOKUP(B2680,'Pre-Summary'!$AT$6:$AX$15,4,FALSE),"")</f>
        <v/>
      </c>
      <c r="F2680">
        <f>IFERROR(VLOOKUP(B2680,'Pre-Summary'!$AL$6:$AQ$13,6,FALSE),F2679)</f>
        <v>5.9405263157894746E-2</v>
      </c>
      <c r="G2680" t="str">
        <f>IFERROR(VLOOKUP(B2680,'Pre-Summary'!$AE$6:$AJ$85,3,FALSE),"")</f>
        <v/>
      </c>
      <c r="H2680" t="str">
        <f>IFERROR(VLOOKUP(B2680,'Pre-Summary'!$AE$6:$AJ$85,4,FALSE),"")</f>
        <v/>
      </c>
      <c r="I2680" t="str">
        <f>IFERROR(VLOOKUP(B2680,'Pre-Summary'!$AE$6:$AJ$85,5,FALSE),"")</f>
        <v/>
      </c>
      <c r="J2680" s="45" t="str">
        <f>IFERROR(VLOOKUP(B2680,'Pre-Summary'!$AE$6:$AJ$85,6, FALSE),"")</f>
        <v/>
      </c>
      <c r="K2680" s="45" t="str">
        <f>IFERROR(VLOOKUP(B2680,'Pre-Summary'!$DE$6:$DG$61,3,FALSE),"")</f>
        <v/>
      </c>
      <c r="L2680" s="45" t="str">
        <f>IFERROR(VLOOKUP(B2680,'Pre-Summary'!$CU$6:$CW$36,3,FALSE),"")</f>
        <v/>
      </c>
      <c r="M2680" s="45" t="str">
        <f>IFERROR(VLOOKUP(B2680,'Pre-Summary'!$BW$6:$BY$58,2,FALSE),"")</f>
        <v/>
      </c>
      <c r="N2680" s="45" t="str">
        <f>IFERROR(VLOOKUP(B2680,'Pre-Summary'!$CD$6:$CF$64,2,FALSE),"")</f>
        <v/>
      </c>
      <c r="O2680" s="99">
        <f>IFERROR(VLOOKUP(B2680,'Pre-Summary'!$BO$6:$BQ$48,3, FALSE),O2679)</f>
        <v>1.83</v>
      </c>
      <c r="P2680" s="99">
        <f>IFERROR(VLOOKUP(B2680,'Pre-Summary'!$BS$6:$BU$35,3,FALSE),P2679)</f>
        <v>0.46200000000000002</v>
      </c>
      <c r="Q2680" s="54">
        <f t="shared" si="123"/>
        <v>3.9610389610389611</v>
      </c>
      <c r="R2680" s="53">
        <f>IFERROR(VLOOKUP(B2680,'Pre-Summary'!$BG$6:$BM$44,7,FALSE),R2681)</f>
        <v>9.7903492963591104E-2</v>
      </c>
      <c r="S2680" s="53">
        <f>IFERROR(VLOOKUP(B2680,'Pre-Summary'!$BG$6:$BM$44,6,FALSE),S2681)</f>
        <v>0.1105986773408305</v>
      </c>
      <c r="T2680" s="45" t="str">
        <f>IFERROR(VLOOKUP(B2680,'Pre-Summary'!$Y$6:$AC$83, 3,FALSE),"")</f>
        <v/>
      </c>
      <c r="U2680" s="45" t="str">
        <f>IFERROR(VLOOKUP(B2680,'Pre-Summary'!$Y$6:$AC$83, 4,FALSE),"")</f>
        <v/>
      </c>
      <c r="V2680" t="str">
        <f>IFERROR(VLOOKUP(B2680,'Pre-Summary'!$Y$6:$AC$83, 5,FALSE),"")</f>
        <v/>
      </c>
      <c r="W2680" s="45" t="str">
        <f>IFERROR(VLOOKUP(B2680,'Pre-Summary'!$Y$6:$AD$83,6,FALSE),"")</f>
        <v/>
      </c>
      <c r="X2680" t="str">
        <f>IFERROR(VLOOKUP('Pre-Summary'!$DB$6:$DD$63,3,FALSE),"")</f>
        <v/>
      </c>
      <c r="Y2680" t="str">
        <f>IFERROR(VLOOKUP(B2680,'Pre-Summary'!$CR$6:$CT$36,3,FALSE),"")</f>
        <v/>
      </c>
      <c r="Z2680" s="45" t="str">
        <f>IFERROR(VLOOKUP(B2680,'Pre-Summary'!$BZ$6:$CB$63,2,FALSE),"")</f>
        <v/>
      </c>
      <c r="AA2680" s="45" t="str">
        <f>IFERROR(VLOOKUP(B2680,'Pre-Summary'!$CG$6:$CI$70,2,FALSE),"")</f>
        <v/>
      </c>
      <c r="AB2680" s="99">
        <f>IFERROR(VLOOKUP(B2680,'Pre-Summary'!$A$6:$P$178,9,FALSE),AB2681)</f>
        <v>0.44425190445462043</v>
      </c>
      <c r="AC2680" s="10">
        <f>IFERROR(VLOOKUP(Summary!B2680,'Pre-Summary'!$A$6:$P$184,5, FALSE)/100,AC2681)</f>
        <v>0.95692499999999991</v>
      </c>
      <c r="AD2680" s="10">
        <f>IFERROR(VLOOKUP(Summary!B2680,'Pre-Summary'!$A$6:$P$184,3, FALSE)/100,AD2681)</f>
        <v>3.3729333333333333E-2</v>
      </c>
      <c r="AE2680" s="10">
        <f>IFERROR(VLOOKUP(Summary!B2680,'Pre-Summary'!$A$6:$P$184,7, FALSE)/100,AE2681)</f>
        <v>9.3456666666666671E-3</v>
      </c>
      <c r="AF2680" s="99">
        <f t="shared" si="124"/>
        <v>1.4984320569318045E-2</v>
      </c>
      <c r="AG2680" s="99">
        <f t="shared" si="125"/>
        <v>4.1518302150647312E-3</v>
      </c>
      <c r="AH2680" s="10" t="str">
        <f>IFERROR(VLOOKUP(B2680,'Pre-Summary'!$AZ$6:$BE$65,3,FALSE),"")</f>
        <v/>
      </c>
      <c r="AI2680" s="10" t="str">
        <f>IFERROR(VLOOKUP(B2680,'Pre-Summary'!$AZ$6:$BE$65,5,FALSE),"")</f>
        <v/>
      </c>
      <c r="AJ2680" s="10" t="str">
        <f>IFERROR(VLOOKUP(B2680,'Pre-Summary'!$AZ$6:$BE$65,4,FALSE),"")</f>
        <v/>
      </c>
      <c r="AK2680" s="10" t="str">
        <f>IFERROR(VLOOKUP(B2680,'Pre-Summary'!$AZ$6:$BE$65,6,FALSE),"")</f>
        <v/>
      </c>
      <c r="AL2680" s="10" t="str">
        <f>IFERROR(VLOOKUP(B2680,'Pre-Summary'!$BG$6:$BL$44,3,FALSE),"")</f>
        <v/>
      </c>
      <c r="AM2680" s="10" t="str">
        <f>IFERROR(VLOOKUP(B2680,'Pre-Summary'!$BG$6:$BL$44,4,FALSE),"")</f>
        <v/>
      </c>
    </row>
    <row r="2681" spans="2:39" ht="15" customHeight="1" x14ac:dyDescent="0.3">
      <c r="B2681">
        <v>267.8</v>
      </c>
      <c r="C2681" t="str">
        <f>IFERROR(VLOOKUP(B2681,'Pre-Summary'!$DI$6:$DM$23,4,FALSE),"")</f>
        <v/>
      </c>
      <c r="D2681" s="10" t="str">
        <f>IFERROR(VLOOKUP(B2681,'Pre-Summary'!$AT$6:$AX$14,5,FALSE),D2680)</f>
        <v>Wolfe v3: went back to modified wolfe + EDTA and switched CuSO4 to CUCl2</v>
      </c>
      <c r="E2681" s="10" t="str">
        <f>IFERROR(VLOOKUP(B2681,'Pre-Summary'!$AT$6:$AX$15,4,FALSE),"")</f>
        <v/>
      </c>
      <c r="F2681">
        <f>IFERROR(VLOOKUP(B2681,'Pre-Summary'!$AL$6:$AQ$13,6,FALSE),F2680)</f>
        <v>5.9405263157894746E-2</v>
      </c>
      <c r="G2681" t="str">
        <f>IFERROR(VLOOKUP(B2681,'Pre-Summary'!$AE$6:$AJ$85,3,FALSE),"")</f>
        <v/>
      </c>
      <c r="H2681" t="str">
        <f>IFERROR(VLOOKUP(B2681,'Pre-Summary'!$AE$6:$AJ$85,4,FALSE),"")</f>
        <v/>
      </c>
      <c r="I2681" t="str">
        <f>IFERROR(VLOOKUP(B2681,'Pre-Summary'!$AE$6:$AJ$85,5,FALSE),"")</f>
        <v/>
      </c>
      <c r="J2681" s="45" t="str">
        <f>IFERROR(VLOOKUP(B2681,'Pre-Summary'!$AE$6:$AJ$85,6, FALSE),"")</f>
        <v/>
      </c>
      <c r="K2681" s="45" t="str">
        <f>IFERROR(VLOOKUP(B2681,'Pre-Summary'!$DE$6:$DG$61,3,FALSE),"")</f>
        <v/>
      </c>
      <c r="L2681" s="45" t="str">
        <f>IFERROR(VLOOKUP(B2681,'Pre-Summary'!$CU$6:$CW$36,3,FALSE),"")</f>
        <v/>
      </c>
      <c r="M2681" s="45" t="str">
        <f>IFERROR(VLOOKUP(B2681,'Pre-Summary'!$BW$6:$BY$58,2,FALSE),"")</f>
        <v/>
      </c>
      <c r="N2681" s="45" t="str">
        <f>IFERROR(VLOOKUP(B2681,'Pre-Summary'!$CD$6:$CF$64,2,FALSE),"")</f>
        <v/>
      </c>
      <c r="O2681" s="99">
        <f>IFERROR(VLOOKUP(B2681,'Pre-Summary'!$BO$6:$BQ$48,3, FALSE),O2680)</f>
        <v>1.83</v>
      </c>
      <c r="P2681" s="99">
        <f>IFERROR(VLOOKUP(B2681,'Pre-Summary'!$BS$6:$BU$35,3,FALSE),P2680)</f>
        <v>0.46200000000000002</v>
      </c>
      <c r="Q2681" s="54">
        <f t="shared" si="123"/>
        <v>3.9610389610389611</v>
      </c>
      <c r="R2681" s="53">
        <f>IFERROR(VLOOKUP(B2681,'Pre-Summary'!$BG$6:$BM$44,7,FALSE),R2682)</f>
        <v>9.7903492963591104E-2</v>
      </c>
      <c r="S2681" s="53">
        <f>IFERROR(VLOOKUP(B2681,'Pre-Summary'!$BG$6:$BM$44,6,FALSE),S2682)</f>
        <v>0.1105986773408305</v>
      </c>
      <c r="T2681" s="45" t="str">
        <f>IFERROR(VLOOKUP(B2681,'Pre-Summary'!$Y$6:$AC$83, 3,FALSE),"")</f>
        <v/>
      </c>
      <c r="U2681" s="45" t="str">
        <f>IFERROR(VLOOKUP(B2681,'Pre-Summary'!$Y$6:$AC$83, 4,FALSE),"")</f>
        <v/>
      </c>
      <c r="V2681" t="str">
        <f>IFERROR(VLOOKUP(B2681,'Pre-Summary'!$Y$6:$AC$83, 5,FALSE),"")</f>
        <v/>
      </c>
      <c r="W2681" s="45" t="str">
        <f>IFERROR(VLOOKUP(B2681,'Pre-Summary'!$Y$6:$AD$83,6,FALSE),"")</f>
        <v/>
      </c>
      <c r="X2681" t="str">
        <f>IFERROR(VLOOKUP('Pre-Summary'!$DB$6:$DD$63,3,FALSE),"")</f>
        <v/>
      </c>
      <c r="Y2681" t="str">
        <f>IFERROR(VLOOKUP(B2681,'Pre-Summary'!$CR$6:$CT$36,3,FALSE),"")</f>
        <v/>
      </c>
      <c r="Z2681" s="45" t="str">
        <f>IFERROR(VLOOKUP(B2681,'Pre-Summary'!$BZ$6:$CB$63,2,FALSE),"")</f>
        <v/>
      </c>
      <c r="AA2681" s="45" t="str">
        <f>IFERROR(VLOOKUP(B2681,'Pre-Summary'!$CG$6:$CI$70,2,FALSE),"")</f>
        <v/>
      </c>
      <c r="AB2681" s="99">
        <f>IFERROR(VLOOKUP(B2681,'Pre-Summary'!$A$6:$P$178,9,FALSE),AB2682)</f>
        <v>0.44425190445462043</v>
      </c>
      <c r="AC2681" s="10">
        <f>IFERROR(VLOOKUP(Summary!B2681,'Pre-Summary'!$A$6:$P$184,5, FALSE)/100,AC2682)</f>
        <v>0.95692499999999991</v>
      </c>
      <c r="AD2681" s="10">
        <f>IFERROR(VLOOKUP(Summary!B2681,'Pre-Summary'!$A$6:$P$184,3, FALSE)/100,AD2682)</f>
        <v>3.3729333333333333E-2</v>
      </c>
      <c r="AE2681" s="10">
        <f>IFERROR(VLOOKUP(Summary!B2681,'Pre-Summary'!$A$6:$P$184,7, FALSE)/100,AE2682)</f>
        <v>9.3456666666666671E-3</v>
      </c>
      <c r="AF2681" s="99">
        <f t="shared" si="124"/>
        <v>1.4984320569318045E-2</v>
      </c>
      <c r="AG2681" s="99">
        <f t="shared" si="125"/>
        <v>4.1518302150647312E-3</v>
      </c>
      <c r="AH2681" s="10" t="str">
        <f>IFERROR(VLOOKUP(B2681,'Pre-Summary'!$AZ$6:$BE$65,3,FALSE),"")</f>
        <v/>
      </c>
      <c r="AI2681" s="10" t="str">
        <f>IFERROR(VLOOKUP(B2681,'Pre-Summary'!$AZ$6:$BE$65,5,FALSE),"")</f>
        <v/>
      </c>
      <c r="AJ2681" s="10" t="str">
        <f>IFERROR(VLOOKUP(B2681,'Pre-Summary'!$AZ$6:$BE$65,4,FALSE),"")</f>
        <v/>
      </c>
      <c r="AK2681" s="10" t="str">
        <f>IFERROR(VLOOKUP(B2681,'Pre-Summary'!$AZ$6:$BE$65,6,FALSE),"")</f>
        <v/>
      </c>
      <c r="AL2681" s="10" t="str">
        <f>IFERROR(VLOOKUP(B2681,'Pre-Summary'!$BG$6:$BL$44,3,FALSE),"")</f>
        <v/>
      </c>
      <c r="AM2681" s="10" t="str">
        <f>IFERROR(VLOOKUP(B2681,'Pre-Summary'!$BG$6:$BL$44,4,FALSE),"")</f>
        <v/>
      </c>
    </row>
    <row r="2682" spans="2:39" ht="15" customHeight="1" x14ac:dyDescent="0.3">
      <c r="B2682">
        <v>267.89999999999998</v>
      </c>
      <c r="C2682" t="str">
        <f>IFERROR(VLOOKUP(B2682,'Pre-Summary'!$DI$6:$DM$23,4,FALSE),"")</f>
        <v/>
      </c>
      <c r="D2682" s="10" t="str">
        <f>IFERROR(VLOOKUP(B2682,'Pre-Summary'!$AT$6:$AX$14,5,FALSE),D2681)</f>
        <v>Wolfe v3: went back to modified wolfe + EDTA and switched CuSO4 to CUCl2</v>
      </c>
      <c r="E2682" s="10" t="str">
        <f>IFERROR(VLOOKUP(B2682,'Pre-Summary'!$AT$6:$AX$15,4,FALSE),"")</f>
        <v/>
      </c>
      <c r="F2682">
        <f>IFERROR(VLOOKUP(B2682,'Pre-Summary'!$AL$6:$AQ$13,6,FALSE),F2681)</f>
        <v>5.9405263157894746E-2</v>
      </c>
      <c r="G2682" t="str">
        <f>IFERROR(VLOOKUP(B2682,'Pre-Summary'!$AE$6:$AJ$85,3,FALSE),"")</f>
        <v/>
      </c>
      <c r="H2682" t="str">
        <f>IFERROR(VLOOKUP(B2682,'Pre-Summary'!$AE$6:$AJ$85,4,FALSE),"")</f>
        <v/>
      </c>
      <c r="I2682" t="str">
        <f>IFERROR(VLOOKUP(B2682,'Pre-Summary'!$AE$6:$AJ$85,5,FALSE),"")</f>
        <v/>
      </c>
      <c r="J2682" s="45" t="str">
        <f>IFERROR(VLOOKUP(B2682,'Pre-Summary'!$AE$6:$AJ$85,6, FALSE),"")</f>
        <v/>
      </c>
      <c r="K2682" s="45" t="str">
        <f>IFERROR(VLOOKUP(B2682,'Pre-Summary'!$DE$6:$DG$61,3,FALSE),"")</f>
        <v/>
      </c>
      <c r="L2682" s="45" t="str">
        <f>IFERROR(VLOOKUP(B2682,'Pre-Summary'!$CU$6:$CW$36,3,FALSE),"")</f>
        <v/>
      </c>
      <c r="M2682" s="45" t="str">
        <f>IFERROR(VLOOKUP(B2682,'Pre-Summary'!$BW$6:$BY$58,2,FALSE),"")</f>
        <v/>
      </c>
      <c r="N2682" s="45" t="str">
        <f>IFERROR(VLOOKUP(B2682,'Pre-Summary'!$CD$6:$CF$64,2,FALSE),"")</f>
        <v/>
      </c>
      <c r="O2682" s="99">
        <f>IFERROR(VLOOKUP(B2682,'Pre-Summary'!$BO$6:$BQ$48,3, FALSE),O2681)</f>
        <v>1.83</v>
      </c>
      <c r="P2682" s="99">
        <f>IFERROR(VLOOKUP(B2682,'Pre-Summary'!$BS$6:$BU$35,3,FALSE),P2681)</f>
        <v>0.46200000000000002</v>
      </c>
      <c r="Q2682" s="54">
        <f t="shared" si="123"/>
        <v>3.9610389610389611</v>
      </c>
      <c r="R2682" s="53">
        <f>IFERROR(VLOOKUP(B2682,'Pre-Summary'!$BG$6:$BM$44,7,FALSE),R2683)</f>
        <v>9.7903492963591104E-2</v>
      </c>
      <c r="S2682" s="53">
        <f>IFERROR(VLOOKUP(B2682,'Pre-Summary'!$BG$6:$BM$44,6,FALSE),S2683)</f>
        <v>0.1105986773408305</v>
      </c>
      <c r="T2682" s="45" t="str">
        <f>IFERROR(VLOOKUP(B2682,'Pre-Summary'!$Y$6:$AC$83, 3,FALSE),"")</f>
        <v/>
      </c>
      <c r="U2682" s="45" t="str">
        <f>IFERROR(VLOOKUP(B2682,'Pre-Summary'!$Y$6:$AC$83, 4,FALSE),"")</f>
        <v/>
      </c>
      <c r="V2682" t="str">
        <f>IFERROR(VLOOKUP(B2682,'Pre-Summary'!$Y$6:$AC$83, 5,FALSE),"")</f>
        <v/>
      </c>
      <c r="W2682" s="45" t="str">
        <f>IFERROR(VLOOKUP(B2682,'Pre-Summary'!$Y$6:$AD$83,6,FALSE),"")</f>
        <v/>
      </c>
      <c r="X2682" t="str">
        <f>IFERROR(VLOOKUP('Pre-Summary'!$DB$6:$DD$63,3,FALSE),"")</f>
        <v/>
      </c>
      <c r="Y2682" t="str">
        <f>IFERROR(VLOOKUP(B2682,'Pre-Summary'!$CR$6:$CT$36,3,FALSE),"")</f>
        <v/>
      </c>
      <c r="Z2682" s="45" t="str">
        <f>IFERROR(VLOOKUP(B2682,'Pre-Summary'!$BZ$6:$CB$63,2,FALSE),"")</f>
        <v/>
      </c>
      <c r="AA2682" s="45" t="str">
        <f>IFERROR(VLOOKUP(B2682,'Pre-Summary'!$CG$6:$CI$70,2,FALSE),"")</f>
        <v/>
      </c>
      <c r="AB2682" s="99">
        <f>IFERROR(VLOOKUP(B2682,'Pre-Summary'!$A$6:$P$178,9,FALSE),AB2683)</f>
        <v>0.44425190445462043</v>
      </c>
      <c r="AC2682" s="10">
        <f>IFERROR(VLOOKUP(Summary!B2682,'Pre-Summary'!$A$6:$P$184,5, FALSE)/100,AC2683)</f>
        <v>0.95692499999999991</v>
      </c>
      <c r="AD2682" s="10">
        <f>IFERROR(VLOOKUP(Summary!B2682,'Pre-Summary'!$A$6:$P$184,3, FALSE)/100,AD2683)</f>
        <v>3.3729333333333333E-2</v>
      </c>
      <c r="AE2682" s="10">
        <f>IFERROR(VLOOKUP(Summary!B2682,'Pre-Summary'!$A$6:$P$184,7, FALSE)/100,AE2683)</f>
        <v>9.3456666666666671E-3</v>
      </c>
      <c r="AF2682" s="99">
        <f t="shared" si="124"/>
        <v>1.4984320569318045E-2</v>
      </c>
      <c r="AG2682" s="99">
        <f t="shared" si="125"/>
        <v>4.1518302150647312E-3</v>
      </c>
      <c r="AH2682" s="10" t="str">
        <f>IFERROR(VLOOKUP(B2682,'Pre-Summary'!$AZ$6:$BE$65,3,FALSE),"")</f>
        <v/>
      </c>
      <c r="AI2682" s="10" t="str">
        <f>IFERROR(VLOOKUP(B2682,'Pre-Summary'!$AZ$6:$BE$65,5,FALSE),"")</f>
        <v/>
      </c>
      <c r="AJ2682" s="10" t="str">
        <f>IFERROR(VLOOKUP(B2682,'Pre-Summary'!$AZ$6:$BE$65,4,FALSE),"")</f>
        <v/>
      </c>
      <c r="AK2682" s="10" t="str">
        <f>IFERROR(VLOOKUP(B2682,'Pre-Summary'!$AZ$6:$BE$65,6,FALSE),"")</f>
        <v/>
      </c>
      <c r="AL2682" s="10" t="str">
        <f>IFERROR(VLOOKUP(B2682,'Pre-Summary'!$BG$6:$BL$44,3,FALSE),"")</f>
        <v/>
      </c>
      <c r="AM2682" s="10" t="str">
        <f>IFERROR(VLOOKUP(B2682,'Pre-Summary'!$BG$6:$BL$44,4,FALSE),"")</f>
        <v/>
      </c>
    </row>
    <row r="2683" spans="2:39" ht="15" customHeight="1" x14ac:dyDescent="0.3">
      <c r="B2683">
        <v>268</v>
      </c>
      <c r="C2683" t="str">
        <f>IFERROR(VLOOKUP(B2683,'Pre-Summary'!$DI$6:$DM$23,4,FALSE),"")</f>
        <v/>
      </c>
      <c r="D2683" s="10" t="str">
        <f>IFERROR(VLOOKUP(B2683,'Pre-Summary'!$AT$6:$AX$14,5,FALSE),D2682)</f>
        <v>Wolfe v3: went back to modified wolfe + EDTA and switched CuSO4 to CUCl2</v>
      </c>
      <c r="E2683" s="10" t="str">
        <f>IFERROR(VLOOKUP(B2683,'Pre-Summary'!$AT$6:$AX$15,4,FALSE),"")</f>
        <v/>
      </c>
      <c r="F2683">
        <f>IFERROR(VLOOKUP(B2683,'Pre-Summary'!$AL$6:$AQ$13,6,FALSE),F2682)</f>
        <v>5.9405263157894746E-2</v>
      </c>
      <c r="G2683" t="str">
        <f>IFERROR(VLOOKUP(B2683,'Pre-Summary'!$AE$6:$AJ$85,3,FALSE),"")</f>
        <v/>
      </c>
      <c r="H2683" t="str">
        <f>IFERROR(VLOOKUP(B2683,'Pre-Summary'!$AE$6:$AJ$85,4,FALSE),"")</f>
        <v/>
      </c>
      <c r="I2683" t="str">
        <f>IFERROR(VLOOKUP(B2683,'Pre-Summary'!$AE$6:$AJ$85,5,FALSE),"")</f>
        <v/>
      </c>
      <c r="J2683" s="45" t="str">
        <f>IFERROR(VLOOKUP(B2683,'Pre-Summary'!$AE$6:$AJ$85,6, FALSE),"")</f>
        <v/>
      </c>
      <c r="K2683" s="45" t="str">
        <f>IFERROR(VLOOKUP(B2683,'Pre-Summary'!$DE$6:$DG$61,3,FALSE),"")</f>
        <v/>
      </c>
      <c r="L2683" s="45" t="str">
        <f>IFERROR(VLOOKUP(B2683,'Pre-Summary'!$CU$6:$CW$36,3,FALSE),"")</f>
        <v/>
      </c>
      <c r="M2683" s="45" t="str">
        <f>IFERROR(VLOOKUP(B2683,'Pre-Summary'!$BW$6:$BY$58,2,FALSE),"")</f>
        <v/>
      </c>
      <c r="N2683" s="45" t="str">
        <f>IFERROR(VLOOKUP(B2683,'Pre-Summary'!$CD$6:$CF$64,2,FALSE),"")</f>
        <v/>
      </c>
      <c r="O2683" s="99">
        <f>IFERROR(VLOOKUP(B2683,'Pre-Summary'!$BO$6:$BQ$48,3, FALSE),O2682)</f>
        <v>1.83</v>
      </c>
      <c r="P2683" s="99">
        <f>IFERROR(VLOOKUP(B2683,'Pre-Summary'!$BS$6:$BU$35,3,FALSE),P2682)</f>
        <v>0.46200000000000002</v>
      </c>
      <c r="Q2683" s="54">
        <f t="shared" si="123"/>
        <v>3.9610389610389611</v>
      </c>
      <c r="R2683" s="53">
        <f>IFERROR(VLOOKUP(B2683,'Pre-Summary'!$BG$6:$BM$44,7,FALSE),R2684)</f>
        <v>9.7903492963591104E-2</v>
      </c>
      <c r="S2683" s="53">
        <f>IFERROR(VLOOKUP(B2683,'Pre-Summary'!$BG$6:$BM$44,6,FALSE),S2684)</f>
        <v>0.1105986773408305</v>
      </c>
      <c r="T2683" s="45" t="str">
        <f>IFERROR(VLOOKUP(B2683,'Pre-Summary'!$Y$6:$AC$83, 3,FALSE),"")</f>
        <v/>
      </c>
      <c r="U2683" s="45" t="str">
        <f>IFERROR(VLOOKUP(B2683,'Pre-Summary'!$Y$6:$AC$83, 4,FALSE),"")</f>
        <v/>
      </c>
      <c r="V2683" t="str">
        <f>IFERROR(VLOOKUP(B2683,'Pre-Summary'!$Y$6:$AC$83, 5,FALSE),"")</f>
        <v/>
      </c>
      <c r="W2683" s="45" t="str">
        <f>IFERROR(VLOOKUP(B2683,'Pre-Summary'!$Y$6:$AD$83,6,FALSE),"")</f>
        <v/>
      </c>
      <c r="X2683" t="str">
        <f>IFERROR(VLOOKUP('Pre-Summary'!$DB$6:$DD$63,3,FALSE),"")</f>
        <v/>
      </c>
      <c r="Y2683" t="str">
        <f>IFERROR(VLOOKUP(B2683,'Pre-Summary'!$CR$6:$CT$36,3,FALSE),"")</f>
        <v/>
      </c>
      <c r="Z2683" s="45" t="str">
        <f>IFERROR(VLOOKUP(B2683,'Pre-Summary'!$BZ$6:$CB$63,2,FALSE),"")</f>
        <v/>
      </c>
      <c r="AA2683" s="45" t="str">
        <f>IFERROR(VLOOKUP(B2683,'Pre-Summary'!$CG$6:$CI$70,2,FALSE),"")</f>
        <v/>
      </c>
      <c r="AB2683" s="99">
        <f>IFERROR(VLOOKUP(B2683,'Pre-Summary'!$A$6:$P$178,9,FALSE),AB2684)</f>
        <v>0.44425190445462043</v>
      </c>
      <c r="AC2683" s="10">
        <f>IFERROR(VLOOKUP(Summary!B2683,'Pre-Summary'!$A$6:$P$184,5, FALSE)/100,AC2684)</f>
        <v>0.95692499999999991</v>
      </c>
      <c r="AD2683" s="10">
        <f>IFERROR(VLOOKUP(Summary!B2683,'Pre-Summary'!$A$6:$P$184,3, FALSE)/100,AD2684)</f>
        <v>3.3729333333333333E-2</v>
      </c>
      <c r="AE2683" s="10">
        <f>IFERROR(VLOOKUP(Summary!B2683,'Pre-Summary'!$A$6:$P$184,7, FALSE)/100,AE2684)</f>
        <v>9.3456666666666671E-3</v>
      </c>
      <c r="AF2683" s="99">
        <f t="shared" si="124"/>
        <v>1.4984320569318045E-2</v>
      </c>
      <c r="AG2683" s="99">
        <f t="shared" si="125"/>
        <v>4.1518302150647312E-3</v>
      </c>
      <c r="AH2683" s="10" t="str">
        <f>IFERROR(VLOOKUP(B2683,'Pre-Summary'!$AZ$6:$BE$65,3,FALSE),"")</f>
        <v/>
      </c>
      <c r="AI2683" s="10" t="str">
        <f>IFERROR(VLOOKUP(B2683,'Pre-Summary'!$AZ$6:$BE$65,5,FALSE),"")</f>
        <v/>
      </c>
      <c r="AJ2683" s="10" t="str">
        <f>IFERROR(VLOOKUP(B2683,'Pre-Summary'!$AZ$6:$BE$65,4,FALSE),"")</f>
        <v/>
      </c>
      <c r="AK2683" s="10" t="str">
        <f>IFERROR(VLOOKUP(B2683,'Pre-Summary'!$AZ$6:$BE$65,6,FALSE),"")</f>
        <v/>
      </c>
      <c r="AL2683" s="10" t="str">
        <f>IFERROR(VLOOKUP(B2683,'Pre-Summary'!$BG$6:$BL$44,3,FALSE),"")</f>
        <v/>
      </c>
      <c r="AM2683" s="10" t="str">
        <f>IFERROR(VLOOKUP(B2683,'Pre-Summary'!$BG$6:$BL$44,4,FALSE),"")</f>
        <v/>
      </c>
    </row>
    <row r="2684" spans="2:39" ht="15" customHeight="1" x14ac:dyDescent="0.3">
      <c r="B2684">
        <v>268.10000000000002</v>
      </c>
      <c r="C2684" t="str">
        <f>IFERROR(VLOOKUP(B2684,'Pre-Summary'!$DI$6:$DM$23,4,FALSE),"")</f>
        <v/>
      </c>
      <c r="D2684" s="10" t="str">
        <f>IFERROR(VLOOKUP(B2684,'Pre-Summary'!$AT$6:$AX$14,5,FALSE),D2683)</f>
        <v>Wolfe v3: went back to modified wolfe + EDTA and switched CuSO4 to CUCl2</v>
      </c>
      <c r="E2684" s="10" t="str">
        <f>IFERROR(VLOOKUP(B2684,'Pre-Summary'!$AT$6:$AX$15,4,FALSE),"")</f>
        <v/>
      </c>
      <c r="F2684">
        <f>IFERROR(VLOOKUP(B2684,'Pre-Summary'!$AL$6:$AQ$13,6,FALSE),F2683)</f>
        <v>5.9405263157894746E-2</v>
      </c>
      <c r="G2684" t="str">
        <f>IFERROR(VLOOKUP(B2684,'Pre-Summary'!$AE$6:$AJ$85,3,FALSE),"")</f>
        <v/>
      </c>
      <c r="H2684" t="str">
        <f>IFERROR(VLOOKUP(B2684,'Pre-Summary'!$AE$6:$AJ$85,4,FALSE),"")</f>
        <v/>
      </c>
      <c r="I2684" t="str">
        <f>IFERROR(VLOOKUP(B2684,'Pre-Summary'!$AE$6:$AJ$85,5,FALSE),"")</f>
        <v/>
      </c>
      <c r="J2684" s="45" t="str">
        <f>IFERROR(VLOOKUP(B2684,'Pre-Summary'!$AE$6:$AJ$85,6, FALSE),"")</f>
        <v/>
      </c>
      <c r="K2684" s="45" t="str">
        <f>IFERROR(VLOOKUP(B2684,'Pre-Summary'!$DE$6:$DG$61,3,FALSE),"")</f>
        <v/>
      </c>
      <c r="L2684" s="45" t="str">
        <f>IFERROR(VLOOKUP(B2684,'Pre-Summary'!$CU$6:$CW$36,3,FALSE),"")</f>
        <v/>
      </c>
      <c r="M2684" s="45" t="str">
        <f>IFERROR(VLOOKUP(B2684,'Pre-Summary'!$BW$6:$BY$58,2,FALSE),"")</f>
        <v/>
      </c>
      <c r="N2684" s="45" t="str">
        <f>IFERROR(VLOOKUP(B2684,'Pre-Summary'!$CD$6:$CF$64,2,FALSE),"")</f>
        <v/>
      </c>
      <c r="O2684" s="99">
        <f>IFERROR(VLOOKUP(B2684,'Pre-Summary'!$BO$6:$BQ$48,3, FALSE),O2683)</f>
        <v>1.83</v>
      </c>
      <c r="P2684" s="99">
        <f>IFERROR(VLOOKUP(B2684,'Pre-Summary'!$BS$6:$BU$35,3,FALSE),P2683)</f>
        <v>0.46200000000000002</v>
      </c>
      <c r="Q2684" s="54">
        <f t="shared" si="123"/>
        <v>3.9610389610389611</v>
      </c>
      <c r="R2684" s="53">
        <f>IFERROR(VLOOKUP(B2684,'Pre-Summary'!$BG$6:$BM$44,7,FALSE),R2685)</f>
        <v>9.7903492963591104E-2</v>
      </c>
      <c r="S2684" s="53">
        <f>IFERROR(VLOOKUP(B2684,'Pre-Summary'!$BG$6:$BM$44,6,FALSE),S2685)</f>
        <v>0.1105986773408305</v>
      </c>
      <c r="T2684" s="45" t="str">
        <f>IFERROR(VLOOKUP(B2684,'Pre-Summary'!$Y$6:$AC$83, 3,FALSE),"")</f>
        <v/>
      </c>
      <c r="U2684" s="45" t="str">
        <f>IFERROR(VLOOKUP(B2684,'Pre-Summary'!$Y$6:$AC$83, 4,FALSE),"")</f>
        <v/>
      </c>
      <c r="V2684" t="str">
        <f>IFERROR(VLOOKUP(B2684,'Pre-Summary'!$Y$6:$AC$83, 5,FALSE),"")</f>
        <v/>
      </c>
      <c r="W2684" s="45" t="str">
        <f>IFERROR(VLOOKUP(B2684,'Pre-Summary'!$Y$6:$AD$83,6,FALSE),"")</f>
        <v/>
      </c>
      <c r="X2684" t="str">
        <f>IFERROR(VLOOKUP('Pre-Summary'!$DB$6:$DD$63,3,FALSE),"")</f>
        <v/>
      </c>
      <c r="Y2684" t="str">
        <f>IFERROR(VLOOKUP(B2684,'Pre-Summary'!$CR$6:$CT$36,3,FALSE),"")</f>
        <v/>
      </c>
      <c r="Z2684" s="45" t="str">
        <f>IFERROR(VLOOKUP(B2684,'Pre-Summary'!$BZ$6:$CB$63,2,FALSE),"")</f>
        <v/>
      </c>
      <c r="AA2684" s="45" t="str">
        <f>IFERROR(VLOOKUP(B2684,'Pre-Summary'!$CG$6:$CI$70,2,FALSE),"")</f>
        <v/>
      </c>
      <c r="AB2684" s="99">
        <f>IFERROR(VLOOKUP(B2684,'Pre-Summary'!$A$6:$P$178,9,FALSE),AB2685)</f>
        <v>0.41246186499632015</v>
      </c>
      <c r="AC2684" s="10">
        <f>IFERROR(VLOOKUP(Summary!B2684,'Pre-Summary'!$A$6:$P$184,5, FALSE)/100,AC2685)</f>
        <v>0.9658199999999999</v>
      </c>
      <c r="AD2684" s="10">
        <f>IFERROR(VLOOKUP(Summary!B2684,'Pre-Summary'!$A$6:$P$184,3, FALSE)/100,AD2685)</f>
        <v>3.2206333333333337E-2</v>
      </c>
      <c r="AE2684" s="10">
        <f>IFERROR(VLOOKUP(Summary!B2684,'Pre-Summary'!$A$6:$P$184,7, FALSE)/100,AE2685)</f>
        <v>1.9733333333333334E-3</v>
      </c>
      <c r="AF2684" s="99">
        <f t="shared" si="124"/>
        <v>1.3283884311359821E-2</v>
      </c>
      <c r="AG2684" s="99">
        <f t="shared" si="125"/>
        <v>8.1392474692607182E-4</v>
      </c>
      <c r="AH2684" s="10" t="str">
        <f>IFERROR(VLOOKUP(B2684,'Pre-Summary'!$AZ$6:$BE$65,3,FALSE),"")</f>
        <v/>
      </c>
      <c r="AI2684" s="10" t="str">
        <f>IFERROR(VLOOKUP(B2684,'Pre-Summary'!$AZ$6:$BE$65,5,FALSE),"")</f>
        <v/>
      </c>
      <c r="AJ2684" s="10" t="str">
        <f>IFERROR(VLOOKUP(B2684,'Pre-Summary'!$AZ$6:$BE$65,4,FALSE),"")</f>
        <v/>
      </c>
      <c r="AK2684" s="10" t="str">
        <f>IFERROR(VLOOKUP(B2684,'Pre-Summary'!$AZ$6:$BE$65,6,FALSE),"")</f>
        <v/>
      </c>
      <c r="AL2684" s="10" t="str">
        <f>IFERROR(VLOOKUP(B2684,'Pre-Summary'!$BG$6:$BL$44,3,FALSE),"")</f>
        <v/>
      </c>
      <c r="AM2684" s="10" t="str">
        <f>IFERROR(VLOOKUP(B2684,'Pre-Summary'!$BG$6:$BL$44,4,FALSE),"")</f>
        <v/>
      </c>
    </row>
    <row r="2685" spans="2:39" ht="15" customHeight="1" x14ac:dyDescent="0.3">
      <c r="B2685">
        <v>268.2</v>
      </c>
      <c r="C2685" t="str">
        <f>IFERROR(VLOOKUP(B2685,'Pre-Summary'!$DI$6:$DM$23,4,FALSE),"")</f>
        <v/>
      </c>
      <c r="D2685" s="10" t="str">
        <f>IFERROR(VLOOKUP(B2685,'Pre-Summary'!$AT$6:$AX$14,5,FALSE),D2684)</f>
        <v>Wolfe v3: went back to modified wolfe + EDTA and switched CuSO4 to CUCl2</v>
      </c>
      <c r="E2685" s="10" t="str">
        <f>IFERROR(VLOOKUP(B2685,'Pre-Summary'!$AT$6:$AX$15,4,FALSE),"")</f>
        <v/>
      </c>
      <c r="F2685">
        <f>IFERROR(VLOOKUP(B2685,'Pre-Summary'!$AL$6:$AQ$13,6,FALSE),F2684)</f>
        <v>5.9405263157894746E-2</v>
      </c>
      <c r="G2685" t="str">
        <f>IFERROR(VLOOKUP(B2685,'Pre-Summary'!$AE$6:$AJ$85,3,FALSE),"")</f>
        <v/>
      </c>
      <c r="H2685" t="str">
        <f>IFERROR(VLOOKUP(B2685,'Pre-Summary'!$AE$6:$AJ$85,4,FALSE),"")</f>
        <v/>
      </c>
      <c r="I2685" t="str">
        <f>IFERROR(VLOOKUP(B2685,'Pre-Summary'!$AE$6:$AJ$85,5,FALSE),"")</f>
        <v/>
      </c>
      <c r="J2685" s="45" t="str">
        <f>IFERROR(VLOOKUP(B2685,'Pre-Summary'!$AE$6:$AJ$85,6, FALSE),"")</f>
        <v/>
      </c>
      <c r="K2685" s="45" t="str">
        <f>IFERROR(VLOOKUP(B2685,'Pre-Summary'!$DE$6:$DG$61,3,FALSE),"")</f>
        <v/>
      </c>
      <c r="L2685" s="45" t="str">
        <f>IFERROR(VLOOKUP(B2685,'Pre-Summary'!$CU$6:$CW$36,3,FALSE),"")</f>
        <v/>
      </c>
      <c r="M2685" s="45" t="str">
        <f>IFERROR(VLOOKUP(B2685,'Pre-Summary'!$BW$6:$BY$58,2,FALSE),"")</f>
        <v/>
      </c>
      <c r="N2685" s="45" t="str">
        <f>IFERROR(VLOOKUP(B2685,'Pre-Summary'!$CD$6:$CF$64,2,FALSE),"")</f>
        <v/>
      </c>
      <c r="O2685" s="99">
        <f>IFERROR(VLOOKUP(B2685,'Pre-Summary'!$BO$6:$BQ$48,3, FALSE),O2684)</f>
        <v>1.83</v>
      </c>
      <c r="P2685" s="99">
        <f>IFERROR(VLOOKUP(B2685,'Pre-Summary'!$BS$6:$BU$35,3,FALSE),P2684)</f>
        <v>0.46200000000000002</v>
      </c>
      <c r="Q2685" s="54">
        <f t="shared" si="123"/>
        <v>3.9610389610389611</v>
      </c>
      <c r="R2685" s="53">
        <f>IFERROR(VLOOKUP(B2685,'Pre-Summary'!$BG$6:$BM$44,7,FALSE),R2686)</f>
        <v>9.7903492963591104E-2</v>
      </c>
      <c r="S2685" s="53">
        <f>IFERROR(VLOOKUP(B2685,'Pre-Summary'!$BG$6:$BM$44,6,FALSE),S2686)</f>
        <v>0.1105986773408305</v>
      </c>
      <c r="T2685" s="45" t="str">
        <f>IFERROR(VLOOKUP(B2685,'Pre-Summary'!$Y$6:$AC$83, 3,FALSE),"")</f>
        <v/>
      </c>
      <c r="U2685" s="45" t="str">
        <f>IFERROR(VLOOKUP(B2685,'Pre-Summary'!$Y$6:$AC$83, 4,FALSE),"")</f>
        <v/>
      </c>
      <c r="V2685" t="str">
        <f>IFERROR(VLOOKUP(B2685,'Pre-Summary'!$Y$6:$AC$83, 5,FALSE),"")</f>
        <v/>
      </c>
      <c r="W2685" s="45" t="str">
        <f>IFERROR(VLOOKUP(B2685,'Pre-Summary'!$Y$6:$AD$83,6,FALSE),"")</f>
        <v/>
      </c>
      <c r="X2685" t="str">
        <f>IFERROR(VLOOKUP('Pre-Summary'!$DB$6:$DD$63,3,FALSE),"")</f>
        <v/>
      </c>
      <c r="Y2685" t="str">
        <f>IFERROR(VLOOKUP(B2685,'Pre-Summary'!$CR$6:$CT$36,3,FALSE),"")</f>
        <v/>
      </c>
      <c r="Z2685" s="45" t="str">
        <f>IFERROR(VLOOKUP(B2685,'Pre-Summary'!$BZ$6:$CB$63,2,FALSE),"")</f>
        <v/>
      </c>
      <c r="AA2685" s="45" t="str">
        <f>IFERROR(VLOOKUP(B2685,'Pre-Summary'!$CG$6:$CI$70,2,FALSE),"")</f>
        <v/>
      </c>
      <c r="AB2685" s="99">
        <f>IFERROR(VLOOKUP(B2685,'Pre-Summary'!$A$6:$P$178,9,FALSE),AB2686)</f>
        <v>0.41246186499632015</v>
      </c>
      <c r="AC2685" s="10">
        <f>IFERROR(VLOOKUP(Summary!B2685,'Pre-Summary'!$A$6:$P$184,5, FALSE)/100,AC2686)</f>
        <v>0.9658199999999999</v>
      </c>
      <c r="AD2685" s="10">
        <f>IFERROR(VLOOKUP(Summary!B2685,'Pre-Summary'!$A$6:$P$184,3, FALSE)/100,AD2686)</f>
        <v>3.2206333333333337E-2</v>
      </c>
      <c r="AE2685" s="10">
        <f>IFERROR(VLOOKUP(Summary!B2685,'Pre-Summary'!$A$6:$P$184,7, FALSE)/100,AE2686)</f>
        <v>1.9733333333333334E-3</v>
      </c>
      <c r="AF2685" s="99">
        <f t="shared" si="124"/>
        <v>1.3283884311359821E-2</v>
      </c>
      <c r="AG2685" s="99">
        <f t="shared" si="125"/>
        <v>8.1392474692607182E-4</v>
      </c>
      <c r="AH2685" s="10" t="str">
        <f>IFERROR(VLOOKUP(B2685,'Pre-Summary'!$AZ$6:$BE$65,3,FALSE),"")</f>
        <v/>
      </c>
      <c r="AI2685" s="10" t="str">
        <f>IFERROR(VLOOKUP(B2685,'Pre-Summary'!$AZ$6:$BE$65,5,FALSE),"")</f>
        <v/>
      </c>
      <c r="AJ2685" s="10" t="str">
        <f>IFERROR(VLOOKUP(B2685,'Pre-Summary'!$AZ$6:$BE$65,4,FALSE),"")</f>
        <v/>
      </c>
      <c r="AK2685" s="10" t="str">
        <f>IFERROR(VLOOKUP(B2685,'Pre-Summary'!$AZ$6:$BE$65,6,FALSE),"")</f>
        <v/>
      </c>
      <c r="AL2685" s="10" t="str">
        <f>IFERROR(VLOOKUP(B2685,'Pre-Summary'!$BG$6:$BL$44,3,FALSE),"")</f>
        <v/>
      </c>
      <c r="AM2685" s="10" t="str">
        <f>IFERROR(VLOOKUP(B2685,'Pre-Summary'!$BG$6:$BL$44,4,FALSE),"")</f>
        <v/>
      </c>
    </row>
    <row r="2686" spans="2:39" ht="15" customHeight="1" x14ac:dyDescent="0.3">
      <c r="B2686">
        <v>268.3</v>
      </c>
      <c r="C2686" t="str">
        <f>IFERROR(VLOOKUP(B2686,'Pre-Summary'!$DI$6:$DM$23,4,FALSE),"")</f>
        <v/>
      </c>
      <c r="D2686" s="10" t="str">
        <f>IFERROR(VLOOKUP(B2686,'Pre-Summary'!$AT$6:$AX$14,5,FALSE),D2685)</f>
        <v>Wolfe v3: went back to modified wolfe + EDTA and switched CuSO4 to CUCl2</v>
      </c>
      <c r="E2686" s="10" t="str">
        <f>IFERROR(VLOOKUP(B2686,'Pre-Summary'!$AT$6:$AX$15,4,FALSE),"")</f>
        <v/>
      </c>
      <c r="F2686">
        <f>IFERROR(VLOOKUP(B2686,'Pre-Summary'!$AL$6:$AQ$13,6,FALSE),F2685)</f>
        <v>5.9405263157894746E-2</v>
      </c>
      <c r="G2686" t="str">
        <f>IFERROR(VLOOKUP(B2686,'Pre-Summary'!$AE$6:$AJ$85,3,FALSE),"")</f>
        <v/>
      </c>
      <c r="H2686" t="str">
        <f>IFERROR(VLOOKUP(B2686,'Pre-Summary'!$AE$6:$AJ$85,4,FALSE),"")</f>
        <v/>
      </c>
      <c r="I2686" t="str">
        <f>IFERROR(VLOOKUP(B2686,'Pre-Summary'!$AE$6:$AJ$85,5,FALSE),"")</f>
        <v/>
      </c>
      <c r="J2686" s="45" t="str">
        <f>IFERROR(VLOOKUP(B2686,'Pre-Summary'!$AE$6:$AJ$85,6, FALSE),"")</f>
        <v/>
      </c>
      <c r="K2686" s="45" t="str">
        <f>IFERROR(VLOOKUP(B2686,'Pre-Summary'!$DE$6:$DG$61,3,FALSE),"")</f>
        <v/>
      </c>
      <c r="L2686" s="45" t="str">
        <f>IFERROR(VLOOKUP(B2686,'Pre-Summary'!$CU$6:$CW$36,3,FALSE),"")</f>
        <v/>
      </c>
      <c r="M2686" s="45" t="str">
        <f>IFERROR(VLOOKUP(B2686,'Pre-Summary'!$BW$6:$BY$58,2,FALSE),"")</f>
        <v/>
      </c>
      <c r="N2686" s="45" t="str">
        <f>IFERROR(VLOOKUP(B2686,'Pre-Summary'!$CD$6:$CF$64,2,FALSE),"")</f>
        <v/>
      </c>
      <c r="O2686" s="99">
        <f>IFERROR(VLOOKUP(B2686,'Pre-Summary'!$BO$6:$BQ$48,3, FALSE),O2685)</f>
        <v>1.83</v>
      </c>
      <c r="P2686" s="99">
        <f>IFERROR(VLOOKUP(B2686,'Pre-Summary'!$BS$6:$BU$35,3,FALSE),P2685)</f>
        <v>0.46200000000000002</v>
      </c>
      <c r="Q2686" s="54">
        <f t="shared" si="123"/>
        <v>3.9610389610389611</v>
      </c>
      <c r="R2686" s="53">
        <f>IFERROR(VLOOKUP(B2686,'Pre-Summary'!$BG$6:$BM$44,7,FALSE),R2687)</f>
        <v>9.7903492963591104E-2</v>
      </c>
      <c r="S2686" s="53">
        <f>IFERROR(VLOOKUP(B2686,'Pre-Summary'!$BG$6:$BM$44,6,FALSE),S2687)</f>
        <v>0.1105986773408305</v>
      </c>
      <c r="T2686" s="45" t="str">
        <f>IFERROR(VLOOKUP(B2686,'Pre-Summary'!$Y$6:$AC$83, 3,FALSE),"")</f>
        <v/>
      </c>
      <c r="U2686" s="45" t="str">
        <f>IFERROR(VLOOKUP(B2686,'Pre-Summary'!$Y$6:$AC$83, 4,FALSE),"")</f>
        <v/>
      </c>
      <c r="V2686" t="str">
        <f>IFERROR(VLOOKUP(B2686,'Pre-Summary'!$Y$6:$AC$83, 5,FALSE),"")</f>
        <v/>
      </c>
      <c r="W2686" s="45" t="str">
        <f>IFERROR(VLOOKUP(B2686,'Pre-Summary'!$Y$6:$AD$83,6,FALSE),"")</f>
        <v/>
      </c>
      <c r="X2686" t="str">
        <f>IFERROR(VLOOKUP('Pre-Summary'!$DB$6:$DD$63,3,FALSE),"")</f>
        <v/>
      </c>
      <c r="Y2686" t="str">
        <f>IFERROR(VLOOKUP(B2686,'Pre-Summary'!$CR$6:$CT$36,3,FALSE),"")</f>
        <v/>
      </c>
      <c r="Z2686" s="45" t="str">
        <f>IFERROR(VLOOKUP(B2686,'Pre-Summary'!$BZ$6:$CB$63,2,FALSE),"")</f>
        <v/>
      </c>
      <c r="AA2686" s="45" t="str">
        <f>IFERROR(VLOOKUP(B2686,'Pre-Summary'!$CG$6:$CI$70,2,FALSE),"")</f>
        <v/>
      </c>
      <c r="AB2686" s="99">
        <f>IFERROR(VLOOKUP(B2686,'Pre-Summary'!$A$6:$P$178,9,FALSE),AB2687)</f>
        <v>0.41246186499632015</v>
      </c>
      <c r="AC2686" s="10">
        <f>IFERROR(VLOOKUP(Summary!B2686,'Pre-Summary'!$A$6:$P$184,5, FALSE)/100,AC2687)</f>
        <v>0.9658199999999999</v>
      </c>
      <c r="AD2686" s="10">
        <f>IFERROR(VLOOKUP(Summary!B2686,'Pre-Summary'!$A$6:$P$184,3, FALSE)/100,AD2687)</f>
        <v>3.2206333333333337E-2</v>
      </c>
      <c r="AE2686" s="10">
        <f>IFERROR(VLOOKUP(Summary!B2686,'Pre-Summary'!$A$6:$P$184,7, FALSE)/100,AE2687)</f>
        <v>1.9733333333333334E-3</v>
      </c>
      <c r="AF2686" s="99">
        <f t="shared" si="124"/>
        <v>1.3283884311359821E-2</v>
      </c>
      <c r="AG2686" s="99">
        <f t="shared" si="125"/>
        <v>8.1392474692607182E-4</v>
      </c>
      <c r="AH2686" s="10" t="str">
        <f>IFERROR(VLOOKUP(B2686,'Pre-Summary'!$AZ$6:$BE$65,3,FALSE),"")</f>
        <v/>
      </c>
      <c r="AI2686" s="10" t="str">
        <f>IFERROR(VLOOKUP(B2686,'Pre-Summary'!$AZ$6:$BE$65,5,FALSE),"")</f>
        <v/>
      </c>
      <c r="AJ2686" s="10" t="str">
        <f>IFERROR(VLOOKUP(B2686,'Pre-Summary'!$AZ$6:$BE$65,4,FALSE),"")</f>
        <v/>
      </c>
      <c r="AK2686" s="10" t="str">
        <f>IFERROR(VLOOKUP(B2686,'Pre-Summary'!$AZ$6:$BE$65,6,FALSE),"")</f>
        <v/>
      </c>
      <c r="AL2686" s="10" t="str">
        <f>IFERROR(VLOOKUP(B2686,'Pre-Summary'!$BG$6:$BL$44,3,FALSE),"")</f>
        <v/>
      </c>
      <c r="AM2686" s="10" t="str">
        <f>IFERROR(VLOOKUP(B2686,'Pre-Summary'!$BG$6:$BL$44,4,FALSE),"")</f>
        <v/>
      </c>
    </row>
    <row r="2687" spans="2:39" ht="15" customHeight="1" x14ac:dyDescent="0.3">
      <c r="B2687">
        <v>268.39999999999998</v>
      </c>
      <c r="C2687" t="str">
        <f>IFERROR(VLOOKUP(B2687,'Pre-Summary'!$DI$6:$DM$23,4,FALSE),"")</f>
        <v/>
      </c>
      <c r="D2687" s="10" t="str">
        <f>IFERROR(VLOOKUP(B2687,'Pre-Summary'!$AT$6:$AX$14,5,FALSE),D2686)</f>
        <v>Wolfe v3: went back to modified wolfe + EDTA and switched CuSO4 to CUCl2</v>
      </c>
      <c r="E2687" s="10" t="str">
        <f>IFERROR(VLOOKUP(B2687,'Pre-Summary'!$AT$6:$AX$15,4,FALSE),"")</f>
        <v/>
      </c>
      <c r="F2687">
        <f>IFERROR(VLOOKUP(B2687,'Pre-Summary'!$AL$6:$AQ$13,6,FALSE),F2686)</f>
        <v>5.9405263157894746E-2</v>
      </c>
      <c r="G2687" t="str">
        <f>IFERROR(VLOOKUP(B2687,'Pre-Summary'!$AE$6:$AJ$85,3,FALSE),"")</f>
        <v/>
      </c>
      <c r="H2687" t="str">
        <f>IFERROR(VLOOKUP(B2687,'Pre-Summary'!$AE$6:$AJ$85,4,FALSE),"")</f>
        <v/>
      </c>
      <c r="I2687" t="str">
        <f>IFERROR(VLOOKUP(B2687,'Pre-Summary'!$AE$6:$AJ$85,5,FALSE),"")</f>
        <v/>
      </c>
      <c r="J2687" s="45" t="str">
        <f>IFERROR(VLOOKUP(B2687,'Pre-Summary'!$AE$6:$AJ$85,6, FALSE),"")</f>
        <v/>
      </c>
      <c r="K2687" s="45" t="str">
        <f>IFERROR(VLOOKUP(B2687,'Pre-Summary'!$DE$6:$DG$61,3,FALSE),"")</f>
        <v/>
      </c>
      <c r="L2687" s="45" t="str">
        <f>IFERROR(VLOOKUP(B2687,'Pre-Summary'!$CU$6:$CW$36,3,FALSE),"")</f>
        <v/>
      </c>
      <c r="M2687" s="45" t="str">
        <f>IFERROR(VLOOKUP(B2687,'Pre-Summary'!$BW$6:$BY$58,2,FALSE),"")</f>
        <v/>
      </c>
      <c r="N2687" s="45" t="str">
        <f>IFERROR(VLOOKUP(B2687,'Pre-Summary'!$CD$6:$CF$64,2,FALSE),"")</f>
        <v/>
      </c>
      <c r="O2687" s="99">
        <f>IFERROR(VLOOKUP(B2687,'Pre-Summary'!$BO$6:$BQ$48,3, FALSE),O2686)</f>
        <v>1.83</v>
      </c>
      <c r="P2687" s="99">
        <f>IFERROR(VLOOKUP(B2687,'Pre-Summary'!$BS$6:$BU$35,3,FALSE),P2686)</f>
        <v>0.46200000000000002</v>
      </c>
      <c r="Q2687" s="54">
        <f t="shared" si="123"/>
        <v>3.9610389610389611</v>
      </c>
      <c r="R2687" s="53">
        <f>IFERROR(VLOOKUP(B2687,'Pre-Summary'!$BG$6:$BM$44,7,FALSE),R2688)</f>
        <v>9.7903492963591104E-2</v>
      </c>
      <c r="S2687" s="53">
        <f>IFERROR(VLOOKUP(B2687,'Pre-Summary'!$BG$6:$BM$44,6,FALSE),S2688)</f>
        <v>0.1105986773408305</v>
      </c>
      <c r="T2687" s="45" t="str">
        <f>IFERROR(VLOOKUP(B2687,'Pre-Summary'!$Y$6:$AC$83, 3,FALSE),"")</f>
        <v/>
      </c>
      <c r="U2687" s="45" t="str">
        <f>IFERROR(VLOOKUP(B2687,'Pre-Summary'!$Y$6:$AC$83, 4,FALSE),"")</f>
        <v/>
      </c>
      <c r="V2687" t="str">
        <f>IFERROR(VLOOKUP(B2687,'Pre-Summary'!$Y$6:$AC$83, 5,FALSE),"")</f>
        <v/>
      </c>
      <c r="W2687" s="45" t="str">
        <f>IFERROR(VLOOKUP(B2687,'Pre-Summary'!$Y$6:$AD$83,6,FALSE),"")</f>
        <v/>
      </c>
      <c r="X2687" t="str">
        <f>IFERROR(VLOOKUP('Pre-Summary'!$DB$6:$DD$63,3,FALSE),"")</f>
        <v/>
      </c>
      <c r="Y2687" t="str">
        <f>IFERROR(VLOOKUP(B2687,'Pre-Summary'!$CR$6:$CT$36,3,FALSE),"")</f>
        <v/>
      </c>
      <c r="Z2687" s="45" t="str">
        <f>IFERROR(VLOOKUP(B2687,'Pre-Summary'!$BZ$6:$CB$63,2,FALSE),"")</f>
        <v/>
      </c>
      <c r="AA2687" s="45" t="str">
        <f>IFERROR(VLOOKUP(B2687,'Pre-Summary'!$CG$6:$CI$70,2,FALSE),"")</f>
        <v/>
      </c>
      <c r="AB2687" s="99">
        <f>IFERROR(VLOOKUP(B2687,'Pre-Summary'!$A$6:$P$178,9,FALSE),AB2688)</f>
        <v>0.41246186499632015</v>
      </c>
      <c r="AC2687" s="10">
        <f>IFERROR(VLOOKUP(Summary!B2687,'Pre-Summary'!$A$6:$P$184,5, FALSE)/100,AC2688)</f>
        <v>0.9658199999999999</v>
      </c>
      <c r="AD2687" s="10">
        <f>IFERROR(VLOOKUP(Summary!B2687,'Pre-Summary'!$A$6:$P$184,3, FALSE)/100,AD2688)</f>
        <v>3.2206333333333337E-2</v>
      </c>
      <c r="AE2687" s="10">
        <f>IFERROR(VLOOKUP(Summary!B2687,'Pre-Summary'!$A$6:$P$184,7, FALSE)/100,AE2688)</f>
        <v>1.9733333333333334E-3</v>
      </c>
      <c r="AF2687" s="99">
        <f t="shared" si="124"/>
        <v>1.3283884311359821E-2</v>
      </c>
      <c r="AG2687" s="99">
        <f t="shared" si="125"/>
        <v>8.1392474692607182E-4</v>
      </c>
      <c r="AH2687" s="10" t="str">
        <f>IFERROR(VLOOKUP(B2687,'Pre-Summary'!$AZ$6:$BE$65,3,FALSE),"")</f>
        <v/>
      </c>
      <c r="AI2687" s="10" t="str">
        <f>IFERROR(VLOOKUP(B2687,'Pre-Summary'!$AZ$6:$BE$65,5,FALSE),"")</f>
        <v/>
      </c>
      <c r="AJ2687" s="10" t="str">
        <f>IFERROR(VLOOKUP(B2687,'Pre-Summary'!$AZ$6:$BE$65,4,FALSE),"")</f>
        <v/>
      </c>
      <c r="AK2687" s="10" t="str">
        <f>IFERROR(VLOOKUP(B2687,'Pre-Summary'!$AZ$6:$BE$65,6,FALSE),"")</f>
        <v/>
      </c>
      <c r="AL2687" s="10" t="str">
        <f>IFERROR(VLOOKUP(B2687,'Pre-Summary'!$BG$6:$BL$44,3,FALSE),"")</f>
        <v/>
      </c>
      <c r="AM2687" s="10" t="str">
        <f>IFERROR(VLOOKUP(B2687,'Pre-Summary'!$BG$6:$BL$44,4,FALSE),"")</f>
        <v/>
      </c>
    </row>
    <row r="2688" spans="2:39" ht="15" customHeight="1" x14ac:dyDescent="0.3">
      <c r="B2688">
        <v>268.5</v>
      </c>
      <c r="C2688" t="str">
        <f>IFERROR(VLOOKUP(B2688,'Pre-Summary'!$DI$6:$DM$23,4,FALSE),"")</f>
        <v/>
      </c>
      <c r="D2688" s="10" t="str">
        <f>IFERROR(VLOOKUP(B2688,'Pre-Summary'!$AT$6:$AX$14,5,FALSE),D2687)</f>
        <v>Wolfe v3: went back to modified wolfe + EDTA and switched CuSO4 to CUCl2</v>
      </c>
      <c r="E2688" s="10" t="str">
        <f>IFERROR(VLOOKUP(B2688,'Pre-Summary'!$AT$6:$AX$15,4,FALSE),"")</f>
        <v/>
      </c>
      <c r="F2688">
        <f>IFERROR(VLOOKUP(B2688,'Pre-Summary'!$AL$6:$AQ$13,6,FALSE),F2687)</f>
        <v>5.9405263157894746E-2</v>
      </c>
      <c r="G2688" t="str">
        <f>IFERROR(VLOOKUP(B2688,'Pre-Summary'!$AE$6:$AJ$85,3,FALSE),"")</f>
        <v/>
      </c>
      <c r="H2688" t="str">
        <f>IFERROR(VLOOKUP(B2688,'Pre-Summary'!$AE$6:$AJ$85,4,FALSE),"")</f>
        <v/>
      </c>
      <c r="I2688" t="str">
        <f>IFERROR(VLOOKUP(B2688,'Pre-Summary'!$AE$6:$AJ$85,5,FALSE),"")</f>
        <v/>
      </c>
      <c r="J2688" s="45" t="str">
        <f>IFERROR(VLOOKUP(B2688,'Pre-Summary'!$AE$6:$AJ$85,6, FALSE),"")</f>
        <v/>
      </c>
      <c r="K2688" s="45" t="str">
        <f>IFERROR(VLOOKUP(B2688,'Pre-Summary'!$DE$6:$DG$61,3,FALSE),"")</f>
        <v/>
      </c>
      <c r="L2688" s="45" t="str">
        <f>IFERROR(VLOOKUP(B2688,'Pre-Summary'!$CU$6:$CW$36,3,FALSE),"")</f>
        <v/>
      </c>
      <c r="M2688" s="45" t="str">
        <f>IFERROR(VLOOKUP(B2688,'Pre-Summary'!$BW$6:$BY$58,2,FALSE),"")</f>
        <v/>
      </c>
      <c r="N2688" s="45" t="str">
        <f>IFERROR(VLOOKUP(B2688,'Pre-Summary'!$CD$6:$CF$64,2,FALSE),"")</f>
        <v/>
      </c>
      <c r="O2688" s="99">
        <f>IFERROR(VLOOKUP(B2688,'Pre-Summary'!$BO$6:$BQ$48,3, FALSE),O2687)</f>
        <v>1.83</v>
      </c>
      <c r="P2688" s="99">
        <f>IFERROR(VLOOKUP(B2688,'Pre-Summary'!$BS$6:$BU$35,3,FALSE),P2687)</f>
        <v>0.46200000000000002</v>
      </c>
      <c r="Q2688" s="54">
        <f t="shared" si="123"/>
        <v>3.9610389610389611</v>
      </c>
      <c r="R2688" s="53">
        <f>IFERROR(VLOOKUP(B2688,'Pre-Summary'!$BG$6:$BM$44,7,FALSE),R2689)</f>
        <v>9.7903492963591104E-2</v>
      </c>
      <c r="S2688" s="53">
        <f>IFERROR(VLOOKUP(B2688,'Pre-Summary'!$BG$6:$BM$44,6,FALSE),S2689)</f>
        <v>0.1105986773408305</v>
      </c>
      <c r="T2688" s="45" t="str">
        <f>IFERROR(VLOOKUP(B2688,'Pre-Summary'!$Y$6:$AC$83, 3,FALSE),"")</f>
        <v/>
      </c>
      <c r="U2688" s="45" t="str">
        <f>IFERROR(VLOOKUP(B2688,'Pre-Summary'!$Y$6:$AC$83, 4,FALSE),"")</f>
        <v/>
      </c>
      <c r="V2688" t="str">
        <f>IFERROR(VLOOKUP(B2688,'Pre-Summary'!$Y$6:$AC$83, 5,FALSE),"")</f>
        <v/>
      </c>
      <c r="W2688" s="45" t="str">
        <f>IFERROR(VLOOKUP(B2688,'Pre-Summary'!$Y$6:$AD$83,6,FALSE),"")</f>
        <v/>
      </c>
      <c r="X2688" t="str">
        <f>IFERROR(VLOOKUP('Pre-Summary'!$DB$6:$DD$63,3,FALSE),"")</f>
        <v/>
      </c>
      <c r="Y2688" t="str">
        <f>IFERROR(VLOOKUP(B2688,'Pre-Summary'!$CR$6:$CT$36,3,FALSE),"")</f>
        <v/>
      </c>
      <c r="Z2688" s="45" t="str">
        <f>IFERROR(VLOOKUP(B2688,'Pre-Summary'!$BZ$6:$CB$63,2,FALSE),"")</f>
        <v/>
      </c>
      <c r="AA2688" s="45" t="str">
        <f>IFERROR(VLOOKUP(B2688,'Pre-Summary'!$CG$6:$CI$70,2,FALSE),"")</f>
        <v/>
      </c>
      <c r="AB2688" s="99">
        <f>IFERROR(VLOOKUP(B2688,'Pre-Summary'!$A$6:$P$178,9,FALSE),AB2689)</f>
        <v>0.41246186499632015</v>
      </c>
      <c r="AC2688" s="10">
        <f>IFERROR(VLOOKUP(Summary!B2688,'Pre-Summary'!$A$6:$P$184,5, FALSE)/100,AC2689)</f>
        <v>0.9658199999999999</v>
      </c>
      <c r="AD2688" s="10">
        <f>IFERROR(VLOOKUP(Summary!B2688,'Pre-Summary'!$A$6:$P$184,3, FALSE)/100,AD2689)</f>
        <v>3.2206333333333337E-2</v>
      </c>
      <c r="AE2688" s="10">
        <f>IFERROR(VLOOKUP(Summary!B2688,'Pre-Summary'!$A$6:$P$184,7, FALSE)/100,AE2689)</f>
        <v>1.9733333333333334E-3</v>
      </c>
      <c r="AF2688" s="99">
        <f t="shared" si="124"/>
        <v>1.3283884311359821E-2</v>
      </c>
      <c r="AG2688" s="99">
        <f t="shared" si="125"/>
        <v>8.1392474692607182E-4</v>
      </c>
      <c r="AH2688" s="10" t="str">
        <f>IFERROR(VLOOKUP(B2688,'Pre-Summary'!$AZ$6:$BE$65,3,FALSE),"")</f>
        <v/>
      </c>
      <c r="AI2688" s="10" t="str">
        <f>IFERROR(VLOOKUP(B2688,'Pre-Summary'!$AZ$6:$BE$65,5,FALSE),"")</f>
        <v/>
      </c>
      <c r="AJ2688" s="10" t="str">
        <f>IFERROR(VLOOKUP(B2688,'Pre-Summary'!$AZ$6:$BE$65,4,FALSE),"")</f>
        <v/>
      </c>
      <c r="AK2688" s="10" t="str">
        <f>IFERROR(VLOOKUP(B2688,'Pre-Summary'!$AZ$6:$BE$65,6,FALSE),"")</f>
        <v/>
      </c>
      <c r="AL2688" s="10" t="str">
        <f>IFERROR(VLOOKUP(B2688,'Pre-Summary'!$BG$6:$BL$44,3,FALSE),"")</f>
        <v/>
      </c>
      <c r="AM2688" s="10" t="str">
        <f>IFERROR(VLOOKUP(B2688,'Pre-Summary'!$BG$6:$BL$44,4,FALSE),"")</f>
        <v/>
      </c>
    </row>
    <row r="2689" spans="2:39" ht="15" customHeight="1" x14ac:dyDescent="0.3">
      <c r="B2689">
        <v>268.60000000000002</v>
      </c>
      <c r="C2689" t="str">
        <f>IFERROR(VLOOKUP(B2689,'Pre-Summary'!$DI$6:$DM$23,4,FALSE),"")</f>
        <v/>
      </c>
      <c r="D2689" s="10" t="str">
        <f>IFERROR(VLOOKUP(B2689,'Pre-Summary'!$AT$6:$AX$14,5,FALSE),D2688)</f>
        <v>Wolfe v3: went back to modified wolfe + EDTA and switched CuSO4 to CUCl2</v>
      </c>
      <c r="E2689" s="10" t="str">
        <f>IFERROR(VLOOKUP(B2689,'Pre-Summary'!$AT$6:$AX$15,4,FALSE),"")</f>
        <v/>
      </c>
      <c r="F2689">
        <f>IFERROR(VLOOKUP(B2689,'Pre-Summary'!$AL$6:$AQ$13,6,FALSE),F2688)</f>
        <v>5.9405263157894746E-2</v>
      </c>
      <c r="G2689" t="str">
        <f>IFERROR(VLOOKUP(B2689,'Pre-Summary'!$AE$6:$AJ$85,3,FALSE),"")</f>
        <v/>
      </c>
      <c r="H2689" t="str">
        <f>IFERROR(VLOOKUP(B2689,'Pre-Summary'!$AE$6:$AJ$85,4,FALSE),"")</f>
        <v/>
      </c>
      <c r="I2689" t="str">
        <f>IFERROR(VLOOKUP(B2689,'Pre-Summary'!$AE$6:$AJ$85,5,FALSE),"")</f>
        <v/>
      </c>
      <c r="J2689" s="45" t="str">
        <f>IFERROR(VLOOKUP(B2689,'Pre-Summary'!$AE$6:$AJ$85,6, FALSE),"")</f>
        <v/>
      </c>
      <c r="K2689" s="45" t="str">
        <f>IFERROR(VLOOKUP(B2689,'Pre-Summary'!$DE$6:$DG$61,3,FALSE),"")</f>
        <v/>
      </c>
      <c r="L2689" s="45" t="str">
        <f>IFERROR(VLOOKUP(B2689,'Pre-Summary'!$CU$6:$CW$36,3,FALSE),"")</f>
        <v/>
      </c>
      <c r="M2689" s="45" t="str">
        <f>IFERROR(VLOOKUP(B2689,'Pre-Summary'!$BW$6:$BY$58,2,FALSE),"")</f>
        <v/>
      </c>
      <c r="N2689" s="45" t="str">
        <f>IFERROR(VLOOKUP(B2689,'Pre-Summary'!$CD$6:$CF$64,2,FALSE),"")</f>
        <v/>
      </c>
      <c r="O2689" s="99">
        <f>IFERROR(VLOOKUP(B2689,'Pre-Summary'!$BO$6:$BQ$48,3, FALSE),O2688)</f>
        <v>1.83</v>
      </c>
      <c r="P2689" s="99">
        <f>IFERROR(VLOOKUP(B2689,'Pre-Summary'!$BS$6:$BU$35,3,FALSE),P2688)</f>
        <v>0.46200000000000002</v>
      </c>
      <c r="Q2689" s="54">
        <f t="shared" si="123"/>
        <v>3.9610389610389611</v>
      </c>
      <c r="R2689" s="53">
        <f>IFERROR(VLOOKUP(B2689,'Pre-Summary'!$BG$6:$BM$44,7,FALSE),R2690)</f>
        <v>9.7903492963591104E-2</v>
      </c>
      <c r="S2689" s="53">
        <f>IFERROR(VLOOKUP(B2689,'Pre-Summary'!$BG$6:$BM$44,6,FALSE),S2690)</f>
        <v>0.1105986773408305</v>
      </c>
      <c r="T2689" s="45" t="str">
        <f>IFERROR(VLOOKUP(B2689,'Pre-Summary'!$Y$6:$AC$83, 3,FALSE),"")</f>
        <v/>
      </c>
      <c r="U2689" s="45" t="str">
        <f>IFERROR(VLOOKUP(B2689,'Pre-Summary'!$Y$6:$AC$83, 4,FALSE),"")</f>
        <v/>
      </c>
      <c r="V2689" t="str">
        <f>IFERROR(VLOOKUP(B2689,'Pre-Summary'!$Y$6:$AC$83, 5,FALSE),"")</f>
        <v/>
      </c>
      <c r="W2689" s="45" t="str">
        <f>IFERROR(VLOOKUP(B2689,'Pre-Summary'!$Y$6:$AD$83,6,FALSE),"")</f>
        <v/>
      </c>
      <c r="X2689" t="str">
        <f>IFERROR(VLOOKUP('Pre-Summary'!$DB$6:$DD$63,3,FALSE),"")</f>
        <v/>
      </c>
      <c r="Y2689" t="str">
        <f>IFERROR(VLOOKUP(B2689,'Pre-Summary'!$CR$6:$CT$36,3,FALSE),"")</f>
        <v/>
      </c>
      <c r="Z2689" s="45" t="str">
        <f>IFERROR(VLOOKUP(B2689,'Pre-Summary'!$BZ$6:$CB$63,2,FALSE),"")</f>
        <v/>
      </c>
      <c r="AA2689" s="45" t="str">
        <f>IFERROR(VLOOKUP(B2689,'Pre-Summary'!$CG$6:$CI$70,2,FALSE),"")</f>
        <v/>
      </c>
      <c r="AB2689" s="99">
        <f>IFERROR(VLOOKUP(B2689,'Pre-Summary'!$A$6:$P$178,9,FALSE),AB2690)</f>
        <v>0.41246186499632015</v>
      </c>
      <c r="AC2689" s="10">
        <f>IFERROR(VLOOKUP(Summary!B2689,'Pre-Summary'!$A$6:$P$184,5, FALSE)/100,AC2690)</f>
        <v>0.9658199999999999</v>
      </c>
      <c r="AD2689" s="10">
        <f>IFERROR(VLOOKUP(Summary!B2689,'Pre-Summary'!$A$6:$P$184,3, FALSE)/100,AD2690)</f>
        <v>3.2206333333333337E-2</v>
      </c>
      <c r="AE2689" s="10">
        <f>IFERROR(VLOOKUP(Summary!B2689,'Pre-Summary'!$A$6:$P$184,7, FALSE)/100,AE2690)</f>
        <v>1.9733333333333334E-3</v>
      </c>
      <c r="AF2689" s="99">
        <f t="shared" si="124"/>
        <v>1.3283884311359821E-2</v>
      </c>
      <c r="AG2689" s="99">
        <f t="shared" si="125"/>
        <v>8.1392474692607182E-4</v>
      </c>
      <c r="AH2689" s="10" t="str">
        <f>IFERROR(VLOOKUP(B2689,'Pre-Summary'!$AZ$6:$BE$65,3,FALSE),"")</f>
        <v/>
      </c>
      <c r="AI2689" s="10" t="str">
        <f>IFERROR(VLOOKUP(B2689,'Pre-Summary'!$AZ$6:$BE$65,5,FALSE),"")</f>
        <v/>
      </c>
      <c r="AJ2689" s="10" t="str">
        <f>IFERROR(VLOOKUP(B2689,'Pre-Summary'!$AZ$6:$BE$65,4,FALSE),"")</f>
        <v/>
      </c>
      <c r="AK2689" s="10" t="str">
        <f>IFERROR(VLOOKUP(B2689,'Pre-Summary'!$AZ$6:$BE$65,6,FALSE),"")</f>
        <v/>
      </c>
      <c r="AL2689" s="10" t="str">
        <f>IFERROR(VLOOKUP(B2689,'Pre-Summary'!$BG$6:$BL$44,3,FALSE),"")</f>
        <v/>
      </c>
      <c r="AM2689" s="10" t="str">
        <f>IFERROR(VLOOKUP(B2689,'Pre-Summary'!$BG$6:$BL$44,4,FALSE),"")</f>
        <v/>
      </c>
    </row>
    <row r="2690" spans="2:39" ht="15" customHeight="1" x14ac:dyDescent="0.3">
      <c r="B2690">
        <v>268.7</v>
      </c>
      <c r="C2690" t="str">
        <f>IFERROR(VLOOKUP(B2690,'Pre-Summary'!$DI$6:$DM$23,4,FALSE),"")</f>
        <v/>
      </c>
      <c r="D2690" s="10" t="str">
        <f>IFERROR(VLOOKUP(B2690,'Pre-Summary'!$AT$6:$AX$14,5,FALSE),D2689)</f>
        <v>Wolfe v3: went back to modified wolfe + EDTA and switched CuSO4 to CUCl2</v>
      </c>
      <c r="E2690" s="10" t="str">
        <f>IFERROR(VLOOKUP(B2690,'Pre-Summary'!$AT$6:$AX$15,4,FALSE),"")</f>
        <v/>
      </c>
      <c r="F2690">
        <f>IFERROR(VLOOKUP(B2690,'Pre-Summary'!$AL$6:$AQ$13,6,FALSE),F2689)</f>
        <v>5.9405263157894746E-2</v>
      </c>
      <c r="G2690" t="str">
        <f>IFERROR(VLOOKUP(B2690,'Pre-Summary'!$AE$6:$AJ$85,3,FALSE),"")</f>
        <v/>
      </c>
      <c r="H2690" t="str">
        <f>IFERROR(VLOOKUP(B2690,'Pre-Summary'!$AE$6:$AJ$85,4,FALSE),"")</f>
        <v/>
      </c>
      <c r="I2690" t="str">
        <f>IFERROR(VLOOKUP(B2690,'Pre-Summary'!$AE$6:$AJ$85,5,FALSE),"")</f>
        <v/>
      </c>
      <c r="J2690" s="45" t="str">
        <f>IFERROR(VLOOKUP(B2690,'Pre-Summary'!$AE$6:$AJ$85,6, FALSE),"")</f>
        <v/>
      </c>
      <c r="K2690" s="45" t="str">
        <f>IFERROR(VLOOKUP(B2690,'Pre-Summary'!$DE$6:$DG$61,3,FALSE),"")</f>
        <v/>
      </c>
      <c r="L2690" s="45" t="str">
        <f>IFERROR(VLOOKUP(B2690,'Pre-Summary'!$CU$6:$CW$36,3,FALSE),"")</f>
        <v/>
      </c>
      <c r="M2690" s="45" t="str">
        <f>IFERROR(VLOOKUP(B2690,'Pre-Summary'!$BW$6:$BY$58,2,FALSE),"")</f>
        <v/>
      </c>
      <c r="N2690" s="45" t="str">
        <f>IFERROR(VLOOKUP(B2690,'Pre-Summary'!$CD$6:$CF$64,2,FALSE),"")</f>
        <v/>
      </c>
      <c r="O2690" s="99">
        <f>IFERROR(VLOOKUP(B2690,'Pre-Summary'!$BO$6:$BQ$48,3, FALSE),O2689)</f>
        <v>1.83</v>
      </c>
      <c r="P2690" s="99">
        <f>IFERROR(VLOOKUP(B2690,'Pre-Summary'!$BS$6:$BU$35,3,FALSE),P2689)</f>
        <v>0.46200000000000002</v>
      </c>
      <c r="Q2690" s="54">
        <f t="shared" si="123"/>
        <v>3.9610389610389611</v>
      </c>
      <c r="R2690" s="53">
        <f>IFERROR(VLOOKUP(B2690,'Pre-Summary'!$BG$6:$BM$44,7,FALSE),R2691)</f>
        <v>9.7903492963591104E-2</v>
      </c>
      <c r="S2690" s="53">
        <f>IFERROR(VLOOKUP(B2690,'Pre-Summary'!$BG$6:$BM$44,6,FALSE),S2691)</f>
        <v>0.1105986773408305</v>
      </c>
      <c r="T2690" s="45" t="str">
        <f>IFERROR(VLOOKUP(B2690,'Pre-Summary'!$Y$6:$AC$83, 3,FALSE),"")</f>
        <v/>
      </c>
      <c r="U2690" s="45" t="str">
        <f>IFERROR(VLOOKUP(B2690,'Pre-Summary'!$Y$6:$AC$83, 4,FALSE),"")</f>
        <v/>
      </c>
      <c r="V2690" t="str">
        <f>IFERROR(VLOOKUP(B2690,'Pre-Summary'!$Y$6:$AC$83, 5,FALSE),"")</f>
        <v/>
      </c>
      <c r="W2690" s="45" t="str">
        <f>IFERROR(VLOOKUP(B2690,'Pre-Summary'!$Y$6:$AD$83,6,FALSE),"")</f>
        <v/>
      </c>
      <c r="X2690" t="str">
        <f>IFERROR(VLOOKUP('Pre-Summary'!$DB$6:$DD$63,3,FALSE),"")</f>
        <v/>
      </c>
      <c r="Y2690" t="str">
        <f>IFERROR(VLOOKUP(B2690,'Pre-Summary'!$CR$6:$CT$36,3,FALSE),"")</f>
        <v/>
      </c>
      <c r="Z2690" s="45" t="str">
        <f>IFERROR(VLOOKUP(B2690,'Pre-Summary'!$BZ$6:$CB$63,2,FALSE),"")</f>
        <v/>
      </c>
      <c r="AA2690" s="45" t="str">
        <f>IFERROR(VLOOKUP(B2690,'Pre-Summary'!$CG$6:$CI$70,2,FALSE),"")</f>
        <v/>
      </c>
      <c r="AB2690" s="99">
        <f>IFERROR(VLOOKUP(B2690,'Pre-Summary'!$A$6:$P$178,9,FALSE),AB2691)</f>
        <v>0.41246186499632015</v>
      </c>
      <c r="AC2690" s="10">
        <f>IFERROR(VLOOKUP(Summary!B2690,'Pre-Summary'!$A$6:$P$184,5, FALSE)/100,AC2691)</f>
        <v>0.9658199999999999</v>
      </c>
      <c r="AD2690" s="10">
        <f>IFERROR(VLOOKUP(Summary!B2690,'Pre-Summary'!$A$6:$P$184,3, FALSE)/100,AD2691)</f>
        <v>3.2206333333333337E-2</v>
      </c>
      <c r="AE2690" s="10">
        <f>IFERROR(VLOOKUP(Summary!B2690,'Pre-Summary'!$A$6:$P$184,7, FALSE)/100,AE2691)</f>
        <v>1.9733333333333334E-3</v>
      </c>
      <c r="AF2690" s="99">
        <f t="shared" si="124"/>
        <v>1.3283884311359821E-2</v>
      </c>
      <c r="AG2690" s="99">
        <f t="shared" si="125"/>
        <v>8.1392474692607182E-4</v>
      </c>
      <c r="AH2690" s="10" t="str">
        <f>IFERROR(VLOOKUP(B2690,'Pre-Summary'!$AZ$6:$BE$65,3,FALSE),"")</f>
        <v/>
      </c>
      <c r="AI2690" s="10" t="str">
        <f>IFERROR(VLOOKUP(B2690,'Pre-Summary'!$AZ$6:$BE$65,5,FALSE),"")</f>
        <v/>
      </c>
      <c r="AJ2690" s="10" t="str">
        <f>IFERROR(VLOOKUP(B2690,'Pre-Summary'!$AZ$6:$BE$65,4,FALSE),"")</f>
        <v/>
      </c>
      <c r="AK2690" s="10" t="str">
        <f>IFERROR(VLOOKUP(B2690,'Pre-Summary'!$AZ$6:$BE$65,6,FALSE),"")</f>
        <v/>
      </c>
      <c r="AL2690" s="10" t="str">
        <f>IFERROR(VLOOKUP(B2690,'Pre-Summary'!$BG$6:$BL$44,3,FALSE),"")</f>
        <v/>
      </c>
      <c r="AM2690" s="10" t="str">
        <f>IFERROR(VLOOKUP(B2690,'Pre-Summary'!$BG$6:$BL$44,4,FALSE),"")</f>
        <v/>
      </c>
    </row>
    <row r="2691" spans="2:39" ht="15" customHeight="1" x14ac:dyDescent="0.3">
      <c r="B2691">
        <v>268.8</v>
      </c>
      <c r="C2691" t="str">
        <f>IFERROR(VLOOKUP(B2691,'Pre-Summary'!$DI$6:$DM$23,4,FALSE),"")</f>
        <v/>
      </c>
      <c r="D2691" s="10" t="str">
        <f>IFERROR(VLOOKUP(B2691,'Pre-Summary'!$AT$6:$AX$14,5,FALSE),D2690)</f>
        <v>Wolfe v3: went back to modified wolfe + EDTA and switched CuSO4 to CUCl2</v>
      </c>
      <c r="E2691" s="10" t="str">
        <f>IFERROR(VLOOKUP(B2691,'Pre-Summary'!$AT$6:$AX$15,4,FALSE),"")</f>
        <v/>
      </c>
      <c r="F2691">
        <f>IFERROR(VLOOKUP(B2691,'Pre-Summary'!$AL$6:$AQ$13,6,FALSE),F2690)</f>
        <v>5.9405263157894746E-2</v>
      </c>
      <c r="G2691" t="str">
        <f>IFERROR(VLOOKUP(B2691,'Pre-Summary'!$AE$6:$AJ$85,3,FALSE),"")</f>
        <v/>
      </c>
      <c r="H2691" t="str">
        <f>IFERROR(VLOOKUP(B2691,'Pre-Summary'!$AE$6:$AJ$85,4,FALSE),"")</f>
        <v/>
      </c>
      <c r="I2691" t="str">
        <f>IFERROR(VLOOKUP(B2691,'Pre-Summary'!$AE$6:$AJ$85,5,FALSE),"")</f>
        <v/>
      </c>
      <c r="J2691" s="45" t="str">
        <f>IFERROR(VLOOKUP(B2691,'Pre-Summary'!$AE$6:$AJ$85,6, FALSE),"")</f>
        <v/>
      </c>
      <c r="K2691" s="45" t="str">
        <f>IFERROR(VLOOKUP(B2691,'Pre-Summary'!$DE$6:$DG$61,3,FALSE),"")</f>
        <v/>
      </c>
      <c r="L2691" s="45" t="str">
        <f>IFERROR(VLOOKUP(B2691,'Pre-Summary'!$CU$6:$CW$36,3,FALSE),"")</f>
        <v/>
      </c>
      <c r="M2691" s="45" t="str">
        <f>IFERROR(VLOOKUP(B2691,'Pre-Summary'!$BW$6:$BY$58,2,FALSE),"")</f>
        <v/>
      </c>
      <c r="N2691" s="45" t="str">
        <f>IFERROR(VLOOKUP(B2691,'Pre-Summary'!$CD$6:$CF$64,2,FALSE),"")</f>
        <v/>
      </c>
      <c r="O2691" s="99">
        <f>IFERROR(VLOOKUP(B2691,'Pre-Summary'!$BO$6:$BQ$48,3, FALSE),O2690)</f>
        <v>1.83</v>
      </c>
      <c r="P2691" s="99">
        <f>IFERROR(VLOOKUP(B2691,'Pre-Summary'!$BS$6:$BU$35,3,FALSE),P2690)</f>
        <v>0.46200000000000002</v>
      </c>
      <c r="Q2691" s="54">
        <f t="shared" ref="Q2691:Q2754" si="126">O2691/P2691</f>
        <v>3.9610389610389611</v>
      </c>
      <c r="R2691" s="53">
        <f>IFERROR(VLOOKUP(B2691,'Pre-Summary'!$BG$6:$BM$44,7,FALSE),R2692)</f>
        <v>9.7903492963591104E-2</v>
      </c>
      <c r="S2691" s="53">
        <f>IFERROR(VLOOKUP(B2691,'Pre-Summary'!$BG$6:$BM$44,6,FALSE),S2692)</f>
        <v>0.1105986773408305</v>
      </c>
      <c r="T2691" s="45" t="str">
        <f>IFERROR(VLOOKUP(B2691,'Pre-Summary'!$Y$6:$AC$83, 3,FALSE),"")</f>
        <v/>
      </c>
      <c r="U2691" s="45" t="str">
        <f>IFERROR(VLOOKUP(B2691,'Pre-Summary'!$Y$6:$AC$83, 4,FALSE),"")</f>
        <v/>
      </c>
      <c r="V2691" t="str">
        <f>IFERROR(VLOOKUP(B2691,'Pre-Summary'!$Y$6:$AC$83, 5,FALSE),"")</f>
        <v/>
      </c>
      <c r="W2691" s="45" t="str">
        <f>IFERROR(VLOOKUP(B2691,'Pre-Summary'!$Y$6:$AD$83,6,FALSE),"")</f>
        <v/>
      </c>
      <c r="X2691" t="str">
        <f>IFERROR(VLOOKUP('Pre-Summary'!$DB$6:$DD$63,3,FALSE),"")</f>
        <v/>
      </c>
      <c r="Y2691" t="str">
        <f>IFERROR(VLOOKUP(B2691,'Pre-Summary'!$CR$6:$CT$36,3,FALSE),"")</f>
        <v/>
      </c>
      <c r="Z2691" s="45" t="str">
        <f>IFERROR(VLOOKUP(B2691,'Pre-Summary'!$BZ$6:$CB$63,2,FALSE),"")</f>
        <v/>
      </c>
      <c r="AA2691" s="45" t="str">
        <f>IFERROR(VLOOKUP(B2691,'Pre-Summary'!$CG$6:$CI$70,2,FALSE),"")</f>
        <v/>
      </c>
      <c r="AB2691" s="99">
        <f>IFERROR(VLOOKUP(B2691,'Pre-Summary'!$A$6:$P$178,9,FALSE),AB2692)</f>
        <v>0.41246186499632015</v>
      </c>
      <c r="AC2691" s="10">
        <f>IFERROR(VLOOKUP(Summary!B2691,'Pre-Summary'!$A$6:$P$184,5, FALSE)/100,AC2692)</f>
        <v>0.9658199999999999</v>
      </c>
      <c r="AD2691" s="10">
        <f>IFERROR(VLOOKUP(Summary!B2691,'Pre-Summary'!$A$6:$P$184,3, FALSE)/100,AD2692)</f>
        <v>3.2206333333333337E-2</v>
      </c>
      <c r="AE2691" s="10">
        <f>IFERROR(VLOOKUP(Summary!B2691,'Pre-Summary'!$A$6:$P$184,7, FALSE)/100,AE2692)</f>
        <v>1.9733333333333334E-3</v>
      </c>
      <c r="AF2691" s="99">
        <f t="shared" ref="AF2691:AF2754" si="127">AD2691*AB2691</f>
        <v>1.3283884311359821E-2</v>
      </c>
      <c r="AG2691" s="99">
        <f t="shared" ref="AG2691:AG2754" si="128">AB2691*AE2691</f>
        <v>8.1392474692607182E-4</v>
      </c>
      <c r="AH2691" s="10" t="str">
        <f>IFERROR(VLOOKUP(B2691,'Pre-Summary'!$AZ$6:$BE$65,3,FALSE),"")</f>
        <v/>
      </c>
      <c r="AI2691" s="10" t="str">
        <f>IFERROR(VLOOKUP(B2691,'Pre-Summary'!$AZ$6:$BE$65,5,FALSE),"")</f>
        <v/>
      </c>
      <c r="AJ2691" s="10" t="str">
        <f>IFERROR(VLOOKUP(B2691,'Pre-Summary'!$AZ$6:$BE$65,4,FALSE),"")</f>
        <v/>
      </c>
      <c r="AK2691" s="10" t="str">
        <f>IFERROR(VLOOKUP(B2691,'Pre-Summary'!$AZ$6:$BE$65,6,FALSE),"")</f>
        <v/>
      </c>
      <c r="AL2691" s="10" t="str">
        <f>IFERROR(VLOOKUP(B2691,'Pre-Summary'!$BG$6:$BL$44,3,FALSE),"")</f>
        <v/>
      </c>
      <c r="AM2691" s="10" t="str">
        <f>IFERROR(VLOOKUP(B2691,'Pre-Summary'!$BG$6:$BL$44,4,FALSE),"")</f>
        <v/>
      </c>
    </row>
    <row r="2692" spans="2:39" ht="15" customHeight="1" x14ac:dyDescent="0.3">
      <c r="B2692">
        <v>268.89999999999998</v>
      </c>
      <c r="C2692" t="str">
        <f>IFERROR(VLOOKUP(B2692,'Pre-Summary'!$DI$6:$DM$23,4,FALSE),"")</f>
        <v/>
      </c>
      <c r="D2692" s="10" t="str">
        <f>IFERROR(VLOOKUP(B2692,'Pre-Summary'!$AT$6:$AX$14,5,FALSE),D2691)</f>
        <v>Wolfe v3: went back to modified wolfe + EDTA and switched CuSO4 to CUCl2</v>
      </c>
      <c r="E2692" s="10" t="str">
        <f>IFERROR(VLOOKUP(B2692,'Pre-Summary'!$AT$6:$AX$15,4,FALSE),"")</f>
        <v/>
      </c>
      <c r="F2692">
        <f>IFERROR(VLOOKUP(B2692,'Pre-Summary'!$AL$6:$AQ$13,6,FALSE),F2691)</f>
        <v>5.9405263157894746E-2</v>
      </c>
      <c r="G2692" t="str">
        <f>IFERROR(VLOOKUP(B2692,'Pre-Summary'!$AE$6:$AJ$85,3,FALSE),"")</f>
        <v/>
      </c>
      <c r="H2692" t="str">
        <f>IFERROR(VLOOKUP(B2692,'Pre-Summary'!$AE$6:$AJ$85,4,FALSE),"")</f>
        <v/>
      </c>
      <c r="I2692" t="str">
        <f>IFERROR(VLOOKUP(B2692,'Pre-Summary'!$AE$6:$AJ$85,5,FALSE),"")</f>
        <v/>
      </c>
      <c r="J2692" s="45" t="str">
        <f>IFERROR(VLOOKUP(B2692,'Pre-Summary'!$AE$6:$AJ$85,6, FALSE),"")</f>
        <v/>
      </c>
      <c r="K2692" s="45" t="str">
        <f>IFERROR(VLOOKUP(B2692,'Pre-Summary'!$DE$6:$DG$61,3,FALSE),"")</f>
        <v/>
      </c>
      <c r="L2692" s="45" t="str">
        <f>IFERROR(VLOOKUP(B2692,'Pre-Summary'!$CU$6:$CW$36,3,FALSE),"")</f>
        <v/>
      </c>
      <c r="M2692" s="45" t="str">
        <f>IFERROR(VLOOKUP(B2692,'Pre-Summary'!$BW$6:$BY$58,2,FALSE),"")</f>
        <v/>
      </c>
      <c r="N2692" s="45" t="str">
        <f>IFERROR(VLOOKUP(B2692,'Pre-Summary'!$CD$6:$CF$64,2,FALSE),"")</f>
        <v/>
      </c>
      <c r="O2692" s="99">
        <f>IFERROR(VLOOKUP(B2692,'Pre-Summary'!$BO$6:$BQ$48,3, FALSE),O2691)</f>
        <v>1.83</v>
      </c>
      <c r="P2692" s="99">
        <f>IFERROR(VLOOKUP(B2692,'Pre-Summary'!$BS$6:$BU$35,3,FALSE),P2691)</f>
        <v>0.46200000000000002</v>
      </c>
      <c r="Q2692" s="54">
        <f t="shared" si="126"/>
        <v>3.9610389610389611</v>
      </c>
      <c r="R2692" s="53">
        <f>IFERROR(VLOOKUP(B2692,'Pre-Summary'!$BG$6:$BM$44,7,FALSE),R2693)</f>
        <v>9.7903492963591104E-2</v>
      </c>
      <c r="S2692" s="53">
        <f>IFERROR(VLOOKUP(B2692,'Pre-Summary'!$BG$6:$BM$44,6,FALSE),S2693)</f>
        <v>0.1105986773408305</v>
      </c>
      <c r="T2692" s="45" t="str">
        <f>IFERROR(VLOOKUP(B2692,'Pre-Summary'!$Y$6:$AC$83, 3,FALSE),"")</f>
        <v/>
      </c>
      <c r="U2692" s="45" t="str">
        <f>IFERROR(VLOOKUP(B2692,'Pre-Summary'!$Y$6:$AC$83, 4,FALSE),"")</f>
        <v/>
      </c>
      <c r="V2692" t="str">
        <f>IFERROR(VLOOKUP(B2692,'Pre-Summary'!$Y$6:$AC$83, 5,FALSE),"")</f>
        <v/>
      </c>
      <c r="W2692" s="45" t="str">
        <f>IFERROR(VLOOKUP(B2692,'Pre-Summary'!$Y$6:$AD$83,6,FALSE),"")</f>
        <v/>
      </c>
      <c r="X2692" t="str">
        <f>IFERROR(VLOOKUP('Pre-Summary'!$DB$6:$DD$63,3,FALSE),"")</f>
        <v/>
      </c>
      <c r="Y2692" t="str">
        <f>IFERROR(VLOOKUP(B2692,'Pre-Summary'!$CR$6:$CT$36,3,FALSE),"")</f>
        <v/>
      </c>
      <c r="Z2692" s="45" t="str">
        <f>IFERROR(VLOOKUP(B2692,'Pre-Summary'!$BZ$6:$CB$63,2,FALSE),"")</f>
        <v/>
      </c>
      <c r="AA2692" s="45" t="str">
        <f>IFERROR(VLOOKUP(B2692,'Pre-Summary'!$CG$6:$CI$70,2,FALSE),"")</f>
        <v/>
      </c>
      <c r="AB2692" s="99">
        <f>IFERROR(VLOOKUP(B2692,'Pre-Summary'!$A$6:$P$178,9,FALSE),AB2693)</f>
        <v>0.41246186499632015</v>
      </c>
      <c r="AC2692" s="10">
        <f>IFERROR(VLOOKUP(Summary!B2692,'Pre-Summary'!$A$6:$P$184,5, FALSE)/100,AC2693)</f>
        <v>0.9658199999999999</v>
      </c>
      <c r="AD2692" s="10">
        <f>IFERROR(VLOOKUP(Summary!B2692,'Pre-Summary'!$A$6:$P$184,3, FALSE)/100,AD2693)</f>
        <v>3.2206333333333337E-2</v>
      </c>
      <c r="AE2692" s="10">
        <f>IFERROR(VLOOKUP(Summary!B2692,'Pre-Summary'!$A$6:$P$184,7, FALSE)/100,AE2693)</f>
        <v>1.9733333333333334E-3</v>
      </c>
      <c r="AF2692" s="99">
        <f t="shared" si="127"/>
        <v>1.3283884311359821E-2</v>
      </c>
      <c r="AG2692" s="99">
        <f t="shared" si="128"/>
        <v>8.1392474692607182E-4</v>
      </c>
      <c r="AH2692" s="10" t="str">
        <f>IFERROR(VLOOKUP(B2692,'Pre-Summary'!$AZ$6:$BE$65,3,FALSE),"")</f>
        <v/>
      </c>
      <c r="AI2692" s="10" t="str">
        <f>IFERROR(VLOOKUP(B2692,'Pre-Summary'!$AZ$6:$BE$65,5,FALSE),"")</f>
        <v/>
      </c>
      <c r="AJ2692" s="10" t="str">
        <f>IFERROR(VLOOKUP(B2692,'Pre-Summary'!$AZ$6:$BE$65,4,FALSE),"")</f>
        <v/>
      </c>
      <c r="AK2692" s="10" t="str">
        <f>IFERROR(VLOOKUP(B2692,'Pre-Summary'!$AZ$6:$BE$65,6,FALSE),"")</f>
        <v/>
      </c>
      <c r="AL2692" s="10" t="str">
        <f>IFERROR(VLOOKUP(B2692,'Pre-Summary'!$BG$6:$BL$44,3,FALSE),"")</f>
        <v/>
      </c>
      <c r="AM2692" s="10" t="str">
        <f>IFERROR(VLOOKUP(B2692,'Pre-Summary'!$BG$6:$BL$44,4,FALSE),"")</f>
        <v/>
      </c>
    </row>
    <row r="2693" spans="2:39" ht="15" customHeight="1" x14ac:dyDescent="0.3">
      <c r="B2693">
        <v>269</v>
      </c>
      <c r="C2693" t="str">
        <f>IFERROR(VLOOKUP(B2693,'Pre-Summary'!$DI$6:$DM$23,4,FALSE),"")</f>
        <v/>
      </c>
      <c r="D2693" s="10" t="str">
        <f>IFERROR(VLOOKUP(B2693,'Pre-Summary'!$AT$6:$AX$14,5,FALSE),D2692)</f>
        <v>Wolfe v3: went back to modified wolfe + EDTA and switched CuSO4 to CUCl2</v>
      </c>
      <c r="E2693" s="10" t="str">
        <f>IFERROR(VLOOKUP(B2693,'Pre-Summary'!$AT$6:$AX$15,4,FALSE),"")</f>
        <v/>
      </c>
      <c r="F2693">
        <f>IFERROR(VLOOKUP(B2693,'Pre-Summary'!$AL$6:$AQ$13,6,FALSE),F2692)</f>
        <v>5.9405263157894746E-2</v>
      </c>
      <c r="G2693" t="str">
        <f>IFERROR(VLOOKUP(B2693,'Pre-Summary'!$AE$6:$AJ$85,3,FALSE),"")</f>
        <v/>
      </c>
      <c r="H2693" t="str">
        <f>IFERROR(VLOOKUP(B2693,'Pre-Summary'!$AE$6:$AJ$85,4,FALSE),"")</f>
        <v/>
      </c>
      <c r="I2693" t="str">
        <f>IFERROR(VLOOKUP(B2693,'Pre-Summary'!$AE$6:$AJ$85,5,FALSE),"")</f>
        <v/>
      </c>
      <c r="J2693" s="45" t="str">
        <f>IFERROR(VLOOKUP(B2693,'Pre-Summary'!$AE$6:$AJ$85,6, FALSE),"")</f>
        <v/>
      </c>
      <c r="K2693" s="45" t="str">
        <f>IFERROR(VLOOKUP(B2693,'Pre-Summary'!$DE$6:$DG$61,3,FALSE),"")</f>
        <v/>
      </c>
      <c r="L2693" s="45" t="str">
        <f>IFERROR(VLOOKUP(B2693,'Pre-Summary'!$CU$6:$CW$36,3,FALSE),"")</f>
        <v/>
      </c>
      <c r="M2693" s="45" t="str">
        <f>IFERROR(VLOOKUP(B2693,'Pre-Summary'!$BW$6:$BY$58,2,FALSE),"")</f>
        <v/>
      </c>
      <c r="N2693" s="45" t="str">
        <f>IFERROR(VLOOKUP(B2693,'Pre-Summary'!$CD$6:$CF$64,2,FALSE),"")</f>
        <v/>
      </c>
      <c r="O2693" s="99">
        <f>IFERROR(VLOOKUP(B2693,'Pre-Summary'!$BO$6:$BQ$48,3, FALSE),O2692)</f>
        <v>1.83</v>
      </c>
      <c r="P2693" s="99">
        <f>IFERROR(VLOOKUP(B2693,'Pre-Summary'!$BS$6:$BU$35,3,FALSE),P2692)</f>
        <v>0.46200000000000002</v>
      </c>
      <c r="Q2693" s="54">
        <f t="shared" si="126"/>
        <v>3.9610389610389611</v>
      </c>
      <c r="R2693" s="53">
        <f>IFERROR(VLOOKUP(B2693,'Pre-Summary'!$BG$6:$BM$44,7,FALSE),R2694)</f>
        <v>9.7903492963591104E-2</v>
      </c>
      <c r="S2693" s="53">
        <f>IFERROR(VLOOKUP(B2693,'Pre-Summary'!$BG$6:$BM$44,6,FALSE),S2694)</f>
        <v>0.1105986773408305</v>
      </c>
      <c r="T2693" s="45" t="str">
        <f>IFERROR(VLOOKUP(B2693,'Pre-Summary'!$Y$6:$AC$83, 3,FALSE),"")</f>
        <v/>
      </c>
      <c r="U2693" s="45" t="str">
        <f>IFERROR(VLOOKUP(B2693,'Pre-Summary'!$Y$6:$AC$83, 4,FALSE),"")</f>
        <v/>
      </c>
      <c r="V2693" t="str">
        <f>IFERROR(VLOOKUP(B2693,'Pre-Summary'!$Y$6:$AC$83, 5,FALSE),"")</f>
        <v/>
      </c>
      <c r="W2693" s="45" t="str">
        <f>IFERROR(VLOOKUP(B2693,'Pre-Summary'!$Y$6:$AD$83,6,FALSE),"")</f>
        <v/>
      </c>
      <c r="X2693" t="str">
        <f>IFERROR(VLOOKUP('Pre-Summary'!$DB$6:$DD$63,3,FALSE),"")</f>
        <v/>
      </c>
      <c r="Y2693" t="str">
        <f>IFERROR(VLOOKUP(B2693,'Pre-Summary'!$CR$6:$CT$36,3,FALSE),"")</f>
        <v/>
      </c>
      <c r="Z2693" s="45" t="str">
        <f>IFERROR(VLOOKUP(B2693,'Pre-Summary'!$BZ$6:$CB$63,2,FALSE),"")</f>
        <v/>
      </c>
      <c r="AA2693" s="45" t="str">
        <f>IFERROR(VLOOKUP(B2693,'Pre-Summary'!$CG$6:$CI$70,2,FALSE),"")</f>
        <v/>
      </c>
      <c r="AB2693" s="99">
        <f>IFERROR(VLOOKUP(B2693,'Pre-Summary'!$A$6:$P$178,9,FALSE),AB2694)</f>
        <v>0.41246186499632015</v>
      </c>
      <c r="AC2693" s="10">
        <f>IFERROR(VLOOKUP(Summary!B2693,'Pre-Summary'!$A$6:$P$184,5, FALSE)/100,AC2694)</f>
        <v>0.9658199999999999</v>
      </c>
      <c r="AD2693" s="10">
        <f>IFERROR(VLOOKUP(Summary!B2693,'Pre-Summary'!$A$6:$P$184,3, FALSE)/100,AD2694)</f>
        <v>3.2206333333333337E-2</v>
      </c>
      <c r="AE2693" s="10">
        <f>IFERROR(VLOOKUP(Summary!B2693,'Pre-Summary'!$A$6:$P$184,7, FALSE)/100,AE2694)</f>
        <v>1.9733333333333334E-3</v>
      </c>
      <c r="AF2693" s="99">
        <f t="shared" si="127"/>
        <v>1.3283884311359821E-2</v>
      </c>
      <c r="AG2693" s="99">
        <f t="shared" si="128"/>
        <v>8.1392474692607182E-4</v>
      </c>
      <c r="AH2693" s="10" t="str">
        <f>IFERROR(VLOOKUP(B2693,'Pre-Summary'!$AZ$6:$BE$65,3,FALSE),"")</f>
        <v/>
      </c>
      <c r="AI2693" s="10" t="str">
        <f>IFERROR(VLOOKUP(B2693,'Pre-Summary'!$AZ$6:$BE$65,5,FALSE),"")</f>
        <v/>
      </c>
      <c r="AJ2693" s="10" t="str">
        <f>IFERROR(VLOOKUP(B2693,'Pre-Summary'!$AZ$6:$BE$65,4,FALSE),"")</f>
        <v/>
      </c>
      <c r="AK2693" s="10" t="str">
        <f>IFERROR(VLOOKUP(B2693,'Pre-Summary'!$AZ$6:$BE$65,6,FALSE),"")</f>
        <v/>
      </c>
      <c r="AL2693" s="10" t="str">
        <f>IFERROR(VLOOKUP(B2693,'Pre-Summary'!$BG$6:$BL$44,3,FALSE),"")</f>
        <v/>
      </c>
      <c r="AM2693" s="10" t="str">
        <f>IFERROR(VLOOKUP(B2693,'Pre-Summary'!$BG$6:$BL$44,4,FALSE),"")</f>
        <v/>
      </c>
    </row>
    <row r="2694" spans="2:39" ht="15" customHeight="1" x14ac:dyDescent="0.3">
      <c r="B2694">
        <v>269.10000000000002</v>
      </c>
      <c r="C2694" t="str">
        <f>IFERROR(VLOOKUP(B2694,'Pre-Summary'!$DI$6:$DM$23,4,FALSE),"")</f>
        <v/>
      </c>
      <c r="D2694" s="10" t="str">
        <f>IFERROR(VLOOKUP(B2694,'Pre-Summary'!$AT$6:$AX$14,5,FALSE),D2693)</f>
        <v>Wolfe v3: went back to modified wolfe + EDTA and switched CuSO4 to CUCl2</v>
      </c>
      <c r="E2694" s="10" t="str">
        <f>IFERROR(VLOOKUP(B2694,'Pre-Summary'!$AT$6:$AX$15,4,FALSE),"")</f>
        <v/>
      </c>
      <c r="F2694">
        <f>IFERROR(VLOOKUP(B2694,'Pre-Summary'!$AL$6:$AQ$13,6,FALSE),F2693)</f>
        <v>5.9405263157894746E-2</v>
      </c>
      <c r="G2694" t="str">
        <f>IFERROR(VLOOKUP(B2694,'Pre-Summary'!$AE$6:$AJ$85,3,FALSE),"")</f>
        <v/>
      </c>
      <c r="H2694" t="str">
        <f>IFERROR(VLOOKUP(B2694,'Pre-Summary'!$AE$6:$AJ$85,4,FALSE),"")</f>
        <v/>
      </c>
      <c r="I2694" t="str">
        <f>IFERROR(VLOOKUP(B2694,'Pre-Summary'!$AE$6:$AJ$85,5,FALSE),"")</f>
        <v/>
      </c>
      <c r="J2694" s="45" t="str">
        <f>IFERROR(VLOOKUP(B2694,'Pre-Summary'!$AE$6:$AJ$85,6, FALSE),"")</f>
        <v/>
      </c>
      <c r="K2694" s="45" t="str">
        <f>IFERROR(VLOOKUP(B2694,'Pre-Summary'!$DE$6:$DG$61,3,FALSE),"")</f>
        <v/>
      </c>
      <c r="L2694" s="45" t="str">
        <f>IFERROR(VLOOKUP(B2694,'Pre-Summary'!$CU$6:$CW$36,3,FALSE),"")</f>
        <v/>
      </c>
      <c r="M2694" s="45" t="str">
        <f>IFERROR(VLOOKUP(B2694,'Pre-Summary'!$BW$6:$BY$58,2,FALSE),"")</f>
        <v/>
      </c>
      <c r="N2694" s="45" t="str">
        <f>IFERROR(VLOOKUP(B2694,'Pre-Summary'!$CD$6:$CF$64,2,FALSE),"")</f>
        <v/>
      </c>
      <c r="O2694" s="99">
        <f>IFERROR(VLOOKUP(B2694,'Pre-Summary'!$BO$6:$BQ$48,3, FALSE),O2693)</f>
        <v>1.83</v>
      </c>
      <c r="P2694" s="99">
        <f>IFERROR(VLOOKUP(B2694,'Pre-Summary'!$BS$6:$BU$35,3,FALSE),P2693)</f>
        <v>0.46200000000000002</v>
      </c>
      <c r="Q2694" s="54">
        <f t="shared" si="126"/>
        <v>3.9610389610389611</v>
      </c>
      <c r="R2694" s="53">
        <f>IFERROR(VLOOKUP(B2694,'Pre-Summary'!$BG$6:$BM$44,7,FALSE),R2695)</f>
        <v>9.7903492963591104E-2</v>
      </c>
      <c r="S2694" s="53">
        <f>IFERROR(VLOOKUP(B2694,'Pre-Summary'!$BG$6:$BM$44,6,FALSE),S2695)</f>
        <v>0.1105986773408305</v>
      </c>
      <c r="T2694" s="45" t="str">
        <f>IFERROR(VLOOKUP(B2694,'Pre-Summary'!$Y$6:$AC$83, 3,FALSE),"")</f>
        <v/>
      </c>
      <c r="U2694" s="45" t="str">
        <f>IFERROR(VLOOKUP(B2694,'Pre-Summary'!$Y$6:$AC$83, 4,FALSE),"")</f>
        <v/>
      </c>
      <c r="V2694" t="str">
        <f>IFERROR(VLOOKUP(B2694,'Pre-Summary'!$Y$6:$AC$83, 5,FALSE),"")</f>
        <v/>
      </c>
      <c r="W2694" s="45" t="str">
        <f>IFERROR(VLOOKUP(B2694,'Pre-Summary'!$Y$6:$AD$83,6,FALSE),"")</f>
        <v/>
      </c>
      <c r="X2694" t="str">
        <f>IFERROR(VLOOKUP('Pre-Summary'!$DB$6:$DD$63,3,FALSE),"")</f>
        <v/>
      </c>
      <c r="Y2694" t="str">
        <f>IFERROR(VLOOKUP(B2694,'Pre-Summary'!$CR$6:$CT$36,3,FALSE),"")</f>
        <v/>
      </c>
      <c r="Z2694" s="45" t="str">
        <f>IFERROR(VLOOKUP(B2694,'Pre-Summary'!$BZ$6:$CB$63,2,FALSE),"")</f>
        <v/>
      </c>
      <c r="AA2694" s="45" t="str">
        <f>IFERROR(VLOOKUP(B2694,'Pre-Summary'!$CG$6:$CI$70,2,FALSE),"")</f>
        <v/>
      </c>
      <c r="AB2694" s="99">
        <f>IFERROR(VLOOKUP(B2694,'Pre-Summary'!$A$6:$P$178,9,FALSE),AB2695)</f>
        <v>0.42015906039999273</v>
      </c>
      <c r="AC2694" s="10">
        <f>IFERROR(VLOOKUP(Summary!B2694,'Pre-Summary'!$A$6:$P$184,5, FALSE)/100,AC2695)</f>
        <v>0.98781466666666673</v>
      </c>
      <c r="AD2694" s="10">
        <f>IFERROR(VLOOKUP(Summary!B2694,'Pre-Summary'!$A$6:$P$184,3, FALSE)/100,AD2695)</f>
        <v>7.801333333333332E-3</v>
      </c>
      <c r="AE2694" s="10">
        <f>IFERROR(VLOOKUP(Summary!B2694,'Pre-Summary'!$A$6:$P$184,7, FALSE)/100,AE2695)</f>
        <v>4.3839999999999999E-3</v>
      </c>
      <c r="AF2694" s="99">
        <f t="shared" si="127"/>
        <v>3.2778008832004763E-3</v>
      </c>
      <c r="AG2694" s="99">
        <f t="shared" si="128"/>
        <v>1.841977320793568E-3</v>
      </c>
      <c r="AH2694" s="10" t="str">
        <f>IFERROR(VLOOKUP(B2694,'Pre-Summary'!$AZ$6:$BE$65,3,FALSE),"")</f>
        <v/>
      </c>
      <c r="AI2694" s="10" t="str">
        <f>IFERROR(VLOOKUP(B2694,'Pre-Summary'!$AZ$6:$BE$65,5,FALSE),"")</f>
        <v/>
      </c>
      <c r="AJ2694" s="10" t="str">
        <f>IFERROR(VLOOKUP(B2694,'Pre-Summary'!$AZ$6:$BE$65,4,FALSE),"")</f>
        <v/>
      </c>
      <c r="AK2694" s="10" t="str">
        <f>IFERROR(VLOOKUP(B2694,'Pre-Summary'!$AZ$6:$BE$65,6,FALSE),"")</f>
        <v/>
      </c>
      <c r="AL2694" s="10" t="str">
        <f>IFERROR(VLOOKUP(B2694,'Pre-Summary'!$BG$6:$BL$44,3,FALSE),"")</f>
        <v/>
      </c>
      <c r="AM2694" s="10" t="str">
        <f>IFERROR(VLOOKUP(B2694,'Pre-Summary'!$BG$6:$BL$44,4,FALSE),"")</f>
        <v/>
      </c>
    </row>
    <row r="2695" spans="2:39" ht="15" customHeight="1" x14ac:dyDescent="0.3">
      <c r="B2695">
        <v>269.2</v>
      </c>
      <c r="C2695" t="str">
        <f>IFERROR(VLOOKUP(B2695,'Pre-Summary'!$DI$6:$DM$23,4,FALSE),"")</f>
        <v/>
      </c>
      <c r="D2695" s="10" t="str">
        <f>IFERROR(VLOOKUP(B2695,'Pre-Summary'!$AT$6:$AX$14,5,FALSE),D2694)</f>
        <v>Wolfe v3: went back to modified wolfe + EDTA and switched CuSO4 to CUCl2</v>
      </c>
      <c r="E2695" s="10" t="str">
        <f>IFERROR(VLOOKUP(B2695,'Pre-Summary'!$AT$6:$AX$15,4,FALSE),"")</f>
        <v/>
      </c>
      <c r="F2695">
        <f>IFERROR(VLOOKUP(B2695,'Pre-Summary'!$AL$6:$AQ$13,6,FALSE),F2694)</f>
        <v>5.9405263157894746E-2</v>
      </c>
      <c r="G2695" t="str">
        <f>IFERROR(VLOOKUP(B2695,'Pre-Summary'!$AE$6:$AJ$85,3,FALSE),"")</f>
        <v/>
      </c>
      <c r="H2695" t="str">
        <f>IFERROR(VLOOKUP(B2695,'Pre-Summary'!$AE$6:$AJ$85,4,FALSE),"")</f>
        <v/>
      </c>
      <c r="I2695" t="str">
        <f>IFERROR(VLOOKUP(B2695,'Pre-Summary'!$AE$6:$AJ$85,5,FALSE),"")</f>
        <v/>
      </c>
      <c r="J2695" s="45" t="str">
        <f>IFERROR(VLOOKUP(B2695,'Pre-Summary'!$AE$6:$AJ$85,6, FALSE),"")</f>
        <v/>
      </c>
      <c r="K2695" s="45" t="str">
        <f>IFERROR(VLOOKUP(B2695,'Pre-Summary'!$DE$6:$DG$61,3,FALSE),"")</f>
        <v/>
      </c>
      <c r="L2695" s="45" t="str">
        <f>IFERROR(VLOOKUP(B2695,'Pre-Summary'!$CU$6:$CW$36,3,FALSE),"")</f>
        <v/>
      </c>
      <c r="M2695" s="45" t="str">
        <f>IFERROR(VLOOKUP(B2695,'Pre-Summary'!$BW$6:$BY$58,2,FALSE),"")</f>
        <v/>
      </c>
      <c r="N2695" s="45" t="str">
        <f>IFERROR(VLOOKUP(B2695,'Pre-Summary'!$CD$6:$CF$64,2,FALSE),"")</f>
        <v/>
      </c>
      <c r="O2695" s="99">
        <f>IFERROR(VLOOKUP(B2695,'Pre-Summary'!$BO$6:$BQ$48,3, FALSE),O2694)</f>
        <v>1.83</v>
      </c>
      <c r="P2695" s="99">
        <f>IFERROR(VLOOKUP(B2695,'Pre-Summary'!$BS$6:$BU$35,3,FALSE),P2694)</f>
        <v>0.46200000000000002</v>
      </c>
      <c r="Q2695" s="54">
        <f t="shared" si="126"/>
        <v>3.9610389610389611</v>
      </c>
      <c r="R2695" s="53">
        <f>IFERROR(VLOOKUP(B2695,'Pre-Summary'!$BG$6:$BM$44,7,FALSE),R2696)</f>
        <v>9.7903492963591104E-2</v>
      </c>
      <c r="S2695" s="53">
        <f>IFERROR(VLOOKUP(B2695,'Pre-Summary'!$BG$6:$BM$44,6,FALSE),S2696)</f>
        <v>0.1105986773408305</v>
      </c>
      <c r="T2695" s="45" t="str">
        <f>IFERROR(VLOOKUP(B2695,'Pre-Summary'!$Y$6:$AC$83, 3,FALSE),"")</f>
        <v/>
      </c>
      <c r="U2695" s="45" t="str">
        <f>IFERROR(VLOOKUP(B2695,'Pre-Summary'!$Y$6:$AC$83, 4,FALSE),"")</f>
        <v/>
      </c>
      <c r="V2695" t="str">
        <f>IFERROR(VLOOKUP(B2695,'Pre-Summary'!$Y$6:$AC$83, 5,FALSE),"")</f>
        <v/>
      </c>
      <c r="W2695" s="45" t="str">
        <f>IFERROR(VLOOKUP(B2695,'Pre-Summary'!$Y$6:$AD$83,6,FALSE),"")</f>
        <v/>
      </c>
      <c r="X2695" t="str">
        <f>IFERROR(VLOOKUP('Pre-Summary'!$DB$6:$DD$63,3,FALSE),"")</f>
        <v/>
      </c>
      <c r="Y2695" t="str">
        <f>IFERROR(VLOOKUP(B2695,'Pre-Summary'!$CR$6:$CT$36,3,FALSE),"")</f>
        <v/>
      </c>
      <c r="Z2695" s="45" t="str">
        <f>IFERROR(VLOOKUP(B2695,'Pre-Summary'!$BZ$6:$CB$63,2,FALSE),"")</f>
        <v/>
      </c>
      <c r="AA2695" s="45" t="str">
        <f>IFERROR(VLOOKUP(B2695,'Pre-Summary'!$CG$6:$CI$70,2,FALSE),"")</f>
        <v/>
      </c>
      <c r="AB2695" s="99">
        <f>IFERROR(VLOOKUP(B2695,'Pre-Summary'!$A$6:$P$178,9,FALSE),AB2696)</f>
        <v>0.42015906039999273</v>
      </c>
      <c r="AC2695" s="10">
        <f>IFERROR(VLOOKUP(Summary!B2695,'Pre-Summary'!$A$6:$P$184,5, FALSE)/100,AC2696)</f>
        <v>0.98781466666666673</v>
      </c>
      <c r="AD2695" s="10">
        <f>IFERROR(VLOOKUP(Summary!B2695,'Pre-Summary'!$A$6:$P$184,3, FALSE)/100,AD2696)</f>
        <v>7.801333333333332E-3</v>
      </c>
      <c r="AE2695" s="10">
        <f>IFERROR(VLOOKUP(Summary!B2695,'Pre-Summary'!$A$6:$P$184,7, FALSE)/100,AE2696)</f>
        <v>4.3839999999999999E-3</v>
      </c>
      <c r="AF2695" s="99">
        <f t="shared" si="127"/>
        <v>3.2778008832004763E-3</v>
      </c>
      <c r="AG2695" s="99">
        <f t="shared" si="128"/>
        <v>1.841977320793568E-3</v>
      </c>
      <c r="AH2695" s="10" t="str">
        <f>IFERROR(VLOOKUP(B2695,'Pre-Summary'!$AZ$6:$BE$65,3,FALSE),"")</f>
        <v/>
      </c>
      <c r="AI2695" s="10" t="str">
        <f>IFERROR(VLOOKUP(B2695,'Pre-Summary'!$AZ$6:$BE$65,5,FALSE),"")</f>
        <v/>
      </c>
      <c r="AJ2695" s="10" t="str">
        <f>IFERROR(VLOOKUP(B2695,'Pre-Summary'!$AZ$6:$BE$65,4,FALSE),"")</f>
        <v/>
      </c>
      <c r="AK2695" s="10" t="str">
        <f>IFERROR(VLOOKUP(B2695,'Pre-Summary'!$AZ$6:$BE$65,6,FALSE),"")</f>
        <v/>
      </c>
      <c r="AL2695" s="10" t="str">
        <f>IFERROR(VLOOKUP(B2695,'Pre-Summary'!$BG$6:$BL$44,3,FALSE),"")</f>
        <v/>
      </c>
      <c r="AM2695" s="10" t="str">
        <f>IFERROR(VLOOKUP(B2695,'Pre-Summary'!$BG$6:$BL$44,4,FALSE),"")</f>
        <v/>
      </c>
    </row>
    <row r="2696" spans="2:39" ht="15" customHeight="1" x14ac:dyDescent="0.3">
      <c r="B2696">
        <v>269.3</v>
      </c>
      <c r="C2696" t="str">
        <f>IFERROR(VLOOKUP(B2696,'Pre-Summary'!$DI$6:$DM$23,4,FALSE),"")</f>
        <v/>
      </c>
      <c r="D2696" s="10" t="str">
        <f>IFERROR(VLOOKUP(B2696,'Pre-Summary'!$AT$6:$AX$14,5,FALSE),D2695)</f>
        <v>Wolfe v3: went back to modified wolfe + EDTA and switched CuSO4 to CUCl2</v>
      </c>
      <c r="E2696" s="10" t="str">
        <f>IFERROR(VLOOKUP(B2696,'Pre-Summary'!$AT$6:$AX$15,4,FALSE),"")</f>
        <v/>
      </c>
      <c r="F2696">
        <f>IFERROR(VLOOKUP(B2696,'Pre-Summary'!$AL$6:$AQ$13,6,FALSE),F2695)</f>
        <v>5.9405263157894746E-2</v>
      </c>
      <c r="G2696" t="str">
        <f>IFERROR(VLOOKUP(B2696,'Pre-Summary'!$AE$6:$AJ$85,3,FALSE),"")</f>
        <v/>
      </c>
      <c r="H2696" t="str">
        <f>IFERROR(VLOOKUP(B2696,'Pre-Summary'!$AE$6:$AJ$85,4,FALSE),"")</f>
        <v/>
      </c>
      <c r="I2696" t="str">
        <f>IFERROR(VLOOKUP(B2696,'Pre-Summary'!$AE$6:$AJ$85,5,FALSE),"")</f>
        <v/>
      </c>
      <c r="J2696" s="45" t="str">
        <f>IFERROR(VLOOKUP(B2696,'Pre-Summary'!$AE$6:$AJ$85,6, FALSE),"")</f>
        <v/>
      </c>
      <c r="K2696" s="45" t="str">
        <f>IFERROR(VLOOKUP(B2696,'Pre-Summary'!$DE$6:$DG$61,3,FALSE),"")</f>
        <v/>
      </c>
      <c r="L2696" s="45" t="str">
        <f>IFERROR(VLOOKUP(B2696,'Pre-Summary'!$CU$6:$CW$36,3,FALSE),"")</f>
        <v/>
      </c>
      <c r="M2696" s="45" t="str">
        <f>IFERROR(VLOOKUP(B2696,'Pre-Summary'!$BW$6:$BY$58,2,FALSE),"")</f>
        <v/>
      </c>
      <c r="N2696" s="45" t="str">
        <f>IFERROR(VLOOKUP(B2696,'Pre-Summary'!$CD$6:$CF$64,2,FALSE),"")</f>
        <v/>
      </c>
      <c r="O2696" s="99">
        <f>IFERROR(VLOOKUP(B2696,'Pre-Summary'!$BO$6:$BQ$48,3, FALSE),O2695)</f>
        <v>1.83</v>
      </c>
      <c r="P2696" s="99">
        <f>IFERROR(VLOOKUP(B2696,'Pre-Summary'!$BS$6:$BU$35,3,FALSE),P2695)</f>
        <v>0.46200000000000002</v>
      </c>
      <c r="Q2696" s="54">
        <f t="shared" si="126"/>
        <v>3.9610389610389611</v>
      </c>
      <c r="R2696" s="53">
        <f>IFERROR(VLOOKUP(B2696,'Pre-Summary'!$BG$6:$BM$44,7,FALSE),R2697)</f>
        <v>9.7903492963591104E-2</v>
      </c>
      <c r="S2696" s="53">
        <f>IFERROR(VLOOKUP(B2696,'Pre-Summary'!$BG$6:$BM$44,6,FALSE),S2697)</f>
        <v>0.1105986773408305</v>
      </c>
      <c r="T2696" s="45" t="str">
        <f>IFERROR(VLOOKUP(B2696,'Pre-Summary'!$Y$6:$AC$83, 3,FALSE),"")</f>
        <v/>
      </c>
      <c r="U2696" s="45" t="str">
        <f>IFERROR(VLOOKUP(B2696,'Pre-Summary'!$Y$6:$AC$83, 4,FALSE),"")</f>
        <v/>
      </c>
      <c r="V2696" t="str">
        <f>IFERROR(VLOOKUP(B2696,'Pre-Summary'!$Y$6:$AC$83, 5,FALSE),"")</f>
        <v/>
      </c>
      <c r="W2696" s="45" t="str">
        <f>IFERROR(VLOOKUP(B2696,'Pre-Summary'!$Y$6:$AD$83,6,FALSE),"")</f>
        <v/>
      </c>
      <c r="X2696" t="str">
        <f>IFERROR(VLOOKUP('Pre-Summary'!$DB$6:$DD$63,3,FALSE),"")</f>
        <v/>
      </c>
      <c r="Y2696" t="str">
        <f>IFERROR(VLOOKUP(B2696,'Pre-Summary'!$CR$6:$CT$36,3,FALSE),"")</f>
        <v/>
      </c>
      <c r="Z2696" s="45" t="str">
        <f>IFERROR(VLOOKUP(B2696,'Pre-Summary'!$BZ$6:$CB$63,2,FALSE),"")</f>
        <v/>
      </c>
      <c r="AA2696" s="45" t="str">
        <f>IFERROR(VLOOKUP(B2696,'Pre-Summary'!$CG$6:$CI$70,2,FALSE),"")</f>
        <v/>
      </c>
      <c r="AB2696" s="99">
        <f>IFERROR(VLOOKUP(B2696,'Pre-Summary'!$A$6:$P$178,9,FALSE),AB2697)</f>
        <v>0.42015906039999273</v>
      </c>
      <c r="AC2696" s="10">
        <f>IFERROR(VLOOKUP(Summary!B2696,'Pre-Summary'!$A$6:$P$184,5, FALSE)/100,AC2697)</f>
        <v>0.98781466666666673</v>
      </c>
      <c r="AD2696" s="10">
        <f>IFERROR(VLOOKUP(Summary!B2696,'Pre-Summary'!$A$6:$P$184,3, FALSE)/100,AD2697)</f>
        <v>7.801333333333332E-3</v>
      </c>
      <c r="AE2696" s="10">
        <f>IFERROR(VLOOKUP(Summary!B2696,'Pre-Summary'!$A$6:$P$184,7, FALSE)/100,AE2697)</f>
        <v>4.3839999999999999E-3</v>
      </c>
      <c r="AF2696" s="99">
        <f t="shared" si="127"/>
        <v>3.2778008832004763E-3</v>
      </c>
      <c r="AG2696" s="99">
        <f t="shared" si="128"/>
        <v>1.841977320793568E-3</v>
      </c>
      <c r="AH2696" s="10" t="str">
        <f>IFERROR(VLOOKUP(B2696,'Pre-Summary'!$AZ$6:$BE$65,3,FALSE),"")</f>
        <v/>
      </c>
      <c r="AI2696" s="10" t="str">
        <f>IFERROR(VLOOKUP(B2696,'Pre-Summary'!$AZ$6:$BE$65,5,FALSE),"")</f>
        <v/>
      </c>
      <c r="AJ2696" s="10" t="str">
        <f>IFERROR(VLOOKUP(B2696,'Pre-Summary'!$AZ$6:$BE$65,4,FALSE),"")</f>
        <v/>
      </c>
      <c r="AK2696" s="10" t="str">
        <f>IFERROR(VLOOKUP(B2696,'Pre-Summary'!$AZ$6:$BE$65,6,FALSE),"")</f>
        <v/>
      </c>
      <c r="AL2696" s="10" t="str">
        <f>IFERROR(VLOOKUP(B2696,'Pre-Summary'!$BG$6:$BL$44,3,FALSE),"")</f>
        <v/>
      </c>
      <c r="AM2696" s="10" t="str">
        <f>IFERROR(VLOOKUP(B2696,'Pre-Summary'!$BG$6:$BL$44,4,FALSE),"")</f>
        <v/>
      </c>
    </row>
    <row r="2697" spans="2:39" ht="15" customHeight="1" x14ac:dyDescent="0.3">
      <c r="B2697">
        <v>269.39999999999998</v>
      </c>
      <c r="C2697" t="str">
        <f>IFERROR(VLOOKUP(B2697,'Pre-Summary'!$DI$6:$DM$23,4,FALSE),"")</f>
        <v/>
      </c>
      <c r="D2697" s="10" t="str">
        <f>IFERROR(VLOOKUP(B2697,'Pre-Summary'!$AT$6:$AX$14,5,FALSE),D2696)</f>
        <v>Wolfe v3: went back to modified wolfe + EDTA and switched CuSO4 to CUCl2</v>
      </c>
      <c r="E2697" s="10" t="str">
        <f>IFERROR(VLOOKUP(B2697,'Pre-Summary'!$AT$6:$AX$15,4,FALSE),"")</f>
        <v/>
      </c>
      <c r="F2697">
        <f>IFERROR(VLOOKUP(B2697,'Pre-Summary'!$AL$6:$AQ$13,6,FALSE),F2696)</f>
        <v>5.9405263157894746E-2</v>
      </c>
      <c r="G2697" t="str">
        <f>IFERROR(VLOOKUP(B2697,'Pre-Summary'!$AE$6:$AJ$85,3,FALSE),"")</f>
        <v/>
      </c>
      <c r="H2697" t="str">
        <f>IFERROR(VLOOKUP(B2697,'Pre-Summary'!$AE$6:$AJ$85,4,FALSE),"")</f>
        <v/>
      </c>
      <c r="I2697" t="str">
        <f>IFERROR(VLOOKUP(B2697,'Pre-Summary'!$AE$6:$AJ$85,5,FALSE),"")</f>
        <v/>
      </c>
      <c r="J2697" s="45" t="str">
        <f>IFERROR(VLOOKUP(B2697,'Pre-Summary'!$AE$6:$AJ$85,6, FALSE),"")</f>
        <v/>
      </c>
      <c r="K2697" s="45" t="str">
        <f>IFERROR(VLOOKUP(B2697,'Pre-Summary'!$DE$6:$DG$61,3,FALSE),"")</f>
        <v/>
      </c>
      <c r="L2697" s="45" t="str">
        <f>IFERROR(VLOOKUP(B2697,'Pre-Summary'!$CU$6:$CW$36,3,FALSE),"")</f>
        <v/>
      </c>
      <c r="M2697" s="45" t="str">
        <f>IFERROR(VLOOKUP(B2697,'Pre-Summary'!$BW$6:$BY$58,2,FALSE),"")</f>
        <v/>
      </c>
      <c r="N2697" s="45" t="str">
        <f>IFERROR(VLOOKUP(B2697,'Pre-Summary'!$CD$6:$CF$64,2,FALSE),"")</f>
        <v/>
      </c>
      <c r="O2697" s="99">
        <f>IFERROR(VLOOKUP(B2697,'Pre-Summary'!$BO$6:$BQ$48,3, FALSE),O2696)</f>
        <v>1.83</v>
      </c>
      <c r="P2697" s="99">
        <f>IFERROR(VLOOKUP(B2697,'Pre-Summary'!$BS$6:$BU$35,3,FALSE),P2696)</f>
        <v>0.46200000000000002</v>
      </c>
      <c r="Q2697" s="54">
        <f t="shared" si="126"/>
        <v>3.9610389610389611</v>
      </c>
      <c r="R2697" s="53">
        <f>IFERROR(VLOOKUP(B2697,'Pre-Summary'!$BG$6:$BM$44,7,FALSE),R2698)</f>
        <v>9.7903492963591104E-2</v>
      </c>
      <c r="S2697" s="53">
        <f>IFERROR(VLOOKUP(B2697,'Pre-Summary'!$BG$6:$BM$44,6,FALSE),S2698)</f>
        <v>0.1105986773408305</v>
      </c>
      <c r="T2697" s="45" t="str">
        <f>IFERROR(VLOOKUP(B2697,'Pre-Summary'!$Y$6:$AC$83, 3,FALSE),"")</f>
        <v/>
      </c>
      <c r="U2697" s="45" t="str">
        <f>IFERROR(VLOOKUP(B2697,'Pre-Summary'!$Y$6:$AC$83, 4,FALSE),"")</f>
        <v/>
      </c>
      <c r="V2697" t="str">
        <f>IFERROR(VLOOKUP(B2697,'Pre-Summary'!$Y$6:$AC$83, 5,FALSE),"")</f>
        <v/>
      </c>
      <c r="W2697" s="45" t="str">
        <f>IFERROR(VLOOKUP(B2697,'Pre-Summary'!$Y$6:$AD$83,6,FALSE),"")</f>
        <v/>
      </c>
      <c r="X2697" t="str">
        <f>IFERROR(VLOOKUP('Pre-Summary'!$DB$6:$DD$63,3,FALSE),"")</f>
        <v/>
      </c>
      <c r="Y2697" t="str">
        <f>IFERROR(VLOOKUP(B2697,'Pre-Summary'!$CR$6:$CT$36,3,FALSE),"")</f>
        <v/>
      </c>
      <c r="Z2697" s="45" t="str">
        <f>IFERROR(VLOOKUP(B2697,'Pre-Summary'!$BZ$6:$CB$63,2,FALSE),"")</f>
        <v/>
      </c>
      <c r="AA2697" s="45" t="str">
        <f>IFERROR(VLOOKUP(B2697,'Pre-Summary'!$CG$6:$CI$70,2,FALSE),"")</f>
        <v/>
      </c>
      <c r="AB2697" s="99">
        <f>IFERROR(VLOOKUP(B2697,'Pre-Summary'!$A$6:$P$178,9,FALSE),AB2698)</f>
        <v>0.42015906039999273</v>
      </c>
      <c r="AC2697" s="10">
        <f>IFERROR(VLOOKUP(Summary!B2697,'Pre-Summary'!$A$6:$P$184,5, FALSE)/100,AC2698)</f>
        <v>0.98781466666666673</v>
      </c>
      <c r="AD2697" s="10">
        <f>IFERROR(VLOOKUP(Summary!B2697,'Pre-Summary'!$A$6:$P$184,3, FALSE)/100,AD2698)</f>
        <v>7.801333333333332E-3</v>
      </c>
      <c r="AE2697" s="10">
        <f>IFERROR(VLOOKUP(Summary!B2697,'Pre-Summary'!$A$6:$P$184,7, FALSE)/100,AE2698)</f>
        <v>4.3839999999999999E-3</v>
      </c>
      <c r="AF2697" s="99">
        <f t="shared" si="127"/>
        <v>3.2778008832004763E-3</v>
      </c>
      <c r="AG2697" s="99">
        <f t="shared" si="128"/>
        <v>1.841977320793568E-3</v>
      </c>
      <c r="AH2697" s="10" t="str">
        <f>IFERROR(VLOOKUP(B2697,'Pre-Summary'!$AZ$6:$BE$65,3,FALSE),"")</f>
        <v/>
      </c>
      <c r="AI2697" s="10" t="str">
        <f>IFERROR(VLOOKUP(B2697,'Pre-Summary'!$AZ$6:$BE$65,5,FALSE),"")</f>
        <v/>
      </c>
      <c r="AJ2697" s="10" t="str">
        <f>IFERROR(VLOOKUP(B2697,'Pre-Summary'!$AZ$6:$BE$65,4,FALSE),"")</f>
        <v/>
      </c>
      <c r="AK2697" s="10" t="str">
        <f>IFERROR(VLOOKUP(B2697,'Pre-Summary'!$AZ$6:$BE$65,6,FALSE),"")</f>
        <v/>
      </c>
      <c r="AL2697" s="10" t="str">
        <f>IFERROR(VLOOKUP(B2697,'Pre-Summary'!$BG$6:$BL$44,3,FALSE),"")</f>
        <v/>
      </c>
      <c r="AM2697" s="10" t="str">
        <f>IFERROR(VLOOKUP(B2697,'Pre-Summary'!$BG$6:$BL$44,4,FALSE),"")</f>
        <v/>
      </c>
    </row>
    <row r="2698" spans="2:39" ht="15" customHeight="1" x14ac:dyDescent="0.3">
      <c r="B2698">
        <v>269.5</v>
      </c>
      <c r="C2698" t="str">
        <f>IFERROR(VLOOKUP(B2698,'Pre-Summary'!$DI$6:$DM$23,4,FALSE),"")</f>
        <v/>
      </c>
      <c r="D2698" s="10" t="str">
        <f>IFERROR(VLOOKUP(B2698,'Pre-Summary'!$AT$6:$AX$14,5,FALSE),D2697)</f>
        <v>Wolfe v3: went back to modified wolfe + EDTA and switched CuSO4 to CUCl2</v>
      </c>
      <c r="E2698" s="10" t="str">
        <f>IFERROR(VLOOKUP(B2698,'Pre-Summary'!$AT$6:$AX$15,4,FALSE),"")</f>
        <v/>
      </c>
      <c r="F2698">
        <f>IFERROR(VLOOKUP(B2698,'Pre-Summary'!$AL$6:$AQ$13,6,FALSE),F2697)</f>
        <v>5.9405263157894746E-2</v>
      </c>
      <c r="G2698" t="str">
        <f>IFERROR(VLOOKUP(B2698,'Pre-Summary'!$AE$6:$AJ$85,3,FALSE),"")</f>
        <v/>
      </c>
      <c r="H2698" t="str">
        <f>IFERROR(VLOOKUP(B2698,'Pre-Summary'!$AE$6:$AJ$85,4,FALSE),"")</f>
        <v/>
      </c>
      <c r="I2698" t="str">
        <f>IFERROR(VLOOKUP(B2698,'Pre-Summary'!$AE$6:$AJ$85,5,FALSE),"")</f>
        <v/>
      </c>
      <c r="J2698" s="45" t="str">
        <f>IFERROR(VLOOKUP(B2698,'Pre-Summary'!$AE$6:$AJ$85,6, FALSE),"")</f>
        <v/>
      </c>
      <c r="K2698" s="45" t="str">
        <f>IFERROR(VLOOKUP(B2698,'Pre-Summary'!$DE$6:$DG$61,3,FALSE),"")</f>
        <v/>
      </c>
      <c r="L2698" s="45" t="str">
        <f>IFERROR(VLOOKUP(B2698,'Pre-Summary'!$CU$6:$CW$36,3,FALSE),"")</f>
        <v/>
      </c>
      <c r="M2698" s="45" t="str">
        <f>IFERROR(VLOOKUP(B2698,'Pre-Summary'!$BW$6:$BY$58,2,FALSE),"")</f>
        <v/>
      </c>
      <c r="N2698" s="45" t="str">
        <f>IFERROR(VLOOKUP(B2698,'Pre-Summary'!$CD$6:$CF$64,2,FALSE),"")</f>
        <v/>
      </c>
      <c r="O2698" s="99">
        <f>IFERROR(VLOOKUP(B2698,'Pre-Summary'!$BO$6:$BQ$48,3, FALSE),O2697)</f>
        <v>1.83</v>
      </c>
      <c r="P2698" s="99">
        <f>IFERROR(VLOOKUP(B2698,'Pre-Summary'!$BS$6:$BU$35,3,FALSE),P2697)</f>
        <v>0.46200000000000002</v>
      </c>
      <c r="Q2698" s="54">
        <f t="shared" si="126"/>
        <v>3.9610389610389611</v>
      </c>
      <c r="R2698" s="53">
        <f>IFERROR(VLOOKUP(B2698,'Pre-Summary'!$BG$6:$BM$44,7,FALSE),R2699)</f>
        <v>9.7903492963591104E-2</v>
      </c>
      <c r="S2698" s="53">
        <f>IFERROR(VLOOKUP(B2698,'Pre-Summary'!$BG$6:$BM$44,6,FALSE),S2699)</f>
        <v>0.1105986773408305</v>
      </c>
      <c r="T2698" s="45" t="str">
        <f>IFERROR(VLOOKUP(B2698,'Pre-Summary'!$Y$6:$AC$83, 3,FALSE),"")</f>
        <v/>
      </c>
      <c r="U2698" s="45" t="str">
        <f>IFERROR(VLOOKUP(B2698,'Pre-Summary'!$Y$6:$AC$83, 4,FALSE),"")</f>
        <v/>
      </c>
      <c r="V2698" t="str">
        <f>IFERROR(VLOOKUP(B2698,'Pre-Summary'!$Y$6:$AC$83, 5,FALSE),"")</f>
        <v/>
      </c>
      <c r="W2698" s="45" t="str">
        <f>IFERROR(VLOOKUP(B2698,'Pre-Summary'!$Y$6:$AD$83,6,FALSE),"")</f>
        <v/>
      </c>
      <c r="X2698" t="str">
        <f>IFERROR(VLOOKUP('Pre-Summary'!$DB$6:$DD$63,3,FALSE),"")</f>
        <v/>
      </c>
      <c r="Y2698" t="str">
        <f>IFERROR(VLOOKUP(B2698,'Pre-Summary'!$CR$6:$CT$36,3,FALSE),"")</f>
        <v/>
      </c>
      <c r="Z2698" s="45" t="str">
        <f>IFERROR(VLOOKUP(B2698,'Pre-Summary'!$BZ$6:$CB$63,2,FALSE),"")</f>
        <v/>
      </c>
      <c r="AA2698" s="45" t="str">
        <f>IFERROR(VLOOKUP(B2698,'Pre-Summary'!$CG$6:$CI$70,2,FALSE),"")</f>
        <v/>
      </c>
      <c r="AB2698" s="99">
        <f>IFERROR(VLOOKUP(B2698,'Pre-Summary'!$A$6:$P$178,9,FALSE),AB2699)</f>
        <v>0.42015906039999273</v>
      </c>
      <c r="AC2698" s="10">
        <f>IFERROR(VLOOKUP(Summary!B2698,'Pre-Summary'!$A$6:$P$184,5, FALSE)/100,AC2699)</f>
        <v>0.98781466666666673</v>
      </c>
      <c r="AD2698" s="10">
        <f>IFERROR(VLOOKUP(Summary!B2698,'Pre-Summary'!$A$6:$P$184,3, FALSE)/100,AD2699)</f>
        <v>7.801333333333332E-3</v>
      </c>
      <c r="AE2698" s="10">
        <f>IFERROR(VLOOKUP(Summary!B2698,'Pre-Summary'!$A$6:$P$184,7, FALSE)/100,AE2699)</f>
        <v>4.3839999999999999E-3</v>
      </c>
      <c r="AF2698" s="99">
        <f t="shared" si="127"/>
        <v>3.2778008832004763E-3</v>
      </c>
      <c r="AG2698" s="99">
        <f t="shared" si="128"/>
        <v>1.841977320793568E-3</v>
      </c>
      <c r="AH2698" s="10" t="str">
        <f>IFERROR(VLOOKUP(B2698,'Pre-Summary'!$AZ$6:$BE$65,3,FALSE),"")</f>
        <v/>
      </c>
      <c r="AI2698" s="10" t="str">
        <f>IFERROR(VLOOKUP(B2698,'Pre-Summary'!$AZ$6:$BE$65,5,FALSE),"")</f>
        <v/>
      </c>
      <c r="AJ2698" s="10" t="str">
        <f>IFERROR(VLOOKUP(B2698,'Pre-Summary'!$AZ$6:$BE$65,4,FALSE),"")</f>
        <v/>
      </c>
      <c r="AK2698" s="10" t="str">
        <f>IFERROR(VLOOKUP(B2698,'Pre-Summary'!$AZ$6:$BE$65,6,FALSE),"")</f>
        <v/>
      </c>
      <c r="AL2698" s="10" t="str">
        <f>IFERROR(VLOOKUP(B2698,'Pre-Summary'!$BG$6:$BL$44,3,FALSE),"")</f>
        <v/>
      </c>
      <c r="AM2698" s="10" t="str">
        <f>IFERROR(VLOOKUP(B2698,'Pre-Summary'!$BG$6:$BL$44,4,FALSE),"")</f>
        <v/>
      </c>
    </row>
    <row r="2699" spans="2:39" ht="15" customHeight="1" x14ac:dyDescent="0.3">
      <c r="B2699">
        <v>269.60000000000002</v>
      </c>
      <c r="C2699" t="str">
        <f>IFERROR(VLOOKUP(B2699,'Pre-Summary'!$DI$6:$DM$23,4,FALSE),"")</f>
        <v/>
      </c>
      <c r="D2699" s="10" t="str">
        <f>IFERROR(VLOOKUP(B2699,'Pre-Summary'!$AT$6:$AX$14,5,FALSE),D2698)</f>
        <v>Wolfe v3: went back to modified wolfe + EDTA and switched CuSO4 to CUCl2</v>
      </c>
      <c r="E2699" s="10" t="str">
        <f>IFERROR(VLOOKUP(B2699,'Pre-Summary'!$AT$6:$AX$15,4,FALSE),"")</f>
        <v/>
      </c>
      <c r="F2699">
        <f>IFERROR(VLOOKUP(B2699,'Pre-Summary'!$AL$6:$AQ$13,6,FALSE),F2698)</f>
        <v>5.9405263157894746E-2</v>
      </c>
      <c r="G2699" t="str">
        <f>IFERROR(VLOOKUP(B2699,'Pre-Summary'!$AE$6:$AJ$85,3,FALSE),"")</f>
        <v/>
      </c>
      <c r="H2699" t="str">
        <f>IFERROR(VLOOKUP(B2699,'Pre-Summary'!$AE$6:$AJ$85,4,FALSE),"")</f>
        <v/>
      </c>
      <c r="I2699" t="str">
        <f>IFERROR(VLOOKUP(B2699,'Pre-Summary'!$AE$6:$AJ$85,5,FALSE),"")</f>
        <v/>
      </c>
      <c r="J2699" s="45" t="str">
        <f>IFERROR(VLOOKUP(B2699,'Pre-Summary'!$AE$6:$AJ$85,6, FALSE),"")</f>
        <v/>
      </c>
      <c r="K2699" s="45" t="str">
        <f>IFERROR(VLOOKUP(B2699,'Pre-Summary'!$DE$6:$DG$61,3,FALSE),"")</f>
        <v/>
      </c>
      <c r="L2699" s="45" t="str">
        <f>IFERROR(VLOOKUP(B2699,'Pre-Summary'!$CU$6:$CW$36,3,FALSE),"")</f>
        <v/>
      </c>
      <c r="M2699" s="45" t="str">
        <f>IFERROR(VLOOKUP(B2699,'Pre-Summary'!$BW$6:$BY$58,2,FALSE),"")</f>
        <v/>
      </c>
      <c r="N2699" s="45" t="str">
        <f>IFERROR(VLOOKUP(B2699,'Pre-Summary'!$CD$6:$CF$64,2,FALSE),"")</f>
        <v/>
      </c>
      <c r="O2699" s="99">
        <f>IFERROR(VLOOKUP(B2699,'Pre-Summary'!$BO$6:$BQ$48,3, FALSE),O2698)</f>
        <v>1.83</v>
      </c>
      <c r="P2699" s="99">
        <f>IFERROR(VLOOKUP(B2699,'Pre-Summary'!$BS$6:$BU$35,3,FALSE),P2698)</f>
        <v>0.46200000000000002</v>
      </c>
      <c r="Q2699" s="54">
        <f t="shared" si="126"/>
        <v>3.9610389610389611</v>
      </c>
      <c r="R2699" s="53">
        <f>IFERROR(VLOOKUP(B2699,'Pre-Summary'!$BG$6:$BM$44,7,FALSE),R2700)</f>
        <v>9.7903492963591104E-2</v>
      </c>
      <c r="S2699" s="53">
        <f>IFERROR(VLOOKUP(B2699,'Pre-Summary'!$BG$6:$BM$44,6,FALSE),S2700)</f>
        <v>0.1105986773408305</v>
      </c>
      <c r="T2699" s="45" t="str">
        <f>IFERROR(VLOOKUP(B2699,'Pre-Summary'!$Y$6:$AC$83, 3,FALSE),"")</f>
        <v/>
      </c>
      <c r="U2699" s="45" t="str">
        <f>IFERROR(VLOOKUP(B2699,'Pre-Summary'!$Y$6:$AC$83, 4,FALSE),"")</f>
        <v/>
      </c>
      <c r="V2699" t="str">
        <f>IFERROR(VLOOKUP(B2699,'Pre-Summary'!$Y$6:$AC$83, 5,FALSE),"")</f>
        <v/>
      </c>
      <c r="W2699" s="45" t="str">
        <f>IFERROR(VLOOKUP(B2699,'Pre-Summary'!$Y$6:$AD$83,6,FALSE),"")</f>
        <v/>
      </c>
      <c r="X2699" t="str">
        <f>IFERROR(VLOOKUP('Pre-Summary'!$DB$6:$DD$63,3,FALSE),"")</f>
        <v/>
      </c>
      <c r="Y2699" t="str">
        <f>IFERROR(VLOOKUP(B2699,'Pre-Summary'!$CR$6:$CT$36,3,FALSE),"")</f>
        <v/>
      </c>
      <c r="Z2699" s="45" t="str">
        <f>IFERROR(VLOOKUP(B2699,'Pre-Summary'!$BZ$6:$CB$63,2,FALSE),"")</f>
        <v/>
      </c>
      <c r="AA2699" s="45" t="str">
        <f>IFERROR(VLOOKUP(B2699,'Pre-Summary'!$CG$6:$CI$70,2,FALSE),"")</f>
        <v/>
      </c>
      <c r="AB2699" s="99">
        <f>IFERROR(VLOOKUP(B2699,'Pre-Summary'!$A$6:$P$178,9,FALSE),AB2700)</f>
        <v>0.42015906039999273</v>
      </c>
      <c r="AC2699" s="10">
        <f>IFERROR(VLOOKUP(Summary!B2699,'Pre-Summary'!$A$6:$P$184,5, FALSE)/100,AC2700)</f>
        <v>0.98781466666666673</v>
      </c>
      <c r="AD2699" s="10">
        <f>IFERROR(VLOOKUP(Summary!B2699,'Pre-Summary'!$A$6:$P$184,3, FALSE)/100,AD2700)</f>
        <v>7.801333333333332E-3</v>
      </c>
      <c r="AE2699" s="10">
        <f>IFERROR(VLOOKUP(Summary!B2699,'Pre-Summary'!$A$6:$P$184,7, FALSE)/100,AE2700)</f>
        <v>4.3839999999999999E-3</v>
      </c>
      <c r="AF2699" s="99">
        <f t="shared" si="127"/>
        <v>3.2778008832004763E-3</v>
      </c>
      <c r="AG2699" s="99">
        <f t="shared" si="128"/>
        <v>1.841977320793568E-3</v>
      </c>
      <c r="AH2699" s="10" t="str">
        <f>IFERROR(VLOOKUP(B2699,'Pre-Summary'!$AZ$6:$BE$65,3,FALSE),"")</f>
        <v/>
      </c>
      <c r="AI2699" s="10" t="str">
        <f>IFERROR(VLOOKUP(B2699,'Pre-Summary'!$AZ$6:$BE$65,5,FALSE),"")</f>
        <v/>
      </c>
      <c r="AJ2699" s="10" t="str">
        <f>IFERROR(VLOOKUP(B2699,'Pre-Summary'!$AZ$6:$BE$65,4,FALSE),"")</f>
        <v/>
      </c>
      <c r="AK2699" s="10" t="str">
        <f>IFERROR(VLOOKUP(B2699,'Pre-Summary'!$AZ$6:$BE$65,6,FALSE),"")</f>
        <v/>
      </c>
      <c r="AL2699" s="10" t="str">
        <f>IFERROR(VLOOKUP(B2699,'Pre-Summary'!$BG$6:$BL$44,3,FALSE),"")</f>
        <v/>
      </c>
      <c r="AM2699" s="10" t="str">
        <f>IFERROR(VLOOKUP(B2699,'Pre-Summary'!$BG$6:$BL$44,4,FALSE),"")</f>
        <v/>
      </c>
    </row>
    <row r="2700" spans="2:39" ht="15" customHeight="1" x14ac:dyDescent="0.3">
      <c r="B2700">
        <v>269.7</v>
      </c>
      <c r="C2700" t="str">
        <f>IFERROR(VLOOKUP(B2700,'Pre-Summary'!$DI$6:$DM$23,4,FALSE),"")</f>
        <v/>
      </c>
      <c r="D2700" s="10" t="str">
        <f>IFERROR(VLOOKUP(B2700,'Pre-Summary'!$AT$6:$AX$14,5,FALSE),D2699)</f>
        <v>Wolfe v3: went back to modified wolfe + EDTA and switched CuSO4 to CUCl2</v>
      </c>
      <c r="E2700" s="10" t="str">
        <f>IFERROR(VLOOKUP(B2700,'Pre-Summary'!$AT$6:$AX$15,4,FALSE),"")</f>
        <v/>
      </c>
      <c r="F2700">
        <f>IFERROR(VLOOKUP(B2700,'Pre-Summary'!$AL$6:$AQ$13,6,FALSE),F2699)</f>
        <v>5.9405263157894746E-2</v>
      </c>
      <c r="G2700" t="str">
        <f>IFERROR(VLOOKUP(B2700,'Pre-Summary'!$AE$6:$AJ$85,3,FALSE),"")</f>
        <v/>
      </c>
      <c r="H2700" t="str">
        <f>IFERROR(VLOOKUP(B2700,'Pre-Summary'!$AE$6:$AJ$85,4,FALSE),"")</f>
        <v/>
      </c>
      <c r="I2700" t="str">
        <f>IFERROR(VLOOKUP(B2700,'Pre-Summary'!$AE$6:$AJ$85,5,FALSE),"")</f>
        <v/>
      </c>
      <c r="J2700" s="45" t="str">
        <f>IFERROR(VLOOKUP(B2700,'Pre-Summary'!$AE$6:$AJ$85,6, FALSE),"")</f>
        <v/>
      </c>
      <c r="K2700" s="45" t="str">
        <f>IFERROR(VLOOKUP(B2700,'Pre-Summary'!$DE$6:$DG$61,3,FALSE),"")</f>
        <v/>
      </c>
      <c r="L2700" s="45" t="str">
        <f>IFERROR(VLOOKUP(B2700,'Pre-Summary'!$CU$6:$CW$36,3,FALSE),"")</f>
        <v/>
      </c>
      <c r="M2700" s="45" t="str">
        <f>IFERROR(VLOOKUP(B2700,'Pre-Summary'!$BW$6:$BY$58,2,FALSE),"")</f>
        <v/>
      </c>
      <c r="N2700" s="45" t="str">
        <f>IFERROR(VLOOKUP(B2700,'Pre-Summary'!$CD$6:$CF$64,2,FALSE),"")</f>
        <v/>
      </c>
      <c r="O2700" s="99">
        <f>IFERROR(VLOOKUP(B2700,'Pre-Summary'!$BO$6:$BQ$48,3, FALSE),O2699)</f>
        <v>1.83</v>
      </c>
      <c r="P2700" s="99">
        <f>IFERROR(VLOOKUP(B2700,'Pre-Summary'!$BS$6:$BU$35,3,FALSE),P2699)</f>
        <v>0.46200000000000002</v>
      </c>
      <c r="Q2700" s="54">
        <f t="shared" si="126"/>
        <v>3.9610389610389611</v>
      </c>
      <c r="R2700" s="53">
        <f>IFERROR(VLOOKUP(B2700,'Pre-Summary'!$BG$6:$BM$44,7,FALSE),R2701)</f>
        <v>9.7903492963591104E-2</v>
      </c>
      <c r="S2700" s="53">
        <f>IFERROR(VLOOKUP(B2700,'Pre-Summary'!$BG$6:$BM$44,6,FALSE),S2701)</f>
        <v>0.1105986773408305</v>
      </c>
      <c r="T2700" s="45" t="str">
        <f>IFERROR(VLOOKUP(B2700,'Pre-Summary'!$Y$6:$AC$83, 3,FALSE),"")</f>
        <v/>
      </c>
      <c r="U2700" s="45" t="str">
        <f>IFERROR(VLOOKUP(B2700,'Pre-Summary'!$Y$6:$AC$83, 4,FALSE),"")</f>
        <v/>
      </c>
      <c r="V2700" t="str">
        <f>IFERROR(VLOOKUP(B2700,'Pre-Summary'!$Y$6:$AC$83, 5,FALSE),"")</f>
        <v/>
      </c>
      <c r="W2700" s="45" t="str">
        <f>IFERROR(VLOOKUP(B2700,'Pre-Summary'!$Y$6:$AD$83,6,FALSE),"")</f>
        <v/>
      </c>
      <c r="X2700" t="str">
        <f>IFERROR(VLOOKUP('Pre-Summary'!$DB$6:$DD$63,3,FALSE),"")</f>
        <v/>
      </c>
      <c r="Y2700" t="str">
        <f>IFERROR(VLOOKUP(B2700,'Pre-Summary'!$CR$6:$CT$36,3,FALSE),"")</f>
        <v/>
      </c>
      <c r="Z2700" s="45" t="str">
        <f>IFERROR(VLOOKUP(B2700,'Pre-Summary'!$BZ$6:$CB$63,2,FALSE),"")</f>
        <v/>
      </c>
      <c r="AA2700" s="45" t="str">
        <f>IFERROR(VLOOKUP(B2700,'Pre-Summary'!$CG$6:$CI$70,2,FALSE),"")</f>
        <v/>
      </c>
      <c r="AB2700" s="99">
        <f>IFERROR(VLOOKUP(B2700,'Pre-Summary'!$A$6:$P$178,9,FALSE),AB2701)</f>
        <v>0.42015906039999273</v>
      </c>
      <c r="AC2700" s="10">
        <f>IFERROR(VLOOKUP(Summary!B2700,'Pre-Summary'!$A$6:$P$184,5, FALSE)/100,AC2701)</f>
        <v>0.98781466666666673</v>
      </c>
      <c r="AD2700" s="10">
        <f>IFERROR(VLOOKUP(Summary!B2700,'Pre-Summary'!$A$6:$P$184,3, FALSE)/100,AD2701)</f>
        <v>7.801333333333332E-3</v>
      </c>
      <c r="AE2700" s="10">
        <f>IFERROR(VLOOKUP(Summary!B2700,'Pre-Summary'!$A$6:$P$184,7, FALSE)/100,AE2701)</f>
        <v>4.3839999999999999E-3</v>
      </c>
      <c r="AF2700" s="99">
        <f t="shared" si="127"/>
        <v>3.2778008832004763E-3</v>
      </c>
      <c r="AG2700" s="99">
        <f t="shared" si="128"/>
        <v>1.841977320793568E-3</v>
      </c>
      <c r="AH2700" s="10" t="str">
        <f>IFERROR(VLOOKUP(B2700,'Pre-Summary'!$AZ$6:$BE$65,3,FALSE),"")</f>
        <v/>
      </c>
      <c r="AI2700" s="10" t="str">
        <f>IFERROR(VLOOKUP(B2700,'Pre-Summary'!$AZ$6:$BE$65,5,FALSE),"")</f>
        <v/>
      </c>
      <c r="AJ2700" s="10" t="str">
        <f>IFERROR(VLOOKUP(B2700,'Pre-Summary'!$AZ$6:$BE$65,4,FALSE),"")</f>
        <v/>
      </c>
      <c r="AK2700" s="10" t="str">
        <f>IFERROR(VLOOKUP(B2700,'Pre-Summary'!$AZ$6:$BE$65,6,FALSE),"")</f>
        <v/>
      </c>
      <c r="AL2700" s="10" t="str">
        <f>IFERROR(VLOOKUP(B2700,'Pre-Summary'!$BG$6:$BL$44,3,FALSE),"")</f>
        <v/>
      </c>
      <c r="AM2700" s="10" t="str">
        <f>IFERROR(VLOOKUP(B2700,'Pre-Summary'!$BG$6:$BL$44,4,FALSE),"")</f>
        <v/>
      </c>
    </row>
    <row r="2701" spans="2:39" ht="15" customHeight="1" x14ac:dyDescent="0.3">
      <c r="B2701">
        <v>269.8</v>
      </c>
      <c r="C2701" t="str">
        <f>IFERROR(VLOOKUP(B2701,'Pre-Summary'!$DI$6:$DM$23,4,FALSE),"")</f>
        <v/>
      </c>
      <c r="D2701" s="10" t="str">
        <f>IFERROR(VLOOKUP(B2701,'Pre-Summary'!$AT$6:$AX$14,5,FALSE),D2700)</f>
        <v>Wolfe v3: went back to modified wolfe + EDTA and switched CuSO4 to CUCl2</v>
      </c>
      <c r="E2701" s="10" t="str">
        <f>IFERROR(VLOOKUP(B2701,'Pre-Summary'!$AT$6:$AX$15,4,FALSE),"")</f>
        <v/>
      </c>
      <c r="F2701">
        <f>IFERROR(VLOOKUP(B2701,'Pre-Summary'!$AL$6:$AQ$13,6,FALSE),F2700)</f>
        <v>5.9405263157894746E-2</v>
      </c>
      <c r="G2701" t="str">
        <f>IFERROR(VLOOKUP(B2701,'Pre-Summary'!$AE$6:$AJ$85,3,FALSE),"")</f>
        <v/>
      </c>
      <c r="H2701" t="str">
        <f>IFERROR(VLOOKUP(B2701,'Pre-Summary'!$AE$6:$AJ$85,4,FALSE),"")</f>
        <v/>
      </c>
      <c r="I2701" t="str">
        <f>IFERROR(VLOOKUP(B2701,'Pre-Summary'!$AE$6:$AJ$85,5,FALSE),"")</f>
        <v/>
      </c>
      <c r="J2701" s="45" t="str">
        <f>IFERROR(VLOOKUP(B2701,'Pre-Summary'!$AE$6:$AJ$85,6, FALSE),"")</f>
        <v/>
      </c>
      <c r="K2701" s="45" t="str">
        <f>IFERROR(VLOOKUP(B2701,'Pre-Summary'!$DE$6:$DG$61,3,FALSE),"")</f>
        <v/>
      </c>
      <c r="L2701" s="45" t="str">
        <f>IFERROR(VLOOKUP(B2701,'Pre-Summary'!$CU$6:$CW$36,3,FALSE),"")</f>
        <v/>
      </c>
      <c r="M2701" s="45" t="str">
        <f>IFERROR(VLOOKUP(B2701,'Pre-Summary'!$BW$6:$BY$58,2,FALSE),"")</f>
        <v/>
      </c>
      <c r="N2701" s="45" t="str">
        <f>IFERROR(VLOOKUP(B2701,'Pre-Summary'!$CD$6:$CF$64,2,FALSE),"")</f>
        <v/>
      </c>
      <c r="O2701" s="99">
        <f>IFERROR(VLOOKUP(B2701,'Pre-Summary'!$BO$6:$BQ$48,3, FALSE),O2700)</f>
        <v>1.83</v>
      </c>
      <c r="P2701" s="99">
        <f>IFERROR(VLOOKUP(B2701,'Pre-Summary'!$BS$6:$BU$35,3,FALSE),P2700)</f>
        <v>0.46200000000000002</v>
      </c>
      <c r="Q2701" s="54">
        <f t="shared" si="126"/>
        <v>3.9610389610389611</v>
      </c>
      <c r="R2701" s="53">
        <f>IFERROR(VLOOKUP(B2701,'Pre-Summary'!$BG$6:$BM$44,7,FALSE),R2702)</f>
        <v>9.7903492963591104E-2</v>
      </c>
      <c r="S2701" s="53">
        <f>IFERROR(VLOOKUP(B2701,'Pre-Summary'!$BG$6:$BM$44,6,FALSE),S2702)</f>
        <v>0.1105986773408305</v>
      </c>
      <c r="T2701" s="45" t="str">
        <f>IFERROR(VLOOKUP(B2701,'Pre-Summary'!$Y$6:$AC$83, 3,FALSE),"")</f>
        <v/>
      </c>
      <c r="U2701" s="45" t="str">
        <f>IFERROR(VLOOKUP(B2701,'Pre-Summary'!$Y$6:$AC$83, 4,FALSE),"")</f>
        <v/>
      </c>
      <c r="V2701" t="str">
        <f>IFERROR(VLOOKUP(B2701,'Pre-Summary'!$Y$6:$AC$83, 5,FALSE),"")</f>
        <v/>
      </c>
      <c r="W2701" s="45" t="str">
        <f>IFERROR(VLOOKUP(B2701,'Pre-Summary'!$Y$6:$AD$83,6,FALSE),"")</f>
        <v/>
      </c>
      <c r="X2701" t="str">
        <f>IFERROR(VLOOKUP('Pre-Summary'!$DB$6:$DD$63,3,FALSE),"")</f>
        <v/>
      </c>
      <c r="Y2701" t="str">
        <f>IFERROR(VLOOKUP(B2701,'Pre-Summary'!$CR$6:$CT$36,3,FALSE),"")</f>
        <v/>
      </c>
      <c r="Z2701" s="45" t="str">
        <f>IFERROR(VLOOKUP(B2701,'Pre-Summary'!$BZ$6:$CB$63,2,FALSE),"")</f>
        <v/>
      </c>
      <c r="AA2701" s="45" t="str">
        <f>IFERROR(VLOOKUP(B2701,'Pre-Summary'!$CG$6:$CI$70,2,FALSE),"")</f>
        <v/>
      </c>
      <c r="AB2701" s="99">
        <f>IFERROR(VLOOKUP(B2701,'Pre-Summary'!$A$6:$P$178,9,FALSE),AB2702)</f>
        <v>0.42015906039999273</v>
      </c>
      <c r="AC2701" s="10">
        <f>IFERROR(VLOOKUP(Summary!B2701,'Pre-Summary'!$A$6:$P$184,5, FALSE)/100,AC2702)</f>
        <v>0.98781466666666673</v>
      </c>
      <c r="AD2701" s="10">
        <f>IFERROR(VLOOKUP(Summary!B2701,'Pre-Summary'!$A$6:$P$184,3, FALSE)/100,AD2702)</f>
        <v>7.801333333333332E-3</v>
      </c>
      <c r="AE2701" s="10">
        <f>IFERROR(VLOOKUP(Summary!B2701,'Pre-Summary'!$A$6:$P$184,7, FALSE)/100,AE2702)</f>
        <v>4.3839999999999999E-3</v>
      </c>
      <c r="AF2701" s="99">
        <f t="shared" si="127"/>
        <v>3.2778008832004763E-3</v>
      </c>
      <c r="AG2701" s="99">
        <f t="shared" si="128"/>
        <v>1.841977320793568E-3</v>
      </c>
      <c r="AH2701" s="10" t="str">
        <f>IFERROR(VLOOKUP(B2701,'Pre-Summary'!$AZ$6:$BE$65,3,FALSE),"")</f>
        <v/>
      </c>
      <c r="AI2701" s="10" t="str">
        <f>IFERROR(VLOOKUP(B2701,'Pre-Summary'!$AZ$6:$BE$65,5,FALSE),"")</f>
        <v/>
      </c>
      <c r="AJ2701" s="10" t="str">
        <f>IFERROR(VLOOKUP(B2701,'Pre-Summary'!$AZ$6:$BE$65,4,FALSE),"")</f>
        <v/>
      </c>
      <c r="AK2701" s="10" t="str">
        <f>IFERROR(VLOOKUP(B2701,'Pre-Summary'!$AZ$6:$BE$65,6,FALSE),"")</f>
        <v/>
      </c>
      <c r="AL2701" s="10" t="str">
        <f>IFERROR(VLOOKUP(B2701,'Pre-Summary'!$BG$6:$BL$44,3,FALSE),"")</f>
        <v/>
      </c>
      <c r="AM2701" s="10" t="str">
        <f>IFERROR(VLOOKUP(B2701,'Pre-Summary'!$BG$6:$BL$44,4,FALSE),"")</f>
        <v/>
      </c>
    </row>
    <row r="2702" spans="2:39" ht="15" customHeight="1" x14ac:dyDescent="0.3">
      <c r="B2702">
        <v>269.89999999999998</v>
      </c>
      <c r="C2702" t="str">
        <f>IFERROR(VLOOKUP(B2702,'Pre-Summary'!$DI$6:$DM$23,4,FALSE),"")</f>
        <v/>
      </c>
      <c r="D2702" s="10" t="str">
        <f>IFERROR(VLOOKUP(B2702,'Pre-Summary'!$AT$6:$AX$14,5,FALSE),D2701)</f>
        <v>Wolfe v3: went back to modified wolfe + EDTA and switched CuSO4 to CUCl2</v>
      </c>
      <c r="E2702" s="10" t="str">
        <f>IFERROR(VLOOKUP(B2702,'Pre-Summary'!$AT$6:$AX$15,4,FALSE),"")</f>
        <v/>
      </c>
      <c r="F2702">
        <f>IFERROR(VLOOKUP(B2702,'Pre-Summary'!$AL$6:$AQ$13,6,FALSE),F2701)</f>
        <v>5.9405263157894746E-2</v>
      </c>
      <c r="G2702" t="str">
        <f>IFERROR(VLOOKUP(B2702,'Pre-Summary'!$AE$6:$AJ$85,3,FALSE),"")</f>
        <v/>
      </c>
      <c r="H2702" t="str">
        <f>IFERROR(VLOOKUP(B2702,'Pre-Summary'!$AE$6:$AJ$85,4,FALSE),"")</f>
        <v/>
      </c>
      <c r="I2702" t="str">
        <f>IFERROR(VLOOKUP(B2702,'Pre-Summary'!$AE$6:$AJ$85,5,FALSE),"")</f>
        <v/>
      </c>
      <c r="J2702" s="45" t="str">
        <f>IFERROR(VLOOKUP(B2702,'Pre-Summary'!$AE$6:$AJ$85,6, FALSE),"")</f>
        <v/>
      </c>
      <c r="K2702" s="45" t="str">
        <f>IFERROR(VLOOKUP(B2702,'Pre-Summary'!$DE$6:$DG$61,3,FALSE),"")</f>
        <v/>
      </c>
      <c r="L2702" s="45" t="str">
        <f>IFERROR(VLOOKUP(B2702,'Pre-Summary'!$CU$6:$CW$36,3,FALSE),"")</f>
        <v/>
      </c>
      <c r="M2702" s="45" t="str">
        <f>IFERROR(VLOOKUP(B2702,'Pre-Summary'!$BW$6:$BY$58,2,FALSE),"")</f>
        <v/>
      </c>
      <c r="N2702" s="45" t="str">
        <f>IFERROR(VLOOKUP(B2702,'Pre-Summary'!$CD$6:$CF$64,2,FALSE),"")</f>
        <v/>
      </c>
      <c r="O2702" s="99">
        <f>IFERROR(VLOOKUP(B2702,'Pre-Summary'!$BO$6:$BQ$48,3, FALSE),O2701)</f>
        <v>1.83</v>
      </c>
      <c r="P2702" s="99">
        <f>IFERROR(VLOOKUP(B2702,'Pre-Summary'!$BS$6:$BU$35,3,FALSE),P2701)</f>
        <v>0.46200000000000002</v>
      </c>
      <c r="Q2702" s="54">
        <f t="shared" si="126"/>
        <v>3.9610389610389611</v>
      </c>
      <c r="R2702" s="53">
        <f>IFERROR(VLOOKUP(B2702,'Pre-Summary'!$BG$6:$BM$44,7,FALSE),R2703)</f>
        <v>9.7903492963591104E-2</v>
      </c>
      <c r="S2702" s="53">
        <f>IFERROR(VLOOKUP(B2702,'Pre-Summary'!$BG$6:$BM$44,6,FALSE),S2703)</f>
        <v>0.1105986773408305</v>
      </c>
      <c r="T2702" s="45" t="str">
        <f>IFERROR(VLOOKUP(B2702,'Pre-Summary'!$Y$6:$AC$83, 3,FALSE),"")</f>
        <v/>
      </c>
      <c r="U2702" s="45" t="str">
        <f>IFERROR(VLOOKUP(B2702,'Pre-Summary'!$Y$6:$AC$83, 4,FALSE),"")</f>
        <v/>
      </c>
      <c r="V2702" t="str">
        <f>IFERROR(VLOOKUP(B2702,'Pre-Summary'!$Y$6:$AC$83, 5,FALSE),"")</f>
        <v/>
      </c>
      <c r="W2702" s="45" t="str">
        <f>IFERROR(VLOOKUP(B2702,'Pre-Summary'!$Y$6:$AD$83,6,FALSE),"")</f>
        <v/>
      </c>
      <c r="X2702" t="str">
        <f>IFERROR(VLOOKUP('Pre-Summary'!$DB$6:$DD$63,3,FALSE),"")</f>
        <v/>
      </c>
      <c r="Y2702" t="str">
        <f>IFERROR(VLOOKUP(B2702,'Pre-Summary'!$CR$6:$CT$36,3,FALSE),"")</f>
        <v/>
      </c>
      <c r="Z2702" s="45" t="str">
        <f>IFERROR(VLOOKUP(B2702,'Pre-Summary'!$BZ$6:$CB$63,2,FALSE),"")</f>
        <v/>
      </c>
      <c r="AA2702" s="45" t="str">
        <f>IFERROR(VLOOKUP(B2702,'Pre-Summary'!$CG$6:$CI$70,2,FALSE),"")</f>
        <v/>
      </c>
      <c r="AB2702" s="99">
        <f>IFERROR(VLOOKUP(B2702,'Pre-Summary'!$A$6:$P$178,9,FALSE),AB2703)</f>
        <v>0.42015906039999273</v>
      </c>
      <c r="AC2702" s="10">
        <f>IFERROR(VLOOKUP(Summary!B2702,'Pre-Summary'!$A$6:$P$184,5, FALSE)/100,AC2703)</f>
        <v>0.98781466666666673</v>
      </c>
      <c r="AD2702" s="10">
        <f>IFERROR(VLOOKUP(Summary!B2702,'Pre-Summary'!$A$6:$P$184,3, FALSE)/100,AD2703)</f>
        <v>7.801333333333332E-3</v>
      </c>
      <c r="AE2702" s="10">
        <f>IFERROR(VLOOKUP(Summary!B2702,'Pre-Summary'!$A$6:$P$184,7, FALSE)/100,AE2703)</f>
        <v>4.3839999999999999E-3</v>
      </c>
      <c r="AF2702" s="99">
        <f t="shared" si="127"/>
        <v>3.2778008832004763E-3</v>
      </c>
      <c r="AG2702" s="99">
        <f t="shared" si="128"/>
        <v>1.841977320793568E-3</v>
      </c>
      <c r="AH2702" s="10" t="str">
        <f>IFERROR(VLOOKUP(B2702,'Pre-Summary'!$AZ$6:$BE$65,3,FALSE),"")</f>
        <v/>
      </c>
      <c r="AI2702" s="10" t="str">
        <f>IFERROR(VLOOKUP(B2702,'Pre-Summary'!$AZ$6:$BE$65,5,FALSE),"")</f>
        <v/>
      </c>
      <c r="AJ2702" s="10" t="str">
        <f>IFERROR(VLOOKUP(B2702,'Pre-Summary'!$AZ$6:$BE$65,4,FALSE),"")</f>
        <v/>
      </c>
      <c r="AK2702" s="10" t="str">
        <f>IFERROR(VLOOKUP(B2702,'Pre-Summary'!$AZ$6:$BE$65,6,FALSE),"")</f>
        <v/>
      </c>
      <c r="AL2702" s="10" t="str">
        <f>IFERROR(VLOOKUP(B2702,'Pre-Summary'!$BG$6:$BL$44,3,FALSE),"")</f>
        <v/>
      </c>
      <c r="AM2702" s="10" t="str">
        <f>IFERROR(VLOOKUP(B2702,'Pre-Summary'!$BG$6:$BL$44,4,FALSE),"")</f>
        <v/>
      </c>
    </row>
    <row r="2703" spans="2:39" ht="15" customHeight="1" x14ac:dyDescent="0.3">
      <c r="B2703">
        <v>270</v>
      </c>
      <c r="C2703" t="str">
        <f>IFERROR(VLOOKUP(B2703,'Pre-Summary'!$DI$6:$DM$23,4,FALSE),"")</f>
        <v/>
      </c>
      <c r="D2703" s="10" t="str">
        <f>IFERROR(VLOOKUP(B2703,'Pre-Summary'!$AT$6:$AX$14,5,FALSE),D2702)</f>
        <v>Wolfe v3: went back to modified wolfe + EDTA and switched CuSO4 to CUCl2</v>
      </c>
      <c r="E2703" s="10" t="str">
        <f>IFERROR(VLOOKUP(B2703,'Pre-Summary'!$AT$6:$AX$15,4,FALSE),"")</f>
        <v/>
      </c>
      <c r="F2703">
        <f>IFERROR(VLOOKUP(B2703,'Pre-Summary'!$AL$6:$AQ$13,6,FALSE),F2702)</f>
        <v>5.9405263157894746E-2</v>
      </c>
      <c r="G2703" t="str">
        <f>IFERROR(VLOOKUP(B2703,'Pre-Summary'!$AE$6:$AJ$85,3,FALSE),"")</f>
        <v/>
      </c>
      <c r="H2703" t="str">
        <f>IFERROR(VLOOKUP(B2703,'Pre-Summary'!$AE$6:$AJ$85,4,FALSE),"")</f>
        <v/>
      </c>
      <c r="I2703" t="str">
        <f>IFERROR(VLOOKUP(B2703,'Pre-Summary'!$AE$6:$AJ$85,5,FALSE),"")</f>
        <v/>
      </c>
      <c r="J2703" s="45" t="str">
        <f>IFERROR(VLOOKUP(B2703,'Pre-Summary'!$AE$6:$AJ$85,6, FALSE),"")</f>
        <v/>
      </c>
      <c r="K2703" s="45" t="str">
        <f>IFERROR(VLOOKUP(B2703,'Pre-Summary'!$DE$6:$DG$61,3,FALSE),"")</f>
        <v/>
      </c>
      <c r="L2703" s="45" t="str">
        <f>IFERROR(VLOOKUP(B2703,'Pre-Summary'!$CU$6:$CW$36,3,FALSE),"")</f>
        <v/>
      </c>
      <c r="M2703" s="45" t="str">
        <f>IFERROR(VLOOKUP(B2703,'Pre-Summary'!$BW$6:$BY$58,2,FALSE),"")</f>
        <v/>
      </c>
      <c r="N2703" s="45" t="str">
        <f>IFERROR(VLOOKUP(B2703,'Pre-Summary'!$CD$6:$CF$64,2,FALSE),"")</f>
        <v/>
      </c>
      <c r="O2703" s="99">
        <f>IFERROR(VLOOKUP(B2703,'Pre-Summary'!$BO$6:$BQ$48,3, FALSE),O2702)</f>
        <v>1.83</v>
      </c>
      <c r="P2703" s="99">
        <f>IFERROR(VLOOKUP(B2703,'Pre-Summary'!$BS$6:$BU$35,3,FALSE),P2702)</f>
        <v>0.46200000000000002</v>
      </c>
      <c r="Q2703" s="54">
        <f t="shared" si="126"/>
        <v>3.9610389610389611</v>
      </c>
      <c r="R2703" s="53">
        <f>IFERROR(VLOOKUP(B2703,'Pre-Summary'!$BG$6:$BM$44,7,FALSE),R2704)</f>
        <v>9.7903492963591104E-2</v>
      </c>
      <c r="S2703" s="53">
        <f>IFERROR(VLOOKUP(B2703,'Pre-Summary'!$BG$6:$BM$44,6,FALSE),S2704)</f>
        <v>0.1105986773408305</v>
      </c>
      <c r="T2703" s="45" t="str">
        <f>IFERROR(VLOOKUP(B2703,'Pre-Summary'!$Y$6:$AC$83, 3,FALSE),"")</f>
        <v/>
      </c>
      <c r="U2703" s="45" t="str">
        <f>IFERROR(VLOOKUP(B2703,'Pre-Summary'!$Y$6:$AC$83, 4,FALSE),"")</f>
        <v/>
      </c>
      <c r="V2703" t="str">
        <f>IFERROR(VLOOKUP(B2703,'Pre-Summary'!$Y$6:$AC$83, 5,FALSE),"")</f>
        <v/>
      </c>
      <c r="W2703" s="45" t="str">
        <f>IFERROR(VLOOKUP(B2703,'Pre-Summary'!$Y$6:$AD$83,6,FALSE),"")</f>
        <v/>
      </c>
      <c r="X2703" t="str">
        <f>IFERROR(VLOOKUP('Pre-Summary'!$DB$6:$DD$63,3,FALSE),"")</f>
        <v/>
      </c>
      <c r="Y2703" t="str">
        <f>IFERROR(VLOOKUP(B2703,'Pre-Summary'!$CR$6:$CT$36,3,FALSE),"")</f>
        <v/>
      </c>
      <c r="Z2703" s="45" t="str">
        <f>IFERROR(VLOOKUP(B2703,'Pre-Summary'!$BZ$6:$CB$63,2,FALSE),"")</f>
        <v/>
      </c>
      <c r="AA2703" s="45" t="str">
        <f>IFERROR(VLOOKUP(B2703,'Pre-Summary'!$CG$6:$CI$70,2,FALSE),"")</f>
        <v/>
      </c>
      <c r="AB2703" s="99">
        <f>IFERROR(VLOOKUP(B2703,'Pre-Summary'!$A$6:$P$178,9,FALSE),AB2704)</f>
        <v>0.42015906039999273</v>
      </c>
      <c r="AC2703" s="10">
        <f>IFERROR(VLOOKUP(Summary!B2703,'Pre-Summary'!$A$6:$P$184,5, FALSE)/100,AC2704)</f>
        <v>0.98781466666666673</v>
      </c>
      <c r="AD2703" s="10">
        <f>IFERROR(VLOOKUP(Summary!B2703,'Pre-Summary'!$A$6:$P$184,3, FALSE)/100,AD2704)</f>
        <v>7.801333333333332E-3</v>
      </c>
      <c r="AE2703" s="10">
        <f>IFERROR(VLOOKUP(Summary!B2703,'Pre-Summary'!$A$6:$P$184,7, FALSE)/100,AE2704)</f>
        <v>4.3839999999999999E-3</v>
      </c>
      <c r="AF2703" s="99">
        <f t="shared" si="127"/>
        <v>3.2778008832004763E-3</v>
      </c>
      <c r="AG2703" s="99">
        <f t="shared" si="128"/>
        <v>1.841977320793568E-3</v>
      </c>
      <c r="AH2703" s="10" t="str">
        <f>IFERROR(VLOOKUP(B2703,'Pre-Summary'!$AZ$6:$BE$65,3,FALSE),"")</f>
        <v/>
      </c>
      <c r="AI2703" s="10" t="str">
        <f>IFERROR(VLOOKUP(B2703,'Pre-Summary'!$AZ$6:$BE$65,5,FALSE),"")</f>
        <v/>
      </c>
      <c r="AJ2703" s="10" t="str">
        <f>IFERROR(VLOOKUP(B2703,'Pre-Summary'!$AZ$6:$BE$65,4,FALSE),"")</f>
        <v/>
      </c>
      <c r="AK2703" s="10" t="str">
        <f>IFERROR(VLOOKUP(B2703,'Pre-Summary'!$AZ$6:$BE$65,6,FALSE),"")</f>
        <v/>
      </c>
      <c r="AL2703" s="10" t="str">
        <f>IFERROR(VLOOKUP(B2703,'Pre-Summary'!$BG$6:$BL$44,3,FALSE),"")</f>
        <v/>
      </c>
      <c r="AM2703" s="10" t="str">
        <f>IFERROR(VLOOKUP(B2703,'Pre-Summary'!$BG$6:$BL$44,4,FALSE),"")</f>
        <v/>
      </c>
    </row>
    <row r="2704" spans="2:39" ht="15" customHeight="1" x14ac:dyDescent="0.3">
      <c r="B2704">
        <v>270.10000000000002</v>
      </c>
      <c r="C2704" t="str">
        <f>IFERROR(VLOOKUP(B2704,'Pre-Summary'!$DI$6:$DM$23,4,FALSE),"")</f>
        <v/>
      </c>
      <c r="D2704" s="10" t="str">
        <f>IFERROR(VLOOKUP(B2704,'Pre-Summary'!$AT$6:$AX$14,5,FALSE),D2703)</f>
        <v>Wolfe v3: went back to modified wolfe + EDTA and switched CuSO4 to CUCl2</v>
      </c>
      <c r="E2704" s="10" t="str">
        <f>IFERROR(VLOOKUP(B2704,'Pre-Summary'!$AT$6:$AX$15,4,FALSE),"")</f>
        <v/>
      </c>
      <c r="F2704">
        <f>IFERROR(VLOOKUP(B2704,'Pre-Summary'!$AL$6:$AQ$13,6,FALSE),F2703)</f>
        <v>5.9405263157894746E-2</v>
      </c>
      <c r="G2704" t="str">
        <f>IFERROR(VLOOKUP(B2704,'Pre-Summary'!$AE$6:$AJ$85,3,FALSE),"")</f>
        <v/>
      </c>
      <c r="H2704" t="str">
        <f>IFERROR(VLOOKUP(B2704,'Pre-Summary'!$AE$6:$AJ$85,4,FALSE),"")</f>
        <v/>
      </c>
      <c r="I2704" t="str">
        <f>IFERROR(VLOOKUP(B2704,'Pre-Summary'!$AE$6:$AJ$85,5,FALSE),"")</f>
        <v/>
      </c>
      <c r="J2704" s="45" t="str">
        <f>IFERROR(VLOOKUP(B2704,'Pre-Summary'!$AE$6:$AJ$85,6, FALSE),"")</f>
        <v/>
      </c>
      <c r="K2704" s="45" t="str">
        <f>IFERROR(VLOOKUP(B2704,'Pre-Summary'!$DE$6:$DG$61,3,FALSE),"")</f>
        <v/>
      </c>
      <c r="L2704" s="45" t="str">
        <f>IFERROR(VLOOKUP(B2704,'Pre-Summary'!$CU$6:$CW$36,3,FALSE),"")</f>
        <v/>
      </c>
      <c r="M2704" s="45" t="str">
        <f>IFERROR(VLOOKUP(B2704,'Pre-Summary'!$BW$6:$BY$58,2,FALSE),"")</f>
        <v/>
      </c>
      <c r="N2704" s="45" t="str">
        <f>IFERROR(VLOOKUP(B2704,'Pre-Summary'!$CD$6:$CF$64,2,FALSE),"")</f>
        <v/>
      </c>
      <c r="O2704" s="99">
        <f>IFERROR(VLOOKUP(B2704,'Pre-Summary'!$BO$6:$BQ$48,3, FALSE),O2703)</f>
        <v>1.83</v>
      </c>
      <c r="P2704" s="99">
        <f>IFERROR(VLOOKUP(B2704,'Pre-Summary'!$BS$6:$BU$35,3,FALSE),P2703)</f>
        <v>0.46200000000000002</v>
      </c>
      <c r="Q2704" s="54">
        <f t="shared" si="126"/>
        <v>3.9610389610389611</v>
      </c>
      <c r="R2704" s="53">
        <f>IFERROR(VLOOKUP(B2704,'Pre-Summary'!$BG$6:$BM$44,7,FALSE),R2705)</f>
        <v>9.7903492963591104E-2</v>
      </c>
      <c r="S2704" s="53">
        <f>IFERROR(VLOOKUP(B2704,'Pre-Summary'!$BG$6:$BM$44,6,FALSE),S2705)</f>
        <v>0.1105986773408305</v>
      </c>
      <c r="T2704" s="45" t="str">
        <f>IFERROR(VLOOKUP(B2704,'Pre-Summary'!$Y$6:$AC$83, 3,FALSE),"")</f>
        <v/>
      </c>
      <c r="U2704" s="45" t="str">
        <f>IFERROR(VLOOKUP(B2704,'Pre-Summary'!$Y$6:$AC$83, 4,FALSE),"")</f>
        <v/>
      </c>
      <c r="V2704" t="str">
        <f>IFERROR(VLOOKUP(B2704,'Pre-Summary'!$Y$6:$AC$83, 5,FALSE),"")</f>
        <v/>
      </c>
      <c r="W2704" s="45" t="str">
        <f>IFERROR(VLOOKUP(B2704,'Pre-Summary'!$Y$6:$AD$83,6,FALSE),"")</f>
        <v/>
      </c>
      <c r="X2704" t="str">
        <f>IFERROR(VLOOKUP('Pre-Summary'!$DB$6:$DD$63,3,FALSE),"")</f>
        <v/>
      </c>
      <c r="Y2704" t="str">
        <f>IFERROR(VLOOKUP(B2704,'Pre-Summary'!$CR$6:$CT$36,3,FALSE),"")</f>
        <v/>
      </c>
      <c r="Z2704" s="45" t="str">
        <f>IFERROR(VLOOKUP(B2704,'Pre-Summary'!$BZ$6:$CB$63,2,FALSE),"")</f>
        <v/>
      </c>
      <c r="AA2704" s="45" t="str">
        <f>IFERROR(VLOOKUP(B2704,'Pre-Summary'!$CG$6:$CI$70,2,FALSE),"")</f>
        <v/>
      </c>
      <c r="AB2704" s="99">
        <f>IFERROR(VLOOKUP(B2704,'Pre-Summary'!$A$6:$P$178,9,FALSE),AB2705)</f>
        <v>0.42015906039999273</v>
      </c>
      <c r="AC2704" s="10">
        <f>IFERROR(VLOOKUP(Summary!B2704,'Pre-Summary'!$A$6:$P$184,5, FALSE)/100,AC2705)</f>
        <v>0.98781466666666673</v>
      </c>
      <c r="AD2704" s="10">
        <f>IFERROR(VLOOKUP(Summary!B2704,'Pre-Summary'!$A$6:$P$184,3, FALSE)/100,AD2705)</f>
        <v>7.801333333333332E-3</v>
      </c>
      <c r="AE2704" s="10">
        <f>IFERROR(VLOOKUP(Summary!B2704,'Pre-Summary'!$A$6:$P$184,7, FALSE)/100,AE2705)</f>
        <v>4.3839999999999999E-3</v>
      </c>
      <c r="AF2704" s="99">
        <f t="shared" si="127"/>
        <v>3.2778008832004763E-3</v>
      </c>
      <c r="AG2704" s="99">
        <f t="shared" si="128"/>
        <v>1.841977320793568E-3</v>
      </c>
      <c r="AH2704" s="10" t="str">
        <f>IFERROR(VLOOKUP(B2704,'Pre-Summary'!$AZ$6:$BE$65,3,FALSE),"")</f>
        <v/>
      </c>
      <c r="AI2704" s="10" t="str">
        <f>IFERROR(VLOOKUP(B2704,'Pre-Summary'!$AZ$6:$BE$65,5,FALSE),"")</f>
        <v/>
      </c>
      <c r="AJ2704" s="10" t="str">
        <f>IFERROR(VLOOKUP(B2704,'Pre-Summary'!$AZ$6:$BE$65,4,FALSE),"")</f>
        <v/>
      </c>
      <c r="AK2704" s="10" t="str">
        <f>IFERROR(VLOOKUP(B2704,'Pre-Summary'!$AZ$6:$BE$65,6,FALSE),"")</f>
        <v/>
      </c>
      <c r="AL2704" s="10" t="str">
        <f>IFERROR(VLOOKUP(B2704,'Pre-Summary'!$BG$6:$BL$44,3,FALSE),"")</f>
        <v/>
      </c>
      <c r="AM2704" s="10" t="str">
        <f>IFERROR(VLOOKUP(B2704,'Pre-Summary'!$BG$6:$BL$44,4,FALSE),"")</f>
        <v/>
      </c>
    </row>
    <row r="2705" spans="2:39" ht="15" customHeight="1" x14ac:dyDescent="0.3">
      <c r="B2705">
        <v>270.2</v>
      </c>
      <c r="C2705" t="str">
        <f>IFERROR(VLOOKUP(B2705,'Pre-Summary'!$DI$6:$DM$23,4,FALSE),"")</f>
        <v/>
      </c>
      <c r="D2705" s="10" t="str">
        <f>IFERROR(VLOOKUP(B2705,'Pre-Summary'!$AT$6:$AX$14,5,FALSE),D2704)</f>
        <v>Wolfe v3: went back to modified wolfe + EDTA and switched CuSO4 to CUCl2</v>
      </c>
      <c r="E2705" s="10" t="str">
        <f>IFERROR(VLOOKUP(B2705,'Pre-Summary'!$AT$6:$AX$15,4,FALSE),"")</f>
        <v/>
      </c>
      <c r="F2705">
        <f>IFERROR(VLOOKUP(B2705,'Pre-Summary'!$AL$6:$AQ$13,6,FALSE),F2704)</f>
        <v>5.9405263157894746E-2</v>
      </c>
      <c r="G2705" t="str">
        <f>IFERROR(VLOOKUP(B2705,'Pre-Summary'!$AE$6:$AJ$85,3,FALSE),"")</f>
        <v/>
      </c>
      <c r="H2705" t="str">
        <f>IFERROR(VLOOKUP(B2705,'Pre-Summary'!$AE$6:$AJ$85,4,FALSE),"")</f>
        <v/>
      </c>
      <c r="I2705" t="str">
        <f>IFERROR(VLOOKUP(B2705,'Pre-Summary'!$AE$6:$AJ$85,5,FALSE),"")</f>
        <v/>
      </c>
      <c r="J2705" s="45" t="str">
        <f>IFERROR(VLOOKUP(B2705,'Pre-Summary'!$AE$6:$AJ$85,6, FALSE),"")</f>
        <v/>
      </c>
      <c r="K2705" s="45" t="str">
        <f>IFERROR(VLOOKUP(B2705,'Pre-Summary'!$DE$6:$DG$61,3,FALSE),"")</f>
        <v/>
      </c>
      <c r="L2705" s="45" t="str">
        <f>IFERROR(VLOOKUP(B2705,'Pre-Summary'!$CU$6:$CW$36,3,FALSE),"")</f>
        <v/>
      </c>
      <c r="M2705" s="45" t="str">
        <f>IFERROR(VLOOKUP(B2705,'Pre-Summary'!$BW$6:$BY$58,2,FALSE),"")</f>
        <v/>
      </c>
      <c r="N2705" s="45" t="str">
        <f>IFERROR(VLOOKUP(B2705,'Pre-Summary'!$CD$6:$CF$64,2,FALSE),"")</f>
        <v/>
      </c>
      <c r="O2705" s="99">
        <f>IFERROR(VLOOKUP(B2705,'Pre-Summary'!$BO$6:$BQ$48,3, FALSE),O2704)</f>
        <v>1.83</v>
      </c>
      <c r="P2705" s="99">
        <f>IFERROR(VLOOKUP(B2705,'Pre-Summary'!$BS$6:$BU$35,3,FALSE),P2704)</f>
        <v>0.46200000000000002</v>
      </c>
      <c r="Q2705" s="54">
        <f t="shared" si="126"/>
        <v>3.9610389610389611</v>
      </c>
      <c r="R2705" s="53">
        <f>IFERROR(VLOOKUP(B2705,'Pre-Summary'!$BG$6:$BM$44,7,FALSE),R2706)</f>
        <v>9.7903492963591104E-2</v>
      </c>
      <c r="S2705" s="53">
        <f>IFERROR(VLOOKUP(B2705,'Pre-Summary'!$BG$6:$BM$44,6,FALSE),S2706)</f>
        <v>0.1105986773408305</v>
      </c>
      <c r="T2705" s="45" t="str">
        <f>IFERROR(VLOOKUP(B2705,'Pre-Summary'!$Y$6:$AC$83, 3,FALSE),"")</f>
        <v/>
      </c>
      <c r="U2705" s="45" t="str">
        <f>IFERROR(VLOOKUP(B2705,'Pre-Summary'!$Y$6:$AC$83, 4,FALSE),"")</f>
        <v/>
      </c>
      <c r="V2705" t="str">
        <f>IFERROR(VLOOKUP(B2705,'Pre-Summary'!$Y$6:$AC$83, 5,FALSE),"")</f>
        <v/>
      </c>
      <c r="W2705" s="45" t="str">
        <f>IFERROR(VLOOKUP(B2705,'Pre-Summary'!$Y$6:$AD$83,6,FALSE),"")</f>
        <v/>
      </c>
      <c r="X2705" t="str">
        <f>IFERROR(VLOOKUP('Pre-Summary'!$DB$6:$DD$63,3,FALSE),"")</f>
        <v/>
      </c>
      <c r="Y2705" t="str">
        <f>IFERROR(VLOOKUP(B2705,'Pre-Summary'!$CR$6:$CT$36,3,FALSE),"")</f>
        <v/>
      </c>
      <c r="Z2705" s="45" t="str">
        <f>IFERROR(VLOOKUP(B2705,'Pre-Summary'!$BZ$6:$CB$63,2,FALSE),"")</f>
        <v/>
      </c>
      <c r="AA2705" s="45" t="str">
        <f>IFERROR(VLOOKUP(B2705,'Pre-Summary'!$CG$6:$CI$70,2,FALSE),"")</f>
        <v/>
      </c>
      <c r="AB2705" s="99">
        <f>IFERROR(VLOOKUP(B2705,'Pre-Summary'!$A$6:$P$178,9,FALSE),AB2706)</f>
        <v>0.42015906039999273</v>
      </c>
      <c r="AC2705" s="10">
        <f>IFERROR(VLOOKUP(Summary!B2705,'Pre-Summary'!$A$6:$P$184,5, FALSE)/100,AC2706)</f>
        <v>0.98781466666666673</v>
      </c>
      <c r="AD2705" s="10">
        <f>IFERROR(VLOOKUP(Summary!B2705,'Pre-Summary'!$A$6:$P$184,3, FALSE)/100,AD2706)</f>
        <v>7.801333333333332E-3</v>
      </c>
      <c r="AE2705" s="10">
        <f>IFERROR(VLOOKUP(Summary!B2705,'Pre-Summary'!$A$6:$P$184,7, FALSE)/100,AE2706)</f>
        <v>4.3839999999999999E-3</v>
      </c>
      <c r="AF2705" s="99">
        <f t="shared" si="127"/>
        <v>3.2778008832004763E-3</v>
      </c>
      <c r="AG2705" s="99">
        <f t="shared" si="128"/>
        <v>1.841977320793568E-3</v>
      </c>
      <c r="AH2705" s="10" t="str">
        <f>IFERROR(VLOOKUP(B2705,'Pre-Summary'!$AZ$6:$BE$65,3,FALSE),"")</f>
        <v/>
      </c>
      <c r="AI2705" s="10" t="str">
        <f>IFERROR(VLOOKUP(B2705,'Pre-Summary'!$AZ$6:$BE$65,5,FALSE),"")</f>
        <v/>
      </c>
      <c r="AJ2705" s="10" t="str">
        <f>IFERROR(VLOOKUP(B2705,'Pre-Summary'!$AZ$6:$BE$65,4,FALSE),"")</f>
        <v/>
      </c>
      <c r="AK2705" s="10" t="str">
        <f>IFERROR(VLOOKUP(B2705,'Pre-Summary'!$AZ$6:$BE$65,6,FALSE),"")</f>
        <v/>
      </c>
      <c r="AL2705" s="10" t="str">
        <f>IFERROR(VLOOKUP(B2705,'Pre-Summary'!$BG$6:$BL$44,3,FALSE),"")</f>
        <v/>
      </c>
      <c r="AM2705" s="10" t="str">
        <f>IFERROR(VLOOKUP(B2705,'Pre-Summary'!$BG$6:$BL$44,4,FALSE),"")</f>
        <v/>
      </c>
    </row>
    <row r="2706" spans="2:39" ht="15" customHeight="1" x14ac:dyDescent="0.3">
      <c r="B2706">
        <v>270.3</v>
      </c>
      <c r="C2706" t="str">
        <f>IFERROR(VLOOKUP(B2706,'Pre-Summary'!$DI$6:$DM$23,4,FALSE),"")</f>
        <v/>
      </c>
      <c r="D2706" s="10" t="str">
        <f>IFERROR(VLOOKUP(B2706,'Pre-Summary'!$AT$6:$AX$14,5,FALSE),D2705)</f>
        <v>Wolfe v3: went back to modified wolfe + EDTA and switched CuSO4 to CUCl2</v>
      </c>
      <c r="E2706" s="10" t="str">
        <f>IFERROR(VLOOKUP(B2706,'Pre-Summary'!$AT$6:$AX$15,4,FALSE),"")</f>
        <v/>
      </c>
      <c r="F2706">
        <f>IFERROR(VLOOKUP(B2706,'Pre-Summary'!$AL$6:$AQ$13,6,FALSE),F2705)</f>
        <v>5.9405263157894746E-2</v>
      </c>
      <c r="G2706" t="str">
        <f>IFERROR(VLOOKUP(B2706,'Pre-Summary'!$AE$6:$AJ$85,3,FALSE),"")</f>
        <v/>
      </c>
      <c r="H2706" t="str">
        <f>IFERROR(VLOOKUP(B2706,'Pre-Summary'!$AE$6:$AJ$85,4,FALSE),"")</f>
        <v/>
      </c>
      <c r="I2706" t="str">
        <f>IFERROR(VLOOKUP(B2706,'Pre-Summary'!$AE$6:$AJ$85,5,FALSE),"")</f>
        <v/>
      </c>
      <c r="J2706" s="45" t="str">
        <f>IFERROR(VLOOKUP(B2706,'Pre-Summary'!$AE$6:$AJ$85,6, FALSE),"")</f>
        <v/>
      </c>
      <c r="K2706" s="45" t="str">
        <f>IFERROR(VLOOKUP(B2706,'Pre-Summary'!$DE$6:$DG$61,3,FALSE),"")</f>
        <v/>
      </c>
      <c r="L2706" s="45" t="str">
        <f>IFERROR(VLOOKUP(B2706,'Pre-Summary'!$CU$6:$CW$36,3,FALSE),"")</f>
        <v/>
      </c>
      <c r="M2706" s="45" t="str">
        <f>IFERROR(VLOOKUP(B2706,'Pre-Summary'!$BW$6:$BY$58,2,FALSE),"")</f>
        <v/>
      </c>
      <c r="N2706" s="45" t="str">
        <f>IFERROR(VLOOKUP(B2706,'Pre-Summary'!$CD$6:$CF$64,2,FALSE),"")</f>
        <v/>
      </c>
      <c r="O2706" s="99">
        <f>IFERROR(VLOOKUP(B2706,'Pre-Summary'!$BO$6:$BQ$48,3, FALSE),O2705)</f>
        <v>1.83</v>
      </c>
      <c r="P2706" s="99">
        <f>IFERROR(VLOOKUP(B2706,'Pre-Summary'!$BS$6:$BU$35,3,FALSE),P2705)</f>
        <v>0.46200000000000002</v>
      </c>
      <c r="Q2706" s="54">
        <f t="shared" si="126"/>
        <v>3.9610389610389611</v>
      </c>
      <c r="R2706" s="53">
        <f>IFERROR(VLOOKUP(B2706,'Pre-Summary'!$BG$6:$BM$44,7,FALSE),R2707)</f>
        <v>9.7903492963591104E-2</v>
      </c>
      <c r="S2706" s="53">
        <f>IFERROR(VLOOKUP(B2706,'Pre-Summary'!$BG$6:$BM$44,6,FALSE),S2707)</f>
        <v>0.1105986773408305</v>
      </c>
      <c r="T2706" s="45" t="str">
        <f>IFERROR(VLOOKUP(B2706,'Pre-Summary'!$Y$6:$AC$83, 3,FALSE),"")</f>
        <v/>
      </c>
      <c r="U2706" s="45" t="str">
        <f>IFERROR(VLOOKUP(B2706,'Pre-Summary'!$Y$6:$AC$83, 4,FALSE),"")</f>
        <v/>
      </c>
      <c r="V2706" t="str">
        <f>IFERROR(VLOOKUP(B2706,'Pre-Summary'!$Y$6:$AC$83, 5,FALSE),"")</f>
        <v/>
      </c>
      <c r="W2706" s="45" t="str">
        <f>IFERROR(VLOOKUP(B2706,'Pre-Summary'!$Y$6:$AD$83,6,FALSE),"")</f>
        <v/>
      </c>
      <c r="X2706" t="str">
        <f>IFERROR(VLOOKUP('Pre-Summary'!$DB$6:$DD$63,3,FALSE),"")</f>
        <v/>
      </c>
      <c r="Y2706" t="str">
        <f>IFERROR(VLOOKUP(B2706,'Pre-Summary'!$CR$6:$CT$36,3,FALSE),"")</f>
        <v/>
      </c>
      <c r="Z2706" s="45" t="str">
        <f>IFERROR(VLOOKUP(B2706,'Pre-Summary'!$BZ$6:$CB$63,2,FALSE),"")</f>
        <v/>
      </c>
      <c r="AA2706" s="45" t="str">
        <f>IFERROR(VLOOKUP(B2706,'Pre-Summary'!$CG$6:$CI$70,2,FALSE),"")</f>
        <v/>
      </c>
      <c r="AB2706" s="99">
        <f>IFERROR(VLOOKUP(B2706,'Pre-Summary'!$A$6:$P$178,9,FALSE),AB2707)</f>
        <v>0.42015906039999273</v>
      </c>
      <c r="AC2706" s="10">
        <f>IFERROR(VLOOKUP(Summary!B2706,'Pre-Summary'!$A$6:$P$184,5, FALSE)/100,AC2707)</f>
        <v>0.98781466666666673</v>
      </c>
      <c r="AD2706" s="10">
        <f>IFERROR(VLOOKUP(Summary!B2706,'Pre-Summary'!$A$6:$P$184,3, FALSE)/100,AD2707)</f>
        <v>7.801333333333332E-3</v>
      </c>
      <c r="AE2706" s="10">
        <f>IFERROR(VLOOKUP(Summary!B2706,'Pre-Summary'!$A$6:$P$184,7, FALSE)/100,AE2707)</f>
        <v>4.3839999999999999E-3</v>
      </c>
      <c r="AF2706" s="99">
        <f t="shared" si="127"/>
        <v>3.2778008832004763E-3</v>
      </c>
      <c r="AG2706" s="99">
        <f t="shared" si="128"/>
        <v>1.841977320793568E-3</v>
      </c>
      <c r="AH2706" s="10" t="str">
        <f>IFERROR(VLOOKUP(B2706,'Pre-Summary'!$AZ$6:$BE$65,3,FALSE),"")</f>
        <v/>
      </c>
      <c r="AI2706" s="10" t="str">
        <f>IFERROR(VLOOKUP(B2706,'Pre-Summary'!$AZ$6:$BE$65,5,FALSE),"")</f>
        <v/>
      </c>
      <c r="AJ2706" s="10" t="str">
        <f>IFERROR(VLOOKUP(B2706,'Pre-Summary'!$AZ$6:$BE$65,4,FALSE),"")</f>
        <v/>
      </c>
      <c r="AK2706" s="10" t="str">
        <f>IFERROR(VLOOKUP(B2706,'Pre-Summary'!$AZ$6:$BE$65,6,FALSE),"")</f>
        <v/>
      </c>
      <c r="AL2706" s="10" t="str">
        <f>IFERROR(VLOOKUP(B2706,'Pre-Summary'!$BG$6:$BL$44,3,FALSE),"")</f>
        <v/>
      </c>
      <c r="AM2706" s="10" t="str">
        <f>IFERROR(VLOOKUP(B2706,'Pre-Summary'!$BG$6:$BL$44,4,FALSE),"")</f>
        <v/>
      </c>
    </row>
    <row r="2707" spans="2:39" ht="15" customHeight="1" x14ac:dyDescent="0.3">
      <c r="B2707">
        <v>270.39999999999998</v>
      </c>
      <c r="C2707" t="str">
        <f>IFERROR(VLOOKUP(B2707,'Pre-Summary'!$DI$6:$DM$23,4,FALSE),"")</f>
        <v/>
      </c>
      <c r="D2707" s="10" t="str">
        <f>IFERROR(VLOOKUP(B2707,'Pre-Summary'!$AT$6:$AX$14,5,FALSE),D2706)</f>
        <v>Wolfe v3: went back to modified wolfe + EDTA and switched CuSO4 to CUCl2</v>
      </c>
      <c r="E2707" s="10" t="str">
        <f>IFERROR(VLOOKUP(B2707,'Pre-Summary'!$AT$6:$AX$15,4,FALSE),"")</f>
        <v/>
      </c>
      <c r="F2707">
        <f>IFERROR(VLOOKUP(B2707,'Pre-Summary'!$AL$6:$AQ$13,6,FALSE),F2706)</f>
        <v>5.9405263157894746E-2</v>
      </c>
      <c r="G2707" t="str">
        <f>IFERROR(VLOOKUP(B2707,'Pre-Summary'!$AE$6:$AJ$85,3,FALSE),"")</f>
        <v/>
      </c>
      <c r="H2707" t="str">
        <f>IFERROR(VLOOKUP(B2707,'Pre-Summary'!$AE$6:$AJ$85,4,FALSE),"")</f>
        <v/>
      </c>
      <c r="I2707" t="str">
        <f>IFERROR(VLOOKUP(B2707,'Pre-Summary'!$AE$6:$AJ$85,5,FALSE),"")</f>
        <v/>
      </c>
      <c r="J2707" s="45" t="str">
        <f>IFERROR(VLOOKUP(B2707,'Pre-Summary'!$AE$6:$AJ$85,6, FALSE),"")</f>
        <v/>
      </c>
      <c r="K2707" s="45" t="str">
        <f>IFERROR(VLOOKUP(B2707,'Pre-Summary'!$DE$6:$DG$61,3,FALSE),"")</f>
        <v/>
      </c>
      <c r="L2707" s="45" t="str">
        <f>IFERROR(VLOOKUP(B2707,'Pre-Summary'!$CU$6:$CW$36,3,FALSE),"")</f>
        <v/>
      </c>
      <c r="M2707" s="45" t="str">
        <f>IFERROR(VLOOKUP(B2707,'Pre-Summary'!$BW$6:$BY$58,2,FALSE),"")</f>
        <v/>
      </c>
      <c r="N2707" s="45" t="str">
        <f>IFERROR(VLOOKUP(B2707,'Pre-Summary'!$CD$6:$CF$64,2,FALSE),"")</f>
        <v/>
      </c>
      <c r="O2707" s="99">
        <f>IFERROR(VLOOKUP(B2707,'Pre-Summary'!$BO$6:$BQ$48,3, FALSE),O2706)</f>
        <v>1.83</v>
      </c>
      <c r="P2707" s="99">
        <f>IFERROR(VLOOKUP(B2707,'Pre-Summary'!$BS$6:$BU$35,3,FALSE),P2706)</f>
        <v>0.46200000000000002</v>
      </c>
      <c r="Q2707" s="54">
        <f t="shared" si="126"/>
        <v>3.9610389610389611</v>
      </c>
      <c r="R2707" s="53">
        <f>IFERROR(VLOOKUP(B2707,'Pre-Summary'!$BG$6:$BM$44,7,FALSE),R2708)</f>
        <v>9.7903492963591104E-2</v>
      </c>
      <c r="S2707" s="53">
        <f>IFERROR(VLOOKUP(B2707,'Pre-Summary'!$BG$6:$BM$44,6,FALSE),S2708)</f>
        <v>0.1105986773408305</v>
      </c>
      <c r="T2707" s="45" t="str">
        <f>IFERROR(VLOOKUP(B2707,'Pre-Summary'!$Y$6:$AC$83, 3,FALSE),"")</f>
        <v/>
      </c>
      <c r="U2707" s="45" t="str">
        <f>IFERROR(VLOOKUP(B2707,'Pre-Summary'!$Y$6:$AC$83, 4,FALSE),"")</f>
        <v/>
      </c>
      <c r="V2707" t="str">
        <f>IFERROR(VLOOKUP(B2707,'Pre-Summary'!$Y$6:$AC$83, 5,FALSE),"")</f>
        <v/>
      </c>
      <c r="W2707" s="45" t="str">
        <f>IFERROR(VLOOKUP(B2707,'Pre-Summary'!$Y$6:$AD$83,6,FALSE),"")</f>
        <v/>
      </c>
      <c r="X2707" t="str">
        <f>IFERROR(VLOOKUP('Pre-Summary'!$DB$6:$DD$63,3,FALSE),"")</f>
        <v/>
      </c>
      <c r="Y2707" t="str">
        <f>IFERROR(VLOOKUP(B2707,'Pre-Summary'!$CR$6:$CT$36,3,FALSE),"")</f>
        <v/>
      </c>
      <c r="Z2707" s="45" t="str">
        <f>IFERROR(VLOOKUP(B2707,'Pre-Summary'!$BZ$6:$CB$63,2,FALSE),"")</f>
        <v/>
      </c>
      <c r="AA2707" s="45" t="str">
        <f>IFERROR(VLOOKUP(B2707,'Pre-Summary'!$CG$6:$CI$70,2,FALSE),"")</f>
        <v/>
      </c>
      <c r="AB2707" s="99">
        <f>IFERROR(VLOOKUP(B2707,'Pre-Summary'!$A$6:$P$178,9,FALSE),AB2708)</f>
        <v>0.42015906039999273</v>
      </c>
      <c r="AC2707" s="10">
        <f>IFERROR(VLOOKUP(Summary!B2707,'Pre-Summary'!$A$6:$P$184,5, FALSE)/100,AC2708)</f>
        <v>0.98781466666666673</v>
      </c>
      <c r="AD2707" s="10">
        <f>IFERROR(VLOOKUP(Summary!B2707,'Pre-Summary'!$A$6:$P$184,3, FALSE)/100,AD2708)</f>
        <v>7.801333333333332E-3</v>
      </c>
      <c r="AE2707" s="10">
        <f>IFERROR(VLOOKUP(Summary!B2707,'Pre-Summary'!$A$6:$P$184,7, FALSE)/100,AE2708)</f>
        <v>4.3839999999999999E-3</v>
      </c>
      <c r="AF2707" s="99">
        <f t="shared" si="127"/>
        <v>3.2778008832004763E-3</v>
      </c>
      <c r="AG2707" s="99">
        <f t="shared" si="128"/>
        <v>1.841977320793568E-3</v>
      </c>
      <c r="AH2707" s="10" t="str">
        <f>IFERROR(VLOOKUP(B2707,'Pre-Summary'!$AZ$6:$BE$65,3,FALSE),"")</f>
        <v/>
      </c>
      <c r="AI2707" s="10" t="str">
        <f>IFERROR(VLOOKUP(B2707,'Pre-Summary'!$AZ$6:$BE$65,5,FALSE),"")</f>
        <v/>
      </c>
      <c r="AJ2707" s="10" t="str">
        <f>IFERROR(VLOOKUP(B2707,'Pre-Summary'!$AZ$6:$BE$65,4,FALSE),"")</f>
        <v/>
      </c>
      <c r="AK2707" s="10" t="str">
        <f>IFERROR(VLOOKUP(B2707,'Pre-Summary'!$AZ$6:$BE$65,6,FALSE),"")</f>
        <v/>
      </c>
      <c r="AL2707" s="10" t="str">
        <f>IFERROR(VLOOKUP(B2707,'Pre-Summary'!$BG$6:$BL$44,3,FALSE),"")</f>
        <v/>
      </c>
      <c r="AM2707" s="10" t="str">
        <f>IFERROR(VLOOKUP(B2707,'Pre-Summary'!$BG$6:$BL$44,4,FALSE),"")</f>
        <v/>
      </c>
    </row>
    <row r="2708" spans="2:39" ht="15" customHeight="1" x14ac:dyDescent="0.3">
      <c r="B2708">
        <v>270.5</v>
      </c>
      <c r="C2708" t="str">
        <f>IFERROR(VLOOKUP(B2708,'Pre-Summary'!$DI$6:$DM$23,4,FALSE),"")</f>
        <v/>
      </c>
      <c r="D2708" s="10" t="str">
        <f>IFERROR(VLOOKUP(B2708,'Pre-Summary'!$AT$6:$AX$14,5,FALSE),D2707)</f>
        <v>Wolfe v3: went back to modified wolfe + EDTA and switched CuSO4 to CUCl2</v>
      </c>
      <c r="E2708" s="10" t="str">
        <f>IFERROR(VLOOKUP(B2708,'Pre-Summary'!$AT$6:$AX$15,4,FALSE),"")</f>
        <v/>
      </c>
      <c r="F2708">
        <f>IFERROR(VLOOKUP(B2708,'Pre-Summary'!$AL$6:$AQ$13,6,FALSE),F2707)</f>
        <v>5.9405263157894746E-2</v>
      </c>
      <c r="G2708" t="str">
        <f>IFERROR(VLOOKUP(B2708,'Pre-Summary'!$AE$6:$AJ$85,3,FALSE),"")</f>
        <v/>
      </c>
      <c r="H2708" t="str">
        <f>IFERROR(VLOOKUP(B2708,'Pre-Summary'!$AE$6:$AJ$85,4,FALSE),"")</f>
        <v/>
      </c>
      <c r="I2708" t="str">
        <f>IFERROR(VLOOKUP(B2708,'Pre-Summary'!$AE$6:$AJ$85,5,FALSE),"")</f>
        <v/>
      </c>
      <c r="J2708" s="45" t="str">
        <f>IFERROR(VLOOKUP(B2708,'Pre-Summary'!$AE$6:$AJ$85,6, FALSE),"")</f>
        <v/>
      </c>
      <c r="K2708" s="45" t="str">
        <f>IFERROR(VLOOKUP(B2708,'Pre-Summary'!$DE$6:$DG$61,3,FALSE),"")</f>
        <v/>
      </c>
      <c r="L2708" s="45" t="str">
        <f>IFERROR(VLOOKUP(B2708,'Pre-Summary'!$CU$6:$CW$36,3,FALSE),"")</f>
        <v/>
      </c>
      <c r="M2708" s="45" t="str">
        <f>IFERROR(VLOOKUP(B2708,'Pre-Summary'!$BW$6:$BY$58,2,FALSE),"")</f>
        <v/>
      </c>
      <c r="N2708" s="45" t="str">
        <f>IFERROR(VLOOKUP(B2708,'Pre-Summary'!$CD$6:$CF$64,2,FALSE),"")</f>
        <v/>
      </c>
      <c r="O2708" s="99">
        <f>IFERROR(VLOOKUP(B2708,'Pre-Summary'!$BO$6:$BQ$48,3, FALSE),O2707)</f>
        <v>1.83</v>
      </c>
      <c r="P2708" s="99">
        <f>IFERROR(VLOOKUP(B2708,'Pre-Summary'!$BS$6:$BU$35,3,FALSE),P2707)</f>
        <v>0.46200000000000002</v>
      </c>
      <c r="Q2708" s="54">
        <f t="shared" si="126"/>
        <v>3.9610389610389611</v>
      </c>
      <c r="R2708" s="53">
        <f>IFERROR(VLOOKUP(B2708,'Pre-Summary'!$BG$6:$BM$44,7,FALSE),R2709)</f>
        <v>9.7903492963591104E-2</v>
      </c>
      <c r="S2708" s="53">
        <f>IFERROR(VLOOKUP(B2708,'Pre-Summary'!$BG$6:$BM$44,6,FALSE),S2709)</f>
        <v>0.1105986773408305</v>
      </c>
      <c r="T2708" s="45" t="str">
        <f>IFERROR(VLOOKUP(B2708,'Pre-Summary'!$Y$6:$AC$83, 3,FALSE),"")</f>
        <v/>
      </c>
      <c r="U2708" s="45" t="str">
        <f>IFERROR(VLOOKUP(B2708,'Pre-Summary'!$Y$6:$AC$83, 4,FALSE),"")</f>
        <v/>
      </c>
      <c r="V2708" t="str">
        <f>IFERROR(VLOOKUP(B2708,'Pre-Summary'!$Y$6:$AC$83, 5,FALSE),"")</f>
        <v/>
      </c>
      <c r="W2708" s="45" t="str">
        <f>IFERROR(VLOOKUP(B2708,'Pre-Summary'!$Y$6:$AD$83,6,FALSE),"")</f>
        <v/>
      </c>
      <c r="X2708" t="str">
        <f>IFERROR(VLOOKUP('Pre-Summary'!$DB$6:$DD$63,3,FALSE),"")</f>
        <v/>
      </c>
      <c r="Y2708" t="str">
        <f>IFERROR(VLOOKUP(B2708,'Pre-Summary'!$CR$6:$CT$36,3,FALSE),"")</f>
        <v/>
      </c>
      <c r="Z2708" s="45" t="str">
        <f>IFERROR(VLOOKUP(B2708,'Pre-Summary'!$BZ$6:$CB$63,2,FALSE),"")</f>
        <v/>
      </c>
      <c r="AA2708" s="45" t="str">
        <f>IFERROR(VLOOKUP(B2708,'Pre-Summary'!$CG$6:$CI$70,2,FALSE),"")</f>
        <v/>
      </c>
      <c r="AB2708" s="99">
        <f>IFERROR(VLOOKUP(B2708,'Pre-Summary'!$A$6:$P$178,9,FALSE),AB2709)</f>
        <v>0.42015906039999273</v>
      </c>
      <c r="AC2708" s="10">
        <f>IFERROR(VLOOKUP(Summary!B2708,'Pre-Summary'!$A$6:$P$184,5, FALSE)/100,AC2709)</f>
        <v>0.98781466666666673</v>
      </c>
      <c r="AD2708" s="10">
        <f>IFERROR(VLOOKUP(Summary!B2708,'Pre-Summary'!$A$6:$P$184,3, FALSE)/100,AD2709)</f>
        <v>7.801333333333332E-3</v>
      </c>
      <c r="AE2708" s="10">
        <f>IFERROR(VLOOKUP(Summary!B2708,'Pre-Summary'!$A$6:$P$184,7, FALSE)/100,AE2709)</f>
        <v>4.3839999999999999E-3</v>
      </c>
      <c r="AF2708" s="99">
        <f t="shared" si="127"/>
        <v>3.2778008832004763E-3</v>
      </c>
      <c r="AG2708" s="99">
        <f t="shared" si="128"/>
        <v>1.841977320793568E-3</v>
      </c>
      <c r="AH2708" s="10" t="str">
        <f>IFERROR(VLOOKUP(B2708,'Pre-Summary'!$AZ$6:$BE$65,3,FALSE),"")</f>
        <v/>
      </c>
      <c r="AI2708" s="10" t="str">
        <f>IFERROR(VLOOKUP(B2708,'Pre-Summary'!$AZ$6:$BE$65,5,FALSE),"")</f>
        <v/>
      </c>
      <c r="AJ2708" s="10" t="str">
        <f>IFERROR(VLOOKUP(B2708,'Pre-Summary'!$AZ$6:$BE$65,4,FALSE),"")</f>
        <v/>
      </c>
      <c r="AK2708" s="10" t="str">
        <f>IFERROR(VLOOKUP(B2708,'Pre-Summary'!$AZ$6:$BE$65,6,FALSE),"")</f>
        <v/>
      </c>
      <c r="AL2708" s="10" t="str">
        <f>IFERROR(VLOOKUP(B2708,'Pre-Summary'!$BG$6:$BL$44,3,FALSE),"")</f>
        <v/>
      </c>
      <c r="AM2708" s="10" t="str">
        <f>IFERROR(VLOOKUP(B2708,'Pre-Summary'!$BG$6:$BL$44,4,FALSE),"")</f>
        <v/>
      </c>
    </row>
    <row r="2709" spans="2:39" ht="15" customHeight="1" x14ac:dyDescent="0.3">
      <c r="B2709">
        <v>270.60000000000002</v>
      </c>
      <c r="C2709" t="str">
        <f>IFERROR(VLOOKUP(B2709,'Pre-Summary'!$DI$6:$DM$23,4,FALSE),"")</f>
        <v/>
      </c>
      <c r="D2709" s="10" t="str">
        <f>IFERROR(VLOOKUP(B2709,'Pre-Summary'!$AT$6:$AX$14,5,FALSE),D2708)</f>
        <v>Wolfe v3: went back to modified wolfe + EDTA and switched CuSO4 to CUCl2</v>
      </c>
      <c r="E2709" s="10" t="str">
        <f>IFERROR(VLOOKUP(B2709,'Pre-Summary'!$AT$6:$AX$15,4,FALSE),"")</f>
        <v/>
      </c>
      <c r="F2709">
        <f>IFERROR(VLOOKUP(B2709,'Pre-Summary'!$AL$6:$AQ$13,6,FALSE),F2708)</f>
        <v>5.9405263157894746E-2</v>
      </c>
      <c r="G2709" t="str">
        <f>IFERROR(VLOOKUP(B2709,'Pre-Summary'!$AE$6:$AJ$85,3,FALSE),"")</f>
        <v/>
      </c>
      <c r="H2709" t="str">
        <f>IFERROR(VLOOKUP(B2709,'Pre-Summary'!$AE$6:$AJ$85,4,FALSE),"")</f>
        <v/>
      </c>
      <c r="I2709" t="str">
        <f>IFERROR(VLOOKUP(B2709,'Pre-Summary'!$AE$6:$AJ$85,5,FALSE),"")</f>
        <v/>
      </c>
      <c r="J2709" s="45" t="str">
        <f>IFERROR(VLOOKUP(B2709,'Pre-Summary'!$AE$6:$AJ$85,6, FALSE),"")</f>
        <v/>
      </c>
      <c r="K2709" s="45" t="str">
        <f>IFERROR(VLOOKUP(B2709,'Pre-Summary'!$DE$6:$DG$61,3,FALSE),"")</f>
        <v/>
      </c>
      <c r="L2709" s="45" t="str">
        <f>IFERROR(VLOOKUP(B2709,'Pre-Summary'!$CU$6:$CW$36,3,FALSE),"")</f>
        <v/>
      </c>
      <c r="M2709" s="45" t="str">
        <f>IFERROR(VLOOKUP(B2709,'Pre-Summary'!$BW$6:$BY$58,2,FALSE),"")</f>
        <v/>
      </c>
      <c r="N2709" s="45" t="str">
        <f>IFERROR(VLOOKUP(B2709,'Pre-Summary'!$CD$6:$CF$64,2,FALSE),"")</f>
        <v/>
      </c>
      <c r="O2709" s="99">
        <f>IFERROR(VLOOKUP(B2709,'Pre-Summary'!$BO$6:$BQ$48,3, FALSE),O2708)</f>
        <v>1.83</v>
      </c>
      <c r="P2709" s="99">
        <f>IFERROR(VLOOKUP(B2709,'Pre-Summary'!$BS$6:$BU$35,3,FALSE),P2708)</f>
        <v>0.46200000000000002</v>
      </c>
      <c r="Q2709" s="54">
        <f t="shared" si="126"/>
        <v>3.9610389610389611</v>
      </c>
      <c r="R2709" s="53">
        <f>IFERROR(VLOOKUP(B2709,'Pre-Summary'!$BG$6:$BM$44,7,FALSE),R2710)</f>
        <v>9.7903492963591104E-2</v>
      </c>
      <c r="S2709" s="53">
        <f>IFERROR(VLOOKUP(B2709,'Pre-Summary'!$BG$6:$BM$44,6,FALSE),S2710)</f>
        <v>0.1105986773408305</v>
      </c>
      <c r="T2709" s="45" t="str">
        <f>IFERROR(VLOOKUP(B2709,'Pre-Summary'!$Y$6:$AC$83, 3,FALSE),"")</f>
        <v/>
      </c>
      <c r="U2709" s="45" t="str">
        <f>IFERROR(VLOOKUP(B2709,'Pre-Summary'!$Y$6:$AC$83, 4,FALSE),"")</f>
        <v/>
      </c>
      <c r="V2709" t="str">
        <f>IFERROR(VLOOKUP(B2709,'Pre-Summary'!$Y$6:$AC$83, 5,FALSE),"")</f>
        <v/>
      </c>
      <c r="W2709" s="45" t="str">
        <f>IFERROR(VLOOKUP(B2709,'Pre-Summary'!$Y$6:$AD$83,6,FALSE),"")</f>
        <v/>
      </c>
      <c r="X2709" t="str">
        <f>IFERROR(VLOOKUP('Pre-Summary'!$DB$6:$DD$63,3,FALSE),"")</f>
        <v/>
      </c>
      <c r="Y2709" t="str">
        <f>IFERROR(VLOOKUP(B2709,'Pre-Summary'!$CR$6:$CT$36,3,FALSE),"")</f>
        <v/>
      </c>
      <c r="Z2709" s="45" t="str">
        <f>IFERROR(VLOOKUP(B2709,'Pre-Summary'!$BZ$6:$CB$63,2,FALSE),"")</f>
        <v/>
      </c>
      <c r="AA2709" s="45" t="str">
        <f>IFERROR(VLOOKUP(B2709,'Pre-Summary'!$CG$6:$CI$70,2,FALSE),"")</f>
        <v/>
      </c>
      <c r="AB2709" s="99">
        <f>IFERROR(VLOOKUP(B2709,'Pre-Summary'!$A$6:$P$178,9,FALSE),AB2710)</f>
        <v>0.42015906039999273</v>
      </c>
      <c r="AC2709" s="10">
        <f>IFERROR(VLOOKUP(Summary!B2709,'Pre-Summary'!$A$6:$P$184,5, FALSE)/100,AC2710)</f>
        <v>0.98781466666666673</v>
      </c>
      <c r="AD2709" s="10">
        <f>IFERROR(VLOOKUP(Summary!B2709,'Pre-Summary'!$A$6:$P$184,3, FALSE)/100,AD2710)</f>
        <v>7.801333333333332E-3</v>
      </c>
      <c r="AE2709" s="10">
        <f>IFERROR(VLOOKUP(Summary!B2709,'Pre-Summary'!$A$6:$P$184,7, FALSE)/100,AE2710)</f>
        <v>4.3839999999999999E-3</v>
      </c>
      <c r="AF2709" s="99">
        <f t="shared" si="127"/>
        <v>3.2778008832004763E-3</v>
      </c>
      <c r="AG2709" s="99">
        <f t="shared" si="128"/>
        <v>1.841977320793568E-3</v>
      </c>
      <c r="AH2709" s="10" t="str">
        <f>IFERROR(VLOOKUP(B2709,'Pre-Summary'!$AZ$6:$BE$65,3,FALSE),"")</f>
        <v/>
      </c>
      <c r="AI2709" s="10" t="str">
        <f>IFERROR(VLOOKUP(B2709,'Pre-Summary'!$AZ$6:$BE$65,5,FALSE),"")</f>
        <v/>
      </c>
      <c r="AJ2709" s="10" t="str">
        <f>IFERROR(VLOOKUP(B2709,'Pre-Summary'!$AZ$6:$BE$65,4,FALSE),"")</f>
        <v/>
      </c>
      <c r="AK2709" s="10" t="str">
        <f>IFERROR(VLOOKUP(B2709,'Pre-Summary'!$AZ$6:$BE$65,6,FALSE),"")</f>
        <v/>
      </c>
      <c r="AL2709" s="10" t="str">
        <f>IFERROR(VLOOKUP(B2709,'Pre-Summary'!$BG$6:$BL$44,3,FALSE),"")</f>
        <v/>
      </c>
      <c r="AM2709" s="10" t="str">
        <f>IFERROR(VLOOKUP(B2709,'Pre-Summary'!$BG$6:$BL$44,4,FALSE),"")</f>
        <v/>
      </c>
    </row>
    <row r="2710" spans="2:39" ht="15" customHeight="1" x14ac:dyDescent="0.3">
      <c r="B2710">
        <v>270.7</v>
      </c>
      <c r="C2710" t="str">
        <f>IFERROR(VLOOKUP(B2710,'Pre-Summary'!$DI$6:$DM$23,4,FALSE),"")</f>
        <v/>
      </c>
      <c r="D2710" s="10" t="str">
        <f>IFERROR(VLOOKUP(B2710,'Pre-Summary'!$AT$6:$AX$14,5,FALSE),D2709)</f>
        <v>Wolfe v3: went back to modified wolfe + EDTA and switched CuSO4 to CUCl2</v>
      </c>
      <c r="E2710" s="10" t="str">
        <f>IFERROR(VLOOKUP(B2710,'Pre-Summary'!$AT$6:$AX$15,4,FALSE),"")</f>
        <v/>
      </c>
      <c r="F2710">
        <f>IFERROR(VLOOKUP(B2710,'Pre-Summary'!$AL$6:$AQ$13,6,FALSE),F2709)</f>
        <v>5.9405263157894746E-2</v>
      </c>
      <c r="G2710" t="str">
        <f>IFERROR(VLOOKUP(B2710,'Pre-Summary'!$AE$6:$AJ$85,3,FALSE),"")</f>
        <v/>
      </c>
      <c r="H2710" t="str">
        <f>IFERROR(VLOOKUP(B2710,'Pre-Summary'!$AE$6:$AJ$85,4,FALSE),"")</f>
        <v/>
      </c>
      <c r="I2710" t="str">
        <f>IFERROR(VLOOKUP(B2710,'Pre-Summary'!$AE$6:$AJ$85,5,FALSE),"")</f>
        <v/>
      </c>
      <c r="J2710" s="45" t="str">
        <f>IFERROR(VLOOKUP(B2710,'Pre-Summary'!$AE$6:$AJ$85,6, FALSE),"")</f>
        <v/>
      </c>
      <c r="K2710" s="45" t="str">
        <f>IFERROR(VLOOKUP(B2710,'Pre-Summary'!$DE$6:$DG$61,3,FALSE),"")</f>
        <v/>
      </c>
      <c r="L2710" s="45" t="str">
        <f>IFERROR(VLOOKUP(B2710,'Pre-Summary'!$CU$6:$CW$36,3,FALSE),"")</f>
        <v/>
      </c>
      <c r="M2710" s="45" t="str">
        <f>IFERROR(VLOOKUP(B2710,'Pre-Summary'!$BW$6:$BY$58,2,FALSE),"")</f>
        <v/>
      </c>
      <c r="N2710" s="45" t="str">
        <f>IFERROR(VLOOKUP(B2710,'Pre-Summary'!$CD$6:$CF$64,2,FALSE),"")</f>
        <v/>
      </c>
      <c r="O2710" s="99">
        <f>IFERROR(VLOOKUP(B2710,'Pre-Summary'!$BO$6:$BQ$48,3, FALSE),O2709)</f>
        <v>1.83</v>
      </c>
      <c r="P2710" s="99">
        <f>IFERROR(VLOOKUP(B2710,'Pre-Summary'!$BS$6:$BU$35,3,FALSE),P2709)</f>
        <v>0.46200000000000002</v>
      </c>
      <c r="Q2710" s="54">
        <f t="shared" si="126"/>
        <v>3.9610389610389611</v>
      </c>
      <c r="R2710" s="53">
        <f>IFERROR(VLOOKUP(B2710,'Pre-Summary'!$BG$6:$BM$44,7,FALSE),R2711)</f>
        <v>9.7903492963591104E-2</v>
      </c>
      <c r="S2710" s="53">
        <f>IFERROR(VLOOKUP(B2710,'Pre-Summary'!$BG$6:$BM$44,6,FALSE),S2711)</f>
        <v>0.1105986773408305</v>
      </c>
      <c r="T2710" s="45" t="str">
        <f>IFERROR(VLOOKUP(B2710,'Pre-Summary'!$Y$6:$AC$83, 3,FALSE),"")</f>
        <v/>
      </c>
      <c r="U2710" s="45" t="str">
        <f>IFERROR(VLOOKUP(B2710,'Pre-Summary'!$Y$6:$AC$83, 4,FALSE),"")</f>
        <v/>
      </c>
      <c r="V2710" t="str">
        <f>IFERROR(VLOOKUP(B2710,'Pre-Summary'!$Y$6:$AC$83, 5,FALSE),"")</f>
        <v/>
      </c>
      <c r="W2710" s="45" t="str">
        <f>IFERROR(VLOOKUP(B2710,'Pre-Summary'!$Y$6:$AD$83,6,FALSE),"")</f>
        <v/>
      </c>
      <c r="X2710" t="str">
        <f>IFERROR(VLOOKUP('Pre-Summary'!$DB$6:$DD$63,3,FALSE),"")</f>
        <v/>
      </c>
      <c r="Y2710" t="str">
        <f>IFERROR(VLOOKUP(B2710,'Pre-Summary'!$CR$6:$CT$36,3,FALSE),"")</f>
        <v/>
      </c>
      <c r="Z2710" s="45" t="str">
        <f>IFERROR(VLOOKUP(B2710,'Pre-Summary'!$BZ$6:$CB$63,2,FALSE),"")</f>
        <v/>
      </c>
      <c r="AA2710" s="45" t="str">
        <f>IFERROR(VLOOKUP(B2710,'Pre-Summary'!$CG$6:$CI$70,2,FALSE),"")</f>
        <v/>
      </c>
      <c r="AB2710" s="99">
        <f>IFERROR(VLOOKUP(B2710,'Pre-Summary'!$A$6:$P$178,9,FALSE),AB2711)</f>
        <v>0.42015906039999273</v>
      </c>
      <c r="AC2710" s="10">
        <f>IFERROR(VLOOKUP(Summary!B2710,'Pre-Summary'!$A$6:$P$184,5, FALSE)/100,AC2711)</f>
        <v>0.98781466666666673</v>
      </c>
      <c r="AD2710" s="10">
        <f>IFERROR(VLOOKUP(Summary!B2710,'Pre-Summary'!$A$6:$P$184,3, FALSE)/100,AD2711)</f>
        <v>7.801333333333332E-3</v>
      </c>
      <c r="AE2710" s="10">
        <f>IFERROR(VLOOKUP(Summary!B2710,'Pre-Summary'!$A$6:$P$184,7, FALSE)/100,AE2711)</f>
        <v>4.3839999999999999E-3</v>
      </c>
      <c r="AF2710" s="99">
        <f t="shared" si="127"/>
        <v>3.2778008832004763E-3</v>
      </c>
      <c r="AG2710" s="99">
        <f t="shared" si="128"/>
        <v>1.841977320793568E-3</v>
      </c>
      <c r="AH2710" s="10" t="str">
        <f>IFERROR(VLOOKUP(B2710,'Pre-Summary'!$AZ$6:$BE$65,3,FALSE),"")</f>
        <v/>
      </c>
      <c r="AI2710" s="10" t="str">
        <f>IFERROR(VLOOKUP(B2710,'Pre-Summary'!$AZ$6:$BE$65,5,FALSE),"")</f>
        <v/>
      </c>
      <c r="AJ2710" s="10" t="str">
        <f>IFERROR(VLOOKUP(B2710,'Pre-Summary'!$AZ$6:$BE$65,4,FALSE),"")</f>
        <v/>
      </c>
      <c r="AK2710" s="10" t="str">
        <f>IFERROR(VLOOKUP(B2710,'Pre-Summary'!$AZ$6:$BE$65,6,FALSE),"")</f>
        <v/>
      </c>
      <c r="AL2710" s="10" t="str">
        <f>IFERROR(VLOOKUP(B2710,'Pre-Summary'!$BG$6:$BL$44,3,FALSE),"")</f>
        <v/>
      </c>
      <c r="AM2710" s="10" t="str">
        <f>IFERROR(VLOOKUP(B2710,'Pre-Summary'!$BG$6:$BL$44,4,FALSE),"")</f>
        <v/>
      </c>
    </row>
    <row r="2711" spans="2:39" ht="15" customHeight="1" x14ac:dyDescent="0.3">
      <c r="B2711">
        <v>270.8</v>
      </c>
      <c r="C2711" t="str">
        <f>IFERROR(VLOOKUP(B2711,'Pre-Summary'!$DI$6:$DM$23,4,FALSE),"")</f>
        <v/>
      </c>
      <c r="D2711" s="10" t="str">
        <f>IFERROR(VLOOKUP(B2711,'Pre-Summary'!$AT$6:$AX$14,5,FALSE),D2710)</f>
        <v>Wolfe v3: went back to modified wolfe + EDTA and switched CuSO4 to CUCl2</v>
      </c>
      <c r="E2711" s="10" t="str">
        <f>IFERROR(VLOOKUP(B2711,'Pre-Summary'!$AT$6:$AX$15,4,FALSE),"")</f>
        <v/>
      </c>
      <c r="F2711">
        <f>IFERROR(VLOOKUP(B2711,'Pre-Summary'!$AL$6:$AQ$13,6,FALSE),F2710)</f>
        <v>5.9405263157894746E-2</v>
      </c>
      <c r="G2711" t="str">
        <f>IFERROR(VLOOKUP(B2711,'Pre-Summary'!$AE$6:$AJ$85,3,FALSE),"")</f>
        <v/>
      </c>
      <c r="H2711" t="str">
        <f>IFERROR(VLOOKUP(B2711,'Pre-Summary'!$AE$6:$AJ$85,4,FALSE),"")</f>
        <v/>
      </c>
      <c r="I2711" t="str">
        <f>IFERROR(VLOOKUP(B2711,'Pre-Summary'!$AE$6:$AJ$85,5,FALSE),"")</f>
        <v/>
      </c>
      <c r="J2711" s="45" t="str">
        <f>IFERROR(VLOOKUP(B2711,'Pre-Summary'!$AE$6:$AJ$85,6, FALSE),"")</f>
        <v/>
      </c>
      <c r="K2711" s="45" t="str">
        <f>IFERROR(VLOOKUP(B2711,'Pre-Summary'!$DE$6:$DG$61,3,FALSE),"")</f>
        <v/>
      </c>
      <c r="L2711" s="45" t="str">
        <f>IFERROR(VLOOKUP(B2711,'Pre-Summary'!$CU$6:$CW$36,3,FALSE),"")</f>
        <v/>
      </c>
      <c r="M2711" s="45" t="str">
        <f>IFERROR(VLOOKUP(B2711,'Pre-Summary'!$BW$6:$BY$58,2,FALSE),"")</f>
        <v/>
      </c>
      <c r="N2711" s="45" t="str">
        <f>IFERROR(VLOOKUP(B2711,'Pre-Summary'!$CD$6:$CF$64,2,FALSE),"")</f>
        <v/>
      </c>
      <c r="O2711" s="99">
        <f>IFERROR(VLOOKUP(B2711,'Pre-Summary'!$BO$6:$BQ$48,3, FALSE),O2710)</f>
        <v>1.83</v>
      </c>
      <c r="P2711" s="99">
        <f>IFERROR(VLOOKUP(B2711,'Pre-Summary'!$BS$6:$BU$35,3,FALSE),P2710)</f>
        <v>0.46200000000000002</v>
      </c>
      <c r="Q2711" s="54">
        <f t="shared" si="126"/>
        <v>3.9610389610389611</v>
      </c>
      <c r="R2711" s="53">
        <f>IFERROR(VLOOKUP(B2711,'Pre-Summary'!$BG$6:$BM$44,7,FALSE),R2712)</f>
        <v>9.7903492963591104E-2</v>
      </c>
      <c r="S2711" s="53">
        <f>IFERROR(VLOOKUP(B2711,'Pre-Summary'!$BG$6:$BM$44,6,FALSE),S2712)</f>
        <v>0.1105986773408305</v>
      </c>
      <c r="T2711" s="45" t="str">
        <f>IFERROR(VLOOKUP(B2711,'Pre-Summary'!$Y$6:$AC$83, 3,FALSE),"")</f>
        <v/>
      </c>
      <c r="U2711" s="45" t="str">
        <f>IFERROR(VLOOKUP(B2711,'Pre-Summary'!$Y$6:$AC$83, 4,FALSE),"")</f>
        <v/>
      </c>
      <c r="V2711" t="str">
        <f>IFERROR(VLOOKUP(B2711,'Pre-Summary'!$Y$6:$AC$83, 5,FALSE),"")</f>
        <v/>
      </c>
      <c r="W2711" s="45" t="str">
        <f>IFERROR(VLOOKUP(B2711,'Pre-Summary'!$Y$6:$AD$83,6,FALSE),"")</f>
        <v/>
      </c>
      <c r="X2711" t="str">
        <f>IFERROR(VLOOKUP('Pre-Summary'!$DB$6:$DD$63,3,FALSE),"")</f>
        <v/>
      </c>
      <c r="Y2711" t="str">
        <f>IFERROR(VLOOKUP(B2711,'Pre-Summary'!$CR$6:$CT$36,3,FALSE),"")</f>
        <v/>
      </c>
      <c r="Z2711" s="45" t="str">
        <f>IFERROR(VLOOKUP(B2711,'Pre-Summary'!$BZ$6:$CB$63,2,FALSE),"")</f>
        <v/>
      </c>
      <c r="AA2711" s="45" t="str">
        <f>IFERROR(VLOOKUP(B2711,'Pre-Summary'!$CG$6:$CI$70,2,FALSE),"")</f>
        <v/>
      </c>
      <c r="AB2711" s="99">
        <f>IFERROR(VLOOKUP(B2711,'Pre-Summary'!$A$6:$P$178,9,FALSE),AB2712)</f>
        <v>0.42015906039999273</v>
      </c>
      <c r="AC2711" s="10">
        <f>IFERROR(VLOOKUP(Summary!B2711,'Pre-Summary'!$A$6:$P$184,5, FALSE)/100,AC2712)</f>
        <v>0.98781466666666673</v>
      </c>
      <c r="AD2711" s="10">
        <f>IFERROR(VLOOKUP(Summary!B2711,'Pre-Summary'!$A$6:$P$184,3, FALSE)/100,AD2712)</f>
        <v>7.801333333333332E-3</v>
      </c>
      <c r="AE2711" s="10">
        <f>IFERROR(VLOOKUP(Summary!B2711,'Pre-Summary'!$A$6:$P$184,7, FALSE)/100,AE2712)</f>
        <v>4.3839999999999999E-3</v>
      </c>
      <c r="AF2711" s="99">
        <f t="shared" si="127"/>
        <v>3.2778008832004763E-3</v>
      </c>
      <c r="AG2711" s="99">
        <f t="shared" si="128"/>
        <v>1.841977320793568E-3</v>
      </c>
      <c r="AH2711" s="10" t="str">
        <f>IFERROR(VLOOKUP(B2711,'Pre-Summary'!$AZ$6:$BE$65,3,FALSE),"")</f>
        <v/>
      </c>
      <c r="AI2711" s="10" t="str">
        <f>IFERROR(VLOOKUP(B2711,'Pre-Summary'!$AZ$6:$BE$65,5,FALSE),"")</f>
        <v/>
      </c>
      <c r="AJ2711" s="10" t="str">
        <f>IFERROR(VLOOKUP(B2711,'Pre-Summary'!$AZ$6:$BE$65,4,FALSE),"")</f>
        <v/>
      </c>
      <c r="AK2711" s="10" t="str">
        <f>IFERROR(VLOOKUP(B2711,'Pre-Summary'!$AZ$6:$BE$65,6,FALSE),"")</f>
        <v/>
      </c>
      <c r="AL2711" s="10" t="str">
        <f>IFERROR(VLOOKUP(B2711,'Pre-Summary'!$BG$6:$BL$44,3,FALSE),"")</f>
        <v/>
      </c>
      <c r="AM2711" s="10" t="str">
        <f>IFERROR(VLOOKUP(B2711,'Pre-Summary'!$BG$6:$BL$44,4,FALSE),"")</f>
        <v/>
      </c>
    </row>
    <row r="2712" spans="2:39" ht="15" customHeight="1" x14ac:dyDescent="0.3">
      <c r="B2712">
        <v>270.89999999999998</v>
      </c>
      <c r="C2712" t="str">
        <f>IFERROR(VLOOKUP(B2712,'Pre-Summary'!$DI$6:$DM$23,4,FALSE),"")</f>
        <v/>
      </c>
      <c r="D2712" s="10" t="str">
        <f>IFERROR(VLOOKUP(B2712,'Pre-Summary'!$AT$6:$AX$14,5,FALSE),D2711)</f>
        <v>Wolfe v3: went back to modified wolfe + EDTA and switched CuSO4 to CUCl2</v>
      </c>
      <c r="E2712" s="10" t="str">
        <f>IFERROR(VLOOKUP(B2712,'Pre-Summary'!$AT$6:$AX$15,4,FALSE),"")</f>
        <v/>
      </c>
      <c r="F2712">
        <f>IFERROR(VLOOKUP(B2712,'Pre-Summary'!$AL$6:$AQ$13,6,FALSE),F2711)</f>
        <v>5.9405263157894746E-2</v>
      </c>
      <c r="G2712" t="str">
        <f>IFERROR(VLOOKUP(B2712,'Pre-Summary'!$AE$6:$AJ$85,3,FALSE),"")</f>
        <v/>
      </c>
      <c r="H2712" t="str">
        <f>IFERROR(VLOOKUP(B2712,'Pre-Summary'!$AE$6:$AJ$85,4,FALSE),"")</f>
        <v/>
      </c>
      <c r="I2712" t="str">
        <f>IFERROR(VLOOKUP(B2712,'Pre-Summary'!$AE$6:$AJ$85,5,FALSE),"")</f>
        <v/>
      </c>
      <c r="J2712" s="45" t="str">
        <f>IFERROR(VLOOKUP(B2712,'Pre-Summary'!$AE$6:$AJ$85,6, FALSE),"")</f>
        <v/>
      </c>
      <c r="K2712" s="45" t="str">
        <f>IFERROR(VLOOKUP(B2712,'Pre-Summary'!$DE$6:$DG$61,3,FALSE),"")</f>
        <v/>
      </c>
      <c r="L2712" s="45" t="str">
        <f>IFERROR(VLOOKUP(B2712,'Pre-Summary'!$CU$6:$CW$36,3,FALSE),"")</f>
        <v/>
      </c>
      <c r="M2712" s="45" t="str">
        <f>IFERROR(VLOOKUP(B2712,'Pre-Summary'!$BW$6:$BY$58,2,FALSE),"")</f>
        <v/>
      </c>
      <c r="N2712" s="45" t="str">
        <f>IFERROR(VLOOKUP(B2712,'Pre-Summary'!$CD$6:$CF$64,2,FALSE),"")</f>
        <v/>
      </c>
      <c r="O2712" s="99">
        <f>IFERROR(VLOOKUP(B2712,'Pre-Summary'!$BO$6:$BQ$48,3, FALSE),O2711)</f>
        <v>1.83</v>
      </c>
      <c r="P2712" s="99">
        <f>IFERROR(VLOOKUP(B2712,'Pre-Summary'!$BS$6:$BU$35,3,FALSE),P2711)</f>
        <v>0.46200000000000002</v>
      </c>
      <c r="Q2712" s="54">
        <f t="shared" si="126"/>
        <v>3.9610389610389611</v>
      </c>
      <c r="R2712" s="53">
        <f>IFERROR(VLOOKUP(B2712,'Pre-Summary'!$BG$6:$BM$44,7,FALSE),R2713)</f>
        <v>9.7903492963591104E-2</v>
      </c>
      <c r="S2712" s="53">
        <f>IFERROR(VLOOKUP(B2712,'Pre-Summary'!$BG$6:$BM$44,6,FALSE),S2713)</f>
        <v>0.1105986773408305</v>
      </c>
      <c r="T2712" s="45" t="str">
        <f>IFERROR(VLOOKUP(B2712,'Pre-Summary'!$Y$6:$AC$83, 3,FALSE),"")</f>
        <v/>
      </c>
      <c r="U2712" s="45" t="str">
        <f>IFERROR(VLOOKUP(B2712,'Pre-Summary'!$Y$6:$AC$83, 4,FALSE),"")</f>
        <v/>
      </c>
      <c r="V2712" t="str">
        <f>IFERROR(VLOOKUP(B2712,'Pre-Summary'!$Y$6:$AC$83, 5,FALSE),"")</f>
        <v/>
      </c>
      <c r="W2712" s="45" t="str">
        <f>IFERROR(VLOOKUP(B2712,'Pre-Summary'!$Y$6:$AD$83,6,FALSE),"")</f>
        <v/>
      </c>
      <c r="X2712" t="str">
        <f>IFERROR(VLOOKUP('Pre-Summary'!$DB$6:$DD$63,3,FALSE),"")</f>
        <v/>
      </c>
      <c r="Y2712" t="str">
        <f>IFERROR(VLOOKUP(B2712,'Pre-Summary'!$CR$6:$CT$36,3,FALSE),"")</f>
        <v/>
      </c>
      <c r="Z2712" s="45" t="str">
        <f>IFERROR(VLOOKUP(B2712,'Pre-Summary'!$BZ$6:$CB$63,2,FALSE),"")</f>
        <v/>
      </c>
      <c r="AA2712" s="45" t="str">
        <f>IFERROR(VLOOKUP(B2712,'Pre-Summary'!$CG$6:$CI$70,2,FALSE),"")</f>
        <v/>
      </c>
      <c r="AB2712" s="99">
        <f>IFERROR(VLOOKUP(B2712,'Pre-Summary'!$A$6:$P$178,9,FALSE),AB2713)</f>
        <v>0.42015906039999273</v>
      </c>
      <c r="AC2712" s="10">
        <f>IFERROR(VLOOKUP(Summary!B2712,'Pre-Summary'!$A$6:$P$184,5, FALSE)/100,AC2713)</f>
        <v>0.98781466666666673</v>
      </c>
      <c r="AD2712" s="10">
        <f>IFERROR(VLOOKUP(Summary!B2712,'Pre-Summary'!$A$6:$P$184,3, FALSE)/100,AD2713)</f>
        <v>7.801333333333332E-3</v>
      </c>
      <c r="AE2712" s="10">
        <f>IFERROR(VLOOKUP(Summary!B2712,'Pre-Summary'!$A$6:$P$184,7, FALSE)/100,AE2713)</f>
        <v>4.3839999999999999E-3</v>
      </c>
      <c r="AF2712" s="99">
        <f t="shared" si="127"/>
        <v>3.2778008832004763E-3</v>
      </c>
      <c r="AG2712" s="99">
        <f t="shared" si="128"/>
        <v>1.841977320793568E-3</v>
      </c>
      <c r="AH2712" s="10" t="str">
        <f>IFERROR(VLOOKUP(B2712,'Pre-Summary'!$AZ$6:$BE$65,3,FALSE),"")</f>
        <v/>
      </c>
      <c r="AI2712" s="10" t="str">
        <f>IFERROR(VLOOKUP(B2712,'Pre-Summary'!$AZ$6:$BE$65,5,FALSE),"")</f>
        <v/>
      </c>
      <c r="AJ2712" s="10" t="str">
        <f>IFERROR(VLOOKUP(B2712,'Pre-Summary'!$AZ$6:$BE$65,4,FALSE),"")</f>
        <v/>
      </c>
      <c r="AK2712" s="10" t="str">
        <f>IFERROR(VLOOKUP(B2712,'Pre-Summary'!$AZ$6:$BE$65,6,FALSE),"")</f>
        <v/>
      </c>
      <c r="AL2712" s="10" t="str">
        <f>IFERROR(VLOOKUP(B2712,'Pre-Summary'!$BG$6:$BL$44,3,FALSE),"")</f>
        <v/>
      </c>
      <c r="AM2712" s="10" t="str">
        <f>IFERROR(VLOOKUP(B2712,'Pre-Summary'!$BG$6:$BL$44,4,FALSE),"")</f>
        <v/>
      </c>
    </row>
    <row r="2713" spans="2:39" ht="15" customHeight="1" x14ac:dyDescent="0.3">
      <c r="B2713">
        <v>271</v>
      </c>
      <c r="C2713" t="str">
        <f>IFERROR(VLOOKUP(B2713,'Pre-Summary'!$DI$6:$DM$23,4,FALSE),"")</f>
        <v/>
      </c>
      <c r="D2713" s="10" t="str">
        <f>IFERROR(VLOOKUP(B2713,'Pre-Summary'!$AT$6:$AX$14,5,FALSE),D2712)</f>
        <v>Wolfe v3: went back to modified wolfe + EDTA and switched CuSO4 to CUCl2</v>
      </c>
      <c r="E2713" s="10" t="str">
        <f>IFERROR(VLOOKUP(B2713,'Pre-Summary'!$AT$6:$AX$15,4,FALSE),"")</f>
        <v/>
      </c>
      <c r="F2713">
        <f>IFERROR(VLOOKUP(B2713,'Pre-Summary'!$AL$6:$AQ$13,6,FALSE),F2712)</f>
        <v>5.9405263157894746E-2</v>
      </c>
      <c r="G2713" t="str">
        <f>IFERROR(VLOOKUP(B2713,'Pre-Summary'!$AE$6:$AJ$85,3,FALSE),"")</f>
        <v/>
      </c>
      <c r="H2713" t="str">
        <f>IFERROR(VLOOKUP(B2713,'Pre-Summary'!$AE$6:$AJ$85,4,FALSE),"")</f>
        <v/>
      </c>
      <c r="I2713" t="str">
        <f>IFERROR(VLOOKUP(B2713,'Pre-Summary'!$AE$6:$AJ$85,5,FALSE),"")</f>
        <v/>
      </c>
      <c r="J2713" s="45" t="str">
        <f>IFERROR(VLOOKUP(B2713,'Pre-Summary'!$AE$6:$AJ$85,6, FALSE),"")</f>
        <v/>
      </c>
      <c r="K2713" s="45" t="str">
        <f>IFERROR(VLOOKUP(B2713,'Pre-Summary'!$DE$6:$DG$61,3,FALSE),"")</f>
        <v/>
      </c>
      <c r="L2713" s="45" t="str">
        <f>IFERROR(VLOOKUP(B2713,'Pre-Summary'!$CU$6:$CW$36,3,FALSE),"")</f>
        <v/>
      </c>
      <c r="M2713" s="45" t="str">
        <f>IFERROR(VLOOKUP(B2713,'Pre-Summary'!$BW$6:$BY$58,2,FALSE),"")</f>
        <v/>
      </c>
      <c r="N2713" s="45" t="str">
        <f>IFERROR(VLOOKUP(B2713,'Pre-Summary'!$CD$6:$CF$64,2,FALSE),"")</f>
        <v/>
      </c>
      <c r="O2713" s="99">
        <f>IFERROR(VLOOKUP(B2713,'Pre-Summary'!$BO$6:$BQ$48,3, FALSE),O2712)</f>
        <v>1.83</v>
      </c>
      <c r="P2713" s="99">
        <f>IFERROR(VLOOKUP(B2713,'Pre-Summary'!$BS$6:$BU$35,3,FALSE),P2712)</f>
        <v>0.46200000000000002</v>
      </c>
      <c r="Q2713" s="54">
        <f t="shared" si="126"/>
        <v>3.9610389610389611</v>
      </c>
      <c r="R2713" s="53">
        <f>IFERROR(VLOOKUP(B2713,'Pre-Summary'!$BG$6:$BM$44,7,FALSE),R2714)</f>
        <v>9.7903492963591104E-2</v>
      </c>
      <c r="S2713" s="53">
        <f>IFERROR(VLOOKUP(B2713,'Pre-Summary'!$BG$6:$BM$44,6,FALSE),S2714)</f>
        <v>0.1105986773408305</v>
      </c>
      <c r="T2713" s="45" t="str">
        <f>IFERROR(VLOOKUP(B2713,'Pre-Summary'!$Y$6:$AC$83, 3,FALSE),"")</f>
        <v/>
      </c>
      <c r="U2713" s="45" t="str">
        <f>IFERROR(VLOOKUP(B2713,'Pre-Summary'!$Y$6:$AC$83, 4,FALSE),"")</f>
        <v/>
      </c>
      <c r="V2713" t="str">
        <f>IFERROR(VLOOKUP(B2713,'Pre-Summary'!$Y$6:$AC$83, 5,FALSE),"")</f>
        <v/>
      </c>
      <c r="W2713" s="45" t="str">
        <f>IFERROR(VLOOKUP(B2713,'Pre-Summary'!$Y$6:$AD$83,6,FALSE),"")</f>
        <v/>
      </c>
      <c r="X2713" t="str">
        <f>IFERROR(VLOOKUP('Pre-Summary'!$DB$6:$DD$63,3,FALSE),"")</f>
        <v/>
      </c>
      <c r="Y2713" t="str">
        <f>IFERROR(VLOOKUP(B2713,'Pre-Summary'!$CR$6:$CT$36,3,FALSE),"")</f>
        <v/>
      </c>
      <c r="Z2713" s="45" t="str">
        <f>IFERROR(VLOOKUP(B2713,'Pre-Summary'!$BZ$6:$CB$63,2,FALSE),"")</f>
        <v/>
      </c>
      <c r="AA2713" s="45" t="str">
        <f>IFERROR(VLOOKUP(B2713,'Pre-Summary'!$CG$6:$CI$70,2,FALSE),"")</f>
        <v/>
      </c>
      <c r="AB2713" s="99">
        <f>IFERROR(VLOOKUP(B2713,'Pre-Summary'!$A$6:$P$178,9,FALSE),AB2714)</f>
        <v>0.42015906039999273</v>
      </c>
      <c r="AC2713" s="10">
        <f>IFERROR(VLOOKUP(Summary!B2713,'Pre-Summary'!$A$6:$P$184,5, FALSE)/100,AC2714)</f>
        <v>0.98781466666666673</v>
      </c>
      <c r="AD2713" s="10">
        <f>IFERROR(VLOOKUP(Summary!B2713,'Pre-Summary'!$A$6:$P$184,3, FALSE)/100,AD2714)</f>
        <v>7.801333333333332E-3</v>
      </c>
      <c r="AE2713" s="10">
        <f>IFERROR(VLOOKUP(Summary!B2713,'Pre-Summary'!$A$6:$P$184,7, FALSE)/100,AE2714)</f>
        <v>4.3839999999999999E-3</v>
      </c>
      <c r="AF2713" s="99">
        <f t="shared" si="127"/>
        <v>3.2778008832004763E-3</v>
      </c>
      <c r="AG2713" s="99">
        <f t="shared" si="128"/>
        <v>1.841977320793568E-3</v>
      </c>
      <c r="AH2713" s="10" t="str">
        <f>IFERROR(VLOOKUP(B2713,'Pre-Summary'!$AZ$6:$BE$65,3,FALSE),"")</f>
        <v/>
      </c>
      <c r="AI2713" s="10" t="str">
        <f>IFERROR(VLOOKUP(B2713,'Pre-Summary'!$AZ$6:$BE$65,5,FALSE),"")</f>
        <v/>
      </c>
      <c r="AJ2713" s="10" t="str">
        <f>IFERROR(VLOOKUP(B2713,'Pre-Summary'!$AZ$6:$BE$65,4,FALSE),"")</f>
        <v/>
      </c>
      <c r="AK2713" s="10" t="str">
        <f>IFERROR(VLOOKUP(B2713,'Pre-Summary'!$AZ$6:$BE$65,6,FALSE),"")</f>
        <v/>
      </c>
      <c r="AL2713" s="10" t="str">
        <f>IFERROR(VLOOKUP(B2713,'Pre-Summary'!$BG$6:$BL$44,3,FALSE),"")</f>
        <v/>
      </c>
      <c r="AM2713" s="10" t="str">
        <f>IFERROR(VLOOKUP(B2713,'Pre-Summary'!$BG$6:$BL$44,4,FALSE),"")</f>
        <v/>
      </c>
    </row>
    <row r="2714" spans="2:39" ht="15" customHeight="1" x14ac:dyDescent="0.3">
      <c r="B2714">
        <v>271.10000000000002</v>
      </c>
      <c r="C2714" t="str">
        <f>IFERROR(VLOOKUP(B2714,'Pre-Summary'!$DI$6:$DM$23,4,FALSE),"")</f>
        <v/>
      </c>
      <c r="D2714" s="10" t="str">
        <f>IFERROR(VLOOKUP(B2714,'Pre-Summary'!$AT$6:$AX$14,5,FALSE),D2713)</f>
        <v>Wolfe v3: went back to modified wolfe + EDTA and switched CuSO4 to CUCl2</v>
      </c>
      <c r="E2714" s="10" t="str">
        <f>IFERROR(VLOOKUP(B2714,'Pre-Summary'!$AT$6:$AX$15,4,FALSE),"")</f>
        <v/>
      </c>
      <c r="F2714">
        <f>IFERROR(VLOOKUP(B2714,'Pre-Summary'!$AL$6:$AQ$13,6,FALSE),F2713)</f>
        <v>5.9405263157894746E-2</v>
      </c>
      <c r="G2714" t="str">
        <f>IFERROR(VLOOKUP(B2714,'Pre-Summary'!$AE$6:$AJ$85,3,FALSE),"")</f>
        <v/>
      </c>
      <c r="H2714" t="str">
        <f>IFERROR(VLOOKUP(B2714,'Pre-Summary'!$AE$6:$AJ$85,4,FALSE),"")</f>
        <v/>
      </c>
      <c r="I2714" t="str">
        <f>IFERROR(VLOOKUP(B2714,'Pre-Summary'!$AE$6:$AJ$85,5,FALSE),"")</f>
        <v/>
      </c>
      <c r="J2714" s="45" t="str">
        <f>IFERROR(VLOOKUP(B2714,'Pre-Summary'!$AE$6:$AJ$85,6, FALSE),"")</f>
        <v/>
      </c>
      <c r="K2714" s="45" t="str">
        <f>IFERROR(VLOOKUP(B2714,'Pre-Summary'!$DE$6:$DG$61,3,FALSE),"")</f>
        <v/>
      </c>
      <c r="L2714" s="45" t="str">
        <f>IFERROR(VLOOKUP(B2714,'Pre-Summary'!$CU$6:$CW$36,3,FALSE),"")</f>
        <v/>
      </c>
      <c r="M2714" s="45" t="str">
        <f>IFERROR(VLOOKUP(B2714,'Pre-Summary'!$BW$6:$BY$58,2,FALSE),"")</f>
        <v/>
      </c>
      <c r="N2714" s="45" t="str">
        <f>IFERROR(VLOOKUP(B2714,'Pre-Summary'!$CD$6:$CF$64,2,FALSE),"")</f>
        <v/>
      </c>
      <c r="O2714" s="99">
        <f>IFERROR(VLOOKUP(B2714,'Pre-Summary'!$BO$6:$BQ$48,3, FALSE),O2713)</f>
        <v>1.83</v>
      </c>
      <c r="P2714" s="99">
        <f>IFERROR(VLOOKUP(B2714,'Pre-Summary'!$BS$6:$BU$35,3,FALSE),P2713)</f>
        <v>0.46200000000000002</v>
      </c>
      <c r="Q2714" s="54">
        <f t="shared" si="126"/>
        <v>3.9610389610389611</v>
      </c>
      <c r="R2714" s="53">
        <f>IFERROR(VLOOKUP(B2714,'Pre-Summary'!$BG$6:$BM$44,7,FALSE),R2715)</f>
        <v>9.7903492963591104E-2</v>
      </c>
      <c r="S2714" s="53">
        <f>IFERROR(VLOOKUP(B2714,'Pre-Summary'!$BG$6:$BM$44,6,FALSE),S2715)</f>
        <v>0.1105986773408305</v>
      </c>
      <c r="T2714" s="45" t="str">
        <f>IFERROR(VLOOKUP(B2714,'Pre-Summary'!$Y$6:$AC$83, 3,FALSE),"")</f>
        <v/>
      </c>
      <c r="U2714" s="45" t="str">
        <f>IFERROR(VLOOKUP(B2714,'Pre-Summary'!$Y$6:$AC$83, 4,FALSE),"")</f>
        <v/>
      </c>
      <c r="V2714" t="str">
        <f>IFERROR(VLOOKUP(B2714,'Pre-Summary'!$Y$6:$AC$83, 5,FALSE),"")</f>
        <v/>
      </c>
      <c r="W2714" s="45" t="str">
        <f>IFERROR(VLOOKUP(B2714,'Pre-Summary'!$Y$6:$AD$83,6,FALSE),"")</f>
        <v/>
      </c>
      <c r="X2714" t="str">
        <f>IFERROR(VLOOKUP('Pre-Summary'!$DB$6:$DD$63,3,FALSE),"")</f>
        <v/>
      </c>
      <c r="Y2714" t="str">
        <f>IFERROR(VLOOKUP(B2714,'Pre-Summary'!$CR$6:$CT$36,3,FALSE),"")</f>
        <v/>
      </c>
      <c r="Z2714" s="45" t="str">
        <f>IFERROR(VLOOKUP(B2714,'Pre-Summary'!$BZ$6:$CB$63,2,FALSE),"")</f>
        <v/>
      </c>
      <c r="AA2714" s="45" t="str">
        <f>IFERROR(VLOOKUP(B2714,'Pre-Summary'!$CG$6:$CI$70,2,FALSE),"")</f>
        <v/>
      </c>
      <c r="AB2714" s="99">
        <f>IFERROR(VLOOKUP(B2714,'Pre-Summary'!$A$6:$P$178,9,FALSE),AB2715)</f>
        <v>0.42015906039999273</v>
      </c>
      <c r="AC2714" s="10">
        <f>IFERROR(VLOOKUP(Summary!B2714,'Pre-Summary'!$A$6:$P$184,5, FALSE)/100,AC2715)</f>
        <v>0.98781466666666673</v>
      </c>
      <c r="AD2714" s="10">
        <f>IFERROR(VLOOKUP(Summary!B2714,'Pre-Summary'!$A$6:$P$184,3, FALSE)/100,AD2715)</f>
        <v>7.801333333333332E-3</v>
      </c>
      <c r="AE2714" s="10">
        <f>IFERROR(VLOOKUP(Summary!B2714,'Pre-Summary'!$A$6:$P$184,7, FALSE)/100,AE2715)</f>
        <v>4.3839999999999999E-3</v>
      </c>
      <c r="AF2714" s="99">
        <f t="shared" si="127"/>
        <v>3.2778008832004763E-3</v>
      </c>
      <c r="AG2714" s="99">
        <f t="shared" si="128"/>
        <v>1.841977320793568E-3</v>
      </c>
      <c r="AH2714" s="10" t="str">
        <f>IFERROR(VLOOKUP(B2714,'Pre-Summary'!$AZ$6:$BE$65,3,FALSE),"")</f>
        <v/>
      </c>
      <c r="AI2714" s="10" t="str">
        <f>IFERROR(VLOOKUP(B2714,'Pre-Summary'!$AZ$6:$BE$65,5,FALSE),"")</f>
        <v/>
      </c>
      <c r="AJ2714" s="10" t="str">
        <f>IFERROR(VLOOKUP(B2714,'Pre-Summary'!$AZ$6:$BE$65,4,FALSE),"")</f>
        <v/>
      </c>
      <c r="AK2714" s="10" t="str">
        <f>IFERROR(VLOOKUP(B2714,'Pre-Summary'!$AZ$6:$BE$65,6,FALSE),"")</f>
        <v/>
      </c>
      <c r="AL2714" s="10" t="str">
        <f>IFERROR(VLOOKUP(B2714,'Pre-Summary'!$BG$6:$BL$44,3,FALSE),"")</f>
        <v/>
      </c>
      <c r="AM2714" s="10" t="str">
        <f>IFERROR(VLOOKUP(B2714,'Pre-Summary'!$BG$6:$BL$44,4,FALSE),"")</f>
        <v/>
      </c>
    </row>
    <row r="2715" spans="2:39" ht="15" customHeight="1" x14ac:dyDescent="0.3">
      <c r="B2715">
        <v>271.2</v>
      </c>
      <c r="C2715" t="str">
        <f>IFERROR(VLOOKUP(B2715,'Pre-Summary'!$DI$6:$DM$23,4,FALSE),"")</f>
        <v/>
      </c>
      <c r="D2715" s="10" t="str">
        <f>IFERROR(VLOOKUP(B2715,'Pre-Summary'!$AT$6:$AX$14,5,FALSE),D2714)</f>
        <v>Wolfe v3: went back to modified wolfe + EDTA and switched CuSO4 to CUCl2</v>
      </c>
      <c r="E2715" s="10" t="str">
        <f>IFERROR(VLOOKUP(B2715,'Pre-Summary'!$AT$6:$AX$15,4,FALSE),"")</f>
        <v/>
      </c>
      <c r="F2715">
        <f>IFERROR(VLOOKUP(B2715,'Pre-Summary'!$AL$6:$AQ$13,6,FALSE),F2714)</f>
        <v>5.9405263157894746E-2</v>
      </c>
      <c r="G2715" t="str">
        <f>IFERROR(VLOOKUP(B2715,'Pre-Summary'!$AE$6:$AJ$85,3,FALSE),"")</f>
        <v/>
      </c>
      <c r="H2715" t="str">
        <f>IFERROR(VLOOKUP(B2715,'Pre-Summary'!$AE$6:$AJ$85,4,FALSE),"")</f>
        <v/>
      </c>
      <c r="I2715" t="str">
        <f>IFERROR(VLOOKUP(B2715,'Pre-Summary'!$AE$6:$AJ$85,5,FALSE),"")</f>
        <v/>
      </c>
      <c r="J2715" s="45" t="str">
        <f>IFERROR(VLOOKUP(B2715,'Pre-Summary'!$AE$6:$AJ$85,6, FALSE),"")</f>
        <v/>
      </c>
      <c r="K2715" s="45" t="str">
        <f>IFERROR(VLOOKUP(B2715,'Pre-Summary'!$DE$6:$DG$61,3,FALSE),"")</f>
        <v/>
      </c>
      <c r="L2715" s="45" t="str">
        <f>IFERROR(VLOOKUP(B2715,'Pre-Summary'!$CU$6:$CW$36,3,FALSE),"")</f>
        <v/>
      </c>
      <c r="M2715" s="45" t="str">
        <f>IFERROR(VLOOKUP(B2715,'Pre-Summary'!$BW$6:$BY$58,2,FALSE),"")</f>
        <v/>
      </c>
      <c r="N2715" s="45" t="str">
        <f>IFERROR(VLOOKUP(B2715,'Pre-Summary'!$CD$6:$CF$64,2,FALSE),"")</f>
        <v/>
      </c>
      <c r="O2715" s="99">
        <f>IFERROR(VLOOKUP(B2715,'Pre-Summary'!$BO$6:$BQ$48,3, FALSE),O2714)</f>
        <v>1.83</v>
      </c>
      <c r="P2715" s="99">
        <f>IFERROR(VLOOKUP(B2715,'Pre-Summary'!$BS$6:$BU$35,3,FALSE),P2714)</f>
        <v>0.46200000000000002</v>
      </c>
      <c r="Q2715" s="54">
        <f t="shared" si="126"/>
        <v>3.9610389610389611</v>
      </c>
      <c r="R2715" s="53">
        <f>IFERROR(VLOOKUP(B2715,'Pre-Summary'!$BG$6:$BM$44,7,FALSE),R2716)</f>
        <v>9.7903492963591104E-2</v>
      </c>
      <c r="S2715" s="53">
        <f>IFERROR(VLOOKUP(B2715,'Pre-Summary'!$BG$6:$BM$44,6,FALSE),S2716)</f>
        <v>0.1105986773408305</v>
      </c>
      <c r="T2715" s="45" t="str">
        <f>IFERROR(VLOOKUP(B2715,'Pre-Summary'!$Y$6:$AC$83, 3,FALSE),"")</f>
        <v/>
      </c>
      <c r="U2715" s="45" t="str">
        <f>IFERROR(VLOOKUP(B2715,'Pre-Summary'!$Y$6:$AC$83, 4,FALSE),"")</f>
        <v/>
      </c>
      <c r="V2715" t="str">
        <f>IFERROR(VLOOKUP(B2715,'Pre-Summary'!$Y$6:$AC$83, 5,FALSE),"")</f>
        <v/>
      </c>
      <c r="W2715" s="45" t="str">
        <f>IFERROR(VLOOKUP(B2715,'Pre-Summary'!$Y$6:$AD$83,6,FALSE),"")</f>
        <v/>
      </c>
      <c r="X2715" t="str">
        <f>IFERROR(VLOOKUP('Pre-Summary'!$DB$6:$DD$63,3,FALSE),"")</f>
        <v/>
      </c>
      <c r="Y2715" t="str">
        <f>IFERROR(VLOOKUP(B2715,'Pre-Summary'!$CR$6:$CT$36,3,FALSE),"")</f>
        <v/>
      </c>
      <c r="Z2715" s="45" t="str">
        <f>IFERROR(VLOOKUP(B2715,'Pre-Summary'!$BZ$6:$CB$63,2,FALSE),"")</f>
        <v/>
      </c>
      <c r="AA2715" s="45" t="str">
        <f>IFERROR(VLOOKUP(B2715,'Pre-Summary'!$CG$6:$CI$70,2,FALSE),"")</f>
        <v/>
      </c>
      <c r="AB2715" s="99">
        <f>IFERROR(VLOOKUP(B2715,'Pre-Summary'!$A$6:$P$178,9,FALSE),AB2716)</f>
        <v>0.42015906039999273</v>
      </c>
      <c r="AC2715" s="10">
        <f>IFERROR(VLOOKUP(Summary!B2715,'Pre-Summary'!$A$6:$P$184,5, FALSE)/100,AC2716)</f>
        <v>0.98781466666666673</v>
      </c>
      <c r="AD2715" s="10">
        <f>IFERROR(VLOOKUP(Summary!B2715,'Pre-Summary'!$A$6:$P$184,3, FALSE)/100,AD2716)</f>
        <v>7.801333333333332E-3</v>
      </c>
      <c r="AE2715" s="10">
        <f>IFERROR(VLOOKUP(Summary!B2715,'Pre-Summary'!$A$6:$P$184,7, FALSE)/100,AE2716)</f>
        <v>4.3839999999999999E-3</v>
      </c>
      <c r="AF2715" s="99">
        <f t="shared" si="127"/>
        <v>3.2778008832004763E-3</v>
      </c>
      <c r="AG2715" s="99">
        <f t="shared" si="128"/>
        <v>1.841977320793568E-3</v>
      </c>
      <c r="AH2715" s="10" t="str">
        <f>IFERROR(VLOOKUP(B2715,'Pre-Summary'!$AZ$6:$BE$65,3,FALSE),"")</f>
        <v/>
      </c>
      <c r="AI2715" s="10" t="str">
        <f>IFERROR(VLOOKUP(B2715,'Pre-Summary'!$AZ$6:$BE$65,5,FALSE),"")</f>
        <v/>
      </c>
      <c r="AJ2715" s="10" t="str">
        <f>IFERROR(VLOOKUP(B2715,'Pre-Summary'!$AZ$6:$BE$65,4,FALSE),"")</f>
        <v/>
      </c>
      <c r="AK2715" s="10" t="str">
        <f>IFERROR(VLOOKUP(B2715,'Pre-Summary'!$AZ$6:$BE$65,6,FALSE),"")</f>
        <v/>
      </c>
      <c r="AL2715" s="10" t="str">
        <f>IFERROR(VLOOKUP(B2715,'Pre-Summary'!$BG$6:$BL$44,3,FALSE),"")</f>
        <v/>
      </c>
      <c r="AM2715" s="10" t="str">
        <f>IFERROR(VLOOKUP(B2715,'Pre-Summary'!$BG$6:$BL$44,4,FALSE),"")</f>
        <v/>
      </c>
    </row>
    <row r="2716" spans="2:39" ht="15" customHeight="1" x14ac:dyDescent="0.3">
      <c r="B2716">
        <v>271.3</v>
      </c>
      <c r="C2716" t="str">
        <f>IFERROR(VLOOKUP(B2716,'Pre-Summary'!$DI$6:$DM$23,4,FALSE),"")</f>
        <v/>
      </c>
      <c r="D2716" s="10" t="str">
        <f>IFERROR(VLOOKUP(B2716,'Pre-Summary'!$AT$6:$AX$14,5,FALSE),D2715)</f>
        <v>Wolfe v3: went back to modified wolfe + EDTA and switched CuSO4 to CUCl2</v>
      </c>
      <c r="E2716" s="10" t="str">
        <f>IFERROR(VLOOKUP(B2716,'Pre-Summary'!$AT$6:$AX$15,4,FALSE),"")</f>
        <v/>
      </c>
      <c r="F2716">
        <f>IFERROR(VLOOKUP(B2716,'Pre-Summary'!$AL$6:$AQ$13,6,FALSE),F2715)</f>
        <v>5.9405263157894746E-2</v>
      </c>
      <c r="G2716" t="str">
        <f>IFERROR(VLOOKUP(B2716,'Pre-Summary'!$AE$6:$AJ$85,3,FALSE),"")</f>
        <v/>
      </c>
      <c r="H2716" t="str">
        <f>IFERROR(VLOOKUP(B2716,'Pre-Summary'!$AE$6:$AJ$85,4,FALSE),"")</f>
        <v/>
      </c>
      <c r="I2716" t="str">
        <f>IFERROR(VLOOKUP(B2716,'Pre-Summary'!$AE$6:$AJ$85,5,FALSE),"")</f>
        <v/>
      </c>
      <c r="J2716" s="45" t="str">
        <f>IFERROR(VLOOKUP(B2716,'Pre-Summary'!$AE$6:$AJ$85,6, FALSE),"")</f>
        <v/>
      </c>
      <c r="K2716" s="45" t="str">
        <f>IFERROR(VLOOKUP(B2716,'Pre-Summary'!$DE$6:$DG$61,3,FALSE),"")</f>
        <v/>
      </c>
      <c r="L2716" s="45" t="str">
        <f>IFERROR(VLOOKUP(B2716,'Pre-Summary'!$CU$6:$CW$36,3,FALSE),"")</f>
        <v/>
      </c>
      <c r="M2716" s="45" t="str">
        <f>IFERROR(VLOOKUP(B2716,'Pre-Summary'!$BW$6:$BY$58,2,FALSE),"")</f>
        <v/>
      </c>
      <c r="N2716" s="45" t="str">
        <f>IFERROR(VLOOKUP(B2716,'Pre-Summary'!$CD$6:$CF$64,2,FALSE),"")</f>
        <v/>
      </c>
      <c r="O2716" s="99">
        <f>IFERROR(VLOOKUP(B2716,'Pre-Summary'!$BO$6:$BQ$48,3, FALSE),O2715)</f>
        <v>1.83</v>
      </c>
      <c r="P2716" s="99">
        <f>IFERROR(VLOOKUP(B2716,'Pre-Summary'!$BS$6:$BU$35,3,FALSE),P2715)</f>
        <v>0.46200000000000002</v>
      </c>
      <c r="Q2716" s="54">
        <f t="shared" si="126"/>
        <v>3.9610389610389611</v>
      </c>
      <c r="R2716" s="53">
        <f>IFERROR(VLOOKUP(B2716,'Pre-Summary'!$BG$6:$BM$44,7,FALSE),R2717)</f>
        <v>9.7903492963591104E-2</v>
      </c>
      <c r="S2716" s="53">
        <f>IFERROR(VLOOKUP(B2716,'Pre-Summary'!$BG$6:$BM$44,6,FALSE),S2717)</f>
        <v>0.1105986773408305</v>
      </c>
      <c r="T2716" s="45" t="str">
        <f>IFERROR(VLOOKUP(B2716,'Pre-Summary'!$Y$6:$AC$83, 3,FALSE),"")</f>
        <v/>
      </c>
      <c r="U2716" s="45" t="str">
        <f>IFERROR(VLOOKUP(B2716,'Pre-Summary'!$Y$6:$AC$83, 4,FALSE),"")</f>
        <v/>
      </c>
      <c r="V2716" t="str">
        <f>IFERROR(VLOOKUP(B2716,'Pre-Summary'!$Y$6:$AC$83, 5,FALSE),"")</f>
        <v/>
      </c>
      <c r="W2716" s="45" t="str">
        <f>IFERROR(VLOOKUP(B2716,'Pre-Summary'!$Y$6:$AD$83,6,FALSE),"")</f>
        <v/>
      </c>
      <c r="X2716" t="str">
        <f>IFERROR(VLOOKUP('Pre-Summary'!$DB$6:$DD$63,3,FALSE),"")</f>
        <v/>
      </c>
      <c r="Y2716" t="str">
        <f>IFERROR(VLOOKUP(B2716,'Pre-Summary'!$CR$6:$CT$36,3,FALSE),"")</f>
        <v/>
      </c>
      <c r="Z2716" s="45" t="str">
        <f>IFERROR(VLOOKUP(B2716,'Pre-Summary'!$BZ$6:$CB$63,2,FALSE),"")</f>
        <v/>
      </c>
      <c r="AA2716" s="45" t="str">
        <f>IFERROR(VLOOKUP(B2716,'Pre-Summary'!$CG$6:$CI$70,2,FALSE),"")</f>
        <v/>
      </c>
      <c r="AB2716" s="99">
        <f>IFERROR(VLOOKUP(B2716,'Pre-Summary'!$A$6:$P$178,9,FALSE),AB2717)</f>
        <v>0.42015906039999273</v>
      </c>
      <c r="AC2716" s="10">
        <f>IFERROR(VLOOKUP(Summary!B2716,'Pre-Summary'!$A$6:$P$184,5, FALSE)/100,AC2717)</f>
        <v>0.98781466666666673</v>
      </c>
      <c r="AD2716" s="10">
        <f>IFERROR(VLOOKUP(Summary!B2716,'Pre-Summary'!$A$6:$P$184,3, FALSE)/100,AD2717)</f>
        <v>7.801333333333332E-3</v>
      </c>
      <c r="AE2716" s="10">
        <f>IFERROR(VLOOKUP(Summary!B2716,'Pre-Summary'!$A$6:$P$184,7, FALSE)/100,AE2717)</f>
        <v>4.3839999999999999E-3</v>
      </c>
      <c r="AF2716" s="99">
        <f t="shared" si="127"/>
        <v>3.2778008832004763E-3</v>
      </c>
      <c r="AG2716" s="99">
        <f t="shared" si="128"/>
        <v>1.841977320793568E-3</v>
      </c>
      <c r="AH2716" s="10" t="str">
        <f>IFERROR(VLOOKUP(B2716,'Pre-Summary'!$AZ$6:$BE$65,3,FALSE),"")</f>
        <v/>
      </c>
      <c r="AI2716" s="10" t="str">
        <f>IFERROR(VLOOKUP(B2716,'Pre-Summary'!$AZ$6:$BE$65,5,FALSE),"")</f>
        <v/>
      </c>
      <c r="AJ2716" s="10" t="str">
        <f>IFERROR(VLOOKUP(B2716,'Pre-Summary'!$AZ$6:$BE$65,4,FALSE),"")</f>
        <v/>
      </c>
      <c r="AK2716" s="10" t="str">
        <f>IFERROR(VLOOKUP(B2716,'Pre-Summary'!$AZ$6:$BE$65,6,FALSE),"")</f>
        <v/>
      </c>
      <c r="AL2716" s="10" t="str">
        <f>IFERROR(VLOOKUP(B2716,'Pre-Summary'!$BG$6:$BL$44,3,FALSE),"")</f>
        <v/>
      </c>
      <c r="AM2716" s="10" t="str">
        <f>IFERROR(VLOOKUP(B2716,'Pre-Summary'!$BG$6:$BL$44,4,FALSE),"")</f>
        <v/>
      </c>
    </row>
    <row r="2717" spans="2:39" ht="15" customHeight="1" x14ac:dyDescent="0.3">
      <c r="B2717">
        <v>271.39999999999998</v>
      </c>
      <c r="C2717" t="str">
        <f>IFERROR(VLOOKUP(B2717,'Pre-Summary'!$DI$6:$DM$23,4,FALSE),"")</f>
        <v/>
      </c>
      <c r="D2717" s="10" t="str">
        <f>IFERROR(VLOOKUP(B2717,'Pre-Summary'!$AT$6:$AX$14,5,FALSE),D2716)</f>
        <v>Wolfe v3: went back to modified wolfe + EDTA and switched CuSO4 to CUCl2</v>
      </c>
      <c r="E2717" s="10" t="str">
        <f>IFERROR(VLOOKUP(B2717,'Pre-Summary'!$AT$6:$AX$15,4,FALSE),"")</f>
        <v/>
      </c>
      <c r="F2717">
        <f>IFERROR(VLOOKUP(B2717,'Pre-Summary'!$AL$6:$AQ$13,6,FALSE),F2716)</f>
        <v>5.9405263157894746E-2</v>
      </c>
      <c r="G2717" t="str">
        <f>IFERROR(VLOOKUP(B2717,'Pre-Summary'!$AE$6:$AJ$85,3,FALSE),"")</f>
        <v/>
      </c>
      <c r="H2717" t="str">
        <f>IFERROR(VLOOKUP(B2717,'Pre-Summary'!$AE$6:$AJ$85,4,FALSE),"")</f>
        <v/>
      </c>
      <c r="I2717" t="str">
        <f>IFERROR(VLOOKUP(B2717,'Pre-Summary'!$AE$6:$AJ$85,5,FALSE),"")</f>
        <v/>
      </c>
      <c r="J2717" s="45" t="str">
        <f>IFERROR(VLOOKUP(B2717,'Pre-Summary'!$AE$6:$AJ$85,6, FALSE),"")</f>
        <v/>
      </c>
      <c r="K2717" s="45" t="str">
        <f>IFERROR(VLOOKUP(B2717,'Pre-Summary'!$DE$6:$DG$61,3,FALSE),"")</f>
        <v/>
      </c>
      <c r="L2717" s="45" t="str">
        <f>IFERROR(VLOOKUP(B2717,'Pre-Summary'!$CU$6:$CW$36,3,FALSE),"")</f>
        <v/>
      </c>
      <c r="M2717" s="45" t="str">
        <f>IFERROR(VLOOKUP(B2717,'Pre-Summary'!$BW$6:$BY$58,2,FALSE),"")</f>
        <v/>
      </c>
      <c r="N2717" s="45" t="str">
        <f>IFERROR(VLOOKUP(B2717,'Pre-Summary'!$CD$6:$CF$64,2,FALSE),"")</f>
        <v/>
      </c>
      <c r="O2717" s="99">
        <f>IFERROR(VLOOKUP(B2717,'Pre-Summary'!$BO$6:$BQ$48,3, FALSE),O2716)</f>
        <v>1.83</v>
      </c>
      <c r="P2717" s="99">
        <f>IFERROR(VLOOKUP(B2717,'Pre-Summary'!$BS$6:$BU$35,3,FALSE),P2716)</f>
        <v>0.46200000000000002</v>
      </c>
      <c r="Q2717" s="54">
        <f t="shared" si="126"/>
        <v>3.9610389610389611</v>
      </c>
      <c r="R2717" s="53">
        <f>IFERROR(VLOOKUP(B2717,'Pre-Summary'!$BG$6:$BM$44,7,FALSE),R2718)</f>
        <v>9.7903492963591104E-2</v>
      </c>
      <c r="S2717" s="53">
        <f>IFERROR(VLOOKUP(B2717,'Pre-Summary'!$BG$6:$BM$44,6,FALSE),S2718)</f>
        <v>0.1105986773408305</v>
      </c>
      <c r="T2717" s="45" t="str">
        <f>IFERROR(VLOOKUP(B2717,'Pre-Summary'!$Y$6:$AC$83, 3,FALSE),"")</f>
        <v/>
      </c>
      <c r="U2717" s="45" t="str">
        <f>IFERROR(VLOOKUP(B2717,'Pre-Summary'!$Y$6:$AC$83, 4,FALSE),"")</f>
        <v/>
      </c>
      <c r="V2717" t="str">
        <f>IFERROR(VLOOKUP(B2717,'Pre-Summary'!$Y$6:$AC$83, 5,FALSE),"")</f>
        <v/>
      </c>
      <c r="W2717" s="45" t="str">
        <f>IFERROR(VLOOKUP(B2717,'Pre-Summary'!$Y$6:$AD$83,6,FALSE),"")</f>
        <v/>
      </c>
      <c r="X2717" t="str">
        <f>IFERROR(VLOOKUP('Pre-Summary'!$DB$6:$DD$63,3,FALSE),"")</f>
        <v/>
      </c>
      <c r="Y2717" t="str">
        <f>IFERROR(VLOOKUP(B2717,'Pre-Summary'!$CR$6:$CT$36,3,FALSE),"")</f>
        <v/>
      </c>
      <c r="Z2717" s="45" t="str">
        <f>IFERROR(VLOOKUP(B2717,'Pre-Summary'!$BZ$6:$CB$63,2,FALSE),"")</f>
        <v/>
      </c>
      <c r="AA2717" s="45" t="str">
        <f>IFERROR(VLOOKUP(B2717,'Pre-Summary'!$CG$6:$CI$70,2,FALSE),"")</f>
        <v/>
      </c>
      <c r="AB2717" s="99">
        <f>IFERROR(VLOOKUP(B2717,'Pre-Summary'!$A$6:$P$178,9,FALSE),AB2718)</f>
        <v>0.42015906039999273</v>
      </c>
      <c r="AC2717" s="10">
        <f>IFERROR(VLOOKUP(Summary!B2717,'Pre-Summary'!$A$6:$P$184,5, FALSE)/100,AC2718)</f>
        <v>0.98781466666666673</v>
      </c>
      <c r="AD2717" s="10">
        <f>IFERROR(VLOOKUP(Summary!B2717,'Pre-Summary'!$A$6:$P$184,3, FALSE)/100,AD2718)</f>
        <v>7.801333333333332E-3</v>
      </c>
      <c r="AE2717" s="10">
        <f>IFERROR(VLOOKUP(Summary!B2717,'Pre-Summary'!$A$6:$P$184,7, FALSE)/100,AE2718)</f>
        <v>4.3839999999999999E-3</v>
      </c>
      <c r="AF2717" s="99">
        <f t="shared" si="127"/>
        <v>3.2778008832004763E-3</v>
      </c>
      <c r="AG2717" s="99">
        <f t="shared" si="128"/>
        <v>1.841977320793568E-3</v>
      </c>
      <c r="AH2717" s="10" t="str">
        <f>IFERROR(VLOOKUP(B2717,'Pre-Summary'!$AZ$6:$BE$65,3,FALSE),"")</f>
        <v/>
      </c>
      <c r="AI2717" s="10" t="str">
        <f>IFERROR(VLOOKUP(B2717,'Pre-Summary'!$AZ$6:$BE$65,5,FALSE),"")</f>
        <v/>
      </c>
      <c r="AJ2717" s="10" t="str">
        <f>IFERROR(VLOOKUP(B2717,'Pre-Summary'!$AZ$6:$BE$65,4,FALSE),"")</f>
        <v/>
      </c>
      <c r="AK2717" s="10" t="str">
        <f>IFERROR(VLOOKUP(B2717,'Pre-Summary'!$AZ$6:$BE$65,6,FALSE),"")</f>
        <v/>
      </c>
      <c r="AL2717" s="10" t="str">
        <f>IFERROR(VLOOKUP(B2717,'Pre-Summary'!$BG$6:$BL$44,3,FALSE),"")</f>
        <v/>
      </c>
      <c r="AM2717" s="10" t="str">
        <f>IFERROR(VLOOKUP(B2717,'Pre-Summary'!$BG$6:$BL$44,4,FALSE),"")</f>
        <v/>
      </c>
    </row>
    <row r="2718" spans="2:39" ht="15" customHeight="1" x14ac:dyDescent="0.3">
      <c r="B2718">
        <v>271.5</v>
      </c>
      <c r="C2718" t="str">
        <f>IFERROR(VLOOKUP(B2718,'Pre-Summary'!$DI$6:$DM$23,4,FALSE),"")</f>
        <v/>
      </c>
      <c r="D2718" s="10" t="str">
        <f>IFERROR(VLOOKUP(B2718,'Pre-Summary'!$AT$6:$AX$14,5,FALSE),D2717)</f>
        <v>Wolfe v3: went back to modified wolfe + EDTA and switched CuSO4 to CUCl2</v>
      </c>
      <c r="E2718" s="10" t="str">
        <f>IFERROR(VLOOKUP(B2718,'Pre-Summary'!$AT$6:$AX$15,4,FALSE),"")</f>
        <v/>
      </c>
      <c r="F2718">
        <f>IFERROR(VLOOKUP(B2718,'Pre-Summary'!$AL$6:$AQ$13,6,FALSE),F2717)</f>
        <v>5.9405263157894746E-2</v>
      </c>
      <c r="G2718" t="str">
        <f>IFERROR(VLOOKUP(B2718,'Pre-Summary'!$AE$6:$AJ$85,3,FALSE),"")</f>
        <v/>
      </c>
      <c r="H2718" t="str">
        <f>IFERROR(VLOOKUP(B2718,'Pre-Summary'!$AE$6:$AJ$85,4,FALSE),"")</f>
        <v/>
      </c>
      <c r="I2718" t="str">
        <f>IFERROR(VLOOKUP(B2718,'Pre-Summary'!$AE$6:$AJ$85,5,FALSE),"")</f>
        <v/>
      </c>
      <c r="J2718" s="45" t="str">
        <f>IFERROR(VLOOKUP(B2718,'Pre-Summary'!$AE$6:$AJ$85,6, FALSE),"")</f>
        <v/>
      </c>
      <c r="K2718" s="45" t="str">
        <f>IFERROR(VLOOKUP(B2718,'Pre-Summary'!$DE$6:$DG$61,3,FALSE),"")</f>
        <v/>
      </c>
      <c r="L2718" s="45" t="str">
        <f>IFERROR(VLOOKUP(B2718,'Pre-Summary'!$CU$6:$CW$36,3,FALSE),"")</f>
        <v/>
      </c>
      <c r="M2718" s="45" t="str">
        <f>IFERROR(VLOOKUP(B2718,'Pre-Summary'!$BW$6:$BY$58,2,FALSE),"")</f>
        <v/>
      </c>
      <c r="N2718" s="45" t="str">
        <f>IFERROR(VLOOKUP(B2718,'Pre-Summary'!$CD$6:$CF$64,2,FALSE),"")</f>
        <v/>
      </c>
      <c r="O2718" s="99">
        <f>IFERROR(VLOOKUP(B2718,'Pre-Summary'!$BO$6:$BQ$48,3, FALSE),O2717)</f>
        <v>1.83</v>
      </c>
      <c r="P2718" s="99">
        <f>IFERROR(VLOOKUP(B2718,'Pre-Summary'!$BS$6:$BU$35,3,FALSE),P2717)</f>
        <v>0.46200000000000002</v>
      </c>
      <c r="Q2718" s="54">
        <f t="shared" si="126"/>
        <v>3.9610389610389611</v>
      </c>
      <c r="R2718" s="53">
        <f>IFERROR(VLOOKUP(B2718,'Pre-Summary'!$BG$6:$BM$44,7,FALSE),R2719)</f>
        <v>9.7903492963591104E-2</v>
      </c>
      <c r="S2718" s="53">
        <f>IFERROR(VLOOKUP(B2718,'Pre-Summary'!$BG$6:$BM$44,6,FALSE),S2719)</f>
        <v>0.1105986773408305</v>
      </c>
      <c r="T2718" s="45" t="str">
        <f>IFERROR(VLOOKUP(B2718,'Pre-Summary'!$Y$6:$AC$83, 3,FALSE),"")</f>
        <v/>
      </c>
      <c r="U2718" s="45" t="str">
        <f>IFERROR(VLOOKUP(B2718,'Pre-Summary'!$Y$6:$AC$83, 4,FALSE),"")</f>
        <v/>
      </c>
      <c r="V2718" t="str">
        <f>IFERROR(VLOOKUP(B2718,'Pre-Summary'!$Y$6:$AC$83, 5,FALSE),"")</f>
        <v/>
      </c>
      <c r="W2718" s="45" t="str">
        <f>IFERROR(VLOOKUP(B2718,'Pre-Summary'!$Y$6:$AD$83,6,FALSE),"")</f>
        <v/>
      </c>
      <c r="X2718" t="str">
        <f>IFERROR(VLOOKUP('Pre-Summary'!$DB$6:$DD$63,3,FALSE),"")</f>
        <v/>
      </c>
      <c r="Y2718" t="str">
        <f>IFERROR(VLOOKUP(B2718,'Pre-Summary'!$CR$6:$CT$36,3,FALSE),"")</f>
        <v/>
      </c>
      <c r="Z2718" s="45" t="str">
        <f>IFERROR(VLOOKUP(B2718,'Pre-Summary'!$BZ$6:$CB$63,2,FALSE),"")</f>
        <v/>
      </c>
      <c r="AA2718" s="45" t="str">
        <f>IFERROR(VLOOKUP(B2718,'Pre-Summary'!$CG$6:$CI$70,2,FALSE),"")</f>
        <v/>
      </c>
      <c r="AB2718" s="99">
        <f>IFERROR(VLOOKUP(B2718,'Pre-Summary'!$A$6:$P$178,9,FALSE),AB2719)</f>
        <v>0.42015906039999273</v>
      </c>
      <c r="AC2718" s="10">
        <f>IFERROR(VLOOKUP(Summary!B2718,'Pre-Summary'!$A$6:$P$184,5, FALSE)/100,AC2719)</f>
        <v>0.98781466666666673</v>
      </c>
      <c r="AD2718" s="10">
        <f>IFERROR(VLOOKUP(Summary!B2718,'Pre-Summary'!$A$6:$P$184,3, FALSE)/100,AD2719)</f>
        <v>7.801333333333332E-3</v>
      </c>
      <c r="AE2718" s="10">
        <f>IFERROR(VLOOKUP(Summary!B2718,'Pre-Summary'!$A$6:$P$184,7, FALSE)/100,AE2719)</f>
        <v>4.3839999999999999E-3</v>
      </c>
      <c r="AF2718" s="99">
        <f t="shared" si="127"/>
        <v>3.2778008832004763E-3</v>
      </c>
      <c r="AG2718" s="99">
        <f t="shared" si="128"/>
        <v>1.841977320793568E-3</v>
      </c>
      <c r="AH2718" s="10" t="str">
        <f>IFERROR(VLOOKUP(B2718,'Pre-Summary'!$AZ$6:$BE$65,3,FALSE),"")</f>
        <v/>
      </c>
      <c r="AI2718" s="10" t="str">
        <f>IFERROR(VLOOKUP(B2718,'Pre-Summary'!$AZ$6:$BE$65,5,FALSE),"")</f>
        <v/>
      </c>
      <c r="AJ2718" s="10" t="str">
        <f>IFERROR(VLOOKUP(B2718,'Pre-Summary'!$AZ$6:$BE$65,4,FALSE),"")</f>
        <v/>
      </c>
      <c r="AK2718" s="10" t="str">
        <f>IFERROR(VLOOKUP(B2718,'Pre-Summary'!$AZ$6:$BE$65,6,FALSE),"")</f>
        <v/>
      </c>
      <c r="AL2718" s="10" t="str">
        <f>IFERROR(VLOOKUP(B2718,'Pre-Summary'!$BG$6:$BL$44,3,FALSE),"")</f>
        <v/>
      </c>
      <c r="AM2718" s="10" t="str">
        <f>IFERROR(VLOOKUP(B2718,'Pre-Summary'!$BG$6:$BL$44,4,FALSE),"")</f>
        <v/>
      </c>
    </row>
    <row r="2719" spans="2:39" ht="15" customHeight="1" x14ac:dyDescent="0.3">
      <c r="B2719">
        <v>271.60000000000002</v>
      </c>
      <c r="C2719" t="str">
        <f>IFERROR(VLOOKUP(B2719,'Pre-Summary'!$DI$6:$DM$23,4,FALSE),"")</f>
        <v/>
      </c>
      <c r="D2719" s="10" t="str">
        <f>IFERROR(VLOOKUP(B2719,'Pre-Summary'!$AT$6:$AX$14,5,FALSE),D2718)</f>
        <v>Wolfe v3: went back to modified wolfe + EDTA and switched CuSO4 to CUCl2</v>
      </c>
      <c r="E2719" s="10" t="str">
        <f>IFERROR(VLOOKUP(B2719,'Pre-Summary'!$AT$6:$AX$15,4,FALSE),"")</f>
        <v/>
      </c>
      <c r="F2719">
        <f>IFERROR(VLOOKUP(B2719,'Pre-Summary'!$AL$6:$AQ$13,6,FALSE),F2718)</f>
        <v>5.9405263157894746E-2</v>
      </c>
      <c r="G2719" t="str">
        <f>IFERROR(VLOOKUP(B2719,'Pre-Summary'!$AE$6:$AJ$85,3,FALSE),"")</f>
        <v/>
      </c>
      <c r="H2719" t="str">
        <f>IFERROR(VLOOKUP(B2719,'Pre-Summary'!$AE$6:$AJ$85,4,FALSE),"")</f>
        <v/>
      </c>
      <c r="I2719" t="str">
        <f>IFERROR(VLOOKUP(B2719,'Pre-Summary'!$AE$6:$AJ$85,5,FALSE),"")</f>
        <v/>
      </c>
      <c r="J2719" s="45" t="str">
        <f>IFERROR(VLOOKUP(B2719,'Pre-Summary'!$AE$6:$AJ$85,6, FALSE),"")</f>
        <v/>
      </c>
      <c r="K2719" s="45" t="str">
        <f>IFERROR(VLOOKUP(B2719,'Pre-Summary'!$DE$6:$DG$61,3,FALSE),"")</f>
        <v/>
      </c>
      <c r="L2719" s="45" t="str">
        <f>IFERROR(VLOOKUP(B2719,'Pre-Summary'!$CU$6:$CW$36,3,FALSE),"")</f>
        <v/>
      </c>
      <c r="M2719" s="45" t="str">
        <f>IFERROR(VLOOKUP(B2719,'Pre-Summary'!$BW$6:$BY$58,2,FALSE),"")</f>
        <v/>
      </c>
      <c r="N2719" s="45" t="str">
        <f>IFERROR(VLOOKUP(B2719,'Pre-Summary'!$CD$6:$CF$64,2,FALSE),"")</f>
        <v/>
      </c>
      <c r="O2719" s="99">
        <f>IFERROR(VLOOKUP(B2719,'Pre-Summary'!$BO$6:$BQ$48,3, FALSE),O2718)</f>
        <v>1.83</v>
      </c>
      <c r="P2719" s="99">
        <f>IFERROR(VLOOKUP(B2719,'Pre-Summary'!$BS$6:$BU$35,3,FALSE),P2718)</f>
        <v>0.46200000000000002</v>
      </c>
      <c r="Q2719" s="54">
        <f t="shared" si="126"/>
        <v>3.9610389610389611</v>
      </c>
      <c r="R2719" s="53">
        <f>IFERROR(VLOOKUP(B2719,'Pre-Summary'!$BG$6:$BM$44,7,FALSE),R2720)</f>
        <v>9.7903492963591104E-2</v>
      </c>
      <c r="S2719" s="53">
        <f>IFERROR(VLOOKUP(B2719,'Pre-Summary'!$BG$6:$BM$44,6,FALSE),S2720)</f>
        <v>0.1105986773408305</v>
      </c>
      <c r="T2719" s="45" t="str">
        <f>IFERROR(VLOOKUP(B2719,'Pre-Summary'!$Y$6:$AC$83, 3,FALSE),"")</f>
        <v/>
      </c>
      <c r="U2719" s="45" t="str">
        <f>IFERROR(VLOOKUP(B2719,'Pre-Summary'!$Y$6:$AC$83, 4,FALSE),"")</f>
        <v/>
      </c>
      <c r="V2719" t="str">
        <f>IFERROR(VLOOKUP(B2719,'Pre-Summary'!$Y$6:$AC$83, 5,FALSE),"")</f>
        <v/>
      </c>
      <c r="W2719" s="45" t="str">
        <f>IFERROR(VLOOKUP(B2719,'Pre-Summary'!$Y$6:$AD$83,6,FALSE),"")</f>
        <v/>
      </c>
      <c r="X2719" t="str">
        <f>IFERROR(VLOOKUP('Pre-Summary'!$DB$6:$DD$63,3,FALSE),"")</f>
        <v/>
      </c>
      <c r="Y2719" t="str">
        <f>IFERROR(VLOOKUP(B2719,'Pre-Summary'!$CR$6:$CT$36,3,FALSE),"")</f>
        <v/>
      </c>
      <c r="Z2719" s="45" t="str">
        <f>IFERROR(VLOOKUP(B2719,'Pre-Summary'!$BZ$6:$CB$63,2,FALSE),"")</f>
        <v/>
      </c>
      <c r="AA2719" s="45" t="str">
        <f>IFERROR(VLOOKUP(B2719,'Pre-Summary'!$CG$6:$CI$70,2,FALSE),"")</f>
        <v/>
      </c>
      <c r="AB2719" s="99">
        <f>IFERROR(VLOOKUP(B2719,'Pre-Summary'!$A$6:$P$178,9,FALSE),AB2720)</f>
        <v>0.42015906039999273</v>
      </c>
      <c r="AC2719" s="10">
        <f>IFERROR(VLOOKUP(Summary!B2719,'Pre-Summary'!$A$6:$P$184,5, FALSE)/100,AC2720)</f>
        <v>0.98781466666666673</v>
      </c>
      <c r="AD2719" s="10">
        <f>IFERROR(VLOOKUP(Summary!B2719,'Pre-Summary'!$A$6:$P$184,3, FALSE)/100,AD2720)</f>
        <v>7.801333333333332E-3</v>
      </c>
      <c r="AE2719" s="10">
        <f>IFERROR(VLOOKUP(Summary!B2719,'Pre-Summary'!$A$6:$P$184,7, FALSE)/100,AE2720)</f>
        <v>4.3839999999999999E-3</v>
      </c>
      <c r="AF2719" s="99">
        <f t="shared" si="127"/>
        <v>3.2778008832004763E-3</v>
      </c>
      <c r="AG2719" s="99">
        <f t="shared" si="128"/>
        <v>1.841977320793568E-3</v>
      </c>
      <c r="AH2719" s="10" t="str">
        <f>IFERROR(VLOOKUP(B2719,'Pre-Summary'!$AZ$6:$BE$65,3,FALSE),"")</f>
        <v/>
      </c>
      <c r="AI2719" s="10" t="str">
        <f>IFERROR(VLOOKUP(B2719,'Pre-Summary'!$AZ$6:$BE$65,5,FALSE),"")</f>
        <v/>
      </c>
      <c r="AJ2719" s="10" t="str">
        <f>IFERROR(VLOOKUP(B2719,'Pre-Summary'!$AZ$6:$BE$65,4,FALSE),"")</f>
        <v/>
      </c>
      <c r="AK2719" s="10" t="str">
        <f>IFERROR(VLOOKUP(B2719,'Pre-Summary'!$AZ$6:$BE$65,6,FALSE),"")</f>
        <v/>
      </c>
      <c r="AL2719" s="10" t="str">
        <f>IFERROR(VLOOKUP(B2719,'Pre-Summary'!$BG$6:$BL$44,3,FALSE),"")</f>
        <v/>
      </c>
      <c r="AM2719" s="10" t="str">
        <f>IFERROR(VLOOKUP(B2719,'Pre-Summary'!$BG$6:$BL$44,4,FALSE),"")</f>
        <v/>
      </c>
    </row>
    <row r="2720" spans="2:39" ht="15" customHeight="1" x14ac:dyDescent="0.3">
      <c r="B2720">
        <v>271.7</v>
      </c>
      <c r="C2720" t="str">
        <f>IFERROR(VLOOKUP(B2720,'Pre-Summary'!$DI$6:$DM$23,4,FALSE),"")</f>
        <v/>
      </c>
      <c r="D2720" s="10" t="str">
        <f>IFERROR(VLOOKUP(B2720,'Pre-Summary'!$AT$6:$AX$14,5,FALSE),D2719)</f>
        <v>Wolfe v3: went back to modified wolfe + EDTA and switched CuSO4 to CUCl2</v>
      </c>
      <c r="E2720" s="10" t="str">
        <f>IFERROR(VLOOKUP(B2720,'Pre-Summary'!$AT$6:$AX$15,4,FALSE),"")</f>
        <v/>
      </c>
      <c r="F2720">
        <f>IFERROR(VLOOKUP(B2720,'Pre-Summary'!$AL$6:$AQ$13,6,FALSE),F2719)</f>
        <v>5.9405263157894746E-2</v>
      </c>
      <c r="G2720" t="str">
        <f>IFERROR(VLOOKUP(B2720,'Pre-Summary'!$AE$6:$AJ$85,3,FALSE),"")</f>
        <v/>
      </c>
      <c r="H2720" t="str">
        <f>IFERROR(VLOOKUP(B2720,'Pre-Summary'!$AE$6:$AJ$85,4,FALSE),"")</f>
        <v/>
      </c>
      <c r="I2720" t="str">
        <f>IFERROR(VLOOKUP(B2720,'Pre-Summary'!$AE$6:$AJ$85,5,FALSE),"")</f>
        <v/>
      </c>
      <c r="J2720" s="45" t="str">
        <f>IFERROR(VLOOKUP(B2720,'Pre-Summary'!$AE$6:$AJ$85,6, FALSE),"")</f>
        <v/>
      </c>
      <c r="K2720" s="45" t="str">
        <f>IFERROR(VLOOKUP(B2720,'Pre-Summary'!$DE$6:$DG$61,3,FALSE),"")</f>
        <v/>
      </c>
      <c r="L2720" s="45" t="str">
        <f>IFERROR(VLOOKUP(B2720,'Pre-Summary'!$CU$6:$CW$36,3,FALSE),"")</f>
        <v/>
      </c>
      <c r="M2720" s="45" t="str">
        <f>IFERROR(VLOOKUP(B2720,'Pre-Summary'!$BW$6:$BY$58,2,FALSE),"")</f>
        <v/>
      </c>
      <c r="N2720" s="45" t="str">
        <f>IFERROR(VLOOKUP(B2720,'Pre-Summary'!$CD$6:$CF$64,2,FALSE),"")</f>
        <v/>
      </c>
      <c r="O2720" s="99">
        <f>IFERROR(VLOOKUP(B2720,'Pre-Summary'!$BO$6:$BQ$48,3, FALSE),O2719)</f>
        <v>1.83</v>
      </c>
      <c r="P2720" s="99">
        <f>IFERROR(VLOOKUP(B2720,'Pre-Summary'!$BS$6:$BU$35,3,FALSE),P2719)</f>
        <v>0.46200000000000002</v>
      </c>
      <c r="Q2720" s="54">
        <f t="shared" si="126"/>
        <v>3.9610389610389611</v>
      </c>
      <c r="R2720" s="53">
        <f>IFERROR(VLOOKUP(B2720,'Pre-Summary'!$BG$6:$BM$44,7,FALSE),R2721)</f>
        <v>9.7903492963591104E-2</v>
      </c>
      <c r="S2720" s="53">
        <f>IFERROR(VLOOKUP(B2720,'Pre-Summary'!$BG$6:$BM$44,6,FALSE),S2721)</f>
        <v>0.1105986773408305</v>
      </c>
      <c r="T2720" s="45" t="str">
        <f>IFERROR(VLOOKUP(B2720,'Pre-Summary'!$Y$6:$AC$83, 3,FALSE),"")</f>
        <v/>
      </c>
      <c r="U2720" s="45" t="str">
        <f>IFERROR(VLOOKUP(B2720,'Pre-Summary'!$Y$6:$AC$83, 4,FALSE),"")</f>
        <v/>
      </c>
      <c r="V2720" t="str">
        <f>IFERROR(VLOOKUP(B2720,'Pre-Summary'!$Y$6:$AC$83, 5,FALSE),"")</f>
        <v/>
      </c>
      <c r="W2720" s="45" t="str">
        <f>IFERROR(VLOOKUP(B2720,'Pre-Summary'!$Y$6:$AD$83,6,FALSE),"")</f>
        <v/>
      </c>
      <c r="X2720" t="str">
        <f>IFERROR(VLOOKUP('Pre-Summary'!$DB$6:$DD$63,3,FALSE),"")</f>
        <v/>
      </c>
      <c r="Y2720" t="str">
        <f>IFERROR(VLOOKUP(B2720,'Pre-Summary'!$CR$6:$CT$36,3,FALSE),"")</f>
        <v/>
      </c>
      <c r="Z2720" s="45" t="str">
        <f>IFERROR(VLOOKUP(B2720,'Pre-Summary'!$BZ$6:$CB$63,2,FALSE),"")</f>
        <v/>
      </c>
      <c r="AA2720" s="45" t="str">
        <f>IFERROR(VLOOKUP(B2720,'Pre-Summary'!$CG$6:$CI$70,2,FALSE),"")</f>
        <v/>
      </c>
      <c r="AB2720" s="99">
        <f>IFERROR(VLOOKUP(B2720,'Pre-Summary'!$A$6:$P$178,9,FALSE),AB2721)</f>
        <v>0.42015906039999273</v>
      </c>
      <c r="AC2720" s="10">
        <f>IFERROR(VLOOKUP(Summary!B2720,'Pre-Summary'!$A$6:$P$184,5, FALSE)/100,AC2721)</f>
        <v>0.98781466666666673</v>
      </c>
      <c r="AD2720" s="10">
        <f>IFERROR(VLOOKUP(Summary!B2720,'Pre-Summary'!$A$6:$P$184,3, FALSE)/100,AD2721)</f>
        <v>7.801333333333332E-3</v>
      </c>
      <c r="AE2720" s="10">
        <f>IFERROR(VLOOKUP(Summary!B2720,'Pre-Summary'!$A$6:$P$184,7, FALSE)/100,AE2721)</f>
        <v>4.3839999999999999E-3</v>
      </c>
      <c r="AF2720" s="99">
        <f t="shared" si="127"/>
        <v>3.2778008832004763E-3</v>
      </c>
      <c r="AG2720" s="99">
        <f t="shared" si="128"/>
        <v>1.841977320793568E-3</v>
      </c>
      <c r="AH2720" s="10" t="str">
        <f>IFERROR(VLOOKUP(B2720,'Pre-Summary'!$AZ$6:$BE$65,3,FALSE),"")</f>
        <v/>
      </c>
      <c r="AI2720" s="10" t="str">
        <f>IFERROR(VLOOKUP(B2720,'Pre-Summary'!$AZ$6:$BE$65,5,FALSE),"")</f>
        <v/>
      </c>
      <c r="AJ2720" s="10" t="str">
        <f>IFERROR(VLOOKUP(B2720,'Pre-Summary'!$AZ$6:$BE$65,4,FALSE),"")</f>
        <v/>
      </c>
      <c r="AK2720" s="10" t="str">
        <f>IFERROR(VLOOKUP(B2720,'Pre-Summary'!$AZ$6:$BE$65,6,FALSE),"")</f>
        <v/>
      </c>
      <c r="AL2720" s="10" t="str">
        <f>IFERROR(VLOOKUP(B2720,'Pre-Summary'!$BG$6:$BL$44,3,FALSE),"")</f>
        <v/>
      </c>
      <c r="AM2720" s="10" t="str">
        <f>IFERROR(VLOOKUP(B2720,'Pre-Summary'!$BG$6:$BL$44,4,FALSE),"")</f>
        <v/>
      </c>
    </row>
    <row r="2721" spans="2:39" ht="15" customHeight="1" x14ac:dyDescent="0.3">
      <c r="B2721">
        <v>271.8</v>
      </c>
      <c r="C2721" t="str">
        <f>IFERROR(VLOOKUP(B2721,'Pre-Summary'!$DI$6:$DM$23,4,FALSE),"")</f>
        <v/>
      </c>
      <c r="D2721" s="10" t="str">
        <f>IFERROR(VLOOKUP(B2721,'Pre-Summary'!$AT$6:$AX$14,5,FALSE),D2720)</f>
        <v>Wolfe v3: went back to modified wolfe + EDTA and switched CuSO4 to CUCl2</v>
      </c>
      <c r="E2721" s="10" t="str">
        <f>IFERROR(VLOOKUP(B2721,'Pre-Summary'!$AT$6:$AX$15,4,FALSE),"")</f>
        <v/>
      </c>
      <c r="F2721">
        <f>IFERROR(VLOOKUP(B2721,'Pre-Summary'!$AL$6:$AQ$13,6,FALSE),F2720)</f>
        <v>5.9405263157894746E-2</v>
      </c>
      <c r="G2721" t="str">
        <f>IFERROR(VLOOKUP(B2721,'Pre-Summary'!$AE$6:$AJ$85,3,FALSE),"")</f>
        <v/>
      </c>
      <c r="H2721" t="str">
        <f>IFERROR(VLOOKUP(B2721,'Pre-Summary'!$AE$6:$AJ$85,4,FALSE),"")</f>
        <v/>
      </c>
      <c r="I2721" t="str">
        <f>IFERROR(VLOOKUP(B2721,'Pre-Summary'!$AE$6:$AJ$85,5,FALSE),"")</f>
        <v/>
      </c>
      <c r="J2721" s="45" t="str">
        <f>IFERROR(VLOOKUP(B2721,'Pre-Summary'!$AE$6:$AJ$85,6, FALSE),"")</f>
        <v/>
      </c>
      <c r="K2721" s="45" t="str">
        <f>IFERROR(VLOOKUP(B2721,'Pre-Summary'!$DE$6:$DG$61,3,FALSE),"")</f>
        <v/>
      </c>
      <c r="L2721" s="45" t="str">
        <f>IFERROR(VLOOKUP(B2721,'Pre-Summary'!$CU$6:$CW$36,3,FALSE),"")</f>
        <v/>
      </c>
      <c r="M2721" s="45" t="str">
        <f>IFERROR(VLOOKUP(B2721,'Pre-Summary'!$BW$6:$BY$58,2,FALSE),"")</f>
        <v/>
      </c>
      <c r="N2721" s="45" t="str">
        <f>IFERROR(VLOOKUP(B2721,'Pre-Summary'!$CD$6:$CF$64,2,FALSE),"")</f>
        <v/>
      </c>
      <c r="O2721" s="99">
        <f>IFERROR(VLOOKUP(B2721,'Pre-Summary'!$BO$6:$BQ$48,3, FALSE),O2720)</f>
        <v>1.83</v>
      </c>
      <c r="P2721" s="99">
        <f>IFERROR(VLOOKUP(B2721,'Pre-Summary'!$BS$6:$BU$35,3,FALSE),P2720)</f>
        <v>0.46200000000000002</v>
      </c>
      <c r="Q2721" s="54">
        <f t="shared" si="126"/>
        <v>3.9610389610389611</v>
      </c>
      <c r="R2721" s="53">
        <f>IFERROR(VLOOKUP(B2721,'Pre-Summary'!$BG$6:$BM$44,7,FALSE),R2722)</f>
        <v>9.7903492963591104E-2</v>
      </c>
      <c r="S2721" s="53">
        <f>IFERROR(VLOOKUP(B2721,'Pre-Summary'!$BG$6:$BM$44,6,FALSE),S2722)</f>
        <v>0.1105986773408305</v>
      </c>
      <c r="T2721" s="45" t="str">
        <f>IFERROR(VLOOKUP(B2721,'Pre-Summary'!$Y$6:$AC$83, 3,FALSE),"")</f>
        <v/>
      </c>
      <c r="U2721" s="45" t="str">
        <f>IFERROR(VLOOKUP(B2721,'Pre-Summary'!$Y$6:$AC$83, 4,FALSE),"")</f>
        <v/>
      </c>
      <c r="V2721" t="str">
        <f>IFERROR(VLOOKUP(B2721,'Pre-Summary'!$Y$6:$AC$83, 5,FALSE),"")</f>
        <v/>
      </c>
      <c r="W2721" s="45" t="str">
        <f>IFERROR(VLOOKUP(B2721,'Pre-Summary'!$Y$6:$AD$83,6,FALSE),"")</f>
        <v/>
      </c>
      <c r="X2721" t="str">
        <f>IFERROR(VLOOKUP('Pre-Summary'!$DB$6:$DD$63,3,FALSE),"")</f>
        <v/>
      </c>
      <c r="Y2721" t="str">
        <f>IFERROR(VLOOKUP(B2721,'Pre-Summary'!$CR$6:$CT$36,3,FALSE),"")</f>
        <v/>
      </c>
      <c r="Z2721" s="45" t="str">
        <f>IFERROR(VLOOKUP(B2721,'Pre-Summary'!$BZ$6:$CB$63,2,FALSE),"")</f>
        <v/>
      </c>
      <c r="AA2721" s="45" t="str">
        <f>IFERROR(VLOOKUP(B2721,'Pre-Summary'!$CG$6:$CI$70,2,FALSE),"")</f>
        <v/>
      </c>
      <c r="AB2721" s="99">
        <f>IFERROR(VLOOKUP(B2721,'Pre-Summary'!$A$6:$P$178,9,FALSE),AB2722)</f>
        <v>0.42015906039999273</v>
      </c>
      <c r="AC2721" s="10">
        <f>IFERROR(VLOOKUP(Summary!B2721,'Pre-Summary'!$A$6:$P$184,5, FALSE)/100,AC2722)</f>
        <v>0.98781466666666673</v>
      </c>
      <c r="AD2721" s="10">
        <f>IFERROR(VLOOKUP(Summary!B2721,'Pre-Summary'!$A$6:$P$184,3, FALSE)/100,AD2722)</f>
        <v>7.801333333333332E-3</v>
      </c>
      <c r="AE2721" s="10">
        <f>IFERROR(VLOOKUP(Summary!B2721,'Pre-Summary'!$A$6:$P$184,7, FALSE)/100,AE2722)</f>
        <v>4.3839999999999999E-3</v>
      </c>
      <c r="AF2721" s="99">
        <f t="shared" si="127"/>
        <v>3.2778008832004763E-3</v>
      </c>
      <c r="AG2721" s="99">
        <f t="shared" si="128"/>
        <v>1.841977320793568E-3</v>
      </c>
      <c r="AH2721" s="10" t="str">
        <f>IFERROR(VLOOKUP(B2721,'Pre-Summary'!$AZ$6:$BE$65,3,FALSE),"")</f>
        <v/>
      </c>
      <c r="AI2721" s="10" t="str">
        <f>IFERROR(VLOOKUP(B2721,'Pre-Summary'!$AZ$6:$BE$65,5,FALSE),"")</f>
        <v/>
      </c>
      <c r="AJ2721" s="10" t="str">
        <f>IFERROR(VLOOKUP(B2721,'Pre-Summary'!$AZ$6:$BE$65,4,FALSE),"")</f>
        <v/>
      </c>
      <c r="AK2721" s="10" t="str">
        <f>IFERROR(VLOOKUP(B2721,'Pre-Summary'!$AZ$6:$BE$65,6,FALSE),"")</f>
        <v/>
      </c>
      <c r="AL2721" s="10" t="str">
        <f>IFERROR(VLOOKUP(B2721,'Pre-Summary'!$BG$6:$BL$44,3,FALSE),"")</f>
        <v/>
      </c>
      <c r="AM2721" s="10" t="str">
        <f>IFERROR(VLOOKUP(B2721,'Pre-Summary'!$BG$6:$BL$44,4,FALSE),"")</f>
        <v/>
      </c>
    </row>
    <row r="2722" spans="2:39" ht="15" customHeight="1" x14ac:dyDescent="0.3">
      <c r="B2722">
        <v>271.89999999999998</v>
      </c>
      <c r="C2722" t="str">
        <f>IFERROR(VLOOKUP(B2722,'Pre-Summary'!$DI$6:$DM$23,4,FALSE),"")</f>
        <v/>
      </c>
      <c r="D2722" s="10" t="str">
        <f>IFERROR(VLOOKUP(B2722,'Pre-Summary'!$AT$6:$AX$14,5,FALSE),D2721)</f>
        <v>Wolfe v3: went back to modified wolfe + EDTA and switched CuSO4 to CUCl2</v>
      </c>
      <c r="E2722" s="10" t="str">
        <f>IFERROR(VLOOKUP(B2722,'Pre-Summary'!$AT$6:$AX$15,4,FALSE),"")</f>
        <v/>
      </c>
      <c r="F2722">
        <f>IFERROR(VLOOKUP(B2722,'Pre-Summary'!$AL$6:$AQ$13,6,FALSE),F2721)</f>
        <v>5.9405263157894746E-2</v>
      </c>
      <c r="G2722" t="str">
        <f>IFERROR(VLOOKUP(B2722,'Pre-Summary'!$AE$6:$AJ$85,3,FALSE),"")</f>
        <v/>
      </c>
      <c r="H2722" t="str">
        <f>IFERROR(VLOOKUP(B2722,'Pre-Summary'!$AE$6:$AJ$85,4,FALSE),"")</f>
        <v/>
      </c>
      <c r="I2722" t="str">
        <f>IFERROR(VLOOKUP(B2722,'Pre-Summary'!$AE$6:$AJ$85,5,FALSE),"")</f>
        <v/>
      </c>
      <c r="J2722" s="45" t="str">
        <f>IFERROR(VLOOKUP(B2722,'Pre-Summary'!$AE$6:$AJ$85,6, FALSE),"")</f>
        <v/>
      </c>
      <c r="K2722" s="45" t="str">
        <f>IFERROR(VLOOKUP(B2722,'Pre-Summary'!$DE$6:$DG$61,3,FALSE),"")</f>
        <v/>
      </c>
      <c r="L2722" s="45" t="str">
        <f>IFERROR(VLOOKUP(B2722,'Pre-Summary'!$CU$6:$CW$36,3,FALSE),"")</f>
        <v/>
      </c>
      <c r="M2722" s="45" t="str">
        <f>IFERROR(VLOOKUP(B2722,'Pre-Summary'!$BW$6:$BY$58,2,FALSE),"")</f>
        <v/>
      </c>
      <c r="N2722" s="45" t="str">
        <f>IFERROR(VLOOKUP(B2722,'Pre-Summary'!$CD$6:$CF$64,2,FALSE),"")</f>
        <v/>
      </c>
      <c r="O2722" s="99">
        <f>IFERROR(VLOOKUP(B2722,'Pre-Summary'!$BO$6:$BQ$48,3, FALSE),O2721)</f>
        <v>1.83</v>
      </c>
      <c r="P2722" s="99">
        <f>IFERROR(VLOOKUP(B2722,'Pre-Summary'!$BS$6:$BU$35,3,FALSE),P2721)</f>
        <v>0.46200000000000002</v>
      </c>
      <c r="Q2722" s="54">
        <f t="shared" si="126"/>
        <v>3.9610389610389611</v>
      </c>
      <c r="R2722" s="53">
        <f>IFERROR(VLOOKUP(B2722,'Pre-Summary'!$BG$6:$BM$44,7,FALSE),R2723)</f>
        <v>9.7903492963591104E-2</v>
      </c>
      <c r="S2722" s="53">
        <f>IFERROR(VLOOKUP(B2722,'Pre-Summary'!$BG$6:$BM$44,6,FALSE),S2723)</f>
        <v>0.1105986773408305</v>
      </c>
      <c r="T2722" s="45" t="str">
        <f>IFERROR(VLOOKUP(B2722,'Pre-Summary'!$Y$6:$AC$83, 3,FALSE),"")</f>
        <v/>
      </c>
      <c r="U2722" s="45" t="str">
        <f>IFERROR(VLOOKUP(B2722,'Pre-Summary'!$Y$6:$AC$83, 4,FALSE),"")</f>
        <v/>
      </c>
      <c r="V2722" t="str">
        <f>IFERROR(VLOOKUP(B2722,'Pre-Summary'!$Y$6:$AC$83, 5,FALSE),"")</f>
        <v/>
      </c>
      <c r="W2722" s="45" t="str">
        <f>IFERROR(VLOOKUP(B2722,'Pre-Summary'!$Y$6:$AD$83,6,FALSE),"")</f>
        <v/>
      </c>
      <c r="X2722" t="str">
        <f>IFERROR(VLOOKUP('Pre-Summary'!$DB$6:$DD$63,3,FALSE),"")</f>
        <v/>
      </c>
      <c r="Y2722" t="str">
        <f>IFERROR(VLOOKUP(B2722,'Pre-Summary'!$CR$6:$CT$36,3,FALSE),"")</f>
        <v/>
      </c>
      <c r="Z2722" s="45" t="str">
        <f>IFERROR(VLOOKUP(B2722,'Pre-Summary'!$BZ$6:$CB$63,2,FALSE),"")</f>
        <v/>
      </c>
      <c r="AA2722" s="45" t="str">
        <f>IFERROR(VLOOKUP(B2722,'Pre-Summary'!$CG$6:$CI$70,2,FALSE),"")</f>
        <v/>
      </c>
      <c r="AB2722" s="99">
        <f>IFERROR(VLOOKUP(B2722,'Pre-Summary'!$A$6:$P$178,9,FALSE),AB2723)</f>
        <v>0.42015906039999273</v>
      </c>
      <c r="AC2722" s="10">
        <f>IFERROR(VLOOKUP(Summary!B2722,'Pre-Summary'!$A$6:$P$184,5, FALSE)/100,AC2723)</f>
        <v>0.98781466666666673</v>
      </c>
      <c r="AD2722" s="10">
        <f>IFERROR(VLOOKUP(Summary!B2722,'Pre-Summary'!$A$6:$P$184,3, FALSE)/100,AD2723)</f>
        <v>7.801333333333332E-3</v>
      </c>
      <c r="AE2722" s="10">
        <f>IFERROR(VLOOKUP(Summary!B2722,'Pre-Summary'!$A$6:$P$184,7, FALSE)/100,AE2723)</f>
        <v>4.3839999999999999E-3</v>
      </c>
      <c r="AF2722" s="99">
        <f t="shared" si="127"/>
        <v>3.2778008832004763E-3</v>
      </c>
      <c r="AG2722" s="99">
        <f t="shared" si="128"/>
        <v>1.841977320793568E-3</v>
      </c>
      <c r="AH2722" s="10" t="str">
        <f>IFERROR(VLOOKUP(B2722,'Pre-Summary'!$AZ$6:$BE$65,3,FALSE),"")</f>
        <v/>
      </c>
      <c r="AI2722" s="10" t="str">
        <f>IFERROR(VLOOKUP(B2722,'Pre-Summary'!$AZ$6:$BE$65,5,FALSE),"")</f>
        <v/>
      </c>
      <c r="AJ2722" s="10" t="str">
        <f>IFERROR(VLOOKUP(B2722,'Pre-Summary'!$AZ$6:$BE$65,4,FALSE),"")</f>
        <v/>
      </c>
      <c r="AK2722" s="10" t="str">
        <f>IFERROR(VLOOKUP(B2722,'Pre-Summary'!$AZ$6:$BE$65,6,FALSE),"")</f>
        <v/>
      </c>
      <c r="AL2722" s="10" t="str">
        <f>IFERROR(VLOOKUP(B2722,'Pre-Summary'!$BG$6:$BL$44,3,FALSE),"")</f>
        <v/>
      </c>
      <c r="AM2722" s="10" t="str">
        <f>IFERROR(VLOOKUP(B2722,'Pre-Summary'!$BG$6:$BL$44,4,FALSE),"")</f>
        <v/>
      </c>
    </row>
    <row r="2723" spans="2:39" ht="15" customHeight="1" x14ac:dyDescent="0.3">
      <c r="B2723">
        <v>272</v>
      </c>
      <c r="C2723" t="str">
        <f>IFERROR(VLOOKUP(B2723,'Pre-Summary'!$DI$6:$DM$23,4,FALSE),"")</f>
        <v/>
      </c>
      <c r="D2723" s="10" t="str">
        <f>IFERROR(VLOOKUP(B2723,'Pre-Summary'!$AT$6:$AX$14,5,FALSE),D2722)</f>
        <v>Wolfe v3: went back to modified wolfe + EDTA and switched CuSO4 to CUCl2</v>
      </c>
      <c r="E2723" s="10" t="str">
        <f>IFERROR(VLOOKUP(B2723,'Pre-Summary'!$AT$6:$AX$15,4,FALSE),"")</f>
        <v/>
      </c>
      <c r="F2723">
        <f>IFERROR(VLOOKUP(B2723,'Pre-Summary'!$AL$6:$AQ$13,6,FALSE),F2722)</f>
        <v>5.9405263157894746E-2</v>
      </c>
      <c r="G2723" t="str">
        <f>IFERROR(VLOOKUP(B2723,'Pre-Summary'!$AE$6:$AJ$85,3,FALSE),"")</f>
        <v/>
      </c>
      <c r="H2723" t="str">
        <f>IFERROR(VLOOKUP(B2723,'Pre-Summary'!$AE$6:$AJ$85,4,FALSE),"")</f>
        <v/>
      </c>
      <c r="I2723" t="str">
        <f>IFERROR(VLOOKUP(B2723,'Pre-Summary'!$AE$6:$AJ$85,5,FALSE),"")</f>
        <v/>
      </c>
      <c r="J2723" s="45" t="str">
        <f>IFERROR(VLOOKUP(B2723,'Pre-Summary'!$AE$6:$AJ$85,6, FALSE),"")</f>
        <v/>
      </c>
      <c r="K2723" s="45" t="str">
        <f>IFERROR(VLOOKUP(B2723,'Pre-Summary'!$DE$6:$DG$61,3,FALSE),"")</f>
        <v/>
      </c>
      <c r="L2723" s="45" t="str">
        <f>IFERROR(VLOOKUP(B2723,'Pre-Summary'!$CU$6:$CW$36,3,FALSE),"")</f>
        <v/>
      </c>
      <c r="M2723" s="45" t="str">
        <f>IFERROR(VLOOKUP(B2723,'Pre-Summary'!$BW$6:$BY$58,2,FALSE),"")</f>
        <v/>
      </c>
      <c r="N2723" s="45" t="str">
        <f>IFERROR(VLOOKUP(B2723,'Pre-Summary'!$CD$6:$CF$64,2,FALSE),"")</f>
        <v/>
      </c>
      <c r="O2723" s="99">
        <f>IFERROR(VLOOKUP(B2723,'Pre-Summary'!$BO$6:$BQ$48,3, FALSE),O2722)</f>
        <v>1.83</v>
      </c>
      <c r="P2723" s="99">
        <f>IFERROR(VLOOKUP(B2723,'Pre-Summary'!$BS$6:$BU$35,3,FALSE),P2722)</f>
        <v>0.46200000000000002</v>
      </c>
      <c r="Q2723" s="54">
        <f t="shared" si="126"/>
        <v>3.9610389610389611</v>
      </c>
      <c r="R2723" s="53">
        <f>IFERROR(VLOOKUP(B2723,'Pre-Summary'!$BG$6:$BM$44,7,FALSE),R2724)</f>
        <v>9.7903492963591104E-2</v>
      </c>
      <c r="S2723" s="53">
        <f>IFERROR(VLOOKUP(B2723,'Pre-Summary'!$BG$6:$BM$44,6,FALSE),S2724)</f>
        <v>0.1105986773408305</v>
      </c>
      <c r="T2723" s="45" t="str">
        <f>IFERROR(VLOOKUP(B2723,'Pre-Summary'!$Y$6:$AC$83, 3,FALSE),"")</f>
        <v/>
      </c>
      <c r="U2723" s="45" t="str">
        <f>IFERROR(VLOOKUP(B2723,'Pre-Summary'!$Y$6:$AC$83, 4,FALSE),"")</f>
        <v/>
      </c>
      <c r="V2723" t="str">
        <f>IFERROR(VLOOKUP(B2723,'Pre-Summary'!$Y$6:$AC$83, 5,FALSE),"")</f>
        <v/>
      </c>
      <c r="W2723" s="45" t="str">
        <f>IFERROR(VLOOKUP(B2723,'Pre-Summary'!$Y$6:$AD$83,6,FALSE),"")</f>
        <v/>
      </c>
      <c r="X2723" t="str">
        <f>IFERROR(VLOOKUP('Pre-Summary'!$DB$6:$DD$63,3,FALSE),"")</f>
        <v/>
      </c>
      <c r="Y2723" t="str">
        <f>IFERROR(VLOOKUP(B2723,'Pre-Summary'!$CR$6:$CT$36,3,FALSE),"")</f>
        <v/>
      </c>
      <c r="Z2723" s="45" t="str">
        <f>IFERROR(VLOOKUP(B2723,'Pre-Summary'!$BZ$6:$CB$63,2,FALSE),"")</f>
        <v/>
      </c>
      <c r="AA2723" s="45" t="str">
        <f>IFERROR(VLOOKUP(B2723,'Pre-Summary'!$CG$6:$CI$70,2,FALSE),"")</f>
        <v/>
      </c>
      <c r="AB2723" s="99">
        <f>IFERROR(VLOOKUP(B2723,'Pre-Summary'!$A$6:$P$178,9,FALSE),AB2724)</f>
        <v>0.42015906039999273</v>
      </c>
      <c r="AC2723" s="10">
        <f>IFERROR(VLOOKUP(Summary!B2723,'Pre-Summary'!$A$6:$P$184,5, FALSE)/100,AC2724)</f>
        <v>0.98781466666666673</v>
      </c>
      <c r="AD2723" s="10">
        <f>IFERROR(VLOOKUP(Summary!B2723,'Pre-Summary'!$A$6:$P$184,3, FALSE)/100,AD2724)</f>
        <v>7.801333333333332E-3</v>
      </c>
      <c r="AE2723" s="10">
        <f>IFERROR(VLOOKUP(Summary!B2723,'Pre-Summary'!$A$6:$P$184,7, FALSE)/100,AE2724)</f>
        <v>4.3839999999999999E-3</v>
      </c>
      <c r="AF2723" s="99">
        <f t="shared" si="127"/>
        <v>3.2778008832004763E-3</v>
      </c>
      <c r="AG2723" s="99">
        <f t="shared" si="128"/>
        <v>1.841977320793568E-3</v>
      </c>
      <c r="AH2723" s="10" t="str">
        <f>IFERROR(VLOOKUP(B2723,'Pre-Summary'!$AZ$6:$BE$65,3,FALSE),"")</f>
        <v/>
      </c>
      <c r="AI2723" s="10" t="str">
        <f>IFERROR(VLOOKUP(B2723,'Pre-Summary'!$AZ$6:$BE$65,5,FALSE),"")</f>
        <v/>
      </c>
      <c r="AJ2723" s="10" t="str">
        <f>IFERROR(VLOOKUP(B2723,'Pre-Summary'!$AZ$6:$BE$65,4,FALSE),"")</f>
        <v/>
      </c>
      <c r="AK2723" s="10" t="str">
        <f>IFERROR(VLOOKUP(B2723,'Pre-Summary'!$AZ$6:$BE$65,6,FALSE),"")</f>
        <v/>
      </c>
      <c r="AL2723" s="10" t="str">
        <f>IFERROR(VLOOKUP(B2723,'Pre-Summary'!$BG$6:$BL$44,3,FALSE),"")</f>
        <v/>
      </c>
      <c r="AM2723" s="10" t="str">
        <f>IFERROR(VLOOKUP(B2723,'Pre-Summary'!$BG$6:$BL$44,4,FALSE),"")</f>
        <v/>
      </c>
    </row>
    <row r="2724" spans="2:39" ht="15" customHeight="1" x14ac:dyDescent="0.3">
      <c r="B2724">
        <v>272.10000000000002</v>
      </c>
      <c r="C2724" t="str">
        <f>IFERROR(VLOOKUP(B2724,'Pre-Summary'!$DI$6:$DM$23,4,FALSE),"")</f>
        <v/>
      </c>
      <c r="D2724" s="10" t="str">
        <f>IFERROR(VLOOKUP(B2724,'Pre-Summary'!$AT$6:$AX$14,5,FALSE),D2723)</f>
        <v>Wolfe v3: went back to modified wolfe + EDTA and switched CuSO4 to CUCl2</v>
      </c>
      <c r="E2724" s="10" t="str">
        <f>IFERROR(VLOOKUP(B2724,'Pre-Summary'!$AT$6:$AX$15,4,FALSE),"")</f>
        <v/>
      </c>
      <c r="F2724">
        <f>IFERROR(VLOOKUP(B2724,'Pre-Summary'!$AL$6:$AQ$13,6,FALSE),F2723)</f>
        <v>5.9405263157894746E-2</v>
      </c>
      <c r="G2724" t="str">
        <f>IFERROR(VLOOKUP(B2724,'Pre-Summary'!$AE$6:$AJ$85,3,FALSE),"")</f>
        <v/>
      </c>
      <c r="H2724" t="str">
        <f>IFERROR(VLOOKUP(B2724,'Pre-Summary'!$AE$6:$AJ$85,4,FALSE),"")</f>
        <v/>
      </c>
      <c r="I2724" t="str">
        <f>IFERROR(VLOOKUP(B2724,'Pre-Summary'!$AE$6:$AJ$85,5,FALSE),"")</f>
        <v/>
      </c>
      <c r="J2724" s="45" t="str">
        <f>IFERROR(VLOOKUP(B2724,'Pre-Summary'!$AE$6:$AJ$85,6, FALSE),"")</f>
        <v/>
      </c>
      <c r="K2724" s="45" t="str">
        <f>IFERROR(VLOOKUP(B2724,'Pre-Summary'!$DE$6:$DG$61,3,FALSE),"")</f>
        <v/>
      </c>
      <c r="L2724" s="45" t="str">
        <f>IFERROR(VLOOKUP(B2724,'Pre-Summary'!$CU$6:$CW$36,3,FALSE),"")</f>
        <v/>
      </c>
      <c r="M2724" s="45" t="str">
        <f>IFERROR(VLOOKUP(B2724,'Pre-Summary'!$BW$6:$BY$58,2,FALSE),"")</f>
        <v/>
      </c>
      <c r="N2724" s="45" t="str">
        <f>IFERROR(VLOOKUP(B2724,'Pre-Summary'!$CD$6:$CF$64,2,FALSE),"")</f>
        <v/>
      </c>
      <c r="O2724" s="99">
        <f>IFERROR(VLOOKUP(B2724,'Pre-Summary'!$BO$6:$BQ$48,3, FALSE),O2723)</f>
        <v>1.83</v>
      </c>
      <c r="P2724" s="99">
        <f>IFERROR(VLOOKUP(B2724,'Pre-Summary'!$BS$6:$BU$35,3,FALSE),P2723)</f>
        <v>0.46200000000000002</v>
      </c>
      <c r="Q2724" s="54">
        <f t="shared" si="126"/>
        <v>3.9610389610389611</v>
      </c>
      <c r="R2724" s="53">
        <f>IFERROR(VLOOKUP(B2724,'Pre-Summary'!$BG$6:$BM$44,7,FALSE),R2725)</f>
        <v>9.7903492963591104E-2</v>
      </c>
      <c r="S2724" s="53">
        <f>IFERROR(VLOOKUP(B2724,'Pre-Summary'!$BG$6:$BM$44,6,FALSE),S2725)</f>
        <v>0.1105986773408305</v>
      </c>
      <c r="T2724" s="45" t="str">
        <f>IFERROR(VLOOKUP(B2724,'Pre-Summary'!$Y$6:$AC$83, 3,FALSE),"")</f>
        <v/>
      </c>
      <c r="U2724" s="45" t="str">
        <f>IFERROR(VLOOKUP(B2724,'Pre-Summary'!$Y$6:$AC$83, 4,FALSE),"")</f>
        <v/>
      </c>
      <c r="V2724" t="str">
        <f>IFERROR(VLOOKUP(B2724,'Pre-Summary'!$Y$6:$AC$83, 5,FALSE),"")</f>
        <v/>
      </c>
      <c r="W2724" s="45" t="str">
        <f>IFERROR(VLOOKUP(B2724,'Pre-Summary'!$Y$6:$AD$83,6,FALSE),"")</f>
        <v/>
      </c>
      <c r="X2724" t="str">
        <f>IFERROR(VLOOKUP('Pre-Summary'!$DB$6:$DD$63,3,FALSE),"")</f>
        <v/>
      </c>
      <c r="Y2724" t="str">
        <f>IFERROR(VLOOKUP(B2724,'Pre-Summary'!$CR$6:$CT$36,3,FALSE),"")</f>
        <v/>
      </c>
      <c r="Z2724" s="45" t="str">
        <f>IFERROR(VLOOKUP(B2724,'Pre-Summary'!$BZ$6:$CB$63,2,FALSE),"")</f>
        <v/>
      </c>
      <c r="AA2724" s="45" t="str">
        <f>IFERROR(VLOOKUP(B2724,'Pre-Summary'!$CG$6:$CI$70,2,FALSE),"")</f>
        <v/>
      </c>
      <c r="AB2724" s="99">
        <f>IFERROR(VLOOKUP(B2724,'Pre-Summary'!$A$6:$P$178,9,FALSE),AB2725)</f>
        <v>0.42015906039999273</v>
      </c>
      <c r="AC2724" s="10">
        <f>IFERROR(VLOOKUP(Summary!B2724,'Pre-Summary'!$A$6:$P$184,5, FALSE)/100,AC2725)</f>
        <v>0.98781466666666673</v>
      </c>
      <c r="AD2724" s="10">
        <f>IFERROR(VLOOKUP(Summary!B2724,'Pre-Summary'!$A$6:$P$184,3, FALSE)/100,AD2725)</f>
        <v>7.801333333333332E-3</v>
      </c>
      <c r="AE2724" s="10">
        <f>IFERROR(VLOOKUP(Summary!B2724,'Pre-Summary'!$A$6:$P$184,7, FALSE)/100,AE2725)</f>
        <v>4.3839999999999999E-3</v>
      </c>
      <c r="AF2724" s="99">
        <f t="shared" si="127"/>
        <v>3.2778008832004763E-3</v>
      </c>
      <c r="AG2724" s="99">
        <f t="shared" si="128"/>
        <v>1.841977320793568E-3</v>
      </c>
      <c r="AH2724" s="10" t="str">
        <f>IFERROR(VLOOKUP(B2724,'Pre-Summary'!$AZ$6:$BE$65,3,FALSE),"")</f>
        <v/>
      </c>
      <c r="AI2724" s="10" t="str">
        <f>IFERROR(VLOOKUP(B2724,'Pre-Summary'!$AZ$6:$BE$65,5,FALSE),"")</f>
        <v/>
      </c>
      <c r="AJ2724" s="10" t="str">
        <f>IFERROR(VLOOKUP(B2724,'Pre-Summary'!$AZ$6:$BE$65,4,FALSE),"")</f>
        <v/>
      </c>
      <c r="AK2724" s="10" t="str">
        <f>IFERROR(VLOOKUP(B2724,'Pre-Summary'!$AZ$6:$BE$65,6,FALSE),"")</f>
        <v/>
      </c>
      <c r="AL2724" s="10" t="str">
        <f>IFERROR(VLOOKUP(B2724,'Pre-Summary'!$BG$6:$BL$44,3,FALSE),"")</f>
        <v/>
      </c>
      <c r="AM2724" s="10" t="str">
        <f>IFERROR(VLOOKUP(B2724,'Pre-Summary'!$BG$6:$BL$44,4,FALSE),"")</f>
        <v/>
      </c>
    </row>
    <row r="2725" spans="2:39" ht="15" customHeight="1" x14ac:dyDescent="0.3">
      <c r="B2725">
        <v>272.2</v>
      </c>
      <c r="C2725" t="str">
        <f>IFERROR(VLOOKUP(B2725,'Pre-Summary'!$DI$6:$DM$23,4,FALSE),"")</f>
        <v/>
      </c>
      <c r="D2725" s="10" t="str">
        <f>IFERROR(VLOOKUP(B2725,'Pre-Summary'!$AT$6:$AX$14,5,FALSE),D2724)</f>
        <v>Wolfe v3: went back to modified wolfe + EDTA and switched CuSO4 to CUCl2</v>
      </c>
      <c r="E2725" s="10" t="str">
        <f>IFERROR(VLOOKUP(B2725,'Pre-Summary'!$AT$6:$AX$15,4,FALSE),"")</f>
        <v/>
      </c>
      <c r="F2725">
        <f>IFERROR(VLOOKUP(B2725,'Pre-Summary'!$AL$6:$AQ$13,6,FALSE),F2724)</f>
        <v>5.9405263157894746E-2</v>
      </c>
      <c r="G2725" t="str">
        <f>IFERROR(VLOOKUP(B2725,'Pre-Summary'!$AE$6:$AJ$85,3,FALSE),"")</f>
        <v/>
      </c>
      <c r="H2725" t="str">
        <f>IFERROR(VLOOKUP(B2725,'Pre-Summary'!$AE$6:$AJ$85,4,FALSE),"")</f>
        <v/>
      </c>
      <c r="I2725" t="str">
        <f>IFERROR(VLOOKUP(B2725,'Pre-Summary'!$AE$6:$AJ$85,5,FALSE),"")</f>
        <v/>
      </c>
      <c r="J2725" s="45" t="str">
        <f>IFERROR(VLOOKUP(B2725,'Pre-Summary'!$AE$6:$AJ$85,6, FALSE),"")</f>
        <v/>
      </c>
      <c r="K2725" s="45" t="str">
        <f>IFERROR(VLOOKUP(B2725,'Pre-Summary'!$DE$6:$DG$61,3,FALSE),"")</f>
        <v/>
      </c>
      <c r="L2725" s="45" t="str">
        <f>IFERROR(VLOOKUP(B2725,'Pre-Summary'!$CU$6:$CW$36,3,FALSE),"")</f>
        <v/>
      </c>
      <c r="M2725" s="45" t="str">
        <f>IFERROR(VLOOKUP(B2725,'Pre-Summary'!$BW$6:$BY$58,2,FALSE),"")</f>
        <v/>
      </c>
      <c r="N2725" s="45" t="str">
        <f>IFERROR(VLOOKUP(B2725,'Pre-Summary'!$CD$6:$CF$64,2,FALSE),"")</f>
        <v/>
      </c>
      <c r="O2725" s="99">
        <f>IFERROR(VLOOKUP(B2725,'Pre-Summary'!$BO$6:$BQ$48,3, FALSE),O2724)</f>
        <v>1.83</v>
      </c>
      <c r="P2725" s="99">
        <f>IFERROR(VLOOKUP(B2725,'Pre-Summary'!$BS$6:$BU$35,3,FALSE),P2724)</f>
        <v>0.46200000000000002</v>
      </c>
      <c r="Q2725" s="54">
        <f t="shared" si="126"/>
        <v>3.9610389610389611</v>
      </c>
      <c r="R2725" s="53">
        <f>IFERROR(VLOOKUP(B2725,'Pre-Summary'!$BG$6:$BM$44,7,FALSE),R2726)</f>
        <v>9.7903492963591104E-2</v>
      </c>
      <c r="S2725" s="53">
        <f>IFERROR(VLOOKUP(B2725,'Pre-Summary'!$BG$6:$BM$44,6,FALSE),S2726)</f>
        <v>0.1105986773408305</v>
      </c>
      <c r="T2725" s="45" t="str">
        <f>IFERROR(VLOOKUP(B2725,'Pre-Summary'!$Y$6:$AC$83, 3,FALSE),"")</f>
        <v/>
      </c>
      <c r="U2725" s="45" t="str">
        <f>IFERROR(VLOOKUP(B2725,'Pre-Summary'!$Y$6:$AC$83, 4,FALSE),"")</f>
        <v/>
      </c>
      <c r="V2725" t="str">
        <f>IFERROR(VLOOKUP(B2725,'Pre-Summary'!$Y$6:$AC$83, 5,FALSE),"")</f>
        <v/>
      </c>
      <c r="W2725" s="45" t="str">
        <f>IFERROR(VLOOKUP(B2725,'Pre-Summary'!$Y$6:$AD$83,6,FALSE),"")</f>
        <v/>
      </c>
      <c r="X2725" t="str">
        <f>IFERROR(VLOOKUP('Pre-Summary'!$DB$6:$DD$63,3,FALSE),"")</f>
        <v/>
      </c>
      <c r="Y2725" t="str">
        <f>IFERROR(VLOOKUP(B2725,'Pre-Summary'!$CR$6:$CT$36,3,FALSE),"")</f>
        <v/>
      </c>
      <c r="Z2725" s="45" t="str">
        <f>IFERROR(VLOOKUP(B2725,'Pre-Summary'!$BZ$6:$CB$63,2,FALSE),"")</f>
        <v/>
      </c>
      <c r="AA2725" s="45" t="str">
        <f>IFERROR(VLOOKUP(B2725,'Pre-Summary'!$CG$6:$CI$70,2,FALSE),"")</f>
        <v/>
      </c>
      <c r="AB2725" s="99">
        <f>IFERROR(VLOOKUP(B2725,'Pre-Summary'!$A$6:$P$178,9,FALSE),AB2726)</f>
        <v>0.42015906039999273</v>
      </c>
      <c r="AC2725" s="10">
        <f>IFERROR(VLOOKUP(Summary!B2725,'Pre-Summary'!$A$6:$P$184,5, FALSE)/100,AC2726)</f>
        <v>0.98781466666666673</v>
      </c>
      <c r="AD2725" s="10">
        <f>IFERROR(VLOOKUP(Summary!B2725,'Pre-Summary'!$A$6:$P$184,3, FALSE)/100,AD2726)</f>
        <v>7.801333333333332E-3</v>
      </c>
      <c r="AE2725" s="10">
        <f>IFERROR(VLOOKUP(Summary!B2725,'Pre-Summary'!$A$6:$P$184,7, FALSE)/100,AE2726)</f>
        <v>4.3839999999999999E-3</v>
      </c>
      <c r="AF2725" s="99">
        <f t="shared" si="127"/>
        <v>3.2778008832004763E-3</v>
      </c>
      <c r="AG2725" s="99">
        <f t="shared" si="128"/>
        <v>1.841977320793568E-3</v>
      </c>
      <c r="AH2725" s="10" t="str">
        <f>IFERROR(VLOOKUP(B2725,'Pre-Summary'!$AZ$6:$BE$65,3,FALSE),"")</f>
        <v/>
      </c>
      <c r="AI2725" s="10" t="str">
        <f>IFERROR(VLOOKUP(B2725,'Pre-Summary'!$AZ$6:$BE$65,5,FALSE),"")</f>
        <v/>
      </c>
      <c r="AJ2725" s="10" t="str">
        <f>IFERROR(VLOOKUP(B2725,'Pre-Summary'!$AZ$6:$BE$65,4,FALSE),"")</f>
        <v/>
      </c>
      <c r="AK2725" s="10" t="str">
        <f>IFERROR(VLOOKUP(B2725,'Pre-Summary'!$AZ$6:$BE$65,6,FALSE),"")</f>
        <v/>
      </c>
      <c r="AL2725" s="10" t="str">
        <f>IFERROR(VLOOKUP(B2725,'Pre-Summary'!$BG$6:$BL$44,3,FALSE),"")</f>
        <v/>
      </c>
      <c r="AM2725" s="10" t="str">
        <f>IFERROR(VLOOKUP(B2725,'Pre-Summary'!$BG$6:$BL$44,4,FALSE),"")</f>
        <v/>
      </c>
    </row>
    <row r="2726" spans="2:39" ht="15" customHeight="1" x14ac:dyDescent="0.3">
      <c r="B2726">
        <v>272.3</v>
      </c>
      <c r="C2726" t="str">
        <f>IFERROR(VLOOKUP(B2726,'Pre-Summary'!$DI$6:$DM$23,4,FALSE),"")</f>
        <v/>
      </c>
      <c r="D2726" s="10" t="str">
        <f>IFERROR(VLOOKUP(B2726,'Pre-Summary'!$AT$6:$AX$14,5,FALSE),D2725)</f>
        <v>Wolfe v3: went back to modified wolfe + EDTA and switched CuSO4 to CUCl2</v>
      </c>
      <c r="E2726" s="10" t="str">
        <f>IFERROR(VLOOKUP(B2726,'Pre-Summary'!$AT$6:$AX$15,4,FALSE),"")</f>
        <v/>
      </c>
      <c r="F2726">
        <f>IFERROR(VLOOKUP(B2726,'Pre-Summary'!$AL$6:$AQ$13,6,FALSE),F2725)</f>
        <v>5.9405263157894746E-2</v>
      </c>
      <c r="G2726" t="str">
        <f>IFERROR(VLOOKUP(B2726,'Pre-Summary'!$AE$6:$AJ$85,3,FALSE),"")</f>
        <v/>
      </c>
      <c r="H2726" t="str">
        <f>IFERROR(VLOOKUP(B2726,'Pre-Summary'!$AE$6:$AJ$85,4,FALSE),"")</f>
        <v/>
      </c>
      <c r="I2726" t="str">
        <f>IFERROR(VLOOKUP(B2726,'Pre-Summary'!$AE$6:$AJ$85,5,FALSE),"")</f>
        <v/>
      </c>
      <c r="J2726" s="45" t="str">
        <f>IFERROR(VLOOKUP(B2726,'Pre-Summary'!$AE$6:$AJ$85,6, FALSE),"")</f>
        <v/>
      </c>
      <c r="K2726" s="45" t="str">
        <f>IFERROR(VLOOKUP(B2726,'Pre-Summary'!$DE$6:$DG$61,3,FALSE),"")</f>
        <v/>
      </c>
      <c r="L2726" s="45" t="str">
        <f>IFERROR(VLOOKUP(B2726,'Pre-Summary'!$CU$6:$CW$36,3,FALSE),"")</f>
        <v/>
      </c>
      <c r="M2726" s="45" t="str">
        <f>IFERROR(VLOOKUP(B2726,'Pre-Summary'!$BW$6:$BY$58,2,FALSE),"")</f>
        <v/>
      </c>
      <c r="N2726" s="45" t="str">
        <f>IFERROR(VLOOKUP(B2726,'Pre-Summary'!$CD$6:$CF$64,2,FALSE),"")</f>
        <v/>
      </c>
      <c r="O2726" s="99">
        <f>IFERROR(VLOOKUP(B2726,'Pre-Summary'!$BO$6:$BQ$48,3, FALSE),O2725)</f>
        <v>1.83</v>
      </c>
      <c r="P2726" s="99">
        <f>IFERROR(VLOOKUP(B2726,'Pre-Summary'!$BS$6:$BU$35,3,FALSE),P2725)</f>
        <v>0.46200000000000002</v>
      </c>
      <c r="Q2726" s="54">
        <f t="shared" si="126"/>
        <v>3.9610389610389611</v>
      </c>
      <c r="R2726" s="53">
        <f>IFERROR(VLOOKUP(B2726,'Pre-Summary'!$BG$6:$BM$44,7,FALSE),R2727)</f>
        <v>9.7903492963591104E-2</v>
      </c>
      <c r="S2726" s="53">
        <f>IFERROR(VLOOKUP(B2726,'Pre-Summary'!$BG$6:$BM$44,6,FALSE),S2727)</f>
        <v>0.1105986773408305</v>
      </c>
      <c r="T2726" s="45" t="str">
        <f>IFERROR(VLOOKUP(B2726,'Pre-Summary'!$Y$6:$AC$83, 3,FALSE),"")</f>
        <v/>
      </c>
      <c r="U2726" s="45" t="str">
        <f>IFERROR(VLOOKUP(B2726,'Pre-Summary'!$Y$6:$AC$83, 4,FALSE),"")</f>
        <v/>
      </c>
      <c r="V2726" t="str">
        <f>IFERROR(VLOOKUP(B2726,'Pre-Summary'!$Y$6:$AC$83, 5,FALSE),"")</f>
        <v/>
      </c>
      <c r="W2726" s="45" t="str">
        <f>IFERROR(VLOOKUP(B2726,'Pre-Summary'!$Y$6:$AD$83,6,FALSE),"")</f>
        <v/>
      </c>
      <c r="X2726" t="str">
        <f>IFERROR(VLOOKUP('Pre-Summary'!$DB$6:$DD$63,3,FALSE),"")</f>
        <v/>
      </c>
      <c r="Y2726" t="str">
        <f>IFERROR(VLOOKUP(B2726,'Pre-Summary'!$CR$6:$CT$36,3,FALSE),"")</f>
        <v/>
      </c>
      <c r="Z2726" s="45" t="str">
        <f>IFERROR(VLOOKUP(B2726,'Pre-Summary'!$BZ$6:$CB$63,2,FALSE),"")</f>
        <v/>
      </c>
      <c r="AA2726" s="45" t="str">
        <f>IFERROR(VLOOKUP(B2726,'Pre-Summary'!$CG$6:$CI$70,2,FALSE),"")</f>
        <v/>
      </c>
      <c r="AB2726" s="99">
        <f>IFERROR(VLOOKUP(B2726,'Pre-Summary'!$A$6:$P$178,9,FALSE),AB2727)</f>
        <v>0.42015906039999273</v>
      </c>
      <c r="AC2726" s="10">
        <f>IFERROR(VLOOKUP(Summary!B2726,'Pre-Summary'!$A$6:$P$184,5, FALSE)/100,AC2727)</f>
        <v>0.98781466666666673</v>
      </c>
      <c r="AD2726" s="10">
        <f>IFERROR(VLOOKUP(Summary!B2726,'Pre-Summary'!$A$6:$P$184,3, FALSE)/100,AD2727)</f>
        <v>7.801333333333332E-3</v>
      </c>
      <c r="AE2726" s="10">
        <f>IFERROR(VLOOKUP(Summary!B2726,'Pre-Summary'!$A$6:$P$184,7, FALSE)/100,AE2727)</f>
        <v>4.3839999999999999E-3</v>
      </c>
      <c r="AF2726" s="99">
        <f t="shared" si="127"/>
        <v>3.2778008832004763E-3</v>
      </c>
      <c r="AG2726" s="99">
        <f t="shared" si="128"/>
        <v>1.841977320793568E-3</v>
      </c>
      <c r="AH2726" s="10" t="str">
        <f>IFERROR(VLOOKUP(B2726,'Pre-Summary'!$AZ$6:$BE$65,3,FALSE),"")</f>
        <v/>
      </c>
      <c r="AI2726" s="10" t="str">
        <f>IFERROR(VLOOKUP(B2726,'Pre-Summary'!$AZ$6:$BE$65,5,FALSE),"")</f>
        <v/>
      </c>
      <c r="AJ2726" s="10" t="str">
        <f>IFERROR(VLOOKUP(B2726,'Pre-Summary'!$AZ$6:$BE$65,4,FALSE),"")</f>
        <v/>
      </c>
      <c r="AK2726" s="10" t="str">
        <f>IFERROR(VLOOKUP(B2726,'Pre-Summary'!$AZ$6:$BE$65,6,FALSE),"")</f>
        <v/>
      </c>
      <c r="AL2726" s="10" t="str">
        <f>IFERROR(VLOOKUP(B2726,'Pre-Summary'!$BG$6:$BL$44,3,FALSE),"")</f>
        <v/>
      </c>
      <c r="AM2726" s="10" t="str">
        <f>IFERROR(VLOOKUP(B2726,'Pre-Summary'!$BG$6:$BL$44,4,FALSE),"")</f>
        <v/>
      </c>
    </row>
    <row r="2727" spans="2:39" ht="15" customHeight="1" x14ac:dyDescent="0.3">
      <c r="B2727">
        <v>272.39999999999998</v>
      </c>
      <c r="C2727" t="str">
        <f>IFERROR(VLOOKUP(B2727,'Pre-Summary'!$DI$6:$DM$23,4,FALSE),"")</f>
        <v/>
      </c>
      <c r="D2727" s="10" t="str">
        <f>IFERROR(VLOOKUP(B2727,'Pre-Summary'!$AT$6:$AX$14,5,FALSE),D2726)</f>
        <v>Wolfe v3: went back to modified wolfe + EDTA and switched CuSO4 to CUCl2</v>
      </c>
      <c r="E2727" s="10" t="str">
        <f>IFERROR(VLOOKUP(B2727,'Pre-Summary'!$AT$6:$AX$15,4,FALSE),"")</f>
        <v/>
      </c>
      <c r="F2727">
        <f>IFERROR(VLOOKUP(B2727,'Pre-Summary'!$AL$6:$AQ$13,6,FALSE),F2726)</f>
        <v>5.9405263157894746E-2</v>
      </c>
      <c r="G2727" t="str">
        <f>IFERROR(VLOOKUP(B2727,'Pre-Summary'!$AE$6:$AJ$85,3,FALSE),"")</f>
        <v/>
      </c>
      <c r="H2727" t="str">
        <f>IFERROR(VLOOKUP(B2727,'Pre-Summary'!$AE$6:$AJ$85,4,FALSE),"")</f>
        <v/>
      </c>
      <c r="I2727" t="str">
        <f>IFERROR(VLOOKUP(B2727,'Pre-Summary'!$AE$6:$AJ$85,5,FALSE),"")</f>
        <v/>
      </c>
      <c r="J2727" s="45" t="str">
        <f>IFERROR(VLOOKUP(B2727,'Pre-Summary'!$AE$6:$AJ$85,6, FALSE),"")</f>
        <v/>
      </c>
      <c r="K2727" s="45" t="str">
        <f>IFERROR(VLOOKUP(B2727,'Pre-Summary'!$DE$6:$DG$61,3,FALSE),"")</f>
        <v/>
      </c>
      <c r="L2727" s="45" t="str">
        <f>IFERROR(VLOOKUP(B2727,'Pre-Summary'!$CU$6:$CW$36,3,FALSE),"")</f>
        <v/>
      </c>
      <c r="M2727" s="45" t="str">
        <f>IFERROR(VLOOKUP(B2727,'Pre-Summary'!$BW$6:$BY$58,2,FALSE),"")</f>
        <v/>
      </c>
      <c r="N2727" s="45" t="str">
        <f>IFERROR(VLOOKUP(B2727,'Pre-Summary'!$CD$6:$CF$64,2,FALSE),"")</f>
        <v/>
      </c>
      <c r="O2727" s="99">
        <f>IFERROR(VLOOKUP(B2727,'Pre-Summary'!$BO$6:$BQ$48,3, FALSE),O2726)</f>
        <v>1.83</v>
      </c>
      <c r="P2727" s="99">
        <f>IFERROR(VLOOKUP(B2727,'Pre-Summary'!$BS$6:$BU$35,3,FALSE),P2726)</f>
        <v>0.46200000000000002</v>
      </c>
      <c r="Q2727" s="54">
        <f t="shared" si="126"/>
        <v>3.9610389610389611</v>
      </c>
      <c r="R2727" s="53">
        <f>IFERROR(VLOOKUP(B2727,'Pre-Summary'!$BG$6:$BM$44,7,FALSE),R2728)</f>
        <v>9.7903492963591104E-2</v>
      </c>
      <c r="S2727" s="53">
        <f>IFERROR(VLOOKUP(B2727,'Pre-Summary'!$BG$6:$BM$44,6,FALSE),S2728)</f>
        <v>0.1105986773408305</v>
      </c>
      <c r="T2727" s="45" t="str">
        <f>IFERROR(VLOOKUP(B2727,'Pre-Summary'!$Y$6:$AC$83, 3,FALSE),"")</f>
        <v/>
      </c>
      <c r="U2727" s="45" t="str">
        <f>IFERROR(VLOOKUP(B2727,'Pre-Summary'!$Y$6:$AC$83, 4,FALSE),"")</f>
        <v/>
      </c>
      <c r="V2727" t="str">
        <f>IFERROR(VLOOKUP(B2727,'Pre-Summary'!$Y$6:$AC$83, 5,FALSE),"")</f>
        <v/>
      </c>
      <c r="W2727" s="45" t="str">
        <f>IFERROR(VLOOKUP(B2727,'Pre-Summary'!$Y$6:$AD$83,6,FALSE),"")</f>
        <v/>
      </c>
      <c r="X2727" t="str">
        <f>IFERROR(VLOOKUP('Pre-Summary'!$DB$6:$DD$63,3,FALSE),"")</f>
        <v/>
      </c>
      <c r="Y2727" t="str">
        <f>IFERROR(VLOOKUP(B2727,'Pre-Summary'!$CR$6:$CT$36,3,FALSE),"")</f>
        <v/>
      </c>
      <c r="Z2727" s="45" t="str">
        <f>IFERROR(VLOOKUP(B2727,'Pre-Summary'!$BZ$6:$CB$63,2,FALSE),"")</f>
        <v/>
      </c>
      <c r="AA2727" s="45" t="str">
        <f>IFERROR(VLOOKUP(B2727,'Pre-Summary'!$CG$6:$CI$70,2,FALSE),"")</f>
        <v/>
      </c>
      <c r="AB2727" s="99">
        <f>IFERROR(VLOOKUP(B2727,'Pre-Summary'!$A$6:$P$178,9,FALSE),AB2728)</f>
        <v>0.42015906039999273</v>
      </c>
      <c r="AC2727" s="10">
        <f>IFERROR(VLOOKUP(Summary!B2727,'Pre-Summary'!$A$6:$P$184,5, FALSE)/100,AC2728)</f>
        <v>0.98781466666666673</v>
      </c>
      <c r="AD2727" s="10">
        <f>IFERROR(VLOOKUP(Summary!B2727,'Pre-Summary'!$A$6:$P$184,3, FALSE)/100,AD2728)</f>
        <v>7.801333333333332E-3</v>
      </c>
      <c r="AE2727" s="10">
        <f>IFERROR(VLOOKUP(Summary!B2727,'Pre-Summary'!$A$6:$P$184,7, FALSE)/100,AE2728)</f>
        <v>4.3839999999999999E-3</v>
      </c>
      <c r="AF2727" s="99">
        <f t="shared" si="127"/>
        <v>3.2778008832004763E-3</v>
      </c>
      <c r="AG2727" s="99">
        <f t="shared" si="128"/>
        <v>1.841977320793568E-3</v>
      </c>
      <c r="AH2727" s="10" t="str">
        <f>IFERROR(VLOOKUP(B2727,'Pre-Summary'!$AZ$6:$BE$65,3,FALSE),"")</f>
        <v/>
      </c>
      <c r="AI2727" s="10" t="str">
        <f>IFERROR(VLOOKUP(B2727,'Pre-Summary'!$AZ$6:$BE$65,5,FALSE),"")</f>
        <v/>
      </c>
      <c r="AJ2727" s="10" t="str">
        <f>IFERROR(VLOOKUP(B2727,'Pre-Summary'!$AZ$6:$BE$65,4,FALSE),"")</f>
        <v/>
      </c>
      <c r="AK2727" s="10" t="str">
        <f>IFERROR(VLOOKUP(B2727,'Pre-Summary'!$AZ$6:$BE$65,6,FALSE),"")</f>
        <v/>
      </c>
      <c r="AL2727" s="10" t="str">
        <f>IFERROR(VLOOKUP(B2727,'Pre-Summary'!$BG$6:$BL$44,3,FALSE),"")</f>
        <v/>
      </c>
      <c r="AM2727" s="10" t="str">
        <f>IFERROR(VLOOKUP(B2727,'Pre-Summary'!$BG$6:$BL$44,4,FALSE),"")</f>
        <v/>
      </c>
    </row>
    <row r="2728" spans="2:39" ht="15" customHeight="1" x14ac:dyDescent="0.3">
      <c r="B2728">
        <v>272.5</v>
      </c>
      <c r="C2728" t="str">
        <f>IFERROR(VLOOKUP(B2728,'Pre-Summary'!$DI$6:$DM$23,4,FALSE),"")</f>
        <v/>
      </c>
      <c r="D2728" s="10" t="str">
        <f>IFERROR(VLOOKUP(B2728,'Pre-Summary'!$AT$6:$AX$14,5,FALSE),D2727)</f>
        <v>Wolfe v3: went back to modified wolfe + EDTA and switched CuSO4 to CUCl2</v>
      </c>
      <c r="E2728" s="10" t="str">
        <f>IFERROR(VLOOKUP(B2728,'Pre-Summary'!$AT$6:$AX$15,4,FALSE),"")</f>
        <v/>
      </c>
      <c r="F2728">
        <f>IFERROR(VLOOKUP(B2728,'Pre-Summary'!$AL$6:$AQ$13,6,FALSE),F2727)</f>
        <v>5.9405263157894746E-2</v>
      </c>
      <c r="G2728" t="str">
        <f>IFERROR(VLOOKUP(B2728,'Pre-Summary'!$AE$6:$AJ$85,3,FALSE),"")</f>
        <v/>
      </c>
      <c r="H2728" t="str">
        <f>IFERROR(VLOOKUP(B2728,'Pre-Summary'!$AE$6:$AJ$85,4,FALSE),"")</f>
        <v/>
      </c>
      <c r="I2728" t="str">
        <f>IFERROR(VLOOKUP(B2728,'Pre-Summary'!$AE$6:$AJ$85,5,FALSE),"")</f>
        <v/>
      </c>
      <c r="J2728" s="45">
        <f>IFERROR(VLOOKUP(B2728,'Pre-Summary'!$AE$6:$AJ$85,6, FALSE),"")</f>
        <v>0</v>
      </c>
      <c r="K2728" s="45" t="str">
        <f>IFERROR(VLOOKUP(B2728,'Pre-Summary'!$DE$6:$DG$61,3,FALSE),"")</f>
        <v/>
      </c>
      <c r="L2728" s="45" t="str">
        <f>IFERROR(VLOOKUP(B2728,'Pre-Summary'!$CU$6:$CW$36,3,FALSE),"")</f>
        <v/>
      </c>
      <c r="M2728" s="45" t="str">
        <f>IFERROR(VLOOKUP(B2728,'Pre-Summary'!$BW$6:$BY$58,2,FALSE),"")</f>
        <v/>
      </c>
      <c r="N2728" s="45">
        <f>IFERROR(VLOOKUP(B2728,'Pre-Summary'!$CD$6:$CF$64,2,FALSE),"")</f>
        <v>96.448328781406843</v>
      </c>
      <c r="O2728" s="99">
        <f>IFERROR(VLOOKUP(B2728,'Pre-Summary'!$BO$6:$BQ$48,3, FALSE),O2727)</f>
        <v>1.83</v>
      </c>
      <c r="P2728" s="99">
        <f>IFERROR(VLOOKUP(B2728,'Pre-Summary'!$BS$6:$BU$35,3,FALSE),P2727)</f>
        <v>0.46200000000000002</v>
      </c>
      <c r="Q2728" s="54">
        <f t="shared" si="126"/>
        <v>3.9610389610389611</v>
      </c>
      <c r="R2728" s="53">
        <f>IFERROR(VLOOKUP(B2728,'Pre-Summary'!$BG$6:$BM$44,7,FALSE),R2729)</f>
        <v>9.7903492963591104E-2</v>
      </c>
      <c r="S2728" s="53">
        <f>IFERROR(VLOOKUP(B2728,'Pre-Summary'!$BG$6:$BM$44,6,FALSE),S2729)</f>
        <v>0.1105986773408305</v>
      </c>
      <c r="T2728" s="45">
        <f>IFERROR(VLOOKUP(B2728,'Pre-Summary'!$Y$6:$AC$83, 3,FALSE),"")</f>
        <v>1.862426997</v>
      </c>
      <c r="U2728" s="45" t="str">
        <f>IFERROR(VLOOKUP(B2728,'Pre-Summary'!$Y$6:$AC$83, 4,FALSE),"")</f>
        <v/>
      </c>
      <c r="V2728" t="str">
        <f>IFERROR(VLOOKUP(B2728,'Pre-Summary'!$Y$6:$AC$83, 5,FALSE),"")</f>
        <v/>
      </c>
      <c r="W2728" s="45">
        <f>IFERROR(VLOOKUP(B2728,'Pre-Summary'!$Y$6:$AD$83,6,FALSE),"")</f>
        <v>1.9872096057989999</v>
      </c>
      <c r="X2728" t="str">
        <f>IFERROR(VLOOKUP('Pre-Summary'!$DB$6:$DD$63,3,FALSE),"")</f>
        <v/>
      </c>
      <c r="Y2728" t="str">
        <f>IFERROR(VLOOKUP(B2728,'Pre-Summary'!$CR$6:$CT$36,3,FALSE),"")</f>
        <v/>
      </c>
      <c r="Z2728" s="45" t="str">
        <f>IFERROR(VLOOKUP(B2728,'Pre-Summary'!$BZ$6:$CB$63,2,FALSE),"")</f>
        <v/>
      </c>
      <c r="AA2728" s="45" t="str">
        <f>IFERROR(VLOOKUP(B2728,'Pre-Summary'!$CG$6:$CI$70,2,FALSE),"")</f>
        <v/>
      </c>
      <c r="AB2728" s="99">
        <f>IFERROR(VLOOKUP(B2728,'Pre-Summary'!$A$6:$P$178,9,FALSE),AB2729)</f>
        <v>0.42015906039999273</v>
      </c>
      <c r="AC2728" s="10">
        <f>IFERROR(VLOOKUP(Summary!B2728,'Pre-Summary'!$A$6:$P$184,5, FALSE)/100,AC2729)</f>
        <v>0.98781466666666673</v>
      </c>
      <c r="AD2728" s="10">
        <f>IFERROR(VLOOKUP(Summary!B2728,'Pre-Summary'!$A$6:$P$184,3, FALSE)/100,AD2729)</f>
        <v>7.801333333333332E-3</v>
      </c>
      <c r="AE2728" s="10">
        <f>IFERROR(VLOOKUP(Summary!B2728,'Pre-Summary'!$A$6:$P$184,7, FALSE)/100,AE2729)</f>
        <v>4.3839999999999999E-3</v>
      </c>
      <c r="AF2728" s="99">
        <f t="shared" si="127"/>
        <v>3.2778008832004763E-3</v>
      </c>
      <c r="AG2728" s="99">
        <f t="shared" si="128"/>
        <v>1.841977320793568E-3</v>
      </c>
      <c r="AH2728" s="10" t="str">
        <f>IFERROR(VLOOKUP(B2728,'Pre-Summary'!$AZ$6:$BE$65,3,FALSE),"")</f>
        <v/>
      </c>
      <c r="AI2728" s="10" t="str">
        <f>IFERROR(VLOOKUP(B2728,'Pre-Summary'!$AZ$6:$BE$65,5,FALSE),"")</f>
        <v/>
      </c>
      <c r="AJ2728" s="10" t="str">
        <f>IFERROR(VLOOKUP(B2728,'Pre-Summary'!$AZ$6:$BE$65,4,FALSE),"")</f>
        <v/>
      </c>
      <c r="AK2728" s="10" t="str">
        <f>IFERROR(VLOOKUP(B2728,'Pre-Summary'!$AZ$6:$BE$65,6,FALSE),"")</f>
        <v/>
      </c>
      <c r="AL2728" s="10" t="str">
        <f>IFERROR(VLOOKUP(B2728,'Pre-Summary'!$BG$6:$BL$44,3,FALSE),"")</f>
        <v/>
      </c>
      <c r="AM2728" s="10" t="str">
        <f>IFERROR(VLOOKUP(B2728,'Pre-Summary'!$BG$6:$BL$44,4,FALSE),"")</f>
        <v/>
      </c>
    </row>
    <row r="2729" spans="2:39" ht="15" customHeight="1" x14ac:dyDescent="0.3">
      <c r="B2729">
        <v>272.60000000000002</v>
      </c>
      <c r="C2729" t="str">
        <f>IFERROR(VLOOKUP(B2729,'Pre-Summary'!$DI$6:$DM$23,4,FALSE),"")</f>
        <v/>
      </c>
      <c r="D2729" s="10" t="str">
        <f>IFERROR(VLOOKUP(B2729,'Pre-Summary'!$AT$6:$AX$14,5,FALSE),D2728)</f>
        <v>Wolfe v3: went back to modified wolfe + EDTA and switched CuSO4 to CUCl2</v>
      </c>
      <c r="E2729" s="10" t="str">
        <f>IFERROR(VLOOKUP(B2729,'Pre-Summary'!$AT$6:$AX$15,4,FALSE),"")</f>
        <v/>
      </c>
      <c r="F2729">
        <f>IFERROR(VLOOKUP(B2729,'Pre-Summary'!$AL$6:$AQ$13,6,FALSE),F2728)</f>
        <v>5.9405263157894746E-2</v>
      </c>
      <c r="G2729" t="str">
        <f>IFERROR(VLOOKUP(B2729,'Pre-Summary'!$AE$6:$AJ$85,3,FALSE),"")</f>
        <v/>
      </c>
      <c r="H2729" t="str">
        <f>IFERROR(VLOOKUP(B2729,'Pre-Summary'!$AE$6:$AJ$85,4,FALSE),"")</f>
        <v/>
      </c>
      <c r="I2729" t="str">
        <f>IFERROR(VLOOKUP(B2729,'Pre-Summary'!$AE$6:$AJ$85,5,FALSE),"")</f>
        <v/>
      </c>
      <c r="J2729" s="45" t="str">
        <f>IFERROR(VLOOKUP(B2729,'Pre-Summary'!$AE$6:$AJ$85,6, FALSE),"")</f>
        <v/>
      </c>
      <c r="K2729" s="45" t="str">
        <f>IFERROR(VLOOKUP(B2729,'Pre-Summary'!$DE$6:$DG$61,3,FALSE),"")</f>
        <v/>
      </c>
      <c r="L2729" s="45" t="str">
        <f>IFERROR(VLOOKUP(B2729,'Pre-Summary'!$CU$6:$CW$36,3,FALSE),"")</f>
        <v/>
      </c>
      <c r="M2729" s="45" t="str">
        <f>IFERROR(VLOOKUP(B2729,'Pre-Summary'!$BW$6:$BY$58,2,FALSE),"")</f>
        <v/>
      </c>
      <c r="N2729" s="45" t="str">
        <f>IFERROR(VLOOKUP(B2729,'Pre-Summary'!$CD$6:$CF$64,2,FALSE),"")</f>
        <v/>
      </c>
      <c r="O2729" s="99">
        <f>IFERROR(VLOOKUP(B2729,'Pre-Summary'!$BO$6:$BQ$48,3, FALSE),O2728)</f>
        <v>1.83</v>
      </c>
      <c r="P2729" s="99">
        <f>IFERROR(VLOOKUP(B2729,'Pre-Summary'!$BS$6:$BU$35,3,FALSE),P2728)</f>
        <v>0.46200000000000002</v>
      </c>
      <c r="Q2729" s="54">
        <f t="shared" si="126"/>
        <v>3.9610389610389611</v>
      </c>
      <c r="R2729" s="53">
        <f>IFERROR(VLOOKUP(B2729,'Pre-Summary'!$BG$6:$BM$44,7,FALSE),R2730)</f>
        <v>9.7903492963591104E-2</v>
      </c>
      <c r="S2729" s="53">
        <f>IFERROR(VLOOKUP(B2729,'Pre-Summary'!$BG$6:$BM$44,6,FALSE),S2730)</f>
        <v>0.1105986773408305</v>
      </c>
      <c r="T2729" s="45" t="str">
        <f>IFERROR(VLOOKUP(B2729,'Pre-Summary'!$Y$6:$AC$83, 3,FALSE),"")</f>
        <v/>
      </c>
      <c r="U2729" s="45" t="str">
        <f>IFERROR(VLOOKUP(B2729,'Pre-Summary'!$Y$6:$AC$83, 4,FALSE),"")</f>
        <v/>
      </c>
      <c r="V2729" t="str">
        <f>IFERROR(VLOOKUP(B2729,'Pre-Summary'!$Y$6:$AC$83, 5,FALSE),"")</f>
        <v/>
      </c>
      <c r="W2729" s="45" t="str">
        <f>IFERROR(VLOOKUP(B2729,'Pre-Summary'!$Y$6:$AD$83,6,FALSE),"")</f>
        <v/>
      </c>
      <c r="X2729" t="str">
        <f>IFERROR(VLOOKUP('Pre-Summary'!$DB$6:$DD$63,3,FALSE),"")</f>
        <v/>
      </c>
      <c r="Y2729" t="str">
        <f>IFERROR(VLOOKUP(B2729,'Pre-Summary'!$CR$6:$CT$36,3,FALSE),"")</f>
        <v/>
      </c>
      <c r="Z2729" s="45" t="str">
        <f>IFERROR(VLOOKUP(B2729,'Pre-Summary'!$BZ$6:$CB$63,2,FALSE),"")</f>
        <v/>
      </c>
      <c r="AA2729" s="45" t="str">
        <f>IFERROR(VLOOKUP(B2729,'Pre-Summary'!$CG$6:$CI$70,2,FALSE),"")</f>
        <v/>
      </c>
      <c r="AB2729" s="99">
        <f>IFERROR(VLOOKUP(B2729,'Pre-Summary'!$A$6:$P$178,9,FALSE),AB2730)</f>
        <v>0.42015906039999273</v>
      </c>
      <c r="AC2729" s="10">
        <f>IFERROR(VLOOKUP(Summary!B2729,'Pre-Summary'!$A$6:$P$184,5, FALSE)/100,AC2730)</f>
        <v>0.98781466666666673</v>
      </c>
      <c r="AD2729" s="10">
        <f>IFERROR(VLOOKUP(Summary!B2729,'Pre-Summary'!$A$6:$P$184,3, FALSE)/100,AD2730)</f>
        <v>7.801333333333332E-3</v>
      </c>
      <c r="AE2729" s="10">
        <f>IFERROR(VLOOKUP(Summary!B2729,'Pre-Summary'!$A$6:$P$184,7, FALSE)/100,AE2730)</f>
        <v>4.3839999999999999E-3</v>
      </c>
      <c r="AF2729" s="99">
        <f t="shared" si="127"/>
        <v>3.2778008832004763E-3</v>
      </c>
      <c r="AG2729" s="99">
        <f t="shared" si="128"/>
        <v>1.841977320793568E-3</v>
      </c>
      <c r="AH2729" s="10" t="str">
        <f>IFERROR(VLOOKUP(B2729,'Pre-Summary'!$AZ$6:$BE$65,3,FALSE),"")</f>
        <v/>
      </c>
      <c r="AI2729" s="10" t="str">
        <f>IFERROR(VLOOKUP(B2729,'Pre-Summary'!$AZ$6:$BE$65,5,FALSE),"")</f>
        <v/>
      </c>
      <c r="AJ2729" s="10" t="str">
        <f>IFERROR(VLOOKUP(B2729,'Pre-Summary'!$AZ$6:$BE$65,4,FALSE),"")</f>
        <v/>
      </c>
      <c r="AK2729" s="10" t="str">
        <f>IFERROR(VLOOKUP(B2729,'Pre-Summary'!$AZ$6:$BE$65,6,FALSE),"")</f>
        <v/>
      </c>
      <c r="AL2729" s="10" t="str">
        <f>IFERROR(VLOOKUP(B2729,'Pre-Summary'!$BG$6:$BL$44,3,FALSE),"")</f>
        <v/>
      </c>
      <c r="AM2729" s="10" t="str">
        <f>IFERROR(VLOOKUP(B2729,'Pre-Summary'!$BG$6:$BL$44,4,FALSE),"")</f>
        <v/>
      </c>
    </row>
    <row r="2730" spans="2:39" ht="15" customHeight="1" x14ac:dyDescent="0.3">
      <c r="B2730">
        <v>272.7</v>
      </c>
      <c r="C2730" t="str">
        <f>IFERROR(VLOOKUP(B2730,'Pre-Summary'!$DI$6:$DM$23,4,FALSE),"")</f>
        <v/>
      </c>
      <c r="D2730" s="10" t="str">
        <f>IFERROR(VLOOKUP(B2730,'Pre-Summary'!$AT$6:$AX$14,5,FALSE),D2729)</f>
        <v>Wolfe v3: went back to modified wolfe + EDTA and switched CuSO4 to CUCl2</v>
      </c>
      <c r="E2730" s="10" t="str">
        <f>IFERROR(VLOOKUP(B2730,'Pre-Summary'!$AT$6:$AX$15,4,FALSE),"")</f>
        <v/>
      </c>
      <c r="F2730">
        <f>IFERROR(VLOOKUP(B2730,'Pre-Summary'!$AL$6:$AQ$13,6,FALSE),F2729)</f>
        <v>5.9405263157894746E-2</v>
      </c>
      <c r="G2730" t="str">
        <f>IFERROR(VLOOKUP(B2730,'Pre-Summary'!$AE$6:$AJ$85,3,FALSE),"")</f>
        <v/>
      </c>
      <c r="H2730" t="str">
        <f>IFERROR(VLOOKUP(B2730,'Pre-Summary'!$AE$6:$AJ$85,4,FALSE),"")</f>
        <v/>
      </c>
      <c r="I2730" t="str">
        <f>IFERROR(VLOOKUP(B2730,'Pre-Summary'!$AE$6:$AJ$85,5,FALSE),"")</f>
        <v/>
      </c>
      <c r="J2730" s="45" t="str">
        <f>IFERROR(VLOOKUP(B2730,'Pre-Summary'!$AE$6:$AJ$85,6, FALSE),"")</f>
        <v/>
      </c>
      <c r="K2730" s="45" t="str">
        <f>IFERROR(VLOOKUP(B2730,'Pre-Summary'!$DE$6:$DG$61,3,FALSE),"")</f>
        <v/>
      </c>
      <c r="L2730" s="45" t="str">
        <f>IFERROR(VLOOKUP(B2730,'Pre-Summary'!$CU$6:$CW$36,3,FALSE),"")</f>
        <v/>
      </c>
      <c r="M2730" s="45" t="str">
        <f>IFERROR(VLOOKUP(B2730,'Pre-Summary'!$BW$6:$BY$58,2,FALSE),"")</f>
        <v/>
      </c>
      <c r="N2730" s="45" t="str">
        <f>IFERROR(VLOOKUP(B2730,'Pre-Summary'!$CD$6:$CF$64,2,FALSE),"")</f>
        <v/>
      </c>
      <c r="O2730" s="99">
        <f>IFERROR(VLOOKUP(B2730,'Pre-Summary'!$BO$6:$BQ$48,3, FALSE),O2729)</f>
        <v>1.83</v>
      </c>
      <c r="P2730" s="99">
        <f>IFERROR(VLOOKUP(B2730,'Pre-Summary'!$BS$6:$BU$35,3,FALSE),P2729)</f>
        <v>0.46200000000000002</v>
      </c>
      <c r="Q2730" s="54">
        <f t="shared" si="126"/>
        <v>3.9610389610389611</v>
      </c>
      <c r="R2730" s="53">
        <f>IFERROR(VLOOKUP(B2730,'Pre-Summary'!$BG$6:$BM$44,7,FALSE),R2731)</f>
        <v>9.7903492963591104E-2</v>
      </c>
      <c r="S2730" s="53">
        <f>IFERROR(VLOOKUP(B2730,'Pre-Summary'!$BG$6:$BM$44,6,FALSE),S2731)</f>
        <v>0.1105986773408305</v>
      </c>
      <c r="T2730" s="45" t="str">
        <f>IFERROR(VLOOKUP(B2730,'Pre-Summary'!$Y$6:$AC$83, 3,FALSE),"")</f>
        <v/>
      </c>
      <c r="U2730" s="45" t="str">
        <f>IFERROR(VLOOKUP(B2730,'Pre-Summary'!$Y$6:$AC$83, 4,FALSE),"")</f>
        <v/>
      </c>
      <c r="V2730" t="str">
        <f>IFERROR(VLOOKUP(B2730,'Pre-Summary'!$Y$6:$AC$83, 5,FALSE),"")</f>
        <v/>
      </c>
      <c r="W2730" s="45" t="str">
        <f>IFERROR(VLOOKUP(B2730,'Pre-Summary'!$Y$6:$AD$83,6,FALSE),"")</f>
        <v/>
      </c>
      <c r="X2730" t="str">
        <f>IFERROR(VLOOKUP('Pre-Summary'!$DB$6:$DD$63,3,FALSE),"")</f>
        <v/>
      </c>
      <c r="Y2730" t="str">
        <f>IFERROR(VLOOKUP(B2730,'Pre-Summary'!$CR$6:$CT$36,3,FALSE),"")</f>
        <v/>
      </c>
      <c r="Z2730" s="45" t="str">
        <f>IFERROR(VLOOKUP(B2730,'Pre-Summary'!$BZ$6:$CB$63,2,FALSE),"")</f>
        <v/>
      </c>
      <c r="AA2730" s="45" t="str">
        <f>IFERROR(VLOOKUP(B2730,'Pre-Summary'!$CG$6:$CI$70,2,FALSE),"")</f>
        <v/>
      </c>
      <c r="AB2730" s="99">
        <f>IFERROR(VLOOKUP(B2730,'Pre-Summary'!$A$6:$P$178,9,FALSE),AB2731)</f>
        <v>0.42015906039999273</v>
      </c>
      <c r="AC2730" s="10">
        <f>IFERROR(VLOOKUP(Summary!B2730,'Pre-Summary'!$A$6:$P$184,5, FALSE)/100,AC2731)</f>
        <v>0.98781466666666673</v>
      </c>
      <c r="AD2730" s="10">
        <f>IFERROR(VLOOKUP(Summary!B2730,'Pre-Summary'!$A$6:$P$184,3, FALSE)/100,AD2731)</f>
        <v>7.801333333333332E-3</v>
      </c>
      <c r="AE2730" s="10">
        <f>IFERROR(VLOOKUP(Summary!B2730,'Pre-Summary'!$A$6:$P$184,7, FALSE)/100,AE2731)</f>
        <v>4.3839999999999999E-3</v>
      </c>
      <c r="AF2730" s="99">
        <f t="shared" si="127"/>
        <v>3.2778008832004763E-3</v>
      </c>
      <c r="AG2730" s="99">
        <f t="shared" si="128"/>
        <v>1.841977320793568E-3</v>
      </c>
      <c r="AH2730" s="10" t="str">
        <f>IFERROR(VLOOKUP(B2730,'Pre-Summary'!$AZ$6:$BE$65,3,FALSE),"")</f>
        <v/>
      </c>
      <c r="AI2730" s="10" t="str">
        <f>IFERROR(VLOOKUP(B2730,'Pre-Summary'!$AZ$6:$BE$65,5,FALSE),"")</f>
        <v/>
      </c>
      <c r="AJ2730" s="10" t="str">
        <f>IFERROR(VLOOKUP(B2730,'Pre-Summary'!$AZ$6:$BE$65,4,FALSE),"")</f>
        <v/>
      </c>
      <c r="AK2730" s="10" t="str">
        <f>IFERROR(VLOOKUP(B2730,'Pre-Summary'!$AZ$6:$BE$65,6,FALSE),"")</f>
        <v/>
      </c>
      <c r="AL2730" s="10" t="str">
        <f>IFERROR(VLOOKUP(B2730,'Pre-Summary'!$BG$6:$BL$44,3,FALSE),"")</f>
        <v/>
      </c>
      <c r="AM2730" s="10" t="str">
        <f>IFERROR(VLOOKUP(B2730,'Pre-Summary'!$BG$6:$BL$44,4,FALSE),"")</f>
        <v/>
      </c>
    </row>
    <row r="2731" spans="2:39" ht="15" customHeight="1" x14ac:dyDescent="0.3">
      <c r="B2731">
        <v>272.8</v>
      </c>
      <c r="C2731" t="str">
        <f>IFERROR(VLOOKUP(B2731,'Pre-Summary'!$DI$6:$DM$23,4,FALSE),"")</f>
        <v/>
      </c>
      <c r="D2731" s="10" t="str">
        <f>IFERROR(VLOOKUP(B2731,'Pre-Summary'!$AT$6:$AX$14,5,FALSE),D2730)</f>
        <v>Wolfe v3: went back to modified wolfe + EDTA and switched CuSO4 to CUCl2</v>
      </c>
      <c r="E2731" s="10" t="str">
        <f>IFERROR(VLOOKUP(B2731,'Pre-Summary'!$AT$6:$AX$15,4,FALSE),"")</f>
        <v/>
      </c>
      <c r="F2731">
        <f>IFERROR(VLOOKUP(B2731,'Pre-Summary'!$AL$6:$AQ$13,6,FALSE),F2730)</f>
        <v>5.9405263157894746E-2</v>
      </c>
      <c r="G2731" t="str">
        <f>IFERROR(VLOOKUP(B2731,'Pre-Summary'!$AE$6:$AJ$85,3,FALSE),"")</f>
        <v/>
      </c>
      <c r="H2731" t="str">
        <f>IFERROR(VLOOKUP(B2731,'Pre-Summary'!$AE$6:$AJ$85,4,FALSE),"")</f>
        <v/>
      </c>
      <c r="I2731" t="str">
        <f>IFERROR(VLOOKUP(B2731,'Pre-Summary'!$AE$6:$AJ$85,5,FALSE),"")</f>
        <v/>
      </c>
      <c r="J2731" s="45" t="str">
        <f>IFERROR(VLOOKUP(B2731,'Pre-Summary'!$AE$6:$AJ$85,6, FALSE),"")</f>
        <v/>
      </c>
      <c r="K2731" s="45" t="str">
        <f>IFERROR(VLOOKUP(B2731,'Pre-Summary'!$DE$6:$DG$61,3,FALSE),"")</f>
        <v/>
      </c>
      <c r="L2731" s="45" t="str">
        <f>IFERROR(VLOOKUP(B2731,'Pre-Summary'!$CU$6:$CW$36,3,FALSE),"")</f>
        <v/>
      </c>
      <c r="M2731" s="45" t="str">
        <f>IFERROR(VLOOKUP(B2731,'Pre-Summary'!$BW$6:$BY$58,2,FALSE),"")</f>
        <v/>
      </c>
      <c r="N2731" s="45" t="str">
        <f>IFERROR(VLOOKUP(B2731,'Pre-Summary'!$CD$6:$CF$64,2,FALSE),"")</f>
        <v/>
      </c>
      <c r="O2731" s="99">
        <f>IFERROR(VLOOKUP(B2731,'Pre-Summary'!$BO$6:$BQ$48,3, FALSE),O2730)</f>
        <v>1.83</v>
      </c>
      <c r="P2731" s="99">
        <f>IFERROR(VLOOKUP(B2731,'Pre-Summary'!$BS$6:$BU$35,3,FALSE),P2730)</f>
        <v>0.46200000000000002</v>
      </c>
      <c r="Q2731" s="54">
        <f t="shared" si="126"/>
        <v>3.9610389610389611</v>
      </c>
      <c r="R2731" s="53">
        <f>IFERROR(VLOOKUP(B2731,'Pre-Summary'!$BG$6:$BM$44,7,FALSE),R2732)</f>
        <v>9.7903492963591104E-2</v>
      </c>
      <c r="S2731" s="53">
        <f>IFERROR(VLOOKUP(B2731,'Pre-Summary'!$BG$6:$BM$44,6,FALSE),S2732)</f>
        <v>0.1105986773408305</v>
      </c>
      <c r="T2731" s="45" t="str">
        <f>IFERROR(VLOOKUP(B2731,'Pre-Summary'!$Y$6:$AC$83, 3,FALSE),"")</f>
        <v/>
      </c>
      <c r="U2731" s="45" t="str">
        <f>IFERROR(VLOOKUP(B2731,'Pre-Summary'!$Y$6:$AC$83, 4,FALSE),"")</f>
        <v/>
      </c>
      <c r="V2731" t="str">
        <f>IFERROR(VLOOKUP(B2731,'Pre-Summary'!$Y$6:$AC$83, 5,FALSE),"")</f>
        <v/>
      </c>
      <c r="W2731" s="45" t="str">
        <f>IFERROR(VLOOKUP(B2731,'Pre-Summary'!$Y$6:$AD$83,6,FALSE),"")</f>
        <v/>
      </c>
      <c r="X2731" t="str">
        <f>IFERROR(VLOOKUP('Pre-Summary'!$DB$6:$DD$63,3,FALSE),"")</f>
        <v/>
      </c>
      <c r="Y2731" t="str">
        <f>IFERROR(VLOOKUP(B2731,'Pre-Summary'!$CR$6:$CT$36,3,FALSE),"")</f>
        <v/>
      </c>
      <c r="Z2731" s="45" t="str">
        <f>IFERROR(VLOOKUP(B2731,'Pre-Summary'!$BZ$6:$CB$63,2,FALSE),"")</f>
        <v/>
      </c>
      <c r="AA2731" s="45" t="str">
        <f>IFERROR(VLOOKUP(B2731,'Pre-Summary'!$CG$6:$CI$70,2,FALSE),"")</f>
        <v/>
      </c>
      <c r="AB2731" s="99">
        <f>IFERROR(VLOOKUP(B2731,'Pre-Summary'!$A$6:$P$178,9,FALSE),AB2732)</f>
        <v>0.42015906039999273</v>
      </c>
      <c r="AC2731" s="10">
        <f>IFERROR(VLOOKUP(Summary!B2731,'Pre-Summary'!$A$6:$P$184,5, FALSE)/100,AC2732)</f>
        <v>0.98781466666666673</v>
      </c>
      <c r="AD2731" s="10">
        <f>IFERROR(VLOOKUP(Summary!B2731,'Pre-Summary'!$A$6:$P$184,3, FALSE)/100,AD2732)</f>
        <v>7.801333333333332E-3</v>
      </c>
      <c r="AE2731" s="10">
        <f>IFERROR(VLOOKUP(Summary!B2731,'Pre-Summary'!$A$6:$P$184,7, FALSE)/100,AE2732)</f>
        <v>4.3839999999999999E-3</v>
      </c>
      <c r="AF2731" s="99">
        <f t="shared" si="127"/>
        <v>3.2778008832004763E-3</v>
      </c>
      <c r="AG2731" s="99">
        <f t="shared" si="128"/>
        <v>1.841977320793568E-3</v>
      </c>
      <c r="AH2731" s="10" t="str">
        <f>IFERROR(VLOOKUP(B2731,'Pre-Summary'!$AZ$6:$BE$65,3,FALSE),"")</f>
        <v/>
      </c>
      <c r="AI2731" s="10" t="str">
        <f>IFERROR(VLOOKUP(B2731,'Pre-Summary'!$AZ$6:$BE$65,5,FALSE),"")</f>
        <v/>
      </c>
      <c r="AJ2731" s="10" t="str">
        <f>IFERROR(VLOOKUP(B2731,'Pre-Summary'!$AZ$6:$BE$65,4,FALSE),"")</f>
        <v/>
      </c>
      <c r="AK2731" s="10" t="str">
        <f>IFERROR(VLOOKUP(B2731,'Pre-Summary'!$AZ$6:$BE$65,6,FALSE),"")</f>
        <v/>
      </c>
      <c r="AL2731" s="10" t="str">
        <f>IFERROR(VLOOKUP(B2731,'Pre-Summary'!$BG$6:$BL$44,3,FALSE),"")</f>
        <v/>
      </c>
      <c r="AM2731" s="10" t="str">
        <f>IFERROR(VLOOKUP(B2731,'Pre-Summary'!$BG$6:$BL$44,4,FALSE),"")</f>
        <v/>
      </c>
    </row>
    <row r="2732" spans="2:39" ht="15" customHeight="1" x14ac:dyDescent="0.3">
      <c r="B2732">
        <v>272.89999999999998</v>
      </c>
      <c r="C2732" t="str">
        <f>IFERROR(VLOOKUP(B2732,'Pre-Summary'!$DI$6:$DM$23,4,FALSE),"")</f>
        <v/>
      </c>
      <c r="D2732" s="10" t="str">
        <f>IFERROR(VLOOKUP(B2732,'Pre-Summary'!$AT$6:$AX$14,5,FALSE),D2731)</f>
        <v>Wolfe v3: went back to modified wolfe + EDTA and switched CuSO4 to CUCl2</v>
      </c>
      <c r="E2732" s="10" t="str">
        <f>IFERROR(VLOOKUP(B2732,'Pre-Summary'!$AT$6:$AX$15,4,FALSE),"")</f>
        <v/>
      </c>
      <c r="F2732">
        <f>IFERROR(VLOOKUP(B2732,'Pre-Summary'!$AL$6:$AQ$13,6,FALSE),F2731)</f>
        <v>5.9405263157894746E-2</v>
      </c>
      <c r="G2732" t="str">
        <f>IFERROR(VLOOKUP(B2732,'Pre-Summary'!$AE$6:$AJ$85,3,FALSE),"")</f>
        <v/>
      </c>
      <c r="H2732" t="str">
        <f>IFERROR(VLOOKUP(B2732,'Pre-Summary'!$AE$6:$AJ$85,4,FALSE),"")</f>
        <v/>
      </c>
      <c r="I2732" t="str">
        <f>IFERROR(VLOOKUP(B2732,'Pre-Summary'!$AE$6:$AJ$85,5,FALSE),"")</f>
        <v/>
      </c>
      <c r="J2732" s="45" t="str">
        <f>IFERROR(VLOOKUP(B2732,'Pre-Summary'!$AE$6:$AJ$85,6, FALSE),"")</f>
        <v/>
      </c>
      <c r="K2732" s="45" t="str">
        <f>IFERROR(VLOOKUP(B2732,'Pre-Summary'!$DE$6:$DG$61,3,FALSE),"")</f>
        <v/>
      </c>
      <c r="L2732" s="45" t="str">
        <f>IFERROR(VLOOKUP(B2732,'Pre-Summary'!$CU$6:$CW$36,3,FALSE),"")</f>
        <v/>
      </c>
      <c r="M2732" s="45" t="str">
        <f>IFERROR(VLOOKUP(B2732,'Pre-Summary'!$BW$6:$BY$58,2,FALSE),"")</f>
        <v/>
      </c>
      <c r="N2732" s="45" t="str">
        <f>IFERROR(VLOOKUP(B2732,'Pre-Summary'!$CD$6:$CF$64,2,FALSE),"")</f>
        <v/>
      </c>
      <c r="O2732" s="99">
        <f>IFERROR(VLOOKUP(B2732,'Pre-Summary'!$BO$6:$BQ$48,3, FALSE),O2731)</f>
        <v>1.83</v>
      </c>
      <c r="P2732" s="99">
        <f>IFERROR(VLOOKUP(B2732,'Pre-Summary'!$BS$6:$BU$35,3,FALSE),P2731)</f>
        <v>0.46200000000000002</v>
      </c>
      <c r="Q2732" s="54">
        <f t="shared" si="126"/>
        <v>3.9610389610389611</v>
      </c>
      <c r="R2732" s="53">
        <f>IFERROR(VLOOKUP(B2732,'Pre-Summary'!$BG$6:$BM$44,7,FALSE),R2733)</f>
        <v>9.7903492963591104E-2</v>
      </c>
      <c r="S2732" s="53">
        <f>IFERROR(VLOOKUP(B2732,'Pre-Summary'!$BG$6:$BM$44,6,FALSE),S2733)</f>
        <v>0.1105986773408305</v>
      </c>
      <c r="T2732" s="45" t="str">
        <f>IFERROR(VLOOKUP(B2732,'Pre-Summary'!$Y$6:$AC$83, 3,FALSE),"")</f>
        <v/>
      </c>
      <c r="U2732" s="45" t="str">
        <f>IFERROR(VLOOKUP(B2732,'Pre-Summary'!$Y$6:$AC$83, 4,FALSE),"")</f>
        <v/>
      </c>
      <c r="V2732" t="str">
        <f>IFERROR(VLOOKUP(B2732,'Pre-Summary'!$Y$6:$AC$83, 5,FALSE),"")</f>
        <v/>
      </c>
      <c r="W2732" s="45" t="str">
        <f>IFERROR(VLOOKUP(B2732,'Pre-Summary'!$Y$6:$AD$83,6,FALSE),"")</f>
        <v/>
      </c>
      <c r="X2732" t="str">
        <f>IFERROR(VLOOKUP('Pre-Summary'!$DB$6:$DD$63,3,FALSE),"")</f>
        <v/>
      </c>
      <c r="Y2732" t="str">
        <f>IFERROR(VLOOKUP(B2732,'Pre-Summary'!$CR$6:$CT$36,3,FALSE),"")</f>
        <v/>
      </c>
      <c r="Z2732" s="45" t="str">
        <f>IFERROR(VLOOKUP(B2732,'Pre-Summary'!$BZ$6:$CB$63,2,FALSE),"")</f>
        <v/>
      </c>
      <c r="AA2732" s="45" t="str">
        <f>IFERROR(VLOOKUP(B2732,'Pre-Summary'!$CG$6:$CI$70,2,FALSE),"")</f>
        <v/>
      </c>
      <c r="AB2732" s="99">
        <f>IFERROR(VLOOKUP(B2732,'Pre-Summary'!$A$6:$P$178,9,FALSE),AB2733)</f>
        <v>0.42015906039999273</v>
      </c>
      <c r="AC2732" s="10">
        <f>IFERROR(VLOOKUP(Summary!B2732,'Pre-Summary'!$A$6:$P$184,5, FALSE)/100,AC2733)</f>
        <v>0.98781466666666673</v>
      </c>
      <c r="AD2732" s="10">
        <f>IFERROR(VLOOKUP(Summary!B2732,'Pre-Summary'!$A$6:$P$184,3, FALSE)/100,AD2733)</f>
        <v>7.801333333333332E-3</v>
      </c>
      <c r="AE2732" s="10">
        <f>IFERROR(VLOOKUP(Summary!B2732,'Pre-Summary'!$A$6:$P$184,7, FALSE)/100,AE2733)</f>
        <v>4.3839999999999999E-3</v>
      </c>
      <c r="AF2732" s="99">
        <f t="shared" si="127"/>
        <v>3.2778008832004763E-3</v>
      </c>
      <c r="AG2732" s="99">
        <f t="shared" si="128"/>
        <v>1.841977320793568E-3</v>
      </c>
      <c r="AH2732" s="10" t="str">
        <f>IFERROR(VLOOKUP(B2732,'Pre-Summary'!$AZ$6:$BE$65,3,FALSE),"")</f>
        <v/>
      </c>
      <c r="AI2732" s="10" t="str">
        <f>IFERROR(VLOOKUP(B2732,'Pre-Summary'!$AZ$6:$BE$65,5,FALSE),"")</f>
        <v/>
      </c>
      <c r="AJ2732" s="10" t="str">
        <f>IFERROR(VLOOKUP(B2732,'Pre-Summary'!$AZ$6:$BE$65,4,FALSE),"")</f>
        <v/>
      </c>
      <c r="AK2732" s="10" t="str">
        <f>IFERROR(VLOOKUP(B2732,'Pre-Summary'!$AZ$6:$BE$65,6,FALSE),"")</f>
        <v/>
      </c>
      <c r="AL2732" s="10" t="str">
        <f>IFERROR(VLOOKUP(B2732,'Pre-Summary'!$BG$6:$BL$44,3,FALSE),"")</f>
        <v/>
      </c>
      <c r="AM2732" s="10" t="str">
        <f>IFERROR(VLOOKUP(B2732,'Pre-Summary'!$BG$6:$BL$44,4,FALSE),"")</f>
        <v/>
      </c>
    </row>
    <row r="2733" spans="2:39" ht="15" customHeight="1" x14ac:dyDescent="0.3">
      <c r="B2733">
        <v>273</v>
      </c>
      <c r="C2733" t="str">
        <f>IFERROR(VLOOKUP(B2733,'Pre-Summary'!$DI$6:$DM$23,4,FALSE),"")</f>
        <v/>
      </c>
      <c r="D2733" s="10" t="str">
        <f>IFERROR(VLOOKUP(B2733,'Pre-Summary'!$AT$6:$AX$14,5,FALSE),D2732)</f>
        <v>Wolfe v3: went back to modified wolfe + EDTA and switched CuSO4 to CUCl2</v>
      </c>
      <c r="E2733" s="10" t="str">
        <f>IFERROR(VLOOKUP(B2733,'Pre-Summary'!$AT$6:$AX$15,4,FALSE),"")</f>
        <v/>
      </c>
      <c r="F2733">
        <f>IFERROR(VLOOKUP(B2733,'Pre-Summary'!$AL$6:$AQ$13,6,FALSE),F2732)</f>
        <v>5.9405263157894746E-2</v>
      </c>
      <c r="G2733" t="str">
        <f>IFERROR(VLOOKUP(B2733,'Pre-Summary'!$AE$6:$AJ$85,3,FALSE),"")</f>
        <v/>
      </c>
      <c r="H2733" t="str">
        <f>IFERROR(VLOOKUP(B2733,'Pre-Summary'!$AE$6:$AJ$85,4,FALSE),"")</f>
        <v/>
      </c>
      <c r="I2733" t="str">
        <f>IFERROR(VLOOKUP(B2733,'Pre-Summary'!$AE$6:$AJ$85,5,FALSE),"")</f>
        <v/>
      </c>
      <c r="J2733" s="45" t="str">
        <f>IFERROR(VLOOKUP(B2733,'Pre-Summary'!$AE$6:$AJ$85,6, FALSE),"")</f>
        <v/>
      </c>
      <c r="K2733" s="45" t="str">
        <f>IFERROR(VLOOKUP(B2733,'Pre-Summary'!$DE$6:$DG$61,3,FALSE),"")</f>
        <v/>
      </c>
      <c r="L2733" s="45" t="str">
        <f>IFERROR(VLOOKUP(B2733,'Pre-Summary'!$CU$6:$CW$36,3,FALSE),"")</f>
        <v/>
      </c>
      <c r="M2733" s="45" t="str">
        <f>IFERROR(VLOOKUP(B2733,'Pre-Summary'!$BW$6:$BY$58,2,FALSE),"")</f>
        <v/>
      </c>
      <c r="N2733" s="45" t="str">
        <f>IFERROR(VLOOKUP(B2733,'Pre-Summary'!$CD$6:$CF$64,2,FALSE),"")</f>
        <v/>
      </c>
      <c r="O2733" s="99">
        <f>IFERROR(VLOOKUP(B2733,'Pre-Summary'!$BO$6:$BQ$48,3, FALSE),O2732)</f>
        <v>1.83</v>
      </c>
      <c r="P2733" s="99">
        <f>IFERROR(VLOOKUP(B2733,'Pre-Summary'!$BS$6:$BU$35,3,FALSE),P2732)</f>
        <v>0.46200000000000002</v>
      </c>
      <c r="Q2733" s="54">
        <f t="shared" si="126"/>
        <v>3.9610389610389611</v>
      </c>
      <c r="R2733" s="53">
        <f>IFERROR(VLOOKUP(B2733,'Pre-Summary'!$BG$6:$BM$44,7,FALSE),R2734)</f>
        <v>9.7903492963591104E-2</v>
      </c>
      <c r="S2733" s="53">
        <f>IFERROR(VLOOKUP(B2733,'Pre-Summary'!$BG$6:$BM$44,6,FALSE),S2734)</f>
        <v>0.1105986773408305</v>
      </c>
      <c r="T2733" s="45" t="str">
        <f>IFERROR(VLOOKUP(B2733,'Pre-Summary'!$Y$6:$AC$83, 3,FALSE),"")</f>
        <v/>
      </c>
      <c r="U2733" s="45" t="str">
        <f>IFERROR(VLOOKUP(B2733,'Pre-Summary'!$Y$6:$AC$83, 4,FALSE),"")</f>
        <v/>
      </c>
      <c r="V2733" t="str">
        <f>IFERROR(VLOOKUP(B2733,'Pre-Summary'!$Y$6:$AC$83, 5,FALSE),"")</f>
        <v/>
      </c>
      <c r="W2733" s="45" t="str">
        <f>IFERROR(VLOOKUP(B2733,'Pre-Summary'!$Y$6:$AD$83,6,FALSE),"")</f>
        <v/>
      </c>
      <c r="X2733" t="str">
        <f>IFERROR(VLOOKUP('Pre-Summary'!$DB$6:$DD$63,3,FALSE),"")</f>
        <v/>
      </c>
      <c r="Y2733" t="str">
        <f>IFERROR(VLOOKUP(B2733,'Pre-Summary'!$CR$6:$CT$36,3,FALSE),"")</f>
        <v/>
      </c>
      <c r="Z2733" s="45" t="str">
        <f>IFERROR(VLOOKUP(B2733,'Pre-Summary'!$BZ$6:$CB$63,2,FALSE),"")</f>
        <v/>
      </c>
      <c r="AA2733" s="45" t="str">
        <f>IFERROR(VLOOKUP(B2733,'Pre-Summary'!$CG$6:$CI$70,2,FALSE),"")</f>
        <v/>
      </c>
      <c r="AB2733" s="99">
        <f>IFERROR(VLOOKUP(B2733,'Pre-Summary'!$A$6:$P$178,9,FALSE),AB2734)</f>
        <v>0.42015906039999273</v>
      </c>
      <c r="AC2733" s="10">
        <f>IFERROR(VLOOKUP(Summary!B2733,'Pre-Summary'!$A$6:$P$184,5, FALSE)/100,AC2734)</f>
        <v>0.98781466666666673</v>
      </c>
      <c r="AD2733" s="10">
        <f>IFERROR(VLOOKUP(Summary!B2733,'Pre-Summary'!$A$6:$P$184,3, FALSE)/100,AD2734)</f>
        <v>7.801333333333332E-3</v>
      </c>
      <c r="AE2733" s="10">
        <f>IFERROR(VLOOKUP(Summary!B2733,'Pre-Summary'!$A$6:$P$184,7, FALSE)/100,AE2734)</f>
        <v>4.3839999999999999E-3</v>
      </c>
      <c r="AF2733" s="99">
        <f t="shared" si="127"/>
        <v>3.2778008832004763E-3</v>
      </c>
      <c r="AG2733" s="99">
        <f t="shared" si="128"/>
        <v>1.841977320793568E-3</v>
      </c>
      <c r="AH2733" s="10">
        <f>IFERROR(VLOOKUP(B2733,'Pre-Summary'!$AZ$6:$BE$65,3,FALSE),"")</f>
        <v>198</v>
      </c>
      <c r="AI2733" s="10">
        <f>IFERROR(VLOOKUP(B2733,'Pre-Summary'!$AZ$6:$BE$65,5,FALSE),"")</f>
        <v>94</v>
      </c>
      <c r="AJ2733" s="10">
        <f>IFERROR(VLOOKUP(B2733,'Pre-Summary'!$AZ$6:$BE$65,4,FALSE),"")</f>
        <v>146</v>
      </c>
      <c r="AK2733" s="10">
        <f>IFERROR(VLOOKUP(B2733,'Pre-Summary'!$AZ$6:$BE$65,6,FALSE),"")</f>
        <v>60</v>
      </c>
      <c r="AL2733" s="10">
        <f>IFERROR(VLOOKUP(B2733,'Pre-Summary'!$BG$6:$BL$44,3,FALSE),"")</f>
        <v>5.5237124213434239</v>
      </c>
      <c r="AM2733" s="10">
        <f>IFERROR(VLOOKUP(B2733,'Pre-Summary'!$BG$6:$BL$44,4,FALSE),"")</f>
        <v>2.8255310778895919</v>
      </c>
    </row>
    <row r="2734" spans="2:39" ht="15" customHeight="1" x14ac:dyDescent="0.3">
      <c r="B2734">
        <v>273.10000000000002</v>
      </c>
      <c r="C2734" t="str">
        <f>IFERROR(VLOOKUP(B2734,'Pre-Summary'!$DI$6:$DM$23,4,FALSE),"")</f>
        <v/>
      </c>
      <c r="D2734" s="10" t="str">
        <f>IFERROR(VLOOKUP(B2734,'Pre-Summary'!$AT$6:$AX$14,5,FALSE),D2733)</f>
        <v>Wolfe v3: went back to modified wolfe + EDTA and switched CuSO4 to CUCl2</v>
      </c>
      <c r="E2734" s="10" t="str">
        <f>IFERROR(VLOOKUP(B2734,'Pre-Summary'!$AT$6:$AX$15,4,FALSE),"")</f>
        <v/>
      </c>
      <c r="F2734">
        <f>IFERROR(VLOOKUP(B2734,'Pre-Summary'!$AL$6:$AQ$13,6,FALSE),F2733)</f>
        <v>5.9405263157894746E-2</v>
      </c>
      <c r="G2734" t="str">
        <f>IFERROR(VLOOKUP(B2734,'Pre-Summary'!$AE$6:$AJ$85,3,FALSE),"")</f>
        <v/>
      </c>
      <c r="H2734" t="str">
        <f>IFERROR(VLOOKUP(B2734,'Pre-Summary'!$AE$6:$AJ$85,4,FALSE),"")</f>
        <v/>
      </c>
      <c r="I2734" t="str">
        <f>IFERROR(VLOOKUP(B2734,'Pre-Summary'!$AE$6:$AJ$85,5,FALSE),"")</f>
        <v/>
      </c>
      <c r="J2734" s="45" t="str">
        <f>IFERROR(VLOOKUP(B2734,'Pre-Summary'!$AE$6:$AJ$85,6, FALSE),"")</f>
        <v/>
      </c>
      <c r="K2734" s="45" t="str">
        <f>IFERROR(VLOOKUP(B2734,'Pre-Summary'!$DE$6:$DG$61,3,FALSE),"")</f>
        <v/>
      </c>
      <c r="L2734" s="45" t="str">
        <f>IFERROR(VLOOKUP(B2734,'Pre-Summary'!$CU$6:$CW$36,3,FALSE),"")</f>
        <v/>
      </c>
      <c r="M2734" s="45" t="str">
        <f>IFERROR(VLOOKUP(B2734,'Pre-Summary'!$BW$6:$BY$58,2,FALSE),"")</f>
        <v/>
      </c>
      <c r="N2734" s="45" t="str">
        <f>IFERROR(VLOOKUP(B2734,'Pre-Summary'!$CD$6:$CF$64,2,FALSE),"")</f>
        <v/>
      </c>
      <c r="O2734" s="99">
        <f>IFERROR(VLOOKUP(B2734,'Pre-Summary'!$BO$6:$BQ$48,3, FALSE),O2733)</f>
        <v>1.83</v>
      </c>
      <c r="P2734" s="99">
        <f>IFERROR(VLOOKUP(B2734,'Pre-Summary'!$BS$6:$BU$35,3,FALSE),P2733)</f>
        <v>0.46200000000000002</v>
      </c>
      <c r="Q2734" s="54">
        <f t="shared" si="126"/>
        <v>3.9610389610389611</v>
      </c>
      <c r="R2734" s="53">
        <f>IFERROR(VLOOKUP(B2734,'Pre-Summary'!$BG$6:$BM$44,7,FALSE),R2735)</f>
        <v>9.5351142367257502E-2</v>
      </c>
      <c r="S2734" s="53">
        <f>IFERROR(VLOOKUP(B2734,'Pre-Summary'!$BG$6:$BM$44,6,FALSE),S2735)</f>
        <v>0.10009321836402316</v>
      </c>
      <c r="T2734" s="45" t="str">
        <f>IFERROR(VLOOKUP(B2734,'Pre-Summary'!$Y$6:$AC$83, 3,FALSE),"")</f>
        <v/>
      </c>
      <c r="U2734" s="45" t="str">
        <f>IFERROR(VLOOKUP(B2734,'Pre-Summary'!$Y$6:$AC$83, 4,FALSE),"")</f>
        <v/>
      </c>
      <c r="V2734" t="str">
        <f>IFERROR(VLOOKUP(B2734,'Pre-Summary'!$Y$6:$AC$83, 5,FALSE),"")</f>
        <v/>
      </c>
      <c r="W2734" s="45" t="str">
        <f>IFERROR(VLOOKUP(B2734,'Pre-Summary'!$Y$6:$AD$83,6,FALSE),"")</f>
        <v/>
      </c>
      <c r="X2734" t="str">
        <f>IFERROR(VLOOKUP('Pre-Summary'!$DB$6:$DD$63,3,FALSE),"")</f>
        <v/>
      </c>
      <c r="Y2734" t="str">
        <f>IFERROR(VLOOKUP(B2734,'Pre-Summary'!$CR$6:$CT$36,3,FALSE),"")</f>
        <v/>
      </c>
      <c r="Z2734" s="45" t="str">
        <f>IFERROR(VLOOKUP(B2734,'Pre-Summary'!$BZ$6:$CB$63,2,FALSE),"")</f>
        <v/>
      </c>
      <c r="AA2734" s="45" t="str">
        <f>IFERROR(VLOOKUP(B2734,'Pre-Summary'!$CG$6:$CI$70,2,FALSE),"")</f>
        <v/>
      </c>
      <c r="AB2734" s="99">
        <f>IFERROR(VLOOKUP(B2734,'Pre-Summary'!$A$6:$P$178,9,FALSE),AB2735)</f>
        <v>0.7010379290946207</v>
      </c>
      <c r="AC2734" s="10">
        <f>IFERROR(VLOOKUP(Summary!B2734,'Pre-Summary'!$A$6:$P$184,5, FALSE)/100,AC2735)</f>
        <v>0.92607166666666674</v>
      </c>
      <c r="AD2734" s="10">
        <f>IFERROR(VLOOKUP(Summary!B2734,'Pre-Summary'!$A$6:$P$184,3, FALSE)/100,AD2735)</f>
        <v>5.4963666666666668E-2</v>
      </c>
      <c r="AE2734" s="10">
        <f>IFERROR(VLOOKUP(Summary!B2734,'Pre-Summary'!$A$6:$P$184,7, FALSE)/100,AE2735)</f>
        <v>1.8946666666666667E-2</v>
      </c>
      <c r="AF2734" s="99">
        <f t="shared" si="127"/>
        <v>3.8531615055447034E-2</v>
      </c>
      <c r="AG2734" s="99">
        <f t="shared" si="128"/>
        <v>1.3282331963246082E-2</v>
      </c>
      <c r="AH2734" s="10" t="str">
        <f>IFERROR(VLOOKUP(B2734,'Pre-Summary'!$AZ$6:$BE$65,3,FALSE),"")</f>
        <v/>
      </c>
      <c r="AI2734" s="10" t="str">
        <f>IFERROR(VLOOKUP(B2734,'Pre-Summary'!$AZ$6:$BE$65,5,FALSE),"")</f>
        <v/>
      </c>
      <c r="AJ2734" s="10" t="str">
        <f>IFERROR(VLOOKUP(B2734,'Pre-Summary'!$AZ$6:$BE$65,4,FALSE),"")</f>
        <v/>
      </c>
      <c r="AK2734" s="10" t="str">
        <f>IFERROR(VLOOKUP(B2734,'Pre-Summary'!$AZ$6:$BE$65,6,FALSE),"")</f>
        <v/>
      </c>
      <c r="AL2734" s="10" t="str">
        <f>IFERROR(VLOOKUP(B2734,'Pre-Summary'!$BG$6:$BL$44,3,FALSE),"")</f>
        <v/>
      </c>
      <c r="AM2734" s="10" t="str">
        <f>IFERROR(VLOOKUP(B2734,'Pre-Summary'!$BG$6:$BL$44,4,FALSE),"")</f>
        <v/>
      </c>
    </row>
    <row r="2735" spans="2:39" ht="15" customHeight="1" x14ac:dyDescent="0.3">
      <c r="B2735">
        <v>273.2</v>
      </c>
      <c r="C2735" t="str">
        <f>IFERROR(VLOOKUP(B2735,'Pre-Summary'!$DI$6:$DM$23,4,FALSE),"")</f>
        <v/>
      </c>
      <c r="D2735" s="10" t="str">
        <f>IFERROR(VLOOKUP(B2735,'Pre-Summary'!$AT$6:$AX$14,5,FALSE),D2734)</f>
        <v>Wolfe v3: went back to modified wolfe + EDTA and switched CuSO4 to CUCl2</v>
      </c>
      <c r="E2735" s="10" t="str">
        <f>IFERROR(VLOOKUP(B2735,'Pre-Summary'!$AT$6:$AX$15,4,FALSE),"")</f>
        <v/>
      </c>
      <c r="F2735">
        <f>IFERROR(VLOOKUP(B2735,'Pre-Summary'!$AL$6:$AQ$13,6,FALSE),F2734)</f>
        <v>5.9405263157894746E-2</v>
      </c>
      <c r="G2735" t="str">
        <f>IFERROR(VLOOKUP(B2735,'Pre-Summary'!$AE$6:$AJ$85,3,FALSE),"")</f>
        <v/>
      </c>
      <c r="H2735" t="str">
        <f>IFERROR(VLOOKUP(B2735,'Pre-Summary'!$AE$6:$AJ$85,4,FALSE),"")</f>
        <v/>
      </c>
      <c r="I2735" t="str">
        <f>IFERROR(VLOOKUP(B2735,'Pre-Summary'!$AE$6:$AJ$85,5,FALSE),"")</f>
        <v/>
      </c>
      <c r="J2735" s="45" t="str">
        <f>IFERROR(VLOOKUP(B2735,'Pre-Summary'!$AE$6:$AJ$85,6, FALSE),"")</f>
        <v/>
      </c>
      <c r="K2735" s="45" t="str">
        <f>IFERROR(VLOOKUP(B2735,'Pre-Summary'!$DE$6:$DG$61,3,FALSE),"")</f>
        <v/>
      </c>
      <c r="L2735" s="45" t="str">
        <f>IFERROR(VLOOKUP(B2735,'Pre-Summary'!$CU$6:$CW$36,3,FALSE),"")</f>
        <v/>
      </c>
      <c r="M2735" s="45" t="str">
        <f>IFERROR(VLOOKUP(B2735,'Pre-Summary'!$BW$6:$BY$58,2,FALSE),"")</f>
        <v/>
      </c>
      <c r="N2735" s="45" t="str">
        <f>IFERROR(VLOOKUP(B2735,'Pre-Summary'!$CD$6:$CF$64,2,FALSE),"")</f>
        <v/>
      </c>
      <c r="O2735" s="99">
        <f>IFERROR(VLOOKUP(B2735,'Pre-Summary'!$BO$6:$BQ$48,3, FALSE),O2734)</f>
        <v>2.1030000000000002</v>
      </c>
      <c r="P2735" s="99">
        <f>IFERROR(VLOOKUP(B2735,'Pre-Summary'!$BS$6:$BU$35,3,FALSE),P2734)</f>
        <v>0.53100000000000003</v>
      </c>
      <c r="Q2735" s="54">
        <f t="shared" si="126"/>
        <v>3.9604519774011302</v>
      </c>
      <c r="R2735" s="53">
        <f>IFERROR(VLOOKUP(B2735,'Pre-Summary'!$BG$6:$BM$44,7,FALSE),R2736)</f>
        <v>9.5351142367257502E-2</v>
      </c>
      <c r="S2735" s="53">
        <f>IFERROR(VLOOKUP(B2735,'Pre-Summary'!$BG$6:$BM$44,6,FALSE),S2736)</f>
        <v>0.10009321836402316</v>
      </c>
      <c r="T2735" s="45" t="str">
        <f>IFERROR(VLOOKUP(B2735,'Pre-Summary'!$Y$6:$AC$83, 3,FALSE),"")</f>
        <v/>
      </c>
      <c r="U2735" s="45" t="str">
        <f>IFERROR(VLOOKUP(B2735,'Pre-Summary'!$Y$6:$AC$83, 4,FALSE),"")</f>
        <v/>
      </c>
      <c r="V2735" t="str">
        <f>IFERROR(VLOOKUP(B2735,'Pre-Summary'!$Y$6:$AC$83, 5,FALSE),"")</f>
        <v/>
      </c>
      <c r="W2735" s="45" t="str">
        <f>IFERROR(VLOOKUP(B2735,'Pre-Summary'!$Y$6:$AD$83,6,FALSE),"")</f>
        <v/>
      </c>
      <c r="X2735" t="str">
        <f>IFERROR(VLOOKUP('Pre-Summary'!$DB$6:$DD$63,3,FALSE),"")</f>
        <v/>
      </c>
      <c r="Y2735" t="str">
        <f>IFERROR(VLOOKUP(B2735,'Pre-Summary'!$CR$6:$CT$36,3,FALSE),"")</f>
        <v/>
      </c>
      <c r="Z2735" s="45" t="str">
        <f>IFERROR(VLOOKUP(B2735,'Pre-Summary'!$BZ$6:$CB$63,2,FALSE),"")</f>
        <v/>
      </c>
      <c r="AA2735" s="45" t="str">
        <f>IFERROR(VLOOKUP(B2735,'Pre-Summary'!$CG$6:$CI$70,2,FALSE),"")</f>
        <v/>
      </c>
      <c r="AB2735" s="99">
        <f>IFERROR(VLOOKUP(B2735,'Pre-Summary'!$A$6:$P$178,9,FALSE),AB2736)</f>
        <v>0.7010379290946207</v>
      </c>
      <c r="AC2735" s="10">
        <f>IFERROR(VLOOKUP(Summary!B2735,'Pre-Summary'!$A$6:$P$184,5, FALSE)/100,AC2736)</f>
        <v>0.92607166666666674</v>
      </c>
      <c r="AD2735" s="10">
        <f>IFERROR(VLOOKUP(Summary!B2735,'Pre-Summary'!$A$6:$P$184,3, FALSE)/100,AD2736)</f>
        <v>5.4963666666666668E-2</v>
      </c>
      <c r="AE2735" s="10">
        <f>IFERROR(VLOOKUP(Summary!B2735,'Pre-Summary'!$A$6:$P$184,7, FALSE)/100,AE2736)</f>
        <v>1.8946666666666667E-2</v>
      </c>
      <c r="AF2735" s="99">
        <f t="shared" si="127"/>
        <v>3.8531615055447034E-2</v>
      </c>
      <c r="AG2735" s="99">
        <f t="shared" si="128"/>
        <v>1.3282331963246082E-2</v>
      </c>
      <c r="AH2735" s="10" t="str">
        <f>IFERROR(VLOOKUP(B2735,'Pre-Summary'!$AZ$6:$BE$65,3,FALSE),"")</f>
        <v/>
      </c>
      <c r="AI2735" s="10" t="str">
        <f>IFERROR(VLOOKUP(B2735,'Pre-Summary'!$AZ$6:$BE$65,5,FALSE),"")</f>
        <v/>
      </c>
      <c r="AJ2735" s="10" t="str">
        <f>IFERROR(VLOOKUP(B2735,'Pre-Summary'!$AZ$6:$BE$65,4,FALSE),"")</f>
        <v/>
      </c>
      <c r="AK2735" s="10" t="str">
        <f>IFERROR(VLOOKUP(B2735,'Pre-Summary'!$AZ$6:$BE$65,6,FALSE),"")</f>
        <v/>
      </c>
      <c r="AL2735" s="10" t="str">
        <f>IFERROR(VLOOKUP(B2735,'Pre-Summary'!$BG$6:$BL$44,3,FALSE),"")</f>
        <v/>
      </c>
      <c r="AM2735" s="10" t="str">
        <f>IFERROR(VLOOKUP(B2735,'Pre-Summary'!$BG$6:$BL$44,4,FALSE),"")</f>
        <v/>
      </c>
    </row>
    <row r="2736" spans="2:39" ht="15" customHeight="1" x14ac:dyDescent="0.3">
      <c r="B2736">
        <v>273.3</v>
      </c>
      <c r="C2736" t="str">
        <f>IFERROR(VLOOKUP(B2736,'Pre-Summary'!$DI$6:$DM$23,4,FALSE),"")</f>
        <v/>
      </c>
      <c r="D2736" s="10" t="str">
        <f>IFERROR(VLOOKUP(B2736,'Pre-Summary'!$AT$6:$AX$14,5,FALSE),D2735)</f>
        <v>Wolfe v3: went back to modified wolfe + EDTA and switched CuSO4 to CUCl2</v>
      </c>
      <c r="E2736" s="10" t="str">
        <f>IFERROR(VLOOKUP(B2736,'Pre-Summary'!$AT$6:$AX$15,4,FALSE),"")</f>
        <v/>
      </c>
      <c r="F2736">
        <f>IFERROR(VLOOKUP(B2736,'Pre-Summary'!$AL$6:$AQ$13,6,FALSE),F2735)</f>
        <v>5.9405263157894746E-2</v>
      </c>
      <c r="G2736" t="str">
        <f>IFERROR(VLOOKUP(B2736,'Pre-Summary'!$AE$6:$AJ$85,3,FALSE),"")</f>
        <v/>
      </c>
      <c r="H2736" t="str">
        <f>IFERROR(VLOOKUP(B2736,'Pre-Summary'!$AE$6:$AJ$85,4,FALSE),"")</f>
        <v/>
      </c>
      <c r="I2736" t="str">
        <f>IFERROR(VLOOKUP(B2736,'Pre-Summary'!$AE$6:$AJ$85,5,FALSE),"")</f>
        <v/>
      </c>
      <c r="J2736" s="45" t="str">
        <f>IFERROR(VLOOKUP(B2736,'Pre-Summary'!$AE$6:$AJ$85,6, FALSE),"")</f>
        <v/>
      </c>
      <c r="K2736" s="45" t="str">
        <f>IFERROR(VLOOKUP(B2736,'Pre-Summary'!$DE$6:$DG$61,3,FALSE),"")</f>
        <v/>
      </c>
      <c r="L2736" s="45" t="str">
        <f>IFERROR(VLOOKUP(B2736,'Pre-Summary'!$CU$6:$CW$36,3,FALSE),"")</f>
        <v/>
      </c>
      <c r="M2736" s="45" t="str">
        <f>IFERROR(VLOOKUP(B2736,'Pre-Summary'!$BW$6:$BY$58,2,FALSE),"")</f>
        <v/>
      </c>
      <c r="N2736" s="45" t="str">
        <f>IFERROR(VLOOKUP(B2736,'Pre-Summary'!$CD$6:$CF$64,2,FALSE),"")</f>
        <v/>
      </c>
      <c r="O2736" s="99">
        <f>IFERROR(VLOOKUP(B2736,'Pre-Summary'!$BO$6:$BQ$48,3, FALSE),O2735)</f>
        <v>2.1030000000000002</v>
      </c>
      <c r="P2736" s="99">
        <f>IFERROR(VLOOKUP(B2736,'Pre-Summary'!$BS$6:$BU$35,3,FALSE),P2735)</f>
        <v>0.53100000000000003</v>
      </c>
      <c r="Q2736" s="54">
        <f t="shared" si="126"/>
        <v>3.9604519774011302</v>
      </c>
      <c r="R2736" s="53">
        <f>IFERROR(VLOOKUP(B2736,'Pre-Summary'!$BG$6:$BM$44,7,FALSE),R2737)</f>
        <v>9.5351142367257502E-2</v>
      </c>
      <c r="S2736" s="53">
        <f>IFERROR(VLOOKUP(B2736,'Pre-Summary'!$BG$6:$BM$44,6,FALSE),S2737)</f>
        <v>0.10009321836402316</v>
      </c>
      <c r="T2736" s="45" t="str">
        <f>IFERROR(VLOOKUP(B2736,'Pre-Summary'!$Y$6:$AC$83, 3,FALSE),"")</f>
        <v/>
      </c>
      <c r="U2736" s="45" t="str">
        <f>IFERROR(VLOOKUP(B2736,'Pre-Summary'!$Y$6:$AC$83, 4,FALSE),"")</f>
        <v/>
      </c>
      <c r="V2736" t="str">
        <f>IFERROR(VLOOKUP(B2736,'Pre-Summary'!$Y$6:$AC$83, 5,FALSE),"")</f>
        <v/>
      </c>
      <c r="W2736" s="45" t="str">
        <f>IFERROR(VLOOKUP(B2736,'Pre-Summary'!$Y$6:$AD$83,6,FALSE),"")</f>
        <v/>
      </c>
      <c r="X2736" t="str">
        <f>IFERROR(VLOOKUP('Pre-Summary'!$DB$6:$DD$63,3,FALSE),"")</f>
        <v/>
      </c>
      <c r="Y2736" t="str">
        <f>IFERROR(VLOOKUP(B2736,'Pre-Summary'!$CR$6:$CT$36,3,FALSE),"")</f>
        <v/>
      </c>
      <c r="Z2736" s="45" t="str">
        <f>IFERROR(VLOOKUP(B2736,'Pre-Summary'!$BZ$6:$CB$63,2,FALSE),"")</f>
        <v/>
      </c>
      <c r="AA2736" s="45" t="str">
        <f>IFERROR(VLOOKUP(B2736,'Pre-Summary'!$CG$6:$CI$70,2,FALSE),"")</f>
        <v/>
      </c>
      <c r="AB2736" s="99">
        <f>IFERROR(VLOOKUP(B2736,'Pre-Summary'!$A$6:$P$178,9,FALSE),AB2737)</f>
        <v>0.7010379290946207</v>
      </c>
      <c r="AC2736" s="10">
        <f>IFERROR(VLOOKUP(Summary!B2736,'Pre-Summary'!$A$6:$P$184,5, FALSE)/100,AC2737)</f>
        <v>0.92607166666666674</v>
      </c>
      <c r="AD2736" s="10">
        <f>IFERROR(VLOOKUP(Summary!B2736,'Pre-Summary'!$A$6:$P$184,3, FALSE)/100,AD2737)</f>
        <v>5.4963666666666668E-2</v>
      </c>
      <c r="AE2736" s="10">
        <f>IFERROR(VLOOKUP(Summary!B2736,'Pre-Summary'!$A$6:$P$184,7, FALSE)/100,AE2737)</f>
        <v>1.8946666666666667E-2</v>
      </c>
      <c r="AF2736" s="99">
        <f t="shared" si="127"/>
        <v>3.8531615055447034E-2</v>
      </c>
      <c r="AG2736" s="99">
        <f t="shared" si="128"/>
        <v>1.3282331963246082E-2</v>
      </c>
      <c r="AH2736" s="10" t="str">
        <f>IFERROR(VLOOKUP(B2736,'Pre-Summary'!$AZ$6:$BE$65,3,FALSE),"")</f>
        <v/>
      </c>
      <c r="AI2736" s="10" t="str">
        <f>IFERROR(VLOOKUP(B2736,'Pre-Summary'!$AZ$6:$BE$65,5,FALSE),"")</f>
        <v/>
      </c>
      <c r="AJ2736" s="10" t="str">
        <f>IFERROR(VLOOKUP(B2736,'Pre-Summary'!$AZ$6:$BE$65,4,FALSE),"")</f>
        <v/>
      </c>
      <c r="AK2736" s="10" t="str">
        <f>IFERROR(VLOOKUP(B2736,'Pre-Summary'!$AZ$6:$BE$65,6,FALSE),"")</f>
        <v/>
      </c>
      <c r="AL2736" s="10" t="str">
        <f>IFERROR(VLOOKUP(B2736,'Pre-Summary'!$BG$6:$BL$44,3,FALSE),"")</f>
        <v/>
      </c>
      <c r="AM2736" s="10" t="str">
        <f>IFERROR(VLOOKUP(B2736,'Pre-Summary'!$BG$6:$BL$44,4,FALSE),"")</f>
        <v/>
      </c>
    </row>
    <row r="2737" spans="2:39" ht="15" customHeight="1" x14ac:dyDescent="0.3">
      <c r="B2737">
        <v>273.39999999999998</v>
      </c>
      <c r="C2737" t="str">
        <f>IFERROR(VLOOKUP(B2737,'Pre-Summary'!$DI$6:$DM$23,4,FALSE),"")</f>
        <v/>
      </c>
      <c r="D2737" s="10" t="str">
        <f>IFERROR(VLOOKUP(B2737,'Pre-Summary'!$AT$6:$AX$14,5,FALSE),D2736)</f>
        <v>Wolfe v3: went back to modified wolfe + EDTA and switched CuSO4 to CUCl2</v>
      </c>
      <c r="E2737" s="10" t="str">
        <f>IFERROR(VLOOKUP(B2737,'Pre-Summary'!$AT$6:$AX$15,4,FALSE),"")</f>
        <v/>
      </c>
      <c r="F2737">
        <f>IFERROR(VLOOKUP(B2737,'Pre-Summary'!$AL$6:$AQ$13,6,FALSE),F2736)</f>
        <v>5.9405263157894746E-2</v>
      </c>
      <c r="G2737" t="str">
        <f>IFERROR(VLOOKUP(B2737,'Pre-Summary'!$AE$6:$AJ$85,3,FALSE),"")</f>
        <v/>
      </c>
      <c r="H2737" t="str">
        <f>IFERROR(VLOOKUP(B2737,'Pre-Summary'!$AE$6:$AJ$85,4,FALSE),"")</f>
        <v/>
      </c>
      <c r="I2737" t="str">
        <f>IFERROR(VLOOKUP(B2737,'Pre-Summary'!$AE$6:$AJ$85,5,FALSE),"")</f>
        <v/>
      </c>
      <c r="J2737" s="45" t="str">
        <f>IFERROR(VLOOKUP(B2737,'Pre-Summary'!$AE$6:$AJ$85,6, FALSE),"")</f>
        <v/>
      </c>
      <c r="K2737" s="45" t="str">
        <f>IFERROR(VLOOKUP(B2737,'Pre-Summary'!$DE$6:$DG$61,3,FALSE),"")</f>
        <v/>
      </c>
      <c r="L2737" s="45" t="str">
        <f>IFERROR(VLOOKUP(B2737,'Pre-Summary'!$CU$6:$CW$36,3,FALSE),"")</f>
        <v/>
      </c>
      <c r="M2737" s="45" t="str">
        <f>IFERROR(VLOOKUP(B2737,'Pre-Summary'!$BW$6:$BY$58,2,FALSE),"")</f>
        <v/>
      </c>
      <c r="N2737" s="45" t="str">
        <f>IFERROR(VLOOKUP(B2737,'Pre-Summary'!$CD$6:$CF$64,2,FALSE),"")</f>
        <v/>
      </c>
      <c r="O2737" s="99">
        <f>IFERROR(VLOOKUP(B2737,'Pre-Summary'!$BO$6:$BQ$48,3, FALSE),O2736)</f>
        <v>2.1030000000000002</v>
      </c>
      <c r="P2737" s="99">
        <f>IFERROR(VLOOKUP(B2737,'Pre-Summary'!$BS$6:$BU$35,3,FALSE),P2736)</f>
        <v>0.53100000000000003</v>
      </c>
      <c r="Q2737" s="54">
        <f t="shared" si="126"/>
        <v>3.9604519774011302</v>
      </c>
      <c r="R2737" s="53">
        <f>IFERROR(VLOOKUP(B2737,'Pre-Summary'!$BG$6:$BM$44,7,FALSE),R2738)</f>
        <v>9.5351142367257502E-2</v>
      </c>
      <c r="S2737" s="53">
        <f>IFERROR(VLOOKUP(B2737,'Pre-Summary'!$BG$6:$BM$44,6,FALSE),S2738)</f>
        <v>0.10009321836402316</v>
      </c>
      <c r="T2737" s="45" t="str">
        <f>IFERROR(VLOOKUP(B2737,'Pre-Summary'!$Y$6:$AC$83, 3,FALSE),"")</f>
        <v/>
      </c>
      <c r="U2737" s="45" t="str">
        <f>IFERROR(VLOOKUP(B2737,'Pre-Summary'!$Y$6:$AC$83, 4,FALSE),"")</f>
        <v/>
      </c>
      <c r="V2737" t="str">
        <f>IFERROR(VLOOKUP(B2737,'Pre-Summary'!$Y$6:$AC$83, 5,FALSE),"")</f>
        <v/>
      </c>
      <c r="W2737" s="45" t="str">
        <f>IFERROR(VLOOKUP(B2737,'Pre-Summary'!$Y$6:$AD$83,6,FALSE),"")</f>
        <v/>
      </c>
      <c r="X2737" t="str">
        <f>IFERROR(VLOOKUP('Pre-Summary'!$DB$6:$DD$63,3,FALSE),"")</f>
        <v/>
      </c>
      <c r="Y2737" t="str">
        <f>IFERROR(VLOOKUP(B2737,'Pre-Summary'!$CR$6:$CT$36,3,FALSE),"")</f>
        <v/>
      </c>
      <c r="Z2737" s="45" t="str">
        <f>IFERROR(VLOOKUP(B2737,'Pre-Summary'!$BZ$6:$CB$63,2,FALSE),"")</f>
        <v/>
      </c>
      <c r="AA2737" s="45" t="str">
        <f>IFERROR(VLOOKUP(B2737,'Pre-Summary'!$CG$6:$CI$70,2,FALSE),"")</f>
        <v/>
      </c>
      <c r="AB2737" s="99">
        <f>IFERROR(VLOOKUP(B2737,'Pre-Summary'!$A$6:$P$178,9,FALSE),AB2738)</f>
        <v>0.7010379290946207</v>
      </c>
      <c r="AC2737" s="10">
        <f>IFERROR(VLOOKUP(Summary!B2737,'Pre-Summary'!$A$6:$P$184,5, FALSE)/100,AC2738)</f>
        <v>0.92607166666666674</v>
      </c>
      <c r="AD2737" s="10">
        <f>IFERROR(VLOOKUP(Summary!B2737,'Pre-Summary'!$A$6:$P$184,3, FALSE)/100,AD2738)</f>
        <v>5.4963666666666668E-2</v>
      </c>
      <c r="AE2737" s="10">
        <f>IFERROR(VLOOKUP(Summary!B2737,'Pre-Summary'!$A$6:$P$184,7, FALSE)/100,AE2738)</f>
        <v>1.8946666666666667E-2</v>
      </c>
      <c r="AF2737" s="99">
        <f t="shared" si="127"/>
        <v>3.8531615055447034E-2</v>
      </c>
      <c r="AG2737" s="99">
        <f t="shared" si="128"/>
        <v>1.3282331963246082E-2</v>
      </c>
      <c r="AH2737" s="10" t="str">
        <f>IFERROR(VLOOKUP(B2737,'Pre-Summary'!$AZ$6:$BE$65,3,FALSE),"")</f>
        <v/>
      </c>
      <c r="AI2737" s="10" t="str">
        <f>IFERROR(VLOOKUP(B2737,'Pre-Summary'!$AZ$6:$BE$65,5,FALSE),"")</f>
        <v/>
      </c>
      <c r="AJ2737" s="10" t="str">
        <f>IFERROR(VLOOKUP(B2737,'Pre-Summary'!$AZ$6:$BE$65,4,FALSE),"")</f>
        <v/>
      </c>
      <c r="AK2737" s="10" t="str">
        <f>IFERROR(VLOOKUP(B2737,'Pre-Summary'!$AZ$6:$BE$65,6,FALSE),"")</f>
        <v/>
      </c>
      <c r="AL2737" s="10" t="str">
        <f>IFERROR(VLOOKUP(B2737,'Pre-Summary'!$BG$6:$BL$44,3,FALSE),"")</f>
        <v/>
      </c>
      <c r="AM2737" s="10" t="str">
        <f>IFERROR(VLOOKUP(B2737,'Pre-Summary'!$BG$6:$BL$44,4,FALSE),"")</f>
        <v/>
      </c>
    </row>
    <row r="2738" spans="2:39" ht="15" customHeight="1" x14ac:dyDescent="0.3">
      <c r="B2738">
        <v>273.5</v>
      </c>
      <c r="C2738" t="str">
        <f>IFERROR(VLOOKUP(B2738,'Pre-Summary'!$DI$6:$DM$23,4,FALSE),"")</f>
        <v/>
      </c>
      <c r="D2738" s="10" t="str">
        <f>IFERROR(VLOOKUP(B2738,'Pre-Summary'!$AT$6:$AX$14,5,FALSE),D2737)</f>
        <v>Wolfe v3: went back to modified wolfe + EDTA and switched CuSO4 to CUCl2</v>
      </c>
      <c r="E2738" s="10" t="str">
        <f>IFERROR(VLOOKUP(B2738,'Pre-Summary'!$AT$6:$AX$15,4,FALSE),"")</f>
        <v/>
      </c>
      <c r="F2738">
        <f>IFERROR(VLOOKUP(B2738,'Pre-Summary'!$AL$6:$AQ$13,6,FALSE),F2737)</f>
        <v>5.9405263157894746E-2</v>
      </c>
      <c r="G2738" t="str">
        <f>IFERROR(VLOOKUP(B2738,'Pre-Summary'!$AE$6:$AJ$85,3,FALSE),"")</f>
        <v/>
      </c>
      <c r="H2738" t="str">
        <f>IFERROR(VLOOKUP(B2738,'Pre-Summary'!$AE$6:$AJ$85,4,FALSE),"")</f>
        <v/>
      </c>
      <c r="I2738" t="str">
        <f>IFERROR(VLOOKUP(B2738,'Pre-Summary'!$AE$6:$AJ$85,5,FALSE),"")</f>
        <v/>
      </c>
      <c r="J2738" s="45" t="str">
        <f>IFERROR(VLOOKUP(B2738,'Pre-Summary'!$AE$6:$AJ$85,6, FALSE),"")</f>
        <v/>
      </c>
      <c r="K2738" s="45" t="str">
        <f>IFERROR(VLOOKUP(B2738,'Pre-Summary'!$DE$6:$DG$61,3,FALSE),"")</f>
        <v/>
      </c>
      <c r="L2738" s="45" t="str">
        <f>IFERROR(VLOOKUP(B2738,'Pre-Summary'!$CU$6:$CW$36,3,FALSE),"")</f>
        <v/>
      </c>
      <c r="M2738" s="45" t="str">
        <f>IFERROR(VLOOKUP(B2738,'Pre-Summary'!$BW$6:$BY$58,2,FALSE),"")</f>
        <v/>
      </c>
      <c r="N2738" s="45" t="str">
        <f>IFERROR(VLOOKUP(B2738,'Pre-Summary'!$CD$6:$CF$64,2,FALSE),"")</f>
        <v/>
      </c>
      <c r="O2738" s="99">
        <f>IFERROR(VLOOKUP(B2738,'Pre-Summary'!$BO$6:$BQ$48,3, FALSE),O2737)</f>
        <v>2.1030000000000002</v>
      </c>
      <c r="P2738" s="99">
        <f>IFERROR(VLOOKUP(B2738,'Pre-Summary'!$BS$6:$BU$35,3,FALSE),P2737)</f>
        <v>0.53100000000000003</v>
      </c>
      <c r="Q2738" s="54">
        <f t="shared" si="126"/>
        <v>3.9604519774011302</v>
      </c>
      <c r="R2738" s="53">
        <f>IFERROR(VLOOKUP(B2738,'Pre-Summary'!$BG$6:$BM$44,7,FALSE),R2739)</f>
        <v>9.5351142367257502E-2</v>
      </c>
      <c r="S2738" s="53">
        <f>IFERROR(VLOOKUP(B2738,'Pre-Summary'!$BG$6:$BM$44,6,FALSE),S2739)</f>
        <v>0.10009321836402316</v>
      </c>
      <c r="T2738" s="45" t="str">
        <f>IFERROR(VLOOKUP(B2738,'Pre-Summary'!$Y$6:$AC$83, 3,FALSE),"")</f>
        <v/>
      </c>
      <c r="U2738" s="45" t="str">
        <f>IFERROR(VLOOKUP(B2738,'Pre-Summary'!$Y$6:$AC$83, 4,FALSE),"")</f>
        <v/>
      </c>
      <c r="V2738" t="str">
        <f>IFERROR(VLOOKUP(B2738,'Pre-Summary'!$Y$6:$AC$83, 5,FALSE),"")</f>
        <v/>
      </c>
      <c r="W2738" s="45" t="str">
        <f>IFERROR(VLOOKUP(B2738,'Pre-Summary'!$Y$6:$AD$83,6,FALSE),"")</f>
        <v/>
      </c>
      <c r="X2738" t="str">
        <f>IFERROR(VLOOKUP('Pre-Summary'!$DB$6:$DD$63,3,FALSE),"")</f>
        <v/>
      </c>
      <c r="Y2738" t="str">
        <f>IFERROR(VLOOKUP(B2738,'Pre-Summary'!$CR$6:$CT$36,3,FALSE),"")</f>
        <v/>
      </c>
      <c r="Z2738" s="45" t="str">
        <f>IFERROR(VLOOKUP(B2738,'Pre-Summary'!$BZ$6:$CB$63,2,FALSE),"")</f>
        <v/>
      </c>
      <c r="AA2738" s="45" t="str">
        <f>IFERROR(VLOOKUP(B2738,'Pre-Summary'!$CG$6:$CI$70,2,FALSE),"")</f>
        <v/>
      </c>
      <c r="AB2738" s="99">
        <f>IFERROR(VLOOKUP(B2738,'Pre-Summary'!$A$6:$P$178,9,FALSE),AB2739)</f>
        <v>0.7010379290946207</v>
      </c>
      <c r="AC2738" s="10">
        <f>IFERROR(VLOOKUP(Summary!B2738,'Pre-Summary'!$A$6:$P$184,5, FALSE)/100,AC2739)</f>
        <v>0.92607166666666674</v>
      </c>
      <c r="AD2738" s="10">
        <f>IFERROR(VLOOKUP(Summary!B2738,'Pre-Summary'!$A$6:$P$184,3, FALSE)/100,AD2739)</f>
        <v>5.4963666666666668E-2</v>
      </c>
      <c r="AE2738" s="10">
        <f>IFERROR(VLOOKUP(Summary!B2738,'Pre-Summary'!$A$6:$P$184,7, FALSE)/100,AE2739)</f>
        <v>1.8946666666666667E-2</v>
      </c>
      <c r="AF2738" s="99">
        <f t="shared" si="127"/>
        <v>3.8531615055447034E-2</v>
      </c>
      <c r="AG2738" s="99">
        <f t="shared" si="128"/>
        <v>1.3282331963246082E-2</v>
      </c>
      <c r="AH2738" s="10" t="str">
        <f>IFERROR(VLOOKUP(B2738,'Pre-Summary'!$AZ$6:$BE$65,3,FALSE),"")</f>
        <v/>
      </c>
      <c r="AI2738" s="10" t="str">
        <f>IFERROR(VLOOKUP(B2738,'Pre-Summary'!$AZ$6:$BE$65,5,FALSE),"")</f>
        <v/>
      </c>
      <c r="AJ2738" s="10" t="str">
        <f>IFERROR(VLOOKUP(B2738,'Pre-Summary'!$AZ$6:$BE$65,4,FALSE),"")</f>
        <v/>
      </c>
      <c r="AK2738" s="10" t="str">
        <f>IFERROR(VLOOKUP(B2738,'Pre-Summary'!$AZ$6:$BE$65,6,FALSE),"")</f>
        <v/>
      </c>
      <c r="AL2738" s="10" t="str">
        <f>IFERROR(VLOOKUP(B2738,'Pre-Summary'!$BG$6:$BL$44,3,FALSE),"")</f>
        <v/>
      </c>
      <c r="AM2738" s="10" t="str">
        <f>IFERROR(VLOOKUP(B2738,'Pre-Summary'!$BG$6:$BL$44,4,FALSE),"")</f>
        <v/>
      </c>
    </row>
    <row r="2739" spans="2:39" ht="15" customHeight="1" x14ac:dyDescent="0.3">
      <c r="B2739">
        <v>273.60000000000002</v>
      </c>
      <c r="C2739" t="str">
        <f>IFERROR(VLOOKUP(B2739,'Pre-Summary'!$DI$6:$DM$23,4,FALSE),"")</f>
        <v/>
      </c>
      <c r="D2739" s="10" t="str">
        <f>IFERROR(VLOOKUP(B2739,'Pre-Summary'!$AT$6:$AX$14,5,FALSE),D2738)</f>
        <v>Wolfe v3: went back to modified wolfe + EDTA and switched CuSO4 to CUCl2</v>
      </c>
      <c r="E2739" s="10" t="str">
        <f>IFERROR(VLOOKUP(B2739,'Pre-Summary'!$AT$6:$AX$15,4,FALSE),"")</f>
        <v/>
      </c>
      <c r="F2739">
        <f>IFERROR(VLOOKUP(B2739,'Pre-Summary'!$AL$6:$AQ$13,6,FALSE),F2738)</f>
        <v>5.9405263157894746E-2</v>
      </c>
      <c r="G2739" t="str">
        <f>IFERROR(VLOOKUP(B2739,'Pre-Summary'!$AE$6:$AJ$85,3,FALSE),"")</f>
        <v/>
      </c>
      <c r="H2739" t="str">
        <f>IFERROR(VLOOKUP(B2739,'Pre-Summary'!$AE$6:$AJ$85,4,FALSE),"")</f>
        <v/>
      </c>
      <c r="I2739" t="str">
        <f>IFERROR(VLOOKUP(B2739,'Pre-Summary'!$AE$6:$AJ$85,5,FALSE),"")</f>
        <v/>
      </c>
      <c r="J2739" s="45" t="str">
        <f>IFERROR(VLOOKUP(B2739,'Pre-Summary'!$AE$6:$AJ$85,6, FALSE),"")</f>
        <v/>
      </c>
      <c r="K2739" s="45" t="str">
        <f>IFERROR(VLOOKUP(B2739,'Pre-Summary'!$DE$6:$DG$61,3,FALSE),"")</f>
        <v/>
      </c>
      <c r="L2739" s="45" t="str">
        <f>IFERROR(VLOOKUP(B2739,'Pre-Summary'!$CU$6:$CW$36,3,FALSE),"")</f>
        <v/>
      </c>
      <c r="M2739" s="45" t="str">
        <f>IFERROR(VLOOKUP(B2739,'Pre-Summary'!$BW$6:$BY$58,2,FALSE),"")</f>
        <v/>
      </c>
      <c r="N2739" s="45" t="str">
        <f>IFERROR(VLOOKUP(B2739,'Pre-Summary'!$CD$6:$CF$64,2,FALSE),"")</f>
        <v/>
      </c>
      <c r="O2739" s="99">
        <f>IFERROR(VLOOKUP(B2739,'Pre-Summary'!$BO$6:$BQ$48,3, FALSE),O2738)</f>
        <v>2.1030000000000002</v>
      </c>
      <c r="P2739" s="99">
        <f>IFERROR(VLOOKUP(B2739,'Pre-Summary'!$BS$6:$BU$35,3,FALSE),P2738)</f>
        <v>0.53100000000000003</v>
      </c>
      <c r="Q2739" s="54">
        <f t="shared" si="126"/>
        <v>3.9604519774011302</v>
      </c>
      <c r="R2739" s="53">
        <f>IFERROR(VLOOKUP(B2739,'Pre-Summary'!$BG$6:$BM$44,7,FALSE),R2740)</f>
        <v>9.5351142367257502E-2</v>
      </c>
      <c r="S2739" s="53">
        <f>IFERROR(VLOOKUP(B2739,'Pre-Summary'!$BG$6:$BM$44,6,FALSE),S2740)</f>
        <v>0.10009321836402316</v>
      </c>
      <c r="T2739" s="45" t="str">
        <f>IFERROR(VLOOKUP(B2739,'Pre-Summary'!$Y$6:$AC$83, 3,FALSE),"")</f>
        <v/>
      </c>
      <c r="U2739" s="45" t="str">
        <f>IFERROR(VLOOKUP(B2739,'Pre-Summary'!$Y$6:$AC$83, 4,FALSE),"")</f>
        <v/>
      </c>
      <c r="V2739" t="str">
        <f>IFERROR(VLOOKUP(B2739,'Pre-Summary'!$Y$6:$AC$83, 5,FALSE),"")</f>
        <v/>
      </c>
      <c r="W2739" s="45" t="str">
        <f>IFERROR(VLOOKUP(B2739,'Pre-Summary'!$Y$6:$AD$83,6,FALSE),"")</f>
        <v/>
      </c>
      <c r="X2739" t="str">
        <f>IFERROR(VLOOKUP('Pre-Summary'!$DB$6:$DD$63,3,FALSE),"")</f>
        <v/>
      </c>
      <c r="Y2739" t="str">
        <f>IFERROR(VLOOKUP(B2739,'Pre-Summary'!$CR$6:$CT$36,3,FALSE),"")</f>
        <v/>
      </c>
      <c r="Z2739" s="45" t="str">
        <f>IFERROR(VLOOKUP(B2739,'Pre-Summary'!$BZ$6:$CB$63,2,FALSE),"")</f>
        <v/>
      </c>
      <c r="AA2739" s="45" t="str">
        <f>IFERROR(VLOOKUP(B2739,'Pre-Summary'!$CG$6:$CI$70,2,FALSE),"")</f>
        <v/>
      </c>
      <c r="AB2739" s="99">
        <f>IFERROR(VLOOKUP(B2739,'Pre-Summary'!$A$6:$P$178,9,FALSE),AB2740)</f>
        <v>0.7010379290946207</v>
      </c>
      <c r="AC2739" s="10">
        <f>IFERROR(VLOOKUP(Summary!B2739,'Pre-Summary'!$A$6:$P$184,5, FALSE)/100,AC2740)</f>
        <v>0.92607166666666674</v>
      </c>
      <c r="AD2739" s="10">
        <f>IFERROR(VLOOKUP(Summary!B2739,'Pre-Summary'!$A$6:$P$184,3, FALSE)/100,AD2740)</f>
        <v>5.4963666666666668E-2</v>
      </c>
      <c r="AE2739" s="10">
        <f>IFERROR(VLOOKUP(Summary!B2739,'Pre-Summary'!$A$6:$P$184,7, FALSE)/100,AE2740)</f>
        <v>1.8946666666666667E-2</v>
      </c>
      <c r="AF2739" s="99">
        <f t="shared" si="127"/>
        <v>3.8531615055447034E-2</v>
      </c>
      <c r="AG2739" s="99">
        <f t="shared" si="128"/>
        <v>1.3282331963246082E-2</v>
      </c>
      <c r="AH2739" s="10" t="str">
        <f>IFERROR(VLOOKUP(B2739,'Pre-Summary'!$AZ$6:$BE$65,3,FALSE),"")</f>
        <v/>
      </c>
      <c r="AI2739" s="10" t="str">
        <f>IFERROR(VLOOKUP(B2739,'Pre-Summary'!$AZ$6:$BE$65,5,FALSE),"")</f>
        <v/>
      </c>
      <c r="AJ2739" s="10" t="str">
        <f>IFERROR(VLOOKUP(B2739,'Pre-Summary'!$AZ$6:$BE$65,4,FALSE),"")</f>
        <v/>
      </c>
      <c r="AK2739" s="10" t="str">
        <f>IFERROR(VLOOKUP(B2739,'Pre-Summary'!$AZ$6:$BE$65,6,FALSE),"")</f>
        <v/>
      </c>
      <c r="AL2739" s="10" t="str">
        <f>IFERROR(VLOOKUP(B2739,'Pre-Summary'!$BG$6:$BL$44,3,FALSE),"")</f>
        <v/>
      </c>
      <c r="AM2739" s="10" t="str">
        <f>IFERROR(VLOOKUP(B2739,'Pre-Summary'!$BG$6:$BL$44,4,FALSE),"")</f>
        <v/>
      </c>
    </row>
    <row r="2740" spans="2:39" ht="15" customHeight="1" x14ac:dyDescent="0.3">
      <c r="B2740">
        <v>273.7</v>
      </c>
      <c r="C2740" t="str">
        <f>IFERROR(VLOOKUP(B2740,'Pre-Summary'!$DI$6:$DM$23,4,FALSE),"")</f>
        <v/>
      </c>
      <c r="D2740" s="10" t="str">
        <f>IFERROR(VLOOKUP(B2740,'Pre-Summary'!$AT$6:$AX$14,5,FALSE),D2739)</f>
        <v>Wolfe v3: went back to modified wolfe + EDTA and switched CuSO4 to CUCl2</v>
      </c>
      <c r="E2740" s="10" t="str">
        <f>IFERROR(VLOOKUP(B2740,'Pre-Summary'!$AT$6:$AX$15,4,FALSE),"")</f>
        <v/>
      </c>
      <c r="F2740">
        <f>IFERROR(VLOOKUP(B2740,'Pre-Summary'!$AL$6:$AQ$13,6,FALSE),F2739)</f>
        <v>5.9405263157894746E-2</v>
      </c>
      <c r="G2740" t="str">
        <f>IFERROR(VLOOKUP(B2740,'Pre-Summary'!$AE$6:$AJ$85,3,FALSE),"")</f>
        <v/>
      </c>
      <c r="H2740" t="str">
        <f>IFERROR(VLOOKUP(B2740,'Pre-Summary'!$AE$6:$AJ$85,4,FALSE),"")</f>
        <v/>
      </c>
      <c r="I2740" t="str">
        <f>IFERROR(VLOOKUP(B2740,'Pre-Summary'!$AE$6:$AJ$85,5,FALSE),"")</f>
        <v/>
      </c>
      <c r="J2740" s="45" t="str">
        <f>IFERROR(VLOOKUP(B2740,'Pre-Summary'!$AE$6:$AJ$85,6, FALSE),"")</f>
        <v/>
      </c>
      <c r="K2740" s="45" t="str">
        <f>IFERROR(VLOOKUP(B2740,'Pre-Summary'!$DE$6:$DG$61,3,FALSE),"")</f>
        <v/>
      </c>
      <c r="L2740" s="45" t="str">
        <f>IFERROR(VLOOKUP(B2740,'Pre-Summary'!$CU$6:$CW$36,3,FALSE),"")</f>
        <v/>
      </c>
      <c r="M2740" s="45" t="str">
        <f>IFERROR(VLOOKUP(B2740,'Pre-Summary'!$BW$6:$BY$58,2,FALSE),"")</f>
        <v/>
      </c>
      <c r="N2740" s="45" t="str">
        <f>IFERROR(VLOOKUP(B2740,'Pre-Summary'!$CD$6:$CF$64,2,FALSE),"")</f>
        <v/>
      </c>
      <c r="O2740" s="99">
        <f>IFERROR(VLOOKUP(B2740,'Pre-Summary'!$BO$6:$BQ$48,3, FALSE),O2739)</f>
        <v>2.1030000000000002</v>
      </c>
      <c r="P2740" s="99">
        <f>IFERROR(VLOOKUP(B2740,'Pre-Summary'!$BS$6:$BU$35,3,FALSE),P2739)</f>
        <v>0.53100000000000003</v>
      </c>
      <c r="Q2740" s="54">
        <f t="shared" si="126"/>
        <v>3.9604519774011302</v>
      </c>
      <c r="R2740" s="53">
        <f>IFERROR(VLOOKUP(B2740,'Pre-Summary'!$BG$6:$BM$44,7,FALSE),R2741)</f>
        <v>9.5351142367257502E-2</v>
      </c>
      <c r="S2740" s="53">
        <f>IFERROR(VLOOKUP(B2740,'Pre-Summary'!$BG$6:$BM$44,6,FALSE),S2741)</f>
        <v>0.10009321836402316</v>
      </c>
      <c r="T2740" s="45" t="str">
        <f>IFERROR(VLOOKUP(B2740,'Pre-Summary'!$Y$6:$AC$83, 3,FALSE),"")</f>
        <v/>
      </c>
      <c r="U2740" s="45" t="str">
        <f>IFERROR(VLOOKUP(B2740,'Pre-Summary'!$Y$6:$AC$83, 4,FALSE),"")</f>
        <v/>
      </c>
      <c r="V2740" t="str">
        <f>IFERROR(VLOOKUP(B2740,'Pre-Summary'!$Y$6:$AC$83, 5,FALSE),"")</f>
        <v/>
      </c>
      <c r="W2740" s="45" t="str">
        <f>IFERROR(VLOOKUP(B2740,'Pre-Summary'!$Y$6:$AD$83,6,FALSE),"")</f>
        <v/>
      </c>
      <c r="X2740" t="str">
        <f>IFERROR(VLOOKUP('Pre-Summary'!$DB$6:$DD$63,3,FALSE),"")</f>
        <v/>
      </c>
      <c r="Y2740" t="str">
        <f>IFERROR(VLOOKUP(B2740,'Pre-Summary'!$CR$6:$CT$36,3,FALSE),"")</f>
        <v/>
      </c>
      <c r="Z2740" s="45" t="str">
        <f>IFERROR(VLOOKUP(B2740,'Pre-Summary'!$BZ$6:$CB$63,2,FALSE),"")</f>
        <v/>
      </c>
      <c r="AA2740" s="45" t="str">
        <f>IFERROR(VLOOKUP(B2740,'Pre-Summary'!$CG$6:$CI$70,2,FALSE),"")</f>
        <v/>
      </c>
      <c r="AB2740" s="99">
        <f>IFERROR(VLOOKUP(B2740,'Pre-Summary'!$A$6:$P$178,9,FALSE),AB2741)</f>
        <v>0.7010379290946207</v>
      </c>
      <c r="AC2740" s="10">
        <f>IFERROR(VLOOKUP(Summary!B2740,'Pre-Summary'!$A$6:$P$184,5, FALSE)/100,AC2741)</f>
        <v>0.92607166666666674</v>
      </c>
      <c r="AD2740" s="10">
        <f>IFERROR(VLOOKUP(Summary!B2740,'Pre-Summary'!$A$6:$P$184,3, FALSE)/100,AD2741)</f>
        <v>5.4963666666666668E-2</v>
      </c>
      <c r="AE2740" s="10">
        <f>IFERROR(VLOOKUP(Summary!B2740,'Pre-Summary'!$A$6:$P$184,7, FALSE)/100,AE2741)</f>
        <v>1.8946666666666667E-2</v>
      </c>
      <c r="AF2740" s="99">
        <f t="shared" si="127"/>
        <v>3.8531615055447034E-2</v>
      </c>
      <c r="AG2740" s="99">
        <f t="shared" si="128"/>
        <v>1.3282331963246082E-2</v>
      </c>
      <c r="AH2740" s="10" t="str">
        <f>IFERROR(VLOOKUP(B2740,'Pre-Summary'!$AZ$6:$BE$65,3,FALSE),"")</f>
        <v/>
      </c>
      <c r="AI2740" s="10" t="str">
        <f>IFERROR(VLOOKUP(B2740,'Pre-Summary'!$AZ$6:$BE$65,5,FALSE),"")</f>
        <v/>
      </c>
      <c r="AJ2740" s="10" t="str">
        <f>IFERROR(VLOOKUP(B2740,'Pre-Summary'!$AZ$6:$BE$65,4,FALSE),"")</f>
        <v/>
      </c>
      <c r="AK2740" s="10" t="str">
        <f>IFERROR(VLOOKUP(B2740,'Pre-Summary'!$AZ$6:$BE$65,6,FALSE),"")</f>
        <v/>
      </c>
      <c r="AL2740" s="10" t="str">
        <f>IFERROR(VLOOKUP(B2740,'Pre-Summary'!$BG$6:$BL$44,3,FALSE),"")</f>
        <v/>
      </c>
      <c r="AM2740" s="10" t="str">
        <f>IFERROR(VLOOKUP(B2740,'Pre-Summary'!$BG$6:$BL$44,4,FALSE),"")</f>
        <v/>
      </c>
    </row>
    <row r="2741" spans="2:39" ht="15" customHeight="1" x14ac:dyDescent="0.3">
      <c r="B2741">
        <v>273.8</v>
      </c>
      <c r="C2741" t="str">
        <f>IFERROR(VLOOKUP(B2741,'Pre-Summary'!$DI$6:$DM$23,4,FALSE),"")</f>
        <v/>
      </c>
      <c r="D2741" s="10" t="str">
        <f>IFERROR(VLOOKUP(B2741,'Pre-Summary'!$AT$6:$AX$14,5,FALSE),D2740)</f>
        <v>Wolfe v3: went back to modified wolfe + EDTA and switched CuSO4 to CUCl2</v>
      </c>
      <c r="E2741" s="10" t="str">
        <f>IFERROR(VLOOKUP(B2741,'Pre-Summary'!$AT$6:$AX$15,4,FALSE),"")</f>
        <v/>
      </c>
      <c r="F2741">
        <f>IFERROR(VLOOKUP(B2741,'Pre-Summary'!$AL$6:$AQ$13,6,FALSE),F2740)</f>
        <v>5.9405263157894746E-2</v>
      </c>
      <c r="G2741" t="str">
        <f>IFERROR(VLOOKUP(B2741,'Pre-Summary'!$AE$6:$AJ$85,3,FALSE),"")</f>
        <v/>
      </c>
      <c r="H2741" t="str">
        <f>IFERROR(VLOOKUP(B2741,'Pre-Summary'!$AE$6:$AJ$85,4,FALSE),"")</f>
        <v/>
      </c>
      <c r="I2741" t="str">
        <f>IFERROR(VLOOKUP(B2741,'Pre-Summary'!$AE$6:$AJ$85,5,FALSE),"")</f>
        <v/>
      </c>
      <c r="J2741" s="45" t="str">
        <f>IFERROR(VLOOKUP(B2741,'Pre-Summary'!$AE$6:$AJ$85,6, FALSE),"")</f>
        <v/>
      </c>
      <c r="K2741" s="45" t="str">
        <f>IFERROR(VLOOKUP(B2741,'Pre-Summary'!$DE$6:$DG$61,3,FALSE),"")</f>
        <v/>
      </c>
      <c r="L2741" s="45" t="str">
        <f>IFERROR(VLOOKUP(B2741,'Pre-Summary'!$CU$6:$CW$36,3,FALSE),"")</f>
        <v/>
      </c>
      <c r="M2741" s="45" t="str">
        <f>IFERROR(VLOOKUP(B2741,'Pre-Summary'!$BW$6:$BY$58,2,FALSE),"")</f>
        <v/>
      </c>
      <c r="N2741" s="45" t="str">
        <f>IFERROR(VLOOKUP(B2741,'Pre-Summary'!$CD$6:$CF$64,2,FALSE),"")</f>
        <v/>
      </c>
      <c r="O2741" s="99">
        <f>IFERROR(VLOOKUP(B2741,'Pre-Summary'!$BO$6:$BQ$48,3, FALSE),O2740)</f>
        <v>2.1030000000000002</v>
      </c>
      <c r="P2741" s="99">
        <f>IFERROR(VLOOKUP(B2741,'Pre-Summary'!$BS$6:$BU$35,3,FALSE),P2740)</f>
        <v>0.53100000000000003</v>
      </c>
      <c r="Q2741" s="54">
        <f t="shared" si="126"/>
        <v>3.9604519774011302</v>
      </c>
      <c r="R2741" s="53">
        <f>IFERROR(VLOOKUP(B2741,'Pre-Summary'!$BG$6:$BM$44,7,FALSE),R2742)</f>
        <v>9.5351142367257502E-2</v>
      </c>
      <c r="S2741" s="53">
        <f>IFERROR(VLOOKUP(B2741,'Pre-Summary'!$BG$6:$BM$44,6,FALSE),S2742)</f>
        <v>0.10009321836402316</v>
      </c>
      <c r="T2741" s="45" t="str">
        <f>IFERROR(VLOOKUP(B2741,'Pre-Summary'!$Y$6:$AC$83, 3,FALSE),"")</f>
        <v/>
      </c>
      <c r="U2741" s="45" t="str">
        <f>IFERROR(VLOOKUP(B2741,'Pre-Summary'!$Y$6:$AC$83, 4,FALSE),"")</f>
        <v/>
      </c>
      <c r="V2741" t="str">
        <f>IFERROR(VLOOKUP(B2741,'Pre-Summary'!$Y$6:$AC$83, 5,FALSE),"")</f>
        <v/>
      </c>
      <c r="W2741" s="45" t="str">
        <f>IFERROR(VLOOKUP(B2741,'Pre-Summary'!$Y$6:$AD$83,6,FALSE),"")</f>
        <v/>
      </c>
      <c r="X2741" t="str">
        <f>IFERROR(VLOOKUP('Pre-Summary'!$DB$6:$DD$63,3,FALSE),"")</f>
        <v/>
      </c>
      <c r="Y2741" t="str">
        <f>IFERROR(VLOOKUP(B2741,'Pre-Summary'!$CR$6:$CT$36,3,FALSE),"")</f>
        <v/>
      </c>
      <c r="Z2741" s="45" t="str">
        <f>IFERROR(VLOOKUP(B2741,'Pre-Summary'!$BZ$6:$CB$63,2,FALSE),"")</f>
        <v/>
      </c>
      <c r="AA2741" s="45" t="str">
        <f>IFERROR(VLOOKUP(B2741,'Pre-Summary'!$CG$6:$CI$70,2,FALSE),"")</f>
        <v/>
      </c>
      <c r="AB2741" s="99">
        <f>IFERROR(VLOOKUP(B2741,'Pre-Summary'!$A$6:$P$178,9,FALSE),AB2742)</f>
        <v>0.7010379290946207</v>
      </c>
      <c r="AC2741" s="10">
        <f>IFERROR(VLOOKUP(Summary!B2741,'Pre-Summary'!$A$6:$P$184,5, FALSE)/100,AC2742)</f>
        <v>0.92607166666666674</v>
      </c>
      <c r="AD2741" s="10">
        <f>IFERROR(VLOOKUP(Summary!B2741,'Pre-Summary'!$A$6:$P$184,3, FALSE)/100,AD2742)</f>
        <v>5.4963666666666668E-2</v>
      </c>
      <c r="AE2741" s="10">
        <f>IFERROR(VLOOKUP(Summary!B2741,'Pre-Summary'!$A$6:$P$184,7, FALSE)/100,AE2742)</f>
        <v>1.8946666666666667E-2</v>
      </c>
      <c r="AF2741" s="99">
        <f t="shared" si="127"/>
        <v>3.8531615055447034E-2</v>
      </c>
      <c r="AG2741" s="99">
        <f t="shared" si="128"/>
        <v>1.3282331963246082E-2</v>
      </c>
      <c r="AH2741" s="10" t="str">
        <f>IFERROR(VLOOKUP(B2741,'Pre-Summary'!$AZ$6:$BE$65,3,FALSE),"")</f>
        <v/>
      </c>
      <c r="AI2741" s="10" t="str">
        <f>IFERROR(VLOOKUP(B2741,'Pre-Summary'!$AZ$6:$BE$65,5,FALSE),"")</f>
        <v/>
      </c>
      <c r="AJ2741" s="10" t="str">
        <f>IFERROR(VLOOKUP(B2741,'Pre-Summary'!$AZ$6:$BE$65,4,FALSE),"")</f>
        <v/>
      </c>
      <c r="AK2741" s="10" t="str">
        <f>IFERROR(VLOOKUP(B2741,'Pre-Summary'!$AZ$6:$BE$65,6,FALSE),"")</f>
        <v/>
      </c>
      <c r="AL2741" s="10" t="str">
        <f>IFERROR(VLOOKUP(B2741,'Pre-Summary'!$BG$6:$BL$44,3,FALSE),"")</f>
        <v/>
      </c>
      <c r="AM2741" s="10" t="str">
        <f>IFERROR(VLOOKUP(B2741,'Pre-Summary'!$BG$6:$BL$44,4,FALSE),"")</f>
        <v/>
      </c>
    </row>
    <row r="2742" spans="2:39" ht="15" customHeight="1" x14ac:dyDescent="0.3">
      <c r="B2742">
        <v>273.89999999999998</v>
      </c>
      <c r="C2742" t="str">
        <f>IFERROR(VLOOKUP(B2742,'Pre-Summary'!$DI$6:$DM$23,4,FALSE),"")</f>
        <v/>
      </c>
      <c r="D2742" s="10" t="str">
        <f>IFERROR(VLOOKUP(B2742,'Pre-Summary'!$AT$6:$AX$14,5,FALSE),D2741)</f>
        <v>Wolfe v3: went back to modified wolfe + EDTA and switched CuSO4 to CUCl2</v>
      </c>
      <c r="E2742" s="10" t="str">
        <f>IFERROR(VLOOKUP(B2742,'Pre-Summary'!$AT$6:$AX$15,4,FALSE),"")</f>
        <v/>
      </c>
      <c r="F2742">
        <f>IFERROR(VLOOKUP(B2742,'Pre-Summary'!$AL$6:$AQ$13,6,FALSE),F2741)</f>
        <v>5.9405263157894746E-2</v>
      </c>
      <c r="G2742" t="str">
        <f>IFERROR(VLOOKUP(B2742,'Pre-Summary'!$AE$6:$AJ$85,3,FALSE),"")</f>
        <v/>
      </c>
      <c r="H2742" t="str">
        <f>IFERROR(VLOOKUP(B2742,'Pre-Summary'!$AE$6:$AJ$85,4,FALSE),"")</f>
        <v/>
      </c>
      <c r="I2742" t="str">
        <f>IFERROR(VLOOKUP(B2742,'Pre-Summary'!$AE$6:$AJ$85,5,FALSE),"")</f>
        <v/>
      </c>
      <c r="J2742" s="45" t="str">
        <f>IFERROR(VLOOKUP(B2742,'Pre-Summary'!$AE$6:$AJ$85,6, FALSE),"")</f>
        <v/>
      </c>
      <c r="K2742" s="45" t="str">
        <f>IFERROR(VLOOKUP(B2742,'Pre-Summary'!$DE$6:$DG$61,3,FALSE),"")</f>
        <v/>
      </c>
      <c r="L2742" s="45" t="str">
        <f>IFERROR(VLOOKUP(B2742,'Pre-Summary'!$CU$6:$CW$36,3,FALSE),"")</f>
        <v/>
      </c>
      <c r="M2742" s="45" t="str">
        <f>IFERROR(VLOOKUP(B2742,'Pre-Summary'!$BW$6:$BY$58,2,FALSE),"")</f>
        <v/>
      </c>
      <c r="N2742" s="45" t="str">
        <f>IFERROR(VLOOKUP(B2742,'Pre-Summary'!$CD$6:$CF$64,2,FALSE),"")</f>
        <v/>
      </c>
      <c r="O2742" s="99">
        <f>IFERROR(VLOOKUP(B2742,'Pre-Summary'!$BO$6:$BQ$48,3, FALSE),O2741)</f>
        <v>2.1030000000000002</v>
      </c>
      <c r="P2742" s="99">
        <f>IFERROR(VLOOKUP(B2742,'Pre-Summary'!$BS$6:$BU$35,3,FALSE),P2741)</f>
        <v>0.53100000000000003</v>
      </c>
      <c r="Q2742" s="54">
        <f t="shared" si="126"/>
        <v>3.9604519774011302</v>
      </c>
      <c r="R2742" s="53">
        <f>IFERROR(VLOOKUP(B2742,'Pre-Summary'!$BG$6:$BM$44,7,FALSE),R2743)</f>
        <v>9.5351142367257502E-2</v>
      </c>
      <c r="S2742" s="53">
        <f>IFERROR(VLOOKUP(B2742,'Pre-Summary'!$BG$6:$BM$44,6,FALSE),S2743)</f>
        <v>0.10009321836402316</v>
      </c>
      <c r="T2742" s="45" t="str">
        <f>IFERROR(VLOOKUP(B2742,'Pre-Summary'!$Y$6:$AC$83, 3,FALSE),"")</f>
        <v/>
      </c>
      <c r="U2742" s="45" t="str">
        <f>IFERROR(VLOOKUP(B2742,'Pre-Summary'!$Y$6:$AC$83, 4,FALSE),"")</f>
        <v/>
      </c>
      <c r="V2742" t="str">
        <f>IFERROR(VLOOKUP(B2742,'Pre-Summary'!$Y$6:$AC$83, 5,FALSE),"")</f>
        <v/>
      </c>
      <c r="W2742" s="45" t="str">
        <f>IFERROR(VLOOKUP(B2742,'Pre-Summary'!$Y$6:$AD$83,6,FALSE),"")</f>
        <v/>
      </c>
      <c r="X2742" t="str">
        <f>IFERROR(VLOOKUP('Pre-Summary'!$DB$6:$DD$63,3,FALSE),"")</f>
        <v/>
      </c>
      <c r="Y2742" t="str">
        <f>IFERROR(VLOOKUP(B2742,'Pre-Summary'!$CR$6:$CT$36,3,FALSE),"")</f>
        <v/>
      </c>
      <c r="Z2742" s="45" t="str">
        <f>IFERROR(VLOOKUP(B2742,'Pre-Summary'!$BZ$6:$CB$63,2,FALSE),"")</f>
        <v/>
      </c>
      <c r="AA2742" s="45" t="str">
        <f>IFERROR(VLOOKUP(B2742,'Pre-Summary'!$CG$6:$CI$70,2,FALSE),"")</f>
        <v/>
      </c>
      <c r="AB2742" s="99">
        <f>IFERROR(VLOOKUP(B2742,'Pre-Summary'!$A$6:$P$178,9,FALSE),AB2743)</f>
        <v>0.7010379290946207</v>
      </c>
      <c r="AC2742" s="10">
        <f>IFERROR(VLOOKUP(Summary!B2742,'Pre-Summary'!$A$6:$P$184,5, FALSE)/100,AC2743)</f>
        <v>0.92607166666666674</v>
      </c>
      <c r="AD2742" s="10">
        <f>IFERROR(VLOOKUP(Summary!B2742,'Pre-Summary'!$A$6:$P$184,3, FALSE)/100,AD2743)</f>
        <v>5.4963666666666668E-2</v>
      </c>
      <c r="AE2742" s="10">
        <f>IFERROR(VLOOKUP(Summary!B2742,'Pre-Summary'!$A$6:$P$184,7, FALSE)/100,AE2743)</f>
        <v>1.8946666666666667E-2</v>
      </c>
      <c r="AF2742" s="99">
        <f t="shared" si="127"/>
        <v>3.8531615055447034E-2</v>
      </c>
      <c r="AG2742" s="99">
        <f t="shared" si="128"/>
        <v>1.3282331963246082E-2</v>
      </c>
      <c r="AH2742" s="10" t="str">
        <f>IFERROR(VLOOKUP(B2742,'Pre-Summary'!$AZ$6:$BE$65,3,FALSE),"")</f>
        <v/>
      </c>
      <c r="AI2742" s="10" t="str">
        <f>IFERROR(VLOOKUP(B2742,'Pre-Summary'!$AZ$6:$BE$65,5,FALSE),"")</f>
        <v/>
      </c>
      <c r="AJ2742" s="10" t="str">
        <f>IFERROR(VLOOKUP(B2742,'Pre-Summary'!$AZ$6:$BE$65,4,FALSE),"")</f>
        <v/>
      </c>
      <c r="AK2742" s="10" t="str">
        <f>IFERROR(VLOOKUP(B2742,'Pre-Summary'!$AZ$6:$BE$65,6,FALSE),"")</f>
        <v/>
      </c>
      <c r="AL2742" s="10" t="str">
        <f>IFERROR(VLOOKUP(B2742,'Pre-Summary'!$BG$6:$BL$44,3,FALSE),"")</f>
        <v/>
      </c>
      <c r="AM2742" s="10" t="str">
        <f>IFERROR(VLOOKUP(B2742,'Pre-Summary'!$BG$6:$BL$44,4,FALSE),"")</f>
        <v/>
      </c>
    </row>
    <row r="2743" spans="2:39" ht="15" customHeight="1" x14ac:dyDescent="0.3">
      <c r="B2743">
        <v>274</v>
      </c>
      <c r="C2743" t="str">
        <f>IFERROR(VLOOKUP(B2743,'Pre-Summary'!$DI$6:$DM$23,4,FALSE),"")</f>
        <v/>
      </c>
      <c r="D2743" s="10" t="str">
        <f>IFERROR(VLOOKUP(B2743,'Pre-Summary'!$AT$6:$AX$14,5,FALSE),D2742)</f>
        <v>Wolfe v3: went back to modified wolfe + EDTA and switched CuSO4 to CUCl2</v>
      </c>
      <c r="E2743" s="10" t="str">
        <f>IFERROR(VLOOKUP(B2743,'Pre-Summary'!$AT$6:$AX$15,4,FALSE),"")</f>
        <v/>
      </c>
      <c r="F2743">
        <f>IFERROR(VLOOKUP(B2743,'Pre-Summary'!$AL$6:$AQ$13,6,FALSE),F2742)</f>
        <v>5.9405263157894746E-2</v>
      </c>
      <c r="G2743" t="str">
        <f>IFERROR(VLOOKUP(B2743,'Pre-Summary'!$AE$6:$AJ$85,3,FALSE),"")</f>
        <v/>
      </c>
      <c r="H2743" t="str">
        <f>IFERROR(VLOOKUP(B2743,'Pre-Summary'!$AE$6:$AJ$85,4,FALSE),"")</f>
        <v/>
      </c>
      <c r="I2743" t="str">
        <f>IFERROR(VLOOKUP(B2743,'Pre-Summary'!$AE$6:$AJ$85,5,FALSE),"")</f>
        <v/>
      </c>
      <c r="J2743" s="45" t="str">
        <f>IFERROR(VLOOKUP(B2743,'Pre-Summary'!$AE$6:$AJ$85,6, FALSE),"")</f>
        <v/>
      </c>
      <c r="K2743" s="45" t="str">
        <f>IFERROR(VLOOKUP(B2743,'Pre-Summary'!$DE$6:$DG$61,3,FALSE),"")</f>
        <v/>
      </c>
      <c r="L2743" s="45" t="str">
        <f>IFERROR(VLOOKUP(B2743,'Pre-Summary'!$CU$6:$CW$36,3,FALSE),"")</f>
        <v/>
      </c>
      <c r="M2743" s="45" t="str">
        <f>IFERROR(VLOOKUP(B2743,'Pre-Summary'!$BW$6:$BY$58,2,FALSE),"")</f>
        <v/>
      </c>
      <c r="N2743" s="45" t="str">
        <f>IFERROR(VLOOKUP(B2743,'Pre-Summary'!$CD$6:$CF$64,2,FALSE),"")</f>
        <v/>
      </c>
      <c r="O2743" s="99">
        <f>IFERROR(VLOOKUP(B2743,'Pre-Summary'!$BO$6:$BQ$48,3, FALSE),O2742)</f>
        <v>2.1030000000000002</v>
      </c>
      <c r="P2743" s="99">
        <f>IFERROR(VLOOKUP(B2743,'Pre-Summary'!$BS$6:$BU$35,3,FALSE),P2742)</f>
        <v>0.53100000000000003</v>
      </c>
      <c r="Q2743" s="54">
        <f t="shared" si="126"/>
        <v>3.9604519774011302</v>
      </c>
      <c r="R2743" s="53">
        <f>IFERROR(VLOOKUP(B2743,'Pre-Summary'!$BG$6:$BM$44,7,FALSE),R2744)</f>
        <v>9.5351142367257502E-2</v>
      </c>
      <c r="S2743" s="53">
        <f>IFERROR(VLOOKUP(B2743,'Pre-Summary'!$BG$6:$BM$44,6,FALSE),S2744)</f>
        <v>0.10009321836402316</v>
      </c>
      <c r="T2743" s="45" t="str">
        <f>IFERROR(VLOOKUP(B2743,'Pre-Summary'!$Y$6:$AC$83, 3,FALSE),"")</f>
        <v/>
      </c>
      <c r="U2743" s="45" t="str">
        <f>IFERROR(VLOOKUP(B2743,'Pre-Summary'!$Y$6:$AC$83, 4,FALSE),"")</f>
        <v/>
      </c>
      <c r="V2743" t="str">
        <f>IFERROR(VLOOKUP(B2743,'Pre-Summary'!$Y$6:$AC$83, 5,FALSE),"")</f>
        <v/>
      </c>
      <c r="W2743" s="45" t="str">
        <f>IFERROR(VLOOKUP(B2743,'Pre-Summary'!$Y$6:$AD$83,6,FALSE),"")</f>
        <v/>
      </c>
      <c r="X2743" t="str">
        <f>IFERROR(VLOOKUP('Pre-Summary'!$DB$6:$DD$63,3,FALSE),"")</f>
        <v/>
      </c>
      <c r="Y2743" t="str">
        <f>IFERROR(VLOOKUP(B2743,'Pre-Summary'!$CR$6:$CT$36,3,FALSE),"")</f>
        <v/>
      </c>
      <c r="Z2743" s="45" t="str">
        <f>IFERROR(VLOOKUP(B2743,'Pre-Summary'!$BZ$6:$CB$63,2,FALSE),"")</f>
        <v/>
      </c>
      <c r="AA2743" s="45" t="str">
        <f>IFERROR(VLOOKUP(B2743,'Pre-Summary'!$CG$6:$CI$70,2,FALSE),"")</f>
        <v/>
      </c>
      <c r="AB2743" s="99">
        <f>IFERROR(VLOOKUP(B2743,'Pre-Summary'!$A$6:$P$178,9,FALSE),AB2744)</f>
        <v>0.7010379290946207</v>
      </c>
      <c r="AC2743" s="10">
        <f>IFERROR(VLOOKUP(Summary!B2743,'Pre-Summary'!$A$6:$P$184,5, FALSE)/100,AC2744)</f>
        <v>0.92607166666666674</v>
      </c>
      <c r="AD2743" s="10">
        <f>IFERROR(VLOOKUP(Summary!B2743,'Pre-Summary'!$A$6:$P$184,3, FALSE)/100,AD2744)</f>
        <v>5.4963666666666668E-2</v>
      </c>
      <c r="AE2743" s="10">
        <f>IFERROR(VLOOKUP(Summary!B2743,'Pre-Summary'!$A$6:$P$184,7, FALSE)/100,AE2744)</f>
        <v>1.8946666666666667E-2</v>
      </c>
      <c r="AF2743" s="99">
        <f t="shared" si="127"/>
        <v>3.8531615055447034E-2</v>
      </c>
      <c r="AG2743" s="99">
        <f t="shared" si="128"/>
        <v>1.3282331963246082E-2</v>
      </c>
      <c r="AH2743" s="10" t="str">
        <f>IFERROR(VLOOKUP(B2743,'Pre-Summary'!$AZ$6:$BE$65,3,FALSE),"")</f>
        <v/>
      </c>
      <c r="AI2743" s="10" t="str">
        <f>IFERROR(VLOOKUP(B2743,'Pre-Summary'!$AZ$6:$BE$65,5,FALSE),"")</f>
        <v/>
      </c>
      <c r="AJ2743" s="10" t="str">
        <f>IFERROR(VLOOKUP(B2743,'Pre-Summary'!$AZ$6:$BE$65,4,FALSE),"")</f>
        <v/>
      </c>
      <c r="AK2743" s="10" t="str">
        <f>IFERROR(VLOOKUP(B2743,'Pre-Summary'!$AZ$6:$BE$65,6,FALSE),"")</f>
        <v/>
      </c>
      <c r="AL2743" s="10" t="str">
        <f>IFERROR(VLOOKUP(B2743,'Pre-Summary'!$BG$6:$BL$44,3,FALSE),"")</f>
        <v/>
      </c>
      <c r="AM2743" s="10" t="str">
        <f>IFERROR(VLOOKUP(B2743,'Pre-Summary'!$BG$6:$BL$44,4,FALSE),"")</f>
        <v/>
      </c>
    </row>
    <row r="2744" spans="2:39" ht="15" customHeight="1" x14ac:dyDescent="0.3">
      <c r="B2744">
        <v>274.10000000000002</v>
      </c>
      <c r="C2744" t="str">
        <f>IFERROR(VLOOKUP(B2744,'Pre-Summary'!$DI$6:$DM$23,4,FALSE),"")</f>
        <v/>
      </c>
      <c r="D2744" s="10" t="str">
        <f>IFERROR(VLOOKUP(B2744,'Pre-Summary'!$AT$6:$AX$14,5,FALSE),D2743)</f>
        <v>Wolfe v3: went back to modified wolfe + EDTA and switched CuSO4 to CUCl2</v>
      </c>
      <c r="E2744" s="10" t="str">
        <f>IFERROR(VLOOKUP(B2744,'Pre-Summary'!$AT$6:$AX$15,4,FALSE),"")</f>
        <v/>
      </c>
      <c r="F2744">
        <f>IFERROR(VLOOKUP(B2744,'Pre-Summary'!$AL$6:$AQ$13,6,FALSE),F2743)</f>
        <v>5.9405263157894746E-2</v>
      </c>
      <c r="G2744" t="str">
        <f>IFERROR(VLOOKUP(B2744,'Pre-Summary'!$AE$6:$AJ$85,3,FALSE),"")</f>
        <v/>
      </c>
      <c r="H2744" t="str">
        <f>IFERROR(VLOOKUP(B2744,'Pre-Summary'!$AE$6:$AJ$85,4,FALSE),"")</f>
        <v/>
      </c>
      <c r="I2744" t="str">
        <f>IFERROR(VLOOKUP(B2744,'Pre-Summary'!$AE$6:$AJ$85,5,FALSE),"")</f>
        <v/>
      </c>
      <c r="J2744" s="45" t="str">
        <f>IFERROR(VLOOKUP(B2744,'Pre-Summary'!$AE$6:$AJ$85,6, FALSE),"")</f>
        <v/>
      </c>
      <c r="K2744" s="45" t="str">
        <f>IFERROR(VLOOKUP(B2744,'Pre-Summary'!$DE$6:$DG$61,3,FALSE),"")</f>
        <v/>
      </c>
      <c r="L2744" s="45" t="str">
        <f>IFERROR(VLOOKUP(B2744,'Pre-Summary'!$CU$6:$CW$36,3,FALSE),"")</f>
        <v/>
      </c>
      <c r="M2744" s="45" t="str">
        <f>IFERROR(VLOOKUP(B2744,'Pre-Summary'!$BW$6:$BY$58,2,FALSE),"")</f>
        <v/>
      </c>
      <c r="N2744" s="45" t="str">
        <f>IFERROR(VLOOKUP(B2744,'Pre-Summary'!$CD$6:$CF$64,2,FALSE),"")</f>
        <v/>
      </c>
      <c r="O2744" s="99">
        <f>IFERROR(VLOOKUP(B2744,'Pre-Summary'!$BO$6:$BQ$48,3, FALSE),O2743)</f>
        <v>2.1030000000000002</v>
      </c>
      <c r="P2744" s="99">
        <f>IFERROR(VLOOKUP(B2744,'Pre-Summary'!$BS$6:$BU$35,3,FALSE),P2743)</f>
        <v>0.53100000000000003</v>
      </c>
      <c r="Q2744" s="54">
        <f t="shared" si="126"/>
        <v>3.9604519774011302</v>
      </c>
      <c r="R2744" s="53">
        <f>IFERROR(VLOOKUP(B2744,'Pre-Summary'!$BG$6:$BM$44,7,FALSE),R2745)</f>
        <v>9.5351142367257502E-2</v>
      </c>
      <c r="S2744" s="53">
        <f>IFERROR(VLOOKUP(B2744,'Pre-Summary'!$BG$6:$BM$44,6,FALSE),S2745)</f>
        <v>0.10009321836402316</v>
      </c>
      <c r="T2744" s="45" t="str">
        <f>IFERROR(VLOOKUP(B2744,'Pre-Summary'!$Y$6:$AC$83, 3,FALSE),"")</f>
        <v/>
      </c>
      <c r="U2744" s="45" t="str">
        <f>IFERROR(VLOOKUP(B2744,'Pre-Summary'!$Y$6:$AC$83, 4,FALSE),"")</f>
        <v/>
      </c>
      <c r="V2744" t="str">
        <f>IFERROR(VLOOKUP(B2744,'Pre-Summary'!$Y$6:$AC$83, 5,FALSE),"")</f>
        <v/>
      </c>
      <c r="W2744" s="45" t="str">
        <f>IFERROR(VLOOKUP(B2744,'Pre-Summary'!$Y$6:$AD$83,6,FALSE),"")</f>
        <v/>
      </c>
      <c r="X2744" t="str">
        <f>IFERROR(VLOOKUP('Pre-Summary'!$DB$6:$DD$63,3,FALSE),"")</f>
        <v/>
      </c>
      <c r="Y2744" t="str">
        <f>IFERROR(VLOOKUP(B2744,'Pre-Summary'!$CR$6:$CT$36,3,FALSE),"")</f>
        <v/>
      </c>
      <c r="Z2744" s="45" t="str">
        <f>IFERROR(VLOOKUP(B2744,'Pre-Summary'!$BZ$6:$CB$63,2,FALSE),"")</f>
        <v/>
      </c>
      <c r="AA2744" s="45" t="str">
        <f>IFERROR(VLOOKUP(B2744,'Pre-Summary'!$CG$6:$CI$70,2,FALSE),"")</f>
        <v/>
      </c>
      <c r="AB2744" s="99">
        <f>IFERROR(VLOOKUP(B2744,'Pre-Summary'!$A$6:$P$178,9,FALSE),AB2745)</f>
        <v>0.7010379290946207</v>
      </c>
      <c r="AC2744" s="10">
        <f>IFERROR(VLOOKUP(Summary!B2744,'Pre-Summary'!$A$6:$P$184,5, FALSE)/100,AC2745)</f>
        <v>0.92607166666666674</v>
      </c>
      <c r="AD2744" s="10">
        <f>IFERROR(VLOOKUP(Summary!B2744,'Pre-Summary'!$A$6:$P$184,3, FALSE)/100,AD2745)</f>
        <v>5.4963666666666668E-2</v>
      </c>
      <c r="AE2744" s="10">
        <f>IFERROR(VLOOKUP(Summary!B2744,'Pre-Summary'!$A$6:$P$184,7, FALSE)/100,AE2745)</f>
        <v>1.8946666666666667E-2</v>
      </c>
      <c r="AF2744" s="99">
        <f t="shared" si="127"/>
        <v>3.8531615055447034E-2</v>
      </c>
      <c r="AG2744" s="99">
        <f t="shared" si="128"/>
        <v>1.3282331963246082E-2</v>
      </c>
      <c r="AH2744" s="10" t="str">
        <f>IFERROR(VLOOKUP(B2744,'Pre-Summary'!$AZ$6:$BE$65,3,FALSE),"")</f>
        <v/>
      </c>
      <c r="AI2744" s="10" t="str">
        <f>IFERROR(VLOOKUP(B2744,'Pre-Summary'!$AZ$6:$BE$65,5,FALSE),"")</f>
        <v/>
      </c>
      <c r="AJ2744" s="10" t="str">
        <f>IFERROR(VLOOKUP(B2744,'Pre-Summary'!$AZ$6:$BE$65,4,FALSE),"")</f>
        <v/>
      </c>
      <c r="AK2744" s="10" t="str">
        <f>IFERROR(VLOOKUP(B2744,'Pre-Summary'!$AZ$6:$BE$65,6,FALSE),"")</f>
        <v/>
      </c>
      <c r="AL2744" s="10" t="str">
        <f>IFERROR(VLOOKUP(B2744,'Pre-Summary'!$BG$6:$BL$44,3,FALSE),"")</f>
        <v/>
      </c>
      <c r="AM2744" s="10" t="str">
        <f>IFERROR(VLOOKUP(B2744,'Pre-Summary'!$BG$6:$BL$44,4,FALSE),"")</f>
        <v/>
      </c>
    </row>
    <row r="2745" spans="2:39" ht="15" customHeight="1" x14ac:dyDescent="0.3">
      <c r="B2745">
        <v>274.2</v>
      </c>
      <c r="C2745" t="str">
        <f>IFERROR(VLOOKUP(B2745,'Pre-Summary'!$DI$6:$DM$23,4,FALSE),"")</f>
        <v/>
      </c>
      <c r="D2745" s="10" t="str">
        <f>IFERROR(VLOOKUP(B2745,'Pre-Summary'!$AT$6:$AX$14,5,FALSE),D2744)</f>
        <v>Wolfe v3: went back to modified wolfe + EDTA and switched CuSO4 to CUCl2</v>
      </c>
      <c r="E2745" s="10" t="str">
        <f>IFERROR(VLOOKUP(B2745,'Pre-Summary'!$AT$6:$AX$15,4,FALSE),"")</f>
        <v/>
      </c>
      <c r="F2745">
        <f>IFERROR(VLOOKUP(B2745,'Pre-Summary'!$AL$6:$AQ$13,6,FALSE),F2744)</f>
        <v>5.9405263157894746E-2</v>
      </c>
      <c r="G2745" t="str">
        <f>IFERROR(VLOOKUP(B2745,'Pre-Summary'!$AE$6:$AJ$85,3,FALSE),"")</f>
        <v/>
      </c>
      <c r="H2745" t="str">
        <f>IFERROR(VLOOKUP(B2745,'Pre-Summary'!$AE$6:$AJ$85,4,FALSE),"")</f>
        <v/>
      </c>
      <c r="I2745" t="str">
        <f>IFERROR(VLOOKUP(B2745,'Pre-Summary'!$AE$6:$AJ$85,5,FALSE),"")</f>
        <v/>
      </c>
      <c r="J2745" s="45" t="str">
        <f>IFERROR(VLOOKUP(B2745,'Pre-Summary'!$AE$6:$AJ$85,6, FALSE),"")</f>
        <v/>
      </c>
      <c r="K2745" s="45" t="str">
        <f>IFERROR(VLOOKUP(B2745,'Pre-Summary'!$DE$6:$DG$61,3,FALSE),"")</f>
        <v/>
      </c>
      <c r="L2745" s="45" t="str">
        <f>IFERROR(VLOOKUP(B2745,'Pre-Summary'!$CU$6:$CW$36,3,FALSE),"")</f>
        <v/>
      </c>
      <c r="M2745" s="45" t="str">
        <f>IFERROR(VLOOKUP(B2745,'Pre-Summary'!$BW$6:$BY$58,2,FALSE),"")</f>
        <v/>
      </c>
      <c r="N2745" s="45" t="str">
        <f>IFERROR(VLOOKUP(B2745,'Pre-Summary'!$CD$6:$CF$64,2,FALSE),"")</f>
        <v/>
      </c>
      <c r="O2745" s="99">
        <f>IFERROR(VLOOKUP(B2745,'Pre-Summary'!$BO$6:$BQ$48,3, FALSE),O2744)</f>
        <v>2.1030000000000002</v>
      </c>
      <c r="P2745" s="99">
        <f>IFERROR(VLOOKUP(B2745,'Pre-Summary'!$BS$6:$BU$35,3,FALSE),P2744)</f>
        <v>0.53100000000000003</v>
      </c>
      <c r="Q2745" s="54">
        <f t="shared" si="126"/>
        <v>3.9604519774011302</v>
      </c>
      <c r="R2745" s="53">
        <f>IFERROR(VLOOKUP(B2745,'Pre-Summary'!$BG$6:$BM$44,7,FALSE),R2746)</f>
        <v>9.5351142367257502E-2</v>
      </c>
      <c r="S2745" s="53">
        <f>IFERROR(VLOOKUP(B2745,'Pre-Summary'!$BG$6:$BM$44,6,FALSE),S2746)</f>
        <v>0.10009321836402316</v>
      </c>
      <c r="T2745" s="45" t="str">
        <f>IFERROR(VLOOKUP(B2745,'Pre-Summary'!$Y$6:$AC$83, 3,FALSE),"")</f>
        <v/>
      </c>
      <c r="U2745" s="45" t="str">
        <f>IFERROR(VLOOKUP(B2745,'Pre-Summary'!$Y$6:$AC$83, 4,FALSE),"")</f>
        <v/>
      </c>
      <c r="V2745" t="str">
        <f>IFERROR(VLOOKUP(B2745,'Pre-Summary'!$Y$6:$AC$83, 5,FALSE),"")</f>
        <v/>
      </c>
      <c r="W2745" s="45" t="str">
        <f>IFERROR(VLOOKUP(B2745,'Pre-Summary'!$Y$6:$AD$83,6,FALSE),"")</f>
        <v/>
      </c>
      <c r="X2745" t="str">
        <f>IFERROR(VLOOKUP('Pre-Summary'!$DB$6:$DD$63,3,FALSE),"")</f>
        <v/>
      </c>
      <c r="Y2745" t="str">
        <f>IFERROR(VLOOKUP(B2745,'Pre-Summary'!$CR$6:$CT$36,3,FALSE),"")</f>
        <v/>
      </c>
      <c r="Z2745" s="45" t="str">
        <f>IFERROR(VLOOKUP(B2745,'Pre-Summary'!$BZ$6:$CB$63,2,FALSE),"")</f>
        <v/>
      </c>
      <c r="AA2745" s="45" t="str">
        <f>IFERROR(VLOOKUP(B2745,'Pre-Summary'!$CG$6:$CI$70,2,FALSE),"")</f>
        <v/>
      </c>
      <c r="AB2745" s="99">
        <f>IFERROR(VLOOKUP(B2745,'Pre-Summary'!$A$6:$P$178,9,FALSE),AB2746)</f>
        <v>0.7010379290946207</v>
      </c>
      <c r="AC2745" s="10">
        <f>IFERROR(VLOOKUP(Summary!B2745,'Pre-Summary'!$A$6:$P$184,5, FALSE)/100,AC2746)</f>
        <v>0.92607166666666674</v>
      </c>
      <c r="AD2745" s="10">
        <f>IFERROR(VLOOKUP(Summary!B2745,'Pre-Summary'!$A$6:$P$184,3, FALSE)/100,AD2746)</f>
        <v>5.4963666666666668E-2</v>
      </c>
      <c r="AE2745" s="10">
        <f>IFERROR(VLOOKUP(Summary!B2745,'Pre-Summary'!$A$6:$P$184,7, FALSE)/100,AE2746)</f>
        <v>1.8946666666666667E-2</v>
      </c>
      <c r="AF2745" s="99">
        <f t="shared" si="127"/>
        <v>3.8531615055447034E-2</v>
      </c>
      <c r="AG2745" s="99">
        <f t="shared" si="128"/>
        <v>1.3282331963246082E-2</v>
      </c>
      <c r="AH2745" s="10" t="str">
        <f>IFERROR(VLOOKUP(B2745,'Pre-Summary'!$AZ$6:$BE$65,3,FALSE),"")</f>
        <v/>
      </c>
      <c r="AI2745" s="10" t="str">
        <f>IFERROR(VLOOKUP(B2745,'Pre-Summary'!$AZ$6:$BE$65,5,FALSE),"")</f>
        <v/>
      </c>
      <c r="AJ2745" s="10" t="str">
        <f>IFERROR(VLOOKUP(B2745,'Pre-Summary'!$AZ$6:$BE$65,4,FALSE),"")</f>
        <v/>
      </c>
      <c r="AK2745" s="10" t="str">
        <f>IFERROR(VLOOKUP(B2745,'Pre-Summary'!$AZ$6:$BE$65,6,FALSE),"")</f>
        <v/>
      </c>
      <c r="AL2745" s="10" t="str">
        <f>IFERROR(VLOOKUP(B2745,'Pre-Summary'!$BG$6:$BL$44,3,FALSE),"")</f>
        <v/>
      </c>
      <c r="AM2745" s="10" t="str">
        <f>IFERROR(VLOOKUP(B2745,'Pre-Summary'!$BG$6:$BL$44,4,FALSE),"")</f>
        <v/>
      </c>
    </row>
    <row r="2746" spans="2:39" ht="15" customHeight="1" x14ac:dyDescent="0.3">
      <c r="B2746">
        <v>274.3</v>
      </c>
      <c r="C2746" t="str">
        <f>IFERROR(VLOOKUP(B2746,'Pre-Summary'!$DI$6:$DM$23,4,FALSE),"")</f>
        <v/>
      </c>
      <c r="D2746" s="10" t="str">
        <f>IFERROR(VLOOKUP(B2746,'Pre-Summary'!$AT$6:$AX$14,5,FALSE),D2745)</f>
        <v>Wolfe v3: went back to modified wolfe + EDTA and switched CuSO4 to CUCl2</v>
      </c>
      <c r="E2746" s="10" t="str">
        <f>IFERROR(VLOOKUP(B2746,'Pre-Summary'!$AT$6:$AX$15,4,FALSE),"")</f>
        <v/>
      </c>
      <c r="F2746">
        <f>IFERROR(VLOOKUP(B2746,'Pre-Summary'!$AL$6:$AQ$13,6,FALSE),F2745)</f>
        <v>5.9405263157894746E-2</v>
      </c>
      <c r="G2746" t="str">
        <f>IFERROR(VLOOKUP(B2746,'Pre-Summary'!$AE$6:$AJ$85,3,FALSE),"")</f>
        <v/>
      </c>
      <c r="H2746" t="str">
        <f>IFERROR(VLOOKUP(B2746,'Pre-Summary'!$AE$6:$AJ$85,4,FALSE),"")</f>
        <v/>
      </c>
      <c r="I2746" t="str">
        <f>IFERROR(VLOOKUP(B2746,'Pre-Summary'!$AE$6:$AJ$85,5,FALSE),"")</f>
        <v/>
      </c>
      <c r="J2746" s="45" t="str">
        <f>IFERROR(VLOOKUP(B2746,'Pre-Summary'!$AE$6:$AJ$85,6, FALSE),"")</f>
        <v/>
      </c>
      <c r="K2746" s="45" t="str">
        <f>IFERROR(VLOOKUP(B2746,'Pre-Summary'!$DE$6:$DG$61,3,FALSE),"")</f>
        <v/>
      </c>
      <c r="L2746" s="45" t="str">
        <f>IFERROR(VLOOKUP(B2746,'Pre-Summary'!$CU$6:$CW$36,3,FALSE),"")</f>
        <v/>
      </c>
      <c r="M2746" s="45" t="str">
        <f>IFERROR(VLOOKUP(B2746,'Pre-Summary'!$BW$6:$BY$58,2,FALSE),"")</f>
        <v/>
      </c>
      <c r="N2746" s="45" t="str">
        <f>IFERROR(VLOOKUP(B2746,'Pre-Summary'!$CD$6:$CF$64,2,FALSE),"")</f>
        <v/>
      </c>
      <c r="O2746" s="99">
        <f>IFERROR(VLOOKUP(B2746,'Pre-Summary'!$BO$6:$BQ$48,3, FALSE),O2745)</f>
        <v>2.1030000000000002</v>
      </c>
      <c r="P2746" s="99">
        <f>IFERROR(VLOOKUP(B2746,'Pre-Summary'!$BS$6:$BU$35,3,FALSE),P2745)</f>
        <v>0.53100000000000003</v>
      </c>
      <c r="Q2746" s="54">
        <f t="shared" si="126"/>
        <v>3.9604519774011302</v>
      </c>
      <c r="R2746" s="53">
        <f>IFERROR(VLOOKUP(B2746,'Pre-Summary'!$BG$6:$BM$44,7,FALSE),R2747)</f>
        <v>9.5351142367257502E-2</v>
      </c>
      <c r="S2746" s="53">
        <f>IFERROR(VLOOKUP(B2746,'Pre-Summary'!$BG$6:$BM$44,6,FALSE),S2747)</f>
        <v>0.10009321836402316</v>
      </c>
      <c r="T2746" s="45" t="str">
        <f>IFERROR(VLOOKUP(B2746,'Pre-Summary'!$Y$6:$AC$83, 3,FALSE),"")</f>
        <v/>
      </c>
      <c r="U2746" s="45" t="str">
        <f>IFERROR(VLOOKUP(B2746,'Pre-Summary'!$Y$6:$AC$83, 4,FALSE),"")</f>
        <v/>
      </c>
      <c r="V2746" t="str">
        <f>IFERROR(VLOOKUP(B2746,'Pre-Summary'!$Y$6:$AC$83, 5,FALSE),"")</f>
        <v/>
      </c>
      <c r="W2746" s="45" t="str">
        <f>IFERROR(VLOOKUP(B2746,'Pre-Summary'!$Y$6:$AD$83,6,FALSE),"")</f>
        <v/>
      </c>
      <c r="X2746" t="str">
        <f>IFERROR(VLOOKUP('Pre-Summary'!$DB$6:$DD$63,3,FALSE),"")</f>
        <v/>
      </c>
      <c r="Y2746" t="str">
        <f>IFERROR(VLOOKUP(B2746,'Pre-Summary'!$CR$6:$CT$36,3,FALSE),"")</f>
        <v/>
      </c>
      <c r="Z2746" s="45" t="str">
        <f>IFERROR(VLOOKUP(B2746,'Pre-Summary'!$BZ$6:$CB$63,2,FALSE),"")</f>
        <v/>
      </c>
      <c r="AA2746" s="45" t="str">
        <f>IFERROR(VLOOKUP(B2746,'Pre-Summary'!$CG$6:$CI$70,2,FALSE),"")</f>
        <v/>
      </c>
      <c r="AB2746" s="99">
        <f>IFERROR(VLOOKUP(B2746,'Pre-Summary'!$A$6:$P$178,9,FALSE),AB2747)</f>
        <v>0.7010379290946207</v>
      </c>
      <c r="AC2746" s="10">
        <f>IFERROR(VLOOKUP(Summary!B2746,'Pre-Summary'!$A$6:$P$184,5, FALSE)/100,AC2747)</f>
        <v>0.92607166666666674</v>
      </c>
      <c r="AD2746" s="10">
        <f>IFERROR(VLOOKUP(Summary!B2746,'Pre-Summary'!$A$6:$P$184,3, FALSE)/100,AD2747)</f>
        <v>5.4963666666666668E-2</v>
      </c>
      <c r="AE2746" s="10">
        <f>IFERROR(VLOOKUP(Summary!B2746,'Pre-Summary'!$A$6:$P$184,7, FALSE)/100,AE2747)</f>
        <v>1.8946666666666667E-2</v>
      </c>
      <c r="AF2746" s="99">
        <f t="shared" si="127"/>
        <v>3.8531615055447034E-2</v>
      </c>
      <c r="AG2746" s="99">
        <f t="shared" si="128"/>
        <v>1.3282331963246082E-2</v>
      </c>
      <c r="AH2746" s="10" t="str">
        <f>IFERROR(VLOOKUP(B2746,'Pre-Summary'!$AZ$6:$BE$65,3,FALSE),"")</f>
        <v/>
      </c>
      <c r="AI2746" s="10" t="str">
        <f>IFERROR(VLOOKUP(B2746,'Pre-Summary'!$AZ$6:$BE$65,5,FALSE),"")</f>
        <v/>
      </c>
      <c r="AJ2746" s="10" t="str">
        <f>IFERROR(VLOOKUP(B2746,'Pre-Summary'!$AZ$6:$BE$65,4,FALSE),"")</f>
        <v/>
      </c>
      <c r="AK2746" s="10" t="str">
        <f>IFERROR(VLOOKUP(B2746,'Pre-Summary'!$AZ$6:$BE$65,6,FALSE),"")</f>
        <v/>
      </c>
      <c r="AL2746" s="10" t="str">
        <f>IFERROR(VLOOKUP(B2746,'Pre-Summary'!$BG$6:$BL$44,3,FALSE),"")</f>
        <v/>
      </c>
      <c r="AM2746" s="10" t="str">
        <f>IFERROR(VLOOKUP(B2746,'Pre-Summary'!$BG$6:$BL$44,4,FALSE),"")</f>
        <v/>
      </c>
    </row>
    <row r="2747" spans="2:39" ht="15" customHeight="1" x14ac:dyDescent="0.3">
      <c r="B2747">
        <v>274.39999999999998</v>
      </c>
      <c r="C2747" t="str">
        <f>IFERROR(VLOOKUP(B2747,'Pre-Summary'!$DI$6:$DM$23,4,FALSE),"")</f>
        <v/>
      </c>
      <c r="D2747" s="10" t="str">
        <f>IFERROR(VLOOKUP(B2747,'Pre-Summary'!$AT$6:$AX$14,5,FALSE),D2746)</f>
        <v>Wolfe v3: went back to modified wolfe + EDTA and switched CuSO4 to CUCl2</v>
      </c>
      <c r="E2747" s="10" t="str">
        <f>IFERROR(VLOOKUP(B2747,'Pre-Summary'!$AT$6:$AX$15,4,FALSE),"")</f>
        <v/>
      </c>
      <c r="F2747">
        <f>IFERROR(VLOOKUP(B2747,'Pre-Summary'!$AL$6:$AQ$13,6,FALSE),F2746)</f>
        <v>5.9405263157894746E-2</v>
      </c>
      <c r="G2747" t="str">
        <f>IFERROR(VLOOKUP(B2747,'Pre-Summary'!$AE$6:$AJ$85,3,FALSE),"")</f>
        <v/>
      </c>
      <c r="H2747" t="str">
        <f>IFERROR(VLOOKUP(B2747,'Pre-Summary'!$AE$6:$AJ$85,4,FALSE),"")</f>
        <v/>
      </c>
      <c r="I2747" t="str">
        <f>IFERROR(VLOOKUP(B2747,'Pre-Summary'!$AE$6:$AJ$85,5,FALSE),"")</f>
        <v/>
      </c>
      <c r="J2747" s="45" t="str">
        <f>IFERROR(VLOOKUP(B2747,'Pre-Summary'!$AE$6:$AJ$85,6, FALSE),"")</f>
        <v/>
      </c>
      <c r="K2747" s="45" t="str">
        <f>IFERROR(VLOOKUP(B2747,'Pre-Summary'!$DE$6:$DG$61,3,FALSE),"")</f>
        <v/>
      </c>
      <c r="L2747" s="45" t="str">
        <f>IFERROR(VLOOKUP(B2747,'Pre-Summary'!$CU$6:$CW$36,3,FALSE),"")</f>
        <v/>
      </c>
      <c r="M2747" s="45" t="str">
        <f>IFERROR(VLOOKUP(B2747,'Pre-Summary'!$BW$6:$BY$58,2,FALSE),"")</f>
        <v/>
      </c>
      <c r="N2747" s="45" t="str">
        <f>IFERROR(VLOOKUP(B2747,'Pre-Summary'!$CD$6:$CF$64,2,FALSE),"")</f>
        <v/>
      </c>
      <c r="O2747" s="99">
        <f>IFERROR(VLOOKUP(B2747,'Pre-Summary'!$BO$6:$BQ$48,3, FALSE),O2746)</f>
        <v>2.1030000000000002</v>
      </c>
      <c r="P2747" s="99">
        <f>IFERROR(VLOOKUP(B2747,'Pre-Summary'!$BS$6:$BU$35,3,FALSE),P2746)</f>
        <v>0.53100000000000003</v>
      </c>
      <c r="Q2747" s="54">
        <f t="shared" si="126"/>
        <v>3.9604519774011302</v>
      </c>
      <c r="R2747" s="53">
        <f>IFERROR(VLOOKUP(B2747,'Pre-Summary'!$BG$6:$BM$44,7,FALSE),R2748)</f>
        <v>9.5351142367257502E-2</v>
      </c>
      <c r="S2747" s="53">
        <f>IFERROR(VLOOKUP(B2747,'Pre-Summary'!$BG$6:$BM$44,6,FALSE),S2748)</f>
        <v>0.10009321836402316</v>
      </c>
      <c r="T2747" s="45" t="str">
        <f>IFERROR(VLOOKUP(B2747,'Pre-Summary'!$Y$6:$AC$83, 3,FALSE),"")</f>
        <v/>
      </c>
      <c r="U2747" s="45" t="str">
        <f>IFERROR(VLOOKUP(B2747,'Pre-Summary'!$Y$6:$AC$83, 4,FALSE),"")</f>
        <v/>
      </c>
      <c r="V2747" t="str">
        <f>IFERROR(VLOOKUP(B2747,'Pre-Summary'!$Y$6:$AC$83, 5,FALSE),"")</f>
        <v/>
      </c>
      <c r="W2747" s="45" t="str">
        <f>IFERROR(VLOOKUP(B2747,'Pre-Summary'!$Y$6:$AD$83,6,FALSE),"")</f>
        <v/>
      </c>
      <c r="X2747" t="str">
        <f>IFERROR(VLOOKUP('Pre-Summary'!$DB$6:$DD$63,3,FALSE),"")</f>
        <v/>
      </c>
      <c r="Y2747" t="str">
        <f>IFERROR(VLOOKUP(B2747,'Pre-Summary'!$CR$6:$CT$36,3,FALSE),"")</f>
        <v/>
      </c>
      <c r="Z2747" s="45" t="str">
        <f>IFERROR(VLOOKUP(B2747,'Pre-Summary'!$BZ$6:$CB$63,2,FALSE),"")</f>
        <v/>
      </c>
      <c r="AA2747" s="45" t="str">
        <f>IFERROR(VLOOKUP(B2747,'Pre-Summary'!$CG$6:$CI$70,2,FALSE),"")</f>
        <v/>
      </c>
      <c r="AB2747" s="99">
        <f>IFERROR(VLOOKUP(B2747,'Pre-Summary'!$A$6:$P$178,9,FALSE),AB2748)</f>
        <v>0.7010379290946207</v>
      </c>
      <c r="AC2747" s="10">
        <f>IFERROR(VLOOKUP(Summary!B2747,'Pre-Summary'!$A$6:$P$184,5, FALSE)/100,AC2748)</f>
        <v>0.92607166666666674</v>
      </c>
      <c r="AD2747" s="10">
        <f>IFERROR(VLOOKUP(Summary!B2747,'Pre-Summary'!$A$6:$P$184,3, FALSE)/100,AD2748)</f>
        <v>5.4963666666666668E-2</v>
      </c>
      <c r="AE2747" s="10">
        <f>IFERROR(VLOOKUP(Summary!B2747,'Pre-Summary'!$A$6:$P$184,7, FALSE)/100,AE2748)</f>
        <v>1.8946666666666667E-2</v>
      </c>
      <c r="AF2747" s="99">
        <f t="shared" si="127"/>
        <v>3.8531615055447034E-2</v>
      </c>
      <c r="AG2747" s="99">
        <f t="shared" si="128"/>
        <v>1.3282331963246082E-2</v>
      </c>
      <c r="AH2747" s="10" t="str">
        <f>IFERROR(VLOOKUP(B2747,'Pre-Summary'!$AZ$6:$BE$65,3,FALSE),"")</f>
        <v/>
      </c>
      <c r="AI2747" s="10" t="str">
        <f>IFERROR(VLOOKUP(B2747,'Pre-Summary'!$AZ$6:$BE$65,5,FALSE),"")</f>
        <v/>
      </c>
      <c r="AJ2747" s="10" t="str">
        <f>IFERROR(VLOOKUP(B2747,'Pre-Summary'!$AZ$6:$BE$65,4,FALSE),"")</f>
        <v/>
      </c>
      <c r="AK2747" s="10" t="str">
        <f>IFERROR(VLOOKUP(B2747,'Pre-Summary'!$AZ$6:$BE$65,6,FALSE),"")</f>
        <v/>
      </c>
      <c r="AL2747" s="10" t="str">
        <f>IFERROR(VLOOKUP(B2747,'Pre-Summary'!$BG$6:$BL$44,3,FALSE),"")</f>
        <v/>
      </c>
      <c r="AM2747" s="10" t="str">
        <f>IFERROR(VLOOKUP(B2747,'Pre-Summary'!$BG$6:$BL$44,4,FALSE),"")</f>
        <v/>
      </c>
    </row>
    <row r="2748" spans="2:39" ht="15" customHeight="1" x14ac:dyDescent="0.3">
      <c r="B2748">
        <v>274.5</v>
      </c>
      <c r="C2748" t="str">
        <f>IFERROR(VLOOKUP(B2748,'Pre-Summary'!$DI$6:$DM$23,4,FALSE),"")</f>
        <v/>
      </c>
      <c r="D2748" s="10" t="str">
        <f>IFERROR(VLOOKUP(B2748,'Pre-Summary'!$AT$6:$AX$14,5,FALSE),D2747)</f>
        <v>Wolfe v3: went back to modified wolfe + EDTA and switched CuSO4 to CUCl2</v>
      </c>
      <c r="E2748" s="10" t="str">
        <f>IFERROR(VLOOKUP(B2748,'Pre-Summary'!$AT$6:$AX$15,4,FALSE),"")</f>
        <v/>
      </c>
      <c r="F2748">
        <f>IFERROR(VLOOKUP(B2748,'Pre-Summary'!$AL$6:$AQ$13,6,FALSE),F2747)</f>
        <v>5.9405263157894746E-2</v>
      </c>
      <c r="G2748" t="str">
        <f>IFERROR(VLOOKUP(B2748,'Pre-Summary'!$AE$6:$AJ$85,3,FALSE),"")</f>
        <v/>
      </c>
      <c r="H2748" t="str">
        <f>IFERROR(VLOOKUP(B2748,'Pre-Summary'!$AE$6:$AJ$85,4,FALSE),"")</f>
        <v/>
      </c>
      <c r="I2748" t="str">
        <f>IFERROR(VLOOKUP(B2748,'Pre-Summary'!$AE$6:$AJ$85,5,FALSE),"")</f>
        <v/>
      </c>
      <c r="J2748" s="45" t="str">
        <f>IFERROR(VLOOKUP(B2748,'Pre-Summary'!$AE$6:$AJ$85,6, FALSE),"")</f>
        <v/>
      </c>
      <c r="K2748" s="45" t="str">
        <f>IFERROR(VLOOKUP(B2748,'Pre-Summary'!$DE$6:$DG$61,3,FALSE),"")</f>
        <v/>
      </c>
      <c r="L2748" s="45" t="str">
        <f>IFERROR(VLOOKUP(B2748,'Pre-Summary'!$CU$6:$CW$36,3,FALSE),"")</f>
        <v/>
      </c>
      <c r="M2748" s="45" t="str">
        <f>IFERROR(VLOOKUP(B2748,'Pre-Summary'!$BW$6:$BY$58,2,FALSE),"")</f>
        <v/>
      </c>
      <c r="N2748" s="45" t="str">
        <f>IFERROR(VLOOKUP(B2748,'Pre-Summary'!$CD$6:$CF$64,2,FALSE),"")</f>
        <v/>
      </c>
      <c r="O2748" s="99">
        <f>IFERROR(VLOOKUP(B2748,'Pre-Summary'!$BO$6:$BQ$48,3, FALSE),O2747)</f>
        <v>2.1030000000000002</v>
      </c>
      <c r="P2748" s="99">
        <f>IFERROR(VLOOKUP(B2748,'Pre-Summary'!$BS$6:$BU$35,3,FALSE),P2747)</f>
        <v>0.53100000000000003</v>
      </c>
      <c r="Q2748" s="54">
        <f t="shared" si="126"/>
        <v>3.9604519774011302</v>
      </c>
      <c r="R2748" s="53">
        <f>IFERROR(VLOOKUP(B2748,'Pre-Summary'!$BG$6:$BM$44,7,FALSE),R2749)</f>
        <v>9.5351142367257502E-2</v>
      </c>
      <c r="S2748" s="53">
        <f>IFERROR(VLOOKUP(B2748,'Pre-Summary'!$BG$6:$BM$44,6,FALSE),S2749)</f>
        <v>0.10009321836402316</v>
      </c>
      <c r="T2748" s="45" t="str">
        <f>IFERROR(VLOOKUP(B2748,'Pre-Summary'!$Y$6:$AC$83, 3,FALSE),"")</f>
        <v/>
      </c>
      <c r="U2748" s="45" t="str">
        <f>IFERROR(VLOOKUP(B2748,'Pre-Summary'!$Y$6:$AC$83, 4,FALSE),"")</f>
        <v/>
      </c>
      <c r="V2748" t="str">
        <f>IFERROR(VLOOKUP(B2748,'Pre-Summary'!$Y$6:$AC$83, 5,FALSE),"")</f>
        <v/>
      </c>
      <c r="W2748" s="45" t="str">
        <f>IFERROR(VLOOKUP(B2748,'Pre-Summary'!$Y$6:$AD$83,6,FALSE),"")</f>
        <v/>
      </c>
      <c r="X2748" t="str">
        <f>IFERROR(VLOOKUP('Pre-Summary'!$DB$6:$DD$63,3,FALSE),"")</f>
        <v/>
      </c>
      <c r="Y2748" t="str">
        <f>IFERROR(VLOOKUP(B2748,'Pre-Summary'!$CR$6:$CT$36,3,FALSE),"")</f>
        <v/>
      </c>
      <c r="Z2748" s="45" t="str">
        <f>IFERROR(VLOOKUP(B2748,'Pre-Summary'!$BZ$6:$CB$63,2,FALSE),"")</f>
        <v/>
      </c>
      <c r="AA2748" s="45" t="str">
        <f>IFERROR(VLOOKUP(B2748,'Pre-Summary'!$CG$6:$CI$70,2,FALSE),"")</f>
        <v/>
      </c>
      <c r="AB2748" s="99">
        <f>IFERROR(VLOOKUP(B2748,'Pre-Summary'!$A$6:$P$178,9,FALSE),AB2749)</f>
        <v>0.7010379290946207</v>
      </c>
      <c r="AC2748" s="10">
        <f>IFERROR(VLOOKUP(Summary!B2748,'Pre-Summary'!$A$6:$P$184,5, FALSE)/100,AC2749)</f>
        <v>0.92607166666666674</v>
      </c>
      <c r="AD2748" s="10">
        <f>IFERROR(VLOOKUP(Summary!B2748,'Pre-Summary'!$A$6:$P$184,3, FALSE)/100,AD2749)</f>
        <v>5.4963666666666668E-2</v>
      </c>
      <c r="AE2748" s="10">
        <f>IFERROR(VLOOKUP(Summary!B2748,'Pre-Summary'!$A$6:$P$184,7, FALSE)/100,AE2749)</f>
        <v>1.8946666666666667E-2</v>
      </c>
      <c r="AF2748" s="99">
        <f t="shared" si="127"/>
        <v>3.8531615055447034E-2</v>
      </c>
      <c r="AG2748" s="99">
        <f t="shared" si="128"/>
        <v>1.3282331963246082E-2</v>
      </c>
      <c r="AH2748" s="10" t="str">
        <f>IFERROR(VLOOKUP(B2748,'Pre-Summary'!$AZ$6:$BE$65,3,FALSE),"")</f>
        <v/>
      </c>
      <c r="AI2748" s="10" t="str">
        <f>IFERROR(VLOOKUP(B2748,'Pre-Summary'!$AZ$6:$BE$65,5,FALSE),"")</f>
        <v/>
      </c>
      <c r="AJ2748" s="10" t="str">
        <f>IFERROR(VLOOKUP(B2748,'Pre-Summary'!$AZ$6:$BE$65,4,FALSE),"")</f>
        <v/>
      </c>
      <c r="AK2748" s="10" t="str">
        <f>IFERROR(VLOOKUP(B2748,'Pre-Summary'!$AZ$6:$BE$65,6,FALSE),"")</f>
        <v/>
      </c>
      <c r="AL2748" s="10" t="str">
        <f>IFERROR(VLOOKUP(B2748,'Pre-Summary'!$BG$6:$BL$44,3,FALSE),"")</f>
        <v/>
      </c>
      <c r="AM2748" s="10" t="str">
        <f>IFERROR(VLOOKUP(B2748,'Pre-Summary'!$BG$6:$BL$44,4,FALSE),"")</f>
        <v/>
      </c>
    </row>
    <row r="2749" spans="2:39" ht="15" customHeight="1" x14ac:dyDescent="0.3">
      <c r="B2749">
        <v>274.60000000000002</v>
      </c>
      <c r="C2749" t="str">
        <f>IFERROR(VLOOKUP(B2749,'Pre-Summary'!$DI$6:$DM$23,4,FALSE),"")</f>
        <v/>
      </c>
      <c r="D2749" s="10" t="str">
        <f>IFERROR(VLOOKUP(B2749,'Pre-Summary'!$AT$6:$AX$14,5,FALSE),D2748)</f>
        <v>Wolfe v3: went back to modified wolfe + EDTA and switched CuSO4 to CUCl2</v>
      </c>
      <c r="E2749" s="10" t="str">
        <f>IFERROR(VLOOKUP(B2749,'Pre-Summary'!$AT$6:$AX$15,4,FALSE),"")</f>
        <v/>
      </c>
      <c r="F2749">
        <f>IFERROR(VLOOKUP(B2749,'Pre-Summary'!$AL$6:$AQ$13,6,FALSE),F2748)</f>
        <v>5.9405263157894746E-2</v>
      </c>
      <c r="G2749" t="str">
        <f>IFERROR(VLOOKUP(B2749,'Pre-Summary'!$AE$6:$AJ$85,3,FALSE),"")</f>
        <v/>
      </c>
      <c r="H2749" t="str">
        <f>IFERROR(VLOOKUP(B2749,'Pre-Summary'!$AE$6:$AJ$85,4,FALSE),"")</f>
        <v/>
      </c>
      <c r="I2749" t="str">
        <f>IFERROR(VLOOKUP(B2749,'Pre-Summary'!$AE$6:$AJ$85,5,FALSE),"")</f>
        <v/>
      </c>
      <c r="J2749" s="45" t="str">
        <f>IFERROR(VLOOKUP(B2749,'Pre-Summary'!$AE$6:$AJ$85,6, FALSE),"")</f>
        <v/>
      </c>
      <c r="K2749" s="45" t="str">
        <f>IFERROR(VLOOKUP(B2749,'Pre-Summary'!$DE$6:$DG$61,3,FALSE),"")</f>
        <v/>
      </c>
      <c r="L2749" s="45" t="str">
        <f>IFERROR(VLOOKUP(B2749,'Pre-Summary'!$CU$6:$CW$36,3,FALSE),"")</f>
        <v/>
      </c>
      <c r="M2749" s="45" t="str">
        <f>IFERROR(VLOOKUP(B2749,'Pre-Summary'!$BW$6:$BY$58,2,FALSE),"")</f>
        <v/>
      </c>
      <c r="N2749" s="45" t="str">
        <f>IFERROR(VLOOKUP(B2749,'Pre-Summary'!$CD$6:$CF$64,2,FALSE),"")</f>
        <v/>
      </c>
      <c r="O2749" s="99">
        <f>IFERROR(VLOOKUP(B2749,'Pre-Summary'!$BO$6:$BQ$48,3, FALSE),O2748)</f>
        <v>2.1030000000000002</v>
      </c>
      <c r="P2749" s="99">
        <f>IFERROR(VLOOKUP(B2749,'Pre-Summary'!$BS$6:$BU$35,3,FALSE),P2748)</f>
        <v>0.53100000000000003</v>
      </c>
      <c r="Q2749" s="54">
        <f t="shared" si="126"/>
        <v>3.9604519774011302</v>
      </c>
      <c r="R2749" s="53">
        <f>IFERROR(VLOOKUP(B2749,'Pre-Summary'!$BG$6:$BM$44,7,FALSE),R2750)</f>
        <v>9.5351142367257502E-2</v>
      </c>
      <c r="S2749" s="53">
        <f>IFERROR(VLOOKUP(B2749,'Pre-Summary'!$BG$6:$BM$44,6,FALSE),S2750)</f>
        <v>0.10009321836402316</v>
      </c>
      <c r="T2749" s="45" t="str">
        <f>IFERROR(VLOOKUP(B2749,'Pre-Summary'!$Y$6:$AC$83, 3,FALSE),"")</f>
        <v/>
      </c>
      <c r="U2749" s="45" t="str">
        <f>IFERROR(VLOOKUP(B2749,'Pre-Summary'!$Y$6:$AC$83, 4,FALSE),"")</f>
        <v/>
      </c>
      <c r="V2749" t="str">
        <f>IFERROR(VLOOKUP(B2749,'Pre-Summary'!$Y$6:$AC$83, 5,FALSE),"")</f>
        <v/>
      </c>
      <c r="W2749" s="45" t="str">
        <f>IFERROR(VLOOKUP(B2749,'Pre-Summary'!$Y$6:$AD$83,6,FALSE),"")</f>
        <v/>
      </c>
      <c r="X2749" t="str">
        <f>IFERROR(VLOOKUP('Pre-Summary'!$DB$6:$DD$63,3,FALSE),"")</f>
        <v/>
      </c>
      <c r="Y2749" t="str">
        <f>IFERROR(VLOOKUP(B2749,'Pre-Summary'!$CR$6:$CT$36,3,FALSE),"")</f>
        <v/>
      </c>
      <c r="Z2749" s="45" t="str">
        <f>IFERROR(VLOOKUP(B2749,'Pre-Summary'!$BZ$6:$CB$63,2,FALSE),"")</f>
        <v/>
      </c>
      <c r="AA2749" s="45" t="str">
        <f>IFERROR(VLOOKUP(B2749,'Pre-Summary'!$CG$6:$CI$70,2,FALSE),"")</f>
        <v/>
      </c>
      <c r="AB2749" s="99">
        <f>IFERROR(VLOOKUP(B2749,'Pre-Summary'!$A$6:$P$178,9,FALSE),AB2750)</f>
        <v>0.7010379290946207</v>
      </c>
      <c r="AC2749" s="10">
        <f>IFERROR(VLOOKUP(Summary!B2749,'Pre-Summary'!$A$6:$P$184,5, FALSE)/100,AC2750)</f>
        <v>0.92607166666666674</v>
      </c>
      <c r="AD2749" s="10">
        <f>IFERROR(VLOOKUP(Summary!B2749,'Pre-Summary'!$A$6:$P$184,3, FALSE)/100,AD2750)</f>
        <v>5.4963666666666668E-2</v>
      </c>
      <c r="AE2749" s="10">
        <f>IFERROR(VLOOKUP(Summary!B2749,'Pre-Summary'!$A$6:$P$184,7, FALSE)/100,AE2750)</f>
        <v>1.8946666666666667E-2</v>
      </c>
      <c r="AF2749" s="99">
        <f t="shared" si="127"/>
        <v>3.8531615055447034E-2</v>
      </c>
      <c r="AG2749" s="99">
        <f t="shared" si="128"/>
        <v>1.3282331963246082E-2</v>
      </c>
      <c r="AH2749" s="10" t="str">
        <f>IFERROR(VLOOKUP(B2749,'Pre-Summary'!$AZ$6:$BE$65,3,FALSE),"")</f>
        <v/>
      </c>
      <c r="AI2749" s="10" t="str">
        <f>IFERROR(VLOOKUP(B2749,'Pre-Summary'!$AZ$6:$BE$65,5,FALSE),"")</f>
        <v/>
      </c>
      <c r="AJ2749" s="10" t="str">
        <f>IFERROR(VLOOKUP(B2749,'Pre-Summary'!$AZ$6:$BE$65,4,FALSE),"")</f>
        <v/>
      </c>
      <c r="AK2749" s="10" t="str">
        <f>IFERROR(VLOOKUP(B2749,'Pre-Summary'!$AZ$6:$BE$65,6,FALSE),"")</f>
        <v/>
      </c>
      <c r="AL2749" s="10" t="str">
        <f>IFERROR(VLOOKUP(B2749,'Pre-Summary'!$BG$6:$BL$44,3,FALSE),"")</f>
        <v/>
      </c>
      <c r="AM2749" s="10" t="str">
        <f>IFERROR(VLOOKUP(B2749,'Pre-Summary'!$BG$6:$BL$44,4,FALSE),"")</f>
        <v/>
      </c>
    </row>
    <row r="2750" spans="2:39" ht="15" customHeight="1" x14ac:dyDescent="0.3">
      <c r="B2750">
        <v>274.7</v>
      </c>
      <c r="C2750" t="str">
        <f>IFERROR(VLOOKUP(B2750,'Pre-Summary'!$DI$6:$DM$23,4,FALSE),"")</f>
        <v/>
      </c>
      <c r="D2750" s="10" t="str">
        <f>IFERROR(VLOOKUP(B2750,'Pre-Summary'!$AT$6:$AX$14,5,FALSE),D2749)</f>
        <v>Wolfe v3: went back to modified wolfe + EDTA and switched CuSO4 to CUCl2</v>
      </c>
      <c r="E2750" s="10" t="str">
        <f>IFERROR(VLOOKUP(B2750,'Pre-Summary'!$AT$6:$AX$15,4,FALSE),"")</f>
        <v/>
      </c>
      <c r="F2750">
        <f>IFERROR(VLOOKUP(B2750,'Pre-Summary'!$AL$6:$AQ$13,6,FALSE),F2749)</f>
        <v>5.9405263157894746E-2</v>
      </c>
      <c r="G2750" t="str">
        <f>IFERROR(VLOOKUP(B2750,'Pre-Summary'!$AE$6:$AJ$85,3,FALSE),"")</f>
        <v/>
      </c>
      <c r="H2750" t="str">
        <f>IFERROR(VLOOKUP(B2750,'Pre-Summary'!$AE$6:$AJ$85,4,FALSE),"")</f>
        <v/>
      </c>
      <c r="I2750" t="str">
        <f>IFERROR(VLOOKUP(B2750,'Pre-Summary'!$AE$6:$AJ$85,5,FALSE),"")</f>
        <v/>
      </c>
      <c r="J2750" s="45" t="str">
        <f>IFERROR(VLOOKUP(B2750,'Pre-Summary'!$AE$6:$AJ$85,6, FALSE),"")</f>
        <v/>
      </c>
      <c r="K2750" s="45" t="str">
        <f>IFERROR(VLOOKUP(B2750,'Pre-Summary'!$DE$6:$DG$61,3,FALSE),"")</f>
        <v/>
      </c>
      <c r="L2750" s="45" t="str">
        <f>IFERROR(VLOOKUP(B2750,'Pre-Summary'!$CU$6:$CW$36,3,FALSE),"")</f>
        <v/>
      </c>
      <c r="M2750" s="45" t="str">
        <f>IFERROR(VLOOKUP(B2750,'Pre-Summary'!$BW$6:$BY$58,2,FALSE),"")</f>
        <v/>
      </c>
      <c r="N2750" s="45" t="str">
        <f>IFERROR(VLOOKUP(B2750,'Pre-Summary'!$CD$6:$CF$64,2,FALSE),"")</f>
        <v/>
      </c>
      <c r="O2750" s="99">
        <f>IFERROR(VLOOKUP(B2750,'Pre-Summary'!$BO$6:$BQ$48,3, FALSE),O2749)</f>
        <v>2.1030000000000002</v>
      </c>
      <c r="P2750" s="99">
        <f>IFERROR(VLOOKUP(B2750,'Pre-Summary'!$BS$6:$BU$35,3,FALSE),P2749)</f>
        <v>0.53100000000000003</v>
      </c>
      <c r="Q2750" s="54">
        <f t="shared" si="126"/>
        <v>3.9604519774011302</v>
      </c>
      <c r="R2750" s="53">
        <f>IFERROR(VLOOKUP(B2750,'Pre-Summary'!$BG$6:$BM$44,7,FALSE),R2751)</f>
        <v>9.5351142367257502E-2</v>
      </c>
      <c r="S2750" s="53">
        <f>IFERROR(VLOOKUP(B2750,'Pre-Summary'!$BG$6:$BM$44,6,FALSE),S2751)</f>
        <v>0.10009321836402316</v>
      </c>
      <c r="T2750" s="45" t="str">
        <f>IFERROR(VLOOKUP(B2750,'Pre-Summary'!$Y$6:$AC$83, 3,FALSE),"")</f>
        <v/>
      </c>
      <c r="U2750" s="45" t="str">
        <f>IFERROR(VLOOKUP(B2750,'Pre-Summary'!$Y$6:$AC$83, 4,FALSE),"")</f>
        <v/>
      </c>
      <c r="V2750" t="str">
        <f>IFERROR(VLOOKUP(B2750,'Pre-Summary'!$Y$6:$AC$83, 5,FALSE),"")</f>
        <v/>
      </c>
      <c r="W2750" s="45" t="str">
        <f>IFERROR(VLOOKUP(B2750,'Pre-Summary'!$Y$6:$AD$83,6,FALSE),"")</f>
        <v/>
      </c>
      <c r="X2750" t="str">
        <f>IFERROR(VLOOKUP('Pre-Summary'!$DB$6:$DD$63,3,FALSE),"")</f>
        <v/>
      </c>
      <c r="Y2750" t="str">
        <f>IFERROR(VLOOKUP(B2750,'Pre-Summary'!$CR$6:$CT$36,3,FALSE),"")</f>
        <v/>
      </c>
      <c r="Z2750" s="45" t="str">
        <f>IFERROR(VLOOKUP(B2750,'Pre-Summary'!$BZ$6:$CB$63,2,FALSE),"")</f>
        <v/>
      </c>
      <c r="AA2750" s="45" t="str">
        <f>IFERROR(VLOOKUP(B2750,'Pre-Summary'!$CG$6:$CI$70,2,FALSE),"")</f>
        <v/>
      </c>
      <c r="AB2750" s="99">
        <f>IFERROR(VLOOKUP(B2750,'Pre-Summary'!$A$6:$P$178,9,FALSE),AB2751)</f>
        <v>0.7010379290946207</v>
      </c>
      <c r="AC2750" s="10">
        <f>IFERROR(VLOOKUP(Summary!B2750,'Pre-Summary'!$A$6:$P$184,5, FALSE)/100,AC2751)</f>
        <v>0.92607166666666674</v>
      </c>
      <c r="AD2750" s="10">
        <f>IFERROR(VLOOKUP(Summary!B2750,'Pre-Summary'!$A$6:$P$184,3, FALSE)/100,AD2751)</f>
        <v>5.4963666666666668E-2</v>
      </c>
      <c r="AE2750" s="10">
        <f>IFERROR(VLOOKUP(Summary!B2750,'Pre-Summary'!$A$6:$P$184,7, FALSE)/100,AE2751)</f>
        <v>1.8946666666666667E-2</v>
      </c>
      <c r="AF2750" s="99">
        <f t="shared" si="127"/>
        <v>3.8531615055447034E-2</v>
      </c>
      <c r="AG2750" s="99">
        <f t="shared" si="128"/>
        <v>1.3282331963246082E-2</v>
      </c>
      <c r="AH2750" s="10" t="str">
        <f>IFERROR(VLOOKUP(B2750,'Pre-Summary'!$AZ$6:$BE$65,3,FALSE),"")</f>
        <v/>
      </c>
      <c r="AI2750" s="10" t="str">
        <f>IFERROR(VLOOKUP(B2750,'Pre-Summary'!$AZ$6:$BE$65,5,FALSE),"")</f>
        <v/>
      </c>
      <c r="AJ2750" s="10" t="str">
        <f>IFERROR(VLOOKUP(B2750,'Pre-Summary'!$AZ$6:$BE$65,4,FALSE),"")</f>
        <v/>
      </c>
      <c r="AK2750" s="10" t="str">
        <f>IFERROR(VLOOKUP(B2750,'Pre-Summary'!$AZ$6:$BE$65,6,FALSE),"")</f>
        <v/>
      </c>
      <c r="AL2750" s="10" t="str">
        <f>IFERROR(VLOOKUP(B2750,'Pre-Summary'!$BG$6:$BL$44,3,FALSE),"")</f>
        <v/>
      </c>
      <c r="AM2750" s="10" t="str">
        <f>IFERROR(VLOOKUP(B2750,'Pre-Summary'!$BG$6:$BL$44,4,FALSE),"")</f>
        <v/>
      </c>
    </row>
    <row r="2751" spans="2:39" ht="15" customHeight="1" x14ac:dyDescent="0.3">
      <c r="B2751">
        <v>274.8</v>
      </c>
      <c r="C2751" t="str">
        <f>IFERROR(VLOOKUP(B2751,'Pre-Summary'!$DI$6:$DM$23,4,FALSE),"")</f>
        <v/>
      </c>
      <c r="D2751" s="10" t="str">
        <f>IFERROR(VLOOKUP(B2751,'Pre-Summary'!$AT$6:$AX$14,5,FALSE),D2750)</f>
        <v>Wolfe v3: went back to modified wolfe + EDTA and switched CuSO4 to CUCl2</v>
      </c>
      <c r="E2751" s="10" t="str">
        <f>IFERROR(VLOOKUP(B2751,'Pre-Summary'!$AT$6:$AX$15,4,FALSE),"")</f>
        <v/>
      </c>
      <c r="F2751">
        <f>IFERROR(VLOOKUP(B2751,'Pre-Summary'!$AL$6:$AQ$13,6,FALSE),F2750)</f>
        <v>5.9405263157894746E-2</v>
      </c>
      <c r="G2751" t="str">
        <f>IFERROR(VLOOKUP(B2751,'Pre-Summary'!$AE$6:$AJ$85,3,FALSE),"")</f>
        <v/>
      </c>
      <c r="H2751" t="str">
        <f>IFERROR(VLOOKUP(B2751,'Pre-Summary'!$AE$6:$AJ$85,4,FALSE),"")</f>
        <v/>
      </c>
      <c r="I2751" t="str">
        <f>IFERROR(VLOOKUP(B2751,'Pre-Summary'!$AE$6:$AJ$85,5,FALSE),"")</f>
        <v/>
      </c>
      <c r="J2751" s="45" t="str">
        <f>IFERROR(VLOOKUP(B2751,'Pre-Summary'!$AE$6:$AJ$85,6, FALSE),"")</f>
        <v/>
      </c>
      <c r="K2751" s="45" t="str">
        <f>IFERROR(VLOOKUP(B2751,'Pre-Summary'!$DE$6:$DG$61,3,FALSE),"")</f>
        <v/>
      </c>
      <c r="L2751" s="45" t="str">
        <f>IFERROR(VLOOKUP(B2751,'Pre-Summary'!$CU$6:$CW$36,3,FALSE),"")</f>
        <v/>
      </c>
      <c r="M2751" s="45" t="str">
        <f>IFERROR(VLOOKUP(B2751,'Pre-Summary'!$BW$6:$BY$58,2,FALSE),"")</f>
        <v/>
      </c>
      <c r="N2751" s="45" t="str">
        <f>IFERROR(VLOOKUP(B2751,'Pre-Summary'!$CD$6:$CF$64,2,FALSE),"")</f>
        <v/>
      </c>
      <c r="O2751" s="99">
        <f>IFERROR(VLOOKUP(B2751,'Pre-Summary'!$BO$6:$BQ$48,3, FALSE),O2750)</f>
        <v>2.1030000000000002</v>
      </c>
      <c r="P2751" s="99">
        <f>IFERROR(VLOOKUP(B2751,'Pre-Summary'!$BS$6:$BU$35,3,FALSE),P2750)</f>
        <v>0.53100000000000003</v>
      </c>
      <c r="Q2751" s="54">
        <f t="shared" si="126"/>
        <v>3.9604519774011302</v>
      </c>
      <c r="R2751" s="53">
        <f>IFERROR(VLOOKUP(B2751,'Pre-Summary'!$BG$6:$BM$44,7,FALSE),R2752)</f>
        <v>9.5351142367257502E-2</v>
      </c>
      <c r="S2751" s="53">
        <f>IFERROR(VLOOKUP(B2751,'Pre-Summary'!$BG$6:$BM$44,6,FALSE),S2752)</f>
        <v>0.10009321836402316</v>
      </c>
      <c r="T2751" s="45" t="str">
        <f>IFERROR(VLOOKUP(B2751,'Pre-Summary'!$Y$6:$AC$83, 3,FALSE),"")</f>
        <v/>
      </c>
      <c r="U2751" s="45" t="str">
        <f>IFERROR(VLOOKUP(B2751,'Pre-Summary'!$Y$6:$AC$83, 4,FALSE),"")</f>
        <v/>
      </c>
      <c r="V2751" t="str">
        <f>IFERROR(VLOOKUP(B2751,'Pre-Summary'!$Y$6:$AC$83, 5,FALSE),"")</f>
        <v/>
      </c>
      <c r="W2751" s="45" t="str">
        <f>IFERROR(VLOOKUP(B2751,'Pre-Summary'!$Y$6:$AD$83,6,FALSE),"")</f>
        <v/>
      </c>
      <c r="X2751" t="str">
        <f>IFERROR(VLOOKUP('Pre-Summary'!$DB$6:$DD$63,3,FALSE),"")</f>
        <v/>
      </c>
      <c r="Y2751" t="str">
        <f>IFERROR(VLOOKUP(B2751,'Pre-Summary'!$CR$6:$CT$36,3,FALSE),"")</f>
        <v/>
      </c>
      <c r="Z2751" s="45" t="str">
        <f>IFERROR(VLOOKUP(B2751,'Pre-Summary'!$BZ$6:$CB$63,2,FALSE),"")</f>
        <v/>
      </c>
      <c r="AA2751" s="45" t="str">
        <f>IFERROR(VLOOKUP(B2751,'Pre-Summary'!$CG$6:$CI$70,2,FALSE),"")</f>
        <v/>
      </c>
      <c r="AB2751" s="99">
        <f>IFERROR(VLOOKUP(B2751,'Pre-Summary'!$A$6:$P$178,9,FALSE),AB2752)</f>
        <v>0.7010379290946207</v>
      </c>
      <c r="AC2751" s="10">
        <f>IFERROR(VLOOKUP(Summary!B2751,'Pre-Summary'!$A$6:$P$184,5, FALSE)/100,AC2752)</f>
        <v>0.92607166666666674</v>
      </c>
      <c r="AD2751" s="10">
        <f>IFERROR(VLOOKUP(Summary!B2751,'Pre-Summary'!$A$6:$P$184,3, FALSE)/100,AD2752)</f>
        <v>5.4963666666666668E-2</v>
      </c>
      <c r="AE2751" s="10">
        <f>IFERROR(VLOOKUP(Summary!B2751,'Pre-Summary'!$A$6:$P$184,7, FALSE)/100,AE2752)</f>
        <v>1.8946666666666667E-2</v>
      </c>
      <c r="AF2751" s="99">
        <f t="shared" si="127"/>
        <v>3.8531615055447034E-2</v>
      </c>
      <c r="AG2751" s="99">
        <f t="shared" si="128"/>
        <v>1.3282331963246082E-2</v>
      </c>
      <c r="AH2751" s="10" t="str">
        <f>IFERROR(VLOOKUP(B2751,'Pre-Summary'!$AZ$6:$BE$65,3,FALSE),"")</f>
        <v/>
      </c>
      <c r="AI2751" s="10" t="str">
        <f>IFERROR(VLOOKUP(B2751,'Pre-Summary'!$AZ$6:$BE$65,5,FALSE),"")</f>
        <v/>
      </c>
      <c r="AJ2751" s="10" t="str">
        <f>IFERROR(VLOOKUP(B2751,'Pre-Summary'!$AZ$6:$BE$65,4,FALSE),"")</f>
        <v/>
      </c>
      <c r="AK2751" s="10" t="str">
        <f>IFERROR(VLOOKUP(B2751,'Pre-Summary'!$AZ$6:$BE$65,6,FALSE),"")</f>
        <v/>
      </c>
      <c r="AL2751" s="10" t="str">
        <f>IFERROR(VLOOKUP(B2751,'Pre-Summary'!$BG$6:$BL$44,3,FALSE),"")</f>
        <v/>
      </c>
      <c r="AM2751" s="10" t="str">
        <f>IFERROR(VLOOKUP(B2751,'Pre-Summary'!$BG$6:$BL$44,4,FALSE),"")</f>
        <v/>
      </c>
    </row>
    <row r="2752" spans="2:39" ht="15" customHeight="1" x14ac:dyDescent="0.3">
      <c r="B2752">
        <v>274.89999999999998</v>
      </c>
      <c r="C2752" t="str">
        <f>IFERROR(VLOOKUP(B2752,'Pre-Summary'!$DI$6:$DM$23,4,FALSE),"")</f>
        <v/>
      </c>
      <c r="D2752" s="10" t="str">
        <f>IFERROR(VLOOKUP(B2752,'Pre-Summary'!$AT$6:$AX$14,5,FALSE),D2751)</f>
        <v>Wolfe v3: went back to modified wolfe + EDTA and switched CuSO4 to CUCl2</v>
      </c>
      <c r="E2752" s="10" t="str">
        <f>IFERROR(VLOOKUP(B2752,'Pre-Summary'!$AT$6:$AX$15,4,FALSE),"")</f>
        <v/>
      </c>
      <c r="F2752">
        <f>IFERROR(VLOOKUP(B2752,'Pre-Summary'!$AL$6:$AQ$13,6,FALSE),F2751)</f>
        <v>5.9405263157894746E-2</v>
      </c>
      <c r="G2752" t="str">
        <f>IFERROR(VLOOKUP(B2752,'Pre-Summary'!$AE$6:$AJ$85,3,FALSE),"")</f>
        <v/>
      </c>
      <c r="H2752" t="str">
        <f>IFERROR(VLOOKUP(B2752,'Pre-Summary'!$AE$6:$AJ$85,4,FALSE),"")</f>
        <v/>
      </c>
      <c r="I2752" t="str">
        <f>IFERROR(VLOOKUP(B2752,'Pre-Summary'!$AE$6:$AJ$85,5,FALSE),"")</f>
        <v/>
      </c>
      <c r="J2752" s="45" t="str">
        <f>IFERROR(VLOOKUP(B2752,'Pre-Summary'!$AE$6:$AJ$85,6, FALSE),"")</f>
        <v/>
      </c>
      <c r="K2752" s="45" t="str">
        <f>IFERROR(VLOOKUP(B2752,'Pre-Summary'!$DE$6:$DG$61,3,FALSE),"")</f>
        <v/>
      </c>
      <c r="L2752" s="45" t="str">
        <f>IFERROR(VLOOKUP(B2752,'Pre-Summary'!$CU$6:$CW$36,3,FALSE),"")</f>
        <v/>
      </c>
      <c r="M2752" s="45" t="str">
        <f>IFERROR(VLOOKUP(B2752,'Pre-Summary'!$BW$6:$BY$58,2,FALSE),"")</f>
        <v/>
      </c>
      <c r="N2752" s="45" t="str">
        <f>IFERROR(VLOOKUP(B2752,'Pre-Summary'!$CD$6:$CF$64,2,FALSE),"")</f>
        <v/>
      </c>
      <c r="O2752" s="99">
        <f>IFERROR(VLOOKUP(B2752,'Pre-Summary'!$BO$6:$BQ$48,3, FALSE),O2751)</f>
        <v>2.1030000000000002</v>
      </c>
      <c r="P2752" s="99">
        <f>IFERROR(VLOOKUP(B2752,'Pre-Summary'!$BS$6:$BU$35,3,FALSE),P2751)</f>
        <v>0.53100000000000003</v>
      </c>
      <c r="Q2752" s="54">
        <f t="shared" si="126"/>
        <v>3.9604519774011302</v>
      </c>
      <c r="R2752" s="53">
        <f>IFERROR(VLOOKUP(B2752,'Pre-Summary'!$BG$6:$BM$44,7,FALSE),R2753)</f>
        <v>9.5351142367257502E-2</v>
      </c>
      <c r="S2752" s="53">
        <f>IFERROR(VLOOKUP(B2752,'Pre-Summary'!$BG$6:$BM$44,6,FALSE),S2753)</f>
        <v>0.10009321836402316</v>
      </c>
      <c r="T2752" s="45" t="str">
        <f>IFERROR(VLOOKUP(B2752,'Pre-Summary'!$Y$6:$AC$83, 3,FALSE),"")</f>
        <v/>
      </c>
      <c r="U2752" s="45" t="str">
        <f>IFERROR(VLOOKUP(B2752,'Pre-Summary'!$Y$6:$AC$83, 4,FALSE),"")</f>
        <v/>
      </c>
      <c r="V2752" t="str">
        <f>IFERROR(VLOOKUP(B2752,'Pre-Summary'!$Y$6:$AC$83, 5,FALSE),"")</f>
        <v/>
      </c>
      <c r="W2752" s="45" t="str">
        <f>IFERROR(VLOOKUP(B2752,'Pre-Summary'!$Y$6:$AD$83,6,FALSE),"")</f>
        <v/>
      </c>
      <c r="X2752" t="str">
        <f>IFERROR(VLOOKUP('Pre-Summary'!$DB$6:$DD$63,3,FALSE),"")</f>
        <v/>
      </c>
      <c r="Y2752" t="str">
        <f>IFERROR(VLOOKUP(B2752,'Pre-Summary'!$CR$6:$CT$36,3,FALSE),"")</f>
        <v/>
      </c>
      <c r="Z2752" s="45" t="str">
        <f>IFERROR(VLOOKUP(B2752,'Pre-Summary'!$BZ$6:$CB$63,2,FALSE),"")</f>
        <v/>
      </c>
      <c r="AA2752" s="45" t="str">
        <f>IFERROR(VLOOKUP(B2752,'Pre-Summary'!$CG$6:$CI$70,2,FALSE),"")</f>
        <v/>
      </c>
      <c r="AB2752" s="99">
        <f>IFERROR(VLOOKUP(B2752,'Pre-Summary'!$A$6:$P$178,9,FALSE),AB2753)</f>
        <v>0.7010379290946207</v>
      </c>
      <c r="AC2752" s="10">
        <f>IFERROR(VLOOKUP(Summary!B2752,'Pre-Summary'!$A$6:$P$184,5, FALSE)/100,AC2753)</f>
        <v>0.92607166666666674</v>
      </c>
      <c r="AD2752" s="10">
        <f>IFERROR(VLOOKUP(Summary!B2752,'Pre-Summary'!$A$6:$P$184,3, FALSE)/100,AD2753)</f>
        <v>5.4963666666666668E-2</v>
      </c>
      <c r="AE2752" s="10">
        <f>IFERROR(VLOOKUP(Summary!B2752,'Pre-Summary'!$A$6:$P$184,7, FALSE)/100,AE2753)</f>
        <v>1.8946666666666667E-2</v>
      </c>
      <c r="AF2752" s="99">
        <f t="shared" si="127"/>
        <v>3.8531615055447034E-2</v>
      </c>
      <c r="AG2752" s="99">
        <f t="shared" si="128"/>
        <v>1.3282331963246082E-2</v>
      </c>
      <c r="AH2752" s="10" t="str">
        <f>IFERROR(VLOOKUP(B2752,'Pre-Summary'!$AZ$6:$BE$65,3,FALSE),"")</f>
        <v/>
      </c>
      <c r="AI2752" s="10" t="str">
        <f>IFERROR(VLOOKUP(B2752,'Pre-Summary'!$AZ$6:$BE$65,5,FALSE),"")</f>
        <v/>
      </c>
      <c r="AJ2752" s="10" t="str">
        <f>IFERROR(VLOOKUP(B2752,'Pre-Summary'!$AZ$6:$BE$65,4,FALSE),"")</f>
        <v/>
      </c>
      <c r="AK2752" s="10" t="str">
        <f>IFERROR(VLOOKUP(B2752,'Pre-Summary'!$AZ$6:$BE$65,6,FALSE),"")</f>
        <v/>
      </c>
      <c r="AL2752" s="10" t="str">
        <f>IFERROR(VLOOKUP(B2752,'Pre-Summary'!$BG$6:$BL$44,3,FALSE),"")</f>
        <v/>
      </c>
      <c r="AM2752" s="10" t="str">
        <f>IFERROR(VLOOKUP(B2752,'Pre-Summary'!$BG$6:$BL$44,4,FALSE),"")</f>
        <v/>
      </c>
    </row>
    <row r="2753" spans="2:39" ht="15" customHeight="1" x14ac:dyDescent="0.3">
      <c r="B2753">
        <v>275</v>
      </c>
      <c r="C2753" t="str">
        <f>IFERROR(VLOOKUP(B2753,'Pre-Summary'!$DI$6:$DM$23,4,FALSE),"")</f>
        <v/>
      </c>
      <c r="D2753" s="10" t="str">
        <f>IFERROR(VLOOKUP(B2753,'Pre-Summary'!$AT$6:$AX$14,5,FALSE),D2752)</f>
        <v>Wolfe v3: went back to modified wolfe + EDTA and switched CuSO4 to CUCl2</v>
      </c>
      <c r="E2753" s="10" t="str">
        <f>IFERROR(VLOOKUP(B2753,'Pre-Summary'!$AT$6:$AX$15,4,FALSE),"")</f>
        <v/>
      </c>
      <c r="F2753">
        <f>IFERROR(VLOOKUP(B2753,'Pre-Summary'!$AL$6:$AQ$13,6,FALSE),F2752)</f>
        <v>5.9405263157894746E-2</v>
      </c>
      <c r="G2753" t="str">
        <f>IFERROR(VLOOKUP(B2753,'Pre-Summary'!$AE$6:$AJ$85,3,FALSE),"")</f>
        <v/>
      </c>
      <c r="H2753" t="str">
        <f>IFERROR(VLOOKUP(B2753,'Pre-Summary'!$AE$6:$AJ$85,4,FALSE),"")</f>
        <v/>
      </c>
      <c r="I2753" t="str">
        <f>IFERROR(VLOOKUP(B2753,'Pre-Summary'!$AE$6:$AJ$85,5,FALSE),"")</f>
        <v/>
      </c>
      <c r="J2753" s="45" t="str">
        <f>IFERROR(VLOOKUP(B2753,'Pre-Summary'!$AE$6:$AJ$85,6, FALSE),"")</f>
        <v/>
      </c>
      <c r="K2753" s="45" t="str">
        <f>IFERROR(VLOOKUP(B2753,'Pre-Summary'!$DE$6:$DG$61,3,FALSE),"")</f>
        <v/>
      </c>
      <c r="L2753" s="45" t="str">
        <f>IFERROR(VLOOKUP(B2753,'Pre-Summary'!$CU$6:$CW$36,3,FALSE),"")</f>
        <v/>
      </c>
      <c r="M2753" s="45" t="str">
        <f>IFERROR(VLOOKUP(B2753,'Pre-Summary'!$BW$6:$BY$58,2,FALSE),"")</f>
        <v/>
      </c>
      <c r="N2753" s="45" t="str">
        <f>IFERROR(VLOOKUP(B2753,'Pre-Summary'!$CD$6:$CF$64,2,FALSE),"")</f>
        <v/>
      </c>
      <c r="O2753" s="99">
        <f>IFERROR(VLOOKUP(B2753,'Pre-Summary'!$BO$6:$BQ$48,3, FALSE),O2752)</f>
        <v>2.1030000000000002</v>
      </c>
      <c r="P2753" s="99">
        <f>IFERROR(VLOOKUP(B2753,'Pre-Summary'!$BS$6:$BU$35,3,FALSE),P2752)</f>
        <v>0.53100000000000003</v>
      </c>
      <c r="Q2753" s="54">
        <f t="shared" si="126"/>
        <v>3.9604519774011302</v>
      </c>
      <c r="R2753" s="53">
        <f>IFERROR(VLOOKUP(B2753,'Pre-Summary'!$BG$6:$BM$44,7,FALSE),R2754)</f>
        <v>9.5351142367257502E-2</v>
      </c>
      <c r="S2753" s="53">
        <f>IFERROR(VLOOKUP(B2753,'Pre-Summary'!$BG$6:$BM$44,6,FALSE),S2754)</f>
        <v>0.10009321836402316</v>
      </c>
      <c r="T2753" s="45" t="str">
        <f>IFERROR(VLOOKUP(B2753,'Pre-Summary'!$Y$6:$AC$83, 3,FALSE),"")</f>
        <v/>
      </c>
      <c r="U2753" s="45" t="str">
        <f>IFERROR(VLOOKUP(B2753,'Pre-Summary'!$Y$6:$AC$83, 4,FALSE),"")</f>
        <v/>
      </c>
      <c r="V2753" t="str">
        <f>IFERROR(VLOOKUP(B2753,'Pre-Summary'!$Y$6:$AC$83, 5,FALSE),"")</f>
        <v/>
      </c>
      <c r="W2753" s="45" t="str">
        <f>IFERROR(VLOOKUP(B2753,'Pre-Summary'!$Y$6:$AD$83,6,FALSE),"")</f>
        <v/>
      </c>
      <c r="X2753" t="str">
        <f>IFERROR(VLOOKUP('Pre-Summary'!$DB$6:$DD$63,3,FALSE),"")</f>
        <v/>
      </c>
      <c r="Y2753" t="str">
        <f>IFERROR(VLOOKUP(B2753,'Pre-Summary'!$CR$6:$CT$36,3,FALSE),"")</f>
        <v/>
      </c>
      <c r="Z2753" s="45" t="str">
        <f>IFERROR(VLOOKUP(B2753,'Pre-Summary'!$BZ$6:$CB$63,2,FALSE),"")</f>
        <v/>
      </c>
      <c r="AA2753" s="45" t="str">
        <f>IFERROR(VLOOKUP(B2753,'Pre-Summary'!$CG$6:$CI$70,2,FALSE),"")</f>
        <v/>
      </c>
      <c r="AB2753" s="99">
        <f>IFERROR(VLOOKUP(B2753,'Pre-Summary'!$A$6:$P$178,9,FALSE),AB2754)</f>
        <v>0.7010379290946207</v>
      </c>
      <c r="AC2753" s="10">
        <f>IFERROR(VLOOKUP(Summary!B2753,'Pre-Summary'!$A$6:$P$184,5, FALSE)/100,AC2754)</f>
        <v>0.92607166666666674</v>
      </c>
      <c r="AD2753" s="10">
        <f>IFERROR(VLOOKUP(Summary!B2753,'Pre-Summary'!$A$6:$P$184,3, FALSE)/100,AD2754)</f>
        <v>5.4963666666666668E-2</v>
      </c>
      <c r="AE2753" s="10">
        <f>IFERROR(VLOOKUP(Summary!B2753,'Pre-Summary'!$A$6:$P$184,7, FALSE)/100,AE2754)</f>
        <v>1.8946666666666667E-2</v>
      </c>
      <c r="AF2753" s="99">
        <f t="shared" si="127"/>
        <v>3.8531615055447034E-2</v>
      </c>
      <c r="AG2753" s="99">
        <f t="shared" si="128"/>
        <v>1.3282331963246082E-2</v>
      </c>
      <c r="AH2753" s="10" t="str">
        <f>IFERROR(VLOOKUP(B2753,'Pre-Summary'!$AZ$6:$BE$65,3,FALSE),"")</f>
        <v/>
      </c>
      <c r="AI2753" s="10" t="str">
        <f>IFERROR(VLOOKUP(B2753,'Pre-Summary'!$AZ$6:$BE$65,5,FALSE),"")</f>
        <v/>
      </c>
      <c r="AJ2753" s="10" t="str">
        <f>IFERROR(VLOOKUP(B2753,'Pre-Summary'!$AZ$6:$BE$65,4,FALSE),"")</f>
        <v/>
      </c>
      <c r="AK2753" s="10" t="str">
        <f>IFERROR(VLOOKUP(B2753,'Pre-Summary'!$AZ$6:$BE$65,6,FALSE),"")</f>
        <v/>
      </c>
      <c r="AL2753" s="10" t="str">
        <f>IFERROR(VLOOKUP(B2753,'Pre-Summary'!$BG$6:$BL$44,3,FALSE),"")</f>
        <v/>
      </c>
      <c r="AM2753" s="10" t="str">
        <f>IFERROR(VLOOKUP(B2753,'Pre-Summary'!$BG$6:$BL$44,4,FALSE),"")</f>
        <v/>
      </c>
    </row>
    <row r="2754" spans="2:39" ht="15" customHeight="1" x14ac:dyDescent="0.3">
      <c r="B2754">
        <v>275.10000000000002</v>
      </c>
      <c r="C2754" t="str">
        <f>IFERROR(VLOOKUP(B2754,'Pre-Summary'!$DI$6:$DM$23,4,FALSE),"")</f>
        <v/>
      </c>
      <c r="D2754" s="10" t="str">
        <f>IFERROR(VLOOKUP(B2754,'Pre-Summary'!$AT$6:$AX$14,5,FALSE),D2753)</f>
        <v>Wolfe v3: went back to modified wolfe + EDTA and switched CuSO4 to CUCl2</v>
      </c>
      <c r="E2754" s="10" t="str">
        <f>IFERROR(VLOOKUP(B2754,'Pre-Summary'!$AT$6:$AX$15,4,FALSE),"")</f>
        <v/>
      </c>
      <c r="F2754">
        <f>IFERROR(VLOOKUP(B2754,'Pre-Summary'!$AL$6:$AQ$13,6,FALSE),F2753)</f>
        <v>5.9405263157894746E-2</v>
      </c>
      <c r="G2754" t="str">
        <f>IFERROR(VLOOKUP(B2754,'Pre-Summary'!$AE$6:$AJ$85,3,FALSE),"")</f>
        <v/>
      </c>
      <c r="H2754" t="str">
        <f>IFERROR(VLOOKUP(B2754,'Pre-Summary'!$AE$6:$AJ$85,4,FALSE),"")</f>
        <v/>
      </c>
      <c r="I2754" t="str">
        <f>IFERROR(VLOOKUP(B2754,'Pre-Summary'!$AE$6:$AJ$85,5,FALSE),"")</f>
        <v/>
      </c>
      <c r="J2754" s="45" t="str">
        <f>IFERROR(VLOOKUP(B2754,'Pre-Summary'!$AE$6:$AJ$85,6, FALSE),"")</f>
        <v/>
      </c>
      <c r="K2754" s="45" t="str">
        <f>IFERROR(VLOOKUP(B2754,'Pre-Summary'!$DE$6:$DG$61,3,FALSE),"")</f>
        <v/>
      </c>
      <c r="L2754" s="45" t="str">
        <f>IFERROR(VLOOKUP(B2754,'Pre-Summary'!$CU$6:$CW$36,3,FALSE),"")</f>
        <v/>
      </c>
      <c r="M2754" s="45" t="str">
        <f>IFERROR(VLOOKUP(B2754,'Pre-Summary'!$BW$6:$BY$58,2,FALSE),"")</f>
        <v/>
      </c>
      <c r="N2754" s="45" t="str">
        <f>IFERROR(VLOOKUP(B2754,'Pre-Summary'!$CD$6:$CF$64,2,FALSE),"")</f>
        <v/>
      </c>
      <c r="O2754" s="99">
        <f>IFERROR(VLOOKUP(B2754,'Pre-Summary'!$BO$6:$BQ$48,3, FALSE),O2753)</f>
        <v>2.1030000000000002</v>
      </c>
      <c r="P2754" s="99">
        <f>IFERROR(VLOOKUP(B2754,'Pre-Summary'!$BS$6:$BU$35,3,FALSE),P2753)</f>
        <v>0.53100000000000003</v>
      </c>
      <c r="Q2754" s="54">
        <f t="shared" si="126"/>
        <v>3.9604519774011302</v>
      </c>
      <c r="R2754" s="53">
        <f>IFERROR(VLOOKUP(B2754,'Pre-Summary'!$BG$6:$BM$44,7,FALSE),R2755)</f>
        <v>9.5351142367257502E-2</v>
      </c>
      <c r="S2754" s="53">
        <f>IFERROR(VLOOKUP(B2754,'Pre-Summary'!$BG$6:$BM$44,6,FALSE),S2755)</f>
        <v>0.10009321836402316</v>
      </c>
      <c r="T2754" s="45" t="str">
        <f>IFERROR(VLOOKUP(B2754,'Pre-Summary'!$Y$6:$AC$83, 3,FALSE),"")</f>
        <v/>
      </c>
      <c r="U2754" s="45" t="str">
        <f>IFERROR(VLOOKUP(B2754,'Pre-Summary'!$Y$6:$AC$83, 4,FALSE),"")</f>
        <v/>
      </c>
      <c r="V2754" t="str">
        <f>IFERROR(VLOOKUP(B2754,'Pre-Summary'!$Y$6:$AC$83, 5,FALSE),"")</f>
        <v/>
      </c>
      <c r="W2754" s="45" t="str">
        <f>IFERROR(VLOOKUP(B2754,'Pre-Summary'!$Y$6:$AD$83,6,FALSE),"")</f>
        <v/>
      </c>
      <c r="X2754" t="str">
        <f>IFERROR(VLOOKUP('Pre-Summary'!$DB$6:$DD$63,3,FALSE),"")</f>
        <v/>
      </c>
      <c r="Y2754" t="str">
        <f>IFERROR(VLOOKUP(B2754,'Pre-Summary'!$CR$6:$CT$36,3,FALSE),"")</f>
        <v/>
      </c>
      <c r="Z2754" s="45" t="str">
        <f>IFERROR(VLOOKUP(B2754,'Pre-Summary'!$BZ$6:$CB$63,2,FALSE),"")</f>
        <v/>
      </c>
      <c r="AA2754" s="45" t="str">
        <f>IFERROR(VLOOKUP(B2754,'Pre-Summary'!$CG$6:$CI$70,2,FALSE),"")</f>
        <v/>
      </c>
      <c r="AB2754" s="99">
        <f>IFERROR(VLOOKUP(B2754,'Pre-Summary'!$A$6:$P$178,9,FALSE),AB2755)</f>
        <v>0.7010379290946207</v>
      </c>
      <c r="AC2754" s="10">
        <f>IFERROR(VLOOKUP(Summary!B2754,'Pre-Summary'!$A$6:$P$184,5, FALSE)/100,AC2755)</f>
        <v>0.92607166666666674</v>
      </c>
      <c r="AD2754" s="10">
        <f>IFERROR(VLOOKUP(Summary!B2754,'Pre-Summary'!$A$6:$P$184,3, FALSE)/100,AD2755)</f>
        <v>5.4963666666666668E-2</v>
      </c>
      <c r="AE2754" s="10">
        <f>IFERROR(VLOOKUP(Summary!B2754,'Pre-Summary'!$A$6:$P$184,7, FALSE)/100,AE2755)</f>
        <v>1.8946666666666667E-2</v>
      </c>
      <c r="AF2754" s="99">
        <f t="shared" si="127"/>
        <v>3.8531615055447034E-2</v>
      </c>
      <c r="AG2754" s="99">
        <f t="shared" si="128"/>
        <v>1.3282331963246082E-2</v>
      </c>
      <c r="AH2754" s="10" t="str">
        <f>IFERROR(VLOOKUP(B2754,'Pre-Summary'!$AZ$6:$BE$65,3,FALSE),"")</f>
        <v/>
      </c>
      <c r="AI2754" s="10" t="str">
        <f>IFERROR(VLOOKUP(B2754,'Pre-Summary'!$AZ$6:$BE$65,5,FALSE),"")</f>
        <v/>
      </c>
      <c r="AJ2754" s="10" t="str">
        <f>IFERROR(VLOOKUP(B2754,'Pre-Summary'!$AZ$6:$BE$65,4,FALSE),"")</f>
        <v/>
      </c>
      <c r="AK2754" s="10" t="str">
        <f>IFERROR(VLOOKUP(B2754,'Pre-Summary'!$AZ$6:$BE$65,6,FALSE),"")</f>
        <v/>
      </c>
      <c r="AL2754" s="10" t="str">
        <f>IFERROR(VLOOKUP(B2754,'Pre-Summary'!$BG$6:$BL$44,3,FALSE),"")</f>
        <v/>
      </c>
      <c r="AM2754" s="10" t="str">
        <f>IFERROR(VLOOKUP(B2754,'Pre-Summary'!$BG$6:$BL$44,4,FALSE),"")</f>
        <v/>
      </c>
    </row>
    <row r="2755" spans="2:39" ht="15" customHeight="1" x14ac:dyDescent="0.3">
      <c r="B2755">
        <v>275.2</v>
      </c>
      <c r="C2755" t="str">
        <f>IFERROR(VLOOKUP(B2755,'Pre-Summary'!$DI$6:$DM$23,4,FALSE),"")</f>
        <v/>
      </c>
      <c r="D2755" s="10" t="str">
        <f>IFERROR(VLOOKUP(B2755,'Pre-Summary'!$AT$6:$AX$14,5,FALSE),D2754)</f>
        <v>Wolfe v3: went back to modified wolfe + EDTA and switched CuSO4 to CUCl2</v>
      </c>
      <c r="E2755" s="10" t="str">
        <f>IFERROR(VLOOKUP(B2755,'Pre-Summary'!$AT$6:$AX$15,4,FALSE),"")</f>
        <v/>
      </c>
      <c r="F2755">
        <f>IFERROR(VLOOKUP(B2755,'Pre-Summary'!$AL$6:$AQ$13,6,FALSE),F2754)</f>
        <v>5.9405263157894746E-2</v>
      </c>
      <c r="G2755" t="str">
        <f>IFERROR(VLOOKUP(B2755,'Pre-Summary'!$AE$6:$AJ$85,3,FALSE),"")</f>
        <v/>
      </c>
      <c r="H2755" t="str">
        <f>IFERROR(VLOOKUP(B2755,'Pre-Summary'!$AE$6:$AJ$85,4,FALSE),"")</f>
        <v/>
      </c>
      <c r="I2755" t="str">
        <f>IFERROR(VLOOKUP(B2755,'Pre-Summary'!$AE$6:$AJ$85,5,FALSE),"")</f>
        <v/>
      </c>
      <c r="J2755" s="45" t="str">
        <f>IFERROR(VLOOKUP(B2755,'Pre-Summary'!$AE$6:$AJ$85,6, FALSE),"")</f>
        <v/>
      </c>
      <c r="K2755" s="45" t="str">
        <f>IFERROR(VLOOKUP(B2755,'Pre-Summary'!$DE$6:$DG$61,3,FALSE),"")</f>
        <v/>
      </c>
      <c r="L2755" s="45" t="str">
        <f>IFERROR(VLOOKUP(B2755,'Pre-Summary'!$CU$6:$CW$36,3,FALSE),"")</f>
        <v/>
      </c>
      <c r="M2755" s="45" t="str">
        <f>IFERROR(VLOOKUP(B2755,'Pre-Summary'!$BW$6:$BY$58,2,FALSE),"")</f>
        <v/>
      </c>
      <c r="N2755" s="45" t="str">
        <f>IFERROR(VLOOKUP(B2755,'Pre-Summary'!$CD$6:$CF$64,2,FALSE),"")</f>
        <v/>
      </c>
      <c r="O2755" s="99">
        <f>IFERROR(VLOOKUP(B2755,'Pre-Summary'!$BO$6:$BQ$48,3, FALSE),O2754)</f>
        <v>2.1030000000000002</v>
      </c>
      <c r="P2755" s="99">
        <f>IFERROR(VLOOKUP(B2755,'Pre-Summary'!$BS$6:$BU$35,3,FALSE),P2754)</f>
        <v>0.53100000000000003</v>
      </c>
      <c r="Q2755" s="54">
        <f t="shared" ref="Q2755:Q2818" si="129">O2755/P2755</f>
        <v>3.9604519774011302</v>
      </c>
      <c r="R2755" s="53">
        <f>IFERROR(VLOOKUP(B2755,'Pre-Summary'!$BG$6:$BM$44,7,FALSE),R2756)</f>
        <v>9.5351142367257502E-2</v>
      </c>
      <c r="S2755" s="53">
        <f>IFERROR(VLOOKUP(B2755,'Pre-Summary'!$BG$6:$BM$44,6,FALSE),S2756)</f>
        <v>0.10009321836402316</v>
      </c>
      <c r="T2755" s="45" t="str">
        <f>IFERROR(VLOOKUP(B2755,'Pre-Summary'!$Y$6:$AC$83, 3,FALSE),"")</f>
        <v/>
      </c>
      <c r="U2755" s="45" t="str">
        <f>IFERROR(VLOOKUP(B2755,'Pre-Summary'!$Y$6:$AC$83, 4,FALSE),"")</f>
        <v/>
      </c>
      <c r="V2755" t="str">
        <f>IFERROR(VLOOKUP(B2755,'Pre-Summary'!$Y$6:$AC$83, 5,FALSE),"")</f>
        <v/>
      </c>
      <c r="W2755" s="45" t="str">
        <f>IFERROR(VLOOKUP(B2755,'Pre-Summary'!$Y$6:$AD$83,6,FALSE),"")</f>
        <v/>
      </c>
      <c r="X2755" t="str">
        <f>IFERROR(VLOOKUP('Pre-Summary'!$DB$6:$DD$63,3,FALSE),"")</f>
        <v/>
      </c>
      <c r="Y2755" t="str">
        <f>IFERROR(VLOOKUP(B2755,'Pre-Summary'!$CR$6:$CT$36,3,FALSE),"")</f>
        <v/>
      </c>
      <c r="Z2755" s="45" t="str">
        <f>IFERROR(VLOOKUP(B2755,'Pre-Summary'!$BZ$6:$CB$63,2,FALSE),"")</f>
        <v/>
      </c>
      <c r="AA2755" s="45" t="str">
        <f>IFERROR(VLOOKUP(B2755,'Pre-Summary'!$CG$6:$CI$70,2,FALSE),"")</f>
        <v/>
      </c>
      <c r="AB2755" s="99">
        <f>IFERROR(VLOOKUP(B2755,'Pre-Summary'!$A$6:$P$178,9,FALSE),AB2756)</f>
        <v>0.7010379290946207</v>
      </c>
      <c r="AC2755" s="10">
        <f>IFERROR(VLOOKUP(Summary!B2755,'Pre-Summary'!$A$6:$P$184,5, FALSE)/100,AC2756)</f>
        <v>0.92607166666666674</v>
      </c>
      <c r="AD2755" s="10">
        <f>IFERROR(VLOOKUP(Summary!B2755,'Pre-Summary'!$A$6:$P$184,3, FALSE)/100,AD2756)</f>
        <v>5.4963666666666668E-2</v>
      </c>
      <c r="AE2755" s="10">
        <f>IFERROR(VLOOKUP(Summary!B2755,'Pre-Summary'!$A$6:$P$184,7, FALSE)/100,AE2756)</f>
        <v>1.8946666666666667E-2</v>
      </c>
      <c r="AF2755" s="99">
        <f t="shared" ref="AF2755:AF2818" si="130">AD2755*AB2755</f>
        <v>3.8531615055447034E-2</v>
      </c>
      <c r="AG2755" s="99">
        <f t="shared" ref="AG2755:AG2818" si="131">AB2755*AE2755</f>
        <v>1.3282331963246082E-2</v>
      </c>
      <c r="AH2755" s="10" t="str">
        <f>IFERROR(VLOOKUP(B2755,'Pre-Summary'!$AZ$6:$BE$65,3,FALSE),"")</f>
        <v/>
      </c>
      <c r="AI2755" s="10" t="str">
        <f>IFERROR(VLOOKUP(B2755,'Pre-Summary'!$AZ$6:$BE$65,5,FALSE),"")</f>
        <v/>
      </c>
      <c r="AJ2755" s="10" t="str">
        <f>IFERROR(VLOOKUP(B2755,'Pre-Summary'!$AZ$6:$BE$65,4,FALSE),"")</f>
        <v/>
      </c>
      <c r="AK2755" s="10" t="str">
        <f>IFERROR(VLOOKUP(B2755,'Pre-Summary'!$AZ$6:$BE$65,6,FALSE),"")</f>
        <v/>
      </c>
      <c r="AL2755" s="10" t="str">
        <f>IFERROR(VLOOKUP(B2755,'Pre-Summary'!$BG$6:$BL$44,3,FALSE),"")</f>
        <v/>
      </c>
      <c r="AM2755" s="10" t="str">
        <f>IFERROR(VLOOKUP(B2755,'Pre-Summary'!$BG$6:$BL$44,4,FALSE),"")</f>
        <v/>
      </c>
    </row>
    <row r="2756" spans="2:39" ht="15" customHeight="1" x14ac:dyDescent="0.3">
      <c r="B2756">
        <v>275.3</v>
      </c>
      <c r="C2756" t="str">
        <f>IFERROR(VLOOKUP(B2756,'Pre-Summary'!$DI$6:$DM$23,4,FALSE),"")</f>
        <v/>
      </c>
      <c r="D2756" s="10" t="str">
        <f>IFERROR(VLOOKUP(B2756,'Pre-Summary'!$AT$6:$AX$14,5,FALSE),D2755)</f>
        <v>Wolfe v3: went back to modified wolfe + EDTA and switched CuSO4 to CUCl2</v>
      </c>
      <c r="E2756" s="10" t="str">
        <f>IFERROR(VLOOKUP(B2756,'Pre-Summary'!$AT$6:$AX$15,4,FALSE),"")</f>
        <v/>
      </c>
      <c r="F2756">
        <f>IFERROR(VLOOKUP(B2756,'Pre-Summary'!$AL$6:$AQ$13,6,FALSE),F2755)</f>
        <v>5.9405263157894746E-2</v>
      </c>
      <c r="G2756" t="str">
        <f>IFERROR(VLOOKUP(B2756,'Pre-Summary'!$AE$6:$AJ$85,3,FALSE),"")</f>
        <v/>
      </c>
      <c r="H2756" t="str">
        <f>IFERROR(VLOOKUP(B2756,'Pre-Summary'!$AE$6:$AJ$85,4,FALSE),"")</f>
        <v/>
      </c>
      <c r="I2756" t="str">
        <f>IFERROR(VLOOKUP(B2756,'Pre-Summary'!$AE$6:$AJ$85,5,FALSE),"")</f>
        <v/>
      </c>
      <c r="J2756" s="45" t="str">
        <f>IFERROR(VLOOKUP(B2756,'Pre-Summary'!$AE$6:$AJ$85,6, FALSE),"")</f>
        <v/>
      </c>
      <c r="K2756" s="45" t="str">
        <f>IFERROR(VLOOKUP(B2756,'Pre-Summary'!$DE$6:$DG$61,3,FALSE),"")</f>
        <v/>
      </c>
      <c r="L2756" s="45" t="str">
        <f>IFERROR(VLOOKUP(B2756,'Pre-Summary'!$CU$6:$CW$36,3,FALSE),"")</f>
        <v/>
      </c>
      <c r="M2756" s="45" t="str">
        <f>IFERROR(VLOOKUP(B2756,'Pre-Summary'!$BW$6:$BY$58,2,FALSE),"")</f>
        <v/>
      </c>
      <c r="N2756" s="45" t="str">
        <f>IFERROR(VLOOKUP(B2756,'Pre-Summary'!$CD$6:$CF$64,2,FALSE),"")</f>
        <v/>
      </c>
      <c r="O2756" s="99">
        <f>IFERROR(VLOOKUP(B2756,'Pre-Summary'!$BO$6:$BQ$48,3, FALSE),O2755)</f>
        <v>2.1030000000000002</v>
      </c>
      <c r="P2756" s="99">
        <f>IFERROR(VLOOKUP(B2756,'Pre-Summary'!$BS$6:$BU$35,3,FALSE),P2755)</f>
        <v>0.53100000000000003</v>
      </c>
      <c r="Q2756" s="54">
        <f t="shared" si="129"/>
        <v>3.9604519774011302</v>
      </c>
      <c r="R2756" s="53">
        <f>IFERROR(VLOOKUP(B2756,'Pre-Summary'!$BG$6:$BM$44,7,FALSE),R2757)</f>
        <v>9.5351142367257502E-2</v>
      </c>
      <c r="S2756" s="53">
        <f>IFERROR(VLOOKUP(B2756,'Pre-Summary'!$BG$6:$BM$44,6,FALSE),S2757)</f>
        <v>0.10009321836402316</v>
      </c>
      <c r="T2756" s="45" t="str">
        <f>IFERROR(VLOOKUP(B2756,'Pre-Summary'!$Y$6:$AC$83, 3,FALSE),"")</f>
        <v/>
      </c>
      <c r="U2756" s="45" t="str">
        <f>IFERROR(VLOOKUP(B2756,'Pre-Summary'!$Y$6:$AC$83, 4,FALSE),"")</f>
        <v/>
      </c>
      <c r="V2756" t="str">
        <f>IFERROR(VLOOKUP(B2756,'Pre-Summary'!$Y$6:$AC$83, 5,FALSE),"")</f>
        <v/>
      </c>
      <c r="W2756" s="45" t="str">
        <f>IFERROR(VLOOKUP(B2756,'Pre-Summary'!$Y$6:$AD$83,6,FALSE),"")</f>
        <v/>
      </c>
      <c r="X2756" t="str">
        <f>IFERROR(VLOOKUP('Pre-Summary'!$DB$6:$DD$63,3,FALSE),"")</f>
        <v/>
      </c>
      <c r="Y2756" t="str">
        <f>IFERROR(VLOOKUP(B2756,'Pre-Summary'!$CR$6:$CT$36,3,FALSE),"")</f>
        <v/>
      </c>
      <c r="Z2756" s="45" t="str">
        <f>IFERROR(VLOOKUP(B2756,'Pre-Summary'!$BZ$6:$CB$63,2,FALSE),"")</f>
        <v/>
      </c>
      <c r="AA2756" s="45" t="str">
        <f>IFERROR(VLOOKUP(B2756,'Pre-Summary'!$CG$6:$CI$70,2,FALSE),"")</f>
        <v/>
      </c>
      <c r="AB2756" s="99">
        <f>IFERROR(VLOOKUP(B2756,'Pre-Summary'!$A$6:$P$178,9,FALSE),AB2757)</f>
        <v>0.7010379290946207</v>
      </c>
      <c r="AC2756" s="10">
        <f>IFERROR(VLOOKUP(Summary!B2756,'Pre-Summary'!$A$6:$P$184,5, FALSE)/100,AC2757)</f>
        <v>0.92607166666666674</v>
      </c>
      <c r="AD2756" s="10">
        <f>IFERROR(VLOOKUP(Summary!B2756,'Pre-Summary'!$A$6:$P$184,3, FALSE)/100,AD2757)</f>
        <v>5.4963666666666668E-2</v>
      </c>
      <c r="AE2756" s="10">
        <f>IFERROR(VLOOKUP(Summary!B2756,'Pre-Summary'!$A$6:$P$184,7, FALSE)/100,AE2757)</f>
        <v>1.8946666666666667E-2</v>
      </c>
      <c r="AF2756" s="99">
        <f t="shared" si="130"/>
        <v>3.8531615055447034E-2</v>
      </c>
      <c r="AG2756" s="99">
        <f t="shared" si="131"/>
        <v>1.3282331963246082E-2</v>
      </c>
      <c r="AH2756" s="10" t="str">
        <f>IFERROR(VLOOKUP(B2756,'Pre-Summary'!$AZ$6:$BE$65,3,FALSE),"")</f>
        <v/>
      </c>
      <c r="AI2756" s="10" t="str">
        <f>IFERROR(VLOOKUP(B2756,'Pre-Summary'!$AZ$6:$BE$65,5,FALSE),"")</f>
        <v/>
      </c>
      <c r="AJ2756" s="10" t="str">
        <f>IFERROR(VLOOKUP(B2756,'Pre-Summary'!$AZ$6:$BE$65,4,FALSE),"")</f>
        <v/>
      </c>
      <c r="AK2756" s="10" t="str">
        <f>IFERROR(VLOOKUP(B2756,'Pre-Summary'!$AZ$6:$BE$65,6,FALSE),"")</f>
        <v/>
      </c>
      <c r="AL2756" s="10" t="str">
        <f>IFERROR(VLOOKUP(B2756,'Pre-Summary'!$BG$6:$BL$44,3,FALSE),"")</f>
        <v/>
      </c>
      <c r="AM2756" s="10" t="str">
        <f>IFERROR(VLOOKUP(B2756,'Pre-Summary'!$BG$6:$BL$44,4,FALSE),"")</f>
        <v/>
      </c>
    </row>
    <row r="2757" spans="2:39" ht="15" customHeight="1" x14ac:dyDescent="0.3">
      <c r="B2757">
        <v>275.39999999999998</v>
      </c>
      <c r="C2757" t="str">
        <f>IFERROR(VLOOKUP(B2757,'Pre-Summary'!$DI$6:$DM$23,4,FALSE),"")</f>
        <v/>
      </c>
      <c r="D2757" s="10" t="str">
        <f>IFERROR(VLOOKUP(B2757,'Pre-Summary'!$AT$6:$AX$14,5,FALSE),D2756)</f>
        <v>Wolfe v3: went back to modified wolfe + EDTA and switched CuSO4 to CUCl2</v>
      </c>
      <c r="E2757" s="10" t="str">
        <f>IFERROR(VLOOKUP(B2757,'Pre-Summary'!$AT$6:$AX$15,4,FALSE),"")</f>
        <v/>
      </c>
      <c r="F2757">
        <f>IFERROR(VLOOKUP(B2757,'Pre-Summary'!$AL$6:$AQ$13,6,FALSE),F2756)</f>
        <v>5.9405263157894746E-2</v>
      </c>
      <c r="G2757" t="str">
        <f>IFERROR(VLOOKUP(B2757,'Pre-Summary'!$AE$6:$AJ$85,3,FALSE),"")</f>
        <v/>
      </c>
      <c r="H2757" t="str">
        <f>IFERROR(VLOOKUP(B2757,'Pre-Summary'!$AE$6:$AJ$85,4,FALSE),"")</f>
        <v/>
      </c>
      <c r="I2757" t="str">
        <f>IFERROR(VLOOKUP(B2757,'Pre-Summary'!$AE$6:$AJ$85,5,FALSE),"")</f>
        <v/>
      </c>
      <c r="J2757" s="45" t="str">
        <f>IFERROR(VLOOKUP(B2757,'Pre-Summary'!$AE$6:$AJ$85,6, FALSE),"")</f>
        <v/>
      </c>
      <c r="K2757" s="45" t="str">
        <f>IFERROR(VLOOKUP(B2757,'Pre-Summary'!$DE$6:$DG$61,3,FALSE),"")</f>
        <v/>
      </c>
      <c r="L2757" s="45" t="str">
        <f>IFERROR(VLOOKUP(B2757,'Pre-Summary'!$CU$6:$CW$36,3,FALSE),"")</f>
        <v/>
      </c>
      <c r="M2757" s="45" t="str">
        <f>IFERROR(VLOOKUP(B2757,'Pre-Summary'!$BW$6:$BY$58,2,FALSE),"")</f>
        <v/>
      </c>
      <c r="N2757" s="45" t="str">
        <f>IFERROR(VLOOKUP(B2757,'Pre-Summary'!$CD$6:$CF$64,2,FALSE),"")</f>
        <v/>
      </c>
      <c r="O2757" s="99">
        <f>IFERROR(VLOOKUP(B2757,'Pre-Summary'!$BO$6:$BQ$48,3, FALSE),O2756)</f>
        <v>2.1030000000000002</v>
      </c>
      <c r="P2757" s="99">
        <f>IFERROR(VLOOKUP(B2757,'Pre-Summary'!$BS$6:$BU$35,3,FALSE),P2756)</f>
        <v>0.53100000000000003</v>
      </c>
      <c r="Q2757" s="54">
        <f t="shared" si="129"/>
        <v>3.9604519774011302</v>
      </c>
      <c r="R2757" s="53">
        <f>IFERROR(VLOOKUP(B2757,'Pre-Summary'!$BG$6:$BM$44,7,FALSE),R2758)</f>
        <v>9.5351142367257502E-2</v>
      </c>
      <c r="S2757" s="53">
        <f>IFERROR(VLOOKUP(B2757,'Pre-Summary'!$BG$6:$BM$44,6,FALSE),S2758)</f>
        <v>0.10009321836402316</v>
      </c>
      <c r="T2757" s="45" t="str">
        <f>IFERROR(VLOOKUP(B2757,'Pre-Summary'!$Y$6:$AC$83, 3,FALSE),"")</f>
        <v/>
      </c>
      <c r="U2757" s="45" t="str">
        <f>IFERROR(VLOOKUP(B2757,'Pre-Summary'!$Y$6:$AC$83, 4,FALSE),"")</f>
        <v/>
      </c>
      <c r="V2757" t="str">
        <f>IFERROR(VLOOKUP(B2757,'Pre-Summary'!$Y$6:$AC$83, 5,FALSE),"")</f>
        <v/>
      </c>
      <c r="W2757" s="45" t="str">
        <f>IFERROR(VLOOKUP(B2757,'Pre-Summary'!$Y$6:$AD$83,6,FALSE),"")</f>
        <v/>
      </c>
      <c r="X2757" t="str">
        <f>IFERROR(VLOOKUP('Pre-Summary'!$DB$6:$DD$63,3,FALSE),"")</f>
        <v/>
      </c>
      <c r="Y2757" t="str">
        <f>IFERROR(VLOOKUP(B2757,'Pre-Summary'!$CR$6:$CT$36,3,FALSE),"")</f>
        <v/>
      </c>
      <c r="Z2757" s="45" t="str">
        <f>IFERROR(VLOOKUP(B2757,'Pre-Summary'!$BZ$6:$CB$63,2,FALSE),"")</f>
        <v/>
      </c>
      <c r="AA2757" s="45" t="str">
        <f>IFERROR(VLOOKUP(B2757,'Pre-Summary'!$CG$6:$CI$70,2,FALSE),"")</f>
        <v/>
      </c>
      <c r="AB2757" s="99">
        <f>IFERROR(VLOOKUP(B2757,'Pre-Summary'!$A$6:$P$178,9,FALSE),AB2758)</f>
        <v>0.7010379290946207</v>
      </c>
      <c r="AC2757" s="10">
        <f>IFERROR(VLOOKUP(Summary!B2757,'Pre-Summary'!$A$6:$P$184,5, FALSE)/100,AC2758)</f>
        <v>0.92607166666666674</v>
      </c>
      <c r="AD2757" s="10">
        <f>IFERROR(VLOOKUP(Summary!B2757,'Pre-Summary'!$A$6:$P$184,3, FALSE)/100,AD2758)</f>
        <v>5.4963666666666668E-2</v>
      </c>
      <c r="AE2757" s="10">
        <f>IFERROR(VLOOKUP(Summary!B2757,'Pre-Summary'!$A$6:$P$184,7, FALSE)/100,AE2758)</f>
        <v>1.8946666666666667E-2</v>
      </c>
      <c r="AF2757" s="99">
        <f t="shared" si="130"/>
        <v>3.8531615055447034E-2</v>
      </c>
      <c r="AG2757" s="99">
        <f t="shared" si="131"/>
        <v>1.3282331963246082E-2</v>
      </c>
      <c r="AH2757" s="10" t="str">
        <f>IFERROR(VLOOKUP(B2757,'Pre-Summary'!$AZ$6:$BE$65,3,FALSE),"")</f>
        <v/>
      </c>
      <c r="AI2757" s="10" t="str">
        <f>IFERROR(VLOOKUP(B2757,'Pre-Summary'!$AZ$6:$BE$65,5,FALSE),"")</f>
        <v/>
      </c>
      <c r="AJ2757" s="10" t="str">
        <f>IFERROR(VLOOKUP(B2757,'Pre-Summary'!$AZ$6:$BE$65,4,FALSE),"")</f>
        <v/>
      </c>
      <c r="AK2757" s="10" t="str">
        <f>IFERROR(VLOOKUP(B2757,'Pre-Summary'!$AZ$6:$BE$65,6,FALSE),"")</f>
        <v/>
      </c>
      <c r="AL2757" s="10" t="str">
        <f>IFERROR(VLOOKUP(B2757,'Pre-Summary'!$BG$6:$BL$44,3,FALSE),"")</f>
        <v/>
      </c>
      <c r="AM2757" s="10" t="str">
        <f>IFERROR(VLOOKUP(B2757,'Pre-Summary'!$BG$6:$BL$44,4,FALSE),"")</f>
        <v/>
      </c>
    </row>
    <row r="2758" spans="2:39" ht="15" customHeight="1" x14ac:dyDescent="0.3">
      <c r="B2758">
        <v>275.5</v>
      </c>
      <c r="C2758" t="str">
        <f>IFERROR(VLOOKUP(B2758,'Pre-Summary'!$DI$6:$DM$23,4,FALSE),"")</f>
        <v/>
      </c>
      <c r="D2758" s="10" t="str">
        <f>IFERROR(VLOOKUP(B2758,'Pre-Summary'!$AT$6:$AX$14,5,FALSE),D2757)</f>
        <v>Wolfe v3: went back to modified wolfe + EDTA and switched CuSO4 to CUCl2</v>
      </c>
      <c r="E2758" s="10" t="str">
        <f>IFERROR(VLOOKUP(B2758,'Pre-Summary'!$AT$6:$AX$15,4,FALSE),"")</f>
        <v/>
      </c>
      <c r="F2758">
        <f>IFERROR(VLOOKUP(B2758,'Pre-Summary'!$AL$6:$AQ$13,6,FALSE),F2757)</f>
        <v>5.9405263157894746E-2</v>
      </c>
      <c r="G2758">
        <f>IFERROR(VLOOKUP(B2758,'Pre-Summary'!$AE$6:$AJ$85,3,FALSE),"")</f>
        <v>7.4585095570000002</v>
      </c>
      <c r="H2758" t="str">
        <f>IFERROR(VLOOKUP(B2758,'Pre-Summary'!$AE$6:$AJ$85,4,FALSE),"")</f>
        <v/>
      </c>
      <c r="I2758" t="str">
        <f>IFERROR(VLOOKUP(B2758,'Pre-Summary'!$AE$6:$AJ$85,5,FALSE),"")</f>
        <v/>
      </c>
      <c r="J2758" s="45">
        <f>IFERROR(VLOOKUP(B2758,'Pre-Summary'!$AE$6:$AJ$85,6, FALSE),"")</f>
        <v>7.9582296973190001</v>
      </c>
      <c r="K2758" s="45" t="str">
        <f>IFERROR(VLOOKUP(B2758,'Pre-Summary'!$DE$6:$DG$61,3,FALSE),"")</f>
        <v/>
      </c>
      <c r="L2758" s="45" t="str">
        <f>IFERROR(VLOOKUP(B2758,'Pre-Summary'!$CU$6:$CW$36,3,FALSE),"")</f>
        <v/>
      </c>
      <c r="M2758" s="45" t="str">
        <f>IFERROR(VLOOKUP(B2758,'Pre-Summary'!$BW$6:$BY$58,2,FALSE),"")</f>
        <v/>
      </c>
      <c r="N2758" s="45" t="str">
        <f>IFERROR(VLOOKUP(B2758,'Pre-Summary'!$CD$6:$CF$64,2,FALSE),"")</f>
        <v/>
      </c>
      <c r="O2758" s="99">
        <f>IFERROR(VLOOKUP(B2758,'Pre-Summary'!$BO$6:$BQ$48,3, FALSE),O2757)</f>
        <v>2.1030000000000002</v>
      </c>
      <c r="P2758" s="99">
        <f>IFERROR(VLOOKUP(B2758,'Pre-Summary'!$BS$6:$BU$35,3,FALSE),P2757)</f>
        <v>0.53100000000000003</v>
      </c>
      <c r="Q2758" s="54">
        <f t="shared" si="129"/>
        <v>3.9604519774011302</v>
      </c>
      <c r="R2758" s="53">
        <f>IFERROR(VLOOKUP(B2758,'Pre-Summary'!$BG$6:$BM$44,7,FALSE),R2759)</f>
        <v>9.5351142367257502E-2</v>
      </c>
      <c r="S2758" s="53">
        <f>IFERROR(VLOOKUP(B2758,'Pre-Summary'!$BG$6:$BM$44,6,FALSE),S2759)</f>
        <v>0.10009321836402316</v>
      </c>
      <c r="T2758" s="45">
        <f>IFERROR(VLOOKUP(B2758,'Pre-Summary'!$Y$6:$AC$83, 3,FALSE),"")</f>
        <v>1.9095812670000001</v>
      </c>
      <c r="U2758" s="45" t="str">
        <f>IFERROR(VLOOKUP(B2758,'Pre-Summary'!$Y$6:$AC$83, 4,FALSE),"")</f>
        <v/>
      </c>
      <c r="V2758" t="str">
        <f>IFERROR(VLOOKUP(B2758,'Pre-Summary'!$Y$6:$AC$83, 5,FALSE),"")</f>
        <v/>
      </c>
      <c r="W2758" s="45">
        <f>IFERROR(VLOOKUP(B2758,'Pre-Summary'!$Y$6:$AD$83,6,FALSE),"")</f>
        <v>2.0375232118889999</v>
      </c>
      <c r="X2758" t="str">
        <f>IFERROR(VLOOKUP('Pre-Summary'!$DB$6:$DD$63,3,FALSE),"")</f>
        <v/>
      </c>
      <c r="Y2758" t="str">
        <f>IFERROR(VLOOKUP(B2758,'Pre-Summary'!$CR$6:$CT$36,3,FALSE),"")</f>
        <v/>
      </c>
      <c r="Z2758" s="45" t="str">
        <f>IFERROR(VLOOKUP(B2758,'Pre-Summary'!$BZ$6:$CB$63,2,FALSE),"")</f>
        <v/>
      </c>
      <c r="AA2758" s="45" t="str">
        <f>IFERROR(VLOOKUP(B2758,'Pre-Summary'!$CG$6:$CI$70,2,FALSE),"")</f>
        <v/>
      </c>
      <c r="AB2758" s="99">
        <f>IFERROR(VLOOKUP(B2758,'Pre-Summary'!$A$6:$P$178,9,FALSE),AB2759)</f>
        <v>0.7010379290946207</v>
      </c>
      <c r="AC2758" s="10">
        <f>IFERROR(VLOOKUP(Summary!B2758,'Pre-Summary'!$A$6:$P$184,5, FALSE)/100,AC2759)</f>
        <v>0.92607166666666674</v>
      </c>
      <c r="AD2758" s="10">
        <f>IFERROR(VLOOKUP(Summary!B2758,'Pre-Summary'!$A$6:$P$184,3, FALSE)/100,AD2759)</f>
        <v>5.4963666666666668E-2</v>
      </c>
      <c r="AE2758" s="10">
        <f>IFERROR(VLOOKUP(Summary!B2758,'Pre-Summary'!$A$6:$P$184,7, FALSE)/100,AE2759)</f>
        <v>1.8946666666666667E-2</v>
      </c>
      <c r="AF2758" s="99">
        <f t="shared" si="130"/>
        <v>3.8531615055447034E-2</v>
      </c>
      <c r="AG2758" s="99">
        <f t="shared" si="131"/>
        <v>1.3282331963246082E-2</v>
      </c>
      <c r="AH2758" s="10" t="str">
        <f>IFERROR(VLOOKUP(B2758,'Pre-Summary'!$AZ$6:$BE$65,3,FALSE),"")</f>
        <v/>
      </c>
      <c r="AI2758" s="10" t="str">
        <f>IFERROR(VLOOKUP(B2758,'Pre-Summary'!$AZ$6:$BE$65,5,FALSE),"")</f>
        <v/>
      </c>
      <c r="AJ2758" s="10" t="str">
        <f>IFERROR(VLOOKUP(B2758,'Pre-Summary'!$AZ$6:$BE$65,4,FALSE),"")</f>
        <v/>
      </c>
      <c r="AK2758" s="10" t="str">
        <f>IFERROR(VLOOKUP(B2758,'Pre-Summary'!$AZ$6:$BE$65,6,FALSE),"")</f>
        <v/>
      </c>
      <c r="AL2758" s="10" t="str">
        <f>IFERROR(VLOOKUP(B2758,'Pre-Summary'!$BG$6:$BL$44,3,FALSE),"")</f>
        <v/>
      </c>
      <c r="AM2758" s="10" t="str">
        <f>IFERROR(VLOOKUP(B2758,'Pre-Summary'!$BG$6:$BL$44,4,FALSE),"")</f>
        <v/>
      </c>
    </row>
    <row r="2759" spans="2:39" ht="15" customHeight="1" x14ac:dyDescent="0.3">
      <c r="B2759">
        <v>275.60000000000002</v>
      </c>
      <c r="C2759" t="str">
        <f>IFERROR(VLOOKUP(B2759,'Pre-Summary'!$DI$6:$DM$23,4,FALSE),"")</f>
        <v/>
      </c>
      <c r="D2759" s="10" t="str">
        <f>IFERROR(VLOOKUP(B2759,'Pre-Summary'!$AT$6:$AX$14,5,FALSE),D2758)</f>
        <v>Wolfe v3: went back to modified wolfe + EDTA and switched CuSO4 to CUCl2</v>
      </c>
      <c r="E2759" s="10" t="str">
        <f>IFERROR(VLOOKUP(B2759,'Pre-Summary'!$AT$6:$AX$15,4,FALSE),"")</f>
        <v/>
      </c>
      <c r="F2759">
        <f>IFERROR(VLOOKUP(B2759,'Pre-Summary'!$AL$6:$AQ$13,6,FALSE),F2758)</f>
        <v>5.9405263157894746E-2</v>
      </c>
      <c r="G2759" t="str">
        <f>IFERROR(VLOOKUP(B2759,'Pre-Summary'!$AE$6:$AJ$85,3,FALSE),"")</f>
        <v/>
      </c>
      <c r="H2759" t="str">
        <f>IFERROR(VLOOKUP(B2759,'Pre-Summary'!$AE$6:$AJ$85,4,FALSE),"")</f>
        <v/>
      </c>
      <c r="I2759" t="str">
        <f>IFERROR(VLOOKUP(B2759,'Pre-Summary'!$AE$6:$AJ$85,5,FALSE),"")</f>
        <v/>
      </c>
      <c r="J2759" s="45" t="str">
        <f>IFERROR(VLOOKUP(B2759,'Pre-Summary'!$AE$6:$AJ$85,6, FALSE),"")</f>
        <v/>
      </c>
      <c r="K2759" s="45" t="str">
        <f>IFERROR(VLOOKUP(B2759,'Pre-Summary'!$DE$6:$DG$61,3,FALSE),"")</f>
        <v/>
      </c>
      <c r="L2759" s="45" t="str">
        <f>IFERROR(VLOOKUP(B2759,'Pre-Summary'!$CU$6:$CW$36,3,FALSE),"")</f>
        <v/>
      </c>
      <c r="M2759" s="45" t="str">
        <f>IFERROR(VLOOKUP(B2759,'Pre-Summary'!$BW$6:$BY$58,2,FALSE),"")</f>
        <v/>
      </c>
      <c r="N2759" s="45" t="str">
        <f>IFERROR(VLOOKUP(B2759,'Pre-Summary'!$CD$6:$CF$64,2,FALSE),"")</f>
        <v/>
      </c>
      <c r="O2759" s="99">
        <f>IFERROR(VLOOKUP(B2759,'Pre-Summary'!$BO$6:$BQ$48,3, FALSE),O2758)</f>
        <v>2.1030000000000002</v>
      </c>
      <c r="P2759" s="99">
        <f>IFERROR(VLOOKUP(B2759,'Pre-Summary'!$BS$6:$BU$35,3,FALSE),P2758)</f>
        <v>0.53100000000000003</v>
      </c>
      <c r="Q2759" s="54">
        <f t="shared" si="129"/>
        <v>3.9604519774011302</v>
      </c>
      <c r="R2759" s="53">
        <f>IFERROR(VLOOKUP(B2759,'Pre-Summary'!$BG$6:$BM$44,7,FALSE),R2760)</f>
        <v>9.5351142367257502E-2</v>
      </c>
      <c r="S2759" s="53">
        <f>IFERROR(VLOOKUP(B2759,'Pre-Summary'!$BG$6:$BM$44,6,FALSE),S2760)</f>
        <v>0.10009321836402316</v>
      </c>
      <c r="T2759" s="45" t="str">
        <f>IFERROR(VLOOKUP(B2759,'Pre-Summary'!$Y$6:$AC$83, 3,FALSE),"")</f>
        <v/>
      </c>
      <c r="U2759" s="45" t="str">
        <f>IFERROR(VLOOKUP(B2759,'Pre-Summary'!$Y$6:$AC$83, 4,FALSE),"")</f>
        <v/>
      </c>
      <c r="V2759" t="str">
        <f>IFERROR(VLOOKUP(B2759,'Pre-Summary'!$Y$6:$AC$83, 5,FALSE),"")</f>
        <v/>
      </c>
      <c r="W2759" s="45" t="str">
        <f>IFERROR(VLOOKUP(B2759,'Pre-Summary'!$Y$6:$AD$83,6,FALSE),"")</f>
        <v/>
      </c>
      <c r="X2759" t="str">
        <f>IFERROR(VLOOKUP('Pre-Summary'!$DB$6:$DD$63,3,FALSE),"")</f>
        <v/>
      </c>
      <c r="Y2759" t="str">
        <f>IFERROR(VLOOKUP(B2759,'Pre-Summary'!$CR$6:$CT$36,3,FALSE),"")</f>
        <v/>
      </c>
      <c r="Z2759" s="45" t="str">
        <f>IFERROR(VLOOKUP(B2759,'Pre-Summary'!$BZ$6:$CB$63,2,FALSE),"")</f>
        <v/>
      </c>
      <c r="AA2759" s="45" t="str">
        <f>IFERROR(VLOOKUP(B2759,'Pre-Summary'!$CG$6:$CI$70,2,FALSE),"")</f>
        <v/>
      </c>
      <c r="AB2759" s="99">
        <f>IFERROR(VLOOKUP(B2759,'Pre-Summary'!$A$6:$P$178,9,FALSE),AB2760)</f>
        <v>0.7010379290946207</v>
      </c>
      <c r="AC2759" s="10">
        <f>IFERROR(VLOOKUP(Summary!B2759,'Pre-Summary'!$A$6:$P$184,5, FALSE)/100,AC2760)</f>
        <v>0.92607166666666674</v>
      </c>
      <c r="AD2759" s="10">
        <f>IFERROR(VLOOKUP(Summary!B2759,'Pre-Summary'!$A$6:$P$184,3, FALSE)/100,AD2760)</f>
        <v>5.4963666666666668E-2</v>
      </c>
      <c r="AE2759" s="10">
        <f>IFERROR(VLOOKUP(Summary!B2759,'Pre-Summary'!$A$6:$P$184,7, FALSE)/100,AE2760)</f>
        <v>1.8946666666666667E-2</v>
      </c>
      <c r="AF2759" s="99">
        <f t="shared" si="130"/>
        <v>3.8531615055447034E-2</v>
      </c>
      <c r="AG2759" s="99">
        <f t="shared" si="131"/>
        <v>1.3282331963246082E-2</v>
      </c>
      <c r="AH2759" s="10" t="str">
        <f>IFERROR(VLOOKUP(B2759,'Pre-Summary'!$AZ$6:$BE$65,3,FALSE),"")</f>
        <v/>
      </c>
      <c r="AI2759" s="10" t="str">
        <f>IFERROR(VLOOKUP(B2759,'Pre-Summary'!$AZ$6:$BE$65,5,FALSE),"")</f>
        <v/>
      </c>
      <c r="AJ2759" s="10" t="str">
        <f>IFERROR(VLOOKUP(B2759,'Pre-Summary'!$AZ$6:$BE$65,4,FALSE),"")</f>
        <v/>
      </c>
      <c r="AK2759" s="10" t="str">
        <f>IFERROR(VLOOKUP(B2759,'Pre-Summary'!$AZ$6:$BE$65,6,FALSE),"")</f>
        <v/>
      </c>
      <c r="AL2759" s="10" t="str">
        <f>IFERROR(VLOOKUP(B2759,'Pre-Summary'!$BG$6:$BL$44,3,FALSE),"")</f>
        <v/>
      </c>
      <c r="AM2759" s="10" t="str">
        <f>IFERROR(VLOOKUP(B2759,'Pre-Summary'!$BG$6:$BL$44,4,FALSE),"")</f>
        <v/>
      </c>
    </row>
    <row r="2760" spans="2:39" ht="15" customHeight="1" x14ac:dyDescent="0.3">
      <c r="B2760">
        <v>275.7</v>
      </c>
      <c r="C2760" t="str">
        <f>IFERROR(VLOOKUP(B2760,'Pre-Summary'!$DI$6:$DM$23,4,FALSE),"")</f>
        <v/>
      </c>
      <c r="D2760" s="10" t="str">
        <f>IFERROR(VLOOKUP(B2760,'Pre-Summary'!$AT$6:$AX$14,5,FALSE),D2759)</f>
        <v>Wolfe v3: went back to modified wolfe + EDTA and switched CuSO4 to CUCl2</v>
      </c>
      <c r="E2760" s="10" t="str">
        <f>IFERROR(VLOOKUP(B2760,'Pre-Summary'!$AT$6:$AX$15,4,FALSE),"")</f>
        <v/>
      </c>
      <c r="F2760">
        <f>IFERROR(VLOOKUP(B2760,'Pre-Summary'!$AL$6:$AQ$13,6,FALSE),F2759)</f>
        <v>5.9405263157894746E-2</v>
      </c>
      <c r="G2760" t="str">
        <f>IFERROR(VLOOKUP(B2760,'Pre-Summary'!$AE$6:$AJ$85,3,FALSE),"")</f>
        <v/>
      </c>
      <c r="H2760" t="str">
        <f>IFERROR(VLOOKUP(B2760,'Pre-Summary'!$AE$6:$AJ$85,4,FALSE),"")</f>
        <v/>
      </c>
      <c r="I2760" t="str">
        <f>IFERROR(VLOOKUP(B2760,'Pre-Summary'!$AE$6:$AJ$85,5,FALSE),"")</f>
        <v/>
      </c>
      <c r="J2760" s="45" t="str">
        <f>IFERROR(VLOOKUP(B2760,'Pre-Summary'!$AE$6:$AJ$85,6, FALSE),"")</f>
        <v/>
      </c>
      <c r="K2760" s="45" t="str">
        <f>IFERROR(VLOOKUP(B2760,'Pre-Summary'!$DE$6:$DG$61,3,FALSE),"")</f>
        <v/>
      </c>
      <c r="L2760" s="45" t="str">
        <f>IFERROR(VLOOKUP(B2760,'Pre-Summary'!$CU$6:$CW$36,3,FALSE),"")</f>
        <v/>
      </c>
      <c r="M2760" s="45" t="str">
        <f>IFERROR(VLOOKUP(B2760,'Pre-Summary'!$BW$6:$BY$58,2,FALSE),"")</f>
        <v/>
      </c>
      <c r="N2760" s="45" t="str">
        <f>IFERROR(VLOOKUP(B2760,'Pre-Summary'!$CD$6:$CF$64,2,FALSE),"")</f>
        <v/>
      </c>
      <c r="O2760" s="99">
        <f>IFERROR(VLOOKUP(B2760,'Pre-Summary'!$BO$6:$BQ$48,3, FALSE),O2759)</f>
        <v>2.1030000000000002</v>
      </c>
      <c r="P2760" s="99">
        <f>IFERROR(VLOOKUP(B2760,'Pre-Summary'!$BS$6:$BU$35,3,FALSE),P2759)</f>
        <v>0.53100000000000003</v>
      </c>
      <c r="Q2760" s="54">
        <f t="shared" si="129"/>
        <v>3.9604519774011302</v>
      </c>
      <c r="R2760" s="53">
        <f>IFERROR(VLOOKUP(B2760,'Pre-Summary'!$BG$6:$BM$44,7,FALSE),R2761)</f>
        <v>9.5351142367257502E-2</v>
      </c>
      <c r="S2760" s="53">
        <f>IFERROR(VLOOKUP(B2760,'Pre-Summary'!$BG$6:$BM$44,6,FALSE),S2761)</f>
        <v>0.10009321836402316</v>
      </c>
      <c r="T2760" s="45" t="str">
        <f>IFERROR(VLOOKUP(B2760,'Pre-Summary'!$Y$6:$AC$83, 3,FALSE),"")</f>
        <v/>
      </c>
      <c r="U2760" s="45" t="str">
        <f>IFERROR(VLOOKUP(B2760,'Pre-Summary'!$Y$6:$AC$83, 4,FALSE),"")</f>
        <v/>
      </c>
      <c r="V2760" t="str">
        <f>IFERROR(VLOOKUP(B2760,'Pre-Summary'!$Y$6:$AC$83, 5,FALSE),"")</f>
        <v/>
      </c>
      <c r="W2760" s="45" t="str">
        <f>IFERROR(VLOOKUP(B2760,'Pre-Summary'!$Y$6:$AD$83,6,FALSE),"")</f>
        <v/>
      </c>
      <c r="X2760" t="str">
        <f>IFERROR(VLOOKUP('Pre-Summary'!$DB$6:$DD$63,3,FALSE),"")</f>
        <v/>
      </c>
      <c r="Y2760" t="str">
        <f>IFERROR(VLOOKUP(B2760,'Pre-Summary'!$CR$6:$CT$36,3,FALSE),"")</f>
        <v/>
      </c>
      <c r="Z2760" s="45" t="str">
        <f>IFERROR(VLOOKUP(B2760,'Pre-Summary'!$BZ$6:$CB$63,2,FALSE),"")</f>
        <v/>
      </c>
      <c r="AA2760" s="45" t="str">
        <f>IFERROR(VLOOKUP(B2760,'Pre-Summary'!$CG$6:$CI$70,2,FALSE),"")</f>
        <v/>
      </c>
      <c r="AB2760" s="99">
        <f>IFERROR(VLOOKUP(B2760,'Pre-Summary'!$A$6:$P$178,9,FALSE),AB2761)</f>
        <v>0.7010379290946207</v>
      </c>
      <c r="AC2760" s="10">
        <f>IFERROR(VLOOKUP(Summary!B2760,'Pre-Summary'!$A$6:$P$184,5, FALSE)/100,AC2761)</f>
        <v>0.92607166666666674</v>
      </c>
      <c r="AD2760" s="10">
        <f>IFERROR(VLOOKUP(Summary!B2760,'Pre-Summary'!$A$6:$P$184,3, FALSE)/100,AD2761)</f>
        <v>5.4963666666666668E-2</v>
      </c>
      <c r="AE2760" s="10">
        <f>IFERROR(VLOOKUP(Summary!B2760,'Pre-Summary'!$A$6:$P$184,7, FALSE)/100,AE2761)</f>
        <v>1.8946666666666667E-2</v>
      </c>
      <c r="AF2760" s="99">
        <f t="shared" si="130"/>
        <v>3.8531615055447034E-2</v>
      </c>
      <c r="AG2760" s="99">
        <f t="shared" si="131"/>
        <v>1.3282331963246082E-2</v>
      </c>
      <c r="AH2760" s="10" t="str">
        <f>IFERROR(VLOOKUP(B2760,'Pre-Summary'!$AZ$6:$BE$65,3,FALSE),"")</f>
        <v/>
      </c>
      <c r="AI2760" s="10" t="str">
        <f>IFERROR(VLOOKUP(B2760,'Pre-Summary'!$AZ$6:$BE$65,5,FALSE),"")</f>
        <v/>
      </c>
      <c r="AJ2760" s="10" t="str">
        <f>IFERROR(VLOOKUP(B2760,'Pre-Summary'!$AZ$6:$BE$65,4,FALSE),"")</f>
        <v/>
      </c>
      <c r="AK2760" s="10" t="str">
        <f>IFERROR(VLOOKUP(B2760,'Pre-Summary'!$AZ$6:$BE$65,6,FALSE),"")</f>
        <v/>
      </c>
      <c r="AL2760" s="10" t="str">
        <f>IFERROR(VLOOKUP(B2760,'Pre-Summary'!$BG$6:$BL$44,3,FALSE),"")</f>
        <v/>
      </c>
      <c r="AM2760" s="10" t="str">
        <f>IFERROR(VLOOKUP(B2760,'Pre-Summary'!$BG$6:$BL$44,4,FALSE),"")</f>
        <v/>
      </c>
    </row>
    <row r="2761" spans="2:39" ht="15" customHeight="1" x14ac:dyDescent="0.3">
      <c r="B2761">
        <v>275.8</v>
      </c>
      <c r="C2761" t="str">
        <f>IFERROR(VLOOKUP(B2761,'Pre-Summary'!$DI$6:$DM$23,4,FALSE),"")</f>
        <v/>
      </c>
      <c r="D2761" s="10" t="str">
        <f>IFERROR(VLOOKUP(B2761,'Pre-Summary'!$AT$6:$AX$14,5,FALSE),D2760)</f>
        <v>Wolfe v3: went back to modified wolfe + EDTA and switched CuSO4 to CUCl2</v>
      </c>
      <c r="E2761" s="10" t="str">
        <f>IFERROR(VLOOKUP(B2761,'Pre-Summary'!$AT$6:$AX$15,4,FALSE),"")</f>
        <v/>
      </c>
      <c r="F2761">
        <f>IFERROR(VLOOKUP(B2761,'Pre-Summary'!$AL$6:$AQ$13,6,FALSE),F2760)</f>
        <v>5.9405263157894746E-2</v>
      </c>
      <c r="G2761" t="str">
        <f>IFERROR(VLOOKUP(B2761,'Pre-Summary'!$AE$6:$AJ$85,3,FALSE),"")</f>
        <v/>
      </c>
      <c r="H2761" t="str">
        <f>IFERROR(VLOOKUP(B2761,'Pre-Summary'!$AE$6:$AJ$85,4,FALSE),"")</f>
        <v/>
      </c>
      <c r="I2761" t="str">
        <f>IFERROR(VLOOKUP(B2761,'Pre-Summary'!$AE$6:$AJ$85,5,FALSE),"")</f>
        <v/>
      </c>
      <c r="J2761" s="45" t="str">
        <f>IFERROR(VLOOKUP(B2761,'Pre-Summary'!$AE$6:$AJ$85,6, FALSE),"")</f>
        <v/>
      </c>
      <c r="K2761" s="45" t="str">
        <f>IFERROR(VLOOKUP(B2761,'Pre-Summary'!$DE$6:$DG$61,3,FALSE),"")</f>
        <v/>
      </c>
      <c r="L2761" s="45" t="str">
        <f>IFERROR(VLOOKUP(B2761,'Pre-Summary'!$CU$6:$CW$36,3,FALSE),"")</f>
        <v/>
      </c>
      <c r="M2761" s="45" t="str">
        <f>IFERROR(VLOOKUP(B2761,'Pre-Summary'!$BW$6:$BY$58,2,FALSE),"")</f>
        <v/>
      </c>
      <c r="N2761" s="45" t="str">
        <f>IFERROR(VLOOKUP(B2761,'Pre-Summary'!$CD$6:$CF$64,2,FALSE),"")</f>
        <v/>
      </c>
      <c r="O2761" s="99">
        <f>IFERROR(VLOOKUP(B2761,'Pre-Summary'!$BO$6:$BQ$48,3, FALSE),O2760)</f>
        <v>2.1030000000000002</v>
      </c>
      <c r="P2761" s="99">
        <f>IFERROR(VLOOKUP(B2761,'Pre-Summary'!$BS$6:$BU$35,3,FALSE),P2760)</f>
        <v>0.53100000000000003</v>
      </c>
      <c r="Q2761" s="54">
        <f t="shared" si="129"/>
        <v>3.9604519774011302</v>
      </c>
      <c r="R2761" s="53">
        <f>IFERROR(VLOOKUP(B2761,'Pre-Summary'!$BG$6:$BM$44,7,FALSE),R2762)</f>
        <v>9.5351142367257502E-2</v>
      </c>
      <c r="S2761" s="53">
        <f>IFERROR(VLOOKUP(B2761,'Pre-Summary'!$BG$6:$BM$44,6,FALSE),S2762)</f>
        <v>0.10009321836402316</v>
      </c>
      <c r="T2761" s="45" t="str">
        <f>IFERROR(VLOOKUP(B2761,'Pre-Summary'!$Y$6:$AC$83, 3,FALSE),"")</f>
        <v/>
      </c>
      <c r="U2761" s="45" t="str">
        <f>IFERROR(VLOOKUP(B2761,'Pre-Summary'!$Y$6:$AC$83, 4,FALSE),"")</f>
        <v/>
      </c>
      <c r="V2761" t="str">
        <f>IFERROR(VLOOKUP(B2761,'Pre-Summary'!$Y$6:$AC$83, 5,FALSE),"")</f>
        <v/>
      </c>
      <c r="W2761" s="45" t="str">
        <f>IFERROR(VLOOKUP(B2761,'Pre-Summary'!$Y$6:$AD$83,6,FALSE),"")</f>
        <v/>
      </c>
      <c r="X2761" t="str">
        <f>IFERROR(VLOOKUP('Pre-Summary'!$DB$6:$DD$63,3,FALSE),"")</f>
        <v/>
      </c>
      <c r="Y2761" t="str">
        <f>IFERROR(VLOOKUP(B2761,'Pre-Summary'!$CR$6:$CT$36,3,FALSE),"")</f>
        <v/>
      </c>
      <c r="Z2761" s="45" t="str">
        <f>IFERROR(VLOOKUP(B2761,'Pre-Summary'!$BZ$6:$CB$63,2,FALSE),"")</f>
        <v/>
      </c>
      <c r="AA2761" s="45" t="str">
        <f>IFERROR(VLOOKUP(B2761,'Pre-Summary'!$CG$6:$CI$70,2,FALSE),"")</f>
        <v/>
      </c>
      <c r="AB2761" s="99">
        <f>IFERROR(VLOOKUP(B2761,'Pre-Summary'!$A$6:$P$178,9,FALSE),AB2762)</f>
        <v>0.7010379290946207</v>
      </c>
      <c r="AC2761" s="10">
        <f>IFERROR(VLOOKUP(Summary!B2761,'Pre-Summary'!$A$6:$P$184,5, FALSE)/100,AC2762)</f>
        <v>0.92607166666666674</v>
      </c>
      <c r="AD2761" s="10">
        <f>IFERROR(VLOOKUP(Summary!B2761,'Pre-Summary'!$A$6:$P$184,3, FALSE)/100,AD2762)</f>
        <v>5.4963666666666668E-2</v>
      </c>
      <c r="AE2761" s="10">
        <f>IFERROR(VLOOKUP(Summary!B2761,'Pre-Summary'!$A$6:$P$184,7, FALSE)/100,AE2762)</f>
        <v>1.8946666666666667E-2</v>
      </c>
      <c r="AF2761" s="99">
        <f t="shared" si="130"/>
        <v>3.8531615055447034E-2</v>
      </c>
      <c r="AG2761" s="99">
        <f t="shared" si="131"/>
        <v>1.3282331963246082E-2</v>
      </c>
      <c r="AH2761" s="10" t="str">
        <f>IFERROR(VLOOKUP(B2761,'Pre-Summary'!$AZ$6:$BE$65,3,FALSE),"")</f>
        <v/>
      </c>
      <c r="AI2761" s="10" t="str">
        <f>IFERROR(VLOOKUP(B2761,'Pre-Summary'!$AZ$6:$BE$65,5,FALSE),"")</f>
        <v/>
      </c>
      <c r="AJ2761" s="10" t="str">
        <f>IFERROR(VLOOKUP(B2761,'Pre-Summary'!$AZ$6:$BE$65,4,FALSE),"")</f>
        <v/>
      </c>
      <c r="AK2761" s="10" t="str">
        <f>IFERROR(VLOOKUP(B2761,'Pre-Summary'!$AZ$6:$BE$65,6,FALSE),"")</f>
        <v/>
      </c>
      <c r="AL2761" s="10" t="str">
        <f>IFERROR(VLOOKUP(B2761,'Pre-Summary'!$BG$6:$BL$44,3,FALSE),"")</f>
        <v/>
      </c>
      <c r="AM2761" s="10" t="str">
        <f>IFERROR(VLOOKUP(B2761,'Pre-Summary'!$BG$6:$BL$44,4,FALSE),"")</f>
        <v/>
      </c>
    </row>
    <row r="2762" spans="2:39" ht="15" customHeight="1" x14ac:dyDescent="0.3">
      <c r="B2762">
        <v>275.89999999999998</v>
      </c>
      <c r="C2762" t="str">
        <f>IFERROR(VLOOKUP(B2762,'Pre-Summary'!$DI$6:$DM$23,4,FALSE),"")</f>
        <v/>
      </c>
      <c r="D2762" s="10" t="str">
        <f>IFERROR(VLOOKUP(B2762,'Pre-Summary'!$AT$6:$AX$14,5,FALSE),D2761)</f>
        <v>Wolfe v3: went back to modified wolfe + EDTA and switched CuSO4 to CUCl2</v>
      </c>
      <c r="E2762" s="10" t="str">
        <f>IFERROR(VLOOKUP(B2762,'Pre-Summary'!$AT$6:$AX$15,4,FALSE),"")</f>
        <v/>
      </c>
      <c r="F2762">
        <f>IFERROR(VLOOKUP(B2762,'Pre-Summary'!$AL$6:$AQ$13,6,FALSE),F2761)</f>
        <v>5.9405263157894746E-2</v>
      </c>
      <c r="G2762" t="str">
        <f>IFERROR(VLOOKUP(B2762,'Pre-Summary'!$AE$6:$AJ$85,3,FALSE),"")</f>
        <v/>
      </c>
      <c r="H2762" t="str">
        <f>IFERROR(VLOOKUP(B2762,'Pre-Summary'!$AE$6:$AJ$85,4,FALSE),"")</f>
        <v/>
      </c>
      <c r="I2762" t="str">
        <f>IFERROR(VLOOKUP(B2762,'Pre-Summary'!$AE$6:$AJ$85,5,FALSE),"")</f>
        <v/>
      </c>
      <c r="J2762" s="45" t="str">
        <f>IFERROR(VLOOKUP(B2762,'Pre-Summary'!$AE$6:$AJ$85,6, FALSE),"")</f>
        <v/>
      </c>
      <c r="K2762" s="45" t="str">
        <f>IFERROR(VLOOKUP(B2762,'Pre-Summary'!$DE$6:$DG$61,3,FALSE),"")</f>
        <v/>
      </c>
      <c r="L2762" s="45" t="str">
        <f>IFERROR(VLOOKUP(B2762,'Pre-Summary'!$CU$6:$CW$36,3,FALSE),"")</f>
        <v/>
      </c>
      <c r="M2762" s="45" t="str">
        <f>IFERROR(VLOOKUP(B2762,'Pre-Summary'!$BW$6:$BY$58,2,FALSE),"")</f>
        <v/>
      </c>
      <c r="N2762" s="45" t="str">
        <f>IFERROR(VLOOKUP(B2762,'Pre-Summary'!$CD$6:$CF$64,2,FALSE),"")</f>
        <v/>
      </c>
      <c r="O2762" s="99">
        <f>IFERROR(VLOOKUP(B2762,'Pre-Summary'!$BO$6:$BQ$48,3, FALSE),O2761)</f>
        <v>2.1030000000000002</v>
      </c>
      <c r="P2762" s="99">
        <f>IFERROR(VLOOKUP(B2762,'Pre-Summary'!$BS$6:$BU$35,3,FALSE),P2761)</f>
        <v>0.53100000000000003</v>
      </c>
      <c r="Q2762" s="54">
        <f t="shared" si="129"/>
        <v>3.9604519774011302</v>
      </c>
      <c r="R2762" s="53">
        <f>IFERROR(VLOOKUP(B2762,'Pre-Summary'!$BG$6:$BM$44,7,FALSE),R2763)</f>
        <v>9.5351142367257502E-2</v>
      </c>
      <c r="S2762" s="53">
        <f>IFERROR(VLOOKUP(B2762,'Pre-Summary'!$BG$6:$BM$44,6,FALSE),S2763)</f>
        <v>0.10009321836402316</v>
      </c>
      <c r="T2762" s="45" t="str">
        <f>IFERROR(VLOOKUP(B2762,'Pre-Summary'!$Y$6:$AC$83, 3,FALSE),"")</f>
        <v/>
      </c>
      <c r="U2762" s="45" t="str">
        <f>IFERROR(VLOOKUP(B2762,'Pre-Summary'!$Y$6:$AC$83, 4,FALSE),"")</f>
        <v/>
      </c>
      <c r="V2762" t="str">
        <f>IFERROR(VLOOKUP(B2762,'Pre-Summary'!$Y$6:$AC$83, 5,FALSE),"")</f>
        <v/>
      </c>
      <c r="W2762" s="45" t="str">
        <f>IFERROR(VLOOKUP(B2762,'Pre-Summary'!$Y$6:$AD$83,6,FALSE),"")</f>
        <v/>
      </c>
      <c r="X2762" t="str">
        <f>IFERROR(VLOOKUP('Pre-Summary'!$DB$6:$DD$63,3,FALSE),"")</f>
        <v/>
      </c>
      <c r="Y2762" t="str">
        <f>IFERROR(VLOOKUP(B2762,'Pre-Summary'!$CR$6:$CT$36,3,FALSE),"")</f>
        <v/>
      </c>
      <c r="Z2762" s="45" t="str">
        <f>IFERROR(VLOOKUP(B2762,'Pre-Summary'!$BZ$6:$CB$63,2,FALSE),"")</f>
        <v/>
      </c>
      <c r="AA2762" s="45" t="str">
        <f>IFERROR(VLOOKUP(B2762,'Pre-Summary'!$CG$6:$CI$70,2,FALSE),"")</f>
        <v/>
      </c>
      <c r="AB2762" s="99">
        <f>IFERROR(VLOOKUP(B2762,'Pre-Summary'!$A$6:$P$178,9,FALSE),AB2763)</f>
        <v>0.7010379290946207</v>
      </c>
      <c r="AC2762" s="10">
        <f>IFERROR(VLOOKUP(Summary!B2762,'Pre-Summary'!$A$6:$P$184,5, FALSE)/100,AC2763)</f>
        <v>0.92607166666666674</v>
      </c>
      <c r="AD2762" s="10">
        <f>IFERROR(VLOOKUP(Summary!B2762,'Pre-Summary'!$A$6:$P$184,3, FALSE)/100,AD2763)</f>
        <v>5.4963666666666668E-2</v>
      </c>
      <c r="AE2762" s="10">
        <f>IFERROR(VLOOKUP(Summary!B2762,'Pre-Summary'!$A$6:$P$184,7, FALSE)/100,AE2763)</f>
        <v>1.8946666666666667E-2</v>
      </c>
      <c r="AF2762" s="99">
        <f t="shared" si="130"/>
        <v>3.8531615055447034E-2</v>
      </c>
      <c r="AG2762" s="99">
        <f t="shared" si="131"/>
        <v>1.3282331963246082E-2</v>
      </c>
      <c r="AH2762" s="10" t="str">
        <f>IFERROR(VLOOKUP(B2762,'Pre-Summary'!$AZ$6:$BE$65,3,FALSE),"")</f>
        <v/>
      </c>
      <c r="AI2762" s="10" t="str">
        <f>IFERROR(VLOOKUP(B2762,'Pre-Summary'!$AZ$6:$BE$65,5,FALSE),"")</f>
        <v/>
      </c>
      <c r="AJ2762" s="10" t="str">
        <f>IFERROR(VLOOKUP(B2762,'Pre-Summary'!$AZ$6:$BE$65,4,FALSE),"")</f>
        <v/>
      </c>
      <c r="AK2762" s="10" t="str">
        <f>IFERROR(VLOOKUP(B2762,'Pre-Summary'!$AZ$6:$BE$65,6,FALSE),"")</f>
        <v/>
      </c>
      <c r="AL2762" s="10" t="str">
        <f>IFERROR(VLOOKUP(B2762,'Pre-Summary'!$BG$6:$BL$44,3,FALSE),"")</f>
        <v/>
      </c>
      <c r="AM2762" s="10" t="str">
        <f>IFERROR(VLOOKUP(B2762,'Pre-Summary'!$BG$6:$BL$44,4,FALSE),"")</f>
        <v/>
      </c>
    </row>
    <row r="2763" spans="2:39" ht="15" customHeight="1" x14ac:dyDescent="0.3">
      <c r="B2763">
        <v>276</v>
      </c>
      <c r="C2763" t="str">
        <f>IFERROR(VLOOKUP(B2763,'Pre-Summary'!$DI$6:$DM$23,4,FALSE),"")</f>
        <v/>
      </c>
      <c r="D2763" s="10" t="str">
        <f>IFERROR(VLOOKUP(B2763,'Pre-Summary'!$AT$6:$AX$14,5,FALSE),D2762)</f>
        <v>Wolfe v3: went back to modified wolfe + EDTA and switched CuSO4 to CUCl2</v>
      </c>
      <c r="E2763" s="10" t="str">
        <f>IFERROR(VLOOKUP(B2763,'Pre-Summary'!$AT$6:$AX$15,4,FALSE),"")</f>
        <v/>
      </c>
      <c r="F2763">
        <f>IFERROR(VLOOKUP(B2763,'Pre-Summary'!$AL$6:$AQ$13,6,FALSE),F2762)</f>
        <v>5.9405263157894746E-2</v>
      </c>
      <c r="G2763" t="str">
        <f>IFERROR(VLOOKUP(B2763,'Pre-Summary'!$AE$6:$AJ$85,3,FALSE),"")</f>
        <v/>
      </c>
      <c r="H2763" t="str">
        <f>IFERROR(VLOOKUP(B2763,'Pre-Summary'!$AE$6:$AJ$85,4,FALSE),"")</f>
        <v/>
      </c>
      <c r="I2763" t="str">
        <f>IFERROR(VLOOKUP(B2763,'Pre-Summary'!$AE$6:$AJ$85,5,FALSE),"")</f>
        <v/>
      </c>
      <c r="J2763" s="45" t="str">
        <f>IFERROR(VLOOKUP(B2763,'Pre-Summary'!$AE$6:$AJ$85,6, FALSE),"")</f>
        <v/>
      </c>
      <c r="K2763" s="45" t="str">
        <f>IFERROR(VLOOKUP(B2763,'Pre-Summary'!$DE$6:$DG$61,3,FALSE),"")</f>
        <v/>
      </c>
      <c r="L2763" s="45" t="str">
        <f>IFERROR(VLOOKUP(B2763,'Pre-Summary'!$CU$6:$CW$36,3,FALSE),"")</f>
        <v/>
      </c>
      <c r="M2763" s="45" t="str">
        <f>IFERROR(VLOOKUP(B2763,'Pre-Summary'!$BW$6:$BY$58,2,FALSE),"")</f>
        <v/>
      </c>
      <c r="N2763" s="45" t="str">
        <f>IFERROR(VLOOKUP(B2763,'Pre-Summary'!$CD$6:$CF$64,2,FALSE),"")</f>
        <v/>
      </c>
      <c r="O2763" s="99">
        <f>IFERROR(VLOOKUP(B2763,'Pre-Summary'!$BO$6:$BQ$48,3, FALSE),O2762)</f>
        <v>2.1030000000000002</v>
      </c>
      <c r="P2763" s="99">
        <f>IFERROR(VLOOKUP(B2763,'Pre-Summary'!$BS$6:$BU$35,3,FALSE),P2762)</f>
        <v>0.53100000000000003</v>
      </c>
      <c r="Q2763" s="54">
        <f t="shared" si="129"/>
        <v>3.9604519774011302</v>
      </c>
      <c r="R2763" s="53">
        <f>IFERROR(VLOOKUP(B2763,'Pre-Summary'!$BG$6:$BM$44,7,FALSE),R2764)</f>
        <v>9.5351142367257502E-2</v>
      </c>
      <c r="S2763" s="53">
        <f>IFERROR(VLOOKUP(B2763,'Pre-Summary'!$BG$6:$BM$44,6,FALSE),S2764)</f>
        <v>0.10009321836402316</v>
      </c>
      <c r="T2763" s="45" t="str">
        <f>IFERROR(VLOOKUP(B2763,'Pre-Summary'!$Y$6:$AC$83, 3,FALSE),"")</f>
        <v/>
      </c>
      <c r="U2763" s="45" t="str">
        <f>IFERROR(VLOOKUP(B2763,'Pre-Summary'!$Y$6:$AC$83, 4,FALSE),"")</f>
        <v/>
      </c>
      <c r="V2763" t="str">
        <f>IFERROR(VLOOKUP(B2763,'Pre-Summary'!$Y$6:$AC$83, 5,FALSE),"")</f>
        <v/>
      </c>
      <c r="W2763" s="45" t="str">
        <f>IFERROR(VLOOKUP(B2763,'Pre-Summary'!$Y$6:$AD$83,6,FALSE),"")</f>
        <v/>
      </c>
      <c r="X2763" t="str">
        <f>IFERROR(VLOOKUP('Pre-Summary'!$DB$6:$DD$63,3,FALSE),"")</f>
        <v/>
      </c>
      <c r="Y2763" t="str">
        <f>IFERROR(VLOOKUP(B2763,'Pre-Summary'!$CR$6:$CT$36,3,FALSE),"")</f>
        <v/>
      </c>
      <c r="Z2763" s="45" t="str">
        <f>IFERROR(VLOOKUP(B2763,'Pre-Summary'!$BZ$6:$CB$63,2,FALSE),"")</f>
        <v/>
      </c>
      <c r="AA2763" s="45" t="str">
        <f>IFERROR(VLOOKUP(B2763,'Pre-Summary'!$CG$6:$CI$70,2,FALSE),"")</f>
        <v/>
      </c>
      <c r="AB2763" s="99">
        <f>IFERROR(VLOOKUP(B2763,'Pre-Summary'!$A$6:$P$178,9,FALSE),AB2764)</f>
        <v>0.7010379290946207</v>
      </c>
      <c r="AC2763" s="10">
        <f>IFERROR(VLOOKUP(Summary!B2763,'Pre-Summary'!$A$6:$P$184,5, FALSE)/100,AC2764)</f>
        <v>0.92607166666666674</v>
      </c>
      <c r="AD2763" s="10">
        <f>IFERROR(VLOOKUP(Summary!B2763,'Pre-Summary'!$A$6:$P$184,3, FALSE)/100,AD2764)</f>
        <v>5.4963666666666668E-2</v>
      </c>
      <c r="AE2763" s="10">
        <f>IFERROR(VLOOKUP(Summary!B2763,'Pre-Summary'!$A$6:$P$184,7, FALSE)/100,AE2764)</f>
        <v>1.8946666666666667E-2</v>
      </c>
      <c r="AF2763" s="99">
        <f t="shared" si="130"/>
        <v>3.8531615055447034E-2</v>
      </c>
      <c r="AG2763" s="99">
        <f t="shared" si="131"/>
        <v>1.3282331963246082E-2</v>
      </c>
      <c r="AH2763" s="10" t="str">
        <f>IFERROR(VLOOKUP(B2763,'Pre-Summary'!$AZ$6:$BE$65,3,FALSE),"")</f>
        <v/>
      </c>
      <c r="AI2763" s="10" t="str">
        <f>IFERROR(VLOOKUP(B2763,'Pre-Summary'!$AZ$6:$BE$65,5,FALSE),"")</f>
        <v/>
      </c>
      <c r="AJ2763" s="10" t="str">
        <f>IFERROR(VLOOKUP(B2763,'Pre-Summary'!$AZ$6:$BE$65,4,FALSE),"")</f>
        <v/>
      </c>
      <c r="AK2763" s="10" t="str">
        <f>IFERROR(VLOOKUP(B2763,'Pre-Summary'!$AZ$6:$BE$65,6,FALSE),"")</f>
        <v/>
      </c>
      <c r="AL2763" s="10" t="str">
        <f>IFERROR(VLOOKUP(B2763,'Pre-Summary'!$BG$6:$BL$44,3,FALSE),"")</f>
        <v/>
      </c>
      <c r="AM2763" s="10" t="str">
        <f>IFERROR(VLOOKUP(B2763,'Pre-Summary'!$BG$6:$BL$44,4,FALSE),"")</f>
        <v/>
      </c>
    </row>
    <row r="2764" spans="2:39" ht="15" customHeight="1" x14ac:dyDescent="0.3">
      <c r="B2764">
        <v>276.10000000000002</v>
      </c>
      <c r="C2764" t="str">
        <f>IFERROR(VLOOKUP(B2764,'Pre-Summary'!$DI$6:$DM$23,4,FALSE),"")</f>
        <v/>
      </c>
      <c r="D2764" s="10" t="str">
        <f>IFERROR(VLOOKUP(B2764,'Pre-Summary'!$AT$6:$AX$14,5,FALSE),D2763)</f>
        <v>Wolfe v3: went back to modified wolfe + EDTA and switched CuSO4 to CUCl2</v>
      </c>
      <c r="E2764" s="10" t="str">
        <f>IFERROR(VLOOKUP(B2764,'Pre-Summary'!$AT$6:$AX$15,4,FALSE),"")</f>
        <v/>
      </c>
      <c r="F2764">
        <f>IFERROR(VLOOKUP(B2764,'Pre-Summary'!$AL$6:$AQ$13,6,FALSE),F2763)</f>
        <v>5.9405263157894746E-2</v>
      </c>
      <c r="G2764" t="str">
        <f>IFERROR(VLOOKUP(B2764,'Pre-Summary'!$AE$6:$AJ$85,3,FALSE),"")</f>
        <v/>
      </c>
      <c r="H2764" t="str">
        <f>IFERROR(VLOOKUP(B2764,'Pre-Summary'!$AE$6:$AJ$85,4,FALSE),"")</f>
        <v/>
      </c>
      <c r="I2764" t="str">
        <f>IFERROR(VLOOKUP(B2764,'Pre-Summary'!$AE$6:$AJ$85,5,FALSE),"")</f>
        <v/>
      </c>
      <c r="J2764" s="45" t="str">
        <f>IFERROR(VLOOKUP(B2764,'Pre-Summary'!$AE$6:$AJ$85,6, FALSE),"")</f>
        <v/>
      </c>
      <c r="K2764" s="45" t="str">
        <f>IFERROR(VLOOKUP(B2764,'Pre-Summary'!$DE$6:$DG$61,3,FALSE),"")</f>
        <v/>
      </c>
      <c r="L2764" s="45" t="str">
        <f>IFERROR(VLOOKUP(B2764,'Pre-Summary'!$CU$6:$CW$36,3,FALSE),"")</f>
        <v/>
      </c>
      <c r="M2764" s="45" t="str">
        <f>IFERROR(VLOOKUP(B2764,'Pre-Summary'!$BW$6:$BY$58,2,FALSE),"")</f>
        <v/>
      </c>
      <c r="N2764" s="45" t="str">
        <f>IFERROR(VLOOKUP(B2764,'Pre-Summary'!$CD$6:$CF$64,2,FALSE),"")</f>
        <v/>
      </c>
      <c r="O2764" s="99">
        <f>IFERROR(VLOOKUP(B2764,'Pre-Summary'!$BO$6:$BQ$48,3, FALSE),O2763)</f>
        <v>2.1030000000000002</v>
      </c>
      <c r="P2764" s="99">
        <f>IFERROR(VLOOKUP(B2764,'Pre-Summary'!$BS$6:$BU$35,3,FALSE),P2763)</f>
        <v>0.53100000000000003</v>
      </c>
      <c r="Q2764" s="54">
        <f t="shared" si="129"/>
        <v>3.9604519774011302</v>
      </c>
      <c r="R2764" s="53">
        <f>IFERROR(VLOOKUP(B2764,'Pre-Summary'!$BG$6:$BM$44,7,FALSE),R2765)</f>
        <v>9.5351142367257502E-2</v>
      </c>
      <c r="S2764" s="53">
        <f>IFERROR(VLOOKUP(B2764,'Pre-Summary'!$BG$6:$BM$44,6,FALSE),S2765)</f>
        <v>0.10009321836402316</v>
      </c>
      <c r="T2764" s="45" t="str">
        <f>IFERROR(VLOOKUP(B2764,'Pre-Summary'!$Y$6:$AC$83, 3,FALSE),"")</f>
        <v/>
      </c>
      <c r="U2764" s="45" t="str">
        <f>IFERROR(VLOOKUP(B2764,'Pre-Summary'!$Y$6:$AC$83, 4,FALSE),"")</f>
        <v/>
      </c>
      <c r="V2764" t="str">
        <f>IFERROR(VLOOKUP(B2764,'Pre-Summary'!$Y$6:$AC$83, 5,FALSE),"")</f>
        <v/>
      </c>
      <c r="W2764" s="45" t="str">
        <f>IFERROR(VLOOKUP(B2764,'Pre-Summary'!$Y$6:$AD$83,6,FALSE),"")</f>
        <v/>
      </c>
      <c r="X2764" t="str">
        <f>IFERROR(VLOOKUP('Pre-Summary'!$DB$6:$DD$63,3,FALSE),"")</f>
        <v/>
      </c>
      <c r="Y2764" t="str">
        <f>IFERROR(VLOOKUP(B2764,'Pre-Summary'!$CR$6:$CT$36,3,FALSE),"")</f>
        <v/>
      </c>
      <c r="Z2764" s="45" t="str">
        <f>IFERROR(VLOOKUP(B2764,'Pre-Summary'!$BZ$6:$CB$63,2,FALSE),"")</f>
        <v/>
      </c>
      <c r="AA2764" s="45" t="str">
        <f>IFERROR(VLOOKUP(B2764,'Pre-Summary'!$CG$6:$CI$70,2,FALSE),"")</f>
        <v/>
      </c>
      <c r="AB2764" s="99">
        <f>IFERROR(VLOOKUP(B2764,'Pre-Summary'!$A$6:$P$178,9,FALSE),AB2765)</f>
        <v>0.7010379290946207</v>
      </c>
      <c r="AC2764" s="10">
        <f>IFERROR(VLOOKUP(Summary!B2764,'Pre-Summary'!$A$6:$P$184,5, FALSE)/100,AC2765)</f>
        <v>0.92607166666666674</v>
      </c>
      <c r="AD2764" s="10">
        <f>IFERROR(VLOOKUP(Summary!B2764,'Pre-Summary'!$A$6:$P$184,3, FALSE)/100,AD2765)</f>
        <v>5.4963666666666668E-2</v>
      </c>
      <c r="AE2764" s="10">
        <f>IFERROR(VLOOKUP(Summary!B2764,'Pre-Summary'!$A$6:$P$184,7, FALSE)/100,AE2765)</f>
        <v>1.8946666666666667E-2</v>
      </c>
      <c r="AF2764" s="99">
        <f t="shared" si="130"/>
        <v>3.8531615055447034E-2</v>
      </c>
      <c r="AG2764" s="99">
        <f t="shared" si="131"/>
        <v>1.3282331963246082E-2</v>
      </c>
      <c r="AH2764" s="10" t="str">
        <f>IFERROR(VLOOKUP(B2764,'Pre-Summary'!$AZ$6:$BE$65,3,FALSE),"")</f>
        <v/>
      </c>
      <c r="AI2764" s="10" t="str">
        <f>IFERROR(VLOOKUP(B2764,'Pre-Summary'!$AZ$6:$BE$65,5,FALSE),"")</f>
        <v/>
      </c>
      <c r="AJ2764" s="10" t="str">
        <f>IFERROR(VLOOKUP(B2764,'Pre-Summary'!$AZ$6:$BE$65,4,FALSE),"")</f>
        <v/>
      </c>
      <c r="AK2764" s="10" t="str">
        <f>IFERROR(VLOOKUP(B2764,'Pre-Summary'!$AZ$6:$BE$65,6,FALSE),"")</f>
        <v/>
      </c>
      <c r="AL2764" s="10" t="str">
        <f>IFERROR(VLOOKUP(B2764,'Pre-Summary'!$BG$6:$BL$44,3,FALSE),"")</f>
        <v/>
      </c>
      <c r="AM2764" s="10" t="str">
        <f>IFERROR(VLOOKUP(B2764,'Pre-Summary'!$BG$6:$BL$44,4,FALSE),"")</f>
        <v/>
      </c>
    </row>
    <row r="2765" spans="2:39" ht="15" customHeight="1" x14ac:dyDescent="0.3">
      <c r="B2765">
        <v>276.2</v>
      </c>
      <c r="C2765" t="str">
        <f>IFERROR(VLOOKUP(B2765,'Pre-Summary'!$DI$6:$DM$23,4,FALSE),"")</f>
        <v/>
      </c>
      <c r="D2765" s="10" t="str">
        <f>IFERROR(VLOOKUP(B2765,'Pre-Summary'!$AT$6:$AX$14,5,FALSE),D2764)</f>
        <v>Wolfe v3: went back to modified wolfe + EDTA and switched CuSO4 to CUCl2</v>
      </c>
      <c r="E2765" s="10" t="str">
        <f>IFERROR(VLOOKUP(B2765,'Pre-Summary'!$AT$6:$AX$15,4,FALSE),"")</f>
        <v/>
      </c>
      <c r="F2765">
        <f>IFERROR(VLOOKUP(B2765,'Pre-Summary'!$AL$6:$AQ$13,6,FALSE),F2764)</f>
        <v>5.9405263157894746E-2</v>
      </c>
      <c r="G2765" t="str">
        <f>IFERROR(VLOOKUP(B2765,'Pre-Summary'!$AE$6:$AJ$85,3,FALSE),"")</f>
        <v/>
      </c>
      <c r="H2765" t="str">
        <f>IFERROR(VLOOKUP(B2765,'Pre-Summary'!$AE$6:$AJ$85,4,FALSE),"")</f>
        <v/>
      </c>
      <c r="I2765" t="str">
        <f>IFERROR(VLOOKUP(B2765,'Pre-Summary'!$AE$6:$AJ$85,5,FALSE),"")</f>
        <v/>
      </c>
      <c r="J2765" s="45" t="str">
        <f>IFERROR(VLOOKUP(B2765,'Pre-Summary'!$AE$6:$AJ$85,6, FALSE),"")</f>
        <v/>
      </c>
      <c r="K2765" s="45" t="str">
        <f>IFERROR(VLOOKUP(B2765,'Pre-Summary'!$DE$6:$DG$61,3,FALSE),"")</f>
        <v/>
      </c>
      <c r="L2765" s="45" t="str">
        <f>IFERROR(VLOOKUP(B2765,'Pre-Summary'!$CU$6:$CW$36,3,FALSE),"")</f>
        <v/>
      </c>
      <c r="M2765" s="45" t="str">
        <f>IFERROR(VLOOKUP(B2765,'Pre-Summary'!$BW$6:$BY$58,2,FALSE),"")</f>
        <v/>
      </c>
      <c r="N2765" s="45" t="str">
        <f>IFERROR(VLOOKUP(B2765,'Pre-Summary'!$CD$6:$CF$64,2,FALSE),"")</f>
        <v/>
      </c>
      <c r="O2765" s="99">
        <f>IFERROR(VLOOKUP(B2765,'Pre-Summary'!$BO$6:$BQ$48,3, FALSE),O2764)</f>
        <v>2.1030000000000002</v>
      </c>
      <c r="P2765" s="99">
        <f>IFERROR(VLOOKUP(B2765,'Pre-Summary'!$BS$6:$BU$35,3,FALSE),P2764)</f>
        <v>0.53100000000000003</v>
      </c>
      <c r="Q2765" s="54">
        <f t="shared" si="129"/>
        <v>3.9604519774011302</v>
      </c>
      <c r="R2765" s="53">
        <f>IFERROR(VLOOKUP(B2765,'Pre-Summary'!$BG$6:$BM$44,7,FALSE),R2766)</f>
        <v>9.5351142367257502E-2</v>
      </c>
      <c r="S2765" s="53">
        <f>IFERROR(VLOOKUP(B2765,'Pre-Summary'!$BG$6:$BM$44,6,FALSE),S2766)</f>
        <v>0.10009321836402316</v>
      </c>
      <c r="T2765" s="45" t="str">
        <f>IFERROR(VLOOKUP(B2765,'Pre-Summary'!$Y$6:$AC$83, 3,FALSE),"")</f>
        <v/>
      </c>
      <c r="U2765" s="45" t="str">
        <f>IFERROR(VLOOKUP(B2765,'Pre-Summary'!$Y$6:$AC$83, 4,FALSE),"")</f>
        <v/>
      </c>
      <c r="V2765" t="str">
        <f>IFERROR(VLOOKUP(B2765,'Pre-Summary'!$Y$6:$AC$83, 5,FALSE),"")</f>
        <v/>
      </c>
      <c r="W2765" s="45" t="str">
        <f>IFERROR(VLOOKUP(B2765,'Pre-Summary'!$Y$6:$AD$83,6,FALSE),"")</f>
        <v/>
      </c>
      <c r="X2765" t="str">
        <f>IFERROR(VLOOKUP('Pre-Summary'!$DB$6:$DD$63,3,FALSE),"")</f>
        <v/>
      </c>
      <c r="Y2765" t="str">
        <f>IFERROR(VLOOKUP(B2765,'Pre-Summary'!$CR$6:$CT$36,3,FALSE),"")</f>
        <v/>
      </c>
      <c r="Z2765" s="45" t="str">
        <f>IFERROR(VLOOKUP(B2765,'Pre-Summary'!$BZ$6:$CB$63,2,FALSE),"")</f>
        <v/>
      </c>
      <c r="AA2765" s="45" t="str">
        <f>IFERROR(VLOOKUP(B2765,'Pre-Summary'!$CG$6:$CI$70,2,FALSE),"")</f>
        <v/>
      </c>
      <c r="AB2765" s="99">
        <f>IFERROR(VLOOKUP(B2765,'Pre-Summary'!$A$6:$P$178,9,FALSE),AB2766)</f>
        <v>0.7010379290946207</v>
      </c>
      <c r="AC2765" s="10">
        <f>IFERROR(VLOOKUP(Summary!B2765,'Pre-Summary'!$A$6:$P$184,5, FALSE)/100,AC2766)</f>
        <v>0.92607166666666674</v>
      </c>
      <c r="AD2765" s="10">
        <f>IFERROR(VLOOKUP(Summary!B2765,'Pre-Summary'!$A$6:$P$184,3, FALSE)/100,AD2766)</f>
        <v>5.4963666666666668E-2</v>
      </c>
      <c r="AE2765" s="10">
        <f>IFERROR(VLOOKUP(Summary!B2765,'Pre-Summary'!$A$6:$P$184,7, FALSE)/100,AE2766)</f>
        <v>1.8946666666666667E-2</v>
      </c>
      <c r="AF2765" s="99">
        <f t="shared" si="130"/>
        <v>3.8531615055447034E-2</v>
      </c>
      <c r="AG2765" s="99">
        <f t="shared" si="131"/>
        <v>1.3282331963246082E-2</v>
      </c>
      <c r="AH2765" s="10" t="str">
        <f>IFERROR(VLOOKUP(B2765,'Pre-Summary'!$AZ$6:$BE$65,3,FALSE),"")</f>
        <v/>
      </c>
      <c r="AI2765" s="10" t="str">
        <f>IFERROR(VLOOKUP(B2765,'Pre-Summary'!$AZ$6:$BE$65,5,FALSE),"")</f>
        <v/>
      </c>
      <c r="AJ2765" s="10" t="str">
        <f>IFERROR(VLOOKUP(B2765,'Pre-Summary'!$AZ$6:$BE$65,4,FALSE),"")</f>
        <v/>
      </c>
      <c r="AK2765" s="10" t="str">
        <f>IFERROR(VLOOKUP(B2765,'Pre-Summary'!$AZ$6:$BE$65,6,FALSE),"")</f>
        <v/>
      </c>
      <c r="AL2765" s="10" t="str">
        <f>IFERROR(VLOOKUP(B2765,'Pre-Summary'!$BG$6:$BL$44,3,FALSE),"")</f>
        <v/>
      </c>
      <c r="AM2765" s="10" t="str">
        <f>IFERROR(VLOOKUP(B2765,'Pre-Summary'!$BG$6:$BL$44,4,FALSE),"")</f>
        <v/>
      </c>
    </row>
    <row r="2766" spans="2:39" ht="15" customHeight="1" x14ac:dyDescent="0.3">
      <c r="B2766">
        <v>276.3</v>
      </c>
      <c r="C2766" t="str">
        <f>IFERROR(VLOOKUP(B2766,'Pre-Summary'!$DI$6:$DM$23,4,FALSE),"")</f>
        <v/>
      </c>
      <c r="D2766" s="10" t="str">
        <f>IFERROR(VLOOKUP(B2766,'Pre-Summary'!$AT$6:$AX$14,5,FALSE),D2765)</f>
        <v>Wolfe v3: went back to modified wolfe + EDTA and switched CuSO4 to CUCl2</v>
      </c>
      <c r="E2766" s="10" t="str">
        <f>IFERROR(VLOOKUP(B2766,'Pre-Summary'!$AT$6:$AX$15,4,FALSE),"")</f>
        <v/>
      </c>
      <c r="F2766">
        <f>IFERROR(VLOOKUP(B2766,'Pre-Summary'!$AL$6:$AQ$13,6,FALSE),F2765)</f>
        <v>5.9405263157894746E-2</v>
      </c>
      <c r="G2766" t="str">
        <f>IFERROR(VLOOKUP(B2766,'Pre-Summary'!$AE$6:$AJ$85,3,FALSE),"")</f>
        <v/>
      </c>
      <c r="H2766" t="str">
        <f>IFERROR(VLOOKUP(B2766,'Pre-Summary'!$AE$6:$AJ$85,4,FALSE),"")</f>
        <v/>
      </c>
      <c r="I2766" t="str">
        <f>IFERROR(VLOOKUP(B2766,'Pre-Summary'!$AE$6:$AJ$85,5,FALSE),"")</f>
        <v/>
      </c>
      <c r="J2766" s="45" t="str">
        <f>IFERROR(VLOOKUP(B2766,'Pre-Summary'!$AE$6:$AJ$85,6, FALSE),"")</f>
        <v/>
      </c>
      <c r="K2766" s="45" t="str">
        <f>IFERROR(VLOOKUP(B2766,'Pre-Summary'!$DE$6:$DG$61,3,FALSE),"")</f>
        <v/>
      </c>
      <c r="L2766" s="45" t="str">
        <f>IFERROR(VLOOKUP(B2766,'Pre-Summary'!$CU$6:$CW$36,3,FALSE),"")</f>
        <v/>
      </c>
      <c r="M2766" s="45" t="str">
        <f>IFERROR(VLOOKUP(B2766,'Pre-Summary'!$BW$6:$BY$58,2,FALSE),"")</f>
        <v/>
      </c>
      <c r="N2766" s="45" t="str">
        <f>IFERROR(VLOOKUP(B2766,'Pre-Summary'!$CD$6:$CF$64,2,FALSE),"")</f>
        <v/>
      </c>
      <c r="O2766" s="99">
        <f>IFERROR(VLOOKUP(B2766,'Pre-Summary'!$BO$6:$BQ$48,3, FALSE),O2765)</f>
        <v>2.1030000000000002</v>
      </c>
      <c r="P2766" s="99">
        <f>IFERROR(VLOOKUP(B2766,'Pre-Summary'!$BS$6:$BU$35,3,FALSE),P2765)</f>
        <v>0.53100000000000003</v>
      </c>
      <c r="Q2766" s="54">
        <f t="shared" si="129"/>
        <v>3.9604519774011302</v>
      </c>
      <c r="R2766" s="53">
        <f>IFERROR(VLOOKUP(B2766,'Pre-Summary'!$BG$6:$BM$44,7,FALSE),R2767)</f>
        <v>9.5351142367257502E-2</v>
      </c>
      <c r="S2766" s="53">
        <f>IFERROR(VLOOKUP(B2766,'Pre-Summary'!$BG$6:$BM$44,6,FALSE),S2767)</f>
        <v>0.10009321836402316</v>
      </c>
      <c r="T2766" s="45" t="str">
        <f>IFERROR(VLOOKUP(B2766,'Pre-Summary'!$Y$6:$AC$83, 3,FALSE),"")</f>
        <v/>
      </c>
      <c r="U2766" s="45" t="str">
        <f>IFERROR(VLOOKUP(B2766,'Pre-Summary'!$Y$6:$AC$83, 4,FALSE),"")</f>
        <v/>
      </c>
      <c r="V2766" t="str">
        <f>IFERROR(VLOOKUP(B2766,'Pre-Summary'!$Y$6:$AC$83, 5,FALSE),"")</f>
        <v/>
      </c>
      <c r="W2766" s="45" t="str">
        <f>IFERROR(VLOOKUP(B2766,'Pre-Summary'!$Y$6:$AD$83,6,FALSE),"")</f>
        <v/>
      </c>
      <c r="X2766" t="str">
        <f>IFERROR(VLOOKUP('Pre-Summary'!$DB$6:$DD$63,3,FALSE),"")</f>
        <v/>
      </c>
      <c r="Y2766" t="str">
        <f>IFERROR(VLOOKUP(B2766,'Pre-Summary'!$CR$6:$CT$36,3,FALSE),"")</f>
        <v/>
      </c>
      <c r="Z2766" s="45" t="str">
        <f>IFERROR(VLOOKUP(B2766,'Pre-Summary'!$BZ$6:$CB$63,2,FALSE),"")</f>
        <v/>
      </c>
      <c r="AA2766" s="45" t="str">
        <f>IFERROR(VLOOKUP(B2766,'Pre-Summary'!$CG$6:$CI$70,2,FALSE),"")</f>
        <v/>
      </c>
      <c r="AB2766" s="99">
        <f>IFERROR(VLOOKUP(B2766,'Pre-Summary'!$A$6:$P$178,9,FALSE),AB2767)</f>
        <v>0.7010379290946207</v>
      </c>
      <c r="AC2766" s="10">
        <f>IFERROR(VLOOKUP(Summary!B2766,'Pre-Summary'!$A$6:$P$184,5, FALSE)/100,AC2767)</f>
        <v>0.92607166666666674</v>
      </c>
      <c r="AD2766" s="10">
        <f>IFERROR(VLOOKUP(Summary!B2766,'Pre-Summary'!$A$6:$P$184,3, FALSE)/100,AD2767)</f>
        <v>5.4963666666666668E-2</v>
      </c>
      <c r="AE2766" s="10">
        <f>IFERROR(VLOOKUP(Summary!B2766,'Pre-Summary'!$A$6:$P$184,7, FALSE)/100,AE2767)</f>
        <v>1.8946666666666667E-2</v>
      </c>
      <c r="AF2766" s="99">
        <f t="shared" si="130"/>
        <v>3.8531615055447034E-2</v>
      </c>
      <c r="AG2766" s="99">
        <f t="shared" si="131"/>
        <v>1.3282331963246082E-2</v>
      </c>
      <c r="AH2766" s="10" t="str">
        <f>IFERROR(VLOOKUP(B2766,'Pre-Summary'!$AZ$6:$BE$65,3,FALSE),"")</f>
        <v/>
      </c>
      <c r="AI2766" s="10" t="str">
        <f>IFERROR(VLOOKUP(B2766,'Pre-Summary'!$AZ$6:$BE$65,5,FALSE),"")</f>
        <v/>
      </c>
      <c r="AJ2766" s="10" t="str">
        <f>IFERROR(VLOOKUP(B2766,'Pre-Summary'!$AZ$6:$BE$65,4,FALSE),"")</f>
        <v/>
      </c>
      <c r="AK2766" s="10" t="str">
        <f>IFERROR(VLOOKUP(B2766,'Pre-Summary'!$AZ$6:$BE$65,6,FALSE),"")</f>
        <v/>
      </c>
      <c r="AL2766" s="10" t="str">
        <f>IFERROR(VLOOKUP(B2766,'Pre-Summary'!$BG$6:$BL$44,3,FALSE),"")</f>
        <v/>
      </c>
      <c r="AM2766" s="10" t="str">
        <f>IFERROR(VLOOKUP(B2766,'Pre-Summary'!$BG$6:$BL$44,4,FALSE),"")</f>
        <v/>
      </c>
    </row>
    <row r="2767" spans="2:39" ht="15" customHeight="1" x14ac:dyDescent="0.3">
      <c r="B2767">
        <v>276.39999999999998</v>
      </c>
      <c r="C2767" t="str">
        <f>IFERROR(VLOOKUP(B2767,'Pre-Summary'!$DI$6:$DM$23,4,FALSE),"")</f>
        <v/>
      </c>
      <c r="D2767" s="10" t="str">
        <f>IFERROR(VLOOKUP(B2767,'Pre-Summary'!$AT$6:$AX$14,5,FALSE),D2766)</f>
        <v>Wolfe v3: went back to modified wolfe + EDTA and switched CuSO4 to CUCl2</v>
      </c>
      <c r="E2767" s="10" t="str">
        <f>IFERROR(VLOOKUP(B2767,'Pre-Summary'!$AT$6:$AX$15,4,FALSE),"")</f>
        <v/>
      </c>
      <c r="F2767">
        <f>IFERROR(VLOOKUP(B2767,'Pre-Summary'!$AL$6:$AQ$13,6,FALSE),F2766)</f>
        <v>5.9405263157894746E-2</v>
      </c>
      <c r="G2767" t="str">
        <f>IFERROR(VLOOKUP(B2767,'Pre-Summary'!$AE$6:$AJ$85,3,FALSE),"")</f>
        <v/>
      </c>
      <c r="H2767" t="str">
        <f>IFERROR(VLOOKUP(B2767,'Pre-Summary'!$AE$6:$AJ$85,4,FALSE),"")</f>
        <v/>
      </c>
      <c r="I2767" t="str">
        <f>IFERROR(VLOOKUP(B2767,'Pre-Summary'!$AE$6:$AJ$85,5,FALSE),"")</f>
        <v/>
      </c>
      <c r="J2767" s="45" t="str">
        <f>IFERROR(VLOOKUP(B2767,'Pre-Summary'!$AE$6:$AJ$85,6, FALSE),"")</f>
        <v/>
      </c>
      <c r="K2767" s="45" t="str">
        <f>IFERROR(VLOOKUP(B2767,'Pre-Summary'!$DE$6:$DG$61,3,FALSE),"")</f>
        <v/>
      </c>
      <c r="L2767" s="45" t="str">
        <f>IFERROR(VLOOKUP(B2767,'Pre-Summary'!$CU$6:$CW$36,3,FALSE),"")</f>
        <v/>
      </c>
      <c r="M2767" s="45" t="str">
        <f>IFERROR(VLOOKUP(B2767,'Pre-Summary'!$BW$6:$BY$58,2,FALSE),"")</f>
        <v/>
      </c>
      <c r="N2767" s="45" t="str">
        <f>IFERROR(VLOOKUP(B2767,'Pre-Summary'!$CD$6:$CF$64,2,FALSE),"")</f>
        <v/>
      </c>
      <c r="O2767" s="99">
        <f>IFERROR(VLOOKUP(B2767,'Pre-Summary'!$BO$6:$BQ$48,3, FALSE),O2766)</f>
        <v>2.1030000000000002</v>
      </c>
      <c r="P2767" s="99">
        <f>IFERROR(VLOOKUP(B2767,'Pre-Summary'!$BS$6:$BU$35,3,FALSE),P2766)</f>
        <v>0.53100000000000003</v>
      </c>
      <c r="Q2767" s="54">
        <f t="shared" si="129"/>
        <v>3.9604519774011302</v>
      </c>
      <c r="R2767" s="53">
        <f>IFERROR(VLOOKUP(B2767,'Pre-Summary'!$BG$6:$BM$44,7,FALSE),R2768)</f>
        <v>9.5351142367257502E-2</v>
      </c>
      <c r="S2767" s="53">
        <f>IFERROR(VLOOKUP(B2767,'Pre-Summary'!$BG$6:$BM$44,6,FALSE),S2768)</f>
        <v>0.10009321836402316</v>
      </c>
      <c r="T2767" s="45" t="str">
        <f>IFERROR(VLOOKUP(B2767,'Pre-Summary'!$Y$6:$AC$83, 3,FALSE),"")</f>
        <v/>
      </c>
      <c r="U2767" s="45" t="str">
        <f>IFERROR(VLOOKUP(B2767,'Pre-Summary'!$Y$6:$AC$83, 4,FALSE),"")</f>
        <v/>
      </c>
      <c r="V2767" t="str">
        <f>IFERROR(VLOOKUP(B2767,'Pre-Summary'!$Y$6:$AC$83, 5,FALSE),"")</f>
        <v/>
      </c>
      <c r="W2767" s="45" t="str">
        <f>IFERROR(VLOOKUP(B2767,'Pre-Summary'!$Y$6:$AD$83,6,FALSE),"")</f>
        <v/>
      </c>
      <c r="X2767" t="str">
        <f>IFERROR(VLOOKUP('Pre-Summary'!$DB$6:$DD$63,3,FALSE),"")</f>
        <v/>
      </c>
      <c r="Y2767" t="str">
        <f>IFERROR(VLOOKUP(B2767,'Pre-Summary'!$CR$6:$CT$36,3,FALSE),"")</f>
        <v/>
      </c>
      <c r="Z2767" s="45" t="str">
        <f>IFERROR(VLOOKUP(B2767,'Pre-Summary'!$BZ$6:$CB$63,2,FALSE),"")</f>
        <v/>
      </c>
      <c r="AA2767" s="45" t="str">
        <f>IFERROR(VLOOKUP(B2767,'Pre-Summary'!$CG$6:$CI$70,2,FALSE),"")</f>
        <v/>
      </c>
      <c r="AB2767" s="99">
        <f>IFERROR(VLOOKUP(B2767,'Pre-Summary'!$A$6:$P$178,9,FALSE),AB2768)</f>
        <v>0.7010379290946207</v>
      </c>
      <c r="AC2767" s="10">
        <f>IFERROR(VLOOKUP(Summary!B2767,'Pre-Summary'!$A$6:$P$184,5, FALSE)/100,AC2768)</f>
        <v>0.92607166666666674</v>
      </c>
      <c r="AD2767" s="10">
        <f>IFERROR(VLOOKUP(Summary!B2767,'Pre-Summary'!$A$6:$P$184,3, FALSE)/100,AD2768)</f>
        <v>5.4963666666666668E-2</v>
      </c>
      <c r="AE2767" s="10">
        <f>IFERROR(VLOOKUP(Summary!B2767,'Pre-Summary'!$A$6:$P$184,7, FALSE)/100,AE2768)</f>
        <v>1.8946666666666667E-2</v>
      </c>
      <c r="AF2767" s="99">
        <f t="shared" si="130"/>
        <v>3.8531615055447034E-2</v>
      </c>
      <c r="AG2767" s="99">
        <f t="shared" si="131"/>
        <v>1.3282331963246082E-2</v>
      </c>
      <c r="AH2767" s="10" t="str">
        <f>IFERROR(VLOOKUP(B2767,'Pre-Summary'!$AZ$6:$BE$65,3,FALSE),"")</f>
        <v/>
      </c>
      <c r="AI2767" s="10" t="str">
        <f>IFERROR(VLOOKUP(B2767,'Pre-Summary'!$AZ$6:$BE$65,5,FALSE),"")</f>
        <v/>
      </c>
      <c r="AJ2767" s="10" t="str">
        <f>IFERROR(VLOOKUP(B2767,'Pre-Summary'!$AZ$6:$BE$65,4,FALSE),"")</f>
        <v/>
      </c>
      <c r="AK2767" s="10" t="str">
        <f>IFERROR(VLOOKUP(B2767,'Pre-Summary'!$AZ$6:$BE$65,6,FALSE),"")</f>
        <v/>
      </c>
      <c r="AL2767" s="10" t="str">
        <f>IFERROR(VLOOKUP(B2767,'Pre-Summary'!$BG$6:$BL$44,3,FALSE),"")</f>
        <v/>
      </c>
      <c r="AM2767" s="10" t="str">
        <f>IFERROR(VLOOKUP(B2767,'Pre-Summary'!$BG$6:$BL$44,4,FALSE),"")</f>
        <v/>
      </c>
    </row>
    <row r="2768" spans="2:39" ht="15" customHeight="1" x14ac:dyDescent="0.3">
      <c r="B2768">
        <v>276.5</v>
      </c>
      <c r="C2768" t="str">
        <f>IFERROR(VLOOKUP(B2768,'Pre-Summary'!$DI$6:$DM$23,4,FALSE),"")</f>
        <v/>
      </c>
      <c r="D2768" s="10" t="str">
        <f>IFERROR(VLOOKUP(B2768,'Pre-Summary'!$AT$6:$AX$14,5,FALSE),D2767)</f>
        <v>Wolfe v3: went back to modified wolfe + EDTA and switched CuSO4 to CUCl2</v>
      </c>
      <c r="E2768" s="10" t="str">
        <f>IFERROR(VLOOKUP(B2768,'Pre-Summary'!$AT$6:$AX$15,4,FALSE),"")</f>
        <v/>
      </c>
      <c r="F2768">
        <f>IFERROR(VLOOKUP(B2768,'Pre-Summary'!$AL$6:$AQ$13,6,FALSE),F2767)</f>
        <v>5.9405263157894746E-2</v>
      </c>
      <c r="G2768" t="str">
        <f>IFERROR(VLOOKUP(B2768,'Pre-Summary'!$AE$6:$AJ$85,3,FALSE),"")</f>
        <v/>
      </c>
      <c r="H2768" t="str">
        <f>IFERROR(VLOOKUP(B2768,'Pre-Summary'!$AE$6:$AJ$85,4,FALSE),"")</f>
        <v/>
      </c>
      <c r="I2768" t="str">
        <f>IFERROR(VLOOKUP(B2768,'Pre-Summary'!$AE$6:$AJ$85,5,FALSE),"")</f>
        <v/>
      </c>
      <c r="J2768" s="45" t="str">
        <f>IFERROR(VLOOKUP(B2768,'Pre-Summary'!$AE$6:$AJ$85,6, FALSE),"")</f>
        <v/>
      </c>
      <c r="K2768" s="45" t="str">
        <f>IFERROR(VLOOKUP(B2768,'Pre-Summary'!$DE$6:$DG$61,3,FALSE),"")</f>
        <v/>
      </c>
      <c r="L2768" s="45" t="str">
        <f>IFERROR(VLOOKUP(B2768,'Pre-Summary'!$CU$6:$CW$36,3,FALSE),"")</f>
        <v/>
      </c>
      <c r="M2768" s="45" t="str">
        <f>IFERROR(VLOOKUP(B2768,'Pre-Summary'!$BW$6:$BY$58,2,FALSE),"")</f>
        <v/>
      </c>
      <c r="N2768" s="45" t="str">
        <f>IFERROR(VLOOKUP(B2768,'Pre-Summary'!$CD$6:$CF$64,2,FALSE),"")</f>
        <v/>
      </c>
      <c r="O2768" s="99">
        <f>IFERROR(VLOOKUP(B2768,'Pre-Summary'!$BO$6:$BQ$48,3, FALSE),O2767)</f>
        <v>2.1030000000000002</v>
      </c>
      <c r="P2768" s="99">
        <f>IFERROR(VLOOKUP(B2768,'Pre-Summary'!$BS$6:$BU$35,3,FALSE),P2767)</f>
        <v>0.53100000000000003</v>
      </c>
      <c r="Q2768" s="54">
        <f t="shared" si="129"/>
        <v>3.9604519774011302</v>
      </c>
      <c r="R2768" s="53">
        <f>IFERROR(VLOOKUP(B2768,'Pre-Summary'!$BG$6:$BM$44,7,FALSE),R2769)</f>
        <v>9.5351142367257502E-2</v>
      </c>
      <c r="S2768" s="53">
        <f>IFERROR(VLOOKUP(B2768,'Pre-Summary'!$BG$6:$BM$44,6,FALSE),S2769)</f>
        <v>0.10009321836402316</v>
      </c>
      <c r="T2768" s="45" t="str">
        <f>IFERROR(VLOOKUP(B2768,'Pre-Summary'!$Y$6:$AC$83, 3,FALSE),"")</f>
        <v/>
      </c>
      <c r="U2768" s="45" t="str">
        <f>IFERROR(VLOOKUP(B2768,'Pre-Summary'!$Y$6:$AC$83, 4,FALSE),"")</f>
        <v/>
      </c>
      <c r="V2768" t="str">
        <f>IFERROR(VLOOKUP(B2768,'Pre-Summary'!$Y$6:$AC$83, 5,FALSE),"")</f>
        <v/>
      </c>
      <c r="W2768" s="45" t="str">
        <f>IFERROR(VLOOKUP(B2768,'Pre-Summary'!$Y$6:$AD$83,6,FALSE),"")</f>
        <v/>
      </c>
      <c r="X2768" t="str">
        <f>IFERROR(VLOOKUP('Pre-Summary'!$DB$6:$DD$63,3,FALSE),"")</f>
        <v/>
      </c>
      <c r="Y2768" t="str">
        <f>IFERROR(VLOOKUP(B2768,'Pre-Summary'!$CR$6:$CT$36,3,FALSE),"")</f>
        <v/>
      </c>
      <c r="Z2768" s="45" t="str">
        <f>IFERROR(VLOOKUP(B2768,'Pre-Summary'!$BZ$6:$CB$63,2,FALSE),"")</f>
        <v/>
      </c>
      <c r="AA2768" s="45" t="str">
        <f>IFERROR(VLOOKUP(B2768,'Pre-Summary'!$CG$6:$CI$70,2,FALSE),"")</f>
        <v/>
      </c>
      <c r="AB2768" s="99">
        <f>IFERROR(VLOOKUP(B2768,'Pre-Summary'!$A$6:$P$178,9,FALSE),AB2769)</f>
        <v>0.7010379290946207</v>
      </c>
      <c r="AC2768" s="10">
        <f>IFERROR(VLOOKUP(Summary!B2768,'Pre-Summary'!$A$6:$P$184,5, FALSE)/100,AC2769)</f>
        <v>0.92607166666666674</v>
      </c>
      <c r="AD2768" s="10">
        <f>IFERROR(VLOOKUP(Summary!B2768,'Pre-Summary'!$A$6:$P$184,3, FALSE)/100,AD2769)</f>
        <v>5.4963666666666668E-2</v>
      </c>
      <c r="AE2768" s="10">
        <f>IFERROR(VLOOKUP(Summary!B2768,'Pre-Summary'!$A$6:$P$184,7, FALSE)/100,AE2769)</f>
        <v>1.8946666666666667E-2</v>
      </c>
      <c r="AF2768" s="99">
        <f t="shared" si="130"/>
        <v>3.8531615055447034E-2</v>
      </c>
      <c r="AG2768" s="99">
        <f t="shared" si="131"/>
        <v>1.3282331963246082E-2</v>
      </c>
      <c r="AH2768" s="10" t="str">
        <f>IFERROR(VLOOKUP(B2768,'Pre-Summary'!$AZ$6:$BE$65,3,FALSE),"")</f>
        <v/>
      </c>
      <c r="AI2768" s="10" t="str">
        <f>IFERROR(VLOOKUP(B2768,'Pre-Summary'!$AZ$6:$BE$65,5,FALSE),"")</f>
        <v/>
      </c>
      <c r="AJ2768" s="10" t="str">
        <f>IFERROR(VLOOKUP(B2768,'Pre-Summary'!$AZ$6:$BE$65,4,FALSE),"")</f>
        <v/>
      </c>
      <c r="AK2768" s="10" t="str">
        <f>IFERROR(VLOOKUP(B2768,'Pre-Summary'!$AZ$6:$BE$65,6,FALSE),"")</f>
        <v/>
      </c>
      <c r="AL2768" s="10" t="str">
        <f>IFERROR(VLOOKUP(B2768,'Pre-Summary'!$BG$6:$BL$44,3,FALSE),"")</f>
        <v/>
      </c>
      <c r="AM2768" s="10" t="str">
        <f>IFERROR(VLOOKUP(B2768,'Pre-Summary'!$BG$6:$BL$44,4,FALSE),"")</f>
        <v/>
      </c>
    </row>
    <row r="2769" spans="2:39" ht="15" customHeight="1" x14ac:dyDescent="0.3">
      <c r="B2769">
        <v>276.60000000000002</v>
      </c>
      <c r="C2769" t="str">
        <f>IFERROR(VLOOKUP(B2769,'Pre-Summary'!$DI$6:$DM$23,4,FALSE),"")</f>
        <v/>
      </c>
      <c r="D2769" s="10" t="str">
        <f>IFERROR(VLOOKUP(B2769,'Pre-Summary'!$AT$6:$AX$14,5,FALSE),D2768)</f>
        <v>Wolfe v3: went back to modified wolfe + EDTA and switched CuSO4 to CUCl2</v>
      </c>
      <c r="E2769" s="10" t="str">
        <f>IFERROR(VLOOKUP(B2769,'Pre-Summary'!$AT$6:$AX$15,4,FALSE),"")</f>
        <v/>
      </c>
      <c r="F2769">
        <f>IFERROR(VLOOKUP(B2769,'Pre-Summary'!$AL$6:$AQ$13,6,FALSE),F2768)</f>
        <v>5.9405263157894746E-2</v>
      </c>
      <c r="G2769" t="str">
        <f>IFERROR(VLOOKUP(B2769,'Pre-Summary'!$AE$6:$AJ$85,3,FALSE),"")</f>
        <v/>
      </c>
      <c r="H2769" t="str">
        <f>IFERROR(VLOOKUP(B2769,'Pre-Summary'!$AE$6:$AJ$85,4,FALSE),"")</f>
        <v/>
      </c>
      <c r="I2769" t="str">
        <f>IFERROR(VLOOKUP(B2769,'Pre-Summary'!$AE$6:$AJ$85,5,FALSE),"")</f>
        <v/>
      </c>
      <c r="J2769" s="45" t="str">
        <f>IFERROR(VLOOKUP(B2769,'Pre-Summary'!$AE$6:$AJ$85,6, FALSE),"")</f>
        <v/>
      </c>
      <c r="K2769" s="45" t="str">
        <f>IFERROR(VLOOKUP(B2769,'Pre-Summary'!$DE$6:$DG$61,3,FALSE),"")</f>
        <v/>
      </c>
      <c r="L2769" s="45" t="str">
        <f>IFERROR(VLOOKUP(B2769,'Pre-Summary'!$CU$6:$CW$36,3,FALSE),"")</f>
        <v/>
      </c>
      <c r="M2769" s="45" t="str">
        <f>IFERROR(VLOOKUP(B2769,'Pre-Summary'!$BW$6:$BY$58,2,FALSE),"")</f>
        <v/>
      </c>
      <c r="N2769" s="45" t="str">
        <f>IFERROR(VLOOKUP(B2769,'Pre-Summary'!$CD$6:$CF$64,2,FALSE),"")</f>
        <v/>
      </c>
      <c r="O2769" s="99">
        <f>IFERROR(VLOOKUP(B2769,'Pre-Summary'!$BO$6:$BQ$48,3, FALSE),O2768)</f>
        <v>2.1030000000000002</v>
      </c>
      <c r="P2769" s="99">
        <f>IFERROR(VLOOKUP(B2769,'Pre-Summary'!$BS$6:$BU$35,3,FALSE),P2768)</f>
        <v>0.53100000000000003</v>
      </c>
      <c r="Q2769" s="54">
        <f t="shared" si="129"/>
        <v>3.9604519774011302</v>
      </c>
      <c r="R2769" s="53">
        <f>IFERROR(VLOOKUP(B2769,'Pre-Summary'!$BG$6:$BM$44,7,FALSE),R2770)</f>
        <v>9.5351142367257502E-2</v>
      </c>
      <c r="S2769" s="53">
        <f>IFERROR(VLOOKUP(B2769,'Pre-Summary'!$BG$6:$BM$44,6,FALSE),S2770)</f>
        <v>0.10009321836402316</v>
      </c>
      <c r="T2769" s="45" t="str">
        <f>IFERROR(VLOOKUP(B2769,'Pre-Summary'!$Y$6:$AC$83, 3,FALSE),"")</f>
        <v/>
      </c>
      <c r="U2769" s="45" t="str">
        <f>IFERROR(VLOOKUP(B2769,'Pre-Summary'!$Y$6:$AC$83, 4,FALSE),"")</f>
        <v/>
      </c>
      <c r="V2769" t="str">
        <f>IFERROR(VLOOKUP(B2769,'Pre-Summary'!$Y$6:$AC$83, 5,FALSE),"")</f>
        <v/>
      </c>
      <c r="W2769" s="45" t="str">
        <f>IFERROR(VLOOKUP(B2769,'Pre-Summary'!$Y$6:$AD$83,6,FALSE),"")</f>
        <v/>
      </c>
      <c r="X2769" t="str">
        <f>IFERROR(VLOOKUP('Pre-Summary'!$DB$6:$DD$63,3,FALSE),"")</f>
        <v/>
      </c>
      <c r="Y2769" t="str">
        <f>IFERROR(VLOOKUP(B2769,'Pre-Summary'!$CR$6:$CT$36,3,FALSE),"")</f>
        <v/>
      </c>
      <c r="Z2769" s="45" t="str">
        <f>IFERROR(VLOOKUP(B2769,'Pre-Summary'!$BZ$6:$CB$63,2,FALSE),"")</f>
        <v/>
      </c>
      <c r="AA2769" s="45" t="str">
        <f>IFERROR(VLOOKUP(B2769,'Pre-Summary'!$CG$6:$CI$70,2,FALSE),"")</f>
        <v/>
      </c>
      <c r="AB2769" s="99">
        <f>IFERROR(VLOOKUP(B2769,'Pre-Summary'!$A$6:$P$178,9,FALSE),AB2770)</f>
        <v>0.7010379290946207</v>
      </c>
      <c r="AC2769" s="10">
        <f>IFERROR(VLOOKUP(Summary!B2769,'Pre-Summary'!$A$6:$P$184,5, FALSE)/100,AC2770)</f>
        <v>0.92607166666666674</v>
      </c>
      <c r="AD2769" s="10">
        <f>IFERROR(VLOOKUP(Summary!B2769,'Pre-Summary'!$A$6:$P$184,3, FALSE)/100,AD2770)</f>
        <v>5.4963666666666668E-2</v>
      </c>
      <c r="AE2769" s="10">
        <f>IFERROR(VLOOKUP(Summary!B2769,'Pre-Summary'!$A$6:$P$184,7, FALSE)/100,AE2770)</f>
        <v>1.8946666666666667E-2</v>
      </c>
      <c r="AF2769" s="99">
        <f t="shared" si="130"/>
        <v>3.8531615055447034E-2</v>
      </c>
      <c r="AG2769" s="99">
        <f t="shared" si="131"/>
        <v>1.3282331963246082E-2</v>
      </c>
      <c r="AH2769" s="10" t="str">
        <f>IFERROR(VLOOKUP(B2769,'Pre-Summary'!$AZ$6:$BE$65,3,FALSE),"")</f>
        <v/>
      </c>
      <c r="AI2769" s="10" t="str">
        <f>IFERROR(VLOOKUP(B2769,'Pre-Summary'!$AZ$6:$BE$65,5,FALSE),"")</f>
        <v/>
      </c>
      <c r="AJ2769" s="10" t="str">
        <f>IFERROR(VLOOKUP(B2769,'Pre-Summary'!$AZ$6:$BE$65,4,FALSE),"")</f>
        <v/>
      </c>
      <c r="AK2769" s="10" t="str">
        <f>IFERROR(VLOOKUP(B2769,'Pre-Summary'!$AZ$6:$BE$65,6,FALSE),"")</f>
        <v/>
      </c>
      <c r="AL2769" s="10" t="str">
        <f>IFERROR(VLOOKUP(B2769,'Pre-Summary'!$BG$6:$BL$44,3,FALSE),"")</f>
        <v/>
      </c>
      <c r="AM2769" s="10" t="str">
        <f>IFERROR(VLOOKUP(B2769,'Pre-Summary'!$BG$6:$BL$44,4,FALSE),"")</f>
        <v/>
      </c>
    </row>
    <row r="2770" spans="2:39" ht="15" customHeight="1" x14ac:dyDescent="0.3">
      <c r="B2770">
        <v>276.7</v>
      </c>
      <c r="C2770" t="str">
        <f>IFERROR(VLOOKUP(B2770,'Pre-Summary'!$DI$6:$DM$23,4,FALSE),"")</f>
        <v/>
      </c>
      <c r="D2770" s="10" t="str">
        <f>IFERROR(VLOOKUP(B2770,'Pre-Summary'!$AT$6:$AX$14,5,FALSE),D2769)</f>
        <v>Wolfe v3: went back to modified wolfe + EDTA and switched CuSO4 to CUCl2</v>
      </c>
      <c r="E2770" s="10" t="str">
        <f>IFERROR(VLOOKUP(B2770,'Pre-Summary'!$AT$6:$AX$15,4,FALSE),"")</f>
        <v/>
      </c>
      <c r="F2770">
        <f>IFERROR(VLOOKUP(B2770,'Pre-Summary'!$AL$6:$AQ$13,6,FALSE),F2769)</f>
        <v>5.9405263157894746E-2</v>
      </c>
      <c r="G2770" t="str">
        <f>IFERROR(VLOOKUP(B2770,'Pre-Summary'!$AE$6:$AJ$85,3,FALSE),"")</f>
        <v/>
      </c>
      <c r="H2770" t="str">
        <f>IFERROR(VLOOKUP(B2770,'Pre-Summary'!$AE$6:$AJ$85,4,FALSE),"")</f>
        <v/>
      </c>
      <c r="I2770" t="str">
        <f>IFERROR(VLOOKUP(B2770,'Pre-Summary'!$AE$6:$AJ$85,5,FALSE),"")</f>
        <v/>
      </c>
      <c r="J2770" s="45" t="str">
        <f>IFERROR(VLOOKUP(B2770,'Pre-Summary'!$AE$6:$AJ$85,6, FALSE),"")</f>
        <v/>
      </c>
      <c r="K2770" s="45" t="str">
        <f>IFERROR(VLOOKUP(B2770,'Pre-Summary'!$DE$6:$DG$61,3,FALSE),"")</f>
        <v/>
      </c>
      <c r="L2770" s="45" t="str">
        <f>IFERROR(VLOOKUP(B2770,'Pre-Summary'!$CU$6:$CW$36,3,FALSE),"")</f>
        <v/>
      </c>
      <c r="M2770" s="45" t="str">
        <f>IFERROR(VLOOKUP(B2770,'Pre-Summary'!$BW$6:$BY$58,2,FALSE),"")</f>
        <v/>
      </c>
      <c r="N2770" s="45" t="str">
        <f>IFERROR(VLOOKUP(B2770,'Pre-Summary'!$CD$6:$CF$64,2,FALSE),"")</f>
        <v/>
      </c>
      <c r="O2770" s="99">
        <f>IFERROR(VLOOKUP(B2770,'Pre-Summary'!$BO$6:$BQ$48,3, FALSE),O2769)</f>
        <v>2.1030000000000002</v>
      </c>
      <c r="P2770" s="99">
        <f>IFERROR(VLOOKUP(B2770,'Pre-Summary'!$BS$6:$BU$35,3,FALSE),P2769)</f>
        <v>0.53100000000000003</v>
      </c>
      <c r="Q2770" s="54">
        <f t="shared" si="129"/>
        <v>3.9604519774011302</v>
      </c>
      <c r="R2770" s="53">
        <f>IFERROR(VLOOKUP(B2770,'Pre-Summary'!$BG$6:$BM$44,7,FALSE),R2771)</f>
        <v>9.5351142367257502E-2</v>
      </c>
      <c r="S2770" s="53">
        <f>IFERROR(VLOOKUP(B2770,'Pre-Summary'!$BG$6:$BM$44,6,FALSE),S2771)</f>
        <v>0.10009321836402316</v>
      </c>
      <c r="T2770" s="45" t="str">
        <f>IFERROR(VLOOKUP(B2770,'Pre-Summary'!$Y$6:$AC$83, 3,FALSE),"")</f>
        <v/>
      </c>
      <c r="U2770" s="45" t="str">
        <f>IFERROR(VLOOKUP(B2770,'Pre-Summary'!$Y$6:$AC$83, 4,FALSE),"")</f>
        <v/>
      </c>
      <c r="V2770" t="str">
        <f>IFERROR(VLOOKUP(B2770,'Pre-Summary'!$Y$6:$AC$83, 5,FALSE),"")</f>
        <v/>
      </c>
      <c r="W2770" s="45" t="str">
        <f>IFERROR(VLOOKUP(B2770,'Pre-Summary'!$Y$6:$AD$83,6,FALSE),"")</f>
        <v/>
      </c>
      <c r="X2770" t="str">
        <f>IFERROR(VLOOKUP('Pre-Summary'!$DB$6:$DD$63,3,FALSE),"")</f>
        <v/>
      </c>
      <c r="Y2770" t="str">
        <f>IFERROR(VLOOKUP(B2770,'Pre-Summary'!$CR$6:$CT$36,3,FALSE),"")</f>
        <v/>
      </c>
      <c r="Z2770" s="45" t="str">
        <f>IFERROR(VLOOKUP(B2770,'Pre-Summary'!$BZ$6:$CB$63,2,FALSE),"")</f>
        <v/>
      </c>
      <c r="AA2770" s="45" t="str">
        <f>IFERROR(VLOOKUP(B2770,'Pre-Summary'!$CG$6:$CI$70,2,FALSE),"")</f>
        <v/>
      </c>
      <c r="AB2770" s="99">
        <f>IFERROR(VLOOKUP(B2770,'Pre-Summary'!$A$6:$P$178,9,FALSE),AB2771)</f>
        <v>0.7010379290946207</v>
      </c>
      <c r="AC2770" s="10">
        <f>IFERROR(VLOOKUP(Summary!B2770,'Pre-Summary'!$A$6:$P$184,5, FALSE)/100,AC2771)</f>
        <v>0.92607166666666674</v>
      </c>
      <c r="AD2770" s="10">
        <f>IFERROR(VLOOKUP(Summary!B2770,'Pre-Summary'!$A$6:$P$184,3, FALSE)/100,AD2771)</f>
        <v>5.4963666666666668E-2</v>
      </c>
      <c r="AE2770" s="10">
        <f>IFERROR(VLOOKUP(Summary!B2770,'Pre-Summary'!$A$6:$P$184,7, FALSE)/100,AE2771)</f>
        <v>1.8946666666666667E-2</v>
      </c>
      <c r="AF2770" s="99">
        <f t="shared" si="130"/>
        <v>3.8531615055447034E-2</v>
      </c>
      <c r="AG2770" s="99">
        <f t="shared" si="131"/>
        <v>1.3282331963246082E-2</v>
      </c>
      <c r="AH2770" s="10" t="str">
        <f>IFERROR(VLOOKUP(B2770,'Pre-Summary'!$AZ$6:$BE$65,3,FALSE),"")</f>
        <v/>
      </c>
      <c r="AI2770" s="10" t="str">
        <f>IFERROR(VLOOKUP(B2770,'Pre-Summary'!$AZ$6:$BE$65,5,FALSE),"")</f>
        <v/>
      </c>
      <c r="AJ2770" s="10" t="str">
        <f>IFERROR(VLOOKUP(B2770,'Pre-Summary'!$AZ$6:$BE$65,4,FALSE),"")</f>
        <v/>
      </c>
      <c r="AK2770" s="10" t="str">
        <f>IFERROR(VLOOKUP(B2770,'Pre-Summary'!$AZ$6:$BE$65,6,FALSE),"")</f>
        <v/>
      </c>
      <c r="AL2770" s="10" t="str">
        <f>IFERROR(VLOOKUP(B2770,'Pre-Summary'!$BG$6:$BL$44,3,FALSE),"")</f>
        <v/>
      </c>
      <c r="AM2770" s="10" t="str">
        <f>IFERROR(VLOOKUP(B2770,'Pre-Summary'!$BG$6:$BL$44,4,FALSE),"")</f>
        <v/>
      </c>
    </row>
    <row r="2771" spans="2:39" ht="15" customHeight="1" x14ac:dyDescent="0.3">
      <c r="B2771">
        <v>276.8</v>
      </c>
      <c r="C2771" t="str">
        <f>IFERROR(VLOOKUP(B2771,'Pre-Summary'!$DI$6:$DM$23,4,FALSE),"")</f>
        <v/>
      </c>
      <c r="D2771" s="10" t="str">
        <f>IFERROR(VLOOKUP(B2771,'Pre-Summary'!$AT$6:$AX$14,5,FALSE),D2770)</f>
        <v>Wolfe v3: went back to modified wolfe + EDTA and switched CuSO4 to CUCl2</v>
      </c>
      <c r="E2771" s="10" t="str">
        <f>IFERROR(VLOOKUP(B2771,'Pre-Summary'!$AT$6:$AX$15,4,FALSE),"")</f>
        <v/>
      </c>
      <c r="F2771">
        <f>IFERROR(VLOOKUP(B2771,'Pre-Summary'!$AL$6:$AQ$13,6,FALSE),F2770)</f>
        <v>5.9405263157894746E-2</v>
      </c>
      <c r="G2771" t="str">
        <f>IFERROR(VLOOKUP(B2771,'Pre-Summary'!$AE$6:$AJ$85,3,FALSE),"")</f>
        <v/>
      </c>
      <c r="H2771" t="str">
        <f>IFERROR(VLOOKUP(B2771,'Pre-Summary'!$AE$6:$AJ$85,4,FALSE),"")</f>
        <v/>
      </c>
      <c r="I2771" t="str">
        <f>IFERROR(VLOOKUP(B2771,'Pre-Summary'!$AE$6:$AJ$85,5,FALSE),"")</f>
        <v/>
      </c>
      <c r="J2771" s="45" t="str">
        <f>IFERROR(VLOOKUP(B2771,'Pre-Summary'!$AE$6:$AJ$85,6, FALSE),"")</f>
        <v/>
      </c>
      <c r="K2771" s="45" t="str">
        <f>IFERROR(VLOOKUP(B2771,'Pre-Summary'!$DE$6:$DG$61,3,FALSE),"")</f>
        <v/>
      </c>
      <c r="L2771" s="45" t="str">
        <f>IFERROR(VLOOKUP(B2771,'Pre-Summary'!$CU$6:$CW$36,3,FALSE),"")</f>
        <v/>
      </c>
      <c r="M2771" s="45" t="str">
        <f>IFERROR(VLOOKUP(B2771,'Pre-Summary'!$BW$6:$BY$58,2,FALSE),"")</f>
        <v/>
      </c>
      <c r="N2771" s="45" t="str">
        <f>IFERROR(VLOOKUP(B2771,'Pre-Summary'!$CD$6:$CF$64,2,FALSE),"")</f>
        <v/>
      </c>
      <c r="O2771" s="99">
        <f>IFERROR(VLOOKUP(B2771,'Pre-Summary'!$BO$6:$BQ$48,3, FALSE),O2770)</f>
        <v>2.1030000000000002</v>
      </c>
      <c r="P2771" s="99">
        <f>IFERROR(VLOOKUP(B2771,'Pre-Summary'!$BS$6:$BU$35,3,FALSE),P2770)</f>
        <v>0.53100000000000003</v>
      </c>
      <c r="Q2771" s="54">
        <f t="shared" si="129"/>
        <v>3.9604519774011302</v>
      </c>
      <c r="R2771" s="53">
        <f>IFERROR(VLOOKUP(B2771,'Pre-Summary'!$BG$6:$BM$44,7,FALSE),R2772)</f>
        <v>9.5351142367257502E-2</v>
      </c>
      <c r="S2771" s="53">
        <f>IFERROR(VLOOKUP(B2771,'Pre-Summary'!$BG$6:$BM$44,6,FALSE),S2772)</f>
        <v>0.10009321836402316</v>
      </c>
      <c r="T2771" s="45" t="str">
        <f>IFERROR(VLOOKUP(B2771,'Pre-Summary'!$Y$6:$AC$83, 3,FALSE),"")</f>
        <v/>
      </c>
      <c r="U2771" s="45" t="str">
        <f>IFERROR(VLOOKUP(B2771,'Pre-Summary'!$Y$6:$AC$83, 4,FALSE),"")</f>
        <v/>
      </c>
      <c r="V2771" t="str">
        <f>IFERROR(VLOOKUP(B2771,'Pre-Summary'!$Y$6:$AC$83, 5,FALSE),"")</f>
        <v/>
      </c>
      <c r="W2771" s="45" t="str">
        <f>IFERROR(VLOOKUP(B2771,'Pre-Summary'!$Y$6:$AD$83,6,FALSE),"")</f>
        <v/>
      </c>
      <c r="X2771" t="str">
        <f>IFERROR(VLOOKUP('Pre-Summary'!$DB$6:$DD$63,3,FALSE),"")</f>
        <v/>
      </c>
      <c r="Y2771" t="str">
        <f>IFERROR(VLOOKUP(B2771,'Pre-Summary'!$CR$6:$CT$36,3,FALSE),"")</f>
        <v/>
      </c>
      <c r="Z2771" s="45" t="str">
        <f>IFERROR(VLOOKUP(B2771,'Pre-Summary'!$BZ$6:$CB$63,2,FALSE),"")</f>
        <v/>
      </c>
      <c r="AA2771" s="45" t="str">
        <f>IFERROR(VLOOKUP(B2771,'Pre-Summary'!$CG$6:$CI$70,2,FALSE),"")</f>
        <v/>
      </c>
      <c r="AB2771" s="99">
        <f>IFERROR(VLOOKUP(B2771,'Pre-Summary'!$A$6:$P$178,9,FALSE),AB2772)</f>
        <v>0.7010379290946207</v>
      </c>
      <c r="AC2771" s="10">
        <f>IFERROR(VLOOKUP(Summary!B2771,'Pre-Summary'!$A$6:$P$184,5, FALSE)/100,AC2772)</f>
        <v>0.92607166666666674</v>
      </c>
      <c r="AD2771" s="10">
        <f>IFERROR(VLOOKUP(Summary!B2771,'Pre-Summary'!$A$6:$P$184,3, FALSE)/100,AD2772)</f>
        <v>5.4963666666666668E-2</v>
      </c>
      <c r="AE2771" s="10">
        <f>IFERROR(VLOOKUP(Summary!B2771,'Pre-Summary'!$A$6:$P$184,7, FALSE)/100,AE2772)</f>
        <v>1.8946666666666667E-2</v>
      </c>
      <c r="AF2771" s="99">
        <f t="shared" si="130"/>
        <v>3.8531615055447034E-2</v>
      </c>
      <c r="AG2771" s="99">
        <f t="shared" si="131"/>
        <v>1.3282331963246082E-2</v>
      </c>
      <c r="AH2771" s="10" t="str">
        <f>IFERROR(VLOOKUP(B2771,'Pre-Summary'!$AZ$6:$BE$65,3,FALSE),"")</f>
        <v/>
      </c>
      <c r="AI2771" s="10" t="str">
        <f>IFERROR(VLOOKUP(B2771,'Pre-Summary'!$AZ$6:$BE$65,5,FALSE),"")</f>
        <v/>
      </c>
      <c r="AJ2771" s="10" t="str">
        <f>IFERROR(VLOOKUP(B2771,'Pre-Summary'!$AZ$6:$BE$65,4,FALSE),"")</f>
        <v/>
      </c>
      <c r="AK2771" s="10" t="str">
        <f>IFERROR(VLOOKUP(B2771,'Pre-Summary'!$AZ$6:$BE$65,6,FALSE),"")</f>
        <v/>
      </c>
      <c r="AL2771" s="10" t="str">
        <f>IFERROR(VLOOKUP(B2771,'Pre-Summary'!$BG$6:$BL$44,3,FALSE),"")</f>
        <v/>
      </c>
      <c r="AM2771" s="10" t="str">
        <f>IFERROR(VLOOKUP(B2771,'Pre-Summary'!$BG$6:$BL$44,4,FALSE),"")</f>
        <v/>
      </c>
    </row>
    <row r="2772" spans="2:39" ht="15" customHeight="1" x14ac:dyDescent="0.3">
      <c r="B2772">
        <v>276.89999999999998</v>
      </c>
      <c r="C2772" t="str">
        <f>IFERROR(VLOOKUP(B2772,'Pre-Summary'!$DI$6:$DM$23,4,FALSE),"")</f>
        <v/>
      </c>
      <c r="D2772" s="10" t="str">
        <f>IFERROR(VLOOKUP(B2772,'Pre-Summary'!$AT$6:$AX$14,5,FALSE),D2771)</f>
        <v>Wolfe v3: went back to modified wolfe + EDTA and switched CuSO4 to CUCl2</v>
      </c>
      <c r="E2772" s="10" t="str">
        <f>IFERROR(VLOOKUP(B2772,'Pre-Summary'!$AT$6:$AX$15,4,FALSE),"")</f>
        <v/>
      </c>
      <c r="F2772">
        <f>IFERROR(VLOOKUP(B2772,'Pre-Summary'!$AL$6:$AQ$13,6,FALSE),F2771)</f>
        <v>5.9405263157894746E-2</v>
      </c>
      <c r="G2772" t="str">
        <f>IFERROR(VLOOKUP(B2772,'Pre-Summary'!$AE$6:$AJ$85,3,FALSE),"")</f>
        <v/>
      </c>
      <c r="H2772" t="str">
        <f>IFERROR(VLOOKUP(B2772,'Pre-Summary'!$AE$6:$AJ$85,4,FALSE),"")</f>
        <v/>
      </c>
      <c r="I2772" t="str">
        <f>IFERROR(VLOOKUP(B2772,'Pre-Summary'!$AE$6:$AJ$85,5,FALSE),"")</f>
        <v/>
      </c>
      <c r="J2772" s="45" t="str">
        <f>IFERROR(VLOOKUP(B2772,'Pre-Summary'!$AE$6:$AJ$85,6, FALSE),"")</f>
        <v/>
      </c>
      <c r="K2772" s="45" t="str">
        <f>IFERROR(VLOOKUP(B2772,'Pre-Summary'!$DE$6:$DG$61,3,FALSE),"")</f>
        <v/>
      </c>
      <c r="L2772" s="45" t="str">
        <f>IFERROR(VLOOKUP(B2772,'Pre-Summary'!$CU$6:$CW$36,3,FALSE),"")</f>
        <v/>
      </c>
      <c r="M2772" s="45" t="str">
        <f>IFERROR(VLOOKUP(B2772,'Pre-Summary'!$BW$6:$BY$58,2,FALSE),"")</f>
        <v/>
      </c>
      <c r="N2772" s="45" t="str">
        <f>IFERROR(VLOOKUP(B2772,'Pre-Summary'!$CD$6:$CF$64,2,FALSE),"")</f>
        <v/>
      </c>
      <c r="O2772" s="99">
        <f>IFERROR(VLOOKUP(B2772,'Pre-Summary'!$BO$6:$BQ$48,3, FALSE),O2771)</f>
        <v>2.1030000000000002</v>
      </c>
      <c r="P2772" s="99">
        <f>IFERROR(VLOOKUP(B2772,'Pre-Summary'!$BS$6:$BU$35,3,FALSE),P2771)</f>
        <v>0.53100000000000003</v>
      </c>
      <c r="Q2772" s="54">
        <f t="shared" si="129"/>
        <v>3.9604519774011302</v>
      </c>
      <c r="R2772" s="53">
        <f>IFERROR(VLOOKUP(B2772,'Pre-Summary'!$BG$6:$BM$44,7,FALSE),R2773)</f>
        <v>9.5351142367257502E-2</v>
      </c>
      <c r="S2772" s="53">
        <f>IFERROR(VLOOKUP(B2772,'Pre-Summary'!$BG$6:$BM$44,6,FALSE),S2773)</f>
        <v>0.10009321836402316</v>
      </c>
      <c r="T2772" s="45" t="str">
        <f>IFERROR(VLOOKUP(B2772,'Pre-Summary'!$Y$6:$AC$83, 3,FALSE),"")</f>
        <v/>
      </c>
      <c r="U2772" s="45" t="str">
        <f>IFERROR(VLOOKUP(B2772,'Pre-Summary'!$Y$6:$AC$83, 4,FALSE),"")</f>
        <v/>
      </c>
      <c r="V2772" t="str">
        <f>IFERROR(VLOOKUP(B2772,'Pre-Summary'!$Y$6:$AC$83, 5,FALSE),"")</f>
        <v/>
      </c>
      <c r="W2772" s="45" t="str">
        <f>IFERROR(VLOOKUP(B2772,'Pre-Summary'!$Y$6:$AD$83,6,FALSE),"")</f>
        <v/>
      </c>
      <c r="X2772" t="str">
        <f>IFERROR(VLOOKUP('Pre-Summary'!$DB$6:$DD$63,3,FALSE),"")</f>
        <v/>
      </c>
      <c r="Y2772" t="str">
        <f>IFERROR(VLOOKUP(B2772,'Pre-Summary'!$CR$6:$CT$36,3,FALSE),"")</f>
        <v/>
      </c>
      <c r="Z2772" s="45" t="str">
        <f>IFERROR(VLOOKUP(B2772,'Pre-Summary'!$BZ$6:$CB$63,2,FALSE),"")</f>
        <v/>
      </c>
      <c r="AA2772" s="45" t="str">
        <f>IFERROR(VLOOKUP(B2772,'Pre-Summary'!$CG$6:$CI$70,2,FALSE),"")</f>
        <v/>
      </c>
      <c r="AB2772" s="99">
        <f>IFERROR(VLOOKUP(B2772,'Pre-Summary'!$A$6:$P$178,9,FALSE),AB2773)</f>
        <v>0.7010379290946207</v>
      </c>
      <c r="AC2772" s="10">
        <f>IFERROR(VLOOKUP(Summary!B2772,'Pre-Summary'!$A$6:$P$184,5, FALSE)/100,AC2773)</f>
        <v>0.92607166666666674</v>
      </c>
      <c r="AD2772" s="10">
        <f>IFERROR(VLOOKUP(Summary!B2772,'Pre-Summary'!$A$6:$P$184,3, FALSE)/100,AD2773)</f>
        <v>5.4963666666666668E-2</v>
      </c>
      <c r="AE2772" s="10">
        <f>IFERROR(VLOOKUP(Summary!B2772,'Pre-Summary'!$A$6:$P$184,7, FALSE)/100,AE2773)</f>
        <v>1.8946666666666667E-2</v>
      </c>
      <c r="AF2772" s="99">
        <f t="shared" si="130"/>
        <v>3.8531615055447034E-2</v>
      </c>
      <c r="AG2772" s="99">
        <f t="shared" si="131"/>
        <v>1.3282331963246082E-2</v>
      </c>
      <c r="AH2772" s="10" t="str">
        <f>IFERROR(VLOOKUP(B2772,'Pre-Summary'!$AZ$6:$BE$65,3,FALSE),"")</f>
        <v/>
      </c>
      <c r="AI2772" s="10" t="str">
        <f>IFERROR(VLOOKUP(B2772,'Pre-Summary'!$AZ$6:$BE$65,5,FALSE),"")</f>
        <v/>
      </c>
      <c r="AJ2772" s="10" t="str">
        <f>IFERROR(VLOOKUP(B2772,'Pre-Summary'!$AZ$6:$BE$65,4,FALSE),"")</f>
        <v/>
      </c>
      <c r="AK2772" s="10" t="str">
        <f>IFERROR(VLOOKUP(B2772,'Pre-Summary'!$AZ$6:$BE$65,6,FALSE),"")</f>
        <v/>
      </c>
      <c r="AL2772" s="10" t="str">
        <f>IFERROR(VLOOKUP(B2772,'Pre-Summary'!$BG$6:$BL$44,3,FALSE),"")</f>
        <v/>
      </c>
      <c r="AM2772" s="10" t="str">
        <f>IFERROR(VLOOKUP(B2772,'Pre-Summary'!$BG$6:$BL$44,4,FALSE),"")</f>
        <v/>
      </c>
    </row>
    <row r="2773" spans="2:39" ht="15" customHeight="1" x14ac:dyDescent="0.3">
      <c r="B2773">
        <v>277</v>
      </c>
      <c r="C2773" t="str">
        <f>IFERROR(VLOOKUP(B2773,'Pre-Summary'!$DI$6:$DM$23,4,FALSE),"")</f>
        <v/>
      </c>
      <c r="D2773" s="10" t="str">
        <f>IFERROR(VLOOKUP(B2773,'Pre-Summary'!$AT$6:$AX$14,5,FALSE),D2772)</f>
        <v>Wolfe v3: went back to modified wolfe + EDTA and switched CuSO4 to CUCl2</v>
      </c>
      <c r="E2773" s="10" t="str">
        <f>IFERROR(VLOOKUP(B2773,'Pre-Summary'!$AT$6:$AX$15,4,FALSE),"")</f>
        <v/>
      </c>
      <c r="F2773">
        <f>IFERROR(VLOOKUP(B2773,'Pre-Summary'!$AL$6:$AQ$13,6,FALSE),F2772)</f>
        <v>5.9405263157894746E-2</v>
      </c>
      <c r="G2773" t="str">
        <f>IFERROR(VLOOKUP(B2773,'Pre-Summary'!$AE$6:$AJ$85,3,FALSE),"")</f>
        <v/>
      </c>
      <c r="H2773" t="str">
        <f>IFERROR(VLOOKUP(B2773,'Pre-Summary'!$AE$6:$AJ$85,4,FALSE),"")</f>
        <v/>
      </c>
      <c r="I2773" t="str">
        <f>IFERROR(VLOOKUP(B2773,'Pre-Summary'!$AE$6:$AJ$85,5,FALSE),"")</f>
        <v/>
      </c>
      <c r="J2773" s="45" t="str">
        <f>IFERROR(VLOOKUP(B2773,'Pre-Summary'!$AE$6:$AJ$85,6, FALSE),"")</f>
        <v/>
      </c>
      <c r="K2773" s="45" t="str">
        <f>IFERROR(VLOOKUP(B2773,'Pre-Summary'!$DE$6:$DG$61,3,FALSE),"")</f>
        <v/>
      </c>
      <c r="L2773" s="45" t="str">
        <f>IFERROR(VLOOKUP(B2773,'Pre-Summary'!$CU$6:$CW$36,3,FALSE),"")</f>
        <v/>
      </c>
      <c r="M2773" s="45" t="str">
        <f>IFERROR(VLOOKUP(B2773,'Pre-Summary'!$BW$6:$BY$58,2,FALSE),"")</f>
        <v/>
      </c>
      <c r="N2773" s="45" t="str">
        <f>IFERROR(VLOOKUP(B2773,'Pre-Summary'!$CD$6:$CF$64,2,FALSE),"")</f>
        <v/>
      </c>
      <c r="O2773" s="99">
        <f>IFERROR(VLOOKUP(B2773,'Pre-Summary'!$BO$6:$BQ$48,3, FALSE),O2772)</f>
        <v>2.1030000000000002</v>
      </c>
      <c r="P2773" s="99">
        <f>IFERROR(VLOOKUP(B2773,'Pre-Summary'!$BS$6:$BU$35,3,FALSE),P2772)</f>
        <v>0.53100000000000003</v>
      </c>
      <c r="Q2773" s="54">
        <f t="shared" si="129"/>
        <v>3.9604519774011302</v>
      </c>
      <c r="R2773" s="53">
        <f>IFERROR(VLOOKUP(B2773,'Pre-Summary'!$BG$6:$BM$44,7,FALSE),R2774)</f>
        <v>9.5351142367257502E-2</v>
      </c>
      <c r="S2773" s="53">
        <f>IFERROR(VLOOKUP(B2773,'Pre-Summary'!$BG$6:$BM$44,6,FALSE),S2774)</f>
        <v>0.10009321836402316</v>
      </c>
      <c r="T2773" s="45" t="str">
        <f>IFERROR(VLOOKUP(B2773,'Pre-Summary'!$Y$6:$AC$83, 3,FALSE),"")</f>
        <v/>
      </c>
      <c r="U2773" s="45" t="str">
        <f>IFERROR(VLOOKUP(B2773,'Pre-Summary'!$Y$6:$AC$83, 4,FALSE),"")</f>
        <v/>
      </c>
      <c r="V2773" t="str">
        <f>IFERROR(VLOOKUP(B2773,'Pre-Summary'!$Y$6:$AC$83, 5,FALSE),"")</f>
        <v/>
      </c>
      <c r="W2773" s="45" t="str">
        <f>IFERROR(VLOOKUP(B2773,'Pre-Summary'!$Y$6:$AD$83,6,FALSE),"")</f>
        <v/>
      </c>
      <c r="X2773" t="str">
        <f>IFERROR(VLOOKUP('Pre-Summary'!$DB$6:$DD$63,3,FALSE),"")</f>
        <v/>
      </c>
      <c r="Y2773" t="str">
        <f>IFERROR(VLOOKUP(B2773,'Pre-Summary'!$CR$6:$CT$36,3,FALSE),"")</f>
        <v/>
      </c>
      <c r="Z2773" s="45" t="str">
        <f>IFERROR(VLOOKUP(B2773,'Pre-Summary'!$BZ$6:$CB$63,2,FALSE),"")</f>
        <v/>
      </c>
      <c r="AA2773" s="45" t="str">
        <f>IFERROR(VLOOKUP(B2773,'Pre-Summary'!$CG$6:$CI$70,2,FALSE),"")</f>
        <v/>
      </c>
      <c r="AB2773" s="99">
        <f>IFERROR(VLOOKUP(B2773,'Pre-Summary'!$A$6:$P$178,9,FALSE),AB2774)</f>
        <v>0.7010379290946207</v>
      </c>
      <c r="AC2773" s="10">
        <f>IFERROR(VLOOKUP(Summary!B2773,'Pre-Summary'!$A$6:$P$184,5, FALSE)/100,AC2774)</f>
        <v>0.92607166666666674</v>
      </c>
      <c r="AD2773" s="10">
        <f>IFERROR(VLOOKUP(Summary!B2773,'Pre-Summary'!$A$6:$P$184,3, FALSE)/100,AD2774)</f>
        <v>5.4963666666666668E-2</v>
      </c>
      <c r="AE2773" s="10">
        <f>IFERROR(VLOOKUP(Summary!B2773,'Pre-Summary'!$A$6:$P$184,7, FALSE)/100,AE2774)</f>
        <v>1.8946666666666667E-2</v>
      </c>
      <c r="AF2773" s="99">
        <f t="shared" si="130"/>
        <v>3.8531615055447034E-2</v>
      </c>
      <c r="AG2773" s="99">
        <f t="shared" si="131"/>
        <v>1.3282331963246082E-2</v>
      </c>
      <c r="AH2773" s="10" t="str">
        <f>IFERROR(VLOOKUP(B2773,'Pre-Summary'!$AZ$6:$BE$65,3,FALSE),"")</f>
        <v/>
      </c>
      <c r="AI2773" s="10" t="str">
        <f>IFERROR(VLOOKUP(B2773,'Pre-Summary'!$AZ$6:$BE$65,5,FALSE),"")</f>
        <v/>
      </c>
      <c r="AJ2773" s="10" t="str">
        <f>IFERROR(VLOOKUP(B2773,'Pre-Summary'!$AZ$6:$BE$65,4,FALSE),"")</f>
        <v/>
      </c>
      <c r="AK2773" s="10" t="str">
        <f>IFERROR(VLOOKUP(B2773,'Pre-Summary'!$AZ$6:$BE$65,6,FALSE),"")</f>
        <v/>
      </c>
      <c r="AL2773" s="10" t="str">
        <f>IFERROR(VLOOKUP(B2773,'Pre-Summary'!$BG$6:$BL$44,3,FALSE),"")</f>
        <v/>
      </c>
      <c r="AM2773" s="10" t="str">
        <f>IFERROR(VLOOKUP(B2773,'Pre-Summary'!$BG$6:$BL$44,4,FALSE),"")</f>
        <v/>
      </c>
    </row>
    <row r="2774" spans="2:39" ht="15" customHeight="1" x14ac:dyDescent="0.3">
      <c r="B2774">
        <v>277.10000000000002</v>
      </c>
      <c r="C2774" t="str">
        <f>IFERROR(VLOOKUP(B2774,'Pre-Summary'!$DI$6:$DM$23,4,FALSE),"")</f>
        <v/>
      </c>
      <c r="D2774" s="10" t="str">
        <f>IFERROR(VLOOKUP(B2774,'Pre-Summary'!$AT$6:$AX$14,5,FALSE),D2773)</f>
        <v>Wolfe v3: went back to modified wolfe + EDTA and switched CuSO4 to CUCl2</v>
      </c>
      <c r="E2774" s="10" t="str">
        <f>IFERROR(VLOOKUP(B2774,'Pre-Summary'!$AT$6:$AX$15,4,FALSE),"")</f>
        <v/>
      </c>
      <c r="F2774">
        <f>IFERROR(VLOOKUP(B2774,'Pre-Summary'!$AL$6:$AQ$13,6,FALSE),F2773)</f>
        <v>5.9405263157894746E-2</v>
      </c>
      <c r="G2774" t="str">
        <f>IFERROR(VLOOKUP(B2774,'Pre-Summary'!$AE$6:$AJ$85,3,FALSE),"")</f>
        <v/>
      </c>
      <c r="H2774" t="str">
        <f>IFERROR(VLOOKUP(B2774,'Pre-Summary'!$AE$6:$AJ$85,4,FALSE),"")</f>
        <v/>
      </c>
      <c r="I2774" t="str">
        <f>IFERROR(VLOOKUP(B2774,'Pre-Summary'!$AE$6:$AJ$85,5,FALSE),"")</f>
        <v/>
      </c>
      <c r="J2774" s="45" t="str">
        <f>IFERROR(VLOOKUP(B2774,'Pre-Summary'!$AE$6:$AJ$85,6, FALSE),"")</f>
        <v/>
      </c>
      <c r="K2774" s="45" t="str">
        <f>IFERROR(VLOOKUP(B2774,'Pre-Summary'!$DE$6:$DG$61,3,FALSE),"")</f>
        <v/>
      </c>
      <c r="L2774" s="45" t="str">
        <f>IFERROR(VLOOKUP(B2774,'Pre-Summary'!$CU$6:$CW$36,3,FALSE),"")</f>
        <v/>
      </c>
      <c r="M2774" s="45" t="str">
        <f>IFERROR(VLOOKUP(B2774,'Pre-Summary'!$BW$6:$BY$58,2,FALSE),"")</f>
        <v/>
      </c>
      <c r="N2774" s="45" t="str">
        <f>IFERROR(VLOOKUP(B2774,'Pre-Summary'!$CD$6:$CF$64,2,FALSE),"")</f>
        <v/>
      </c>
      <c r="O2774" s="99">
        <f>IFERROR(VLOOKUP(B2774,'Pre-Summary'!$BO$6:$BQ$48,3, FALSE),O2773)</f>
        <v>2.1030000000000002</v>
      </c>
      <c r="P2774" s="99">
        <f>IFERROR(VLOOKUP(B2774,'Pre-Summary'!$BS$6:$BU$35,3,FALSE),P2773)</f>
        <v>0.53100000000000003</v>
      </c>
      <c r="Q2774" s="54">
        <f t="shared" si="129"/>
        <v>3.9604519774011302</v>
      </c>
      <c r="R2774" s="53">
        <f>IFERROR(VLOOKUP(B2774,'Pre-Summary'!$BG$6:$BM$44,7,FALSE),R2775)</f>
        <v>9.5351142367257502E-2</v>
      </c>
      <c r="S2774" s="53">
        <f>IFERROR(VLOOKUP(B2774,'Pre-Summary'!$BG$6:$BM$44,6,FALSE),S2775)</f>
        <v>0.10009321836402316</v>
      </c>
      <c r="T2774" s="45" t="str">
        <f>IFERROR(VLOOKUP(B2774,'Pre-Summary'!$Y$6:$AC$83, 3,FALSE),"")</f>
        <v/>
      </c>
      <c r="U2774" s="45" t="str">
        <f>IFERROR(VLOOKUP(B2774,'Pre-Summary'!$Y$6:$AC$83, 4,FALSE),"")</f>
        <v/>
      </c>
      <c r="V2774" t="str">
        <f>IFERROR(VLOOKUP(B2774,'Pre-Summary'!$Y$6:$AC$83, 5,FALSE),"")</f>
        <v/>
      </c>
      <c r="W2774" s="45" t="str">
        <f>IFERROR(VLOOKUP(B2774,'Pre-Summary'!$Y$6:$AD$83,6,FALSE),"")</f>
        <v/>
      </c>
      <c r="X2774" t="str">
        <f>IFERROR(VLOOKUP('Pre-Summary'!$DB$6:$DD$63,3,FALSE),"")</f>
        <v/>
      </c>
      <c r="Y2774" t="str">
        <f>IFERROR(VLOOKUP(B2774,'Pre-Summary'!$CR$6:$CT$36,3,FALSE),"")</f>
        <v/>
      </c>
      <c r="Z2774" s="45" t="str">
        <f>IFERROR(VLOOKUP(B2774,'Pre-Summary'!$BZ$6:$CB$63,2,FALSE),"")</f>
        <v/>
      </c>
      <c r="AA2774" s="45" t="str">
        <f>IFERROR(VLOOKUP(B2774,'Pre-Summary'!$CG$6:$CI$70,2,FALSE),"")</f>
        <v/>
      </c>
      <c r="AB2774" s="99">
        <f>IFERROR(VLOOKUP(B2774,'Pre-Summary'!$A$6:$P$178,9,FALSE),AB2775)</f>
        <v>0.7010379290946207</v>
      </c>
      <c r="AC2774" s="10">
        <f>IFERROR(VLOOKUP(Summary!B2774,'Pre-Summary'!$A$6:$P$184,5, FALSE)/100,AC2775)</f>
        <v>0.92607166666666674</v>
      </c>
      <c r="AD2774" s="10">
        <f>IFERROR(VLOOKUP(Summary!B2774,'Pre-Summary'!$A$6:$P$184,3, FALSE)/100,AD2775)</f>
        <v>5.4963666666666668E-2</v>
      </c>
      <c r="AE2774" s="10">
        <f>IFERROR(VLOOKUP(Summary!B2774,'Pre-Summary'!$A$6:$P$184,7, FALSE)/100,AE2775)</f>
        <v>1.8946666666666667E-2</v>
      </c>
      <c r="AF2774" s="99">
        <f t="shared" si="130"/>
        <v>3.8531615055447034E-2</v>
      </c>
      <c r="AG2774" s="99">
        <f t="shared" si="131"/>
        <v>1.3282331963246082E-2</v>
      </c>
      <c r="AH2774" s="10" t="str">
        <f>IFERROR(VLOOKUP(B2774,'Pre-Summary'!$AZ$6:$BE$65,3,FALSE),"")</f>
        <v/>
      </c>
      <c r="AI2774" s="10" t="str">
        <f>IFERROR(VLOOKUP(B2774,'Pre-Summary'!$AZ$6:$BE$65,5,FALSE),"")</f>
        <v/>
      </c>
      <c r="AJ2774" s="10" t="str">
        <f>IFERROR(VLOOKUP(B2774,'Pre-Summary'!$AZ$6:$BE$65,4,FALSE),"")</f>
        <v/>
      </c>
      <c r="AK2774" s="10" t="str">
        <f>IFERROR(VLOOKUP(B2774,'Pre-Summary'!$AZ$6:$BE$65,6,FALSE),"")</f>
        <v/>
      </c>
      <c r="AL2774" s="10" t="str">
        <f>IFERROR(VLOOKUP(B2774,'Pre-Summary'!$BG$6:$BL$44,3,FALSE),"")</f>
        <v/>
      </c>
      <c r="AM2774" s="10" t="str">
        <f>IFERROR(VLOOKUP(B2774,'Pre-Summary'!$BG$6:$BL$44,4,FALSE),"")</f>
        <v/>
      </c>
    </row>
    <row r="2775" spans="2:39" ht="15" customHeight="1" x14ac:dyDescent="0.3">
      <c r="B2775">
        <v>277.2</v>
      </c>
      <c r="C2775" t="str">
        <f>IFERROR(VLOOKUP(B2775,'Pre-Summary'!$DI$6:$DM$23,4,FALSE),"")</f>
        <v/>
      </c>
      <c r="D2775" s="10" t="str">
        <f>IFERROR(VLOOKUP(B2775,'Pre-Summary'!$AT$6:$AX$14,5,FALSE),D2774)</f>
        <v>Wolfe v3: went back to modified wolfe + EDTA and switched CuSO4 to CUCl2</v>
      </c>
      <c r="E2775" s="10" t="str">
        <f>IFERROR(VLOOKUP(B2775,'Pre-Summary'!$AT$6:$AX$15,4,FALSE),"")</f>
        <v/>
      </c>
      <c r="F2775">
        <f>IFERROR(VLOOKUP(B2775,'Pre-Summary'!$AL$6:$AQ$13,6,FALSE),F2774)</f>
        <v>5.9405263157894746E-2</v>
      </c>
      <c r="G2775" t="str">
        <f>IFERROR(VLOOKUP(B2775,'Pre-Summary'!$AE$6:$AJ$85,3,FALSE),"")</f>
        <v/>
      </c>
      <c r="H2775" t="str">
        <f>IFERROR(VLOOKUP(B2775,'Pre-Summary'!$AE$6:$AJ$85,4,FALSE),"")</f>
        <v/>
      </c>
      <c r="I2775" t="str">
        <f>IFERROR(VLOOKUP(B2775,'Pre-Summary'!$AE$6:$AJ$85,5,FALSE),"")</f>
        <v/>
      </c>
      <c r="J2775" s="45" t="str">
        <f>IFERROR(VLOOKUP(B2775,'Pre-Summary'!$AE$6:$AJ$85,6, FALSE),"")</f>
        <v/>
      </c>
      <c r="K2775" s="45" t="str">
        <f>IFERROR(VLOOKUP(B2775,'Pre-Summary'!$DE$6:$DG$61,3,FALSE),"")</f>
        <v/>
      </c>
      <c r="L2775" s="45" t="str">
        <f>IFERROR(VLOOKUP(B2775,'Pre-Summary'!$CU$6:$CW$36,3,FALSE),"")</f>
        <v/>
      </c>
      <c r="M2775" s="45" t="str">
        <f>IFERROR(VLOOKUP(B2775,'Pre-Summary'!$BW$6:$BY$58,2,FALSE),"")</f>
        <v/>
      </c>
      <c r="N2775" s="45" t="str">
        <f>IFERROR(VLOOKUP(B2775,'Pre-Summary'!$CD$6:$CF$64,2,FALSE),"")</f>
        <v/>
      </c>
      <c r="O2775" s="99">
        <f>IFERROR(VLOOKUP(B2775,'Pre-Summary'!$BO$6:$BQ$48,3, FALSE),O2774)</f>
        <v>2.1030000000000002</v>
      </c>
      <c r="P2775" s="99">
        <f>IFERROR(VLOOKUP(B2775,'Pre-Summary'!$BS$6:$BU$35,3,FALSE),P2774)</f>
        <v>0.53100000000000003</v>
      </c>
      <c r="Q2775" s="54">
        <f t="shared" si="129"/>
        <v>3.9604519774011302</v>
      </c>
      <c r="R2775" s="53">
        <f>IFERROR(VLOOKUP(B2775,'Pre-Summary'!$BG$6:$BM$44,7,FALSE),R2776)</f>
        <v>9.5351142367257502E-2</v>
      </c>
      <c r="S2775" s="53">
        <f>IFERROR(VLOOKUP(B2775,'Pre-Summary'!$BG$6:$BM$44,6,FALSE),S2776)</f>
        <v>0.10009321836402316</v>
      </c>
      <c r="T2775" s="45" t="str">
        <f>IFERROR(VLOOKUP(B2775,'Pre-Summary'!$Y$6:$AC$83, 3,FALSE),"")</f>
        <v/>
      </c>
      <c r="U2775" s="45" t="str">
        <f>IFERROR(VLOOKUP(B2775,'Pre-Summary'!$Y$6:$AC$83, 4,FALSE),"")</f>
        <v/>
      </c>
      <c r="V2775" t="str">
        <f>IFERROR(VLOOKUP(B2775,'Pre-Summary'!$Y$6:$AC$83, 5,FALSE),"")</f>
        <v/>
      </c>
      <c r="W2775" s="45" t="str">
        <f>IFERROR(VLOOKUP(B2775,'Pre-Summary'!$Y$6:$AD$83,6,FALSE),"")</f>
        <v/>
      </c>
      <c r="X2775" t="str">
        <f>IFERROR(VLOOKUP('Pre-Summary'!$DB$6:$DD$63,3,FALSE),"")</f>
        <v/>
      </c>
      <c r="Y2775" t="str">
        <f>IFERROR(VLOOKUP(B2775,'Pre-Summary'!$CR$6:$CT$36,3,FALSE),"")</f>
        <v/>
      </c>
      <c r="Z2775" s="45" t="str">
        <f>IFERROR(VLOOKUP(B2775,'Pre-Summary'!$BZ$6:$CB$63,2,FALSE),"")</f>
        <v/>
      </c>
      <c r="AA2775" s="45" t="str">
        <f>IFERROR(VLOOKUP(B2775,'Pre-Summary'!$CG$6:$CI$70,2,FALSE),"")</f>
        <v/>
      </c>
      <c r="AB2775" s="99">
        <f>IFERROR(VLOOKUP(B2775,'Pre-Summary'!$A$6:$P$178,9,FALSE),AB2776)</f>
        <v>0.7010379290946207</v>
      </c>
      <c r="AC2775" s="10">
        <f>IFERROR(VLOOKUP(Summary!B2775,'Pre-Summary'!$A$6:$P$184,5, FALSE)/100,AC2776)</f>
        <v>0.92607166666666674</v>
      </c>
      <c r="AD2775" s="10">
        <f>IFERROR(VLOOKUP(Summary!B2775,'Pre-Summary'!$A$6:$P$184,3, FALSE)/100,AD2776)</f>
        <v>5.4963666666666668E-2</v>
      </c>
      <c r="AE2775" s="10">
        <f>IFERROR(VLOOKUP(Summary!B2775,'Pre-Summary'!$A$6:$P$184,7, FALSE)/100,AE2776)</f>
        <v>1.8946666666666667E-2</v>
      </c>
      <c r="AF2775" s="99">
        <f t="shared" si="130"/>
        <v>3.8531615055447034E-2</v>
      </c>
      <c r="AG2775" s="99">
        <f t="shared" si="131"/>
        <v>1.3282331963246082E-2</v>
      </c>
      <c r="AH2775" s="10" t="str">
        <f>IFERROR(VLOOKUP(B2775,'Pre-Summary'!$AZ$6:$BE$65,3,FALSE),"")</f>
        <v/>
      </c>
      <c r="AI2775" s="10" t="str">
        <f>IFERROR(VLOOKUP(B2775,'Pre-Summary'!$AZ$6:$BE$65,5,FALSE),"")</f>
        <v/>
      </c>
      <c r="AJ2775" s="10" t="str">
        <f>IFERROR(VLOOKUP(B2775,'Pre-Summary'!$AZ$6:$BE$65,4,FALSE),"")</f>
        <v/>
      </c>
      <c r="AK2775" s="10" t="str">
        <f>IFERROR(VLOOKUP(B2775,'Pre-Summary'!$AZ$6:$BE$65,6,FALSE),"")</f>
        <v/>
      </c>
      <c r="AL2775" s="10" t="str">
        <f>IFERROR(VLOOKUP(B2775,'Pre-Summary'!$BG$6:$BL$44,3,FALSE),"")</f>
        <v/>
      </c>
      <c r="AM2775" s="10" t="str">
        <f>IFERROR(VLOOKUP(B2775,'Pre-Summary'!$BG$6:$BL$44,4,FALSE),"")</f>
        <v/>
      </c>
    </row>
    <row r="2776" spans="2:39" ht="15" customHeight="1" x14ac:dyDescent="0.3">
      <c r="B2776">
        <v>277.3</v>
      </c>
      <c r="C2776" t="str">
        <f>IFERROR(VLOOKUP(B2776,'Pre-Summary'!$DI$6:$DM$23,4,FALSE),"")</f>
        <v/>
      </c>
      <c r="D2776" s="10" t="str">
        <f>IFERROR(VLOOKUP(B2776,'Pre-Summary'!$AT$6:$AX$14,5,FALSE),D2775)</f>
        <v>Wolfe v3: went back to modified wolfe + EDTA and switched CuSO4 to CUCl2</v>
      </c>
      <c r="E2776" s="10" t="str">
        <f>IFERROR(VLOOKUP(B2776,'Pre-Summary'!$AT$6:$AX$15,4,FALSE),"")</f>
        <v/>
      </c>
      <c r="F2776">
        <f>IFERROR(VLOOKUP(B2776,'Pre-Summary'!$AL$6:$AQ$13,6,FALSE),F2775)</f>
        <v>5.9405263157894746E-2</v>
      </c>
      <c r="G2776" t="str">
        <f>IFERROR(VLOOKUP(B2776,'Pre-Summary'!$AE$6:$AJ$85,3,FALSE),"")</f>
        <v/>
      </c>
      <c r="H2776" t="str">
        <f>IFERROR(VLOOKUP(B2776,'Pre-Summary'!$AE$6:$AJ$85,4,FALSE),"")</f>
        <v/>
      </c>
      <c r="I2776" t="str">
        <f>IFERROR(VLOOKUP(B2776,'Pre-Summary'!$AE$6:$AJ$85,5,FALSE),"")</f>
        <v/>
      </c>
      <c r="J2776" s="45" t="str">
        <f>IFERROR(VLOOKUP(B2776,'Pre-Summary'!$AE$6:$AJ$85,6, FALSE),"")</f>
        <v/>
      </c>
      <c r="K2776" s="45" t="str">
        <f>IFERROR(VLOOKUP(B2776,'Pre-Summary'!$DE$6:$DG$61,3,FALSE),"")</f>
        <v/>
      </c>
      <c r="L2776" s="45" t="str">
        <f>IFERROR(VLOOKUP(B2776,'Pre-Summary'!$CU$6:$CW$36,3,FALSE),"")</f>
        <v/>
      </c>
      <c r="M2776" s="45" t="str">
        <f>IFERROR(VLOOKUP(B2776,'Pre-Summary'!$BW$6:$BY$58,2,FALSE),"")</f>
        <v/>
      </c>
      <c r="N2776" s="45" t="str">
        <f>IFERROR(VLOOKUP(B2776,'Pre-Summary'!$CD$6:$CF$64,2,FALSE),"")</f>
        <v/>
      </c>
      <c r="O2776" s="99">
        <f>IFERROR(VLOOKUP(B2776,'Pre-Summary'!$BO$6:$BQ$48,3, FALSE),O2775)</f>
        <v>2.1030000000000002</v>
      </c>
      <c r="P2776" s="99">
        <f>IFERROR(VLOOKUP(B2776,'Pre-Summary'!$BS$6:$BU$35,3,FALSE),P2775)</f>
        <v>0.53100000000000003</v>
      </c>
      <c r="Q2776" s="54">
        <f t="shared" si="129"/>
        <v>3.9604519774011302</v>
      </c>
      <c r="R2776" s="53">
        <f>IFERROR(VLOOKUP(B2776,'Pre-Summary'!$BG$6:$BM$44,7,FALSE),R2777)</f>
        <v>9.5351142367257502E-2</v>
      </c>
      <c r="S2776" s="53">
        <f>IFERROR(VLOOKUP(B2776,'Pre-Summary'!$BG$6:$BM$44,6,FALSE),S2777)</f>
        <v>0.10009321836402316</v>
      </c>
      <c r="T2776" s="45" t="str">
        <f>IFERROR(VLOOKUP(B2776,'Pre-Summary'!$Y$6:$AC$83, 3,FALSE),"")</f>
        <v/>
      </c>
      <c r="U2776" s="45" t="str">
        <f>IFERROR(VLOOKUP(B2776,'Pre-Summary'!$Y$6:$AC$83, 4,FALSE),"")</f>
        <v/>
      </c>
      <c r="V2776" t="str">
        <f>IFERROR(VLOOKUP(B2776,'Pre-Summary'!$Y$6:$AC$83, 5,FALSE),"")</f>
        <v/>
      </c>
      <c r="W2776" s="45" t="str">
        <f>IFERROR(VLOOKUP(B2776,'Pre-Summary'!$Y$6:$AD$83,6,FALSE),"")</f>
        <v/>
      </c>
      <c r="X2776" t="str">
        <f>IFERROR(VLOOKUP('Pre-Summary'!$DB$6:$DD$63,3,FALSE),"")</f>
        <v/>
      </c>
      <c r="Y2776" t="str">
        <f>IFERROR(VLOOKUP(B2776,'Pre-Summary'!$CR$6:$CT$36,3,FALSE),"")</f>
        <v/>
      </c>
      <c r="Z2776" s="45" t="str">
        <f>IFERROR(VLOOKUP(B2776,'Pre-Summary'!$BZ$6:$CB$63,2,FALSE),"")</f>
        <v/>
      </c>
      <c r="AA2776" s="45" t="str">
        <f>IFERROR(VLOOKUP(B2776,'Pre-Summary'!$CG$6:$CI$70,2,FALSE),"")</f>
        <v/>
      </c>
      <c r="AB2776" s="99">
        <f>IFERROR(VLOOKUP(B2776,'Pre-Summary'!$A$6:$P$178,9,FALSE),AB2777)</f>
        <v>0.7010379290946207</v>
      </c>
      <c r="AC2776" s="10">
        <f>IFERROR(VLOOKUP(Summary!B2776,'Pre-Summary'!$A$6:$P$184,5, FALSE)/100,AC2777)</f>
        <v>0.92607166666666674</v>
      </c>
      <c r="AD2776" s="10">
        <f>IFERROR(VLOOKUP(Summary!B2776,'Pre-Summary'!$A$6:$P$184,3, FALSE)/100,AD2777)</f>
        <v>5.4963666666666668E-2</v>
      </c>
      <c r="AE2776" s="10">
        <f>IFERROR(VLOOKUP(Summary!B2776,'Pre-Summary'!$A$6:$P$184,7, FALSE)/100,AE2777)</f>
        <v>1.8946666666666667E-2</v>
      </c>
      <c r="AF2776" s="99">
        <f t="shared" si="130"/>
        <v>3.8531615055447034E-2</v>
      </c>
      <c r="AG2776" s="99">
        <f t="shared" si="131"/>
        <v>1.3282331963246082E-2</v>
      </c>
      <c r="AH2776" s="10" t="str">
        <f>IFERROR(VLOOKUP(B2776,'Pre-Summary'!$AZ$6:$BE$65,3,FALSE),"")</f>
        <v/>
      </c>
      <c r="AI2776" s="10" t="str">
        <f>IFERROR(VLOOKUP(B2776,'Pre-Summary'!$AZ$6:$BE$65,5,FALSE),"")</f>
        <v/>
      </c>
      <c r="AJ2776" s="10" t="str">
        <f>IFERROR(VLOOKUP(B2776,'Pre-Summary'!$AZ$6:$BE$65,4,FALSE),"")</f>
        <v/>
      </c>
      <c r="AK2776" s="10" t="str">
        <f>IFERROR(VLOOKUP(B2776,'Pre-Summary'!$AZ$6:$BE$65,6,FALSE),"")</f>
        <v/>
      </c>
      <c r="AL2776" s="10" t="str">
        <f>IFERROR(VLOOKUP(B2776,'Pre-Summary'!$BG$6:$BL$44,3,FALSE),"")</f>
        <v/>
      </c>
      <c r="AM2776" s="10" t="str">
        <f>IFERROR(VLOOKUP(B2776,'Pre-Summary'!$BG$6:$BL$44,4,FALSE),"")</f>
        <v/>
      </c>
    </row>
    <row r="2777" spans="2:39" ht="15" customHeight="1" x14ac:dyDescent="0.3">
      <c r="B2777">
        <v>277.39999999999998</v>
      </c>
      <c r="C2777" t="str">
        <f>IFERROR(VLOOKUP(B2777,'Pre-Summary'!$DI$6:$DM$23,4,FALSE),"")</f>
        <v/>
      </c>
      <c r="D2777" s="10" t="str">
        <f>IFERROR(VLOOKUP(B2777,'Pre-Summary'!$AT$6:$AX$14,5,FALSE),D2776)</f>
        <v>Wolfe v3: went back to modified wolfe + EDTA and switched CuSO4 to CUCl2</v>
      </c>
      <c r="E2777" s="10" t="str">
        <f>IFERROR(VLOOKUP(B2777,'Pre-Summary'!$AT$6:$AX$15,4,FALSE),"")</f>
        <v/>
      </c>
      <c r="F2777">
        <f>IFERROR(VLOOKUP(B2777,'Pre-Summary'!$AL$6:$AQ$13,6,FALSE),F2776)</f>
        <v>5.9405263157894746E-2</v>
      </c>
      <c r="G2777" t="str">
        <f>IFERROR(VLOOKUP(B2777,'Pre-Summary'!$AE$6:$AJ$85,3,FALSE),"")</f>
        <v/>
      </c>
      <c r="H2777" t="str">
        <f>IFERROR(VLOOKUP(B2777,'Pre-Summary'!$AE$6:$AJ$85,4,FALSE),"")</f>
        <v/>
      </c>
      <c r="I2777" t="str">
        <f>IFERROR(VLOOKUP(B2777,'Pre-Summary'!$AE$6:$AJ$85,5,FALSE),"")</f>
        <v/>
      </c>
      <c r="J2777" s="45" t="str">
        <f>IFERROR(VLOOKUP(B2777,'Pre-Summary'!$AE$6:$AJ$85,6, FALSE),"")</f>
        <v/>
      </c>
      <c r="K2777" s="45" t="str">
        <f>IFERROR(VLOOKUP(B2777,'Pre-Summary'!$DE$6:$DG$61,3,FALSE),"")</f>
        <v/>
      </c>
      <c r="L2777" s="45" t="str">
        <f>IFERROR(VLOOKUP(B2777,'Pre-Summary'!$CU$6:$CW$36,3,FALSE),"")</f>
        <v/>
      </c>
      <c r="M2777" s="45" t="str">
        <f>IFERROR(VLOOKUP(B2777,'Pre-Summary'!$BW$6:$BY$58,2,FALSE),"")</f>
        <v/>
      </c>
      <c r="N2777" s="45" t="str">
        <f>IFERROR(VLOOKUP(B2777,'Pre-Summary'!$CD$6:$CF$64,2,FALSE),"")</f>
        <v/>
      </c>
      <c r="O2777" s="99">
        <f>IFERROR(VLOOKUP(B2777,'Pre-Summary'!$BO$6:$BQ$48,3, FALSE),O2776)</f>
        <v>2.1030000000000002</v>
      </c>
      <c r="P2777" s="99">
        <f>IFERROR(VLOOKUP(B2777,'Pre-Summary'!$BS$6:$BU$35,3,FALSE),P2776)</f>
        <v>0.53100000000000003</v>
      </c>
      <c r="Q2777" s="54">
        <f t="shared" si="129"/>
        <v>3.9604519774011302</v>
      </c>
      <c r="R2777" s="53">
        <f>IFERROR(VLOOKUP(B2777,'Pre-Summary'!$BG$6:$BM$44,7,FALSE),R2778)</f>
        <v>9.5351142367257502E-2</v>
      </c>
      <c r="S2777" s="53">
        <f>IFERROR(VLOOKUP(B2777,'Pre-Summary'!$BG$6:$BM$44,6,FALSE),S2778)</f>
        <v>0.10009321836402316</v>
      </c>
      <c r="T2777" s="45" t="str">
        <f>IFERROR(VLOOKUP(B2777,'Pre-Summary'!$Y$6:$AC$83, 3,FALSE),"")</f>
        <v/>
      </c>
      <c r="U2777" s="45" t="str">
        <f>IFERROR(VLOOKUP(B2777,'Pre-Summary'!$Y$6:$AC$83, 4,FALSE),"")</f>
        <v/>
      </c>
      <c r="V2777" t="str">
        <f>IFERROR(VLOOKUP(B2777,'Pre-Summary'!$Y$6:$AC$83, 5,FALSE),"")</f>
        <v/>
      </c>
      <c r="W2777" s="45" t="str">
        <f>IFERROR(VLOOKUP(B2777,'Pre-Summary'!$Y$6:$AD$83,6,FALSE),"")</f>
        <v/>
      </c>
      <c r="X2777" t="str">
        <f>IFERROR(VLOOKUP('Pre-Summary'!$DB$6:$DD$63,3,FALSE),"")</f>
        <v/>
      </c>
      <c r="Y2777" t="str">
        <f>IFERROR(VLOOKUP(B2777,'Pre-Summary'!$CR$6:$CT$36,3,FALSE),"")</f>
        <v/>
      </c>
      <c r="Z2777" s="45" t="str">
        <f>IFERROR(VLOOKUP(B2777,'Pre-Summary'!$BZ$6:$CB$63,2,FALSE),"")</f>
        <v/>
      </c>
      <c r="AA2777" s="45" t="str">
        <f>IFERROR(VLOOKUP(B2777,'Pre-Summary'!$CG$6:$CI$70,2,FALSE),"")</f>
        <v/>
      </c>
      <c r="AB2777" s="99">
        <f>IFERROR(VLOOKUP(B2777,'Pre-Summary'!$A$6:$P$178,9,FALSE),AB2778)</f>
        <v>0.7010379290946207</v>
      </c>
      <c r="AC2777" s="10">
        <f>IFERROR(VLOOKUP(Summary!B2777,'Pre-Summary'!$A$6:$P$184,5, FALSE)/100,AC2778)</f>
        <v>0.92607166666666674</v>
      </c>
      <c r="AD2777" s="10">
        <f>IFERROR(VLOOKUP(Summary!B2777,'Pre-Summary'!$A$6:$P$184,3, FALSE)/100,AD2778)</f>
        <v>5.4963666666666668E-2</v>
      </c>
      <c r="AE2777" s="10">
        <f>IFERROR(VLOOKUP(Summary!B2777,'Pre-Summary'!$A$6:$P$184,7, FALSE)/100,AE2778)</f>
        <v>1.8946666666666667E-2</v>
      </c>
      <c r="AF2777" s="99">
        <f t="shared" si="130"/>
        <v>3.8531615055447034E-2</v>
      </c>
      <c r="AG2777" s="99">
        <f t="shared" si="131"/>
        <v>1.3282331963246082E-2</v>
      </c>
      <c r="AH2777" s="10" t="str">
        <f>IFERROR(VLOOKUP(B2777,'Pre-Summary'!$AZ$6:$BE$65,3,FALSE),"")</f>
        <v/>
      </c>
      <c r="AI2777" s="10" t="str">
        <f>IFERROR(VLOOKUP(B2777,'Pre-Summary'!$AZ$6:$BE$65,5,FALSE),"")</f>
        <v/>
      </c>
      <c r="AJ2777" s="10" t="str">
        <f>IFERROR(VLOOKUP(B2777,'Pre-Summary'!$AZ$6:$BE$65,4,FALSE),"")</f>
        <v/>
      </c>
      <c r="AK2777" s="10" t="str">
        <f>IFERROR(VLOOKUP(B2777,'Pre-Summary'!$AZ$6:$BE$65,6,FALSE),"")</f>
        <v/>
      </c>
      <c r="AL2777" s="10" t="str">
        <f>IFERROR(VLOOKUP(B2777,'Pre-Summary'!$BG$6:$BL$44,3,FALSE),"")</f>
        <v/>
      </c>
      <c r="AM2777" s="10" t="str">
        <f>IFERROR(VLOOKUP(B2777,'Pre-Summary'!$BG$6:$BL$44,4,FALSE),"")</f>
        <v/>
      </c>
    </row>
    <row r="2778" spans="2:39" ht="15" customHeight="1" x14ac:dyDescent="0.3">
      <c r="B2778">
        <v>277.5</v>
      </c>
      <c r="C2778" t="str">
        <f>IFERROR(VLOOKUP(B2778,'Pre-Summary'!$DI$6:$DM$23,4,FALSE),"")</f>
        <v/>
      </c>
      <c r="D2778" s="10" t="str">
        <f>IFERROR(VLOOKUP(B2778,'Pre-Summary'!$AT$6:$AX$14,5,FALSE),D2777)</f>
        <v>Wolfe v3: went back to modified wolfe + EDTA and switched CuSO4 to CUCl2</v>
      </c>
      <c r="E2778" s="10" t="str">
        <f>IFERROR(VLOOKUP(B2778,'Pre-Summary'!$AT$6:$AX$15,4,FALSE),"")</f>
        <v/>
      </c>
      <c r="F2778">
        <f>IFERROR(VLOOKUP(B2778,'Pre-Summary'!$AL$6:$AQ$13,6,FALSE),F2777)</f>
        <v>5.9405263157894746E-2</v>
      </c>
      <c r="G2778" t="str">
        <f>IFERROR(VLOOKUP(B2778,'Pre-Summary'!$AE$6:$AJ$85,3,FALSE),"")</f>
        <v/>
      </c>
      <c r="H2778" t="str">
        <f>IFERROR(VLOOKUP(B2778,'Pre-Summary'!$AE$6:$AJ$85,4,FALSE),"")</f>
        <v/>
      </c>
      <c r="I2778" t="str">
        <f>IFERROR(VLOOKUP(B2778,'Pre-Summary'!$AE$6:$AJ$85,5,FALSE),"")</f>
        <v/>
      </c>
      <c r="J2778" s="45" t="str">
        <f>IFERROR(VLOOKUP(B2778,'Pre-Summary'!$AE$6:$AJ$85,6, FALSE),"")</f>
        <v/>
      </c>
      <c r="K2778" s="45" t="str">
        <f>IFERROR(VLOOKUP(B2778,'Pre-Summary'!$DE$6:$DG$61,3,FALSE),"")</f>
        <v/>
      </c>
      <c r="L2778" s="45" t="str">
        <f>IFERROR(VLOOKUP(B2778,'Pre-Summary'!$CU$6:$CW$36,3,FALSE),"")</f>
        <v/>
      </c>
      <c r="M2778" s="45" t="str">
        <f>IFERROR(VLOOKUP(B2778,'Pre-Summary'!$BW$6:$BY$58,2,FALSE),"")</f>
        <v/>
      </c>
      <c r="N2778" s="45" t="str">
        <f>IFERROR(VLOOKUP(B2778,'Pre-Summary'!$CD$6:$CF$64,2,FALSE),"")</f>
        <v/>
      </c>
      <c r="O2778" s="99">
        <f>IFERROR(VLOOKUP(B2778,'Pre-Summary'!$BO$6:$BQ$48,3, FALSE),O2777)</f>
        <v>2.1030000000000002</v>
      </c>
      <c r="P2778" s="99">
        <f>IFERROR(VLOOKUP(B2778,'Pre-Summary'!$BS$6:$BU$35,3,FALSE),P2777)</f>
        <v>0.53100000000000003</v>
      </c>
      <c r="Q2778" s="54">
        <f t="shared" si="129"/>
        <v>3.9604519774011302</v>
      </c>
      <c r="R2778" s="53">
        <f>IFERROR(VLOOKUP(B2778,'Pre-Summary'!$BG$6:$BM$44,7,FALSE),R2779)</f>
        <v>9.5351142367257502E-2</v>
      </c>
      <c r="S2778" s="53">
        <f>IFERROR(VLOOKUP(B2778,'Pre-Summary'!$BG$6:$BM$44,6,FALSE),S2779)</f>
        <v>0.10009321836402316</v>
      </c>
      <c r="T2778" s="45" t="str">
        <f>IFERROR(VLOOKUP(B2778,'Pre-Summary'!$Y$6:$AC$83, 3,FALSE),"")</f>
        <v/>
      </c>
      <c r="U2778" s="45" t="str">
        <f>IFERROR(VLOOKUP(B2778,'Pre-Summary'!$Y$6:$AC$83, 4,FALSE),"")</f>
        <v/>
      </c>
      <c r="V2778" t="str">
        <f>IFERROR(VLOOKUP(B2778,'Pre-Summary'!$Y$6:$AC$83, 5,FALSE),"")</f>
        <v/>
      </c>
      <c r="W2778" s="45" t="str">
        <f>IFERROR(VLOOKUP(B2778,'Pre-Summary'!$Y$6:$AD$83,6,FALSE),"")</f>
        <v/>
      </c>
      <c r="X2778" t="str">
        <f>IFERROR(VLOOKUP('Pre-Summary'!$DB$6:$DD$63,3,FALSE),"")</f>
        <v/>
      </c>
      <c r="Y2778" t="str">
        <f>IFERROR(VLOOKUP(B2778,'Pre-Summary'!$CR$6:$CT$36,3,FALSE),"")</f>
        <v/>
      </c>
      <c r="Z2778" s="45" t="str">
        <f>IFERROR(VLOOKUP(B2778,'Pre-Summary'!$BZ$6:$CB$63,2,FALSE),"")</f>
        <v/>
      </c>
      <c r="AA2778" s="45" t="str">
        <f>IFERROR(VLOOKUP(B2778,'Pre-Summary'!$CG$6:$CI$70,2,FALSE),"")</f>
        <v/>
      </c>
      <c r="AB2778" s="99">
        <f>IFERROR(VLOOKUP(B2778,'Pre-Summary'!$A$6:$P$178,9,FALSE),AB2779)</f>
        <v>0.7010379290946207</v>
      </c>
      <c r="AC2778" s="10">
        <f>IFERROR(VLOOKUP(Summary!B2778,'Pre-Summary'!$A$6:$P$184,5, FALSE)/100,AC2779)</f>
        <v>0.92607166666666674</v>
      </c>
      <c r="AD2778" s="10">
        <f>IFERROR(VLOOKUP(Summary!B2778,'Pre-Summary'!$A$6:$P$184,3, FALSE)/100,AD2779)</f>
        <v>5.4963666666666668E-2</v>
      </c>
      <c r="AE2778" s="10">
        <f>IFERROR(VLOOKUP(Summary!B2778,'Pre-Summary'!$A$6:$P$184,7, FALSE)/100,AE2779)</f>
        <v>1.8946666666666667E-2</v>
      </c>
      <c r="AF2778" s="99">
        <f t="shared" si="130"/>
        <v>3.8531615055447034E-2</v>
      </c>
      <c r="AG2778" s="99">
        <f t="shared" si="131"/>
        <v>1.3282331963246082E-2</v>
      </c>
      <c r="AH2778" s="10" t="str">
        <f>IFERROR(VLOOKUP(B2778,'Pre-Summary'!$AZ$6:$BE$65,3,FALSE),"")</f>
        <v/>
      </c>
      <c r="AI2778" s="10" t="str">
        <f>IFERROR(VLOOKUP(B2778,'Pre-Summary'!$AZ$6:$BE$65,5,FALSE),"")</f>
        <v/>
      </c>
      <c r="AJ2778" s="10" t="str">
        <f>IFERROR(VLOOKUP(B2778,'Pre-Summary'!$AZ$6:$BE$65,4,FALSE),"")</f>
        <v/>
      </c>
      <c r="AK2778" s="10" t="str">
        <f>IFERROR(VLOOKUP(B2778,'Pre-Summary'!$AZ$6:$BE$65,6,FALSE),"")</f>
        <v/>
      </c>
      <c r="AL2778" s="10" t="str">
        <f>IFERROR(VLOOKUP(B2778,'Pre-Summary'!$BG$6:$BL$44,3,FALSE),"")</f>
        <v/>
      </c>
      <c r="AM2778" s="10" t="str">
        <f>IFERROR(VLOOKUP(B2778,'Pre-Summary'!$BG$6:$BL$44,4,FALSE),"")</f>
        <v/>
      </c>
    </row>
    <row r="2779" spans="2:39" ht="15" customHeight="1" x14ac:dyDescent="0.3">
      <c r="B2779">
        <v>277.60000000000002</v>
      </c>
      <c r="C2779" t="str">
        <f>IFERROR(VLOOKUP(B2779,'Pre-Summary'!$DI$6:$DM$23,4,FALSE),"")</f>
        <v/>
      </c>
      <c r="D2779" s="10" t="str">
        <f>IFERROR(VLOOKUP(B2779,'Pre-Summary'!$AT$6:$AX$14,5,FALSE),D2778)</f>
        <v>Wolfe v3: went back to modified wolfe + EDTA and switched CuSO4 to CUCl2</v>
      </c>
      <c r="E2779" s="10" t="str">
        <f>IFERROR(VLOOKUP(B2779,'Pre-Summary'!$AT$6:$AX$15,4,FALSE),"")</f>
        <v/>
      </c>
      <c r="F2779">
        <f>IFERROR(VLOOKUP(B2779,'Pre-Summary'!$AL$6:$AQ$13,6,FALSE),F2778)</f>
        <v>5.9405263157894746E-2</v>
      </c>
      <c r="G2779" t="str">
        <f>IFERROR(VLOOKUP(B2779,'Pre-Summary'!$AE$6:$AJ$85,3,FALSE),"")</f>
        <v/>
      </c>
      <c r="H2779" t="str">
        <f>IFERROR(VLOOKUP(B2779,'Pre-Summary'!$AE$6:$AJ$85,4,FALSE),"")</f>
        <v/>
      </c>
      <c r="I2779" t="str">
        <f>IFERROR(VLOOKUP(B2779,'Pre-Summary'!$AE$6:$AJ$85,5,FALSE),"")</f>
        <v/>
      </c>
      <c r="J2779" s="45" t="str">
        <f>IFERROR(VLOOKUP(B2779,'Pre-Summary'!$AE$6:$AJ$85,6, FALSE),"")</f>
        <v/>
      </c>
      <c r="K2779" s="45" t="str">
        <f>IFERROR(VLOOKUP(B2779,'Pre-Summary'!$DE$6:$DG$61,3,FALSE),"")</f>
        <v/>
      </c>
      <c r="L2779" s="45" t="str">
        <f>IFERROR(VLOOKUP(B2779,'Pre-Summary'!$CU$6:$CW$36,3,FALSE),"")</f>
        <v/>
      </c>
      <c r="M2779" s="45" t="str">
        <f>IFERROR(VLOOKUP(B2779,'Pre-Summary'!$BW$6:$BY$58,2,FALSE),"")</f>
        <v/>
      </c>
      <c r="N2779" s="45" t="str">
        <f>IFERROR(VLOOKUP(B2779,'Pre-Summary'!$CD$6:$CF$64,2,FALSE),"")</f>
        <v/>
      </c>
      <c r="O2779" s="99">
        <f>IFERROR(VLOOKUP(B2779,'Pre-Summary'!$BO$6:$BQ$48,3, FALSE),O2778)</f>
        <v>2.1030000000000002</v>
      </c>
      <c r="P2779" s="99">
        <f>IFERROR(VLOOKUP(B2779,'Pre-Summary'!$BS$6:$BU$35,3,FALSE),P2778)</f>
        <v>0.53100000000000003</v>
      </c>
      <c r="Q2779" s="54">
        <f t="shared" si="129"/>
        <v>3.9604519774011302</v>
      </c>
      <c r="R2779" s="53">
        <f>IFERROR(VLOOKUP(B2779,'Pre-Summary'!$BG$6:$BM$44,7,FALSE),R2780)</f>
        <v>9.5351142367257502E-2</v>
      </c>
      <c r="S2779" s="53">
        <f>IFERROR(VLOOKUP(B2779,'Pre-Summary'!$BG$6:$BM$44,6,FALSE),S2780)</f>
        <v>0.10009321836402316</v>
      </c>
      <c r="T2779" s="45" t="str">
        <f>IFERROR(VLOOKUP(B2779,'Pre-Summary'!$Y$6:$AC$83, 3,FALSE),"")</f>
        <v/>
      </c>
      <c r="U2779" s="45" t="str">
        <f>IFERROR(VLOOKUP(B2779,'Pre-Summary'!$Y$6:$AC$83, 4,FALSE),"")</f>
        <v/>
      </c>
      <c r="V2779" t="str">
        <f>IFERROR(VLOOKUP(B2779,'Pre-Summary'!$Y$6:$AC$83, 5,FALSE),"")</f>
        <v/>
      </c>
      <c r="W2779" s="45" t="str">
        <f>IFERROR(VLOOKUP(B2779,'Pre-Summary'!$Y$6:$AD$83,6,FALSE),"")</f>
        <v/>
      </c>
      <c r="X2779" t="str">
        <f>IFERROR(VLOOKUP('Pre-Summary'!$DB$6:$DD$63,3,FALSE),"")</f>
        <v/>
      </c>
      <c r="Y2779" t="str">
        <f>IFERROR(VLOOKUP(B2779,'Pre-Summary'!$CR$6:$CT$36,3,FALSE),"")</f>
        <v/>
      </c>
      <c r="Z2779" s="45" t="str">
        <f>IFERROR(VLOOKUP(B2779,'Pre-Summary'!$BZ$6:$CB$63,2,FALSE),"")</f>
        <v/>
      </c>
      <c r="AA2779" s="45" t="str">
        <f>IFERROR(VLOOKUP(B2779,'Pre-Summary'!$CG$6:$CI$70,2,FALSE),"")</f>
        <v/>
      </c>
      <c r="AB2779" s="99">
        <f>IFERROR(VLOOKUP(B2779,'Pre-Summary'!$A$6:$P$178,9,FALSE),AB2780)</f>
        <v>0.7010379290946207</v>
      </c>
      <c r="AC2779" s="10">
        <f>IFERROR(VLOOKUP(Summary!B2779,'Pre-Summary'!$A$6:$P$184,5, FALSE)/100,AC2780)</f>
        <v>0.92607166666666674</v>
      </c>
      <c r="AD2779" s="10">
        <f>IFERROR(VLOOKUP(Summary!B2779,'Pre-Summary'!$A$6:$P$184,3, FALSE)/100,AD2780)</f>
        <v>5.4963666666666668E-2</v>
      </c>
      <c r="AE2779" s="10">
        <f>IFERROR(VLOOKUP(Summary!B2779,'Pre-Summary'!$A$6:$P$184,7, FALSE)/100,AE2780)</f>
        <v>1.8946666666666667E-2</v>
      </c>
      <c r="AF2779" s="99">
        <f t="shared" si="130"/>
        <v>3.8531615055447034E-2</v>
      </c>
      <c r="AG2779" s="99">
        <f t="shared" si="131"/>
        <v>1.3282331963246082E-2</v>
      </c>
      <c r="AH2779" s="10" t="str">
        <f>IFERROR(VLOOKUP(B2779,'Pre-Summary'!$AZ$6:$BE$65,3,FALSE),"")</f>
        <v/>
      </c>
      <c r="AI2779" s="10" t="str">
        <f>IFERROR(VLOOKUP(B2779,'Pre-Summary'!$AZ$6:$BE$65,5,FALSE),"")</f>
        <v/>
      </c>
      <c r="AJ2779" s="10" t="str">
        <f>IFERROR(VLOOKUP(B2779,'Pre-Summary'!$AZ$6:$BE$65,4,FALSE),"")</f>
        <v/>
      </c>
      <c r="AK2779" s="10" t="str">
        <f>IFERROR(VLOOKUP(B2779,'Pre-Summary'!$AZ$6:$BE$65,6,FALSE),"")</f>
        <v/>
      </c>
      <c r="AL2779" s="10" t="str">
        <f>IFERROR(VLOOKUP(B2779,'Pre-Summary'!$BG$6:$BL$44,3,FALSE),"")</f>
        <v/>
      </c>
      <c r="AM2779" s="10" t="str">
        <f>IFERROR(VLOOKUP(B2779,'Pre-Summary'!$BG$6:$BL$44,4,FALSE),"")</f>
        <v/>
      </c>
    </row>
    <row r="2780" spans="2:39" ht="15" customHeight="1" x14ac:dyDescent="0.3">
      <c r="B2780">
        <v>277.7</v>
      </c>
      <c r="C2780" t="str">
        <f>IFERROR(VLOOKUP(B2780,'Pre-Summary'!$DI$6:$DM$23,4,FALSE),"")</f>
        <v/>
      </c>
      <c r="D2780" s="10" t="str">
        <f>IFERROR(VLOOKUP(B2780,'Pre-Summary'!$AT$6:$AX$14,5,FALSE),D2779)</f>
        <v>Wolfe v3: went back to modified wolfe + EDTA and switched CuSO4 to CUCl2</v>
      </c>
      <c r="E2780" s="10" t="str">
        <f>IFERROR(VLOOKUP(B2780,'Pre-Summary'!$AT$6:$AX$15,4,FALSE),"")</f>
        <v/>
      </c>
      <c r="F2780">
        <f>IFERROR(VLOOKUP(B2780,'Pre-Summary'!$AL$6:$AQ$13,6,FALSE),F2779)</f>
        <v>5.9405263157894746E-2</v>
      </c>
      <c r="G2780" t="str">
        <f>IFERROR(VLOOKUP(B2780,'Pre-Summary'!$AE$6:$AJ$85,3,FALSE),"")</f>
        <v/>
      </c>
      <c r="H2780" t="str">
        <f>IFERROR(VLOOKUP(B2780,'Pre-Summary'!$AE$6:$AJ$85,4,FALSE),"")</f>
        <v/>
      </c>
      <c r="I2780" t="str">
        <f>IFERROR(VLOOKUP(B2780,'Pre-Summary'!$AE$6:$AJ$85,5,FALSE),"")</f>
        <v/>
      </c>
      <c r="J2780" s="45" t="str">
        <f>IFERROR(VLOOKUP(B2780,'Pre-Summary'!$AE$6:$AJ$85,6, FALSE),"")</f>
        <v/>
      </c>
      <c r="K2780" s="45" t="str">
        <f>IFERROR(VLOOKUP(B2780,'Pre-Summary'!$DE$6:$DG$61,3,FALSE),"")</f>
        <v/>
      </c>
      <c r="L2780" s="45" t="str">
        <f>IFERROR(VLOOKUP(B2780,'Pre-Summary'!$CU$6:$CW$36,3,FALSE),"")</f>
        <v/>
      </c>
      <c r="M2780" s="45" t="str">
        <f>IFERROR(VLOOKUP(B2780,'Pre-Summary'!$BW$6:$BY$58,2,FALSE),"")</f>
        <v/>
      </c>
      <c r="N2780" s="45" t="str">
        <f>IFERROR(VLOOKUP(B2780,'Pre-Summary'!$CD$6:$CF$64,2,FALSE),"")</f>
        <v/>
      </c>
      <c r="O2780" s="99">
        <f>IFERROR(VLOOKUP(B2780,'Pre-Summary'!$BO$6:$BQ$48,3, FALSE),O2779)</f>
        <v>2.1030000000000002</v>
      </c>
      <c r="P2780" s="99">
        <f>IFERROR(VLOOKUP(B2780,'Pre-Summary'!$BS$6:$BU$35,3,FALSE),P2779)</f>
        <v>0.53100000000000003</v>
      </c>
      <c r="Q2780" s="54">
        <f t="shared" si="129"/>
        <v>3.9604519774011302</v>
      </c>
      <c r="R2780" s="53">
        <f>IFERROR(VLOOKUP(B2780,'Pre-Summary'!$BG$6:$BM$44,7,FALSE),R2781)</f>
        <v>9.5351142367257502E-2</v>
      </c>
      <c r="S2780" s="53">
        <f>IFERROR(VLOOKUP(B2780,'Pre-Summary'!$BG$6:$BM$44,6,FALSE),S2781)</f>
        <v>0.10009321836402316</v>
      </c>
      <c r="T2780" s="45" t="str">
        <f>IFERROR(VLOOKUP(B2780,'Pre-Summary'!$Y$6:$AC$83, 3,FALSE),"")</f>
        <v/>
      </c>
      <c r="U2780" s="45" t="str">
        <f>IFERROR(VLOOKUP(B2780,'Pre-Summary'!$Y$6:$AC$83, 4,FALSE),"")</f>
        <v/>
      </c>
      <c r="V2780" t="str">
        <f>IFERROR(VLOOKUP(B2780,'Pre-Summary'!$Y$6:$AC$83, 5,FALSE),"")</f>
        <v/>
      </c>
      <c r="W2780" s="45" t="str">
        <f>IFERROR(VLOOKUP(B2780,'Pre-Summary'!$Y$6:$AD$83,6,FALSE),"")</f>
        <v/>
      </c>
      <c r="X2780" t="str">
        <f>IFERROR(VLOOKUP('Pre-Summary'!$DB$6:$DD$63,3,FALSE),"")</f>
        <v/>
      </c>
      <c r="Y2780" t="str">
        <f>IFERROR(VLOOKUP(B2780,'Pre-Summary'!$CR$6:$CT$36,3,FALSE),"")</f>
        <v/>
      </c>
      <c r="Z2780" s="45" t="str">
        <f>IFERROR(VLOOKUP(B2780,'Pre-Summary'!$BZ$6:$CB$63,2,FALSE),"")</f>
        <v/>
      </c>
      <c r="AA2780" s="45" t="str">
        <f>IFERROR(VLOOKUP(B2780,'Pre-Summary'!$CG$6:$CI$70,2,FALSE),"")</f>
        <v/>
      </c>
      <c r="AB2780" s="99">
        <f>IFERROR(VLOOKUP(B2780,'Pre-Summary'!$A$6:$P$178,9,FALSE),AB2781)</f>
        <v>0.7010379290946207</v>
      </c>
      <c r="AC2780" s="10">
        <f>IFERROR(VLOOKUP(Summary!B2780,'Pre-Summary'!$A$6:$P$184,5, FALSE)/100,AC2781)</f>
        <v>0.92607166666666674</v>
      </c>
      <c r="AD2780" s="10">
        <f>IFERROR(VLOOKUP(Summary!B2780,'Pre-Summary'!$A$6:$P$184,3, FALSE)/100,AD2781)</f>
        <v>5.4963666666666668E-2</v>
      </c>
      <c r="AE2780" s="10">
        <f>IFERROR(VLOOKUP(Summary!B2780,'Pre-Summary'!$A$6:$P$184,7, FALSE)/100,AE2781)</f>
        <v>1.8946666666666667E-2</v>
      </c>
      <c r="AF2780" s="99">
        <f t="shared" si="130"/>
        <v>3.8531615055447034E-2</v>
      </c>
      <c r="AG2780" s="99">
        <f t="shared" si="131"/>
        <v>1.3282331963246082E-2</v>
      </c>
      <c r="AH2780" s="10" t="str">
        <f>IFERROR(VLOOKUP(B2780,'Pre-Summary'!$AZ$6:$BE$65,3,FALSE),"")</f>
        <v/>
      </c>
      <c r="AI2780" s="10" t="str">
        <f>IFERROR(VLOOKUP(B2780,'Pre-Summary'!$AZ$6:$BE$65,5,FALSE),"")</f>
        <v/>
      </c>
      <c r="AJ2780" s="10" t="str">
        <f>IFERROR(VLOOKUP(B2780,'Pre-Summary'!$AZ$6:$BE$65,4,FALSE),"")</f>
        <v/>
      </c>
      <c r="AK2780" s="10" t="str">
        <f>IFERROR(VLOOKUP(B2780,'Pre-Summary'!$AZ$6:$BE$65,6,FALSE),"")</f>
        <v/>
      </c>
      <c r="AL2780" s="10" t="str">
        <f>IFERROR(VLOOKUP(B2780,'Pre-Summary'!$BG$6:$BL$44,3,FALSE),"")</f>
        <v/>
      </c>
      <c r="AM2780" s="10" t="str">
        <f>IFERROR(VLOOKUP(B2780,'Pre-Summary'!$BG$6:$BL$44,4,FALSE),"")</f>
        <v/>
      </c>
    </row>
    <row r="2781" spans="2:39" ht="15" customHeight="1" x14ac:dyDescent="0.3">
      <c r="B2781">
        <v>277.8</v>
      </c>
      <c r="C2781" t="str">
        <f>IFERROR(VLOOKUP(B2781,'Pre-Summary'!$DI$6:$DM$23,4,FALSE),"")</f>
        <v/>
      </c>
      <c r="D2781" s="10" t="str">
        <f>IFERROR(VLOOKUP(B2781,'Pre-Summary'!$AT$6:$AX$14,5,FALSE),D2780)</f>
        <v>Wolfe v3: went back to modified wolfe + EDTA and switched CuSO4 to CUCl2</v>
      </c>
      <c r="E2781" s="10" t="str">
        <f>IFERROR(VLOOKUP(B2781,'Pre-Summary'!$AT$6:$AX$15,4,FALSE),"")</f>
        <v/>
      </c>
      <c r="F2781">
        <f>IFERROR(VLOOKUP(B2781,'Pre-Summary'!$AL$6:$AQ$13,6,FALSE),F2780)</f>
        <v>5.9405263157894746E-2</v>
      </c>
      <c r="G2781" t="str">
        <f>IFERROR(VLOOKUP(B2781,'Pre-Summary'!$AE$6:$AJ$85,3,FALSE),"")</f>
        <v/>
      </c>
      <c r="H2781" t="str">
        <f>IFERROR(VLOOKUP(B2781,'Pre-Summary'!$AE$6:$AJ$85,4,FALSE),"")</f>
        <v/>
      </c>
      <c r="I2781" t="str">
        <f>IFERROR(VLOOKUP(B2781,'Pre-Summary'!$AE$6:$AJ$85,5,FALSE),"")</f>
        <v/>
      </c>
      <c r="J2781" s="45" t="str">
        <f>IFERROR(VLOOKUP(B2781,'Pre-Summary'!$AE$6:$AJ$85,6, FALSE),"")</f>
        <v/>
      </c>
      <c r="K2781" s="45" t="str">
        <f>IFERROR(VLOOKUP(B2781,'Pre-Summary'!$DE$6:$DG$61,3,FALSE),"")</f>
        <v/>
      </c>
      <c r="L2781" s="45" t="str">
        <f>IFERROR(VLOOKUP(B2781,'Pre-Summary'!$CU$6:$CW$36,3,FALSE),"")</f>
        <v/>
      </c>
      <c r="M2781" s="45" t="str">
        <f>IFERROR(VLOOKUP(B2781,'Pre-Summary'!$BW$6:$BY$58,2,FALSE),"")</f>
        <v/>
      </c>
      <c r="N2781" s="45" t="str">
        <f>IFERROR(VLOOKUP(B2781,'Pre-Summary'!$CD$6:$CF$64,2,FALSE),"")</f>
        <v/>
      </c>
      <c r="O2781" s="99">
        <f>IFERROR(VLOOKUP(B2781,'Pre-Summary'!$BO$6:$BQ$48,3, FALSE),O2780)</f>
        <v>2.1030000000000002</v>
      </c>
      <c r="P2781" s="99">
        <f>IFERROR(VLOOKUP(B2781,'Pre-Summary'!$BS$6:$BU$35,3,FALSE),P2780)</f>
        <v>0.53100000000000003</v>
      </c>
      <c r="Q2781" s="54">
        <f t="shared" si="129"/>
        <v>3.9604519774011302</v>
      </c>
      <c r="R2781" s="53">
        <f>IFERROR(VLOOKUP(B2781,'Pre-Summary'!$BG$6:$BM$44,7,FALSE),R2782)</f>
        <v>9.5351142367257502E-2</v>
      </c>
      <c r="S2781" s="53">
        <f>IFERROR(VLOOKUP(B2781,'Pre-Summary'!$BG$6:$BM$44,6,FALSE),S2782)</f>
        <v>0.10009321836402316</v>
      </c>
      <c r="T2781" s="45" t="str">
        <f>IFERROR(VLOOKUP(B2781,'Pre-Summary'!$Y$6:$AC$83, 3,FALSE),"")</f>
        <v/>
      </c>
      <c r="U2781" s="45" t="str">
        <f>IFERROR(VLOOKUP(B2781,'Pre-Summary'!$Y$6:$AC$83, 4,FALSE),"")</f>
        <v/>
      </c>
      <c r="V2781" t="str">
        <f>IFERROR(VLOOKUP(B2781,'Pre-Summary'!$Y$6:$AC$83, 5,FALSE),"")</f>
        <v/>
      </c>
      <c r="W2781" s="45" t="str">
        <f>IFERROR(VLOOKUP(B2781,'Pre-Summary'!$Y$6:$AD$83,6,FALSE),"")</f>
        <v/>
      </c>
      <c r="X2781" t="str">
        <f>IFERROR(VLOOKUP('Pre-Summary'!$DB$6:$DD$63,3,FALSE),"")</f>
        <v/>
      </c>
      <c r="Y2781" t="str">
        <f>IFERROR(VLOOKUP(B2781,'Pre-Summary'!$CR$6:$CT$36,3,FALSE),"")</f>
        <v/>
      </c>
      <c r="Z2781" s="45" t="str">
        <f>IFERROR(VLOOKUP(B2781,'Pre-Summary'!$BZ$6:$CB$63,2,FALSE),"")</f>
        <v/>
      </c>
      <c r="AA2781" s="45" t="str">
        <f>IFERROR(VLOOKUP(B2781,'Pre-Summary'!$CG$6:$CI$70,2,FALSE),"")</f>
        <v/>
      </c>
      <c r="AB2781" s="99">
        <f>IFERROR(VLOOKUP(B2781,'Pre-Summary'!$A$6:$P$178,9,FALSE),AB2782)</f>
        <v>0.7010379290946207</v>
      </c>
      <c r="AC2781" s="10">
        <f>IFERROR(VLOOKUP(Summary!B2781,'Pre-Summary'!$A$6:$P$184,5, FALSE)/100,AC2782)</f>
        <v>0.92607166666666674</v>
      </c>
      <c r="AD2781" s="10">
        <f>IFERROR(VLOOKUP(Summary!B2781,'Pre-Summary'!$A$6:$P$184,3, FALSE)/100,AD2782)</f>
        <v>5.4963666666666668E-2</v>
      </c>
      <c r="AE2781" s="10">
        <f>IFERROR(VLOOKUP(Summary!B2781,'Pre-Summary'!$A$6:$P$184,7, FALSE)/100,AE2782)</f>
        <v>1.8946666666666667E-2</v>
      </c>
      <c r="AF2781" s="99">
        <f t="shared" si="130"/>
        <v>3.8531615055447034E-2</v>
      </c>
      <c r="AG2781" s="99">
        <f t="shared" si="131"/>
        <v>1.3282331963246082E-2</v>
      </c>
      <c r="AH2781" s="10" t="str">
        <f>IFERROR(VLOOKUP(B2781,'Pre-Summary'!$AZ$6:$BE$65,3,FALSE),"")</f>
        <v/>
      </c>
      <c r="AI2781" s="10" t="str">
        <f>IFERROR(VLOOKUP(B2781,'Pre-Summary'!$AZ$6:$BE$65,5,FALSE),"")</f>
        <v/>
      </c>
      <c r="AJ2781" s="10" t="str">
        <f>IFERROR(VLOOKUP(B2781,'Pre-Summary'!$AZ$6:$BE$65,4,FALSE),"")</f>
        <v/>
      </c>
      <c r="AK2781" s="10" t="str">
        <f>IFERROR(VLOOKUP(B2781,'Pre-Summary'!$AZ$6:$BE$65,6,FALSE),"")</f>
        <v/>
      </c>
      <c r="AL2781" s="10" t="str">
        <f>IFERROR(VLOOKUP(B2781,'Pre-Summary'!$BG$6:$BL$44,3,FALSE),"")</f>
        <v/>
      </c>
      <c r="AM2781" s="10" t="str">
        <f>IFERROR(VLOOKUP(B2781,'Pre-Summary'!$BG$6:$BL$44,4,FALSE),"")</f>
        <v/>
      </c>
    </row>
    <row r="2782" spans="2:39" ht="15" customHeight="1" x14ac:dyDescent="0.3">
      <c r="B2782">
        <v>277.89999999999998</v>
      </c>
      <c r="C2782" t="str">
        <f>IFERROR(VLOOKUP(B2782,'Pre-Summary'!$DI$6:$DM$23,4,FALSE),"")</f>
        <v/>
      </c>
      <c r="D2782" s="10" t="str">
        <f>IFERROR(VLOOKUP(B2782,'Pre-Summary'!$AT$6:$AX$14,5,FALSE),D2781)</f>
        <v>Wolfe v3: went back to modified wolfe + EDTA and switched CuSO4 to CUCl2</v>
      </c>
      <c r="E2782" s="10" t="str">
        <f>IFERROR(VLOOKUP(B2782,'Pre-Summary'!$AT$6:$AX$15,4,FALSE),"")</f>
        <v/>
      </c>
      <c r="F2782">
        <f>IFERROR(VLOOKUP(B2782,'Pre-Summary'!$AL$6:$AQ$13,6,FALSE),F2781)</f>
        <v>5.9405263157894746E-2</v>
      </c>
      <c r="G2782" t="str">
        <f>IFERROR(VLOOKUP(B2782,'Pre-Summary'!$AE$6:$AJ$85,3,FALSE),"")</f>
        <v/>
      </c>
      <c r="H2782" t="str">
        <f>IFERROR(VLOOKUP(B2782,'Pre-Summary'!$AE$6:$AJ$85,4,FALSE),"")</f>
        <v/>
      </c>
      <c r="I2782" t="str">
        <f>IFERROR(VLOOKUP(B2782,'Pre-Summary'!$AE$6:$AJ$85,5,FALSE),"")</f>
        <v/>
      </c>
      <c r="J2782" s="45" t="str">
        <f>IFERROR(VLOOKUP(B2782,'Pre-Summary'!$AE$6:$AJ$85,6, FALSE),"")</f>
        <v/>
      </c>
      <c r="K2782" s="45" t="str">
        <f>IFERROR(VLOOKUP(B2782,'Pre-Summary'!$DE$6:$DG$61,3,FALSE),"")</f>
        <v/>
      </c>
      <c r="L2782" s="45" t="str">
        <f>IFERROR(VLOOKUP(B2782,'Pre-Summary'!$CU$6:$CW$36,3,FALSE),"")</f>
        <v/>
      </c>
      <c r="M2782" s="45" t="str">
        <f>IFERROR(VLOOKUP(B2782,'Pre-Summary'!$BW$6:$BY$58,2,FALSE),"")</f>
        <v/>
      </c>
      <c r="N2782" s="45" t="str">
        <f>IFERROR(VLOOKUP(B2782,'Pre-Summary'!$CD$6:$CF$64,2,FALSE),"")</f>
        <v/>
      </c>
      <c r="O2782" s="99">
        <f>IFERROR(VLOOKUP(B2782,'Pre-Summary'!$BO$6:$BQ$48,3, FALSE),O2781)</f>
        <v>2.1030000000000002</v>
      </c>
      <c r="P2782" s="99">
        <f>IFERROR(VLOOKUP(B2782,'Pre-Summary'!$BS$6:$BU$35,3,FALSE),P2781)</f>
        <v>0.53100000000000003</v>
      </c>
      <c r="Q2782" s="54">
        <f t="shared" si="129"/>
        <v>3.9604519774011302</v>
      </c>
      <c r="R2782" s="53">
        <f>IFERROR(VLOOKUP(B2782,'Pre-Summary'!$BG$6:$BM$44,7,FALSE),R2783)</f>
        <v>9.5351142367257502E-2</v>
      </c>
      <c r="S2782" s="53">
        <f>IFERROR(VLOOKUP(B2782,'Pre-Summary'!$BG$6:$BM$44,6,FALSE),S2783)</f>
        <v>0.10009321836402316</v>
      </c>
      <c r="T2782" s="45" t="str">
        <f>IFERROR(VLOOKUP(B2782,'Pre-Summary'!$Y$6:$AC$83, 3,FALSE),"")</f>
        <v/>
      </c>
      <c r="U2782" s="45" t="str">
        <f>IFERROR(VLOOKUP(B2782,'Pre-Summary'!$Y$6:$AC$83, 4,FALSE),"")</f>
        <v/>
      </c>
      <c r="V2782" t="str">
        <f>IFERROR(VLOOKUP(B2782,'Pre-Summary'!$Y$6:$AC$83, 5,FALSE),"")</f>
        <v/>
      </c>
      <c r="W2782" s="45" t="str">
        <f>IFERROR(VLOOKUP(B2782,'Pre-Summary'!$Y$6:$AD$83,6,FALSE),"")</f>
        <v/>
      </c>
      <c r="X2782" t="str">
        <f>IFERROR(VLOOKUP('Pre-Summary'!$DB$6:$DD$63,3,FALSE),"")</f>
        <v/>
      </c>
      <c r="Y2782" t="str">
        <f>IFERROR(VLOOKUP(B2782,'Pre-Summary'!$CR$6:$CT$36,3,FALSE),"")</f>
        <v/>
      </c>
      <c r="Z2782" s="45" t="str">
        <f>IFERROR(VLOOKUP(B2782,'Pre-Summary'!$BZ$6:$CB$63,2,FALSE),"")</f>
        <v/>
      </c>
      <c r="AA2782" s="45" t="str">
        <f>IFERROR(VLOOKUP(B2782,'Pre-Summary'!$CG$6:$CI$70,2,FALSE),"")</f>
        <v/>
      </c>
      <c r="AB2782" s="99">
        <f>IFERROR(VLOOKUP(B2782,'Pre-Summary'!$A$6:$P$178,9,FALSE),AB2783)</f>
        <v>0.7010379290946207</v>
      </c>
      <c r="AC2782" s="10">
        <f>IFERROR(VLOOKUP(Summary!B2782,'Pre-Summary'!$A$6:$P$184,5, FALSE)/100,AC2783)</f>
        <v>0.92607166666666674</v>
      </c>
      <c r="AD2782" s="10">
        <f>IFERROR(VLOOKUP(Summary!B2782,'Pre-Summary'!$A$6:$P$184,3, FALSE)/100,AD2783)</f>
        <v>5.4963666666666668E-2</v>
      </c>
      <c r="AE2782" s="10">
        <f>IFERROR(VLOOKUP(Summary!B2782,'Pre-Summary'!$A$6:$P$184,7, FALSE)/100,AE2783)</f>
        <v>1.8946666666666667E-2</v>
      </c>
      <c r="AF2782" s="99">
        <f t="shared" si="130"/>
        <v>3.8531615055447034E-2</v>
      </c>
      <c r="AG2782" s="99">
        <f t="shared" si="131"/>
        <v>1.3282331963246082E-2</v>
      </c>
      <c r="AH2782" s="10" t="str">
        <f>IFERROR(VLOOKUP(B2782,'Pre-Summary'!$AZ$6:$BE$65,3,FALSE),"")</f>
        <v/>
      </c>
      <c r="AI2782" s="10" t="str">
        <f>IFERROR(VLOOKUP(B2782,'Pre-Summary'!$AZ$6:$BE$65,5,FALSE),"")</f>
        <v/>
      </c>
      <c r="AJ2782" s="10" t="str">
        <f>IFERROR(VLOOKUP(B2782,'Pre-Summary'!$AZ$6:$BE$65,4,FALSE),"")</f>
        <v/>
      </c>
      <c r="AK2782" s="10" t="str">
        <f>IFERROR(VLOOKUP(B2782,'Pre-Summary'!$AZ$6:$BE$65,6,FALSE),"")</f>
        <v/>
      </c>
      <c r="AL2782" s="10" t="str">
        <f>IFERROR(VLOOKUP(B2782,'Pre-Summary'!$BG$6:$BL$44,3,FALSE),"")</f>
        <v/>
      </c>
      <c r="AM2782" s="10" t="str">
        <f>IFERROR(VLOOKUP(B2782,'Pre-Summary'!$BG$6:$BL$44,4,FALSE),"")</f>
        <v/>
      </c>
    </row>
    <row r="2783" spans="2:39" ht="15" customHeight="1" x14ac:dyDescent="0.3">
      <c r="B2783">
        <v>278</v>
      </c>
      <c r="C2783" t="str">
        <f>IFERROR(VLOOKUP(B2783,'Pre-Summary'!$DI$6:$DM$23,4,FALSE),"")</f>
        <v/>
      </c>
      <c r="D2783" s="10" t="str">
        <f>IFERROR(VLOOKUP(B2783,'Pre-Summary'!$AT$6:$AX$14,5,FALSE),D2782)</f>
        <v>Wolfe v3: went back to modified wolfe + EDTA and switched CuSO4 to CUCl2</v>
      </c>
      <c r="E2783" s="10" t="str">
        <f>IFERROR(VLOOKUP(B2783,'Pre-Summary'!$AT$6:$AX$15,4,FALSE),"")</f>
        <v/>
      </c>
      <c r="F2783">
        <f>IFERROR(VLOOKUP(B2783,'Pre-Summary'!$AL$6:$AQ$13,6,FALSE),F2782)</f>
        <v>5.9405263157894746E-2</v>
      </c>
      <c r="G2783" t="str">
        <f>IFERROR(VLOOKUP(B2783,'Pre-Summary'!$AE$6:$AJ$85,3,FALSE),"")</f>
        <v/>
      </c>
      <c r="H2783" t="str">
        <f>IFERROR(VLOOKUP(B2783,'Pre-Summary'!$AE$6:$AJ$85,4,FALSE),"")</f>
        <v/>
      </c>
      <c r="I2783" t="str">
        <f>IFERROR(VLOOKUP(B2783,'Pre-Summary'!$AE$6:$AJ$85,5,FALSE),"")</f>
        <v/>
      </c>
      <c r="J2783" s="45" t="str">
        <f>IFERROR(VLOOKUP(B2783,'Pre-Summary'!$AE$6:$AJ$85,6, FALSE),"")</f>
        <v/>
      </c>
      <c r="K2783" s="45" t="str">
        <f>IFERROR(VLOOKUP(B2783,'Pre-Summary'!$DE$6:$DG$61,3,FALSE),"")</f>
        <v/>
      </c>
      <c r="L2783" s="45" t="str">
        <f>IFERROR(VLOOKUP(B2783,'Pre-Summary'!$CU$6:$CW$36,3,FALSE),"")</f>
        <v/>
      </c>
      <c r="M2783" s="45" t="str">
        <f>IFERROR(VLOOKUP(B2783,'Pre-Summary'!$BW$6:$BY$58,2,FALSE),"")</f>
        <v/>
      </c>
      <c r="N2783" s="45" t="str">
        <f>IFERROR(VLOOKUP(B2783,'Pre-Summary'!$CD$6:$CF$64,2,FALSE),"")</f>
        <v/>
      </c>
      <c r="O2783" s="99">
        <f>IFERROR(VLOOKUP(B2783,'Pre-Summary'!$BO$6:$BQ$48,3, FALSE),O2782)</f>
        <v>2.1030000000000002</v>
      </c>
      <c r="P2783" s="99">
        <f>IFERROR(VLOOKUP(B2783,'Pre-Summary'!$BS$6:$BU$35,3,FALSE),P2782)</f>
        <v>0.53100000000000003</v>
      </c>
      <c r="Q2783" s="54">
        <f t="shared" si="129"/>
        <v>3.9604519774011302</v>
      </c>
      <c r="R2783" s="53">
        <f>IFERROR(VLOOKUP(B2783,'Pre-Summary'!$BG$6:$BM$44,7,FALSE),R2784)</f>
        <v>9.5351142367257502E-2</v>
      </c>
      <c r="S2783" s="53">
        <f>IFERROR(VLOOKUP(B2783,'Pre-Summary'!$BG$6:$BM$44,6,FALSE),S2784)</f>
        <v>0.10009321836402316</v>
      </c>
      <c r="T2783" s="45" t="str">
        <f>IFERROR(VLOOKUP(B2783,'Pre-Summary'!$Y$6:$AC$83, 3,FALSE),"")</f>
        <v/>
      </c>
      <c r="U2783" s="45" t="str">
        <f>IFERROR(VLOOKUP(B2783,'Pre-Summary'!$Y$6:$AC$83, 4,FALSE),"")</f>
        <v/>
      </c>
      <c r="V2783" t="str">
        <f>IFERROR(VLOOKUP(B2783,'Pre-Summary'!$Y$6:$AC$83, 5,FALSE),"")</f>
        <v/>
      </c>
      <c r="W2783" s="45" t="str">
        <f>IFERROR(VLOOKUP(B2783,'Pre-Summary'!$Y$6:$AD$83,6,FALSE),"")</f>
        <v/>
      </c>
      <c r="X2783" t="str">
        <f>IFERROR(VLOOKUP('Pre-Summary'!$DB$6:$DD$63,3,FALSE),"")</f>
        <v/>
      </c>
      <c r="Y2783" t="str">
        <f>IFERROR(VLOOKUP(B2783,'Pre-Summary'!$CR$6:$CT$36,3,FALSE),"")</f>
        <v/>
      </c>
      <c r="Z2783" s="45" t="str">
        <f>IFERROR(VLOOKUP(B2783,'Pre-Summary'!$BZ$6:$CB$63,2,FALSE),"")</f>
        <v/>
      </c>
      <c r="AA2783" s="45" t="str">
        <f>IFERROR(VLOOKUP(B2783,'Pre-Summary'!$CG$6:$CI$70,2,FALSE),"")</f>
        <v/>
      </c>
      <c r="AB2783" s="99">
        <f>IFERROR(VLOOKUP(B2783,'Pre-Summary'!$A$6:$P$178,9,FALSE),AB2784)</f>
        <v>0.7010379290946207</v>
      </c>
      <c r="AC2783" s="10">
        <f>IFERROR(VLOOKUP(Summary!B2783,'Pre-Summary'!$A$6:$P$184,5, FALSE)/100,AC2784)</f>
        <v>0.92607166666666674</v>
      </c>
      <c r="AD2783" s="10">
        <f>IFERROR(VLOOKUP(Summary!B2783,'Pre-Summary'!$A$6:$P$184,3, FALSE)/100,AD2784)</f>
        <v>5.4963666666666668E-2</v>
      </c>
      <c r="AE2783" s="10">
        <f>IFERROR(VLOOKUP(Summary!B2783,'Pre-Summary'!$A$6:$P$184,7, FALSE)/100,AE2784)</f>
        <v>1.8946666666666667E-2</v>
      </c>
      <c r="AF2783" s="99">
        <f t="shared" si="130"/>
        <v>3.8531615055447034E-2</v>
      </c>
      <c r="AG2783" s="99">
        <f t="shared" si="131"/>
        <v>1.3282331963246082E-2</v>
      </c>
      <c r="AH2783" s="10" t="str">
        <f>IFERROR(VLOOKUP(B2783,'Pre-Summary'!$AZ$6:$BE$65,3,FALSE),"")</f>
        <v/>
      </c>
      <c r="AI2783" s="10" t="str">
        <f>IFERROR(VLOOKUP(B2783,'Pre-Summary'!$AZ$6:$BE$65,5,FALSE),"")</f>
        <v/>
      </c>
      <c r="AJ2783" s="10" t="str">
        <f>IFERROR(VLOOKUP(B2783,'Pre-Summary'!$AZ$6:$BE$65,4,FALSE),"")</f>
        <v/>
      </c>
      <c r="AK2783" s="10" t="str">
        <f>IFERROR(VLOOKUP(B2783,'Pre-Summary'!$AZ$6:$BE$65,6,FALSE),"")</f>
        <v/>
      </c>
      <c r="AL2783" s="10" t="str">
        <f>IFERROR(VLOOKUP(B2783,'Pre-Summary'!$BG$6:$BL$44,3,FALSE),"")</f>
        <v/>
      </c>
      <c r="AM2783" s="10" t="str">
        <f>IFERROR(VLOOKUP(B2783,'Pre-Summary'!$BG$6:$BL$44,4,FALSE),"")</f>
        <v/>
      </c>
    </row>
    <row r="2784" spans="2:39" ht="15" customHeight="1" x14ac:dyDescent="0.3">
      <c r="B2784">
        <v>278.10000000000002</v>
      </c>
      <c r="C2784" t="str">
        <f>IFERROR(VLOOKUP(B2784,'Pre-Summary'!$DI$6:$DM$23,4,FALSE),"")</f>
        <v/>
      </c>
      <c r="D2784" s="10" t="str">
        <f>IFERROR(VLOOKUP(B2784,'Pre-Summary'!$AT$6:$AX$14,5,FALSE),D2783)</f>
        <v>Wolfe v3: went back to modified wolfe + EDTA and switched CuSO4 to CUCl2</v>
      </c>
      <c r="E2784" s="10" t="str">
        <f>IFERROR(VLOOKUP(B2784,'Pre-Summary'!$AT$6:$AX$15,4,FALSE),"")</f>
        <v/>
      </c>
      <c r="F2784">
        <f>IFERROR(VLOOKUP(B2784,'Pre-Summary'!$AL$6:$AQ$13,6,FALSE),F2783)</f>
        <v>5.9405263157894746E-2</v>
      </c>
      <c r="G2784" t="str">
        <f>IFERROR(VLOOKUP(B2784,'Pre-Summary'!$AE$6:$AJ$85,3,FALSE),"")</f>
        <v/>
      </c>
      <c r="H2784" t="str">
        <f>IFERROR(VLOOKUP(B2784,'Pre-Summary'!$AE$6:$AJ$85,4,FALSE),"")</f>
        <v/>
      </c>
      <c r="I2784" t="str">
        <f>IFERROR(VLOOKUP(B2784,'Pre-Summary'!$AE$6:$AJ$85,5,FALSE),"")</f>
        <v/>
      </c>
      <c r="J2784" s="45" t="str">
        <f>IFERROR(VLOOKUP(B2784,'Pre-Summary'!$AE$6:$AJ$85,6, FALSE),"")</f>
        <v/>
      </c>
      <c r="K2784" s="45" t="str">
        <f>IFERROR(VLOOKUP(B2784,'Pre-Summary'!$DE$6:$DG$61,3,FALSE),"")</f>
        <v/>
      </c>
      <c r="L2784" s="45" t="str">
        <f>IFERROR(VLOOKUP(B2784,'Pre-Summary'!$CU$6:$CW$36,3,FALSE),"")</f>
        <v/>
      </c>
      <c r="M2784" s="45" t="str">
        <f>IFERROR(VLOOKUP(B2784,'Pre-Summary'!$BW$6:$BY$58,2,FALSE),"")</f>
        <v/>
      </c>
      <c r="N2784" s="45" t="str">
        <f>IFERROR(VLOOKUP(B2784,'Pre-Summary'!$CD$6:$CF$64,2,FALSE),"")</f>
        <v/>
      </c>
      <c r="O2784" s="99">
        <f>IFERROR(VLOOKUP(B2784,'Pre-Summary'!$BO$6:$BQ$48,3, FALSE),O2783)</f>
        <v>2.1030000000000002</v>
      </c>
      <c r="P2784" s="99">
        <f>IFERROR(VLOOKUP(B2784,'Pre-Summary'!$BS$6:$BU$35,3,FALSE),P2783)</f>
        <v>0.53100000000000003</v>
      </c>
      <c r="Q2784" s="54">
        <f t="shared" si="129"/>
        <v>3.9604519774011302</v>
      </c>
      <c r="R2784" s="53">
        <f>IFERROR(VLOOKUP(B2784,'Pre-Summary'!$BG$6:$BM$44,7,FALSE),R2785)</f>
        <v>9.5351142367257502E-2</v>
      </c>
      <c r="S2784" s="53">
        <f>IFERROR(VLOOKUP(B2784,'Pre-Summary'!$BG$6:$BM$44,6,FALSE),S2785)</f>
        <v>0.10009321836402316</v>
      </c>
      <c r="T2784" s="45" t="str">
        <f>IFERROR(VLOOKUP(B2784,'Pre-Summary'!$Y$6:$AC$83, 3,FALSE),"")</f>
        <v/>
      </c>
      <c r="U2784" s="45" t="str">
        <f>IFERROR(VLOOKUP(B2784,'Pre-Summary'!$Y$6:$AC$83, 4,FALSE),"")</f>
        <v/>
      </c>
      <c r="V2784" t="str">
        <f>IFERROR(VLOOKUP(B2784,'Pre-Summary'!$Y$6:$AC$83, 5,FALSE),"")</f>
        <v/>
      </c>
      <c r="W2784" s="45" t="str">
        <f>IFERROR(VLOOKUP(B2784,'Pre-Summary'!$Y$6:$AD$83,6,FALSE),"")</f>
        <v/>
      </c>
      <c r="X2784" t="str">
        <f>IFERROR(VLOOKUP('Pre-Summary'!$DB$6:$DD$63,3,FALSE),"")</f>
        <v/>
      </c>
      <c r="Y2784" t="str">
        <f>IFERROR(VLOOKUP(B2784,'Pre-Summary'!$CR$6:$CT$36,3,FALSE),"")</f>
        <v/>
      </c>
      <c r="Z2784" s="45" t="str">
        <f>IFERROR(VLOOKUP(B2784,'Pre-Summary'!$BZ$6:$CB$63,2,FALSE),"")</f>
        <v/>
      </c>
      <c r="AA2784" s="45" t="str">
        <f>IFERROR(VLOOKUP(B2784,'Pre-Summary'!$CG$6:$CI$70,2,FALSE),"")</f>
        <v/>
      </c>
      <c r="AB2784" s="99">
        <f>IFERROR(VLOOKUP(B2784,'Pre-Summary'!$A$6:$P$178,9,FALSE),AB2785)</f>
        <v>0.7010379290946207</v>
      </c>
      <c r="AC2784" s="10">
        <f>IFERROR(VLOOKUP(Summary!B2784,'Pre-Summary'!$A$6:$P$184,5, FALSE)/100,AC2785)</f>
        <v>0.92607166666666674</v>
      </c>
      <c r="AD2784" s="10">
        <f>IFERROR(VLOOKUP(Summary!B2784,'Pre-Summary'!$A$6:$P$184,3, FALSE)/100,AD2785)</f>
        <v>5.4963666666666668E-2</v>
      </c>
      <c r="AE2784" s="10">
        <f>IFERROR(VLOOKUP(Summary!B2784,'Pre-Summary'!$A$6:$P$184,7, FALSE)/100,AE2785)</f>
        <v>1.8946666666666667E-2</v>
      </c>
      <c r="AF2784" s="99">
        <f t="shared" si="130"/>
        <v>3.8531615055447034E-2</v>
      </c>
      <c r="AG2784" s="99">
        <f t="shared" si="131"/>
        <v>1.3282331963246082E-2</v>
      </c>
      <c r="AH2784" s="10" t="str">
        <f>IFERROR(VLOOKUP(B2784,'Pre-Summary'!$AZ$6:$BE$65,3,FALSE),"")</f>
        <v/>
      </c>
      <c r="AI2784" s="10" t="str">
        <f>IFERROR(VLOOKUP(B2784,'Pre-Summary'!$AZ$6:$BE$65,5,FALSE),"")</f>
        <v/>
      </c>
      <c r="AJ2784" s="10" t="str">
        <f>IFERROR(VLOOKUP(B2784,'Pre-Summary'!$AZ$6:$BE$65,4,FALSE),"")</f>
        <v/>
      </c>
      <c r="AK2784" s="10" t="str">
        <f>IFERROR(VLOOKUP(B2784,'Pre-Summary'!$AZ$6:$BE$65,6,FALSE),"")</f>
        <v/>
      </c>
      <c r="AL2784" s="10" t="str">
        <f>IFERROR(VLOOKUP(B2784,'Pre-Summary'!$BG$6:$BL$44,3,FALSE),"")</f>
        <v/>
      </c>
      <c r="AM2784" s="10" t="str">
        <f>IFERROR(VLOOKUP(B2784,'Pre-Summary'!$BG$6:$BL$44,4,FALSE),"")</f>
        <v/>
      </c>
    </row>
    <row r="2785" spans="2:39" ht="15" customHeight="1" x14ac:dyDescent="0.3">
      <c r="B2785">
        <v>278.2</v>
      </c>
      <c r="C2785" t="str">
        <f>IFERROR(VLOOKUP(B2785,'Pre-Summary'!$DI$6:$DM$23,4,FALSE),"")</f>
        <v/>
      </c>
      <c r="D2785" s="10" t="str">
        <f>IFERROR(VLOOKUP(B2785,'Pre-Summary'!$AT$6:$AX$14,5,FALSE),D2784)</f>
        <v>Wolfe v3: went back to modified wolfe + EDTA and switched CuSO4 to CUCl2</v>
      </c>
      <c r="E2785" s="10" t="str">
        <f>IFERROR(VLOOKUP(B2785,'Pre-Summary'!$AT$6:$AX$15,4,FALSE),"")</f>
        <v/>
      </c>
      <c r="F2785">
        <f>IFERROR(VLOOKUP(B2785,'Pre-Summary'!$AL$6:$AQ$13,6,FALSE),F2784)</f>
        <v>5.9405263157894746E-2</v>
      </c>
      <c r="G2785" t="str">
        <f>IFERROR(VLOOKUP(B2785,'Pre-Summary'!$AE$6:$AJ$85,3,FALSE),"")</f>
        <v/>
      </c>
      <c r="H2785" t="str">
        <f>IFERROR(VLOOKUP(B2785,'Pre-Summary'!$AE$6:$AJ$85,4,FALSE),"")</f>
        <v/>
      </c>
      <c r="I2785" t="str">
        <f>IFERROR(VLOOKUP(B2785,'Pre-Summary'!$AE$6:$AJ$85,5,FALSE),"")</f>
        <v/>
      </c>
      <c r="J2785" s="45" t="str">
        <f>IFERROR(VLOOKUP(B2785,'Pre-Summary'!$AE$6:$AJ$85,6, FALSE),"")</f>
        <v/>
      </c>
      <c r="K2785" s="45" t="str">
        <f>IFERROR(VLOOKUP(B2785,'Pre-Summary'!$DE$6:$DG$61,3,FALSE),"")</f>
        <v/>
      </c>
      <c r="L2785" s="45" t="str">
        <f>IFERROR(VLOOKUP(B2785,'Pre-Summary'!$CU$6:$CW$36,3,FALSE),"")</f>
        <v/>
      </c>
      <c r="M2785" s="45" t="str">
        <f>IFERROR(VLOOKUP(B2785,'Pre-Summary'!$BW$6:$BY$58,2,FALSE),"")</f>
        <v/>
      </c>
      <c r="N2785" s="45" t="str">
        <f>IFERROR(VLOOKUP(B2785,'Pre-Summary'!$CD$6:$CF$64,2,FALSE),"")</f>
        <v/>
      </c>
      <c r="O2785" s="99">
        <f>IFERROR(VLOOKUP(B2785,'Pre-Summary'!$BO$6:$BQ$48,3, FALSE),O2784)</f>
        <v>2.1030000000000002</v>
      </c>
      <c r="P2785" s="99">
        <f>IFERROR(VLOOKUP(B2785,'Pre-Summary'!$BS$6:$BU$35,3,FALSE),P2784)</f>
        <v>0.53100000000000003</v>
      </c>
      <c r="Q2785" s="54">
        <f t="shared" si="129"/>
        <v>3.9604519774011302</v>
      </c>
      <c r="R2785" s="53">
        <f>IFERROR(VLOOKUP(B2785,'Pre-Summary'!$BG$6:$BM$44,7,FALSE),R2786)</f>
        <v>9.5351142367257502E-2</v>
      </c>
      <c r="S2785" s="53">
        <f>IFERROR(VLOOKUP(B2785,'Pre-Summary'!$BG$6:$BM$44,6,FALSE),S2786)</f>
        <v>0.10009321836402316</v>
      </c>
      <c r="T2785" s="45" t="str">
        <f>IFERROR(VLOOKUP(B2785,'Pre-Summary'!$Y$6:$AC$83, 3,FALSE),"")</f>
        <v/>
      </c>
      <c r="U2785" s="45" t="str">
        <f>IFERROR(VLOOKUP(B2785,'Pre-Summary'!$Y$6:$AC$83, 4,FALSE),"")</f>
        <v/>
      </c>
      <c r="V2785" t="str">
        <f>IFERROR(VLOOKUP(B2785,'Pre-Summary'!$Y$6:$AC$83, 5,FALSE),"")</f>
        <v/>
      </c>
      <c r="W2785" s="45" t="str">
        <f>IFERROR(VLOOKUP(B2785,'Pre-Summary'!$Y$6:$AD$83,6,FALSE),"")</f>
        <v/>
      </c>
      <c r="X2785" t="str">
        <f>IFERROR(VLOOKUP('Pre-Summary'!$DB$6:$DD$63,3,FALSE),"")</f>
        <v/>
      </c>
      <c r="Y2785" t="str">
        <f>IFERROR(VLOOKUP(B2785,'Pre-Summary'!$CR$6:$CT$36,3,FALSE),"")</f>
        <v/>
      </c>
      <c r="Z2785" s="45" t="str">
        <f>IFERROR(VLOOKUP(B2785,'Pre-Summary'!$BZ$6:$CB$63,2,FALSE),"")</f>
        <v/>
      </c>
      <c r="AA2785" s="45" t="str">
        <f>IFERROR(VLOOKUP(B2785,'Pre-Summary'!$CG$6:$CI$70,2,FALSE),"")</f>
        <v/>
      </c>
      <c r="AB2785" s="99">
        <f>IFERROR(VLOOKUP(B2785,'Pre-Summary'!$A$6:$P$178,9,FALSE),AB2786)</f>
        <v>0.7010379290946207</v>
      </c>
      <c r="AC2785" s="10">
        <f>IFERROR(VLOOKUP(Summary!B2785,'Pre-Summary'!$A$6:$P$184,5, FALSE)/100,AC2786)</f>
        <v>0.92607166666666674</v>
      </c>
      <c r="AD2785" s="10">
        <f>IFERROR(VLOOKUP(Summary!B2785,'Pre-Summary'!$A$6:$P$184,3, FALSE)/100,AD2786)</f>
        <v>5.4963666666666668E-2</v>
      </c>
      <c r="AE2785" s="10">
        <f>IFERROR(VLOOKUP(Summary!B2785,'Pre-Summary'!$A$6:$P$184,7, FALSE)/100,AE2786)</f>
        <v>1.8946666666666667E-2</v>
      </c>
      <c r="AF2785" s="99">
        <f t="shared" si="130"/>
        <v>3.8531615055447034E-2</v>
      </c>
      <c r="AG2785" s="99">
        <f t="shared" si="131"/>
        <v>1.3282331963246082E-2</v>
      </c>
      <c r="AH2785" s="10" t="str">
        <f>IFERROR(VLOOKUP(B2785,'Pre-Summary'!$AZ$6:$BE$65,3,FALSE),"")</f>
        <v/>
      </c>
      <c r="AI2785" s="10" t="str">
        <f>IFERROR(VLOOKUP(B2785,'Pre-Summary'!$AZ$6:$BE$65,5,FALSE),"")</f>
        <v/>
      </c>
      <c r="AJ2785" s="10" t="str">
        <f>IFERROR(VLOOKUP(B2785,'Pre-Summary'!$AZ$6:$BE$65,4,FALSE),"")</f>
        <v/>
      </c>
      <c r="AK2785" s="10" t="str">
        <f>IFERROR(VLOOKUP(B2785,'Pre-Summary'!$AZ$6:$BE$65,6,FALSE),"")</f>
        <v/>
      </c>
      <c r="AL2785" s="10" t="str">
        <f>IFERROR(VLOOKUP(B2785,'Pre-Summary'!$BG$6:$BL$44,3,FALSE),"")</f>
        <v/>
      </c>
      <c r="AM2785" s="10" t="str">
        <f>IFERROR(VLOOKUP(B2785,'Pre-Summary'!$BG$6:$BL$44,4,FALSE),"")</f>
        <v/>
      </c>
    </row>
    <row r="2786" spans="2:39" ht="15" customHeight="1" x14ac:dyDescent="0.3">
      <c r="B2786">
        <v>278.3</v>
      </c>
      <c r="C2786" t="str">
        <f>IFERROR(VLOOKUP(B2786,'Pre-Summary'!$DI$6:$DM$23,4,FALSE),"")</f>
        <v/>
      </c>
      <c r="D2786" s="10" t="str">
        <f>IFERROR(VLOOKUP(B2786,'Pre-Summary'!$AT$6:$AX$14,5,FALSE),D2785)</f>
        <v>Wolfe v3: went back to modified wolfe + EDTA and switched CuSO4 to CUCl2</v>
      </c>
      <c r="E2786" s="10" t="str">
        <f>IFERROR(VLOOKUP(B2786,'Pre-Summary'!$AT$6:$AX$15,4,FALSE),"")</f>
        <v/>
      </c>
      <c r="F2786">
        <f>IFERROR(VLOOKUP(B2786,'Pre-Summary'!$AL$6:$AQ$13,6,FALSE),F2785)</f>
        <v>5.9405263157894746E-2</v>
      </c>
      <c r="G2786" t="str">
        <f>IFERROR(VLOOKUP(B2786,'Pre-Summary'!$AE$6:$AJ$85,3,FALSE),"")</f>
        <v/>
      </c>
      <c r="H2786" t="str">
        <f>IFERROR(VLOOKUP(B2786,'Pre-Summary'!$AE$6:$AJ$85,4,FALSE),"")</f>
        <v/>
      </c>
      <c r="I2786" t="str">
        <f>IFERROR(VLOOKUP(B2786,'Pre-Summary'!$AE$6:$AJ$85,5,FALSE),"")</f>
        <v/>
      </c>
      <c r="J2786" s="45" t="str">
        <f>IFERROR(VLOOKUP(B2786,'Pre-Summary'!$AE$6:$AJ$85,6, FALSE),"")</f>
        <v/>
      </c>
      <c r="K2786" s="45" t="str">
        <f>IFERROR(VLOOKUP(B2786,'Pre-Summary'!$DE$6:$DG$61,3,FALSE),"")</f>
        <v/>
      </c>
      <c r="L2786" s="45" t="str">
        <f>IFERROR(VLOOKUP(B2786,'Pre-Summary'!$CU$6:$CW$36,3,FALSE),"")</f>
        <v/>
      </c>
      <c r="M2786" s="45" t="str">
        <f>IFERROR(VLOOKUP(B2786,'Pre-Summary'!$BW$6:$BY$58,2,FALSE),"")</f>
        <v/>
      </c>
      <c r="N2786" s="45" t="str">
        <f>IFERROR(VLOOKUP(B2786,'Pre-Summary'!$CD$6:$CF$64,2,FALSE),"")</f>
        <v/>
      </c>
      <c r="O2786" s="99">
        <f>IFERROR(VLOOKUP(B2786,'Pre-Summary'!$BO$6:$BQ$48,3, FALSE),O2785)</f>
        <v>2.1030000000000002</v>
      </c>
      <c r="P2786" s="99">
        <f>IFERROR(VLOOKUP(B2786,'Pre-Summary'!$BS$6:$BU$35,3,FALSE),P2785)</f>
        <v>0.53100000000000003</v>
      </c>
      <c r="Q2786" s="54">
        <f t="shared" si="129"/>
        <v>3.9604519774011302</v>
      </c>
      <c r="R2786" s="53">
        <f>IFERROR(VLOOKUP(B2786,'Pre-Summary'!$BG$6:$BM$44,7,FALSE),R2787)</f>
        <v>9.5351142367257502E-2</v>
      </c>
      <c r="S2786" s="53">
        <f>IFERROR(VLOOKUP(B2786,'Pre-Summary'!$BG$6:$BM$44,6,FALSE),S2787)</f>
        <v>0.10009321836402316</v>
      </c>
      <c r="T2786" s="45" t="str">
        <f>IFERROR(VLOOKUP(B2786,'Pre-Summary'!$Y$6:$AC$83, 3,FALSE),"")</f>
        <v/>
      </c>
      <c r="U2786" s="45" t="str">
        <f>IFERROR(VLOOKUP(B2786,'Pre-Summary'!$Y$6:$AC$83, 4,FALSE),"")</f>
        <v/>
      </c>
      <c r="V2786" t="str">
        <f>IFERROR(VLOOKUP(B2786,'Pre-Summary'!$Y$6:$AC$83, 5,FALSE),"")</f>
        <v/>
      </c>
      <c r="W2786" s="45" t="str">
        <f>IFERROR(VLOOKUP(B2786,'Pre-Summary'!$Y$6:$AD$83,6,FALSE),"")</f>
        <v/>
      </c>
      <c r="X2786" t="str">
        <f>IFERROR(VLOOKUP('Pre-Summary'!$DB$6:$DD$63,3,FALSE),"")</f>
        <v/>
      </c>
      <c r="Y2786" t="str">
        <f>IFERROR(VLOOKUP(B2786,'Pre-Summary'!$CR$6:$CT$36,3,FALSE),"")</f>
        <v/>
      </c>
      <c r="Z2786" s="45" t="str">
        <f>IFERROR(VLOOKUP(B2786,'Pre-Summary'!$BZ$6:$CB$63,2,FALSE),"")</f>
        <v/>
      </c>
      <c r="AA2786" s="45" t="str">
        <f>IFERROR(VLOOKUP(B2786,'Pre-Summary'!$CG$6:$CI$70,2,FALSE),"")</f>
        <v/>
      </c>
      <c r="AB2786" s="99">
        <f>IFERROR(VLOOKUP(B2786,'Pre-Summary'!$A$6:$P$178,9,FALSE),AB2787)</f>
        <v>0.7010379290946207</v>
      </c>
      <c r="AC2786" s="10">
        <f>IFERROR(VLOOKUP(Summary!B2786,'Pre-Summary'!$A$6:$P$184,5, FALSE)/100,AC2787)</f>
        <v>0.92607166666666674</v>
      </c>
      <c r="AD2786" s="10">
        <f>IFERROR(VLOOKUP(Summary!B2786,'Pre-Summary'!$A$6:$P$184,3, FALSE)/100,AD2787)</f>
        <v>5.4963666666666668E-2</v>
      </c>
      <c r="AE2786" s="10">
        <f>IFERROR(VLOOKUP(Summary!B2786,'Pre-Summary'!$A$6:$P$184,7, FALSE)/100,AE2787)</f>
        <v>1.8946666666666667E-2</v>
      </c>
      <c r="AF2786" s="99">
        <f t="shared" si="130"/>
        <v>3.8531615055447034E-2</v>
      </c>
      <c r="AG2786" s="99">
        <f t="shared" si="131"/>
        <v>1.3282331963246082E-2</v>
      </c>
      <c r="AH2786" s="10" t="str">
        <f>IFERROR(VLOOKUP(B2786,'Pre-Summary'!$AZ$6:$BE$65,3,FALSE),"")</f>
        <v/>
      </c>
      <c r="AI2786" s="10" t="str">
        <f>IFERROR(VLOOKUP(B2786,'Pre-Summary'!$AZ$6:$BE$65,5,FALSE),"")</f>
        <v/>
      </c>
      <c r="AJ2786" s="10" t="str">
        <f>IFERROR(VLOOKUP(B2786,'Pre-Summary'!$AZ$6:$BE$65,4,FALSE),"")</f>
        <v/>
      </c>
      <c r="AK2786" s="10" t="str">
        <f>IFERROR(VLOOKUP(B2786,'Pre-Summary'!$AZ$6:$BE$65,6,FALSE),"")</f>
        <v/>
      </c>
      <c r="AL2786" s="10" t="str">
        <f>IFERROR(VLOOKUP(B2786,'Pre-Summary'!$BG$6:$BL$44,3,FALSE),"")</f>
        <v/>
      </c>
      <c r="AM2786" s="10" t="str">
        <f>IFERROR(VLOOKUP(B2786,'Pre-Summary'!$BG$6:$BL$44,4,FALSE),"")</f>
        <v/>
      </c>
    </row>
    <row r="2787" spans="2:39" ht="15" customHeight="1" x14ac:dyDescent="0.3">
      <c r="B2787">
        <v>278.39999999999998</v>
      </c>
      <c r="C2787" t="str">
        <f>IFERROR(VLOOKUP(B2787,'Pre-Summary'!$DI$6:$DM$23,4,FALSE),"")</f>
        <v/>
      </c>
      <c r="D2787" s="10" t="str">
        <f>IFERROR(VLOOKUP(B2787,'Pre-Summary'!$AT$6:$AX$14,5,FALSE),D2786)</f>
        <v>Wolfe v3: went back to modified wolfe + EDTA and switched CuSO4 to CUCl2</v>
      </c>
      <c r="E2787" s="10" t="str">
        <f>IFERROR(VLOOKUP(B2787,'Pre-Summary'!$AT$6:$AX$15,4,FALSE),"")</f>
        <v/>
      </c>
      <c r="F2787">
        <f>IFERROR(VLOOKUP(B2787,'Pre-Summary'!$AL$6:$AQ$13,6,FALSE),F2786)</f>
        <v>5.9405263157894746E-2</v>
      </c>
      <c r="G2787" t="str">
        <f>IFERROR(VLOOKUP(B2787,'Pre-Summary'!$AE$6:$AJ$85,3,FALSE),"")</f>
        <v/>
      </c>
      <c r="H2787" t="str">
        <f>IFERROR(VLOOKUP(B2787,'Pre-Summary'!$AE$6:$AJ$85,4,FALSE),"")</f>
        <v/>
      </c>
      <c r="I2787" t="str">
        <f>IFERROR(VLOOKUP(B2787,'Pre-Summary'!$AE$6:$AJ$85,5,FALSE),"")</f>
        <v/>
      </c>
      <c r="J2787" s="45" t="str">
        <f>IFERROR(VLOOKUP(B2787,'Pre-Summary'!$AE$6:$AJ$85,6, FALSE),"")</f>
        <v/>
      </c>
      <c r="K2787" s="45" t="str">
        <f>IFERROR(VLOOKUP(B2787,'Pre-Summary'!$DE$6:$DG$61,3,FALSE),"")</f>
        <v/>
      </c>
      <c r="L2787" s="45" t="str">
        <f>IFERROR(VLOOKUP(B2787,'Pre-Summary'!$CU$6:$CW$36,3,FALSE),"")</f>
        <v/>
      </c>
      <c r="M2787" s="45" t="str">
        <f>IFERROR(VLOOKUP(B2787,'Pre-Summary'!$BW$6:$BY$58,2,FALSE),"")</f>
        <v/>
      </c>
      <c r="N2787" s="45" t="str">
        <f>IFERROR(VLOOKUP(B2787,'Pre-Summary'!$CD$6:$CF$64,2,FALSE),"")</f>
        <v/>
      </c>
      <c r="O2787" s="99">
        <f>IFERROR(VLOOKUP(B2787,'Pre-Summary'!$BO$6:$BQ$48,3, FALSE),O2786)</f>
        <v>2.1030000000000002</v>
      </c>
      <c r="P2787" s="99">
        <f>IFERROR(VLOOKUP(B2787,'Pre-Summary'!$BS$6:$BU$35,3,FALSE),P2786)</f>
        <v>0.53100000000000003</v>
      </c>
      <c r="Q2787" s="54">
        <f t="shared" si="129"/>
        <v>3.9604519774011302</v>
      </c>
      <c r="R2787" s="53">
        <f>IFERROR(VLOOKUP(B2787,'Pre-Summary'!$BG$6:$BM$44,7,FALSE),R2788)</f>
        <v>9.5351142367257502E-2</v>
      </c>
      <c r="S2787" s="53">
        <f>IFERROR(VLOOKUP(B2787,'Pre-Summary'!$BG$6:$BM$44,6,FALSE),S2788)</f>
        <v>0.10009321836402316</v>
      </c>
      <c r="T2787" s="45" t="str">
        <f>IFERROR(VLOOKUP(B2787,'Pre-Summary'!$Y$6:$AC$83, 3,FALSE),"")</f>
        <v/>
      </c>
      <c r="U2787" s="45" t="str">
        <f>IFERROR(VLOOKUP(B2787,'Pre-Summary'!$Y$6:$AC$83, 4,FALSE),"")</f>
        <v/>
      </c>
      <c r="V2787" t="str">
        <f>IFERROR(VLOOKUP(B2787,'Pre-Summary'!$Y$6:$AC$83, 5,FALSE),"")</f>
        <v/>
      </c>
      <c r="W2787" s="45" t="str">
        <f>IFERROR(VLOOKUP(B2787,'Pre-Summary'!$Y$6:$AD$83,6,FALSE),"")</f>
        <v/>
      </c>
      <c r="X2787" t="str">
        <f>IFERROR(VLOOKUP('Pre-Summary'!$DB$6:$DD$63,3,FALSE),"")</f>
        <v/>
      </c>
      <c r="Y2787" t="str">
        <f>IFERROR(VLOOKUP(B2787,'Pre-Summary'!$CR$6:$CT$36,3,FALSE),"")</f>
        <v/>
      </c>
      <c r="Z2787" s="45" t="str">
        <f>IFERROR(VLOOKUP(B2787,'Pre-Summary'!$BZ$6:$CB$63,2,FALSE),"")</f>
        <v/>
      </c>
      <c r="AA2787" s="45" t="str">
        <f>IFERROR(VLOOKUP(B2787,'Pre-Summary'!$CG$6:$CI$70,2,FALSE),"")</f>
        <v/>
      </c>
      <c r="AB2787" s="99">
        <f>IFERROR(VLOOKUP(B2787,'Pre-Summary'!$A$6:$P$178,9,FALSE),AB2788)</f>
        <v>0.7010379290946207</v>
      </c>
      <c r="AC2787" s="10">
        <f>IFERROR(VLOOKUP(Summary!B2787,'Pre-Summary'!$A$6:$P$184,5, FALSE)/100,AC2788)</f>
        <v>0.92607166666666674</v>
      </c>
      <c r="AD2787" s="10">
        <f>IFERROR(VLOOKUP(Summary!B2787,'Pre-Summary'!$A$6:$P$184,3, FALSE)/100,AD2788)</f>
        <v>5.4963666666666668E-2</v>
      </c>
      <c r="AE2787" s="10">
        <f>IFERROR(VLOOKUP(Summary!B2787,'Pre-Summary'!$A$6:$P$184,7, FALSE)/100,AE2788)</f>
        <v>1.8946666666666667E-2</v>
      </c>
      <c r="AF2787" s="99">
        <f t="shared" si="130"/>
        <v>3.8531615055447034E-2</v>
      </c>
      <c r="AG2787" s="99">
        <f t="shared" si="131"/>
        <v>1.3282331963246082E-2</v>
      </c>
      <c r="AH2787" s="10" t="str">
        <f>IFERROR(VLOOKUP(B2787,'Pre-Summary'!$AZ$6:$BE$65,3,FALSE),"")</f>
        <v/>
      </c>
      <c r="AI2787" s="10" t="str">
        <f>IFERROR(VLOOKUP(B2787,'Pre-Summary'!$AZ$6:$BE$65,5,FALSE),"")</f>
        <v/>
      </c>
      <c r="AJ2787" s="10" t="str">
        <f>IFERROR(VLOOKUP(B2787,'Pre-Summary'!$AZ$6:$BE$65,4,FALSE),"")</f>
        <v/>
      </c>
      <c r="AK2787" s="10" t="str">
        <f>IFERROR(VLOOKUP(B2787,'Pre-Summary'!$AZ$6:$BE$65,6,FALSE),"")</f>
        <v/>
      </c>
      <c r="AL2787" s="10" t="str">
        <f>IFERROR(VLOOKUP(B2787,'Pre-Summary'!$BG$6:$BL$44,3,FALSE),"")</f>
        <v/>
      </c>
      <c r="AM2787" s="10" t="str">
        <f>IFERROR(VLOOKUP(B2787,'Pre-Summary'!$BG$6:$BL$44,4,FALSE),"")</f>
        <v/>
      </c>
    </row>
    <row r="2788" spans="2:39" ht="15" customHeight="1" x14ac:dyDescent="0.3">
      <c r="B2788">
        <v>278.5</v>
      </c>
      <c r="C2788" t="str">
        <f>IFERROR(VLOOKUP(B2788,'Pre-Summary'!$DI$6:$DM$23,4,FALSE),"")</f>
        <v/>
      </c>
      <c r="D2788" s="10" t="str">
        <f>IFERROR(VLOOKUP(B2788,'Pre-Summary'!$AT$6:$AX$14,5,FALSE),D2787)</f>
        <v>Wolfe v3: went back to modified wolfe + EDTA and switched CuSO4 to CUCl2</v>
      </c>
      <c r="E2788" s="10" t="str">
        <f>IFERROR(VLOOKUP(B2788,'Pre-Summary'!$AT$6:$AX$15,4,FALSE),"")</f>
        <v/>
      </c>
      <c r="F2788">
        <f>IFERROR(VLOOKUP(B2788,'Pre-Summary'!$AL$6:$AQ$13,6,FALSE),F2787)</f>
        <v>5.9405263157894746E-2</v>
      </c>
      <c r="G2788">
        <f>IFERROR(VLOOKUP(B2788,'Pre-Summary'!$AE$6:$AJ$85,3,FALSE),"")</f>
        <v>61.925062310000001</v>
      </c>
      <c r="H2788">
        <f>IFERROR(VLOOKUP(B2788,'Pre-Summary'!$AE$6:$AJ$85,4,FALSE),"")</f>
        <v>0.69634606899999996</v>
      </c>
      <c r="I2788" t="str">
        <f>IFERROR(VLOOKUP(B2788,'Pre-Summary'!$AE$6:$AJ$85,5,FALSE),"")</f>
        <v/>
      </c>
      <c r="J2788" s="45">
        <f>IFERROR(VLOOKUP(B2788,'Pre-Summary'!$AE$6:$AJ$85,6, FALSE),"")</f>
        <v>66.074041484769992</v>
      </c>
      <c r="K2788" s="45" t="str">
        <f>IFERROR(VLOOKUP(B2788,'Pre-Summary'!$DE$6:$DG$61,3,FALSE),"")</f>
        <v/>
      </c>
      <c r="L2788" s="45" t="str">
        <f>IFERROR(VLOOKUP(B2788,'Pre-Summary'!$CU$6:$CW$36,3,FALSE),"")</f>
        <v/>
      </c>
      <c r="M2788" s="45" t="str">
        <f>IFERROR(VLOOKUP(B2788,'Pre-Summary'!$BW$6:$BY$58,2,FALSE),"")</f>
        <v/>
      </c>
      <c r="N2788" s="45" t="str">
        <f>IFERROR(VLOOKUP(B2788,'Pre-Summary'!$CD$6:$CF$64,2,FALSE),"")</f>
        <v/>
      </c>
      <c r="O2788" s="99">
        <f>IFERROR(VLOOKUP(B2788,'Pre-Summary'!$BO$6:$BQ$48,3, FALSE),O2787)</f>
        <v>2.1030000000000002</v>
      </c>
      <c r="P2788" s="99">
        <f>IFERROR(VLOOKUP(B2788,'Pre-Summary'!$BS$6:$BU$35,3,FALSE),P2787)</f>
        <v>0.53100000000000003</v>
      </c>
      <c r="Q2788" s="54">
        <f t="shared" si="129"/>
        <v>3.9604519774011302</v>
      </c>
      <c r="R2788" s="53">
        <f>IFERROR(VLOOKUP(B2788,'Pre-Summary'!$BG$6:$BM$44,7,FALSE),R2789)</f>
        <v>9.5351142367257502E-2</v>
      </c>
      <c r="S2788" s="53">
        <f>IFERROR(VLOOKUP(B2788,'Pre-Summary'!$BG$6:$BM$44,6,FALSE),S2789)</f>
        <v>0.10009321836402316</v>
      </c>
      <c r="T2788" s="45">
        <f>IFERROR(VLOOKUP(B2788,'Pre-Summary'!$Y$6:$AC$83, 3,FALSE),"")</f>
        <v>2.3629257049999999</v>
      </c>
      <c r="U2788" s="45" t="str">
        <f>IFERROR(VLOOKUP(B2788,'Pre-Summary'!$Y$6:$AC$83, 4,FALSE),"")</f>
        <v/>
      </c>
      <c r="V2788" t="str">
        <f>IFERROR(VLOOKUP(B2788,'Pre-Summary'!$Y$6:$AC$83, 5,FALSE),"")</f>
        <v/>
      </c>
      <c r="W2788" s="45">
        <f>IFERROR(VLOOKUP(B2788,'Pre-Summary'!$Y$6:$AD$83,6,FALSE),"")</f>
        <v>2.5212417272349996</v>
      </c>
      <c r="X2788" t="str">
        <f>IFERROR(VLOOKUP('Pre-Summary'!$DB$6:$DD$63,3,FALSE),"")</f>
        <v/>
      </c>
      <c r="Y2788" t="str">
        <f>IFERROR(VLOOKUP(B2788,'Pre-Summary'!$CR$6:$CT$36,3,FALSE),"")</f>
        <v/>
      </c>
      <c r="Z2788" s="45" t="str">
        <f>IFERROR(VLOOKUP(B2788,'Pre-Summary'!$BZ$6:$CB$63,2,FALSE),"")</f>
        <v/>
      </c>
      <c r="AA2788" s="45" t="str">
        <f>IFERROR(VLOOKUP(B2788,'Pre-Summary'!$CG$6:$CI$70,2,FALSE),"")</f>
        <v/>
      </c>
      <c r="AB2788" s="99">
        <f>IFERROR(VLOOKUP(B2788,'Pre-Summary'!$A$6:$P$178,9,FALSE),AB2789)</f>
        <v>0.7010379290946207</v>
      </c>
      <c r="AC2788" s="10">
        <f>IFERROR(VLOOKUP(Summary!B2788,'Pre-Summary'!$A$6:$P$184,5, FALSE)/100,AC2789)</f>
        <v>0.92607166666666674</v>
      </c>
      <c r="AD2788" s="10">
        <f>IFERROR(VLOOKUP(Summary!B2788,'Pre-Summary'!$A$6:$P$184,3, FALSE)/100,AD2789)</f>
        <v>5.4963666666666668E-2</v>
      </c>
      <c r="AE2788" s="10">
        <f>IFERROR(VLOOKUP(Summary!B2788,'Pre-Summary'!$A$6:$P$184,7, FALSE)/100,AE2789)</f>
        <v>1.8946666666666667E-2</v>
      </c>
      <c r="AF2788" s="99">
        <f t="shared" si="130"/>
        <v>3.8531615055447034E-2</v>
      </c>
      <c r="AG2788" s="99">
        <f t="shared" si="131"/>
        <v>1.3282331963246082E-2</v>
      </c>
      <c r="AH2788" s="10" t="str">
        <f>IFERROR(VLOOKUP(B2788,'Pre-Summary'!$AZ$6:$BE$65,3,FALSE),"")</f>
        <v/>
      </c>
      <c r="AI2788" s="10" t="str">
        <f>IFERROR(VLOOKUP(B2788,'Pre-Summary'!$AZ$6:$BE$65,5,FALSE),"")</f>
        <v/>
      </c>
      <c r="AJ2788" s="10" t="str">
        <f>IFERROR(VLOOKUP(B2788,'Pre-Summary'!$AZ$6:$BE$65,4,FALSE),"")</f>
        <v/>
      </c>
      <c r="AK2788" s="10" t="str">
        <f>IFERROR(VLOOKUP(B2788,'Pre-Summary'!$AZ$6:$BE$65,6,FALSE),"")</f>
        <v/>
      </c>
      <c r="AL2788" s="10" t="str">
        <f>IFERROR(VLOOKUP(B2788,'Pre-Summary'!$BG$6:$BL$44,3,FALSE),"")</f>
        <v/>
      </c>
      <c r="AM2788" s="10" t="str">
        <f>IFERROR(VLOOKUP(B2788,'Pre-Summary'!$BG$6:$BL$44,4,FALSE),"")</f>
        <v/>
      </c>
    </row>
    <row r="2789" spans="2:39" ht="15" customHeight="1" x14ac:dyDescent="0.3">
      <c r="B2789">
        <v>278.60000000000002</v>
      </c>
      <c r="C2789" t="str">
        <f>IFERROR(VLOOKUP(B2789,'Pre-Summary'!$DI$6:$DM$23,4,FALSE),"")</f>
        <v/>
      </c>
      <c r="D2789" s="10" t="str">
        <f>IFERROR(VLOOKUP(B2789,'Pre-Summary'!$AT$6:$AX$14,5,FALSE),D2788)</f>
        <v>Wolfe v3: went back to modified wolfe + EDTA and switched CuSO4 to CUCl2</v>
      </c>
      <c r="E2789" s="10" t="str">
        <f>IFERROR(VLOOKUP(B2789,'Pre-Summary'!$AT$6:$AX$15,4,FALSE),"")</f>
        <v/>
      </c>
      <c r="F2789">
        <f>IFERROR(VLOOKUP(B2789,'Pre-Summary'!$AL$6:$AQ$13,6,FALSE),F2788)</f>
        <v>5.9405263157894746E-2</v>
      </c>
      <c r="G2789" t="str">
        <f>IFERROR(VLOOKUP(B2789,'Pre-Summary'!$AE$6:$AJ$85,3,FALSE),"")</f>
        <v/>
      </c>
      <c r="H2789" t="str">
        <f>IFERROR(VLOOKUP(B2789,'Pre-Summary'!$AE$6:$AJ$85,4,FALSE),"")</f>
        <v/>
      </c>
      <c r="I2789" t="str">
        <f>IFERROR(VLOOKUP(B2789,'Pre-Summary'!$AE$6:$AJ$85,5,FALSE),"")</f>
        <v/>
      </c>
      <c r="J2789" s="45" t="str">
        <f>IFERROR(VLOOKUP(B2789,'Pre-Summary'!$AE$6:$AJ$85,6, FALSE),"")</f>
        <v/>
      </c>
      <c r="K2789" s="45" t="str">
        <f>IFERROR(VLOOKUP(B2789,'Pre-Summary'!$DE$6:$DG$61,3,FALSE),"")</f>
        <v/>
      </c>
      <c r="L2789" s="45" t="str">
        <f>IFERROR(VLOOKUP(B2789,'Pre-Summary'!$CU$6:$CW$36,3,FALSE),"")</f>
        <v/>
      </c>
      <c r="M2789" s="45" t="str">
        <f>IFERROR(VLOOKUP(B2789,'Pre-Summary'!$BW$6:$BY$58,2,FALSE),"")</f>
        <v/>
      </c>
      <c r="N2789" s="45" t="str">
        <f>IFERROR(VLOOKUP(B2789,'Pre-Summary'!$CD$6:$CF$64,2,FALSE),"")</f>
        <v/>
      </c>
      <c r="O2789" s="99">
        <f>IFERROR(VLOOKUP(B2789,'Pre-Summary'!$BO$6:$BQ$48,3, FALSE),O2788)</f>
        <v>2.1030000000000002</v>
      </c>
      <c r="P2789" s="99">
        <f>IFERROR(VLOOKUP(B2789,'Pre-Summary'!$BS$6:$BU$35,3,FALSE),P2788)</f>
        <v>0.53100000000000003</v>
      </c>
      <c r="Q2789" s="54">
        <f t="shared" si="129"/>
        <v>3.9604519774011302</v>
      </c>
      <c r="R2789" s="53">
        <f>IFERROR(VLOOKUP(B2789,'Pre-Summary'!$BG$6:$BM$44,7,FALSE),R2790)</f>
        <v>9.5351142367257502E-2</v>
      </c>
      <c r="S2789" s="53">
        <f>IFERROR(VLOOKUP(B2789,'Pre-Summary'!$BG$6:$BM$44,6,FALSE),S2790)</f>
        <v>0.10009321836402316</v>
      </c>
      <c r="T2789" s="45" t="str">
        <f>IFERROR(VLOOKUP(B2789,'Pre-Summary'!$Y$6:$AC$83, 3,FALSE),"")</f>
        <v/>
      </c>
      <c r="U2789" s="45" t="str">
        <f>IFERROR(VLOOKUP(B2789,'Pre-Summary'!$Y$6:$AC$83, 4,FALSE),"")</f>
        <v/>
      </c>
      <c r="V2789" t="str">
        <f>IFERROR(VLOOKUP(B2789,'Pre-Summary'!$Y$6:$AC$83, 5,FALSE),"")</f>
        <v/>
      </c>
      <c r="W2789" s="45" t="str">
        <f>IFERROR(VLOOKUP(B2789,'Pre-Summary'!$Y$6:$AD$83,6,FALSE),"")</f>
        <v/>
      </c>
      <c r="X2789" t="str">
        <f>IFERROR(VLOOKUP('Pre-Summary'!$DB$6:$DD$63,3,FALSE),"")</f>
        <v/>
      </c>
      <c r="Y2789" t="str">
        <f>IFERROR(VLOOKUP(B2789,'Pre-Summary'!$CR$6:$CT$36,3,FALSE),"")</f>
        <v/>
      </c>
      <c r="Z2789" s="45" t="str">
        <f>IFERROR(VLOOKUP(B2789,'Pre-Summary'!$BZ$6:$CB$63,2,FALSE),"")</f>
        <v/>
      </c>
      <c r="AA2789" s="45" t="str">
        <f>IFERROR(VLOOKUP(B2789,'Pre-Summary'!$CG$6:$CI$70,2,FALSE),"")</f>
        <v/>
      </c>
      <c r="AB2789" s="99">
        <f>IFERROR(VLOOKUP(B2789,'Pre-Summary'!$A$6:$P$178,9,FALSE),AB2790)</f>
        <v>0.7010379290946207</v>
      </c>
      <c r="AC2789" s="10">
        <f>IFERROR(VLOOKUP(Summary!B2789,'Pre-Summary'!$A$6:$P$184,5, FALSE)/100,AC2790)</f>
        <v>0.92607166666666674</v>
      </c>
      <c r="AD2789" s="10">
        <f>IFERROR(VLOOKUP(Summary!B2789,'Pre-Summary'!$A$6:$P$184,3, FALSE)/100,AD2790)</f>
        <v>5.4963666666666668E-2</v>
      </c>
      <c r="AE2789" s="10">
        <f>IFERROR(VLOOKUP(Summary!B2789,'Pre-Summary'!$A$6:$P$184,7, FALSE)/100,AE2790)</f>
        <v>1.8946666666666667E-2</v>
      </c>
      <c r="AF2789" s="99">
        <f t="shared" si="130"/>
        <v>3.8531615055447034E-2</v>
      </c>
      <c r="AG2789" s="99">
        <f t="shared" si="131"/>
        <v>1.3282331963246082E-2</v>
      </c>
      <c r="AH2789" s="10" t="str">
        <f>IFERROR(VLOOKUP(B2789,'Pre-Summary'!$AZ$6:$BE$65,3,FALSE),"")</f>
        <v/>
      </c>
      <c r="AI2789" s="10" t="str">
        <f>IFERROR(VLOOKUP(B2789,'Pre-Summary'!$AZ$6:$BE$65,5,FALSE),"")</f>
        <v/>
      </c>
      <c r="AJ2789" s="10" t="str">
        <f>IFERROR(VLOOKUP(B2789,'Pre-Summary'!$AZ$6:$BE$65,4,FALSE),"")</f>
        <v/>
      </c>
      <c r="AK2789" s="10" t="str">
        <f>IFERROR(VLOOKUP(B2789,'Pre-Summary'!$AZ$6:$BE$65,6,FALSE),"")</f>
        <v/>
      </c>
      <c r="AL2789" s="10" t="str">
        <f>IFERROR(VLOOKUP(B2789,'Pre-Summary'!$BG$6:$BL$44,3,FALSE),"")</f>
        <v/>
      </c>
      <c r="AM2789" s="10" t="str">
        <f>IFERROR(VLOOKUP(B2789,'Pre-Summary'!$BG$6:$BL$44,4,FALSE),"")</f>
        <v/>
      </c>
    </row>
    <row r="2790" spans="2:39" ht="15" customHeight="1" x14ac:dyDescent="0.3">
      <c r="B2790">
        <v>278.7</v>
      </c>
      <c r="C2790" t="str">
        <f>IFERROR(VLOOKUP(B2790,'Pre-Summary'!$DI$6:$DM$23,4,FALSE),"")</f>
        <v/>
      </c>
      <c r="D2790" s="10" t="str">
        <f>IFERROR(VLOOKUP(B2790,'Pre-Summary'!$AT$6:$AX$14,5,FALSE),D2789)</f>
        <v>Wolfe v3: went back to modified wolfe + EDTA and switched CuSO4 to CUCl2</v>
      </c>
      <c r="E2790" s="10" t="str">
        <f>IFERROR(VLOOKUP(B2790,'Pre-Summary'!$AT$6:$AX$15,4,FALSE),"")</f>
        <v/>
      </c>
      <c r="F2790">
        <f>IFERROR(VLOOKUP(B2790,'Pre-Summary'!$AL$6:$AQ$13,6,FALSE),F2789)</f>
        <v>5.9405263157894746E-2</v>
      </c>
      <c r="G2790" t="str">
        <f>IFERROR(VLOOKUP(B2790,'Pre-Summary'!$AE$6:$AJ$85,3,FALSE),"")</f>
        <v/>
      </c>
      <c r="H2790" t="str">
        <f>IFERROR(VLOOKUP(B2790,'Pre-Summary'!$AE$6:$AJ$85,4,FALSE),"")</f>
        <v/>
      </c>
      <c r="I2790" t="str">
        <f>IFERROR(VLOOKUP(B2790,'Pre-Summary'!$AE$6:$AJ$85,5,FALSE),"")</f>
        <v/>
      </c>
      <c r="J2790" s="45" t="str">
        <f>IFERROR(VLOOKUP(B2790,'Pre-Summary'!$AE$6:$AJ$85,6, FALSE),"")</f>
        <v/>
      </c>
      <c r="K2790" s="45" t="str">
        <f>IFERROR(VLOOKUP(B2790,'Pre-Summary'!$DE$6:$DG$61,3,FALSE),"")</f>
        <v/>
      </c>
      <c r="L2790" s="45" t="str">
        <f>IFERROR(VLOOKUP(B2790,'Pre-Summary'!$CU$6:$CW$36,3,FALSE),"")</f>
        <v/>
      </c>
      <c r="M2790" s="45" t="str">
        <f>IFERROR(VLOOKUP(B2790,'Pre-Summary'!$BW$6:$BY$58,2,FALSE),"")</f>
        <v/>
      </c>
      <c r="N2790" s="45" t="str">
        <f>IFERROR(VLOOKUP(B2790,'Pre-Summary'!$CD$6:$CF$64,2,FALSE),"")</f>
        <v/>
      </c>
      <c r="O2790" s="99">
        <f>IFERROR(VLOOKUP(B2790,'Pre-Summary'!$BO$6:$BQ$48,3, FALSE),O2789)</f>
        <v>2.1030000000000002</v>
      </c>
      <c r="P2790" s="99">
        <f>IFERROR(VLOOKUP(B2790,'Pre-Summary'!$BS$6:$BU$35,3,FALSE),P2789)</f>
        <v>0.53100000000000003</v>
      </c>
      <c r="Q2790" s="54">
        <f t="shared" si="129"/>
        <v>3.9604519774011302</v>
      </c>
      <c r="R2790" s="53">
        <f>IFERROR(VLOOKUP(B2790,'Pre-Summary'!$BG$6:$BM$44,7,FALSE),R2791)</f>
        <v>9.5351142367257502E-2</v>
      </c>
      <c r="S2790" s="53">
        <f>IFERROR(VLOOKUP(B2790,'Pre-Summary'!$BG$6:$BM$44,6,FALSE),S2791)</f>
        <v>0.10009321836402316</v>
      </c>
      <c r="T2790" s="45" t="str">
        <f>IFERROR(VLOOKUP(B2790,'Pre-Summary'!$Y$6:$AC$83, 3,FALSE),"")</f>
        <v/>
      </c>
      <c r="U2790" s="45" t="str">
        <f>IFERROR(VLOOKUP(B2790,'Pre-Summary'!$Y$6:$AC$83, 4,FALSE),"")</f>
        <v/>
      </c>
      <c r="V2790" t="str">
        <f>IFERROR(VLOOKUP(B2790,'Pre-Summary'!$Y$6:$AC$83, 5,FALSE),"")</f>
        <v/>
      </c>
      <c r="W2790" s="45" t="str">
        <f>IFERROR(VLOOKUP(B2790,'Pre-Summary'!$Y$6:$AD$83,6,FALSE),"")</f>
        <v/>
      </c>
      <c r="X2790" t="str">
        <f>IFERROR(VLOOKUP('Pre-Summary'!$DB$6:$DD$63,3,FALSE),"")</f>
        <v/>
      </c>
      <c r="Y2790" t="str">
        <f>IFERROR(VLOOKUP(B2790,'Pre-Summary'!$CR$6:$CT$36,3,FALSE),"")</f>
        <v/>
      </c>
      <c r="Z2790" s="45" t="str">
        <f>IFERROR(VLOOKUP(B2790,'Pre-Summary'!$BZ$6:$CB$63,2,FALSE),"")</f>
        <v/>
      </c>
      <c r="AA2790" s="45" t="str">
        <f>IFERROR(VLOOKUP(B2790,'Pre-Summary'!$CG$6:$CI$70,2,FALSE),"")</f>
        <v/>
      </c>
      <c r="AB2790" s="99">
        <f>IFERROR(VLOOKUP(B2790,'Pre-Summary'!$A$6:$P$178,9,FALSE),AB2791)</f>
        <v>0.7010379290946207</v>
      </c>
      <c r="AC2790" s="10">
        <f>IFERROR(VLOOKUP(Summary!B2790,'Pre-Summary'!$A$6:$P$184,5, FALSE)/100,AC2791)</f>
        <v>0.92607166666666674</v>
      </c>
      <c r="AD2790" s="10">
        <f>IFERROR(VLOOKUP(Summary!B2790,'Pre-Summary'!$A$6:$P$184,3, FALSE)/100,AD2791)</f>
        <v>5.4963666666666668E-2</v>
      </c>
      <c r="AE2790" s="10">
        <f>IFERROR(VLOOKUP(Summary!B2790,'Pre-Summary'!$A$6:$P$184,7, FALSE)/100,AE2791)</f>
        <v>1.8946666666666667E-2</v>
      </c>
      <c r="AF2790" s="99">
        <f t="shared" si="130"/>
        <v>3.8531615055447034E-2</v>
      </c>
      <c r="AG2790" s="99">
        <f t="shared" si="131"/>
        <v>1.3282331963246082E-2</v>
      </c>
      <c r="AH2790" s="10" t="str">
        <f>IFERROR(VLOOKUP(B2790,'Pre-Summary'!$AZ$6:$BE$65,3,FALSE),"")</f>
        <v/>
      </c>
      <c r="AI2790" s="10" t="str">
        <f>IFERROR(VLOOKUP(B2790,'Pre-Summary'!$AZ$6:$BE$65,5,FALSE),"")</f>
        <v/>
      </c>
      <c r="AJ2790" s="10" t="str">
        <f>IFERROR(VLOOKUP(B2790,'Pre-Summary'!$AZ$6:$BE$65,4,FALSE),"")</f>
        <v/>
      </c>
      <c r="AK2790" s="10" t="str">
        <f>IFERROR(VLOOKUP(B2790,'Pre-Summary'!$AZ$6:$BE$65,6,FALSE),"")</f>
        <v/>
      </c>
      <c r="AL2790" s="10" t="str">
        <f>IFERROR(VLOOKUP(B2790,'Pre-Summary'!$BG$6:$BL$44,3,FALSE),"")</f>
        <v/>
      </c>
      <c r="AM2790" s="10" t="str">
        <f>IFERROR(VLOOKUP(B2790,'Pre-Summary'!$BG$6:$BL$44,4,FALSE),"")</f>
        <v/>
      </c>
    </row>
    <row r="2791" spans="2:39" ht="15" customHeight="1" x14ac:dyDescent="0.3">
      <c r="B2791">
        <v>278.8</v>
      </c>
      <c r="C2791" t="str">
        <f>IFERROR(VLOOKUP(B2791,'Pre-Summary'!$DI$6:$DM$23,4,FALSE),"")</f>
        <v/>
      </c>
      <c r="D2791" s="10" t="str">
        <f>IFERROR(VLOOKUP(B2791,'Pre-Summary'!$AT$6:$AX$14,5,FALSE),D2790)</f>
        <v>Wolfe v3: went back to modified wolfe + EDTA and switched CuSO4 to CUCl2</v>
      </c>
      <c r="E2791" s="10" t="str">
        <f>IFERROR(VLOOKUP(B2791,'Pre-Summary'!$AT$6:$AX$15,4,FALSE),"")</f>
        <v/>
      </c>
      <c r="F2791">
        <f>IFERROR(VLOOKUP(B2791,'Pre-Summary'!$AL$6:$AQ$13,6,FALSE),F2790)</f>
        <v>5.9405263157894746E-2</v>
      </c>
      <c r="G2791" t="str">
        <f>IFERROR(VLOOKUP(B2791,'Pre-Summary'!$AE$6:$AJ$85,3,FALSE),"")</f>
        <v/>
      </c>
      <c r="H2791" t="str">
        <f>IFERROR(VLOOKUP(B2791,'Pre-Summary'!$AE$6:$AJ$85,4,FALSE),"")</f>
        <v/>
      </c>
      <c r="I2791" t="str">
        <f>IFERROR(VLOOKUP(B2791,'Pre-Summary'!$AE$6:$AJ$85,5,FALSE),"")</f>
        <v/>
      </c>
      <c r="J2791" s="45" t="str">
        <f>IFERROR(VLOOKUP(B2791,'Pre-Summary'!$AE$6:$AJ$85,6, FALSE),"")</f>
        <v/>
      </c>
      <c r="K2791" s="45" t="str">
        <f>IFERROR(VLOOKUP(B2791,'Pre-Summary'!$DE$6:$DG$61,3,FALSE),"")</f>
        <v/>
      </c>
      <c r="L2791" s="45" t="str">
        <f>IFERROR(VLOOKUP(B2791,'Pre-Summary'!$CU$6:$CW$36,3,FALSE),"")</f>
        <v/>
      </c>
      <c r="M2791" s="45" t="str">
        <f>IFERROR(VLOOKUP(B2791,'Pre-Summary'!$BW$6:$BY$58,2,FALSE),"")</f>
        <v/>
      </c>
      <c r="N2791" s="45" t="str">
        <f>IFERROR(VLOOKUP(B2791,'Pre-Summary'!$CD$6:$CF$64,2,FALSE),"")</f>
        <v/>
      </c>
      <c r="O2791" s="99">
        <f>IFERROR(VLOOKUP(B2791,'Pre-Summary'!$BO$6:$BQ$48,3, FALSE),O2790)</f>
        <v>2.1030000000000002</v>
      </c>
      <c r="P2791" s="99">
        <f>IFERROR(VLOOKUP(B2791,'Pre-Summary'!$BS$6:$BU$35,3,FALSE),P2790)</f>
        <v>0.53100000000000003</v>
      </c>
      <c r="Q2791" s="54">
        <f t="shared" si="129"/>
        <v>3.9604519774011302</v>
      </c>
      <c r="R2791" s="53">
        <f>IFERROR(VLOOKUP(B2791,'Pre-Summary'!$BG$6:$BM$44,7,FALSE),R2792)</f>
        <v>9.5351142367257502E-2</v>
      </c>
      <c r="S2791" s="53">
        <f>IFERROR(VLOOKUP(B2791,'Pre-Summary'!$BG$6:$BM$44,6,FALSE),S2792)</f>
        <v>0.10009321836402316</v>
      </c>
      <c r="T2791" s="45" t="str">
        <f>IFERROR(VLOOKUP(B2791,'Pre-Summary'!$Y$6:$AC$83, 3,FALSE),"")</f>
        <v/>
      </c>
      <c r="U2791" s="45" t="str">
        <f>IFERROR(VLOOKUP(B2791,'Pre-Summary'!$Y$6:$AC$83, 4,FALSE),"")</f>
        <v/>
      </c>
      <c r="V2791" t="str">
        <f>IFERROR(VLOOKUP(B2791,'Pre-Summary'!$Y$6:$AC$83, 5,FALSE),"")</f>
        <v/>
      </c>
      <c r="W2791" s="45" t="str">
        <f>IFERROR(VLOOKUP(B2791,'Pre-Summary'!$Y$6:$AD$83,6,FALSE),"")</f>
        <v/>
      </c>
      <c r="X2791" t="str">
        <f>IFERROR(VLOOKUP('Pre-Summary'!$DB$6:$DD$63,3,FALSE),"")</f>
        <v/>
      </c>
      <c r="Y2791" t="str">
        <f>IFERROR(VLOOKUP(B2791,'Pre-Summary'!$CR$6:$CT$36,3,FALSE),"")</f>
        <v/>
      </c>
      <c r="Z2791" s="45" t="str">
        <f>IFERROR(VLOOKUP(B2791,'Pre-Summary'!$BZ$6:$CB$63,2,FALSE),"")</f>
        <v/>
      </c>
      <c r="AA2791" s="45" t="str">
        <f>IFERROR(VLOOKUP(B2791,'Pre-Summary'!$CG$6:$CI$70,2,FALSE),"")</f>
        <v/>
      </c>
      <c r="AB2791" s="99">
        <f>IFERROR(VLOOKUP(B2791,'Pre-Summary'!$A$6:$P$178,9,FALSE),AB2792)</f>
        <v>0.7010379290946207</v>
      </c>
      <c r="AC2791" s="10">
        <f>IFERROR(VLOOKUP(Summary!B2791,'Pre-Summary'!$A$6:$P$184,5, FALSE)/100,AC2792)</f>
        <v>0.92607166666666674</v>
      </c>
      <c r="AD2791" s="10">
        <f>IFERROR(VLOOKUP(Summary!B2791,'Pre-Summary'!$A$6:$P$184,3, FALSE)/100,AD2792)</f>
        <v>5.4963666666666668E-2</v>
      </c>
      <c r="AE2791" s="10">
        <f>IFERROR(VLOOKUP(Summary!B2791,'Pre-Summary'!$A$6:$P$184,7, FALSE)/100,AE2792)</f>
        <v>1.8946666666666667E-2</v>
      </c>
      <c r="AF2791" s="99">
        <f t="shared" si="130"/>
        <v>3.8531615055447034E-2</v>
      </c>
      <c r="AG2791" s="99">
        <f t="shared" si="131"/>
        <v>1.3282331963246082E-2</v>
      </c>
      <c r="AH2791" s="10" t="str">
        <f>IFERROR(VLOOKUP(B2791,'Pre-Summary'!$AZ$6:$BE$65,3,FALSE),"")</f>
        <v/>
      </c>
      <c r="AI2791" s="10" t="str">
        <f>IFERROR(VLOOKUP(B2791,'Pre-Summary'!$AZ$6:$BE$65,5,FALSE),"")</f>
        <v/>
      </c>
      <c r="AJ2791" s="10" t="str">
        <f>IFERROR(VLOOKUP(B2791,'Pre-Summary'!$AZ$6:$BE$65,4,FALSE),"")</f>
        <v/>
      </c>
      <c r="AK2791" s="10" t="str">
        <f>IFERROR(VLOOKUP(B2791,'Pre-Summary'!$AZ$6:$BE$65,6,FALSE),"")</f>
        <v/>
      </c>
      <c r="AL2791" s="10" t="str">
        <f>IFERROR(VLOOKUP(B2791,'Pre-Summary'!$BG$6:$BL$44,3,FALSE),"")</f>
        <v/>
      </c>
      <c r="AM2791" s="10" t="str">
        <f>IFERROR(VLOOKUP(B2791,'Pre-Summary'!$BG$6:$BL$44,4,FALSE),"")</f>
        <v/>
      </c>
    </row>
    <row r="2792" spans="2:39" ht="15" customHeight="1" x14ac:dyDescent="0.3">
      <c r="B2792">
        <v>278.89999999999998</v>
      </c>
      <c r="C2792" t="str">
        <f>IFERROR(VLOOKUP(B2792,'Pre-Summary'!$DI$6:$DM$23,4,FALSE),"")</f>
        <v/>
      </c>
      <c r="D2792" s="10" t="str">
        <f>IFERROR(VLOOKUP(B2792,'Pre-Summary'!$AT$6:$AX$14,5,FALSE),D2791)</f>
        <v>Wolfe v3: went back to modified wolfe + EDTA and switched CuSO4 to CUCl2</v>
      </c>
      <c r="E2792" s="10" t="str">
        <f>IFERROR(VLOOKUP(B2792,'Pre-Summary'!$AT$6:$AX$15,4,FALSE),"")</f>
        <v/>
      </c>
      <c r="F2792">
        <f>IFERROR(VLOOKUP(B2792,'Pre-Summary'!$AL$6:$AQ$13,6,FALSE),F2791)</f>
        <v>5.9405263157894746E-2</v>
      </c>
      <c r="G2792" t="str">
        <f>IFERROR(VLOOKUP(B2792,'Pre-Summary'!$AE$6:$AJ$85,3,FALSE),"")</f>
        <v/>
      </c>
      <c r="H2792" t="str">
        <f>IFERROR(VLOOKUP(B2792,'Pre-Summary'!$AE$6:$AJ$85,4,FALSE),"")</f>
        <v/>
      </c>
      <c r="I2792" t="str">
        <f>IFERROR(VLOOKUP(B2792,'Pre-Summary'!$AE$6:$AJ$85,5,FALSE),"")</f>
        <v/>
      </c>
      <c r="J2792" s="45" t="str">
        <f>IFERROR(VLOOKUP(B2792,'Pre-Summary'!$AE$6:$AJ$85,6, FALSE),"")</f>
        <v/>
      </c>
      <c r="K2792" s="45" t="str">
        <f>IFERROR(VLOOKUP(B2792,'Pre-Summary'!$DE$6:$DG$61,3,FALSE),"")</f>
        <v/>
      </c>
      <c r="L2792" s="45" t="str">
        <f>IFERROR(VLOOKUP(B2792,'Pre-Summary'!$CU$6:$CW$36,3,FALSE),"")</f>
        <v/>
      </c>
      <c r="M2792" s="45" t="str">
        <f>IFERROR(VLOOKUP(B2792,'Pre-Summary'!$BW$6:$BY$58,2,FALSE),"")</f>
        <v/>
      </c>
      <c r="N2792" s="45" t="str">
        <f>IFERROR(VLOOKUP(B2792,'Pre-Summary'!$CD$6:$CF$64,2,FALSE),"")</f>
        <v/>
      </c>
      <c r="O2792" s="99">
        <f>IFERROR(VLOOKUP(B2792,'Pre-Summary'!$BO$6:$BQ$48,3, FALSE),O2791)</f>
        <v>2.1030000000000002</v>
      </c>
      <c r="P2792" s="99">
        <f>IFERROR(VLOOKUP(B2792,'Pre-Summary'!$BS$6:$BU$35,3,FALSE),P2791)</f>
        <v>0.53100000000000003</v>
      </c>
      <c r="Q2792" s="54">
        <f t="shared" si="129"/>
        <v>3.9604519774011302</v>
      </c>
      <c r="R2792" s="53">
        <f>IFERROR(VLOOKUP(B2792,'Pre-Summary'!$BG$6:$BM$44,7,FALSE),R2793)</f>
        <v>9.5351142367257502E-2</v>
      </c>
      <c r="S2792" s="53">
        <f>IFERROR(VLOOKUP(B2792,'Pre-Summary'!$BG$6:$BM$44,6,FALSE),S2793)</f>
        <v>0.10009321836402316</v>
      </c>
      <c r="T2792" s="45" t="str">
        <f>IFERROR(VLOOKUP(B2792,'Pre-Summary'!$Y$6:$AC$83, 3,FALSE),"")</f>
        <v/>
      </c>
      <c r="U2792" s="45" t="str">
        <f>IFERROR(VLOOKUP(B2792,'Pre-Summary'!$Y$6:$AC$83, 4,FALSE),"")</f>
        <v/>
      </c>
      <c r="V2792" t="str">
        <f>IFERROR(VLOOKUP(B2792,'Pre-Summary'!$Y$6:$AC$83, 5,FALSE),"")</f>
        <v/>
      </c>
      <c r="W2792" s="45" t="str">
        <f>IFERROR(VLOOKUP(B2792,'Pre-Summary'!$Y$6:$AD$83,6,FALSE),"")</f>
        <v/>
      </c>
      <c r="X2792" t="str">
        <f>IFERROR(VLOOKUP('Pre-Summary'!$DB$6:$DD$63,3,FALSE),"")</f>
        <v/>
      </c>
      <c r="Y2792" t="str">
        <f>IFERROR(VLOOKUP(B2792,'Pre-Summary'!$CR$6:$CT$36,3,FALSE),"")</f>
        <v/>
      </c>
      <c r="Z2792" s="45" t="str">
        <f>IFERROR(VLOOKUP(B2792,'Pre-Summary'!$BZ$6:$CB$63,2,FALSE),"")</f>
        <v/>
      </c>
      <c r="AA2792" s="45" t="str">
        <f>IFERROR(VLOOKUP(B2792,'Pre-Summary'!$CG$6:$CI$70,2,FALSE),"")</f>
        <v/>
      </c>
      <c r="AB2792" s="99">
        <f>IFERROR(VLOOKUP(B2792,'Pre-Summary'!$A$6:$P$178,9,FALSE),AB2793)</f>
        <v>0.7010379290946207</v>
      </c>
      <c r="AC2792" s="10">
        <f>IFERROR(VLOOKUP(Summary!B2792,'Pre-Summary'!$A$6:$P$184,5, FALSE)/100,AC2793)</f>
        <v>0.92607166666666674</v>
      </c>
      <c r="AD2792" s="10">
        <f>IFERROR(VLOOKUP(Summary!B2792,'Pre-Summary'!$A$6:$P$184,3, FALSE)/100,AD2793)</f>
        <v>5.4963666666666668E-2</v>
      </c>
      <c r="AE2792" s="10">
        <f>IFERROR(VLOOKUP(Summary!B2792,'Pre-Summary'!$A$6:$P$184,7, FALSE)/100,AE2793)</f>
        <v>1.8946666666666667E-2</v>
      </c>
      <c r="AF2792" s="99">
        <f t="shared" si="130"/>
        <v>3.8531615055447034E-2</v>
      </c>
      <c r="AG2792" s="99">
        <f t="shared" si="131"/>
        <v>1.3282331963246082E-2</v>
      </c>
      <c r="AH2792" s="10" t="str">
        <f>IFERROR(VLOOKUP(B2792,'Pre-Summary'!$AZ$6:$BE$65,3,FALSE),"")</f>
        <v/>
      </c>
      <c r="AI2792" s="10" t="str">
        <f>IFERROR(VLOOKUP(B2792,'Pre-Summary'!$AZ$6:$BE$65,5,FALSE),"")</f>
        <v/>
      </c>
      <c r="AJ2792" s="10" t="str">
        <f>IFERROR(VLOOKUP(B2792,'Pre-Summary'!$AZ$6:$BE$65,4,FALSE),"")</f>
        <v/>
      </c>
      <c r="AK2792" s="10" t="str">
        <f>IFERROR(VLOOKUP(B2792,'Pre-Summary'!$AZ$6:$BE$65,6,FALSE),"")</f>
        <v/>
      </c>
      <c r="AL2792" s="10" t="str">
        <f>IFERROR(VLOOKUP(B2792,'Pre-Summary'!$BG$6:$BL$44,3,FALSE),"")</f>
        <v/>
      </c>
      <c r="AM2792" s="10" t="str">
        <f>IFERROR(VLOOKUP(B2792,'Pre-Summary'!$BG$6:$BL$44,4,FALSE),"")</f>
        <v/>
      </c>
    </row>
    <row r="2793" spans="2:39" ht="15" customHeight="1" x14ac:dyDescent="0.3">
      <c r="B2793">
        <v>279</v>
      </c>
      <c r="C2793" t="str">
        <f>IFERROR(VLOOKUP(B2793,'Pre-Summary'!$DI$6:$DM$23,4,FALSE),"")</f>
        <v/>
      </c>
      <c r="D2793" s="10" t="str">
        <f>IFERROR(VLOOKUP(B2793,'Pre-Summary'!$AT$6:$AX$14,5,FALSE),D2792)</f>
        <v>Wolfe v3: went back to modified wolfe + EDTA and switched CuSO4 to CUCl2</v>
      </c>
      <c r="E2793" s="10" t="str">
        <f>IFERROR(VLOOKUP(B2793,'Pre-Summary'!$AT$6:$AX$15,4,FALSE),"")</f>
        <v/>
      </c>
      <c r="F2793">
        <f>IFERROR(VLOOKUP(B2793,'Pre-Summary'!$AL$6:$AQ$13,6,FALSE),F2792)</f>
        <v>5.9405263157894746E-2</v>
      </c>
      <c r="G2793" t="str">
        <f>IFERROR(VLOOKUP(B2793,'Pre-Summary'!$AE$6:$AJ$85,3,FALSE),"")</f>
        <v/>
      </c>
      <c r="H2793" t="str">
        <f>IFERROR(VLOOKUP(B2793,'Pre-Summary'!$AE$6:$AJ$85,4,FALSE),"")</f>
        <v/>
      </c>
      <c r="I2793" t="str">
        <f>IFERROR(VLOOKUP(B2793,'Pre-Summary'!$AE$6:$AJ$85,5,FALSE),"")</f>
        <v/>
      </c>
      <c r="J2793" s="45" t="str">
        <f>IFERROR(VLOOKUP(B2793,'Pre-Summary'!$AE$6:$AJ$85,6, FALSE),"")</f>
        <v/>
      </c>
      <c r="K2793" s="45" t="str">
        <f>IFERROR(VLOOKUP(B2793,'Pre-Summary'!$DE$6:$DG$61,3,FALSE),"")</f>
        <v/>
      </c>
      <c r="L2793" s="45" t="str">
        <f>IFERROR(VLOOKUP(B2793,'Pre-Summary'!$CU$6:$CW$36,3,FALSE),"")</f>
        <v/>
      </c>
      <c r="M2793" s="45" t="str">
        <f>IFERROR(VLOOKUP(B2793,'Pre-Summary'!$BW$6:$BY$58,2,FALSE),"")</f>
        <v/>
      </c>
      <c r="N2793" s="45" t="str">
        <f>IFERROR(VLOOKUP(B2793,'Pre-Summary'!$CD$6:$CF$64,2,FALSE),"")</f>
        <v/>
      </c>
      <c r="O2793" s="99">
        <f>IFERROR(VLOOKUP(B2793,'Pre-Summary'!$BO$6:$BQ$48,3, FALSE),O2792)</f>
        <v>2.1030000000000002</v>
      </c>
      <c r="P2793" s="99">
        <f>IFERROR(VLOOKUP(B2793,'Pre-Summary'!$BS$6:$BU$35,3,FALSE),P2792)</f>
        <v>0.53100000000000003</v>
      </c>
      <c r="Q2793" s="54">
        <f t="shared" si="129"/>
        <v>3.9604519774011302</v>
      </c>
      <c r="R2793" s="53">
        <f>IFERROR(VLOOKUP(B2793,'Pre-Summary'!$BG$6:$BM$44,7,FALSE),R2794)</f>
        <v>9.5351142367257502E-2</v>
      </c>
      <c r="S2793" s="53">
        <f>IFERROR(VLOOKUP(B2793,'Pre-Summary'!$BG$6:$BM$44,6,FALSE),S2794)</f>
        <v>0.10009321836402316</v>
      </c>
      <c r="T2793" s="45" t="str">
        <f>IFERROR(VLOOKUP(B2793,'Pre-Summary'!$Y$6:$AC$83, 3,FALSE),"")</f>
        <v/>
      </c>
      <c r="U2793" s="45" t="str">
        <f>IFERROR(VLOOKUP(B2793,'Pre-Summary'!$Y$6:$AC$83, 4,FALSE),"")</f>
        <v/>
      </c>
      <c r="V2793" t="str">
        <f>IFERROR(VLOOKUP(B2793,'Pre-Summary'!$Y$6:$AC$83, 5,FALSE),"")</f>
        <v/>
      </c>
      <c r="W2793" s="45" t="str">
        <f>IFERROR(VLOOKUP(B2793,'Pre-Summary'!$Y$6:$AD$83,6,FALSE),"")</f>
        <v/>
      </c>
      <c r="X2793" t="str">
        <f>IFERROR(VLOOKUP('Pre-Summary'!$DB$6:$DD$63,3,FALSE),"")</f>
        <v/>
      </c>
      <c r="Y2793" t="str">
        <f>IFERROR(VLOOKUP(B2793,'Pre-Summary'!$CR$6:$CT$36,3,FALSE),"")</f>
        <v/>
      </c>
      <c r="Z2793" s="45" t="str">
        <f>IFERROR(VLOOKUP(B2793,'Pre-Summary'!$BZ$6:$CB$63,2,FALSE),"")</f>
        <v/>
      </c>
      <c r="AA2793" s="45" t="str">
        <f>IFERROR(VLOOKUP(B2793,'Pre-Summary'!$CG$6:$CI$70,2,FALSE),"")</f>
        <v/>
      </c>
      <c r="AB2793" s="99">
        <f>IFERROR(VLOOKUP(B2793,'Pre-Summary'!$A$6:$P$178,9,FALSE),AB2794)</f>
        <v>0.7010379290946207</v>
      </c>
      <c r="AC2793" s="10">
        <f>IFERROR(VLOOKUP(Summary!B2793,'Pre-Summary'!$A$6:$P$184,5, FALSE)/100,AC2794)</f>
        <v>0.92607166666666674</v>
      </c>
      <c r="AD2793" s="10">
        <f>IFERROR(VLOOKUP(Summary!B2793,'Pre-Summary'!$A$6:$P$184,3, FALSE)/100,AD2794)</f>
        <v>5.4963666666666668E-2</v>
      </c>
      <c r="AE2793" s="10">
        <f>IFERROR(VLOOKUP(Summary!B2793,'Pre-Summary'!$A$6:$P$184,7, FALSE)/100,AE2794)</f>
        <v>1.8946666666666667E-2</v>
      </c>
      <c r="AF2793" s="99">
        <f t="shared" si="130"/>
        <v>3.8531615055447034E-2</v>
      </c>
      <c r="AG2793" s="99">
        <f t="shared" si="131"/>
        <v>1.3282331963246082E-2</v>
      </c>
      <c r="AH2793" s="10">
        <f>IFERROR(VLOOKUP(B2793,'Pre-Summary'!$AZ$6:$BE$65,3,FALSE),"")</f>
        <v>213</v>
      </c>
      <c r="AI2793" s="10">
        <f>IFERROR(VLOOKUP(B2793,'Pre-Summary'!$AZ$6:$BE$65,5,FALSE),"")</f>
        <v>130</v>
      </c>
      <c r="AJ2793" s="10">
        <f>IFERROR(VLOOKUP(B2793,'Pre-Summary'!$AZ$6:$BE$65,4,FALSE),"")</f>
        <v>169</v>
      </c>
      <c r="AK2793" s="10">
        <f>IFERROR(VLOOKUP(B2793,'Pre-Summary'!$AZ$6:$BE$65,6,FALSE),"")</f>
        <v>94</v>
      </c>
      <c r="AL2793" s="10">
        <f>IFERROR(VLOOKUP(B2793,'Pre-Summary'!$BG$6:$BL$44,3,FALSE),"")</f>
        <v>4.907512607279739</v>
      </c>
      <c r="AM2793" s="10">
        <f>IFERROR(VLOOKUP(B2793,'Pre-Summary'!$BG$6:$BL$44,4,FALSE),"")</f>
        <v>3.1220896391150808</v>
      </c>
    </row>
    <row r="2794" spans="2:39" ht="15" customHeight="1" x14ac:dyDescent="0.3">
      <c r="B2794">
        <v>279.10000000000002</v>
      </c>
      <c r="C2794" t="str">
        <f>IFERROR(VLOOKUP(B2794,'Pre-Summary'!$DI$6:$DM$23,4,FALSE),"")</f>
        <v/>
      </c>
      <c r="D2794" s="10" t="str">
        <f>IFERROR(VLOOKUP(B2794,'Pre-Summary'!$AT$6:$AX$14,5,FALSE),D2793)</f>
        <v>Wolfe v3: went back to modified wolfe + EDTA and switched CuSO4 to CUCl2</v>
      </c>
      <c r="E2794" s="10" t="str">
        <f>IFERROR(VLOOKUP(B2794,'Pre-Summary'!$AT$6:$AX$15,4,FALSE),"")</f>
        <v/>
      </c>
      <c r="F2794">
        <f>IFERROR(VLOOKUP(B2794,'Pre-Summary'!$AL$6:$AQ$13,6,FALSE),F2793)</f>
        <v>5.9405263157894746E-2</v>
      </c>
      <c r="G2794" t="str">
        <f>IFERROR(VLOOKUP(B2794,'Pre-Summary'!$AE$6:$AJ$85,3,FALSE),"")</f>
        <v/>
      </c>
      <c r="H2794" t="str">
        <f>IFERROR(VLOOKUP(B2794,'Pre-Summary'!$AE$6:$AJ$85,4,FALSE),"")</f>
        <v/>
      </c>
      <c r="I2794" t="str">
        <f>IFERROR(VLOOKUP(B2794,'Pre-Summary'!$AE$6:$AJ$85,5,FALSE),"")</f>
        <v/>
      </c>
      <c r="J2794" s="45" t="str">
        <f>IFERROR(VLOOKUP(B2794,'Pre-Summary'!$AE$6:$AJ$85,6, FALSE),"")</f>
        <v/>
      </c>
      <c r="K2794" s="45" t="str">
        <f>IFERROR(VLOOKUP(B2794,'Pre-Summary'!$DE$6:$DG$61,3,FALSE),"")</f>
        <v/>
      </c>
      <c r="L2794" s="45" t="str">
        <f>IFERROR(VLOOKUP(B2794,'Pre-Summary'!$CU$6:$CW$36,3,FALSE),"")</f>
        <v/>
      </c>
      <c r="M2794" s="45" t="str">
        <f>IFERROR(VLOOKUP(B2794,'Pre-Summary'!$BW$6:$BY$58,2,FALSE),"")</f>
        <v/>
      </c>
      <c r="N2794" s="45" t="str">
        <f>IFERROR(VLOOKUP(B2794,'Pre-Summary'!$CD$6:$CF$64,2,FALSE),"")</f>
        <v/>
      </c>
      <c r="O2794" s="99">
        <f>IFERROR(VLOOKUP(B2794,'Pre-Summary'!$BO$6:$BQ$48,3, FALSE),O2793)</f>
        <v>2.1030000000000002</v>
      </c>
      <c r="P2794" s="99">
        <f>IFERROR(VLOOKUP(B2794,'Pre-Summary'!$BS$6:$BU$35,3,FALSE),P2793)</f>
        <v>0.53100000000000003</v>
      </c>
      <c r="Q2794" s="54">
        <f t="shared" si="129"/>
        <v>3.9604519774011302</v>
      </c>
      <c r="R2794" s="53">
        <f>IFERROR(VLOOKUP(B2794,'Pre-Summary'!$BG$6:$BM$44,7,FALSE),R2795)</f>
        <v>9.7082714118749885E-2</v>
      </c>
      <c r="S2794" s="53">
        <f>IFERROR(VLOOKUP(B2794,'Pre-Summary'!$BG$6:$BM$44,6,FALSE),S2795)</f>
        <v>8.6132390492961911E-2</v>
      </c>
      <c r="T2794" s="45" t="str">
        <f>IFERROR(VLOOKUP(B2794,'Pre-Summary'!$Y$6:$AC$83, 3,FALSE),"")</f>
        <v/>
      </c>
      <c r="U2794" s="45" t="str">
        <f>IFERROR(VLOOKUP(B2794,'Pre-Summary'!$Y$6:$AC$83, 4,FALSE),"")</f>
        <v/>
      </c>
      <c r="V2794" t="str">
        <f>IFERROR(VLOOKUP(B2794,'Pre-Summary'!$Y$6:$AC$83, 5,FALSE),"")</f>
        <v/>
      </c>
      <c r="W2794" s="45" t="str">
        <f>IFERROR(VLOOKUP(B2794,'Pre-Summary'!$Y$6:$AD$83,6,FALSE),"")</f>
        <v/>
      </c>
      <c r="X2794" t="str">
        <f>IFERROR(VLOOKUP('Pre-Summary'!$DB$6:$DD$63,3,FALSE),"")</f>
        <v/>
      </c>
      <c r="Y2794" t="str">
        <f>IFERROR(VLOOKUP(B2794,'Pre-Summary'!$CR$6:$CT$36,3,FALSE),"")</f>
        <v/>
      </c>
      <c r="Z2794" s="45" t="str">
        <f>IFERROR(VLOOKUP(B2794,'Pre-Summary'!$BZ$6:$CB$63,2,FALSE),"")</f>
        <v/>
      </c>
      <c r="AA2794" s="45" t="str">
        <f>IFERROR(VLOOKUP(B2794,'Pre-Summary'!$CG$6:$CI$70,2,FALSE),"")</f>
        <v/>
      </c>
      <c r="AB2794" s="99">
        <f>IFERROR(VLOOKUP(B2794,'Pre-Summary'!$A$6:$P$178,9,FALSE),AB2795)</f>
        <v>0.7010379290946207</v>
      </c>
      <c r="AC2794" s="10">
        <f>IFERROR(VLOOKUP(Summary!B2794,'Pre-Summary'!$A$6:$P$184,5, FALSE)/100,AC2795)</f>
        <v>0.92607166666666674</v>
      </c>
      <c r="AD2794" s="10">
        <f>IFERROR(VLOOKUP(Summary!B2794,'Pre-Summary'!$A$6:$P$184,3, FALSE)/100,AD2795)</f>
        <v>5.4963666666666668E-2</v>
      </c>
      <c r="AE2794" s="10">
        <f>IFERROR(VLOOKUP(Summary!B2794,'Pre-Summary'!$A$6:$P$184,7, FALSE)/100,AE2795)</f>
        <v>1.8946666666666667E-2</v>
      </c>
      <c r="AF2794" s="99">
        <f t="shared" si="130"/>
        <v>3.8531615055447034E-2</v>
      </c>
      <c r="AG2794" s="99">
        <f t="shared" si="131"/>
        <v>1.3282331963246082E-2</v>
      </c>
      <c r="AH2794" s="10" t="str">
        <f>IFERROR(VLOOKUP(B2794,'Pre-Summary'!$AZ$6:$BE$65,3,FALSE),"")</f>
        <v/>
      </c>
      <c r="AI2794" s="10" t="str">
        <f>IFERROR(VLOOKUP(B2794,'Pre-Summary'!$AZ$6:$BE$65,5,FALSE),"")</f>
        <v/>
      </c>
      <c r="AJ2794" s="10" t="str">
        <f>IFERROR(VLOOKUP(B2794,'Pre-Summary'!$AZ$6:$BE$65,4,FALSE),"")</f>
        <v/>
      </c>
      <c r="AK2794" s="10" t="str">
        <f>IFERROR(VLOOKUP(B2794,'Pre-Summary'!$AZ$6:$BE$65,6,FALSE),"")</f>
        <v/>
      </c>
      <c r="AL2794" s="10" t="str">
        <f>IFERROR(VLOOKUP(B2794,'Pre-Summary'!$BG$6:$BL$44,3,FALSE),"")</f>
        <v/>
      </c>
      <c r="AM2794" s="10" t="str">
        <f>IFERROR(VLOOKUP(B2794,'Pre-Summary'!$BG$6:$BL$44,4,FALSE),"")</f>
        <v/>
      </c>
    </row>
    <row r="2795" spans="2:39" ht="15" customHeight="1" x14ac:dyDescent="0.3">
      <c r="B2795">
        <v>279.2</v>
      </c>
      <c r="C2795" t="str">
        <f>IFERROR(VLOOKUP(B2795,'Pre-Summary'!$DI$6:$DM$23,4,FALSE),"")</f>
        <v/>
      </c>
      <c r="D2795" s="10" t="str">
        <f>IFERROR(VLOOKUP(B2795,'Pre-Summary'!$AT$6:$AX$14,5,FALSE),D2794)</f>
        <v>Wolfe v3: went back to modified wolfe + EDTA and switched CuSO4 to CUCl2</v>
      </c>
      <c r="E2795" s="10" t="str">
        <f>IFERROR(VLOOKUP(B2795,'Pre-Summary'!$AT$6:$AX$15,4,FALSE),"")</f>
        <v/>
      </c>
      <c r="F2795">
        <f>IFERROR(VLOOKUP(B2795,'Pre-Summary'!$AL$6:$AQ$13,6,FALSE),F2794)</f>
        <v>5.9405263157894746E-2</v>
      </c>
      <c r="G2795" t="str">
        <f>IFERROR(VLOOKUP(B2795,'Pre-Summary'!$AE$6:$AJ$85,3,FALSE),"")</f>
        <v/>
      </c>
      <c r="H2795" t="str">
        <f>IFERROR(VLOOKUP(B2795,'Pre-Summary'!$AE$6:$AJ$85,4,FALSE),"")</f>
        <v/>
      </c>
      <c r="I2795" t="str">
        <f>IFERROR(VLOOKUP(B2795,'Pre-Summary'!$AE$6:$AJ$85,5,FALSE),"")</f>
        <v/>
      </c>
      <c r="J2795" s="45" t="str">
        <f>IFERROR(VLOOKUP(B2795,'Pre-Summary'!$AE$6:$AJ$85,6, FALSE),"")</f>
        <v/>
      </c>
      <c r="K2795" s="45" t="str">
        <f>IFERROR(VLOOKUP(B2795,'Pre-Summary'!$DE$6:$DG$61,3,FALSE),"")</f>
        <v/>
      </c>
      <c r="L2795" s="45" t="str">
        <f>IFERROR(VLOOKUP(B2795,'Pre-Summary'!$CU$6:$CW$36,3,FALSE),"")</f>
        <v/>
      </c>
      <c r="M2795" s="45" t="str">
        <f>IFERROR(VLOOKUP(B2795,'Pre-Summary'!$BW$6:$BY$58,2,FALSE),"")</f>
        <v/>
      </c>
      <c r="N2795" s="45" t="str">
        <f>IFERROR(VLOOKUP(B2795,'Pre-Summary'!$CD$6:$CF$64,2,FALSE),"")</f>
        <v/>
      </c>
      <c r="O2795" s="99">
        <f>IFERROR(VLOOKUP(B2795,'Pre-Summary'!$BO$6:$BQ$48,3, FALSE),O2794)</f>
        <v>2.1030000000000002</v>
      </c>
      <c r="P2795" s="99">
        <f>IFERROR(VLOOKUP(B2795,'Pre-Summary'!$BS$6:$BU$35,3,FALSE),P2794)</f>
        <v>0.53100000000000003</v>
      </c>
      <c r="Q2795" s="54">
        <f t="shared" si="129"/>
        <v>3.9604519774011302</v>
      </c>
      <c r="R2795" s="53">
        <f>IFERROR(VLOOKUP(B2795,'Pre-Summary'!$BG$6:$BM$44,7,FALSE),R2796)</f>
        <v>9.7082714118749885E-2</v>
      </c>
      <c r="S2795" s="53">
        <f>IFERROR(VLOOKUP(B2795,'Pre-Summary'!$BG$6:$BM$44,6,FALSE),S2796)</f>
        <v>8.6132390492961911E-2</v>
      </c>
      <c r="T2795" s="45" t="str">
        <f>IFERROR(VLOOKUP(B2795,'Pre-Summary'!$Y$6:$AC$83, 3,FALSE),"")</f>
        <v/>
      </c>
      <c r="U2795" s="45" t="str">
        <f>IFERROR(VLOOKUP(B2795,'Pre-Summary'!$Y$6:$AC$83, 4,FALSE),"")</f>
        <v/>
      </c>
      <c r="V2795" t="str">
        <f>IFERROR(VLOOKUP(B2795,'Pre-Summary'!$Y$6:$AC$83, 5,FALSE),"")</f>
        <v/>
      </c>
      <c r="W2795" s="45" t="str">
        <f>IFERROR(VLOOKUP(B2795,'Pre-Summary'!$Y$6:$AD$83,6,FALSE),"")</f>
        <v/>
      </c>
      <c r="X2795" t="str">
        <f>IFERROR(VLOOKUP('Pre-Summary'!$DB$6:$DD$63,3,FALSE),"")</f>
        <v/>
      </c>
      <c r="Y2795" t="str">
        <f>IFERROR(VLOOKUP(B2795,'Pre-Summary'!$CR$6:$CT$36,3,FALSE),"")</f>
        <v/>
      </c>
      <c r="Z2795" s="45" t="str">
        <f>IFERROR(VLOOKUP(B2795,'Pre-Summary'!$BZ$6:$CB$63,2,FALSE),"")</f>
        <v/>
      </c>
      <c r="AA2795" s="45" t="str">
        <f>IFERROR(VLOOKUP(B2795,'Pre-Summary'!$CG$6:$CI$70,2,FALSE),"")</f>
        <v/>
      </c>
      <c r="AB2795" s="99">
        <f>IFERROR(VLOOKUP(B2795,'Pre-Summary'!$A$6:$P$178,9,FALSE),AB2796)</f>
        <v>0.7010379290946207</v>
      </c>
      <c r="AC2795" s="10">
        <f>IFERROR(VLOOKUP(Summary!B2795,'Pre-Summary'!$A$6:$P$184,5, FALSE)/100,AC2796)</f>
        <v>0.92607166666666674</v>
      </c>
      <c r="AD2795" s="10">
        <f>IFERROR(VLOOKUP(Summary!B2795,'Pre-Summary'!$A$6:$P$184,3, FALSE)/100,AD2796)</f>
        <v>5.4963666666666668E-2</v>
      </c>
      <c r="AE2795" s="10">
        <f>IFERROR(VLOOKUP(Summary!B2795,'Pre-Summary'!$A$6:$P$184,7, FALSE)/100,AE2796)</f>
        <v>1.8946666666666667E-2</v>
      </c>
      <c r="AF2795" s="99">
        <f t="shared" si="130"/>
        <v>3.8531615055447034E-2</v>
      </c>
      <c r="AG2795" s="99">
        <f t="shared" si="131"/>
        <v>1.3282331963246082E-2</v>
      </c>
      <c r="AH2795" s="10" t="str">
        <f>IFERROR(VLOOKUP(B2795,'Pre-Summary'!$AZ$6:$BE$65,3,FALSE),"")</f>
        <v/>
      </c>
      <c r="AI2795" s="10" t="str">
        <f>IFERROR(VLOOKUP(B2795,'Pre-Summary'!$AZ$6:$BE$65,5,FALSE),"")</f>
        <v/>
      </c>
      <c r="AJ2795" s="10" t="str">
        <f>IFERROR(VLOOKUP(B2795,'Pre-Summary'!$AZ$6:$BE$65,4,FALSE),"")</f>
        <v/>
      </c>
      <c r="AK2795" s="10" t="str">
        <f>IFERROR(VLOOKUP(B2795,'Pre-Summary'!$AZ$6:$BE$65,6,FALSE),"")</f>
        <v/>
      </c>
      <c r="AL2795" s="10" t="str">
        <f>IFERROR(VLOOKUP(B2795,'Pre-Summary'!$BG$6:$BL$44,3,FALSE),"")</f>
        <v/>
      </c>
      <c r="AM2795" s="10" t="str">
        <f>IFERROR(VLOOKUP(B2795,'Pre-Summary'!$BG$6:$BL$44,4,FALSE),"")</f>
        <v/>
      </c>
    </row>
    <row r="2796" spans="2:39" ht="15" customHeight="1" x14ac:dyDescent="0.3">
      <c r="B2796">
        <v>279.3</v>
      </c>
      <c r="C2796" t="str">
        <f>IFERROR(VLOOKUP(B2796,'Pre-Summary'!$DI$6:$DM$23,4,FALSE),"")</f>
        <v/>
      </c>
      <c r="D2796" s="10" t="str">
        <f>IFERROR(VLOOKUP(B2796,'Pre-Summary'!$AT$6:$AX$14,5,FALSE),D2795)</f>
        <v>Wolfe v3: went back to modified wolfe + EDTA and switched CuSO4 to CUCl2</v>
      </c>
      <c r="E2796" s="10" t="str">
        <f>IFERROR(VLOOKUP(B2796,'Pre-Summary'!$AT$6:$AX$15,4,FALSE),"")</f>
        <v/>
      </c>
      <c r="F2796">
        <f>IFERROR(VLOOKUP(B2796,'Pre-Summary'!$AL$6:$AQ$13,6,FALSE),F2795)</f>
        <v>5.9405263157894746E-2</v>
      </c>
      <c r="G2796" t="str">
        <f>IFERROR(VLOOKUP(B2796,'Pre-Summary'!$AE$6:$AJ$85,3,FALSE),"")</f>
        <v/>
      </c>
      <c r="H2796" t="str">
        <f>IFERROR(VLOOKUP(B2796,'Pre-Summary'!$AE$6:$AJ$85,4,FALSE),"")</f>
        <v/>
      </c>
      <c r="I2796" t="str">
        <f>IFERROR(VLOOKUP(B2796,'Pre-Summary'!$AE$6:$AJ$85,5,FALSE),"")</f>
        <v/>
      </c>
      <c r="J2796" s="45" t="str">
        <f>IFERROR(VLOOKUP(B2796,'Pre-Summary'!$AE$6:$AJ$85,6, FALSE),"")</f>
        <v/>
      </c>
      <c r="K2796" s="45" t="str">
        <f>IFERROR(VLOOKUP(B2796,'Pre-Summary'!$DE$6:$DG$61,3,FALSE),"")</f>
        <v/>
      </c>
      <c r="L2796" s="45" t="str">
        <f>IFERROR(VLOOKUP(B2796,'Pre-Summary'!$CU$6:$CW$36,3,FALSE),"")</f>
        <v/>
      </c>
      <c r="M2796" s="45" t="str">
        <f>IFERROR(VLOOKUP(B2796,'Pre-Summary'!$BW$6:$BY$58,2,FALSE),"")</f>
        <v/>
      </c>
      <c r="N2796" s="45" t="str">
        <f>IFERROR(VLOOKUP(B2796,'Pre-Summary'!$CD$6:$CF$64,2,FALSE),"")</f>
        <v/>
      </c>
      <c r="O2796" s="99">
        <f>IFERROR(VLOOKUP(B2796,'Pre-Summary'!$BO$6:$BQ$48,3, FALSE),O2795)</f>
        <v>2.1030000000000002</v>
      </c>
      <c r="P2796" s="99">
        <f>IFERROR(VLOOKUP(B2796,'Pre-Summary'!$BS$6:$BU$35,3,FALSE),P2795)</f>
        <v>0.53100000000000003</v>
      </c>
      <c r="Q2796" s="54">
        <f t="shared" si="129"/>
        <v>3.9604519774011302</v>
      </c>
      <c r="R2796" s="53">
        <f>IFERROR(VLOOKUP(B2796,'Pre-Summary'!$BG$6:$BM$44,7,FALSE),R2797)</f>
        <v>9.7082714118749885E-2</v>
      </c>
      <c r="S2796" s="53">
        <f>IFERROR(VLOOKUP(B2796,'Pre-Summary'!$BG$6:$BM$44,6,FALSE),S2797)</f>
        <v>8.6132390492961911E-2</v>
      </c>
      <c r="T2796" s="45" t="str">
        <f>IFERROR(VLOOKUP(B2796,'Pre-Summary'!$Y$6:$AC$83, 3,FALSE),"")</f>
        <v/>
      </c>
      <c r="U2796" s="45" t="str">
        <f>IFERROR(VLOOKUP(B2796,'Pre-Summary'!$Y$6:$AC$83, 4,FALSE),"")</f>
        <v/>
      </c>
      <c r="V2796" t="str">
        <f>IFERROR(VLOOKUP(B2796,'Pre-Summary'!$Y$6:$AC$83, 5,FALSE),"")</f>
        <v/>
      </c>
      <c r="W2796" s="45" t="str">
        <f>IFERROR(VLOOKUP(B2796,'Pre-Summary'!$Y$6:$AD$83,6,FALSE),"")</f>
        <v/>
      </c>
      <c r="X2796" t="str">
        <f>IFERROR(VLOOKUP('Pre-Summary'!$DB$6:$DD$63,3,FALSE),"")</f>
        <v/>
      </c>
      <c r="Y2796" t="str">
        <f>IFERROR(VLOOKUP(B2796,'Pre-Summary'!$CR$6:$CT$36,3,FALSE),"")</f>
        <v/>
      </c>
      <c r="Z2796" s="45" t="str">
        <f>IFERROR(VLOOKUP(B2796,'Pre-Summary'!$BZ$6:$CB$63,2,FALSE),"")</f>
        <v/>
      </c>
      <c r="AA2796" s="45" t="str">
        <f>IFERROR(VLOOKUP(B2796,'Pre-Summary'!$CG$6:$CI$70,2,FALSE),"")</f>
        <v/>
      </c>
      <c r="AB2796" s="99">
        <f>IFERROR(VLOOKUP(B2796,'Pre-Summary'!$A$6:$P$178,9,FALSE),AB2797)</f>
        <v>0.7010379290946207</v>
      </c>
      <c r="AC2796" s="10">
        <f>IFERROR(VLOOKUP(Summary!B2796,'Pre-Summary'!$A$6:$P$184,5, FALSE)/100,AC2797)</f>
        <v>0.92607166666666674</v>
      </c>
      <c r="AD2796" s="10">
        <f>IFERROR(VLOOKUP(Summary!B2796,'Pre-Summary'!$A$6:$P$184,3, FALSE)/100,AD2797)</f>
        <v>5.4963666666666668E-2</v>
      </c>
      <c r="AE2796" s="10">
        <f>IFERROR(VLOOKUP(Summary!B2796,'Pre-Summary'!$A$6:$P$184,7, FALSE)/100,AE2797)</f>
        <v>1.8946666666666667E-2</v>
      </c>
      <c r="AF2796" s="99">
        <f t="shared" si="130"/>
        <v>3.8531615055447034E-2</v>
      </c>
      <c r="AG2796" s="99">
        <f t="shared" si="131"/>
        <v>1.3282331963246082E-2</v>
      </c>
      <c r="AH2796" s="10" t="str">
        <f>IFERROR(VLOOKUP(B2796,'Pre-Summary'!$AZ$6:$BE$65,3,FALSE),"")</f>
        <v/>
      </c>
      <c r="AI2796" s="10" t="str">
        <f>IFERROR(VLOOKUP(B2796,'Pre-Summary'!$AZ$6:$BE$65,5,FALSE),"")</f>
        <v/>
      </c>
      <c r="AJ2796" s="10" t="str">
        <f>IFERROR(VLOOKUP(B2796,'Pre-Summary'!$AZ$6:$BE$65,4,FALSE),"")</f>
        <v/>
      </c>
      <c r="AK2796" s="10" t="str">
        <f>IFERROR(VLOOKUP(B2796,'Pre-Summary'!$AZ$6:$BE$65,6,FALSE),"")</f>
        <v/>
      </c>
      <c r="AL2796" s="10" t="str">
        <f>IFERROR(VLOOKUP(B2796,'Pre-Summary'!$BG$6:$BL$44,3,FALSE),"")</f>
        <v/>
      </c>
      <c r="AM2796" s="10" t="str">
        <f>IFERROR(VLOOKUP(B2796,'Pre-Summary'!$BG$6:$BL$44,4,FALSE),"")</f>
        <v/>
      </c>
    </row>
    <row r="2797" spans="2:39" ht="15" customHeight="1" x14ac:dyDescent="0.3">
      <c r="B2797">
        <v>279.39999999999998</v>
      </c>
      <c r="C2797" t="str">
        <f>IFERROR(VLOOKUP(B2797,'Pre-Summary'!$DI$6:$DM$23,4,FALSE),"")</f>
        <v/>
      </c>
      <c r="D2797" s="10" t="str">
        <f>IFERROR(VLOOKUP(B2797,'Pre-Summary'!$AT$6:$AX$14,5,FALSE),D2796)</f>
        <v>Wolfe v3: went back to modified wolfe + EDTA and switched CuSO4 to CUCl2</v>
      </c>
      <c r="E2797" s="10" t="str">
        <f>IFERROR(VLOOKUP(B2797,'Pre-Summary'!$AT$6:$AX$15,4,FALSE),"")</f>
        <v/>
      </c>
      <c r="F2797">
        <f>IFERROR(VLOOKUP(B2797,'Pre-Summary'!$AL$6:$AQ$13,6,FALSE),F2796)</f>
        <v>5.9405263157894746E-2</v>
      </c>
      <c r="G2797" t="str">
        <f>IFERROR(VLOOKUP(B2797,'Pre-Summary'!$AE$6:$AJ$85,3,FALSE),"")</f>
        <v/>
      </c>
      <c r="H2797" t="str">
        <f>IFERROR(VLOOKUP(B2797,'Pre-Summary'!$AE$6:$AJ$85,4,FALSE),"")</f>
        <v/>
      </c>
      <c r="I2797" t="str">
        <f>IFERROR(VLOOKUP(B2797,'Pre-Summary'!$AE$6:$AJ$85,5,FALSE),"")</f>
        <v/>
      </c>
      <c r="J2797" s="45" t="str">
        <f>IFERROR(VLOOKUP(B2797,'Pre-Summary'!$AE$6:$AJ$85,6, FALSE),"")</f>
        <v/>
      </c>
      <c r="K2797" s="45" t="str">
        <f>IFERROR(VLOOKUP(B2797,'Pre-Summary'!$DE$6:$DG$61,3,FALSE),"")</f>
        <v/>
      </c>
      <c r="L2797" s="45" t="str">
        <f>IFERROR(VLOOKUP(B2797,'Pre-Summary'!$CU$6:$CW$36,3,FALSE),"")</f>
        <v/>
      </c>
      <c r="M2797" s="45" t="str">
        <f>IFERROR(VLOOKUP(B2797,'Pre-Summary'!$BW$6:$BY$58,2,FALSE),"")</f>
        <v/>
      </c>
      <c r="N2797" s="45" t="str">
        <f>IFERROR(VLOOKUP(B2797,'Pre-Summary'!$CD$6:$CF$64,2,FALSE),"")</f>
        <v/>
      </c>
      <c r="O2797" s="99">
        <f>IFERROR(VLOOKUP(B2797,'Pre-Summary'!$BO$6:$BQ$48,3, FALSE),O2796)</f>
        <v>2.1030000000000002</v>
      </c>
      <c r="P2797" s="99">
        <f>IFERROR(VLOOKUP(B2797,'Pre-Summary'!$BS$6:$BU$35,3,FALSE),P2796)</f>
        <v>0.53100000000000003</v>
      </c>
      <c r="Q2797" s="54">
        <f t="shared" si="129"/>
        <v>3.9604519774011302</v>
      </c>
      <c r="R2797" s="53">
        <f>IFERROR(VLOOKUP(B2797,'Pre-Summary'!$BG$6:$BM$44,7,FALSE),R2798)</f>
        <v>9.7082714118749885E-2</v>
      </c>
      <c r="S2797" s="53">
        <f>IFERROR(VLOOKUP(B2797,'Pre-Summary'!$BG$6:$BM$44,6,FALSE),S2798)</f>
        <v>8.6132390492961911E-2</v>
      </c>
      <c r="T2797" s="45" t="str">
        <f>IFERROR(VLOOKUP(B2797,'Pre-Summary'!$Y$6:$AC$83, 3,FALSE),"")</f>
        <v/>
      </c>
      <c r="U2797" s="45" t="str">
        <f>IFERROR(VLOOKUP(B2797,'Pre-Summary'!$Y$6:$AC$83, 4,FALSE),"")</f>
        <v/>
      </c>
      <c r="V2797" t="str">
        <f>IFERROR(VLOOKUP(B2797,'Pre-Summary'!$Y$6:$AC$83, 5,FALSE),"")</f>
        <v/>
      </c>
      <c r="W2797" s="45" t="str">
        <f>IFERROR(VLOOKUP(B2797,'Pre-Summary'!$Y$6:$AD$83,6,FALSE),"")</f>
        <v/>
      </c>
      <c r="X2797" t="str">
        <f>IFERROR(VLOOKUP('Pre-Summary'!$DB$6:$DD$63,3,FALSE),"")</f>
        <v/>
      </c>
      <c r="Y2797" t="str">
        <f>IFERROR(VLOOKUP(B2797,'Pre-Summary'!$CR$6:$CT$36,3,FALSE),"")</f>
        <v/>
      </c>
      <c r="Z2797" s="45" t="str">
        <f>IFERROR(VLOOKUP(B2797,'Pre-Summary'!$BZ$6:$CB$63,2,FALSE),"")</f>
        <v/>
      </c>
      <c r="AA2797" s="45" t="str">
        <f>IFERROR(VLOOKUP(B2797,'Pre-Summary'!$CG$6:$CI$70,2,FALSE),"")</f>
        <v/>
      </c>
      <c r="AB2797" s="99">
        <f>IFERROR(VLOOKUP(B2797,'Pre-Summary'!$A$6:$P$178,9,FALSE),AB2798)</f>
        <v>0.7010379290946207</v>
      </c>
      <c r="AC2797" s="10">
        <f>IFERROR(VLOOKUP(Summary!B2797,'Pre-Summary'!$A$6:$P$184,5, FALSE)/100,AC2798)</f>
        <v>0.92607166666666674</v>
      </c>
      <c r="AD2797" s="10">
        <f>IFERROR(VLOOKUP(Summary!B2797,'Pre-Summary'!$A$6:$P$184,3, FALSE)/100,AD2798)</f>
        <v>5.4963666666666668E-2</v>
      </c>
      <c r="AE2797" s="10">
        <f>IFERROR(VLOOKUP(Summary!B2797,'Pre-Summary'!$A$6:$P$184,7, FALSE)/100,AE2798)</f>
        <v>1.8946666666666667E-2</v>
      </c>
      <c r="AF2797" s="99">
        <f t="shared" si="130"/>
        <v>3.8531615055447034E-2</v>
      </c>
      <c r="AG2797" s="99">
        <f t="shared" si="131"/>
        <v>1.3282331963246082E-2</v>
      </c>
      <c r="AH2797" s="10" t="str">
        <f>IFERROR(VLOOKUP(B2797,'Pre-Summary'!$AZ$6:$BE$65,3,FALSE),"")</f>
        <v/>
      </c>
      <c r="AI2797" s="10" t="str">
        <f>IFERROR(VLOOKUP(B2797,'Pre-Summary'!$AZ$6:$BE$65,5,FALSE),"")</f>
        <v/>
      </c>
      <c r="AJ2797" s="10" t="str">
        <f>IFERROR(VLOOKUP(B2797,'Pre-Summary'!$AZ$6:$BE$65,4,FALSE),"")</f>
        <v/>
      </c>
      <c r="AK2797" s="10" t="str">
        <f>IFERROR(VLOOKUP(B2797,'Pre-Summary'!$AZ$6:$BE$65,6,FALSE),"")</f>
        <v/>
      </c>
      <c r="AL2797" s="10" t="str">
        <f>IFERROR(VLOOKUP(B2797,'Pre-Summary'!$BG$6:$BL$44,3,FALSE),"")</f>
        <v/>
      </c>
      <c r="AM2797" s="10" t="str">
        <f>IFERROR(VLOOKUP(B2797,'Pre-Summary'!$BG$6:$BL$44,4,FALSE),"")</f>
        <v/>
      </c>
    </row>
    <row r="2798" spans="2:39" ht="15" customHeight="1" x14ac:dyDescent="0.3">
      <c r="B2798">
        <v>279.5</v>
      </c>
      <c r="C2798" t="str">
        <f>IFERROR(VLOOKUP(B2798,'Pre-Summary'!$DI$6:$DM$23,4,FALSE),"")</f>
        <v/>
      </c>
      <c r="D2798" s="10" t="str">
        <f>IFERROR(VLOOKUP(B2798,'Pre-Summary'!$AT$6:$AX$14,5,FALSE),D2797)</f>
        <v>Wolfe v3: went back to modified wolfe + EDTA and switched CuSO4 to CUCl2</v>
      </c>
      <c r="E2798" s="10" t="str">
        <f>IFERROR(VLOOKUP(B2798,'Pre-Summary'!$AT$6:$AX$15,4,FALSE),"")</f>
        <v/>
      </c>
      <c r="F2798">
        <f>IFERROR(VLOOKUP(B2798,'Pre-Summary'!$AL$6:$AQ$13,6,FALSE),F2797)</f>
        <v>5.9405263157894746E-2</v>
      </c>
      <c r="G2798" t="str">
        <f>IFERROR(VLOOKUP(B2798,'Pre-Summary'!$AE$6:$AJ$85,3,FALSE),"")</f>
        <v/>
      </c>
      <c r="H2798" t="str">
        <f>IFERROR(VLOOKUP(B2798,'Pre-Summary'!$AE$6:$AJ$85,4,FALSE),"")</f>
        <v/>
      </c>
      <c r="I2798" t="str">
        <f>IFERROR(VLOOKUP(B2798,'Pre-Summary'!$AE$6:$AJ$85,5,FALSE),"")</f>
        <v/>
      </c>
      <c r="J2798" s="45" t="str">
        <f>IFERROR(VLOOKUP(B2798,'Pre-Summary'!$AE$6:$AJ$85,6, FALSE),"")</f>
        <v/>
      </c>
      <c r="K2798" s="45" t="str">
        <f>IFERROR(VLOOKUP(B2798,'Pre-Summary'!$DE$6:$DG$61,3,FALSE),"")</f>
        <v/>
      </c>
      <c r="L2798" s="45" t="str">
        <f>IFERROR(VLOOKUP(B2798,'Pre-Summary'!$CU$6:$CW$36,3,FALSE),"")</f>
        <v/>
      </c>
      <c r="M2798" s="45" t="str">
        <f>IFERROR(VLOOKUP(B2798,'Pre-Summary'!$BW$6:$BY$58,2,FALSE),"")</f>
        <v/>
      </c>
      <c r="N2798" s="45" t="str">
        <f>IFERROR(VLOOKUP(B2798,'Pre-Summary'!$CD$6:$CF$64,2,FALSE),"")</f>
        <v/>
      </c>
      <c r="O2798" s="99">
        <f>IFERROR(VLOOKUP(B2798,'Pre-Summary'!$BO$6:$BQ$48,3, FALSE),O2797)</f>
        <v>2.1030000000000002</v>
      </c>
      <c r="P2798" s="99">
        <f>IFERROR(VLOOKUP(B2798,'Pre-Summary'!$BS$6:$BU$35,3,FALSE),P2797)</f>
        <v>0.53100000000000003</v>
      </c>
      <c r="Q2798" s="54">
        <f t="shared" si="129"/>
        <v>3.9604519774011302</v>
      </c>
      <c r="R2798" s="53">
        <f>IFERROR(VLOOKUP(B2798,'Pre-Summary'!$BG$6:$BM$44,7,FALSE),R2799)</f>
        <v>9.7082714118749885E-2</v>
      </c>
      <c r="S2798" s="53">
        <f>IFERROR(VLOOKUP(B2798,'Pre-Summary'!$BG$6:$BM$44,6,FALSE),S2799)</f>
        <v>8.6132390492961911E-2</v>
      </c>
      <c r="T2798" s="45" t="str">
        <f>IFERROR(VLOOKUP(B2798,'Pre-Summary'!$Y$6:$AC$83, 3,FALSE),"")</f>
        <v/>
      </c>
      <c r="U2798" s="45" t="str">
        <f>IFERROR(VLOOKUP(B2798,'Pre-Summary'!$Y$6:$AC$83, 4,FALSE),"")</f>
        <v/>
      </c>
      <c r="V2798" t="str">
        <f>IFERROR(VLOOKUP(B2798,'Pre-Summary'!$Y$6:$AC$83, 5,FALSE),"")</f>
        <v/>
      </c>
      <c r="W2798" s="45" t="str">
        <f>IFERROR(VLOOKUP(B2798,'Pre-Summary'!$Y$6:$AD$83,6,FALSE),"")</f>
        <v/>
      </c>
      <c r="X2798" t="str">
        <f>IFERROR(VLOOKUP('Pre-Summary'!$DB$6:$DD$63,3,FALSE),"")</f>
        <v/>
      </c>
      <c r="Y2798" t="str">
        <f>IFERROR(VLOOKUP(B2798,'Pre-Summary'!$CR$6:$CT$36,3,FALSE),"")</f>
        <v/>
      </c>
      <c r="Z2798" s="45" t="str">
        <f>IFERROR(VLOOKUP(B2798,'Pre-Summary'!$BZ$6:$CB$63,2,FALSE),"")</f>
        <v/>
      </c>
      <c r="AA2798" s="45" t="str">
        <f>IFERROR(VLOOKUP(B2798,'Pre-Summary'!$CG$6:$CI$70,2,FALSE),"")</f>
        <v/>
      </c>
      <c r="AB2798" s="99">
        <f>IFERROR(VLOOKUP(B2798,'Pre-Summary'!$A$6:$P$178,9,FALSE),AB2799)</f>
        <v>0.7010379290946207</v>
      </c>
      <c r="AC2798" s="10">
        <f>IFERROR(VLOOKUP(Summary!B2798,'Pre-Summary'!$A$6:$P$184,5, FALSE)/100,AC2799)</f>
        <v>0.92607166666666674</v>
      </c>
      <c r="AD2798" s="10">
        <f>IFERROR(VLOOKUP(Summary!B2798,'Pre-Summary'!$A$6:$P$184,3, FALSE)/100,AD2799)</f>
        <v>5.4963666666666668E-2</v>
      </c>
      <c r="AE2798" s="10">
        <f>IFERROR(VLOOKUP(Summary!B2798,'Pre-Summary'!$A$6:$P$184,7, FALSE)/100,AE2799)</f>
        <v>1.8946666666666667E-2</v>
      </c>
      <c r="AF2798" s="99">
        <f t="shared" si="130"/>
        <v>3.8531615055447034E-2</v>
      </c>
      <c r="AG2798" s="99">
        <f t="shared" si="131"/>
        <v>1.3282331963246082E-2</v>
      </c>
      <c r="AH2798" s="10" t="str">
        <f>IFERROR(VLOOKUP(B2798,'Pre-Summary'!$AZ$6:$BE$65,3,FALSE),"")</f>
        <v/>
      </c>
      <c r="AI2798" s="10" t="str">
        <f>IFERROR(VLOOKUP(B2798,'Pre-Summary'!$AZ$6:$BE$65,5,FALSE),"")</f>
        <v/>
      </c>
      <c r="AJ2798" s="10" t="str">
        <f>IFERROR(VLOOKUP(B2798,'Pre-Summary'!$AZ$6:$BE$65,4,FALSE),"")</f>
        <v/>
      </c>
      <c r="AK2798" s="10" t="str">
        <f>IFERROR(VLOOKUP(B2798,'Pre-Summary'!$AZ$6:$BE$65,6,FALSE),"")</f>
        <v/>
      </c>
      <c r="AL2798" s="10" t="str">
        <f>IFERROR(VLOOKUP(B2798,'Pre-Summary'!$BG$6:$BL$44,3,FALSE),"")</f>
        <v/>
      </c>
      <c r="AM2798" s="10" t="str">
        <f>IFERROR(VLOOKUP(B2798,'Pre-Summary'!$BG$6:$BL$44,4,FALSE),"")</f>
        <v/>
      </c>
    </row>
    <row r="2799" spans="2:39" ht="15" customHeight="1" x14ac:dyDescent="0.3">
      <c r="B2799">
        <v>279.60000000000002</v>
      </c>
      <c r="C2799" t="str">
        <f>IFERROR(VLOOKUP(B2799,'Pre-Summary'!$DI$6:$DM$23,4,FALSE),"")</f>
        <v/>
      </c>
      <c r="D2799" s="10" t="str">
        <f>IFERROR(VLOOKUP(B2799,'Pre-Summary'!$AT$6:$AX$14,5,FALSE),D2798)</f>
        <v>Wolfe v3: went back to modified wolfe + EDTA and switched CuSO4 to CUCl2</v>
      </c>
      <c r="E2799" s="10" t="str">
        <f>IFERROR(VLOOKUP(B2799,'Pre-Summary'!$AT$6:$AX$15,4,FALSE),"")</f>
        <v/>
      </c>
      <c r="F2799">
        <f>IFERROR(VLOOKUP(B2799,'Pre-Summary'!$AL$6:$AQ$13,6,FALSE),F2798)</f>
        <v>5.9405263157894746E-2</v>
      </c>
      <c r="G2799" t="str">
        <f>IFERROR(VLOOKUP(B2799,'Pre-Summary'!$AE$6:$AJ$85,3,FALSE),"")</f>
        <v/>
      </c>
      <c r="H2799" t="str">
        <f>IFERROR(VLOOKUP(B2799,'Pre-Summary'!$AE$6:$AJ$85,4,FALSE),"")</f>
        <v/>
      </c>
      <c r="I2799" t="str">
        <f>IFERROR(VLOOKUP(B2799,'Pre-Summary'!$AE$6:$AJ$85,5,FALSE),"")</f>
        <v/>
      </c>
      <c r="J2799" s="45" t="str">
        <f>IFERROR(VLOOKUP(B2799,'Pre-Summary'!$AE$6:$AJ$85,6, FALSE),"")</f>
        <v/>
      </c>
      <c r="K2799" s="45" t="str">
        <f>IFERROR(VLOOKUP(B2799,'Pre-Summary'!$DE$6:$DG$61,3,FALSE),"")</f>
        <v/>
      </c>
      <c r="L2799" s="45" t="str">
        <f>IFERROR(VLOOKUP(B2799,'Pre-Summary'!$CU$6:$CW$36,3,FALSE),"")</f>
        <v/>
      </c>
      <c r="M2799" s="45" t="str">
        <f>IFERROR(VLOOKUP(B2799,'Pre-Summary'!$BW$6:$BY$58,2,FALSE),"")</f>
        <v/>
      </c>
      <c r="N2799" s="45" t="str">
        <f>IFERROR(VLOOKUP(B2799,'Pre-Summary'!$CD$6:$CF$64,2,FALSE),"")</f>
        <v/>
      </c>
      <c r="O2799" s="99">
        <f>IFERROR(VLOOKUP(B2799,'Pre-Summary'!$BO$6:$BQ$48,3, FALSE),O2798)</f>
        <v>2.1030000000000002</v>
      </c>
      <c r="P2799" s="99">
        <f>IFERROR(VLOOKUP(B2799,'Pre-Summary'!$BS$6:$BU$35,3,FALSE),P2798)</f>
        <v>0.53100000000000003</v>
      </c>
      <c r="Q2799" s="54">
        <f t="shared" si="129"/>
        <v>3.9604519774011302</v>
      </c>
      <c r="R2799" s="53">
        <f>IFERROR(VLOOKUP(B2799,'Pre-Summary'!$BG$6:$BM$44,7,FALSE),R2800)</f>
        <v>9.7082714118749885E-2</v>
      </c>
      <c r="S2799" s="53">
        <f>IFERROR(VLOOKUP(B2799,'Pre-Summary'!$BG$6:$BM$44,6,FALSE),S2800)</f>
        <v>8.6132390492961911E-2</v>
      </c>
      <c r="T2799" s="45" t="str">
        <f>IFERROR(VLOOKUP(B2799,'Pre-Summary'!$Y$6:$AC$83, 3,FALSE),"")</f>
        <v/>
      </c>
      <c r="U2799" s="45" t="str">
        <f>IFERROR(VLOOKUP(B2799,'Pre-Summary'!$Y$6:$AC$83, 4,FALSE),"")</f>
        <v/>
      </c>
      <c r="V2799" t="str">
        <f>IFERROR(VLOOKUP(B2799,'Pre-Summary'!$Y$6:$AC$83, 5,FALSE),"")</f>
        <v/>
      </c>
      <c r="W2799" s="45" t="str">
        <f>IFERROR(VLOOKUP(B2799,'Pre-Summary'!$Y$6:$AD$83,6,FALSE),"")</f>
        <v/>
      </c>
      <c r="X2799" t="str">
        <f>IFERROR(VLOOKUP('Pre-Summary'!$DB$6:$DD$63,3,FALSE),"")</f>
        <v/>
      </c>
      <c r="Y2799" t="str">
        <f>IFERROR(VLOOKUP(B2799,'Pre-Summary'!$CR$6:$CT$36,3,FALSE),"")</f>
        <v/>
      </c>
      <c r="Z2799" s="45" t="str">
        <f>IFERROR(VLOOKUP(B2799,'Pre-Summary'!$BZ$6:$CB$63,2,FALSE),"")</f>
        <v/>
      </c>
      <c r="AA2799" s="45" t="str">
        <f>IFERROR(VLOOKUP(B2799,'Pre-Summary'!$CG$6:$CI$70,2,FALSE),"")</f>
        <v/>
      </c>
      <c r="AB2799" s="99">
        <f>IFERROR(VLOOKUP(B2799,'Pre-Summary'!$A$6:$P$178,9,FALSE),AB2800)</f>
        <v>0.7010379290946207</v>
      </c>
      <c r="AC2799" s="10">
        <f>IFERROR(VLOOKUP(Summary!B2799,'Pre-Summary'!$A$6:$P$184,5, FALSE)/100,AC2800)</f>
        <v>0.92607166666666674</v>
      </c>
      <c r="AD2799" s="10">
        <f>IFERROR(VLOOKUP(Summary!B2799,'Pre-Summary'!$A$6:$P$184,3, FALSE)/100,AD2800)</f>
        <v>5.4963666666666668E-2</v>
      </c>
      <c r="AE2799" s="10">
        <f>IFERROR(VLOOKUP(Summary!B2799,'Pre-Summary'!$A$6:$P$184,7, FALSE)/100,AE2800)</f>
        <v>1.8946666666666667E-2</v>
      </c>
      <c r="AF2799" s="99">
        <f t="shared" si="130"/>
        <v>3.8531615055447034E-2</v>
      </c>
      <c r="AG2799" s="99">
        <f t="shared" si="131"/>
        <v>1.3282331963246082E-2</v>
      </c>
      <c r="AH2799" s="10" t="str">
        <f>IFERROR(VLOOKUP(B2799,'Pre-Summary'!$AZ$6:$BE$65,3,FALSE),"")</f>
        <v/>
      </c>
      <c r="AI2799" s="10" t="str">
        <f>IFERROR(VLOOKUP(B2799,'Pre-Summary'!$AZ$6:$BE$65,5,FALSE),"")</f>
        <v/>
      </c>
      <c r="AJ2799" s="10" t="str">
        <f>IFERROR(VLOOKUP(B2799,'Pre-Summary'!$AZ$6:$BE$65,4,FALSE),"")</f>
        <v/>
      </c>
      <c r="AK2799" s="10" t="str">
        <f>IFERROR(VLOOKUP(B2799,'Pre-Summary'!$AZ$6:$BE$65,6,FALSE),"")</f>
        <v/>
      </c>
      <c r="AL2799" s="10" t="str">
        <f>IFERROR(VLOOKUP(B2799,'Pre-Summary'!$BG$6:$BL$44,3,FALSE),"")</f>
        <v/>
      </c>
      <c r="AM2799" s="10" t="str">
        <f>IFERROR(VLOOKUP(B2799,'Pre-Summary'!$BG$6:$BL$44,4,FALSE),"")</f>
        <v/>
      </c>
    </row>
    <row r="2800" spans="2:39" ht="15" customHeight="1" x14ac:dyDescent="0.3">
      <c r="B2800">
        <v>279.7</v>
      </c>
      <c r="C2800" t="str">
        <f>IFERROR(VLOOKUP(B2800,'Pre-Summary'!$DI$6:$DM$23,4,FALSE),"")</f>
        <v/>
      </c>
      <c r="D2800" s="10" t="str">
        <f>IFERROR(VLOOKUP(B2800,'Pre-Summary'!$AT$6:$AX$14,5,FALSE),D2799)</f>
        <v>Wolfe v3: went back to modified wolfe + EDTA and switched CuSO4 to CUCl2</v>
      </c>
      <c r="E2800" s="10" t="str">
        <f>IFERROR(VLOOKUP(B2800,'Pre-Summary'!$AT$6:$AX$15,4,FALSE),"")</f>
        <v/>
      </c>
      <c r="F2800">
        <f>IFERROR(VLOOKUP(B2800,'Pre-Summary'!$AL$6:$AQ$13,6,FALSE),F2799)</f>
        <v>5.9405263157894746E-2</v>
      </c>
      <c r="G2800" t="str">
        <f>IFERROR(VLOOKUP(B2800,'Pre-Summary'!$AE$6:$AJ$85,3,FALSE),"")</f>
        <v/>
      </c>
      <c r="H2800" t="str">
        <f>IFERROR(VLOOKUP(B2800,'Pre-Summary'!$AE$6:$AJ$85,4,FALSE),"")</f>
        <v/>
      </c>
      <c r="I2800" t="str">
        <f>IFERROR(VLOOKUP(B2800,'Pre-Summary'!$AE$6:$AJ$85,5,FALSE),"")</f>
        <v/>
      </c>
      <c r="J2800" s="45" t="str">
        <f>IFERROR(VLOOKUP(B2800,'Pre-Summary'!$AE$6:$AJ$85,6, FALSE),"")</f>
        <v/>
      </c>
      <c r="K2800" s="45" t="str">
        <f>IFERROR(VLOOKUP(B2800,'Pre-Summary'!$DE$6:$DG$61,3,FALSE),"")</f>
        <v/>
      </c>
      <c r="L2800" s="45" t="str">
        <f>IFERROR(VLOOKUP(B2800,'Pre-Summary'!$CU$6:$CW$36,3,FALSE),"")</f>
        <v/>
      </c>
      <c r="M2800" s="45" t="str">
        <f>IFERROR(VLOOKUP(B2800,'Pre-Summary'!$BW$6:$BY$58,2,FALSE),"")</f>
        <v/>
      </c>
      <c r="N2800" s="45" t="str">
        <f>IFERROR(VLOOKUP(B2800,'Pre-Summary'!$CD$6:$CF$64,2,FALSE),"")</f>
        <v/>
      </c>
      <c r="O2800" s="99">
        <f>IFERROR(VLOOKUP(B2800,'Pre-Summary'!$BO$6:$BQ$48,3, FALSE),O2799)</f>
        <v>2.1030000000000002</v>
      </c>
      <c r="P2800" s="99">
        <f>IFERROR(VLOOKUP(B2800,'Pre-Summary'!$BS$6:$BU$35,3,FALSE),P2799)</f>
        <v>0.53100000000000003</v>
      </c>
      <c r="Q2800" s="54">
        <f t="shared" si="129"/>
        <v>3.9604519774011302</v>
      </c>
      <c r="R2800" s="53">
        <f>IFERROR(VLOOKUP(B2800,'Pre-Summary'!$BG$6:$BM$44,7,FALSE),R2801)</f>
        <v>9.7082714118749885E-2</v>
      </c>
      <c r="S2800" s="53">
        <f>IFERROR(VLOOKUP(B2800,'Pre-Summary'!$BG$6:$BM$44,6,FALSE),S2801)</f>
        <v>8.6132390492961911E-2</v>
      </c>
      <c r="T2800" s="45" t="str">
        <f>IFERROR(VLOOKUP(B2800,'Pre-Summary'!$Y$6:$AC$83, 3,FALSE),"")</f>
        <v/>
      </c>
      <c r="U2800" s="45" t="str">
        <f>IFERROR(VLOOKUP(B2800,'Pre-Summary'!$Y$6:$AC$83, 4,FALSE),"")</f>
        <v/>
      </c>
      <c r="V2800" t="str">
        <f>IFERROR(VLOOKUP(B2800,'Pre-Summary'!$Y$6:$AC$83, 5,FALSE),"")</f>
        <v/>
      </c>
      <c r="W2800" s="45" t="str">
        <f>IFERROR(VLOOKUP(B2800,'Pre-Summary'!$Y$6:$AD$83,6,FALSE),"")</f>
        <v/>
      </c>
      <c r="X2800" t="str">
        <f>IFERROR(VLOOKUP('Pre-Summary'!$DB$6:$DD$63,3,FALSE),"")</f>
        <v/>
      </c>
      <c r="Y2800" t="str">
        <f>IFERROR(VLOOKUP(B2800,'Pre-Summary'!$CR$6:$CT$36,3,FALSE),"")</f>
        <v/>
      </c>
      <c r="Z2800" s="45" t="str">
        <f>IFERROR(VLOOKUP(B2800,'Pre-Summary'!$BZ$6:$CB$63,2,FALSE),"")</f>
        <v/>
      </c>
      <c r="AA2800" s="45" t="str">
        <f>IFERROR(VLOOKUP(B2800,'Pre-Summary'!$CG$6:$CI$70,2,FALSE),"")</f>
        <v/>
      </c>
      <c r="AB2800" s="99">
        <f>IFERROR(VLOOKUP(B2800,'Pre-Summary'!$A$6:$P$178,9,FALSE),AB2801)</f>
        <v>0.7010379290946207</v>
      </c>
      <c r="AC2800" s="10">
        <f>IFERROR(VLOOKUP(Summary!B2800,'Pre-Summary'!$A$6:$P$184,5, FALSE)/100,AC2801)</f>
        <v>0.92607166666666674</v>
      </c>
      <c r="AD2800" s="10">
        <f>IFERROR(VLOOKUP(Summary!B2800,'Pre-Summary'!$A$6:$P$184,3, FALSE)/100,AD2801)</f>
        <v>5.4963666666666668E-2</v>
      </c>
      <c r="AE2800" s="10">
        <f>IFERROR(VLOOKUP(Summary!B2800,'Pre-Summary'!$A$6:$P$184,7, FALSE)/100,AE2801)</f>
        <v>1.8946666666666667E-2</v>
      </c>
      <c r="AF2800" s="99">
        <f t="shared" si="130"/>
        <v>3.8531615055447034E-2</v>
      </c>
      <c r="AG2800" s="99">
        <f t="shared" si="131"/>
        <v>1.3282331963246082E-2</v>
      </c>
      <c r="AH2800" s="10" t="str">
        <f>IFERROR(VLOOKUP(B2800,'Pre-Summary'!$AZ$6:$BE$65,3,FALSE),"")</f>
        <v/>
      </c>
      <c r="AI2800" s="10" t="str">
        <f>IFERROR(VLOOKUP(B2800,'Pre-Summary'!$AZ$6:$BE$65,5,FALSE),"")</f>
        <v/>
      </c>
      <c r="AJ2800" s="10" t="str">
        <f>IFERROR(VLOOKUP(B2800,'Pre-Summary'!$AZ$6:$BE$65,4,FALSE),"")</f>
        <v/>
      </c>
      <c r="AK2800" s="10" t="str">
        <f>IFERROR(VLOOKUP(B2800,'Pre-Summary'!$AZ$6:$BE$65,6,FALSE),"")</f>
        <v/>
      </c>
      <c r="AL2800" s="10" t="str">
        <f>IFERROR(VLOOKUP(B2800,'Pre-Summary'!$BG$6:$BL$44,3,FALSE),"")</f>
        <v/>
      </c>
      <c r="AM2800" s="10" t="str">
        <f>IFERROR(VLOOKUP(B2800,'Pre-Summary'!$BG$6:$BL$44,4,FALSE),"")</f>
        <v/>
      </c>
    </row>
    <row r="2801" spans="2:39" ht="15" customHeight="1" x14ac:dyDescent="0.3">
      <c r="B2801">
        <v>279.8</v>
      </c>
      <c r="C2801" t="str">
        <f>IFERROR(VLOOKUP(B2801,'Pre-Summary'!$DI$6:$DM$23,4,FALSE),"")</f>
        <v/>
      </c>
      <c r="D2801" s="10" t="str">
        <f>IFERROR(VLOOKUP(B2801,'Pre-Summary'!$AT$6:$AX$14,5,FALSE),D2800)</f>
        <v>Wolfe v3: went back to modified wolfe + EDTA and switched CuSO4 to CUCl2</v>
      </c>
      <c r="E2801" s="10" t="str">
        <f>IFERROR(VLOOKUP(B2801,'Pre-Summary'!$AT$6:$AX$15,4,FALSE),"")</f>
        <v/>
      </c>
      <c r="F2801">
        <f>IFERROR(VLOOKUP(B2801,'Pre-Summary'!$AL$6:$AQ$13,6,FALSE),F2800)</f>
        <v>5.9405263157894746E-2</v>
      </c>
      <c r="G2801" t="str">
        <f>IFERROR(VLOOKUP(B2801,'Pre-Summary'!$AE$6:$AJ$85,3,FALSE),"")</f>
        <v/>
      </c>
      <c r="H2801" t="str">
        <f>IFERROR(VLOOKUP(B2801,'Pre-Summary'!$AE$6:$AJ$85,4,FALSE),"")</f>
        <v/>
      </c>
      <c r="I2801" t="str">
        <f>IFERROR(VLOOKUP(B2801,'Pre-Summary'!$AE$6:$AJ$85,5,FALSE),"")</f>
        <v/>
      </c>
      <c r="J2801" s="45" t="str">
        <f>IFERROR(VLOOKUP(B2801,'Pre-Summary'!$AE$6:$AJ$85,6, FALSE),"")</f>
        <v/>
      </c>
      <c r="K2801" s="45" t="str">
        <f>IFERROR(VLOOKUP(B2801,'Pre-Summary'!$DE$6:$DG$61,3,FALSE),"")</f>
        <v/>
      </c>
      <c r="L2801" s="45" t="str">
        <f>IFERROR(VLOOKUP(B2801,'Pre-Summary'!$CU$6:$CW$36,3,FALSE),"")</f>
        <v/>
      </c>
      <c r="M2801" s="45" t="str">
        <f>IFERROR(VLOOKUP(B2801,'Pre-Summary'!$BW$6:$BY$58,2,FALSE),"")</f>
        <v/>
      </c>
      <c r="N2801" s="45" t="str">
        <f>IFERROR(VLOOKUP(B2801,'Pre-Summary'!$CD$6:$CF$64,2,FALSE),"")</f>
        <v/>
      </c>
      <c r="O2801" s="99">
        <f>IFERROR(VLOOKUP(B2801,'Pre-Summary'!$BO$6:$BQ$48,3, FALSE),O2800)</f>
        <v>2.1030000000000002</v>
      </c>
      <c r="P2801" s="99">
        <f>IFERROR(VLOOKUP(B2801,'Pre-Summary'!$BS$6:$BU$35,3,FALSE),P2800)</f>
        <v>0.53100000000000003</v>
      </c>
      <c r="Q2801" s="54">
        <f t="shared" si="129"/>
        <v>3.9604519774011302</v>
      </c>
      <c r="R2801" s="53">
        <f>IFERROR(VLOOKUP(B2801,'Pre-Summary'!$BG$6:$BM$44,7,FALSE),R2802)</f>
        <v>9.7082714118749885E-2</v>
      </c>
      <c r="S2801" s="53">
        <f>IFERROR(VLOOKUP(B2801,'Pre-Summary'!$BG$6:$BM$44,6,FALSE),S2802)</f>
        <v>8.6132390492961911E-2</v>
      </c>
      <c r="T2801" s="45" t="str">
        <f>IFERROR(VLOOKUP(B2801,'Pre-Summary'!$Y$6:$AC$83, 3,FALSE),"")</f>
        <v/>
      </c>
      <c r="U2801" s="45" t="str">
        <f>IFERROR(VLOOKUP(B2801,'Pre-Summary'!$Y$6:$AC$83, 4,FALSE),"")</f>
        <v/>
      </c>
      <c r="V2801" t="str">
        <f>IFERROR(VLOOKUP(B2801,'Pre-Summary'!$Y$6:$AC$83, 5,FALSE),"")</f>
        <v/>
      </c>
      <c r="W2801" s="45" t="str">
        <f>IFERROR(VLOOKUP(B2801,'Pre-Summary'!$Y$6:$AD$83,6,FALSE),"")</f>
        <v/>
      </c>
      <c r="X2801" t="str">
        <f>IFERROR(VLOOKUP('Pre-Summary'!$DB$6:$DD$63,3,FALSE),"")</f>
        <v/>
      </c>
      <c r="Y2801" t="str">
        <f>IFERROR(VLOOKUP(B2801,'Pre-Summary'!$CR$6:$CT$36,3,FALSE),"")</f>
        <v/>
      </c>
      <c r="Z2801" s="45" t="str">
        <f>IFERROR(VLOOKUP(B2801,'Pre-Summary'!$BZ$6:$CB$63,2,FALSE),"")</f>
        <v/>
      </c>
      <c r="AA2801" s="45" t="str">
        <f>IFERROR(VLOOKUP(B2801,'Pre-Summary'!$CG$6:$CI$70,2,FALSE),"")</f>
        <v/>
      </c>
      <c r="AB2801" s="99">
        <f>IFERROR(VLOOKUP(B2801,'Pre-Summary'!$A$6:$P$178,9,FALSE),AB2802)</f>
        <v>0.7010379290946207</v>
      </c>
      <c r="AC2801" s="10">
        <f>IFERROR(VLOOKUP(Summary!B2801,'Pre-Summary'!$A$6:$P$184,5, FALSE)/100,AC2802)</f>
        <v>0.92607166666666674</v>
      </c>
      <c r="AD2801" s="10">
        <f>IFERROR(VLOOKUP(Summary!B2801,'Pre-Summary'!$A$6:$P$184,3, FALSE)/100,AD2802)</f>
        <v>5.4963666666666668E-2</v>
      </c>
      <c r="AE2801" s="10">
        <f>IFERROR(VLOOKUP(Summary!B2801,'Pre-Summary'!$A$6:$P$184,7, FALSE)/100,AE2802)</f>
        <v>1.8946666666666667E-2</v>
      </c>
      <c r="AF2801" s="99">
        <f t="shared" si="130"/>
        <v>3.8531615055447034E-2</v>
      </c>
      <c r="AG2801" s="99">
        <f t="shared" si="131"/>
        <v>1.3282331963246082E-2</v>
      </c>
      <c r="AH2801" s="10" t="str">
        <f>IFERROR(VLOOKUP(B2801,'Pre-Summary'!$AZ$6:$BE$65,3,FALSE),"")</f>
        <v/>
      </c>
      <c r="AI2801" s="10" t="str">
        <f>IFERROR(VLOOKUP(B2801,'Pre-Summary'!$AZ$6:$BE$65,5,FALSE),"")</f>
        <v/>
      </c>
      <c r="AJ2801" s="10" t="str">
        <f>IFERROR(VLOOKUP(B2801,'Pre-Summary'!$AZ$6:$BE$65,4,FALSE),"")</f>
        <v/>
      </c>
      <c r="AK2801" s="10" t="str">
        <f>IFERROR(VLOOKUP(B2801,'Pre-Summary'!$AZ$6:$BE$65,6,FALSE),"")</f>
        <v/>
      </c>
      <c r="AL2801" s="10" t="str">
        <f>IFERROR(VLOOKUP(B2801,'Pre-Summary'!$BG$6:$BL$44,3,FALSE),"")</f>
        <v/>
      </c>
      <c r="AM2801" s="10" t="str">
        <f>IFERROR(VLOOKUP(B2801,'Pre-Summary'!$BG$6:$BL$44,4,FALSE),"")</f>
        <v/>
      </c>
    </row>
    <row r="2802" spans="2:39" ht="15" customHeight="1" x14ac:dyDescent="0.3">
      <c r="B2802">
        <v>279.89999999999998</v>
      </c>
      <c r="C2802" t="str">
        <f>IFERROR(VLOOKUP(B2802,'Pre-Summary'!$DI$6:$DM$23,4,FALSE),"")</f>
        <v/>
      </c>
      <c r="D2802" s="10" t="str">
        <f>IFERROR(VLOOKUP(B2802,'Pre-Summary'!$AT$6:$AX$14,5,FALSE),D2801)</f>
        <v>Wolfe v3: went back to modified wolfe + EDTA and switched CuSO4 to CUCl2</v>
      </c>
      <c r="E2802" s="10" t="str">
        <f>IFERROR(VLOOKUP(B2802,'Pre-Summary'!$AT$6:$AX$15,4,FALSE),"")</f>
        <v/>
      </c>
      <c r="F2802">
        <f>IFERROR(VLOOKUP(B2802,'Pre-Summary'!$AL$6:$AQ$13,6,FALSE),F2801)</f>
        <v>5.9405263157894746E-2</v>
      </c>
      <c r="G2802" t="str">
        <f>IFERROR(VLOOKUP(B2802,'Pre-Summary'!$AE$6:$AJ$85,3,FALSE),"")</f>
        <v/>
      </c>
      <c r="H2802" t="str">
        <f>IFERROR(VLOOKUP(B2802,'Pre-Summary'!$AE$6:$AJ$85,4,FALSE),"")</f>
        <v/>
      </c>
      <c r="I2802" t="str">
        <f>IFERROR(VLOOKUP(B2802,'Pre-Summary'!$AE$6:$AJ$85,5,FALSE),"")</f>
        <v/>
      </c>
      <c r="J2802" s="45" t="str">
        <f>IFERROR(VLOOKUP(B2802,'Pre-Summary'!$AE$6:$AJ$85,6, FALSE),"")</f>
        <v/>
      </c>
      <c r="K2802" s="45" t="str">
        <f>IFERROR(VLOOKUP(B2802,'Pre-Summary'!$DE$6:$DG$61,3,FALSE),"")</f>
        <v/>
      </c>
      <c r="L2802" s="45" t="str">
        <f>IFERROR(VLOOKUP(B2802,'Pre-Summary'!$CU$6:$CW$36,3,FALSE),"")</f>
        <v/>
      </c>
      <c r="M2802" s="45" t="str">
        <f>IFERROR(VLOOKUP(B2802,'Pre-Summary'!$BW$6:$BY$58,2,FALSE),"")</f>
        <v/>
      </c>
      <c r="N2802" s="45" t="str">
        <f>IFERROR(VLOOKUP(B2802,'Pre-Summary'!$CD$6:$CF$64,2,FALSE),"")</f>
        <v/>
      </c>
      <c r="O2802" s="99">
        <f>IFERROR(VLOOKUP(B2802,'Pre-Summary'!$BO$6:$BQ$48,3, FALSE),O2801)</f>
        <v>2.1030000000000002</v>
      </c>
      <c r="P2802" s="99">
        <f>IFERROR(VLOOKUP(B2802,'Pre-Summary'!$BS$6:$BU$35,3,FALSE),P2801)</f>
        <v>0.53100000000000003</v>
      </c>
      <c r="Q2802" s="54">
        <f t="shared" si="129"/>
        <v>3.9604519774011302</v>
      </c>
      <c r="R2802" s="53">
        <f>IFERROR(VLOOKUP(B2802,'Pre-Summary'!$BG$6:$BM$44,7,FALSE),R2803)</f>
        <v>9.7082714118749885E-2</v>
      </c>
      <c r="S2802" s="53">
        <f>IFERROR(VLOOKUP(B2802,'Pre-Summary'!$BG$6:$BM$44,6,FALSE),S2803)</f>
        <v>8.6132390492961911E-2</v>
      </c>
      <c r="T2802" s="45" t="str">
        <f>IFERROR(VLOOKUP(B2802,'Pre-Summary'!$Y$6:$AC$83, 3,FALSE),"")</f>
        <v/>
      </c>
      <c r="U2802" s="45" t="str">
        <f>IFERROR(VLOOKUP(B2802,'Pre-Summary'!$Y$6:$AC$83, 4,FALSE),"")</f>
        <v/>
      </c>
      <c r="V2802" t="str">
        <f>IFERROR(VLOOKUP(B2802,'Pre-Summary'!$Y$6:$AC$83, 5,FALSE),"")</f>
        <v/>
      </c>
      <c r="W2802" s="45" t="str">
        <f>IFERROR(VLOOKUP(B2802,'Pre-Summary'!$Y$6:$AD$83,6,FALSE),"")</f>
        <v/>
      </c>
      <c r="X2802" t="str">
        <f>IFERROR(VLOOKUP('Pre-Summary'!$DB$6:$DD$63,3,FALSE),"")</f>
        <v/>
      </c>
      <c r="Y2802" t="str">
        <f>IFERROR(VLOOKUP(B2802,'Pre-Summary'!$CR$6:$CT$36,3,FALSE),"")</f>
        <v/>
      </c>
      <c r="Z2802" s="45" t="str">
        <f>IFERROR(VLOOKUP(B2802,'Pre-Summary'!$BZ$6:$CB$63,2,FALSE),"")</f>
        <v/>
      </c>
      <c r="AA2802" s="45" t="str">
        <f>IFERROR(VLOOKUP(B2802,'Pre-Summary'!$CG$6:$CI$70,2,FALSE),"")</f>
        <v/>
      </c>
      <c r="AB2802" s="99">
        <f>IFERROR(VLOOKUP(B2802,'Pre-Summary'!$A$6:$P$178,9,FALSE),AB2803)</f>
        <v>0.7010379290946207</v>
      </c>
      <c r="AC2802" s="10">
        <f>IFERROR(VLOOKUP(Summary!B2802,'Pre-Summary'!$A$6:$P$184,5, FALSE)/100,AC2803)</f>
        <v>0.92607166666666674</v>
      </c>
      <c r="AD2802" s="10">
        <f>IFERROR(VLOOKUP(Summary!B2802,'Pre-Summary'!$A$6:$P$184,3, FALSE)/100,AD2803)</f>
        <v>5.4963666666666668E-2</v>
      </c>
      <c r="AE2802" s="10">
        <f>IFERROR(VLOOKUP(Summary!B2802,'Pre-Summary'!$A$6:$P$184,7, FALSE)/100,AE2803)</f>
        <v>1.8946666666666667E-2</v>
      </c>
      <c r="AF2802" s="99">
        <f t="shared" si="130"/>
        <v>3.8531615055447034E-2</v>
      </c>
      <c r="AG2802" s="99">
        <f t="shared" si="131"/>
        <v>1.3282331963246082E-2</v>
      </c>
      <c r="AH2802" s="10" t="str">
        <f>IFERROR(VLOOKUP(B2802,'Pre-Summary'!$AZ$6:$BE$65,3,FALSE),"")</f>
        <v/>
      </c>
      <c r="AI2802" s="10" t="str">
        <f>IFERROR(VLOOKUP(B2802,'Pre-Summary'!$AZ$6:$BE$65,5,FALSE),"")</f>
        <v/>
      </c>
      <c r="AJ2802" s="10" t="str">
        <f>IFERROR(VLOOKUP(B2802,'Pre-Summary'!$AZ$6:$BE$65,4,FALSE),"")</f>
        <v/>
      </c>
      <c r="AK2802" s="10" t="str">
        <f>IFERROR(VLOOKUP(B2802,'Pre-Summary'!$AZ$6:$BE$65,6,FALSE),"")</f>
        <v/>
      </c>
      <c r="AL2802" s="10" t="str">
        <f>IFERROR(VLOOKUP(B2802,'Pre-Summary'!$BG$6:$BL$44,3,FALSE),"")</f>
        <v/>
      </c>
      <c r="AM2802" s="10" t="str">
        <f>IFERROR(VLOOKUP(B2802,'Pre-Summary'!$BG$6:$BL$44,4,FALSE),"")</f>
        <v/>
      </c>
    </row>
    <row r="2803" spans="2:39" ht="15" customHeight="1" x14ac:dyDescent="0.3">
      <c r="B2803">
        <v>280</v>
      </c>
      <c r="C2803" t="str">
        <f>IFERROR(VLOOKUP(B2803,'Pre-Summary'!$DI$6:$DM$23,4,FALSE),"")</f>
        <v/>
      </c>
      <c r="D2803" s="10" t="str">
        <f>IFERROR(VLOOKUP(B2803,'Pre-Summary'!$AT$6:$AX$14,5,FALSE),D2802)</f>
        <v>Wolfe v3: went back to modified wolfe + EDTA and switched CuSO4 to CUCl2</v>
      </c>
      <c r="E2803" s="10" t="str">
        <f>IFERROR(VLOOKUP(B2803,'Pre-Summary'!$AT$6:$AX$15,4,FALSE),"")</f>
        <v/>
      </c>
      <c r="F2803">
        <f>IFERROR(VLOOKUP(B2803,'Pre-Summary'!$AL$6:$AQ$13,6,FALSE),F2802)</f>
        <v>5.9405263157894746E-2</v>
      </c>
      <c r="G2803" t="str">
        <f>IFERROR(VLOOKUP(B2803,'Pre-Summary'!$AE$6:$AJ$85,3,FALSE),"")</f>
        <v/>
      </c>
      <c r="H2803" t="str">
        <f>IFERROR(VLOOKUP(B2803,'Pre-Summary'!$AE$6:$AJ$85,4,FALSE),"")</f>
        <v/>
      </c>
      <c r="I2803" t="str">
        <f>IFERROR(VLOOKUP(B2803,'Pre-Summary'!$AE$6:$AJ$85,5,FALSE),"")</f>
        <v/>
      </c>
      <c r="J2803" s="45" t="str">
        <f>IFERROR(VLOOKUP(B2803,'Pre-Summary'!$AE$6:$AJ$85,6, FALSE),"")</f>
        <v/>
      </c>
      <c r="K2803" s="45" t="str">
        <f>IFERROR(VLOOKUP(B2803,'Pre-Summary'!$DE$6:$DG$61,3,FALSE),"")</f>
        <v/>
      </c>
      <c r="L2803" s="45" t="str">
        <f>IFERROR(VLOOKUP(B2803,'Pre-Summary'!$CU$6:$CW$36,3,FALSE),"")</f>
        <v/>
      </c>
      <c r="M2803" s="45" t="str">
        <f>IFERROR(VLOOKUP(B2803,'Pre-Summary'!$BW$6:$BY$58,2,FALSE),"")</f>
        <v/>
      </c>
      <c r="N2803" s="45" t="str">
        <f>IFERROR(VLOOKUP(B2803,'Pre-Summary'!$CD$6:$CF$64,2,FALSE),"")</f>
        <v/>
      </c>
      <c r="O2803" s="99">
        <f>IFERROR(VLOOKUP(B2803,'Pre-Summary'!$BO$6:$BQ$48,3, FALSE),O2802)</f>
        <v>2.1030000000000002</v>
      </c>
      <c r="P2803" s="99">
        <f>IFERROR(VLOOKUP(B2803,'Pre-Summary'!$BS$6:$BU$35,3,FALSE),P2802)</f>
        <v>0.53100000000000003</v>
      </c>
      <c r="Q2803" s="54">
        <f t="shared" si="129"/>
        <v>3.9604519774011302</v>
      </c>
      <c r="R2803" s="53">
        <f>IFERROR(VLOOKUP(B2803,'Pre-Summary'!$BG$6:$BM$44,7,FALSE),R2804)</f>
        <v>9.7082714118749885E-2</v>
      </c>
      <c r="S2803" s="53">
        <f>IFERROR(VLOOKUP(B2803,'Pre-Summary'!$BG$6:$BM$44,6,FALSE),S2804)</f>
        <v>8.6132390492961911E-2</v>
      </c>
      <c r="T2803" s="45" t="str">
        <f>IFERROR(VLOOKUP(B2803,'Pre-Summary'!$Y$6:$AC$83, 3,FALSE),"")</f>
        <v/>
      </c>
      <c r="U2803" s="45" t="str">
        <f>IFERROR(VLOOKUP(B2803,'Pre-Summary'!$Y$6:$AC$83, 4,FALSE),"")</f>
        <v/>
      </c>
      <c r="V2803" t="str">
        <f>IFERROR(VLOOKUP(B2803,'Pre-Summary'!$Y$6:$AC$83, 5,FALSE),"")</f>
        <v/>
      </c>
      <c r="W2803" s="45" t="str">
        <f>IFERROR(VLOOKUP(B2803,'Pre-Summary'!$Y$6:$AD$83,6,FALSE),"")</f>
        <v/>
      </c>
      <c r="X2803" t="str">
        <f>IFERROR(VLOOKUP('Pre-Summary'!$DB$6:$DD$63,3,FALSE),"")</f>
        <v/>
      </c>
      <c r="Y2803" t="str">
        <f>IFERROR(VLOOKUP(B2803,'Pre-Summary'!$CR$6:$CT$36,3,FALSE),"")</f>
        <v/>
      </c>
      <c r="Z2803" s="45" t="str">
        <f>IFERROR(VLOOKUP(B2803,'Pre-Summary'!$BZ$6:$CB$63,2,FALSE),"")</f>
        <v/>
      </c>
      <c r="AA2803" s="45" t="str">
        <f>IFERROR(VLOOKUP(B2803,'Pre-Summary'!$CG$6:$CI$70,2,FALSE),"")</f>
        <v/>
      </c>
      <c r="AB2803" s="99">
        <f>IFERROR(VLOOKUP(B2803,'Pre-Summary'!$A$6:$P$178,9,FALSE),AB2804)</f>
        <v>0.7010379290946207</v>
      </c>
      <c r="AC2803" s="10">
        <f>IFERROR(VLOOKUP(Summary!B2803,'Pre-Summary'!$A$6:$P$184,5, FALSE)/100,AC2804)</f>
        <v>0.92607166666666674</v>
      </c>
      <c r="AD2803" s="10">
        <f>IFERROR(VLOOKUP(Summary!B2803,'Pre-Summary'!$A$6:$P$184,3, FALSE)/100,AD2804)</f>
        <v>5.4963666666666668E-2</v>
      </c>
      <c r="AE2803" s="10">
        <f>IFERROR(VLOOKUP(Summary!B2803,'Pre-Summary'!$A$6:$P$184,7, FALSE)/100,AE2804)</f>
        <v>1.8946666666666667E-2</v>
      </c>
      <c r="AF2803" s="99">
        <f t="shared" si="130"/>
        <v>3.8531615055447034E-2</v>
      </c>
      <c r="AG2803" s="99">
        <f t="shared" si="131"/>
        <v>1.3282331963246082E-2</v>
      </c>
      <c r="AH2803" s="10" t="str">
        <f>IFERROR(VLOOKUP(B2803,'Pre-Summary'!$AZ$6:$BE$65,3,FALSE),"")</f>
        <v/>
      </c>
      <c r="AI2803" s="10" t="str">
        <f>IFERROR(VLOOKUP(B2803,'Pre-Summary'!$AZ$6:$BE$65,5,FALSE),"")</f>
        <v/>
      </c>
      <c r="AJ2803" s="10" t="str">
        <f>IFERROR(VLOOKUP(B2803,'Pre-Summary'!$AZ$6:$BE$65,4,FALSE),"")</f>
        <v/>
      </c>
      <c r="AK2803" s="10" t="str">
        <f>IFERROR(VLOOKUP(B2803,'Pre-Summary'!$AZ$6:$BE$65,6,FALSE),"")</f>
        <v/>
      </c>
      <c r="AL2803" s="10" t="str">
        <f>IFERROR(VLOOKUP(B2803,'Pre-Summary'!$BG$6:$BL$44,3,FALSE),"")</f>
        <v/>
      </c>
      <c r="AM2803" s="10" t="str">
        <f>IFERROR(VLOOKUP(B2803,'Pre-Summary'!$BG$6:$BL$44,4,FALSE),"")</f>
        <v/>
      </c>
    </row>
    <row r="2804" spans="2:39" ht="15" customHeight="1" x14ac:dyDescent="0.3">
      <c r="B2804">
        <v>280.10000000000002</v>
      </c>
      <c r="C2804" t="str">
        <f>IFERROR(VLOOKUP(B2804,'Pre-Summary'!$DI$6:$DM$23,4,FALSE),"")</f>
        <v/>
      </c>
      <c r="D2804" s="10" t="str">
        <f>IFERROR(VLOOKUP(B2804,'Pre-Summary'!$AT$6:$AX$14,5,FALSE),D2803)</f>
        <v>Wolfe v3: went back to modified wolfe + EDTA and switched CuSO4 to CUCl2</v>
      </c>
      <c r="E2804" s="10" t="str">
        <f>IFERROR(VLOOKUP(B2804,'Pre-Summary'!$AT$6:$AX$15,4,FALSE),"")</f>
        <v/>
      </c>
      <c r="F2804">
        <f>IFERROR(VLOOKUP(B2804,'Pre-Summary'!$AL$6:$AQ$13,6,FALSE),F2803)</f>
        <v>5.9405263157894746E-2</v>
      </c>
      <c r="G2804" t="str">
        <f>IFERROR(VLOOKUP(B2804,'Pre-Summary'!$AE$6:$AJ$85,3,FALSE),"")</f>
        <v/>
      </c>
      <c r="H2804" t="str">
        <f>IFERROR(VLOOKUP(B2804,'Pre-Summary'!$AE$6:$AJ$85,4,FALSE),"")</f>
        <v/>
      </c>
      <c r="I2804" t="str">
        <f>IFERROR(VLOOKUP(B2804,'Pre-Summary'!$AE$6:$AJ$85,5,FALSE),"")</f>
        <v/>
      </c>
      <c r="J2804" s="45" t="str">
        <f>IFERROR(VLOOKUP(B2804,'Pre-Summary'!$AE$6:$AJ$85,6, FALSE),"")</f>
        <v/>
      </c>
      <c r="K2804" s="45" t="str">
        <f>IFERROR(VLOOKUP(B2804,'Pre-Summary'!$DE$6:$DG$61,3,FALSE),"")</f>
        <v/>
      </c>
      <c r="L2804" s="45" t="str">
        <f>IFERROR(VLOOKUP(B2804,'Pre-Summary'!$CU$6:$CW$36,3,FALSE),"")</f>
        <v/>
      </c>
      <c r="M2804" s="45" t="str">
        <f>IFERROR(VLOOKUP(B2804,'Pre-Summary'!$BW$6:$BY$58,2,FALSE),"")</f>
        <v/>
      </c>
      <c r="N2804" s="45" t="str">
        <f>IFERROR(VLOOKUP(B2804,'Pre-Summary'!$CD$6:$CF$64,2,FALSE),"")</f>
        <v/>
      </c>
      <c r="O2804" s="99">
        <f>IFERROR(VLOOKUP(B2804,'Pre-Summary'!$BO$6:$BQ$48,3, FALSE),O2803)</f>
        <v>2.1030000000000002</v>
      </c>
      <c r="P2804" s="99">
        <f>IFERROR(VLOOKUP(B2804,'Pre-Summary'!$BS$6:$BU$35,3,FALSE),P2803)</f>
        <v>0.53100000000000003</v>
      </c>
      <c r="Q2804" s="54">
        <f t="shared" si="129"/>
        <v>3.9604519774011302</v>
      </c>
      <c r="R2804" s="53">
        <f>IFERROR(VLOOKUP(B2804,'Pre-Summary'!$BG$6:$BM$44,7,FALSE),R2805)</f>
        <v>9.7082714118749885E-2</v>
      </c>
      <c r="S2804" s="53">
        <f>IFERROR(VLOOKUP(B2804,'Pre-Summary'!$BG$6:$BM$44,6,FALSE),S2805)</f>
        <v>8.6132390492961911E-2</v>
      </c>
      <c r="T2804" s="45" t="str">
        <f>IFERROR(VLOOKUP(B2804,'Pre-Summary'!$Y$6:$AC$83, 3,FALSE),"")</f>
        <v/>
      </c>
      <c r="U2804" s="45" t="str">
        <f>IFERROR(VLOOKUP(B2804,'Pre-Summary'!$Y$6:$AC$83, 4,FALSE),"")</f>
        <v/>
      </c>
      <c r="V2804" t="str">
        <f>IFERROR(VLOOKUP(B2804,'Pre-Summary'!$Y$6:$AC$83, 5,FALSE),"")</f>
        <v/>
      </c>
      <c r="W2804" s="45" t="str">
        <f>IFERROR(VLOOKUP(B2804,'Pre-Summary'!$Y$6:$AD$83,6,FALSE),"")</f>
        <v/>
      </c>
      <c r="X2804" t="str">
        <f>IFERROR(VLOOKUP('Pre-Summary'!$DB$6:$DD$63,3,FALSE),"")</f>
        <v/>
      </c>
      <c r="Y2804" t="str">
        <f>IFERROR(VLOOKUP(B2804,'Pre-Summary'!$CR$6:$CT$36,3,FALSE),"")</f>
        <v/>
      </c>
      <c r="Z2804" s="45" t="str">
        <f>IFERROR(VLOOKUP(B2804,'Pre-Summary'!$BZ$6:$CB$63,2,FALSE),"")</f>
        <v/>
      </c>
      <c r="AA2804" s="45" t="str">
        <f>IFERROR(VLOOKUP(B2804,'Pre-Summary'!$CG$6:$CI$70,2,FALSE),"")</f>
        <v/>
      </c>
      <c r="AB2804" s="99">
        <f>IFERROR(VLOOKUP(B2804,'Pre-Summary'!$A$6:$P$178,9,FALSE),AB2805)</f>
        <v>0.7010379290946207</v>
      </c>
      <c r="AC2804" s="10">
        <f>IFERROR(VLOOKUP(Summary!B2804,'Pre-Summary'!$A$6:$P$184,5, FALSE)/100,AC2805)</f>
        <v>0.92607166666666674</v>
      </c>
      <c r="AD2804" s="10">
        <f>IFERROR(VLOOKUP(Summary!B2804,'Pre-Summary'!$A$6:$P$184,3, FALSE)/100,AD2805)</f>
        <v>5.4963666666666668E-2</v>
      </c>
      <c r="AE2804" s="10">
        <f>IFERROR(VLOOKUP(Summary!B2804,'Pre-Summary'!$A$6:$P$184,7, FALSE)/100,AE2805)</f>
        <v>1.8946666666666667E-2</v>
      </c>
      <c r="AF2804" s="99">
        <f t="shared" si="130"/>
        <v>3.8531615055447034E-2</v>
      </c>
      <c r="AG2804" s="99">
        <f t="shared" si="131"/>
        <v>1.3282331963246082E-2</v>
      </c>
      <c r="AH2804" s="10" t="str">
        <f>IFERROR(VLOOKUP(B2804,'Pre-Summary'!$AZ$6:$BE$65,3,FALSE),"")</f>
        <v/>
      </c>
      <c r="AI2804" s="10" t="str">
        <f>IFERROR(VLOOKUP(B2804,'Pre-Summary'!$AZ$6:$BE$65,5,FALSE),"")</f>
        <v/>
      </c>
      <c r="AJ2804" s="10" t="str">
        <f>IFERROR(VLOOKUP(B2804,'Pre-Summary'!$AZ$6:$BE$65,4,FALSE),"")</f>
        <v/>
      </c>
      <c r="AK2804" s="10" t="str">
        <f>IFERROR(VLOOKUP(B2804,'Pre-Summary'!$AZ$6:$BE$65,6,FALSE),"")</f>
        <v/>
      </c>
      <c r="AL2804" s="10" t="str">
        <f>IFERROR(VLOOKUP(B2804,'Pre-Summary'!$BG$6:$BL$44,3,FALSE),"")</f>
        <v/>
      </c>
      <c r="AM2804" s="10" t="str">
        <f>IFERROR(VLOOKUP(B2804,'Pre-Summary'!$BG$6:$BL$44,4,FALSE),"")</f>
        <v/>
      </c>
    </row>
    <row r="2805" spans="2:39" ht="15" customHeight="1" x14ac:dyDescent="0.3">
      <c r="B2805">
        <v>280.2</v>
      </c>
      <c r="C2805" t="str">
        <f>IFERROR(VLOOKUP(B2805,'Pre-Summary'!$DI$6:$DM$23,4,FALSE),"")</f>
        <v/>
      </c>
      <c r="D2805" s="10" t="str">
        <f>IFERROR(VLOOKUP(B2805,'Pre-Summary'!$AT$6:$AX$14,5,FALSE),D2804)</f>
        <v>Wolfe v3: went back to modified wolfe + EDTA and switched CuSO4 to CUCl2</v>
      </c>
      <c r="E2805" s="10" t="str">
        <f>IFERROR(VLOOKUP(B2805,'Pre-Summary'!$AT$6:$AX$15,4,FALSE),"")</f>
        <v/>
      </c>
      <c r="F2805">
        <f>IFERROR(VLOOKUP(B2805,'Pre-Summary'!$AL$6:$AQ$13,6,FALSE),F2804)</f>
        <v>5.9405263157894746E-2</v>
      </c>
      <c r="G2805" t="str">
        <f>IFERROR(VLOOKUP(B2805,'Pre-Summary'!$AE$6:$AJ$85,3,FALSE),"")</f>
        <v/>
      </c>
      <c r="H2805" t="str">
        <f>IFERROR(VLOOKUP(B2805,'Pre-Summary'!$AE$6:$AJ$85,4,FALSE),"")</f>
        <v/>
      </c>
      <c r="I2805" t="str">
        <f>IFERROR(VLOOKUP(B2805,'Pre-Summary'!$AE$6:$AJ$85,5,FALSE),"")</f>
        <v/>
      </c>
      <c r="J2805" s="45" t="str">
        <f>IFERROR(VLOOKUP(B2805,'Pre-Summary'!$AE$6:$AJ$85,6, FALSE),"")</f>
        <v/>
      </c>
      <c r="K2805" s="45" t="str">
        <f>IFERROR(VLOOKUP(B2805,'Pre-Summary'!$DE$6:$DG$61,3,FALSE),"")</f>
        <v/>
      </c>
      <c r="L2805" s="45" t="str">
        <f>IFERROR(VLOOKUP(B2805,'Pre-Summary'!$CU$6:$CW$36,3,FALSE),"")</f>
        <v/>
      </c>
      <c r="M2805" s="45" t="str">
        <f>IFERROR(VLOOKUP(B2805,'Pre-Summary'!$BW$6:$BY$58,2,FALSE),"")</f>
        <v/>
      </c>
      <c r="N2805" s="45" t="str">
        <f>IFERROR(VLOOKUP(B2805,'Pre-Summary'!$CD$6:$CF$64,2,FALSE),"")</f>
        <v/>
      </c>
      <c r="O2805" s="99">
        <f>IFERROR(VLOOKUP(B2805,'Pre-Summary'!$BO$6:$BQ$48,3, FALSE),O2804)</f>
        <v>2.1030000000000002</v>
      </c>
      <c r="P2805" s="99">
        <f>IFERROR(VLOOKUP(B2805,'Pre-Summary'!$BS$6:$BU$35,3,FALSE),P2804)</f>
        <v>0.53100000000000003</v>
      </c>
      <c r="Q2805" s="54">
        <f t="shared" si="129"/>
        <v>3.9604519774011302</v>
      </c>
      <c r="R2805" s="53">
        <f>IFERROR(VLOOKUP(B2805,'Pre-Summary'!$BG$6:$BM$44,7,FALSE),R2806)</f>
        <v>9.7082714118749885E-2</v>
      </c>
      <c r="S2805" s="53">
        <f>IFERROR(VLOOKUP(B2805,'Pre-Summary'!$BG$6:$BM$44,6,FALSE),S2806)</f>
        <v>8.6132390492961911E-2</v>
      </c>
      <c r="T2805" s="45" t="str">
        <f>IFERROR(VLOOKUP(B2805,'Pre-Summary'!$Y$6:$AC$83, 3,FALSE),"")</f>
        <v/>
      </c>
      <c r="U2805" s="45" t="str">
        <f>IFERROR(VLOOKUP(B2805,'Pre-Summary'!$Y$6:$AC$83, 4,FALSE),"")</f>
        <v/>
      </c>
      <c r="V2805" t="str">
        <f>IFERROR(VLOOKUP(B2805,'Pre-Summary'!$Y$6:$AC$83, 5,FALSE),"")</f>
        <v/>
      </c>
      <c r="W2805" s="45" t="str">
        <f>IFERROR(VLOOKUP(B2805,'Pre-Summary'!$Y$6:$AD$83,6,FALSE),"")</f>
        <v/>
      </c>
      <c r="X2805" t="str">
        <f>IFERROR(VLOOKUP('Pre-Summary'!$DB$6:$DD$63,3,FALSE),"")</f>
        <v/>
      </c>
      <c r="Y2805" t="str">
        <f>IFERROR(VLOOKUP(B2805,'Pre-Summary'!$CR$6:$CT$36,3,FALSE),"")</f>
        <v/>
      </c>
      <c r="Z2805" s="45" t="str">
        <f>IFERROR(VLOOKUP(B2805,'Pre-Summary'!$BZ$6:$CB$63,2,FALSE),"")</f>
        <v/>
      </c>
      <c r="AA2805" s="45" t="str">
        <f>IFERROR(VLOOKUP(B2805,'Pre-Summary'!$CG$6:$CI$70,2,FALSE),"")</f>
        <v/>
      </c>
      <c r="AB2805" s="99">
        <f>IFERROR(VLOOKUP(B2805,'Pre-Summary'!$A$6:$P$178,9,FALSE),AB2806)</f>
        <v>0.7010379290946207</v>
      </c>
      <c r="AC2805" s="10">
        <f>IFERROR(VLOOKUP(Summary!B2805,'Pre-Summary'!$A$6:$P$184,5, FALSE)/100,AC2806)</f>
        <v>0.92607166666666674</v>
      </c>
      <c r="AD2805" s="10">
        <f>IFERROR(VLOOKUP(Summary!B2805,'Pre-Summary'!$A$6:$P$184,3, FALSE)/100,AD2806)</f>
        <v>5.4963666666666668E-2</v>
      </c>
      <c r="AE2805" s="10">
        <f>IFERROR(VLOOKUP(Summary!B2805,'Pre-Summary'!$A$6:$P$184,7, FALSE)/100,AE2806)</f>
        <v>1.8946666666666667E-2</v>
      </c>
      <c r="AF2805" s="99">
        <f t="shared" si="130"/>
        <v>3.8531615055447034E-2</v>
      </c>
      <c r="AG2805" s="99">
        <f t="shared" si="131"/>
        <v>1.3282331963246082E-2</v>
      </c>
      <c r="AH2805" s="10" t="str">
        <f>IFERROR(VLOOKUP(B2805,'Pre-Summary'!$AZ$6:$BE$65,3,FALSE),"")</f>
        <v/>
      </c>
      <c r="AI2805" s="10" t="str">
        <f>IFERROR(VLOOKUP(B2805,'Pre-Summary'!$AZ$6:$BE$65,5,FALSE),"")</f>
        <v/>
      </c>
      <c r="AJ2805" s="10" t="str">
        <f>IFERROR(VLOOKUP(B2805,'Pre-Summary'!$AZ$6:$BE$65,4,FALSE),"")</f>
        <v/>
      </c>
      <c r="AK2805" s="10" t="str">
        <f>IFERROR(VLOOKUP(B2805,'Pre-Summary'!$AZ$6:$BE$65,6,FALSE),"")</f>
        <v/>
      </c>
      <c r="AL2805" s="10" t="str">
        <f>IFERROR(VLOOKUP(B2805,'Pre-Summary'!$BG$6:$BL$44,3,FALSE),"")</f>
        <v/>
      </c>
      <c r="AM2805" s="10" t="str">
        <f>IFERROR(VLOOKUP(B2805,'Pre-Summary'!$BG$6:$BL$44,4,FALSE),"")</f>
        <v/>
      </c>
    </row>
    <row r="2806" spans="2:39" ht="15" customHeight="1" x14ac:dyDescent="0.3">
      <c r="B2806">
        <v>280.3</v>
      </c>
      <c r="C2806" t="str">
        <f>IFERROR(VLOOKUP(B2806,'Pre-Summary'!$DI$6:$DM$23,4,FALSE),"")</f>
        <v/>
      </c>
      <c r="D2806" s="10" t="str">
        <f>IFERROR(VLOOKUP(B2806,'Pre-Summary'!$AT$6:$AX$14,5,FALSE),D2805)</f>
        <v>Wolfe v3: went back to modified wolfe + EDTA and switched CuSO4 to CUCl2</v>
      </c>
      <c r="E2806" s="10" t="str">
        <f>IFERROR(VLOOKUP(B2806,'Pre-Summary'!$AT$6:$AX$15,4,FALSE),"")</f>
        <v/>
      </c>
      <c r="F2806">
        <f>IFERROR(VLOOKUP(B2806,'Pre-Summary'!$AL$6:$AQ$13,6,FALSE),F2805)</f>
        <v>5.9405263157894746E-2</v>
      </c>
      <c r="G2806" t="str">
        <f>IFERROR(VLOOKUP(B2806,'Pre-Summary'!$AE$6:$AJ$85,3,FALSE),"")</f>
        <v/>
      </c>
      <c r="H2806" t="str">
        <f>IFERROR(VLOOKUP(B2806,'Pre-Summary'!$AE$6:$AJ$85,4,FALSE),"")</f>
        <v/>
      </c>
      <c r="I2806" t="str">
        <f>IFERROR(VLOOKUP(B2806,'Pre-Summary'!$AE$6:$AJ$85,5,FALSE),"")</f>
        <v/>
      </c>
      <c r="J2806" s="45" t="str">
        <f>IFERROR(VLOOKUP(B2806,'Pre-Summary'!$AE$6:$AJ$85,6, FALSE),"")</f>
        <v/>
      </c>
      <c r="K2806" s="45" t="str">
        <f>IFERROR(VLOOKUP(B2806,'Pre-Summary'!$DE$6:$DG$61,3,FALSE),"")</f>
        <v/>
      </c>
      <c r="L2806" s="45" t="str">
        <f>IFERROR(VLOOKUP(B2806,'Pre-Summary'!$CU$6:$CW$36,3,FALSE),"")</f>
        <v/>
      </c>
      <c r="M2806" s="45" t="str">
        <f>IFERROR(VLOOKUP(B2806,'Pre-Summary'!$BW$6:$BY$58,2,FALSE),"")</f>
        <v/>
      </c>
      <c r="N2806" s="45" t="str">
        <f>IFERROR(VLOOKUP(B2806,'Pre-Summary'!$CD$6:$CF$64,2,FALSE),"")</f>
        <v/>
      </c>
      <c r="O2806" s="99">
        <f>IFERROR(VLOOKUP(B2806,'Pre-Summary'!$BO$6:$BQ$48,3, FALSE),O2805)</f>
        <v>2.1030000000000002</v>
      </c>
      <c r="P2806" s="99">
        <f>IFERROR(VLOOKUP(B2806,'Pre-Summary'!$BS$6:$BU$35,3,FALSE),P2805)</f>
        <v>0.53100000000000003</v>
      </c>
      <c r="Q2806" s="54">
        <f t="shared" si="129"/>
        <v>3.9604519774011302</v>
      </c>
      <c r="R2806" s="53">
        <f>IFERROR(VLOOKUP(B2806,'Pre-Summary'!$BG$6:$BM$44,7,FALSE),R2807)</f>
        <v>9.7082714118749885E-2</v>
      </c>
      <c r="S2806" s="53">
        <f>IFERROR(VLOOKUP(B2806,'Pre-Summary'!$BG$6:$BM$44,6,FALSE),S2807)</f>
        <v>8.6132390492961911E-2</v>
      </c>
      <c r="T2806" s="45" t="str">
        <f>IFERROR(VLOOKUP(B2806,'Pre-Summary'!$Y$6:$AC$83, 3,FALSE),"")</f>
        <v/>
      </c>
      <c r="U2806" s="45" t="str">
        <f>IFERROR(VLOOKUP(B2806,'Pre-Summary'!$Y$6:$AC$83, 4,FALSE),"")</f>
        <v/>
      </c>
      <c r="V2806" t="str">
        <f>IFERROR(VLOOKUP(B2806,'Pre-Summary'!$Y$6:$AC$83, 5,FALSE),"")</f>
        <v/>
      </c>
      <c r="W2806" s="45" t="str">
        <f>IFERROR(VLOOKUP(B2806,'Pre-Summary'!$Y$6:$AD$83,6,FALSE),"")</f>
        <v/>
      </c>
      <c r="X2806" t="str">
        <f>IFERROR(VLOOKUP('Pre-Summary'!$DB$6:$DD$63,3,FALSE),"")</f>
        <v/>
      </c>
      <c r="Y2806" t="str">
        <f>IFERROR(VLOOKUP(B2806,'Pre-Summary'!$CR$6:$CT$36,3,FALSE),"")</f>
        <v/>
      </c>
      <c r="Z2806" s="45" t="str">
        <f>IFERROR(VLOOKUP(B2806,'Pre-Summary'!$BZ$6:$CB$63,2,FALSE),"")</f>
        <v/>
      </c>
      <c r="AA2806" s="45" t="str">
        <f>IFERROR(VLOOKUP(B2806,'Pre-Summary'!$CG$6:$CI$70,2,FALSE),"")</f>
        <v/>
      </c>
      <c r="AB2806" s="99">
        <f>IFERROR(VLOOKUP(B2806,'Pre-Summary'!$A$6:$P$178,9,FALSE),AB2807)</f>
        <v>0.7010379290946207</v>
      </c>
      <c r="AC2806" s="10">
        <f>IFERROR(VLOOKUP(Summary!B2806,'Pre-Summary'!$A$6:$P$184,5, FALSE)/100,AC2807)</f>
        <v>0.92607166666666674</v>
      </c>
      <c r="AD2806" s="10">
        <f>IFERROR(VLOOKUP(Summary!B2806,'Pre-Summary'!$A$6:$P$184,3, FALSE)/100,AD2807)</f>
        <v>5.4963666666666668E-2</v>
      </c>
      <c r="AE2806" s="10">
        <f>IFERROR(VLOOKUP(Summary!B2806,'Pre-Summary'!$A$6:$P$184,7, FALSE)/100,AE2807)</f>
        <v>1.8946666666666667E-2</v>
      </c>
      <c r="AF2806" s="99">
        <f t="shared" si="130"/>
        <v>3.8531615055447034E-2</v>
      </c>
      <c r="AG2806" s="99">
        <f t="shared" si="131"/>
        <v>1.3282331963246082E-2</v>
      </c>
      <c r="AH2806" s="10" t="str">
        <f>IFERROR(VLOOKUP(B2806,'Pre-Summary'!$AZ$6:$BE$65,3,FALSE),"")</f>
        <v/>
      </c>
      <c r="AI2806" s="10" t="str">
        <f>IFERROR(VLOOKUP(B2806,'Pre-Summary'!$AZ$6:$BE$65,5,FALSE),"")</f>
        <v/>
      </c>
      <c r="AJ2806" s="10" t="str">
        <f>IFERROR(VLOOKUP(B2806,'Pre-Summary'!$AZ$6:$BE$65,4,FALSE),"")</f>
        <v/>
      </c>
      <c r="AK2806" s="10" t="str">
        <f>IFERROR(VLOOKUP(B2806,'Pre-Summary'!$AZ$6:$BE$65,6,FALSE),"")</f>
        <v/>
      </c>
      <c r="AL2806" s="10" t="str">
        <f>IFERROR(VLOOKUP(B2806,'Pre-Summary'!$BG$6:$BL$44,3,FALSE),"")</f>
        <v/>
      </c>
      <c r="AM2806" s="10" t="str">
        <f>IFERROR(VLOOKUP(B2806,'Pre-Summary'!$BG$6:$BL$44,4,FALSE),"")</f>
        <v/>
      </c>
    </row>
    <row r="2807" spans="2:39" ht="15" customHeight="1" x14ac:dyDescent="0.3">
      <c r="B2807">
        <v>280.39999999999998</v>
      </c>
      <c r="C2807" t="str">
        <f>IFERROR(VLOOKUP(B2807,'Pre-Summary'!$DI$6:$DM$23,4,FALSE),"")</f>
        <v/>
      </c>
      <c r="D2807" s="10" t="str">
        <f>IFERROR(VLOOKUP(B2807,'Pre-Summary'!$AT$6:$AX$14,5,FALSE),D2806)</f>
        <v>Wolfe v3: went back to modified wolfe + EDTA and switched CuSO4 to CUCl2</v>
      </c>
      <c r="E2807" s="10" t="str">
        <f>IFERROR(VLOOKUP(B2807,'Pre-Summary'!$AT$6:$AX$15,4,FALSE),"")</f>
        <v/>
      </c>
      <c r="F2807">
        <f>IFERROR(VLOOKUP(B2807,'Pre-Summary'!$AL$6:$AQ$13,6,FALSE),F2806)</f>
        <v>5.9405263157894746E-2</v>
      </c>
      <c r="G2807" t="str">
        <f>IFERROR(VLOOKUP(B2807,'Pre-Summary'!$AE$6:$AJ$85,3,FALSE),"")</f>
        <v/>
      </c>
      <c r="H2807" t="str">
        <f>IFERROR(VLOOKUP(B2807,'Pre-Summary'!$AE$6:$AJ$85,4,FALSE),"")</f>
        <v/>
      </c>
      <c r="I2807" t="str">
        <f>IFERROR(VLOOKUP(B2807,'Pre-Summary'!$AE$6:$AJ$85,5,FALSE),"")</f>
        <v/>
      </c>
      <c r="J2807" s="45" t="str">
        <f>IFERROR(VLOOKUP(B2807,'Pre-Summary'!$AE$6:$AJ$85,6, FALSE),"")</f>
        <v/>
      </c>
      <c r="K2807" s="45" t="str">
        <f>IFERROR(VLOOKUP(B2807,'Pre-Summary'!$DE$6:$DG$61,3,FALSE),"")</f>
        <v/>
      </c>
      <c r="L2807" s="45" t="str">
        <f>IFERROR(VLOOKUP(B2807,'Pre-Summary'!$CU$6:$CW$36,3,FALSE),"")</f>
        <v/>
      </c>
      <c r="M2807" s="45" t="str">
        <f>IFERROR(VLOOKUP(B2807,'Pre-Summary'!$BW$6:$BY$58,2,FALSE),"")</f>
        <v/>
      </c>
      <c r="N2807" s="45" t="str">
        <f>IFERROR(VLOOKUP(B2807,'Pre-Summary'!$CD$6:$CF$64,2,FALSE),"")</f>
        <v/>
      </c>
      <c r="O2807" s="99">
        <f>IFERROR(VLOOKUP(B2807,'Pre-Summary'!$BO$6:$BQ$48,3, FALSE),O2806)</f>
        <v>2.1030000000000002</v>
      </c>
      <c r="P2807" s="99">
        <f>IFERROR(VLOOKUP(B2807,'Pre-Summary'!$BS$6:$BU$35,3,FALSE),P2806)</f>
        <v>0.53100000000000003</v>
      </c>
      <c r="Q2807" s="54">
        <f t="shared" si="129"/>
        <v>3.9604519774011302</v>
      </c>
      <c r="R2807" s="53">
        <f>IFERROR(VLOOKUP(B2807,'Pre-Summary'!$BG$6:$BM$44,7,FALSE),R2808)</f>
        <v>9.7082714118749885E-2</v>
      </c>
      <c r="S2807" s="53">
        <f>IFERROR(VLOOKUP(B2807,'Pre-Summary'!$BG$6:$BM$44,6,FALSE),S2808)</f>
        <v>8.6132390492961911E-2</v>
      </c>
      <c r="T2807" s="45" t="str">
        <f>IFERROR(VLOOKUP(B2807,'Pre-Summary'!$Y$6:$AC$83, 3,FALSE),"")</f>
        <v/>
      </c>
      <c r="U2807" s="45" t="str">
        <f>IFERROR(VLOOKUP(B2807,'Pre-Summary'!$Y$6:$AC$83, 4,FALSE),"")</f>
        <v/>
      </c>
      <c r="V2807" t="str">
        <f>IFERROR(VLOOKUP(B2807,'Pre-Summary'!$Y$6:$AC$83, 5,FALSE),"")</f>
        <v/>
      </c>
      <c r="W2807" s="45" t="str">
        <f>IFERROR(VLOOKUP(B2807,'Pre-Summary'!$Y$6:$AD$83,6,FALSE),"")</f>
        <v/>
      </c>
      <c r="X2807" t="str">
        <f>IFERROR(VLOOKUP('Pre-Summary'!$DB$6:$DD$63,3,FALSE),"")</f>
        <v/>
      </c>
      <c r="Y2807" t="str">
        <f>IFERROR(VLOOKUP(B2807,'Pre-Summary'!$CR$6:$CT$36,3,FALSE),"")</f>
        <v/>
      </c>
      <c r="Z2807" s="45" t="str">
        <f>IFERROR(VLOOKUP(B2807,'Pre-Summary'!$BZ$6:$CB$63,2,FALSE),"")</f>
        <v/>
      </c>
      <c r="AA2807" s="45" t="str">
        <f>IFERROR(VLOOKUP(B2807,'Pre-Summary'!$CG$6:$CI$70,2,FALSE),"")</f>
        <v/>
      </c>
      <c r="AB2807" s="99">
        <f>IFERROR(VLOOKUP(B2807,'Pre-Summary'!$A$6:$P$178,9,FALSE),AB2808)</f>
        <v>0.7010379290946207</v>
      </c>
      <c r="AC2807" s="10">
        <f>IFERROR(VLOOKUP(Summary!B2807,'Pre-Summary'!$A$6:$P$184,5, FALSE)/100,AC2808)</f>
        <v>0.92607166666666674</v>
      </c>
      <c r="AD2807" s="10">
        <f>IFERROR(VLOOKUP(Summary!B2807,'Pre-Summary'!$A$6:$P$184,3, FALSE)/100,AD2808)</f>
        <v>5.4963666666666668E-2</v>
      </c>
      <c r="AE2807" s="10">
        <f>IFERROR(VLOOKUP(Summary!B2807,'Pre-Summary'!$A$6:$P$184,7, FALSE)/100,AE2808)</f>
        <v>1.8946666666666667E-2</v>
      </c>
      <c r="AF2807" s="99">
        <f t="shared" si="130"/>
        <v>3.8531615055447034E-2</v>
      </c>
      <c r="AG2807" s="99">
        <f t="shared" si="131"/>
        <v>1.3282331963246082E-2</v>
      </c>
      <c r="AH2807" s="10" t="str">
        <f>IFERROR(VLOOKUP(B2807,'Pre-Summary'!$AZ$6:$BE$65,3,FALSE),"")</f>
        <v/>
      </c>
      <c r="AI2807" s="10" t="str">
        <f>IFERROR(VLOOKUP(B2807,'Pre-Summary'!$AZ$6:$BE$65,5,FALSE),"")</f>
        <v/>
      </c>
      <c r="AJ2807" s="10" t="str">
        <f>IFERROR(VLOOKUP(B2807,'Pre-Summary'!$AZ$6:$BE$65,4,FALSE),"")</f>
        <v/>
      </c>
      <c r="AK2807" s="10" t="str">
        <f>IFERROR(VLOOKUP(B2807,'Pre-Summary'!$AZ$6:$BE$65,6,FALSE),"")</f>
        <v/>
      </c>
      <c r="AL2807" s="10" t="str">
        <f>IFERROR(VLOOKUP(B2807,'Pre-Summary'!$BG$6:$BL$44,3,FALSE),"")</f>
        <v/>
      </c>
      <c r="AM2807" s="10" t="str">
        <f>IFERROR(VLOOKUP(B2807,'Pre-Summary'!$BG$6:$BL$44,4,FALSE),"")</f>
        <v/>
      </c>
    </row>
    <row r="2808" spans="2:39" ht="15" customHeight="1" x14ac:dyDescent="0.3">
      <c r="B2808">
        <v>280.5</v>
      </c>
      <c r="C2808" t="str">
        <f>IFERROR(VLOOKUP(B2808,'Pre-Summary'!$DI$6:$DM$23,4,FALSE),"")</f>
        <v/>
      </c>
      <c r="D2808" s="10" t="str">
        <f>IFERROR(VLOOKUP(B2808,'Pre-Summary'!$AT$6:$AX$14,5,FALSE),D2807)</f>
        <v>Wolfe v3: went back to modified wolfe + EDTA and switched CuSO4 to CUCl2</v>
      </c>
      <c r="E2808" s="10" t="str">
        <f>IFERROR(VLOOKUP(B2808,'Pre-Summary'!$AT$6:$AX$15,4,FALSE),"")</f>
        <v/>
      </c>
      <c r="F2808">
        <f>IFERROR(VLOOKUP(B2808,'Pre-Summary'!$AL$6:$AQ$13,6,FALSE),F2807)</f>
        <v>5.9405263157894746E-2</v>
      </c>
      <c r="G2808" t="str">
        <f>IFERROR(VLOOKUP(B2808,'Pre-Summary'!$AE$6:$AJ$85,3,FALSE),"")</f>
        <v/>
      </c>
      <c r="H2808" t="str">
        <f>IFERROR(VLOOKUP(B2808,'Pre-Summary'!$AE$6:$AJ$85,4,FALSE),"")</f>
        <v/>
      </c>
      <c r="I2808" t="str">
        <f>IFERROR(VLOOKUP(B2808,'Pre-Summary'!$AE$6:$AJ$85,5,FALSE),"")</f>
        <v/>
      </c>
      <c r="J2808" s="45" t="str">
        <f>IFERROR(VLOOKUP(B2808,'Pre-Summary'!$AE$6:$AJ$85,6, FALSE),"")</f>
        <v/>
      </c>
      <c r="K2808" s="45" t="str">
        <f>IFERROR(VLOOKUP(B2808,'Pre-Summary'!$DE$6:$DG$61,3,FALSE),"")</f>
        <v/>
      </c>
      <c r="L2808" s="45" t="str">
        <f>IFERROR(VLOOKUP(B2808,'Pre-Summary'!$CU$6:$CW$36,3,FALSE),"")</f>
        <v/>
      </c>
      <c r="M2808" s="45" t="str">
        <f>IFERROR(VLOOKUP(B2808,'Pre-Summary'!$BW$6:$BY$58,2,FALSE),"")</f>
        <v/>
      </c>
      <c r="N2808" s="45" t="str">
        <f>IFERROR(VLOOKUP(B2808,'Pre-Summary'!$CD$6:$CF$64,2,FALSE),"")</f>
        <v/>
      </c>
      <c r="O2808" s="99">
        <f>IFERROR(VLOOKUP(B2808,'Pre-Summary'!$BO$6:$BQ$48,3, FALSE),O2807)</f>
        <v>2.1030000000000002</v>
      </c>
      <c r="P2808" s="99">
        <f>IFERROR(VLOOKUP(B2808,'Pre-Summary'!$BS$6:$BU$35,3,FALSE),P2807)</f>
        <v>0.53100000000000003</v>
      </c>
      <c r="Q2808" s="54">
        <f t="shared" si="129"/>
        <v>3.9604519774011302</v>
      </c>
      <c r="R2808" s="53">
        <f>IFERROR(VLOOKUP(B2808,'Pre-Summary'!$BG$6:$BM$44,7,FALSE),R2809)</f>
        <v>9.7082714118749885E-2</v>
      </c>
      <c r="S2808" s="53">
        <f>IFERROR(VLOOKUP(B2808,'Pre-Summary'!$BG$6:$BM$44,6,FALSE),S2809)</f>
        <v>8.6132390492961911E-2</v>
      </c>
      <c r="T2808" s="45" t="str">
        <f>IFERROR(VLOOKUP(B2808,'Pre-Summary'!$Y$6:$AC$83, 3,FALSE),"")</f>
        <v/>
      </c>
      <c r="U2808" s="45" t="str">
        <f>IFERROR(VLOOKUP(B2808,'Pre-Summary'!$Y$6:$AC$83, 4,FALSE),"")</f>
        <v/>
      </c>
      <c r="V2808" t="str">
        <f>IFERROR(VLOOKUP(B2808,'Pre-Summary'!$Y$6:$AC$83, 5,FALSE),"")</f>
        <v/>
      </c>
      <c r="W2808" s="45" t="str">
        <f>IFERROR(VLOOKUP(B2808,'Pre-Summary'!$Y$6:$AD$83,6,FALSE),"")</f>
        <v/>
      </c>
      <c r="X2808" t="str">
        <f>IFERROR(VLOOKUP('Pre-Summary'!$DB$6:$DD$63,3,FALSE),"")</f>
        <v/>
      </c>
      <c r="Y2808" t="str">
        <f>IFERROR(VLOOKUP(B2808,'Pre-Summary'!$CR$6:$CT$36,3,FALSE),"")</f>
        <v/>
      </c>
      <c r="Z2808" s="45" t="str">
        <f>IFERROR(VLOOKUP(B2808,'Pre-Summary'!$BZ$6:$CB$63,2,FALSE),"")</f>
        <v/>
      </c>
      <c r="AA2808" s="45" t="str">
        <f>IFERROR(VLOOKUP(B2808,'Pre-Summary'!$CG$6:$CI$70,2,FALSE),"")</f>
        <v/>
      </c>
      <c r="AB2808" s="99">
        <f>IFERROR(VLOOKUP(B2808,'Pre-Summary'!$A$6:$P$178,9,FALSE),AB2809)</f>
        <v>0.7010379290946207</v>
      </c>
      <c r="AC2808" s="10">
        <f>IFERROR(VLOOKUP(Summary!B2808,'Pre-Summary'!$A$6:$P$184,5, FALSE)/100,AC2809)</f>
        <v>0.92607166666666674</v>
      </c>
      <c r="AD2808" s="10">
        <f>IFERROR(VLOOKUP(Summary!B2808,'Pre-Summary'!$A$6:$P$184,3, FALSE)/100,AD2809)</f>
        <v>5.4963666666666668E-2</v>
      </c>
      <c r="AE2808" s="10">
        <f>IFERROR(VLOOKUP(Summary!B2808,'Pre-Summary'!$A$6:$P$184,7, FALSE)/100,AE2809)</f>
        <v>1.8946666666666667E-2</v>
      </c>
      <c r="AF2808" s="99">
        <f t="shared" si="130"/>
        <v>3.8531615055447034E-2</v>
      </c>
      <c r="AG2808" s="99">
        <f t="shared" si="131"/>
        <v>1.3282331963246082E-2</v>
      </c>
      <c r="AH2808" s="10" t="str">
        <f>IFERROR(VLOOKUP(B2808,'Pre-Summary'!$AZ$6:$BE$65,3,FALSE),"")</f>
        <v/>
      </c>
      <c r="AI2808" s="10" t="str">
        <f>IFERROR(VLOOKUP(B2808,'Pre-Summary'!$AZ$6:$BE$65,5,FALSE),"")</f>
        <v/>
      </c>
      <c r="AJ2808" s="10" t="str">
        <f>IFERROR(VLOOKUP(B2808,'Pre-Summary'!$AZ$6:$BE$65,4,FALSE),"")</f>
        <v/>
      </c>
      <c r="AK2808" s="10" t="str">
        <f>IFERROR(VLOOKUP(B2808,'Pre-Summary'!$AZ$6:$BE$65,6,FALSE),"")</f>
        <v/>
      </c>
      <c r="AL2808" s="10" t="str">
        <f>IFERROR(VLOOKUP(B2808,'Pre-Summary'!$BG$6:$BL$44,3,FALSE),"")</f>
        <v/>
      </c>
      <c r="AM2808" s="10" t="str">
        <f>IFERROR(VLOOKUP(B2808,'Pre-Summary'!$BG$6:$BL$44,4,FALSE),"")</f>
        <v/>
      </c>
    </row>
    <row r="2809" spans="2:39" ht="15" customHeight="1" x14ac:dyDescent="0.3">
      <c r="B2809">
        <v>280.60000000000002</v>
      </c>
      <c r="C2809" t="str">
        <f>IFERROR(VLOOKUP(B2809,'Pre-Summary'!$DI$6:$DM$23,4,FALSE),"")</f>
        <v/>
      </c>
      <c r="D2809" s="10" t="str">
        <f>IFERROR(VLOOKUP(B2809,'Pre-Summary'!$AT$6:$AX$14,5,FALSE),D2808)</f>
        <v>Wolfe v3: went back to modified wolfe + EDTA and switched CuSO4 to CUCl2</v>
      </c>
      <c r="E2809" s="10" t="str">
        <f>IFERROR(VLOOKUP(B2809,'Pre-Summary'!$AT$6:$AX$15,4,FALSE),"")</f>
        <v/>
      </c>
      <c r="F2809">
        <f>IFERROR(VLOOKUP(B2809,'Pre-Summary'!$AL$6:$AQ$13,6,FALSE),F2808)</f>
        <v>5.9405263157894746E-2</v>
      </c>
      <c r="G2809" t="str">
        <f>IFERROR(VLOOKUP(B2809,'Pre-Summary'!$AE$6:$AJ$85,3,FALSE),"")</f>
        <v/>
      </c>
      <c r="H2809" t="str">
        <f>IFERROR(VLOOKUP(B2809,'Pre-Summary'!$AE$6:$AJ$85,4,FALSE),"")</f>
        <v/>
      </c>
      <c r="I2809" t="str">
        <f>IFERROR(VLOOKUP(B2809,'Pre-Summary'!$AE$6:$AJ$85,5,FALSE),"")</f>
        <v/>
      </c>
      <c r="J2809" s="45" t="str">
        <f>IFERROR(VLOOKUP(B2809,'Pre-Summary'!$AE$6:$AJ$85,6, FALSE),"")</f>
        <v/>
      </c>
      <c r="K2809" s="45" t="str">
        <f>IFERROR(VLOOKUP(B2809,'Pre-Summary'!$DE$6:$DG$61,3,FALSE),"")</f>
        <v/>
      </c>
      <c r="L2809" s="45" t="str">
        <f>IFERROR(VLOOKUP(B2809,'Pre-Summary'!$CU$6:$CW$36,3,FALSE),"")</f>
        <v/>
      </c>
      <c r="M2809" s="45" t="str">
        <f>IFERROR(VLOOKUP(B2809,'Pre-Summary'!$BW$6:$BY$58,2,FALSE),"")</f>
        <v/>
      </c>
      <c r="N2809" s="45" t="str">
        <f>IFERROR(VLOOKUP(B2809,'Pre-Summary'!$CD$6:$CF$64,2,FALSE),"")</f>
        <v/>
      </c>
      <c r="O2809" s="99">
        <f>IFERROR(VLOOKUP(B2809,'Pre-Summary'!$BO$6:$BQ$48,3, FALSE),O2808)</f>
        <v>2.1030000000000002</v>
      </c>
      <c r="P2809" s="99">
        <f>IFERROR(VLOOKUP(B2809,'Pre-Summary'!$BS$6:$BU$35,3,FALSE),P2808)</f>
        <v>0.53100000000000003</v>
      </c>
      <c r="Q2809" s="54">
        <f t="shared" si="129"/>
        <v>3.9604519774011302</v>
      </c>
      <c r="R2809" s="53">
        <f>IFERROR(VLOOKUP(B2809,'Pre-Summary'!$BG$6:$BM$44,7,FALSE),R2810)</f>
        <v>9.7082714118749885E-2</v>
      </c>
      <c r="S2809" s="53">
        <f>IFERROR(VLOOKUP(B2809,'Pre-Summary'!$BG$6:$BM$44,6,FALSE),S2810)</f>
        <v>8.6132390492961911E-2</v>
      </c>
      <c r="T2809" s="45" t="str">
        <f>IFERROR(VLOOKUP(B2809,'Pre-Summary'!$Y$6:$AC$83, 3,FALSE),"")</f>
        <v/>
      </c>
      <c r="U2809" s="45" t="str">
        <f>IFERROR(VLOOKUP(B2809,'Pre-Summary'!$Y$6:$AC$83, 4,FALSE),"")</f>
        <v/>
      </c>
      <c r="V2809" t="str">
        <f>IFERROR(VLOOKUP(B2809,'Pre-Summary'!$Y$6:$AC$83, 5,FALSE),"")</f>
        <v/>
      </c>
      <c r="W2809" s="45" t="str">
        <f>IFERROR(VLOOKUP(B2809,'Pre-Summary'!$Y$6:$AD$83,6,FALSE),"")</f>
        <v/>
      </c>
      <c r="X2809" t="str">
        <f>IFERROR(VLOOKUP('Pre-Summary'!$DB$6:$DD$63,3,FALSE),"")</f>
        <v/>
      </c>
      <c r="Y2809" t="str">
        <f>IFERROR(VLOOKUP(B2809,'Pre-Summary'!$CR$6:$CT$36,3,FALSE),"")</f>
        <v/>
      </c>
      <c r="Z2809" s="45" t="str">
        <f>IFERROR(VLOOKUP(B2809,'Pre-Summary'!$BZ$6:$CB$63,2,FALSE),"")</f>
        <v/>
      </c>
      <c r="AA2809" s="45" t="str">
        <f>IFERROR(VLOOKUP(B2809,'Pre-Summary'!$CG$6:$CI$70,2,FALSE),"")</f>
        <v/>
      </c>
      <c r="AB2809" s="99">
        <f>IFERROR(VLOOKUP(B2809,'Pre-Summary'!$A$6:$P$178,9,FALSE),AB2810)</f>
        <v>0.7010379290946207</v>
      </c>
      <c r="AC2809" s="10">
        <f>IFERROR(VLOOKUP(Summary!B2809,'Pre-Summary'!$A$6:$P$184,5, FALSE)/100,AC2810)</f>
        <v>0.92607166666666674</v>
      </c>
      <c r="AD2809" s="10">
        <f>IFERROR(VLOOKUP(Summary!B2809,'Pre-Summary'!$A$6:$P$184,3, FALSE)/100,AD2810)</f>
        <v>5.4963666666666668E-2</v>
      </c>
      <c r="AE2809" s="10">
        <f>IFERROR(VLOOKUP(Summary!B2809,'Pre-Summary'!$A$6:$P$184,7, FALSE)/100,AE2810)</f>
        <v>1.8946666666666667E-2</v>
      </c>
      <c r="AF2809" s="99">
        <f t="shared" si="130"/>
        <v>3.8531615055447034E-2</v>
      </c>
      <c r="AG2809" s="99">
        <f t="shared" si="131"/>
        <v>1.3282331963246082E-2</v>
      </c>
      <c r="AH2809" s="10" t="str">
        <f>IFERROR(VLOOKUP(B2809,'Pre-Summary'!$AZ$6:$BE$65,3,FALSE),"")</f>
        <v/>
      </c>
      <c r="AI2809" s="10" t="str">
        <f>IFERROR(VLOOKUP(B2809,'Pre-Summary'!$AZ$6:$BE$65,5,FALSE),"")</f>
        <v/>
      </c>
      <c r="AJ2809" s="10" t="str">
        <f>IFERROR(VLOOKUP(B2809,'Pre-Summary'!$AZ$6:$BE$65,4,FALSE),"")</f>
        <v/>
      </c>
      <c r="AK2809" s="10" t="str">
        <f>IFERROR(VLOOKUP(B2809,'Pre-Summary'!$AZ$6:$BE$65,6,FALSE),"")</f>
        <v/>
      </c>
      <c r="AL2809" s="10" t="str">
        <f>IFERROR(VLOOKUP(B2809,'Pre-Summary'!$BG$6:$BL$44,3,FALSE),"")</f>
        <v/>
      </c>
      <c r="AM2809" s="10" t="str">
        <f>IFERROR(VLOOKUP(B2809,'Pre-Summary'!$BG$6:$BL$44,4,FALSE),"")</f>
        <v/>
      </c>
    </row>
    <row r="2810" spans="2:39" ht="15" customHeight="1" x14ac:dyDescent="0.3">
      <c r="B2810">
        <v>280.7</v>
      </c>
      <c r="C2810" t="str">
        <f>IFERROR(VLOOKUP(B2810,'Pre-Summary'!$DI$6:$DM$23,4,FALSE),"")</f>
        <v/>
      </c>
      <c r="D2810" s="10" t="str">
        <f>IFERROR(VLOOKUP(B2810,'Pre-Summary'!$AT$6:$AX$14,5,FALSE),D2809)</f>
        <v>Wolfe v3: went back to modified wolfe + EDTA and switched CuSO4 to CUCl2</v>
      </c>
      <c r="E2810" s="10" t="str">
        <f>IFERROR(VLOOKUP(B2810,'Pre-Summary'!$AT$6:$AX$15,4,FALSE),"")</f>
        <v/>
      </c>
      <c r="F2810">
        <f>IFERROR(VLOOKUP(B2810,'Pre-Summary'!$AL$6:$AQ$13,6,FALSE),F2809)</f>
        <v>5.9405263157894746E-2</v>
      </c>
      <c r="G2810" t="str">
        <f>IFERROR(VLOOKUP(B2810,'Pre-Summary'!$AE$6:$AJ$85,3,FALSE),"")</f>
        <v/>
      </c>
      <c r="H2810" t="str">
        <f>IFERROR(VLOOKUP(B2810,'Pre-Summary'!$AE$6:$AJ$85,4,FALSE),"")</f>
        <v/>
      </c>
      <c r="I2810" t="str">
        <f>IFERROR(VLOOKUP(B2810,'Pre-Summary'!$AE$6:$AJ$85,5,FALSE),"")</f>
        <v/>
      </c>
      <c r="J2810" s="45" t="str">
        <f>IFERROR(VLOOKUP(B2810,'Pre-Summary'!$AE$6:$AJ$85,6, FALSE),"")</f>
        <v/>
      </c>
      <c r="K2810" s="45" t="str">
        <f>IFERROR(VLOOKUP(B2810,'Pre-Summary'!$DE$6:$DG$61,3,FALSE),"")</f>
        <v/>
      </c>
      <c r="L2810" s="45" t="str">
        <f>IFERROR(VLOOKUP(B2810,'Pre-Summary'!$CU$6:$CW$36,3,FALSE),"")</f>
        <v/>
      </c>
      <c r="M2810" s="45" t="str">
        <f>IFERROR(VLOOKUP(B2810,'Pre-Summary'!$BW$6:$BY$58,2,FALSE),"")</f>
        <v/>
      </c>
      <c r="N2810" s="45" t="str">
        <f>IFERROR(VLOOKUP(B2810,'Pre-Summary'!$CD$6:$CF$64,2,FALSE),"")</f>
        <v/>
      </c>
      <c r="O2810" s="99">
        <f>IFERROR(VLOOKUP(B2810,'Pre-Summary'!$BO$6:$BQ$48,3, FALSE),O2809)</f>
        <v>2.1030000000000002</v>
      </c>
      <c r="P2810" s="99">
        <f>IFERROR(VLOOKUP(B2810,'Pre-Summary'!$BS$6:$BU$35,3,FALSE),P2809)</f>
        <v>0.53100000000000003</v>
      </c>
      <c r="Q2810" s="54">
        <f t="shared" si="129"/>
        <v>3.9604519774011302</v>
      </c>
      <c r="R2810" s="53">
        <f>IFERROR(VLOOKUP(B2810,'Pre-Summary'!$BG$6:$BM$44,7,FALSE),R2811)</f>
        <v>9.7082714118749885E-2</v>
      </c>
      <c r="S2810" s="53">
        <f>IFERROR(VLOOKUP(B2810,'Pre-Summary'!$BG$6:$BM$44,6,FALSE),S2811)</f>
        <v>8.6132390492961911E-2</v>
      </c>
      <c r="T2810" s="45" t="str">
        <f>IFERROR(VLOOKUP(B2810,'Pre-Summary'!$Y$6:$AC$83, 3,FALSE),"")</f>
        <v/>
      </c>
      <c r="U2810" s="45" t="str">
        <f>IFERROR(VLOOKUP(B2810,'Pre-Summary'!$Y$6:$AC$83, 4,FALSE),"")</f>
        <v/>
      </c>
      <c r="V2810" t="str">
        <f>IFERROR(VLOOKUP(B2810,'Pre-Summary'!$Y$6:$AC$83, 5,FALSE),"")</f>
        <v/>
      </c>
      <c r="W2810" s="45" t="str">
        <f>IFERROR(VLOOKUP(B2810,'Pre-Summary'!$Y$6:$AD$83,6,FALSE),"")</f>
        <v/>
      </c>
      <c r="X2810" t="str">
        <f>IFERROR(VLOOKUP('Pre-Summary'!$DB$6:$DD$63,3,FALSE),"")</f>
        <v/>
      </c>
      <c r="Y2810" t="str">
        <f>IFERROR(VLOOKUP(B2810,'Pre-Summary'!$CR$6:$CT$36,3,FALSE),"")</f>
        <v/>
      </c>
      <c r="Z2810" s="45" t="str">
        <f>IFERROR(VLOOKUP(B2810,'Pre-Summary'!$BZ$6:$CB$63,2,FALSE),"")</f>
        <v/>
      </c>
      <c r="AA2810" s="45" t="str">
        <f>IFERROR(VLOOKUP(B2810,'Pre-Summary'!$CG$6:$CI$70,2,FALSE),"")</f>
        <v/>
      </c>
      <c r="AB2810" s="99">
        <f>IFERROR(VLOOKUP(B2810,'Pre-Summary'!$A$6:$P$178,9,FALSE),AB2811)</f>
        <v>0.7010379290946207</v>
      </c>
      <c r="AC2810" s="10">
        <f>IFERROR(VLOOKUP(Summary!B2810,'Pre-Summary'!$A$6:$P$184,5, FALSE)/100,AC2811)</f>
        <v>0.92607166666666674</v>
      </c>
      <c r="AD2810" s="10">
        <f>IFERROR(VLOOKUP(Summary!B2810,'Pre-Summary'!$A$6:$P$184,3, FALSE)/100,AD2811)</f>
        <v>5.4963666666666668E-2</v>
      </c>
      <c r="AE2810" s="10">
        <f>IFERROR(VLOOKUP(Summary!B2810,'Pre-Summary'!$A$6:$P$184,7, FALSE)/100,AE2811)</f>
        <v>1.8946666666666667E-2</v>
      </c>
      <c r="AF2810" s="99">
        <f t="shared" si="130"/>
        <v>3.8531615055447034E-2</v>
      </c>
      <c r="AG2810" s="99">
        <f t="shared" si="131"/>
        <v>1.3282331963246082E-2</v>
      </c>
      <c r="AH2810" s="10" t="str">
        <f>IFERROR(VLOOKUP(B2810,'Pre-Summary'!$AZ$6:$BE$65,3,FALSE),"")</f>
        <v/>
      </c>
      <c r="AI2810" s="10" t="str">
        <f>IFERROR(VLOOKUP(B2810,'Pre-Summary'!$AZ$6:$BE$65,5,FALSE),"")</f>
        <v/>
      </c>
      <c r="AJ2810" s="10" t="str">
        <f>IFERROR(VLOOKUP(B2810,'Pre-Summary'!$AZ$6:$BE$65,4,FALSE),"")</f>
        <v/>
      </c>
      <c r="AK2810" s="10" t="str">
        <f>IFERROR(VLOOKUP(B2810,'Pre-Summary'!$AZ$6:$BE$65,6,FALSE),"")</f>
        <v/>
      </c>
      <c r="AL2810" s="10" t="str">
        <f>IFERROR(VLOOKUP(B2810,'Pre-Summary'!$BG$6:$BL$44,3,FALSE),"")</f>
        <v/>
      </c>
      <c r="AM2810" s="10" t="str">
        <f>IFERROR(VLOOKUP(B2810,'Pre-Summary'!$BG$6:$BL$44,4,FALSE),"")</f>
        <v/>
      </c>
    </row>
    <row r="2811" spans="2:39" ht="15" customHeight="1" x14ac:dyDescent="0.3">
      <c r="B2811">
        <v>280.8</v>
      </c>
      <c r="C2811" t="str">
        <f>IFERROR(VLOOKUP(B2811,'Pre-Summary'!$DI$6:$DM$23,4,FALSE),"")</f>
        <v/>
      </c>
      <c r="D2811" s="10" t="str">
        <f>IFERROR(VLOOKUP(B2811,'Pre-Summary'!$AT$6:$AX$14,5,FALSE),D2810)</f>
        <v>Wolfe v3: went back to modified wolfe + EDTA and switched CuSO4 to CUCl2</v>
      </c>
      <c r="E2811" s="10" t="str">
        <f>IFERROR(VLOOKUP(B2811,'Pre-Summary'!$AT$6:$AX$15,4,FALSE),"")</f>
        <v/>
      </c>
      <c r="F2811">
        <f>IFERROR(VLOOKUP(B2811,'Pre-Summary'!$AL$6:$AQ$13,6,FALSE),F2810)</f>
        <v>5.9405263157894746E-2</v>
      </c>
      <c r="G2811" t="str">
        <f>IFERROR(VLOOKUP(B2811,'Pre-Summary'!$AE$6:$AJ$85,3,FALSE),"")</f>
        <v/>
      </c>
      <c r="H2811" t="str">
        <f>IFERROR(VLOOKUP(B2811,'Pre-Summary'!$AE$6:$AJ$85,4,FALSE),"")</f>
        <v/>
      </c>
      <c r="I2811" t="str">
        <f>IFERROR(VLOOKUP(B2811,'Pre-Summary'!$AE$6:$AJ$85,5,FALSE),"")</f>
        <v/>
      </c>
      <c r="J2811" s="45" t="str">
        <f>IFERROR(VLOOKUP(B2811,'Pre-Summary'!$AE$6:$AJ$85,6, FALSE),"")</f>
        <v/>
      </c>
      <c r="K2811" s="45" t="str">
        <f>IFERROR(VLOOKUP(B2811,'Pre-Summary'!$DE$6:$DG$61,3,FALSE),"")</f>
        <v/>
      </c>
      <c r="L2811" s="45" t="str">
        <f>IFERROR(VLOOKUP(B2811,'Pre-Summary'!$CU$6:$CW$36,3,FALSE),"")</f>
        <v/>
      </c>
      <c r="M2811" s="45" t="str">
        <f>IFERROR(VLOOKUP(B2811,'Pre-Summary'!$BW$6:$BY$58,2,FALSE),"")</f>
        <v/>
      </c>
      <c r="N2811" s="45" t="str">
        <f>IFERROR(VLOOKUP(B2811,'Pre-Summary'!$CD$6:$CF$64,2,FALSE),"")</f>
        <v/>
      </c>
      <c r="O2811" s="99">
        <f>IFERROR(VLOOKUP(B2811,'Pre-Summary'!$BO$6:$BQ$48,3, FALSE),O2810)</f>
        <v>2.1030000000000002</v>
      </c>
      <c r="P2811" s="99">
        <f>IFERROR(VLOOKUP(B2811,'Pre-Summary'!$BS$6:$BU$35,3,FALSE),P2810)</f>
        <v>0.53100000000000003</v>
      </c>
      <c r="Q2811" s="54">
        <f t="shared" si="129"/>
        <v>3.9604519774011302</v>
      </c>
      <c r="R2811" s="53">
        <f>IFERROR(VLOOKUP(B2811,'Pre-Summary'!$BG$6:$BM$44,7,FALSE),R2812)</f>
        <v>9.7082714118749885E-2</v>
      </c>
      <c r="S2811" s="53">
        <f>IFERROR(VLOOKUP(B2811,'Pre-Summary'!$BG$6:$BM$44,6,FALSE),S2812)</f>
        <v>8.6132390492961911E-2</v>
      </c>
      <c r="T2811" s="45" t="str">
        <f>IFERROR(VLOOKUP(B2811,'Pre-Summary'!$Y$6:$AC$83, 3,FALSE),"")</f>
        <v/>
      </c>
      <c r="U2811" s="45" t="str">
        <f>IFERROR(VLOOKUP(B2811,'Pre-Summary'!$Y$6:$AC$83, 4,FALSE),"")</f>
        <v/>
      </c>
      <c r="V2811" t="str">
        <f>IFERROR(VLOOKUP(B2811,'Pre-Summary'!$Y$6:$AC$83, 5,FALSE),"")</f>
        <v/>
      </c>
      <c r="W2811" s="45" t="str">
        <f>IFERROR(VLOOKUP(B2811,'Pre-Summary'!$Y$6:$AD$83,6,FALSE),"")</f>
        <v/>
      </c>
      <c r="X2811" t="str">
        <f>IFERROR(VLOOKUP('Pre-Summary'!$DB$6:$DD$63,3,FALSE),"")</f>
        <v/>
      </c>
      <c r="Y2811" t="str">
        <f>IFERROR(VLOOKUP(B2811,'Pre-Summary'!$CR$6:$CT$36,3,FALSE),"")</f>
        <v/>
      </c>
      <c r="Z2811" s="45" t="str">
        <f>IFERROR(VLOOKUP(B2811,'Pre-Summary'!$BZ$6:$CB$63,2,FALSE),"")</f>
        <v/>
      </c>
      <c r="AA2811" s="45" t="str">
        <f>IFERROR(VLOOKUP(B2811,'Pre-Summary'!$CG$6:$CI$70,2,FALSE),"")</f>
        <v/>
      </c>
      <c r="AB2811" s="99">
        <f>IFERROR(VLOOKUP(B2811,'Pre-Summary'!$A$6:$P$178,9,FALSE),AB2812)</f>
        <v>0.7010379290946207</v>
      </c>
      <c r="AC2811" s="10">
        <f>IFERROR(VLOOKUP(Summary!B2811,'Pre-Summary'!$A$6:$P$184,5, FALSE)/100,AC2812)</f>
        <v>0.92607166666666674</v>
      </c>
      <c r="AD2811" s="10">
        <f>IFERROR(VLOOKUP(Summary!B2811,'Pre-Summary'!$A$6:$P$184,3, FALSE)/100,AD2812)</f>
        <v>5.4963666666666668E-2</v>
      </c>
      <c r="AE2811" s="10">
        <f>IFERROR(VLOOKUP(Summary!B2811,'Pre-Summary'!$A$6:$P$184,7, FALSE)/100,AE2812)</f>
        <v>1.8946666666666667E-2</v>
      </c>
      <c r="AF2811" s="99">
        <f t="shared" si="130"/>
        <v>3.8531615055447034E-2</v>
      </c>
      <c r="AG2811" s="99">
        <f t="shared" si="131"/>
        <v>1.3282331963246082E-2</v>
      </c>
      <c r="AH2811" s="10" t="str">
        <f>IFERROR(VLOOKUP(B2811,'Pre-Summary'!$AZ$6:$BE$65,3,FALSE),"")</f>
        <v/>
      </c>
      <c r="AI2811" s="10" t="str">
        <f>IFERROR(VLOOKUP(B2811,'Pre-Summary'!$AZ$6:$BE$65,5,FALSE),"")</f>
        <v/>
      </c>
      <c r="AJ2811" s="10" t="str">
        <f>IFERROR(VLOOKUP(B2811,'Pre-Summary'!$AZ$6:$BE$65,4,FALSE),"")</f>
        <v/>
      </c>
      <c r="AK2811" s="10" t="str">
        <f>IFERROR(VLOOKUP(B2811,'Pre-Summary'!$AZ$6:$BE$65,6,FALSE),"")</f>
        <v/>
      </c>
      <c r="AL2811" s="10" t="str">
        <f>IFERROR(VLOOKUP(B2811,'Pre-Summary'!$BG$6:$BL$44,3,FALSE),"")</f>
        <v/>
      </c>
      <c r="AM2811" s="10" t="str">
        <f>IFERROR(VLOOKUP(B2811,'Pre-Summary'!$BG$6:$BL$44,4,FALSE),"")</f>
        <v/>
      </c>
    </row>
    <row r="2812" spans="2:39" ht="15" customHeight="1" x14ac:dyDescent="0.3">
      <c r="B2812">
        <v>280.89999999999998</v>
      </c>
      <c r="C2812" t="str">
        <f>IFERROR(VLOOKUP(B2812,'Pre-Summary'!$DI$6:$DM$23,4,FALSE),"")</f>
        <v/>
      </c>
      <c r="D2812" s="10" t="str">
        <f>IFERROR(VLOOKUP(B2812,'Pre-Summary'!$AT$6:$AX$14,5,FALSE),D2811)</f>
        <v>Wolfe v3: went back to modified wolfe + EDTA and switched CuSO4 to CUCl2</v>
      </c>
      <c r="E2812" s="10" t="str">
        <f>IFERROR(VLOOKUP(B2812,'Pre-Summary'!$AT$6:$AX$15,4,FALSE),"")</f>
        <v/>
      </c>
      <c r="F2812">
        <f>IFERROR(VLOOKUP(B2812,'Pre-Summary'!$AL$6:$AQ$13,6,FALSE),F2811)</f>
        <v>5.9405263157894746E-2</v>
      </c>
      <c r="G2812" t="str">
        <f>IFERROR(VLOOKUP(B2812,'Pre-Summary'!$AE$6:$AJ$85,3,FALSE),"")</f>
        <v/>
      </c>
      <c r="H2812" t="str">
        <f>IFERROR(VLOOKUP(B2812,'Pre-Summary'!$AE$6:$AJ$85,4,FALSE),"")</f>
        <v/>
      </c>
      <c r="I2812" t="str">
        <f>IFERROR(VLOOKUP(B2812,'Pre-Summary'!$AE$6:$AJ$85,5,FALSE),"")</f>
        <v/>
      </c>
      <c r="J2812" s="45" t="str">
        <f>IFERROR(VLOOKUP(B2812,'Pre-Summary'!$AE$6:$AJ$85,6, FALSE),"")</f>
        <v/>
      </c>
      <c r="K2812" s="45" t="str">
        <f>IFERROR(VLOOKUP(B2812,'Pre-Summary'!$DE$6:$DG$61,3,FALSE),"")</f>
        <v/>
      </c>
      <c r="L2812" s="45" t="str">
        <f>IFERROR(VLOOKUP(B2812,'Pre-Summary'!$CU$6:$CW$36,3,FALSE),"")</f>
        <v/>
      </c>
      <c r="M2812" s="45" t="str">
        <f>IFERROR(VLOOKUP(B2812,'Pre-Summary'!$BW$6:$BY$58,2,FALSE),"")</f>
        <v/>
      </c>
      <c r="N2812" s="45" t="str">
        <f>IFERROR(VLOOKUP(B2812,'Pre-Summary'!$CD$6:$CF$64,2,FALSE),"")</f>
        <v/>
      </c>
      <c r="O2812" s="99">
        <f>IFERROR(VLOOKUP(B2812,'Pre-Summary'!$BO$6:$BQ$48,3, FALSE),O2811)</f>
        <v>2.1030000000000002</v>
      </c>
      <c r="P2812" s="99">
        <f>IFERROR(VLOOKUP(B2812,'Pre-Summary'!$BS$6:$BU$35,3,FALSE),P2811)</f>
        <v>0.53100000000000003</v>
      </c>
      <c r="Q2812" s="54">
        <f t="shared" si="129"/>
        <v>3.9604519774011302</v>
      </c>
      <c r="R2812" s="53">
        <f>IFERROR(VLOOKUP(B2812,'Pre-Summary'!$BG$6:$BM$44,7,FALSE),R2813)</f>
        <v>9.7082714118749885E-2</v>
      </c>
      <c r="S2812" s="53">
        <f>IFERROR(VLOOKUP(B2812,'Pre-Summary'!$BG$6:$BM$44,6,FALSE),S2813)</f>
        <v>8.6132390492961911E-2</v>
      </c>
      <c r="T2812" s="45" t="str">
        <f>IFERROR(VLOOKUP(B2812,'Pre-Summary'!$Y$6:$AC$83, 3,FALSE),"")</f>
        <v/>
      </c>
      <c r="U2812" s="45" t="str">
        <f>IFERROR(VLOOKUP(B2812,'Pre-Summary'!$Y$6:$AC$83, 4,FALSE),"")</f>
        <v/>
      </c>
      <c r="V2812" t="str">
        <f>IFERROR(VLOOKUP(B2812,'Pre-Summary'!$Y$6:$AC$83, 5,FALSE),"")</f>
        <v/>
      </c>
      <c r="W2812" s="45" t="str">
        <f>IFERROR(VLOOKUP(B2812,'Pre-Summary'!$Y$6:$AD$83,6,FALSE),"")</f>
        <v/>
      </c>
      <c r="X2812" t="str">
        <f>IFERROR(VLOOKUP('Pre-Summary'!$DB$6:$DD$63,3,FALSE),"")</f>
        <v/>
      </c>
      <c r="Y2812" t="str">
        <f>IFERROR(VLOOKUP(B2812,'Pre-Summary'!$CR$6:$CT$36,3,FALSE),"")</f>
        <v/>
      </c>
      <c r="Z2812" s="45" t="str">
        <f>IFERROR(VLOOKUP(B2812,'Pre-Summary'!$BZ$6:$CB$63,2,FALSE),"")</f>
        <v/>
      </c>
      <c r="AA2812" s="45" t="str">
        <f>IFERROR(VLOOKUP(B2812,'Pre-Summary'!$CG$6:$CI$70,2,FALSE),"")</f>
        <v/>
      </c>
      <c r="AB2812" s="99">
        <f>IFERROR(VLOOKUP(B2812,'Pre-Summary'!$A$6:$P$178,9,FALSE),AB2813)</f>
        <v>0.7010379290946207</v>
      </c>
      <c r="AC2812" s="10">
        <f>IFERROR(VLOOKUP(Summary!B2812,'Pre-Summary'!$A$6:$P$184,5, FALSE)/100,AC2813)</f>
        <v>0.92607166666666674</v>
      </c>
      <c r="AD2812" s="10">
        <f>IFERROR(VLOOKUP(Summary!B2812,'Pre-Summary'!$A$6:$P$184,3, FALSE)/100,AD2813)</f>
        <v>5.4963666666666668E-2</v>
      </c>
      <c r="AE2812" s="10">
        <f>IFERROR(VLOOKUP(Summary!B2812,'Pre-Summary'!$A$6:$P$184,7, FALSE)/100,AE2813)</f>
        <v>1.8946666666666667E-2</v>
      </c>
      <c r="AF2812" s="99">
        <f t="shared" si="130"/>
        <v>3.8531615055447034E-2</v>
      </c>
      <c r="AG2812" s="99">
        <f t="shared" si="131"/>
        <v>1.3282331963246082E-2</v>
      </c>
      <c r="AH2812" s="10" t="str">
        <f>IFERROR(VLOOKUP(B2812,'Pre-Summary'!$AZ$6:$BE$65,3,FALSE),"")</f>
        <v/>
      </c>
      <c r="AI2812" s="10" t="str">
        <f>IFERROR(VLOOKUP(B2812,'Pre-Summary'!$AZ$6:$BE$65,5,FALSE),"")</f>
        <v/>
      </c>
      <c r="AJ2812" s="10" t="str">
        <f>IFERROR(VLOOKUP(B2812,'Pre-Summary'!$AZ$6:$BE$65,4,FALSE),"")</f>
        <v/>
      </c>
      <c r="AK2812" s="10" t="str">
        <f>IFERROR(VLOOKUP(B2812,'Pre-Summary'!$AZ$6:$BE$65,6,FALSE),"")</f>
        <v/>
      </c>
      <c r="AL2812" s="10" t="str">
        <f>IFERROR(VLOOKUP(B2812,'Pre-Summary'!$BG$6:$BL$44,3,FALSE),"")</f>
        <v/>
      </c>
      <c r="AM2812" s="10" t="str">
        <f>IFERROR(VLOOKUP(B2812,'Pre-Summary'!$BG$6:$BL$44,4,FALSE),"")</f>
        <v/>
      </c>
    </row>
    <row r="2813" spans="2:39" ht="15" customHeight="1" x14ac:dyDescent="0.3">
      <c r="B2813">
        <v>281</v>
      </c>
      <c r="C2813" t="str">
        <f>IFERROR(VLOOKUP(B2813,'Pre-Summary'!$DI$6:$DM$23,4,FALSE),"")</f>
        <v/>
      </c>
      <c r="D2813" s="10" t="str">
        <f>IFERROR(VLOOKUP(B2813,'Pre-Summary'!$AT$6:$AX$14,5,FALSE),D2812)</f>
        <v>Wolfe v3: went back to modified wolfe + EDTA and switched CuSO4 to CUCl2</v>
      </c>
      <c r="E2813" s="10" t="str">
        <f>IFERROR(VLOOKUP(B2813,'Pre-Summary'!$AT$6:$AX$15,4,FALSE),"")</f>
        <v/>
      </c>
      <c r="F2813">
        <f>IFERROR(VLOOKUP(B2813,'Pre-Summary'!$AL$6:$AQ$13,6,FALSE),F2812)</f>
        <v>5.9405263157894746E-2</v>
      </c>
      <c r="G2813" t="str">
        <f>IFERROR(VLOOKUP(B2813,'Pre-Summary'!$AE$6:$AJ$85,3,FALSE),"")</f>
        <v/>
      </c>
      <c r="H2813" t="str">
        <f>IFERROR(VLOOKUP(B2813,'Pre-Summary'!$AE$6:$AJ$85,4,FALSE),"")</f>
        <v/>
      </c>
      <c r="I2813" t="str">
        <f>IFERROR(VLOOKUP(B2813,'Pre-Summary'!$AE$6:$AJ$85,5,FALSE),"")</f>
        <v/>
      </c>
      <c r="J2813" s="45" t="str">
        <f>IFERROR(VLOOKUP(B2813,'Pre-Summary'!$AE$6:$AJ$85,6, FALSE),"")</f>
        <v/>
      </c>
      <c r="K2813" s="45" t="str">
        <f>IFERROR(VLOOKUP(B2813,'Pre-Summary'!$DE$6:$DG$61,3,FALSE),"")</f>
        <v/>
      </c>
      <c r="L2813" s="45" t="str">
        <f>IFERROR(VLOOKUP(B2813,'Pre-Summary'!$CU$6:$CW$36,3,FALSE),"")</f>
        <v/>
      </c>
      <c r="M2813" s="45" t="str">
        <f>IFERROR(VLOOKUP(B2813,'Pre-Summary'!$BW$6:$BY$58,2,FALSE),"")</f>
        <v/>
      </c>
      <c r="N2813" s="45" t="str">
        <f>IFERROR(VLOOKUP(B2813,'Pre-Summary'!$CD$6:$CF$64,2,FALSE),"")</f>
        <v/>
      </c>
      <c r="O2813" s="99">
        <f>IFERROR(VLOOKUP(B2813,'Pre-Summary'!$BO$6:$BQ$48,3, FALSE),O2812)</f>
        <v>2.1030000000000002</v>
      </c>
      <c r="P2813" s="99">
        <f>IFERROR(VLOOKUP(B2813,'Pre-Summary'!$BS$6:$BU$35,3,FALSE),P2812)</f>
        <v>0.53100000000000003</v>
      </c>
      <c r="Q2813" s="54">
        <f t="shared" si="129"/>
        <v>3.9604519774011302</v>
      </c>
      <c r="R2813" s="53">
        <f>IFERROR(VLOOKUP(B2813,'Pre-Summary'!$BG$6:$BM$44,7,FALSE),R2814)</f>
        <v>9.7082714118749885E-2</v>
      </c>
      <c r="S2813" s="53">
        <f>IFERROR(VLOOKUP(B2813,'Pre-Summary'!$BG$6:$BM$44,6,FALSE),S2814)</f>
        <v>8.6132390492961911E-2</v>
      </c>
      <c r="T2813" s="45" t="str">
        <f>IFERROR(VLOOKUP(B2813,'Pre-Summary'!$Y$6:$AC$83, 3,FALSE),"")</f>
        <v/>
      </c>
      <c r="U2813" s="45" t="str">
        <f>IFERROR(VLOOKUP(B2813,'Pre-Summary'!$Y$6:$AC$83, 4,FALSE),"")</f>
        <v/>
      </c>
      <c r="V2813" t="str">
        <f>IFERROR(VLOOKUP(B2813,'Pre-Summary'!$Y$6:$AC$83, 5,FALSE),"")</f>
        <v/>
      </c>
      <c r="W2813" s="45" t="str">
        <f>IFERROR(VLOOKUP(B2813,'Pre-Summary'!$Y$6:$AD$83,6,FALSE),"")</f>
        <v/>
      </c>
      <c r="X2813" t="str">
        <f>IFERROR(VLOOKUP('Pre-Summary'!$DB$6:$DD$63,3,FALSE),"")</f>
        <v/>
      </c>
      <c r="Y2813" t="str">
        <f>IFERROR(VLOOKUP(B2813,'Pre-Summary'!$CR$6:$CT$36,3,FALSE),"")</f>
        <v/>
      </c>
      <c r="Z2813" s="45" t="str">
        <f>IFERROR(VLOOKUP(B2813,'Pre-Summary'!$BZ$6:$CB$63,2,FALSE),"")</f>
        <v/>
      </c>
      <c r="AA2813" s="45" t="str">
        <f>IFERROR(VLOOKUP(B2813,'Pre-Summary'!$CG$6:$CI$70,2,FALSE),"")</f>
        <v/>
      </c>
      <c r="AB2813" s="99">
        <f>IFERROR(VLOOKUP(B2813,'Pre-Summary'!$A$6:$P$178,9,FALSE),AB2814)</f>
        <v>0.7010379290946207</v>
      </c>
      <c r="AC2813" s="10">
        <f>IFERROR(VLOOKUP(Summary!B2813,'Pre-Summary'!$A$6:$P$184,5, FALSE)/100,AC2814)</f>
        <v>0.92607166666666674</v>
      </c>
      <c r="AD2813" s="10">
        <f>IFERROR(VLOOKUP(Summary!B2813,'Pre-Summary'!$A$6:$P$184,3, FALSE)/100,AD2814)</f>
        <v>5.4963666666666668E-2</v>
      </c>
      <c r="AE2813" s="10">
        <f>IFERROR(VLOOKUP(Summary!B2813,'Pre-Summary'!$A$6:$P$184,7, FALSE)/100,AE2814)</f>
        <v>1.8946666666666667E-2</v>
      </c>
      <c r="AF2813" s="99">
        <f t="shared" si="130"/>
        <v>3.8531615055447034E-2</v>
      </c>
      <c r="AG2813" s="99">
        <f t="shared" si="131"/>
        <v>1.3282331963246082E-2</v>
      </c>
      <c r="AH2813" s="10" t="str">
        <f>IFERROR(VLOOKUP(B2813,'Pre-Summary'!$AZ$6:$BE$65,3,FALSE),"")</f>
        <v/>
      </c>
      <c r="AI2813" s="10" t="str">
        <f>IFERROR(VLOOKUP(B2813,'Pre-Summary'!$AZ$6:$BE$65,5,FALSE),"")</f>
        <v/>
      </c>
      <c r="AJ2813" s="10" t="str">
        <f>IFERROR(VLOOKUP(B2813,'Pre-Summary'!$AZ$6:$BE$65,4,FALSE),"")</f>
        <v/>
      </c>
      <c r="AK2813" s="10" t="str">
        <f>IFERROR(VLOOKUP(B2813,'Pre-Summary'!$AZ$6:$BE$65,6,FALSE),"")</f>
        <v/>
      </c>
      <c r="AL2813" s="10" t="str">
        <f>IFERROR(VLOOKUP(B2813,'Pre-Summary'!$BG$6:$BL$44,3,FALSE),"")</f>
        <v/>
      </c>
      <c r="AM2813" s="10" t="str">
        <f>IFERROR(VLOOKUP(B2813,'Pre-Summary'!$BG$6:$BL$44,4,FALSE),"")</f>
        <v/>
      </c>
    </row>
    <row r="2814" spans="2:39" ht="15" customHeight="1" x14ac:dyDescent="0.3">
      <c r="B2814">
        <v>281.10000000000002</v>
      </c>
      <c r="C2814" t="str">
        <f>IFERROR(VLOOKUP(B2814,'Pre-Summary'!$DI$6:$DM$23,4,FALSE),"")</f>
        <v/>
      </c>
      <c r="D2814" s="10" t="str">
        <f>IFERROR(VLOOKUP(B2814,'Pre-Summary'!$AT$6:$AX$14,5,FALSE),D2813)</f>
        <v>Wolfe v3: went back to modified wolfe + EDTA and switched CuSO4 to CUCl2</v>
      </c>
      <c r="E2814" s="10" t="str">
        <f>IFERROR(VLOOKUP(B2814,'Pre-Summary'!$AT$6:$AX$15,4,FALSE),"")</f>
        <v/>
      </c>
      <c r="F2814">
        <f>IFERROR(VLOOKUP(B2814,'Pre-Summary'!$AL$6:$AQ$13,6,FALSE),F2813)</f>
        <v>5.9405263157894746E-2</v>
      </c>
      <c r="G2814" t="str">
        <f>IFERROR(VLOOKUP(B2814,'Pre-Summary'!$AE$6:$AJ$85,3,FALSE),"")</f>
        <v/>
      </c>
      <c r="H2814" t="str">
        <f>IFERROR(VLOOKUP(B2814,'Pre-Summary'!$AE$6:$AJ$85,4,FALSE),"")</f>
        <v/>
      </c>
      <c r="I2814" t="str">
        <f>IFERROR(VLOOKUP(B2814,'Pre-Summary'!$AE$6:$AJ$85,5,FALSE),"")</f>
        <v/>
      </c>
      <c r="J2814" s="45" t="str">
        <f>IFERROR(VLOOKUP(B2814,'Pre-Summary'!$AE$6:$AJ$85,6, FALSE),"")</f>
        <v/>
      </c>
      <c r="K2814" s="45" t="str">
        <f>IFERROR(VLOOKUP(B2814,'Pre-Summary'!$DE$6:$DG$61,3,FALSE),"")</f>
        <v/>
      </c>
      <c r="L2814" s="45" t="str">
        <f>IFERROR(VLOOKUP(B2814,'Pre-Summary'!$CU$6:$CW$36,3,FALSE),"")</f>
        <v/>
      </c>
      <c r="M2814" s="45" t="str">
        <f>IFERROR(VLOOKUP(B2814,'Pre-Summary'!$BW$6:$BY$58,2,FALSE),"")</f>
        <v/>
      </c>
      <c r="N2814" s="45" t="str">
        <f>IFERROR(VLOOKUP(B2814,'Pre-Summary'!$CD$6:$CF$64,2,FALSE),"")</f>
        <v/>
      </c>
      <c r="O2814" s="99">
        <f>IFERROR(VLOOKUP(B2814,'Pre-Summary'!$BO$6:$BQ$48,3, FALSE),O2813)</f>
        <v>2.1030000000000002</v>
      </c>
      <c r="P2814" s="99">
        <f>IFERROR(VLOOKUP(B2814,'Pre-Summary'!$BS$6:$BU$35,3,FALSE),P2813)</f>
        <v>0.53100000000000003</v>
      </c>
      <c r="Q2814" s="54">
        <f t="shared" si="129"/>
        <v>3.9604519774011302</v>
      </c>
      <c r="R2814" s="53">
        <f>IFERROR(VLOOKUP(B2814,'Pre-Summary'!$BG$6:$BM$44,7,FALSE),R2815)</f>
        <v>9.7082714118749885E-2</v>
      </c>
      <c r="S2814" s="53">
        <f>IFERROR(VLOOKUP(B2814,'Pre-Summary'!$BG$6:$BM$44,6,FALSE),S2815)</f>
        <v>8.6132390492961911E-2</v>
      </c>
      <c r="T2814" s="45" t="str">
        <f>IFERROR(VLOOKUP(B2814,'Pre-Summary'!$Y$6:$AC$83, 3,FALSE),"")</f>
        <v/>
      </c>
      <c r="U2814" s="45" t="str">
        <f>IFERROR(VLOOKUP(B2814,'Pre-Summary'!$Y$6:$AC$83, 4,FALSE),"")</f>
        <v/>
      </c>
      <c r="V2814" t="str">
        <f>IFERROR(VLOOKUP(B2814,'Pre-Summary'!$Y$6:$AC$83, 5,FALSE),"")</f>
        <v/>
      </c>
      <c r="W2814" s="45" t="str">
        <f>IFERROR(VLOOKUP(B2814,'Pre-Summary'!$Y$6:$AD$83,6,FALSE),"")</f>
        <v/>
      </c>
      <c r="X2814" t="str">
        <f>IFERROR(VLOOKUP('Pre-Summary'!$DB$6:$DD$63,3,FALSE),"")</f>
        <v/>
      </c>
      <c r="Y2814" t="str">
        <f>IFERROR(VLOOKUP(B2814,'Pre-Summary'!$CR$6:$CT$36,3,FALSE),"")</f>
        <v/>
      </c>
      <c r="Z2814" s="45" t="str">
        <f>IFERROR(VLOOKUP(B2814,'Pre-Summary'!$BZ$6:$CB$63,2,FALSE),"")</f>
        <v/>
      </c>
      <c r="AA2814" s="45" t="str">
        <f>IFERROR(VLOOKUP(B2814,'Pre-Summary'!$CG$6:$CI$70,2,FALSE),"")</f>
        <v/>
      </c>
      <c r="AB2814" s="99">
        <f>IFERROR(VLOOKUP(B2814,'Pre-Summary'!$A$6:$P$178,9,FALSE),AB2815)</f>
        <v>0.7010379290946207</v>
      </c>
      <c r="AC2814" s="10">
        <f>IFERROR(VLOOKUP(Summary!B2814,'Pre-Summary'!$A$6:$P$184,5, FALSE)/100,AC2815)</f>
        <v>0.92607166666666674</v>
      </c>
      <c r="AD2814" s="10">
        <f>IFERROR(VLOOKUP(Summary!B2814,'Pre-Summary'!$A$6:$P$184,3, FALSE)/100,AD2815)</f>
        <v>5.4963666666666668E-2</v>
      </c>
      <c r="AE2814" s="10">
        <f>IFERROR(VLOOKUP(Summary!B2814,'Pre-Summary'!$A$6:$P$184,7, FALSE)/100,AE2815)</f>
        <v>1.8946666666666667E-2</v>
      </c>
      <c r="AF2814" s="99">
        <f t="shared" si="130"/>
        <v>3.8531615055447034E-2</v>
      </c>
      <c r="AG2814" s="99">
        <f t="shared" si="131"/>
        <v>1.3282331963246082E-2</v>
      </c>
      <c r="AH2814" s="10" t="str">
        <f>IFERROR(VLOOKUP(B2814,'Pre-Summary'!$AZ$6:$BE$65,3,FALSE),"")</f>
        <v/>
      </c>
      <c r="AI2814" s="10" t="str">
        <f>IFERROR(VLOOKUP(B2814,'Pre-Summary'!$AZ$6:$BE$65,5,FALSE),"")</f>
        <v/>
      </c>
      <c r="AJ2814" s="10" t="str">
        <f>IFERROR(VLOOKUP(B2814,'Pre-Summary'!$AZ$6:$BE$65,4,FALSE),"")</f>
        <v/>
      </c>
      <c r="AK2814" s="10" t="str">
        <f>IFERROR(VLOOKUP(B2814,'Pre-Summary'!$AZ$6:$BE$65,6,FALSE),"")</f>
        <v/>
      </c>
      <c r="AL2814" s="10" t="str">
        <f>IFERROR(VLOOKUP(B2814,'Pre-Summary'!$BG$6:$BL$44,3,FALSE),"")</f>
        <v/>
      </c>
      <c r="AM2814" s="10" t="str">
        <f>IFERROR(VLOOKUP(B2814,'Pre-Summary'!$BG$6:$BL$44,4,FALSE),"")</f>
        <v/>
      </c>
    </row>
    <row r="2815" spans="2:39" ht="15" customHeight="1" x14ac:dyDescent="0.3">
      <c r="B2815">
        <v>281.2</v>
      </c>
      <c r="C2815" t="str">
        <f>IFERROR(VLOOKUP(B2815,'Pre-Summary'!$DI$6:$DM$23,4,FALSE),"")</f>
        <v/>
      </c>
      <c r="D2815" s="10" t="str">
        <f>IFERROR(VLOOKUP(B2815,'Pre-Summary'!$AT$6:$AX$14,5,FALSE),D2814)</f>
        <v>Wolfe v3: went back to modified wolfe + EDTA and switched CuSO4 to CUCl2</v>
      </c>
      <c r="E2815" s="10" t="str">
        <f>IFERROR(VLOOKUP(B2815,'Pre-Summary'!$AT$6:$AX$15,4,FALSE),"")</f>
        <v/>
      </c>
      <c r="F2815">
        <f>IFERROR(VLOOKUP(B2815,'Pre-Summary'!$AL$6:$AQ$13,6,FALSE),F2814)</f>
        <v>5.9405263157894746E-2</v>
      </c>
      <c r="G2815" t="str">
        <f>IFERROR(VLOOKUP(B2815,'Pre-Summary'!$AE$6:$AJ$85,3,FALSE),"")</f>
        <v/>
      </c>
      <c r="H2815" t="str">
        <f>IFERROR(VLOOKUP(B2815,'Pre-Summary'!$AE$6:$AJ$85,4,FALSE),"")</f>
        <v/>
      </c>
      <c r="I2815" t="str">
        <f>IFERROR(VLOOKUP(B2815,'Pre-Summary'!$AE$6:$AJ$85,5,FALSE),"")</f>
        <v/>
      </c>
      <c r="J2815" s="45" t="str">
        <f>IFERROR(VLOOKUP(B2815,'Pre-Summary'!$AE$6:$AJ$85,6, FALSE),"")</f>
        <v/>
      </c>
      <c r="K2815" s="45" t="str">
        <f>IFERROR(VLOOKUP(B2815,'Pre-Summary'!$DE$6:$DG$61,3,FALSE),"")</f>
        <v/>
      </c>
      <c r="L2815" s="45" t="str">
        <f>IFERROR(VLOOKUP(B2815,'Pre-Summary'!$CU$6:$CW$36,3,FALSE),"")</f>
        <v/>
      </c>
      <c r="M2815" s="45" t="str">
        <f>IFERROR(VLOOKUP(B2815,'Pre-Summary'!$BW$6:$BY$58,2,FALSE),"")</f>
        <v/>
      </c>
      <c r="N2815" s="45" t="str">
        <f>IFERROR(VLOOKUP(B2815,'Pre-Summary'!$CD$6:$CF$64,2,FALSE),"")</f>
        <v/>
      </c>
      <c r="O2815" s="99">
        <f>IFERROR(VLOOKUP(B2815,'Pre-Summary'!$BO$6:$BQ$48,3, FALSE),O2814)</f>
        <v>2.1030000000000002</v>
      </c>
      <c r="P2815" s="99">
        <f>IFERROR(VLOOKUP(B2815,'Pre-Summary'!$BS$6:$BU$35,3,FALSE),P2814)</f>
        <v>0.53100000000000003</v>
      </c>
      <c r="Q2815" s="54">
        <f t="shared" si="129"/>
        <v>3.9604519774011302</v>
      </c>
      <c r="R2815" s="53">
        <f>IFERROR(VLOOKUP(B2815,'Pre-Summary'!$BG$6:$BM$44,7,FALSE),R2816)</f>
        <v>9.7082714118749885E-2</v>
      </c>
      <c r="S2815" s="53">
        <f>IFERROR(VLOOKUP(B2815,'Pre-Summary'!$BG$6:$BM$44,6,FALSE),S2816)</f>
        <v>8.6132390492961911E-2</v>
      </c>
      <c r="T2815" s="45" t="str">
        <f>IFERROR(VLOOKUP(B2815,'Pre-Summary'!$Y$6:$AC$83, 3,FALSE),"")</f>
        <v/>
      </c>
      <c r="U2815" s="45" t="str">
        <f>IFERROR(VLOOKUP(B2815,'Pre-Summary'!$Y$6:$AC$83, 4,FALSE),"")</f>
        <v/>
      </c>
      <c r="V2815" t="str">
        <f>IFERROR(VLOOKUP(B2815,'Pre-Summary'!$Y$6:$AC$83, 5,FALSE),"")</f>
        <v/>
      </c>
      <c r="W2815" s="45" t="str">
        <f>IFERROR(VLOOKUP(B2815,'Pre-Summary'!$Y$6:$AD$83,6,FALSE),"")</f>
        <v/>
      </c>
      <c r="X2815" t="str">
        <f>IFERROR(VLOOKUP('Pre-Summary'!$DB$6:$DD$63,3,FALSE),"")</f>
        <v/>
      </c>
      <c r="Y2815" t="str">
        <f>IFERROR(VLOOKUP(B2815,'Pre-Summary'!$CR$6:$CT$36,3,FALSE),"")</f>
        <v/>
      </c>
      <c r="Z2815" s="45" t="str">
        <f>IFERROR(VLOOKUP(B2815,'Pre-Summary'!$BZ$6:$CB$63,2,FALSE),"")</f>
        <v/>
      </c>
      <c r="AA2815" s="45" t="str">
        <f>IFERROR(VLOOKUP(B2815,'Pre-Summary'!$CG$6:$CI$70,2,FALSE),"")</f>
        <v/>
      </c>
      <c r="AB2815" s="99">
        <f>IFERROR(VLOOKUP(B2815,'Pre-Summary'!$A$6:$P$178,9,FALSE),AB2816)</f>
        <v>0.7010379290946207</v>
      </c>
      <c r="AC2815" s="10">
        <f>IFERROR(VLOOKUP(Summary!B2815,'Pre-Summary'!$A$6:$P$184,5, FALSE)/100,AC2816)</f>
        <v>0.92607166666666674</v>
      </c>
      <c r="AD2815" s="10">
        <f>IFERROR(VLOOKUP(Summary!B2815,'Pre-Summary'!$A$6:$P$184,3, FALSE)/100,AD2816)</f>
        <v>5.4963666666666668E-2</v>
      </c>
      <c r="AE2815" s="10">
        <f>IFERROR(VLOOKUP(Summary!B2815,'Pre-Summary'!$A$6:$P$184,7, FALSE)/100,AE2816)</f>
        <v>1.8946666666666667E-2</v>
      </c>
      <c r="AF2815" s="99">
        <f t="shared" si="130"/>
        <v>3.8531615055447034E-2</v>
      </c>
      <c r="AG2815" s="99">
        <f t="shared" si="131"/>
        <v>1.3282331963246082E-2</v>
      </c>
      <c r="AH2815" s="10" t="str">
        <f>IFERROR(VLOOKUP(B2815,'Pre-Summary'!$AZ$6:$BE$65,3,FALSE),"")</f>
        <v/>
      </c>
      <c r="AI2815" s="10" t="str">
        <f>IFERROR(VLOOKUP(B2815,'Pre-Summary'!$AZ$6:$BE$65,5,FALSE),"")</f>
        <v/>
      </c>
      <c r="AJ2815" s="10" t="str">
        <f>IFERROR(VLOOKUP(B2815,'Pre-Summary'!$AZ$6:$BE$65,4,FALSE),"")</f>
        <v/>
      </c>
      <c r="AK2815" s="10" t="str">
        <f>IFERROR(VLOOKUP(B2815,'Pre-Summary'!$AZ$6:$BE$65,6,FALSE),"")</f>
        <v/>
      </c>
      <c r="AL2815" s="10" t="str">
        <f>IFERROR(VLOOKUP(B2815,'Pre-Summary'!$BG$6:$BL$44,3,FALSE),"")</f>
        <v/>
      </c>
      <c r="AM2815" s="10" t="str">
        <f>IFERROR(VLOOKUP(B2815,'Pre-Summary'!$BG$6:$BL$44,4,FALSE),"")</f>
        <v/>
      </c>
    </row>
    <row r="2816" spans="2:39" ht="15" customHeight="1" x14ac:dyDescent="0.3">
      <c r="B2816">
        <v>281.3</v>
      </c>
      <c r="C2816" t="str">
        <f>IFERROR(VLOOKUP(B2816,'Pre-Summary'!$DI$6:$DM$23,4,FALSE),"")</f>
        <v/>
      </c>
      <c r="D2816" s="10" t="str">
        <f>IFERROR(VLOOKUP(B2816,'Pre-Summary'!$AT$6:$AX$14,5,FALSE),D2815)</f>
        <v>Wolfe v3: went back to modified wolfe + EDTA and switched CuSO4 to CUCl2</v>
      </c>
      <c r="E2816" s="10" t="str">
        <f>IFERROR(VLOOKUP(B2816,'Pre-Summary'!$AT$6:$AX$15,4,FALSE),"")</f>
        <v/>
      </c>
      <c r="F2816">
        <f>IFERROR(VLOOKUP(B2816,'Pre-Summary'!$AL$6:$AQ$13,6,FALSE),F2815)</f>
        <v>5.9405263157894746E-2</v>
      </c>
      <c r="G2816" t="str">
        <f>IFERROR(VLOOKUP(B2816,'Pre-Summary'!$AE$6:$AJ$85,3,FALSE),"")</f>
        <v/>
      </c>
      <c r="H2816" t="str">
        <f>IFERROR(VLOOKUP(B2816,'Pre-Summary'!$AE$6:$AJ$85,4,FALSE),"")</f>
        <v/>
      </c>
      <c r="I2816" t="str">
        <f>IFERROR(VLOOKUP(B2816,'Pre-Summary'!$AE$6:$AJ$85,5,FALSE),"")</f>
        <v/>
      </c>
      <c r="J2816" s="45" t="str">
        <f>IFERROR(VLOOKUP(B2816,'Pre-Summary'!$AE$6:$AJ$85,6, FALSE),"")</f>
        <v/>
      </c>
      <c r="K2816" s="45" t="str">
        <f>IFERROR(VLOOKUP(B2816,'Pre-Summary'!$DE$6:$DG$61,3,FALSE),"")</f>
        <v/>
      </c>
      <c r="L2816" s="45" t="str">
        <f>IFERROR(VLOOKUP(B2816,'Pre-Summary'!$CU$6:$CW$36,3,FALSE),"")</f>
        <v/>
      </c>
      <c r="M2816" s="45" t="str">
        <f>IFERROR(VLOOKUP(B2816,'Pre-Summary'!$BW$6:$BY$58,2,FALSE),"")</f>
        <v/>
      </c>
      <c r="N2816" s="45" t="str">
        <f>IFERROR(VLOOKUP(B2816,'Pre-Summary'!$CD$6:$CF$64,2,FALSE),"")</f>
        <v/>
      </c>
      <c r="O2816" s="99">
        <f>IFERROR(VLOOKUP(B2816,'Pre-Summary'!$BO$6:$BQ$48,3, FALSE),O2815)</f>
        <v>2.1030000000000002</v>
      </c>
      <c r="P2816" s="99">
        <f>IFERROR(VLOOKUP(B2816,'Pre-Summary'!$BS$6:$BU$35,3,FALSE),P2815)</f>
        <v>0.53100000000000003</v>
      </c>
      <c r="Q2816" s="54">
        <f t="shared" si="129"/>
        <v>3.9604519774011302</v>
      </c>
      <c r="R2816" s="53">
        <f>IFERROR(VLOOKUP(B2816,'Pre-Summary'!$BG$6:$BM$44,7,FALSE),R2817)</f>
        <v>9.7082714118749885E-2</v>
      </c>
      <c r="S2816" s="53">
        <f>IFERROR(VLOOKUP(B2816,'Pre-Summary'!$BG$6:$BM$44,6,FALSE),S2817)</f>
        <v>8.6132390492961911E-2</v>
      </c>
      <c r="T2816" s="45" t="str">
        <f>IFERROR(VLOOKUP(B2816,'Pre-Summary'!$Y$6:$AC$83, 3,FALSE),"")</f>
        <v/>
      </c>
      <c r="U2816" s="45" t="str">
        <f>IFERROR(VLOOKUP(B2816,'Pre-Summary'!$Y$6:$AC$83, 4,FALSE),"")</f>
        <v/>
      </c>
      <c r="V2816" t="str">
        <f>IFERROR(VLOOKUP(B2816,'Pre-Summary'!$Y$6:$AC$83, 5,FALSE),"")</f>
        <v/>
      </c>
      <c r="W2816" s="45" t="str">
        <f>IFERROR(VLOOKUP(B2816,'Pre-Summary'!$Y$6:$AD$83,6,FALSE),"")</f>
        <v/>
      </c>
      <c r="X2816" t="str">
        <f>IFERROR(VLOOKUP('Pre-Summary'!$DB$6:$DD$63,3,FALSE),"")</f>
        <v/>
      </c>
      <c r="Y2816" t="str">
        <f>IFERROR(VLOOKUP(B2816,'Pre-Summary'!$CR$6:$CT$36,3,FALSE),"")</f>
        <v/>
      </c>
      <c r="Z2816" s="45" t="str">
        <f>IFERROR(VLOOKUP(B2816,'Pre-Summary'!$BZ$6:$CB$63,2,FALSE),"")</f>
        <v/>
      </c>
      <c r="AA2816" s="45" t="str">
        <f>IFERROR(VLOOKUP(B2816,'Pre-Summary'!$CG$6:$CI$70,2,FALSE),"")</f>
        <v/>
      </c>
      <c r="AB2816" s="99">
        <f>IFERROR(VLOOKUP(B2816,'Pre-Summary'!$A$6:$P$178,9,FALSE),AB2817)</f>
        <v>0.7010379290946207</v>
      </c>
      <c r="AC2816" s="10">
        <f>IFERROR(VLOOKUP(Summary!B2816,'Pre-Summary'!$A$6:$P$184,5, FALSE)/100,AC2817)</f>
        <v>0.92607166666666674</v>
      </c>
      <c r="AD2816" s="10">
        <f>IFERROR(VLOOKUP(Summary!B2816,'Pre-Summary'!$A$6:$P$184,3, FALSE)/100,AD2817)</f>
        <v>5.4963666666666668E-2</v>
      </c>
      <c r="AE2816" s="10">
        <f>IFERROR(VLOOKUP(Summary!B2816,'Pre-Summary'!$A$6:$P$184,7, FALSE)/100,AE2817)</f>
        <v>1.8946666666666667E-2</v>
      </c>
      <c r="AF2816" s="99">
        <f t="shared" si="130"/>
        <v>3.8531615055447034E-2</v>
      </c>
      <c r="AG2816" s="99">
        <f t="shared" si="131"/>
        <v>1.3282331963246082E-2</v>
      </c>
      <c r="AH2816" s="10" t="str">
        <f>IFERROR(VLOOKUP(B2816,'Pre-Summary'!$AZ$6:$BE$65,3,FALSE),"")</f>
        <v/>
      </c>
      <c r="AI2816" s="10" t="str">
        <f>IFERROR(VLOOKUP(B2816,'Pre-Summary'!$AZ$6:$BE$65,5,FALSE),"")</f>
        <v/>
      </c>
      <c r="AJ2816" s="10" t="str">
        <f>IFERROR(VLOOKUP(B2816,'Pre-Summary'!$AZ$6:$BE$65,4,FALSE),"")</f>
        <v/>
      </c>
      <c r="AK2816" s="10" t="str">
        <f>IFERROR(VLOOKUP(B2816,'Pre-Summary'!$AZ$6:$BE$65,6,FALSE),"")</f>
        <v/>
      </c>
      <c r="AL2816" s="10" t="str">
        <f>IFERROR(VLOOKUP(B2816,'Pre-Summary'!$BG$6:$BL$44,3,FALSE),"")</f>
        <v/>
      </c>
      <c r="AM2816" s="10" t="str">
        <f>IFERROR(VLOOKUP(B2816,'Pre-Summary'!$BG$6:$BL$44,4,FALSE),"")</f>
        <v/>
      </c>
    </row>
    <row r="2817" spans="2:39" ht="15" customHeight="1" x14ac:dyDescent="0.3">
      <c r="B2817">
        <v>281.39999999999998</v>
      </c>
      <c r="C2817" t="str">
        <f>IFERROR(VLOOKUP(B2817,'Pre-Summary'!$DI$6:$DM$23,4,FALSE),"")</f>
        <v/>
      </c>
      <c r="D2817" s="10" t="str">
        <f>IFERROR(VLOOKUP(B2817,'Pre-Summary'!$AT$6:$AX$14,5,FALSE),D2816)</f>
        <v>Wolfe v3: went back to modified wolfe + EDTA and switched CuSO4 to CUCl2</v>
      </c>
      <c r="E2817" s="10" t="str">
        <f>IFERROR(VLOOKUP(B2817,'Pre-Summary'!$AT$6:$AX$15,4,FALSE),"")</f>
        <v/>
      </c>
      <c r="F2817">
        <f>IFERROR(VLOOKUP(B2817,'Pre-Summary'!$AL$6:$AQ$13,6,FALSE),F2816)</f>
        <v>5.9405263157894746E-2</v>
      </c>
      <c r="G2817" t="str">
        <f>IFERROR(VLOOKUP(B2817,'Pre-Summary'!$AE$6:$AJ$85,3,FALSE),"")</f>
        <v/>
      </c>
      <c r="H2817" t="str">
        <f>IFERROR(VLOOKUP(B2817,'Pre-Summary'!$AE$6:$AJ$85,4,FALSE),"")</f>
        <v/>
      </c>
      <c r="I2817" t="str">
        <f>IFERROR(VLOOKUP(B2817,'Pre-Summary'!$AE$6:$AJ$85,5,FALSE),"")</f>
        <v/>
      </c>
      <c r="J2817" s="45" t="str">
        <f>IFERROR(VLOOKUP(B2817,'Pre-Summary'!$AE$6:$AJ$85,6, FALSE),"")</f>
        <v/>
      </c>
      <c r="K2817" s="45" t="str">
        <f>IFERROR(VLOOKUP(B2817,'Pre-Summary'!$DE$6:$DG$61,3,FALSE),"")</f>
        <v/>
      </c>
      <c r="L2817" s="45" t="str">
        <f>IFERROR(VLOOKUP(B2817,'Pre-Summary'!$CU$6:$CW$36,3,FALSE),"")</f>
        <v/>
      </c>
      <c r="M2817" s="45" t="str">
        <f>IFERROR(VLOOKUP(B2817,'Pre-Summary'!$BW$6:$BY$58,2,FALSE),"")</f>
        <v/>
      </c>
      <c r="N2817" s="45" t="str">
        <f>IFERROR(VLOOKUP(B2817,'Pre-Summary'!$CD$6:$CF$64,2,FALSE),"")</f>
        <v/>
      </c>
      <c r="O2817" s="99">
        <f>IFERROR(VLOOKUP(B2817,'Pre-Summary'!$BO$6:$BQ$48,3, FALSE),O2816)</f>
        <v>2.1030000000000002</v>
      </c>
      <c r="P2817" s="99">
        <f>IFERROR(VLOOKUP(B2817,'Pre-Summary'!$BS$6:$BU$35,3,FALSE),P2816)</f>
        <v>0.53100000000000003</v>
      </c>
      <c r="Q2817" s="54">
        <f t="shared" si="129"/>
        <v>3.9604519774011302</v>
      </c>
      <c r="R2817" s="53">
        <f>IFERROR(VLOOKUP(B2817,'Pre-Summary'!$BG$6:$BM$44,7,FALSE),R2818)</f>
        <v>9.7082714118749885E-2</v>
      </c>
      <c r="S2817" s="53">
        <f>IFERROR(VLOOKUP(B2817,'Pre-Summary'!$BG$6:$BM$44,6,FALSE),S2818)</f>
        <v>8.6132390492961911E-2</v>
      </c>
      <c r="T2817" s="45" t="str">
        <f>IFERROR(VLOOKUP(B2817,'Pre-Summary'!$Y$6:$AC$83, 3,FALSE),"")</f>
        <v/>
      </c>
      <c r="U2817" s="45" t="str">
        <f>IFERROR(VLOOKUP(B2817,'Pre-Summary'!$Y$6:$AC$83, 4,FALSE),"")</f>
        <v/>
      </c>
      <c r="V2817" t="str">
        <f>IFERROR(VLOOKUP(B2817,'Pre-Summary'!$Y$6:$AC$83, 5,FALSE),"")</f>
        <v/>
      </c>
      <c r="W2817" s="45" t="str">
        <f>IFERROR(VLOOKUP(B2817,'Pre-Summary'!$Y$6:$AD$83,6,FALSE),"")</f>
        <v/>
      </c>
      <c r="X2817" t="str">
        <f>IFERROR(VLOOKUP('Pre-Summary'!$DB$6:$DD$63,3,FALSE),"")</f>
        <v/>
      </c>
      <c r="Y2817" t="str">
        <f>IFERROR(VLOOKUP(B2817,'Pre-Summary'!$CR$6:$CT$36,3,FALSE),"")</f>
        <v/>
      </c>
      <c r="Z2817" s="45" t="str">
        <f>IFERROR(VLOOKUP(B2817,'Pre-Summary'!$BZ$6:$CB$63,2,FALSE),"")</f>
        <v/>
      </c>
      <c r="AA2817" s="45" t="str">
        <f>IFERROR(VLOOKUP(B2817,'Pre-Summary'!$CG$6:$CI$70,2,FALSE),"")</f>
        <v/>
      </c>
      <c r="AB2817" s="99">
        <f>IFERROR(VLOOKUP(B2817,'Pre-Summary'!$A$6:$P$178,9,FALSE),AB2818)</f>
        <v>0.7010379290946207</v>
      </c>
      <c r="AC2817" s="10">
        <f>IFERROR(VLOOKUP(Summary!B2817,'Pre-Summary'!$A$6:$P$184,5, FALSE)/100,AC2818)</f>
        <v>0.92607166666666674</v>
      </c>
      <c r="AD2817" s="10">
        <f>IFERROR(VLOOKUP(Summary!B2817,'Pre-Summary'!$A$6:$P$184,3, FALSE)/100,AD2818)</f>
        <v>5.4963666666666668E-2</v>
      </c>
      <c r="AE2817" s="10">
        <f>IFERROR(VLOOKUP(Summary!B2817,'Pre-Summary'!$A$6:$P$184,7, FALSE)/100,AE2818)</f>
        <v>1.8946666666666667E-2</v>
      </c>
      <c r="AF2817" s="99">
        <f t="shared" si="130"/>
        <v>3.8531615055447034E-2</v>
      </c>
      <c r="AG2817" s="99">
        <f t="shared" si="131"/>
        <v>1.3282331963246082E-2</v>
      </c>
      <c r="AH2817" s="10" t="str">
        <f>IFERROR(VLOOKUP(B2817,'Pre-Summary'!$AZ$6:$BE$65,3,FALSE),"")</f>
        <v/>
      </c>
      <c r="AI2817" s="10" t="str">
        <f>IFERROR(VLOOKUP(B2817,'Pre-Summary'!$AZ$6:$BE$65,5,FALSE),"")</f>
        <v/>
      </c>
      <c r="AJ2817" s="10" t="str">
        <f>IFERROR(VLOOKUP(B2817,'Pre-Summary'!$AZ$6:$BE$65,4,FALSE),"")</f>
        <v/>
      </c>
      <c r="AK2817" s="10" t="str">
        <f>IFERROR(VLOOKUP(B2817,'Pre-Summary'!$AZ$6:$BE$65,6,FALSE),"")</f>
        <v/>
      </c>
      <c r="AL2817" s="10" t="str">
        <f>IFERROR(VLOOKUP(B2817,'Pre-Summary'!$BG$6:$BL$44,3,FALSE),"")</f>
        <v/>
      </c>
      <c r="AM2817" s="10" t="str">
        <f>IFERROR(VLOOKUP(B2817,'Pre-Summary'!$BG$6:$BL$44,4,FALSE),"")</f>
        <v/>
      </c>
    </row>
    <row r="2818" spans="2:39" ht="15" customHeight="1" x14ac:dyDescent="0.3">
      <c r="B2818">
        <v>281.5</v>
      </c>
      <c r="C2818" t="str">
        <f>IFERROR(VLOOKUP(B2818,'Pre-Summary'!$DI$6:$DM$23,4,FALSE),"")</f>
        <v/>
      </c>
      <c r="D2818" s="10" t="str">
        <f>IFERROR(VLOOKUP(B2818,'Pre-Summary'!$AT$6:$AX$14,5,FALSE),D2817)</f>
        <v>Wolfe v3: went back to modified wolfe + EDTA and switched CuSO4 to CUCl2</v>
      </c>
      <c r="E2818" s="10" t="str">
        <f>IFERROR(VLOOKUP(B2818,'Pre-Summary'!$AT$6:$AX$15,4,FALSE),"")</f>
        <v/>
      </c>
      <c r="F2818">
        <f>IFERROR(VLOOKUP(B2818,'Pre-Summary'!$AL$6:$AQ$13,6,FALSE),F2817)</f>
        <v>5.9405263157894746E-2</v>
      </c>
      <c r="G2818">
        <f>IFERROR(VLOOKUP(B2818,'Pre-Summary'!$AE$6:$AJ$85,3,FALSE),"")</f>
        <v>2.5025101150000002</v>
      </c>
      <c r="H2818" t="str">
        <f>IFERROR(VLOOKUP(B2818,'Pre-Summary'!$AE$6:$AJ$85,4,FALSE),"")</f>
        <v/>
      </c>
      <c r="I2818" t="str">
        <f>IFERROR(VLOOKUP(B2818,'Pre-Summary'!$AE$6:$AJ$85,5,FALSE),"")</f>
        <v/>
      </c>
      <c r="J2818" s="45">
        <f>IFERROR(VLOOKUP(B2818,'Pre-Summary'!$AE$6:$AJ$85,6, FALSE),"")</f>
        <v>2.6701782927050002</v>
      </c>
      <c r="K2818" s="45" t="str">
        <f>IFERROR(VLOOKUP(B2818,'Pre-Summary'!$DE$6:$DG$61,3,FALSE),"")</f>
        <v/>
      </c>
      <c r="L2818" s="45" t="str">
        <f>IFERROR(VLOOKUP(B2818,'Pre-Summary'!$CU$6:$CW$36,3,FALSE),"")</f>
        <v/>
      </c>
      <c r="M2818" s="45" t="str">
        <f>IFERROR(VLOOKUP(B2818,'Pre-Summary'!$BW$6:$BY$58,2,FALSE),"")</f>
        <v/>
      </c>
      <c r="N2818" s="45" t="str">
        <f>IFERROR(VLOOKUP(B2818,'Pre-Summary'!$CD$6:$CF$64,2,FALSE),"")</f>
        <v/>
      </c>
      <c r="O2818" s="99">
        <f>IFERROR(VLOOKUP(B2818,'Pre-Summary'!$BO$6:$BQ$48,3, FALSE),O2817)</f>
        <v>2.1030000000000002</v>
      </c>
      <c r="P2818" s="99">
        <f>IFERROR(VLOOKUP(B2818,'Pre-Summary'!$BS$6:$BU$35,3,FALSE),P2817)</f>
        <v>0.53100000000000003</v>
      </c>
      <c r="Q2818" s="54">
        <f t="shared" si="129"/>
        <v>3.9604519774011302</v>
      </c>
      <c r="R2818" s="53">
        <f>IFERROR(VLOOKUP(B2818,'Pre-Summary'!$BG$6:$BM$44,7,FALSE),R2819)</f>
        <v>9.7082714118749885E-2</v>
      </c>
      <c r="S2818" s="53">
        <f>IFERROR(VLOOKUP(B2818,'Pre-Summary'!$BG$6:$BM$44,6,FALSE),S2819)</f>
        <v>8.6132390492961911E-2</v>
      </c>
      <c r="T2818" s="45">
        <f>IFERROR(VLOOKUP(B2818,'Pre-Summary'!$Y$6:$AC$83, 3,FALSE),"")</f>
        <v>2.7177131170000002</v>
      </c>
      <c r="U2818" s="45" t="str">
        <f>IFERROR(VLOOKUP(B2818,'Pre-Summary'!$Y$6:$AC$83, 4,FALSE),"")</f>
        <v/>
      </c>
      <c r="V2818" t="str">
        <f>IFERROR(VLOOKUP(B2818,'Pre-Summary'!$Y$6:$AC$83, 5,FALSE),"")</f>
        <v/>
      </c>
      <c r="W2818" s="45">
        <f>IFERROR(VLOOKUP(B2818,'Pre-Summary'!$Y$6:$AD$83,6,FALSE),"")</f>
        <v>2.8997998958390001</v>
      </c>
      <c r="X2818" t="str">
        <f>IFERROR(VLOOKUP('Pre-Summary'!$DB$6:$DD$63,3,FALSE),"")</f>
        <v/>
      </c>
      <c r="Y2818" t="str">
        <f>IFERROR(VLOOKUP(B2818,'Pre-Summary'!$CR$6:$CT$36,3,FALSE),"")</f>
        <v/>
      </c>
      <c r="Z2818" s="45" t="str">
        <f>IFERROR(VLOOKUP(B2818,'Pre-Summary'!$BZ$6:$CB$63,2,FALSE),"")</f>
        <v/>
      </c>
      <c r="AA2818" s="45" t="str">
        <f>IFERROR(VLOOKUP(B2818,'Pre-Summary'!$CG$6:$CI$70,2,FALSE),"")</f>
        <v/>
      </c>
      <c r="AB2818" s="99">
        <f>IFERROR(VLOOKUP(B2818,'Pre-Summary'!$A$6:$P$178,9,FALSE),AB2819)</f>
        <v>0.7010379290946207</v>
      </c>
      <c r="AC2818" s="10">
        <f>IFERROR(VLOOKUP(Summary!B2818,'Pre-Summary'!$A$6:$P$184,5, FALSE)/100,AC2819)</f>
        <v>0.92607166666666674</v>
      </c>
      <c r="AD2818" s="10">
        <f>IFERROR(VLOOKUP(Summary!B2818,'Pre-Summary'!$A$6:$P$184,3, FALSE)/100,AD2819)</f>
        <v>5.4963666666666668E-2</v>
      </c>
      <c r="AE2818" s="10">
        <f>IFERROR(VLOOKUP(Summary!B2818,'Pre-Summary'!$A$6:$P$184,7, FALSE)/100,AE2819)</f>
        <v>1.8946666666666667E-2</v>
      </c>
      <c r="AF2818" s="99">
        <f t="shared" si="130"/>
        <v>3.8531615055447034E-2</v>
      </c>
      <c r="AG2818" s="99">
        <f t="shared" si="131"/>
        <v>1.3282331963246082E-2</v>
      </c>
      <c r="AH2818" s="10" t="str">
        <f>IFERROR(VLOOKUP(B2818,'Pre-Summary'!$AZ$6:$BE$65,3,FALSE),"")</f>
        <v/>
      </c>
      <c r="AI2818" s="10" t="str">
        <f>IFERROR(VLOOKUP(B2818,'Pre-Summary'!$AZ$6:$BE$65,5,FALSE),"")</f>
        <v/>
      </c>
      <c r="AJ2818" s="10" t="str">
        <f>IFERROR(VLOOKUP(B2818,'Pre-Summary'!$AZ$6:$BE$65,4,FALSE),"")</f>
        <v/>
      </c>
      <c r="AK2818" s="10" t="str">
        <f>IFERROR(VLOOKUP(B2818,'Pre-Summary'!$AZ$6:$BE$65,6,FALSE),"")</f>
        <v/>
      </c>
      <c r="AL2818" s="10" t="str">
        <f>IFERROR(VLOOKUP(B2818,'Pre-Summary'!$BG$6:$BL$44,3,FALSE),"")</f>
        <v/>
      </c>
      <c r="AM2818" s="10" t="str">
        <f>IFERROR(VLOOKUP(B2818,'Pre-Summary'!$BG$6:$BL$44,4,FALSE),"")</f>
        <v/>
      </c>
    </row>
    <row r="2819" spans="2:39" ht="15" customHeight="1" x14ac:dyDescent="0.3">
      <c r="B2819">
        <v>281.60000000000002</v>
      </c>
      <c r="C2819" t="str">
        <f>IFERROR(VLOOKUP(B2819,'Pre-Summary'!$DI$6:$DM$23,4,FALSE),"")</f>
        <v/>
      </c>
      <c r="D2819" s="10" t="str">
        <f>IFERROR(VLOOKUP(B2819,'Pre-Summary'!$AT$6:$AX$14,5,FALSE),D2818)</f>
        <v>Wolfe v3: went back to modified wolfe + EDTA and switched CuSO4 to CUCl2</v>
      </c>
      <c r="E2819" s="10" t="str">
        <f>IFERROR(VLOOKUP(B2819,'Pre-Summary'!$AT$6:$AX$15,4,FALSE),"")</f>
        <v/>
      </c>
      <c r="F2819">
        <f>IFERROR(VLOOKUP(B2819,'Pre-Summary'!$AL$6:$AQ$13,6,FALSE),F2818)</f>
        <v>5.9405263157894746E-2</v>
      </c>
      <c r="G2819" t="str">
        <f>IFERROR(VLOOKUP(B2819,'Pre-Summary'!$AE$6:$AJ$85,3,FALSE),"")</f>
        <v/>
      </c>
      <c r="H2819" t="str">
        <f>IFERROR(VLOOKUP(B2819,'Pre-Summary'!$AE$6:$AJ$85,4,FALSE),"")</f>
        <v/>
      </c>
      <c r="I2819" t="str">
        <f>IFERROR(VLOOKUP(B2819,'Pre-Summary'!$AE$6:$AJ$85,5,FALSE),"")</f>
        <v/>
      </c>
      <c r="J2819" s="45" t="str">
        <f>IFERROR(VLOOKUP(B2819,'Pre-Summary'!$AE$6:$AJ$85,6, FALSE),"")</f>
        <v/>
      </c>
      <c r="K2819" s="45" t="str">
        <f>IFERROR(VLOOKUP(B2819,'Pre-Summary'!$DE$6:$DG$61,3,FALSE),"")</f>
        <v/>
      </c>
      <c r="L2819" s="45" t="str">
        <f>IFERROR(VLOOKUP(B2819,'Pre-Summary'!$CU$6:$CW$36,3,FALSE),"")</f>
        <v/>
      </c>
      <c r="M2819" s="45" t="str">
        <f>IFERROR(VLOOKUP(B2819,'Pre-Summary'!$BW$6:$BY$58,2,FALSE),"")</f>
        <v/>
      </c>
      <c r="N2819" s="45" t="str">
        <f>IFERROR(VLOOKUP(B2819,'Pre-Summary'!$CD$6:$CF$64,2,FALSE),"")</f>
        <v/>
      </c>
      <c r="O2819" s="99">
        <f>IFERROR(VLOOKUP(B2819,'Pre-Summary'!$BO$6:$BQ$48,3, FALSE),O2818)</f>
        <v>2.1030000000000002</v>
      </c>
      <c r="P2819" s="99">
        <f>IFERROR(VLOOKUP(B2819,'Pre-Summary'!$BS$6:$BU$35,3,FALSE),P2818)</f>
        <v>0.53100000000000003</v>
      </c>
      <c r="Q2819" s="54">
        <f t="shared" ref="Q2819:Q2882" si="132">O2819/P2819</f>
        <v>3.9604519774011302</v>
      </c>
      <c r="R2819" s="53">
        <f>IFERROR(VLOOKUP(B2819,'Pre-Summary'!$BG$6:$BM$44,7,FALSE),R2820)</f>
        <v>9.7082714118749885E-2</v>
      </c>
      <c r="S2819" s="53">
        <f>IFERROR(VLOOKUP(B2819,'Pre-Summary'!$BG$6:$BM$44,6,FALSE),S2820)</f>
        <v>8.6132390492961911E-2</v>
      </c>
      <c r="T2819" s="45" t="str">
        <f>IFERROR(VLOOKUP(B2819,'Pre-Summary'!$Y$6:$AC$83, 3,FALSE),"")</f>
        <v/>
      </c>
      <c r="U2819" s="45" t="str">
        <f>IFERROR(VLOOKUP(B2819,'Pre-Summary'!$Y$6:$AC$83, 4,FALSE),"")</f>
        <v/>
      </c>
      <c r="V2819" t="str">
        <f>IFERROR(VLOOKUP(B2819,'Pre-Summary'!$Y$6:$AC$83, 5,FALSE),"")</f>
        <v/>
      </c>
      <c r="W2819" s="45" t="str">
        <f>IFERROR(VLOOKUP(B2819,'Pre-Summary'!$Y$6:$AD$83,6,FALSE),"")</f>
        <v/>
      </c>
      <c r="X2819" t="str">
        <f>IFERROR(VLOOKUP('Pre-Summary'!$DB$6:$DD$63,3,FALSE),"")</f>
        <v/>
      </c>
      <c r="Y2819" t="str">
        <f>IFERROR(VLOOKUP(B2819,'Pre-Summary'!$CR$6:$CT$36,3,FALSE),"")</f>
        <v/>
      </c>
      <c r="Z2819" s="45" t="str">
        <f>IFERROR(VLOOKUP(B2819,'Pre-Summary'!$BZ$6:$CB$63,2,FALSE),"")</f>
        <v/>
      </c>
      <c r="AA2819" s="45" t="str">
        <f>IFERROR(VLOOKUP(B2819,'Pre-Summary'!$CG$6:$CI$70,2,FALSE),"")</f>
        <v/>
      </c>
      <c r="AB2819" s="99">
        <f>IFERROR(VLOOKUP(B2819,'Pre-Summary'!$A$6:$P$178,9,FALSE),AB2820)</f>
        <v>0.7010379290946207</v>
      </c>
      <c r="AC2819" s="10">
        <f>IFERROR(VLOOKUP(Summary!B2819,'Pre-Summary'!$A$6:$P$184,5, FALSE)/100,AC2820)</f>
        <v>0.92607166666666674</v>
      </c>
      <c r="AD2819" s="10">
        <f>IFERROR(VLOOKUP(Summary!B2819,'Pre-Summary'!$A$6:$P$184,3, FALSE)/100,AD2820)</f>
        <v>5.4963666666666668E-2</v>
      </c>
      <c r="AE2819" s="10">
        <f>IFERROR(VLOOKUP(Summary!B2819,'Pre-Summary'!$A$6:$P$184,7, FALSE)/100,AE2820)</f>
        <v>1.8946666666666667E-2</v>
      </c>
      <c r="AF2819" s="99">
        <f t="shared" ref="AF2819:AF2882" si="133">AD2819*AB2819</f>
        <v>3.8531615055447034E-2</v>
      </c>
      <c r="AG2819" s="99">
        <f t="shared" ref="AG2819:AG2882" si="134">AB2819*AE2819</f>
        <v>1.3282331963246082E-2</v>
      </c>
      <c r="AH2819" s="10" t="str">
        <f>IFERROR(VLOOKUP(B2819,'Pre-Summary'!$AZ$6:$BE$65,3,FALSE),"")</f>
        <v/>
      </c>
      <c r="AI2819" s="10" t="str">
        <f>IFERROR(VLOOKUP(B2819,'Pre-Summary'!$AZ$6:$BE$65,5,FALSE),"")</f>
        <v/>
      </c>
      <c r="AJ2819" s="10" t="str">
        <f>IFERROR(VLOOKUP(B2819,'Pre-Summary'!$AZ$6:$BE$65,4,FALSE),"")</f>
        <v/>
      </c>
      <c r="AK2819" s="10" t="str">
        <f>IFERROR(VLOOKUP(B2819,'Pre-Summary'!$AZ$6:$BE$65,6,FALSE),"")</f>
        <v/>
      </c>
      <c r="AL2819" s="10" t="str">
        <f>IFERROR(VLOOKUP(B2819,'Pre-Summary'!$BG$6:$BL$44,3,FALSE),"")</f>
        <v/>
      </c>
      <c r="AM2819" s="10" t="str">
        <f>IFERROR(VLOOKUP(B2819,'Pre-Summary'!$BG$6:$BL$44,4,FALSE),"")</f>
        <v/>
      </c>
    </row>
    <row r="2820" spans="2:39" ht="15" customHeight="1" x14ac:dyDescent="0.3">
      <c r="B2820">
        <v>281.7</v>
      </c>
      <c r="C2820" t="str">
        <f>IFERROR(VLOOKUP(B2820,'Pre-Summary'!$DI$6:$DM$23,4,FALSE),"")</f>
        <v/>
      </c>
      <c r="D2820" s="10" t="str">
        <f>IFERROR(VLOOKUP(B2820,'Pre-Summary'!$AT$6:$AX$14,5,FALSE),D2819)</f>
        <v>Wolfe v3: went back to modified wolfe + EDTA and switched CuSO4 to CUCl2</v>
      </c>
      <c r="E2820" s="10" t="str">
        <f>IFERROR(VLOOKUP(B2820,'Pre-Summary'!$AT$6:$AX$15,4,FALSE),"")</f>
        <v/>
      </c>
      <c r="F2820">
        <f>IFERROR(VLOOKUP(B2820,'Pre-Summary'!$AL$6:$AQ$13,6,FALSE),F2819)</f>
        <v>5.9405263157894746E-2</v>
      </c>
      <c r="G2820" t="str">
        <f>IFERROR(VLOOKUP(B2820,'Pre-Summary'!$AE$6:$AJ$85,3,FALSE),"")</f>
        <v/>
      </c>
      <c r="H2820" t="str">
        <f>IFERROR(VLOOKUP(B2820,'Pre-Summary'!$AE$6:$AJ$85,4,FALSE),"")</f>
        <v/>
      </c>
      <c r="I2820" t="str">
        <f>IFERROR(VLOOKUP(B2820,'Pre-Summary'!$AE$6:$AJ$85,5,FALSE),"")</f>
        <v/>
      </c>
      <c r="J2820" s="45" t="str">
        <f>IFERROR(VLOOKUP(B2820,'Pre-Summary'!$AE$6:$AJ$85,6, FALSE),"")</f>
        <v/>
      </c>
      <c r="K2820" s="45" t="str">
        <f>IFERROR(VLOOKUP(B2820,'Pre-Summary'!$DE$6:$DG$61,3,FALSE),"")</f>
        <v/>
      </c>
      <c r="L2820" s="45" t="str">
        <f>IFERROR(VLOOKUP(B2820,'Pre-Summary'!$CU$6:$CW$36,3,FALSE),"")</f>
        <v/>
      </c>
      <c r="M2820" s="45" t="str">
        <f>IFERROR(VLOOKUP(B2820,'Pre-Summary'!$BW$6:$BY$58,2,FALSE),"")</f>
        <v/>
      </c>
      <c r="N2820" s="45" t="str">
        <f>IFERROR(VLOOKUP(B2820,'Pre-Summary'!$CD$6:$CF$64,2,FALSE),"")</f>
        <v/>
      </c>
      <c r="O2820" s="99">
        <f>IFERROR(VLOOKUP(B2820,'Pre-Summary'!$BO$6:$BQ$48,3, FALSE),O2819)</f>
        <v>2.1030000000000002</v>
      </c>
      <c r="P2820" s="99">
        <f>IFERROR(VLOOKUP(B2820,'Pre-Summary'!$BS$6:$BU$35,3,FALSE),P2819)</f>
        <v>0.53100000000000003</v>
      </c>
      <c r="Q2820" s="54">
        <f t="shared" si="132"/>
        <v>3.9604519774011302</v>
      </c>
      <c r="R2820" s="53">
        <f>IFERROR(VLOOKUP(B2820,'Pre-Summary'!$BG$6:$BM$44,7,FALSE),R2821)</f>
        <v>9.7082714118749885E-2</v>
      </c>
      <c r="S2820" s="53">
        <f>IFERROR(VLOOKUP(B2820,'Pre-Summary'!$BG$6:$BM$44,6,FALSE),S2821)</f>
        <v>8.6132390492961911E-2</v>
      </c>
      <c r="T2820" s="45" t="str">
        <f>IFERROR(VLOOKUP(B2820,'Pre-Summary'!$Y$6:$AC$83, 3,FALSE),"")</f>
        <v/>
      </c>
      <c r="U2820" s="45" t="str">
        <f>IFERROR(VLOOKUP(B2820,'Pre-Summary'!$Y$6:$AC$83, 4,FALSE),"")</f>
        <v/>
      </c>
      <c r="V2820" t="str">
        <f>IFERROR(VLOOKUP(B2820,'Pre-Summary'!$Y$6:$AC$83, 5,FALSE),"")</f>
        <v/>
      </c>
      <c r="W2820" s="45" t="str">
        <f>IFERROR(VLOOKUP(B2820,'Pre-Summary'!$Y$6:$AD$83,6,FALSE),"")</f>
        <v/>
      </c>
      <c r="X2820" t="str">
        <f>IFERROR(VLOOKUP('Pre-Summary'!$DB$6:$DD$63,3,FALSE),"")</f>
        <v/>
      </c>
      <c r="Y2820" t="str">
        <f>IFERROR(VLOOKUP(B2820,'Pre-Summary'!$CR$6:$CT$36,3,FALSE),"")</f>
        <v/>
      </c>
      <c r="Z2820" s="45" t="str">
        <f>IFERROR(VLOOKUP(B2820,'Pre-Summary'!$BZ$6:$CB$63,2,FALSE),"")</f>
        <v/>
      </c>
      <c r="AA2820" s="45" t="str">
        <f>IFERROR(VLOOKUP(B2820,'Pre-Summary'!$CG$6:$CI$70,2,FALSE),"")</f>
        <v/>
      </c>
      <c r="AB2820" s="99">
        <f>IFERROR(VLOOKUP(B2820,'Pre-Summary'!$A$6:$P$178,9,FALSE),AB2821)</f>
        <v>0.7010379290946207</v>
      </c>
      <c r="AC2820" s="10">
        <f>IFERROR(VLOOKUP(Summary!B2820,'Pre-Summary'!$A$6:$P$184,5, FALSE)/100,AC2821)</f>
        <v>0.92607166666666674</v>
      </c>
      <c r="AD2820" s="10">
        <f>IFERROR(VLOOKUP(Summary!B2820,'Pre-Summary'!$A$6:$P$184,3, FALSE)/100,AD2821)</f>
        <v>5.4963666666666668E-2</v>
      </c>
      <c r="AE2820" s="10">
        <f>IFERROR(VLOOKUP(Summary!B2820,'Pre-Summary'!$A$6:$P$184,7, FALSE)/100,AE2821)</f>
        <v>1.8946666666666667E-2</v>
      </c>
      <c r="AF2820" s="99">
        <f t="shared" si="133"/>
        <v>3.8531615055447034E-2</v>
      </c>
      <c r="AG2820" s="99">
        <f t="shared" si="134"/>
        <v>1.3282331963246082E-2</v>
      </c>
      <c r="AH2820" s="10" t="str">
        <f>IFERROR(VLOOKUP(B2820,'Pre-Summary'!$AZ$6:$BE$65,3,FALSE),"")</f>
        <v/>
      </c>
      <c r="AI2820" s="10" t="str">
        <f>IFERROR(VLOOKUP(B2820,'Pre-Summary'!$AZ$6:$BE$65,5,FALSE),"")</f>
        <v/>
      </c>
      <c r="AJ2820" s="10" t="str">
        <f>IFERROR(VLOOKUP(B2820,'Pre-Summary'!$AZ$6:$BE$65,4,FALSE),"")</f>
        <v/>
      </c>
      <c r="AK2820" s="10" t="str">
        <f>IFERROR(VLOOKUP(B2820,'Pre-Summary'!$AZ$6:$BE$65,6,FALSE),"")</f>
        <v/>
      </c>
      <c r="AL2820" s="10" t="str">
        <f>IFERROR(VLOOKUP(B2820,'Pre-Summary'!$BG$6:$BL$44,3,FALSE),"")</f>
        <v/>
      </c>
      <c r="AM2820" s="10" t="str">
        <f>IFERROR(VLOOKUP(B2820,'Pre-Summary'!$BG$6:$BL$44,4,FALSE),"")</f>
        <v/>
      </c>
    </row>
    <row r="2821" spans="2:39" ht="15" customHeight="1" x14ac:dyDescent="0.3">
      <c r="B2821">
        <v>281.8</v>
      </c>
      <c r="C2821" t="str">
        <f>IFERROR(VLOOKUP(B2821,'Pre-Summary'!$DI$6:$DM$23,4,FALSE),"")</f>
        <v/>
      </c>
      <c r="D2821" s="10" t="str">
        <f>IFERROR(VLOOKUP(B2821,'Pre-Summary'!$AT$6:$AX$14,5,FALSE),D2820)</f>
        <v>Wolfe v3: went back to modified wolfe + EDTA and switched CuSO4 to CUCl2</v>
      </c>
      <c r="E2821" s="10" t="str">
        <f>IFERROR(VLOOKUP(B2821,'Pre-Summary'!$AT$6:$AX$15,4,FALSE),"")</f>
        <v/>
      </c>
      <c r="F2821">
        <f>IFERROR(VLOOKUP(B2821,'Pre-Summary'!$AL$6:$AQ$13,6,FALSE),F2820)</f>
        <v>5.9405263157894746E-2</v>
      </c>
      <c r="G2821" t="str">
        <f>IFERROR(VLOOKUP(B2821,'Pre-Summary'!$AE$6:$AJ$85,3,FALSE),"")</f>
        <v/>
      </c>
      <c r="H2821" t="str">
        <f>IFERROR(VLOOKUP(B2821,'Pre-Summary'!$AE$6:$AJ$85,4,FALSE),"")</f>
        <v/>
      </c>
      <c r="I2821" t="str">
        <f>IFERROR(VLOOKUP(B2821,'Pre-Summary'!$AE$6:$AJ$85,5,FALSE),"")</f>
        <v/>
      </c>
      <c r="J2821" s="45" t="str">
        <f>IFERROR(VLOOKUP(B2821,'Pre-Summary'!$AE$6:$AJ$85,6, FALSE),"")</f>
        <v/>
      </c>
      <c r="K2821" s="45" t="str">
        <f>IFERROR(VLOOKUP(B2821,'Pre-Summary'!$DE$6:$DG$61,3,FALSE),"")</f>
        <v/>
      </c>
      <c r="L2821" s="45" t="str">
        <f>IFERROR(VLOOKUP(B2821,'Pre-Summary'!$CU$6:$CW$36,3,FALSE),"")</f>
        <v/>
      </c>
      <c r="M2821" s="45" t="str">
        <f>IFERROR(VLOOKUP(B2821,'Pre-Summary'!$BW$6:$BY$58,2,FALSE),"")</f>
        <v/>
      </c>
      <c r="N2821" s="45" t="str">
        <f>IFERROR(VLOOKUP(B2821,'Pre-Summary'!$CD$6:$CF$64,2,FALSE),"")</f>
        <v/>
      </c>
      <c r="O2821" s="99">
        <f>IFERROR(VLOOKUP(B2821,'Pre-Summary'!$BO$6:$BQ$48,3, FALSE),O2820)</f>
        <v>2.1030000000000002</v>
      </c>
      <c r="P2821" s="99">
        <f>IFERROR(VLOOKUP(B2821,'Pre-Summary'!$BS$6:$BU$35,3,FALSE),P2820)</f>
        <v>0.53100000000000003</v>
      </c>
      <c r="Q2821" s="54">
        <f t="shared" si="132"/>
        <v>3.9604519774011302</v>
      </c>
      <c r="R2821" s="53">
        <f>IFERROR(VLOOKUP(B2821,'Pre-Summary'!$BG$6:$BM$44,7,FALSE),R2822)</f>
        <v>9.7082714118749885E-2</v>
      </c>
      <c r="S2821" s="53">
        <f>IFERROR(VLOOKUP(B2821,'Pre-Summary'!$BG$6:$BM$44,6,FALSE),S2822)</f>
        <v>8.6132390492961911E-2</v>
      </c>
      <c r="T2821" s="45" t="str">
        <f>IFERROR(VLOOKUP(B2821,'Pre-Summary'!$Y$6:$AC$83, 3,FALSE),"")</f>
        <v/>
      </c>
      <c r="U2821" s="45" t="str">
        <f>IFERROR(VLOOKUP(B2821,'Pre-Summary'!$Y$6:$AC$83, 4,FALSE),"")</f>
        <v/>
      </c>
      <c r="V2821" t="str">
        <f>IFERROR(VLOOKUP(B2821,'Pre-Summary'!$Y$6:$AC$83, 5,FALSE),"")</f>
        <v/>
      </c>
      <c r="W2821" s="45" t="str">
        <f>IFERROR(VLOOKUP(B2821,'Pre-Summary'!$Y$6:$AD$83,6,FALSE),"")</f>
        <v/>
      </c>
      <c r="X2821" t="str">
        <f>IFERROR(VLOOKUP('Pre-Summary'!$DB$6:$DD$63,3,FALSE),"")</f>
        <v/>
      </c>
      <c r="Y2821" t="str">
        <f>IFERROR(VLOOKUP(B2821,'Pre-Summary'!$CR$6:$CT$36,3,FALSE),"")</f>
        <v/>
      </c>
      <c r="Z2821" s="45" t="str">
        <f>IFERROR(VLOOKUP(B2821,'Pre-Summary'!$BZ$6:$CB$63,2,FALSE),"")</f>
        <v/>
      </c>
      <c r="AA2821" s="45" t="str">
        <f>IFERROR(VLOOKUP(B2821,'Pre-Summary'!$CG$6:$CI$70,2,FALSE),"")</f>
        <v/>
      </c>
      <c r="AB2821" s="99">
        <f>IFERROR(VLOOKUP(B2821,'Pre-Summary'!$A$6:$P$178,9,FALSE),AB2822)</f>
        <v>0.7010379290946207</v>
      </c>
      <c r="AC2821" s="10">
        <f>IFERROR(VLOOKUP(Summary!B2821,'Pre-Summary'!$A$6:$P$184,5, FALSE)/100,AC2822)</f>
        <v>0.92607166666666674</v>
      </c>
      <c r="AD2821" s="10">
        <f>IFERROR(VLOOKUP(Summary!B2821,'Pre-Summary'!$A$6:$P$184,3, FALSE)/100,AD2822)</f>
        <v>5.4963666666666668E-2</v>
      </c>
      <c r="AE2821" s="10">
        <f>IFERROR(VLOOKUP(Summary!B2821,'Pre-Summary'!$A$6:$P$184,7, FALSE)/100,AE2822)</f>
        <v>1.8946666666666667E-2</v>
      </c>
      <c r="AF2821" s="99">
        <f t="shared" si="133"/>
        <v>3.8531615055447034E-2</v>
      </c>
      <c r="AG2821" s="99">
        <f t="shared" si="134"/>
        <v>1.3282331963246082E-2</v>
      </c>
      <c r="AH2821" s="10" t="str">
        <f>IFERROR(VLOOKUP(B2821,'Pre-Summary'!$AZ$6:$BE$65,3,FALSE),"")</f>
        <v/>
      </c>
      <c r="AI2821" s="10" t="str">
        <f>IFERROR(VLOOKUP(B2821,'Pre-Summary'!$AZ$6:$BE$65,5,FALSE),"")</f>
        <v/>
      </c>
      <c r="AJ2821" s="10" t="str">
        <f>IFERROR(VLOOKUP(B2821,'Pre-Summary'!$AZ$6:$BE$65,4,FALSE),"")</f>
        <v/>
      </c>
      <c r="AK2821" s="10" t="str">
        <f>IFERROR(VLOOKUP(B2821,'Pre-Summary'!$AZ$6:$BE$65,6,FALSE),"")</f>
        <v/>
      </c>
      <c r="AL2821" s="10" t="str">
        <f>IFERROR(VLOOKUP(B2821,'Pre-Summary'!$BG$6:$BL$44,3,FALSE),"")</f>
        <v/>
      </c>
      <c r="AM2821" s="10" t="str">
        <f>IFERROR(VLOOKUP(B2821,'Pre-Summary'!$BG$6:$BL$44,4,FALSE),"")</f>
        <v/>
      </c>
    </row>
    <row r="2822" spans="2:39" ht="15" customHeight="1" x14ac:dyDescent="0.3">
      <c r="B2822">
        <v>281.89999999999998</v>
      </c>
      <c r="C2822" t="str">
        <f>IFERROR(VLOOKUP(B2822,'Pre-Summary'!$DI$6:$DM$23,4,FALSE),"")</f>
        <v/>
      </c>
      <c r="D2822" s="10" t="str">
        <f>IFERROR(VLOOKUP(B2822,'Pre-Summary'!$AT$6:$AX$14,5,FALSE),D2821)</f>
        <v>Wolfe v3: went back to modified wolfe + EDTA and switched CuSO4 to CUCl2</v>
      </c>
      <c r="E2822" s="10" t="str">
        <f>IFERROR(VLOOKUP(B2822,'Pre-Summary'!$AT$6:$AX$15,4,FALSE),"")</f>
        <v/>
      </c>
      <c r="F2822">
        <f>IFERROR(VLOOKUP(B2822,'Pre-Summary'!$AL$6:$AQ$13,6,FALSE),F2821)</f>
        <v>5.9405263157894746E-2</v>
      </c>
      <c r="G2822" t="str">
        <f>IFERROR(VLOOKUP(B2822,'Pre-Summary'!$AE$6:$AJ$85,3,FALSE),"")</f>
        <v/>
      </c>
      <c r="H2822" t="str">
        <f>IFERROR(VLOOKUP(B2822,'Pre-Summary'!$AE$6:$AJ$85,4,FALSE),"")</f>
        <v/>
      </c>
      <c r="I2822" t="str">
        <f>IFERROR(VLOOKUP(B2822,'Pre-Summary'!$AE$6:$AJ$85,5,FALSE),"")</f>
        <v/>
      </c>
      <c r="J2822" s="45" t="str">
        <f>IFERROR(VLOOKUP(B2822,'Pre-Summary'!$AE$6:$AJ$85,6, FALSE),"")</f>
        <v/>
      </c>
      <c r="K2822" s="45" t="str">
        <f>IFERROR(VLOOKUP(B2822,'Pre-Summary'!$DE$6:$DG$61,3,FALSE),"")</f>
        <v/>
      </c>
      <c r="L2822" s="45" t="str">
        <f>IFERROR(VLOOKUP(B2822,'Pre-Summary'!$CU$6:$CW$36,3,FALSE),"")</f>
        <v/>
      </c>
      <c r="M2822" s="45" t="str">
        <f>IFERROR(VLOOKUP(B2822,'Pre-Summary'!$BW$6:$BY$58,2,FALSE),"")</f>
        <v/>
      </c>
      <c r="N2822" s="45" t="str">
        <f>IFERROR(VLOOKUP(B2822,'Pre-Summary'!$CD$6:$CF$64,2,FALSE),"")</f>
        <v/>
      </c>
      <c r="O2822" s="99">
        <f>IFERROR(VLOOKUP(B2822,'Pre-Summary'!$BO$6:$BQ$48,3, FALSE),O2821)</f>
        <v>2.1030000000000002</v>
      </c>
      <c r="P2822" s="99">
        <f>IFERROR(VLOOKUP(B2822,'Pre-Summary'!$BS$6:$BU$35,3,FALSE),P2821)</f>
        <v>0.53100000000000003</v>
      </c>
      <c r="Q2822" s="54">
        <f t="shared" si="132"/>
        <v>3.9604519774011302</v>
      </c>
      <c r="R2822" s="53">
        <f>IFERROR(VLOOKUP(B2822,'Pre-Summary'!$BG$6:$BM$44,7,FALSE),R2823)</f>
        <v>9.7082714118749885E-2</v>
      </c>
      <c r="S2822" s="53">
        <f>IFERROR(VLOOKUP(B2822,'Pre-Summary'!$BG$6:$BM$44,6,FALSE),S2823)</f>
        <v>8.6132390492961911E-2</v>
      </c>
      <c r="T2822" s="45" t="str">
        <f>IFERROR(VLOOKUP(B2822,'Pre-Summary'!$Y$6:$AC$83, 3,FALSE),"")</f>
        <v/>
      </c>
      <c r="U2822" s="45" t="str">
        <f>IFERROR(VLOOKUP(B2822,'Pre-Summary'!$Y$6:$AC$83, 4,FALSE),"")</f>
        <v/>
      </c>
      <c r="V2822" t="str">
        <f>IFERROR(VLOOKUP(B2822,'Pre-Summary'!$Y$6:$AC$83, 5,FALSE),"")</f>
        <v/>
      </c>
      <c r="W2822" s="45" t="str">
        <f>IFERROR(VLOOKUP(B2822,'Pre-Summary'!$Y$6:$AD$83,6,FALSE),"")</f>
        <v/>
      </c>
      <c r="X2822" t="str">
        <f>IFERROR(VLOOKUP('Pre-Summary'!$DB$6:$DD$63,3,FALSE),"")</f>
        <v/>
      </c>
      <c r="Y2822" t="str">
        <f>IFERROR(VLOOKUP(B2822,'Pre-Summary'!$CR$6:$CT$36,3,FALSE),"")</f>
        <v/>
      </c>
      <c r="Z2822" s="45" t="str">
        <f>IFERROR(VLOOKUP(B2822,'Pre-Summary'!$BZ$6:$CB$63,2,FALSE),"")</f>
        <v/>
      </c>
      <c r="AA2822" s="45" t="str">
        <f>IFERROR(VLOOKUP(B2822,'Pre-Summary'!$CG$6:$CI$70,2,FALSE),"")</f>
        <v/>
      </c>
      <c r="AB2822" s="99">
        <f>IFERROR(VLOOKUP(B2822,'Pre-Summary'!$A$6:$P$178,9,FALSE),AB2823)</f>
        <v>0.7010379290946207</v>
      </c>
      <c r="AC2822" s="10">
        <f>IFERROR(VLOOKUP(Summary!B2822,'Pre-Summary'!$A$6:$P$184,5, FALSE)/100,AC2823)</f>
        <v>0.92607166666666674</v>
      </c>
      <c r="AD2822" s="10">
        <f>IFERROR(VLOOKUP(Summary!B2822,'Pre-Summary'!$A$6:$P$184,3, FALSE)/100,AD2823)</f>
        <v>5.4963666666666668E-2</v>
      </c>
      <c r="AE2822" s="10">
        <f>IFERROR(VLOOKUP(Summary!B2822,'Pre-Summary'!$A$6:$P$184,7, FALSE)/100,AE2823)</f>
        <v>1.8946666666666667E-2</v>
      </c>
      <c r="AF2822" s="99">
        <f t="shared" si="133"/>
        <v>3.8531615055447034E-2</v>
      </c>
      <c r="AG2822" s="99">
        <f t="shared" si="134"/>
        <v>1.3282331963246082E-2</v>
      </c>
      <c r="AH2822" s="10" t="str">
        <f>IFERROR(VLOOKUP(B2822,'Pre-Summary'!$AZ$6:$BE$65,3,FALSE),"")</f>
        <v/>
      </c>
      <c r="AI2822" s="10" t="str">
        <f>IFERROR(VLOOKUP(B2822,'Pre-Summary'!$AZ$6:$BE$65,5,FALSE),"")</f>
        <v/>
      </c>
      <c r="AJ2822" s="10" t="str">
        <f>IFERROR(VLOOKUP(B2822,'Pre-Summary'!$AZ$6:$BE$65,4,FALSE),"")</f>
        <v/>
      </c>
      <c r="AK2822" s="10" t="str">
        <f>IFERROR(VLOOKUP(B2822,'Pre-Summary'!$AZ$6:$BE$65,6,FALSE),"")</f>
        <v/>
      </c>
      <c r="AL2822" s="10" t="str">
        <f>IFERROR(VLOOKUP(B2822,'Pre-Summary'!$BG$6:$BL$44,3,FALSE),"")</f>
        <v/>
      </c>
      <c r="AM2822" s="10" t="str">
        <f>IFERROR(VLOOKUP(B2822,'Pre-Summary'!$BG$6:$BL$44,4,FALSE),"")</f>
        <v/>
      </c>
    </row>
    <row r="2823" spans="2:39" ht="15" customHeight="1" x14ac:dyDescent="0.3">
      <c r="B2823">
        <v>282</v>
      </c>
      <c r="C2823" t="str">
        <f>IFERROR(VLOOKUP(B2823,'Pre-Summary'!$DI$6:$DM$23,4,FALSE),"")</f>
        <v/>
      </c>
      <c r="D2823" s="10" t="str">
        <f>IFERROR(VLOOKUP(B2823,'Pre-Summary'!$AT$6:$AX$14,5,FALSE),D2822)</f>
        <v>Wolfe v3: went back to modified wolfe + EDTA and switched CuSO4 to CUCl2</v>
      </c>
      <c r="E2823" s="10" t="str">
        <f>IFERROR(VLOOKUP(B2823,'Pre-Summary'!$AT$6:$AX$15,4,FALSE),"")</f>
        <v/>
      </c>
      <c r="F2823">
        <f>IFERROR(VLOOKUP(B2823,'Pre-Summary'!$AL$6:$AQ$13,6,FALSE),F2822)</f>
        <v>5.9405263157894746E-2</v>
      </c>
      <c r="G2823" t="str">
        <f>IFERROR(VLOOKUP(B2823,'Pre-Summary'!$AE$6:$AJ$85,3,FALSE),"")</f>
        <v/>
      </c>
      <c r="H2823" t="str">
        <f>IFERROR(VLOOKUP(B2823,'Pre-Summary'!$AE$6:$AJ$85,4,FALSE),"")</f>
        <v/>
      </c>
      <c r="I2823" t="str">
        <f>IFERROR(VLOOKUP(B2823,'Pre-Summary'!$AE$6:$AJ$85,5,FALSE),"")</f>
        <v/>
      </c>
      <c r="J2823" s="45" t="str">
        <f>IFERROR(VLOOKUP(B2823,'Pre-Summary'!$AE$6:$AJ$85,6, FALSE),"")</f>
        <v/>
      </c>
      <c r="K2823" s="45" t="str">
        <f>IFERROR(VLOOKUP(B2823,'Pre-Summary'!$DE$6:$DG$61,3,FALSE),"")</f>
        <v/>
      </c>
      <c r="L2823" s="45" t="str">
        <f>IFERROR(VLOOKUP(B2823,'Pre-Summary'!$CU$6:$CW$36,3,FALSE),"")</f>
        <v/>
      </c>
      <c r="M2823" s="45" t="str">
        <f>IFERROR(VLOOKUP(B2823,'Pre-Summary'!$BW$6:$BY$58,2,FALSE),"")</f>
        <v/>
      </c>
      <c r="N2823" s="45" t="str">
        <f>IFERROR(VLOOKUP(B2823,'Pre-Summary'!$CD$6:$CF$64,2,FALSE),"")</f>
        <v/>
      </c>
      <c r="O2823" s="99">
        <f>IFERROR(VLOOKUP(B2823,'Pre-Summary'!$BO$6:$BQ$48,3, FALSE),O2822)</f>
        <v>2.1030000000000002</v>
      </c>
      <c r="P2823" s="99">
        <f>IFERROR(VLOOKUP(B2823,'Pre-Summary'!$BS$6:$BU$35,3,FALSE),P2822)</f>
        <v>0.53100000000000003</v>
      </c>
      <c r="Q2823" s="54">
        <f t="shared" si="132"/>
        <v>3.9604519774011302</v>
      </c>
      <c r="R2823" s="53">
        <f>IFERROR(VLOOKUP(B2823,'Pre-Summary'!$BG$6:$BM$44,7,FALSE),R2824)</f>
        <v>9.7082714118749885E-2</v>
      </c>
      <c r="S2823" s="53">
        <f>IFERROR(VLOOKUP(B2823,'Pre-Summary'!$BG$6:$BM$44,6,FALSE),S2824)</f>
        <v>8.6132390492961911E-2</v>
      </c>
      <c r="T2823" s="45" t="str">
        <f>IFERROR(VLOOKUP(B2823,'Pre-Summary'!$Y$6:$AC$83, 3,FALSE),"")</f>
        <v/>
      </c>
      <c r="U2823" s="45" t="str">
        <f>IFERROR(VLOOKUP(B2823,'Pre-Summary'!$Y$6:$AC$83, 4,FALSE),"")</f>
        <v/>
      </c>
      <c r="V2823" t="str">
        <f>IFERROR(VLOOKUP(B2823,'Pre-Summary'!$Y$6:$AC$83, 5,FALSE),"")</f>
        <v/>
      </c>
      <c r="W2823" s="45" t="str">
        <f>IFERROR(VLOOKUP(B2823,'Pre-Summary'!$Y$6:$AD$83,6,FALSE),"")</f>
        <v/>
      </c>
      <c r="X2823" t="str">
        <f>IFERROR(VLOOKUP('Pre-Summary'!$DB$6:$DD$63,3,FALSE),"")</f>
        <v/>
      </c>
      <c r="Y2823" t="str">
        <f>IFERROR(VLOOKUP(B2823,'Pre-Summary'!$CR$6:$CT$36,3,FALSE),"")</f>
        <v/>
      </c>
      <c r="Z2823" s="45" t="str">
        <f>IFERROR(VLOOKUP(B2823,'Pre-Summary'!$BZ$6:$CB$63,2,FALSE),"")</f>
        <v/>
      </c>
      <c r="AA2823" s="45" t="str">
        <f>IFERROR(VLOOKUP(B2823,'Pre-Summary'!$CG$6:$CI$70,2,FALSE),"")</f>
        <v/>
      </c>
      <c r="AB2823" s="99">
        <f>IFERROR(VLOOKUP(B2823,'Pre-Summary'!$A$6:$P$178,9,FALSE),AB2824)</f>
        <v>0.7010379290946207</v>
      </c>
      <c r="AC2823" s="10">
        <f>IFERROR(VLOOKUP(Summary!B2823,'Pre-Summary'!$A$6:$P$184,5, FALSE)/100,AC2824)</f>
        <v>0.92607166666666674</v>
      </c>
      <c r="AD2823" s="10">
        <f>IFERROR(VLOOKUP(Summary!B2823,'Pre-Summary'!$A$6:$P$184,3, FALSE)/100,AD2824)</f>
        <v>5.4963666666666668E-2</v>
      </c>
      <c r="AE2823" s="10">
        <f>IFERROR(VLOOKUP(Summary!B2823,'Pre-Summary'!$A$6:$P$184,7, FALSE)/100,AE2824)</f>
        <v>1.8946666666666667E-2</v>
      </c>
      <c r="AF2823" s="99">
        <f t="shared" si="133"/>
        <v>3.8531615055447034E-2</v>
      </c>
      <c r="AG2823" s="99">
        <f t="shared" si="134"/>
        <v>1.3282331963246082E-2</v>
      </c>
      <c r="AH2823" s="10" t="str">
        <f>IFERROR(VLOOKUP(B2823,'Pre-Summary'!$AZ$6:$BE$65,3,FALSE),"")</f>
        <v/>
      </c>
      <c r="AI2823" s="10" t="str">
        <f>IFERROR(VLOOKUP(B2823,'Pre-Summary'!$AZ$6:$BE$65,5,FALSE),"")</f>
        <v/>
      </c>
      <c r="AJ2823" s="10" t="str">
        <f>IFERROR(VLOOKUP(B2823,'Pre-Summary'!$AZ$6:$BE$65,4,FALSE),"")</f>
        <v/>
      </c>
      <c r="AK2823" s="10" t="str">
        <f>IFERROR(VLOOKUP(B2823,'Pre-Summary'!$AZ$6:$BE$65,6,FALSE),"")</f>
        <v/>
      </c>
      <c r="AL2823" s="10" t="str">
        <f>IFERROR(VLOOKUP(B2823,'Pre-Summary'!$BG$6:$BL$44,3,FALSE),"")</f>
        <v/>
      </c>
      <c r="AM2823" s="10" t="str">
        <f>IFERROR(VLOOKUP(B2823,'Pre-Summary'!$BG$6:$BL$44,4,FALSE),"")</f>
        <v/>
      </c>
    </row>
    <row r="2824" spans="2:39" ht="15" customHeight="1" x14ac:dyDescent="0.3">
      <c r="B2824">
        <v>282.10000000000002</v>
      </c>
      <c r="C2824" t="str">
        <f>IFERROR(VLOOKUP(B2824,'Pre-Summary'!$DI$6:$DM$23,4,FALSE),"")</f>
        <v/>
      </c>
      <c r="D2824" s="10" t="str">
        <f>IFERROR(VLOOKUP(B2824,'Pre-Summary'!$AT$6:$AX$14,5,FALSE),D2823)</f>
        <v>Wolfe v3: went back to modified wolfe + EDTA and switched CuSO4 to CUCl2</v>
      </c>
      <c r="E2824" s="10" t="str">
        <f>IFERROR(VLOOKUP(B2824,'Pre-Summary'!$AT$6:$AX$15,4,FALSE),"")</f>
        <v/>
      </c>
      <c r="F2824">
        <f>IFERROR(VLOOKUP(B2824,'Pre-Summary'!$AL$6:$AQ$13,6,FALSE),F2823)</f>
        <v>5.9405263157894746E-2</v>
      </c>
      <c r="G2824" t="str">
        <f>IFERROR(VLOOKUP(B2824,'Pre-Summary'!$AE$6:$AJ$85,3,FALSE),"")</f>
        <v/>
      </c>
      <c r="H2824" t="str">
        <f>IFERROR(VLOOKUP(B2824,'Pre-Summary'!$AE$6:$AJ$85,4,FALSE),"")</f>
        <v/>
      </c>
      <c r="I2824" t="str">
        <f>IFERROR(VLOOKUP(B2824,'Pre-Summary'!$AE$6:$AJ$85,5,FALSE),"")</f>
        <v/>
      </c>
      <c r="J2824" s="45" t="str">
        <f>IFERROR(VLOOKUP(B2824,'Pre-Summary'!$AE$6:$AJ$85,6, FALSE),"")</f>
        <v/>
      </c>
      <c r="K2824" s="45" t="str">
        <f>IFERROR(VLOOKUP(B2824,'Pre-Summary'!$DE$6:$DG$61,3,FALSE),"")</f>
        <v/>
      </c>
      <c r="L2824" s="45" t="str">
        <f>IFERROR(VLOOKUP(B2824,'Pre-Summary'!$CU$6:$CW$36,3,FALSE),"")</f>
        <v/>
      </c>
      <c r="M2824" s="45" t="str">
        <f>IFERROR(VLOOKUP(B2824,'Pre-Summary'!$BW$6:$BY$58,2,FALSE),"")</f>
        <v/>
      </c>
      <c r="N2824" s="45" t="str">
        <f>IFERROR(VLOOKUP(B2824,'Pre-Summary'!$CD$6:$CF$64,2,FALSE),"")</f>
        <v/>
      </c>
      <c r="O2824" s="99">
        <f>IFERROR(VLOOKUP(B2824,'Pre-Summary'!$BO$6:$BQ$48,3, FALSE),O2823)</f>
        <v>2.7749999999999999</v>
      </c>
      <c r="P2824" s="99">
        <f>IFERROR(VLOOKUP(B2824,'Pre-Summary'!$BS$6:$BU$35,3,FALSE),P2823)</f>
        <v>0.70099999999999996</v>
      </c>
      <c r="Q2824" s="54">
        <f t="shared" si="132"/>
        <v>3.9586305278174039</v>
      </c>
      <c r="R2824" s="53">
        <f>IFERROR(VLOOKUP(B2824,'Pre-Summary'!$BG$6:$BM$44,7,FALSE),R2825)</f>
        <v>9.7082714118749885E-2</v>
      </c>
      <c r="S2824" s="53">
        <f>IFERROR(VLOOKUP(B2824,'Pre-Summary'!$BG$6:$BM$44,6,FALSE),S2825)</f>
        <v>8.6132390492961911E-2</v>
      </c>
      <c r="T2824" s="45" t="str">
        <f>IFERROR(VLOOKUP(B2824,'Pre-Summary'!$Y$6:$AC$83, 3,FALSE),"")</f>
        <v/>
      </c>
      <c r="U2824" s="45" t="str">
        <f>IFERROR(VLOOKUP(B2824,'Pre-Summary'!$Y$6:$AC$83, 4,FALSE),"")</f>
        <v/>
      </c>
      <c r="V2824" t="str">
        <f>IFERROR(VLOOKUP(B2824,'Pre-Summary'!$Y$6:$AC$83, 5,FALSE),"")</f>
        <v/>
      </c>
      <c r="W2824" s="45" t="str">
        <f>IFERROR(VLOOKUP(B2824,'Pre-Summary'!$Y$6:$AD$83,6,FALSE),"")</f>
        <v/>
      </c>
      <c r="X2824" t="str">
        <f>IFERROR(VLOOKUP('Pre-Summary'!$DB$6:$DD$63,3,FALSE),"")</f>
        <v/>
      </c>
      <c r="Y2824" t="str">
        <f>IFERROR(VLOOKUP(B2824,'Pre-Summary'!$CR$6:$CT$36,3,FALSE),"")</f>
        <v/>
      </c>
      <c r="Z2824" s="45" t="str">
        <f>IFERROR(VLOOKUP(B2824,'Pre-Summary'!$BZ$6:$CB$63,2,FALSE),"")</f>
        <v/>
      </c>
      <c r="AA2824" s="45" t="str">
        <f>IFERROR(VLOOKUP(B2824,'Pre-Summary'!$CG$6:$CI$70,2,FALSE),"")</f>
        <v/>
      </c>
      <c r="AB2824" s="99">
        <f>IFERROR(VLOOKUP(B2824,'Pre-Summary'!$A$6:$P$178,9,FALSE),AB2825)</f>
        <v>0.7010379290946207</v>
      </c>
      <c r="AC2824" s="10">
        <f>IFERROR(VLOOKUP(Summary!B2824,'Pre-Summary'!$A$6:$P$184,5, FALSE)/100,AC2825)</f>
        <v>0.92607166666666674</v>
      </c>
      <c r="AD2824" s="10">
        <f>IFERROR(VLOOKUP(Summary!B2824,'Pre-Summary'!$A$6:$P$184,3, FALSE)/100,AD2825)</f>
        <v>5.4963666666666668E-2</v>
      </c>
      <c r="AE2824" s="10">
        <f>IFERROR(VLOOKUP(Summary!B2824,'Pre-Summary'!$A$6:$P$184,7, FALSE)/100,AE2825)</f>
        <v>1.8946666666666667E-2</v>
      </c>
      <c r="AF2824" s="99">
        <f t="shared" si="133"/>
        <v>3.8531615055447034E-2</v>
      </c>
      <c r="AG2824" s="99">
        <f t="shared" si="134"/>
        <v>1.3282331963246082E-2</v>
      </c>
      <c r="AH2824" s="10" t="str">
        <f>IFERROR(VLOOKUP(B2824,'Pre-Summary'!$AZ$6:$BE$65,3,FALSE),"")</f>
        <v/>
      </c>
      <c r="AI2824" s="10" t="str">
        <f>IFERROR(VLOOKUP(B2824,'Pre-Summary'!$AZ$6:$BE$65,5,FALSE),"")</f>
        <v/>
      </c>
      <c r="AJ2824" s="10" t="str">
        <f>IFERROR(VLOOKUP(B2824,'Pre-Summary'!$AZ$6:$BE$65,4,FALSE),"")</f>
        <v/>
      </c>
      <c r="AK2824" s="10" t="str">
        <f>IFERROR(VLOOKUP(B2824,'Pre-Summary'!$AZ$6:$BE$65,6,FALSE),"")</f>
        <v/>
      </c>
      <c r="AL2824" s="10" t="str">
        <f>IFERROR(VLOOKUP(B2824,'Pre-Summary'!$BG$6:$BL$44,3,FALSE),"")</f>
        <v/>
      </c>
      <c r="AM2824" s="10" t="str">
        <f>IFERROR(VLOOKUP(B2824,'Pre-Summary'!$BG$6:$BL$44,4,FALSE),"")</f>
        <v/>
      </c>
    </row>
    <row r="2825" spans="2:39" ht="15" customHeight="1" x14ac:dyDescent="0.3">
      <c r="B2825">
        <v>282.2</v>
      </c>
      <c r="C2825" t="str">
        <f>IFERROR(VLOOKUP(B2825,'Pre-Summary'!$DI$6:$DM$23,4,FALSE),"")</f>
        <v/>
      </c>
      <c r="D2825" s="10" t="str">
        <f>IFERROR(VLOOKUP(B2825,'Pre-Summary'!$AT$6:$AX$14,5,FALSE),D2824)</f>
        <v>Wolfe v3: went back to modified wolfe + EDTA and switched CuSO4 to CUCl2</v>
      </c>
      <c r="E2825" s="10" t="str">
        <f>IFERROR(VLOOKUP(B2825,'Pre-Summary'!$AT$6:$AX$15,4,FALSE),"")</f>
        <v/>
      </c>
      <c r="F2825">
        <f>IFERROR(VLOOKUP(B2825,'Pre-Summary'!$AL$6:$AQ$13,6,FALSE),F2824)</f>
        <v>5.9405263157894746E-2</v>
      </c>
      <c r="G2825" t="str">
        <f>IFERROR(VLOOKUP(B2825,'Pre-Summary'!$AE$6:$AJ$85,3,FALSE),"")</f>
        <v/>
      </c>
      <c r="H2825" t="str">
        <f>IFERROR(VLOOKUP(B2825,'Pre-Summary'!$AE$6:$AJ$85,4,FALSE),"")</f>
        <v/>
      </c>
      <c r="I2825" t="str">
        <f>IFERROR(VLOOKUP(B2825,'Pre-Summary'!$AE$6:$AJ$85,5,FALSE),"")</f>
        <v/>
      </c>
      <c r="J2825" s="45" t="str">
        <f>IFERROR(VLOOKUP(B2825,'Pre-Summary'!$AE$6:$AJ$85,6, FALSE),"")</f>
        <v/>
      </c>
      <c r="K2825" s="45" t="str">
        <f>IFERROR(VLOOKUP(B2825,'Pre-Summary'!$DE$6:$DG$61,3,FALSE),"")</f>
        <v/>
      </c>
      <c r="L2825" s="45" t="str">
        <f>IFERROR(VLOOKUP(B2825,'Pre-Summary'!$CU$6:$CW$36,3,FALSE),"")</f>
        <v/>
      </c>
      <c r="M2825" s="45" t="str">
        <f>IFERROR(VLOOKUP(B2825,'Pre-Summary'!$BW$6:$BY$58,2,FALSE),"")</f>
        <v/>
      </c>
      <c r="N2825" s="45" t="str">
        <f>IFERROR(VLOOKUP(B2825,'Pre-Summary'!$CD$6:$CF$64,2,FALSE),"")</f>
        <v/>
      </c>
      <c r="O2825" s="99">
        <f>IFERROR(VLOOKUP(B2825,'Pre-Summary'!$BO$6:$BQ$48,3, FALSE),O2824)</f>
        <v>2.7749999999999999</v>
      </c>
      <c r="P2825" s="99">
        <f>IFERROR(VLOOKUP(B2825,'Pre-Summary'!$BS$6:$BU$35,3,FALSE),P2824)</f>
        <v>0.70099999999999996</v>
      </c>
      <c r="Q2825" s="54">
        <f t="shared" si="132"/>
        <v>3.9586305278174039</v>
      </c>
      <c r="R2825" s="53">
        <f>IFERROR(VLOOKUP(B2825,'Pre-Summary'!$BG$6:$BM$44,7,FALSE),R2826)</f>
        <v>9.7082714118749885E-2</v>
      </c>
      <c r="S2825" s="53">
        <f>IFERROR(VLOOKUP(B2825,'Pre-Summary'!$BG$6:$BM$44,6,FALSE),S2826)</f>
        <v>8.6132390492961911E-2</v>
      </c>
      <c r="T2825" s="45" t="str">
        <f>IFERROR(VLOOKUP(B2825,'Pre-Summary'!$Y$6:$AC$83, 3,FALSE),"")</f>
        <v/>
      </c>
      <c r="U2825" s="45" t="str">
        <f>IFERROR(VLOOKUP(B2825,'Pre-Summary'!$Y$6:$AC$83, 4,FALSE),"")</f>
        <v/>
      </c>
      <c r="V2825" t="str">
        <f>IFERROR(VLOOKUP(B2825,'Pre-Summary'!$Y$6:$AC$83, 5,FALSE),"")</f>
        <v/>
      </c>
      <c r="W2825" s="45" t="str">
        <f>IFERROR(VLOOKUP(B2825,'Pre-Summary'!$Y$6:$AD$83,6,FALSE),"")</f>
        <v/>
      </c>
      <c r="X2825" t="str">
        <f>IFERROR(VLOOKUP('Pre-Summary'!$DB$6:$DD$63,3,FALSE),"")</f>
        <v/>
      </c>
      <c r="Y2825" t="str">
        <f>IFERROR(VLOOKUP(B2825,'Pre-Summary'!$CR$6:$CT$36,3,FALSE),"")</f>
        <v/>
      </c>
      <c r="Z2825" s="45" t="str">
        <f>IFERROR(VLOOKUP(B2825,'Pre-Summary'!$BZ$6:$CB$63,2,FALSE),"")</f>
        <v/>
      </c>
      <c r="AA2825" s="45" t="str">
        <f>IFERROR(VLOOKUP(B2825,'Pre-Summary'!$CG$6:$CI$70,2,FALSE),"")</f>
        <v/>
      </c>
      <c r="AB2825" s="99">
        <f>IFERROR(VLOOKUP(B2825,'Pre-Summary'!$A$6:$P$178,9,FALSE),AB2826)</f>
        <v>0.7010379290946207</v>
      </c>
      <c r="AC2825" s="10">
        <f>IFERROR(VLOOKUP(Summary!B2825,'Pre-Summary'!$A$6:$P$184,5, FALSE)/100,AC2826)</f>
        <v>0.92607166666666674</v>
      </c>
      <c r="AD2825" s="10">
        <f>IFERROR(VLOOKUP(Summary!B2825,'Pre-Summary'!$A$6:$P$184,3, FALSE)/100,AD2826)</f>
        <v>5.4963666666666668E-2</v>
      </c>
      <c r="AE2825" s="10">
        <f>IFERROR(VLOOKUP(Summary!B2825,'Pre-Summary'!$A$6:$P$184,7, FALSE)/100,AE2826)</f>
        <v>1.8946666666666667E-2</v>
      </c>
      <c r="AF2825" s="99">
        <f t="shared" si="133"/>
        <v>3.8531615055447034E-2</v>
      </c>
      <c r="AG2825" s="99">
        <f t="shared" si="134"/>
        <v>1.3282331963246082E-2</v>
      </c>
      <c r="AH2825" s="10" t="str">
        <f>IFERROR(VLOOKUP(B2825,'Pre-Summary'!$AZ$6:$BE$65,3,FALSE),"")</f>
        <v/>
      </c>
      <c r="AI2825" s="10" t="str">
        <f>IFERROR(VLOOKUP(B2825,'Pre-Summary'!$AZ$6:$BE$65,5,FALSE),"")</f>
        <v/>
      </c>
      <c r="AJ2825" s="10" t="str">
        <f>IFERROR(VLOOKUP(B2825,'Pre-Summary'!$AZ$6:$BE$65,4,FALSE),"")</f>
        <v/>
      </c>
      <c r="AK2825" s="10" t="str">
        <f>IFERROR(VLOOKUP(B2825,'Pre-Summary'!$AZ$6:$BE$65,6,FALSE),"")</f>
        <v/>
      </c>
      <c r="AL2825" s="10" t="str">
        <f>IFERROR(VLOOKUP(B2825,'Pre-Summary'!$BG$6:$BL$44,3,FALSE),"")</f>
        <v/>
      </c>
      <c r="AM2825" s="10" t="str">
        <f>IFERROR(VLOOKUP(B2825,'Pre-Summary'!$BG$6:$BL$44,4,FALSE),"")</f>
        <v/>
      </c>
    </row>
    <row r="2826" spans="2:39" ht="15" customHeight="1" x14ac:dyDescent="0.3">
      <c r="B2826">
        <v>282.3</v>
      </c>
      <c r="C2826" t="str">
        <f>IFERROR(VLOOKUP(B2826,'Pre-Summary'!$DI$6:$DM$23,4,FALSE),"")</f>
        <v/>
      </c>
      <c r="D2826" s="10" t="str">
        <f>IFERROR(VLOOKUP(B2826,'Pre-Summary'!$AT$6:$AX$14,5,FALSE),D2825)</f>
        <v>Wolfe v3: went back to modified wolfe + EDTA and switched CuSO4 to CUCl2</v>
      </c>
      <c r="E2826" s="10" t="str">
        <f>IFERROR(VLOOKUP(B2826,'Pre-Summary'!$AT$6:$AX$15,4,FALSE),"")</f>
        <v/>
      </c>
      <c r="F2826">
        <f>IFERROR(VLOOKUP(B2826,'Pre-Summary'!$AL$6:$AQ$13,6,FALSE),F2825)</f>
        <v>5.9405263157894746E-2</v>
      </c>
      <c r="G2826" t="str">
        <f>IFERROR(VLOOKUP(B2826,'Pre-Summary'!$AE$6:$AJ$85,3,FALSE),"")</f>
        <v/>
      </c>
      <c r="H2826" t="str">
        <f>IFERROR(VLOOKUP(B2826,'Pre-Summary'!$AE$6:$AJ$85,4,FALSE),"")</f>
        <v/>
      </c>
      <c r="I2826" t="str">
        <f>IFERROR(VLOOKUP(B2826,'Pre-Summary'!$AE$6:$AJ$85,5,FALSE),"")</f>
        <v/>
      </c>
      <c r="J2826" s="45" t="str">
        <f>IFERROR(VLOOKUP(B2826,'Pre-Summary'!$AE$6:$AJ$85,6, FALSE),"")</f>
        <v/>
      </c>
      <c r="K2826" s="45" t="str">
        <f>IFERROR(VLOOKUP(B2826,'Pre-Summary'!$DE$6:$DG$61,3,FALSE),"")</f>
        <v/>
      </c>
      <c r="L2826" s="45" t="str">
        <f>IFERROR(VLOOKUP(B2826,'Pre-Summary'!$CU$6:$CW$36,3,FALSE),"")</f>
        <v/>
      </c>
      <c r="M2826" s="45" t="str">
        <f>IFERROR(VLOOKUP(B2826,'Pre-Summary'!$BW$6:$BY$58,2,FALSE),"")</f>
        <v/>
      </c>
      <c r="N2826" s="45" t="str">
        <f>IFERROR(VLOOKUP(B2826,'Pre-Summary'!$CD$6:$CF$64,2,FALSE),"")</f>
        <v/>
      </c>
      <c r="O2826" s="99">
        <f>IFERROR(VLOOKUP(B2826,'Pre-Summary'!$BO$6:$BQ$48,3, FALSE),O2825)</f>
        <v>2.7749999999999999</v>
      </c>
      <c r="P2826" s="99">
        <f>IFERROR(VLOOKUP(B2826,'Pre-Summary'!$BS$6:$BU$35,3,FALSE),P2825)</f>
        <v>0.70099999999999996</v>
      </c>
      <c r="Q2826" s="54">
        <f t="shared" si="132"/>
        <v>3.9586305278174039</v>
      </c>
      <c r="R2826" s="53">
        <f>IFERROR(VLOOKUP(B2826,'Pre-Summary'!$BG$6:$BM$44,7,FALSE),R2827)</f>
        <v>9.7082714118749885E-2</v>
      </c>
      <c r="S2826" s="53">
        <f>IFERROR(VLOOKUP(B2826,'Pre-Summary'!$BG$6:$BM$44,6,FALSE),S2827)</f>
        <v>8.6132390492961911E-2</v>
      </c>
      <c r="T2826" s="45" t="str">
        <f>IFERROR(VLOOKUP(B2826,'Pre-Summary'!$Y$6:$AC$83, 3,FALSE),"")</f>
        <v/>
      </c>
      <c r="U2826" s="45" t="str">
        <f>IFERROR(VLOOKUP(B2826,'Pre-Summary'!$Y$6:$AC$83, 4,FALSE),"")</f>
        <v/>
      </c>
      <c r="V2826" t="str">
        <f>IFERROR(VLOOKUP(B2826,'Pre-Summary'!$Y$6:$AC$83, 5,FALSE),"")</f>
        <v/>
      </c>
      <c r="W2826" s="45" t="str">
        <f>IFERROR(VLOOKUP(B2826,'Pre-Summary'!$Y$6:$AD$83,6,FALSE),"")</f>
        <v/>
      </c>
      <c r="X2826" t="str">
        <f>IFERROR(VLOOKUP('Pre-Summary'!$DB$6:$DD$63,3,FALSE),"")</f>
        <v/>
      </c>
      <c r="Y2826" t="str">
        <f>IFERROR(VLOOKUP(B2826,'Pre-Summary'!$CR$6:$CT$36,3,FALSE),"")</f>
        <v/>
      </c>
      <c r="Z2826" s="45" t="str">
        <f>IFERROR(VLOOKUP(B2826,'Pre-Summary'!$BZ$6:$CB$63,2,FALSE),"")</f>
        <v/>
      </c>
      <c r="AA2826" s="45" t="str">
        <f>IFERROR(VLOOKUP(B2826,'Pre-Summary'!$CG$6:$CI$70,2,FALSE),"")</f>
        <v/>
      </c>
      <c r="AB2826" s="99">
        <f>IFERROR(VLOOKUP(B2826,'Pre-Summary'!$A$6:$P$178,9,FALSE),AB2827)</f>
        <v>0.7010379290946207</v>
      </c>
      <c r="AC2826" s="10">
        <f>IFERROR(VLOOKUP(Summary!B2826,'Pre-Summary'!$A$6:$P$184,5, FALSE)/100,AC2827)</f>
        <v>0.92607166666666674</v>
      </c>
      <c r="AD2826" s="10">
        <f>IFERROR(VLOOKUP(Summary!B2826,'Pre-Summary'!$A$6:$P$184,3, FALSE)/100,AD2827)</f>
        <v>5.4963666666666668E-2</v>
      </c>
      <c r="AE2826" s="10">
        <f>IFERROR(VLOOKUP(Summary!B2826,'Pre-Summary'!$A$6:$P$184,7, FALSE)/100,AE2827)</f>
        <v>1.8946666666666667E-2</v>
      </c>
      <c r="AF2826" s="99">
        <f t="shared" si="133"/>
        <v>3.8531615055447034E-2</v>
      </c>
      <c r="AG2826" s="99">
        <f t="shared" si="134"/>
        <v>1.3282331963246082E-2</v>
      </c>
      <c r="AH2826" s="10" t="str">
        <f>IFERROR(VLOOKUP(B2826,'Pre-Summary'!$AZ$6:$BE$65,3,FALSE),"")</f>
        <v/>
      </c>
      <c r="AI2826" s="10" t="str">
        <f>IFERROR(VLOOKUP(B2826,'Pre-Summary'!$AZ$6:$BE$65,5,FALSE),"")</f>
        <v/>
      </c>
      <c r="AJ2826" s="10" t="str">
        <f>IFERROR(VLOOKUP(B2826,'Pre-Summary'!$AZ$6:$BE$65,4,FALSE),"")</f>
        <v/>
      </c>
      <c r="AK2826" s="10" t="str">
        <f>IFERROR(VLOOKUP(B2826,'Pre-Summary'!$AZ$6:$BE$65,6,FALSE),"")</f>
        <v/>
      </c>
      <c r="AL2826" s="10" t="str">
        <f>IFERROR(VLOOKUP(B2826,'Pre-Summary'!$BG$6:$BL$44,3,FALSE),"")</f>
        <v/>
      </c>
      <c r="AM2826" s="10" t="str">
        <f>IFERROR(VLOOKUP(B2826,'Pre-Summary'!$BG$6:$BL$44,4,FALSE),"")</f>
        <v/>
      </c>
    </row>
    <row r="2827" spans="2:39" ht="15" customHeight="1" x14ac:dyDescent="0.3">
      <c r="B2827">
        <v>282.39999999999998</v>
      </c>
      <c r="C2827" t="str">
        <f>IFERROR(VLOOKUP(B2827,'Pre-Summary'!$DI$6:$DM$23,4,FALSE),"")</f>
        <v/>
      </c>
      <c r="D2827" s="10" t="str">
        <f>IFERROR(VLOOKUP(B2827,'Pre-Summary'!$AT$6:$AX$14,5,FALSE),D2826)</f>
        <v>Wolfe v3: went back to modified wolfe + EDTA and switched CuSO4 to CUCl2</v>
      </c>
      <c r="E2827" s="10" t="str">
        <f>IFERROR(VLOOKUP(B2827,'Pre-Summary'!$AT$6:$AX$15,4,FALSE),"")</f>
        <v/>
      </c>
      <c r="F2827">
        <f>IFERROR(VLOOKUP(B2827,'Pre-Summary'!$AL$6:$AQ$13,6,FALSE),F2826)</f>
        <v>5.9405263157894746E-2</v>
      </c>
      <c r="G2827" t="str">
        <f>IFERROR(VLOOKUP(B2827,'Pre-Summary'!$AE$6:$AJ$85,3,FALSE),"")</f>
        <v/>
      </c>
      <c r="H2827" t="str">
        <f>IFERROR(VLOOKUP(B2827,'Pre-Summary'!$AE$6:$AJ$85,4,FALSE),"")</f>
        <v/>
      </c>
      <c r="I2827" t="str">
        <f>IFERROR(VLOOKUP(B2827,'Pre-Summary'!$AE$6:$AJ$85,5,FALSE),"")</f>
        <v/>
      </c>
      <c r="J2827" s="45" t="str">
        <f>IFERROR(VLOOKUP(B2827,'Pre-Summary'!$AE$6:$AJ$85,6, FALSE),"")</f>
        <v/>
      </c>
      <c r="K2827" s="45" t="str">
        <f>IFERROR(VLOOKUP(B2827,'Pre-Summary'!$DE$6:$DG$61,3,FALSE),"")</f>
        <v/>
      </c>
      <c r="L2827" s="45" t="str">
        <f>IFERROR(VLOOKUP(B2827,'Pre-Summary'!$CU$6:$CW$36,3,FALSE),"")</f>
        <v/>
      </c>
      <c r="M2827" s="45" t="str">
        <f>IFERROR(VLOOKUP(B2827,'Pre-Summary'!$BW$6:$BY$58,2,FALSE),"")</f>
        <v/>
      </c>
      <c r="N2827" s="45" t="str">
        <f>IFERROR(VLOOKUP(B2827,'Pre-Summary'!$CD$6:$CF$64,2,FALSE),"")</f>
        <v/>
      </c>
      <c r="O2827" s="99">
        <f>IFERROR(VLOOKUP(B2827,'Pre-Summary'!$BO$6:$BQ$48,3, FALSE),O2826)</f>
        <v>2.7749999999999999</v>
      </c>
      <c r="P2827" s="99">
        <f>IFERROR(VLOOKUP(B2827,'Pre-Summary'!$BS$6:$BU$35,3,FALSE),P2826)</f>
        <v>0.70099999999999996</v>
      </c>
      <c r="Q2827" s="54">
        <f t="shared" si="132"/>
        <v>3.9586305278174039</v>
      </c>
      <c r="R2827" s="53">
        <f>IFERROR(VLOOKUP(B2827,'Pre-Summary'!$BG$6:$BM$44,7,FALSE),R2828)</f>
        <v>9.7082714118749885E-2</v>
      </c>
      <c r="S2827" s="53">
        <f>IFERROR(VLOOKUP(B2827,'Pre-Summary'!$BG$6:$BM$44,6,FALSE),S2828)</f>
        <v>8.6132390492961911E-2</v>
      </c>
      <c r="T2827" s="45" t="str">
        <f>IFERROR(VLOOKUP(B2827,'Pre-Summary'!$Y$6:$AC$83, 3,FALSE),"")</f>
        <v/>
      </c>
      <c r="U2827" s="45" t="str">
        <f>IFERROR(VLOOKUP(B2827,'Pre-Summary'!$Y$6:$AC$83, 4,FALSE),"")</f>
        <v/>
      </c>
      <c r="V2827" t="str">
        <f>IFERROR(VLOOKUP(B2827,'Pre-Summary'!$Y$6:$AC$83, 5,FALSE),"")</f>
        <v/>
      </c>
      <c r="W2827" s="45" t="str">
        <f>IFERROR(VLOOKUP(B2827,'Pre-Summary'!$Y$6:$AD$83,6,FALSE),"")</f>
        <v/>
      </c>
      <c r="X2827" t="str">
        <f>IFERROR(VLOOKUP('Pre-Summary'!$DB$6:$DD$63,3,FALSE),"")</f>
        <v/>
      </c>
      <c r="Y2827" t="str">
        <f>IFERROR(VLOOKUP(B2827,'Pre-Summary'!$CR$6:$CT$36,3,FALSE),"")</f>
        <v/>
      </c>
      <c r="Z2827" s="45" t="str">
        <f>IFERROR(VLOOKUP(B2827,'Pre-Summary'!$BZ$6:$CB$63,2,FALSE),"")</f>
        <v/>
      </c>
      <c r="AA2827" s="45" t="str">
        <f>IFERROR(VLOOKUP(B2827,'Pre-Summary'!$CG$6:$CI$70,2,FALSE),"")</f>
        <v/>
      </c>
      <c r="AB2827" s="99">
        <f>IFERROR(VLOOKUP(B2827,'Pre-Summary'!$A$6:$P$178,9,FALSE),AB2828)</f>
        <v>0.7010379290946207</v>
      </c>
      <c r="AC2827" s="10">
        <f>IFERROR(VLOOKUP(Summary!B2827,'Pre-Summary'!$A$6:$P$184,5, FALSE)/100,AC2828)</f>
        <v>0.92607166666666674</v>
      </c>
      <c r="AD2827" s="10">
        <f>IFERROR(VLOOKUP(Summary!B2827,'Pre-Summary'!$A$6:$P$184,3, FALSE)/100,AD2828)</f>
        <v>5.4963666666666668E-2</v>
      </c>
      <c r="AE2827" s="10">
        <f>IFERROR(VLOOKUP(Summary!B2827,'Pre-Summary'!$A$6:$P$184,7, FALSE)/100,AE2828)</f>
        <v>1.8946666666666667E-2</v>
      </c>
      <c r="AF2827" s="99">
        <f t="shared" si="133"/>
        <v>3.8531615055447034E-2</v>
      </c>
      <c r="AG2827" s="99">
        <f t="shared" si="134"/>
        <v>1.3282331963246082E-2</v>
      </c>
      <c r="AH2827" s="10" t="str">
        <f>IFERROR(VLOOKUP(B2827,'Pre-Summary'!$AZ$6:$BE$65,3,FALSE),"")</f>
        <v/>
      </c>
      <c r="AI2827" s="10" t="str">
        <f>IFERROR(VLOOKUP(B2827,'Pre-Summary'!$AZ$6:$BE$65,5,FALSE),"")</f>
        <v/>
      </c>
      <c r="AJ2827" s="10" t="str">
        <f>IFERROR(VLOOKUP(B2827,'Pre-Summary'!$AZ$6:$BE$65,4,FALSE),"")</f>
        <v/>
      </c>
      <c r="AK2827" s="10" t="str">
        <f>IFERROR(VLOOKUP(B2827,'Pre-Summary'!$AZ$6:$BE$65,6,FALSE),"")</f>
        <v/>
      </c>
      <c r="AL2827" s="10" t="str">
        <f>IFERROR(VLOOKUP(B2827,'Pre-Summary'!$BG$6:$BL$44,3,FALSE),"")</f>
        <v/>
      </c>
      <c r="AM2827" s="10" t="str">
        <f>IFERROR(VLOOKUP(B2827,'Pre-Summary'!$BG$6:$BL$44,4,FALSE),"")</f>
        <v/>
      </c>
    </row>
    <row r="2828" spans="2:39" ht="15" customHeight="1" x14ac:dyDescent="0.3">
      <c r="B2828">
        <v>282.5</v>
      </c>
      <c r="C2828" t="str">
        <f>IFERROR(VLOOKUP(B2828,'Pre-Summary'!$DI$6:$DM$23,4,FALSE),"")</f>
        <v/>
      </c>
      <c r="D2828" s="10" t="str">
        <f>IFERROR(VLOOKUP(B2828,'Pre-Summary'!$AT$6:$AX$14,5,FALSE),D2827)</f>
        <v>Wolfe v3: went back to modified wolfe + EDTA and switched CuSO4 to CUCl2</v>
      </c>
      <c r="E2828" s="10" t="str">
        <f>IFERROR(VLOOKUP(B2828,'Pre-Summary'!$AT$6:$AX$15,4,FALSE),"")</f>
        <v/>
      </c>
      <c r="F2828">
        <f>IFERROR(VLOOKUP(B2828,'Pre-Summary'!$AL$6:$AQ$13,6,FALSE),F2827)</f>
        <v>5.9405263157894746E-2</v>
      </c>
      <c r="G2828" t="str">
        <f>IFERROR(VLOOKUP(B2828,'Pre-Summary'!$AE$6:$AJ$85,3,FALSE),"")</f>
        <v/>
      </c>
      <c r="H2828" t="str">
        <f>IFERROR(VLOOKUP(B2828,'Pre-Summary'!$AE$6:$AJ$85,4,FALSE),"")</f>
        <v/>
      </c>
      <c r="I2828" t="str">
        <f>IFERROR(VLOOKUP(B2828,'Pre-Summary'!$AE$6:$AJ$85,5,FALSE),"")</f>
        <v/>
      </c>
      <c r="J2828" s="45" t="str">
        <f>IFERROR(VLOOKUP(B2828,'Pre-Summary'!$AE$6:$AJ$85,6, FALSE),"")</f>
        <v/>
      </c>
      <c r="K2828" s="45" t="str">
        <f>IFERROR(VLOOKUP(B2828,'Pre-Summary'!$DE$6:$DG$61,3,FALSE),"")</f>
        <v/>
      </c>
      <c r="L2828" s="45" t="str">
        <f>IFERROR(VLOOKUP(B2828,'Pre-Summary'!$CU$6:$CW$36,3,FALSE),"")</f>
        <v/>
      </c>
      <c r="M2828" s="45" t="str">
        <f>IFERROR(VLOOKUP(B2828,'Pre-Summary'!$BW$6:$BY$58,2,FALSE),"")</f>
        <v/>
      </c>
      <c r="N2828" s="45" t="str">
        <f>IFERROR(VLOOKUP(B2828,'Pre-Summary'!$CD$6:$CF$64,2,FALSE),"")</f>
        <v/>
      </c>
      <c r="O2828" s="99">
        <f>IFERROR(VLOOKUP(B2828,'Pre-Summary'!$BO$6:$BQ$48,3, FALSE),O2827)</f>
        <v>2.7749999999999999</v>
      </c>
      <c r="P2828" s="99">
        <f>IFERROR(VLOOKUP(B2828,'Pre-Summary'!$BS$6:$BU$35,3,FALSE),P2827)</f>
        <v>0.70099999999999996</v>
      </c>
      <c r="Q2828" s="54">
        <f t="shared" si="132"/>
        <v>3.9586305278174039</v>
      </c>
      <c r="R2828" s="53">
        <f>IFERROR(VLOOKUP(B2828,'Pre-Summary'!$BG$6:$BM$44,7,FALSE),R2829)</f>
        <v>9.7082714118749885E-2</v>
      </c>
      <c r="S2828" s="53">
        <f>IFERROR(VLOOKUP(B2828,'Pre-Summary'!$BG$6:$BM$44,6,FALSE),S2829)</f>
        <v>8.6132390492961911E-2</v>
      </c>
      <c r="T2828" s="45" t="str">
        <f>IFERROR(VLOOKUP(B2828,'Pre-Summary'!$Y$6:$AC$83, 3,FALSE),"")</f>
        <v/>
      </c>
      <c r="U2828" s="45" t="str">
        <f>IFERROR(VLOOKUP(B2828,'Pre-Summary'!$Y$6:$AC$83, 4,FALSE),"")</f>
        <v/>
      </c>
      <c r="V2828" t="str">
        <f>IFERROR(VLOOKUP(B2828,'Pre-Summary'!$Y$6:$AC$83, 5,FALSE),"")</f>
        <v/>
      </c>
      <c r="W2828" s="45" t="str">
        <f>IFERROR(VLOOKUP(B2828,'Pre-Summary'!$Y$6:$AD$83,6,FALSE),"")</f>
        <v/>
      </c>
      <c r="X2828" t="str">
        <f>IFERROR(VLOOKUP('Pre-Summary'!$DB$6:$DD$63,3,FALSE),"")</f>
        <v/>
      </c>
      <c r="Y2828" t="str">
        <f>IFERROR(VLOOKUP(B2828,'Pre-Summary'!$CR$6:$CT$36,3,FALSE),"")</f>
        <v/>
      </c>
      <c r="Z2828" s="45" t="str">
        <f>IFERROR(VLOOKUP(B2828,'Pre-Summary'!$BZ$6:$CB$63,2,FALSE),"")</f>
        <v/>
      </c>
      <c r="AA2828" s="45" t="str">
        <f>IFERROR(VLOOKUP(B2828,'Pre-Summary'!$CG$6:$CI$70,2,FALSE),"")</f>
        <v/>
      </c>
      <c r="AB2828" s="99">
        <f>IFERROR(VLOOKUP(B2828,'Pre-Summary'!$A$6:$P$178,9,FALSE),AB2829)</f>
        <v>0.7010379290946207</v>
      </c>
      <c r="AC2828" s="10">
        <f>IFERROR(VLOOKUP(Summary!B2828,'Pre-Summary'!$A$6:$P$184,5, FALSE)/100,AC2829)</f>
        <v>0.92607166666666674</v>
      </c>
      <c r="AD2828" s="10">
        <f>IFERROR(VLOOKUP(Summary!B2828,'Pre-Summary'!$A$6:$P$184,3, FALSE)/100,AD2829)</f>
        <v>5.4963666666666668E-2</v>
      </c>
      <c r="AE2828" s="10">
        <f>IFERROR(VLOOKUP(Summary!B2828,'Pre-Summary'!$A$6:$P$184,7, FALSE)/100,AE2829)</f>
        <v>1.8946666666666667E-2</v>
      </c>
      <c r="AF2828" s="99">
        <f t="shared" si="133"/>
        <v>3.8531615055447034E-2</v>
      </c>
      <c r="AG2828" s="99">
        <f t="shared" si="134"/>
        <v>1.3282331963246082E-2</v>
      </c>
      <c r="AH2828" s="10" t="str">
        <f>IFERROR(VLOOKUP(B2828,'Pre-Summary'!$AZ$6:$BE$65,3,FALSE),"")</f>
        <v/>
      </c>
      <c r="AI2828" s="10" t="str">
        <f>IFERROR(VLOOKUP(B2828,'Pre-Summary'!$AZ$6:$BE$65,5,FALSE),"")</f>
        <v/>
      </c>
      <c r="AJ2828" s="10" t="str">
        <f>IFERROR(VLOOKUP(B2828,'Pre-Summary'!$AZ$6:$BE$65,4,FALSE),"")</f>
        <v/>
      </c>
      <c r="AK2828" s="10" t="str">
        <f>IFERROR(VLOOKUP(B2828,'Pre-Summary'!$AZ$6:$BE$65,6,FALSE),"")</f>
        <v/>
      </c>
      <c r="AL2828" s="10" t="str">
        <f>IFERROR(VLOOKUP(B2828,'Pre-Summary'!$BG$6:$BL$44,3,FALSE),"")</f>
        <v/>
      </c>
      <c r="AM2828" s="10" t="str">
        <f>IFERROR(VLOOKUP(B2828,'Pre-Summary'!$BG$6:$BL$44,4,FALSE),"")</f>
        <v/>
      </c>
    </row>
    <row r="2829" spans="2:39" ht="15" customHeight="1" x14ac:dyDescent="0.3">
      <c r="B2829">
        <v>282.60000000000002</v>
      </c>
      <c r="C2829" t="str">
        <f>IFERROR(VLOOKUP(B2829,'Pre-Summary'!$DI$6:$DM$23,4,FALSE),"")</f>
        <v/>
      </c>
      <c r="D2829" s="10" t="str">
        <f>IFERROR(VLOOKUP(B2829,'Pre-Summary'!$AT$6:$AX$14,5,FALSE),D2828)</f>
        <v>Wolfe v3: went back to modified wolfe + EDTA and switched CuSO4 to CUCl2</v>
      </c>
      <c r="E2829" s="10" t="str">
        <f>IFERROR(VLOOKUP(B2829,'Pre-Summary'!$AT$6:$AX$15,4,FALSE),"")</f>
        <v/>
      </c>
      <c r="F2829">
        <f>IFERROR(VLOOKUP(B2829,'Pre-Summary'!$AL$6:$AQ$13,6,FALSE),F2828)</f>
        <v>5.9405263157894746E-2</v>
      </c>
      <c r="G2829" t="str">
        <f>IFERROR(VLOOKUP(B2829,'Pre-Summary'!$AE$6:$AJ$85,3,FALSE),"")</f>
        <v/>
      </c>
      <c r="H2829" t="str">
        <f>IFERROR(VLOOKUP(B2829,'Pre-Summary'!$AE$6:$AJ$85,4,FALSE),"")</f>
        <v/>
      </c>
      <c r="I2829" t="str">
        <f>IFERROR(VLOOKUP(B2829,'Pre-Summary'!$AE$6:$AJ$85,5,FALSE),"")</f>
        <v/>
      </c>
      <c r="J2829" s="45" t="str">
        <f>IFERROR(VLOOKUP(B2829,'Pre-Summary'!$AE$6:$AJ$85,6, FALSE),"")</f>
        <v/>
      </c>
      <c r="K2829" s="45" t="str">
        <f>IFERROR(VLOOKUP(B2829,'Pre-Summary'!$DE$6:$DG$61,3,FALSE),"")</f>
        <v/>
      </c>
      <c r="L2829" s="45" t="str">
        <f>IFERROR(VLOOKUP(B2829,'Pre-Summary'!$CU$6:$CW$36,3,FALSE),"")</f>
        <v/>
      </c>
      <c r="M2829" s="45" t="str">
        <f>IFERROR(VLOOKUP(B2829,'Pre-Summary'!$BW$6:$BY$58,2,FALSE),"")</f>
        <v/>
      </c>
      <c r="N2829" s="45" t="str">
        <f>IFERROR(VLOOKUP(B2829,'Pre-Summary'!$CD$6:$CF$64,2,FALSE),"")</f>
        <v/>
      </c>
      <c r="O2829" s="99">
        <f>IFERROR(VLOOKUP(B2829,'Pre-Summary'!$BO$6:$BQ$48,3, FALSE),O2828)</f>
        <v>2.7749999999999999</v>
      </c>
      <c r="P2829" s="99">
        <f>IFERROR(VLOOKUP(B2829,'Pre-Summary'!$BS$6:$BU$35,3,FALSE),P2828)</f>
        <v>0.70099999999999996</v>
      </c>
      <c r="Q2829" s="54">
        <f t="shared" si="132"/>
        <v>3.9586305278174039</v>
      </c>
      <c r="R2829" s="53">
        <f>IFERROR(VLOOKUP(B2829,'Pre-Summary'!$BG$6:$BM$44,7,FALSE),R2830)</f>
        <v>9.7082714118749885E-2</v>
      </c>
      <c r="S2829" s="53">
        <f>IFERROR(VLOOKUP(B2829,'Pre-Summary'!$BG$6:$BM$44,6,FALSE),S2830)</f>
        <v>8.6132390492961911E-2</v>
      </c>
      <c r="T2829" s="45" t="str">
        <f>IFERROR(VLOOKUP(B2829,'Pre-Summary'!$Y$6:$AC$83, 3,FALSE),"")</f>
        <v/>
      </c>
      <c r="U2829" s="45" t="str">
        <f>IFERROR(VLOOKUP(B2829,'Pre-Summary'!$Y$6:$AC$83, 4,FALSE),"")</f>
        <v/>
      </c>
      <c r="V2829" t="str">
        <f>IFERROR(VLOOKUP(B2829,'Pre-Summary'!$Y$6:$AC$83, 5,FALSE),"")</f>
        <v/>
      </c>
      <c r="W2829" s="45" t="str">
        <f>IFERROR(VLOOKUP(B2829,'Pre-Summary'!$Y$6:$AD$83,6,FALSE),"")</f>
        <v/>
      </c>
      <c r="X2829" t="str">
        <f>IFERROR(VLOOKUP('Pre-Summary'!$DB$6:$DD$63,3,FALSE),"")</f>
        <v/>
      </c>
      <c r="Y2829" t="str">
        <f>IFERROR(VLOOKUP(B2829,'Pre-Summary'!$CR$6:$CT$36,3,FALSE),"")</f>
        <v/>
      </c>
      <c r="Z2829" s="45" t="str">
        <f>IFERROR(VLOOKUP(B2829,'Pre-Summary'!$BZ$6:$CB$63,2,FALSE),"")</f>
        <v/>
      </c>
      <c r="AA2829" s="45" t="str">
        <f>IFERROR(VLOOKUP(B2829,'Pre-Summary'!$CG$6:$CI$70,2,FALSE),"")</f>
        <v/>
      </c>
      <c r="AB2829" s="99">
        <f>IFERROR(VLOOKUP(B2829,'Pre-Summary'!$A$6:$P$178,9,FALSE),AB2830)</f>
        <v>0.7010379290946207</v>
      </c>
      <c r="AC2829" s="10">
        <f>IFERROR(VLOOKUP(Summary!B2829,'Pre-Summary'!$A$6:$P$184,5, FALSE)/100,AC2830)</f>
        <v>0.92607166666666674</v>
      </c>
      <c r="AD2829" s="10">
        <f>IFERROR(VLOOKUP(Summary!B2829,'Pre-Summary'!$A$6:$P$184,3, FALSE)/100,AD2830)</f>
        <v>5.4963666666666668E-2</v>
      </c>
      <c r="AE2829" s="10">
        <f>IFERROR(VLOOKUP(Summary!B2829,'Pre-Summary'!$A$6:$P$184,7, FALSE)/100,AE2830)</f>
        <v>1.8946666666666667E-2</v>
      </c>
      <c r="AF2829" s="99">
        <f t="shared" si="133"/>
        <v>3.8531615055447034E-2</v>
      </c>
      <c r="AG2829" s="99">
        <f t="shared" si="134"/>
        <v>1.3282331963246082E-2</v>
      </c>
      <c r="AH2829" s="10" t="str">
        <f>IFERROR(VLOOKUP(B2829,'Pre-Summary'!$AZ$6:$BE$65,3,FALSE),"")</f>
        <v/>
      </c>
      <c r="AI2829" s="10" t="str">
        <f>IFERROR(VLOOKUP(B2829,'Pre-Summary'!$AZ$6:$BE$65,5,FALSE),"")</f>
        <v/>
      </c>
      <c r="AJ2829" s="10" t="str">
        <f>IFERROR(VLOOKUP(B2829,'Pre-Summary'!$AZ$6:$BE$65,4,FALSE),"")</f>
        <v/>
      </c>
      <c r="AK2829" s="10" t="str">
        <f>IFERROR(VLOOKUP(B2829,'Pre-Summary'!$AZ$6:$BE$65,6,FALSE),"")</f>
        <v/>
      </c>
      <c r="AL2829" s="10" t="str">
        <f>IFERROR(VLOOKUP(B2829,'Pre-Summary'!$BG$6:$BL$44,3,FALSE),"")</f>
        <v/>
      </c>
      <c r="AM2829" s="10" t="str">
        <f>IFERROR(VLOOKUP(B2829,'Pre-Summary'!$BG$6:$BL$44,4,FALSE),"")</f>
        <v/>
      </c>
    </row>
    <row r="2830" spans="2:39" ht="15" customHeight="1" x14ac:dyDescent="0.3">
      <c r="B2830">
        <v>282.7</v>
      </c>
      <c r="C2830" t="str">
        <f>IFERROR(VLOOKUP(B2830,'Pre-Summary'!$DI$6:$DM$23,4,FALSE),"")</f>
        <v/>
      </c>
      <c r="D2830" s="10" t="str">
        <f>IFERROR(VLOOKUP(B2830,'Pre-Summary'!$AT$6:$AX$14,5,FALSE),D2829)</f>
        <v>Wolfe v3: went back to modified wolfe + EDTA and switched CuSO4 to CUCl2</v>
      </c>
      <c r="E2830" s="10" t="str">
        <f>IFERROR(VLOOKUP(B2830,'Pre-Summary'!$AT$6:$AX$15,4,FALSE),"")</f>
        <v/>
      </c>
      <c r="F2830">
        <f>IFERROR(VLOOKUP(B2830,'Pre-Summary'!$AL$6:$AQ$13,6,FALSE),F2829)</f>
        <v>5.9405263157894746E-2</v>
      </c>
      <c r="G2830" t="str">
        <f>IFERROR(VLOOKUP(B2830,'Pre-Summary'!$AE$6:$AJ$85,3,FALSE),"")</f>
        <v/>
      </c>
      <c r="H2830" t="str">
        <f>IFERROR(VLOOKUP(B2830,'Pre-Summary'!$AE$6:$AJ$85,4,FALSE),"")</f>
        <v/>
      </c>
      <c r="I2830" t="str">
        <f>IFERROR(VLOOKUP(B2830,'Pre-Summary'!$AE$6:$AJ$85,5,FALSE),"")</f>
        <v/>
      </c>
      <c r="J2830" s="45" t="str">
        <f>IFERROR(VLOOKUP(B2830,'Pre-Summary'!$AE$6:$AJ$85,6, FALSE),"")</f>
        <v/>
      </c>
      <c r="K2830" s="45" t="str">
        <f>IFERROR(VLOOKUP(B2830,'Pre-Summary'!$DE$6:$DG$61,3,FALSE),"")</f>
        <v/>
      </c>
      <c r="L2830" s="45" t="str">
        <f>IFERROR(VLOOKUP(B2830,'Pre-Summary'!$CU$6:$CW$36,3,FALSE),"")</f>
        <v/>
      </c>
      <c r="M2830" s="45" t="str">
        <f>IFERROR(VLOOKUP(B2830,'Pre-Summary'!$BW$6:$BY$58,2,FALSE),"")</f>
        <v/>
      </c>
      <c r="N2830" s="45" t="str">
        <f>IFERROR(VLOOKUP(B2830,'Pre-Summary'!$CD$6:$CF$64,2,FALSE),"")</f>
        <v/>
      </c>
      <c r="O2830" s="99">
        <f>IFERROR(VLOOKUP(B2830,'Pre-Summary'!$BO$6:$BQ$48,3, FALSE),O2829)</f>
        <v>2.7749999999999999</v>
      </c>
      <c r="P2830" s="99">
        <f>IFERROR(VLOOKUP(B2830,'Pre-Summary'!$BS$6:$BU$35,3,FALSE),P2829)</f>
        <v>0.70099999999999996</v>
      </c>
      <c r="Q2830" s="54">
        <f t="shared" si="132"/>
        <v>3.9586305278174039</v>
      </c>
      <c r="R2830" s="53">
        <f>IFERROR(VLOOKUP(B2830,'Pre-Summary'!$BG$6:$BM$44,7,FALSE),R2831)</f>
        <v>9.7082714118749885E-2</v>
      </c>
      <c r="S2830" s="53">
        <f>IFERROR(VLOOKUP(B2830,'Pre-Summary'!$BG$6:$BM$44,6,FALSE),S2831)</f>
        <v>8.6132390492961911E-2</v>
      </c>
      <c r="T2830" s="45" t="str">
        <f>IFERROR(VLOOKUP(B2830,'Pre-Summary'!$Y$6:$AC$83, 3,FALSE),"")</f>
        <v/>
      </c>
      <c r="U2830" s="45" t="str">
        <f>IFERROR(VLOOKUP(B2830,'Pre-Summary'!$Y$6:$AC$83, 4,FALSE),"")</f>
        <v/>
      </c>
      <c r="V2830" t="str">
        <f>IFERROR(VLOOKUP(B2830,'Pre-Summary'!$Y$6:$AC$83, 5,FALSE),"")</f>
        <v/>
      </c>
      <c r="W2830" s="45" t="str">
        <f>IFERROR(VLOOKUP(B2830,'Pre-Summary'!$Y$6:$AD$83,6,FALSE),"")</f>
        <v/>
      </c>
      <c r="X2830" t="str">
        <f>IFERROR(VLOOKUP('Pre-Summary'!$DB$6:$DD$63,3,FALSE),"")</f>
        <v/>
      </c>
      <c r="Y2830" t="str">
        <f>IFERROR(VLOOKUP(B2830,'Pre-Summary'!$CR$6:$CT$36,3,FALSE),"")</f>
        <v/>
      </c>
      <c r="Z2830" s="45" t="str">
        <f>IFERROR(VLOOKUP(B2830,'Pre-Summary'!$BZ$6:$CB$63,2,FALSE),"")</f>
        <v/>
      </c>
      <c r="AA2830" s="45" t="str">
        <f>IFERROR(VLOOKUP(B2830,'Pre-Summary'!$CG$6:$CI$70,2,FALSE),"")</f>
        <v/>
      </c>
      <c r="AB2830" s="99">
        <f>IFERROR(VLOOKUP(B2830,'Pre-Summary'!$A$6:$P$178,9,FALSE),AB2831)</f>
        <v>0.7010379290946207</v>
      </c>
      <c r="AC2830" s="10">
        <f>IFERROR(VLOOKUP(Summary!B2830,'Pre-Summary'!$A$6:$P$184,5, FALSE)/100,AC2831)</f>
        <v>0.92607166666666674</v>
      </c>
      <c r="AD2830" s="10">
        <f>IFERROR(VLOOKUP(Summary!B2830,'Pre-Summary'!$A$6:$P$184,3, FALSE)/100,AD2831)</f>
        <v>5.4963666666666668E-2</v>
      </c>
      <c r="AE2830" s="10">
        <f>IFERROR(VLOOKUP(Summary!B2830,'Pre-Summary'!$A$6:$P$184,7, FALSE)/100,AE2831)</f>
        <v>1.8946666666666667E-2</v>
      </c>
      <c r="AF2830" s="99">
        <f t="shared" si="133"/>
        <v>3.8531615055447034E-2</v>
      </c>
      <c r="AG2830" s="99">
        <f t="shared" si="134"/>
        <v>1.3282331963246082E-2</v>
      </c>
      <c r="AH2830" s="10" t="str">
        <f>IFERROR(VLOOKUP(B2830,'Pre-Summary'!$AZ$6:$BE$65,3,FALSE),"")</f>
        <v/>
      </c>
      <c r="AI2830" s="10" t="str">
        <f>IFERROR(VLOOKUP(B2830,'Pre-Summary'!$AZ$6:$BE$65,5,FALSE),"")</f>
        <v/>
      </c>
      <c r="AJ2830" s="10" t="str">
        <f>IFERROR(VLOOKUP(B2830,'Pre-Summary'!$AZ$6:$BE$65,4,FALSE),"")</f>
        <v/>
      </c>
      <c r="AK2830" s="10" t="str">
        <f>IFERROR(VLOOKUP(B2830,'Pre-Summary'!$AZ$6:$BE$65,6,FALSE),"")</f>
        <v/>
      </c>
      <c r="AL2830" s="10" t="str">
        <f>IFERROR(VLOOKUP(B2830,'Pre-Summary'!$BG$6:$BL$44,3,FALSE),"")</f>
        <v/>
      </c>
      <c r="AM2830" s="10" t="str">
        <f>IFERROR(VLOOKUP(B2830,'Pre-Summary'!$BG$6:$BL$44,4,FALSE),"")</f>
        <v/>
      </c>
    </row>
    <row r="2831" spans="2:39" ht="15" customHeight="1" x14ac:dyDescent="0.3">
      <c r="B2831">
        <v>282.8</v>
      </c>
      <c r="C2831" t="str">
        <f>IFERROR(VLOOKUP(B2831,'Pre-Summary'!$DI$6:$DM$23,4,FALSE),"")</f>
        <v/>
      </c>
      <c r="D2831" s="10" t="str">
        <f>IFERROR(VLOOKUP(B2831,'Pre-Summary'!$AT$6:$AX$14,5,FALSE),D2830)</f>
        <v>Wolfe v3: went back to modified wolfe + EDTA and switched CuSO4 to CUCl2</v>
      </c>
      <c r="E2831" s="10" t="str">
        <f>IFERROR(VLOOKUP(B2831,'Pre-Summary'!$AT$6:$AX$15,4,FALSE),"")</f>
        <v/>
      </c>
      <c r="F2831">
        <f>IFERROR(VLOOKUP(B2831,'Pre-Summary'!$AL$6:$AQ$13,6,FALSE),F2830)</f>
        <v>5.9405263157894746E-2</v>
      </c>
      <c r="G2831" t="str">
        <f>IFERROR(VLOOKUP(B2831,'Pre-Summary'!$AE$6:$AJ$85,3,FALSE),"")</f>
        <v/>
      </c>
      <c r="H2831" t="str">
        <f>IFERROR(VLOOKUP(B2831,'Pre-Summary'!$AE$6:$AJ$85,4,FALSE),"")</f>
        <v/>
      </c>
      <c r="I2831" t="str">
        <f>IFERROR(VLOOKUP(B2831,'Pre-Summary'!$AE$6:$AJ$85,5,FALSE),"")</f>
        <v/>
      </c>
      <c r="J2831" s="45" t="str">
        <f>IFERROR(VLOOKUP(B2831,'Pre-Summary'!$AE$6:$AJ$85,6, FALSE),"")</f>
        <v/>
      </c>
      <c r="K2831" s="45" t="str">
        <f>IFERROR(VLOOKUP(B2831,'Pre-Summary'!$DE$6:$DG$61,3,FALSE),"")</f>
        <v/>
      </c>
      <c r="L2831" s="45" t="str">
        <f>IFERROR(VLOOKUP(B2831,'Pre-Summary'!$CU$6:$CW$36,3,FALSE),"")</f>
        <v/>
      </c>
      <c r="M2831" s="45" t="str">
        <f>IFERROR(VLOOKUP(B2831,'Pre-Summary'!$BW$6:$BY$58,2,FALSE),"")</f>
        <v/>
      </c>
      <c r="N2831" s="45" t="str">
        <f>IFERROR(VLOOKUP(B2831,'Pre-Summary'!$CD$6:$CF$64,2,FALSE),"")</f>
        <v/>
      </c>
      <c r="O2831" s="99">
        <f>IFERROR(VLOOKUP(B2831,'Pre-Summary'!$BO$6:$BQ$48,3, FALSE),O2830)</f>
        <v>2.7749999999999999</v>
      </c>
      <c r="P2831" s="99">
        <f>IFERROR(VLOOKUP(B2831,'Pre-Summary'!$BS$6:$BU$35,3,FALSE),P2830)</f>
        <v>0.70099999999999996</v>
      </c>
      <c r="Q2831" s="54">
        <f t="shared" si="132"/>
        <v>3.9586305278174039</v>
      </c>
      <c r="R2831" s="53">
        <f>IFERROR(VLOOKUP(B2831,'Pre-Summary'!$BG$6:$BM$44,7,FALSE),R2832)</f>
        <v>9.7082714118749885E-2</v>
      </c>
      <c r="S2831" s="53">
        <f>IFERROR(VLOOKUP(B2831,'Pre-Summary'!$BG$6:$BM$44,6,FALSE),S2832)</f>
        <v>8.6132390492961911E-2</v>
      </c>
      <c r="T2831" s="45" t="str">
        <f>IFERROR(VLOOKUP(B2831,'Pre-Summary'!$Y$6:$AC$83, 3,FALSE),"")</f>
        <v/>
      </c>
      <c r="U2831" s="45" t="str">
        <f>IFERROR(VLOOKUP(B2831,'Pre-Summary'!$Y$6:$AC$83, 4,FALSE),"")</f>
        <v/>
      </c>
      <c r="V2831" t="str">
        <f>IFERROR(VLOOKUP(B2831,'Pre-Summary'!$Y$6:$AC$83, 5,FALSE),"")</f>
        <v/>
      </c>
      <c r="W2831" s="45" t="str">
        <f>IFERROR(VLOOKUP(B2831,'Pre-Summary'!$Y$6:$AD$83,6,FALSE),"")</f>
        <v/>
      </c>
      <c r="X2831" t="str">
        <f>IFERROR(VLOOKUP('Pre-Summary'!$DB$6:$DD$63,3,FALSE),"")</f>
        <v/>
      </c>
      <c r="Y2831" t="str">
        <f>IFERROR(VLOOKUP(B2831,'Pre-Summary'!$CR$6:$CT$36,3,FALSE),"")</f>
        <v/>
      </c>
      <c r="Z2831" s="45" t="str">
        <f>IFERROR(VLOOKUP(B2831,'Pre-Summary'!$BZ$6:$CB$63,2,FALSE),"")</f>
        <v/>
      </c>
      <c r="AA2831" s="45" t="str">
        <f>IFERROR(VLOOKUP(B2831,'Pre-Summary'!$CG$6:$CI$70,2,FALSE),"")</f>
        <v/>
      </c>
      <c r="AB2831" s="99">
        <f>IFERROR(VLOOKUP(B2831,'Pre-Summary'!$A$6:$P$178,9,FALSE),AB2832)</f>
        <v>0.7010379290946207</v>
      </c>
      <c r="AC2831" s="10">
        <f>IFERROR(VLOOKUP(Summary!B2831,'Pre-Summary'!$A$6:$P$184,5, FALSE)/100,AC2832)</f>
        <v>0.92607166666666674</v>
      </c>
      <c r="AD2831" s="10">
        <f>IFERROR(VLOOKUP(Summary!B2831,'Pre-Summary'!$A$6:$P$184,3, FALSE)/100,AD2832)</f>
        <v>5.4963666666666668E-2</v>
      </c>
      <c r="AE2831" s="10">
        <f>IFERROR(VLOOKUP(Summary!B2831,'Pre-Summary'!$A$6:$P$184,7, FALSE)/100,AE2832)</f>
        <v>1.8946666666666667E-2</v>
      </c>
      <c r="AF2831" s="99">
        <f t="shared" si="133"/>
        <v>3.8531615055447034E-2</v>
      </c>
      <c r="AG2831" s="99">
        <f t="shared" si="134"/>
        <v>1.3282331963246082E-2</v>
      </c>
      <c r="AH2831" s="10" t="str">
        <f>IFERROR(VLOOKUP(B2831,'Pre-Summary'!$AZ$6:$BE$65,3,FALSE),"")</f>
        <v/>
      </c>
      <c r="AI2831" s="10" t="str">
        <f>IFERROR(VLOOKUP(B2831,'Pre-Summary'!$AZ$6:$BE$65,5,FALSE),"")</f>
        <v/>
      </c>
      <c r="AJ2831" s="10" t="str">
        <f>IFERROR(VLOOKUP(B2831,'Pre-Summary'!$AZ$6:$BE$65,4,FALSE),"")</f>
        <v/>
      </c>
      <c r="AK2831" s="10" t="str">
        <f>IFERROR(VLOOKUP(B2831,'Pre-Summary'!$AZ$6:$BE$65,6,FALSE),"")</f>
        <v/>
      </c>
      <c r="AL2831" s="10" t="str">
        <f>IFERROR(VLOOKUP(B2831,'Pre-Summary'!$BG$6:$BL$44,3,FALSE),"")</f>
        <v/>
      </c>
      <c r="AM2831" s="10" t="str">
        <f>IFERROR(VLOOKUP(B2831,'Pre-Summary'!$BG$6:$BL$44,4,FALSE),"")</f>
        <v/>
      </c>
    </row>
    <row r="2832" spans="2:39" ht="15" customHeight="1" x14ac:dyDescent="0.3">
      <c r="B2832">
        <v>282.89999999999998</v>
      </c>
      <c r="C2832" t="str">
        <f>IFERROR(VLOOKUP(B2832,'Pre-Summary'!$DI$6:$DM$23,4,FALSE),"")</f>
        <v/>
      </c>
      <c r="D2832" s="10" t="str">
        <f>IFERROR(VLOOKUP(B2832,'Pre-Summary'!$AT$6:$AX$14,5,FALSE),D2831)</f>
        <v>Wolfe v3: went back to modified wolfe + EDTA and switched CuSO4 to CUCl2</v>
      </c>
      <c r="E2832" s="10" t="str">
        <f>IFERROR(VLOOKUP(B2832,'Pre-Summary'!$AT$6:$AX$15,4,FALSE),"")</f>
        <v/>
      </c>
      <c r="F2832">
        <f>IFERROR(VLOOKUP(B2832,'Pre-Summary'!$AL$6:$AQ$13,6,FALSE),F2831)</f>
        <v>5.9405263157894746E-2</v>
      </c>
      <c r="G2832" t="str">
        <f>IFERROR(VLOOKUP(B2832,'Pre-Summary'!$AE$6:$AJ$85,3,FALSE),"")</f>
        <v/>
      </c>
      <c r="H2832" t="str">
        <f>IFERROR(VLOOKUP(B2832,'Pre-Summary'!$AE$6:$AJ$85,4,FALSE),"")</f>
        <v/>
      </c>
      <c r="I2832" t="str">
        <f>IFERROR(VLOOKUP(B2832,'Pre-Summary'!$AE$6:$AJ$85,5,FALSE),"")</f>
        <v/>
      </c>
      <c r="J2832" s="45" t="str">
        <f>IFERROR(VLOOKUP(B2832,'Pre-Summary'!$AE$6:$AJ$85,6, FALSE),"")</f>
        <v/>
      </c>
      <c r="K2832" s="45" t="str">
        <f>IFERROR(VLOOKUP(B2832,'Pre-Summary'!$DE$6:$DG$61,3,FALSE),"")</f>
        <v/>
      </c>
      <c r="L2832" s="45" t="str">
        <f>IFERROR(VLOOKUP(B2832,'Pre-Summary'!$CU$6:$CW$36,3,FALSE),"")</f>
        <v/>
      </c>
      <c r="M2832" s="45" t="str">
        <f>IFERROR(VLOOKUP(B2832,'Pre-Summary'!$BW$6:$BY$58,2,FALSE),"")</f>
        <v/>
      </c>
      <c r="N2832" s="45" t="str">
        <f>IFERROR(VLOOKUP(B2832,'Pre-Summary'!$CD$6:$CF$64,2,FALSE),"")</f>
        <v/>
      </c>
      <c r="O2832" s="99">
        <f>IFERROR(VLOOKUP(B2832,'Pre-Summary'!$BO$6:$BQ$48,3, FALSE),O2831)</f>
        <v>2.7749999999999999</v>
      </c>
      <c r="P2832" s="99">
        <f>IFERROR(VLOOKUP(B2832,'Pre-Summary'!$BS$6:$BU$35,3,FALSE),P2831)</f>
        <v>0.70099999999999996</v>
      </c>
      <c r="Q2832" s="54">
        <f t="shared" si="132"/>
        <v>3.9586305278174039</v>
      </c>
      <c r="R2832" s="53">
        <f>IFERROR(VLOOKUP(B2832,'Pre-Summary'!$BG$6:$BM$44,7,FALSE),R2833)</f>
        <v>9.7082714118749885E-2</v>
      </c>
      <c r="S2832" s="53">
        <f>IFERROR(VLOOKUP(B2832,'Pre-Summary'!$BG$6:$BM$44,6,FALSE),S2833)</f>
        <v>8.6132390492961911E-2</v>
      </c>
      <c r="T2832" s="45" t="str">
        <f>IFERROR(VLOOKUP(B2832,'Pre-Summary'!$Y$6:$AC$83, 3,FALSE),"")</f>
        <v/>
      </c>
      <c r="U2832" s="45" t="str">
        <f>IFERROR(VLOOKUP(B2832,'Pre-Summary'!$Y$6:$AC$83, 4,FALSE),"")</f>
        <v/>
      </c>
      <c r="V2832" t="str">
        <f>IFERROR(VLOOKUP(B2832,'Pre-Summary'!$Y$6:$AC$83, 5,FALSE),"")</f>
        <v/>
      </c>
      <c r="W2832" s="45" t="str">
        <f>IFERROR(VLOOKUP(B2832,'Pre-Summary'!$Y$6:$AD$83,6,FALSE),"")</f>
        <v/>
      </c>
      <c r="X2832" t="str">
        <f>IFERROR(VLOOKUP('Pre-Summary'!$DB$6:$DD$63,3,FALSE),"")</f>
        <v/>
      </c>
      <c r="Y2832" t="str">
        <f>IFERROR(VLOOKUP(B2832,'Pre-Summary'!$CR$6:$CT$36,3,FALSE),"")</f>
        <v/>
      </c>
      <c r="Z2832" s="45" t="str">
        <f>IFERROR(VLOOKUP(B2832,'Pre-Summary'!$BZ$6:$CB$63,2,FALSE),"")</f>
        <v/>
      </c>
      <c r="AA2832" s="45" t="str">
        <f>IFERROR(VLOOKUP(B2832,'Pre-Summary'!$CG$6:$CI$70,2,FALSE),"")</f>
        <v/>
      </c>
      <c r="AB2832" s="99">
        <f>IFERROR(VLOOKUP(B2832,'Pre-Summary'!$A$6:$P$178,9,FALSE),AB2833)</f>
        <v>0.7010379290946207</v>
      </c>
      <c r="AC2832" s="10">
        <f>IFERROR(VLOOKUP(Summary!B2832,'Pre-Summary'!$A$6:$P$184,5, FALSE)/100,AC2833)</f>
        <v>0.92607166666666674</v>
      </c>
      <c r="AD2832" s="10">
        <f>IFERROR(VLOOKUP(Summary!B2832,'Pre-Summary'!$A$6:$P$184,3, FALSE)/100,AD2833)</f>
        <v>5.4963666666666668E-2</v>
      </c>
      <c r="AE2832" s="10">
        <f>IFERROR(VLOOKUP(Summary!B2832,'Pre-Summary'!$A$6:$P$184,7, FALSE)/100,AE2833)</f>
        <v>1.8946666666666667E-2</v>
      </c>
      <c r="AF2832" s="99">
        <f t="shared" si="133"/>
        <v>3.8531615055447034E-2</v>
      </c>
      <c r="AG2832" s="99">
        <f t="shared" si="134"/>
        <v>1.3282331963246082E-2</v>
      </c>
      <c r="AH2832" s="10" t="str">
        <f>IFERROR(VLOOKUP(B2832,'Pre-Summary'!$AZ$6:$BE$65,3,FALSE),"")</f>
        <v/>
      </c>
      <c r="AI2832" s="10" t="str">
        <f>IFERROR(VLOOKUP(B2832,'Pre-Summary'!$AZ$6:$BE$65,5,FALSE),"")</f>
        <v/>
      </c>
      <c r="AJ2832" s="10" t="str">
        <f>IFERROR(VLOOKUP(B2832,'Pre-Summary'!$AZ$6:$BE$65,4,FALSE),"")</f>
        <v/>
      </c>
      <c r="AK2832" s="10" t="str">
        <f>IFERROR(VLOOKUP(B2832,'Pre-Summary'!$AZ$6:$BE$65,6,FALSE),"")</f>
        <v/>
      </c>
      <c r="AL2832" s="10" t="str">
        <f>IFERROR(VLOOKUP(B2832,'Pre-Summary'!$BG$6:$BL$44,3,FALSE),"")</f>
        <v/>
      </c>
      <c r="AM2832" s="10" t="str">
        <f>IFERROR(VLOOKUP(B2832,'Pre-Summary'!$BG$6:$BL$44,4,FALSE),"")</f>
        <v/>
      </c>
    </row>
    <row r="2833" spans="2:39" ht="15" customHeight="1" x14ac:dyDescent="0.3">
      <c r="B2833">
        <v>283</v>
      </c>
      <c r="C2833" t="str">
        <f>IFERROR(VLOOKUP(B2833,'Pre-Summary'!$DI$6:$DM$23,4,FALSE),"")</f>
        <v/>
      </c>
      <c r="D2833" s="10" t="str">
        <f>IFERROR(VLOOKUP(B2833,'Pre-Summary'!$AT$6:$AX$14,5,FALSE),D2832)</f>
        <v>Wolfe v3: went back to modified wolfe + EDTA and switched CuSO4 to CUCl2</v>
      </c>
      <c r="E2833" s="10" t="str">
        <f>IFERROR(VLOOKUP(B2833,'Pre-Summary'!$AT$6:$AX$15,4,FALSE),"")</f>
        <v/>
      </c>
      <c r="F2833">
        <f>IFERROR(VLOOKUP(B2833,'Pre-Summary'!$AL$6:$AQ$13,6,FALSE),F2832)</f>
        <v>5.9405263157894746E-2</v>
      </c>
      <c r="G2833" t="str">
        <f>IFERROR(VLOOKUP(B2833,'Pre-Summary'!$AE$6:$AJ$85,3,FALSE),"")</f>
        <v/>
      </c>
      <c r="H2833" t="str">
        <f>IFERROR(VLOOKUP(B2833,'Pre-Summary'!$AE$6:$AJ$85,4,FALSE),"")</f>
        <v/>
      </c>
      <c r="I2833" t="str">
        <f>IFERROR(VLOOKUP(B2833,'Pre-Summary'!$AE$6:$AJ$85,5,FALSE),"")</f>
        <v/>
      </c>
      <c r="J2833" s="45" t="str">
        <f>IFERROR(VLOOKUP(B2833,'Pre-Summary'!$AE$6:$AJ$85,6, FALSE),"")</f>
        <v/>
      </c>
      <c r="K2833" s="45" t="str">
        <f>IFERROR(VLOOKUP(B2833,'Pre-Summary'!$DE$6:$DG$61,3,FALSE),"")</f>
        <v/>
      </c>
      <c r="L2833" s="45" t="str">
        <f>IFERROR(VLOOKUP(B2833,'Pre-Summary'!$CU$6:$CW$36,3,FALSE),"")</f>
        <v/>
      </c>
      <c r="M2833" s="45" t="str">
        <f>IFERROR(VLOOKUP(B2833,'Pre-Summary'!$BW$6:$BY$58,2,FALSE),"")</f>
        <v/>
      </c>
      <c r="N2833" s="45" t="str">
        <f>IFERROR(VLOOKUP(B2833,'Pre-Summary'!$CD$6:$CF$64,2,FALSE),"")</f>
        <v/>
      </c>
      <c r="O2833" s="99">
        <f>IFERROR(VLOOKUP(B2833,'Pre-Summary'!$BO$6:$BQ$48,3, FALSE),O2832)</f>
        <v>2.7749999999999999</v>
      </c>
      <c r="P2833" s="99">
        <f>IFERROR(VLOOKUP(B2833,'Pre-Summary'!$BS$6:$BU$35,3,FALSE),P2832)</f>
        <v>0.70099999999999996</v>
      </c>
      <c r="Q2833" s="54">
        <f t="shared" si="132"/>
        <v>3.9586305278174039</v>
      </c>
      <c r="R2833" s="53">
        <f>IFERROR(VLOOKUP(B2833,'Pre-Summary'!$BG$6:$BM$44,7,FALSE),R2834)</f>
        <v>9.7082714118749885E-2</v>
      </c>
      <c r="S2833" s="53">
        <f>IFERROR(VLOOKUP(B2833,'Pre-Summary'!$BG$6:$BM$44,6,FALSE),S2834)</f>
        <v>8.6132390492961911E-2</v>
      </c>
      <c r="T2833" s="45" t="str">
        <f>IFERROR(VLOOKUP(B2833,'Pre-Summary'!$Y$6:$AC$83, 3,FALSE),"")</f>
        <v/>
      </c>
      <c r="U2833" s="45" t="str">
        <f>IFERROR(VLOOKUP(B2833,'Pre-Summary'!$Y$6:$AC$83, 4,FALSE),"")</f>
        <v/>
      </c>
      <c r="V2833" t="str">
        <f>IFERROR(VLOOKUP(B2833,'Pre-Summary'!$Y$6:$AC$83, 5,FALSE),"")</f>
        <v/>
      </c>
      <c r="W2833" s="45" t="str">
        <f>IFERROR(VLOOKUP(B2833,'Pre-Summary'!$Y$6:$AD$83,6,FALSE),"")</f>
        <v/>
      </c>
      <c r="X2833" t="str">
        <f>IFERROR(VLOOKUP('Pre-Summary'!$DB$6:$DD$63,3,FALSE),"")</f>
        <v/>
      </c>
      <c r="Y2833" t="str">
        <f>IFERROR(VLOOKUP(B2833,'Pre-Summary'!$CR$6:$CT$36,3,FALSE),"")</f>
        <v/>
      </c>
      <c r="Z2833" s="45" t="str">
        <f>IFERROR(VLOOKUP(B2833,'Pre-Summary'!$BZ$6:$CB$63,2,FALSE),"")</f>
        <v/>
      </c>
      <c r="AA2833" s="45" t="str">
        <f>IFERROR(VLOOKUP(B2833,'Pre-Summary'!$CG$6:$CI$70,2,FALSE),"")</f>
        <v/>
      </c>
      <c r="AB2833" s="99">
        <f>IFERROR(VLOOKUP(B2833,'Pre-Summary'!$A$6:$P$178,9,FALSE),AB2834)</f>
        <v>0.7010379290946207</v>
      </c>
      <c r="AC2833" s="10">
        <f>IFERROR(VLOOKUP(Summary!B2833,'Pre-Summary'!$A$6:$P$184,5, FALSE)/100,AC2834)</f>
        <v>0.92607166666666674</v>
      </c>
      <c r="AD2833" s="10">
        <f>IFERROR(VLOOKUP(Summary!B2833,'Pre-Summary'!$A$6:$P$184,3, FALSE)/100,AD2834)</f>
        <v>5.4963666666666668E-2</v>
      </c>
      <c r="AE2833" s="10">
        <f>IFERROR(VLOOKUP(Summary!B2833,'Pre-Summary'!$A$6:$P$184,7, FALSE)/100,AE2834)</f>
        <v>1.8946666666666667E-2</v>
      </c>
      <c r="AF2833" s="99">
        <f t="shared" si="133"/>
        <v>3.8531615055447034E-2</v>
      </c>
      <c r="AG2833" s="99">
        <f t="shared" si="134"/>
        <v>1.3282331963246082E-2</v>
      </c>
      <c r="AH2833" s="10" t="str">
        <f>IFERROR(VLOOKUP(B2833,'Pre-Summary'!$AZ$6:$BE$65,3,FALSE),"")</f>
        <v/>
      </c>
      <c r="AI2833" s="10" t="str">
        <f>IFERROR(VLOOKUP(B2833,'Pre-Summary'!$AZ$6:$BE$65,5,FALSE),"")</f>
        <v/>
      </c>
      <c r="AJ2833" s="10" t="str">
        <f>IFERROR(VLOOKUP(B2833,'Pre-Summary'!$AZ$6:$BE$65,4,FALSE),"")</f>
        <v/>
      </c>
      <c r="AK2833" s="10" t="str">
        <f>IFERROR(VLOOKUP(B2833,'Pre-Summary'!$AZ$6:$BE$65,6,FALSE),"")</f>
        <v/>
      </c>
      <c r="AL2833" s="10" t="str">
        <f>IFERROR(VLOOKUP(B2833,'Pre-Summary'!$BG$6:$BL$44,3,FALSE),"")</f>
        <v/>
      </c>
      <c r="AM2833" s="10" t="str">
        <f>IFERROR(VLOOKUP(B2833,'Pre-Summary'!$BG$6:$BL$44,4,FALSE),"")</f>
        <v/>
      </c>
    </row>
    <row r="2834" spans="2:39" ht="15" customHeight="1" x14ac:dyDescent="0.3">
      <c r="B2834">
        <v>283.10000000000002</v>
      </c>
      <c r="C2834" t="str">
        <f>IFERROR(VLOOKUP(B2834,'Pre-Summary'!$DI$6:$DM$23,4,FALSE),"")</f>
        <v>P12</v>
      </c>
      <c r="D2834" s="10" t="str">
        <f>IFERROR(VLOOKUP(B2834,'Pre-Summary'!$AT$6:$AX$14,5,FALSE),D2833)</f>
        <v>Wolfe v3: went back to modified wolfe + EDTA and switched CuSO4 to CUCl2</v>
      </c>
      <c r="E2834" s="10" t="str">
        <f>IFERROR(VLOOKUP(B2834,'Pre-Summary'!$AT$6:$AX$15,4,FALSE),"")</f>
        <v/>
      </c>
      <c r="F2834">
        <f>IFERROR(VLOOKUP(B2834,'Pre-Summary'!$AL$6:$AQ$13,6,FALSE),F2833)</f>
        <v>5.9405263157894746E-2</v>
      </c>
      <c r="G2834" t="str">
        <f>IFERROR(VLOOKUP(B2834,'Pre-Summary'!$AE$6:$AJ$85,3,FALSE),"")</f>
        <v/>
      </c>
      <c r="H2834" t="str">
        <f>IFERROR(VLOOKUP(B2834,'Pre-Summary'!$AE$6:$AJ$85,4,FALSE),"")</f>
        <v/>
      </c>
      <c r="I2834" t="str">
        <f>IFERROR(VLOOKUP(B2834,'Pre-Summary'!$AE$6:$AJ$85,5,FALSE),"")</f>
        <v/>
      </c>
      <c r="J2834" s="45" t="str">
        <f>IFERROR(VLOOKUP(B2834,'Pre-Summary'!$AE$6:$AJ$85,6, FALSE),"")</f>
        <v/>
      </c>
      <c r="K2834" s="45" t="str">
        <f>IFERROR(VLOOKUP(B2834,'Pre-Summary'!$DE$6:$DG$61,3,FALSE),"")</f>
        <v/>
      </c>
      <c r="L2834" s="45" t="str">
        <f>IFERROR(VLOOKUP(B2834,'Pre-Summary'!$CU$6:$CW$36,3,FALSE),"")</f>
        <v/>
      </c>
      <c r="M2834" s="45" t="str">
        <f>IFERROR(VLOOKUP(B2834,'Pre-Summary'!$BW$6:$BY$58,2,FALSE),"")</f>
        <v/>
      </c>
      <c r="N2834" s="45" t="str">
        <f>IFERROR(VLOOKUP(B2834,'Pre-Summary'!$CD$6:$CF$64,2,FALSE),"")</f>
        <v/>
      </c>
      <c r="O2834" s="99">
        <f>IFERROR(VLOOKUP(B2834,'Pre-Summary'!$BO$6:$BQ$48,3, FALSE),O2833)</f>
        <v>2.7749999999999999</v>
      </c>
      <c r="P2834" s="99">
        <f>IFERROR(VLOOKUP(B2834,'Pre-Summary'!$BS$6:$BU$35,3,FALSE),P2833)</f>
        <v>0.70099999999999996</v>
      </c>
      <c r="Q2834" s="54">
        <f t="shared" si="132"/>
        <v>3.9586305278174039</v>
      </c>
      <c r="R2834" s="53">
        <f>IFERROR(VLOOKUP(B2834,'Pre-Summary'!$BG$6:$BM$44,7,FALSE),R2835)</f>
        <v>9.7082714118749885E-2</v>
      </c>
      <c r="S2834" s="53">
        <f>IFERROR(VLOOKUP(B2834,'Pre-Summary'!$BG$6:$BM$44,6,FALSE),S2835)</f>
        <v>8.6132390492961911E-2</v>
      </c>
      <c r="T2834" s="45" t="str">
        <f>IFERROR(VLOOKUP(B2834,'Pre-Summary'!$Y$6:$AC$83, 3,FALSE),"")</f>
        <v/>
      </c>
      <c r="U2834" s="45" t="str">
        <f>IFERROR(VLOOKUP(B2834,'Pre-Summary'!$Y$6:$AC$83, 4,FALSE),"")</f>
        <v/>
      </c>
      <c r="V2834" t="str">
        <f>IFERROR(VLOOKUP(B2834,'Pre-Summary'!$Y$6:$AC$83, 5,FALSE),"")</f>
        <v/>
      </c>
      <c r="W2834" s="45" t="str">
        <f>IFERROR(VLOOKUP(B2834,'Pre-Summary'!$Y$6:$AD$83,6,FALSE),"")</f>
        <v/>
      </c>
      <c r="X2834" t="str">
        <f>IFERROR(VLOOKUP('Pre-Summary'!$DB$6:$DD$63,3,FALSE),"")</f>
        <v/>
      </c>
      <c r="Y2834" t="str">
        <f>IFERROR(VLOOKUP(B2834,'Pre-Summary'!$CR$6:$CT$36,3,FALSE),"")</f>
        <v/>
      </c>
      <c r="Z2834" s="45" t="str">
        <f>IFERROR(VLOOKUP(B2834,'Pre-Summary'!$BZ$6:$CB$63,2,FALSE),"")</f>
        <v/>
      </c>
      <c r="AA2834" s="45" t="str">
        <f>IFERROR(VLOOKUP(B2834,'Pre-Summary'!$CG$6:$CI$70,2,FALSE),"")</f>
        <v/>
      </c>
      <c r="AB2834" s="99">
        <f>IFERROR(VLOOKUP(B2834,'Pre-Summary'!$A$6:$P$178,9,FALSE),AB2835)</f>
        <v>0.7010379290946207</v>
      </c>
      <c r="AC2834" s="10">
        <f>IFERROR(VLOOKUP(Summary!B2834,'Pre-Summary'!$A$6:$P$184,5, FALSE)/100,AC2835)</f>
        <v>0.92607166666666674</v>
      </c>
      <c r="AD2834" s="10">
        <f>IFERROR(VLOOKUP(Summary!B2834,'Pre-Summary'!$A$6:$P$184,3, FALSE)/100,AD2835)</f>
        <v>5.4963666666666668E-2</v>
      </c>
      <c r="AE2834" s="10">
        <f>IFERROR(VLOOKUP(Summary!B2834,'Pre-Summary'!$A$6:$P$184,7, FALSE)/100,AE2835)</f>
        <v>1.8946666666666667E-2</v>
      </c>
      <c r="AF2834" s="99">
        <f t="shared" si="133"/>
        <v>3.8531615055447034E-2</v>
      </c>
      <c r="AG2834" s="99">
        <f t="shared" si="134"/>
        <v>1.3282331963246082E-2</v>
      </c>
      <c r="AH2834" s="10" t="str">
        <f>IFERROR(VLOOKUP(B2834,'Pre-Summary'!$AZ$6:$BE$65,3,FALSE),"")</f>
        <v/>
      </c>
      <c r="AI2834" s="10" t="str">
        <f>IFERROR(VLOOKUP(B2834,'Pre-Summary'!$AZ$6:$BE$65,5,FALSE),"")</f>
        <v/>
      </c>
      <c r="AJ2834" s="10" t="str">
        <f>IFERROR(VLOOKUP(B2834,'Pre-Summary'!$AZ$6:$BE$65,4,FALSE),"")</f>
        <v/>
      </c>
      <c r="AK2834" s="10" t="str">
        <f>IFERROR(VLOOKUP(B2834,'Pre-Summary'!$AZ$6:$BE$65,6,FALSE),"")</f>
        <v/>
      </c>
      <c r="AL2834" s="10" t="str">
        <f>IFERROR(VLOOKUP(B2834,'Pre-Summary'!$BG$6:$BL$44,3,FALSE),"")</f>
        <v/>
      </c>
      <c r="AM2834" s="10" t="str">
        <f>IFERROR(VLOOKUP(B2834,'Pre-Summary'!$BG$6:$BL$44,4,FALSE),"")</f>
        <v/>
      </c>
    </row>
    <row r="2835" spans="2:39" ht="15" customHeight="1" x14ac:dyDescent="0.3">
      <c r="B2835">
        <v>283.2</v>
      </c>
      <c r="C2835" t="str">
        <f>IFERROR(VLOOKUP(B2835,'Pre-Summary'!$DI$6:$DM$23,4,FALSE),"")</f>
        <v/>
      </c>
      <c r="D2835" s="10" t="str">
        <f>IFERROR(VLOOKUP(B2835,'Pre-Summary'!$AT$6:$AX$14,5,FALSE),D2834)</f>
        <v>Wolfe v3: went back to modified wolfe + EDTA and switched CuSO4 to CUCl2</v>
      </c>
      <c r="E2835" s="10" t="str">
        <f>IFERROR(VLOOKUP(B2835,'Pre-Summary'!$AT$6:$AX$15,4,FALSE),"")</f>
        <v/>
      </c>
      <c r="F2835">
        <f>IFERROR(VLOOKUP(B2835,'Pre-Summary'!$AL$6:$AQ$13,6,FALSE),F2834)</f>
        <v>5.9405263157894746E-2</v>
      </c>
      <c r="G2835" t="str">
        <f>IFERROR(VLOOKUP(B2835,'Pre-Summary'!$AE$6:$AJ$85,3,FALSE),"")</f>
        <v/>
      </c>
      <c r="H2835" t="str">
        <f>IFERROR(VLOOKUP(B2835,'Pre-Summary'!$AE$6:$AJ$85,4,FALSE),"")</f>
        <v/>
      </c>
      <c r="I2835" t="str">
        <f>IFERROR(VLOOKUP(B2835,'Pre-Summary'!$AE$6:$AJ$85,5,FALSE),"")</f>
        <v/>
      </c>
      <c r="J2835" s="45" t="str">
        <f>IFERROR(VLOOKUP(B2835,'Pre-Summary'!$AE$6:$AJ$85,6, FALSE),"")</f>
        <v/>
      </c>
      <c r="K2835" s="45" t="str">
        <f>IFERROR(VLOOKUP(B2835,'Pre-Summary'!$DE$6:$DG$61,3,FALSE),"")</f>
        <v/>
      </c>
      <c r="L2835" s="45" t="str">
        <f>IFERROR(VLOOKUP(B2835,'Pre-Summary'!$CU$6:$CW$36,3,FALSE),"")</f>
        <v/>
      </c>
      <c r="M2835" s="45" t="str">
        <f>IFERROR(VLOOKUP(B2835,'Pre-Summary'!$BW$6:$BY$58,2,FALSE),"")</f>
        <v/>
      </c>
      <c r="N2835" s="45" t="str">
        <f>IFERROR(VLOOKUP(B2835,'Pre-Summary'!$CD$6:$CF$64,2,FALSE),"")</f>
        <v/>
      </c>
      <c r="O2835" s="99">
        <f>IFERROR(VLOOKUP(B2835,'Pre-Summary'!$BO$6:$BQ$48,3, FALSE),O2834)</f>
        <v>2.7749999999999999</v>
      </c>
      <c r="P2835" s="99">
        <f>IFERROR(VLOOKUP(B2835,'Pre-Summary'!$BS$6:$BU$35,3,FALSE),P2834)</f>
        <v>0.70099999999999996</v>
      </c>
      <c r="Q2835" s="54">
        <f t="shared" si="132"/>
        <v>3.9586305278174039</v>
      </c>
      <c r="R2835" s="53">
        <f>IFERROR(VLOOKUP(B2835,'Pre-Summary'!$BG$6:$BM$44,7,FALSE),R2836)</f>
        <v>9.7082714118749885E-2</v>
      </c>
      <c r="S2835" s="53">
        <f>IFERROR(VLOOKUP(B2835,'Pre-Summary'!$BG$6:$BM$44,6,FALSE),S2836)</f>
        <v>8.6132390492961911E-2</v>
      </c>
      <c r="T2835" s="45" t="str">
        <f>IFERROR(VLOOKUP(B2835,'Pre-Summary'!$Y$6:$AC$83, 3,FALSE),"")</f>
        <v/>
      </c>
      <c r="U2835" s="45" t="str">
        <f>IFERROR(VLOOKUP(B2835,'Pre-Summary'!$Y$6:$AC$83, 4,FALSE),"")</f>
        <v/>
      </c>
      <c r="V2835" t="str">
        <f>IFERROR(VLOOKUP(B2835,'Pre-Summary'!$Y$6:$AC$83, 5,FALSE),"")</f>
        <v/>
      </c>
      <c r="W2835" s="45" t="str">
        <f>IFERROR(VLOOKUP(B2835,'Pre-Summary'!$Y$6:$AD$83,6,FALSE),"")</f>
        <v/>
      </c>
      <c r="X2835" t="str">
        <f>IFERROR(VLOOKUP('Pre-Summary'!$DB$6:$DD$63,3,FALSE),"")</f>
        <v/>
      </c>
      <c r="Y2835" t="str">
        <f>IFERROR(VLOOKUP(B2835,'Pre-Summary'!$CR$6:$CT$36,3,FALSE),"")</f>
        <v/>
      </c>
      <c r="Z2835" s="45" t="str">
        <f>IFERROR(VLOOKUP(B2835,'Pre-Summary'!$BZ$6:$CB$63,2,FALSE),"")</f>
        <v/>
      </c>
      <c r="AA2835" s="45" t="str">
        <f>IFERROR(VLOOKUP(B2835,'Pre-Summary'!$CG$6:$CI$70,2,FALSE),"")</f>
        <v/>
      </c>
      <c r="AB2835" s="99">
        <f>IFERROR(VLOOKUP(B2835,'Pre-Summary'!$A$6:$P$178,9,FALSE),AB2836)</f>
        <v>0.7010379290946207</v>
      </c>
      <c r="AC2835" s="10">
        <f>IFERROR(VLOOKUP(Summary!B2835,'Pre-Summary'!$A$6:$P$184,5, FALSE)/100,AC2836)</f>
        <v>0.92607166666666674</v>
      </c>
      <c r="AD2835" s="10">
        <f>IFERROR(VLOOKUP(Summary!B2835,'Pre-Summary'!$A$6:$P$184,3, FALSE)/100,AD2836)</f>
        <v>5.4963666666666668E-2</v>
      </c>
      <c r="AE2835" s="10">
        <f>IFERROR(VLOOKUP(Summary!B2835,'Pre-Summary'!$A$6:$P$184,7, FALSE)/100,AE2836)</f>
        <v>1.8946666666666667E-2</v>
      </c>
      <c r="AF2835" s="99">
        <f t="shared" si="133"/>
        <v>3.8531615055447034E-2</v>
      </c>
      <c r="AG2835" s="99">
        <f t="shared" si="134"/>
        <v>1.3282331963246082E-2</v>
      </c>
      <c r="AH2835" s="10" t="str">
        <f>IFERROR(VLOOKUP(B2835,'Pre-Summary'!$AZ$6:$BE$65,3,FALSE),"")</f>
        <v/>
      </c>
      <c r="AI2835" s="10" t="str">
        <f>IFERROR(VLOOKUP(B2835,'Pre-Summary'!$AZ$6:$BE$65,5,FALSE),"")</f>
        <v/>
      </c>
      <c r="AJ2835" s="10" t="str">
        <f>IFERROR(VLOOKUP(B2835,'Pre-Summary'!$AZ$6:$BE$65,4,FALSE),"")</f>
        <v/>
      </c>
      <c r="AK2835" s="10" t="str">
        <f>IFERROR(VLOOKUP(B2835,'Pre-Summary'!$AZ$6:$BE$65,6,FALSE),"")</f>
        <v/>
      </c>
      <c r="AL2835" s="10" t="str">
        <f>IFERROR(VLOOKUP(B2835,'Pre-Summary'!$BG$6:$BL$44,3,FALSE),"")</f>
        <v/>
      </c>
      <c r="AM2835" s="10" t="str">
        <f>IFERROR(VLOOKUP(B2835,'Pre-Summary'!$BG$6:$BL$44,4,FALSE),"")</f>
        <v/>
      </c>
    </row>
    <row r="2836" spans="2:39" ht="15" customHeight="1" x14ac:dyDescent="0.3">
      <c r="B2836">
        <v>283.3</v>
      </c>
      <c r="C2836" t="str">
        <f>IFERROR(VLOOKUP(B2836,'Pre-Summary'!$DI$6:$DM$23,4,FALSE),"")</f>
        <v/>
      </c>
      <c r="D2836" s="10" t="str">
        <f>IFERROR(VLOOKUP(B2836,'Pre-Summary'!$AT$6:$AX$14,5,FALSE),D2835)</f>
        <v>Wolfe v3: went back to modified wolfe + EDTA and switched CuSO4 to CUCl2</v>
      </c>
      <c r="E2836" s="10" t="str">
        <f>IFERROR(VLOOKUP(B2836,'Pre-Summary'!$AT$6:$AX$15,4,FALSE),"")</f>
        <v/>
      </c>
      <c r="F2836">
        <f>IFERROR(VLOOKUP(B2836,'Pre-Summary'!$AL$6:$AQ$13,6,FALSE),F2835)</f>
        <v>5.9405263157894746E-2</v>
      </c>
      <c r="G2836" t="str">
        <f>IFERROR(VLOOKUP(B2836,'Pre-Summary'!$AE$6:$AJ$85,3,FALSE),"")</f>
        <v/>
      </c>
      <c r="H2836" t="str">
        <f>IFERROR(VLOOKUP(B2836,'Pre-Summary'!$AE$6:$AJ$85,4,FALSE),"")</f>
        <v/>
      </c>
      <c r="I2836" t="str">
        <f>IFERROR(VLOOKUP(B2836,'Pre-Summary'!$AE$6:$AJ$85,5,FALSE),"")</f>
        <v/>
      </c>
      <c r="J2836" s="45" t="str">
        <f>IFERROR(VLOOKUP(B2836,'Pre-Summary'!$AE$6:$AJ$85,6, FALSE),"")</f>
        <v/>
      </c>
      <c r="K2836" s="45" t="str">
        <f>IFERROR(VLOOKUP(B2836,'Pre-Summary'!$DE$6:$DG$61,3,FALSE),"")</f>
        <v/>
      </c>
      <c r="L2836" s="45" t="str">
        <f>IFERROR(VLOOKUP(B2836,'Pre-Summary'!$CU$6:$CW$36,3,FALSE),"")</f>
        <v/>
      </c>
      <c r="M2836" s="45" t="str">
        <f>IFERROR(VLOOKUP(B2836,'Pre-Summary'!$BW$6:$BY$58,2,FALSE),"")</f>
        <v/>
      </c>
      <c r="N2836" s="45" t="str">
        <f>IFERROR(VLOOKUP(B2836,'Pre-Summary'!$CD$6:$CF$64,2,FALSE),"")</f>
        <v/>
      </c>
      <c r="O2836" s="99">
        <f>IFERROR(VLOOKUP(B2836,'Pre-Summary'!$BO$6:$BQ$48,3, FALSE),O2835)</f>
        <v>2.7749999999999999</v>
      </c>
      <c r="P2836" s="99">
        <f>IFERROR(VLOOKUP(B2836,'Pre-Summary'!$BS$6:$BU$35,3,FALSE),P2835)</f>
        <v>0.70099999999999996</v>
      </c>
      <c r="Q2836" s="54">
        <f t="shared" si="132"/>
        <v>3.9586305278174039</v>
      </c>
      <c r="R2836" s="53">
        <f>IFERROR(VLOOKUP(B2836,'Pre-Summary'!$BG$6:$BM$44,7,FALSE),R2837)</f>
        <v>9.7082714118749885E-2</v>
      </c>
      <c r="S2836" s="53">
        <f>IFERROR(VLOOKUP(B2836,'Pre-Summary'!$BG$6:$BM$44,6,FALSE),S2837)</f>
        <v>8.6132390492961911E-2</v>
      </c>
      <c r="T2836" s="45" t="str">
        <f>IFERROR(VLOOKUP(B2836,'Pre-Summary'!$Y$6:$AC$83, 3,FALSE),"")</f>
        <v/>
      </c>
      <c r="U2836" s="45" t="str">
        <f>IFERROR(VLOOKUP(B2836,'Pre-Summary'!$Y$6:$AC$83, 4,FALSE),"")</f>
        <v/>
      </c>
      <c r="V2836" t="str">
        <f>IFERROR(VLOOKUP(B2836,'Pre-Summary'!$Y$6:$AC$83, 5,FALSE),"")</f>
        <v/>
      </c>
      <c r="W2836" s="45" t="str">
        <f>IFERROR(VLOOKUP(B2836,'Pre-Summary'!$Y$6:$AD$83,6,FALSE),"")</f>
        <v/>
      </c>
      <c r="X2836" t="str">
        <f>IFERROR(VLOOKUP('Pre-Summary'!$DB$6:$DD$63,3,FALSE),"")</f>
        <v/>
      </c>
      <c r="Y2836" t="str">
        <f>IFERROR(VLOOKUP(B2836,'Pre-Summary'!$CR$6:$CT$36,3,FALSE),"")</f>
        <v/>
      </c>
      <c r="Z2836" s="45" t="str">
        <f>IFERROR(VLOOKUP(B2836,'Pre-Summary'!$BZ$6:$CB$63,2,FALSE),"")</f>
        <v/>
      </c>
      <c r="AA2836" s="45" t="str">
        <f>IFERROR(VLOOKUP(B2836,'Pre-Summary'!$CG$6:$CI$70,2,FALSE),"")</f>
        <v/>
      </c>
      <c r="AB2836" s="99">
        <f>IFERROR(VLOOKUP(B2836,'Pre-Summary'!$A$6:$P$178,9,FALSE),AB2837)</f>
        <v>0.7010379290946207</v>
      </c>
      <c r="AC2836" s="10">
        <f>IFERROR(VLOOKUP(Summary!B2836,'Pre-Summary'!$A$6:$P$184,5, FALSE)/100,AC2837)</f>
        <v>0.92607166666666674</v>
      </c>
      <c r="AD2836" s="10">
        <f>IFERROR(VLOOKUP(Summary!B2836,'Pre-Summary'!$A$6:$P$184,3, FALSE)/100,AD2837)</f>
        <v>5.4963666666666668E-2</v>
      </c>
      <c r="AE2836" s="10">
        <f>IFERROR(VLOOKUP(Summary!B2836,'Pre-Summary'!$A$6:$P$184,7, FALSE)/100,AE2837)</f>
        <v>1.8946666666666667E-2</v>
      </c>
      <c r="AF2836" s="99">
        <f t="shared" si="133"/>
        <v>3.8531615055447034E-2</v>
      </c>
      <c r="AG2836" s="99">
        <f t="shared" si="134"/>
        <v>1.3282331963246082E-2</v>
      </c>
      <c r="AH2836" s="10" t="str">
        <f>IFERROR(VLOOKUP(B2836,'Pre-Summary'!$AZ$6:$BE$65,3,FALSE),"")</f>
        <v/>
      </c>
      <c r="AI2836" s="10" t="str">
        <f>IFERROR(VLOOKUP(B2836,'Pre-Summary'!$AZ$6:$BE$65,5,FALSE),"")</f>
        <v/>
      </c>
      <c r="AJ2836" s="10" t="str">
        <f>IFERROR(VLOOKUP(B2836,'Pre-Summary'!$AZ$6:$BE$65,4,FALSE),"")</f>
        <v/>
      </c>
      <c r="AK2836" s="10" t="str">
        <f>IFERROR(VLOOKUP(B2836,'Pre-Summary'!$AZ$6:$BE$65,6,FALSE),"")</f>
        <v/>
      </c>
      <c r="AL2836" s="10" t="str">
        <f>IFERROR(VLOOKUP(B2836,'Pre-Summary'!$BG$6:$BL$44,3,FALSE),"")</f>
        <v/>
      </c>
      <c r="AM2836" s="10" t="str">
        <f>IFERROR(VLOOKUP(B2836,'Pre-Summary'!$BG$6:$BL$44,4,FALSE),"")</f>
        <v/>
      </c>
    </row>
    <row r="2837" spans="2:39" ht="15" customHeight="1" x14ac:dyDescent="0.3">
      <c r="B2837">
        <v>283.39999999999998</v>
      </c>
      <c r="C2837" t="str">
        <f>IFERROR(VLOOKUP(B2837,'Pre-Summary'!$DI$6:$DM$23,4,FALSE),"")</f>
        <v/>
      </c>
      <c r="D2837" s="10" t="str">
        <f>IFERROR(VLOOKUP(B2837,'Pre-Summary'!$AT$6:$AX$14,5,FALSE),D2836)</f>
        <v>Wolfe v3: went back to modified wolfe + EDTA and switched CuSO4 to CUCl2</v>
      </c>
      <c r="E2837" s="10" t="str">
        <f>IFERROR(VLOOKUP(B2837,'Pre-Summary'!$AT$6:$AX$15,4,FALSE),"")</f>
        <v/>
      </c>
      <c r="F2837">
        <f>IFERROR(VLOOKUP(B2837,'Pre-Summary'!$AL$6:$AQ$13,6,FALSE),F2836)</f>
        <v>5.9405263157894746E-2</v>
      </c>
      <c r="G2837" t="str">
        <f>IFERROR(VLOOKUP(B2837,'Pre-Summary'!$AE$6:$AJ$85,3,FALSE),"")</f>
        <v/>
      </c>
      <c r="H2837" t="str">
        <f>IFERROR(VLOOKUP(B2837,'Pre-Summary'!$AE$6:$AJ$85,4,FALSE),"")</f>
        <v/>
      </c>
      <c r="I2837" t="str">
        <f>IFERROR(VLOOKUP(B2837,'Pre-Summary'!$AE$6:$AJ$85,5,FALSE),"")</f>
        <v/>
      </c>
      <c r="J2837" s="45" t="str">
        <f>IFERROR(VLOOKUP(B2837,'Pre-Summary'!$AE$6:$AJ$85,6, FALSE),"")</f>
        <v/>
      </c>
      <c r="K2837" s="45" t="str">
        <f>IFERROR(VLOOKUP(B2837,'Pre-Summary'!$DE$6:$DG$61,3,FALSE),"")</f>
        <v/>
      </c>
      <c r="L2837" s="45" t="str">
        <f>IFERROR(VLOOKUP(B2837,'Pre-Summary'!$CU$6:$CW$36,3,FALSE),"")</f>
        <v/>
      </c>
      <c r="M2837" s="45" t="str">
        <f>IFERROR(VLOOKUP(B2837,'Pre-Summary'!$BW$6:$BY$58,2,FALSE),"")</f>
        <v/>
      </c>
      <c r="N2837" s="45" t="str">
        <f>IFERROR(VLOOKUP(B2837,'Pre-Summary'!$CD$6:$CF$64,2,FALSE),"")</f>
        <v/>
      </c>
      <c r="O2837" s="99">
        <f>IFERROR(VLOOKUP(B2837,'Pre-Summary'!$BO$6:$BQ$48,3, FALSE),O2836)</f>
        <v>2.7749999999999999</v>
      </c>
      <c r="P2837" s="99">
        <f>IFERROR(VLOOKUP(B2837,'Pre-Summary'!$BS$6:$BU$35,3,FALSE),P2836)</f>
        <v>0.70099999999999996</v>
      </c>
      <c r="Q2837" s="54">
        <f t="shared" si="132"/>
        <v>3.9586305278174039</v>
      </c>
      <c r="R2837" s="53">
        <f>IFERROR(VLOOKUP(B2837,'Pre-Summary'!$BG$6:$BM$44,7,FALSE),R2838)</f>
        <v>9.7082714118749885E-2</v>
      </c>
      <c r="S2837" s="53">
        <f>IFERROR(VLOOKUP(B2837,'Pre-Summary'!$BG$6:$BM$44,6,FALSE),S2838)</f>
        <v>8.6132390492961911E-2</v>
      </c>
      <c r="T2837" s="45" t="str">
        <f>IFERROR(VLOOKUP(B2837,'Pre-Summary'!$Y$6:$AC$83, 3,FALSE),"")</f>
        <v/>
      </c>
      <c r="U2837" s="45" t="str">
        <f>IFERROR(VLOOKUP(B2837,'Pre-Summary'!$Y$6:$AC$83, 4,FALSE),"")</f>
        <v/>
      </c>
      <c r="V2837" t="str">
        <f>IFERROR(VLOOKUP(B2837,'Pre-Summary'!$Y$6:$AC$83, 5,FALSE),"")</f>
        <v/>
      </c>
      <c r="W2837" s="45" t="str">
        <f>IFERROR(VLOOKUP(B2837,'Pre-Summary'!$Y$6:$AD$83,6,FALSE),"")</f>
        <v/>
      </c>
      <c r="X2837" t="str">
        <f>IFERROR(VLOOKUP('Pre-Summary'!$DB$6:$DD$63,3,FALSE),"")</f>
        <v/>
      </c>
      <c r="Y2837" t="str">
        <f>IFERROR(VLOOKUP(B2837,'Pre-Summary'!$CR$6:$CT$36,3,FALSE),"")</f>
        <v/>
      </c>
      <c r="Z2837" s="45" t="str">
        <f>IFERROR(VLOOKUP(B2837,'Pre-Summary'!$BZ$6:$CB$63,2,FALSE),"")</f>
        <v/>
      </c>
      <c r="AA2837" s="45" t="str">
        <f>IFERROR(VLOOKUP(B2837,'Pre-Summary'!$CG$6:$CI$70,2,FALSE),"")</f>
        <v/>
      </c>
      <c r="AB2837" s="99">
        <f>IFERROR(VLOOKUP(B2837,'Pre-Summary'!$A$6:$P$178,9,FALSE),AB2838)</f>
        <v>0.7010379290946207</v>
      </c>
      <c r="AC2837" s="10">
        <f>IFERROR(VLOOKUP(Summary!B2837,'Pre-Summary'!$A$6:$P$184,5, FALSE)/100,AC2838)</f>
        <v>0.92607166666666674</v>
      </c>
      <c r="AD2837" s="10">
        <f>IFERROR(VLOOKUP(Summary!B2837,'Pre-Summary'!$A$6:$P$184,3, FALSE)/100,AD2838)</f>
        <v>5.4963666666666668E-2</v>
      </c>
      <c r="AE2837" s="10">
        <f>IFERROR(VLOOKUP(Summary!B2837,'Pre-Summary'!$A$6:$P$184,7, FALSE)/100,AE2838)</f>
        <v>1.8946666666666667E-2</v>
      </c>
      <c r="AF2837" s="99">
        <f t="shared" si="133"/>
        <v>3.8531615055447034E-2</v>
      </c>
      <c r="AG2837" s="99">
        <f t="shared" si="134"/>
        <v>1.3282331963246082E-2</v>
      </c>
      <c r="AH2837" s="10" t="str">
        <f>IFERROR(VLOOKUP(B2837,'Pre-Summary'!$AZ$6:$BE$65,3,FALSE),"")</f>
        <v/>
      </c>
      <c r="AI2837" s="10" t="str">
        <f>IFERROR(VLOOKUP(B2837,'Pre-Summary'!$AZ$6:$BE$65,5,FALSE),"")</f>
        <v/>
      </c>
      <c r="AJ2837" s="10" t="str">
        <f>IFERROR(VLOOKUP(B2837,'Pre-Summary'!$AZ$6:$BE$65,4,FALSE),"")</f>
        <v/>
      </c>
      <c r="AK2837" s="10" t="str">
        <f>IFERROR(VLOOKUP(B2837,'Pre-Summary'!$AZ$6:$BE$65,6,FALSE),"")</f>
        <v/>
      </c>
      <c r="AL2837" s="10" t="str">
        <f>IFERROR(VLOOKUP(B2837,'Pre-Summary'!$BG$6:$BL$44,3,FALSE),"")</f>
        <v/>
      </c>
      <c r="AM2837" s="10" t="str">
        <f>IFERROR(VLOOKUP(B2837,'Pre-Summary'!$BG$6:$BL$44,4,FALSE),"")</f>
        <v/>
      </c>
    </row>
    <row r="2838" spans="2:39" ht="15" customHeight="1" x14ac:dyDescent="0.3">
      <c r="B2838">
        <v>283.5</v>
      </c>
      <c r="C2838" t="str">
        <f>IFERROR(VLOOKUP(B2838,'Pre-Summary'!$DI$6:$DM$23,4,FALSE),"")</f>
        <v/>
      </c>
      <c r="D2838" s="10" t="str">
        <f>IFERROR(VLOOKUP(B2838,'Pre-Summary'!$AT$6:$AX$14,5,FALSE),D2837)</f>
        <v>Wolfe v3: went back to modified wolfe + EDTA and switched CuSO4 to CUCl2</v>
      </c>
      <c r="E2838" s="10" t="str">
        <f>IFERROR(VLOOKUP(B2838,'Pre-Summary'!$AT$6:$AX$15,4,FALSE),"")</f>
        <v/>
      </c>
      <c r="F2838">
        <f>IFERROR(VLOOKUP(B2838,'Pre-Summary'!$AL$6:$AQ$13,6,FALSE),F2837)</f>
        <v>5.9405263157894746E-2</v>
      </c>
      <c r="G2838" t="str">
        <f>IFERROR(VLOOKUP(B2838,'Pre-Summary'!$AE$6:$AJ$85,3,FALSE),"")</f>
        <v/>
      </c>
      <c r="H2838" t="str">
        <f>IFERROR(VLOOKUP(B2838,'Pre-Summary'!$AE$6:$AJ$85,4,FALSE),"")</f>
        <v/>
      </c>
      <c r="I2838" t="str">
        <f>IFERROR(VLOOKUP(B2838,'Pre-Summary'!$AE$6:$AJ$85,5,FALSE),"")</f>
        <v/>
      </c>
      <c r="J2838" s="45" t="str">
        <f>IFERROR(VLOOKUP(B2838,'Pre-Summary'!$AE$6:$AJ$85,6, FALSE),"")</f>
        <v/>
      </c>
      <c r="K2838" s="45" t="str">
        <f>IFERROR(VLOOKUP(B2838,'Pre-Summary'!$DE$6:$DG$61,3,FALSE),"")</f>
        <v/>
      </c>
      <c r="L2838" s="45" t="str">
        <f>IFERROR(VLOOKUP(B2838,'Pre-Summary'!$CU$6:$CW$36,3,FALSE),"")</f>
        <v/>
      </c>
      <c r="M2838" s="45" t="str">
        <f>IFERROR(VLOOKUP(B2838,'Pre-Summary'!$BW$6:$BY$58,2,FALSE),"")</f>
        <v/>
      </c>
      <c r="N2838" s="45" t="str">
        <f>IFERROR(VLOOKUP(B2838,'Pre-Summary'!$CD$6:$CF$64,2,FALSE),"")</f>
        <v/>
      </c>
      <c r="O2838" s="99">
        <f>IFERROR(VLOOKUP(B2838,'Pre-Summary'!$BO$6:$BQ$48,3, FALSE),O2837)</f>
        <v>2.7749999999999999</v>
      </c>
      <c r="P2838" s="99">
        <f>IFERROR(VLOOKUP(B2838,'Pre-Summary'!$BS$6:$BU$35,3,FALSE),P2837)</f>
        <v>0.70099999999999996</v>
      </c>
      <c r="Q2838" s="54">
        <f t="shared" si="132"/>
        <v>3.9586305278174039</v>
      </c>
      <c r="R2838" s="53">
        <f>IFERROR(VLOOKUP(B2838,'Pre-Summary'!$BG$6:$BM$44,7,FALSE),R2839)</f>
        <v>9.7082714118749885E-2</v>
      </c>
      <c r="S2838" s="53">
        <f>IFERROR(VLOOKUP(B2838,'Pre-Summary'!$BG$6:$BM$44,6,FALSE),S2839)</f>
        <v>8.6132390492961911E-2</v>
      </c>
      <c r="T2838" s="45" t="str">
        <f>IFERROR(VLOOKUP(B2838,'Pre-Summary'!$Y$6:$AC$83, 3,FALSE),"")</f>
        <v/>
      </c>
      <c r="U2838" s="45" t="str">
        <f>IFERROR(VLOOKUP(B2838,'Pre-Summary'!$Y$6:$AC$83, 4,FALSE),"")</f>
        <v/>
      </c>
      <c r="V2838" t="str">
        <f>IFERROR(VLOOKUP(B2838,'Pre-Summary'!$Y$6:$AC$83, 5,FALSE),"")</f>
        <v/>
      </c>
      <c r="W2838" s="45" t="str">
        <f>IFERROR(VLOOKUP(B2838,'Pre-Summary'!$Y$6:$AD$83,6,FALSE),"")</f>
        <v/>
      </c>
      <c r="X2838" t="str">
        <f>IFERROR(VLOOKUP('Pre-Summary'!$DB$6:$DD$63,3,FALSE),"")</f>
        <v/>
      </c>
      <c r="Y2838" t="str">
        <f>IFERROR(VLOOKUP(B2838,'Pre-Summary'!$CR$6:$CT$36,3,FALSE),"")</f>
        <v/>
      </c>
      <c r="Z2838" s="45" t="str">
        <f>IFERROR(VLOOKUP(B2838,'Pre-Summary'!$BZ$6:$CB$63,2,FALSE),"")</f>
        <v/>
      </c>
      <c r="AA2838" s="45" t="str">
        <f>IFERROR(VLOOKUP(B2838,'Pre-Summary'!$CG$6:$CI$70,2,FALSE),"")</f>
        <v/>
      </c>
      <c r="AB2838" s="99">
        <f>IFERROR(VLOOKUP(B2838,'Pre-Summary'!$A$6:$P$178,9,FALSE),AB2839)</f>
        <v>0.7010379290946207</v>
      </c>
      <c r="AC2838" s="10">
        <f>IFERROR(VLOOKUP(Summary!B2838,'Pre-Summary'!$A$6:$P$184,5, FALSE)/100,AC2839)</f>
        <v>0.92607166666666674</v>
      </c>
      <c r="AD2838" s="10">
        <f>IFERROR(VLOOKUP(Summary!B2838,'Pre-Summary'!$A$6:$P$184,3, FALSE)/100,AD2839)</f>
        <v>5.4963666666666668E-2</v>
      </c>
      <c r="AE2838" s="10">
        <f>IFERROR(VLOOKUP(Summary!B2838,'Pre-Summary'!$A$6:$P$184,7, FALSE)/100,AE2839)</f>
        <v>1.8946666666666667E-2</v>
      </c>
      <c r="AF2838" s="99">
        <f t="shared" si="133"/>
        <v>3.8531615055447034E-2</v>
      </c>
      <c r="AG2838" s="99">
        <f t="shared" si="134"/>
        <v>1.3282331963246082E-2</v>
      </c>
      <c r="AH2838" s="10" t="str">
        <f>IFERROR(VLOOKUP(B2838,'Pre-Summary'!$AZ$6:$BE$65,3,FALSE),"")</f>
        <v/>
      </c>
      <c r="AI2838" s="10" t="str">
        <f>IFERROR(VLOOKUP(B2838,'Pre-Summary'!$AZ$6:$BE$65,5,FALSE),"")</f>
        <v/>
      </c>
      <c r="AJ2838" s="10" t="str">
        <f>IFERROR(VLOOKUP(B2838,'Pre-Summary'!$AZ$6:$BE$65,4,FALSE),"")</f>
        <v/>
      </c>
      <c r="AK2838" s="10" t="str">
        <f>IFERROR(VLOOKUP(B2838,'Pre-Summary'!$AZ$6:$BE$65,6,FALSE),"")</f>
        <v/>
      </c>
      <c r="AL2838" s="10" t="str">
        <f>IFERROR(VLOOKUP(B2838,'Pre-Summary'!$BG$6:$BL$44,3,FALSE),"")</f>
        <v/>
      </c>
      <c r="AM2838" s="10" t="str">
        <f>IFERROR(VLOOKUP(B2838,'Pre-Summary'!$BG$6:$BL$44,4,FALSE),"")</f>
        <v/>
      </c>
    </row>
    <row r="2839" spans="2:39" ht="15" customHeight="1" x14ac:dyDescent="0.3">
      <c r="B2839">
        <v>283.60000000000002</v>
      </c>
      <c r="C2839" t="str">
        <f>IFERROR(VLOOKUP(B2839,'Pre-Summary'!$DI$6:$DM$23,4,FALSE),"")</f>
        <v/>
      </c>
      <c r="D2839" s="10" t="str">
        <f>IFERROR(VLOOKUP(B2839,'Pre-Summary'!$AT$6:$AX$14,5,FALSE),D2838)</f>
        <v>Wolfe v3: went back to modified wolfe + EDTA and switched CuSO4 to CUCl2</v>
      </c>
      <c r="E2839" s="10" t="str">
        <f>IFERROR(VLOOKUP(B2839,'Pre-Summary'!$AT$6:$AX$15,4,FALSE),"")</f>
        <v/>
      </c>
      <c r="F2839">
        <f>IFERROR(VLOOKUP(B2839,'Pre-Summary'!$AL$6:$AQ$13,6,FALSE),F2838)</f>
        <v>5.9405263157894746E-2</v>
      </c>
      <c r="G2839" t="str">
        <f>IFERROR(VLOOKUP(B2839,'Pre-Summary'!$AE$6:$AJ$85,3,FALSE),"")</f>
        <v/>
      </c>
      <c r="H2839" t="str">
        <f>IFERROR(VLOOKUP(B2839,'Pre-Summary'!$AE$6:$AJ$85,4,FALSE),"")</f>
        <v/>
      </c>
      <c r="I2839" t="str">
        <f>IFERROR(VLOOKUP(B2839,'Pre-Summary'!$AE$6:$AJ$85,5,FALSE),"")</f>
        <v/>
      </c>
      <c r="J2839" s="45" t="str">
        <f>IFERROR(VLOOKUP(B2839,'Pre-Summary'!$AE$6:$AJ$85,6, FALSE),"")</f>
        <v/>
      </c>
      <c r="K2839" s="45" t="str">
        <f>IFERROR(VLOOKUP(B2839,'Pre-Summary'!$DE$6:$DG$61,3,FALSE),"")</f>
        <v/>
      </c>
      <c r="L2839" s="45" t="str">
        <f>IFERROR(VLOOKUP(B2839,'Pre-Summary'!$CU$6:$CW$36,3,FALSE),"")</f>
        <v/>
      </c>
      <c r="M2839" s="45" t="str">
        <f>IFERROR(VLOOKUP(B2839,'Pre-Summary'!$BW$6:$BY$58,2,FALSE),"")</f>
        <v/>
      </c>
      <c r="N2839" s="45" t="str">
        <f>IFERROR(VLOOKUP(B2839,'Pre-Summary'!$CD$6:$CF$64,2,FALSE),"")</f>
        <v/>
      </c>
      <c r="O2839" s="99">
        <f>IFERROR(VLOOKUP(B2839,'Pre-Summary'!$BO$6:$BQ$48,3, FALSE),O2838)</f>
        <v>2.7749999999999999</v>
      </c>
      <c r="P2839" s="99">
        <f>IFERROR(VLOOKUP(B2839,'Pre-Summary'!$BS$6:$BU$35,3,FALSE),P2838)</f>
        <v>0.70099999999999996</v>
      </c>
      <c r="Q2839" s="54">
        <f t="shared" si="132"/>
        <v>3.9586305278174039</v>
      </c>
      <c r="R2839" s="53">
        <f>IFERROR(VLOOKUP(B2839,'Pre-Summary'!$BG$6:$BM$44,7,FALSE),R2840)</f>
        <v>9.7082714118749885E-2</v>
      </c>
      <c r="S2839" s="53">
        <f>IFERROR(VLOOKUP(B2839,'Pre-Summary'!$BG$6:$BM$44,6,FALSE),S2840)</f>
        <v>8.6132390492961911E-2</v>
      </c>
      <c r="T2839" s="45" t="str">
        <f>IFERROR(VLOOKUP(B2839,'Pre-Summary'!$Y$6:$AC$83, 3,FALSE),"")</f>
        <v/>
      </c>
      <c r="U2839" s="45" t="str">
        <f>IFERROR(VLOOKUP(B2839,'Pre-Summary'!$Y$6:$AC$83, 4,FALSE),"")</f>
        <v/>
      </c>
      <c r="V2839" t="str">
        <f>IFERROR(VLOOKUP(B2839,'Pre-Summary'!$Y$6:$AC$83, 5,FALSE),"")</f>
        <v/>
      </c>
      <c r="W2839" s="45" t="str">
        <f>IFERROR(VLOOKUP(B2839,'Pre-Summary'!$Y$6:$AD$83,6,FALSE),"")</f>
        <v/>
      </c>
      <c r="X2839" t="str">
        <f>IFERROR(VLOOKUP('Pre-Summary'!$DB$6:$DD$63,3,FALSE),"")</f>
        <v/>
      </c>
      <c r="Y2839" t="str">
        <f>IFERROR(VLOOKUP(B2839,'Pre-Summary'!$CR$6:$CT$36,3,FALSE),"")</f>
        <v/>
      </c>
      <c r="Z2839" s="45" t="str">
        <f>IFERROR(VLOOKUP(B2839,'Pre-Summary'!$BZ$6:$CB$63,2,FALSE),"")</f>
        <v/>
      </c>
      <c r="AA2839" s="45" t="str">
        <f>IFERROR(VLOOKUP(B2839,'Pre-Summary'!$CG$6:$CI$70,2,FALSE),"")</f>
        <v/>
      </c>
      <c r="AB2839" s="99">
        <f>IFERROR(VLOOKUP(B2839,'Pre-Summary'!$A$6:$P$178,9,FALSE),AB2840)</f>
        <v>0.7010379290946207</v>
      </c>
      <c r="AC2839" s="10">
        <f>IFERROR(VLOOKUP(Summary!B2839,'Pre-Summary'!$A$6:$P$184,5, FALSE)/100,AC2840)</f>
        <v>0.92607166666666674</v>
      </c>
      <c r="AD2839" s="10">
        <f>IFERROR(VLOOKUP(Summary!B2839,'Pre-Summary'!$A$6:$P$184,3, FALSE)/100,AD2840)</f>
        <v>5.4963666666666668E-2</v>
      </c>
      <c r="AE2839" s="10">
        <f>IFERROR(VLOOKUP(Summary!B2839,'Pre-Summary'!$A$6:$P$184,7, FALSE)/100,AE2840)</f>
        <v>1.8946666666666667E-2</v>
      </c>
      <c r="AF2839" s="99">
        <f t="shared" si="133"/>
        <v>3.8531615055447034E-2</v>
      </c>
      <c r="AG2839" s="99">
        <f t="shared" si="134"/>
        <v>1.3282331963246082E-2</v>
      </c>
      <c r="AH2839" s="10" t="str">
        <f>IFERROR(VLOOKUP(B2839,'Pre-Summary'!$AZ$6:$BE$65,3,FALSE),"")</f>
        <v/>
      </c>
      <c r="AI2839" s="10" t="str">
        <f>IFERROR(VLOOKUP(B2839,'Pre-Summary'!$AZ$6:$BE$65,5,FALSE),"")</f>
        <v/>
      </c>
      <c r="AJ2839" s="10" t="str">
        <f>IFERROR(VLOOKUP(B2839,'Pre-Summary'!$AZ$6:$BE$65,4,FALSE),"")</f>
        <v/>
      </c>
      <c r="AK2839" s="10" t="str">
        <f>IFERROR(VLOOKUP(B2839,'Pre-Summary'!$AZ$6:$BE$65,6,FALSE),"")</f>
        <v/>
      </c>
      <c r="AL2839" s="10" t="str">
        <f>IFERROR(VLOOKUP(B2839,'Pre-Summary'!$BG$6:$BL$44,3,FALSE),"")</f>
        <v/>
      </c>
      <c r="AM2839" s="10" t="str">
        <f>IFERROR(VLOOKUP(B2839,'Pre-Summary'!$BG$6:$BL$44,4,FALSE),"")</f>
        <v/>
      </c>
    </row>
    <row r="2840" spans="2:39" ht="15" customHeight="1" x14ac:dyDescent="0.3">
      <c r="B2840">
        <v>283.7</v>
      </c>
      <c r="C2840" t="str">
        <f>IFERROR(VLOOKUP(B2840,'Pre-Summary'!$DI$6:$DM$23,4,FALSE),"")</f>
        <v/>
      </c>
      <c r="D2840" s="10" t="str">
        <f>IFERROR(VLOOKUP(B2840,'Pre-Summary'!$AT$6:$AX$14,5,FALSE),D2839)</f>
        <v>Wolfe v3: went back to modified wolfe + EDTA and switched CuSO4 to CUCl2</v>
      </c>
      <c r="E2840" s="10" t="str">
        <f>IFERROR(VLOOKUP(B2840,'Pre-Summary'!$AT$6:$AX$15,4,FALSE),"")</f>
        <v/>
      </c>
      <c r="F2840">
        <f>IFERROR(VLOOKUP(B2840,'Pre-Summary'!$AL$6:$AQ$13,6,FALSE),F2839)</f>
        <v>5.9405263157894746E-2</v>
      </c>
      <c r="G2840" t="str">
        <f>IFERROR(VLOOKUP(B2840,'Pre-Summary'!$AE$6:$AJ$85,3,FALSE),"")</f>
        <v/>
      </c>
      <c r="H2840" t="str">
        <f>IFERROR(VLOOKUP(B2840,'Pre-Summary'!$AE$6:$AJ$85,4,FALSE),"")</f>
        <v/>
      </c>
      <c r="I2840" t="str">
        <f>IFERROR(VLOOKUP(B2840,'Pre-Summary'!$AE$6:$AJ$85,5,FALSE),"")</f>
        <v/>
      </c>
      <c r="J2840" s="45" t="str">
        <f>IFERROR(VLOOKUP(B2840,'Pre-Summary'!$AE$6:$AJ$85,6, FALSE),"")</f>
        <v/>
      </c>
      <c r="K2840" s="45" t="str">
        <f>IFERROR(VLOOKUP(B2840,'Pre-Summary'!$DE$6:$DG$61,3,FALSE),"")</f>
        <v/>
      </c>
      <c r="L2840" s="45" t="str">
        <f>IFERROR(VLOOKUP(B2840,'Pre-Summary'!$CU$6:$CW$36,3,FALSE),"")</f>
        <v/>
      </c>
      <c r="M2840" s="45" t="str">
        <f>IFERROR(VLOOKUP(B2840,'Pre-Summary'!$BW$6:$BY$58,2,FALSE),"")</f>
        <v/>
      </c>
      <c r="N2840" s="45" t="str">
        <f>IFERROR(VLOOKUP(B2840,'Pre-Summary'!$CD$6:$CF$64,2,FALSE),"")</f>
        <v/>
      </c>
      <c r="O2840" s="99">
        <f>IFERROR(VLOOKUP(B2840,'Pre-Summary'!$BO$6:$BQ$48,3, FALSE),O2839)</f>
        <v>2.7749999999999999</v>
      </c>
      <c r="P2840" s="99">
        <f>IFERROR(VLOOKUP(B2840,'Pre-Summary'!$BS$6:$BU$35,3,FALSE),P2839)</f>
        <v>0.70099999999999996</v>
      </c>
      <c r="Q2840" s="54">
        <f t="shared" si="132"/>
        <v>3.9586305278174039</v>
      </c>
      <c r="R2840" s="53">
        <f>IFERROR(VLOOKUP(B2840,'Pre-Summary'!$BG$6:$BM$44,7,FALSE),R2841)</f>
        <v>9.7082714118749885E-2</v>
      </c>
      <c r="S2840" s="53">
        <f>IFERROR(VLOOKUP(B2840,'Pre-Summary'!$BG$6:$BM$44,6,FALSE),S2841)</f>
        <v>8.6132390492961911E-2</v>
      </c>
      <c r="T2840" s="45" t="str">
        <f>IFERROR(VLOOKUP(B2840,'Pre-Summary'!$Y$6:$AC$83, 3,FALSE),"")</f>
        <v/>
      </c>
      <c r="U2840" s="45" t="str">
        <f>IFERROR(VLOOKUP(B2840,'Pre-Summary'!$Y$6:$AC$83, 4,FALSE),"")</f>
        <v/>
      </c>
      <c r="V2840" t="str">
        <f>IFERROR(VLOOKUP(B2840,'Pre-Summary'!$Y$6:$AC$83, 5,FALSE),"")</f>
        <v/>
      </c>
      <c r="W2840" s="45" t="str">
        <f>IFERROR(VLOOKUP(B2840,'Pre-Summary'!$Y$6:$AD$83,6,FALSE),"")</f>
        <v/>
      </c>
      <c r="X2840" t="str">
        <f>IFERROR(VLOOKUP('Pre-Summary'!$DB$6:$DD$63,3,FALSE),"")</f>
        <v/>
      </c>
      <c r="Y2840" t="str">
        <f>IFERROR(VLOOKUP(B2840,'Pre-Summary'!$CR$6:$CT$36,3,FALSE),"")</f>
        <v/>
      </c>
      <c r="Z2840" s="45" t="str">
        <f>IFERROR(VLOOKUP(B2840,'Pre-Summary'!$BZ$6:$CB$63,2,FALSE),"")</f>
        <v/>
      </c>
      <c r="AA2840" s="45" t="str">
        <f>IFERROR(VLOOKUP(B2840,'Pre-Summary'!$CG$6:$CI$70,2,FALSE),"")</f>
        <v/>
      </c>
      <c r="AB2840" s="99">
        <f>IFERROR(VLOOKUP(B2840,'Pre-Summary'!$A$6:$P$178,9,FALSE),AB2841)</f>
        <v>0.7010379290946207</v>
      </c>
      <c r="AC2840" s="10">
        <f>IFERROR(VLOOKUP(Summary!B2840,'Pre-Summary'!$A$6:$P$184,5, FALSE)/100,AC2841)</f>
        <v>0.92607166666666674</v>
      </c>
      <c r="AD2840" s="10">
        <f>IFERROR(VLOOKUP(Summary!B2840,'Pre-Summary'!$A$6:$P$184,3, FALSE)/100,AD2841)</f>
        <v>5.4963666666666668E-2</v>
      </c>
      <c r="AE2840" s="10">
        <f>IFERROR(VLOOKUP(Summary!B2840,'Pre-Summary'!$A$6:$P$184,7, FALSE)/100,AE2841)</f>
        <v>1.8946666666666667E-2</v>
      </c>
      <c r="AF2840" s="99">
        <f t="shared" si="133"/>
        <v>3.8531615055447034E-2</v>
      </c>
      <c r="AG2840" s="99">
        <f t="shared" si="134"/>
        <v>1.3282331963246082E-2</v>
      </c>
      <c r="AH2840" s="10" t="str">
        <f>IFERROR(VLOOKUP(B2840,'Pre-Summary'!$AZ$6:$BE$65,3,FALSE),"")</f>
        <v/>
      </c>
      <c r="AI2840" s="10" t="str">
        <f>IFERROR(VLOOKUP(B2840,'Pre-Summary'!$AZ$6:$BE$65,5,FALSE),"")</f>
        <v/>
      </c>
      <c r="AJ2840" s="10" t="str">
        <f>IFERROR(VLOOKUP(B2840,'Pre-Summary'!$AZ$6:$BE$65,4,FALSE),"")</f>
        <v/>
      </c>
      <c r="AK2840" s="10" t="str">
        <f>IFERROR(VLOOKUP(B2840,'Pre-Summary'!$AZ$6:$BE$65,6,FALSE),"")</f>
        <v/>
      </c>
      <c r="AL2840" s="10" t="str">
        <f>IFERROR(VLOOKUP(B2840,'Pre-Summary'!$BG$6:$BL$44,3,FALSE),"")</f>
        <v/>
      </c>
      <c r="AM2840" s="10" t="str">
        <f>IFERROR(VLOOKUP(B2840,'Pre-Summary'!$BG$6:$BL$44,4,FALSE),"")</f>
        <v/>
      </c>
    </row>
    <row r="2841" spans="2:39" ht="15" customHeight="1" x14ac:dyDescent="0.3">
      <c r="B2841">
        <v>283.8</v>
      </c>
      <c r="C2841" t="str">
        <f>IFERROR(VLOOKUP(B2841,'Pre-Summary'!$DI$6:$DM$23,4,FALSE),"")</f>
        <v/>
      </c>
      <c r="D2841" s="10" t="str">
        <f>IFERROR(VLOOKUP(B2841,'Pre-Summary'!$AT$6:$AX$14,5,FALSE),D2840)</f>
        <v>Wolfe v3: went back to modified wolfe + EDTA and switched CuSO4 to CUCl2</v>
      </c>
      <c r="E2841" s="10" t="str">
        <f>IFERROR(VLOOKUP(B2841,'Pre-Summary'!$AT$6:$AX$15,4,FALSE),"")</f>
        <v/>
      </c>
      <c r="F2841">
        <f>IFERROR(VLOOKUP(B2841,'Pre-Summary'!$AL$6:$AQ$13,6,FALSE),F2840)</f>
        <v>5.9405263157894746E-2</v>
      </c>
      <c r="G2841" t="str">
        <f>IFERROR(VLOOKUP(B2841,'Pre-Summary'!$AE$6:$AJ$85,3,FALSE),"")</f>
        <v/>
      </c>
      <c r="H2841" t="str">
        <f>IFERROR(VLOOKUP(B2841,'Pre-Summary'!$AE$6:$AJ$85,4,FALSE),"")</f>
        <v/>
      </c>
      <c r="I2841" t="str">
        <f>IFERROR(VLOOKUP(B2841,'Pre-Summary'!$AE$6:$AJ$85,5,FALSE),"")</f>
        <v/>
      </c>
      <c r="J2841" s="45" t="str">
        <f>IFERROR(VLOOKUP(B2841,'Pre-Summary'!$AE$6:$AJ$85,6, FALSE),"")</f>
        <v/>
      </c>
      <c r="K2841" s="45" t="str">
        <f>IFERROR(VLOOKUP(B2841,'Pre-Summary'!$DE$6:$DG$61,3,FALSE),"")</f>
        <v/>
      </c>
      <c r="L2841" s="45" t="str">
        <f>IFERROR(VLOOKUP(B2841,'Pre-Summary'!$CU$6:$CW$36,3,FALSE),"")</f>
        <v/>
      </c>
      <c r="M2841" s="45" t="str">
        <f>IFERROR(VLOOKUP(B2841,'Pre-Summary'!$BW$6:$BY$58,2,FALSE),"")</f>
        <v/>
      </c>
      <c r="N2841" s="45" t="str">
        <f>IFERROR(VLOOKUP(B2841,'Pre-Summary'!$CD$6:$CF$64,2,FALSE),"")</f>
        <v/>
      </c>
      <c r="O2841" s="99">
        <f>IFERROR(VLOOKUP(B2841,'Pre-Summary'!$BO$6:$BQ$48,3, FALSE),O2840)</f>
        <v>2.7749999999999999</v>
      </c>
      <c r="P2841" s="99">
        <f>IFERROR(VLOOKUP(B2841,'Pre-Summary'!$BS$6:$BU$35,3,FALSE),P2840)</f>
        <v>0.70099999999999996</v>
      </c>
      <c r="Q2841" s="54">
        <f t="shared" si="132"/>
        <v>3.9586305278174039</v>
      </c>
      <c r="R2841" s="53">
        <f>IFERROR(VLOOKUP(B2841,'Pre-Summary'!$BG$6:$BM$44,7,FALSE),R2842)</f>
        <v>9.7082714118749885E-2</v>
      </c>
      <c r="S2841" s="53">
        <f>IFERROR(VLOOKUP(B2841,'Pre-Summary'!$BG$6:$BM$44,6,FALSE),S2842)</f>
        <v>8.6132390492961911E-2</v>
      </c>
      <c r="T2841" s="45" t="str">
        <f>IFERROR(VLOOKUP(B2841,'Pre-Summary'!$Y$6:$AC$83, 3,FALSE),"")</f>
        <v/>
      </c>
      <c r="U2841" s="45" t="str">
        <f>IFERROR(VLOOKUP(B2841,'Pre-Summary'!$Y$6:$AC$83, 4,FALSE),"")</f>
        <v/>
      </c>
      <c r="V2841" t="str">
        <f>IFERROR(VLOOKUP(B2841,'Pre-Summary'!$Y$6:$AC$83, 5,FALSE),"")</f>
        <v/>
      </c>
      <c r="W2841" s="45" t="str">
        <f>IFERROR(VLOOKUP(B2841,'Pre-Summary'!$Y$6:$AD$83,6,FALSE),"")</f>
        <v/>
      </c>
      <c r="X2841" t="str">
        <f>IFERROR(VLOOKUP('Pre-Summary'!$DB$6:$DD$63,3,FALSE),"")</f>
        <v/>
      </c>
      <c r="Y2841" t="str">
        <f>IFERROR(VLOOKUP(B2841,'Pre-Summary'!$CR$6:$CT$36,3,FALSE),"")</f>
        <v/>
      </c>
      <c r="Z2841" s="45" t="str">
        <f>IFERROR(VLOOKUP(B2841,'Pre-Summary'!$BZ$6:$CB$63,2,FALSE),"")</f>
        <v/>
      </c>
      <c r="AA2841" s="45" t="str">
        <f>IFERROR(VLOOKUP(B2841,'Pre-Summary'!$CG$6:$CI$70,2,FALSE),"")</f>
        <v/>
      </c>
      <c r="AB2841" s="99">
        <f>IFERROR(VLOOKUP(B2841,'Pre-Summary'!$A$6:$P$178,9,FALSE),AB2842)</f>
        <v>0.7010379290946207</v>
      </c>
      <c r="AC2841" s="10">
        <f>IFERROR(VLOOKUP(Summary!B2841,'Pre-Summary'!$A$6:$P$184,5, FALSE)/100,AC2842)</f>
        <v>0.92607166666666674</v>
      </c>
      <c r="AD2841" s="10">
        <f>IFERROR(VLOOKUP(Summary!B2841,'Pre-Summary'!$A$6:$P$184,3, FALSE)/100,AD2842)</f>
        <v>5.4963666666666668E-2</v>
      </c>
      <c r="AE2841" s="10">
        <f>IFERROR(VLOOKUP(Summary!B2841,'Pre-Summary'!$A$6:$P$184,7, FALSE)/100,AE2842)</f>
        <v>1.8946666666666667E-2</v>
      </c>
      <c r="AF2841" s="99">
        <f t="shared" si="133"/>
        <v>3.8531615055447034E-2</v>
      </c>
      <c r="AG2841" s="99">
        <f t="shared" si="134"/>
        <v>1.3282331963246082E-2</v>
      </c>
      <c r="AH2841" s="10" t="str">
        <f>IFERROR(VLOOKUP(B2841,'Pre-Summary'!$AZ$6:$BE$65,3,FALSE),"")</f>
        <v/>
      </c>
      <c r="AI2841" s="10" t="str">
        <f>IFERROR(VLOOKUP(B2841,'Pre-Summary'!$AZ$6:$BE$65,5,FALSE),"")</f>
        <v/>
      </c>
      <c r="AJ2841" s="10" t="str">
        <f>IFERROR(VLOOKUP(B2841,'Pre-Summary'!$AZ$6:$BE$65,4,FALSE),"")</f>
        <v/>
      </c>
      <c r="AK2841" s="10" t="str">
        <f>IFERROR(VLOOKUP(B2841,'Pre-Summary'!$AZ$6:$BE$65,6,FALSE),"")</f>
        <v/>
      </c>
      <c r="AL2841" s="10" t="str">
        <f>IFERROR(VLOOKUP(B2841,'Pre-Summary'!$BG$6:$BL$44,3,FALSE),"")</f>
        <v/>
      </c>
      <c r="AM2841" s="10" t="str">
        <f>IFERROR(VLOOKUP(B2841,'Pre-Summary'!$BG$6:$BL$44,4,FALSE),"")</f>
        <v/>
      </c>
    </row>
    <row r="2842" spans="2:39" ht="15" customHeight="1" x14ac:dyDescent="0.3">
      <c r="B2842">
        <v>283.89999999999998</v>
      </c>
      <c r="C2842" t="str">
        <f>IFERROR(VLOOKUP(B2842,'Pre-Summary'!$DI$6:$DM$23,4,FALSE),"")</f>
        <v/>
      </c>
      <c r="D2842" s="10" t="str">
        <f>IFERROR(VLOOKUP(B2842,'Pre-Summary'!$AT$6:$AX$14,5,FALSE),D2841)</f>
        <v>Wolfe v3: went back to modified wolfe + EDTA and switched CuSO4 to CUCl2</v>
      </c>
      <c r="E2842" s="10" t="str">
        <f>IFERROR(VLOOKUP(B2842,'Pre-Summary'!$AT$6:$AX$15,4,FALSE),"")</f>
        <v/>
      </c>
      <c r="F2842">
        <f>IFERROR(VLOOKUP(B2842,'Pre-Summary'!$AL$6:$AQ$13,6,FALSE),F2841)</f>
        <v>5.9405263157894746E-2</v>
      </c>
      <c r="G2842" t="str">
        <f>IFERROR(VLOOKUP(B2842,'Pre-Summary'!$AE$6:$AJ$85,3,FALSE),"")</f>
        <v/>
      </c>
      <c r="H2842" t="str">
        <f>IFERROR(VLOOKUP(B2842,'Pre-Summary'!$AE$6:$AJ$85,4,FALSE),"")</f>
        <v/>
      </c>
      <c r="I2842" t="str">
        <f>IFERROR(VLOOKUP(B2842,'Pre-Summary'!$AE$6:$AJ$85,5,FALSE),"")</f>
        <v/>
      </c>
      <c r="J2842" s="45" t="str">
        <f>IFERROR(VLOOKUP(B2842,'Pre-Summary'!$AE$6:$AJ$85,6, FALSE),"")</f>
        <v/>
      </c>
      <c r="K2842" s="45" t="str">
        <f>IFERROR(VLOOKUP(B2842,'Pre-Summary'!$DE$6:$DG$61,3,FALSE),"")</f>
        <v/>
      </c>
      <c r="L2842" s="45" t="str">
        <f>IFERROR(VLOOKUP(B2842,'Pre-Summary'!$CU$6:$CW$36,3,FALSE),"")</f>
        <v/>
      </c>
      <c r="M2842" s="45" t="str">
        <f>IFERROR(VLOOKUP(B2842,'Pre-Summary'!$BW$6:$BY$58,2,FALSE),"")</f>
        <v/>
      </c>
      <c r="N2842" s="45" t="str">
        <f>IFERROR(VLOOKUP(B2842,'Pre-Summary'!$CD$6:$CF$64,2,FALSE),"")</f>
        <v/>
      </c>
      <c r="O2842" s="99">
        <f>IFERROR(VLOOKUP(B2842,'Pre-Summary'!$BO$6:$BQ$48,3, FALSE),O2841)</f>
        <v>2.7749999999999999</v>
      </c>
      <c r="P2842" s="99">
        <f>IFERROR(VLOOKUP(B2842,'Pre-Summary'!$BS$6:$BU$35,3,FALSE),P2841)</f>
        <v>0.70099999999999996</v>
      </c>
      <c r="Q2842" s="54">
        <f t="shared" si="132"/>
        <v>3.9586305278174039</v>
      </c>
      <c r="R2842" s="53">
        <f>IFERROR(VLOOKUP(B2842,'Pre-Summary'!$BG$6:$BM$44,7,FALSE),R2843)</f>
        <v>9.7082714118749885E-2</v>
      </c>
      <c r="S2842" s="53">
        <f>IFERROR(VLOOKUP(B2842,'Pre-Summary'!$BG$6:$BM$44,6,FALSE),S2843)</f>
        <v>8.6132390492961911E-2</v>
      </c>
      <c r="T2842" s="45" t="str">
        <f>IFERROR(VLOOKUP(B2842,'Pre-Summary'!$Y$6:$AC$83, 3,FALSE),"")</f>
        <v/>
      </c>
      <c r="U2842" s="45" t="str">
        <f>IFERROR(VLOOKUP(B2842,'Pre-Summary'!$Y$6:$AC$83, 4,FALSE),"")</f>
        <v/>
      </c>
      <c r="V2842" t="str">
        <f>IFERROR(VLOOKUP(B2842,'Pre-Summary'!$Y$6:$AC$83, 5,FALSE),"")</f>
        <v/>
      </c>
      <c r="W2842" s="45" t="str">
        <f>IFERROR(VLOOKUP(B2842,'Pre-Summary'!$Y$6:$AD$83,6,FALSE),"")</f>
        <v/>
      </c>
      <c r="X2842" t="str">
        <f>IFERROR(VLOOKUP('Pre-Summary'!$DB$6:$DD$63,3,FALSE),"")</f>
        <v/>
      </c>
      <c r="Y2842" t="str">
        <f>IFERROR(VLOOKUP(B2842,'Pre-Summary'!$CR$6:$CT$36,3,FALSE),"")</f>
        <v/>
      </c>
      <c r="Z2842" s="45" t="str">
        <f>IFERROR(VLOOKUP(B2842,'Pre-Summary'!$BZ$6:$CB$63,2,FALSE),"")</f>
        <v/>
      </c>
      <c r="AA2842" s="45" t="str">
        <f>IFERROR(VLOOKUP(B2842,'Pre-Summary'!$CG$6:$CI$70,2,FALSE),"")</f>
        <v/>
      </c>
      <c r="AB2842" s="99">
        <f>IFERROR(VLOOKUP(B2842,'Pre-Summary'!$A$6:$P$178,9,FALSE),AB2843)</f>
        <v>0.7010379290946207</v>
      </c>
      <c r="AC2842" s="10">
        <f>IFERROR(VLOOKUP(Summary!B2842,'Pre-Summary'!$A$6:$P$184,5, FALSE)/100,AC2843)</f>
        <v>0.92607166666666674</v>
      </c>
      <c r="AD2842" s="10">
        <f>IFERROR(VLOOKUP(Summary!B2842,'Pre-Summary'!$A$6:$P$184,3, FALSE)/100,AD2843)</f>
        <v>5.4963666666666668E-2</v>
      </c>
      <c r="AE2842" s="10">
        <f>IFERROR(VLOOKUP(Summary!B2842,'Pre-Summary'!$A$6:$P$184,7, FALSE)/100,AE2843)</f>
        <v>1.8946666666666667E-2</v>
      </c>
      <c r="AF2842" s="99">
        <f t="shared" si="133"/>
        <v>3.8531615055447034E-2</v>
      </c>
      <c r="AG2842" s="99">
        <f t="shared" si="134"/>
        <v>1.3282331963246082E-2</v>
      </c>
      <c r="AH2842" s="10" t="str">
        <f>IFERROR(VLOOKUP(B2842,'Pre-Summary'!$AZ$6:$BE$65,3,FALSE),"")</f>
        <v/>
      </c>
      <c r="AI2842" s="10" t="str">
        <f>IFERROR(VLOOKUP(B2842,'Pre-Summary'!$AZ$6:$BE$65,5,FALSE),"")</f>
        <v/>
      </c>
      <c r="AJ2842" s="10" t="str">
        <f>IFERROR(VLOOKUP(B2842,'Pre-Summary'!$AZ$6:$BE$65,4,FALSE),"")</f>
        <v/>
      </c>
      <c r="AK2842" s="10" t="str">
        <f>IFERROR(VLOOKUP(B2842,'Pre-Summary'!$AZ$6:$BE$65,6,FALSE),"")</f>
        <v/>
      </c>
      <c r="AL2842" s="10" t="str">
        <f>IFERROR(VLOOKUP(B2842,'Pre-Summary'!$BG$6:$BL$44,3,FALSE),"")</f>
        <v/>
      </c>
      <c r="AM2842" s="10" t="str">
        <f>IFERROR(VLOOKUP(B2842,'Pre-Summary'!$BG$6:$BL$44,4,FALSE),"")</f>
        <v/>
      </c>
    </row>
    <row r="2843" spans="2:39" ht="15" customHeight="1" x14ac:dyDescent="0.3">
      <c r="B2843">
        <v>284</v>
      </c>
      <c r="C2843" t="str">
        <f>IFERROR(VLOOKUP(B2843,'Pre-Summary'!$DI$6:$DM$23,4,FALSE),"")</f>
        <v/>
      </c>
      <c r="D2843" s="10" t="str">
        <f>IFERROR(VLOOKUP(B2843,'Pre-Summary'!$AT$6:$AX$14,5,FALSE),D2842)</f>
        <v>Wolfe v3: went back to modified wolfe + EDTA and switched CuSO4 to CUCl2</v>
      </c>
      <c r="E2843" s="10" t="str">
        <f>IFERROR(VLOOKUP(B2843,'Pre-Summary'!$AT$6:$AX$15,4,FALSE),"")</f>
        <v/>
      </c>
      <c r="F2843">
        <f>IFERROR(VLOOKUP(B2843,'Pre-Summary'!$AL$6:$AQ$13,6,FALSE),F2842)</f>
        <v>5.9405263157894746E-2</v>
      </c>
      <c r="G2843" t="str">
        <f>IFERROR(VLOOKUP(B2843,'Pre-Summary'!$AE$6:$AJ$85,3,FALSE),"")</f>
        <v/>
      </c>
      <c r="H2843" t="str">
        <f>IFERROR(VLOOKUP(B2843,'Pre-Summary'!$AE$6:$AJ$85,4,FALSE),"")</f>
        <v/>
      </c>
      <c r="I2843" t="str">
        <f>IFERROR(VLOOKUP(B2843,'Pre-Summary'!$AE$6:$AJ$85,5,FALSE),"")</f>
        <v/>
      </c>
      <c r="J2843" s="45" t="str">
        <f>IFERROR(VLOOKUP(B2843,'Pre-Summary'!$AE$6:$AJ$85,6, FALSE),"")</f>
        <v/>
      </c>
      <c r="K2843" s="45" t="str">
        <f>IFERROR(VLOOKUP(B2843,'Pre-Summary'!$DE$6:$DG$61,3,FALSE),"")</f>
        <v/>
      </c>
      <c r="L2843" s="45" t="str">
        <f>IFERROR(VLOOKUP(B2843,'Pre-Summary'!$CU$6:$CW$36,3,FALSE),"")</f>
        <v/>
      </c>
      <c r="M2843" s="45" t="str">
        <f>IFERROR(VLOOKUP(B2843,'Pre-Summary'!$BW$6:$BY$58,2,FALSE),"")</f>
        <v/>
      </c>
      <c r="N2843" s="45" t="str">
        <f>IFERROR(VLOOKUP(B2843,'Pre-Summary'!$CD$6:$CF$64,2,FALSE),"")</f>
        <v/>
      </c>
      <c r="O2843" s="99">
        <f>IFERROR(VLOOKUP(B2843,'Pre-Summary'!$BO$6:$BQ$48,3, FALSE),O2842)</f>
        <v>2.7749999999999999</v>
      </c>
      <c r="P2843" s="99">
        <f>IFERROR(VLOOKUP(B2843,'Pre-Summary'!$BS$6:$BU$35,3,FALSE),P2842)</f>
        <v>0.70099999999999996</v>
      </c>
      <c r="Q2843" s="54">
        <f t="shared" si="132"/>
        <v>3.9586305278174039</v>
      </c>
      <c r="R2843" s="53">
        <f>IFERROR(VLOOKUP(B2843,'Pre-Summary'!$BG$6:$BM$44,7,FALSE),R2844)</f>
        <v>9.7082714118749885E-2</v>
      </c>
      <c r="S2843" s="53">
        <f>IFERROR(VLOOKUP(B2843,'Pre-Summary'!$BG$6:$BM$44,6,FALSE),S2844)</f>
        <v>8.6132390492961911E-2</v>
      </c>
      <c r="T2843" s="45" t="str">
        <f>IFERROR(VLOOKUP(B2843,'Pre-Summary'!$Y$6:$AC$83, 3,FALSE),"")</f>
        <v/>
      </c>
      <c r="U2843" s="45" t="str">
        <f>IFERROR(VLOOKUP(B2843,'Pre-Summary'!$Y$6:$AC$83, 4,FALSE),"")</f>
        <v/>
      </c>
      <c r="V2843" t="str">
        <f>IFERROR(VLOOKUP(B2843,'Pre-Summary'!$Y$6:$AC$83, 5,FALSE),"")</f>
        <v/>
      </c>
      <c r="W2843" s="45" t="str">
        <f>IFERROR(VLOOKUP(B2843,'Pre-Summary'!$Y$6:$AD$83,6,FALSE),"")</f>
        <v/>
      </c>
      <c r="X2843" t="str">
        <f>IFERROR(VLOOKUP('Pre-Summary'!$DB$6:$DD$63,3,FALSE),"")</f>
        <v/>
      </c>
      <c r="Y2843" t="str">
        <f>IFERROR(VLOOKUP(B2843,'Pre-Summary'!$CR$6:$CT$36,3,FALSE),"")</f>
        <v/>
      </c>
      <c r="Z2843" s="45" t="str">
        <f>IFERROR(VLOOKUP(B2843,'Pre-Summary'!$BZ$6:$CB$63,2,FALSE),"")</f>
        <v/>
      </c>
      <c r="AA2843" s="45" t="str">
        <f>IFERROR(VLOOKUP(B2843,'Pre-Summary'!$CG$6:$CI$70,2,FALSE),"")</f>
        <v/>
      </c>
      <c r="AB2843" s="99">
        <f>IFERROR(VLOOKUP(B2843,'Pre-Summary'!$A$6:$P$178,9,FALSE),AB2844)</f>
        <v>0.7010379290946207</v>
      </c>
      <c r="AC2843" s="10">
        <f>IFERROR(VLOOKUP(Summary!B2843,'Pre-Summary'!$A$6:$P$184,5, FALSE)/100,AC2844)</f>
        <v>0.92607166666666674</v>
      </c>
      <c r="AD2843" s="10">
        <f>IFERROR(VLOOKUP(Summary!B2843,'Pre-Summary'!$A$6:$P$184,3, FALSE)/100,AD2844)</f>
        <v>5.4963666666666668E-2</v>
      </c>
      <c r="AE2843" s="10">
        <f>IFERROR(VLOOKUP(Summary!B2843,'Pre-Summary'!$A$6:$P$184,7, FALSE)/100,AE2844)</f>
        <v>1.8946666666666667E-2</v>
      </c>
      <c r="AF2843" s="99">
        <f t="shared" si="133"/>
        <v>3.8531615055447034E-2</v>
      </c>
      <c r="AG2843" s="99">
        <f t="shared" si="134"/>
        <v>1.3282331963246082E-2</v>
      </c>
      <c r="AH2843" s="10" t="str">
        <f>IFERROR(VLOOKUP(B2843,'Pre-Summary'!$AZ$6:$BE$65,3,FALSE),"")</f>
        <v/>
      </c>
      <c r="AI2843" s="10" t="str">
        <f>IFERROR(VLOOKUP(B2843,'Pre-Summary'!$AZ$6:$BE$65,5,FALSE),"")</f>
        <v/>
      </c>
      <c r="AJ2843" s="10" t="str">
        <f>IFERROR(VLOOKUP(B2843,'Pre-Summary'!$AZ$6:$BE$65,4,FALSE),"")</f>
        <v/>
      </c>
      <c r="AK2843" s="10" t="str">
        <f>IFERROR(VLOOKUP(B2843,'Pre-Summary'!$AZ$6:$BE$65,6,FALSE),"")</f>
        <v/>
      </c>
      <c r="AL2843" s="10" t="str">
        <f>IFERROR(VLOOKUP(B2843,'Pre-Summary'!$BG$6:$BL$44,3,FALSE),"")</f>
        <v/>
      </c>
      <c r="AM2843" s="10" t="str">
        <f>IFERROR(VLOOKUP(B2843,'Pre-Summary'!$BG$6:$BL$44,4,FALSE),"")</f>
        <v/>
      </c>
    </row>
    <row r="2844" spans="2:39" ht="15" customHeight="1" x14ac:dyDescent="0.3">
      <c r="B2844">
        <v>284.10000000000002</v>
      </c>
      <c r="C2844" t="str">
        <f>IFERROR(VLOOKUP(B2844,'Pre-Summary'!$DI$6:$DM$23,4,FALSE),"")</f>
        <v/>
      </c>
      <c r="D2844" s="10" t="str">
        <f>IFERROR(VLOOKUP(B2844,'Pre-Summary'!$AT$6:$AX$14,5,FALSE),D2843)</f>
        <v>Wolfe v3: went back to modified wolfe + EDTA and switched CuSO4 to CUCl2</v>
      </c>
      <c r="E2844" s="10" t="str">
        <f>IFERROR(VLOOKUP(B2844,'Pre-Summary'!$AT$6:$AX$15,4,FALSE),"")</f>
        <v/>
      </c>
      <c r="F2844">
        <f>IFERROR(VLOOKUP(B2844,'Pre-Summary'!$AL$6:$AQ$13,6,FALSE),F2843)</f>
        <v>5.9405263157894746E-2</v>
      </c>
      <c r="G2844" t="str">
        <f>IFERROR(VLOOKUP(B2844,'Pre-Summary'!$AE$6:$AJ$85,3,FALSE),"")</f>
        <v/>
      </c>
      <c r="H2844" t="str">
        <f>IFERROR(VLOOKUP(B2844,'Pre-Summary'!$AE$6:$AJ$85,4,FALSE),"")</f>
        <v/>
      </c>
      <c r="I2844" t="str">
        <f>IFERROR(VLOOKUP(B2844,'Pre-Summary'!$AE$6:$AJ$85,5,FALSE),"")</f>
        <v/>
      </c>
      <c r="J2844" s="45" t="str">
        <f>IFERROR(VLOOKUP(B2844,'Pre-Summary'!$AE$6:$AJ$85,6, FALSE),"")</f>
        <v/>
      </c>
      <c r="K2844" s="45" t="str">
        <f>IFERROR(VLOOKUP(B2844,'Pre-Summary'!$DE$6:$DG$61,3,FALSE),"")</f>
        <v/>
      </c>
      <c r="L2844" s="45" t="str">
        <f>IFERROR(VLOOKUP(B2844,'Pre-Summary'!$CU$6:$CW$36,3,FALSE),"")</f>
        <v/>
      </c>
      <c r="M2844" s="45" t="str">
        <f>IFERROR(VLOOKUP(B2844,'Pre-Summary'!$BW$6:$BY$58,2,FALSE),"")</f>
        <v/>
      </c>
      <c r="N2844" s="45" t="str">
        <f>IFERROR(VLOOKUP(B2844,'Pre-Summary'!$CD$6:$CF$64,2,FALSE),"")</f>
        <v/>
      </c>
      <c r="O2844" s="99">
        <f>IFERROR(VLOOKUP(B2844,'Pre-Summary'!$BO$6:$BQ$48,3, FALSE),O2843)</f>
        <v>2.7749999999999999</v>
      </c>
      <c r="P2844" s="99">
        <f>IFERROR(VLOOKUP(B2844,'Pre-Summary'!$BS$6:$BU$35,3,FALSE),P2843)</f>
        <v>0.70099999999999996</v>
      </c>
      <c r="Q2844" s="54">
        <f t="shared" si="132"/>
        <v>3.9586305278174039</v>
      </c>
      <c r="R2844" s="53">
        <f>IFERROR(VLOOKUP(B2844,'Pre-Summary'!$BG$6:$BM$44,7,FALSE),R2845)</f>
        <v>9.7082714118749885E-2</v>
      </c>
      <c r="S2844" s="53">
        <f>IFERROR(VLOOKUP(B2844,'Pre-Summary'!$BG$6:$BM$44,6,FALSE),S2845)</f>
        <v>8.6132390492961911E-2</v>
      </c>
      <c r="T2844" s="45" t="str">
        <f>IFERROR(VLOOKUP(B2844,'Pre-Summary'!$Y$6:$AC$83, 3,FALSE),"")</f>
        <v/>
      </c>
      <c r="U2844" s="45" t="str">
        <f>IFERROR(VLOOKUP(B2844,'Pre-Summary'!$Y$6:$AC$83, 4,FALSE),"")</f>
        <v/>
      </c>
      <c r="V2844" t="str">
        <f>IFERROR(VLOOKUP(B2844,'Pre-Summary'!$Y$6:$AC$83, 5,FALSE),"")</f>
        <v/>
      </c>
      <c r="W2844" s="45" t="str">
        <f>IFERROR(VLOOKUP(B2844,'Pre-Summary'!$Y$6:$AD$83,6,FALSE),"")</f>
        <v/>
      </c>
      <c r="X2844" t="str">
        <f>IFERROR(VLOOKUP('Pre-Summary'!$DB$6:$DD$63,3,FALSE),"")</f>
        <v/>
      </c>
      <c r="Y2844" t="str">
        <f>IFERROR(VLOOKUP(B2844,'Pre-Summary'!$CR$6:$CT$36,3,FALSE),"")</f>
        <v/>
      </c>
      <c r="Z2844" s="45" t="str">
        <f>IFERROR(VLOOKUP(B2844,'Pre-Summary'!$BZ$6:$CB$63,2,FALSE),"")</f>
        <v/>
      </c>
      <c r="AA2844" s="45" t="str">
        <f>IFERROR(VLOOKUP(B2844,'Pre-Summary'!$CG$6:$CI$70,2,FALSE),"")</f>
        <v/>
      </c>
      <c r="AB2844" s="99">
        <f>IFERROR(VLOOKUP(B2844,'Pre-Summary'!$A$6:$P$178,9,FALSE),AB2845)</f>
        <v>0.7010379290946207</v>
      </c>
      <c r="AC2844" s="10">
        <f>IFERROR(VLOOKUP(Summary!B2844,'Pre-Summary'!$A$6:$P$184,5, FALSE)/100,AC2845)</f>
        <v>0.92607166666666674</v>
      </c>
      <c r="AD2844" s="10">
        <f>IFERROR(VLOOKUP(Summary!B2844,'Pre-Summary'!$A$6:$P$184,3, FALSE)/100,AD2845)</f>
        <v>5.4963666666666668E-2</v>
      </c>
      <c r="AE2844" s="10">
        <f>IFERROR(VLOOKUP(Summary!B2844,'Pre-Summary'!$A$6:$P$184,7, FALSE)/100,AE2845)</f>
        <v>1.8946666666666667E-2</v>
      </c>
      <c r="AF2844" s="99">
        <f t="shared" si="133"/>
        <v>3.8531615055447034E-2</v>
      </c>
      <c r="AG2844" s="99">
        <f t="shared" si="134"/>
        <v>1.3282331963246082E-2</v>
      </c>
      <c r="AH2844" s="10" t="str">
        <f>IFERROR(VLOOKUP(B2844,'Pre-Summary'!$AZ$6:$BE$65,3,FALSE),"")</f>
        <v/>
      </c>
      <c r="AI2844" s="10" t="str">
        <f>IFERROR(VLOOKUP(B2844,'Pre-Summary'!$AZ$6:$BE$65,5,FALSE),"")</f>
        <v/>
      </c>
      <c r="AJ2844" s="10" t="str">
        <f>IFERROR(VLOOKUP(B2844,'Pre-Summary'!$AZ$6:$BE$65,4,FALSE),"")</f>
        <v/>
      </c>
      <c r="AK2844" s="10" t="str">
        <f>IFERROR(VLOOKUP(B2844,'Pre-Summary'!$AZ$6:$BE$65,6,FALSE),"")</f>
        <v/>
      </c>
      <c r="AL2844" s="10" t="str">
        <f>IFERROR(VLOOKUP(B2844,'Pre-Summary'!$BG$6:$BL$44,3,FALSE),"")</f>
        <v/>
      </c>
      <c r="AM2844" s="10" t="str">
        <f>IFERROR(VLOOKUP(B2844,'Pre-Summary'!$BG$6:$BL$44,4,FALSE),"")</f>
        <v/>
      </c>
    </row>
    <row r="2845" spans="2:39" ht="15" customHeight="1" x14ac:dyDescent="0.3">
      <c r="B2845">
        <v>284.2</v>
      </c>
      <c r="C2845" t="str">
        <f>IFERROR(VLOOKUP(B2845,'Pre-Summary'!$DI$6:$DM$23,4,FALSE),"")</f>
        <v/>
      </c>
      <c r="D2845" s="10" t="str">
        <f>IFERROR(VLOOKUP(B2845,'Pre-Summary'!$AT$6:$AX$14,5,FALSE),D2844)</f>
        <v>Wolfe v3: went back to modified wolfe + EDTA and switched CuSO4 to CUCl2</v>
      </c>
      <c r="E2845" s="10" t="str">
        <f>IFERROR(VLOOKUP(B2845,'Pre-Summary'!$AT$6:$AX$15,4,FALSE),"")</f>
        <v/>
      </c>
      <c r="F2845">
        <f>IFERROR(VLOOKUP(B2845,'Pre-Summary'!$AL$6:$AQ$13,6,FALSE),F2844)</f>
        <v>5.9405263157894746E-2</v>
      </c>
      <c r="G2845" t="str">
        <f>IFERROR(VLOOKUP(B2845,'Pre-Summary'!$AE$6:$AJ$85,3,FALSE),"")</f>
        <v/>
      </c>
      <c r="H2845" t="str">
        <f>IFERROR(VLOOKUP(B2845,'Pre-Summary'!$AE$6:$AJ$85,4,FALSE),"")</f>
        <v/>
      </c>
      <c r="I2845" t="str">
        <f>IFERROR(VLOOKUP(B2845,'Pre-Summary'!$AE$6:$AJ$85,5,FALSE),"")</f>
        <v/>
      </c>
      <c r="J2845" s="45" t="str">
        <f>IFERROR(VLOOKUP(B2845,'Pre-Summary'!$AE$6:$AJ$85,6, FALSE),"")</f>
        <v/>
      </c>
      <c r="K2845" s="45" t="str">
        <f>IFERROR(VLOOKUP(B2845,'Pre-Summary'!$DE$6:$DG$61,3,FALSE),"")</f>
        <v/>
      </c>
      <c r="L2845" s="45" t="str">
        <f>IFERROR(VLOOKUP(B2845,'Pre-Summary'!$CU$6:$CW$36,3,FALSE),"")</f>
        <v/>
      </c>
      <c r="M2845" s="45" t="str">
        <f>IFERROR(VLOOKUP(B2845,'Pre-Summary'!$BW$6:$BY$58,2,FALSE),"")</f>
        <v/>
      </c>
      <c r="N2845" s="45" t="str">
        <f>IFERROR(VLOOKUP(B2845,'Pre-Summary'!$CD$6:$CF$64,2,FALSE),"")</f>
        <v/>
      </c>
      <c r="O2845" s="99">
        <f>IFERROR(VLOOKUP(B2845,'Pre-Summary'!$BO$6:$BQ$48,3, FALSE),O2844)</f>
        <v>2.7749999999999999</v>
      </c>
      <c r="P2845" s="99">
        <f>IFERROR(VLOOKUP(B2845,'Pre-Summary'!$BS$6:$BU$35,3,FALSE),P2844)</f>
        <v>0.70099999999999996</v>
      </c>
      <c r="Q2845" s="54">
        <f t="shared" si="132"/>
        <v>3.9586305278174039</v>
      </c>
      <c r="R2845" s="53">
        <f>IFERROR(VLOOKUP(B2845,'Pre-Summary'!$BG$6:$BM$44,7,FALSE),R2846)</f>
        <v>9.7082714118749885E-2</v>
      </c>
      <c r="S2845" s="53">
        <f>IFERROR(VLOOKUP(B2845,'Pre-Summary'!$BG$6:$BM$44,6,FALSE),S2846)</f>
        <v>8.6132390492961911E-2</v>
      </c>
      <c r="T2845" s="45" t="str">
        <f>IFERROR(VLOOKUP(B2845,'Pre-Summary'!$Y$6:$AC$83, 3,FALSE),"")</f>
        <v/>
      </c>
      <c r="U2845" s="45" t="str">
        <f>IFERROR(VLOOKUP(B2845,'Pre-Summary'!$Y$6:$AC$83, 4,FALSE),"")</f>
        <v/>
      </c>
      <c r="V2845" t="str">
        <f>IFERROR(VLOOKUP(B2845,'Pre-Summary'!$Y$6:$AC$83, 5,FALSE),"")</f>
        <v/>
      </c>
      <c r="W2845" s="45" t="str">
        <f>IFERROR(VLOOKUP(B2845,'Pre-Summary'!$Y$6:$AD$83,6,FALSE),"")</f>
        <v/>
      </c>
      <c r="X2845" t="str">
        <f>IFERROR(VLOOKUP('Pre-Summary'!$DB$6:$DD$63,3,FALSE),"")</f>
        <v/>
      </c>
      <c r="Y2845" t="str">
        <f>IFERROR(VLOOKUP(B2845,'Pre-Summary'!$CR$6:$CT$36,3,FALSE),"")</f>
        <v/>
      </c>
      <c r="Z2845" s="45" t="str">
        <f>IFERROR(VLOOKUP(B2845,'Pre-Summary'!$BZ$6:$CB$63,2,FALSE),"")</f>
        <v/>
      </c>
      <c r="AA2845" s="45" t="str">
        <f>IFERROR(VLOOKUP(B2845,'Pre-Summary'!$CG$6:$CI$70,2,FALSE),"")</f>
        <v/>
      </c>
      <c r="AB2845" s="99">
        <f>IFERROR(VLOOKUP(B2845,'Pre-Summary'!$A$6:$P$178,9,FALSE),AB2846)</f>
        <v>0.7010379290946207</v>
      </c>
      <c r="AC2845" s="10">
        <f>IFERROR(VLOOKUP(Summary!B2845,'Pre-Summary'!$A$6:$P$184,5, FALSE)/100,AC2846)</f>
        <v>0.92607166666666674</v>
      </c>
      <c r="AD2845" s="10">
        <f>IFERROR(VLOOKUP(Summary!B2845,'Pre-Summary'!$A$6:$P$184,3, FALSE)/100,AD2846)</f>
        <v>5.4963666666666668E-2</v>
      </c>
      <c r="AE2845" s="10">
        <f>IFERROR(VLOOKUP(Summary!B2845,'Pre-Summary'!$A$6:$P$184,7, FALSE)/100,AE2846)</f>
        <v>1.8946666666666667E-2</v>
      </c>
      <c r="AF2845" s="99">
        <f t="shared" si="133"/>
        <v>3.8531615055447034E-2</v>
      </c>
      <c r="AG2845" s="99">
        <f t="shared" si="134"/>
        <v>1.3282331963246082E-2</v>
      </c>
      <c r="AH2845" s="10" t="str">
        <f>IFERROR(VLOOKUP(B2845,'Pre-Summary'!$AZ$6:$BE$65,3,FALSE),"")</f>
        <v/>
      </c>
      <c r="AI2845" s="10" t="str">
        <f>IFERROR(VLOOKUP(B2845,'Pre-Summary'!$AZ$6:$BE$65,5,FALSE),"")</f>
        <v/>
      </c>
      <c r="AJ2845" s="10" t="str">
        <f>IFERROR(VLOOKUP(B2845,'Pre-Summary'!$AZ$6:$BE$65,4,FALSE),"")</f>
        <v/>
      </c>
      <c r="AK2845" s="10" t="str">
        <f>IFERROR(VLOOKUP(B2845,'Pre-Summary'!$AZ$6:$BE$65,6,FALSE),"")</f>
        <v/>
      </c>
      <c r="AL2845" s="10" t="str">
        <f>IFERROR(VLOOKUP(B2845,'Pre-Summary'!$BG$6:$BL$44,3,FALSE),"")</f>
        <v/>
      </c>
      <c r="AM2845" s="10" t="str">
        <f>IFERROR(VLOOKUP(B2845,'Pre-Summary'!$BG$6:$BL$44,4,FALSE),"")</f>
        <v/>
      </c>
    </row>
    <row r="2846" spans="2:39" ht="15" customHeight="1" x14ac:dyDescent="0.3">
      <c r="B2846">
        <v>284.3</v>
      </c>
      <c r="C2846" t="str">
        <f>IFERROR(VLOOKUP(B2846,'Pre-Summary'!$DI$6:$DM$23,4,FALSE),"")</f>
        <v/>
      </c>
      <c r="D2846" s="10" t="str">
        <f>IFERROR(VLOOKUP(B2846,'Pre-Summary'!$AT$6:$AX$14,5,FALSE),D2845)</f>
        <v>Wolfe v3: went back to modified wolfe + EDTA and switched CuSO4 to CUCl2</v>
      </c>
      <c r="E2846" s="10" t="str">
        <f>IFERROR(VLOOKUP(B2846,'Pre-Summary'!$AT$6:$AX$15,4,FALSE),"")</f>
        <v/>
      </c>
      <c r="F2846">
        <f>IFERROR(VLOOKUP(B2846,'Pre-Summary'!$AL$6:$AQ$13,6,FALSE),F2845)</f>
        <v>5.9405263157894746E-2</v>
      </c>
      <c r="G2846" t="str">
        <f>IFERROR(VLOOKUP(B2846,'Pre-Summary'!$AE$6:$AJ$85,3,FALSE),"")</f>
        <v/>
      </c>
      <c r="H2846" t="str">
        <f>IFERROR(VLOOKUP(B2846,'Pre-Summary'!$AE$6:$AJ$85,4,FALSE),"")</f>
        <v/>
      </c>
      <c r="I2846" t="str">
        <f>IFERROR(VLOOKUP(B2846,'Pre-Summary'!$AE$6:$AJ$85,5,FALSE),"")</f>
        <v/>
      </c>
      <c r="J2846" s="45" t="str">
        <f>IFERROR(VLOOKUP(B2846,'Pre-Summary'!$AE$6:$AJ$85,6, FALSE),"")</f>
        <v/>
      </c>
      <c r="K2846" s="45" t="str">
        <f>IFERROR(VLOOKUP(B2846,'Pre-Summary'!$DE$6:$DG$61,3,FALSE),"")</f>
        <v/>
      </c>
      <c r="L2846" s="45" t="str">
        <f>IFERROR(VLOOKUP(B2846,'Pre-Summary'!$CU$6:$CW$36,3,FALSE),"")</f>
        <v/>
      </c>
      <c r="M2846" s="45" t="str">
        <f>IFERROR(VLOOKUP(B2846,'Pre-Summary'!$BW$6:$BY$58,2,FALSE),"")</f>
        <v/>
      </c>
      <c r="N2846" s="45" t="str">
        <f>IFERROR(VLOOKUP(B2846,'Pre-Summary'!$CD$6:$CF$64,2,FALSE),"")</f>
        <v/>
      </c>
      <c r="O2846" s="99">
        <f>IFERROR(VLOOKUP(B2846,'Pre-Summary'!$BO$6:$BQ$48,3, FALSE),O2845)</f>
        <v>2.7749999999999999</v>
      </c>
      <c r="P2846" s="99">
        <f>IFERROR(VLOOKUP(B2846,'Pre-Summary'!$BS$6:$BU$35,3,FALSE),P2845)</f>
        <v>0.70099999999999996</v>
      </c>
      <c r="Q2846" s="54">
        <f t="shared" si="132"/>
        <v>3.9586305278174039</v>
      </c>
      <c r="R2846" s="53">
        <f>IFERROR(VLOOKUP(B2846,'Pre-Summary'!$BG$6:$BM$44,7,FALSE),R2847)</f>
        <v>9.7082714118749885E-2</v>
      </c>
      <c r="S2846" s="53">
        <f>IFERROR(VLOOKUP(B2846,'Pre-Summary'!$BG$6:$BM$44,6,FALSE),S2847)</f>
        <v>8.6132390492961911E-2</v>
      </c>
      <c r="T2846" s="45" t="str">
        <f>IFERROR(VLOOKUP(B2846,'Pre-Summary'!$Y$6:$AC$83, 3,FALSE),"")</f>
        <v/>
      </c>
      <c r="U2846" s="45" t="str">
        <f>IFERROR(VLOOKUP(B2846,'Pre-Summary'!$Y$6:$AC$83, 4,FALSE),"")</f>
        <v/>
      </c>
      <c r="V2846" t="str">
        <f>IFERROR(VLOOKUP(B2846,'Pre-Summary'!$Y$6:$AC$83, 5,FALSE),"")</f>
        <v/>
      </c>
      <c r="W2846" s="45" t="str">
        <f>IFERROR(VLOOKUP(B2846,'Pre-Summary'!$Y$6:$AD$83,6,FALSE),"")</f>
        <v/>
      </c>
      <c r="X2846" t="str">
        <f>IFERROR(VLOOKUP('Pre-Summary'!$DB$6:$DD$63,3,FALSE),"")</f>
        <v/>
      </c>
      <c r="Y2846" t="str">
        <f>IFERROR(VLOOKUP(B2846,'Pre-Summary'!$CR$6:$CT$36,3,FALSE),"")</f>
        <v/>
      </c>
      <c r="Z2846" s="45" t="str">
        <f>IFERROR(VLOOKUP(B2846,'Pre-Summary'!$BZ$6:$CB$63,2,FALSE),"")</f>
        <v/>
      </c>
      <c r="AA2846" s="45" t="str">
        <f>IFERROR(VLOOKUP(B2846,'Pre-Summary'!$CG$6:$CI$70,2,FALSE),"")</f>
        <v/>
      </c>
      <c r="AB2846" s="99">
        <f>IFERROR(VLOOKUP(B2846,'Pre-Summary'!$A$6:$P$178,9,FALSE),AB2847)</f>
        <v>0.7010379290946207</v>
      </c>
      <c r="AC2846" s="10">
        <f>IFERROR(VLOOKUP(Summary!B2846,'Pre-Summary'!$A$6:$P$184,5, FALSE)/100,AC2847)</f>
        <v>0.92607166666666674</v>
      </c>
      <c r="AD2846" s="10">
        <f>IFERROR(VLOOKUP(Summary!B2846,'Pre-Summary'!$A$6:$P$184,3, FALSE)/100,AD2847)</f>
        <v>5.4963666666666668E-2</v>
      </c>
      <c r="AE2846" s="10">
        <f>IFERROR(VLOOKUP(Summary!B2846,'Pre-Summary'!$A$6:$P$184,7, FALSE)/100,AE2847)</f>
        <v>1.8946666666666667E-2</v>
      </c>
      <c r="AF2846" s="99">
        <f t="shared" si="133"/>
        <v>3.8531615055447034E-2</v>
      </c>
      <c r="AG2846" s="99">
        <f t="shared" si="134"/>
        <v>1.3282331963246082E-2</v>
      </c>
      <c r="AH2846" s="10" t="str">
        <f>IFERROR(VLOOKUP(B2846,'Pre-Summary'!$AZ$6:$BE$65,3,FALSE),"")</f>
        <v/>
      </c>
      <c r="AI2846" s="10" t="str">
        <f>IFERROR(VLOOKUP(B2846,'Pre-Summary'!$AZ$6:$BE$65,5,FALSE),"")</f>
        <v/>
      </c>
      <c r="AJ2846" s="10" t="str">
        <f>IFERROR(VLOOKUP(B2846,'Pre-Summary'!$AZ$6:$BE$65,4,FALSE),"")</f>
        <v/>
      </c>
      <c r="AK2846" s="10" t="str">
        <f>IFERROR(VLOOKUP(B2846,'Pre-Summary'!$AZ$6:$BE$65,6,FALSE),"")</f>
        <v/>
      </c>
      <c r="AL2846" s="10" t="str">
        <f>IFERROR(VLOOKUP(B2846,'Pre-Summary'!$BG$6:$BL$44,3,FALSE),"")</f>
        <v/>
      </c>
      <c r="AM2846" s="10" t="str">
        <f>IFERROR(VLOOKUP(B2846,'Pre-Summary'!$BG$6:$BL$44,4,FALSE),"")</f>
        <v/>
      </c>
    </row>
    <row r="2847" spans="2:39" ht="15" customHeight="1" x14ac:dyDescent="0.3">
      <c r="B2847">
        <v>284.39999999999998</v>
      </c>
      <c r="C2847" t="str">
        <f>IFERROR(VLOOKUP(B2847,'Pre-Summary'!$DI$6:$DM$23,4,FALSE),"")</f>
        <v/>
      </c>
      <c r="D2847" s="10" t="str">
        <f>IFERROR(VLOOKUP(B2847,'Pre-Summary'!$AT$6:$AX$14,5,FALSE),D2846)</f>
        <v>Wolfe v3: went back to modified wolfe + EDTA and switched CuSO4 to CUCl2</v>
      </c>
      <c r="E2847" s="10" t="str">
        <f>IFERROR(VLOOKUP(B2847,'Pre-Summary'!$AT$6:$AX$15,4,FALSE),"")</f>
        <v/>
      </c>
      <c r="F2847">
        <f>IFERROR(VLOOKUP(B2847,'Pre-Summary'!$AL$6:$AQ$13,6,FALSE),F2846)</f>
        <v>5.9405263157894746E-2</v>
      </c>
      <c r="G2847" t="str">
        <f>IFERROR(VLOOKUP(B2847,'Pre-Summary'!$AE$6:$AJ$85,3,FALSE),"")</f>
        <v/>
      </c>
      <c r="H2847" t="str">
        <f>IFERROR(VLOOKUP(B2847,'Pre-Summary'!$AE$6:$AJ$85,4,FALSE),"")</f>
        <v/>
      </c>
      <c r="I2847" t="str">
        <f>IFERROR(VLOOKUP(B2847,'Pre-Summary'!$AE$6:$AJ$85,5,FALSE),"")</f>
        <v/>
      </c>
      <c r="J2847" s="45" t="str">
        <f>IFERROR(VLOOKUP(B2847,'Pre-Summary'!$AE$6:$AJ$85,6, FALSE),"")</f>
        <v/>
      </c>
      <c r="K2847" s="45" t="str">
        <f>IFERROR(VLOOKUP(B2847,'Pre-Summary'!$DE$6:$DG$61,3,FALSE),"")</f>
        <v/>
      </c>
      <c r="L2847" s="45" t="str">
        <f>IFERROR(VLOOKUP(B2847,'Pre-Summary'!$CU$6:$CW$36,3,FALSE),"")</f>
        <v/>
      </c>
      <c r="M2847" s="45" t="str">
        <f>IFERROR(VLOOKUP(B2847,'Pre-Summary'!$BW$6:$BY$58,2,FALSE),"")</f>
        <v/>
      </c>
      <c r="N2847" s="45" t="str">
        <f>IFERROR(VLOOKUP(B2847,'Pre-Summary'!$CD$6:$CF$64,2,FALSE),"")</f>
        <v/>
      </c>
      <c r="O2847" s="99">
        <f>IFERROR(VLOOKUP(B2847,'Pre-Summary'!$BO$6:$BQ$48,3, FALSE),O2846)</f>
        <v>2.7749999999999999</v>
      </c>
      <c r="P2847" s="99">
        <f>IFERROR(VLOOKUP(B2847,'Pre-Summary'!$BS$6:$BU$35,3,FALSE),P2846)</f>
        <v>0.70099999999999996</v>
      </c>
      <c r="Q2847" s="54">
        <f t="shared" si="132"/>
        <v>3.9586305278174039</v>
      </c>
      <c r="R2847" s="53">
        <f>IFERROR(VLOOKUP(B2847,'Pre-Summary'!$BG$6:$BM$44,7,FALSE),R2848)</f>
        <v>9.7082714118749885E-2</v>
      </c>
      <c r="S2847" s="53">
        <f>IFERROR(VLOOKUP(B2847,'Pre-Summary'!$BG$6:$BM$44,6,FALSE),S2848)</f>
        <v>8.6132390492961911E-2</v>
      </c>
      <c r="T2847" s="45" t="str">
        <f>IFERROR(VLOOKUP(B2847,'Pre-Summary'!$Y$6:$AC$83, 3,FALSE),"")</f>
        <v/>
      </c>
      <c r="U2847" s="45" t="str">
        <f>IFERROR(VLOOKUP(B2847,'Pre-Summary'!$Y$6:$AC$83, 4,FALSE),"")</f>
        <v/>
      </c>
      <c r="V2847" t="str">
        <f>IFERROR(VLOOKUP(B2847,'Pre-Summary'!$Y$6:$AC$83, 5,FALSE),"")</f>
        <v/>
      </c>
      <c r="W2847" s="45" t="str">
        <f>IFERROR(VLOOKUP(B2847,'Pre-Summary'!$Y$6:$AD$83,6,FALSE),"")</f>
        <v/>
      </c>
      <c r="X2847" t="str">
        <f>IFERROR(VLOOKUP('Pre-Summary'!$DB$6:$DD$63,3,FALSE),"")</f>
        <v/>
      </c>
      <c r="Y2847" t="str">
        <f>IFERROR(VLOOKUP(B2847,'Pre-Summary'!$CR$6:$CT$36,3,FALSE),"")</f>
        <v/>
      </c>
      <c r="Z2847" s="45" t="str">
        <f>IFERROR(VLOOKUP(B2847,'Pre-Summary'!$BZ$6:$CB$63,2,FALSE),"")</f>
        <v/>
      </c>
      <c r="AA2847" s="45" t="str">
        <f>IFERROR(VLOOKUP(B2847,'Pre-Summary'!$CG$6:$CI$70,2,FALSE),"")</f>
        <v/>
      </c>
      <c r="AB2847" s="99">
        <f>IFERROR(VLOOKUP(B2847,'Pre-Summary'!$A$6:$P$178,9,FALSE),AB2848)</f>
        <v>0.7010379290946207</v>
      </c>
      <c r="AC2847" s="10">
        <f>IFERROR(VLOOKUP(Summary!B2847,'Pre-Summary'!$A$6:$P$184,5, FALSE)/100,AC2848)</f>
        <v>0.92607166666666674</v>
      </c>
      <c r="AD2847" s="10">
        <f>IFERROR(VLOOKUP(Summary!B2847,'Pre-Summary'!$A$6:$P$184,3, FALSE)/100,AD2848)</f>
        <v>5.4963666666666668E-2</v>
      </c>
      <c r="AE2847" s="10">
        <f>IFERROR(VLOOKUP(Summary!B2847,'Pre-Summary'!$A$6:$P$184,7, FALSE)/100,AE2848)</f>
        <v>1.8946666666666667E-2</v>
      </c>
      <c r="AF2847" s="99">
        <f t="shared" si="133"/>
        <v>3.8531615055447034E-2</v>
      </c>
      <c r="AG2847" s="99">
        <f t="shared" si="134"/>
        <v>1.3282331963246082E-2</v>
      </c>
      <c r="AH2847" s="10" t="str">
        <f>IFERROR(VLOOKUP(B2847,'Pre-Summary'!$AZ$6:$BE$65,3,FALSE),"")</f>
        <v/>
      </c>
      <c r="AI2847" s="10" t="str">
        <f>IFERROR(VLOOKUP(B2847,'Pre-Summary'!$AZ$6:$BE$65,5,FALSE),"")</f>
        <v/>
      </c>
      <c r="AJ2847" s="10" t="str">
        <f>IFERROR(VLOOKUP(B2847,'Pre-Summary'!$AZ$6:$BE$65,4,FALSE),"")</f>
        <v/>
      </c>
      <c r="AK2847" s="10" t="str">
        <f>IFERROR(VLOOKUP(B2847,'Pre-Summary'!$AZ$6:$BE$65,6,FALSE),"")</f>
        <v/>
      </c>
      <c r="AL2847" s="10" t="str">
        <f>IFERROR(VLOOKUP(B2847,'Pre-Summary'!$BG$6:$BL$44,3,FALSE),"")</f>
        <v/>
      </c>
      <c r="AM2847" s="10" t="str">
        <f>IFERROR(VLOOKUP(B2847,'Pre-Summary'!$BG$6:$BL$44,4,FALSE),"")</f>
        <v/>
      </c>
    </row>
    <row r="2848" spans="2:39" ht="15" customHeight="1" x14ac:dyDescent="0.3">
      <c r="B2848">
        <v>284.5</v>
      </c>
      <c r="C2848" t="str">
        <f>IFERROR(VLOOKUP(B2848,'Pre-Summary'!$DI$6:$DM$23,4,FALSE),"")</f>
        <v/>
      </c>
      <c r="D2848" s="10" t="str">
        <f>IFERROR(VLOOKUP(B2848,'Pre-Summary'!$AT$6:$AX$14,5,FALSE),D2847)</f>
        <v>Wolfe v3: went back to modified wolfe + EDTA and switched CuSO4 to CUCl2</v>
      </c>
      <c r="E2848" s="10" t="str">
        <f>IFERROR(VLOOKUP(B2848,'Pre-Summary'!$AT$6:$AX$15,4,FALSE),"")</f>
        <v/>
      </c>
      <c r="F2848">
        <f>IFERROR(VLOOKUP(B2848,'Pre-Summary'!$AL$6:$AQ$13,6,FALSE),F2847)</f>
        <v>5.9405263157894746E-2</v>
      </c>
      <c r="G2848" t="str">
        <f>IFERROR(VLOOKUP(B2848,'Pre-Summary'!$AE$6:$AJ$85,3,FALSE),"")</f>
        <v/>
      </c>
      <c r="H2848" t="str">
        <f>IFERROR(VLOOKUP(B2848,'Pre-Summary'!$AE$6:$AJ$85,4,FALSE),"")</f>
        <v/>
      </c>
      <c r="I2848" t="str">
        <f>IFERROR(VLOOKUP(B2848,'Pre-Summary'!$AE$6:$AJ$85,5,FALSE),"")</f>
        <v/>
      </c>
      <c r="J2848" s="45" t="str">
        <f>IFERROR(VLOOKUP(B2848,'Pre-Summary'!$AE$6:$AJ$85,6, FALSE),"")</f>
        <v/>
      </c>
      <c r="K2848" s="45" t="str">
        <f>IFERROR(VLOOKUP(B2848,'Pre-Summary'!$DE$6:$DG$61,3,FALSE),"")</f>
        <v/>
      </c>
      <c r="L2848" s="45" t="str">
        <f>IFERROR(VLOOKUP(B2848,'Pre-Summary'!$CU$6:$CW$36,3,FALSE),"")</f>
        <v/>
      </c>
      <c r="M2848" s="45" t="str">
        <f>IFERROR(VLOOKUP(B2848,'Pre-Summary'!$BW$6:$BY$58,2,FALSE),"")</f>
        <v/>
      </c>
      <c r="N2848" s="45" t="str">
        <f>IFERROR(VLOOKUP(B2848,'Pre-Summary'!$CD$6:$CF$64,2,FALSE),"")</f>
        <v/>
      </c>
      <c r="O2848" s="99">
        <f>IFERROR(VLOOKUP(B2848,'Pre-Summary'!$BO$6:$BQ$48,3, FALSE),O2847)</f>
        <v>2.7749999999999999</v>
      </c>
      <c r="P2848" s="99">
        <f>IFERROR(VLOOKUP(B2848,'Pre-Summary'!$BS$6:$BU$35,3,FALSE),P2847)</f>
        <v>0.70099999999999996</v>
      </c>
      <c r="Q2848" s="54">
        <f t="shared" si="132"/>
        <v>3.9586305278174039</v>
      </c>
      <c r="R2848" s="53">
        <f>IFERROR(VLOOKUP(B2848,'Pre-Summary'!$BG$6:$BM$44,7,FALSE),R2849)</f>
        <v>9.7082714118749885E-2</v>
      </c>
      <c r="S2848" s="53">
        <f>IFERROR(VLOOKUP(B2848,'Pre-Summary'!$BG$6:$BM$44,6,FALSE),S2849)</f>
        <v>8.6132390492961911E-2</v>
      </c>
      <c r="T2848" s="45" t="str">
        <f>IFERROR(VLOOKUP(B2848,'Pre-Summary'!$Y$6:$AC$83, 3,FALSE),"")</f>
        <v/>
      </c>
      <c r="U2848" s="45" t="str">
        <f>IFERROR(VLOOKUP(B2848,'Pre-Summary'!$Y$6:$AC$83, 4,FALSE),"")</f>
        <v/>
      </c>
      <c r="V2848" t="str">
        <f>IFERROR(VLOOKUP(B2848,'Pre-Summary'!$Y$6:$AC$83, 5,FALSE),"")</f>
        <v/>
      </c>
      <c r="W2848" s="45" t="str">
        <f>IFERROR(VLOOKUP(B2848,'Pre-Summary'!$Y$6:$AD$83,6,FALSE),"")</f>
        <v/>
      </c>
      <c r="X2848" t="str">
        <f>IFERROR(VLOOKUP('Pre-Summary'!$DB$6:$DD$63,3,FALSE),"")</f>
        <v/>
      </c>
      <c r="Y2848" t="str">
        <f>IFERROR(VLOOKUP(B2848,'Pre-Summary'!$CR$6:$CT$36,3,FALSE),"")</f>
        <v/>
      </c>
      <c r="Z2848" s="45" t="str">
        <f>IFERROR(VLOOKUP(B2848,'Pre-Summary'!$BZ$6:$CB$63,2,FALSE),"")</f>
        <v/>
      </c>
      <c r="AA2848" s="45" t="str">
        <f>IFERROR(VLOOKUP(B2848,'Pre-Summary'!$CG$6:$CI$70,2,FALSE),"")</f>
        <v/>
      </c>
      <c r="AB2848" s="99">
        <f>IFERROR(VLOOKUP(B2848,'Pre-Summary'!$A$6:$P$178,9,FALSE),AB2849)</f>
        <v>0.7010379290946207</v>
      </c>
      <c r="AC2848" s="10">
        <f>IFERROR(VLOOKUP(Summary!B2848,'Pre-Summary'!$A$6:$P$184,5, FALSE)/100,AC2849)</f>
        <v>0.92607166666666674</v>
      </c>
      <c r="AD2848" s="10">
        <f>IFERROR(VLOOKUP(Summary!B2848,'Pre-Summary'!$A$6:$P$184,3, FALSE)/100,AD2849)</f>
        <v>5.4963666666666668E-2</v>
      </c>
      <c r="AE2848" s="10">
        <f>IFERROR(VLOOKUP(Summary!B2848,'Pre-Summary'!$A$6:$P$184,7, FALSE)/100,AE2849)</f>
        <v>1.8946666666666667E-2</v>
      </c>
      <c r="AF2848" s="99">
        <f t="shared" si="133"/>
        <v>3.8531615055447034E-2</v>
      </c>
      <c r="AG2848" s="99">
        <f t="shared" si="134"/>
        <v>1.3282331963246082E-2</v>
      </c>
      <c r="AH2848" s="10" t="str">
        <f>IFERROR(VLOOKUP(B2848,'Pre-Summary'!$AZ$6:$BE$65,3,FALSE),"")</f>
        <v/>
      </c>
      <c r="AI2848" s="10" t="str">
        <f>IFERROR(VLOOKUP(B2848,'Pre-Summary'!$AZ$6:$BE$65,5,FALSE),"")</f>
        <v/>
      </c>
      <c r="AJ2848" s="10" t="str">
        <f>IFERROR(VLOOKUP(B2848,'Pre-Summary'!$AZ$6:$BE$65,4,FALSE),"")</f>
        <v/>
      </c>
      <c r="AK2848" s="10" t="str">
        <f>IFERROR(VLOOKUP(B2848,'Pre-Summary'!$AZ$6:$BE$65,6,FALSE),"")</f>
        <v/>
      </c>
      <c r="AL2848" s="10" t="str">
        <f>IFERROR(VLOOKUP(B2848,'Pre-Summary'!$BG$6:$BL$44,3,FALSE),"")</f>
        <v/>
      </c>
      <c r="AM2848" s="10" t="str">
        <f>IFERROR(VLOOKUP(B2848,'Pre-Summary'!$BG$6:$BL$44,4,FALSE),"")</f>
        <v/>
      </c>
    </row>
    <row r="2849" spans="2:39" ht="15" customHeight="1" x14ac:dyDescent="0.3">
      <c r="B2849">
        <v>284.60000000000002</v>
      </c>
      <c r="C2849" t="str">
        <f>IFERROR(VLOOKUP(B2849,'Pre-Summary'!$DI$6:$DM$23,4,FALSE),"")</f>
        <v/>
      </c>
      <c r="D2849" s="10" t="str">
        <f>IFERROR(VLOOKUP(B2849,'Pre-Summary'!$AT$6:$AX$14,5,FALSE),D2848)</f>
        <v>Wolfe v3: went back to modified wolfe + EDTA and switched CuSO4 to CUCl2</v>
      </c>
      <c r="E2849" s="10" t="str">
        <f>IFERROR(VLOOKUP(B2849,'Pre-Summary'!$AT$6:$AX$15,4,FALSE),"")</f>
        <v/>
      </c>
      <c r="F2849">
        <f>IFERROR(VLOOKUP(B2849,'Pre-Summary'!$AL$6:$AQ$13,6,FALSE),F2848)</f>
        <v>5.9405263157894746E-2</v>
      </c>
      <c r="G2849" t="str">
        <f>IFERROR(VLOOKUP(B2849,'Pre-Summary'!$AE$6:$AJ$85,3,FALSE),"")</f>
        <v/>
      </c>
      <c r="H2849" t="str">
        <f>IFERROR(VLOOKUP(B2849,'Pre-Summary'!$AE$6:$AJ$85,4,FALSE),"")</f>
        <v/>
      </c>
      <c r="I2849" t="str">
        <f>IFERROR(VLOOKUP(B2849,'Pre-Summary'!$AE$6:$AJ$85,5,FALSE),"")</f>
        <v/>
      </c>
      <c r="J2849" s="45" t="str">
        <f>IFERROR(VLOOKUP(B2849,'Pre-Summary'!$AE$6:$AJ$85,6, FALSE),"")</f>
        <v/>
      </c>
      <c r="K2849" s="45" t="str">
        <f>IFERROR(VLOOKUP(B2849,'Pre-Summary'!$DE$6:$DG$61,3,FALSE),"")</f>
        <v/>
      </c>
      <c r="L2849" s="45" t="str">
        <f>IFERROR(VLOOKUP(B2849,'Pre-Summary'!$CU$6:$CW$36,3,FALSE),"")</f>
        <v/>
      </c>
      <c r="M2849" s="45" t="str">
        <f>IFERROR(VLOOKUP(B2849,'Pre-Summary'!$BW$6:$BY$58,2,FALSE),"")</f>
        <v/>
      </c>
      <c r="N2849" s="45" t="str">
        <f>IFERROR(VLOOKUP(B2849,'Pre-Summary'!$CD$6:$CF$64,2,FALSE),"")</f>
        <v/>
      </c>
      <c r="O2849" s="99">
        <f>IFERROR(VLOOKUP(B2849,'Pre-Summary'!$BO$6:$BQ$48,3, FALSE),O2848)</f>
        <v>2.7749999999999999</v>
      </c>
      <c r="P2849" s="99">
        <f>IFERROR(VLOOKUP(B2849,'Pre-Summary'!$BS$6:$BU$35,3,FALSE),P2848)</f>
        <v>0.70099999999999996</v>
      </c>
      <c r="Q2849" s="54">
        <f t="shared" si="132"/>
        <v>3.9586305278174039</v>
      </c>
      <c r="R2849" s="53">
        <f>IFERROR(VLOOKUP(B2849,'Pre-Summary'!$BG$6:$BM$44,7,FALSE),R2850)</f>
        <v>9.7082714118749885E-2</v>
      </c>
      <c r="S2849" s="53">
        <f>IFERROR(VLOOKUP(B2849,'Pre-Summary'!$BG$6:$BM$44,6,FALSE),S2850)</f>
        <v>8.6132390492961911E-2</v>
      </c>
      <c r="T2849" s="45" t="str">
        <f>IFERROR(VLOOKUP(B2849,'Pre-Summary'!$Y$6:$AC$83, 3,FALSE),"")</f>
        <v/>
      </c>
      <c r="U2849" s="45" t="str">
        <f>IFERROR(VLOOKUP(B2849,'Pre-Summary'!$Y$6:$AC$83, 4,FALSE),"")</f>
        <v/>
      </c>
      <c r="V2849" t="str">
        <f>IFERROR(VLOOKUP(B2849,'Pre-Summary'!$Y$6:$AC$83, 5,FALSE),"")</f>
        <v/>
      </c>
      <c r="W2849" s="45" t="str">
        <f>IFERROR(VLOOKUP(B2849,'Pre-Summary'!$Y$6:$AD$83,6,FALSE),"")</f>
        <v/>
      </c>
      <c r="X2849" t="str">
        <f>IFERROR(VLOOKUP('Pre-Summary'!$DB$6:$DD$63,3,FALSE),"")</f>
        <v/>
      </c>
      <c r="Y2849" t="str">
        <f>IFERROR(VLOOKUP(B2849,'Pre-Summary'!$CR$6:$CT$36,3,FALSE),"")</f>
        <v/>
      </c>
      <c r="Z2849" s="45" t="str">
        <f>IFERROR(VLOOKUP(B2849,'Pre-Summary'!$BZ$6:$CB$63,2,FALSE),"")</f>
        <v/>
      </c>
      <c r="AA2849" s="45" t="str">
        <f>IFERROR(VLOOKUP(B2849,'Pre-Summary'!$CG$6:$CI$70,2,FALSE),"")</f>
        <v/>
      </c>
      <c r="AB2849" s="99">
        <f>IFERROR(VLOOKUP(B2849,'Pre-Summary'!$A$6:$P$178,9,FALSE),AB2850)</f>
        <v>0.7010379290946207</v>
      </c>
      <c r="AC2849" s="10">
        <f>IFERROR(VLOOKUP(Summary!B2849,'Pre-Summary'!$A$6:$P$184,5, FALSE)/100,AC2850)</f>
        <v>0.92607166666666674</v>
      </c>
      <c r="AD2849" s="10">
        <f>IFERROR(VLOOKUP(Summary!B2849,'Pre-Summary'!$A$6:$P$184,3, FALSE)/100,AD2850)</f>
        <v>5.4963666666666668E-2</v>
      </c>
      <c r="AE2849" s="10">
        <f>IFERROR(VLOOKUP(Summary!B2849,'Pre-Summary'!$A$6:$P$184,7, FALSE)/100,AE2850)</f>
        <v>1.8946666666666667E-2</v>
      </c>
      <c r="AF2849" s="99">
        <f t="shared" si="133"/>
        <v>3.8531615055447034E-2</v>
      </c>
      <c r="AG2849" s="99">
        <f t="shared" si="134"/>
        <v>1.3282331963246082E-2</v>
      </c>
      <c r="AH2849" s="10" t="str">
        <f>IFERROR(VLOOKUP(B2849,'Pre-Summary'!$AZ$6:$BE$65,3,FALSE),"")</f>
        <v/>
      </c>
      <c r="AI2849" s="10" t="str">
        <f>IFERROR(VLOOKUP(B2849,'Pre-Summary'!$AZ$6:$BE$65,5,FALSE),"")</f>
        <v/>
      </c>
      <c r="AJ2849" s="10" t="str">
        <f>IFERROR(VLOOKUP(B2849,'Pre-Summary'!$AZ$6:$BE$65,4,FALSE),"")</f>
        <v/>
      </c>
      <c r="AK2849" s="10" t="str">
        <f>IFERROR(VLOOKUP(B2849,'Pre-Summary'!$AZ$6:$BE$65,6,FALSE),"")</f>
        <v/>
      </c>
      <c r="AL2849" s="10" t="str">
        <f>IFERROR(VLOOKUP(B2849,'Pre-Summary'!$BG$6:$BL$44,3,FALSE),"")</f>
        <v/>
      </c>
      <c r="AM2849" s="10" t="str">
        <f>IFERROR(VLOOKUP(B2849,'Pre-Summary'!$BG$6:$BL$44,4,FALSE),"")</f>
        <v/>
      </c>
    </row>
    <row r="2850" spans="2:39" ht="15" customHeight="1" x14ac:dyDescent="0.3">
      <c r="B2850">
        <v>284.7</v>
      </c>
      <c r="C2850" t="str">
        <f>IFERROR(VLOOKUP(B2850,'Pre-Summary'!$DI$6:$DM$23,4,FALSE),"")</f>
        <v/>
      </c>
      <c r="D2850" s="10" t="str">
        <f>IFERROR(VLOOKUP(B2850,'Pre-Summary'!$AT$6:$AX$14,5,FALSE),D2849)</f>
        <v>Wolfe v3: went back to modified wolfe + EDTA and switched CuSO4 to CUCl2</v>
      </c>
      <c r="E2850" s="10" t="str">
        <f>IFERROR(VLOOKUP(B2850,'Pre-Summary'!$AT$6:$AX$15,4,FALSE),"")</f>
        <v/>
      </c>
      <c r="F2850">
        <f>IFERROR(VLOOKUP(B2850,'Pre-Summary'!$AL$6:$AQ$13,6,FALSE),F2849)</f>
        <v>5.9405263157894746E-2</v>
      </c>
      <c r="G2850" t="str">
        <f>IFERROR(VLOOKUP(B2850,'Pre-Summary'!$AE$6:$AJ$85,3,FALSE),"")</f>
        <v/>
      </c>
      <c r="H2850" t="str">
        <f>IFERROR(VLOOKUP(B2850,'Pre-Summary'!$AE$6:$AJ$85,4,FALSE),"")</f>
        <v/>
      </c>
      <c r="I2850" t="str">
        <f>IFERROR(VLOOKUP(B2850,'Pre-Summary'!$AE$6:$AJ$85,5,FALSE),"")</f>
        <v/>
      </c>
      <c r="J2850" s="45" t="str">
        <f>IFERROR(VLOOKUP(B2850,'Pre-Summary'!$AE$6:$AJ$85,6, FALSE),"")</f>
        <v/>
      </c>
      <c r="K2850" s="45" t="str">
        <f>IFERROR(VLOOKUP(B2850,'Pre-Summary'!$DE$6:$DG$61,3,FALSE),"")</f>
        <v/>
      </c>
      <c r="L2850" s="45" t="str">
        <f>IFERROR(VLOOKUP(B2850,'Pre-Summary'!$CU$6:$CW$36,3,FALSE),"")</f>
        <v/>
      </c>
      <c r="M2850" s="45" t="str">
        <f>IFERROR(VLOOKUP(B2850,'Pre-Summary'!$BW$6:$BY$58,2,FALSE),"")</f>
        <v/>
      </c>
      <c r="N2850" s="45" t="str">
        <f>IFERROR(VLOOKUP(B2850,'Pre-Summary'!$CD$6:$CF$64,2,FALSE),"")</f>
        <v/>
      </c>
      <c r="O2850" s="99">
        <f>IFERROR(VLOOKUP(B2850,'Pre-Summary'!$BO$6:$BQ$48,3, FALSE),O2849)</f>
        <v>2.7749999999999999</v>
      </c>
      <c r="P2850" s="99">
        <f>IFERROR(VLOOKUP(B2850,'Pre-Summary'!$BS$6:$BU$35,3,FALSE),P2849)</f>
        <v>0.70099999999999996</v>
      </c>
      <c r="Q2850" s="54">
        <f t="shared" si="132"/>
        <v>3.9586305278174039</v>
      </c>
      <c r="R2850" s="53">
        <f>IFERROR(VLOOKUP(B2850,'Pre-Summary'!$BG$6:$BM$44,7,FALSE),R2851)</f>
        <v>9.7082714118749885E-2</v>
      </c>
      <c r="S2850" s="53">
        <f>IFERROR(VLOOKUP(B2850,'Pre-Summary'!$BG$6:$BM$44,6,FALSE),S2851)</f>
        <v>8.6132390492961911E-2</v>
      </c>
      <c r="T2850" s="45" t="str">
        <f>IFERROR(VLOOKUP(B2850,'Pre-Summary'!$Y$6:$AC$83, 3,FALSE),"")</f>
        <v/>
      </c>
      <c r="U2850" s="45" t="str">
        <f>IFERROR(VLOOKUP(B2850,'Pre-Summary'!$Y$6:$AC$83, 4,FALSE),"")</f>
        <v/>
      </c>
      <c r="V2850" t="str">
        <f>IFERROR(VLOOKUP(B2850,'Pre-Summary'!$Y$6:$AC$83, 5,FALSE),"")</f>
        <v/>
      </c>
      <c r="W2850" s="45" t="str">
        <f>IFERROR(VLOOKUP(B2850,'Pre-Summary'!$Y$6:$AD$83,6,FALSE),"")</f>
        <v/>
      </c>
      <c r="X2850" t="str">
        <f>IFERROR(VLOOKUP('Pre-Summary'!$DB$6:$DD$63,3,FALSE),"")</f>
        <v/>
      </c>
      <c r="Y2850" t="str">
        <f>IFERROR(VLOOKUP(B2850,'Pre-Summary'!$CR$6:$CT$36,3,FALSE),"")</f>
        <v/>
      </c>
      <c r="Z2850" s="45" t="str">
        <f>IFERROR(VLOOKUP(B2850,'Pre-Summary'!$BZ$6:$CB$63,2,FALSE),"")</f>
        <v/>
      </c>
      <c r="AA2850" s="45" t="str">
        <f>IFERROR(VLOOKUP(B2850,'Pre-Summary'!$CG$6:$CI$70,2,FALSE),"")</f>
        <v/>
      </c>
      <c r="AB2850" s="99">
        <f>IFERROR(VLOOKUP(B2850,'Pre-Summary'!$A$6:$P$178,9,FALSE),AB2851)</f>
        <v>0.7010379290946207</v>
      </c>
      <c r="AC2850" s="10">
        <f>IFERROR(VLOOKUP(Summary!B2850,'Pre-Summary'!$A$6:$P$184,5, FALSE)/100,AC2851)</f>
        <v>0.92607166666666674</v>
      </c>
      <c r="AD2850" s="10">
        <f>IFERROR(VLOOKUP(Summary!B2850,'Pre-Summary'!$A$6:$P$184,3, FALSE)/100,AD2851)</f>
        <v>5.4963666666666668E-2</v>
      </c>
      <c r="AE2850" s="10">
        <f>IFERROR(VLOOKUP(Summary!B2850,'Pre-Summary'!$A$6:$P$184,7, FALSE)/100,AE2851)</f>
        <v>1.8946666666666667E-2</v>
      </c>
      <c r="AF2850" s="99">
        <f t="shared" si="133"/>
        <v>3.8531615055447034E-2</v>
      </c>
      <c r="AG2850" s="99">
        <f t="shared" si="134"/>
        <v>1.3282331963246082E-2</v>
      </c>
      <c r="AH2850" s="10" t="str">
        <f>IFERROR(VLOOKUP(B2850,'Pre-Summary'!$AZ$6:$BE$65,3,FALSE),"")</f>
        <v/>
      </c>
      <c r="AI2850" s="10" t="str">
        <f>IFERROR(VLOOKUP(B2850,'Pre-Summary'!$AZ$6:$BE$65,5,FALSE),"")</f>
        <v/>
      </c>
      <c r="AJ2850" s="10" t="str">
        <f>IFERROR(VLOOKUP(B2850,'Pre-Summary'!$AZ$6:$BE$65,4,FALSE),"")</f>
        <v/>
      </c>
      <c r="AK2850" s="10" t="str">
        <f>IFERROR(VLOOKUP(B2850,'Pre-Summary'!$AZ$6:$BE$65,6,FALSE),"")</f>
        <v/>
      </c>
      <c r="AL2850" s="10" t="str">
        <f>IFERROR(VLOOKUP(B2850,'Pre-Summary'!$BG$6:$BL$44,3,FALSE),"")</f>
        <v/>
      </c>
      <c r="AM2850" s="10" t="str">
        <f>IFERROR(VLOOKUP(B2850,'Pre-Summary'!$BG$6:$BL$44,4,FALSE),"")</f>
        <v/>
      </c>
    </row>
    <row r="2851" spans="2:39" ht="15" customHeight="1" x14ac:dyDescent="0.3">
      <c r="B2851">
        <v>284.8</v>
      </c>
      <c r="C2851" t="str">
        <f>IFERROR(VLOOKUP(B2851,'Pre-Summary'!$DI$6:$DM$23,4,FALSE),"")</f>
        <v/>
      </c>
      <c r="D2851" s="10" t="str">
        <f>IFERROR(VLOOKUP(B2851,'Pre-Summary'!$AT$6:$AX$14,5,FALSE),D2850)</f>
        <v>Wolfe v3: went back to modified wolfe + EDTA and switched CuSO4 to CUCl2</v>
      </c>
      <c r="E2851" s="10" t="str">
        <f>IFERROR(VLOOKUP(B2851,'Pre-Summary'!$AT$6:$AX$15,4,FALSE),"")</f>
        <v/>
      </c>
      <c r="F2851">
        <f>IFERROR(VLOOKUP(B2851,'Pre-Summary'!$AL$6:$AQ$13,6,FALSE),F2850)</f>
        <v>5.9405263157894746E-2</v>
      </c>
      <c r="G2851" t="str">
        <f>IFERROR(VLOOKUP(B2851,'Pre-Summary'!$AE$6:$AJ$85,3,FALSE),"")</f>
        <v/>
      </c>
      <c r="H2851" t="str">
        <f>IFERROR(VLOOKUP(B2851,'Pre-Summary'!$AE$6:$AJ$85,4,FALSE),"")</f>
        <v/>
      </c>
      <c r="I2851" t="str">
        <f>IFERROR(VLOOKUP(B2851,'Pre-Summary'!$AE$6:$AJ$85,5,FALSE),"")</f>
        <v/>
      </c>
      <c r="J2851" s="45" t="str">
        <f>IFERROR(VLOOKUP(B2851,'Pre-Summary'!$AE$6:$AJ$85,6, FALSE),"")</f>
        <v/>
      </c>
      <c r="K2851" s="45" t="str">
        <f>IFERROR(VLOOKUP(B2851,'Pre-Summary'!$DE$6:$DG$61,3,FALSE),"")</f>
        <v/>
      </c>
      <c r="L2851" s="45" t="str">
        <f>IFERROR(VLOOKUP(B2851,'Pre-Summary'!$CU$6:$CW$36,3,FALSE),"")</f>
        <v/>
      </c>
      <c r="M2851" s="45" t="str">
        <f>IFERROR(VLOOKUP(B2851,'Pre-Summary'!$BW$6:$BY$58,2,FALSE),"")</f>
        <v/>
      </c>
      <c r="N2851" s="45" t="str">
        <f>IFERROR(VLOOKUP(B2851,'Pre-Summary'!$CD$6:$CF$64,2,FALSE),"")</f>
        <v/>
      </c>
      <c r="O2851" s="99">
        <f>IFERROR(VLOOKUP(B2851,'Pre-Summary'!$BO$6:$BQ$48,3, FALSE),O2850)</f>
        <v>2.7749999999999999</v>
      </c>
      <c r="P2851" s="99">
        <f>IFERROR(VLOOKUP(B2851,'Pre-Summary'!$BS$6:$BU$35,3,FALSE),P2850)</f>
        <v>0.70099999999999996</v>
      </c>
      <c r="Q2851" s="54">
        <f t="shared" si="132"/>
        <v>3.9586305278174039</v>
      </c>
      <c r="R2851" s="53">
        <f>IFERROR(VLOOKUP(B2851,'Pre-Summary'!$BG$6:$BM$44,7,FALSE),R2852)</f>
        <v>9.7082714118749885E-2</v>
      </c>
      <c r="S2851" s="53">
        <f>IFERROR(VLOOKUP(B2851,'Pre-Summary'!$BG$6:$BM$44,6,FALSE),S2852)</f>
        <v>8.6132390492961911E-2</v>
      </c>
      <c r="T2851" s="45" t="str">
        <f>IFERROR(VLOOKUP(B2851,'Pre-Summary'!$Y$6:$AC$83, 3,FALSE),"")</f>
        <v/>
      </c>
      <c r="U2851" s="45" t="str">
        <f>IFERROR(VLOOKUP(B2851,'Pre-Summary'!$Y$6:$AC$83, 4,FALSE),"")</f>
        <v/>
      </c>
      <c r="V2851" t="str">
        <f>IFERROR(VLOOKUP(B2851,'Pre-Summary'!$Y$6:$AC$83, 5,FALSE),"")</f>
        <v/>
      </c>
      <c r="W2851" s="45" t="str">
        <f>IFERROR(VLOOKUP(B2851,'Pre-Summary'!$Y$6:$AD$83,6,FALSE),"")</f>
        <v/>
      </c>
      <c r="X2851" t="str">
        <f>IFERROR(VLOOKUP('Pre-Summary'!$DB$6:$DD$63,3,FALSE),"")</f>
        <v/>
      </c>
      <c r="Y2851" t="str">
        <f>IFERROR(VLOOKUP(B2851,'Pre-Summary'!$CR$6:$CT$36,3,FALSE),"")</f>
        <v/>
      </c>
      <c r="Z2851" s="45" t="str">
        <f>IFERROR(VLOOKUP(B2851,'Pre-Summary'!$BZ$6:$CB$63,2,FALSE),"")</f>
        <v/>
      </c>
      <c r="AA2851" s="45" t="str">
        <f>IFERROR(VLOOKUP(B2851,'Pre-Summary'!$CG$6:$CI$70,2,FALSE),"")</f>
        <v/>
      </c>
      <c r="AB2851" s="99">
        <f>IFERROR(VLOOKUP(B2851,'Pre-Summary'!$A$6:$P$178,9,FALSE),AB2852)</f>
        <v>0.7010379290946207</v>
      </c>
      <c r="AC2851" s="10">
        <f>IFERROR(VLOOKUP(Summary!B2851,'Pre-Summary'!$A$6:$P$184,5, FALSE)/100,AC2852)</f>
        <v>0.92607166666666674</v>
      </c>
      <c r="AD2851" s="10">
        <f>IFERROR(VLOOKUP(Summary!B2851,'Pre-Summary'!$A$6:$P$184,3, FALSE)/100,AD2852)</f>
        <v>5.4963666666666668E-2</v>
      </c>
      <c r="AE2851" s="10">
        <f>IFERROR(VLOOKUP(Summary!B2851,'Pre-Summary'!$A$6:$P$184,7, FALSE)/100,AE2852)</f>
        <v>1.8946666666666667E-2</v>
      </c>
      <c r="AF2851" s="99">
        <f t="shared" si="133"/>
        <v>3.8531615055447034E-2</v>
      </c>
      <c r="AG2851" s="99">
        <f t="shared" si="134"/>
        <v>1.3282331963246082E-2</v>
      </c>
      <c r="AH2851" s="10" t="str">
        <f>IFERROR(VLOOKUP(B2851,'Pre-Summary'!$AZ$6:$BE$65,3,FALSE),"")</f>
        <v/>
      </c>
      <c r="AI2851" s="10" t="str">
        <f>IFERROR(VLOOKUP(B2851,'Pre-Summary'!$AZ$6:$BE$65,5,FALSE),"")</f>
        <v/>
      </c>
      <c r="AJ2851" s="10" t="str">
        <f>IFERROR(VLOOKUP(B2851,'Pre-Summary'!$AZ$6:$BE$65,4,FALSE),"")</f>
        <v/>
      </c>
      <c r="AK2851" s="10" t="str">
        <f>IFERROR(VLOOKUP(B2851,'Pre-Summary'!$AZ$6:$BE$65,6,FALSE),"")</f>
        <v/>
      </c>
      <c r="AL2851" s="10" t="str">
        <f>IFERROR(VLOOKUP(B2851,'Pre-Summary'!$BG$6:$BL$44,3,FALSE),"")</f>
        <v/>
      </c>
      <c r="AM2851" s="10" t="str">
        <f>IFERROR(VLOOKUP(B2851,'Pre-Summary'!$BG$6:$BL$44,4,FALSE),"")</f>
        <v/>
      </c>
    </row>
    <row r="2852" spans="2:39" ht="15" customHeight="1" x14ac:dyDescent="0.3">
      <c r="B2852">
        <v>284.89999999999998</v>
      </c>
      <c r="C2852" t="str">
        <f>IFERROR(VLOOKUP(B2852,'Pre-Summary'!$DI$6:$DM$23,4,FALSE),"")</f>
        <v/>
      </c>
      <c r="D2852" s="10" t="str">
        <f>IFERROR(VLOOKUP(B2852,'Pre-Summary'!$AT$6:$AX$14,5,FALSE),D2851)</f>
        <v>Wolfe v3: went back to modified wolfe + EDTA and switched CuSO4 to CUCl2</v>
      </c>
      <c r="E2852" s="10" t="str">
        <f>IFERROR(VLOOKUP(B2852,'Pre-Summary'!$AT$6:$AX$15,4,FALSE),"")</f>
        <v/>
      </c>
      <c r="F2852">
        <f>IFERROR(VLOOKUP(B2852,'Pre-Summary'!$AL$6:$AQ$13,6,FALSE),F2851)</f>
        <v>5.9405263157894746E-2</v>
      </c>
      <c r="G2852" t="str">
        <f>IFERROR(VLOOKUP(B2852,'Pre-Summary'!$AE$6:$AJ$85,3,FALSE),"")</f>
        <v/>
      </c>
      <c r="H2852" t="str">
        <f>IFERROR(VLOOKUP(B2852,'Pre-Summary'!$AE$6:$AJ$85,4,FALSE),"")</f>
        <v/>
      </c>
      <c r="I2852" t="str">
        <f>IFERROR(VLOOKUP(B2852,'Pre-Summary'!$AE$6:$AJ$85,5,FALSE),"")</f>
        <v/>
      </c>
      <c r="J2852" s="45" t="str">
        <f>IFERROR(VLOOKUP(B2852,'Pre-Summary'!$AE$6:$AJ$85,6, FALSE),"")</f>
        <v/>
      </c>
      <c r="K2852" s="45" t="str">
        <f>IFERROR(VLOOKUP(B2852,'Pre-Summary'!$DE$6:$DG$61,3,FALSE),"")</f>
        <v/>
      </c>
      <c r="L2852" s="45" t="str">
        <f>IFERROR(VLOOKUP(B2852,'Pre-Summary'!$CU$6:$CW$36,3,FALSE),"")</f>
        <v/>
      </c>
      <c r="M2852" s="45" t="str">
        <f>IFERROR(VLOOKUP(B2852,'Pre-Summary'!$BW$6:$BY$58,2,FALSE),"")</f>
        <v/>
      </c>
      <c r="N2852" s="45" t="str">
        <f>IFERROR(VLOOKUP(B2852,'Pre-Summary'!$CD$6:$CF$64,2,FALSE),"")</f>
        <v/>
      </c>
      <c r="O2852" s="99">
        <f>IFERROR(VLOOKUP(B2852,'Pre-Summary'!$BO$6:$BQ$48,3, FALSE),O2851)</f>
        <v>2.7749999999999999</v>
      </c>
      <c r="P2852" s="99">
        <f>IFERROR(VLOOKUP(B2852,'Pre-Summary'!$BS$6:$BU$35,3,FALSE),P2851)</f>
        <v>0.70099999999999996</v>
      </c>
      <c r="Q2852" s="54">
        <f t="shared" si="132"/>
        <v>3.9586305278174039</v>
      </c>
      <c r="R2852" s="53">
        <f>IFERROR(VLOOKUP(B2852,'Pre-Summary'!$BG$6:$BM$44,7,FALSE),R2853)</f>
        <v>9.7082714118749885E-2</v>
      </c>
      <c r="S2852" s="53">
        <f>IFERROR(VLOOKUP(B2852,'Pre-Summary'!$BG$6:$BM$44,6,FALSE),S2853)</f>
        <v>8.6132390492961911E-2</v>
      </c>
      <c r="T2852" s="45" t="str">
        <f>IFERROR(VLOOKUP(B2852,'Pre-Summary'!$Y$6:$AC$83, 3,FALSE),"")</f>
        <v/>
      </c>
      <c r="U2852" s="45" t="str">
        <f>IFERROR(VLOOKUP(B2852,'Pre-Summary'!$Y$6:$AC$83, 4,FALSE),"")</f>
        <v/>
      </c>
      <c r="V2852" t="str">
        <f>IFERROR(VLOOKUP(B2852,'Pre-Summary'!$Y$6:$AC$83, 5,FALSE),"")</f>
        <v/>
      </c>
      <c r="W2852" s="45" t="str">
        <f>IFERROR(VLOOKUP(B2852,'Pre-Summary'!$Y$6:$AD$83,6,FALSE),"")</f>
        <v/>
      </c>
      <c r="X2852" t="str">
        <f>IFERROR(VLOOKUP('Pre-Summary'!$DB$6:$DD$63,3,FALSE),"")</f>
        <v/>
      </c>
      <c r="Y2852" t="str">
        <f>IFERROR(VLOOKUP(B2852,'Pre-Summary'!$CR$6:$CT$36,3,FALSE),"")</f>
        <v/>
      </c>
      <c r="Z2852" s="45" t="str">
        <f>IFERROR(VLOOKUP(B2852,'Pre-Summary'!$BZ$6:$CB$63,2,FALSE),"")</f>
        <v/>
      </c>
      <c r="AA2852" s="45" t="str">
        <f>IFERROR(VLOOKUP(B2852,'Pre-Summary'!$CG$6:$CI$70,2,FALSE),"")</f>
        <v/>
      </c>
      <c r="AB2852" s="99">
        <f>IFERROR(VLOOKUP(B2852,'Pre-Summary'!$A$6:$P$178,9,FALSE),AB2853)</f>
        <v>0.7010379290946207</v>
      </c>
      <c r="AC2852" s="10">
        <f>IFERROR(VLOOKUP(Summary!B2852,'Pre-Summary'!$A$6:$P$184,5, FALSE)/100,AC2853)</f>
        <v>0.92607166666666674</v>
      </c>
      <c r="AD2852" s="10">
        <f>IFERROR(VLOOKUP(Summary!B2852,'Pre-Summary'!$A$6:$P$184,3, FALSE)/100,AD2853)</f>
        <v>5.4963666666666668E-2</v>
      </c>
      <c r="AE2852" s="10">
        <f>IFERROR(VLOOKUP(Summary!B2852,'Pre-Summary'!$A$6:$P$184,7, FALSE)/100,AE2853)</f>
        <v>1.8946666666666667E-2</v>
      </c>
      <c r="AF2852" s="99">
        <f t="shared" si="133"/>
        <v>3.8531615055447034E-2</v>
      </c>
      <c r="AG2852" s="99">
        <f t="shared" si="134"/>
        <v>1.3282331963246082E-2</v>
      </c>
      <c r="AH2852" s="10" t="str">
        <f>IFERROR(VLOOKUP(B2852,'Pre-Summary'!$AZ$6:$BE$65,3,FALSE),"")</f>
        <v/>
      </c>
      <c r="AI2852" s="10" t="str">
        <f>IFERROR(VLOOKUP(B2852,'Pre-Summary'!$AZ$6:$BE$65,5,FALSE),"")</f>
        <v/>
      </c>
      <c r="AJ2852" s="10" t="str">
        <f>IFERROR(VLOOKUP(B2852,'Pre-Summary'!$AZ$6:$BE$65,4,FALSE),"")</f>
        <v/>
      </c>
      <c r="AK2852" s="10" t="str">
        <f>IFERROR(VLOOKUP(B2852,'Pre-Summary'!$AZ$6:$BE$65,6,FALSE),"")</f>
        <v/>
      </c>
      <c r="AL2852" s="10" t="str">
        <f>IFERROR(VLOOKUP(B2852,'Pre-Summary'!$BG$6:$BL$44,3,FALSE),"")</f>
        <v/>
      </c>
      <c r="AM2852" s="10" t="str">
        <f>IFERROR(VLOOKUP(B2852,'Pre-Summary'!$BG$6:$BL$44,4,FALSE),"")</f>
        <v/>
      </c>
    </row>
    <row r="2853" spans="2:39" ht="15" customHeight="1" x14ac:dyDescent="0.3">
      <c r="B2853">
        <v>285</v>
      </c>
      <c r="C2853" t="str">
        <f>IFERROR(VLOOKUP(B2853,'Pre-Summary'!$DI$6:$DM$23,4,FALSE),"")</f>
        <v/>
      </c>
      <c r="D2853" s="10" t="str">
        <f>IFERROR(VLOOKUP(B2853,'Pre-Summary'!$AT$6:$AX$14,5,FALSE),D2852)</f>
        <v>Wolfe v3: went back to modified wolfe + EDTA and switched CuSO4 to CUCl2</v>
      </c>
      <c r="E2853" s="10" t="str">
        <f>IFERROR(VLOOKUP(B2853,'Pre-Summary'!$AT$6:$AX$15,4,FALSE),"")</f>
        <v/>
      </c>
      <c r="F2853">
        <f>IFERROR(VLOOKUP(B2853,'Pre-Summary'!$AL$6:$AQ$13,6,FALSE),F2852)</f>
        <v>5.9405263157894746E-2</v>
      </c>
      <c r="G2853" t="str">
        <f>IFERROR(VLOOKUP(B2853,'Pre-Summary'!$AE$6:$AJ$85,3,FALSE),"")</f>
        <v/>
      </c>
      <c r="H2853" t="str">
        <f>IFERROR(VLOOKUP(B2853,'Pre-Summary'!$AE$6:$AJ$85,4,FALSE),"")</f>
        <v/>
      </c>
      <c r="I2853" t="str">
        <f>IFERROR(VLOOKUP(B2853,'Pre-Summary'!$AE$6:$AJ$85,5,FALSE),"")</f>
        <v/>
      </c>
      <c r="J2853" s="45" t="str">
        <f>IFERROR(VLOOKUP(B2853,'Pre-Summary'!$AE$6:$AJ$85,6, FALSE),"")</f>
        <v/>
      </c>
      <c r="K2853" s="45" t="str">
        <f>IFERROR(VLOOKUP(B2853,'Pre-Summary'!$DE$6:$DG$61,3,FALSE),"")</f>
        <v/>
      </c>
      <c r="L2853" s="45" t="str">
        <f>IFERROR(VLOOKUP(B2853,'Pre-Summary'!$CU$6:$CW$36,3,FALSE),"")</f>
        <v/>
      </c>
      <c r="M2853" s="45" t="str">
        <f>IFERROR(VLOOKUP(B2853,'Pre-Summary'!$BW$6:$BY$58,2,FALSE),"")</f>
        <v/>
      </c>
      <c r="N2853" s="45" t="str">
        <f>IFERROR(VLOOKUP(B2853,'Pre-Summary'!$CD$6:$CF$64,2,FALSE),"")</f>
        <v/>
      </c>
      <c r="O2853" s="99">
        <f>IFERROR(VLOOKUP(B2853,'Pre-Summary'!$BO$6:$BQ$48,3, FALSE),O2852)</f>
        <v>2.7749999999999999</v>
      </c>
      <c r="P2853" s="99">
        <f>IFERROR(VLOOKUP(B2853,'Pre-Summary'!$BS$6:$BU$35,3,FALSE),P2852)</f>
        <v>0.70099999999999996</v>
      </c>
      <c r="Q2853" s="54">
        <f t="shared" si="132"/>
        <v>3.9586305278174039</v>
      </c>
      <c r="R2853" s="53">
        <f>IFERROR(VLOOKUP(B2853,'Pre-Summary'!$BG$6:$BM$44,7,FALSE),R2854)</f>
        <v>9.7082714118749885E-2</v>
      </c>
      <c r="S2853" s="53">
        <f>IFERROR(VLOOKUP(B2853,'Pre-Summary'!$BG$6:$BM$44,6,FALSE),S2854)</f>
        <v>8.6132390492961911E-2</v>
      </c>
      <c r="T2853" s="45" t="str">
        <f>IFERROR(VLOOKUP(B2853,'Pre-Summary'!$Y$6:$AC$83, 3,FALSE),"")</f>
        <v/>
      </c>
      <c r="U2853" s="45" t="str">
        <f>IFERROR(VLOOKUP(B2853,'Pre-Summary'!$Y$6:$AC$83, 4,FALSE),"")</f>
        <v/>
      </c>
      <c r="V2853" t="str">
        <f>IFERROR(VLOOKUP(B2853,'Pre-Summary'!$Y$6:$AC$83, 5,FALSE),"")</f>
        <v/>
      </c>
      <c r="W2853" s="45" t="str">
        <f>IFERROR(VLOOKUP(B2853,'Pre-Summary'!$Y$6:$AD$83,6,FALSE),"")</f>
        <v/>
      </c>
      <c r="X2853" t="str">
        <f>IFERROR(VLOOKUP('Pre-Summary'!$DB$6:$DD$63,3,FALSE),"")</f>
        <v/>
      </c>
      <c r="Y2853" t="str">
        <f>IFERROR(VLOOKUP(B2853,'Pre-Summary'!$CR$6:$CT$36,3,FALSE),"")</f>
        <v/>
      </c>
      <c r="Z2853" s="45" t="str">
        <f>IFERROR(VLOOKUP(B2853,'Pre-Summary'!$BZ$6:$CB$63,2,FALSE),"")</f>
        <v/>
      </c>
      <c r="AA2853" s="45" t="str">
        <f>IFERROR(VLOOKUP(B2853,'Pre-Summary'!$CG$6:$CI$70,2,FALSE),"")</f>
        <v/>
      </c>
      <c r="AB2853" s="99">
        <f>IFERROR(VLOOKUP(B2853,'Pre-Summary'!$A$6:$P$178,9,FALSE),AB2854)</f>
        <v>0.7010379290946207</v>
      </c>
      <c r="AC2853" s="10">
        <f>IFERROR(VLOOKUP(Summary!B2853,'Pre-Summary'!$A$6:$P$184,5, FALSE)/100,AC2854)</f>
        <v>0.92607166666666674</v>
      </c>
      <c r="AD2853" s="10">
        <f>IFERROR(VLOOKUP(Summary!B2853,'Pre-Summary'!$A$6:$P$184,3, FALSE)/100,AD2854)</f>
        <v>5.4963666666666668E-2</v>
      </c>
      <c r="AE2853" s="10">
        <f>IFERROR(VLOOKUP(Summary!B2853,'Pre-Summary'!$A$6:$P$184,7, FALSE)/100,AE2854)</f>
        <v>1.8946666666666667E-2</v>
      </c>
      <c r="AF2853" s="99">
        <f t="shared" si="133"/>
        <v>3.8531615055447034E-2</v>
      </c>
      <c r="AG2853" s="99">
        <f t="shared" si="134"/>
        <v>1.3282331963246082E-2</v>
      </c>
      <c r="AH2853" s="10" t="str">
        <f>IFERROR(VLOOKUP(B2853,'Pre-Summary'!$AZ$6:$BE$65,3,FALSE),"")</f>
        <v/>
      </c>
      <c r="AI2853" s="10" t="str">
        <f>IFERROR(VLOOKUP(B2853,'Pre-Summary'!$AZ$6:$BE$65,5,FALSE),"")</f>
        <v/>
      </c>
      <c r="AJ2853" s="10" t="str">
        <f>IFERROR(VLOOKUP(B2853,'Pre-Summary'!$AZ$6:$BE$65,4,FALSE),"")</f>
        <v/>
      </c>
      <c r="AK2853" s="10" t="str">
        <f>IFERROR(VLOOKUP(B2853,'Pre-Summary'!$AZ$6:$BE$65,6,FALSE),"")</f>
        <v/>
      </c>
      <c r="AL2853" s="10" t="str">
        <f>IFERROR(VLOOKUP(B2853,'Pre-Summary'!$BG$6:$BL$44,3,FALSE),"")</f>
        <v/>
      </c>
      <c r="AM2853" s="10" t="str">
        <f>IFERROR(VLOOKUP(B2853,'Pre-Summary'!$BG$6:$BL$44,4,FALSE),"")</f>
        <v/>
      </c>
    </row>
    <row r="2854" spans="2:39" ht="15" customHeight="1" x14ac:dyDescent="0.3">
      <c r="B2854">
        <v>285.10000000000002</v>
      </c>
      <c r="C2854" t="str">
        <f>IFERROR(VLOOKUP(B2854,'Pre-Summary'!$DI$6:$DM$23,4,FALSE),"")</f>
        <v/>
      </c>
      <c r="D2854" s="10" t="str">
        <f>IFERROR(VLOOKUP(B2854,'Pre-Summary'!$AT$6:$AX$14,5,FALSE),D2853)</f>
        <v>Wolfe v3: went back to modified wolfe + EDTA and switched CuSO4 to CUCl2</v>
      </c>
      <c r="E2854" s="10" t="str">
        <f>IFERROR(VLOOKUP(B2854,'Pre-Summary'!$AT$6:$AX$15,4,FALSE),"")</f>
        <v/>
      </c>
      <c r="F2854">
        <f>IFERROR(VLOOKUP(B2854,'Pre-Summary'!$AL$6:$AQ$13,6,FALSE),F2853)</f>
        <v>5.9405263157894746E-2</v>
      </c>
      <c r="G2854" t="str">
        <f>IFERROR(VLOOKUP(B2854,'Pre-Summary'!$AE$6:$AJ$85,3,FALSE),"")</f>
        <v/>
      </c>
      <c r="H2854" t="str">
        <f>IFERROR(VLOOKUP(B2854,'Pre-Summary'!$AE$6:$AJ$85,4,FALSE),"")</f>
        <v/>
      </c>
      <c r="I2854" t="str">
        <f>IFERROR(VLOOKUP(B2854,'Pre-Summary'!$AE$6:$AJ$85,5,FALSE),"")</f>
        <v/>
      </c>
      <c r="J2854" s="45" t="str">
        <f>IFERROR(VLOOKUP(B2854,'Pre-Summary'!$AE$6:$AJ$85,6, FALSE),"")</f>
        <v/>
      </c>
      <c r="K2854" s="45" t="str">
        <f>IFERROR(VLOOKUP(B2854,'Pre-Summary'!$DE$6:$DG$61,3,FALSE),"")</f>
        <v/>
      </c>
      <c r="L2854" s="45" t="str">
        <f>IFERROR(VLOOKUP(B2854,'Pre-Summary'!$CU$6:$CW$36,3,FALSE),"")</f>
        <v/>
      </c>
      <c r="M2854" s="45" t="str">
        <f>IFERROR(VLOOKUP(B2854,'Pre-Summary'!$BW$6:$BY$58,2,FALSE),"")</f>
        <v/>
      </c>
      <c r="N2854" s="45" t="str">
        <f>IFERROR(VLOOKUP(B2854,'Pre-Summary'!$CD$6:$CF$64,2,FALSE),"")</f>
        <v/>
      </c>
      <c r="O2854" s="99">
        <f>IFERROR(VLOOKUP(B2854,'Pre-Summary'!$BO$6:$BQ$48,3, FALSE),O2853)</f>
        <v>2.7749999999999999</v>
      </c>
      <c r="P2854" s="99">
        <f>IFERROR(VLOOKUP(B2854,'Pre-Summary'!$BS$6:$BU$35,3,FALSE),P2853)</f>
        <v>0.70099999999999996</v>
      </c>
      <c r="Q2854" s="54">
        <f t="shared" si="132"/>
        <v>3.9586305278174039</v>
      </c>
      <c r="R2854" s="53">
        <f>IFERROR(VLOOKUP(B2854,'Pre-Summary'!$BG$6:$BM$44,7,FALSE),R2855)</f>
        <v>9.7082714118749885E-2</v>
      </c>
      <c r="S2854" s="53">
        <f>IFERROR(VLOOKUP(B2854,'Pre-Summary'!$BG$6:$BM$44,6,FALSE),S2855)</f>
        <v>8.6132390492961911E-2</v>
      </c>
      <c r="T2854" s="45" t="str">
        <f>IFERROR(VLOOKUP(B2854,'Pre-Summary'!$Y$6:$AC$83, 3,FALSE),"")</f>
        <v/>
      </c>
      <c r="U2854" s="45" t="str">
        <f>IFERROR(VLOOKUP(B2854,'Pre-Summary'!$Y$6:$AC$83, 4,FALSE),"")</f>
        <v/>
      </c>
      <c r="V2854" t="str">
        <f>IFERROR(VLOOKUP(B2854,'Pre-Summary'!$Y$6:$AC$83, 5,FALSE),"")</f>
        <v/>
      </c>
      <c r="W2854" s="45" t="str">
        <f>IFERROR(VLOOKUP(B2854,'Pre-Summary'!$Y$6:$AD$83,6,FALSE),"")</f>
        <v/>
      </c>
      <c r="X2854" t="str">
        <f>IFERROR(VLOOKUP('Pre-Summary'!$DB$6:$DD$63,3,FALSE),"")</f>
        <v/>
      </c>
      <c r="Y2854" t="str">
        <f>IFERROR(VLOOKUP(B2854,'Pre-Summary'!$CR$6:$CT$36,3,FALSE),"")</f>
        <v/>
      </c>
      <c r="Z2854" s="45" t="str">
        <f>IFERROR(VLOOKUP(B2854,'Pre-Summary'!$BZ$6:$CB$63,2,FALSE),"")</f>
        <v/>
      </c>
      <c r="AA2854" s="45" t="str">
        <f>IFERROR(VLOOKUP(B2854,'Pre-Summary'!$CG$6:$CI$70,2,FALSE),"")</f>
        <v/>
      </c>
      <c r="AB2854" s="99">
        <f>IFERROR(VLOOKUP(B2854,'Pre-Summary'!$A$6:$P$178,9,FALSE),AB2855)</f>
        <v>0.7010379290946207</v>
      </c>
      <c r="AC2854" s="10">
        <f>IFERROR(VLOOKUP(Summary!B2854,'Pre-Summary'!$A$6:$P$184,5, FALSE)/100,AC2855)</f>
        <v>0.92607166666666674</v>
      </c>
      <c r="AD2854" s="10">
        <f>IFERROR(VLOOKUP(Summary!B2854,'Pre-Summary'!$A$6:$P$184,3, FALSE)/100,AD2855)</f>
        <v>5.4963666666666668E-2</v>
      </c>
      <c r="AE2854" s="10">
        <f>IFERROR(VLOOKUP(Summary!B2854,'Pre-Summary'!$A$6:$P$184,7, FALSE)/100,AE2855)</f>
        <v>1.8946666666666667E-2</v>
      </c>
      <c r="AF2854" s="99">
        <f t="shared" si="133"/>
        <v>3.8531615055447034E-2</v>
      </c>
      <c r="AG2854" s="99">
        <f t="shared" si="134"/>
        <v>1.3282331963246082E-2</v>
      </c>
      <c r="AH2854" s="10" t="str">
        <f>IFERROR(VLOOKUP(B2854,'Pre-Summary'!$AZ$6:$BE$65,3,FALSE),"")</f>
        <v/>
      </c>
      <c r="AI2854" s="10" t="str">
        <f>IFERROR(VLOOKUP(B2854,'Pre-Summary'!$AZ$6:$BE$65,5,FALSE),"")</f>
        <v/>
      </c>
      <c r="AJ2854" s="10" t="str">
        <f>IFERROR(VLOOKUP(B2854,'Pre-Summary'!$AZ$6:$BE$65,4,FALSE),"")</f>
        <v/>
      </c>
      <c r="AK2854" s="10" t="str">
        <f>IFERROR(VLOOKUP(B2854,'Pre-Summary'!$AZ$6:$BE$65,6,FALSE),"")</f>
        <v/>
      </c>
      <c r="AL2854" s="10" t="str">
        <f>IFERROR(VLOOKUP(B2854,'Pre-Summary'!$BG$6:$BL$44,3,FALSE),"")</f>
        <v/>
      </c>
      <c r="AM2854" s="10" t="str">
        <f>IFERROR(VLOOKUP(B2854,'Pre-Summary'!$BG$6:$BL$44,4,FALSE),"")</f>
        <v/>
      </c>
    </row>
    <row r="2855" spans="2:39" ht="15" customHeight="1" x14ac:dyDescent="0.3">
      <c r="B2855">
        <v>285.2</v>
      </c>
      <c r="C2855" t="str">
        <f>IFERROR(VLOOKUP(B2855,'Pre-Summary'!$DI$6:$DM$23,4,FALSE),"")</f>
        <v/>
      </c>
      <c r="D2855" s="10" t="str">
        <f>IFERROR(VLOOKUP(B2855,'Pre-Summary'!$AT$6:$AX$14,5,FALSE),D2854)</f>
        <v>Wolfe v3: went back to modified wolfe + EDTA and switched CuSO4 to CUCl2</v>
      </c>
      <c r="E2855" s="10" t="str">
        <f>IFERROR(VLOOKUP(B2855,'Pre-Summary'!$AT$6:$AX$15,4,FALSE),"")</f>
        <v/>
      </c>
      <c r="F2855">
        <f>IFERROR(VLOOKUP(B2855,'Pre-Summary'!$AL$6:$AQ$13,6,FALSE),F2854)</f>
        <v>5.9405263157894746E-2</v>
      </c>
      <c r="G2855" t="str">
        <f>IFERROR(VLOOKUP(B2855,'Pre-Summary'!$AE$6:$AJ$85,3,FALSE),"")</f>
        <v/>
      </c>
      <c r="H2855" t="str">
        <f>IFERROR(VLOOKUP(B2855,'Pre-Summary'!$AE$6:$AJ$85,4,FALSE),"")</f>
        <v/>
      </c>
      <c r="I2855" t="str">
        <f>IFERROR(VLOOKUP(B2855,'Pre-Summary'!$AE$6:$AJ$85,5,FALSE),"")</f>
        <v/>
      </c>
      <c r="J2855" s="45" t="str">
        <f>IFERROR(VLOOKUP(B2855,'Pre-Summary'!$AE$6:$AJ$85,6, FALSE),"")</f>
        <v/>
      </c>
      <c r="K2855" s="45" t="str">
        <f>IFERROR(VLOOKUP(B2855,'Pre-Summary'!$DE$6:$DG$61,3,FALSE),"")</f>
        <v/>
      </c>
      <c r="L2855" s="45" t="str">
        <f>IFERROR(VLOOKUP(B2855,'Pre-Summary'!$CU$6:$CW$36,3,FALSE),"")</f>
        <v/>
      </c>
      <c r="M2855" s="45" t="str">
        <f>IFERROR(VLOOKUP(B2855,'Pre-Summary'!$BW$6:$BY$58,2,FALSE),"")</f>
        <v/>
      </c>
      <c r="N2855" s="45" t="str">
        <f>IFERROR(VLOOKUP(B2855,'Pre-Summary'!$CD$6:$CF$64,2,FALSE),"")</f>
        <v/>
      </c>
      <c r="O2855" s="99">
        <f>IFERROR(VLOOKUP(B2855,'Pre-Summary'!$BO$6:$BQ$48,3, FALSE),O2854)</f>
        <v>2.7749999999999999</v>
      </c>
      <c r="P2855" s="99">
        <f>IFERROR(VLOOKUP(B2855,'Pre-Summary'!$BS$6:$BU$35,3,FALSE),P2854)</f>
        <v>0.70099999999999996</v>
      </c>
      <c r="Q2855" s="54">
        <f t="shared" si="132"/>
        <v>3.9586305278174039</v>
      </c>
      <c r="R2855" s="53">
        <f>IFERROR(VLOOKUP(B2855,'Pre-Summary'!$BG$6:$BM$44,7,FALSE),R2856)</f>
        <v>9.7082714118749885E-2</v>
      </c>
      <c r="S2855" s="53">
        <f>IFERROR(VLOOKUP(B2855,'Pre-Summary'!$BG$6:$BM$44,6,FALSE),S2856)</f>
        <v>8.6132390492961911E-2</v>
      </c>
      <c r="T2855" s="45" t="str">
        <f>IFERROR(VLOOKUP(B2855,'Pre-Summary'!$Y$6:$AC$83, 3,FALSE),"")</f>
        <v/>
      </c>
      <c r="U2855" s="45" t="str">
        <f>IFERROR(VLOOKUP(B2855,'Pre-Summary'!$Y$6:$AC$83, 4,FALSE),"")</f>
        <v/>
      </c>
      <c r="V2855" t="str">
        <f>IFERROR(VLOOKUP(B2855,'Pre-Summary'!$Y$6:$AC$83, 5,FALSE),"")</f>
        <v/>
      </c>
      <c r="W2855" s="45" t="str">
        <f>IFERROR(VLOOKUP(B2855,'Pre-Summary'!$Y$6:$AD$83,6,FALSE),"")</f>
        <v/>
      </c>
      <c r="X2855" t="str">
        <f>IFERROR(VLOOKUP('Pre-Summary'!$DB$6:$DD$63,3,FALSE),"")</f>
        <v/>
      </c>
      <c r="Y2855" t="str">
        <f>IFERROR(VLOOKUP(B2855,'Pre-Summary'!$CR$6:$CT$36,3,FALSE),"")</f>
        <v/>
      </c>
      <c r="Z2855" s="45" t="str">
        <f>IFERROR(VLOOKUP(B2855,'Pre-Summary'!$BZ$6:$CB$63,2,FALSE),"")</f>
        <v/>
      </c>
      <c r="AA2855" s="45" t="str">
        <f>IFERROR(VLOOKUP(B2855,'Pre-Summary'!$CG$6:$CI$70,2,FALSE),"")</f>
        <v/>
      </c>
      <c r="AB2855" s="99">
        <f>IFERROR(VLOOKUP(B2855,'Pre-Summary'!$A$6:$P$178,9,FALSE),AB2856)</f>
        <v>0.7010379290946207</v>
      </c>
      <c r="AC2855" s="10">
        <f>IFERROR(VLOOKUP(Summary!B2855,'Pre-Summary'!$A$6:$P$184,5, FALSE)/100,AC2856)</f>
        <v>0.92607166666666674</v>
      </c>
      <c r="AD2855" s="10">
        <f>IFERROR(VLOOKUP(Summary!B2855,'Pre-Summary'!$A$6:$P$184,3, FALSE)/100,AD2856)</f>
        <v>5.4963666666666668E-2</v>
      </c>
      <c r="AE2855" s="10">
        <f>IFERROR(VLOOKUP(Summary!B2855,'Pre-Summary'!$A$6:$P$184,7, FALSE)/100,AE2856)</f>
        <v>1.8946666666666667E-2</v>
      </c>
      <c r="AF2855" s="99">
        <f t="shared" si="133"/>
        <v>3.8531615055447034E-2</v>
      </c>
      <c r="AG2855" s="99">
        <f t="shared" si="134"/>
        <v>1.3282331963246082E-2</v>
      </c>
      <c r="AH2855" s="10" t="str">
        <f>IFERROR(VLOOKUP(B2855,'Pre-Summary'!$AZ$6:$BE$65,3,FALSE),"")</f>
        <v/>
      </c>
      <c r="AI2855" s="10" t="str">
        <f>IFERROR(VLOOKUP(B2855,'Pre-Summary'!$AZ$6:$BE$65,5,FALSE),"")</f>
        <v/>
      </c>
      <c r="AJ2855" s="10" t="str">
        <f>IFERROR(VLOOKUP(B2855,'Pre-Summary'!$AZ$6:$BE$65,4,FALSE),"")</f>
        <v/>
      </c>
      <c r="AK2855" s="10" t="str">
        <f>IFERROR(VLOOKUP(B2855,'Pre-Summary'!$AZ$6:$BE$65,6,FALSE),"")</f>
        <v/>
      </c>
      <c r="AL2855" s="10" t="str">
        <f>IFERROR(VLOOKUP(B2855,'Pre-Summary'!$BG$6:$BL$44,3,FALSE),"")</f>
        <v/>
      </c>
      <c r="AM2855" s="10" t="str">
        <f>IFERROR(VLOOKUP(B2855,'Pre-Summary'!$BG$6:$BL$44,4,FALSE),"")</f>
        <v/>
      </c>
    </row>
    <row r="2856" spans="2:39" ht="15" customHeight="1" x14ac:dyDescent="0.3">
      <c r="B2856">
        <v>285.3</v>
      </c>
      <c r="C2856" t="str">
        <f>IFERROR(VLOOKUP(B2856,'Pre-Summary'!$DI$6:$DM$23,4,FALSE),"")</f>
        <v/>
      </c>
      <c r="D2856" s="10" t="str">
        <f>IFERROR(VLOOKUP(B2856,'Pre-Summary'!$AT$6:$AX$14,5,FALSE),D2855)</f>
        <v>Wolfe v3: went back to modified wolfe + EDTA and switched CuSO4 to CUCl2</v>
      </c>
      <c r="E2856" s="10" t="str">
        <f>IFERROR(VLOOKUP(B2856,'Pre-Summary'!$AT$6:$AX$15,4,FALSE),"")</f>
        <v/>
      </c>
      <c r="F2856">
        <f>IFERROR(VLOOKUP(B2856,'Pre-Summary'!$AL$6:$AQ$13,6,FALSE),F2855)</f>
        <v>5.9405263157894746E-2</v>
      </c>
      <c r="G2856" t="str">
        <f>IFERROR(VLOOKUP(B2856,'Pre-Summary'!$AE$6:$AJ$85,3,FALSE),"")</f>
        <v/>
      </c>
      <c r="H2856" t="str">
        <f>IFERROR(VLOOKUP(B2856,'Pre-Summary'!$AE$6:$AJ$85,4,FALSE),"")</f>
        <v/>
      </c>
      <c r="I2856" t="str">
        <f>IFERROR(VLOOKUP(B2856,'Pre-Summary'!$AE$6:$AJ$85,5,FALSE),"")</f>
        <v/>
      </c>
      <c r="J2856" s="45" t="str">
        <f>IFERROR(VLOOKUP(B2856,'Pre-Summary'!$AE$6:$AJ$85,6, FALSE),"")</f>
        <v/>
      </c>
      <c r="K2856" s="45" t="str">
        <f>IFERROR(VLOOKUP(B2856,'Pre-Summary'!$DE$6:$DG$61,3,FALSE),"")</f>
        <v/>
      </c>
      <c r="L2856" s="45" t="str">
        <f>IFERROR(VLOOKUP(B2856,'Pre-Summary'!$CU$6:$CW$36,3,FALSE),"")</f>
        <v/>
      </c>
      <c r="M2856" s="45" t="str">
        <f>IFERROR(VLOOKUP(B2856,'Pre-Summary'!$BW$6:$BY$58,2,FALSE),"")</f>
        <v/>
      </c>
      <c r="N2856" s="45" t="str">
        <f>IFERROR(VLOOKUP(B2856,'Pre-Summary'!$CD$6:$CF$64,2,FALSE),"")</f>
        <v/>
      </c>
      <c r="O2856" s="99">
        <f>IFERROR(VLOOKUP(B2856,'Pre-Summary'!$BO$6:$BQ$48,3, FALSE),O2855)</f>
        <v>2.7749999999999999</v>
      </c>
      <c r="P2856" s="99">
        <f>IFERROR(VLOOKUP(B2856,'Pre-Summary'!$BS$6:$BU$35,3,FALSE),P2855)</f>
        <v>0.70099999999999996</v>
      </c>
      <c r="Q2856" s="54">
        <f t="shared" si="132"/>
        <v>3.9586305278174039</v>
      </c>
      <c r="R2856" s="53">
        <f>IFERROR(VLOOKUP(B2856,'Pre-Summary'!$BG$6:$BM$44,7,FALSE),R2857)</f>
        <v>9.7082714118749885E-2</v>
      </c>
      <c r="S2856" s="53">
        <f>IFERROR(VLOOKUP(B2856,'Pre-Summary'!$BG$6:$BM$44,6,FALSE),S2857)</f>
        <v>8.6132390492961911E-2</v>
      </c>
      <c r="T2856" s="45" t="str">
        <f>IFERROR(VLOOKUP(B2856,'Pre-Summary'!$Y$6:$AC$83, 3,FALSE),"")</f>
        <v/>
      </c>
      <c r="U2856" s="45" t="str">
        <f>IFERROR(VLOOKUP(B2856,'Pre-Summary'!$Y$6:$AC$83, 4,FALSE),"")</f>
        <v/>
      </c>
      <c r="V2856" t="str">
        <f>IFERROR(VLOOKUP(B2856,'Pre-Summary'!$Y$6:$AC$83, 5,FALSE),"")</f>
        <v/>
      </c>
      <c r="W2856" s="45" t="str">
        <f>IFERROR(VLOOKUP(B2856,'Pre-Summary'!$Y$6:$AD$83,6,FALSE),"")</f>
        <v/>
      </c>
      <c r="X2856" t="str">
        <f>IFERROR(VLOOKUP('Pre-Summary'!$DB$6:$DD$63,3,FALSE),"")</f>
        <v/>
      </c>
      <c r="Y2856" t="str">
        <f>IFERROR(VLOOKUP(B2856,'Pre-Summary'!$CR$6:$CT$36,3,FALSE),"")</f>
        <v/>
      </c>
      <c r="Z2856" s="45" t="str">
        <f>IFERROR(VLOOKUP(B2856,'Pre-Summary'!$BZ$6:$CB$63,2,FALSE),"")</f>
        <v/>
      </c>
      <c r="AA2856" s="45" t="str">
        <f>IFERROR(VLOOKUP(B2856,'Pre-Summary'!$CG$6:$CI$70,2,FALSE),"")</f>
        <v/>
      </c>
      <c r="AB2856" s="99">
        <f>IFERROR(VLOOKUP(B2856,'Pre-Summary'!$A$6:$P$178,9,FALSE),AB2857)</f>
        <v>0.7010379290946207</v>
      </c>
      <c r="AC2856" s="10">
        <f>IFERROR(VLOOKUP(Summary!B2856,'Pre-Summary'!$A$6:$P$184,5, FALSE)/100,AC2857)</f>
        <v>0.92607166666666674</v>
      </c>
      <c r="AD2856" s="10">
        <f>IFERROR(VLOOKUP(Summary!B2856,'Pre-Summary'!$A$6:$P$184,3, FALSE)/100,AD2857)</f>
        <v>5.4963666666666668E-2</v>
      </c>
      <c r="AE2856" s="10">
        <f>IFERROR(VLOOKUP(Summary!B2856,'Pre-Summary'!$A$6:$P$184,7, FALSE)/100,AE2857)</f>
        <v>1.8946666666666667E-2</v>
      </c>
      <c r="AF2856" s="99">
        <f t="shared" si="133"/>
        <v>3.8531615055447034E-2</v>
      </c>
      <c r="AG2856" s="99">
        <f t="shared" si="134"/>
        <v>1.3282331963246082E-2</v>
      </c>
      <c r="AH2856" s="10" t="str">
        <f>IFERROR(VLOOKUP(B2856,'Pre-Summary'!$AZ$6:$BE$65,3,FALSE),"")</f>
        <v/>
      </c>
      <c r="AI2856" s="10" t="str">
        <f>IFERROR(VLOOKUP(B2856,'Pre-Summary'!$AZ$6:$BE$65,5,FALSE),"")</f>
        <v/>
      </c>
      <c r="AJ2856" s="10" t="str">
        <f>IFERROR(VLOOKUP(B2856,'Pre-Summary'!$AZ$6:$BE$65,4,FALSE),"")</f>
        <v/>
      </c>
      <c r="AK2856" s="10" t="str">
        <f>IFERROR(VLOOKUP(B2856,'Pre-Summary'!$AZ$6:$BE$65,6,FALSE),"")</f>
        <v/>
      </c>
      <c r="AL2856" s="10" t="str">
        <f>IFERROR(VLOOKUP(B2856,'Pre-Summary'!$BG$6:$BL$44,3,FALSE),"")</f>
        <v/>
      </c>
      <c r="AM2856" s="10" t="str">
        <f>IFERROR(VLOOKUP(B2856,'Pre-Summary'!$BG$6:$BL$44,4,FALSE),"")</f>
        <v/>
      </c>
    </row>
    <row r="2857" spans="2:39" ht="15" customHeight="1" x14ac:dyDescent="0.3">
      <c r="B2857">
        <v>285.39999999999998</v>
      </c>
      <c r="C2857" t="str">
        <f>IFERROR(VLOOKUP(B2857,'Pre-Summary'!$DI$6:$DM$23,4,FALSE),"")</f>
        <v/>
      </c>
      <c r="D2857" s="10" t="str">
        <f>IFERROR(VLOOKUP(B2857,'Pre-Summary'!$AT$6:$AX$14,5,FALSE),D2856)</f>
        <v>Wolfe v3: went back to modified wolfe + EDTA and switched CuSO4 to CUCl2</v>
      </c>
      <c r="E2857" s="10" t="str">
        <f>IFERROR(VLOOKUP(B2857,'Pre-Summary'!$AT$6:$AX$15,4,FALSE),"")</f>
        <v/>
      </c>
      <c r="F2857">
        <f>IFERROR(VLOOKUP(B2857,'Pre-Summary'!$AL$6:$AQ$13,6,FALSE),F2856)</f>
        <v>5.9405263157894746E-2</v>
      </c>
      <c r="G2857" t="str">
        <f>IFERROR(VLOOKUP(B2857,'Pre-Summary'!$AE$6:$AJ$85,3,FALSE),"")</f>
        <v/>
      </c>
      <c r="H2857" t="str">
        <f>IFERROR(VLOOKUP(B2857,'Pre-Summary'!$AE$6:$AJ$85,4,FALSE),"")</f>
        <v/>
      </c>
      <c r="I2857" t="str">
        <f>IFERROR(VLOOKUP(B2857,'Pre-Summary'!$AE$6:$AJ$85,5,FALSE),"")</f>
        <v/>
      </c>
      <c r="J2857" s="45" t="str">
        <f>IFERROR(VLOOKUP(B2857,'Pre-Summary'!$AE$6:$AJ$85,6, FALSE),"")</f>
        <v/>
      </c>
      <c r="K2857" s="45" t="str">
        <f>IFERROR(VLOOKUP(B2857,'Pre-Summary'!$DE$6:$DG$61,3,FALSE),"")</f>
        <v/>
      </c>
      <c r="L2857" s="45" t="str">
        <f>IFERROR(VLOOKUP(B2857,'Pre-Summary'!$CU$6:$CW$36,3,FALSE),"")</f>
        <v/>
      </c>
      <c r="M2857" s="45" t="str">
        <f>IFERROR(VLOOKUP(B2857,'Pre-Summary'!$BW$6:$BY$58,2,FALSE),"")</f>
        <v/>
      </c>
      <c r="N2857" s="45" t="str">
        <f>IFERROR(VLOOKUP(B2857,'Pre-Summary'!$CD$6:$CF$64,2,FALSE),"")</f>
        <v/>
      </c>
      <c r="O2857" s="99">
        <f>IFERROR(VLOOKUP(B2857,'Pre-Summary'!$BO$6:$BQ$48,3, FALSE),O2856)</f>
        <v>2.7749999999999999</v>
      </c>
      <c r="P2857" s="99">
        <f>IFERROR(VLOOKUP(B2857,'Pre-Summary'!$BS$6:$BU$35,3,FALSE),P2856)</f>
        <v>0.70099999999999996</v>
      </c>
      <c r="Q2857" s="54">
        <f t="shared" si="132"/>
        <v>3.9586305278174039</v>
      </c>
      <c r="R2857" s="53">
        <f>IFERROR(VLOOKUP(B2857,'Pre-Summary'!$BG$6:$BM$44,7,FALSE),R2858)</f>
        <v>9.7082714118749885E-2</v>
      </c>
      <c r="S2857" s="53">
        <f>IFERROR(VLOOKUP(B2857,'Pre-Summary'!$BG$6:$BM$44,6,FALSE),S2858)</f>
        <v>8.6132390492961911E-2</v>
      </c>
      <c r="T2857" s="45" t="str">
        <f>IFERROR(VLOOKUP(B2857,'Pre-Summary'!$Y$6:$AC$83, 3,FALSE),"")</f>
        <v/>
      </c>
      <c r="U2857" s="45" t="str">
        <f>IFERROR(VLOOKUP(B2857,'Pre-Summary'!$Y$6:$AC$83, 4,FALSE),"")</f>
        <v/>
      </c>
      <c r="V2857" t="str">
        <f>IFERROR(VLOOKUP(B2857,'Pre-Summary'!$Y$6:$AC$83, 5,FALSE),"")</f>
        <v/>
      </c>
      <c r="W2857" s="45" t="str">
        <f>IFERROR(VLOOKUP(B2857,'Pre-Summary'!$Y$6:$AD$83,6,FALSE),"")</f>
        <v/>
      </c>
      <c r="X2857" t="str">
        <f>IFERROR(VLOOKUP('Pre-Summary'!$DB$6:$DD$63,3,FALSE),"")</f>
        <v/>
      </c>
      <c r="Y2857" t="str">
        <f>IFERROR(VLOOKUP(B2857,'Pre-Summary'!$CR$6:$CT$36,3,FALSE),"")</f>
        <v/>
      </c>
      <c r="Z2857" s="45" t="str">
        <f>IFERROR(VLOOKUP(B2857,'Pre-Summary'!$BZ$6:$CB$63,2,FALSE),"")</f>
        <v/>
      </c>
      <c r="AA2857" s="45" t="str">
        <f>IFERROR(VLOOKUP(B2857,'Pre-Summary'!$CG$6:$CI$70,2,FALSE),"")</f>
        <v/>
      </c>
      <c r="AB2857" s="99">
        <f>IFERROR(VLOOKUP(B2857,'Pre-Summary'!$A$6:$P$178,9,FALSE),AB2858)</f>
        <v>0.7010379290946207</v>
      </c>
      <c r="AC2857" s="10">
        <f>IFERROR(VLOOKUP(Summary!B2857,'Pre-Summary'!$A$6:$P$184,5, FALSE)/100,AC2858)</f>
        <v>0.92607166666666674</v>
      </c>
      <c r="AD2857" s="10">
        <f>IFERROR(VLOOKUP(Summary!B2857,'Pre-Summary'!$A$6:$P$184,3, FALSE)/100,AD2858)</f>
        <v>5.4963666666666668E-2</v>
      </c>
      <c r="AE2857" s="10">
        <f>IFERROR(VLOOKUP(Summary!B2857,'Pre-Summary'!$A$6:$P$184,7, FALSE)/100,AE2858)</f>
        <v>1.8946666666666667E-2</v>
      </c>
      <c r="AF2857" s="99">
        <f t="shared" si="133"/>
        <v>3.8531615055447034E-2</v>
      </c>
      <c r="AG2857" s="99">
        <f t="shared" si="134"/>
        <v>1.3282331963246082E-2</v>
      </c>
      <c r="AH2857" s="10" t="str">
        <f>IFERROR(VLOOKUP(B2857,'Pre-Summary'!$AZ$6:$BE$65,3,FALSE),"")</f>
        <v/>
      </c>
      <c r="AI2857" s="10" t="str">
        <f>IFERROR(VLOOKUP(B2857,'Pre-Summary'!$AZ$6:$BE$65,5,FALSE),"")</f>
        <v/>
      </c>
      <c r="AJ2857" s="10" t="str">
        <f>IFERROR(VLOOKUP(B2857,'Pre-Summary'!$AZ$6:$BE$65,4,FALSE),"")</f>
        <v/>
      </c>
      <c r="AK2857" s="10" t="str">
        <f>IFERROR(VLOOKUP(B2857,'Pre-Summary'!$AZ$6:$BE$65,6,FALSE),"")</f>
        <v/>
      </c>
      <c r="AL2857" s="10" t="str">
        <f>IFERROR(VLOOKUP(B2857,'Pre-Summary'!$BG$6:$BL$44,3,FALSE),"")</f>
        <v/>
      </c>
      <c r="AM2857" s="10" t="str">
        <f>IFERROR(VLOOKUP(B2857,'Pre-Summary'!$BG$6:$BL$44,4,FALSE),"")</f>
        <v/>
      </c>
    </row>
    <row r="2858" spans="2:39" ht="15" customHeight="1" x14ac:dyDescent="0.3">
      <c r="B2858">
        <v>285.5</v>
      </c>
      <c r="C2858" t="str">
        <f>IFERROR(VLOOKUP(B2858,'Pre-Summary'!$DI$6:$DM$23,4,FALSE),"")</f>
        <v/>
      </c>
      <c r="D2858" s="10" t="str">
        <f>IFERROR(VLOOKUP(B2858,'Pre-Summary'!$AT$6:$AX$14,5,FALSE),D2857)</f>
        <v>Wolfe v3: went back to modified wolfe + EDTA and switched CuSO4 to CUCl2</v>
      </c>
      <c r="E2858" s="10" t="str">
        <f>IFERROR(VLOOKUP(B2858,'Pre-Summary'!$AT$6:$AX$15,4,FALSE),"")</f>
        <v/>
      </c>
      <c r="F2858">
        <f>IFERROR(VLOOKUP(B2858,'Pre-Summary'!$AL$6:$AQ$13,6,FALSE),F2857)</f>
        <v>5.9405263157894746E-2</v>
      </c>
      <c r="G2858">
        <f>IFERROR(VLOOKUP(B2858,'Pre-Summary'!$AE$6:$AJ$85,3,FALSE),"")</f>
        <v>1.264</v>
      </c>
      <c r="H2858">
        <f>IFERROR(VLOOKUP(B2858,'Pre-Summary'!$AE$6:$AJ$85,4,FALSE),"")</f>
        <v>0.89700000000000002</v>
      </c>
      <c r="I2858">
        <f>IFERROR(VLOOKUP(B2858,'Pre-Summary'!$AE$6:$AJ$85,5,FALSE),"")</f>
        <v>1.1850000000000001</v>
      </c>
      <c r="J2858" s="45">
        <f>IFERROR(VLOOKUP(B2858,'Pre-Summary'!$AE$6:$AJ$85,6, FALSE),"")</f>
        <v>4.8610760000000006</v>
      </c>
      <c r="K2858" s="45" t="str">
        <f>IFERROR(VLOOKUP(B2858,'Pre-Summary'!$DE$6:$DG$61,3,FALSE),"")</f>
        <v/>
      </c>
      <c r="L2858" s="45" t="str">
        <f>IFERROR(VLOOKUP(B2858,'Pre-Summary'!$CU$6:$CW$36,3,FALSE),"")</f>
        <v/>
      </c>
      <c r="M2858" s="45" t="str">
        <f>IFERROR(VLOOKUP(B2858,'Pre-Summary'!$BW$6:$BY$58,2,FALSE),"")</f>
        <v/>
      </c>
      <c r="N2858" s="45">
        <f>IFERROR(VLOOKUP(B2858,'Pre-Summary'!$CD$6:$CF$64,2,FALSE),"")</f>
        <v>175.25551975142375</v>
      </c>
      <c r="O2858" s="99">
        <f>IFERROR(VLOOKUP(B2858,'Pre-Summary'!$BO$6:$BQ$48,3, FALSE),O2857)</f>
        <v>2.7749999999999999</v>
      </c>
      <c r="P2858" s="99">
        <f>IFERROR(VLOOKUP(B2858,'Pre-Summary'!$BS$6:$BU$35,3,FALSE),P2857)</f>
        <v>0.70099999999999996</v>
      </c>
      <c r="Q2858" s="54">
        <f t="shared" si="132"/>
        <v>3.9586305278174039</v>
      </c>
      <c r="R2858" s="53">
        <f>IFERROR(VLOOKUP(B2858,'Pre-Summary'!$BG$6:$BM$44,7,FALSE),R2859)</f>
        <v>9.7082714118749885E-2</v>
      </c>
      <c r="S2858" s="53">
        <f>IFERROR(VLOOKUP(B2858,'Pre-Summary'!$BG$6:$BM$44,6,FALSE),S2859)</f>
        <v>8.6132390492961911E-2</v>
      </c>
      <c r="T2858" s="45">
        <f>IFERROR(VLOOKUP(B2858,'Pre-Summary'!$Y$6:$AC$83, 3,FALSE),"")</f>
        <v>3.5009999999999999</v>
      </c>
      <c r="U2858" s="45">
        <f>IFERROR(VLOOKUP(B2858,'Pre-Summary'!$Y$6:$AC$83, 4,FALSE),"")</f>
        <v>1.0269999999999999</v>
      </c>
      <c r="V2858">
        <f>IFERROR(VLOOKUP(B2858,'Pre-Summary'!$Y$6:$AC$83, 5,FALSE),"")</f>
        <v>1.198</v>
      </c>
      <c r="W2858" s="45">
        <f>IFERROR(VLOOKUP(B2858,'Pre-Summary'!$Y$6:$AD$83,6,FALSE),"")</f>
        <v>7.4684089999999994</v>
      </c>
      <c r="X2858" t="str">
        <f>IFERROR(VLOOKUP('Pre-Summary'!$DB$6:$DD$63,3,FALSE),"")</f>
        <v/>
      </c>
      <c r="Y2858" t="str">
        <f>IFERROR(VLOOKUP(B2858,'Pre-Summary'!$CR$6:$CT$36,3,FALSE),"")</f>
        <v/>
      </c>
      <c r="Z2858" s="45" t="str">
        <f>IFERROR(VLOOKUP(B2858,'Pre-Summary'!$BZ$6:$CB$63,2,FALSE),"")</f>
        <v/>
      </c>
      <c r="AA2858" s="45" t="str">
        <f>IFERROR(VLOOKUP(B2858,'Pre-Summary'!$CG$6:$CI$70,2,FALSE),"")</f>
        <v/>
      </c>
      <c r="AB2858" s="99">
        <f>IFERROR(VLOOKUP(B2858,'Pre-Summary'!$A$6:$P$178,9,FALSE),AB2859)</f>
        <v>0.7010379290946207</v>
      </c>
      <c r="AC2858" s="10">
        <f>IFERROR(VLOOKUP(Summary!B2858,'Pre-Summary'!$A$6:$P$184,5, FALSE)/100,AC2859)</f>
        <v>0.92607166666666674</v>
      </c>
      <c r="AD2858" s="10">
        <f>IFERROR(VLOOKUP(Summary!B2858,'Pre-Summary'!$A$6:$P$184,3, FALSE)/100,AD2859)</f>
        <v>5.4963666666666668E-2</v>
      </c>
      <c r="AE2858" s="10">
        <f>IFERROR(VLOOKUP(Summary!B2858,'Pre-Summary'!$A$6:$P$184,7, FALSE)/100,AE2859)</f>
        <v>1.8946666666666667E-2</v>
      </c>
      <c r="AF2858" s="99">
        <f t="shared" si="133"/>
        <v>3.8531615055447034E-2</v>
      </c>
      <c r="AG2858" s="99">
        <f t="shared" si="134"/>
        <v>1.3282331963246082E-2</v>
      </c>
      <c r="AH2858" s="10" t="str">
        <f>IFERROR(VLOOKUP(B2858,'Pre-Summary'!$AZ$6:$BE$65,3,FALSE),"")</f>
        <v/>
      </c>
      <c r="AI2858" s="10" t="str">
        <f>IFERROR(VLOOKUP(B2858,'Pre-Summary'!$AZ$6:$BE$65,5,FALSE),"")</f>
        <v/>
      </c>
      <c r="AJ2858" s="10" t="str">
        <f>IFERROR(VLOOKUP(B2858,'Pre-Summary'!$AZ$6:$BE$65,4,FALSE),"")</f>
        <v/>
      </c>
      <c r="AK2858" s="10" t="str">
        <f>IFERROR(VLOOKUP(B2858,'Pre-Summary'!$AZ$6:$BE$65,6,FALSE),"")</f>
        <v/>
      </c>
      <c r="AL2858" s="10" t="str">
        <f>IFERROR(VLOOKUP(B2858,'Pre-Summary'!$BG$6:$BL$44,3,FALSE),"")</f>
        <v/>
      </c>
      <c r="AM2858" s="10" t="str">
        <f>IFERROR(VLOOKUP(B2858,'Pre-Summary'!$BG$6:$BL$44,4,FALSE),"")</f>
        <v/>
      </c>
    </row>
    <row r="2859" spans="2:39" ht="15" customHeight="1" x14ac:dyDescent="0.3">
      <c r="B2859">
        <v>285.60000000000002</v>
      </c>
      <c r="C2859" t="str">
        <f>IFERROR(VLOOKUP(B2859,'Pre-Summary'!$DI$6:$DM$23,4,FALSE),"")</f>
        <v/>
      </c>
      <c r="D2859" s="10" t="str">
        <f>IFERROR(VLOOKUP(B2859,'Pre-Summary'!$AT$6:$AX$14,5,FALSE),D2858)</f>
        <v>Wolfe v3: went back to modified wolfe + EDTA and switched CuSO4 to CUCl2</v>
      </c>
      <c r="E2859" s="10" t="str">
        <f>IFERROR(VLOOKUP(B2859,'Pre-Summary'!$AT$6:$AX$15,4,FALSE),"")</f>
        <v/>
      </c>
      <c r="F2859">
        <f>IFERROR(VLOOKUP(B2859,'Pre-Summary'!$AL$6:$AQ$13,6,FALSE),F2858)</f>
        <v>5.9405263157894746E-2</v>
      </c>
      <c r="G2859" t="str">
        <f>IFERROR(VLOOKUP(B2859,'Pre-Summary'!$AE$6:$AJ$85,3,FALSE),"")</f>
        <v/>
      </c>
      <c r="H2859" t="str">
        <f>IFERROR(VLOOKUP(B2859,'Pre-Summary'!$AE$6:$AJ$85,4,FALSE),"")</f>
        <v/>
      </c>
      <c r="I2859" t="str">
        <f>IFERROR(VLOOKUP(B2859,'Pre-Summary'!$AE$6:$AJ$85,5,FALSE),"")</f>
        <v/>
      </c>
      <c r="J2859" s="45" t="str">
        <f>IFERROR(VLOOKUP(B2859,'Pre-Summary'!$AE$6:$AJ$85,6, FALSE),"")</f>
        <v/>
      </c>
      <c r="K2859" s="45" t="str">
        <f>IFERROR(VLOOKUP(B2859,'Pre-Summary'!$DE$6:$DG$61,3,FALSE),"")</f>
        <v/>
      </c>
      <c r="L2859" s="45" t="str">
        <f>IFERROR(VLOOKUP(B2859,'Pre-Summary'!$CU$6:$CW$36,3,FALSE),"")</f>
        <v/>
      </c>
      <c r="M2859" s="45" t="str">
        <f>IFERROR(VLOOKUP(B2859,'Pre-Summary'!$BW$6:$BY$58,2,FALSE),"")</f>
        <v/>
      </c>
      <c r="N2859" s="45" t="str">
        <f>IFERROR(VLOOKUP(B2859,'Pre-Summary'!$CD$6:$CF$64,2,FALSE),"")</f>
        <v/>
      </c>
      <c r="O2859" s="99">
        <f>IFERROR(VLOOKUP(B2859,'Pre-Summary'!$BO$6:$BQ$48,3, FALSE),O2858)</f>
        <v>2.7749999999999999</v>
      </c>
      <c r="P2859" s="99">
        <f>IFERROR(VLOOKUP(B2859,'Pre-Summary'!$BS$6:$BU$35,3,FALSE),P2858)</f>
        <v>0.70099999999999996</v>
      </c>
      <c r="Q2859" s="54">
        <f t="shared" si="132"/>
        <v>3.9586305278174039</v>
      </c>
      <c r="R2859" s="53">
        <f>IFERROR(VLOOKUP(B2859,'Pre-Summary'!$BG$6:$BM$44,7,FALSE),R2860)</f>
        <v>9.7082714118749885E-2</v>
      </c>
      <c r="S2859" s="53">
        <f>IFERROR(VLOOKUP(B2859,'Pre-Summary'!$BG$6:$BM$44,6,FALSE),S2860)</f>
        <v>8.6132390492961911E-2</v>
      </c>
      <c r="T2859" s="45" t="str">
        <f>IFERROR(VLOOKUP(B2859,'Pre-Summary'!$Y$6:$AC$83, 3,FALSE),"")</f>
        <v/>
      </c>
      <c r="U2859" s="45" t="str">
        <f>IFERROR(VLOOKUP(B2859,'Pre-Summary'!$Y$6:$AC$83, 4,FALSE),"")</f>
        <v/>
      </c>
      <c r="V2859" t="str">
        <f>IFERROR(VLOOKUP(B2859,'Pre-Summary'!$Y$6:$AC$83, 5,FALSE),"")</f>
        <v/>
      </c>
      <c r="W2859" s="45" t="str">
        <f>IFERROR(VLOOKUP(B2859,'Pre-Summary'!$Y$6:$AD$83,6,FALSE),"")</f>
        <v/>
      </c>
      <c r="X2859" t="str">
        <f>IFERROR(VLOOKUP('Pre-Summary'!$DB$6:$DD$63,3,FALSE),"")</f>
        <v/>
      </c>
      <c r="Y2859" t="str">
        <f>IFERROR(VLOOKUP(B2859,'Pre-Summary'!$CR$6:$CT$36,3,FALSE),"")</f>
        <v/>
      </c>
      <c r="Z2859" s="45" t="str">
        <f>IFERROR(VLOOKUP(B2859,'Pre-Summary'!$BZ$6:$CB$63,2,FALSE),"")</f>
        <v/>
      </c>
      <c r="AA2859" s="45" t="str">
        <f>IFERROR(VLOOKUP(B2859,'Pre-Summary'!$CG$6:$CI$70,2,FALSE),"")</f>
        <v/>
      </c>
      <c r="AB2859" s="99">
        <f>IFERROR(VLOOKUP(B2859,'Pre-Summary'!$A$6:$P$178,9,FALSE),AB2860)</f>
        <v>0.7010379290946207</v>
      </c>
      <c r="AC2859" s="10">
        <f>IFERROR(VLOOKUP(Summary!B2859,'Pre-Summary'!$A$6:$P$184,5, FALSE)/100,AC2860)</f>
        <v>0.92607166666666674</v>
      </c>
      <c r="AD2859" s="10">
        <f>IFERROR(VLOOKUP(Summary!B2859,'Pre-Summary'!$A$6:$P$184,3, FALSE)/100,AD2860)</f>
        <v>5.4963666666666668E-2</v>
      </c>
      <c r="AE2859" s="10">
        <f>IFERROR(VLOOKUP(Summary!B2859,'Pre-Summary'!$A$6:$P$184,7, FALSE)/100,AE2860)</f>
        <v>1.8946666666666667E-2</v>
      </c>
      <c r="AF2859" s="99">
        <f t="shared" si="133"/>
        <v>3.8531615055447034E-2</v>
      </c>
      <c r="AG2859" s="99">
        <f t="shared" si="134"/>
        <v>1.3282331963246082E-2</v>
      </c>
      <c r="AH2859" s="10" t="str">
        <f>IFERROR(VLOOKUP(B2859,'Pre-Summary'!$AZ$6:$BE$65,3,FALSE),"")</f>
        <v/>
      </c>
      <c r="AI2859" s="10" t="str">
        <f>IFERROR(VLOOKUP(B2859,'Pre-Summary'!$AZ$6:$BE$65,5,FALSE),"")</f>
        <v/>
      </c>
      <c r="AJ2859" s="10" t="str">
        <f>IFERROR(VLOOKUP(B2859,'Pre-Summary'!$AZ$6:$BE$65,4,FALSE),"")</f>
        <v/>
      </c>
      <c r="AK2859" s="10" t="str">
        <f>IFERROR(VLOOKUP(B2859,'Pre-Summary'!$AZ$6:$BE$65,6,FALSE),"")</f>
        <v/>
      </c>
      <c r="AL2859" s="10" t="str">
        <f>IFERROR(VLOOKUP(B2859,'Pre-Summary'!$BG$6:$BL$44,3,FALSE),"")</f>
        <v/>
      </c>
      <c r="AM2859" s="10" t="str">
        <f>IFERROR(VLOOKUP(B2859,'Pre-Summary'!$BG$6:$BL$44,4,FALSE),"")</f>
        <v/>
      </c>
    </row>
    <row r="2860" spans="2:39" ht="15" customHeight="1" x14ac:dyDescent="0.3">
      <c r="B2860">
        <v>285.7</v>
      </c>
      <c r="C2860" t="str">
        <f>IFERROR(VLOOKUP(B2860,'Pre-Summary'!$DI$6:$DM$23,4,FALSE),"")</f>
        <v/>
      </c>
      <c r="D2860" s="10" t="str">
        <f>IFERROR(VLOOKUP(B2860,'Pre-Summary'!$AT$6:$AX$14,5,FALSE),D2859)</f>
        <v>Wolfe v3: went back to modified wolfe + EDTA and switched CuSO4 to CUCl2</v>
      </c>
      <c r="E2860" s="10" t="str">
        <f>IFERROR(VLOOKUP(B2860,'Pre-Summary'!$AT$6:$AX$15,4,FALSE),"")</f>
        <v/>
      </c>
      <c r="F2860">
        <f>IFERROR(VLOOKUP(B2860,'Pre-Summary'!$AL$6:$AQ$13,6,FALSE),F2859)</f>
        <v>5.9405263157894746E-2</v>
      </c>
      <c r="G2860" t="str">
        <f>IFERROR(VLOOKUP(B2860,'Pre-Summary'!$AE$6:$AJ$85,3,FALSE),"")</f>
        <v/>
      </c>
      <c r="H2860" t="str">
        <f>IFERROR(VLOOKUP(B2860,'Pre-Summary'!$AE$6:$AJ$85,4,FALSE),"")</f>
        <v/>
      </c>
      <c r="I2860" t="str">
        <f>IFERROR(VLOOKUP(B2860,'Pre-Summary'!$AE$6:$AJ$85,5,FALSE),"")</f>
        <v/>
      </c>
      <c r="J2860" s="45" t="str">
        <f>IFERROR(VLOOKUP(B2860,'Pre-Summary'!$AE$6:$AJ$85,6, FALSE),"")</f>
        <v/>
      </c>
      <c r="K2860" s="45" t="str">
        <f>IFERROR(VLOOKUP(B2860,'Pre-Summary'!$DE$6:$DG$61,3,FALSE),"")</f>
        <v/>
      </c>
      <c r="L2860" s="45" t="str">
        <f>IFERROR(VLOOKUP(B2860,'Pre-Summary'!$CU$6:$CW$36,3,FALSE),"")</f>
        <v/>
      </c>
      <c r="M2860" s="45" t="str">
        <f>IFERROR(VLOOKUP(B2860,'Pre-Summary'!$BW$6:$BY$58,2,FALSE),"")</f>
        <v/>
      </c>
      <c r="N2860" s="45" t="str">
        <f>IFERROR(VLOOKUP(B2860,'Pre-Summary'!$CD$6:$CF$64,2,FALSE),"")</f>
        <v/>
      </c>
      <c r="O2860" s="99">
        <f>IFERROR(VLOOKUP(B2860,'Pre-Summary'!$BO$6:$BQ$48,3, FALSE),O2859)</f>
        <v>2.7749999999999999</v>
      </c>
      <c r="P2860" s="99">
        <f>IFERROR(VLOOKUP(B2860,'Pre-Summary'!$BS$6:$BU$35,3,FALSE),P2859)</f>
        <v>0.70099999999999996</v>
      </c>
      <c r="Q2860" s="54">
        <f t="shared" si="132"/>
        <v>3.9586305278174039</v>
      </c>
      <c r="R2860" s="53">
        <f>IFERROR(VLOOKUP(B2860,'Pre-Summary'!$BG$6:$BM$44,7,FALSE),R2861)</f>
        <v>9.7082714118749885E-2</v>
      </c>
      <c r="S2860" s="53">
        <f>IFERROR(VLOOKUP(B2860,'Pre-Summary'!$BG$6:$BM$44,6,FALSE),S2861)</f>
        <v>8.6132390492961911E-2</v>
      </c>
      <c r="T2860" s="45" t="str">
        <f>IFERROR(VLOOKUP(B2860,'Pre-Summary'!$Y$6:$AC$83, 3,FALSE),"")</f>
        <v/>
      </c>
      <c r="U2860" s="45" t="str">
        <f>IFERROR(VLOOKUP(B2860,'Pre-Summary'!$Y$6:$AC$83, 4,FALSE),"")</f>
        <v/>
      </c>
      <c r="V2860" t="str">
        <f>IFERROR(VLOOKUP(B2860,'Pre-Summary'!$Y$6:$AC$83, 5,FALSE),"")</f>
        <v/>
      </c>
      <c r="W2860" s="45" t="str">
        <f>IFERROR(VLOOKUP(B2860,'Pre-Summary'!$Y$6:$AD$83,6,FALSE),"")</f>
        <v/>
      </c>
      <c r="X2860" t="str">
        <f>IFERROR(VLOOKUP('Pre-Summary'!$DB$6:$DD$63,3,FALSE),"")</f>
        <v/>
      </c>
      <c r="Y2860" t="str">
        <f>IFERROR(VLOOKUP(B2860,'Pre-Summary'!$CR$6:$CT$36,3,FALSE),"")</f>
        <v/>
      </c>
      <c r="Z2860" s="45" t="str">
        <f>IFERROR(VLOOKUP(B2860,'Pre-Summary'!$BZ$6:$CB$63,2,FALSE),"")</f>
        <v/>
      </c>
      <c r="AA2860" s="45" t="str">
        <f>IFERROR(VLOOKUP(B2860,'Pre-Summary'!$CG$6:$CI$70,2,FALSE),"")</f>
        <v/>
      </c>
      <c r="AB2860" s="99">
        <f>IFERROR(VLOOKUP(B2860,'Pre-Summary'!$A$6:$P$178,9,FALSE),AB2861)</f>
        <v>0.7010379290946207</v>
      </c>
      <c r="AC2860" s="10">
        <f>IFERROR(VLOOKUP(Summary!B2860,'Pre-Summary'!$A$6:$P$184,5, FALSE)/100,AC2861)</f>
        <v>0.92607166666666674</v>
      </c>
      <c r="AD2860" s="10">
        <f>IFERROR(VLOOKUP(Summary!B2860,'Pre-Summary'!$A$6:$P$184,3, FALSE)/100,AD2861)</f>
        <v>5.4963666666666668E-2</v>
      </c>
      <c r="AE2860" s="10">
        <f>IFERROR(VLOOKUP(Summary!B2860,'Pre-Summary'!$A$6:$P$184,7, FALSE)/100,AE2861)</f>
        <v>1.8946666666666667E-2</v>
      </c>
      <c r="AF2860" s="99">
        <f t="shared" si="133"/>
        <v>3.8531615055447034E-2</v>
      </c>
      <c r="AG2860" s="99">
        <f t="shared" si="134"/>
        <v>1.3282331963246082E-2</v>
      </c>
      <c r="AH2860" s="10" t="str">
        <f>IFERROR(VLOOKUP(B2860,'Pre-Summary'!$AZ$6:$BE$65,3,FALSE),"")</f>
        <v/>
      </c>
      <c r="AI2860" s="10" t="str">
        <f>IFERROR(VLOOKUP(B2860,'Pre-Summary'!$AZ$6:$BE$65,5,FALSE),"")</f>
        <v/>
      </c>
      <c r="AJ2860" s="10" t="str">
        <f>IFERROR(VLOOKUP(B2860,'Pre-Summary'!$AZ$6:$BE$65,4,FALSE),"")</f>
        <v/>
      </c>
      <c r="AK2860" s="10" t="str">
        <f>IFERROR(VLOOKUP(B2860,'Pre-Summary'!$AZ$6:$BE$65,6,FALSE),"")</f>
        <v/>
      </c>
      <c r="AL2860" s="10" t="str">
        <f>IFERROR(VLOOKUP(B2860,'Pre-Summary'!$BG$6:$BL$44,3,FALSE),"")</f>
        <v/>
      </c>
      <c r="AM2860" s="10" t="str">
        <f>IFERROR(VLOOKUP(B2860,'Pre-Summary'!$BG$6:$BL$44,4,FALSE),"")</f>
        <v/>
      </c>
    </row>
    <row r="2861" spans="2:39" ht="15" customHeight="1" x14ac:dyDescent="0.3">
      <c r="B2861">
        <v>285.8</v>
      </c>
      <c r="C2861" t="str">
        <f>IFERROR(VLOOKUP(B2861,'Pre-Summary'!$DI$6:$DM$23,4,FALSE),"")</f>
        <v/>
      </c>
      <c r="D2861" s="10" t="str">
        <f>IFERROR(VLOOKUP(B2861,'Pre-Summary'!$AT$6:$AX$14,5,FALSE),D2860)</f>
        <v>Wolfe v3: went back to modified wolfe + EDTA and switched CuSO4 to CUCl2</v>
      </c>
      <c r="E2861" s="10" t="str">
        <f>IFERROR(VLOOKUP(B2861,'Pre-Summary'!$AT$6:$AX$15,4,FALSE),"")</f>
        <v/>
      </c>
      <c r="F2861">
        <f>IFERROR(VLOOKUP(B2861,'Pre-Summary'!$AL$6:$AQ$13,6,FALSE),F2860)</f>
        <v>5.9405263157894746E-2</v>
      </c>
      <c r="G2861" t="str">
        <f>IFERROR(VLOOKUP(B2861,'Pre-Summary'!$AE$6:$AJ$85,3,FALSE),"")</f>
        <v/>
      </c>
      <c r="H2861" t="str">
        <f>IFERROR(VLOOKUP(B2861,'Pre-Summary'!$AE$6:$AJ$85,4,FALSE),"")</f>
        <v/>
      </c>
      <c r="I2861" t="str">
        <f>IFERROR(VLOOKUP(B2861,'Pre-Summary'!$AE$6:$AJ$85,5,FALSE),"")</f>
        <v/>
      </c>
      <c r="J2861" s="45" t="str">
        <f>IFERROR(VLOOKUP(B2861,'Pre-Summary'!$AE$6:$AJ$85,6, FALSE),"")</f>
        <v/>
      </c>
      <c r="K2861" s="45" t="str">
        <f>IFERROR(VLOOKUP(B2861,'Pre-Summary'!$DE$6:$DG$61,3,FALSE),"")</f>
        <v/>
      </c>
      <c r="L2861" s="45" t="str">
        <f>IFERROR(VLOOKUP(B2861,'Pre-Summary'!$CU$6:$CW$36,3,FALSE),"")</f>
        <v/>
      </c>
      <c r="M2861" s="45" t="str">
        <f>IFERROR(VLOOKUP(B2861,'Pre-Summary'!$BW$6:$BY$58,2,FALSE),"")</f>
        <v/>
      </c>
      <c r="N2861" s="45" t="str">
        <f>IFERROR(VLOOKUP(B2861,'Pre-Summary'!$CD$6:$CF$64,2,FALSE),"")</f>
        <v/>
      </c>
      <c r="O2861" s="99">
        <f>IFERROR(VLOOKUP(B2861,'Pre-Summary'!$BO$6:$BQ$48,3, FALSE),O2860)</f>
        <v>2.7749999999999999</v>
      </c>
      <c r="P2861" s="99">
        <f>IFERROR(VLOOKUP(B2861,'Pre-Summary'!$BS$6:$BU$35,3,FALSE),P2860)</f>
        <v>0.70099999999999996</v>
      </c>
      <c r="Q2861" s="54">
        <f t="shared" si="132"/>
        <v>3.9586305278174039</v>
      </c>
      <c r="R2861" s="53">
        <f>IFERROR(VLOOKUP(B2861,'Pre-Summary'!$BG$6:$BM$44,7,FALSE),R2862)</f>
        <v>9.7082714118749885E-2</v>
      </c>
      <c r="S2861" s="53">
        <f>IFERROR(VLOOKUP(B2861,'Pre-Summary'!$BG$6:$BM$44,6,FALSE),S2862)</f>
        <v>8.6132390492961911E-2</v>
      </c>
      <c r="T2861" s="45" t="str">
        <f>IFERROR(VLOOKUP(B2861,'Pre-Summary'!$Y$6:$AC$83, 3,FALSE),"")</f>
        <v/>
      </c>
      <c r="U2861" s="45" t="str">
        <f>IFERROR(VLOOKUP(B2861,'Pre-Summary'!$Y$6:$AC$83, 4,FALSE),"")</f>
        <v/>
      </c>
      <c r="V2861" t="str">
        <f>IFERROR(VLOOKUP(B2861,'Pre-Summary'!$Y$6:$AC$83, 5,FALSE),"")</f>
        <v/>
      </c>
      <c r="W2861" s="45" t="str">
        <f>IFERROR(VLOOKUP(B2861,'Pre-Summary'!$Y$6:$AD$83,6,FALSE),"")</f>
        <v/>
      </c>
      <c r="X2861" t="str">
        <f>IFERROR(VLOOKUP('Pre-Summary'!$DB$6:$DD$63,3,FALSE),"")</f>
        <v/>
      </c>
      <c r="Y2861" t="str">
        <f>IFERROR(VLOOKUP(B2861,'Pre-Summary'!$CR$6:$CT$36,3,FALSE),"")</f>
        <v/>
      </c>
      <c r="Z2861" s="45" t="str">
        <f>IFERROR(VLOOKUP(B2861,'Pre-Summary'!$BZ$6:$CB$63,2,FALSE),"")</f>
        <v/>
      </c>
      <c r="AA2861" s="45" t="str">
        <f>IFERROR(VLOOKUP(B2861,'Pre-Summary'!$CG$6:$CI$70,2,FALSE),"")</f>
        <v/>
      </c>
      <c r="AB2861" s="99">
        <f>IFERROR(VLOOKUP(B2861,'Pre-Summary'!$A$6:$P$178,9,FALSE),AB2862)</f>
        <v>0.7010379290946207</v>
      </c>
      <c r="AC2861" s="10">
        <f>IFERROR(VLOOKUP(Summary!B2861,'Pre-Summary'!$A$6:$P$184,5, FALSE)/100,AC2862)</f>
        <v>0.92607166666666674</v>
      </c>
      <c r="AD2861" s="10">
        <f>IFERROR(VLOOKUP(Summary!B2861,'Pre-Summary'!$A$6:$P$184,3, FALSE)/100,AD2862)</f>
        <v>5.4963666666666668E-2</v>
      </c>
      <c r="AE2861" s="10">
        <f>IFERROR(VLOOKUP(Summary!B2861,'Pre-Summary'!$A$6:$P$184,7, FALSE)/100,AE2862)</f>
        <v>1.8946666666666667E-2</v>
      </c>
      <c r="AF2861" s="99">
        <f t="shared" si="133"/>
        <v>3.8531615055447034E-2</v>
      </c>
      <c r="AG2861" s="99">
        <f t="shared" si="134"/>
        <v>1.3282331963246082E-2</v>
      </c>
      <c r="AH2861" s="10" t="str">
        <f>IFERROR(VLOOKUP(B2861,'Pre-Summary'!$AZ$6:$BE$65,3,FALSE),"")</f>
        <v/>
      </c>
      <c r="AI2861" s="10" t="str">
        <f>IFERROR(VLOOKUP(B2861,'Pre-Summary'!$AZ$6:$BE$65,5,FALSE),"")</f>
        <v/>
      </c>
      <c r="AJ2861" s="10" t="str">
        <f>IFERROR(VLOOKUP(B2861,'Pre-Summary'!$AZ$6:$BE$65,4,FALSE),"")</f>
        <v/>
      </c>
      <c r="AK2861" s="10" t="str">
        <f>IFERROR(VLOOKUP(B2861,'Pre-Summary'!$AZ$6:$BE$65,6,FALSE),"")</f>
        <v/>
      </c>
      <c r="AL2861" s="10" t="str">
        <f>IFERROR(VLOOKUP(B2861,'Pre-Summary'!$BG$6:$BL$44,3,FALSE),"")</f>
        <v/>
      </c>
      <c r="AM2861" s="10" t="str">
        <f>IFERROR(VLOOKUP(B2861,'Pre-Summary'!$BG$6:$BL$44,4,FALSE),"")</f>
        <v/>
      </c>
    </row>
    <row r="2862" spans="2:39" ht="15" customHeight="1" x14ac:dyDescent="0.3">
      <c r="B2862">
        <v>285.89999999999998</v>
      </c>
      <c r="C2862" t="str">
        <f>IFERROR(VLOOKUP(B2862,'Pre-Summary'!$DI$6:$DM$23,4,FALSE),"")</f>
        <v/>
      </c>
      <c r="D2862" s="10" t="str">
        <f>IFERROR(VLOOKUP(B2862,'Pre-Summary'!$AT$6:$AX$14,5,FALSE),D2861)</f>
        <v>Wolfe v3: went back to modified wolfe + EDTA and switched CuSO4 to CUCl2</v>
      </c>
      <c r="E2862" s="10" t="str">
        <f>IFERROR(VLOOKUP(B2862,'Pre-Summary'!$AT$6:$AX$15,4,FALSE),"")</f>
        <v/>
      </c>
      <c r="F2862">
        <f>IFERROR(VLOOKUP(B2862,'Pre-Summary'!$AL$6:$AQ$13,6,FALSE),F2861)</f>
        <v>5.9405263157894746E-2</v>
      </c>
      <c r="G2862" t="str">
        <f>IFERROR(VLOOKUP(B2862,'Pre-Summary'!$AE$6:$AJ$85,3,FALSE),"")</f>
        <v/>
      </c>
      <c r="H2862" t="str">
        <f>IFERROR(VLOOKUP(B2862,'Pre-Summary'!$AE$6:$AJ$85,4,FALSE),"")</f>
        <v/>
      </c>
      <c r="I2862" t="str">
        <f>IFERROR(VLOOKUP(B2862,'Pre-Summary'!$AE$6:$AJ$85,5,FALSE),"")</f>
        <v/>
      </c>
      <c r="J2862" s="45" t="str">
        <f>IFERROR(VLOOKUP(B2862,'Pre-Summary'!$AE$6:$AJ$85,6, FALSE),"")</f>
        <v/>
      </c>
      <c r="K2862" s="45" t="str">
        <f>IFERROR(VLOOKUP(B2862,'Pre-Summary'!$DE$6:$DG$61,3,FALSE),"")</f>
        <v/>
      </c>
      <c r="L2862" s="45" t="str">
        <f>IFERROR(VLOOKUP(B2862,'Pre-Summary'!$CU$6:$CW$36,3,FALSE),"")</f>
        <v/>
      </c>
      <c r="M2862" s="45" t="str">
        <f>IFERROR(VLOOKUP(B2862,'Pre-Summary'!$BW$6:$BY$58,2,FALSE),"")</f>
        <v/>
      </c>
      <c r="N2862" s="45" t="str">
        <f>IFERROR(VLOOKUP(B2862,'Pre-Summary'!$CD$6:$CF$64,2,FALSE),"")</f>
        <v/>
      </c>
      <c r="O2862" s="99">
        <f>IFERROR(VLOOKUP(B2862,'Pre-Summary'!$BO$6:$BQ$48,3, FALSE),O2861)</f>
        <v>2.7749999999999999</v>
      </c>
      <c r="P2862" s="99">
        <f>IFERROR(VLOOKUP(B2862,'Pre-Summary'!$BS$6:$BU$35,3,FALSE),P2861)</f>
        <v>0.70099999999999996</v>
      </c>
      <c r="Q2862" s="54">
        <f t="shared" si="132"/>
        <v>3.9586305278174039</v>
      </c>
      <c r="R2862" s="53">
        <f>IFERROR(VLOOKUP(B2862,'Pre-Summary'!$BG$6:$BM$44,7,FALSE),R2863)</f>
        <v>9.7082714118749885E-2</v>
      </c>
      <c r="S2862" s="53">
        <f>IFERROR(VLOOKUP(B2862,'Pre-Summary'!$BG$6:$BM$44,6,FALSE),S2863)</f>
        <v>8.6132390492961911E-2</v>
      </c>
      <c r="T2862" s="45" t="str">
        <f>IFERROR(VLOOKUP(B2862,'Pre-Summary'!$Y$6:$AC$83, 3,FALSE),"")</f>
        <v/>
      </c>
      <c r="U2862" s="45" t="str">
        <f>IFERROR(VLOOKUP(B2862,'Pre-Summary'!$Y$6:$AC$83, 4,FALSE),"")</f>
        <v/>
      </c>
      <c r="V2862" t="str">
        <f>IFERROR(VLOOKUP(B2862,'Pre-Summary'!$Y$6:$AC$83, 5,FALSE),"")</f>
        <v/>
      </c>
      <c r="W2862" s="45" t="str">
        <f>IFERROR(VLOOKUP(B2862,'Pre-Summary'!$Y$6:$AD$83,6,FALSE),"")</f>
        <v/>
      </c>
      <c r="X2862" t="str">
        <f>IFERROR(VLOOKUP('Pre-Summary'!$DB$6:$DD$63,3,FALSE),"")</f>
        <v/>
      </c>
      <c r="Y2862" t="str">
        <f>IFERROR(VLOOKUP(B2862,'Pre-Summary'!$CR$6:$CT$36,3,FALSE),"")</f>
        <v/>
      </c>
      <c r="Z2862" s="45" t="str">
        <f>IFERROR(VLOOKUP(B2862,'Pre-Summary'!$BZ$6:$CB$63,2,FALSE),"")</f>
        <v/>
      </c>
      <c r="AA2862" s="45" t="str">
        <f>IFERROR(VLOOKUP(B2862,'Pre-Summary'!$CG$6:$CI$70,2,FALSE),"")</f>
        <v/>
      </c>
      <c r="AB2862" s="99">
        <f>IFERROR(VLOOKUP(B2862,'Pre-Summary'!$A$6:$P$178,9,FALSE),AB2863)</f>
        <v>0.7010379290946207</v>
      </c>
      <c r="AC2862" s="10">
        <f>IFERROR(VLOOKUP(Summary!B2862,'Pre-Summary'!$A$6:$P$184,5, FALSE)/100,AC2863)</f>
        <v>0.92607166666666674</v>
      </c>
      <c r="AD2862" s="10">
        <f>IFERROR(VLOOKUP(Summary!B2862,'Pre-Summary'!$A$6:$P$184,3, FALSE)/100,AD2863)</f>
        <v>5.4963666666666668E-2</v>
      </c>
      <c r="AE2862" s="10">
        <f>IFERROR(VLOOKUP(Summary!B2862,'Pre-Summary'!$A$6:$P$184,7, FALSE)/100,AE2863)</f>
        <v>1.8946666666666667E-2</v>
      </c>
      <c r="AF2862" s="99">
        <f t="shared" si="133"/>
        <v>3.8531615055447034E-2</v>
      </c>
      <c r="AG2862" s="99">
        <f t="shared" si="134"/>
        <v>1.3282331963246082E-2</v>
      </c>
      <c r="AH2862" s="10" t="str">
        <f>IFERROR(VLOOKUP(B2862,'Pre-Summary'!$AZ$6:$BE$65,3,FALSE),"")</f>
        <v/>
      </c>
      <c r="AI2862" s="10" t="str">
        <f>IFERROR(VLOOKUP(B2862,'Pre-Summary'!$AZ$6:$BE$65,5,FALSE),"")</f>
        <v/>
      </c>
      <c r="AJ2862" s="10" t="str">
        <f>IFERROR(VLOOKUP(B2862,'Pre-Summary'!$AZ$6:$BE$65,4,FALSE),"")</f>
        <v/>
      </c>
      <c r="AK2862" s="10" t="str">
        <f>IFERROR(VLOOKUP(B2862,'Pre-Summary'!$AZ$6:$BE$65,6,FALSE),"")</f>
        <v/>
      </c>
      <c r="AL2862" s="10" t="str">
        <f>IFERROR(VLOOKUP(B2862,'Pre-Summary'!$BG$6:$BL$44,3,FALSE),"")</f>
        <v/>
      </c>
      <c r="AM2862" s="10" t="str">
        <f>IFERROR(VLOOKUP(B2862,'Pre-Summary'!$BG$6:$BL$44,4,FALSE),"")</f>
        <v/>
      </c>
    </row>
    <row r="2863" spans="2:39" ht="15" customHeight="1" x14ac:dyDescent="0.3">
      <c r="B2863">
        <v>286</v>
      </c>
      <c r="C2863" t="str">
        <f>IFERROR(VLOOKUP(B2863,'Pre-Summary'!$DI$6:$DM$23,4,FALSE),"")</f>
        <v/>
      </c>
      <c r="D2863" s="10" t="str">
        <f>IFERROR(VLOOKUP(B2863,'Pre-Summary'!$AT$6:$AX$14,5,FALSE),D2862)</f>
        <v>Wolfe v3: went back to modified wolfe + EDTA and switched CuSO4 to CUCl2</v>
      </c>
      <c r="E2863" s="10" t="str">
        <f>IFERROR(VLOOKUP(B2863,'Pre-Summary'!$AT$6:$AX$15,4,FALSE),"")</f>
        <v/>
      </c>
      <c r="F2863">
        <f>IFERROR(VLOOKUP(B2863,'Pre-Summary'!$AL$6:$AQ$13,6,FALSE),F2862)</f>
        <v>5.9405263157894746E-2</v>
      </c>
      <c r="G2863" t="str">
        <f>IFERROR(VLOOKUP(B2863,'Pre-Summary'!$AE$6:$AJ$85,3,FALSE),"")</f>
        <v/>
      </c>
      <c r="H2863" t="str">
        <f>IFERROR(VLOOKUP(B2863,'Pre-Summary'!$AE$6:$AJ$85,4,FALSE),"")</f>
        <v/>
      </c>
      <c r="I2863" t="str">
        <f>IFERROR(VLOOKUP(B2863,'Pre-Summary'!$AE$6:$AJ$85,5,FALSE),"")</f>
        <v/>
      </c>
      <c r="J2863" s="45" t="str">
        <f>IFERROR(VLOOKUP(B2863,'Pre-Summary'!$AE$6:$AJ$85,6, FALSE),"")</f>
        <v/>
      </c>
      <c r="K2863" s="45" t="str">
        <f>IFERROR(VLOOKUP(B2863,'Pre-Summary'!$DE$6:$DG$61,3,FALSE),"")</f>
        <v/>
      </c>
      <c r="L2863" s="45" t="str">
        <f>IFERROR(VLOOKUP(B2863,'Pre-Summary'!$CU$6:$CW$36,3,FALSE),"")</f>
        <v/>
      </c>
      <c r="M2863" s="45" t="str">
        <f>IFERROR(VLOOKUP(B2863,'Pre-Summary'!$BW$6:$BY$58,2,FALSE),"")</f>
        <v/>
      </c>
      <c r="N2863" s="45" t="str">
        <f>IFERROR(VLOOKUP(B2863,'Pre-Summary'!$CD$6:$CF$64,2,FALSE),"")</f>
        <v/>
      </c>
      <c r="O2863" s="99">
        <f>IFERROR(VLOOKUP(B2863,'Pre-Summary'!$BO$6:$BQ$48,3, FALSE),O2862)</f>
        <v>2.7749999999999999</v>
      </c>
      <c r="P2863" s="99">
        <f>IFERROR(VLOOKUP(B2863,'Pre-Summary'!$BS$6:$BU$35,3,FALSE),P2862)</f>
        <v>0.70099999999999996</v>
      </c>
      <c r="Q2863" s="54">
        <f t="shared" si="132"/>
        <v>3.9586305278174039</v>
      </c>
      <c r="R2863" s="53">
        <f>IFERROR(VLOOKUP(B2863,'Pre-Summary'!$BG$6:$BM$44,7,FALSE),R2864)</f>
        <v>9.7082714118749885E-2</v>
      </c>
      <c r="S2863" s="53">
        <f>IFERROR(VLOOKUP(B2863,'Pre-Summary'!$BG$6:$BM$44,6,FALSE),S2864)</f>
        <v>8.6132390492961911E-2</v>
      </c>
      <c r="T2863" s="45" t="str">
        <f>IFERROR(VLOOKUP(B2863,'Pre-Summary'!$Y$6:$AC$83, 3,FALSE),"")</f>
        <v/>
      </c>
      <c r="U2863" s="45" t="str">
        <f>IFERROR(VLOOKUP(B2863,'Pre-Summary'!$Y$6:$AC$83, 4,FALSE),"")</f>
        <v/>
      </c>
      <c r="V2863" t="str">
        <f>IFERROR(VLOOKUP(B2863,'Pre-Summary'!$Y$6:$AC$83, 5,FALSE),"")</f>
        <v/>
      </c>
      <c r="W2863" s="45" t="str">
        <f>IFERROR(VLOOKUP(B2863,'Pre-Summary'!$Y$6:$AD$83,6,FALSE),"")</f>
        <v/>
      </c>
      <c r="X2863" t="str">
        <f>IFERROR(VLOOKUP('Pre-Summary'!$DB$6:$DD$63,3,FALSE),"")</f>
        <v/>
      </c>
      <c r="Y2863" t="str">
        <f>IFERROR(VLOOKUP(B2863,'Pre-Summary'!$CR$6:$CT$36,3,FALSE),"")</f>
        <v/>
      </c>
      <c r="Z2863" s="45" t="str">
        <f>IFERROR(VLOOKUP(B2863,'Pre-Summary'!$BZ$6:$CB$63,2,FALSE),"")</f>
        <v/>
      </c>
      <c r="AA2863" s="45" t="str">
        <f>IFERROR(VLOOKUP(B2863,'Pre-Summary'!$CG$6:$CI$70,2,FALSE),"")</f>
        <v/>
      </c>
      <c r="AB2863" s="99">
        <f>IFERROR(VLOOKUP(B2863,'Pre-Summary'!$A$6:$P$178,9,FALSE),AB2864)</f>
        <v>0.7010379290946207</v>
      </c>
      <c r="AC2863" s="10">
        <f>IFERROR(VLOOKUP(Summary!B2863,'Pre-Summary'!$A$6:$P$184,5, FALSE)/100,AC2864)</f>
        <v>0.92607166666666674</v>
      </c>
      <c r="AD2863" s="10">
        <f>IFERROR(VLOOKUP(Summary!B2863,'Pre-Summary'!$A$6:$P$184,3, FALSE)/100,AD2864)</f>
        <v>5.4963666666666668E-2</v>
      </c>
      <c r="AE2863" s="10">
        <f>IFERROR(VLOOKUP(Summary!B2863,'Pre-Summary'!$A$6:$P$184,7, FALSE)/100,AE2864)</f>
        <v>1.8946666666666667E-2</v>
      </c>
      <c r="AF2863" s="99">
        <f t="shared" si="133"/>
        <v>3.8531615055447034E-2</v>
      </c>
      <c r="AG2863" s="99">
        <f t="shared" si="134"/>
        <v>1.3282331963246082E-2</v>
      </c>
      <c r="AH2863" s="10" t="str">
        <f>IFERROR(VLOOKUP(B2863,'Pre-Summary'!$AZ$6:$BE$65,3,FALSE),"")</f>
        <v/>
      </c>
      <c r="AI2863" s="10" t="str">
        <f>IFERROR(VLOOKUP(B2863,'Pre-Summary'!$AZ$6:$BE$65,5,FALSE),"")</f>
        <v/>
      </c>
      <c r="AJ2863" s="10" t="str">
        <f>IFERROR(VLOOKUP(B2863,'Pre-Summary'!$AZ$6:$BE$65,4,FALSE),"")</f>
        <v/>
      </c>
      <c r="AK2863" s="10" t="str">
        <f>IFERROR(VLOOKUP(B2863,'Pre-Summary'!$AZ$6:$BE$65,6,FALSE),"")</f>
        <v/>
      </c>
      <c r="AL2863" s="10" t="str">
        <f>IFERROR(VLOOKUP(B2863,'Pre-Summary'!$BG$6:$BL$44,3,FALSE),"")</f>
        <v/>
      </c>
      <c r="AM2863" s="10" t="str">
        <f>IFERROR(VLOOKUP(B2863,'Pre-Summary'!$BG$6:$BL$44,4,FALSE),"")</f>
        <v/>
      </c>
    </row>
    <row r="2864" spans="2:39" ht="15" customHeight="1" x14ac:dyDescent="0.3">
      <c r="B2864">
        <v>286.10000000000002</v>
      </c>
      <c r="C2864" t="str">
        <f>IFERROR(VLOOKUP(B2864,'Pre-Summary'!$DI$6:$DM$23,4,FALSE),"")</f>
        <v/>
      </c>
      <c r="D2864" s="10" t="str">
        <f>IFERROR(VLOOKUP(B2864,'Pre-Summary'!$AT$6:$AX$14,5,FALSE),D2863)</f>
        <v>Wolfe v3: went back to modified wolfe + EDTA and switched CuSO4 to CUCl2</v>
      </c>
      <c r="E2864" s="10" t="str">
        <f>IFERROR(VLOOKUP(B2864,'Pre-Summary'!$AT$6:$AX$15,4,FALSE),"")</f>
        <v/>
      </c>
      <c r="F2864">
        <f>IFERROR(VLOOKUP(B2864,'Pre-Summary'!$AL$6:$AQ$13,6,FALSE),F2863)</f>
        <v>5.9405263157894746E-2</v>
      </c>
      <c r="G2864" t="str">
        <f>IFERROR(VLOOKUP(B2864,'Pre-Summary'!$AE$6:$AJ$85,3,FALSE),"")</f>
        <v/>
      </c>
      <c r="H2864" t="str">
        <f>IFERROR(VLOOKUP(B2864,'Pre-Summary'!$AE$6:$AJ$85,4,FALSE),"")</f>
        <v/>
      </c>
      <c r="I2864" t="str">
        <f>IFERROR(VLOOKUP(B2864,'Pre-Summary'!$AE$6:$AJ$85,5,FALSE),"")</f>
        <v/>
      </c>
      <c r="J2864" s="45" t="str">
        <f>IFERROR(VLOOKUP(B2864,'Pre-Summary'!$AE$6:$AJ$85,6, FALSE),"")</f>
        <v/>
      </c>
      <c r="K2864" s="45" t="str">
        <f>IFERROR(VLOOKUP(B2864,'Pre-Summary'!$DE$6:$DG$61,3,FALSE),"")</f>
        <v/>
      </c>
      <c r="L2864" s="45" t="str">
        <f>IFERROR(VLOOKUP(B2864,'Pre-Summary'!$CU$6:$CW$36,3,FALSE),"")</f>
        <v/>
      </c>
      <c r="M2864" s="45" t="str">
        <f>IFERROR(VLOOKUP(B2864,'Pre-Summary'!$BW$6:$BY$58,2,FALSE),"")</f>
        <v/>
      </c>
      <c r="N2864" s="45" t="str">
        <f>IFERROR(VLOOKUP(B2864,'Pre-Summary'!$CD$6:$CF$64,2,FALSE),"")</f>
        <v/>
      </c>
      <c r="O2864" s="99">
        <f>IFERROR(VLOOKUP(B2864,'Pre-Summary'!$BO$6:$BQ$48,3, FALSE),O2863)</f>
        <v>2.7749999999999999</v>
      </c>
      <c r="P2864" s="99">
        <f>IFERROR(VLOOKUP(B2864,'Pre-Summary'!$BS$6:$BU$35,3,FALSE),P2863)</f>
        <v>0.70099999999999996</v>
      </c>
      <c r="Q2864" s="54">
        <f t="shared" si="132"/>
        <v>3.9586305278174039</v>
      </c>
      <c r="R2864" s="53">
        <f>IFERROR(VLOOKUP(B2864,'Pre-Summary'!$BG$6:$BM$44,7,FALSE),R2865)</f>
        <v>9.7082714118749885E-2</v>
      </c>
      <c r="S2864" s="53">
        <f>IFERROR(VLOOKUP(B2864,'Pre-Summary'!$BG$6:$BM$44,6,FALSE),S2865)</f>
        <v>8.6132390492961911E-2</v>
      </c>
      <c r="T2864" s="45" t="str">
        <f>IFERROR(VLOOKUP(B2864,'Pre-Summary'!$Y$6:$AC$83, 3,FALSE),"")</f>
        <v/>
      </c>
      <c r="U2864" s="45" t="str">
        <f>IFERROR(VLOOKUP(B2864,'Pre-Summary'!$Y$6:$AC$83, 4,FALSE),"")</f>
        <v/>
      </c>
      <c r="V2864" t="str">
        <f>IFERROR(VLOOKUP(B2864,'Pre-Summary'!$Y$6:$AC$83, 5,FALSE),"")</f>
        <v/>
      </c>
      <c r="W2864" s="45" t="str">
        <f>IFERROR(VLOOKUP(B2864,'Pre-Summary'!$Y$6:$AD$83,6,FALSE),"")</f>
        <v/>
      </c>
      <c r="X2864" t="str">
        <f>IFERROR(VLOOKUP('Pre-Summary'!$DB$6:$DD$63,3,FALSE),"")</f>
        <v/>
      </c>
      <c r="Y2864" t="str">
        <f>IFERROR(VLOOKUP(B2864,'Pre-Summary'!$CR$6:$CT$36,3,FALSE),"")</f>
        <v/>
      </c>
      <c r="Z2864" s="45" t="str">
        <f>IFERROR(VLOOKUP(B2864,'Pre-Summary'!$BZ$6:$CB$63,2,FALSE),"")</f>
        <v/>
      </c>
      <c r="AA2864" s="45" t="str">
        <f>IFERROR(VLOOKUP(B2864,'Pre-Summary'!$CG$6:$CI$70,2,FALSE),"")</f>
        <v/>
      </c>
      <c r="AB2864" s="99">
        <f>IFERROR(VLOOKUP(B2864,'Pre-Summary'!$A$6:$P$178,9,FALSE),AB2865)</f>
        <v>0.7010379290946207</v>
      </c>
      <c r="AC2864" s="10">
        <f>IFERROR(VLOOKUP(Summary!B2864,'Pre-Summary'!$A$6:$P$184,5, FALSE)/100,AC2865)</f>
        <v>0.92607166666666674</v>
      </c>
      <c r="AD2864" s="10">
        <f>IFERROR(VLOOKUP(Summary!B2864,'Pre-Summary'!$A$6:$P$184,3, FALSE)/100,AD2865)</f>
        <v>5.4963666666666668E-2</v>
      </c>
      <c r="AE2864" s="10">
        <f>IFERROR(VLOOKUP(Summary!B2864,'Pre-Summary'!$A$6:$P$184,7, FALSE)/100,AE2865)</f>
        <v>1.8946666666666667E-2</v>
      </c>
      <c r="AF2864" s="99">
        <f t="shared" si="133"/>
        <v>3.8531615055447034E-2</v>
      </c>
      <c r="AG2864" s="99">
        <f t="shared" si="134"/>
        <v>1.3282331963246082E-2</v>
      </c>
      <c r="AH2864" s="10">
        <f>IFERROR(VLOOKUP(B2864,'Pre-Summary'!$AZ$6:$BE$65,3,FALSE),"")</f>
        <v>351</v>
      </c>
      <c r="AI2864" s="10">
        <f>IFERROR(VLOOKUP(B2864,'Pre-Summary'!$AZ$6:$BE$65,5,FALSE),"")</f>
        <v>139</v>
      </c>
      <c r="AJ2864" s="10">
        <f>IFERROR(VLOOKUP(B2864,'Pre-Summary'!$AZ$6:$BE$65,4,FALSE),"")</f>
        <v>273</v>
      </c>
      <c r="AK2864" s="10">
        <f>IFERROR(VLOOKUP(B2864,'Pre-Summary'!$AZ$6:$BE$65,6,FALSE),"")</f>
        <v>108</v>
      </c>
      <c r="AL2864" s="10">
        <f>IFERROR(VLOOKUP(B2864,'Pre-Summary'!$BG$6:$BL$44,3,FALSE),"")</f>
        <v>7.9818051714217306</v>
      </c>
      <c r="AM2864" s="10">
        <f>IFERROR(VLOOKUP(B2864,'Pre-Summary'!$BG$6:$BL$44,4,FALSE),"")</f>
        <v>3.628135689854505</v>
      </c>
    </row>
    <row r="2865" spans="2:39" ht="15" customHeight="1" x14ac:dyDescent="0.3">
      <c r="B2865">
        <v>286.2</v>
      </c>
      <c r="C2865" t="str">
        <f>IFERROR(VLOOKUP(B2865,'Pre-Summary'!$DI$6:$DM$23,4,FALSE),"")</f>
        <v/>
      </c>
      <c r="D2865" s="10" t="str">
        <f>IFERROR(VLOOKUP(B2865,'Pre-Summary'!$AT$6:$AX$14,5,FALSE),D2864)</f>
        <v>Wolfe v3: went back to modified wolfe + EDTA and switched CuSO4 to CUCl2</v>
      </c>
      <c r="E2865" s="10" t="str">
        <f>IFERROR(VLOOKUP(B2865,'Pre-Summary'!$AT$6:$AX$15,4,FALSE),"")</f>
        <v/>
      </c>
      <c r="F2865">
        <f>IFERROR(VLOOKUP(B2865,'Pre-Summary'!$AL$6:$AQ$13,6,FALSE),F2864)</f>
        <v>5.9405263157894746E-2</v>
      </c>
      <c r="G2865" t="str">
        <f>IFERROR(VLOOKUP(B2865,'Pre-Summary'!$AE$6:$AJ$85,3,FALSE),"")</f>
        <v/>
      </c>
      <c r="H2865" t="str">
        <f>IFERROR(VLOOKUP(B2865,'Pre-Summary'!$AE$6:$AJ$85,4,FALSE),"")</f>
        <v/>
      </c>
      <c r="I2865" t="str">
        <f>IFERROR(VLOOKUP(B2865,'Pre-Summary'!$AE$6:$AJ$85,5,FALSE),"")</f>
        <v/>
      </c>
      <c r="J2865" s="45" t="str">
        <f>IFERROR(VLOOKUP(B2865,'Pre-Summary'!$AE$6:$AJ$85,6, FALSE),"")</f>
        <v/>
      </c>
      <c r="K2865" s="45" t="str">
        <f>IFERROR(VLOOKUP(B2865,'Pre-Summary'!$DE$6:$DG$61,3,FALSE),"")</f>
        <v/>
      </c>
      <c r="L2865" s="45" t="str">
        <f>IFERROR(VLOOKUP(B2865,'Pre-Summary'!$CU$6:$CW$36,3,FALSE),"")</f>
        <v/>
      </c>
      <c r="M2865" s="45" t="str">
        <f>IFERROR(VLOOKUP(B2865,'Pre-Summary'!$BW$6:$BY$58,2,FALSE),"")</f>
        <v/>
      </c>
      <c r="N2865" s="45" t="str">
        <f>IFERROR(VLOOKUP(B2865,'Pre-Summary'!$CD$6:$CF$64,2,FALSE),"")</f>
        <v/>
      </c>
      <c r="O2865" s="99">
        <f>IFERROR(VLOOKUP(B2865,'Pre-Summary'!$BO$6:$BQ$48,3, FALSE),O2864)</f>
        <v>2.7749999999999999</v>
      </c>
      <c r="P2865" s="99">
        <f>IFERROR(VLOOKUP(B2865,'Pre-Summary'!$BS$6:$BU$35,3,FALSE),P2864)</f>
        <v>0.70099999999999996</v>
      </c>
      <c r="Q2865" s="54">
        <f t="shared" si="132"/>
        <v>3.9586305278174039</v>
      </c>
      <c r="R2865" s="53">
        <f>IFERROR(VLOOKUP(B2865,'Pre-Summary'!$BG$6:$BM$44,7,FALSE),R2866)</f>
        <v>0.1043586561898026</v>
      </c>
      <c r="S2865" s="53">
        <f>IFERROR(VLOOKUP(B2865,'Pre-Summary'!$BG$6:$BM$44,6,FALSE),S2866)</f>
        <v>0.10140000000009444</v>
      </c>
      <c r="T2865" s="45" t="str">
        <f>IFERROR(VLOOKUP(B2865,'Pre-Summary'!$Y$6:$AC$83, 3,FALSE),"")</f>
        <v/>
      </c>
      <c r="U2865" s="45" t="str">
        <f>IFERROR(VLOOKUP(B2865,'Pre-Summary'!$Y$6:$AC$83, 4,FALSE),"")</f>
        <v/>
      </c>
      <c r="V2865" t="str">
        <f>IFERROR(VLOOKUP(B2865,'Pre-Summary'!$Y$6:$AC$83, 5,FALSE),"")</f>
        <v/>
      </c>
      <c r="W2865" s="45" t="str">
        <f>IFERROR(VLOOKUP(B2865,'Pre-Summary'!$Y$6:$AD$83,6,FALSE),"")</f>
        <v/>
      </c>
      <c r="X2865" t="str">
        <f>IFERROR(VLOOKUP('Pre-Summary'!$DB$6:$DD$63,3,FALSE),"")</f>
        <v/>
      </c>
      <c r="Y2865" t="str">
        <f>IFERROR(VLOOKUP(B2865,'Pre-Summary'!$CR$6:$CT$36,3,FALSE),"")</f>
        <v/>
      </c>
      <c r="Z2865" s="45" t="str">
        <f>IFERROR(VLOOKUP(B2865,'Pre-Summary'!$BZ$6:$CB$63,2,FALSE),"")</f>
        <v/>
      </c>
      <c r="AA2865" s="45" t="str">
        <f>IFERROR(VLOOKUP(B2865,'Pre-Summary'!$CG$6:$CI$70,2,FALSE),"")</f>
        <v/>
      </c>
      <c r="AB2865" s="99">
        <f>IFERROR(VLOOKUP(B2865,'Pre-Summary'!$A$6:$P$178,9,FALSE),AB2866)</f>
        <v>0.7010379290946207</v>
      </c>
      <c r="AC2865" s="10">
        <f>IFERROR(VLOOKUP(Summary!B2865,'Pre-Summary'!$A$6:$P$184,5, FALSE)/100,AC2866)</f>
        <v>0.92607166666666674</v>
      </c>
      <c r="AD2865" s="10">
        <f>IFERROR(VLOOKUP(Summary!B2865,'Pre-Summary'!$A$6:$P$184,3, FALSE)/100,AD2866)</f>
        <v>5.4963666666666668E-2</v>
      </c>
      <c r="AE2865" s="10">
        <f>IFERROR(VLOOKUP(Summary!B2865,'Pre-Summary'!$A$6:$P$184,7, FALSE)/100,AE2866)</f>
        <v>1.8946666666666667E-2</v>
      </c>
      <c r="AF2865" s="99">
        <f t="shared" si="133"/>
        <v>3.8531615055447034E-2</v>
      </c>
      <c r="AG2865" s="99">
        <f t="shared" si="134"/>
        <v>1.3282331963246082E-2</v>
      </c>
      <c r="AH2865" s="10" t="str">
        <f>IFERROR(VLOOKUP(B2865,'Pre-Summary'!$AZ$6:$BE$65,3,FALSE),"")</f>
        <v/>
      </c>
      <c r="AI2865" s="10" t="str">
        <f>IFERROR(VLOOKUP(B2865,'Pre-Summary'!$AZ$6:$BE$65,5,FALSE),"")</f>
        <v/>
      </c>
      <c r="AJ2865" s="10" t="str">
        <f>IFERROR(VLOOKUP(B2865,'Pre-Summary'!$AZ$6:$BE$65,4,FALSE),"")</f>
        <v/>
      </c>
      <c r="AK2865" s="10" t="str">
        <f>IFERROR(VLOOKUP(B2865,'Pre-Summary'!$AZ$6:$BE$65,6,FALSE),"")</f>
        <v/>
      </c>
      <c r="AL2865" s="10" t="str">
        <f>IFERROR(VLOOKUP(B2865,'Pre-Summary'!$BG$6:$BL$44,3,FALSE),"")</f>
        <v/>
      </c>
      <c r="AM2865" s="10" t="str">
        <f>IFERROR(VLOOKUP(B2865,'Pre-Summary'!$BG$6:$BL$44,4,FALSE),"")</f>
        <v/>
      </c>
    </row>
    <row r="2866" spans="2:39" ht="15" customHeight="1" x14ac:dyDescent="0.3">
      <c r="B2866">
        <v>286.3</v>
      </c>
      <c r="C2866" t="str">
        <f>IFERROR(VLOOKUP(B2866,'Pre-Summary'!$DI$6:$DM$23,4,FALSE),"")</f>
        <v/>
      </c>
      <c r="D2866" s="10" t="str">
        <f>IFERROR(VLOOKUP(B2866,'Pre-Summary'!$AT$6:$AX$14,5,FALSE),D2865)</f>
        <v>Wolfe v3: went back to modified wolfe + EDTA and switched CuSO4 to CUCl2</v>
      </c>
      <c r="E2866" s="10" t="str">
        <f>IFERROR(VLOOKUP(B2866,'Pre-Summary'!$AT$6:$AX$15,4,FALSE),"")</f>
        <v/>
      </c>
      <c r="F2866">
        <f>IFERROR(VLOOKUP(B2866,'Pre-Summary'!$AL$6:$AQ$13,6,FALSE),F2865)</f>
        <v>5.9405263157894746E-2</v>
      </c>
      <c r="G2866" t="str">
        <f>IFERROR(VLOOKUP(B2866,'Pre-Summary'!$AE$6:$AJ$85,3,FALSE),"")</f>
        <v/>
      </c>
      <c r="H2866" t="str">
        <f>IFERROR(VLOOKUP(B2866,'Pre-Summary'!$AE$6:$AJ$85,4,FALSE),"")</f>
        <v/>
      </c>
      <c r="I2866" t="str">
        <f>IFERROR(VLOOKUP(B2866,'Pre-Summary'!$AE$6:$AJ$85,5,FALSE),"")</f>
        <v/>
      </c>
      <c r="J2866" s="45" t="str">
        <f>IFERROR(VLOOKUP(B2866,'Pre-Summary'!$AE$6:$AJ$85,6, FALSE),"")</f>
        <v/>
      </c>
      <c r="K2866" s="45" t="str">
        <f>IFERROR(VLOOKUP(B2866,'Pre-Summary'!$DE$6:$DG$61,3,FALSE),"")</f>
        <v/>
      </c>
      <c r="L2866" s="45" t="str">
        <f>IFERROR(VLOOKUP(B2866,'Pre-Summary'!$CU$6:$CW$36,3,FALSE),"")</f>
        <v/>
      </c>
      <c r="M2866" s="45" t="str">
        <f>IFERROR(VLOOKUP(B2866,'Pre-Summary'!$BW$6:$BY$58,2,FALSE),"")</f>
        <v/>
      </c>
      <c r="N2866" s="45" t="str">
        <f>IFERROR(VLOOKUP(B2866,'Pre-Summary'!$CD$6:$CF$64,2,FALSE),"")</f>
        <v/>
      </c>
      <c r="O2866" s="99">
        <f>IFERROR(VLOOKUP(B2866,'Pre-Summary'!$BO$6:$BQ$48,3, FALSE),O2865)</f>
        <v>2.7749999999999999</v>
      </c>
      <c r="P2866" s="99">
        <f>IFERROR(VLOOKUP(B2866,'Pre-Summary'!$BS$6:$BU$35,3,FALSE),P2865)</f>
        <v>0.70099999999999996</v>
      </c>
      <c r="Q2866" s="54">
        <f t="shared" si="132"/>
        <v>3.9586305278174039</v>
      </c>
      <c r="R2866" s="53">
        <f>IFERROR(VLOOKUP(B2866,'Pre-Summary'!$BG$6:$BM$44,7,FALSE),R2867)</f>
        <v>0.1043586561898026</v>
      </c>
      <c r="S2866" s="53">
        <f>IFERROR(VLOOKUP(B2866,'Pre-Summary'!$BG$6:$BM$44,6,FALSE),S2867)</f>
        <v>0.10140000000009444</v>
      </c>
      <c r="T2866" s="45" t="str">
        <f>IFERROR(VLOOKUP(B2866,'Pre-Summary'!$Y$6:$AC$83, 3,FALSE),"")</f>
        <v/>
      </c>
      <c r="U2866" s="45" t="str">
        <f>IFERROR(VLOOKUP(B2866,'Pre-Summary'!$Y$6:$AC$83, 4,FALSE),"")</f>
        <v/>
      </c>
      <c r="V2866" t="str">
        <f>IFERROR(VLOOKUP(B2866,'Pre-Summary'!$Y$6:$AC$83, 5,FALSE),"")</f>
        <v/>
      </c>
      <c r="W2866" s="45" t="str">
        <f>IFERROR(VLOOKUP(B2866,'Pre-Summary'!$Y$6:$AD$83,6,FALSE),"")</f>
        <v/>
      </c>
      <c r="X2866" t="str">
        <f>IFERROR(VLOOKUP('Pre-Summary'!$DB$6:$DD$63,3,FALSE),"")</f>
        <v/>
      </c>
      <c r="Y2866" t="str">
        <f>IFERROR(VLOOKUP(B2866,'Pre-Summary'!$CR$6:$CT$36,3,FALSE),"")</f>
        <v/>
      </c>
      <c r="Z2866" s="45" t="str">
        <f>IFERROR(VLOOKUP(B2866,'Pre-Summary'!$BZ$6:$CB$63,2,FALSE),"")</f>
        <v/>
      </c>
      <c r="AA2866" s="45" t="str">
        <f>IFERROR(VLOOKUP(B2866,'Pre-Summary'!$CG$6:$CI$70,2,FALSE),"")</f>
        <v/>
      </c>
      <c r="AB2866" s="99">
        <f>IFERROR(VLOOKUP(B2866,'Pre-Summary'!$A$6:$P$178,9,FALSE),AB2867)</f>
        <v>0.7010379290946207</v>
      </c>
      <c r="AC2866" s="10">
        <f>IFERROR(VLOOKUP(Summary!B2866,'Pre-Summary'!$A$6:$P$184,5, FALSE)/100,AC2867)</f>
        <v>0.92607166666666674</v>
      </c>
      <c r="AD2866" s="10">
        <f>IFERROR(VLOOKUP(Summary!B2866,'Pre-Summary'!$A$6:$P$184,3, FALSE)/100,AD2867)</f>
        <v>5.4963666666666668E-2</v>
      </c>
      <c r="AE2866" s="10">
        <f>IFERROR(VLOOKUP(Summary!B2866,'Pre-Summary'!$A$6:$P$184,7, FALSE)/100,AE2867)</f>
        <v>1.8946666666666667E-2</v>
      </c>
      <c r="AF2866" s="99">
        <f t="shared" si="133"/>
        <v>3.8531615055447034E-2</v>
      </c>
      <c r="AG2866" s="99">
        <f t="shared" si="134"/>
        <v>1.3282331963246082E-2</v>
      </c>
      <c r="AH2866" s="10" t="str">
        <f>IFERROR(VLOOKUP(B2866,'Pre-Summary'!$AZ$6:$BE$65,3,FALSE),"")</f>
        <v/>
      </c>
      <c r="AI2866" s="10" t="str">
        <f>IFERROR(VLOOKUP(B2866,'Pre-Summary'!$AZ$6:$BE$65,5,FALSE),"")</f>
        <v/>
      </c>
      <c r="AJ2866" s="10" t="str">
        <f>IFERROR(VLOOKUP(B2866,'Pre-Summary'!$AZ$6:$BE$65,4,FALSE),"")</f>
        <v/>
      </c>
      <c r="AK2866" s="10" t="str">
        <f>IFERROR(VLOOKUP(B2866,'Pre-Summary'!$AZ$6:$BE$65,6,FALSE),"")</f>
        <v/>
      </c>
      <c r="AL2866" s="10" t="str">
        <f>IFERROR(VLOOKUP(B2866,'Pre-Summary'!$BG$6:$BL$44,3,FALSE),"")</f>
        <v/>
      </c>
      <c r="AM2866" s="10" t="str">
        <f>IFERROR(VLOOKUP(B2866,'Pre-Summary'!$BG$6:$BL$44,4,FALSE),"")</f>
        <v/>
      </c>
    </row>
    <row r="2867" spans="2:39" ht="15" customHeight="1" x14ac:dyDescent="0.3">
      <c r="B2867">
        <v>286.39999999999998</v>
      </c>
      <c r="C2867" t="str">
        <f>IFERROR(VLOOKUP(B2867,'Pre-Summary'!$DI$6:$DM$23,4,FALSE),"")</f>
        <v/>
      </c>
      <c r="D2867" s="10" t="str">
        <f>IFERROR(VLOOKUP(B2867,'Pre-Summary'!$AT$6:$AX$14,5,FALSE),D2866)</f>
        <v>Wolfe v3: went back to modified wolfe + EDTA and switched CuSO4 to CUCl2</v>
      </c>
      <c r="E2867" s="10" t="str">
        <f>IFERROR(VLOOKUP(B2867,'Pre-Summary'!$AT$6:$AX$15,4,FALSE),"")</f>
        <v/>
      </c>
      <c r="F2867">
        <f>IFERROR(VLOOKUP(B2867,'Pre-Summary'!$AL$6:$AQ$13,6,FALSE),F2866)</f>
        <v>5.9405263157894746E-2</v>
      </c>
      <c r="G2867" t="str">
        <f>IFERROR(VLOOKUP(B2867,'Pre-Summary'!$AE$6:$AJ$85,3,FALSE),"")</f>
        <v/>
      </c>
      <c r="H2867" t="str">
        <f>IFERROR(VLOOKUP(B2867,'Pre-Summary'!$AE$6:$AJ$85,4,FALSE),"")</f>
        <v/>
      </c>
      <c r="I2867" t="str">
        <f>IFERROR(VLOOKUP(B2867,'Pre-Summary'!$AE$6:$AJ$85,5,FALSE),"")</f>
        <v/>
      </c>
      <c r="J2867" s="45" t="str">
        <f>IFERROR(VLOOKUP(B2867,'Pre-Summary'!$AE$6:$AJ$85,6, FALSE),"")</f>
        <v/>
      </c>
      <c r="K2867" s="45" t="str">
        <f>IFERROR(VLOOKUP(B2867,'Pre-Summary'!$DE$6:$DG$61,3,FALSE),"")</f>
        <v/>
      </c>
      <c r="L2867" s="45" t="str">
        <f>IFERROR(VLOOKUP(B2867,'Pre-Summary'!$CU$6:$CW$36,3,FALSE),"")</f>
        <v/>
      </c>
      <c r="M2867" s="45" t="str">
        <f>IFERROR(VLOOKUP(B2867,'Pre-Summary'!$BW$6:$BY$58,2,FALSE),"")</f>
        <v/>
      </c>
      <c r="N2867" s="45" t="str">
        <f>IFERROR(VLOOKUP(B2867,'Pre-Summary'!$CD$6:$CF$64,2,FALSE),"")</f>
        <v/>
      </c>
      <c r="O2867" s="99">
        <f>IFERROR(VLOOKUP(B2867,'Pre-Summary'!$BO$6:$BQ$48,3, FALSE),O2866)</f>
        <v>2.7749999999999999</v>
      </c>
      <c r="P2867" s="99">
        <f>IFERROR(VLOOKUP(B2867,'Pre-Summary'!$BS$6:$BU$35,3,FALSE),P2866)</f>
        <v>0.70099999999999996</v>
      </c>
      <c r="Q2867" s="54">
        <f t="shared" si="132"/>
        <v>3.9586305278174039</v>
      </c>
      <c r="R2867" s="53">
        <f>IFERROR(VLOOKUP(B2867,'Pre-Summary'!$BG$6:$BM$44,7,FALSE),R2868)</f>
        <v>0.1043586561898026</v>
      </c>
      <c r="S2867" s="53">
        <f>IFERROR(VLOOKUP(B2867,'Pre-Summary'!$BG$6:$BM$44,6,FALSE),S2868)</f>
        <v>0.10140000000009444</v>
      </c>
      <c r="T2867" s="45" t="str">
        <f>IFERROR(VLOOKUP(B2867,'Pre-Summary'!$Y$6:$AC$83, 3,FALSE),"")</f>
        <v/>
      </c>
      <c r="U2867" s="45" t="str">
        <f>IFERROR(VLOOKUP(B2867,'Pre-Summary'!$Y$6:$AC$83, 4,FALSE),"")</f>
        <v/>
      </c>
      <c r="V2867" t="str">
        <f>IFERROR(VLOOKUP(B2867,'Pre-Summary'!$Y$6:$AC$83, 5,FALSE),"")</f>
        <v/>
      </c>
      <c r="W2867" s="45" t="str">
        <f>IFERROR(VLOOKUP(B2867,'Pre-Summary'!$Y$6:$AD$83,6,FALSE),"")</f>
        <v/>
      </c>
      <c r="X2867" t="str">
        <f>IFERROR(VLOOKUP('Pre-Summary'!$DB$6:$DD$63,3,FALSE),"")</f>
        <v/>
      </c>
      <c r="Y2867" t="str">
        <f>IFERROR(VLOOKUP(B2867,'Pre-Summary'!$CR$6:$CT$36,3,FALSE),"")</f>
        <v/>
      </c>
      <c r="Z2867" s="45" t="str">
        <f>IFERROR(VLOOKUP(B2867,'Pre-Summary'!$BZ$6:$CB$63,2,FALSE),"")</f>
        <v/>
      </c>
      <c r="AA2867" s="45" t="str">
        <f>IFERROR(VLOOKUP(B2867,'Pre-Summary'!$CG$6:$CI$70,2,FALSE),"")</f>
        <v/>
      </c>
      <c r="AB2867" s="99">
        <f>IFERROR(VLOOKUP(B2867,'Pre-Summary'!$A$6:$P$178,9,FALSE),AB2868)</f>
        <v>0.7010379290946207</v>
      </c>
      <c r="AC2867" s="10">
        <f>IFERROR(VLOOKUP(Summary!B2867,'Pre-Summary'!$A$6:$P$184,5, FALSE)/100,AC2868)</f>
        <v>0.92607166666666674</v>
      </c>
      <c r="AD2867" s="10">
        <f>IFERROR(VLOOKUP(Summary!B2867,'Pre-Summary'!$A$6:$P$184,3, FALSE)/100,AD2868)</f>
        <v>5.4963666666666668E-2</v>
      </c>
      <c r="AE2867" s="10">
        <f>IFERROR(VLOOKUP(Summary!B2867,'Pre-Summary'!$A$6:$P$184,7, FALSE)/100,AE2868)</f>
        <v>1.8946666666666667E-2</v>
      </c>
      <c r="AF2867" s="99">
        <f t="shared" si="133"/>
        <v>3.8531615055447034E-2</v>
      </c>
      <c r="AG2867" s="99">
        <f t="shared" si="134"/>
        <v>1.3282331963246082E-2</v>
      </c>
      <c r="AH2867" s="10" t="str">
        <f>IFERROR(VLOOKUP(B2867,'Pre-Summary'!$AZ$6:$BE$65,3,FALSE),"")</f>
        <v/>
      </c>
      <c r="AI2867" s="10" t="str">
        <f>IFERROR(VLOOKUP(B2867,'Pre-Summary'!$AZ$6:$BE$65,5,FALSE),"")</f>
        <v/>
      </c>
      <c r="AJ2867" s="10" t="str">
        <f>IFERROR(VLOOKUP(B2867,'Pre-Summary'!$AZ$6:$BE$65,4,FALSE),"")</f>
        <v/>
      </c>
      <c r="AK2867" s="10" t="str">
        <f>IFERROR(VLOOKUP(B2867,'Pre-Summary'!$AZ$6:$BE$65,6,FALSE),"")</f>
        <v/>
      </c>
      <c r="AL2867" s="10" t="str">
        <f>IFERROR(VLOOKUP(B2867,'Pre-Summary'!$BG$6:$BL$44,3,FALSE),"")</f>
        <v/>
      </c>
      <c r="AM2867" s="10" t="str">
        <f>IFERROR(VLOOKUP(B2867,'Pre-Summary'!$BG$6:$BL$44,4,FALSE),"")</f>
        <v/>
      </c>
    </row>
    <row r="2868" spans="2:39" ht="15" customHeight="1" x14ac:dyDescent="0.3">
      <c r="B2868">
        <v>286.5</v>
      </c>
      <c r="C2868" t="str">
        <f>IFERROR(VLOOKUP(B2868,'Pre-Summary'!$DI$6:$DM$23,4,FALSE),"")</f>
        <v/>
      </c>
      <c r="D2868" s="10" t="str">
        <f>IFERROR(VLOOKUP(B2868,'Pre-Summary'!$AT$6:$AX$14,5,FALSE),D2867)</f>
        <v>Wolfe v3: went back to modified wolfe + EDTA and switched CuSO4 to CUCl2</v>
      </c>
      <c r="E2868" s="10" t="str">
        <f>IFERROR(VLOOKUP(B2868,'Pre-Summary'!$AT$6:$AX$15,4,FALSE),"")</f>
        <v/>
      </c>
      <c r="F2868">
        <f>IFERROR(VLOOKUP(B2868,'Pre-Summary'!$AL$6:$AQ$13,6,FALSE),F2867)</f>
        <v>5.9405263157894746E-2</v>
      </c>
      <c r="G2868" t="str">
        <f>IFERROR(VLOOKUP(B2868,'Pre-Summary'!$AE$6:$AJ$85,3,FALSE),"")</f>
        <v/>
      </c>
      <c r="H2868" t="str">
        <f>IFERROR(VLOOKUP(B2868,'Pre-Summary'!$AE$6:$AJ$85,4,FALSE),"")</f>
        <v/>
      </c>
      <c r="I2868" t="str">
        <f>IFERROR(VLOOKUP(B2868,'Pre-Summary'!$AE$6:$AJ$85,5,FALSE),"")</f>
        <v/>
      </c>
      <c r="J2868" s="45" t="str">
        <f>IFERROR(VLOOKUP(B2868,'Pre-Summary'!$AE$6:$AJ$85,6, FALSE),"")</f>
        <v/>
      </c>
      <c r="K2868" s="45" t="str">
        <f>IFERROR(VLOOKUP(B2868,'Pre-Summary'!$DE$6:$DG$61,3,FALSE),"")</f>
        <v/>
      </c>
      <c r="L2868" s="45" t="str">
        <f>IFERROR(VLOOKUP(B2868,'Pre-Summary'!$CU$6:$CW$36,3,FALSE),"")</f>
        <v/>
      </c>
      <c r="M2868" s="45" t="str">
        <f>IFERROR(VLOOKUP(B2868,'Pre-Summary'!$BW$6:$BY$58,2,FALSE),"")</f>
        <v/>
      </c>
      <c r="N2868" s="45" t="str">
        <f>IFERROR(VLOOKUP(B2868,'Pre-Summary'!$CD$6:$CF$64,2,FALSE),"")</f>
        <v/>
      </c>
      <c r="O2868" s="99">
        <f>IFERROR(VLOOKUP(B2868,'Pre-Summary'!$BO$6:$BQ$48,3, FALSE),O2867)</f>
        <v>2.7749999999999999</v>
      </c>
      <c r="P2868" s="99">
        <f>IFERROR(VLOOKUP(B2868,'Pre-Summary'!$BS$6:$BU$35,3,FALSE),P2867)</f>
        <v>0.70099999999999996</v>
      </c>
      <c r="Q2868" s="54">
        <f t="shared" si="132"/>
        <v>3.9586305278174039</v>
      </c>
      <c r="R2868" s="53">
        <f>IFERROR(VLOOKUP(B2868,'Pre-Summary'!$BG$6:$BM$44,7,FALSE),R2869)</f>
        <v>0.1043586561898026</v>
      </c>
      <c r="S2868" s="53">
        <f>IFERROR(VLOOKUP(B2868,'Pre-Summary'!$BG$6:$BM$44,6,FALSE),S2869)</f>
        <v>0.10140000000009444</v>
      </c>
      <c r="T2868" s="45" t="str">
        <f>IFERROR(VLOOKUP(B2868,'Pre-Summary'!$Y$6:$AC$83, 3,FALSE),"")</f>
        <v/>
      </c>
      <c r="U2868" s="45" t="str">
        <f>IFERROR(VLOOKUP(B2868,'Pre-Summary'!$Y$6:$AC$83, 4,FALSE),"")</f>
        <v/>
      </c>
      <c r="V2868" t="str">
        <f>IFERROR(VLOOKUP(B2868,'Pre-Summary'!$Y$6:$AC$83, 5,FALSE),"")</f>
        <v/>
      </c>
      <c r="W2868" s="45" t="str">
        <f>IFERROR(VLOOKUP(B2868,'Pre-Summary'!$Y$6:$AD$83,6,FALSE),"")</f>
        <v/>
      </c>
      <c r="X2868" t="str">
        <f>IFERROR(VLOOKUP('Pre-Summary'!$DB$6:$DD$63,3,FALSE),"")</f>
        <v/>
      </c>
      <c r="Y2868" t="str">
        <f>IFERROR(VLOOKUP(B2868,'Pre-Summary'!$CR$6:$CT$36,3,FALSE),"")</f>
        <v/>
      </c>
      <c r="Z2868" s="45" t="str">
        <f>IFERROR(VLOOKUP(B2868,'Pre-Summary'!$BZ$6:$CB$63,2,FALSE),"")</f>
        <v/>
      </c>
      <c r="AA2868" s="45" t="str">
        <f>IFERROR(VLOOKUP(B2868,'Pre-Summary'!$CG$6:$CI$70,2,FALSE),"")</f>
        <v/>
      </c>
      <c r="AB2868" s="99">
        <f>IFERROR(VLOOKUP(B2868,'Pre-Summary'!$A$6:$P$178,9,FALSE),AB2869)</f>
        <v>0.7010379290946207</v>
      </c>
      <c r="AC2868" s="10">
        <f>IFERROR(VLOOKUP(Summary!B2868,'Pre-Summary'!$A$6:$P$184,5, FALSE)/100,AC2869)</f>
        <v>0.92607166666666674</v>
      </c>
      <c r="AD2868" s="10">
        <f>IFERROR(VLOOKUP(Summary!B2868,'Pre-Summary'!$A$6:$P$184,3, FALSE)/100,AD2869)</f>
        <v>5.4963666666666668E-2</v>
      </c>
      <c r="AE2868" s="10">
        <f>IFERROR(VLOOKUP(Summary!B2868,'Pre-Summary'!$A$6:$P$184,7, FALSE)/100,AE2869)</f>
        <v>1.8946666666666667E-2</v>
      </c>
      <c r="AF2868" s="99">
        <f t="shared" si="133"/>
        <v>3.8531615055447034E-2</v>
      </c>
      <c r="AG2868" s="99">
        <f t="shared" si="134"/>
        <v>1.3282331963246082E-2</v>
      </c>
      <c r="AH2868" s="10" t="str">
        <f>IFERROR(VLOOKUP(B2868,'Pre-Summary'!$AZ$6:$BE$65,3,FALSE),"")</f>
        <v/>
      </c>
      <c r="AI2868" s="10" t="str">
        <f>IFERROR(VLOOKUP(B2868,'Pre-Summary'!$AZ$6:$BE$65,5,FALSE),"")</f>
        <v/>
      </c>
      <c r="AJ2868" s="10" t="str">
        <f>IFERROR(VLOOKUP(B2868,'Pre-Summary'!$AZ$6:$BE$65,4,FALSE),"")</f>
        <v/>
      </c>
      <c r="AK2868" s="10" t="str">
        <f>IFERROR(VLOOKUP(B2868,'Pre-Summary'!$AZ$6:$BE$65,6,FALSE),"")</f>
        <v/>
      </c>
      <c r="AL2868" s="10" t="str">
        <f>IFERROR(VLOOKUP(B2868,'Pre-Summary'!$BG$6:$BL$44,3,FALSE),"")</f>
        <v/>
      </c>
      <c r="AM2868" s="10" t="str">
        <f>IFERROR(VLOOKUP(B2868,'Pre-Summary'!$BG$6:$BL$44,4,FALSE),"")</f>
        <v/>
      </c>
    </row>
    <row r="2869" spans="2:39" ht="15" customHeight="1" x14ac:dyDescent="0.3">
      <c r="B2869">
        <v>286.60000000000002</v>
      </c>
      <c r="C2869" t="str">
        <f>IFERROR(VLOOKUP(B2869,'Pre-Summary'!$DI$6:$DM$23,4,FALSE),"")</f>
        <v/>
      </c>
      <c r="D2869" s="10" t="str">
        <f>IFERROR(VLOOKUP(B2869,'Pre-Summary'!$AT$6:$AX$14,5,FALSE),D2868)</f>
        <v>Wolfe v3: went back to modified wolfe + EDTA and switched CuSO4 to CUCl2</v>
      </c>
      <c r="E2869" s="10" t="str">
        <f>IFERROR(VLOOKUP(B2869,'Pre-Summary'!$AT$6:$AX$15,4,FALSE),"")</f>
        <v/>
      </c>
      <c r="F2869">
        <f>IFERROR(VLOOKUP(B2869,'Pre-Summary'!$AL$6:$AQ$13,6,FALSE),F2868)</f>
        <v>5.9405263157894746E-2</v>
      </c>
      <c r="G2869" t="str">
        <f>IFERROR(VLOOKUP(B2869,'Pre-Summary'!$AE$6:$AJ$85,3,FALSE),"")</f>
        <v/>
      </c>
      <c r="H2869" t="str">
        <f>IFERROR(VLOOKUP(B2869,'Pre-Summary'!$AE$6:$AJ$85,4,FALSE),"")</f>
        <v/>
      </c>
      <c r="I2869" t="str">
        <f>IFERROR(VLOOKUP(B2869,'Pre-Summary'!$AE$6:$AJ$85,5,FALSE),"")</f>
        <v/>
      </c>
      <c r="J2869" s="45" t="str">
        <f>IFERROR(VLOOKUP(B2869,'Pre-Summary'!$AE$6:$AJ$85,6, FALSE),"")</f>
        <v/>
      </c>
      <c r="K2869" s="45" t="str">
        <f>IFERROR(VLOOKUP(B2869,'Pre-Summary'!$DE$6:$DG$61,3,FALSE),"")</f>
        <v/>
      </c>
      <c r="L2869" s="45" t="str">
        <f>IFERROR(VLOOKUP(B2869,'Pre-Summary'!$CU$6:$CW$36,3,FALSE),"")</f>
        <v/>
      </c>
      <c r="M2869" s="45" t="str">
        <f>IFERROR(VLOOKUP(B2869,'Pre-Summary'!$BW$6:$BY$58,2,FALSE),"")</f>
        <v/>
      </c>
      <c r="N2869" s="45" t="str">
        <f>IFERROR(VLOOKUP(B2869,'Pre-Summary'!$CD$6:$CF$64,2,FALSE),"")</f>
        <v/>
      </c>
      <c r="O2869" s="99">
        <f>IFERROR(VLOOKUP(B2869,'Pre-Summary'!$BO$6:$BQ$48,3, FALSE),O2868)</f>
        <v>2.7749999999999999</v>
      </c>
      <c r="P2869" s="99">
        <f>IFERROR(VLOOKUP(B2869,'Pre-Summary'!$BS$6:$BU$35,3,FALSE),P2868)</f>
        <v>0.70099999999999996</v>
      </c>
      <c r="Q2869" s="54">
        <f t="shared" si="132"/>
        <v>3.9586305278174039</v>
      </c>
      <c r="R2869" s="53">
        <f>IFERROR(VLOOKUP(B2869,'Pre-Summary'!$BG$6:$BM$44,7,FALSE),R2870)</f>
        <v>0.1043586561898026</v>
      </c>
      <c r="S2869" s="53">
        <f>IFERROR(VLOOKUP(B2869,'Pre-Summary'!$BG$6:$BM$44,6,FALSE),S2870)</f>
        <v>0.10140000000009444</v>
      </c>
      <c r="T2869" s="45" t="str">
        <f>IFERROR(VLOOKUP(B2869,'Pre-Summary'!$Y$6:$AC$83, 3,FALSE),"")</f>
        <v/>
      </c>
      <c r="U2869" s="45" t="str">
        <f>IFERROR(VLOOKUP(B2869,'Pre-Summary'!$Y$6:$AC$83, 4,FALSE),"")</f>
        <v/>
      </c>
      <c r="V2869" t="str">
        <f>IFERROR(VLOOKUP(B2869,'Pre-Summary'!$Y$6:$AC$83, 5,FALSE),"")</f>
        <v/>
      </c>
      <c r="W2869" s="45" t="str">
        <f>IFERROR(VLOOKUP(B2869,'Pre-Summary'!$Y$6:$AD$83,6,FALSE),"")</f>
        <v/>
      </c>
      <c r="X2869" t="str">
        <f>IFERROR(VLOOKUP('Pre-Summary'!$DB$6:$DD$63,3,FALSE),"")</f>
        <v/>
      </c>
      <c r="Y2869" t="str">
        <f>IFERROR(VLOOKUP(B2869,'Pre-Summary'!$CR$6:$CT$36,3,FALSE),"")</f>
        <v/>
      </c>
      <c r="Z2869" s="45" t="str">
        <f>IFERROR(VLOOKUP(B2869,'Pre-Summary'!$BZ$6:$CB$63,2,FALSE),"")</f>
        <v/>
      </c>
      <c r="AA2869" s="45" t="str">
        <f>IFERROR(VLOOKUP(B2869,'Pre-Summary'!$CG$6:$CI$70,2,FALSE),"")</f>
        <v/>
      </c>
      <c r="AB2869" s="99">
        <f>IFERROR(VLOOKUP(B2869,'Pre-Summary'!$A$6:$P$178,9,FALSE),AB2870)</f>
        <v>0.7010379290946207</v>
      </c>
      <c r="AC2869" s="10">
        <f>IFERROR(VLOOKUP(Summary!B2869,'Pre-Summary'!$A$6:$P$184,5, FALSE)/100,AC2870)</f>
        <v>0.92607166666666674</v>
      </c>
      <c r="AD2869" s="10">
        <f>IFERROR(VLOOKUP(Summary!B2869,'Pre-Summary'!$A$6:$P$184,3, FALSE)/100,AD2870)</f>
        <v>5.4963666666666668E-2</v>
      </c>
      <c r="AE2869" s="10">
        <f>IFERROR(VLOOKUP(Summary!B2869,'Pre-Summary'!$A$6:$P$184,7, FALSE)/100,AE2870)</f>
        <v>1.8946666666666667E-2</v>
      </c>
      <c r="AF2869" s="99">
        <f t="shared" si="133"/>
        <v>3.8531615055447034E-2</v>
      </c>
      <c r="AG2869" s="99">
        <f t="shared" si="134"/>
        <v>1.3282331963246082E-2</v>
      </c>
      <c r="AH2869" s="10" t="str">
        <f>IFERROR(VLOOKUP(B2869,'Pre-Summary'!$AZ$6:$BE$65,3,FALSE),"")</f>
        <v/>
      </c>
      <c r="AI2869" s="10" t="str">
        <f>IFERROR(VLOOKUP(B2869,'Pre-Summary'!$AZ$6:$BE$65,5,FALSE),"")</f>
        <v/>
      </c>
      <c r="AJ2869" s="10" t="str">
        <f>IFERROR(VLOOKUP(B2869,'Pre-Summary'!$AZ$6:$BE$65,4,FALSE),"")</f>
        <v/>
      </c>
      <c r="AK2869" s="10" t="str">
        <f>IFERROR(VLOOKUP(B2869,'Pre-Summary'!$AZ$6:$BE$65,6,FALSE),"")</f>
        <v/>
      </c>
      <c r="AL2869" s="10" t="str">
        <f>IFERROR(VLOOKUP(B2869,'Pre-Summary'!$BG$6:$BL$44,3,FALSE),"")</f>
        <v/>
      </c>
      <c r="AM2869" s="10" t="str">
        <f>IFERROR(VLOOKUP(B2869,'Pre-Summary'!$BG$6:$BL$44,4,FALSE),"")</f>
        <v/>
      </c>
    </row>
    <row r="2870" spans="2:39" ht="15" customHeight="1" x14ac:dyDescent="0.3">
      <c r="B2870">
        <v>286.7</v>
      </c>
      <c r="C2870" t="str">
        <f>IFERROR(VLOOKUP(B2870,'Pre-Summary'!$DI$6:$DM$23,4,FALSE),"")</f>
        <v/>
      </c>
      <c r="D2870" s="10" t="str">
        <f>IFERROR(VLOOKUP(B2870,'Pre-Summary'!$AT$6:$AX$14,5,FALSE),D2869)</f>
        <v>Wolfe v3: went back to modified wolfe + EDTA and switched CuSO4 to CUCl2</v>
      </c>
      <c r="E2870" s="10" t="str">
        <f>IFERROR(VLOOKUP(B2870,'Pre-Summary'!$AT$6:$AX$15,4,FALSE),"")</f>
        <v/>
      </c>
      <c r="F2870">
        <f>IFERROR(VLOOKUP(B2870,'Pre-Summary'!$AL$6:$AQ$13,6,FALSE),F2869)</f>
        <v>5.9405263157894746E-2</v>
      </c>
      <c r="G2870" t="str">
        <f>IFERROR(VLOOKUP(B2870,'Pre-Summary'!$AE$6:$AJ$85,3,FALSE),"")</f>
        <v/>
      </c>
      <c r="H2870" t="str">
        <f>IFERROR(VLOOKUP(B2870,'Pre-Summary'!$AE$6:$AJ$85,4,FALSE),"")</f>
        <v/>
      </c>
      <c r="I2870" t="str">
        <f>IFERROR(VLOOKUP(B2870,'Pre-Summary'!$AE$6:$AJ$85,5,FALSE),"")</f>
        <v/>
      </c>
      <c r="J2870" s="45" t="str">
        <f>IFERROR(VLOOKUP(B2870,'Pre-Summary'!$AE$6:$AJ$85,6, FALSE),"")</f>
        <v/>
      </c>
      <c r="K2870" s="45" t="str">
        <f>IFERROR(VLOOKUP(B2870,'Pre-Summary'!$DE$6:$DG$61,3,FALSE),"")</f>
        <v/>
      </c>
      <c r="L2870" s="45" t="str">
        <f>IFERROR(VLOOKUP(B2870,'Pre-Summary'!$CU$6:$CW$36,3,FALSE),"")</f>
        <v/>
      </c>
      <c r="M2870" s="45" t="str">
        <f>IFERROR(VLOOKUP(B2870,'Pre-Summary'!$BW$6:$BY$58,2,FALSE),"")</f>
        <v/>
      </c>
      <c r="N2870" s="45" t="str">
        <f>IFERROR(VLOOKUP(B2870,'Pre-Summary'!$CD$6:$CF$64,2,FALSE),"")</f>
        <v/>
      </c>
      <c r="O2870" s="99">
        <f>IFERROR(VLOOKUP(B2870,'Pre-Summary'!$BO$6:$BQ$48,3, FALSE),O2869)</f>
        <v>2.7749999999999999</v>
      </c>
      <c r="P2870" s="99">
        <f>IFERROR(VLOOKUP(B2870,'Pre-Summary'!$BS$6:$BU$35,3,FALSE),P2869)</f>
        <v>0.70099999999999996</v>
      </c>
      <c r="Q2870" s="54">
        <f t="shared" si="132"/>
        <v>3.9586305278174039</v>
      </c>
      <c r="R2870" s="53">
        <f>IFERROR(VLOOKUP(B2870,'Pre-Summary'!$BG$6:$BM$44,7,FALSE),R2871)</f>
        <v>0.1043586561898026</v>
      </c>
      <c r="S2870" s="53">
        <f>IFERROR(VLOOKUP(B2870,'Pre-Summary'!$BG$6:$BM$44,6,FALSE),S2871)</f>
        <v>0.10140000000009444</v>
      </c>
      <c r="T2870" s="45" t="str">
        <f>IFERROR(VLOOKUP(B2870,'Pre-Summary'!$Y$6:$AC$83, 3,FALSE),"")</f>
        <v/>
      </c>
      <c r="U2870" s="45" t="str">
        <f>IFERROR(VLOOKUP(B2870,'Pre-Summary'!$Y$6:$AC$83, 4,FALSE),"")</f>
        <v/>
      </c>
      <c r="V2870" t="str">
        <f>IFERROR(VLOOKUP(B2870,'Pre-Summary'!$Y$6:$AC$83, 5,FALSE),"")</f>
        <v/>
      </c>
      <c r="W2870" s="45" t="str">
        <f>IFERROR(VLOOKUP(B2870,'Pre-Summary'!$Y$6:$AD$83,6,FALSE),"")</f>
        <v/>
      </c>
      <c r="X2870" t="str">
        <f>IFERROR(VLOOKUP('Pre-Summary'!$DB$6:$DD$63,3,FALSE),"")</f>
        <v/>
      </c>
      <c r="Y2870" t="str">
        <f>IFERROR(VLOOKUP(B2870,'Pre-Summary'!$CR$6:$CT$36,3,FALSE),"")</f>
        <v/>
      </c>
      <c r="Z2870" s="45" t="str">
        <f>IFERROR(VLOOKUP(B2870,'Pre-Summary'!$BZ$6:$CB$63,2,FALSE),"")</f>
        <v/>
      </c>
      <c r="AA2870" s="45" t="str">
        <f>IFERROR(VLOOKUP(B2870,'Pre-Summary'!$CG$6:$CI$70,2,FALSE),"")</f>
        <v/>
      </c>
      <c r="AB2870" s="99">
        <f>IFERROR(VLOOKUP(B2870,'Pre-Summary'!$A$6:$P$178,9,FALSE),AB2871)</f>
        <v>0.7010379290946207</v>
      </c>
      <c r="AC2870" s="10">
        <f>IFERROR(VLOOKUP(Summary!B2870,'Pre-Summary'!$A$6:$P$184,5, FALSE)/100,AC2871)</f>
        <v>0.92607166666666674</v>
      </c>
      <c r="AD2870" s="10">
        <f>IFERROR(VLOOKUP(Summary!B2870,'Pre-Summary'!$A$6:$P$184,3, FALSE)/100,AD2871)</f>
        <v>5.4963666666666668E-2</v>
      </c>
      <c r="AE2870" s="10">
        <f>IFERROR(VLOOKUP(Summary!B2870,'Pre-Summary'!$A$6:$P$184,7, FALSE)/100,AE2871)</f>
        <v>1.8946666666666667E-2</v>
      </c>
      <c r="AF2870" s="99">
        <f t="shared" si="133"/>
        <v>3.8531615055447034E-2</v>
      </c>
      <c r="AG2870" s="99">
        <f t="shared" si="134"/>
        <v>1.3282331963246082E-2</v>
      </c>
      <c r="AH2870" s="10" t="str">
        <f>IFERROR(VLOOKUP(B2870,'Pre-Summary'!$AZ$6:$BE$65,3,FALSE),"")</f>
        <v/>
      </c>
      <c r="AI2870" s="10" t="str">
        <f>IFERROR(VLOOKUP(B2870,'Pre-Summary'!$AZ$6:$BE$65,5,FALSE),"")</f>
        <v/>
      </c>
      <c r="AJ2870" s="10" t="str">
        <f>IFERROR(VLOOKUP(B2870,'Pre-Summary'!$AZ$6:$BE$65,4,FALSE),"")</f>
        <v/>
      </c>
      <c r="AK2870" s="10" t="str">
        <f>IFERROR(VLOOKUP(B2870,'Pre-Summary'!$AZ$6:$BE$65,6,FALSE),"")</f>
        <v/>
      </c>
      <c r="AL2870" s="10" t="str">
        <f>IFERROR(VLOOKUP(B2870,'Pre-Summary'!$BG$6:$BL$44,3,FALSE),"")</f>
        <v/>
      </c>
      <c r="AM2870" s="10" t="str">
        <f>IFERROR(VLOOKUP(B2870,'Pre-Summary'!$BG$6:$BL$44,4,FALSE),"")</f>
        <v/>
      </c>
    </row>
    <row r="2871" spans="2:39" ht="15" customHeight="1" x14ac:dyDescent="0.3">
      <c r="B2871">
        <v>286.8</v>
      </c>
      <c r="C2871" t="str">
        <f>IFERROR(VLOOKUP(B2871,'Pre-Summary'!$DI$6:$DM$23,4,FALSE),"")</f>
        <v/>
      </c>
      <c r="D2871" s="10" t="str">
        <f>IFERROR(VLOOKUP(B2871,'Pre-Summary'!$AT$6:$AX$14,5,FALSE),D2870)</f>
        <v>Wolfe v3: went back to modified wolfe + EDTA and switched CuSO4 to CUCl2</v>
      </c>
      <c r="E2871" s="10" t="str">
        <f>IFERROR(VLOOKUP(B2871,'Pre-Summary'!$AT$6:$AX$15,4,FALSE),"")</f>
        <v/>
      </c>
      <c r="F2871">
        <f>IFERROR(VLOOKUP(B2871,'Pre-Summary'!$AL$6:$AQ$13,6,FALSE),F2870)</f>
        <v>5.9405263157894746E-2</v>
      </c>
      <c r="G2871" t="str">
        <f>IFERROR(VLOOKUP(B2871,'Pre-Summary'!$AE$6:$AJ$85,3,FALSE),"")</f>
        <v/>
      </c>
      <c r="H2871" t="str">
        <f>IFERROR(VLOOKUP(B2871,'Pre-Summary'!$AE$6:$AJ$85,4,FALSE),"")</f>
        <v/>
      </c>
      <c r="I2871" t="str">
        <f>IFERROR(VLOOKUP(B2871,'Pre-Summary'!$AE$6:$AJ$85,5,FALSE),"")</f>
        <v/>
      </c>
      <c r="J2871" s="45" t="str">
        <f>IFERROR(VLOOKUP(B2871,'Pre-Summary'!$AE$6:$AJ$85,6, FALSE),"")</f>
        <v/>
      </c>
      <c r="K2871" s="45" t="str">
        <f>IFERROR(VLOOKUP(B2871,'Pre-Summary'!$DE$6:$DG$61,3,FALSE),"")</f>
        <v/>
      </c>
      <c r="L2871" s="45" t="str">
        <f>IFERROR(VLOOKUP(B2871,'Pre-Summary'!$CU$6:$CW$36,3,FALSE),"")</f>
        <v/>
      </c>
      <c r="M2871" s="45" t="str">
        <f>IFERROR(VLOOKUP(B2871,'Pre-Summary'!$BW$6:$BY$58,2,FALSE),"")</f>
        <v/>
      </c>
      <c r="N2871" s="45" t="str">
        <f>IFERROR(VLOOKUP(B2871,'Pre-Summary'!$CD$6:$CF$64,2,FALSE),"")</f>
        <v/>
      </c>
      <c r="O2871" s="99">
        <f>IFERROR(VLOOKUP(B2871,'Pre-Summary'!$BO$6:$BQ$48,3, FALSE),O2870)</f>
        <v>2.7749999999999999</v>
      </c>
      <c r="P2871" s="99">
        <f>IFERROR(VLOOKUP(B2871,'Pre-Summary'!$BS$6:$BU$35,3,FALSE),P2870)</f>
        <v>0.70099999999999996</v>
      </c>
      <c r="Q2871" s="54">
        <f t="shared" si="132"/>
        <v>3.9586305278174039</v>
      </c>
      <c r="R2871" s="53">
        <f>IFERROR(VLOOKUP(B2871,'Pre-Summary'!$BG$6:$BM$44,7,FALSE),R2872)</f>
        <v>0.1043586561898026</v>
      </c>
      <c r="S2871" s="53">
        <f>IFERROR(VLOOKUP(B2871,'Pre-Summary'!$BG$6:$BM$44,6,FALSE),S2872)</f>
        <v>0.10140000000009444</v>
      </c>
      <c r="T2871" s="45" t="str">
        <f>IFERROR(VLOOKUP(B2871,'Pre-Summary'!$Y$6:$AC$83, 3,FALSE),"")</f>
        <v/>
      </c>
      <c r="U2871" s="45" t="str">
        <f>IFERROR(VLOOKUP(B2871,'Pre-Summary'!$Y$6:$AC$83, 4,FALSE),"")</f>
        <v/>
      </c>
      <c r="V2871" t="str">
        <f>IFERROR(VLOOKUP(B2871,'Pre-Summary'!$Y$6:$AC$83, 5,FALSE),"")</f>
        <v/>
      </c>
      <c r="W2871" s="45" t="str">
        <f>IFERROR(VLOOKUP(B2871,'Pre-Summary'!$Y$6:$AD$83,6,FALSE),"")</f>
        <v/>
      </c>
      <c r="X2871" t="str">
        <f>IFERROR(VLOOKUP('Pre-Summary'!$DB$6:$DD$63,3,FALSE),"")</f>
        <v/>
      </c>
      <c r="Y2871" t="str">
        <f>IFERROR(VLOOKUP(B2871,'Pre-Summary'!$CR$6:$CT$36,3,FALSE),"")</f>
        <v/>
      </c>
      <c r="Z2871" s="45" t="str">
        <f>IFERROR(VLOOKUP(B2871,'Pre-Summary'!$BZ$6:$CB$63,2,FALSE),"")</f>
        <v/>
      </c>
      <c r="AA2871" s="45" t="str">
        <f>IFERROR(VLOOKUP(B2871,'Pre-Summary'!$CG$6:$CI$70,2,FALSE),"")</f>
        <v/>
      </c>
      <c r="AB2871" s="99">
        <f>IFERROR(VLOOKUP(B2871,'Pre-Summary'!$A$6:$P$178,9,FALSE),AB2872)</f>
        <v>0.7010379290946207</v>
      </c>
      <c r="AC2871" s="10">
        <f>IFERROR(VLOOKUP(Summary!B2871,'Pre-Summary'!$A$6:$P$184,5, FALSE)/100,AC2872)</f>
        <v>0.92607166666666674</v>
      </c>
      <c r="AD2871" s="10">
        <f>IFERROR(VLOOKUP(Summary!B2871,'Pre-Summary'!$A$6:$P$184,3, FALSE)/100,AD2872)</f>
        <v>5.4963666666666668E-2</v>
      </c>
      <c r="AE2871" s="10">
        <f>IFERROR(VLOOKUP(Summary!B2871,'Pre-Summary'!$A$6:$P$184,7, FALSE)/100,AE2872)</f>
        <v>1.8946666666666667E-2</v>
      </c>
      <c r="AF2871" s="99">
        <f t="shared" si="133"/>
        <v>3.8531615055447034E-2</v>
      </c>
      <c r="AG2871" s="99">
        <f t="shared" si="134"/>
        <v>1.3282331963246082E-2</v>
      </c>
      <c r="AH2871" s="10" t="str">
        <f>IFERROR(VLOOKUP(B2871,'Pre-Summary'!$AZ$6:$BE$65,3,FALSE),"")</f>
        <v/>
      </c>
      <c r="AI2871" s="10" t="str">
        <f>IFERROR(VLOOKUP(B2871,'Pre-Summary'!$AZ$6:$BE$65,5,FALSE),"")</f>
        <v/>
      </c>
      <c r="AJ2871" s="10" t="str">
        <f>IFERROR(VLOOKUP(B2871,'Pre-Summary'!$AZ$6:$BE$65,4,FALSE),"")</f>
        <v/>
      </c>
      <c r="AK2871" s="10" t="str">
        <f>IFERROR(VLOOKUP(B2871,'Pre-Summary'!$AZ$6:$BE$65,6,FALSE),"")</f>
        <v/>
      </c>
      <c r="AL2871" s="10" t="str">
        <f>IFERROR(VLOOKUP(B2871,'Pre-Summary'!$BG$6:$BL$44,3,FALSE),"")</f>
        <v/>
      </c>
      <c r="AM2871" s="10" t="str">
        <f>IFERROR(VLOOKUP(B2871,'Pre-Summary'!$BG$6:$BL$44,4,FALSE),"")</f>
        <v/>
      </c>
    </row>
    <row r="2872" spans="2:39" ht="15" customHeight="1" x14ac:dyDescent="0.3">
      <c r="B2872">
        <v>286.89999999999998</v>
      </c>
      <c r="C2872" t="str">
        <f>IFERROR(VLOOKUP(B2872,'Pre-Summary'!$DI$6:$DM$23,4,FALSE),"")</f>
        <v/>
      </c>
      <c r="D2872" s="10" t="str">
        <f>IFERROR(VLOOKUP(B2872,'Pre-Summary'!$AT$6:$AX$14,5,FALSE),D2871)</f>
        <v>Wolfe v3: went back to modified wolfe + EDTA and switched CuSO4 to CUCl2</v>
      </c>
      <c r="E2872" s="10" t="str">
        <f>IFERROR(VLOOKUP(B2872,'Pre-Summary'!$AT$6:$AX$15,4,FALSE),"")</f>
        <v/>
      </c>
      <c r="F2872">
        <f>IFERROR(VLOOKUP(B2872,'Pre-Summary'!$AL$6:$AQ$13,6,FALSE),F2871)</f>
        <v>5.9405263157894746E-2</v>
      </c>
      <c r="G2872" t="str">
        <f>IFERROR(VLOOKUP(B2872,'Pre-Summary'!$AE$6:$AJ$85,3,FALSE),"")</f>
        <v/>
      </c>
      <c r="H2872" t="str">
        <f>IFERROR(VLOOKUP(B2872,'Pre-Summary'!$AE$6:$AJ$85,4,FALSE),"")</f>
        <v/>
      </c>
      <c r="I2872" t="str">
        <f>IFERROR(VLOOKUP(B2872,'Pre-Summary'!$AE$6:$AJ$85,5,FALSE),"")</f>
        <v/>
      </c>
      <c r="J2872" s="45" t="str">
        <f>IFERROR(VLOOKUP(B2872,'Pre-Summary'!$AE$6:$AJ$85,6, FALSE),"")</f>
        <v/>
      </c>
      <c r="K2872" s="45" t="str">
        <f>IFERROR(VLOOKUP(B2872,'Pre-Summary'!$DE$6:$DG$61,3,FALSE),"")</f>
        <v/>
      </c>
      <c r="L2872" s="45" t="str">
        <f>IFERROR(VLOOKUP(B2872,'Pre-Summary'!$CU$6:$CW$36,3,FALSE),"")</f>
        <v/>
      </c>
      <c r="M2872" s="45" t="str">
        <f>IFERROR(VLOOKUP(B2872,'Pre-Summary'!$BW$6:$BY$58,2,FALSE),"")</f>
        <v/>
      </c>
      <c r="N2872" s="45" t="str">
        <f>IFERROR(VLOOKUP(B2872,'Pre-Summary'!$CD$6:$CF$64,2,FALSE),"")</f>
        <v/>
      </c>
      <c r="O2872" s="99">
        <f>IFERROR(VLOOKUP(B2872,'Pre-Summary'!$BO$6:$BQ$48,3, FALSE),O2871)</f>
        <v>2.7749999999999999</v>
      </c>
      <c r="P2872" s="99">
        <f>IFERROR(VLOOKUP(B2872,'Pre-Summary'!$BS$6:$BU$35,3,FALSE),P2871)</f>
        <v>0.70099999999999996</v>
      </c>
      <c r="Q2872" s="54">
        <f t="shared" si="132"/>
        <v>3.9586305278174039</v>
      </c>
      <c r="R2872" s="53">
        <f>IFERROR(VLOOKUP(B2872,'Pre-Summary'!$BG$6:$BM$44,7,FALSE),R2873)</f>
        <v>0.1043586561898026</v>
      </c>
      <c r="S2872" s="53">
        <f>IFERROR(VLOOKUP(B2872,'Pre-Summary'!$BG$6:$BM$44,6,FALSE),S2873)</f>
        <v>0.10140000000009444</v>
      </c>
      <c r="T2872" s="45" t="str">
        <f>IFERROR(VLOOKUP(B2872,'Pre-Summary'!$Y$6:$AC$83, 3,FALSE),"")</f>
        <v/>
      </c>
      <c r="U2872" s="45" t="str">
        <f>IFERROR(VLOOKUP(B2872,'Pre-Summary'!$Y$6:$AC$83, 4,FALSE),"")</f>
        <v/>
      </c>
      <c r="V2872" t="str">
        <f>IFERROR(VLOOKUP(B2872,'Pre-Summary'!$Y$6:$AC$83, 5,FALSE),"")</f>
        <v/>
      </c>
      <c r="W2872" s="45" t="str">
        <f>IFERROR(VLOOKUP(B2872,'Pre-Summary'!$Y$6:$AD$83,6,FALSE),"")</f>
        <v/>
      </c>
      <c r="X2872" t="str">
        <f>IFERROR(VLOOKUP('Pre-Summary'!$DB$6:$DD$63,3,FALSE),"")</f>
        <v/>
      </c>
      <c r="Y2872" t="str">
        <f>IFERROR(VLOOKUP(B2872,'Pre-Summary'!$CR$6:$CT$36,3,FALSE),"")</f>
        <v/>
      </c>
      <c r="Z2872" s="45" t="str">
        <f>IFERROR(VLOOKUP(B2872,'Pre-Summary'!$BZ$6:$CB$63,2,FALSE),"")</f>
        <v/>
      </c>
      <c r="AA2872" s="45" t="str">
        <f>IFERROR(VLOOKUP(B2872,'Pre-Summary'!$CG$6:$CI$70,2,FALSE),"")</f>
        <v/>
      </c>
      <c r="AB2872" s="99">
        <f>IFERROR(VLOOKUP(B2872,'Pre-Summary'!$A$6:$P$178,9,FALSE),AB2873)</f>
        <v>0.7010379290946207</v>
      </c>
      <c r="AC2872" s="10">
        <f>IFERROR(VLOOKUP(Summary!B2872,'Pre-Summary'!$A$6:$P$184,5, FALSE)/100,AC2873)</f>
        <v>0.92607166666666674</v>
      </c>
      <c r="AD2872" s="10">
        <f>IFERROR(VLOOKUP(Summary!B2872,'Pre-Summary'!$A$6:$P$184,3, FALSE)/100,AD2873)</f>
        <v>5.4963666666666668E-2</v>
      </c>
      <c r="AE2872" s="10">
        <f>IFERROR(VLOOKUP(Summary!B2872,'Pre-Summary'!$A$6:$P$184,7, FALSE)/100,AE2873)</f>
        <v>1.8946666666666667E-2</v>
      </c>
      <c r="AF2872" s="99">
        <f t="shared" si="133"/>
        <v>3.8531615055447034E-2</v>
      </c>
      <c r="AG2872" s="99">
        <f t="shared" si="134"/>
        <v>1.3282331963246082E-2</v>
      </c>
      <c r="AH2872" s="10" t="str">
        <f>IFERROR(VLOOKUP(B2872,'Pre-Summary'!$AZ$6:$BE$65,3,FALSE),"")</f>
        <v/>
      </c>
      <c r="AI2872" s="10" t="str">
        <f>IFERROR(VLOOKUP(B2872,'Pre-Summary'!$AZ$6:$BE$65,5,FALSE),"")</f>
        <v/>
      </c>
      <c r="AJ2872" s="10" t="str">
        <f>IFERROR(VLOOKUP(B2872,'Pre-Summary'!$AZ$6:$BE$65,4,FALSE),"")</f>
        <v/>
      </c>
      <c r="AK2872" s="10" t="str">
        <f>IFERROR(VLOOKUP(B2872,'Pre-Summary'!$AZ$6:$BE$65,6,FALSE),"")</f>
        <v/>
      </c>
      <c r="AL2872" s="10" t="str">
        <f>IFERROR(VLOOKUP(B2872,'Pre-Summary'!$BG$6:$BL$44,3,FALSE),"")</f>
        <v/>
      </c>
      <c r="AM2872" s="10" t="str">
        <f>IFERROR(VLOOKUP(B2872,'Pre-Summary'!$BG$6:$BL$44,4,FALSE),"")</f>
        <v/>
      </c>
    </row>
    <row r="2873" spans="2:39" ht="15" customHeight="1" x14ac:dyDescent="0.3">
      <c r="B2873">
        <v>287</v>
      </c>
      <c r="C2873" t="str">
        <f>IFERROR(VLOOKUP(B2873,'Pre-Summary'!$DI$6:$DM$23,4,FALSE),"")</f>
        <v/>
      </c>
      <c r="D2873" s="10" t="str">
        <f>IFERROR(VLOOKUP(B2873,'Pre-Summary'!$AT$6:$AX$14,5,FALSE),D2872)</f>
        <v>Wolfe v3: went back to modified wolfe + EDTA and switched CuSO4 to CUCl2</v>
      </c>
      <c r="E2873" s="10" t="str">
        <f>IFERROR(VLOOKUP(B2873,'Pre-Summary'!$AT$6:$AX$15,4,FALSE),"")</f>
        <v/>
      </c>
      <c r="F2873">
        <f>IFERROR(VLOOKUP(B2873,'Pre-Summary'!$AL$6:$AQ$13,6,FALSE),F2872)</f>
        <v>5.9405263157894746E-2</v>
      </c>
      <c r="G2873" t="str">
        <f>IFERROR(VLOOKUP(B2873,'Pre-Summary'!$AE$6:$AJ$85,3,FALSE),"")</f>
        <v/>
      </c>
      <c r="H2873" t="str">
        <f>IFERROR(VLOOKUP(B2873,'Pre-Summary'!$AE$6:$AJ$85,4,FALSE),"")</f>
        <v/>
      </c>
      <c r="I2873" t="str">
        <f>IFERROR(VLOOKUP(B2873,'Pre-Summary'!$AE$6:$AJ$85,5,FALSE),"")</f>
        <v/>
      </c>
      <c r="J2873" s="45" t="str">
        <f>IFERROR(VLOOKUP(B2873,'Pre-Summary'!$AE$6:$AJ$85,6, FALSE),"")</f>
        <v/>
      </c>
      <c r="K2873" s="45" t="str">
        <f>IFERROR(VLOOKUP(B2873,'Pre-Summary'!$DE$6:$DG$61,3,FALSE),"")</f>
        <v/>
      </c>
      <c r="L2873" s="45" t="str">
        <f>IFERROR(VLOOKUP(B2873,'Pre-Summary'!$CU$6:$CW$36,3,FALSE),"")</f>
        <v/>
      </c>
      <c r="M2873" s="45" t="str">
        <f>IFERROR(VLOOKUP(B2873,'Pre-Summary'!$BW$6:$BY$58,2,FALSE),"")</f>
        <v/>
      </c>
      <c r="N2873" s="45" t="str">
        <f>IFERROR(VLOOKUP(B2873,'Pre-Summary'!$CD$6:$CF$64,2,FALSE),"")</f>
        <v/>
      </c>
      <c r="O2873" s="99">
        <f>IFERROR(VLOOKUP(B2873,'Pre-Summary'!$BO$6:$BQ$48,3, FALSE),O2872)</f>
        <v>2.77</v>
      </c>
      <c r="P2873" s="99">
        <f>IFERROR(VLOOKUP(B2873,'Pre-Summary'!$BS$6:$BU$35,3,FALSE),P2872)</f>
        <v>0.70099999999999996</v>
      </c>
      <c r="Q2873" s="54">
        <f t="shared" si="132"/>
        <v>3.9514978601997148</v>
      </c>
      <c r="R2873" s="53">
        <f>IFERROR(VLOOKUP(B2873,'Pre-Summary'!$BG$6:$BM$44,7,FALSE),R2874)</f>
        <v>0.1043586561898026</v>
      </c>
      <c r="S2873" s="53">
        <f>IFERROR(VLOOKUP(B2873,'Pre-Summary'!$BG$6:$BM$44,6,FALSE),S2874)</f>
        <v>0.10140000000009444</v>
      </c>
      <c r="T2873" s="45" t="str">
        <f>IFERROR(VLOOKUP(B2873,'Pre-Summary'!$Y$6:$AC$83, 3,FALSE),"")</f>
        <v/>
      </c>
      <c r="U2873" s="45" t="str">
        <f>IFERROR(VLOOKUP(B2873,'Pre-Summary'!$Y$6:$AC$83, 4,FALSE),"")</f>
        <v/>
      </c>
      <c r="V2873" t="str">
        <f>IFERROR(VLOOKUP(B2873,'Pre-Summary'!$Y$6:$AC$83, 5,FALSE),"")</f>
        <v/>
      </c>
      <c r="W2873" s="45" t="str">
        <f>IFERROR(VLOOKUP(B2873,'Pre-Summary'!$Y$6:$AD$83,6,FALSE),"")</f>
        <v/>
      </c>
      <c r="X2873" t="str">
        <f>IFERROR(VLOOKUP('Pre-Summary'!$DB$6:$DD$63,3,FALSE),"")</f>
        <v/>
      </c>
      <c r="Y2873" t="str">
        <f>IFERROR(VLOOKUP(B2873,'Pre-Summary'!$CR$6:$CT$36,3,FALSE),"")</f>
        <v/>
      </c>
      <c r="Z2873" s="45" t="str">
        <f>IFERROR(VLOOKUP(B2873,'Pre-Summary'!$BZ$6:$CB$63,2,FALSE),"")</f>
        <v/>
      </c>
      <c r="AA2873" s="45" t="str">
        <f>IFERROR(VLOOKUP(B2873,'Pre-Summary'!$CG$6:$CI$70,2,FALSE),"")</f>
        <v/>
      </c>
      <c r="AB2873" s="99">
        <f>IFERROR(VLOOKUP(B2873,'Pre-Summary'!$A$6:$P$178,9,FALSE),AB2874)</f>
        <v>0.7010379290946207</v>
      </c>
      <c r="AC2873" s="10">
        <f>IFERROR(VLOOKUP(Summary!B2873,'Pre-Summary'!$A$6:$P$184,5, FALSE)/100,AC2874)</f>
        <v>0.92607166666666674</v>
      </c>
      <c r="AD2873" s="10">
        <f>IFERROR(VLOOKUP(Summary!B2873,'Pre-Summary'!$A$6:$P$184,3, FALSE)/100,AD2874)</f>
        <v>5.4963666666666668E-2</v>
      </c>
      <c r="AE2873" s="10">
        <f>IFERROR(VLOOKUP(Summary!B2873,'Pre-Summary'!$A$6:$P$184,7, FALSE)/100,AE2874)</f>
        <v>1.8946666666666667E-2</v>
      </c>
      <c r="AF2873" s="99">
        <f t="shared" si="133"/>
        <v>3.8531615055447034E-2</v>
      </c>
      <c r="AG2873" s="99">
        <f t="shared" si="134"/>
        <v>1.3282331963246082E-2</v>
      </c>
      <c r="AH2873" s="10" t="str">
        <f>IFERROR(VLOOKUP(B2873,'Pre-Summary'!$AZ$6:$BE$65,3,FALSE),"")</f>
        <v/>
      </c>
      <c r="AI2873" s="10" t="str">
        <f>IFERROR(VLOOKUP(B2873,'Pre-Summary'!$AZ$6:$BE$65,5,FALSE),"")</f>
        <v/>
      </c>
      <c r="AJ2873" s="10" t="str">
        <f>IFERROR(VLOOKUP(B2873,'Pre-Summary'!$AZ$6:$BE$65,4,FALSE),"")</f>
        <v/>
      </c>
      <c r="AK2873" s="10" t="str">
        <f>IFERROR(VLOOKUP(B2873,'Pre-Summary'!$AZ$6:$BE$65,6,FALSE),"")</f>
        <v/>
      </c>
      <c r="AL2873" s="10" t="str">
        <f>IFERROR(VLOOKUP(B2873,'Pre-Summary'!$BG$6:$BL$44,3,FALSE),"")</f>
        <v/>
      </c>
      <c r="AM2873" s="10" t="str">
        <f>IFERROR(VLOOKUP(B2873,'Pre-Summary'!$BG$6:$BL$44,4,FALSE),"")</f>
        <v/>
      </c>
    </row>
    <row r="2874" spans="2:39" ht="15" customHeight="1" x14ac:dyDescent="0.3">
      <c r="B2874">
        <v>287.10000000000002</v>
      </c>
      <c r="C2874" t="str">
        <f>IFERROR(VLOOKUP(B2874,'Pre-Summary'!$DI$6:$DM$23,4,FALSE),"")</f>
        <v/>
      </c>
      <c r="D2874" s="10" t="str">
        <f>IFERROR(VLOOKUP(B2874,'Pre-Summary'!$AT$6:$AX$14,5,FALSE),D2873)</f>
        <v>Wolfe v3: went back to modified wolfe + EDTA and switched CuSO4 to CUCl2</v>
      </c>
      <c r="E2874" s="10" t="str">
        <f>IFERROR(VLOOKUP(B2874,'Pre-Summary'!$AT$6:$AX$15,4,FALSE),"")</f>
        <v/>
      </c>
      <c r="F2874">
        <f>IFERROR(VLOOKUP(B2874,'Pre-Summary'!$AL$6:$AQ$13,6,FALSE),F2873)</f>
        <v>5.9405263157894746E-2</v>
      </c>
      <c r="G2874" t="str">
        <f>IFERROR(VLOOKUP(B2874,'Pre-Summary'!$AE$6:$AJ$85,3,FALSE),"")</f>
        <v/>
      </c>
      <c r="H2874" t="str">
        <f>IFERROR(VLOOKUP(B2874,'Pre-Summary'!$AE$6:$AJ$85,4,FALSE),"")</f>
        <v/>
      </c>
      <c r="I2874" t="str">
        <f>IFERROR(VLOOKUP(B2874,'Pre-Summary'!$AE$6:$AJ$85,5,FALSE),"")</f>
        <v/>
      </c>
      <c r="J2874" s="45" t="str">
        <f>IFERROR(VLOOKUP(B2874,'Pre-Summary'!$AE$6:$AJ$85,6, FALSE),"")</f>
        <v/>
      </c>
      <c r="K2874" s="45" t="str">
        <f>IFERROR(VLOOKUP(B2874,'Pre-Summary'!$DE$6:$DG$61,3,FALSE),"")</f>
        <v/>
      </c>
      <c r="L2874" s="45" t="str">
        <f>IFERROR(VLOOKUP(B2874,'Pre-Summary'!$CU$6:$CW$36,3,FALSE),"")</f>
        <v/>
      </c>
      <c r="M2874" s="45" t="str">
        <f>IFERROR(VLOOKUP(B2874,'Pre-Summary'!$BW$6:$BY$58,2,FALSE),"")</f>
        <v/>
      </c>
      <c r="N2874" s="45" t="str">
        <f>IFERROR(VLOOKUP(B2874,'Pre-Summary'!$CD$6:$CF$64,2,FALSE),"")</f>
        <v/>
      </c>
      <c r="O2874" s="99">
        <f>IFERROR(VLOOKUP(B2874,'Pre-Summary'!$BO$6:$BQ$48,3, FALSE),O2873)</f>
        <v>2.77</v>
      </c>
      <c r="P2874" s="99">
        <f>IFERROR(VLOOKUP(B2874,'Pre-Summary'!$BS$6:$BU$35,3,FALSE),P2873)</f>
        <v>0.70099999999999996</v>
      </c>
      <c r="Q2874" s="54">
        <f t="shared" si="132"/>
        <v>3.9514978601997148</v>
      </c>
      <c r="R2874" s="53">
        <f>IFERROR(VLOOKUP(B2874,'Pre-Summary'!$BG$6:$BM$44,7,FALSE),R2875)</f>
        <v>0.1043586561898026</v>
      </c>
      <c r="S2874" s="53">
        <f>IFERROR(VLOOKUP(B2874,'Pre-Summary'!$BG$6:$BM$44,6,FALSE),S2875)</f>
        <v>0.10140000000009444</v>
      </c>
      <c r="T2874" s="45" t="str">
        <f>IFERROR(VLOOKUP(B2874,'Pre-Summary'!$Y$6:$AC$83, 3,FALSE),"")</f>
        <v/>
      </c>
      <c r="U2874" s="45" t="str">
        <f>IFERROR(VLOOKUP(B2874,'Pre-Summary'!$Y$6:$AC$83, 4,FALSE),"")</f>
        <v/>
      </c>
      <c r="V2874" t="str">
        <f>IFERROR(VLOOKUP(B2874,'Pre-Summary'!$Y$6:$AC$83, 5,FALSE),"")</f>
        <v/>
      </c>
      <c r="W2874" s="45" t="str">
        <f>IFERROR(VLOOKUP(B2874,'Pre-Summary'!$Y$6:$AD$83,6,FALSE),"")</f>
        <v/>
      </c>
      <c r="X2874" t="str">
        <f>IFERROR(VLOOKUP('Pre-Summary'!$DB$6:$DD$63,3,FALSE),"")</f>
        <v/>
      </c>
      <c r="Y2874" t="str">
        <f>IFERROR(VLOOKUP(B2874,'Pre-Summary'!$CR$6:$CT$36,3,FALSE),"")</f>
        <v/>
      </c>
      <c r="Z2874" s="45" t="str">
        <f>IFERROR(VLOOKUP(B2874,'Pre-Summary'!$BZ$6:$CB$63,2,FALSE),"")</f>
        <v/>
      </c>
      <c r="AA2874" s="45" t="str">
        <f>IFERROR(VLOOKUP(B2874,'Pre-Summary'!$CG$6:$CI$70,2,FALSE),"")</f>
        <v/>
      </c>
      <c r="AB2874" s="99">
        <f>IFERROR(VLOOKUP(B2874,'Pre-Summary'!$A$6:$P$178,9,FALSE),AB2875)</f>
        <v>0.7010379290946207</v>
      </c>
      <c r="AC2874" s="10">
        <f>IFERROR(VLOOKUP(Summary!B2874,'Pre-Summary'!$A$6:$P$184,5, FALSE)/100,AC2875)</f>
        <v>0.92607166666666674</v>
      </c>
      <c r="AD2874" s="10">
        <f>IFERROR(VLOOKUP(Summary!B2874,'Pre-Summary'!$A$6:$P$184,3, FALSE)/100,AD2875)</f>
        <v>5.4963666666666668E-2</v>
      </c>
      <c r="AE2874" s="10">
        <f>IFERROR(VLOOKUP(Summary!B2874,'Pre-Summary'!$A$6:$P$184,7, FALSE)/100,AE2875)</f>
        <v>1.8946666666666667E-2</v>
      </c>
      <c r="AF2874" s="99">
        <f t="shared" si="133"/>
        <v>3.8531615055447034E-2</v>
      </c>
      <c r="AG2874" s="99">
        <f t="shared" si="134"/>
        <v>1.3282331963246082E-2</v>
      </c>
      <c r="AH2874" s="10" t="str">
        <f>IFERROR(VLOOKUP(B2874,'Pre-Summary'!$AZ$6:$BE$65,3,FALSE),"")</f>
        <v/>
      </c>
      <c r="AI2874" s="10" t="str">
        <f>IFERROR(VLOOKUP(B2874,'Pre-Summary'!$AZ$6:$BE$65,5,FALSE),"")</f>
        <v/>
      </c>
      <c r="AJ2874" s="10" t="str">
        <f>IFERROR(VLOOKUP(B2874,'Pre-Summary'!$AZ$6:$BE$65,4,FALSE),"")</f>
        <v/>
      </c>
      <c r="AK2874" s="10" t="str">
        <f>IFERROR(VLOOKUP(B2874,'Pre-Summary'!$AZ$6:$BE$65,6,FALSE),"")</f>
        <v/>
      </c>
      <c r="AL2874" s="10" t="str">
        <f>IFERROR(VLOOKUP(B2874,'Pre-Summary'!$BG$6:$BL$44,3,FALSE),"")</f>
        <v/>
      </c>
      <c r="AM2874" s="10" t="str">
        <f>IFERROR(VLOOKUP(B2874,'Pre-Summary'!$BG$6:$BL$44,4,FALSE),"")</f>
        <v/>
      </c>
    </row>
    <row r="2875" spans="2:39" ht="15" customHeight="1" x14ac:dyDescent="0.3">
      <c r="B2875">
        <v>287.2</v>
      </c>
      <c r="C2875" t="str">
        <f>IFERROR(VLOOKUP(B2875,'Pre-Summary'!$DI$6:$DM$23,4,FALSE),"")</f>
        <v/>
      </c>
      <c r="D2875" s="10" t="str">
        <f>IFERROR(VLOOKUP(B2875,'Pre-Summary'!$AT$6:$AX$14,5,FALSE),D2874)</f>
        <v>Wolfe v3: went back to modified wolfe + EDTA and switched CuSO4 to CUCl2</v>
      </c>
      <c r="E2875" s="10" t="str">
        <f>IFERROR(VLOOKUP(B2875,'Pre-Summary'!$AT$6:$AX$15,4,FALSE),"")</f>
        <v/>
      </c>
      <c r="F2875">
        <f>IFERROR(VLOOKUP(B2875,'Pre-Summary'!$AL$6:$AQ$13,6,FALSE),F2874)</f>
        <v>5.9405263157894746E-2</v>
      </c>
      <c r="G2875" t="str">
        <f>IFERROR(VLOOKUP(B2875,'Pre-Summary'!$AE$6:$AJ$85,3,FALSE),"")</f>
        <v/>
      </c>
      <c r="H2875" t="str">
        <f>IFERROR(VLOOKUP(B2875,'Pre-Summary'!$AE$6:$AJ$85,4,FALSE),"")</f>
        <v/>
      </c>
      <c r="I2875" t="str">
        <f>IFERROR(VLOOKUP(B2875,'Pre-Summary'!$AE$6:$AJ$85,5,FALSE),"")</f>
        <v/>
      </c>
      <c r="J2875" s="45" t="str">
        <f>IFERROR(VLOOKUP(B2875,'Pre-Summary'!$AE$6:$AJ$85,6, FALSE),"")</f>
        <v/>
      </c>
      <c r="K2875" s="45" t="str">
        <f>IFERROR(VLOOKUP(B2875,'Pre-Summary'!$DE$6:$DG$61,3,FALSE),"")</f>
        <v/>
      </c>
      <c r="L2875" s="45" t="str">
        <f>IFERROR(VLOOKUP(B2875,'Pre-Summary'!$CU$6:$CW$36,3,FALSE),"")</f>
        <v/>
      </c>
      <c r="M2875" s="45" t="str">
        <f>IFERROR(VLOOKUP(B2875,'Pre-Summary'!$BW$6:$BY$58,2,FALSE),"")</f>
        <v/>
      </c>
      <c r="N2875" s="45" t="str">
        <f>IFERROR(VLOOKUP(B2875,'Pre-Summary'!$CD$6:$CF$64,2,FALSE),"")</f>
        <v/>
      </c>
      <c r="O2875" s="99">
        <f>IFERROR(VLOOKUP(B2875,'Pre-Summary'!$BO$6:$BQ$48,3, FALSE),O2874)</f>
        <v>2.77</v>
      </c>
      <c r="P2875" s="99">
        <f>IFERROR(VLOOKUP(B2875,'Pre-Summary'!$BS$6:$BU$35,3,FALSE),P2874)</f>
        <v>0.70099999999999996</v>
      </c>
      <c r="Q2875" s="54">
        <f t="shared" si="132"/>
        <v>3.9514978601997148</v>
      </c>
      <c r="R2875" s="53">
        <f>IFERROR(VLOOKUP(B2875,'Pre-Summary'!$BG$6:$BM$44,7,FALSE),R2876)</f>
        <v>0.1043586561898026</v>
      </c>
      <c r="S2875" s="53">
        <f>IFERROR(VLOOKUP(B2875,'Pre-Summary'!$BG$6:$BM$44,6,FALSE),S2876)</f>
        <v>0.10140000000009444</v>
      </c>
      <c r="T2875" s="45" t="str">
        <f>IFERROR(VLOOKUP(B2875,'Pre-Summary'!$Y$6:$AC$83, 3,FALSE),"")</f>
        <v/>
      </c>
      <c r="U2875" s="45" t="str">
        <f>IFERROR(VLOOKUP(B2875,'Pre-Summary'!$Y$6:$AC$83, 4,FALSE),"")</f>
        <v/>
      </c>
      <c r="V2875" t="str">
        <f>IFERROR(VLOOKUP(B2875,'Pre-Summary'!$Y$6:$AC$83, 5,FALSE),"")</f>
        <v/>
      </c>
      <c r="W2875" s="45" t="str">
        <f>IFERROR(VLOOKUP(B2875,'Pre-Summary'!$Y$6:$AD$83,6,FALSE),"")</f>
        <v/>
      </c>
      <c r="X2875" t="str">
        <f>IFERROR(VLOOKUP('Pre-Summary'!$DB$6:$DD$63,3,FALSE),"")</f>
        <v/>
      </c>
      <c r="Y2875" t="str">
        <f>IFERROR(VLOOKUP(B2875,'Pre-Summary'!$CR$6:$CT$36,3,FALSE),"")</f>
        <v/>
      </c>
      <c r="Z2875" s="45" t="str">
        <f>IFERROR(VLOOKUP(B2875,'Pre-Summary'!$BZ$6:$CB$63,2,FALSE),"")</f>
        <v/>
      </c>
      <c r="AA2875" s="45" t="str">
        <f>IFERROR(VLOOKUP(B2875,'Pre-Summary'!$CG$6:$CI$70,2,FALSE),"")</f>
        <v/>
      </c>
      <c r="AB2875" s="99">
        <f>IFERROR(VLOOKUP(B2875,'Pre-Summary'!$A$6:$P$178,9,FALSE),AB2876)</f>
        <v>0.7010379290946207</v>
      </c>
      <c r="AC2875" s="10">
        <f>IFERROR(VLOOKUP(Summary!B2875,'Pre-Summary'!$A$6:$P$184,5, FALSE)/100,AC2876)</f>
        <v>0.92607166666666674</v>
      </c>
      <c r="AD2875" s="10">
        <f>IFERROR(VLOOKUP(Summary!B2875,'Pre-Summary'!$A$6:$P$184,3, FALSE)/100,AD2876)</f>
        <v>5.4963666666666668E-2</v>
      </c>
      <c r="AE2875" s="10">
        <f>IFERROR(VLOOKUP(Summary!B2875,'Pre-Summary'!$A$6:$P$184,7, FALSE)/100,AE2876)</f>
        <v>1.8946666666666667E-2</v>
      </c>
      <c r="AF2875" s="99">
        <f t="shared" si="133"/>
        <v>3.8531615055447034E-2</v>
      </c>
      <c r="AG2875" s="99">
        <f t="shared" si="134"/>
        <v>1.3282331963246082E-2</v>
      </c>
      <c r="AH2875" s="10" t="str">
        <f>IFERROR(VLOOKUP(B2875,'Pre-Summary'!$AZ$6:$BE$65,3,FALSE),"")</f>
        <v/>
      </c>
      <c r="AI2875" s="10" t="str">
        <f>IFERROR(VLOOKUP(B2875,'Pre-Summary'!$AZ$6:$BE$65,5,FALSE),"")</f>
        <v/>
      </c>
      <c r="AJ2875" s="10" t="str">
        <f>IFERROR(VLOOKUP(B2875,'Pre-Summary'!$AZ$6:$BE$65,4,FALSE),"")</f>
        <v/>
      </c>
      <c r="AK2875" s="10" t="str">
        <f>IFERROR(VLOOKUP(B2875,'Pre-Summary'!$AZ$6:$BE$65,6,FALSE),"")</f>
        <v/>
      </c>
      <c r="AL2875" s="10" t="str">
        <f>IFERROR(VLOOKUP(B2875,'Pre-Summary'!$BG$6:$BL$44,3,FALSE),"")</f>
        <v/>
      </c>
      <c r="AM2875" s="10" t="str">
        <f>IFERROR(VLOOKUP(B2875,'Pre-Summary'!$BG$6:$BL$44,4,FALSE),"")</f>
        <v/>
      </c>
    </row>
    <row r="2876" spans="2:39" ht="15" customHeight="1" x14ac:dyDescent="0.3">
      <c r="B2876">
        <v>287.3</v>
      </c>
      <c r="C2876" t="str">
        <f>IFERROR(VLOOKUP(B2876,'Pre-Summary'!$DI$6:$DM$23,4,FALSE),"")</f>
        <v/>
      </c>
      <c r="D2876" s="10" t="str">
        <f>IFERROR(VLOOKUP(B2876,'Pre-Summary'!$AT$6:$AX$14,5,FALSE),D2875)</f>
        <v>Wolfe v3: went back to modified wolfe + EDTA and switched CuSO4 to CUCl2</v>
      </c>
      <c r="E2876" s="10" t="str">
        <f>IFERROR(VLOOKUP(B2876,'Pre-Summary'!$AT$6:$AX$15,4,FALSE),"")</f>
        <v/>
      </c>
      <c r="F2876">
        <f>IFERROR(VLOOKUP(B2876,'Pre-Summary'!$AL$6:$AQ$13,6,FALSE),F2875)</f>
        <v>5.9405263157894746E-2</v>
      </c>
      <c r="G2876" t="str">
        <f>IFERROR(VLOOKUP(B2876,'Pre-Summary'!$AE$6:$AJ$85,3,FALSE),"")</f>
        <v/>
      </c>
      <c r="H2876" t="str">
        <f>IFERROR(VLOOKUP(B2876,'Pre-Summary'!$AE$6:$AJ$85,4,FALSE),"")</f>
        <v/>
      </c>
      <c r="I2876" t="str">
        <f>IFERROR(VLOOKUP(B2876,'Pre-Summary'!$AE$6:$AJ$85,5,FALSE),"")</f>
        <v/>
      </c>
      <c r="J2876" s="45" t="str">
        <f>IFERROR(VLOOKUP(B2876,'Pre-Summary'!$AE$6:$AJ$85,6, FALSE),"")</f>
        <v/>
      </c>
      <c r="K2876" s="45" t="str">
        <f>IFERROR(VLOOKUP(B2876,'Pre-Summary'!$DE$6:$DG$61,3,FALSE),"")</f>
        <v/>
      </c>
      <c r="L2876" s="45" t="str">
        <f>IFERROR(VLOOKUP(B2876,'Pre-Summary'!$CU$6:$CW$36,3,FALSE),"")</f>
        <v/>
      </c>
      <c r="M2876" s="45" t="str">
        <f>IFERROR(VLOOKUP(B2876,'Pre-Summary'!$BW$6:$BY$58,2,FALSE),"")</f>
        <v/>
      </c>
      <c r="N2876" s="45" t="str">
        <f>IFERROR(VLOOKUP(B2876,'Pre-Summary'!$CD$6:$CF$64,2,FALSE),"")</f>
        <v/>
      </c>
      <c r="O2876" s="99">
        <f>IFERROR(VLOOKUP(B2876,'Pre-Summary'!$BO$6:$BQ$48,3, FALSE),O2875)</f>
        <v>2.77</v>
      </c>
      <c r="P2876" s="99">
        <f>IFERROR(VLOOKUP(B2876,'Pre-Summary'!$BS$6:$BU$35,3,FALSE),P2875)</f>
        <v>0.70099999999999996</v>
      </c>
      <c r="Q2876" s="54">
        <f t="shared" si="132"/>
        <v>3.9514978601997148</v>
      </c>
      <c r="R2876" s="53">
        <f>IFERROR(VLOOKUP(B2876,'Pre-Summary'!$BG$6:$BM$44,7,FALSE),R2877)</f>
        <v>0.1043586561898026</v>
      </c>
      <c r="S2876" s="53">
        <f>IFERROR(VLOOKUP(B2876,'Pre-Summary'!$BG$6:$BM$44,6,FALSE),S2877)</f>
        <v>0.10140000000009444</v>
      </c>
      <c r="T2876" s="45" t="str">
        <f>IFERROR(VLOOKUP(B2876,'Pre-Summary'!$Y$6:$AC$83, 3,FALSE),"")</f>
        <v/>
      </c>
      <c r="U2876" s="45" t="str">
        <f>IFERROR(VLOOKUP(B2876,'Pre-Summary'!$Y$6:$AC$83, 4,FALSE),"")</f>
        <v/>
      </c>
      <c r="V2876" t="str">
        <f>IFERROR(VLOOKUP(B2876,'Pre-Summary'!$Y$6:$AC$83, 5,FALSE),"")</f>
        <v/>
      </c>
      <c r="W2876" s="45" t="str">
        <f>IFERROR(VLOOKUP(B2876,'Pre-Summary'!$Y$6:$AD$83,6,FALSE),"")</f>
        <v/>
      </c>
      <c r="X2876" t="str">
        <f>IFERROR(VLOOKUP('Pre-Summary'!$DB$6:$DD$63,3,FALSE),"")</f>
        <v/>
      </c>
      <c r="Y2876" t="str">
        <f>IFERROR(VLOOKUP(B2876,'Pre-Summary'!$CR$6:$CT$36,3,FALSE),"")</f>
        <v/>
      </c>
      <c r="Z2876" s="45" t="str">
        <f>IFERROR(VLOOKUP(B2876,'Pre-Summary'!$BZ$6:$CB$63,2,FALSE),"")</f>
        <v/>
      </c>
      <c r="AA2876" s="45" t="str">
        <f>IFERROR(VLOOKUP(B2876,'Pre-Summary'!$CG$6:$CI$70,2,FALSE),"")</f>
        <v/>
      </c>
      <c r="AB2876" s="99">
        <f>IFERROR(VLOOKUP(B2876,'Pre-Summary'!$A$6:$P$178,9,FALSE),AB2877)</f>
        <v>0.7010379290946207</v>
      </c>
      <c r="AC2876" s="10">
        <f>IFERROR(VLOOKUP(Summary!B2876,'Pre-Summary'!$A$6:$P$184,5, FALSE)/100,AC2877)</f>
        <v>0.92607166666666674</v>
      </c>
      <c r="AD2876" s="10">
        <f>IFERROR(VLOOKUP(Summary!B2876,'Pre-Summary'!$A$6:$P$184,3, FALSE)/100,AD2877)</f>
        <v>5.4963666666666668E-2</v>
      </c>
      <c r="AE2876" s="10">
        <f>IFERROR(VLOOKUP(Summary!B2876,'Pre-Summary'!$A$6:$P$184,7, FALSE)/100,AE2877)</f>
        <v>1.8946666666666667E-2</v>
      </c>
      <c r="AF2876" s="99">
        <f t="shared" si="133"/>
        <v>3.8531615055447034E-2</v>
      </c>
      <c r="AG2876" s="99">
        <f t="shared" si="134"/>
        <v>1.3282331963246082E-2</v>
      </c>
      <c r="AH2876" s="10" t="str">
        <f>IFERROR(VLOOKUP(B2876,'Pre-Summary'!$AZ$6:$BE$65,3,FALSE),"")</f>
        <v/>
      </c>
      <c r="AI2876" s="10" t="str">
        <f>IFERROR(VLOOKUP(B2876,'Pre-Summary'!$AZ$6:$BE$65,5,FALSE),"")</f>
        <v/>
      </c>
      <c r="AJ2876" s="10" t="str">
        <f>IFERROR(VLOOKUP(B2876,'Pre-Summary'!$AZ$6:$BE$65,4,FALSE),"")</f>
        <v/>
      </c>
      <c r="AK2876" s="10" t="str">
        <f>IFERROR(VLOOKUP(B2876,'Pre-Summary'!$AZ$6:$BE$65,6,FALSE),"")</f>
        <v/>
      </c>
      <c r="AL2876" s="10" t="str">
        <f>IFERROR(VLOOKUP(B2876,'Pre-Summary'!$BG$6:$BL$44,3,FALSE),"")</f>
        <v/>
      </c>
      <c r="AM2876" s="10" t="str">
        <f>IFERROR(VLOOKUP(B2876,'Pre-Summary'!$BG$6:$BL$44,4,FALSE),"")</f>
        <v/>
      </c>
    </row>
    <row r="2877" spans="2:39" ht="15" customHeight="1" x14ac:dyDescent="0.3">
      <c r="B2877">
        <v>287.39999999999998</v>
      </c>
      <c r="C2877" t="str">
        <f>IFERROR(VLOOKUP(B2877,'Pre-Summary'!$DI$6:$DM$23,4,FALSE),"")</f>
        <v/>
      </c>
      <c r="D2877" s="10" t="str">
        <f>IFERROR(VLOOKUP(B2877,'Pre-Summary'!$AT$6:$AX$14,5,FALSE),D2876)</f>
        <v>Wolfe v3: went back to modified wolfe + EDTA and switched CuSO4 to CUCl2</v>
      </c>
      <c r="E2877" s="10" t="str">
        <f>IFERROR(VLOOKUP(B2877,'Pre-Summary'!$AT$6:$AX$15,4,FALSE),"")</f>
        <v/>
      </c>
      <c r="F2877">
        <f>IFERROR(VLOOKUP(B2877,'Pre-Summary'!$AL$6:$AQ$13,6,FALSE),F2876)</f>
        <v>5.9405263157894746E-2</v>
      </c>
      <c r="G2877" t="str">
        <f>IFERROR(VLOOKUP(B2877,'Pre-Summary'!$AE$6:$AJ$85,3,FALSE),"")</f>
        <v/>
      </c>
      <c r="H2877" t="str">
        <f>IFERROR(VLOOKUP(B2877,'Pre-Summary'!$AE$6:$AJ$85,4,FALSE),"")</f>
        <v/>
      </c>
      <c r="I2877" t="str">
        <f>IFERROR(VLOOKUP(B2877,'Pre-Summary'!$AE$6:$AJ$85,5,FALSE),"")</f>
        <v/>
      </c>
      <c r="J2877" s="45" t="str">
        <f>IFERROR(VLOOKUP(B2877,'Pre-Summary'!$AE$6:$AJ$85,6, FALSE),"")</f>
        <v/>
      </c>
      <c r="K2877" s="45" t="str">
        <f>IFERROR(VLOOKUP(B2877,'Pre-Summary'!$DE$6:$DG$61,3,FALSE),"")</f>
        <v/>
      </c>
      <c r="L2877" s="45" t="str">
        <f>IFERROR(VLOOKUP(B2877,'Pre-Summary'!$CU$6:$CW$36,3,FALSE),"")</f>
        <v/>
      </c>
      <c r="M2877" s="45" t="str">
        <f>IFERROR(VLOOKUP(B2877,'Pre-Summary'!$BW$6:$BY$58,2,FALSE),"")</f>
        <v/>
      </c>
      <c r="N2877" s="45" t="str">
        <f>IFERROR(VLOOKUP(B2877,'Pre-Summary'!$CD$6:$CF$64,2,FALSE),"")</f>
        <v/>
      </c>
      <c r="O2877" s="99">
        <f>IFERROR(VLOOKUP(B2877,'Pre-Summary'!$BO$6:$BQ$48,3, FALSE),O2876)</f>
        <v>2.77</v>
      </c>
      <c r="P2877" s="99">
        <f>IFERROR(VLOOKUP(B2877,'Pre-Summary'!$BS$6:$BU$35,3,FALSE),P2876)</f>
        <v>0.70099999999999996</v>
      </c>
      <c r="Q2877" s="54">
        <f t="shared" si="132"/>
        <v>3.9514978601997148</v>
      </c>
      <c r="R2877" s="53">
        <f>IFERROR(VLOOKUP(B2877,'Pre-Summary'!$BG$6:$BM$44,7,FALSE),R2878)</f>
        <v>0.1043586561898026</v>
      </c>
      <c r="S2877" s="53">
        <f>IFERROR(VLOOKUP(B2877,'Pre-Summary'!$BG$6:$BM$44,6,FALSE),S2878)</f>
        <v>0.10140000000009444</v>
      </c>
      <c r="T2877" s="45" t="str">
        <f>IFERROR(VLOOKUP(B2877,'Pre-Summary'!$Y$6:$AC$83, 3,FALSE),"")</f>
        <v/>
      </c>
      <c r="U2877" s="45" t="str">
        <f>IFERROR(VLOOKUP(B2877,'Pre-Summary'!$Y$6:$AC$83, 4,FALSE),"")</f>
        <v/>
      </c>
      <c r="V2877" t="str">
        <f>IFERROR(VLOOKUP(B2877,'Pre-Summary'!$Y$6:$AC$83, 5,FALSE),"")</f>
        <v/>
      </c>
      <c r="W2877" s="45" t="str">
        <f>IFERROR(VLOOKUP(B2877,'Pre-Summary'!$Y$6:$AD$83,6,FALSE),"")</f>
        <v/>
      </c>
      <c r="X2877" t="str">
        <f>IFERROR(VLOOKUP('Pre-Summary'!$DB$6:$DD$63,3,FALSE),"")</f>
        <v/>
      </c>
      <c r="Y2877" t="str">
        <f>IFERROR(VLOOKUP(B2877,'Pre-Summary'!$CR$6:$CT$36,3,FALSE),"")</f>
        <v/>
      </c>
      <c r="Z2877" s="45" t="str">
        <f>IFERROR(VLOOKUP(B2877,'Pre-Summary'!$BZ$6:$CB$63,2,FALSE),"")</f>
        <v/>
      </c>
      <c r="AA2877" s="45" t="str">
        <f>IFERROR(VLOOKUP(B2877,'Pre-Summary'!$CG$6:$CI$70,2,FALSE),"")</f>
        <v/>
      </c>
      <c r="AB2877" s="99">
        <f>IFERROR(VLOOKUP(B2877,'Pre-Summary'!$A$6:$P$178,9,FALSE),AB2878)</f>
        <v>0.7010379290946207</v>
      </c>
      <c r="AC2877" s="10">
        <f>IFERROR(VLOOKUP(Summary!B2877,'Pre-Summary'!$A$6:$P$184,5, FALSE)/100,AC2878)</f>
        <v>0.92607166666666674</v>
      </c>
      <c r="AD2877" s="10">
        <f>IFERROR(VLOOKUP(Summary!B2877,'Pre-Summary'!$A$6:$P$184,3, FALSE)/100,AD2878)</f>
        <v>5.4963666666666668E-2</v>
      </c>
      <c r="AE2877" s="10">
        <f>IFERROR(VLOOKUP(Summary!B2877,'Pre-Summary'!$A$6:$P$184,7, FALSE)/100,AE2878)</f>
        <v>1.8946666666666667E-2</v>
      </c>
      <c r="AF2877" s="99">
        <f t="shared" si="133"/>
        <v>3.8531615055447034E-2</v>
      </c>
      <c r="AG2877" s="99">
        <f t="shared" si="134"/>
        <v>1.3282331963246082E-2</v>
      </c>
      <c r="AH2877" s="10" t="str">
        <f>IFERROR(VLOOKUP(B2877,'Pre-Summary'!$AZ$6:$BE$65,3,FALSE),"")</f>
        <v/>
      </c>
      <c r="AI2877" s="10" t="str">
        <f>IFERROR(VLOOKUP(B2877,'Pre-Summary'!$AZ$6:$BE$65,5,FALSE),"")</f>
        <v/>
      </c>
      <c r="AJ2877" s="10" t="str">
        <f>IFERROR(VLOOKUP(B2877,'Pre-Summary'!$AZ$6:$BE$65,4,FALSE),"")</f>
        <v/>
      </c>
      <c r="AK2877" s="10" t="str">
        <f>IFERROR(VLOOKUP(B2877,'Pre-Summary'!$AZ$6:$BE$65,6,FALSE),"")</f>
        <v/>
      </c>
      <c r="AL2877" s="10" t="str">
        <f>IFERROR(VLOOKUP(B2877,'Pre-Summary'!$BG$6:$BL$44,3,FALSE),"")</f>
        <v/>
      </c>
      <c r="AM2877" s="10" t="str">
        <f>IFERROR(VLOOKUP(B2877,'Pre-Summary'!$BG$6:$BL$44,4,FALSE),"")</f>
        <v/>
      </c>
    </row>
    <row r="2878" spans="2:39" ht="15" customHeight="1" x14ac:dyDescent="0.3">
      <c r="B2878">
        <v>287.5</v>
      </c>
      <c r="C2878" t="str">
        <f>IFERROR(VLOOKUP(B2878,'Pre-Summary'!$DI$6:$DM$23,4,FALSE),"")</f>
        <v/>
      </c>
      <c r="D2878" s="10" t="str">
        <f>IFERROR(VLOOKUP(B2878,'Pre-Summary'!$AT$6:$AX$14,5,FALSE),D2877)</f>
        <v>Wolfe v3: went back to modified wolfe + EDTA and switched CuSO4 to CUCl2</v>
      </c>
      <c r="E2878" s="10" t="str">
        <f>IFERROR(VLOOKUP(B2878,'Pre-Summary'!$AT$6:$AX$15,4,FALSE),"")</f>
        <v/>
      </c>
      <c r="F2878">
        <f>IFERROR(VLOOKUP(B2878,'Pre-Summary'!$AL$6:$AQ$13,6,FALSE),F2877)</f>
        <v>5.9405263157894746E-2</v>
      </c>
      <c r="G2878" t="str">
        <f>IFERROR(VLOOKUP(B2878,'Pre-Summary'!$AE$6:$AJ$85,3,FALSE),"")</f>
        <v/>
      </c>
      <c r="H2878" t="str">
        <f>IFERROR(VLOOKUP(B2878,'Pre-Summary'!$AE$6:$AJ$85,4,FALSE),"")</f>
        <v/>
      </c>
      <c r="I2878" t="str">
        <f>IFERROR(VLOOKUP(B2878,'Pre-Summary'!$AE$6:$AJ$85,5,FALSE),"")</f>
        <v/>
      </c>
      <c r="J2878" s="45" t="str">
        <f>IFERROR(VLOOKUP(B2878,'Pre-Summary'!$AE$6:$AJ$85,6, FALSE),"")</f>
        <v/>
      </c>
      <c r="K2878" s="45" t="str">
        <f>IFERROR(VLOOKUP(B2878,'Pre-Summary'!$DE$6:$DG$61,3,FALSE),"")</f>
        <v/>
      </c>
      <c r="L2878" s="45" t="str">
        <f>IFERROR(VLOOKUP(B2878,'Pre-Summary'!$CU$6:$CW$36,3,FALSE),"")</f>
        <v/>
      </c>
      <c r="M2878" s="45" t="str">
        <f>IFERROR(VLOOKUP(B2878,'Pre-Summary'!$BW$6:$BY$58,2,FALSE),"")</f>
        <v/>
      </c>
      <c r="N2878" s="45" t="str">
        <f>IFERROR(VLOOKUP(B2878,'Pre-Summary'!$CD$6:$CF$64,2,FALSE),"")</f>
        <v/>
      </c>
      <c r="O2878" s="99">
        <f>IFERROR(VLOOKUP(B2878,'Pre-Summary'!$BO$6:$BQ$48,3, FALSE),O2877)</f>
        <v>2.77</v>
      </c>
      <c r="P2878" s="99">
        <f>IFERROR(VLOOKUP(B2878,'Pre-Summary'!$BS$6:$BU$35,3,FALSE),P2877)</f>
        <v>0.70099999999999996</v>
      </c>
      <c r="Q2878" s="54">
        <f t="shared" si="132"/>
        <v>3.9514978601997148</v>
      </c>
      <c r="R2878" s="53">
        <f>IFERROR(VLOOKUP(B2878,'Pre-Summary'!$BG$6:$BM$44,7,FALSE),R2879)</f>
        <v>0.1043586561898026</v>
      </c>
      <c r="S2878" s="53">
        <f>IFERROR(VLOOKUP(B2878,'Pre-Summary'!$BG$6:$BM$44,6,FALSE),S2879)</f>
        <v>0.10140000000009444</v>
      </c>
      <c r="T2878" s="45" t="str">
        <f>IFERROR(VLOOKUP(B2878,'Pre-Summary'!$Y$6:$AC$83, 3,FALSE),"")</f>
        <v/>
      </c>
      <c r="U2878" s="45" t="str">
        <f>IFERROR(VLOOKUP(B2878,'Pre-Summary'!$Y$6:$AC$83, 4,FALSE),"")</f>
        <v/>
      </c>
      <c r="V2878" t="str">
        <f>IFERROR(VLOOKUP(B2878,'Pre-Summary'!$Y$6:$AC$83, 5,FALSE),"")</f>
        <v/>
      </c>
      <c r="W2878" s="45" t="str">
        <f>IFERROR(VLOOKUP(B2878,'Pre-Summary'!$Y$6:$AD$83,6,FALSE),"")</f>
        <v/>
      </c>
      <c r="X2878" t="str">
        <f>IFERROR(VLOOKUP('Pre-Summary'!$DB$6:$DD$63,3,FALSE),"")</f>
        <v/>
      </c>
      <c r="Y2878" t="str">
        <f>IFERROR(VLOOKUP(B2878,'Pre-Summary'!$CR$6:$CT$36,3,FALSE),"")</f>
        <v/>
      </c>
      <c r="Z2878" s="45" t="str">
        <f>IFERROR(VLOOKUP(B2878,'Pre-Summary'!$BZ$6:$CB$63,2,FALSE),"")</f>
        <v/>
      </c>
      <c r="AA2878" s="45" t="str">
        <f>IFERROR(VLOOKUP(B2878,'Pre-Summary'!$CG$6:$CI$70,2,FALSE),"")</f>
        <v/>
      </c>
      <c r="AB2878" s="99">
        <f>IFERROR(VLOOKUP(B2878,'Pre-Summary'!$A$6:$P$178,9,FALSE),AB2879)</f>
        <v>0.7010379290946207</v>
      </c>
      <c r="AC2878" s="10">
        <f>IFERROR(VLOOKUP(Summary!B2878,'Pre-Summary'!$A$6:$P$184,5, FALSE)/100,AC2879)</f>
        <v>0.92607166666666674</v>
      </c>
      <c r="AD2878" s="10">
        <f>IFERROR(VLOOKUP(Summary!B2878,'Pre-Summary'!$A$6:$P$184,3, FALSE)/100,AD2879)</f>
        <v>5.4963666666666668E-2</v>
      </c>
      <c r="AE2878" s="10">
        <f>IFERROR(VLOOKUP(Summary!B2878,'Pre-Summary'!$A$6:$P$184,7, FALSE)/100,AE2879)</f>
        <v>1.8946666666666667E-2</v>
      </c>
      <c r="AF2878" s="99">
        <f t="shared" si="133"/>
        <v>3.8531615055447034E-2</v>
      </c>
      <c r="AG2878" s="99">
        <f t="shared" si="134"/>
        <v>1.3282331963246082E-2</v>
      </c>
      <c r="AH2878" s="10" t="str">
        <f>IFERROR(VLOOKUP(B2878,'Pre-Summary'!$AZ$6:$BE$65,3,FALSE),"")</f>
        <v/>
      </c>
      <c r="AI2878" s="10" t="str">
        <f>IFERROR(VLOOKUP(B2878,'Pre-Summary'!$AZ$6:$BE$65,5,FALSE),"")</f>
        <v/>
      </c>
      <c r="AJ2878" s="10" t="str">
        <f>IFERROR(VLOOKUP(B2878,'Pre-Summary'!$AZ$6:$BE$65,4,FALSE),"")</f>
        <v/>
      </c>
      <c r="AK2878" s="10" t="str">
        <f>IFERROR(VLOOKUP(B2878,'Pre-Summary'!$AZ$6:$BE$65,6,FALSE),"")</f>
        <v/>
      </c>
      <c r="AL2878" s="10" t="str">
        <f>IFERROR(VLOOKUP(B2878,'Pre-Summary'!$BG$6:$BL$44,3,FALSE),"")</f>
        <v/>
      </c>
      <c r="AM2878" s="10" t="str">
        <f>IFERROR(VLOOKUP(B2878,'Pre-Summary'!$BG$6:$BL$44,4,FALSE),"")</f>
        <v/>
      </c>
    </row>
    <row r="2879" spans="2:39" ht="15" customHeight="1" x14ac:dyDescent="0.3">
      <c r="B2879">
        <v>287.60000000000002</v>
      </c>
      <c r="C2879" t="str">
        <f>IFERROR(VLOOKUP(B2879,'Pre-Summary'!$DI$6:$DM$23,4,FALSE),"")</f>
        <v/>
      </c>
      <c r="D2879" s="10" t="str">
        <f>IFERROR(VLOOKUP(B2879,'Pre-Summary'!$AT$6:$AX$14,5,FALSE),D2878)</f>
        <v>Wolfe v3: went back to modified wolfe + EDTA and switched CuSO4 to CUCl2</v>
      </c>
      <c r="E2879" s="10" t="str">
        <f>IFERROR(VLOOKUP(B2879,'Pre-Summary'!$AT$6:$AX$15,4,FALSE),"")</f>
        <v/>
      </c>
      <c r="F2879">
        <f>IFERROR(VLOOKUP(B2879,'Pre-Summary'!$AL$6:$AQ$13,6,FALSE),F2878)</f>
        <v>5.9405263157894746E-2</v>
      </c>
      <c r="G2879" t="str">
        <f>IFERROR(VLOOKUP(B2879,'Pre-Summary'!$AE$6:$AJ$85,3,FALSE),"")</f>
        <v/>
      </c>
      <c r="H2879" t="str">
        <f>IFERROR(VLOOKUP(B2879,'Pre-Summary'!$AE$6:$AJ$85,4,FALSE),"")</f>
        <v/>
      </c>
      <c r="I2879" t="str">
        <f>IFERROR(VLOOKUP(B2879,'Pre-Summary'!$AE$6:$AJ$85,5,FALSE),"")</f>
        <v/>
      </c>
      <c r="J2879" s="45" t="str">
        <f>IFERROR(VLOOKUP(B2879,'Pre-Summary'!$AE$6:$AJ$85,6, FALSE),"")</f>
        <v/>
      </c>
      <c r="K2879" s="45" t="str">
        <f>IFERROR(VLOOKUP(B2879,'Pre-Summary'!$DE$6:$DG$61,3,FALSE),"")</f>
        <v/>
      </c>
      <c r="L2879" s="45" t="str">
        <f>IFERROR(VLOOKUP(B2879,'Pre-Summary'!$CU$6:$CW$36,3,FALSE),"")</f>
        <v/>
      </c>
      <c r="M2879" s="45" t="str">
        <f>IFERROR(VLOOKUP(B2879,'Pre-Summary'!$BW$6:$BY$58,2,FALSE),"")</f>
        <v/>
      </c>
      <c r="N2879" s="45" t="str">
        <f>IFERROR(VLOOKUP(B2879,'Pre-Summary'!$CD$6:$CF$64,2,FALSE),"")</f>
        <v/>
      </c>
      <c r="O2879" s="99">
        <f>IFERROR(VLOOKUP(B2879,'Pre-Summary'!$BO$6:$BQ$48,3, FALSE),O2878)</f>
        <v>2.77</v>
      </c>
      <c r="P2879" s="99">
        <f>IFERROR(VLOOKUP(B2879,'Pre-Summary'!$BS$6:$BU$35,3,FALSE),P2878)</f>
        <v>0.70099999999999996</v>
      </c>
      <c r="Q2879" s="54">
        <f t="shared" si="132"/>
        <v>3.9514978601997148</v>
      </c>
      <c r="R2879" s="53">
        <f>IFERROR(VLOOKUP(B2879,'Pre-Summary'!$BG$6:$BM$44,7,FALSE),R2880)</f>
        <v>0.1043586561898026</v>
      </c>
      <c r="S2879" s="53">
        <f>IFERROR(VLOOKUP(B2879,'Pre-Summary'!$BG$6:$BM$44,6,FALSE),S2880)</f>
        <v>0.10140000000009444</v>
      </c>
      <c r="T2879" s="45" t="str">
        <f>IFERROR(VLOOKUP(B2879,'Pre-Summary'!$Y$6:$AC$83, 3,FALSE),"")</f>
        <v/>
      </c>
      <c r="U2879" s="45" t="str">
        <f>IFERROR(VLOOKUP(B2879,'Pre-Summary'!$Y$6:$AC$83, 4,FALSE),"")</f>
        <v/>
      </c>
      <c r="V2879" t="str">
        <f>IFERROR(VLOOKUP(B2879,'Pre-Summary'!$Y$6:$AC$83, 5,FALSE),"")</f>
        <v/>
      </c>
      <c r="W2879" s="45" t="str">
        <f>IFERROR(VLOOKUP(B2879,'Pre-Summary'!$Y$6:$AD$83,6,FALSE),"")</f>
        <v/>
      </c>
      <c r="X2879" t="str">
        <f>IFERROR(VLOOKUP('Pre-Summary'!$DB$6:$DD$63,3,FALSE),"")</f>
        <v/>
      </c>
      <c r="Y2879" t="str">
        <f>IFERROR(VLOOKUP(B2879,'Pre-Summary'!$CR$6:$CT$36,3,FALSE),"")</f>
        <v/>
      </c>
      <c r="Z2879" s="45" t="str">
        <f>IFERROR(VLOOKUP(B2879,'Pre-Summary'!$BZ$6:$CB$63,2,FALSE),"")</f>
        <v/>
      </c>
      <c r="AA2879" s="45" t="str">
        <f>IFERROR(VLOOKUP(B2879,'Pre-Summary'!$CG$6:$CI$70,2,FALSE),"")</f>
        <v/>
      </c>
      <c r="AB2879" s="99">
        <f>IFERROR(VLOOKUP(B2879,'Pre-Summary'!$A$6:$P$178,9,FALSE),AB2880)</f>
        <v>0.7010379290946207</v>
      </c>
      <c r="AC2879" s="10">
        <f>IFERROR(VLOOKUP(Summary!B2879,'Pre-Summary'!$A$6:$P$184,5, FALSE)/100,AC2880)</f>
        <v>0.92607166666666674</v>
      </c>
      <c r="AD2879" s="10">
        <f>IFERROR(VLOOKUP(Summary!B2879,'Pre-Summary'!$A$6:$P$184,3, FALSE)/100,AD2880)</f>
        <v>5.4963666666666668E-2</v>
      </c>
      <c r="AE2879" s="10">
        <f>IFERROR(VLOOKUP(Summary!B2879,'Pre-Summary'!$A$6:$P$184,7, FALSE)/100,AE2880)</f>
        <v>1.8946666666666667E-2</v>
      </c>
      <c r="AF2879" s="99">
        <f t="shared" si="133"/>
        <v>3.8531615055447034E-2</v>
      </c>
      <c r="AG2879" s="99">
        <f t="shared" si="134"/>
        <v>1.3282331963246082E-2</v>
      </c>
      <c r="AH2879" s="10" t="str">
        <f>IFERROR(VLOOKUP(B2879,'Pre-Summary'!$AZ$6:$BE$65,3,FALSE),"")</f>
        <v/>
      </c>
      <c r="AI2879" s="10" t="str">
        <f>IFERROR(VLOOKUP(B2879,'Pre-Summary'!$AZ$6:$BE$65,5,FALSE),"")</f>
        <v/>
      </c>
      <c r="AJ2879" s="10" t="str">
        <f>IFERROR(VLOOKUP(B2879,'Pre-Summary'!$AZ$6:$BE$65,4,FALSE),"")</f>
        <v/>
      </c>
      <c r="AK2879" s="10" t="str">
        <f>IFERROR(VLOOKUP(B2879,'Pre-Summary'!$AZ$6:$BE$65,6,FALSE),"")</f>
        <v/>
      </c>
      <c r="AL2879" s="10" t="str">
        <f>IFERROR(VLOOKUP(B2879,'Pre-Summary'!$BG$6:$BL$44,3,FALSE),"")</f>
        <v/>
      </c>
      <c r="AM2879" s="10" t="str">
        <f>IFERROR(VLOOKUP(B2879,'Pre-Summary'!$BG$6:$BL$44,4,FALSE),"")</f>
        <v/>
      </c>
    </row>
    <row r="2880" spans="2:39" ht="15" customHeight="1" x14ac:dyDescent="0.3">
      <c r="B2880">
        <v>287.7</v>
      </c>
      <c r="C2880" t="str">
        <f>IFERROR(VLOOKUP(B2880,'Pre-Summary'!$DI$6:$DM$23,4,FALSE),"")</f>
        <v/>
      </c>
      <c r="D2880" s="10" t="str">
        <f>IFERROR(VLOOKUP(B2880,'Pre-Summary'!$AT$6:$AX$14,5,FALSE),D2879)</f>
        <v>Wolfe v3: went back to modified wolfe + EDTA and switched CuSO4 to CUCl2</v>
      </c>
      <c r="E2880" s="10" t="str">
        <f>IFERROR(VLOOKUP(B2880,'Pre-Summary'!$AT$6:$AX$15,4,FALSE),"")</f>
        <v/>
      </c>
      <c r="F2880">
        <f>IFERROR(VLOOKUP(B2880,'Pre-Summary'!$AL$6:$AQ$13,6,FALSE),F2879)</f>
        <v>5.9405263157894746E-2</v>
      </c>
      <c r="G2880" t="str">
        <f>IFERROR(VLOOKUP(B2880,'Pre-Summary'!$AE$6:$AJ$85,3,FALSE),"")</f>
        <v/>
      </c>
      <c r="H2880" t="str">
        <f>IFERROR(VLOOKUP(B2880,'Pre-Summary'!$AE$6:$AJ$85,4,FALSE),"")</f>
        <v/>
      </c>
      <c r="I2880" t="str">
        <f>IFERROR(VLOOKUP(B2880,'Pre-Summary'!$AE$6:$AJ$85,5,FALSE),"")</f>
        <v/>
      </c>
      <c r="J2880" s="45" t="str">
        <f>IFERROR(VLOOKUP(B2880,'Pre-Summary'!$AE$6:$AJ$85,6, FALSE),"")</f>
        <v/>
      </c>
      <c r="K2880" s="45" t="str">
        <f>IFERROR(VLOOKUP(B2880,'Pre-Summary'!$DE$6:$DG$61,3,FALSE),"")</f>
        <v/>
      </c>
      <c r="L2880" s="45" t="str">
        <f>IFERROR(VLOOKUP(B2880,'Pre-Summary'!$CU$6:$CW$36,3,FALSE),"")</f>
        <v/>
      </c>
      <c r="M2880" s="45" t="str">
        <f>IFERROR(VLOOKUP(B2880,'Pre-Summary'!$BW$6:$BY$58,2,FALSE),"")</f>
        <v/>
      </c>
      <c r="N2880" s="45" t="str">
        <f>IFERROR(VLOOKUP(B2880,'Pre-Summary'!$CD$6:$CF$64,2,FALSE),"")</f>
        <v/>
      </c>
      <c r="O2880" s="99">
        <f>IFERROR(VLOOKUP(B2880,'Pre-Summary'!$BO$6:$BQ$48,3, FALSE),O2879)</f>
        <v>2.77</v>
      </c>
      <c r="P2880" s="99">
        <f>IFERROR(VLOOKUP(B2880,'Pre-Summary'!$BS$6:$BU$35,3,FALSE),P2879)</f>
        <v>0.70099999999999996</v>
      </c>
      <c r="Q2880" s="54">
        <f t="shared" si="132"/>
        <v>3.9514978601997148</v>
      </c>
      <c r="R2880" s="53">
        <f>IFERROR(VLOOKUP(B2880,'Pre-Summary'!$BG$6:$BM$44,7,FALSE),R2881)</f>
        <v>0.1043586561898026</v>
      </c>
      <c r="S2880" s="53">
        <f>IFERROR(VLOOKUP(B2880,'Pre-Summary'!$BG$6:$BM$44,6,FALSE),S2881)</f>
        <v>0.10140000000009444</v>
      </c>
      <c r="T2880" s="45" t="str">
        <f>IFERROR(VLOOKUP(B2880,'Pre-Summary'!$Y$6:$AC$83, 3,FALSE),"")</f>
        <v/>
      </c>
      <c r="U2880" s="45" t="str">
        <f>IFERROR(VLOOKUP(B2880,'Pre-Summary'!$Y$6:$AC$83, 4,FALSE),"")</f>
        <v/>
      </c>
      <c r="V2880" t="str">
        <f>IFERROR(VLOOKUP(B2880,'Pre-Summary'!$Y$6:$AC$83, 5,FALSE),"")</f>
        <v/>
      </c>
      <c r="W2880" s="45" t="str">
        <f>IFERROR(VLOOKUP(B2880,'Pre-Summary'!$Y$6:$AD$83,6,FALSE),"")</f>
        <v/>
      </c>
      <c r="X2880" t="str">
        <f>IFERROR(VLOOKUP('Pre-Summary'!$DB$6:$DD$63,3,FALSE),"")</f>
        <v/>
      </c>
      <c r="Y2880" t="str">
        <f>IFERROR(VLOOKUP(B2880,'Pre-Summary'!$CR$6:$CT$36,3,FALSE),"")</f>
        <v/>
      </c>
      <c r="Z2880" s="45" t="str">
        <f>IFERROR(VLOOKUP(B2880,'Pre-Summary'!$BZ$6:$CB$63,2,FALSE),"")</f>
        <v/>
      </c>
      <c r="AA2880" s="45" t="str">
        <f>IFERROR(VLOOKUP(B2880,'Pre-Summary'!$CG$6:$CI$70,2,FALSE),"")</f>
        <v/>
      </c>
      <c r="AB2880" s="99">
        <f>IFERROR(VLOOKUP(B2880,'Pre-Summary'!$A$6:$P$178,9,FALSE),AB2881)</f>
        <v>0.7010379290946207</v>
      </c>
      <c r="AC2880" s="10">
        <f>IFERROR(VLOOKUP(Summary!B2880,'Pre-Summary'!$A$6:$P$184,5, FALSE)/100,AC2881)</f>
        <v>0.92607166666666674</v>
      </c>
      <c r="AD2880" s="10">
        <f>IFERROR(VLOOKUP(Summary!B2880,'Pre-Summary'!$A$6:$P$184,3, FALSE)/100,AD2881)</f>
        <v>5.4963666666666668E-2</v>
      </c>
      <c r="AE2880" s="10">
        <f>IFERROR(VLOOKUP(Summary!B2880,'Pre-Summary'!$A$6:$P$184,7, FALSE)/100,AE2881)</f>
        <v>1.8946666666666667E-2</v>
      </c>
      <c r="AF2880" s="99">
        <f t="shared" si="133"/>
        <v>3.8531615055447034E-2</v>
      </c>
      <c r="AG2880" s="99">
        <f t="shared" si="134"/>
        <v>1.3282331963246082E-2</v>
      </c>
      <c r="AH2880" s="10" t="str">
        <f>IFERROR(VLOOKUP(B2880,'Pre-Summary'!$AZ$6:$BE$65,3,FALSE),"")</f>
        <v/>
      </c>
      <c r="AI2880" s="10" t="str">
        <f>IFERROR(VLOOKUP(B2880,'Pre-Summary'!$AZ$6:$BE$65,5,FALSE),"")</f>
        <v/>
      </c>
      <c r="AJ2880" s="10" t="str">
        <f>IFERROR(VLOOKUP(B2880,'Pre-Summary'!$AZ$6:$BE$65,4,FALSE),"")</f>
        <v/>
      </c>
      <c r="AK2880" s="10" t="str">
        <f>IFERROR(VLOOKUP(B2880,'Pre-Summary'!$AZ$6:$BE$65,6,FALSE),"")</f>
        <v/>
      </c>
      <c r="AL2880" s="10" t="str">
        <f>IFERROR(VLOOKUP(B2880,'Pre-Summary'!$BG$6:$BL$44,3,FALSE),"")</f>
        <v/>
      </c>
      <c r="AM2880" s="10" t="str">
        <f>IFERROR(VLOOKUP(B2880,'Pre-Summary'!$BG$6:$BL$44,4,FALSE),"")</f>
        <v/>
      </c>
    </row>
    <row r="2881" spans="2:39" ht="15" customHeight="1" x14ac:dyDescent="0.3">
      <c r="B2881">
        <v>287.8</v>
      </c>
      <c r="C2881" t="str">
        <f>IFERROR(VLOOKUP(B2881,'Pre-Summary'!$DI$6:$DM$23,4,FALSE),"")</f>
        <v/>
      </c>
      <c r="D2881" s="10" t="str">
        <f>IFERROR(VLOOKUP(B2881,'Pre-Summary'!$AT$6:$AX$14,5,FALSE),D2880)</f>
        <v>Wolfe v3: went back to modified wolfe + EDTA and switched CuSO4 to CUCl2</v>
      </c>
      <c r="E2881" s="10" t="str">
        <f>IFERROR(VLOOKUP(B2881,'Pre-Summary'!$AT$6:$AX$15,4,FALSE),"")</f>
        <v/>
      </c>
      <c r="F2881">
        <f>IFERROR(VLOOKUP(B2881,'Pre-Summary'!$AL$6:$AQ$13,6,FALSE),F2880)</f>
        <v>5.9405263157894746E-2</v>
      </c>
      <c r="G2881" t="str">
        <f>IFERROR(VLOOKUP(B2881,'Pre-Summary'!$AE$6:$AJ$85,3,FALSE),"")</f>
        <v/>
      </c>
      <c r="H2881" t="str">
        <f>IFERROR(VLOOKUP(B2881,'Pre-Summary'!$AE$6:$AJ$85,4,FALSE),"")</f>
        <v/>
      </c>
      <c r="I2881" t="str">
        <f>IFERROR(VLOOKUP(B2881,'Pre-Summary'!$AE$6:$AJ$85,5,FALSE),"")</f>
        <v/>
      </c>
      <c r="J2881" s="45" t="str">
        <f>IFERROR(VLOOKUP(B2881,'Pre-Summary'!$AE$6:$AJ$85,6, FALSE),"")</f>
        <v/>
      </c>
      <c r="K2881" s="45" t="str">
        <f>IFERROR(VLOOKUP(B2881,'Pre-Summary'!$DE$6:$DG$61,3,FALSE),"")</f>
        <v/>
      </c>
      <c r="L2881" s="45" t="str">
        <f>IFERROR(VLOOKUP(B2881,'Pre-Summary'!$CU$6:$CW$36,3,FALSE),"")</f>
        <v/>
      </c>
      <c r="M2881" s="45" t="str">
        <f>IFERROR(VLOOKUP(B2881,'Pre-Summary'!$BW$6:$BY$58,2,FALSE),"")</f>
        <v/>
      </c>
      <c r="N2881" s="45" t="str">
        <f>IFERROR(VLOOKUP(B2881,'Pre-Summary'!$CD$6:$CF$64,2,FALSE),"")</f>
        <v/>
      </c>
      <c r="O2881" s="99">
        <f>IFERROR(VLOOKUP(B2881,'Pre-Summary'!$BO$6:$BQ$48,3, FALSE),O2880)</f>
        <v>2.77</v>
      </c>
      <c r="P2881" s="99">
        <f>IFERROR(VLOOKUP(B2881,'Pre-Summary'!$BS$6:$BU$35,3,FALSE),P2880)</f>
        <v>0.70099999999999996</v>
      </c>
      <c r="Q2881" s="54">
        <f t="shared" si="132"/>
        <v>3.9514978601997148</v>
      </c>
      <c r="R2881" s="53">
        <f>IFERROR(VLOOKUP(B2881,'Pre-Summary'!$BG$6:$BM$44,7,FALSE),R2882)</f>
        <v>0.1043586561898026</v>
      </c>
      <c r="S2881" s="53">
        <f>IFERROR(VLOOKUP(B2881,'Pre-Summary'!$BG$6:$BM$44,6,FALSE),S2882)</f>
        <v>0.10140000000009444</v>
      </c>
      <c r="T2881" s="45" t="str">
        <f>IFERROR(VLOOKUP(B2881,'Pre-Summary'!$Y$6:$AC$83, 3,FALSE),"")</f>
        <v/>
      </c>
      <c r="U2881" s="45" t="str">
        <f>IFERROR(VLOOKUP(B2881,'Pre-Summary'!$Y$6:$AC$83, 4,FALSE),"")</f>
        <v/>
      </c>
      <c r="V2881" t="str">
        <f>IFERROR(VLOOKUP(B2881,'Pre-Summary'!$Y$6:$AC$83, 5,FALSE),"")</f>
        <v/>
      </c>
      <c r="W2881" s="45" t="str">
        <f>IFERROR(VLOOKUP(B2881,'Pre-Summary'!$Y$6:$AD$83,6,FALSE),"")</f>
        <v/>
      </c>
      <c r="X2881" t="str">
        <f>IFERROR(VLOOKUP('Pre-Summary'!$DB$6:$DD$63,3,FALSE),"")</f>
        <v/>
      </c>
      <c r="Y2881" t="str">
        <f>IFERROR(VLOOKUP(B2881,'Pre-Summary'!$CR$6:$CT$36,3,FALSE),"")</f>
        <v/>
      </c>
      <c r="Z2881" s="45" t="str">
        <f>IFERROR(VLOOKUP(B2881,'Pre-Summary'!$BZ$6:$CB$63,2,FALSE),"")</f>
        <v/>
      </c>
      <c r="AA2881" s="45" t="str">
        <f>IFERROR(VLOOKUP(B2881,'Pre-Summary'!$CG$6:$CI$70,2,FALSE),"")</f>
        <v/>
      </c>
      <c r="AB2881" s="99">
        <f>IFERROR(VLOOKUP(B2881,'Pre-Summary'!$A$6:$P$178,9,FALSE),AB2882)</f>
        <v>0.7010379290946207</v>
      </c>
      <c r="AC2881" s="10">
        <f>IFERROR(VLOOKUP(Summary!B2881,'Pre-Summary'!$A$6:$P$184,5, FALSE)/100,AC2882)</f>
        <v>0.92607166666666674</v>
      </c>
      <c r="AD2881" s="10">
        <f>IFERROR(VLOOKUP(Summary!B2881,'Pre-Summary'!$A$6:$P$184,3, FALSE)/100,AD2882)</f>
        <v>5.4963666666666668E-2</v>
      </c>
      <c r="AE2881" s="10">
        <f>IFERROR(VLOOKUP(Summary!B2881,'Pre-Summary'!$A$6:$P$184,7, FALSE)/100,AE2882)</f>
        <v>1.8946666666666667E-2</v>
      </c>
      <c r="AF2881" s="99">
        <f t="shared" si="133"/>
        <v>3.8531615055447034E-2</v>
      </c>
      <c r="AG2881" s="99">
        <f t="shared" si="134"/>
        <v>1.3282331963246082E-2</v>
      </c>
      <c r="AH2881" s="10" t="str">
        <f>IFERROR(VLOOKUP(B2881,'Pre-Summary'!$AZ$6:$BE$65,3,FALSE),"")</f>
        <v/>
      </c>
      <c r="AI2881" s="10" t="str">
        <f>IFERROR(VLOOKUP(B2881,'Pre-Summary'!$AZ$6:$BE$65,5,FALSE),"")</f>
        <v/>
      </c>
      <c r="AJ2881" s="10" t="str">
        <f>IFERROR(VLOOKUP(B2881,'Pre-Summary'!$AZ$6:$BE$65,4,FALSE),"")</f>
        <v/>
      </c>
      <c r="AK2881" s="10" t="str">
        <f>IFERROR(VLOOKUP(B2881,'Pre-Summary'!$AZ$6:$BE$65,6,FALSE),"")</f>
        <v/>
      </c>
      <c r="AL2881" s="10" t="str">
        <f>IFERROR(VLOOKUP(B2881,'Pre-Summary'!$BG$6:$BL$44,3,FALSE),"")</f>
        <v/>
      </c>
      <c r="AM2881" s="10" t="str">
        <f>IFERROR(VLOOKUP(B2881,'Pre-Summary'!$BG$6:$BL$44,4,FALSE),"")</f>
        <v/>
      </c>
    </row>
    <row r="2882" spans="2:39" ht="15" customHeight="1" x14ac:dyDescent="0.3">
      <c r="B2882">
        <v>287.89999999999998</v>
      </c>
      <c r="C2882" t="str">
        <f>IFERROR(VLOOKUP(B2882,'Pre-Summary'!$DI$6:$DM$23,4,FALSE),"")</f>
        <v/>
      </c>
      <c r="D2882" s="10" t="str">
        <f>IFERROR(VLOOKUP(B2882,'Pre-Summary'!$AT$6:$AX$14,5,FALSE),D2881)</f>
        <v>Wolfe v3: went back to modified wolfe + EDTA and switched CuSO4 to CUCl2</v>
      </c>
      <c r="E2882" s="10" t="str">
        <f>IFERROR(VLOOKUP(B2882,'Pre-Summary'!$AT$6:$AX$15,4,FALSE),"")</f>
        <v/>
      </c>
      <c r="F2882">
        <f>IFERROR(VLOOKUP(B2882,'Pre-Summary'!$AL$6:$AQ$13,6,FALSE),F2881)</f>
        <v>5.9405263157894746E-2</v>
      </c>
      <c r="G2882" t="str">
        <f>IFERROR(VLOOKUP(B2882,'Pre-Summary'!$AE$6:$AJ$85,3,FALSE),"")</f>
        <v/>
      </c>
      <c r="H2882" t="str">
        <f>IFERROR(VLOOKUP(B2882,'Pre-Summary'!$AE$6:$AJ$85,4,FALSE),"")</f>
        <v/>
      </c>
      <c r="I2882" t="str">
        <f>IFERROR(VLOOKUP(B2882,'Pre-Summary'!$AE$6:$AJ$85,5,FALSE),"")</f>
        <v/>
      </c>
      <c r="J2882" s="45" t="str">
        <f>IFERROR(VLOOKUP(B2882,'Pre-Summary'!$AE$6:$AJ$85,6, FALSE),"")</f>
        <v/>
      </c>
      <c r="K2882" s="45" t="str">
        <f>IFERROR(VLOOKUP(B2882,'Pre-Summary'!$DE$6:$DG$61,3,FALSE),"")</f>
        <v/>
      </c>
      <c r="L2882" s="45" t="str">
        <f>IFERROR(VLOOKUP(B2882,'Pre-Summary'!$CU$6:$CW$36,3,FALSE),"")</f>
        <v/>
      </c>
      <c r="M2882" s="45" t="str">
        <f>IFERROR(VLOOKUP(B2882,'Pre-Summary'!$BW$6:$BY$58,2,FALSE),"")</f>
        <v/>
      </c>
      <c r="N2882" s="45" t="str">
        <f>IFERROR(VLOOKUP(B2882,'Pre-Summary'!$CD$6:$CF$64,2,FALSE),"")</f>
        <v/>
      </c>
      <c r="O2882" s="99">
        <f>IFERROR(VLOOKUP(B2882,'Pre-Summary'!$BO$6:$BQ$48,3, FALSE),O2881)</f>
        <v>2.77</v>
      </c>
      <c r="P2882" s="99">
        <f>IFERROR(VLOOKUP(B2882,'Pre-Summary'!$BS$6:$BU$35,3,FALSE),P2881)</f>
        <v>0.70099999999999996</v>
      </c>
      <c r="Q2882" s="54">
        <f t="shared" si="132"/>
        <v>3.9514978601997148</v>
      </c>
      <c r="R2882" s="53">
        <f>IFERROR(VLOOKUP(B2882,'Pre-Summary'!$BG$6:$BM$44,7,FALSE),R2883)</f>
        <v>0.1043586561898026</v>
      </c>
      <c r="S2882" s="53">
        <f>IFERROR(VLOOKUP(B2882,'Pre-Summary'!$BG$6:$BM$44,6,FALSE),S2883)</f>
        <v>0.10140000000009444</v>
      </c>
      <c r="T2882" s="45" t="str">
        <f>IFERROR(VLOOKUP(B2882,'Pre-Summary'!$Y$6:$AC$83, 3,FALSE),"")</f>
        <v/>
      </c>
      <c r="U2882" s="45" t="str">
        <f>IFERROR(VLOOKUP(B2882,'Pre-Summary'!$Y$6:$AC$83, 4,FALSE),"")</f>
        <v/>
      </c>
      <c r="V2882" t="str">
        <f>IFERROR(VLOOKUP(B2882,'Pre-Summary'!$Y$6:$AC$83, 5,FALSE),"")</f>
        <v/>
      </c>
      <c r="W2882" s="45" t="str">
        <f>IFERROR(VLOOKUP(B2882,'Pre-Summary'!$Y$6:$AD$83,6,FALSE),"")</f>
        <v/>
      </c>
      <c r="X2882" t="str">
        <f>IFERROR(VLOOKUP('Pre-Summary'!$DB$6:$DD$63,3,FALSE),"")</f>
        <v/>
      </c>
      <c r="Y2882" t="str">
        <f>IFERROR(VLOOKUP(B2882,'Pre-Summary'!$CR$6:$CT$36,3,FALSE),"")</f>
        <v/>
      </c>
      <c r="Z2882" s="45" t="str">
        <f>IFERROR(VLOOKUP(B2882,'Pre-Summary'!$BZ$6:$CB$63,2,FALSE),"")</f>
        <v/>
      </c>
      <c r="AA2882" s="45" t="str">
        <f>IFERROR(VLOOKUP(B2882,'Pre-Summary'!$CG$6:$CI$70,2,FALSE),"")</f>
        <v/>
      </c>
      <c r="AB2882" s="99">
        <f>IFERROR(VLOOKUP(B2882,'Pre-Summary'!$A$6:$P$178,9,FALSE),AB2883)</f>
        <v>0.7010379290946207</v>
      </c>
      <c r="AC2882" s="10">
        <f>IFERROR(VLOOKUP(Summary!B2882,'Pre-Summary'!$A$6:$P$184,5, FALSE)/100,AC2883)</f>
        <v>0.92607166666666674</v>
      </c>
      <c r="AD2882" s="10">
        <f>IFERROR(VLOOKUP(Summary!B2882,'Pre-Summary'!$A$6:$P$184,3, FALSE)/100,AD2883)</f>
        <v>5.4963666666666668E-2</v>
      </c>
      <c r="AE2882" s="10">
        <f>IFERROR(VLOOKUP(Summary!B2882,'Pre-Summary'!$A$6:$P$184,7, FALSE)/100,AE2883)</f>
        <v>1.8946666666666667E-2</v>
      </c>
      <c r="AF2882" s="99">
        <f t="shared" si="133"/>
        <v>3.8531615055447034E-2</v>
      </c>
      <c r="AG2882" s="99">
        <f t="shared" si="134"/>
        <v>1.3282331963246082E-2</v>
      </c>
      <c r="AH2882" s="10" t="str">
        <f>IFERROR(VLOOKUP(B2882,'Pre-Summary'!$AZ$6:$BE$65,3,FALSE),"")</f>
        <v/>
      </c>
      <c r="AI2882" s="10" t="str">
        <f>IFERROR(VLOOKUP(B2882,'Pre-Summary'!$AZ$6:$BE$65,5,FALSE),"")</f>
        <v/>
      </c>
      <c r="AJ2882" s="10" t="str">
        <f>IFERROR(VLOOKUP(B2882,'Pre-Summary'!$AZ$6:$BE$65,4,FALSE),"")</f>
        <v/>
      </c>
      <c r="AK2882" s="10" t="str">
        <f>IFERROR(VLOOKUP(B2882,'Pre-Summary'!$AZ$6:$BE$65,6,FALSE),"")</f>
        <v/>
      </c>
      <c r="AL2882" s="10" t="str">
        <f>IFERROR(VLOOKUP(B2882,'Pre-Summary'!$BG$6:$BL$44,3,FALSE),"")</f>
        <v/>
      </c>
      <c r="AM2882" s="10" t="str">
        <f>IFERROR(VLOOKUP(B2882,'Pre-Summary'!$BG$6:$BL$44,4,FALSE),"")</f>
        <v/>
      </c>
    </row>
    <row r="2883" spans="2:39" ht="15" customHeight="1" x14ac:dyDescent="0.3">
      <c r="B2883">
        <v>288</v>
      </c>
      <c r="C2883" t="str">
        <f>IFERROR(VLOOKUP(B2883,'Pre-Summary'!$DI$6:$DM$23,4,FALSE),"")</f>
        <v/>
      </c>
      <c r="D2883" s="10" t="str">
        <f>IFERROR(VLOOKUP(B2883,'Pre-Summary'!$AT$6:$AX$14,5,FALSE),D2882)</f>
        <v>Wolfe v3: went back to modified wolfe + EDTA and switched CuSO4 to CUCl2</v>
      </c>
      <c r="E2883" s="10" t="str">
        <f>IFERROR(VLOOKUP(B2883,'Pre-Summary'!$AT$6:$AX$15,4,FALSE),"")</f>
        <v/>
      </c>
      <c r="F2883">
        <f>IFERROR(VLOOKUP(B2883,'Pre-Summary'!$AL$6:$AQ$13,6,FALSE),F2882)</f>
        <v>5.9405263157894746E-2</v>
      </c>
      <c r="G2883" t="str">
        <f>IFERROR(VLOOKUP(B2883,'Pre-Summary'!$AE$6:$AJ$85,3,FALSE),"")</f>
        <v/>
      </c>
      <c r="H2883" t="str">
        <f>IFERROR(VLOOKUP(B2883,'Pre-Summary'!$AE$6:$AJ$85,4,FALSE),"")</f>
        <v/>
      </c>
      <c r="I2883" t="str">
        <f>IFERROR(VLOOKUP(B2883,'Pre-Summary'!$AE$6:$AJ$85,5,FALSE),"")</f>
        <v/>
      </c>
      <c r="J2883" s="45" t="str">
        <f>IFERROR(VLOOKUP(B2883,'Pre-Summary'!$AE$6:$AJ$85,6, FALSE),"")</f>
        <v/>
      </c>
      <c r="K2883" s="45" t="str">
        <f>IFERROR(VLOOKUP(B2883,'Pre-Summary'!$DE$6:$DG$61,3,FALSE),"")</f>
        <v/>
      </c>
      <c r="L2883" s="45" t="str">
        <f>IFERROR(VLOOKUP(B2883,'Pre-Summary'!$CU$6:$CW$36,3,FALSE),"")</f>
        <v/>
      </c>
      <c r="M2883" s="45" t="str">
        <f>IFERROR(VLOOKUP(B2883,'Pre-Summary'!$BW$6:$BY$58,2,FALSE),"")</f>
        <v/>
      </c>
      <c r="N2883" s="45" t="str">
        <f>IFERROR(VLOOKUP(B2883,'Pre-Summary'!$CD$6:$CF$64,2,FALSE),"")</f>
        <v/>
      </c>
      <c r="O2883" s="99">
        <f>IFERROR(VLOOKUP(B2883,'Pre-Summary'!$BO$6:$BQ$48,3, FALSE),O2882)</f>
        <v>2.77</v>
      </c>
      <c r="P2883" s="99">
        <f>IFERROR(VLOOKUP(B2883,'Pre-Summary'!$BS$6:$BU$35,3,FALSE),P2882)</f>
        <v>0.70099999999999996</v>
      </c>
      <c r="Q2883" s="54">
        <f t="shared" ref="Q2883:Q2946" si="135">O2883/P2883</f>
        <v>3.9514978601997148</v>
      </c>
      <c r="R2883" s="53">
        <f>IFERROR(VLOOKUP(B2883,'Pre-Summary'!$BG$6:$BM$44,7,FALSE),R2884)</f>
        <v>0.1043586561898026</v>
      </c>
      <c r="S2883" s="53">
        <f>IFERROR(VLOOKUP(B2883,'Pre-Summary'!$BG$6:$BM$44,6,FALSE),S2884)</f>
        <v>0.10140000000009444</v>
      </c>
      <c r="T2883" s="45" t="str">
        <f>IFERROR(VLOOKUP(B2883,'Pre-Summary'!$Y$6:$AC$83, 3,FALSE),"")</f>
        <v/>
      </c>
      <c r="U2883" s="45" t="str">
        <f>IFERROR(VLOOKUP(B2883,'Pre-Summary'!$Y$6:$AC$83, 4,FALSE),"")</f>
        <v/>
      </c>
      <c r="V2883" t="str">
        <f>IFERROR(VLOOKUP(B2883,'Pre-Summary'!$Y$6:$AC$83, 5,FALSE),"")</f>
        <v/>
      </c>
      <c r="W2883" s="45" t="str">
        <f>IFERROR(VLOOKUP(B2883,'Pre-Summary'!$Y$6:$AD$83,6,FALSE),"")</f>
        <v/>
      </c>
      <c r="X2883" t="str">
        <f>IFERROR(VLOOKUP('Pre-Summary'!$DB$6:$DD$63,3,FALSE),"")</f>
        <v/>
      </c>
      <c r="Y2883" t="str">
        <f>IFERROR(VLOOKUP(B2883,'Pre-Summary'!$CR$6:$CT$36,3,FALSE),"")</f>
        <v/>
      </c>
      <c r="Z2883" s="45" t="str">
        <f>IFERROR(VLOOKUP(B2883,'Pre-Summary'!$BZ$6:$CB$63,2,FALSE),"")</f>
        <v/>
      </c>
      <c r="AA2883" s="45" t="str">
        <f>IFERROR(VLOOKUP(B2883,'Pre-Summary'!$CG$6:$CI$70,2,FALSE),"")</f>
        <v/>
      </c>
      <c r="AB2883" s="99">
        <f>IFERROR(VLOOKUP(B2883,'Pre-Summary'!$A$6:$P$178,9,FALSE),AB2884)</f>
        <v>0.7010379290946207</v>
      </c>
      <c r="AC2883" s="10">
        <f>IFERROR(VLOOKUP(Summary!B2883,'Pre-Summary'!$A$6:$P$184,5, FALSE)/100,AC2884)</f>
        <v>0.92607166666666674</v>
      </c>
      <c r="AD2883" s="10">
        <f>IFERROR(VLOOKUP(Summary!B2883,'Pre-Summary'!$A$6:$P$184,3, FALSE)/100,AD2884)</f>
        <v>5.4963666666666668E-2</v>
      </c>
      <c r="AE2883" s="10">
        <f>IFERROR(VLOOKUP(Summary!B2883,'Pre-Summary'!$A$6:$P$184,7, FALSE)/100,AE2884)</f>
        <v>1.8946666666666667E-2</v>
      </c>
      <c r="AF2883" s="99">
        <f t="shared" ref="AF2883:AF2946" si="136">AD2883*AB2883</f>
        <v>3.8531615055447034E-2</v>
      </c>
      <c r="AG2883" s="99">
        <f t="shared" ref="AG2883:AG2946" si="137">AB2883*AE2883</f>
        <v>1.3282331963246082E-2</v>
      </c>
      <c r="AH2883" s="10" t="str">
        <f>IFERROR(VLOOKUP(B2883,'Pre-Summary'!$AZ$6:$BE$65,3,FALSE),"")</f>
        <v/>
      </c>
      <c r="AI2883" s="10" t="str">
        <f>IFERROR(VLOOKUP(B2883,'Pre-Summary'!$AZ$6:$BE$65,5,FALSE),"")</f>
        <v/>
      </c>
      <c r="AJ2883" s="10" t="str">
        <f>IFERROR(VLOOKUP(B2883,'Pre-Summary'!$AZ$6:$BE$65,4,FALSE),"")</f>
        <v/>
      </c>
      <c r="AK2883" s="10" t="str">
        <f>IFERROR(VLOOKUP(B2883,'Pre-Summary'!$AZ$6:$BE$65,6,FALSE),"")</f>
        <v/>
      </c>
      <c r="AL2883" s="10" t="str">
        <f>IFERROR(VLOOKUP(B2883,'Pre-Summary'!$BG$6:$BL$44,3,FALSE),"")</f>
        <v/>
      </c>
      <c r="AM2883" s="10" t="str">
        <f>IFERROR(VLOOKUP(B2883,'Pre-Summary'!$BG$6:$BL$44,4,FALSE),"")</f>
        <v/>
      </c>
    </row>
    <row r="2884" spans="2:39" ht="15" customHeight="1" x14ac:dyDescent="0.3">
      <c r="B2884">
        <v>288.10000000000002</v>
      </c>
      <c r="C2884" t="str">
        <f>IFERROR(VLOOKUP(B2884,'Pre-Summary'!$DI$6:$DM$23,4,FALSE),"")</f>
        <v/>
      </c>
      <c r="D2884" s="10" t="str">
        <f>IFERROR(VLOOKUP(B2884,'Pre-Summary'!$AT$6:$AX$14,5,FALSE),D2883)</f>
        <v>Wolfe v3: went back to modified wolfe + EDTA and switched CuSO4 to CUCl2</v>
      </c>
      <c r="E2884" s="10" t="str">
        <f>IFERROR(VLOOKUP(B2884,'Pre-Summary'!$AT$6:$AX$15,4,FALSE),"")</f>
        <v/>
      </c>
      <c r="F2884">
        <f>IFERROR(VLOOKUP(B2884,'Pre-Summary'!$AL$6:$AQ$13,6,FALSE),F2883)</f>
        <v>5.9405263157894746E-2</v>
      </c>
      <c r="G2884" t="str">
        <f>IFERROR(VLOOKUP(B2884,'Pre-Summary'!$AE$6:$AJ$85,3,FALSE),"")</f>
        <v/>
      </c>
      <c r="H2884" t="str">
        <f>IFERROR(VLOOKUP(B2884,'Pre-Summary'!$AE$6:$AJ$85,4,FALSE),"")</f>
        <v/>
      </c>
      <c r="I2884" t="str">
        <f>IFERROR(VLOOKUP(B2884,'Pre-Summary'!$AE$6:$AJ$85,5,FALSE),"")</f>
        <v/>
      </c>
      <c r="J2884" s="45" t="str">
        <f>IFERROR(VLOOKUP(B2884,'Pre-Summary'!$AE$6:$AJ$85,6, FALSE),"")</f>
        <v/>
      </c>
      <c r="K2884" s="45" t="str">
        <f>IFERROR(VLOOKUP(B2884,'Pre-Summary'!$DE$6:$DG$61,3,FALSE),"")</f>
        <v/>
      </c>
      <c r="L2884" s="45" t="str">
        <f>IFERROR(VLOOKUP(B2884,'Pre-Summary'!$CU$6:$CW$36,3,FALSE),"")</f>
        <v/>
      </c>
      <c r="M2884" s="45" t="str">
        <f>IFERROR(VLOOKUP(B2884,'Pre-Summary'!$BW$6:$BY$58,2,FALSE),"")</f>
        <v/>
      </c>
      <c r="N2884" s="45" t="str">
        <f>IFERROR(VLOOKUP(B2884,'Pre-Summary'!$CD$6:$CF$64,2,FALSE),"")</f>
        <v/>
      </c>
      <c r="O2884" s="99">
        <f>IFERROR(VLOOKUP(B2884,'Pre-Summary'!$BO$6:$BQ$48,3, FALSE),O2883)</f>
        <v>2.77</v>
      </c>
      <c r="P2884" s="99">
        <f>IFERROR(VLOOKUP(B2884,'Pre-Summary'!$BS$6:$BU$35,3,FALSE),P2883)</f>
        <v>0.70099999999999996</v>
      </c>
      <c r="Q2884" s="54">
        <f t="shared" si="135"/>
        <v>3.9514978601997148</v>
      </c>
      <c r="R2884" s="53">
        <f>IFERROR(VLOOKUP(B2884,'Pre-Summary'!$BG$6:$BM$44,7,FALSE),R2885)</f>
        <v>0.1043586561898026</v>
      </c>
      <c r="S2884" s="53">
        <f>IFERROR(VLOOKUP(B2884,'Pre-Summary'!$BG$6:$BM$44,6,FALSE),S2885)</f>
        <v>0.10140000000009444</v>
      </c>
      <c r="T2884" s="45" t="str">
        <f>IFERROR(VLOOKUP(B2884,'Pre-Summary'!$Y$6:$AC$83, 3,FALSE),"")</f>
        <v/>
      </c>
      <c r="U2884" s="45" t="str">
        <f>IFERROR(VLOOKUP(B2884,'Pre-Summary'!$Y$6:$AC$83, 4,FALSE),"")</f>
        <v/>
      </c>
      <c r="V2884" t="str">
        <f>IFERROR(VLOOKUP(B2884,'Pre-Summary'!$Y$6:$AC$83, 5,FALSE),"")</f>
        <v/>
      </c>
      <c r="W2884" s="45" t="str">
        <f>IFERROR(VLOOKUP(B2884,'Pre-Summary'!$Y$6:$AD$83,6,FALSE),"")</f>
        <v/>
      </c>
      <c r="X2884" t="str">
        <f>IFERROR(VLOOKUP('Pre-Summary'!$DB$6:$DD$63,3,FALSE),"")</f>
        <v/>
      </c>
      <c r="Y2884" t="str">
        <f>IFERROR(VLOOKUP(B2884,'Pre-Summary'!$CR$6:$CT$36,3,FALSE),"")</f>
        <v/>
      </c>
      <c r="Z2884" s="45" t="str">
        <f>IFERROR(VLOOKUP(B2884,'Pre-Summary'!$BZ$6:$CB$63,2,FALSE),"")</f>
        <v/>
      </c>
      <c r="AA2884" s="45" t="str">
        <f>IFERROR(VLOOKUP(B2884,'Pre-Summary'!$CG$6:$CI$70,2,FALSE),"")</f>
        <v/>
      </c>
      <c r="AB2884" s="99">
        <f>IFERROR(VLOOKUP(B2884,'Pre-Summary'!$A$6:$P$178,9,FALSE),AB2885)</f>
        <v>0.7010379290946207</v>
      </c>
      <c r="AC2884" s="10">
        <f>IFERROR(VLOOKUP(Summary!B2884,'Pre-Summary'!$A$6:$P$184,5, FALSE)/100,AC2885)</f>
        <v>0.92607166666666674</v>
      </c>
      <c r="AD2884" s="10">
        <f>IFERROR(VLOOKUP(Summary!B2884,'Pre-Summary'!$A$6:$P$184,3, FALSE)/100,AD2885)</f>
        <v>5.4963666666666668E-2</v>
      </c>
      <c r="AE2884" s="10">
        <f>IFERROR(VLOOKUP(Summary!B2884,'Pre-Summary'!$A$6:$P$184,7, FALSE)/100,AE2885)</f>
        <v>1.8946666666666667E-2</v>
      </c>
      <c r="AF2884" s="99">
        <f t="shared" si="136"/>
        <v>3.8531615055447034E-2</v>
      </c>
      <c r="AG2884" s="99">
        <f t="shared" si="137"/>
        <v>1.3282331963246082E-2</v>
      </c>
      <c r="AH2884" s="10" t="str">
        <f>IFERROR(VLOOKUP(B2884,'Pre-Summary'!$AZ$6:$BE$65,3,FALSE),"")</f>
        <v/>
      </c>
      <c r="AI2884" s="10" t="str">
        <f>IFERROR(VLOOKUP(B2884,'Pre-Summary'!$AZ$6:$BE$65,5,FALSE),"")</f>
        <v/>
      </c>
      <c r="AJ2884" s="10" t="str">
        <f>IFERROR(VLOOKUP(B2884,'Pre-Summary'!$AZ$6:$BE$65,4,FALSE),"")</f>
        <v/>
      </c>
      <c r="AK2884" s="10" t="str">
        <f>IFERROR(VLOOKUP(B2884,'Pre-Summary'!$AZ$6:$BE$65,6,FALSE),"")</f>
        <v/>
      </c>
      <c r="AL2884" s="10" t="str">
        <f>IFERROR(VLOOKUP(B2884,'Pre-Summary'!$BG$6:$BL$44,3,FALSE),"")</f>
        <v/>
      </c>
      <c r="AM2884" s="10" t="str">
        <f>IFERROR(VLOOKUP(B2884,'Pre-Summary'!$BG$6:$BL$44,4,FALSE),"")</f>
        <v/>
      </c>
    </row>
    <row r="2885" spans="2:39" ht="15" customHeight="1" x14ac:dyDescent="0.3">
      <c r="B2885">
        <v>288.2</v>
      </c>
      <c r="C2885" t="str">
        <f>IFERROR(VLOOKUP(B2885,'Pre-Summary'!$DI$6:$DM$23,4,FALSE),"")</f>
        <v/>
      </c>
      <c r="D2885" s="10" t="str">
        <f>IFERROR(VLOOKUP(B2885,'Pre-Summary'!$AT$6:$AX$14,5,FALSE),D2884)</f>
        <v>Wolfe v3: went back to modified wolfe + EDTA and switched CuSO4 to CUCl2</v>
      </c>
      <c r="E2885" s="10" t="str">
        <f>IFERROR(VLOOKUP(B2885,'Pre-Summary'!$AT$6:$AX$15,4,FALSE),"")</f>
        <v/>
      </c>
      <c r="F2885">
        <f>IFERROR(VLOOKUP(B2885,'Pre-Summary'!$AL$6:$AQ$13,6,FALSE),F2884)</f>
        <v>5.9405263157894746E-2</v>
      </c>
      <c r="G2885" t="str">
        <f>IFERROR(VLOOKUP(B2885,'Pre-Summary'!$AE$6:$AJ$85,3,FALSE),"")</f>
        <v/>
      </c>
      <c r="H2885" t="str">
        <f>IFERROR(VLOOKUP(B2885,'Pre-Summary'!$AE$6:$AJ$85,4,FALSE),"")</f>
        <v/>
      </c>
      <c r="I2885" t="str">
        <f>IFERROR(VLOOKUP(B2885,'Pre-Summary'!$AE$6:$AJ$85,5,FALSE),"")</f>
        <v/>
      </c>
      <c r="J2885" s="45" t="str">
        <f>IFERROR(VLOOKUP(B2885,'Pre-Summary'!$AE$6:$AJ$85,6, FALSE),"")</f>
        <v/>
      </c>
      <c r="K2885" s="45" t="str">
        <f>IFERROR(VLOOKUP(B2885,'Pre-Summary'!$DE$6:$DG$61,3,FALSE),"")</f>
        <v/>
      </c>
      <c r="L2885" s="45" t="str">
        <f>IFERROR(VLOOKUP(B2885,'Pre-Summary'!$CU$6:$CW$36,3,FALSE),"")</f>
        <v/>
      </c>
      <c r="M2885" s="45" t="str">
        <f>IFERROR(VLOOKUP(B2885,'Pre-Summary'!$BW$6:$BY$58,2,FALSE),"")</f>
        <v/>
      </c>
      <c r="N2885" s="45" t="str">
        <f>IFERROR(VLOOKUP(B2885,'Pre-Summary'!$CD$6:$CF$64,2,FALSE),"")</f>
        <v/>
      </c>
      <c r="O2885" s="99">
        <f>IFERROR(VLOOKUP(B2885,'Pre-Summary'!$BO$6:$BQ$48,3, FALSE),O2884)</f>
        <v>2.77</v>
      </c>
      <c r="P2885" s="99">
        <f>IFERROR(VLOOKUP(B2885,'Pre-Summary'!$BS$6:$BU$35,3,FALSE),P2884)</f>
        <v>0.70099999999999996</v>
      </c>
      <c r="Q2885" s="54">
        <f t="shared" si="135"/>
        <v>3.9514978601997148</v>
      </c>
      <c r="R2885" s="53">
        <f>IFERROR(VLOOKUP(B2885,'Pre-Summary'!$BG$6:$BM$44,7,FALSE),R2886)</f>
        <v>0.1043586561898026</v>
      </c>
      <c r="S2885" s="53">
        <f>IFERROR(VLOOKUP(B2885,'Pre-Summary'!$BG$6:$BM$44,6,FALSE),S2886)</f>
        <v>0.10140000000009444</v>
      </c>
      <c r="T2885" s="45" t="str">
        <f>IFERROR(VLOOKUP(B2885,'Pre-Summary'!$Y$6:$AC$83, 3,FALSE),"")</f>
        <v/>
      </c>
      <c r="U2885" s="45" t="str">
        <f>IFERROR(VLOOKUP(B2885,'Pre-Summary'!$Y$6:$AC$83, 4,FALSE),"")</f>
        <v/>
      </c>
      <c r="V2885" t="str">
        <f>IFERROR(VLOOKUP(B2885,'Pre-Summary'!$Y$6:$AC$83, 5,FALSE),"")</f>
        <v/>
      </c>
      <c r="W2885" s="45" t="str">
        <f>IFERROR(VLOOKUP(B2885,'Pre-Summary'!$Y$6:$AD$83,6,FALSE),"")</f>
        <v/>
      </c>
      <c r="X2885" t="str">
        <f>IFERROR(VLOOKUP('Pre-Summary'!$DB$6:$DD$63,3,FALSE),"")</f>
        <v/>
      </c>
      <c r="Y2885" t="str">
        <f>IFERROR(VLOOKUP(B2885,'Pre-Summary'!$CR$6:$CT$36,3,FALSE),"")</f>
        <v/>
      </c>
      <c r="Z2885" s="45" t="str">
        <f>IFERROR(VLOOKUP(B2885,'Pre-Summary'!$BZ$6:$CB$63,2,FALSE),"")</f>
        <v/>
      </c>
      <c r="AA2885" s="45" t="str">
        <f>IFERROR(VLOOKUP(B2885,'Pre-Summary'!$CG$6:$CI$70,2,FALSE),"")</f>
        <v/>
      </c>
      <c r="AB2885" s="99">
        <f>IFERROR(VLOOKUP(B2885,'Pre-Summary'!$A$6:$P$178,9,FALSE),AB2886)</f>
        <v>0.7010379290946207</v>
      </c>
      <c r="AC2885" s="10">
        <f>IFERROR(VLOOKUP(Summary!B2885,'Pre-Summary'!$A$6:$P$184,5, FALSE)/100,AC2886)</f>
        <v>0.92607166666666674</v>
      </c>
      <c r="AD2885" s="10">
        <f>IFERROR(VLOOKUP(Summary!B2885,'Pre-Summary'!$A$6:$P$184,3, FALSE)/100,AD2886)</f>
        <v>5.4963666666666668E-2</v>
      </c>
      <c r="AE2885" s="10">
        <f>IFERROR(VLOOKUP(Summary!B2885,'Pre-Summary'!$A$6:$P$184,7, FALSE)/100,AE2886)</f>
        <v>1.8946666666666667E-2</v>
      </c>
      <c r="AF2885" s="99">
        <f t="shared" si="136"/>
        <v>3.8531615055447034E-2</v>
      </c>
      <c r="AG2885" s="99">
        <f t="shared" si="137"/>
        <v>1.3282331963246082E-2</v>
      </c>
      <c r="AH2885" s="10" t="str">
        <f>IFERROR(VLOOKUP(B2885,'Pre-Summary'!$AZ$6:$BE$65,3,FALSE),"")</f>
        <v/>
      </c>
      <c r="AI2885" s="10" t="str">
        <f>IFERROR(VLOOKUP(B2885,'Pre-Summary'!$AZ$6:$BE$65,5,FALSE),"")</f>
        <v/>
      </c>
      <c r="AJ2885" s="10" t="str">
        <f>IFERROR(VLOOKUP(B2885,'Pre-Summary'!$AZ$6:$BE$65,4,FALSE),"")</f>
        <v/>
      </c>
      <c r="AK2885" s="10" t="str">
        <f>IFERROR(VLOOKUP(B2885,'Pre-Summary'!$AZ$6:$BE$65,6,FALSE),"")</f>
        <v/>
      </c>
      <c r="AL2885" s="10" t="str">
        <f>IFERROR(VLOOKUP(B2885,'Pre-Summary'!$BG$6:$BL$44,3,FALSE),"")</f>
        <v/>
      </c>
      <c r="AM2885" s="10" t="str">
        <f>IFERROR(VLOOKUP(B2885,'Pre-Summary'!$BG$6:$BL$44,4,FALSE),"")</f>
        <v/>
      </c>
    </row>
    <row r="2886" spans="2:39" ht="15" customHeight="1" x14ac:dyDescent="0.3">
      <c r="B2886">
        <v>288.3</v>
      </c>
      <c r="C2886" t="str">
        <f>IFERROR(VLOOKUP(B2886,'Pre-Summary'!$DI$6:$DM$23,4,FALSE),"")</f>
        <v/>
      </c>
      <c r="D2886" s="10" t="str">
        <f>IFERROR(VLOOKUP(B2886,'Pre-Summary'!$AT$6:$AX$14,5,FALSE),D2885)</f>
        <v>Wolfe v3: went back to modified wolfe + EDTA and switched CuSO4 to CUCl2</v>
      </c>
      <c r="E2886" s="10" t="str">
        <f>IFERROR(VLOOKUP(B2886,'Pre-Summary'!$AT$6:$AX$15,4,FALSE),"")</f>
        <v/>
      </c>
      <c r="F2886">
        <f>IFERROR(VLOOKUP(B2886,'Pre-Summary'!$AL$6:$AQ$13,6,FALSE),F2885)</f>
        <v>5.9405263157894746E-2</v>
      </c>
      <c r="G2886" t="str">
        <f>IFERROR(VLOOKUP(B2886,'Pre-Summary'!$AE$6:$AJ$85,3,FALSE),"")</f>
        <v/>
      </c>
      <c r="H2886" t="str">
        <f>IFERROR(VLOOKUP(B2886,'Pre-Summary'!$AE$6:$AJ$85,4,FALSE),"")</f>
        <v/>
      </c>
      <c r="I2886" t="str">
        <f>IFERROR(VLOOKUP(B2886,'Pre-Summary'!$AE$6:$AJ$85,5,FALSE),"")</f>
        <v/>
      </c>
      <c r="J2886" s="45" t="str">
        <f>IFERROR(VLOOKUP(B2886,'Pre-Summary'!$AE$6:$AJ$85,6, FALSE),"")</f>
        <v/>
      </c>
      <c r="K2886" s="45" t="str">
        <f>IFERROR(VLOOKUP(B2886,'Pre-Summary'!$DE$6:$DG$61,3,FALSE),"")</f>
        <v/>
      </c>
      <c r="L2886" s="45" t="str">
        <f>IFERROR(VLOOKUP(B2886,'Pre-Summary'!$CU$6:$CW$36,3,FALSE),"")</f>
        <v/>
      </c>
      <c r="M2886" s="45" t="str">
        <f>IFERROR(VLOOKUP(B2886,'Pre-Summary'!$BW$6:$BY$58,2,FALSE),"")</f>
        <v/>
      </c>
      <c r="N2886" s="45" t="str">
        <f>IFERROR(VLOOKUP(B2886,'Pre-Summary'!$CD$6:$CF$64,2,FALSE),"")</f>
        <v/>
      </c>
      <c r="O2886" s="99">
        <f>IFERROR(VLOOKUP(B2886,'Pre-Summary'!$BO$6:$BQ$48,3, FALSE),O2885)</f>
        <v>2.77</v>
      </c>
      <c r="P2886" s="99">
        <f>IFERROR(VLOOKUP(B2886,'Pre-Summary'!$BS$6:$BU$35,3,FALSE),P2885)</f>
        <v>0.70099999999999996</v>
      </c>
      <c r="Q2886" s="54">
        <f t="shared" si="135"/>
        <v>3.9514978601997148</v>
      </c>
      <c r="R2886" s="53">
        <f>IFERROR(VLOOKUP(B2886,'Pre-Summary'!$BG$6:$BM$44,7,FALSE),R2887)</f>
        <v>0.1043586561898026</v>
      </c>
      <c r="S2886" s="53">
        <f>IFERROR(VLOOKUP(B2886,'Pre-Summary'!$BG$6:$BM$44,6,FALSE),S2887)</f>
        <v>0.10140000000009444</v>
      </c>
      <c r="T2886" s="45" t="str">
        <f>IFERROR(VLOOKUP(B2886,'Pre-Summary'!$Y$6:$AC$83, 3,FALSE),"")</f>
        <v/>
      </c>
      <c r="U2886" s="45" t="str">
        <f>IFERROR(VLOOKUP(B2886,'Pre-Summary'!$Y$6:$AC$83, 4,FALSE),"")</f>
        <v/>
      </c>
      <c r="V2886" t="str">
        <f>IFERROR(VLOOKUP(B2886,'Pre-Summary'!$Y$6:$AC$83, 5,FALSE),"")</f>
        <v/>
      </c>
      <c r="W2886" s="45" t="str">
        <f>IFERROR(VLOOKUP(B2886,'Pre-Summary'!$Y$6:$AD$83,6,FALSE),"")</f>
        <v/>
      </c>
      <c r="X2886" t="str">
        <f>IFERROR(VLOOKUP('Pre-Summary'!$DB$6:$DD$63,3,FALSE),"")</f>
        <v/>
      </c>
      <c r="Y2886" t="str">
        <f>IFERROR(VLOOKUP(B2886,'Pre-Summary'!$CR$6:$CT$36,3,FALSE),"")</f>
        <v/>
      </c>
      <c r="Z2886" s="45" t="str">
        <f>IFERROR(VLOOKUP(B2886,'Pre-Summary'!$BZ$6:$CB$63,2,FALSE),"")</f>
        <v/>
      </c>
      <c r="AA2886" s="45" t="str">
        <f>IFERROR(VLOOKUP(B2886,'Pre-Summary'!$CG$6:$CI$70,2,FALSE),"")</f>
        <v/>
      </c>
      <c r="AB2886" s="99">
        <f>IFERROR(VLOOKUP(B2886,'Pre-Summary'!$A$6:$P$178,9,FALSE),AB2887)</f>
        <v>0.7010379290946207</v>
      </c>
      <c r="AC2886" s="10">
        <f>IFERROR(VLOOKUP(Summary!B2886,'Pre-Summary'!$A$6:$P$184,5, FALSE)/100,AC2887)</f>
        <v>0.92607166666666674</v>
      </c>
      <c r="AD2886" s="10">
        <f>IFERROR(VLOOKUP(Summary!B2886,'Pre-Summary'!$A$6:$P$184,3, FALSE)/100,AD2887)</f>
        <v>5.4963666666666668E-2</v>
      </c>
      <c r="AE2886" s="10">
        <f>IFERROR(VLOOKUP(Summary!B2886,'Pre-Summary'!$A$6:$P$184,7, FALSE)/100,AE2887)</f>
        <v>1.8946666666666667E-2</v>
      </c>
      <c r="AF2886" s="99">
        <f t="shared" si="136"/>
        <v>3.8531615055447034E-2</v>
      </c>
      <c r="AG2886" s="99">
        <f t="shared" si="137"/>
        <v>1.3282331963246082E-2</v>
      </c>
      <c r="AH2886" s="10" t="str">
        <f>IFERROR(VLOOKUP(B2886,'Pre-Summary'!$AZ$6:$BE$65,3,FALSE),"")</f>
        <v/>
      </c>
      <c r="AI2886" s="10" t="str">
        <f>IFERROR(VLOOKUP(B2886,'Pre-Summary'!$AZ$6:$BE$65,5,FALSE),"")</f>
        <v/>
      </c>
      <c r="AJ2886" s="10" t="str">
        <f>IFERROR(VLOOKUP(B2886,'Pre-Summary'!$AZ$6:$BE$65,4,FALSE),"")</f>
        <v/>
      </c>
      <c r="AK2886" s="10" t="str">
        <f>IFERROR(VLOOKUP(B2886,'Pre-Summary'!$AZ$6:$BE$65,6,FALSE),"")</f>
        <v/>
      </c>
      <c r="AL2886" s="10" t="str">
        <f>IFERROR(VLOOKUP(B2886,'Pre-Summary'!$BG$6:$BL$44,3,FALSE),"")</f>
        <v/>
      </c>
      <c r="AM2886" s="10" t="str">
        <f>IFERROR(VLOOKUP(B2886,'Pre-Summary'!$BG$6:$BL$44,4,FALSE),"")</f>
        <v/>
      </c>
    </row>
    <row r="2887" spans="2:39" ht="15" customHeight="1" x14ac:dyDescent="0.3">
      <c r="B2887">
        <v>288.39999999999998</v>
      </c>
      <c r="C2887" t="str">
        <f>IFERROR(VLOOKUP(B2887,'Pre-Summary'!$DI$6:$DM$23,4,FALSE),"")</f>
        <v/>
      </c>
      <c r="D2887" s="10" t="str">
        <f>IFERROR(VLOOKUP(B2887,'Pre-Summary'!$AT$6:$AX$14,5,FALSE),D2886)</f>
        <v>Wolfe v3: went back to modified wolfe + EDTA and switched CuSO4 to CUCl2</v>
      </c>
      <c r="E2887" s="10" t="str">
        <f>IFERROR(VLOOKUP(B2887,'Pre-Summary'!$AT$6:$AX$15,4,FALSE),"")</f>
        <v/>
      </c>
      <c r="F2887">
        <f>IFERROR(VLOOKUP(B2887,'Pre-Summary'!$AL$6:$AQ$13,6,FALSE),F2886)</f>
        <v>5.9405263157894746E-2</v>
      </c>
      <c r="G2887" t="str">
        <f>IFERROR(VLOOKUP(B2887,'Pre-Summary'!$AE$6:$AJ$85,3,FALSE),"")</f>
        <v/>
      </c>
      <c r="H2887" t="str">
        <f>IFERROR(VLOOKUP(B2887,'Pre-Summary'!$AE$6:$AJ$85,4,FALSE),"")</f>
        <v/>
      </c>
      <c r="I2887" t="str">
        <f>IFERROR(VLOOKUP(B2887,'Pre-Summary'!$AE$6:$AJ$85,5,FALSE),"")</f>
        <v/>
      </c>
      <c r="J2887" s="45" t="str">
        <f>IFERROR(VLOOKUP(B2887,'Pre-Summary'!$AE$6:$AJ$85,6, FALSE),"")</f>
        <v/>
      </c>
      <c r="K2887" s="45" t="str">
        <f>IFERROR(VLOOKUP(B2887,'Pre-Summary'!$DE$6:$DG$61,3,FALSE),"")</f>
        <v/>
      </c>
      <c r="L2887" s="45" t="str">
        <f>IFERROR(VLOOKUP(B2887,'Pre-Summary'!$CU$6:$CW$36,3,FALSE),"")</f>
        <v/>
      </c>
      <c r="M2887" s="45" t="str">
        <f>IFERROR(VLOOKUP(B2887,'Pre-Summary'!$BW$6:$BY$58,2,FALSE),"")</f>
        <v/>
      </c>
      <c r="N2887" s="45" t="str">
        <f>IFERROR(VLOOKUP(B2887,'Pre-Summary'!$CD$6:$CF$64,2,FALSE),"")</f>
        <v/>
      </c>
      <c r="O2887" s="99">
        <f>IFERROR(VLOOKUP(B2887,'Pre-Summary'!$BO$6:$BQ$48,3, FALSE),O2886)</f>
        <v>2.77</v>
      </c>
      <c r="P2887" s="99">
        <f>IFERROR(VLOOKUP(B2887,'Pre-Summary'!$BS$6:$BU$35,3,FALSE),P2886)</f>
        <v>0.70099999999999996</v>
      </c>
      <c r="Q2887" s="54">
        <f t="shared" si="135"/>
        <v>3.9514978601997148</v>
      </c>
      <c r="R2887" s="53">
        <f>IFERROR(VLOOKUP(B2887,'Pre-Summary'!$BG$6:$BM$44,7,FALSE),R2888)</f>
        <v>0.1043586561898026</v>
      </c>
      <c r="S2887" s="53">
        <f>IFERROR(VLOOKUP(B2887,'Pre-Summary'!$BG$6:$BM$44,6,FALSE),S2888)</f>
        <v>0.10140000000009444</v>
      </c>
      <c r="T2887" s="45" t="str">
        <f>IFERROR(VLOOKUP(B2887,'Pre-Summary'!$Y$6:$AC$83, 3,FALSE),"")</f>
        <v/>
      </c>
      <c r="U2887" s="45" t="str">
        <f>IFERROR(VLOOKUP(B2887,'Pre-Summary'!$Y$6:$AC$83, 4,FALSE),"")</f>
        <v/>
      </c>
      <c r="V2887" t="str">
        <f>IFERROR(VLOOKUP(B2887,'Pre-Summary'!$Y$6:$AC$83, 5,FALSE),"")</f>
        <v/>
      </c>
      <c r="W2887" s="45" t="str">
        <f>IFERROR(VLOOKUP(B2887,'Pre-Summary'!$Y$6:$AD$83,6,FALSE),"")</f>
        <v/>
      </c>
      <c r="X2887" t="str">
        <f>IFERROR(VLOOKUP('Pre-Summary'!$DB$6:$DD$63,3,FALSE),"")</f>
        <v/>
      </c>
      <c r="Y2887" t="str">
        <f>IFERROR(VLOOKUP(B2887,'Pre-Summary'!$CR$6:$CT$36,3,FALSE),"")</f>
        <v/>
      </c>
      <c r="Z2887" s="45" t="str">
        <f>IFERROR(VLOOKUP(B2887,'Pre-Summary'!$BZ$6:$CB$63,2,FALSE),"")</f>
        <v/>
      </c>
      <c r="AA2887" s="45" t="str">
        <f>IFERROR(VLOOKUP(B2887,'Pre-Summary'!$CG$6:$CI$70,2,FALSE),"")</f>
        <v/>
      </c>
      <c r="AB2887" s="99">
        <f>IFERROR(VLOOKUP(B2887,'Pre-Summary'!$A$6:$P$178,9,FALSE),AB2888)</f>
        <v>0.7010379290946207</v>
      </c>
      <c r="AC2887" s="10">
        <f>IFERROR(VLOOKUP(Summary!B2887,'Pre-Summary'!$A$6:$P$184,5, FALSE)/100,AC2888)</f>
        <v>0.92607166666666674</v>
      </c>
      <c r="AD2887" s="10">
        <f>IFERROR(VLOOKUP(Summary!B2887,'Pre-Summary'!$A$6:$P$184,3, FALSE)/100,AD2888)</f>
        <v>5.4963666666666668E-2</v>
      </c>
      <c r="AE2887" s="10">
        <f>IFERROR(VLOOKUP(Summary!B2887,'Pre-Summary'!$A$6:$P$184,7, FALSE)/100,AE2888)</f>
        <v>1.8946666666666667E-2</v>
      </c>
      <c r="AF2887" s="99">
        <f t="shared" si="136"/>
        <v>3.8531615055447034E-2</v>
      </c>
      <c r="AG2887" s="99">
        <f t="shared" si="137"/>
        <v>1.3282331963246082E-2</v>
      </c>
      <c r="AH2887" s="10" t="str">
        <f>IFERROR(VLOOKUP(B2887,'Pre-Summary'!$AZ$6:$BE$65,3,FALSE),"")</f>
        <v/>
      </c>
      <c r="AI2887" s="10" t="str">
        <f>IFERROR(VLOOKUP(B2887,'Pre-Summary'!$AZ$6:$BE$65,5,FALSE),"")</f>
        <v/>
      </c>
      <c r="AJ2887" s="10" t="str">
        <f>IFERROR(VLOOKUP(B2887,'Pre-Summary'!$AZ$6:$BE$65,4,FALSE),"")</f>
        <v/>
      </c>
      <c r="AK2887" s="10" t="str">
        <f>IFERROR(VLOOKUP(B2887,'Pre-Summary'!$AZ$6:$BE$65,6,FALSE),"")</f>
        <v/>
      </c>
      <c r="AL2887" s="10" t="str">
        <f>IFERROR(VLOOKUP(B2887,'Pre-Summary'!$BG$6:$BL$44,3,FALSE),"")</f>
        <v/>
      </c>
      <c r="AM2887" s="10" t="str">
        <f>IFERROR(VLOOKUP(B2887,'Pre-Summary'!$BG$6:$BL$44,4,FALSE),"")</f>
        <v/>
      </c>
    </row>
    <row r="2888" spans="2:39" ht="15" customHeight="1" x14ac:dyDescent="0.3">
      <c r="B2888">
        <v>288.5</v>
      </c>
      <c r="C2888" t="str">
        <f>IFERROR(VLOOKUP(B2888,'Pre-Summary'!$DI$6:$DM$23,4,FALSE),"")</f>
        <v/>
      </c>
      <c r="D2888" s="10" t="str">
        <f>IFERROR(VLOOKUP(B2888,'Pre-Summary'!$AT$6:$AX$14,5,FALSE),D2887)</f>
        <v>Wolfe v3: went back to modified wolfe + EDTA and switched CuSO4 to CUCl2</v>
      </c>
      <c r="E2888" s="10" t="str">
        <f>IFERROR(VLOOKUP(B2888,'Pre-Summary'!$AT$6:$AX$15,4,FALSE),"")</f>
        <v/>
      </c>
      <c r="F2888">
        <f>IFERROR(VLOOKUP(B2888,'Pre-Summary'!$AL$6:$AQ$13,6,FALSE),F2887)</f>
        <v>5.9405263157894746E-2</v>
      </c>
      <c r="G2888">
        <f>IFERROR(VLOOKUP(B2888,'Pre-Summary'!$AE$6:$AJ$85,3,FALSE),"")</f>
        <v>1.331</v>
      </c>
      <c r="H2888">
        <f>IFERROR(VLOOKUP(B2888,'Pre-Summary'!$AE$6:$AJ$85,4,FALSE),"")</f>
        <v>1.0760000000000001</v>
      </c>
      <c r="I2888">
        <f>IFERROR(VLOOKUP(B2888,'Pre-Summary'!$AE$6:$AJ$85,5,FALSE),"")</f>
        <v>1.343</v>
      </c>
      <c r="J2888" s="45">
        <f>IFERROR(VLOOKUP(B2888,'Pre-Summary'!$AE$6:$AJ$85,6, FALSE),"")</f>
        <v>5.4908149999999996</v>
      </c>
      <c r="K2888" s="45" t="str">
        <f>IFERROR(VLOOKUP(B2888,'Pre-Summary'!$DE$6:$DG$61,3,FALSE),"")</f>
        <v/>
      </c>
      <c r="L2888" s="45" t="str">
        <f>IFERROR(VLOOKUP(B2888,'Pre-Summary'!$CU$6:$CW$36,3,FALSE),"")</f>
        <v/>
      </c>
      <c r="M2888" s="45" t="str">
        <f>IFERROR(VLOOKUP(B2888,'Pre-Summary'!$BW$6:$BY$58,2,FALSE),"")</f>
        <v/>
      </c>
      <c r="N2888" s="45">
        <f>IFERROR(VLOOKUP(B2888,'Pre-Summary'!$CD$6:$CF$64,2,FALSE),"")</f>
        <v>145.35356085651034</v>
      </c>
      <c r="O2888" s="99">
        <f>IFERROR(VLOOKUP(B2888,'Pre-Summary'!$BO$6:$BQ$48,3, FALSE),O2887)</f>
        <v>2.77</v>
      </c>
      <c r="P2888" s="99">
        <f>IFERROR(VLOOKUP(B2888,'Pre-Summary'!$BS$6:$BU$35,3,FALSE),P2887)</f>
        <v>0.70099999999999996</v>
      </c>
      <c r="Q2888" s="54">
        <f t="shared" si="135"/>
        <v>3.9514978601997148</v>
      </c>
      <c r="R2888" s="53">
        <f>IFERROR(VLOOKUP(B2888,'Pre-Summary'!$BG$6:$BM$44,7,FALSE),R2889)</f>
        <v>0.1043586561898026</v>
      </c>
      <c r="S2888" s="53">
        <f>IFERROR(VLOOKUP(B2888,'Pre-Summary'!$BG$6:$BM$44,6,FALSE),S2889)</f>
        <v>0.10140000000009444</v>
      </c>
      <c r="T2888" s="45">
        <f>IFERROR(VLOOKUP(B2888,'Pre-Summary'!$Y$6:$AC$83, 3,FALSE),"")</f>
        <v>3.613</v>
      </c>
      <c r="U2888" s="45">
        <f>IFERROR(VLOOKUP(B2888,'Pre-Summary'!$Y$6:$AC$83, 4,FALSE),"")</f>
        <v>1.2110000000000001</v>
      </c>
      <c r="V2888">
        <f>IFERROR(VLOOKUP(B2888,'Pre-Summary'!$Y$6:$AC$83, 5,FALSE),"")</f>
        <v>1.353</v>
      </c>
      <c r="W2888" s="45">
        <f>IFERROR(VLOOKUP(B2888,'Pre-Summary'!$Y$6:$AD$83,6,FALSE),"")</f>
        <v>8.1482790000000005</v>
      </c>
      <c r="X2888" t="str">
        <f>IFERROR(VLOOKUP('Pre-Summary'!$DB$6:$DD$63,3,FALSE),"")</f>
        <v/>
      </c>
      <c r="Y2888" t="str">
        <f>IFERROR(VLOOKUP(B2888,'Pre-Summary'!$CR$6:$CT$36,3,FALSE),"")</f>
        <v/>
      </c>
      <c r="Z2888" s="45" t="str">
        <f>IFERROR(VLOOKUP(B2888,'Pre-Summary'!$BZ$6:$CB$63,2,FALSE),"")</f>
        <v/>
      </c>
      <c r="AA2888" s="45" t="str">
        <f>IFERROR(VLOOKUP(B2888,'Pre-Summary'!$CG$6:$CI$70,2,FALSE),"")</f>
        <v/>
      </c>
      <c r="AB2888" s="99">
        <f>IFERROR(VLOOKUP(B2888,'Pre-Summary'!$A$6:$P$178,9,FALSE),AB2889)</f>
        <v>0.7010379290946207</v>
      </c>
      <c r="AC2888" s="10">
        <f>IFERROR(VLOOKUP(Summary!B2888,'Pre-Summary'!$A$6:$P$184,5, FALSE)/100,AC2889)</f>
        <v>0.92607166666666674</v>
      </c>
      <c r="AD2888" s="10">
        <f>IFERROR(VLOOKUP(Summary!B2888,'Pre-Summary'!$A$6:$P$184,3, FALSE)/100,AD2889)</f>
        <v>5.4963666666666668E-2</v>
      </c>
      <c r="AE2888" s="10">
        <f>IFERROR(VLOOKUP(Summary!B2888,'Pre-Summary'!$A$6:$P$184,7, FALSE)/100,AE2889)</f>
        <v>1.8946666666666667E-2</v>
      </c>
      <c r="AF2888" s="99">
        <f t="shared" si="136"/>
        <v>3.8531615055447034E-2</v>
      </c>
      <c r="AG2888" s="99">
        <f t="shared" si="137"/>
        <v>1.3282331963246082E-2</v>
      </c>
      <c r="AH2888" s="10" t="str">
        <f>IFERROR(VLOOKUP(B2888,'Pre-Summary'!$AZ$6:$BE$65,3,FALSE),"")</f>
        <v/>
      </c>
      <c r="AI2888" s="10" t="str">
        <f>IFERROR(VLOOKUP(B2888,'Pre-Summary'!$AZ$6:$BE$65,5,FALSE),"")</f>
        <v/>
      </c>
      <c r="AJ2888" s="10" t="str">
        <f>IFERROR(VLOOKUP(B2888,'Pre-Summary'!$AZ$6:$BE$65,4,FALSE),"")</f>
        <v/>
      </c>
      <c r="AK2888" s="10" t="str">
        <f>IFERROR(VLOOKUP(B2888,'Pre-Summary'!$AZ$6:$BE$65,6,FALSE),"")</f>
        <v/>
      </c>
      <c r="AL2888" s="10" t="str">
        <f>IFERROR(VLOOKUP(B2888,'Pre-Summary'!$BG$6:$BL$44,3,FALSE),"")</f>
        <v/>
      </c>
      <c r="AM2888" s="10" t="str">
        <f>IFERROR(VLOOKUP(B2888,'Pre-Summary'!$BG$6:$BL$44,4,FALSE),"")</f>
        <v/>
      </c>
    </row>
    <row r="2889" spans="2:39" ht="15" customHeight="1" x14ac:dyDescent="0.3">
      <c r="B2889">
        <v>288.60000000000002</v>
      </c>
      <c r="C2889" t="str">
        <f>IFERROR(VLOOKUP(B2889,'Pre-Summary'!$DI$6:$DM$23,4,FALSE),"")</f>
        <v/>
      </c>
      <c r="D2889" s="10" t="str">
        <f>IFERROR(VLOOKUP(B2889,'Pre-Summary'!$AT$6:$AX$14,5,FALSE),D2888)</f>
        <v>Wolfe v3: went back to modified wolfe + EDTA and switched CuSO4 to CUCl2</v>
      </c>
      <c r="E2889" s="10" t="str">
        <f>IFERROR(VLOOKUP(B2889,'Pre-Summary'!$AT$6:$AX$15,4,FALSE),"")</f>
        <v/>
      </c>
      <c r="F2889">
        <f>IFERROR(VLOOKUP(B2889,'Pre-Summary'!$AL$6:$AQ$13,6,FALSE),F2888)</f>
        <v>5.9405263157894746E-2</v>
      </c>
      <c r="G2889" t="str">
        <f>IFERROR(VLOOKUP(B2889,'Pre-Summary'!$AE$6:$AJ$85,3,FALSE),"")</f>
        <v/>
      </c>
      <c r="H2889" t="str">
        <f>IFERROR(VLOOKUP(B2889,'Pre-Summary'!$AE$6:$AJ$85,4,FALSE),"")</f>
        <v/>
      </c>
      <c r="I2889" t="str">
        <f>IFERROR(VLOOKUP(B2889,'Pre-Summary'!$AE$6:$AJ$85,5,FALSE),"")</f>
        <v/>
      </c>
      <c r="J2889" s="45" t="str">
        <f>IFERROR(VLOOKUP(B2889,'Pre-Summary'!$AE$6:$AJ$85,6, FALSE),"")</f>
        <v/>
      </c>
      <c r="K2889" s="45" t="str">
        <f>IFERROR(VLOOKUP(B2889,'Pre-Summary'!$DE$6:$DG$61,3,FALSE),"")</f>
        <v/>
      </c>
      <c r="L2889" s="45" t="str">
        <f>IFERROR(VLOOKUP(B2889,'Pre-Summary'!$CU$6:$CW$36,3,FALSE),"")</f>
        <v/>
      </c>
      <c r="M2889" s="45" t="str">
        <f>IFERROR(VLOOKUP(B2889,'Pre-Summary'!$BW$6:$BY$58,2,FALSE),"")</f>
        <v/>
      </c>
      <c r="N2889" s="45" t="str">
        <f>IFERROR(VLOOKUP(B2889,'Pre-Summary'!$CD$6:$CF$64,2,FALSE),"")</f>
        <v/>
      </c>
      <c r="O2889" s="99">
        <f>IFERROR(VLOOKUP(B2889,'Pre-Summary'!$BO$6:$BQ$48,3, FALSE),O2888)</f>
        <v>2.77</v>
      </c>
      <c r="P2889" s="99">
        <f>IFERROR(VLOOKUP(B2889,'Pre-Summary'!$BS$6:$BU$35,3,FALSE),P2888)</f>
        <v>0.70099999999999996</v>
      </c>
      <c r="Q2889" s="54">
        <f t="shared" si="135"/>
        <v>3.9514978601997148</v>
      </c>
      <c r="R2889" s="53">
        <f>IFERROR(VLOOKUP(B2889,'Pre-Summary'!$BG$6:$BM$44,7,FALSE),R2890)</f>
        <v>0.1043586561898026</v>
      </c>
      <c r="S2889" s="53">
        <f>IFERROR(VLOOKUP(B2889,'Pre-Summary'!$BG$6:$BM$44,6,FALSE),S2890)</f>
        <v>0.10140000000009444</v>
      </c>
      <c r="T2889" s="45" t="str">
        <f>IFERROR(VLOOKUP(B2889,'Pre-Summary'!$Y$6:$AC$83, 3,FALSE),"")</f>
        <v/>
      </c>
      <c r="U2889" s="45" t="str">
        <f>IFERROR(VLOOKUP(B2889,'Pre-Summary'!$Y$6:$AC$83, 4,FALSE),"")</f>
        <v/>
      </c>
      <c r="V2889" t="str">
        <f>IFERROR(VLOOKUP(B2889,'Pre-Summary'!$Y$6:$AC$83, 5,FALSE),"")</f>
        <v/>
      </c>
      <c r="W2889" s="45" t="str">
        <f>IFERROR(VLOOKUP(B2889,'Pre-Summary'!$Y$6:$AD$83,6,FALSE),"")</f>
        <v/>
      </c>
      <c r="X2889" t="str">
        <f>IFERROR(VLOOKUP('Pre-Summary'!$DB$6:$DD$63,3,FALSE),"")</f>
        <v/>
      </c>
      <c r="Y2889" t="str">
        <f>IFERROR(VLOOKUP(B2889,'Pre-Summary'!$CR$6:$CT$36,3,FALSE),"")</f>
        <v/>
      </c>
      <c r="Z2889" s="45" t="str">
        <f>IFERROR(VLOOKUP(B2889,'Pre-Summary'!$BZ$6:$CB$63,2,FALSE),"")</f>
        <v/>
      </c>
      <c r="AA2889" s="45" t="str">
        <f>IFERROR(VLOOKUP(B2889,'Pre-Summary'!$CG$6:$CI$70,2,FALSE),"")</f>
        <v/>
      </c>
      <c r="AB2889" s="99">
        <f>IFERROR(VLOOKUP(B2889,'Pre-Summary'!$A$6:$P$178,9,FALSE),AB2890)</f>
        <v>0.7010379290946207</v>
      </c>
      <c r="AC2889" s="10">
        <f>IFERROR(VLOOKUP(Summary!B2889,'Pre-Summary'!$A$6:$P$184,5, FALSE)/100,AC2890)</f>
        <v>0.92607166666666674</v>
      </c>
      <c r="AD2889" s="10">
        <f>IFERROR(VLOOKUP(Summary!B2889,'Pre-Summary'!$A$6:$P$184,3, FALSE)/100,AD2890)</f>
        <v>5.4963666666666668E-2</v>
      </c>
      <c r="AE2889" s="10">
        <f>IFERROR(VLOOKUP(Summary!B2889,'Pre-Summary'!$A$6:$P$184,7, FALSE)/100,AE2890)</f>
        <v>1.8946666666666667E-2</v>
      </c>
      <c r="AF2889" s="99">
        <f t="shared" si="136"/>
        <v>3.8531615055447034E-2</v>
      </c>
      <c r="AG2889" s="99">
        <f t="shared" si="137"/>
        <v>1.3282331963246082E-2</v>
      </c>
      <c r="AH2889" s="10" t="str">
        <f>IFERROR(VLOOKUP(B2889,'Pre-Summary'!$AZ$6:$BE$65,3,FALSE),"")</f>
        <v/>
      </c>
      <c r="AI2889" s="10" t="str">
        <f>IFERROR(VLOOKUP(B2889,'Pre-Summary'!$AZ$6:$BE$65,5,FALSE),"")</f>
        <v/>
      </c>
      <c r="AJ2889" s="10" t="str">
        <f>IFERROR(VLOOKUP(B2889,'Pre-Summary'!$AZ$6:$BE$65,4,FALSE),"")</f>
        <v/>
      </c>
      <c r="AK2889" s="10" t="str">
        <f>IFERROR(VLOOKUP(B2889,'Pre-Summary'!$AZ$6:$BE$65,6,FALSE),"")</f>
        <v/>
      </c>
      <c r="AL2889" s="10" t="str">
        <f>IFERROR(VLOOKUP(B2889,'Pre-Summary'!$BG$6:$BL$44,3,FALSE),"")</f>
        <v/>
      </c>
      <c r="AM2889" s="10" t="str">
        <f>IFERROR(VLOOKUP(B2889,'Pre-Summary'!$BG$6:$BL$44,4,FALSE),"")</f>
        <v/>
      </c>
    </row>
    <row r="2890" spans="2:39" ht="15" customHeight="1" x14ac:dyDescent="0.3">
      <c r="B2890">
        <v>288.7</v>
      </c>
      <c r="C2890" t="str">
        <f>IFERROR(VLOOKUP(B2890,'Pre-Summary'!$DI$6:$DM$23,4,FALSE),"")</f>
        <v/>
      </c>
      <c r="D2890" s="10" t="str">
        <f>IFERROR(VLOOKUP(B2890,'Pre-Summary'!$AT$6:$AX$14,5,FALSE),D2889)</f>
        <v>Wolfe v3: went back to modified wolfe + EDTA and switched CuSO4 to CUCl2</v>
      </c>
      <c r="E2890" s="10" t="str">
        <f>IFERROR(VLOOKUP(B2890,'Pre-Summary'!$AT$6:$AX$15,4,FALSE),"")</f>
        <v/>
      </c>
      <c r="F2890">
        <f>IFERROR(VLOOKUP(B2890,'Pre-Summary'!$AL$6:$AQ$13,6,FALSE),F2889)</f>
        <v>5.9405263157894746E-2</v>
      </c>
      <c r="G2890" t="str">
        <f>IFERROR(VLOOKUP(B2890,'Pre-Summary'!$AE$6:$AJ$85,3,FALSE),"")</f>
        <v/>
      </c>
      <c r="H2890" t="str">
        <f>IFERROR(VLOOKUP(B2890,'Pre-Summary'!$AE$6:$AJ$85,4,FALSE),"")</f>
        <v/>
      </c>
      <c r="I2890" t="str">
        <f>IFERROR(VLOOKUP(B2890,'Pre-Summary'!$AE$6:$AJ$85,5,FALSE),"")</f>
        <v/>
      </c>
      <c r="J2890" s="45" t="str">
        <f>IFERROR(VLOOKUP(B2890,'Pre-Summary'!$AE$6:$AJ$85,6, FALSE),"")</f>
        <v/>
      </c>
      <c r="K2890" s="45" t="str">
        <f>IFERROR(VLOOKUP(B2890,'Pre-Summary'!$DE$6:$DG$61,3,FALSE),"")</f>
        <v/>
      </c>
      <c r="L2890" s="45" t="str">
        <f>IFERROR(VLOOKUP(B2890,'Pre-Summary'!$CU$6:$CW$36,3,FALSE),"")</f>
        <v/>
      </c>
      <c r="M2890" s="45" t="str">
        <f>IFERROR(VLOOKUP(B2890,'Pre-Summary'!$BW$6:$BY$58,2,FALSE),"")</f>
        <v/>
      </c>
      <c r="N2890" s="45" t="str">
        <f>IFERROR(VLOOKUP(B2890,'Pre-Summary'!$CD$6:$CF$64,2,FALSE),"")</f>
        <v/>
      </c>
      <c r="O2890" s="99">
        <f>IFERROR(VLOOKUP(B2890,'Pre-Summary'!$BO$6:$BQ$48,3, FALSE),O2889)</f>
        <v>2.77</v>
      </c>
      <c r="P2890" s="99">
        <f>IFERROR(VLOOKUP(B2890,'Pre-Summary'!$BS$6:$BU$35,3,FALSE),P2889)</f>
        <v>0.70099999999999996</v>
      </c>
      <c r="Q2890" s="54">
        <f t="shared" si="135"/>
        <v>3.9514978601997148</v>
      </c>
      <c r="R2890" s="53">
        <f>IFERROR(VLOOKUP(B2890,'Pre-Summary'!$BG$6:$BM$44,7,FALSE),R2891)</f>
        <v>0.1043586561898026</v>
      </c>
      <c r="S2890" s="53">
        <f>IFERROR(VLOOKUP(B2890,'Pre-Summary'!$BG$6:$BM$44,6,FALSE),S2891)</f>
        <v>0.10140000000009444</v>
      </c>
      <c r="T2890" s="45" t="str">
        <f>IFERROR(VLOOKUP(B2890,'Pre-Summary'!$Y$6:$AC$83, 3,FALSE),"")</f>
        <v/>
      </c>
      <c r="U2890" s="45" t="str">
        <f>IFERROR(VLOOKUP(B2890,'Pre-Summary'!$Y$6:$AC$83, 4,FALSE),"")</f>
        <v/>
      </c>
      <c r="V2890" t="str">
        <f>IFERROR(VLOOKUP(B2890,'Pre-Summary'!$Y$6:$AC$83, 5,FALSE),"")</f>
        <v/>
      </c>
      <c r="W2890" s="45" t="str">
        <f>IFERROR(VLOOKUP(B2890,'Pre-Summary'!$Y$6:$AD$83,6,FALSE),"")</f>
        <v/>
      </c>
      <c r="X2890" t="str">
        <f>IFERROR(VLOOKUP('Pre-Summary'!$DB$6:$DD$63,3,FALSE),"")</f>
        <v/>
      </c>
      <c r="Y2890" t="str">
        <f>IFERROR(VLOOKUP(B2890,'Pre-Summary'!$CR$6:$CT$36,3,FALSE),"")</f>
        <v/>
      </c>
      <c r="Z2890" s="45" t="str">
        <f>IFERROR(VLOOKUP(B2890,'Pre-Summary'!$BZ$6:$CB$63,2,FALSE),"")</f>
        <v/>
      </c>
      <c r="AA2890" s="45" t="str">
        <f>IFERROR(VLOOKUP(B2890,'Pre-Summary'!$CG$6:$CI$70,2,FALSE),"")</f>
        <v/>
      </c>
      <c r="AB2890" s="99">
        <f>IFERROR(VLOOKUP(B2890,'Pre-Summary'!$A$6:$P$178,9,FALSE),AB2891)</f>
        <v>0.7010379290946207</v>
      </c>
      <c r="AC2890" s="10">
        <f>IFERROR(VLOOKUP(Summary!B2890,'Pre-Summary'!$A$6:$P$184,5, FALSE)/100,AC2891)</f>
        <v>0.92607166666666674</v>
      </c>
      <c r="AD2890" s="10">
        <f>IFERROR(VLOOKUP(Summary!B2890,'Pre-Summary'!$A$6:$P$184,3, FALSE)/100,AD2891)</f>
        <v>5.4963666666666668E-2</v>
      </c>
      <c r="AE2890" s="10">
        <f>IFERROR(VLOOKUP(Summary!B2890,'Pre-Summary'!$A$6:$P$184,7, FALSE)/100,AE2891)</f>
        <v>1.8946666666666667E-2</v>
      </c>
      <c r="AF2890" s="99">
        <f t="shared" si="136"/>
        <v>3.8531615055447034E-2</v>
      </c>
      <c r="AG2890" s="99">
        <f t="shared" si="137"/>
        <v>1.3282331963246082E-2</v>
      </c>
      <c r="AH2890" s="10" t="str">
        <f>IFERROR(VLOOKUP(B2890,'Pre-Summary'!$AZ$6:$BE$65,3,FALSE),"")</f>
        <v/>
      </c>
      <c r="AI2890" s="10" t="str">
        <f>IFERROR(VLOOKUP(B2890,'Pre-Summary'!$AZ$6:$BE$65,5,FALSE),"")</f>
        <v/>
      </c>
      <c r="AJ2890" s="10" t="str">
        <f>IFERROR(VLOOKUP(B2890,'Pre-Summary'!$AZ$6:$BE$65,4,FALSE),"")</f>
        <v/>
      </c>
      <c r="AK2890" s="10" t="str">
        <f>IFERROR(VLOOKUP(B2890,'Pre-Summary'!$AZ$6:$BE$65,6,FALSE),"")</f>
        <v/>
      </c>
      <c r="AL2890" s="10" t="str">
        <f>IFERROR(VLOOKUP(B2890,'Pre-Summary'!$BG$6:$BL$44,3,FALSE),"")</f>
        <v/>
      </c>
      <c r="AM2890" s="10" t="str">
        <f>IFERROR(VLOOKUP(B2890,'Pre-Summary'!$BG$6:$BL$44,4,FALSE),"")</f>
        <v/>
      </c>
    </row>
    <row r="2891" spans="2:39" ht="15" customHeight="1" x14ac:dyDescent="0.3">
      <c r="B2891">
        <v>288.8</v>
      </c>
      <c r="C2891" t="str">
        <f>IFERROR(VLOOKUP(B2891,'Pre-Summary'!$DI$6:$DM$23,4,FALSE),"")</f>
        <v/>
      </c>
      <c r="D2891" s="10" t="str">
        <f>IFERROR(VLOOKUP(B2891,'Pre-Summary'!$AT$6:$AX$14,5,FALSE),D2890)</f>
        <v>Wolfe v3: went back to modified wolfe + EDTA and switched CuSO4 to CUCl2</v>
      </c>
      <c r="E2891" s="10" t="str">
        <f>IFERROR(VLOOKUP(B2891,'Pre-Summary'!$AT$6:$AX$15,4,FALSE),"")</f>
        <v/>
      </c>
      <c r="F2891">
        <f>IFERROR(VLOOKUP(B2891,'Pre-Summary'!$AL$6:$AQ$13,6,FALSE),F2890)</f>
        <v>5.9405263157894746E-2</v>
      </c>
      <c r="G2891" t="str">
        <f>IFERROR(VLOOKUP(B2891,'Pre-Summary'!$AE$6:$AJ$85,3,FALSE),"")</f>
        <v/>
      </c>
      <c r="H2891" t="str">
        <f>IFERROR(VLOOKUP(B2891,'Pre-Summary'!$AE$6:$AJ$85,4,FALSE),"")</f>
        <v/>
      </c>
      <c r="I2891" t="str">
        <f>IFERROR(VLOOKUP(B2891,'Pre-Summary'!$AE$6:$AJ$85,5,FALSE),"")</f>
        <v/>
      </c>
      <c r="J2891" s="45" t="str">
        <f>IFERROR(VLOOKUP(B2891,'Pre-Summary'!$AE$6:$AJ$85,6, FALSE),"")</f>
        <v/>
      </c>
      <c r="K2891" s="45" t="str">
        <f>IFERROR(VLOOKUP(B2891,'Pre-Summary'!$DE$6:$DG$61,3,FALSE),"")</f>
        <v/>
      </c>
      <c r="L2891" s="45" t="str">
        <f>IFERROR(VLOOKUP(B2891,'Pre-Summary'!$CU$6:$CW$36,3,FALSE),"")</f>
        <v/>
      </c>
      <c r="M2891" s="45" t="str">
        <f>IFERROR(VLOOKUP(B2891,'Pre-Summary'!$BW$6:$BY$58,2,FALSE),"")</f>
        <v/>
      </c>
      <c r="N2891" s="45" t="str">
        <f>IFERROR(VLOOKUP(B2891,'Pre-Summary'!$CD$6:$CF$64,2,FALSE),"")</f>
        <v/>
      </c>
      <c r="O2891" s="99">
        <f>IFERROR(VLOOKUP(B2891,'Pre-Summary'!$BO$6:$BQ$48,3, FALSE),O2890)</f>
        <v>2.77</v>
      </c>
      <c r="P2891" s="99">
        <f>IFERROR(VLOOKUP(B2891,'Pre-Summary'!$BS$6:$BU$35,3,FALSE),P2890)</f>
        <v>0.70099999999999996</v>
      </c>
      <c r="Q2891" s="54">
        <f t="shared" si="135"/>
        <v>3.9514978601997148</v>
      </c>
      <c r="R2891" s="53">
        <f>IFERROR(VLOOKUP(B2891,'Pre-Summary'!$BG$6:$BM$44,7,FALSE),R2892)</f>
        <v>0.1043586561898026</v>
      </c>
      <c r="S2891" s="53">
        <f>IFERROR(VLOOKUP(B2891,'Pre-Summary'!$BG$6:$BM$44,6,FALSE),S2892)</f>
        <v>0.10140000000009444</v>
      </c>
      <c r="T2891" s="45" t="str">
        <f>IFERROR(VLOOKUP(B2891,'Pre-Summary'!$Y$6:$AC$83, 3,FALSE),"")</f>
        <v/>
      </c>
      <c r="U2891" s="45" t="str">
        <f>IFERROR(VLOOKUP(B2891,'Pre-Summary'!$Y$6:$AC$83, 4,FALSE),"")</f>
        <v/>
      </c>
      <c r="V2891" t="str">
        <f>IFERROR(VLOOKUP(B2891,'Pre-Summary'!$Y$6:$AC$83, 5,FALSE),"")</f>
        <v/>
      </c>
      <c r="W2891" s="45" t="str">
        <f>IFERROR(VLOOKUP(B2891,'Pre-Summary'!$Y$6:$AD$83,6,FALSE),"")</f>
        <v/>
      </c>
      <c r="X2891" t="str">
        <f>IFERROR(VLOOKUP('Pre-Summary'!$DB$6:$DD$63,3,FALSE),"")</f>
        <v/>
      </c>
      <c r="Y2891" t="str">
        <f>IFERROR(VLOOKUP(B2891,'Pre-Summary'!$CR$6:$CT$36,3,FALSE),"")</f>
        <v/>
      </c>
      <c r="Z2891" s="45" t="str">
        <f>IFERROR(VLOOKUP(B2891,'Pre-Summary'!$BZ$6:$CB$63,2,FALSE),"")</f>
        <v/>
      </c>
      <c r="AA2891" s="45" t="str">
        <f>IFERROR(VLOOKUP(B2891,'Pre-Summary'!$CG$6:$CI$70,2,FALSE),"")</f>
        <v/>
      </c>
      <c r="AB2891" s="99">
        <f>IFERROR(VLOOKUP(B2891,'Pre-Summary'!$A$6:$P$178,9,FALSE),AB2892)</f>
        <v>0.7010379290946207</v>
      </c>
      <c r="AC2891" s="10">
        <f>IFERROR(VLOOKUP(Summary!B2891,'Pre-Summary'!$A$6:$P$184,5, FALSE)/100,AC2892)</f>
        <v>0.92607166666666674</v>
      </c>
      <c r="AD2891" s="10">
        <f>IFERROR(VLOOKUP(Summary!B2891,'Pre-Summary'!$A$6:$P$184,3, FALSE)/100,AD2892)</f>
        <v>5.4963666666666668E-2</v>
      </c>
      <c r="AE2891" s="10">
        <f>IFERROR(VLOOKUP(Summary!B2891,'Pre-Summary'!$A$6:$P$184,7, FALSE)/100,AE2892)</f>
        <v>1.8946666666666667E-2</v>
      </c>
      <c r="AF2891" s="99">
        <f t="shared" si="136"/>
        <v>3.8531615055447034E-2</v>
      </c>
      <c r="AG2891" s="99">
        <f t="shared" si="137"/>
        <v>1.3282331963246082E-2</v>
      </c>
      <c r="AH2891" s="10" t="str">
        <f>IFERROR(VLOOKUP(B2891,'Pre-Summary'!$AZ$6:$BE$65,3,FALSE),"")</f>
        <v/>
      </c>
      <c r="AI2891" s="10" t="str">
        <f>IFERROR(VLOOKUP(B2891,'Pre-Summary'!$AZ$6:$BE$65,5,FALSE),"")</f>
        <v/>
      </c>
      <c r="AJ2891" s="10" t="str">
        <f>IFERROR(VLOOKUP(B2891,'Pre-Summary'!$AZ$6:$BE$65,4,FALSE),"")</f>
        <v/>
      </c>
      <c r="AK2891" s="10" t="str">
        <f>IFERROR(VLOOKUP(B2891,'Pre-Summary'!$AZ$6:$BE$65,6,FALSE),"")</f>
        <v/>
      </c>
      <c r="AL2891" s="10" t="str">
        <f>IFERROR(VLOOKUP(B2891,'Pre-Summary'!$BG$6:$BL$44,3,FALSE),"")</f>
        <v/>
      </c>
      <c r="AM2891" s="10" t="str">
        <f>IFERROR(VLOOKUP(B2891,'Pre-Summary'!$BG$6:$BL$44,4,FALSE),"")</f>
        <v/>
      </c>
    </row>
    <row r="2892" spans="2:39" ht="15" customHeight="1" x14ac:dyDescent="0.3">
      <c r="B2892">
        <v>288.89999999999998</v>
      </c>
      <c r="C2892" t="str">
        <f>IFERROR(VLOOKUP(B2892,'Pre-Summary'!$DI$6:$DM$23,4,FALSE),"")</f>
        <v/>
      </c>
      <c r="D2892" s="10" t="str">
        <f>IFERROR(VLOOKUP(B2892,'Pre-Summary'!$AT$6:$AX$14,5,FALSE),D2891)</f>
        <v>Wolfe v3: went back to modified wolfe + EDTA and switched CuSO4 to CUCl2</v>
      </c>
      <c r="E2892" s="10" t="str">
        <f>IFERROR(VLOOKUP(B2892,'Pre-Summary'!$AT$6:$AX$15,4,FALSE),"")</f>
        <v/>
      </c>
      <c r="F2892">
        <f>IFERROR(VLOOKUP(B2892,'Pre-Summary'!$AL$6:$AQ$13,6,FALSE),F2891)</f>
        <v>5.9405263157894746E-2</v>
      </c>
      <c r="G2892" t="str">
        <f>IFERROR(VLOOKUP(B2892,'Pre-Summary'!$AE$6:$AJ$85,3,FALSE),"")</f>
        <v/>
      </c>
      <c r="H2892" t="str">
        <f>IFERROR(VLOOKUP(B2892,'Pre-Summary'!$AE$6:$AJ$85,4,FALSE),"")</f>
        <v/>
      </c>
      <c r="I2892" t="str">
        <f>IFERROR(VLOOKUP(B2892,'Pre-Summary'!$AE$6:$AJ$85,5,FALSE),"")</f>
        <v/>
      </c>
      <c r="J2892" s="45" t="str">
        <f>IFERROR(VLOOKUP(B2892,'Pre-Summary'!$AE$6:$AJ$85,6, FALSE),"")</f>
        <v/>
      </c>
      <c r="K2892" s="45" t="str">
        <f>IFERROR(VLOOKUP(B2892,'Pre-Summary'!$DE$6:$DG$61,3,FALSE),"")</f>
        <v/>
      </c>
      <c r="L2892" s="45" t="str">
        <f>IFERROR(VLOOKUP(B2892,'Pre-Summary'!$CU$6:$CW$36,3,FALSE),"")</f>
        <v/>
      </c>
      <c r="M2892" s="45" t="str">
        <f>IFERROR(VLOOKUP(B2892,'Pre-Summary'!$BW$6:$BY$58,2,FALSE),"")</f>
        <v/>
      </c>
      <c r="N2892" s="45" t="str">
        <f>IFERROR(VLOOKUP(B2892,'Pre-Summary'!$CD$6:$CF$64,2,FALSE),"")</f>
        <v/>
      </c>
      <c r="O2892" s="99">
        <f>IFERROR(VLOOKUP(B2892,'Pre-Summary'!$BO$6:$BQ$48,3, FALSE),O2891)</f>
        <v>2.77</v>
      </c>
      <c r="P2892" s="99">
        <f>IFERROR(VLOOKUP(B2892,'Pre-Summary'!$BS$6:$BU$35,3,FALSE),P2891)</f>
        <v>0.70099999999999996</v>
      </c>
      <c r="Q2892" s="54">
        <f t="shared" si="135"/>
        <v>3.9514978601997148</v>
      </c>
      <c r="R2892" s="53">
        <f>IFERROR(VLOOKUP(B2892,'Pre-Summary'!$BG$6:$BM$44,7,FALSE),R2893)</f>
        <v>0.1043586561898026</v>
      </c>
      <c r="S2892" s="53">
        <f>IFERROR(VLOOKUP(B2892,'Pre-Summary'!$BG$6:$BM$44,6,FALSE),S2893)</f>
        <v>0.10140000000009444</v>
      </c>
      <c r="T2892" s="45" t="str">
        <f>IFERROR(VLOOKUP(B2892,'Pre-Summary'!$Y$6:$AC$83, 3,FALSE),"")</f>
        <v/>
      </c>
      <c r="U2892" s="45" t="str">
        <f>IFERROR(VLOOKUP(B2892,'Pre-Summary'!$Y$6:$AC$83, 4,FALSE),"")</f>
        <v/>
      </c>
      <c r="V2892" t="str">
        <f>IFERROR(VLOOKUP(B2892,'Pre-Summary'!$Y$6:$AC$83, 5,FALSE),"")</f>
        <v/>
      </c>
      <c r="W2892" s="45" t="str">
        <f>IFERROR(VLOOKUP(B2892,'Pre-Summary'!$Y$6:$AD$83,6,FALSE),"")</f>
        <v/>
      </c>
      <c r="X2892" t="str">
        <f>IFERROR(VLOOKUP('Pre-Summary'!$DB$6:$DD$63,3,FALSE),"")</f>
        <v/>
      </c>
      <c r="Y2892" t="str">
        <f>IFERROR(VLOOKUP(B2892,'Pre-Summary'!$CR$6:$CT$36,3,FALSE),"")</f>
        <v/>
      </c>
      <c r="Z2892" s="45" t="str">
        <f>IFERROR(VLOOKUP(B2892,'Pre-Summary'!$BZ$6:$CB$63,2,FALSE),"")</f>
        <v/>
      </c>
      <c r="AA2892" s="45" t="str">
        <f>IFERROR(VLOOKUP(B2892,'Pre-Summary'!$CG$6:$CI$70,2,FALSE),"")</f>
        <v/>
      </c>
      <c r="AB2892" s="99">
        <f>IFERROR(VLOOKUP(B2892,'Pre-Summary'!$A$6:$P$178,9,FALSE),AB2893)</f>
        <v>0.7010379290946207</v>
      </c>
      <c r="AC2892" s="10">
        <f>IFERROR(VLOOKUP(Summary!B2892,'Pre-Summary'!$A$6:$P$184,5, FALSE)/100,AC2893)</f>
        <v>0.92607166666666674</v>
      </c>
      <c r="AD2892" s="10">
        <f>IFERROR(VLOOKUP(Summary!B2892,'Pre-Summary'!$A$6:$P$184,3, FALSE)/100,AD2893)</f>
        <v>5.4963666666666668E-2</v>
      </c>
      <c r="AE2892" s="10">
        <f>IFERROR(VLOOKUP(Summary!B2892,'Pre-Summary'!$A$6:$P$184,7, FALSE)/100,AE2893)</f>
        <v>1.8946666666666667E-2</v>
      </c>
      <c r="AF2892" s="99">
        <f t="shared" si="136"/>
        <v>3.8531615055447034E-2</v>
      </c>
      <c r="AG2892" s="99">
        <f t="shared" si="137"/>
        <v>1.3282331963246082E-2</v>
      </c>
      <c r="AH2892" s="10" t="str">
        <f>IFERROR(VLOOKUP(B2892,'Pre-Summary'!$AZ$6:$BE$65,3,FALSE),"")</f>
        <v/>
      </c>
      <c r="AI2892" s="10" t="str">
        <f>IFERROR(VLOOKUP(B2892,'Pre-Summary'!$AZ$6:$BE$65,5,FALSE),"")</f>
        <v/>
      </c>
      <c r="AJ2892" s="10" t="str">
        <f>IFERROR(VLOOKUP(B2892,'Pre-Summary'!$AZ$6:$BE$65,4,FALSE),"")</f>
        <v/>
      </c>
      <c r="AK2892" s="10" t="str">
        <f>IFERROR(VLOOKUP(B2892,'Pre-Summary'!$AZ$6:$BE$65,6,FALSE),"")</f>
        <v/>
      </c>
      <c r="AL2892" s="10" t="str">
        <f>IFERROR(VLOOKUP(B2892,'Pre-Summary'!$BG$6:$BL$44,3,FALSE),"")</f>
        <v/>
      </c>
      <c r="AM2892" s="10" t="str">
        <f>IFERROR(VLOOKUP(B2892,'Pre-Summary'!$BG$6:$BL$44,4,FALSE),"")</f>
        <v/>
      </c>
    </row>
    <row r="2893" spans="2:39" ht="15" customHeight="1" x14ac:dyDescent="0.3">
      <c r="B2893">
        <v>289</v>
      </c>
      <c r="C2893" t="str">
        <f>IFERROR(VLOOKUP(B2893,'Pre-Summary'!$DI$6:$DM$23,4,FALSE),"")</f>
        <v/>
      </c>
      <c r="D2893" s="10" t="str">
        <f>IFERROR(VLOOKUP(B2893,'Pre-Summary'!$AT$6:$AX$14,5,FALSE),D2892)</f>
        <v>Wolfe v3: went back to modified wolfe + EDTA and switched CuSO4 to CUCl2</v>
      </c>
      <c r="E2893" s="10" t="str">
        <f>IFERROR(VLOOKUP(B2893,'Pre-Summary'!$AT$6:$AX$15,4,FALSE),"")</f>
        <v/>
      </c>
      <c r="F2893">
        <f>IFERROR(VLOOKUP(B2893,'Pre-Summary'!$AL$6:$AQ$13,6,FALSE),F2892)</f>
        <v>5.9405263157894746E-2</v>
      </c>
      <c r="G2893" t="str">
        <f>IFERROR(VLOOKUP(B2893,'Pre-Summary'!$AE$6:$AJ$85,3,FALSE),"")</f>
        <v/>
      </c>
      <c r="H2893" t="str">
        <f>IFERROR(VLOOKUP(B2893,'Pre-Summary'!$AE$6:$AJ$85,4,FALSE),"")</f>
        <v/>
      </c>
      <c r="I2893" t="str">
        <f>IFERROR(VLOOKUP(B2893,'Pre-Summary'!$AE$6:$AJ$85,5,FALSE),"")</f>
        <v/>
      </c>
      <c r="J2893" s="45" t="str">
        <f>IFERROR(VLOOKUP(B2893,'Pre-Summary'!$AE$6:$AJ$85,6, FALSE),"")</f>
        <v/>
      </c>
      <c r="K2893" s="45" t="str">
        <f>IFERROR(VLOOKUP(B2893,'Pre-Summary'!$DE$6:$DG$61,3,FALSE),"")</f>
        <v/>
      </c>
      <c r="L2893" s="45" t="str">
        <f>IFERROR(VLOOKUP(B2893,'Pre-Summary'!$CU$6:$CW$36,3,FALSE),"")</f>
        <v/>
      </c>
      <c r="M2893" s="45" t="str">
        <f>IFERROR(VLOOKUP(B2893,'Pre-Summary'!$BW$6:$BY$58,2,FALSE),"")</f>
        <v/>
      </c>
      <c r="N2893" s="45" t="str">
        <f>IFERROR(VLOOKUP(B2893,'Pre-Summary'!$CD$6:$CF$64,2,FALSE),"")</f>
        <v/>
      </c>
      <c r="O2893" s="99">
        <f>IFERROR(VLOOKUP(B2893,'Pre-Summary'!$BO$6:$BQ$48,3, FALSE),O2892)</f>
        <v>2.77</v>
      </c>
      <c r="P2893" s="99">
        <f>IFERROR(VLOOKUP(B2893,'Pre-Summary'!$BS$6:$BU$35,3,FALSE),P2892)</f>
        <v>0.70099999999999996</v>
      </c>
      <c r="Q2893" s="54">
        <f t="shared" si="135"/>
        <v>3.9514978601997148</v>
      </c>
      <c r="R2893" s="53">
        <f>IFERROR(VLOOKUP(B2893,'Pre-Summary'!$BG$6:$BM$44,7,FALSE),R2894)</f>
        <v>0.1043586561898026</v>
      </c>
      <c r="S2893" s="53">
        <f>IFERROR(VLOOKUP(B2893,'Pre-Summary'!$BG$6:$BM$44,6,FALSE),S2894)</f>
        <v>0.10140000000009444</v>
      </c>
      <c r="T2893" s="45" t="str">
        <f>IFERROR(VLOOKUP(B2893,'Pre-Summary'!$Y$6:$AC$83, 3,FALSE),"")</f>
        <v/>
      </c>
      <c r="U2893" s="45" t="str">
        <f>IFERROR(VLOOKUP(B2893,'Pre-Summary'!$Y$6:$AC$83, 4,FALSE),"")</f>
        <v/>
      </c>
      <c r="V2893" t="str">
        <f>IFERROR(VLOOKUP(B2893,'Pre-Summary'!$Y$6:$AC$83, 5,FALSE),"")</f>
        <v/>
      </c>
      <c r="W2893" s="45" t="str">
        <f>IFERROR(VLOOKUP(B2893,'Pre-Summary'!$Y$6:$AD$83,6,FALSE),"")</f>
        <v/>
      </c>
      <c r="X2893" t="str">
        <f>IFERROR(VLOOKUP('Pre-Summary'!$DB$6:$DD$63,3,FALSE),"")</f>
        <v/>
      </c>
      <c r="Y2893" t="str">
        <f>IFERROR(VLOOKUP(B2893,'Pre-Summary'!$CR$6:$CT$36,3,FALSE),"")</f>
        <v/>
      </c>
      <c r="Z2893" s="45" t="str">
        <f>IFERROR(VLOOKUP(B2893,'Pre-Summary'!$BZ$6:$CB$63,2,FALSE),"")</f>
        <v/>
      </c>
      <c r="AA2893" s="45" t="str">
        <f>IFERROR(VLOOKUP(B2893,'Pre-Summary'!$CG$6:$CI$70,2,FALSE),"")</f>
        <v/>
      </c>
      <c r="AB2893" s="99">
        <f>IFERROR(VLOOKUP(B2893,'Pre-Summary'!$A$6:$P$178,9,FALSE),AB2894)</f>
        <v>0.7010379290946207</v>
      </c>
      <c r="AC2893" s="10">
        <f>IFERROR(VLOOKUP(Summary!B2893,'Pre-Summary'!$A$6:$P$184,5, FALSE)/100,AC2894)</f>
        <v>0.92607166666666674</v>
      </c>
      <c r="AD2893" s="10">
        <f>IFERROR(VLOOKUP(Summary!B2893,'Pre-Summary'!$A$6:$P$184,3, FALSE)/100,AD2894)</f>
        <v>5.4963666666666668E-2</v>
      </c>
      <c r="AE2893" s="10">
        <f>IFERROR(VLOOKUP(Summary!B2893,'Pre-Summary'!$A$6:$P$184,7, FALSE)/100,AE2894)</f>
        <v>1.8946666666666667E-2</v>
      </c>
      <c r="AF2893" s="99">
        <f t="shared" si="136"/>
        <v>3.8531615055447034E-2</v>
      </c>
      <c r="AG2893" s="99">
        <f t="shared" si="137"/>
        <v>1.3282331963246082E-2</v>
      </c>
      <c r="AH2893" s="10" t="str">
        <f>IFERROR(VLOOKUP(B2893,'Pre-Summary'!$AZ$6:$BE$65,3,FALSE),"")</f>
        <v/>
      </c>
      <c r="AI2893" s="10" t="str">
        <f>IFERROR(VLOOKUP(B2893,'Pre-Summary'!$AZ$6:$BE$65,5,FALSE),"")</f>
        <v/>
      </c>
      <c r="AJ2893" s="10" t="str">
        <f>IFERROR(VLOOKUP(B2893,'Pre-Summary'!$AZ$6:$BE$65,4,FALSE),"")</f>
        <v/>
      </c>
      <c r="AK2893" s="10" t="str">
        <f>IFERROR(VLOOKUP(B2893,'Pre-Summary'!$AZ$6:$BE$65,6,FALSE),"")</f>
        <v/>
      </c>
      <c r="AL2893" s="10" t="str">
        <f>IFERROR(VLOOKUP(B2893,'Pre-Summary'!$BG$6:$BL$44,3,FALSE),"")</f>
        <v/>
      </c>
      <c r="AM2893" s="10" t="str">
        <f>IFERROR(VLOOKUP(B2893,'Pre-Summary'!$BG$6:$BL$44,4,FALSE),"")</f>
        <v/>
      </c>
    </row>
    <row r="2894" spans="2:39" ht="15" customHeight="1" x14ac:dyDescent="0.3">
      <c r="B2894">
        <v>289.10000000000002</v>
      </c>
      <c r="C2894" t="str">
        <f>IFERROR(VLOOKUP(B2894,'Pre-Summary'!$DI$6:$DM$23,4,FALSE),"")</f>
        <v/>
      </c>
      <c r="D2894" s="10" t="str">
        <f>IFERROR(VLOOKUP(B2894,'Pre-Summary'!$AT$6:$AX$14,5,FALSE),D2893)</f>
        <v>Wolfe v3: went back to modified wolfe + EDTA and switched CuSO4 to CUCl2</v>
      </c>
      <c r="E2894" s="10" t="str">
        <f>IFERROR(VLOOKUP(B2894,'Pre-Summary'!$AT$6:$AX$15,4,FALSE),"")</f>
        <v/>
      </c>
      <c r="F2894">
        <f>IFERROR(VLOOKUP(B2894,'Pre-Summary'!$AL$6:$AQ$13,6,FALSE),F2893)</f>
        <v>5.9405263157894746E-2</v>
      </c>
      <c r="G2894" t="str">
        <f>IFERROR(VLOOKUP(B2894,'Pre-Summary'!$AE$6:$AJ$85,3,FALSE),"")</f>
        <v/>
      </c>
      <c r="H2894" t="str">
        <f>IFERROR(VLOOKUP(B2894,'Pre-Summary'!$AE$6:$AJ$85,4,FALSE),"")</f>
        <v/>
      </c>
      <c r="I2894" t="str">
        <f>IFERROR(VLOOKUP(B2894,'Pre-Summary'!$AE$6:$AJ$85,5,FALSE),"")</f>
        <v/>
      </c>
      <c r="J2894" s="45" t="str">
        <f>IFERROR(VLOOKUP(B2894,'Pre-Summary'!$AE$6:$AJ$85,6, FALSE),"")</f>
        <v/>
      </c>
      <c r="K2894" s="45" t="str">
        <f>IFERROR(VLOOKUP(B2894,'Pre-Summary'!$DE$6:$DG$61,3,FALSE),"")</f>
        <v/>
      </c>
      <c r="L2894" s="45" t="str">
        <f>IFERROR(VLOOKUP(B2894,'Pre-Summary'!$CU$6:$CW$36,3,FALSE),"")</f>
        <v/>
      </c>
      <c r="M2894" s="45" t="str">
        <f>IFERROR(VLOOKUP(B2894,'Pre-Summary'!$BW$6:$BY$58,2,FALSE),"")</f>
        <v/>
      </c>
      <c r="N2894" s="45" t="str">
        <f>IFERROR(VLOOKUP(B2894,'Pre-Summary'!$CD$6:$CF$64,2,FALSE),"")</f>
        <v/>
      </c>
      <c r="O2894" s="99">
        <f>IFERROR(VLOOKUP(B2894,'Pre-Summary'!$BO$6:$BQ$48,3, FALSE),O2893)</f>
        <v>2.77</v>
      </c>
      <c r="P2894" s="99">
        <f>IFERROR(VLOOKUP(B2894,'Pre-Summary'!$BS$6:$BU$35,3,FALSE),P2893)</f>
        <v>0.70099999999999996</v>
      </c>
      <c r="Q2894" s="54">
        <f t="shared" si="135"/>
        <v>3.9514978601997148</v>
      </c>
      <c r="R2894" s="53">
        <f>IFERROR(VLOOKUP(B2894,'Pre-Summary'!$BG$6:$BM$44,7,FALSE),R2895)</f>
        <v>0.1043586561898026</v>
      </c>
      <c r="S2894" s="53">
        <f>IFERROR(VLOOKUP(B2894,'Pre-Summary'!$BG$6:$BM$44,6,FALSE),S2895)</f>
        <v>0.10140000000009444</v>
      </c>
      <c r="T2894" s="45" t="str">
        <f>IFERROR(VLOOKUP(B2894,'Pre-Summary'!$Y$6:$AC$83, 3,FALSE),"")</f>
        <v/>
      </c>
      <c r="U2894" s="45" t="str">
        <f>IFERROR(VLOOKUP(B2894,'Pre-Summary'!$Y$6:$AC$83, 4,FALSE),"")</f>
        <v/>
      </c>
      <c r="V2894" t="str">
        <f>IFERROR(VLOOKUP(B2894,'Pre-Summary'!$Y$6:$AC$83, 5,FALSE),"")</f>
        <v/>
      </c>
      <c r="W2894" s="45" t="str">
        <f>IFERROR(VLOOKUP(B2894,'Pre-Summary'!$Y$6:$AD$83,6,FALSE),"")</f>
        <v/>
      </c>
      <c r="X2894" t="str">
        <f>IFERROR(VLOOKUP('Pre-Summary'!$DB$6:$DD$63,3,FALSE),"")</f>
        <v/>
      </c>
      <c r="Y2894" t="str">
        <f>IFERROR(VLOOKUP(B2894,'Pre-Summary'!$CR$6:$CT$36,3,FALSE),"")</f>
        <v/>
      </c>
      <c r="Z2894" s="45" t="str">
        <f>IFERROR(VLOOKUP(B2894,'Pre-Summary'!$BZ$6:$CB$63,2,FALSE),"")</f>
        <v/>
      </c>
      <c r="AA2894" s="45" t="str">
        <f>IFERROR(VLOOKUP(B2894,'Pre-Summary'!$CG$6:$CI$70,2,FALSE),"")</f>
        <v/>
      </c>
      <c r="AB2894" s="99">
        <f>IFERROR(VLOOKUP(B2894,'Pre-Summary'!$A$6:$P$178,9,FALSE),AB2895)</f>
        <v>0.7010379290946207</v>
      </c>
      <c r="AC2894" s="10">
        <f>IFERROR(VLOOKUP(Summary!B2894,'Pre-Summary'!$A$6:$P$184,5, FALSE)/100,AC2895)</f>
        <v>0.92607166666666674</v>
      </c>
      <c r="AD2894" s="10">
        <f>IFERROR(VLOOKUP(Summary!B2894,'Pre-Summary'!$A$6:$P$184,3, FALSE)/100,AD2895)</f>
        <v>5.4963666666666668E-2</v>
      </c>
      <c r="AE2894" s="10">
        <f>IFERROR(VLOOKUP(Summary!B2894,'Pre-Summary'!$A$6:$P$184,7, FALSE)/100,AE2895)</f>
        <v>1.8946666666666667E-2</v>
      </c>
      <c r="AF2894" s="99">
        <f t="shared" si="136"/>
        <v>3.8531615055447034E-2</v>
      </c>
      <c r="AG2894" s="99">
        <f t="shared" si="137"/>
        <v>1.3282331963246082E-2</v>
      </c>
      <c r="AH2894" s="10" t="str">
        <f>IFERROR(VLOOKUP(B2894,'Pre-Summary'!$AZ$6:$BE$65,3,FALSE),"")</f>
        <v/>
      </c>
      <c r="AI2894" s="10" t="str">
        <f>IFERROR(VLOOKUP(B2894,'Pre-Summary'!$AZ$6:$BE$65,5,FALSE),"")</f>
        <v/>
      </c>
      <c r="AJ2894" s="10" t="str">
        <f>IFERROR(VLOOKUP(B2894,'Pre-Summary'!$AZ$6:$BE$65,4,FALSE),"")</f>
        <v/>
      </c>
      <c r="AK2894" s="10" t="str">
        <f>IFERROR(VLOOKUP(B2894,'Pre-Summary'!$AZ$6:$BE$65,6,FALSE),"")</f>
        <v/>
      </c>
      <c r="AL2894" s="10" t="str">
        <f>IFERROR(VLOOKUP(B2894,'Pre-Summary'!$BG$6:$BL$44,3,FALSE),"")</f>
        <v/>
      </c>
      <c r="AM2894" s="10" t="str">
        <f>IFERROR(VLOOKUP(B2894,'Pre-Summary'!$BG$6:$BL$44,4,FALSE),"")</f>
        <v/>
      </c>
    </row>
    <row r="2895" spans="2:39" ht="15" customHeight="1" x14ac:dyDescent="0.3">
      <c r="B2895">
        <v>289.2</v>
      </c>
      <c r="C2895" t="str">
        <f>IFERROR(VLOOKUP(B2895,'Pre-Summary'!$DI$6:$DM$23,4,FALSE),"")</f>
        <v/>
      </c>
      <c r="D2895" s="10" t="str">
        <f>IFERROR(VLOOKUP(B2895,'Pre-Summary'!$AT$6:$AX$14,5,FALSE),D2894)</f>
        <v>Wolfe v3: went back to modified wolfe + EDTA and switched CuSO4 to CUCl2</v>
      </c>
      <c r="E2895" s="10" t="str">
        <f>IFERROR(VLOOKUP(B2895,'Pre-Summary'!$AT$6:$AX$15,4,FALSE),"")</f>
        <v/>
      </c>
      <c r="F2895">
        <f>IFERROR(VLOOKUP(B2895,'Pre-Summary'!$AL$6:$AQ$13,6,FALSE),F2894)</f>
        <v>5.9405263157894746E-2</v>
      </c>
      <c r="G2895" t="str">
        <f>IFERROR(VLOOKUP(B2895,'Pre-Summary'!$AE$6:$AJ$85,3,FALSE),"")</f>
        <v/>
      </c>
      <c r="H2895" t="str">
        <f>IFERROR(VLOOKUP(B2895,'Pre-Summary'!$AE$6:$AJ$85,4,FALSE),"")</f>
        <v/>
      </c>
      <c r="I2895" t="str">
        <f>IFERROR(VLOOKUP(B2895,'Pre-Summary'!$AE$6:$AJ$85,5,FALSE),"")</f>
        <v/>
      </c>
      <c r="J2895" s="45" t="str">
        <f>IFERROR(VLOOKUP(B2895,'Pre-Summary'!$AE$6:$AJ$85,6, FALSE),"")</f>
        <v/>
      </c>
      <c r="K2895" s="45" t="str">
        <f>IFERROR(VLOOKUP(B2895,'Pre-Summary'!$DE$6:$DG$61,3,FALSE),"")</f>
        <v/>
      </c>
      <c r="L2895" s="45" t="str">
        <f>IFERROR(VLOOKUP(B2895,'Pre-Summary'!$CU$6:$CW$36,3,FALSE),"")</f>
        <v/>
      </c>
      <c r="M2895" s="45" t="str">
        <f>IFERROR(VLOOKUP(B2895,'Pre-Summary'!$BW$6:$BY$58,2,FALSE),"")</f>
        <v/>
      </c>
      <c r="N2895" s="45" t="str">
        <f>IFERROR(VLOOKUP(B2895,'Pre-Summary'!$CD$6:$CF$64,2,FALSE),"")</f>
        <v/>
      </c>
      <c r="O2895" s="99">
        <f>IFERROR(VLOOKUP(B2895,'Pre-Summary'!$BO$6:$BQ$48,3, FALSE),O2894)</f>
        <v>2.77</v>
      </c>
      <c r="P2895" s="99">
        <f>IFERROR(VLOOKUP(B2895,'Pre-Summary'!$BS$6:$BU$35,3,FALSE),P2894)</f>
        <v>0.70099999999999996</v>
      </c>
      <c r="Q2895" s="54">
        <f t="shared" si="135"/>
        <v>3.9514978601997148</v>
      </c>
      <c r="R2895" s="53">
        <f>IFERROR(VLOOKUP(B2895,'Pre-Summary'!$BG$6:$BM$44,7,FALSE),R2896)</f>
        <v>0.1043586561898026</v>
      </c>
      <c r="S2895" s="53">
        <f>IFERROR(VLOOKUP(B2895,'Pre-Summary'!$BG$6:$BM$44,6,FALSE),S2896)</f>
        <v>0.10140000000009444</v>
      </c>
      <c r="T2895" s="45" t="str">
        <f>IFERROR(VLOOKUP(B2895,'Pre-Summary'!$Y$6:$AC$83, 3,FALSE),"")</f>
        <v/>
      </c>
      <c r="U2895" s="45" t="str">
        <f>IFERROR(VLOOKUP(B2895,'Pre-Summary'!$Y$6:$AC$83, 4,FALSE),"")</f>
        <v/>
      </c>
      <c r="V2895" t="str">
        <f>IFERROR(VLOOKUP(B2895,'Pre-Summary'!$Y$6:$AC$83, 5,FALSE),"")</f>
        <v/>
      </c>
      <c r="W2895" s="45" t="str">
        <f>IFERROR(VLOOKUP(B2895,'Pre-Summary'!$Y$6:$AD$83,6,FALSE),"")</f>
        <v/>
      </c>
      <c r="X2895" t="str">
        <f>IFERROR(VLOOKUP('Pre-Summary'!$DB$6:$DD$63,3,FALSE),"")</f>
        <v/>
      </c>
      <c r="Y2895" t="str">
        <f>IFERROR(VLOOKUP(B2895,'Pre-Summary'!$CR$6:$CT$36,3,FALSE),"")</f>
        <v/>
      </c>
      <c r="Z2895" s="45" t="str">
        <f>IFERROR(VLOOKUP(B2895,'Pre-Summary'!$BZ$6:$CB$63,2,FALSE),"")</f>
        <v/>
      </c>
      <c r="AA2895" s="45" t="str">
        <f>IFERROR(VLOOKUP(B2895,'Pre-Summary'!$CG$6:$CI$70,2,FALSE),"")</f>
        <v/>
      </c>
      <c r="AB2895" s="99">
        <f>IFERROR(VLOOKUP(B2895,'Pre-Summary'!$A$6:$P$178,9,FALSE),AB2896)</f>
        <v>0.7010379290946207</v>
      </c>
      <c r="AC2895" s="10">
        <f>IFERROR(VLOOKUP(Summary!B2895,'Pre-Summary'!$A$6:$P$184,5, FALSE)/100,AC2896)</f>
        <v>0.92607166666666674</v>
      </c>
      <c r="AD2895" s="10">
        <f>IFERROR(VLOOKUP(Summary!B2895,'Pre-Summary'!$A$6:$P$184,3, FALSE)/100,AD2896)</f>
        <v>5.4963666666666668E-2</v>
      </c>
      <c r="AE2895" s="10">
        <f>IFERROR(VLOOKUP(Summary!B2895,'Pre-Summary'!$A$6:$P$184,7, FALSE)/100,AE2896)</f>
        <v>1.8946666666666667E-2</v>
      </c>
      <c r="AF2895" s="99">
        <f t="shared" si="136"/>
        <v>3.8531615055447034E-2</v>
      </c>
      <c r="AG2895" s="99">
        <f t="shared" si="137"/>
        <v>1.3282331963246082E-2</v>
      </c>
      <c r="AH2895" s="10" t="str">
        <f>IFERROR(VLOOKUP(B2895,'Pre-Summary'!$AZ$6:$BE$65,3,FALSE),"")</f>
        <v/>
      </c>
      <c r="AI2895" s="10" t="str">
        <f>IFERROR(VLOOKUP(B2895,'Pre-Summary'!$AZ$6:$BE$65,5,FALSE),"")</f>
        <v/>
      </c>
      <c r="AJ2895" s="10" t="str">
        <f>IFERROR(VLOOKUP(B2895,'Pre-Summary'!$AZ$6:$BE$65,4,FALSE),"")</f>
        <v/>
      </c>
      <c r="AK2895" s="10" t="str">
        <f>IFERROR(VLOOKUP(B2895,'Pre-Summary'!$AZ$6:$BE$65,6,FALSE),"")</f>
        <v/>
      </c>
      <c r="AL2895" s="10" t="str">
        <f>IFERROR(VLOOKUP(B2895,'Pre-Summary'!$BG$6:$BL$44,3,FALSE),"")</f>
        <v/>
      </c>
      <c r="AM2895" s="10" t="str">
        <f>IFERROR(VLOOKUP(B2895,'Pre-Summary'!$BG$6:$BL$44,4,FALSE),"")</f>
        <v/>
      </c>
    </row>
    <row r="2896" spans="2:39" ht="15" customHeight="1" x14ac:dyDescent="0.3">
      <c r="B2896">
        <v>289.3</v>
      </c>
      <c r="C2896" t="str">
        <f>IFERROR(VLOOKUP(B2896,'Pre-Summary'!$DI$6:$DM$23,4,FALSE),"")</f>
        <v/>
      </c>
      <c r="D2896" s="10" t="str">
        <f>IFERROR(VLOOKUP(B2896,'Pre-Summary'!$AT$6:$AX$14,5,FALSE),D2895)</f>
        <v>Wolfe v3: went back to modified wolfe + EDTA and switched CuSO4 to CUCl2</v>
      </c>
      <c r="E2896" s="10" t="str">
        <f>IFERROR(VLOOKUP(B2896,'Pre-Summary'!$AT$6:$AX$15,4,FALSE),"")</f>
        <v/>
      </c>
      <c r="F2896">
        <f>IFERROR(VLOOKUP(B2896,'Pre-Summary'!$AL$6:$AQ$13,6,FALSE),F2895)</f>
        <v>5.9405263157894746E-2</v>
      </c>
      <c r="G2896" t="str">
        <f>IFERROR(VLOOKUP(B2896,'Pre-Summary'!$AE$6:$AJ$85,3,FALSE),"")</f>
        <v/>
      </c>
      <c r="H2896" t="str">
        <f>IFERROR(VLOOKUP(B2896,'Pre-Summary'!$AE$6:$AJ$85,4,FALSE),"")</f>
        <v/>
      </c>
      <c r="I2896" t="str">
        <f>IFERROR(VLOOKUP(B2896,'Pre-Summary'!$AE$6:$AJ$85,5,FALSE),"")</f>
        <v/>
      </c>
      <c r="J2896" s="45" t="str">
        <f>IFERROR(VLOOKUP(B2896,'Pre-Summary'!$AE$6:$AJ$85,6, FALSE),"")</f>
        <v/>
      </c>
      <c r="K2896" s="45" t="str">
        <f>IFERROR(VLOOKUP(B2896,'Pre-Summary'!$DE$6:$DG$61,3,FALSE),"")</f>
        <v/>
      </c>
      <c r="L2896" s="45" t="str">
        <f>IFERROR(VLOOKUP(B2896,'Pre-Summary'!$CU$6:$CW$36,3,FALSE),"")</f>
        <v/>
      </c>
      <c r="M2896" s="45" t="str">
        <f>IFERROR(VLOOKUP(B2896,'Pre-Summary'!$BW$6:$BY$58,2,FALSE),"")</f>
        <v/>
      </c>
      <c r="N2896" s="45" t="str">
        <f>IFERROR(VLOOKUP(B2896,'Pre-Summary'!$CD$6:$CF$64,2,FALSE),"")</f>
        <v/>
      </c>
      <c r="O2896" s="99">
        <f>IFERROR(VLOOKUP(B2896,'Pre-Summary'!$BO$6:$BQ$48,3, FALSE),O2895)</f>
        <v>2.77</v>
      </c>
      <c r="P2896" s="99">
        <f>IFERROR(VLOOKUP(B2896,'Pre-Summary'!$BS$6:$BU$35,3,FALSE),P2895)</f>
        <v>0.70099999999999996</v>
      </c>
      <c r="Q2896" s="54">
        <f t="shared" si="135"/>
        <v>3.9514978601997148</v>
      </c>
      <c r="R2896" s="53">
        <f>IFERROR(VLOOKUP(B2896,'Pre-Summary'!$BG$6:$BM$44,7,FALSE),R2897)</f>
        <v>0.1043586561898026</v>
      </c>
      <c r="S2896" s="53">
        <f>IFERROR(VLOOKUP(B2896,'Pre-Summary'!$BG$6:$BM$44,6,FALSE),S2897)</f>
        <v>0.10140000000009444</v>
      </c>
      <c r="T2896" s="45" t="str">
        <f>IFERROR(VLOOKUP(B2896,'Pre-Summary'!$Y$6:$AC$83, 3,FALSE),"")</f>
        <v/>
      </c>
      <c r="U2896" s="45" t="str">
        <f>IFERROR(VLOOKUP(B2896,'Pre-Summary'!$Y$6:$AC$83, 4,FALSE),"")</f>
        <v/>
      </c>
      <c r="V2896" t="str">
        <f>IFERROR(VLOOKUP(B2896,'Pre-Summary'!$Y$6:$AC$83, 5,FALSE),"")</f>
        <v/>
      </c>
      <c r="W2896" s="45" t="str">
        <f>IFERROR(VLOOKUP(B2896,'Pre-Summary'!$Y$6:$AD$83,6,FALSE),"")</f>
        <v/>
      </c>
      <c r="X2896" t="str">
        <f>IFERROR(VLOOKUP('Pre-Summary'!$DB$6:$DD$63,3,FALSE),"")</f>
        <v/>
      </c>
      <c r="Y2896" t="str">
        <f>IFERROR(VLOOKUP(B2896,'Pre-Summary'!$CR$6:$CT$36,3,FALSE),"")</f>
        <v/>
      </c>
      <c r="Z2896" s="45" t="str">
        <f>IFERROR(VLOOKUP(B2896,'Pre-Summary'!$BZ$6:$CB$63,2,FALSE),"")</f>
        <v/>
      </c>
      <c r="AA2896" s="45" t="str">
        <f>IFERROR(VLOOKUP(B2896,'Pre-Summary'!$CG$6:$CI$70,2,FALSE),"")</f>
        <v/>
      </c>
      <c r="AB2896" s="99">
        <f>IFERROR(VLOOKUP(B2896,'Pre-Summary'!$A$6:$P$178,9,FALSE),AB2897)</f>
        <v>0.7010379290946207</v>
      </c>
      <c r="AC2896" s="10">
        <f>IFERROR(VLOOKUP(Summary!B2896,'Pre-Summary'!$A$6:$P$184,5, FALSE)/100,AC2897)</f>
        <v>0.92607166666666674</v>
      </c>
      <c r="AD2896" s="10">
        <f>IFERROR(VLOOKUP(Summary!B2896,'Pre-Summary'!$A$6:$P$184,3, FALSE)/100,AD2897)</f>
        <v>5.4963666666666668E-2</v>
      </c>
      <c r="AE2896" s="10">
        <f>IFERROR(VLOOKUP(Summary!B2896,'Pre-Summary'!$A$6:$P$184,7, FALSE)/100,AE2897)</f>
        <v>1.8946666666666667E-2</v>
      </c>
      <c r="AF2896" s="99">
        <f t="shared" si="136"/>
        <v>3.8531615055447034E-2</v>
      </c>
      <c r="AG2896" s="99">
        <f t="shared" si="137"/>
        <v>1.3282331963246082E-2</v>
      </c>
      <c r="AH2896" s="10" t="str">
        <f>IFERROR(VLOOKUP(B2896,'Pre-Summary'!$AZ$6:$BE$65,3,FALSE),"")</f>
        <v/>
      </c>
      <c r="AI2896" s="10" t="str">
        <f>IFERROR(VLOOKUP(B2896,'Pre-Summary'!$AZ$6:$BE$65,5,FALSE),"")</f>
        <v/>
      </c>
      <c r="AJ2896" s="10" t="str">
        <f>IFERROR(VLOOKUP(B2896,'Pre-Summary'!$AZ$6:$BE$65,4,FALSE),"")</f>
        <v/>
      </c>
      <c r="AK2896" s="10" t="str">
        <f>IFERROR(VLOOKUP(B2896,'Pre-Summary'!$AZ$6:$BE$65,6,FALSE),"")</f>
        <v/>
      </c>
      <c r="AL2896" s="10" t="str">
        <f>IFERROR(VLOOKUP(B2896,'Pre-Summary'!$BG$6:$BL$44,3,FALSE),"")</f>
        <v/>
      </c>
      <c r="AM2896" s="10" t="str">
        <f>IFERROR(VLOOKUP(B2896,'Pre-Summary'!$BG$6:$BL$44,4,FALSE),"")</f>
        <v/>
      </c>
    </row>
    <row r="2897" spans="2:39" ht="15" customHeight="1" x14ac:dyDescent="0.3">
      <c r="B2897">
        <v>289.39999999999998</v>
      </c>
      <c r="C2897" t="str">
        <f>IFERROR(VLOOKUP(B2897,'Pre-Summary'!$DI$6:$DM$23,4,FALSE),"")</f>
        <v/>
      </c>
      <c r="D2897" s="10" t="str">
        <f>IFERROR(VLOOKUP(B2897,'Pre-Summary'!$AT$6:$AX$14,5,FALSE),D2896)</f>
        <v>Wolfe v3: went back to modified wolfe + EDTA and switched CuSO4 to CUCl2</v>
      </c>
      <c r="E2897" s="10" t="str">
        <f>IFERROR(VLOOKUP(B2897,'Pre-Summary'!$AT$6:$AX$15,4,FALSE),"")</f>
        <v/>
      </c>
      <c r="F2897">
        <f>IFERROR(VLOOKUP(B2897,'Pre-Summary'!$AL$6:$AQ$13,6,FALSE),F2896)</f>
        <v>5.9405263157894746E-2</v>
      </c>
      <c r="G2897" t="str">
        <f>IFERROR(VLOOKUP(B2897,'Pre-Summary'!$AE$6:$AJ$85,3,FALSE),"")</f>
        <v/>
      </c>
      <c r="H2897" t="str">
        <f>IFERROR(VLOOKUP(B2897,'Pre-Summary'!$AE$6:$AJ$85,4,FALSE),"")</f>
        <v/>
      </c>
      <c r="I2897" t="str">
        <f>IFERROR(VLOOKUP(B2897,'Pre-Summary'!$AE$6:$AJ$85,5,FALSE),"")</f>
        <v/>
      </c>
      <c r="J2897" s="45" t="str">
        <f>IFERROR(VLOOKUP(B2897,'Pre-Summary'!$AE$6:$AJ$85,6, FALSE),"")</f>
        <v/>
      </c>
      <c r="K2897" s="45" t="str">
        <f>IFERROR(VLOOKUP(B2897,'Pre-Summary'!$DE$6:$DG$61,3,FALSE),"")</f>
        <v/>
      </c>
      <c r="L2897" s="45" t="str">
        <f>IFERROR(VLOOKUP(B2897,'Pre-Summary'!$CU$6:$CW$36,3,FALSE),"")</f>
        <v/>
      </c>
      <c r="M2897" s="45" t="str">
        <f>IFERROR(VLOOKUP(B2897,'Pre-Summary'!$BW$6:$BY$58,2,FALSE),"")</f>
        <v/>
      </c>
      <c r="N2897" s="45" t="str">
        <f>IFERROR(VLOOKUP(B2897,'Pre-Summary'!$CD$6:$CF$64,2,FALSE),"")</f>
        <v/>
      </c>
      <c r="O2897" s="99">
        <f>IFERROR(VLOOKUP(B2897,'Pre-Summary'!$BO$6:$BQ$48,3, FALSE),O2896)</f>
        <v>2.77</v>
      </c>
      <c r="P2897" s="99">
        <f>IFERROR(VLOOKUP(B2897,'Pre-Summary'!$BS$6:$BU$35,3,FALSE),P2896)</f>
        <v>0.70099999999999996</v>
      </c>
      <c r="Q2897" s="54">
        <f t="shared" si="135"/>
        <v>3.9514978601997148</v>
      </c>
      <c r="R2897" s="53">
        <f>IFERROR(VLOOKUP(B2897,'Pre-Summary'!$BG$6:$BM$44,7,FALSE),R2898)</f>
        <v>0.1043586561898026</v>
      </c>
      <c r="S2897" s="53">
        <f>IFERROR(VLOOKUP(B2897,'Pre-Summary'!$BG$6:$BM$44,6,FALSE),S2898)</f>
        <v>0.10140000000009444</v>
      </c>
      <c r="T2897" s="45" t="str">
        <f>IFERROR(VLOOKUP(B2897,'Pre-Summary'!$Y$6:$AC$83, 3,FALSE),"")</f>
        <v/>
      </c>
      <c r="U2897" s="45" t="str">
        <f>IFERROR(VLOOKUP(B2897,'Pre-Summary'!$Y$6:$AC$83, 4,FALSE),"")</f>
        <v/>
      </c>
      <c r="V2897" t="str">
        <f>IFERROR(VLOOKUP(B2897,'Pre-Summary'!$Y$6:$AC$83, 5,FALSE),"")</f>
        <v/>
      </c>
      <c r="W2897" s="45" t="str">
        <f>IFERROR(VLOOKUP(B2897,'Pre-Summary'!$Y$6:$AD$83,6,FALSE),"")</f>
        <v/>
      </c>
      <c r="X2897" t="str">
        <f>IFERROR(VLOOKUP('Pre-Summary'!$DB$6:$DD$63,3,FALSE),"")</f>
        <v/>
      </c>
      <c r="Y2897" t="str">
        <f>IFERROR(VLOOKUP(B2897,'Pre-Summary'!$CR$6:$CT$36,3,FALSE),"")</f>
        <v/>
      </c>
      <c r="Z2897" s="45" t="str">
        <f>IFERROR(VLOOKUP(B2897,'Pre-Summary'!$BZ$6:$CB$63,2,FALSE),"")</f>
        <v/>
      </c>
      <c r="AA2897" s="45" t="str">
        <f>IFERROR(VLOOKUP(B2897,'Pre-Summary'!$CG$6:$CI$70,2,FALSE),"")</f>
        <v/>
      </c>
      <c r="AB2897" s="99">
        <f>IFERROR(VLOOKUP(B2897,'Pre-Summary'!$A$6:$P$178,9,FALSE),AB2898)</f>
        <v>0.7010379290946207</v>
      </c>
      <c r="AC2897" s="10">
        <f>IFERROR(VLOOKUP(Summary!B2897,'Pre-Summary'!$A$6:$P$184,5, FALSE)/100,AC2898)</f>
        <v>0.92607166666666674</v>
      </c>
      <c r="AD2897" s="10">
        <f>IFERROR(VLOOKUP(Summary!B2897,'Pre-Summary'!$A$6:$P$184,3, FALSE)/100,AD2898)</f>
        <v>5.4963666666666668E-2</v>
      </c>
      <c r="AE2897" s="10">
        <f>IFERROR(VLOOKUP(Summary!B2897,'Pre-Summary'!$A$6:$P$184,7, FALSE)/100,AE2898)</f>
        <v>1.8946666666666667E-2</v>
      </c>
      <c r="AF2897" s="99">
        <f t="shared" si="136"/>
        <v>3.8531615055447034E-2</v>
      </c>
      <c r="AG2897" s="99">
        <f t="shared" si="137"/>
        <v>1.3282331963246082E-2</v>
      </c>
      <c r="AH2897" s="10" t="str">
        <f>IFERROR(VLOOKUP(B2897,'Pre-Summary'!$AZ$6:$BE$65,3,FALSE),"")</f>
        <v/>
      </c>
      <c r="AI2897" s="10" t="str">
        <f>IFERROR(VLOOKUP(B2897,'Pre-Summary'!$AZ$6:$BE$65,5,FALSE),"")</f>
        <v/>
      </c>
      <c r="AJ2897" s="10" t="str">
        <f>IFERROR(VLOOKUP(B2897,'Pre-Summary'!$AZ$6:$BE$65,4,FALSE),"")</f>
        <v/>
      </c>
      <c r="AK2897" s="10" t="str">
        <f>IFERROR(VLOOKUP(B2897,'Pre-Summary'!$AZ$6:$BE$65,6,FALSE),"")</f>
        <v/>
      </c>
      <c r="AL2897" s="10" t="str">
        <f>IFERROR(VLOOKUP(B2897,'Pre-Summary'!$BG$6:$BL$44,3,FALSE),"")</f>
        <v/>
      </c>
      <c r="AM2897" s="10" t="str">
        <f>IFERROR(VLOOKUP(B2897,'Pre-Summary'!$BG$6:$BL$44,4,FALSE),"")</f>
        <v/>
      </c>
    </row>
    <row r="2898" spans="2:39" ht="15" customHeight="1" x14ac:dyDescent="0.3">
      <c r="B2898">
        <v>289.5</v>
      </c>
      <c r="C2898" t="str">
        <f>IFERROR(VLOOKUP(B2898,'Pre-Summary'!$DI$6:$DM$23,4,FALSE),"")</f>
        <v/>
      </c>
      <c r="D2898" s="10" t="str">
        <f>IFERROR(VLOOKUP(B2898,'Pre-Summary'!$AT$6:$AX$14,5,FALSE),D2897)</f>
        <v>Wolfe v3: went back to modified wolfe + EDTA and switched CuSO4 to CUCl2</v>
      </c>
      <c r="E2898" s="10" t="str">
        <f>IFERROR(VLOOKUP(B2898,'Pre-Summary'!$AT$6:$AX$15,4,FALSE),"")</f>
        <v/>
      </c>
      <c r="F2898">
        <f>IFERROR(VLOOKUP(B2898,'Pre-Summary'!$AL$6:$AQ$13,6,FALSE),F2897)</f>
        <v>5.9405263157894746E-2</v>
      </c>
      <c r="G2898" t="str">
        <f>IFERROR(VLOOKUP(B2898,'Pre-Summary'!$AE$6:$AJ$85,3,FALSE),"")</f>
        <v/>
      </c>
      <c r="H2898" t="str">
        <f>IFERROR(VLOOKUP(B2898,'Pre-Summary'!$AE$6:$AJ$85,4,FALSE),"")</f>
        <v/>
      </c>
      <c r="I2898" t="str">
        <f>IFERROR(VLOOKUP(B2898,'Pre-Summary'!$AE$6:$AJ$85,5,FALSE),"")</f>
        <v/>
      </c>
      <c r="J2898" s="45" t="str">
        <f>IFERROR(VLOOKUP(B2898,'Pre-Summary'!$AE$6:$AJ$85,6, FALSE),"")</f>
        <v/>
      </c>
      <c r="K2898" s="45" t="str">
        <f>IFERROR(VLOOKUP(B2898,'Pre-Summary'!$DE$6:$DG$61,3,FALSE),"")</f>
        <v/>
      </c>
      <c r="L2898" s="45" t="str">
        <f>IFERROR(VLOOKUP(B2898,'Pre-Summary'!$CU$6:$CW$36,3,FALSE),"")</f>
        <v/>
      </c>
      <c r="M2898" s="45" t="str">
        <f>IFERROR(VLOOKUP(B2898,'Pre-Summary'!$BW$6:$BY$58,2,FALSE),"")</f>
        <v/>
      </c>
      <c r="N2898" s="45" t="str">
        <f>IFERROR(VLOOKUP(B2898,'Pre-Summary'!$CD$6:$CF$64,2,FALSE),"")</f>
        <v/>
      </c>
      <c r="O2898" s="99">
        <f>IFERROR(VLOOKUP(B2898,'Pre-Summary'!$BO$6:$BQ$48,3, FALSE),O2897)</f>
        <v>2.77</v>
      </c>
      <c r="P2898" s="99">
        <f>IFERROR(VLOOKUP(B2898,'Pre-Summary'!$BS$6:$BU$35,3,FALSE),P2897)</f>
        <v>0.70099999999999996</v>
      </c>
      <c r="Q2898" s="54">
        <f t="shared" si="135"/>
        <v>3.9514978601997148</v>
      </c>
      <c r="R2898" s="53">
        <f>IFERROR(VLOOKUP(B2898,'Pre-Summary'!$BG$6:$BM$44,7,FALSE),R2899)</f>
        <v>0.1043586561898026</v>
      </c>
      <c r="S2898" s="53">
        <f>IFERROR(VLOOKUP(B2898,'Pre-Summary'!$BG$6:$BM$44,6,FALSE),S2899)</f>
        <v>0.10140000000009444</v>
      </c>
      <c r="T2898" s="45" t="str">
        <f>IFERROR(VLOOKUP(B2898,'Pre-Summary'!$Y$6:$AC$83, 3,FALSE),"")</f>
        <v/>
      </c>
      <c r="U2898" s="45" t="str">
        <f>IFERROR(VLOOKUP(B2898,'Pre-Summary'!$Y$6:$AC$83, 4,FALSE),"")</f>
        <v/>
      </c>
      <c r="V2898" t="str">
        <f>IFERROR(VLOOKUP(B2898,'Pre-Summary'!$Y$6:$AC$83, 5,FALSE),"")</f>
        <v/>
      </c>
      <c r="W2898" s="45" t="str">
        <f>IFERROR(VLOOKUP(B2898,'Pre-Summary'!$Y$6:$AD$83,6,FALSE),"")</f>
        <v/>
      </c>
      <c r="X2898" t="str">
        <f>IFERROR(VLOOKUP('Pre-Summary'!$DB$6:$DD$63,3,FALSE),"")</f>
        <v/>
      </c>
      <c r="Y2898" t="str">
        <f>IFERROR(VLOOKUP(B2898,'Pre-Summary'!$CR$6:$CT$36,3,FALSE),"")</f>
        <v/>
      </c>
      <c r="Z2898" s="45" t="str">
        <f>IFERROR(VLOOKUP(B2898,'Pre-Summary'!$BZ$6:$CB$63,2,FALSE),"")</f>
        <v/>
      </c>
      <c r="AA2898" s="45" t="str">
        <f>IFERROR(VLOOKUP(B2898,'Pre-Summary'!$CG$6:$CI$70,2,FALSE),"")</f>
        <v/>
      </c>
      <c r="AB2898" s="99">
        <f>IFERROR(VLOOKUP(B2898,'Pre-Summary'!$A$6:$P$178,9,FALSE),AB2899)</f>
        <v>0.7010379290946207</v>
      </c>
      <c r="AC2898" s="10">
        <f>IFERROR(VLOOKUP(Summary!B2898,'Pre-Summary'!$A$6:$P$184,5, FALSE)/100,AC2899)</f>
        <v>0.92607166666666674</v>
      </c>
      <c r="AD2898" s="10">
        <f>IFERROR(VLOOKUP(Summary!B2898,'Pre-Summary'!$A$6:$P$184,3, FALSE)/100,AD2899)</f>
        <v>5.4963666666666668E-2</v>
      </c>
      <c r="AE2898" s="10">
        <f>IFERROR(VLOOKUP(Summary!B2898,'Pre-Summary'!$A$6:$P$184,7, FALSE)/100,AE2899)</f>
        <v>1.8946666666666667E-2</v>
      </c>
      <c r="AF2898" s="99">
        <f t="shared" si="136"/>
        <v>3.8531615055447034E-2</v>
      </c>
      <c r="AG2898" s="99">
        <f t="shared" si="137"/>
        <v>1.3282331963246082E-2</v>
      </c>
      <c r="AH2898" s="10" t="str">
        <f>IFERROR(VLOOKUP(B2898,'Pre-Summary'!$AZ$6:$BE$65,3,FALSE),"")</f>
        <v/>
      </c>
      <c r="AI2898" s="10" t="str">
        <f>IFERROR(VLOOKUP(B2898,'Pre-Summary'!$AZ$6:$BE$65,5,FALSE),"")</f>
        <v/>
      </c>
      <c r="AJ2898" s="10" t="str">
        <f>IFERROR(VLOOKUP(B2898,'Pre-Summary'!$AZ$6:$BE$65,4,FALSE),"")</f>
        <v/>
      </c>
      <c r="AK2898" s="10" t="str">
        <f>IFERROR(VLOOKUP(B2898,'Pre-Summary'!$AZ$6:$BE$65,6,FALSE),"")</f>
        <v/>
      </c>
      <c r="AL2898" s="10" t="str">
        <f>IFERROR(VLOOKUP(B2898,'Pre-Summary'!$BG$6:$BL$44,3,FALSE),"")</f>
        <v/>
      </c>
      <c r="AM2898" s="10" t="str">
        <f>IFERROR(VLOOKUP(B2898,'Pre-Summary'!$BG$6:$BL$44,4,FALSE),"")</f>
        <v/>
      </c>
    </row>
    <row r="2899" spans="2:39" ht="15" customHeight="1" x14ac:dyDescent="0.3">
      <c r="B2899">
        <v>289.60000000000002</v>
      </c>
      <c r="C2899" t="str">
        <f>IFERROR(VLOOKUP(B2899,'Pre-Summary'!$DI$6:$DM$23,4,FALSE),"")</f>
        <v/>
      </c>
      <c r="D2899" s="10" t="str">
        <f>IFERROR(VLOOKUP(B2899,'Pre-Summary'!$AT$6:$AX$14,5,FALSE),D2898)</f>
        <v>Wolfe v3: went back to modified wolfe + EDTA and switched CuSO4 to CUCl2</v>
      </c>
      <c r="E2899" s="10" t="str">
        <f>IFERROR(VLOOKUP(B2899,'Pre-Summary'!$AT$6:$AX$15,4,FALSE),"")</f>
        <v/>
      </c>
      <c r="F2899">
        <f>IFERROR(VLOOKUP(B2899,'Pre-Summary'!$AL$6:$AQ$13,6,FALSE),F2898)</f>
        <v>5.9405263157894746E-2</v>
      </c>
      <c r="G2899" t="str">
        <f>IFERROR(VLOOKUP(B2899,'Pre-Summary'!$AE$6:$AJ$85,3,FALSE),"")</f>
        <v/>
      </c>
      <c r="H2899" t="str">
        <f>IFERROR(VLOOKUP(B2899,'Pre-Summary'!$AE$6:$AJ$85,4,FALSE),"")</f>
        <v/>
      </c>
      <c r="I2899" t="str">
        <f>IFERROR(VLOOKUP(B2899,'Pre-Summary'!$AE$6:$AJ$85,5,FALSE),"")</f>
        <v/>
      </c>
      <c r="J2899" s="45" t="str">
        <f>IFERROR(VLOOKUP(B2899,'Pre-Summary'!$AE$6:$AJ$85,6, FALSE),"")</f>
        <v/>
      </c>
      <c r="K2899" s="45" t="str">
        <f>IFERROR(VLOOKUP(B2899,'Pre-Summary'!$DE$6:$DG$61,3,FALSE),"")</f>
        <v/>
      </c>
      <c r="L2899" s="45" t="str">
        <f>IFERROR(VLOOKUP(B2899,'Pre-Summary'!$CU$6:$CW$36,3,FALSE),"")</f>
        <v/>
      </c>
      <c r="M2899" s="45" t="str">
        <f>IFERROR(VLOOKUP(B2899,'Pre-Summary'!$BW$6:$BY$58,2,FALSE),"")</f>
        <v/>
      </c>
      <c r="N2899" s="45" t="str">
        <f>IFERROR(VLOOKUP(B2899,'Pre-Summary'!$CD$6:$CF$64,2,FALSE),"")</f>
        <v/>
      </c>
      <c r="O2899" s="99">
        <f>IFERROR(VLOOKUP(B2899,'Pre-Summary'!$BO$6:$BQ$48,3, FALSE),O2898)</f>
        <v>2.77</v>
      </c>
      <c r="P2899" s="99">
        <f>IFERROR(VLOOKUP(B2899,'Pre-Summary'!$BS$6:$BU$35,3,FALSE),P2898)</f>
        <v>0.70099999999999996</v>
      </c>
      <c r="Q2899" s="54">
        <f t="shared" si="135"/>
        <v>3.9514978601997148</v>
      </c>
      <c r="R2899" s="53">
        <f>IFERROR(VLOOKUP(B2899,'Pre-Summary'!$BG$6:$BM$44,7,FALSE),R2900)</f>
        <v>0.1043586561898026</v>
      </c>
      <c r="S2899" s="53">
        <f>IFERROR(VLOOKUP(B2899,'Pre-Summary'!$BG$6:$BM$44,6,FALSE),S2900)</f>
        <v>0.10140000000009444</v>
      </c>
      <c r="T2899" s="45" t="str">
        <f>IFERROR(VLOOKUP(B2899,'Pre-Summary'!$Y$6:$AC$83, 3,FALSE),"")</f>
        <v/>
      </c>
      <c r="U2899" s="45" t="str">
        <f>IFERROR(VLOOKUP(B2899,'Pre-Summary'!$Y$6:$AC$83, 4,FALSE),"")</f>
        <v/>
      </c>
      <c r="V2899" t="str">
        <f>IFERROR(VLOOKUP(B2899,'Pre-Summary'!$Y$6:$AC$83, 5,FALSE),"")</f>
        <v/>
      </c>
      <c r="W2899" s="45" t="str">
        <f>IFERROR(VLOOKUP(B2899,'Pre-Summary'!$Y$6:$AD$83,6,FALSE),"")</f>
        <v/>
      </c>
      <c r="X2899" t="str">
        <f>IFERROR(VLOOKUP('Pre-Summary'!$DB$6:$DD$63,3,FALSE),"")</f>
        <v/>
      </c>
      <c r="Y2899" t="str">
        <f>IFERROR(VLOOKUP(B2899,'Pre-Summary'!$CR$6:$CT$36,3,FALSE),"")</f>
        <v/>
      </c>
      <c r="Z2899" s="45" t="str">
        <f>IFERROR(VLOOKUP(B2899,'Pre-Summary'!$BZ$6:$CB$63,2,FALSE),"")</f>
        <v/>
      </c>
      <c r="AA2899" s="45" t="str">
        <f>IFERROR(VLOOKUP(B2899,'Pre-Summary'!$CG$6:$CI$70,2,FALSE),"")</f>
        <v/>
      </c>
      <c r="AB2899" s="99">
        <f>IFERROR(VLOOKUP(B2899,'Pre-Summary'!$A$6:$P$178,9,FALSE),AB2900)</f>
        <v>0.7010379290946207</v>
      </c>
      <c r="AC2899" s="10">
        <f>IFERROR(VLOOKUP(Summary!B2899,'Pre-Summary'!$A$6:$P$184,5, FALSE)/100,AC2900)</f>
        <v>0.92607166666666674</v>
      </c>
      <c r="AD2899" s="10">
        <f>IFERROR(VLOOKUP(Summary!B2899,'Pre-Summary'!$A$6:$P$184,3, FALSE)/100,AD2900)</f>
        <v>5.4963666666666668E-2</v>
      </c>
      <c r="AE2899" s="10">
        <f>IFERROR(VLOOKUP(Summary!B2899,'Pre-Summary'!$A$6:$P$184,7, FALSE)/100,AE2900)</f>
        <v>1.8946666666666667E-2</v>
      </c>
      <c r="AF2899" s="99">
        <f t="shared" si="136"/>
        <v>3.8531615055447034E-2</v>
      </c>
      <c r="AG2899" s="99">
        <f t="shared" si="137"/>
        <v>1.3282331963246082E-2</v>
      </c>
      <c r="AH2899" s="10" t="str">
        <f>IFERROR(VLOOKUP(B2899,'Pre-Summary'!$AZ$6:$BE$65,3,FALSE),"")</f>
        <v/>
      </c>
      <c r="AI2899" s="10" t="str">
        <f>IFERROR(VLOOKUP(B2899,'Pre-Summary'!$AZ$6:$BE$65,5,FALSE),"")</f>
        <v/>
      </c>
      <c r="AJ2899" s="10" t="str">
        <f>IFERROR(VLOOKUP(B2899,'Pre-Summary'!$AZ$6:$BE$65,4,FALSE),"")</f>
        <v/>
      </c>
      <c r="AK2899" s="10" t="str">
        <f>IFERROR(VLOOKUP(B2899,'Pre-Summary'!$AZ$6:$BE$65,6,FALSE),"")</f>
        <v/>
      </c>
      <c r="AL2899" s="10" t="str">
        <f>IFERROR(VLOOKUP(B2899,'Pre-Summary'!$BG$6:$BL$44,3,FALSE),"")</f>
        <v/>
      </c>
      <c r="AM2899" s="10" t="str">
        <f>IFERROR(VLOOKUP(B2899,'Pre-Summary'!$BG$6:$BL$44,4,FALSE),"")</f>
        <v/>
      </c>
    </row>
    <row r="2900" spans="2:39" ht="15" customHeight="1" x14ac:dyDescent="0.3">
      <c r="B2900">
        <v>289.7</v>
      </c>
      <c r="C2900" t="str">
        <f>IFERROR(VLOOKUP(B2900,'Pre-Summary'!$DI$6:$DM$23,4,FALSE),"")</f>
        <v/>
      </c>
      <c r="D2900" s="10" t="str">
        <f>IFERROR(VLOOKUP(B2900,'Pre-Summary'!$AT$6:$AX$14,5,FALSE),D2899)</f>
        <v>Wolfe v3: went back to modified wolfe + EDTA and switched CuSO4 to CUCl2</v>
      </c>
      <c r="E2900" s="10" t="str">
        <f>IFERROR(VLOOKUP(B2900,'Pre-Summary'!$AT$6:$AX$15,4,FALSE),"")</f>
        <v/>
      </c>
      <c r="F2900">
        <f>IFERROR(VLOOKUP(B2900,'Pre-Summary'!$AL$6:$AQ$13,6,FALSE),F2899)</f>
        <v>5.9405263157894746E-2</v>
      </c>
      <c r="G2900" t="str">
        <f>IFERROR(VLOOKUP(B2900,'Pre-Summary'!$AE$6:$AJ$85,3,FALSE),"")</f>
        <v/>
      </c>
      <c r="H2900" t="str">
        <f>IFERROR(VLOOKUP(B2900,'Pre-Summary'!$AE$6:$AJ$85,4,FALSE),"")</f>
        <v/>
      </c>
      <c r="I2900" t="str">
        <f>IFERROR(VLOOKUP(B2900,'Pre-Summary'!$AE$6:$AJ$85,5,FALSE),"")</f>
        <v/>
      </c>
      <c r="J2900" s="45" t="str">
        <f>IFERROR(VLOOKUP(B2900,'Pre-Summary'!$AE$6:$AJ$85,6, FALSE),"")</f>
        <v/>
      </c>
      <c r="K2900" s="45" t="str">
        <f>IFERROR(VLOOKUP(B2900,'Pre-Summary'!$DE$6:$DG$61,3,FALSE),"")</f>
        <v/>
      </c>
      <c r="L2900" s="45" t="str">
        <f>IFERROR(VLOOKUP(B2900,'Pre-Summary'!$CU$6:$CW$36,3,FALSE),"")</f>
        <v/>
      </c>
      <c r="M2900" s="45" t="str">
        <f>IFERROR(VLOOKUP(B2900,'Pre-Summary'!$BW$6:$BY$58,2,FALSE),"")</f>
        <v/>
      </c>
      <c r="N2900" s="45" t="str">
        <f>IFERROR(VLOOKUP(B2900,'Pre-Summary'!$CD$6:$CF$64,2,FALSE),"")</f>
        <v/>
      </c>
      <c r="O2900" s="99">
        <f>IFERROR(VLOOKUP(B2900,'Pre-Summary'!$BO$6:$BQ$48,3, FALSE),O2899)</f>
        <v>2.77</v>
      </c>
      <c r="P2900" s="99">
        <f>IFERROR(VLOOKUP(B2900,'Pre-Summary'!$BS$6:$BU$35,3,FALSE),P2899)</f>
        <v>0.70099999999999996</v>
      </c>
      <c r="Q2900" s="54">
        <f t="shared" si="135"/>
        <v>3.9514978601997148</v>
      </c>
      <c r="R2900" s="53">
        <f>IFERROR(VLOOKUP(B2900,'Pre-Summary'!$BG$6:$BM$44,7,FALSE),R2901)</f>
        <v>0.1043586561898026</v>
      </c>
      <c r="S2900" s="53">
        <f>IFERROR(VLOOKUP(B2900,'Pre-Summary'!$BG$6:$BM$44,6,FALSE),S2901)</f>
        <v>0.10140000000009444</v>
      </c>
      <c r="T2900" s="45" t="str">
        <f>IFERROR(VLOOKUP(B2900,'Pre-Summary'!$Y$6:$AC$83, 3,FALSE),"")</f>
        <v/>
      </c>
      <c r="U2900" s="45" t="str">
        <f>IFERROR(VLOOKUP(B2900,'Pre-Summary'!$Y$6:$AC$83, 4,FALSE),"")</f>
        <v/>
      </c>
      <c r="V2900" t="str">
        <f>IFERROR(VLOOKUP(B2900,'Pre-Summary'!$Y$6:$AC$83, 5,FALSE),"")</f>
        <v/>
      </c>
      <c r="W2900" s="45" t="str">
        <f>IFERROR(VLOOKUP(B2900,'Pre-Summary'!$Y$6:$AD$83,6,FALSE),"")</f>
        <v/>
      </c>
      <c r="X2900" t="str">
        <f>IFERROR(VLOOKUP('Pre-Summary'!$DB$6:$DD$63,3,FALSE),"")</f>
        <v/>
      </c>
      <c r="Y2900" t="str">
        <f>IFERROR(VLOOKUP(B2900,'Pre-Summary'!$CR$6:$CT$36,3,FALSE),"")</f>
        <v/>
      </c>
      <c r="Z2900" s="45" t="str">
        <f>IFERROR(VLOOKUP(B2900,'Pre-Summary'!$BZ$6:$CB$63,2,FALSE),"")</f>
        <v/>
      </c>
      <c r="AA2900" s="45" t="str">
        <f>IFERROR(VLOOKUP(B2900,'Pre-Summary'!$CG$6:$CI$70,2,FALSE),"")</f>
        <v/>
      </c>
      <c r="AB2900" s="99">
        <f>IFERROR(VLOOKUP(B2900,'Pre-Summary'!$A$6:$P$178,9,FALSE),AB2901)</f>
        <v>0.7010379290946207</v>
      </c>
      <c r="AC2900" s="10">
        <f>IFERROR(VLOOKUP(Summary!B2900,'Pre-Summary'!$A$6:$P$184,5, FALSE)/100,AC2901)</f>
        <v>0.92607166666666674</v>
      </c>
      <c r="AD2900" s="10">
        <f>IFERROR(VLOOKUP(Summary!B2900,'Pre-Summary'!$A$6:$P$184,3, FALSE)/100,AD2901)</f>
        <v>5.4963666666666668E-2</v>
      </c>
      <c r="AE2900" s="10">
        <f>IFERROR(VLOOKUP(Summary!B2900,'Pre-Summary'!$A$6:$P$184,7, FALSE)/100,AE2901)</f>
        <v>1.8946666666666667E-2</v>
      </c>
      <c r="AF2900" s="99">
        <f t="shared" si="136"/>
        <v>3.8531615055447034E-2</v>
      </c>
      <c r="AG2900" s="99">
        <f t="shared" si="137"/>
        <v>1.3282331963246082E-2</v>
      </c>
      <c r="AH2900" s="10" t="str">
        <f>IFERROR(VLOOKUP(B2900,'Pre-Summary'!$AZ$6:$BE$65,3,FALSE),"")</f>
        <v/>
      </c>
      <c r="AI2900" s="10" t="str">
        <f>IFERROR(VLOOKUP(B2900,'Pre-Summary'!$AZ$6:$BE$65,5,FALSE),"")</f>
        <v/>
      </c>
      <c r="AJ2900" s="10" t="str">
        <f>IFERROR(VLOOKUP(B2900,'Pre-Summary'!$AZ$6:$BE$65,4,FALSE),"")</f>
        <v/>
      </c>
      <c r="AK2900" s="10" t="str">
        <f>IFERROR(VLOOKUP(B2900,'Pre-Summary'!$AZ$6:$BE$65,6,FALSE),"")</f>
        <v/>
      </c>
      <c r="AL2900" s="10" t="str">
        <f>IFERROR(VLOOKUP(B2900,'Pre-Summary'!$BG$6:$BL$44,3,FALSE),"")</f>
        <v/>
      </c>
      <c r="AM2900" s="10" t="str">
        <f>IFERROR(VLOOKUP(B2900,'Pre-Summary'!$BG$6:$BL$44,4,FALSE),"")</f>
        <v/>
      </c>
    </row>
    <row r="2901" spans="2:39" ht="15" customHeight="1" x14ac:dyDescent="0.3">
      <c r="B2901">
        <v>289.8</v>
      </c>
      <c r="C2901" t="str">
        <f>IFERROR(VLOOKUP(B2901,'Pre-Summary'!$DI$6:$DM$23,4,FALSE),"")</f>
        <v/>
      </c>
      <c r="D2901" s="10" t="str">
        <f>IFERROR(VLOOKUP(B2901,'Pre-Summary'!$AT$6:$AX$14,5,FALSE),D2900)</f>
        <v>Wolfe v3: went back to modified wolfe + EDTA and switched CuSO4 to CUCl2</v>
      </c>
      <c r="E2901" s="10" t="str">
        <f>IFERROR(VLOOKUP(B2901,'Pre-Summary'!$AT$6:$AX$15,4,FALSE),"")</f>
        <v/>
      </c>
      <c r="F2901">
        <f>IFERROR(VLOOKUP(B2901,'Pre-Summary'!$AL$6:$AQ$13,6,FALSE),F2900)</f>
        <v>5.9405263157894746E-2</v>
      </c>
      <c r="G2901" t="str">
        <f>IFERROR(VLOOKUP(B2901,'Pre-Summary'!$AE$6:$AJ$85,3,FALSE),"")</f>
        <v/>
      </c>
      <c r="H2901" t="str">
        <f>IFERROR(VLOOKUP(B2901,'Pre-Summary'!$AE$6:$AJ$85,4,FALSE),"")</f>
        <v/>
      </c>
      <c r="I2901" t="str">
        <f>IFERROR(VLOOKUP(B2901,'Pre-Summary'!$AE$6:$AJ$85,5,FALSE),"")</f>
        <v/>
      </c>
      <c r="J2901" s="45" t="str">
        <f>IFERROR(VLOOKUP(B2901,'Pre-Summary'!$AE$6:$AJ$85,6, FALSE),"")</f>
        <v/>
      </c>
      <c r="K2901" s="45" t="str">
        <f>IFERROR(VLOOKUP(B2901,'Pre-Summary'!$DE$6:$DG$61,3,FALSE),"")</f>
        <v/>
      </c>
      <c r="L2901" s="45" t="str">
        <f>IFERROR(VLOOKUP(B2901,'Pre-Summary'!$CU$6:$CW$36,3,FALSE),"")</f>
        <v/>
      </c>
      <c r="M2901" s="45" t="str">
        <f>IFERROR(VLOOKUP(B2901,'Pre-Summary'!$BW$6:$BY$58,2,FALSE),"")</f>
        <v/>
      </c>
      <c r="N2901" s="45" t="str">
        <f>IFERROR(VLOOKUP(B2901,'Pre-Summary'!$CD$6:$CF$64,2,FALSE),"")</f>
        <v/>
      </c>
      <c r="O2901" s="99">
        <f>IFERROR(VLOOKUP(B2901,'Pre-Summary'!$BO$6:$BQ$48,3, FALSE),O2900)</f>
        <v>2.77</v>
      </c>
      <c r="P2901" s="99">
        <f>IFERROR(VLOOKUP(B2901,'Pre-Summary'!$BS$6:$BU$35,3,FALSE),P2900)</f>
        <v>0.70099999999999996</v>
      </c>
      <c r="Q2901" s="54">
        <f t="shared" si="135"/>
        <v>3.9514978601997148</v>
      </c>
      <c r="R2901" s="53">
        <f>IFERROR(VLOOKUP(B2901,'Pre-Summary'!$BG$6:$BM$44,7,FALSE),R2902)</f>
        <v>0.1043586561898026</v>
      </c>
      <c r="S2901" s="53">
        <f>IFERROR(VLOOKUP(B2901,'Pre-Summary'!$BG$6:$BM$44,6,FALSE),S2902)</f>
        <v>0.10140000000009444</v>
      </c>
      <c r="T2901" s="45" t="str">
        <f>IFERROR(VLOOKUP(B2901,'Pre-Summary'!$Y$6:$AC$83, 3,FALSE),"")</f>
        <v/>
      </c>
      <c r="U2901" s="45" t="str">
        <f>IFERROR(VLOOKUP(B2901,'Pre-Summary'!$Y$6:$AC$83, 4,FALSE),"")</f>
        <v/>
      </c>
      <c r="V2901" t="str">
        <f>IFERROR(VLOOKUP(B2901,'Pre-Summary'!$Y$6:$AC$83, 5,FALSE),"")</f>
        <v/>
      </c>
      <c r="W2901" s="45" t="str">
        <f>IFERROR(VLOOKUP(B2901,'Pre-Summary'!$Y$6:$AD$83,6,FALSE),"")</f>
        <v/>
      </c>
      <c r="X2901" t="str">
        <f>IFERROR(VLOOKUP('Pre-Summary'!$DB$6:$DD$63,3,FALSE),"")</f>
        <v/>
      </c>
      <c r="Y2901" t="str">
        <f>IFERROR(VLOOKUP(B2901,'Pre-Summary'!$CR$6:$CT$36,3,FALSE),"")</f>
        <v/>
      </c>
      <c r="Z2901" s="45" t="str">
        <f>IFERROR(VLOOKUP(B2901,'Pre-Summary'!$BZ$6:$CB$63,2,FALSE),"")</f>
        <v/>
      </c>
      <c r="AA2901" s="45" t="str">
        <f>IFERROR(VLOOKUP(B2901,'Pre-Summary'!$CG$6:$CI$70,2,FALSE),"")</f>
        <v/>
      </c>
      <c r="AB2901" s="99">
        <f>IFERROR(VLOOKUP(B2901,'Pre-Summary'!$A$6:$P$178,9,FALSE),AB2902)</f>
        <v>0.7010379290946207</v>
      </c>
      <c r="AC2901" s="10">
        <f>IFERROR(VLOOKUP(Summary!B2901,'Pre-Summary'!$A$6:$P$184,5, FALSE)/100,AC2902)</f>
        <v>0.92607166666666674</v>
      </c>
      <c r="AD2901" s="10">
        <f>IFERROR(VLOOKUP(Summary!B2901,'Pre-Summary'!$A$6:$P$184,3, FALSE)/100,AD2902)</f>
        <v>5.4963666666666668E-2</v>
      </c>
      <c r="AE2901" s="10">
        <f>IFERROR(VLOOKUP(Summary!B2901,'Pre-Summary'!$A$6:$P$184,7, FALSE)/100,AE2902)</f>
        <v>1.8946666666666667E-2</v>
      </c>
      <c r="AF2901" s="99">
        <f t="shared" si="136"/>
        <v>3.8531615055447034E-2</v>
      </c>
      <c r="AG2901" s="99">
        <f t="shared" si="137"/>
        <v>1.3282331963246082E-2</v>
      </c>
      <c r="AH2901" s="10" t="str">
        <f>IFERROR(VLOOKUP(B2901,'Pre-Summary'!$AZ$6:$BE$65,3,FALSE),"")</f>
        <v/>
      </c>
      <c r="AI2901" s="10" t="str">
        <f>IFERROR(VLOOKUP(B2901,'Pre-Summary'!$AZ$6:$BE$65,5,FALSE),"")</f>
        <v/>
      </c>
      <c r="AJ2901" s="10" t="str">
        <f>IFERROR(VLOOKUP(B2901,'Pre-Summary'!$AZ$6:$BE$65,4,FALSE),"")</f>
        <v/>
      </c>
      <c r="AK2901" s="10" t="str">
        <f>IFERROR(VLOOKUP(B2901,'Pre-Summary'!$AZ$6:$BE$65,6,FALSE),"")</f>
        <v/>
      </c>
      <c r="AL2901" s="10" t="str">
        <f>IFERROR(VLOOKUP(B2901,'Pre-Summary'!$BG$6:$BL$44,3,FALSE),"")</f>
        <v/>
      </c>
      <c r="AM2901" s="10" t="str">
        <f>IFERROR(VLOOKUP(B2901,'Pre-Summary'!$BG$6:$BL$44,4,FALSE),"")</f>
        <v/>
      </c>
    </row>
    <row r="2902" spans="2:39" ht="15" customHeight="1" x14ac:dyDescent="0.3">
      <c r="B2902">
        <v>289.89999999999998</v>
      </c>
      <c r="C2902" t="str">
        <f>IFERROR(VLOOKUP(B2902,'Pre-Summary'!$DI$6:$DM$23,4,FALSE),"")</f>
        <v/>
      </c>
      <c r="D2902" s="10" t="str">
        <f>IFERROR(VLOOKUP(B2902,'Pre-Summary'!$AT$6:$AX$14,5,FALSE),D2901)</f>
        <v>Wolfe v3: went back to modified wolfe + EDTA and switched CuSO4 to CUCl2</v>
      </c>
      <c r="E2902" s="10" t="str">
        <f>IFERROR(VLOOKUP(B2902,'Pre-Summary'!$AT$6:$AX$15,4,FALSE),"")</f>
        <v/>
      </c>
      <c r="F2902">
        <f>IFERROR(VLOOKUP(B2902,'Pre-Summary'!$AL$6:$AQ$13,6,FALSE),F2901)</f>
        <v>5.9405263157894746E-2</v>
      </c>
      <c r="G2902" t="str">
        <f>IFERROR(VLOOKUP(B2902,'Pre-Summary'!$AE$6:$AJ$85,3,FALSE),"")</f>
        <v/>
      </c>
      <c r="H2902" t="str">
        <f>IFERROR(VLOOKUP(B2902,'Pre-Summary'!$AE$6:$AJ$85,4,FALSE),"")</f>
        <v/>
      </c>
      <c r="I2902" t="str">
        <f>IFERROR(VLOOKUP(B2902,'Pre-Summary'!$AE$6:$AJ$85,5,FALSE),"")</f>
        <v/>
      </c>
      <c r="J2902" s="45" t="str">
        <f>IFERROR(VLOOKUP(B2902,'Pre-Summary'!$AE$6:$AJ$85,6, FALSE),"")</f>
        <v/>
      </c>
      <c r="K2902" s="45" t="str">
        <f>IFERROR(VLOOKUP(B2902,'Pre-Summary'!$DE$6:$DG$61,3,FALSE),"")</f>
        <v/>
      </c>
      <c r="L2902" s="45" t="str">
        <f>IFERROR(VLOOKUP(B2902,'Pre-Summary'!$CU$6:$CW$36,3,FALSE),"")</f>
        <v/>
      </c>
      <c r="M2902" s="45" t="str">
        <f>IFERROR(VLOOKUP(B2902,'Pre-Summary'!$BW$6:$BY$58,2,FALSE),"")</f>
        <v/>
      </c>
      <c r="N2902" s="45" t="str">
        <f>IFERROR(VLOOKUP(B2902,'Pre-Summary'!$CD$6:$CF$64,2,FALSE),"")</f>
        <v/>
      </c>
      <c r="O2902" s="99">
        <f>IFERROR(VLOOKUP(B2902,'Pre-Summary'!$BO$6:$BQ$48,3, FALSE),O2901)</f>
        <v>2.77</v>
      </c>
      <c r="P2902" s="99">
        <f>IFERROR(VLOOKUP(B2902,'Pre-Summary'!$BS$6:$BU$35,3,FALSE),P2901)</f>
        <v>0.70099999999999996</v>
      </c>
      <c r="Q2902" s="54">
        <f t="shared" si="135"/>
        <v>3.9514978601997148</v>
      </c>
      <c r="R2902" s="53">
        <f>IFERROR(VLOOKUP(B2902,'Pre-Summary'!$BG$6:$BM$44,7,FALSE),R2903)</f>
        <v>0.1043586561898026</v>
      </c>
      <c r="S2902" s="53">
        <f>IFERROR(VLOOKUP(B2902,'Pre-Summary'!$BG$6:$BM$44,6,FALSE),S2903)</f>
        <v>0.10140000000009444</v>
      </c>
      <c r="T2902" s="45" t="str">
        <f>IFERROR(VLOOKUP(B2902,'Pre-Summary'!$Y$6:$AC$83, 3,FALSE),"")</f>
        <v/>
      </c>
      <c r="U2902" s="45" t="str">
        <f>IFERROR(VLOOKUP(B2902,'Pre-Summary'!$Y$6:$AC$83, 4,FALSE),"")</f>
        <v/>
      </c>
      <c r="V2902" t="str">
        <f>IFERROR(VLOOKUP(B2902,'Pre-Summary'!$Y$6:$AC$83, 5,FALSE),"")</f>
        <v/>
      </c>
      <c r="W2902" s="45" t="str">
        <f>IFERROR(VLOOKUP(B2902,'Pre-Summary'!$Y$6:$AD$83,6,FALSE),"")</f>
        <v/>
      </c>
      <c r="X2902" t="str">
        <f>IFERROR(VLOOKUP('Pre-Summary'!$DB$6:$DD$63,3,FALSE),"")</f>
        <v/>
      </c>
      <c r="Y2902" t="str">
        <f>IFERROR(VLOOKUP(B2902,'Pre-Summary'!$CR$6:$CT$36,3,FALSE),"")</f>
        <v/>
      </c>
      <c r="Z2902" s="45" t="str">
        <f>IFERROR(VLOOKUP(B2902,'Pre-Summary'!$BZ$6:$CB$63,2,FALSE),"")</f>
        <v/>
      </c>
      <c r="AA2902" s="45" t="str">
        <f>IFERROR(VLOOKUP(B2902,'Pre-Summary'!$CG$6:$CI$70,2,FALSE),"")</f>
        <v/>
      </c>
      <c r="AB2902" s="99">
        <f>IFERROR(VLOOKUP(B2902,'Pre-Summary'!$A$6:$P$178,9,FALSE),AB2903)</f>
        <v>0.7010379290946207</v>
      </c>
      <c r="AC2902" s="10">
        <f>IFERROR(VLOOKUP(Summary!B2902,'Pre-Summary'!$A$6:$P$184,5, FALSE)/100,AC2903)</f>
        <v>0.92607166666666674</v>
      </c>
      <c r="AD2902" s="10">
        <f>IFERROR(VLOOKUP(Summary!B2902,'Pre-Summary'!$A$6:$P$184,3, FALSE)/100,AD2903)</f>
        <v>5.4963666666666668E-2</v>
      </c>
      <c r="AE2902" s="10">
        <f>IFERROR(VLOOKUP(Summary!B2902,'Pre-Summary'!$A$6:$P$184,7, FALSE)/100,AE2903)</f>
        <v>1.8946666666666667E-2</v>
      </c>
      <c r="AF2902" s="99">
        <f t="shared" si="136"/>
        <v>3.8531615055447034E-2</v>
      </c>
      <c r="AG2902" s="99">
        <f t="shared" si="137"/>
        <v>1.3282331963246082E-2</v>
      </c>
      <c r="AH2902" s="10" t="str">
        <f>IFERROR(VLOOKUP(B2902,'Pre-Summary'!$AZ$6:$BE$65,3,FALSE),"")</f>
        <v/>
      </c>
      <c r="AI2902" s="10" t="str">
        <f>IFERROR(VLOOKUP(B2902,'Pre-Summary'!$AZ$6:$BE$65,5,FALSE),"")</f>
        <v/>
      </c>
      <c r="AJ2902" s="10" t="str">
        <f>IFERROR(VLOOKUP(B2902,'Pre-Summary'!$AZ$6:$BE$65,4,FALSE),"")</f>
        <v/>
      </c>
      <c r="AK2902" s="10" t="str">
        <f>IFERROR(VLOOKUP(B2902,'Pre-Summary'!$AZ$6:$BE$65,6,FALSE),"")</f>
        <v/>
      </c>
      <c r="AL2902" s="10" t="str">
        <f>IFERROR(VLOOKUP(B2902,'Pre-Summary'!$BG$6:$BL$44,3,FALSE),"")</f>
        <v/>
      </c>
      <c r="AM2902" s="10" t="str">
        <f>IFERROR(VLOOKUP(B2902,'Pre-Summary'!$BG$6:$BL$44,4,FALSE),"")</f>
        <v/>
      </c>
    </row>
    <row r="2903" spans="2:39" ht="15" customHeight="1" x14ac:dyDescent="0.3">
      <c r="B2903">
        <v>290</v>
      </c>
      <c r="C2903" t="str">
        <f>IFERROR(VLOOKUP(B2903,'Pre-Summary'!$DI$6:$DM$23,4,FALSE),"")</f>
        <v/>
      </c>
      <c r="D2903" s="10" t="str">
        <f>IFERROR(VLOOKUP(B2903,'Pre-Summary'!$AT$6:$AX$14,5,FALSE),D2902)</f>
        <v>Wolfe v3: went back to modified wolfe + EDTA and switched CuSO4 to CUCl2</v>
      </c>
      <c r="E2903" s="10" t="str">
        <f>IFERROR(VLOOKUP(B2903,'Pre-Summary'!$AT$6:$AX$15,4,FALSE),"")</f>
        <v/>
      </c>
      <c r="F2903">
        <f>IFERROR(VLOOKUP(B2903,'Pre-Summary'!$AL$6:$AQ$13,6,FALSE),F2902)</f>
        <v>5.9405263157894746E-2</v>
      </c>
      <c r="G2903" t="str">
        <f>IFERROR(VLOOKUP(B2903,'Pre-Summary'!$AE$6:$AJ$85,3,FALSE),"")</f>
        <v/>
      </c>
      <c r="H2903" t="str">
        <f>IFERROR(VLOOKUP(B2903,'Pre-Summary'!$AE$6:$AJ$85,4,FALSE),"")</f>
        <v/>
      </c>
      <c r="I2903" t="str">
        <f>IFERROR(VLOOKUP(B2903,'Pre-Summary'!$AE$6:$AJ$85,5,FALSE),"")</f>
        <v/>
      </c>
      <c r="J2903" s="45" t="str">
        <f>IFERROR(VLOOKUP(B2903,'Pre-Summary'!$AE$6:$AJ$85,6, FALSE),"")</f>
        <v/>
      </c>
      <c r="K2903" s="45" t="str">
        <f>IFERROR(VLOOKUP(B2903,'Pre-Summary'!$DE$6:$DG$61,3,FALSE),"")</f>
        <v/>
      </c>
      <c r="L2903" s="45" t="str">
        <f>IFERROR(VLOOKUP(B2903,'Pre-Summary'!$CU$6:$CW$36,3,FALSE),"")</f>
        <v/>
      </c>
      <c r="M2903" s="45" t="str">
        <f>IFERROR(VLOOKUP(B2903,'Pre-Summary'!$BW$6:$BY$58,2,FALSE),"")</f>
        <v/>
      </c>
      <c r="N2903" s="45" t="str">
        <f>IFERROR(VLOOKUP(B2903,'Pre-Summary'!$CD$6:$CF$64,2,FALSE),"")</f>
        <v/>
      </c>
      <c r="O2903" s="99">
        <f>IFERROR(VLOOKUP(B2903,'Pre-Summary'!$BO$6:$BQ$48,3, FALSE),O2902)</f>
        <v>2.77</v>
      </c>
      <c r="P2903" s="99">
        <f>IFERROR(VLOOKUP(B2903,'Pre-Summary'!$BS$6:$BU$35,3,FALSE),P2902)</f>
        <v>0.70099999999999996</v>
      </c>
      <c r="Q2903" s="54">
        <f t="shared" si="135"/>
        <v>3.9514978601997148</v>
      </c>
      <c r="R2903" s="53">
        <f>IFERROR(VLOOKUP(B2903,'Pre-Summary'!$BG$6:$BM$44,7,FALSE),R2904)</f>
        <v>0.1043586561898026</v>
      </c>
      <c r="S2903" s="53">
        <f>IFERROR(VLOOKUP(B2903,'Pre-Summary'!$BG$6:$BM$44,6,FALSE),S2904)</f>
        <v>0.10140000000009444</v>
      </c>
      <c r="T2903" s="45" t="str">
        <f>IFERROR(VLOOKUP(B2903,'Pre-Summary'!$Y$6:$AC$83, 3,FALSE),"")</f>
        <v/>
      </c>
      <c r="U2903" s="45" t="str">
        <f>IFERROR(VLOOKUP(B2903,'Pre-Summary'!$Y$6:$AC$83, 4,FALSE),"")</f>
        <v/>
      </c>
      <c r="V2903" t="str">
        <f>IFERROR(VLOOKUP(B2903,'Pre-Summary'!$Y$6:$AC$83, 5,FALSE),"")</f>
        <v/>
      </c>
      <c r="W2903" s="45" t="str">
        <f>IFERROR(VLOOKUP(B2903,'Pre-Summary'!$Y$6:$AD$83,6,FALSE),"")</f>
        <v/>
      </c>
      <c r="X2903" t="str">
        <f>IFERROR(VLOOKUP('Pre-Summary'!$DB$6:$DD$63,3,FALSE),"")</f>
        <v/>
      </c>
      <c r="Y2903" t="str">
        <f>IFERROR(VLOOKUP(B2903,'Pre-Summary'!$CR$6:$CT$36,3,FALSE),"")</f>
        <v/>
      </c>
      <c r="Z2903" s="45" t="str">
        <f>IFERROR(VLOOKUP(B2903,'Pre-Summary'!$BZ$6:$CB$63,2,FALSE),"")</f>
        <v/>
      </c>
      <c r="AA2903" s="45" t="str">
        <f>IFERROR(VLOOKUP(B2903,'Pre-Summary'!$CG$6:$CI$70,2,FALSE),"")</f>
        <v/>
      </c>
      <c r="AB2903" s="99">
        <f>IFERROR(VLOOKUP(B2903,'Pre-Summary'!$A$6:$P$178,9,FALSE),AB2904)</f>
        <v>0.7010379290946207</v>
      </c>
      <c r="AC2903" s="10">
        <f>IFERROR(VLOOKUP(Summary!B2903,'Pre-Summary'!$A$6:$P$184,5, FALSE)/100,AC2904)</f>
        <v>0.92607166666666674</v>
      </c>
      <c r="AD2903" s="10">
        <f>IFERROR(VLOOKUP(Summary!B2903,'Pre-Summary'!$A$6:$P$184,3, FALSE)/100,AD2904)</f>
        <v>5.4963666666666668E-2</v>
      </c>
      <c r="AE2903" s="10">
        <f>IFERROR(VLOOKUP(Summary!B2903,'Pre-Summary'!$A$6:$P$184,7, FALSE)/100,AE2904)</f>
        <v>1.8946666666666667E-2</v>
      </c>
      <c r="AF2903" s="99">
        <f t="shared" si="136"/>
        <v>3.8531615055447034E-2</v>
      </c>
      <c r="AG2903" s="99">
        <f t="shared" si="137"/>
        <v>1.3282331963246082E-2</v>
      </c>
      <c r="AH2903" s="10" t="str">
        <f>IFERROR(VLOOKUP(B2903,'Pre-Summary'!$AZ$6:$BE$65,3,FALSE),"")</f>
        <v/>
      </c>
      <c r="AI2903" s="10" t="str">
        <f>IFERROR(VLOOKUP(B2903,'Pre-Summary'!$AZ$6:$BE$65,5,FALSE),"")</f>
        <v/>
      </c>
      <c r="AJ2903" s="10" t="str">
        <f>IFERROR(VLOOKUP(B2903,'Pre-Summary'!$AZ$6:$BE$65,4,FALSE),"")</f>
        <v/>
      </c>
      <c r="AK2903" s="10" t="str">
        <f>IFERROR(VLOOKUP(B2903,'Pre-Summary'!$AZ$6:$BE$65,6,FALSE),"")</f>
        <v/>
      </c>
      <c r="AL2903" s="10" t="str">
        <f>IFERROR(VLOOKUP(B2903,'Pre-Summary'!$BG$6:$BL$44,3,FALSE),"")</f>
        <v/>
      </c>
      <c r="AM2903" s="10" t="str">
        <f>IFERROR(VLOOKUP(B2903,'Pre-Summary'!$BG$6:$BL$44,4,FALSE),"")</f>
        <v/>
      </c>
    </row>
    <row r="2904" spans="2:39" ht="15" customHeight="1" x14ac:dyDescent="0.3">
      <c r="B2904">
        <v>290.10000000000002</v>
      </c>
      <c r="C2904" t="str">
        <f>IFERROR(VLOOKUP(B2904,'Pre-Summary'!$DI$6:$DM$23,4,FALSE),"")</f>
        <v/>
      </c>
      <c r="D2904" s="10" t="str">
        <f>IFERROR(VLOOKUP(B2904,'Pre-Summary'!$AT$6:$AX$14,5,FALSE),D2903)</f>
        <v>Wolfe v3: went back to modified wolfe + EDTA and switched CuSO4 to CUCl2</v>
      </c>
      <c r="E2904" s="10" t="str">
        <f>IFERROR(VLOOKUP(B2904,'Pre-Summary'!$AT$6:$AX$15,4,FALSE),"")</f>
        <v/>
      </c>
      <c r="F2904">
        <f>IFERROR(VLOOKUP(B2904,'Pre-Summary'!$AL$6:$AQ$13,6,FALSE),F2903)</f>
        <v>5.9405263157894746E-2</v>
      </c>
      <c r="G2904" t="str">
        <f>IFERROR(VLOOKUP(B2904,'Pre-Summary'!$AE$6:$AJ$85,3,FALSE),"")</f>
        <v/>
      </c>
      <c r="H2904" t="str">
        <f>IFERROR(VLOOKUP(B2904,'Pre-Summary'!$AE$6:$AJ$85,4,FALSE),"")</f>
        <v/>
      </c>
      <c r="I2904" t="str">
        <f>IFERROR(VLOOKUP(B2904,'Pre-Summary'!$AE$6:$AJ$85,5,FALSE),"")</f>
        <v/>
      </c>
      <c r="J2904" s="45" t="str">
        <f>IFERROR(VLOOKUP(B2904,'Pre-Summary'!$AE$6:$AJ$85,6, FALSE),"")</f>
        <v/>
      </c>
      <c r="K2904" s="45" t="str">
        <f>IFERROR(VLOOKUP(B2904,'Pre-Summary'!$DE$6:$DG$61,3,FALSE),"")</f>
        <v/>
      </c>
      <c r="L2904" s="45" t="str">
        <f>IFERROR(VLOOKUP(B2904,'Pre-Summary'!$CU$6:$CW$36,3,FALSE),"")</f>
        <v/>
      </c>
      <c r="M2904" s="45" t="str">
        <f>IFERROR(VLOOKUP(B2904,'Pre-Summary'!$BW$6:$BY$58,2,FALSE),"")</f>
        <v/>
      </c>
      <c r="N2904" s="45" t="str">
        <f>IFERROR(VLOOKUP(B2904,'Pre-Summary'!$CD$6:$CF$64,2,FALSE),"")</f>
        <v/>
      </c>
      <c r="O2904" s="99">
        <f>IFERROR(VLOOKUP(B2904,'Pre-Summary'!$BO$6:$BQ$48,3, FALSE),O2903)</f>
        <v>2.77</v>
      </c>
      <c r="P2904" s="99">
        <f>IFERROR(VLOOKUP(B2904,'Pre-Summary'!$BS$6:$BU$35,3,FALSE),P2903)</f>
        <v>0.70099999999999996</v>
      </c>
      <c r="Q2904" s="54">
        <f t="shared" si="135"/>
        <v>3.9514978601997148</v>
      </c>
      <c r="R2904" s="53">
        <f>IFERROR(VLOOKUP(B2904,'Pre-Summary'!$BG$6:$BM$44,7,FALSE),R2905)</f>
        <v>0.1043586561898026</v>
      </c>
      <c r="S2904" s="53">
        <f>IFERROR(VLOOKUP(B2904,'Pre-Summary'!$BG$6:$BM$44,6,FALSE),S2905)</f>
        <v>0.10140000000009444</v>
      </c>
      <c r="T2904" s="45" t="str">
        <f>IFERROR(VLOOKUP(B2904,'Pre-Summary'!$Y$6:$AC$83, 3,FALSE),"")</f>
        <v/>
      </c>
      <c r="U2904" s="45" t="str">
        <f>IFERROR(VLOOKUP(B2904,'Pre-Summary'!$Y$6:$AC$83, 4,FALSE),"")</f>
        <v/>
      </c>
      <c r="V2904" t="str">
        <f>IFERROR(VLOOKUP(B2904,'Pre-Summary'!$Y$6:$AC$83, 5,FALSE),"")</f>
        <v/>
      </c>
      <c r="W2904" s="45" t="str">
        <f>IFERROR(VLOOKUP(B2904,'Pre-Summary'!$Y$6:$AD$83,6,FALSE),"")</f>
        <v/>
      </c>
      <c r="X2904" t="str">
        <f>IFERROR(VLOOKUP('Pre-Summary'!$DB$6:$DD$63,3,FALSE),"")</f>
        <v/>
      </c>
      <c r="Y2904" t="str">
        <f>IFERROR(VLOOKUP(B2904,'Pre-Summary'!$CR$6:$CT$36,3,FALSE),"")</f>
        <v/>
      </c>
      <c r="Z2904" s="45" t="str">
        <f>IFERROR(VLOOKUP(B2904,'Pre-Summary'!$BZ$6:$CB$63,2,FALSE),"")</f>
        <v/>
      </c>
      <c r="AA2904" s="45" t="str">
        <f>IFERROR(VLOOKUP(B2904,'Pre-Summary'!$CG$6:$CI$70,2,FALSE),"")</f>
        <v/>
      </c>
      <c r="AB2904" s="99">
        <f>IFERROR(VLOOKUP(B2904,'Pre-Summary'!$A$6:$P$178,9,FALSE),AB2905)</f>
        <v>0.7010379290946207</v>
      </c>
      <c r="AC2904" s="10">
        <f>IFERROR(VLOOKUP(Summary!B2904,'Pre-Summary'!$A$6:$P$184,5, FALSE)/100,AC2905)</f>
        <v>0.92607166666666674</v>
      </c>
      <c r="AD2904" s="10">
        <f>IFERROR(VLOOKUP(Summary!B2904,'Pre-Summary'!$A$6:$P$184,3, FALSE)/100,AD2905)</f>
        <v>5.4963666666666668E-2</v>
      </c>
      <c r="AE2904" s="10">
        <f>IFERROR(VLOOKUP(Summary!B2904,'Pre-Summary'!$A$6:$P$184,7, FALSE)/100,AE2905)</f>
        <v>1.8946666666666667E-2</v>
      </c>
      <c r="AF2904" s="99">
        <f t="shared" si="136"/>
        <v>3.8531615055447034E-2</v>
      </c>
      <c r="AG2904" s="99">
        <f t="shared" si="137"/>
        <v>1.3282331963246082E-2</v>
      </c>
      <c r="AH2904" s="10" t="str">
        <f>IFERROR(VLOOKUP(B2904,'Pre-Summary'!$AZ$6:$BE$65,3,FALSE),"")</f>
        <v/>
      </c>
      <c r="AI2904" s="10" t="str">
        <f>IFERROR(VLOOKUP(B2904,'Pre-Summary'!$AZ$6:$BE$65,5,FALSE),"")</f>
        <v/>
      </c>
      <c r="AJ2904" s="10" t="str">
        <f>IFERROR(VLOOKUP(B2904,'Pre-Summary'!$AZ$6:$BE$65,4,FALSE),"")</f>
        <v/>
      </c>
      <c r="AK2904" s="10" t="str">
        <f>IFERROR(VLOOKUP(B2904,'Pre-Summary'!$AZ$6:$BE$65,6,FALSE),"")</f>
        <v/>
      </c>
      <c r="AL2904" s="10" t="str">
        <f>IFERROR(VLOOKUP(B2904,'Pre-Summary'!$BG$6:$BL$44,3,FALSE),"")</f>
        <v/>
      </c>
      <c r="AM2904" s="10" t="str">
        <f>IFERROR(VLOOKUP(B2904,'Pre-Summary'!$BG$6:$BL$44,4,FALSE),"")</f>
        <v/>
      </c>
    </row>
    <row r="2905" spans="2:39" ht="15" customHeight="1" x14ac:dyDescent="0.3">
      <c r="B2905">
        <v>290.2</v>
      </c>
      <c r="C2905" t="str">
        <f>IFERROR(VLOOKUP(B2905,'Pre-Summary'!$DI$6:$DM$23,4,FALSE),"")</f>
        <v/>
      </c>
      <c r="D2905" s="10" t="str">
        <f>IFERROR(VLOOKUP(B2905,'Pre-Summary'!$AT$6:$AX$14,5,FALSE),D2904)</f>
        <v>Wolfe v3: went back to modified wolfe + EDTA and switched CuSO4 to CUCl2</v>
      </c>
      <c r="E2905" s="10" t="str">
        <f>IFERROR(VLOOKUP(B2905,'Pre-Summary'!$AT$6:$AX$15,4,FALSE),"")</f>
        <v/>
      </c>
      <c r="F2905">
        <f>IFERROR(VLOOKUP(B2905,'Pre-Summary'!$AL$6:$AQ$13,6,FALSE),F2904)</f>
        <v>5.9405263157894746E-2</v>
      </c>
      <c r="G2905" t="str">
        <f>IFERROR(VLOOKUP(B2905,'Pre-Summary'!$AE$6:$AJ$85,3,FALSE),"")</f>
        <v/>
      </c>
      <c r="H2905" t="str">
        <f>IFERROR(VLOOKUP(B2905,'Pre-Summary'!$AE$6:$AJ$85,4,FALSE),"")</f>
        <v/>
      </c>
      <c r="I2905" t="str">
        <f>IFERROR(VLOOKUP(B2905,'Pre-Summary'!$AE$6:$AJ$85,5,FALSE),"")</f>
        <v/>
      </c>
      <c r="J2905" s="45" t="str">
        <f>IFERROR(VLOOKUP(B2905,'Pre-Summary'!$AE$6:$AJ$85,6, FALSE),"")</f>
        <v/>
      </c>
      <c r="K2905" s="45" t="str">
        <f>IFERROR(VLOOKUP(B2905,'Pre-Summary'!$DE$6:$DG$61,3,FALSE),"")</f>
        <v/>
      </c>
      <c r="L2905" s="45" t="str">
        <f>IFERROR(VLOOKUP(B2905,'Pre-Summary'!$CU$6:$CW$36,3,FALSE),"")</f>
        <v/>
      </c>
      <c r="M2905" s="45" t="str">
        <f>IFERROR(VLOOKUP(B2905,'Pre-Summary'!$BW$6:$BY$58,2,FALSE),"")</f>
        <v/>
      </c>
      <c r="N2905" s="45" t="str">
        <f>IFERROR(VLOOKUP(B2905,'Pre-Summary'!$CD$6:$CF$64,2,FALSE),"")</f>
        <v/>
      </c>
      <c r="O2905" s="99">
        <f>IFERROR(VLOOKUP(B2905,'Pre-Summary'!$BO$6:$BQ$48,3, FALSE),O2904)</f>
        <v>2.77</v>
      </c>
      <c r="P2905" s="99">
        <f>IFERROR(VLOOKUP(B2905,'Pre-Summary'!$BS$6:$BU$35,3,FALSE),P2904)</f>
        <v>0.70099999999999996</v>
      </c>
      <c r="Q2905" s="54">
        <f t="shared" si="135"/>
        <v>3.9514978601997148</v>
      </c>
      <c r="R2905" s="53">
        <f>IFERROR(VLOOKUP(B2905,'Pre-Summary'!$BG$6:$BM$44,7,FALSE),R2906)</f>
        <v>0.1043586561898026</v>
      </c>
      <c r="S2905" s="53">
        <f>IFERROR(VLOOKUP(B2905,'Pre-Summary'!$BG$6:$BM$44,6,FALSE),S2906)</f>
        <v>0.10140000000009444</v>
      </c>
      <c r="T2905" s="45" t="str">
        <f>IFERROR(VLOOKUP(B2905,'Pre-Summary'!$Y$6:$AC$83, 3,FALSE),"")</f>
        <v/>
      </c>
      <c r="U2905" s="45" t="str">
        <f>IFERROR(VLOOKUP(B2905,'Pre-Summary'!$Y$6:$AC$83, 4,FALSE),"")</f>
        <v/>
      </c>
      <c r="V2905" t="str">
        <f>IFERROR(VLOOKUP(B2905,'Pre-Summary'!$Y$6:$AC$83, 5,FALSE),"")</f>
        <v/>
      </c>
      <c r="W2905" s="45" t="str">
        <f>IFERROR(VLOOKUP(B2905,'Pre-Summary'!$Y$6:$AD$83,6,FALSE),"")</f>
        <v/>
      </c>
      <c r="X2905" t="str">
        <f>IFERROR(VLOOKUP('Pre-Summary'!$DB$6:$DD$63,3,FALSE),"")</f>
        <v/>
      </c>
      <c r="Y2905" t="str">
        <f>IFERROR(VLOOKUP(B2905,'Pre-Summary'!$CR$6:$CT$36,3,FALSE),"")</f>
        <v/>
      </c>
      <c r="Z2905" s="45" t="str">
        <f>IFERROR(VLOOKUP(B2905,'Pre-Summary'!$BZ$6:$CB$63,2,FALSE),"")</f>
        <v/>
      </c>
      <c r="AA2905" s="45" t="str">
        <f>IFERROR(VLOOKUP(B2905,'Pre-Summary'!$CG$6:$CI$70,2,FALSE),"")</f>
        <v/>
      </c>
      <c r="AB2905" s="99">
        <f>IFERROR(VLOOKUP(B2905,'Pre-Summary'!$A$6:$P$178,9,FALSE),AB2906)</f>
        <v>0.7010379290946207</v>
      </c>
      <c r="AC2905" s="10">
        <f>IFERROR(VLOOKUP(Summary!B2905,'Pre-Summary'!$A$6:$P$184,5, FALSE)/100,AC2906)</f>
        <v>0.92607166666666674</v>
      </c>
      <c r="AD2905" s="10">
        <f>IFERROR(VLOOKUP(Summary!B2905,'Pre-Summary'!$A$6:$P$184,3, FALSE)/100,AD2906)</f>
        <v>5.4963666666666668E-2</v>
      </c>
      <c r="AE2905" s="10">
        <f>IFERROR(VLOOKUP(Summary!B2905,'Pre-Summary'!$A$6:$P$184,7, FALSE)/100,AE2906)</f>
        <v>1.8946666666666667E-2</v>
      </c>
      <c r="AF2905" s="99">
        <f t="shared" si="136"/>
        <v>3.8531615055447034E-2</v>
      </c>
      <c r="AG2905" s="99">
        <f t="shared" si="137"/>
        <v>1.3282331963246082E-2</v>
      </c>
      <c r="AH2905" s="10" t="str">
        <f>IFERROR(VLOOKUP(B2905,'Pre-Summary'!$AZ$6:$BE$65,3,FALSE),"")</f>
        <v/>
      </c>
      <c r="AI2905" s="10" t="str">
        <f>IFERROR(VLOOKUP(B2905,'Pre-Summary'!$AZ$6:$BE$65,5,FALSE),"")</f>
        <v/>
      </c>
      <c r="AJ2905" s="10" t="str">
        <f>IFERROR(VLOOKUP(B2905,'Pre-Summary'!$AZ$6:$BE$65,4,FALSE),"")</f>
        <v/>
      </c>
      <c r="AK2905" s="10" t="str">
        <f>IFERROR(VLOOKUP(B2905,'Pre-Summary'!$AZ$6:$BE$65,6,FALSE),"")</f>
        <v/>
      </c>
      <c r="AL2905" s="10" t="str">
        <f>IFERROR(VLOOKUP(B2905,'Pre-Summary'!$BG$6:$BL$44,3,FALSE),"")</f>
        <v/>
      </c>
      <c r="AM2905" s="10" t="str">
        <f>IFERROR(VLOOKUP(B2905,'Pre-Summary'!$BG$6:$BL$44,4,FALSE),"")</f>
        <v/>
      </c>
    </row>
    <row r="2906" spans="2:39" ht="15" customHeight="1" x14ac:dyDescent="0.3">
      <c r="B2906">
        <v>290.3</v>
      </c>
      <c r="C2906" t="str">
        <f>IFERROR(VLOOKUP(B2906,'Pre-Summary'!$DI$6:$DM$23,4,FALSE),"")</f>
        <v/>
      </c>
      <c r="D2906" s="10" t="str">
        <f>IFERROR(VLOOKUP(B2906,'Pre-Summary'!$AT$6:$AX$14,5,FALSE),D2905)</f>
        <v>Wolfe v3: went back to modified wolfe + EDTA and switched CuSO4 to CUCl2</v>
      </c>
      <c r="E2906" s="10" t="str">
        <f>IFERROR(VLOOKUP(B2906,'Pre-Summary'!$AT$6:$AX$15,4,FALSE),"")</f>
        <v/>
      </c>
      <c r="F2906">
        <f>IFERROR(VLOOKUP(B2906,'Pre-Summary'!$AL$6:$AQ$13,6,FALSE),F2905)</f>
        <v>5.9405263157894746E-2</v>
      </c>
      <c r="G2906" t="str">
        <f>IFERROR(VLOOKUP(B2906,'Pre-Summary'!$AE$6:$AJ$85,3,FALSE),"")</f>
        <v/>
      </c>
      <c r="H2906" t="str">
        <f>IFERROR(VLOOKUP(B2906,'Pre-Summary'!$AE$6:$AJ$85,4,FALSE),"")</f>
        <v/>
      </c>
      <c r="I2906" t="str">
        <f>IFERROR(VLOOKUP(B2906,'Pre-Summary'!$AE$6:$AJ$85,5,FALSE),"")</f>
        <v/>
      </c>
      <c r="J2906" s="45" t="str">
        <f>IFERROR(VLOOKUP(B2906,'Pre-Summary'!$AE$6:$AJ$85,6, FALSE),"")</f>
        <v/>
      </c>
      <c r="K2906" s="45" t="str">
        <f>IFERROR(VLOOKUP(B2906,'Pre-Summary'!$DE$6:$DG$61,3,FALSE),"")</f>
        <v/>
      </c>
      <c r="L2906" s="45" t="str">
        <f>IFERROR(VLOOKUP(B2906,'Pre-Summary'!$CU$6:$CW$36,3,FALSE),"")</f>
        <v/>
      </c>
      <c r="M2906" s="45" t="str">
        <f>IFERROR(VLOOKUP(B2906,'Pre-Summary'!$BW$6:$BY$58,2,FALSE),"")</f>
        <v/>
      </c>
      <c r="N2906" s="45" t="str">
        <f>IFERROR(VLOOKUP(B2906,'Pre-Summary'!$CD$6:$CF$64,2,FALSE),"")</f>
        <v/>
      </c>
      <c r="O2906" s="99">
        <f>IFERROR(VLOOKUP(B2906,'Pre-Summary'!$BO$6:$BQ$48,3, FALSE),O2905)</f>
        <v>2.77</v>
      </c>
      <c r="P2906" s="99">
        <f>IFERROR(VLOOKUP(B2906,'Pre-Summary'!$BS$6:$BU$35,3,FALSE),P2905)</f>
        <v>0.70099999999999996</v>
      </c>
      <c r="Q2906" s="54">
        <f t="shared" si="135"/>
        <v>3.9514978601997148</v>
      </c>
      <c r="R2906" s="53">
        <f>IFERROR(VLOOKUP(B2906,'Pre-Summary'!$BG$6:$BM$44,7,FALSE),R2907)</f>
        <v>0.1043586561898026</v>
      </c>
      <c r="S2906" s="53">
        <f>IFERROR(VLOOKUP(B2906,'Pre-Summary'!$BG$6:$BM$44,6,FALSE),S2907)</f>
        <v>0.10140000000009444</v>
      </c>
      <c r="T2906" s="45" t="str">
        <f>IFERROR(VLOOKUP(B2906,'Pre-Summary'!$Y$6:$AC$83, 3,FALSE),"")</f>
        <v/>
      </c>
      <c r="U2906" s="45" t="str">
        <f>IFERROR(VLOOKUP(B2906,'Pre-Summary'!$Y$6:$AC$83, 4,FALSE),"")</f>
        <v/>
      </c>
      <c r="V2906" t="str">
        <f>IFERROR(VLOOKUP(B2906,'Pre-Summary'!$Y$6:$AC$83, 5,FALSE),"")</f>
        <v/>
      </c>
      <c r="W2906" s="45" t="str">
        <f>IFERROR(VLOOKUP(B2906,'Pre-Summary'!$Y$6:$AD$83,6,FALSE),"")</f>
        <v/>
      </c>
      <c r="X2906" t="str">
        <f>IFERROR(VLOOKUP('Pre-Summary'!$DB$6:$DD$63,3,FALSE),"")</f>
        <v/>
      </c>
      <c r="Y2906" t="str">
        <f>IFERROR(VLOOKUP(B2906,'Pre-Summary'!$CR$6:$CT$36,3,FALSE),"")</f>
        <v/>
      </c>
      <c r="Z2906" s="45" t="str">
        <f>IFERROR(VLOOKUP(B2906,'Pre-Summary'!$BZ$6:$CB$63,2,FALSE),"")</f>
        <v/>
      </c>
      <c r="AA2906" s="45" t="str">
        <f>IFERROR(VLOOKUP(B2906,'Pre-Summary'!$CG$6:$CI$70,2,FALSE),"")</f>
        <v/>
      </c>
      <c r="AB2906" s="99">
        <f>IFERROR(VLOOKUP(B2906,'Pre-Summary'!$A$6:$P$178,9,FALSE),AB2907)</f>
        <v>0.7010379290946207</v>
      </c>
      <c r="AC2906" s="10">
        <f>IFERROR(VLOOKUP(Summary!B2906,'Pre-Summary'!$A$6:$P$184,5, FALSE)/100,AC2907)</f>
        <v>0.92607166666666674</v>
      </c>
      <c r="AD2906" s="10">
        <f>IFERROR(VLOOKUP(Summary!B2906,'Pre-Summary'!$A$6:$P$184,3, FALSE)/100,AD2907)</f>
        <v>5.4963666666666668E-2</v>
      </c>
      <c r="AE2906" s="10">
        <f>IFERROR(VLOOKUP(Summary!B2906,'Pre-Summary'!$A$6:$P$184,7, FALSE)/100,AE2907)</f>
        <v>1.8946666666666667E-2</v>
      </c>
      <c r="AF2906" s="99">
        <f t="shared" si="136"/>
        <v>3.8531615055447034E-2</v>
      </c>
      <c r="AG2906" s="99">
        <f t="shared" si="137"/>
        <v>1.3282331963246082E-2</v>
      </c>
      <c r="AH2906" s="10" t="str">
        <f>IFERROR(VLOOKUP(B2906,'Pre-Summary'!$AZ$6:$BE$65,3,FALSE),"")</f>
        <v/>
      </c>
      <c r="AI2906" s="10" t="str">
        <f>IFERROR(VLOOKUP(B2906,'Pre-Summary'!$AZ$6:$BE$65,5,FALSE),"")</f>
        <v/>
      </c>
      <c r="AJ2906" s="10" t="str">
        <f>IFERROR(VLOOKUP(B2906,'Pre-Summary'!$AZ$6:$BE$65,4,FALSE),"")</f>
        <v/>
      </c>
      <c r="AK2906" s="10" t="str">
        <f>IFERROR(VLOOKUP(B2906,'Pre-Summary'!$AZ$6:$BE$65,6,FALSE),"")</f>
        <v/>
      </c>
      <c r="AL2906" s="10" t="str">
        <f>IFERROR(VLOOKUP(B2906,'Pre-Summary'!$BG$6:$BL$44,3,FALSE),"")</f>
        <v/>
      </c>
      <c r="AM2906" s="10" t="str">
        <f>IFERROR(VLOOKUP(B2906,'Pre-Summary'!$BG$6:$BL$44,4,FALSE),"")</f>
        <v/>
      </c>
    </row>
    <row r="2907" spans="2:39" ht="15" customHeight="1" x14ac:dyDescent="0.3">
      <c r="B2907">
        <v>290.39999999999998</v>
      </c>
      <c r="C2907" t="str">
        <f>IFERROR(VLOOKUP(B2907,'Pre-Summary'!$DI$6:$DM$23,4,FALSE),"")</f>
        <v/>
      </c>
      <c r="D2907" s="10" t="str">
        <f>IFERROR(VLOOKUP(B2907,'Pre-Summary'!$AT$6:$AX$14,5,FALSE),D2906)</f>
        <v>Wolfe v3: went back to modified wolfe + EDTA and switched CuSO4 to CUCl2</v>
      </c>
      <c r="E2907" s="10" t="str">
        <f>IFERROR(VLOOKUP(B2907,'Pre-Summary'!$AT$6:$AX$15,4,FALSE),"")</f>
        <v/>
      </c>
      <c r="F2907">
        <f>IFERROR(VLOOKUP(B2907,'Pre-Summary'!$AL$6:$AQ$13,6,FALSE),F2906)</f>
        <v>5.9405263157894746E-2</v>
      </c>
      <c r="G2907" t="str">
        <f>IFERROR(VLOOKUP(B2907,'Pre-Summary'!$AE$6:$AJ$85,3,FALSE),"")</f>
        <v/>
      </c>
      <c r="H2907" t="str">
        <f>IFERROR(VLOOKUP(B2907,'Pre-Summary'!$AE$6:$AJ$85,4,FALSE),"")</f>
        <v/>
      </c>
      <c r="I2907" t="str">
        <f>IFERROR(VLOOKUP(B2907,'Pre-Summary'!$AE$6:$AJ$85,5,FALSE),"")</f>
        <v/>
      </c>
      <c r="J2907" s="45" t="str">
        <f>IFERROR(VLOOKUP(B2907,'Pre-Summary'!$AE$6:$AJ$85,6, FALSE),"")</f>
        <v/>
      </c>
      <c r="K2907" s="45" t="str">
        <f>IFERROR(VLOOKUP(B2907,'Pre-Summary'!$DE$6:$DG$61,3,FALSE),"")</f>
        <v/>
      </c>
      <c r="L2907" s="45" t="str">
        <f>IFERROR(VLOOKUP(B2907,'Pre-Summary'!$CU$6:$CW$36,3,FALSE),"")</f>
        <v/>
      </c>
      <c r="M2907" s="45" t="str">
        <f>IFERROR(VLOOKUP(B2907,'Pre-Summary'!$BW$6:$BY$58,2,FALSE),"")</f>
        <v/>
      </c>
      <c r="N2907" s="45" t="str">
        <f>IFERROR(VLOOKUP(B2907,'Pre-Summary'!$CD$6:$CF$64,2,FALSE),"")</f>
        <v/>
      </c>
      <c r="O2907" s="99">
        <f>IFERROR(VLOOKUP(B2907,'Pre-Summary'!$BO$6:$BQ$48,3, FALSE),O2906)</f>
        <v>2.77</v>
      </c>
      <c r="P2907" s="99">
        <f>IFERROR(VLOOKUP(B2907,'Pre-Summary'!$BS$6:$BU$35,3,FALSE),P2906)</f>
        <v>0.70099999999999996</v>
      </c>
      <c r="Q2907" s="54">
        <f t="shared" si="135"/>
        <v>3.9514978601997148</v>
      </c>
      <c r="R2907" s="53">
        <f>IFERROR(VLOOKUP(B2907,'Pre-Summary'!$BG$6:$BM$44,7,FALSE),R2908)</f>
        <v>0.1043586561898026</v>
      </c>
      <c r="S2907" s="53">
        <f>IFERROR(VLOOKUP(B2907,'Pre-Summary'!$BG$6:$BM$44,6,FALSE),S2908)</f>
        <v>0.10140000000009444</v>
      </c>
      <c r="T2907" s="45" t="str">
        <f>IFERROR(VLOOKUP(B2907,'Pre-Summary'!$Y$6:$AC$83, 3,FALSE),"")</f>
        <v/>
      </c>
      <c r="U2907" s="45" t="str">
        <f>IFERROR(VLOOKUP(B2907,'Pre-Summary'!$Y$6:$AC$83, 4,FALSE),"")</f>
        <v/>
      </c>
      <c r="V2907" t="str">
        <f>IFERROR(VLOOKUP(B2907,'Pre-Summary'!$Y$6:$AC$83, 5,FALSE),"")</f>
        <v/>
      </c>
      <c r="W2907" s="45" t="str">
        <f>IFERROR(VLOOKUP(B2907,'Pre-Summary'!$Y$6:$AD$83,6,FALSE),"")</f>
        <v/>
      </c>
      <c r="X2907" t="str">
        <f>IFERROR(VLOOKUP('Pre-Summary'!$DB$6:$DD$63,3,FALSE),"")</f>
        <v/>
      </c>
      <c r="Y2907" t="str">
        <f>IFERROR(VLOOKUP(B2907,'Pre-Summary'!$CR$6:$CT$36,3,FALSE),"")</f>
        <v/>
      </c>
      <c r="Z2907" s="45" t="str">
        <f>IFERROR(VLOOKUP(B2907,'Pre-Summary'!$BZ$6:$CB$63,2,FALSE),"")</f>
        <v/>
      </c>
      <c r="AA2907" s="45" t="str">
        <f>IFERROR(VLOOKUP(B2907,'Pre-Summary'!$CG$6:$CI$70,2,FALSE),"")</f>
        <v/>
      </c>
      <c r="AB2907" s="99">
        <f>IFERROR(VLOOKUP(B2907,'Pre-Summary'!$A$6:$P$178,9,FALSE),AB2908)</f>
        <v>0.7010379290946207</v>
      </c>
      <c r="AC2907" s="10">
        <f>IFERROR(VLOOKUP(Summary!B2907,'Pre-Summary'!$A$6:$P$184,5, FALSE)/100,AC2908)</f>
        <v>0.92607166666666674</v>
      </c>
      <c r="AD2907" s="10">
        <f>IFERROR(VLOOKUP(Summary!B2907,'Pre-Summary'!$A$6:$P$184,3, FALSE)/100,AD2908)</f>
        <v>5.4963666666666668E-2</v>
      </c>
      <c r="AE2907" s="10">
        <f>IFERROR(VLOOKUP(Summary!B2907,'Pre-Summary'!$A$6:$P$184,7, FALSE)/100,AE2908)</f>
        <v>1.8946666666666667E-2</v>
      </c>
      <c r="AF2907" s="99">
        <f t="shared" si="136"/>
        <v>3.8531615055447034E-2</v>
      </c>
      <c r="AG2907" s="99">
        <f t="shared" si="137"/>
        <v>1.3282331963246082E-2</v>
      </c>
      <c r="AH2907" s="10" t="str">
        <f>IFERROR(VLOOKUP(B2907,'Pre-Summary'!$AZ$6:$BE$65,3,FALSE),"")</f>
        <v/>
      </c>
      <c r="AI2907" s="10" t="str">
        <f>IFERROR(VLOOKUP(B2907,'Pre-Summary'!$AZ$6:$BE$65,5,FALSE),"")</f>
        <v/>
      </c>
      <c r="AJ2907" s="10" t="str">
        <f>IFERROR(VLOOKUP(B2907,'Pre-Summary'!$AZ$6:$BE$65,4,FALSE),"")</f>
        <v/>
      </c>
      <c r="AK2907" s="10" t="str">
        <f>IFERROR(VLOOKUP(B2907,'Pre-Summary'!$AZ$6:$BE$65,6,FALSE),"")</f>
        <v/>
      </c>
      <c r="AL2907" s="10" t="str">
        <f>IFERROR(VLOOKUP(B2907,'Pre-Summary'!$BG$6:$BL$44,3,FALSE),"")</f>
        <v/>
      </c>
      <c r="AM2907" s="10" t="str">
        <f>IFERROR(VLOOKUP(B2907,'Pre-Summary'!$BG$6:$BL$44,4,FALSE),"")</f>
        <v/>
      </c>
    </row>
    <row r="2908" spans="2:39" ht="15" customHeight="1" x14ac:dyDescent="0.3">
      <c r="B2908">
        <v>290.5</v>
      </c>
      <c r="C2908" t="str">
        <f>IFERROR(VLOOKUP(B2908,'Pre-Summary'!$DI$6:$DM$23,4,FALSE),"")</f>
        <v/>
      </c>
      <c r="D2908" s="10" t="str">
        <f>IFERROR(VLOOKUP(B2908,'Pre-Summary'!$AT$6:$AX$14,5,FALSE),D2907)</f>
        <v>Wolfe v3: went back to modified wolfe + EDTA and switched CuSO4 to CUCl2</v>
      </c>
      <c r="E2908" s="10" t="str">
        <f>IFERROR(VLOOKUP(B2908,'Pre-Summary'!$AT$6:$AX$15,4,FALSE),"")</f>
        <v/>
      </c>
      <c r="F2908">
        <f>IFERROR(VLOOKUP(B2908,'Pre-Summary'!$AL$6:$AQ$13,6,FALSE),F2907)</f>
        <v>5.9405263157894746E-2</v>
      </c>
      <c r="G2908" t="str">
        <f>IFERROR(VLOOKUP(B2908,'Pre-Summary'!$AE$6:$AJ$85,3,FALSE),"")</f>
        <v/>
      </c>
      <c r="H2908" t="str">
        <f>IFERROR(VLOOKUP(B2908,'Pre-Summary'!$AE$6:$AJ$85,4,FALSE),"")</f>
        <v/>
      </c>
      <c r="I2908" t="str">
        <f>IFERROR(VLOOKUP(B2908,'Pre-Summary'!$AE$6:$AJ$85,5,FALSE),"")</f>
        <v/>
      </c>
      <c r="J2908" s="45" t="str">
        <f>IFERROR(VLOOKUP(B2908,'Pre-Summary'!$AE$6:$AJ$85,6, FALSE),"")</f>
        <v/>
      </c>
      <c r="K2908" s="45" t="str">
        <f>IFERROR(VLOOKUP(B2908,'Pre-Summary'!$DE$6:$DG$61,3,FALSE),"")</f>
        <v/>
      </c>
      <c r="L2908" s="45" t="str">
        <f>IFERROR(VLOOKUP(B2908,'Pre-Summary'!$CU$6:$CW$36,3,FALSE),"")</f>
        <v/>
      </c>
      <c r="M2908" s="45" t="str">
        <f>IFERROR(VLOOKUP(B2908,'Pre-Summary'!$BW$6:$BY$58,2,FALSE),"")</f>
        <v/>
      </c>
      <c r="N2908" s="45" t="str">
        <f>IFERROR(VLOOKUP(B2908,'Pre-Summary'!$CD$6:$CF$64,2,FALSE),"")</f>
        <v/>
      </c>
      <c r="O2908" s="99">
        <f>IFERROR(VLOOKUP(B2908,'Pre-Summary'!$BO$6:$BQ$48,3, FALSE),O2907)</f>
        <v>2.77</v>
      </c>
      <c r="P2908" s="99">
        <f>IFERROR(VLOOKUP(B2908,'Pre-Summary'!$BS$6:$BU$35,3,FALSE),P2907)</f>
        <v>0.70099999999999996</v>
      </c>
      <c r="Q2908" s="54">
        <f t="shared" si="135"/>
        <v>3.9514978601997148</v>
      </c>
      <c r="R2908" s="53">
        <f>IFERROR(VLOOKUP(B2908,'Pre-Summary'!$BG$6:$BM$44,7,FALSE),R2909)</f>
        <v>0.1043586561898026</v>
      </c>
      <c r="S2908" s="53">
        <f>IFERROR(VLOOKUP(B2908,'Pre-Summary'!$BG$6:$BM$44,6,FALSE),S2909)</f>
        <v>0.10140000000009444</v>
      </c>
      <c r="T2908" s="45" t="str">
        <f>IFERROR(VLOOKUP(B2908,'Pre-Summary'!$Y$6:$AC$83, 3,FALSE),"")</f>
        <v/>
      </c>
      <c r="U2908" s="45" t="str">
        <f>IFERROR(VLOOKUP(B2908,'Pre-Summary'!$Y$6:$AC$83, 4,FALSE),"")</f>
        <v/>
      </c>
      <c r="V2908" t="str">
        <f>IFERROR(VLOOKUP(B2908,'Pre-Summary'!$Y$6:$AC$83, 5,FALSE),"")</f>
        <v/>
      </c>
      <c r="W2908" s="45" t="str">
        <f>IFERROR(VLOOKUP(B2908,'Pre-Summary'!$Y$6:$AD$83,6,FALSE),"")</f>
        <v/>
      </c>
      <c r="X2908" t="str">
        <f>IFERROR(VLOOKUP('Pre-Summary'!$DB$6:$DD$63,3,FALSE),"")</f>
        <v/>
      </c>
      <c r="Y2908" t="str">
        <f>IFERROR(VLOOKUP(B2908,'Pre-Summary'!$CR$6:$CT$36,3,FALSE),"")</f>
        <v/>
      </c>
      <c r="Z2908" s="45" t="str">
        <f>IFERROR(VLOOKUP(B2908,'Pre-Summary'!$BZ$6:$CB$63,2,FALSE),"")</f>
        <v/>
      </c>
      <c r="AA2908" s="45" t="str">
        <f>IFERROR(VLOOKUP(B2908,'Pre-Summary'!$CG$6:$CI$70,2,FALSE),"")</f>
        <v/>
      </c>
      <c r="AB2908" s="99">
        <f>IFERROR(VLOOKUP(B2908,'Pre-Summary'!$A$6:$P$178,9,FALSE),AB2909)</f>
        <v>0.7010379290946207</v>
      </c>
      <c r="AC2908" s="10">
        <f>IFERROR(VLOOKUP(Summary!B2908,'Pre-Summary'!$A$6:$P$184,5, FALSE)/100,AC2909)</f>
        <v>0.92607166666666674</v>
      </c>
      <c r="AD2908" s="10">
        <f>IFERROR(VLOOKUP(Summary!B2908,'Pre-Summary'!$A$6:$P$184,3, FALSE)/100,AD2909)</f>
        <v>5.4963666666666668E-2</v>
      </c>
      <c r="AE2908" s="10">
        <f>IFERROR(VLOOKUP(Summary!B2908,'Pre-Summary'!$A$6:$P$184,7, FALSE)/100,AE2909)</f>
        <v>1.8946666666666667E-2</v>
      </c>
      <c r="AF2908" s="99">
        <f t="shared" si="136"/>
        <v>3.8531615055447034E-2</v>
      </c>
      <c r="AG2908" s="99">
        <f t="shared" si="137"/>
        <v>1.3282331963246082E-2</v>
      </c>
      <c r="AH2908" s="10" t="str">
        <f>IFERROR(VLOOKUP(B2908,'Pre-Summary'!$AZ$6:$BE$65,3,FALSE),"")</f>
        <v/>
      </c>
      <c r="AI2908" s="10" t="str">
        <f>IFERROR(VLOOKUP(B2908,'Pre-Summary'!$AZ$6:$BE$65,5,FALSE),"")</f>
        <v/>
      </c>
      <c r="AJ2908" s="10" t="str">
        <f>IFERROR(VLOOKUP(B2908,'Pre-Summary'!$AZ$6:$BE$65,4,FALSE),"")</f>
        <v/>
      </c>
      <c r="AK2908" s="10" t="str">
        <f>IFERROR(VLOOKUP(B2908,'Pre-Summary'!$AZ$6:$BE$65,6,FALSE),"")</f>
        <v/>
      </c>
      <c r="AL2908" s="10" t="str">
        <f>IFERROR(VLOOKUP(B2908,'Pre-Summary'!$BG$6:$BL$44,3,FALSE),"")</f>
        <v/>
      </c>
      <c r="AM2908" s="10" t="str">
        <f>IFERROR(VLOOKUP(B2908,'Pre-Summary'!$BG$6:$BL$44,4,FALSE),"")</f>
        <v/>
      </c>
    </row>
    <row r="2909" spans="2:39" ht="15" customHeight="1" x14ac:dyDescent="0.3">
      <c r="B2909">
        <v>290.60000000000002</v>
      </c>
      <c r="C2909" t="str">
        <f>IFERROR(VLOOKUP(B2909,'Pre-Summary'!$DI$6:$DM$23,4,FALSE),"")</f>
        <v/>
      </c>
      <c r="D2909" s="10" t="str">
        <f>IFERROR(VLOOKUP(B2909,'Pre-Summary'!$AT$6:$AX$14,5,FALSE),D2908)</f>
        <v>Wolfe v3: went back to modified wolfe + EDTA and switched CuSO4 to CUCl2</v>
      </c>
      <c r="E2909" s="10" t="str">
        <f>IFERROR(VLOOKUP(B2909,'Pre-Summary'!$AT$6:$AX$15,4,FALSE),"")</f>
        <v/>
      </c>
      <c r="F2909">
        <f>IFERROR(VLOOKUP(B2909,'Pre-Summary'!$AL$6:$AQ$13,6,FALSE),F2908)</f>
        <v>5.9405263157894746E-2</v>
      </c>
      <c r="G2909" t="str">
        <f>IFERROR(VLOOKUP(B2909,'Pre-Summary'!$AE$6:$AJ$85,3,FALSE),"")</f>
        <v/>
      </c>
      <c r="H2909" t="str">
        <f>IFERROR(VLOOKUP(B2909,'Pre-Summary'!$AE$6:$AJ$85,4,FALSE),"")</f>
        <v/>
      </c>
      <c r="I2909" t="str">
        <f>IFERROR(VLOOKUP(B2909,'Pre-Summary'!$AE$6:$AJ$85,5,FALSE),"")</f>
        <v/>
      </c>
      <c r="J2909" s="45" t="str">
        <f>IFERROR(VLOOKUP(B2909,'Pre-Summary'!$AE$6:$AJ$85,6, FALSE),"")</f>
        <v/>
      </c>
      <c r="K2909" s="45" t="str">
        <f>IFERROR(VLOOKUP(B2909,'Pre-Summary'!$DE$6:$DG$61,3,FALSE),"")</f>
        <v/>
      </c>
      <c r="L2909" s="45" t="str">
        <f>IFERROR(VLOOKUP(B2909,'Pre-Summary'!$CU$6:$CW$36,3,FALSE),"")</f>
        <v/>
      </c>
      <c r="M2909" s="45" t="str">
        <f>IFERROR(VLOOKUP(B2909,'Pre-Summary'!$BW$6:$BY$58,2,FALSE),"")</f>
        <v/>
      </c>
      <c r="N2909" s="45" t="str">
        <f>IFERROR(VLOOKUP(B2909,'Pre-Summary'!$CD$6:$CF$64,2,FALSE),"")</f>
        <v/>
      </c>
      <c r="O2909" s="99">
        <f>IFERROR(VLOOKUP(B2909,'Pre-Summary'!$BO$6:$BQ$48,3, FALSE),O2908)</f>
        <v>2.77</v>
      </c>
      <c r="P2909" s="99">
        <f>IFERROR(VLOOKUP(B2909,'Pre-Summary'!$BS$6:$BU$35,3,FALSE),P2908)</f>
        <v>0.70099999999999996</v>
      </c>
      <c r="Q2909" s="54">
        <f t="shared" si="135"/>
        <v>3.9514978601997148</v>
      </c>
      <c r="R2909" s="53">
        <f>IFERROR(VLOOKUP(B2909,'Pre-Summary'!$BG$6:$BM$44,7,FALSE),R2910)</f>
        <v>0.1043586561898026</v>
      </c>
      <c r="S2909" s="53">
        <f>IFERROR(VLOOKUP(B2909,'Pre-Summary'!$BG$6:$BM$44,6,FALSE),S2910)</f>
        <v>0.10140000000009444</v>
      </c>
      <c r="T2909" s="45" t="str">
        <f>IFERROR(VLOOKUP(B2909,'Pre-Summary'!$Y$6:$AC$83, 3,FALSE),"")</f>
        <v/>
      </c>
      <c r="U2909" s="45" t="str">
        <f>IFERROR(VLOOKUP(B2909,'Pre-Summary'!$Y$6:$AC$83, 4,FALSE),"")</f>
        <v/>
      </c>
      <c r="V2909" t="str">
        <f>IFERROR(VLOOKUP(B2909,'Pre-Summary'!$Y$6:$AC$83, 5,FALSE),"")</f>
        <v/>
      </c>
      <c r="W2909" s="45" t="str">
        <f>IFERROR(VLOOKUP(B2909,'Pre-Summary'!$Y$6:$AD$83,6,FALSE),"")</f>
        <v/>
      </c>
      <c r="X2909" t="str">
        <f>IFERROR(VLOOKUP('Pre-Summary'!$DB$6:$DD$63,3,FALSE),"")</f>
        <v/>
      </c>
      <c r="Y2909" t="str">
        <f>IFERROR(VLOOKUP(B2909,'Pre-Summary'!$CR$6:$CT$36,3,FALSE),"")</f>
        <v/>
      </c>
      <c r="Z2909" s="45" t="str">
        <f>IFERROR(VLOOKUP(B2909,'Pre-Summary'!$BZ$6:$CB$63,2,FALSE),"")</f>
        <v/>
      </c>
      <c r="AA2909" s="45" t="str">
        <f>IFERROR(VLOOKUP(B2909,'Pre-Summary'!$CG$6:$CI$70,2,FALSE),"")</f>
        <v/>
      </c>
      <c r="AB2909" s="99">
        <f>IFERROR(VLOOKUP(B2909,'Pre-Summary'!$A$6:$P$178,9,FALSE),AB2910)</f>
        <v>0.7010379290946207</v>
      </c>
      <c r="AC2909" s="10">
        <f>IFERROR(VLOOKUP(Summary!B2909,'Pre-Summary'!$A$6:$P$184,5, FALSE)/100,AC2910)</f>
        <v>0.92607166666666674</v>
      </c>
      <c r="AD2909" s="10">
        <f>IFERROR(VLOOKUP(Summary!B2909,'Pre-Summary'!$A$6:$P$184,3, FALSE)/100,AD2910)</f>
        <v>5.4963666666666668E-2</v>
      </c>
      <c r="AE2909" s="10">
        <f>IFERROR(VLOOKUP(Summary!B2909,'Pre-Summary'!$A$6:$P$184,7, FALSE)/100,AE2910)</f>
        <v>1.8946666666666667E-2</v>
      </c>
      <c r="AF2909" s="99">
        <f t="shared" si="136"/>
        <v>3.8531615055447034E-2</v>
      </c>
      <c r="AG2909" s="99">
        <f t="shared" si="137"/>
        <v>1.3282331963246082E-2</v>
      </c>
      <c r="AH2909" s="10" t="str">
        <f>IFERROR(VLOOKUP(B2909,'Pre-Summary'!$AZ$6:$BE$65,3,FALSE),"")</f>
        <v/>
      </c>
      <c r="AI2909" s="10" t="str">
        <f>IFERROR(VLOOKUP(B2909,'Pre-Summary'!$AZ$6:$BE$65,5,FALSE),"")</f>
        <v/>
      </c>
      <c r="AJ2909" s="10" t="str">
        <f>IFERROR(VLOOKUP(B2909,'Pre-Summary'!$AZ$6:$BE$65,4,FALSE),"")</f>
        <v/>
      </c>
      <c r="AK2909" s="10" t="str">
        <f>IFERROR(VLOOKUP(B2909,'Pre-Summary'!$AZ$6:$BE$65,6,FALSE),"")</f>
        <v/>
      </c>
      <c r="AL2909" s="10" t="str">
        <f>IFERROR(VLOOKUP(B2909,'Pre-Summary'!$BG$6:$BL$44,3,FALSE),"")</f>
        <v/>
      </c>
      <c r="AM2909" s="10" t="str">
        <f>IFERROR(VLOOKUP(B2909,'Pre-Summary'!$BG$6:$BL$44,4,FALSE),"")</f>
        <v/>
      </c>
    </row>
    <row r="2910" spans="2:39" ht="15" customHeight="1" x14ac:dyDescent="0.3">
      <c r="B2910">
        <v>290.7</v>
      </c>
      <c r="C2910" t="str">
        <f>IFERROR(VLOOKUP(B2910,'Pre-Summary'!$DI$6:$DM$23,4,FALSE),"")</f>
        <v/>
      </c>
      <c r="D2910" s="10" t="str">
        <f>IFERROR(VLOOKUP(B2910,'Pre-Summary'!$AT$6:$AX$14,5,FALSE),D2909)</f>
        <v>Wolfe v3: went back to modified wolfe + EDTA and switched CuSO4 to CUCl2</v>
      </c>
      <c r="E2910" s="10" t="str">
        <f>IFERROR(VLOOKUP(B2910,'Pre-Summary'!$AT$6:$AX$15,4,FALSE),"")</f>
        <v/>
      </c>
      <c r="F2910">
        <f>IFERROR(VLOOKUP(B2910,'Pre-Summary'!$AL$6:$AQ$13,6,FALSE),F2909)</f>
        <v>5.9405263157894746E-2</v>
      </c>
      <c r="G2910" t="str">
        <f>IFERROR(VLOOKUP(B2910,'Pre-Summary'!$AE$6:$AJ$85,3,FALSE),"")</f>
        <v/>
      </c>
      <c r="H2910" t="str">
        <f>IFERROR(VLOOKUP(B2910,'Pre-Summary'!$AE$6:$AJ$85,4,FALSE),"")</f>
        <v/>
      </c>
      <c r="I2910" t="str">
        <f>IFERROR(VLOOKUP(B2910,'Pre-Summary'!$AE$6:$AJ$85,5,FALSE),"")</f>
        <v/>
      </c>
      <c r="J2910" s="45" t="str">
        <f>IFERROR(VLOOKUP(B2910,'Pre-Summary'!$AE$6:$AJ$85,6, FALSE),"")</f>
        <v/>
      </c>
      <c r="K2910" s="45" t="str">
        <f>IFERROR(VLOOKUP(B2910,'Pre-Summary'!$DE$6:$DG$61,3,FALSE),"")</f>
        <v/>
      </c>
      <c r="L2910" s="45" t="str">
        <f>IFERROR(VLOOKUP(B2910,'Pre-Summary'!$CU$6:$CW$36,3,FALSE),"")</f>
        <v/>
      </c>
      <c r="M2910" s="45" t="str">
        <f>IFERROR(VLOOKUP(B2910,'Pre-Summary'!$BW$6:$BY$58,2,FALSE),"")</f>
        <v/>
      </c>
      <c r="N2910" s="45" t="str">
        <f>IFERROR(VLOOKUP(B2910,'Pre-Summary'!$CD$6:$CF$64,2,FALSE),"")</f>
        <v/>
      </c>
      <c r="O2910" s="99">
        <f>IFERROR(VLOOKUP(B2910,'Pre-Summary'!$BO$6:$BQ$48,3, FALSE),O2909)</f>
        <v>2.77</v>
      </c>
      <c r="P2910" s="99">
        <f>IFERROR(VLOOKUP(B2910,'Pre-Summary'!$BS$6:$BU$35,3,FALSE),P2909)</f>
        <v>0.70099999999999996</v>
      </c>
      <c r="Q2910" s="54">
        <f t="shared" si="135"/>
        <v>3.9514978601997148</v>
      </c>
      <c r="R2910" s="53">
        <f>IFERROR(VLOOKUP(B2910,'Pre-Summary'!$BG$6:$BM$44,7,FALSE),R2911)</f>
        <v>0.1043586561898026</v>
      </c>
      <c r="S2910" s="53">
        <f>IFERROR(VLOOKUP(B2910,'Pre-Summary'!$BG$6:$BM$44,6,FALSE),S2911)</f>
        <v>0.10140000000009444</v>
      </c>
      <c r="T2910" s="45" t="str">
        <f>IFERROR(VLOOKUP(B2910,'Pre-Summary'!$Y$6:$AC$83, 3,FALSE),"")</f>
        <v/>
      </c>
      <c r="U2910" s="45" t="str">
        <f>IFERROR(VLOOKUP(B2910,'Pre-Summary'!$Y$6:$AC$83, 4,FALSE),"")</f>
        <v/>
      </c>
      <c r="V2910" t="str">
        <f>IFERROR(VLOOKUP(B2910,'Pre-Summary'!$Y$6:$AC$83, 5,FALSE),"")</f>
        <v/>
      </c>
      <c r="W2910" s="45" t="str">
        <f>IFERROR(VLOOKUP(B2910,'Pre-Summary'!$Y$6:$AD$83,6,FALSE),"")</f>
        <v/>
      </c>
      <c r="X2910" t="str">
        <f>IFERROR(VLOOKUP('Pre-Summary'!$DB$6:$DD$63,3,FALSE),"")</f>
        <v/>
      </c>
      <c r="Y2910" t="str">
        <f>IFERROR(VLOOKUP(B2910,'Pre-Summary'!$CR$6:$CT$36,3,FALSE),"")</f>
        <v/>
      </c>
      <c r="Z2910" s="45" t="str">
        <f>IFERROR(VLOOKUP(B2910,'Pre-Summary'!$BZ$6:$CB$63,2,FALSE),"")</f>
        <v/>
      </c>
      <c r="AA2910" s="45" t="str">
        <f>IFERROR(VLOOKUP(B2910,'Pre-Summary'!$CG$6:$CI$70,2,FALSE),"")</f>
        <v/>
      </c>
      <c r="AB2910" s="99">
        <f>IFERROR(VLOOKUP(B2910,'Pre-Summary'!$A$6:$P$178,9,FALSE),AB2911)</f>
        <v>0.7010379290946207</v>
      </c>
      <c r="AC2910" s="10">
        <f>IFERROR(VLOOKUP(Summary!B2910,'Pre-Summary'!$A$6:$P$184,5, FALSE)/100,AC2911)</f>
        <v>0.92607166666666674</v>
      </c>
      <c r="AD2910" s="10">
        <f>IFERROR(VLOOKUP(Summary!B2910,'Pre-Summary'!$A$6:$P$184,3, FALSE)/100,AD2911)</f>
        <v>5.4963666666666668E-2</v>
      </c>
      <c r="AE2910" s="10">
        <f>IFERROR(VLOOKUP(Summary!B2910,'Pre-Summary'!$A$6:$P$184,7, FALSE)/100,AE2911)</f>
        <v>1.8946666666666667E-2</v>
      </c>
      <c r="AF2910" s="99">
        <f t="shared" si="136"/>
        <v>3.8531615055447034E-2</v>
      </c>
      <c r="AG2910" s="99">
        <f t="shared" si="137"/>
        <v>1.3282331963246082E-2</v>
      </c>
      <c r="AH2910" s="10" t="str">
        <f>IFERROR(VLOOKUP(B2910,'Pre-Summary'!$AZ$6:$BE$65,3,FALSE),"")</f>
        <v/>
      </c>
      <c r="AI2910" s="10" t="str">
        <f>IFERROR(VLOOKUP(B2910,'Pre-Summary'!$AZ$6:$BE$65,5,FALSE),"")</f>
        <v/>
      </c>
      <c r="AJ2910" s="10" t="str">
        <f>IFERROR(VLOOKUP(B2910,'Pre-Summary'!$AZ$6:$BE$65,4,FALSE),"")</f>
        <v/>
      </c>
      <c r="AK2910" s="10" t="str">
        <f>IFERROR(VLOOKUP(B2910,'Pre-Summary'!$AZ$6:$BE$65,6,FALSE),"")</f>
        <v/>
      </c>
      <c r="AL2910" s="10" t="str">
        <f>IFERROR(VLOOKUP(B2910,'Pre-Summary'!$BG$6:$BL$44,3,FALSE),"")</f>
        <v/>
      </c>
      <c r="AM2910" s="10" t="str">
        <f>IFERROR(VLOOKUP(B2910,'Pre-Summary'!$BG$6:$BL$44,4,FALSE),"")</f>
        <v/>
      </c>
    </row>
    <row r="2911" spans="2:39" ht="15" customHeight="1" x14ac:dyDescent="0.3">
      <c r="B2911">
        <v>290.8</v>
      </c>
      <c r="C2911" t="str">
        <f>IFERROR(VLOOKUP(B2911,'Pre-Summary'!$DI$6:$DM$23,4,FALSE),"")</f>
        <v/>
      </c>
      <c r="D2911" s="10" t="str">
        <f>IFERROR(VLOOKUP(B2911,'Pre-Summary'!$AT$6:$AX$14,5,FALSE),D2910)</f>
        <v>Wolfe v3: went back to modified wolfe + EDTA and switched CuSO4 to CUCl2</v>
      </c>
      <c r="E2911" s="10" t="str">
        <f>IFERROR(VLOOKUP(B2911,'Pre-Summary'!$AT$6:$AX$15,4,FALSE),"")</f>
        <v/>
      </c>
      <c r="F2911">
        <f>IFERROR(VLOOKUP(B2911,'Pre-Summary'!$AL$6:$AQ$13,6,FALSE),F2910)</f>
        <v>5.9405263157894746E-2</v>
      </c>
      <c r="G2911" t="str">
        <f>IFERROR(VLOOKUP(B2911,'Pre-Summary'!$AE$6:$AJ$85,3,FALSE),"")</f>
        <v/>
      </c>
      <c r="H2911" t="str">
        <f>IFERROR(VLOOKUP(B2911,'Pre-Summary'!$AE$6:$AJ$85,4,FALSE),"")</f>
        <v/>
      </c>
      <c r="I2911" t="str">
        <f>IFERROR(VLOOKUP(B2911,'Pre-Summary'!$AE$6:$AJ$85,5,FALSE),"")</f>
        <v/>
      </c>
      <c r="J2911" s="45" t="str">
        <f>IFERROR(VLOOKUP(B2911,'Pre-Summary'!$AE$6:$AJ$85,6, FALSE),"")</f>
        <v/>
      </c>
      <c r="K2911" s="45" t="str">
        <f>IFERROR(VLOOKUP(B2911,'Pre-Summary'!$DE$6:$DG$61,3,FALSE),"")</f>
        <v/>
      </c>
      <c r="L2911" s="45" t="str">
        <f>IFERROR(VLOOKUP(B2911,'Pre-Summary'!$CU$6:$CW$36,3,FALSE),"")</f>
        <v/>
      </c>
      <c r="M2911" s="45" t="str">
        <f>IFERROR(VLOOKUP(B2911,'Pre-Summary'!$BW$6:$BY$58,2,FALSE),"")</f>
        <v/>
      </c>
      <c r="N2911" s="45" t="str">
        <f>IFERROR(VLOOKUP(B2911,'Pre-Summary'!$CD$6:$CF$64,2,FALSE),"")</f>
        <v/>
      </c>
      <c r="O2911" s="99">
        <f>IFERROR(VLOOKUP(B2911,'Pre-Summary'!$BO$6:$BQ$48,3, FALSE),O2910)</f>
        <v>2.77</v>
      </c>
      <c r="P2911" s="99">
        <f>IFERROR(VLOOKUP(B2911,'Pre-Summary'!$BS$6:$BU$35,3,FALSE),P2910)</f>
        <v>0.70099999999999996</v>
      </c>
      <c r="Q2911" s="54">
        <f t="shared" si="135"/>
        <v>3.9514978601997148</v>
      </c>
      <c r="R2911" s="53">
        <f>IFERROR(VLOOKUP(B2911,'Pre-Summary'!$BG$6:$BM$44,7,FALSE),R2912)</f>
        <v>0.1043586561898026</v>
      </c>
      <c r="S2911" s="53">
        <f>IFERROR(VLOOKUP(B2911,'Pre-Summary'!$BG$6:$BM$44,6,FALSE),S2912)</f>
        <v>0.10140000000009444</v>
      </c>
      <c r="T2911" s="45" t="str">
        <f>IFERROR(VLOOKUP(B2911,'Pre-Summary'!$Y$6:$AC$83, 3,FALSE),"")</f>
        <v/>
      </c>
      <c r="U2911" s="45" t="str">
        <f>IFERROR(VLOOKUP(B2911,'Pre-Summary'!$Y$6:$AC$83, 4,FALSE),"")</f>
        <v/>
      </c>
      <c r="V2911" t="str">
        <f>IFERROR(VLOOKUP(B2911,'Pre-Summary'!$Y$6:$AC$83, 5,FALSE),"")</f>
        <v/>
      </c>
      <c r="W2911" s="45" t="str">
        <f>IFERROR(VLOOKUP(B2911,'Pre-Summary'!$Y$6:$AD$83,6,FALSE),"")</f>
        <v/>
      </c>
      <c r="X2911" t="str">
        <f>IFERROR(VLOOKUP('Pre-Summary'!$DB$6:$DD$63,3,FALSE),"")</f>
        <v/>
      </c>
      <c r="Y2911" t="str">
        <f>IFERROR(VLOOKUP(B2911,'Pre-Summary'!$CR$6:$CT$36,3,FALSE),"")</f>
        <v/>
      </c>
      <c r="Z2911" s="45" t="str">
        <f>IFERROR(VLOOKUP(B2911,'Pre-Summary'!$BZ$6:$CB$63,2,FALSE),"")</f>
        <v/>
      </c>
      <c r="AA2911" s="45" t="str">
        <f>IFERROR(VLOOKUP(B2911,'Pre-Summary'!$CG$6:$CI$70,2,FALSE),"")</f>
        <v/>
      </c>
      <c r="AB2911" s="99">
        <f>IFERROR(VLOOKUP(B2911,'Pre-Summary'!$A$6:$P$178,9,FALSE),AB2912)</f>
        <v>0.7010379290946207</v>
      </c>
      <c r="AC2911" s="10">
        <f>IFERROR(VLOOKUP(Summary!B2911,'Pre-Summary'!$A$6:$P$184,5, FALSE)/100,AC2912)</f>
        <v>0.92607166666666674</v>
      </c>
      <c r="AD2911" s="10">
        <f>IFERROR(VLOOKUP(Summary!B2911,'Pre-Summary'!$A$6:$P$184,3, FALSE)/100,AD2912)</f>
        <v>5.4963666666666668E-2</v>
      </c>
      <c r="AE2911" s="10">
        <f>IFERROR(VLOOKUP(Summary!B2911,'Pre-Summary'!$A$6:$P$184,7, FALSE)/100,AE2912)</f>
        <v>1.8946666666666667E-2</v>
      </c>
      <c r="AF2911" s="99">
        <f t="shared" si="136"/>
        <v>3.8531615055447034E-2</v>
      </c>
      <c r="AG2911" s="99">
        <f t="shared" si="137"/>
        <v>1.3282331963246082E-2</v>
      </c>
      <c r="AH2911" s="10" t="str">
        <f>IFERROR(VLOOKUP(B2911,'Pre-Summary'!$AZ$6:$BE$65,3,FALSE),"")</f>
        <v/>
      </c>
      <c r="AI2911" s="10" t="str">
        <f>IFERROR(VLOOKUP(B2911,'Pre-Summary'!$AZ$6:$BE$65,5,FALSE),"")</f>
        <v/>
      </c>
      <c r="AJ2911" s="10" t="str">
        <f>IFERROR(VLOOKUP(B2911,'Pre-Summary'!$AZ$6:$BE$65,4,FALSE),"")</f>
        <v/>
      </c>
      <c r="AK2911" s="10" t="str">
        <f>IFERROR(VLOOKUP(B2911,'Pre-Summary'!$AZ$6:$BE$65,6,FALSE),"")</f>
        <v/>
      </c>
      <c r="AL2911" s="10" t="str">
        <f>IFERROR(VLOOKUP(B2911,'Pre-Summary'!$BG$6:$BL$44,3,FALSE),"")</f>
        <v/>
      </c>
      <c r="AM2911" s="10" t="str">
        <f>IFERROR(VLOOKUP(B2911,'Pre-Summary'!$BG$6:$BL$44,4,FALSE),"")</f>
        <v/>
      </c>
    </row>
    <row r="2912" spans="2:39" ht="15" customHeight="1" x14ac:dyDescent="0.3">
      <c r="B2912">
        <v>290.89999999999998</v>
      </c>
      <c r="C2912" t="str">
        <f>IFERROR(VLOOKUP(B2912,'Pre-Summary'!$DI$6:$DM$23,4,FALSE),"")</f>
        <v/>
      </c>
      <c r="D2912" s="10" t="str">
        <f>IFERROR(VLOOKUP(B2912,'Pre-Summary'!$AT$6:$AX$14,5,FALSE),D2911)</f>
        <v>Wolfe v3: went back to modified wolfe + EDTA and switched CuSO4 to CUCl2</v>
      </c>
      <c r="E2912" s="10" t="str">
        <f>IFERROR(VLOOKUP(B2912,'Pre-Summary'!$AT$6:$AX$15,4,FALSE),"")</f>
        <v/>
      </c>
      <c r="F2912">
        <f>IFERROR(VLOOKUP(B2912,'Pre-Summary'!$AL$6:$AQ$13,6,FALSE),F2911)</f>
        <v>5.9405263157894746E-2</v>
      </c>
      <c r="G2912" t="str">
        <f>IFERROR(VLOOKUP(B2912,'Pre-Summary'!$AE$6:$AJ$85,3,FALSE),"")</f>
        <v/>
      </c>
      <c r="H2912" t="str">
        <f>IFERROR(VLOOKUP(B2912,'Pre-Summary'!$AE$6:$AJ$85,4,FALSE),"")</f>
        <v/>
      </c>
      <c r="I2912" t="str">
        <f>IFERROR(VLOOKUP(B2912,'Pre-Summary'!$AE$6:$AJ$85,5,FALSE),"")</f>
        <v/>
      </c>
      <c r="J2912" s="45" t="str">
        <f>IFERROR(VLOOKUP(B2912,'Pre-Summary'!$AE$6:$AJ$85,6, FALSE),"")</f>
        <v/>
      </c>
      <c r="K2912" s="45" t="str">
        <f>IFERROR(VLOOKUP(B2912,'Pre-Summary'!$DE$6:$DG$61,3,FALSE),"")</f>
        <v/>
      </c>
      <c r="L2912" s="45" t="str">
        <f>IFERROR(VLOOKUP(B2912,'Pre-Summary'!$CU$6:$CW$36,3,FALSE),"")</f>
        <v/>
      </c>
      <c r="M2912" s="45" t="str">
        <f>IFERROR(VLOOKUP(B2912,'Pre-Summary'!$BW$6:$BY$58,2,FALSE),"")</f>
        <v/>
      </c>
      <c r="N2912" s="45" t="str">
        <f>IFERROR(VLOOKUP(B2912,'Pre-Summary'!$CD$6:$CF$64,2,FALSE),"")</f>
        <v/>
      </c>
      <c r="O2912" s="99">
        <f>IFERROR(VLOOKUP(B2912,'Pre-Summary'!$BO$6:$BQ$48,3, FALSE),O2911)</f>
        <v>2.77</v>
      </c>
      <c r="P2912" s="99">
        <f>IFERROR(VLOOKUP(B2912,'Pre-Summary'!$BS$6:$BU$35,3,FALSE),P2911)</f>
        <v>0.70099999999999996</v>
      </c>
      <c r="Q2912" s="54">
        <f t="shared" si="135"/>
        <v>3.9514978601997148</v>
      </c>
      <c r="R2912" s="53">
        <f>IFERROR(VLOOKUP(B2912,'Pre-Summary'!$BG$6:$BM$44,7,FALSE),R2913)</f>
        <v>0.1043586561898026</v>
      </c>
      <c r="S2912" s="53">
        <f>IFERROR(VLOOKUP(B2912,'Pre-Summary'!$BG$6:$BM$44,6,FALSE),S2913)</f>
        <v>0.10140000000009444</v>
      </c>
      <c r="T2912" s="45" t="str">
        <f>IFERROR(VLOOKUP(B2912,'Pre-Summary'!$Y$6:$AC$83, 3,FALSE),"")</f>
        <v/>
      </c>
      <c r="U2912" s="45" t="str">
        <f>IFERROR(VLOOKUP(B2912,'Pre-Summary'!$Y$6:$AC$83, 4,FALSE),"")</f>
        <v/>
      </c>
      <c r="V2912" t="str">
        <f>IFERROR(VLOOKUP(B2912,'Pre-Summary'!$Y$6:$AC$83, 5,FALSE),"")</f>
        <v/>
      </c>
      <c r="W2912" s="45" t="str">
        <f>IFERROR(VLOOKUP(B2912,'Pre-Summary'!$Y$6:$AD$83,6,FALSE),"")</f>
        <v/>
      </c>
      <c r="X2912" t="str">
        <f>IFERROR(VLOOKUP('Pre-Summary'!$DB$6:$DD$63,3,FALSE),"")</f>
        <v/>
      </c>
      <c r="Y2912" t="str">
        <f>IFERROR(VLOOKUP(B2912,'Pre-Summary'!$CR$6:$CT$36,3,FALSE),"")</f>
        <v/>
      </c>
      <c r="Z2912" s="45" t="str">
        <f>IFERROR(VLOOKUP(B2912,'Pre-Summary'!$BZ$6:$CB$63,2,FALSE),"")</f>
        <v/>
      </c>
      <c r="AA2912" s="45" t="str">
        <f>IFERROR(VLOOKUP(B2912,'Pre-Summary'!$CG$6:$CI$70,2,FALSE),"")</f>
        <v/>
      </c>
      <c r="AB2912" s="99">
        <f>IFERROR(VLOOKUP(B2912,'Pre-Summary'!$A$6:$P$178,9,FALSE),AB2913)</f>
        <v>0.7010379290946207</v>
      </c>
      <c r="AC2912" s="10">
        <f>IFERROR(VLOOKUP(Summary!B2912,'Pre-Summary'!$A$6:$P$184,5, FALSE)/100,AC2913)</f>
        <v>0.92607166666666674</v>
      </c>
      <c r="AD2912" s="10">
        <f>IFERROR(VLOOKUP(Summary!B2912,'Pre-Summary'!$A$6:$P$184,3, FALSE)/100,AD2913)</f>
        <v>5.4963666666666668E-2</v>
      </c>
      <c r="AE2912" s="10">
        <f>IFERROR(VLOOKUP(Summary!B2912,'Pre-Summary'!$A$6:$P$184,7, FALSE)/100,AE2913)</f>
        <v>1.8946666666666667E-2</v>
      </c>
      <c r="AF2912" s="99">
        <f t="shared" si="136"/>
        <v>3.8531615055447034E-2</v>
      </c>
      <c r="AG2912" s="99">
        <f t="shared" si="137"/>
        <v>1.3282331963246082E-2</v>
      </c>
      <c r="AH2912" s="10" t="str">
        <f>IFERROR(VLOOKUP(B2912,'Pre-Summary'!$AZ$6:$BE$65,3,FALSE),"")</f>
        <v/>
      </c>
      <c r="AI2912" s="10" t="str">
        <f>IFERROR(VLOOKUP(B2912,'Pre-Summary'!$AZ$6:$BE$65,5,FALSE),"")</f>
        <v/>
      </c>
      <c r="AJ2912" s="10" t="str">
        <f>IFERROR(VLOOKUP(B2912,'Pre-Summary'!$AZ$6:$BE$65,4,FALSE),"")</f>
        <v/>
      </c>
      <c r="AK2912" s="10" t="str">
        <f>IFERROR(VLOOKUP(B2912,'Pre-Summary'!$AZ$6:$BE$65,6,FALSE),"")</f>
        <v/>
      </c>
      <c r="AL2912" s="10" t="str">
        <f>IFERROR(VLOOKUP(B2912,'Pre-Summary'!$BG$6:$BL$44,3,FALSE),"")</f>
        <v/>
      </c>
      <c r="AM2912" s="10" t="str">
        <f>IFERROR(VLOOKUP(B2912,'Pre-Summary'!$BG$6:$BL$44,4,FALSE),"")</f>
        <v/>
      </c>
    </row>
    <row r="2913" spans="2:39" ht="15" customHeight="1" x14ac:dyDescent="0.3">
      <c r="B2913">
        <v>291</v>
      </c>
      <c r="C2913" t="str">
        <f>IFERROR(VLOOKUP(B2913,'Pre-Summary'!$DI$6:$DM$23,4,FALSE),"")</f>
        <v/>
      </c>
      <c r="D2913" s="10" t="str">
        <f>IFERROR(VLOOKUP(B2913,'Pre-Summary'!$AT$6:$AX$14,5,FALSE),D2912)</f>
        <v>Wolfe v3: went back to modified wolfe + EDTA and switched CuSO4 to CUCl2</v>
      </c>
      <c r="E2913" s="10" t="str">
        <f>IFERROR(VLOOKUP(B2913,'Pre-Summary'!$AT$6:$AX$15,4,FALSE),"")</f>
        <v/>
      </c>
      <c r="F2913">
        <f>IFERROR(VLOOKUP(B2913,'Pre-Summary'!$AL$6:$AQ$13,6,FALSE),F2912)</f>
        <v>5.9405263157894746E-2</v>
      </c>
      <c r="G2913" t="str">
        <f>IFERROR(VLOOKUP(B2913,'Pre-Summary'!$AE$6:$AJ$85,3,FALSE),"")</f>
        <v/>
      </c>
      <c r="H2913" t="str">
        <f>IFERROR(VLOOKUP(B2913,'Pre-Summary'!$AE$6:$AJ$85,4,FALSE),"")</f>
        <v/>
      </c>
      <c r="I2913" t="str">
        <f>IFERROR(VLOOKUP(B2913,'Pre-Summary'!$AE$6:$AJ$85,5,FALSE),"")</f>
        <v/>
      </c>
      <c r="J2913" s="45" t="str">
        <f>IFERROR(VLOOKUP(B2913,'Pre-Summary'!$AE$6:$AJ$85,6, FALSE),"")</f>
        <v/>
      </c>
      <c r="K2913" s="45" t="str">
        <f>IFERROR(VLOOKUP(B2913,'Pre-Summary'!$DE$6:$DG$61,3,FALSE),"")</f>
        <v/>
      </c>
      <c r="L2913" s="45" t="str">
        <f>IFERROR(VLOOKUP(B2913,'Pre-Summary'!$CU$6:$CW$36,3,FALSE),"")</f>
        <v/>
      </c>
      <c r="M2913" s="45" t="str">
        <f>IFERROR(VLOOKUP(B2913,'Pre-Summary'!$BW$6:$BY$58,2,FALSE),"")</f>
        <v/>
      </c>
      <c r="N2913" s="45" t="str">
        <f>IFERROR(VLOOKUP(B2913,'Pre-Summary'!$CD$6:$CF$64,2,FALSE),"")</f>
        <v/>
      </c>
      <c r="O2913" s="99">
        <f>IFERROR(VLOOKUP(B2913,'Pre-Summary'!$BO$6:$BQ$48,3, FALSE),O2912)</f>
        <v>2.77</v>
      </c>
      <c r="P2913" s="99">
        <f>IFERROR(VLOOKUP(B2913,'Pre-Summary'!$BS$6:$BU$35,3,FALSE),P2912)</f>
        <v>0.70099999999999996</v>
      </c>
      <c r="Q2913" s="54">
        <f t="shared" si="135"/>
        <v>3.9514978601997148</v>
      </c>
      <c r="R2913" s="53">
        <f>IFERROR(VLOOKUP(B2913,'Pre-Summary'!$BG$6:$BM$44,7,FALSE),R2914)</f>
        <v>0.1043586561898026</v>
      </c>
      <c r="S2913" s="53">
        <f>IFERROR(VLOOKUP(B2913,'Pre-Summary'!$BG$6:$BM$44,6,FALSE),S2914)</f>
        <v>0.10140000000009444</v>
      </c>
      <c r="T2913" s="45" t="str">
        <f>IFERROR(VLOOKUP(B2913,'Pre-Summary'!$Y$6:$AC$83, 3,FALSE),"")</f>
        <v/>
      </c>
      <c r="U2913" s="45" t="str">
        <f>IFERROR(VLOOKUP(B2913,'Pre-Summary'!$Y$6:$AC$83, 4,FALSE),"")</f>
        <v/>
      </c>
      <c r="V2913" t="str">
        <f>IFERROR(VLOOKUP(B2913,'Pre-Summary'!$Y$6:$AC$83, 5,FALSE),"")</f>
        <v/>
      </c>
      <c r="W2913" s="45" t="str">
        <f>IFERROR(VLOOKUP(B2913,'Pre-Summary'!$Y$6:$AD$83,6,FALSE),"")</f>
        <v/>
      </c>
      <c r="X2913" t="str">
        <f>IFERROR(VLOOKUP('Pre-Summary'!$DB$6:$DD$63,3,FALSE),"")</f>
        <v/>
      </c>
      <c r="Y2913" t="str">
        <f>IFERROR(VLOOKUP(B2913,'Pre-Summary'!$CR$6:$CT$36,3,FALSE),"")</f>
        <v/>
      </c>
      <c r="Z2913" s="45" t="str">
        <f>IFERROR(VLOOKUP(B2913,'Pre-Summary'!$BZ$6:$CB$63,2,FALSE),"")</f>
        <v/>
      </c>
      <c r="AA2913" s="45" t="str">
        <f>IFERROR(VLOOKUP(B2913,'Pre-Summary'!$CG$6:$CI$70,2,FALSE),"")</f>
        <v/>
      </c>
      <c r="AB2913" s="99">
        <f>IFERROR(VLOOKUP(B2913,'Pre-Summary'!$A$6:$P$178,9,FALSE),AB2914)</f>
        <v>0.7010379290946207</v>
      </c>
      <c r="AC2913" s="10">
        <f>IFERROR(VLOOKUP(Summary!B2913,'Pre-Summary'!$A$6:$P$184,5, FALSE)/100,AC2914)</f>
        <v>0.92607166666666674</v>
      </c>
      <c r="AD2913" s="10">
        <f>IFERROR(VLOOKUP(Summary!B2913,'Pre-Summary'!$A$6:$P$184,3, FALSE)/100,AD2914)</f>
        <v>5.4963666666666668E-2</v>
      </c>
      <c r="AE2913" s="10">
        <f>IFERROR(VLOOKUP(Summary!B2913,'Pre-Summary'!$A$6:$P$184,7, FALSE)/100,AE2914)</f>
        <v>1.8946666666666667E-2</v>
      </c>
      <c r="AF2913" s="99">
        <f t="shared" si="136"/>
        <v>3.8531615055447034E-2</v>
      </c>
      <c r="AG2913" s="99">
        <f t="shared" si="137"/>
        <v>1.3282331963246082E-2</v>
      </c>
      <c r="AH2913" s="10" t="str">
        <f>IFERROR(VLOOKUP(B2913,'Pre-Summary'!$AZ$6:$BE$65,3,FALSE),"")</f>
        <v/>
      </c>
      <c r="AI2913" s="10" t="str">
        <f>IFERROR(VLOOKUP(B2913,'Pre-Summary'!$AZ$6:$BE$65,5,FALSE),"")</f>
        <v/>
      </c>
      <c r="AJ2913" s="10" t="str">
        <f>IFERROR(VLOOKUP(B2913,'Pre-Summary'!$AZ$6:$BE$65,4,FALSE),"")</f>
        <v/>
      </c>
      <c r="AK2913" s="10" t="str">
        <f>IFERROR(VLOOKUP(B2913,'Pre-Summary'!$AZ$6:$BE$65,6,FALSE),"")</f>
        <v/>
      </c>
      <c r="AL2913" s="10" t="str">
        <f>IFERROR(VLOOKUP(B2913,'Pre-Summary'!$BG$6:$BL$44,3,FALSE),"")</f>
        <v/>
      </c>
      <c r="AM2913" s="10" t="str">
        <f>IFERROR(VLOOKUP(B2913,'Pre-Summary'!$BG$6:$BL$44,4,FALSE),"")</f>
        <v/>
      </c>
    </row>
    <row r="2914" spans="2:39" ht="15" customHeight="1" x14ac:dyDescent="0.3">
      <c r="B2914">
        <v>291.10000000000002</v>
      </c>
      <c r="C2914" t="str">
        <f>IFERROR(VLOOKUP(B2914,'Pre-Summary'!$DI$6:$DM$23,4,FALSE),"")</f>
        <v/>
      </c>
      <c r="D2914" s="10" t="str">
        <f>IFERROR(VLOOKUP(B2914,'Pre-Summary'!$AT$6:$AX$14,5,FALSE),D2913)</f>
        <v>Wolfe v3: went back to modified wolfe + EDTA and switched CuSO4 to CUCl2</v>
      </c>
      <c r="E2914" s="10" t="str">
        <f>IFERROR(VLOOKUP(B2914,'Pre-Summary'!$AT$6:$AX$15,4,FALSE),"")</f>
        <v/>
      </c>
      <c r="F2914">
        <f>IFERROR(VLOOKUP(B2914,'Pre-Summary'!$AL$6:$AQ$13,6,FALSE),F2913)</f>
        <v>5.9405263157894746E-2</v>
      </c>
      <c r="G2914" t="str">
        <f>IFERROR(VLOOKUP(B2914,'Pre-Summary'!$AE$6:$AJ$85,3,FALSE),"")</f>
        <v/>
      </c>
      <c r="H2914" t="str">
        <f>IFERROR(VLOOKUP(B2914,'Pre-Summary'!$AE$6:$AJ$85,4,FALSE),"")</f>
        <v/>
      </c>
      <c r="I2914" t="str">
        <f>IFERROR(VLOOKUP(B2914,'Pre-Summary'!$AE$6:$AJ$85,5,FALSE),"")</f>
        <v/>
      </c>
      <c r="J2914" s="45" t="str">
        <f>IFERROR(VLOOKUP(B2914,'Pre-Summary'!$AE$6:$AJ$85,6, FALSE),"")</f>
        <v/>
      </c>
      <c r="K2914" s="45" t="str">
        <f>IFERROR(VLOOKUP(B2914,'Pre-Summary'!$DE$6:$DG$61,3,FALSE),"")</f>
        <v/>
      </c>
      <c r="L2914" s="45" t="str">
        <f>IFERROR(VLOOKUP(B2914,'Pre-Summary'!$CU$6:$CW$36,3,FALSE),"")</f>
        <v/>
      </c>
      <c r="M2914" s="45" t="str">
        <f>IFERROR(VLOOKUP(B2914,'Pre-Summary'!$BW$6:$BY$58,2,FALSE),"")</f>
        <v/>
      </c>
      <c r="N2914" s="45" t="str">
        <f>IFERROR(VLOOKUP(B2914,'Pre-Summary'!$CD$6:$CF$64,2,FALSE),"")</f>
        <v/>
      </c>
      <c r="O2914" s="99">
        <f>IFERROR(VLOOKUP(B2914,'Pre-Summary'!$BO$6:$BQ$48,3, FALSE),O2913)</f>
        <v>2.77</v>
      </c>
      <c r="P2914" s="99">
        <f>IFERROR(VLOOKUP(B2914,'Pre-Summary'!$BS$6:$BU$35,3,FALSE),P2913)</f>
        <v>0.70099999999999996</v>
      </c>
      <c r="Q2914" s="54">
        <f t="shared" si="135"/>
        <v>3.9514978601997148</v>
      </c>
      <c r="R2914" s="53">
        <f>IFERROR(VLOOKUP(B2914,'Pre-Summary'!$BG$6:$BM$44,7,FALSE),R2915)</f>
        <v>0.1043586561898026</v>
      </c>
      <c r="S2914" s="53">
        <f>IFERROR(VLOOKUP(B2914,'Pre-Summary'!$BG$6:$BM$44,6,FALSE),S2915)</f>
        <v>0.10140000000009444</v>
      </c>
      <c r="T2914" s="45" t="str">
        <f>IFERROR(VLOOKUP(B2914,'Pre-Summary'!$Y$6:$AC$83, 3,FALSE),"")</f>
        <v/>
      </c>
      <c r="U2914" s="45" t="str">
        <f>IFERROR(VLOOKUP(B2914,'Pre-Summary'!$Y$6:$AC$83, 4,FALSE),"")</f>
        <v/>
      </c>
      <c r="V2914" t="str">
        <f>IFERROR(VLOOKUP(B2914,'Pre-Summary'!$Y$6:$AC$83, 5,FALSE),"")</f>
        <v/>
      </c>
      <c r="W2914" s="45" t="str">
        <f>IFERROR(VLOOKUP(B2914,'Pre-Summary'!$Y$6:$AD$83,6,FALSE),"")</f>
        <v/>
      </c>
      <c r="X2914" t="str">
        <f>IFERROR(VLOOKUP('Pre-Summary'!$DB$6:$DD$63,3,FALSE),"")</f>
        <v/>
      </c>
      <c r="Y2914" t="str">
        <f>IFERROR(VLOOKUP(B2914,'Pre-Summary'!$CR$6:$CT$36,3,FALSE),"")</f>
        <v/>
      </c>
      <c r="Z2914" s="45" t="str">
        <f>IFERROR(VLOOKUP(B2914,'Pre-Summary'!$BZ$6:$CB$63,2,FALSE),"")</f>
        <v/>
      </c>
      <c r="AA2914" s="45" t="str">
        <f>IFERROR(VLOOKUP(B2914,'Pre-Summary'!$CG$6:$CI$70,2,FALSE),"")</f>
        <v/>
      </c>
      <c r="AB2914" s="99">
        <f>IFERROR(VLOOKUP(B2914,'Pre-Summary'!$A$6:$P$178,9,FALSE),AB2915)</f>
        <v>0.7010379290946207</v>
      </c>
      <c r="AC2914" s="10">
        <f>IFERROR(VLOOKUP(Summary!B2914,'Pre-Summary'!$A$6:$P$184,5, FALSE)/100,AC2915)</f>
        <v>0.92607166666666674</v>
      </c>
      <c r="AD2914" s="10">
        <f>IFERROR(VLOOKUP(Summary!B2914,'Pre-Summary'!$A$6:$P$184,3, FALSE)/100,AD2915)</f>
        <v>5.4963666666666668E-2</v>
      </c>
      <c r="AE2914" s="10">
        <f>IFERROR(VLOOKUP(Summary!B2914,'Pre-Summary'!$A$6:$P$184,7, FALSE)/100,AE2915)</f>
        <v>1.8946666666666667E-2</v>
      </c>
      <c r="AF2914" s="99">
        <f t="shared" si="136"/>
        <v>3.8531615055447034E-2</v>
      </c>
      <c r="AG2914" s="99">
        <f t="shared" si="137"/>
        <v>1.3282331963246082E-2</v>
      </c>
      <c r="AH2914" s="10" t="str">
        <f>IFERROR(VLOOKUP(B2914,'Pre-Summary'!$AZ$6:$BE$65,3,FALSE),"")</f>
        <v/>
      </c>
      <c r="AI2914" s="10" t="str">
        <f>IFERROR(VLOOKUP(B2914,'Pre-Summary'!$AZ$6:$BE$65,5,FALSE),"")</f>
        <v/>
      </c>
      <c r="AJ2914" s="10" t="str">
        <f>IFERROR(VLOOKUP(B2914,'Pre-Summary'!$AZ$6:$BE$65,4,FALSE),"")</f>
        <v/>
      </c>
      <c r="AK2914" s="10" t="str">
        <f>IFERROR(VLOOKUP(B2914,'Pre-Summary'!$AZ$6:$BE$65,6,FALSE),"")</f>
        <v/>
      </c>
      <c r="AL2914" s="10" t="str">
        <f>IFERROR(VLOOKUP(B2914,'Pre-Summary'!$BG$6:$BL$44,3,FALSE),"")</f>
        <v/>
      </c>
      <c r="AM2914" s="10" t="str">
        <f>IFERROR(VLOOKUP(B2914,'Pre-Summary'!$BG$6:$BL$44,4,FALSE),"")</f>
        <v/>
      </c>
    </row>
    <row r="2915" spans="2:39" ht="15" customHeight="1" x14ac:dyDescent="0.3">
      <c r="B2915">
        <v>291.2</v>
      </c>
      <c r="C2915" t="str">
        <f>IFERROR(VLOOKUP(B2915,'Pre-Summary'!$DI$6:$DM$23,4,FALSE),"")</f>
        <v/>
      </c>
      <c r="D2915" s="10" t="str">
        <f>IFERROR(VLOOKUP(B2915,'Pre-Summary'!$AT$6:$AX$14,5,FALSE),D2914)</f>
        <v>Wolfe v3: went back to modified wolfe + EDTA and switched CuSO4 to CUCl2</v>
      </c>
      <c r="E2915" s="10" t="str">
        <f>IFERROR(VLOOKUP(B2915,'Pre-Summary'!$AT$6:$AX$15,4,FALSE),"")</f>
        <v/>
      </c>
      <c r="F2915">
        <f>IFERROR(VLOOKUP(B2915,'Pre-Summary'!$AL$6:$AQ$13,6,FALSE),F2914)</f>
        <v>5.9405263157894746E-2</v>
      </c>
      <c r="G2915" t="str">
        <f>IFERROR(VLOOKUP(B2915,'Pre-Summary'!$AE$6:$AJ$85,3,FALSE),"")</f>
        <v/>
      </c>
      <c r="H2915" t="str">
        <f>IFERROR(VLOOKUP(B2915,'Pre-Summary'!$AE$6:$AJ$85,4,FALSE),"")</f>
        <v/>
      </c>
      <c r="I2915" t="str">
        <f>IFERROR(VLOOKUP(B2915,'Pre-Summary'!$AE$6:$AJ$85,5,FALSE),"")</f>
        <v/>
      </c>
      <c r="J2915" s="45" t="str">
        <f>IFERROR(VLOOKUP(B2915,'Pre-Summary'!$AE$6:$AJ$85,6, FALSE),"")</f>
        <v/>
      </c>
      <c r="K2915" s="45" t="str">
        <f>IFERROR(VLOOKUP(B2915,'Pre-Summary'!$DE$6:$DG$61,3,FALSE),"")</f>
        <v/>
      </c>
      <c r="L2915" s="45" t="str">
        <f>IFERROR(VLOOKUP(B2915,'Pre-Summary'!$CU$6:$CW$36,3,FALSE),"")</f>
        <v/>
      </c>
      <c r="M2915" s="45" t="str">
        <f>IFERROR(VLOOKUP(B2915,'Pre-Summary'!$BW$6:$BY$58,2,FALSE),"")</f>
        <v/>
      </c>
      <c r="N2915" s="45" t="str">
        <f>IFERROR(VLOOKUP(B2915,'Pre-Summary'!$CD$6:$CF$64,2,FALSE),"")</f>
        <v/>
      </c>
      <c r="O2915" s="99">
        <f>IFERROR(VLOOKUP(B2915,'Pre-Summary'!$BO$6:$BQ$48,3, FALSE),O2914)</f>
        <v>2.77</v>
      </c>
      <c r="P2915" s="99">
        <f>IFERROR(VLOOKUP(B2915,'Pre-Summary'!$BS$6:$BU$35,3,FALSE),P2914)</f>
        <v>0.70099999999999996</v>
      </c>
      <c r="Q2915" s="54">
        <f t="shared" si="135"/>
        <v>3.9514978601997148</v>
      </c>
      <c r="R2915" s="53">
        <f>IFERROR(VLOOKUP(B2915,'Pre-Summary'!$BG$6:$BM$44,7,FALSE),R2916)</f>
        <v>0.1043586561898026</v>
      </c>
      <c r="S2915" s="53">
        <f>IFERROR(VLOOKUP(B2915,'Pre-Summary'!$BG$6:$BM$44,6,FALSE),S2916)</f>
        <v>0.10140000000009444</v>
      </c>
      <c r="T2915" s="45" t="str">
        <f>IFERROR(VLOOKUP(B2915,'Pre-Summary'!$Y$6:$AC$83, 3,FALSE),"")</f>
        <v/>
      </c>
      <c r="U2915" s="45" t="str">
        <f>IFERROR(VLOOKUP(B2915,'Pre-Summary'!$Y$6:$AC$83, 4,FALSE),"")</f>
        <v/>
      </c>
      <c r="V2915" t="str">
        <f>IFERROR(VLOOKUP(B2915,'Pre-Summary'!$Y$6:$AC$83, 5,FALSE),"")</f>
        <v/>
      </c>
      <c r="W2915" s="45" t="str">
        <f>IFERROR(VLOOKUP(B2915,'Pre-Summary'!$Y$6:$AD$83,6,FALSE),"")</f>
        <v/>
      </c>
      <c r="X2915" t="str">
        <f>IFERROR(VLOOKUP('Pre-Summary'!$DB$6:$DD$63,3,FALSE),"")</f>
        <v/>
      </c>
      <c r="Y2915" t="str">
        <f>IFERROR(VLOOKUP(B2915,'Pre-Summary'!$CR$6:$CT$36,3,FALSE),"")</f>
        <v/>
      </c>
      <c r="Z2915" s="45" t="str">
        <f>IFERROR(VLOOKUP(B2915,'Pre-Summary'!$BZ$6:$CB$63,2,FALSE),"")</f>
        <v/>
      </c>
      <c r="AA2915" s="45" t="str">
        <f>IFERROR(VLOOKUP(B2915,'Pre-Summary'!$CG$6:$CI$70,2,FALSE),"")</f>
        <v/>
      </c>
      <c r="AB2915" s="99">
        <f>IFERROR(VLOOKUP(B2915,'Pre-Summary'!$A$6:$P$178,9,FALSE),AB2916)</f>
        <v>0.7010379290946207</v>
      </c>
      <c r="AC2915" s="10">
        <f>IFERROR(VLOOKUP(Summary!B2915,'Pre-Summary'!$A$6:$P$184,5, FALSE)/100,AC2916)</f>
        <v>0.92607166666666674</v>
      </c>
      <c r="AD2915" s="10">
        <f>IFERROR(VLOOKUP(Summary!B2915,'Pre-Summary'!$A$6:$P$184,3, FALSE)/100,AD2916)</f>
        <v>5.4963666666666668E-2</v>
      </c>
      <c r="AE2915" s="10">
        <f>IFERROR(VLOOKUP(Summary!B2915,'Pre-Summary'!$A$6:$P$184,7, FALSE)/100,AE2916)</f>
        <v>1.8946666666666667E-2</v>
      </c>
      <c r="AF2915" s="99">
        <f t="shared" si="136"/>
        <v>3.8531615055447034E-2</v>
      </c>
      <c r="AG2915" s="99">
        <f t="shared" si="137"/>
        <v>1.3282331963246082E-2</v>
      </c>
      <c r="AH2915" s="10" t="str">
        <f>IFERROR(VLOOKUP(B2915,'Pre-Summary'!$AZ$6:$BE$65,3,FALSE),"")</f>
        <v/>
      </c>
      <c r="AI2915" s="10" t="str">
        <f>IFERROR(VLOOKUP(B2915,'Pre-Summary'!$AZ$6:$BE$65,5,FALSE),"")</f>
        <v/>
      </c>
      <c r="AJ2915" s="10" t="str">
        <f>IFERROR(VLOOKUP(B2915,'Pre-Summary'!$AZ$6:$BE$65,4,FALSE),"")</f>
        <v/>
      </c>
      <c r="AK2915" s="10" t="str">
        <f>IFERROR(VLOOKUP(B2915,'Pre-Summary'!$AZ$6:$BE$65,6,FALSE),"")</f>
        <v/>
      </c>
      <c r="AL2915" s="10" t="str">
        <f>IFERROR(VLOOKUP(B2915,'Pre-Summary'!$BG$6:$BL$44,3,FALSE),"")</f>
        <v/>
      </c>
      <c r="AM2915" s="10" t="str">
        <f>IFERROR(VLOOKUP(B2915,'Pre-Summary'!$BG$6:$BL$44,4,FALSE),"")</f>
        <v/>
      </c>
    </row>
    <row r="2916" spans="2:39" ht="15" customHeight="1" x14ac:dyDescent="0.3">
      <c r="B2916">
        <v>291.3</v>
      </c>
      <c r="C2916" t="str">
        <f>IFERROR(VLOOKUP(B2916,'Pre-Summary'!$DI$6:$DM$23,4,FALSE),"")</f>
        <v/>
      </c>
      <c r="D2916" s="10" t="str">
        <f>IFERROR(VLOOKUP(B2916,'Pre-Summary'!$AT$6:$AX$14,5,FALSE),D2915)</f>
        <v>Wolfe v3: went back to modified wolfe + EDTA and switched CuSO4 to CUCl2</v>
      </c>
      <c r="E2916" s="10" t="str">
        <f>IFERROR(VLOOKUP(B2916,'Pre-Summary'!$AT$6:$AX$15,4,FALSE),"")</f>
        <v/>
      </c>
      <c r="F2916">
        <f>IFERROR(VLOOKUP(B2916,'Pre-Summary'!$AL$6:$AQ$13,6,FALSE),F2915)</f>
        <v>5.9405263157894746E-2</v>
      </c>
      <c r="G2916" t="str">
        <f>IFERROR(VLOOKUP(B2916,'Pre-Summary'!$AE$6:$AJ$85,3,FALSE),"")</f>
        <v/>
      </c>
      <c r="H2916" t="str">
        <f>IFERROR(VLOOKUP(B2916,'Pre-Summary'!$AE$6:$AJ$85,4,FALSE),"")</f>
        <v/>
      </c>
      <c r="I2916" t="str">
        <f>IFERROR(VLOOKUP(B2916,'Pre-Summary'!$AE$6:$AJ$85,5,FALSE),"")</f>
        <v/>
      </c>
      <c r="J2916" s="45" t="str">
        <f>IFERROR(VLOOKUP(B2916,'Pre-Summary'!$AE$6:$AJ$85,6, FALSE),"")</f>
        <v/>
      </c>
      <c r="K2916" s="45" t="str">
        <f>IFERROR(VLOOKUP(B2916,'Pre-Summary'!$DE$6:$DG$61,3,FALSE),"")</f>
        <v/>
      </c>
      <c r="L2916" s="45" t="str">
        <f>IFERROR(VLOOKUP(B2916,'Pre-Summary'!$CU$6:$CW$36,3,FALSE),"")</f>
        <v/>
      </c>
      <c r="M2916" s="45" t="str">
        <f>IFERROR(VLOOKUP(B2916,'Pre-Summary'!$BW$6:$BY$58,2,FALSE),"")</f>
        <v/>
      </c>
      <c r="N2916" s="45" t="str">
        <f>IFERROR(VLOOKUP(B2916,'Pre-Summary'!$CD$6:$CF$64,2,FALSE),"")</f>
        <v/>
      </c>
      <c r="O2916" s="99">
        <f>IFERROR(VLOOKUP(B2916,'Pre-Summary'!$BO$6:$BQ$48,3, FALSE),O2915)</f>
        <v>2.77</v>
      </c>
      <c r="P2916" s="99">
        <f>IFERROR(VLOOKUP(B2916,'Pre-Summary'!$BS$6:$BU$35,3,FALSE),P2915)</f>
        <v>0.70099999999999996</v>
      </c>
      <c r="Q2916" s="54">
        <f t="shared" si="135"/>
        <v>3.9514978601997148</v>
      </c>
      <c r="R2916" s="53">
        <f>IFERROR(VLOOKUP(B2916,'Pre-Summary'!$BG$6:$BM$44,7,FALSE),R2917)</f>
        <v>0.1043586561898026</v>
      </c>
      <c r="S2916" s="53">
        <f>IFERROR(VLOOKUP(B2916,'Pre-Summary'!$BG$6:$BM$44,6,FALSE),S2917)</f>
        <v>0.10140000000009444</v>
      </c>
      <c r="T2916" s="45" t="str">
        <f>IFERROR(VLOOKUP(B2916,'Pre-Summary'!$Y$6:$AC$83, 3,FALSE),"")</f>
        <v/>
      </c>
      <c r="U2916" s="45" t="str">
        <f>IFERROR(VLOOKUP(B2916,'Pre-Summary'!$Y$6:$AC$83, 4,FALSE),"")</f>
        <v/>
      </c>
      <c r="V2916" t="str">
        <f>IFERROR(VLOOKUP(B2916,'Pre-Summary'!$Y$6:$AC$83, 5,FALSE),"")</f>
        <v/>
      </c>
      <c r="W2916" s="45" t="str">
        <f>IFERROR(VLOOKUP(B2916,'Pre-Summary'!$Y$6:$AD$83,6,FALSE),"")</f>
        <v/>
      </c>
      <c r="X2916" t="str">
        <f>IFERROR(VLOOKUP('Pre-Summary'!$DB$6:$DD$63,3,FALSE),"")</f>
        <v/>
      </c>
      <c r="Y2916" t="str">
        <f>IFERROR(VLOOKUP(B2916,'Pre-Summary'!$CR$6:$CT$36,3,FALSE),"")</f>
        <v/>
      </c>
      <c r="Z2916" s="45" t="str">
        <f>IFERROR(VLOOKUP(B2916,'Pre-Summary'!$BZ$6:$CB$63,2,FALSE),"")</f>
        <v/>
      </c>
      <c r="AA2916" s="45" t="str">
        <f>IFERROR(VLOOKUP(B2916,'Pre-Summary'!$CG$6:$CI$70,2,FALSE),"")</f>
        <v/>
      </c>
      <c r="AB2916" s="99">
        <f>IFERROR(VLOOKUP(B2916,'Pre-Summary'!$A$6:$P$178,9,FALSE),AB2917)</f>
        <v>0.7010379290946207</v>
      </c>
      <c r="AC2916" s="10">
        <f>IFERROR(VLOOKUP(Summary!B2916,'Pre-Summary'!$A$6:$P$184,5, FALSE)/100,AC2917)</f>
        <v>0.92607166666666674</v>
      </c>
      <c r="AD2916" s="10">
        <f>IFERROR(VLOOKUP(Summary!B2916,'Pre-Summary'!$A$6:$P$184,3, FALSE)/100,AD2917)</f>
        <v>5.4963666666666668E-2</v>
      </c>
      <c r="AE2916" s="10">
        <f>IFERROR(VLOOKUP(Summary!B2916,'Pre-Summary'!$A$6:$P$184,7, FALSE)/100,AE2917)</f>
        <v>1.8946666666666667E-2</v>
      </c>
      <c r="AF2916" s="99">
        <f t="shared" si="136"/>
        <v>3.8531615055447034E-2</v>
      </c>
      <c r="AG2916" s="99">
        <f t="shared" si="137"/>
        <v>1.3282331963246082E-2</v>
      </c>
      <c r="AH2916" s="10" t="str">
        <f>IFERROR(VLOOKUP(B2916,'Pre-Summary'!$AZ$6:$BE$65,3,FALSE),"")</f>
        <v/>
      </c>
      <c r="AI2916" s="10" t="str">
        <f>IFERROR(VLOOKUP(B2916,'Pre-Summary'!$AZ$6:$BE$65,5,FALSE),"")</f>
        <v/>
      </c>
      <c r="AJ2916" s="10" t="str">
        <f>IFERROR(VLOOKUP(B2916,'Pre-Summary'!$AZ$6:$BE$65,4,FALSE),"")</f>
        <v/>
      </c>
      <c r="AK2916" s="10" t="str">
        <f>IFERROR(VLOOKUP(B2916,'Pre-Summary'!$AZ$6:$BE$65,6,FALSE),"")</f>
        <v/>
      </c>
      <c r="AL2916" s="10" t="str">
        <f>IFERROR(VLOOKUP(B2916,'Pre-Summary'!$BG$6:$BL$44,3,FALSE),"")</f>
        <v/>
      </c>
      <c r="AM2916" s="10" t="str">
        <f>IFERROR(VLOOKUP(B2916,'Pre-Summary'!$BG$6:$BL$44,4,FALSE),"")</f>
        <v/>
      </c>
    </row>
    <row r="2917" spans="2:39" ht="15" customHeight="1" x14ac:dyDescent="0.3">
      <c r="B2917">
        <v>291.39999999999998</v>
      </c>
      <c r="C2917" t="str">
        <f>IFERROR(VLOOKUP(B2917,'Pre-Summary'!$DI$6:$DM$23,4,FALSE),"")</f>
        <v/>
      </c>
      <c r="D2917" s="10" t="str">
        <f>IFERROR(VLOOKUP(B2917,'Pre-Summary'!$AT$6:$AX$14,5,FALSE),D2916)</f>
        <v>Wolfe v3: went back to modified wolfe + EDTA and switched CuSO4 to CUCl2</v>
      </c>
      <c r="E2917" s="10" t="str">
        <f>IFERROR(VLOOKUP(B2917,'Pre-Summary'!$AT$6:$AX$15,4,FALSE),"")</f>
        <v/>
      </c>
      <c r="F2917">
        <f>IFERROR(VLOOKUP(B2917,'Pre-Summary'!$AL$6:$AQ$13,6,FALSE),F2916)</f>
        <v>5.9405263157894746E-2</v>
      </c>
      <c r="G2917" t="str">
        <f>IFERROR(VLOOKUP(B2917,'Pre-Summary'!$AE$6:$AJ$85,3,FALSE),"")</f>
        <v/>
      </c>
      <c r="H2917" t="str">
        <f>IFERROR(VLOOKUP(B2917,'Pre-Summary'!$AE$6:$AJ$85,4,FALSE),"")</f>
        <v/>
      </c>
      <c r="I2917" t="str">
        <f>IFERROR(VLOOKUP(B2917,'Pre-Summary'!$AE$6:$AJ$85,5,FALSE),"")</f>
        <v/>
      </c>
      <c r="J2917" s="45" t="str">
        <f>IFERROR(VLOOKUP(B2917,'Pre-Summary'!$AE$6:$AJ$85,6, FALSE),"")</f>
        <v/>
      </c>
      <c r="K2917" s="45" t="str">
        <f>IFERROR(VLOOKUP(B2917,'Pre-Summary'!$DE$6:$DG$61,3,FALSE),"")</f>
        <v/>
      </c>
      <c r="L2917" s="45" t="str">
        <f>IFERROR(VLOOKUP(B2917,'Pre-Summary'!$CU$6:$CW$36,3,FALSE),"")</f>
        <v/>
      </c>
      <c r="M2917" s="45" t="str">
        <f>IFERROR(VLOOKUP(B2917,'Pre-Summary'!$BW$6:$BY$58,2,FALSE),"")</f>
        <v/>
      </c>
      <c r="N2917" s="45" t="str">
        <f>IFERROR(VLOOKUP(B2917,'Pre-Summary'!$CD$6:$CF$64,2,FALSE),"")</f>
        <v/>
      </c>
      <c r="O2917" s="99">
        <f>IFERROR(VLOOKUP(B2917,'Pre-Summary'!$BO$6:$BQ$48,3, FALSE),O2916)</f>
        <v>2.77</v>
      </c>
      <c r="P2917" s="99">
        <f>IFERROR(VLOOKUP(B2917,'Pre-Summary'!$BS$6:$BU$35,3,FALSE),P2916)</f>
        <v>0.70099999999999996</v>
      </c>
      <c r="Q2917" s="54">
        <f t="shared" si="135"/>
        <v>3.9514978601997148</v>
      </c>
      <c r="R2917" s="53">
        <f>IFERROR(VLOOKUP(B2917,'Pre-Summary'!$BG$6:$BM$44,7,FALSE),R2918)</f>
        <v>0.1043586561898026</v>
      </c>
      <c r="S2917" s="53">
        <f>IFERROR(VLOOKUP(B2917,'Pre-Summary'!$BG$6:$BM$44,6,FALSE),S2918)</f>
        <v>0.10140000000009444</v>
      </c>
      <c r="T2917" s="45" t="str">
        <f>IFERROR(VLOOKUP(B2917,'Pre-Summary'!$Y$6:$AC$83, 3,FALSE),"")</f>
        <v/>
      </c>
      <c r="U2917" s="45" t="str">
        <f>IFERROR(VLOOKUP(B2917,'Pre-Summary'!$Y$6:$AC$83, 4,FALSE),"")</f>
        <v/>
      </c>
      <c r="V2917" t="str">
        <f>IFERROR(VLOOKUP(B2917,'Pre-Summary'!$Y$6:$AC$83, 5,FALSE),"")</f>
        <v/>
      </c>
      <c r="W2917" s="45" t="str">
        <f>IFERROR(VLOOKUP(B2917,'Pre-Summary'!$Y$6:$AD$83,6,FALSE),"")</f>
        <v/>
      </c>
      <c r="X2917" t="str">
        <f>IFERROR(VLOOKUP('Pre-Summary'!$DB$6:$DD$63,3,FALSE),"")</f>
        <v/>
      </c>
      <c r="Y2917" t="str">
        <f>IFERROR(VLOOKUP(B2917,'Pre-Summary'!$CR$6:$CT$36,3,FALSE),"")</f>
        <v/>
      </c>
      <c r="Z2917" s="45" t="str">
        <f>IFERROR(VLOOKUP(B2917,'Pre-Summary'!$BZ$6:$CB$63,2,FALSE),"")</f>
        <v/>
      </c>
      <c r="AA2917" s="45" t="str">
        <f>IFERROR(VLOOKUP(B2917,'Pre-Summary'!$CG$6:$CI$70,2,FALSE),"")</f>
        <v/>
      </c>
      <c r="AB2917" s="99">
        <f>IFERROR(VLOOKUP(B2917,'Pre-Summary'!$A$6:$P$178,9,FALSE),AB2918)</f>
        <v>0.7010379290946207</v>
      </c>
      <c r="AC2917" s="10">
        <f>IFERROR(VLOOKUP(Summary!B2917,'Pre-Summary'!$A$6:$P$184,5, FALSE)/100,AC2918)</f>
        <v>0.92607166666666674</v>
      </c>
      <c r="AD2917" s="10">
        <f>IFERROR(VLOOKUP(Summary!B2917,'Pre-Summary'!$A$6:$P$184,3, FALSE)/100,AD2918)</f>
        <v>5.4963666666666668E-2</v>
      </c>
      <c r="AE2917" s="10">
        <f>IFERROR(VLOOKUP(Summary!B2917,'Pre-Summary'!$A$6:$P$184,7, FALSE)/100,AE2918)</f>
        <v>1.8946666666666667E-2</v>
      </c>
      <c r="AF2917" s="99">
        <f t="shared" si="136"/>
        <v>3.8531615055447034E-2</v>
      </c>
      <c r="AG2917" s="99">
        <f t="shared" si="137"/>
        <v>1.3282331963246082E-2</v>
      </c>
      <c r="AH2917" s="10" t="str">
        <f>IFERROR(VLOOKUP(B2917,'Pre-Summary'!$AZ$6:$BE$65,3,FALSE),"")</f>
        <v/>
      </c>
      <c r="AI2917" s="10" t="str">
        <f>IFERROR(VLOOKUP(B2917,'Pre-Summary'!$AZ$6:$BE$65,5,FALSE),"")</f>
        <v/>
      </c>
      <c r="AJ2917" s="10" t="str">
        <f>IFERROR(VLOOKUP(B2917,'Pre-Summary'!$AZ$6:$BE$65,4,FALSE),"")</f>
        <v/>
      </c>
      <c r="AK2917" s="10" t="str">
        <f>IFERROR(VLOOKUP(B2917,'Pre-Summary'!$AZ$6:$BE$65,6,FALSE),"")</f>
        <v/>
      </c>
      <c r="AL2917" s="10" t="str">
        <f>IFERROR(VLOOKUP(B2917,'Pre-Summary'!$BG$6:$BL$44,3,FALSE),"")</f>
        <v/>
      </c>
      <c r="AM2917" s="10" t="str">
        <f>IFERROR(VLOOKUP(B2917,'Pre-Summary'!$BG$6:$BL$44,4,FALSE),"")</f>
        <v/>
      </c>
    </row>
    <row r="2918" spans="2:39" ht="15" customHeight="1" x14ac:dyDescent="0.3">
      <c r="B2918">
        <v>291.5</v>
      </c>
      <c r="C2918" t="str">
        <f>IFERROR(VLOOKUP(B2918,'Pre-Summary'!$DI$6:$DM$23,4,FALSE),"")</f>
        <v/>
      </c>
      <c r="D2918" s="10" t="str">
        <f>IFERROR(VLOOKUP(B2918,'Pre-Summary'!$AT$6:$AX$14,5,FALSE),D2917)</f>
        <v>Wolfe v3: went back to modified wolfe + EDTA and switched CuSO4 to CUCl2</v>
      </c>
      <c r="E2918" s="10" t="str">
        <f>IFERROR(VLOOKUP(B2918,'Pre-Summary'!$AT$6:$AX$15,4,FALSE),"")</f>
        <v/>
      </c>
      <c r="F2918">
        <f>IFERROR(VLOOKUP(B2918,'Pre-Summary'!$AL$6:$AQ$13,6,FALSE),F2917)</f>
        <v>5.9405263157894746E-2</v>
      </c>
      <c r="G2918" t="str">
        <f>IFERROR(VLOOKUP(B2918,'Pre-Summary'!$AE$6:$AJ$85,3,FALSE),"")</f>
        <v/>
      </c>
      <c r="H2918" t="str">
        <f>IFERROR(VLOOKUP(B2918,'Pre-Summary'!$AE$6:$AJ$85,4,FALSE),"")</f>
        <v/>
      </c>
      <c r="I2918" t="str">
        <f>IFERROR(VLOOKUP(B2918,'Pre-Summary'!$AE$6:$AJ$85,5,FALSE),"")</f>
        <v/>
      </c>
      <c r="J2918" s="45" t="str">
        <f>IFERROR(VLOOKUP(B2918,'Pre-Summary'!$AE$6:$AJ$85,6, FALSE),"")</f>
        <v/>
      </c>
      <c r="K2918" s="45" t="str">
        <f>IFERROR(VLOOKUP(B2918,'Pre-Summary'!$DE$6:$DG$61,3,FALSE),"")</f>
        <v/>
      </c>
      <c r="L2918" s="45" t="str">
        <f>IFERROR(VLOOKUP(B2918,'Pre-Summary'!$CU$6:$CW$36,3,FALSE),"")</f>
        <v/>
      </c>
      <c r="M2918" s="45" t="str">
        <f>IFERROR(VLOOKUP(B2918,'Pre-Summary'!$BW$6:$BY$58,2,FALSE),"")</f>
        <v/>
      </c>
      <c r="N2918" s="45" t="str">
        <f>IFERROR(VLOOKUP(B2918,'Pre-Summary'!$CD$6:$CF$64,2,FALSE),"")</f>
        <v/>
      </c>
      <c r="O2918" s="99">
        <f>IFERROR(VLOOKUP(B2918,'Pre-Summary'!$BO$6:$BQ$48,3, FALSE),O2917)</f>
        <v>2.77</v>
      </c>
      <c r="P2918" s="99">
        <f>IFERROR(VLOOKUP(B2918,'Pre-Summary'!$BS$6:$BU$35,3,FALSE),P2917)</f>
        <v>0.70099999999999996</v>
      </c>
      <c r="Q2918" s="54">
        <f t="shared" si="135"/>
        <v>3.9514978601997148</v>
      </c>
      <c r="R2918" s="53">
        <f>IFERROR(VLOOKUP(B2918,'Pre-Summary'!$BG$6:$BM$44,7,FALSE),R2919)</f>
        <v>0.1043586561898026</v>
      </c>
      <c r="S2918" s="53">
        <f>IFERROR(VLOOKUP(B2918,'Pre-Summary'!$BG$6:$BM$44,6,FALSE),S2919)</f>
        <v>0.10140000000009444</v>
      </c>
      <c r="T2918" s="45" t="str">
        <f>IFERROR(VLOOKUP(B2918,'Pre-Summary'!$Y$6:$AC$83, 3,FALSE),"")</f>
        <v/>
      </c>
      <c r="U2918" s="45" t="str">
        <f>IFERROR(VLOOKUP(B2918,'Pre-Summary'!$Y$6:$AC$83, 4,FALSE),"")</f>
        <v/>
      </c>
      <c r="V2918" t="str">
        <f>IFERROR(VLOOKUP(B2918,'Pre-Summary'!$Y$6:$AC$83, 5,FALSE),"")</f>
        <v/>
      </c>
      <c r="W2918" s="45" t="str">
        <f>IFERROR(VLOOKUP(B2918,'Pre-Summary'!$Y$6:$AD$83,6,FALSE),"")</f>
        <v/>
      </c>
      <c r="X2918" t="str">
        <f>IFERROR(VLOOKUP('Pre-Summary'!$DB$6:$DD$63,3,FALSE),"")</f>
        <v/>
      </c>
      <c r="Y2918" t="str">
        <f>IFERROR(VLOOKUP(B2918,'Pre-Summary'!$CR$6:$CT$36,3,FALSE),"")</f>
        <v/>
      </c>
      <c r="Z2918" s="45" t="str">
        <f>IFERROR(VLOOKUP(B2918,'Pre-Summary'!$BZ$6:$CB$63,2,FALSE),"")</f>
        <v/>
      </c>
      <c r="AA2918" s="45" t="str">
        <f>IFERROR(VLOOKUP(B2918,'Pre-Summary'!$CG$6:$CI$70,2,FALSE),"")</f>
        <v/>
      </c>
      <c r="AB2918" s="99">
        <f>IFERROR(VLOOKUP(B2918,'Pre-Summary'!$A$6:$P$178,9,FALSE),AB2919)</f>
        <v>0.7010379290946207</v>
      </c>
      <c r="AC2918" s="10">
        <f>IFERROR(VLOOKUP(Summary!B2918,'Pre-Summary'!$A$6:$P$184,5, FALSE)/100,AC2919)</f>
        <v>0.92607166666666674</v>
      </c>
      <c r="AD2918" s="10">
        <f>IFERROR(VLOOKUP(Summary!B2918,'Pre-Summary'!$A$6:$P$184,3, FALSE)/100,AD2919)</f>
        <v>5.4963666666666668E-2</v>
      </c>
      <c r="AE2918" s="10">
        <f>IFERROR(VLOOKUP(Summary!B2918,'Pre-Summary'!$A$6:$P$184,7, FALSE)/100,AE2919)</f>
        <v>1.8946666666666667E-2</v>
      </c>
      <c r="AF2918" s="99">
        <f t="shared" si="136"/>
        <v>3.8531615055447034E-2</v>
      </c>
      <c r="AG2918" s="99">
        <f t="shared" si="137"/>
        <v>1.3282331963246082E-2</v>
      </c>
      <c r="AH2918" s="10" t="str">
        <f>IFERROR(VLOOKUP(B2918,'Pre-Summary'!$AZ$6:$BE$65,3,FALSE),"")</f>
        <v/>
      </c>
      <c r="AI2918" s="10" t="str">
        <f>IFERROR(VLOOKUP(B2918,'Pre-Summary'!$AZ$6:$BE$65,5,FALSE),"")</f>
        <v/>
      </c>
      <c r="AJ2918" s="10" t="str">
        <f>IFERROR(VLOOKUP(B2918,'Pre-Summary'!$AZ$6:$BE$65,4,FALSE),"")</f>
        <v/>
      </c>
      <c r="AK2918" s="10" t="str">
        <f>IFERROR(VLOOKUP(B2918,'Pre-Summary'!$AZ$6:$BE$65,6,FALSE),"")</f>
        <v/>
      </c>
      <c r="AL2918" s="10" t="str">
        <f>IFERROR(VLOOKUP(B2918,'Pre-Summary'!$BG$6:$BL$44,3,FALSE),"")</f>
        <v/>
      </c>
      <c r="AM2918" s="10" t="str">
        <f>IFERROR(VLOOKUP(B2918,'Pre-Summary'!$BG$6:$BL$44,4,FALSE),"")</f>
        <v/>
      </c>
    </row>
    <row r="2919" spans="2:39" ht="15" customHeight="1" x14ac:dyDescent="0.3">
      <c r="B2919">
        <v>291.60000000000002</v>
      </c>
      <c r="C2919" t="str">
        <f>IFERROR(VLOOKUP(B2919,'Pre-Summary'!$DI$6:$DM$23,4,FALSE),"")</f>
        <v/>
      </c>
      <c r="D2919" s="10" t="str">
        <f>IFERROR(VLOOKUP(B2919,'Pre-Summary'!$AT$6:$AX$14,5,FALSE),D2918)</f>
        <v>Wolfe v3: went back to modified wolfe + EDTA and switched CuSO4 to CUCl2</v>
      </c>
      <c r="E2919" s="10" t="str">
        <f>IFERROR(VLOOKUP(B2919,'Pre-Summary'!$AT$6:$AX$15,4,FALSE),"")</f>
        <v/>
      </c>
      <c r="F2919">
        <f>IFERROR(VLOOKUP(B2919,'Pre-Summary'!$AL$6:$AQ$13,6,FALSE),F2918)</f>
        <v>5.9405263157894746E-2</v>
      </c>
      <c r="G2919" t="str">
        <f>IFERROR(VLOOKUP(B2919,'Pre-Summary'!$AE$6:$AJ$85,3,FALSE),"")</f>
        <v/>
      </c>
      <c r="H2919" t="str">
        <f>IFERROR(VLOOKUP(B2919,'Pre-Summary'!$AE$6:$AJ$85,4,FALSE),"")</f>
        <v/>
      </c>
      <c r="I2919" t="str">
        <f>IFERROR(VLOOKUP(B2919,'Pre-Summary'!$AE$6:$AJ$85,5,FALSE),"")</f>
        <v/>
      </c>
      <c r="J2919" s="45" t="str">
        <f>IFERROR(VLOOKUP(B2919,'Pre-Summary'!$AE$6:$AJ$85,6, FALSE),"")</f>
        <v/>
      </c>
      <c r="K2919" s="45" t="str">
        <f>IFERROR(VLOOKUP(B2919,'Pre-Summary'!$DE$6:$DG$61,3,FALSE),"")</f>
        <v/>
      </c>
      <c r="L2919" s="45" t="str">
        <f>IFERROR(VLOOKUP(B2919,'Pre-Summary'!$CU$6:$CW$36,3,FALSE),"")</f>
        <v/>
      </c>
      <c r="M2919" s="45" t="str">
        <f>IFERROR(VLOOKUP(B2919,'Pre-Summary'!$BW$6:$BY$58,2,FALSE),"")</f>
        <v/>
      </c>
      <c r="N2919" s="45" t="str">
        <f>IFERROR(VLOOKUP(B2919,'Pre-Summary'!$CD$6:$CF$64,2,FALSE),"")</f>
        <v/>
      </c>
      <c r="O2919" s="99">
        <f>IFERROR(VLOOKUP(B2919,'Pre-Summary'!$BO$6:$BQ$48,3, FALSE),O2918)</f>
        <v>2.77</v>
      </c>
      <c r="P2919" s="99">
        <f>IFERROR(VLOOKUP(B2919,'Pre-Summary'!$BS$6:$BU$35,3,FALSE),P2918)</f>
        <v>0.70099999999999996</v>
      </c>
      <c r="Q2919" s="54">
        <f t="shared" si="135"/>
        <v>3.9514978601997148</v>
      </c>
      <c r="R2919" s="53">
        <f>IFERROR(VLOOKUP(B2919,'Pre-Summary'!$BG$6:$BM$44,7,FALSE),R2920)</f>
        <v>0.1043586561898026</v>
      </c>
      <c r="S2919" s="53">
        <f>IFERROR(VLOOKUP(B2919,'Pre-Summary'!$BG$6:$BM$44,6,FALSE),S2920)</f>
        <v>0.10140000000009444</v>
      </c>
      <c r="T2919" s="45" t="str">
        <f>IFERROR(VLOOKUP(B2919,'Pre-Summary'!$Y$6:$AC$83, 3,FALSE),"")</f>
        <v/>
      </c>
      <c r="U2919" s="45" t="str">
        <f>IFERROR(VLOOKUP(B2919,'Pre-Summary'!$Y$6:$AC$83, 4,FALSE),"")</f>
        <v/>
      </c>
      <c r="V2919" t="str">
        <f>IFERROR(VLOOKUP(B2919,'Pre-Summary'!$Y$6:$AC$83, 5,FALSE),"")</f>
        <v/>
      </c>
      <c r="W2919" s="45" t="str">
        <f>IFERROR(VLOOKUP(B2919,'Pre-Summary'!$Y$6:$AD$83,6,FALSE),"")</f>
        <v/>
      </c>
      <c r="X2919" t="str">
        <f>IFERROR(VLOOKUP('Pre-Summary'!$DB$6:$DD$63,3,FALSE),"")</f>
        <v/>
      </c>
      <c r="Y2919" t="str">
        <f>IFERROR(VLOOKUP(B2919,'Pre-Summary'!$CR$6:$CT$36,3,FALSE),"")</f>
        <v/>
      </c>
      <c r="Z2919" s="45" t="str">
        <f>IFERROR(VLOOKUP(B2919,'Pre-Summary'!$BZ$6:$CB$63,2,FALSE),"")</f>
        <v/>
      </c>
      <c r="AA2919" s="45" t="str">
        <f>IFERROR(VLOOKUP(B2919,'Pre-Summary'!$CG$6:$CI$70,2,FALSE),"")</f>
        <v/>
      </c>
      <c r="AB2919" s="99">
        <f>IFERROR(VLOOKUP(B2919,'Pre-Summary'!$A$6:$P$178,9,FALSE),AB2920)</f>
        <v>0.7010379290946207</v>
      </c>
      <c r="AC2919" s="10">
        <f>IFERROR(VLOOKUP(Summary!B2919,'Pre-Summary'!$A$6:$P$184,5, FALSE)/100,AC2920)</f>
        <v>0.92607166666666674</v>
      </c>
      <c r="AD2919" s="10">
        <f>IFERROR(VLOOKUP(Summary!B2919,'Pre-Summary'!$A$6:$P$184,3, FALSE)/100,AD2920)</f>
        <v>5.4963666666666668E-2</v>
      </c>
      <c r="AE2919" s="10">
        <f>IFERROR(VLOOKUP(Summary!B2919,'Pre-Summary'!$A$6:$P$184,7, FALSE)/100,AE2920)</f>
        <v>1.8946666666666667E-2</v>
      </c>
      <c r="AF2919" s="99">
        <f t="shared" si="136"/>
        <v>3.8531615055447034E-2</v>
      </c>
      <c r="AG2919" s="99">
        <f t="shared" si="137"/>
        <v>1.3282331963246082E-2</v>
      </c>
      <c r="AH2919" s="10" t="str">
        <f>IFERROR(VLOOKUP(B2919,'Pre-Summary'!$AZ$6:$BE$65,3,FALSE),"")</f>
        <v/>
      </c>
      <c r="AI2919" s="10" t="str">
        <f>IFERROR(VLOOKUP(B2919,'Pre-Summary'!$AZ$6:$BE$65,5,FALSE),"")</f>
        <v/>
      </c>
      <c r="AJ2919" s="10" t="str">
        <f>IFERROR(VLOOKUP(B2919,'Pre-Summary'!$AZ$6:$BE$65,4,FALSE),"")</f>
        <v/>
      </c>
      <c r="AK2919" s="10" t="str">
        <f>IFERROR(VLOOKUP(B2919,'Pre-Summary'!$AZ$6:$BE$65,6,FALSE),"")</f>
        <v/>
      </c>
      <c r="AL2919" s="10" t="str">
        <f>IFERROR(VLOOKUP(B2919,'Pre-Summary'!$BG$6:$BL$44,3,FALSE),"")</f>
        <v/>
      </c>
      <c r="AM2919" s="10" t="str">
        <f>IFERROR(VLOOKUP(B2919,'Pre-Summary'!$BG$6:$BL$44,4,FALSE),"")</f>
        <v/>
      </c>
    </row>
    <row r="2920" spans="2:39" ht="15" customHeight="1" x14ac:dyDescent="0.3">
      <c r="B2920">
        <v>291.7</v>
      </c>
      <c r="C2920" t="str">
        <f>IFERROR(VLOOKUP(B2920,'Pre-Summary'!$DI$6:$DM$23,4,FALSE),"")</f>
        <v/>
      </c>
      <c r="D2920" s="10" t="str">
        <f>IFERROR(VLOOKUP(B2920,'Pre-Summary'!$AT$6:$AX$14,5,FALSE),D2919)</f>
        <v>Wolfe v3: went back to modified wolfe + EDTA and switched CuSO4 to CUCl2</v>
      </c>
      <c r="E2920" s="10" t="str">
        <f>IFERROR(VLOOKUP(B2920,'Pre-Summary'!$AT$6:$AX$15,4,FALSE),"")</f>
        <v/>
      </c>
      <c r="F2920">
        <f>IFERROR(VLOOKUP(B2920,'Pre-Summary'!$AL$6:$AQ$13,6,FALSE),F2919)</f>
        <v>5.9405263157894746E-2</v>
      </c>
      <c r="G2920" t="str">
        <f>IFERROR(VLOOKUP(B2920,'Pre-Summary'!$AE$6:$AJ$85,3,FALSE),"")</f>
        <v/>
      </c>
      <c r="H2920" t="str">
        <f>IFERROR(VLOOKUP(B2920,'Pre-Summary'!$AE$6:$AJ$85,4,FALSE),"")</f>
        <v/>
      </c>
      <c r="I2920" t="str">
        <f>IFERROR(VLOOKUP(B2920,'Pre-Summary'!$AE$6:$AJ$85,5,FALSE),"")</f>
        <v/>
      </c>
      <c r="J2920" s="45" t="str">
        <f>IFERROR(VLOOKUP(B2920,'Pre-Summary'!$AE$6:$AJ$85,6, FALSE),"")</f>
        <v/>
      </c>
      <c r="K2920" s="45" t="str">
        <f>IFERROR(VLOOKUP(B2920,'Pre-Summary'!$DE$6:$DG$61,3,FALSE),"")</f>
        <v/>
      </c>
      <c r="L2920" s="45" t="str">
        <f>IFERROR(VLOOKUP(B2920,'Pre-Summary'!$CU$6:$CW$36,3,FALSE),"")</f>
        <v/>
      </c>
      <c r="M2920" s="45" t="str">
        <f>IFERROR(VLOOKUP(B2920,'Pre-Summary'!$BW$6:$BY$58,2,FALSE),"")</f>
        <v/>
      </c>
      <c r="N2920" s="45" t="str">
        <f>IFERROR(VLOOKUP(B2920,'Pre-Summary'!$CD$6:$CF$64,2,FALSE),"")</f>
        <v/>
      </c>
      <c r="O2920" s="99">
        <f>IFERROR(VLOOKUP(B2920,'Pre-Summary'!$BO$6:$BQ$48,3, FALSE),O2919)</f>
        <v>2.77</v>
      </c>
      <c r="P2920" s="99">
        <f>IFERROR(VLOOKUP(B2920,'Pre-Summary'!$BS$6:$BU$35,3,FALSE),P2919)</f>
        <v>0.70099999999999996</v>
      </c>
      <c r="Q2920" s="54">
        <f t="shared" si="135"/>
        <v>3.9514978601997148</v>
      </c>
      <c r="R2920" s="53">
        <f>IFERROR(VLOOKUP(B2920,'Pre-Summary'!$BG$6:$BM$44,7,FALSE),R2921)</f>
        <v>0.1043586561898026</v>
      </c>
      <c r="S2920" s="53">
        <f>IFERROR(VLOOKUP(B2920,'Pre-Summary'!$BG$6:$BM$44,6,FALSE),S2921)</f>
        <v>0.10140000000009444</v>
      </c>
      <c r="T2920" s="45" t="str">
        <f>IFERROR(VLOOKUP(B2920,'Pre-Summary'!$Y$6:$AC$83, 3,FALSE),"")</f>
        <v/>
      </c>
      <c r="U2920" s="45" t="str">
        <f>IFERROR(VLOOKUP(B2920,'Pre-Summary'!$Y$6:$AC$83, 4,FALSE),"")</f>
        <v/>
      </c>
      <c r="V2920" t="str">
        <f>IFERROR(VLOOKUP(B2920,'Pre-Summary'!$Y$6:$AC$83, 5,FALSE),"")</f>
        <v/>
      </c>
      <c r="W2920" s="45" t="str">
        <f>IFERROR(VLOOKUP(B2920,'Pre-Summary'!$Y$6:$AD$83,6,FALSE),"")</f>
        <v/>
      </c>
      <c r="X2920" t="str">
        <f>IFERROR(VLOOKUP('Pre-Summary'!$DB$6:$DD$63,3,FALSE),"")</f>
        <v/>
      </c>
      <c r="Y2920" t="str">
        <f>IFERROR(VLOOKUP(B2920,'Pre-Summary'!$CR$6:$CT$36,3,FALSE),"")</f>
        <v/>
      </c>
      <c r="Z2920" s="45" t="str">
        <f>IFERROR(VLOOKUP(B2920,'Pre-Summary'!$BZ$6:$CB$63,2,FALSE),"")</f>
        <v/>
      </c>
      <c r="AA2920" s="45" t="str">
        <f>IFERROR(VLOOKUP(B2920,'Pre-Summary'!$CG$6:$CI$70,2,FALSE),"")</f>
        <v/>
      </c>
      <c r="AB2920" s="99">
        <f>IFERROR(VLOOKUP(B2920,'Pre-Summary'!$A$6:$P$178,9,FALSE),AB2921)</f>
        <v>0.7010379290946207</v>
      </c>
      <c r="AC2920" s="10">
        <f>IFERROR(VLOOKUP(Summary!B2920,'Pre-Summary'!$A$6:$P$184,5, FALSE)/100,AC2921)</f>
        <v>0.92607166666666674</v>
      </c>
      <c r="AD2920" s="10">
        <f>IFERROR(VLOOKUP(Summary!B2920,'Pre-Summary'!$A$6:$P$184,3, FALSE)/100,AD2921)</f>
        <v>5.4963666666666668E-2</v>
      </c>
      <c r="AE2920" s="10">
        <f>IFERROR(VLOOKUP(Summary!B2920,'Pre-Summary'!$A$6:$P$184,7, FALSE)/100,AE2921)</f>
        <v>1.8946666666666667E-2</v>
      </c>
      <c r="AF2920" s="99">
        <f t="shared" si="136"/>
        <v>3.8531615055447034E-2</v>
      </c>
      <c r="AG2920" s="99">
        <f t="shared" si="137"/>
        <v>1.3282331963246082E-2</v>
      </c>
      <c r="AH2920" s="10" t="str">
        <f>IFERROR(VLOOKUP(B2920,'Pre-Summary'!$AZ$6:$BE$65,3,FALSE),"")</f>
        <v/>
      </c>
      <c r="AI2920" s="10" t="str">
        <f>IFERROR(VLOOKUP(B2920,'Pre-Summary'!$AZ$6:$BE$65,5,FALSE),"")</f>
        <v/>
      </c>
      <c r="AJ2920" s="10" t="str">
        <f>IFERROR(VLOOKUP(B2920,'Pre-Summary'!$AZ$6:$BE$65,4,FALSE),"")</f>
        <v/>
      </c>
      <c r="AK2920" s="10" t="str">
        <f>IFERROR(VLOOKUP(B2920,'Pre-Summary'!$AZ$6:$BE$65,6,FALSE),"")</f>
        <v/>
      </c>
      <c r="AL2920" s="10" t="str">
        <f>IFERROR(VLOOKUP(B2920,'Pre-Summary'!$BG$6:$BL$44,3,FALSE),"")</f>
        <v/>
      </c>
      <c r="AM2920" s="10" t="str">
        <f>IFERROR(VLOOKUP(B2920,'Pre-Summary'!$BG$6:$BL$44,4,FALSE),"")</f>
        <v/>
      </c>
    </row>
    <row r="2921" spans="2:39" ht="15" customHeight="1" x14ac:dyDescent="0.3">
      <c r="B2921">
        <v>291.8</v>
      </c>
      <c r="C2921" t="str">
        <f>IFERROR(VLOOKUP(B2921,'Pre-Summary'!$DI$6:$DM$23,4,FALSE),"")</f>
        <v/>
      </c>
      <c r="D2921" s="10" t="str">
        <f>IFERROR(VLOOKUP(B2921,'Pre-Summary'!$AT$6:$AX$14,5,FALSE),D2920)</f>
        <v>Wolfe v3: went back to modified wolfe + EDTA and switched CuSO4 to CUCl2</v>
      </c>
      <c r="E2921" s="10" t="str">
        <f>IFERROR(VLOOKUP(B2921,'Pre-Summary'!$AT$6:$AX$15,4,FALSE),"")</f>
        <v/>
      </c>
      <c r="F2921">
        <f>IFERROR(VLOOKUP(B2921,'Pre-Summary'!$AL$6:$AQ$13,6,FALSE),F2920)</f>
        <v>5.9405263157894746E-2</v>
      </c>
      <c r="G2921" t="str">
        <f>IFERROR(VLOOKUP(B2921,'Pre-Summary'!$AE$6:$AJ$85,3,FALSE),"")</f>
        <v/>
      </c>
      <c r="H2921" t="str">
        <f>IFERROR(VLOOKUP(B2921,'Pre-Summary'!$AE$6:$AJ$85,4,FALSE),"")</f>
        <v/>
      </c>
      <c r="I2921" t="str">
        <f>IFERROR(VLOOKUP(B2921,'Pre-Summary'!$AE$6:$AJ$85,5,FALSE),"")</f>
        <v/>
      </c>
      <c r="J2921" s="45" t="str">
        <f>IFERROR(VLOOKUP(B2921,'Pre-Summary'!$AE$6:$AJ$85,6, FALSE),"")</f>
        <v/>
      </c>
      <c r="K2921" s="45" t="str">
        <f>IFERROR(VLOOKUP(B2921,'Pre-Summary'!$DE$6:$DG$61,3,FALSE),"")</f>
        <v/>
      </c>
      <c r="L2921" s="45" t="str">
        <f>IFERROR(VLOOKUP(B2921,'Pre-Summary'!$CU$6:$CW$36,3,FALSE),"")</f>
        <v/>
      </c>
      <c r="M2921" s="45" t="str">
        <f>IFERROR(VLOOKUP(B2921,'Pre-Summary'!$BW$6:$BY$58,2,FALSE),"")</f>
        <v/>
      </c>
      <c r="N2921" s="45" t="str">
        <f>IFERROR(VLOOKUP(B2921,'Pre-Summary'!$CD$6:$CF$64,2,FALSE),"")</f>
        <v/>
      </c>
      <c r="O2921" s="99">
        <f>IFERROR(VLOOKUP(B2921,'Pre-Summary'!$BO$6:$BQ$48,3, FALSE),O2920)</f>
        <v>2.77</v>
      </c>
      <c r="P2921" s="99">
        <f>IFERROR(VLOOKUP(B2921,'Pre-Summary'!$BS$6:$BU$35,3,FALSE),P2920)</f>
        <v>0.70099999999999996</v>
      </c>
      <c r="Q2921" s="54">
        <f t="shared" si="135"/>
        <v>3.9514978601997148</v>
      </c>
      <c r="R2921" s="53">
        <f>IFERROR(VLOOKUP(B2921,'Pre-Summary'!$BG$6:$BM$44,7,FALSE),R2922)</f>
        <v>0.1043586561898026</v>
      </c>
      <c r="S2921" s="53">
        <f>IFERROR(VLOOKUP(B2921,'Pre-Summary'!$BG$6:$BM$44,6,FALSE),S2922)</f>
        <v>0.10140000000009444</v>
      </c>
      <c r="T2921" s="45" t="str">
        <f>IFERROR(VLOOKUP(B2921,'Pre-Summary'!$Y$6:$AC$83, 3,FALSE),"")</f>
        <v/>
      </c>
      <c r="U2921" s="45" t="str">
        <f>IFERROR(VLOOKUP(B2921,'Pre-Summary'!$Y$6:$AC$83, 4,FALSE),"")</f>
        <v/>
      </c>
      <c r="V2921" t="str">
        <f>IFERROR(VLOOKUP(B2921,'Pre-Summary'!$Y$6:$AC$83, 5,FALSE),"")</f>
        <v/>
      </c>
      <c r="W2921" s="45" t="str">
        <f>IFERROR(VLOOKUP(B2921,'Pre-Summary'!$Y$6:$AD$83,6,FALSE),"")</f>
        <v/>
      </c>
      <c r="X2921" t="str">
        <f>IFERROR(VLOOKUP('Pre-Summary'!$DB$6:$DD$63,3,FALSE),"")</f>
        <v/>
      </c>
      <c r="Y2921" t="str">
        <f>IFERROR(VLOOKUP(B2921,'Pre-Summary'!$CR$6:$CT$36,3,FALSE),"")</f>
        <v/>
      </c>
      <c r="Z2921" s="45" t="str">
        <f>IFERROR(VLOOKUP(B2921,'Pre-Summary'!$BZ$6:$CB$63,2,FALSE),"")</f>
        <v/>
      </c>
      <c r="AA2921" s="45" t="str">
        <f>IFERROR(VLOOKUP(B2921,'Pre-Summary'!$CG$6:$CI$70,2,FALSE),"")</f>
        <v/>
      </c>
      <c r="AB2921" s="99">
        <f>IFERROR(VLOOKUP(B2921,'Pre-Summary'!$A$6:$P$178,9,FALSE),AB2922)</f>
        <v>0.7010379290946207</v>
      </c>
      <c r="AC2921" s="10">
        <f>IFERROR(VLOOKUP(Summary!B2921,'Pre-Summary'!$A$6:$P$184,5, FALSE)/100,AC2922)</f>
        <v>0.92607166666666674</v>
      </c>
      <c r="AD2921" s="10">
        <f>IFERROR(VLOOKUP(Summary!B2921,'Pre-Summary'!$A$6:$P$184,3, FALSE)/100,AD2922)</f>
        <v>5.4963666666666668E-2</v>
      </c>
      <c r="AE2921" s="10">
        <f>IFERROR(VLOOKUP(Summary!B2921,'Pre-Summary'!$A$6:$P$184,7, FALSE)/100,AE2922)</f>
        <v>1.8946666666666667E-2</v>
      </c>
      <c r="AF2921" s="99">
        <f t="shared" si="136"/>
        <v>3.8531615055447034E-2</v>
      </c>
      <c r="AG2921" s="99">
        <f t="shared" si="137"/>
        <v>1.3282331963246082E-2</v>
      </c>
      <c r="AH2921" s="10" t="str">
        <f>IFERROR(VLOOKUP(B2921,'Pre-Summary'!$AZ$6:$BE$65,3,FALSE),"")</f>
        <v/>
      </c>
      <c r="AI2921" s="10" t="str">
        <f>IFERROR(VLOOKUP(B2921,'Pre-Summary'!$AZ$6:$BE$65,5,FALSE),"")</f>
        <v/>
      </c>
      <c r="AJ2921" s="10" t="str">
        <f>IFERROR(VLOOKUP(B2921,'Pre-Summary'!$AZ$6:$BE$65,4,FALSE),"")</f>
        <v/>
      </c>
      <c r="AK2921" s="10" t="str">
        <f>IFERROR(VLOOKUP(B2921,'Pre-Summary'!$AZ$6:$BE$65,6,FALSE),"")</f>
        <v/>
      </c>
      <c r="AL2921" s="10" t="str">
        <f>IFERROR(VLOOKUP(B2921,'Pre-Summary'!$BG$6:$BL$44,3,FALSE),"")</f>
        <v/>
      </c>
      <c r="AM2921" s="10" t="str">
        <f>IFERROR(VLOOKUP(B2921,'Pre-Summary'!$BG$6:$BL$44,4,FALSE),"")</f>
        <v/>
      </c>
    </row>
    <row r="2922" spans="2:39" ht="15" customHeight="1" x14ac:dyDescent="0.3">
      <c r="B2922">
        <v>291.89999999999998</v>
      </c>
      <c r="C2922" t="str">
        <f>IFERROR(VLOOKUP(B2922,'Pre-Summary'!$DI$6:$DM$23,4,FALSE),"")</f>
        <v/>
      </c>
      <c r="D2922" s="10" t="str">
        <f>IFERROR(VLOOKUP(B2922,'Pre-Summary'!$AT$6:$AX$14,5,FALSE),D2921)</f>
        <v>Wolfe v3: went back to modified wolfe + EDTA and switched CuSO4 to CUCl2</v>
      </c>
      <c r="E2922" s="10" t="str">
        <f>IFERROR(VLOOKUP(B2922,'Pre-Summary'!$AT$6:$AX$15,4,FALSE),"")</f>
        <v/>
      </c>
      <c r="F2922">
        <f>IFERROR(VLOOKUP(B2922,'Pre-Summary'!$AL$6:$AQ$13,6,FALSE),F2921)</f>
        <v>5.9405263157894746E-2</v>
      </c>
      <c r="G2922" t="str">
        <f>IFERROR(VLOOKUP(B2922,'Pre-Summary'!$AE$6:$AJ$85,3,FALSE),"")</f>
        <v/>
      </c>
      <c r="H2922" t="str">
        <f>IFERROR(VLOOKUP(B2922,'Pre-Summary'!$AE$6:$AJ$85,4,FALSE),"")</f>
        <v/>
      </c>
      <c r="I2922" t="str">
        <f>IFERROR(VLOOKUP(B2922,'Pre-Summary'!$AE$6:$AJ$85,5,FALSE),"")</f>
        <v/>
      </c>
      <c r="J2922" s="45" t="str">
        <f>IFERROR(VLOOKUP(B2922,'Pre-Summary'!$AE$6:$AJ$85,6, FALSE),"")</f>
        <v/>
      </c>
      <c r="K2922" s="45" t="str">
        <f>IFERROR(VLOOKUP(B2922,'Pre-Summary'!$DE$6:$DG$61,3,FALSE),"")</f>
        <v/>
      </c>
      <c r="L2922" s="45" t="str">
        <f>IFERROR(VLOOKUP(B2922,'Pre-Summary'!$CU$6:$CW$36,3,FALSE),"")</f>
        <v/>
      </c>
      <c r="M2922" s="45" t="str">
        <f>IFERROR(VLOOKUP(B2922,'Pre-Summary'!$BW$6:$BY$58,2,FALSE),"")</f>
        <v/>
      </c>
      <c r="N2922" s="45" t="str">
        <f>IFERROR(VLOOKUP(B2922,'Pre-Summary'!$CD$6:$CF$64,2,FALSE),"")</f>
        <v/>
      </c>
      <c r="O2922" s="99">
        <f>IFERROR(VLOOKUP(B2922,'Pre-Summary'!$BO$6:$BQ$48,3, FALSE),O2921)</f>
        <v>2.77</v>
      </c>
      <c r="P2922" s="99">
        <f>IFERROR(VLOOKUP(B2922,'Pre-Summary'!$BS$6:$BU$35,3,FALSE),P2921)</f>
        <v>0.70099999999999996</v>
      </c>
      <c r="Q2922" s="54">
        <f t="shared" si="135"/>
        <v>3.9514978601997148</v>
      </c>
      <c r="R2922" s="53">
        <f>IFERROR(VLOOKUP(B2922,'Pre-Summary'!$BG$6:$BM$44,7,FALSE),R2923)</f>
        <v>0.1043586561898026</v>
      </c>
      <c r="S2922" s="53">
        <f>IFERROR(VLOOKUP(B2922,'Pre-Summary'!$BG$6:$BM$44,6,FALSE),S2923)</f>
        <v>0.10140000000009444</v>
      </c>
      <c r="T2922" s="45" t="str">
        <f>IFERROR(VLOOKUP(B2922,'Pre-Summary'!$Y$6:$AC$83, 3,FALSE),"")</f>
        <v/>
      </c>
      <c r="U2922" s="45" t="str">
        <f>IFERROR(VLOOKUP(B2922,'Pre-Summary'!$Y$6:$AC$83, 4,FALSE),"")</f>
        <v/>
      </c>
      <c r="V2922" t="str">
        <f>IFERROR(VLOOKUP(B2922,'Pre-Summary'!$Y$6:$AC$83, 5,FALSE),"")</f>
        <v/>
      </c>
      <c r="W2922" s="45" t="str">
        <f>IFERROR(VLOOKUP(B2922,'Pre-Summary'!$Y$6:$AD$83,6,FALSE),"")</f>
        <v/>
      </c>
      <c r="X2922" t="str">
        <f>IFERROR(VLOOKUP('Pre-Summary'!$DB$6:$DD$63,3,FALSE),"")</f>
        <v/>
      </c>
      <c r="Y2922" t="str">
        <f>IFERROR(VLOOKUP(B2922,'Pre-Summary'!$CR$6:$CT$36,3,FALSE),"")</f>
        <v/>
      </c>
      <c r="Z2922" s="45" t="str">
        <f>IFERROR(VLOOKUP(B2922,'Pre-Summary'!$BZ$6:$CB$63,2,FALSE),"")</f>
        <v/>
      </c>
      <c r="AA2922" s="45" t="str">
        <f>IFERROR(VLOOKUP(B2922,'Pre-Summary'!$CG$6:$CI$70,2,FALSE),"")</f>
        <v/>
      </c>
      <c r="AB2922" s="99">
        <f>IFERROR(VLOOKUP(B2922,'Pre-Summary'!$A$6:$P$178,9,FALSE),AB2923)</f>
        <v>0.7010379290946207</v>
      </c>
      <c r="AC2922" s="10">
        <f>IFERROR(VLOOKUP(Summary!B2922,'Pre-Summary'!$A$6:$P$184,5, FALSE)/100,AC2923)</f>
        <v>0.92607166666666674</v>
      </c>
      <c r="AD2922" s="10">
        <f>IFERROR(VLOOKUP(Summary!B2922,'Pre-Summary'!$A$6:$P$184,3, FALSE)/100,AD2923)</f>
        <v>5.4963666666666668E-2</v>
      </c>
      <c r="AE2922" s="10">
        <f>IFERROR(VLOOKUP(Summary!B2922,'Pre-Summary'!$A$6:$P$184,7, FALSE)/100,AE2923)</f>
        <v>1.8946666666666667E-2</v>
      </c>
      <c r="AF2922" s="99">
        <f t="shared" si="136"/>
        <v>3.8531615055447034E-2</v>
      </c>
      <c r="AG2922" s="99">
        <f t="shared" si="137"/>
        <v>1.3282331963246082E-2</v>
      </c>
      <c r="AH2922" s="10" t="str">
        <f>IFERROR(VLOOKUP(B2922,'Pre-Summary'!$AZ$6:$BE$65,3,FALSE),"")</f>
        <v/>
      </c>
      <c r="AI2922" s="10" t="str">
        <f>IFERROR(VLOOKUP(B2922,'Pre-Summary'!$AZ$6:$BE$65,5,FALSE),"")</f>
        <v/>
      </c>
      <c r="AJ2922" s="10" t="str">
        <f>IFERROR(VLOOKUP(B2922,'Pre-Summary'!$AZ$6:$BE$65,4,FALSE),"")</f>
        <v/>
      </c>
      <c r="AK2922" s="10" t="str">
        <f>IFERROR(VLOOKUP(B2922,'Pre-Summary'!$AZ$6:$BE$65,6,FALSE),"")</f>
        <v/>
      </c>
      <c r="AL2922" s="10" t="str">
        <f>IFERROR(VLOOKUP(B2922,'Pre-Summary'!$BG$6:$BL$44,3,FALSE),"")</f>
        <v/>
      </c>
      <c r="AM2922" s="10" t="str">
        <f>IFERROR(VLOOKUP(B2922,'Pre-Summary'!$BG$6:$BL$44,4,FALSE),"")</f>
        <v/>
      </c>
    </row>
    <row r="2923" spans="2:39" ht="15" customHeight="1" x14ac:dyDescent="0.3">
      <c r="B2923">
        <v>292</v>
      </c>
      <c r="C2923" t="str">
        <f>IFERROR(VLOOKUP(B2923,'Pre-Summary'!$DI$6:$DM$23,4,FALSE),"")</f>
        <v/>
      </c>
      <c r="D2923" s="10" t="str">
        <f>IFERROR(VLOOKUP(B2923,'Pre-Summary'!$AT$6:$AX$14,5,FALSE),D2922)</f>
        <v>Wolfe v3: went back to modified wolfe + EDTA and switched CuSO4 to CUCl2</v>
      </c>
      <c r="E2923" s="10" t="str">
        <f>IFERROR(VLOOKUP(B2923,'Pre-Summary'!$AT$6:$AX$15,4,FALSE),"")</f>
        <v/>
      </c>
      <c r="F2923">
        <f>IFERROR(VLOOKUP(B2923,'Pre-Summary'!$AL$6:$AQ$13,6,FALSE),F2922)</f>
        <v>5.9405263157894746E-2</v>
      </c>
      <c r="G2923" t="str">
        <f>IFERROR(VLOOKUP(B2923,'Pre-Summary'!$AE$6:$AJ$85,3,FALSE),"")</f>
        <v/>
      </c>
      <c r="H2923" t="str">
        <f>IFERROR(VLOOKUP(B2923,'Pre-Summary'!$AE$6:$AJ$85,4,FALSE),"")</f>
        <v/>
      </c>
      <c r="I2923" t="str">
        <f>IFERROR(VLOOKUP(B2923,'Pre-Summary'!$AE$6:$AJ$85,5,FALSE),"")</f>
        <v/>
      </c>
      <c r="J2923" s="45" t="str">
        <f>IFERROR(VLOOKUP(B2923,'Pre-Summary'!$AE$6:$AJ$85,6, FALSE),"")</f>
        <v/>
      </c>
      <c r="K2923" s="45" t="str">
        <f>IFERROR(VLOOKUP(B2923,'Pre-Summary'!$DE$6:$DG$61,3,FALSE),"")</f>
        <v/>
      </c>
      <c r="L2923" s="45" t="str">
        <f>IFERROR(VLOOKUP(B2923,'Pre-Summary'!$CU$6:$CW$36,3,FALSE),"")</f>
        <v/>
      </c>
      <c r="M2923" s="45" t="str">
        <f>IFERROR(VLOOKUP(B2923,'Pre-Summary'!$BW$6:$BY$58,2,FALSE),"")</f>
        <v/>
      </c>
      <c r="N2923" s="45" t="str">
        <f>IFERROR(VLOOKUP(B2923,'Pre-Summary'!$CD$6:$CF$64,2,FALSE),"")</f>
        <v/>
      </c>
      <c r="O2923" s="99">
        <f>IFERROR(VLOOKUP(B2923,'Pre-Summary'!$BO$6:$BQ$48,3, FALSE),O2922)</f>
        <v>2.77</v>
      </c>
      <c r="P2923" s="99">
        <f>IFERROR(VLOOKUP(B2923,'Pre-Summary'!$BS$6:$BU$35,3,FALSE),P2922)</f>
        <v>0.70099999999999996</v>
      </c>
      <c r="Q2923" s="54">
        <f t="shared" si="135"/>
        <v>3.9514978601997148</v>
      </c>
      <c r="R2923" s="53">
        <f>IFERROR(VLOOKUP(B2923,'Pre-Summary'!$BG$6:$BM$44,7,FALSE),R2924)</f>
        <v>0.1043586561898026</v>
      </c>
      <c r="S2923" s="53">
        <f>IFERROR(VLOOKUP(B2923,'Pre-Summary'!$BG$6:$BM$44,6,FALSE),S2924)</f>
        <v>0.10140000000009444</v>
      </c>
      <c r="T2923" s="45" t="str">
        <f>IFERROR(VLOOKUP(B2923,'Pre-Summary'!$Y$6:$AC$83, 3,FALSE),"")</f>
        <v/>
      </c>
      <c r="U2923" s="45" t="str">
        <f>IFERROR(VLOOKUP(B2923,'Pre-Summary'!$Y$6:$AC$83, 4,FALSE),"")</f>
        <v/>
      </c>
      <c r="V2923" t="str">
        <f>IFERROR(VLOOKUP(B2923,'Pre-Summary'!$Y$6:$AC$83, 5,FALSE),"")</f>
        <v/>
      </c>
      <c r="W2923" s="45" t="str">
        <f>IFERROR(VLOOKUP(B2923,'Pre-Summary'!$Y$6:$AD$83,6,FALSE),"")</f>
        <v/>
      </c>
      <c r="X2923" t="str">
        <f>IFERROR(VLOOKUP('Pre-Summary'!$DB$6:$DD$63,3,FALSE),"")</f>
        <v/>
      </c>
      <c r="Y2923" t="str">
        <f>IFERROR(VLOOKUP(B2923,'Pre-Summary'!$CR$6:$CT$36,3,FALSE),"")</f>
        <v/>
      </c>
      <c r="Z2923" s="45" t="str">
        <f>IFERROR(VLOOKUP(B2923,'Pre-Summary'!$BZ$6:$CB$63,2,FALSE),"")</f>
        <v/>
      </c>
      <c r="AA2923" s="45" t="str">
        <f>IFERROR(VLOOKUP(B2923,'Pre-Summary'!$CG$6:$CI$70,2,FALSE),"")</f>
        <v/>
      </c>
      <c r="AB2923" s="99">
        <f>IFERROR(VLOOKUP(B2923,'Pre-Summary'!$A$6:$P$178,9,FALSE),AB2924)</f>
        <v>0.7010379290946207</v>
      </c>
      <c r="AC2923" s="10">
        <f>IFERROR(VLOOKUP(Summary!B2923,'Pre-Summary'!$A$6:$P$184,5, FALSE)/100,AC2924)</f>
        <v>0.92607166666666674</v>
      </c>
      <c r="AD2923" s="10">
        <f>IFERROR(VLOOKUP(Summary!B2923,'Pre-Summary'!$A$6:$P$184,3, FALSE)/100,AD2924)</f>
        <v>5.4963666666666668E-2</v>
      </c>
      <c r="AE2923" s="10">
        <f>IFERROR(VLOOKUP(Summary!B2923,'Pre-Summary'!$A$6:$P$184,7, FALSE)/100,AE2924)</f>
        <v>1.8946666666666667E-2</v>
      </c>
      <c r="AF2923" s="99">
        <f t="shared" si="136"/>
        <v>3.8531615055447034E-2</v>
      </c>
      <c r="AG2923" s="99">
        <f t="shared" si="137"/>
        <v>1.3282331963246082E-2</v>
      </c>
      <c r="AH2923" s="10" t="str">
        <f>IFERROR(VLOOKUP(B2923,'Pre-Summary'!$AZ$6:$BE$65,3,FALSE),"")</f>
        <v/>
      </c>
      <c r="AI2923" s="10" t="str">
        <f>IFERROR(VLOOKUP(B2923,'Pre-Summary'!$AZ$6:$BE$65,5,FALSE),"")</f>
        <v/>
      </c>
      <c r="AJ2923" s="10" t="str">
        <f>IFERROR(VLOOKUP(B2923,'Pre-Summary'!$AZ$6:$BE$65,4,FALSE),"")</f>
        <v/>
      </c>
      <c r="AK2923" s="10" t="str">
        <f>IFERROR(VLOOKUP(B2923,'Pre-Summary'!$AZ$6:$BE$65,6,FALSE),"")</f>
        <v/>
      </c>
      <c r="AL2923" s="10" t="str">
        <f>IFERROR(VLOOKUP(B2923,'Pre-Summary'!$BG$6:$BL$44,3,FALSE),"")</f>
        <v/>
      </c>
      <c r="AM2923" s="10" t="str">
        <f>IFERROR(VLOOKUP(B2923,'Pre-Summary'!$BG$6:$BL$44,4,FALSE),"")</f>
        <v/>
      </c>
    </row>
    <row r="2924" spans="2:39" ht="15" customHeight="1" x14ac:dyDescent="0.3">
      <c r="B2924">
        <v>292.10000000000002</v>
      </c>
      <c r="C2924" t="str">
        <f>IFERROR(VLOOKUP(B2924,'Pre-Summary'!$DI$6:$DM$23,4,FALSE),"")</f>
        <v/>
      </c>
      <c r="D2924" s="10" t="str">
        <f>IFERROR(VLOOKUP(B2924,'Pre-Summary'!$AT$6:$AX$14,5,FALSE),D2923)</f>
        <v>Wolfe v3: went back to modified wolfe + EDTA and switched CuSO4 to CUCl2</v>
      </c>
      <c r="E2924" s="10" t="str">
        <f>IFERROR(VLOOKUP(B2924,'Pre-Summary'!$AT$6:$AX$15,4,FALSE),"")</f>
        <v/>
      </c>
      <c r="F2924">
        <f>IFERROR(VLOOKUP(B2924,'Pre-Summary'!$AL$6:$AQ$13,6,FALSE),F2923)</f>
        <v>5.9405263157894746E-2</v>
      </c>
      <c r="G2924" t="str">
        <f>IFERROR(VLOOKUP(B2924,'Pre-Summary'!$AE$6:$AJ$85,3,FALSE),"")</f>
        <v/>
      </c>
      <c r="H2924" t="str">
        <f>IFERROR(VLOOKUP(B2924,'Pre-Summary'!$AE$6:$AJ$85,4,FALSE),"")</f>
        <v/>
      </c>
      <c r="I2924" t="str">
        <f>IFERROR(VLOOKUP(B2924,'Pre-Summary'!$AE$6:$AJ$85,5,FALSE),"")</f>
        <v/>
      </c>
      <c r="J2924" s="45" t="str">
        <f>IFERROR(VLOOKUP(B2924,'Pre-Summary'!$AE$6:$AJ$85,6, FALSE),"")</f>
        <v/>
      </c>
      <c r="K2924" s="45" t="str">
        <f>IFERROR(VLOOKUP(B2924,'Pre-Summary'!$DE$6:$DG$61,3,FALSE),"")</f>
        <v/>
      </c>
      <c r="L2924" s="45" t="str">
        <f>IFERROR(VLOOKUP(B2924,'Pre-Summary'!$CU$6:$CW$36,3,FALSE),"")</f>
        <v/>
      </c>
      <c r="M2924" s="45" t="str">
        <f>IFERROR(VLOOKUP(B2924,'Pre-Summary'!$BW$6:$BY$58,2,FALSE),"")</f>
        <v/>
      </c>
      <c r="N2924" s="45" t="str">
        <f>IFERROR(VLOOKUP(B2924,'Pre-Summary'!$CD$6:$CF$64,2,FALSE),"")</f>
        <v/>
      </c>
      <c r="O2924" s="99">
        <f>IFERROR(VLOOKUP(B2924,'Pre-Summary'!$BO$6:$BQ$48,3, FALSE),O2923)</f>
        <v>2.77</v>
      </c>
      <c r="P2924" s="99">
        <f>IFERROR(VLOOKUP(B2924,'Pre-Summary'!$BS$6:$BU$35,3,FALSE),P2923)</f>
        <v>0.70099999999999996</v>
      </c>
      <c r="Q2924" s="54">
        <f t="shared" si="135"/>
        <v>3.9514978601997148</v>
      </c>
      <c r="R2924" s="53">
        <f>IFERROR(VLOOKUP(B2924,'Pre-Summary'!$BG$6:$BM$44,7,FALSE),R2925)</f>
        <v>0.1043586561898026</v>
      </c>
      <c r="S2924" s="53">
        <f>IFERROR(VLOOKUP(B2924,'Pre-Summary'!$BG$6:$BM$44,6,FALSE),S2925)</f>
        <v>0.10140000000009444</v>
      </c>
      <c r="T2924" s="45" t="str">
        <f>IFERROR(VLOOKUP(B2924,'Pre-Summary'!$Y$6:$AC$83, 3,FALSE),"")</f>
        <v/>
      </c>
      <c r="U2924" s="45" t="str">
        <f>IFERROR(VLOOKUP(B2924,'Pre-Summary'!$Y$6:$AC$83, 4,FALSE),"")</f>
        <v/>
      </c>
      <c r="V2924" t="str">
        <f>IFERROR(VLOOKUP(B2924,'Pre-Summary'!$Y$6:$AC$83, 5,FALSE),"")</f>
        <v/>
      </c>
      <c r="W2924" s="45" t="str">
        <f>IFERROR(VLOOKUP(B2924,'Pre-Summary'!$Y$6:$AD$83,6,FALSE),"")</f>
        <v/>
      </c>
      <c r="X2924" t="str">
        <f>IFERROR(VLOOKUP('Pre-Summary'!$DB$6:$DD$63,3,FALSE),"")</f>
        <v/>
      </c>
      <c r="Y2924" t="str">
        <f>IFERROR(VLOOKUP(B2924,'Pre-Summary'!$CR$6:$CT$36,3,FALSE),"")</f>
        <v/>
      </c>
      <c r="Z2924" s="45" t="str">
        <f>IFERROR(VLOOKUP(B2924,'Pre-Summary'!$BZ$6:$CB$63,2,FALSE),"")</f>
        <v/>
      </c>
      <c r="AA2924" s="45" t="str">
        <f>IFERROR(VLOOKUP(B2924,'Pre-Summary'!$CG$6:$CI$70,2,FALSE),"")</f>
        <v/>
      </c>
      <c r="AB2924" s="99">
        <f>IFERROR(VLOOKUP(B2924,'Pre-Summary'!$A$6:$P$178,9,FALSE),AB2925)</f>
        <v>0.7010379290946207</v>
      </c>
      <c r="AC2924" s="10">
        <f>IFERROR(VLOOKUP(Summary!B2924,'Pre-Summary'!$A$6:$P$184,5, FALSE)/100,AC2925)</f>
        <v>0.92607166666666674</v>
      </c>
      <c r="AD2924" s="10">
        <f>IFERROR(VLOOKUP(Summary!B2924,'Pre-Summary'!$A$6:$P$184,3, FALSE)/100,AD2925)</f>
        <v>5.4963666666666668E-2</v>
      </c>
      <c r="AE2924" s="10">
        <f>IFERROR(VLOOKUP(Summary!B2924,'Pre-Summary'!$A$6:$P$184,7, FALSE)/100,AE2925)</f>
        <v>1.8946666666666667E-2</v>
      </c>
      <c r="AF2924" s="99">
        <f t="shared" si="136"/>
        <v>3.8531615055447034E-2</v>
      </c>
      <c r="AG2924" s="99">
        <f t="shared" si="137"/>
        <v>1.3282331963246082E-2</v>
      </c>
      <c r="AH2924" s="10" t="str">
        <f>IFERROR(VLOOKUP(B2924,'Pre-Summary'!$AZ$6:$BE$65,3,FALSE),"")</f>
        <v/>
      </c>
      <c r="AI2924" s="10" t="str">
        <f>IFERROR(VLOOKUP(B2924,'Pre-Summary'!$AZ$6:$BE$65,5,FALSE),"")</f>
        <v/>
      </c>
      <c r="AJ2924" s="10" t="str">
        <f>IFERROR(VLOOKUP(B2924,'Pre-Summary'!$AZ$6:$BE$65,4,FALSE),"")</f>
        <v/>
      </c>
      <c r="AK2924" s="10" t="str">
        <f>IFERROR(VLOOKUP(B2924,'Pre-Summary'!$AZ$6:$BE$65,6,FALSE),"")</f>
        <v/>
      </c>
      <c r="AL2924" s="10" t="str">
        <f>IFERROR(VLOOKUP(B2924,'Pre-Summary'!$BG$6:$BL$44,3,FALSE),"")</f>
        <v/>
      </c>
      <c r="AM2924" s="10" t="str">
        <f>IFERROR(VLOOKUP(B2924,'Pre-Summary'!$BG$6:$BL$44,4,FALSE),"")</f>
        <v/>
      </c>
    </row>
    <row r="2925" spans="2:39" ht="15" customHeight="1" x14ac:dyDescent="0.3">
      <c r="B2925">
        <v>292.2</v>
      </c>
      <c r="C2925" t="str">
        <f>IFERROR(VLOOKUP(B2925,'Pre-Summary'!$DI$6:$DM$23,4,FALSE),"")</f>
        <v/>
      </c>
      <c r="D2925" s="10" t="str">
        <f>IFERROR(VLOOKUP(B2925,'Pre-Summary'!$AT$6:$AX$14,5,FALSE),D2924)</f>
        <v>Wolfe v3: went back to modified wolfe + EDTA and switched CuSO4 to CUCl2</v>
      </c>
      <c r="E2925" s="10" t="str">
        <f>IFERROR(VLOOKUP(B2925,'Pre-Summary'!$AT$6:$AX$15,4,FALSE),"")</f>
        <v/>
      </c>
      <c r="F2925">
        <f>IFERROR(VLOOKUP(B2925,'Pre-Summary'!$AL$6:$AQ$13,6,FALSE),F2924)</f>
        <v>5.9405263157894746E-2</v>
      </c>
      <c r="G2925" t="str">
        <f>IFERROR(VLOOKUP(B2925,'Pre-Summary'!$AE$6:$AJ$85,3,FALSE),"")</f>
        <v/>
      </c>
      <c r="H2925" t="str">
        <f>IFERROR(VLOOKUP(B2925,'Pre-Summary'!$AE$6:$AJ$85,4,FALSE),"")</f>
        <v/>
      </c>
      <c r="I2925" t="str">
        <f>IFERROR(VLOOKUP(B2925,'Pre-Summary'!$AE$6:$AJ$85,5,FALSE),"")</f>
        <v/>
      </c>
      <c r="J2925" s="45" t="str">
        <f>IFERROR(VLOOKUP(B2925,'Pre-Summary'!$AE$6:$AJ$85,6, FALSE),"")</f>
        <v/>
      </c>
      <c r="K2925" s="45" t="str">
        <f>IFERROR(VLOOKUP(B2925,'Pre-Summary'!$DE$6:$DG$61,3,FALSE),"")</f>
        <v/>
      </c>
      <c r="L2925" s="45" t="str">
        <f>IFERROR(VLOOKUP(B2925,'Pre-Summary'!$CU$6:$CW$36,3,FALSE),"")</f>
        <v/>
      </c>
      <c r="M2925" s="45" t="str">
        <f>IFERROR(VLOOKUP(B2925,'Pre-Summary'!$BW$6:$BY$58,2,FALSE),"")</f>
        <v/>
      </c>
      <c r="N2925" s="45" t="str">
        <f>IFERROR(VLOOKUP(B2925,'Pre-Summary'!$CD$6:$CF$64,2,FALSE),"")</f>
        <v/>
      </c>
      <c r="O2925" s="99">
        <f>IFERROR(VLOOKUP(B2925,'Pre-Summary'!$BO$6:$BQ$48,3, FALSE),O2924)</f>
        <v>2.77</v>
      </c>
      <c r="P2925" s="99">
        <f>IFERROR(VLOOKUP(B2925,'Pre-Summary'!$BS$6:$BU$35,3,FALSE),P2924)</f>
        <v>0.70099999999999996</v>
      </c>
      <c r="Q2925" s="54">
        <f t="shared" si="135"/>
        <v>3.9514978601997148</v>
      </c>
      <c r="R2925" s="53">
        <f>IFERROR(VLOOKUP(B2925,'Pre-Summary'!$BG$6:$BM$44,7,FALSE),R2926)</f>
        <v>0.1043586561898026</v>
      </c>
      <c r="S2925" s="53">
        <f>IFERROR(VLOOKUP(B2925,'Pre-Summary'!$BG$6:$BM$44,6,FALSE),S2926)</f>
        <v>0.10140000000009444</v>
      </c>
      <c r="T2925" s="45" t="str">
        <f>IFERROR(VLOOKUP(B2925,'Pre-Summary'!$Y$6:$AC$83, 3,FALSE),"")</f>
        <v/>
      </c>
      <c r="U2925" s="45" t="str">
        <f>IFERROR(VLOOKUP(B2925,'Pre-Summary'!$Y$6:$AC$83, 4,FALSE),"")</f>
        <v/>
      </c>
      <c r="V2925" t="str">
        <f>IFERROR(VLOOKUP(B2925,'Pre-Summary'!$Y$6:$AC$83, 5,FALSE),"")</f>
        <v/>
      </c>
      <c r="W2925" s="45" t="str">
        <f>IFERROR(VLOOKUP(B2925,'Pre-Summary'!$Y$6:$AD$83,6,FALSE),"")</f>
        <v/>
      </c>
      <c r="X2925" t="str">
        <f>IFERROR(VLOOKUP('Pre-Summary'!$DB$6:$DD$63,3,FALSE),"")</f>
        <v/>
      </c>
      <c r="Y2925" t="str">
        <f>IFERROR(VLOOKUP(B2925,'Pre-Summary'!$CR$6:$CT$36,3,FALSE),"")</f>
        <v/>
      </c>
      <c r="Z2925" s="45" t="str">
        <f>IFERROR(VLOOKUP(B2925,'Pre-Summary'!$BZ$6:$CB$63,2,FALSE),"")</f>
        <v/>
      </c>
      <c r="AA2925" s="45" t="str">
        <f>IFERROR(VLOOKUP(B2925,'Pre-Summary'!$CG$6:$CI$70,2,FALSE),"")</f>
        <v/>
      </c>
      <c r="AB2925" s="99">
        <f>IFERROR(VLOOKUP(B2925,'Pre-Summary'!$A$6:$P$178,9,FALSE),AB2926)</f>
        <v>0.7010379290946207</v>
      </c>
      <c r="AC2925" s="10">
        <f>IFERROR(VLOOKUP(Summary!B2925,'Pre-Summary'!$A$6:$P$184,5, FALSE)/100,AC2926)</f>
        <v>0.92607166666666674</v>
      </c>
      <c r="AD2925" s="10">
        <f>IFERROR(VLOOKUP(Summary!B2925,'Pre-Summary'!$A$6:$P$184,3, FALSE)/100,AD2926)</f>
        <v>5.4963666666666668E-2</v>
      </c>
      <c r="AE2925" s="10">
        <f>IFERROR(VLOOKUP(Summary!B2925,'Pre-Summary'!$A$6:$P$184,7, FALSE)/100,AE2926)</f>
        <v>1.8946666666666667E-2</v>
      </c>
      <c r="AF2925" s="99">
        <f t="shared" si="136"/>
        <v>3.8531615055447034E-2</v>
      </c>
      <c r="AG2925" s="99">
        <f t="shared" si="137"/>
        <v>1.3282331963246082E-2</v>
      </c>
      <c r="AH2925" s="10" t="str">
        <f>IFERROR(VLOOKUP(B2925,'Pre-Summary'!$AZ$6:$BE$65,3,FALSE),"")</f>
        <v/>
      </c>
      <c r="AI2925" s="10" t="str">
        <f>IFERROR(VLOOKUP(B2925,'Pre-Summary'!$AZ$6:$BE$65,5,FALSE),"")</f>
        <v/>
      </c>
      <c r="AJ2925" s="10" t="str">
        <f>IFERROR(VLOOKUP(B2925,'Pre-Summary'!$AZ$6:$BE$65,4,FALSE),"")</f>
        <v/>
      </c>
      <c r="AK2925" s="10" t="str">
        <f>IFERROR(VLOOKUP(B2925,'Pre-Summary'!$AZ$6:$BE$65,6,FALSE),"")</f>
        <v/>
      </c>
      <c r="AL2925" s="10" t="str">
        <f>IFERROR(VLOOKUP(B2925,'Pre-Summary'!$BG$6:$BL$44,3,FALSE),"")</f>
        <v/>
      </c>
      <c r="AM2925" s="10" t="str">
        <f>IFERROR(VLOOKUP(B2925,'Pre-Summary'!$BG$6:$BL$44,4,FALSE),"")</f>
        <v/>
      </c>
    </row>
    <row r="2926" spans="2:39" ht="15" customHeight="1" x14ac:dyDescent="0.3">
      <c r="B2926">
        <v>292.3</v>
      </c>
      <c r="C2926" t="str">
        <f>IFERROR(VLOOKUP(B2926,'Pre-Summary'!$DI$6:$DM$23,4,FALSE),"")</f>
        <v/>
      </c>
      <c r="D2926" s="10" t="str">
        <f>IFERROR(VLOOKUP(B2926,'Pre-Summary'!$AT$6:$AX$14,5,FALSE),D2925)</f>
        <v>Wolfe v3: went back to modified wolfe + EDTA and switched CuSO4 to CUCl2</v>
      </c>
      <c r="E2926" s="10" t="str">
        <f>IFERROR(VLOOKUP(B2926,'Pre-Summary'!$AT$6:$AX$15,4,FALSE),"")</f>
        <v/>
      </c>
      <c r="F2926">
        <f>IFERROR(VLOOKUP(B2926,'Pre-Summary'!$AL$6:$AQ$13,6,FALSE),F2925)</f>
        <v>5.9405263157894746E-2</v>
      </c>
      <c r="G2926" t="str">
        <f>IFERROR(VLOOKUP(B2926,'Pre-Summary'!$AE$6:$AJ$85,3,FALSE),"")</f>
        <v/>
      </c>
      <c r="H2926" t="str">
        <f>IFERROR(VLOOKUP(B2926,'Pre-Summary'!$AE$6:$AJ$85,4,FALSE),"")</f>
        <v/>
      </c>
      <c r="I2926" t="str">
        <f>IFERROR(VLOOKUP(B2926,'Pre-Summary'!$AE$6:$AJ$85,5,FALSE),"")</f>
        <v/>
      </c>
      <c r="J2926" s="45" t="str">
        <f>IFERROR(VLOOKUP(B2926,'Pre-Summary'!$AE$6:$AJ$85,6, FALSE),"")</f>
        <v/>
      </c>
      <c r="K2926" s="45" t="str">
        <f>IFERROR(VLOOKUP(B2926,'Pre-Summary'!$DE$6:$DG$61,3,FALSE),"")</f>
        <v/>
      </c>
      <c r="L2926" s="45" t="str">
        <f>IFERROR(VLOOKUP(B2926,'Pre-Summary'!$CU$6:$CW$36,3,FALSE),"")</f>
        <v/>
      </c>
      <c r="M2926" s="45" t="str">
        <f>IFERROR(VLOOKUP(B2926,'Pre-Summary'!$BW$6:$BY$58,2,FALSE),"")</f>
        <v/>
      </c>
      <c r="N2926" s="45" t="str">
        <f>IFERROR(VLOOKUP(B2926,'Pre-Summary'!$CD$6:$CF$64,2,FALSE),"")</f>
        <v/>
      </c>
      <c r="O2926" s="99">
        <f>IFERROR(VLOOKUP(B2926,'Pre-Summary'!$BO$6:$BQ$48,3, FALSE),O2925)</f>
        <v>2.77</v>
      </c>
      <c r="P2926" s="99">
        <f>IFERROR(VLOOKUP(B2926,'Pre-Summary'!$BS$6:$BU$35,3,FALSE),P2925)</f>
        <v>0.70099999999999996</v>
      </c>
      <c r="Q2926" s="54">
        <f t="shared" si="135"/>
        <v>3.9514978601997148</v>
      </c>
      <c r="R2926" s="53">
        <f>IFERROR(VLOOKUP(B2926,'Pre-Summary'!$BG$6:$BM$44,7,FALSE),R2927)</f>
        <v>0.1043586561898026</v>
      </c>
      <c r="S2926" s="53">
        <f>IFERROR(VLOOKUP(B2926,'Pre-Summary'!$BG$6:$BM$44,6,FALSE),S2927)</f>
        <v>0.10140000000009444</v>
      </c>
      <c r="T2926" s="45" t="str">
        <f>IFERROR(VLOOKUP(B2926,'Pre-Summary'!$Y$6:$AC$83, 3,FALSE),"")</f>
        <v/>
      </c>
      <c r="U2926" s="45" t="str">
        <f>IFERROR(VLOOKUP(B2926,'Pre-Summary'!$Y$6:$AC$83, 4,FALSE),"")</f>
        <v/>
      </c>
      <c r="V2926" t="str">
        <f>IFERROR(VLOOKUP(B2926,'Pre-Summary'!$Y$6:$AC$83, 5,FALSE),"")</f>
        <v/>
      </c>
      <c r="W2926" s="45" t="str">
        <f>IFERROR(VLOOKUP(B2926,'Pre-Summary'!$Y$6:$AD$83,6,FALSE),"")</f>
        <v/>
      </c>
      <c r="X2926" t="str">
        <f>IFERROR(VLOOKUP('Pre-Summary'!$DB$6:$DD$63,3,FALSE),"")</f>
        <v/>
      </c>
      <c r="Y2926" t="str">
        <f>IFERROR(VLOOKUP(B2926,'Pre-Summary'!$CR$6:$CT$36,3,FALSE),"")</f>
        <v/>
      </c>
      <c r="Z2926" s="45" t="str">
        <f>IFERROR(VLOOKUP(B2926,'Pre-Summary'!$BZ$6:$CB$63,2,FALSE),"")</f>
        <v/>
      </c>
      <c r="AA2926" s="45" t="str">
        <f>IFERROR(VLOOKUP(B2926,'Pre-Summary'!$CG$6:$CI$70,2,FALSE),"")</f>
        <v/>
      </c>
      <c r="AB2926" s="99">
        <f>IFERROR(VLOOKUP(B2926,'Pre-Summary'!$A$6:$P$178,9,FALSE),AB2927)</f>
        <v>0.7010379290946207</v>
      </c>
      <c r="AC2926" s="10">
        <f>IFERROR(VLOOKUP(Summary!B2926,'Pre-Summary'!$A$6:$P$184,5, FALSE)/100,AC2927)</f>
        <v>0.92607166666666674</v>
      </c>
      <c r="AD2926" s="10">
        <f>IFERROR(VLOOKUP(Summary!B2926,'Pre-Summary'!$A$6:$P$184,3, FALSE)/100,AD2927)</f>
        <v>5.4963666666666668E-2</v>
      </c>
      <c r="AE2926" s="10">
        <f>IFERROR(VLOOKUP(Summary!B2926,'Pre-Summary'!$A$6:$P$184,7, FALSE)/100,AE2927)</f>
        <v>1.8946666666666667E-2</v>
      </c>
      <c r="AF2926" s="99">
        <f t="shared" si="136"/>
        <v>3.8531615055447034E-2</v>
      </c>
      <c r="AG2926" s="99">
        <f t="shared" si="137"/>
        <v>1.3282331963246082E-2</v>
      </c>
      <c r="AH2926" s="10" t="str">
        <f>IFERROR(VLOOKUP(B2926,'Pre-Summary'!$AZ$6:$BE$65,3,FALSE),"")</f>
        <v/>
      </c>
      <c r="AI2926" s="10" t="str">
        <f>IFERROR(VLOOKUP(B2926,'Pre-Summary'!$AZ$6:$BE$65,5,FALSE),"")</f>
        <v/>
      </c>
      <c r="AJ2926" s="10" t="str">
        <f>IFERROR(VLOOKUP(B2926,'Pre-Summary'!$AZ$6:$BE$65,4,FALSE),"")</f>
        <v/>
      </c>
      <c r="AK2926" s="10" t="str">
        <f>IFERROR(VLOOKUP(B2926,'Pre-Summary'!$AZ$6:$BE$65,6,FALSE),"")</f>
        <v/>
      </c>
      <c r="AL2926" s="10" t="str">
        <f>IFERROR(VLOOKUP(B2926,'Pre-Summary'!$BG$6:$BL$44,3,FALSE),"")</f>
        <v/>
      </c>
      <c r="AM2926" s="10" t="str">
        <f>IFERROR(VLOOKUP(B2926,'Pre-Summary'!$BG$6:$BL$44,4,FALSE),"")</f>
        <v/>
      </c>
    </row>
    <row r="2927" spans="2:39" ht="15" customHeight="1" x14ac:dyDescent="0.3">
      <c r="B2927">
        <v>292.39999999999998</v>
      </c>
      <c r="C2927" t="str">
        <f>IFERROR(VLOOKUP(B2927,'Pre-Summary'!$DI$6:$DM$23,4,FALSE),"")</f>
        <v/>
      </c>
      <c r="D2927" s="10" t="str">
        <f>IFERROR(VLOOKUP(B2927,'Pre-Summary'!$AT$6:$AX$14,5,FALSE),D2926)</f>
        <v>Wolfe v3: went back to modified wolfe + EDTA and switched CuSO4 to CUCl2</v>
      </c>
      <c r="E2927" s="10" t="str">
        <f>IFERROR(VLOOKUP(B2927,'Pre-Summary'!$AT$6:$AX$15,4,FALSE),"")</f>
        <v/>
      </c>
      <c r="F2927">
        <f>IFERROR(VLOOKUP(B2927,'Pre-Summary'!$AL$6:$AQ$13,6,FALSE),F2926)</f>
        <v>5.9405263157894746E-2</v>
      </c>
      <c r="G2927" t="str">
        <f>IFERROR(VLOOKUP(B2927,'Pre-Summary'!$AE$6:$AJ$85,3,FALSE),"")</f>
        <v/>
      </c>
      <c r="H2927" t="str">
        <f>IFERROR(VLOOKUP(B2927,'Pre-Summary'!$AE$6:$AJ$85,4,FALSE),"")</f>
        <v/>
      </c>
      <c r="I2927" t="str">
        <f>IFERROR(VLOOKUP(B2927,'Pre-Summary'!$AE$6:$AJ$85,5,FALSE),"")</f>
        <v/>
      </c>
      <c r="J2927" s="45" t="str">
        <f>IFERROR(VLOOKUP(B2927,'Pre-Summary'!$AE$6:$AJ$85,6, FALSE),"")</f>
        <v/>
      </c>
      <c r="K2927" s="45" t="str">
        <f>IFERROR(VLOOKUP(B2927,'Pre-Summary'!$DE$6:$DG$61,3,FALSE),"")</f>
        <v/>
      </c>
      <c r="L2927" s="45" t="str">
        <f>IFERROR(VLOOKUP(B2927,'Pre-Summary'!$CU$6:$CW$36,3,FALSE),"")</f>
        <v/>
      </c>
      <c r="M2927" s="45" t="str">
        <f>IFERROR(VLOOKUP(B2927,'Pre-Summary'!$BW$6:$BY$58,2,FALSE),"")</f>
        <v/>
      </c>
      <c r="N2927" s="45" t="str">
        <f>IFERROR(VLOOKUP(B2927,'Pre-Summary'!$CD$6:$CF$64,2,FALSE),"")</f>
        <v/>
      </c>
      <c r="O2927" s="99">
        <f>IFERROR(VLOOKUP(B2927,'Pre-Summary'!$BO$6:$BQ$48,3, FALSE),O2926)</f>
        <v>2.77</v>
      </c>
      <c r="P2927" s="99">
        <f>IFERROR(VLOOKUP(B2927,'Pre-Summary'!$BS$6:$BU$35,3,FALSE),P2926)</f>
        <v>0.70099999999999996</v>
      </c>
      <c r="Q2927" s="54">
        <f t="shared" si="135"/>
        <v>3.9514978601997148</v>
      </c>
      <c r="R2927" s="53">
        <f>IFERROR(VLOOKUP(B2927,'Pre-Summary'!$BG$6:$BM$44,7,FALSE),R2928)</f>
        <v>0.1043586561898026</v>
      </c>
      <c r="S2927" s="53">
        <f>IFERROR(VLOOKUP(B2927,'Pre-Summary'!$BG$6:$BM$44,6,FALSE),S2928)</f>
        <v>0.10140000000009444</v>
      </c>
      <c r="T2927" s="45" t="str">
        <f>IFERROR(VLOOKUP(B2927,'Pre-Summary'!$Y$6:$AC$83, 3,FALSE),"")</f>
        <v/>
      </c>
      <c r="U2927" s="45" t="str">
        <f>IFERROR(VLOOKUP(B2927,'Pre-Summary'!$Y$6:$AC$83, 4,FALSE),"")</f>
        <v/>
      </c>
      <c r="V2927" t="str">
        <f>IFERROR(VLOOKUP(B2927,'Pre-Summary'!$Y$6:$AC$83, 5,FALSE),"")</f>
        <v/>
      </c>
      <c r="W2927" s="45" t="str">
        <f>IFERROR(VLOOKUP(B2927,'Pre-Summary'!$Y$6:$AD$83,6,FALSE),"")</f>
        <v/>
      </c>
      <c r="X2927" t="str">
        <f>IFERROR(VLOOKUP('Pre-Summary'!$DB$6:$DD$63,3,FALSE),"")</f>
        <v/>
      </c>
      <c r="Y2927" t="str">
        <f>IFERROR(VLOOKUP(B2927,'Pre-Summary'!$CR$6:$CT$36,3,FALSE),"")</f>
        <v/>
      </c>
      <c r="Z2927" s="45" t="str">
        <f>IFERROR(VLOOKUP(B2927,'Pre-Summary'!$BZ$6:$CB$63,2,FALSE),"")</f>
        <v/>
      </c>
      <c r="AA2927" s="45" t="str">
        <f>IFERROR(VLOOKUP(B2927,'Pre-Summary'!$CG$6:$CI$70,2,FALSE),"")</f>
        <v/>
      </c>
      <c r="AB2927" s="99">
        <f>IFERROR(VLOOKUP(B2927,'Pre-Summary'!$A$6:$P$178,9,FALSE),AB2928)</f>
        <v>0.7010379290946207</v>
      </c>
      <c r="AC2927" s="10">
        <f>IFERROR(VLOOKUP(Summary!B2927,'Pre-Summary'!$A$6:$P$184,5, FALSE)/100,AC2928)</f>
        <v>0.92607166666666674</v>
      </c>
      <c r="AD2927" s="10">
        <f>IFERROR(VLOOKUP(Summary!B2927,'Pre-Summary'!$A$6:$P$184,3, FALSE)/100,AD2928)</f>
        <v>5.4963666666666668E-2</v>
      </c>
      <c r="AE2927" s="10">
        <f>IFERROR(VLOOKUP(Summary!B2927,'Pre-Summary'!$A$6:$P$184,7, FALSE)/100,AE2928)</f>
        <v>1.8946666666666667E-2</v>
      </c>
      <c r="AF2927" s="99">
        <f t="shared" si="136"/>
        <v>3.8531615055447034E-2</v>
      </c>
      <c r="AG2927" s="99">
        <f t="shared" si="137"/>
        <v>1.3282331963246082E-2</v>
      </c>
      <c r="AH2927" s="10" t="str">
        <f>IFERROR(VLOOKUP(B2927,'Pre-Summary'!$AZ$6:$BE$65,3,FALSE),"")</f>
        <v/>
      </c>
      <c r="AI2927" s="10" t="str">
        <f>IFERROR(VLOOKUP(B2927,'Pre-Summary'!$AZ$6:$BE$65,5,FALSE),"")</f>
        <v/>
      </c>
      <c r="AJ2927" s="10" t="str">
        <f>IFERROR(VLOOKUP(B2927,'Pre-Summary'!$AZ$6:$BE$65,4,FALSE),"")</f>
        <v/>
      </c>
      <c r="AK2927" s="10" t="str">
        <f>IFERROR(VLOOKUP(B2927,'Pre-Summary'!$AZ$6:$BE$65,6,FALSE),"")</f>
        <v/>
      </c>
      <c r="AL2927" s="10" t="str">
        <f>IFERROR(VLOOKUP(B2927,'Pre-Summary'!$BG$6:$BL$44,3,FALSE),"")</f>
        <v/>
      </c>
      <c r="AM2927" s="10" t="str">
        <f>IFERROR(VLOOKUP(B2927,'Pre-Summary'!$BG$6:$BL$44,4,FALSE),"")</f>
        <v/>
      </c>
    </row>
    <row r="2928" spans="2:39" ht="15" customHeight="1" x14ac:dyDescent="0.3">
      <c r="B2928">
        <v>292.5</v>
      </c>
      <c r="C2928" t="str">
        <f>IFERROR(VLOOKUP(B2928,'Pre-Summary'!$DI$6:$DM$23,4,FALSE),"")</f>
        <v/>
      </c>
      <c r="D2928" s="10" t="str">
        <f>IFERROR(VLOOKUP(B2928,'Pre-Summary'!$AT$6:$AX$14,5,FALSE),D2927)</f>
        <v>Wolfe v3: went back to modified wolfe + EDTA and switched CuSO4 to CUCl2</v>
      </c>
      <c r="E2928" s="10" t="str">
        <f>IFERROR(VLOOKUP(B2928,'Pre-Summary'!$AT$6:$AX$15,4,FALSE),"")</f>
        <v/>
      </c>
      <c r="F2928">
        <f>IFERROR(VLOOKUP(B2928,'Pre-Summary'!$AL$6:$AQ$13,6,FALSE),F2927)</f>
        <v>5.9405263157894746E-2</v>
      </c>
      <c r="G2928">
        <f>IFERROR(VLOOKUP(B2928,'Pre-Summary'!$AE$6:$AJ$85,3,FALSE),"")</f>
        <v>99.414000000000001</v>
      </c>
      <c r="H2928" t="str">
        <f>IFERROR(VLOOKUP(B2928,'Pre-Summary'!$AE$6:$AJ$85,4,FALSE),"")</f>
        <v/>
      </c>
      <c r="I2928">
        <f>IFERROR(VLOOKUP(B2928,'Pre-Summary'!$AE$6:$AJ$85,5,FALSE),"")</f>
        <v>0.46200000000000002</v>
      </c>
      <c r="J2928" s="45">
        <f>IFERROR(VLOOKUP(B2928,'Pre-Summary'!$AE$6:$AJ$85,6, FALSE),"")</f>
        <v>106.074738</v>
      </c>
      <c r="K2928" s="45" t="str">
        <f>IFERROR(VLOOKUP(B2928,'Pre-Summary'!$DE$6:$DG$61,3,FALSE),"")</f>
        <v/>
      </c>
      <c r="L2928" s="45" t="str">
        <f>IFERROR(VLOOKUP(B2928,'Pre-Summary'!$CU$6:$CW$36,3,FALSE),"")</f>
        <v/>
      </c>
      <c r="M2928" s="45" t="str">
        <f>IFERROR(VLOOKUP(B2928,'Pre-Summary'!$BW$6:$BY$58,2,FALSE),"")</f>
        <v/>
      </c>
      <c r="N2928" s="45">
        <f>IFERROR(VLOOKUP(B2928,'Pre-Summary'!$CD$6:$CF$64,2,FALSE),"")</f>
        <v>193.8505510583762</v>
      </c>
      <c r="O2928" s="99">
        <f>IFERROR(VLOOKUP(B2928,'Pre-Summary'!$BO$6:$BQ$48,3, FALSE),O2927)</f>
        <v>2.77</v>
      </c>
      <c r="P2928" s="99">
        <f>IFERROR(VLOOKUP(B2928,'Pre-Summary'!$BS$6:$BU$35,3,FALSE),P2927)</f>
        <v>0.70099999999999996</v>
      </c>
      <c r="Q2928" s="54">
        <f t="shared" si="135"/>
        <v>3.9514978601997148</v>
      </c>
      <c r="R2928" s="53">
        <f>IFERROR(VLOOKUP(B2928,'Pre-Summary'!$BG$6:$BM$44,7,FALSE),R2929)</f>
        <v>0.1043586561898026</v>
      </c>
      <c r="S2928" s="53">
        <f>IFERROR(VLOOKUP(B2928,'Pre-Summary'!$BG$6:$BM$44,6,FALSE),S2929)</f>
        <v>0.10140000000009444</v>
      </c>
      <c r="T2928" s="45">
        <f>IFERROR(VLOOKUP(B2928,'Pre-Summary'!$Y$6:$AC$83, 3,FALSE),"")</f>
        <v>3.0070000000000001</v>
      </c>
      <c r="U2928" s="45" t="str">
        <f>IFERROR(VLOOKUP(B2928,'Pre-Summary'!$Y$6:$AC$83, 4,FALSE),"")</f>
        <v/>
      </c>
      <c r="V2928">
        <f>IFERROR(VLOOKUP(B2928,'Pre-Summary'!$Y$6:$AC$83, 5,FALSE),"")</f>
        <v>0.45400000000000001</v>
      </c>
      <c r="W2928" s="45">
        <f>IFERROR(VLOOKUP(B2928,'Pre-Summary'!$Y$6:$AD$83,6,FALSE),"")</f>
        <v>3.208469</v>
      </c>
      <c r="X2928" t="str">
        <f>IFERROR(VLOOKUP('Pre-Summary'!$DB$6:$DD$63,3,FALSE),"")</f>
        <v/>
      </c>
      <c r="Y2928" t="str">
        <f>IFERROR(VLOOKUP(B2928,'Pre-Summary'!$CR$6:$CT$36,3,FALSE),"")</f>
        <v/>
      </c>
      <c r="Z2928" s="45" t="str">
        <f>IFERROR(VLOOKUP(B2928,'Pre-Summary'!$BZ$6:$CB$63,2,FALSE),"")</f>
        <v/>
      </c>
      <c r="AA2928" s="45" t="str">
        <f>IFERROR(VLOOKUP(B2928,'Pre-Summary'!$CG$6:$CI$70,2,FALSE),"")</f>
        <v/>
      </c>
      <c r="AB2928" s="99">
        <f>IFERROR(VLOOKUP(B2928,'Pre-Summary'!$A$6:$P$178,9,FALSE),AB2929)</f>
        <v>0.7010379290946207</v>
      </c>
      <c r="AC2928" s="10">
        <f>IFERROR(VLOOKUP(Summary!B2928,'Pre-Summary'!$A$6:$P$184,5, FALSE)/100,AC2929)</f>
        <v>0.92607166666666674</v>
      </c>
      <c r="AD2928" s="10">
        <f>IFERROR(VLOOKUP(Summary!B2928,'Pre-Summary'!$A$6:$P$184,3, FALSE)/100,AD2929)</f>
        <v>5.4963666666666668E-2</v>
      </c>
      <c r="AE2928" s="10">
        <f>IFERROR(VLOOKUP(Summary!B2928,'Pre-Summary'!$A$6:$P$184,7, FALSE)/100,AE2929)</f>
        <v>1.8946666666666667E-2</v>
      </c>
      <c r="AF2928" s="99">
        <f t="shared" si="136"/>
        <v>3.8531615055447034E-2</v>
      </c>
      <c r="AG2928" s="99">
        <f t="shared" si="137"/>
        <v>1.3282331963246082E-2</v>
      </c>
      <c r="AH2928" s="10" t="str">
        <f>IFERROR(VLOOKUP(B2928,'Pre-Summary'!$AZ$6:$BE$65,3,FALSE),"")</f>
        <v/>
      </c>
      <c r="AI2928" s="10" t="str">
        <f>IFERROR(VLOOKUP(B2928,'Pre-Summary'!$AZ$6:$BE$65,5,FALSE),"")</f>
        <v/>
      </c>
      <c r="AJ2928" s="10" t="str">
        <f>IFERROR(VLOOKUP(B2928,'Pre-Summary'!$AZ$6:$BE$65,4,FALSE),"")</f>
        <v/>
      </c>
      <c r="AK2928" s="10" t="str">
        <f>IFERROR(VLOOKUP(B2928,'Pre-Summary'!$AZ$6:$BE$65,6,FALSE),"")</f>
        <v/>
      </c>
      <c r="AL2928" s="10" t="str">
        <f>IFERROR(VLOOKUP(B2928,'Pre-Summary'!$BG$6:$BL$44,3,FALSE),"")</f>
        <v/>
      </c>
      <c r="AM2928" s="10" t="str">
        <f>IFERROR(VLOOKUP(B2928,'Pre-Summary'!$BG$6:$BL$44,4,FALSE),"")</f>
        <v/>
      </c>
    </row>
    <row r="2929" spans="2:39" ht="15" customHeight="1" x14ac:dyDescent="0.3">
      <c r="B2929">
        <v>292.60000000000002</v>
      </c>
      <c r="C2929" t="str">
        <f>IFERROR(VLOOKUP(B2929,'Pre-Summary'!$DI$6:$DM$23,4,FALSE),"")</f>
        <v/>
      </c>
      <c r="D2929" s="10" t="str">
        <f>IFERROR(VLOOKUP(B2929,'Pre-Summary'!$AT$6:$AX$14,5,FALSE),D2928)</f>
        <v>Wolfe v3: went back to modified wolfe + EDTA and switched CuSO4 to CUCl2</v>
      </c>
      <c r="E2929" s="10" t="str">
        <f>IFERROR(VLOOKUP(B2929,'Pre-Summary'!$AT$6:$AX$15,4,FALSE),"")</f>
        <v/>
      </c>
      <c r="F2929">
        <f>IFERROR(VLOOKUP(B2929,'Pre-Summary'!$AL$6:$AQ$13,6,FALSE),F2928)</f>
        <v>5.9405263157894746E-2</v>
      </c>
      <c r="G2929" t="str">
        <f>IFERROR(VLOOKUP(B2929,'Pre-Summary'!$AE$6:$AJ$85,3,FALSE),"")</f>
        <v/>
      </c>
      <c r="H2929" t="str">
        <f>IFERROR(VLOOKUP(B2929,'Pre-Summary'!$AE$6:$AJ$85,4,FALSE),"")</f>
        <v/>
      </c>
      <c r="I2929" t="str">
        <f>IFERROR(VLOOKUP(B2929,'Pre-Summary'!$AE$6:$AJ$85,5,FALSE),"")</f>
        <v/>
      </c>
      <c r="J2929" s="45" t="str">
        <f>IFERROR(VLOOKUP(B2929,'Pre-Summary'!$AE$6:$AJ$85,6, FALSE),"")</f>
        <v/>
      </c>
      <c r="K2929" s="45" t="str">
        <f>IFERROR(VLOOKUP(B2929,'Pre-Summary'!$DE$6:$DG$61,3,FALSE),"")</f>
        <v/>
      </c>
      <c r="L2929" s="45" t="str">
        <f>IFERROR(VLOOKUP(B2929,'Pre-Summary'!$CU$6:$CW$36,3,FALSE),"")</f>
        <v/>
      </c>
      <c r="M2929" s="45" t="str">
        <f>IFERROR(VLOOKUP(B2929,'Pre-Summary'!$BW$6:$BY$58,2,FALSE),"")</f>
        <v/>
      </c>
      <c r="N2929" s="45" t="str">
        <f>IFERROR(VLOOKUP(B2929,'Pre-Summary'!$CD$6:$CF$64,2,FALSE),"")</f>
        <v/>
      </c>
      <c r="O2929" s="99">
        <f>IFERROR(VLOOKUP(B2929,'Pre-Summary'!$BO$6:$BQ$48,3, FALSE),O2928)</f>
        <v>2.77</v>
      </c>
      <c r="P2929" s="99">
        <f>IFERROR(VLOOKUP(B2929,'Pre-Summary'!$BS$6:$BU$35,3,FALSE),P2928)</f>
        <v>0.70099999999999996</v>
      </c>
      <c r="Q2929" s="54">
        <f t="shared" si="135"/>
        <v>3.9514978601997148</v>
      </c>
      <c r="R2929" s="53">
        <f>IFERROR(VLOOKUP(B2929,'Pre-Summary'!$BG$6:$BM$44,7,FALSE),R2930)</f>
        <v>0.1043586561898026</v>
      </c>
      <c r="S2929" s="53">
        <f>IFERROR(VLOOKUP(B2929,'Pre-Summary'!$BG$6:$BM$44,6,FALSE),S2930)</f>
        <v>0.10140000000009444</v>
      </c>
      <c r="T2929" s="45" t="str">
        <f>IFERROR(VLOOKUP(B2929,'Pre-Summary'!$Y$6:$AC$83, 3,FALSE),"")</f>
        <v/>
      </c>
      <c r="U2929" s="45" t="str">
        <f>IFERROR(VLOOKUP(B2929,'Pre-Summary'!$Y$6:$AC$83, 4,FALSE),"")</f>
        <v/>
      </c>
      <c r="V2929" t="str">
        <f>IFERROR(VLOOKUP(B2929,'Pre-Summary'!$Y$6:$AC$83, 5,FALSE),"")</f>
        <v/>
      </c>
      <c r="W2929" s="45" t="str">
        <f>IFERROR(VLOOKUP(B2929,'Pre-Summary'!$Y$6:$AD$83,6,FALSE),"")</f>
        <v/>
      </c>
      <c r="X2929" t="str">
        <f>IFERROR(VLOOKUP('Pre-Summary'!$DB$6:$DD$63,3,FALSE),"")</f>
        <v/>
      </c>
      <c r="Y2929" t="str">
        <f>IFERROR(VLOOKUP(B2929,'Pre-Summary'!$CR$6:$CT$36,3,FALSE),"")</f>
        <v/>
      </c>
      <c r="Z2929" s="45" t="str">
        <f>IFERROR(VLOOKUP(B2929,'Pre-Summary'!$BZ$6:$CB$63,2,FALSE),"")</f>
        <v/>
      </c>
      <c r="AA2929" s="45" t="str">
        <f>IFERROR(VLOOKUP(B2929,'Pre-Summary'!$CG$6:$CI$70,2,FALSE),"")</f>
        <v/>
      </c>
      <c r="AB2929" s="99">
        <f>IFERROR(VLOOKUP(B2929,'Pre-Summary'!$A$6:$P$178,9,FALSE),AB2930)</f>
        <v>0.7010379290946207</v>
      </c>
      <c r="AC2929" s="10">
        <f>IFERROR(VLOOKUP(Summary!B2929,'Pre-Summary'!$A$6:$P$184,5, FALSE)/100,AC2930)</f>
        <v>0.92607166666666674</v>
      </c>
      <c r="AD2929" s="10">
        <f>IFERROR(VLOOKUP(Summary!B2929,'Pre-Summary'!$A$6:$P$184,3, FALSE)/100,AD2930)</f>
        <v>5.4963666666666668E-2</v>
      </c>
      <c r="AE2929" s="10">
        <f>IFERROR(VLOOKUP(Summary!B2929,'Pre-Summary'!$A$6:$P$184,7, FALSE)/100,AE2930)</f>
        <v>1.8946666666666667E-2</v>
      </c>
      <c r="AF2929" s="99">
        <f t="shared" si="136"/>
        <v>3.8531615055447034E-2</v>
      </c>
      <c r="AG2929" s="99">
        <f t="shared" si="137"/>
        <v>1.3282331963246082E-2</v>
      </c>
      <c r="AH2929" s="10" t="str">
        <f>IFERROR(VLOOKUP(B2929,'Pre-Summary'!$AZ$6:$BE$65,3,FALSE),"")</f>
        <v/>
      </c>
      <c r="AI2929" s="10" t="str">
        <f>IFERROR(VLOOKUP(B2929,'Pre-Summary'!$AZ$6:$BE$65,5,FALSE),"")</f>
        <v/>
      </c>
      <c r="AJ2929" s="10" t="str">
        <f>IFERROR(VLOOKUP(B2929,'Pre-Summary'!$AZ$6:$BE$65,4,FALSE),"")</f>
        <v/>
      </c>
      <c r="AK2929" s="10" t="str">
        <f>IFERROR(VLOOKUP(B2929,'Pre-Summary'!$AZ$6:$BE$65,6,FALSE),"")</f>
        <v/>
      </c>
      <c r="AL2929" s="10" t="str">
        <f>IFERROR(VLOOKUP(B2929,'Pre-Summary'!$BG$6:$BL$44,3,FALSE),"")</f>
        <v/>
      </c>
      <c r="AM2929" s="10" t="str">
        <f>IFERROR(VLOOKUP(B2929,'Pre-Summary'!$BG$6:$BL$44,4,FALSE),"")</f>
        <v/>
      </c>
    </row>
    <row r="2930" spans="2:39" ht="15" customHeight="1" x14ac:dyDescent="0.3">
      <c r="B2930">
        <v>292.7</v>
      </c>
      <c r="C2930" t="str">
        <f>IFERROR(VLOOKUP(B2930,'Pre-Summary'!$DI$6:$DM$23,4,FALSE),"")</f>
        <v/>
      </c>
      <c r="D2930" s="10" t="str">
        <f>IFERROR(VLOOKUP(B2930,'Pre-Summary'!$AT$6:$AX$14,5,FALSE),D2929)</f>
        <v>Wolfe v3: went back to modified wolfe + EDTA and switched CuSO4 to CUCl2</v>
      </c>
      <c r="E2930" s="10" t="str">
        <f>IFERROR(VLOOKUP(B2930,'Pre-Summary'!$AT$6:$AX$15,4,FALSE),"")</f>
        <v/>
      </c>
      <c r="F2930">
        <f>IFERROR(VLOOKUP(B2930,'Pre-Summary'!$AL$6:$AQ$13,6,FALSE),F2929)</f>
        <v>5.9405263157894746E-2</v>
      </c>
      <c r="G2930" t="str">
        <f>IFERROR(VLOOKUP(B2930,'Pre-Summary'!$AE$6:$AJ$85,3,FALSE),"")</f>
        <v/>
      </c>
      <c r="H2930" t="str">
        <f>IFERROR(VLOOKUP(B2930,'Pre-Summary'!$AE$6:$AJ$85,4,FALSE),"")</f>
        <v/>
      </c>
      <c r="I2930" t="str">
        <f>IFERROR(VLOOKUP(B2930,'Pre-Summary'!$AE$6:$AJ$85,5,FALSE),"")</f>
        <v/>
      </c>
      <c r="J2930" s="45" t="str">
        <f>IFERROR(VLOOKUP(B2930,'Pre-Summary'!$AE$6:$AJ$85,6, FALSE),"")</f>
        <v/>
      </c>
      <c r="K2930" s="45" t="str">
        <f>IFERROR(VLOOKUP(B2930,'Pre-Summary'!$DE$6:$DG$61,3,FALSE),"")</f>
        <v/>
      </c>
      <c r="L2930" s="45" t="str">
        <f>IFERROR(VLOOKUP(B2930,'Pre-Summary'!$CU$6:$CW$36,3,FALSE),"")</f>
        <v/>
      </c>
      <c r="M2930" s="45" t="str">
        <f>IFERROR(VLOOKUP(B2930,'Pre-Summary'!$BW$6:$BY$58,2,FALSE),"")</f>
        <v/>
      </c>
      <c r="N2930" s="45" t="str">
        <f>IFERROR(VLOOKUP(B2930,'Pre-Summary'!$CD$6:$CF$64,2,FALSE),"")</f>
        <v/>
      </c>
      <c r="O2930" s="99">
        <f>IFERROR(VLOOKUP(B2930,'Pre-Summary'!$BO$6:$BQ$48,3, FALSE),O2929)</f>
        <v>2.77</v>
      </c>
      <c r="P2930" s="99">
        <f>IFERROR(VLOOKUP(B2930,'Pre-Summary'!$BS$6:$BU$35,3,FALSE),P2929)</f>
        <v>0.70099999999999996</v>
      </c>
      <c r="Q2930" s="54">
        <f t="shared" si="135"/>
        <v>3.9514978601997148</v>
      </c>
      <c r="R2930" s="53">
        <f>IFERROR(VLOOKUP(B2930,'Pre-Summary'!$BG$6:$BM$44,7,FALSE),R2931)</f>
        <v>0.1043586561898026</v>
      </c>
      <c r="S2930" s="53">
        <f>IFERROR(VLOOKUP(B2930,'Pre-Summary'!$BG$6:$BM$44,6,FALSE),S2931)</f>
        <v>0.10140000000009444</v>
      </c>
      <c r="T2930" s="45" t="str">
        <f>IFERROR(VLOOKUP(B2930,'Pre-Summary'!$Y$6:$AC$83, 3,FALSE),"")</f>
        <v/>
      </c>
      <c r="U2930" s="45" t="str">
        <f>IFERROR(VLOOKUP(B2930,'Pre-Summary'!$Y$6:$AC$83, 4,FALSE),"")</f>
        <v/>
      </c>
      <c r="V2930" t="str">
        <f>IFERROR(VLOOKUP(B2930,'Pre-Summary'!$Y$6:$AC$83, 5,FALSE),"")</f>
        <v/>
      </c>
      <c r="W2930" s="45" t="str">
        <f>IFERROR(VLOOKUP(B2930,'Pre-Summary'!$Y$6:$AD$83,6,FALSE),"")</f>
        <v/>
      </c>
      <c r="X2930" t="str">
        <f>IFERROR(VLOOKUP('Pre-Summary'!$DB$6:$DD$63,3,FALSE),"")</f>
        <v/>
      </c>
      <c r="Y2930" t="str">
        <f>IFERROR(VLOOKUP(B2930,'Pre-Summary'!$CR$6:$CT$36,3,FALSE),"")</f>
        <v/>
      </c>
      <c r="Z2930" s="45" t="str">
        <f>IFERROR(VLOOKUP(B2930,'Pre-Summary'!$BZ$6:$CB$63,2,FALSE),"")</f>
        <v/>
      </c>
      <c r="AA2930" s="45" t="str">
        <f>IFERROR(VLOOKUP(B2930,'Pre-Summary'!$CG$6:$CI$70,2,FALSE),"")</f>
        <v/>
      </c>
      <c r="AB2930" s="99">
        <f>IFERROR(VLOOKUP(B2930,'Pre-Summary'!$A$6:$P$178,9,FALSE),AB2931)</f>
        <v>0.7010379290946207</v>
      </c>
      <c r="AC2930" s="10">
        <f>IFERROR(VLOOKUP(Summary!B2930,'Pre-Summary'!$A$6:$P$184,5, FALSE)/100,AC2931)</f>
        <v>0.92607166666666674</v>
      </c>
      <c r="AD2930" s="10">
        <f>IFERROR(VLOOKUP(Summary!B2930,'Pre-Summary'!$A$6:$P$184,3, FALSE)/100,AD2931)</f>
        <v>5.4963666666666668E-2</v>
      </c>
      <c r="AE2930" s="10">
        <f>IFERROR(VLOOKUP(Summary!B2930,'Pre-Summary'!$A$6:$P$184,7, FALSE)/100,AE2931)</f>
        <v>1.8946666666666667E-2</v>
      </c>
      <c r="AF2930" s="99">
        <f t="shared" si="136"/>
        <v>3.8531615055447034E-2</v>
      </c>
      <c r="AG2930" s="99">
        <f t="shared" si="137"/>
        <v>1.3282331963246082E-2</v>
      </c>
      <c r="AH2930" s="10" t="str">
        <f>IFERROR(VLOOKUP(B2930,'Pre-Summary'!$AZ$6:$BE$65,3,FALSE),"")</f>
        <v/>
      </c>
      <c r="AI2930" s="10" t="str">
        <f>IFERROR(VLOOKUP(B2930,'Pre-Summary'!$AZ$6:$BE$65,5,FALSE),"")</f>
        <v/>
      </c>
      <c r="AJ2930" s="10" t="str">
        <f>IFERROR(VLOOKUP(B2930,'Pre-Summary'!$AZ$6:$BE$65,4,FALSE),"")</f>
        <v/>
      </c>
      <c r="AK2930" s="10" t="str">
        <f>IFERROR(VLOOKUP(B2930,'Pre-Summary'!$AZ$6:$BE$65,6,FALSE),"")</f>
        <v/>
      </c>
      <c r="AL2930" s="10" t="str">
        <f>IFERROR(VLOOKUP(B2930,'Pre-Summary'!$BG$6:$BL$44,3,FALSE),"")</f>
        <v/>
      </c>
      <c r="AM2930" s="10" t="str">
        <f>IFERROR(VLOOKUP(B2930,'Pre-Summary'!$BG$6:$BL$44,4,FALSE),"")</f>
        <v/>
      </c>
    </row>
    <row r="2931" spans="2:39" ht="15" customHeight="1" x14ac:dyDescent="0.3">
      <c r="B2931">
        <v>292.8</v>
      </c>
      <c r="C2931" t="str">
        <f>IFERROR(VLOOKUP(B2931,'Pre-Summary'!$DI$6:$DM$23,4,FALSE),"")</f>
        <v/>
      </c>
      <c r="D2931" s="10" t="str">
        <f>IFERROR(VLOOKUP(B2931,'Pre-Summary'!$AT$6:$AX$14,5,FALSE),D2930)</f>
        <v>Wolfe v3: went back to modified wolfe + EDTA and switched CuSO4 to CUCl2</v>
      </c>
      <c r="E2931" s="10" t="str">
        <f>IFERROR(VLOOKUP(B2931,'Pre-Summary'!$AT$6:$AX$15,4,FALSE),"")</f>
        <v/>
      </c>
      <c r="F2931">
        <f>IFERROR(VLOOKUP(B2931,'Pre-Summary'!$AL$6:$AQ$13,6,FALSE),F2930)</f>
        <v>5.9405263157894746E-2</v>
      </c>
      <c r="G2931" t="str">
        <f>IFERROR(VLOOKUP(B2931,'Pre-Summary'!$AE$6:$AJ$85,3,FALSE),"")</f>
        <v/>
      </c>
      <c r="H2931" t="str">
        <f>IFERROR(VLOOKUP(B2931,'Pre-Summary'!$AE$6:$AJ$85,4,FALSE),"")</f>
        <v/>
      </c>
      <c r="I2931" t="str">
        <f>IFERROR(VLOOKUP(B2931,'Pre-Summary'!$AE$6:$AJ$85,5,FALSE),"")</f>
        <v/>
      </c>
      <c r="J2931" s="45" t="str">
        <f>IFERROR(VLOOKUP(B2931,'Pre-Summary'!$AE$6:$AJ$85,6, FALSE),"")</f>
        <v/>
      </c>
      <c r="K2931" s="45" t="str">
        <f>IFERROR(VLOOKUP(B2931,'Pre-Summary'!$DE$6:$DG$61,3,FALSE),"")</f>
        <v/>
      </c>
      <c r="L2931" s="45" t="str">
        <f>IFERROR(VLOOKUP(B2931,'Pre-Summary'!$CU$6:$CW$36,3,FALSE),"")</f>
        <v/>
      </c>
      <c r="M2931" s="45" t="str">
        <f>IFERROR(VLOOKUP(B2931,'Pre-Summary'!$BW$6:$BY$58,2,FALSE),"")</f>
        <v/>
      </c>
      <c r="N2931" s="45" t="str">
        <f>IFERROR(VLOOKUP(B2931,'Pre-Summary'!$CD$6:$CF$64,2,FALSE),"")</f>
        <v/>
      </c>
      <c r="O2931" s="99">
        <f>IFERROR(VLOOKUP(B2931,'Pre-Summary'!$BO$6:$BQ$48,3, FALSE),O2930)</f>
        <v>2.77</v>
      </c>
      <c r="P2931" s="99">
        <f>IFERROR(VLOOKUP(B2931,'Pre-Summary'!$BS$6:$BU$35,3,FALSE),P2930)</f>
        <v>0.70099999999999996</v>
      </c>
      <c r="Q2931" s="54">
        <f t="shared" si="135"/>
        <v>3.9514978601997148</v>
      </c>
      <c r="R2931" s="53">
        <f>IFERROR(VLOOKUP(B2931,'Pre-Summary'!$BG$6:$BM$44,7,FALSE),R2932)</f>
        <v>0.1043586561898026</v>
      </c>
      <c r="S2931" s="53">
        <f>IFERROR(VLOOKUP(B2931,'Pre-Summary'!$BG$6:$BM$44,6,FALSE),S2932)</f>
        <v>0.10140000000009444</v>
      </c>
      <c r="T2931" s="45" t="str">
        <f>IFERROR(VLOOKUP(B2931,'Pre-Summary'!$Y$6:$AC$83, 3,FALSE),"")</f>
        <v/>
      </c>
      <c r="U2931" s="45" t="str">
        <f>IFERROR(VLOOKUP(B2931,'Pre-Summary'!$Y$6:$AC$83, 4,FALSE),"")</f>
        <v/>
      </c>
      <c r="V2931" t="str">
        <f>IFERROR(VLOOKUP(B2931,'Pre-Summary'!$Y$6:$AC$83, 5,FALSE),"")</f>
        <v/>
      </c>
      <c r="W2931" s="45" t="str">
        <f>IFERROR(VLOOKUP(B2931,'Pre-Summary'!$Y$6:$AD$83,6,FALSE),"")</f>
        <v/>
      </c>
      <c r="X2931" t="str">
        <f>IFERROR(VLOOKUP('Pre-Summary'!$DB$6:$DD$63,3,FALSE),"")</f>
        <v/>
      </c>
      <c r="Y2931" t="str">
        <f>IFERROR(VLOOKUP(B2931,'Pre-Summary'!$CR$6:$CT$36,3,FALSE),"")</f>
        <v/>
      </c>
      <c r="Z2931" s="45" t="str">
        <f>IFERROR(VLOOKUP(B2931,'Pre-Summary'!$BZ$6:$CB$63,2,FALSE),"")</f>
        <v/>
      </c>
      <c r="AA2931" s="45" t="str">
        <f>IFERROR(VLOOKUP(B2931,'Pre-Summary'!$CG$6:$CI$70,2,FALSE),"")</f>
        <v/>
      </c>
      <c r="AB2931" s="99">
        <f>IFERROR(VLOOKUP(B2931,'Pre-Summary'!$A$6:$P$178,9,FALSE),AB2932)</f>
        <v>0.7010379290946207</v>
      </c>
      <c r="AC2931" s="10">
        <f>IFERROR(VLOOKUP(Summary!B2931,'Pre-Summary'!$A$6:$P$184,5, FALSE)/100,AC2932)</f>
        <v>0.92607166666666674</v>
      </c>
      <c r="AD2931" s="10">
        <f>IFERROR(VLOOKUP(Summary!B2931,'Pre-Summary'!$A$6:$P$184,3, FALSE)/100,AD2932)</f>
        <v>5.4963666666666668E-2</v>
      </c>
      <c r="AE2931" s="10">
        <f>IFERROR(VLOOKUP(Summary!B2931,'Pre-Summary'!$A$6:$P$184,7, FALSE)/100,AE2932)</f>
        <v>1.8946666666666667E-2</v>
      </c>
      <c r="AF2931" s="99">
        <f t="shared" si="136"/>
        <v>3.8531615055447034E-2</v>
      </c>
      <c r="AG2931" s="99">
        <f t="shared" si="137"/>
        <v>1.3282331963246082E-2</v>
      </c>
      <c r="AH2931" s="10" t="str">
        <f>IFERROR(VLOOKUP(B2931,'Pre-Summary'!$AZ$6:$BE$65,3,FALSE),"")</f>
        <v/>
      </c>
      <c r="AI2931" s="10" t="str">
        <f>IFERROR(VLOOKUP(B2931,'Pre-Summary'!$AZ$6:$BE$65,5,FALSE),"")</f>
        <v/>
      </c>
      <c r="AJ2931" s="10" t="str">
        <f>IFERROR(VLOOKUP(B2931,'Pre-Summary'!$AZ$6:$BE$65,4,FALSE),"")</f>
        <v/>
      </c>
      <c r="AK2931" s="10" t="str">
        <f>IFERROR(VLOOKUP(B2931,'Pre-Summary'!$AZ$6:$BE$65,6,FALSE),"")</f>
        <v/>
      </c>
      <c r="AL2931" s="10" t="str">
        <f>IFERROR(VLOOKUP(B2931,'Pre-Summary'!$BG$6:$BL$44,3,FALSE),"")</f>
        <v/>
      </c>
      <c r="AM2931" s="10" t="str">
        <f>IFERROR(VLOOKUP(B2931,'Pre-Summary'!$BG$6:$BL$44,4,FALSE),"")</f>
        <v/>
      </c>
    </row>
    <row r="2932" spans="2:39" ht="15" customHeight="1" x14ac:dyDescent="0.3">
      <c r="B2932">
        <v>292.89999999999998</v>
      </c>
      <c r="C2932" t="str">
        <f>IFERROR(VLOOKUP(B2932,'Pre-Summary'!$DI$6:$DM$23,4,FALSE),"")</f>
        <v/>
      </c>
      <c r="D2932" s="10" t="str">
        <f>IFERROR(VLOOKUP(B2932,'Pre-Summary'!$AT$6:$AX$14,5,FALSE),D2931)</f>
        <v>Wolfe v3: went back to modified wolfe + EDTA and switched CuSO4 to CUCl2</v>
      </c>
      <c r="E2932" s="10" t="str">
        <f>IFERROR(VLOOKUP(B2932,'Pre-Summary'!$AT$6:$AX$15,4,FALSE),"")</f>
        <v/>
      </c>
      <c r="F2932">
        <f>IFERROR(VLOOKUP(B2932,'Pre-Summary'!$AL$6:$AQ$13,6,FALSE),F2931)</f>
        <v>5.9405263157894746E-2</v>
      </c>
      <c r="G2932" t="str">
        <f>IFERROR(VLOOKUP(B2932,'Pre-Summary'!$AE$6:$AJ$85,3,FALSE),"")</f>
        <v/>
      </c>
      <c r="H2932" t="str">
        <f>IFERROR(VLOOKUP(B2932,'Pre-Summary'!$AE$6:$AJ$85,4,FALSE),"")</f>
        <v/>
      </c>
      <c r="I2932" t="str">
        <f>IFERROR(VLOOKUP(B2932,'Pre-Summary'!$AE$6:$AJ$85,5,FALSE),"")</f>
        <v/>
      </c>
      <c r="J2932" s="45" t="str">
        <f>IFERROR(VLOOKUP(B2932,'Pre-Summary'!$AE$6:$AJ$85,6, FALSE),"")</f>
        <v/>
      </c>
      <c r="K2932" s="45" t="str">
        <f>IFERROR(VLOOKUP(B2932,'Pre-Summary'!$DE$6:$DG$61,3,FALSE),"")</f>
        <v/>
      </c>
      <c r="L2932" s="45" t="str">
        <f>IFERROR(VLOOKUP(B2932,'Pre-Summary'!$CU$6:$CW$36,3,FALSE),"")</f>
        <v/>
      </c>
      <c r="M2932" s="45" t="str">
        <f>IFERROR(VLOOKUP(B2932,'Pre-Summary'!$BW$6:$BY$58,2,FALSE),"")</f>
        <v/>
      </c>
      <c r="N2932" s="45" t="str">
        <f>IFERROR(VLOOKUP(B2932,'Pre-Summary'!$CD$6:$CF$64,2,FALSE),"")</f>
        <v/>
      </c>
      <c r="O2932" s="99">
        <f>IFERROR(VLOOKUP(B2932,'Pre-Summary'!$BO$6:$BQ$48,3, FALSE),O2931)</f>
        <v>2.77</v>
      </c>
      <c r="P2932" s="99">
        <f>IFERROR(VLOOKUP(B2932,'Pre-Summary'!$BS$6:$BU$35,3,FALSE),P2931)</f>
        <v>0.70099999999999996</v>
      </c>
      <c r="Q2932" s="54">
        <f t="shared" si="135"/>
        <v>3.9514978601997148</v>
      </c>
      <c r="R2932" s="53">
        <f>IFERROR(VLOOKUP(B2932,'Pre-Summary'!$BG$6:$BM$44,7,FALSE),R2933)</f>
        <v>0.1043586561898026</v>
      </c>
      <c r="S2932" s="53">
        <f>IFERROR(VLOOKUP(B2932,'Pre-Summary'!$BG$6:$BM$44,6,FALSE),S2933)</f>
        <v>0.10140000000009444</v>
      </c>
      <c r="T2932" s="45" t="str">
        <f>IFERROR(VLOOKUP(B2932,'Pre-Summary'!$Y$6:$AC$83, 3,FALSE),"")</f>
        <v/>
      </c>
      <c r="U2932" s="45" t="str">
        <f>IFERROR(VLOOKUP(B2932,'Pre-Summary'!$Y$6:$AC$83, 4,FALSE),"")</f>
        <v/>
      </c>
      <c r="V2932" t="str">
        <f>IFERROR(VLOOKUP(B2932,'Pre-Summary'!$Y$6:$AC$83, 5,FALSE),"")</f>
        <v/>
      </c>
      <c r="W2932" s="45" t="str">
        <f>IFERROR(VLOOKUP(B2932,'Pre-Summary'!$Y$6:$AD$83,6,FALSE),"")</f>
        <v/>
      </c>
      <c r="X2932" t="str">
        <f>IFERROR(VLOOKUP('Pre-Summary'!$DB$6:$DD$63,3,FALSE),"")</f>
        <v/>
      </c>
      <c r="Y2932" t="str">
        <f>IFERROR(VLOOKUP(B2932,'Pre-Summary'!$CR$6:$CT$36,3,FALSE),"")</f>
        <v/>
      </c>
      <c r="Z2932" s="45" t="str">
        <f>IFERROR(VLOOKUP(B2932,'Pre-Summary'!$BZ$6:$CB$63,2,FALSE),"")</f>
        <v/>
      </c>
      <c r="AA2932" s="45" t="str">
        <f>IFERROR(VLOOKUP(B2932,'Pre-Summary'!$CG$6:$CI$70,2,FALSE),"")</f>
        <v/>
      </c>
      <c r="AB2932" s="99">
        <f>IFERROR(VLOOKUP(B2932,'Pre-Summary'!$A$6:$P$178,9,FALSE),AB2933)</f>
        <v>0.7010379290946207</v>
      </c>
      <c r="AC2932" s="10">
        <f>IFERROR(VLOOKUP(Summary!B2932,'Pre-Summary'!$A$6:$P$184,5, FALSE)/100,AC2933)</f>
        <v>0.92607166666666674</v>
      </c>
      <c r="AD2932" s="10">
        <f>IFERROR(VLOOKUP(Summary!B2932,'Pre-Summary'!$A$6:$P$184,3, FALSE)/100,AD2933)</f>
        <v>5.4963666666666668E-2</v>
      </c>
      <c r="AE2932" s="10">
        <f>IFERROR(VLOOKUP(Summary!B2932,'Pre-Summary'!$A$6:$P$184,7, FALSE)/100,AE2933)</f>
        <v>1.8946666666666667E-2</v>
      </c>
      <c r="AF2932" s="99">
        <f t="shared" si="136"/>
        <v>3.8531615055447034E-2</v>
      </c>
      <c r="AG2932" s="99">
        <f t="shared" si="137"/>
        <v>1.3282331963246082E-2</v>
      </c>
      <c r="AH2932" s="10" t="str">
        <f>IFERROR(VLOOKUP(B2932,'Pre-Summary'!$AZ$6:$BE$65,3,FALSE),"")</f>
        <v/>
      </c>
      <c r="AI2932" s="10" t="str">
        <f>IFERROR(VLOOKUP(B2932,'Pre-Summary'!$AZ$6:$BE$65,5,FALSE),"")</f>
        <v/>
      </c>
      <c r="AJ2932" s="10" t="str">
        <f>IFERROR(VLOOKUP(B2932,'Pre-Summary'!$AZ$6:$BE$65,4,FALSE),"")</f>
        <v/>
      </c>
      <c r="AK2932" s="10" t="str">
        <f>IFERROR(VLOOKUP(B2932,'Pre-Summary'!$AZ$6:$BE$65,6,FALSE),"")</f>
        <v/>
      </c>
      <c r="AL2932" s="10" t="str">
        <f>IFERROR(VLOOKUP(B2932,'Pre-Summary'!$BG$6:$BL$44,3,FALSE),"")</f>
        <v/>
      </c>
      <c r="AM2932" s="10" t="str">
        <f>IFERROR(VLOOKUP(B2932,'Pre-Summary'!$BG$6:$BL$44,4,FALSE),"")</f>
        <v/>
      </c>
    </row>
    <row r="2933" spans="2:39" ht="15" customHeight="1" x14ac:dyDescent="0.3">
      <c r="B2933">
        <v>293</v>
      </c>
      <c r="C2933" t="str">
        <f>IFERROR(VLOOKUP(B2933,'Pre-Summary'!$DI$6:$DM$23,4,FALSE),"")</f>
        <v/>
      </c>
      <c r="D2933" s="10" t="str">
        <f>IFERROR(VLOOKUP(B2933,'Pre-Summary'!$AT$6:$AX$14,5,FALSE),D2932)</f>
        <v>Wolfe v3: went back to modified wolfe + EDTA and switched CuSO4 to CUCl2</v>
      </c>
      <c r="E2933" s="10" t="str">
        <f>IFERROR(VLOOKUP(B2933,'Pre-Summary'!$AT$6:$AX$15,4,FALSE),"")</f>
        <v/>
      </c>
      <c r="F2933">
        <f>IFERROR(VLOOKUP(B2933,'Pre-Summary'!$AL$6:$AQ$13,6,FALSE),F2932)</f>
        <v>5.9405263157894746E-2</v>
      </c>
      <c r="G2933" t="str">
        <f>IFERROR(VLOOKUP(B2933,'Pre-Summary'!$AE$6:$AJ$85,3,FALSE),"")</f>
        <v/>
      </c>
      <c r="H2933" t="str">
        <f>IFERROR(VLOOKUP(B2933,'Pre-Summary'!$AE$6:$AJ$85,4,FALSE),"")</f>
        <v/>
      </c>
      <c r="I2933" t="str">
        <f>IFERROR(VLOOKUP(B2933,'Pre-Summary'!$AE$6:$AJ$85,5,FALSE),"")</f>
        <v/>
      </c>
      <c r="J2933" s="45" t="str">
        <f>IFERROR(VLOOKUP(B2933,'Pre-Summary'!$AE$6:$AJ$85,6, FALSE),"")</f>
        <v/>
      </c>
      <c r="K2933" s="45" t="str">
        <f>IFERROR(VLOOKUP(B2933,'Pre-Summary'!$DE$6:$DG$61,3,FALSE),"")</f>
        <v/>
      </c>
      <c r="L2933" s="45" t="str">
        <f>IFERROR(VLOOKUP(B2933,'Pre-Summary'!$CU$6:$CW$36,3,FALSE),"")</f>
        <v/>
      </c>
      <c r="M2933" s="45" t="str">
        <f>IFERROR(VLOOKUP(B2933,'Pre-Summary'!$BW$6:$BY$58,2,FALSE),"")</f>
        <v/>
      </c>
      <c r="N2933" s="45" t="str">
        <f>IFERROR(VLOOKUP(B2933,'Pre-Summary'!$CD$6:$CF$64,2,FALSE),"")</f>
        <v/>
      </c>
      <c r="O2933" s="99">
        <f>IFERROR(VLOOKUP(B2933,'Pre-Summary'!$BO$6:$BQ$48,3, FALSE),O2932)</f>
        <v>2.77</v>
      </c>
      <c r="P2933" s="99">
        <f>IFERROR(VLOOKUP(B2933,'Pre-Summary'!$BS$6:$BU$35,3,FALSE),P2932)</f>
        <v>0.70099999999999996</v>
      </c>
      <c r="Q2933" s="54">
        <f t="shared" si="135"/>
        <v>3.9514978601997148</v>
      </c>
      <c r="R2933" s="53">
        <f>IFERROR(VLOOKUP(B2933,'Pre-Summary'!$BG$6:$BM$44,7,FALSE),R2934)</f>
        <v>0.1043586561898026</v>
      </c>
      <c r="S2933" s="53">
        <f>VLOOKUP(B2933,'Pre-Summary'!$BG$6:$BM$44,6,FALSE)</f>
        <v>0.10140000000009444</v>
      </c>
      <c r="T2933" s="45" t="str">
        <f>IFERROR(VLOOKUP(B2933,'Pre-Summary'!$Y$6:$AC$83, 3,FALSE),"")</f>
        <v/>
      </c>
      <c r="U2933" s="45" t="str">
        <f>IFERROR(VLOOKUP(B2933,'Pre-Summary'!$Y$6:$AC$83, 4,FALSE),"")</f>
        <v/>
      </c>
      <c r="V2933" t="str">
        <f>IFERROR(VLOOKUP(B2933,'Pre-Summary'!$Y$6:$AC$83, 5,FALSE),"")</f>
        <v/>
      </c>
      <c r="W2933" s="45" t="str">
        <f>IFERROR(VLOOKUP(B2933,'Pre-Summary'!$Y$6:$AD$83,6,FALSE),"")</f>
        <v/>
      </c>
      <c r="X2933" t="str">
        <f>IFERROR(VLOOKUP('Pre-Summary'!$DB$6:$DD$63,3,FALSE),"")</f>
        <v/>
      </c>
      <c r="Y2933" t="str">
        <f>IFERROR(VLOOKUP(B2933,'Pre-Summary'!$CR$6:$CT$36,3,FALSE),"")</f>
        <v/>
      </c>
      <c r="Z2933" s="45" t="str">
        <f>IFERROR(VLOOKUP(B2933,'Pre-Summary'!$BZ$6:$CB$63,2,FALSE),"")</f>
        <v/>
      </c>
      <c r="AA2933" s="45" t="str">
        <f>IFERROR(VLOOKUP(B2933,'Pre-Summary'!$CG$6:$CI$70,2,FALSE),"")</f>
        <v/>
      </c>
      <c r="AB2933" s="99">
        <f>IFERROR(VLOOKUP(B2933,'Pre-Summary'!$A$6:$P$178,9,FALSE),AB2934)</f>
        <v>0.7010379290946207</v>
      </c>
      <c r="AC2933" s="10">
        <f>IFERROR(VLOOKUP(Summary!B2933,'Pre-Summary'!$A$6:$P$184,5, FALSE)/100,AC2934)</f>
        <v>0.92607166666666674</v>
      </c>
      <c r="AD2933" s="10">
        <f>IFERROR(VLOOKUP(Summary!B2933,'Pre-Summary'!$A$6:$P$184,3, FALSE)/100,AD2934)</f>
        <v>5.4963666666666668E-2</v>
      </c>
      <c r="AE2933" s="10">
        <f>IFERROR(VLOOKUP(Summary!B2933,'Pre-Summary'!$A$6:$P$184,7, FALSE)/100,AE2934)</f>
        <v>1.8946666666666667E-2</v>
      </c>
      <c r="AF2933" s="99">
        <f t="shared" si="136"/>
        <v>3.8531615055447034E-2</v>
      </c>
      <c r="AG2933" s="99">
        <f t="shared" si="137"/>
        <v>1.3282331963246082E-2</v>
      </c>
      <c r="AH2933" s="10">
        <f>IFERROR(VLOOKUP(B2933,'Pre-Summary'!$AZ$6:$BE$65,3,FALSE),"")</f>
        <v>1002</v>
      </c>
      <c r="AI2933" s="10">
        <f>IFERROR(VLOOKUP(B2933,'Pre-Summary'!$AZ$6:$BE$65,5,FALSE),"")</f>
        <v>120</v>
      </c>
      <c r="AJ2933" s="10">
        <f>IFERROR(VLOOKUP(B2933,'Pre-Summary'!$AZ$6:$BE$65,4,FALSE),"")</f>
        <v>868</v>
      </c>
      <c r="AK2933" s="10">
        <f>IFERROR(VLOOKUP(B2933,'Pre-Summary'!$AZ$6:$BE$65,6,FALSE),"")</f>
        <v>104</v>
      </c>
      <c r="AL2933" s="10">
        <f>IFERROR(VLOOKUP(B2933,'Pre-Summary'!$BG$6:$BL$44,3,FALSE),"")</f>
        <v>17.321351521773508</v>
      </c>
      <c r="AM2933" s="10">
        <f>IFERROR(VLOOKUP(B2933,'Pre-Summary'!$BG$6:$BL$44,4,FALSE),"")</f>
        <v>3.0818540433896349</v>
      </c>
    </row>
    <row r="2934" spans="2:39" ht="15" customHeight="1" x14ac:dyDescent="0.3">
      <c r="B2934">
        <v>293.10000000000002</v>
      </c>
      <c r="C2934" t="str">
        <f>IFERROR(VLOOKUP(B2934,'Pre-Summary'!$DI$6:$DM$23,4,FALSE),"")</f>
        <v/>
      </c>
      <c r="D2934" s="10" t="str">
        <f>IFERROR(VLOOKUP(B2934,'Pre-Summary'!$AT$6:$AX$14,5,FALSE),D2933)</f>
        <v>Wolfe v3: went back to modified wolfe + EDTA and switched CuSO4 to CUCl2</v>
      </c>
      <c r="E2934" s="10" t="str">
        <f>IFERROR(VLOOKUP(B2934,'Pre-Summary'!$AT$6:$AX$15,4,FALSE),"")</f>
        <v/>
      </c>
      <c r="F2934">
        <f>IFERROR(VLOOKUP(B2934,'Pre-Summary'!$AL$6:$AQ$13,6,FALSE),F2933)</f>
        <v>5.9405263157894746E-2</v>
      </c>
      <c r="G2934" t="str">
        <f>IFERROR(VLOOKUP(B2934,'Pre-Summary'!$AE$6:$AJ$85,3,FALSE),"")</f>
        <v/>
      </c>
      <c r="H2934" t="str">
        <f>IFERROR(VLOOKUP(B2934,'Pre-Summary'!$AE$6:$AJ$85,4,FALSE),"")</f>
        <v/>
      </c>
      <c r="I2934" t="str">
        <f>IFERROR(VLOOKUP(B2934,'Pre-Summary'!$AE$6:$AJ$85,5,FALSE),"")</f>
        <v/>
      </c>
      <c r="J2934" s="45" t="str">
        <f>IFERROR(VLOOKUP(B2934,'Pre-Summary'!$AE$6:$AJ$85,6, FALSE),"")</f>
        <v/>
      </c>
      <c r="K2934" s="45" t="str">
        <f>IFERROR(VLOOKUP(B2934,'Pre-Summary'!$DE$6:$DG$61,3,FALSE),"")</f>
        <v/>
      </c>
      <c r="L2934" s="45" t="str">
        <f>IFERROR(VLOOKUP(B2934,'Pre-Summary'!$CU$6:$CW$36,3,FALSE),"")</f>
        <v/>
      </c>
      <c r="M2934" s="45" t="str">
        <f>IFERROR(VLOOKUP(B2934,'Pre-Summary'!$BW$6:$BY$58,2,FALSE),"")</f>
        <v/>
      </c>
      <c r="N2934" s="45" t="str">
        <f>IFERROR(VLOOKUP(B2934,'Pre-Summary'!$CD$6:$CF$64,2,FALSE),"")</f>
        <v/>
      </c>
      <c r="O2934" s="99">
        <f>IFERROR(VLOOKUP(B2934,'Pre-Summary'!$BO$6:$BQ$48,3, FALSE),O2933)</f>
        <v>2.77</v>
      </c>
      <c r="P2934" s="99">
        <f>IFERROR(VLOOKUP(B2934,'Pre-Summary'!$BS$6:$BU$35,3,FALSE),P2933)</f>
        <v>0.70099999999999996</v>
      </c>
      <c r="Q2934" s="54">
        <f t="shared" si="135"/>
        <v>3.9514978601997148</v>
      </c>
      <c r="R2934" s="53">
        <f>IFERROR(VLOOKUP(B2934,'Pre-Summary'!$BG$6:$BM$44,7,FALSE),R2935)</f>
        <v>0</v>
      </c>
      <c r="S2934" s="53" t="e">
        <f>VLOOKUP(B2934,'Pre-Summary'!$BG$6:$BM$44,6,FALSE)</f>
        <v>#N/A</v>
      </c>
      <c r="T2934" s="45" t="str">
        <f>IFERROR(VLOOKUP(B2934,'Pre-Summary'!$Y$6:$AC$83, 3,FALSE),"")</f>
        <v/>
      </c>
      <c r="U2934" s="45" t="str">
        <f>IFERROR(VLOOKUP(B2934,'Pre-Summary'!$Y$6:$AC$83, 4,FALSE),"")</f>
        <v/>
      </c>
      <c r="V2934" t="str">
        <f>IFERROR(VLOOKUP(B2934,'Pre-Summary'!$Y$6:$AC$83, 5,FALSE),"")</f>
        <v/>
      </c>
      <c r="W2934" s="45" t="str">
        <f>IFERROR(VLOOKUP(B2934,'Pre-Summary'!$Y$6:$AD$83,6,FALSE),"")</f>
        <v/>
      </c>
      <c r="X2934" t="str">
        <f>IFERROR(VLOOKUP('Pre-Summary'!$DB$6:$DD$63,3,FALSE),"")</f>
        <v/>
      </c>
      <c r="Y2934" t="str">
        <f>IFERROR(VLOOKUP(B2934,'Pre-Summary'!$CR$6:$CT$36,3,FALSE),"")</f>
        <v/>
      </c>
      <c r="Z2934" s="45" t="str">
        <f>IFERROR(VLOOKUP(B2934,'Pre-Summary'!$BZ$6:$CB$63,2,FALSE),"")</f>
        <v/>
      </c>
      <c r="AA2934" s="45" t="str">
        <f>IFERROR(VLOOKUP(B2934,'Pre-Summary'!$CG$6:$CI$70,2,FALSE),"")</f>
        <v/>
      </c>
      <c r="AB2934" s="99">
        <f>IFERROR(VLOOKUP(B2934,'Pre-Summary'!$A$6:$P$178,9,FALSE),AB2935)</f>
        <v>0.7010379290946207</v>
      </c>
      <c r="AC2934" s="10">
        <f>IFERROR(VLOOKUP(Summary!B2934,'Pre-Summary'!$A$6:$P$184,5, FALSE)/100,AC2935)</f>
        <v>0.92607166666666674</v>
      </c>
      <c r="AD2934" s="10">
        <f>IFERROR(VLOOKUP(Summary!B2934,'Pre-Summary'!$A$6:$P$184,3, FALSE)/100,AD2935)</f>
        <v>5.4963666666666668E-2</v>
      </c>
      <c r="AE2934" s="10">
        <f>IFERROR(VLOOKUP(Summary!B2934,'Pre-Summary'!$A$6:$P$184,7, FALSE)/100,AE2935)</f>
        <v>1.8946666666666667E-2</v>
      </c>
      <c r="AF2934" s="99">
        <f t="shared" si="136"/>
        <v>3.8531615055447034E-2</v>
      </c>
      <c r="AG2934" s="99">
        <f t="shared" si="137"/>
        <v>1.3282331963246082E-2</v>
      </c>
      <c r="AH2934" s="10" t="str">
        <f>IFERROR(VLOOKUP(B2934,'Pre-Summary'!$AZ$6:$BE$65,3,FALSE),"")</f>
        <v/>
      </c>
      <c r="AI2934" s="10" t="str">
        <f>IFERROR(VLOOKUP(B2934,'Pre-Summary'!$AZ$6:$BE$65,5,FALSE),"")</f>
        <v/>
      </c>
      <c r="AJ2934" s="10" t="str">
        <f>IFERROR(VLOOKUP(B2934,'Pre-Summary'!$AZ$6:$BE$65,4,FALSE),"")</f>
        <v/>
      </c>
      <c r="AK2934" s="10" t="str">
        <f>IFERROR(VLOOKUP(B2934,'Pre-Summary'!$AZ$6:$BE$65,6,FALSE),"")</f>
        <v/>
      </c>
      <c r="AL2934" s="10" t="str">
        <f>IFERROR(VLOOKUP(B2934,'Pre-Summary'!$BG$6:$BL$44,3,FALSE),"")</f>
        <v/>
      </c>
      <c r="AM2934" s="10" t="str">
        <f>IFERROR(VLOOKUP(B2934,'Pre-Summary'!$BG$6:$BL$44,4,FALSE),"")</f>
        <v/>
      </c>
    </row>
    <row r="2935" spans="2:39" ht="15" customHeight="1" x14ac:dyDescent="0.3">
      <c r="B2935">
        <v>293.2</v>
      </c>
      <c r="C2935" t="str">
        <f>IFERROR(VLOOKUP(B2935,'Pre-Summary'!$DI$6:$DM$23,4,FALSE),"")</f>
        <v/>
      </c>
      <c r="D2935" s="10" t="str">
        <f>IFERROR(VLOOKUP(B2935,'Pre-Summary'!$AT$6:$AX$14,5,FALSE),D2934)</f>
        <v>Wolfe v3: went back to modified wolfe + EDTA and switched CuSO4 to CUCl2</v>
      </c>
      <c r="E2935" s="10" t="str">
        <f>IFERROR(VLOOKUP(B2935,'Pre-Summary'!$AT$6:$AX$15,4,FALSE),"")</f>
        <v/>
      </c>
      <c r="F2935">
        <f>IFERROR(VLOOKUP(B2935,'Pre-Summary'!$AL$6:$AQ$13,6,FALSE),F2934)</f>
        <v>5.9405263157894746E-2</v>
      </c>
      <c r="G2935" t="str">
        <f>IFERROR(VLOOKUP(B2935,'Pre-Summary'!$AE$6:$AJ$85,3,FALSE),"")</f>
        <v/>
      </c>
      <c r="H2935" t="str">
        <f>IFERROR(VLOOKUP(B2935,'Pre-Summary'!$AE$6:$AJ$85,4,FALSE),"")</f>
        <v/>
      </c>
      <c r="I2935" t="str">
        <f>IFERROR(VLOOKUP(B2935,'Pre-Summary'!$AE$6:$AJ$85,5,FALSE),"")</f>
        <v/>
      </c>
      <c r="J2935" s="45" t="str">
        <f>IFERROR(VLOOKUP(B2935,'Pre-Summary'!$AE$6:$AJ$85,6, FALSE),"")</f>
        <v/>
      </c>
      <c r="K2935" s="45" t="str">
        <f>IFERROR(VLOOKUP(B2935,'Pre-Summary'!$DE$6:$DG$61,3,FALSE),"")</f>
        <v/>
      </c>
      <c r="L2935" s="45" t="str">
        <f>IFERROR(VLOOKUP(B2935,'Pre-Summary'!$CU$6:$CW$36,3,FALSE),"")</f>
        <v/>
      </c>
      <c r="M2935" s="45" t="str">
        <f>IFERROR(VLOOKUP(B2935,'Pre-Summary'!$BW$6:$BY$58,2,FALSE),"")</f>
        <v/>
      </c>
      <c r="N2935" s="45" t="str">
        <f>IFERROR(VLOOKUP(B2935,'Pre-Summary'!$CD$6:$CF$64,2,FALSE),"")</f>
        <v/>
      </c>
      <c r="O2935" s="99">
        <f>IFERROR(VLOOKUP(B2935,'Pre-Summary'!$BO$6:$BQ$48,3, FALSE),O2934)</f>
        <v>2.77</v>
      </c>
      <c r="P2935" s="99">
        <f>IFERROR(VLOOKUP(B2935,'Pre-Summary'!$BS$6:$BU$35,3,FALSE),P2934)</f>
        <v>0.70099999999999996</v>
      </c>
      <c r="Q2935" s="54">
        <f t="shared" si="135"/>
        <v>3.9514978601997148</v>
      </c>
      <c r="R2935" s="53">
        <f>IFERROR(VLOOKUP(B2935,'Pre-Summary'!$BG$6:$BM$44,7,FALSE),R2936)</f>
        <v>0</v>
      </c>
      <c r="S2935" s="53" t="e">
        <f>VLOOKUP(B2935,'Pre-Summary'!$BG$6:$BM$44,6,FALSE)</f>
        <v>#N/A</v>
      </c>
      <c r="T2935" s="45" t="str">
        <f>IFERROR(VLOOKUP(B2935,'Pre-Summary'!$Y$6:$AC$83, 3,FALSE),"")</f>
        <v/>
      </c>
      <c r="U2935" s="45" t="str">
        <f>IFERROR(VLOOKUP(B2935,'Pre-Summary'!$Y$6:$AC$83, 4,FALSE),"")</f>
        <v/>
      </c>
      <c r="V2935" t="str">
        <f>IFERROR(VLOOKUP(B2935,'Pre-Summary'!$Y$6:$AC$83, 5,FALSE),"")</f>
        <v/>
      </c>
      <c r="W2935" s="45" t="str">
        <f>IFERROR(VLOOKUP(B2935,'Pre-Summary'!$Y$6:$AD$83,6,FALSE),"")</f>
        <v/>
      </c>
      <c r="X2935" t="str">
        <f>IFERROR(VLOOKUP('Pre-Summary'!$DB$6:$DD$63,3,FALSE),"")</f>
        <v/>
      </c>
      <c r="Y2935" t="str">
        <f>IFERROR(VLOOKUP(B2935,'Pre-Summary'!$CR$6:$CT$36,3,FALSE),"")</f>
        <v/>
      </c>
      <c r="Z2935" s="45" t="str">
        <f>IFERROR(VLOOKUP(B2935,'Pre-Summary'!$BZ$6:$CB$63,2,FALSE),"")</f>
        <v/>
      </c>
      <c r="AA2935" s="45" t="str">
        <f>IFERROR(VLOOKUP(B2935,'Pre-Summary'!$CG$6:$CI$70,2,FALSE),"")</f>
        <v/>
      </c>
      <c r="AB2935" s="99">
        <f>IFERROR(VLOOKUP(B2935,'Pre-Summary'!$A$6:$P$178,9,FALSE),AB2936)</f>
        <v>0.7010379290946207</v>
      </c>
      <c r="AC2935" s="10">
        <f>IFERROR(VLOOKUP(Summary!B2935,'Pre-Summary'!$A$6:$P$184,5, FALSE)/100,AC2936)</f>
        <v>0.92607166666666674</v>
      </c>
      <c r="AD2935" s="10">
        <f>IFERROR(VLOOKUP(Summary!B2935,'Pre-Summary'!$A$6:$P$184,3, FALSE)/100,AD2936)</f>
        <v>5.4963666666666668E-2</v>
      </c>
      <c r="AE2935" s="10">
        <f>IFERROR(VLOOKUP(Summary!B2935,'Pre-Summary'!$A$6:$P$184,7, FALSE)/100,AE2936)</f>
        <v>1.8946666666666667E-2</v>
      </c>
      <c r="AF2935" s="99">
        <f t="shared" si="136"/>
        <v>3.8531615055447034E-2</v>
      </c>
      <c r="AG2935" s="99">
        <f t="shared" si="137"/>
        <v>1.3282331963246082E-2</v>
      </c>
      <c r="AH2935" s="10" t="str">
        <f>IFERROR(VLOOKUP(B2935,'Pre-Summary'!$AZ$6:$BE$65,3,FALSE),"")</f>
        <v/>
      </c>
      <c r="AI2935" s="10" t="str">
        <f>IFERROR(VLOOKUP(B2935,'Pre-Summary'!$AZ$6:$BE$65,5,FALSE),"")</f>
        <v/>
      </c>
      <c r="AJ2935" s="10" t="str">
        <f>IFERROR(VLOOKUP(B2935,'Pre-Summary'!$AZ$6:$BE$65,4,FALSE),"")</f>
        <v/>
      </c>
      <c r="AK2935" s="10" t="str">
        <f>IFERROR(VLOOKUP(B2935,'Pre-Summary'!$AZ$6:$BE$65,6,FALSE),"")</f>
        <v/>
      </c>
      <c r="AL2935" s="10" t="str">
        <f>IFERROR(VLOOKUP(B2935,'Pre-Summary'!$BG$6:$BL$44,3,FALSE),"")</f>
        <v/>
      </c>
      <c r="AM2935" s="10" t="str">
        <f>IFERROR(VLOOKUP(B2935,'Pre-Summary'!$BG$6:$BL$44,4,FALSE),"")</f>
        <v/>
      </c>
    </row>
    <row r="2936" spans="2:39" ht="15" customHeight="1" x14ac:dyDescent="0.3">
      <c r="B2936">
        <v>293.3</v>
      </c>
      <c r="C2936" t="str">
        <f>IFERROR(VLOOKUP(B2936,'Pre-Summary'!$DI$6:$DM$23,4,FALSE),"")</f>
        <v/>
      </c>
      <c r="D2936" s="10" t="str">
        <f>IFERROR(VLOOKUP(B2936,'Pre-Summary'!$AT$6:$AX$14,5,FALSE),D2935)</f>
        <v>Wolfe v3: went back to modified wolfe + EDTA and switched CuSO4 to CUCl2</v>
      </c>
      <c r="E2936" s="10" t="str">
        <f>IFERROR(VLOOKUP(B2936,'Pre-Summary'!$AT$6:$AX$15,4,FALSE),"")</f>
        <v/>
      </c>
      <c r="F2936">
        <f>IFERROR(VLOOKUP(B2936,'Pre-Summary'!$AL$6:$AQ$13,6,FALSE),F2935)</f>
        <v>5.9405263157894746E-2</v>
      </c>
      <c r="G2936" t="str">
        <f>IFERROR(VLOOKUP(B2936,'Pre-Summary'!$AE$6:$AJ$85,3,FALSE),"")</f>
        <v/>
      </c>
      <c r="H2936" t="str">
        <f>IFERROR(VLOOKUP(B2936,'Pre-Summary'!$AE$6:$AJ$85,4,FALSE),"")</f>
        <v/>
      </c>
      <c r="I2936" t="str">
        <f>IFERROR(VLOOKUP(B2936,'Pre-Summary'!$AE$6:$AJ$85,5,FALSE),"")</f>
        <v/>
      </c>
      <c r="J2936" s="45" t="str">
        <f>IFERROR(VLOOKUP(B2936,'Pre-Summary'!$AE$6:$AJ$85,6, FALSE),"")</f>
        <v/>
      </c>
      <c r="K2936" s="45" t="str">
        <f>IFERROR(VLOOKUP(B2936,'Pre-Summary'!$DE$6:$DG$61,3,FALSE),"")</f>
        <v/>
      </c>
      <c r="L2936" s="45" t="str">
        <f>IFERROR(VLOOKUP(B2936,'Pre-Summary'!$CU$6:$CW$36,3,FALSE),"")</f>
        <v/>
      </c>
      <c r="M2936" s="45" t="str">
        <f>IFERROR(VLOOKUP(B2936,'Pre-Summary'!$BW$6:$BY$58,2,FALSE),"")</f>
        <v/>
      </c>
      <c r="N2936" s="45" t="str">
        <f>IFERROR(VLOOKUP(B2936,'Pre-Summary'!$CD$6:$CF$64,2,FALSE),"")</f>
        <v/>
      </c>
      <c r="O2936" s="99">
        <f>IFERROR(VLOOKUP(B2936,'Pre-Summary'!$BO$6:$BQ$48,3, FALSE),O2935)</f>
        <v>2.77</v>
      </c>
      <c r="P2936" s="99">
        <f>IFERROR(VLOOKUP(B2936,'Pre-Summary'!$BS$6:$BU$35,3,FALSE),P2935)</f>
        <v>0.70099999999999996</v>
      </c>
      <c r="Q2936" s="54">
        <f t="shared" si="135"/>
        <v>3.9514978601997148</v>
      </c>
      <c r="R2936" s="53">
        <f>IFERROR(VLOOKUP(B2936,'Pre-Summary'!$BG$6:$BM$44,7,FALSE),R2937)</f>
        <v>0</v>
      </c>
      <c r="S2936" s="53" t="e">
        <f>VLOOKUP(B2936,'Pre-Summary'!$BG$6:$BM$44,6,FALSE)</f>
        <v>#N/A</v>
      </c>
      <c r="T2936" s="45" t="str">
        <f>IFERROR(VLOOKUP(B2936,'Pre-Summary'!$Y$6:$AC$83, 3,FALSE),"")</f>
        <v/>
      </c>
      <c r="U2936" s="45" t="str">
        <f>IFERROR(VLOOKUP(B2936,'Pre-Summary'!$Y$6:$AC$83, 4,FALSE),"")</f>
        <v/>
      </c>
      <c r="V2936" t="str">
        <f>IFERROR(VLOOKUP(B2936,'Pre-Summary'!$Y$6:$AC$83, 5,FALSE),"")</f>
        <v/>
      </c>
      <c r="W2936" s="45" t="str">
        <f>IFERROR(VLOOKUP(B2936,'Pre-Summary'!$Y$6:$AD$83,6,FALSE),"")</f>
        <v/>
      </c>
      <c r="X2936" t="str">
        <f>IFERROR(VLOOKUP('Pre-Summary'!$DB$6:$DD$63,3,FALSE),"")</f>
        <v/>
      </c>
      <c r="Y2936" t="str">
        <f>IFERROR(VLOOKUP(B2936,'Pre-Summary'!$CR$6:$CT$36,3,FALSE),"")</f>
        <v/>
      </c>
      <c r="Z2936" s="45" t="str">
        <f>IFERROR(VLOOKUP(B2936,'Pre-Summary'!$BZ$6:$CB$63,2,FALSE),"")</f>
        <v/>
      </c>
      <c r="AA2936" s="45" t="str">
        <f>IFERROR(VLOOKUP(B2936,'Pre-Summary'!$CG$6:$CI$70,2,FALSE),"")</f>
        <v/>
      </c>
      <c r="AB2936" s="99">
        <f>IFERROR(VLOOKUP(B2936,'Pre-Summary'!$A$6:$P$178,9,FALSE),AB2937)</f>
        <v>0.7010379290946207</v>
      </c>
      <c r="AC2936" s="10">
        <f>IFERROR(VLOOKUP(Summary!B2936,'Pre-Summary'!$A$6:$P$184,5, FALSE)/100,AC2937)</f>
        <v>0.92607166666666674</v>
      </c>
      <c r="AD2936" s="10">
        <f>IFERROR(VLOOKUP(Summary!B2936,'Pre-Summary'!$A$6:$P$184,3, FALSE)/100,AD2937)</f>
        <v>5.4963666666666668E-2</v>
      </c>
      <c r="AE2936" s="10">
        <f>IFERROR(VLOOKUP(Summary!B2936,'Pre-Summary'!$A$6:$P$184,7, FALSE)/100,AE2937)</f>
        <v>1.8946666666666667E-2</v>
      </c>
      <c r="AF2936" s="99">
        <f t="shared" si="136"/>
        <v>3.8531615055447034E-2</v>
      </c>
      <c r="AG2936" s="99">
        <f t="shared" si="137"/>
        <v>1.3282331963246082E-2</v>
      </c>
      <c r="AH2936" s="10" t="str">
        <f>IFERROR(VLOOKUP(B2936,'Pre-Summary'!$AZ$6:$BE$65,3,FALSE),"")</f>
        <v/>
      </c>
      <c r="AI2936" s="10" t="str">
        <f>IFERROR(VLOOKUP(B2936,'Pre-Summary'!$AZ$6:$BE$65,5,FALSE),"")</f>
        <v/>
      </c>
      <c r="AJ2936" s="10" t="str">
        <f>IFERROR(VLOOKUP(B2936,'Pre-Summary'!$AZ$6:$BE$65,4,FALSE),"")</f>
        <v/>
      </c>
      <c r="AK2936" s="10" t="str">
        <f>IFERROR(VLOOKUP(B2936,'Pre-Summary'!$AZ$6:$BE$65,6,FALSE),"")</f>
        <v/>
      </c>
      <c r="AL2936" s="10" t="str">
        <f>IFERROR(VLOOKUP(B2936,'Pre-Summary'!$BG$6:$BL$44,3,FALSE),"")</f>
        <v/>
      </c>
      <c r="AM2936" s="10" t="str">
        <f>IFERROR(VLOOKUP(B2936,'Pre-Summary'!$BG$6:$BL$44,4,FALSE),"")</f>
        <v/>
      </c>
    </row>
    <row r="2937" spans="2:39" ht="15" customHeight="1" x14ac:dyDescent="0.3">
      <c r="B2937">
        <v>293.39999999999998</v>
      </c>
      <c r="C2937" t="str">
        <f>IFERROR(VLOOKUP(B2937,'Pre-Summary'!$DI$6:$DM$23,4,FALSE),"")</f>
        <v/>
      </c>
      <c r="D2937" s="10" t="str">
        <f>IFERROR(VLOOKUP(B2937,'Pre-Summary'!$AT$6:$AX$14,5,FALSE),D2936)</f>
        <v>Wolfe v3: went back to modified wolfe + EDTA and switched CuSO4 to CUCl2</v>
      </c>
      <c r="E2937" s="10" t="str">
        <f>IFERROR(VLOOKUP(B2937,'Pre-Summary'!$AT$6:$AX$15,4,FALSE),"")</f>
        <v/>
      </c>
      <c r="F2937">
        <f>IFERROR(VLOOKUP(B2937,'Pre-Summary'!$AL$6:$AQ$13,6,FALSE),F2936)</f>
        <v>5.9405263157894746E-2</v>
      </c>
      <c r="G2937" t="str">
        <f>IFERROR(VLOOKUP(B2937,'Pre-Summary'!$AE$6:$AJ$85,3,FALSE),"")</f>
        <v/>
      </c>
      <c r="H2937" t="str">
        <f>IFERROR(VLOOKUP(B2937,'Pre-Summary'!$AE$6:$AJ$85,4,FALSE),"")</f>
        <v/>
      </c>
      <c r="I2937" t="str">
        <f>IFERROR(VLOOKUP(B2937,'Pre-Summary'!$AE$6:$AJ$85,5,FALSE),"")</f>
        <v/>
      </c>
      <c r="J2937" s="45" t="str">
        <f>IFERROR(VLOOKUP(B2937,'Pre-Summary'!$AE$6:$AJ$85,6, FALSE),"")</f>
        <v/>
      </c>
      <c r="K2937" s="45" t="str">
        <f>IFERROR(VLOOKUP(B2937,'Pre-Summary'!$DE$6:$DG$61,3,FALSE),"")</f>
        <v/>
      </c>
      <c r="L2937" s="45" t="str">
        <f>IFERROR(VLOOKUP(B2937,'Pre-Summary'!$CU$6:$CW$36,3,FALSE),"")</f>
        <v/>
      </c>
      <c r="M2937" s="45" t="str">
        <f>IFERROR(VLOOKUP(B2937,'Pre-Summary'!$BW$6:$BY$58,2,FALSE),"")</f>
        <v/>
      </c>
      <c r="N2937" s="45" t="str">
        <f>IFERROR(VLOOKUP(B2937,'Pre-Summary'!$CD$6:$CF$64,2,FALSE),"")</f>
        <v/>
      </c>
      <c r="O2937" s="99">
        <f>IFERROR(VLOOKUP(B2937,'Pre-Summary'!$BO$6:$BQ$48,3, FALSE),O2936)</f>
        <v>2.77</v>
      </c>
      <c r="P2937" s="99">
        <f>IFERROR(VLOOKUP(B2937,'Pre-Summary'!$BS$6:$BU$35,3,FALSE),P2936)</f>
        <v>0.70099999999999996</v>
      </c>
      <c r="Q2937" s="54">
        <f t="shared" si="135"/>
        <v>3.9514978601997148</v>
      </c>
      <c r="R2937" s="53">
        <f>IFERROR(VLOOKUP(B2937,'Pre-Summary'!$BG$6:$BM$44,7,FALSE),R2938)</f>
        <v>0</v>
      </c>
      <c r="S2937" s="53" t="e">
        <f>VLOOKUP(B2937,'Pre-Summary'!$BG$6:$BM$44,6,FALSE)</f>
        <v>#N/A</v>
      </c>
      <c r="T2937" s="45" t="str">
        <f>IFERROR(VLOOKUP(B2937,'Pre-Summary'!$Y$6:$AC$83, 3,FALSE),"")</f>
        <v/>
      </c>
      <c r="U2937" s="45" t="str">
        <f>IFERROR(VLOOKUP(B2937,'Pre-Summary'!$Y$6:$AC$83, 4,FALSE),"")</f>
        <v/>
      </c>
      <c r="V2937" t="str">
        <f>IFERROR(VLOOKUP(B2937,'Pre-Summary'!$Y$6:$AC$83, 5,FALSE),"")</f>
        <v/>
      </c>
      <c r="W2937" s="45" t="str">
        <f>IFERROR(VLOOKUP(B2937,'Pre-Summary'!$Y$6:$AD$83,6,FALSE),"")</f>
        <v/>
      </c>
      <c r="X2937" t="str">
        <f>IFERROR(VLOOKUP('Pre-Summary'!$DB$6:$DD$63,3,FALSE),"")</f>
        <v/>
      </c>
      <c r="Y2937" t="str">
        <f>IFERROR(VLOOKUP(B2937,'Pre-Summary'!$CR$6:$CT$36,3,FALSE),"")</f>
        <v/>
      </c>
      <c r="Z2937" s="45" t="str">
        <f>IFERROR(VLOOKUP(B2937,'Pre-Summary'!$BZ$6:$CB$63,2,FALSE),"")</f>
        <v/>
      </c>
      <c r="AA2937" s="45" t="str">
        <f>IFERROR(VLOOKUP(B2937,'Pre-Summary'!$CG$6:$CI$70,2,FALSE),"")</f>
        <v/>
      </c>
      <c r="AB2937" s="99">
        <f>IFERROR(VLOOKUP(B2937,'Pre-Summary'!$A$6:$P$178,9,FALSE),AB2938)</f>
        <v>0.7010379290946207</v>
      </c>
      <c r="AC2937" s="10">
        <f>IFERROR(VLOOKUP(Summary!B2937,'Pre-Summary'!$A$6:$P$184,5, FALSE)/100,AC2938)</f>
        <v>0.92607166666666674</v>
      </c>
      <c r="AD2937" s="10">
        <f>IFERROR(VLOOKUP(Summary!B2937,'Pre-Summary'!$A$6:$P$184,3, FALSE)/100,AD2938)</f>
        <v>5.4963666666666668E-2</v>
      </c>
      <c r="AE2937" s="10">
        <f>IFERROR(VLOOKUP(Summary!B2937,'Pre-Summary'!$A$6:$P$184,7, FALSE)/100,AE2938)</f>
        <v>1.8946666666666667E-2</v>
      </c>
      <c r="AF2937" s="99">
        <f t="shared" si="136"/>
        <v>3.8531615055447034E-2</v>
      </c>
      <c r="AG2937" s="99">
        <f t="shared" si="137"/>
        <v>1.3282331963246082E-2</v>
      </c>
      <c r="AH2937" s="10" t="str">
        <f>IFERROR(VLOOKUP(B2937,'Pre-Summary'!$AZ$6:$BE$65,3,FALSE),"")</f>
        <v/>
      </c>
      <c r="AI2937" s="10" t="str">
        <f>IFERROR(VLOOKUP(B2937,'Pre-Summary'!$AZ$6:$BE$65,5,FALSE),"")</f>
        <v/>
      </c>
      <c r="AJ2937" s="10" t="str">
        <f>IFERROR(VLOOKUP(B2937,'Pre-Summary'!$AZ$6:$BE$65,4,FALSE),"")</f>
        <v/>
      </c>
      <c r="AK2937" s="10" t="str">
        <f>IFERROR(VLOOKUP(B2937,'Pre-Summary'!$AZ$6:$BE$65,6,FALSE),"")</f>
        <v/>
      </c>
      <c r="AL2937" s="10" t="str">
        <f>IFERROR(VLOOKUP(B2937,'Pre-Summary'!$BG$6:$BL$44,3,FALSE),"")</f>
        <v/>
      </c>
      <c r="AM2937" s="10" t="str">
        <f>IFERROR(VLOOKUP(B2937,'Pre-Summary'!$BG$6:$BL$44,4,FALSE),"")</f>
        <v/>
      </c>
    </row>
    <row r="2938" spans="2:39" ht="15" customHeight="1" x14ac:dyDescent="0.3">
      <c r="B2938">
        <v>293.5</v>
      </c>
      <c r="C2938" t="str">
        <f>IFERROR(VLOOKUP(B2938,'Pre-Summary'!$DI$6:$DM$23,4,FALSE),"")</f>
        <v/>
      </c>
      <c r="D2938" s="10" t="str">
        <f>IFERROR(VLOOKUP(B2938,'Pre-Summary'!$AT$6:$AX$14,5,FALSE),D2937)</f>
        <v>Wolfe v3: went back to modified wolfe + EDTA and switched CuSO4 to CUCl2</v>
      </c>
      <c r="E2938" s="10" t="str">
        <f>IFERROR(VLOOKUP(B2938,'Pre-Summary'!$AT$6:$AX$15,4,FALSE),"")</f>
        <v/>
      </c>
      <c r="F2938">
        <f>IFERROR(VLOOKUP(B2938,'Pre-Summary'!$AL$6:$AQ$13,6,FALSE),F2937)</f>
        <v>5.9405263157894746E-2</v>
      </c>
      <c r="G2938" t="str">
        <f>IFERROR(VLOOKUP(B2938,'Pre-Summary'!$AE$6:$AJ$85,3,FALSE),"")</f>
        <v/>
      </c>
      <c r="H2938" t="str">
        <f>IFERROR(VLOOKUP(B2938,'Pre-Summary'!$AE$6:$AJ$85,4,FALSE),"")</f>
        <v/>
      </c>
      <c r="I2938" t="str">
        <f>IFERROR(VLOOKUP(B2938,'Pre-Summary'!$AE$6:$AJ$85,5,FALSE),"")</f>
        <v/>
      </c>
      <c r="J2938" s="45" t="str">
        <f>IFERROR(VLOOKUP(B2938,'Pre-Summary'!$AE$6:$AJ$85,6, FALSE),"")</f>
        <v/>
      </c>
      <c r="K2938" s="45" t="str">
        <f>IFERROR(VLOOKUP(B2938,'Pre-Summary'!$DE$6:$DG$61,3,FALSE),"")</f>
        <v/>
      </c>
      <c r="L2938" s="45" t="str">
        <f>IFERROR(VLOOKUP(B2938,'Pre-Summary'!$CU$6:$CW$36,3,FALSE),"")</f>
        <v/>
      </c>
      <c r="M2938" s="45" t="str">
        <f>IFERROR(VLOOKUP(B2938,'Pre-Summary'!$BW$6:$BY$58,2,FALSE),"")</f>
        <v/>
      </c>
      <c r="N2938" s="45" t="str">
        <f>IFERROR(VLOOKUP(B2938,'Pre-Summary'!$CD$6:$CF$64,2,FALSE),"")</f>
        <v/>
      </c>
      <c r="O2938" s="99">
        <f>IFERROR(VLOOKUP(B2938,'Pre-Summary'!$BO$6:$BQ$48,3, FALSE),O2937)</f>
        <v>2.77</v>
      </c>
      <c r="P2938" s="99">
        <f>IFERROR(VLOOKUP(B2938,'Pre-Summary'!$BS$6:$BU$35,3,FALSE),P2937)</f>
        <v>0.70099999999999996</v>
      </c>
      <c r="Q2938" s="54">
        <f t="shared" si="135"/>
        <v>3.9514978601997148</v>
      </c>
      <c r="R2938" s="53">
        <f>IFERROR(VLOOKUP(B2938,'Pre-Summary'!$BG$6:$BM$44,7,FALSE),R2939)</f>
        <v>0</v>
      </c>
      <c r="S2938" s="53" t="e">
        <f>VLOOKUP(B2938,'Pre-Summary'!$BG$6:$BM$44,6,FALSE)</f>
        <v>#N/A</v>
      </c>
      <c r="T2938" s="45" t="str">
        <f>IFERROR(VLOOKUP(B2938,'Pre-Summary'!$Y$6:$AC$83, 3,FALSE),"")</f>
        <v/>
      </c>
      <c r="U2938" s="45" t="str">
        <f>IFERROR(VLOOKUP(B2938,'Pre-Summary'!$Y$6:$AC$83, 4,FALSE),"")</f>
        <v/>
      </c>
      <c r="V2938" t="str">
        <f>IFERROR(VLOOKUP(B2938,'Pre-Summary'!$Y$6:$AC$83, 5,FALSE),"")</f>
        <v/>
      </c>
      <c r="W2938" s="45" t="str">
        <f>IFERROR(VLOOKUP(B2938,'Pre-Summary'!$Y$6:$AD$83,6,FALSE),"")</f>
        <v/>
      </c>
      <c r="X2938" t="str">
        <f>IFERROR(VLOOKUP('Pre-Summary'!$DB$6:$DD$63,3,FALSE),"")</f>
        <v/>
      </c>
      <c r="Y2938" t="str">
        <f>IFERROR(VLOOKUP(B2938,'Pre-Summary'!$CR$6:$CT$36,3,FALSE),"")</f>
        <v/>
      </c>
      <c r="Z2938" s="45" t="str">
        <f>IFERROR(VLOOKUP(B2938,'Pre-Summary'!$BZ$6:$CB$63,2,FALSE),"")</f>
        <v/>
      </c>
      <c r="AA2938" s="45" t="str">
        <f>IFERROR(VLOOKUP(B2938,'Pre-Summary'!$CG$6:$CI$70,2,FALSE),"")</f>
        <v/>
      </c>
      <c r="AB2938" s="99">
        <f>IFERROR(VLOOKUP(B2938,'Pre-Summary'!$A$6:$P$178,9,FALSE),AB2939)</f>
        <v>0.7010379290946207</v>
      </c>
      <c r="AC2938" s="10">
        <f>IFERROR(VLOOKUP(Summary!B2938,'Pre-Summary'!$A$6:$P$184,5, FALSE)/100,AC2939)</f>
        <v>0.92607166666666674</v>
      </c>
      <c r="AD2938" s="10">
        <f>IFERROR(VLOOKUP(Summary!B2938,'Pre-Summary'!$A$6:$P$184,3, FALSE)/100,AD2939)</f>
        <v>5.4963666666666668E-2</v>
      </c>
      <c r="AE2938" s="10">
        <f>IFERROR(VLOOKUP(Summary!B2938,'Pre-Summary'!$A$6:$P$184,7, FALSE)/100,AE2939)</f>
        <v>1.8946666666666667E-2</v>
      </c>
      <c r="AF2938" s="99">
        <f t="shared" si="136"/>
        <v>3.8531615055447034E-2</v>
      </c>
      <c r="AG2938" s="99">
        <f t="shared" si="137"/>
        <v>1.3282331963246082E-2</v>
      </c>
      <c r="AH2938" s="10" t="str">
        <f>IFERROR(VLOOKUP(B2938,'Pre-Summary'!$AZ$6:$BE$65,3,FALSE),"")</f>
        <v/>
      </c>
      <c r="AI2938" s="10" t="str">
        <f>IFERROR(VLOOKUP(B2938,'Pre-Summary'!$AZ$6:$BE$65,5,FALSE),"")</f>
        <v/>
      </c>
      <c r="AJ2938" s="10" t="str">
        <f>IFERROR(VLOOKUP(B2938,'Pre-Summary'!$AZ$6:$BE$65,4,FALSE),"")</f>
        <v/>
      </c>
      <c r="AK2938" s="10" t="str">
        <f>IFERROR(VLOOKUP(B2938,'Pre-Summary'!$AZ$6:$BE$65,6,FALSE),"")</f>
        <v/>
      </c>
      <c r="AL2938" s="10" t="str">
        <f>IFERROR(VLOOKUP(B2938,'Pre-Summary'!$BG$6:$BL$44,3,FALSE),"")</f>
        <v/>
      </c>
      <c r="AM2938" s="10" t="str">
        <f>IFERROR(VLOOKUP(B2938,'Pre-Summary'!$BG$6:$BL$44,4,FALSE),"")</f>
        <v/>
      </c>
    </row>
    <row r="2939" spans="2:39" ht="15" customHeight="1" x14ac:dyDescent="0.3">
      <c r="B2939">
        <v>293.60000000000002</v>
      </c>
      <c r="C2939" t="str">
        <f>IFERROR(VLOOKUP(B2939,'Pre-Summary'!$DI$6:$DM$23,4,FALSE),"")</f>
        <v/>
      </c>
      <c r="D2939" s="10" t="str">
        <f>IFERROR(VLOOKUP(B2939,'Pre-Summary'!$AT$6:$AX$14,5,FALSE),D2938)</f>
        <v>Wolfe v3: went back to modified wolfe + EDTA and switched CuSO4 to CUCl2</v>
      </c>
      <c r="E2939" s="10" t="str">
        <f>IFERROR(VLOOKUP(B2939,'Pre-Summary'!$AT$6:$AX$15,4,FALSE),"")</f>
        <v/>
      </c>
      <c r="F2939">
        <f>IFERROR(VLOOKUP(B2939,'Pre-Summary'!$AL$6:$AQ$13,6,FALSE),F2938)</f>
        <v>5.9405263157894746E-2</v>
      </c>
      <c r="G2939" t="str">
        <f>IFERROR(VLOOKUP(B2939,'Pre-Summary'!$AE$6:$AJ$85,3,FALSE),"")</f>
        <v/>
      </c>
      <c r="H2939" t="str">
        <f>IFERROR(VLOOKUP(B2939,'Pre-Summary'!$AE$6:$AJ$85,4,FALSE),"")</f>
        <v/>
      </c>
      <c r="I2939" t="str">
        <f>IFERROR(VLOOKUP(B2939,'Pre-Summary'!$AE$6:$AJ$85,5,FALSE),"")</f>
        <v/>
      </c>
      <c r="J2939" s="45" t="str">
        <f>IFERROR(VLOOKUP(B2939,'Pre-Summary'!$AE$6:$AJ$85,6, FALSE),"")</f>
        <v/>
      </c>
      <c r="K2939" s="45" t="str">
        <f>IFERROR(VLOOKUP(B2939,'Pre-Summary'!$DE$6:$DG$61,3,FALSE),"")</f>
        <v/>
      </c>
      <c r="L2939" s="45" t="str">
        <f>IFERROR(VLOOKUP(B2939,'Pre-Summary'!$CU$6:$CW$36,3,FALSE),"")</f>
        <v/>
      </c>
      <c r="M2939" s="45" t="str">
        <f>IFERROR(VLOOKUP(B2939,'Pre-Summary'!$BW$6:$BY$58,2,FALSE),"")</f>
        <v/>
      </c>
      <c r="N2939" s="45" t="str">
        <f>IFERROR(VLOOKUP(B2939,'Pre-Summary'!$CD$6:$CF$64,2,FALSE),"")</f>
        <v/>
      </c>
      <c r="O2939" s="99">
        <f>IFERROR(VLOOKUP(B2939,'Pre-Summary'!$BO$6:$BQ$48,3, FALSE),O2938)</f>
        <v>2.77</v>
      </c>
      <c r="P2939" s="99">
        <f>IFERROR(VLOOKUP(B2939,'Pre-Summary'!$BS$6:$BU$35,3,FALSE),P2938)</f>
        <v>0.70099999999999996</v>
      </c>
      <c r="Q2939" s="54">
        <f t="shared" si="135"/>
        <v>3.9514978601997148</v>
      </c>
      <c r="R2939" s="53">
        <f>IFERROR(VLOOKUP(B2939,'Pre-Summary'!$BG$6:$BM$44,7,FALSE),R2940)</f>
        <v>0</v>
      </c>
      <c r="S2939" s="53" t="e">
        <f>VLOOKUP(B2939,'Pre-Summary'!$BG$6:$BM$44,6,FALSE)</f>
        <v>#N/A</v>
      </c>
      <c r="T2939" s="45" t="str">
        <f>IFERROR(VLOOKUP(B2939,'Pre-Summary'!$Y$6:$AC$83, 3,FALSE),"")</f>
        <v/>
      </c>
      <c r="U2939" s="45" t="str">
        <f>IFERROR(VLOOKUP(B2939,'Pre-Summary'!$Y$6:$AC$83, 4,FALSE),"")</f>
        <v/>
      </c>
      <c r="V2939" t="str">
        <f>IFERROR(VLOOKUP(B2939,'Pre-Summary'!$Y$6:$AC$83, 5,FALSE),"")</f>
        <v/>
      </c>
      <c r="W2939" s="45" t="str">
        <f>IFERROR(VLOOKUP(B2939,'Pre-Summary'!$Y$6:$AD$83,6,FALSE),"")</f>
        <v/>
      </c>
      <c r="X2939" t="str">
        <f>IFERROR(VLOOKUP('Pre-Summary'!$DB$6:$DD$63,3,FALSE),"")</f>
        <v/>
      </c>
      <c r="Y2939" t="str">
        <f>IFERROR(VLOOKUP(B2939,'Pre-Summary'!$CR$6:$CT$36,3,FALSE),"")</f>
        <v/>
      </c>
      <c r="Z2939" s="45" t="str">
        <f>IFERROR(VLOOKUP(B2939,'Pre-Summary'!$BZ$6:$CB$63,2,FALSE),"")</f>
        <v/>
      </c>
      <c r="AA2939" s="45" t="str">
        <f>IFERROR(VLOOKUP(B2939,'Pre-Summary'!$CG$6:$CI$70,2,FALSE),"")</f>
        <v/>
      </c>
      <c r="AB2939" s="99">
        <f>IFERROR(VLOOKUP(B2939,'Pre-Summary'!$A$6:$P$178,9,FALSE),AB2940)</f>
        <v>0.7010379290946207</v>
      </c>
      <c r="AC2939" s="10">
        <f>IFERROR(VLOOKUP(Summary!B2939,'Pre-Summary'!$A$6:$P$184,5, FALSE)/100,AC2940)</f>
        <v>0.92607166666666674</v>
      </c>
      <c r="AD2939" s="10">
        <f>IFERROR(VLOOKUP(Summary!B2939,'Pre-Summary'!$A$6:$P$184,3, FALSE)/100,AD2940)</f>
        <v>5.4963666666666668E-2</v>
      </c>
      <c r="AE2939" s="10">
        <f>IFERROR(VLOOKUP(Summary!B2939,'Pre-Summary'!$A$6:$P$184,7, FALSE)/100,AE2940)</f>
        <v>1.8946666666666667E-2</v>
      </c>
      <c r="AF2939" s="99">
        <f t="shared" si="136"/>
        <v>3.8531615055447034E-2</v>
      </c>
      <c r="AG2939" s="99">
        <f t="shared" si="137"/>
        <v>1.3282331963246082E-2</v>
      </c>
      <c r="AH2939" s="10" t="str">
        <f>IFERROR(VLOOKUP(B2939,'Pre-Summary'!$AZ$6:$BE$65,3,FALSE),"")</f>
        <v/>
      </c>
      <c r="AI2939" s="10" t="str">
        <f>IFERROR(VLOOKUP(B2939,'Pre-Summary'!$AZ$6:$BE$65,5,FALSE),"")</f>
        <v/>
      </c>
      <c r="AJ2939" s="10" t="str">
        <f>IFERROR(VLOOKUP(B2939,'Pre-Summary'!$AZ$6:$BE$65,4,FALSE),"")</f>
        <v/>
      </c>
      <c r="AK2939" s="10" t="str">
        <f>IFERROR(VLOOKUP(B2939,'Pre-Summary'!$AZ$6:$BE$65,6,FALSE),"")</f>
        <v/>
      </c>
      <c r="AL2939" s="10" t="str">
        <f>IFERROR(VLOOKUP(B2939,'Pre-Summary'!$BG$6:$BL$44,3,FALSE),"")</f>
        <v/>
      </c>
      <c r="AM2939" s="10" t="str">
        <f>IFERROR(VLOOKUP(B2939,'Pre-Summary'!$BG$6:$BL$44,4,FALSE),"")</f>
        <v/>
      </c>
    </row>
    <row r="2940" spans="2:39" ht="15" customHeight="1" x14ac:dyDescent="0.3">
      <c r="B2940">
        <v>293.7</v>
      </c>
      <c r="C2940" t="str">
        <f>IFERROR(VLOOKUP(B2940,'Pre-Summary'!$DI$6:$DM$23,4,FALSE),"")</f>
        <v/>
      </c>
      <c r="D2940" s="10" t="str">
        <f>IFERROR(VLOOKUP(B2940,'Pre-Summary'!$AT$6:$AX$14,5,FALSE),D2939)</f>
        <v>Wolfe v3: went back to modified wolfe + EDTA and switched CuSO4 to CUCl2</v>
      </c>
      <c r="E2940" s="10" t="str">
        <f>IFERROR(VLOOKUP(B2940,'Pre-Summary'!$AT$6:$AX$15,4,FALSE),"")</f>
        <v/>
      </c>
      <c r="F2940">
        <f>IFERROR(VLOOKUP(B2940,'Pre-Summary'!$AL$6:$AQ$13,6,FALSE),F2939)</f>
        <v>5.9405263157894746E-2</v>
      </c>
      <c r="G2940" t="str">
        <f>IFERROR(VLOOKUP(B2940,'Pre-Summary'!$AE$6:$AJ$85,3,FALSE),"")</f>
        <v/>
      </c>
      <c r="H2940" t="str">
        <f>IFERROR(VLOOKUP(B2940,'Pre-Summary'!$AE$6:$AJ$85,4,FALSE),"")</f>
        <v/>
      </c>
      <c r="I2940" t="str">
        <f>IFERROR(VLOOKUP(B2940,'Pre-Summary'!$AE$6:$AJ$85,5,FALSE),"")</f>
        <v/>
      </c>
      <c r="J2940" s="45" t="str">
        <f>IFERROR(VLOOKUP(B2940,'Pre-Summary'!$AE$6:$AJ$85,6, FALSE),"")</f>
        <v/>
      </c>
      <c r="K2940" s="45" t="str">
        <f>IFERROR(VLOOKUP(B2940,'Pre-Summary'!$DE$6:$DG$61,3,FALSE),"")</f>
        <v/>
      </c>
      <c r="L2940" s="45" t="str">
        <f>IFERROR(VLOOKUP(B2940,'Pre-Summary'!$CU$6:$CW$36,3,FALSE),"")</f>
        <v/>
      </c>
      <c r="M2940" s="45" t="str">
        <f>IFERROR(VLOOKUP(B2940,'Pre-Summary'!$BW$6:$BY$58,2,FALSE),"")</f>
        <v/>
      </c>
      <c r="N2940" s="45" t="str">
        <f>IFERROR(VLOOKUP(B2940,'Pre-Summary'!$CD$6:$CF$64,2,FALSE),"")</f>
        <v/>
      </c>
      <c r="O2940" s="99">
        <f>IFERROR(VLOOKUP(B2940,'Pre-Summary'!$BO$6:$BQ$48,3, FALSE),O2939)</f>
        <v>2.77</v>
      </c>
      <c r="P2940" s="99">
        <f>IFERROR(VLOOKUP(B2940,'Pre-Summary'!$BS$6:$BU$35,3,FALSE),P2939)</f>
        <v>0.70099999999999996</v>
      </c>
      <c r="Q2940" s="54">
        <f t="shared" si="135"/>
        <v>3.9514978601997148</v>
      </c>
      <c r="R2940" s="53">
        <f>IFERROR(VLOOKUP(B2940,'Pre-Summary'!$BG$6:$BM$44,7,FALSE),R2941)</f>
        <v>0</v>
      </c>
      <c r="S2940" s="53" t="e">
        <f>VLOOKUP(B2940,'Pre-Summary'!$BG$6:$BM$44,6,FALSE)</f>
        <v>#N/A</v>
      </c>
      <c r="T2940" s="45" t="str">
        <f>IFERROR(VLOOKUP(B2940,'Pre-Summary'!$Y$6:$AC$83, 3,FALSE),"")</f>
        <v/>
      </c>
      <c r="U2940" s="45" t="str">
        <f>IFERROR(VLOOKUP(B2940,'Pre-Summary'!$Y$6:$AC$83, 4,FALSE),"")</f>
        <v/>
      </c>
      <c r="V2940" t="str">
        <f>IFERROR(VLOOKUP(B2940,'Pre-Summary'!$Y$6:$AC$83, 5,FALSE),"")</f>
        <v/>
      </c>
      <c r="W2940" s="45" t="str">
        <f>IFERROR(VLOOKUP(B2940,'Pre-Summary'!$Y$6:$AD$83,6,FALSE),"")</f>
        <v/>
      </c>
      <c r="X2940" t="str">
        <f>IFERROR(VLOOKUP('Pre-Summary'!$DB$6:$DD$63,3,FALSE),"")</f>
        <v/>
      </c>
      <c r="Y2940" t="str">
        <f>IFERROR(VLOOKUP(B2940,'Pre-Summary'!$CR$6:$CT$36,3,FALSE),"")</f>
        <v/>
      </c>
      <c r="Z2940" s="45" t="str">
        <f>IFERROR(VLOOKUP(B2940,'Pre-Summary'!$BZ$6:$CB$63,2,FALSE),"")</f>
        <v/>
      </c>
      <c r="AA2940" s="45" t="str">
        <f>IFERROR(VLOOKUP(B2940,'Pre-Summary'!$CG$6:$CI$70,2,FALSE),"")</f>
        <v/>
      </c>
      <c r="AB2940" s="99">
        <f>IFERROR(VLOOKUP(B2940,'Pre-Summary'!$A$6:$P$178,9,FALSE),AB2941)</f>
        <v>0.7010379290946207</v>
      </c>
      <c r="AC2940" s="10">
        <f>IFERROR(VLOOKUP(Summary!B2940,'Pre-Summary'!$A$6:$P$184,5, FALSE)/100,AC2941)</f>
        <v>0.92607166666666674</v>
      </c>
      <c r="AD2940" s="10">
        <f>IFERROR(VLOOKUP(Summary!B2940,'Pre-Summary'!$A$6:$P$184,3, FALSE)/100,AD2941)</f>
        <v>5.4963666666666668E-2</v>
      </c>
      <c r="AE2940" s="10">
        <f>IFERROR(VLOOKUP(Summary!B2940,'Pre-Summary'!$A$6:$P$184,7, FALSE)/100,AE2941)</f>
        <v>1.8946666666666667E-2</v>
      </c>
      <c r="AF2940" s="99">
        <f t="shared" si="136"/>
        <v>3.8531615055447034E-2</v>
      </c>
      <c r="AG2940" s="99">
        <f t="shared" si="137"/>
        <v>1.3282331963246082E-2</v>
      </c>
      <c r="AH2940" s="10" t="str">
        <f>IFERROR(VLOOKUP(B2940,'Pre-Summary'!$AZ$6:$BE$65,3,FALSE),"")</f>
        <v/>
      </c>
      <c r="AI2940" s="10" t="str">
        <f>IFERROR(VLOOKUP(B2940,'Pre-Summary'!$AZ$6:$BE$65,5,FALSE),"")</f>
        <v/>
      </c>
      <c r="AJ2940" s="10" t="str">
        <f>IFERROR(VLOOKUP(B2940,'Pre-Summary'!$AZ$6:$BE$65,4,FALSE),"")</f>
        <v/>
      </c>
      <c r="AK2940" s="10" t="str">
        <f>IFERROR(VLOOKUP(B2940,'Pre-Summary'!$AZ$6:$BE$65,6,FALSE),"")</f>
        <v/>
      </c>
      <c r="AL2940" s="10" t="str">
        <f>IFERROR(VLOOKUP(B2940,'Pre-Summary'!$BG$6:$BL$44,3,FALSE),"")</f>
        <v/>
      </c>
      <c r="AM2940" s="10" t="str">
        <f>IFERROR(VLOOKUP(B2940,'Pre-Summary'!$BG$6:$BL$44,4,FALSE),"")</f>
        <v/>
      </c>
    </row>
    <row r="2941" spans="2:39" ht="15" customHeight="1" x14ac:dyDescent="0.3">
      <c r="B2941">
        <v>293.8</v>
      </c>
      <c r="C2941" t="str">
        <f>IFERROR(VLOOKUP(B2941,'Pre-Summary'!$DI$6:$DM$23,4,FALSE),"")</f>
        <v/>
      </c>
      <c r="D2941" s="10" t="str">
        <f>IFERROR(VLOOKUP(B2941,'Pre-Summary'!$AT$6:$AX$14,5,FALSE),D2940)</f>
        <v>Wolfe v3: went back to modified wolfe + EDTA and switched CuSO4 to CUCl2</v>
      </c>
      <c r="E2941" s="10" t="str">
        <f>IFERROR(VLOOKUP(B2941,'Pre-Summary'!$AT$6:$AX$15,4,FALSE),"")</f>
        <v/>
      </c>
      <c r="F2941">
        <f>IFERROR(VLOOKUP(B2941,'Pre-Summary'!$AL$6:$AQ$13,6,FALSE),F2940)</f>
        <v>5.9405263157894746E-2</v>
      </c>
      <c r="G2941" t="str">
        <f>IFERROR(VLOOKUP(B2941,'Pre-Summary'!$AE$6:$AJ$85,3,FALSE),"")</f>
        <v/>
      </c>
      <c r="H2941" t="str">
        <f>IFERROR(VLOOKUP(B2941,'Pre-Summary'!$AE$6:$AJ$85,4,FALSE),"")</f>
        <v/>
      </c>
      <c r="I2941" t="str">
        <f>IFERROR(VLOOKUP(B2941,'Pre-Summary'!$AE$6:$AJ$85,5,FALSE),"")</f>
        <v/>
      </c>
      <c r="J2941" s="45" t="str">
        <f>IFERROR(VLOOKUP(B2941,'Pre-Summary'!$AE$6:$AJ$85,6, FALSE),"")</f>
        <v/>
      </c>
      <c r="K2941" s="45" t="str">
        <f>IFERROR(VLOOKUP(B2941,'Pre-Summary'!$DE$6:$DG$61,3,FALSE),"")</f>
        <v/>
      </c>
      <c r="L2941" s="45" t="str">
        <f>IFERROR(VLOOKUP(B2941,'Pre-Summary'!$CU$6:$CW$36,3,FALSE),"")</f>
        <v/>
      </c>
      <c r="M2941" s="45" t="str">
        <f>IFERROR(VLOOKUP(B2941,'Pre-Summary'!$BW$6:$BY$58,2,FALSE),"")</f>
        <v/>
      </c>
      <c r="N2941" s="45" t="str">
        <f>IFERROR(VLOOKUP(B2941,'Pre-Summary'!$CD$6:$CF$64,2,FALSE),"")</f>
        <v/>
      </c>
      <c r="O2941" s="99">
        <f>IFERROR(VLOOKUP(B2941,'Pre-Summary'!$BO$6:$BQ$48,3, FALSE),O2940)</f>
        <v>2.77</v>
      </c>
      <c r="P2941" s="99">
        <f>IFERROR(VLOOKUP(B2941,'Pre-Summary'!$BS$6:$BU$35,3,FALSE),P2940)</f>
        <v>0.70099999999999996</v>
      </c>
      <c r="Q2941" s="54">
        <f t="shared" si="135"/>
        <v>3.9514978601997148</v>
      </c>
      <c r="R2941" s="53">
        <f>IFERROR(VLOOKUP(B2941,'Pre-Summary'!$BG$6:$BM$44,7,FALSE),R2942)</f>
        <v>0</v>
      </c>
      <c r="S2941" s="53" t="e">
        <f>VLOOKUP(B2941,'Pre-Summary'!$BG$6:$BM$44,6,FALSE)</f>
        <v>#N/A</v>
      </c>
      <c r="T2941" s="45" t="str">
        <f>IFERROR(VLOOKUP(B2941,'Pre-Summary'!$Y$6:$AC$83, 3,FALSE),"")</f>
        <v/>
      </c>
      <c r="U2941" s="45" t="str">
        <f>IFERROR(VLOOKUP(B2941,'Pre-Summary'!$Y$6:$AC$83, 4,FALSE),"")</f>
        <v/>
      </c>
      <c r="V2941" t="str">
        <f>IFERROR(VLOOKUP(B2941,'Pre-Summary'!$Y$6:$AC$83, 5,FALSE),"")</f>
        <v/>
      </c>
      <c r="W2941" s="45" t="str">
        <f>IFERROR(VLOOKUP(B2941,'Pre-Summary'!$Y$6:$AD$83,6,FALSE),"")</f>
        <v/>
      </c>
      <c r="X2941" t="str">
        <f>IFERROR(VLOOKUP('Pre-Summary'!$DB$6:$DD$63,3,FALSE),"")</f>
        <v/>
      </c>
      <c r="Y2941" t="str">
        <f>IFERROR(VLOOKUP(B2941,'Pre-Summary'!$CR$6:$CT$36,3,FALSE),"")</f>
        <v/>
      </c>
      <c r="Z2941" s="45" t="str">
        <f>IFERROR(VLOOKUP(B2941,'Pre-Summary'!$BZ$6:$CB$63,2,FALSE),"")</f>
        <v/>
      </c>
      <c r="AA2941" s="45" t="str">
        <f>IFERROR(VLOOKUP(B2941,'Pre-Summary'!$CG$6:$CI$70,2,FALSE),"")</f>
        <v/>
      </c>
      <c r="AB2941" s="99">
        <f>IFERROR(VLOOKUP(B2941,'Pre-Summary'!$A$6:$P$178,9,FALSE),AB2942)</f>
        <v>0.7010379290946207</v>
      </c>
      <c r="AC2941" s="10">
        <f>IFERROR(VLOOKUP(Summary!B2941,'Pre-Summary'!$A$6:$P$184,5, FALSE)/100,AC2942)</f>
        <v>0.92607166666666674</v>
      </c>
      <c r="AD2941" s="10">
        <f>IFERROR(VLOOKUP(Summary!B2941,'Pre-Summary'!$A$6:$P$184,3, FALSE)/100,AD2942)</f>
        <v>5.4963666666666668E-2</v>
      </c>
      <c r="AE2941" s="10">
        <f>IFERROR(VLOOKUP(Summary!B2941,'Pre-Summary'!$A$6:$P$184,7, FALSE)/100,AE2942)</f>
        <v>1.8946666666666667E-2</v>
      </c>
      <c r="AF2941" s="99">
        <f t="shared" si="136"/>
        <v>3.8531615055447034E-2</v>
      </c>
      <c r="AG2941" s="99">
        <f t="shared" si="137"/>
        <v>1.3282331963246082E-2</v>
      </c>
      <c r="AH2941" s="10" t="str">
        <f>IFERROR(VLOOKUP(B2941,'Pre-Summary'!$AZ$6:$BE$65,3,FALSE),"")</f>
        <v/>
      </c>
      <c r="AI2941" s="10" t="str">
        <f>IFERROR(VLOOKUP(B2941,'Pre-Summary'!$AZ$6:$BE$65,5,FALSE),"")</f>
        <v/>
      </c>
      <c r="AJ2941" s="10" t="str">
        <f>IFERROR(VLOOKUP(B2941,'Pre-Summary'!$AZ$6:$BE$65,4,FALSE),"")</f>
        <v/>
      </c>
      <c r="AK2941" s="10" t="str">
        <f>IFERROR(VLOOKUP(B2941,'Pre-Summary'!$AZ$6:$BE$65,6,FALSE),"")</f>
        <v/>
      </c>
      <c r="AL2941" s="10" t="str">
        <f>IFERROR(VLOOKUP(B2941,'Pre-Summary'!$BG$6:$BL$44,3,FALSE),"")</f>
        <v/>
      </c>
      <c r="AM2941" s="10" t="str">
        <f>IFERROR(VLOOKUP(B2941,'Pre-Summary'!$BG$6:$BL$44,4,FALSE),"")</f>
        <v/>
      </c>
    </row>
    <row r="2942" spans="2:39" ht="15" customHeight="1" x14ac:dyDescent="0.3">
      <c r="B2942">
        <v>293.89999999999998</v>
      </c>
      <c r="C2942" t="str">
        <f>IFERROR(VLOOKUP(B2942,'Pre-Summary'!$DI$6:$DM$23,4,FALSE),"")</f>
        <v/>
      </c>
      <c r="D2942" s="10" t="str">
        <f>IFERROR(VLOOKUP(B2942,'Pre-Summary'!$AT$6:$AX$14,5,FALSE),D2941)</f>
        <v>Wolfe v3: went back to modified wolfe + EDTA and switched CuSO4 to CUCl2</v>
      </c>
      <c r="E2942" s="10" t="str">
        <f>IFERROR(VLOOKUP(B2942,'Pre-Summary'!$AT$6:$AX$15,4,FALSE),"")</f>
        <v/>
      </c>
      <c r="F2942">
        <f>IFERROR(VLOOKUP(B2942,'Pre-Summary'!$AL$6:$AQ$13,6,FALSE),F2941)</f>
        <v>5.9405263157894746E-2</v>
      </c>
      <c r="G2942" t="str">
        <f>IFERROR(VLOOKUP(B2942,'Pre-Summary'!$AE$6:$AJ$85,3,FALSE),"")</f>
        <v/>
      </c>
      <c r="H2942" t="str">
        <f>IFERROR(VLOOKUP(B2942,'Pre-Summary'!$AE$6:$AJ$85,4,FALSE),"")</f>
        <v/>
      </c>
      <c r="I2942" t="str">
        <f>IFERROR(VLOOKUP(B2942,'Pre-Summary'!$AE$6:$AJ$85,5,FALSE),"")</f>
        <v/>
      </c>
      <c r="J2942" s="45" t="str">
        <f>IFERROR(VLOOKUP(B2942,'Pre-Summary'!$AE$6:$AJ$85,6, FALSE),"")</f>
        <v/>
      </c>
      <c r="K2942" s="45" t="str">
        <f>IFERROR(VLOOKUP(B2942,'Pre-Summary'!$DE$6:$DG$61,3,FALSE),"")</f>
        <v/>
      </c>
      <c r="L2942" s="45" t="str">
        <f>IFERROR(VLOOKUP(B2942,'Pre-Summary'!$CU$6:$CW$36,3,FALSE),"")</f>
        <v/>
      </c>
      <c r="M2942" s="45" t="str">
        <f>IFERROR(VLOOKUP(B2942,'Pre-Summary'!$BW$6:$BY$58,2,FALSE),"")</f>
        <v/>
      </c>
      <c r="N2942" s="45" t="str">
        <f>IFERROR(VLOOKUP(B2942,'Pre-Summary'!$CD$6:$CF$64,2,FALSE),"")</f>
        <v/>
      </c>
      <c r="O2942" s="99">
        <f>IFERROR(VLOOKUP(B2942,'Pre-Summary'!$BO$6:$BQ$48,3, FALSE),O2941)</f>
        <v>2.77</v>
      </c>
      <c r="P2942" s="99">
        <f>IFERROR(VLOOKUP(B2942,'Pre-Summary'!$BS$6:$BU$35,3,FALSE),P2941)</f>
        <v>0.70099999999999996</v>
      </c>
      <c r="Q2942" s="54">
        <f t="shared" si="135"/>
        <v>3.9514978601997148</v>
      </c>
      <c r="R2942" s="53">
        <f>IFERROR(VLOOKUP(B2942,'Pre-Summary'!$BG$6:$BM$44,7,FALSE),R2943)</f>
        <v>0</v>
      </c>
      <c r="S2942" s="53" t="e">
        <f>VLOOKUP(B2942,'Pre-Summary'!$BG$6:$BM$44,6,FALSE)</f>
        <v>#N/A</v>
      </c>
      <c r="T2942" s="45" t="str">
        <f>IFERROR(VLOOKUP(B2942,'Pre-Summary'!$Y$6:$AC$83, 3,FALSE),"")</f>
        <v/>
      </c>
      <c r="U2942" s="45" t="str">
        <f>IFERROR(VLOOKUP(B2942,'Pre-Summary'!$Y$6:$AC$83, 4,FALSE),"")</f>
        <v/>
      </c>
      <c r="V2942" t="str">
        <f>IFERROR(VLOOKUP(B2942,'Pre-Summary'!$Y$6:$AC$83, 5,FALSE),"")</f>
        <v/>
      </c>
      <c r="W2942" s="45" t="str">
        <f>IFERROR(VLOOKUP(B2942,'Pre-Summary'!$Y$6:$AD$83,6,FALSE),"")</f>
        <v/>
      </c>
      <c r="X2942" t="str">
        <f>IFERROR(VLOOKUP('Pre-Summary'!$DB$6:$DD$63,3,FALSE),"")</f>
        <v/>
      </c>
      <c r="Y2942" t="str">
        <f>IFERROR(VLOOKUP(B2942,'Pre-Summary'!$CR$6:$CT$36,3,FALSE),"")</f>
        <v/>
      </c>
      <c r="Z2942" s="45" t="str">
        <f>IFERROR(VLOOKUP(B2942,'Pre-Summary'!$BZ$6:$CB$63,2,FALSE),"")</f>
        <v/>
      </c>
      <c r="AA2942" s="45" t="str">
        <f>IFERROR(VLOOKUP(B2942,'Pre-Summary'!$CG$6:$CI$70,2,FALSE),"")</f>
        <v/>
      </c>
      <c r="AB2942" s="99">
        <f>IFERROR(VLOOKUP(B2942,'Pre-Summary'!$A$6:$P$178,9,FALSE),AB2943)</f>
        <v>0.7010379290946207</v>
      </c>
      <c r="AC2942" s="10">
        <f>IFERROR(VLOOKUP(Summary!B2942,'Pre-Summary'!$A$6:$P$184,5, FALSE)/100,AC2943)</f>
        <v>0.92607166666666674</v>
      </c>
      <c r="AD2942" s="10">
        <f>IFERROR(VLOOKUP(Summary!B2942,'Pre-Summary'!$A$6:$P$184,3, FALSE)/100,AD2943)</f>
        <v>5.4963666666666668E-2</v>
      </c>
      <c r="AE2942" s="10">
        <f>IFERROR(VLOOKUP(Summary!B2942,'Pre-Summary'!$A$6:$P$184,7, FALSE)/100,AE2943)</f>
        <v>1.8946666666666667E-2</v>
      </c>
      <c r="AF2942" s="99">
        <f t="shared" si="136"/>
        <v>3.8531615055447034E-2</v>
      </c>
      <c r="AG2942" s="99">
        <f t="shared" si="137"/>
        <v>1.3282331963246082E-2</v>
      </c>
      <c r="AH2942" s="10" t="str">
        <f>IFERROR(VLOOKUP(B2942,'Pre-Summary'!$AZ$6:$BE$65,3,FALSE),"")</f>
        <v/>
      </c>
      <c r="AI2942" s="10" t="str">
        <f>IFERROR(VLOOKUP(B2942,'Pre-Summary'!$AZ$6:$BE$65,5,FALSE),"")</f>
        <v/>
      </c>
      <c r="AJ2942" s="10" t="str">
        <f>IFERROR(VLOOKUP(B2942,'Pre-Summary'!$AZ$6:$BE$65,4,FALSE),"")</f>
        <v/>
      </c>
      <c r="AK2942" s="10" t="str">
        <f>IFERROR(VLOOKUP(B2942,'Pre-Summary'!$AZ$6:$BE$65,6,FALSE),"")</f>
        <v/>
      </c>
      <c r="AL2942" s="10" t="str">
        <f>IFERROR(VLOOKUP(B2942,'Pre-Summary'!$BG$6:$BL$44,3,FALSE),"")</f>
        <v/>
      </c>
      <c r="AM2942" s="10" t="str">
        <f>IFERROR(VLOOKUP(B2942,'Pre-Summary'!$BG$6:$BL$44,4,FALSE),"")</f>
        <v/>
      </c>
    </row>
    <row r="2943" spans="2:39" ht="15" customHeight="1" x14ac:dyDescent="0.3">
      <c r="B2943">
        <v>294</v>
      </c>
      <c r="C2943" t="str">
        <f>IFERROR(VLOOKUP(B2943,'Pre-Summary'!$DI$6:$DM$23,4,FALSE),"")</f>
        <v/>
      </c>
      <c r="D2943" s="10" t="str">
        <f>IFERROR(VLOOKUP(B2943,'Pre-Summary'!$AT$6:$AX$14,5,FALSE),D2942)</f>
        <v>Wolfe v3: went back to modified wolfe + EDTA and switched CuSO4 to CUCl2</v>
      </c>
      <c r="E2943" s="10" t="str">
        <f>IFERROR(VLOOKUP(B2943,'Pre-Summary'!$AT$6:$AX$15,4,FALSE),"")</f>
        <v/>
      </c>
      <c r="F2943">
        <f>IFERROR(VLOOKUP(B2943,'Pre-Summary'!$AL$6:$AQ$13,6,FALSE),F2942)</f>
        <v>5.9405263157894746E-2</v>
      </c>
      <c r="G2943" t="str">
        <f>IFERROR(VLOOKUP(B2943,'Pre-Summary'!$AE$6:$AJ$85,3,FALSE),"")</f>
        <v/>
      </c>
      <c r="H2943" t="str">
        <f>IFERROR(VLOOKUP(B2943,'Pre-Summary'!$AE$6:$AJ$85,4,FALSE),"")</f>
        <v/>
      </c>
      <c r="I2943" t="str">
        <f>IFERROR(VLOOKUP(B2943,'Pre-Summary'!$AE$6:$AJ$85,5,FALSE),"")</f>
        <v/>
      </c>
      <c r="J2943" s="45" t="str">
        <f>IFERROR(VLOOKUP(B2943,'Pre-Summary'!$AE$6:$AJ$85,6, FALSE),"")</f>
        <v/>
      </c>
      <c r="K2943" s="45" t="str">
        <f>IFERROR(VLOOKUP(B2943,'Pre-Summary'!$DE$6:$DG$61,3,FALSE),"")</f>
        <v/>
      </c>
      <c r="L2943" s="45" t="str">
        <f>IFERROR(VLOOKUP(B2943,'Pre-Summary'!$CU$6:$CW$36,3,FALSE),"")</f>
        <v/>
      </c>
      <c r="M2943" s="45" t="str">
        <f>IFERROR(VLOOKUP(B2943,'Pre-Summary'!$BW$6:$BY$58,2,FALSE),"")</f>
        <v/>
      </c>
      <c r="N2943" s="45" t="str">
        <f>IFERROR(VLOOKUP(B2943,'Pre-Summary'!$CD$6:$CF$64,2,FALSE),"")</f>
        <v/>
      </c>
      <c r="O2943" s="99">
        <f>IFERROR(VLOOKUP(B2943,'Pre-Summary'!$BO$6:$BQ$48,3, FALSE),O2942)</f>
        <v>2.77</v>
      </c>
      <c r="P2943" s="99">
        <f>IFERROR(VLOOKUP(B2943,'Pre-Summary'!$BS$6:$BU$35,3,FALSE),P2942)</f>
        <v>0.70099999999999996</v>
      </c>
      <c r="Q2943" s="54">
        <f t="shared" si="135"/>
        <v>3.9514978601997148</v>
      </c>
      <c r="R2943" s="53">
        <f>IFERROR(VLOOKUP(B2943,'Pre-Summary'!$BG$6:$BM$44,7,FALSE),R2944)</f>
        <v>0</v>
      </c>
      <c r="S2943" s="53" t="e">
        <f>VLOOKUP(B2943,'Pre-Summary'!$BG$6:$BM$44,6,FALSE)</f>
        <v>#N/A</v>
      </c>
      <c r="T2943" s="45" t="str">
        <f>IFERROR(VLOOKUP(B2943,'Pre-Summary'!$Y$6:$AC$83, 3,FALSE),"")</f>
        <v/>
      </c>
      <c r="U2943" s="45" t="str">
        <f>IFERROR(VLOOKUP(B2943,'Pre-Summary'!$Y$6:$AC$83, 4,FALSE),"")</f>
        <v/>
      </c>
      <c r="V2943" t="str">
        <f>IFERROR(VLOOKUP(B2943,'Pre-Summary'!$Y$6:$AC$83, 5,FALSE),"")</f>
        <v/>
      </c>
      <c r="W2943" s="45" t="str">
        <f>IFERROR(VLOOKUP(B2943,'Pre-Summary'!$Y$6:$AD$83,6,FALSE),"")</f>
        <v/>
      </c>
      <c r="X2943" t="str">
        <f>IFERROR(VLOOKUP('Pre-Summary'!$DB$6:$DD$63,3,FALSE),"")</f>
        <v/>
      </c>
      <c r="Y2943" t="str">
        <f>IFERROR(VLOOKUP(B2943,'Pre-Summary'!$CR$6:$CT$36,3,FALSE),"")</f>
        <v/>
      </c>
      <c r="Z2943" s="45" t="str">
        <f>IFERROR(VLOOKUP(B2943,'Pre-Summary'!$BZ$6:$CB$63,2,FALSE),"")</f>
        <v/>
      </c>
      <c r="AA2943" s="45" t="str">
        <f>IFERROR(VLOOKUP(B2943,'Pre-Summary'!$CG$6:$CI$70,2,FALSE),"")</f>
        <v/>
      </c>
      <c r="AB2943" s="99">
        <f>IFERROR(VLOOKUP(B2943,'Pre-Summary'!$A$6:$P$178,9,FALSE),AB2944)</f>
        <v>0.7010379290946207</v>
      </c>
      <c r="AC2943" s="10">
        <f>IFERROR(VLOOKUP(Summary!B2943,'Pre-Summary'!$A$6:$P$184,5, FALSE)/100,AC2944)</f>
        <v>0.92607166666666674</v>
      </c>
      <c r="AD2943" s="10">
        <f>IFERROR(VLOOKUP(Summary!B2943,'Pre-Summary'!$A$6:$P$184,3, FALSE)/100,AD2944)</f>
        <v>5.4963666666666668E-2</v>
      </c>
      <c r="AE2943" s="10">
        <f>IFERROR(VLOOKUP(Summary!B2943,'Pre-Summary'!$A$6:$P$184,7, FALSE)/100,AE2944)</f>
        <v>1.8946666666666667E-2</v>
      </c>
      <c r="AF2943" s="99">
        <f t="shared" si="136"/>
        <v>3.8531615055447034E-2</v>
      </c>
      <c r="AG2943" s="99">
        <f t="shared" si="137"/>
        <v>1.3282331963246082E-2</v>
      </c>
      <c r="AH2943" s="10" t="str">
        <f>IFERROR(VLOOKUP(B2943,'Pre-Summary'!$AZ$6:$BE$65,3,FALSE),"")</f>
        <v/>
      </c>
      <c r="AI2943" s="10" t="str">
        <f>IFERROR(VLOOKUP(B2943,'Pre-Summary'!$AZ$6:$BE$65,5,FALSE),"")</f>
        <v/>
      </c>
      <c r="AJ2943" s="10" t="str">
        <f>IFERROR(VLOOKUP(B2943,'Pre-Summary'!$AZ$6:$BE$65,4,FALSE),"")</f>
        <v/>
      </c>
      <c r="AK2943" s="10" t="str">
        <f>IFERROR(VLOOKUP(B2943,'Pre-Summary'!$AZ$6:$BE$65,6,FALSE),"")</f>
        <v/>
      </c>
      <c r="AL2943" s="10" t="str">
        <f>IFERROR(VLOOKUP(B2943,'Pre-Summary'!$BG$6:$BL$44,3,FALSE),"")</f>
        <v/>
      </c>
      <c r="AM2943" s="10" t="str">
        <f>IFERROR(VLOOKUP(B2943,'Pre-Summary'!$BG$6:$BL$44,4,FALSE),"")</f>
        <v/>
      </c>
    </row>
    <row r="2944" spans="2:39" ht="15" customHeight="1" x14ac:dyDescent="0.3">
      <c r="B2944">
        <v>294.10000000000002</v>
      </c>
      <c r="C2944" t="str">
        <f>IFERROR(VLOOKUP(B2944,'Pre-Summary'!$DI$6:$DM$23,4,FALSE),"")</f>
        <v/>
      </c>
      <c r="D2944" s="10" t="str">
        <f>IFERROR(VLOOKUP(B2944,'Pre-Summary'!$AT$6:$AX$14,5,FALSE),D2943)</f>
        <v>Wolfe v3: went back to modified wolfe + EDTA and switched CuSO4 to CUCl2</v>
      </c>
      <c r="E2944" s="10" t="str">
        <f>IFERROR(VLOOKUP(B2944,'Pre-Summary'!$AT$6:$AX$15,4,FALSE),"")</f>
        <v/>
      </c>
      <c r="F2944">
        <f>IFERROR(VLOOKUP(B2944,'Pre-Summary'!$AL$6:$AQ$13,6,FALSE),F2943)</f>
        <v>5.9405263157894746E-2</v>
      </c>
      <c r="G2944" t="str">
        <f>IFERROR(VLOOKUP(B2944,'Pre-Summary'!$AE$6:$AJ$85,3,FALSE),"")</f>
        <v/>
      </c>
      <c r="H2944" t="str">
        <f>IFERROR(VLOOKUP(B2944,'Pre-Summary'!$AE$6:$AJ$85,4,FALSE),"")</f>
        <v/>
      </c>
      <c r="I2944" t="str">
        <f>IFERROR(VLOOKUP(B2944,'Pre-Summary'!$AE$6:$AJ$85,5,FALSE),"")</f>
        <v/>
      </c>
      <c r="J2944" s="45" t="str">
        <f>IFERROR(VLOOKUP(B2944,'Pre-Summary'!$AE$6:$AJ$85,6, FALSE),"")</f>
        <v/>
      </c>
      <c r="K2944" s="45" t="str">
        <f>IFERROR(VLOOKUP(B2944,'Pre-Summary'!$DE$6:$DG$61,3,FALSE),"")</f>
        <v/>
      </c>
      <c r="L2944" s="45" t="str">
        <f>IFERROR(VLOOKUP(B2944,'Pre-Summary'!$CU$6:$CW$36,3,FALSE),"")</f>
        <v/>
      </c>
      <c r="M2944" s="45" t="str">
        <f>IFERROR(VLOOKUP(B2944,'Pre-Summary'!$BW$6:$BY$58,2,FALSE),"")</f>
        <v/>
      </c>
      <c r="N2944" s="45" t="str">
        <f>IFERROR(VLOOKUP(B2944,'Pre-Summary'!$CD$6:$CF$64,2,FALSE),"")</f>
        <v/>
      </c>
      <c r="O2944" s="99">
        <f>IFERROR(VLOOKUP(B2944,'Pre-Summary'!$BO$6:$BQ$48,3, FALSE),O2943)</f>
        <v>2.77</v>
      </c>
      <c r="P2944" s="99">
        <f>IFERROR(VLOOKUP(B2944,'Pre-Summary'!$BS$6:$BU$35,3,FALSE),P2943)</f>
        <v>0.70099999999999996</v>
      </c>
      <c r="Q2944" s="54">
        <f t="shared" si="135"/>
        <v>3.9514978601997148</v>
      </c>
      <c r="R2944" s="53">
        <f>IFERROR(VLOOKUP(B2944,'Pre-Summary'!$BG$6:$BM$44,7,FALSE),R2945)</f>
        <v>0</v>
      </c>
      <c r="S2944" s="53" t="e">
        <f>VLOOKUP(B2944,'Pre-Summary'!$BG$6:$BM$44,6,FALSE)</f>
        <v>#N/A</v>
      </c>
      <c r="T2944" s="45" t="str">
        <f>IFERROR(VLOOKUP(B2944,'Pre-Summary'!$Y$6:$AC$83, 3,FALSE),"")</f>
        <v/>
      </c>
      <c r="U2944" s="45" t="str">
        <f>IFERROR(VLOOKUP(B2944,'Pre-Summary'!$Y$6:$AC$83, 4,FALSE),"")</f>
        <v/>
      </c>
      <c r="V2944" t="str">
        <f>IFERROR(VLOOKUP(B2944,'Pre-Summary'!$Y$6:$AC$83, 5,FALSE),"")</f>
        <v/>
      </c>
      <c r="W2944" s="45" t="str">
        <f>IFERROR(VLOOKUP(B2944,'Pre-Summary'!$Y$6:$AD$83,6,FALSE),"")</f>
        <v/>
      </c>
      <c r="X2944" t="str">
        <f>IFERROR(VLOOKUP('Pre-Summary'!$DB$6:$DD$63,3,FALSE),"")</f>
        <v/>
      </c>
      <c r="Y2944" t="str">
        <f>IFERROR(VLOOKUP(B2944,'Pre-Summary'!$CR$6:$CT$36,3,FALSE),"")</f>
        <v/>
      </c>
      <c r="Z2944" s="45" t="str">
        <f>IFERROR(VLOOKUP(B2944,'Pre-Summary'!$BZ$6:$CB$63,2,FALSE),"")</f>
        <v/>
      </c>
      <c r="AA2944" s="45" t="str">
        <f>IFERROR(VLOOKUP(B2944,'Pre-Summary'!$CG$6:$CI$70,2,FALSE),"")</f>
        <v/>
      </c>
      <c r="AB2944" s="99">
        <f>IFERROR(VLOOKUP(B2944,'Pre-Summary'!$A$6:$P$178,9,FALSE),AB2945)</f>
        <v>0.7010379290946207</v>
      </c>
      <c r="AC2944" s="10">
        <f>IFERROR(VLOOKUP(Summary!B2944,'Pre-Summary'!$A$6:$P$184,5, FALSE)/100,AC2945)</f>
        <v>0.92607166666666674</v>
      </c>
      <c r="AD2944" s="10">
        <f>IFERROR(VLOOKUP(Summary!B2944,'Pre-Summary'!$A$6:$P$184,3, FALSE)/100,AD2945)</f>
        <v>5.4963666666666668E-2</v>
      </c>
      <c r="AE2944" s="10">
        <f>IFERROR(VLOOKUP(Summary!B2944,'Pre-Summary'!$A$6:$P$184,7, FALSE)/100,AE2945)</f>
        <v>1.8946666666666667E-2</v>
      </c>
      <c r="AF2944" s="99">
        <f t="shared" si="136"/>
        <v>3.8531615055447034E-2</v>
      </c>
      <c r="AG2944" s="99">
        <f t="shared" si="137"/>
        <v>1.3282331963246082E-2</v>
      </c>
      <c r="AH2944" s="10" t="str">
        <f>IFERROR(VLOOKUP(B2944,'Pre-Summary'!$AZ$6:$BE$65,3,FALSE),"")</f>
        <v/>
      </c>
      <c r="AI2944" s="10" t="str">
        <f>IFERROR(VLOOKUP(B2944,'Pre-Summary'!$AZ$6:$BE$65,5,FALSE),"")</f>
        <v/>
      </c>
      <c r="AJ2944" s="10" t="str">
        <f>IFERROR(VLOOKUP(B2944,'Pre-Summary'!$AZ$6:$BE$65,4,FALSE),"")</f>
        <v/>
      </c>
      <c r="AK2944" s="10" t="str">
        <f>IFERROR(VLOOKUP(B2944,'Pre-Summary'!$AZ$6:$BE$65,6,FALSE),"")</f>
        <v/>
      </c>
      <c r="AL2944" s="10" t="str">
        <f>IFERROR(VLOOKUP(B2944,'Pre-Summary'!$BG$6:$BL$44,3,FALSE),"")</f>
        <v/>
      </c>
      <c r="AM2944" s="10" t="str">
        <f>IFERROR(VLOOKUP(B2944,'Pre-Summary'!$BG$6:$BL$44,4,FALSE),"")</f>
        <v/>
      </c>
    </row>
    <row r="2945" spans="2:39" ht="15" customHeight="1" x14ac:dyDescent="0.3">
      <c r="B2945">
        <v>294.2</v>
      </c>
      <c r="C2945" t="str">
        <f>IFERROR(VLOOKUP(B2945,'Pre-Summary'!$DI$6:$DM$23,4,FALSE),"")</f>
        <v/>
      </c>
      <c r="D2945" s="10" t="str">
        <f>IFERROR(VLOOKUP(B2945,'Pre-Summary'!$AT$6:$AX$14,5,FALSE),D2944)</f>
        <v>Wolfe v3: went back to modified wolfe + EDTA and switched CuSO4 to CUCl2</v>
      </c>
      <c r="E2945" s="10" t="str">
        <f>IFERROR(VLOOKUP(B2945,'Pre-Summary'!$AT$6:$AX$15,4,FALSE),"")</f>
        <v/>
      </c>
      <c r="F2945">
        <f>IFERROR(VLOOKUP(B2945,'Pre-Summary'!$AL$6:$AQ$13,6,FALSE),F2944)</f>
        <v>5.9405263157894746E-2</v>
      </c>
      <c r="G2945" t="str">
        <f>IFERROR(VLOOKUP(B2945,'Pre-Summary'!$AE$6:$AJ$85,3,FALSE),"")</f>
        <v/>
      </c>
      <c r="H2945" t="str">
        <f>IFERROR(VLOOKUP(B2945,'Pre-Summary'!$AE$6:$AJ$85,4,FALSE),"")</f>
        <v/>
      </c>
      <c r="I2945" t="str">
        <f>IFERROR(VLOOKUP(B2945,'Pre-Summary'!$AE$6:$AJ$85,5,FALSE),"")</f>
        <v/>
      </c>
      <c r="J2945" s="45" t="str">
        <f>IFERROR(VLOOKUP(B2945,'Pre-Summary'!$AE$6:$AJ$85,6, FALSE),"")</f>
        <v/>
      </c>
      <c r="K2945" s="45" t="str">
        <f>IFERROR(VLOOKUP(B2945,'Pre-Summary'!$DE$6:$DG$61,3,FALSE),"")</f>
        <v/>
      </c>
      <c r="L2945" s="45" t="str">
        <f>IFERROR(VLOOKUP(B2945,'Pre-Summary'!$CU$6:$CW$36,3,FALSE),"")</f>
        <v/>
      </c>
      <c r="M2945" s="45" t="str">
        <f>IFERROR(VLOOKUP(B2945,'Pre-Summary'!$BW$6:$BY$58,2,FALSE),"")</f>
        <v/>
      </c>
      <c r="N2945" s="45" t="str">
        <f>IFERROR(VLOOKUP(B2945,'Pre-Summary'!$CD$6:$CF$64,2,FALSE),"")</f>
        <v/>
      </c>
      <c r="O2945" s="99">
        <f>IFERROR(VLOOKUP(B2945,'Pre-Summary'!$BO$6:$BQ$48,3, FALSE),O2944)</f>
        <v>2.77</v>
      </c>
      <c r="P2945" s="99">
        <f>IFERROR(VLOOKUP(B2945,'Pre-Summary'!$BS$6:$BU$35,3,FALSE),P2944)</f>
        <v>0.70099999999999996</v>
      </c>
      <c r="Q2945" s="54">
        <f t="shared" si="135"/>
        <v>3.9514978601997148</v>
      </c>
      <c r="R2945" s="53">
        <f>IFERROR(VLOOKUP(B2945,'Pre-Summary'!$BG$6:$BM$44,7,FALSE),R2946)</f>
        <v>0</v>
      </c>
      <c r="S2945" s="53" t="e">
        <f>VLOOKUP(B2945,'Pre-Summary'!$BG$6:$BM$44,6,FALSE)</f>
        <v>#N/A</v>
      </c>
      <c r="T2945" s="45" t="str">
        <f>IFERROR(VLOOKUP(B2945,'Pre-Summary'!$Y$6:$AC$83, 3,FALSE),"")</f>
        <v/>
      </c>
      <c r="U2945" s="45" t="str">
        <f>IFERROR(VLOOKUP(B2945,'Pre-Summary'!$Y$6:$AC$83, 4,FALSE),"")</f>
        <v/>
      </c>
      <c r="V2945" t="str">
        <f>IFERROR(VLOOKUP(B2945,'Pre-Summary'!$Y$6:$AC$83, 5,FALSE),"")</f>
        <v/>
      </c>
      <c r="W2945" s="45" t="str">
        <f>IFERROR(VLOOKUP(B2945,'Pre-Summary'!$Y$6:$AD$83,6,FALSE),"")</f>
        <v/>
      </c>
      <c r="X2945" t="str">
        <f>IFERROR(VLOOKUP('Pre-Summary'!$DB$6:$DD$63,3,FALSE),"")</f>
        <v/>
      </c>
      <c r="Y2945" t="str">
        <f>IFERROR(VLOOKUP(B2945,'Pre-Summary'!$CR$6:$CT$36,3,FALSE),"")</f>
        <v/>
      </c>
      <c r="Z2945" s="45" t="str">
        <f>IFERROR(VLOOKUP(B2945,'Pre-Summary'!$BZ$6:$CB$63,2,FALSE),"")</f>
        <v/>
      </c>
      <c r="AA2945" s="45" t="str">
        <f>IFERROR(VLOOKUP(B2945,'Pre-Summary'!$CG$6:$CI$70,2,FALSE),"")</f>
        <v/>
      </c>
      <c r="AB2945" s="99">
        <f>IFERROR(VLOOKUP(B2945,'Pre-Summary'!$A$6:$P$178,9,FALSE),AB2946)</f>
        <v>0.7010379290946207</v>
      </c>
      <c r="AC2945" s="10">
        <f>IFERROR(VLOOKUP(Summary!B2945,'Pre-Summary'!$A$6:$P$184,5, FALSE)/100,AC2946)</f>
        <v>0.92607166666666674</v>
      </c>
      <c r="AD2945" s="10">
        <f>IFERROR(VLOOKUP(Summary!B2945,'Pre-Summary'!$A$6:$P$184,3, FALSE)/100,AD2946)</f>
        <v>5.4963666666666668E-2</v>
      </c>
      <c r="AE2945" s="10">
        <f>IFERROR(VLOOKUP(Summary!B2945,'Pre-Summary'!$A$6:$P$184,7, FALSE)/100,AE2946)</f>
        <v>1.8946666666666667E-2</v>
      </c>
      <c r="AF2945" s="99">
        <f t="shared" si="136"/>
        <v>3.8531615055447034E-2</v>
      </c>
      <c r="AG2945" s="99">
        <f t="shared" si="137"/>
        <v>1.3282331963246082E-2</v>
      </c>
      <c r="AH2945" s="10" t="str">
        <f>IFERROR(VLOOKUP(B2945,'Pre-Summary'!$AZ$6:$BE$65,3,FALSE),"")</f>
        <v/>
      </c>
      <c r="AI2945" s="10" t="str">
        <f>IFERROR(VLOOKUP(B2945,'Pre-Summary'!$AZ$6:$BE$65,5,FALSE),"")</f>
        <v/>
      </c>
      <c r="AJ2945" s="10" t="str">
        <f>IFERROR(VLOOKUP(B2945,'Pre-Summary'!$AZ$6:$BE$65,4,FALSE),"")</f>
        <v/>
      </c>
      <c r="AK2945" s="10" t="str">
        <f>IFERROR(VLOOKUP(B2945,'Pre-Summary'!$AZ$6:$BE$65,6,FALSE),"")</f>
        <v/>
      </c>
      <c r="AL2945" s="10" t="str">
        <f>IFERROR(VLOOKUP(B2945,'Pre-Summary'!$BG$6:$BL$44,3,FALSE),"")</f>
        <v/>
      </c>
      <c r="AM2945" s="10" t="str">
        <f>IFERROR(VLOOKUP(B2945,'Pre-Summary'!$BG$6:$BL$44,4,FALSE),"")</f>
        <v/>
      </c>
    </row>
    <row r="2946" spans="2:39" ht="15" customHeight="1" x14ac:dyDescent="0.3">
      <c r="B2946">
        <v>294.3</v>
      </c>
      <c r="C2946" t="str">
        <f>IFERROR(VLOOKUP(B2946,'Pre-Summary'!$DI$6:$DM$23,4,FALSE),"")</f>
        <v/>
      </c>
      <c r="D2946" s="10" t="str">
        <f>IFERROR(VLOOKUP(B2946,'Pre-Summary'!$AT$6:$AX$14,5,FALSE),D2945)</f>
        <v>Wolfe v3: went back to modified wolfe + EDTA and switched CuSO4 to CUCl2</v>
      </c>
      <c r="E2946" s="10" t="str">
        <f>IFERROR(VLOOKUP(B2946,'Pre-Summary'!$AT$6:$AX$15,4,FALSE),"")</f>
        <v/>
      </c>
      <c r="F2946">
        <f>IFERROR(VLOOKUP(B2946,'Pre-Summary'!$AL$6:$AQ$13,6,FALSE),F2945)</f>
        <v>5.9405263157894746E-2</v>
      </c>
      <c r="G2946" t="str">
        <f>IFERROR(VLOOKUP(B2946,'Pre-Summary'!$AE$6:$AJ$85,3,FALSE),"")</f>
        <v/>
      </c>
      <c r="H2946" t="str">
        <f>IFERROR(VLOOKUP(B2946,'Pre-Summary'!$AE$6:$AJ$85,4,FALSE),"")</f>
        <v/>
      </c>
      <c r="I2946" t="str">
        <f>IFERROR(VLOOKUP(B2946,'Pre-Summary'!$AE$6:$AJ$85,5,FALSE),"")</f>
        <v/>
      </c>
      <c r="J2946" s="45" t="str">
        <f>IFERROR(VLOOKUP(B2946,'Pre-Summary'!$AE$6:$AJ$85,6, FALSE),"")</f>
        <v/>
      </c>
      <c r="K2946" s="45" t="str">
        <f>IFERROR(VLOOKUP(B2946,'Pre-Summary'!$DE$6:$DG$61,3,FALSE),"")</f>
        <v/>
      </c>
      <c r="L2946" s="45" t="str">
        <f>IFERROR(VLOOKUP(B2946,'Pre-Summary'!$CU$6:$CW$36,3,FALSE),"")</f>
        <v/>
      </c>
      <c r="M2946" s="45" t="str">
        <f>IFERROR(VLOOKUP(B2946,'Pre-Summary'!$BW$6:$BY$58,2,FALSE),"")</f>
        <v/>
      </c>
      <c r="N2946" s="45" t="str">
        <f>IFERROR(VLOOKUP(B2946,'Pre-Summary'!$CD$6:$CF$64,2,FALSE),"")</f>
        <v/>
      </c>
      <c r="O2946" s="99">
        <f>IFERROR(VLOOKUP(B2946,'Pre-Summary'!$BO$6:$BQ$48,3, FALSE),O2945)</f>
        <v>2.77</v>
      </c>
      <c r="P2946" s="99">
        <f>IFERROR(VLOOKUP(B2946,'Pre-Summary'!$BS$6:$BU$35,3,FALSE),P2945)</f>
        <v>0.70099999999999996</v>
      </c>
      <c r="Q2946" s="54">
        <f t="shared" si="135"/>
        <v>3.9514978601997148</v>
      </c>
      <c r="R2946" s="53">
        <f>IFERROR(VLOOKUP(B2946,'Pre-Summary'!$BG$6:$BM$44,7,FALSE),R2947)</f>
        <v>0</v>
      </c>
      <c r="S2946" s="53" t="e">
        <f>VLOOKUP(B2946,'Pre-Summary'!$BG$6:$BM$44,6,FALSE)</f>
        <v>#N/A</v>
      </c>
      <c r="T2946" s="45" t="str">
        <f>IFERROR(VLOOKUP(B2946,'Pre-Summary'!$Y$6:$AC$83, 3,FALSE),"")</f>
        <v/>
      </c>
      <c r="U2946" s="45" t="str">
        <f>IFERROR(VLOOKUP(B2946,'Pre-Summary'!$Y$6:$AC$83, 4,FALSE),"")</f>
        <v/>
      </c>
      <c r="V2946" t="str">
        <f>IFERROR(VLOOKUP(B2946,'Pre-Summary'!$Y$6:$AC$83, 5,FALSE),"")</f>
        <v/>
      </c>
      <c r="W2946" s="45" t="str">
        <f>IFERROR(VLOOKUP(B2946,'Pre-Summary'!$Y$6:$AD$83,6,FALSE),"")</f>
        <v/>
      </c>
      <c r="X2946" t="str">
        <f>IFERROR(VLOOKUP('Pre-Summary'!$DB$6:$DD$63,3,FALSE),"")</f>
        <v/>
      </c>
      <c r="Y2946" t="str">
        <f>IFERROR(VLOOKUP(B2946,'Pre-Summary'!$CR$6:$CT$36,3,FALSE),"")</f>
        <v/>
      </c>
      <c r="Z2946" s="45" t="str">
        <f>IFERROR(VLOOKUP(B2946,'Pre-Summary'!$BZ$6:$CB$63,2,FALSE),"")</f>
        <v/>
      </c>
      <c r="AA2946" s="45" t="str">
        <f>IFERROR(VLOOKUP(B2946,'Pre-Summary'!$CG$6:$CI$70,2,FALSE),"")</f>
        <v/>
      </c>
      <c r="AB2946" s="99">
        <f>IFERROR(VLOOKUP(B2946,'Pre-Summary'!$A$6:$P$178,9,FALSE),AB2947)</f>
        <v>1.111580281716571</v>
      </c>
      <c r="AC2946" s="10">
        <f>IFERROR(VLOOKUP(Summary!B2946,'Pre-Summary'!$A$6:$P$184,5, FALSE)/100,AC2947)</f>
        <v>0.87331200000000009</v>
      </c>
      <c r="AD2946" s="10">
        <f>IFERROR(VLOOKUP(Summary!B2946,'Pre-Summary'!$A$6:$P$184,3, FALSE)/100,AD2947)</f>
        <v>0.10613833333333333</v>
      </c>
      <c r="AE2946" s="10">
        <f>IFERROR(VLOOKUP(Summary!B2946,'Pre-Summary'!$A$6:$P$184,7, FALSE)/100,AE2947)</f>
        <v>2.0549666666666667E-2</v>
      </c>
      <c r="AF2946" s="99">
        <f t="shared" si="136"/>
        <v>0.11798127846759399</v>
      </c>
      <c r="AG2946" s="99">
        <f t="shared" si="137"/>
        <v>2.2842604262514964E-2</v>
      </c>
      <c r="AH2946" s="10" t="str">
        <f>IFERROR(VLOOKUP(B2946,'Pre-Summary'!$AZ$6:$BE$65,3,FALSE),"")</f>
        <v/>
      </c>
      <c r="AI2946" s="10" t="str">
        <f>IFERROR(VLOOKUP(B2946,'Pre-Summary'!$AZ$6:$BE$65,5,FALSE),"")</f>
        <v/>
      </c>
      <c r="AJ2946" s="10" t="str">
        <f>IFERROR(VLOOKUP(B2946,'Pre-Summary'!$AZ$6:$BE$65,4,FALSE),"")</f>
        <v/>
      </c>
      <c r="AK2946" s="10" t="str">
        <f>IFERROR(VLOOKUP(B2946,'Pre-Summary'!$AZ$6:$BE$65,6,FALSE),"")</f>
        <v/>
      </c>
      <c r="AL2946" s="10" t="str">
        <f>IFERROR(VLOOKUP(B2946,'Pre-Summary'!$BG$6:$BL$44,3,FALSE),"")</f>
        <v/>
      </c>
      <c r="AM2946" s="10" t="str">
        <f>IFERROR(VLOOKUP(B2946,'Pre-Summary'!$BG$6:$BL$44,4,FALSE),"")</f>
        <v/>
      </c>
    </row>
    <row r="2947" spans="2:39" ht="15" customHeight="1" x14ac:dyDescent="0.3">
      <c r="B2947">
        <v>294.39999999999998</v>
      </c>
      <c r="C2947" t="str">
        <f>IFERROR(VLOOKUP(B2947,'Pre-Summary'!$DI$6:$DM$23,4,FALSE),"")</f>
        <v/>
      </c>
      <c r="D2947" s="10" t="str">
        <f>IFERROR(VLOOKUP(B2947,'Pre-Summary'!$AT$6:$AX$14,5,FALSE),D2946)</f>
        <v>Wolfe v3: went back to modified wolfe + EDTA and switched CuSO4 to CUCl2</v>
      </c>
      <c r="E2947" s="10" t="str">
        <f>IFERROR(VLOOKUP(B2947,'Pre-Summary'!$AT$6:$AX$15,4,FALSE),"")</f>
        <v/>
      </c>
      <c r="F2947">
        <f>IFERROR(VLOOKUP(B2947,'Pre-Summary'!$AL$6:$AQ$13,6,FALSE),F2946)</f>
        <v>5.9405263157894746E-2</v>
      </c>
      <c r="G2947" t="str">
        <f>IFERROR(VLOOKUP(B2947,'Pre-Summary'!$AE$6:$AJ$85,3,FALSE),"")</f>
        <v/>
      </c>
      <c r="H2947" t="str">
        <f>IFERROR(VLOOKUP(B2947,'Pre-Summary'!$AE$6:$AJ$85,4,FALSE),"")</f>
        <v/>
      </c>
      <c r="I2947" t="str">
        <f>IFERROR(VLOOKUP(B2947,'Pre-Summary'!$AE$6:$AJ$85,5,FALSE),"")</f>
        <v/>
      </c>
      <c r="J2947" s="45" t="str">
        <f>IFERROR(VLOOKUP(B2947,'Pre-Summary'!$AE$6:$AJ$85,6, FALSE),"")</f>
        <v/>
      </c>
      <c r="K2947" s="45" t="str">
        <f>IFERROR(VLOOKUP(B2947,'Pre-Summary'!$DE$6:$DG$61,3,FALSE),"")</f>
        <v/>
      </c>
      <c r="L2947" s="45" t="str">
        <f>IFERROR(VLOOKUP(B2947,'Pre-Summary'!$CU$6:$CW$36,3,FALSE),"")</f>
        <v/>
      </c>
      <c r="M2947" s="45" t="str">
        <f>IFERROR(VLOOKUP(B2947,'Pre-Summary'!$BW$6:$BY$58,2,FALSE),"")</f>
        <v/>
      </c>
      <c r="N2947" s="45" t="str">
        <f>IFERROR(VLOOKUP(B2947,'Pre-Summary'!$CD$6:$CF$64,2,FALSE),"")</f>
        <v/>
      </c>
      <c r="O2947" s="99">
        <f>IFERROR(VLOOKUP(B2947,'Pre-Summary'!$BO$6:$BQ$48,3, FALSE),O2946)</f>
        <v>2.77</v>
      </c>
      <c r="P2947" s="99">
        <f>IFERROR(VLOOKUP(B2947,'Pre-Summary'!$BS$6:$BU$35,3,FALSE),P2946)</f>
        <v>0.70099999999999996</v>
      </c>
      <c r="Q2947" s="54">
        <f t="shared" ref="Q2947:Q3010" si="138">O2947/P2947</f>
        <v>3.9514978601997148</v>
      </c>
      <c r="R2947" s="53">
        <f>IFERROR(VLOOKUP(B2947,'Pre-Summary'!$BG$6:$BM$44,7,FALSE),R2948)</f>
        <v>0</v>
      </c>
      <c r="S2947" s="53" t="e">
        <f>VLOOKUP(B2947,'Pre-Summary'!$BG$6:$BM$44,6,FALSE)</f>
        <v>#N/A</v>
      </c>
      <c r="T2947" s="45" t="str">
        <f>IFERROR(VLOOKUP(B2947,'Pre-Summary'!$Y$6:$AC$83, 3,FALSE),"")</f>
        <v/>
      </c>
      <c r="U2947" s="45" t="str">
        <f>IFERROR(VLOOKUP(B2947,'Pre-Summary'!$Y$6:$AC$83, 4,FALSE),"")</f>
        <v/>
      </c>
      <c r="V2947" t="str">
        <f>IFERROR(VLOOKUP(B2947,'Pre-Summary'!$Y$6:$AC$83, 5,FALSE),"")</f>
        <v/>
      </c>
      <c r="W2947" s="45" t="str">
        <f>IFERROR(VLOOKUP(B2947,'Pre-Summary'!$Y$6:$AD$83,6,FALSE),"")</f>
        <v/>
      </c>
      <c r="X2947" t="str">
        <f>IFERROR(VLOOKUP('Pre-Summary'!$DB$6:$DD$63,3,FALSE),"")</f>
        <v/>
      </c>
      <c r="Y2947" t="str">
        <f>IFERROR(VLOOKUP(B2947,'Pre-Summary'!$CR$6:$CT$36,3,FALSE),"")</f>
        <v/>
      </c>
      <c r="Z2947" s="45" t="str">
        <f>IFERROR(VLOOKUP(B2947,'Pre-Summary'!$BZ$6:$CB$63,2,FALSE),"")</f>
        <v/>
      </c>
      <c r="AA2947" s="45" t="str">
        <f>IFERROR(VLOOKUP(B2947,'Pre-Summary'!$CG$6:$CI$70,2,FALSE),"")</f>
        <v/>
      </c>
      <c r="AB2947" s="99">
        <f>IFERROR(VLOOKUP(B2947,'Pre-Summary'!$A$6:$P$178,9,FALSE),AB2948)</f>
        <v>1.111580281716571</v>
      </c>
      <c r="AC2947" s="10">
        <f>IFERROR(VLOOKUP(Summary!B2947,'Pre-Summary'!$A$6:$P$184,5, FALSE)/100,AC2948)</f>
        <v>0.87331200000000009</v>
      </c>
      <c r="AD2947" s="10">
        <f>IFERROR(VLOOKUP(Summary!B2947,'Pre-Summary'!$A$6:$P$184,3, FALSE)/100,AD2948)</f>
        <v>0.10613833333333333</v>
      </c>
      <c r="AE2947" s="10">
        <f>IFERROR(VLOOKUP(Summary!B2947,'Pre-Summary'!$A$6:$P$184,7, FALSE)/100,AE2948)</f>
        <v>2.0549666666666667E-2</v>
      </c>
      <c r="AF2947" s="99">
        <f t="shared" ref="AF2947:AF3010" si="139">AD2947*AB2947</f>
        <v>0.11798127846759399</v>
      </c>
      <c r="AG2947" s="99">
        <f t="shared" ref="AG2947:AG3010" si="140">AB2947*AE2947</f>
        <v>2.2842604262514964E-2</v>
      </c>
      <c r="AH2947" s="10" t="str">
        <f>IFERROR(VLOOKUP(B2947,'Pre-Summary'!$AZ$6:$BE$65,3,FALSE),"")</f>
        <v/>
      </c>
      <c r="AI2947" s="10" t="str">
        <f>IFERROR(VLOOKUP(B2947,'Pre-Summary'!$AZ$6:$BE$65,5,FALSE),"")</f>
        <v/>
      </c>
      <c r="AJ2947" s="10" t="str">
        <f>IFERROR(VLOOKUP(B2947,'Pre-Summary'!$AZ$6:$BE$65,4,FALSE),"")</f>
        <v/>
      </c>
      <c r="AK2947" s="10" t="str">
        <f>IFERROR(VLOOKUP(B2947,'Pre-Summary'!$AZ$6:$BE$65,6,FALSE),"")</f>
        <v/>
      </c>
      <c r="AL2947" s="10" t="str">
        <f>IFERROR(VLOOKUP(B2947,'Pre-Summary'!$BG$6:$BL$44,3,FALSE),"")</f>
        <v/>
      </c>
      <c r="AM2947" s="10" t="str">
        <f>IFERROR(VLOOKUP(B2947,'Pre-Summary'!$BG$6:$BL$44,4,FALSE),"")</f>
        <v/>
      </c>
    </row>
    <row r="2948" spans="2:39" ht="15" customHeight="1" x14ac:dyDescent="0.3">
      <c r="B2948">
        <v>294.5</v>
      </c>
      <c r="C2948" t="str">
        <f>IFERROR(VLOOKUP(B2948,'Pre-Summary'!$DI$6:$DM$23,4,FALSE),"")</f>
        <v/>
      </c>
      <c r="D2948" s="10" t="str">
        <f>IFERROR(VLOOKUP(B2948,'Pre-Summary'!$AT$6:$AX$14,5,FALSE),D2947)</f>
        <v>Wolfe v3: went back to modified wolfe + EDTA and switched CuSO4 to CUCl2</v>
      </c>
      <c r="E2948" s="10" t="str">
        <f>IFERROR(VLOOKUP(B2948,'Pre-Summary'!$AT$6:$AX$15,4,FALSE),"")</f>
        <v/>
      </c>
      <c r="F2948">
        <f>IFERROR(VLOOKUP(B2948,'Pre-Summary'!$AL$6:$AQ$13,6,FALSE),F2947)</f>
        <v>5.9405263157894746E-2</v>
      </c>
      <c r="G2948" t="str">
        <f>IFERROR(VLOOKUP(B2948,'Pre-Summary'!$AE$6:$AJ$85,3,FALSE),"")</f>
        <v/>
      </c>
      <c r="H2948" t="str">
        <f>IFERROR(VLOOKUP(B2948,'Pre-Summary'!$AE$6:$AJ$85,4,FALSE),"")</f>
        <v/>
      </c>
      <c r="I2948" t="str">
        <f>IFERROR(VLOOKUP(B2948,'Pre-Summary'!$AE$6:$AJ$85,5,FALSE),"")</f>
        <v/>
      </c>
      <c r="J2948" s="45" t="str">
        <f>IFERROR(VLOOKUP(B2948,'Pre-Summary'!$AE$6:$AJ$85,6, FALSE),"")</f>
        <v/>
      </c>
      <c r="K2948" s="45" t="str">
        <f>IFERROR(VLOOKUP(B2948,'Pre-Summary'!$DE$6:$DG$61,3,FALSE),"")</f>
        <v/>
      </c>
      <c r="L2948" s="45" t="str">
        <f>IFERROR(VLOOKUP(B2948,'Pre-Summary'!$CU$6:$CW$36,3,FALSE),"")</f>
        <v/>
      </c>
      <c r="M2948" s="45" t="str">
        <f>IFERROR(VLOOKUP(B2948,'Pre-Summary'!$BW$6:$BY$58,2,FALSE),"")</f>
        <v/>
      </c>
      <c r="N2948" s="45" t="str">
        <f>IFERROR(VLOOKUP(B2948,'Pre-Summary'!$CD$6:$CF$64,2,FALSE),"")</f>
        <v/>
      </c>
      <c r="O2948" s="99">
        <f>IFERROR(VLOOKUP(B2948,'Pre-Summary'!$BO$6:$BQ$48,3, FALSE),O2947)</f>
        <v>2.77</v>
      </c>
      <c r="P2948" s="99">
        <f>IFERROR(VLOOKUP(B2948,'Pre-Summary'!$BS$6:$BU$35,3,FALSE),P2947)</f>
        <v>0.70099999999999996</v>
      </c>
      <c r="Q2948" s="54">
        <f t="shared" si="138"/>
        <v>3.9514978601997148</v>
      </c>
      <c r="R2948" s="53">
        <f>IFERROR(VLOOKUP(B2948,'Pre-Summary'!$BG$6:$BM$44,7,FALSE),R2949)</f>
        <v>0</v>
      </c>
      <c r="S2948" s="53" t="e">
        <f>VLOOKUP(B2948,'Pre-Summary'!$BG$6:$BM$44,6,FALSE)</f>
        <v>#N/A</v>
      </c>
      <c r="T2948" s="45" t="str">
        <f>IFERROR(VLOOKUP(B2948,'Pre-Summary'!$Y$6:$AC$83, 3,FALSE),"")</f>
        <v/>
      </c>
      <c r="U2948" s="45" t="str">
        <f>IFERROR(VLOOKUP(B2948,'Pre-Summary'!$Y$6:$AC$83, 4,FALSE),"")</f>
        <v/>
      </c>
      <c r="V2948" t="str">
        <f>IFERROR(VLOOKUP(B2948,'Pre-Summary'!$Y$6:$AC$83, 5,FALSE),"")</f>
        <v/>
      </c>
      <c r="W2948" s="45" t="str">
        <f>IFERROR(VLOOKUP(B2948,'Pre-Summary'!$Y$6:$AD$83,6,FALSE),"")</f>
        <v/>
      </c>
      <c r="X2948" t="str">
        <f>IFERROR(VLOOKUP('Pre-Summary'!$DB$6:$DD$63,3,FALSE),"")</f>
        <v/>
      </c>
      <c r="Y2948" t="str">
        <f>IFERROR(VLOOKUP(B2948,'Pre-Summary'!$CR$6:$CT$36,3,FALSE),"")</f>
        <v/>
      </c>
      <c r="Z2948" s="45" t="str">
        <f>IFERROR(VLOOKUP(B2948,'Pre-Summary'!$BZ$6:$CB$63,2,FALSE),"")</f>
        <v/>
      </c>
      <c r="AA2948" s="45" t="str">
        <f>IFERROR(VLOOKUP(B2948,'Pre-Summary'!$CG$6:$CI$70,2,FALSE),"")</f>
        <v/>
      </c>
      <c r="AB2948" s="99">
        <f>IFERROR(VLOOKUP(B2948,'Pre-Summary'!$A$6:$P$178,9,FALSE),AB2949)</f>
        <v>1.111580281716571</v>
      </c>
      <c r="AC2948" s="10">
        <f>IFERROR(VLOOKUP(Summary!B2948,'Pre-Summary'!$A$6:$P$184,5, FALSE)/100,AC2949)</f>
        <v>0.87331200000000009</v>
      </c>
      <c r="AD2948" s="10">
        <f>IFERROR(VLOOKUP(Summary!B2948,'Pre-Summary'!$A$6:$P$184,3, FALSE)/100,AD2949)</f>
        <v>0.10613833333333333</v>
      </c>
      <c r="AE2948" s="10">
        <f>IFERROR(VLOOKUP(Summary!B2948,'Pre-Summary'!$A$6:$P$184,7, FALSE)/100,AE2949)</f>
        <v>2.0549666666666667E-2</v>
      </c>
      <c r="AF2948" s="99">
        <f t="shared" si="139"/>
        <v>0.11798127846759399</v>
      </c>
      <c r="AG2948" s="99">
        <f t="shared" si="140"/>
        <v>2.2842604262514964E-2</v>
      </c>
      <c r="AH2948" s="10" t="str">
        <f>IFERROR(VLOOKUP(B2948,'Pre-Summary'!$AZ$6:$BE$65,3,FALSE),"")</f>
        <v/>
      </c>
      <c r="AI2948" s="10" t="str">
        <f>IFERROR(VLOOKUP(B2948,'Pre-Summary'!$AZ$6:$BE$65,5,FALSE),"")</f>
        <v/>
      </c>
      <c r="AJ2948" s="10" t="str">
        <f>IFERROR(VLOOKUP(B2948,'Pre-Summary'!$AZ$6:$BE$65,4,FALSE),"")</f>
        <v/>
      </c>
      <c r="AK2948" s="10" t="str">
        <f>IFERROR(VLOOKUP(B2948,'Pre-Summary'!$AZ$6:$BE$65,6,FALSE),"")</f>
        <v/>
      </c>
      <c r="AL2948" s="10" t="str">
        <f>IFERROR(VLOOKUP(B2948,'Pre-Summary'!$BG$6:$BL$44,3,FALSE),"")</f>
        <v/>
      </c>
      <c r="AM2948" s="10" t="str">
        <f>IFERROR(VLOOKUP(B2948,'Pre-Summary'!$BG$6:$BL$44,4,FALSE),"")</f>
        <v/>
      </c>
    </row>
    <row r="2949" spans="2:39" ht="15" customHeight="1" x14ac:dyDescent="0.3">
      <c r="B2949">
        <v>294.60000000000002</v>
      </c>
      <c r="C2949" t="str">
        <f>IFERROR(VLOOKUP(B2949,'Pre-Summary'!$DI$6:$DM$23,4,FALSE),"")</f>
        <v/>
      </c>
      <c r="D2949" s="10" t="str">
        <f>IFERROR(VLOOKUP(B2949,'Pre-Summary'!$AT$6:$AX$14,5,FALSE),D2948)</f>
        <v>Wolfe v3: went back to modified wolfe + EDTA and switched CuSO4 to CUCl2</v>
      </c>
      <c r="E2949" s="10" t="str">
        <f>IFERROR(VLOOKUP(B2949,'Pre-Summary'!$AT$6:$AX$15,4,FALSE),"")</f>
        <v/>
      </c>
      <c r="F2949">
        <f>IFERROR(VLOOKUP(B2949,'Pre-Summary'!$AL$6:$AQ$13,6,FALSE),F2948)</f>
        <v>5.9405263157894746E-2</v>
      </c>
      <c r="G2949" t="str">
        <f>IFERROR(VLOOKUP(B2949,'Pre-Summary'!$AE$6:$AJ$85,3,FALSE),"")</f>
        <v/>
      </c>
      <c r="H2949" t="str">
        <f>IFERROR(VLOOKUP(B2949,'Pre-Summary'!$AE$6:$AJ$85,4,FALSE),"")</f>
        <v/>
      </c>
      <c r="I2949" t="str">
        <f>IFERROR(VLOOKUP(B2949,'Pre-Summary'!$AE$6:$AJ$85,5,FALSE),"")</f>
        <v/>
      </c>
      <c r="J2949" s="45" t="str">
        <f>IFERROR(VLOOKUP(B2949,'Pre-Summary'!$AE$6:$AJ$85,6, FALSE),"")</f>
        <v/>
      </c>
      <c r="K2949" s="45" t="str">
        <f>IFERROR(VLOOKUP(B2949,'Pre-Summary'!$DE$6:$DG$61,3,FALSE),"")</f>
        <v/>
      </c>
      <c r="L2949" s="45" t="str">
        <f>IFERROR(VLOOKUP(B2949,'Pre-Summary'!$CU$6:$CW$36,3,FALSE),"")</f>
        <v/>
      </c>
      <c r="M2949" s="45" t="str">
        <f>IFERROR(VLOOKUP(B2949,'Pre-Summary'!$BW$6:$BY$58,2,FALSE),"")</f>
        <v/>
      </c>
      <c r="N2949" s="45" t="str">
        <f>IFERROR(VLOOKUP(B2949,'Pre-Summary'!$CD$6:$CF$64,2,FALSE),"")</f>
        <v/>
      </c>
      <c r="O2949" s="99">
        <f>IFERROR(VLOOKUP(B2949,'Pre-Summary'!$BO$6:$BQ$48,3, FALSE),O2948)</f>
        <v>2.77</v>
      </c>
      <c r="P2949" s="99">
        <f>IFERROR(VLOOKUP(B2949,'Pre-Summary'!$BS$6:$BU$35,3,FALSE),P2948)</f>
        <v>0.70099999999999996</v>
      </c>
      <c r="Q2949" s="54">
        <f t="shared" si="138"/>
        <v>3.9514978601997148</v>
      </c>
      <c r="R2949" s="53">
        <f>IFERROR(VLOOKUP(B2949,'Pre-Summary'!$BG$6:$BM$44,7,FALSE),R2950)</f>
        <v>0</v>
      </c>
      <c r="S2949" s="53" t="e">
        <f>VLOOKUP(B2949,'Pre-Summary'!$BG$6:$BM$44,6,FALSE)</f>
        <v>#N/A</v>
      </c>
      <c r="T2949" s="45" t="str">
        <f>IFERROR(VLOOKUP(B2949,'Pre-Summary'!$Y$6:$AC$83, 3,FALSE),"")</f>
        <v/>
      </c>
      <c r="U2949" s="45" t="str">
        <f>IFERROR(VLOOKUP(B2949,'Pre-Summary'!$Y$6:$AC$83, 4,FALSE),"")</f>
        <v/>
      </c>
      <c r="V2949" t="str">
        <f>IFERROR(VLOOKUP(B2949,'Pre-Summary'!$Y$6:$AC$83, 5,FALSE),"")</f>
        <v/>
      </c>
      <c r="W2949" s="45" t="str">
        <f>IFERROR(VLOOKUP(B2949,'Pre-Summary'!$Y$6:$AD$83,6,FALSE),"")</f>
        <v/>
      </c>
      <c r="X2949" t="str">
        <f>IFERROR(VLOOKUP('Pre-Summary'!$DB$6:$DD$63,3,FALSE),"")</f>
        <v/>
      </c>
      <c r="Y2949" t="str">
        <f>IFERROR(VLOOKUP(B2949,'Pre-Summary'!$CR$6:$CT$36,3,FALSE),"")</f>
        <v/>
      </c>
      <c r="Z2949" s="45" t="str">
        <f>IFERROR(VLOOKUP(B2949,'Pre-Summary'!$BZ$6:$CB$63,2,FALSE),"")</f>
        <v/>
      </c>
      <c r="AA2949" s="45" t="str">
        <f>IFERROR(VLOOKUP(B2949,'Pre-Summary'!$CG$6:$CI$70,2,FALSE),"")</f>
        <v/>
      </c>
      <c r="AB2949" s="99">
        <f>IFERROR(VLOOKUP(B2949,'Pre-Summary'!$A$6:$P$178,9,FALSE),AB2950)</f>
        <v>1.111580281716571</v>
      </c>
      <c r="AC2949" s="10">
        <f>IFERROR(VLOOKUP(Summary!B2949,'Pre-Summary'!$A$6:$P$184,5, FALSE)/100,AC2950)</f>
        <v>0.87331200000000009</v>
      </c>
      <c r="AD2949" s="10">
        <f>IFERROR(VLOOKUP(Summary!B2949,'Pre-Summary'!$A$6:$P$184,3, FALSE)/100,AD2950)</f>
        <v>0.10613833333333333</v>
      </c>
      <c r="AE2949" s="10">
        <f>IFERROR(VLOOKUP(Summary!B2949,'Pre-Summary'!$A$6:$P$184,7, FALSE)/100,AE2950)</f>
        <v>2.0549666666666667E-2</v>
      </c>
      <c r="AF2949" s="99">
        <f t="shared" si="139"/>
        <v>0.11798127846759399</v>
      </c>
      <c r="AG2949" s="99">
        <f t="shared" si="140"/>
        <v>2.2842604262514964E-2</v>
      </c>
      <c r="AH2949" s="10" t="str">
        <f>IFERROR(VLOOKUP(B2949,'Pre-Summary'!$AZ$6:$BE$65,3,FALSE),"")</f>
        <v/>
      </c>
      <c r="AI2949" s="10" t="str">
        <f>IFERROR(VLOOKUP(B2949,'Pre-Summary'!$AZ$6:$BE$65,5,FALSE),"")</f>
        <v/>
      </c>
      <c r="AJ2949" s="10" t="str">
        <f>IFERROR(VLOOKUP(B2949,'Pre-Summary'!$AZ$6:$BE$65,4,FALSE),"")</f>
        <v/>
      </c>
      <c r="AK2949" s="10" t="str">
        <f>IFERROR(VLOOKUP(B2949,'Pre-Summary'!$AZ$6:$BE$65,6,FALSE),"")</f>
        <v/>
      </c>
      <c r="AL2949" s="10" t="str">
        <f>IFERROR(VLOOKUP(B2949,'Pre-Summary'!$BG$6:$BL$44,3,FALSE),"")</f>
        <v/>
      </c>
      <c r="AM2949" s="10" t="str">
        <f>IFERROR(VLOOKUP(B2949,'Pre-Summary'!$BG$6:$BL$44,4,FALSE),"")</f>
        <v/>
      </c>
    </row>
    <row r="2950" spans="2:39" ht="15" customHeight="1" x14ac:dyDescent="0.3">
      <c r="B2950">
        <v>294.7</v>
      </c>
      <c r="C2950" t="str">
        <f>IFERROR(VLOOKUP(B2950,'Pre-Summary'!$DI$6:$DM$23,4,FALSE),"")</f>
        <v/>
      </c>
      <c r="D2950" s="10" t="str">
        <f>IFERROR(VLOOKUP(B2950,'Pre-Summary'!$AT$6:$AX$14,5,FALSE),D2949)</f>
        <v>Wolfe v3: went back to modified wolfe + EDTA and switched CuSO4 to CUCl2</v>
      </c>
      <c r="E2950" s="10" t="str">
        <f>IFERROR(VLOOKUP(B2950,'Pre-Summary'!$AT$6:$AX$15,4,FALSE),"")</f>
        <v/>
      </c>
      <c r="F2950">
        <f>IFERROR(VLOOKUP(B2950,'Pre-Summary'!$AL$6:$AQ$13,6,FALSE),F2949)</f>
        <v>5.9405263157894746E-2</v>
      </c>
      <c r="G2950" t="str">
        <f>IFERROR(VLOOKUP(B2950,'Pre-Summary'!$AE$6:$AJ$85,3,FALSE),"")</f>
        <v/>
      </c>
      <c r="H2950" t="str">
        <f>IFERROR(VLOOKUP(B2950,'Pre-Summary'!$AE$6:$AJ$85,4,FALSE),"")</f>
        <v/>
      </c>
      <c r="I2950" t="str">
        <f>IFERROR(VLOOKUP(B2950,'Pre-Summary'!$AE$6:$AJ$85,5,FALSE),"")</f>
        <v/>
      </c>
      <c r="J2950" s="45" t="str">
        <f>IFERROR(VLOOKUP(B2950,'Pre-Summary'!$AE$6:$AJ$85,6, FALSE),"")</f>
        <v/>
      </c>
      <c r="K2950" s="45" t="str">
        <f>IFERROR(VLOOKUP(B2950,'Pre-Summary'!$DE$6:$DG$61,3,FALSE),"")</f>
        <v/>
      </c>
      <c r="L2950" s="45" t="str">
        <f>IFERROR(VLOOKUP(B2950,'Pre-Summary'!$CU$6:$CW$36,3,FALSE),"")</f>
        <v/>
      </c>
      <c r="M2950" s="45" t="str">
        <f>IFERROR(VLOOKUP(B2950,'Pre-Summary'!$BW$6:$BY$58,2,FALSE),"")</f>
        <v/>
      </c>
      <c r="N2950" s="45" t="str">
        <f>IFERROR(VLOOKUP(B2950,'Pre-Summary'!$CD$6:$CF$64,2,FALSE),"")</f>
        <v/>
      </c>
      <c r="O2950" s="99">
        <f>IFERROR(VLOOKUP(B2950,'Pre-Summary'!$BO$6:$BQ$48,3, FALSE),O2949)</f>
        <v>2.77</v>
      </c>
      <c r="P2950" s="99">
        <f>IFERROR(VLOOKUP(B2950,'Pre-Summary'!$BS$6:$BU$35,3,FALSE),P2949)</f>
        <v>0.70099999999999996</v>
      </c>
      <c r="Q2950" s="54">
        <f t="shared" si="138"/>
        <v>3.9514978601997148</v>
      </c>
      <c r="R2950" s="53">
        <f>IFERROR(VLOOKUP(B2950,'Pre-Summary'!$BG$6:$BM$44,7,FALSE),R2951)</f>
        <v>0</v>
      </c>
      <c r="S2950" s="53" t="e">
        <f>VLOOKUP(B2950,'Pre-Summary'!$BG$6:$BM$44,6,FALSE)</f>
        <v>#N/A</v>
      </c>
      <c r="T2950" s="45" t="str">
        <f>IFERROR(VLOOKUP(B2950,'Pre-Summary'!$Y$6:$AC$83, 3,FALSE),"")</f>
        <v/>
      </c>
      <c r="U2950" s="45" t="str">
        <f>IFERROR(VLOOKUP(B2950,'Pre-Summary'!$Y$6:$AC$83, 4,FALSE),"")</f>
        <v/>
      </c>
      <c r="V2950" t="str">
        <f>IFERROR(VLOOKUP(B2950,'Pre-Summary'!$Y$6:$AC$83, 5,FALSE),"")</f>
        <v/>
      </c>
      <c r="W2950" s="45" t="str">
        <f>IFERROR(VLOOKUP(B2950,'Pre-Summary'!$Y$6:$AD$83,6,FALSE),"")</f>
        <v/>
      </c>
      <c r="X2950" t="str">
        <f>IFERROR(VLOOKUP('Pre-Summary'!$DB$6:$DD$63,3,FALSE),"")</f>
        <v/>
      </c>
      <c r="Y2950" t="str">
        <f>IFERROR(VLOOKUP(B2950,'Pre-Summary'!$CR$6:$CT$36,3,FALSE),"")</f>
        <v/>
      </c>
      <c r="Z2950" s="45" t="str">
        <f>IFERROR(VLOOKUP(B2950,'Pre-Summary'!$BZ$6:$CB$63,2,FALSE),"")</f>
        <v/>
      </c>
      <c r="AA2950" s="45" t="str">
        <f>IFERROR(VLOOKUP(B2950,'Pre-Summary'!$CG$6:$CI$70,2,FALSE),"")</f>
        <v/>
      </c>
      <c r="AB2950" s="99">
        <f>IFERROR(VLOOKUP(B2950,'Pre-Summary'!$A$6:$P$178,9,FALSE),AB2951)</f>
        <v>1.111580281716571</v>
      </c>
      <c r="AC2950" s="10">
        <f>IFERROR(VLOOKUP(Summary!B2950,'Pre-Summary'!$A$6:$P$184,5, FALSE)/100,AC2951)</f>
        <v>0.87331200000000009</v>
      </c>
      <c r="AD2950" s="10">
        <f>IFERROR(VLOOKUP(Summary!B2950,'Pre-Summary'!$A$6:$P$184,3, FALSE)/100,AD2951)</f>
        <v>0.10613833333333333</v>
      </c>
      <c r="AE2950" s="10">
        <f>IFERROR(VLOOKUP(Summary!B2950,'Pre-Summary'!$A$6:$P$184,7, FALSE)/100,AE2951)</f>
        <v>2.0549666666666667E-2</v>
      </c>
      <c r="AF2950" s="99">
        <f t="shared" si="139"/>
        <v>0.11798127846759399</v>
      </c>
      <c r="AG2950" s="99">
        <f t="shared" si="140"/>
        <v>2.2842604262514964E-2</v>
      </c>
      <c r="AH2950" s="10" t="str">
        <f>IFERROR(VLOOKUP(B2950,'Pre-Summary'!$AZ$6:$BE$65,3,FALSE),"")</f>
        <v/>
      </c>
      <c r="AI2950" s="10" t="str">
        <f>IFERROR(VLOOKUP(B2950,'Pre-Summary'!$AZ$6:$BE$65,5,FALSE),"")</f>
        <v/>
      </c>
      <c r="AJ2950" s="10" t="str">
        <f>IFERROR(VLOOKUP(B2950,'Pre-Summary'!$AZ$6:$BE$65,4,FALSE),"")</f>
        <v/>
      </c>
      <c r="AK2950" s="10" t="str">
        <f>IFERROR(VLOOKUP(B2950,'Pre-Summary'!$AZ$6:$BE$65,6,FALSE),"")</f>
        <v/>
      </c>
      <c r="AL2950" s="10" t="str">
        <f>IFERROR(VLOOKUP(B2950,'Pre-Summary'!$BG$6:$BL$44,3,FALSE),"")</f>
        <v/>
      </c>
      <c r="AM2950" s="10" t="str">
        <f>IFERROR(VLOOKUP(B2950,'Pre-Summary'!$BG$6:$BL$44,4,FALSE),"")</f>
        <v/>
      </c>
    </row>
    <row r="2951" spans="2:39" ht="15" customHeight="1" x14ac:dyDescent="0.3">
      <c r="B2951">
        <v>294.8</v>
      </c>
      <c r="C2951" t="str">
        <f>IFERROR(VLOOKUP(B2951,'Pre-Summary'!$DI$6:$DM$23,4,FALSE),"")</f>
        <v/>
      </c>
      <c r="D2951" s="10" t="str">
        <f>IFERROR(VLOOKUP(B2951,'Pre-Summary'!$AT$6:$AX$14,5,FALSE),D2950)</f>
        <v>Wolfe v3: went back to modified wolfe + EDTA and switched CuSO4 to CUCl2</v>
      </c>
      <c r="E2951" s="10" t="str">
        <f>IFERROR(VLOOKUP(B2951,'Pre-Summary'!$AT$6:$AX$15,4,FALSE),"")</f>
        <v/>
      </c>
      <c r="F2951">
        <f>IFERROR(VLOOKUP(B2951,'Pre-Summary'!$AL$6:$AQ$13,6,FALSE),F2950)</f>
        <v>5.9405263157894746E-2</v>
      </c>
      <c r="G2951" t="str">
        <f>IFERROR(VLOOKUP(B2951,'Pre-Summary'!$AE$6:$AJ$85,3,FALSE),"")</f>
        <v/>
      </c>
      <c r="H2951" t="str">
        <f>IFERROR(VLOOKUP(B2951,'Pre-Summary'!$AE$6:$AJ$85,4,FALSE),"")</f>
        <v/>
      </c>
      <c r="I2951" t="str">
        <f>IFERROR(VLOOKUP(B2951,'Pre-Summary'!$AE$6:$AJ$85,5,FALSE),"")</f>
        <v/>
      </c>
      <c r="J2951" s="45" t="str">
        <f>IFERROR(VLOOKUP(B2951,'Pre-Summary'!$AE$6:$AJ$85,6, FALSE),"")</f>
        <v/>
      </c>
      <c r="K2951" s="45" t="str">
        <f>IFERROR(VLOOKUP(B2951,'Pre-Summary'!$DE$6:$DG$61,3,FALSE),"")</f>
        <v/>
      </c>
      <c r="L2951" s="45" t="str">
        <f>IFERROR(VLOOKUP(B2951,'Pre-Summary'!$CU$6:$CW$36,3,FALSE),"")</f>
        <v/>
      </c>
      <c r="M2951" s="45" t="str">
        <f>IFERROR(VLOOKUP(B2951,'Pre-Summary'!$BW$6:$BY$58,2,FALSE),"")</f>
        <v/>
      </c>
      <c r="N2951" s="45" t="str">
        <f>IFERROR(VLOOKUP(B2951,'Pre-Summary'!$CD$6:$CF$64,2,FALSE),"")</f>
        <v/>
      </c>
      <c r="O2951" s="99">
        <f>IFERROR(VLOOKUP(B2951,'Pre-Summary'!$BO$6:$BQ$48,3, FALSE),O2950)</f>
        <v>2.77</v>
      </c>
      <c r="P2951" s="99">
        <f>IFERROR(VLOOKUP(B2951,'Pre-Summary'!$BS$6:$BU$35,3,FALSE),P2950)</f>
        <v>0.70099999999999996</v>
      </c>
      <c r="Q2951" s="54">
        <f t="shared" si="138"/>
        <v>3.9514978601997148</v>
      </c>
      <c r="R2951" s="53">
        <f>IFERROR(VLOOKUP(B2951,'Pre-Summary'!$BG$6:$BM$44,7,FALSE),R2952)</f>
        <v>0</v>
      </c>
      <c r="S2951" s="53" t="e">
        <f>VLOOKUP(B2951,'Pre-Summary'!$BG$6:$BM$44,6,FALSE)</f>
        <v>#N/A</v>
      </c>
      <c r="T2951" s="45" t="str">
        <f>IFERROR(VLOOKUP(B2951,'Pre-Summary'!$Y$6:$AC$83, 3,FALSE),"")</f>
        <v/>
      </c>
      <c r="U2951" s="45" t="str">
        <f>IFERROR(VLOOKUP(B2951,'Pre-Summary'!$Y$6:$AC$83, 4,FALSE),"")</f>
        <v/>
      </c>
      <c r="V2951" t="str">
        <f>IFERROR(VLOOKUP(B2951,'Pre-Summary'!$Y$6:$AC$83, 5,FALSE),"")</f>
        <v/>
      </c>
      <c r="W2951" s="45" t="str">
        <f>IFERROR(VLOOKUP(B2951,'Pre-Summary'!$Y$6:$AD$83,6,FALSE),"")</f>
        <v/>
      </c>
      <c r="X2951" t="str">
        <f>IFERROR(VLOOKUP('Pre-Summary'!$DB$6:$DD$63,3,FALSE),"")</f>
        <v/>
      </c>
      <c r="Y2951" t="str">
        <f>IFERROR(VLOOKUP(B2951,'Pre-Summary'!$CR$6:$CT$36,3,FALSE),"")</f>
        <v/>
      </c>
      <c r="Z2951" s="45" t="str">
        <f>IFERROR(VLOOKUP(B2951,'Pre-Summary'!$BZ$6:$CB$63,2,FALSE),"")</f>
        <v/>
      </c>
      <c r="AA2951" s="45" t="str">
        <f>IFERROR(VLOOKUP(B2951,'Pre-Summary'!$CG$6:$CI$70,2,FALSE),"")</f>
        <v/>
      </c>
      <c r="AB2951" s="99">
        <f>IFERROR(VLOOKUP(B2951,'Pre-Summary'!$A$6:$P$178,9,FALSE),AB2952)</f>
        <v>1.111580281716571</v>
      </c>
      <c r="AC2951" s="10">
        <f>IFERROR(VLOOKUP(Summary!B2951,'Pre-Summary'!$A$6:$P$184,5, FALSE)/100,AC2952)</f>
        <v>0.87331200000000009</v>
      </c>
      <c r="AD2951" s="10">
        <f>IFERROR(VLOOKUP(Summary!B2951,'Pre-Summary'!$A$6:$P$184,3, FALSE)/100,AD2952)</f>
        <v>0.10613833333333333</v>
      </c>
      <c r="AE2951" s="10">
        <f>IFERROR(VLOOKUP(Summary!B2951,'Pre-Summary'!$A$6:$P$184,7, FALSE)/100,AE2952)</f>
        <v>2.0549666666666667E-2</v>
      </c>
      <c r="AF2951" s="99">
        <f t="shared" si="139"/>
        <v>0.11798127846759399</v>
      </c>
      <c r="AG2951" s="99">
        <f t="shared" si="140"/>
        <v>2.2842604262514964E-2</v>
      </c>
      <c r="AH2951" s="10" t="str">
        <f>IFERROR(VLOOKUP(B2951,'Pre-Summary'!$AZ$6:$BE$65,3,FALSE),"")</f>
        <v/>
      </c>
      <c r="AI2951" s="10" t="str">
        <f>IFERROR(VLOOKUP(B2951,'Pre-Summary'!$AZ$6:$BE$65,5,FALSE),"")</f>
        <v/>
      </c>
      <c r="AJ2951" s="10" t="str">
        <f>IFERROR(VLOOKUP(B2951,'Pre-Summary'!$AZ$6:$BE$65,4,FALSE),"")</f>
        <v/>
      </c>
      <c r="AK2951" s="10" t="str">
        <f>IFERROR(VLOOKUP(B2951,'Pre-Summary'!$AZ$6:$BE$65,6,FALSE),"")</f>
        <v/>
      </c>
      <c r="AL2951" s="10" t="str">
        <f>IFERROR(VLOOKUP(B2951,'Pre-Summary'!$BG$6:$BL$44,3,FALSE),"")</f>
        <v/>
      </c>
      <c r="AM2951" s="10" t="str">
        <f>IFERROR(VLOOKUP(B2951,'Pre-Summary'!$BG$6:$BL$44,4,FALSE),"")</f>
        <v/>
      </c>
    </row>
    <row r="2952" spans="2:39" ht="15" customHeight="1" x14ac:dyDescent="0.3">
      <c r="B2952">
        <v>294.89999999999998</v>
      </c>
      <c r="C2952" t="str">
        <f>IFERROR(VLOOKUP(B2952,'Pre-Summary'!$DI$6:$DM$23,4,FALSE),"")</f>
        <v/>
      </c>
      <c r="D2952" s="10" t="str">
        <f>IFERROR(VLOOKUP(B2952,'Pre-Summary'!$AT$6:$AX$14,5,FALSE),D2951)</f>
        <v>Wolfe v3: went back to modified wolfe + EDTA and switched CuSO4 to CUCl2</v>
      </c>
      <c r="E2952" s="10" t="str">
        <f>IFERROR(VLOOKUP(B2952,'Pre-Summary'!$AT$6:$AX$15,4,FALSE),"")</f>
        <v/>
      </c>
      <c r="F2952">
        <f>IFERROR(VLOOKUP(B2952,'Pre-Summary'!$AL$6:$AQ$13,6,FALSE),F2951)</f>
        <v>5.9405263157894746E-2</v>
      </c>
      <c r="G2952" t="str">
        <f>IFERROR(VLOOKUP(B2952,'Pre-Summary'!$AE$6:$AJ$85,3,FALSE),"")</f>
        <v/>
      </c>
      <c r="H2952" t="str">
        <f>IFERROR(VLOOKUP(B2952,'Pre-Summary'!$AE$6:$AJ$85,4,FALSE),"")</f>
        <v/>
      </c>
      <c r="I2952" t="str">
        <f>IFERROR(VLOOKUP(B2952,'Pre-Summary'!$AE$6:$AJ$85,5,FALSE),"")</f>
        <v/>
      </c>
      <c r="J2952" s="45" t="str">
        <f>IFERROR(VLOOKUP(B2952,'Pre-Summary'!$AE$6:$AJ$85,6, FALSE),"")</f>
        <v/>
      </c>
      <c r="K2952" s="45" t="str">
        <f>IFERROR(VLOOKUP(B2952,'Pre-Summary'!$DE$6:$DG$61,3,FALSE),"")</f>
        <v/>
      </c>
      <c r="L2952" s="45" t="str">
        <f>IFERROR(VLOOKUP(B2952,'Pre-Summary'!$CU$6:$CW$36,3,FALSE),"")</f>
        <v/>
      </c>
      <c r="M2952" s="45" t="str">
        <f>IFERROR(VLOOKUP(B2952,'Pre-Summary'!$BW$6:$BY$58,2,FALSE),"")</f>
        <v/>
      </c>
      <c r="N2952" s="45" t="str">
        <f>IFERROR(VLOOKUP(B2952,'Pre-Summary'!$CD$6:$CF$64,2,FALSE),"")</f>
        <v/>
      </c>
      <c r="O2952" s="99">
        <f>IFERROR(VLOOKUP(B2952,'Pre-Summary'!$BO$6:$BQ$48,3, FALSE),O2951)</f>
        <v>2.77</v>
      </c>
      <c r="P2952" s="99">
        <f>IFERROR(VLOOKUP(B2952,'Pre-Summary'!$BS$6:$BU$35,3,FALSE),P2951)</f>
        <v>0.70099999999999996</v>
      </c>
      <c r="Q2952" s="54">
        <f t="shared" si="138"/>
        <v>3.9514978601997148</v>
      </c>
      <c r="R2952" s="53">
        <f>IFERROR(VLOOKUP(B2952,'Pre-Summary'!$BG$6:$BM$44,7,FALSE),R2953)</f>
        <v>0</v>
      </c>
      <c r="S2952" s="53" t="e">
        <f>VLOOKUP(B2952,'Pre-Summary'!$BG$6:$BM$44,6,FALSE)</f>
        <v>#N/A</v>
      </c>
      <c r="T2952" s="45" t="str">
        <f>IFERROR(VLOOKUP(B2952,'Pre-Summary'!$Y$6:$AC$83, 3,FALSE),"")</f>
        <v/>
      </c>
      <c r="U2952" s="45" t="str">
        <f>IFERROR(VLOOKUP(B2952,'Pre-Summary'!$Y$6:$AC$83, 4,FALSE),"")</f>
        <v/>
      </c>
      <c r="V2952" t="str">
        <f>IFERROR(VLOOKUP(B2952,'Pre-Summary'!$Y$6:$AC$83, 5,FALSE),"")</f>
        <v/>
      </c>
      <c r="W2952" s="45" t="str">
        <f>IFERROR(VLOOKUP(B2952,'Pre-Summary'!$Y$6:$AD$83,6,FALSE),"")</f>
        <v/>
      </c>
      <c r="X2952" t="str">
        <f>IFERROR(VLOOKUP('Pre-Summary'!$DB$6:$DD$63,3,FALSE),"")</f>
        <v/>
      </c>
      <c r="Y2952" t="str">
        <f>IFERROR(VLOOKUP(B2952,'Pre-Summary'!$CR$6:$CT$36,3,FALSE),"")</f>
        <v/>
      </c>
      <c r="Z2952" s="45" t="str">
        <f>IFERROR(VLOOKUP(B2952,'Pre-Summary'!$BZ$6:$CB$63,2,FALSE),"")</f>
        <v/>
      </c>
      <c r="AA2952" s="45" t="str">
        <f>IFERROR(VLOOKUP(B2952,'Pre-Summary'!$CG$6:$CI$70,2,FALSE),"")</f>
        <v/>
      </c>
      <c r="AB2952" s="99">
        <f>IFERROR(VLOOKUP(B2952,'Pre-Summary'!$A$6:$P$178,9,FALSE),AB2953)</f>
        <v>1.111580281716571</v>
      </c>
      <c r="AC2952" s="10">
        <f>IFERROR(VLOOKUP(Summary!B2952,'Pre-Summary'!$A$6:$P$184,5, FALSE)/100,AC2953)</f>
        <v>0.87331200000000009</v>
      </c>
      <c r="AD2952" s="10">
        <f>IFERROR(VLOOKUP(Summary!B2952,'Pre-Summary'!$A$6:$P$184,3, FALSE)/100,AD2953)</f>
        <v>0.10613833333333333</v>
      </c>
      <c r="AE2952" s="10">
        <f>IFERROR(VLOOKUP(Summary!B2952,'Pre-Summary'!$A$6:$P$184,7, FALSE)/100,AE2953)</f>
        <v>2.0549666666666667E-2</v>
      </c>
      <c r="AF2952" s="99">
        <f t="shared" si="139"/>
        <v>0.11798127846759399</v>
      </c>
      <c r="AG2952" s="99">
        <f t="shared" si="140"/>
        <v>2.2842604262514964E-2</v>
      </c>
      <c r="AH2952" s="10" t="str">
        <f>IFERROR(VLOOKUP(B2952,'Pre-Summary'!$AZ$6:$BE$65,3,FALSE),"")</f>
        <v/>
      </c>
      <c r="AI2952" s="10" t="str">
        <f>IFERROR(VLOOKUP(B2952,'Pre-Summary'!$AZ$6:$BE$65,5,FALSE),"")</f>
        <v/>
      </c>
      <c r="AJ2952" s="10" t="str">
        <f>IFERROR(VLOOKUP(B2952,'Pre-Summary'!$AZ$6:$BE$65,4,FALSE),"")</f>
        <v/>
      </c>
      <c r="AK2952" s="10" t="str">
        <f>IFERROR(VLOOKUP(B2952,'Pre-Summary'!$AZ$6:$BE$65,6,FALSE),"")</f>
        <v/>
      </c>
      <c r="AL2952" s="10" t="str">
        <f>IFERROR(VLOOKUP(B2952,'Pre-Summary'!$BG$6:$BL$44,3,FALSE),"")</f>
        <v/>
      </c>
      <c r="AM2952" s="10" t="str">
        <f>IFERROR(VLOOKUP(B2952,'Pre-Summary'!$BG$6:$BL$44,4,FALSE),"")</f>
        <v/>
      </c>
    </row>
    <row r="2953" spans="2:39" ht="15" customHeight="1" x14ac:dyDescent="0.3">
      <c r="B2953">
        <v>295</v>
      </c>
      <c r="C2953" t="str">
        <f>IFERROR(VLOOKUP(B2953,'Pre-Summary'!$DI$6:$DM$23,4,FALSE),"")</f>
        <v/>
      </c>
      <c r="D2953" s="10" t="str">
        <f>IFERROR(VLOOKUP(B2953,'Pre-Summary'!$AT$6:$AX$14,5,FALSE),D2952)</f>
        <v>Wolfe v3: went back to modified wolfe + EDTA and switched CuSO4 to CUCl2</v>
      </c>
      <c r="E2953" s="10" t="str">
        <f>IFERROR(VLOOKUP(B2953,'Pre-Summary'!$AT$6:$AX$15,4,FALSE),"")</f>
        <v/>
      </c>
      <c r="F2953">
        <f>IFERROR(VLOOKUP(B2953,'Pre-Summary'!$AL$6:$AQ$13,6,FALSE),F2952)</f>
        <v>5.9405263157894746E-2</v>
      </c>
      <c r="G2953" t="str">
        <f>IFERROR(VLOOKUP(B2953,'Pre-Summary'!$AE$6:$AJ$85,3,FALSE),"")</f>
        <v/>
      </c>
      <c r="H2953" t="str">
        <f>IFERROR(VLOOKUP(B2953,'Pre-Summary'!$AE$6:$AJ$85,4,FALSE),"")</f>
        <v/>
      </c>
      <c r="I2953" t="str">
        <f>IFERROR(VLOOKUP(B2953,'Pre-Summary'!$AE$6:$AJ$85,5,FALSE),"")</f>
        <v/>
      </c>
      <c r="J2953" s="45" t="str">
        <f>IFERROR(VLOOKUP(B2953,'Pre-Summary'!$AE$6:$AJ$85,6, FALSE),"")</f>
        <v/>
      </c>
      <c r="K2953" s="45" t="str">
        <f>IFERROR(VLOOKUP(B2953,'Pre-Summary'!$DE$6:$DG$61,3,FALSE),"")</f>
        <v/>
      </c>
      <c r="L2953" s="45" t="str">
        <f>IFERROR(VLOOKUP(B2953,'Pre-Summary'!$CU$6:$CW$36,3,FALSE),"")</f>
        <v/>
      </c>
      <c r="M2953" s="45" t="str">
        <f>IFERROR(VLOOKUP(B2953,'Pre-Summary'!$BW$6:$BY$58,2,FALSE),"")</f>
        <v/>
      </c>
      <c r="N2953" s="45" t="str">
        <f>IFERROR(VLOOKUP(B2953,'Pre-Summary'!$CD$6:$CF$64,2,FALSE),"")</f>
        <v/>
      </c>
      <c r="O2953" s="99">
        <f>IFERROR(VLOOKUP(B2953,'Pre-Summary'!$BO$6:$BQ$48,3, FALSE),O2952)</f>
        <v>2.77</v>
      </c>
      <c r="P2953" s="99">
        <f>IFERROR(VLOOKUP(B2953,'Pre-Summary'!$BS$6:$BU$35,3,FALSE),P2952)</f>
        <v>0.70099999999999996</v>
      </c>
      <c r="Q2953" s="54">
        <f t="shared" si="138"/>
        <v>3.9514978601997148</v>
      </c>
      <c r="R2953" s="53">
        <f>IFERROR(VLOOKUP(B2953,'Pre-Summary'!$BG$6:$BM$44,7,FALSE),R2954)</f>
        <v>0</v>
      </c>
      <c r="S2953" s="53" t="e">
        <f>VLOOKUP(B2953,'Pre-Summary'!$BG$6:$BM$44,6,FALSE)</f>
        <v>#N/A</v>
      </c>
      <c r="T2953" s="45" t="str">
        <f>IFERROR(VLOOKUP(B2953,'Pre-Summary'!$Y$6:$AC$83, 3,FALSE),"")</f>
        <v/>
      </c>
      <c r="U2953" s="45" t="str">
        <f>IFERROR(VLOOKUP(B2953,'Pre-Summary'!$Y$6:$AC$83, 4,FALSE),"")</f>
        <v/>
      </c>
      <c r="V2953" t="str">
        <f>IFERROR(VLOOKUP(B2953,'Pre-Summary'!$Y$6:$AC$83, 5,FALSE),"")</f>
        <v/>
      </c>
      <c r="W2953" s="45" t="str">
        <f>IFERROR(VLOOKUP(B2953,'Pre-Summary'!$Y$6:$AD$83,6,FALSE),"")</f>
        <v/>
      </c>
      <c r="X2953" t="str">
        <f>IFERROR(VLOOKUP('Pre-Summary'!$DB$6:$DD$63,3,FALSE),"")</f>
        <v/>
      </c>
      <c r="Y2953" t="str">
        <f>IFERROR(VLOOKUP(B2953,'Pre-Summary'!$CR$6:$CT$36,3,FALSE),"")</f>
        <v/>
      </c>
      <c r="Z2953" s="45" t="str">
        <f>IFERROR(VLOOKUP(B2953,'Pre-Summary'!$BZ$6:$CB$63,2,FALSE),"")</f>
        <v/>
      </c>
      <c r="AA2953" s="45" t="str">
        <f>IFERROR(VLOOKUP(B2953,'Pre-Summary'!$CG$6:$CI$70,2,FALSE),"")</f>
        <v/>
      </c>
      <c r="AB2953" s="99">
        <f>IFERROR(VLOOKUP(B2953,'Pre-Summary'!$A$6:$P$178,9,FALSE),AB2954)</f>
        <v>1.111580281716571</v>
      </c>
      <c r="AC2953" s="10">
        <f>IFERROR(VLOOKUP(Summary!B2953,'Pre-Summary'!$A$6:$P$184,5, FALSE)/100,AC2954)</f>
        <v>0.87331200000000009</v>
      </c>
      <c r="AD2953" s="10">
        <f>IFERROR(VLOOKUP(Summary!B2953,'Pre-Summary'!$A$6:$P$184,3, FALSE)/100,AD2954)</f>
        <v>0.10613833333333333</v>
      </c>
      <c r="AE2953" s="10">
        <f>IFERROR(VLOOKUP(Summary!B2953,'Pre-Summary'!$A$6:$P$184,7, FALSE)/100,AE2954)</f>
        <v>2.0549666666666667E-2</v>
      </c>
      <c r="AF2953" s="99">
        <f t="shared" si="139"/>
        <v>0.11798127846759399</v>
      </c>
      <c r="AG2953" s="99">
        <f t="shared" si="140"/>
        <v>2.2842604262514964E-2</v>
      </c>
      <c r="AH2953" s="10" t="str">
        <f>IFERROR(VLOOKUP(B2953,'Pre-Summary'!$AZ$6:$BE$65,3,FALSE),"")</f>
        <v/>
      </c>
      <c r="AI2953" s="10" t="str">
        <f>IFERROR(VLOOKUP(B2953,'Pre-Summary'!$AZ$6:$BE$65,5,FALSE),"")</f>
        <v/>
      </c>
      <c r="AJ2953" s="10" t="str">
        <f>IFERROR(VLOOKUP(B2953,'Pre-Summary'!$AZ$6:$BE$65,4,FALSE),"")</f>
        <v/>
      </c>
      <c r="AK2953" s="10" t="str">
        <f>IFERROR(VLOOKUP(B2953,'Pre-Summary'!$AZ$6:$BE$65,6,FALSE),"")</f>
        <v/>
      </c>
      <c r="AL2953" s="10" t="str">
        <f>IFERROR(VLOOKUP(B2953,'Pre-Summary'!$BG$6:$BL$44,3,FALSE),"")</f>
        <v/>
      </c>
      <c r="AM2953" s="10" t="str">
        <f>IFERROR(VLOOKUP(B2953,'Pre-Summary'!$BG$6:$BL$44,4,FALSE),"")</f>
        <v/>
      </c>
    </row>
    <row r="2954" spans="2:39" ht="15" customHeight="1" x14ac:dyDescent="0.3">
      <c r="B2954">
        <v>295.10000000000002</v>
      </c>
      <c r="C2954" t="str">
        <f>IFERROR(VLOOKUP(B2954,'Pre-Summary'!$DI$6:$DM$23,4,FALSE),"")</f>
        <v/>
      </c>
      <c r="D2954" s="10" t="str">
        <f>IFERROR(VLOOKUP(B2954,'Pre-Summary'!$AT$6:$AX$14,5,FALSE),D2953)</f>
        <v>Wolfe v3: went back to modified wolfe + EDTA and switched CuSO4 to CUCl2</v>
      </c>
      <c r="E2954" s="10" t="str">
        <f>IFERROR(VLOOKUP(B2954,'Pre-Summary'!$AT$6:$AX$15,4,FALSE),"")</f>
        <v/>
      </c>
      <c r="F2954">
        <f>IFERROR(VLOOKUP(B2954,'Pre-Summary'!$AL$6:$AQ$13,6,FALSE),F2953)</f>
        <v>5.9405263157894746E-2</v>
      </c>
      <c r="G2954" t="str">
        <f>IFERROR(VLOOKUP(B2954,'Pre-Summary'!$AE$6:$AJ$85,3,FALSE),"")</f>
        <v/>
      </c>
      <c r="H2954" t="str">
        <f>IFERROR(VLOOKUP(B2954,'Pre-Summary'!$AE$6:$AJ$85,4,FALSE),"")</f>
        <v/>
      </c>
      <c r="I2954" t="str">
        <f>IFERROR(VLOOKUP(B2954,'Pre-Summary'!$AE$6:$AJ$85,5,FALSE),"")</f>
        <v/>
      </c>
      <c r="J2954" s="45" t="str">
        <f>IFERROR(VLOOKUP(B2954,'Pre-Summary'!$AE$6:$AJ$85,6, FALSE),"")</f>
        <v/>
      </c>
      <c r="K2954" s="45" t="str">
        <f>IFERROR(VLOOKUP(B2954,'Pre-Summary'!$DE$6:$DG$61,3,FALSE),"")</f>
        <v/>
      </c>
      <c r="L2954" s="45" t="str">
        <f>IFERROR(VLOOKUP(B2954,'Pre-Summary'!$CU$6:$CW$36,3,FALSE),"")</f>
        <v/>
      </c>
      <c r="M2954" s="45" t="str">
        <f>IFERROR(VLOOKUP(B2954,'Pre-Summary'!$BW$6:$BY$58,2,FALSE),"")</f>
        <v/>
      </c>
      <c r="N2954" s="45" t="str">
        <f>IFERROR(VLOOKUP(B2954,'Pre-Summary'!$CD$6:$CF$64,2,FALSE),"")</f>
        <v/>
      </c>
      <c r="O2954" s="99">
        <f>IFERROR(VLOOKUP(B2954,'Pre-Summary'!$BO$6:$BQ$48,3, FALSE),O2953)</f>
        <v>2.77</v>
      </c>
      <c r="P2954" s="99">
        <f>IFERROR(VLOOKUP(B2954,'Pre-Summary'!$BS$6:$BU$35,3,FALSE),P2953)</f>
        <v>0.70099999999999996</v>
      </c>
      <c r="Q2954" s="54">
        <f t="shared" si="138"/>
        <v>3.9514978601997148</v>
      </c>
      <c r="R2954" s="53">
        <f>IFERROR(VLOOKUP(B2954,'Pre-Summary'!$BG$6:$BM$44,7,FALSE),R2955)</f>
        <v>0</v>
      </c>
      <c r="S2954" s="53" t="e">
        <f>VLOOKUP(B2954,'Pre-Summary'!$BG$6:$BM$44,6,FALSE)</f>
        <v>#N/A</v>
      </c>
      <c r="T2954" s="45" t="str">
        <f>IFERROR(VLOOKUP(B2954,'Pre-Summary'!$Y$6:$AC$83, 3,FALSE),"")</f>
        <v/>
      </c>
      <c r="U2954" s="45" t="str">
        <f>IFERROR(VLOOKUP(B2954,'Pre-Summary'!$Y$6:$AC$83, 4,FALSE),"")</f>
        <v/>
      </c>
      <c r="V2954" t="str">
        <f>IFERROR(VLOOKUP(B2954,'Pre-Summary'!$Y$6:$AC$83, 5,FALSE),"")</f>
        <v/>
      </c>
      <c r="W2954" s="45" t="str">
        <f>IFERROR(VLOOKUP(B2954,'Pre-Summary'!$Y$6:$AD$83,6,FALSE),"")</f>
        <v/>
      </c>
      <c r="X2954" t="str">
        <f>IFERROR(VLOOKUP('Pre-Summary'!$DB$6:$DD$63,3,FALSE),"")</f>
        <v/>
      </c>
      <c r="Y2954" t="str">
        <f>IFERROR(VLOOKUP(B2954,'Pre-Summary'!$CR$6:$CT$36,3,FALSE),"")</f>
        <v/>
      </c>
      <c r="Z2954" s="45" t="str">
        <f>IFERROR(VLOOKUP(B2954,'Pre-Summary'!$BZ$6:$CB$63,2,FALSE),"")</f>
        <v/>
      </c>
      <c r="AA2954" s="45" t="str">
        <f>IFERROR(VLOOKUP(B2954,'Pre-Summary'!$CG$6:$CI$70,2,FALSE),"")</f>
        <v/>
      </c>
      <c r="AB2954" s="99">
        <f>IFERROR(VLOOKUP(B2954,'Pre-Summary'!$A$6:$P$178,9,FALSE),AB2955)</f>
        <v>1.111580281716571</v>
      </c>
      <c r="AC2954" s="10">
        <f>IFERROR(VLOOKUP(Summary!B2954,'Pre-Summary'!$A$6:$P$184,5, FALSE)/100,AC2955)</f>
        <v>0.87331200000000009</v>
      </c>
      <c r="AD2954" s="10">
        <f>IFERROR(VLOOKUP(Summary!B2954,'Pre-Summary'!$A$6:$P$184,3, FALSE)/100,AD2955)</f>
        <v>0.10613833333333333</v>
      </c>
      <c r="AE2954" s="10">
        <f>IFERROR(VLOOKUP(Summary!B2954,'Pre-Summary'!$A$6:$P$184,7, FALSE)/100,AE2955)</f>
        <v>2.0549666666666667E-2</v>
      </c>
      <c r="AF2954" s="99">
        <f t="shared" si="139"/>
        <v>0.11798127846759399</v>
      </c>
      <c r="AG2954" s="99">
        <f t="shared" si="140"/>
        <v>2.2842604262514964E-2</v>
      </c>
      <c r="AH2954" s="10" t="str">
        <f>IFERROR(VLOOKUP(B2954,'Pre-Summary'!$AZ$6:$BE$65,3,FALSE),"")</f>
        <v/>
      </c>
      <c r="AI2954" s="10" t="str">
        <f>IFERROR(VLOOKUP(B2954,'Pre-Summary'!$AZ$6:$BE$65,5,FALSE),"")</f>
        <v/>
      </c>
      <c r="AJ2954" s="10" t="str">
        <f>IFERROR(VLOOKUP(B2954,'Pre-Summary'!$AZ$6:$BE$65,4,FALSE),"")</f>
        <v/>
      </c>
      <c r="AK2954" s="10" t="str">
        <f>IFERROR(VLOOKUP(B2954,'Pre-Summary'!$AZ$6:$BE$65,6,FALSE),"")</f>
        <v/>
      </c>
      <c r="AL2954" s="10" t="str">
        <f>IFERROR(VLOOKUP(B2954,'Pre-Summary'!$BG$6:$BL$44,3,FALSE),"")</f>
        <v/>
      </c>
      <c r="AM2954" s="10" t="str">
        <f>IFERROR(VLOOKUP(B2954,'Pre-Summary'!$BG$6:$BL$44,4,FALSE),"")</f>
        <v/>
      </c>
    </row>
    <row r="2955" spans="2:39" ht="15" customHeight="1" x14ac:dyDescent="0.3">
      <c r="B2955">
        <v>295.2</v>
      </c>
      <c r="C2955" t="str">
        <f>IFERROR(VLOOKUP(B2955,'Pre-Summary'!$DI$6:$DM$23,4,FALSE),"")</f>
        <v/>
      </c>
      <c r="D2955" s="10" t="str">
        <f>IFERROR(VLOOKUP(B2955,'Pre-Summary'!$AT$6:$AX$14,5,FALSE),D2954)</f>
        <v>Wolfe v3: went back to modified wolfe + EDTA and switched CuSO4 to CUCl2</v>
      </c>
      <c r="E2955" s="10" t="str">
        <f>IFERROR(VLOOKUP(B2955,'Pre-Summary'!$AT$6:$AX$15,4,FALSE),"")</f>
        <v/>
      </c>
      <c r="F2955">
        <f>IFERROR(VLOOKUP(B2955,'Pre-Summary'!$AL$6:$AQ$13,6,FALSE),F2954)</f>
        <v>5.9405263157894746E-2</v>
      </c>
      <c r="G2955" t="str">
        <f>IFERROR(VLOOKUP(B2955,'Pre-Summary'!$AE$6:$AJ$85,3,FALSE),"")</f>
        <v/>
      </c>
      <c r="H2955" t="str">
        <f>IFERROR(VLOOKUP(B2955,'Pre-Summary'!$AE$6:$AJ$85,4,FALSE),"")</f>
        <v/>
      </c>
      <c r="I2955" t="str">
        <f>IFERROR(VLOOKUP(B2955,'Pre-Summary'!$AE$6:$AJ$85,5,FALSE),"")</f>
        <v/>
      </c>
      <c r="J2955" s="45" t="str">
        <f>IFERROR(VLOOKUP(B2955,'Pre-Summary'!$AE$6:$AJ$85,6, FALSE),"")</f>
        <v/>
      </c>
      <c r="K2955" s="45" t="str">
        <f>IFERROR(VLOOKUP(B2955,'Pre-Summary'!$DE$6:$DG$61,3,FALSE),"")</f>
        <v/>
      </c>
      <c r="L2955" s="45" t="str">
        <f>IFERROR(VLOOKUP(B2955,'Pre-Summary'!$CU$6:$CW$36,3,FALSE),"")</f>
        <v/>
      </c>
      <c r="M2955" s="45" t="str">
        <f>IFERROR(VLOOKUP(B2955,'Pre-Summary'!$BW$6:$BY$58,2,FALSE),"")</f>
        <v/>
      </c>
      <c r="N2955" s="45" t="str">
        <f>IFERROR(VLOOKUP(B2955,'Pre-Summary'!$CD$6:$CF$64,2,FALSE),"")</f>
        <v/>
      </c>
      <c r="O2955" s="99">
        <f>IFERROR(VLOOKUP(B2955,'Pre-Summary'!$BO$6:$BQ$48,3, FALSE),O2954)</f>
        <v>2.77</v>
      </c>
      <c r="P2955" s="99">
        <f>IFERROR(VLOOKUP(B2955,'Pre-Summary'!$BS$6:$BU$35,3,FALSE),P2954)</f>
        <v>0.70099999999999996</v>
      </c>
      <c r="Q2955" s="54">
        <f t="shared" si="138"/>
        <v>3.9514978601997148</v>
      </c>
      <c r="R2955" s="53">
        <f>IFERROR(VLOOKUP(B2955,'Pre-Summary'!$BG$6:$BM$44,7,FALSE),R2956)</f>
        <v>0</v>
      </c>
      <c r="S2955" s="53" t="e">
        <f>VLOOKUP(B2955,'Pre-Summary'!$BG$6:$BM$44,6,FALSE)</f>
        <v>#N/A</v>
      </c>
      <c r="T2955" s="45" t="str">
        <f>IFERROR(VLOOKUP(B2955,'Pre-Summary'!$Y$6:$AC$83, 3,FALSE),"")</f>
        <v/>
      </c>
      <c r="U2955" s="45" t="str">
        <f>IFERROR(VLOOKUP(B2955,'Pre-Summary'!$Y$6:$AC$83, 4,FALSE),"")</f>
        <v/>
      </c>
      <c r="V2955" t="str">
        <f>IFERROR(VLOOKUP(B2955,'Pre-Summary'!$Y$6:$AC$83, 5,FALSE),"")</f>
        <v/>
      </c>
      <c r="W2955" s="45" t="str">
        <f>IFERROR(VLOOKUP(B2955,'Pre-Summary'!$Y$6:$AD$83,6,FALSE),"")</f>
        <v/>
      </c>
      <c r="X2955" t="str">
        <f>IFERROR(VLOOKUP('Pre-Summary'!$DB$6:$DD$63,3,FALSE),"")</f>
        <v/>
      </c>
      <c r="Y2955" t="str">
        <f>IFERROR(VLOOKUP(B2955,'Pre-Summary'!$CR$6:$CT$36,3,FALSE),"")</f>
        <v/>
      </c>
      <c r="Z2955" s="45" t="str">
        <f>IFERROR(VLOOKUP(B2955,'Pre-Summary'!$BZ$6:$CB$63,2,FALSE),"")</f>
        <v/>
      </c>
      <c r="AA2955" s="45" t="str">
        <f>IFERROR(VLOOKUP(B2955,'Pre-Summary'!$CG$6:$CI$70,2,FALSE),"")</f>
        <v/>
      </c>
      <c r="AB2955" s="99">
        <f>IFERROR(VLOOKUP(B2955,'Pre-Summary'!$A$6:$P$178,9,FALSE),AB2956)</f>
        <v>1.111580281716571</v>
      </c>
      <c r="AC2955" s="10">
        <f>IFERROR(VLOOKUP(Summary!B2955,'Pre-Summary'!$A$6:$P$184,5, FALSE)/100,AC2956)</f>
        <v>0.87331200000000009</v>
      </c>
      <c r="AD2955" s="10">
        <f>IFERROR(VLOOKUP(Summary!B2955,'Pre-Summary'!$A$6:$P$184,3, FALSE)/100,AD2956)</f>
        <v>0.10613833333333333</v>
      </c>
      <c r="AE2955" s="10">
        <f>IFERROR(VLOOKUP(Summary!B2955,'Pre-Summary'!$A$6:$P$184,7, FALSE)/100,AE2956)</f>
        <v>2.0549666666666667E-2</v>
      </c>
      <c r="AF2955" s="99">
        <f t="shared" si="139"/>
        <v>0.11798127846759399</v>
      </c>
      <c r="AG2955" s="99">
        <f t="shared" si="140"/>
        <v>2.2842604262514964E-2</v>
      </c>
      <c r="AH2955" s="10" t="str">
        <f>IFERROR(VLOOKUP(B2955,'Pre-Summary'!$AZ$6:$BE$65,3,FALSE),"")</f>
        <v/>
      </c>
      <c r="AI2955" s="10" t="str">
        <f>IFERROR(VLOOKUP(B2955,'Pre-Summary'!$AZ$6:$BE$65,5,FALSE),"")</f>
        <v/>
      </c>
      <c r="AJ2955" s="10" t="str">
        <f>IFERROR(VLOOKUP(B2955,'Pre-Summary'!$AZ$6:$BE$65,4,FALSE),"")</f>
        <v/>
      </c>
      <c r="AK2955" s="10" t="str">
        <f>IFERROR(VLOOKUP(B2955,'Pre-Summary'!$AZ$6:$BE$65,6,FALSE),"")</f>
        <v/>
      </c>
      <c r="AL2955" s="10" t="str">
        <f>IFERROR(VLOOKUP(B2955,'Pre-Summary'!$BG$6:$BL$44,3,FALSE),"")</f>
        <v/>
      </c>
      <c r="AM2955" s="10" t="str">
        <f>IFERROR(VLOOKUP(B2955,'Pre-Summary'!$BG$6:$BL$44,4,FALSE),"")</f>
        <v/>
      </c>
    </row>
    <row r="2956" spans="2:39" ht="15" customHeight="1" x14ac:dyDescent="0.3">
      <c r="B2956">
        <v>295.3</v>
      </c>
      <c r="C2956" t="str">
        <f>IFERROR(VLOOKUP(B2956,'Pre-Summary'!$DI$6:$DM$23,4,FALSE),"")</f>
        <v/>
      </c>
      <c r="D2956" s="10" t="str">
        <f>IFERROR(VLOOKUP(B2956,'Pre-Summary'!$AT$6:$AX$14,5,FALSE),D2955)</f>
        <v>Wolfe v3: went back to modified wolfe + EDTA and switched CuSO4 to CUCl2</v>
      </c>
      <c r="E2956" s="10" t="str">
        <f>IFERROR(VLOOKUP(B2956,'Pre-Summary'!$AT$6:$AX$15,4,FALSE),"")</f>
        <v/>
      </c>
      <c r="F2956">
        <f>IFERROR(VLOOKUP(B2956,'Pre-Summary'!$AL$6:$AQ$13,6,FALSE),F2955)</f>
        <v>5.9405263157894746E-2</v>
      </c>
      <c r="G2956" t="str">
        <f>IFERROR(VLOOKUP(B2956,'Pre-Summary'!$AE$6:$AJ$85,3,FALSE),"")</f>
        <v/>
      </c>
      <c r="H2956" t="str">
        <f>IFERROR(VLOOKUP(B2956,'Pre-Summary'!$AE$6:$AJ$85,4,FALSE),"")</f>
        <v/>
      </c>
      <c r="I2956" t="str">
        <f>IFERROR(VLOOKUP(B2956,'Pre-Summary'!$AE$6:$AJ$85,5,FALSE),"")</f>
        <v/>
      </c>
      <c r="J2956" s="45" t="str">
        <f>IFERROR(VLOOKUP(B2956,'Pre-Summary'!$AE$6:$AJ$85,6, FALSE),"")</f>
        <v/>
      </c>
      <c r="K2956" s="45" t="str">
        <f>IFERROR(VLOOKUP(B2956,'Pre-Summary'!$DE$6:$DG$61,3,FALSE),"")</f>
        <v/>
      </c>
      <c r="L2956" s="45" t="str">
        <f>IFERROR(VLOOKUP(B2956,'Pre-Summary'!$CU$6:$CW$36,3,FALSE),"")</f>
        <v/>
      </c>
      <c r="M2956" s="45" t="str">
        <f>IFERROR(VLOOKUP(B2956,'Pre-Summary'!$BW$6:$BY$58,2,FALSE),"")</f>
        <v/>
      </c>
      <c r="N2956" s="45" t="str">
        <f>IFERROR(VLOOKUP(B2956,'Pre-Summary'!$CD$6:$CF$64,2,FALSE),"")</f>
        <v/>
      </c>
      <c r="O2956" s="99">
        <f>IFERROR(VLOOKUP(B2956,'Pre-Summary'!$BO$6:$BQ$48,3, FALSE),O2955)</f>
        <v>2.77</v>
      </c>
      <c r="P2956" s="99">
        <f>IFERROR(VLOOKUP(B2956,'Pre-Summary'!$BS$6:$BU$35,3,FALSE),P2955)</f>
        <v>0.70099999999999996</v>
      </c>
      <c r="Q2956" s="54">
        <f t="shared" si="138"/>
        <v>3.9514978601997148</v>
      </c>
      <c r="R2956" s="53">
        <f>IFERROR(VLOOKUP(B2956,'Pre-Summary'!$BG$6:$BM$44,7,FALSE),R2957)</f>
        <v>0</v>
      </c>
      <c r="S2956" s="53" t="e">
        <f>VLOOKUP(B2956,'Pre-Summary'!$BG$6:$BM$44,6,FALSE)</f>
        <v>#N/A</v>
      </c>
      <c r="T2956" s="45" t="str">
        <f>IFERROR(VLOOKUP(B2956,'Pre-Summary'!$Y$6:$AC$83, 3,FALSE),"")</f>
        <v/>
      </c>
      <c r="U2956" s="45" t="str">
        <f>IFERROR(VLOOKUP(B2956,'Pre-Summary'!$Y$6:$AC$83, 4,FALSE),"")</f>
        <v/>
      </c>
      <c r="V2956" t="str">
        <f>IFERROR(VLOOKUP(B2956,'Pre-Summary'!$Y$6:$AC$83, 5,FALSE),"")</f>
        <v/>
      </c>
      <c r="W2956" s="45" t="str">
        <f>IFERROR(VLOOKUP(B2956,'Pre-Summary'!$Y$6:$AD$83,6,FALSE),"")</f>
        <v/>
      </c>
      <c r="X2956" t="str">
        <f>IFERROR(VLOOKUP('Pre-Summary'!$DB$6:$DD$63,3,FALSE),"")</f>
        <v/>
      </c>
      <c r="Y2956" t="str">
        <f>IFERROR(VLOOKUP(B2956,'Pre-Summary'!$CR$6:$CT$36,3,FALSE),"")</f>
        <v/>
      </c>
      <c r="Z2956" s="45" t="str">
        <f>IFERROR(VLOOKUP(B2956,'Pre-Summary'!$BZ$6:$CB$63,2,FALSE),"")</f>
        <v/>
      </c>
      <c r="AA2956" s="45" t="str">
        <f>IFERROR(VLOOKUP(B2956,'Pre-Summary'!$CG$6:$CI$70,2,FALSE),"")</f>
        <v/>
      </c>
      <c r="AB2956" s="99">
        <f>IFERROR(VLOOKUP(B2956,'Pre-Summary'!$A$6:$P$178,9,FALSE),AB2957)</f>
        <v>1.111580281716571</v>
      </c>
      <c r="AC2956" s="10">
        <f>IFERROR(VLOOKUP(Summary!B2956,'Pre-Summary'!$A$6:$P$184,5, FALSE)/100,AC2957)</f>
        <v>0.87331200000000009</v>
      </c>
      <c r="AD2956" s="10">
        <f>IFERROR(VLOOKUP(Summary!B2956,'Pre-Summary'!$A$6:$P$184,3, FALSE)/100,AD2957)</f>
        <v>0.10613833333333333</v>
      </c>
      <c r="AE2956" s="10">
        <f>IFERROR(VLOOKUP(Summary!B2956,'Pre-Summary'!$A$6:$P$184,7, FALSE)/100,AE2957)</f>
        <v>2.0549666666666667E-2</v>
      </c>
      <c r="AF2956" s="99">
        <f t="shared" si="139"/>
        <v>0.11798127846759399</v>
      </c>
      <c r="AG2956" s="99">
        <f t="shared" si="140"/>
        <v>2.2842604262514964E-2</v>
      </c>
      <c r="AH2956" s="10" t="str">
        <f>IFERROR(VLOOKUP(B2956,'Pre-Summary'!$AZ$6:$BE$65,3,FALSE),"")</f>
        <v/>
      </c>
      <c r="AI2956" s="10" t="str">
        <f>IFERROR(VLOOKUP(B2956,'Pre-Summary'!$AZ$6:$BE$65,5,FALSE),"")</f>
        <v/>
      </c>
      <c r="AJ2956" s="10" t="str">
        <f>IFERROR(VLOOKUP(B2956,'Pre-Summary'!$AZ$6:$BE$65,4,FALSE),"")</f>
        <v/>
      </c>
      <c r="AK2956" s="10" t="str">
        <f>IFERROR(VLOOKUP(B2956,'Pre-Summary'!$AZ$6:$BE$65,6,FALSE),"")</f>
        <v/>
      </c>
      <c r="AL2956" s="10" t="str">
        <f>IFERROR(VLOOKUP(B2956,'Pre-Summary'!$BG$6:$BL$44,3,FALSE),"")</f>
        <v/>
      </c>
      <c r="AM2956" s="10" t="str">
        <f>IFERROR(VLOOKUP(B2956,'Pre-Summary'!$BG$6:$BL$44,4,FALSE),"")</f>
        <v/>
      </c>
    </row>
    <row r="2957" spans="2:39" ht="15" customHeight="1" x14ac:dyDescent="0.3">
      <c r="B2957">
        <v>295.39999999999998</v>
      </c>
      <c r="C2957" t="str">
        <f>IFERROR(VLOOKUP(B2957,'Pre-Summary'!$DI$6:$DM$23,4,FALSE),"")</f>
        <v/>
      </c>
      <c r="D2957" s="10" t="str">
        <f>IFERROR(VLOOKUP(B2957,'Pre-Summary'!$AT$6:$AX$14,5,FALSE),D2956)</f>
        <v>Wolfe v3: went back to modified wolfe + EDTA and switched CuSO4 to CUCl2</v>
      </c>
      <c r="E2957" s="10" t="str">
        <f>IFERROR(VLOOKUP(B2957,'Pre-Summary'!$AT$6:$AX$15,4,FALSE),"")</f>
        <v/>
      </c>
      <c r="F2957">
        <f>IFERROR(VLOOKUP(B2957,'Pre-Summary'!$AL$6:$AQ$13,6,FALSE),F2956)</f>
        <v>5.9405263157894746E-2</v>
      </c>
      <c r="G2957" t="str">
        <f>IFERROR(VLOOKUP(B2957,'Pre-Summary'!$AE$6:$AJ$85,3,FALSE),"")</f>
        <v/>
      </c>
      <c r="H2957" t="str">
        <f>IFERROR(VLOOKUP(B2957,'Pre-Summary'!$AE$6:$AJ$85,4,FALSE),"")</f>
        <v/>
      </c>
      <c r="I2957" t="str">
        <f>IFERROR(VLOOKUP(B2957,'Pre-Summary'!$AE$6:$AJ$85,5,FALSE),"")</f>
        <v/>
      </c>
      <c r="J2957" s="45" t="str">
        <f>IFERROR(VLOOKUP(B2957,'Pre-Summary'!$AE$6:$AJ$85,6, FALSE),"")</f>
        <v/>
      </c>
      <c r="K2957" s="45" t="str">
        <f>IFERROR(VLOOKUP(B2957,'Pre-Summary'!$DE$6:$DG$61,3,FALSE),"")</f>
        <v/>
      </c>
      <c r="L2957" s="45" t="str">
        <f>IFERROR(VLOOKUP(B2957,'Pre-Summary'!$CU$6:$CW$36,3,FALSE),"")</f>
        <v/>
      </c>
      <c r="M2957" s="45" t="str">
        <f>IFERROR(VLOOKUP(B2957,'Pre-Summary'!$BW$6:$BY$58,2,FALSE),"")</f>
        <v/>
      </c>
      <c r="N2957" s="45" t="str">
        <f>IFERROR(VLOOKUP(B2957,'Pre-Summary'!$CD$6:$CF$64,2,FALSE),"")</f>
        <v/>
      </c>
      <c r="O2957" s="99">
        <f>IFERROR(VLOOKUP(B2957,'Pre-Summary'!$BO$6:$BQ$48,3, FALSE),O2956)</f>
        <v>2.77</v>
      </c>
      <c r="P2957" s="99">
        <f>IFERROR(VLOOKUP(B2957,'Pre-Summary'!$BS$6:$BU$35,3,FALSE),P2956)</f>
        <v>0.70099999999999996</v>
      </c>
      <c r="Q2957" s="54">
        <f t="shared" si="138"/>
        <v>3.9514978601997148</v>
      </c>
      <c r="R2957" s="53">
        <f>IFERROR(VLOOKUP(B2957,'Pre-Summary'!$BG$6:$BM$44,7,FALSE),R2958)</f>
        <v>0</v>
      </c>
      <c r="S2957" s="53" t="e">
        <f>VLOOKUP(B2957,'Pre-Summary'!$BG$6:$BM$44,6,FALSE)</f>
        <v>#N/A</v>
      </c>
      <c r="T2957" s="45" t="str">
        <f>IFERROR(VLOOKUP(B2957,'Pre-Summary'!$Y$6:$AC$83, 3,FALSE),"")</f>
        <v/>
      </c>
      <c r="U2957" s="45" t="str">
        <f>IFERROR(VLOOKUP(B2957,'Pre-Summary'!$Y$6:$AC$83, 4,FALSE),"")</f>
        <v/>
      </c>
      <c r="V2957" t="str">
        <f>IFERROR(VLOOKUP(B2957,'Pre-Summary'!$Y$6:$AC$83, 5,FALSE),"")</f>
        <v/>
      </c>
      <c r="W2957" s="45" t="str">
        <f>IFERROR(VLOOKUP(B2957,'Pre-Summary'!$Y$6:$AD$83,6,FALSE),"")</f>
        <v/>
      </c>
      <c r="X2957" t="str">
        <f>IFERROR(VLOOKUP('Pre-Summary'!$DB$6:$DD$63,3,FALSE),"")</f>
        <v/>
      </c>
      <c r="Y2957" t="str">
        <f>IFERROR(VLOOKUP(B2957,'Pre-Summary'!$CR$6:$CT$36,3,FALSE),"")</f>
        <v/>
      </c>
      <c r="Z2957" s="45" t="str">
        <f>IFERROR(VLOOKUP(B2957,'Pre-Summary'!$BZ$6:$CB$63,2,FALSE),"")</f>
        <v/>
      </c>
      <c r="AA2957" s="45" t="str">
        <f>IFERROR(VLOOKUP(B2957,'Pre-Summary'!$CG$6:$CI$70,2,FALSE),"")</f>
        <v/>
      </c>
      <c r="AB2957" s="99">
        <f>IFERROR(VLOOKUP(B2957,'Pre-Summary'!$A$6:$P$178,9,FALSE),AB2958)</f>
        <v>1.111580281716571</v>
      </c>
      <c r="AC2957" s="10">
        <f>IFERROR(VLOOKUP(Summary!B2957,'Pre-Summary'!$A$6:$P$184,5, FALSE)/100,AC2958)</f>
        <v>0.87331200000000009</v>
      </c>
      <c r="AD2957" s="10">
        <f>IFERROR(VLOOKUP(Summary!B2957,'Pre-Summary'!$A$6:$P$184,3, FALSE)/100,AD2958)</f>
        <v>0.10613833333333333</v>
      </c>
      <c r="AE2957" s="10">
        <f>IFERROR(VLOOKUP(Summary!B2957,'Pre-Summary'!$A$6:$P$184,7, FALSE)/100,AE2958)</f>
        <v>2.0549666666666667E-2</v>
      </c>
      <c r="AF2957" s="99">
        <f t="shared" si="139"/>
        <v>0.11798127846759399</v>
      </c>
      <c r="AG2957" s="99">
        <f t="shared" si="140"/>
        <v>2.2842604262514964E-2</v>
      </c>
      <c r="AH2957" s="10" t="str">
        <f>IFERROR(VLOOKUP(B2957,'Pre-Summary'!$AZ$6:$BE$65,3,FALSE),"")</f>
        <v/>
      </c>
      <c r="AI2957" s="10" t="str">
        <f>IFERROR(VLOOKUP(B2957,'Pre-Summary'!$AZ$6:$BE$65,5,FALSE),"")</f>
        <v/>
      </c>
      <c r="AJ2957" s="10" t="str">
        <f>IFERROR(VLOOKUP(B2957,'Pre-Summary'!$AZ$6:$BE$65,4,FALSE),"")</f>
        <v/>
      </c>
      <c r="AK2957" s="10" t="str">
        <f>IFERROR(VLOOKUP(B2957,'Pre-Summary'!$AZ$6:$BE$65,6,FALSE),"")</f>
        <v/>
      </c>
      <c r="AL2957" s="10" t="str">
        <f>IFERROR(VLOOKUP(B2957,'Pre-Summary'!$BG$6:$BL$44,3,FALSE),"")</f>
        <v/>
      </c>
      <c r="AM2957" s="10" t="str">
        <f>IFERROR(VLOOKUP(B2957,'Pre-Summary'!$BG$6:$BL$44,4,FALSE),"")</f>
        <v/>
      </c>
    </row>
    <row r="2958" spans="2:39" ht="15" customHeight="1" x14ac:dyDescent="0.3">
      <c r="B2958">
        <v>295.5</v>
      </c>
      <c r="C2958" t="str">
        <f>IFERROR(VLOOKUP(B2958,'Pre-Summary'!$DI$6:$DM$23,4,FALSE),"")</f>
        <v/>
      </c>
      <c r="D2958" s="10" t="str">
        <f>IFERROR(VLOOKUP(B2958,'Pre-Summary'!$AT$6:$AX$14,5,FALSE),D2957)</f>
        <v>Wolfe v3: went back to modified wolfe + EDTA and switched CuSO4 to CUCl2</v>
      </c>
      <c r="E2958" s="10" t="str">
        <f>IFERROR(VLOOKUP(B2958,'Pre-Summary'!$AT$6:$AX$15,4,FALSE),"")</f>
        <v/>
      </c>
      <c r="F2958">
        <f>IFERROR(VLOOKUP(B2958,'Pre-Summary'!$AL$6:$AQ$13,6,FALSE),F2957)</f>
        <v>5.9405263157894746E-2</v>
      </c>
      <c r="G2958" t="str">
        <f>IFERROR(VLOOKUP(B2958,'Pre-Summary'!$AE$6:$AJ$85,3,FALSE),"")</f>
        <v/>
      </c>
      <c r="H2958" t="str">
        <f>IFERROR(VLOOKUP(B2958,'Pre-Summary'!$AE$6:$AJ$85,4,FALSE),"")</f>
        <v/>
      </c>
      <c r="I2958" t="str">
        <f>IFERROR(VLOOKUP(B2958,'Pre-Summary'!$AE$6:$AJ$85,5,FALSE),"")</f>
        <v/>
      </c>
      <c r="J2958" s="45" t="str">
        <f>IFERROR(VLOOKUP(B2958,'Pre-Summary'!$AE$6:$AJ$85,6, FALSE),"")</f>
        <v/>
      </c>
      <c r="K2958" s="45" t="str">
        <f>IFERROR(VLOOKUP(B2958,'Pre-Summary'!$DE$6:$DG$61,3,FALSE),"")</f>
        <v/>
      </c>
      <c r="L2958" s="45" t="str">
        <f>IFERROR(VLOOKUP(B2958,'Pre-Summary'!$CU$6:$CW$36,3,FALSE),"")</f>
        <v/>
      </c>
      <c r="M2958" s="45" t="str">
        <f>IFERROR(VLOOKUP(B2958,'Pre-Summary'!$BW$6:$BY$58,2,FALSE),"")</f>
        <v/>
      </c>
      <c r="N2958" s="45">
        <f>IFERROR(VLOOKUP(B2958,'Pre-Summary'!$CD$6:$CF$64,2,FALSE),"")</f>
        <v>185.95629268397647</v>
      </c>
      <c r="O2958" s="99">
        <f>IFERROR(VLOOKUP(B2958,'Pre-Summary'!$BO$6:$BQ$48,3, FALSE),O2957)</f>
        <v>2.77</v>
      </c>
      <c r="P2958" s="99">
        <f>IFERROR(VLOOKUP(B2958,'Pre-Summary'!$BS$6:$BU$35,3,FALSE),P2957)</f>
        <v>0.70099999999999996</v>
      </c>
      <c r="Q2958" s="54">
        <f t="shared" si="138"/>
        <v>3.9514978601997148</v>
      </c>
      <c r="R2958" s="53">
        <f>IFERROR(VLOOKUP(B2958,'Pre-Summary'!$BG$6:$BM$44,7,FALSE),R2959)</f>
        <v>0</v>
      </c>
      <c r="S2958" s="53" t="e">
        <f>VLOOKUP(B2958,'Pre-Summary'!$BG$6:$BM$44,6,FALSE)</f>
        <v>#N/A</v>
      </c>
      <c r="T2958" s="45" t="str">
        <f>IFERROR(VLOOKUP(B2958,'Pre-Summary'!$Y$6:$AC$83, 3,FALSE),"")</f>
        <v/>
      </c>
      <c r="U2958" s="45" t="str">
        <f>IFERROR(VLOOKUP(B2958,'Pre-Summary'!$Y$6:$AC$83, 4,FALSE),"")</f>
        <v/>
      </c>
      <c r="V2958" t="str">
        <f>IFERROR(VLOOKUP(B2958,'Pre-Summary'!$Y$6:$AC$83, 5,FALSE),"")</f>
        <v/>
      </c>
      <c r="W2958" s="45" t="str">
        <f>IFERROR(VLOOKUP(B2958,'Pre-Summary'!$Y$6:$AD$83,6,FALSE),"")</f>
        <v/>
      </c>
      <c r="X2958" t="str">
        <f>IFERROR(VLOOKUP('Pre-Summary'!$DB$6:$DD$63,3,FALSE),"")</f>
        <v/>
      </c>
      <c r="Y2958" t="str">
        <f>IFERROR(VLOOKUP(B2958,'Pre-Summary'!$CR$6:$CT$36,3,FALSE),"")</f>
        <v/>
      </c>
      <c r="Z2958" s="45" t="str">
        <f>IFERROR(VLOOKUP(B2958,'Pre-Summary'!$BZ$6:$CB$63,2,FALSE),"")</f>
        <v/>
      </c>
      <c r="AA2958" s="45" t="str">
        <f>IFERROR(VLOOKUP(B2958,'Pre-Summary'!$CG$6:$CI$70,2,FALSE),"")</f>
        <v/>
      </c>
      <c r="AB2958" s="99">
        <f>IFERROR(VLOOKUP(B2958,'Pre-Summary'!$A$6:$P$178,9,FALSE),AB2959)</f>
        <v>1.111580281716571</v>
      </c>
      <c r="AC2958" s="10">
        <f>IFERROR(VLOOKUP(Summary!B2958,'Pre-Summary'!$A$6:$P$184,5, FALSE)/100,AC2959)</f>
        <v>0.87331200000000009</v>
      </c>
      <c r="AD2958" s="10">
        <f>IFERROR(VLOOKUP(Summary!B2958,'Pre-Summary'!$A$6:$P$184,3, FALSE)/100,AD2959)</f>
        <v>0.10613833333333333</v>
      </c>
      <c r="AE2958" s="10">
        <f>IFERROR(VLOOKUP(Summary!B2958,'Pre-Summary'!$A$6:$P$184,7, FALSE)/100,AE2959)</f>
        <v>2.0549666666666667E-2</v>
      </c>
      <c r="AF2958" s="99">
        <f t="shared" si="139"/>
        <v>0.11798127846759399</v>
      </c>
      <c r="AG2958" s="99">
        <f t="shared" si="140"/>
        <v>2.2842604262514964E-2</v>
      </c>
      <c r="AH2958" s="10" t="str">
        <f>IFERROR(VLOOKUP(B2958,'Pre-Summary'!$AZ$6:$BE$65,3,FALSE),"")</f>
        <v/>
      </c>
      <c r="AI2958" s="10" t="str">
        <f>IFERROR(VLOOKUP(B2958,'Pre-Summary'!$AZ$6:$BE$65,5,FALSE),"")</f>
        <v/>
      </c>
      <c r="AJ2958" s="10" t="str">
        <f>IFERROR(VLOOKUP(B2958,'Pre-Summary'!$AZ$6:$BE$65,4,FALSE),"")</f>
        <v/>
      </c>
      <c r="AK2958" s="10" t="str">
        <f>IFERROR(VLOOKUP(B2958,'Pre-Summary'!$AZ$6:$BE$65,6,FALSE),"")</f>
        <v/>
      </c>
      <c r="AL2958" s="10" t="str">
        <f>IFERROR(VLOOKUP(B2958,'Pre-Summary'!$BG$6:$BL$44,3,FALSE),"")</f>
        <v/>
      </c>
      <c r="AM2958" s="10" t="str">
        <f>IFERROR(VLOOKUP(B2958,'Pre-Summary'!$BG$6:$BL$44,4,FALSE),"")</f>
        <v/>
      </c>
    </row>
    <row r="2959" spans="2:39" ht="15" customHeight="1" x14ac:dyDescent="0.3">
      <c r="B2959">
        <v>295.60000000000002</v>
      </c>
      <c r="C2959" t="str">
        <f>IFERROR(VLOOKUP(B2959,'Pre-Summary'!$DI$6:$DM$23,4,FALSE),"")</f>
        <v/>
      </c>
      <c r="D2959" s="10" t="str">
        <f>IFERROR(VLOOKUP(B2959,'Pre-Summary'!$AT$6:$AX$14,5,FALSE),D2958)</f>
        <v>Wolfe v3: went back to modified wolfe + EDTA and switched CuSO4 to CUCl2</v>
      </c>
      <c r="E2959" s="10" t="str">
        <f>IFERROR(VLOOKUP(B2959,'Pre-Summary'!$AT$6:$AX$15,4,FALSE),"")</f>
        <v/>
      </c>
      <c r="F2959">
        <f>IFERROR(VLOOKUP(B2959,'Pre-Summary'!$AL$6:$AQ$13,6,FALSE),F2958)</f>
        <v>5.9405263157894746E-2</v>
      </c>
      <c r="G2959" t="str">
        <f>IFERROR(VLOOKUP(B2959,'Pre-Summary'!$AE$6:$AJ$85,3,FALSE),"")</f>
        <v/>
      </c>
      <c r="H2959" t="str">
        <f>IFERROR(VLOOKUP(B2959,'Pre-Summary'!$AE$6:$AJ$85,4,FALSE),"")</f>
        <v/>
      </c>
      <c r="I2959" t="str">
        <f>IFERROR(VLOOKUP(B2959,'Pre-Summary'!$AE$6:$AJ$85,5,FALSE),"")</f>
        <v/>
      </c>
      <c r="J2959" s="45" t="str">
        <f>IFERROR(VLOOKUP(B2959,'Pre-Summary'!$AE$6:$AJ$85,6, FALSE),"")</f>
        <v/>
      </c>
      <c r="K2959" s="45" t="str">
        <f>IFERROR(VLOOKUP(B2959,'Pre-Summary'!$DE$6:$DG$61,3,FALSE),"")</f>
        <v/>
      </c>
      <c r="L2959" s="45" t="str">
        <f>IFERROR(VLOOKUP(B2959,'Pre-Summary'!$CU$6:$CW$36,3,FALSE),"")</f>
        <v/>
      </c>
      <c r="M2959" s="45" t="str">
        <f>IFERROR(VLOOKUP(B2959,'Pre-Summary'!$BW$6:$BY$58,2,FALSE),"")</f>
        <v/>
      </c>
      <c r="N2959" s="45" t="str">
        <f>IFERROR(VLOOKUP(B2959,'Pre-Summary'!$CD$6:$CF$64,2,FALSE),"")</f>
        <v/>
      </c>
      <c r="O2959" s="99">
        <f>IFERROR(VLOOKUP(B2959,'Pre-Summary'!$BO$6:$BQ$48,3, FALSE),O2958)</f>
        <v>2.77</v>
      </c>
      <c r="P2959" s="99">
        <f>IFERROR(VLOOKUP(B2959,'Pre-Summary'!$BS$6:$BU$35,3,FALSE),P2958)</f>
        <v>0.70099999999999996</v>
      </c>
      <c r="Q2959" s="54">
        <f t="shared" si="138"/>
        <v>3.9514978601997148</v>
      </c>
      <c r="R2959" s="53">
        <f>IFERROR(VLOOKUP(B2959,'Pre-Summary'!$BG$6:$BM$44,7,FALSE),R2960)</f>
        <v>0</v>
      </c>
      <c r="S2959" s="53" t="e">
        <f>VLOOKUP(B2959,'Pre-Summary'!$BG$6:$BM$44,6,FALSE)</f>
        <v>#N/A</v>
      </c>
      <c r="T2959" s="45" t="str">
        <f>IFERROR(VLOOKUP(B2959,'Pre-Summary'!$Y$6:$AC$83, 3,FALSE),"")</f>
        <v/>
      </c>
      <c r="U2959" s="45" t="str">
        <f>IFERROR(VLOOKUP(B2959,'Pre-Summary'!$Y$6:$AC$83, 4,FALSE),"")</f>
        <v/>
      </c>
      <c r="V2959" t="str">
        <f>IFERROR(VLOOKUP(B2959,'Pre-Summary'!$Y$6:$AC$83, 5,FALSE),"")</f>
        <v/>
      </c>
      <c r="W2959" s="45" t="str">
        <f>IFERROR(VLOOKUP(B2959,'Pre-Summary'!$Y$6:$AD$83,6,FALSE),"")</f>
        <v/>
      </c>
      <c r="X2959" t="str">
        <f>IFERROR(VLOOKUP('Pre-Summary'!$DB$6:$DD$63,3,FALSE),"")</f>
        <v/>
      </c>
      <c r="Y2959" t="str">
        <f>IFERROR(VLOOKUP(B2959,'Pre-Summary'!$CR$6:$CT$36,3,FALSE),"")</f>
        <v/>
      </c>
      <c r="Z2959" s="45" t="str">
        <f>IFERROR(VLOOKUP(B2959,'Pre-Summary'!$BZ$6:$CB$63,2,FALSE),"")</f>
        <v/>
      </c>
      <c r="AA2959" s="45" t="str">
        <f>IFERROR(VLOOKUP(B2959,'Pre-Summary'!$CG$6:$CI$70,2,FALSE),"")</f>
        <v/>
      </c>
      <c r="AB2959" s="99">
        <f>IFERROR(VLOOKUP(B2959,'Pre-Summary'!$A$6:$P$178,9,FALSE),AB2960)</f>
        <v>1.111580281716571</v>
      </c>
      <c r="AC2959" s="10">
        <f>IFERROR(VLOOKUP(Summary!B2959,'Pre-Summary'!$A$6:$P$184,5, FALSE)/100,AC2960)</f>
        <v>0.87331200000000009</v>
      </c>
      <c r="AD2959" s="10">
        <f>IFERROR(VLOOKUP(Summary!B2959,'Pre-Summary'!$A$6:$P$184,3, FALSE)/100,AD2960)</f>
        <v>0.10613833333333333</v>
      </c>
      <c r="AE2959" s="10">
        <f>IFERROR(VLOOKUP(Summary!B2959,'Pre-Summary'!$A$6:$P$184,7, FALSE)/100,AE2960)</f>
        <v>2.0549666666666667E-2</v>
      </c>
      <c r="AF2959" s="99">
        <f t="shared" si="139"/>
        <v>0.11798127846759399</v>
      </c>
      <c r="AG2959" s="99">
        <f t="shared" si="140"/>
        <v>2.2842604262514964E-2</v>
      </c>
      <c r="AH2959" s="10" t="str">
        <f>IFERROR(VLOOKUP(B2959,'Pre-Summary'!$AZ$6:$BE$65,3,FALSE),"")</f>
        <v/>
      </c>
      <c r="AI2959" s="10" t="str">
        <f>IFERROR(VLOOKUP(B2959,'Pre-Summary'!$AZ$6:$BE$65,5,FALSE),"")</f>
        <v/>
      </c>
      <c r="AJ2959" s="10" t="str">
        <f>IFERROR(VLOOKUP(B2959,'Pre-Summary'!$AZ$6:$BE$65,4,FALSE),"")</f>
        <v/>
      </c>
      <c r="AK2959" s="10" t="str">
        <f>IFERROR(VLOOKUP(B2959,'Pre-Summary'!$AZ$6:$BE$65,6,FALSE),"")</f>
        <v/>
      </c>
      <c r="AL2959" s="10" t="str">
        <f>IFERROR(VLOOKUP(B2959,'Pre-Summary'!$BG$6:$BL$44,3,FALSE),"")</f>
        <v/>
      </c>
      <c r="AM2959" s="10" t="str">
        <f>IFERROR(VLOOKUP(B2959,'Pre-Summary'!$BG$6:$BL$44,4,FALSE),"")</f>
        <v/>
      </c>
    </row>
    <row r="2960" spans="2:39" ht="15" customHeight="1" x14ac:dyDescent="0.3">
      <c r="B2960">
        <v>295.7</v>
      </c>
      <c r="C2960" t="str">
        <f>IFERROR(VLOOKUP(B2960,'Pre-Summary'!$DI$6:$DM$23,4,FALSE),"")</f>
        <v/>
      </c>
      <c r="D2960" s="10" t="str">
        <f>IFERROR(VLOOKUP(B2960,'Pre-Summary'!$AT$6:$AX$14,5,FALSE),D2959)</f>
        <v>Wolfe v3: went back to modified wolfe + EDTA and switched CuSO4 to CUCl2</v>
      </c>
      <c r="E2960" s="10" t="str">
        <f>IFERROR(VLOOKUP(B2960,'Pre-Summary'!$AT$6:$AX$15,4,FALSE),"")</f>
        <v/>
      </c>
      <c r="F2960">
        <f>IFERROR(VLOOKUP(B2960,'Pre-Summary'!$AL$6:$AQ$13,6,FALSE),F2959)</f>
        <v>5.9405263157894746E-2</v>
      </c>
      <c r="G2960" t="str">
        <f>IFERROR(VLOOKUP(B2960,'Pre-Summary'!$AE$6:$AJ$85,3,FALSE),"")</f>
        <v/>
      </c>
      <c r="H2960" t="str">
        <f>IFERROR(VLOOKUP(B2960,'Pre-Summary'!$AE$6:$AJ$85,4,FALSE),"")</f>
        <v/>
      </c>
      <c r="I2960" t="str">
        <f>IFERROR(VLOOKUP(B2960,'Pre-Summary'!$AE$6:$AJ$85,5,FALSE),"")</f>
        <v/>
      </c>
      <c r="J2960" s="45" t="str">
        <f>IFERROR(VLOOKUP(B2960,'Pre-Summary'!$AE$6:$AJ$85,6, FALSE),"")</f>
        <v/>
      </c>
      <c r="K2960" s="45" t="str">
        <f>IFERROR(VLOOKUP(B2960,'Pre-Summary'!$DE$6:$DG$61,3,FALSE),"")</f>
        <v/>
      </c>
      <c r="L2960" s="45" t="str">
        <f>IFERROR(VLOOKUP(B2960,'Pre-Summary'!$CU$6:$CW$36,3,FALSE),"")</f>
        <v/>
      </c>
      <c r="M2960" s="45" t="str">
        <f>IFERROR(VLOOKUP(B2960,'Pre-Summary'!$BW$6:$BY$58,2,FALSE),"")</f>
        <v/>
      </c>
      <c r="N2960" s="45" t="str">
        <f>IFERROR(VLOOKUP(B2960,'Pre-Summary'!$CD$6:$CF$64,2,FALSE),"")</f>
        <v/>
      </c>
      <c r="O2960" s="99">
        <f>IFERROR(VLOOKUP(B2960,'Pre-Summary'!$BO$6:$BQ$48,3, FALSE),O2959)</f>
        <v>2.77</v>
      </c>
      <c r="P2960" s="99">
        <f>IFERROR(VLOOKUP(B2960,'Pre-Summary'!$BS$6:$BU$35,3,FALSE),P2959)</f>
        <v>0.70099999999999996</v>
      </c>
      <c r="Q2960" s="54">
        <f t="shared" si="138"/>
        <v>3.9514978601997148</v>
      </c>
      <c r="R2960" s="53">
        <f>IFERROR(VLOOKUP(B2960,'Pre-Summary'!$BG$6:$BM$44,7,FALSE),R2961)</f>
        <v>0</v>
      </c>
      <c r="S2960" s="53" t="e">
        <f>VLOOKUP(B2960,'Pre-Summary'!$BG$6:$BM$44,6,FALSE)</f>
        <v>#N/A</v>
      </c>
      <c r="T2960" s="45" t="str">
        <f>IFERROR(VLOOKUP(B2960,'Pre-Summary'!$Y$6:$AC$83, 3,FALSE),"")</f>
        <v/>
      </c>
      <c r="U2960" s="45" t="str">
        <f>IFERROR(VLOOKUP(B2960,'Pre-Summary'!$Y$6:$AC$83, 4,FALSE),"")</f>
        <v/>
      </c>
      <c r="V2960" t="str">
        <f>IFERROR(VLOOKUP(B2960,'Pre-Summary'!$Y$6:$AC$83, 5,FALSE),"")</f>
        <v/>
      </c>
      <c r="W2960" s="45" t="str">
        <f>IFERROR(VLOOKUP(B2960,'Pre-Summary'!$Y$6:$AD$83,6,FALSE),"")</f>
        <v/>
      </c>
      <c r="X2960" t="str">
        <f>IFERROR(VLOOKUP('Pre-Summary'!$DB$6:$DD$63,3,FALSE),"")</f>
        <v/>
      </c>
      <c r="Y2960" t="str">
        <f>IFERROR(VLOOKUP(B2960,'Pre-Summary'!$CR$6:$CT$36,3,FALSE),"")</f>
        <v/>
      </c>
      <c r="Z2960" s="45" t="str">
        <f>IFERROR(VLOOKUP(B2960,'Pre-Summary'!$BZ$6:$CB$63,2,FALSE),"")</f>
        <v/>
      </c>
      <c r="AA2960" s="45" t="str">
        <f>IFERROR(VLOOKUP(B2960,'Pre-Summary'!$CG$6:$CI$70,2,FALSE),"")</f>
        <v/>
      </c>
      <c r="AB2960" s="99">
        <f>IFERROR(VLOOKUP(B2960,'Pre-Summary'!$A$6:$P$178,9,FALSE),AB2961)</f>
        <v>1.111580281716571</v>
      </c>
      <c r="AC2960" s="10">
        <f>IFERROR(VLOOKUP(Summary!B2960,'Pre-Summary'!$A$6:$P$184,5, FALSE)/100,AC2961)</f>
        <v>0.87331200000000009</v>
      </c>
      <c r="AD2960" s="10">
        <f>IFERROR(VLOOKUP(Summary!B2960,'Pre-Summary'!$A$6:$P$184,3, FALSE)/100,AD2961)</f>
        <v>0.10613833333333333</v>
      </c>
      <c r="AE2960" s="10">
        <f>IFERROR(VLOOKUP(Summary!B2960,'Pre-Summary'!$A$6:$P$184,7, FALSE)/100,AE2961)</f>
        <v>2.0549666666666667E-2</v>
      </c>
      <c r="AF2960" s="99">
        <f t="shared" si="139"/>
        <v>0.11798127846759399</v>
      </c>
      <c r="AG2960" s="99">
        <f t="shared" si="140"/>
        <v>2.2842604262514964E-2</v>
      </c>
      <c r="AH2960" s="10" t="str">
        <f>IFERROR(VLOOKUP(B2960,'Pre-Summary'!$AZ$6:$BE$65,3,FALSE),"")</f>
        <v/>
      </c>
      <c r="AI2960" s="10" t="str">
        <f>IFERROR(VLOOKUP(B2960,'Pre-Summary'!$AZ$6:$BE$65,5,FALSE),"")</f>
        <v/>
      </c>
      <c r="AJ2960" s="10" t="str">
        <f>IFERROR(VLOOKUP(B2960,'Pre-Summary'!$AZ$6:$BE$65,4,FALSE),"")</f>
        <v/>
      </c>
      <c r="AK2960" s="10" t="str">
        <f>IFERROR(VLOOKUP(B2960,'Pre-Summary'!$AZ$6:$BE$65,6,FALSE),"")</f>
        <v/>
      </c>
      <c r="AL2960" s="10" t="str">
        <f>IFERROR(VLOOKUP(B2960,'Pre-Summary'!$BG$6:$BL$44,3,FALSE),"")</f>
        <v/>
      </c>
      <c r="AM2960" s="10" t="str">
        <f>IFERROR(VLOOKUP(B2960,'Pre-Summary'!$BG$6:$BL$44,4,FALSE),"")</f>
        <v/>
      </c>
    </row>
    <row r="2961" spans="2:39" ht="15" customHeight="1" x14ac:dyDescent="0.3">
      <c r="B2961">
        <v>295.8</v>
      </c>
      <c r="C2961" t="str">
        <f>IFERROR(VLOOKUP(B2961,'Pre-Summary'!$DI$6:$DM$23,4,FALSE),"")</f>
        <v/>
      </c>
      <c r="D2961" s="10" t="str">
        <f>IFERROR(VLOOKUP(B2961,'Pre-Summary'!$AT$6:$AX$14,5,FALSE),D2960)</f>
        <v>Wolfe v3: went back to modified wolfe + EDTA and switched CuSO4 to CUCl2</v>
      </c>
      <c r="E2961" s="10" t="str">
        <f>IFERROR(VLOOKUP(B2961,'Pre-Summary'!$AT$6:$AX$15,4,FALSE),"")</f>
        <v/>
      </c>
      <c r="F2961">
        <f>IFERROR(VLOOKUP(B2961,'Pre-Summary'!$AL$6:$AQ$13,6,FALSE),F2960)</f>
        <v>5.9405263157894746E-2</v>
      </c>
      <c r="G2961" t="str">
        <f>IFERROR(VLOOKUP(B2961,'Pre-Summary'!$AE$6:$AJ$85,3,FALSE),"")</f>
        <v/>
      </c>
      <c r="H2961" t="str">
        <f>IFERROR(VLOOKUP(B2961,'Pre-Summary'!$AE$6:$AJ$85,4,FALSE),"")</f>
        <v/>
      </c>
      <c r="I2961" t="str">
        <f>IFERROR(VLOOKUP(B2961,'Pre-Summary'!$AE$6:$AJ$85,5,FALSE),"")</f>
        <v/>
      </c>
      <c r="J2961" s="45" t="str">
        <f>IFERROR(VLOOKUP(B2961,'Pre-Summary'!$AE$6:$AJ$85,6, FALSE),"")</f>
        <v/>
      </c>
      <c r="K2961" s="45" t="str">
        <f>IFERROR(VLOOKUP(B2961,'Pre-Summary'!$DE$6:$DG$61,3,FALSE),"")</f>
        <v/>
      </c>
      <c r="L2961" s="45" t="str">
        <f>IFERROR(VLOOKUP(B2961,'Pre-Summary'!$CU$6:$CW$36,3,FALSE),"")</f>
        <v/>
      </c>
      <c r="M2961" s="45" t="str">
        <f>IFERROR(VLOOKUP(B2961,'Pre-Summary'!$BW$6:$BY$58,2,FALSE),"")</f>
        <v/>
      </c>
      <c r="N2961" s="45" t="str">
        <f>IFERROR(VLOOKUP(B2961,'Pre-Summary'!$CD$6:$CF$64,2,FALSE),"")</f>
        <v/>
      </c>
      <c r="O2961" s="99">
        <f>IFERROR(VLOOKUP(B2961,'Pre-Summary'!$BO$6:$BQ$48,3, FALSE),O2960)</f>
        <v>2.77</v>
      </c>
      <c r="P2961" s="99">
        <f>IFERROR(VLOOKUP(B2961,'Pre-Summary'!$BS$6:$BU$35,3,FALSE),P2960)</f>
        <v>0.70099999999999996</v>
      </c>
      <c r="Q2961" s="54">
        <f t="shared" si="138"/>
        <v>3.9514978601997148</v>
      </c>
      <c r="R2961" s="53">
        <f>IFERROR(VLOOKUP(B2961,'Pre-Summary'!$BG$6:$BM$44,7,FALSE),R2962)</f>
        <v>0</v>
      </c>
      <c r="S2961" s="53" t="e">
        <f>VLOOKUP(B2961,'Pre-Summary'!$BG$6:$BM$44,6,FALSE)</f>
        <v>#N/A</v>
      </c>
      <c r="T2961" s="45" t="str">
        <f>IFERROR(VLOOKUP(B2961,'Pre-Summary'!$Y$6:$AC$83, 3,FALSE),"")</f>
        <v/>
      </c>
      <c r="U2961" s="45" t="str">
        <f>IFERROR(VLOOKUP(B2961,'Pre-Summary'!$Y$6:$AC$83, 4,FALSE),"")</f>
        <v/>
      </c>
      <c r="V2961" t="str">
        <f>IFERROR(VLOOKUP(B2961,'Pre-Summary'!$Y$6:$AC$83, 5,FALSE),"")</f>
        <v/>
      </c>
      <c r="W2961" s="45" t="str">
        <f>IFERROR(VLOOKUP(B2961,'Pre-Summary'!$Y$6:$AD$83,6,FALSE),"")</f>
        <v/>
      </c>
      <c r="X2961" t="str">
        <f>IFERROR(VLOOKUP('Pre-Summary'!$DB$6:$DD$63,3,FALSE),"")</f>
        <v/>
      </c>
      <c r="Y2961" t="str">
        <f>IFERROR(VLOOKUP(B2961,'Pre-Summary'!$CR$6:$CT$36,3,FALSE),"")</f>
        <v/>
      </c>
      <c r="Z2961" s="45" t="str">
        <f>IFERROR(VLOOKUP(B2961,'Pre-Summary'!$BZ$6:$CB$63,2,FALSE),"")</f>
        <v/>
      </c>
      <c r="AA2961" s="45" t="str">
        <f>IFERROR(VLOOKUP(B2961,'Pre-Summary'!$CG$6:$CI$70,2,FALSE),"")</f>
        <v/>
      </c>
      <c r="AB2961" s="99">
        <f>IFERROR(VLOOKUP(B2961,'Pre-Summary'!$A$6:$P$178,9,FALSE),AB2962)</f>
        <v>1.111580281716571</v>
      </c>
      <c r="AC2961" s="10">
        <f>IFERROR(VLOOKUP(Summary!B2961,'Pre-Summary'!$A$6:$P$184,5, FALSE)/100,AC2962)</f>
        <v>0.87331200000000009</v>
      </c>
      <c r="AD2961" s="10">
        <f>IFERROR(VLOOKUP(Summary!B2961,'Pre-Summary'!$A$6:$P$184,3, FALSE)/100,AD2962)</f>
        <v>0.10613833333333333</v>
      </c>
      <c r="AE2961" s="10">
        <f>IFERROR(VLOOKUP(Summary!B2961,'Pre-Summary'!$A$6:$P$184,7, FALSE)/100,AE2962)</f>
        <v>2.0549666666666667E-2</v>
      </c>
      <c r="AF2961" s="99">
        <f t="shared" si="139"/>
        <v>0.11798127846759399</v>
      </c>
      <c r="AG2961" s="99">
        <f t="shared" si="140"/>
        <v>2.2842604262514964E-2</v>
      </c>
      <c r="AH2961" s="10" t="str">
        <f>IFERROR(VLOOKUP(B2961,'Pre-Summary'!$AZ$6:$BE$65,3,FALSE),"")</f>
        <v/>
      </c>
      <c r="AI2961" s="10" t="str">
        <f>IFERROR(VLOOKUP(B2961,'Pre-Summary'!$AZ$6:$BE$65,5,FALSE),"")</f>
        <v/>
      </c>
      <c r="AJ2961" s="10" t="str">
        <f>IFERROR(VLOOKUP(B2961,'Pre-Summary'!$AZ$6:$BE$65,4,FALSE),"")</f>
        <v/>
      </c>
      <c r="AK2961" s="10" t="str">
        <f>IFERROR(VLOOKUP(B2961,'Pre-Summary'!$AZ$6:$BE$65,6,FALSE),"")</f>
        <v/>
      </c>
      <c r="AL2961" s="10" t="str">
        <f>IFERROR(VLOOKUP(B2961,'Pre-Summary'!$BG$6:$BL$44,3,FALSE),"")</f>
        <v/>
      </c>
      <c r="AM2961" s="10" t="str">
        <f>IFERROR(VLOOKUP(B2961,'Pre-Summary'!$BG$6:$BL$44,4,FALSE),"")</f>
        <v/>
      </c>
    </row>
    <row r="2962" spans="2:39" ht="15" customHeight="1" x14ac:dyDescent="0.3">
      <c r="B2962">
        <v>295.89999999999998</v>
      </c>
      <c r="C2962" t="str">
        <f>IFERROR(VLOOKUP(B2962,'Pre-Summary'!$DI$6:$DM$23,4,FALSE),"")</f>
        <v/>
      </c>
      <c r="D2962" s="10" t="str">
        <f>IFERROR(VLOOKUP(B2962,'Pre-Summary'!$AT$6:$AX$14,5,FALSE),D2961)</f>
        <v>Wolfe v3: went back to modified wolfe + EDTA and switched CuSO4 to CUCl2</v>
      </c>
      <c r="E2962" s="10" t="str">
        <f>IFERROR(VLOOKUP(B2962,'Pre-Summary'!$AT$6:$AX$15,4,FALSE),"")</f>
        <v/>
      </c>
      <c r="F2962">
        <f>IFERROR(VLOOKUP(B2962,'Pre-Summary'!$AL$6:$AQ$13,6,FALSE),F2961)</f>
        <v>5.9405263157894746E-2</v>
      </c>
      <c r="G2962" t="str">
        <f>IFERROR(VLOOKUP(B2962,'Pre-Summary'!$AE$6:$AJ$85,3,FALSE),"")</f>
        <v/>
      </c>
      <c r="H2962" t="str">
        <f>IFERROR(VLOOKUP(B2962,'Pre-Summary'!$AE$6:$AJ$85,4,FALSE),"")</f>
        <v/>
      </c>
      <c r="I2962" t="str">
        <f>IFERROR(VLOOKUP(B2962,'Pre-Summary'!$AE$6:$AJ$85,5,FALSE),"")</f>
        <v/>
      </c>
      <c r="J2962" s="45" t="str">
        <f>IFERROR(VLOOKUP(B2962,'Pre-Summary'!$AE$6:$AJ$85,6, FALSE),"")</f>
        <v/>
      </c>
      <c r="K2962" s="45" t="str">
        <f>IFERROR(VLOOKUP(B2962,'Pre-Summary'!$DE$6:$DG$61,3,FALSE),"")</f>
        <v/>
      </c>
      <c r="L2962" s="45" t="str">
        <f>IFERROR(VLOOKUP(B2962,'Pre-Summary'!$CU$6:$CW$36,3,FALSE),"")</f>
        <v/>
      </c>
      <c r="M2962" s="45" t="str">
        <f>IFERROR(VLOOKUP(B2962,'Pre-Summary'!$BW$6:$BY$58,2,FALSE),"")</f>
        <v/>
      </c>
      <c r="N2962" s="45" t="str">
        <f>IFERROR(VLOOKUP(B2962,'Pre-Summary'!$CD$6:$CF$64,2,FALSE),"")</f>
        <v/>
      </c>
      <c r="O2962" s="99">
        <f>IFERROR(VLOOKUP(B2962,'Pre-Summary'!$BO$6:$BQ$48,3, FALSE),O2961)</f>
        <v>2.77</v>
      </c>
      <c r="P2962" s="99">
        <f>IFERROR(VLOOKUP(B2962,'Pre-Summary'!$BS$6:$BU$35,3,FALSE),P2961)</f>
        <v>0.70099999999999996</v>
      </c>
      <c r="Q2962" s="54">
        <f t="shared" si="138"/>
        <v>3.9514978601997148</v>
      </c>
      <c r="R2962" s="53">
        <f>IFERROR(VLOOKUP(B2962,'Pre-Summary'!$BG$6:$BM$44,7,FALSE),R2963)</f>
        <v>0</v>
      </c>
      <c r="S2962" s="53" t="e">
        <f>VLOOKUP(B2962,'Pre-Summary'!$BG$6:$BM$44,6,FALSE)</f>
        <v>#N/A</v>
      </c>
      <c r="T2962" s="45" t="str">
        <f>IFERROR(VLOOKUP(B2962,'Pre-Summary'!$Y$6:$AC$83, 3,FALSE),"")</f>
        <v/>
      </c>
      <c r="U2962" s="45" t="str">
        <f>IFERROR(VLOOKUP(B2962,'Pre-Summary'!$Y$6:$AC$83, 4,FALSE),"")</f>
        <v/>
      </c>
      <c r="V2962" t="str">
        <f>IFERROR(VLOOKUP(B2962,'Pre-Summary'!$Y$6:$AC$83, 5,FALSE),"")</f>
        <v/>
      </c>
      <c r="W2962" s="45" t="str">
        <f>IFERROR(VLOOKUP(B2962,'Pre-Summary'!$Y$6:$AD$83,6,FALSE),"")</f>
        <v/>
      </c>
      <c r="X2962" t="str">
        <f>IFERROR(VLOOKUP('Pre-Summary'!$DB$6:$DD$63,3,FALSE),"")</f>
        <v/>
      </c>
      <c r="Y2962" t="str">
        <f>IFERROR(VLOOKUP(B2962,'Pre-Summary'!$CR$6:$CT$36,3,FALSE),"")</f>
        <v/>
      </c>
      <c r="Z2962" s="45" t="str">
        <f>IFERROR(VLOOKUP(B2962,'Pre-Summary'!$BZ$6:$CB$63,2,FALSE),"")</f>
        <v/>
      </c>
      <c r="AA2962" s="45" t="str">
        <f>IFERROR(VLOOKUP(B2962,'Pre-Summary'!$CG$6:$CI$70,2,FALSE),"")</f>
        <v/>
      </c>
      <c r="AB2962" s="99">
        <f>IFERROR(VLOOKUP(B2962,'Pre-Summary'!$A$6:$P$178,9,FALSE),AB2963)</f>
        <v>1.111580281716571</v>
      </c>
      <c r="AC2962" s="10">
        <f>IFERROR(VLOOKUP(Summary!B2962,'Pre-Summary'!$A$6:$P$184,5, FALSE)/100,AC2963)</f>
        <v>0.87331200000000009</v>
      </c>
      <c r="AD2962" s="10">
        <f>IFERROR(VLOOKUP(Summary!B2962,'Pre-Summary'!$A$6:$P$184,3, FALSE)/100,AD2963)</f>
        <v>0.10613833333333333</v>
      </c>
      <c r="AE2962" s="10">
        <f>IFERROR(VLOOKUP(Summary!B2962,'Pre-Summary'!$A$6:$P$184,7, FALSE)/100,AE2963)</f>
        <v>2.0549666666666667E-2</v>
      </c>
      <c r="AF2962" s="99">
        <f t="shared" si="139"/>
        <v>0.11798127846759399</v>
      </c>
      <c r="AG2962" s="99">
        <f t="shared" si="140"/>
        <v>2.2842604262514964E-2</v>
      </c>
      <c r="AH2962" s="10" t="str">
        <f>IFERROR(VLOOKUP(B2962,'Pre-Summary'!$AZ$6:$BE$65,3,FALSE),"")</f>
        <v/>
      </c>
      <c r="AI2962" s="10" t="str">
        <f>IFERROR(VLOOKUP(B2962,'Pre-Summary'!$AZ$6:$BE$65,5,FALSE),"")</f>
        <v/>
      </c>
      <c r="AJ2962" s="10" t="str">
        <f>IFERROR(VLOOKUP(B2962,'Pre-Summary'!$AZ$6:$BE$65,4,FALSE),"")</f>
        <v/>
      </c>
      <c r="AK2962" s="10" t="str">
        <f>IFERROR(VLOOKUP(B2962,'Pre-Summary'!$AZ$6:$BE$65,6,FALSE),"")</f>
        <v/>
      </c>
      <c r="AL2962" s="10" t="str">
        <f>IFERROR(VLOOKUP(B2962,'Pre-Summary'!$BG$6:$BL$44,3,FALSE),"")</f>
        <v/>
      </c>
      <c r="AM2962" s="10" t="str">
        <f>IFERROR(VLOOKUP(B2962,'Pre-Summary'!$BG$6:$BL$44,4,FALSE),"")</f>
        <v/>
      </c>
    </row>
    <row r="2963" spans="2:39" ht="15" customHeight="1" x14ac:dyDescent="0.3">
      <c r="B2963">
        <v>296</v>
      </c>
      <c r="C2963" t="str">
        <f>IFERROR(VLOOKUP(B2963,'Pre-Summary'!$DI$6:$DM$23,4,FALSE),"")</f>
        <v/>
      </c>
      <c r="D2963" s="10" t="str">
        <f>IFERROR(VLOOKUP(B2963,'Pre-Summary'!$AT$6:$AX$14,5,FALSE),D2962)</f>
        <v>Wolfe v3: went back to modified wolfe + EDTA and switched CuSO4 to CUCl2</v>
      </c>
      <c r="E2963" s="10" t="str">
        <f>IFERROR(VLOOKUP(B2963,'Pre-Summary'!$AT$6:$AX$15,4,FALSE),"")</f>
        <v/>
      </c>
      <c r="F2963">
        <f>IFERROR(VLOOKUP(B2963,'Pre-Summary'!$AL$6:$AQ$13,6,FALSE),F2962)</f>
        <v>5.9405263157894746E-2</v>
      </c>
      <c r="G2963" t="str">
        <f>IFERROR(VLOOKUP(B2963,'Pre-Summary'!$AE$6:$AJ$85,3,FALSE),"")</f>
        <v/>
      </c>
      <c r="H2963" t="str">
        <f>IFERROR(VLOOKUP(B2963,'Pre-Summary'!$AE$6:$AJ$85,4,FALSE),"")</f>
        <v/>
      </c>
      <c r="I2963" t="str">
        <f>IFERROR(VLOOKUP(B2963,'Pre-Summary'!$AE$6:$AJ$85,5,FALSE),"")</f>
        <v/>
      </c>
      <c r="J2963" s="45" t="str">
        <f>IFERROR(VLOOKUP(B2963,'Pre-Summary'!$AE$6:$AJ$85,6, FALSE),"")</f>
        <v/>
      </c>
      <c r="K2963" s="45" t="str">
        <f>IFERROR(VLOOKUP(B2963,'Pre-Summary'!$DE$6:$DG$61,3,FALSE),"")</f>
        <v/>
      </c>
      <c r="L2963" s="45" t="str">
        <f>IFERROR(VLOOKUP(B2963,'Pre-Summary'!$CU$6:$CW$36,3,FALSE),"")</f>
        <v/>
      </c>
      <c r="M2963" s="45" t="str">
        <f>IFERROR(VLOOKUP(B2963,'Pre-Summary'!$BW$6:$BY$58,2,FALSE),"")</f>
        <v/>
      </c>
      <c r="N2963" s="45" t="str">
        <f>IFERROR(VLOOKUP(B2963,'Pre-Summary'!$CD$6:$CF$64,2,FALSE),"")</f>
        <v/>
      </c>
      <c r="O2963" s="99">
        <f>IFERROR(VLOOKUP(B2963,'Pre-Summary'!$BO$6:$BQ$48,3, FALSE),O2962)</f>
        <v>2.77</v>
      </c>
      <c r="P2963" s="99">
        <f>IFERROR(VLOOKUP(B2963,'Pre-Summary'!$BS$6:$BU$35,3,FALSE),P2962)</f>
        <v>0.70099999999999996</v>
      </c>
      <c r="Q2963" s="54">
        <f t="shared" si="138"/>
        <v>3.9514978601997148</v>
      </c>
      <c r="R2963" s="53">
        <f>IFERROR(VLOOKUP(B2963,'Pre-Summary'!$BG$6:$BM$44,7,FALSE),R2964)</f>
        <v>0</v>
      </c>
      <c r="S2963" s="53" t="e">
        <f>VLOOKUP(B2963,'Pre-Summary'!$BG$6:$BM$44,6,FALSE)</f>
        <v>#N/A</v>
      </c>
      <c r="T2963" s="45" t="str">
        <f>IFERROR(VLOOKUP(B2963,'Pre-Summary'!$Y$6:$AC$83, 3,FALSE),"")</f>
        <v/>
      </c>
      <c r="U2963" s="45" t="str">
        <f>IFERROR(VLOOKUP(B2963,'Pre-Summary'!$Y$6:$AC$83, 4,FALSE),"")</f>
        <v/>
      </c>
      <c r="V2963" t="str">
        <f>IFERROR(VLOOKUP(B2963,'Pre-Summary'!$Y$6:$AC$83, 5,FALSE),"")</f>
        <v/>
      </c>
      <c r="W2963" s="45" t="str">
        <f>IFERROR(VLOOKUP(B2963,'Pre-Summary'!$Y$6:$AD$83,6,FALSE),"")</f>
        <v/>
      </c>
      <c r="X2963" t="str">
        <f>IFERROR(VLOOKUP('Pre-Summary'!$DB$6:$DD$63,3,FALSE),"")</f>
        <v/>
      </c>
      <c r="Y2963" t="str">
        <f>IFERROR(VLOOKUP(B2963,'Pre-Summary'!$CR$6:$CT$36,3,FALSE),"")</f>
        <v/>
      </c>
      <c r="Z2963" s="45" t="str">
        <f>IFERROR(VLOOKUP(B2963,'Pre-Summary'!$BZ$6:$CB$63,2,FALSE),"")</f>
        <v/>
      </c>
      <c r="AA2963" s="45" t="str">
        <f>IFERROR(VLOOKUP(B2963,'Pre-Summary'!$CG$6:$CI$70,2,FALSE),"")</f>
        <v/>
      </c>
      <c r="AB2963" s="99">
        <f>IFERROR(VLOOKUP(B2963,'Pre-Summary'!$A$6:$P$178,9,FALSE),AB2964)</f>
        <v>1.111580281716571</v>
      </c>
      <c r="AC2963" s="10">
        <f>IFERROR(VLOOKUP(Summary!B2963,'Pre-Summary'!$A$6:$P$184,5, FALSE)/100,AC2964)</f>
        <v>0.87331200000000009</v>
      </c>
      <c r="AD2963" s="10">
        <f>IFERROR(VLOOKUP(Summary!B2963,'Pre-Summary'!$A$6:$P$184,3, FALSE)/100,AD2964)</f>
        <v>0.10613833333333333</v>
      </c>
      <c r="AE2963" s="10">
        <f>IFERROR(VLOOKUP(Summary!B2963,'Pre-Summary'!$A$6:$P$184,7, FALSE)/100,AE2964)</f>
        <v>2.0549666666666667E-2</v>
      </c>
      <c r="AF2963" s="99">
        <f t="shared" si="139"/>
        <v>0.11798127846759399</v>
      </c>
      <c r="AG2963" s="99">
        <f t="shared" si="140"/>
        <v>2.2842604262514964E-2</v>
      </c>
      <c r="AH2963" s="10" t="str">
        <f>IFERROR(VLOOKUP(B2963,'Pre-Summary'!$AZ$6:$BE$65,3,FALSE),"")</f>
        <v/>
      </c>
      <c r="AI2963" s="10" t="str">
        <f>IFERROR(VLOOKUP(B2963,'Pre-Summary'!$AZ$6:$BE$65,5,FALSE),"")</f>
        <v/>
      </c>
      <c r="AJ2963" s="10" t="str">
        <f>IFERROR(VLOOKUP(B2963,'Pre-Summary'!$AZ$6:$BE$65,4,FALSE),"")</f>
        <v/>
      </c>
      <c r="AK2963" s="10" t="str">
        <f>IFERROR(VLOOKUP(B2963,'Pre-Summary'!$AZ$6:$BE$65,6,FALSE),"")</f>
        <v/>
      </c>
      <c r="AL2963" s="10" t="str">
        <f>IFERROR(VLOOKUP(B2963,'Pre-Summary'!$BG$6:$BL$44,3,FALSE),"")</f>
        <v/>
      </c>
      <c r="AM2963" s="10" t="str">
        <f>IFERROR(VLOOKUP(B2963,'Pre-Summary'!$BG$6:$BL$44,4,FALSE),"")</f>
        <v/>
      </c>
    </row>
    <row r="2964" spans="2:39" ht="15" customHeight="1" x14ac:dyDescent="0.3">
      <c r="B2964">
        <v>296.10000000000002</v>
      </c>
      <c r="C2964" t="str">
        <f>IFERROR(VLOOKUP(B2964,'Pre-Summary'!$DI$6:$DM$23,4,FALSE),"")</f>
        <v/>
      </c>
      <c r="D2964" s="10" t="str">
        <f>IFERROR(VLOOKUP(B2964,'Pre-Summary'!$AT$6:$AX$14,5,FALSE),D2963)</f>
        <v>Wolfe v3: went back to modified wolfe + EDTA and switched CuSO4 to CUCl2</v>
      </c>
      <c r="E2964" s="10" t="str">
        <f>IFERROR(VLOOKUP(B2964,'Pre-Summary'!$AT$6:$AX$15,4,FALSE),"")</f>
        <v/>
      </c>
      <c r="F2964">
        <f>IFERROR(VLOOKUP(B2964,'Pre-Summary'!$AL$6:$AQ$13,6,FALSE),F2963)</f>
        <v>5.9405263157894746E-2</v>
      </c>
      <c r="G2964" t="str">
        <f>IFERROR(VLOOKUP(B2964,'Pre-Summary'!$AE$6:$AJ$85,3,FALSE),"")</f>
        <v/>
      </c>
      <c r="H2964" t="str">
        <f>IFERROR(VLOOKUP(B2964,'Pre-Summary'!$AE$6:$AJ$85,4,FALSE),"")</f>
        <v/>
      </c>
      <c r="I2964" t="str">
        <f>IFERROR(VLOOKUP(B2964,'Pre-Summary'!$AE$6:$AJ$85,5,FALSE),"")</f>
        <v/>
      </c>
      <c r="J2964" s="45" t="str">
        <f>IFERROR(VLOOKUP(B2964,'Pre-Summary'!$AE$6:$AJ$85,6, FALSE),"")</f>
        <v/>
      </c>
      <c r="K2964" s="45" t="str">
        <f>IFERROR(VLOOKUP(B2964,'Pre-Summary'!$DE$6:$DG$61,3,FALSE),"")</f>
        <v/>
      </c>
      <c r="L2964" s="45" t="str">
        <f>IFERROR(VLOOKUP(B2964,'Pre-Summary'!$CU$6:$CW$36,3,FALSE),"")</f>
        <v/>
      </c>
      <c r="M2964" s="45" t="str">
        <f>IFERROR(VLOOKUP(B2964,'Pre-Summary'!$BW$6:$BY$58,2,FALSE),"")</f>
        <v/>
      </c>
      <c r="N2964" s="45" t="str">
        <f>IFERROR(VLOOKUP(B2964,'Pre-Summary'!$CD$6:$CF$64,2,FALSE),"")</f>
        <v/>
      </c>
      <c r="O2964" s="99">
        <f>IFERROR(VLOOKUP(B2964,'Pre-Summary'!$BO$6:$BQ$48,3, FALSE),O2963)</f>
        <v>2.77</v>
      </c>
      <c r="P2964" s="99">
        <f>IFERROR(VLOOKUP(B2964,'Pre-Summary'!$BS$6:$BU$35,3,FALSE),P2963)</f>
        <v>0.70099999999999996</v>
      </c>
      <c r="Q2964" s="54">
        <f t="shared" si="138"/>
        <v>3.9514978601997148</v>
      </c>
      <c r="R2964" s="53">
        <f>IFERROR(VLOOKUP(B2964,'Pre-Summary'!$BG$6:$BM$44,7,FALSE),R2965)</f>
        <v>0</v>
      </c>
      <c r="S2964" s="53" t="e">
        <f>VLOOKUP(B2964,'Pre-Summary'!$BG$6:$BM$44,6,FALSE)</f>
        <v>#N/A</v>
      </c>
      <c r="T2964" s="45" t="str">
        <f>IFERROR(VLOOKUP(B2964,'Pre-Summary'!$Y$6:$AC$83, 3,FALSE),"")</f>
        <v/>
      </c>
      <c r="U2964" s="45" t="str">
        <f>IFERROR(VLOOKUP(B2964,'Pre-Summary'!$Y$6:$AC$83, 4,FALSE),"")</f>
        <v/>
      </c>
      <c r="V2964" t="str">
        <f>IFERROR(VLOOKUP(B2964,'Pre-Summary'!$Y$6:$AC$83, 5,FALSE),"")</f>
        <v/>
      </c>
      <c r="W2964" s="45" t="str">
        <f>IFERROR(VLOOKUP(B2964,'Pre-Summary'!$Y$6:$AD$83,6,FALSE),"")</f>
        <v/>
      </c>
      <c r="X2964" t="str">
        <f>IFERROR(VLOOKUP('Pre-Summary'!$DB$6:$DD$63,3,FALSE),"")</f>
        <v/>
      </c>
      <c r="Y2964" t="str">
        <f>IFERROR(VLOOKUP(B2964,'Pre-Summary'!$CR$6:$CT$36,3,FALSE),"")</f>
        <v/>
      </c>
      <c r="Z2964" s="45" t="str">
        <f>IFERROR(VLOOKUP(B2964,'Pre-Summary'!$BZ$6:$CB$63,2,FALSE),"")</f>
        <v/>
      </c>
      <c r="AA2964" s="45" t="str">
        <f>IFERROR(VLOOKUP(B2964,'Pre-Summary'!$CG$6:$CI$70,2,FALSE),"")</f>
        <v/>
      </c>
      <c r="AB2964" s="99">
        <f>IFERROR(VLOOKUP(B2964,'Pre-Summary'!$A$6:$P$178,9,FALSE),AB2965)</f>
        <v>1.111580281716571</v>
      </c>
      <c r="AC2964" s="10">
        <f>IFERROR(VLOOKUP(Summary!B2964,'Pre-Summary'!$A$6:$P$184,5, FALSE)/100,AC2965)</f>
        <v>0.87331200000000009</v>
      </c>
      <c r="AD2964" s="10">
        <f>IFERROR(VLOOKUP(Summary!B2964,'Pre-Summary'!$A$6:$P$184,3, FALSE)/100,AD2965)</f>
        <v>0.10613833333333333</v>
      </c>
      <c r="AE2964" s="10">
        <f>IFERROR(VLOOKUP(Summary!B2964,'Pre-Summary'!$A$6:$P$184,7, FALSE)/100,AE2965)</f>
        <v>2.0549666666666667E-2</v>
      </c>
      <c r="AF2964" s="99">
        <f t="shared" si="139"/>
        <v>0.11798127846759399</v>
      </c>
      <c r="AG2964" s="99">
        <f t="shared" si="140"/>
        <v>2.2842604262514964E-2</v>
      </c>
      <c r="AH2964" s="10" t="str">
        <f>IFERROR(VLOOKUP(B2964,'Pre-Summary'!$AZ$6:$BE$65,3,FALSE),"")</f>
        <v/>
      </c>
      <c r="AI2964" s="10" t="str">
        <f>IFERROR(VLOOKUP(B2964,'Pre-Summary'!$AZ$6:$BE$65,5,FALSE),"")</f>
        <v/>
      </c>
      <c r="AJ2964" s="10" t="str">
        <f>IFERROR(VLOOKUP(B2964,'Pre-Summary'!$AZ$6:$BE$65,4,FALSE),"")</f>
        <v/>
      </c>
      <c r="AK2964" s="10" t="str">
        <f>IFERROR(VLOOKUP(B2964,'Pre-Summary'!$AZ$6:$BE$65,6,FALSE),"")</f>
        <v/>
      </c>
      <c r="AL2964" s="10" t="str">
        <f>IFERROR(VLOOKUP(B2964,'Pre-Summary'!$BG$6:$BL$44,3,FALSE),"")</f>
        <v/>
      </c>
      <c r="AM2964" s="10" t="str">
        <f>IFERROR(VLOOKUP(B2964,'Pre-Summary'!$BG$6:$BL$44,4,FALSE),"")</f>
        <v/>
      </c>
    </row>
    <row r="2965" spans="2:39" ht="15" customHeight="1" x14ac:dyDescent="0.3">
      <c r="B2965">
        <v>296.2</v>
      </c>
      <c r="C2965" t="str">
        <f>IFERROR(VLOOKUP(B2965,'Pre-Summary'!$DI$6:$DM$23,4,FALSE),"")</f>
        <v/>
      </c>
      <c r="D2965" s="10" t="str">
        <f>IFERROR(VLOOKUP(B2965,'Pre-Summary'!$AT$6:$AX$14,5,FALSE),D2964)</f>
        <v>Wolfe v3: went back to modified wolfe + EDTA and switched CuSO4 to CUCl2</v>
      </c>
      <c r="E2965" s="10" t="str">
        <f>IFERROR(VLOOKUP(B2965,'Pre-Summary'!$AT$6:$AX$15,4,FALSE),"")</f>
        <v/>
      </c>
      <c r="F2965">
        <f>IFERROR(VLOOKUP(B2965,'Pre-Summary'!$AL$6:$AQ$13,6,FALSE),F2964)</f>
        <v>5.9405263157894746E-2</v>
      </c>
      <c r="G2965" t="str">
        <f>IFERROR(VLOOKUP(B2965,'Pre-Summary'!$AE$6:$AJ$85,3,FALSE),"")</f>
        <v/>
      </c>
      <c r="H2965" t="str">
        <f>IFERROR(VLOOKUP(B2965,'Pre-Summary'!$AE$6:$AJ$85,4,FALSE),"")</f>
        <v/>
      </c>
      <c r="I2965" t="str">
        <f>IFERROR(VLOOKUP(B2965,'Pre-Summary'!$AE$6:$AJ$85,5,FALSE),"")</f>
        <v/>
      </c>
      <c r="J2965" s="45" t="str">
        <f>IFERROR(VLOOKUP(B2965,'Pre-Summary'!$AE$6:$AJ$85,6, FALSE),"")</f>
        <v/>
      </c>
      <c r="K2965" s="45" t="str">
        <f>IFERROR(VLOOKUP(B2965,'Pre-Summary'!$DE$6:$DG$61,3,FALSE),"")</f>
        <v/>
      </c>
      <c r="L2965" s="45" t="str">
        <f>IFERROR(VLOOKUP(B2965,'Pre-Summary'!$CU$6:$CW$36,3,FALSE),"")</f>
        <v/>
      </c>
      <c r="M2965" s="45" t="str">
        <f>IFERROR(VLOOKUP(B2965,'Pre-Summary'!$BW$6:$BY$58,2,FALSE),"")</f>
        <v/>
      </c>
      <c r="N2965" s="45" t="str">
        <f>IFERROR(VLOOKUP(B2965,'Pre-Summary'!$CD$6:$CF$64,2,FALSE),"")</f>
        <v/>
      </c>
      <c r="O2965" s="99">
        <f>IFERROR(VLOOKUP(B2965,'Pre-Summary'!$BO$6:$BQ$48,3, FALSE),O2964)</f>
        <v>2.77</v>
      </c>
      <c r="P2965" s="99">
        <f>IFERROR(VLOOKUP(B2965,'Pre-Summary'!$BS$6:$BU$35,3,FALSE),P2964)</f>
        <v>0.70099999999999996</v>
      </c>
      <c r="Q2965" s="54">
        <f t="shared" si="138"/>
        <v>3.9514978601997148</v>
      </c>
      <c r="R2965" s="53">
        <f>IFERROR(VLOOKUP(B2965,'Pre-Summary'!$BG$6:$BM$44,7,FALSE),R2966)</f>
        <v>0</v>
      </c>
      <c r="S2965" s="53" t="e">
        <f>VLOOKUP(B2965,'Pre-Summary'!$BG$6:$BM$44,6,FALSE)</f>
        <v>#N/A</v>
      </c>
      <c r="T2965" s="45" t="str">
        <f>IFERROR(VLOOKUP(B2965,'Pre-Summary'!$Y$6:$AC$83, 3,FALSE),"")</f>
        <v/>
      </c>
      <c r="U2965" s="45" t="str">
        <f>IFERROR(VLOOKUP(B2965,'Pre-Summary'!$Y$6:$AC$83, 4,FALSE),"")</f>
        <v/>
      </c>
      <c r="V2965" t="str">
        <f>IFERROR(VLOOKUP(B2965,'Pre-Summary'!$Y$6:$AC$83, 5,FALSE),"")</f>
        <v/>
      </c>
      <c r="W2965" s="45" t="str">
        <f>IFERROR(VLOOKUP(B2965,'Pre-Summary'!$Y$6:$AD$83,6,FALSE),"")</f>
        <v/>
      </c>
      <c r="X2965" t="str">
        <f>IFERROR(VLOOKUP('Pre-Summary'!$DB$6:$DD$63,3,FALSE),"")</f>
        <v/>
      </c>
      <c r="Y2965" t="str">
        <f>IFERROR(VLOOKUP(B2965,'Pre-Summary'!$CR$6:$CT$36,3,FALSE),"")</f>
        <v/>
      </c>
      <c r="Z2965" s="45" t="str">
        <f>IFERROR(VLOOKUP(B2965,'Pre-Summary'!$BZ$6:$CB$63,2,FALSE),"")</f>
        <v/>
      </c>
      <c r="AA2965" s="45" t="str">
        <f>IFERROR(VLOOKUP(B2965,'Pre-Summary'!$CG$6:$CI$70,2,FALSE),"")</f>
        <v/>
      </c>
      <c r="AB2965" s="99">
        <f>IFERROR(VLOOKUP(B2965,'Pre-Summary'!$A$6:$P$178,9,FALSE),AB2966)</f>
        <v>0.68914361702057381</v>
      </c>
      <c r="AC2965" s="10">
        <f>IFERROR(VLOOKUP(Summary!B2965,'Pre-Summary'!$A$6:$P$184,5, FALSE)/100,AC2966)</f>
        <v>0.92963666666666656</v>
      </c>
      <c r="AD2965" s="10">
        <f>IFERROR(VLOOKUP(Summary!B2965,'Pre-Summary'!$A$6:$P$184,3, FALSE)/100,AD2966)</f>
        <v>3.8144666666666667E-2</v>
      </c>
      <c r="AE2965" s="10">
        <f>IFERROR(VLOOKUP(Summary!B2965,'Pre-Summary'!$A$6:$P$184,7, FALSE)/100,AE2966)</f>
        <v>3.2219333333333336E-2</v>
      </c>
      <c r="AF2965" s="99">
        <f t="shared" si="139"/>
        <v>2.6287153556710782E-2</v>
      </c>
      <c r="AG2965" s="99">
        <f t="shared" si="140"/>
        <v>2.2203747911324876E-2</v>
      </c>
      <c r="AH2965" s="10" t="str">
        <f>IFERROR(VLOOKUP(B2965,'Pre-Summary'!$AZ$6:$BE$65,3,FALSE),"")</f>
        <v/>
      </c>
      <c r="AI2965" s="10" t="str">
        <f>IFERROR(VLOOKUP(B2965,'Pre-Summary'!$AZ$6:$BE$65,5,FALSE),"")</f>
        <v/>
      </c>
      <c r="AJ2965" s="10" t="str">
        <f>IFERROR(VLOOKUP(B2965,'Pre-Summary'!$AZ$6:$BE$65,4,FALSE),"")</f>
        <v/>
      </c>
      <c r="AK2965" s="10" t="str">
        <f>IFERROR(VLOOKUP(B2965,'Pre-Summary'!$AZ$6:$BE$65,6,FALSE),"")</f>
        <v/>
      </c>
      <c r="AL2965" s="10" t="str">
        <f>IFERROR(VLOOKUP(B2965,'Pre-Summary'!$BG$6:$BL$44,3,FALSE),"")</f>
        <v/>
      </c>
      <c r="AM2965" s="10" t="str">
        <f>IFERROR(VLOOKUP(B2965,'Pre-Summary'!$BG$6:$BL$44,4,FALSE),"")</f>
        <v/>
      </c>
    </row>
    <row r="2966" spans="2:39" ht="15" customHeight="1" x14ac:dyDescent="0.3">
      <c r="B2966">
        <v>296.3</v>
      </c>
      <c r="C2966" t="str">
        <f>IFERROR(VLOOKUP(B2966,'Pre-Summary'!$DI$6:$DM$23,4,FALSE),"")</f>
        <v/>
      </c>
      <c r="D2966" s="10" t="str">
        <f>IFERROR(VLOOKUP(B2966,'Pre-Summary'!$AT$6:$AX$14,5,FALSE),D2965)</f>
        <v>Wolfe v3: went back to modified wolfe + EDTA and switched CuSO4 to CUCl2</v>
      </c>
      <c r="E2966" s="10" t="str">
        <f>IFERROR(VLOOKUP(B2966,'Pre-Summary'!$AT$6:$AX$15,4,FALSE),"")</f>
        <v/>
      </c>
      <c r="F2966">
        <f>IFERROR(VLOOKUP(B2966,'Pre-Summary'!$AL$6:$AQ$13,6,FALSE),F2965)</f>
        <v>5.9405263157894746E-2</v>
      </c>
      <c r="G2966" t="str">
        <f>IFERROR(VLOOKUP(B2966,'Pre-Summary'!$AE$6:$AJ$85,3,FALSE),"")</f>
        <v/>
      </c>
      <c r="H2966" t="str">
        <f>IFERROR(VLOOKUP(B2966,'Pre-Summary'!$AE$6:$AJ$85,4,FALSE),"")</f>
        <v/>
      </c>
      <c r="I2966" t="str">
        <f>IFERROR(VLOOKUP(B2966,'Pre-Summary'!$AE$6:$AJ$85,5,FALSE),"")</f>
        <v/>
      </c>
      <c r="J2966" s="45" t="str">
        <f>IFERROR(VLOOKUP(B2966,'Pre-Summary'!$AE$6:$AJ$85,6, FALSE),"")</f>
        <v/>
      </c>
      <c r="K2966" s="45" t="str">
        <f>IFERROR(VLOOKUP(B2966,'Pre-Summary'!$DE$6:$DG$61,3,FALSE),"")</f>
        <v/>
      </c>
      <c r="L2966" s="45" t="str">
        <f>IFERROR(VLOOKUP(B2966,'Pre-Summary'!$CU$6:$CW$36,3,FALSE),"")</f>
        <v/>
      </c>
      <c r="M2966" s="45" t="str">
        <f>IFERROR(VLOOKUP(B2966,'Pre-Summary'!$BW$6:$BY$58,2,FALSE),"")</f>
        <v/>
      </c>
      <c r="N2966" s="45" t="str">
        <f>IFERROR(VLOOKUP(B2966,'Pre-Summary'!$CD$6:$CF$64,2,FALSE),"")</f>
        <v/>
      </c>
      <c r="O2966" s="99">
        <f>IFERROR(VLOOKUP(B2966,'Pre-Summary'!$BO$6:$BQ$48,3, FALSE),O2965)</f>
        <v>2.77</v>
      </c>
      <c r="P2966" s="99">
        <f>IFERROR(VLOOKUP(B2966,'Pre-Summary'!$BS$6:$BU$35,3,FALSE),P2965)</f>
        <v>0.70099999999999996</v>
      </c>
      <c r="Q2966" s="54">
        <f t="shared" si="138"/>
        <v>3.9514978601997148</v>
      </c>
      <c r="R2966" s="53">
        <f>IFERROR(VLOOKUP(B2966,'Pre-Summary'!$BG$6:$BM$44,7,FALSE),R2967)</f>
        <v>0</v>
      </c>
      <c r="S2966" s="53" t="e">
        <f>VLOOKUP(B2966,'Pre-Summary'!$BG$6:$BM$44,6,FALSE)</f>
        <v>#N/A</v>
      </c>
      <c r="T2966" s="45" t="str">
        <f>IFERROR(VLOOKUP(B2966,'Pre-Summary'!$Y$6:$AC$83, 3,FALSE),"")</f>
        <v/>
      </c>
      <c r="U2966" s="45" t="str">
        <f>IFERROR(VLOOKUP(B2966,'Pre-Summary'!$Y$6:$AC$83, 4,FALSE),"")</f>
        <v/>
      </c>
      <c r="V2966" t="str">
        <f>IFERROR(VLOOKUP(B2966,'Pre-Summary'!$Y$6:$AC$83, 5,FALSE),"")</f>
        <v/>
      </c>
      <c r="W2966" s="45" t="str">
        <f>IFERROR(VLOOKUP(B2966,'Pre-Summary'!$Y$6:$AD$83,6,FALSE),"")</f>
        <v/>
      </c>
      <c r="X2966" t="str">
        <f>IFERROR(VLOOKUP('Pre-Summary'!$DB$6:$DD$63,3,FALSE),"")</f>
        <v/>
      </c>
      <c r="Y2966" t="str">
        <f>IFERROR(VLOOKUP(B2966,'Pre-Summary'!$CR$6:$CT$36,3,FALSE),"")</f>
        <v/>
      </c>
      <c r="Z2966" s="45" t="str">
        <f>IFERROR(VLOOKUP(B2966,'Pre-Summary'!$BZ$6:$CB$63,2,FALSE),"")</f>
        <v/>
      </c>
      <c r="AA2966" s="45" t="str">
        <f>IFERROR(VLOOKUP(B2966,'Pre-Summary'!$CG$6:$CI$70,2,FALSE),"")</f>
        <v/>
      </c>
      <c r="AB2966" s="99">
        <f>IFERROR(VLOOKUP(B2966,'Pre-Summary'!$A$6:$P$178,9,FALSE),AB2967)</f>
        <v>0.68914361702057381</v>
      </c>
      <c r="AC2966" s="10">
        <f>IFERROR(VLOOKUP(Summary!B2966,'Pre-Summary'!$A$6:$P$184,5, FALSE)/100,AC2967)</f>
        <v>0.92963666666666656</v>
      </c>
      <c r="AD2966" s="10">
        <f>IFERROR(VLOOKUP(Summary!B2966,'Pre-Summary'!$A$6:$P$184,3, FALSE)/100,AD2967)</f>
        <v>3.8144666666666667E-2</v>
      </c>
      <c r="AE2966" s="10">
        <f>IFERROR(VLOOKUP(Summary!B2966,'Pre-Summary'!$A$6:$P$184,7, FALSE)/100,AE2967)</f>
        <v>3.2219333333333336E-2</v>
      </c>
      <c r="AF2966" s="99">
        <f t="shared" si="139"/>
        <v>2.6287153556710782E-2</v>
      </c>
      <c r="AG2966" s="99">
        <f t="shared" si="140"/>
        <v>2.2203747911324876E-2</v>
      </c>
      <c r="AH2966" s="10" t="str">
        <f>IFERROR(VLOOKUP(B2966,'Pre-Summary'!$AZ$6:$BE$65,3,FALSE),"")</f>
        <v/>
      </c>
      <c r="AI2966" s="10" t="str">
        <f>IFERROR(VLOOKUP(B2966,'Pre-Summary'!$AZ$6:$BE$65,5,FALSE),"")</f>
        <v/>
      </c>
      <c r="AJ2966" s="10" t="str">
        <f>IFERROR(VLOOKUP(B2966,'Pre-Summary'!$AZ$6:$BE$65,4,FALSE),"")</f>
        <v/>
      </c>
      <c r="AK2966" s="10" t="str">
        <f>IFERROR(VLOOKUP(B2966,'Pre-Summary'!$AZ$6:$BE$65,6,FALSE),"")</f>
        <v/>
      </c>
      <c r="AL2966" s="10" t="str">
        <f>IFERROR(VLOOKUP(B2966,'Pre-Summary'!$BG$6:$BL$44,3,FALSE),"")</f>
        <v/>
      </c>
      <c r="AM2966" s="10" t="str">
        <f>IFERROR(VLOOKUP(B2966,'Pre-Summary'!$BG$6:$BL$44,4,FALSE),"")</f>
        <v/>
      </c>
    </row>
    <row r="2967" spans="2:39" ht="15" customHeight="1" x14ac:dyDescent="0.3">
      <c r="B2967">
        <v>296.39999999999998</v>
      </c>
      <c r="C2967" t="str">
        <f>IFERROR(VLOOKUP(B2967,'Pre-Summary'!$DI$6:$DM$23,4,FALSE),"")</f>
        <v/>
      </c>
      <c r="D2967" s="10" t="str">
        <f>IFERROR(VLOOKUP(B2967,'Pre-Summary'!$AT$6:$AX$14,5,FALSE),D2966)</f>
        <v>Wolfe v3: went back to modified wolfe + EDTA and switched CuSO4 to CUCl2</v>
      </c>
      <c r="E2967" s="10" t="str">
        <f>IFERROR(VLOOKUP(B2967,'Pre-Summary'!$AT$6:$AX$15,4,FALSE),"")</f>
        <v/>
      </c>
      <c r="F2967">
        <f>IFERROR(VLOOKUP(B2967,'Pre-Summary'!$AL$6:$AQ$13,6,FALSE),F2966)</f>
        <v>5.9405263157894746E-2</v>
      </c>
      <c r="G2967" t="str">
        <f>IFERROR(VLOOKUP(B2967,'Pre-Summary'!$AE$6:$AJ$85,3,FALSE),"")</f>
        <v/>
      </c>
      <c r="H2967" t="str">
        <f>IFERROR(VLOOKUP(B2967,'Pre-Summary'!$AE$6:$AJ$85,4,FALSE),"")</f>
        <v/>
      </c>
      <c r="I2967" t="str">
        <f>IFERROR(VLOOKUP(B2967,'Pre-Summary'!$AE$6:$AJ$85,5,FALSE),"")</f>
        <v/>
      </c>
      <c r="J2967" s="45" t="str">
        <f>IFERROR(VLOOKUP(B2967,'Pre-Summary'!$AE$6:$AJ$85,6, FALSE),"")</f>
        <v/>
      </c>
      <c r="K2967" s="45" t="str">
        <f>IFERROR(VLOOKUP(B2967,'Pre-Summary'!$DE$6:$DG$61,3,FALSE),"")</f>
        <v/>
      </c>
      <c r="L2967" s="45" t="str">
        <f>IFERROR(VLOOKUP(B2967,'Pre-Summary'!$CU$6:$CW$36,3,FALSE),"")</f>
        <v/>
      </c>
      <c r="M2967" s="45" t="str">
        <f>IFERROR(VLOOKUP(B2967,'Pre-Summary'!$BW$6:$BY$58,2,FALSE),"")</f>
        <v/>
      </c>
      <c r="N2967" s="45" t="str">
        <f>IFERROR(VLOOKUP(B2967,'Pre-Summary'!$CD$6:$CF$64,2,FALSE),"")</f>
        <v/>
      </c>
      <c r="O2967" s="99">
        <f>IFERROR(VLOOKUP(B2967,'Pre-Summary'!$BO$6:$BQ$48,3, FALSE),O2966)</f>
        <v>2.77</v>
      </c>
      <c r="P2967" s="99">
        <f>IFERROR(VLOOKUP(B2967,'Pre-Summary'!$BS$6:$BU$35,3,FALSE),P2966)</f>
        <v>0.70099999999999996</v>
      </c>
      <c r="Q2967" s="54">
        <f t="shared" si="138"/>
        <v>3.9514978601997148</v>
      </c>
      <c r="R2967" s="53">
        <f>IFERROR(VLOOKUP(B2967,'Pre-Summary'!$BG$6:$BM$44,7,FALSE),R2968)</f>
        <v>0</v>
      </c>
      <c r="S2967" s="53" t="e">
        <f>VLOOKUP(B2967,'Pre-Summary'!$BG$6:$BM$44,6,FALSE)</f>
        <v>#N/A</v>
      </c>
      <c r="T2967" s="45" t="str">
        <f>IFERROR(VLOOKUP(B2967,'Pre-Summary'!$Y$6:$AC$83, 3,FALSE),"")</f>
        <v/>
      </c>
      <c r="U2967" s="45" t="str">
        <f>IFERROR(VLOOKUP(B2967,'Pre-Summary'!$Y$6:$AC$83, 4,FALSE),"")</f>
        <v/>
      </c>
      <c r="V2967" t="str">
        <f>IFERROR(VLOOKUP(B2967,'Pre-Summary'!$Y$6:$AC$83, 5,FALSE),"")</f>
        <v/>
      </c>
      <c r="W2967" s="45" t="str">
        <f>IFERROR(VLOOKUP(B2967,'Pre-Summary'!$Y$6:$AD$83,6,FALSE),"")</f>
        <v/>
      </c>
      <c r="X2967" t="str">
        <f>IFERROR(VLOOKUP('Pre-Summary'!$DB$6:$DD$63,3,FALSE),"")</f>
        <v/>
      </c>
      <c r="Y2967" t="str">
        <f>IFERROR(VLOOKUP(B2967,'Pre-Summary'!$CR$6:$CT$36,3,FALSE),"")</f>
        <v/>
      </c>
      <c r="Z2967" s="45" t="str">
        <f>IFERROR(VLOOKUP(B2967,'Pre-Summary'!$BZ$6:$CB$63,2,FALSE),"")</f>
        <v/>
      </c>
      <c r="AA2967" s="45" t="str">
        <f>IFERROR(VLOOKUP(B2967,'Pre-Summary'!$CG$6:$CI$70,2,FALSE),"")</f>
        <v/>
      </c>
      <c r="AB2967" s="99">
        <f>IFERROR(VLOOKUP(B2967,'Pre-Summary'!$A$6:$P$178,9,FALSE),AB2968)</f>
        <v>0.68914361702057381</v>
      </c>
      <c r="AC2967" s="10">
        <f>IFERROR(VLOOKUP(Summary!B2967,'Pre-Summary'!$A$6:$P$184,5, FALSE)/100,AC2968)</f>
        <v>0.92963666666666656</v>
      </c>
      <c r="AD2967" s="10">
        <f>IFERROR(VLOOKUP(Summary!B2967,'Pre-Summary'!$A$6:$P$184,3, FALSE)/100,AD2968)</f>
        <v>3.8144666666666667E-2</v>
      </c>
      <c r="AE2967" s="10">
        <f>IFERROR(VLOOKUP(Summary!B2967,'Pre-Summary'!$A$6:$P$184,7, FALSE)/100,AE2968)</f>
        <v>3.2219333333333336E-2</v>
      </c>
      <c r="AF2967" s="99">
        <f t="shared" si="139"/>
        <v>2.6287153556710782E-2</v>
      </c>
      <c r="AG2967" s="99">
        <f t="shared" si="140"/>
        <v>2.2203747911324876E-2</v>
      </c>
      <c r="AH2967" s="10" t="str">
        <f>IFERROR(VLOOKUP(B2967,'Pre-Summary'!$AZ$6:$BE$65,3,FALSE),"")</f>
        <v/>
      </c>
      <c r="AI2967" s="10" t="str">
        <f>IFERROR(VLOOKUP(B2967,'Pre-Summary'!$AZ$6:$BE$65,5,FALSE),"")</f>
        <v/>
      </c>
      <c r="AJ2967" s="10" t="str">
        <f>IFERROR(VLOOKUP(B2967,'Pre-Summary'!$AZ$6:$BE$65,4,FALSE),"")</f>
        <v/>
      </c>
      <c r="AK2967" s="10" t="str">
        <f>IFERROR(VLOOKUP(B2967,'Pre-Summary'!$AZ$6:$BE$65,6,FALSE),"")</f>
        <v/>
      </c>
      <c r="AL2967" s="10" t="str">
        <f>IFERROR(VLOOKUP(B2967,'Pre-Summary'!$BG$6:$BL$44,3,FALSE),"")</f>
        <v/>
      </c>
      <c r="AM2967" s="10" t="str">
        <f>IFERROR(VLOOKUP(B2967,'Pre-Summary'!$BG$6:$BL$44,4,FALSE),"")</f>
        <v/>
      </c>
    </row>
    <row r="2968" spans="2:39" ht="15" customHeight="1" x14ac:dyDescent="0.3">
      <c r="B2968">
        <v>296.5</v>
      </c>
      <c r="C2968" t="str">
        <f>IFERROR(VLOOKUP(B2968,'Pre-Summary'!$DI$6:$DM$23,4,FALSE),"")</f>
        <v/>
      </c>
      <c r="D2968" s="10" t="str">
        <f>IFERROR(VLOOKUP(B2968,'Pre-Summary'!$AT$6:$AX$14,5,FALSE),D2967)</f>
        <v>Wolfe v3: went back to modified wolfe + EDTA and switched CuSO4 to CUCl2</v>
      </c>
      <c r="E2968" s="10" t="str">
        <f>IFERROR(VLOOKUP(B2968,'Pre-Summary'!$AT$6:$AX$15,4,FALSE),"")</f>
        <v/>
      </c>
      <c r="F2968">
        <f>IFERROR(VLOOKUP(B2968,'Pre-Summary'!$AL$6:$AQ$13,6,FALSE),F2967)</f>
        <v>5.9405263157894746E-2</v>
      </c>
      <c r="G2968" t="str">
        <f>IFERROR(VLOOKUP(B2968,'Pre-Summary'!$AE$6:$AJ$85,3,FALSE),"")</f>
        <v/>
      </c>
      <c r="H2968" t="str">
        <f>IFERROR(VLOOKUP(B2968,'Pre-Summary'!$AE$6:$AJ$85,4,FALSE),"")</f>
        <v/>
      </c>
      <c r="I2968" t="str">
        <f>IFERROR(VLOOKUP(B2968,'Pre-Summary'!$AE$6:$AJ$85,5,FALSE),"")</f>
        <v/>
      </c>
      <c r="J2968" s="45" t="str">
        <f>IFERROR(VLOOKUP(B2968,'Pre-Summary'!$AE$6:$AJ$85,6, FALSE),"")</f>
        <v/>
      </c>
      <c r="K2968" s="45" t="str">
        <f>IFERROR(VLOOKUP(B2968,'Pre-Summary'!$DE$6:$DG$61,3,FALSE),"")</f>
        <v/>
      </c>
      <c r="L2968" s="45" t="str">
        <f>IFERROR(VLOOKUP(B2968,'Pre-Summary'!$CU$6:$CW$36,3,FALSE),"")</f>
        <v/>
      </c>
      <c r="M2968" s="45" t="str">
        <f>IFERROR(VLOOKUP(B2968,'Pre-Summary'!$BW$6:$BY$58,2,FALSE),"")</f>
        <v/>
      </c>
      <c r="N2968" s="45" t="str">
        <f>IFERROR(VLOOKUP(B2968,'Pre-Summary'!$CD$6:$CF$64,2,FALSE),"")</f>
        <v/>
      </c>
      <c r="O2968" s="99">
        <f>IFERROR(VLOOKUP(B2968,'Pre-Summary'!$BO$6:$BQ$48,3, FALSE),O2967)</f>
        <v>2.77</v>
      </c>
      <c r="P2968" s="99">
        <f>IFERROR(VLOOKUP(B2968,'Pre-Summary'!$BS$6:$BU$35,3,FALSE),P2967)</f>
        <v>0.70099999999999996</v>
      </c>
      <c r="Q2968" s="54">
        <f t="shared" si="138"/>
        <v>3.9514978601997148</v>
      </c>
      <c r="R2968" s="53">
        <f>IFERROR(VLOOKUP(B2968,'Pre-Summary'!$BG$6:$BM$44,7,FALSE),R2969)</f>
        <v>0</v>
      </c>
      <c r="S2968" s="53" t="e">
        <f>VLOOKUP(B2968,'Pre-Summary'!$BG$6:$BM$44,6,FALSE)</f>
        <v>#N/A</v>
      </c>
      <c r="T2968" s="45" t="str">
        <f>IFERROR(VLOOKUP(B2968,'Pre-Summary'!$Y$6:$AC$83, 3,FALSE),"")</f>
        <v/>
      </c>
      <c r="U2968" s="45" t="str">
        <f>IFERROR(VLOOKUP(B2968,'Pre-Summary'!$Y$6:$AC$83, 4,FALSE),"")</f>
        <v/>
      </c>
      <c r="V2968" t="str">
        <f>IFERROR(VLOOKUP(B2968,'Pre-Summary'!$Y$6:$AC$83, 5,FALSE),"")</f>
        <v/>
      </c>
      <c r="W2968" s="45" t="str">
        <f>IFERROR(VLOOKUP(B2968,'Pre-Summary'!$Y$6:$AD$83,6,FALSE),"")</f>
        <v/>
      </c>
      <c r="X2968" t="str">
        <f>IFERROR(VLOOKUP('Pre-Summary'!$DB$6:$DD$63,3,FALSE),"")</f>
        <v/>
      </c>
      <c r="Y2968" t="str">
        <f>IFERROR(VLOOKUP(B2968,'Pre-Summary'!$CR$6:$CT$36,3,FALSE),"")</f>
        <v/>
      </c>
      <c r="Z2968" s="45" t="str">
        <f>IFERROR(VLOOKUP(B2968,'Pre-Summary'!$BZ$6:$CB$63,2,FALSE),"")</f>
        <v/>
      </c>
      <c r="AA2968" s="45" t="str">
        <f>IFERROR(VLOOKUP(B2968,'Pre-Summary'!$CG$6:$CI$70,2,FALSE),"")</f>
        <v/>
      </c>
      <c r="AB2968" s="99">
        <f>IFERROR(VLOOKUP(B2968,'Pre-Summary'!$A$6:$P$178,9,FALSE),AB2969)</f>
        <v>0.68914361702057381</v>
      </c>
      <c r="AC2968" s="10">
        <f>IFERROR(VLOOKUP(Summary!B2968,'Pre-Summary'!$A$6:$P$184,5, FALSE)/100,AC2969)</f>
        <v>0.92963666666666656</v>
      </c>
      <c r="AD2968" s="10">
        <f>IFERROR(VLOOKUP(Summary!B2968,'Pre-Summary'!$A$6:$P$184,3, FALSE)/100,AD2969)</f>
        <v>3.8144666666666667E-2</v>
      </c>
      <c r="AE2968" s="10">
        <f>IFERROR(VLOOKUP(Summary!B2968,'Pre-Summary'!$A$6:$P$184,7, FALSE)/100,AE2969)</f>
        <v>3.2219333333333336E-2</v>
      </c>
      <c r="AF2968" s="99">
        <f t="shared" si="139"/>
        <v>2.6287153556710782E-2</v>
      </c>
      <c r="AG2968" s="99">
        <f t="shared" si="140"/>
        <v>2.2203747911324876E-2</v>
      </c>
      <c r="AH2968" s="10" t="str">
        <f>IFERROR(VLOOKUP(B2968,'Pre-Summary'!$AZ$6:$BE$65,3,FALSE),"")</f>
        <v/>
      </c>
      <c r="AI2968" s="10" t="str">
        <f>IFERROR(VLOOKUP(B2968,'Pre-Summary'!$AZ$6:$BE$65,5,FALSE),"")</f>
        <v/>
      </c>
      <c r="AJ2968" s="10" t="str">
        <f>IFERROR(VLOOKUP(B2968,'Pre-Summary'!$AZ$6:$BE$65,4,FALSE),"")</f>
        <v/>
      </c>
      <c r="AK2968" s="10" t="str">
        <f>IFERROR(VLOOKUP(B2968,'Pre-Summary'!$AZ$6:$BE$65,6,FALSE),"")</f>
        <v/>
      </c>
      <c r="AL2968" s="10" t="str">
        <f>IFERROR(VLOOKUP(B2968,'Pre-Summary'!$BG$6:$BL$44,3,FALSE),"")</f>
        <v/>
      </c>
      <c r="AM2968" s="10" t="str">
        <f>IFERROR(VLOOKUP(B2968,'Pre-Summary'!$BG$6:$BL$44,4,FALSE),"")</f>
        <v/>
      </c>
    </row>
    <row r="2969" spans="2:39" ht="15" customHeight="1" x14ac:dyDescent="0.3">
      <c r="B2969">
        <v>296.60000000000002</v>
      </c>
      <c r="C2969" t="str">
        <f>IFERROR(VLOOKUP(B2969,'Pre-Summary'!$DI$6:$DM$23,4,FALSE),"")</f>
        <v/>
      </c>
      <c r="D2969" s="10" t="str">
        <f>IFERROR(VLOOKUP(B2969,'Pre-Summary'!$AT$6:$AX$14,5,FALSE),D2968)</f>
        <v>Wolfe v3: went back to modified wolfe + EDTA and switched CuSO4 to CUCl2</v>
      </c>
      <c r="E2969" s="10" t="str">
        <f>IFERROR(VLOOKUP(B2969,'Pre-Summary'!$AT$6:$AX$15,4,FALSE),"")</f>
        <v/>
      </c>
      <c r="F2969">
        <f>IFERROR(VLOOKUP(B2969,'Pre-Summary'!$AL$6:$AQ$13,6,FALSE),F2968)</f>
        <v>5.9405263157894746E-2</v>
      </c>
      <c r="G2969" t="str">
        <f>IFERROR(VLOOKUP(B2969,'Pre-Summary'!$AE$6:$AJ$85,3,FALSE),"")</f>
        <v/>
      </c>
      <c r="H2969" t="str">
        <f>IFERROR(VLOOKUP(B2969,'Pre-Summary'!$AE$6:$AJ$85,4,FALSE),"")</f>
        <v/>
      </c>
      <c r="I2969" t="str">
        <f>IFERROR(VLOOKUP(B2969,'Pre-Summary'!$AE$6:$AJ$85,5,FALSE),"")</f>
        <v/>
      </c>
      <c r="J2969" s="45" t="str">
        <f>IFERROR(VLOOKUP(B2969,'Pre-Summary'!$AE$6:$AJ$85,6, FALSE),"")</f>
        <v/>
      </c>
      <c r="K2969" s="45" t="str">
        <f>IFERROR(VLOOKUP(B2969,'Pre-Summary'!$DE$6:$DG$61,3,FALSE),"")</f>
        <v/>
      </c>
      <c r="L2969" s="45" t="str">
        <f>IFERROR(VLOOKUP(B2969,'Pre-Summary'!$CU$6:$CW$36,3,FALSE),"")</f>
        <v/>
      </c>
      <c r="M2969" s="45" t="str">
        <f>IFERROR(VLOOKUP(B2969,'Pre-Summary'!$BW$6:$BY$58,2,FALSE),"")</f>
        <v/>
      </c>
      <c r="N2969" s="45" t="str">
        <f>IFERROR(VLOOKUP(B2969,'Pre-Summary'!$CD$6:$CF$64,2,FALSE),"")</f>
        <v/>
      </c>
      <c r="O2969" s="99">
        <f>IFERROR(VLOOKUP(B2969,'Pre-Summary'!$BO$6:$BQ$48,3, FALSE),O2968)</f>
        <v>2.77</v>
      </c>
      <c r="P2969" s="99">
        <f>IFERROR(VLOOKUP(B2969,'Pre-Summary'!$BS$6:$BU$35,3,FALSE),P2968)</f>
        <v>0.70099999999999996</v>
      </c>
      <c r="Q2969" s="54">
        <f t="shared" si="138"/>
        <v>3.9514978601997148</v>
      </c>
      <c r="R2969" s="53">
        <f>IFERROR(VLOOKUP(B2969,'Pre-Summary'!$BG$6:$BM$44,7,FALSE),R2970)</f>
        <v>0</v>
      </c>
      <c r="S2969" s="53" t="e">
        <f>VLOOKUP(B2969,'Pre-Summary'!$BG$6:$BM$44,6,FALSE)</f>
        <v>#N/A</v>
      </c>
      <c r="T2969" s="45" t="str">
        <f>IFERROR(VLOOKUP(B2969,'Pre-Summary'!$Y$6:$AC$83, 3,FALSE),"")</f>
        <v/>
      </c>
      <c r="U2969" s="45" t="str">
        <f>IFERROR(VLOOKUP(B2969,'Pre-Summary'!$Y$6:$AC$83, 4,FALSE),"")</f>
        <v/>
      </c>
      <c r="V2969" t="str">
        <f>IFERROR(VLOOKUP(B2969,'Pre-Summary'!$Y$6:$AC$83, 5,FALSE),"")</f>
        <v/>
      </c>
      <c r="W2969" s="45" t="str">
        <f>IFERROR(VLOOKUP(B2969,'Pre-Summary'!$Y$6:$AD$83,6,FALSE),"")</f>
        <v/>
      </c>
      <c r="X2969" t="str">
        <f>IFERROR(VLOOKUP('Pre-Summary'!$DB$6:$DD$63,3,FALSE),"")</f>
        <v/>
      </c>
      <c r="Y2969" t="str">
        <f>IFERROR(VLOOKUP(B2969,'Pre-Summary'!$CR$6:$CT$36,3,FALSE),"")</f>
        <v/>
      </c>
      <c r="Z2969" s="45" t="str">
        <f>IFERROR(VLOOKUP(B2969,'Pre-Summary'!$BZ$6:$CB$63,2,FALSE),"")</f>
        <v/>
      </c>
      <c r="AA2969" s="45" t="str">
        <f>IFERROR(VLOOKUP(B2969,'Pre-Summary'!$CG$6:$CI$70,2,FALSE),"")</f>
        <v/>
      </c>
      <c r="AB2969" s="99">
        <f>IFERROR(VLOOKUP(B2969,'Pre-Summary'!$A$6:$P$178,9,FALSE),AB2970)</f>
        <v>0.68914361702057381</v>
      </c>
      <c r="AC2969" s="10">
        <f>IFERROR(VLOOKUP(Summary!B2969,'Pre-Summary'!$A$6:$P$184,5, FALSE)/100,AC2970)</f>
        <v>0.92963666666666656</v>
      </c>
      <c r="AD2969" s="10">
        <f>IFERROR(VLOOKUP(Summary!B2969,'Pre-Summary'!$A$6:$P$184,3, FALSE)/100,AD2970)</f>
        <v>3.8144666666666667E-2</v>
      </c>
      <c r="AE2969" s="10">
        <f>IFERROR(VLOOKUP(Summary!B2969,'Pre-Summary'!$A$6:$P$184,7, FALSE)/100,AE2970)</f>
        <v>3.2219333333333336E-2</v>
      </c>
      <c r="AF2969" s="99">
        <f t="shared" si="139"/>
        <v>2.6287153556710782E-2</v>
      </c>
      <c r="AG2969" s="99">
        <f t="shared" si="140"/>
        <v>2.2203747911324876E-2</v>
      </c>
      <c r="AH2969" s="10" t="str">
        <f>IFERROR(VLOOKUP(B2969,'Pre-Summary'!$AZ$6:$BE$65,3,FALSE),"")</f>
        <v/>
      </c>
      <c r="AI2969" s="10" t="str">
        <f>IFERROR(VLOOKUP(B2969,'Pre-Summary'!$AZ$6:$BE$65,5,FALSE),"")</f>
        <v/>
      </c>
      <c r="AJ2969" s="10" t="str">
        <f>IFERROR(VLOOKUP(B2969,'Pre-Summary'!$AZ$6:$BE$65,4,FALSE),"")</f>
        <v/>
      </c>
      <c r="AK2969" s="10" t="str">
        <f>IFERROR(VLOOKUP(B2969,'Pre-Summary'!$AZ$6:$BE$65,6,FALSE),"")</f>
        <v/>
      </c>
      <c r="AL2969" s="10" t="str">
        <f>IFERROR(VLOOKUP(B2969,'Pre-Summary'!$BG$6:$BL$44,3,FALSE),"")</f>
        <v/>
      </c>
      <c r="AM2969" s="10" t="str">
        <f>IFERROR(VLOOKUP(B2969,'Pre-Summary'!$BG$6:$BL$44,4,FALSE),"")</f>
        <v/>
      </c>
    </row>
    <row r="2970" spans="2:39" ht="15" customHeight="1" x14ac:dyDescent="0.3">
      <c r="B2970">
        <v>296.7</v>
      </c>
      <c r="C2970" t="str">
        <f>IFERROR(VLOOKUP(B2970,'Pre-Summary'!$DI$6:$DM$23,4,FALSE),"")</f>
        <v/>
      </c>
      <c r="D2970" s="10" t="str">
        <f>IFERROR(VLOOKUP(B2970,'Pre-Summary'!$AT$6:$AX$14,5,FALSE),D2969)</f>
        <v>Wolfe v3: went back to modified wolfe + EDTA and switched CuSO4 to CUCl2</v>
      </c>
      <c r="E2970" s="10" t="str">
        <f>IFERROR(VLOOKUP(B2970,'Pre-Summary'!$AT$6:$AX$15,4,FALSE),"")</f>
        <v/>
      </c>
      <c r="F2970">
        <f>IFERROR(VLOOKUP(B2970,'Pre-Summary'!$AL$6:$AQ$13,6,FALSE),F2969)</f>
        <v>5.9405263157894746E-2</v>
      </c>
      <c r="G2970" t="str">
        <f>IFERROR(VLOOKUP(B2970,'Pre-Summary'!$AE$6:$AJ$85,3,FALSE),"")</f>
        <v/>
      </c>
      <c r="H2970" t="str">
        <f>IFERROR(VLOOKUP(B2970,'Pre-Summary'!$AE$6:$AJ$85,4,FALSE),"")</f>
        <v/>
      </c>
      <c r="I2970" t="str">
        <f>IFERROR(VLOOKUP(B2970,'Pre-Summary'!$AE$6:$AJ$85,5,FALSE),"")</f>
        <v/>
      </c>
      <c r="J2970" s="45" t="str">
        <f>IFERROR(VLOOKUP(B2970,'Pre-Summary'!$AE$6:$AJ$85,6, FALSE),"")</f>
        <v/>
      </c>
      <c r="K2970" s="45" t="str">
        <f>IFERROR(VLOOKUP(B2970,'Pre-Summary'!$DE$6:$DG$61,3,FALSE),"")</f>
        <v/>
      </c>
      <c r="L2970" s="45" t="str">
        <f>IFERROR(VLOOKUP(B2970,'Pre-Summary'!$CU$6:$CW$36,3,FALSE),"")</f>
        <v/>
      </c>
      <c r="M2970" s="45" t="str">
        <f>IFERROR(VLOOKUP(B2970,'Pre-Summary'!$BW$6:$BY$58,2,FALSE),"")</f>
        <v/>
      </c>
      <c r="N2970" s="45" t="str">
        <f>IFERROR(VLOOKUP(B2970,'Pre-Summary'!$CD$6:$CF$64,2,FALSE),"")</f>
        <v/>
      </c>
      <c r="O2970" s="99">
        <f>IFERROR(VLOOKUP(B2970,'Pre-Summary'!$BO$6:$BQ$48,3, FALSE),O2969)</f>
        <v>2.77</v>
      </c>
      <c r="P2970" s="99">
        <f>IFERROR(VLOOKUP(B2970,'Pre-Summary'!$BS$6:$BU$35,3,FALSE),P2969)</f>
        <v>0.70099999999999996</v>
      </c>
      <c r="Q2970" s="54">
        <f t="shared" si="138"/>
        <v>3.9514978601997148</v>
      </c>
      <c r="R2970" s="53">
        <f>IFERROR(VLOOKUP(B2970,'Pre-Summary'!$BG$6:$BM$44,7,FALSE),R2971)</f>
        <v>0</v>
      </c>
      <c r="S2970" s="53" t="e">
        <f>VLOOKUP(B2970,'Pre-Summary'!$BG$6:$BM$44,6,FALSE)</f>
        <v>#N/A</v>
      </c>
      <c r="T2970" s="45" t="str">
        <f>IFERROR(VLOOKUP(B2970,'Pre-Summary'!$Y$6:$AC$83, 3,FALSE),"")</f>
        <v/>
      </c>
      <c r="U2970" s="45" t="str">
        <f>IFERROR(VLOOKUP(B2970,'Pre-Summary'!$Y$6:$AC$83, 4,FALSE),"")</f>
        <v/>
      </c>
      <c r="V2970" t="str">
        <f>IFERROR(VLOOKUP(B2970,'Pre-Summary'!$Y$6:$AC$83, 5,FALSE),"")</f>
        <v/>
      </c>
      <c r="W2970" s="45" t="str">
        <f>IFERROR(VLOOKUP(B2970,'Pre-Summary'!$Y$6:$AD$83,6,FALSE),"")</f>
        <v/>
      </c>
      <c r="X2970" t="str">
        <f>IFERROR(VLOOKUP('Pre-Summary'!$DB$6:$DD$63,3,FALSE),"")</f>
        <v/>
      </c>
      <c r="Y2970" t="str">
        <f>IFERROR(VLOOKUP(B2970,'Pre-Summary'!$CR$6:$CT$36,3,FALSE),"")</f>
        <v/>
      </c>
      <c r="Z2970" s="45" t="str">
        <f>IFERROR(VLOOKUP(B2970,'Pre-Summary'!$BZ$6:$CB$63,2,FALSE),"")</f>
        <v/>
      </c>
      <c r="AA2970" s="45" t="str">
        <f>IFERROR(VLOOKUP(B2970,'Pre-Summary'!$CG$6:$CI$70,2,FALSE),"")</f>
        <v/>
      </c>
      <c r="AB2970" s="99">
        <f>IFERROR(VLOOKUP(B2970,'Pre-Summary'!$A$6:$P$178,9,FALSE),AB2971)</f>
        <v>0.68914361702057381</v>
      </c>
      <c r="AC2970" s="10">
        <f>IFERROR(VLOOKUP(Summary!B2970,'Pre-Summary'!$A$6:$P$184,5, FALSE)/100,AC2971)</f>
        <v>0.92963666666666656</v>
      </c>
      <c r="AD2970" s="10">
        <f>IFERROR(VLOOKUP(Summary!B2970,'Pre-Summary'!$A$6:$P$184,3, FALSE)/100,AD2971)</f>
        <v>3.8144666666666667E-2</v>
      </c>
      <c r="AE2970" s="10">
        <f>IFERROR(VLOOKUP(Summary!B2970,'Pre-Summary'!$A$6:$P$184,7, FALSE)/100,AE2971)</f>
        <v>3.2219333333333336E-2</v>
      </c>
      <c r="AF2970" s="99">
        <f t="shared" si="139"/>
        <v>2.6287153556710782E-2</v>
      </c>
      <c r="AG2970" s="99">
        <f t="shared" si="140"/>
        <v>2.2203747911324876E-2</v>
      </c>
      <c r="AH2970" s="10" t="str">
        <f>IFERROR(VLOOKUP(B2970,'Pre-Summary'!$AZ$6:$BE$65,3,FALSE),"")</f>
        <v/>
      </c>
      <c r="AI2970" s="10" t="str">
        <f>IFERROR(VLOOKUP(B2970,'Pre-Summary'!$AZ$6:$BE$65,5,FALSE),"")</f>
        <v/>
      </c>
      <c r="AJ2970" s="10" t="str">
        <f>IFERROR(VLOOKUP(B2970,'Pre-Summary'!$AZ$6:$BE$65,4,FALSE),"")</f>
        <v/>
      </c>
      <c r="AK2970" s="10" t="str">
        <f>IFERROR(VLOOKUP(B2970,'Pre-Summary'!$AZ$6:$BE$65,6,FALSE),"")</f>
        <v/>
      </c>
      <c r="AL2970" s="10" t="str">
        <f>IFERROR(VLOOKUP(B2970,'Pre-Summary'!$BG$6:$BL$44,3,FALSE),"")</f>
        <v/>
      </c>
      <c r="AM2970" s="10" t="str">
        <f>IFERROR(VLOOKUP(B2970,'Pre-Summary'!$BG$6:$BL$44,4,FALSE),"")</f>
        <v/>
      </c>
    </row>
    <row r="2971" spans="2:39" ht="15" customHeight="1" x14ac:dyDescent="0.3">
      <c r="B2971">
        <v>296.8</v>
      </c>
      <c r="C2971" t="str">
        <f>IFERROR(VLOOKUP(B2971,'Pre-Summary'!$DI$6:$DM$23,4,FALSE),"")</f>
        <v/>
      </c>
      <c r="D2971" s="10" t="str">
        <f>IFERROR(VLOOKUP(B2971,'Pre-Summary'!$AT$6:$AX$14,5,FALSE),D2970)</f>
        <v>Wolfe v3: went back to modified wolfe + EDTA and switched CuSO4 to CUCl2</v>
      </c>
      <c r="E2971" s="10" t="str">
        <f>IFERROR(VLOOKUP(B2971,'Pre-Summary'!$AT$6:$AX$15,4,FALSE),"")</f>
        <v/>
      </c>
      <c r="F2971">
        <f>IFERROR(VLOOKUP(B2971,'Pre-Summary'!$AL$6:$AQ$13,6,FALSE),F2970)</f>
        <v>5.9405263157894746E-2</v>
      </c>
      <c r="G2971" t="str">
        <f>IFERROR(VLOOKUP(B2971,'Pre-Summary'!$AE$6:$AJ$85,3,FALSE),"")</f>
        <v/>
      </c>
      <c r="H2971" t="str">
        <f>IFERROR(VLOOKUP(B2971,'Pre-Summary'!$AE$6:$AJ$85,4,FALSE),"")</f>
        <v/>
      </c>
      <c r="I2971" t="str">
        <f>IFERROR(VLOOKUP(B2971,'Pre-Summary'!$AE$6:$AJ$85,5,FALSE),"")</f>
        <v/>
      </c>
      <c r="J2971" s="45" t="str">
        <f>IFERROR(VLOOKUP(B2971,'Pre-Summary'!$AE$6:$AJ$85,6, FALSE),"")</f>
        <v/>
      </c>
      <c r="K2971" s="45" t="str">
        <f>IFERROR(VLOOKUP(B2971,'Pre-Summary'!$DE$6:$DG$61,3,FALSE),"")</f>
        <v/>
      </c>
      <c r="L2971" s="45" t="str">
        <f>IFERROR(VLOOKUP(B2971,'Pre-Summary'!$CU$6:$CW$36,3,FALSE),"")</f>
        <v/>
      </c>
      <c r="M2971" s="45" t="str">
        <f>IFERROR(VLOOKUP(B2971,'Pre-Summary'!$BW$6:$BY$58,2,FALSE),"")</f>
        <v/>
      </c>
      <c r="N2971" s="45" t="str">
        <f>IFERROR(VLOOKUP(B2971,'Pre-Summary'!$CD$6:$CF$64,2,FALSE),"")</f>
        <v/>
      </c>
      <c r="O2971" s="99">
        <f>IFERROR(VLOOKUP(B2971,'Pre-Summary'!$BO$6:$BQ$48,3, FALSE),O2970)</f>
        <v>2.77</v>
      </c>
      <c r="P2971" s="99">
        <f>IFERROR(VLOOKUP(B2971,'Pre-Summary'!$BS$6:$BU$35,3,FALSE),P2970)</f>
        <v>0.70099999999999996</v>
      </c>
      <c r="Q2971" s="54">
        <f t="shared" si="138"/>
        <v>3.9514978601997148</v>
      </c>
      <c r="R2971" s="53">
        <f>IFERROR(VLOOKUP(B2971,'Pre-Summary'!$BG$6:$BM$44,7,FALSE),R2972)</f>
        <v>0</v>
      </c>
      <c r="S2971" s="53" t="e">
        <f>VLOOKUP(B2971,'Pre-Summary'!$BG$6:$BM$44,6,FALSE)</f>
        <v>#N/A</v>
      </c>
      <c r="T2971" s="45" t="str">
        <f>IFERROR(VLOOKUP(B2971,'Pre-Summary'!$Y$6:$AC$83, 3,FALSE),"")</f>
        <v/>
      </c>
      <c r="U2971" s="45" t="str">
        <f>IFERROR(VLOOKUP(B2971,'Pre-Summary'!$Y$6:$AC$83, 4,FALSE),"")</f>
        <v/>
      </c>
      <c r="V2971" t="str">
        <f>IFERROR(VLOOKUP(B2971,'Pre-Summary'!$Y$6:$AC$83, 5,FALSE),"")</f>
        <v/>
      </c>
      <c r="W2971" s="45" t="str">
        <f>IFERROR(VLOOKUP(B2971,'Pre-Summary'!$Y$6:$AD$83,6,FALSE),"")</f>
        <v/>
      </c>
      <c r="X2971" t="str">
        <f>IFERROR(VLOOKUP('Pre-Summary'!$DB$6:$DD$63,3,FALSE),"")</f>
        <v/>
      </c>
      <c r="Y2971" t="str">
        <f>IFERROR(VLOOKUP(B2971,'Pre-Summary'!$CR$6:$CT$36,3,FALSE),"")</f>
        <v/>
      </c>
      <c r="Z2971" s="45" t="str">
        <f>IFERROR(VLOOKUP(B2971,'Pre-Summary'!$BZ$6:$CB$63,2,FALSE),"")</f>
        <v/>
      </c>
      <c r="AA2971" s="45" t="str">
        <f>IFERROR(VLOOKUP(B2971,'Pre-Summary'!$CG$6:$CI$70,2,FALSE),"")</f>
        <v/>
      </c>
      <c r="AB2971" s="99">
        <f>IFERROR(VLOOKUP(B2971,'Pre-Summary'!$A$6:$P$178,9,FALSE),AB2972)</f>
        <v>0.68914361702057381</v>
      </c>
      <c r="AC2971" s="10">
        <f>IFERROR(VLOOKUP(Summary!B2971,'Pre-Summary'!$A$6:$P$184,5, FALSE)/100,AC2972)</f>
        <v>0.92963666666666656</v>
      </c>
      <c r="AD2971" s="10">
        <f>IFERROR(VLOOKUP(Summary!B2971,'Pre-Summary'!$A$6:$P$184,3, FALSE)/100,AD2972)</f>
        <v>3.8144666666666667E-2</v>
      </c>
      <c r="AE2971" s="10">
        <f>IFERROR(VLOOKUP(Summary!B2971,'Pre-Summary'!$A$6:$P$184,7, FALSE)/100,AE2972)</f>
        <v>3.2219333333333336E-2</v>
      </c>
      <c r="AF2971" s="99">
        <f t="shared" si="139"/>
        <v>2.6287153556710782E-2</v>
      </c>
      <c r="AG2971" s="99">
        <f t="shared" si="140"/>
        <v>2.2203747911324876E-2</v>
      </c>
      <c r="AH2971" s="10" t="str">
        <f>IFERROR(VLOOKUP(B2971,'Pre-Summary'!$AZ$6:$BE$65,3,FALSE),"")</f>
        <v/>
      </c>
      <c r="AI2971" s="10" t="str">
        <f>IFERROR(VLOOKUP(B2971,'Pre-Summary'!$AZ$6:$BE$65,5,FALSE),"")</f>
        <v/>
      </c>
      <c r="AJ2971" s="10" t="str">
        <f>IFERROR(VLOOKUP(B2971,'Pre-Summary'!$AZ$6:$BE$65,4,FALSE),"")</f>
        <v/>
      </c>
      <c r="AK2971" s="10" t="str">
        <f>IFERROR(VLOOKUP(B2971,'Pre-Summary'!$AZ$6:$BE$65,6,FALSE),"")</f>
        <v/>
      </c>
      <c r="AL2971" s="10" t="str">
        <f>IFERROR(VLOOKUP(B2971,'Pre-Summary'!$BG$6:$BL$44,3,FALSE),"")</f>
        <v/>
      </c>
      <c r="AM2971" s="10" t="str">
        <f>IFERROR(VLOOKUP(B2971,'Pre-Summary'!$BG$6:$BL$44,4,FALSE),"")</f>
        <v/>
      </c>
    </row>
    <row r="2972" spans="2:39" ht="15" customHeight="1" x14ac:dyDescent="0.3">
      <c r="B2972">
        <v>296.89999999999998</v>
      </c>
      <c r="C2972" t="str">
        <f>IFERROR(VLOOKUP(B2972,'Pre-Summary'!$DI$6:$DM$23,4,FALSE),"")</f>
        <v/>
      </c>
      <c r="D2972" s="10" t="str">
        <f>IFERROR(VLOOKUP(B2972,'Pre-Summary'!$AT$6:$AX$14,5,FALSE),D2971)</f>
        <v>Wolfe v3: went back to modified wolfe + EDTA and switched CuSO4 to CUCl2</v>
      </c>
      <c r="E2972" s="10" t="str">
        <f>IFERROR(VLOOKUP(B2972,'Pre-Summary'!$AT$6:$AX$15,4,FALSE),"")</f>
        <v/>
      </c>
      <c r="F2972">
        <f>IFERROR(VLOOKUP(B2972,'Pre-Summary'!$AL$6:$AQ$13,6,FALSE),F2971)</f>
        <v>5.9405263157894746E-2</v>
      </c>
      <c r="G2972" t="str">
        <f>IFERROR(VLOOKUP(B2972,'Pre-Summary'!$AE$6:$AJ$85,3,FALSE),"")</f>
        <v/>
      </c>
      <c r="H2972" t="str">
        <f>IFERROR(VLOOKUP(B2972,'Pre-Summary'!$AE$6:$AJ$85,4,FALSE),"")</f>
        <v/>
      </c>
      <c r="I2972" t="str">
        <f>IFERROR(VLOOKUP(B2972,'Pre-Summary'!$AE$6:$AJ$85,5,FALSE),"")</f>
        <v/>
      </c>
      <c r="J2972" s="45" t="str">
        <f>IFERROR(VLOOKUP(B2972,'Pre-Summary'!$AE$6:$AJ$85,6, FALSE),"")</f>
        <v/>
      </c>
      <c r="K2972" s="45" t="str">
        <f>IFERROR(VLOOKUP(B2972,'Pre-Summary'!$DE$6:$DG$61,3,FALSE),"")</f>
        <v/>
      </c>
      <c r="L2972" s="45" t="str">
        <f>IFERROR(VLOOKUP(B2972,'Pre-Summary'!$CU$6:$CW$36,3,FALSE),"")</f>
        <v/>
      </c>
      <c r="M2972" s="45" t="str">
        <f>IFERROR(VLOOKUP(B2972,'Pre-Summary'!$BW$6:$BY$58,2,FALSE),"")</f>
        <v/>
      </c>
      <c r="N2972" s="45" t="str">
        <f>IFERROR(VLOOKUP(B2972,'Pre-Summary'!$CD$6:$CF$64,2,FALSE),"")</f>
        <v/>
      </c>
      <c r="O2972" s="99">
        <f>IFERROR(VLOOKUP(B2972,'Pre-Summary'!$BO$6:$BQ$48,3, FALSE),O2971)</f>
        <v>2.77</v>
      </c>
      <c r="P2972" s="99">
        <f>IFERROR(VLOOKUP(B2972,'Pre-Summary'!$BS$6:$BU$35,3,FALSE),P2971)</f>
        <v>0.70099999999999996</v>
      </c>
      <c r="Q2972" s="54">
        <f t="shared" si="138"/>
        <v>3.9514978601997148</v>
      </c>
      <c r="R2972" s="53">
        <f>IFERROR(VLOOKUP(B2972,'Pre-Summary'!$BG$6:$BM$44,7,FALSE),R2973)</f>
        <v>0</v>
      </c>
      <c r="S2972" s="53" t="e">
        <f>VLOOKUP(B2972,'Pre-Summary'!$BG$6:$BM$44,6,FALSE)</f>
        <v>#N/A</v>
      </c>
      <c r="T2972" s="45" t="str">
        <f>IFERROR(VLOOKUP(B2972,'Pre-Summary'!$Y$6:$AC$83, 3,FALSE),"")</f>
        <v/>
      </c>
      <c r="U2972" s="45" t="str">
        <f>IFERROR(VLOOKUP(B2972,'Pre-Summary'!$Y$6:$AC$83, 4,FALSE),"")</f>
        <v/>
      </c>
      <c r="V2972" t="str">
        <f>IFERROR(VLOOKUP(B2972,'Pre-Summary'!$Y$6:$AC$83, 5,FALSE),"")</f>
        <v/>
      </c>
      <c r="W2972" s="45" t="str">
        <f>IFERROR(VLOOKUP(B2972,'Pre-Summary'!$Y$6:$AD$83,6,FALSE),"")</f>
        <v/>
      </c>
      <c r="X2972" t="str">
        <f>IFERROR(VLOOKUP('Pre-Summary'!$DB$6:$DD$63,3,FALSE),"")</f>
        <v/>
      </c>
      <c r="Y2972" t="str">
        <f>IFERROR(VLOOKUP(B2972,'Pre-Summary'!$CR$6:$CT$36,3,FALSE),"")</f>
        <v/>
      </c>
      <c r="Z2972" s="45" t="str">
        <f>IFERROR(VLOOKUP(B2972,'Pre-Summary'!$BZ$6:$CB$63,2,FALSE),"")</f>
        <v/>
      </c>
      <c r="AA2972" s="45" t="str">
        <f>IFERROR(VLOOKUP(B2972,'Pre-Summary'!$CG$6:$CI$70,2,FALSE),"")</f>
        <v/>
      </c>
      <c r="AB2972" s="99">
        <f>IFERROR(VLOOKUP(B2972,'Pre-Summary'!$A$6:$P$178,9,FALSE),AB2973)</f>
        <v>0.68914361702057381</v>
      </c>
      <c r="AC2972" s="10">
        <f>IFERROR(VLOOKUP(Summary!B2972,'Pre-Summary'!$A$6:$P$184,5, FALSE)/100,AC2973)</f>
        <v>0.92963666666666656</v>
      </c>
      <c r="AD2972" s="10">
        <f>IFERROR(VLOOKUP(Summary!B2972,'Pre-Summary'!$A$6:$P$184,3, FALSE)/100,AD2973)</f>
        <v>3.8144666666666667E-2</v>
      </c>
      <c r="AE2972" s="10">
        <f>IFERROR(VLOOKUP(Summary!B2972,'Pre-Summary'!$A$6:$P$184,7, FALSE)/100,AE2973)</f>
        <v>3.2219333333333336E-2</v>
      </c>
      <c r="AF2972" s="99">
        <f t="shared" si="139"/>
        <v>2.6287153556710782E-2</v>
      </c>
      <c r="AG2972" s="99">
        <f t="shared" si="140"/>
        <v>2.2203747911324876E-2</v>
      </c>
      <c r="AH2972" s="10" t="str">
        <f>IFERROR(VLOOKUP(B2972,'Pre-Summary'!$AZ$6:$BE$65,3,FALSE),"")</f>
        <v/>
      </c>
      <c r="AI2972" s="10" t="str">
        <f>IFERROR(VLOOKUP(B2972,'Pre-Summary'!$AZ$6:$BE$65,5,FALSE),"")</f>
        <v/>
      </c>
      <c r="AJ2972" s="10" t="str">
        <f>IFERROR(VLOOKUP(B2972,'Pre-Summary'!$AZ$6:$BE$65,4,FALSE),"")</f>
        <v/>
      </c>
      <c r="AK2972" s="10" t="str">
        <f>IFERROR(VLOOKUP(B2972,'Pre-Summary'!$AZ$6:$BE$65,6,FALSE),"")</f>
        <v/>
      </c>
      <c r="AL2972" s="10" t="str">
        <f>IFERROR(VLOOKUP(B2972,'Pre-Summary'!$BG$6:$BL$44,3,FALSE),"")</f>
        <v/>
      </c>
      <c r="AM2972" s="10" t="str">
        <f>IFERROR(VLOOKUP(B2972,'Pre-Summary'!$BG$6:$BL$44,4,FALSE),"")</f>
        <v/>
      </c>
    </row>
    <row r="2973" spans="2:39" ht="15" customHeight="1" x14ac:dyDescent="0.3">
      <c r="B2973">
        <v>297</v>
      </c>
      <c r="C2973" t="str">
        <f>IFERROR(VLOOKUP(B2973,'Pre-Summary'!$DI$6:$DM$23,4,FALSE),"")</f>
        <v/>
      </c>
      <c r="D2973" s="10" t="str">
        <f>IFERROR(VLOOKUP(B2973,'Pre-Summary'!$AT$6:$AX$14,5,FALSE),D2972)</f>
        <v>Wolfe v3: went back to modified wolfe + EDTA and switched CuSO4 to CUCl2</v>
      </c>
      <c r="E2973" s="10" t="str">
        <f>IFERROR(VLOOKUP(B2973,'Pre-Summary'!$AT$6:$AX$15,4,FALSE),"")</f>
        <v/>
      </c>
      <c r="F2973">
        <f>IFERROR(VLOOKUP(B2973,'Pre-Summary'!$AL$6:$AQ$13,6,FALSE),F2972)</f>
        <v>5.9405263157894746E-2</v>
      </c>
      <c r="G2973" t="str">
        <f>IFERROR(VLOOKUP(B2973,'Pre-Summary'!$AE$6:$AJ$85,3,FALSE),"")</f>
        <v/>
      </c>
      <c r="H2973" t="str">
        <f>IFERROR(VLOOKUP(B2973,'Pre-Summary'!$AE$6:$AJ$85,4,FALSE),"")</f>
        <v/>
      </c>
      <c r="I2973" t="str">
        <f>IFERROR(VLOOKUP(B2973,'Pre-Summary'!$AE$6:$AJ$85,5,FALSE),"")</f>
        <v/>
      </c>
      <c r="J2973" s="45" t="str">
        <f>IFERROR(VLOOKUP(B2973,'Pre-Summary'!$AE$6:$AJ$85,6, FALSE),"")</f>
        <v/>
      </c>
      <c r="K2973" s="45" t="str">
        <f>IFERROR(VLOOKUP(B2973,'Pre-Summary'!$DE$6:$DG$61,3,FALSE),"")</f>
        <v/>
      </c>
      <c r="L2973" s="45" t="str">
        <f>IFERROR(VLOOKUP(B2973,'Pre-Summary'!$CU$6:$CW$36,3,FALSE),"")</f>
        <v/>
      </c>
      <c r="M2973" s="45" t="str">
        <f>IFERROR(VLOOKUP(B2973,'Pre-Summary'!$BW$6:$BY$58,2,FALSE),"")</f>
        <v/>
      </c>
      <c r="N2973" s="45" t="str">
        <f>IFERROR(VLOOKUP(B2973,'Pre-Summary'!$CD$6:$CF$64,2,FALSE),"")</f>
        <v/>
      </c>
      <c r="O2973" s="99">
        <f>IFERROR(VLOOKUP(B2973,'Pre-Summary'!$BO$6:$BQ$48,3, FALSE),O2972)</f>
        <v>2.77</v>
      </c>
      <c r="P2973" s="99">
        <f>IFERROR(VLOOKUP(B2973,'Pre-Summary'!$BS$6:$BU$35,3,FALSE),P2972)</f>
        <v>0.70099999999999996</v>
      </c>
      <c r="Q2973" s="54">
        <f t="shared" si="138"/>
        <v>3.9514978601997148</v>
      </c>
      <c r="R2973" s="53">
        <f>IFERROR(VLOOKUP(B2973,'Pre-Summary'!$BG$6:$BM$44,7,FALSE),R2974)</f>
        <v>0</v>
      </c>
      <c r="S2973" s="53" t="e">
        <f>VLOOKUP(B2973,'Pre-Summary'!$BG$6:$BM$44,6,FALSE)</f>
        <v>#N/A</v>
      </c>
      <c r="T2973" s="45" t="str">
        <f>IFERROR(VLOOKUP(B2973,'Pre-Summary'!$Y$6:$AC$83, 3,FALSE),"")</f>
        <v/>
      </c>
      <c r="U2973" s="45" t="str">
        <f>IFERROR(VLOOKUP(B2973,'Pre-Summary'!$Y$6:$AC$83, 4,FALSE),"")</f>
        <v/>
      </c>
      <c r="V2973" t="str">
        <f>IFERROR(VLOOKUP(B2973,'Pre-Summary'!$Y$6:$AC$83, 5,FALSE),"")</f>
        <v/>
      </c>
      <c r="W2973" s="45" t="str">
        <f>IFERROR(VLOOKUP(B2973,'Pre-Summary'!$Y$6:$AD$83,6,FALSE),"")</f>
        <v/>
      </c>
      <c r="X2973" t="str">
        <f>IFERROR(VLOOKUP('Pre-Summary'!$DB$6:$DD$63,3,FALSE),"")</f>
        <v/>
      </c>
      <c r="Y2973" t="str">
        <f>IFERROR(VLOOKUP(B2973,'Pre-Summary'!$CR$6:$CT$36,3,FALSE),"")</f>
        <v/>
      </c>
      <c r="Z2973" s="45" t="str">
        <f>IFERROR(VLOOKUP(B2973,'Pre-Summary'!$BZ$6:$CB$63,2,FALSE),"")</f>
        <v/>
      </c>
      <c r="AA2973" s="45" t="str">
        <f>IFERROR(VLOOKUP(B2973,'Pre-Summary'!$CG$6:$CI$70,2,FALSE),"")</f>
        <v/>
      </c>
      <c r="AB2973" s="99">
        <f>IFERROR(VLOOKUP(B2973,'Pre-Summary'!$A$6:$P$178,9,FALSE),AB2974)</f>
        <v>0.68914361702057381</v>
      </c>
      <c r="AC2973" s="10">
        <f>IFERROR(VLOOKUP(Summary!B2973,'Pre-Summary'!$A$6:$P$184,5, FALSE)/100,AC2974)</f>
        <v>0.92963666666666656</v>
      </c>
      <c r="AD2973" s="10">
        <f>IFERROR(VLOOKUP(Summary!B2973,'Pre-Summary'!$A$6:$P$184,3, FALSE)/100,AD2974)</f>
        <v>3.8144666666666667E-2</v>
      </c>
      <c r="AE2973" s="10">
        <f>IFERROR(VLOOKUP(Summary!B2973,'Pre-Summary'!$A$6:$P$184,7, FALSE)/100,AE2974)</f>
        <v>3.2219333333333336E-2</v>
      </c>
      <c r="AF2973" s="99">
        <f t="shared" si="139"/>
        <v>2.6287153556710782E-2</v>
      </c>
      <c r="AG2973" s="99">
        <f t="shared" si="140"/>
        <v>2.2203747911324876E-2</v>
      </c>
      <c r="AH2973" s="10" t="str">
        <f>IFERROR(VLOOKUP(B2973,'Pre-Summary'!$AZ$6:$BE$65,3,FALSE),"")</f>
        <v/>
      </c>
      <c r="AI2973" s="10" t="str">
        <f>IFERROR(VLOOKUP(B2973,'Pre-Summary'!$AZ$6:$BE$65,5,FALSE),"")</f>
        <v/>
      </c>
      <c r="AJ2973" s="10" t="str">
        <f>IFERROR(VLOOKUP(B2973,'Pre-Summary'!$AZ$6:$BE$65,4,FALSE),"")</f>
        <v/>
      </c>
      <c r="AK2973" s="10" t="str">
        <f>IFERROR(VLOOKUP(B2973,'Pre-Summary'!$AZ$6:$BE$65,6,FALSE),"")</f>
        <v/>
      </c>
      <c r="AL2973" s="10" t="str">
        <f>IFERROR(VLOOKUP(B2973,'Pre-Summary'!$BG$6:$BL$44,3,FALSE),"")</f>
        <v/>
      </c>
      <c r="AM2973" s="10" t="str">
        <f>IFERROR(VLOOKUP(B2973,'Pre-Summary'!$BG$6:$BL$44,4,FALSE),"")</f>
        <v/>
      </c>
    </row>
    <row r="2974" spans="2:39" ht="15" customHeight="1" x14ac:dyDescent="0.3">
      <c r="B2974">
        <v>297.10000000000002</v>
      </c>
      <c r="C2974" t="str">
        <f>IFERROR(VLOOKUP(B2974,'Pre-Summary'!$DI$6:$DM$23,4,FALSE),"")</f>
        <v/>
      </c>
      <c r="D2974" s="10" t="str">
        <f>IFERROR(VLOOKUP(B2974,'Pre-Summary'!$AT$6:$AX$14,5,FALSE),D2973)</f>
        <v>Wolfe v3: went back to modified wolfe + EDTA and switched CuSO4 to CUCl2</v>
      </c>
      <c r="E2974" s="10" t="str">
        <f>IFERROR(VLOOKUP(B2974,'Pre-Summary'!$AT$6:$AX$15,4,FALSE),"")</f>
        <v/>
      </c>
      <c r="F2974">
        <f>IFERROR(VLOOKUP(B2974,'Pre-Summary'!$AL$6:$AQ$13,6,FALSE),F2973)</f>
        <v>5.9405263157894746E-2</v>
      </c>
      <c r="G2974" t="str">
        <f>IFERROR(VLOOKUP(B2974,'Pre-Summary'!$AE$6:$AJ$85,3,FALSE),"")</f>
        <v/>
      </c>
      <c r="H2974" t="str">
        <f>IFERROR(VLOOKUP(B2974,'Pre-Summary'!$AE$6:$AJ$85,4,FALSE),"")</f>
        <v/>
      </c>
      <c r="I2974" t="str">
        <f>IFERROR(VLOOKUP(B2974,'Pre-Summary'!$AE$6:$AJ$85,5,FALSE),"")</f>
        <v/>
      </c>
      <c r="J2974" s="45" t="str">
        <f>IFERROR(VLOOKUP(B2974,'Pre-Summary'!$AE$6:$AJ$85,6, FALSE),"")</f>
        <v/>
      </c>
      <c r="K2974" s="45" t="str">
        <f>IFERROR(VLOOKUP(B2974,'Pre-Summary'!$DE$6:$DG$61,3,FALSE),"")</f>
        <v/>
      </c>
      <c r="L2974" s="45" t="str">
        <f>IFERROR(VLOOKUP(B2974,'Pre-Summary'!$CU$6:$CW$36,3,FALSE),"")</f>
        <v/>
      </c>
      <c r="M2974" s="45" t="str">
        <f>IFERROR(VLOOKUP(B2974,'Pre-Summary'!$BW$6:$BY$58,2,FALSE),"")</f>
        <v/>
      </c>
      <c r="N2974" s="45" t="str">
        <f>IFERROR(VLOOKUP(B2974,'Pre-Summary'!$CD$6:$CF$64,2,FALSE),"")</f>
        <v/>
      </c>
      <c r="O2974" s="99">
        <f>IFERROR(VLOOKUP(B2974,'Pre-Summary'!$BO$6:$BQ$48,3, FALSE),O2973)</f>
        <v>2.77</v>
      </c>
      <c r="P2974" s="99">
        <f>IFERROR(VLOOKUP(B2974,'Pre-Summary'!$BS$6:$BU$35,3,FALSE),P2973)</f>
        <v>0.70099999999999996</v>
      </c>
      <c r="Q2974" s="54">
        <f t="shared" si="138"/>
        <v>3.9514978601997148</v>
      </c>
      <c r="R2974" s="53">
        <f>IFERROR(VLOOKUP(B2974,'Pre-Summary'!$BG$6:$BM$44,7,FALSE),R2975)</f>
        <v>0</v>
      </c>
      <c r="S2974" s="53" t="e">
        <f>VLOOKUP(B2974,'Pre-Summary'!$BG$6:$BM$44,6,FALSE)</f>
        <v>#N/A</v>
      </c>
      <c r="T2974" s="45" t="str">
        <f>IFERROR(VLOOKUP(B2974,'Pre-Summary'!$Y$6:$AC$83, 3,FALSE),"")</f>
        <v/>
      </c>
      <c r="U2974" s="45" t="str">
        <f>IFERROR(VLOOKUP(B2974,'Pre-Summary'!$Y$6:$AC$83, 4,FALSE),"")</f>
        <v/>
      </c>
      <c r="V2974" t="str">
        <f>IFERROR(VLOOKUP(B2974,'Pre-Summary'!$Y$6:$AC$83, 5,FALSE),"")</f>
        <v/>
      </c>
      <c r="W2974" s="45" t="str">
        <f>IFERROR(VLOOKUP(B2974,'Pre-Summary'!$Y$6:$AD$83,6,FALSE),"")</f>
        <v/>
      </c>
      <c r="X2974" t="str">
        <f>IFERROR(VLOOKUP('Pre-Summary'!$DB$6:$DD$63,3,FALSE),"")</f>
        <v/>
      </c>
      <c r="Y2974" t="str">
        <f>IFERROR(VLOOKUP(B2974,'Pre-Summary'!$CR$6:$CT$36,3,FALSE),"")</f>
        <v/>
      </c>
      <c r="Z2974" s="45" t="str">
        <f>IFERROR(VLOOKUP(B2974,'Pre-Summary'!$BZ$6:$CB$63,2,FALSE),"")</f>
        <v/>
      </c>
      <c r="AA2974" s="45" t="str">
        <f>IFERROR(VLOOKUP(B2974,'Pre-Summary'!$CG$6:$CI$70,2,FALSE),"")</f>
        <v/>
      </c>
      <c r="AB2974" s="99">
        <f>IFERROR(VLOOKUP(B2974,'Pre-Summary'!$A$6:$P$178,9,FALSE),AB2975)</f>
        <v>0.68914361702057381</v>
      </c>
      <c r="AC2974" s="10">
        <f>IFERROR(VLOOKUP(Summary!B2974,'Pre-Summary'!$A$6:$P$184,5, FALSE)/100,AC2975)</f>
        <v>0.92963666666666656</v>
      </c>
      <c r="AD2974" s="10">
        <f>IFERROR(VLOOKUP(Summary!B2974,'Pre-Summary'!$A$6:$P$184,3, FALSE)/100,AD2975)</f>
        <v>3.8144666666666667E-2</v>
      </c>
      <c r="AE2974" s="10">
        <f>IFERROR(VLOOKUP(Summary!B2974,'Pre-Summary'!$A$6:$P$184,7, FALSE)/100,AE2975)</f>
        <v>3.2219333333333336E-2</v>
      </c>
      <c r="AF2974" s="99">
        <f t="shared" si="139"/>
        <v>2.6287153556710782E-2</v>
      </c>
      <c r="AG2974" s="99">
        <f t="shared" si="140"/>
        <v>2.2203747911324876E-2</v>
      </c>
      <c r="AH2974" s="10" t="str">
        <f>IFERROR(VLOOKUP(B2974,'Pre-Summary'!$AZ$6:$BE$65,3,FALSE),"")</f>
        <v/>
      </c>
      <c r="AI2974" s="10" t="str">
        <f>IFERROR(VLOOKUP(B2974,'Pre-Summary'!$AZ$6:$BE$65,5,FALSE),"")</f>
        <v/>
      </c>
      <c r="AJ2974" s="10" t="str">
        <f>IFERROR(VLOOKUP(B2974,'Pre-Summary'!$AZ$6:$BE$65,4,FALSE),"")</f>
        <v/>
      </c>
      <c r="AK2974" s="10" t="str">
        <f>IFERROR(VLOOKUP(B2974,'Pre-Summary'!$AZ$6:$BE$65,6,FALSE),"")</f>
        <v/>
      </c>
      <c r="AL2974" s="10" t="str">
        <f>IFERROR(VLOOKUP(B2974,'Pre-Summary'!$BG$6:$BL$44,3,FALSE),"")</f>
        <v/>
      </c>
      <c r="AM2974" s="10" t="str">
        <f>IFERROR(VLOOKUP(B2974,'Pre-Summary'!$BG$6:$BL$44,4,FALSE),"")</f>
        <v/>
      </c>
    </row>
    <row r="2975" spans="2:39" ht="15" customHeight="1" x14ac:dyDescent="0.3">
      <c r="B2975">
        <v>297.2</v>
      </c>
      <c r="C2975" t="str">
        <f>IFERROR(VLOOKUP(B2975,'Pre-Summary'!$DI$6:$DM$23,4,FALSE),"")</f>
        <v/>
      </c>
      <c r="D2975" s="10" t="str">
        <f>IFERROR(VLOOKUP(B2975,'Pre-Summary'!$AT$6:$AX$14,5,FALSE),D2974)</f>
        <v>Wolfe v3: went back to modified wolfe + EDTA and switched CuSO4 to CUCl2</v>
      </c>
      <c r="E2975" s="10" t="str">
        <f>IFERROR(VLOOKUP(B2975,'Pre-Summary'!$AT$6:$AX$15,4,FALSE),"")</f>
        <v/>
      </c>
      <c r="F2975">
        <f>IFERROR(VLOOKUP(B2975,'Pre-Summary'!$AL$6:$AQ$13,6,FALSE),F2974)</f>
        <v>5.9405263157894746E-2</v>
      </c>
      <c r="G2975" t="str">
        <f>IFERROR(VLOOKUP(B2975,'Pre-Summary'!$AE$6:$AJ$85,3,FALSE),"")</f>
        <v/>
      </c>
      <c r="H2975" t="str">
        <f>IFERROR(VLOOKUP(B2975,'Pre-Summary'!$AE$6:$AJ$85,4,FALSE),"")</f>
        <v/>
      </c>
      <c r="I2975" t="str">
        <f>IFERROR(VLOOKUP(B2975,'Pre-Summary'!$AE$6:$AJ$85,5,FALSE),"")</f>
        <v/>
      </c>
      <c r="J2975" s="45" t="str">
        <f>IFERROR(VLOOKUP(B2975,'Pre-Summary'!$AE$6:$AJ$85,6, FALSE),"")</f>
        <v/>
      </c>
      <c r="K2975" s="45" t="str">
        <f>IFERROR(VLOOKUP(B2975,'Pre-Summary'!$DE$6:$DG$61,3,FALSE),"")</f>
        <v/>
      </c>
      <c r="L2975" s="45" t="str">
        <f>IFERROR(VLOOKUP(B2975,'Pre-Summary'!$CU$6:$CW$36,3,FALSE),"")</f>
        <v/>
      </c>
      <c r="M2975" s="45" t="str">
        <f>IFERROR(VLOOKUP(B2975,'Pre-Summary'!$BW$6:$BY$58,2,FALSE),"")</f>
        <v/>
      </c>
      <c r="N2975" s="45" t="str">
        <f>IFERROR(VLOOKUP(B2975,'Pre-Summary'!$CD$6:$CF$64,2,FALSE),"")</f>
        <v/>
      </c>
      <c r="O2975" s="99">
        <f>IFERROR(VLOOKUP(B2975,'Pre-Summary'!$BO$6:$BQ$48,3, FALSE),O2974)</f>
        <v>2.77</v>
      </c>
      <c r="P2975" s="99">
        <f>IFERROR(VLOOKUP(B2975,'Pre-Summary'!$BS$6:$BU$35,3,FALSE),P2974)</f>
        <v>0.70099999999999996</v>
      </c>
      <c r="Q2975" s="54">
        <f t="shared" si="138"/>
        <v>3.9514978601997148</v>
      </c>
      <c r="R2975" s="53">
        <f>IFERROR(VLOOKUP(B2975,'Pre-Summary'!$BG$6:$BM$44,7,FALSE),R2976)</f>
        <v>0</v>
      </c>
      <c r="S2975" s="53" t="e">
        <f>VLOOKUP(B2975,'Pre-Summary'!$BG$6:$BM$44,6,FALSE)</f>
        <v>#N/A</v>
      </c>
      <c r="T2975" s="45" t="str">
        <f>IFERROR(VLOOKUP(B2975,'Pre-Summary'!$Y$6:$AC$83, 3,FALSE),"")</f>
        <v/>
      </c>
      <c r="U2975" s="45" t="str">
        <f>IFERROR(VLOOKUP(B2975,'Pre-Summary'!$Y$6:$AC$83, 4,FALSE),"")</f>
        <v/>
      </c>
      <c r="V2975" t="str">
        <f>IFERROR(VLOOKUP(B2975,'Pre-Summary'!$Y$6:$AC$83, 5,FALSE),"")</f>
        <v/>
      </c>
      <c r="W2975" s="45" t="str">
        <f>IFERROR(VLOOKUP(B2975,'Pre-Summary'!$Y$6:$AD$83,6,FALSE),"")</f>
        <v/>
      </c>
      <c r="X2975" t="str">
        <f>IFERROR(VLOOKUP('Pre-Summary'!$DB$6:$DD$63,3,FALSE),"")</f>
        <v/>
      </c>
      <c r="Y2975" t="str">
        <f>IFERROR(VLOOKUP(B2975,'Pre-Summary'!$CR$6:$CT$36,3,FALSE),"")</f>
        <v/>
      </c>
      <c r="Z2975" s="45" t="str">
        <f>IFERROR(VLOOKUP(B2975,'Pre-Summary'!$BZ$6:$CB$63,2,FALSE),"")</f>
        <v/>
      </c>
      <c r="AA2975" s="45" t="str">
        <f>IFERROR(VLOOKUP(B2975,'Pre-Summary'!$CG$6:$CI$70,2,FALSE),"")</f>
        <v/>
      </c>
      <c r="AB2975" s="99">
        <f>IFERROR(VLOOKUP(B2975,'Pre-Summary'!$A$6:$P$178,9,FALSE),AB2976)</f>
        <v>0.68914361702057381</v>
      </c>
      <c r="AC2975" s="10">
        <f>IFERROR(VLOOKUP(Summary!B2975,'Pre-Summary'!$A$6:$P$184,5, FALSE)/100,AC2976)</f>
        <v>0.92963666666666656</v>
      </c>
      <c r="AD2975" s="10">
        <f>IFERROR(VLOOKUP(Summary!B2975,'Pre-Summary'!$A$6:$P$184,3, FALSE)/100,AD2976)</f>
        <v>3.8144666666666667E-2</v>
      </c>
      <c r="AE2975" s="10">
        <f>IFERROR(VLOOKUP(Summary!B2975,'Pre-Summary'!$A$6:$P$184,7, FALSE)/100,AE2976)</f>
        <v>3.2219333333333336E-2</v>
      </c>
      <c r="AF2975" s="99">
        <f t="shared" si="139"/>
        <v>2.6287153556710782E-2</v>
      </c>
      <c r="AG2975" s="99">
        <f t="shared" si="140"/>
        <v>2.2203747911324876E-2</v>
      </c>
      <c r="AH2975" s="10" t="str">
        <f>IFERROR(VLOOKUP(B2975,'Pre-Summary'!$AZ$6:$BE$65,3,FALSE),"")</f>
        <v/>
      </c>
      <c r="AI2975" s="10" t="str">
        <f>IFERROR(VLOOKUP(B2975,'Pre-Summary'!$AZ$6:$BE$65,5,FALSE),"")</f>
        <v/>
      </c>
      <c r="AJ2975" s="10" t="str">
        <f>IFERROR(VLOOKUP(B2975,'Pre-Summary'!$AZ$6:$BE$65,4,FALSE),"")</f>
        <v/>
      </c>
      <c r="AK2975" s="10" t="str">
        <f>IFERROR(VLOOKUP(B2975,'Pre-Summary'!$AZ$6:$BE$65,6,FALSE),"")</f>
        <v/>
      </c>
      <c r="AL2975" s="10" t="str">
        <f>IFERROR(VLOOKUP(B2975,'Pre-Summary'!$BG$6:$BL$44,3,FALSE),"")</f>
        <v/>
      </c>
      <c r="AM2975" s="10" t="str">
        <f>IFERROR(VLOOKUP(B2975,'Pre-Summary'!$BG$6:$BL$44,4,FALSE),"")</f>
        <v/>
      </c>
    </row>
    <row r="2976" spans="2:39" ht="15" customHeight="1" x14ac:dyDescent="0.3">
      <c r="B2976">
        <v>297.3</v>
      </c>
      <c r="C2976" t="str">
        <f>IFERROR(VLOOKUP(B2976,'Pre-Summary'!$DI$6:$DM$23,4,FALSE),"")</f>
        <v/>
      </c>
      <c r="D2976" s="10" t="str">
        <f>IFERROR(VLOOKUP(B2976,'Pre-Summary'!$AT$6:$AX$14,5,FALSE),D2975)</f>
        <v>Wolfe v3: went back to modified wolfe + EDTA and switched CuSO4 to CUCl2</v>
      </c>
      <c r="E2976" s="10" t="str">
        <f>IFERROR(VLOOKUP(B2976,'Pre-Summary'!$AT$6:$AX$15,4,FALSE),"")</f>
        <v/>
      </c>
      <c r="F2976">
        <f>IFERROR(VLOOKUP(B2976,'Pre-Summary'!$AL$6:$AQ$13,6,FALSE),F2975)</f>
        <v>5.9405263157894746E-2</v>
      </c>
      <c r="G2976" t="str">
        <f>IFERROR(VLOOKUP(B2976,'Pre-Summary'!$AE$6:$AJ$85,3,FALSE),"")</f>
        <v/>
      </c>
      <c r="H2976" t="str">
        <f>IFERROR(VLOOKUP(B2976,'Pre-Summary'!$AE$6:$AJ$85,4,FALSE),"")</f>
        <v/>
      </c>
      <c r="I2976" t="str">
        <f>IFERROR(VLOOKUP(B2976,'Pre-Summary'!$AE$6:$AJ$85,5,FALSE),"")</f>
        <v/>
      </c>
      <c r="J2976" s="45" t="str">
        <f>IFERROR(VLOOKUP(B2976,'Pre-Summary'!$AE$6:$AJ$85,6, FALSE),"")</f>
        <v/>
      </c>
      <c r="K2976" s="45" t="str">
        <f>IFERROR(VLOOKUP(B2976,'Pre-Summary'!$DE$6:$DG$61,3,FALSE),"")</f>
        <v/>
      </c>
      <c r="L2976" s="45" t="str">
        <f>IFERROR(VLOOKUP(B2976,'Pre-Summary'!$CU$6:$CW$36,3,FALSE),"")</f>
        <v/>
      </c>
      <c r="M2976" s="45" t="str">
        <f>IFERROR(VLOOKUP(B2976,'Pre-Summary'!$BW$6:$BY$58,2,FALSE),"")</f>
        <v/>
      </c>
      <c r="N2976" s="45" t="str">
        <f>IFERROR(VLOOKUP(B2976,'Pre-Summary'!$CD$6:$CF$64,2,FALSE),"")</f>
        <v/>
      </c>
      <c r="O2976" s="99">
        <f>IFERROR(VLOOKUP(B2976,'Pre-Summary'!$BO$6:$BQ$48,3, FALSE),O2975)</f>
        <v>2.77</v>
      </c>
      <c r="P2976" s="99">
        <f>IFERROR(VLOOKUP(B2976,'Pre-Summary'!$BS$6:$BU$35,3,FALSE),P2975)</f>
        <v>0.70099999999999996</v>
      </c>
      <c r="Q2976" s="54">
        <f t="shared" si="138"/>
        <v>3.9514978601997148</v>
      </c>
      <c r="R2976" s="53">
        <f>IFERROR(VLOOKUP(B2976,'Pre-Summary'!$BG$6:$BM$44,7,FALSE),R2977)</f>
        <v>0</v>
      </c>
      <c r="S2976" s="53" t="e">
        <f>VLOOKUP(B2976,'Pre-Summary'!$BG$6:$BM$44,6,FALSE)</f>
        <v>#N/A</v>
      </c>
      <c r="T2976" s="45" t="str">
        <f>IFERROR(VLOOKUP(B2976,'Pre-Summary'!$Y$6:$AC$83, 3,FALSE),"")</f>
        <v/>
      </c>
      <c r="U2976" s="45" t="str">
        <f>IFERROR(VLOOKUP(B2976,'Pre-Summary'!$Y$6:$AC$83, 4,FALSE),"")</f>
        <v/>
      </c>
      <c r="V2976" t="str">
        <f>IFERROR(VLOOKUP(B2976,'Pre-Summary'!$Y$6:$AC$83, 5,FALSE),"")</f>
        <v/>
      </c>
      <c r="W2976" s="45" t="str">
        <f>IFERROR(VLOOKUP(B2976,'Pre-Summary'!$Y$6:$AD$83,6,FALSE),"")</f>
        <v/>
      </c>
      <c r="X2976" t="str">
        <f>IFERROR(VLOOKUP('Pre-Summary'!$DB$6:$DD$63,3,FALSE),"")</f>
        <v/>
      </c>
      <c r="Y2976" t="str">
        <f>IFERROR(VLOOKUP(B2976,'Pre-Summary'!$CR$6:$CT$36,3,FALSE),"")</f>
        <v/>
      </c>
      <c r="Z2976" s="45" t="str">
        <f>IFERROR(VLOOKUP(B2976,'Pre-Summary'!$BZ$6:$CB$63,2,FALSE),"")</f>
        <v/>
      </c>
      <c r="AA2976" s="45" t="str">
        <f>IFERROR(VLOOKUP(B2976,'Pre-Summary'!$CG$6:$CI$70,2,FALSE),"")</f>
        <v/>
      </c>
      <c r="AB2976" s="99">
        <f>IFERROR(VLOOKUP(B2976,'Pre-Summary'!$A$6:$P$178,9,FALSE),AB2977)</f>
        <v>0.68914361702057381</v>
      </c>
      <c r="AC2976" s="10">
        <f>IFERROR(VLOOKUP(Summary!B2976,'Pre-Summary'!$A$6:$P$184,5, FALSE)/100,AC2977)</f>
        <v>0.92963666666666656</v>
      </c>
      <c r="AD2976" s="10">
        <f>IFERROR(VLOOKUP(Summary!B2976,'Pre-Summary'!$A$6:$P$184,3, FALSE)/100,AD2977)</f>
        <v>3.8144666666666667E-2</v>
      </c>
      <c r="AE2976" s="10">
        <f>IFERROR(VLOOKUP(Summary!B2976,'Pre-Summary'!$A$6:$P$184,7, FALSE)/100,AE2977)</f>
        <v>3.2219333333333336E-2</v>
      </c>
      <c r="AF2976" s="99">
        <f t="shared" si="139"/>
        <v>2.6287153556710782E-2</v>
      </c>
      <c r="AG2976" s="99">
        <f t="shared" si="140"/>
        <v>2.2203747911324876E-2</v>
      </c>
      <c r="AH2976" s="10" t="str">
        <f>IFERROR(VLOOKUP(B2976,'Pre-Summary'!$AZ$6:$BE$65,3,FALSE),"")</f>
        <v/>
      </c>
      <c r="AI2976" s="10" t="str">
        <f>IFERROR(VLOOKUP(B2976,'Pre-Summary'!$AZ$6:$BE$65,5,FALSE),"")</f>
        <v/>
      </c>
      <c r="AJ2976" s="10" t="str">
        <f>IFERROR(VLOOKUP(B2976,'Pre-Summary'!$AZ$6:$BE$65,4,FALSE),"")</f>
        <v/>
      </c>
      <c r="AK2976" s="10" t="str">
        <f>IFERROR(VLOOKUP(B2976,'Pre-Summary'!$AZ$6:$BE$65,6,FALSE),"")</f>
        <v/>
      </c>
      <c r="AL2976" s="10" t="str">
        <f>IFERROR(VLOOKUP(B2976,'Pre-Summary'!$BG$6:$BL$44,3,FALSE),"")</f>
        <v/>
      </c>
      <c r="AM2976" s="10" t="str">
        <f>IFERROR(VLOOKUP(B2976,'Pre-Summary'!$BG$6:$BL$44,4,FALSE),"")</f>
        <v/>
      </c>
    </row>
    <row r="2977" spans="2:39" ht="15" customHeight="1" x14ac:dyDescent="0.3">
      <c r="B2977">
        <v>297.39999999999998</v>
      </c>
      <c r="C2977" t="str">
        <f>IFERROR(VLOOKUP(B2977,'Pre-Summary'!$DI$6:$DM$23,4,FALSE),"")</f>
        <v/>
      </c>
      <c r="D2977" s="10" t="str">
        <f>IFERROR(VLOOKUP(B2977,'Pre-Summary'!$AT$6:$AX$14,5,FALSE),D2976)</f>
        <v>Wolfe v3: went back to modified wolfe + EDTA and switched CuSO4 to CUCl2</v>
      </c>
      <c r="E2977" s="10" t="str">
        <f>IFERROR(VLOOKUP(B2977,'Pre-Summary'!$AT$6:$AX$15,4,FALSE),"")</f>
        <v/>
      </c>
      <c r="F2977">
        <f>IFERROR(VLOOKUP(B2977,'Pre-Summary'!$AL$6:$AQ$13,6,FALSE),F2976)</f>
        <v>5.9405263157894746E-2</v>
      </c>
      <c r="G2977" t="str">
        <f>IFERROR(VLOOKUP(B2977,'Pre-Summary'!$AE$6:$AJ$85,3,FALSE),"")</f>
        <v/>
      </c>
      <c r="H2977" t="str">
        <f>IFERROR(VLOOKUP(B2977,'Pre-Summary'!$AE$6:$AJ$85,4,FALSE),"")</f>
        <v/>
      </c>
      <c r="I2977" t="str">
        <f>IFERROR(VLOOKUP(B2977,'Pre-Summary'!$AE$6:$AJ$85,5,FALSE),"")</f>
        <v/>
      </c>
      <c r="J2977" s="45" t="str">
        <f>IFERROR(VLOOKUP(B2977,'Pre-Summary'!$AE$6:$AJ$85,6, FALSE),"")</f>
        <v/>
      </c>
      <c r="K2977" s="45" t="str">
        <f>IFERROR(VLOOKUP(B2977,'Pre-Summary'!$DE$6:$DG$61,3,FALSE),"")</f>
        <v/>
      </c>
      <c r="L2977" s="45" t="str">
        <f>IFERROR(VLOOKUP(B2977,'Pre-Summary'!$CU$6:$CW$36,3,FALSE),"")</f>
        <v/>
      </c>
      <c r="M2977" s="45" t="str">
        <f>IFERROR(VLOOKUP(B2977,'Pre-Summary'!$BW$6:$BY$58,2,FALSE),"")</f>
        <v/>
      </c>
      <c r="N2977" s="45" t="str">
        <f>IFERROR(VLOOKUP(B2977,'Pre-Summary'!$CD$6:$CF$64,2,FALSE),"")</f>
        <v/>
      </c>
      <c r="O2977" s="99">
        <f>IFERROR(VLOOKUP(B2977,'Pre-Summary'!$BO$6:$BQ$48,3, FALSE),O2976)</f>
        <v>2.77</v>
      </c>
      <c r="P2977" s="99">
        <f>IFERROR(VLOOKUP(B2977,'Pre-Summary'!$BS$6:$BU$35,3,FALSE),P2976)</f>
        <v>0.70099999999999996</v>
      </c>
      <c r="Q2977" s="54">
        <f t="shared" si="138"/>
        <v>3.9514978601997148</v>
      </c>
      <c r="R2977" s="53">
        <f>IFERROR(VLOOKUP(B2977,'Pre-Summary'!$BG$6:$BM$44,7,FALSE),R2978)</f>
        <v>0</v>
      </c>
      <c r="S2977" s="53" t="e">
        <f>VLOOKUP(B2977,'Pre-Summary'!$BG$6:$BM$44,6,FALSE)</f>
        <v>#N/A</v>
      </c>
      <c r="T2977" s="45" t="str">
        <f>IFERROR(VLOOKUP(B2977,'Pre-Summary'!$Y$6:$AC$83, 3,FALSE),"")</f>
        <v/>
      </c>
      <c r="U2977" s="45" t="str">
        <f>IFERROR(VLOOKUP(B2977,'Pre-Summary'!$Y$6:$AC$83, 4,FALSE),"")</f>
        <v/>
      </c>
      <c r="V2977" t="str">
        <f>IFERROR(VLOOKUP(B2977,'Pre-Summary'!$Y$6:$AC$83, 5,FALSE),"")</f>
        <v/>
      </c>
      <c r="W2977" s="45" t="str">
        <f>IFERROR(VLOOKUP(B2977,'Pre-Summary'!$Y$6:$AD$83,6,FALSE),"")</f>
        <v/>
      </c>
      <c r="X2977" t="str">
        <f>IFERROR(VLOOKUP('Pre-Summary'!$DB$6:$DD$63,3,FALSE),"")</f>
        <v/>
      </c>
      <c r="Y2977" t="str">
        <f>IFERROR(VLOOKUP(B2977,'Pre-Summary'!$CR$6:$CT$36,3,FALSE),"")</f>
        <v/>
      </c>
      <c r="Z2977" s="45" t="str">
        <f>IFERROR(VLOOKUP(B2977,'Pre-Summary'!$BZ$6:$CB$63,2,FALSE),"")</f>
        <v/>
      </c>
      <c r="AA2977" s="45" t="str">
        <f>IFERROR(VLOOKUP(B2977,'Pre-Summary'!$CG$6:$CI$70,2,FALSE),"")</f>
        <v/>
      </c>
      <c r="AB2977" s="99">
        <f>IFERROR(VLOOKUP(B2977,'Pre-Summary'!$A$6:$P$178,9,FALSE),AB2978)</f>
        <v>0.68914361702057381</v>
      </c>
      <c r="AC2977" s="10">
        <f>IFERROR(VLOOKUP(Summary!B2977,'Pre-Summary'!$A$6:$P$184,5, FALSE)/100,AC2978)</f>
        <v>0.92963666666666656</v>
      </c>
      <c r="AD2977" s="10">
        <f>IFERROR(VLOOKUP(Summary!B2977,'Pre-Summary'!$A$6:$P$184,3, FALSE)/100,AD2978)</f>
        <v>3.8144666666666667E-2</v>
      </c>
      <c r="AE2977" s="10">
        <f>IFERROR(VLOOKUP(Summary!B2977,'Pre-Summary'!$A$6:$P$184,7, FALSE)/100,AE2978)</f>
        <v>3.2219333333333336E-2</v>
      </c>
      <c r="AF2977" s="99">
        <f t="shared" si="139"/>
        <v>2.6287153556710782E-2</v>
      </c>
      <c r="AG2977" s="99">
        <f t="shared" si="140"/>
        <v>2.2203747911324876E-2</v>
      </c>
      <c r="AH2977" s="10" t="str">
        <f>IFERROR(VLOOKUP(B2977,'Pre-Summary'!$AZ$6:$BE$65,3,FALSE),"")</f>
        <v/>
      </c>
      <c r="AI2977" s="10" t="str">
        <f>IFERROR(VLOOKUP(B2977,'Pre-Summary'!$AZ$6:$BE$65,5,FALSE),"")</f>
        <v/>
      </c>
      <c r="AJ2977" s="10" t="str">
        <f>IFERROR(VLOOKUP(B2977,'Pre-Summary'!$AZ$6:$BE$65,4,FALSE),"")</f>
        <v/>
      </c>
      <c r="AK2977" s="10" t="str">
        <f>IFERROR(VLOOKUP(B2977,'Pre-Summary'!$AZ$6:$BE$65,6,FALSE),"")</f>
        <v/>
      </c>
      <c r="AL2977" s="10" t="str">
        <f>IFERROR(VLOOKUP(B2977,'Pre-Summary'!$BG$6:$BL$44,3,FALSE),"")</f>
        <v/>
      </c>
      <c r="AM2977" s="10" t="str">
        <f>IFERROR(VLOOKUP(B2977,'Pre-Summary'!$BG$6:$BL$44,4,FALSE),"")</f>
        <v/>
      </c>
    </row>
    <row r="2978" spans="2:39" ht="15" customHeight="1" x14ac:dyDescent="0.3">
      <c r="B2978">
        <v>297.5</v>
      </c>
      <c r="C2978" t="str">
        <f>IFERROR(VLOOKUP(B2978,'Pre-Summary'!$DI$6:$DM$23,4,FALSE),"")</f>
        <v/>
      </c>
      <c r="D2978" s="10" t="str">
        <f>IFERROR(VLOOKUP(B2978,'Pre-Summary'!$AT$6:$AX$14,5,FALSE),D2977)</f>
        <v>Wolfe v3: went back to modified wolfe + EDTA and switched CuSO4 to CUCl2</v>
      </c>
      <c r="E2978" s="10" t="str">
        <f>IFERROR(VLOOKUP(B2978,'Pre-Summary'!$AT$6:$AX$15,4,FALSE),"")</f>
        <v/>
      </c>
      <c r="F2978">
        <f>IFERROR(VLOOKUP(B2978,'Pre-Summary'!$AL$6:$AQ$13,6,FALSE),F2977)</f>
        <v>5.9405263157894746E-2</v>
      </c>
      <c r="G2978" t="str">
        <f>IFERROR(VLOOKUP(B2978,'Pre-Summary'!$AE$6:$AJ$85,3,FALSE),"")</f>
        <v/>
      </c>
      <c r="H2978" t="str">
        <f>IFERROR(VLOOKUP(B2978,'Pre-Summary'!$AE$6:$AJ$85,4,FALSE),"")</f>
        <v/>
      </c>
      <c r="I2978" t="str">
        <f>IFERROR(VLOOKUP(B2978,'Pre-Summary'!$AE$6:$AJ$85,5,FALSE),"")</f>
        <v/>
      </c>
      <c r="J2978" s="45" t="str">
        <f>IFERROR(VLOOKUP(B2978,'Pre-Summary'!$AE$6:$AJ$85,6, FALSE),"")</f>
        <v/>
      </c>
      <c r="K2978" s="45" t="str">
        <f>IFERROR(VLOOKUP(B2978,'Pre-Summary'!$DE$6:$DG$61,3,FALSE),"")</f>
        <v/>
      </c>
      <c r="L2978" s="45" t="str">
        <f>IFERROR(VLOOKUP(B2978,'Pre-Summary'!$CU$6:$CW$36,3,FALSE),"")</f>
        <v/>
      </c>
      <c r="M2978" s="45" t="str">
        <f>IFERROR(VLOOKUP(B2978,'Pre-Summary'!$BW$6:$BY$58,2,FALSE),"")</f>
        <v/>
      </c>
      <c r="N2978" s="45" t="str">
        <f>IFERROR(VLOOKUP(B2978,'Pre-Summary'!$CD$6:$CF$64,2,FALSE),"")</f>
        <v/>
      </c>
      <c r="O2978" s="99">
        <f>IFERROR(VLOOKUP(B2978,'Pre-Summary'!$BO$6:$BQ$48,3, FALSE),O2977)</f>
        <v>2.77</v>
      </c>
      <c r="P2978" s="99">
        <f>IFERROR(VLOOKUP(B2978,'Pre-Summary'!$BS$6:$BU$35,3,FALSE),P2977)</f>
        <v>0.70099999999999996</v>
      </c>
      <c r="Q2978" s="54">
        <f t="shared" si="138"/>
        <v>3.9514978601997148</v>
      </c>
      <c r="R2978" s="53">
        <f>IFERROR(VLOOKUP(B2978,'Pre-Summary'!$BG$6:$BM$44,7,FALSE),R2979)</f>
        <v>0</v>
      </c>
      <c r="S2978" s="53" t="e">
        <f>VLOOKUP(B2978,'Pre-Summary'!$BG$6:$BM$44,6,FALSE)</f>
        <v>#N/A</v>
      </c>
      <c r="T2978" s="45" t="str">
        <f>IFERROR(VLOOKUP(B2978,'Pre-Summary'!$Y$6:$AC$83, 3,FALSE),"")</f>
        <v/>
      </c>
      <c r="U2978" s="45" t="str">
        <f>IFERROR(VLOOKUP(B2978,'Pre-Summary'!$Y$6:$AC$83, 4,FALSE),"")</f>
        <v/>
      </c>
      <c r="V2978" t="str">
        <f>IFERROR(VLOOKUP(B2978,'Pre-Summary'!$Y$6:$AC$83, 5,FALSE),"")</f>
        <v/>
      </c>
      <c r="W2978" s="45" t="str">
        <f>IFERROR(VLOOKUP(B2978,'Pre-Summary'!$Y$6:$AD$83,6,FALSE),"")</f>
        <v/>
      </c>
      <c r="X2978" t="str">
        <f>IFERROR(VLOOKUP('Pre-Summary'!$DB$6:$DD$63,3,FALSE),"")</f>
        <v/>
      </c>
      <c r="Y2978" t="str">
        <f>IFERROR(VLOOKUP(B2978,'Pre-Summary'!$CR$6:$CT$36,3,FALSE),"")</f>
        <v/>
      </c>
      <c r="Z2978" s="45" t="str">
        <f>IFERROR(VLOOKUP(B2978,'Pre-Summary'!$BZ$6:$CB$63,2,FALSE),"")</f>
        <v/>
      </c>
      <c r="AA2978" s="45" t="str">
        <f>IFERROR(VLOOKUP(B2978,'Pre-Summary'!$CG$6:$CI$70,2,FALSE),"")</f>
        <v/>
      </c>
      <c r="AB2978" s="99">
        <f>IFERROR(VLOOKUP(B2978,'Pre-Summary'!$A$6:$P$178,9,FALSE),AB2979)</f>
        <v>0.68914361702057381</v>
      </c>
      <c r="AC2978" s="10">
        <f>IFERROR(VLOOKUP(Summary!B2978,'Pre-Summary'!$A$6:$P$184,5, FALSE)/100,AC2979)</f>
        <v>0.92963666666666656</v>
      </c>
      <c r="AD2978" s="10">
        <f>IFERROR(VLOOKUP(Summary!B2978,'Pre-Summary'!$A$6:$P$184,3, FALSE)/100,AD2979)</f>
        <v>3.8144666666666667E-2</v>
      </c>
      <c r="AE2978" s="10">
        <f>IFERROR(VLOOKUP(Summary!B2978,'Pre-Summary'!$A$6:$P$184,7, FALSE)/100,AE2979)</f>
        <v>3.2219333333333336E-2</v>
      </c>
      <c r="AF2978" s="99">
        <f t="shared" si="139"/>
        <v>2.6287153556710782E-2</v>
      </c>
      <c r="AG2978" s="99">
        <f t="shared" si="140"/>
        <v>2.2203747911324876E-2</v>
      </c>
      <c r="AH2978" s="10" t="str">
        <f>IFERROR(VLOOKUP(B2978,'Pre-Summary'!$AZ$6:$BE$65,3,FALSE),"")</f>
        <v/>
      </c>
      <c r="AI2978" s="10" t="str">
        <f>IFERROR(VLOOKUP(B2978,'Pre-Summary'!$AZ$6:$BE$65,5,FALSE),"")</f>
        <v/>
      </c>
      <c r="AJ2978" s="10" t="str">
        <f>IFERROR(VLOOKUP(B2978,'Pre-Summary'!$AZ$6:$BE$65,4,FALSE),"")</f>
        <v/>
      </c>
      <c r="AK2978" s="10" t="str">
        <f>IFERROR(VLOOKUP(B2978,'Pre-Summary'!$AZ$6:$BE$65,6,FALSE),"")</f>
        <v/>
      </c>
      <c r="AL2978" s="10" t="str">
        <f>IFERROR(VLOOKUP(B2978,'Pre-Summary'!$BG$6:$BL$44,3,FALSE),"")</f>
        <v/>
      </c>
      <c r="AM2978" s="10" t="str">
        <f>IFERROR(VLOOKUP(B2978,'Pre-Summary'!$BG$6:$BL$44,4,FALSE),"")</f>
        <v/>
      </c>
    </row>
    <row r="2979" spans="2:39" ht="15" customHeight="1" x14ac:dyDescent="0.3">
      <c r="B2979">
        <v>297.60000000000002</v>
      </c>
      <c r="C2979" t="str">
        <f>IFERROR(VLOOKUP(B2979,'Pre-Summary'!$DI$6:$DM$23,4,FALSE),"")</f>
        <v/>
      </c>
      <c r="D2979" s="10" t="str">
        <f>IFERROR(VLOOKUP(B2979,'Pre-Summary'!$AT$6:$AX$14,5,FALSE),D2978)</f>
        <v>Wolfe v3: went back to modified wolfe + EDTA and switched CuSO4 to CUCl2</v>
      </c>
      <c r="E2979" s="10" t="str">
        <f>IFERROR(VLOOKUP(B2979,'Pre-Summary'!$AT$6:$AX$15,4,FALSE),"")</f>
        <v/>
      </c>
      <c r="F2979">
        <f>IFERROR(VLOOKUP(B2979,'Pre-Summary'!$AL$6:$AQ$13,6,FALSE),F2978)</f>
        <v>5.9405263157894746E-2</v>
      </c>
      <c r="G2979" t="str">
        <f>IFERROR(VLOOKUP(B2979,'Pre-Summary'!$AE$6:$AJ$85,3,FALSE),"")</f>
        <v/>
      </c>
      <c r="H2979" t="str">
        <f>IFERROR(VLOOKUP(B2979,'Pre-Summary'!$AE$6:$AJ$85,4,FALSE),"")</f>
        <v/>
      </c>
      <c r="I2979" t="str">
        <f>IFERROR(VLOOKUP(B2979,'Pre-Summary'!$AE$6:$AJ$85,5,FALSE),"")</f>
        <v/>
      </c>
      <c r="J2979" s="45" t="str">
        <f>IFERROR(VLOOKUP(B2979,'Pre-Summary'!$AE$6:$AJ$85,6, FALSE),"")</f>
        <v/>
      </c>
      <c r="K2979" s="45" t="str">
        <f>IFERROR(VLOOKUP(B2979,'Pre-Summary'!$DE$6:$DG$61,3,FALSE),"")</f>
        <v/>
      </c>
      <c r="L2979" s="45" t="str">
        <f>IFERROR(VLOOKUP(B2979,'Pre-Summary'!$CU$6:$CW$36,3,FALSE),"")</f>
        <v/>
      </c>
      <c r="M2979" s="45" t="str">
        <f>IFERROR(VLOOKUP(B2979,'Pre-Summary'!$BW$6:$BY$58,2,FALSE),"")</f>
        <v/>
      </c>
      <c r="N2979" s="45" t="str">
        <f>IFERROR(VLOOKUP(B2979,'Pre-Summary'!$CD$6:$CF$64,2,FALSE),"")</f>
        <v/>
      </c>
      <c r="O2979" s="99">
        <f>IFERROR(VLOOKUP(B2979,'Pre-Summary'!$BO$6:$BQ$48,3, FALSE),O2978)</f>
        <v>2.77</v>
      </c>
      <c r="P2979" s="99">
        <f>IFERROR(VLOOKUP(B2979,'Pre-Summary'!$BS$6:$BU$35,3,FALSE),P2978)</f>
        <v>0.70099999999999996</v>
      </c>
      <c r="Q2979" s="54">
        <f t="shared" si="138"/>
        <v>3.9514978601997148</v>
      </c>
      <c r="R2979" s="53">
        <f>IFERROR(VLOOKUP(B2979,'Pre-Summary'!$BG$6:$BM$44,7,FALSE),R2980)</f>
        <v>0</v>
      </c>
      <c r="S2979" s="53" t="e">
        <f>VLOOKUP(B2979,'Pre-Summary'!$BG$6:$BM$44,6,FALSE)</f>
        <v>#N/A</v>
      </c>
      <c r="T2979" s="45" t="str">
        <f>IFERROR(VLOOKUP(B2979,'Pre-Summary'!$Y$6:$AC$83, 3,FALSE),"")</f>
        <v/>
      </c>
      <c r="U2979" s="45" t="str">
        <f>IFERROR(VLOOKUP(B2979,'Pre-Summary'!$Y$6:$AC$83, 4,FALSE),"")</f>
        <v/>
      </c>
      <c r="V2979" t="str">
        <f>IFERROR(VLOOKUP(B2979,'Pre-Summary'!$Y$6:$AC$83, 5,FALSE),"")</f>
        <v/>
      </c>
      <c r="W2979" s="45" t="str">
        <f>IFERROR(VLOOKUP(B2979,'Pre-Summary'!$Y$6:$AD$83,6,FALSE),"")</f>
        <v/>
      </c>
      <c r="X2979" t="str">
        <f>IFERROR(VLOOKUP('Pre-Summary'!$DB$6:$DD$63,3,FALSE),"")</f>
        <v/>
      </c>
      <c r="Y2979" t="str">
        <f>IFERROR(VLOOKUP(B2979,'Pre-Summary'!$CR$6:$CT$36,3,FALSE),"")</f>
        <v/>
      </c>
      <c r="Z2979" s="45" t="str">
        <f>IFERROR(VLOOKUP(B2979,'Pre-Summary'!$BZ$6:$CB$63,2,FALSE),"")</f>
        <v/>
      </c>
      <c r="AA2979" s="45" t="str">
        <f>IFERROR(VLOOKUP(B2979,'Pre-Summary'!$CG$6:$CI$70,2,FALSE),"")</f>
        <v/>
      </c>
      <c r="AB2979" s="99">
        <f>IFERROR(VLOOKUP(B2979,'Pre-Summary'!$A$6:$P$178,9,FALSE),AB2980)</f>
        <v>0.68914361702057381</v>
      </c>
      <c r="AC2979" s="10">
        <f>IFERROR(VLOOKUP(Summary!B2979,'Pre-Summary'!$A$6:$P$184,5, FALSE)/100,AC2980)</f>
        <v>0.92963666666666656</v>
      </c>
      <c r="AD2979" s="10">
        <f>IFERROR(VLOOKUP(Summary!B2979,'Pre-Summary'!$A$6:$P$184,3, FALSE)/100,AD2980)</f>
        <v>3.8144666666666667E-2</v>
      </c>
      <c r="AE2979" s="10">
        <f>IFERROR(VLOOKUP(Summary!B2979,'Pre-Summary'!$A$6:$P$184,7, FALSE)/100,AE2980)</f>
        <v>3.2219333333333336E-2</v>
      </c>
      <c r="AF2979" s="99">
        <f t="shared" si="139"/>
        <v>2.6287153556710782E-2</v>
      </c>
      <c r="AG2979" s="99">
        <f t="shared" si="140"/>
        <v>2.2203747911324876E-2</v>
      </c>
      <c r="AH2979" s="10" t="str">
        <f>IFERROR(VLOOKUP(B2979,'Pre-Summary'!$AZ$6:$BE$65,3,FALSE),"")</f>
        <v/>
      </c>
      <c r="AI2979" s="10" t="str">
        <f>IFERROR(VLOOKUP(B2979,'Pre-Summary'!$AZ$6:$BE$65,5,FALSE),"")</f>
        <v/>
      </c>
      <c r="AJ2979" s="10" t="str">
        <f>IFERROR(VLOOKUP(B2979,'Pre-Summary'!$AZ$6:$BE$65,4,FALSE),"")</f>
        <v/>
      </c>
      <c r="AK2979" s="10" t="str">
        <f>IFERROR(VLOOKUP(B2979,'Pre-Summary'!$AZ$6:$BE$65,6,FALSE),"")</f>
        <v/>
      </c>
      <c r="AL2979" s="10" t="str">
        <f>IFERROR(VLOOKUP(B2979,'Pre-Summary'!$BG$6:$BL$44,3,FALSE),"")</f>
        <v/>
      </c>
      <c r="AM2979" s="10" t="str">
        <f>IFERROR(VLOOKUP(B2979,'Pre-Summary'!$BG$6:$BL$44,4,FALSE),"")</f>
        <v/>
      </c>
    </row>
    <row r="2980" spans="2:39" ht="15" customHeight="1" x14ac:dyDescent="0.3">
      <c r="B2980">
        <v>297.7</v>
      </c>
      <c r="C2980" t="str">
        <f>IFERROR(VLOOKUP(B2980,'Pre-Summary'!$DI$6:$DM$23,4,FALSE),"")</f>
        <v/>
      </c>
      <c r="D2980" s="10" t="str">
        <f>IFERROR(VLOOKUP(B2980,'Pre-Summary'!$AT$6:$AX$14,5,FALSE),D2979)</f>
        <v>Wolfe v3: went back to modified wolfe + EDTA and switched CuSO4 to CUCl2</v>
      </c>
      <c r="E2980" s="10" t="str">
        <f>IFERROR(VLOOKUP(B2980,'Pre-Summary'!$AT$6:$AX$15,4,FALSE),"")</f>
        <v/>
      </c>
      <c r="F2980">
        <f>IFERROR(VLOOKUP(B2980,'Pre-Summary'!$AL$6:$AQ$13,6,FALSE),F2979)</f>
        <v>5.9405263157894746E-2</v>
      </c>
      <c r="G2980" t="str">
        <f>IFERROR(VLOOKUP(B2980,'Pre-Summary'!$AE$6:$AJ$85,3,FALSE),"")</f>
        <v/>
      </c>
      <c r="H2980" t="str">
        <f>IFERROR(VLOOKUP(B2980,'Pre-Summary'!$AE$6:$AJ$85,4,FALSE),"")</f>
        <v/>
      </c>
      <c r="I2980" t="str">
        <f>IFERROR(VLOOKUP(B2980,'Pre-Summary'!$AE$6:$AJ$85,5,FALSE),"")</f>
        <v/>
      </c>
      <c r="J2980" s="45" t="str">
        <f>IFERROR(VLOOKUP(B2980,'Pre-Summary'!$AE$6:$AJ$85,6, FALSE),"")</f>
        <v/>
      </c>
      <c r="K2980" s="45" t="str">
        <f>IFERROR(VLOOKUP(B2980,'Pre-Summary'!$DE$6:$DG$61,3,FALSE),"")</f>
        <v/>
      </c>
      <c r="L2980" s="45" t="str">
        <f>IFERROR(VLOOKUP(B2980,'Pre-Summary'!$CU$6:$CW$36,3,FALSE),"")</f>
        <v/>
      </c>
      <c r="M2980" s="45" t="str">
        <f>IFERROR(VLOOKUP(B2980,'Pre-Summary'!$BW$6:$BY$58,2,FALSE),"")</f>
        <v/>
      </c>
      <c r="N2980" s="45" t="str">
        <f>IFERROR(VLOOKUP(B2980,'Pre-Summary'!$CD$6:$CF$64,2,FALSE),"")</f>
        <v/>
      </c>
      <c r="O2980" s="99">
        <f>IFERROR(VLOOKUP(B2980,'Pre-Summary'!$BO$6:$BQ$48,3, FALSE),O2979)</f>
        <v>2.77</v>
      </c>
      <c r="P2980" s="99">
        <f>IFERROR(VLOOKUP(B2980,'Pre-Summary'!$BS$6:$BU$35,3,FALSE),P2979)</f>
        <v>0.70099999999999996</v>
      </c>
      <c r="Q2980" s="54">
        <f t="shared" si="138"/>
        <v>3.9514978601997148</v>
      </c>
      <c r="R2980" s="53">
        <f>IFERROR(VLOOKUP(B2980,'Pre-Summary'!$BG$6:$BM$44,7,FALSE),R2981)</f>
        <v>0</v>
      </c>
      <c r="S2980" s="53" t="e">
        <f>VLOOKUP(B2980,'Pre-Summary'!$BG$6:$BM$44,6,FALSE)</f>
        <v>#N/A</v>
      </c>
      <c r="T2980" s="45" t="str">
        <f>IFERROR(VLOOKUP(B2980,'Pre-Summary'!$Y$6:$AC$83, 3,FALSE),"")</f>
        <v/>
      </c>
      <c r="U2980" s="45" t="str">
        <f>IFERROR(VLOOKUP(B2980,'Pre-Summary'!$Y$6:$AC$83, 4,FALSE),"")</f>
        <v/>
      </c>
      <c r="V2980" t="str">
        <f>IFERROR(VLOOKUP(B2980,'Pre-Summary'!$Y$6:$AC$83, 5,FALSE),"")</f>
        <v/>
      </c>
      <c r="W2980" s="45" t="str">
        <f>IFERROR(VLOOKUP(B2980,'Pre-Summary'!$Y$6:$AD$83,6,FALSE),"")</f>
        <v/>
      </c>
      <c r="X2980" t="str">
        <f>IFERROR(VLOOKUP('Pre-Summary'!$DB$6:$DD$63,3,FALSE),"")</f>
        <v/>
      </c>
      <c r="Y2980" t="str">
        <f>IFERROR(VLOOKUP(B2980,'Pre-Summary'!$CR$6:$CT$36,3,FALSE),"")</f>
        <v/>
      </c>
      <c r="Z2980" s="45" t="str">
        <f>IFERROR(VLOOKUP(B2980,'Pre-Summary'!$BZ$6:$CB$63,2,FALSE),"")</f>
        <v/>
      </c>
      <c r="AA2980" s="45" t="str">
        <f>IFERROR(VLOOKUP(B2980,'Pre-Summary'!$CG$6:$CI$70,2,FALSE),"")</f>
        <v/>
      </c>
      <c r="AB2980" s="99">
        <f>IFERROR(VLOOKUP(B2980,'Pre-Summary'!$A$6:$P$178,9,FALSE),AB2981)</f>
        <v>0.68914361702057381</v>
      </c>
      <c r="AC2980" s="10">
        <f>IFERROR(VLOOKUP(Summary!B2980,'Pre-Summary'!$A$6:$P$184,5, FALSE)/100,AC2981)</f>
        <v>0.92963666666666656</v>
      </c>
      <c r="AD2980" s="10">
        <f>IFERROR(VLOOKUP(Summary!B2980,'Pre-Summary'!$A$6:$P$184,3, FALSE)/100,AD2981)</f>
        <v>3.8144666666666667E-2</v>
      </c>
      <c r="AE2980" s="10">
        <f>IFERROR(VLOOKUP(Summary!B2980,'Pre-Summary'!$A$6:$P$184,7, FALSE)/100,AE2981)</f>
        <v>3.2219333333333336E-2</v>
      </c>
      <c r="AF2980" s="99">
        <f t="shared" si="139"/>
        <v>2.6287153556710782E-2</v>
      </c>
      <c r="AG2980" s="99">
        <f t="shared" si="140"/>
        <v>2.2203747911324876E-2</v>
      </c>
      <c r="AH2980" s="10" t="str">
        <f>IFERROR(VLOOKUP(B2980,'Pre-Summary'!$AZ$6:$BE$65,3,FALSE),"")</f>
        <v/>
      </c>
      <c r="AI2980" s="10" t="str">
        <f>IFERROR(VLOOKUP(B2980,'Pre-Summary'!$AZ$6:$BE$65,5,FALSE),"")</f>
        <v/>
      </c>
      <c r="AJ2980" s="10" t="str">
        <f>IFERROR(VLOOKUP(B2980,'Pre-Summary'!$AZ$6:$BE$65,4,FALSE),"")</f>
        <v/>
      </c>
      <c r="AK2980" s="10" t="str">
        <f>IFERROR(VLOOKUP(B2980,'Pre-Summary'!$AZ$6:$BE$65,6,FALSE),"")</f>
        <v/>
      </c>
      <c r="AL2980" s="10" t="str">
        <f>IFERROR(VLOOKUP(B2980,'Pre-Summary'!$BG$6:$BL$44,3,FALSE),"")</f>
        <v/>
      </c>
      <c r="AM2980" s="10" t="str">
        <f>IFERROR(VLOOKUP(B2980,'Pre-Summary'!$BG$6:$BL$44,4,FALSE),"")</f>
        <v/>
      </c>
    </row>
    <row r="2981" spans="2:39" ht="15" customHeight="1" x14ac:dyDescent="0.3">
      <c r="B2981">
        <v>297.8</v>
      </c>
      <c r="C2981" t="str">
        <f>IFERROR(VLOOKUP(B2981,'Pre-Summary'!$DI$6:$DM$23,4,FALSE),"")</f>
        <v/>
      </c>
      <c r="D2981" s="10" t="str">
        <f>IFERROR(VLOOKUP(B2981,'Pre-Summary'!$AT$6:$AX$14,5,FALSE),D2980)</f>
        <v>Wolfe v3: went back to modified wolfe + EDTA and switched CuSO4 to CUCl2</v>
      </c>
      <c r="E2981" s="10" t="str">
        <f>IFERROR(VLOOKUP(B2981,'Pre-Summary'!$AT$6:$AX$15,4,FALSE),"")</f>
        <v/>
      </c>
      <c r="F2981">
        <f>IFERROR(VLOOKUP(B2981,'Pre-Summary'!$AL$6:$AQ$13,6,FALSE),F2980)</f>
        <v>5.9405263157894746E-2</v>
      </c>
      <c r="G2981" t="str">
        <f>IFERROR(VLOOKUP(B2981,'Pre-Summary'!$AE$6:$AJ$85,3,FALSE),"")</f>
        <v/>
      </c>
      <c r="H2981" t="str">
        <f>IFERROR(VLOOKUP(B2981,'Pre-Summary'!$AE$6:$AJ$85,4,FALSE),"")</f>
        <v/>
      </c>
      <c r="I2981" t="str">
        <f>IFERROR(VLOOKUP(B2981,'Pre-Summary'!$AE$6:$AJ$85,5,FALSE),"")</f>
        <v/>
      </c>
      <c r="J2981" s="45" t="str">
        <f>IFERROR(VLOOKUP(B2981,'Pre-Summary'!$AE$6:$AJ$85,6, FALSE),"")</f>
        <v/>
      </c>
      <c r="K2981" s="45" t="str">
        <f>IFERROR(VLOOKUP(B2981,'Pre-Summary'!$DE$6:$DG$61,3,FALSE),"")</f>
        <v/>
      </c>
      <c r="L2981" s="45" t="str">
        <f>IFERROR(VLOOKUP(B2981,'Pre-Summary'!$CU$6:$CW$36,3,FALSE),"")</f>
        <v/>
      </c>
      <c r="M2981" s="45" t="str">
        <f>IFERROR(VLOOKUP(B2981,'Pre-Summary'!$BW$6:$BY$58,2,FALSE),"")</f>
        <v/>
      </c>
      <c r="N2981" s="45" t="str">
        <f>IFERROR(VLOOKUP(B2981,'Pre-Summary'!$CD$6:$CF$64,2,FALSE),"")</f>
        <v/>
      </c>
      <c r="O2981" s="99">
        <f>IFERROR(VLOOKUP(B2981,'Pre-Summary'!$BO$6:$BQ$48,3, FALSE),O2980)</f>
        <v>2.77</v>
      </c>
      <c r="P2981" s="99">
        <f>IFERROR(VLOOKUP(B2981,'Pre-Summary'!$BS$6:$BU$35,3,FALSE),P2980)</f>
        <v>0.70099999999999996</v>
      </c>
      <c r="Q2981" s="54">
        <f t="shared" si="138"/>
        <v>3.9514978601997148</v>
      </c>
      <c r="R2981" s="53">
        <f>IFERROR(VLOOKUP(B2981,'Pre-Summary'!$BG$6:$BM$44,7,FALSE),R2982)</f>
        <v>0</v>
      </c>
      <c r="S2981" s="53" t="e">
        <f>VLOOKUP(B2981,'Pre-Summary'!$BG$6:$BM$44,6,FALSE)</f>
        <v>#N/A</v>
      </c>
      <c r="T2981" s="45" t="str">
        <f>IFERROR(VLOOKUP(B2981,'Pre-Summary'!$Y$6:$AC$83, 3,FALSE),"")</f>
        <v/>
      </c>
      <c r="U2981" s="45" t="str">
        <f>IFERROR(VLOOKUP(B2981,'Pre-Summary'!$Y$6:$AC$83, 4,FALSE),"")</f>
        <v/>
      </c>
      <c r="V2981" t="str">
        <f>IFERROR(VLOOKUP(B2981,'Pre-Summary'!$Y$6:$AC$83, 5,FALSE),"")</f>
        <v/>
      </c>
      <c r="W2981" s="45" t="str">
        <f>IFERROR(VLOOKUP(B2981,'Pre-Summary'!$Y$6:$AD$83,6,FALSE),"")</f>
        <v/>
      </c>
      <c r="X2981" t="str">
        <f>IFERROR(VLOOKUP('Pre-Summary'!$DB$6:$DD$63,3,FALSE),"")</f>
        <v/>
      </c>
      <c r="Y2981" t="str">
        <f>IFERROR(VLOOKUP(B2981,'Pre-Summary'!$CR$6:$CT$36,3,FALSE),"")</f>
        <v/>
      </c>
      <c r="Z2981" s="45" t="str">
        <f>IFERROR(VLOOKUP(B2981,'Pre-Summary'!$BZ$6:$CB$63,2,FALSE),"")</f>
        <v/>
      </c>
      <c r="AA2981" s="45" t="str">
        <f>IFERROR(VLOOKUP(B2981,'Pre-Summary'!$CG$6:$CI$70,2,FALSE),"")</f>
        <v/>
      </c>
      <c r="AB2981" s="99">
        <f>IFERROR(VLOOKUP(B2981,'Pre-Summary'!$A$6:$P$178,9,FALSE),AB2982)</f>
        <v>0.68914361702057381</v>
      </c>
      <c r="AC2981" s="10">
        <f>IFERROR(VLOOKUP(Summary!B2981,'Pre-Summary'!$A$6:$P$184,5, FALSE)/100,AC2982)</f>
        <v>0.92963666666666656</v>
      </c>
      <c r="AD2981" s="10">
        <f>IFERROR(VLOOKUP(Summary!B2981,'Pre-Summary'!$A$6:$P$184,3, FALSE)/100,AD2982)</f>
        <v>3.8144666666666667E-2</v>
      </c>
      <c r="AE2981" s="10">
        <f>IFERROR(VLOOKUP(Summary!B2981,'Pre-Summary'!$A$6:$P$184,7, FALSE)/100,AE2982)</f>
        <v>3.2219333333333336E-2</v>
      </c>
      <c r="AF2981" s="99">
        <f t="shared" si="139"/>
        <v>2.6287153556710782E-2</v>
      </c>
      <c r="AG2981" s="99">
        <f t="shared" si="140"/>
        <v>2.2203747911324876E-2</v>
      </c>
      <c r="AH2981" s="10" t="str">
        <f>IFERROR(VLOOKUP(B2981,'Pre-Summary'!$AZ$6:$BE$65,3,FALSE),"")</f>
        <v/>
      </c>
      <c r="AI2981" s="10" t="str">
        <f>IFERROR(VLOOKUP(B2981,'Pre-Summary'!$AZ$6:$BE$65,5,FALSE),"")</f>
        <v/>
      </c>
      <c r="AJ2981" s="10" t="str">
        <f>IFERROR(VLOOKUP(B2981,'Pre-Summary'!$AZ$6:$BE$65,4,FALSE),"")</f>
        <v/>
      </c>
      <c r="AK2981" s="10" t="str">
        <f>IFERROR(VLOOKUP(B2981,'Pre-Summary'!$AZ$6:$BE$65,6,FALSE),"")</f>
        <v/>
      </c>
      <c r="AL2981" s="10" t="str">
        <f>IFERROR(VLOOKUP(B2981,'Pre-Summary'!$BG$6:$BL$44,3,FALSE),"")</f>
        <v/>
      </c>
      <c r="AM2981" s="10" t="str">
        <f>IFERROR(VLOOKUP(B2981,'Pre-Summary'!$BG$6:$BL$44,4,FALSE),"")</f>
        <v/>
      </c>
    </row>
    <row r="2982" spans="2:39" ht="15" customHeight="1" x14ac:dyDescent="0.3">
      <c r="B2982">
        <v>297.89999999999998</v>
      </c>
      <c r="C2982" t="str">
        <f>IFERROR(VLOOKUP(B2982,'Pre-Summary'!$DI$6:$DM$23,4,FALSE),"")</f>
        <v/>
      </c>
      <c r="D2982" s="10" t="str">
        <f>IFERROR(VLOOKUP(B2982,'Pre-Summary'!$AT$6:$AX$14,5,FALSE),D2981)</f>
        <v>Wolfe v3: went back to modified wolfe + EDTA and switched CuSO4 to CUCl2</v>
      </c>
      <c r="E2982" s="10" t="str">
        <f>IFERROR(VLOOKUP(B2982,'Pre-Summary'!$AT$6:$AX$15,4,FALSE),"")</f>
        <v/>
      </c>
      <c r="F2982">
        <f>IFERROR(VLOOKUP(B2982,'Pre-Summary'!$AL$6:$AQ$13,6,FALSE),F2981)</f>
        <v>5.9405263157894746E-2</v>
      </c>
      <c r="G2982" t="str">
        <f>IFERROR(VLOOKUP(B2982,'Pre-Summary'!$AE$6:$AJ$85,3,FALSE),"")</f>
        <v/>
      </c>
      <c r="H2982" t="str">
        <f>IFERROR(VLOOKUP(B2982,'Pre-Summary'!$AE$6:$AJ$85,4,FALSE),"")</f>
        <v/>
      </c>
      <c r="I2982" t="str">
        <f>IFERROR(VLOOKUP(B2982,'Pre-Summary'!$AE$6:$AJ$85,5,FALSE),"")</f>
        <v/>
      </c>
      <c r="J2982" s="45" t="str">
        <f>IFERROR(VLOOKUP(B2982,'Pre-Summary'!$AE$6:$AJ$85,6, FALSE),"")</f>
        <v/>
      </c>
      <c r="K2982" s="45" t="str">
        <f>IFERROR(VLOOKUP(B2982,'Pre-Summary'!$DE$6:$DG$61,3,FALSE),"")</f>
        <v/>
      </c>
      <c r="L2982" s="45" t="str">
        <f>IFERROR(VLOOKUP(B2982,'Pre-Summary'!$CU$6:$CW$36,3,FALSE),"")</f>
        <v/>
      </c>
      <c r="M2982" s="45" t="str">
        <f>IFERROR(VLOOKUP(B2982,'Pre-Summary'!$BW$6:$BY$58,2,FALSE),"")</f>
        <v/>
      </c>
      <c r="N2982" s="45" t="str">
        <f>IFERROR(VLOOKUP(B2982,'Pre-Summary'!$CD$6:$CF$64,2,FALSE),"")</f>
        <v/>
      </c>
      <c r="O2982" s="99">
        <f>IFERROR(VLOOKUP(B2982,'Pre-Summary'!$BO$6:$BQ$48,3, FALSE),O2981)</f>
        <v>2.77</v>
      </c>
      <c r="P2982" s="99">
        <f>IFERROR(VLOOKUP(B2982,'Pre-Summary'!$BS$6:$BU$35,3,FALSE),P2981)</f>
        <v>0.70099999999999996</v>
      </c>
      <c r="Q2982" s="54">
        <f t="shared" si="138"/>
        <v>3.9514978601997148</v>
      </c>
      <c r="R2982" s="53">
        <f>IFERROR(VLOOKUP(B2982,'Pre-Summary'!$BG$6:$BM$44,7,FALSE),R2983)</f>
        <v>0</v>
      </c>
      <c r="S2982" s="53" t="e">
        <f>VLOOKUP(B2982,'Pre-Summary'!$BG$6:$BM$44,6,FALSE)</f>
        <v>#N/A</v>
      </c>
      <c r="T2982" s="45" t="str">
        <f>IFERROR(VLOOKUP(B2982,'Pre-Summary'!$Y$6:$AC$83, 3,FALSE),"")</f>
        <v/>
      </c>
      <c r="U2982" s="45" t="str">
        <f>IFERROR(VLOOKUP(B2982,'Pre-Summary'!$Y$6:$AC$83, 4,FALSE),"")</f>
        <v/>
      </c>
      <c r="V2982" t="str">
        <f>IFERROR(VLOOKUP(B2982,'Pre-Summary'!$Y$6:$AC$83, 5,FALSE),"")</f>
        <v/>
      </c>
      <c r="W2982" s="45" t="str">
        <f>IFERROR(VLOOKUP(B2982,'Pre-Summary'!$Y$6:$AD$83,6,FALSE),"")</f>
        <v/>
      </c>
      <c r="X2982" t="str">
        <f>IFERROR(VLOOKUP('Pre-Summary'!$DB$6:$DD$63,3,FALSE),"")</f>
        <v/>
      </c>
      <c r="Y2982" t="str">
        <f>IFERROR(VLOOKUP(B2982,'Pre-Summary'!$CR$6:$CT$36,3,FALSE),"")</f>
        <v/>
      </c>
      <c r="Z2982" s="45" t="str">
        <f>IFERROR(VLOOKUP(B2982,'Pre-Summary'!$BZ$6:$CB$63,2,FALSE),"")</f>
        <v/>
      </c>
      <c r="AA2982" s="45" t="str">
        <f>IFERROR(VLOOKUP(B2982,'Pre-Summary'!$CG$6:$CI$70,2,FALSE),"")</f>
        <v/>
      </c>
      <c r="AB2982" s="99">
        <f>IFERROR(VLOOKUP(B2982,'Pre-Summary'!$A$6:$P$178,9,FALSE),AB2983)</f>
        <v>0.68914361702057381</v>
      </c>
      <c r="AC2982" s="10">
        <f>IFERROR(VLOOKUP(Summary!B2982,'Pre-Summary'!$A$6:$P$184,5, FALSE)/100,AC2983)</f>
        <v>0.92963666666666656</v>
      </c>
      <c r="AD2982" s="10">
        <f>IFERROR(VLOOKUP(Summary!B2982,'Pre-Summary'!$A$6:$P$184,3, FALSE)/100,AD2983)</f>
        <v>3.8144666666666667E-2</v>
      </c>
      <c r="AE2982" s="10">
        <f>IFERROR(VLOOKUP(Summary!B2982,'Pre-Summary'!$A$6:$P$184,7, FALSE)/100,AE2983)</f>
        <v>3.2219333333333336E-2</v>
      </c>
      <c r="AF2982" s="99">
        <f t="shared" si="139"/>
        <v>2.6287153556710782E-2</v>
      </c>
      <c r="AG2982" s="99">
        <f t="shared" si="140"/>
        <v>2.2203747911324876E-2</v>
      </c>
      <c r="AH2982" s="10" t="str">
        <f>IFERROR(VLOOKUP(B2982,'Pre-Summary'!$AZ$6:$BE$65,3,FALSE),"")</f>
        <v/>
      </c>
      <c r="AI2982" s="10" t="str">
        <f>IFERROR(VLOOKUP(B2982,'Pre-Summary'!$AZ$6:$BE$65,5,FALSE),"")</f>
        <v/>
      </c>
      <c r="AJ2982" s="10" t="str">
        <f>IFERROR(VLOOKUP(B2982,'Pre-Summary'!$AZ$6:$BE$65,4,FALSE),"")</f>
        <v/>
      </c>
      <c r="AK2982" s="10" t="str">
        <f>IFERROR(VLOOKUP(B2982,'Pre-Summary'!$AZ$6:$BE$65,6,FALSE),"")</f>
        <v/>
      </c>
      <c r="AL2982" s="10" t="str">
        <f>IFERROR(VLOOKUP(B2982,'Pre-Summary'!$BG$6:$BL$44,3,FALSE),"")</f>
        <v/>
      </c>
      <c r="AM2982" s="10" t="str">
        <f>IFERROR(VLOOKUP(B2982,'Pre-Summary'!$BG$6:$BL$44,4,FALSE),"")</f>
        <v/>
      </c>
    </row>
    <row r="2983" spans="2:39" ht="15" customHeight="1" x14ac:dyDescent="0.3">
      <c r="B2983">
        <v>298</v>
      </c>
      <c r="C2983" t="str">
        <f>IFERROR(VLOOKUP(B2983,'Pre-Summary'!$DI$6:$DM$23,4,FALSE),"")</f>
        <v/>
      </c>
      <c r="D2983" s="10" t="str">
        <f>IFERROR(VLOOKUP(B2983,'Pre-Summary'!$AT$6:$AX$14,5,FALSE),D2982)</f>
        <v>Wolfe v3: went back to modified wolfe + EDTA and switched CuSO4 to CUCl2</v>
      </c>
      <c r="E2983" s="10" t="str">
        <f>IFERROR(VLOOKUP(B2983,'Pre-Summary'!$AT$6:$AX$15,4,FALSE),"")</f>
        <v/>
      </c>
      <c r="F2983">
        <f>IFERROR(VLOOKUP(B2983,'Pre-Summary'!$AL$6:$AQ$13,6,FALSE),F2982)</f>
        <v>5.9405263157894746E-2</v>
      </c>
      <c r="G2983" t="str">
        <f>IFERROR(VLOOKUP(B2983,'Pre-Summary'!$AE$6:$AJ$85,3,FALSE),"")</f>
        <v/>
      </c>
      <c r="H2983" t="str">
        <f>IFERROR(VLOOKUP(B2983,'Pre-Summary'!$AE$6:$AJ$85,4,FALSE),"")</f>
        <v/>
      </c>
      <c r="I2983" t="str">
        <f>IFERROR(VLOOKUP(B2983,'Pre-Summary'!$AE$6:$AJ$85,5,FALSE),"")</f>
        <v/>
      </c>
      <c r="J2983" s="45" t="str">
        <f>IFERROR(VLOOKUP(B2983,'Pre-Summary'!$AE$6:$AJ$85,6, FALSE),"")</f>
        <v/>
      </c>
      <c r="K2983" s="45" t="str">
        <f>IFERROR(VLOOKUP(B2983,'Pre-Summary'!$DE$6:$DG$61,3,FALSE),"")</f>
        <v/>
      </c>
      <c r="L2983" s="45" t="str">
        <f>IFERROR(VLOOKUP(B2983,'Pre-Summary'!$CU$6:$CW$36,3,FALSE),"")</f>
        <v/>
      </c>
      <c r="M2983" s="45" t="str">
        <f>IFERROR(VLOOKUP(B2983,'Pre-Summary'!$BW$6:$BY$58,2,FALSE),"")</f>
        <v/>
      </c>
      <c r="N2983" s="45" t="str">
        <f>IFERROR(VLOOKUP(B2983,'Pre-Summary'!$CD$6:$CF$64,2,FALSE),"")</f>
        <v/>
      </c>
      <c r="O2983" s="99">
        <f>IFERROR(VLOOKUP(B2983,'Pre-Summary'!$BO$6:$BQ$48,3, FALSE),O2982)</f>
        <v>2.77</v>
      </c>
      <c r="P2983" s="99">
        <f>IFERROR(VLOOKUP(B2983,'Pre-Summary'!$BS$6:$BU$35,3,FALSE),P2982)</f>
        <v>0.70099999999999996</v>
      </c>
      <c r="Q2983" s="54">
        <f t="shared" si="138"/>
        <v>3.9514978601997148</v>
      </c>
      <c r="R2983" s="53">
        <f>IFERROR(VLOOKUP(B2983,'Pre-Summary'!$BG$6:$BM$44,7,FALSE),R2984)</f>
        <v>0</v>
      </c>
      <c r="S2983" s="53" t="e">
        <f>VLOOKUP(B2983,'Pre-Summary'!$BG$6:$BM$44,6,FALSE)</f>
        <v>#N/A</v>
      </c>
      <c r="T2983" s="45" t="str">
        <f>IFERROR(VLOOKUP(B2983,'Pre-Summary'!$Y$6:$AC$83, 3,FALSE),"")</f>
        <v/>
      </c>
      <c r="U2983" s="45" t="str">
        <f>IFERROR(VLOOKUP(B2983,'Pre-Summary'!$Y$6:$AC$83, 4,FALSE),"")</f>
        <v/>
      </c>
      <c r="V2983" t="str">
        <f>IFERROR(VLOOKUP(B2983,'Pre-Summary'!$Y$6:$AC$83, 5,FALSE),"")</f>
        <v/>
      </c>
      <c r="W2983" s="45" t="str">
        <f>IFERROR(VLOOKUP(B2983,'Pre-Summary'!$Y$6:$AD$83,6,FALSE),"")</f>
        <v/>
      </c>
      <c r="X2983" t="str">
        <f>IFERROR(VLOOKUP('Pre-Summary'!$DB$6:$DD$63,3,FALSE),"")</f>
        <v/>
      </c>
      <c r="Y2983" t="str">
        <f>IFERROR(VLOOKUP(B2983,'Pre-Summary'!$CR$6:$CT$36,3,FALSE),"")</f>
        <v/>
      </c>
      <c r="Z2983" s="45" t="str">
        <f>IFERROR(VLOOKUP(B2983,'Pre-Summary'!$BZ$6:$CB$63,2,FALSE),"")</f>
        <v/>
      </c>
      <c r="AA2983" s="45" t="str">
        <f>IFERROR(VLOOKUP(B2983,'Pre-Summary'!$CG$6:$CI$70,2,FALSE),"")</f>
        <v/>
      </c>
      <c r="AB2983" s="99">
        <f>IFERROR(VLOOKUP(B2983,'Pre-Summary'!$A$6:$P$178,9,FALSE),AB2984)</f>
        <v>0.68914361702057381</v>
      </c>
      <c r="AC2983" s="10">
        <f>IFERROR(VLOOKUP(Summary!B2983,'Pre-Summary'!$A$6:$P$184,5, FALSE)/100,AC2984)</f>
        <v>0.92963666666666656</v>
      </c>
      <c r="AD2983" s="10">
        <f>IFERROR(VLOOKUP(Summary!B2983,'Pre-Summary'!$A$6:$P$184,3, FALSE)/100,AD2984)</f>
        <v>3.8144666666666667E-2</v>
      </c>
      <c r="AE2983" s="10">
        <f>IFERROR(VLOOKUP(Summary!B2983,'Pre-Summary'!$A$6:$P$184,7, FALSE)/100,AE2984)</f>
        <v>3.2219333333333336E-2</v>
      </c>
      <c r="AF2983" s="99">
        <f t="shared" si="139"/>
        <v>2.6287153556710782E-2</v>
      </c>
      <c r="AG2983" s="99">
        <f t="shared" si="140"/>
        <v>2.2203747911324876E-2</v>
      </c>
      <c r="AH2983" s="10" t="str">
        <f>IFERROR(VLOOKUP(B2983,'Pre-Summary'!$AZ$6:$BE$65,3,FALSE),"")</f>
        <v/>
      </c>
      <c r="AI2983" s="10" t="str">
        <f>IFERROR(VLOOKUP(B2983,'Pre-Summary'!$AZ$6:$BE$65,5,FALSE),"")</f>
        <v/>
      </c>
      <c r="AJ2983" s="10" t="str">
        <f>IFERROR(VLOOKUP(B2983,'Pre-Summary'!$AZ$6:$BE$65,4,FALSE),"")</f>
        <v/>
      </c>
      <c r="AK2983" s="10" t="str">
        <f>IFERROR(VLOOKUP(B2983,'Pre-Summary'!$AZ$6:$BE$65,6,FALSE),"")</f>
        <v/>
      </c>
      <c r="AL2983" s="10" t="str">
        <f>IFERROR(VLOOKUP(B2983,'Pre-Summary'!$BG$6:$BL$44,3,FALSE),"")</f>
        <v/>
      </c>
      <c r="AM2983" s="10" t="str">
        <f>IFERROR(VLOOKUP(B2983,'Pre-Summary'!$BG$6:$BL$44,4,FALSE),"")</f>
        <v/>
      </c>
    </row>
    <row r="2984" spans="2:39" ht="15" customHeight="1" x14ac:dyDescent="0.3">
      <c r="B2984">
        <v>298.10000000000002</v>
      </c>
      <c r="C2984" t="str">
        <f>IFERROR(VLOOKUP(B2984,'Pre-Summary'!$DI$6:$DM$23,4,FALSE),"")</f>
        <v/>
      </c>
      <c r="D2984" s="10" t="str">
        <f>IFERROR(VLOOKUP(B2984,'Pre-Summary'!$AT$6:$AX$14,5,FALSE),D2983)</f>
        <v>Wolfe v3: went back to modified wolfe + EDTA and switched CuSO4 to CUCl2</v>
      </c>
      <c r="E2984" s="10" t="str">
        <f>IFERROR(VLOOKUP(B2984,'Pre-Summary'!$AT$6:$AX$15,4,FALSE),"")</f>
        <v/>
      </c>
      <c r="F2984">
        <f>IFERROR(VLOOKUP(B2984,'Pre-Summary'!$AL$6:$AQ$13,6,FALSE),F2983)</f>
        <v>5.9405263157894746E-2</v>
      </c>
      <c r="G2984" t="str">
        <f>IFERROR(VLOOKUP(B2984,'Pre-Summary'!$AE$6:$AJ$85,3,FALSE),"")</f>
        <v/>
      </c>
      <c r="H2984" t="str">
        <f>IFERROR(VLOOKUP(B2984,'Pre-Summary'!$AE$6:$AJ$85,4,FALSE),"")</f>
        <v/>
      </c>
      <c r="I2984" t="str">
        <f>IFERROR(VLOOKUP(B2984,'Pre-Summary'!$AE$6:$AJ$85,5,FALSE),"")</f>
        <v/>
      </c>
      <c r="J2984" s="45" t="str">
        <f>IFERROR(VLOOKUP(B2984,'Pre-Summary'!$AE$6:$AJ$85,6, FALSE),"")</f>
        <v/>
      </c>
      <c r="K2984" s="45" t="str">
        <f>IFERROR(VLOOKUP(B2984,'Pre-Summary'!$DE$6:$DG$61,3,FALSE),"")</f>
        <v/>
      </c>
      <c r="L2984" s="45" t="str">
        <f>IFERROR(VLOOKUP(B2984,'Pre-Summary'!$CU$6:$CW$36,3,FALSE),"")</f>
        <v/>
      </c>
      <c r="M2984" s="45" t="str">
        <f>IFERROR(VLOOKUP(B2984,'Pre-Summary'!$BW$6:$BY$58,2,FALSE),"")</f>
        <v/>
      </c>
      <c r="N2984" s="45" t="str">
        <f>IFERROR(VLOOKUP(B2984,'Pre-Summary'!$CD$6:$CF$64,2,FALSE),"")</f>
        <v/>
      </c>
      <c r="O2984" s="99">
        <f>IFERROR(VLOOKUP(B2984,'Pre-Summary'!$BO$6:$BQ$48,3, FALSE),O2983)</f>
        <v>2.77</v>
      </c>
      <c r="P2984" s="99">
        <f>IFERROR(VLOOKUP(B2984,'Pre-Summary'!$BS$6:$BU$35,3,FALSE),P2983)</f>
        <v>0.70099999999999996</v>
      </c>
      <c r="Q2984" s="54">
        <f t="shared" si="138"/>
        <v>3.9514978601997148</v>
      </c>
      <c r="R2984" s="53">
        <f>IFERROR(VLOOKUP(B2984,'Pre-Summary'!$BG$6:$BM$44,7,FALSE),R2985)</f>
        <v>0</v>
      </c>
      <c r="S2984" s="53" t="e">
        <f>VLOOKUP(B2984,'Pre-Summary'!$BG$6:$BM$44,6,FALSE)</f>
        <v>#N/A</v>
      </c>
      <c r="T2984" s="45" t="str">
        <f>IFERROR(VLOOKUP(B2984,'Pre-Summary'!$Y$6:$AC$83, 3,FALSE),"")</f>
        <v/>
      </c>
      <c r="U2984" s="45" t="str">
        <f>IFERROR(VLOOKUP(B2984,'Pre-Summary'!$Y$6:$AC$83, 4,FALSE),"")</f>
        <v/>
      </c>
      <c r="V2984" t="str">
        <f>IFERROR(VLOOKUP(B2984,'Pre-Summary'!$Y$6:$AC$83, 5,FALSE),"")</f>
        <v/>
      </c>
      <c r="W2984" s="45" t="str">
        <f>IFERROR(VLOOKUP(B2984,'Pre-Summary'!$Y$6:$AD$83,6,FALSE),"")</f>
        <v/>
      </c>
      <c r="X2984" t="str">
        <f>IFERROR(VLOOKUP('Pre-Summary'!$DB$6:$DD$63,3,FALSE),"")</f>
        <v/>
      </c>
      <c r="Y2984" t="str">
        <f>IFERROR(VLOOKUP(B2984,'Pre-Summary'!$CR$6:$CT$36,3,FALSE),"")</f>
        <v/>
      </c>
      <c r="Z2984" s="45" t="str">
        <f>IFERROR(VLOOKUP(B2984,'Pre-Summary'!$BZ$6:$CB$63,2,FALSE),"")</f>
        <v/>
      </c>
      <c r="AA2984" s="45" t="str">
        <f>IFERROR(VLOOKUP(B2984,'Pre-Summary'!$CG$6:$CI$70,2,FALSE),"")</f>
        <v/>
      </c>
      <c r="AB2984" s="99">
        <f>IFERROR(VLOOKUP(B2984,'Pre-Summary'!$A$6:$P$178,9,FALSE),AB2985)</f>
        <v>0.68914361702057381</v>
      </c>
      <c r="AC2984" s="10">
        <f>IFERROR(VLOOKUP(Summary!B2984,'Pre-Summary'!$A$6:$P$184,5, FALSE)/100,AC2985)</f>
        <v>0.92963666666666656</v>
      </c>
      <c r="AD2984" s="10">
        <f>IFERROR(VLOOKUP(Summary!B2984,'Pre-Summary'!$A$6:$P$184,3, FALSE)/100,AD2985)</f>
        <v>3.8144666666666667E-2</v>
      </c>
      <c r="AE2984" s="10">
        <f>IFERROR(VLOOKUP(Summary!B2984,'Pre-Summary'!$A$6:$P$184,7, FALSE)/100,AE2985)</f>
        <v>3.2219333333333336E-2</v>
      </c>
      <c r="AF2984" s="99">
        <f t="shared" si="139"/>
        <v>2.6287153556710782E-2</v>
      </c>
      <c r="AG2984" s="99">
        <f t="shared" si="140"/>
        <v>2.2203747911324876E-2</v>
      </c>
      <c r="AH2984" s="10" t="str">
        <f>IFERROR(VLOOKUP(B2984,'Pre-Summary'!$AZ$6:$BE$65,3,FALSE),"")</f>
        <v/>
      </c>
      <c r="AI2984" s="10" t="str">
        <f>IFERROR(VLOOKUP(B2984,'Pre-Summary'!$AZ$6:$BE$65,5,FALSE),"")</f>
        <v/>
      </c>
      <c r="AJ2984" s="10" t="str">
        <f>IFERROR(VLOOKUP(B2984,'Pre-Summary'!$AZ$6:$BE$65,4,FALSE),"")</f>
        <v/>
      </c>
      <c r="AK2984" s="10" t="str">
        <f>IFERROR(VLOOKUP(B2984,'Pre-Summary'!$AZ$6:$BE$65,6,FALSE),"")</f>
        <v/>
      </c>
      <c r="AL2984" s="10" t="str">
        <f>IFERROR(VLOOKUP(B2984,'Pre-Summary'!$BG$6:$BL$44,3,FALSE),"")</f>
        <v/>
      </c>
      <c r="AM2984" s="10" t="str">
        <f>IFERROR(VLOOKUP(B2984,'Pre-Summary'!$BG$6:$BL$44,4,FALSE),"")</f>
        <v/>
      </c>
    </row>
    <row r="2985" spans="2:39" ht="15" customHeight="1" x14ac:dyDescent="0.3">
      <c r="B2985">
        <v>298.2</v>
      </c>
      <c r="C2985" t="str">
        <f>IFERROR(VLOOKUP(B2985,'Pre-Summary'!$DI$6:$DM$23,4,FALSE),"")</f>
        <v/>
      </c>
      <c r="D2985" s="10" t="str">
        <f>IFERROR(VLOOKUP(B2985,'Pre-Summary'!$AT$6:$AX$14,5,FALSE),D2984)</f>
        <v>Wolfe v3: went back to modified wolfe + EDTA and switched CuSO4 to CUCl2</v>
      </c>
      <c r="E2985" s="10" t="str">
        <f>IFERROR(VLOOKUP(B2985,'Pre-Summary'!$AT$6:$AX$15,4,FALSE),"")</f>
        <v/>
      </c>
      <c r="F2985">
        <f>IFERROR(VLOOKUP(B2985,'Pre-Summary'!$AL$6:$AQ$13,6,FALSE),F2984)</f>
        <v>5.9405263157894746E-2</v>
      </c>
      <c r="G2985" t="str">
        <f>IFERROR(VLOOKUP(B2985,'Pre-Summary'!$AE$6:$AJ$85,3,FALSE),"")</f>
        <v/>
      </c>
      <c r="H2985" t="str">
        <f>IFERROR(VLOOKUP(B2985,'Pre-Summary'!$AE$6:$AJ$85,4,FALSE),"")</f>
        <v/>
      </c>
      <c r="I2985" t="str">
        <f>IFERROR(VLOOKUP(B2985,'Pre-Summary'!$AE$6:$AJ$85,5,FALSE),"")</f>
        <v/>
      </c>
      <c r="J2985" s="45" t="str">
        <f>IFERROR(VLOOKUP(B2985,'Pre-Summary'!$AE$6:$AJ$85,6, FALSE),"")</f>
        <v/>
      </c>
      <c r="K2985" s="45" t="str">
        <f>IFERROR(VLOOKUP(B2985,'Pre-Summary'!$DE$6:$DG$61,3,FALSE),"")</f>
        <v/>
      </c>
      <c r="L2985" s="45" t="str">
        <f>IFERROR(VLOOKUP(B2985,'Pre-Summary'!$CU$6:$CW$36,3,FALSE),"")</f>
        <v/>
      </c>
      <c r="M2985" s="45" t="str">
        <f>IFERROR(VLOOKUP(B2985,'Pre-Summary'!$BW$6:$BY$58,2,FALSE),"")</f>
        <v/>
      </c>
      <c r="N2985" s="45" t="str">
        <f>IFERROR(VLOOKUP(B2985,'Pre-Summary'!$CD$6:$CF$64,2,FALSE),"")</f>
        <v/>
      </c>
      <c r="O2985" s="99">
        <f>IFERROR(VLOOKUP(B2985,'Pre-Summary'!$BO$6:$BQ$48,3, FALSE),O2984)</f>
        <v>2.77</v>
      </c>
      <c r="P2985" s="99">
        <f>IFERROR(VLOOKUP(B2985,'Pre-Summary'!$BS$6:$BU$35,3,FALSE),P2984)</f>
        <v>0.70099999999999996</v>
      </c>
      <c r="Q2985" s="54">
        <f t="shared" si="138"/>
        <v>3.9514978601997148</v>
      </c>
      <c r="R2985" s="53">
        <f>IFERROR(VLOOKUP(B2985,'Pre-Summary'!$BG$6:$BM$44,7,FALSE),R2986)</f>
        <v>0</v>
      </c>
      <c r="S2985" s="53" t="e">
        <f>VLOOKUP(B2985,'Pre-Summary'!$BG$6:$BM$44,6,FALSE)</f>
        <v>#N/A</v>
      </c>
      <c r="T2985" s="45" t="str">
        <f>IFERROR(VLOOKUP(B2985,'Pre-Summary'!$Y$6:$AC$83, 3,FALSE),"")</f>
        <v/>
      </c>
      <c r="U2985" s="45" t="str">
        <f>IFERROR(VLOOKUP(B2985,'Pre-Summary'!$Y$6:$AC$83, 4,FALSE),"")</f>
        <v/>
      </c>
      <c r="V2985" t="str">
        <f>IFERROR(VLOOKUP(B2985,'Pre-Summary'!$Y$6:$AC$83, 5,FALSE),"")</f>
        <v/>
      </c>
      <c r="W2985" s="45" t="str">
        <f>IFERROR(VLOOKUP(B2985,'Pre-Summary'!$Y$6:$AD$83,6,FALSE),"")</f>
        <v/>
      </c>
      <c r="X2985" t="str">
        <f>IFERROR(VLOOKUP('Pre-Summary'!$DB$6:$DD$63,3,FALSE),"")</f>
        <v/>
      </c>
      <c r="Y2985" t="str">
        <f>IFERROR(VLOOKUP(B2985,'Pre-Summary'!$CR$6:$CT$36,3,FALSE),"")</f>
        <v/>
      </c>
      <c r="Z2985" s="45" t="str">
        <f>IFERROR(VLOOKUP(B2985,'Pre-Summary'!$BZ$6:$CB$63,2,FALSE),"")</f>
        <v/>
      </c>
      <c r="AA2985" s="45" t="str">
        <f>IFERROR(VLOOKUP(B2985,'Pre-Summary'!$CG$6:$CI$70,2,FALSE),"")</f>
        <v/>
      </c>
      <c r="AB2985" s="99">
        <f>IFERROR(VLOOKUP(B2985,'Pre-Summary'!$A$6:$P$178,9,FALSE),AB2986)</f>
        <v>0.68914361702057381</v>
      </c>
      <c r="AC2985" s="10">
        <f>IFERROR(VLOOKUP(Summary!B2985,'Pre-Summary'!$A$6:$P$184,5, FALSE)/100,AC2986)</f>
        <v>0.92963666666666656</v>
      </c>
      <c r="AD2985" s="10">
        <f>IFERROR(VLOOKUP(Summary!B2985,'Pre-Summary'!$A$6:$P$184,3, FALSE)/100,AD2986)</f>
        <v>3.8144666666666667E-2</v>
      </c>
      <c r="AE2985" s="10">
        <f>IFERROR(VLOOKUP(Summary!B2985,'Pre-Summary'!$A$6:$P$184,7, FALSE)/100,AE2986)</f>
        <v>3.2219333333333336E-2</v>
      </c>
      <c r="AF2985" s="99">
        <f t="shared" si="139"/>
        <v>2.6287153556710782E-2</v>
      </c>
      <c r="AG2985" s="99">
        <f t="shared" si="140"/>
        <v>2.2203747911324876E-2</v>
      </c>
      <c r="AH2985" s="10" t="str">
        <f>IFERROR(VLOOKUP(B2985,'Pre-Summary'!$AZ$6:$BE$65,3,FALSE),"")</f>
        <v/>
      </c>
      <c r="AI2985" s="10" t="str">
        <f>IFERROR(VLOOKUP(B2985,'Pre-Summary'!$AZ$6:$BE$65,5,FALSE),"")</f>
        <v/>
      </c>
      <c r="AJ2985" s="10" t="str">
        <f>IFERROR(VLOOKUP(B2985,'Pre-Summary'!$AZ$6:$BE$65,4,FALSE),"")</f>
        <v/>
      </c>
      <c r="AK2985" s="10" t="str">
        <f>IFERROR(VLOOKUP(B2985,'Pre-Summary'!$AZ$6:$BE$65,6,FALSE),"")</f>
        <v/>
      </c>
      <c r="AL2985" s="10" t="str">
        <f>IFERROR(VLOOKUP(B2985,'Pre-Summary'!$BG$6:$BL$44,3,FALSE),"")</f>
        <v/>
      </c>
      <c r="AM2985" s="10" t="str">
        <f>IFERROR(VLOOKUP(B2985,'Pre-Summary'!$BG$6:$BL$44,4,FALSE),"")</f>
        <v/>
      </c>
    </row>
    <row r="2986" spans="2:39" ht="15" customHeight="1" x14ac:dyDescent="0.3">
      <c r="B2986">
        <v>298.3</v>
      </c>
      <c r="C2986" t="str">
        <f>IFERROR(VLOOKUP(B2986,'Pre-Summary'!$DI$6:$DM$23,4,FALSE),"")</f>
        <v/>
      </c>
      <c r="D2986" s="10" t="str">
        <f>IFERROR(VLOOKUP(B2986,'Pre-Summary'!$AT$6:$AX$14,5,FALSE),D2985)</f>
        <v>Wolfe v3: went back to modified wolfe + EDTA and switched CuSO4 to CUCl2</v>
      </c>
      <c r="E2986" s="10" t="str">
        <f>IFERROR(VLOOKUP(B2986,'Pre-Summary'!$AT$6:$AX$15,4,FALSE),"")</f>
        <v/>
      </c>
      <c r="F2986">
        <f>IFERROR(VLOOKUP(B2986,'Pre-Summary'!$AL$6:$AQ$13,6,FALSE),F2985)</f>
        <v>5.9405263157894746E-2</v>
      </c>
      <c r="G2986" t="str">
        <f>IFERROR(VLOOKUP(B2986,'Pre-Summary'!$AE$6:$AJ$85,3,FALSE),"")</f>
        <v/>
      </c>
      <c r="H2986" t="str">
        <f>IFERROR(VLOOKUP(B2986,'Pre-Summary'!$AE$6:$AJ$85,4,FALSE),"")</f>
        <v/>
      </c>
      <c r="I2986" t="str">
        <f>IFERROR(VLOOKUP(B2986,'Pre-Summary'!$AE$6:$AJ$85,5,FALSE),"")</f>
        <v/>
      </c>
      <c r="J2986" s="45" t="str">
        <f>IFERROR(VLOOKUP(B2986,'Pre-Summary'!$AE$6:$AJ$85,6, FALSE),"")</f>
        <v/>
      </c>
      <c r="K2986" s="45" t="str">
        <f>IFERROR(VLOOKUP(B2986,'Pre-Summary'!$DE$6:$DG$61,3,FALSE),"")</f>
        <v/>
      </c>
      <c r="L2986" s="45" t="str">
        <f>IFERROR(VLOOKUP(B2986,'Pre-Summary'!$CU$6:$CW$36,3,FALSE),"")</f>
        <v/>
      </c>
      <c r="M2986" s="45" t="str">
        <f>IFERROR(VLOOKUP(B2986,'Pre-Summary'!$BW$6:$BY$58,2,FALSE),"")</f>
        <v/>
      </c>
      <c r="N2986" s="45" t="str">
        <f>IFERROR(VLOOKUP(B2986,'Pre-Summary'!$CD$6:$CF$64,2,FALSE),"")</f>
        <v/>
      </c>
      <c r="O2986" s="99">
        <f>IFERROR(VLOOKUP(B2986,'Pre-Summary'!$BO$6:$BQ$48,3, FALSE),O2985)</f>
        <v>2.77</v>
      </c>
      <c r="P2986" s="99">
        <f>IFERROR(VLOOKUP(B2986,'Pre-Summary'!$BS$6:$BU$35,3,FALSE),P2985)</f>
        <v>0.70099999999999996</v>
      </c>
      <c r="Q2986" s="54">
        <f t="shared" si="138"/>
        <v>3.9514978601997148</v>
      </c>
      <c r="R2986" s="53">
        <f>IFERROR(VLOOKUP(B2986,'Pre-Summary'!$BG$6:$BM$44,7,FALSE),R2987)</f>
        <v>0</v>
      </c>
      <c r="S2986" s="53" t="e">
        <f>VLOOKUP(B2986,'Pre-Summary'!$BG$6:$BM$44,6,FALSE)</f>
        <v>#N/A</v>
      </c>
      <c r="T2986" s="45" t="str">
        <f>IFERROR(VLOOKUP(B2986,'Pre-Summary'!$Y$6:$AC$83, 3,FALSE),"")</f>
        <v/>
      </c>
      <c r="U2986" s="45" t="str">
        <f>IFERROR(VLOOKUP(B2986,'Pre-Summary'!$Y$6:$AC$83, 4,FALSE),"")</f>
        <v/>
      </c>
      <c r="V2986" t="str">
        <f>IFERROR(VLOOKUP(B2986,'Pre-Summary'!$Y$6:$AC$83, 5,FALSE),"")</f>
        <v/>
      </c>
      <c r="W2986" s="45" t="str">
        <f>IFERROR(VLOOKUP(B2986,'Pre-Summary'!$Y$6:$AD$83,6,FALSE),"")</f>
        <v/>
      </c>
      <c r="X2986" t="str">
        <f>IFERROR(VLOOKUP('Pre-Summary'!$DB$6:$DD$63,3,FALSE),"")</f>
        <v/>
      </c>
      <c r="Y2986" t="str">
        <f>IFERROR(VLOOKUP(B2986,'Pre-Summary'!$CR$6:$CT$36,3,FALSE),"")</f>
        <v/>
      </c>
      <c r="Z2986" s="45" t="str">
        <f>IFERROR(VLOOKUP(B2986,'Pre-Summary'!$BZ$6:$CB$63,2,FALSE),"")</f>
        <v/>
      </c>
      <c r="AA2986" s="45" t="str">
        <f>IFERROR(VLOOKUP(B2986,'Pre-Summary'!$CG$6:$CI$70,2,FALSE),"")</f>
        <v/>
      </c>
      <c r="AB2986" s="99">
        <f>IFERROR(VLOOKUP(B2986,'Pre-Summary'!$A$6:$P$178,9,FALSE),AB2987)</f>
        <v>0.68914361702057381</v>
      </c>
      <c r="AC2986" s="10">
        <f>IFERROR(VLOOKUP(Summary!B2986,'Pre-Summary'!$A$6:$P$184,5, FALSE)/100,AC2987)</f>
        <v>0.92963666666666656</v>
      </c>
      <c r="AD2986" s="10">
        <f>IFERROR(VLOOKUP(Summary!B2986,'Pre-Summary'!$A$6:$P$184,3, FALSE)/100,AD2987)</f>
        <v>3.8144666666666667E-2</v>
      </c>
      <c r="AE2986" s="10">
        <f>IFERROR(VLOOKUP(Summary!B2986,'Pre-Summary'!$A$6:$P$184,7, FALSE)/100,AE2987)</f>
        <v>3.2219333333333336E-2</v>
      </c>
      <c r="AF2986" s="99">
        <f t="shared" si="139"/>
        <v>2.6287153556710782E-2</v>
      </c>
      <c r="AG2986" s="99">
        <f t="shared" si="140"/>
        <v>2.2203747911324876E-2</v>
      </c>
      <c r="AH2986" s="10" t="str">
        <f>IFERROR(VLOOKUP(B2986,'Pre-Summary'!$AZ$6:$BE$65,3,FALSE),"")</f>
        <v/>
      </c>
      <c r="AI2986" s="10" t="str">
        <f>IFERROR(VLOOKUP(B2986,'Pre-Summary'!$AZ$6:$BE$65,5,FALSE),"")</f>
        <v/>
      </c>
      <c r="AJ2986" s="10" t="str">
        <f>IFERROR(VLOOKUP(B2986,'Pre-Summary'!$AZ$6:$BE$65,4,FALSE),"")</f>
        <v/>
      </c>
      <c r="AK2986" s="10" t="str">
        <f>IFERROR(VLOOKUP(B2986,'Pre-Summary'!$AZ$6:$BE$65,6,FALSE),"")</f>
        <v/>
      </c>
      <c r="AL2986" s="10" t="str">
        <f>IFERROR(VLOOKUP(B2986,'Pre-Summary'!$BG$6:$BL$44,3,FALSE),"")</f>
        <v/>
      </c>
      <c r="AM2986" s="10" t="str">
        <f>IFERROR(VLOOKUP(B2986,'Pre-Summary'!$BG$6:$BL$44,4,FALSE),"")</f>
        <v/>
      </c>
    </row>
    <row r="2987" spans="2:39" ht="15" customHeight="1" x14ac:dyDescent="0.3">
      <c r="B2987">
        <v>298.39999999999998</v>
      </c>
      <c r="C2987" t="str">
        <f>IFERROR(VLOOKUP(B2987,'Pre-Summary'!$DI$6:$DM$23,4,FALSE),"")</f>
        <v/>
      </c>
      <c r="D2987" s="10" t="str">
        <f>IFERROR(VLOOKUP(B2987,'Pre-Summary'!$AT$6:$AX$14,5,FALSE),D2986)</f>
        <v>Wolfe v3: went back to modified wolfe + EDTA and switched CuSO4 to CUCl2</v>
      </c>
      <c r="E2987" s="10" t="str">
        <f>IFERROR(VLOOKUP(B2987,'Pre-Summary'!$AT$6:$AX$15,4,FALSE),"")</f>
        <v/>
      </c>
      <c r="F2987">
        <f>IFERROR(VLOOKUP(B2987,'Pre-Summary'!$AL$6:$AQ$13,6,FALSE),F2986)</f>
        <v>5.9405263157894746E-2</v>
      </c>
      <c r="G2987" t="str">
        <f>IFERROR(VLOOKUP(B2987,'Pre-Summary'!$AE$6:$AJ$85,3,FALSE),"")</f>
        <v/>
      </c>
      <c r="H2987" t="str">
        <f>IFERROR(VLOOKUP(B2987,'Pre-Summary'!$AE$6:$AJ$85,4,FALSE),"")</f>
        <v/>
      </c>
      <c r="I2987" t="str">
        <f>IFERROR(VLOOKUP(B2987,'Pre-Summary'!$AE$6:$AJ$85,5,FALSE),"")</f>
        <v/>
      </c>
      <c r="J2987" s="45" t="str">
        <f>IFERROR(VLOOKUP(B2987,'Pre-Summary'!$AE$6:$AJ$85,6, FALSE),"")</f>
        <v/>
      </c>
      <c r="K2987" s="45" t="str">
        <f>IFERROR(VLOOKUP(B2987,'Pre-Summary'!$DE$6:$DG$61,3,FALSE),"")</f>
        <v/>
      </c>
      <c r="L2987" s="45" t="str">
        <f>IFERROR(VLOOKUP(B2987,'Pre-Summary'!$CU$6:$CW$36,3,FALSE),"")</f>
        <v/>
      </c>
      <c r="M2987" s="45" t="str">
        <f>IFERROR(VLOOKUP(B2987,'Pre-Summary'!$BW$6:$BY$58,2,FALSE),"")</f>
        <v/>
      </c>
      <c r="N2987" s="45" t="str">
        <f>IFERROR(VLOOKUP(B2987,'Pre-Summary'!$CD$6:$CF$64,2,FALSE),"")</f>
        <v/>
      </c>
      <c r="O2987" s="99">
        <f>IFERROR(VLOOKUP(B2987,'Pre-Summary'!$BO$6:$BQ$48,3, FALSE),O2986)</f>
        <v>2.77</v>
      </c>
      <c r="P2987" s="99">
        <f>IFERROR(VLOOKUP(B2987,'Pre-Summary'!$BS$6:$BU$35,3,FALSE),P2986)</f>
        <v>0.70099999999999996</v>
      </c>
      <c r="Q2987" s="54">
        <f t="shared" si="138"/>
        <v>3.9514978601997148</v>
      </c>
      <c r="R2987" s="53">
        <f>IFERROR(VLOOKUP(B2987,'Pre-Summary'!$BG$6:$BM$44,7,FALSE),R2988)</f>
        <v>0</v>
      </c>
      <c r="S2987" s="53" t="e">
        <f>VLOOKUP(B2987,'Pre-Summary'!$BG$6:$BM$44,6,FALSE)</f>
        <v>#N/A</v>
      </c>
      <c r="T2987" s="45" t="str">
        <f>IFERROR(VLOOKUP(B2987,'Pre-Summary'!$Y$6:$AC$83, 3,FALSE),"")</f>
        <v/>
      </c>
      <c r="U2987" s="45" t="str">
        <f>IFERROR(VLOOKUP(B2987,'Pre-Summary'!$Y$6:$AC$83, 4,FALSE),"")</f>
        <v/>
      </c>
      <c r="V2987" t="str">
        <f>IFERROR(VLOOKUP(B2987,'Pre-Summary'!$Y$6:$AC$83, 5,FALSE),"")</f>
        <v/>
      </c>
      <c r="W2987" s="45" t="str">
        <f>IFERROR(VLOOKUP(B2987,'Pre-Summary'!$Y$6:$AD$83,6,FALSE),"")</f>
        <v/>
      </c>
      <c r="X2987" t="str">
        <f>IFERROR(VLOOKUP('Pre-Summary'!$DB$6:$DD$63,3,FALSE),"")</f>
        <v/>
      </c>
      <c r="Y2987" t="str">
        <f>IFERROR(VLOOKUP(B2987,'Pre-Summary'!$CR$6:$CT$36,3,FALSE),"")</f>
        <v/>
      </c>
      <c r="Z2987" s="45" t="str">
        <f>IFERROR(VLOOKUP(B2987,'Pre-Summary'!$BZ$6:$CB$63,2,FALSE),"")</f>
        <v/>
      </c>
      <c r="AA2987" s="45" t="str">
        <f>IFERROR(VLOOKUP(B2987,'Pre-Summary'!$CG$6:$CI$70,2,FALSE),"")</f>
        <v/>
      </c>
      <c r="AB2987" s="99">
        <f>IFERROR(VLOOKUP(B2987,'Pre-Summary'!$A$6:$P$178,9,FALSE),AB2988)</f>
        <v>0.68914361702057381</v>
      </c>
      <c r="AC2987" s="10">
        <f>IFERROR(VLOOKUP(Summary!B2987,'Pre-Summary'!$A$6:$P$184,5, FALSE)/100,AC2988)</f>
        <v>0.92963666666666656</v>
      </c>
      <c r="AD2987" s="10">
        <f>IFERROR(VLOOKUP(Summary!B2987,'Pre-Summary'!$A$6:$P$184,3, FALSE)/100,AD2988)</f>
        <v>3.8144666666666667E-2</v>
      </c>
      <c r="AE2987" s="10">
        <f>IFERROR(VLOOKUP(Summary!B2987,'Pre-Summary'!$A$6:$P$184,7, FALSE)/100,AE2988)</f>
        <v>3.2219333333333336E-2</v>
      </c>
      <c r="AF2987" s="99">
        <f t="shared" si="139"/>
        <v>2.6287153556710782E-2</v>
      </c>
      <c r="AG2987" s="99">
        <f t="shared" si="140"/>
        <v>2.2203747911324876E-2</v>
      </c>
      <c r="AH2987" s="10" t="str">
        <f>IFERROR(VLOOKUP(B2987,'Pre-Summary'!$AZ$6:$BE$65,3,FALSE),"")</f>
        <v/>
      </c>
      <c r="AI2987" s="10" t="str">
        <f>IFERROR(VLOOKUP(B2987,'Pre-Summary'!$AZ$6:$BE$65,5,FALSE),"")</f>
        <v/>
      </c>
      <c r="AJ2987" s="10" t="str">
        <f>IFERROR(VLOOKUP(B2987,'Pre-Summary'!$AZ$6:$BE$65,4,FALSE),"")</f>
        <v/>
      </c>
      <c r="AK2987" s="10" t="str">
        <f>IFERROR(VLOOKUP(B2987,'Pre-Summary'!$AZ$6:$BE$65,6,FALSE),"")</f>
        <v/>
      </c>
      <c r="AL2987" s="10" t="str">
        <f>IFERROR(VLOOKUP(B2987,'Pre-Summary'!$BG$6:$BL$44,3,FALSE),"")</f>
        <v/>
      </c>
      <c r="AM2987" s="10" t="str">
        <f>IFERROR(VLOOKUP(B2987,'Pre-Summary'!$BG$6:$BL$44,4,FALSE),"")</f>
        <v/>
      </c>
    </row>
    <row r="2988" spans="2:39" ht="15" customHeight="1" x14ac:dyDescent="0.3">
      <c r="B2988">
        <v>298.5</v>
      </c>
      <c r="C2988" t="str">
        <f>IFERROR(VLOOKUP(B2988,'Pre-Summary'!$DI$6:$DM$23,4,FALSE),"")</f>
        <v/>
      </c>
      <c r="D2988" s="10" t="str">
        <f>IFERROR(VLOOKUP(B2988,'Pre-Summary'!$AT$6:$AX$14,5,FALSE),D2987)</f>
        <v>Wolfe v3: went back to modified wolfe + EDTA and switched CuSO4 to CUCl2</v>
      </c>
      <c r="E2988" s="10" t="str">
        <f>IFERROR(VLOOKUP(B2988,'Pre-Summary'!$AT$6:$AX$15,4,FALSE),"")</f>
        <v/>
      </c>
      <c r="F2988">
        <f>IFERROR(VLOOKUP(B2988,'Pre-Summary'!$AL$6:$AQ$13,6,FALSE),F2987)</f>
        <v>5.9405263157894746E-2</v>
      </c>
      <c r="G2988" t="str">
        <f>IFERROR(VLOOKUP(B2988,'Pre-Summary'!$AE$6:$AJ$85,3,FALSE),"")</f>
        <v/>
      </c>
      <c r="H2988" t="str">
        <f>IFERROR(VLOOKUP(B2988,'Pre-Summary'!$AE$6:$AJ$85,4,FALSE),"")</f>
        <v/>
      </c>
      <c r="I2988" t="str">
        <f>IFERROR(VLOOKUP(B2988,'Pre-Summary'!$AE$6:$AJ$85,5,FALSE),"")</f>
        <v/>
      </c>
      <c r="J2988" s="45" t="str">
        <f>IFERROR(VLOOKUP(B2988,'Pre-Summary'!$AE$6:$AJ$85,6, FALSE),"")</f>
        <v/>
      </c>
      <c r="K2988" s="45" t="str">
        <f>IFERROR(VLOOKUP(B2988,'Pre-Summary'!$DE$6:$DG$61,3,FALSE),"")</f>
        <v/>
      </c>
      <c r="L2988" s="45" t="str">
        <f>IFERROR(VLOOKUP(B2988,'Pre-Summary'!$CU$6:$CW$36,3,FALSE),"")</f>
        <v/>
      </c>
      <c r="M2988" s="45" t="str">
        <f>IFERROR(VLOOKUP(B2988,'Pre-Summary'!$BW$6:$BY$58,2,FALSE),"")</f>
        <v/>
      </c>
      <c r="N2988" s="45" t="str">
        <f>IFERROR(VLOOKUP(B2988,'Pre-Summary'!$CD$6:$CF$64,2,FALSE),"")</f>
        <v/>
      </c>
      <c r="O2988" s="99">
        <f>IFERROR(VLOOKUP(B2988,'Pre-Summary'!$BO$6:$BQ$48,3, FALSE),O2987)</f>
        <v>2.77</v>
      </c>
      <c r="P2988" s="99">
        <f>IFERROR(VLOOKUP(B2988,'Pre-Summary'!$BS$6:$BU$35,3,FALSE),P2987)</f>
        <v>0.70099999999999996</v>
      </c>
      <c r="Q2988" s="54">
        <f t="shared" si="138"/>
        <v>3.9514978601997148</v>
      </c>
      <c r="R2988" s="53">
        <f>IFERROR(VLOOKUP(B2988,'Pre-Summary'!$BG$6:$BM$44,7,FALSE),R2989)</f>
        <v>0</v>
      </c>
      <c r="S2988" s="53" t="e">
        <f>VLOOKUP(B2988,'Pre-Summary'!$BG$6:$BM$44,6,FALSE)</f>
        <v>#N/A</v>
      </c>
      <c r="T2988" s="45" t="str">
        <f>IFERROR(VLOOKUP(B2988,'Pre-Summary'!$Y$6:$AC$83, 3,FALSE),"")</f>
        <v/>
      </c>
      <c r="U2988" s="45" t="str">
        <f>IFERROR(VLOOKUP(B2988,'Pre-Summary'!$Y$6:$AC$83, 4,FALSE),"")</f>
        <v/>
      </c>
      <c r="V2988" t="str">
        <f>IFERROR(VLOOKUP(B2988,'Pre-Summary'!$Y$6:$AC$83, 5,FALSE),"")</f>
        <v/>
      </c>
      <c r="W2988" s="45" t="str">
        <f>IFERROR(VLOOKUP(B2988,'Pre-Summary'!$Y$6:$AD$83,6,FALSE),"")</f>
        <v/>
      </c>
      <c r="X2988" t="str">
        <f>IFERROR(VLOOKUP('Pre-Summary'!$DB$6:$DD$63,3,FALSE),"")</f>
        <v/>
      </c>
      <c r="Y2988" t="str">
        <f>IFERROR(VLOOKUP(B2988,'Pre-Summary'!$CR$6:$CT$36,3,FALSE),"")</f>
        <v/>
      </c>
      <c r="Z2988" s="45" t="str">
        <f>IFERROR(VLOOKUP(B2988,'Pre-Summary'!$BZ$6:$CB$63,2,FALSE),"")</f>
        <v/>
      </c>
      <c r="AA2988" s="45" t="str">
        <f>IFERROR(VLOOKUP(B2988,'Pre-Summary'!$CG$6:$CI$70,2,FALSE),"")</f>
        <v/>
      </c>
      <c r="AB2988" s="99">
        <f>IFERROR(VLOOKUP(B2988,'Pre-Summary'!$A$6:$P$178,9,FALSE),AB2989)</f>
        <v>0.68914361702057381</v>
      </c>
      <c r="AC2988" s="10">
        <f>IFERROR(VLOOKUP(Summary!B2988,'Pre-Summary'!$A$6:$P$184,5, FALSE)/100,AC2989)</f>
        <v>0.92963666666666656</v>
      </c>
      <c r="AD2988" s="10">
        <f>IFERROR(VLOOKUP(Summary!B2988,'Pre-Summary'!$A$6:$P$184,3, FALSE)/100,AD2989)</f>
        <v>3.8144666666666667E-2</v>
      </c>
      <c r="AE2988" s="10">
        <f>IFERROR(VLOOKUP(Summary!B2988,'Pre-Summary'!$A$6:$P$184,7, FALSE)/100,AE2989)</f>
        <v>3.2219333333333336E-2</v>
      </c>
      <c r="AF2988" s="99">
        <f t="shared" si="139"/>
        <v>2.6287153556710782E-2</v>
      </c>
      <c r="AG2988" s="99">
        <f t="shared" si="140"/>
        <v>2.2203747911324876E-2</v>
      </c>
      <c r="AH2988" s="10" t="str">
        <f>IFERROR(VLOOKUP(B2988,'Pre-Summary'!$AZ$6:$BE$65,3,FALSE),"")</f>
        <v/>
      </c>
      <c r="AI2988" s="10" t="str">
        <f>IFERROR(VLOOKUP(B2988,'Pre-Summary'!$AZ$6:$BE$65,5,FALSE),"")</f>
        <v/>
      </c>
      <c r="AJ2988" s="10" t="str">
        <f>IFERROR(VLOOKUP(B2988,'Pre-Summary'!$AZ$6:$BE$65,4,FALSE),"")</f>
        <v/>
      </c>
      <c r="AK2988" s="10" t="str">
        <f>IFERROR(VLOOKUP(B2988,'Pre-Summary'!$AZ$6:$BE$65,6,FALSE),"")</f>
        <v/>
      </c>
      <c r="AL2988" s="10" t="str">
        <f>IFERROR(VLOOKUP(B2988,'Pre-Summary'!$BG$6:$BL$44,3,FALSE),"")</f>
        <v/>
      </c>
      <c r="AM2988" s="10" t="str">
        <f>IFERROR(VLOOKUP(B2988,'Pre-Summary'!$BG$6:$BL$44,4,FALSE),"")</f>
        <v/>
      </c>
    </row>
    <row r="2989" spans="2:39" ht="15" customHeight="1" x14ac:dyDescent="0.3">
      <c r="B2989">
        <v>298.60000000000002</v>
      </c>
      <c r="C2989" t="str">
        <f>IFERROR(VLOOKUP(B2989,'Pre-Summary'!$DI$6:$DM$23,4,FALSE),"")</f>
        <v/>
      </c>
      <c r="D2989" s="10" t="str">
        <f>IFERROR(VLOOKUP(B2989,'Pre-Summary'!$AT$6:$AX$14,5,FALSE),D2988)</f>
        <v>Wolfe v3: went back to modified wolfe + EDTA and switched CuSO4 to CUCl2</v>
      </c>
      <c r="E2989" s="10" t="str">
        <f>IFERROR(VLOOKUP(B2989,'Pre-Summary'!$AT$6:$AX$15,4,FALSE),"")</f>
        <v/>
      </c>
      <c r="F2989">
        <f>IFERROR(VLOOKUP(B2989,'Pre-Summary'!$AL$6:$AQ$13,6,FALSE),F2988)</f>
        <v>5.9405263157894746E-2</v>
      </c>
      <c r="G2989" t="str">
        <f>IFERROR(VLOOKUP(B2989,'Pre-Summary'!$AE$6:$AJ$85,3,FALSE),"")</f>
        <v/>
      </c>
      <c r="H2989" t="str">
        <f>IFERROR(VLOOKUP(B2989,'Pre-Summary'!$AE$6:$AJ$85,4,FALSE),"")</f>
        <v/>
      </c>
      <c r="I2989" t="str">
        <f>IFERROR(VLOOKUP(B2989,'Pre-Summary'!$AE$6:$AJ$85,5,FALSE),"")</f>
        <v/>
      </c>
      <c r="J2989" s="45" t="str">
        <f>IFERROR(VLOOKUP(B2989,'Pre-Summary'!$AE$6:$AJ$85,6, FALSE),"")</f>
        <v/>
      </c>
      <c r="K2989" s="45" t="str">
        <f>IFERROR(VLOOKUP(B2989,'Pre-Summary'!$DE$6:$DG$61,3,FALSE),"")</f>
        <v/>
      </c>
      <c r="L2989" s="45" t="str">
        <f>IFERROR(VLOOKUP(B2989,'Pre-Summary'!$CU$6:$CW$36,3,FALSE),"")</f>
        <v/>
      </c>
      <c r="M2989" s="45" t="str">
        <f>IFERROR(VLOOKUP(B2989,'Pre-Summary'!$BW$6:$BY$58,2,FALSE),"")</f>
        <v/>
      </c>
      <c r="N2989" s="45" t="str">
        <f>IFERROR(VLOOKUP(B2989,'Pre-Summary'!$CD$6:$CF$64,2,FALSE),"")</f>
        <v/>
      </c>
      <c r="O2989" s="99">
        <f>IFERROR(VLOOKUP(B2989,'Pre-Summary'!$BO$6:$BQ$48,3, FALSE),O2988)</f>
        <v>2.77</v>
      </c>
      <c r="P2989" s="99">
        <f>IFERROR(VLOOKUP(B2989,'Pre-Summary'!$BS$6:$BU$35,3,FALSE),P2988)</f>
        <v>0.70099999999999996</v>
      </c>
      <c r="Q2989" s="54">
        <f t="shared" si="138"/>
        <v>3.9514978601997148</v>
      </c>
      <c r="R2989" s="53">
        <f>IFERROR(VLOOKUP(B2989,'Pre-Summary'!$BG$6:$BM$44,7,FALSE),R2990)</f>
        <v>0</v>
      </c>
      <c r="S2989" s="53" t="e">
        <f>VLOOKUP(B2989,'Pre-Summary'!$BG$6:$BM$44,6,FALSE)</f>
        <v>#N/A</v>
      </c>
      <c r="T2989" s="45" t="str">
        <f>IFERROR(VLOOKUP(B2989,'Pre-Summary'!$Y$6:$AC$83, 3,FALSE),"")</f>
        <v/>
      </c>
      <c r="U2989" s="45" t="str">
        <f>IFERROR(VLOOKUP(B2989,'Pre-Summary'!$Y$6:$AC$83, 4,FALSE),"")</f>
        <v/>
      </c>
      <c r="V2989" t="str">
        <f>IFERROR(VLOOKUP(B2989,'Pre-Summary'!$Y$6:$AC$83, 5,FALSE),"")</f>
        <v/>
      </c>
      <c r="W2989" s="45" t="str">
        <f>IFERROR(VLOOKUP(B2989,'Pre-Summary'!$Y$6:$AD$83,6,FALSE),"")</f>
        <v/>
      </c>
      <c r="X2989" t="str">
        <f>IFERROR(VLOOKUP('Pre-Summary'!$DB$6:$DD$63,3,FALSE),"")</f>
        <v/>
      </c>
      <c r="Y2989" t="str">
        <f>IFERROR(VLOOKUP(B2989,'Pre-Summary'!$CR$6:$CT$36,3,FALSE),"")</f>
        <v/>
      </c>
      <c r="Z2989" s="45" t="str">
        <f>IFERROR(VLOOKUP(B2989,'Pre-Summary'!$BZ$6:$CB$63,2,FALSE),"")</f>
        <v/>
      </c>
      <c r="AA2989" s="45" t="str">
        <f>IFERROR(VLOOKUP(B2989,'Pre-Summary'!$CG$6:$CI$70,2,FALSE),"")</f>
        <v/>
      </c>
      <c r="AB2989" s="99">
        <f>IFERROR(VLOOKUP(B2989,'Pre-Summary'!$A$6:$P$178,9,FALSE),AB2990)</f>
        <v>0.68914361702057381</v>
      </c>
      <c r="AC2989" s="10">
        <f>IFERROR(VLOOKUP(Summary!B2989,'Pre-Summary'!$A$6:$P$184,5, FALSE)/100,AC2990)</f>
        <v>0.92963666666666656</v>
      </c>
      <c r="AD2989" s="10">
        <f>IFERROR(VLOOKUP(Summary!B2989,'Pre-Summary'!$A$6:$P$184,3, FALSE)/100,AD2990)</f>
        <v>3.8144666666666667E-2</v>
      </c>
      <c r="AE2989" s="10">
        <f>IFERROR(VLOOKUP(Summary!B2989,'Pre-Summary'!$A$6:$P$184,7, FALSE)/100,AE2990)</f>
        <v>3.2219333333333336E-2</v>
      </c>
      <c r="AF2989" s="99">
        <f t="shared" si="139"/>
        <v>2.6287153556710782E-2</v>
      </c>
      <c r="AG2989" s="99">
        <f t="shared" si="140"/>
        <v>2.2203747911324876E-2</v>
      </c>
      <c r="AH2989" s="10" t="str">
        <f>IFERROR(VLOOKUP(B2989,'Pre-Summary'!$AZ$6:$BE$65,3,FALSE),"")</f>
        <v/>
      </c>
      <c r="AI2989" s="10" t="str">
        <f>IFERROR(VLOOKUP(B2989,'Pre-Summary'!$AZ$6:$BE$65,5,FALSE),"")</f>
        <v/>
      </c>
      <c r="AJ2989" s="10" t="str">
        <f>IFERROR(VLOOKUP(B2989,'Pre-Summary'!$AZ$6:$BE$65,4,FALSE),"")</f>
        <v/>
      </c>
      <c r="AK2989" s="10" t="str">
        <f>IFERROR(VLOOKUP(B2989,'Pre-Summary'!$AZ$6:$BE$65,6,FALSE),"")</f>
        <v/>
      </c>
      <c r="AL2989" s="10" t="str">
        <f>IFERROR(VLOOKUP(B2989,'Pre-Summary'!$BG$6:$BL$44,3,FALSE),"")</f>
        <v/>
      </c>
      <c r="AM2989" s="10" t="str">
        <f>IFERROR(VLOOKUP(B2989,'Pre-Summary'!$BG$6:$BL$44,4,FALSE),"")</f>
        <v/>
      </c>
    </row>
    <row r="2990" spans="2:39" ht="15" customHeight="1" x14ac:dyDescent="0.3">
      <c r="B2990">
        <v>298.7</v>
      </c>
      <c r="C2990" t="str">
        <f>IFERROR(VLOOKUP(B2990,'Pre-Summary'!$DI$6:$DM$23,4,FALSE),"")</f>
        <v/>
      </c>
      <c r="D2990" s="10" t="str">
        <f>IFERROR(VLOOKUP(B2990,'Pre-Summary'!$AT$6:$AX$14,5,FALSE),D2989)</f>
        <v>Wolfe v3: went back to modified wolfe + EDTA and switched CuSO4 to CUCl2</v>
      </c>
      <c r="E2990" s="10" t="str">
        <f>IFERROR(VLOOKUP(B2990,'Pre-Summary'!$AT$6:$AX$15,4,FALSE),"")</f>
        <v/>
      </c>
      <c r="F2990">
        <f>IFERROR(VLOOKUP(B2990,'Pre-Summary'!$AL$6:$AQ$13,6,FALSE),F2989)</f>
        <v>5.9405263157894746E-2</v>
      </c>
      <c r="G2990" t="str">
        <f>IFERROR(VLOOKUP(B2990,'Pre-Summary'!$AE$6:$AJ$85,3,FALSE),"")</f>
        <v/>
      </c>
      <c r="H2990" t="str">
        <f>IFERROR(VLOOKUP(B2990,'Pre-Summary'!$AE$6:$AJ$85,4,FALSE),"")</f>
        <v/>
      </c>
      <c r="I2990" t="str">
        <f>IFERROR(VLOOKUP(B2990,'Pre-Summary'!$AE$6:$AJ$85,5,FALSE),"")</f>
        <v/>
      </c>
      <c r="J2990" s="45" t="str">
        <f>IFERROR(VLOOKUP(B2990,'Pre-Summary'!$AE$6:$AJ$85,6, FALSE),"")</f>
        <v/>
      </c>
      <c r="K2990" s="45" t="str">
        <f>IFERROR(VLOOKUP(B2990,'Pre-Summary'!$DE$6:$DG$61,3,FALSE),"")</f>
        <v/>
      </c>
      <c r="L2990" s="45" t="str">
        <f>IFERROR(VLOOKUP(B2990,'Pre-Summary'!$CU$6:$CW$36,3,FALSE),"")</f>
        <v/>
      </c>
      <c r="M2990" s="45" t="str">
        <f>IFERROR(VLOOKUP(B2990,'Pre-Summary'!$BW$6:$BY$58,2,FALSE),"")</f>
        <v/>
      </c>
      <c r="N2990" s="45" t="str">
        <f>IFERROR(VLOOKUP(B2990,'Pre-Summary'!$CD$6:$CF$64,2,FALSE),"")</f>
        <v/>
      </c>
      <c r="O2990" s="99">
        <f>IFERROR(VLOOKUP(B2990,'Pre-Summary'!$BO$6:$BQ$48,3, FALSE),O2989)</f>
        <v>2.77</v>
      </c>
      <c r="P2990" s="99">
        <f>IFERROR(VLOOKUP(B2990,'Pre-Summary'!$BS$6:$BU$35,3,FALSE),P2989)</f>
        <v>0.70099999999999996</v>
      </c>
      <c r="Q2990" s="54">
        <f t="shared" si="138"/>
        <v>3.9514978601997148</v>
      </c>
      <c r="R2990" s="53">
        <f>IFERROR(VLOOKUP(B2990,'Pre-Summary'!$BG$6:$BM$44,7,FALSE),R2991)</f>
        <v>0</v>
      </c>
      <c r="S2990" s="53" t="e">
        <f>VLOOKUP(B2990,'Pre-Summary'!$BG$6:$BM$44,6,FALSE)</f>
        <v>#N/A</v>
      </c>
      <c r="T2990" s="45" t="str">
        <f>IFERROR(VLOOKUP(B2990,'Pre-Summary'!$Y$6:$AC$83, 3,FALSE),"")</f>
        <v/>
      </c>
      <c r="U2990" s="45" t="str">
        <f>IFERROR(VLOOKUP(B2990,'Pre-Summary'!$Y$6:$AC$83, 4,FALSE),"")</f>
        <v/>
      </c>
      <c r="V2990" t="str">
        <f>IFERROR(VLOOKUP(B2990,'Pre-Summary'!$Y$6:$AC$83, 5,FALSE),"")</f>
        <v/>
      </c>
      <c r="W2990" s="45" t="str">
        <f>IFERROR(VLOOKUP(B2990,'Pre-Summary'!$Y$6:$AD$83,6,FALSE),"")</f>
        <v/>
      </c>
      <c r="X2990" t="str">
        <f>IFERROR(VLOOKUP('Pre-Summary'!$DB$6:$DD$63,3,FALSE),"")</f>
        <v/>
      </c>
      <c r="Y2990" t="str">
        <f>IFERROR(VLOOKUP(B2990,'Pre-Summary'!$CR$6:$CT$36,3,FALSE),"")</f>
        <v/>
      </c>
      <c r="Z2990" s="45" t="str">
        <f>IFERROR(VLOOKUP(B2990,'Pre-Summary'!$BZ$6:$CB$63,2,FALSE),"")</f>
        <v/>
      </c>
      <c r="AA2990" s="45" t="str">
        <f>IFERROR(VLOOKUP(B2990,'Pre-Summary'!$CG$6:$CI$70,2,FALSE),"")</f>
        <v/>
      </c>
      <c r="AB2990" s="99">
        <f>IFERROR(VLOOKUP(B2990,'Pre-Summary'!$A$6:$P$178,9,FALSE),AB2991)</f>
        <v>0.68914361702057381</v>
      </c>
      <c r="AC2990" s="10">
        <f>IFERROR(VLOOKUP(Summary!B2990,'Pre-Summary'!$A$6:$P$184,5, FALSE)/100,AC2991)</f>
        <v>0.92963666666666656</v>
      </c>
      <c r="AD2990" s="10">
        <f>IFERROR(VLOOKUP(Summary!B2990,'Pre-Summary'!$A$6:$P$184,3, FALSE)/100,AD2991)</f>
        <v>3.8144666666666667E-2</v>
      </c>
      <c r="AE2990" s="10">
        <f>IFERROR(VLOOKUP(Summary!B2990,'Pre-Summary'!$A$6:$P$184,7, FALSE)/100,AE2991)</f>
        <v>3.2219333333333336E-2</v>
      </c>
      <c r="AF2990" s="99">
        <f t="shared" si="139"/>
        <v>2.6287153556710782E-2</v>
      </c>
      <c r="AG2990" s="99">
        <f t="shared" si="140"/>
        <v>2.2203747911324876E-2</v>
      </c>
      <c r="AH2990" s="10" t="str">
        <f>IFERROR(VLOOKUP(B2990,'Pre-Summary'!$AZ$6:$BE$65,3,FALSE),"")</f>
        <v/>
      </c>
      <c r="AI2990" s="10" t="str">
        <f>IFERROR(VLOOKUP(B2990,'Pre-Summary'!$AZ$6:$BE$65,5,FALSE),"")</f>
        <v/>
      </c>
      <c r="AJ2990" s="10" t="str">
        <f>IFERROR(VLOOKUP(B2990,'Pre-Summary'!$AZ$6:$BE$65,4,FALSE),"")</f>
        <v/>
      </c>
      <c r="AK2990" s="10" t="str">
        <f>IFERROR(VLOOKUP(B2990,'Pre-Summary'!$AZ$6:$BE$65,6,FALSE),"")</f>
        <v/>
      </c>
      <c r="AL2990" s="10" t="str">
        <f>IFERROR(VLOOKUP(B2990,'Pre-Summary'!$BG$6:$BL$44,3,FALSE),"")</f>
        <v/>
      </c>
      <c r="AM2990" s="10" t="str">
        <f>IFERROR(VLOOKUP(B2990,'Pre-Summary'!$BG$6:$BL$44,4,FALSE),"")</f>
        <v/>
      </c>
    </row>
    <row r="2991" spans="2:39" ht="15" customHeight="1" x14ac:dyDescent="0.3">
      <c r="B2991">
        <v>298.8</v>
      </c>
      <c r="C2991" t="str">
        <f>IFERROR(VLOOKUP(B2991,'Pre-Summary'!$DI$6:$DM$23,4,FALSE),"")</f>
        <v/>
      </c>
      <c r="D2991" s="10" t="str">
        <f>IFERROR(VLOOKUP(B2991,'Pre-Summary'!$AT$6:$AX$14,5,FALSE),D2990)</f>
        <v>Wolfe v3: went back to modified wolfe + EDTA and switched CuSO4 to CUCl2</v>
      </c>
      <c r="E2991" s="10" t="str">
        <f>IFERROR(VLOOKUP(B2991,'Pre-Summary'!$AT$6:$AX$15,4,FALSE),"")</f>
        <v/>
      </c>
      <c r="F2991">
        <f>IFERROR(VLOOKUP(B2991,'Pre-Summary'!$AL$6:$AQ$13,6,FALSE),F2990)</f>
        <v>5.9405263157894746E-2</v>
      </c>
      <c r="G2991" t="str">
        <f>IFERROR(VLOOKUP(B2991,'Pre-Summary'!$AE$6:$AJ$85,3,FALSE),"")</f>
        <v/>
      </c>
      <c r="H2991" t="str">
        <f>IFERROR(VLOOKUP(B2991,'Pre-Summary'!$AE$6:$AJ$85,4,FALSE),"")</f>
        <v/>
      </c>
      <c r="I2991" t="str">
        <f>IFERROR(VLOOKUP(B2991,'Pre-Summary'!$AE$6:$AJ$85,5,FALSE),"")</f>
        <v/>
      </c>
      <c r="J2991" s="45" t="str">
        <f>IFERROR(VLOOKUP(B2991,'Pre-Summary'!$AE$6:$AJ$85,6, FALSE),"")</f>
        <v/>
      </c>
      <c r="K2991" s="45" t="str">
        <f>IFERROR(VLOOKUP(B2991,'Pre-Summary'!$DE$6:$DG$61,3,FALSE),"")</f>
        <v/>
      </c>
      <c r="L2991" s="45" t="str">
        <f>IFERROR(VLOOKUP(B2991,'Pre-Summary'!$CU$6:$CW$36,3,FALSE),"")</f>
        <v/>
      </c>
      <c r="M2991" s="45" t="str">
        <f>IFERROR(VLOOKUP(B2991,'Pre-Summary'!$BW$6:$BY$58,2,FALSE),"")</f>
        <v/>
      </c>
      <c r="N2991" s="45" t="str">
        <f>IFERROR(VLOOKUP(B2991,'Pre-Summary'!$CD$6:$CF$64,2,FALSE),"")</f>
        <v/>
      </c>
      <c r="O2991" s="99">
        <f>IFERROR(VLOOKUP(B2991,'Pre-Summary'!$BO$6:$BQ$48,3, FALSE),O2990)</f>
        <v>2.77</v>
      </c>
      <c r="P2991" s="99">
        <f>IFERROR(VLOOKUP(B2991,'Pre-Summary'!$BS$6:$BU$35,3,FALSE),P2990)</f>
        <v>0.70099999999999996</v>
      </c>
      <c r="Q2991" s="54">
        <f t="shared" si="138"/>
        <v>3.9514978601997148</v>
      </c>
      <c r="R2991" s="53">
        <f>IFERROR(VLOOKUP(B2991,'Pre-Summary'!$BG$6:$BM$44,7,FALSE),R2992)</f>
        <v>0</v>
      </c>
      <c r="S2991" s="53" t="e">
        <f>VLOOKUP(B2991,'Pre-Summary'!$BG$6:$BM$44,6,FALSE)</f>
        <v>#N/A</v>
      </c>
      <c r="T2991" s="45" t="str">
        <f>IFERROR(VLOOKUP(B2991,'Pre-Summary'!$Y$6:$AC$83, 3,FALSE),"")</f>
        <v/>
      </c>
      <c r="U2991" s="45" t="str">
        <f>IFERROR(VLOOKUP(B2991,'Pre-Summary'!$Y$6:$AC$83, 4,FALSE),"")</f>
        <v/>
      </c>
      <c r="V2991" t="str">
        <f>IFERROR(VLOOKUP(B2991,'Pre-Summary'!$Y$6:$AC$83, 5,FALSE),"")</f>
        <v/>
      </c>
      <c r="W2991" s="45" t="str">
        <f>IFERROR(VLOOKUP(B2991,'Pre-Summary'!$Y$6:$AD$83,6,FALSE),"")</f>
        <v/>
      </c>
      <c r="X2991" t="str">
        <f>IFERROR(VLOOKUP('Pre-Summary'!$DB$6:$DD$63,3,FALSE),"")</f>
        <v/>
      </c>
      <c r="Y2991" t="str">
        <f>IFERROR(VLOOKUP(B2991,'Pre-Summary'!$CR$6:$CT$36,3,FALSE),"")</f>
        <v/>
      </c>
      <c r="Z2991" s="45" t="str">
        <f>IFERROR(VLOOKUP(B2991,'Pre-Summary'!$BZ$6:$CB$63,2,FALSE),"")</f>
        <v/>
      </c>
      <c r="AA2991" s="45" t="str">
        <f>IFERROR(VLOOKUP(B2991,'Pre-Summary'!$CG$6:$CI$70,2,FALSE),"")</f>
        <v/>
      </c>
      <c r="AB2991" s="99">
        <f>IFERROR(VLOOKUP(B2991,'Pre-Summary'!$A$6:$P$178,9,FALSE),AB2992)</f>
        <v>0.68914361702057381</v>
      </c>
      <c r="AC2991" s="10">
        <f>IFERROR(VLOOKUP(Summary!B2991,'Pre-Summary'!$A$6:$P$184,5, FALSE)/100,AC2992)</f>
        <v>0.92963666666666656</v>
      </c>
      <c r="AD2991" s="10">
        <f>IFERROR(VLOOKUP(Summary!B2991,'Pre-Summary'!$A$6:$P$184,3, FALSE)/100,AD2992)</f>
        <v>3.8144666666666667E-2</v>
      </c>
      <c r="AE2991" s="10">
        <f>IFERROR(VLOOKUP(Summary!B2991,'Pre-Summary'!$A$6:$P$184,7, FALSE)/100,AE2992)</f>
        <v>3.2219333333333336E-2</v>
      </c>
      <c r="AF2991" s="99">
        <f t="shared" si="139"/>
        <v>2.6287153556710782E-2</v>
      </c>
      <c r="AG2991" s="99">
        <f t="shared" si="140"/>
        <v>2.2203747911324876E-2</v>
      </c>
      <c r="AH2991" s="10" t="str">
        <f>IFERROR(VLOOKUP(B2991,'Pre-Summary'!$AZ$6:$BE$65,3,FALSE),"")</f>
        <v/>
      </c>
      <c r="AI2991" s="10" t="str">
        <f>IFERROR(VLOOKUP(B2991,'Pre-Summary'!$AZ$6:$BE$65,5,FALSE),"")</f>
        <v/>
      </c>
      <c r="AJ2991" s="10" t="str">
        <f>IFERROR(VLOOKUP(B2991,'Pre-Summary'!$AZ$6:$BE$65,4,FALSE),"")</f>
        <v/>
      </c>
      <c r="AK2991" s="10" t="str">
        <f>IFERROR(VLOOKUP(B2991,'Pre-Summary'!$AZ$6:$BE$65,6,FALSE),"")</f>
        <v/>
      </c>
      <c r="AL2991" s="10" t="str">
        <f>IFERROR(VLOOKUP(B2991,'Pre-Summary'!$BG$6:$BL$44,3,FALSE),"")</f>
        <v/>
      </c>
      <c r="AM2991" s="10" t="str">
        <f>IFERROR(VLOOKUP(B2991,'Pre-Summary'!$BG$6:$BL$44,4,FALSE),"")</f>
        <v/>
      </c>
    </row>
    <row r="2992" spans="2:39" ht="15" customHeight="1" x14ac:dyDescent="0.3">
      <c r="B2992">
        <v>298.89999999999998</v>
      </c>
      <c r="C2992" t="str">
        <f>IFERROR(VLOOKUP(B2992,'Pre-Summary'!$DI$6:$DM$23,4,FALSE),"")</f>
        <v/>
      </c>
      <c r="D2992" s="10" t="str">
        <f>IFERROR(VLOOKUP(B2992,'Pre-Summary'!$AT$6:$AX$14,5,FALSE),D2991)</f>
        <v>Wolfe v3: went back to modified wolfe + EDTA and switched CuSO4 to CUCl2</v>
      </c>
      <c r="E2992" s="10" t="str">
        <f>IFERROR(VLOOKUP(B2992,'Pre-Summary'!$AT$6:$AX$15,4,FALSE),"")</f>
        <v/>
      </c>
      <c r="F2992">
        <f>IFERROR(VLOOKUP(B2992,'Pre-Summary'!$AL$6:$AQ$13,6,FALSE),F2991)</f>
        <v>5.9405263157894746E-2</v>
      </c>
      <c r="G2992" t="str">
        <f>IFERROR(VLOOKUP(B2992,'Pre-Summary'!$AE$6:$AJ$85,3,FALSE),"")</f>
        <v/>
      </c>
      <c r="H2992" t="str">
        <f>IFERROR(VLOOKUP(B2992,'Pre-Summary'!$AE$6:$AJ$85,4,FALSE),"")</f>
        <v/>
      </c>
      <c r="I2992" t="str">
        <f>IFERROR(VLOOKUP(B2992,'Pre-Summary'!$AE$6:$AJ$85,5,FALSE),"")</f>
        <v/>
      </c>
      <c r="J2992" s="45" t="str">
        <f>IFERROR(VLOOKUP(B2992,'Pre-Summary'!$AE$6:$AJ$85,6, FALSE),"")</f>
        <v/>
      </c>
      <c r="K2992" s="45" t="str">
        <f>IFERROR(VLOOKUP(B2992,'Pre-Summary'!$DE$6:$DG$61,3,FALSE),"")</f>
        <v/>
      </c>
      <c r="L2992" s="45" t="str">
        <f>IFERROR(VLOOKUP(B2992,'Pre-Summary'!$CU$6:$CW$36,3,FALSE),"")</f>
        <v/>
      </c>
      <c r="M2992" s="45" t="str">
        <f>IFERROR(VLOOKUP(B2992,'Pre-Summary'!$BW$6:$BY$58,2,FALSE),"")</f>
        <v/>
      </c>
      <c r="N2992" s="45" t="str">
        <f>IFERROR(VLOOKUP(B2992,'Pre-Summary'!$CD$6:$CF$64,2,FALSE),"")</f>
        <v/>
      </c>
      <c r="O2992" s="99">
        <f>IFERROR(VLOOKUP(B2992,'Pre-Summary'!$BO$6:$BQ$48,3, FALSE),O2991)</f>
        <v>2.77</v>
      </c>
      <c r="P2992" s="99">
        <f>IFERROR(VLOOKUP(B2992,'Pre-Summary'!$BS$6:$BU$35,3,FALSE),P2991)</f>
        <v>0.70099999999999996</v>
      </c>
      <c r="Q2992" s="54">
        <f t="shared" si="138"/>
        <v>3.9514978601997148</v>
      </c>
      <c r="R2992" s="53">
        <f>IFERROR(VLOOKUP(B2992,'Pre-Summary'!$BG$6:$BM$44,7,FALSE),R2993)</f>
        <v>0</v>
      </c>
      <c r="S2992" s="53" t="e">
        <f>VLOOKUP(B2992,'Pre-Summary'!$BG$6:$BM$44,6,FALSE)</f>
        <v>#N/A</v>
      </c>
      <c r="T2992" s="45" t="str">
        <f>IFERROR(VLOOKUP(B2992,'Pre-Summary'!$Y$6:$AC$83, 3,FALSE),"")</f>
        <v/>
      </c>
      <c r="U2992" s="45" t="str">
        <f>IFERROR(VLOOKUP(B2992,'Pre-Summary'!$Y$6:$AC$83, 4,FALSE),"")</f>
        <v/>
      </c>
      <c r="V2992" t="str">
        <f>IFERROR(VLOOKUP(B2992,'Pre-Summary'!$Y$6:$AC$83, 5,FALSE),"")</f>
        <v/>
      </c>
      <c r="W2992" s="45" t="str">
        <f>IFERROR(VLOOKUP(B2992,'Pre-Summary'!$Y$6:$AD$83,6,FALSE),"")</f>
        <v/>
      </c>
      <c r="X2992" t="str">
        <f>IFERROR(VLOOKUP('Pre-Summary'!$DB$6:$DD$63,3,FALSE),"")</f>
        <v/>
      </c>
      <c r="Y2992" t="str">
        <f>IFERROR(VLOOKUP(B2992,'Pre-Summary'!$CR$6:$CT$36,3,FALSE),"")</f>
        <v/>
      </c>
      <c r="Z2992" s="45" t="str">
        <f>IFERROR(VLOOKUP(B2992,'Pre-Summary'!$BZ$6:$CB$63,2,FALSE),"")</f>
        <v/>
      </c>
      <c r="AA2992" s="45" t="str">
        <f>IFERROR(VLOOKUP(B2992,'Pre-Summary'!$CG$6:$CI$70,2,FALSE),"")</f>
        <v/>
      </c>
      <c r="AB2992" s="99">
        <f>IFERROR(VLOOKUP(B2992,'Pre-Summary'!$A$6:$P$178,9,FALSE),AB2993)</f>
        <v>0.68914361702057381</v>
      </c>
      <c r="AC2992" s="10">
        <f>IFERROR(VLOOKUP(Summary!B2992,'Pre-Summary'!$A$6:$P$184,5, FALSE)/100,AC2993)</f>
        <v>0.92963666666666656</v>
      </c>
      <c r="AD2992" s="10">
        <f>IFERROR(VLOOKUP(Summary!B2992,'Pre-Summary'!$A$6:$P$184,3, FALSE)/100,AD2993)</f>
        <v>3.8144666666666667E-2</v>
      </c>
      <c r="AE2992" s="10">
        <f>IFERROR(VLOOKUP(Summary!B2992,'Pre-Summary'!$A$6:$P$184,7, FALSE)/100,AE2993)</f>
        <v>3.2219333333333336E-2</v>
      </c>
      <c r="AF2992" s="99">
        <f t="shared" si="139"/>
        <v>2.6287153556710782E-2</v>
      </c>
      <c r="AG2992" s="99">
        <f t="shared" si="140"/>
        <v>2.2203747911324876E-2</v>
      </c>
      <c r="AH2992" s="10" t="str">
        <f>IFERROR(VLOOKUP(B2992,'Pre-Summary'!$AZ$6:$BE$65,3,FALSE),"")</f>
        <v/>
      </c>
      <c r="AI2992" s="10" t="str">
        <f>IFERROR(VLOOKUP(B2992,'Pre-Summary'!$AZ$6:$BE$65,5,FALSE),"")</f>
        <v/>
      </c>
      <c r="AJ2992" s="10" t="str">
        <f>IFERROR(VLOOKUP(B2992,'Pre-Summary'!$AZ$6:$BE$65,4,FALSE),"")</f>
        <v/>
      </c>
      <c r="AK2992" s="10" t="str">
        <f>IFERROR(VLOOKUP(B2992,'Pre-Summary'!$AZ$6:$BE$65,6,FALSE),"")</f>
        <v/>
      </c>
      <c r="AL2992" s="10" t="str">
        <f>IFERROR(VLOOKUP(B2992,'Pre-Summary'!$BG$6:$BL$44,3,FALSE),"")</f>
        <v/>
      </c>
      <c r="AM2992" s="10" t="str">
        <f>IFERROR(VLOOKUP(B2992,'Pre-Summary'!$BG$6:$BL$44,4,FALSE),"")</f>
        <v/>
      </c>
    </row>
    <row r="2993" spans="2:39" ht="15" customHeight="1" x14ac:dyDescent="0.3">
      <c r="B2993">
        <v>299</v>
      </c>
      <c r="C2993" t="str">
        <f>IFERROR(VLOOKUP(B2993,'Pre-Summary'!$DI$6:$DM$23,4,FALSE),"")</f>
        <v/>
      </c>
      <c r="D2993" s="10" t="str">
        <f>IFERROR(VLOOKUP(B2993,'Pre-Summary'!$AT$6:$AX$14,5,FALSE),D2992)</f>
        <v>Wolfe v3: went back to modified wolfe + EDTA and switched CuSO4 to CUCl2</v>
      </c>
      <c r="E2993" s="10" t="str">
        <f>IFERROR(VLOOKUP(B2993,'Pre-Summary'!$AT$6:$AX$15,4,FALSE),"")</f>
        <v/>
      </c>
      <c r="F2993">
        <f>IFERROR(VLOOKUP(B2993,'Pre-Summary'!$AL$6:$AQ$13,6,FALSE),F2992)</f>
        <v>5.9405263157894746E-2</v>
      </c>
      <c r="G2993" t="str">
        <f>IFERROR(VLOOKUP(B2993,'Pre-Summary'!$AE$6:$AJ$85,3,FALSE),"")</f>
        <v/>
      </c>
      <c r="H2993" t="str">
        <f>IFERROR(VLOOKUP(B2993,'Pre-Summary'!$AE$6:$AJ$85,4,FALSE),"")</f>
        <v/>
      </c>
      <c r="I2993" t="str">
        <f>IFERROR(VLOOKUP(B2993,'Pre-Summary'!$AE$6:$AJ$85,5,FALSE),"")</f>
        <v/>
      </c>
      <c r="J2993" s="45" t="str">
        <f>IFERROR(VLOOKUP(B2993,'Pre-Summary'!$AE$6:$AJ$85,6, FALSE),"")</f>
        <v/>
      </c>
      <c r="K2993" s="45" t="str">
        <f>IFERROR(VLOOKUP(B2993,'Pre-Summary'!$DE$6:$DG$61,3,FALSE),"")</f>
        <v/>
      </c>
      <c r="L2993" s="45" t="str">
        <f>IFERROR(VLOOKUP(B2993,'Pre-Summary'!$CU$6:$CW$36,3,FALSE),"")</f>
        <v/>
      </c>
      <c r="M2993" s="45" t="str">
        <f>IFERROR(VLOOKUP(B2993,'Pre-Summary'!$BW$6:$BY$58,2,FALSE),"")</f>
        <v/>
      </c>
      <c r="N2993" s="45" t="str">
        <f>IFERROR(VLOOKUP(B2993,'Pre-Summary'!$CD$6:$CF$64,2,FALSE),"")</f>
        <v/>
      </c>
      <c r="O2993" s="99">
        <f>IFERROR(VLOOKUP(B2993,'Pre-Summary'!$BO$6:$BQ$48,3, FALSE),O2992)</f>
        <v>2.77</v>
      </c>
      <c r="P2993" s="99">
        <f>IFERROR(VLOOKUP(B2993,'Pre-Summary'!$BS$6:$BU$35,3,FALSE),P2992)</f>
        <v>0.70099999999999996</v>
      </c>
      <c r="Q2993" s="54">
        <f t="shared" si="138"/>
        <v>3.9514978601997148</v>
      </c>
      <c r="R2993" s="53">
        <f>IFERROR(VLOOKUP(B2993,'Pre-Summary'!$BG$6:$BM$44,7,FALSE),R2994)</f>
        <v>0</v>
      </c>
      <c r="S2993" s="53" t="e">
        <f>VLOOKUP(B2993,'Pre-Summary'!$BG$6:$BM$44,6,FALSE)</f>
        <v>#N/A</v>
      </c>
      <c r="T2993" s="45" t="str">
        <f>IFERROR(VLOOKUP(B2993,'Pre-Summary'!$Y$6:$AC$83, 3,FALSE),"")</f>
        <v/>
      </c>
      <c r="U2993" s="45" t="str">
        <f>IFERROR(VLOOKUP(B2993,'Pre-Summary'!$Y$6:$AC$83, 4,FALSE),"")</f>
        <v/>
      </c>
      <c r="V2993" t="str">
        <f>IFERROR(VLOOKUP(B2993,'Pre-Summary'!$Y$6:$AC$83, 5,FALSE),"")</f>
        <v/>
      </c>
      <c r="W2993" s="45" t="str">
        <f>IFERROR(VLOOKUP(B2993,'Pre-Summary'!$Y$6:$AD$83,6,FALSE),"")</f>
        <v/>
      </c>
      <c r="X2993" t="str">
        <f>IFERROR(VLOOKUP('Pre-Summary'!$DB$6:$DD$63,3,FALSE),"")</f>
        <v/>
      </c>
      <c r="Y2993" t="str">
        <f>IFERROR(VLOOKUP(B2993,'Pre-Summary'!$CR$6:$CT$36,3,FALSE),"")</f>
        <v/>
      </c>
      <c r="Z2993" s="45" t="str">
        <f>IFERROR(VLOOKUP(B2993,'Pre-Summary'!$BZ$6:$CB$63,2,FALSE),"")</f>
        <v/>
      </c>
      <c r="AA2993" s="45" t="str">
        <f>IFERROR(VLOOKUP(B2993,'Pre-Summary'!$CG$6:$CI$70,2,FALSE),"")</f>
        <v/>
      </c>
      <c r="AB2993" s="99">
        <f>IFERROR(VLOOKUP(B2993,'Pre-Summary'!$A$6:$P$178,9,FALSE),AB2994)</f>
        <v>0.68914361702057381</v>
      </c>
      <c r="AC2993" s="10">
        <f>IFERROR(VLOOKUP(Summary!B2993,'Pre-Summary'!$A$6:$P$184,5, FALSE)/100,AC2994)</f>
        <v>0.92963666666666656</v>
      </c>
      <c r="AD2993" s="10">
        <f>IFERROR(VLOOKUP(Summary!B2993,'Pre-Summary'!$A$6:$P$184,3, FALSE)/100,AD2994)</f>
        <v>3.8144666666666667E-2</v>
      </c>
      <c r="AE2993" s="10">
        <f>IFERROR(VLOOKUP(Summary!B2993,'Pre-Summary'!$A$6:$P$184,7, FALSE)/100,AE2994)</f>
        <v>3.2219333333333336E-2</v>
      </c>
      <c r="AF2993" s="99">
        <f t="shared" si="139"/>
        <v>2.6287153556710782E-2</v>
      </c>
      <c r="AG2993" s="99">
        <f t="shared" si="140"/>
        <v>2.2203747911324876E-2</v>
      </c>
      <c r="AH2993" s="10" t="str">
        <f>IFERROR(VLOOKUP(B2993,'Pre-Summary'!$AZ$6:$BE$65,3,FALSE),"")</f>
        <v/>
      </c>
      <c r="AI2993" s="10" t="str">
        <f>IFERROR(VLOOKUP(B2993,'Pre-Summary'!$AZ$6:$BE$65,5,FALSE),"")</f>
        <v/>
      </c>
      <c r="AJ2993" s="10" t="str">
        <f>IFERROR(VLOOKUP(B2993,'Pre-Summary'!$AZ$6:$BE$65,4,FALSE),"")</f>
        <v/>
      </c>
      <c r="AK2993" s="10" t="str">
        <f>IFERROR(VLOOKUP(B2993,'Pre-Summary'!$AZ$6:$BE$65,6,FALSE),"")</f>
        <v/>
      </c>
      <c r="AL2993" s="10" t="str">
        <f>IFERROR(VLOOKUP(B2993,'Pre-Summary'!$BG$6:$BL$44,3,FALSE),"")</f>
        <v/>
      </c>
      <c r="AM2993" s="10" t="str">
        <f>IFERROR(VLOOKUP(B2993,'Pre-Summary'!$BG$6:$BL$44,4,FALSE),"")</f>
        <v/>
      </c>
    </row>
    <row r="2994" spans="2:39" ht="15" customHeight="1" x14ac:dyDescent="0.3">
      <c r="B2994">
        <v>299.10000000000002</v>
      </c>
      <c r="C2994" t="str">
        <f>IFERROR(VLOOKUP(B2994,'Pre-Summary'!$DI$6:$DM$23,4,FALSE),"")</f>
        <v/>
      </c>
      <c r="D2994" s="10" t="str">
        <f>IFERROR(VLOOKUP(B2994,'Pre-Summary'!$AT$6:$AX$14,5,FALSE),D2993)</f>
        <v>Wolfe v3: went back to modified wolfe + EDTA and switched CuSO4 to CUCl2</v>
      </c>
      <c r="E2994" s="10" t="str">
        <f>IFERROR(VLOOKUP(B2994,'Pre-Summary'!$AT$6:$AX$15,4,FALSE),"")</f>
        <v/>
      </c>
      <c r="F2994">
        <f>IFERROR(VLOOKUP(B2994,'Pre-Summary'!$AL$6:$AQ$13,6,FALSE),F2993)</f>
        <v>5.9405263157894746E-2</v>
      </c>
      <c r="G2994" t="str">
        <f>IFERROR(VLOOKUP(B2994,'Pre-Summary'!$AE$6:$AJ$85,3,FALSE),"")</f>
        <v/>
      </c>
      <c r="H2994" t="str">
        <f>IFERROR(VLOOKUP(B2994,'Pre-Summary'!$AE$6:$AJ$85,4,FALSE),"")</f>
        <v/>
      </c>
      <c r="I2994" t="str">
        <f>IFERROR(VLOOKUP(B2994,'Pre-Summary'!$AE$6:$AJ$85,5,FALSE),"")</f>
        <v/>
      </c>
      <c r="J2994" s="45" t="str">
        <f>IFERROR(VLOOKUP(B2994,'Pre-Summary'!$AE$6:$AJ$85,6, FALSE),"")</f>
        <v/>
      </c>
      <c r="K2994" s="45" t="str">
        <f>IFERROR(VLOOKUP(B2994,'Pre-Summary'!$DE$6:$DG$61,3,FALSE),"")</f>
        <v/>
      </c>
      <c r="L2994" s="45" t="str">
        <f>IFERROR(VLOOKUP(B2994,'Pre-Summary'!$CU$6:$CW$36,3,FALSE),"")</f>
        <v/>
      </c>
      <c r="M2994" s="45" t="str">
        <f>IFERROR(VLOOKUP(B2994,'Pre-Summary'!$BW$6:$BY$58,2,FALSE),"")</f>
        <v/>
      </c>
      <c r="N2994" s="45" t="str">
        <f>IFERROR(VLOOKUP(B2994,'Pre-Summary'!$CD$6:$CF$64,2,FALSE),"")</f>
        <v/>
      </c>
      <c r="O2994" s="99">
        <f>IFERROR(VLOOKUP(B2994,'Pre-Summary'!$BO$6:$BQ$48,3, FALSE),O2993)</f>
        <v>2.77</v>
      </c>
      <c r="P2994" s="99">
        <f>IFERROR(VLOOKUP(B2994,'Pre-Summary'!$BS$6:$BU$35,3,FALSE),P2993)</f>
        <v>0.70099999999999996</v>
      </c>
      <c r="Q2994" s="54">
        <f t="shared" si="138"/>
        <v>3.9514978601997148</v>
      </c>
      <c r="R2994" s="53">
        <f>IFERROR(VLOOKUP(B2994,'Pre-Summary'!$BG$6:$BM$44,7,FALSE),R2995)</f>
        <v>0</v>
      </c>
      <c r="S2994" s="53" t="e">
        <f>VLOOKUP(B2994,'Pre-Summary'!$BG$6:$BM$44,6,FALSE)</f>
        <v>#N/A</v>
      </c>
      <c r="T2994" s="45" t="str">
        <f>IFERROR(VLOOKUP(B2994,'Pre-Summary'!$Y$6:$AC$83, 3,FALSE),"")</f>
        <v/>
      </c>
      <c r="U2994" s="45" t="str">
        <f>IFERROR(VLOOKUP(B2994,'Pre-Summary'!$Y$6:$AC$83, 4,FALSE),"")</f>
        <v/>
      </c>
      <c r="V2994" t="str">
        <f>IFERROR(VLOOKUP(B2994,'Pre-Summary'!$Y$6:$AC$83, 5,FALSE),"")</f>
        <v/>
      </c>
      <c r="W2994" s="45" t="str">
        <f>IFERROR(VLOOKUP(B2994,'Pre-Summary'!$Y$6:$AD$83,6,FALSE),"")</f>
        <v/>
      </c>
      <c r="X2994" t="str">
        <f>IFERROR(VLOOKUP('Pre-Summary'!$DB$6:$DD$63,3,FALSE),"")</f>
        <v/>
      </c>
      <c r="Y2994" t="str">
        <f>IFERROR(VLOOKUP(B2994,'Pre-Summary'!$CR$6:$CT$36,3,FALSE),"")</f>
        <v/>
      </c>
      <c r="Z2994" s="45" t="str">
        <f>IFERROR(VLOOKUP(B2994,'Pre-Summary'!$BZ$6:$CB$63,2,FALSE),"")</f>
        <v/>
      </c>
      <c r="AA2994" s="45" t="str">
        <f>IFERROR(VLOOKUP(B2994,'Pre-Summary'!$CG$6:$CI$70,2,FALSE),"")</f>
        <v/>
      </c>
      <c r="AB2994" s="99">
        <f>IFERROR(VLOOKUP(B2994,'Pre-Summary'!$A$6:$P$178,9,FALSE),AB2995)</f>
        <v>0.68914361702057381</v>
      </c>
      <c r="AC2994" s="10">
        <f>IFERROR(VLOOKUP(Summary!B2994,'Pre-Summary'!$A$6:$P$184,5, FALSE)/100,AC2995)</f>
        <v>0.92963666666666656</v>
      </c>
      <c r="AD2994" s="10">
        <f>IFERROR(VLOOKUP(Summary!B2994,'Pre-Summary'!$A$6:$P$184,3, FALSE)/100,AD2995)</f>
        <v>3.8144666666666667E-2</v>
      </c>
      <c r="AE2994" s="10">
        <f>IFERROR(VLOOKUP(Summary!B2994,'Pre-Summary'!$A$6:$P$184,7, FALSE)/100,AE2995)</f>
        <v>3.2219333333333336E-2</v>
      </c>
      <c r="AF2994" s="99">
        <f t="shared" si="139"/>
        <v>2.6287153556710782E-2</v>
      </c>
      <c r="AG2994" s="99">
        <f t="shared" si="140"/>
        <v>2.2203747911324876E-2</v>
      </c>
      <c r="AH2994" s="10" t="str">
        <f>IFERROR(VLOOKUP(B2994,'Pre-Summary'!$AZ$6:$BE$65,3,FALSE),"")</f>
        <v/>
      </c>
      <c r="AI2994" s="10" t="str">
        <f>IFERROR(VLOOKUP(B2994,'Pre-Summary'!$AZ$6:$BE$65,5,FALSE),"")</f>
        <v/>
      </c>
      <c r="AJ2994" s="10" t="str">
        <f>IFERROR(VLOOKUP(B2994,'Pre-Summary'!$AZ$6:$BE$65,4,FALSE),"")</f>
        <v/>
      </c>
      <c r="AK2994" s="10" t="str">
        <f>IFERROR(VLOOKUP(B2994,'Pre-Summary'!$AZ$6:$BE$65,6,FALSE),"")</f>
        <v/>
      </c>
      <c r="AL2994" s="10" t="str">
        <f>IFERROR(VLOOKUP(B2994,'Pre-Summary'!$BG$6:$BL$44,3,FALSE),"")</f>
        <v/>
      </c>
      <c r="AM2994" s="10" t="str">
        <f>IFERROR(VLOOKUP(B2994,'Pre-Summary'!$BG$6:$BL$44,4,FALSE),"")</f>
        <v/>
      </c>
    </row>
    <row r="2995" spans="2:39" ht="15" customHeight="1" x14ac:dyDescent="0.3">
      <c r="B2995">
        <v>299.2</v>
      </c>
      <c r="C2995" t="str">
        <f>IFERROR(VLOOKUP(B2995,'Pre-Summary'!$DI$6:$DM$23,4,FALSE),"")</f>
        <v/>
      </c>
      <c r="D2995" s="10" t="str">
        <f>IFERROR(VLOOKUP(B2995,'Pre-Summary'!$AT$6:$AX$14,5,FALSE),D2994)</f>
        <v>Wolfe v3: went back to modified wolfe + EDTA and switched CuSO4 to CUCl2</v>
      </c>
      <c r="E2995" s="10" t="str">
        <f>IFERROR(VLOOKUP(B2995,'Pre-Summary'!$AT$6:$AX$15,4,FALSE),"")</f>
        <v/>
      </c>
      <c r="F2995">
        <f>IFERROR(VLOOKUP(B2995,'Pre-Summary'!$AL$6:$AQ$13,6,FALSE),F2994)</f>
        <v>5.9405263157894746E-2</v>
      </c>
      <c r="G2995" t="str">
        <f>IFERROR(VLOOKUP(B2995,'Pre-Summary'!$AE$6:$AJ$85,3,FALSE),"")</f>
        <v/>
      </c>
      <c r="H2995" t="str">
        <f>IFERROR(VLOOKUP(B2995,'Pre-Summary'!$AE$6:$AJ$85,4,FALSE),"")</f>
        <v/>
      </c>
      <c r="I2995" t="str">
        <f>IFERROR(VLOOKUP(B2995,'Pre-Summary'!$AE$6:$AJ$85,5,FALSE),"")</f>
        <v/>
      </c>
      <c r="J2995" s="45" t="str">
        <f>IFERROR(VLOOKUP(B2995,'Pre-Summary'!$AE$6:$AJ$85,6, FALSE),"")</f>
        <v/>
      </c>
      <c r="K2995" s="45" t="str">
        <f>IFERROR(VLOOKUP(B2995,'Pre-Summary'!$DE$6:$DG$61,3,FALSE),"")</f>
        <v/>
      </c>
      <c r="L2995" s="45" t="str">
        <f>IFERROR(VLOOKUP(B2995,'Pre-Summary'!$CU$6:$CW$36,3,FALSE),"")</f>
        <v/>
      </c>
      <c r="M2995" s="45" t="str">
        <f>IFERROR(VLOOKUP(B2995,'Pre-Summary'!$BW$6:$BY$58,2,FALSE),"")</f>
        <v/>
      </c>
      <c r="N2995" s="45" t="str">
        <f>IFERROR(VLOOKUP(B2995,'Pre-Summary'!$CD$6:$CF$64,2,FALSE),"")</f>
        <v/>
      </c>
      <c r="O2995" s="99">
        <f>IFERROR(VLOOKUP(B2995,'Pre-Summary'!$BO$6:$BQ$48,3, FALSE),O2994)</f>
        <v>2.77</v>
      </c>
      <c r="P2995" s="99">
        <f>IFERROR(VLOOKUP(B2995,'Pre-Summary'!$BS$6:$BU$35,3,FALSE),P2994)</f>
        <v>0.70099999999999996</v>
      </c>
      <c r="Q2995" s="54">
        <f t="shared" si="138"/>
        <v>3.9514978601997148</v>
      </c>
      <c r="R2995" s="53">
        <f>IFERROR(VLOOKUP(B2995,'Pre-Summary'!$BG$6:$BM$44,7,FALSE),R2996)</f>
        <v>0</v>
      </c>
      <c r="S2995" s="53" t="e">
        <f>VLOOKUP(B2995,'Pre-Summary'!$BG$6:$BM$44,6,FALSE)</f>
        <v>#N/A</v>
      </c>
      <c r="T2995" s="45" t="str">
        <f>IFERROR(VLOOKUP(B2995,'Pre-Summary'!$Y$6:$AC$83, 3,FALSE),"")</f>
        <v/>
      </c>
      <c r="U2995" s="45" t="str">
        <f>IFERROR(VLOOKUP(B2995,'Pre-Summary'!$Y$6:$AC$83, 4,FALSE),"")</f>
        <v/>
      </c>
      <c r="V2995" t="str">
        <f>IFERROR(VLOOKUP(B2995,'Pre-Summary'!$Y$6:$AC$83, 5,FALSE),"")</f>
        <v/>
      </c>
      <c r="W2995" s="45" t="str">
        <f>IFERROR(VLOOKUP(B2995,'Pre-Summary'!$Y$6:$AD$83,6,FALSE),"")</f>
        <v/>
      </c>
      <c r="X2995" t="str">
        <f>IFERROR(VLOOKUP('Pre-Summary'!$DB$6:$DD$63,3,FALSE),"")</f>
        <v/>
      </c>
      <c r="Y2995" t="str">
        <f>IFERROR(VLOOKUP(B2995,'Pre-Summary'!$CR$6:$CT$36,3,FALSE),"")</f>
        <v/>
      </c>
      <c r="Z2995" s="45" t="str">
        <f>IFERROR(VLOOKUP(B2995,'Pre-Summary'!$BZ$6:$CB$63,2,FALSE),"")</f>
        <v/>
      </c>
      <c r="AA2995" s="45" t="str">
        <f>IFERROR(VLOOKUP(B2995,'Pre-Summary'!$CG$6:$CI$70,2,FALSE),"")</f>
        <v/>
      </c>
      <c r="AB2995" s="99">
        <f>IFERROR(VLOOKUP(B2995,'Pre-Summary'!$A$6:$P$178,9,FALSE),AB2996)</f>
        <v>0.68914361702057381</v>
      </c>
      <c r="AC2995" s="10">
        <f>IFERROR(VLOOKUP(Summary!B2995,'Pre-Summary'!$A$6:$P$184,5, FALSE)/100,AC2996)</f>
        <v>0.92963666666666656</v>
      </c>
      <c r="AD2995" s="10">
        <f>IFERROR(VLOOKUP(Summary!B2995,'Pre-Summary'!$A$6:$P$184,3, FALSE)/100,AD2996)</f>
        <v>3.8144666666666667E-2</v>
      </c>
      <c r="AE2995" s="10">
        <f>IFERROR(VLOOKUP(Summary!B2995,'Pre-Summary'!$A$6:$P$184,7, FALSE)/100,AE2996)</f>
        <v>3.2219333333333336E-2</v>
      </c>
      <c r="AF2995" s="99">
        <f t="shared" si="139"/>
        <v>2.6287153556710782E-2</v>
      </c>
      <c r="AG2995" s="99">
        <f t="shared" si="140"/>
        <v>2.2203747911324876E-2</v>
      </c>
      <c r="AH2995" s="10" t="str">
        <f>IFERROR(VLOOKUP(B2995,'Pre-Summary'!$AZ$6:$BE$65,3,FALSE),"")</f>
        <v/>
      </c>
      <c r="AI2995" s="10" t="str">
        <f>IFERROR(VLOOKUP(B2995,'Pre-Summary'!$AZ$6:$BE$65,5,FALSE),"")</f>
        <v/>
      </c>
      <c r="AJ2995" s="10" t="str">
        <f>IFERROR(VLOOKUP(B2995,'Pre-Summary'!$AZ$6:$BE$65,4,FALSE),"")</f>
        <v/>
      </c>
      <c r="AK2995" s="10" t="str">
        <f>IFERROR(VLOOKUP(B2995,'Pre-Summary'!$AZ$6:$BE$65,6,FALSE),"")</f>
        <v/>
      </c>
      <c r="AL2995" s="10" t="str">
        <f>IFERROR(VLOOKUP(B2995,'Pre-Summary'!$BG$6:$BL$44,3,FALSE),"")</f>
        <v/>
      </c>
      <c r="AM2995" s="10" t="str">
        <f>IFERROR(VLOOKUP(B2995,'Pre-Summary'!$BG$6:$BL$44,4,FALSE),"")</f>
        <v/>
      </c>
    </row>
    <row r="2996" spans="2:39" ht="15" customHeight="1" x14ac:dyDescent="0.3">
      <c r="B2996">
        <v>299.3</v>
      </c>
      <c r="C2996" t="str">
        <f>IFERROR(VLOOKUP(B2996,'Pre-Summary'!$DI$6:$DM$23,4,FALSE),"")</f>
        <v/>
      </c>
      <c r="D2996" s="10" t="str">
        <f>IFERROR(VLOOKUP(B2996,'Pre-Summary'!$AT$6:$AX$14,5,FALSE),D2995)</f>
        <v>Wolfe v3: went back to modified wolfe + EDTA and switched CuSO4 to CUCl2</v>
      </c>
      <c r="E2996" s="10" t="str">
        <f>IFERROR(VLOOKUP(B2996,'Pre-Summary'!$AT$6:$AX$15,4,FALSE),"")</f>
        <v/>
      </c>
      <c r="F2996">
        <f>IFERROR(VLOOKUP(B2996,'Pre-Summary'!$AL$6:$AQ$13,6,FALSE),F2995)</f>
        <v>5.9405263157894746E-2</v>
      </c>
      <c r="G2996" t="str">
        <f>IFERROR(VLOOKUP(B2996,'Pre-Summary'!$AE$6:$AJ$85,3,FALSE),"")</f>
        <v/>
      </c>
      <c r="H2996" t="str">
        <f>IFERROR(VLOOKUP(B2996,'Pre-Summary'!$AE$6:$AJ$85,4,FALSE),"")</f>
        <v/>
      </c>
      <c r="I2996" t="str">
        <f>IFERROR(VLOOKUP(B2996,'Pre-Summary'!$AE$6:$AJ$85,5,FALSE),"")</f>
        <v/>
      </c>
      <c r="J2996" s="45" t="str">
        <f>IFERROR(VLOOKUP(B2996,'Pre-Summary'!$AE$6:$AJ$85,6, FALSE),"")</f>
        <v/>
      </c>
      <c r="K2996" s="45" t="str">
        <f>IFERROR(VLOOKUP(B2996,'Pre-Summary'!$DE$6:$DG$61,3,FALSE),"")</f>
        <v/>
      </c>
      <c r="L2996" s="45" t="str">
        <f>IFERROR(VLOOKUP(B2996,'Pre-Summary'!$CU$6:$CW$36,3,FALSE),"")</f>
        <v/>
      </c>
      <c r="M2996" s="45" t="str">
        <f>IFERROR(VLOOKUP(B2996,'Pre-Summary'!$BW$6:$BY$58,2,FALSE),"")</f>
        <v/>
      </c>
      <c r="N2996" s="45" t="str">
        <f>IFERROR(VLOOKUP(B2996,'Pre-Summary'!$CD$6:$CF$64,2,FALSE),"")</f>
        <v/>
      </c>
      <c r="O2996" s="99">
        <f>IFERROR(VLOOKUP(B2996,'Pre-Summary'!$BO$6:$BQ$48,3, FALSE),O2995)</f>
        <v>2.77</v>
      </c>
      <c r="P2996" s="99">
        <f>IFERROR(VLOOKUP(B2996,'Pre-Summary'!$BS$6:$BU$35,3,FALSE),P2995)</f>
        <v>0.70099999999999996</v>
      </c>
      <c r="Q2996" s="54">
        <f t="shared" si="138"/>
        <v>3.9514978601997148</v>
      </c>
      <c r="R2996" s="53">
        <f>IFERROR(VLOOKUP(B2996,'Pre-Summary'!$BG$6:$BM$44,7,FALSE),R2997)</f>
        <v>0</v>
      </c>
      <c r="S2996" s="53" t="e">
        <f>VLOOKUP(B2996,'Pre-Summary'!$BG$6:$BM$44,6,FALSE)</f>
        <v>#N/A</v>
      </c>
      <c r="T2996" s="45" t="str">
        <f>IFERROR(VLOOKUP(B2996,'Pre-Summary'!$Y$6:$AC$83, 3,FALSE),"")</f>
        <v/>
      </c>
      <c r="U2996" s="45" t="str">
        <f>IFERROR(VLOOKUP(B2996,'Pre-Summary'!$Y$6:$AC$83, 4,FALSE),"")</f>
        <v/>
      </c>
      <c r="V2996" t="str">
        <f>IFERROR(VLOOKUP(B2996,'Pre-Summary'!$Y$6:$AC$83, 5,FALSE),"")</f>
        <v/>
      </c>
      <c r="W2996" s="45" t="str">
        <f>IFERROR(VLOOKUP(B2996,'Pre-Summary'!$Y$6:$AD$83,6,FALSE),"")</f>
        <v/>
      </c>
      <c r="X2996" t="str">
        <f>IFERROR(VLOOKUP('Pre-Summary'!$DB$6:$DD$63,3,FALSE),"")</f>
        <v/>
      </c>
      <c r="Y2996" t="str">
        <f>IFERROR(VLOOKUP(B2996,'Pre-Summary'!$CR$6:$CT$36,3,FALSE),"")</f>
        <v/>
      </c>
      <c r="Z2996" s="45" t="str">
        <f>IFERROR(VLOOKUP(B2996,'Pre-Summary'!$BZ$6:$CB$63,2,FALSE),"")</f>
        <v/>
      </c>
      <c r="AA2996" s="45" t="str">
        <f>IFERROR(VLOOKUP(B2996,'Pre-Summary'!$CG$6:$CI$70,2,FALSE),"")</f>
        <v/>
      </c>
      <c r="AB2996" s="99">
        <f>IFERROR(VLOOKUP(B2996,'Pre-Summary'!$A$6:$P$178,9,FALSE),AB2997)</f>
        <v>0.68914361702057381</v>
      </c>
      <c r="AC2996" s="10">
        <f>IFERROR(VLOOKUP(Summary!B2996,'Pre-Summary'!$A$6:$P$184,5, FALSE)/100,AC2997)</f>
        <v>0.92963666666666656</v>
      </c>
      <c r="AD2996" s="10">
        <f>IFERROR(VLOOKUP(Summary!B2996,'Pre-Summary'!$A$6:$P$184,3, FALSE)/100,AD2997)</f>
        <v>3.8144666666666667E-2</v>
      </c>
      <c r="AE2996" s="10">
        <f>IFERROR(VLOOKUP(Summary!B2996,'Pre-Summary'!$A$6:$P$184,7, FALSE)/100,AE2997)</f>
        <v>3.2219333333333336E-2</v>
      </c>
      <c r="AF2996" s="99">
        <f t="shared" si="139"/>
        <v>2.6287153556710782E-2</v>
      </c>
      <c r="AG2996" s="99">
        <f t="shared" si="140"/>
        <v>2.2203747911324876E-2</v>
      </c>
      <c r="AH2996" s="10" t="str">
        <f>IFERROR(VLOOKUP(B2996,'Pre-Summary'!$AZ$6:$BE$65,3,FALSE),"")</f>
        <v/>
      </c>
      <c r="AI2996" s="10" t="str">
        <f>IFERROR(VLOOKUP(B2996,'Pre-Summary'!$AZ$6:$BE$65,5,FALSE),"")</f>
        <v/>
      </c>
      <c r="AJ2996" s="10" t="str">
        <f>IFERROR(VLOOKUP(B2996,'Pre-Summary'!$AZ$6:$BE$65,4,FALSE),"")</f>
        <v/>
      </c>
      <c r="AK2996" s="10" t="str">
        <f>IFERROR(VLOOKUP(B2996,'Pre-Summary'!$AZ$6:$BE$65,6,FALSE),"")</f>
        <v/>
      </c>
      <c r="AL2996" s="10" t="str">
        <f>IFERROR(VLOOKUP(B2996,'Pre-Summary'!$BG$6:$BL$44,3,FALSE),"")</f>
        <v/>
      </c>
      <c r="AM2996" s="10" t="str">
        <f>IFERROR(VLOOKUP(B2996,'Pre-Summary'!$BG$6:$BL$44,4,FALSE),"")</f>
        <v/>
      </c>
    </row>
    <row r="2997" spans="2:39" ht="15" customHeight="1" x14ac:dyDescent="0.3">
      <c r="B2997">
        <v>299.39999999999998</v>
      </c>
      <c r="C2997" t="str">
        <f>IFERROR(VLOOKUP(B2997,'Pre-Summary'!$DI$6:$DM$23,4,FALSE),"")</f>
        <v/>
      </c>
      <c r="D2997" s="10" t="str">
        <f>IFERROR(VLOOKUP(B2997,'Pre-Summary'!$AT$6:$AX$14,5,FALSE),D2996)</f>
        <v>Wolfe v3: went back to modified wolfe + EDTA and switched CuSO4 to CUCl2</v>
      </c>
      <c r="E2997" s="10" t="str">
        <f>IFERROR(VLOOKUP(B2997,'Pre-Summary'!$AT$6:$AX$15,4,FALSE),"")</f>
        <v/>
      </c>
      <c r="F2997">
        <f>IFERROR(VLOOKUP(B2997,'Pre-Summary'!$AL$6:$AQ$13,6,FALSE),F2996)</f>
        <v>5.9405263157894746E-2</v>
      </c>
      <c r="G2997" t="str">
        <f>IFERROR(VLOOKUP(B2997,'Pre-Summary'!$AE$6:$AJ$85,3,FALSE),"")</f>
        <v/>
      </c>
      <c r="H2997" t="str">
        <f>IFERROR(VLOOKUP(B2997,'Pre-Summary'!$AE$6:$AJ$85,4,FALSE),"")</f>
        <v/>
      </c>
      <c r="I2997" t="str">
        <f>IFERROR(VLOOKUP(B2997,'Pre-Summary'!$AE$6:$AJ$85,5,FALSE),"")</f>
        <v/>
      </c>
      <c r="J2997" s="45" t="str">
        <f>IFERROR(VLOOKUP(B2997,'Pre-Summary'!$AE$6:$AJ$85,6, FALSE),"")</f>
        <v/>
      </c>
      <c r="K2997" s="45" t="str">
        <f>IFERROR(VLOOKUP(B2997,'Pre-Summary'!$DE$6:$DG$61,3,FALSE),"")</f>
        <v/>
      </c>
      <c r="L2997" s="45" t="str">
        <f>IFERROR(VLOOKUP(B2997,'Pre-Summary'!$CU$6:$CW$36,3,FALSE),"")</f>
        <v/>
      </c>
      <c r="M2997" s="45" t="str">
        <f>IFERROR(VLOOKUP(B2997,'Pre-Summary'!$BW$6:$BY$58,2,FALSE),"")</f>
        <v/>
      </c>
      <c r="N2997" s="45" t="str">
        <f>IFERROR(VLOOKUP(B2997,'Pre-Summary'!$CD$6:$CF$64,2,FALSE),"")</f>
        <v/>
      </c>
      <c r="O2997" s="99">
        <f>IFERROR(VLOOKUP(B2997,'Pre-Summary'!$BO$6:$BQ$48,3, FALSE),O2996)</f>
        <v>2.77</v>
      </c>
      <c r="P2997" s="99">
        <f>IFERROR(VLOOKUP(B2997,'Pre-Summary'!$BS$6:$BU$35,3,FALSE),P2996)</f>
        <v>0.70099999999999996</v>
      </c>
      <c r="Q2997" s="54">
        <f t="shared" si="138"/>
        <v>3.9514978601997148</v>
      </c>
      <c r="R2997" s="53">
        <f>IFERROR(VLOOKUP(B2997,'Pre-Summary'!$BG$6:$BM$44,7,FALSE),R2998)</f>
        <v>0</v>
      </c>
      <c r="S2997" s="53" t="e">
        <f>VLOOKUP(B2997,'Pre-Summary'!$BG$6:$BM$44,6,FALSE)</f>
        <v>#N/A</v>
      </c>
      <c r="T2997" s="45" t="str">
        <f>IFERROR(VLOOKUP(B2997,'Pre-Summary'!$Y$6:$AC$83, 3,FALSE),"")</f>
        <v/>
      </c>
      <c r="U2997" s="45" t="str">
        <f>IFERROR(VLOOKUP(B2997,'Pre-Summary'!$Y$6:$AC$83, 4,FALSE),"")</f>
        <v/>
      </c>
      <c r="V2997" t="str">
        <f>IFERROR(VLOOKUP(B2997,'Pre-Summary'!$Y$6:$AC$83, 5,FALSE),"")</f>
        <v/>
      </c>
      <c r="W2997" s="45" t="str">
        <f>IFERROR(VLOOKUP(B2997,'Pre-Summary'!$Y$6:$AD$83,6,FALSE),"")</f>
        <v/>
      </c>
      <c r="X2997" t="str">
        <f>IFERROR(VLOOKUP('Pre-Summary'!$DB$6:$DD$63,3,FALSE),"")</f>
        <v/>
      </c>
      <c r="Y2997" t="str">
        <f>IFERROR(VLOOKUP(B2997,'Pre-Summary'!$CR$6:$CT$36,3,FALSE),"")</f>
        <v/>
      </c>
      <c r="Z2997" s="45" t="str">
        <f>IFERROR(VLOOKUP(B2997,'Pre-Summary'!$BZ$6:$CB$63,2,FALSE),"")</f>
        <v/>
      </c>
      <c r="AA2997" s="45" t="str">
        <f>IFERROR(VLOOKUP(B2997,'Pre-Summary'!$CG$6:$CI$70,2,FALSE),"")</f>
        <v/>
      </c>
      <c r="AB2997" s="99">
        <f>IFERROR(VLOOKUP(B2997,'Pre-Summary'!$A$6:$P$178,9,FALSE),AB2998)</f>
        <v>0.68914361702057381</v>
      </c>
      <c r="AC2997" s="10">
        <f>IFERROR(VLOOKUP(Summary!B2997,'Pre-Summary'!$A$6:$P$184,5, FALSE)/100,AC2998)</f>
        <v>0.92963666666666656</v>
      </c>
      <c r="AD2997" s="10">
        <f>IFERROR(VLOOKUP(Summary!B2997,'Pre-Summary'!$A$6:$P$184,3, FALSE)/100,AD2998)</f>
        <v>3.8144666666666667E-2</v>
      </c>
      <c r="AE2997" s="10">
        <f>IFERROR(VLOOKUP(Summary!B2997,'Pre-Summary'!$A$6:$P$184,7, FALSE)/100,AE2998)</f>
        <v>3.2219333333333336E-2</v>
      </c>
      <c r="AF2997" s="99">
        <f t="shared" si="139"/>
        <v>2.6287153556710782E-2</v>
      </c>
      <c r="AG2997" s="99">
        <f t="shared" si="140"/>
        <v>2.2203747911324876E-2</v>
      </c>
      <c r="AH2997" s="10" t="str">
        <f>IFERROR(VLOOKUP(B2997,'Pre-Summary'!$AZ$6:$BE$65,3,FALSE),"")</f>
        <v/>
      </c>
      <c r="AI2997" s="10" t="str">
        <f>IFERROR(VLOOKUP(B2997,'Pre-Summary'!$AZ$6:$BE$65,5,FALSE),"")</f>
        <v/>
      </c>
      <c r="AJ2997" s="10" t="str">
        <f>IFERROR(VLOOKUP(B2997,'Pre-Summary'!$AZ$6:$BE$65,4,FALSE),"")</f>
        <v/>
      </c>
      <c r="AK2997" s="10" t="str">
        <f>IFERROR(VLOOKUP(B2997,'Pre-Summary'!$AZ$6:$BE$65,6,FALSE),"")</f>
        <v/>
      </c>
      <c r="AL2997" s="10" t="str">
        <f>IFERROR(VLOOKUP(B2997,'Pre-Summary'!$BG$6:$BL$44,3,FALSE),"")</f>
        <v/>
      </c>
      <c r="AM2997" s="10" t="str">
        <f>IFERROR(VLOOKUP(B2997,'Pre-Summary'!$BG$6:$BL$44,4,FALSE),"")</f>
        <v/>
      </c>
    </row>
    <row r="2998" spans="2:39" ht="15" customHeight="1" x14ac:dyDescent="0.3">
      <c r="B2998">
        <v>299.5</v>
      </c>
      <c r="C2998" t="str">
        <f>IFERROR(VLOOKUP(B2998,'Pre-Summary'!$DI$6:$DM$23,4,FALSE),"")</f>
        <v/>
      </c>
      <c r="D2998" s="10" t="str">
        <f>IFERROR(VLOOKUP(B2998,'Pre-Summary'!$AT$6:$AX$14,5,FALSE),D2997)</f>
        <v>Wolfe v3: went back to modified wolfe + EDTA and switched CuSO4 to CUCl2</v>
      </c>
      <c r="E2998" s="10" t="str">
        <f>IFERROR(VLOOKUP(B2998,'Pre-Summary'!$AT$6:$AX$15,4,FALSE),"")</f>
        <v/>
      </c>
      <c r="F2998">
        <f>IFERROR(VLOOKUP(B2998,'Pre-Summary'!$AL$6:$AQ$13,6,FALSE),F2997)</f>
        <v>5.9405263157894746E-2</v>
      </c>
      <c r="G2998">
        <f>IFERROR(VLOOKUP(B2998,'Pre-Summary'!$AE$6:$AJ$85,3,FALSE),"")</f>
        <v>3.5569999999999999</v>
      </c>
      <c r="H2998">
        <f>IFERROR(VLOOKUP(B2998,'Pre-Summary'!$AE$6:$AJ$85,4,FALSE),"")</f>
        <v>1.74</v>
      </c>
      <c r="I2998">
        <f>IFERROR(VLOOKUP(B2998,'Pre-Summary'!$AE$6:$AJ$85,5,FALSE),"")</f>
        <v>2.0409999999999999</v>
      </c>
      <c r="J2998" s="45">
        <f>IFERROR(VLOOKUP(B2998,'Pre-Summary'!$AE$6:$AJ$85,6, FALSE),"")</f>
        <v>10.140217</v>
      </c>
      <c r="K2998" s="45" t="str">
        <f>IFERROR(VLOOKUP(B2998,'Pre-Summary'!$DE$6:$DG$61,3,FALSE),"")</f>
        <v/>
      </c>
      <c r="L2998" s="45" t="str">
        <f>IFERROR(VLOOKUP(B2998,'Pre-Summary'!$CU$6:$CW$36,3,FALSE),"")</f>
        <v/>
      </c>
      <c r="M2998" s="45" t="str">
        <f>IFERROR(VLOOKUP(B2998,'Pre-Summary'!$BW$6:$BY$58,2,FALSE),"")</f>
        <v/>
      </c>
      <c r="N2998" s="45">
        <f>IFERROR(VLOOKUP(B2998,'Pre-Summary'!$CD$6:$CF$64,2,FALSE),"")</f>
        <v>192.35834426881024</v>
      </c>
      <c r="O2998" s="99">
        <f>IFERROR(VLOOKUP(B2998,'Pre-Summary'!$BO$6:$BQ$48,3, FALSE),O2997)</f>
        <v>2.77</v>
      </c>
      <c r="P2998" s="99">
        <f>IFERROR(VLOOKUP(B2998,'Pre-Summary'!$BS$6:$BU$35,3,FALSE),P2997)</f>
        <v>0.70099999999999996</v>
      </c>
      <c r="Q2998" s="54">
        <f t="shared" si="138"/>
        <v>3.9514978601997148</v>
      </c>
      <c r="R2998" s="53">
        <f>IFERROR(VLOOKUP(B2998,'Pre-Summary'!$BG$6:$BM$44,7,FALSE),R2999)</f>
        <v>0</v>
      </c>
      <c r="S2998" s="53" t="e">
        <f>VLOOKUP(B2998,'Pre-Summary'!$BG$6:$BM$44,6,FALSE)</f>
        <v>#N/A</v>
      </c>
      <c r="T2998" s="45">
        <f>IFERROR(VLOOKUP(B2998,'Pre-Summary'!$Y$6:$AC$83, 3,FALSE),"")</f>
        <v>5.3630000000000004</v>
      </c>
      <c r="U2998" s="45">
        <f>IFERROR(VLOOKUP(B2998,'Pre-Summary'!$Y$6:$AC$83, 4,FALSE),"")</f>
        <v>1.958</v>
      </c>
      <c r="V2998">
        <f>IFERROR(VLOOKUP(B2998,'Pre-Summary'!$Y$6:$AC$83, 5,FALSE),"")</f>
        <v>2.0659999999999998</v>
      </c>
      <c r="W2998" s="45">
        <f>IFERROR(VLOOKUP(B2998,'Pre-Summary'!$Y$6:$AD$83,6,FALSE),"")</f>
        <v>12.442721000000001</v>
      </c>
      <c r="X2998" t="str">
        <f>IFERROR(VLOOKUP('Pre-Summary'!$DB$6:$DD$63,3,FALSE),"")</f>
        <v/>
      </c>
      <c r="Y2998" t="str">
        <f>IFERROR(VLOOKUP(B2998,'Pre-Summary'!$CR$6:$CT$36,3,FALSE),"")</f>
        <v/>
      </c>
      <c r="Z2998" s="45" t="str">
        <f>IFERROR(VLOOKUP(B2998,'Pre-Summary'!$BZ$6:$CB$63,2,FALSE),"")</f>
        <v/>
      </c>
      <c r="AA2998" s="45" t="str">
        <f>IFERROR(VLOOKUP(B2998,'Pre-Summary'!$CG$6:$CI$70,2,FALSE),"")</f>
        <v/>
      </c>
      <c r="AB2998" s="99">
        <f>IFERROR(VLOOKUP(B2998,'Pre-Summary'!$A$6:$P$178,9,FALSE),AB2999)</f>
        <v>0.68914361702057381</v>
      </c>
      <c r="AC2998" s="10">
        <f>IFERROR(VLOOKUP(Summary!B2998,'Pre-Summary'!$A$6:$P$184,5, FALSE)/100,AC2999)</f>
        <v>0.92963666666666656</v>
      </c>
      <c r="AD2998" s="10">
        <f>IFERROR(VLOOKUP(Summary!B2998,'Pre-Summary'!$A$6:$P$184,3, FALSE)/100,AD2999)</f>
        <v>3.8144666666666667E-2</v>
      </c>
      <c r="AE2998" s="10">
        <f>IFERROR(VLOOKUP(Summary!B2998,'Pre-Summary'!$A$6:$P$184,7, FALSE)/100,AE2999)</f>
        <v>3.2219333333333336E-2</v>
      </c>
      <c r="AF2998" s="99">
        <f t="shared" si="139"/>
        <v>2.6287153556710782E-2</v>
      </c>
      <c r="AG2998" s="99">
        <f t="shared" si="140"/>
        <v>2.2203747911324876E-2</v>
      </c>
      <c r="AH2998" s="10" t="str">
        <f>IFERROR(VLOOKUP(B2998,'Pre-Summary'!$AZ$6:$BE$65,3,FALSE),"")</f>
        <v/>
      </c>
      <c r="AI2998" s="10" t="str">
        <f>IFERROR(VLOOKUP(B2998,'Pre-Summary'!$AZ$6:$BE$65,5,FALSE),"")</f>
        <v/>
      </c>
      <c r="AJ2998" s="10" t="str">
        <f>IFERROR(VLOOKUP(B2998,'Pre-Summary'!$AZ$6:$BE$65,4,FALSE),"")</f>
        <v/>
      </c>
      <c r="AK2998" s="10" t="str">
        <f>IFERROR(VLOOKUP(B2998,'Pre-Summary'!$AZ$6:$BE$65,6,FALSE),"")</f>
        <v/>
      </c>
      <c r="AL2998" s="10" t="str">
        <f>IFERROR(VLOOKUP(B2998,'Pre-Summary'!$BG$6:$BL$44,3,FALSE),"")</f>
        <v/>
      </c>
      <c r="AM2998" s="10" t="str">
        <f>IFERROR(VLOOKUP(B2998,'Pre-Summary'!$BG$6:$BL$44,4,FALSE),"")</f>
        <v/>
      </c>
    </row>
    <row r="2999" spans="2:39" ht="15" customHeight="1" x14ac:dyDescent="0.3">
      <c r="B2999">
        <v>299.60000000000002</v>
      </c>
      <c r="C2999" t="str">
        <f>IFERROR(VLOOKUP(B2999,'Pre-Summary'!$DI$6:$DM$23,4,FALSE),"")</f>
        <v/>
      </c>
      <c r="D2999" s="10" t="str">
        <f>IFERROR(VLOOKUP(B2999,'Pre-Summary'!$AT$6:$AX$14,5,FALSE),D2998)</f>
        <v>Wolfe v3: went back to modified wolfe + EDTA and switched CuSO4 to CUCl2</v>
      </c>
      <c r="E2999" s="10" t="str">
        <f>IFERROR(VLOOKUP(B2999,'Pre-Summary'!$AT$6:$AX$15,4,FALSE),"")</f>
        <v/>
      </c>
      <c r="F2999">
        <f>IFERROR(VLOOKUP(B2999,'Pre-Summary'!$AL$6:$AQ$13,6,FALSE),F2998)</f>
        <v>5.9405263157894746E-2</v>
      </c>
      <c r="G2999" t="str">
        <f>IFERROR(VLOOKUP(B2999,'Pre-Summary'!$AE$6:$AJ$85,3,FALSE),"")</f>
        <v/>
      </c>
      <c r="H2999" t="str">
        <f>IFERROR(VLOOKUP(B2999,'Pre-Summary'!$AE$6:$AJ$85,4,FALSE),"")</f>
        <v/>
      </c>
      <c r="I2999" t="str">
        <f>IFERROR(VLOOKUP(B2999,'Pre-Summary'!$AE$6:$AJ$85,5,FALSE),"")</f>
        <v/>
      </c>
      <c r="J2999" s="45" t="str">
        <f>IFERROR(VLOOKUP(B2999,'Pre-Summary'!$AE$6:$AJ$85,6, FALSE),"")</f>
        <v/>
      </c>
      <c r="K2999" s="45" t="str">
        <f>IFERROR(VLOOKUP(B2999,'Pre-Summary'!$DE$6:$DG$61,3,FALSE),"")</f>
        <v/>
      </c>
      <c r="L2999" s="45" t="str">
        <f>IFERROR(VLOOKUP(B2999,'Pre-Summary'!$CU$6:$CW$36,3,FALSE),"")</f>
        <v/>
      </c>
      <c r="M2999" s="45" t="str">
        <f>IFERROR(VLOOKUP(B2999,'Pre-Summary'!$BW$6:$BY$58,2,FALSE),"")</f>
        <v/>
      </c>
      <c r="N2999" s="45" t="str">
        <f>IFERROR(VLOOKUP(B2999,'Pre-Summary'!$CD$6:$CF$64,2,FALSE),"")</f>
        <v/>
      </c>
      <c r="O2999" s="99">
        <f>IFERROR(VLOOKUP(B2999,'Pre-Summary'!$BO$6:$BQ$48,3, FALSE),O2998)</f>
        <v>2.77</v>
      </c>
      <c r="P2999" s="99">
        <f>IFERROR(VLOOKUP(B2999,'Pre-Summary'!$BS$6:$BU$35,3,FALSE),P2998)</f>
        <v>0.70099999999999996</v>
      </c>
      <c r="Q2999" s="54">
        <f t="shared" si="138"/>
        <v>3.9514978601997148</v>
      </c>
      <c r="R2999" s="53">
        <f>IFERROR(VLOOKUP(B2999,'Pre-Summary'!$BG$6:$BM$44,7,FALSE),R3000)</f>
        <v>0</v>
      </c>
      <c r="S2999" s="53" t="e">
        <f>VLOOKUP(B2999,'Pre-Summary'!$BG$6:$BM$44,6,FALSE)</f>
        <v>#N/A</v>
      </c>
      <c r="T2999" s="45" t="str">
        <f>IFERROR(VLOOKUP(B2999,'Pre-Summary'!$Y$6:$AC$83, 3,FALSE),"")</f>
        <v/>
      </c>
      <c r="U2999" s="45" t="str">
        <f>IFERROR(VLOOKUP(B2999,'Pre-Summary'!$Y$6:$AC$83, 4,FALSE),"")</f>
        <v/>
      </c>
      <c r="V2999" t="str">
        <f>IFERROR(VLOOKUP(B2999,'Pre-Summary'!$Y$6:$AC$83, 5,FALSE),"")</f>
        <v/>
      </c>
      <c r="W2999" s="45" t="str">
        <f>IFERROR(VLOOKUP(B2999,'Pre-Summary'!$Y$6:$AD$83,6,FALSE),"")</f>
        <v/>
      </c>
      <c r="X2999" t="str">
        <f>IFERROR(VLOOKUP('Pre-Summary'!$DB$6:$DD$63,3,FALSE),"")</f>
        <v/>
      </c>
      <c r="Y2999" t="str">
        <f>IFERROR(VLOOKUP(B2999,'Pre-Summary'!$CR$6:$CT$36,3,FALSE),"")</f>
        <v/>
      </c>
      <c r="Z2999" s="45" t="str">
        <f>IFERROR(VLOOKUP(B2999,'Pre-Summary'!$BZ$6:$CB$63,2,FALSE),"")</f>
        <v/>
      </c>
      <c r="AA2999" s="45" t="str">
        <f>IFERROR(VLOOKUP(B2999,'Pre-Summary'!$CG$6:$CI$70,2,FALSE),"")</f>
        <v/>
      </c>
      <c r="AB2999" s="99">
        <f>IFERROR(VLOOKUP(B2999,'Pre-Summary'!$A$6:$P$178,9,FALSE),AB3000)</f>
        <v>0.68914361702057381</v>
      </c>
      <c r="AC2999" s="10">
        <f>IFERROR(VLOOKUP(Summary!B2999,'Pre-Summary'!$A$6:$P$184,5, FALSE)/100,AC3000)</f>
        <v>0.92963666666666656</v>
      </c>
      <c r="AD2999" s="10">
        <f>IFERROR(VLOOKUP(Summary!B2999,'Pre-Summary'!$A$6:$P$184,3, FALSE)/100,AD3000)</f>
        <v>3.8144666666666667E-2</v>
      </c>
      <c r="AE2999" s="10">
        <f>IFERROR(VLOOKUP(Summary!B2999,'Pre-Summary'!$A$6:$P$184,7, FALSE)/100,AE3000)</f>
        <v>3.2219333333333336E-2</v>
      </c>
      <c r="AF2999" s="99">
        <f t="shared" si="139"/>
        <v>2.6287153556710782E-2</v>
      </c>
      <c r="AG2999" s="99">
        <f t="shared" si="140"/>
        <v>2.2203747911324876E-2</v>
      </c>
      <c r="AH2999" s="10" t="str">
        <f>IFERROR(VLOOKUP(B2999,'Pre-Summary'!$AZ$6:$BE$65,3,FALSE),"")</f>
        <v/>
      </c>
      <c r="AI2999" s="10" t="str">
        <f>IFERROR(VLOOKUP(B2999,'Pre-Summary'!$AZ$6:$BE$65,5,FALSE),"")</f>
        <v/>
      </c>
      <c r="AJ2999" s="10" t="str">
        <f>IFERROR(VLOOKUP(B2999,'Pre-Summary'!$AZ$6:$BE$65,4,FALSE),"")</f>
        <v/>
      </c>
      <c r="AK2999" s="10" t="str">
        <f>IFERROR(VLOOKUP(B2999,'Pre-Summary'!$AZ$6:$BE$65,6,FALSE),"")</f>
        <v/>
      </c>
      <c r="AL2999" s="10" t="str">
        <f>IFERROR(VLOOKUP(B2999,'Pre-Summary'!$BG$6:$BL$44,3,FALSE),"")</f>
        <v/>
      </c>
      <c r="AM2999" s="10" t="str">
        <f>IFERROR(VLOOKUP(B2999,'Pre-Summary'!$BG$6:$BL$44,4,FALSE),"")</f>
        <v/>
      </c>
    </row>
    <row r="3000" spans="2:39" ht="15" customHeight="1" x14ac:dyDescent="0.3">
      <c r="B3000">
        <v>299.7</v>
      </c>
      <c r="C3000" t="str">
        <f>IFERROR(VLOOKUP(B3000,'Pre-Summary'!$DI$6:$DM$23,4,FALSE),"")</f>
        <v/>
      </c>
      <c r="D3000" s="10" t="str">
        <f>IFERROR(VLOOKUP(B3000,'Pre-Summary'!$AT$6:$AX$14,5,FALSE),D2999)</f>
        <v>Wolfe v3: went back to modified wolfe + EDTA and switched CuSO4 to CUCl2</v>
      </c>
      <c r="E3000" s="10" t="str">
        <f>IFERROR(VLOOKUP(B3000,'Pre-Summary'!$AT$6:$AX$15,4,FALSE),"")</f>
        <v/>
      </c>
      <c r="F3000">
        <f>IFERROR(VLOOKUP(B3000,'Pre-Summary'!$AL$6:$AQ$13,6,FALSE),F2999)</f>
        <v>5.9405263157894746E-2</v>
      </c>
      <c r="G3000" t="str">
        <f>IFERROR(VLOOKUP(B3000,'Pre-Summary'!$AE$6:$AJ$85,3,FALSE),"")</f>
        <v/>
      </c>
      <c r="H3000" t="str">
        <f>IFERROR(VLOOKUP(B3000,'Pre-Summary'!$AE$6:$AJ$85,4,FALSE),"")</f>
        <v/>
      </c>
      <c r="I3000" t="str">
        <f>IFERROR(VLOOKUP(B3000,'Pre-Summary'!$AE$6:$AJ$85,5,FALSE),"")</f>
        <v/>
      </c>
      <c r="J3000" s="45" t="str">
        <f>IFERROR(VLOOKUP(B3000,'Pre-Summary'!$AE$6:$AJ$85,6, FALSE),"")</f>
        <v/>
      </c>
      <c r="K3000" s="45" t="str">
        <f>IFERROR(VLOOKUP(B3000,'Pre-Summary'!$DE$6:$DG$61,3,FALSE),"")</f>
        <v/>
      </c>
      <c r="L3000" s="45" t="str">
        <f>IFERROR(VLOOKUP(B3000,'Pre-Summary'!$CU$6:$CW$36,3,FALSE),"")</f>
        <v/>
      </c>
      <c r="M3000" s="45" t="str">
        <f>IFERROR(VLOOKUP(B3000,'Pre-Summary'!$BW$6:$BY$58,2,FALSE),"")</f>
        <v/>
      </c>
      <c r="N3000" s="45" t="str">
        <f>IFERROR(VLOOKUP(B3000,'Pre-Summary'!$CD$6:$CF$64,2,FALSE),"")</f>
        <v/>
      </c>
      <c r="O3000" s="99">
        <f>IFERROR(VLOOKUP(B3000,'Pre-Summary'!$BO$6:$BQ$48,3, FALSE),O2999)</f>
        <v>2.77</v>
      </c>
      <c r="P3000" s="99">
        <f>IFERROR(VLOOKUP(B3000,'Pre-Summary'!$BS$6:$BU$35,3,FALSE),P2999)</f>
        <v>0.70099999999999996</v>
      </c>
      <c r="Q3000" s="54">
        <f t="shared" si="138"/>
        <v>3.9514978601997148</v>
      </c>
      <c r="R3000" s="53">
        <f>IFERROR(VLOOKUP(B3000,'Pre-Summary'!$BG$6:$BM$44,7,FALSE),R3001)</f>
        <v>0</v>
      </c>
      <c r="S3000" s="53" t="e">
        <f>VLOOKUP(B3000,'Pre-Summary'!$BG$6:$BM$44,6,FALSE)</f>
        <v>#N/A</v>
      </c>
      <c r="T3000" s="45" t="str">
        <f>IFERROR(VLOOKUP(B3000,'Pre-Summary'!$Y$6:$AC$83, 3,FALSE),"")</f>
        <v/>
      </c>
      <c r="U3000" s="45" t="str">
        <f>IFERROR(VLOOKUP(B3000,'Pre-Summary'!$Y$6:$AC$83, 4,FALSE),"")</f>
        <v/>
      </c>
      <c r="V3000" t="str">
        <f>IFERROR(VLOOKUP(B3000,'Pre-Summary'!$Y$6:$AC$83, 5,FALSE),"")</f>
        <v/>
      </c>
      <c r="W3000" s="45" t="str">
        <f>IFERROR(VLOOKUP(B3000,'Pre-Summary'!$Y$6:$AD$83,6,FALSE),"")</f>
        <v/>
      </c>
      <c r="X3000" t="str">
        <f>IFERROR(VLOOKUP('Pre-Summary'!$DB$6:$DD$63,3,FALSE),"")</f>
        <v/>
      </c>
      <c r="Y3000" t="str">
        <f>IFERROR(VLOOKUP(B3000,'Pre-Summary'!$CR$6:$CT$36,3,FALSE),"")</f>
        <v/>
      </c>
      <c r="Z3000" s="45" t="str">
        <f>IFERROR(VLOOKUP(B3000,'Pre-Summary'!$BZ$6:$CB$63,2,FALSE),"")</f>
        <v/>
      </c>
      <c r="AA3000" s="45" t="str">
        <f>IFERROR(VLOOKUP(B3000,'Pre-Summary'!$CG$6:$CI$70,2,FALSE),"")</f>
        <v/>
      </c>
      <c r="AB3000" s="99">
        <f>IFERROR(VLOOKUP(B3000,'Pre-Summary'!$A$6:$P$178,9,FALSE),AB3001)</f>
        <v>0.68914361702057381</v>
      </c>
      <c r="AC3000" s="10">
        <f>IFERROR(VLOOKUP(Summary!B3000,'Pre-Summary'!$A$6:$P$184,5, FALSE)/100,AC3001)</f>
        <v>0.92963666666666656</v>
      </c>
      <c r="AD3000" s="10">
        <f>IFERROR(VLOOKUP(Summary!B3000,'Pre-Summary'!$A$6:$P$184,3, FALSE)/100,AD3001)</f>
        <v>3.8144666666666667E-2</v>
      </c>
      <c r="AE3000" s="10">
        <f>IFERROR(VLOOKUP(Summary!B3000,'Pre-Summary'!$A$6:$P$184,7, FALSE)/100,AE3001)</f>
        <v>3.2219333333333336E-2</v>
      </c>
      <c r="AF3000" s="99">
        <f t="shared" si="139"/>
        <v>2.6287153556710782E-2</v>
      </c>
      <c r="AG3000" s="99">
        <f t="shared" si="140"/>
        <v>2.2203747911324876E-2</v>
      </c>
      <c r="AH3000" s="10" t="str">
        <f>IFERROR(VLOOKUP(B3000,'Pre-Summary'!$AZ$6:$BE$65,3,FALSE),"")</f>
        <v/>
      </c>
      <c r="AI3000" s="10" t="str">
        <f>IFERROR(VLOOKUP(B3000,'Pre-Summary'!$AZ$6:$BE$65,5,FALSE),"")</f>
        <v/>
      </c>
      <c r="AJ3000" s="10" t="str">
        <f>IFERROR(VLOOKUP(B3000,'Pre-Summary'!$AZ$6:$BE$65,4,FALSE),"")</f>
        <v/>
      </c>
      <c r="AK3000" s="10" t="str">
        <f>IFERROR(VLOOKUP(B3000,'Pre-Summary'!$AZ$6:$BE$65,6,FALSE),"")</f>
        <v/>
      </c>
      <c r="AL3000" s="10" t="str">
        <f>IFERROR(VLOOKUP(B3000,'Pre-Summary'!$BG$6:$BL$44,3,FALSE),"")</f>
        <v/>
      </c>
      <c r="AM3000" s="10" t="str">
        <f>IFERROR(VLOOKUP(B3000,'Pre-Summary'!$BG$6:$BL$44,4,FALSE),"")</f>
        <v/>
      </c>
    </row>
    <row r="3001" spans="2:39" ht="15" customHeight="1" x14ac:dyDescent="0.3">
      <c r="B3001">
        <v>299.8</v>
      </c>
      <c r="C3001" t="str">
        <f>IFERROR(VLOOKUP(B3001,'Pre-Summary'!$DI$6:$DM$23,4,FALSE),"")</f>
        <v/>
      </c>
      <c r="D3001" s="10" t="str">
        <f>IFERROR(VLOOKUP(B3001,'Pre-Summary'!$AT$6:$AX$14,5,FALSE),D3000)</f>
        <v>Wolfe v3: went back to modified wolfe + EDTA and switched CuSO4 to CUCl2</v>
      </c>
      <c r="E3001" s="10" t="str">
        <f>IFERROR(VLOOKUP(B3001,'Pre-Summary'!$AT$6:$AX$15,4,FALSE),"")</f>
        <v/>
      </c>
      <c r="F3001">
        <f>IFERROR(VLOOKUP(B3001,'Pre-Summary'!$AL$6:$AQ$13,6,FALSE),F3000)</f>
        <v>5.9405263157894746E-2</v>
      </c>
      <c r="G3001" t="str">
        <f>IFERROR(VLOOKUP(B3001,'Pre-Summary'!$AE$6:$AJ$85,3,FALSE),"")</f>
        <v/>
      </c>
      <c r="H3001" t="str">
        <f>IFERROR(VLOOKUP(B3001,'Pre-Summary'!$AE$6:$AJ$85,4,FALSE),"")</f>
        <v/>
      </c>
      <c r="I3001" t="str">
        <f>IFERROR(VLOOKUP(B3001,'Pre-Summary'!$AE$6:$AJ$85,5,FALSE),"")</f>
        <v/>
      </c>
      <c r="J3001" s="45" t="str">
        <f>IFERROR(VLOOKUP(B3001,'Pre-Summary'!$AE$6:$AJ$85,6, FALSE),"")</f>
        <v/>
      </c>
      <c r="K3001" s="45">
        <f>IFERROR(VLOOKUP(B3001,'Pre-Summary'!$DE$6:$DG$61,3,FALSE),"")</f>
        <v>890</v>
      </c>
      <c r="L3001" s="45">
        <f>IFERROR(VLOOKUP(B3001,'Pre-Summary'!$CU$6:$CW$36,3,FALSE),"")</f>
        <v>272</v>
      </c>
      <c r="M3001" s="45" t="str">
        <f>IFERROR(VLOOKUP(B3001,'Pre-Summary'!$BW$6:$BY$58,2,FALSE),"")</f>
        <v/>
      </c>
      <c r="N3001" s="45" t="str">
        <f>IFERROR(VLOOKUP(B3001,'Pre-Summary'!$CD$6:$CF$64,2,FALSE),"")</f>
        <v/>
      </c>
      <c r="O3001" s="99">
        <f>IFERROR(VLOOKUP(B3001,'Pre-Summary'!$BO$6:$BQ$48,3, FALSE),O3000)</f>
        <v>2.77</v>
      </c>
      <c r="P3001" s="99">
        <f>IFERROR(VLOOKUP(B3001,'Pre-Summary'!$BS$6:$BU$35,3,FALSE),P3000)</f>
        <v>0.70099999999999996</v>
      </c>
      <c r="Q3001" s="54">
        <f t="shared" si="138"/>
        <v>3.9514978601997148</v>
      </c>
      <c r="R3001" s="53">
        <f>IFERROR(VLOOKUP(B3001,'Pre-Summary'!$BG$6:$BM$44,7,FALSE),R3002)</f>
        <v>0</v>
      </c>
      <c r="S3001" s="53" t="e">
        <f>VLOOKUP(B3001,'Pre-Summary'!$BG$6:$BM$44,6,FALSE)</f>
        <v>#N/A</v>
      </c>
      <c r="T3001" s="45" t="str">
        <f>IFERROR(VLOOKUP(B3001,'Pre-Summary'!$Y$6:$AC$83, 3,FALSE),"")</f>
        <v/>
      </c>
      <c r="U3001" s="45" t="str">
        <f>IFERROR(VLOOKUP(B3001,'Pre-Summary'!$Y$6:$AC$83, 4,FALSE),"")</f>
        <v/>
      </c>
      <c r="V3001" t="str">
        <f>IFERROR(VLOOKUP(B3001,'Pre-Summary'!$Y$6:$AC$83, 5,FALSE),"")</f>
        <v/>
      </c>
      <c r="W3001" s="45" t="str">
        <f>IFERROR(VLOOKUP(B3001,'Pre-Summary'!$Y$6:$AD$83,6,FALSE),"")</f>
        <v/>
      </c>
      <c r="X3001" t="str">
        <f>IFERROR(VLOOKUP('Pre-Summary'!$DB$6:$DD$63,3,FALSE),"")</f>
        <v/>
      </c>
      <c r="Y3001">
        <f>IFERROR(VLOOKUP(B3001,'Pre-Summary'!$CR$6:$CT$36,3,FALSE),"")</f>
        <v>264.2</v>
      </c>
      <c r="Z3001" s="45">
        <f>IFERROR(VLOOKUP(B3001,'Pre-Summary'!$BZ$6:$CB$63,2,FALSE),"")</f>
        <v>21.338372893992737</v>
      </c>
      <c r="AA3001" s="45">
        <f>IFERROR(VLOOKUP(B3001,'Pre-Summary'!$CG$6:$CI$70,2,FALSE),"")</f>
        <v>199.52038737886454</v>
      </c>
      <c r="AB3001" s="99">
        <f>IFERROR(VLOOKUP(B3001,'Pre-Summary'!$A$6:$P$178,9,FALSE),AB3002)</f>
        <v>0.68914361702057381</v>
      </c>
      <c r="AC3001" s="10">
        <f>IFERROR(VLOOKUP(Summary!B3001,'Pre-Summary'!$A$6:$P$184,5, FALSE)/100,AC3002)</f>
        <v>0.92963666666666656</v>
      </c>
      <c r="AD3001" s="10">
        <f>IFERROR(VLOOKUP(Summary!B3001,'Pre-Summary'!$A$6:$P$184,3, FALSE)/100,AD3002)</f>
        <v>3.8144666666666667E-2</v>
      </c>
      <c r="AE3001" s="10">
        <f>IFERROR(VLOOKUP(Summary!B3001,'Pre-Summary'!$A$6:$P$184,7, FALSE)/100,AE3002)</f>
        <v>3.2219333333333336E-2</v>
      </c>
      <c r="AF3001" s="99">
        <f t="shared" si="139"/>
        <v>2.6287153556710782E-2</v>
      </c>
      <c r="AG3001" s="99">
        <f t="shared" si="140"/>
        <v>2.2203747911324876E-2</v>
      </c>
      <c r="AH3001" s="10" t="str">
        <f>IFERROR(VLOOKUP(B3001,'Pre-Summary'!$AZ$6:$BE$65,3,FALSE),"")</f>
        <v/>
      </c>
      <c r="AI3001" s="10" t="str">
        <f>IFERROR(VLOOKUP(B3001,'Pre-Summary'!$AZ$6:$BE$65,5,FALSE),"")</f>
        <v/>
      </c>
      <c r="AJ3001" s="10" t="str">
        <f>IFERROR(VLOOKUP(B3001,'Pre-Summary'!$AZ$6:$BE$65,4,FALSE),"")</f>
        <v/>
      </c>
      <c r="AK3001" s="10" t="str">
        <f>IFERROR(VLOOKUP(B3001,'Pre-Summary'!$AZ$6:$BE$65,6,FALSE),"")</f>
        <v/>
      </c>
      <c r="AL3001" s="10" t="str">
        <f>IFERROR(VLOOKUP(B3001,'Pre-Summary'!$BG$6:$BL$44,3,FALSE),"")</f>
        <v/>
      </c>
      <c r="AM3001" s="10" t="str">
        <f>IFERROR(VLOOKUP(B3001,'Pre-Summary'!$BG$6:$BL$44,4,FALSE),"")</f>
        <v/>
      </c>
    </row>
    <row r="3002" spans="2:39" ht="15" customHeight="1" x14ac:dyDescent="0.3">
      <c r="B3002">
        <v>299.89999999999998</v>
      </c>
      <c r="C3002" t="str">
        <f>IFERROR(VLOOKUP(B3002,'Pre-Summary'!$DI$6:$DM$23,4,FALSE),"")</f>
        <v/>
      </c>
      <c r="D3002" s="10" t="str">
        <f>IFERROR(VLOOKUP(B3002,'Pre-Summary'!$AT$6:$AX$14,5,FALSE),D3001)</f>
        <v>Wolfe v3: went back to modified wolfe + EDTA and switched CuSO4 to CUCl2</v>
      </c>
      <c r="E3002" s="10" t="str">
        <f>IFERROR(VLOOKUP(B3002,'Pre-Summary'!$AT$6:$AX$15,4,FALSE),"")</f>
        <v/>
      </c>
      <c r="F3002">
        <f>IFERROR(VLOOKUP(B3002,'Pre-Summary'!$AL$6:$AQ$13,6,FALSE),F3001)</f>
        <v>5.9405263157894746E-2</v>
      </c>
      <c r="G3002" t="str">
        <f>IFERROR(VLOOKUP(B3002,'Pre-Summary'!$AE$6:$AJ$85,3,FALSE),"")</f>
        <v/>
      </c>
      <c r="H3002" t="str">
        <f>IFERROR(VLOOKUP(B3002,'Pre-Summary'!$AE$6:$AJ$85,4,FALSE),"")</f>
        <v/>
      </c>
      <c r="I3002" t="str">
        <f>IFERROR(VLOOKUP(B3002,'Pre-Summary'!$AE$6:$AJ$85,5,FALSE),"")</f>
        <v/>
      </c>
      <c r="J3002" s="45" t="str">
        <f>IFERROR(VLOOKUP(B3002,'Pre-Summary'!$AE$6:$AJ$85,6, FALSE),"")</f>
        <v/>
      </c>
      <c r="K3002" s="45" t="str">
        <f>IFERROR(VLOOKUP(B3002,'Pre-Summary'!$DE$6:$DG$61,3,FALSE),"")</f>
        <v/>
      </c>
      <c r="L3002" s="45" t="str">
        <f>IFERROR(VLOOKUP(B3002,'Pre-Summary'!$CU$6:$CW$36,3,FALSE),"")</f>
        <v/>
      </c>
      <c r="M3002" s="45" t="str">
        <f>IFERROR(VLOOKUP(B3002,'Pre-Summary'!$BW$6:$BY$58,2,FALSE),"")</f>
        <v/>
      </c>
      <c r="N3002" s="45" t="str">
        <f>IFERROR(VLOOKUP(B3002,'Pre-Summary'!$CD$6:$CF$64,2,FALSE),"")</f>
        <v/>
      </c>
      <c r="O3002" s="99">
        <f>IFERROR(VLOOKUP(B3002,'Pre-Summary'!$BO$6:$BQ$48,3, FALSE),O3001)</f>
        <v>2.77</v>
      </c>
      <c r="P3002" s="99">
        <f>IFERROR(VLOOKUP(B3002,'Pre-Summary'!$BS$6:$BU$35,3,FALSE),P3001)</f>
        <v>0.70099999999999996</v>
      </c>
      <c r="Q3002" s="54">
        <f t="shared" si="138"/>
        <v>3.9514978601997148</v>
      </c>
      <c r="R3002" s="53">
        <f>IFERROR(VLOOKUP(B3002,'Pre-Summary'!$BG$6:$BM$44,7,FALSE),R3003)</f>
        <v>0</v>
      </c>
      <c r="S3002" s="53" t="e">
        <f>VLOOKUP(B3002,'Pre-Summary'!$BG$6:$BM$44,6,FALSE)</f>
        <v>#N/A</v>
      </c>
      <c r="T3002" s="45" t="str">
        <f>IFERROR(VLOOKUP(B3002,'Pre-Summary'!$Y$6:$AC$83, 3,FALSE),"")</f>
        <v/>
      </c>
      <c r="U3002" s="45" t="str">
        <f>IFERROR(VLOOKUP(B3002,'Pre-Summary'!$Y$6:$AC$83, 4,FALSE),"")</f>
        <v/>
      </c>
      <c r="V3002" t="str">
        <f>IFERROR(VLOOKUP(B3002,'Pre-Summary'!$Y$6:$AC$83, 5,FALSE),"")</f>
        <v/>
      </c>
      <c r="W3002" s="45" t="str">
        <f>IFERROR(VLOOKUP(B3002,'Pre-Summary'!$Y$6:$AD$83,6,FALSE),"")</f>
        <v/>
      </c>
      <c r="X3002" t="str">
        <f>IFERROR(VLOOKUP('Pre-Summary'!$DB$6:$DD$63,3,FALSE),"")</f>
        <v/>
      </c>
      <c r="Y3002" t="str">
        <f>IFERROR(VLOOKUP(B3002,'Pre-Summary'!$CR$6:$CT$36,3,FALSE),"")</f>
        <v/>
      </c>
      <c r="Z3002" s="45" t="str">
        <f>IFERROR(VLOOKUP(B3002,'Pre-Summary'!$BZ$6:$CB$63,2,FALSE),"")</f>
        <v/>
      </c>
      <c r="AA3002" s="45" t="str">
        <f>IFERROR(VLOOKUP(B3002,'Pre-Summary'!$CG$6:$CI$70,2,FALSE),"")</f>
        <v/>
      </c>
      <c r="AB3002" s="99">
        <f>IFERROR(VLOOKUP(B3002,'Pre-Summary'!$A$6:$P$178,9,FALSE),AB3003)</f>
        <v>0.68914361702057381</v>
      </c>
      <c r="AC3002" s="10">
        <f>IFERROR(VLOOKUP(Summary!B3002,'Pre-Summary'!$A$6:$P$184,5, FALSE)/100,AC3003)</f>
        <v>0.92963666666666656</v>
      </c>
      <c r="AD3002" s="10">
        <f>IFERROR(VLOOKUP(Summary!B3002,'Pre-Summary'!$A$6:$P$184,3, FALSE)/100,AD3003)</f>
        <v>3.8144666666666667E-2</v>
      </c>
      <c r="AE3002" s="10">
        <f>IFERROR(VLOOKUP(Summary!B3002,'Pre-Summary'!$A$6:$P$184,7, FALSE)/100,AE3003)</f>
        <v>3.2219333333333336E-2</v>
      </c>
      <c r="AF3002" s="99">
        <f t="shared" si="139"/>
        <v>2.6287153556710782E-2</v>
      </c>
      <c r="AG3002" s="99">
        <f t="shared" si="140"/>
        <v>2.2203747911324876E-2</v>
      </c>
      <c r="AH3002" s="10" t="str">
        <f>IFERROR(VLOOKUP(B3002,'Pre-Summary'!$AZ$6:$BE$65,3,FALSE),"")</f>
        <v/>
      </c>
      <c r="AI3002" s="10" t="str">
        <f>IFERROR(VLOOKUP(B3002,'Pre-Summary'!$AZ$6:$BE$65,5,FALSE),"")</f>
        <v/>
      </c>
      <c r="AJ3002" s="10" t="str">
        <f>IFERROR(VLOOKUP(B3002,'Pre-Summary'!$AZ$6:$BE$65,4,FALSE),"")</f>
        <v/>
      </c>
      <c r="AK3002" s="10" t="str">
        <f>IFERROR(VLOOKUP(B3002,'Pre-Summary'!$AZ$6:$BE$65,6,FALSE),"")</f>
        <v/>
      </c>
      <c r="AL3002" s="10" t="str">
        <f>IFERROR(VLOOKUP(B3002,'Pre-Summary'!$BG$6:$BL$44,3,FALSE),"")</f>
        <v/>
      </c>
      <c r="AM3002" s="10" t="str">
        <f>IFERROR(VLOOKUP(B3002,'Pre-Summary'!$BG$6:$BL$44,4,FALSE),"")</f>
        <v/>
      </c>
    </row>
    <row r="3003" spans="2:39" ht="15" customHeight="1" x14ac:dyDescent="0.3">
      <c r="B3003">
        <v>300</v>
      </c>
      <c r="C3003" t="str">
        <f>IFERROR(VLOOKUP(B3003,'Pre-Summary'!$DI$6:$DM$23,4,FALSE),"")</f>
        <v/>
      </c>
      <c r="D3003" s="10" t="str">
        <f>IFERROR(VLOOKUP(B3003,'Pre-Summary'!$AT$6:$AX$14,5,FALSE),D3002)</f>
        <v>Wolfe v3: went back to modified wolfe + EDTA and switched CuSO4 to CUCl2</v>
      </c>
      <c r="E3003" s="10" t="str">
        <f>IFERROR(VLOOKUP(B3003,'Pre-Summary'!$AT$6:$AX$15,4,FALSE),"")</f>
        <v/>
      </c>
      <c r="F3003">
        <f>IFERROR(VLOOKUP(B3003,'Pre-Summary'!$AL$6:$AQ$13,6,FALSE),F3002)</f>
        <v>5.9405263157894746E-2</v>
      </c>
      <c r="G3003" t="str">
        <f>IFERROR(VLOOKUP(B3003,'Pre-Summary'!$AE$6:$AJ$85,3,FALSE),"")</f>
        <v/>
      </c>
      <c r="H3003" t="str">
        <f>IFERROR(VLOOKUP(B3003,'Pre-Summary'!$AE$6:$AJ$85,4,FALSE),"")</f>
        <v/>
      </c>
      <c r="I3003" t="str">
        <f>IFERROR(VLOOKUP(B3003,'Pre-Summary'!$AE$6:$AJ$85,5,FALSE),"")</f>
        <v/>
      </c>
      <c r="J3003" s="45" t="str">
        <f>IFERROR(VLOOKUP(B3003,'Pre-Summary'!$AE$6:$AJ$85,6, FALSE),"")</f>
        <v/>
      </c>
      <c r="K3003" s="45" t="str">
        <f>IFERROR(VLOOKUP(B3003,'Pre-Summary'!$DE$6:$DG$61,3,FALSE),"")</f>
        <v/>
      </c>
      <c r="L3003" s="45" t="str">
        <f>IFERROR(VLOOKUP(B3003,'Pre-Summary'!$CU$6:$CW$36,3,FALSE),"")</f>
        <v/>
      </c>
      <c r="M3003" s="45" t="str">
        <f>IFERROR(VLOOKUP(B3003,'Pre-Summary'!$BW$6:$BY$58,2,FALSE),"")</f>
        <v/>
      </c>
      <c r="N3003" s="45" t="str">
        <f>IFERROR(VLOOKUP(B3003,'Pre-Summary'!$CD$6:$CF$64,2,FALSE),"")</f>
        <v/>
      </c>
      <c r="O3003" s="99">
        <f>IFERROR(VLOOKUP(B3003,'Pre-Summary'!$BO$6:$BQ$48,3, FALSE),O3002)</f>
        <v>2.77</v>
      </c>
      <c r="P3003" s="99">
        <f>IFERROR(VLOOKUP(B3003,'Pre-Summary'!$BS$6:$BU$35,3,FALSE),P3002)</f>
        <v>0.70099999999999996</v>
      </c>
      <c r="Q3003" s="54">
        <f t="shared" si="138"/>
        <v>3.9514978601997148</v>
      </c>
      <c r="R3003" s="53">
        <f>IFERROR(VLOOKUP(B3003,'Pre-Summary'!$BG$6:$BM$44,7,FALSE),R3004)</f>
        <v>0</v>
      </c>
      <c r="S3003" s="53" t="e">
        <f>VLOOKUP(B3003,'Pre-Summary'!$BG$6:$BM$44,6,FALSE)</f>
        <v>#N/A</v>
      </c>
      <c r="T3003" s="45" t="str">
        <f>IFERROR(VLOOKUP(B3003,'Pre-Summary'!$Y$6:$AC$83, 3,FALSE),"")</f>
        <v/>
      </c>
      <c r="U3003" s="45" t="str">
        <f>IFERROR(VLOOKUP(B3003,'Pre-Summary'!$Y$6:$AC$83, 4,FALSE),"")</f>
        <v/>
      </c>
      <c r="V3003" t="str">
        <f>IFERROR(VLOOKUP(B3003,'Pre-Summary'!$Y$6:$AC$83, 5,FALSE),"")</f>
        <v/>
      </c>
      <c r="W3003" s="45" t="str">
        <f>IFERROR(VLOOKUP(B3003,'Pre-Summary'!$Y$6:$AD$83,6,FALSE),"")</f>
        <v/>
      </c>
      <c r="X3003" t="str">
        <f>IFERROR(VLOOKUP('Pre-Summary'!$DB$6:$DD$63,3,FALSE),"")</f>
        <v/>
      </c>
      <c r="Y3003" t="str">
        <f>IFERROR(VLOOKUP(B3003,'Pre-Summary'!$CR$6:$CT$36,3,FALSE),"")</f>
        <v/>
      </c>
      <c r="Z3003" s="45" t="str">
        <f>IFERROR(VLOOKUP(B3003,'Pre-Summary'!$BZ$6:$CB$63,2,FALSE),"")</f>
        <v/>
      </c>
      <c r="AA3003" s="45" t="str">
        <f>IFERROR(VLOOKUP(B3003,'Pre-Summary'!$CG$6:$CI$70,2,FALSE),"")</f>
        <v/>
      </c>
      <c r="AB3003" s="99">
        <f>IFERROR(VLOOKUP(B3003,'Pre-Summary'!$A$6:$P$178,9,FALSE),AB3004)</f>
        <v>0.68914361702057381</v>
      </c>
      <c r="AC3003" s="10">
        <f>IFERROR(VLOOKUP(Summary!B3003,'Pre-Summary'!$A$6:$P$184,5, FALSE)/100,AC3004)</f>
        <v>0.92963666666666656</v>
      </c>
      <c r="AD3003" s="10">
        <f>IFERROR(VLOOKUP(Summary!B3003,'Pre-Summary'!$A$6:$P$184,3, FALSE)/100,AD3004)</f>
        <v>3.8144666666666667E-2</v>
      </c>
      <c r="AE3003" s="10">
        <f>IFERROR(VLOOKUP(Summary!B3003,'Pre-Summary'!$A$6:$P$184,7, FALSE)/100,AE3004)</f>
        <v>3.2219333333333336E-2</v>
      </c>
      <c r="AF3003" s="99">
        <f t="shared" si="139"/>
        <v>2.6287153556710782E-2</v>
      </c>
      <c r="AG3003" s="99">
        <f t="shared" si="140"/>
        <v>2.2203747911324876E-2</v>
      </c>
      <c r="AH3003" s="10" t="str">
        <f>IFERROR(VLOOKUP(B3003,'Pre-Summary'!$AZ$6:$BE$65,3,FALSE),"")</f>
        <v/>
      </c>
      <c r="AI3003" s="10" t="str">
        <f>IFERROR(VLOOKUP(B3003,'Pre-Summary'!$AZ$6:$BE$65,5,FALSE),"")</f>
        <v/>
      </c>
      <c r="AJ3003" s="10" t="str">
        <f>IFERROR(VLOOKUP(B3003,'Pre-Summary'!$AZ$6:$BE$65,4,FALSE),"")</f>
        <v/>
      </c>
      <c r="AK3003" s="10" t="str">
        <f>IFERROR(VLOOKUP(B3003,'Pre-Summary'!$AZ$6:$BE$65,6,FALSE),"")</f>
        <v/>
      </c>
      <c r="AL3003" s="10" t="str">
        <f>IFERROR(VLOOKUP(B3003,'Pre-Summary'!$BG$6:$BL$44,3,FALSE),"")</f>
        <v/>
      </c>
      <c r="AM3003" s="10" t="str">
        <f>IFERROR(VLOOKUP(B3003,'Pre-Summary'!$BG$6:$BL$44,4,FALSE),"")</f>
        <v/>
      </c>
    </row>
    <row r="3004" spans="2:39" ht="15" customHeight="1" x14ac:dyDescent="0.3">
      <c r="B3004">
        <v>300.10000000000002</v>
      </c>
      <c r="C3004" t="str">
        <f>IFERROR(VLOOKUP(B3004,'Pre-Summary'!$DI$6:$DM$23,4,FALSE),"")</f>
        <v/>
      </c>
      <c r="D3004" s="10" t="str">
        <f>IFERROR(VLOOKUP(B3004,'Pre-Summary'!$AT$6:$AX$14,5,FALSE),D3003)</f>
        <v>Wolfe v3: went back to modified wolfe + EDTA and switched CuSO4 to CUCl2</v>
      </c>
      <c r="E3004" s="10" t="str">
        <f>IFERROR(VLOOKUP(B3004,'Pre-Summary'!$AT$6:$AX$15,4,FALSE),"")</f>
        <v/>
      </c>
      <c r="F3004">
        <f>IFERROR(VLOOKUP(B3004,'Pre-Summary'!$AL$6:$AQ$13,6,FALSE),F3003)</f>
        <v>5.9405263157894746E-2</v>
      </c>
      <c r="G3004" t="str">
        <f>IFERROR(VLOOKUP(B3004,'Pre-Summary'!$AE$6:$AJ$85,3,FALSE),"")</f>
        <v/>
      </c>
      <c r="H3004" t="str">
        <f>IFERROR(VLOOKUP(B3004,'Pre-Summary'!$AE$6:$AJ$85,4,FALSE),"")</f>
        <v/>
      </c>
      <c r="I3004" t="str">
        <f>IFERROR(VLOOKUP(B3004,'Pre-Summary'!$AE$6:$AJ$85,5,FALSE),"")</f>
        <v/>
      </c>
      <c r="J3004" s="45" t="str">
        <f>IFERROR(VLOOKUP(B3004,'Pre-Summary'!$AE$6:$AJ$85,6, FALSE),"")</f>
        <v/>
      </c>
      <c r="K3004" s="45" t="str">
        <f>IFERROR(VLOOKUP(B3004,'Pre-Summary'!$DE$6:$DG$61,3,FALSE),"")</f>
        <v/>
      </c>
      <c r="L3004" s="45" t="str">
        <f>IFERROR(VLOOKUP(B3004,'Pre-Summary'!$CU$6:$CW$36,3,FALSE),"")</f>
        <v/>
      </c>
      <c r="M3004" s="45" t="str">
        <f>IFERROR(VLOOKUP(B3004,'Pre-Summary'!$BW$6:$BY$58,2,FALSE),"")</f>
        <v/>
      </c>
      <c r="N3004" s="45" t="str">
        <f>IFERROR(VLOOKUP(B3004,'Pre-Summary'!$CD$6:$CF$64,2,FALSE),"")</f>
        <v/>
      </c>
      <c r="O3004" s="99">
        <f>IFERROR(VLOOKUP(B3004,'Pre-Summary'!$BO$6:$BQ$48,3, FALSE),O3003)</f>
        <v>2.77</v>
      </c>
      <c r="P3004" s="99">
        <f>IFERROR(VLOOKUP(B3004,'Pre-Summary'!$BS$6:$BU$35,3,FALSE),P3003)</f>
        <v>0.70099999999999996</v>
      </c>
      <c r="Q3004" s="54">
        <f t="shared" si="138"/>
        <v>3.9514978601997148</v>
      </c>
      <c r="R3004" s="53">
        <f>IFERROR(VLOOKUP(B3004,'Pre-Summary'!$BG$6:$BM$44,7,FALSE),R3005)</f>
        <v>0</v>
      </c>
      <c r="S3004" s="53" t="e">
        <f>VLOOKUP(B3004,'Pre-Summary'!$BG$6:$BM$44,6,FALSE)</f>
        <v>#N/A</v>
      </c>
      <c r="T3004" s="45" t="str">
        <f>IFERROR(VLOOKUP(B3004,'Pre-Summary'!$Y$6:$AC$83, 3,FALSE),"")</f>
        <v/>
      </c>
      <c r="U3004" s="45" t="str">
        <f>IFERROR(VLOOKUP(B3004,'Pre-Summary'!$Y$6:$AC$83, 4,FALSE),"")</f>
        <v/>
      </c>
      <c r="V3004" t="str">
        <f>IFERROR(VLOOKUP(B3004,'Pre-Summary'!$Y$6:$AC$83, 5,FALSE),"")</f>
        <v/>
      </c>
      <c r="W3004" s="45" t="str">
        <f>IFERROR(VLOOKUP(B3004,'Pre-Summary'!$Y$6:$AD$83,6,FALSE),"")</f>
        <v/>
      </c>
      <c r="X3004" t="str">
        <f>IFERROR(VLOOKUP('Pre-Summary'!$DB$6:$DD$63,3,FALSE),"")</f>
        <v/>
      </c>
      <c r="Y3004" t="str">
        <f>IFERROR(VLOOKUP(B3004,'Pre-Summary'!$CR$6:$CT$36,3,FALSE),"")</f>
        <v/>
      </c>
      <c r="Z3004" s="45" t="str">
        <f>IFERROR(VLOOKUP(B3004,'Pre-Summary'!$BZ$6:$CB$63,2,FALSE),"")</f>
        <v/>
      </c>
      <c r="AA3004" s="45" t="str">
        <f>IFERROR(VLOOKUP(B3004,'Pre-Summary'!$CG$6:$CI$70,2,FALSE),"")</f>
        <v/>
      </c>
      <c r="AB3004" s="99">
        <f>IFERROR(VLOOKUP(B3004,'Pre-Summary'!$A$6:$P$178,9,FALSE),AB3005)</f>
        <v>0.68914361702057381</v>
      </c>
      <c r="AC3004" s="10">
        <f>IFERROR(VLOOKUP(Summary!B3004,'Pre-Summary'!$A$6:$P$184,5, FALSE)/100,AC3005)</f>
        <v>0.92963666666666656</v>
      </c>
      <c r="AD3004" s="10">
        <f>IFERROR(VLOOKUP(Summary!B3004,'Pre-Summary'!$A$6:$P$184,3, FALSE)/100,AD3005)</f>
        <v>3.8144666666666667E-2</v>
      </c>
      <c r="AE3004" s="10">
        <f>IFERROR(VLOOKUP(Summary!B3004,'Pre-Summary'!$A$6:$P$184,7, FALSE)/100,AE3005)</f>
        <v>3.2219333333333336E-2</v>
      </c>
      <c r="AF3004" s="99">
        <f t="shared" si="139"/>
        <v>2.6287153556710782E-2</v>
      </c>
      <c r="AG3004" s="99">
        <f t="shared" si="140"/>
        <v>2.2203747911324876E-2</v>
      </c>
      <c r="AH3004" s="10" t="str">
        <f>IFERROR(VLOOKUP(B3004,'Pre-Summary'!$AZ$6:$BE$65,3,FALSE),"")</f>
        <v/>
      </c>
      <c r="AI3004" s="10" t="str">
        <f>IFERROR(VLOOKUP(B3004,'Pre-Summary'!$AZ$6:$BE$65,5,FALSE),"")</f>
        <v/>
      </c>
      <c r="AJ3004" s="10" t="str">
        <f>IFERROR(VLOOKUP(B3004,'Pre-Summary'!$AZ$6:$BE$65,4,FALSE),"")</f>
        <v/>
      </c>
      <c r="AK3004" s="10" t="str">
        <f>IFERROR(VLOOKUP(B3004,'Pre-Summary'!$AZ$6:$BE$65,6,FALSE),"")</f>
        <v/>
      </c>
      <c r="AL3004" s="10" t="str">
        <f>IFERROR(VLOOKUP(B3004,'Pre-Summary'!$BG$6:$BL$44,3,FALSE),"")</f>
        <v/>
      </c>
      <c r="AM3004" s="10" t="str">
        <f>IFERROR(VLOOKUP(B3004,'Pre-Summary'!$BG$6:$BL$44,4,FALSE),"")</f>
        <v/>
      </c>
    </row>
    <row r="3005" spans="2:39" ht="15" customHeight="1" x14ac:dyDescent="0.3">
      <c r="B3005">
        <v>300.2</v>
      </c>
      <c r="C3005" t="str">
        <f>IFERROR(VLOOKUP(B3005,'Pre-Summary'!$DI$6:$DM$23,4,FALSE),"")</f>
        <v/>
      </c>
      <c r="D3005" s="10" t="str">
        <f>IFERROR(VLOOKUP(B3005,'Pre-Summary'!$AT$6:$AX$14,5,FALSE),D3004)</f>
        <v>Wolfe v3: went back to modified wolfe + EDTA and switched CuSO4 to CUCl2</v>
      </c>
      <c r="E3005" s="10" t="str">
        <f>IFERROR(VLOOKUP(B3005,'Pre-Summary'!$AT$6:$AX$15,4,FALSE),"")</f>
        <v/>
      </c>
      <c r="F3005">
        <f>IFERROR(VLOOKUP(B3005,'Pre-Summary'!$AL$6:$AQ$13,6,FALSE),F3004)</f>
        <v>5.9405263157894746E-2</v>
      </c>
      <c r="G3005" t="str">
        <f>IFERROR(VLOOKUP(B3005,'Pre-Summary'!$AE$6:$AJ$85,3,FALSE),"")</f>
        <v/>
      </c>
      <c r="H3005" t="str">
        <f>IFERROR(VLOOKUP(B3005,'Pre-Summary'!$AE$6:$AJ$85,4,FALSE),"")</f>
        <v/>
      </c>
      <c r="I3005" t="str">
        <f>IFERROR(VLOOKUP(B3005,'Pre-Summary'!$AE$6:$AJ$85,5,FALSE),"")</f>
        <v/>
      </c>
      <c r="J3005" s="45" t="str">
        <f>IFERROR(VLOOKUP(B3005,'Pre-Summary'!$AE$6:$AJ$85,6, FALSE),"")</f>
        <v/>
      </c>
      <c r="K3005" s="45" t="str">
        <f>IFERROR(VLOOKUP(B3005,'Pre-Summary'!$DE$6:$DG$61,3,FALSE),"")</f>
        <v/>
      </c>
      <c r="L3005" s="45" t="str">
        <f>IFERROR(VLOOKUP(B3005,'Pre-Summary'!$CU$6:$CW$36,3,FALSE),"")</f>
        <v/>
      </c>
      <c r="M3005" s="45" t="str">
        <f>IFERROR(VLOOKUP(B3005,'Pre-Summary'!$BW$6:$BY$58,2,FALSE),"")</f>
        <v/>
      </c>
      <c r="N3005" s="45" t="str">
        <f>IFERROR(VLOOKUP(B3005,'Pre-Summary'!$CD$6:$CF$64,2,FALSE),"")</f>
        <v/>
      </c>
      <c r="O3005" s="99">
        <f>IFERROR(VLOOKUP(B3005,'Pre-Summary'!$BO$6:$BQ$48,3, FALSE),O3004)</f>
        <v>2.77</v>
      </c>
      <c r="P3005" s="99">
        <f>IFERROR(VLOOKUP(B3005,'Pre-Summary'!$BS$6:$BU$35,3,FALSE),P3004)</f>
        <v>0.70099999999999996</v>
      </c>
      <c r="Q3005" s="54">
        <f t="shared" si="138"/>
        <v>3.9514978601997148</v>
      </c>
      <c r="R3005" s="53">
        <f>IFERROR(VLOOKUP(B3005,'Pre-Summary'!$BG$6:$BM$44,7,FALSE),R3006)</f>
        <v>0</v>
      </c>
      <c r="S3005" s="53" t="e">
        <f>VLOOKUP(B3005,'Pre-Summary'!$BG$6:$BM$44,6,FALSE)</f>
        <v>#N/A</v>
      </c>
      <c r="T3005" s="45" t="str">
        <f>IFERROR(VLOOKUP(B3005,'Pre-Summary'!$Y$6:$AC$83, 3,FALSE),"")</f>
        <v/>
      </c>
      <c r="U3005" s="45" t="str">
        <f>IFERROR(VLOOKUP(B3005,'Pre-Summary'!$Y$6:$AC$83, 4,FALSE),"")</f>
        <v/>
      </c>
      <c r="V3005" t="str">
        <f>IFERROR(VLOOKUP(B3005,'Pre-Summary'!$Y$6:$AC$83, 5,FALSE),"")</f>
        <v/>
      </c>
      <c r="W3005" s="45" t="str">
        <f>IFERROR(VLOOKUP(B3005,'Pre-Summary'!$Y$6:$AD$83,6,FALSE),"")</f>
        <v/>
      </c>
      <c r="X3005" t="str">
        <f>IFERROR(VLOOKUP('Pre-Summary'!$DB$6:$DD$63,3,FALSE),"")</f>
        <v/>
      </c>
      <c r="Y3005" t="str">
        <f>IFERROR(VLOOKUP(B3005,'Pre-Summary'!$CR$6:$CT$36,3,FALSE),"")</f>
        <v/>
      </c>
      <c r="Z3005" s="45" t="str">
        <f>IFERROR(VLOOKUP(B3005,'Pre-Summary'!$BZ$6:$CB$63,2,FALSE),"")</f>
        <v/>
      </c>
      <c r="AA3005" s="45" t="str">
        <f>IFERROR(VLOOKUP(B3005,'Pre-Summary'!$CG$6:$CI$70,2,FALSE),"")</f>
        <v/>
      </c>
      <c r="AB3005" s="99">
        <f>IFERROR(VLOOKUP(B3005,'Pre-Summary'!$A$6:$P$178,9,FALSE),AB3006)</f>
        <v>0.68914361702057381</v>
      </c>
      <c r="AC3005" s="10">
        <f>IFERROR(VLOOKUP(Summary!B3005,'Pre-Summary'!$A$6:$P$184,5, FALSE)/100,AC3006)</f>
        <v>0.92963666666666656</v>
      </c>
      <c r="AD3005" s="10">
        <f>IFERROR(VLOOKUP(Summary!B3005,'Pre-Summary'!$A$6:$P$184,3, FALSE)/100,AD3006)</f>
        <v>3.8144666666666667E-2</v>
      </c>
      <c r="AE3005" s="10">
        <f>IFERROR(VLOOKUP(Summary!B3005,'Pre-Summary'!$A$6:$P$184,7, FALSE)/100,AE3006)</f>
        <v>3.2219333333333336E-2</v>
      </c>
      <c r="AF3005" s="99">
        <f t="shared" si="139"/>
        <v>2.6287153556710782E-2</v>
      </c>
      <c r="AG3005" s="99">
        <f t="shared" si="140"/>
        <v>2.2203747911324876E-2</v>
      </c>
      <c r="AH3005" s="10" t="str">
        <f>IFERROR(VLOOKUP(B3005,'Pre-Summary'!$AZ$6:$BE$65,3,FALSE),"")</f>
        <v/>
      </c>
      <c r="AI3005" s="10" t="str">
        <f>IFERROR(VLOOKUP(B3005,'Pre-Summary'!$AZ$6:$BE$65,5,FALSE),"")</f>
        <v/>
      </c>
      <c r="AJ3005" s="10" t="str">
        <f>IFERROR(VLOOKUP(B3005,'Pre-Summary'!$AZ$6:$BE$65,4,FALSE),"")</f>
        <v/>
      </c>
      <c r="AK3005" s="10" t="str">
        <f>IFERROR(VLOOKUP(B3005,'Pre-Summary'!$AZ$6:$BE$65,6,FALSE),"")</f>
        <v/>
      </c>
      <c r="AL3005" s="10" t="str">
        <f>IFERROR(VLOOKUP(B3005,'Pre-Summary'!$BG$6:$BL$44,3,FALSE),"")</f>
        <v/>
      </c>
      <c r="AM3005" s="10" t="str">
        <f>IFERROR(VLOOKUP(B3005,'Pre-Summary'!$BG$6:$BL$44,4,FALSE),"")</f>
        <v/>
      </c>
    </row>
    <row r="3006" spans="2:39" ht="15" customHeight="1" x14ac:dyDescent="0.3">
      <c r="B3006">
        <v>300.3</v>
      </c>
      <c r="C3006" t="str">
        <f>IFERROR(VLOOKUP(B3006,'Pre-Summary'!$DI$6:$DM$23,4,FALSE),"")</f>
        <v/>
      </c>
      <c r="D3006" s="10" t="str">
        <f>IFERROR(VLOOKUP(B3006,'Pre-Summary'!$AT$6:$AX$14,5,FALSE),D3005)</f>
        <v>Wolfe v3: went back to modified wolfe + EDTA and switched CuSO4 to CUCl2</v>
      </c>
      <c r="E3006" s="10" t="str">
        <f>IFERROR(VLOOKUP(B3006,'Pre-Summary'!$AT$6:$AX$15,4,FALSE),"")</f>
        <v/>
      </c>
      <c r="F3006">
        <f>IFERROR(VLOOKUP(B3006,'Pre-Summary'!$AL$6:$AQ$13,6,FALSE),F3005)</f>
        <v>5.9405263157894746E-2</v>
      </c>
      <c r="G3006" t="str">
        <f>IFERROR(VLOOKUP(B3006,'Pre-Summary'!$AE$6:$AJ$85,3,FALSE),"")</f>
        <v/>
      </c>
      <c r="H3006" t="str">
        <f>IFERROR(VLOOKUP(B3006,'Pre-Summary'!$AE$6:$AJ$85,4,FALSE),"")</f>
        <v/>
      </c>
      <c r="I3006" t="str">
        <f>IFERROR(VLOOKUP(B3006,'Pre-Summary'!$AE$6:$AJ$85,5,FALSE),"")</f>
        <v/>
      </c>
      <c r="J3006" s="45" t="str">
        <f>IFERROR(VLOOKUP(B3006,'Pre-Summary'!$AE$6:$AJ$85,6, FALSE),"")</f>
        <v/>
      </c>
      <c r="K3006" s="45" t="str">
        <f>IFERROR(VLOOKUP(B3006,'Pre-Summary'!$DE$6:$DG$61,3,FALSE),"")</f>
        <v/>
      </c>
      <c r="L3006" s="45" t="str">
        <f>IFERROR(VLOOKUP(B3006,'Pre-Summary'!$CU$6:$CW$36,3,FALSE),"")</f>
        <v/>
      </c>
      <c r="M3006" s="45" t="str">
        <f>IFERROR(VLOOKUP(B3006,'Pre-Summary'!$BW$6:$BY$58,2,FALSE),"")</f>
        <v/>
      </c>
      <c r="N3006" s="45" t="str">
        <f>IFERROR(VLOOKUP(B3006,'Pre-Summary'!$CD$6:$CF$64,2,FALSE),"")</f>
        <v/>
      </c>
      <c r="O3006" s="99">
        <f>IFERROR(VLOOKUP(B3006,'Pre-Summary'!$BO$6:$BQ$48,3, FALSE),O3005)</f>
        <v>2.77</v>
      </c>
      <c r="P3006" s="99">
        <f>IFERROR(VLOOKUP(B3006,'Pre-Summary'!$BS$6:$BU$35,3,FALSE),P3005)</f>
        <v>0.70099999999999996</v>
      </c>
      <c r="Q3006" s="54">
        <f t="shared" si="138"/>
        <v>3.9514978601997148</v>
      </c>
      <c r="R3006" s="53">
        <f>IFERROR(VLOOKUP(B3006,'Pre-Summary'!$BG$6:$BM$44,7,FALSE),R3007)</f>
        <v>0</v>
      </c>
      <c r="S3006" s="53" t="e">
        <f>VLOOKUP(B3006,'Pre-Summary'!$BG$6:$BM$44,6,FALSE)</f>
        <v>#N/A</v>
      </c>
      <c r="T3006" s="45" t="str">
        <f>IFERROR(VLOOKUP(B3006,'Pre-Summary'!$Y$6:$AC$83, 3,FALSE),"")</f>
        <v/>
      </c>
      <c r="U3006" s="45" t="str">
        <f>IFERROR(VLOOKUP(B3006,'Pre-Summary'!$Y$6:$AC$83, 4,FALSE),"")</f>
        <v/>
      </c>
      <c r="V3006" t="str">
        <f>IFERROR(VLOOKUP(B3006,'Pre-Summary'!$Y$6:$AC$83, 5,FALSE),"")</f>
        <v/>
      </c>
      <c r="W3006" s="45" t="str">
        <f>IFERROR(VLOOKUP(B3006,'Pre-Summary'!$Y$6:$AD$83,6,FALSE),"")</f>
        <v/>
      </c>
      <c r="X3006" t="str">
        <f>IFERROR(VLOOKUP('Pre-Summary'!$DB$6:$DD$63,3,FALSE),"")</f>
        <v/>
      </c>
      <c r="Y3006" t="str">
        <f>IFERROR(VLOOKUP(B3006,'Pre-Summary'!$CR$6:$CT$36,3,FALSE),"")</f>
        <v/>
      </c>
      <c r="Z3006" s="45" t="str">
        <f>IFERROR(VLOOKUP(B3006,'Pre-Summary'!$BZ$6:$CB$63,2,FALSE),"")</f>
        <v/>
      </c>
      <c r="AA3006" s="45" t="str">
        <f>IFERROR(VLOOKUP(B3006,'Pre-Summary'!$CG$6:$CI$70,2,FALSE),"")</f>
        <v/>
      </c>
      <c r="AB3006" s="99">
        <f>IFERROR(VLOOKUP(B3006,'Pre-Summary'!$A$6:$P$178,9,FALSE),AB3007)</f>
        <v>0.68914361702057381</v>
      </c>
      <c r="AC3006" s="10">
        <f>IFERROR(VLOOKUP(Summary!B3006,'Pre-Summary'!$A$6:$P$184,5, FALSE)/100,AC3007)</f>
        <v>0.92963666666666656</v>
      </c>
      <c r="AD3006" s="10">
        <f>IFERROR(VLOOKUP(Summary!B3006,'Pre-Summary'!$A$6:$P$184,3, FALSE)/100,AD3007)</f>
        <v>3.8144666666666667E-2</v>
      </c>
      <c r="AE3006" s="10">
        <f>IFERROR(VLOOKUP(Summary!B3006,'Pre-Summary'!$A$6:$P$184,7, FALSE)/100,AE3007)</f>
        <v>3.2219333333333336E-2</v>
      </c>
      <c r="AF3006" s="99">
        <f t="shared" si="139"/>
        <v>2.6287153556710782E-2</v>
      </c>
      <c r="AG3006" s="99">
        <f t="shared" si="140"/>
        <v>2.2203747911324876E-2</v>
      </c>
      <c r="AH3006" s="10" t="str">
        <f>IFERROR(VLOOKUP(B3006,'Pre-Summary'!$AZ$6:$BE$65,3,FALSE),"")</f>
        <v/>
      </c>
      <c r="AI3006" s="10" t="str">
        <f>IFERROR(VLOOKUP(B3006,'Pre-Summary'!$AZ$6:$BE$65,5,FALSE),"")</f>
        <v/>
      </c>
      <c r="AJ3006" s="10" t="str">
        <f>IFERROR(VLOOKUP(B3006,'Pre-Summary'!$AZ$6:$BE$65,4,FALSE),"")</f>
        <v/>
      </c>
      <c r="AK3006" s="10" t="str">
        <f>IFERROR(VLOOKUP(B3006,'Pre-Summary'!$AZ$6:$BE$65,6,FALSE),"")</f>
        <v/>
      </c>
      <c r="AL3006" s="10" t="str">
        <f>IFERROR(VLOOKUP(B3006,'Pre-Summary'!$BG$6:$BL$44,3,FALSE),"")</f>
        <v/>
      </c>
      <c r="AM3006" s="10" t="str">
        <f>IFERROR(VLOOKUP(B3006,'Pre-Summary'!$BG$6:$BL$44,4,FALSE),"")</f>
        <v/>
      </c>
    </row>
    <row r="3007" spans="2:39" ht="15" customHeight="1" x14ac:dyDescent="0.3">
      <c r="B3007">
        <v>300.39999999999998</v>
      </c>
      <c r="C3007" t="str">
        <f>IFERROR(VLOOKUP(B3007,'Pre-Summary'!$DI$6:$DM$23,4,FALSE),"")</f>
        <v/>
      </c>
      <c r="D3007" s="10" t="str">
        <f>IFERROR(VLOOKUP(B3007,'Pre-Summary'!$AT$6:$AX$14,5,FALSE),D3006)</f>
        <v>Wolfe v3: went back to modified wolfe + EDTA and switched CuSO4 to CUCl2</v>
      </c>
      <c r="E3007" s="10" t="str">
        <f>IFERROR(VLOOKUP(B3007,'Pre-Summary'!$AT$6:$AX$15,4,FALSE),"")</f>
        <v/>
      </c>
      <c r="F3007">
        <f>IFERROR(VLOOKUP(B3007,'Pre-Summary'!$AL$6:$AQ$13,6,FALSE),F3006)</f>
        <v>5.9405263157894746E-2</v>
      </c>
      <c r="G3007" t="str">
        <f>IFERROR(VLOOKUP(B3007,'Pre-Summary'!$AE$6:$AJ$85,3,FALSE),"")</f>
        <v/>
      </c>
      <c r="H3007" t="str">
        <f>IFERROR(VLOOKUP(B3007,'Pre-Summary'!$AE$6:$AJ$85,4,FALSE),"")</f>
        <v/>
      </c>
      <c r="I3007" t="str">
        <f>IFERROR(VLOOKUP(B3007,'Pre-Summary'!$AE$6:$AJ$85,5,FALSE),"")</f>
        <v/>
      </c>
      <c r="J3007" s="45" t="str">
        <f>IFERROR(VLOOKUP(B3007,'Pre-Summary'!$AE$6:$AJ$85,6, FALSE),"")</f>
        <v/>
      </c>
      <c r="K3007" s="45" t="str">
        <f>IFERROR(VLOOKUP(B3007,'Pre-Summary'!$DE$6:$DG$61,3,FALSE),"")</f>
        <v/>
      </c>
      <c r="L3007" s="45" t="str">
        <f>IFERROR(VLOOKUP(B3007,'Pre-Summary'!$CU$6:$CW$36,3,FALSE),"")</f>
        <v/>
      </c>
      <c r="M3007" s="45" t="str">
        <f>IFERROR(VLOOKUP(B3007,'Pre-Summary'!$BW$6:$BY$58,2,FALSE),"")</f>
        <v/>
      </c>
      <c r="N3007" s="45" t="str">
        <f>IFERROR(VLOOKUP(B3007,'Pre-Summary'!$CD$6:$CF$64,2,FALSE),"")</f>
        <v/>
      </c>
      <c r="O3007" s="99">
        <f>IFERROR(VLOOKUP(B3007,'Pre-Summary'!$BO$6:$BQ$48,3, FALSE),O3006)</f>
        <v>2.77</v>
      </c>
      <c r="P3007" s="99">
        <f>IFERROR(VLOOKUP(B3007,'Pre-Summary'!$BS$6:$BU$35,3,FALSE),P3006)</f>
        <v>0.70099999999999996</v>
      </c>
      <c r="Q3007" s="54">
        <f t="shared" si="138"/>
        <v>3.9514978601997148</v>
      </c>
      <c r="R3007" s="53">
        <f>IFERROR(VLOOKUP(B3007,'Pre-Summary'!$BG$6:$BM$44,7,FALSE),R3008)</f>
        <v>0</v>
      </c>
      <c r="S3007" s="53" t="e">
        <f>VLOOKUP(B3007,'Pre-Summary'!$BG$6:$BM$44,6,FALSE)</f>
        <v>#N/A</v>
      </c>
      <c r="T3007" s="45" t="str">
        <f>IFERROR(VLOOKUP(B3007,'Pre-Summary'!$Y$6:$AC$83, 3,FALSE),"")</f>
        <v/>
      </c>
      <c r="U3007" s="45" t="str">
        <f>IFERROR(VLOOKUP(B3007,'Pre-Summary'!$Y$6:$AC$83, 4,FALSE),"")</f>
        <v/>
      </c>
      <c r="V3007" t="str">
        <f>IFERROR(VLOOKUP(B3007,'Pre-Summary'!$Y$6:$AC$83, 5,FALSE),"")</f>
        <v/>
      </c>
      <c r="W3007" s="45" t="str">
        <f>IFERROR(VLOOKUP(B3007,'Pre-Summary'!$Y$6:$AD$83,6,FALSE),"")</f>
        <v/>
      </c>
      <c r="X3007" t="str">
        <f>IFERROR(VLOOKUP('Pre-Summary'!$DB$6:$DD$63,3,FALSE),"")</f>
        <v/>
      </c>
      <c r="Y3007" t="str">
        <f>IFERROR(VLOOKUP(B3007,'Pre-Summary'!$CR$6:$CT$36,3,FALSE),"")</f>
        <v/>
      </c>
      <c r="Z3007" s="45" t="str">
        <f>IFERROR(VLOOKUP(B3007,'Pre-Summary'!$BZ$6:$CB$63,2,FALSE),"")</f>
        <v/>
      </c>
      <c r="AA3007" s="45" t="str">
        <f>IFERROR(VLOOKUP(B3007,'Pre-Summary'!$CG$6:$CI$70,2,FALSE),"")</f>
        <v/>
      </c>
      <c r="AB3007" s="99">
        <f>IFERROR(VLOOKUP(B3007,'Pre-Summary'!$A$6:$P$178,9,FALSE),AB3008)</f>
        <v>0.68914361702057381</v>
      </c>
      <c r="AC3007" s="10">
        <f>IFERROR(VLOOKUP(Summary!B3007,'Pre-Summary'!$A$6:$P$184,5, FALSE)/100,AC3008)</f>
        <v>0.92963666666666656</v>
      </c>
      <c r="AD3007" s="10">
        <f>IFERROR(VLOOKUP(Summary!B3007,'Pre-Summary'!$A$6:$P$184,3, FALSE)/100,AD3008)</f>
        <v>3.8144666666666667E-2</v>
      </c>
      <c r="AE3007" s="10">
        <f>IFERROR(VLOOKUP(Summary!B3007,'Pre-Summary'!$A$6:$P$184,7, FALSE)/100,AE3008)</f>
        <v>3.2219333333333336E-2</v>
      </c>
      <c r="AF3007" s="99">
        <f t="shared" si="139"/>
        <v>2.6287153556710782E-2</v>
      </c>
      <c r="AG3007" s="99">
        <f t="shared" si="140"/>
        <v>2.2203747911324876E-2</v>
      </c>
      <c r="AH3007" s="10" t="str">
        <f>IFERROR(VLOOKUP(B3007,'Pre-Summary'!$AZ$6:$BE$65,3,FALSE),"")</f>
        <v/>
      </c>
      <c r="AI3007" s="10" t="str">
        <f>IFERROR(VLOOKUP(B3007,'Pre-Summary'!$AZ$6:$BE$65,5,FALSE),"")</f>
        <v/>
      </c>
      <c r="AJ3007" s="10" t="str">
        <f>IFERROR(VLOOKUP(B3007,'Pre-Summary'!$AZ$6:$BE$65,4,FALSE),"")</f>
        <v/>
      </c>
      <c r="AK3007" s="10" t="str">
        <f>IFERROR(VLOOKUP(B3007,'Pre-Summary'!$AZ$6:$BE$65,6,FALSE),"")</f>
        <v/>
      </c>
      <c r="AL3007" s="10" t="str">
        <f>IFERROR(VLOOKUP(B3007,'Pre-Summary'!$BG$6:$BL$44,3,FALSE),"")</f>
        <v/>
      </c>
      <c r="AM3007" s="10" t="str">
        <f>IFERROR(VLOOKUP(B3007,'Pre-Summary'!$BG$6:$BL$44,4,FALSE),"")</f>
        <v/>
      </c>
    </row>
    <row r="3008" spans="2:39" ht="15" customHeight="1" x14ac:dyDescent="0.3">
      <c r="B3008">
        <v>300.5</v>
      </c>
      <c r="C3008" t="str">
        <f>IFERROR(VLOOKUP(B3008,'Pre-Summary'!$DI$6:$DM$23,4,FALSE),"")</f>
        <v/>
      </c>
      <c r="D3008" s="10" t="str">
        <f>IFERROR(VLOOKUP(B3008,'Pre-Summary'!$AT$6:$AX$14,5,FALSE),D3007)</f>
        <v>Wolfe v3: went back to modified wolfe + EDTA and switched CuSO4 to CUCl2</v>
      </c>
      <c r="E3008" s="10" t="str">
        <f>IFERROR(VLOOKUP(B3008,'Pre-Summary'!$AT$6:$AX$15,4,FALSE),"")</f>
        <v/>
      </c>
      <c r="F3008">
        <f>IFERROR(VLOOKUP(B3008,'Pre-Summary'!$AL$6:$AQ$13,6,FALSE),F3007)</f>
        <v>5.9405263157894746E-2</v>
      </c>
      <c r="G3008" t="str">
        <f>IFERROR(VLOOKUP(B3008,'Pre-Summary'!$AE$6:$AJ$85,3,FALSE),"")</f>
        <v/>
      </c>
      <c r="H3008" t="str">
        <f>IFERROR(VLOOKUP(B3008,'Pre-Summary'!$AE$6:$AJ$85,4,FALSE),"")</f>
        <v/>
      </c>
      <c r="I3008" t="str">
        <f>IFERROR(VLOOKUP(B3008,'Pre-Summary'!$AE$6:$AJ$85,5,FALSE),"")</f>
        <v/>
      </c>
      <c r="J3008" s="45" t="str">
        <f>IFERROR(VLOOKUP(B3008,'Pre-Summary'!$AE$6:$AJ$85,6, FALSE),"")</f>
        <v/>
      </c>
      <c r="K3008" s="45" t="str">
        <f>IFERROR(VLOOKUP(B3008,'Pre-Summary'!$DE$6:$DG$61,3,FALSE),"")</f>
        <v/>
      </c>
      <c r="L3008" s="45" t="str">
        <f>IFERROR(VLOOKUP(B3008,'Pre-Summary'!$CU$6:$CW$36,3,FALSE),"")</f>
        <v/>
      </c>
      <c r="M3008" s="45" t="str">
        <f>IFERROR(VLOOKUP(B3008,'Pre-Summary'!$BW$6:$BY$58,2,FALSE),"")</f>
        <v/>
      </c>
      <c r="N3008" s="45" t="str">
        <f>IFERROR(VLOOKUP(B3008,'Pre-Summary'!$CD$6:$CF$64,2,FALSE),"")</f>
        <v/>
      </c>
      <c r="O3008" s="99">
        <f>IFERROR(VLOOKUP(B3008,'Pre-Summary'!$BO$6:$BQ$48,3, FALSE),O3007)</f>
        <v>2.77</v>
      </c>
      <c r="P3008" s="99">
        <f>IFERROR(VLOOKUP(B3008,'Pre-Summary'!$BS$6:$BU$35,3,FALSE),P3007)</f>
        <v>0.70099999999999996</v>
      </c>
      <c r="Q3008" s="54">
        <f t="shared" si="138"/>
        <v>3.9514978601997148</v>
      </c>
      <c r="R3008" s="53">
        <f>IFERROR(VLOOKUP(B3008,'Pre-Summary'!$BG$6:$BM$44,7,FALSE),R3009)</f>
        <v>0</v>
      </c>
      <c r="S3008" s="53" t="e">
        <f>VLOOKUP(B3008,'Pre-Summary'!$BG$6:$BM$44,6,FALSE)</f>
        <v>#N/A</v>
      </c>
      <c r="T3008" s="45" t="str">
        <f>IFERROR(VLOOKUP(B3008,'Pre-Summary'!$Y$6:$AC$83, 3,FALSE),"")</f>
        <v/>
      </c>
      <c r="U3008" s="45" t="str">
        <f>IFERROR(VLOOKUP(B3008,'Pre-Summary'!$Y$6:$AC$83, 4,FALSE),"")</f>
        <v/>
      </c>
      <c r="V3008" t="str">
        <f>IFERROR(VLOOKUP(B3008,'Pre-Summary'!$Y$6:$AC$83, 5,FALSE),"")</f>
        <v/>
      </c>
      <c r="W3008" s="45" t="str">
        <f>IFERROR(VLOOKUP(B3008,'Pre-Summary'!$Y$6:$AD$83,6,FALSE),"")</f>
        <v/>
      </c>
      <c r="X3008" t="str">
        <f>IFERROR(VLOOKUP('Pre-Summary'!$DB$6:$DD$63,3,FALSE),"")</f>
        <v/>
      </c>
      <c r="Y3008" t="str">
        <f>IFERROR(VLOOKUP(B3008,'Pre-Summary'!$CR$6:$CT$36,3,FALSE),"")</f>
        <v/>
      </c>
      <c r="Z3008" s="45" t="str">
        <f>IFERROR(VLOOKUP(B3008,'Pre-Summary'!$BZ$6:$CB$63,2,FALSE),"")</f>
        <v/>
      </c>
      <c r="AA3008" s="45" t="str">
        <f>IFERROR(VLOOKUP(B3008,'Pre-Summary'!$CG$6:$CI$70,2,FALSE),"")</f>
        <v/>
      </c>
      <c r="AB3008" s="99">
        <f>IFERROR(VLOOKUP(B3008,'Pre-Summary'!$A$6:$P$178,9,FALSE),AB3009)</f>
        <v>0.68914361702057381</v>
      </c>
      <c r="AC3008" s="10">
        <f>IFERROR(VLOOKUP(Summary!B3008,'Pre-Summary'!$A$6:$P$184,5, FALSE)/100,AC3009)</f>
        <v>0.92963666666666656</v>
      </c>
      <c r="AD3008" s="10">
        <f>IFERROR(VLOOKUP(Summary!B3008,'Pre-Summary'!$A$6:$P$184,3, FALSE)/100,AD3009)</f>
        <v>3.8144666666666667E-2</v>
      </c>
      <c r="AE3008" s="10">
        <f>IFERROR(VLOOKUP(Summary!B3008,'Pre-Summary'!$A$6:$P$184,7, FALSE)/100,AE3009)</f>
        <v>3.2219333333333336E-2</v>
      </c>
      <c r="AF3008" s="99">
        <f t="shared" si="139"/>
        <v>2.6287153556710782E-2</v>
      </c>
      <c r="AG3008" s="99">
        <f t="shared" si="140"/>
        <v>2.2203747911324876E-2</v>
      </c>
      <c r="AH3008" s="10" t="str">
        <f>IFERROR(VLOOKUP(B3008,'Pre-Summary'!$AZ$6:$BE$65,3,FALSE),"")</f>
        <v/>
      </c>
      <c r="AI3008" s="10" t="str">
        <f>IFERROR(VLOOKUP(B3008,'Pre-Summary'!$AZ$6:$BE$65,5,FALSE),"")</f>
        <v/>
      </c>
      <c r="AJ3008" s="10" t="str">
        <f>IFERROR(VLOOKUP(B3008,'Pre-Summary'!$AZ$6:$BE$65,4,FALSE),"")</f>
        <v/>
      </c>
      <c r="AK3008" s="10" t="str">
        <f>IFERROR(VLOOKUP(B3008,'Pre-Summary'!$AZ$6:$BE$65,6,FALSE),"")</f>
        <v/>
      </c>
      <c r="AL3008" s="10" t="str">
        <f>IFERROR(VLOOKUP(B3008,'Pre-Summary'!$BG$6:$BL$44,3,FALSE),"")</f>
        <v/>
      </c>
      <c r="AM3008" s="10" t="str">
        <f>IFERROR(VLOOKUP(B3008,'Pre-Summary'!$BG$6:$BL$44,4,FALSE),"")</f>
        <v/>
      </c>
    </row>
    <row r="3009" spans="2:39" ht="15" customHeight="1" x14ac:dyDescent="0.3">
      <c r="B3009">
        <v>300.60000000000002</v>
      </c>
      <c r="C3009" t="str">
        <f>IFERROR(VLOOKUP(B3009,'Pre-Summary'!$DI$6:$DM$23,4,FALSE),"")</f>
        <v/>
      </c>
      <c r="D3009" s="10" t="str">
        <f>IFERROR(VLOOKUP(B3009,'Pre-Summary'!$AT$6:$AX$14,5,FALSE),D3008)</f>
        <v>Wolfe v3: went back to modified wolfe + EDTA and switched CuSO4 to CUCl2</v>
      </c>
      <c r="E3009" s="10" t="str">
        <f>IFERROR(VLOOKUP(B3009,'Pre-Summary'!$AT$6:$AX$15,4,FALSE),"")</f>
        <v/>
      </c>
      <c r="F3009">
        <f>IFERROR(VLOOKUP(B3009,'Pre-Summary'!$AL$6:$AQ$13,6,FALSE),F3008)</f>
        <v>5.9405263157894746E-2</v>
      </c>
      <c r="G3009" t="str">
        <f>IFERROR(VLOOKUP(B3009,'Pre-Summary'!$AE$6:$AJ$85,3,FALSE),"")</f>
        <v/>
      </c>
      <c r="H3009" t="str">
        <f>IFERROR(VLOOKUP(B3009,'Pre-Summary'!$AE$6:$AJ$85,4,FALSE),"")</f>
        <v/>
      </c>
      <c r="I3009" t="str">
        <f>IFERROR(VLOOKUP(B3009,'Pre-Summary'!$AE$6:$AJ$85,5,FALSE),"")</f>
        <v/>
      </c>
      <c r="J3009" s="45" t="str">
        <f>IFERROR(VLOOKUP(B3009,'Pre-Summary'!$AE$6:$AJ$85,6, FALSE),"")</f>
        <v/>
      </c>
      <c r="K3009" s="45" t="str">
        <f>IFERROR(VLOOKUP(B3009,'Pre-Summary'!$DE$6:$DG$61,3,FALSE),"")</f>
        <v/>
      </c>
      <c r="L3009" s="45" t="str">
        <f>IFERROR(VLOOKUP(B3009,'Pre-Summary'!$CU$6:$CW$36,3,FALSE),"")</f>
        <v/>
      </c>
      <c r="M3009" s="45" t="str">
        <f>IFERROR(VLOOKUP(B3009,'Pre-Summary'!$BW$6:$BY$58,2,FALSE),"")</f>
        <v/>
      </c>
      <c r="N3009" s="45" t="str">
        <f>IFERROR(VLOOKUP(B3009,'Pre-Summary'!$CD$6:$CF$64,2,FALSE),"")</f>
        <v/>
      </c>
      <c r="O3009" s="99">
        <f>IFERROR(VLOOKUP(B3009,'Pre-Summary'!$BO$6:$BQ$48,3, FALSE),O3008)</f>
        <v>2.77</v>
      </c>
      <c r="P3009" s="99">
        <f>IFERROR(VLOOKUP(B3009,'Pre-Summary'!$BS$6:$BU$35,3,FALSE),P3008)</f>
        <v>0.70099999999999996</v>
      </c>
      <c r="Q3009" s="54">
        <f t="shared" si="138"/>
        <v>3.9514978601997148</v>
      </c>
      <c r="R3009" s="53">
        <f>IFERROR(VLOOKUP(B3009,'Pre-Summary'!$BG$6:$BM$44,7,FALSE),R3010)</f>
        <v>0</v>
      </c>
      <c r="S3009" s="53" t="e">
        <f>VLOOKUP(B3009,'Pre-Summary'!$BG$6:$BM$44,6,FALSE)</f>
        <v>#N/A</v>
      </c>
      <c r="T3009" s="45" t="str">
        <f>IFERROR(VLOOKUP(B3009,'Pre-Summary'!$Y$6:$AC$83, 3,FALSE),"")</f>
        <v/>
      </c>
      <c r="U3009" s="45" t="str">
        <f>IFERROR(VLOOKUP(B3009,'Pre-Summary'!$Y$6:$AC$83, 4,FALSE),"")</f>
        <v/>
      </c>
      <c r="V3009" t="str">
        <f>IFERROR(VLOOKUP(B3009,'Pre-Summary'!$Y$6:$AC$83, 5,FALSE),"")</f>
        <v/>
      </c>
      <c r="W3009" s="45" t="str">
        <f>IFERROR(VLOOKUP(B3009,'Pre-Summary'!$Y$6:$AD$83,6,FALSE),"")</f>
        <v/>
      </c>
      <c r="X3009" t="str">
        <f>IFERROR(VLOOKUP('Pre-Summary'!$DB$6:$DD$63,3,FALSE),"")</f>
        <v/>
      </c>
      <c r="Y3009" t="str">
        <f>IFERROR(VLOOKUP(B3009,'Pre-Summary'!$CR$6:$CT$36,3,FALSE),"")</f>
        <v/>
      </c>
      <c r="Z3009" s="45" t="str">
        <f>IFERROR(VLOOKUP(B3009,'Pre-Summary'!$BZ$6:$CB$63,2,FALSE),"")</f>
        <v/>
      </c>
      <c r="AA3009" s="45" t="str">
        <f>IFERROR(VLOOKUP(B3009,'Pre-Summary'!$CG$6:$CI$70,2,FALSE),"")</f>
        <v/>
      </c>
      <c r="AB3009" s="99">
        <f>IFERROR(VLOOKUP(B3009,'Pre-Summary'!$A$6:$P$178,9,FALSE),AB3010)</f>
        <v>0.68914361702057381</v>
      </c>
      <c r="AC3009" s="10">
        <f>IFERROR(VLOOKUP(Summary!B3009,'Pre-Summary'!$A$6:$P$184,5, FALSE)/100,AC3010)</f>
        <v>0.92963666666666656</v>
      </c>
      <c r="AD3009" s="10">
        <f>IFERROR(VLOOKUP(Summary!B3009,'Pre-Summary'!$A$6:$P$184,3, FALSE)/100,AD3010)</f>
        <v>3.8144666666666667E-2</v>
      </c>
      <c r="AE3009" s="10">
        <f>IFERROR(VLOOKUP(Summary!B3009,'Pre-Summary'!$A$6:$P$184,7, FALSE)/100,AE3010)</f>
        <v>3.2219333333333336E-2</v>
      </c>
      <c r="AF3009" s="99">
        <f t="shared" si="139"/>
        <v>2.6287153556710782E-2</v>
      </c>
      <c r="AG3009" s="99">
        <f t="shared" si="140"/>
        <v>2.2203747911324876E-2</v>
      </c>
      <c r="AH3009" s="10" t="str">
        <f>IFERROR(VLOOKUP(B3009,'Pre-Summary'!$AZ$6:$BE$65,3,FALSE),"")</f>
        <v/>
      </c>
      <c r="AI3009" s="10" t="str">
        <f>IFERROR(VLOOKUP(B3009,'Pre-Summary'!$AZ$6:$BE$65,5,FALSE),"")</f>
        <v/>
      </c>
      <c r="AJ3009" s="10" t="str">
        <f>IFERROR(VLOOKUP(B3009,'Pre-Summary'!$AZ$6:$BE$65,4,FALSE),"")</f>
        <v/>
      </c>
      <c r="AK3009" s="10" t="str">
        <f>IFERROR(VLOOKUP(B3009,'Pre-Summary'!$AZ$6:$BE$65,6,FALSE),"")</f>
        <v/>
      </c>
      <c r="AL3009" s="10" t="str">
        <f>IFERROR(VLOOKUP(B3009,'Pre-Summary'!$BG$6:$BL$44,3,FALSE),"")</f>
        <v/>
      </c>
      <c r="AM3009" s="10" t="str">
        <f>IFERROR(VLOOKUP(B3009,'Pre-Summary'!$BG$6:$BL$44,4,FALSE),"")</f>
        <v/>
      </c>
    </row>
    <row r="3010" spans="2:39" ht="15" customHeight="1" x14ac:dyDescent="0.3">
      <c r="B3010">
        <v>300.7</v>
      </c>
      <c r="C3010" t="str">
        <f>IFERROR(VLOOKUP(B3010,'Pre-Summary'!$DI$6:$DM$23,4,FALSE),"")</f>
        <v/>
      </c>
      <c r="D3010" s="10" t="str">
        <f>IFERROR(VLOOKUP(B3010,'Pre-Summary'!$AT$6:$AX$14,5,FALSE),D3009)</f>
        <v>Wolfe v3: went back to modified wolfe + EDTA and switched CuSO4 to CUCl2</v>
      </c>
      <c r="E3010" s="10" t="str">
        <f>IFERROR(VLOOKUP(B3010,'Pre-Summary'!$AT$6:$AX$15,4,FALSE),"")</f>
        <v/>
      </c>
      <c r="F3010">
        <f>IFERROR(VLOOKUP(B3010,'Pre-Summary'!$AL$6:$AQ$13,6,FALSE),F3009)</f>
        <v>5.9405263157894746E-2</v>
      </c>
      <c r="G3010" t="str">
        <f>IFERROR(VLOOKUP(B3010,'Pre-Summary'!$AE$6:$AJ$85,3,FALSE),"")</f>
        <v/>
      </c>
      <c r="H3010" t="str">
        <f>IFERROR(VLOOKUP(B3010,'Pre-Summary'!$AE$6:$AJ$85,4,FALSE),"")</f>
        <v/>
      </c>
      <c r="I3010" t="str">
        <f>IFERROR(VLOOKUP(B3010,'Pre-Summary'!$AE$6:$AJ$85,5,FALSE),"")</f>
        <v/>
      </c>
      <c r="J3010" s="45" t="str">
        <f>IFERROR(VLOOKUP(B3010,'Pre-Summary'!$AE$6:$AJ$85,6, FALSE),"")</f>
        <v/>
      </c>
      <c r="K3010" s="45" t="str">
        <f>IFERROR(VLOOKUP(B3010,'Pre-Summary'!$DE$6:$DG$61,3,FALSE),"")</f>
        <v/>
      </c>
      <c r="L3010" s="45" t="str">
        <f>IFERROR(VLOOKUP(B3010,'Pre-Summary'!$CU$6:$CW$36,3,FALSE),"")</f>
        <v/>
      </c>
      <c r="M3010" s="45" t="str">
        <f>IFERROR(VLOOKUP(B3010,'Pre-Summary'!$BW$6:$BY$58,2,FALSE),"")</f>
        <v/>
      </c>
      <c r="N3010" s="45" t="str">
        <f>IFERROR(VLOOKUP(B3010,'Pre-Summary'!$CD$6:$CF$64,2,FALSE),"")</f>
        <v/>
      </c>
      <c r="O3010" s="99">
        <f>IFERROR(VLOOKUP(B3010,'Pre-Summary'!$BO$6:$BQ$48,3, FALSE),O3009)</f>
        <v>2.77</v>
      </c>
      <c r="P3010" s="99">
        <f>IFERROR(VLOOKUP(B3010,'Pre-Summary'!$BS$6:$BU$35,3,FALSE),P3009)</f>
        <v>0.70099999999999996</v>
      </c>
      <c r="Q3010" s="54">
        <f t="shared" si="138"/>
        <v>3.9514978601997148</v>
      </c>
      <c r="R3010" s="53">
        <f>IFERROR(VLOOKUP(B3010,'Pre-Summary'!$BG$6:$BM$44,7,FALSE),R3011)</f>
        <v>0</v>
      </c>
      <c r="S3010" s="53" t="e">
        <f>VLOOKUP(B3010,'Pre-Summary'!$BG$6:$BM$44,6,FALSE)</f>
        <v>#N/A</v>
      </c>
      <c r="T3010" s="45" t="str">
        <f>IFERROR(VLOOKUP(B3010,'Pre-Summary'!$Y$6:$AC$83, 3,FALSE),"")</f>
        <v/>
      </c>
      <c r="U3010" s="45" t="str">
        <f>IFERROR(VLOOKUP(B3010,'Pre-Summary'!$Y$6:$AC$83, 4,FALSE),"")</f>
        <v/>
      </c>
      <c r="V3010" t="str">
        <f>IFERROR(VLOOKUP(B3010,'Pre-Summary'!$Y$6:$AC$83, 5,FALSE),"")</f>
        <v/>
      </c>
      <c r="W3010" s="45" t="str">
        <f>IFERROR(VLOOKUP(B3010,'Pre-Summary'!$Y$6:$AD$83,6,FALSE),"")</f>
        <v/>
      </c>
      <c r="X3010" t="str">
        <f>IFERROR(VLOOKUP('Pre-Summary'!$DB$6:$DD$63,3,FALSE),"")</f>
        <v/>
      </c>
      <c r="Y3010" t="str">
        <f>IFERROR(VLOOKUP(B3010,'Pre-Summary'!$CR$6:$CT$36,3,FALSE),"")</f>
        <v/>
      </c>
      <c r="Z3010" s="45" t="str">
        <f>IFERROR(VLOOKUP(B3010,'Pre-Summary'!$BZ$6:$CB$63,2,FALSE),"")</f>
        <v/>
      </c>
      <c r="AA3010" s="45" t="str">
        <f>IFERROR(VLOOKUP(B3010,'Pre-Summary'!$CG$6:$CI$70,2,FALSE),"")</f>
        <v/>
      </c>
      <c r="AB3010" s="99">
        <f>IFERROR(VLOOKUP(B3010,'Pre-Summary'!$A$6:$P$178,9,FALSE),AB3011)</f>
        <v>0.68914361702057381</v>
      </c>
      <c r="AC3010" s="10">
        <f>IFERROR(VLOOKUP(Summary!B3010,'Pre-Summary'!$A$6:$P$184,5, FALSE)/100,AC3011)</f>
        <v>0.92963666666666656</v>
      </c>
      <c r="AD3010" s="10">
        <f>IFERROR(VLOOKUP(Summary!B3010,'Pre-Summary'!$A$6:$P$184,3, FALSE)/100,AD3011)</f>
        <v>3.8144666666666667E-2</v>
      </c>
      <c r="AE3010" s="10">
        <f>IFERROR(VLOOKUP(Summary!B3010,'Pre-Summary'!$A$6:$P$184,7, FALSE)/100,AE3011)</f>
        <v>3.2219333333333336E-2</v>
      </c>
      <c r="AF3010" s="99">
        <f t="shared" si="139"/>
        <v>2.6287153556710782E-2</v>
      </c>
      <c r="AG3010" s="99">
        <f t="shared" si="140"/>
        <v>2.2203747911324876E-2</v>
      </c>
      <c r="AH3010" s="10" t="str">
        <f>IFERROR(VLOOKUP(B3010,'Pre-Summary'!$AZ$6:$BE$65,3,FALSE),"")</f>
        <v/>
      </c>
      <c r="AI3010" s="10" t="str">
        <f>IFERROR(VLOOKUP(B3010,'Pre-Summary'!$AZ$6:$BE$65,5,FALSE),"")</f>
        <v/>
      </c>
      <c r="AJ3010" s="10" t="str">
        <f>IFERROR(VLOOKUP(B3010,'Pre-Summary'!$AZ$6:$BE$65,4,FALSE),"")</f>
        <v/>
      </c>
      <c r="AK3010" s="10" t="str">
        <f>IFERROR(VLOOKUP(B3010,'Pre-Summary'!$AZ$6:$BE$65,6,FALSE),"")</f>
        <v/>
      </c>
      <c r="AL3010" s="10" t="str">
        <f>IFERROR(VLOOKUP(B3010,'Pre-Summary'!$BG$6:$BL$44,3,FALSE),"")</f>
        <v/>
      </c>
      <c r="AM3010" s="10" t="str">
        <f>IFERROR(VLOOKUP(B3010,'Pre-Summary'!$BG$6:$BL$44,4,FALSE),"")</f>
        <v/>
      </c>
    </row>
    <row r="3011" spans="2:39" ht="15" customHeight="1" x14ac:dyDescent="0.3">
      <c r="B3011">
        <v>300.8</v>
      </c>
      <c r="C3011" t="str">
        <f>IFERROR(VLOOKUP(B3011,'Pre-Summary'!$DI$6:$DM$23,4,FALSE),"")</f>
        <v/>
      </c>
      <c r="D3011" s="10" t="str">
        <f>IFERROR(VLOOKUP(B3011,'Pre-Summary'!$AT$6:$AX$14,5,FALSE),D3010)</f>
        <v>Wolfe v3: went back to modified wolfe + EDTA and switched CuSO4 to CUCl2</v>
      </c>
      <c r="E3011" s="10" t="str">
        <f>IFERROR(VLOOKUP(B3011,'Pre-Summary'!$AT$6:$AX$15,4,FALSE),"")</f>
        <v/>
      </c>
      <c r="F3011">
        <f>IFERROR(VLOOKUP(B3011,'Pre-Summary'!$AL$6:$AQ$13,6,FALSE),F3010)</f>
        <v>5.9405263157894746E-2</v>
      </c>
      <c r="G3011" t="str">
        <f>IFERROR(VLOOKUP(B3011,'Pre-Summary'!$AE$6:$AJ$85,3,FALSE),"")</f>
        <v/>
      </c>
      <c r="H3011" t="str">
        <f>IFERROR(VLOOKUP(B3011,'Pre-Summary'!$AE$6:$AJ$85,4,FALSE),"")</f>
        <v/>
      </c>
      <c r="I3011" t="str">
        <f>IFERROR(VLOOKUP(B3011,'Pre-Summary'!$AE$6:$AJ$85,5,FALSE),"")</f>
        <v/>
      </c>
      <c r="J3011" s="45" t="str">
        <f>IFERROR(VLOOKUP(B3011,'Pre-Summary'!$AE$6:$AJ$85,6, FALSE),"")</f>
        <v/>
      </c>
      <c r="K3011" s="45" t="str">
        <f>IFERROR(VLOOKUP(B3011,'Pre-Summary'!$DE$6:$DG$61,3,FALSE),"")</f>
        <v/>
      </c>
      <c r="L3011" s="45" t="str">
        <f>IFERROR(VLOOKUP(B3011,'Pre-Summary'!$CU$6:$CW$36,3,FALSE),"")</f>
        <v/>
      </c>
      <c r="M3011" s="45" t="str">
        <f>IFERROR(VLOOKUP(B3011,'Pre-Summary'!$BW$6:$BY$58,2,FALSE),"")</f>
        <v/>
      </c>
      <c r="N3011" s="45" t="str">
        <f>IFERROR(VLOOKUP(B3011,'Pre-Summary'!$CD$6:$CF$64,2,FALSE),"")</f>
        <v/>
      </c>
      <c r="O3011" s="99">
        <f>IFERROR(VLOOKUP(B3011,'Pre-Summary'!$BO$6:$BQ$48,3, FALSE),O3010)</f>
        <v>2.77</v>
      </c>
      <c r="P3011" s="99">
        <f>IFERROR(VLOOKUP(B3011,'Pre-Summary'!$BS$6:$BU$35,3,FALSE),P3010)</f>
        <v>0.70099999999999996</v>
      </c>
      <c r="Q3011" s="54">
        <f t="shared" ref="Q3011:Q3074" si="141">O3011/P3011</f>
        <v>3.9514978601997148</v>
      </c>
      <c r="R3011" s="53">
        <f>IFERROR(VLOOKUP(B3011,'Pre-Summary'!$BG$6:$BM$44,7,FALSE),R3012)</f>
        <v>0</v>
      </c>
      <c r="S3011" s="53" t="e">
        <f>VLOOKUP(B3011,'Pre-Summary'!$BG$6:$BM$44,6,FALSE)</f>
        <v>#N/A</v>
      </c>
      <c r="T3011" s="45" t="str">
        <f>IFERROR(VLOOKUP(B3011,'Pre-Summary'!$Y$6:$AC$83, 3,FALSE),"")</f>
        <v/>
      </c>
      <c r="U3011" s="45" t="str">
        <f>IFERROR(VLOOKUP(B3011,'Pre-Summary'!$Y$6:$AC$83, 4,FALSE),"")</f>
        <v/>
      </c>
      <c r="V3011" t="str">
        <f>IFERROR(VLOOKUP(B3011,'Pre-Summary'!$Y$6:$AC$83, 5,FALSE),"")</f>
        <v/>
      </c>
      <c r="W3011" s="45" t="str">
        <f>IFERROR(VLOOKUP(B3011,'Pre-Summary'!$Y$6:$AD$83,6,FALSE),"")</f>
        <v/>
      </c>
      <c r="X3011" t="str">
        <f>IFERROR(VLOOKUP('Pre-Summary'!$DB$6:$DD$63,3,FALSE),"")</f>
        <v/>
      </c>
      <c r="Y3011" t="str">
        <f>IFERROR(VLOOKUP(B3011,'Pre-Summary'!$CR$6:$CT$36,3,FALSE),"")</f>
        <v/>
      </c>
      <c r="Z3011" s="45" t="str">
        <f>IFERROR(VLOOKUP(B3011,'Pre-Summary'!$BZ$6:$CB$63,2,FALSE),"")</f>
        <v/>
      </c>
      <c r="AA3011" s="45" t="str">
        <f>IFERROR(VLOOKUP(B3011,'Pre-Summary'!$CG$6:$CI$70,2,FALSE),"")</f>
        <v/>
      </c>
      <c r="AB3011" s="99">
        <f>IFERROR(VLOOKUP(B3011,'Pre-Summary'!$A$6:$P$178,9,FALSE),AB3012)</f>
        <v>0.68914361702057381</v>
      </c>
      <c r="AC3011" s="10">
        <f>IFERROR(VLOOKUP(Summary!B3011,'Pre-Summary'!$A$6:$P$184,5, FALSE)/100,AC3012)</f>
        <v>0.92963666666666656</v>
      </c>
      <c r="AD3011" s="10">
        <f>IFERROR(VLOOKUP(Summary!B3011,'Pre-Summary'!$A$6:$P$184,3, FALSE)/100,AD3012)</f>
        <v>3.8144666666666667E-2</v>
      </c>
      <c r="AE3011" s="10">
        <f>IFERROR(VLOOKUP(Summary!B3011,'Pre-Summary'!$A$6:$P$184,7, FALSE)/100,AE3012)</f>
        <v>3.2219333333333336E-2</v>
      </c>
      <c r="AF3011" s="99">
        <f t="shared" ref="AF3011:AF3074" si="142">AD3011*AB3011</f>
        <v>2.6287153556710782E-2</v>
      </c>
      <c r="AG3011" s="99">
        <f t="shared" ref="AG3011:AG3074" si="143">AB3011*AE3011</f>
        <v>2.2203747911324876E-2</v>
      </c>
      <c r="AH3011" s="10" t="str">
        <f>IFERROR(VLOOKUP(B3011,'Pre-Summary'!$AZ$6:$BE$65,3,FALSE),"")</f>
        <v/>
      </c>
      <c r="AI3011" s="10" t="str">
        <f>IFERROR(VLOOKUP(B3011,'Pre-Summary'!$AZ$6:$BE$65,5,FALSE),"")</f>
        <v/>
      </c>
      <c r="AJ3011" s="10" t="str">
        <f>IFERROR(VLOOKUP(B3011,'Pre-Summary'!$AZ$6:$BE$65,4,FALSE),"")</f>
        <v/>
      </c>
      <c r="AK3011" s="10" t="str">
        <f>IFERROR(VLOOKUP(B3011,'Pre-Summary'!$AZ$6:$BE$65,6,FALSE),"")</f>
        <v/>
      </c>
      <c r="AL3011" s="10" t="str">
        <f>IFERROR(VLOOKUP(B3011,'Pre-Summary'!$BG$6:$BL$44,3,FALSE),"")</f>
        <v/>
      </c>
      <c r="AM3011" s="10" t="str">
        <f>IFERROR(VLOOKUP(B3011,'Pre-Summary'!$BG$6:$BL$44,4,FALSE),"")</f>
        <v/>
      </c>
    </row>
    <row r="3012" spans="2:39" ht="15" customHeight="1" x14ac:dyDescent="0.3">
      <c r="B3012">
        <v>300.89999999999998</v>
      </c>
      <c r="C3012" t="str">
        <f>IFERROR(VLOOKUP(B3012,'Pre-Summary'!$DI$6:$DM$23,4,FALSE),"")</f>
        <v/>
      </c>
      <c r="D3012" s="10" t="str">
        <f>IFERROR(VLOOKUP(B3012,'Pre-Summary'!$AT$6:$AX$14,5,FALSE),D3011)</f>
        <v>Wolfe v3: went back to modified wolfe + EDTA and switched CuSO4 to CUCl2</v>
      </c>
      <c r="E3012" s="10" t="str">
        <f>IFERROR(VLOOKUP(B3012,'Pre-Summary'!$AT$6:$AX$15,4,FALSE),"")</f>
        <v/>
      </c>
      <c r="F3012">
        <f>IFERROR(VLOOKUP(B3012,'Pre-Summary'!$AL$6:$AQ$13,6,FALSE),F3011)</f>
        <v>5.9405263157894746E-2</v>
      </c>
      <c r="G3012" t="str">
        <f>IFERROR(VLOOKUP(B3012,'Pre-Summary'!$AE$6:$AJ$85,3,FALSE),"")</f>
        <v/>
      </c>
      <c r="H3012" t="str">
        <f>IFERROR(VLOOKUP(B3012,'Pre-Summary'!$AE$6:$AJ$85,4,FALSE),"")</f>
        <v/>
      </c>
      <c r="I3012" t="str">
        <f>IFERROR(VLOOKUP(B3012,'Pre-Summary'!$AE$6:$AJ$85,5,FALSE),"")</f>
        <v/>
      </c>
      <c r="J3012" s="45" t="str">
        <f>IFERROR(VLOOKUP(B3012,'Pre-Summary'!$AE$6:$AJ$85,6, FALSE),"")</f>
        <v/>
      </c>
      <c r="K3012" s="45" t="str">
        <f>IFERROR(VLOOKUP(B3012,'Pre-Summary'!$DE$6:$DG$61,3,FALSE),"")</f>
        <v/>
      </c>
      <c r="L3012" s="45" t="str">
        <f>IFERROR(VLOOKUP(B3012,'Pre-Summary'!$CU$6:$CW$36,3,FALSE),"")</f>
        <v/>
      </c>
      <c r="M3012" s="45" t="str">
        <f>IFERROR(VLOOKUP(B3012,'Pre-Summary'!$BW$6:$BY$58,2,FALSE),"")</f>
        <v/>
      </c>
      <c r="N3012" s="45" t="str">
        <f>IFERROR(VLOOKUP(B3012,'Pre-Summary'!$CD$6:$CF$64,2,FALSE),"")</f>
        <v/>
      </c>
      <c r="O3012" s="99">
        <f>IFERROR(VLOOKUP(B3012,'Pre-Summary'!$BO$6:$BQ$48,3, FALSE),O3011)</f>
        <v>2.77</v>
      </c>
      <c r="P3012" s="99">
        <f>IFERROR(VLOOKUP(B3012,'Pre-Summary'!$BS$6:$BU$35,3,FALSE),P3011)</f>
        <v>0.70099999999999996</v>
      </c>
      <c r="Q3012" s="54">
        <f t="shared" si="141"/>
        <v>3.9514978601997148</v>
      </c>
      <c r="R3012" s="53">
        <f>IFERROR(VLOOKUP(B3012,'Pre-Summary'!$BG$6:$BM$44,7,FALSE),R3013)</f>
        <v>0</v>
      </c>
      <c r="S3012" s="53" t="e">
        <f>VLOOKUP(B3012,'Pre-Summary'!$BG$6:$BM$44,6,FALSE)</f>
        <v>#N/A</v>
      </c>
      <c r="T3012" s="45" t="str">
        <f>IFERROR(VLOOKUP(B3012,'Pre-Summary'!$Y$6:$AC$83, 3,FALSE),"")</f>
        <v/>
      </c>
      <c r="U3012" s="45" t="str">
        <f>IFERROR(VLOOKUP(B3012,'Pre-Summary'!$Y$6:$AC$83, 4,FALSE),"")</f>
        <v/>
      </c>
      <c r="V3012" t="str">
        <f>IFERROR(VLOOKUP(B3012,'Pre-Summary'!$Y$6:$AC$83, 5,FALSE),"")</f>
        <v/>
      </c>
      <c r="W3012" s="45" t="str">
        <f>IFERROR(VLOOKUP(B3012,'Pre-Summary'!$Y$6:$AD$83,6,FALSE),"")</f>
        <v/>
      </c>
      <c r="X3012" t="str">
        <f>IFERROR(VLOOKUP('Pre-Summary'!$DB$6:$DD$63,3,FALSE),"")</f>
        <v/>
      </c>
      <c r="Y3012" t="str">
        <f>IFERROR(VLOOKUP(B3012,'Pre-Summary'!$CR$6:$CT$36,3,FALSE),"")</f>
        <v/>
      </c>
      <c r="Z3012" s="45" t="str">
        <f>IFERROR(VLOOKUP(B3012,'Pre-Summary'!$BZ$6:$CB$63,2,FALSE),"")</f>
        <v/>
      </c>
      <c r="AA3012" s="45" t="str">
        <f>IFERROR(VLOOKUP(B3012,'Pre-Summary'!$CG$6:$CI$70,2,FALSE),"")</f>
        <v/>
      </c>
      <c r="AB3012" s="99">
        <f>IFERROR(VLOOKUP(B3012,'Pre-Summary'!$A$6:$P$178,9,FALSE),AB3013)</f>
        <v>0.68914361702057381</v>
      </c>
      <c r="AC3012" s="10">
        <f>IFERROR(VLOOKUP(Summary!B3012,'Pre-Summary'!$A$6:$P$184,5, FALSE)/100,AC3013)</f>
        <v>0.92963666666666656</v>
      </c>
      <c r="AD3012" s="10">
        <f>IFERROR(VLOOKUP(Summary!B3012,'Pre-Summary'!$A$6:$P$184,3, FALSE)/100,AD3013)</f>
        <v>3.8144666666666667E-2</v>
      </c>
      <c r="AE3012" s="10">
        <f>IFERROR(VLOOKUP(Summary!B3012,'Pre-Summary'!$A$6:$P$184,7, FALSE)/100,AE3013)</f>
        <v>3.2219333333333336E-2</v>
      </c>
      <c r="AF3012" s="99">
        <f t="shared" si="142"/>
        <v>2.6287153556710782E-2</v>
      </c>
      <c r="AG3012" s="99">
        <f t="shared" si="143"/>
        <v>2.2203747911324876E-2</v>
      </c>
      <c r="AH3012" s="10" t="str">
        <f>IFERROR(VLOOKUP(B3012,'Pre-Summary'!$AZ$6:$BE$65,3,FALSE),"")</f>
        <v/>
      </c>
      <c r="AI3012" s="10" t="str">
        <f>IFERROR(VLOOKUP(B3012,'Pre-Summary'!$AZ$6:$BE$65,5,FALSE),"")</f>
        <v/>
      </c>
      <c r="AJ3012" s="10" t="str">
        <f>IFERROR(VLOOKUP(B3012,'Pre-Summary'!$AZ$6:$BE$65,4,FALSE),"")</f>
        <v/>
      </c>
      <c r="AK3012" s="10" t="str">
        <f>IFERROR(VLOOKUP(B3012,'Pre-Summary'!$AZ$6:$BE$65,6,FALSE),"")</f>
        <v/>
      </c>
      <c r="AL3012" s="10" t="str">
        <f>IFERROR(VLOOKUP(B3012,'Pre-Summary'!$BG$6:$BL$44,3,FALSE),"")</f>
        <v/>
      </c>
      <c r="AM3012" s="10" t="str">
        <f>IFERROR(VLOOKUP(B3012,'Pre-Summary'!$BG$6:$BL$44,4,FALSE),"")</f>
        <v/>
      </c>
    </row>
    <row r="3013" spans="2:39" ht="15" customHeight="1" x14ac:dyDescent="0.3">
      <c r="B3013">
        <v>301</v>
      </c>
      <c r="C3013" t="str">
        <f>IFERROR(VLOOKUP(B3013,'Pre-Summary'!$DI$6:$DM$23,4,FALSE),"")</f>
        <v/>
      </c>
      <c r="D3013" s="10" t="str">
        <f>IFERROR(VLOOKUP(B3013,'Pre-Summary'!$AT$6:$AX$14,5,FALSE),D3012)</f>
        <v>Wolfe v3: went back to modified wolfe + EDTA and switched CuSO4 to CUCl2</v>
      </c>
      <c r="E3013" s="10" t="str">
        <f>IFERROR(VLOOKUP(B3013,'Pre-Summary'!$AT$6:$AX$15,4,FALSE),"")</f>
        <v/>
      </c>
      <c r="F3013">
        <f>IFERROR(VLOOKUP(B3013,'Pre-Summary'!$AL$6:$AQ$13,6,FALSE),F3012)</f>
        <v>5.9405263157894746E-2</v>
      </c>
      <c r="G3013" t="str">
        <f>IFERROR(VLOOKUP(B3013,'Pre-Summary'!$AE$6:$AJ$85,3,FALSE),"")</f>
        <v/>
      </c>
      <c r="H3013" t="str">
        <f>IFERROR(VLOOKUP(B3013,'Pre-Summary'!$AE$6:$AJ$85,4,FALSE),"")</f>
        <v/>
      </c>
      <c r="I3013" t="str">
        <f>IFERROR(VLOOKUP(B3013,'Pre-Summary'!$AE$6:$AJ$85,5,FALSE),"")</f>
        <v/>
      </c>
      <c r="J3013" s="45" t="str">
        <f>IFERROR(VLOOKUP(B3013,'Pre-Summary'!$AE$6:$AJ$85,6, FALSE),"")</f>
        <v/>
      </c>
      <c r="K3013" s="45" t="str">
        <f>IFERROR(VLOOKUP(B3013,'Pre-Summary'!$DE$6:$DG$61,3,FALSE),"")</f>
        <v/>
      </c>
      <c r="L3013" s="45" t="str">
        <f>IFERROR(VLOOKUP(B3013,'Pre-Summary'!$CU$6:$CW$36,3,FALSE),"")</f>
        <v/>
      </c>
      <c r="M3013" s="45" t="str">
        <f>IFERROR(VLOOKUP(B3013,'Pre-Summary'!$BW$6:$BY$58,2,FALSE),"")</f>
        <v/>
      </c>
      <c r="N3013" s="45" t="str">
        <f>IFERROR(VLOOKUP(B3013,'Pre-Summary'!$CD$6:$CF$64,2,FALSE),"")</f>
        <v/>
      </c>
      <c r="O3013" s="99">
        <f>IFERROR(VLOOKUP(B3013,'Pre-Summary'!$BO$6:$BQ$48,3, FALSE),O3012)</f>
        <v>2.77</v>
      </c>
      <c r="P3013" s="99">
        <f>IFERROR(VLOOKUP(B3013,'Pre-Summary'!$BS$6:$BU$35,3,FALSE),P3012)</f>
        <v>0.70099999999999996</v>
      </c>
      <c r="Q3013" s="54">
        <f t="shared" si="141"/>
        <v>3.9514978601997148</v>
      </c>
      <c r="R3013" s="53">
        <f>IFERROR(VLOOKUP(B3013,'Pre-Summary'!$BG$6:$BM$44,7,FALSE),R3014)</f>
        <v>0</v>
      </c>
      <c r="S3013" s="53" t="e">
        <f>VLOOKUP(B3013,'Pre-Summary'!$BG$6:$BM$44,6,FALSE)</f>
        <v>#N/A</v>
      </c>
      <c r="T3013" s="45" t="str">
        <f>IFERROR(VLOOKUP(B3013,'Pre-Summary'!$Y$6:$AC$83, 3,FALSE),"")</f>
        <v/>
      </c>
      <c r="U3013" s="45" t="str">
        <f>IFERROR(VLOOKUP(B3013,'Pre-Summary'!$Y$6:$AC$83, 4,FALSE),"")</f>
        <v/>
      </c>
      <c r="V3013" t="str">
        <f>IFERROR(VLOOKUP(B3013,'Pre-Summary'!$Y$6:$AC$83, 5,FALSE),"")</f>
        <v/>
      </c>
      <c r="W3013" s="45" t="str">
        <f>IFERROR(VLOOKUP(B3013,'Pre-Summary'!$Y$6:$AD$83,6,FALSE),"")</f>
        <v/>
      </c>
      <c r="X3013" t="str">
        <f>IFERROR(VLOOKUP('Pre-Summary'!$DB$6:$DD$63,3,FALSE),"")</f>
        <v/>
      </c>
      <c r="Y3013" t="str">
        <f>IFERROR(VLOOKUP(B3013,'Pre-Summary'!$CR$6:$CT$36,3,FALSE),"")</f>
        <v/>
      </c>
      <c r="Z3013" s="45" t="str">
        <f>IFERROR(VLOOKUP(B3013,'Pre-Summary'!$BZ$6:$CB$63,2,FALSE),"")</f>
        <v/>
      </c>
      <c r="AA3013" s="45" t="str">
        <f>IFERROR(VLOOKUP(B3013,'Pre-Summary'!$CG$6:$CI$70,2,FALSE),"")</f>
        <v/>
      </c>
      <c r="AB3013" s="99">
        <f>IFERROR(VLOOKUP(B3013,'Pre-Summary'!$A$6:$P$178,9,FALSE),AB3014)</f>
        <v>0.68914361702057381</v>
      </c>
      <c r="AC3013" s="10">
        <f>IFERROR(VLOOKUP(Summary!B3013,'Pre-Summary'!$A$6:$P$184,5, FALSE)/100,AC3014)</f>
        <v>0.92963666666666656</v>
      </c>
      <c r="AD3013" s="10">
        <f>IFERROR(VLOOKUP(Summary!B3013,'Pre-Summary'!$A$6:$P$184,3, FALSE)/100,AD3014)</f>
        <v>3.8144666666666667E-2</v>
      </c>
      <c r="AE3013" s="10">
        <f>IFERROR(VLOOKUP(Summary!B3013,'Pre-Summary'!$A$6:$P$184,7, FALSE)/100,AE3014)</f>
        <v>3.2219333333333336E-2</v>
      </c>
      <c r="AF3013" s="99">
        <f t="shared" si="142"/>
        <v>2.6287153556710782E-2</v>
      </c>
      <c r="AG3013" s="99">
        <f t="shared" si="143"/>
        <v>2.2203747911324876E-2</v>
      </c>
      <c r="AH3013" s="10" t="str">
        <f>IFERROR(VLOOKUP(B3013,'Pre-Summary'!$AZ$6:$BE$65,3,FALSE),"")</f>
        <v/>
      </c>
      <c r="AI3013" s="10" t="str">
        <f>IFERROR(VLOOKUP(B3013,'Pre-Summary'!$AZ$6:$BE$65,5,FALSE),"")</f>
        <v/>
      </c>
      <c r="AJ3013" s="10" t="str">
        <f>IFERROR(VLOOKUP(B3013,'Pre-Summary'!$AZ$6:$BE$65,4,FALSE),"")</f>
        <v/>
      </c>
      <c r="AK3013" s="10" t="str">
        <f>IFERROR(VLOOKUP(B3013,'Pre-Summary'!$AZ$6:$BE$65,6,FALSE),"")</f>
        <v/>
      </c>
      <c r="AL3013" s="10" t="str">
        <f>IFERROR(VLOOKUP(B3013,'Pre-Summary'!$BG$6:$BL$44,3,FALSE),"")</f>
        <v/>
      </c>
      <c r="AM3013" s="10" t="str">
        <f>IFERROR(VLOOKUP(B3013,'Pre-Summary'!$BG$6:$BL$44,4,FALSE),"")</f>
        <v/>
      </c>
    </row>
    <row r="3014" spans="2:39" ht="15" customHeight="1" x14ac:dyDescent="0.3">
      <c r="B3014">
        <v>301.10000000000002</v>
      </c>
      <c r="C3014" t="str">
        <f>IFERROR(VLOOKUP(B3014,'Pre-Summary'!$DI$6:$DM$23,4,FALSE),"")</f>
        <v/>
      </c>
      <c r="D3014" s="10" t="str">
        <f>IFERROR(VLOOKUP(B3014,'Pre-Summary'!$AT$6:$AX$14,5,FALSE),D3013)</f>
        <v>Wolfe v3: went back to modified wolfe + EDTA and switched CuSO4 to CUCl2</v>
      </c>
      <c r="E3014" s="10" t="str">
        <f>IFERROR(VLOOKUP(B3014,'Pre-Summary'!$AT$6:$AX$15,4,FALSE),"")</f>
        <v/>
      </c>
      <c r="F3014">
        <f>IFERROR(VLOOKUP(B3014,'Pre-Summary'!$AL$6:$AQ$13,6,FALSE),F3013)</f>
        <v>5.9405263157894746E-2</v>
      </c>
      <c r="G3014" t="str">
        <f>IFERROR(VLOOKUP(B3014,'Pre-Summary'!$AE$6:$AJ$85,3,FALSE),"")</f>
        <v/>
      </c>
      <c r="H3014" t="str">
        <f>IFERROR(VLOOKUP(B3014,'Pre-Summary'!$AE$6:$AJ$85,4,FALSE),"")</f>
        <v/>
      </c>
      <c r="I3014" t="str">
        <f>IFERROR(VLOOKUP(B3014,'Pre-Summary'!$AE$6:$AJ$85,5,FALSE),"")</f>
        <v/>
      </c>
      <c r="J3014" s="45" t="str">
        <f>IFERROR(VLOOKUP(B3014,'Pre-Summary'!$AE$6:$AJ$85,6, FALSE),"")</f>
        <v/>
      </c>
      <c r="K3014" s="45" t="str">
        <f>IFERROR(VLOOKUP(B3014,'Pre-Summary'!$DE$6:$DG$61,3,FALSE),"")</f>
        <v/>
      </c>
      <c r="L3014" s="45" t="str">
        <f>IFERROR(VLOOKUP(B3014,'Pre-Summary'!$CU$6:$CW$36,3,FALSE),"")</f>
        <v/>
      </c>
      <c r="M3014" s="45" t="str">
        <f>IFERROR(VLOOKUP(B3014,'Pre-Summary'!$BW$6:$BY$58,2,FALSE),"")</f>
        <v/>
      </c>
      <c r="N3014" s="45" t="str">
        <f>IFERROR(VLOOKUP(B3014,'Pre-Summary'!$CD$6:$CF$64,2,FALSE),"")</f>
        <v/>
      </c>
      <c r="O3014" s="99">
        <f>IFERROR(VLOOKUP(B3014,'Pre-Summary'!$BO$6:$BQ$48,3, FALSE),O3013)</f>
        <v>2.77</v>
      </c>
      <c r="P3014" s="99">
        <f>IFERROR(VLOOKUP(B3014,'Pre-Summary'!$BS$6:$BU$35,3,FALSE),P3013)</f>
        <v>0.70099999999999996</v>
      </c>
      <c r="Q3014" s="54">
        <f t="shared" si="141"/>
        <v>3.9514978601997148</v>
      </c>
      <c r="R3014" s="53">
        <f>IFERROR(VLOOKUP(B3014,'Pre-Summary'!$BG$6:$BM$44,7,FALSE),R3015)</f>
        <v>0</v>
      </c>
      <c r="S3014" s="53" t="e">
        <f>VLOOKUP(B3014,'Pre-Summary'!$BG$6:$BM$44,6,FALSE)</f>
        <v>#N/A</v>
      </c>
      <c r="T3014" s="45" t="str">
        <f>IFERROR(VLOOKUP(B3014,'Pre-Summary'!$Y$6:$AC$83, 3,FALSE),"")</f>
        <v/>
      </c>
      <c r="U3014" s="45" t="str">
        <f>IFERROR(VLOOKUP(B3014,'Pre-Summary'!$Y$6:$AC$83, 4,FALSE),"")</f>
        <v/>
      </c>
      <c r="V3014" t="str">
        <f>IFERROR(VLOOKUP(B3014,'Pre-Summary'!$Y$6:$AC$83, 5,FALSE),"")</f>
        <v/>
      </c>
      <c r="W3014" s="45" t="str">
        <f>IFERROR(VLOOKUP(B3014,'Pre-Summary'!$Y$6:$AD$83,6,FALSE),"")</f>
        <v/>
      </c>
      <c r="X3014" t="str">
        <f>IFERROR(VLOOKUP('Pre-Summary'!$DB$6:$DD$63,3,FALSE),"")</f>
        <v/>
      </c>
      <c r="Y3014" t="str">
        <f>IFERROR(VLOOKUP(B3014,'Pre-Summary'!$CR$6:$CT$36,3,FALSE),"")</f>
        <v/>
      </c>
      <c r="Z3014" s="45" t="str">
        <f>IFERROR(VLOOKUP(B3014,'Pre-Summary'!$BZ$6:$CB$63,2,FALSE),"")</f>
        <v/>
      </c>
      <c r="AA3014" s="45" t="str">
        <f>IFERROR(VLOOKUP(B3014,'Pre-Summary'!$CG$6:$CI$70,2,FALSE),"")</f>
        <v/>
      </c>
      <c r="AB3014" s="99">
        <f>IFERROR(VLOOKUP(B3014,'Pre-Summary'!$A$6:$P$178,9,FALSE),AB3015)</f>
        <v>0.78672405455763872</v>
      </c>
      <c r="AC3014" s="10">
        <f>IFERROR(VLOOKUP(Summary!B3014,'Pre-Summary'!$A$6:$P$184,5, FALSE)/100,AC3015)</f>
        <v>0.94994933333333331</v>
      </c>
      <c r="AD3014" s="10">
        <f>IFERROR(VLOOKUP(Summary!B3014,'Pre-Summary'!$A$6:$P$184,3, FALSE)/100,AD3015)</f>
        <v>4.7186000000000006E-2</v>
      </c>
      <c r="AE3014" s="10">
        <f>IFERROR(VLOOKUP(Summary!B3014,'Pre-Summary'!$A$6:$P$184,7, FALSE)/100,AE3015)</f>
        <v>2.8646666666666668E-3</v>
      </c>
      <c r="AF3014" s="99">
        <f t="shared" si="142"/>
        <v>3.7122361238356744E-2</v>
      </c>
      <c r="AG3014" s="99">
        <f t="shared" si="143"/>
        <v>2.2537021749561158E-3</v>
      </c>
      <c r="AH3014" s="10" t="str">
        <f>IFERROR(VLOOKUP(B3014,'Pre-Summary'!$AZ$6:$BE$65,3,FALSE),"")</f>
        <v/>
      </c>
      <c r="AI3014" s="10" t="str">
        <f>IFERROR(VLOOKUP(B3014,'Pre-Summary'!$AZ$6:$BE$65,5,FALSE),"")</f>
        <v/>
      </c>
      <c r="AJ3014" s="10" t="str">
        <f>IFERROR(VLOOKUP(B3014,'Pre-Summary'!$AZ$6:$BE$65,4,FALSE),"")</f>
        <v/>
      </c>
      <c r="AK3014" s="10" t="str">
        <f>IFERROR(VLOOKUP(B3014,'Pre-Summary'!$AZ$6:$BE$65,6,FALSE),"")</f>
        <v/>
      </c>
      <c r="AL3014" s="10" t="str">
        <f>IFERROR(VLOOKUP(B3014,'Pre-Summary'!$BG$6:$BL$44,3,FALSE),"")</f>
        <v/>
      </c>
      <c r="AM3014" s="10" t="str">
        <f>IFERROR(VLOOKUP(B3014,'Pre-Summary'!$BG$6:$BL$44,4,FALSE),"")</f>
        <v/>
      </c>
    </row>
    <row r="3015" spans="2:39" ht="15" customHeight="1" x14ac:dyDescent="0.3">
      <c r="B3015">
        <v>301.2</v>
      </c>
      <c r="C3015" t="str">
        <f>IFERROR(VLOOKUP(B3015,'Pre-Summary'!$DI$6:$DM$23,4,FALSE),"")</f>
        <v/>
      </c>
      <c r="D3015" s="10" t="str">
        <f>IFERROR(VLOOKUP(B3015,'Pre-Summary'!$AT$6:$AX$14,5,FALSE),D3014)</f>
        <v>Wolfe v3: went back to modified wolfe + EDTA and switched CuSO4 to CUCl2</v>
      </c>
      <c r="E3015" s="10" t="str">
        <f>IFERROR(VLOOKUP(B3015,'Pre-Summary'!$AT$6:$AX$15,4,FALSE),"")</f>
        <v/>
      </c>
      <c r="F3015">
        <f>IFERROR(VLOOKUP(B3015,'Pre-Summary'!$AL$6:$AQ$13,6,FALSE),F3014)</f>
        <v>5.9405263157894746E-2</v>
      </c>
      <c r="G3015" t="str">
        <f>IFERROR(VLOOKUP(B3015,'Pre-Summary'!$AE$6:$AJ$85,3,FALSE),"")</f>
        <v/>
      </c>
      <c r="H3015" t="str">
        <f>IFERROR(VLOOKUP(B3015,'Pre-Summary'!$AE$6:$AJ$85,4,FALSE),"")</f>
        <v/>
      </c>
      <c r="I3015" t="str">
        <f>IFERROR(VLOOKUP(B3015,'Pre-Summary'!$AE$6:$AJ$85,5,FALSE),"")</f>
        <v/>
      </c>
      <c r="J3015" s="45" t="str">
        <f>IFERROR(VLOOKUP(B3015,'Pre-Summary'!$AE$6:$AJ$85,6, FALSE),"")</f>
        <v/>
      </c>
      <c r="K3015" s="45" t="str">
        <f>IFERROR(VLOOKUP(B3015,'Pre-Summary'!$DE$6:$DG$61,3,FALSE),"")</f>
        <v/>
      </c>
      <c r="L3015" s="45" t="str">
        <f>IFERROR(VLOOKUP(B3015,'Pre-Summary'!$CU$6:$CW$36,3,FALSE),"")</f>
        <v/>
      </c>
      <c r="M3015" s="45" t="str">
        <f>IFERROR(VLOOKUP(B3015,'Pre-Summary'!$BW$6:$BY$58,2,FALSE),"")</f>
        <v/>
      </c>
      <c r="N3015" s="45" t="str">
        <f>IFERROR(VLOOKUP(B3015,'Pre-Summary'!$CD$6:$CF$64,2,FALSE),"")</f>
        <v/>
      </c>
      <c r="O3015" s="99">
        <f>IFERROR(VLOOKUP(B3015,'Pre-Summary'!$BO$6:$BQ$48,3, FALSE),O3014)</f>
        <v>2.77</v>
      </c>
      <c r="P3015" s="99">
        <f>IFERROR(VLOOKUP(B3015,'Pre-Summary'!$BS$6:$BU$35,3,FALSE),P3014)</f>
        <v>0.70099999999999996</v>
      </c>
      <c r="Q3015" s="54">
        <f t="shared" si="141"/>
        <v>3.9514978601997148</v>
      </c>
      <c r="R3015" s="53">
        <f>IFERROR(VLOOKUP(B3015,'Pre-Summary'!$BG$6:$BM$44,7,FALSE),R3016)</f>
        <v>0</v>
      </c>
      <c r="S3015" s="53" t="e">
        <f>VLOOKUP(B3015,'Pre-Summary'!$BG$6:$BM$44,6,FALSE)</f>
        <v>#N/A</v>
      </c>
      <c r="T3015" s="45" t="str">
        <f>IFERROR(VLOOKUP(B3015,'Pre-Summary'!$Y$6:$AC$83, 3,FALSE),"")</f>
        <v/>
      </c>
      <c r="U3015" s="45" t="str">
        <f>IFERROR(VLOOKUP(B3015,'Pre-Summary'!$Y$6:$AC$83, 4,FALSE),"")</f>
        <v/>
      </c>
      <c r="V3015" t="str">
        <f>IFERROR(VLOOKUP(B3015,'Pre-Summary'!$Y$6:$AC$83, 5,FALSE),"")</f>
        <v/>
      </c>
      <c r="W3015" s="45" t="str">
        <f>IFERROR(VLOOKUP(B3015,'Pre-Summary'!$Y$6:$AD$83,6,FALSE),"")</f>
        <v/>
      </c>
      <c r="X3015" t="str">
        <f>IFERROR(VLOOKUP('Pre-Summary'!$DB$6:$DD$63,3,FALSE),"")</f>
        <v/>
      </c>
      <c r="Y3015" t="str">
        <f>IFERROR(VLOOKUP(B3015,'Pre-Summary'!$CR$6:$CT$36,3,FALSE),"")</f>
        <v/>
      </c>
      <c r="Z3015" s="45" t="str">
        <f>IFERROR(VLOOKUP(B3015,'Pre-Summary'!$BZ$6:$CB$63,2,FALSE),"")</f>
        <v/>
      </c>
      <c r="AA3015" s="45" t="str">
        <f>IFERROR(VLOOKUP(B3015,'Pre-Summary'!$CG$6:$CI$70,2,FALSE),"")</f>
        <v/>
      </c>
      <c r="AB3015" s="99">
        <f>IFERROR(VLOOKUP(B3015,'Pre-Summary'!$A$6:$P$178,9,FALSE),AB3016)</f>
        <v>0.78672405455763872</v>
      </c>
      <c r="AC3015" s="10">
        <f>IFERROR(VLOOKUP(Summary!B3015,'Pre-Summary'!$A$6:$P$184,5, FALSE)/100,AC3016)</f>
        <v>0.94994933333333331</v>
      </c>
      <c r="AD3015" s="10">
        <f>IFERROR(VLOOKUP(Summary!B3015,'Pre-Summary'!$A$6:$P$184,3, FALSE)/100,AD3016)</f>
        <v>4.7186000000000006E-2</v>
      </c>
      <c r="AE3015" s="10">
        <f>IFERROR(VLOOKUP(Summary!B3015,'Pre-Summary'!$A$6:$P$184,7, FALSE)/100,AE3016)</f>
        <v>2.8646666666666668E-3</v>
      </c>
      <c r="AF3015" s="99">
        <f t="shared" si="142"/>
        <v>3.7122361238356744E-2</v>
      </c>
      <c r="AG3015" s="99">
        <f t="shared" si="143"/>
        <v>2.2537021749561158E-3</v>
      </c>
      <c r="AH3015" s="10" t="str">
        <f>IFERROR(VLOOKUP(B3015,'Pre-Summary'!$AZ$6:$BE$65,3,FALSE),"")</f>
        <v/>
      </c>
      <c r="AI3015" s="10" t="str">
        <f>IFERROR(VLOOKUP(B3015,'Pre-Summary'!$AZ$6:$BE$65,5,FALSE),"")</f>
        <v/>
      </c>
      <c r="AJ3015" s="10" t="str">
        <f>IFERROR(VLOOKUP(B3015,'Pre-Summary'!$AZ$6:$BE$65,4,FALSE),"")</f>
        <v/>
      </c>
      <c r="AK3015" s="10" t="str">
        <f>IFERROR(VLOOKUP(B3015,'Pre-Summary'!$AZ$6:$BE$65,6,FALSE),"")</f>
        <v/>
      </c>
      <c r="AL3015" s="10" t="str">
        <f>IFERROR(VLOOKUP(B3015,'Pre-Summary'!$BG$6:$BL$44,3,FALSE),"")</f>
        <v/>
      </c>
      <c r="AM3015" s="10" t="str">
        <f>IFERROR(VLOOKUP(B3015,'Pre-Summary'!$BG$6:$BL$44,4,FALSE),"")</f>
        <v/>
      </c>
    </row>
    <row r="3016" spans="2:39" ht="15" customHeight="1" x14ac:dyDescent="0.3">
      <c r="B3016">
        <v>301.3</v>
      </c>
      <c r="C3016" t="str">
        <f>IFERROR(VLOOKUP(B3016,'Pre-Summary'!$DI$6:$DM$23,4,FALSE),"")</f>
        <v/>
      </c>
      <c r="D3016" s="10" t="str">
        <f>IFERROR(VLOOKUP(B3016,'Pre-Summary'!$AT$6:$AX$14,5,FALSE),D3015)</f>
        <v>Wolfe v3: went back to modified wolfe + EDTA and switched CuSO4 to CUCl2</v>
      </c>
      <c r="E3016" s="10" t="str">
        <f>IFERROR(VLOOKUP(B3016,'Pre-Summary'!$AT$6:$AX$15,4,FALSE),"")</f>
        <v/>
      </c>
      <c r="F3016">
        <f>IFERROR(VLOOKUP(B3016,'Pre-Summary'!$AL$6:$AQ$13,6,FALSE),F3015)</f>
        <v>5.9405263157894746E-2</v>
      </c>
      <c r="G3016" t="str">
        <f>IFERROR(VLOOKUP(B3016,'Pre-Summary'!$AE$6:$AJ$85,3,FALSE),"")</f>
        <v/>
      </c>
      <c r="H3016" t="str">
        <f>IFERROR(VLOOKUP(B3016,'Pre-Summary'!$AE$6:$AJ$85,4,FALSE),"")</f>
        <v/>
      </c>
      <c r="I3016" t="str">
        <f>IFERROR(VLOOKUP(B3016,'Pre-Summary'!$AE$6:$AJ$85,5,FALSE),"")</f>
        <v/>
      </c>
      <c r="J3016" s="45" t="str">
        <f>IFERROR(VLOOKUP(B3016,'Pre-Summary'!$AE$6:$AJ$85,6, FALSE),"")</f>
        <v/>
      </c>
      <c r="K3016" s="45" t="str">
        <f>IFERROR(VLOOKUP(B3016,'Pre-Summary'!$DE$6:$DG$61,3,FALSE),"")</f>
        <v/>
      </c>
      <c r="L3016" s="45" t="str">
        <f>IFERROR(VLOOKUP(B3016,'Pre-Summary'!$CU$6:$CW$36,3,FALSE),"")</f>
        <v/>
      </c>
      <c r="M3016" s="45" t="str">
        <f>IFERROR(VLOOKUP(B3016,'Pre-Summary'!$BW$6:$BY$58,2,FALSE),"")</f>
        <v/>
      </c>
      <c r="N3016" s="45" t="str">
        <f>IFERROR(VLOOKUP(B3016,'Pre-Summary'!$CD$6:$CF$64,2,FALSE),"")</f>
        <v/>
      </c>
      <c r="O3016" s="99">
        <f>IFERROR(VLOOKUP(B3016,'Pre-Summary'!$BO$6:$BQ$48,3, FALSE),O3015)</f>
        <v>2.77</v>
      </c>
      <c r="P3016" s="99">
        <f>IFERROR(VLOOKUP(B3016,'Pre-Summary'!$BS$6:$BU$35,3,FALSE),P3015)</f>
        <v>0.70099999999999996</v>
      </c>
      <c r="Q3016" s="54">
        <f t="shared" si="141"/>
        <v>3.9514978601997148</v>
      </c>
      <c r="R3016" s="53">
        <f>IFERROR(VLOOKUP(B3016,'Pre-Summary'!$BG$6:$BM$44,7,FALSE),R3017)</f>
        <v>0</v>
      </c>
      <c r="S3016" s="53" t="e">
        <f>VLOOKUP(B3016,'Pre-Summary'!$BG$6:$BM$44,6,FALSE)</f>
        <v>#N/A</v>
      </c>
      <c r="T3016" s="45" t="str">
        <f>IFERROR(VLOOKUP(B3016,'Pre-Summary'!$Y$6:$AC$83, 3,FALSE),"")</f>
        <v/>
      </c>
      <c r="U3016" s="45" t="str">
        <f>IFERROR(VLOOKUP(B3016,'Pre-Summary'!$Y$6:$AC$83, 4,FALSE),"")</f>
        <v/>
      </c>
      <c r="V3016" t="str">
        <f>IFERROR(VLOOKUP(B3016,'Pre-Summary'!$Y$6:$AC$83, 5,FALSE),"")</f>
        <v/>
      </c>
      <c r="W3016" s="45" t="str">
        <f>IFERROR(VLOOKUP(B3016,'Pre-Summary'!$Y$6:$AD$83,6,FALSE),"")</f>
        <v/>
      </c>
      <c r="X3016" t="str">
        <f>IFERROR(VLOOKUP('Pre-Summary'!$DB$6:$DD$63,3,FALSE),"")</f>
        <v/>
      </c>
      <c r="Y3016" t="str">
        <f>IFERROR(VLOOKUP(B3016,'Pre-Summary'!$CR$6:$CT$36,3,FALSE),"")</f>
        <v/>
      </c>
      <c r="Z3016" s="45" t="str">
        <f>IFERROR(VLOOKUP(B3016,'Pre-Summary'!$BZ$6:$CB$63,2,FALSE),"")</f>
        <v/>
      </c>
      <c r="AA3016" s="45" t="str">
        <f>IFERROR(VLOOKUP(B3016,'Pre-Summary'!$CG$6:$CI$70,2,FALSE),"")</f>
        <v/>
      </c>
      <c r="AB3016" s="99">
        <f>IFERROR(VLOOKUP(B3016,'Pre-Summary'!$A$6:$P$178,9,FALSE),AB3017)</f>
        <v>0.78672405455763872</v>
      </c>
      <c r="AC3016" s="10">
        <f>IFERROR(VLOOKUP(Summary!B3016,'Pre-Summary'!$A$6:$P$184,5, FALSE)/100,AC3017)</f>
        <v>0.94994933333333331</v>
      </c>
      <c r="AD3016" s="10">
        <f>IFERROR(VLOOKUP(Summary!B3016,'Pre-Summary'!$A$6:$P$184,3, FALSE)/100,AD3017)</f>
        <v>4.7186000000000006E-2</v>
      </c>
      <c r="AE3016" s="10">
        <f>IFERROR(VLOOKUP(Summary!B3016,'Pre-Summary'!$A$6:$P$184,7, FALSE)/100,AE3017)</f>
        <v>2.8646666666666668E-3</v>
      </c>
      <c r="AF3016" s="99">
        <f t="shared" si="142"/>
        <v>3.7122361238356744E-2</v>
      </c>
      <c r="AG3016" s="99">
        <f t="shared" si="143"/>
        <v>2.2537021749561158E-3</v>
      </c>
      <c r="AH3016" s="10" t="str">
        <f>IFERROR(VLOOKUP(B3016,'Pre-Summary'!$AZ$6:$BE$65,3,FALSE),"")</f>
        <v/>
      </c>
      <c r="AI3016" s="10" t="str">
        <f>IFERROR(VLOOKUP(B3016,'Pre-Summary'!$AZ$6:$BE$65,5,FALSE),"")</f>
        <v/>
      </c>
      <c r="AJ3016" s="10" t="str">
        <f>IFERROR(VLOOKUP(B3016,'Pre-Summary'!$AZ$6:$BE$65,4,FALSE),"")</f>
        <v/>
      </c>
      <c r="AK3016" s="10" t="str">
        <f>IFERROR(VLOOKUP(B3016,'Pre-Summary'!$AZ$6:$BE$65,6,FALSE),"")</f>
        <v/>
      </c>
      <c r="AL3016" s="10" t="str">
        <f>IFERROR(VLOOKUP(B3016,'Pre-Summary'!$BG$6:$BL$44,3,FALSE),"")</f>
        <v/>
      </c>
      <c r="AM3016" s="10" t="str">
        <f>IFERROR(VLOOKUP(B3016,'Pre-Summary'!$BG$6:$BL$44,4,FALSE),"")</f>
        <v/>
      </c>
    </row>
    <row r="3017" spans="2:39" ht="15" customHeight="1" x14ac:dyDescent="0.3">
      <c r="B3017">
        <v>301.39999999999998</v>
      </c>
      <c r="C3017" t="str">
        <f>IFERROR(VLOOKUP(B3017,'Pre-Summary'!$DI$6:$DM$23,4,FALSE),"")</f>
        <v/>
      </c>
      <c r="D3017" s="10" t="str">
        <f>IFERROR(VLOOKUP(B3017,'Pre-Summary'!$AT$6:$AX$14,5,FALSE),D3016)</f>
        <v>Wolfe v3: went back to modified wolfe + EDTA and switched CuSO4 to CUCl2</v>
      </c>
      <c r="E3017" s="10" t="str">
        <f>IFERROR(VLOOKUP(B3017,'Pre-Summary'!$AT$6:$AX$15,4,FALSE),"")</f>
        <v/>
      </c>
      <c r="F3017">
        <f>IFERROR(VLOOKUP(B3017,'Pre-Summary'!$AL$6:$AQ$13,6,FALSE),F3016)</f>
        <v>5.9405263157894746E-2</v>
      </c>
      <c r="G3017" t="str">
        <f>IFERROR(VLOOKUP(B3017,'Pre-Summary'!$AE$6:$AJ$85,3,FALSE),"")</f>
        <v/>
      </c>
      <c r="H3017" t="str">
        <f>IFERROR(VLOOKUP(B3017,'Pre-Summary'!$AE$6:$AJ$85,4,FALSE),"")</f>
        <v/>
      </c>
      <c r="I3017" t="str">
        <f>IFERROR(VLOOKUP(B3017,'Pre-Summary'!$AE$6:$AJ$85,5,FALSE),"")</f>
        <v/>
      </c>
      <c r="J3017" s="45" t="str">
        <f>IFERROR(VLOOKUP(B3017,'Pre-Summary'!$AE$6:$AJ$85,6, FALSE),"")</f>
        <v/>
      </c>
      <c r="K3017" s="45" t="str">
        <f>IFERROR(VLOOKUP(B3017,'Pre-Summary'!$DE$6:$DG$61,3,FALSE),"")</f>
        <v/>
      </c>
      <c r="L3017" s="45" t="str">
        <f>IFERROR(VLOOKUP(B3017,'Pre-Summary'!$CU$6:$CW$36,3,FALSE),"")</f>
        <v/>
      </c>
      <c r="M3017" s="45" t="str">
        <f>IFERROR(VLOOKUP(B3017,'Pre-Summary'!$BW$6:$BY$58,2,FALSE),"")</f>
        <v/>
      </c>
      <c r="N3017" s="45" t="str">
        <f>IFERROR(VLOOKUP(B3017,'Pre-Summary'!$CD$6:$CF$64,2,FALSE),"")</f>
        <v/>
      </c>
      <c r="O3017" s="99">
        <f>IFERROR(VLOOKUP(B3017,'Pre-Summary'!$BO$6:$BQ$48,3, FALSE),O3016)</f>
        <v>2.77</v>
      </c>
      <c r="P3017" s="99">
        <f>IFERROR(VLOOKUP(B3017,'Pre-Summary'!$BS$6:$BU$35,3,FALSE),P3016)</f>
        <v>0.70099999999999996</v>
      </c>
      <c r="Q3017" s="54">
        <f t="shared" si="141"/>
        <v>3.9514978601997148</v>
      </c>
      <c r="R3017" s="53">
        <f>IFERROR(VLOOKUP(B3017,'Pre-Summary'!$BG$6:$BM$44,7,FALSE),R3018)</f>
        <v>0</v>
      </c>
      <c r="S3017" s="53" t="e">
        <f>VLOOKUP(B3017,'Pre-Summary'!$BG$6:$BM$44,6,FALSE)</f>
        <v>#N/A</v>
      </c>
      <c r="T3017" s="45" t="str">
        <f>IFERROR(VLOOKUP(B3017,'Pre-Summary'!$Y$6:$AC$83, 3,FALSE),"")</f>
        <v/>
      </c>
      <c r="U3017" s="45" t="str">
        <f>IFERROR(VLOOKUP(B3017,'Pre-Summary'!$Y$6:$AC$83, 4,FALSE),"")</f>
        <v/>
      </c>
      <c r="V3017" t="str">
        <f>IFERROR(VLOOKUP(B3017,'Pre-Summary'!$Y$6:$AC$83, 5,FALSE),"")</f>
        <v/>
      </c>
      <c r="W3017" s="45" t="str">
        <f>IFERROR(VLOOKUP(B3017,'Pre-Summary'!$Y$6:$AD$83,6,FALSE),"")</f>
        <v/>
      </c>
      <c r="X3017" t="str">
        <f>IFERROR(VLOOKUP('Pre-Summary'!$DB$6:$DD$63,3,FALSE),"")</f>
        <v/>
      </c>
      <c r="Y3017" t="str">
        <f>IFERROR(VLOOKUP(B3017,'Pre-Summary'!$CR$6:$CT$36,3,FALSE),"")</f>
        <v/>
      </c>
      <c r="Z3017" s="45" t="str">
        <f>IFERROR(VLOOKUP(B3017,'Pre-Summary'!$BZ$6:$CB$63,2,FALSE),"")</f>
        <v/>
      </c>
      <c r="AA3017" s="45" t="str">
        <f>IFERROR(VLOOKUP(B3017,'Pre-Summary'!$CG$6:$CI$70,2,FALSE),"")</f>
        <v/>
      </c>
      <c r="AB3017" s="99">
        <f>IFERROR(VLOOKUP(B3017,'Pre-Summary'!$A$6:$P$178,9,FALSE),AB3018)</f>
        <v>0.78672405455763872</v>
      </c>
      <c r="AC3017" s="10">
        <f>IFERROR(VLOOKUP(Summary!B3017,'Pre-Summary'!$A$6:$P$184,5, FALSE)/100,AC3018)</f>
        <v>0.94994933333333331</v>
      </c>
      <c r="AD3017" s="10">
        <f>IFERROR(VLOOKUP(Summary!B3017,'Pre-Summary'!$A$6:$P$184,3, FALSE)/100,AD3018)</f>
        <v>4.7186000000000006E-2</v>
      </c>
      <c r="AE3017" s="10">
        <f>IFERROR(VLOOKUP(Summary!B3017,'Pre-Summary'!$A$6:$P$184,7, FALSE)/100,AE3018)</f>
        <v>2.8646666666666668E-3</v>
      </c>
      <c r="AF3017" s="99">
        <f t="shared" si="142"/>
        <v>3.7122361238356744E-2</v>
      </c>
      <c r="AG3017" s="99">
        <f t="shared" si="143"/>
        <v>2.2537021749561158E-3</v>
      </c>
      <c r="AH3017" s="10" t="str">
        <f>IFERROR(VLOOKUP(B3017,'Pre-Summary'!$AZ$6:$BE$65,3,FALSE),"")</f>
        <v/>
      </c>
      <c r="AI3017" s="10" t="str">
        <f>IFERROR(VLOOKUP(B3017,'Pre-Summary'!$AZ$6:$BE$65,5,FALSE),"")</f>
        <v/>
      </c>
      <c r="AJ3017" s="10" t="str">
        <f>IFERROR(VLOOKUP(B3017,'Pre-Summary'!$AZ$6:$BE$65,4,FALSE),"")</f>
        <v/>
      </c>
      <c r="AK3017" s="10" t="str">
        <f>IFERROR(VLOOKUP(B3017,'Pre-Summary'!$AZ$6:$BE$65,6,FALSE),"")</f>
        <v/>
      </c>
      <c r="AL3017" s="10" t="str">
        <f>IFERROR(VLOOKUP(B3017,'Pre-Summary'!$BG$6:$BL$44,3,FALSE),"")</f>
        <v/>
      </c>
      <c r="AM3017" s="10" t="str">
        <f>IFERROR(VLOOKUP(B3017,'Pre-Summary'!$BG$6:$BL$44,4,FALSE),"")</f>
        <v/>
      </c>
    </row>
    <row r="3018" spans="2:39" ht="15" customHeight="1" x14ac:dyDescent="0.3">
      <c r="B3018">
        <v>301.5</v>
      </c>
      <c r="C3018" t="str">
        <f>IFERROR(VLOOKUP(B3018,'Pre-Summary'!$DI$6:$DM$23,4,FALSE),"")</f>
        <v/>
      </c>
      <c r="D3018" s="10" t="str">
        <f>IFERROR(VLOOKUP(B3018,'Pre-Summary'!$AT$6:$AX$14,5,FALSE),D3017)</f>
        <v>Wolfe v3: went back to modified wolfe + EDTA and switched CuSO4 to CUCl2</v>
      </c>
      <c r="E3018" s="10" t="str">
        <f>IFERROR(VLOOKUP(B3018,'Pre-Summary'!$AT$6:$AX$15,4,FALSE),"")</f>
        <v/>
      </c>
      <c r="F3018">
        <f>IFERROR(VLOOKUP(B3018,'Pre-Summary'!$AL$6:$AQ$13,6,FALSE),F3017)</f>
        <v>5.9405263157894746E-2</v>
      </c>
      <c r="G3018" t="str">
        <f>IFERROR(VLOOKUP(B3018,'Pre-Summary'!$AE$6:$AJ$85,3,FALSE),"")</f>
        <v/>
      </c>
      <c r="H3018" t="str">
        <f>IFERROR(VLOOKUP(B3018,'Pre-Summary'!$AE$6:$AJ$85,4,FALSE),"")</f>
        <v/>
      </c>
      <c r="I3018" t="str">
        <f>IFERROR(VLOOKUP(B3018,'Pre-Summary'!$AE$6:$AJ$85,5,FALSE),"")</f>
        <v/>
      </c>
      <c r="J3018" s="45" t="str">
        <f>IFERROR(VLOOKUP(B3018,'Pre-Summary'!$AE$6:$AJ$85,6, FALSE),"")</f>
        <v/>
      </c>
      <c r="K3018" s="45" t="str">
        <f>IFERROR(VLOOKUP(B3018,'Pre-Summary'!$DE$6:$DG$61,3,FALSE),"")</f>
        <v/>
      </c>
      <c r="L3018" s="45" t="str">
        <f>IFERROR(VLOOKUP(B3018,'Pre-Summary'!$CU$6:$CW$36,3,FALSE),"")</f>
        <v/>
      </c>
      <c r="M3018" s="45" t="str">
        <f>IFERROR(VLOOKUP(B3018,'Pre-Summary'!$BW$6:$BY$58,2,FALSE),"")</f>
        <v/>
      </c>
      <c r="N3018" s="45" t="str">
        <f>IFERROR(VLOOKUP(B3018,'Pre-Summary'!$CD$6:$CF$64,2,FALSE),"")</f>
        <v/>
      </c>
      <c r="O3018" s="99">
        <f>IFERROR(VLOOKUP(B3018,'Pre-Summary'!$BO$6:$BQ$48,3, FALSE),O3017)</f>
        <v>2.77</v>
      </c>
      <c r="P3018" s="99">
        <f>IFERROR(VLOOKUP(B3018,'Pre-Summary'!$BS$6:$BU$35,3,FALSE),P3017)</f>
        <v>0.70099999999999996</v>
      </c>
      <c r="Q3018" s="54">
        <f t="shared" si="141"/>
        <v>3.9514978601997148</v>
      </c>
      <c r="R3018" s="53">
        <f>IFERROR(VLOOKUP(B3018,'Pre-Summary'!$BG$6:$BM$44,7,FALSE),R3019)</f>
        <v>0</v>
      </c>
      <c r="S3018" s="53" t="e">
        <f>VLOOKUP(B3018,'Pre-Summary'!$BG$6:$BM$44,6,FALSE)</f>
        <v>#N/A</v>
      </c>
      <c r="T3018" s="45" t="str">
        <f>IFERROR(VLOOKUP(B3018,'Pre-Summary'!$Y$6:$AC$83, 3,FALSE),"")</f>
        <v/>
      </c>
      <c r="U3018" s="45" t="str">
        <f>IFERROR(VLOOKUP(B3018,'Pre-Summary'!$Y$6:$AC$83, 4,FALSE),"")</f>
        <v/>
      </c>
      <c r="V3018" t="str">
        <f>IFERROR(VLOOKUP(B3018,'Pre-Summary'!$Y$6:$AC$83, 5,FALSE),"")</f>
        <v/>
      </c>
      <c r="W3018" s="45" t="str">
        <f>IFERROR(VLOOKUP(B3018,'Pre-Summary'!$Y$6:$AD$83,6,FALSE),"")</f>
        <v/>
      </c>
      <c r="X3018" t="str">
        <f>IFERROR(VLOOKUP('Pre-Summary'!$DB$6:$DD$63,3,FALSE),"")</f>
        <v/>
      </c>
      <c r="Y3018" t="str">
        <f>IFERROR(VLOOKUP(B3018,'Pre-Summary'!$CR$6:$CT$36,3,FALSE),"")</f>
        <v/>
      </c>
      <c r="Z3018" s="45" t="str">
        <f>IFERROR(VLOOKUP(B3018,'Pre-Summary'!$BZ$6:$CB$63,2,FALSE),"")</f>
        <v/>
      </c>
      <c r="AA3018" s="45" t="str">
        <f>IFERROR(VLOOKUP(B3018,'Pre-Summary'!$CG$6:$CI$70,2,FALSE),"")</f>
        <v/>
      </c>
      <c r="AB3018" s="99">
        <f>IFERROR(VLOOKUP(B3018,'Pre-Summary'!$A$6:$P$178,9,FALSE),AB3019)</f>
        <v>0.78672405455763872</v>
      </c>
      <c r="AC3018" s="10">
        <f>IFERROR(VLOOKUP(Summary!B3018,'Pre-Summary'!$A$6:$P$184,5, FALSE)/100,AC3019)</f>
        <v>0.94994933333333331</v>
      </c>
      <c r="AD3018" s="10">
        <f>IFERROR(VLOOKUP(Summary!B3018,'Pre-Summary'!$A$6:$P$184,3, FALSE)/100,AD3019)</f>
        <v>4.7186000000000006E-2</v>
      </c>
      <c r="AE3018" s="10">
        <f>IFERROR(VLOOKUP(Summary!B3018,'Pre-Summary'!$A$6:$P$184,7, FALSE)/100,AE3019)</f>
        <v>2.8646666666666668E-3</v>
      </c>
      <c r="AF3018" s="99">
        <f t="shared" si="142"/>
        <v>3.7122361238356744E-2</v>
      </c>
      <c r="AG3018" s="99">
        <f t="shared" si="143"/>
        <v>2.2537021749561158E-3</v>
      </c>
      <c r="AH3018" s="10" t="str">
        <f>IFERROR(VLOOKUP(B3018,'Pre-Summary'!$AZ$6:$BE$65,3,FALSE),"")</f>
        <v/>
      </c>
      <c r="AI3018" s="10" t="str">
        <f>IFERROR(VLOOKUP(B3018,'Pre-Summary'!$AZ$6:$BE$65,5,FALSE),"")</f>
        <v/>
      </c>
      <c r="AJ3018" s="10" t="str">
        <f>IFERROR(VLOOKUP(B3018,'Pre-Summary'!$AZ$6:$BE$65,4,FALSE),"")</f>
        <v/>
      </c>
      <c r="AK3018" s="10" t="str">
        <f>IFERROR(VLOOKUP(B3018,'Pre-Summary'!$AZ$6:$BE$65,6,FALSE),"")</f>
        <v/>
      </c>
      <c r="AL3018" s="10" t="str">
        <f>IFERROR(VLOOKUP(B3018,'Pre-Summary'!$BG$6:$BL$44,3,FALSE),"")</f>
        <v/>
      </c>
      <c r="AM3018" s="10" t="str">
        <f>IFERROR(VLOOKUP(B3018,'Pre-Summary'!$BG$6:$BL$44,4,FALSE),"")</f>
        <v/>
      </c>
    </row>
    <row r="3019" spans="2:39" ht="15" customHeight="1" x14ac:dyDescent="0.3">
      <c r="B3019">
        <v>301.60000000000002</v>
      </c>
      <c r="C3019" t="str">
        <f>IFERROR(VLOOKUP(B3019,'Pre-Summary'!$DI$6:$DM$23,4,FALSE),"")</f>
        <v/>
      </c>
      <c r="D3019" s="10" t="str">
        <f>IFERROR(VLOOKUP(B3019,'Pre-Summary'!$AT$6:$AX$14,5,FALSE),D3018)</f>
        <v>Wolfe v3: went back to modified wolfe + EDTA and switched CuSO4 to CUCl2</v>
      </c>
      <c r="E3019" s="10" t="str">
        <f>IFERROR(VLOOKUP(B3019,'Pre-Summary'!$AT$6:$AX$15,4,FALSE),"")</f>
        <v/>
      </c>
      <c r="F3019">
        <f>IFERROR(VLOOKUP(B3019,'Pre-Summary'!$AL$6:$AQ$13,6,FALSE),F3018)</f>
        <v>5.9405263157894746E-2</v>
      </c>
      <c r="G3019" t="str">
        <f>IFERROR(VLOOKUP(B3019,'Pre-Summary'!$AE$6:$AJ$85,3,FALSE),"")</f>
        <v/>
      </c>
      <c r="H3019" t="str">
        <f>IFERROR(VLOOKUP(B3019,'Pre-Summary'!$AE$6:$AJ$85,4,FALSE),"")</f>
        <v/>
      </c>
      <c r="I3019" t="str">
        <f>IFERROR(VLOOKUP(B3019,'Pre-Summary'!$AE$6:$AJ$85,5,FALSE),"")</f>
        <v/>
      </c>
      <c r="J3019" s="45" t="str">
        <f>IFERROR(VLOOKUP(B3019,'Pre-Summary'!$AE$6:$AJ$85,6, FALSE),"")</f>
        <v/>
      </c>
      <c r="K3019" s="45" t="str">
        <f>IFERROR(VLOOKUP(B3019,'Pre-Summary'!$DE$6:$DG$61,3,FALSE),"")</f>
        <v/>
      </c>
      <c r="L3019" s="45" t="str">
        <f>IFERROR(VLOOKUP(B3019,'Pre-Summary'!$CU$6:$CW$36,3,FALSE),"")</f>
        <v/>
      </c>
      <c r="M3019" s="45" t="str">
        <f>IFERROR(VLOOKUP(B3019,'Pre-Summary'!$BW$6:$BY$58,2,FALSE),"")</f>
        <v/>
      </c>
      <c r="N3019" s="45" t="str">
        <f>IFERROR(VLOOKUP(B3019,'Pre-Summary'!$CD$6:$CF$64,2,FALSE),"")</f>
        <v/>
      </c>
      <c r="O3019" s="99">
        <f>IFERROR(VLOOKUP(B3019,'Pre-Summary'!$BO$6:$BQ$48,3, FALSE),O3018)</f>
        <v>2.77</v>
      </c>
      <c r="P3019" s="99">
        <f>IFERROR(VLOOKUP(B3019,'Pre-Summary'!$BS$6:$BU$35,3,FALSE),P3018)</f>
        <v>0.70099999999999996</v>
      </c>
      <c r="Q3019" s="54">
        <f t="shared" si="141"/>
        <v>3.9514978601997148</v>
      </c>
      <c r="R3019" s="53">
        <f>IFERROR(VLOOKUP(B3019,'Pre-Summary'!$BG$6:$BM$44,7,FALSE),R3020)</f>
        <v>0</v>
      </c>
      <c r="S3019" s="53" t="e">
        <f>VLOOKUP(B3019,'Pre-Summary'!$BG$6:$BM$44,6,FALSE)</f>
        <v>#N/A</v>
      </c>
      <c r="T3019" s="45" t="str">
        <f>IFERROR(VLOOKUP(B3019,'Pre-Summary'!$Y$6:$AC$83, 3,FALSE),"")</f>
        <v/>
      </c>
      <c r="U3019" s="45" t="str">
        <f>IFERROR(VLOOKUP(B3019,'Pre-Summary'!$Y$6:$AC$83, 4,FALSE),"")</f>
        <v/>
      </c>
      <c r="V3019" t="str">
        <f>IFERROR(VLOOKUP(B3019,'Pre-Summary'!$Y$6:$AC$83, 5,FALSE),"")</f>
        <v/>
      </c>
      <c r="W3019" s="45" t="str">
        <f>IFERROR(VLOOKUP(B3019,'Pre-Summary'!$Y$6:$AD$83,6,FALSE),"")</f>
        <v/>
      </c>
      <c r="X3019" t="str">
        <f>IFERROR(VLOOKUP('Pre-Summary'!$DB$6:$DD$63,3,FALSE),"")</f>
        <v/>
      </c>
      <c r="Y3019" t="str">
        <f>IFERROR(VLOOKUP(B3019,'Pre-Summary'!$CR$6:$CT$36,3,FALSE),"")</f>
        <v/>
      </c>
      <c r="Z3019" s="45" t="str">
        <f>IFERROR(VLOOKUP(B3019,'Pre-Summary'!$BZ$6:$CB$63,2,FALSE),"")</f>
        <v/>
      </c>
      <c r="AA3019" s="45" t="str">
        <f>IFERROR(VLOOKUP(B3019,'Pre-Summary'!$CG$6:$CI$70,2,FALSE),"")</f>
        <v/>
      </c>
      <c r="AB3019" s="99">
        <f>IFERROR(VLOOKUP(B3019,'Pre-Summary'!$A$6:$P$178,9,FALSE),AB3020)</f>
        <v>0.78672405455763872</v>
      </c>
      <c r="AC3019" s="10">
        <f>IFERROR(VLOOKUP(Summary!B3019,'Pre-Summary'!$A$6:$P$184,5, FALSE)/100,AC3020)</f>
        <v>0.94994933333333331</v>
      </c>
      <c r="AD3019" s="10">
        <f>IFERROR(VLOOKUP(Summary!B3019,'Pre-Summary'!$A$6:$P$184,3, FALSE)/100,AD3020)</f>
        <v>4.7186000000000006E-2</v>
      </c>
      <c r="AE3019" s="10">
        <f>IFERROR(VLOOKUP(Summary!B3019,'Pre-Summary'!$A$6:$P$184,7, FALSE)/100,AE3020)</f>
        <v>2.8646666666666668E-3</v>
      </c>
      <c r="AF3019" s="99">
        <f t="shared" si="142"/>
        <v>3.7122361238356744E-2</v>
      </c>
      <c r="AG3019" s="99">
        <f t="shared" si="143"/>
        <v>2.2537021749561158E-3</v>
      </c>
      <c r="AH3019" s="10" t="str">
        <f>IFERROR(VLOOKUP(B3019,'Pre-Summary'!$AZ$6:$BE$65,3,FALSE),"")</f>
        <v/>
      </c>
      <c r="AI3019" s="10" t="str">
        <f>IFERROR(VLOOKUP(B3019,'Pre-Summary'!$AZ$6:$BE$65,5,FALSE),"")</f>
        <v/>
      </c>
      <c r="AJ3019" s="10" t="str">
        <f>IFERROR(VLOOKUP(B3019,'Pre-Summary'!$AZ$6:$BE$65,4,FALSE),"")</f>
        <v/>
      </c>
      <c r="AK3019" s="10" t="str">
        <f>IFERROR(VLOOKUP(B3019,'Pre-Summary'!$AZ$6:$BE$65,6,FALSE),"")</f>
        <v/>
      </c>
      <c r="AL3019" s="10" t="str">
        <f>IFERROR(VLOOKUP(B3019,'Pre-Summary'!$BG$6:$BL$44,3,FALSE),"")</f>
        <v/>
      </c>
      <c r="AM3019" s="10" t="str">
        <f>IFERROR(VLOOKUP(B3019,'Pre-Summary'!$BG$6:$BL$44,4,FALSE),"")</f>
        <v/>
      </c>
    </row>
    <row r="3020" spans="2:39" ht="15" customHeight="1" x14ac:dyDescent="0.3">
      <c r="B3020">
        <v>301.7</v>
      </c>
      <c r="C3020" t="str">
        <f>IFERROR(VLOOKUP(B3020,'Pre-Summary'!$DI$6:$DM$23,4,FALSE),"")</f>
        <v/>
      </c>
      <c r="D3020" s="10" t="str">
        <f>IFERROR(VLOOKUP(B3020,'Pre-Summary'!$AT$6:$AX$14,5,FALSE),D3019)</f>
        <v>Wolfe v3: went back to modified wolfe + EDTA and switched CuSO4 to CUCl2</v>
      </c>
      <c r="E3020" s="10" t="str">
        <f>IFERROR(VLOOKUP(B3020,'Pre-Summary'!$AT$6:$AX$15,4,FALSE),"")</f>
        <v/>
      </c>
      <c r="F3020">
        <f>IFERROR(VLOOKUP(B3020,'Pre-Summary'!$AL$6:$AQ$13,6,FALSE),F3019)</f>
        <v>5.9405263157894746E-2</v>
      </c>
      <c r="G3020" t="str">
        <f>IFERROR(VLOOKUP(B3020,'Pre-Summary'!$AE$6:$AJ$85,3,FALSE),"")</f>
        <v/>
      </c>
      <c r="H3020" t="str">
        <f>IFERROR(VLOOKUP(B3020,'Pre-Summary'!$AE$6:$AJ$85,4,FALSE),"")</f>
        <v/>
      </c>
      <c r="I3020" t="str">
        <f>IFERROR(VLOOKUP(B3020,'Pre-Summary'!$AE$6:$AJ$85,5,FALSE),"")</f>
        <v/>
      </c>
      <c r="J3020" s="45" t="str">
        <f>IFERROR(VLOOKUP(B3020,'Pre-Summary'!$AE$6:$AJ$85,6, FALSE),"")</f>
        <v/>
      </c>
      <c r="K3020" s="45" t="str">
        <f>IFERROR(VLOOKUP(B3020,'Pre-Summary'!$DE$6:$DG$61,3,FALSE),"")</f>
        <v/>
      </c>
      <c r="L3020" s="45" t="str">
        <f>IFERROR(VLOOKUP(B3020,'Pre-Summary'!$CU$6:$CW$36,3,FALSE),"")</f>
        <v/>
      </c>
      <c r="M3020" s="45" t="str">
        <f>IFERROR(VLOOKUP(B3020,'Pre-Summary'!$BW$6:$BY$58,2,FALSE),"")</f>
        <v/>
      </c>
      <c r="N3020" s="45" t="str">
        <f>IFERROR(VLOOKUP(B3020,'Pre-Summary'!$CD$6:$CF$64,2,FALSE),"")</f>
        <v/>
      </c>
      <c r="O3020" s="99">
        <f>IFERROR(VLOOKUP(B3020,'Pre-Summary'!$BO$6:$BQ$48,3, FALSE),O3019)</f>
        <v>2.77</v>
      </c>
      <c r="P3020" s="99">
        <f>IFERROR(VLOOKUP(B3020,'Pre-Summary'!$BS$6:$BU$35,3,FALSE),P3019)</f>
        <v>0.70099999999999996</v>
      </c>
      <c r="Q3020" s="54">
        <f t="shared" si="141"/>
        <v>3.9514978601997148</v>
      </c>
      <c r="R3020" s="53">
        <f>IFERROR(VLOOKUP(B3020,'Pre-Summary'!$BG$6:$BM$44,7,FALSE),R3021)</f>
        <v>0</v>
      </c>
      <c r="S3020" s="53" t="e">
        <f>VLOOKUP(B3020,'Pre-Summary'!$BG$6:$BM$44,6,FALSE)</f>
        <v>#N/A</v>
      </c>
      <c r="T3020" s="45" t="str">
        <f>IFERROR(VLOOKUP(B3020,'Pre-Summary'!$Y$6:$AC$83, 3,FALSE),"")</f>
        <v/>
      </c>
      <c r="U3020" s="45" t="str">
        <f>IFERROR(VLOOKUP(B3020,'Pre-Summary'!$Y$6:$AC$83, 4,FALSE),"")</f>
        <v/>
      </c>
      <c r="V3020" t="str">
        <f>IFERROR(VLOOKUP(B3020,'Pre-Summary'!$Y$6:$AC$83, 5,FALSE),"")</f>
        <v/>
      </c>
      <c r="W3020" s="45" t="str">
        <f>IFERROR(VLOOKUP(B3020,'Pre-Summary'!$Y$6:$AD$83,6,FALSE),"")</f>
        <v/>
      </c>
      <c r="X3020" t="str">
        <f>IFERROR(VLOOKUP('Pre-Summary'!$DB$6:$DD$63,3,FALSE),"")</f>
        <v/>
      </c>
      <c r="Y3020" t="str">
        <f>IFERROR(VLOOKUP(B3020,'Pre-Summary'!$CR$6:$CT$36,3,FALSE),"")</f>
        <v/>
      </c>
      <c r="Z3020" s="45" t="str">
        <f>IFERROR(VLOOKUP(B3020,'Pre-Summary'!$BZ$6:$CB$63,2,FALSE),"")</f>
        <v/>
      </c>
      <c r="AA3020" s="45" t="str">
        <f>IFERROR(VLOOKUP(B3020,'Pre-Summary'!$CG$6:$CI$70,2,FALSE),"")</f>
        <v/>
      </c>
      <c r="AB3020" s="99">
        <f>IFERROR(VLOOKUP(B3020,'Pre-Summary'!$A$6:$P$178,9,FALSE),AB3021)</f>
        <v>0.78672405455763872</v>
      </c>
      <c r="AC3020" s="10">
        <f>IFERROR(VLOOKUP(Summary!B3020,'Pre-Summary'!$A$6:$P$184,5, FALSE)/100,AC3021)</f>
        <v>0.94994933333333331</v>
      </c>
      <c r="AD3020" s="10">
        <f>IFERROR(VLOOKUP(Summary!B3020,'Pre-Summary'!$A$6:$P$184,3, FALSE)/100,AD3021)</f>
        <v>4.7186000000000006E-2</v>
      </c>
      <c r="AE3020" s="10">
        <f>IFERROR(VLOOKUP(Summary!B3020,'Pre-Summary'!$A$6:$P$184,7, FALSE)/100,AE3021)</f>
        <v>2.8646666666666668E-3</v>
      </c>
      <c r="AF3020" s="99">
        <f t="shared" si="142"/>
        <v>3.7122361238356744E-2</v>
      </c>
      <c r="AG3020" s="99">
        <f t="shared" si="143"/>
        <v>2.2537021749561158E-3</v>
      </c>
      <c r="AH3020" s="10" t="str">
        <f>IFERROR(VLOOKUP(B3020,'Pre-Summary'!$AZ$6:$BE$65,3,FALSE),"")</f>
        <v/>
      </c>
      <c r="AI3020" s="10" t="str">
        <f>IFERROR(VLOOKUP(B3020,'Pre-Summary'!$AZ$6:$BE$65,5,FALSE),"")</f>
        <v/>
      </c>
      <c r="AJ3020" s="10" t="str">
        <f>IFERROR(VLOOKUP(B3020,'Pre-Summary'!$AZ$6:$BE$65,4,FALSE),"")</f>
        <v/>
      </c>
      <c r="AK3020" s="10" t="str">
        <f>IFERROR(VLOOKUP(B3020,'Pre-Summary'!$AZ$6:$BE$65,6,FALSE),"")</f>
        <v/>
      </c>
      <c r="AL3020" s="10" t="str">
        <f>IFERROR(VLOOKUP(B3020,'Pre-Summary'!$BG$6:$BL$44,3,FALSE),"")</f>
        <v/>
      </c>
      <c r="AM3020" s="10" t="str">
        <f>IFERROR(VLOOKUP(B3020,'Pre-Summary'!$BG$6:$BL$44,4,FALSE),"")</f>
        <v/>
      </c>
    </row>
    <row r="3021" spans="2:39" ht="15" customHeight="1" x14ac:dyDescent="0.3">
      <c r="B3021">
        <v>301.8</v>
      </c>
      <c r="C3021" t="str">
        <f>IFERROR(VLOOKUP(B3021,'Pre-Summary'!$DI$6:$DM$23,4,FALSE),"")</f>
        <v/>
      </c>
      <c r="D3021" s="10" t="str">
        <f>IFERROR(VLOOKUP(B3021,'Pre-Summary'!$AT$6:$AX$14,5,FALSE),D3020)</f>
        <v>Wolfe v3: went back to modified wolfe + EDTA and switched CuSO4 to CUCl2</v>
      </c>
      <c r="E3021" s="10" t="str">
        <f>IFERROR(VLOOKUP(B3021,'Pre-Summary'!$AT$6:$AX$15,4,FALSE),"")</f>
        <v/>
      </c>
      <c r="F3021">
        <f>IFERROR(VLOOKUP(B3021,'Pre-Summary'!$AL$6:$AQ$13,6,FALSE),F3020)</f>
        <v>5.9405263157894746E-2</v>
      </c>
      <c r="G3021" t="str">
        <f>IFERROR(VLOOKUP(B3021,'Pre-Summary'!$AE$6:$AJ$85,3,FALSE),"")</f>
        <v/>
      </c>
      <c r="H3021" t="str">
        <f>IFERROR(VLOOKUP(B3021,'Pre-Summary'!$AE$6:$AJ$85,4,FALSE),"")</f>
        <v/>
      </c>
      <c r="I3021" t="str">
        <f>IFERROR(VLOOKUP(B3021,'Pre-Summary'!$AE$6:$AJ$85,5,FALSE),"")</f>
        <v/>
      </c>
      <c r="J3021" s="45" t="str">
        <f>IFERROR(VLOOKUP(B3021,'Pre-Summary'!$AE$6:$AJ$85,6, FALSE),"")</f>
        <v/>
      </c>
      <c r="K3021" s="45" t="str">
        <f>IFERROR(VLOOKUP(B3021,'Pre-Summary'!$DE$6:$DG$61,3,FALSE),"")</f>
        <v/>
      </c>
      <c r="L3021" s="45" t="str">
        <f>IFERROR(VLOOKUP(B3021,'Pre-Summary'!$CU$6:$CW$36,3,FALSE),"")</f>
        <v/>
      </c>
      <c r="M3021" s="45" t="str">
        <f>IFERROR(VLOOKUP(B3021,'Pre-Summary'!$BW$6:$BY$58,2,FALSE),"")</f>
        <v/>
      </c>
      <c r="N3021" s="45" t="str">
        <f>IFERROR(VLOOKUP(B3021,'Pre-Summary'!$CD$6:$CF$64,2,FALSE),"")</f>
        <v/>
      </c>
      <c r="O3021" s="99">
        <f>IFERROR(VLOOKUP(B3021,'Pre-Summary'!$BO$6:$BQ$48,3, FALSE),O3020)</f>
        <v>2.77</v>
      </c>
      <c r="P3021" s="99">
        <f>IFERROR(VLOOKUP(B3021,'Pre-Summary'!$BS$6:$BU$35,3,FALSE),P3020)</f>
        <v>0.70099999999999996</v>
      </c>
      <c r="Q3021" s="54">
        <f t="shared" si="141"/>
        <v>3.9514978601997148</v>
      </c>
      <c r="R3021" s="53">
        <f>IFERROR(VLOOKUP(B3021,'Pre-Summary'!$BG$6:$BM$44,7,FALSE),R3022)</f>
        <v>0</v>
      </c>
      <c r="S3021" s="53" t="e">
        <f>VLOOKUP(B3021,'Pre-Summary'!$BG$6:$BM$44,6,FALSE)</f>
        <v>#N/A</v>
      </c>
      <c r="T3021" s="45" t="str">
        <f>IFERROR(VLOOKUP(B3021,'Pre-Summary'!$Y$6:$AC$83, 3,FALSE),"")</f>
        <v/>
      </c>
      <c r="U3021" s="45" t="str">
        <f>IFERROR(VLOOKUP(B3021,'Pre-Summary'!$Y$6:$AC$83, 4,FALSE),"")</f>
        <v/>
      </c>
      <c r="V3021" t="str">
        <f>IFERROR(VLOOKUP(B3021,'Pre-Summary'!$Y$6:$AC$83, 5,FALSE),"")</f>
        <v/>
      </c>
      <c r="W3021" s="45" t="str">
        <f>IFERROR(VLOOKUP(B3021,'Pre-Summary'!$Y$6:$AD$83,6,FALSE),"")</f>
        <v/>
      </c>
      <c r="X3021" t="str">
        <f>IFERROR(VLOOKUP('Pre-Summary'!$DB$6:$DD$63,3,FALSE),"")</f>
        <v/>
      </c>
      <c r="Y3021" t="str">
        <f>IFERROR(VLOOKUP(B3021,'Pre-Summary'!$CR$6:$CT$36,3,FALSE),"")</f>
        <v/>
      </c>
      <c r="Z3021" s="45" t="str">
        <f>IFERROR(VLOOKUP(B3021,'Pre-Summary'!$BZ$6:$CB$63,2,FALSE),"")</f>
        <v/>
      </c>
      <c r="AA3021" s="45" t="str">
        <f>IFERROR(VLOOKUP(B3021,'Pre-Summary'!$CG$6:$CI$70,2,FALSE),"")</f>
        <v/>
      </c>
      <c r="AB3021" s="99">
        <f>IFERROR(VLOOKUP(B3021,'Pre-Summary'!$A$6:$P$178,9,FALSE),AB3022)</f>
        <v>0.78672405455763872</v>
      </c>
      <c r="AC3021" s="10">
        <f>IFERROR(VLOOKUP(Summary!B3021,'Pre-Summary'!$A$6:$P$184,5, FALSE)/100,AC3022)</f>
        <v>0.94994933333333331</v>
      </c>
      <c r="AD3021" s="10">
        <f>IFERROR(VLOOKUP(Summary!B3021,'Pre-Summary'!$A$6:$P$184,3, FALSE)/100,AD3022)</f>
        <v>4.7186000000000006E-2</v>
      </c>
      <c r="AE3021" s="10">
        <f>IFERROR(VLOOKUP(Summary!B3021,'Pre-Summary'!$A$6:$P$184,7, FALSE)/100,AE3022)</f>
        <v>2.8646666666666668E-3</v>
      </c>
      <c r="AF3021" s="99">
        <f t="shared" si="142"/>
        <v>3.7122361238356744E-2</v>
      </c>
      <c r="AG3021" s="99">
        <f t="shared" si="143"/>
        <v>2.2537021749561158E-3</v>
      </c>
      <c r="AH3021" s="10" t="str">
        <f>IFERROR(VLOOKUP(B3021,'Pre-Summary'!$AZ$6:$BE$65,3,FALSE),"")</f>
        <v/>
      </c>
      <c r="AI3021" s="10" t="str">
        <f>IFERROR(VLOOKUP(B3021,'Pre-Summary'!$AZ$6:$BE$65,5,FALSE),"")</f>
        <v/>
      </c>
      <c r="AJ3021" s="10" t="str">
        <f>IFERROR(VLOOKUP(B3021,'Pre-Summary'!$AZ$6:$BE$65,4,FALSE),"")</f>
        <v/>
      </c>
      <c r="AK3021" s="10" t="str">
        <f>IFERROR(VLOOKUP(B3021,'Pre-Summary'!$AZ$6:$BE$65,6,FALSE),"")</f>
        <v/>
      </c>
      <c r="AL3021" s="10" t="str">
        <f>IFERROR(VLOOKUP(B3021,'Pre-Summary'!$BG$6:$BL$44,3,FALSE),"")</f>
        <v/>
      </c>
      <c r="AM3021" s="10" t="str">
        <f>IFERROR(VLOOKUP(B3021,'Pre-Summary'!$BG$6:$BL$44,4,FALSE),"")</f>
        <v/>
      </c>
    </row>
    <row r="3022" spans="2:39" ht="15" customHeight="1" x14ac:dyDescent="0.3">
      <c r="B3022">
        <v>301.89999999999998</v>
      </c>
      <c r="C3022" t="str">
        <f>IFERROR(VLOOKUP(B3022,'Pre-Summary'!$DI$6:$DM$23,4,FALSE),"")</f>
        <v/>
      </c>
      <c r="D3022" s="10" t="str">
        <f>IFERROR(VLOOKUP(B3022,'Pre-Summary'!$AT$6:$AX$14,5,FALSE),D3021)</f>
        <v>Wolfe v3: went back to modified wolfe + EDTA and switched CuSO4 to CUCl2</v>
      </c>
      <c r="E3022" s="10" t="str">
        <f>IFERROR(VLOOKUP(B3022,'Pre-Summary'!$AT$6:$AX$15,4,FALSE),"")</f>
        <v/>
      </c>
      <c r="F3022">
        <f>IFERROR(VLOOKUP(B3022,'Pre-Summary'!$AL$6:$AQ$13,6,FALSE),F3021)</f>
        <v>5.9405263157894746E-2</v>
      </c>
      <c r="G3022" t="str">
        <f>IFERROR(VLOOKUP(B3022,'Pre-Summary'!$AE$6:$AJ$85,3,FALSE),"")</f>
        <v/>
      </c>
      <c r="H3022" t="str">
        <f>IFERROR(VLOOKUP(B3022,'Pre-Summary'!$AE$6:$AJ$85,4,FALSE),"")</f>
        <v/>
      </c>
      <c r="I3022" t="str">
        <f>IFERROR(VLOOKUP(B3022,'Pre-Summary'!$AE$6:$AJ$85,5,FALSE),"")</f>
        <v/>
      </c>
      <c r="J3022" s="45" t="str">
        <f>IFERROR(VLOOKUP(B3022,'Pre-Summary'!$AE$6:$AJ$85,6, FALSE),"")</f>
        <v/>
      </c>
      <c r="K3022" s="45" t="str">
        <f>IFERROR(VLOOKUP(B3022,'Pre-Summary'!$DE$6:$DG$61,3,FALSE),"")</f>
        <v/>
      </c>
      <c r="L3022" s="45" t="str">
        <f>IFERROR(VLOOKUP(B3022,'Pre-Summary'!$CU$6:$CW$36,3,FALSE),"")</f>
        <v/>
      </c>
      <c r="M3022" s="45" t="str">
        <f>IFERROR(VLOOKUP(B3022,'Pre-Summary'!$BW$6:$BY$58,2,FALSE),"")</f>
        <v/>
      </c>
      <c r="N3022" s="45" t="str">
        <f>IFERROR(VLOOKUP(B3022,'Pre-Summary'!$CD$6:$CF$64,2,FALSE),"")</f>
        <v/>
      </c>
      <c r="O3022" s="99">
        <f>IFERROR(VLOOKUP(B3022,'Pre-Summary'!$BO$6:$BQ$48,3, FALSE),O3021)</f>
        <v>2.77</v>
      </c>
      <c r="P3022" s="99">
        <f>IFERROR(VLOOKUP(B3022,'Pre-Summary'!$BS$6:$BU$35,3,FALSE),P3021)</f>
        <v>0.70099999999999996</v>
      </c>
      <c r="Q3022" s="54">
        <f t="shared" si="141"/>
        <v>3.9514978601997148</v>
      </c>
      <c r="R3022" s="53">
        <f>IFERROR(VLOOKUP(B3022,'Pre-Summary'!$BG$6:$BM$44,7,FALSE),R3023)</f>
        <v>0</v>
      </c>
      <c r="S3022" s="53" t="e">
        <f>VLOOKUP(B3022,'Pre-Summary'!$BG$6:$BM$44,6,FALSE)</f>
        <v>#N/A</v>
      </c>
      <c r="T3022" s="45" t="str">
        <f>IFERROR(VLOOKUP(B3022,'Pre-Summary'!$Y$6:$AC$83, 3,FALSE),"")</f>
        <v/>
      </c>
      <c r="U3022" s="45" t="str">
        <f>IFERROR(VLOOKUP(B3022,'Pre-Summary'!$Y$6:$AC$83, 4,FALSE),"")</f>
        <v/>
      </c>
      <c r="V3022" t="str">
        <f>IFERROR(VLOOKUP(B3022,'Pre-Summary'!$Y$6:$AC$83, 5,FALSE),"")</f>
        <v/>
      </c>
      <c r="W3022" s="45" t="str">
        <f>IFERROR(VLOOKUP(B3022,'Pre-Summary'!$Y$6:$AD$83,6,FALSE),"")</f>
        <v/>
      </c>
      <c r="X3022" t="str">
        <f>IFERROR(VLOOKUP('Pre-Summary'!$DB$6:$DD$63,3,FALSE),"")</f>
        <v/>
      </c>
      <c r="Y3022" t="str">
        <f>IFERROR(VLOOKUP(B3022,'Pre-Summary'!$CR$6:$CT$36,3,FALSE),"")</f>
        <v/>
      </c>
      <c r="Z3022" s="45" t="str">
        <f>IFERROR(VLOOKUP(B3022,'Pre-Summary'!$BZ$6:$CB$63,2,FALSE),"")</f>
        <v/>
      </c>
      <c r="AA3022" s="45" t="str">
        <f>IFERROR(VLOOKUP(B3022,'Pre-Summary'!$CG$6:$CI$70,2,FALSE),"")</f>
        <v/>
      </c>
      <c r="AB3022" s="99">
        <f>IFERROR(VLOOKUP(B3022,'Pre-Summary'!$A$6:$P$178,9,FALSE),AB3023)</f>
        <v>0.78672405455763872</v>
      </c>
      <c r="AC3022" s="10">
        <f>IFERROR(VLOOKUP(Summary!B3022,'Pre-Summary'!$A$6:$P$184,5, FALSE)/100,AC3023)</f>
        <v>0.94994933333333331</v>
      </c>
      <c r="AD3022" s="10">
        <f>IFERROR(VLOOKUP(Summary!B3022,'Pre-Summary'!$A$6:$P$184,3, FALSE)/100,AD3023)</f>
        <v>4.7186000000000006E-2</v>
      </c>
      <c r="AE3022" s="10">
        <f>IFERROR(VLOOKUP(Summary!B3022,'Pre-Summary'!$A$6:$P$184,7, FALSE)/100,AE3023)</f>
        <v>2.8646666666666668E-3</v>
      </c>
      <c r="AF3022" s="99">
        <f t="shared" si="142"/>
        <v>3.7122361238356744E-2</v>
      </c>
      <c r="AG3022" s="99">
        <f t="shared" si="143"/>
        <v>2.2537021749561158E-3</v>
      </c>
      <c r="AH3022" s="10" t="str">
        <f>IFERROR(VLOOKUP(B3022,'Pre-Summary'!$AZ$6:$BE$65,3,FALSE),"")</f>
        <v/>
      </c>
      <c r="AI3022" s="10" t="str">
        <f>IFERROR(VLOOKUP(B3022,'Pre-Summary'!$AZ$6:$BE$65,5,FALSE),"")</f>
        <v/>
      </c>
      <c r="AJ3022" s="10" t="str">
        <f>IFERROR(VLOOKUP(B3022,'Pre-Summary'!$AZ$6:$BE$65,4,FALSE),"")</f>
        <v/>
      </c>
      <c r="AK3022" s="10" t="str">
        <f>IFERROR(VLOOKUP(B3022,'Pre-Summary'!$AZ$6:$BE$65,6,FALSE),"")</f>
        <v/>
      </c>
      <c r="AL3022" s="10" t="str">
        <f>IFERROR(VLOOKUP(B3022,'Pre-Summary'!$BG$6:$BL$44,3,FALSE),"")</f>
        <v/>
      </c>
      <c r="AM3022" s="10" t="str">
        <f>IFERROR(VLOOKUP(B3022,'Pre-Summary'!$BG$6:$BL$44,4,FALSE),"")</f>
        <v/>
      </c>
    </row>
    <row r="3023" spans="2:39" ht="15" customHeight="1" x14ac:dyDescent="0.3">
      <c r="B3023">
        <v>302</v>
      </c>
      <c r="C3023" t="str">
        <f>IFERROR(VLOOKUP(B3023,'Pre-Summary'!$DI$6:$DM$23,4,FALSE),"")</f>
        <v/>
      </c>
      <c r="D3023" s="10" t="str">
        <f>IFERROR(VLOOKUP(B3023,'Pre-Summary'!$AT$6:$AX$14,5,FALSE),D3022)</f>
        <v>Wolfe v3: went back to modified wolfe + EDTA and switched CuSO4 to CUCl2</v>
      </c>
      <c r="E3023" s="10" t="str">
        <f>IFERROR(VLOOKUP(B3023,'Pre-Summary'!$AT$6:$AX$15,4,FALSE),"")</f>
        <v/>
      </c>
      <c r="F3023">
        <f>IFERROR(VLOOKUP(B3023,'Pre-Summary'!$AL$6:$AQ$13,6,FALSE),F3022)</f>
        <v>5.9405263157894746E-2</v>
      </c>
      <c r="G3023" t="str">
        <f>IFERROR(VLOOKUP(B3023,'Pre-Summary'!$AE$6:$AJ$85,3,FALSE),"")</f>
        <v/>
      </c>
      <c r="H3023" t="str">
        <f>IFERROR(VLOOKUP(B3023,'Pre-Summary'!$AE$6:$AJ$85,4,FALSE),"")</f>
        <v/>
      </c>
      <c r="I3023" t="str">
        <f>IFERROR(VLOOKUP(B3023,'Pre-Summary'!$AE$6:$AJ$85,5,FALSE),"")</f>
        <v/>
      </c>
      <c r="J3023" s="45" t="str">
        <f>IFERROR(VLOOKUP(B3023,'Pre-Summary'!$AE$6:$AJ$85,6, FALSE),"")</f>
        <v/>
      </c>
      <c r="K3023" s="45" t="str">
        <f>IFERROR(VLOOKUP(B3023,'Pre-Summary'!$DE$6:$DG$61,3,FALSE),"")</f>
        <v/>
      </c>
      <c r="L3023" s="45" t="str">
        <f>IFERROR(VLOOKUP(B3023,'Pre-Summary'!$CU$6:$CW$36,3,FALSE),"")</f>
        <v/>
      </c>
      <c r="M3023" s="45" t="str">
        <f>IFERROR(VLOOKUP(B3023,'Pre-Summary'!$BW$6:$BY$58,2,FALSE),"")</f>
        <v/>
      </c>
      <c r="N3023" s="45" t="str">
        <f>IFERROR(VLOOKUP(B3023,'Pre-Summary'!$CD$6:$CF$64,2,FALSE),"")</f>
        <v/>
      </c>
      <c r="O3023" s="99">
        <f>IFERROR(VLOOKUP(B3023,'Pre-Summary'!$BO$6:$BQ$48,3, FALSE),O3022)</f>
        <v>2.77</v>
      </c>
      <c r="P3023" s="99">
        <f>IFERROR(VLOOKUP(B3023,'Pre-Summary'!$BS$6:$BU$35,3,FALSE),P3022)</f>
        <v>0.70099999999999996</v>
      </c>
      <c r="Q3023" s="54">
        <f t="shared" si="141"/>
        <v>3.9514978601997148</v>
      </c>
      <c r="R3023" s="53">
        <f>IFERROR(VLOOKUP(B3023,'Pre-Summary'!$BG$6:$BM$44,7,FALSE),R3024)</f>
        <v>0</v>
      </c>
      <c r="S3023" s="53" t="e">
        <f>VLOOKUP(B3023,'Pre-Summary'!$BG$6:$BM$44,6,FALSE)</f>
        <v>#N/A</v>
      </c>
      <c r="T3023" s="45" t="str">
        <f>IFERROR(VLOOKUP(B3023,'Pre-Summary'!$Y$6:$AC$83, 3,FALSE),"")</f>
        <v/>
      </c>
      <c r="U3023" s="45" t="str">
        <f>IFERROR(VLOOKUP(B3023,'Pre-Summary'!$Y$6:$AC$83, 4,FALSE),"")</f>
        <v/>
      </c>
      <c r="V3023" t="str">
        <f>IFERROR(VLOOKUP(B3023,'Pre-Summary'!$Y$6:$AC$83, 5,FALSE),"")</f>
        <v/>
      </c>
      <c r="W3023" s="45" t="str">
        <f>IFERROR(VLOOKUP(B3023,'Pre-Summary'!$Y$6:$AD$83,6,FALSE),"")</f>
        <v/>
      </c>
      <c r="X3023" t="str">
        <f>IFERROR(VLOOKUP('Pre-Summary'!$DB$6:$DD$63,3,FALSE),"")</f>
        <v/>
      </c>
      <c r="Y3023" t="str">
        <f>IFERROR(VLOOKUP(B3023,'Pre-Summary'!$CR$6:$CT$36,3,FALSE),"")</f>
        <v/>
      </c>
      <c r="Z3023" s="45" t="str">
        <f>IFERROR(VLOOKUP(B3023,'Pre-Summary'!$BZ$6:$CB$63,2,FALSE),"")</f>
        <v/>
      </c>
      <c r="AA3023" s="45" t="str">
        <f>IFERROR(VLOOKUP(B3023,'Pre-Summary'!$CG$6:$CI$70,2,FALSE),"")</f>
        <v/>
      </c>
      <c r="AB3023" s="99">
        <f>IFERROR(VLOOKUP(B3023,'Pre-Summary'!$A$6:$P$178,9,FALSE),AB3024)</f>
        <v>0.78672405455763872</v>
      </c>
      <c r="AC3023" s="10">
        <f>IFERROR(VLOOKUP(Summary!B3023,'Pre-Summary'!$A$6:$P$184,5, FALSE)/100,AC3024)</f>
        <v>0.94994933333333331</v>
      </c>
      <c r="AD3023" s="10">
        <f>IFERROR(VLOOKUP(Summary!B3023,'Pre-Summary'!$A$6:$P$184,3, FALSE)/100,AD3024)</f>
        <v>4.7186000000000006E-2</v>
      </c>
      <c r="AE3023" s="10">
        <f>IFERROR(VLOOKUP(Summary!B3023,'Pre-Summary'!$A$6:$P$184,7, FALSE)/100,AE3024)</f>
        <v>2.8646666666666668E-3</v>
      </c>
      <c r="AF3023" s="99">
        <f t="shared" si="142"/>
        <v>3.7122361238356744E-2</v>
      </c>
      <c r="AG3023" s="99">
        <f t="shared" si="143"/>
        <v>2.2537021749561158E-3</v>
      </c>
      <c r="AH3023" s="10" t="str">
        <f>IFERROR(VLOOKUP(B3023,'Pre-Summary'!$AZ$6:$BE$65,3,FALSE),"")</f>
        <v/>
      </c>
      <c r="AI3023" s="10" t="str">
        <f>IFERROR(VLOOKUP(B3023,'Pre-Summary'!$AZ$6:$BE$65,5,FALSE),"")</f>
        <v/>
      </c>
      <c r="AJ3023" s="10" t="str">
        <f>IFERROR(VLOOKUP(B3023,'Pre-Summary'!$AZ$6:$BE$65,4,FALSE),"")</f>
        <v/>
      </c>
      <c r="AK3023" s="10" t="str">
        <f>IFERROR(VLOOKUP(B3023,'Pre-Summary'!$AZ$6:$BE$65,6,FALSE),"")</f>
        <v/>
      </c>
      <c r="AL3023" s="10" t="str">
        <f>IFERROR(VLOOKUP(B3023,'Pre-Summary'!$BG$6:$BL$44,3,FALSE),"")</f>
        <v/>
      </c>
      <c r="AM3023" s="10" t="str">
        <f>IFERROR(VLOOKUP(B3023,'Pre-Summary'!$BG$6:$BL$44,4,FALSE),"")</f>
        <v/>
      </c>
    </row>
    <row r="3024" spans="2:39" ht="15" customHeight="1" x14ac:dyDescent="0.3">
      <c r="B3024">
        <v>302.10000000000002</v>
      </c>
      <c r="C3024" t="str">
        <f>IFERROR(VLOOKUP(B3024,'Pre-Summary'!$DI$6:$DM$23,4,FALSE),"")</f>
        <v/>
      </c>
      <c r="D3024" s="10" t="str">
        <f>IFERROR(VLOOKUP(B3024,'Pre-Summary'!$AT$6:$AX$14,5,FALSE),D3023)</f>
        <v>Wolfe v3: went back to modified wolfe + EDTA and switched CuSO4 to CUCl2</v>
      </c>
      <c r="E3024" s="10" t="str">
        <f>IFERROR(VLOOKUP(B3024,'Pre-Summary'!$AT$6:$AX$15,4,FALSE),"")</f>
        <v/>
      </c>
      <c r="F3024">
        <f>IFERROR(VLOOKUP(B3024,'Pre-Summary'!$AL$6:$AQ$13,6,FALSE),F3023)</f>
        <v>5.9405263157894746E-2</v>
      </c>
      <c r="G3024" t="str">
        <f>IFERROR(VLOOKUP(B3024,'Pre-Summary'!$AE$6:$AJ$85,3,FALSE),"")</f>
        <v/>
      </c>
      <c r="H3024" t="str">
        <f>IFERROR(VLOOKUP(B3024,'Pre-Summary'!$AE$6:$AJ$85,4,FALSE),"")</f>
        <v/>
      </c>
      <c r="I3024" t="str">
        <f>IFERROR(VLOOKUP(B3024,'Pre-Summary'!$AE$6:$AJ$85,5,FALSE),"")</f>
        <v/>
      </c>
      <c r="J3024" s="45" t="str">
        <f>IFERROR(VLOOKUP(B3024,'Pre-Summary'!$AE$6:$AJ$85,6, FALSE),"")</f>
        <v/>
      </c>
      <c r="K3024" s="45" t="str">
        <f>IFERROR(VLOOKUP(B3024,'Pre-Summary'!$DE$6:$DG$61,3,FALSE),"")</f>
        <v/>
      </c>
      <c r="L3024" s="45" t="str">
        <f>IFERROR(VLOOKUP(B3024,'Pre-Summary'!$CU$6:$CW$36,3,FALSE),"")</f>
        <v/>
      </c>
      <c r="M3024" s="45" t="str">
        <f>IFERROR(VLOOKUP(B3024,'Pre-Summary'!$BW$6:$BY$58,2,FALSE),"")</f>
        <v/>
      </c>
      <c r="N3024" s="45" t="str">
        <f>IFERROR(VLOOKUP(B3024,'Pre-Summary'!$CD$6:$CF$64,2,FALSE),"")</f>
        <v/>
      </c>
      <c r="O3024" s="99">
        <f>IFERROR(VLOOKUP(B3024,'Pre-Summary'!$BO$6:$BQ$48,3, FALSE),O3023)</f>
        <v>2.77</v>
      </c>
      <c r="P3024" s="99">
        <f>IFERROR(VLOOKUP(B3024,'Pre-Summary'!$BS$6:$BU$35,3,FALSE),P3023)</f>
        <v>0.70099999999999996</v>
      </c>
      <c r="Q3024" s="54">
        <f t="shared" si="141"/>
        <v>3.9514978601997148</v>
      </c>
      <c r="R3024" s="53">
        <f>IFERROR(VLOOKUP(B3024,'Pre-Summary'!$BG$6:$BM$44,7,FALSE),R3025)</f>
        <v>0</v>
      </c>
      <c r="S3024" s="53" t="e">
        <f>VLOOKUP(B3024,'Pre-Summary'!$BG$6:$BM$44,6,FALSE)</f>
        <v>#N/A</v>
      </c>
      <c r="T3024" s="45" t="str">
        <f>IFERROR(VLOOKUP(B3024,'Pre-Summary'!$Y$6:$AC$83, 3,FALSE),"")</f>
        <v/>
      </c>
      <c r="U3024" s="45" t="str">
        <f>IFERROR(VLOOKUP(B3024,'Pre-Summary'!$Y$6:$AC$83, 4,FALSE),"")</f>
        <v/>
      </c>
      <c r="V3024" t="str">
        <f>IFERROR(VLOOKUP(B3024,'Pre-Summary'!$Y$6:$AC$83, 5,FALSE),"")</f>
        <v/>
      </c>
      <c r="W3024" s="45" t="str">
        <f>IFERROR(VLOOKUP(B3024,'Pre-Summary'!$Y$6:$AD$83,6,FALSE),"")</f>
        <v/>
      </c>
      <c r="X3024" t="str">
        <f>IFERROR(VLOOKUP('Pre-Summary'!$DB$6:$DD$63,3,FALSE),"")</f>
        <v/>
      </c>
      <c r="Y3024" t="str">
        <f>IFERROR(VLOOKUP(B3024,'Pre-Summary'!$CR$6:$CT$36,3,FALSE),"")</f>
        <v/>
      </c>
      <c r="Z3024" s="45" t="str">
        <f>IFERROR(VLOOKUP(B3024,'Pre-Summary'!$BZ$6:$CB$63,2,FALSE),"")</f>
        <v/>
      </c>
      <c r="AA3024" s="45" t="str">
        <f>IFERROR(VLOOKUP(B3024,'Pre-Summary'!$CG$6:$CI$70,2,FALSE),"")</f>
        <v/>
      </c>
      <c r="AB3024" s="99">
        <f>IFERROR(VLOOKUP(B3024,'Pre-Summary'!$A$6:$P$178,9,FALSE),AB3025)</f>
        <v>0.78672405455763872</v>
      </c>
      <c r="AC3024" s="10">
        <f>IFERROR(VLOOKUP(Summary!B3024,'Pre-Summary'!$A$6:$P$184,5, FALSE)/100,AC3025)</f>
        <v>0.94994933333333331</v>
      </c>
      <c r="AD3024" s="10">
        <f>IFERROR(VLOOKUP(Summary!B3024,'Pre-Summary'!$A$6:$P$184,3, FALSE)/100,AD3025)</f>
        <v>4.7186000000000006E-2</v>
      </c>
      <c r="AE3024" s="10">
        <f>IFERROR(VLOOKUP(Summary!B3024,'Pre-Summary'!$A$6:$P$184,7, FALSE)/100,AE3025)</f>
        <v>2.8646666666666668E-3</v>
      </c>
      <c r="AF3024" s="99">
        <f t="shared" si="142"/>
        <v>3.7122361238356744E-2</v>
      </c>
      <c r="AG3024" s="99">
        <f t="shared" si="143"/>
        <v>2.2537021749561158E-3</v>
      </c>
      <c r="AH3024" s="10" t="str">
        <f>IFERROR(VLOOKUP(B3024,'Pre-Summary'!$AZ$6:$BE$65,3,FALSE),"")</f>
        <v/>
      </c>
      <c r="AI3024" s="10" t="str">
        <f>IFERROR(VLOOKUP(B3024,'Pre-Summary'!$AZ$6:$BE$65,5,FALSE),"")</f>
        <v/>
      </c>
      <c r="AJ3024" s="10" t="str">
        <f>IFERROR(VLOOKUP(B3024,'Pre-Summary'!$AZ$6:$BE$65,4,FALSE),"")</f>
        <v/>
      </c>
      <c r="AK3024" s="10" t="str">
        <f>IFERROR(VLOOKUP(B3024,'Pre-Summary'!$AZ$6:$BE$65,6,FALSE),"")</f>
        <v/>
      </c>
      <c r="AL3024" s="10" t="str">
        <f>IFERROR(VLOOKUP(B3024,'Pre-Summary'!$BG$6:$BL$44,3,FALSE),"")</f>
        <v/>
      </c>
      <c r="AM3024" s="10" t="str">
        <f>IFERROR(VLOOKUP(B3024,'Pre-Summary'!$BG$6:$BL$44,4,FALSE),"")</f>
        <v/>
      </c>
    </row>
    <row r="3025" spans="2:39" ht="15" customHeight="1" x14ac:dyDescent="0.3">
      <c r="B3025">
        <v>302.2</v>
      </c>
      <c r="C3025" t="str">
        <f>IFERROR(VLOOKUP(B3025,'Pre-Summary'!$DI$6:$DM$23,4,FALSE),"")</f>
        <v/>
      </c>
      <c r="D3025" s="10" t="str">
        <f>IFERROR(VLOOKUP(B3025,'Pre-Summary'!$AT$6:$AX$14,5,FALSE),D3024)</f>
        <v>Wolfe v3: went back to modified wolfe + EDTA and switched CuSO4 to CUCl2</v>
      </c>
      <c r="E3025" s="10" t="str">
        <f>IFERROR(VLOOKUP(B3025,'Pre-Summary'!$AT$6:$AX$15,4,FALSE),"")</f>
        <v/>
      </c>
      <c r="F3025">
        <f>IFERROR(VLOOKUP(B3025,'Pre-Summary'!$AL$6:$AQ$13,6,FALSE),F3024)</f>
        <v>5.9405263157894746E-2</v>
      </c>
      <c r="G3025" t="str">
        <f>IFERROR(VLOOKUP(B3025,'Pre-Summary'!$AE$6:$AJ$85,3,FALSE),"")</f>
        <v/>
      </c>
      <c r="H3025" t="str">
        <f>IFERROR(VLOOKUP(B3025,'Pre-Summary'!$AE$6:$AJ$85,4,FALSE),"")</f>
        <v/>
      </c>
      <c r="I3025" t="str">
        <f>IFERROR(VLOOKUP(B3025,'Pre-Summary'!$AE$6:$AJ$85,5,FALSE),"")</f>
        <v/>
      </c>
      <c r="J3025" s="45" t="str">
        <f>IFERROR(VLOOKUP(B3025,'Pre-Summary'!$AE$6:$AJ$85,6, FALSE),"")</f>
        <v/>
      </c>
      <c r="K3025" s="45" t="str">
        <f>IFERROR(VLOOKUP(B3025,'Pre-Summary'!$DE$6:$DG$61,3,FALSE),"")</f>
        <v/>
      </c>
      <c r="L3025" s="45" t="str">
        <f>IFERROR(VLOOKUP(B3025,'Pre-Summary'!$CU$6:$CW$36,3,FALSE),"")</f>
        <v/>
      </c>
      <c r="M3025" s="45" t="str">
        <f>IFERROR(VLOOKUP(B3025,'Pre-Summary'!$BW$6:$BY$58,2,FALSE),"")</f>
        <v/>
      </c>
      <c r="N3025" s="45" t="str">
        <f>IFERROR(VLOOKUP(B3025,'Pre-Summary'!$CD$6:$CF$64,2,FALSE),"")</f>
        <v/>
      </c>
      <c r="O3025" s="99">
        <f>IFERROR(VLOOKUP(B3025,'Pre-Summary'!$BO$6:$BQ$48,3, FALSE),O3024)</f>
        <v>2.77</v>
      </c>
      <c r="P3025" s="99">
        <f>IFERROR(VLOOKUP(B3025,'Pre-Summary'!$BS$6:$BU$35,3,FALSE),P3024)</f>
        <v>0.70099999999999996</v>
      </c>
      <c r="Q3025" s="54">
        <f t="shared" si="141"/>
        <v>3.9514978601997148</v>
      </c>
      <c r="R3025" s="53">
        <f>IFERROR(VLOOKUP(B3025,'Pre-Summary'!$BG$6:$BM$44,7,FALSE),R3026)</f>
        <v>0</v>
      </c>
      <c r="S3025" s="53" t="e">
        <f>VLOOKUP(B3025,'Pre-Summary'!$BG$6:$BM$44,6,FALSE)</f>
        <v>#N/A</v>
      </c>
      <c r="T3025" s="45" t="str">
        <f>IFERROR(VLOOKUP(B3025,'Pre-Summary'!$Y$6:$AC$83, 3,FALSE),"")</f>
        <v/>
      </c>
      <c r="U3025" s="45" t="str">
        <f>IFERROR(VLOOKUP(B3025,'Pre-Summary'!$Y$6:$AC$83, 4,FALSE),"")</f>
        <v/>
      </c>
      <c r="V3025" t="str">
        <f>IFERROR(VLOOKUP(B3025,'Pre-Summary'!$Y$6:$AC$83, 5,FALSE),"")</f>
        <v/>
      </c>
      <c r="W3025" s="45" t="str">
        <f>IFERROR(VLOOKUP(B3025,'Pre-Summary'!$Y$6:$AD$83,6,FALSE),"")</f>
        <v/>
      </c>
      <c r="X3025" t="str">
        <f>IFERROR(VLOOKUP('Pre-Summary'!$DB$6:$DD$63,3,FALSE),"")</f>
        <v/>
      </c>
      <c r="Y3025" t="str">
        <f>IFERROR(VLOOKUP(B3025,'Pre-Summary'!$CR$6:$CT$36,3,FALSE),"")</f>
        <v/>
      </c>
      <c r="Z3025" s="45" t="str">
        <f>IFERROR(VLOOKUP(B3025,'Pre-Summary'!$BZ$6:$CB$63,2,FALSE),"")</f>
        <v/>
      </c>
      <c r="AA3025" s="45" t="str">
        <f>IFERROR(VLOOKUP(B3025,'Pre-Summary'!$CG$6:$CI$70,2,FALSE),"")</f>
        <v/>
      </c>
      <c r="AB3025" s="99">
        <f>IFERROR(VLOOKUP(B3025,'Pre-Summary'!$A$6:$P$178,9,FALSE),AB3026)</f>
        <v>0.78672405455763872</v>
      </c>
      <c r="AC3025" s="10">
        <f>IFERROR(VLOOKUP(Summary!B3025,'Pre-Summary'!$A$6:$P$184,5, FALSE)/100,AC3026)</f>
        <v>0.94994933333333331</v>
      </c>
      <c r="AD3025" s="10">
        <f>IFERROR(VLOOKUP(Summary!B3025,'Pre-Summary'!$A$6:$P$184,3, FALSE)/100,AD3026)</f>
        <v>4.7186000000000006E-2</v>
      </c>
      <c r="AE3025" s="10">
        <f>IFERROR(VLOOKUP(Summary!B3025,'Pre-Summary'!$A$6:$P$184,7, FALSE)/100,AE3026)</f>
        <v>2.8646666666666668E-3</v>
      </c>
      <c r="AF3025" s="99">
        <f t="shared" si="142"/>
        <v>3.7122361238356744E-2</v>
      </c>
      <c r="AG3025" s="99">
        <f t="shared" si="143"/>
        <v>2.2537021749561158E-3</v>
      </c>
      <c r="AH3025" s="10" t="str">
        <f>IFERROR(VLOOKUP(B3025,'Pre-Summary'!$AZ$6:$BE$65,3,FALSE),"")</f>
        <v/>
      </c>
      <c r="AI3025" s="10" t="str">
        <f>IFERROR(VLOOKUP(B3025,'Pre-Summary'!$AZ$6:$BE$65,5,FALSE),"")</f>
        <v/>
      </c>
      <c r="AJ3025" s="10" t="str">
        <f>IFERROR(VLOOKUP(B3025,'Pre-Summary'!$AZ$6:$BE$65,4,FALSE),"")</f>
        <v/>
      </c>
      <c r="AK3025" s="10" t="str">
        <f>IFERROR(VLOOKUP(B3025,'Pre-Summary'!$AZ$6:$BE$65,6,FALSE),"")</f>
        <v/>
      </c>
      <c r="AL3025" s="10" t="str">
        <f>IFERROR(VLOOKUP(B3025,'Pre-Summary'!$BG$6:$BL$44,3,FALSE),"")</f>
        <v/>
      </c>
      <c r="AM3025" s="10" t="str">
        <f>IFERROR(VLOOKUP(B3025,'Pre-Summary'!$BG$6:$BL$44,4,FALSE),"")</f>
        <v/>
      </c>
    </row>
    <row r="3026" spans="2:39" ht="15" customHeight="1" x14ac:dyDescent="0.3">
      <c r="B3026">
        <v>302.3</v>
      </c>
      <c r="C3026" t="str">
        <f>IFERROR(VLOOKUP(B3026,'Pre-Summary'!$DI$6:$DM$23,4,FALSE),"")</f>
        <v/>
      </c>
      <c r="D3026" s="10" t="str">
        <f>IFERROR(VLOOKUP(B3026,'Pre-Summary'!$AT$6:$AX$14,5,FALSE),D3025)</f>
        <v>Wolfe v3: went back to modified wolfe + EDTA and switched CuSO4 to CUCl2</v>
      </c>
      <c r="E3026" s="10" t="str">
        <f>IFERROR(VLOOKUP(B3026,'Pre-Summary'!$AT$6:$AX$15,4,FALSE),"")</f>
        <v/>
      </c>
      <c r="F3026">
        <f>IFERROR(VLOOKUP(B3026,'Pre-Summary'!$AL$6:$AQ$13,6,FALSE),F3025)</f>
        <v>5.9405263157894746E-2</v>
      </c>
      <c r="G3026" t="str">
        <f>IFERROR(VLOOKUP(B3026,'Pre-Summary'!$AE$6:$AJ$85,3,FALSE),"")</f>
        <v/>
      </c>
      <c r="H3026" t="str">
        <f>IFERROR(VLOOKUP(B3026,'Pre-Summary'!$AE$6:$AJ$85,4,FALSE),"")</f>
        <v/>
      </c>
      <c r="I3026" t="str">
        <f>IFERROR(VLOOKUP(B3026,'Pre-Summary'!$AE$6:$AJ$85,5,FALSE),"")</f>
        <v/>
      </c>
      <c r="J3026" s="45" t="str">
        <f>IFERROR(VLOOKUP(B3026,'Pre-Summary'!$AE$6:$AJ$85,6, FALSE),"")</f>
        <v/>
      </c>
      <c r="K3026" s="45" t="str">
        <f>IFERROR(VLOOKUP(B3026,'Pre-Summary'!$DE$6:$DG$61,3,FALSE),"")</f>
        <v/>
      </c>
      <c r="L3026" s="45" t="str">
        <f>IFERROR(VLOOKUP(B3026,'Pre-Summary'!$CU$6:$CW$36,3,FALSE),"")</f>
        <v/>
      </c>
      <c r="M3026" s="45" t="str">
        <f>IFERROR(VLOOKUP(B3026,'Pre-Summary'!$BW$6:$BY$58,2,FALSE),"")</f>
        <v/>
      </c>
      <c r="N3026" s="45" t="str">
        <f>IFERROR(VLOOKUP(B3026,'Pre-Summary'!$CD$6:$CF$64,2,FALSE),"")</f>
        <v/>
      </c>
      <c r="O3026" s="99">
        <f>IFERROR(VLOOKUP(B3026,'Pre-Summary'!$BO$6:$BQ$48,3, FALSE),O3025)</f>
        <v>2.77</v>
      </c>
      <c r="P3026" s="99">
        <f>IFERROR(VLOOKUP(B3026,'Pre-Summary'!$BS$6:$BU$35,3,FALSE),P3025)</f>
        <v>0.70099999999999996</v>
      </c>
      <c r="Q3026" s="54">
        <f t="shared" si="141"/>
        <v>3.9514978601997148</v>
      </c>
      <c r="R3026" s="53">
        <f>IFERROR(VLOOKUP(B3026,'Pre-Summary'!$BG$6:$BM$44,7,FALSE),R3027)</f>
        <v>0</v>
      </c>
      <c r="S3026" s="53" t="e">
        <f>VLOOKUP(B3026,'Pre-Summary'!$BG$6:$BM$44,6,FALSE)</f>
        <v>#N/A</v>
      </c>
      <c r="T3026" s="45" t="str">
        <f>IFERROR(VLOOKUP(B3026,'Pre-Summary'!$Y$6:$AC$83, 3,FALSE),"")</f>
        <v/>
      </c>
      <c r="U3026" s="45" t="str">
        <f>IFERROR(VLOOKUP(B3026,'Pre-Summary'!$Y$6:$AC$83, 4,FALSE),"")</f>
        <v/>
      </c>
      <c r="V3026" t="str">
        <f>IFERROR(VLOOKUP(B3026,'Pre-Summary'!$Y$6:$AC$83, 5,FALSE),"")</f>
        <v/>
      </c>
      <c r="W3026" s="45" t="str">
        <f>IFERROR(VLOOKUP(B3026,'Pre-Summary'!$Y$6:$AD$83,6,FALSE),"")</f>
        <v/>
      </c>
      <c r="X3026" t="str">
        <f>IFERROR(VLOOKUP('Pre-Summary'!$DB$6:$DD$63,3,FALSE),"")</f>
        <v/>
      </c>
      <c r="Y3026" t="str">
        <f>IFERROR(VLOOKUP(B3026,'Pre-Summary'!$CR$6:$CT$36,3,FALSE),"")</f>
        <v/>
      </c>
      <c r="Z3026" s="45" t="str">
        <f>IFERROR(VLOOKUP(B3026,'Pre-Summary'!$BZ$6:$CB$63,2,FALSE),"")</f>
        <v/>
      </c>
      <c r="AA3026" s="45" t="str">
        <f>IFERROR(VLOOKUP(B3026,'Pre-Summary'!$CG$6:$CI$70,2,FALSE),"")</f>
        <v/>
      </c>
      <c r="AB3026" s="99">
        <f>IFERROR(VLOOKUP(B3026,'Pre-Summary'!$A$6:$P$178,9,FALSE),AB3027)</f>
        <v>0.78672405455763872</v>
      </c>
      <c r="AC3026" s="10">
        <f>IFERROR(VLOOKUP(Summary!B3026,'Pre-Summary'!$A$6:$P$184,5, FALSE)/100,AC3027)</f>
        <v>0.94994933333333331</v>
      </c>
      <c r="AD3026" s="10">
        <f>IFERROR(VLOOKUP(Summary!B3026,'Pre-Summary'!$A$6:$P$184,3, FALSE)/100,AD3027)</f>
        <v>4.7186000000000006E-2</v>
      </c>
      <c r="AE3026" s="10">
        <f>IFERROR(VLOOKUP(Summary!B3026,'Pre-Summary'!$A$6:$P$184,7, FALSE)/100,AE3027)</f>
        <v>2.8646666666666668E-3</v>
      </c>
      <c r="AF3026" s="99">
        <f t="shared" si="142"/>
        <v>3.7122361238356744E-2</v>
      </c>
      <c r="AG3026" s="99">
        <f t="shared" si="143"/>
        <v>2.2537021749561158E-3</v>
      </c>
      <c r="AH3026" s="10" t="str">
        <f>IFERROR(VLOOKUP(B3026,'Pre-Summary'!$AZ$6:$BE$65,3,FALSE),"")</f>
        <v/>
      </c>
      <c r="AI3026" s="10" t="str">
        <f>IFERROR(VLOOKUP(B3026,'Pre-Summary'!$AZ$6:$BE$65,5,FALSE),"")</f>
        <v/>
      </c>
      <c r="AJ3026" s="10" t="str">
        <f>IFERROR(VLOOKUP(B3026,'Pre-Summary'!$AZ$6:$BE$65,4,FALSE),"")</f>
        <v/>
      </c>
      <c r="AK3026" s="10" t="str">
        <f>IFERROR(VLOOKUP(B3026,'Pre-Summary'!$AZ$6:$BE$65,6,FALSE),"")</f>
        <v/>
      </c>
      <c r="AL3026" s="10" t="str">
        <f>IFERROR(VLOOKUP(B3026,'Pre-Summary'!$BG$6:$BL$44,3,FALSE),"")</f>
        <v/>
      </c>
      <c r="AM3026" s="10" t="str">
        <f>IFERROR(VLOOKUP(B3026,'Pre-Summary'!$BG$6:$BL$44,4,FALSE),"")</f>
        <v/>
      </c>
    </row>
    <row r="3027" spans="2:39" ht="15" customHeight="1" x14ac:dyDescent="0.3">
      <c r="B3027">
        <v>302.39999999999998</v>
      </c>
      <c r="C3027" t="str">
        <f>IFERROR(VLOOKUP(B3027,'Pre-Summary'!$DI$6:$DM$23,4,FALSE),"")</f>
        <v/>
      </c>
      <c r="D3027" s="10" t="str">
        <f>IFERROR(VLOOKUP(B3027,'Pre-Summary'!$AT$6:$AX$14,5,FALSE),D3026)</f>
        <v>Wolfe v3: went back to modified wolfe + EDTA and switched CuSO4 to CUCl2</v>
      </c>
      <c r="E3027" s="10" t="str">
        <f>IFERROR(VLOOKUP(B3027,'Pre-Summary'!$AT$6:$AX$15,4,FALSE),"")</f>
        <v/>
      </c>
      <c r="F3027">
        <f>IFERROR(VLOOKUP(B3027,'Pre-Summary'!$AL$6:$AQ$13,6,FALSE),F3026)</f>
        <v>5.9405263157894746E-2</v>
      </c>
      <c r="G3027" t="str">
        <f>IFERROR(VLOOKUP(B3027,'Pre-Summary'!$AE$6:$AJ$85,3,FALSE),"")</f>
        <v/>
      </c>
      <c r="H3027" t="str">
        <f>IFERROR(VLOOKUP(B3027,'Pre-Summary'!$AE$6:$AJ$85,4,FALSE),"")</f>
        <v/>
      </c>
      <c r="I3027" t="str">
        <f>IFERROR(VLOOKUP(B3027,'Pre-Summary'!$AE$6:$AJ$85,5,FALSE),"")</f>
        <v/>
      </c>
      <c r="J3027" s="45" t="str">
        <f>IFERROR(VLOOKUP(B3027,'Pre-Summary'!$AE$6:$AJ$85,6, FALSE),"")</f>
        <v/>
      </c>
      <c r="K3027" s="45" t="str">
        <f>IFERROR(VLOOKUP(B3027,'Pre-Summary'!$DE$6:$DG$61,3,FALSE),"")</f>
        <v/>
      </c>
      <c r="L3027" s="45" t="str">
        <f>IFERROR(VLOOKUP(B3027,'Pre-Summary'!$CU$6:$CW$36,3,FALSE),"")</f>
        <v/>
      </c>
      <c r="M3027" s="45" t="str">
        <f>IFERROR(VLOOKUP(B3027,'Pre-Summary'!$BW$6:$BY$58,2,FALSE),"")</f>
        <v/>
      </c>
      <c r="N3027" s="45" t="str">
        <f>IFERROR(VLOOKUP(B3027,'Pre-Summary'!$CD$6:$CF$64,2,FALSE),"")</f>
        <v/>
      </c>
      <c r="O3027" s="99">
        <f>IFERROR(VLOOKUP(B3027,'Pre-Summary'!$BO$6:$BQ$48,3, FALSE),O3026)</f>
        <v>2.77</v>
      </c>
      <c r="P3027" s="99">
        <f>IFERROR(VLOOKUP(B3027,'Pre-Summary'!$BS$6:$BU$35,3,FALSE),P3026)</f>
        <v>0.70099999999999996</v>
      </c>
      <c r="Q3027" s="54">
        <f t="shared" si="141"/>
        <v>3.9514978601997148</v>
      </c>
      <c r="R3027" s="53">
        <f>IFERROR(VLOOKUP(B3027,'Pre-Summary'!$BG$6:$BM$44,7,FALSE),R3028)</f>
        <v>0</v>
      </c>
      <c r="S3027" s="53" t="e">
        <f>VLOOKUP(B3027,'Pre-Summary'!$BG$6:$BM$44,6,FALSE)</f>
        <v>#N/A</v>
      </c>
      <c r="T3027" s="45" t="str">
        <f>IFERROR(VLOOKUP(B3027,'Pre-Summary'!$Y$6:$AC$83, 3,FALSE),"")</f>
        <v/>
      </c>
      <c r="U3027" s="45" t="str">
        <f>IFERROR(VLOOKUP(B3027,'Pre-Summary'!$Y$6:$AC$83, 4,FALSE),"")</f>
        <v/>
      </c>
      <c r="V3027" t="str">
        <f>IFERROR(VLOOKUP(B3027,'Pre-Summary'!$Y$6:$AC$83, 5,FALSE),"")</f>
        <v/>
      </c>
      <c r="W3027" s="45" t="str">
        <f>IFERROR(VLOOKUP(B3027,'Pre-Summary'!$Y$6:$AD$83,6,FALSE),"")</f>
        <v/>
      </c>
      <c r="X3027" t="str">
        <f>IFERROR(VLOOKUP('Pre-Summary'!$DB$6:$DD$63,3,FALSE),"")</f>
        <v/>
      </c>
      <c r="Y3027" t="str">
        <f>IFERROR(VLOOKUP(B3027,'Pre-Summary'!$CR$6:$CT$36,3,FALSE),"")</f>
        <v/>
      </c>
      <c r="Z3027" s="45" t="str">
        <f>IFERROR(VLOOKUP(B3027,'Pre-Summary'!$BZ$6:$CB$63,2,FALSE),"")</f>
        <v/>
      </c>
      <c r="AA3027" s="45" t="str">
        <f>IFERROR(VLOOKUP(B3027,'Pre-Summary'!$CG$6:$CI$70,2,FALSE),"")</f>
        <v/>
      </c>
      <c r="AB3027" s="99">
        <f>IFERROR(VLOOKUP(B3027,'Pre-Summary'!$A$6:$P$178,9,FALSE),AB3028)</f>
        <v>0.78672405455763872</v>
      </c>
      <c r="AC3027" s="10">
        <f>IFERROR(VLOOKUP(Summary!B3027,'Pre-Summary'!$A$6:$P$184,5, FALSE)/100,AC3028)</f>
        <v>0.94994933333333331</v>
      </c>
      <c r="AD3027" s="10">
        <f>IFERROR(VLOOKUP(Summary!B3027,'Pre-Summary'!$A$6:$P$184,3, FALSE)/100,AD3028)</f>
        <v>4.7186000000000006E-2</v>
      </c>
      <c r="AE3027" s="10">
        <f>IFERROR(VLOOKUP(Summary!B3027,'Pre-Summary'!$A$6:$P$184,7, FALSE)/100,AE3028)</f>
        <v>2.8646666666666668E-3</v>
      </c>
      <c r="AF3027" s="99">
        <f t="shared" si="142"/>
        <v>3.7122361238356744E-2</v>
      </c>
      <c r="AG3027" s="99">
        <f t="shared" si="143"/>
        <v>2.2537021749561158E-3</v>
      </c>
      <c r="AH3027" s="10" t="str">
        <f>IFERROR(VLOOKUP(B3027,'Pre-Summary'!$AZ$6:$BE$65,3,FALSE),"")</f>
        <v/>
      </c>
      <c r="AI3027" s="10" t="str">
        <f>IFERROR(VLOOKUP(B3027,'Pre-Summary'!$AZ$6:$BE$65,5,FALSE),"")</f>
        <v/>
      </c>
      <c r="AJ3027" s="10" t="str">
        <f>IFERROR(VLOOKUP(B3027,'Pre-Summary'!$AZ$6:$BE$65,4,FALSE),"")</f>
        <v/>
      </c>
      <c r="AK3027" s="10" t="str">
        <f>IFERROR(VLOOKUP(B3027,'Pre-Summary'!$AZ$6:$BE$65,6,FALSE),"")</f>
        <v/>
      </c>
      <c r="AL3027" s="10" t="str">
        <f>IFERROR(VLOOKUP(B3027,'Pre-Summary'!$BG$6:$BL$44,3,FALSE),"")</f>
        <v/>
      </c>
      <c r="AM3027" s="10" t="str">
        <f>IFERROR(VLOOKUP(B3027,'Pre-Summary'!$BG$6:$BL$44,4,FALSE),"")</f>
        <v/>
      </c>
    </row>
    <row r="3028" spans="2:39" ht="15" customHeight="1" x14ac:dyDescent="0.3">
      <c r="B3028">
        <v>302.5</v>
      </c>
      <c r="C3028" t="str">
        <f>IFERROR(VLOOKUP(B3028,'Pre-Summary'!$DI$6:$DM$23,4,FALSE),"")</f>
        <v/>
      </c>
      <c r="D3028" s="10" t="str">
        <f>IFERROR(VLOOKUP(B3028,'Pre-Summary'!$AT$6:$AX$14,5,FALSE),D3027)</f>
        <v>Wolfe v3: went back to modified wolfe + EDTA and switched CuSO4 to CUCl2</v>
      </c>
      <c r="E3028" s="10" t="str">
        <f>IFERROR(VLOOKUP(B3028,'Pre-Summary'!$AT$6:$AX$15,4,FALSE),"")</f>
        <v/>
      </c>
      <c r="F3028">
        <f>IFERROR(VLOOKUP(B3028,'Pre-Summary'!$AL$6:$AQ$13,6,FALSE),F3027)</f>
        <v>5.9405263157894746E-2</v>
      </c>
      <c r="G3028">
        <f>IFERROR(VLOOKUP(B3028,'Pre-Summary'!$AE$6:$AJ$85,3,FALSE),"")</f>
        <v>29.344000000000001</v>
      </c>
      <c r="H3028">
        <f>IFERROR(VLOOKUP(B3028,'Pre-Summary'!$AE$6:$AJ$85,4,FALSE),"")</f>
        <v>1.359</v>
      </c>
      <c r="I3028">
        <f>IFERROR(VLOOKUP(B3028,'Pre-Summary'!$AE$6:$AJ$85,5,FALSE),"")</f>
        <v>1.492</v>
      </c>
      <c r="J3028" s="45">
        <f>IFERROR(VLOOKUP(B3028,'Pre-Summary'!$AE$6:$AJ$85,6, FALSE),"")</f>
        <v>36.080030000000001</v>
      </c>
      <c r="K3028" s="45" t="str">
        <f>IFERROR(VLOOKUP(B3028,'Pre-Summary'!$DE$6:$DG$61,3,FALSE),"")</f>
        <v/>
      </c>
      <c r="L3028" s="45" t="str">
        <f>IFERROR(VLOOKUP(B3028,'Pre-Summary'!$CU$6:$CW$36,3,FALSE),"")</f>
        <v/>
      </c>
      <c r="M3028" s="45" t="str">
        <f>IFERROR(VLOOKUP(B3028,'Pre-Summary'!$BW$6:$BY$58,2,FALSE),"")</f>
        <v/>
      </c>
      <c r="N3028" s="45" t="str">
        <f>IFERROR(VLOOKUP(B3028,'Pre-Summary'!$CD$6:$CF$64,2,FALSE),"")</f>
        <v/>
      </c>
      <c r="O3028" s="99">
        <f>IFERROR(VLOOKUP(B3028,'Pre-Summary'!$BO$6:$BQ$48,3, FALSE),O3027)</f>
        <v>2.77</v>
      </c>
      <c r="P3028" s="99">
        <f>IFERROR(VLOOKUP(B3028,'Pre-Summary'!$BS$6:$BU$35,3,FALSE),P3027)</f>
        <v>0.70099999999999996</v>
      </c>
      <c r="Q3028" s="54">
        <f t="shared" si="141"/>
        <v>3.9514978601997148</v>
      </c>
      <c r="R3028" s="53">
        <f>IFERROR(VLOOKUP(B3028,'Pre-Summary'!$BG$6:$BM$44,7,FALSE),R3029)</f>
        <v>0</v>
      </c>
      <c r="S3028" s="53" t="e">
        <f>VLOOKUP(B3028,'Pre-Summary'!$BG$6:$BM$44,6,FALSE)</f>
        <v>#N/A</v>
      </c>
      <c r="T3028" s="45" t="str">
        <f>IFERROR(VLOOKUP(B3028,'Pre-Summary'!$Y$6:$AC$83, 3,FALSE),"")</f>
        <v/>
      </c>
      <c r="U3028" s="45" t="str">
        <f>IFERROR(VLOOKUP(B3028,'Pre-Summary'!$Y$6:$AC$83, 4,FALSE),"")</f>
        <v/>
      </c>
      <c r="V3028" t="str">
        <f>IFERROR(VLOOKUP(B3028,'Pre-Summary'!$Y$6:$AC$83, 5,FALSE),"")</f>
        <v/>
      </c>
      <c r="W3028" s="45" t="str">
        <f>IFERROR(VLOOKUP(B3028,'Pre-Summary'!$Y$6:$AD$83,6,FALSE),"")</f>
        <v/>
      </c>
      <c r="X3028" t="str">
        <f>IFERROR(VLOOKUP('Pre-Summary'!$DB$6:$DD$63,3,FALSE),"")</f>
        <v/>
      </c>
      <c r="Y3028" t="str">
        <f>IFERROR(VLOOKUP(B3028,'Pre-Summary'!$CR$6:$CT$36,3,FALSE),"")</f>
        <v/>
      </c>
      <c r="Z3028" s="45" t="str">
        <f>IFERROR(VLOOKUP(B3028,'Pre-Summary'!$BZ$6:$CB$63,2,FALSE),"")</f>
        <v/>
      </c>
      <c r="AA3028" s="45" t="str">
        <f>IFERROR(VLOOKUP(B3028,'Pre-Summary'!$CG$6:$CI$70,2,FALSE),"")</f>
        <v/>
      </c>
      <c r="AB3028" s="99">
        <f>IFERROR(VLOOKUP(B3028,'Pre-Summary'!$A$6:$P$178,9,FALSE),AB3029)</f>
        <v>0.78672405455763872</v>
      </c>
      <c r="AC3028" s="10">
        <f>IFERROR(VLOOKUP(Summary!B3028,'Pre-Summary'!$A$6:$P$184,5, FALSE)/100,AC3029)</f>
        <v>0.94994933333333331</v>
      </c>
      <c r="AD3028" s="10">
        <f>IFERROR(VLOOKUP(Summary!B3028,'Pre-Summary'!$A$6:$P$184,3, FALSE)/100,AD3029)</f>
        <v>4.7186000000000006E-2</v>
      </c>
      <c r="AE3028" s="10">
        <f>IFERROR(VLOOKUP(Summary!B3028,'Pre-Summary'!$A$6:$P$184,7, FALSE)/100,AE3029)</f>
        <v>2.8646666666666668E-3</v>
      </c>
      <c r="AF3028" s="99">
        <f t="shared" si="142"/>
        <v>3.7122361238356744E-2</v>
      </c>
      <c r="AG3028" s="99">
        <f t="shared" si="143"/>
        <v>2.2537021749561158E-3</v>
      </c>
      <c r="AH3028" s="10" t="str">
        <f>IFERROR(VLOOKUP(B3028,'Pre-Summary'!$AZ$6:$BE$65,3,FALSE),"")</f>
        <v/>
      </c>
      <c r="AI3028" s="10" t="str">
        <f>IFERROR(VLOOKUP(B3028,'Pre-Summary'!$AZ$6:$BE$65,5,FALSE),"")</f>
        <v/>
      </c>
      <c r="AJ3028" s="10" t="str">
        <f>IFERROR(VLOOKUP(B3028,'Pre-Summary'!$AZ$6:$BE$65,4,FALSE),"")</f>
        <v/>
      </c>
      <c r="AK3028" s="10" t="str">
        <f>IFERROR(VLOOKUP(B3028,'Pre-Summary'!$AZ$6:$BE$65,6,FALSE),"")</f>
        <v/>
      </c>
      <c r="AL3028" s="10" t="str">
        <f>IFERROR(VLOOKUP(B3028,'Pre-Summary'!$BG$6:$BL$44,3,FALSE),"")</f>
        <v/>
      </c>
      <c r="AM3028" s="10" t="str">
        <f>IFERROR(VLOOKUP(B3028,'Pre-Summary'!$BG$6:$BL$44,4,FALSE),"")</f>
        <v/>
      </c>
    </row>
    <row r="3029" spans="2:39" ht="15" customHeight="1" x14ac:dyDescent="0.3">
      <c r="B3029">
        <v>302.60000000000002</v>
      </c>
      <c r="C3029" t="str">
        <f>IFERROR(VLOOKUP(B3029,'Pre-Summary'!$DI$6:$DM$23,4,FALSE),"")</f>
        <v/>
      </c>
      <c r="D3029" s="10" t="str">
        <f>IFERROR(VLOOKUP(B3029,'Pre-Summary'!$AT$6:$AX$14,5,FALSE),D3028)</f>
        <v>Wolfe v3: went back to modified wolfe + EDTA and switched CuSO4 to CUCl2</v>
      </c>
      <c r="E3029" s="10" t="str">
        <f>IFERROR(VLOOKUP(B3029,'Pre-Summary'!$AT$6:$AX$15,4,FALSE),"")</f>
        <v/>
      </c>
      <c r="F3029">
        <f>IFERROR(VLOOKUP(B3029,'Pre-Summary'!$AL$6:$AQ$13,6,FALSE),F3028)</f>
        <v>5.9405263157894746E-2</v>
      </c>
      <c r="G3029" t="str">
        <f>IFERROR(VLOOKUP(B3029,'Pre-Summary'!$AE$6:$AJ$85,3,FALSE),"")</f>
        <v/>
      </c>
      <c r="H3029" t="str">
        <f>IFERROR(VLOOKUP(B3029,'Pre-Summary'!$AE$6:$AJ$85,4,FALSE),"")</f>
        <v/>
      </c>
      <c r="I3029" t="str">
        <f>IFERROR(VLOOKUP(B3029,'Pre-Summary'!$AE$6:$AJ$85,5,FALSE),"")</f>
        <v/>
      </c>
      <c r="J3029" s="45" t="str">
        <f>IFERROR(VLOOKUP(B3029,'Pre-Summary'!$AE$6:$AJ$85,6, FALSE),"")</f>
        <v/>
      </c>
      <c r="K3029" s="45" t="str">
        <f>IFERROR(VLOOKUP(B3029,'Pre-Summary'!$DE$6:$DG$61,3,FALSE),"")</f>
        <v/>
      </c>
      <c r="L3029" s="45" t="str">
        <f>IFERROR(VLOOKUP(B3029,'Pre-Summary'!$CU$6:$CW$36,3,FALSE),"")</f>
        <v/>
      </c>
      <c r="M3029" s="45" t="str">
        <f>IFERROR(VLOOKUP(B3029,'Pre-Summary'!$BW$6:$BY$58,2,FALSE),"")</f>
        <v/>
      </c>
      <c r="N3029" s="45" t="str">
        <f>IFERROR(VLOOKUP(B3029,'Pre-Summary'!$CD$6:$CF$64,2,FALSE),"")</f>
        <v/>
      </c>
      <c r="O3029" s="99">
        <f>IFERROR(VLOOKUP(B3029,'Pre-Summary'!$BO$6:$BQ$48,3, FALSE),O3028)</f>
        <v>2.77</v>
      </c>
      <c r="P3029" s="99">
        <f>IFERROR(VLOOKUP(B3029,'Pre-Summary'!$BS$6:$BU$35,3,FALSE),P3028)</f>
        <v>0.70099999999999996</v>
      </c>
      <c r="Q3029" s="54">
        <f t="shared" si="141"/>
        <v>3.9514978601997148</v>
      </c>
      <c r="R3029" s="53">
        <f>IFERROR(VLOOKUP(B3029,'Pre-Summary'!$BG$6:$BM$44,7,FALSE),R3030)</f>
        <v>0</v>
      </c>
      <c r="S3029" s="53" t="e">
        <f>VLOOKUP(B3029,'Pre-Summary'!$BG$6:$BM$44,6,FALSE)</f>
        <v>#N/A</v>
      </c>
      <c r="T3029" s="45" t="str">
        <f>IFERROR(VLOOKUP(B3029,'Pre-Summary'!$Y$6:$AC$83, 3,FALSE),"")</f>
        <v/>
      </c>
      <c r="U3029" s="45" t="str">
        <f>IFERROR(VLOOKUP(B3029,'Pre-Summary'!$Y$6:$AC$83, 4,FALSE),"")</f>
        <v/>
      </c>
      <c r="V3029" t="str">
        <f>IFERROR(VLOOKUP(B3029,'Pre-Summary'!$Y$6:$AC$83, 5,FALSE),"")</f>
        <v/>
      </c>
      <c r="W3029" s="45" t="str">
        <f>IFERROR(VLOOKUP(B3029,'Pre-Summary'!$Y$6:$AD$83,6,FALSE),"")</f>
        <v/>
      </c>
      <c r="X3029" t="str">
        <f>IFERROR(VLOOKUP('Pre-Summary'!$DB$6:$DD$63,3,FALSE),"")</f>
        <v/>
      </c>
      <c r="Y3029" t="str">
        <f>IFERROR(VLOOKUP(B3029,'Pre-Summary'!$CR$6:$CT$36,3,FALSE),"")</f>
        <v/>
      </c>
      <c r="Z3029" s="45" t="str">
        <f>IFERROR(VLOOKUP(B3029,'Pre-Summary'!$BZ$6:$CB$63,2,FALSE),"")</f>
        <v/>
      </c>
      <c r="AA3029" s="45" t="str">
        <f>IFERROR(VLOOKUP(B3029,'Pre-Summary'!$CG$6:$CI$70,2,FALSE),"")</f>
        <v/>
      </c>
      <c r="AB3029" s="99">
        <f>IFERROR(VLOOKUP(B3029,'Pre-Summary'!$A$6:$P$178,9,FALSE),AB3030)</f>
        <v>0.78672405455763872</v>
      </c>
      <c r="AC3029" s="10">
        <f>IFERROR(VLOOKUP(Summary!B3029,'Pre-Summary'!$A$6:$P$184,5, FALSE)/100,AC3030)</f>
        <v>0.94994933333333331</v>
      </c>
      <c r="AD3029" s="10">
        <f>IFERROR(VLOOKUP(Summary!B3029,'Pre-Summary'!$A$6:$P$184,3, FALSE)/100,AD3030)</f>
        <v>4.7186000000000006E-2</v>
      </c>
      <c r="AE3029" s="10">
        <f>IFERROR(VLOOKUP(Summary!B3029,'Pre-Summary'!$A$6:$P$184,7, FALSE)/100,AE3030)</f>
        <v>2.8646666666666668E-3</v>
      </c>
      <c r="AF3029" s="99">
        <f t="shared" si="142"/>
        <v>3.7122361238356744E-2</v>
      </c>
      <c r="AG3029" s="99">
        <f t="shared" si="143"/>
        <v>2.2537021749561158E-3</v>
      </c>
      <c r="AH3029" s="10" t="str">
        <f>IFERROR(VLOOKUP(B3029,'Pre-Summary'!$AZ$6:$BE$65,3,FALSE),"")</f>
        <v/>
      </c>
      <c r="AI3029" s="10" t="str">
        <f>IFERROR(VLOOKUP(B3029,'Pre-Summary'!$AZ$6:$BE$65,5,FALSE),"")</f>
        <v/>
      </c>
      <c r="AJ3029" s="10" t="str">
        <f>IFERROR(VLOOKUP(B3029,'Pre-Summary'!$AZ$6:$BE$65,4,FALSE),"")</f>
        <v/>
      </c>
      <c r="AK3029" s="10" t="str">
        <f>IFERROR(VLOOKUP(B3029,'Pre-Summary'!$AZ$6:$BE$65,6,FALSE),"")</f>
        <v/>
      </c>
      <c r="AL3029" s="10" t="str">
        <f>IFERROR(VLOOKUP(B3029,'Pre-Summary'!$BG$6:$BL$44,3,FALSE),"")</f>
        <v/>
      </c>
      <c r="AM3029" s="10" t="str">
        <f>IFERROR(VLOOKUP(B3029,'Pre-Summary'!$BG$6:$BL$44,4,FALSE),"")</f>
        <v/>
      </c>
    </row>
    <row r="3030" spans="2:39" ht="15" customHeight="1" x14ac:dyDescent="0.3">
      <c r="B3030">
        <v>302.7</v>
      </c>
      <c r="C3030" t="str">
        <f>IFERROR(VLOOKUP(B3030,'Pre-Summary'!$DI$6:$DM$23,4,FALSE),"")</f>
        <v/>
      </c>
      <c r="D3030" s="10" t="str">
        <f>IFERROR(VLOOKUP(B3030,'Pre-Summary'!$AT$6:$AX$14,5,FALSE),D3029)</f>
        <v>Wolfe v3: went back to modified wolfe + EDTA and switched CuSO4 to CUCl2</v>
      </c>
      <c r="E3030" s="10" t="str">
        <f>IFERROR(VLOOKUP(B3030,'Pre-Summary'!$AT$6:$AX$15,4,FALSE),"")</f>
        <v/>
      </c>
      <c r="F3030">
        <f>IFERROR(VLOOKUP(B3030,'Pre-Summary'!$AL$6:$AQ$13,6,FALSE),F3029)</f>
        <v>5.9405263157894746E-2</v>
      </c>
      <c r="G3030" t="str">
        <f>IFERROR(VLOOKUP(B3030,'Pre-Summary'!$AE$6:$AJ$85,3,FALSE),"")</f>
        <v/>
      </c>
      <c r="H3030" t="str">
        <f>IFERROR(VLOOKUP(B3030,'Pre-Summary'!$AE$6:$AJ$85,4,FALSE),"")</f>
        <v/>
      </c>
      <c r="I3030" t="str">
        <f>IFERROR(VLOOKUP(B3030,'Pre-Summary'!$AE$6:$AJ$85,5,FALSE),"")</f>
        <v/>
      </c>
      <c r="J3030" s="45" t="str">
        <f>IFERROR(VLOOKUP(B3030,'Pre-Summary'!$AE$6:$AJ$85,6, FALSE),"")</f>
        <v/>
      </c>
      <c r="K3030" s="45" t="str">
        <f>IFERROR(VLOOKUP(B3030,'Pre-Summary'!$DE$6:$DG$61,3,FALSE),"")</f>
        <v/>
      </c>
      <c r="L3030" s="45" t="str">
        <f>IFERROR(VLOOKUP(B3030,'Pre-Summary'!$CU$6:$CW$36,3,FALSE),"")</f>
        <v/>
      </c>
      <c r="M3030" s="45" t="str">
        <f>IFERROR(VLOOKUP(B3030,'Pre-Summary'!$BW$6:$BY$58,2,FALSE),"")</f>
        <v/>
      </c>
      <c r="N3030" s="45" t="str">
        <f>IFERROR(VLOOKUP(B3030,'Pre-Summary'!$CD$6:$CF$64,2,FALSE),"")</f>
        <v/>
      </c>
      <c r="O3030" s="99">
        <f>IFERROR(VLOOKUP(B3030,'Pre-Summary'!$BO$6:$BQ$48,3, FALSE),O3029)</f>
        <v>2.77</v>
      </c>
      <c r="P3030" s="99">
        <f>IFERROR(VLOOKUP(B3030,'Pre-Summary'!$BS$6:$BU$35,3,FALSE),P3029)</f>
        <v>0.70099999999999996</v>
      </c>
      <c r="Q3030" s="54">
        <f t="shared" si="141"/>
        <v>3.9514978601997148</v>
      </c>
      <c r="R3030" s="53">
        <f>IFERROR(VLOOKUP(B3030,'Pre-Summary'!$BG$6:$BM$44,7,FALSE),R3031)</f>
        <v>0</v>
      </c>
      <c r="S3030" s="53" t="e">
        <f>VLOOKUP(B3030,'Pre-Summary'!$BG$6:$BM$44,6,FALSE)</f>
        <v>#N/A</v>
      </c>
      <c r="T3030" s="45" t="str">
        <f>IFERROR(VLOOKUP(B3030,'Pre-Summary'!$Y$6:$AC$83, 3,FALSE),"")</f>
        <v/>
      </c>
      <c r="U3030" s="45" t="str">
        <f>IFERROR(VLOOKUP(B3030,'Pre-Summary'!$Y$6:$AC$83, 4,FALSE),"")</f>
        <v/>
      </c>
      <c r="V3030" t="str">
        <f>IFERROR(VLOOKUP(B3030,'Pre-Summary'!$Y$6:$AC$83, 5,FALSE),"")</f>
        <v/>
      </c>
      <c r="W3030" s="45" t="str">
        <f>IFERROR(VLOOKUP(B3030,'Pre-Summary'!$Y$6:$AD$83,6,FALSE),"")</f>
        <v/>
      </c>
      <c r="X3030" t="str">
        <f>IFERROR(VLOOKUP('Pre-Summary'!$DB$6:$DD$63,3,FALSE),"")</f>
        <v/>
      </c>
      <c r="Y3030" t="str">
        <f>IFERROR(VLOOKUP(B3030,'Pre-Summary'!$CR$6:$CT$36,3,FALSE),"")</f>
        <v/>
      </c>
      <c r="Z3030" s="45" t="str">
        <f>IFERROR(VLOOKUP(B3030,'Pre-Summary'!$BZ$6:$CB$63,2,FALSE),"")</f>
        <v/>
      </c>
      <c r="AA3030" s="45" t="str">
        <f>IFERROR(VLOOKUP(B3030,'Pre-Summary'!$CG$6:$CI$70,2,FALSE),"")</f>
        <v/>
      </c>
      <c r="AB3030" s="99">
        <f>IFERROR(VLOOKUP(B3030,'Pre-Summary'!$A$6:$P$178,9,FALSE),AB3031)</f>
        <v>0.78672405455763872</v>
      </c>
      <c r="AC3030" s="10">
        <f>IFERROR(VLOOKUP(Summary!B3030,'Pre-Summary'!$A$6:$P$184,5, FALSE)/100,AC3031)</f>
        <v>0.94994933333333331</v>
      </c>
      <c r="AD3030" s="10">
        <f>IFERROR(VLOOKUP(Summary!B3030,'Pre-Summary'!$A$6:$P$184,3, FALSE)/100,AD3031)</f>
        <v>4.7186000000000006E-2</v>
      </c>
      <c r="AE3030" s="10">
        <f>IFERROR(VLOOKUP(Summary!B3030,'Pre-Summary'!$A$6:$P$184,7, FALSE)/100,AE3031)</f>
        <v>2.8646666666666668E-3</v>
      </c>
      <c r="AF3030" s="99">
        <f t="shared" si="142"/>
        <v>3.7122361238356744E-2</v>
      </c>
      <c r="AG3030" s="99">
        <f t="shared" si="143"/>
        <v>2.2537021749561158E-3</v>
      </c>
      <c r="AH3030" s="10" t="str">
        <f>IFERROR(VLOOKUP(B3030,'Pre-Summary'!$AZ$6:$BE$65,3,FALSE),"")</f>
        <v/>
      </c>
      <c r="AI3030" s="10" t="str">
        <f>IFERROR(VLOOKUP(B3030,'Pre-Summary'!$AZ$6:$BE$65,5,FALSE),"")</f>
        <v/>
      </c>
      <c r="AJ3030" s="10" t="str">
        <f>IFERROR(VLOOKUP(B3030,'Pre-Summary'!$AZ$6:$BE$65,4,FALSE),"")</f>
        <v/>
      </c>
      <c r="AK3030" s="10" t="str">
        <f>IFERROR(VLOOKUP(B3030,'Pre-Summary'!$AZ$6:$BE$65,6,FALSE),"")</f>
        <v/>
      </c>
      <c r="AL3030" s="10" t="str">
        <f>IFERROR(VLOOKUP(B3030,'Pre-Summary'!$BG$6:$BL$44,3,FALSE),"")</f>
        <v/>
      </c>
      <c r="AM3030" s="10" t="str">
        <f>IFERROR(VLOOKUP(B3030,'Pre-Summary'!$BG$6:$BL$44,4,FALSE),"")</f>
        <v/>
      </c>
    </row>
    <row r="3031" spans="2:39" ht="15" customHeight="1" x14ac:dyDescent="0.3">
      <c r="B3031">
        <v>302.8</v>
      </c>
      <c r="C3031" t="str">
        <f>IFERROR(VLOOKUP(B3031,'Pre-Summary'!$DI$6:$DM$23,4,FALSE),"")</f>
        <v/>
      </c>
      <c r="D3031" s="10" t="str">
        <f>IFERROR(VLOOKUP(B3031,'Pre-Summary'!$AT$6:$AX$14,5,FALSE),D3030)</f>
        <v>Wolfe v3: went back to modified wolfe + EDTA and switched CuSO4 to CUCl2</v>
      </c>
      <c r="E3031" s="10" t="str">
        <f>IFERROR(VLOOKUP(B3031,'Pre-Summary'!$AT$6:$AX$15,4,FALSE),"")</f>
        <v/>
      </c>
      <c r="F3031">
        <f>IFERROR(VLOOKUP(B3031,'Pre-Summary'!$AL$6:$AQ$13,6,FALSE),F3030)</f>
        <v>5.9405263157894746E-2</v>
      </c>
      <c r="G3031" t="str">
        <f>IFERROR(VLOOKUP(B3031,'Pre-Summary'!$AE$6:$AJ$85,3,FALSE),"")</f>
        <v/>
      </c>
      <c r="H3031" t="str">
        <f>IFERROR(VLOOKUP(B3031,'Pre-Summary'!$AE$6:$AJ$85,4,FALSE),"")</f>
        <v/>
      </c>
      <c r="I3031" t="str">
        <f>IFERROR(VLOOKUP(B3031,'Pre-Summary'!$AE$6:$AJ$85,5,FALSE),"")</f>
        <v/>
      </c>
      <c r="J3031" s="45" t="str">
        <f>IFERROR(VLOOKUP(B3031,'Pre-Summary'!$AE$6:$AJ$85,6, FALSE),"")</f>
        <v/>
      </c>
      <c r="K3031" s="45" t="str">
        <f>IFERROR(VLOOKUP(B3031,'Pre-Summary'!$DE$6:$DG$61,3,FALSE),"")</f>
        <v/>
      </c>
      <c r="L3031" s="45" t="str">
        <f>IFERROR(VLOOKUP(B3031,'Pre-Summary'!$CU$6:$CW$36,3,FALSE),"")</f>
        <v/>
      </c>
      <c r="M3031" s="45" t="str">
        <f>IFERROR(VLOOKUP(B3031,'Pre-Summary'!$BW$6:$BY$58,2,FALSE),"")</f>
        <v/>
      </c>
      <c r="N3031" s="45" t="str">
        <f>IFERROR(VLOOKUP(B3031,'Pre-Summary'!$CD$6:$CF$64,2,FALSE),"")</f>
        <v/>
      </c>
      <c r="O3031" s="99">
        <f>IFERROR(VLOOKUP(B3031,'Pre-Summary'!$BO$6:$BQ$48,3, FALSE),O3030)</f>
        <v>2.77</v>
      </c>
      <c r="P3031" s="99">
        <f>IFERROR(VLOOKUP(B3031,'Pre-Summary'!$BS$6:$BU$35,3,FALSE),P3030)</f>
        <v>0.70099999999999996</v>
      </c>
      <c r="Q3031" s="54">
        <f t="shared" si="141"/>
        <v>3.9514978601997148</v>
      </c>
      <c r="R3031" s="53">
        <f>IFERROR(VLOOKUP(B3031,'Pre-Summary'!$BG$6:$BM$44,7,FALSE),R3032)</f>
        <v>0</v>
      </c>
      <c r="S3031" s="53" t="e">
        <f>VLOOKUP(B3031,'Pre-Summary'!$BG$6:$BM$44,6,FALSE)</f>
        <v>#N/A</v>
      </c>
      <c r="T3031" s="45" t="str">
        <f>IFERROR(VLOOKUP(B3031,'Pre-Summary'!$Y$6:$AC$83, 3,FALSE),"")</f>
        <v/>
      </c>
      <c r="U3031" s="45" t="str">
        <f>IFERROR(VLOOKUP(B3031,'Pre-Summary'!$Y$6:$AC$83, 4,FALSE),"")</f>
        <v/>
      </c>
      <c r="V3031" t="str">
        <f>IFERROR(VLOOKUP(B3031,'Pre-Summary'!$Y$6:$AC$83, 5,FALSE),"")</f>
        <v/>
      </c>
      <c r="W3031" s="45" t="str">
        <f>IFERROR(VLOOKUP(B3031,'Pre-Summary'!$Y$6:$AD$83,6,FALSE),"")</f>
        <v/>
      </c>
      <c r="X3031" t="str">
        <f>IFERROR(VLOOKUP('Pre-Summary'!$DB$6:$DD$63,3,FALSE),"")</f>
        <v/>
      </c>
      <c r="Y3031" t="str">
        <f>IFERROR(VLOOKUP(B3031,'Pre-Summary'!$CR$6:$CT$36,3,FALSE),"")</f>
        <v/>
      </c>
      <c r="Z3031" s="45" t="str">
        <f>IFERROR(VLOOKUP(B3031,'Pre-Summary'!$BZ$6:$CB$63,2,FALSE),"")</f>
        <v/>
      </c>
      <c r="AA3031" s="45" t="str">
        <f>IFERROR(VLOOKUP(B3031,'Pre-Summary'!$CG$6:$CI$70,2,FALSE),"")</f>
        <v/>
      </c>
      <c r="AB3031" s="99">
        <f>IFERROR(VLOOKUP(B3031,'Pre-Summary'!$A$6:$P$178,9,FALSE),AB3032)</f>
        <v>0.78672405455763872</v>
      </c>
      <c r="AC3031" s="10">
        <f>IFERROR(VLOOKUP(Summary!B3031,'Pre-Summary'!$A$6:$P$184,5, FALSE)/100,AC3032)</f>
        <v>0.94994933333333331</v>
      </c>
      <c r="AD3031" s="10">
        <f>IFERROR(VLOOKUP(Summary!B3031,'Pre-Summary'!$A$6:$P$184,3, FALSE)/100,AD3032)</f>
        <v>4.7186000000000006E-2</v>
      </c>
      <c r="AE3031" s="10">
        <f>IFERROR(VLOOKUP(Summary!B3031,'Pre-Summary'!$A$6:$P$184,7, FALSE)/100,AE3032)</f>
        <v>2.8646666666666668E-3</v>
      </c>
      <c r="AF3031" s="99">
        <f t="shared" si="142"/>
        <v>3.7122361238356744E-2</v>
      </c>
      <c r="AG3031" s="99">
        <f t="shared" si="143"/>
        <v>2.2537021749561158E-3</v>
      </c>
      <c r="AH3031" s="10" t="str">
        <f>IFERROR(VLOOKUP(B3031,'Pre-Summary'!$AZ$6:$BE$65,3,FALSE),"")</f>
        <v/>
      </c>
      <c r="AI3031" s="10" t="str">
        <f>IFERROR(VLOOKUP(B3031,'Pre-Summary'!$AZ$6:$BE$65,5,FALSE),"")</f>
        <v/>
      </c>
      <c r="AJ3031" s="10" t="str">
        <f>IFERROR(VLOOKUP(B3031,'Pre-Summary'!$AZ$6:$BE$65,4,FALSE),"")</f>
        <v/>
      </c>
      <c r="AK3031" s="10" t="str">
        <f>IFERROR(VLOOKUP(B3031,'Pre-Summary'!$AZ$6:$BE$65,6,FALSE),"")</f>
        <v/>
      </c>
      <c r="AL3031" s="10" t="str">
        <f>IFERROR(VLOOKUP(B3031,'Pre-Summary'!$BG$6:$BL$44,3,FALSE),"")</f>
        <v/>
      </c>
      <c r="AM3031" s="10" t="str">
        <f>IFERROR(VLOOKUP(B3031,'Pre-Summary'!$BG$6:$BL$44,4,FALSE),"")</f>
        <v/>
      </c>
    </row>
    <row r="3032" spans="2:39" ht="15" customHeight="1" x14ac:dyDescent="0.3">
      <c r="B3032">
        <v>302.89999999999998</v>
      </c>
      <c r="C3032" t="str">
        <f>IFERROR(VLOOKUP(B3032,'Pre-Summary'!$DI$6:$DM$23,4,FALSE),"")</f>
        <v/>
      </c>
      <c r="D3032" s="10" t="str">
        <f>IFERROR(VLOOKUP(B3032,'Pre-Summary'!$AT$6:$AX$14,5,FALSE),D3031)</f>
        <v>Wolfe v3: went back to modified wolfe + EDTA and switched CuSO4 to CUCl2</v>
      </c>
      <c r="E3032" s="10" t="str">
        <f>IFERROR(VLOOKUP(B3032,'Pre-Summary'!$AT$6:$AX$15,4,FALSE),"")</f>
        <v/>
      </c>
      <c r="F3032">
        <f>IFERROR(VLOOKUP(B3032,'Pre-Summary'!$AL$6:$AQ$13,6,FALSE),F3031)</f>
        <v>5.9405263157894746E-2</v>
      </c>
      <c r="G3032" t="str">
        <f>IFERROR(VLOOKUP(B3032,'Pre-Summary'!$AE$6:$AJ$85,3,FALSE),"")</f>
        <v/>
      </c>
      <c r="H3032" t="str">
        <f>IFERROR(VLOOKUP(B3032,'Pre-Summary'!$AE$6:$AJ$85,4,FALSE),"")</f>
        <v/>
      </c>
      <c r="I3032" t="str">
        <f>IFERROR(VLOOKUP(B3032,'Pre-Summary'!$AE$6:$AJ$85,5,FALSE),"")</f>
        <v/>
      </c>
      <c r="J3032" s="45" t="str">
        <f>IFERROR(VLOOKUP(B3032,'Pre-Summary'!$AE$6:$AJ$85,6, FALSE),"")</f>
        <v/>
      </c>
      <c r="K3032" s="45" t="str">
        <f>IFERROR(VLOOKUP(B3032,'Pre-Summary'!$DE$6:$DG$61,3,FALSE),"")</f>
        <v/>
      </c>
      <c r="L3032" s="45" t="str">
        <f>IFERROR(VLOOKUP(B3032,'Pre-Summary'!$CU$6:$CW$36,3,FALSE),"")</f>
        <v/>
      </c>
      <c r="M3032" s="45" t="str">
        <f>IFERROR(VLOOKUP(B3032,'Pre-Summary'!$BW$6:$BY$58,2,FALSE),"")</f>
        <v/>
      </c>
      <c r="N3032" s="45" t="str">
        <f>IFERROR(VLOOKUP(B3032,'Pre-Summary'!$CD$6:$CF$64,2,FALSE),"")</f>
        <v/>
      </c>
      <c r="O3032" s="99">
        <f>IFERROR(VLOOKUP(B3032,'Pre-Summary'!$BO$6:$BQ$48,3, FALSE),O3031)</f>
        <v>2.77</v>
      </c>
      <c r="P3032" s="99">
        <f>IFERROR(VLOOKUP(B3032,'Pre-Summary'!$BS$6:$BU$35,3,FALSE),P3031)</f>
        <v>0.70099999999999996</v>
      </c>
      <c r="Q3032" s="54">
        <f t="shared" si="141"/>
        <v>3.9514978601997148</v>
      </c>
      <c r="R3032" s="53">
        <f>IFERROR(VLOOKUP(B3032,'Pre-Summary'!$BG$6:$BM$44,7,FALSE),R3033)</f>
        <v>0</v>
      </c>
      <c r="S3032" s="53" t="e">
        <f>VLOOKUP(B3032,'Pre-Summary'!$BG$6:$BM$44,6,FALSE)</f>
        <v>#N/A</v>
      </c>
      <c r="T3032" s="45" t="str">
        <f>IFERROR(VLOOKUP(B3032,'Pre-Summary'!$Y$6:$AC$83, 3,FALSE),"")</f>
        <v/>
      </c>
      <c r="U3032" s="45" t="str">
        <f>IFERROR(VLOOKUP(B3032,'Pre-Summary'!$Y$6:$AC$83, 4,FALSE),"")</f>
        <v/>
      </c>
      <c r="V3032" t="str">
        <f>IFERROR(VLOOKUP(B3032,'Pre-Summary'!$Y$6:$AC$83, 5,FALSE),"")</f>
        <v/>
      </c>
      <c r="W3032" s="45" t="str">
        <f>IFERROR(VLOOKUP(B3032,'Pre-Summary'!$Y$6:$AD$83,6,FALSE),"")</f>
        <v/>
      </c>
      <c r="X3032" t="str">
        <f>IFERROR(VLOOKUP('Pre-Summary'!$DB$6:$DD$63,3,FALSE),"")</f>
        <v/>
      </c>
      <c r="Y3032" t="str">
        <f>IFERROR(VLOOKUP(B3032,'Pre-Summary'!$CR$6:$CT$36,3,FALSE),"")</f>
        <v/>
      </c>
      <c r="Z3032" s="45" t="str">
        <f>IFERROR(VLOOKUP(B3032,'Pre-Summary'!$BZ$6:$CB$63,2,FALSE),"")</f>
        <v/>
      </c>
      <c r="AA3032" s="45" t="str">
        <f>IFERROR(VLOOKUP(B3032,'Pre-Summary'!$CG$6:$CI$70,2,FALSE),"")</f>
        <v/>
      </c>
      <c r="AB3032" s="99">
        <f>IFERROR(VLOOKUP(B3032,'Pre-Summary'!$A$6:$P$178,9,FALSE),AB3033)</f>
        <v>0.78672405455763872</v>
      </c>
      <c r="AC3032" s="10">
        <f>IFERROR(VLOOKUP(Summary!B3032,'Pre-Summary'!$A$6:$P$184,5, FALSE)/100,AC3033)</f>
        <v>0.94994933333333331</v>
      </c>
      <c r="AD3032" s="10">
        <f>IFERROR(VLOOKUP(Summary!B3032,'Pre-Summary'!$A$6:$P$184,3, FALSE)/100,AD3033)</f>
        <v>4.7186000000000006E-2</v>
      </c>
      <c r="AE3032" s="10">
        <f>IFERROR(VLOOKUP(Summary!B3032,'Pre-Summary'!$A$6:$P$184,7, FALSE)/100,AE3033)</f>
        <v>2.8646666666666668E-3</v>
      </c>
      <c r="AF3032" s="99">
        <f t="shared" si="142"/>
        <v>3.7122361238356744E-2</v>
      </c>
      <c r="AG3032" s="99">
        <f t="shared" si="143"/>
        <v>2.2537021749561158E-3</v>
      </c>
      <c r="AH3032" s="10" t="str">
        <f>IFERROR(VLOOKUP(B3032,'Pre-Summary'!$AZ$6:$BE$65,3,FALSE),"")</f>
        <v/>
      </c>
      <c r="AI3032" s="10" t="str">
        <f>IFERROR(VLOOKUP(B3032,'Pre-Summary'!$AZ$6:$BE$65,5,FALSE),"")</f>
        <v/>
      </c>
      <c r="AJ3032" s="10" t="str">
        <f>IFERROR(VLOOKUP(B3032,'Pre-Summary'!$AZ$6:$BE$65,4,FALSE),"")</f>
        <v/>
      </c>
      <c r="AK3032" s="10" t="str">
        <f>IFERROR(VLOOKUP(B3032,'Pre-Summary'!$AZ$6:$BE$65,6,FALSE),"")</f>
        <v/>
      </c>
      <c r="AL3032" s="10" t="str">
        <f>IFERROR(VLOOKUP(B3032,'Pre-Summary'!$BG$6:$BL$44,3,FALSE),"")</f>
        <v/>
      </c>
      <c r="AM3032" s="10" t="str">
        <f>IFERROR(VLOOKUP(B3032,'Pre-Summary'!$BG$6:$BL$44,4,FALSE),"")</f>
        <v/>
      </c>
    </row>
    <row r="3033" spans="2:39" ht="15" customHeight="1" x14ac:dyDescent="0.3">
      <c r="B3033">
        <v>303</v>
      </c>
      <c r="C3033" t="str">
        <f>IFERROR(VLOOKUP(B3033,'Pre-Summary'!$DI$6:$DM$23,4,FALSE),"")</f>
        <v/>
      </c>
      <c r="D3033" s="10" t="str">
        <f>IFERROR(VLOOKUP(B3033,'Pre-Summary'!$AT$6:$AX$14,5,FALSE),D3032)</f>
        <v>Wolfe v3: went back to modified wolfe + EDTA and switched CuSO4 to CUCl2</v>
      </c>
      <c r="E3033" s="10" t="str">
        <f>IFERROR(VLOOKUP(B3033,'Pre-Summary'!$AT$6:$AX$15,4,FALSE),"")</f>
        <v/>
      </c>
      <c r="F3033">
        <f>IFERROR(VLOOKUP(B3033,'Pre-Summary'!$AL$6:$AQ$13,6,FALSE),F3032)</f>
        <v>5.9405263157894746E-2</v>
      </c>
      <c r="G3033" t="str">
        <f>IFERROR(VLOOKUP(B3033,'Pre-Summary'!$AE$6:$AJ$85,3,FALSE),"")</f>
        <v/>
      </c>
      <c r="H3033" t="str">
        <f>IFERROR(VLOOKUP(B3033,'Pre-Summary'!$AE$6:$AJ$85,4,FALSE),"")</f>
        <v/>
      </c>
      <c r="I3033" t="str">
        <f>IFERROR(VLOOKUP(B3033,'Pre-Summary'!$AE$6:$AJ$85,5,FALSE),"")</f>
        <v/>
      </c>
      <c r="J3033" s="45" t="str">
        <f>IFERROR(VLOOKUP(B3033,'Pre-Summary'!$AE$6:$AJ$85,6, FALSE),"")</f>
        <v/>
      </c>
      <c r="K3033" s="45" t="str">
        <f>IFERROR(VLOOKUP(B3033,'Pre-Summary'!$DE$6:$DG$61,3,FALSE),"")</f>
        <v/>
      </c>
      <c r="L3033" s="45" t="str">
        <f>IFERROR(VLOOKUP(B3033,'Pre-Summary'!$CU$6:$CW$36,3,FALSE),"")</f>
        <v/>
      </c>
      <c r="M3033" s="45" t="str">
        <f>IFERROR(VLOOKUP(B3033,'Pre-Summary'!$BW$6:$BY$58,2,FALSE),"")</f>
        <v/>
      </c>
      <c r="N3033" s="45" t="str">
        <f>IFERROR(VLOOKUP(B3033,'Pre-Summary'!$CD$6:$CF$64,2,FALSE),"")</f>
        <v/>
      </c>
      <c r="O3033" s="99">
        <f>IFERROR(VLOOKUP(B3033,'Pre-Summary'!$BO$6:$BQ$48,3, FALSE),O3032)</f>
        <v>2.77</v>
      </c>
      <c r="P3033" s="99">
        <f>IFERROR(VLOOKUP(B3033,'Pre-Summary'!$BS$6:$BU$35,3,FALSE),P3032)</f>
        <v>0.70099999999999996</v>
      </c>
      <c r="Q3033" s="54">
        <f t="shared" si="141"/>
        <v>3.9514978601997148</v>
      </c>
      <c r="R3033" s="53">
        <f>IFERROR(VLOOKUP(B3033,'Pre-Summary'!$BG$6:$BM$44,7,FALSE),R3034)</f>
        <v>0</v>
      </c>
      <c r="S3033" s="53" t="e">
        <f>VLOOKUP(B3033,'Pre-Summary'!$BG$6:$BM$44,6,FALSE)</f>
        <v>#N/A</v>
      </c>
      <c r="T3033" s="45" t="str">
        <f>IFERROR(VLOOKUP(B3033,'Pre-Summary'!$Y$6:$AC$83, 3,FALSE),"")</f>
        <v/>
      </c>
      <c r="U3033" s="45" t="str">
        <f>IFERROR(VLOOKUP(B3033,'Pre-Summary'!$Y$6:$AC$83, 4,FALSE),"")</f>
        <v/>
      </c>
      <c r="V3033" t="str">
        <f>IFERROR(VLOOKUP(B3033,'Pre-Summary'!$Y$6:$AC$83, 5,FALSE),"")</f>
        <v/>
      </c>
      <c r="W3033" s="45" t="str">
        <f>IFERROR(VLOOKUP(B3033,'Pre-Summary'!$Y$6:$AD$83,6,FALSE),"")</f>
        <v/>
      </c>
      <c r="X3033" t="str">
        <f>IFERROR(VLOOKUP('Pre-Summary'!$DB$6:$DD$63,3,FALSE),"")</f>
        <v/>
      </c>
      <c r="Y3033" t="str">
        <f>IFERROR(VLOOKUP(B3033,'Pre-Summary'!$CR$6:$CT$36,3,FALSE),"")</f>
        <v/>
      </c>
      <c r="Z3033" s="45" t="str">
        <f>IFERROR(VLOOKUP(B3033,'Pre-Summary'!$BZ$6:$CB$63,2,FALSE),"")</f>
        <v/>
      </c>
      <c r="AA3033" s="45" t="str">
        <f>IFERROR(VLOOKUP(B3033,'Pre-Summary'!$CG$6:$CI$70,2,FALSE),"")</f>
        <v/>
      </c>
      <c r="AB3033" s="99">
        <f>IFERROR(VLOOKUP(B3033,'Pre-Summary'!$A$6:$P$178,9,FALSE),AB3034)</f>
        <v>0.78672405455763872</v>
      </c>
      <c r="AC3033" s="10">
        <f>IFERROR(VLOOKUP(Summary!B3033,'Pre-Summary'!$A$6:$P$184,5, FALSE)/100,AC3034)</f>
        <v>0.94994933333333331</v>
      </c>
      <c r="AD3033" s="10">
        <f>IFERROR(VLOOKUP(Summary!B3033,'Pre-Summary'!$A$6:$P$184,3, FALSE)/100,AD3034)</f>
        <v>4.7186000000000006E-2</v>
      </c>
      <c r="AE3033" s="10">
        <f>IFERROR(VLOOKUP(Summary!B3033,'Pre-Summary'!$A$6:$P$184,7, FALSE)/100,AE3034)</f>
        <v>2.8646666666666668E-3</v>
      </c>
      <c r="AF3033" s="99">
        <f t="shared" si="142"/>
        <v>3.7122361238356744E-2</v>
      </c>
      <c r="AG3033" s="99">
        <f t="shared" si="143"/>
        <v>2.2537021749561158E-3</v>
      </c>
      <c r="AH3033" s="10" t="str">
        <f>IFERROR(VLOOKUP(B3033,'Pre-Summary'!$AZ$6:$BE$65,3,FALSE),"")</f>
        <v/>
      </c>
      <c r="AI3033" s="10" t="str">
        <f>IFERROR(VLOOKUP(B3033,'Pre-Summary'!$AZ$6:$BE$65,5,FALSE),"")</f>
        <v/>
      </c>
      <c r="AJ3033" s="10" t="str">
        <f>IFERROR(VLOOKUP(B3033,'Pre-Summary'!$AZ$6:$BE$65,4,FALSE),"")</f>
        <v/>
      </c>
      <c r="AK3033" s="10" t="str">
        <f>IFERROR(VLOOKUP(B3033,'Pre-Summary'!$AZ$6:$BE$65,6,FALSE),"")</f>
        <v/>
      </c>
      <c r="AL3033" s="10" t="str">
        <f>IFERROR(VLOOKUP(B3033,'Pre-Summary'!$BG$6:$BL$44,3,FALSE),"")</f>
        <v/>
      </c>
      <c r="AM3033" s="10" t="str">
        <f>IFERROR(VLOOKUP(B3033,'Pre-Summary'!$BG$6:$BL$44,4,FALSE),"")</f>
        <v/>
      </c>
    </row>
    <row r="3034" spans="2:39" ht="15" customHeight="1" x14ac:dyDescent="0.3">
      <c r="B3034">
        <v>303.10000000000002</v>
      </c>
      <c r="C3034" t="str">
        <f>IFERROR(VLOOKUP(B3034,'Pre-Summary'!$DI$6:$DM$23,4,FALSE),"")</f>
        <v/>
      </c>
      <c r="D3034" s="10" t="str">
        <f>IFERROR(VLOOKUP(B3034,'Pre-Summary'!$AT$6:$AX$14,5,FALSE),D3033)</f>
        <v>Wolfe v3: went back to modified wolfe + EDTA and switched CuSO4 to CUCl2</v>
      </c>
      <c r="E3034" s="10" t="str">
        <f>IFERROR(VLOOKUP(B3034,'Pre-Summary'!$AT$6:$AX$15,4,FALSE),"")</f>
        <v/>
      </c>
      <c r="F3034">
        <f>IFERROR(VLOOKUP(B3034,'Pre-Summary'!$AL$6:$AQ$13,6,FALSE),F3033)</f>
        <v>5.9405263157894746E-2</v>
      </c>
      <c r="G3034" t="str">
        <f>IFERROR(VLOOKUP(B3034,'Pre-Summary'!$AE$6:$AJ$85,3,FALSE),"")</f>
        <v/>
      </c>
      <c r="H3034" t="str">
        <f>IFERROR(VLOOKUP(B3034,'Pre-Summary'!$AE$6:$AJ$85,4,FALSE),"")</f>
        <v/>
      </c>
      <c r="I3034" t="str">
        <f>IFERROR(VLOOKUP(B3034,'Pre-Summary'!$AE$6:$AJ$85,5,FALSE),"")</f>
        <v/>
      </c>
      <c r="J3034" s="45" t="str">
        <f>IFERROR(VLOOKUP(B3034,'Pre-Summary'!$AE$6:$AJ$85,6, FALSE),"")</f>
        <v/>
      </c>
      <c r="K3034" s="45" t="str">
        <f>IFERROR(VLOOKUP(B3034,'Pre-Summary'!$DE$6:$DG$61,3,FALSE),"")</f>
        <v/>
      </c>
      <c r="L3034" s="45" t="str">
        <f>IFERROR(VLOOKUP(B3034,'Pre-Summary'!$CU$6:$CW$36,3,FALSE),"")</f>
        <v/>
      </c>
      <c r="M3034" s="45" t="str">
        <f>IFERROR(VLOOKUP(B3034,'Pre-Summary'!$BW$6:$BY$58,2,FALSE),"")</f>
        <v/>
      </c>
      <c r="N3034" s="45" t="str">
        <f>IFERROR(VLOOKUP(B3034,'Pre-Summary'!$CD$6:$CF$64,2,FALSE),"")</f>
        <v/>
      </c>
      <c r="O3034" s="99">
        <f>IFERROR(VLOOKUP(B3034,'Pre-Summary'!$BO$6:$BQ$48,3, FALSE),O3033)</f>
        <v>2.77</v>
      </c>
      <c r="P3034" s="99">
        <f>IFERROR(VLOOKUP(B3034,'Pre-Summary'!$BS$6:$BU$35,3,FALSE),P3033)</f>
        <v>0.70099999999999996</v>
      </c>
      <c r="Q3034" s="54">
        <f t="shared" si="141"/>
        <v>3.9514978601997148</v>
      </c>
      <c r="R3034" s="53">
        <f>IFERROR(VLOOKUP(B3034,'Pre-Summary'!$BG$6:$BM$44,7,FALSE),R3035)</f>
        <v>0</v>
      </c>
      <c r="S3034" s="53" t="e">
        <f>VLOOKUP(B3034,'Pre-Summary'!$BG$6:$BM$44,6,FALSE)</f>
        <v>#N/A</v>
      </c>
      <c r="T3034" s="45" t="str">
        <f>IFERROR(VLOOKUP(B3034,'Pre-Summary'!$Y$6:$AC$83, 3,FALSE),"")</f>
        <v/>
      </c>
      <c r="U3034" s="45" t="str">
        <f>IFERROR(VLOOKUP(B3034,'Pre-Summary'!$Y$6:$AC$83, 4,FALSE),"")</f>
        <v/>
      </c>
      <c r="V3034" t="str">
        <f>IFERROR(VLOOKUP(B3034,'Pre-Summary'!$Y$6:$AC$83, 5,FALSE),"")</f>
        <v/>
      </c>
      <c r="W3034" s="45" t="str">
        <f>IFERROR(VLOOKUP(B3034,'Pre-Summary'!$Y$6:$AD$83,6,FALSE),"")</f>
        <v/>
      </c>
      <c r="X3034" t="str">
        <f>IFERROR(VLOOKUP('Pre-Summary'!$DB$6:$DD$63,3,FALSE),"")</f>
        <v/>
      </c>
      <c r="Y3034" t="str">
        <f>IFERROR(VLOOKUP(B3034,'Pre-Summary'!$CR$6:$CT$36,3,FALSE),"")</f>
        <v/>
      </c>
      <c r="Z3034" s="45" t="str">
        <f>IFERROR(VLOOKUP(B3034,'Pre-Summary'!$BZ$6:$CB$63,2,FALSE),"")</f>
        <v/>
      </c>
      <c r="AA3034" s="45" t="str">
        <f>IFERROR(VLOOKUP(B3034,'Pre-Summary'!$CG$6:$CI$70,2,FALSE),"")</f>
        <v/>
      </c>
      <c r="AB3034" s="99">
        <f>IFERROR(VLOOKUP(B3034,'Pre-Summary'!$A$6:$P$178,9,FALSE),AB3035)</f>
        <v>0.78672405455763872</v>
      </c>
      <c r="AC3034" s="10">
        <f>IFERROR(VLOOKUP(Summary!B3034,'Pre-Summary'!$A$6:$P$184,5, FALSE)/100,AC3035)</f>
        <v>0.94994933333333331</v>
      </c>
      <c r="AD3034" s="10">
        <f>IFERROR(VLOOKUP(Summary!B3034,'Pre-Summary'!$A$6:$P$184,3, FALSE)/100,AD3035)</f>
        <v>4.7186000000000006E-2</v>
      </c>
      <c r="AE3034" s="10">
        <f>IFERROR(VLOOKUP(Summary!B3034,'Pre-Summary'!$A$6:$P$184,7, FALSE)/100,AE3035)</f>
        <v>2.8646666666666668E-3</v>
      </c>
      <c r="AF3034" s="99">
        <f t="shared" si="142"/>
        <v>3.7122361238356744E-2</v>
      </c>
      <c r="AG3034" s="99">
        <f t="shared" si="143"/>
        <v>2.2537021749561158E-3</v>
      </c>
      <c r="AH3034" s="10" t="str">
        <f>IFERROR(VLOOKUP(B3034,'Pre-Summary'!$AZ$6:$BE$65,3,FALSE),"")</f>
        <v/>
      </c>
      <c r="AI3034" s="10" t="str">
        <f>IFERROR(VLOOKUP(B3034,'Pre-Summary'!$AZ$6:$BE$65,5,FALSE),"")</f>
        <v/>
      </c>
      <c r="AJ3034" s="10" t="str">
        <f>IFERROR(VLOOKUP(B3034,'Pre-Summary'!$AZ$6:$BE$65,4,FALSE),"")</f>
        <v/>
      </c>
      <c r="AK3034" s="10" t="str">
        <f>IFERROR(VLOOKUP(B3034,'Pre-Summary'!$AZ$6:$BE$65,6,FALSE),"")</f>
        <v/>
      </c>
      <c r="AL3034" s="10" t="str">
        <f>IFERROR(VLOOKUP(B3034,'Pre-Summary'!$BG$6:$BL$44,3,FALSE),"")</f>
        <v/>
      </c>
      <c r="AM3034" s="10" t="str">
        <f>IFERROR(VLOOKUP(B3034,'Pre-Summary'!$BG$6:$BL$44,4,FALSE),"")</f>
        <v/>
      </c>
    </row>
    <row r="3035" spans="2:39" ht="15" customHeight="1" x14ac:dyDescent="0.3">
      <c r="B3035">
        <v>303.2</v>
      </c>
      <c r="C3035" t="str">
        <f>IFERROR(VLOOKUP(B3035,'Pre-Summary'!$DI$6:$DM$23,4,FALSE),"")</f>
        <v/>
      </c>
      <c r="D3035" s="10" t="str">
        <f>IFERROR(VLOOKUP(B3035,'Pre-Summary'!$AT$6:$AX$14,5,FALSE),D3034)</f>
        <v>Wolfe v3: went back to modified wolfe + EDTA and switched CuSO4 to CUCl2</v>
      </c>
      <c r="E3035" s="10" t="str">
        <f>IFERROR(VLOOKUP(B3035,'Pre-Summary'!$AT$6:$AX$15,4,FALSE),"")</f>
        <v/>
      </c>
      <c r="F3035">
        <f>IFERROR(VLOOKUP(B3035,'Pre-Summary'!$AL$6:$AQ$13,6,FALSE),F3034)</f>
        <v>5.9405263157894746E-2</v>
      </c>
      <c r="G3035" t="str">
        <f>IFERROR(VLOOKUP(B3035,'Pre-Summary'!$AE$6:$AJ$85,3,FALSE),"")</f>
        <v/>
      </c>
      <c r="H3035" t="str">
        <f>IFERROR(VLOOKUP(B3035,'Pre-Summary'!$AE$6:$AJ$85,4,FALSE),"")</f>
        <v/>
      </c>
      <c r="I3035" t="str">
        <f>IFERROR(VLOOKUP(B3035,'Pre-Summary'!$AE$6:$AJ$85,5,FALSE),"")</f>
        <v/>
      </c>
      <c r="J3035" s="45" t="str">
        <f>IFERROR(VLOOKUP(B3035,'Pre-Summary'!$AE$6:$AJ$85,6, FALSE),"")</f>
        <v/>
      </c>
      <c r="K3035" s="45" t="str">
        <f>IFERROR(VLOOKUP(B3035,'Pre-Summary'!$DE$6:$DG$61,3,FALSE),"")</f>
        <v/>
      </c>
      <c r="L3035" s="45" t="str">
        <f>IFERROR(VLOOKUP(B3035,'Pre-Summary'!$CU$6:$CW$36,3,FALSE),"")</f>
        <v/>
      </c>
      <c r="M3035" s="45" t="str">
        <f>IFERROR(VLOOKUP(B3035,'Pre-Summary'!$BW$6:$BY$58,2,FALSE),"")</f>
        <v/>
      </c>
      <c r="N3035" s="45" t="str">
        <f>IFERROR(VLOOKUP(B3035,'Pre-Summary'!$CD$6:$CF$64,2,FALSE),"")</f>
        <v/>
      </c>
      <c r="O3035" s="99">
        <f>IFERROR(VLOOKUP(B3035,'Pre-Summary'!$BO$6:$BQ$48,3, FALSE),O3034)</f>
        <v>3.3239999999999998</v>
      </c>
      <c r="P3035" s="99">
        <f>IFERROR(VLOOKUP(B3035,'Pre-Summary'!$BS$6:$BU$35,3,FALSE),P3034)</f>
        <v>0.84099999999999997</v>
      </c>
      <c r="Q3035" s="54">
        <f t="shared" si="141"/>
        <v>3.9524375743162903</v>
      </c>
      <c r="R3035" s="53">
        <f>IFERROR(VLOOKUP(B3035,'Pre-Summary'!$BG$6:$BM$44,7,FALSE),R3036)</f>
        <v>0</v>
      </c>
      <c r="S3035" s="53" t="e">
        <f>VLOOKUP(B3035,'Pre-Summary'!$BG$6:$BM$44,6,FALSE)</f>
        <v>#N/A</v>
      </c>
      <c r="T3035" s="45" t="str">
        <f>IFERROR(VLOOKUP(B3035,'Pre-Summary'!$Y$6:$AC$83, 3,FALSE),"")</f>
        <v/>
      </c>
      <c r="U3035" s="45" t="str">
        <f>IFERROR(VLOOKUP(B3035,'Pre-Summary'!$Y$6:$AC$83, 4,FALSE),"")</f>
        <v/>
      </c>
      <c r="V3035" t="str">
        <f>IFERROR(VLOOKUP(B3035,'Pre-Summary'!$Y$6:$AC$83, 5,FALSE),"")</f>
        <v/>
      </c>
      <c r="W3035" s="45" t="str">
        <f>IFERROR(VLOOKUP(B3035,'Pre-Summary'!$Y$6:$AD$83,6,FALSE),"")</f>
        <v/>
      </c>
      <c r="X3035" t="str">
        <f>IFERROR(VLOOKUP('Pre-Summary'!$DB$6:$DD$63,3,FALSE),"")</f>
        <v/>
      </c>
      <c r="Y3035" t="str">
        <f>IFERROR(VLOOKUP(B3035,'Pre-Summary'!$CR$6:$CT$36,3,FALSE),"")</f>
        <v/>
      </c>
      <c r="Z3035" s="45" t="str">
        <f>IFERROR(VLOOKUP(B3035,'Pre-Summary'!$BZ$6:$CB$63,2,FALSE),"")</f>
        <v/>
      </c>
      <c r="AA3035" s="45" t="str">
        <f>IFERROR(VLOOKUP(B3035,'Pre-Summary'!$CG$6:$CI$70,2,FALSE),"")</f>
        <v/>
      </c>
      <c r="AB3035" s="99">
        <f>IFERROR(VLOOKUP(B3035,'Pre-Summary'!$A$6:$P$178,9,FALSE),AB3036)</f>
        <v>0.78672405455763872</v>
      </c>
      <c r="AC3035" s="10">
        <f>IFERROR(VLOOKUP(Summary!B3035,'Pre-Summary'!$A$6:$P$184,5, FALSE)/100,AC3036)</f>
        <v>0.94994933333333331</v>
      </c>
      <c r="AD3035" s="10">
        <f>IFERROR(VLOOKUP(Summary!B3035,'Pre-Summary'!$A$6:$P$184,3, FALSE)/100,AD3036)</f>
        <v>4.7186000000000006E-2</v>
      </c>
      <c r="AE3035" s="10">
        <f>IFERROR(VLOOKUP(Summary!B3035,'Pre-Summary'!$A$6:$P$184,7, FALSE)/100,AE3036)</f>
        <v>2.8646666666666668E-3</v>
      </c>
      <c r="AF3035" s="99">
        <f t="shared" si="142"/>
        <v>3.7122361238356744E-2</v>
      </c>
      <c r="AG3035" s="99">
        <f t="shared" si="143"/>
        <v>2.2537021749561158E-3</v>
      </c>
      <c r="AH3035" s="10" t="str">
        <f>IFERROR(VLOOKUP(B3035,'Pre-Summary'!$AZ$6:$BE$65,3,FALSE),"")</f>
        <v/>
      </c>
      <c r="AI3035" s="10" t="str">
        <f>IFERROR(VLOOKUP(B3035,'Pre-Summary'!$AZ$6:$BE$65,5,FALSE),"")</f>
        <v/>
      </c>
      <c r="AJ3035" s="10" t="str">
        <f>IFERROR(VLOOKUP(B3035,'Pre-Summary'!$AZ$6:$BE$65,4,FALSE),"")</f>
        <v/>
      </c>
      <c r="AK3035" s="10" t="str">
        <f>IFERROR(VLOOKUP(B3035,'Pre-Summary'!$AZ$6:$BE$65,6,FALSE),"")</f>
        <v/>
      </c>
      <c r="AL3035" s="10" t="str">
        <f>IFERROR(VLOOKUP(B3035,'Pre-Summary'!$BG$6:$BL$44,3,FALSE),"")</f>
        <v/>
      </c>
      <c r="AM3035" s="10" t="str">
        <f>IFERROR(VLOOKUP(B3035,'Pre-Summary'!$BG$6:$BL$44,4,FALSE),"")</f>
        <v/>
      </c>
    </row>
    <row r="3036" spans="2:39" ht="15" customHeight="1" x14ac:dyDescent="0.3">
      <c r="B3036">
        <v>303.3</v>
      </c>
      <c r="C3036" t="str">
        <f>IFERROR(VLOOKUP(B3036,'Pre-Summary'!$DI$6:$DM$23,4,FALSE),"")</f>
        <v/>
      </c>
      <c r="D3036" s="10" t="str">
        <f>IFERROR(VLOOKUP(B3036,'Pre-Summary'!$AT$6:$AX$14,5,FALSE),D3035)</f>
        <v>Wolfe v3: went back to modified wolfe + EDTA and switched CuSO4 to CUCl2</v>
      </c>
      <c r="E3036" s="10" t="str">
        <f>IFERROR(VLOOKUP(B3036,'Pre-Summary'!$AT$6:$AX$15,4,FALSE),"")</f>
        <v/>
      </c>
      <c r="F3036">
        <f>IFERROR(VLOOKUP(B3036,'Pre-Summary'!$AL$6:$AQ$13,6,FALSE),F3035)</f>
        <v>5.9405263157894746E-2</v>
      </c>
      <c r="G3036" t="str">
        <f>IFERROR(VLOOKUP(B3036,'Pre-Summary'!$AE$6:$AJ$85,3,FALSE),"")</f>
        <v/>
      </c>
      <c r="H3036" t="str">
        <f>IFERROR(VLOOKUP(B3036,'Pre-Summary'!$AE$6:$AJ$85,4,FALSE),"")</f>
        <v/>
      </c>
      <c r="I3036" t="str">
        <f>IFERROR(VLOOKUP(B3036,'Pre-Summary'!$AE$6:$AJ$85,5,FALSE),"")</f>
        <v/>
      </c>
      <c r="J3036" s="45" t="str">
        <f>IFERROR(VLOOKUP(B3036,'Pre-Summary'!$AE$6:$AJ$85,6, FALSE),"")</f>
        <v/>
      </c>
      <c r="K3036" s="45" t="str">
        <f>IFERROR(VLOOKUP(B3036,'Pre-Summary'!$DE$6:$DG$61,3,FALSE),"")</f>
        <v/>
      </c>
      <c r="L3036" s="45" t="str">
        <f>IFERROR(VLOOKUP(B3036,'Pre-Summary'!$CU$6:$CW$36,3,FALSE),"")</f>
        <v/>
      </c>
      <c r="M3036" s="45" t="str">
        <f>IFERROR(VLOOKUP(B3036,'Pre-Summary'!$BW$6:$BY$58,2,FALSE),"")</f>
        <v/>
      </c>
      <c r="N3036" s="45" t="str">
        <f>IFERROR(VLOOKUP(B3036,'Pre-Summary'!$CD$6:$CF$64,2,FALSE),"")</f>
        <v/>
      </c>
      <c r="O3036" s="99">
        <f>IFERROR(VLOOKUP(B3036,'Pre-Summary'!$BO$6:$BQ$48,3, FALSE),O3035)</f>
        <v>3.3239999999999998</v>
      </c>
      <c r="P3036" s="99">
        <f>IFERROR(VLOOKUP(B3036,'Pre-Summary'!$BS$6:$BU$35,3,FALSE),P3035)</f>
        <v>0.84099999999999997</v>
      </c>
      <c r="Q3036" s="54">
        <f t="shared" si="141"/>
        <v>3.9524375743162903</v>
      </c>
      <c r="R3036" s="53">
        <f>IFERROR(VLOOKUP(B3036,'Pre-Summary'!$BG$6:$BM$44,7,FALSE),R3037)</f>
        <v>0</v>
      </c>
      <c r="S3036" s="53" t="e">
        <f>VLOOKUP(B3036,'Pre-Summary'!$BG$6:$BM$44,6,FALSE)</f>
        <v>#N/A</v>
      </c>
      <c r="T3036" s="45" t="str">
        <f>IFERROR(VLOOKUP(B3036,'Pre-Summary'!$Y$6:$AC$83, 3,FALSE),"")</f>
        <v/>
      </c>
      <c r="U3036" s="45" t="str">
        <f>IFERROR(VLOOKUP(B3036,'Pre-Summary'!$Y$6:$AC$83, 4,FALSE),"")</f>
        <v/>
      </c>
      <c r="V3036" t="str">
        <f>IFERROR(VLOOKUP(B3036,'Pre-Summary'!$Y$6:$AC$83, 5,FALSE),"")</f>
        <v/>
      </c>
      <c r="W3036" s="45" t="str">
        <f>IFERROR(VLOOKUP(B3036,'Pre-Summary'!$Y$6:$AD$83,6,FALSE),"")</f>
        <v/>
      </c>
      <c r="X3036" t="str">
        <f>IFERROR(VLOOKUP('Pre-Summary'!$DB$6:$DD$63,3,FALSE),"")</f>
        <v/>
      </c>
      <c r="Y3036" t="str">
        <f>IFERROR(VLOOKUP(B3036,'Pre-Summary'!$CR$6:$CT$36,3,FALSE),"")</f>
        <v/>
      </c>
      <c r="Z3036" s="45" t="str">
        <f>IFERROR(VLOOKUP(B3036,'Pre-Summary'!$BZ$6:$CB$63,2,FALSE),"")</f>
        <v/>
      </c>
      <c r="AA3036" s="45" t="str">
        <f>IFERROR(VLOOKUP(B3036,'Pre-Summary'!$CG$6:$CI$70,2,FALSE),"")</f>
        <v/>
      </c>
      <c r="AB3036" s="99">
        <f>IFERROR(VLOOKUP(B3036,'Pre-Summary'!$A$6:$P$178,9,FALSE),AB3037)</f>
        <v>0.78672405455763872</v>
      </c>
      <c r="AC3036" s="10">
        <f>IFERROR(VLOOKUP(Summary!B3036,'Pre-Summary'!$A$6:$P$184,5, FALSE)/100,AC3037)</f>
        <v>0.94994933333333331</v>
      </c>
      <c r="AD3036" s="10">
        <f>IFERROR(VLOOKUP(Summary!B3036,'Pre-Summary'!$A$6:$P$184,3, FALSE)/100,AD3037)</f>
        <v>4.7186000000000006E-2</v>
      </c>
      <c r="AE3036" s="10">
        <f>IFERROR(VLOOKUP(Summary!B3036,'Pre-Summary'!$A$6:$P$184,7, FALSE)/100,AE3037)</f>
        <v>2.8646666666666668E-3</v>
      </c>
      <c r="AF3036" s="99">
        <f t="shared" si="142"/>
        <v>3.7122361238356744E-2</v>
      </c>
      <c r="AG3036" s="99">
        <f t="shared" si="143"/>
        <v>2.2537021749561158E-3</v>
      </c>
      <c r="AH3036" s="10" t="str">
        <f>IFERROR(VLOOKUP(B3036,'Pre-Summary'!$AZ$6:$BE$65,3,FALSE),"")</f>
        <v/>
      </c>
      <c r="AI3036" s="10" t="str">
        <f>IFERROR(VLOOKUP(B3036,'Pre-Summary'!$AZ$6:$BE$65,5,FALSE),"")</f>
        <v/>
      </c>
      <c r="AJ3036" s="10" t="str">
        <f>IFERROR(VLOOKUP(B3036,'Pre-Summary'!$AZ$6:$BE$65,4,FALSE),"")</f>
        <v/>
      </c>
      <c r="AK3036" s="10" t="str">
        <f>IFERROR(VLOOKUP(B3036,'Pre-Summary'!$AZ$6:$BE$65,6,FALSE),"")</f>
        <v/>
      </c>
      <c r="AL3036" s="10" t="str">
        <f>IFERROR(VLOOKUP(B3036,'Pre-Summary'!$BG$6:$BL$44,3,FALSE),"")</f>
        <v/>
      </c>
      <c r="AM3036" s="10" t="str">
        <f>IFERROR(VLOOKUP(B3036,'Pre-Summary'!$BG$6:$BL$44,4,FALSE),"")</f>
        <v/>
      </c>
    </row>
    <row r="3037" spans="2:39" ht="15" customHeight="1" x14ac:dyDescent="0.3">
      <c r="B3037">
        <v>303.39999999999998</v>
      </c>
      <c r="C3037" t="str">
        <f>IFERROR(VLOOKUP(B3037,'Pre-Summary'!$DI$6:$DM$23,4,FALSE),"")</f>
        <v/>
      </c>
      <c r="D3037" s="10" t="str">
        <f>IFERROR(VLOOKUP(B3037,'Pre-Summary'!$AT$6:$AX$14,5,FALSE),D3036)</f>
        <v>Wolfe v3: went back to modified wolfe + EDTA and switched CuSO4 to CUCl2</v>
      </c>
      <c r="E3037" s="10" t="str">
        <f>IFERROR(VLOOKUP(B3037,'Pre-Summary'!$AT$6:$AX$15,4,FALSE),"")</f>
        <v/>
      </c>
      <c r="F3037">
        <f>IFERROR(VLOOKUP(B3037,'Pre-Summary'!$AL$6:$AQ$13,6,FALSE),F3036)</f>
        <v>5.9405263157894746E-2</v>
      </c>
      <c r="G3037" t="str">
        <f>IFERROR(VLOOKUP(B3037,'Pre-Summary'!$AE$6:$AJ$85,3,FALSE),"")</f>
        <v/>
      </c>
      <c r="H3037" t="str">
        <f>IFERROR(VLOOKUP(B3037,'Pre-Summary'!$AE$6:$AJ$85,4,FALSE),"")</f>
        <v/>
      </c>
      <c r="I3037" t="str">
        <f>IFERROR(VLOOKUP(B3037,'Pre-Summary'!$AE$6:$AJ$85,5,FALSE),"")</f>
        <v/>
      </c>
      <c r="J3037" s="45" t="str">
        <f>IFERROR(VLOOKUP(B3037,'Pre-Summary'!$AE$6:$AJ$85,6, FALSE),"")</f>
        <v/>
      </c>
      <c r="K3037" s="45" t="str">
        <f>IFERROR(VLOOKUP(B3037,'Pre-Summary'!$DE$6:$DG$61,3,FALSE),"")</f>
        <v/>
      </c>
      <c r="L3037" s="45" t="str">
        <f>IFERROR(VLOOKUP(B3037,'Pre-Summary'!$CU$6:$CW$36,3,FALSE),"")</f>
        <v/>
      </c>
      <c r="M3037" s="45" t="str">
        <f>IFERROR(VLOOKUP(B3037,'Pre-Summary'!$BW$6:$BY$58,2,FALSE),"")</f>
        <v/>
      </c>
      <c r="N3037" s="45" t="str">
        <f>IFERROR(VLOOKUP(B3037,'Pre-Summary'!$CD$6:$CF$64,2,FALSE),"")</f>
        <v/>
      </c>
      <c r="O3037" s="99">
        <f>IFERROR(VLOOKUP(B3037,'Pre-Summary'!$BO$6:$BQ$48,3, FALSE),O3036)</f>
        <v>3.3239999999999998</v>
      </c>
      <c r="P3037" s="99">
        <f>IFERROR(VLOOKUP(B3037,'Pre-Summary'!$BS$6:$BU$35,3,FALSE),P3036)</f>
        <v>0.84099999999999997</v>
      </c>
      <c r="Q3037" s="54">
        <f t="shared" si="141"/>
        <v>3.9524375743162903</v>
      </c>
      <c r="R3037" s="53">
        <f>IFERROR(VLOOKUP(B3037,'Pre-Summary'!$BG$6:$BM$44,7,FALSE),R3038)</f>
        <v>0</v>
      </c>
      <c r="S3037" s="53" t="e">
        <f>VLOOKUP(B3037,'Pre-Summary'!$BG$6:$BM$44,6,FALSE)</f>
        <v>#N/A</v>
      </c>
      <c r="T3037" s="45" t="str">
        <f>IFERROR(VLOOKUP(B3037,'Pre-Summary'!$Y$6:$AC$83, 3,FALSE),"")</f>
        <v/>
      </c>
      <c r="U3037" s="45" t="str">
        <f>IFERROR(VLOOKUP(B3037,'Pre-Summary'!$Y$6:$AC$83, 4,FALSE),"")</f>
        <v/>
      </c>
      <c r="V3037" t="str">
        <f>IFERROR(VLOOKUP(B3037,'Pre-Summary'!$Y$6:$AC$83, 5,FALSE),"")</f>
        <v/>
      </c>
      <c r="W3037" s="45" t="str">
        <f>IFERROR(VLOOKUP(B3037,'Pre-Summary'!$Y$6:$AD$83,6,FALSE),"")</f>
        <v/>
      </c>
      <c r="X3037" t="str">
        <f>IFERROR(VLOOKUP('Pre-Summary'!$DB$6:$DD$63,3,FALSE),"")</f>
        <v/>
      </c>
      <c r="Y3037" t="str">
        <f>IFERROR(VLOOKUP(B3037,'Pre-Summary'!$CR$6:$CT$36,3,FALSE),"")</f>
        <v/>
      </c>
      <c r="Z3037" s="45" t="str">
        <f>IFERROR(VLOOKUP(B3037,'Pre-Summary'!$BZ$6:$CB$63,2,FALSE),"")</f>
        <v/>
      </c>
      <c r="AA3037" s="45" t="str">
        <f>IFERROR(VLOOKUP(B3037,'Pre-Summary'!$CG$6:$CI$70,2,FALSE),"")</f>
        <v/>
      </c>
      <c r="AB3037" s="99">
        <f>IFERROR(VLOOKUP(B3037,'Pre-Summary'!$A$6:$P$178,9,FALSE),AB3038)</f>
        <v>0.78672405455763872</v>
      </c>
      <c r="AC3037" s="10">
        <f>IFERROR(VLOOKUP(Summary!B3037,'Pre-Summary'!$A$6:$P$184,5, FALSE)/100,AC3038)</f>
        <v>0.94994933333333331</v>
      </c>
      <c r="AD3037" s="10">
        <f>IFERROR(VLOOKUP(Summary!B3037,'Pre-Summary'!$A$6:$P$184,3, FALSE)/100,AD3038)</f>
        <v>4.7186000000000006E-2</v>
      </c>
      <c r="AE3037" s="10">
        <f>IFERROR(VLOOKUP(Summary!B3037,'Pre-Summary'!$A$6:$P$184,7, FALSE)/100,AE3038)</f>
        <v>2.8646666666666668E-3</v>
      </c>
      <c r="AF3037" s="99">
        <f t="shared" si="142"/>
        <v>3.7122361238356744E-2</v>
      </c>
      <c r="AG3037" s="99">
        <f t="shared" si="143"/>
        <v>2.2537021749561158E-3</v>
      </c>
      <c r="AH3037" s="10" t="str">
        <f>IFERROR(VLOOKUP(B3037,'Pre-Summary'!$AZ$6:$BE$65,3,FALSE),"")</f>
        <v/>
      </c>
      <c r="AI3037" s="10" t="str">
        <f>IFERROR(VLOOKUP(B3037,'Pre-Summary'!$AZ$6:$BE$65,5,FALSE),"")</f>
        <v/>
      </c>
      <c r="AJ3037" s="10" t="str">
        <f>IFERROR(VLOOKUP(B3037,'Pre-Summary'!$AZ$6:$BE$65,4,FALSE),"")</f>
        <v/>
      </c>
      <c r="AK3037" s="10" t="str">
        <f>IFERROR(VLOOKUP(B3037,'Pre-Summary'!$AZ$6:$BE$65,6,FALSE),"")</f>
        <v/>
      </c>
      <c r="AL3037" s="10" t="str">
        <f>IFERROR(VLOOKUP(B3037,'Pre-Summary'!$BG$6:$BL$44,3,FALSE),"")</f>
        <v/>
      </c>
      <c r="AM3037" s="10" t="str">
        <f>IFERROR(VLOOKUP(B3037,'Pre-Summary'!$BG$6:$BL$44,4,FALSE),"")</f>
        <v/>
      </c>
    </row>
    <row r="3038" spans="2:39" ht="15" customHeight="1" x14ac:dyDescent="0.3">
      <c r="B3038">
        <v>303.5</v>
      </c>
      <c r="C3038" t="str">
        <f>IFERROR(VLOOKUP(B3038,'Pre-Summary'!$DI$6:$DM$23,4,FALSE),"")</f>
        <v/>
      </c>
      <c r="D3038" s="10" t="str">
        <f>IFERROR(VLOOKUP(B3038,'Pre-Summary'!$AT$6:$AX$14,5,FALSE),D3037)</f>
        <v>Wolfe v3: went back to modified wolfe + EDTA and switched CuSO4 to CUCl2</v>
      </c>
      <c r="E3038" s="10" t="str">
        <f>IFERROR(VLOOKUP(B3038,'Pre-Summary'!$AT$6:$AX$15,4,FALSE),"")</f>
        <v/>
      </c>
      <c r="F3038">
        <f>IFERROR(VLOOKUP(B3038,'Pre-Summary'!$AL$6:$AQ$13,6,FALSE),F3037)</f>
        <v>5.9405263157894746E-2</v>
      </c>
      <c r="G3038" t="str">
        <f>IFERROR(VLOOKUP(B3038,'Pre-Summary'!$AE$6:$AJ$85,3,FALSE),"")</f>
        <v/>
      </c>
      <c r="H3038" t="str">
        <f>IFERROR(VLOOKUP(B3038,'Pre-Summary'!$AE$6:$AJ$85,4,FALSE),"")</f>
        <v/>
      </c>
      <c r="I3038" t="str">
        <f>IFERROR(VLOOKUP(B3038,'Pre-Summary'!$AE$6:$AJ$85,5,FALSE),"")</f>
        <v/>
      </c>
      <c r="J3038" s="45" t="str">
        <f>IFERROR(VLOOKUP(B3038,'Pre-Summary'!$AE$6:$AJ$85,6, FALSE),"")</f>
        <v/>
      </c>
      <c r="K3038" s="45" t="str">
        <f>IFERROR(VLOOKUP(B3038,'Pre-Summary'!$DE$6:$DG$61,3,FALSE),"")</f>
        <v/>
      </c>
      <c r="L3038" s="45" t="str">
        <f>IFERROR(VLOOKUP(B3038,'Pre-Summary'!$CU$6:$CW$36,3,FALSE),"")</f>
        <v/>
      </c>
      <c r="M3038" s="45" t="str">
        <f>IFERROR(VLOOKUP(B3038,'Pre-Summary'!$BW$6:$BY$58,2,FALSE),"")</f>
        <v/>
      </c>
      <c r="N3038" s="45" t="str">
        <f>IFERROR(VLOOKUP(B3038,'Pre-Summary'!$CD$6:$CF$64,2,FALSE),"")</f>
        <v/>
      </c>
      <c r="O3038" s="99">
        <f>IFERROR(VLOOKUP(B3038,'Pre-Summary'!$BO$6:$BQ$48,3, FALSE),O3037)</f>
        <v>3.3239999999999998</v>
      </c>
      <c r="P3038" s="99">
        <f>IFERROR(VLOOKUP(B3038,'Pre-Summary'!$BS$6:$BU$35,3,FALSE),P3037)</f>
        <v>0.84099999999999997</v>
      </c>
      <c r="Q3038" s="54">
        <f t="shared" si="141"/>
        <v>3.9524375743162903</v>
      </c>
      <c r="R3038" s="53">
        <f>IFERROR(VLOOKUP(B3038,'Pre-Summary'!$BG$6:$BM$44,7,FALSE),R3039)</f>
        <v>0</v>
      </c>
      <c r="S3038" s="53" t="e">
        <f>VLOOKUP(B3038,'Pre-Summary'!$BG$6:$BM$44,6,FALSE)</f>
        <v>#N/A</v>
      </c>
      <c r="T3038" s="45" t="str">
        <f>IFERROR(VLOOKUP(B3038,'Pre-Summary'!$Y$6:$AC$83, 3,FALSE),"")</f>
        <v/>
      </c>
      <c r="U3038" s="45" t="str">
        <f>IFERROR(VLOOKUP(B3038,'Pre-Summary'!$Y$6:$AC$83, 4,FALSE),"")</f>
        <v/>
      </c>
      <c r="V3038" t="str">
        <f>IFERROR(VLOOKUP(B3038,'Pre-Summary'!$Y$6:$AC$83, 5,FALSE),"")</f>
        <v/>
      </c>
      <c r="W3038" s="45" t="str">
        <f>IFERROR(VLOOKUP(B3038,'Pre-Summary'!$Y$6:$AD$83,6,FALSE),"")</f>
        <v/>
      </c>
      <c r="X3038" t="str">
        <f>IFERROR(VLOOKUP('Pre-Summary'!$DB$6:$DD$63,3,FALSE),"")</f>
        <v/>
      </c>
      <c r="Y3038" t="str">
        <f>IFERROR(VLOOKUP(B3038,'Pre-Summary'!$CR$6:$CT$36,3,FALSE),"")</f>
        <v/>
      </c>
      <c r="Z3038" s="45" t="str">
        <f>IFERROR(VLOOKUP(B3038,'Pre-Summary'!$BZ$6:$CB$63,2,FALSE),"")</f>
        <v/>
      </c>
      <c r="AA3038" s="45" t="str">
        <f>IFERROR(VLOOKUP(B3038,'Pre-Summary'!$CG$6:$CI$70,2,FALSE),"")</f>
        <v/>
      </c>
      <c r="AB3038" s="99">
        <f>IFERROR(VLOOKUP(B3038,'Pre-Summary'!$A$6:$P$178,9,FALSE),AB3039)</f>
        <v>0.78672405455763872</v>
      </c>
      <c r="AC3038" s="10">
        <f>IFERROR(VLOOKUP(Summary!B3038,'Pre-Summary'!$A$6:$P$184,5, FALSE)/100,AC3039)</f>
        <v>0.94994933333333331</v>
      </c>
      <c r="AD3038" s="10">
        <f>IFERROR(VLOOKUP(Summary!B3038,'Pre-Summary'!$A$6:$P$184,3, FALSE)/100,AD3039)</f>
        <v>4.7186000000000006E-2</v>
      </c>
      <c r="AE3038" s="10">
        <f>IFERROR(VLOOKUP(Summary!B3038,'Pre-Summary'!$A$6:$P$184,7, FALSE)/100,AE3039)</f>
        <v>2.8646666666666668E-3</v>
      </c>
      <c r="AF3038" s="99">
        <f t="shared" si="142"/>
        <v>3.7122361238356744E-2</v>
      </c>
      <c r="AG3038" s="99">
        <f t="shared" si="143"/>
        <v>2.2537021749561158E-3</v>
      </c>
      <c r="AH3038" s="10" t="str">
        <f>IFERROR(VLOOKUP(B3038,'Pre-Summary'!$AZ$6:$BE$65,3,FALSE),"")</f>
        <v/>
      </c>
      <c r="AI3038" s="10" t="str">
        <f>IFERROR(VLOOKUP(B3038,'Pre-Summary'!$AZ$6:$BE$65,5,FALSE),"")</f>
        <v/>
      </c>
      <c r="AJ3038" s="10" t="str">
        <f>IFERROR(VLOOKUP(B3038,'Pre-Summary'!$AZ$6:$BE$65,4,FALSE),"")</f>
        <v/>
      </c>
      <c r="AK3038" s="10" t="str">
        <f>IFERROR(VLOOKUP(B3038,'Pre-Summary'!$AZ$6:$BE$65,6,FALSE),"")</f>
        <v/>
      </c>
      <c r="AL3038" s="10" t="str">
        <f>IFERROR(VLOOKUP(B3038,'Pre-Summary'!$BG$6:$BL$44,3,FALSE),"")</f>
        <v/>
      </c>
      <c r="AM3038" s="10" t="str">
        <f>IFERROR(VLOOKUP(B3038,'Pre-Summary'!$BG$6:$BL$44,4,FALSE),"")</f>
        <v/>
      </c>
    </row>
    <row r="3039" spans="2:39" ht="15" customHeight="1" x14ac:dyDescent="0.3">
      <c r="B3039">
        <v>303.60000000000002</v>
      </c>
      <c r="C3039" t="str">
        <f>IFERROR(VLOOKUP(B3039,'Pre-Summary'!$DI$6:$DM$23,4,FALSE),"")</f>
        <v/>
      </c>
      <c r="D3039" s="10" t="str">
        <f>IFERROR(VLOOKUP(B3039,'Pre-Summary'!$AT$6:$AX$14,5,FALSE),D3038)</f>
        <v>Wolfe v3: went back to modified wolfe + EDTA and switched CuSO4 to CUCl2</v>
      </c>
      <c r="E3039" s="10" t="str">
        <f>IFERROR(VLOOKUP(B3039,'Pre-Summary'!$AT$6:$AX$15,4,FALSE),"")</f>
        <v/>
      </c>
      <c r="F3039">
        <f>IFERROR(VLOOKUP(B3039,'Pre-Summary'!$AL$6:$AQ$13,6,FALSE),F3038)</f>
        <v>5.9405263157894746E-2</v>
      </c>
      <c r="G3039" t="str">
        <f>IFERROR(VLOOKUP(B3039,'Pre-Summary'!$AE$6:$AJ$85,3,FALSE),"")</f>
        <v/>
      </c>
      <c r="H3039" t="str">
        <f>IFERROR(VLOOKUP(B3039,'Pre-Summary'!$AE$6:$AJ$85,4,FALSE),"")</f>
        <v/>
      </c>
      <c r="I3039" t="str">
        <f>IFERROR(VLOOKUP(B3039,'Pre-Summary'!$AE$6:$AJ$85,5,FALSE),"")</f>
        <v/>
      </c>
      <c r="J3039" s="45" t="str">
        <f>IFERROR(VLOOKUP(B3039,'Pre-Summary'!$AE$6:$AJ$85,6, FALSE),"")</f>
        <v/>
      </c>
      <c r="K3039" s="45" t="str">
        <f>IFERROR(VLOOKUP(B3039,'Pre-Summary'!$DE$6:$DG$61,3,FALSE),"")</f>
        <v/>
      </c>
      <c r="L3039" s="45" t="str">
        <f>IFERROR(VLOOKUP(B3039,'Pre-Summary'!$CU$6:$CW$36,3,FALSE),"")</f>
        <v/>
      </c>
      <c r="M3039" s="45" t="str">
        <f>IFERROR(VLOOKUP(B3039,'Pre-Summary'!$BW$6:$BY$58,2,FALSE),"")</f>
        <v/>
      </c>
      <c r="N3039" s="45" t="str">
        <f>IFERROR(VLOOKUP(B3039,'Pre-Summary'!$CD$6:$CF$64,2,FALSE),"")</f>
        <v/>
      </c>
      <c r="O3039" s="99">
        <f>IFERROR(VLOOKUP(B3039,'Pre-Summary'!$BO$6:$BQ$48,3, FALSE),O3038)</f>
        <v>3.3239999999999998</v>
      </c>
      <c r="P3039" s="99">
        <f>IFERROR(VLOOKUP(B3039,'Pre-Summary'!$BS$6:$BU$35,3,FALSE),P3038)</f>
        <v>0.84099999999999997</v>
      </c>
      <c r="Q3039" s="54">
        <f t="shared" si="141"/>
        <v>3.9524375743162903</v>
      </c>
      <c r="R3039" s="53">
        <f>IFERROR(VLOOKUP(B3039,'Pre-Summary'!$BG$6:$BM$44,7,FALSE),R3040)</f>
        <v>0</v>
      </c>
      <c r="S3039" s="53" t="e">
        <f>VLOOKUP(B3039,'Pre-Summary'!$BG$6:$BM$44,6,FALSE)</f>
        <v>#N/A</v>
      </c>
      <c r="T3039" s="45" t="str">
        <f>IFERROR(VLOOKUP(B3039,'Pre-Summary'!$Y$6:$AC$83, 3,FALSE),"")</f>
        <v/>
      </c>
      <c r="U3039" s="45" t="str">
        <f>IFERROR(VLOOKUP(B3039,'Pre-Summary'!$Y$6:$AC$83, 4,FALSE),"")</f>
        <v/>
      </c>
      <c r="V3039" t="str">
        <f>IFERROR(VLOOKUP(B3039,'Pre-Summary'!$Y$6:$AC$83, 5,FALSE),"")</f>
        <v/>
      </c>
      <c r="W3039" s="45" t="str">
        <f>IFERROR(VLOOKUP(B3039,'Pre-Summary'!$Y$6:$AD$83,6,FALSE),"")</f>
        <v/>
      </c>
      <c r="X3039" t="str">
        <f>IFERROR(VLOOKUP('Pre-Summary'!$DB$6:$DD$63,3,FALSE),"")</f>
        <v/>
      </c>
      <c r="Y3039" t="str">
        <f>IFERROR(VLOOKUP(B3039,'Pre-Summary'!$CR$6:$CT$36,3,FALSE),"")</f>
        <v/>
      </c>
      <c r="Z3039" s="45" t="str">
        <f>IFERROR(VLOOKUP(B3039,'Pre-Summary'!$BZ$6:$CB$63,2,FALSE),"")</f>
        <v/>
      </c>
      <c r="AA3039" s="45" t="str">
        <f>IFERROR(VLOOKUP(B3039,'Pre-Summary'!$CG$6:$CI$70,2,FALSE),"")</f>
        <v/>
      </c>
      <c r="AB3039" s="99">
        <f>IFERROR(VLOOKUP(B3039,'Pre-Summary'!$A$6:$P$178,9,FALSE),AB3040)</f>
        <v>0.78672405455763872</v>
      </c>
      <c r="AC3039" s="10">
        <f>IFERROR(VLOOKUP(Summary!B3039,'Pre-Summary'!$A$6:$P$184,5, FALSE)/100,AC3040)</f>
        <v>0.94994933333333331</v>
      </c>
      <c r="AD3039" s="10">
        <f>IFERROR(VLOOKUP(Summary!B3039,'Pre-Summary'!$A$6:$P$184,3, FALSE)/100,AD3040)</f>
        <v>4.7186000000000006E-2</v>
      </c>
      <c r="AE3039" s="10">
        <f>IFERROR(VLOOKUP(Summary!B3039,'Pre-Summary'!$A$6:$P$184,7, FALSE)/100,AE3040)</f>
        <v>2.8646666666666668E-3</v>
      </c>
      <c r="AF3039" s="99">
        <f t="shared" si="142"/>
        <v>3.7122361238356744E-2</v>
      </c>
      <c r="AG3039" s="99">
        <f t="shared" si="143"/>
        <v>2.2537021749561158E-3</v>
      </c>
      <c r="AH3039" s="10" t="str">
        <f>IFERROR(VLOOKUP(B3039,'Pre-Summary'!$AZ$6:$BE$65,3,FALSE),"")</f>
        <v/>
      </c>
      <c r="AI3039" s="10" t="str">
        <f>IFERROR(VLOOKUP(B3039,'Pre-Summary'!$AZ$6:$BE$65,5,FALSE),"")</f>
        <v/>
      </c>
      <c r="AJ3039" s="10" t="str">
        <f>IFERROR(VLOOKUP(B3039,'Pre-Summary'!$AZ$6:$BE$65,4,FALSE),"")</f>
        <v/>
      </c>
      <c r="AK3039" s="10" t="str">
        <f>IFERROR(VLOOKUP(B3039,'Pre-Summary'!$AZ$6:$BE$65,6,FALSE),"")</f>
        <v/>
      </c>
      <c r="AL3039" s="10" t="str">
        <f>IFERROR(VLOOKUP(B3039,'Pre-Summary'!$BG$6:$BL$44,3,FALSE),"")</f>
        <v/>
      </c>
      <c r="AM3039" s="10" t="str">
        <f>IFERROR(VLOOKUP(B3039,'Pre-Summary'!$BG$6:$BL$44,4,FALSE),"")</f>
        <v/>
      </c>
    </row>
    <row r="3040" spans="2:39" ht="15" customHeight="1" x14ac:dyDescent="0.3">
      <c r="B3040">
        <v>303.7</v>
      </c>
      <c r="C3040" t="str">
        <f>IFERROR(VLOOKUP(B3040,'Pre-Summary'!$DI$6:$DM$23,4,FALSE),"")</f>
        <v/>
      </c>
      <c r="D3040" s="10" t="str">
        <f>IFERROR(VLOOKUP(B3040,'Pre-Summary'!$AT$6:$AX$14,5,FALSE),D3039)</f>
        <v>Wolfe v3: went back to modified wolfe + EDTA and switched CuSO4 to CUCl2</v>
      </c>
      <c r="E3040" s="10" t="str">
        <f>IFERROR(VLOOKUP(B3040,'Pre-Summary'!$AT$6:$AX$15,4,FALSE),"")</f>
        <v/>
      </c>
      <c r="F3040">
        <f>IFERROR(VLOOKUP(B3040,'Pre-Summary'!$AL$6:$AQ$13,6,FALSE),F3039)</f>
        <v>5.9405263157894746E-2</v>
      </c>
      <c r="G3040" t="str">
        <f>IFERROR(VLOOKUP(B3040,'Pre-Summary'!$AE$6:$AJ$85,3,FALSE),"")</f>
        <v/>
      </c>
      <c r="H3040" t="str">
        <f>IFERROR(VLOOKUP(B3040,'Pre-Summary'!$AE$6:$AJ$85,4,FALSE),"")</f>
        <v/>
      </c>
      <c r="I3040" t="str">
        <f>IFERROR(VLOOKUP(B3040,'Pre-Summary'!$AE$6:$AJ$85,5,FALSE),"")</f>
        <v/>
      </c>
      <c r="J3040" s="45" t="str">
        <f>IFERROR(VLOOKUP(B3040,'Pre-Summary'!$AE$6:$AJ$85,6, FALSE),"")</f>
        <v/>
      </c>
      <c r="K3040" s="45" t="str">
        <f>IFERROR(VLOOKUP(B3040,'Pre-Summary'!$DE$6:$DG$61,3,FALSE),"")</f>
        <v/>
      </c>
      <c r="L3040" s="45" t="str">
        <f>IFERROR(VLOOKUP(B3040,'Pre-Summary'!$CU$6:$CW$36,3,FALSE),"")</f>
        <v/>
      </c>
      <c r="M3040" s="45" t="str">
        <f>IFERROR(VLOOKUP(B3040,'Pre-Summary'!$BW$6:$BY$58,2,FALSE),"")</f>
        <v/>
      </c>
      <c r="N3040" s="45" t="str">
        <f>IFERROR(VLOOKUP(B3040,'Pre-Summary'!$CD$6:$CF$64,2,FALSE),"")</f>
        <v/>
      </c>
      <c r="O3040" s="99">
        <f>IFERROR(VLOOKUP(B3040,'Pre-Summary'!$BO$6:$BQ$48,3, FALSE),O3039)</f>
        <v>3.3239999999999998</v>
      </c>
      <c r="P3040" s="99">
        <f>IFERROR(VLOOKUP(B3040,'Pre-Summary'!$BS$6:$BU$35,3,FALSE),P3039)</f>
        <v>0.84099999999999997</v>
      </c>
      <c r="Q3040" s="54">
        <f t="shared" si="141"/>
        <v>3.9524375743162903</v>
      </c>
      <c r="R3040" s="53">
        <f>IFERROR(VLOOKUP(B3040,'Pre-Summary'!$BG$6:$BM$44,7,FALSE),R3041)</f>
        <v>0</v>
      </c>
      <c r="S3040" s="53" t="e">
        <f>VLOOKUP(B3040,'Pre-Summary'!$BG$6:$BM$44,6,FALSE)</f>
        <v>#N/A</v>
      </c>
      <c r="T3040" s="45" t="str">
        <f>IFERROR(VLOOKUP(B3040,'Pre-Summary'!$Y$6:$AC$83, 3,FALSE),"")</f>
        <v/>
      </c>
      <c r="U3040" s="45" t="str">
        <f>IFERROR(VLOOKUP(B3040,'Pre-Summary'!$Y$6:$AC$83, 4,FALSE),"")</f>
        <v/>
      </c>
      <c r="V3040" t="str">
        <f>IFERROR(VLOOKUP(B3040,'Pre-Summary'!$Y$6:$AC$83, 5,FALSE),"")</f>
        <v/>
      </c>
      <c r="W3040" s="45" t="str">
        <f>IFERROR(VLOOKUP(B3040,'Pre-Summary'!$Y$6:$AD$83,6,FALSE),"")</f>
        <v/>
      </c>
      <c r="X3040" t="str">
        <f>IFERROR(VLOOKUP('Pre-Summary'!$DB$6:$DD$63,3,FALSE),"")</f>
        <v/>
      </c>
      <c r="Y3040" t="str">
        <f>IFERROR(VLOOKUP(B3040,'Pre-Summary'!$CR$6:$CT$36,3,FALSE),"")</f>
        <v/>
      </c>
      <c r="Z3040" s="45" t="str">
        <f>IFERROR(VLOOKUP(B3040,'Pre-Summary'!$BZ$6:$CB$63,2,FALSE),"")</f>
        <v/>
      </c>
      <c r="AA3040" s="45" t="str">
        <f>IFERROR(VLOOKUP(B3040,'Pre-Summary'!$CG$6:$CI$70,2,FALSE),"")</f>
        <v/>
      </c>
      <c r="AB3040" s="99">
        <f>IFERROR(VLOOKUP(B3040,'Pre-Summary'!$A$6:$P$178,9,FALSE),AB3041)</f>
        <v>0.78672405455763872</v>
      </c>
      <c r="AC3040" s="10">
        <f>IFERROR(VLOOKUP(Summary!B3040,'Pre-Summary'!$A$6:$P$184,5, FALSE)/100,AC3041)</f>
        <v>0.94994933333333331</v>
      </c>
      <c r="AD3040" s="10">
        <f>IFERROR(VLOOKUP(Summary!B3040,'Pre-Summary'!$A$6:$P$184,3, FALSE)/100,AD3041)</f>
        <v>4.7186000000000006E-2</v>
      </c>
      <c r="AE3040" s="10">
        <f>IFERROR(VLOOKUP(Summary!B3040,'Pre-Summary'!$A$6:$P$184,7, FALSE)/100,AE3041)</f>
        <v>2.8646666666666668E-3</v>
      </c>
      <c r="AF3040" s="99">
        <f t="shared" si="142"/>
        <v>3.7122361238356744E-2</v>
      </c>
      <c r="AG3040" s="99">
        <f t="shared" si="143"/>
        <v>2.2537021749561158E-3</v>
      </c>
      <c r="AH3040" s="10" t="str">
        <f>IFERROR(VLOOKUP(B3040,'Pre-Summary'!$AZ$6:$BE$65,3,FALSE),"")</f>
        <v/>
      </c>
      <c r="AI3040" s="10" t="str">
        <f>IFERROR(VLOOKUP(B3040,'Pre-Summary'!$AZ$6:$BE$65,5,FALSE),"")</f>
        <v/>
      </c>
      <c r="AJ3040" s="10" t="str">
        <f>IFERROR(VLOOKUP(B3040,'Pre-Summary'!$AZ$6:$BE$65,4,FALSE),"")</f>
        <v/>
      </c>
      <c r="AK3040" s="10" t="str">
        <f>IFERROR(VLOOKUP(B3040,'Pre-Summary'!$AZ$6:$BE$65,6,FALSE),"")</f>
        <v/>
      </c>
      <c r="AL3040" s="10" t="str">
        <f>IFERROR(VLOOKUP(B3040,'Pre-Summary'!$BG$6:$BL$44,3,FALSE),"")</f>
        <v/>
      </c>
      <c r="AM3040" s="10" t="str">
        <f>IFERROR(VLOOKUP(B3040,'Pre-Summary'!$BG$6:$BL$44,4,FALSE),"")</f>
        <v/>
      </c>
    </row>
    <row r="3041" spans="2:39" ht="15" customHeight="1" x14ac:dyDescent="0.3">
      <c r="B3041">
        <v>303.8</v>
      </c>
      <c r="C3041" t="str">
        <f>IFERROR(VLOOKUP(B3041,'Pre-Summary'!$DI$6:$DM$23,4,FALSE),"")</f>
        <v/>
      </c>
      <c r="D3041" s="10" t="str">
        <f>IFERROR(VLOOKUP(B3041,'Pre-Summary'!$AT$6:$AX$14,5,FALSE),D3040)</f>
        <v>Wolfe v3: went back to modified wolfe + EDTA and switched CuSO4 to CUCl2</v>
      </c>
      <c r="E3041" s="10" t="str">
        <f>IFERROR(VLOOKUP(B3041,'Pre-Summary'!$AT$6:$AX$15,4,FALSE),"")</f>
        <v/>
      </c>
      <c r="F3041">
        <f>IFERROR(VLOOKUP(B3041,'Pre-Summary'!$AL$6:$AQ$13,6,FALSE),F3040)</f>
        <v>5.9405263157894746E-2</v>
      </c>
      <c r="G3041" t="str">
        <f>IFERROR(VLOOKUP(B3041,'Pre-Summary'!$AE$6:$AJ$85,3,FALSE),"")</f>
        <v/>
      </c>
      <c r="H3041" t="str">
        <f>IFERROR(VLOOKUP(B3041,'Pre-Summary'!$AE$6:$AJ$85,4,FALSE),"")</f>
        <v/>
      </c>
      <c r="I3041" t="str">
        <f>IFERROR(VLOOKUP(B3041,'Pre-Summary'!$AE$6:$AJ$85,5,FALSE),"")</f>
        <v/>
      </c>
      <c r="J3041" s="45" t="str">
        <f>IFERROR(VLOOKUP(B3041,'Pre-Summary'!$AE$6:$AJ$85,6, FALSE),"")</f>
        <v/>
      </c>
      <c r="K3041" s="45" t="str">
        <f>IFERROR(VLOOKUP(B3041,'Pre-Summary'!$DE$6:$DG$61,3,FALSE),"")</f>
        <v/>
      </c>
      <c r="L3041" s="45" t="str">
        <f>IFERROR(VLOOKUP(B3041,'Pre-Summary'!$CU$6:$CW$36,3,FALSE),"")</f>
        <v/>
      </c>
      <c r="M3041" s="45" t="str">
        <f>IFERROR(VLOOKUP(B3041,'Pre-Summary'!$BW$6:$BY$58,2,FALSE),"")</f>
        <v/>
      </c>
      <c r="N3041" s="45" t="str">
        <f>IFERROR(VLOOKUP(B3041,'Pre-Summary'!$CD$6:$CF$64,2,FALSE),"")</f>
        <v/>
      </c>
      <c r="O3041" s="99">
        <f>IFERROR(VLOOKUP(B3041,'Pre-Summary'!$BO$6:$BQ$48,3, FALSE),O3040)</f>
        <v>3.3239999999999998</v>
      </c>
      <c r="P3041" s="99">
        <f>IFERROR(VLOOKUP(B3041,'Pre-Summary'!$BS$6:$BU$35,3,FALSE),P3040)</f>
        <v>0.84099999999999997</v>
      </c>
      <c r="Q3041" s="54">
        <f t="shared" si="141"/>
        <v>3.9524375743162903</v>
      </c>
      <c r="R3041" s="53">
        <f>IFERROR(VLOOKUP(B3041,'Pre-Summary'!$BG$6:$BM$44,7,FALSE),R3042)</f>
        <v>0</v>
      </c>
      <c r="S3041" s="53" t="e">
        <f>VLOOKUP(B3041,'Pre-Summary'!$BG$6:$BM$44,6,FALSE)</f>
        <v>#N/A</v>
      </c>
      <c r="T3041" s="45" t="str">
        <f>IFERROR(VLOOKUP(B3041,'Pre-Summary'!$Y$6:$AC$83, 3,FALSE),"")</f>
        <v/>
      </c>
      <c r="U3041" s="45" t="str">
        <f>IFERROR(VLOOKUP(B3041,'Pre-Summary'!$Y$6:$AC$83, 4,FALSE),"")</f>
        <v/>
      </c>
      <c r="V3041" t="str">
        <f>IFERROR(VLOOKUP(B3041,'Pre-Summary'!$Y$6:$AC$83, 5,FALSE),"")</f>
        <v/>
      </c>
      <c r="W3041" s="45" t="str">
        <f>IFERROR(VLOOKUP(B3041,'Pre-Summary'!$Y$6:$AD$83,6,FALSE),"")</f>
        <v/>
      </c>
      <c r="X3041" t="str">
        <f>IFERROR(VLOOKUP('Pre-Summary'!$DB$6:$DD$63,3,FALSE),"")</f>
        <v/>
      </c>
      <c r="Y3041" t="str">
        <f>IFERROR(VLOOKUP(B3041,'Pre-Summary'!$CR$6:$CT$36,3,FALSE),"")</f>
        <v/>
      </c>
      <c r="Z3041" s="45" t="str">
        <f>IFERROR(VLOOKUP(B3041,'Pre-Summary'!$BZ$6:$CB$63,2,FALSE),"")</f>
        <v/>
      </c>
      <c r="AA3041" s="45" t="str">
        <f>IFERROR(VLOOKUP(B3041,'Pre-Summary'!$CG$6:$CI$70,2,FALSE),"")</f>
        <v/>
      </c>
      <c r="AB3041" s="99">
        <f>IFERROR(VLOOKUP(B3041,'Pre-Summary'!$A$6:$P$178,9,FALSE),AB3042)</f>
        <v>0.78672405455763872</v>
      </c>
      <c r="AC3041" s="10">
        <f>IFERROR(VLOOKUP(Summary!B3041,'Pre-Summary'!$A$6:$P$184,5, FALSE)/100,AC3042)</f>
        <v>0.94994933333333331</v>
      </c>
      <c r="AD3041" s="10">
        <f>IFERROR(VLOOKUP(Summary!B3041,'Pre-Summary'!$A$6:$P$184,3, FALSE)/100,AD3042)</f>
        <v>4.7186000000000006E-2</v>
      </c>
      <c r="AE3041" s="10">
        <f>IFERROR(VLOOKUP(Summary!B3041,'Pre-Summary'!$A$6:$P$184,7, FALSE)/100,AE3042)</f>
        <v>2.8646666666666668E-3</v>
      </c>
      <c r="AF3041" s="99">
        <f t="shared" si="142"/>
        <v>3.7122361238356744E-2</v>
      </c>
      <c r="AG3041" s="99">
        <f t="shared" si="143"/>
        <v>2.2537021749561158E-3</v>
      </c>
      <c r="AH3041" s="10" t="str">
        <f>IFERROR(VLOOKUP(B3041,'Pre-Summary'!$AZ$6:$BE$65,3,FALSE),"")</f>
        <v/>
      </c>
      <c r="AI3041" s="10" t="str">
        <f>IFERROR(VLOOKUP(B3041,'Pre-Summary'!$AZ$6:$BE$65,5,FALSE),"")</f>
        <v/>
      </c>
      <c r="AJ3041" s="10" t="str">
        <f>IFERROR(VLOOKUP(B3041,'Pre-Summary'!$AZ$6:$BE$65,4,FALSE),"")</f>
        <v/>
      </c>
      <c r="AK3041" s="10" t="str">
        <f>IFERROR(VLOOKUP(B3041,'Pre-Summary'!$AZ$6:$BE$65,6,FALSE),"")</f>
        <v/>
      </c>
      <c r="AL3041" s="10" t="str">
        <f>IFERROR(VLOOKUP(B3041,'Pre-Summary'!$BG$6:$BL$44,3,FALSE),"")</f>
        <v/>
      </c>
      <c r="AM3041" s="10" t="str">
        <f>IFERROR(VLOOKUP(B3041,'Pre-Summary'!$BG$6:$BL$44,4,FALSE),"")</f>
        <v/>
      </c>
    </row>
    <row r="3042" spans="2:39" ht="15" customHeight="1" x14ac:dyDescent="0.3">
      <c r="B3042">
        <v>303.89999999999998</v>
      </c>
      <c r="C3042" t="str">
        <f>IFERROR(VLOOKUP(B3042,'Pre-Summary'!$DI$6:$DM$23,4,FALSE),"")</f>
        <v/>
      </c>
      <c r="D3042" s="10" t="str">
        <f>IFERROR(VLOOKUP(B3042,'Pre-Summary'!$AT$6:$AX$14,5,FALSE),D3041)</f>
        <v>Wolfe v3: went back to modified wolfe + EDTA and switched CuSO4 to CUCl2</v>
      </c>
      <c r="E3042" s="10" t="str">
        <f>IFERROR(VLOOKUP(B3042,'Pre-Summary'!$AT$6:$AX$15,4,FALSE),"")</f>
        <v/>
      </c>
      <c r="F3042">
        <f>IFERROR(VLOOKUP(B3042,'Pre-Summary'!$AL$6:$AQ$13,6,FALSE),F3041)</f>
        <v>5.9405263157894746E-2</v>
      </c>
      <c r="G3042" t="str">
        <f>IFERROR(VLOOKUP(B3042,'Pre-Summary'!$AE$6:$AJ$85,3,FALSE),"")</f>
        <v/>
      </c>
      <c r="H3042" t="str">
        <f>IFERROR(VLOOKUP(B3042,'Pre-Summary'!$AE$6:$AJ$85,4,FALSE),"")</f>
        <v/>
      </c>
      <c r="I3042" t="str">
        <f>IFERROR(VLOOKUP(B3042,'Pre-Summary'!$AE$6:$AJ$85,5,FALSE),"")</f>
        <v/>
      </c>
      <c r="J3042" s="45" t="str">
        <f>IFERROR(VLOOKUP(B3042,'Pre-Summary'!$AE$6:$AJ$85,6, FALSE),"")</f>
        <v/>
      </c>
      <c r="K3042" s="45" t="str">
        <f>IFERROR(VLOOKUP(B3042,'Pre-Summary'!$DE$6:$DG$61,3,FALSE),"")</f>
        <v/>
      </c>
      <c r="L3042" s="45" t="str">
        <f>IFERROR(VLOOKUP(B3042,'Pre-Summary'!$CU$6:$CW$36,3,FALSE),"")</f>
        <v/>
      </c>
      <c r="M3042" s="45" t="str">
        <f>IFERROR(VLOOKUP(B3042,'Pre-Summary'!$BW$6:$BY$58,2,FALSE),"")</f>
        <v/>
      </c>
      <c r="N3042" s="45" t="str">
        <f>IFERROR(VLOOKUP(B3042,'Pre-Summary'!$CD$6:$CF$64,2,FALSE),"")</f>
        <v/>
      </c>
      <c r="O3042" s="99">
        <f>IFERROR(VLOOKUP(B3042,'Pre-Summary'!$BO$6:$BQ$48,3, FALSE),O3041)</f>
        <v>3.3239999999999998</v>
      </c>
      <c r="P3042" s="99">
        <f>IFERROR(VLOOKUP(B3042,'Pre-Summary'!$BS$6:$BU$35,3,FALSE),P3041)</f>
        <v>0.84099999999999997</v>
      </c>
      <c r="Q3042" s="54">
        <f t="shared" si="141"/>
        <v>3.9524375743162903</v>
      </c>
      <c r="R3042" s="53">
        <f>IFERROR(VLOOKUP(B3042,'Pre-Summary'!$BG$6:$BM$44,7,FALSE),R3043)</f>
        <v>0</v>
      </c>
      <c r="S3042" s="53" t="e">
        <f>VLOOKUP(B3042,'Pre-Summary'!$BG$6:$BM$44,6,FALSE)</f>
        <v>#N/A</v>
      </c>
      <c r="T3042" s="45" t="str">
        <f>IFERROR(VLOOKUP(B3042,'Pre-Summary'!$Y$6:$AC$83, 3,FALSE),"")</f>
        <v/>
      </c>
      <c r="U3042" s="45" t="str">
        <f>IFERROR(VLOOKUP(B3042,'Pre-Summary'!$Y$6:$AC$83, 4,FALSE),"")</f>
        <v/>
      </c>
      <c r="V3042" t="str">
        <f>IFERROR(VLOOKUP(B3042,'Pre-Summary'!$Y$6:$AC$83, 5,FALSE),"")</f>
        <v/>
      </c>
      <c r="W3042" s="45" t="str">
        <f>IFERROR(VLOOKUP(B3042,'Pre-Summary'!$Y$6:$AD$83,6,FALSE),"")</f>
        <v/>
      </c>
      <c r="X3042" t="str">
        <f>IFERROR(VLOOKUP('Pre-Summary'!$DB$6:$DD$63,3,FALSE),"")</f>
        <v/>
      </c>
      <c r="Y3042" t="str">
        <f>IFERROR(VLOOKUP(B3042,'Pre-Summary'!$CR$6:$CT$36,3,FALSE),"")</f>
        <v/>
      </c>
      <c r="Z3042" s="45" t="str">
        <f>IFERROR(VLOOKUP(B3042,'Pre-Summary'!$BZ$6:$CB$63,2,FALSE),"")</f>
        <v/>
      </c>
      <c r="AA3042" s="45" t="str">
        <f>IFERROR(VLOOKUP(B3042,'Pre-Summary'!$CG$6:$CI$70,2,FALSE),"")</f>
        <v/>
      </c>
      <c r="AB3042" s="99">
        <f>IFERROR(VLOOKUP(B3042,'Pre-Summary'!$A$6:$P$178,9,FALSE),AB3043)</f>
        <v>0.78672405455763872</v>
      </c>
      <c r="AC3042" s="10">
        <f>IFERROR(VLOOKUP(Summary!B3042,'Pre-Summary'!$A$6:$P$184,5, FALSE)/100,AC3043)</f>
        <v>0.94994933333333331</v>
      </c>
      <c r="AD3042" s="10">
        <f>IFERROR(VLOOKUP(Summary!B3042,'Pre-Summary'!$A$6:$P$184,3, FALSE)/100,AD3043)</f>
        <v>4.7186000000000006E-2</v>
      </c>
      <c r="AE3042" s="10">
        <f>IFERROR(VLOOKUP(Summary!B3042,'Pre-Summary'!$A$6:$P$184,7, FALSE)/100,AE3043)</f>
        <v>2.8646666666666668E-3</v>
      </c>
      <c r="AF3042" s="99">
        <f t="shared" si="142"/>
        <v>3.7122361238356744E-2</v>
      </c>
      <c r="AG3042" s="99">
        <f t="shared" si="143"/>
        <v>2.2537021749561158E-3</v>
      </c>
      <c r="AH3042" s="10" t="str">
        <f>IFERROR(VLOOKUP(B3042,'Pre-Summary'!$AZ$6:$BE$65,3,FALSE),"")</f>
        <v/>
      </c>
      <c r="AI3042" s="10" t="str">
        <f>IFERROR(VLOOKUP(B3042,'Pre-Summary'!$AZ$6:$BE$65,5,FALSE),"")</f>
        <v/>
      </c>
      <c r="AJ3042" s="10" t="str">
        <f>IFERROR(VLOOKUP(B3042,'Pre-Summary'!$AZ$6:$BE$65,4,FALSE),"")</f>
        <v/>
      </c>
      <c r="AK3042" s="10" t="str">
        <f>IFERROR(VLOOKUP(B3042,'Pre-Summary'!$AZ$6:$BE$65,6,FALSE),"")</f>
        <v/>
      </c>
      <c r="AL3042" s="10" t="str">
        <f>IFERROR(VLOOKUP(B3042,'Pre-Summary'!$BG$6:$BL$44,3,FALSE),"")</f>
        <v/>
      </c>
      <c r="AM3042" s="10" t="str">
        <f>IFERROR(VLOOKUP(B3042,'Pre-Summary'!$BG$6:$BL$44,4,FALSE),"")</f>
        <v/>
      </c>
    </row>
    <row r="3043" spans="2:39" ht="15" customHeight="1" x14ac:dyDescent="0.3">
      <c r="B3043">
        <v>304</v>
      </c>
      <c r="C3043" t="str">
        <f>IFERROR(VLOOKUP(B3043,'Pre-Summary'!$DI$6:$DM$23,4,FALSE),"")</f>
        <v/>
      </c>
      <c r="D3043" s="10" t="str">
        <f>IFERROR(VLOOKUP(B3043,'Pre-Summary'!$AT$6:$AX$14,5,FALSE),D3042)</f>
        <v>Wolfe v3: went back to modified wolfe + EDTA and switched CuSO4 to CUCl2</v>
      </c>
      <c r="E3043" s="10" t="str">
        <f>IFERROR(VLOOKUP(B3043,'Pre-Summary'!$AT$6:$AX$15,4,FALSE),"")</f>
        <v/>
      </c>
      <c r="F3043">
        <f>IFERROR(VLOOKUP(B3043,'Pre-Summary'!$AL$6:$AQ$13,6,FALSE),F3042)</f>
        <v>5.9405263157894746E-2</v>
      </c>
      <c r="G3043" t="str">
        <f>IFERROR(VLOOKUP(B3043,'Pre-Summary'!$AE$6:$AJ$85,3,FALSE),"")</f>
        <v/>
      </c>
      <c r="H3043" t="str">
        <f>IFERROR(VLOOKUP(B3043,'Pre-Summary'!$AE$6:$AJ$85,4,FALSE),"")</f>
        <v/>
      </c>
      <c r="I3043" t="str">
        <f>IFERROR(VLOOKUP(B3043,'Pre-Summary'!$AE$6:$AJ$85,5,FALSE),"")</f>
        <v/>
      </c>
      <c r="J3043" s="45" t="str">
        <f>IFERROR(VLOOKUP(B3043,'Pre-Summary'!$AE$6:$AJ$85,6, FALSE),"")</f>
        <v/>
      </c>
      <c r="K3043" s="45" t="str">
        <f>IFERROR(VLOOKUP(B3043,'Pre-Summary'!$DE$6:$DG$61,3,FALSE),"")</f>
        <v/>
      </c>
      <c r="L3043" s="45" t="str">
        <f>IFERROR(VLOOKUP(B3043,'Pre-Summary'!$CU$6:$CW$36,3,FALSE),"")</f>
        <v/>
      </c>
      <c r="M3043" s="45" t="str">
        <f>IFERROR(VLOOKUP(B3043,'Pre-Summary'!$BW$6:$BY$58,2,FALSE),"")</f>
        <v/>
      </c>
      <c r="N3043" s="45" t="str">
        <f>IFERROR(VLOOKUP(B3043,'Pre-Summary'!$CD$6:$CF$64,2,FALSE),"")</f>
        <v/>
      </c>
      <c r="O3043" s="99">
        <f>IFERROR(VLOOKUP(B3043,'Pre-Summary'!$BO$6:$BQ$48,3, FALSE),O3042)</f>
        <v>3.3239999999999998</v>
      </c>
      <c r="P3043" s="99">
        <f>IFERROR(VLOOKUP(B3043,'Pre-Summary'!$BS$6:$BU$35,3,FALSE),P3042)</f>
        <v>0.84099999999999997</v>
      </c>
      <c r="Q3043" s="54">
        <f t="shared" si="141"/>
        <v>3.9524375743162903</v>
      </c>
      <c r="R3043" s="53">
        <f>IFERROR(VLOOKUP(B3043,'Pre-Summary'!$BG$6:$BM$44,7,FALSE),R3044)</f>
        <v>0</v>
      </c>
      <c r="S3043" s="53" t="e">
        <f>VLOOKUP(B3043,'Pre-Summary'!$BG$6:$BM$44,6,FALSE)</f>
        <v>#N/A</v>
      </c>
      <c r="T3043" s="45" t="str">
        <f>IFERROR(VLOOKUP(B3043,'Pre-Summary'!$Y$6:$AC$83, 3,FALSE),"")</f>
        <v/>
      </c>
      <c r="U3043" s="45" t="str">
        <f>IFERROR(VLOOKUP(B3043,'Pre-Summary'!$Y$6:$AC$83, 4,FALSE),"")</f>
        <v/>
      </c>
      <c r="V3043" t="str">
        <f>IFERROR(VLOOKUP(B3043,'Pre-Summary'!$Y$6:$AC$83, 5,FALSE),"")</f>
        <v/>
      </c>
      <c r="W3043" s="45" t="str">
        <f>IFERROR(VLOOKUP(B3043,'Pre-Summary'!$Y$6:$AD$83,6,FALSE),"")</f>
        <v/>
      </c>
      <c r="X3043" t="str">
        <f>IFERROR(VLOOKUP('Pre-Summary'!$DB$6:$DD$63,3,FALSE),"")</f>
        <v/>
      </c>
      <c r="Y3043" t="str">
        <f>IFERROR(VLOOKUP(B3043,'Pre-Summary'!$CR$6:$CT$36,3,FALSE),"")</f>
        <v/>
      </c>
      <c r="Z3043" s="45" t="str">
        <f>IFERROR(VLOOKUP(B3043,'Pre-Summary'!$BZ$6:$CB$63,2,FALSE),"")</f>
        <v/>
      </c>
      <c r="AA3043" s="45" t="str">
        <f>IFERROR(VLOOKUP(B3043,'Pre-Summary'!$CG$6:$CI$70,2,FALSE),"")</f>
        <v/>
      </c>
      <c r="AB3043" s="99">
        <f>IFERROR(VLOOKUP(B3043,'Pre-Summary'!$A$6:$P$178,9,FALSE),AB3044)</f>
        <v>0.78672405455763872</v>
      </c>
      <c r="AC3043" s="10">
        <f>IFERROR(VLOOKUP(Summary!B3043,'Pre-Summary'!$A$6:$P$184,5, FALSE)/100,AC3044)</f>
        <v>0.94994933333333331</v>
      </c>
      <c r="AD3043" s="10">
        <f>IFERROR(VLOOKUP(Summary!B3043,'Pre-Summary'!$A$6:$P$184,3, FALSE)/100,AD3044)</f>
        <v>4.7186000000000006E-2</v>
      </c>
      <c r="AE3043" s="10">
        <f>IFERROR(VLOOKUP(Summary!B3043,'Pre-Summary'!$A$6:$P$184,7, FALSE)/100,AE3044)</f>
        <v>2.8646666666666668E-3</v>
      </c>
      <c r="AF3043" s="99">
        <f t="shared" si="142"/>
        <v>3.7122361238356744E-2</v>
      </c>
      <c r="AG3043" s="99">
        <f t="shared" si="143"/>
        <v>2.2537021749561158E-3</v>
      </c>
      <c r="AH3043" s="10" t="str">
        <f>IFERROR(VLOOKUP(B3043,'Pre-Summary'!$AZ$6:$BE$65,3,FALSE),"")</f>
        <v/>
      </c>
      <c r="AI3043" s="10" t="str">
        <f>IFERROR(VLOOKUP(B3043,'Pre-Summary'!$AZ$6:$BE$65,5,FALSE),"")</f>
        <v/>
      </c>
      <c r="AJ3043" s="10" t="str">
        <f>IFERROR(VLOOKUP(B3043,'Pre-Summary'!$AZ$6:$BE$65,4,FALSE),"")</f>
        <v/>
      </c>
      <c r="AK3043" s="10" t="str">
        <f>IFERROR(VLOOKUP(B3043,'Pre-Summary'!$AZ$6:$BE$65,6,FALSE),"")</f>
        <v/>
      </c>
      <c r="AL3043" s="10" t="str">
        <f>IFERROR(VLOOKUP(B3043,'Pre-Summary'!$BG$6:$BL$44,3,FALSE),"")</f>
        <v/>
      </c>
      <c r="AM3043" s="10" t="str">
        <f>IFERROR(VLOOKUP(B3043,'Pre-Summary'!$BG$6:$BL$44,4,FALSE),"")</f>
        <v/>
      </c>
    </row>
    <row r="3044" spans="2:39" ht="15" customHeight="1" x14ac:dyDescent="0.3">
      <c r="B3044">
        <v>304.10000000000002</v>
      </c>
      <c r="C3044" t="str">
        <f>IFERROR(VLOOKUP(B3044,'Pre-Summary'!$DI$6:$DM$23,4,FALSE),"")</f>
        <v/>
      </c>
      <c r="D3044" s="10" t="str">
        <f>IFERROR(VLOOKUP(B3044,'Pre-Summary'!$AT$6:$AX$14,5,FALSE),D3043)</f>
        <v>Wolfe v3: went back to modified wolfe + EDTA and switched CuSO4 to CUCl2</v>
      </c>
      <c r="E3044" s="10" t="str">
        <f>IFERROR(VLOOKUP(B3044,'Pre-Summary'!$AT$6:$AX$15,4,FALSE),"")</f>
        <v/>
      </c>
      <c r="F3044">
        <f>IFERROR(VLOOKUP(B3044,'Pre-Summary'!$AL$6:$AQ$13,6,FALSE),F3043)</f>
        <v>5.9405263157894746E-2</v>
      </c>
      <c r="G3044" t="str">
        <f>IFERROR(VLOOKUP(B3044,'Pre-Summary'!$AE$6:$AJ$85,3,FALSE),"")</f>
        <v/>
      </c>
      <c r="H3044" t="str">
        <f>IFERROR(VLOOKUP(B3044,'Pre-Summary'!$AE$6:$AJ$85,4,FALSE),"")</f>
        <v/>
      </c>
      <c r="I3044" t="str">
        <f>IFERROR(VLOOKUP(B3044,'Pre-Summary'!$AE$6:$AJ$85,5,FALSE),"")</f>
        <v/>
      </c>
      <c r="J3044" s="45" t="str">
        <f>IFERROR(VLOOKUP(B3044,'Pre-Summary'!$AE$6:$AJ$85,6, FALSE),"")</f>
        <v/>
      </c>
      <c r="K3044" s="45" t="str">
        <f>IFERROR(VLOOKUP(B3044,'Pre-Summary'!$DE$6:$DG$61,3,FALSE),"")</f>
        <v/>
      </c>
      <c r="L3044" s="45" t="str">
        <f>IFERROR(VLOOKUP(B3044,'Pre-Summary'!$CU$6:$CW$36,3,FALSE),"")</f>
        <v/>
      </c>
      <c r="M3044" s="45" t="str">
        <f>IFERROR(VLOOKUP(B3044,'Pre-Summary'!$BW$6:$BY$58,2,FALSE),"")</f>
        <v/>
      </c>
      <c r="N3044" s="45" t="str">
        <f>IFERROR(VLOOKUP(B3044,'Pre-Summary'!$CD$6:$CF$64,2,FALSE),"")</f>
        <v/>
      </c>
      <c r="O3044" s="99">
        <f>IFERROR(VLOOKUP(B3044,'Pre-Summary'!$BO$6:$BQ$48,3, FALSE),O3043)</f>
        <v>3.3239999999999998</v>
      </c>
      <c r="P3044" s="99">
        <f>IFERROR(VLOOKUP(B3044,'Pre-Summary'!$BS$6:$BU$35,3,FALSE),P3043)</f>
        <v>0.84099999999999997</v>
      </c>
      <c r="Q3044" s="54">
        <f t="shared" si="141"/>
        <v>3.9524375743162903</v>
      </c>
      <c r="R3044" s="53">
        <f>IFERROR(VLOOKUP(B3044,'Pre-Summary'!$BG$6:$BM$44,7,FALSE),R3045)</f>
        <v>0</v>
      </c>
      <c r="S3044" s="53" t="e">
        <f>VLOOKUP(B3044,'Pre-Summary'!$BG$6:$BM$44,6,FALSE)</f>
        <v>#N/A</v>
      </c>
      <c r="T3044" s="45" t="str">
        <f>IFERROR(VLOOKUP(B3044,'Pre-Summary'!$Y$6:$AC$83, 3,FALSE),"")</f>
        <v/>
      </c>
      <c r="U3044" s="45" t="str">
        <f>IFERROR(VLOOKUP(B3044,'Pre-Summary'!$Y$6:$AC$83, 4,FALSE),"")</f>
        <v/>
      </c>
      <c r="V3044" t="str">
        <f>IFERROR(VLOOKUP(B3044,'Pre-Summary'!$Y$6:$AC$83, 5,FALSE),"")</f>
        <v/>
      </c>
      <c r="W3044" s="45" t="str">
        <f>IFERROR(VLOOKUP(B3044,'Pre-Summary'!$Y$6:$AD$83,6,FALSE),"")</f>
        <v/>
      </c>
      <c r="X3044" t="str">
        <f>IFERROR(VLOOKUP('Pre-Summary'!$DB$6:$DD$63,3,FALSE),"")</f>
        <v/>
      </c>
      <c r="Y3044" t="str">
        <f>IFERROR(VLOOKUP(B3044,'Pre-Summary'!$CR$6:$CT$36,3,FALSE),"")</f>
        <v/>
      </c>
      <c r="Z3044" s="45" t="str">
        <f>IFERROR(VLOOKUP(B3044,'Pre-Summary'!$BZ$6:$CB$63,2,FALSE),"")</f>
        <v/>
      </c>
      <c r="AA3044" s="45" t="str">
        <f>IFERROR(VLOOKUP(B3044,'Pre-Summary'!$CG$6:$CI$70,2,FALSE),"")</f>
        <v/>
      </c>
      <c r="AB3044" s="99">
        <f>IFERROR(VLOOKUP(B3044,'Pre-Summary'!$A$6:$P$178,9,FALSE),AB3045)</f>
        <v>1.2254632720101373</v>
      </c>
      <c r="AC3044" s="10">
        <f>IFERROR(VLOOKUP(Summary!B3044,'Pre-Summary'!$A$6:$P$184,5, FALSE)/100,AC3045)</f>
        <v>0.83185799999999999</v>
      </c>
      <c r="AD3044" s="10">
        <f>IFERROR(VLOOKUP(Summary!B3044,'Pre-Summary'!$A$6:$P$184,3, FALSE)/100,AD3045)</f>
        <v>0.13380733333333333</v>
      </c>
      <c r="AE3044" s="10">
        <f>IFERROR(VLOOKUP(Summary!B3044,'Pre-Summary'!$A$6:$P$184,7, FALSE)/100,AE3045)</f>
        <v>3.4334666666666666E-2</v>
      </c>
      <c r="AF3044" s="99">
        <f t="shared" si="142"/>
        <v>0.16397597252561777</v>
      </c>
      <c r="AG3044" s="99">
        <f t="shared" si="143"/>
        <v>4.2075872956710725E-2</v>
      </c>
      <c r="AH3044" s="10" t="str">
        <f>IFERROR(VLOOKUP(B3044,'Pre-Summary'!$AZ$6:$BE$65,3,FALSE),"")</f>
        <v/>
      </c>
      <c r="AI3044" s="10" t="str">
        <f>IFERROR(VLOOKUP(B3044,'Pre-Summary'!$AZ$6:$BE$65,5,FALSE),"")</f>
        <v/>
      </c>
      <c r="AJ3044" s="10" t="str">
        <f>IFERROR(VLOOKUP(B3044,'Pre-Summary'!$AZ$6:$BE$65,4,FALSE),"")</f>
        <v/>
      </c>
      <c r="AK3044" s="10" t="str">
        <f>IFERROR(VLOOKUP(B3044,'Pre-Summary'!$AZ$6:$BE$65,6,FALSE),"")</f>
        <v/>
      </c>
      <c r="AL3044" s="10" t="str">
        <f>IFERROR(VLOOKUP(B3044,'Pre-Summary'!$BG$6:$BL$44,3,FALSE),"")</f>
        <v/>
      </c>
      <c r="AM3044" s="10" t="str">
        <f>IFERROR(VLOOKUP(B3044,'Pre-Summary'!$BG$6:$BL$44,4,FALSE),"")</f>
        <v/>
      </c>
    </row>
    <row r="3045" spans="2:39" ht="15" customHeight="1" x14ac:dyDescent="0.3">
      <c r="B3045">
        <v>304.2</v>
      </c>
      <c r="C3045" t="str">
        <f>IFERROR(VLOOKUP(B3045,'Pre-Summary'!$DI$6:$DM$23,4,FALSE),"")</f>
        <v/>
      </c>
      <c r="D3045" s="10" t="str">
        <f>IFERROR(VLOOKUP(B3045,'Pre-Summary'!$AT$6:$AX$14,5,FALSE),D3044)</f>
        <v>Wolfe v3: went back to modified wolfe + EDTA and switched CuSO4 to CUCl2</v>
      </c>
      <c r="E3045" s="10" t="str">
        <f>IFERROR(VLOOKUP(B3045,'Pre-Summary'!$AT$6:$AX$15,4,FALSE),"")</f>
        <v/>
      </c>
      <c r="F3045">
        <f>IFERROR(VLOOKUP(B3045,'Pre-Summary'!$AL$6:$AQ$13,6,FALSE),F3044)</f>
        <v>5.9405263157894746E-2</v>
      </c>
      <c r="G3045" t="str">
        <f>IFERROR(VLOOKUP(B3045,'Pre-Summary'!$AE$6:$AJ$85,3,FALSE),"")</f>
        <v/>
      </c>
      <c r="H3045" t="str">
        <f>IFERROR(VLOOKUP(B3045,'Pre-Summary'!$AE$6:$AJ$85,4,FALSE),"")</f>
        <v/>
      </c>
      <c r="I3045" t="str">
        <f>IFERROR(VLOOKUP(B3045,'Pre-Summary'!$AE$6:$AJ$85,5,FALSE),"")</f>
        <v/>
      </c>
      <c r="J3045" s="45" t="str">
        <f>IFERROR(VLOOKUP(B3045,'Pre-Summary'!$AE$6:$AJ$85,6, FALSE),"")</f>
        <v/>
      </c>
      <c r="K3045" s="45" t="str">
        <f>IFERROR(VLOOKUP(B3045,'Pre-Summary'!$DE$6:$DG$61,3,FALSE),"")</f>
        <v/>
      </c>
      <c r="L3045" s="45" t="str">
        <f>IFERROR(VLOOKUP(B3045,'Pre-Summary'!$CU$6:$CW$36,3,FALSE),"")</f>
        <v/>
      </c>
      <c r="M3045" s="45" t="str">
        <f>IFERROR(VLOOKUP(B3045,'Pre-Summary'!$BW$6:$BY$58,2,FALSE),"")</f>
        <v/>
      </c>
      <c r="N3045" s="45" t="str">
        <f>IFERROR(VLOOKUP(B3045,'Pre-Summary'!$CD$6:$CF$64,2,FALSE),"")</f>
        <v/>
      </c>
      <c r="O3045" s="99">
        <f>IFERROR(VLOOKUP(B3045,'Pre-Summary'!$BO$6:$BQ$48,3, FALSE),O3044)</f>
        <v>3.3239999999999998</v>
      </c>
      <c r="P3045" s="99">
        <f>IFERROR(VLOOKUP(B3045,'Pre-Summary'!$BS$6:$BU$35,3,FALSE),P3044)</f>
        <v>0.84099999999999997</v>
      </c>
      <c r="Q3045" s="54">
        <f t="shared" si="141"/>
        <v>3.9524375743162903</v>
      </c>
      <c r="R3045" s="53">
        <f>IFERROR(VLOOKUP(B3045,'Pre-Summary'!$BG$6:$BM$44,7,FALSE),R3046)</f>
        <v>0</v>
      </c>
      <c r="S3045" s="53" t="e">
        <f>VLOOKUP(B3045,'Pre-Summary'!$BG$6:$BM$44,6,FALSE)</f>
        <v>#N/A</v>
      </c>
      <c r="T3045" s="45" t="str">
        <f>IFERROR(VLOOKUP(B3045,'Pre-Summary'!$Y$6:$AC$83, 3,FALSE),"")</f>
        <v/>
      </c>
      <c r="U3045" s="45" t="str">
        <f>IFERROR(VLOOKUP(B3045,'Pre-Summary'!$Y$6:$AC$83, 4,FALSE),"")</f>
        <v/>
      </c>
      <c r="V3045" t="str">
        <f>IFERROR(VLOOKUP(B3045,'Pre-Summary'!$Y$6:$AC$83, 5,FALSE),"")</f>
        <v/>
      </c>
      <c r="W3045" s="45" t="str">
        <f>IFERROR(VLOOKUP(B3045,'Pre-Summary'!$Y$6:$AD$83,6,FALSE),"")</f>
        <v/>
      </c>
      <c r="X3045" t="str">
        <f>IFERROR(VLOOKUP('Pre-Summary'!$DB$6:$DD$63,3,FALSE),"")</f>
        <v/>
      </c>
      <c r="Y3045" t="str">
        <f>IFERROR(VLOOKUP(B3045,'Pre-Summary'!$CR$6:$CT$36,3,FALSE),"")</f>
        <v/>
      </c>
      <c r="Z3045" s="45" t="str">
        <f>IFERROR(VLOOKUP(B3045,'Pre-Summary'!$BZ$6:$CB$63,2,FALSE),"")</f>
        <v/>
      </c>
      <c r="AA3045" s="45" t="str">
        <f>IFERROR(VLOOKUP(B3045,'Pre-Summary'!$CG$6:$CI$70,2,FALSE),"")</f>
        <v/>
      </c>
      <c r="AB3045" s="99">
        <f>IFERROR(VLOOKUP(B3045,'Pre-Summary'!$A$6:$P$178,9,FALSE),AB3046)</f>
        <v>1.2254632720101373</v>
      </c>
      <c r="AC3045" s="10">
        <f>IFERROR(VLOOKUP(Summary!B3045,'Pre-Summary'!$A$6:$P$184,5, FALSE)/100,AC3046)</f>
        <v>0.83185799999999999</v>
      </c>
      <c r="AD3045" s="10">
        <f>IFERROR(VLOOKUP(Summary!B3045,'Pre-Summary'!$A$6:$P$184,3, FALSE)/100,AD3046)</f>
        <v>0.13380733333333333</v>
      </c>
      <c r="AE3045" s="10">
        <f>IFERROR(VLOOKUP(Summary!B3045,'Pre-Summary'!$A$6:$P$184,7, FALSE)/100,AE3046)</f>
        <v>3.4334666666666666E-2</v>
      </c>
      <c r="AF3045" s="99">
        <f t="shared" si="142"/>
        <v>0.16397597252561777</v>
      </c>
      <c r="AG3045" s="99">
        <f t="shared" si="143"/>
        <v>4.2075872956710725E-2</v>
      </c>
      <c r="AH3045" s="10" t="str">
        <f>IFERROR(VLOOKUP(B3045,'Pre-Summary'!$AZ$6:$BE$65,3,FALSE),"")</f>
        <v/>
      </c>
      <c r="AI3045" s="10" t="str">
        <f>IFERROR(VLOOKUP(B3045,'Pre-Summary'!$AZ$6:$BE$65,5,FALSE),"")</f>
        <v/>
      </c>
      <c r="AJ3045" s="10" t="str">
        <f>IFERROR(VLOOKUP(B3045,'Pre-Summary'!$AZ$6:$BE$65,4,FALSE),"")</f>
        <v/>
      </c>
      <c r="AK3045" s="10" t="str">
        <f>IFERROR(VLOOKUP(B3045,'Pre-Summary'!$AZ$6:$BE$65,6,FALSE),"")</f>
        <v/>
      </c>
      <c r="AL3045" s="10" t="str">
        <f>IFERROR(VLOOKUP(B3045,'Pre-Summary'!$BG$6:$BL$44,3,FALSE),"")</f>
        <v/>
      </c>
      <c r="AM3045" s="10" t="str">
        <f>IFERROR(VLOOKUP(B3045,'Pre-Summary'!$BG$6:$BL$44,4,FALSE),"")</f>
        <v/>
      </c>
    </row>
    <row r="3046" spans="2:39" ht="15" customHeight="1" x14ac:dyDescent="0.3">
      <c r="B3046">
        <v>304.3</v>
      </c>
      <c r="C3046" t="str">
        <f>IFERROR(VLOOKUP(B3046,'Pre-Summary'!$DI$6:$DM$23,4,FALSE),"")</f>
        <v/>
      </c>
      <c r="D3046" s="10" t="str">
        <f>IFERROR(VLOOKUP(B3046,'Pre-Summary'!$AT$6:$AX$14,5,FALSE),D3045)</f>
        <v>Wolfe v3: went back to modified wolfe + EDTA and switched CuSO4 to CUCl2</v>
      </c>
      <c r="E3046" s="10" t="str">
        <f>IFERROR(VLOOKUP(B3046,'Pre-Summary'!$AT$6:$AX$15,4,FALSE),"")</f>
        <v/>
      </c>
      <c r="F3046">
        <f>IFERROR(VLOOKUP(B3046,'Pre-Summary'!$AL$6:$AQ$13,6,FALSE),F3045)</f>
        <v>5.9405263157894746E-2</v>
      </c>
      <c r="G3046" t="str">
        <f>IFERROR(VLOOKUP(B3046,'Pre-Summary'!$AE$6:$AJ$85,3,FALSE),"")</f>
        <v/>
      </c>
      <c r="H3046" t="str">
        <f>IFERROR(VLOOKUP(B3046,'Pre-Summary'!$AE$6:$AJ$85,4,FALSE),"")</f>
        <v/>
      </c>
      <c r="I3046" t="str">
        <f>IFERROR(VLOOKUP(B3046,'Pre-Summary'!$AE$6:$AJ$85,5,FALSE),"")</f>
        <v/>
      </c>
      <c r="J3046" s="45" t="str">
        <f>IFERROR(VLOOKUP(B3046,'Pre-Summary'!$AE$6:$AJ$85,6, FALSE),"")</f>
        <v/>
      </c>
      <c r="K3046" s="45" t="str">
        <f>IFERROR(VLOOKUP(B3046,'Pre-Summary'!$DE$6:$DG$61,3,FALSE),"")</f>
        <v/>
      </c>
      <c r="L3046" s="45" t="str">
        <f>IFERROR(VLOOKUP(B3046,'Pre-Summary'!$CU$6:$CW$36,3,FALSE),"")</f>
        <v/>
      </c>
      <c r="M3046" s="45" t="str">
        <f>IFERROR(VLOOKUP(B3046,'Pre-Summary'!$BW$6:$BY$58,2,FALSE),"")</f>
        <v/>
      </c>
      <c r="N3046" s="45" t="str">
        <f>IFERROR(VLOOKUP(B3046,'Pre-Summary'!$CD$6:$CF$64,2,FALSE),"")</f>
        <v/>
      </c>
      <c r="O3046" s="99">
        <f>IFERROR(VLOOKUP(B3046,'Pre-Summary'!$BO$6:$BQ$48,3, FALSE),O3045)</f>
        <v>3.3239999999999998</v>
      </c>
      <c r="P3046" s="99">
        <f>IFERROR(VLOOKUP(B3046,'Pre-Summary'!$BS$6:$BU$35,3,FALSE),P3045)</f>
        <v>0.84099999999999997</v>
      </c>
      <c r="Q3046" s="54">
        <f t="shared" si="141"/>
        <v>3.9524375743162903</v>
      </c>
      <c r="R3046" s="53">
        <f>IFERROR(VLOOKUP(B3046,'Pre-Summary'!$BG$6:$BM$44,7,FALSE),R3047)</f>
        <v>0</v>
      </c>
      <c r="S3046" s="53" t="e">
        <f>VLOOKUP(B3046,'Pre-Summary'!$BG$6:$BM$44,6,FALSE)</f>
        <v>#N/A</v>
      </c>
      <c r="T3046" s="45" t="str">
        <f>IFERROR(VLOOKUP(B3046,'Pre-Summary'!$Y$6:$AC$83, 3,FALSE),"")</f>
        <v/>
      </c>
      <c r="U3046" s="45" t="str">
        <f>IFERROR(VLOOKUP(B3046,'Pre-Summary'!$Y$6:$AC$83, 4,FALSE),"")</f>
        <v/>
      </c>
      <c r="V3046" t="str">
        <f>IFERROR(VLOOKUP(B3046,'Pre-Summary'!$Y$6:$AC$83, 5,FALSE),"")</f>
        <v/>
      </c>
      <c r="W3046" s="45" t="str">
        <f>IFERROR(VLOOKUP(B3046,'Pre-Summary'!$Y$6:$AD$83,6,FALSE),"")</f>
        <v/>
      </c>
      <c r="X3046" t="str">
        <f>IFERROR(VLOOKUP('Pre-Summary'!$DB$6:$DD$63,3,FALSE),"")</f>
        <v/>
      </c>
      <c r="Y3046" t="str">
        <f>IFERROR(VLOOKUP(B3046,'Pre-Summary'!$CR$6:$CT$36,3,FALSE),"")</f>
        <v/>
      </c>
      <c r="Z3046" s="45" t="str">
        <f>IFERROR(VLOOKUP(B3046,'Pre-Summary'!$BZ$6:$CB$63,2,FALSE),"")</f>
        <v/>
      </c>
      <c r="AA3046" s="45" t="str">
        <f>IFERROR(VLOOKUP(B3046,'Pre-Summary'!$CG$6:$CI$70,2,FALSE),"")</f>
        <v/>
      </c>
      <c r="AB3046" s="99">
        <f>IFERROR(VLOOKUP(B3046,'Pre-Summary'!$A$6:$P$178,9,FALSE),AB3047)</f>
        <v>1.2254632720101373</v>
      </c>
      <c r="AC3046" s="10">
        <f>IFERROR(VLOOKUP(Summary!B3046,'Pre-Summary'!$A$6:$P$184,5, FALSE)/100,AC3047)</f>
        <v>0.83185799999999999</v>
      </c>
      <c r="AD3046" s="10">
        <f>IFERROR(VLOOKUP(Summary!B3046,'Pre-Summary'!$A$6:$P$184,3, FALSE)/100,AD3047)</f>
        <v>0.13380733333333333</v>
      </c>
      <c r="AE3046" s="10">
        <f>IFERROR(VLOOKUP(Summary!B3046,'Pre-Summary'!$A$6:$P$184,7, FALSE)/100,AE3047)</f>
        <v>3.4334666666666666E-2</v>
      </c>
      <c r="AF3046" s="99">
        <f t="shared" si="142"/>
        <v>0.16397597252561777</v>
      </c>
      <c r="AG3046" s="99">
        <f t="shared" si="143"/>
        <v>4.2075872956710725E-2</v>
      </c>
      <c r="AH3046" s="10" t="str">
        <f>IFERROR(VLOOKUP(B3046,'Pre-Summary'!$AZ$6:$BE$65,3,FALSE),"")</f>
        <v/>
      </c>
      <c r="AI3046" s="10" t="str">
        <f>IFERROR(VLOOKUP(B3046,'Pre-Summary'!$AZ$6:$BE$65,5,FALSE),"")</f>
        <v/>
      </c>
      <c r="AJ3046" s="10" t="str">
        <f>IFERROR(VLOOKUP(B3046,'Pre-Summary'!$AZ$6:$BE$65,4,FALSE),"")</f>
        <v/>
      </c>
      <c r="AK3046" s="10" t="str">
        <f>IFERROR(VLOOKUP(B3046,'Pre-Summary'!$AZ$6:$BE$65,6,FALSE),"")</f>
        <v/>
      </c>
      <c r="AL3046" s="10" t="str">
        <f>IFERROR(VLOOKUP(B3046,'Pre-Summary'!$BG$6:$BL$44,3,FALSE),"")</f>
        <v/>
      </c>
      <c r="AM3046" s="10" t="str">
        <f>IFERROR(VLOOKUP(B3046,'Pre-Summary'!$BG$6:$BL$44,4,FALSE),"")</f>
        <v/>
      </c>
    </row>
    <row r="3047" spans="2:39" ht="15" customHeight="1" x14ac:dyDescent="0.3">
      <c r="B3047">
        <v>304.39999999999998</v>
      </c>
      <c r="C3047" t="str">
        <f>IFERROR(VLOOKUP(B3047,'Pre-Summary'!$DI$6:$DM$23,4,FALSE),"")</f>
        <v/>
      </c>
      <c r="D3047" s="10" t="str">
        <f>IFERROR(VLOOKUP(B3047,'Pre-Summary'!$AT$6:$AX$14,5,FALSE),D3046)</f>
        <v>Wolfe v3: went back to modified wolfe + EDTA and switched CuSO4 to CUCl2</v>
      </c>
      <c r="E3047" s="10" t="str">
        <f>IFERROR(VLOOKUP(B3047,'Pre-Summary'!$AT$6:$AX$15,4,FALSE),"")</f>
        <v/>
      </c>
      <c r="F3047">
        <f>IFERROR(VLOOKUP(B3047,'Pre-Summary'!$AL$6:$AQ$13,6,FALSE),F3046)</f>
        <v>5.9405263157894746E-2</v>
      </c>
      <c r="G3047" t="str">
        <f>IFERROR(VLOOKUP(B3047,'Pre-Summary'!$AE$6:$AJ$85,3,FALSE),"")</f>
        <v/>
      </c>
      <c r="H3047" t="str">
        <f>IFERROR(VLOOKUP(B3047,'Pre-Summary'!$AE$6:$AJ$85,4,FALSE),"")</f>
        <v/>
      </c>
      <c r="I3047" t="str">
        <f>IFERROR(VLOOKUP(B3047,'Pre-Summary'!$AE$6:$AJ$85,5,FALSE),"")</f>
        <v/>
      </c>
      <c r="J3047" s="45" t="str">
        <f>IFERROR(VLOOKUP(B3047,'Pre-Summary'!$AE$6:$AJ$85,6, FALSE),"")</f>
        <v/>
      </c>
      <c r="K3047" s="45" t="str">
        <f>IFERROR(VLOOKUP(B3047,'Pre-Summary'!$DE$6:$DG$61,3,FALSE),"")</f>
        <v/>
      </c>
      <c r="L3047" s="45" t="str">
        <f>IFERROR(VLOOKUP(B3047,'Pre-Summary'!$CU$6:$CW$36,3,FALSE),"")</f>
        <v/>
      </c>
      <c r="M3047" s="45" t="str">
        <f>IFERROR(VLOOKUP(B3047,'Pre-Summary'!$BW$6:$BY$58,2,FALSE),"")</f>
        <v/>
      </c>
      <c r="N3047" s="45" t="str">
        <f>IFERROR(VLOOKUP(B3047,'Pre-Summary'!$CD$6:$CF$64,2,FALSE),"")</f>
        <v/>
      </c>
      <c r="O3047" s="99">
        <f>IFERROR(VLOOKUP(B3047,'Pre-Summary'!$BO$6:$BQ$48,3, FALSE),O3046)</f>
        <v>3.3239999999999998</v>
      </c>
      <c r="P3047" s="99">
        <f>IFERROR(VLOOKUP(B3047,'Pre-Summary'!$BS$6:$BU$35,3,FALSE),P3046)</f>
        <v>0.84099999999999997</v>
      </c>
      <c r="Q3047" s="54">
        <f t="shared" si="141"/>
        <v>3.9524375743162903</v>
      </c>
      <c r="R3047" s="53">
        <f>IFERROR(VLOOKUP(B3047,'Pre-Summary'!$BG$6:$BM$44,7,FALSE),R3048)</f>
        <v>0</v>
      </c>
      <c r="S3047" s="53" t="e">
        <f>VLOOKUP(B3047,'Pre-Summary'!$BG$6:$BM$44,6,FALSE)</f>
        <v>#N/A</v>
      </c>
      <c r="T3047" s="45" t="str">
        <f>IFERROR(VLOOKUP(B3047,'Pre-Summary'!$Y$6:$AC$83, 3,FALSE),"")</f>
        <v/>
      </c>
      <c r="U3047" s="45" t="str">
        <f>IFERROR(VLOOKUP(B3047,'Pre-Summary'!$Y$6:$AC$83, 4,FALSE),"")</f>
        <v/>
      </c>
      <c r="V3047" t="str">
        <f>IFERROR(VLOOKUP(B3047,'Pre-Summary'!$Y$6:$AC$83, 5,FALSE),"")</f>
        <v/>
      </c>
      <c r="W3047" s="45" t="str">
        <f>IFERROR(VLOOKUP(B3047,'Pre-Summary'!$Y$6:$AD$83,6,FALSE),"")</f>
        <v/>
      </c>
      <c r="X3047" t="str">
        <f>IFERROR(VLOOKUP('Pre-Summary'!$DB$6:$DD$63,3,FALSE),"")</f>
        <v/>
      </c>
      <c r="Y3047" t="str">
        <f>IFERROR(VLOOKUP(B3047,'Pre-Summary'!$CR$6:$CT$36,3,FALSE),"")</f>
        <v/>
      </c>
      <c r="Z3047" s="45" t="str">
        <f>IFERROR(VLOOKUP(B3047,'Pre-Summary'!$BZ$6:$CB$63,2,FALSE),"")</f>
        <v/>
      </c>
      <c r="AA3047" s="45" t="str">
        <f>IFERROR(VLOOKUP(B3047,'Pre-Summary'!$CG$6:$CI$70,2,FALSE),"")</f>
        <v/>
      </c>
      <c r="AB3047" s="99">
        <f>IFERROR(VLOOKUP(B3047,'Pre-Summary'!$A$6:$P$178,9,FALSE),AB3048)</f>
        <v>1.2254632720101373</v>
      </c>
      <c r="AC3047" s="10">
        <f>IFERROR(VLOOKUP(Summary!B3047,'Pre-Summary'!$A$6:$P$184,5, FALSE)/100,AC3048)</f>
        <v>0.83185799999999999</v>
      </c>
      <c r="AD3047" s="10">
        <f>IFERROR(VLOOKUP(Summary!B3047,'Pre-Summary'!$A$6:$P$184,3, FALSE)/100,AD3048)</f>
        <v>0.13380733333333333</v>
      </c>
      <c r="AE3047" s="10">
        <f>IFERROR(VLOOKUP(Summary!B3047,'Pre-Summary'!$A$6:$P$184,7, FALSE)/100,AE3048)</f>
        <v>3.4334666666666666E-2</v>
      </c>
      <c r="AF3047" s="99">
        <f t="shared" si="142"/>
        <v>0.16397597252561777</v>
      </c>
      <c r="AG3047" s="99">
        <f t="shared" si="143"/>
        <v>4.2075872956710725E-2</v>
      </c>
      <c r="AH3047" s="10" t="str">
        <f>IFERROR(VLOOKUP(B3047,'Pre-Summary'!$AZ$6:$BE$65,3,FALSE),"")</f>
        <v/>
      </c>
      <c r="AI3047" s="10" t="str">
        <f>IFERROR(VLOOKUP(B3047,'Pre-Summary'!$AZ$6:$BE$65,5,FALSE),"")</f>
        <v/>
      </c>
      <c r="AJ3047" s="10" t="str">
        <f>IFERROR(VLOOKUP(B3047,'Pre-Summary'!$AZ$6:$BE$65,4,FALSE),"")</f>
        <v/>
      </c>
      <c r="AK3047" s="10" t="str">
        <f>IFERROR(VLOOKUP(B3047,'Pre-Summary'!$AZ$6:$BE$65,6,FALSE),"")</f>
        <v/>
      </c>
      <c r="AL3047" s="10" t="str">
        <f>IFERROR(VLOOKUP(B3047,'Pre-Summary'!$BG$6:$BL$44,3,FALSE),"")</f>
        <v/>
      </c>
      <c r="AM3047" s="10" t="str">
        <f>IFERROR(VLOOKUP(B3047,'Pre-Summary'!$BG$6:$BL$44,4,FALSE),"")</f>
        <v/>
      </c>
    </row>
    <row r="3048" spans="2:39" ht="15" customHeight="1" x14ac:dyDescent="0.3">
      <c r="B3048">
        <v>304.5</v>
      </c>
      <c r="C3048" t="str">
        <f>IFERROR(VLOOKUP(B3048,'Pre-Summary'!$DI$6:$DM$23,4,FALSE),"")</f>
        <v/>
      </c>
      <c r="D3048" s="10" t="str">
        <f>IFERROR(VLOOKUP(B3048,'Pre-Summary'!$AT$6:$AX$14,5,FALSE),D3047)</f>
        <v>Wolfe v3: went back to modified wolfe + EDTA and switched CuSO4 to CUCl2</v>
      </c>
      <c r="E3048" s="10" t="str">
        <f>IFERROR(VLOOKUP(B3048,'Pre-Summary'!$AT$6:$AX$15,4,FALSE),"")</f>
        <v/>
      </c>
      <c r="F3048">
        <f>IFERROR(VLOOKUP(B3048,'Pre-Summary'!$AL$6:$AQ$13,6,FALSE),F3047)</f>
        <v>5.9405263157894746E-2</v>
      </c>
      <c r="G3048" t="str">
        <f>IFERROR(VLOOKUP(B3048,'Pre-Summary'!$AE$6:$AJ$85,3,FALSE),"")</f>
        <v/>
      </c>
      <c r="H3048" t="str">
        <f>IFERROR(VLOOKUP(B3048,'Pre-Summary'!$AE$6:$AJ$85,4,FALSE),"")</f>
        <v/>
      </c>
      <c r="I3048" t="str">
        <f>IFERROR(VLOOKUP(B3048,'Pre-Summary'!$AE$6:$AJ$85,5,FALSE),"")</f>
        <v/>
      </c>
      <c r="J3048" s="45" t="str">
        <f>IFERROR(VLOOKUP(B3048,'Pre-Summary'!$AE$6:$AJ$85,6, FALSE),"")</f>
        <v/>
      </c>
      <c r="K3048" s="45" t="str">
        <f>IFERROR(VLOOKUP(B3048,'Pre-Summary'!$DE$6:$DG$61,3,FALSE),"")</f>
        <v/>
      </c>
      <c r="L3048" s="45" t="str">
        <f>IFERROR(VLOOKUP(B3048,'Pre-Summary'!$CU$6:$CW$36,3,FALSE),"")</f>
        <v/>
      </c>
      <c r="M3048" s="45" t="str">
        <f>IFERROR(VLOOKUP(B3048,'Pre-Summary'!$BW$6:$BY$58,2,FALSE),"")</f>
        <v/>
      </c>
      <c r="N3048" s="45" t="str">
        <f>IFERROR(VLOOKUP(B3048,'Pre-Summary'!$CD$6:$CF$64,2,FALSE),"")</f>
        <v/>
      </c>
      <c r="O3048" s="99">
        <f>IFERROR(VLOOKUP(B3048,'Pre-Summary'!$BO$6:$BQ$48,3, FALSE),O3047)</f>
        <v>3.3239999999999998</v>
      </c>
      <c r="P3048" s="99">
        <f>IFERROR(VLOOKUP(B3048,'Pre-Summary'!$BS$6:$BU$35,3,FALSE),P3047)</f>
        <v>0.84099999999999997</v>
      </c>
      <c r="Q3048" s="54">
        <f t="shared" si="141"/>
        <v>3.9524375743162903</v>
      </c>
      <c r="R3048" s="53">
        <f>IFERROR(VLOOKUP(B3048,'Pre-Summary'!$BG$6:$BM$44,7,FALSE),R3049)</f>
        <v>0</v>
      </c>
      <c r="S3048" s="53" t="e">
        <f>VLOOKUP(B3048,'Pre-Summary'!$BG$6:$BM$44,6,FALSE)</f>
        <v>#N/A</v>
      </c>
      <c r="T3048" s="45" t="str">
        <f>IFERROR(VLOOKUP(B3048,'Pre-Summary'!$Y$6:$AC$83, 3,FALSE),"")</f>
        <v/>
      </c>
      <c r="U3048" s="45" t="str">
        <f>IFERROR(VLOOKUP(B3048,'Pre-Summary'!$Y$6:$AC$83, 4,FALSE),"")</f>
        <v/>
      </c>
      <c r="V3048" t="str">
        <f>IFERROR(VLOOKUP(B3048,'Pre-Summary'!$Y$6:$AC$83, 5,FALSE),"")</f>
        <v/>
      </c>
      <c r="W3048" s="45" t="str">
        <f>IFERROR(VLOOKUP(B3048,'Pre-Summary'!$Y$6:$AD$83,6,FALSE),"")</f>
        <v/>
      </c>
      <c r="X3048" t="str">
        <f>IFERROR(VLOOKUP('Pre-Summary'!$DB$6:$DD$63,3,FALSE),"")</f>
        <v/>
      </c>
      <c r="Y3048" t="str">
        <f>IFERROR(VLOOKUP(B3048,'Pre-Summary'!$CR$6:$CT$36,3,FALSE),"")</f>
        <v/>
      </c>
      <c r="Z3048" s="45" t="str">
        <f>IFERROR(VLOOKUP(B3048,'Pre-Summary'!$BZ$6:$CB$63,2,FALSE),"")</f>
        <v/>
      </c>
      <c r="AA3048" s="45" t="str">
        <f>IFERROR(VLOOKUP(B3048,'Pre-Summary'!$CG$6:$CI$70,2,FALSE),"")</f>
        <v/>
      </c>
      <c r="AB3048" s="99">
        <f>IFERROR(VLOOKUP(B3048,'Pre-Summary'!$A$6:$P$178,9,FALSE),AB3049)</f>
        <v>1.2254632720101373</v>
      </c>
      <c r="AC3048" s="10">
        <f>IFERROR(VLOOKUP(Summary!B3048,'Pre-Summary'!$A$6:$P$184,5, FALSE)/100,AC3049)</f>
        <v>0.83185799999999999</v>
      </c>
      <c r="AD3048" s="10">
        <f>IFERROR(VLOOKUP(Summary!B3048,'Pre-Summary'!$A$6:$P$184,3, FALSE)/100,AD3049)</f>
        <v>0.13380733333333333</v>
      </c>
      <c r="AE3048" s="10">
        <f>IFERROR(VLOOKUP(Summary!B3048,'Pre-Summary'!$A$6:$P$184,7, FALSE)/100,AE3049)</f>
        <v>3.4334666666666666E-2</v>
      </c>
      <c r="AF3048" s="99">
        <f t="shared" si="142"/>
        <v>0.16397597252561777</v>
      </c>
      <c r="AG3048" s="99">
        <f t="shared" si="143"/>
        <v>4.2075872956710725E-2</v>
      </c>
      <c r="AH3048" s="10" t="str">
        <f>IFERROR(VLOOKUP(B3048,'Pre-Summary'!$AZ$6:$BE$65,3,FALSE),"")</f>
        <v/>
      </c>
      <c r="AI3048" s="10" t="str">
        <f>IFERROR(VLOOKUP(B3048,'Pre-Summary'!$AZ$6:$BE$65,5,FALSE),"")</f>
        <v/>
      </c>
      <c r="AJ3048" s="10" t="str">
        <f>IFERROR(VLOOKUP(B3048,'Pre-Summary'!$AZ$6:$BE$65,4,FALSE),"")</f>
        <v/>
      </c>
      <c r="AK3048" s="10" t="str">
        <f>IFERROR(VLOOKUP(B3048,'Pre-Summary'!$AZ$6:$BE$65,6,FALSE),"")</f>
        <v/>
      </c>
      <c r="AL3048" s="10" t="str">
        <f>IFERROR(VLOOKUP(B3048,'Pre-Summary'!$BG$6:$BL$44,3,FALSE),"")</f>
        <v/>
      </c>
      <c r="AM3048" s="10" t="str">
        <f>IFERROR(VLOOKUP(B3048,'Pre-Summary'!$BG$6:$BL$44,4,FALSE),"")</f>
        <v/>
      </c>
    </row>
    <row r="3049" spans="2:39" ht="15" customHeight="1" x14ac:dyDescent="0.3">
      <c r="B3049">
        <v>304.60000000000002</v>
      </c>
      <c r="C3049" t="str">
        <f>IFERROR(VLOOKUP(B3049,'Pre-Summary'!$DI$6:$DM$23,4,FALSE),"")</f>
        <v/>
      </c>
      <c r="D3049" s="10" t="str">
        <f>IFERROR(VLOOKUP(B3049,'Pre-Summary'!$AT$6:$AX$14,5,FALSE),D3048)</f>
        <v>Wolfe v3: went back to modified wolfe + EDTA and switched CuSO4 to CUCl2</v>
      </c>
      <c r="E3049" s="10" t="str">
        <f>IFERROR(VLOOKUP(B3049,'Pre-Summary'!$AT$6:$AX$15,4,FALSE),"")</f>
        <v/>
      </c>
      <c r="F3049">
        <f>IFERROR(VLOOKUP(B3049,'Pre-Summary'!$AL$6:$AQ$13,6,FALSE),F3048)</f>
        <v>5.9405263157894746E-2</v>
      </c>
      <c r="G3049" t="str">
        <f>IFERROR(VLOOKUP(B3049,'Pre-Summary'!$AE$6:$AJ$85,3,FALSE),"")</f>
        <v/>
      </c>
      <c r="H3049" t="str">
        <f>IFERROR(VLOOKUP(B3049,'Pre-Summary'!$AE$6:$AJ$85,4,FALSE),"")</f>
        <v/>
      </c>
      <c r="I3049" t="str">
        <f>IFERROR(VLOOKUP(B3049,'Pre-Summary'!$AE$6:$AJ$85,5,FALSE),"")</f>
        <v/>
      </c>
      <c r="J3049" s="45" t="str">
        <f>IFERROR(VLOOKUP(B3049,'Pre-Summary'!$AE$6:$AJ$85,6, FALSE),"")</f>
        <v/>
      </c>
      <c r="K3049" s="45" t="str">
        <f>IFERROR(VLOOKUP(B3049,'Pre-Summary'!$DE$6:$DG$61,3,FALSE),"")</f>
        <v/>
      </c>
      <c r="L3049" s="45" t="str">
        <f>IFERROR(VLOOKUP(B3049,'Pre-Summary'!$CU$6:$CW$36,3,FALSE),"")</f>
        <v/>
      </c>
      <c r="M3049" s="45" t="str">
        <f>IFERROR(VLOOKUP(B3049,'Pre-Summary'!$BW$6:$BY$58,2,FALSE),"")</f>
        <v/>
      </c>
      <c r="N3049" s="45" t="str">
        <f>IFERROR(VLOOKUP(B3049,'Pre-Summary'!$CD$6:$CF$64,2,FALSE),"")</f>
        <v/>
      </c>
      <c r="O3049" s="99">
        <f>IFERROR(VLOOKUP(B3049,'Pre-Summary'!$BO$6:$BQ$48,3, FALSE),O3048)</f>
        <v>3.3239999999999998</v>
      </c>
      <c r="P3049" s="99">
        <f>IFERROR(VLOOKUP(B3049,'Pre-Summary'!$BS$6:$BU$35,3,FALSE),P3048)</f>
        <v>0.84099999999999997</v>
      </c>
      <c r="Q3049" s="54">
        <f t="shared" si="141"/>
        <v>3.9524375743162903</v>
      </c>
      <c r="R3049" s="53">
        <f>IFERROR(VLOOKUP(B3049,'Pre-Summary'!$BG$6:$BM$44,7,FALSE),R3050)</f>
        <v>0</v>
      </c>
      <c r="S3049" s="53" t="e">
        <f>VLOOKUP(B3049,'Pre-Summary'!$BG$6:$BM$44,6,FALSE)</f>
        <v>#N/A</v>
      </c>
      <c r="T3049" s="45" t="str">
        <f>IFERROR(VLOOKUP(B3049,'Pre-Summary'!$Y$6:$AC$83, 3,FALSE),"")</f>
        <v/>
      </c>
      <c r="U3049" s="45" t="str">
        <f>IFERROR(VLOOKUP(B3049,'Pre-Summary'!$Y$6:$AC$83, 4,FALSE),"")</f>
        <v/>
      </c>
      <c r="V3049" t="str">
        <f>IFERROR(VLOOKUP(B3049,'Pre-Summary'!$Y$6:$AC$83, 5,FALSE),"")</f>
        <v/>
      </c>
      <c r="W3049" s="45" t="str">
        <f>IFERROR(VLOOKUP(B3049,'Pre-Summary'!$Y$6:$AD$83,6,FALSE),"")</f>
        <v/>
      </c>
      <c r="X3049" t="str">
        <f>IFERROR(VLOOKUP('Pre-Summary'!$DB$6:$DD$63,3,FALSE),"")</f>
        <v/>
      </c>
      <c r="Y3049" t="str">
        <f>IFERROR(VLOOKUP(B3049,'Pre-Summary'!$CR$6:$CT$36,3,FALSE),"")</f>
        <v/>
      </c>
      <c r="Z3049" s="45" t="str">
        <f>IFERROR(VLOOKUP(B3049,'Pre-Summary'!$BZ$6:$CB$63,2,FALSE),"")</f>
        <v/>
      </c>
      <c r="AA3049" s="45" t="str">
        <f>IFERROR(VLOOKUP(B3049,'Pre-Summary'!$CG$6:$CI$70,2,FALSE),"")</f>
        <v/>
      </c>
      <c r="AB3049" s="99">
        <f>IFERROR(VLOOKUP(B3049,'Pre-Summary'!$A$6:$P$178,9,FALSE),AB3050)</f>
        <v>1.2254632720101373</v>
      </c>
      <c r="AC3049" s="10">
        <f>IFERROR(VLOOKUP(Summary!B3049,'Pre-Summary'!$A$6:$P$184,5, FALSE)/100,AC3050)</f>
        <v>0.83185799999999999</v>
      </c>
      <c r="AD3049" s="10">
        <f>IFERROR(VLOOKUP(Summary!B3049,'Pre-Summary'!$A$6:$P$184,3, FALSE)/100,AD3050)</f>
        <v>0.13380733333333333</v>
      </c>
      <c r="AE3049" s="10">
        <f>IFERROR(VLOOKUP(Summary!B3049,'Pre-Summary'!$A$6:$P$184,7, FALSE)/100,AE3050)</f>
        <v>3.4334666666666666E-2</v>
      </c>
      <c r="AF3049" s="99">
        <f t="shared" si="142"/>
        <v>0.16397597252561777</v>
      </c>
      <c r="AG3049" s="99">
        <f t="shared" si="143"/>
        <v>4.2075872956710725E-2</v>
      </c>
      <c r="AH3049" s="10" t="str">
        <f>IFERROR(VLOOKUP(B3049,'Pre-Summary'!$AZ$6:$BE$65,3,FALSE),"")</f>
        <v/>
      </c>
      <c r="AI3049" s="10" t="str">
        <f>IFERROR(VLOOKUP(B3049,'Pre-Summary'!$AZ$6:$BE$65,5,FALSE),"")</f>
        <v/>
      </c>
      <c r="AJ3049" s="10" t="str">
        <f>IFERROR(VLOOKUP(B3049,'Pre-Summary'!$AZ$6:$BE$65,4,FALSE),"")</f>
        <v/>
      </c>
      <c r="AK3049" s="10" t="str">
        <f>IFERROR(VLOOKUP(B3049,'Pre-Summary'!$AZ$6:$BE$65,6,FALSE),"")</f>
        <v/>
      </c>
      <c r="AL3049" s="10" t="str">
        <f>IFERROR(VLOOKUP(B3049,'Pre-Summary'!$BG$6:$BL$44,3,FALSE),"")</f>
        <v/>
      </c>
      <c r="AM3049" s="10" t="str">
        <f>IFERROR(VLOOKUP(B3049,'Pre-Summary'!$BG$6:$BL$44,4,FALSE),"")</f>
        <v/>
      </c>
    </row>
    <row r="3050" spans="2:39" ht="15" customHeight="1" x14ac:dyDescent="0.3">
      <c r="B3050">
        <v>304.7</v>
      </c>
      <c r="C3050" t="str">
        <f>IFERROR(VLOOKUP(B3050,'Pre-Summary'!$DI$6:$DM$23,4,FALSE),"")</f>
        <v/>
      </c>
      <c r="D3050" s="10" t="str">
        <f>IFERROR(VLOOKUP(B3050,'Pre-Summary'!$AT$6:$AX$14,5,FALSE),D3049)</f>
        <v>Wolfe v3: went back to modified wolfe + EDTA and switched CuSO4 to CUCl2</v>
      </c>
      <c r="E3050" s="10" t="str">
        <f>IFERROR(VLOOKUP(B3050,'Pre-Summary'!$AT$6:$AX$15,4,FALSE),"")</f>
        <v/>
      </c>
      <c r="F3050">
        <f>IFERROR(VLOOKUP(B3050,'Pre-Summary'!$AL$6:$AQ$13,6,FALSE),F3049)</f>
        <v>5.9405263157894746E-2</v>
      </c>
      <c r="G3050" t="str">
        <f>IFERROR(VLOOKUP(B3050,'Pre-Summary'!$AE$6:$AJ$85,3,FALSE),"")</f>
        <v/>
      </c>
      <c r="H3050" t="str">
        <f>IFERROR(VLOOKUP(B3050,'Pre-Summary'!$AE$6:$AJ$85,4,FALSE),"")</f>
        <v/>
      </c>
      <c r="I3050" t="str">
        <f>IFERROR(VLOOKUP(B3050,'Pre-Summary'!$AE$6:$AJ$85,5,FALSE),"")</f>
        <v/>
      </c>
      <c r="J3050" s="45" t="str">
        <f>IFERROR(VLOOKUP(B3050,'Pre-Summary'!$AE$6:$AJ$85,6, FALSE),"")</f>
        <v/>
      </c>
      <c r="K3050" s="45" t="str">
        <f>IFERROR(VLOOKUP(B3050,'Pre-Summary'!$DE$6:$DG$61,3,FALSE),"")</f>
        <v/>
      </c>
      <c r="L3050" s="45" t="str">
        <f>IFERROR(VLOOKUP(B3050,'Pre-Summary'!$CU$6:$CW$36,3,FALSE),"")</f>
        <v/>
      </c>
      <c r="M3050" s="45" t="str">
        <f>IFERROR(VLOOKUP(B3050,'Pre-Summary'!$BW$6:$BY$58,2,FALSE),"")</f>
        <v/>
      </c>
      <c r="N3050" s="45" t="str">
        <f>IFERROR(VLOOKUP(B3050,'Pre-Summary'!$CD$6:$CF$64,2,FALSE),"")</f>
        <v/>
      </c>
      <c r="O3050" s="99">
        <f>IFERROR(VLOOKUP(B3050,'Pre-Summary'!$BO$6:$BQ$48,3, FALSE),O3049)</f>
        <v>3.3239999999999998</v>
      </c>
      <c r="P3050" s="99">
        <f>IFERROR(VLOOKUP(B3050,'Pre-Summary'!$BS$6:$BU$35,3,FALSE),P3049)</f>
        <v>0.84099999999999997</v>
      </c>
      <c r="Q3050" s="54">
        <f t="shared" si="141"/>
        <v>3.9524375743162903</v>
      </c>
      <c r="R3050" s="53">
        <f>IFERROR(VLOOKUP(B3050,'Pre-Summary'!$BG$6:$BM$44,7,FALSE),R3051)</f>
        <v>0</v>
      </c>
      <c r="S3050" s="53" t="e">
        <f>VLOOKUP(B3050,'Pre-Summary'!$BG$6:$BM$44,6,FALSE)</f>
        <v>#N/A</v>
      </c>
      <c r="T3050" s="45" t="str">
        <f>IFERROR(VLOOKUP(B3050,'Pre-Summary'!$Y$6:$AC$83, 3,FALSE),"")</f>
        <v/>
      </c>
      <c r="U3050" s="45" t="str">
        <f>IFERROR(VLOOKUP(B3050,'Pre-Summary'!$Y$6:$AC$83, 4,FALSE),"")</f>
        <v/>
      </c>
      <c r="V3050" t="str">
        <f>IFERROR(VLOOKUP(B3050,'Pre-Summary'!$Y$6:$AC$83, 5,FALSE),"")</f>
        <v/>
      </c>
      <c r="W3050" s="45" t="str">
        <f>IFERROR(VLOOKUP(B3050,'Pre-Summary'!$Y$6:$AD$83,6,FALSE),"")</f>
        <v/>
      </c>
      <c r="X3050" t="str">
        <f>IFERROR(VLOOKUP('Pre-Summary'!$DB$6:$DD$63,3,FALSE),"")</f>
        <v/>
      </c>
      <c r="Y3050" t="str">
        <f>IFERROR(VLOOKUP(B3050,'Pre-Summary'!$CR$6:$CT$36,3,FALSE),"")</f>
        <v/>
      </c>
      <c r="Z3050" s="45" t="str">
        <f>IFERROR(VLOOKUP(B3050,'Pre-Summary'!$BZ$6:$CB$63,2,FALSE),"")</f>
        <v/>
      </c>
      <c r="AA3050" s="45" t="str">
        <f>IFERROR(VLOOKUP(B3050,'Pre-Summary'!$CG$6:$CI$70,2,FALSE),"")</f>
        <v/>
      </c>
      <c r="AB3050" s="99">
        <f>IFERROR(VLOOKUP(B3050,'Pre-Summary'!$A$6:$P$178,9,FALSE),AB3051)</f>
        <v>1.2254632720101373</v>
      </c>
      <c r="AC3050" s="10">
        <f>IFERROR(VLOOKUP(Summary!B3050,'Pre-Summary'!$A$6:$P$184,5, FALSE)/100,AC3051)</f>
        <v>0.83185799999999999</v>
      </c>
      <c r="AD3050" s="10">
        <f>IFERROR(VLOOKUP(Summary!B3050,'Pre-Summary'!$A$6:$P$184,3, FALSE)/100,AD3051)</f>
        <v>0.13380733333333333</v>
      </c>
      <c r="AE3050" s="10">
        <f>IFERROR(VLOOKUP(Summary!B3050,'Pre-Summary'!$A$6:$P$184,7, FALSE)/100,AE3051)</f>
        <v>3.4334666666666666E-2</v>
      </c>
      <c r="AF3050" s="99">
        <f t="shared" si="142"/>
        <v>0.16397597252561777</v>
      </c>
      <c r="AG3050" s="99">
        <f t="shared" si="143"/>
        <v>4.2075872956710725E-2</v>
      </c>
      <c r="AH3050" s="10" t="str">
        <f>IFERROR(VLOOKUP(B3050,'Pre-Summary'!$AZ$6:$BE$65,3,FALSE),"")</f>
        <v/>
      </c>
      <c r="AI3050" s="10" t="str">
        <f>IFERROR(VLOOKUP(B3050,'Pre-Summary'!$AZ$6:$BE$65,5,FALSE),"")</f>
        <v/>
      </c>
      <c r="AJ3050" s="10" t="str">
        <f>IFERROR(VLOOKUP(B3050,'Pre-Summary'!$AZ$6:$BE$65,4,FALSE),"")</f>
        <v/>
      </c>
      <c r="AK3050" s="10" t="str">
        <f>IFERROR(VLOOKUP(B3050,'Pre-Summary'!$AZ$6:$BE$65,6,FALSE),"")</f>
        <v/>
      </c>
      <c r="AL3050" s="10" t="str">
        <f>IFERROR(VLOOKUP(B3050,'Pre-Summary'!$BG$6:$BL$44,3,FALSE),"")</f>
        <v/>
      </c>
      <c r="AM3050" s="10" t="str">
        <f>IFERROR(VLOOKUP(B3050,'Pre-Summary'!$BG$6:$BL$44,4,FALSE),"")</f>
        <v/>
      </c>
    </row>
    <row r="3051" spans="2:39" ht="15" customHeight="1" x14ac:dyDescent="0.3">
      <c r="B3051">
        <v>304.8</v>
      </c>
      <c r="C3051" t="str">
        <f>IFERROR(VLOOKUP(B3051,'Pre-Summary'!$DI$6:$DM$23,4,FALSE),"")</f>
        <v/>
      </c>
      <c r="D3051" s="10" t="str">
        <f>IFERROR(VLOOKUP(B3051,'Pre-Summary'!$AT$6:$AX$14,5,FALSE),D3050)</f>
        <v>Wolfe v3: went back to modified wolfe + EDTA and switched CuSO4 to CUCl2</v>
      </c>
      <c r="E3051" s="10" t="str">
        <f>IFERROR(VLOOKUP(B3051,'Pre-Summary'!$AT$6:$AX$15,4,FALSE),"")</f>
        <v/>
      </c>
      <c r="F3051">
        <f>IFERROR(VLOOKUP(B3051,'Pre-Summary'!$AL$6:$AQ$13,6,FALSE),F3050)</f>
        <v>5.9405263157894746E-2</v>
      </c>
      <c r="G3051" t="str">
        <f>IFERROR(VLOOKUP(B3051,'Pre-Summary'!$AE$6:$AJ$85,3,FALSE),"")</f>
        <v/>
      </c>
      <c r="H3051" t="str">
        <f>IFERROR(VLOOKUP(B3051,'Pre-Summary'!$AE$6:$AJ$85,4,FALSE),"")</f>
        <v/>
      </c>
      <c r="I3051" t="str">
        <f>IFERROR(VLOOKUP(B3051,'Pre-Summary'!$AE$6:$AJ$85,5,FALSE),"")</f>
        <v/>
      </c>
      <c r="J3051" s="45" t="str">
        <f>IFERROR(VLOOKUP(B3051,'Pre-Summary'!$AE$6:$AJ$85,6, FALSE),"")</f>
        <v/>
      </c>
      <c r="K3051" s="45" t="str">
        <f>IFERROR(VLOOKUP(B3051,'Pre-Summary'!$DE$6:$DG$61,3,FALSE),"")</f>
        <v/>
      </c>
      <c r="L3051" s="45" t="str">
        <f>IFERROR(VLOOKUP(B3051,'Pre-Summary'!$CU$6:$CW$36,3,FALSE),"")</f>
        <v/>
      </c>
      <c r="M3051" s="45" t="str">
        <f>IFERROR(VLOOKUP(B3051,'Pre-Summary'!$BW$6:$BY$58,2,FALSE),"")</f>
        <v/>
      </c>
      <c r="N3051" s="45" t="str">
        <f>IFERROR(VLOOKUP(B3051,'Pre-Summary'!$CD$6:$CF$64,2,FALSE),"")</f>
        <v/>
      </c>
      <c r="O3051" s="99">
        <f>IFERROR(VLOOKUP(B3051,'Pre-Summary'!$BO$6:$BQ$48,3, FALSE),O3050)</f>
        <v>3.3239999999999998</v>
      </c>
      <c r="P3051" s="99">
        <f>IFERROR(VLOOKUP(B3051,'Pre-Summary'!$BS$6:$BU$35,3,FALSE),P3050)</f>
        <v>0.84099999999999997</v>
      </c>
      <c r="Q3051" s="54">
        <f t="shared" si="141"/>
        <v>3.9524375743162903</v>
      </c>
      <c r="R3051" s="53">
        <f>IFERROR(VLOOKUP(B3051,'Pre-Summary'!$BG$6:$BM$44,7,FALSE),R3052)</f>
        <v>0</v>
      </c>
      <c r="S3051" s="53" t="e">
        <f>VLOOKUP(B3051,'Pre-Summary'!$BG$6:$BM$44,6,FALSE)</f>
        <v>#N/A</v>
      </c>
      <c r="T3051" s="45" t="str">
        <f>IFERROR(VLOOKUP(B3051,'Pre-Summary'!$Y$6:$AC$83, 3,FALSE),"")</f>
        <v/>
      </c>
      <c r="U3051" s="45" t="str">
        <f>IFERROR(VLOOKUP(B3051,'Pre-Summary'!$Y$6:$AC$83, 4,FALSE),"")</f>
        <v/>
      </c>
      <c r="V3051" t="str">
        <f>IFERROR(VLOOKUP(B3051,'Pre-Summary'!$Y$6:$AC$83, 5,FALSE),"")</f>
        <v/>
      </c>
      <c r="W3051" s="45" t="str">
        <f>IFERROR(VLOOKUP(B3051,'Pre-Summary'!$Y$6:$AD$83,6,FALSE),"")</f>
        <v/>
      </c>
      <c r="X3051" t="str">
        <f>IFERROR(VLOOKUP('Pre-Summary'!$DB$6:$DD$63,3,FALSE),"")</f>
        <v/>
      </c>
      <c r="Y3051" t="str">
        <f>IFERROR(VLOOKUP(B3051,'Pre-Summary'!$CR$6:$CT$36,3,FALSE),"")</f>
        <v/>
      </c>
      <c r="Z3051" s="45" t="str">
        <f>IFERROR(VLOOKUP(B3051,'Pre-Summary'!$BZ$6:$CB$63,2,FALSE),"")</f>
        <v/>
      </c>
      <c r="AA3051" s="45" t="str">
        <f>IFERROR(VLOOKUP(B3051,'Pre-Summary'!$CG$6:$CI$70,2,FALSE),"")</f>
        <v/>
      </c>
      <c r="AB3051" s="99">
        <f>IFERROR(VLOOKUP(B3051,'Pre-Summary'!$A$6:$P$178,9,FALSE),AB3052)</f>
        <v>1.2254632720101373</v>
      </c>
      <c r="AC3051" s="10">
        <f>IFERROR(VLOOKUP(Summary!B3051,'Pre-Summary'!$A$6:$P$184,5, FALSE)/100,AC3052)</f>
        <v>0.83185799999999999</v>
      </c>
      <c r="AD3051" s="10">
        <f>IFERROR(VLOOKUP(Summary!B3051,'Pre-Summary'!$A$6:$P$184,3, FALSE)/100,AD3052)</f>
        <v>0.13380733333333333</v>
      </c>
      <c r="AE3051" s="10">
        <f>IFERROR(VLOOKUP(Summary!B3051,'Pre-Summary'!$A$6:$P$184,7, FALSE)/100,AE3052)</f>
        <v>3.4334666666666666E-2</v>
      </c>
      <c r="AF3051" s="99">
        <f t="shared" si="142"/>
        <v>0.16397597252561777</v>
      </c>
      <c r="AG3051" s="99">
        <f t="shared" si="143"/>
        <v>4.2075872956710725E-2</v>
      </c>
      <c r="AH3051" s="10" t="str">
        <f>IFERROR(VLOOKUP(B3051,'Pre-Summary'!$AZ$6:$BE$65,3,FALSE),"")</f>
        <v/>
      </c>
      <c r="AI3051" s="10" t="str">
        <f>IFERROR(VLOOKUP(B3051,'Pre-Summary'!$AZ$6:$BE$65,5,FALSE),"")</f>
        <v/>
      </c>
      <c r="AJ3051" s="10" t="str">
        <f>IFERROR(VLOOKUP(B3051,'Pre-Summary'!$AZ$6:$BE$65,4,FALSE),"")</f>
        <v/>
      </c>
      <c r="AK3051" s="10" t="str">
        <f>IFERROR(VLOOKUP(B3051,'Pre-Summary'!$AZ$6:$BE$65,6,FALSE),"")</f>
        <v/>
      </c>
      <c r="AL3051" s="10" t="str">
        <f>IFERROR(VLOOKUP(B3051,'Pre-Summary'!$BG$6:$BL$44,3,FALSE),"")</f>
        <v/>
      </c>
      <c r="AM3051" s="10" t="str">
        <f>IFERROR(VLOOKUP(B3051,'Pre-Summary'!$BG$6:$BL$44,4,FALSE),"")</f>
        <v/>
      </c>
    </row>
    <row r="3052" spans="2:39" ht="15" customHeight="1" x14ac:dyDescent="0.3">
      <c r="B3052">
        <v>304.89999999999998</v>
      </c>
      <c r="C3052" t="str">
        <f>IFERROR(VLOOKUP(B3052,'Pre-Summary'!$DI$6:$DM$23,4,FALSE),"")</f>
        <v/>
      </c>
      <c r="D3052" s="10" t="str">
        <f>IFERROR(VLOOKUP(B3052,'Pre-Summary'!$AT$6:$AX$14,5,FALSE),D3051)</f>
        <v>Wolfe v3: went back to modified wolfe + EDTA and switched CuSO4 to CUCl2</v>
      </c>
      <c r="E3052" s="10" t="str">
        <f>IFERROR(VLOOKUP(B3052,'Pre-Summary'!$AT$6:$AX$15,4,FALSE),"")</f>
        <v/>
      </c>
      <c r="F3052">
        <f>IFERROR(VLOOKUP(B3052,'Pre-Summary'!$AL$6:$AQ$13,6,FALSE),F3051)</f>
        <v>5.9405263157894746E-2</v>
      </c>
      <c r="G3052" t="str">
        <f>IFERROR(VLOOKUP(B3052,'Pre-Summary'!$AE$6:$AJ$85,3,FALSE),"")</f>
        <v/>
      </c>
      <c r="H3052" t="str">
        <f>IFERROR(VLOOKUP(B3052,'Pre-Summary'!$AE$6:$AJ$85,4,FALSE),"")</f>
        <v/>
      </c>
      <c r="I3052" t="str">
        <f>IFERROR(VLOOKUP(B3052,'Pre-Summary'!$AE$6:$AJ$85,5,FALSE),"")</f>
        <v/>
      </c>
      <c r="J3052" s="45" t="str">
        <f>IFERROR(VLOOKUP(B3052,'Pre-Summary'!$AE$6:$AJ$85,6, FALSE),"")</f>
        <v/>
      </c>
      <c r="K3052" s="45" t="str">
        <f>IFERROR(VLOOKUP(B3052,'Pre-Summary'!$DE$6:$DG$61,3,FALSE),"")</f>
        <v/>
      </c>
      <c r="L3052" s="45" t="str">
        <f>IFERROR(VLOOKUP(B3052,'Pre-Summary'!$CU$6:$CW$36,3,FALSE),"")</f>
        <v/>
      </c>
      <c r="M3052" s="45" t="str">
        <f>IFERROR(VLOOKUP(B3052,'Pre-Summary'!$BW$6:$BY$58,2,FALSE),"")</f>
        <v/>
      </c>
      <c r="N3052" s="45" t="str">
        <f>IFERROR(VLOOKUP(B3052,'Pre-Summary'!$CD$6:$CF$64,2,FALSE),"")</f>
        <v/>
      </c>
      <c r="O3052" s="99">
        <f>IFERROR(VLOOKUP(B3052,'Pre-Summary'!$BO$6:$BQ$48,3, FALSE),O3051)</f>
        <v>3.3239999999999998</v>
      </c>
      <c r="P3052" s="99">
        <f>IFERROR(VLOOKUP(B3052,'Pre-Summary'!$BS$6:$BU$35,3,FALSE),P3051)</f>
        <v>0.84099999999999997</v>
      </c>
      <c r="Q3052" s="54">
        <f t="shared" si="141"/>
        <v>3.9524375743162903</v>
      </c>
      <c r="R3052" s="53">
        <f>IFERROR(VLOOKUP(B3052,'Pre-Summary'!$BG$6:$BM$44,7,FALSE),R3053)</f>
        <v>0</v>
      </c>
      <c r="S3052" s="53" t="e">
        <f>VLOOKUP(B3052,'Pre-Summary'!$BG$6:$BM$44,6,FALSE)</f>
        <v>#N/A</v>
      </c>
      <c r="T3052" s="45" t="str">
        <f>IFERROR(VLOOKUP(B3052,'Pre-Summary'!$Y$6:$AC$83, 3,FALSE),"")</f>
        <v/>
      </c>
      <c r="U3052" s="45" t="str">
        <f>IFERROR(VLOOKUP(B3052,'Pre-Summary'!$Y$6:$AC$83, 4,FALSE),"")</f>
        <v/>
      </c>
      <c r="V3052" t="str">
        <f>IFERROR(VLOOKUP(B3052,'Pre-Summary'!$Y$6:$AC$83, 5,FALSE),"")</f>
        <v/>
      </c>
      <c r="W3052" s="45" t="str">
        <f>IFERROR(VLOOKUP(B3052,'Pre-Summary'!$Y$6:$AD$83,6,FALSE),"")</f>
        <v/>
      </c>
      <c r="X3052" t="str">
        <f>IFERROR(VLOOKUP('Pre-Summary'!$DB$6:$DD$63,3,FALSE),"")</f>
        <v/>
      </c>
      <c r="Y3052" t="str">
        <f>IFERROR(VLOOKUP(B3052,'Pre-Summary'!$CR$6:$CT$36,3,FALSE),"")</f>
        <v/>
      </c>
      <c r="Z3052" s="45" t="str">
        <f>IFERROR(VLOOKUP(B3052,'Pre-Summary'!$BZ$6:$CB$63,2,FALSE),"")</f>
        <v/>
      </c>
      <c r="AA3052" s="45" t="str">
        <f>IFERROR(VLOOKUP(B3052,'Pre-Summary'!$CG$6:$CI$70,2,FALSE),"")</f>
        <v/>
      </c>
      <c r="AB3052" s="99">
        <f>IFERROR(VLOOKUP(B3052,'Pre-Summary'!$A$6:$P$178,9,FALSE),AB3053)</f>
        <v>1.2254632720101373</v>
      </c>
      <c r="AC3052" s="10">
        <f>IFERROR(VLOOKUP(Summary!B3052,'Pre-Summary'!$A$6:$P$184,5, FALSE)/100,AC3053)</f>
        <v>0.83185799999999999</v>
      </c>
      <c r="AD3052" s="10">
        <f>IFERROR(VLOOKUP(Summary!B3052,'Pre-Summary'!$A$6:$P$184,3, FALSE)/100,AD3053)</f>
        <v>0.13380733333333333</v>
      </c>
      <c r="AE3052" s="10">
        <f>IFERROR(VLOOKUP(Summary!B3052,'Pre-Summary'!$A$6:$P$184,7, FALSE)/100,AE3053)</f>
        <v>3.4334666666666666E-2</v>
      </c>
      <c r="AF3052" s="99">
        <f t="shared" si="142"/>
        <v>0.16397597252561777</v>
      </c>
      <c r="AG3052" s="99">
        <f t="shared" si="143"/>
        <v>4.2075872956710725E-2</v>
      </c>
      <c r="AH3052" s="10" t="str">
        <f>IFERROR(VLOOKUP(B3052,'Pre-Summary'!$AZ$6:$BE$65,3,FALSE),"")</f>
        <v/>
      </c>
      <c r="AI3052" s="10" t="str">
        <f>IFERROR(VLOOKUP(B3052,'Pre-Summary'!$AZ$6:$BE$65,5,FALSE),"")</f>
        <v/>
      </c>
      <c r="AJ3052" s="10" t="str">
        <f>IFERROR(VLOOKUP(B3052,'Pre-Summary'!$AZ$6:$BE$65,4,FALSE),"")</f>
        <v/>
      </c>
      <c r="AK3052" s="10" t="str">
        <f>IFERROR(VLOOKUP(B3052,'Pre-Summary'!$AZ$6:$BE$65,6,FALSE),"")</f>
        <v/>
      </c>
      <c r="AL3052" s="10" t="str">
        <f>IFERROR(VLOOKUP(B3052,'Pre-Summary'!$BG$6:$BL$44,3,FALSE),"")</f>
        <v/>
      </c>
      <c r="AM3052" s="10" t="str">
        <f>IFERROR(VLOOKUP(B3052,'Pre-Summary'!$BG$6:$BL$44,4,FALSE),"")</f>
        <v/>
      </c>
    </row>
    <row r="3053" spans="2:39" ht="15" customHeight="1" x14ac:dyDescent="0.3">
      <c r="B3053">
        <v>305</v>
      </c>
      <c r="C3053" t="str">
        <f>IFERROR(VLOOKUP(B3053,'Pre-Summary'!$DI$6:$DM$23,4,FALSE),"")</f>
        <v/>
      </c>
      <c r="D3053" s="10" t="str">
        <f>IFERROR(VLOOKUP(B3053,'Pre-Summary'!$AT$6:$AX$14,5,FALSE),D3052)</f>
        <v>Wolfe v3: went back to modified wolfe + EDTA and switched CuSO4 to CUCl2</v>
      </c>
      <c r="E3053" s="10" t="str">
        <f>IFERROR(VLOOKUP(B3053,'Pre-Summary'!$AT$6:$AX$15,4,FALSE),"")</f>
        <v/>
      </c>
      <c r="F3053">
        <f>IFERROR(VLOOKUP(B3053,'Pre-Summary'!$AL$6:$AQ$13,6,FALSE),F3052)</f>
        <v>5.9405263157894746E-2</v>
      </c>
      <c r="G3053" t="str">
        <f>IFERROR(VLOOKUP(B3053,'Pre-Summary'!$AE$6:$AJ$85,3,FALSE),"")</f>
        <v/>
      </c>
      <c r="H3053" t="str">
        <f>IFERROR(VLOOKUP(B3053,'Pre-Summary'!$AE$6:$AJ$85,4,FALSE),"")</f>
        <v/>
      </c>
      <c r="I3053" t="str">
        <f>IFERROR(VLOOKUP(B3053,'Pre-Summary'!$AE$6:$AJ$85,5,FALSE),"")</f>
        <v/>
      </c>
      <c r="J3053" s="45" t="str">
        <f>IFERROR(VLOOKUP(B3053,'Pre-Summary'!$AE$6:$AJ$85,6, FALSE),"")</f>
        <v/>
      </c>
      <c r="K3053" s="45" t="str">
        <f>IFERROR(VLOOKUP(B3053,'Pre-Summary'!$DE$6:$DG$61,3,FALSE),"")</f>
        <v/>
      </c>
      <c r="L3053" s="45" t="str">
        <f>IFERROR(VLOOKUP(B3053,'Pre-Summary'!$CU$6:$CW$36,3,FALSE),"")</f>
        <v/>
      </c>
      <c r="M3053" s="45" t="str">
        <f>IFERROR(VLOOKUP(B3053,'Pre-Summary'!$BW$6:$BY$58,2,FALSE),"")</f>
        <v/>
      </c>
      <c r="N3053" s="45" t="str">
        <f>IFERROR(VLOOKUP(B3053,'Pre-Summary'!$CD$6:$CF$64,2,FALSE),"")</f>
        <v/>
      </c>
      <c r="O3053" s="99">
        <f>IFERROR(VLOOKUP(B3053,'Pre-Summary'!$BO$6:$BQ$48,3, FALSE),O3052)</f>
        <v>3.3239999999999998</v>
      </c>
      <c r="P3053" s="99">
        <f>IFERROR(VLOOKUP(B3053,'Pre-Summary'!$BS$6:$BU$35,3,FALSE),P3052)</f>
        <v>0.84099999999999997</v>
      </c>
      <c r="Q3053" s="54">
        <f t="shared" si="141"/>
        <v>3.9524375743162903</v>
      </c>
      <c r="R3053" s="53">
        <f>IFERROR(VLOOKUP(B3053,'Pre-Summary'!$BG$6:$BM$44,7,FALSE),R3054)</f>
        <v>0</v>
      </c>
      <c r="S3053" s="53" t="e">
        <f>VLOOKUP(B3053,'Pre-Summary'!$BG$6:$BM$44,6,FALSE)</f>
        <v>#N/A</v>
      </c>
      <c r="T3053" s="45" t="str">
        <f>IFERROR(VLOOKUP(B3053,'Pre-Summary'!$Y$6:$AC$83, 3,FALSE),"")</f>
        <v/>
      </c>
      <c r="U3053" s="45" t="str">
        <f>IFERROR(VLOOKUP(B3053,'Pre-Summary'!$Y$6:$AC$83, 4,FALSE),"")</f>
        <v/>
      </c>
      <c r="V3053" t="str">
        <f>IFERROR(VLOOKUP(B3053,'Pre-Summary'!$Y$6:$AC$83, 5,FALSE),"")</f>
        <v/>
      </c>
      <c r="W3053" s="45" t="str">
        <f>IFERROR(VLOOKUP(B3053,'Pre-Summary'!$Y$6:$AD$83,6,FALSE),"")</f>
        <v/>
      </c>
      <c r="X3053" t="str">
        <f>IFERROR(VLOOKUP('Pre-Summary'!$DB$6:$DD$63,3,FALSE),"")</f>
        <v/>
      </c>
      <c r="Y3053" t="str">
        <f>IFERROR(VLOOKUP(B3053,'Pre-Summary'!$CR$6:$CT$36,3,FALSE),"")</f>
        <v/>
      </c>
      <c r="Z3053" s="45" t="str">
        <f>IFERROR(VLOOKUP(B3053,'Pre-Summary'!$BZ$6:$CB$63,2,FALSE),"")</f>
        <v/>
      </c>
      <c r="AA3053" s="45" t="str">
        <f>IFERROR(VLOOKUP(B3053,'Pre-Summary'!$CG$6:$CI$70,2,FALSE),"")</f>
        <v/>
      </c>
      <c r="AB3053" s="99">
        <f>IFERROR(VLOOKUP(B3053,'Pre-Summary'!$A$6:$P$178,9,FALSE),AB3054)</f>
        <v>1.2254632720101373</v>
      </c>
      <c r="AC3053" s="10">
        <f>IFERROR(VLOOKUP(Summary!B3053,'Pre-Summary'!$A$6:$P$184,5, FALSE)/100,AC3054)</f>
        <v>0.83185799999999999</v>
      </c>
      <c r="AD3053" s="10">
        <f>IFERROR(VLOOKUP(Summary!B3053,'Pre-Summary'!$A$6:$P$184,3, FALSE)/100,AD3054)</f>
        <v>0.13380733333333333</v>
      </c>
      <c r="AE3053" s="10">
        <f>IFERROR(VLOOKUP(Summary!B3053,'Pre-Summary'!$A$6:$P$184,7, FALSE)/100,AE3054)</f>
        <v>3.4334666666666666E-2</v>
      </c>
      <c r="AF3053" s="99">
        <f t="shared" si="142"/>
        <v>0.16397597252561777</v>
      </c>
      <c r="AG3053" s="99">
        <f t="shared" si="143"/>
        <v>4.2075872956710725E-2</v>
      </c>
      <c r="AH3053" s="10" t="str">
        <f>IFERROR(VLOOKUP(B3053,'Pre-Summary'!$AZ$6:$BE$65,3,FALSE),"")</f>
        <v/>
      </c>
      <c r="AI3053" s="10" t="str">
        <f>IFERROR(VLOOKUP(B3053,'Pre-Summary'!$AZ$6:$BE$65,5,FALSE),"")</f>
        <v/>
      </c>
      <c r="AJ3053" s="10" t="str">
        <f>IFERROR(VLOOKUP(B3053,'Pre-Summary'!$AZ$6:$BE$65,4,FALSE),"")</f>
        <v/>
      </c>
      <c r="AK3053" s="10" t="str">
        <f>IFERROR(VLOOKUP(B3053,'Pre-Summary'!$AZ$6:$BE$65,6,FALSE),"")</f>
        <v/>
      </c>
      <c r="AL3053" s="10" t="str">
        <f>IFERROR(VLOOKUP(B3053,'Pre-Summary'!$BG$6:$BL$44,3,FALSE),"")</f>
        <v/>
      </c>
      <c r="AM3053" s="10" t="str">
        <f>IFERROR(VLOOKUP(B3053,'Pre-Summary'!$BG$6:$BL$44,4,FALSE),"")</f>
        <v/>
      </c>
    </row>
    <row r="3054" spans="2:39" ht="15" customHeight="1" x14ac:dyDescent="0.3">
      <c r="B3054">
        <v>305.10000000000002</v>
      </c>
      <c r="C3054" t="str">
        <f>IFERROR(VLOOKUP(B3054,'Pre-Summary'!$DI$6:$DM$23,4,FALSE),"")</f>
        <v/>
      </c>
      <c r="D3054" s="10" t="str">
        <f>IFERROR(VLOOKUP(B3054,'Pre-Summary'!$AT$6:$AX$14,5,FALSE),D3053)</f>
        <v>Wolfe v3: went back to modified wolfe + EDTA and switched CuSO4 to CUCl2</v>
      </c>
      <c r="E3054" s="10" t="str">
        <f>IFERROR(VLOOKUP(B3054,'Pre-Summary'!$AT$6:$AX$15,4,FALSE),"")</f>
        <v/>
      </c>
      <c r="F3054">
        <f>IFERROR(VLOOKUP(B3054,'Pre-Summary'!$AL$6:$AQ$13,6,FALSE),F3053)</f>
        <v>5.9405263157894746E-2</v>
      </c>
      <c r="G3054" t="str">
        <f>IFERROR(VLOOKUP(B3054,'Pre-Summary'!$AE$6:$AJ$85,3,FALSE),"")</f>
        <v/>
      </c>
      <c r="H3054" t="str">
        <f>IFERROR(VLOOKUP(B3054,'Pre-Summary'!$AE$6:$AJ$85,4,FALSE),"")</f>
        <v/>
      </c>
      <c r="I3054" t="str">
        <f>IFERROR(VLOOKUP(B3054,'Pre-Summary'!$AE$6:$AJ$85,5,FALSE),"")</f>
        <v/>
      </c>
      <c r="J3054" s="45" t="str">
        <f>IFERROR(VLOOKUP(B3054,'Pre-Summary'!$AE$6:$AJ$85,6, FALSE),"")</f>
        <v/>
      </c>
      <c r="K3054" s="45" t="str">
        <f>IFERROR(VLOOKUP(B3054,'Pre-Summary'!$DE$6:$DG$61,3,FALSE),"")</f>
        <v/>
      </c>
      <c r="L3054" s="45" t="str">
        <f>IFERROR(VLOOKUP(B3054,'Pre-Summary'!$CU$6:$CW$36,3,FALSE),"")</f>
        <v/>
      </c>
      <c r="M3054" s="45" t="str">
        <f>IFERROR(VLOOKUP(B3054,'Pre-Summary'!$BW$6:$BY$58,2,FALSE),"")</f>
        <v/>
      </c>
      <c r="N3054" s="45" t="str">
        <f>IFERROR(VLOOKUP(B3054,'Pre-Summary'!$CD$6:$CF$64,2,FALSE),"")</f>
        <v/>
      </c>
      <c r="O3054" s="99">
        <f>IFERROR(VLOOKUP(B3054,'Pre-Summary'!$BO$6:$BQ$48,3, FALSE),O3053)</f>
        <v>3.3239999999999998</v>
      </c>
      <c r="P3054" s="99">
        <f>IFERROR(VLOOKUP(B3054,'Pre-Summary'!$BS$6:$BU$35,3,FALSE),P3053)</f>
        <v>0.84099999999999997</v>
      </c>
      <c r="Q3054" s="54">
        <f t="shared" si="141"/>
        <v>3.9524375743162903</v>
      </c>
      <c r="R3054" s="53">
        <f>IFERROR(VLOOKUP(B3054,'Pre-Summary'!$BG$6:$BM$44,7,FALSE),R3055)</f>
        <v>0</v>
      </c>
      <c r="S3054" s="53" t="e">
        <f>VLOOKUP(B3054,'Pre-Summary'!$BG$6:$BM$44,6,FALSE)</f>
        <v>#N/A</v>
      </c>
      <c r="T3054" s="45" t="str">
        <f>IFERROR(VLOOKUP(B3054,'Pre-Summary'!$Y$6:$AC$83, 3,FALSE),"")</f>
        <v/>
      </c>
      <c r="U3054" s="45" t="str">
        <f>IFERROR(VLOOKUP(B3054,'Pre-Summary'!$Y$6:$AC$83, 4,FALSE),"")</f>
        <v/>
      </c>
      <c r="V3054" t="str">
        <f>IFERROR(VLOOKUP(B3054,'Pre-Summary'!$Y$6:$AC$83, 5,FALSE),"")</f>
        <v/>
      </c>
      <c r="W3054" s="45" t="str">
        <f>IFERROR(VLOOKUP(B3054,'Pre-Summary'!$Y$6:$AD$83,6,FALSE),"")</f>
        <v/>
      </c>
      <c r="X3054" t="str">
        <f>IFERROR(VLOOKUP('Pre-Summary'!$DB$6:$DD$63,3,FALSE),"")</f>
        <v/>
      </c>
      <c r="Y3054" t="str">
        <f>IFERROR(VLOOKUP(B3054,'Pre-Summary'!$CR$6:$CT$36,3,FALSE),"")</f>
        <v/>
      </c>
      <c r="Z3054" s="45" t="str">
        <f>IFERROR(VLOOKUP(B3054,'Pre-Summary'!$BZ$6:$CB$63,2,FALSE),"")</f>
        <v/>
      </c>
      <c r="AA3054" s="45" t="str">
        <f>IFERROR(VLOOKUP(B3054,'Pre-Summary'!$CG$6:$CI$70,2,FALSE),"")</f>
        <v/>
      </c>
      <c r="AB3054" s="99">
        <f>IFERROR(VLOOKUP(B3054,'Pre-Summary'!$A$6:$P$178,9,FALSE),AB3055)</f>
        <v>1.2254632720101373</v>
      </c>
      <c r="AC3054" s="10">
        <f>IFERROR(VLOOKUP(Summary!B3054,'Pre-Summary'!$A$6:$P$184,5, FALSE)/100,AC3055)</f>
        <v>0.83185799999999999</v>
      </c>
      <c r="AD3054" s="10">
        <f>IFERROR(VLOOKUP(Summary!B3054,'Pre-Summary'!$A$6:$P$184,3, FALSE)/100,AD3055)</f>
        <v>0.13380733333333333</v>
      </c>
      <c r="AE3054" s="10">
        <f>IFERROR(VLOOKUP(Summary!B3054,'Pre-Summary'!$A$6:$P$184,7, FALSE)/100,AE3055)</f>
        <v>3.4334666666666666E-2</v>
      </c>
      <c r="AF3054" s="99">
        <f t="shared" si="142"/>
        <v>0.16397597252561777</v>
      </c>
      <c r="AG3054" s="99">
        <f t="shared" si="143"/>
        <v>4.2075872956710725E-2</v>
      </c>
      <c r="AH3054" s="10" t="str">
        <f>IFERROR(VLOOKUP(B3054,'Pre-Summary'!$AZ$6:$BE$65,3,FALSE),"")</f>
        <v/>
      </c>
      <c r="AI3054" s="10" t="str">
        <f>IFERROR(VLOOKUP(B3054,'Pre-Summary'!$AZ$6:$BE$65,5,FALSE),"")</f>
        <v/>
      </c>
      <c r="AJ3054" s="10" t="str">
        <f>IFERROR(VLOOKUP(B3054,'Pre-Summary'!$AZ$6:$BE$65,4,FALSE),"")</f>
        <v/>
      </c>
      <c r="AK3054" s="10" t="str">
        <f>IFERROR(VLOOKUP(B3054,'Pre-Summary'!$AZ$6:$BE$65,6,FALSE),"")</f>
        <v/>
      </c>
      <c r="AL3054" s="10" t="str">
        <f>IFERROR(VLOOKUP(B3054,'Pre-Summary'!$BG$6:$BL$44,3,FALSE),"")</f>
        <v/>
      </c>
      <c r="AM3054" s="10" t="str">
        <f>IFERROR(VLOOKUP(B3054,'Pre-Summary'!$BG$6:$BL$44,4,FALSE),"")</f>
        <v/>
      </c>
    </row>
    <row r="3055" spans="2:39" ht="15" customHeight="1" x14ac:dyDescent="0.3">
      <c r="B3055">
        <v>305.2</v>
      </c>
      <c r="C3055" t="str">
        <f>IFERROR(VLOOKUP(B3055,'Pre-Summary'!$DI$6:$DM$23,4,FALSE),"")</f>
        <v/>
      </c>
      <c r="D3055" s="10" t="str">
        <f>IFERROR(VLOOKUP(B3055,'Pre-Summary'!$AT$6:$AX$14,5,FALSE),D3054)</f>
        <v>Wolfe v3: went back to modified wolfe + EDTA and switched CuSO4 to CUCl2</v>
      </c>
      <c r="E3055" s="10" t="str">
        <f>IFERROR(VLOOKUP(B3055,'Pre-Summary'!$AT$6:$AX$15,4,FALSE),"")</f>
        <v/>
      </c>
      <c r="F3055">
        <f>IFERROR(VLOOKUP(B3055,'Pre-Summary'!$AL$6:$AQ$13,6,FALSE),F3054)</f>
        <v>5.9405263157894746E-2</v>
      </c>
      <c r="G3055" t="str">
        <f>IFERROR(VLOOKUP(B3055,'Pre-Summary'!$AE$6:$AJ$85,3,FALSE),"")</f>
        <v/>
      </c>
      <c r="H3055" t="str">
        <f>IFERROR(VLOOKUP(B3055,'Pre-Summary'!$AE$6:$AJ$85,4,FALSE),"")</f>
        <v/>
      </c>
      <c r="I3055" t="str">
        <f>IFERROR(VLOOKUP(B3055,'Pre-Summary'!$AE$6:$AJ$85,5,FALSE),"")</f>
        <v/>
      </c>
      <c r="J3055" s="45" t="str">
        <f>IFERROR(VLOOKUP(B3055,'Pre-Summary'!$AE$6:$AJ$85,6, FALSE),"")</f>
        <v/>
      </c>
      <c r="K3055" s="45" t="str">
        <f>IFERROR(VLOOKUP(B3055,'Pre-Summary'!$DE$6:$DG$61,3,FALSE),"")</f>
        <v/>
      </c>
      <c r="L3055" s="45" t="str">
        <f>IFERROR(VLOOKUP(B3055,'Pre-Summary'!$CU$6:$CW$36,3,FALSE),"")</f>
        <v/>
      </c>
      <c r="M3055" s="45" t="str">
        <f>IFERROR(VLOOKUP(B3055,'Pre-Summary'!$BW$6:$BY$58,2,FALSE),"")</f>
        <v/>
      </c>
      <c r="N3055" s="45" t="str">
        <f>IFERROR(VLOOKUP(B3055,'Pre-Summary'!$CD$6:$CF$64,2,FALSE),"")</f>
        <v/>
      </c>
      <c r="O3055" s="99">
        <f>IFERROR(VLOOKUP(B3055,'Pre-Summary'!$BO$6:$BQ$48,3, FALSE),O3054)</f>
        <v>3.3239999999999998</v>
      </c>
      <c r="P3055" s="99">
        <f>IFERROR(VLOOKUP(B3055,'Pre-Summary'!$BS$6:$BU$35,3,FALSE),P3054)</f>
        <v>0.84099999999999997</v>
      </c>
      <c r="Q3055" s="54">
        <f t="shared" si="141"/>
        <v>3.9524375743162903</v>
      </c>
      <c r="R3055" s="53">
        <f>IFERROR(VLOOKUP(B3055,'Pre-Summary'!$BG$6:$BM$44,7,FALSE),R3056)</f>
        <v>0</v>
      </c>
      <c r="S3055" s="53" t="e">
        <f>VLOOKUP(B3055,'Pre-Summary'!$BG$6:$BM$44,6,FALSE)</f>
        <v>#N/A</v>
      </c>
      <c r="T3055" s="45" t="str">
        <f>IFERROR(VLOOKUP(B3055,'Pre-Summary'!$Y$6:$AC$83, 3,FALSE),"")</f>
        <v/>
      </c>
      <c r="U3055" s="45" t="str">
        <f>IFERROR(VLOOKUP(B3055,'Pre-Summary'!$Y$6:$AC$83, 4,FALSE),"")</f>
        <v/>
      </c>
      <c r="V3055" t="str">
        <f>IFERROR(VLOOKUP(B3055,'Pre-Summary'!$Y$6:$AC$83, 5,FALSE),"")</f>
        <v/>
      </c>
      <c r="W3055" s="45" t="str">
        <f>IFERROR(VLOOKUP(B3055,'Pre-Summary'!$Y$6:$AD$83,6,FALSE),"")</f>
        <v/>
      </c>
      <c r="X3055" t="str">
        <f>IFERROR(VLOOKUP('Pre-Summary'!$DB$6:$DD$63,3,FALSE),"")</f>
        <v/>
      </c>
      <c r="Y3055" t="str">
        <f>IFERROR(VLOOKUP(B3055,'Pre-Summary'!$CR$6:$CT$36,3,FALSE),"")</f>
        <v/>
      </c>
      <c r="Z3055" s="45" t="str">
        <f>IFERROR(VLOOKUP(B3055,'Pre-Summary'!$BZ$6:$CB$63,2,FALSE),"")</f>
        <v/>
      </c>
      <c r="AA3055" s="45" t="str">
        <f>IFERROR(VLOOKUP(B3055,'Pre-Summary'!$CG$6:$CI$70,2,FALSE),"")</f>
        <v/>
      </c>
      <c r="AB3055" s="99">
        <f>IFERROR(VLOOKUP(B3055,'Pre-Summary'!$A$6:$P$178,9,FALSE),AB3056)</f>
        <v>1.2254632720101373</v>
      </c>
      <c r="AC3055" s="10">
        <f>IFERROR(VLOOKUP(Summary!B3055,'Pre-Summary'!$A$6:$P$184,5, FALSE)/100,AC3056)</f>
        <v>0.83185799999999999</v>
      </c>
      <c r="AD3055" s="10">
        <f>IFERROR(VLOOKUP(Summary!B3055,'Pre-Summary'!$A$6:$P$184,3, FALSE)/100,AD3056)</f>
        <v>0.13380733333333333</v>
      </c>
      <c r="AE3055" s="10">
        <f>IFERROR(VLOOKUP(Summary!B3055,'Pre-Summary'!$A$6:$P$184,7, FALSE)/100,AE3056)</f>
        <v>3.4334666666666666E-2</v>
      </c>
      <c r="AF3055" s="99">
        <f t="shared" si="142"/>
        <v>0.16397597252561777</v>
      </c>
      <c r="AG3055" s="99">
        <f t="shared" si="143"/>
        <v>4.2075872956710725E-2</v>
      </c>
      <c r="AH3055" s="10" t="str">
        <f>IFERROR(VLOOKUP(B3055,'Pre-Summary'!$AZ$6:$BE$65,3,FALSE),"")</f>
        <v/>
      </c>
      <c r="AI3055" s="10" t="str">
        <f>IFERROR(VLOOKUP(B3055,'Pre-Summary'!$AZ$6:$BE$65,5,FALSE),"")</f>
        <v/>
      </c>
      <c r="AJ3055" s="10" t="str">
        <f>IFERROR(VLOOKUP(B3055,'Pre-Summary'!$AZ$6:$BE$65,4,FALSE),"")</f>
        <v/>
      </c>
      <c r="AK3055" s="10" t="str">
        <f>IFERROR(VLOOKUP(B3055,'Pre-Summary'!$AZ$6:$BE$65,6,FALSE),"")</f>
        <v/>
      </c>
      <c r="AL3055" s="10" t="str">
        <f>IFERROR(VLOOKUP(B3055,'Pre-Summary'!$BG$6:$BL$44,3,FALSE),"")</f>
        <v/>
      </c>
      <c r="AM3055" s="10" t="str">
        <f>IFERROR(VLOOKUP(B3055,'Pre-Summary'!$BG$6:$BL$44,4,FALSE),"")</f>
        <v/>
      </c>
    </row>
    <row r="3056" spans="2:39" ht="15" customHeight="1" x14ac:dyDescent="0.3">
      <c r="B3056">
        <v>305.3</v>
      </c>
      <c r="C3056" t="str">
        <f>IFERROR(VLOOKUP(B3056,'Pre-Summary'!$DI$6:$DM$23,4,FALSE),"")</f>
        <v/>
      </c>
      <c r="D3056" s="10" t="str">
        <f>IFERROR(VLOOKUP(B3056,'Pre-Summary'!$AT$6:$AX$14,5,FALSE),D3055)</f>
        <v>Wolfe v3: went back to modified wolfe + EDTA and switched CuSO4 to CUCl2</v>
      </c>
      <c r="E3056" s="10" t="str">
        <f>IFERROR(VLOOKUP(B3056,'Pre-Summary'!$AT$6:$AX$15,4,FALSE),"")</f>
        <v/>
      </c>
      <c r="F3056">
        <f>IFERROR(VLOOKUP(B3056,'Pre-Summary'!$AL$6:$AQ$13,6,FALSE),F3055)</f>
        <v>5.9405263157894746E-2</v>
      </c>
      <c r="G3056" t="str">
        <f>IFERROR(VLOOKUP(B3056,'Pre-Summary'!$AE$6:$AJ$85,3,FALSE),"")</f>
        <v/>
      </c>
      <c r="H3056" t="str">
        <f>IFERROR(VLOOKUP(B3056,'Pre-Summary'!$AE$6:$AJ$85,4,FALSE),"")</f>
        <v/>
      </c>
      <c r="I3056" t="str">
        <f>IFERROR(VLOOKUP(B3056,'Pre-Summary'!$AE$6:$AJ$85,5,FALSE),"")</f>
        <v/>
      </c>
      <c r="J3056" s="45" t="str">
        <f>IFERROR(VLOOKUP(B3056,'Pre-Summary'!$AE$6:$AJ$85,6, FALSE),"")</f>
        <v/>
      </c>
      <c r="K3056" s="45" t="str">
        <f>IFERROR(VLOOKUP(B3056,'Pre-Summary'!$DE$6:$DG$61,3,FALSE),"")</f>
        <v/>
      </c>
      <c r="L3056" s="45" t="str">
        <f>IFERROR(VLOOKUP(B3056,'Pre-Summary'!$CU$6:$CW$36,3,FALSE),"")</f>
        <v/>
      </c>
      <c r="M3056" s="45" t="str">
        <f>IFERROR(VLOOKUP(B3056,'Pre-Summary'!$BW$6:$BY$58,2,FALSE),"")</f>
        <v/>
      </c>
      <c r="N3056" s="45" t="str">
        <f>IFERROR(VLOOKUP(B3056,'Pre-Summary'!$CD$6:$CF$64,2,FALSE),"")</f>
        <v/>
      </c>
      <c r="O3056" s="99">
        <f>IFERROR(VLOOKUP(B3056,'Pre-Summary'!$BO$6:$BQ$48,3, FALSE),O3055)</f>
        <v>3.3239999999999998</v>
      </c>
      <c r="P3056" s="99">
        <f>IFERROR(VLOOKUP(B3056,'Pre-Summary'!$BS$6:$BU$35,3,FALSE),P3055)</f>
        <v>0.84099999999999997</v>
      </c>
      <c r="Q3056" s="54">
        <f t="shared" si="141"/>
        <v>3.9524375743162903</v>
      </c>
      <c r="R3056" s="53">
        <f>IFERROR(VLOOKUP(B3056,'Pre-Summary'!$BG$6:$BM$44,7,FALSE),R3057)</f>
        <v>0</v>
      </c>
      <c r="S3056" s="53" t="e">
        <f>VLOOKUP(B3056,'Pre-Summary'!$BG$6:$BM$44,6,FALSE)</f>
        <v>#N/A</v>
      </c>
      <c r="T3056" s="45" t="str">
        <f>IFERROR(VLOOKUP(B3056,'Pre-Summary'!$Y$6:$AC$83, 3,FALSE),"")</f>
        <v/>
      </c>
      <c r="U3056" s="45" t="str">
        <f>IFERROR(VLOOKUP(B3056,'Pre-Summary'!$Y$6:$AC$83, 4,FALSE),"")</f>
        <v/>
      </c>
      <c r="V3056" t="str">
        <f>IFERROR(VLOOKUP(B3056,'Pre-Summary'!$Y$6:$AC$83, 5,FALSE),"")</f>
        <v/>
      </c>
      <c r="W3056" s="45" t="str">
        <f>IFERROR(VLOOKUP(B3056,'Pre-Summary'!$Y$6:$AD$83,6,FALSE),"")</f>
        <v/>
      </c>
      <c r="X3056" t="str">
        <f>IFERROR(VLOOKUP('Pre-Summary'!$DB$6:$DD$63,3,FALSE),"")</f>
        <v/>
      </c>
      <c r="Y3056" t="str">
        <f>IFERROR(VLOOKUP(B3056,'Pre-Summary'!$CR$6:$CT$36,3,FALSE),"")</f>
        <v/>
      </c>
      <c r="Z3056" s="45" t="str">
        <f>IFERROR(VLOOKUP(B3056,'Pre-Summary'!$BZ$6:$CB$63,2,FALSE),"")</f>
        <v/>
      </c>
      <c r="AA3056" s="45" t="str">
        <f>IFERROR(VLOOKUP(B3056,'Pre-Summary'!$CG$6:$CI$70,2,FALSE),"")</f>
        <v/>
      </c>
      <c r="AB3056" s="99">
        <f>IFERROR(VLOOKUP(B3056,'Pre-Summary'!$A$6:$P$178,9,FALSE),AB3057)</f>
        <v>1.2254632720101373</v>
      </c>
      <c r="AC3056" s="10">
        <f>IFERROR(VLOOKUP(Summary!B3056,'Pre-Summary'!$A$6:$P$184,5, FALSE)/100,AC3057)</f>
        <v>0.83185799999999999</v>
      </c>
      <c r="AD3056" s="10">
        <f>IFERROR(VLOOKUP(Summary!B3056,'Pre-Summary'!$A$6:$P$184,3, FALSE)/100,AD3057)</f>
        <v>0.13380733333333333</v>
      </c>
      <c r="AE3056" s="10">
        <f>IFERROR(VLOOKUP(Summary!B3056,'Pre-Summary'!$A$6:$P$184,7, FALSE)/100,AE3057)</f>
        <v>3.4334666666666666E-2</v>
      </c>
      <c r="AF3056" s="99">
        <f t="shared" si="142"/>
        <v>0.16397597252561777</v>
      </c>
      <c r="AG3056" s="99">
        <f t="shared" si="143"/>
        <v>4.2075872956710725E-2</v>
      </c>
      <c r="AH3056" s="10" t="str">
        <f>IFERROR(VLOOKUP(B3056,'Pre-Summary'!$AZ$6:$BE$65,3,FALSE),"")</f>
        <v/>
      </c>
      <c r="AI3056" s="10" t="str">
        <f>IFERROR(VLOOKUP(B3056,'Pre-Summary'!$AZ$6:$BE$65,5,FALSE),"")</f>
        <v/>
      </c>
      <c r="AJ3056" s="10" t="str">
        <f>IFERROR(VLOOKUP(B3056,'Pre-Summary'!$AZ$6:$BE$65,4,FALSE),"")</f>
        <v/>
      </c>
      <c r="AK3056" s="10" t="str">
        <f>IFERROR(VLOOKUP(B3056,'Pre-Summary'!$AZ$6:$BE$65,6,FALSE),"")</f>
        <v/>
      </c>
      <c r="AL3056" s="10" t="str">
        <f>IFERROR(VLOOKUP(B3056,'Pre-Summary'!$BG$6:$BL$44,3,FALSE),"")</f>
        <v/>
      </c>
      <c r="AM3056" s="10" t="str">
        <f>IFERROR(VLOOKUP(B3056,'Pre-Summary'!$BG$6:$BL$44,4,FALSE),"")</f>
        <v/>
      </c>
    </row>
    <row r="3057" spans="2:39" ht="15" customHeight="1" x14ac:dyDescent="0.3">
      <c r="B3057">
        <v>305.39999999999998</v>
      </c>
      <c r="C3057" t="str">
        <f>IFERROR(VLOOKUP(B3057,'Pre-Summary'!$DI$6:$DM$23,4,FALSE),"")</f>
        <v/>
      </c>
      <c r="D3057" s="10" t="str">
        <f>IFERROR(VLOOKUP(B3057,'Pre-Summary'!$AT$6:$AX$14,5,FALSE),D3056)</f>
        <v>Wolfe v3: went back to modified wolfe + EDTA and switched CuSO4 to CUCl2</v>
      </c>
      <c r="E3057" s="10" t="str">
        <f>IFERROR(VLOOKUP(B3057,'Pre-Summary'!$AT$6:$AX$15,4,FALSE),"")</f>
        <v/>
      </c>
      <c r="F3057">
        <f>IFERROR(VLOOKUP(B3057,'Pre-Summary'!$AL$6:$AQ$13,6,FALSE),F3056)</f>
        <v>5.9405263157894746E-2</v>
      </c>
      <c r="G3057" t="str">
        <f>IFERROR(VLOOKUP(B3057,'Pre-Summary'!$AE$6:$AJ$85,3,FALSE),"")</f>
        <v/>
      </c>
      <c r="H3057" t="str">
        <f>IFERROR(VLOOKUP(B3057,'Pre-Summary'!$AE$6:$AJ$85,4,FALSE),"")</f>
        <v/>
      </c>
      <c r="I3057" t="str">
        <f>IFERROR(VLOOKUP(B3057,'Pre-Summary'!$AE$6:$AJ$85,5,FALSE),"")</f>
        <v/>
      </c>
      <c r="J3057" s="45" t="str">
        <f>IFERROR(VLOOKUP(B3057,'Pre-Summary'!$AE$6:$AJ$85,6, FALSE),"")</f>
        <v/>
      </c>
      <c r="K3057" s="45" t="str">
        <f>IFERROR(VLOOKUP(B3057,'Pre-Summary'!$DE$6:$DG$61,3,FALSE),"")</f>
        <v/>
      </c>
      <c r="L3057" s="45" t="str">
        <f>IFERROR(VLOOKUP(B3057,'Pre-Summary'!$CU$6:$CW$36,3,FALSE),"")</f>
        <v/>
      </c>
      <c r="M3057" s="45" t="str">
        <f>IFERROR(VLOOKUP(B3057,'Pre-Summary'!$BW$6:$BY$58,2,FALSE),"")</f>
        <v/>
      </c>
      <c r="N3057" s="45" t="str">
        <f>IFERROR(VLOOKUP(B3057,'Pre-Summary'!$CD$6:$CF$64,2,FALSE),"")</f>
        <v/>
      </c>
      <c r="O3057" s="99">
        <f>IFERROR(VLOOKUP(B3057,'Pre-Summary'!$BO$6:$BQ$48,3, FALSE),O3056)</f>
        <v>3.3239999999999998</v>
      </c>
      <c r="P3057" s="99">
        <f>IFERROR(VLOOKUP(B3057,'Pre-Summary'!$BS$6:$BU$35,3,FALSE),P3056)</f>
        <v>0.84099999999999997</v>
      </c>
      <c r="Q3057" s="54">
        <f t="shared" si="141"/>
        <v>3.9524375743162903</v>
      </c>
      <c r="R3057" s="53">
        <f>IFERROR(VLOOKUP(B3057,'Pre-Summary'!$BG$6:$BM$44,7,FALSE),R3058)</f>
        <v>0</v>
      </c>
      <c r="S3057" s="53" t="e">
        <f>VLOOKUP(B3057,'Pre-Summary'!$BG$6:$BM$44,6,FALSE)</f>
        <v>#N/A</v>
      </c>
      <c r="T3057" s="45" t="str">
        <f>IFERROR(VLOOKUP(B3057,'Pre-Summary'!$Y$6:$AC$83, 3,FALSE),"")</f>
        <v/>
      </c>
      <c r="U3057" s="45" t="str">
        <f>IFERROR(VLOOKUP(B3057,'Pre-Summary'!$Y$6:$AC$83, 4,FALSE),"")</f>
        <v/>
      </c>
      <c r="V3057" t="str">
        <f>IFERROR(VLOOKUP(B3057,'Pre-Summary'!$Y$6:$AC$83, 5,FALSE),"")</f>
        <v/>
      </c>
      <c r="W3057" s="45" t="str">
        <f>IFERROR(VLOOKUP(B3057,'Pre-Summary'!$Y$6:$AD$83,6,FALSE),"")</f>
        <v/>
      </c>
      <c r="X3057" t="str">
        <f>IFERROR(VLOOKUP('Pre-Summary'!$DB$6:$DD$63,3,FALSE),"")</f>
        <v/>
      </c>
      <c r="Y3057" t="str">
        <f>IFERROR(VLOOKUP(B3057,'Pre-Summary'!$CR$6:$CT$36,3,FALSE),"")</f>
        <v/>
      </c>
      <c r="Z3057" s="45" t="str">
        <f>IFERROR(VLOOKUP(B3057,'Pre-Summary'!$BZ$6:$CB$63,2,FALSE),"")</f>
        <v/>
      </c>
      <c r="AA3057" s="45" t="str">
        <f>IFERROR(VLOOKUP(B3057,'Pre-Summary'!$CG$6:$CI$70,2,FALSE),"")</f>
        <v/>
      </c>
      <c r="AB3057" s="99">
        <f>IFERROR(VLOOKUP(B3057,'Pre-Summary'!$A$6:$P$178,9,FALSE),AB3058)</f>
        <v>1.2254632720101373</v>
      </c>
      <c r="AC3057" s="10">
        <f>IFERROR(VLOOKUP(Summary!B3057,'Pre-Summary'!$A$6:$P$184,5, FALSE)/100,AC3058)</f>
        <v>0.83185799999999999</v>
      </c>
      <c r="AD3057" s="10">
        <f>IFERROR(VLOOKUP(Summary!B3057,'Pre-Summary'!$A$6:$P$184,3, FALSE)/100,AD3058)</f>
        <v>0.13380733333333333</v>
      </c>
      <c r="AE3057" s="10">
        <f>IFERROR(VLOOKUP(Summary!B3057,'Pre-Summary'!$A$6:$P$184,7, FALSE)/100,AE3058)</f>
        <v>3.4334666666666666E-2</v>
      </c>
      <c r="AF3057" s="99">
        <f t="shared" si="142"/>
        <v>0.16397597252561777</v>
      </c>
      <c r="AG3057" s="99">
        <f t="shared" si="143"/>
        <v>4.2075872956710725E-2</v>
      </c>
      <c r="AH3057" s="10" t="str">
        <f>IFERROR(VLOOKUP(B3057,'Pre-Summary'!$AZ$6:$BE$65,3,FALSE),"")</f>
        <v/>
      </c>
      <c r="AI3057" s="10" t="str">
        <f>IFERROR(VLOOKUP(B3057,'Pre-Summary'!$AZ$6:$BE$65,5,FALSE),"")</f>
        <v/>
      </c>
      <c r="AJ3057" s="10" t="str">
        <f>IFERROR(VLOOKUP(B3057,'Pre-Summary'!$AZ$6:$BE$65,4,FALSE),"")</f>
        <v/>
      </c>
      <c r="AK3057" s="10" t="str">
        <f>IFERROR(VLOOKUP(B3057,'Pre-Summary'!$AZ$6:$BE$65,6,FALSE),"")</f>
        <v/>
      </c>
      <c r="AL3057" s="10" t="str">
        <f>IFERROR(VLOOKUP(B3057,'Pre-Summary'!$BG$6:$BL$44,3,FALSE),"")</f>
        <v/>
      </c>
      <c r="AM3057" s="10" t="str">
        <f>IFERROR(VLOOKUP(B3057,'Pre-Summary'!$BG$6:$BL$44,4,FALSE),"")</f>
        <v/>
      </c>
    </row>
    <row r="3058" spans="2:39" ht="15" customHeight="1" x14ac:dyDescent="0.3">
      <c r="B3058">
        <v>305.5</v>
      </c>
      <c r="C3058" t="str">
        <f>IFERROR(VLOOKUP(B3058,'Pre-Summary'!$DI$6:$DM$23,4,FALSE),"")</f>
        <v/>
      </c>
      <c r="D3058" s="10" t="str">
        <f>IFERROR(VLOOKUP(B3058,'Pre-Summary'!$AT$6:$AX$14,5,FALSE),D3057)</f>
        <v>Wolfe v3: went back to modified wolfe + EDTA and switched CuSO4 to CUCl2</v>
      </c>
      <c r="E3058" s="10" t="str">
        <f>IFERROR(VLOOKUP(B3058,'Pre-Summary'!$AT$6:$AX$15,4,FALSE),"")</f>
        <v/>
      </c>
      <c r="F3058">
        <f>IFERROR(VLOOKUP(B3058,'Pre-Summary'!$AL$6:$AQ$13,6,FALSE),F3057)</f>
        <v>5.9405263157894746E-2</v>
      </c>
      <c r="G3058" t="str">
        <f>IFERROR(VLOOKUP(B3058,'Pre-Summary'!$AE$6:$AJ$85,3,FALSE),"")</f>
        <v/>
      </c>
      <c r="H3058" t="str">
        <f>IFERROR(VLOOKUP(B3058,'Pre-Summary'!$AE$6:$AJ$85,4,FALSE),"")</f>
        <v/>
      </c>
      <c r="I3058" t="str">
        <f>IFERROR(VLOOKUP(B3058,'Pre-Summary'!$AE$6:$AJ$85,5,FALSE),"")</f>
        <v/>
      </c>
      <c r="J3058" s="45" t="str">
        <f>IFERROR(VLOOKUP(B3058,'Pre-Summary'!$AE$6:$AJ$85,6, FALSE),"")</f>
        <v/>
      </c>
      <c r="K3058" s="45" t="str">
        <f>IFERROR(VLOOKUP(B3058,'Pre-Summary'!$DE$6:$DG$61,3,FALSE),"")</f>
        <v/>
      </c>
      <c r="L3058" s="45" t="str">
        <f>IFERROR(VLOOKUP(B3058,'Pre-Summary'!$CU$6:$CW$36,3,FALSE),"")</f>
        <v/>
      </c>
      <c r="M3058" s="45" t="str">
        <f>IFERROR(VLOOKUP(B3058,'Pre-Summary'!$BW$6:$BY$58,2,FALSE),"")</f>
        <v/>
      </c>
      <c r="N3058" s="45" t="str">
        <f>IFERROR(VLOOKUP(B3058,'Pre-Summary'!$CD$6:$CF$64,2,FALSE),"")</f>
        <v/>
      </c>
      <c r="O3058" s="99">
        <f>IFERROR(VLOOKUP(B3058,'Pre-Summary'!$BO$6:$BQ$48,3, FALSE),O3057)</f>
        <v>3.3239999999999998</v>
      </c>
      <c r="P3058" s="99">
        <f>IFERROR(VLOOKUP(B3058,'Pre-Summary'!$BS$6:$BU$35,3,FALSE),P3057)</f>
        <v>0.84099999999999997</v>
      </c>
      <c r="Q3058" s="54">
        <f t="shared" si="141"/>
        <v>3.9524375743162903</v>
      </c>
      <c r="R3058" s="53">
        <f>IFERROR(VLOOKUP(B3058,'Pre-Summary'!$BG$6:$BM$44,7,FALSE),R3059)</f>
        <v>0</v>
      </c>
      <c r="S3058" s="53" t="e">
        <f>VLOOKUP(B3058,'Pre-Summary'!$BG$6:$BM$44,6,FALSE)</f>
        <v>#N/A</v>
      </c>
      <c r="T3058" s="45" t="str">
        <f>IFERROR(VLOOKUP(B3058,'Pre-Summary'!$Y$6:$AC$83, 3,FALSE),"")</f>
        <v/>
      </c>
      <c r="U3058" s="45" t="str">
        <f>IFERROR(VLOOKUP(B3058,'Pre-Summary'!$Y$6:$AC$83, 4,FALSE),"")</f>
        <v/>
      </c>
      <c r="V3058" t="str">
        <f>IFERROR(VLOOKUP(B3058,'Pre-Summary'!$Y$6:$AC$83, 5,FALSE),"")</f>
        <v/>
      </c>
      <c r="W3058" s="45" t="str">
        <f>IFERROR(VLOOKUP(B3058,'Pre-Summary'!$Y$6:$AD$83,6,FALSE),"")</f>
        <v/>
      </c>
      <c r="X3058" t="str">
        <f>IFERROR(VLOOKUP('Pre-Summary'!$DB$6:$DD$63,3,FALSE),"")</f>
        <v/>
      </c>
      <c r="Y3058" t="str">
        <f>IFERROR(VLOOKUP(B3058,'Pre-Summary'!$CR$6:$CT$36,3,FALSE),"")</f>
        <v/>
      </c>
      <c r="Z3058" s="45" t="str">
        <f>IFERROR(VLOOKUP(B3058,'Pre-Summary'!$BZ$6:$CB$63,2,FALSE),"")</f>
        <v/>
      </c>
      <c r="AA3058" s="45" t="str">
        <f>IFERROR(VLOOKUP(B3058,'Pre-Summary'!$CG$6:$CI$70,2,FALSE),"")</f>
        <v/>
      </c>
      <c r="AB3058" s="99">
        <f>IFERROR(VLOOKUP(B3058,'Pre-Summary'!$A$6:$P$178,9,FALSE),AB3059)</f>
        <v>1.2254632720101373</v>
      </c>
      <c r="AC3058" s="10">
        <f>IFERROR(VLOOKUP(Summary!B3058,'Pre-Summary'!$A$6:$P$184,5, FALSE)/100,AC3059)</f>
        <v>0.83185799999999999</v>
      </c>
      <c r="AD3058" s="10">
        <f>IFERROR(VLOOKUP(Summary!B3058,'Pre-Summary'!$A$6:$P$184,3, FALSE)/100,AD3059)</f>
        <v>0.13380733333333333</v>
      </c>
      <c r="AE3058" s="10">
        <f>IFERROR(VLOOKUP(Summary!B3058,'Pre-Summary'!$A$6:$P$184,7, FALSE)/100,AE3059)</f>
        <v>3.4334666666666666E-2</v>
      </c>
      <c r="AF3058" s="99">
        <f t="shared" si="142"/>
        <v>0.16397597252561777</v>
      </c>
      <c r="AG3058" s="99">
        <f t="shared" si="143"/>
        <v>4.2075872956710725E-2</v>
      </c>
      <c r="AH3058" s="10" t="str">
        <f>IFERROR(VLOOKUP(B3058,'Pre-Summary'!$AZ$6:$BE$65,3,FALSE),"")</f>
        <v/>
      </c>
      <c r="AI3058" s="10" t="str">
        <f>IFERROR(VLOOKUP(B3058,'Pre-Summary'!$AZ$6:$BE$65,5,FALSE),"")</f>
        <v/>
      </c>
      <c r="AJ3058" s="10" t="str">
        <f>IFERROR(VLOOKUP(B3058,'Pre-Summary'!$AZ$6:$BE$65,4,FALSE),"")</f>
        <v/>
      </c>
      <c r="AK3058" s="10" t="str">
        <f>IFERROR(VLOOKUP(B3058,'Pre-Summary'!$AZ$6:$BE$65,6,FALSE),"")</f>
        <v/>
      </c>
      <c r="AL3058" s="10" t="str">
        <f>IFERROR(VLOOKUP(B3058,'Pre-Summary'!$BG$6:$BL$44,3,FALSE),"")</f>
        <v/>
      </c>
      <c r="AM3058" s="10" t="str">
        <f>IFERROR(VLOOKUP(B3058,'Pre-Summary'!$BG$6:$BL$44,4,FALSE),"")</f>
        <v/>
      </c>
    </row>
    <row r="3059" spans="2:39" ht="15" customHeight="1" x14ac:dyDescent="0.3">
      <c r="B3059">
        <v>305.60000000000002</v>
      </c>
      <c r="C3059" t="str">
        <f>IFERROR(VLOOKUP(B3059,'Pre-Summary'!$DI$6:$DM$23,4,FALSE),"")</f>
        <v/>
      </c>
      <c r="D3059" s="10" t="str">
        <f>IFERROR(VLOOKUP(B3059,'Pre-Summary'!$AT$6:$AX$14,5,FALSE),D3058)</f>
        <v>Wolfe v3: went back to modified wolfe + EDTA and switched CuSO4 to CUCl2</v>
      </c>
      <c r="E3059" s="10" t="str">
        <f>IFERROR(VLOOKUP(B3059,'Pre-Summary'!$AT$6:$AX$15,4,FALSE),"")</f>
        <v/>
      </c>
      <c r="F3059">
        <f>IFERROR(VLOOKUP(B3059,'Pre-Summary'!$AL$6:$AQ$13,6,FALSE),F3058)</f>
        <v>5.9405263157894746E-2</v>
      </c>
      <c r="G3059" t="str">
        <f>IFERROR(VLOOKUP(B3059,'Pre-Summary'!$AE$6:$AJ$85,3,FALSE),"")</f>
        <v/>
      </c>
      <c r="H3059" t="str">
        <f>IFERROR(VLOOKUP(B3059,'Pre-Summary'!$AE$6:$AJ$85,4,FALSE),"")</f>
        <v/>
      </c>
      <c r="I3059" t="str">
        <f>IFERROR(VLOOKUP(B3059,'Pre-Summary'!$AE$6:$AJ$85,5,FALSE),"")</f>
        <v/>
      </c>
      <c r="J3059" s="45" t="str">
        <f>IFERROR(VLOOKUP(B3059,'Pre-Summary'!$AE$6:$AJ$85,6, FALSE),"")</f>
        <v/>
      </c>
      <c r="K3059" s="45" t="str">
        <f>IFERROR(VLOOKUP(B3059,'Pre-Summary'!$DE$6:$DG$61,3,FALSE),"")</f>
        <v/>
      </c>
      <c r="L3059" s="45" t="str">
        <f>IFERROR(VLOOKUP(B3059,'Pre-Summary'!$CU$6:$CW$36,3,FALSE),"")</f>
        <v/>
      </c>
      <c r="M3059" s="45" t="str">
        <f>IFERROR(VLOOKUP(B3059,'Pre-Summary'!$BW$6:$BY$58,2,FALSE),"")</f>
        <v/>
      </c>
      <c r="N3059" s="45" t="str">
        <f>IFERROR(VLOOKUP(B3059,'Pre-Summary'!$CD$6:$CF$64,2,FALSE),"")</f>
        <v/>
      </c>
      <c r="O3059" s="99">
        <f>IFERROR(VLOOKUP(B3059,'Pre-Summary'!$BO$6:$BQ$48,3, FALSE),O3058)</f>
        <v>3.3239999999999998</v>
      </c>
      <c r="P3059" s="99">
        <f>IFERROR(VLOOKUP(B3059,'Pre-Summary'!$BS$6:$BU$35,3,FALSE),P3058)</f>
        <v>0.84099999999999997</v>
      </c>
      <c r="Q3059" s="54">
        <f t="shared" si="141"/>
        <v>3.9524375743162903</v>
      </c>
      <c r="R3059" s="53">
        <f>IFERROR(VLOOKUP(B3059,'Pre-Summary'!$BG$6:$BM$44,7,FALSE),R3060)</f>
        <v>0</v>
      </c>
      <c r="S3059" s="53" t="e">
        <f>VLOOKUP(B3059,'Pre-Summary'!$BG$6:$BM$44,6,FALSE)</f>
        <v>#N/A</v>
      </c>
      <c r="T3059" s="45" t="str">
        <f>IFERROR(VLOOKUP(B3059,'Pre-Summary'!$Y$6:$AC$83, 3,FALSE),"")</f>
        <v/>
      </c>
      <c r="U3059" s="45" t="str">
        <f>IFERROR(VLOOKUP(B3059,'Pre-Summary'!$Y$6:$AC$83, 4,FALSE),"")</f>
        <v/>
      </c>
      <c r="V3059" t="str">
        <f>IFERROR(VLOOKUP(B3059,'Pre-Summary'!$Y$6:$AC$83, 5,FALSE),"")</f>
        <v/>
      </c>
      <c r="W3059" s="45" t="str">
        <f>IFERROR(VLOOKUP(B3059,'Pre-Summary'!$Y$6:$AD$83,6,FALSE),"")</f>
        <v/>
      </c>
      <c r="X3059" t="str">
        <f>IFERROR(VLOOKUP('Pre-Summary'!$DB$6:$DD$63,3,FALSE),"")</f>
        <v/>
      </c>
      <c r="Y3059" t="str">
        <f>IFERROR(VLOOKUP(B3059,'Pre-Summary'!$CR$6:$CT$36,3,FALSE),"")</f>
        <v/>
      </c>
      <c r="Z3059" s="45" t="str">
        <f>IFERROR(VLOOKUP(B3059,'Pre-Summary'!$BZ$6:$CB$63,2,FALSE),"")</f>
        <v/>
      </c>
      <c r="AA3059" s="45" t="str">
        <f>IFERROR(VLOOKUP(B3059,'Pre-Summary'!$CG$6:$CI$70,2,FALSE),"")</f>
        <v/>
      </c>
      <c r="AB3059" s="99">
        <f>IFERROR(VLOOKUP(B3059,'Pre-Summary'!$A$6:$P$178,9,FALSE),AB3060)</f>
        <v>1.2254632720101373</v>
      </c>
      <c r="AC3059" s="10">
        <f>IFERROR(VLOOKUP(Summary!B3059,'Pre-Summary'!$A$6:$P$184,5, FALSE)/100,AC3060)</f>
        <v>0.83185799999999999</v>
      </c>
      <c r="AD3059" s="10">
        <f>IFERROR(VLOOKUP(Summary!B3059,'Pre-Summary'!$A$6:$P$184,3, FALSE)/100,AD3060)</f>
        <v>0.13380733333333333</v>
      </c>
      <c r="AE3059" s="10">
        <f>IFERROR(VLOOKUP(Summary!B3059,'Pre-Summary'!$A$6:$P$184,7, FALSE)/100,AE3060)</f>
        <v>3.4334666666666666E-2</v>
      </c>
      <c r="AF3059" s="99">
        <f t="shared" si="142"/>
        <v>0.16397597252561777</v>
      </c>
      <c r="AG3059" s="99">
        <f t="shared" si="143"/>
        <v>4.2075872956710725E-2</v>
      </c>
      <c r="AH3059" s="10" t="str">
        <f>IFERROR(VLOOKUP(B3059,'Pre-Summary'!$AZ$6:$BE$65,3,FALSE),"")</f>
        <v/>
      </c>
      <c r="AI3059" s="10" t="str">
        <f>IFERROR(VLOOKUP(B3059,'Pre-Summary'!$AZ$6:$BE$65,5,FALSE),"")</f>
        <v/>
      </c>
      <c r="AJ3059" s="10" t="str">
        <f>IFERROR(VLOOKUP(B3059,'Pre-Summary'!$AZ$6:$BE$65,4,FALSE),"")</f>
        <v/>
      </c>
      <c r="AK3059" s="10" t="str">
        <f>IFERROR(VLOOKUP(B3059,'Pre-Summary'!$AZ$6:$BE$65,6,FALSE),"")</f>
        <v/>
      </c>
      <c r="AL3059" s="10" t="str">
        <f>IFERROR(VLOOKUP(B3059,'Pre-Summary'!$BG$6:$BL$44,3,FALSE),"")</f>
        <v/>
      </c>
      <c r="AM3059" s="10" t="str">
        <f>IFERROR(VLOOKUP(B3059,'Pre-Summary'!$BG$6:$BL$44,4,FALSE),"")</f>
        <v/>
      </c>
    </row>
    <row r="3060" spans="2:39" ht="15" customHeight="1" x14ac:dyDescent="0.3">
      <c r="B3060">
        <v>305.7</v>
      </c>
      <c r="C3060" t="str">
        <f>IFERROR(VLOOKUP(B3060,'Pre-Summary'!$DI$6:$DM$23,4,FALSE),"")</f>
        <v/>
      </c>
      <c r="D3060" s="10" t="str">
        <f>IFERROR(VLOOKUP(B3060,'Pre-Summary'!$AT$6:$AX$14,5,FALSE),D3059)</f>
        <v>Wolfe v3: went back to modified wolfe + EDTA and switched CuSO4 to CUCl2</v>
      </c>
      <c r="E3060" s="10" t="str">
        <f>IFERROR(VLOOKUP(B3060,'Pre-Summary'!$AT$6:$AX$15,4,FALSE),"")</f>
        <v/>
      </c>
      <c r="F3060">
        <f>IFERROR(VLOOKUP(B3060,'Pre-Summary'!$AL$6:$AQ$13,6,FALSE),F3059)</f>
        <v>5.9405263157894746E-2</v>
      </c>
      <c r="G3060" t="str">
        <f>IFERROR(VLOOKUP(B3060,'Pre-Summary'!$AE$6:$AJ$85,3,FALSE),"")</f>
        <v/>
      </c>
      <c r="H3060" t="str">
        <f>IFERROR(VLOOKUP(B3060,'Pre-Summary'!$AE$6:$AJ$85,4,FALSE),"")</f>
        <v/>
      </c>
      <c r="I3060" t="str">
        <f>IFERROR(VLOOKUP(B3060,'Pre-Summary'!$AE$6:$AJ$85,5,FALSE),"")</f>
        <v/>
      </c>
      <c r="J3060" s="45" t="str">
        <f>IFERROR(VLOOKUP(B3060,'Pre-Summary'!$AE$6:$AJ$85,6, FALSE),"")</f>
        <v/>
      </c>
      <c r="K3060" s="45" t="str">
        <f>IFERROR(VLOOKUP(B3060,'Pre-Summary'!$DE$6:$DG$61,3,FALSE),"")</f>
        <v/>
      </c>
      <c r="L3060" s="45" t="str">
        <f>IFERROR(VLOOKUP(B3060,'Pre-Summary'!$CU$6:$CW$36,3,FALSE),"")</f>
        <v/>
      </c>
      <c r="M3060" s="45" t="str">
        <f>IFERROR(VLOOKUP(B3060,'Pre-Summary'!$BW$6:$BY$58,2,FALSE),"")</f>
        <v/>
      </c>
      <c r="N3060" s="45" t="str">
        <f>IFERROR(VLOOKUP(B3060,'Pre-Summary'!$CD$6:$CF$64,2,FALSE),"")</f>
        <v/>
      </c>
      <c r="O3060" s="99">
        <f>IFERROR(VLOOKUP(B3060,'Pre-Summary'!$BO$6:$BQ$48,3, FALSE),O3059)</f>
        <v>3.3239999999999998</v>
      </c>
      <c r="P3060" s="99">
        <f>IFERROR(VLOOKUP(B3060,'Pre-Summary'!$BS$6:$BU$35,3,FALSE),P3059)</f>
        <v>0.84099999999999997</v>
      </c>
      <c r="Q3060" s="54">
        <f t="shared" si="141"/>
        <v>3.9524375743162903</v>
      </c>
      <c r="R3060" s="53">
        <f>IFERROR(VLOOKUP(B3060,'Pre-Summary'!$BG$6:$BM$44,7,FALSE),R3061)</f>
        <v>0</v>
      </c>
      <c r="S3060" s="53" t="e">
        <f>VLOOKUP(B3060,'Pre-Summary'!$BG$6:$BM$44,6,FALSE)</f>
        <v>#N/A</v>
      </c>
      <c r="T3060" s="45" t="str">
        <f>IFERROR(VLOOKUP(B3060,'Pre-Summary'!$Y$6:$AC$83, 3,FALSE),"")</f>
        <v/>
      </c>
      <c r="U3060" s="45" t="str">
        <f>IFERROR(VLOOKUP(B3060,'Pre-Summary'!$Y$6:$AC$83, 4,FALSE),"")</f>
        <v/>
      </c>
      <c r="V3060" t="str">
        <f>IFERROR(VLOOKUP(B3060,'Pre-Summary'!$Y$6:$AC$83, 5,FALSE),"")</f>
        <v/>
      </c>
      <c r="W3060" s="45" t="str">
        <f>IFERROR(VLOOKUP(B3060,'Pre-Summary'!$Y$6:$AD$83,6,FALSE),"")</f>
        <v/>
      </c>
      <c r="X3060" t="str">
        <f>IFERROR(VLOOKUP('Pre-Summary'!$DB$6:$DD$63,3,FALSE),"")</f>
        <v/>
      </c>
      <c r="Y3060" t="str">
        <f>IFERROR(VLOOKUP(B3060,'Pre-Summary'!$CR$6:$CT$36,3,FALSE),"")</f>
        <v/>
      </c>
      <c r="Z3060" s="45" t="str">
        <f>IFERROR(VLOOKUP(B3060,'Pre-Summary'!$BZ$6:$CB$63,2,FALSE),"")</f>
        <v/>
      </c>
      <c r="AA3060" s="45" t="str">
        <f>IFERROR(VLOOKUP(B3060,'Pre-Summary'!$CG$6:$CI$70,2,FALSE),"")</f>
        <v/>
      </c>
      <c r="AB3060" s="99">
        <f>IFERROR(VLOOKUP(B3060,'Pre-Summary'!$A$6:$P$178,9,FALSE),AB3061)</f>
        <v>1.2254632720101373</v>
      </c>
      <c r="AC3060" s="10">
        <f>IFERROR(VLOOKUP(Summary!B3060,'Pre-Summary'!$A$6:$P$184,5, FALSE)/100,AC3061)</f>
        <v>0.83185799999999999</v>
      </c>
      <c r="AD3060" s="10">
        <f>IFERROR(VLOOKUP(Summary!B3060,'Pre-Summary'!$A$6:$P$184,3, FALSE)/100,AD3061)</f>
        <v>0.13380733333333333</v>
      </c>
      <c r="AE3060" s="10">
        <f>IFERROR(VLOOKUP(Summary!B3060,'Pre-Summary'!$A$6:$P$184,7, FALSE)/100,AE3061)</f>
        <v>3.4334666666666666E-2</v>
      </c>
      <c r="AF3060" s="99">
        <f t="shared" si="142"/>
        <v>0.16397597252561777</v>
      </c>
      <c r="AG3060" s="99">
        <f t="shared" si="143"/>
        <v>4.2075872956710725E-2</v>
      </c>
      <c r="AH3060" s="10" t="str">
        <f>IFERROR(VLOOKUP(B3060,'Pre-Summary'!$AZ$6:$BE$65,3,FALSE),"")</f>
        <v/>
      </c>
      <c r="AI3060" s="10" t="str">
        <f>IFERROR(VLOOKUP(B3060,'Pre-Summary'!$AZ$6:$BE$65,5,FALSE),"")</f>
        <v/>
      </c>
      <c r="AJ3060" s="10" t="str">
        <f>IFERROR(VLOOKUP(B3060,'Pre-Summary'!$AZ$6:$BE$65,4,FALSE),"")</f>
        <v/>
      </c>
      <c r="AK3060" s="10" t="str">
        <f>IFERROR(VLOOKUP(B3060,'Pre-Summary'!$AZ$6:$BE$65,6,FALSE),"")</f>
        <v/>
      </c>
      <c r="AL3060" s="10" t="str">
        <f>IFERROR(VLOOKUP(B3060,'Pre-Summary'!$BG$6:$BL$44,3,FALSE),"")</f>
        <v/>
      </c>
      <c r="AM3060" s="10" t="str">
        <f>IFERROR(VLOOKUP(B3060,'Pre-Summary'!$BG$6:$BL$44,4,FALSE),"")</f>
        <v/>
      </c>
    </row>
    <row r="3061" spans="2:39" ht="15" customHeight="1" x14ac:dyDescent="0.3">
      <c r="B3061">
        <v>305.8</v>
      </c>
      <c r="C3061" t="str">
        <f>IFERROR(VLOOKUP(B3061,'Pre-Summary'!$DI$6:$DM$23,4,FALSE),"")</f>
        <v/>
      </c>
      <c r="D3061" s="10" t="str">
        <f>IFERROR(VLOOKUP(B3061,'Pre-Summary'!$AT$6:$AX$14,5,FALSE),D3060)</f>
        <v>Wolfe v3: went back to modified wolfe + EDTA and switched CuSO4 to CUCl2</v>
      </c>
      <c r="E3061" s="10" t="str">
        <f>IFERROR(VLOOKUP(B3061,'Pre-Summary'!$AT$6:$AX$15,4,FALSE),"")</f>
        <v/>
      </c>
      <c r="F3061">
        <f>IFERROR(VLOOKUP(B3061,'Pre-Summary'!$AL$6:$AQ$13,6,FALSE),F3060)</f>
        <v>5.9405263157894746E-2</v>
      </c>
      <c r="G3061" t="str">
        <f>IFERROR(VLOOKUP(B3061,'Pre-Summary'!$AE$6:$AJ$85,3,FALSE),"")</f>
        <v/>
      </c>
      <c r="H3061" t="str">
        <f>IFERROR(VLOOKUP(B3061,'Pre-Summary'!$AE$6:$AJ$85,4,FALSE),"")</f>
        <v/>
      </c>
      <c r="I3061" t="str">
        <f>IFERROR(VLOOKUP(B3061,'Pre-Summary'!$AE$6:$AJ$85,5,FALSE),"")</f>
        <v/>
      </c>
      <c r="J3061" s="45" t="str">
        <f>IFERROR(VLOOKUP(B3061,'Pre-Summary'!$AE$6:$AJ$85,6, FALSE),"")</f>
        <v/>
      </c>
      <c r="K3061" s="45" t="str">
        <f>IFERROR(VLOOKUP(B3061,'Pre-Summary'!$DE$6:$DG$61,3,FALSE),"")</f>
        <v/>
      </c>
      <c r="L3061" s="45" t="str">
        <f>IFERROR(VLOOKUP(B3061,'Pre-Summary'!$CU$6:$CW$36,3,FALSE),"")</f>
        <v/>
      </c>
      <c r="M3061" s="45" t="str">
        <f>IFERROR(VLOOKUP(B3061,'Pre-Summary'!$BW$6:$BY$58,2,FALSE),"")</f>
        <v/>
      </c>
      <c r="N3061" s="45" t="str">
        <f>IFERROR(VLOOKUP(B3061,'Pre-Summary'!$CD$6:$CF$64,2,FALSE),"")</f>
        <v/>
      </c>
      <c r="O3061" s="99">
        <f>IFERROR(VLOOKUP(B3061,'Pre-Summary'!$BO$6:$BQ$48,3, FALSE),O3060)</f>
        <v>3.3239999999999998</v>
      </c>
      <c r="P3061" s="99">
        <f>IFERROR(VLOOKUP(B3061,'Pre-Summary'!$BS$6:$BU$35,3,FALSE),P3060)</f>
        <v>0.84099999999999997</v>
      </c>
      <c r="Q3061" s="54">
        <f t="shared" si="141"/>
        <v>3.9524375743162903</v>
      </c>
      <c r="R3061" s="53">
        <f>IFERROR(VLOOKUP(B3061,'Pre-Summary'!$BG$6:$BM$44,7,FALSE),R3062)</f>
        <v>0</v>
      </c>
      <c r="S3061" s="53" t="e">
        <f>VLOOKUP(B3061,'Pre-Summary'!$BG$6:$BM$44,6,FALSE)</f>
        <v>#N/A</v>
      </c>
      <c r="T3061" s="45" t="str">
        <f>IFERROR(VLOOKUP(B3061,'Pre-Summary'!$Y$6:$AC$83, 3,FALSE),"")</f>
        <v/>
      </c>
      <c r="U3061" s="45" t="str">
        <f>IFERROR(VLOOKUP(B3061,'Pre-Summary'!$Y$6:$AC$83, 4,FALSE),"")</f>
        <v/>
      </c>
      <c r="V3061" t="str">
        <f>IFERROR(VLOOKUP(B3061,'Pre-Summary'!$Y$6:$AC$83, 5,FALSE),"")</f>
        <v/>
      </c>
      <c r="W3061" s="45" t="str">
        <f>IFERROR(VLOOKUP(B3061,'Pre-Summary'!$Y$6:$AD$83,6,FALSE),"")</f>
        <v/>
      </c>
      <c r="X3061" t="str">
        <f>IFERROR(VLOOKUP('Pre-Summary'!$DB$6:$DD$63,3,FALSE),"")</f>
        <v/>
      </c>
      <c r="Y3061" t="str">
        <f>IFERROR(VLOOKUP(B3061,'Pre-Summary'!$CR$6:$CT$36,3,FALSE),"")</f>
        <v/>
      </c>
      <c r="Z3061" s="45" t="str">
        <f>IFERROR(VLOOKUP(B3061,'Pre-Summary'!$BZ$6:$CB$63,2,FALSE),"")</f>
        <v/>
      </c>
      <c r="AA3061" s="45" t="str">
        <f>IFERROR(VLOOKUP(B3061,'Pre-Summary'!$CG$6:$CI$70,2,FALSE),"")</f>
        <v/>
      </c>
      <c r="AB3061" s="99">
        <f>IFERROR(VLOOKUP(B3061,'Pre-Summary'!$A$6:$P$178,9,FALSE),AB3062)</f>
        <v>1.2254632720101373</v>
      </c>
      <c r="AC3061" s="10">
        <f>IFERROR(VLOOKUP(Summary!B3061,'Pre-Summary'!$A$6:$P$184,5, FALSE)/100,AC3062)</f>
        <v>0.83185799999999999</v>
      </c>
      <c r="AD3061" s="10">
        <f>IFERROR(VLOOKUP(Summary!B3061,'Pre-Summary'!$A$6:$P$184,3, FALSE)/100,AD3062)</f>
        <v>0.13380733333333333</v>
      </c>
      <c r="AE3061" s="10">
        <f>IFERROR(VLOOKUP(Summary!B3061,'Pre-Summary'!$A$6:$P$184,7, FALSE)/100,AE3062)</f>
        <v>3.4334666666666666E-2</v>
      </c>
      <c r="AF3061" s="99">
        <f t="shared" si="142"/>
        <v>0.16397597252561777</v>
      </c>
      <c r="AG3061" s="99">
        <f t="shared" si="143"/>
        <v>4.2075872956710725E-2</v>
      </c>
      <c r="AH3061" s="10" t="str">
        <f>IFERROR(VLOOKUP(B3061,'Pre-Summary'!$AZ$6:$BE$65,3,FALSE),"")</f>
        <v/>
      </c>
      <c r="AI3061" s="10" t="str">
        <f>IFERROR(VLOOKUP(B3061,'Pre-Summary'!$AZ$6:$BE$65,5,FALSE),"")</f>
        <v/>
      </c>
      <c r="AJ3061" s="10" t="str">
        <f>IFERROR(VLOOKUP(B3061,'Pre-Summary'!$AZ$6:$BE$65,4,FALSE),"")</f>
        <v/>
      </c>
      <c r="AK3061" s="10" t="str">
        <f>IFERROR(VLOOKUP(B3061,'Pre-Summary'!$AZ$6:$BE$65,6,FALSE),"")</f>
        <v/>
      </c>
      <c r="AL3061" s="10" t="str">
        <f>IFERROR(VLOOKUP(B3061,'Pre-Summary'!$BG$6:$BL$44,3,FALSE),"")</f>
        <v/>
      </c>
      <c r="AM3061" s="10" t="str">
        <f>IFERROR(VLOOKUP(B3061,'Pre-Summary'!$BG$6:$BL$44,4,FALSE),"")</f>
        <v/>
      </c>
    </row>
    <row r="3062" spans="2:39" ht="15" customHeight="1" x14ac:dyDescent="0.3">
      <c r="B3062">
        <v>305.89999999999998</v>
      </c>
      <c r="C3062" t="str">
        <f>IFERROR(VLOOKUP(B3062,'Pre-Summary'!$DI$6:$DM$23,4,FALSE),"")</f>
        <v/>
      </c>
      <c r="D3062" s="10" t="str">
        <f>IFERROR(VLOOKUP(B3062,'Pre-Summary'!$AT$6:$AX$14,5,FALSE),D3061)</f>
        <v>Wolfe v3: went back to modified wolfe + EDTA and switched CuSO4 to CUCl2</v>
      </c>
      <c r="E3062" s="10" t="str">
        <f>IFERROR(VLOOKUP(B3062,'Pre-Summary'!$AT$6:$AX$15,4,FALSE),"")</f>
        <v/>
      </c>
      <c r="F3062">
        <f>IFERROR(VLOOKUP(B3062,'Pre-Summary'!$AL$6:$AQ$13,6,FALSE),F3061)</f>
        <v>5.9405263157894746E-2</v>
      </c>
      <c r="G3062" t="str">
        <f>IFERROR(VLOOKUP(B3062,'Pre-Summary'!$AE$6:$AJ$85,3,FALSE),"")</f>
        <v/>
      </c>
      <c r="H3062" t="str">
        <f>IFERROR(VLOOKUP(B3062,'Pre-Summary'!$AE$6:$AJ$85,4,FALSE),"")</f>
        <v/>
      </c>
      <c r="I3062" t="str">
        <f>IFERROR(VLOOKUP(B3062,'Pre-Summary'!$AE$6:$AJ$85,5,FALSE),"")</f>
        <v/>
      </c>
      <c r="J3062" s="45" t="str">
        <f>IFERROR(VLOOKUP(B3062,'Pre-Summary'!$AE$6:$AJ$85,6, FALSE),"")</f>
        <v/>
      </c>
      <c r="K3062" s="45" t="str">
        <f>IFERROR(VLOOKUP(B3062,'Pre-Summary'!$DE$6:$DG$61,3,FALSE),"")</f>
        <v/>
      </c>
      <c r="L3062" s="45" t="str">
        <f>IFERROR(VLOOKUP(B3062,'Pre-Summary'!$CU$6:$CW$36,3,FALSE),"")</f>
        <v/>
      </c>
      <c r="M3062" s="45" t="str">
        <f>IFERROR(VLOOKUP(B3062,'Pre-Summary'!$BW$6:$BY$58,2,FALSE),"")</f>
        <v/>
      </c>
      <c r="N3062" s="45" t="str">
        <f>IFERROR(VLOOKUP(B3062,'Pre-Summary'!$CD$6:$CF$64,2,FALSE),"")</f>
        <v/>
      </c>
      <c r="O3062" s="99">
        <f>IFERROR(VLOOKUP(B3062,'Pre-Summary'!$BO$6:$BQ$48,3, FALSE),O3061)</f>
        <v>3.3239999999999998</v>
      </c>
      <c r="P3062" s="99">
        <f>IFERROR(VLOOKUP(B3062,'Pre-Summary'!$BS$6:$BU$35,3,FALSE),P3061)</f>
        <v>0.84099999999999997</v>
      </c>
      <c r="Q3062" s="54">
        <f t="shared" si="141"/>
        <v>3.9524375743162903</v>
      </c>
      <c r="R3062" s="53">
        <f>IFERROR(VLOOKUP(B3062,'Pre-Summary'!$BG$6:$BM$44,7,FALSE),R3063)</f>
        <v>0</v>
      </c>
      <c r="S3062" s="53" t="e">
        <f>VLOOKUP(B3062,'Pre-Summary'!$BG$6:$BM$44,6,FALSE)</f>
        <v>#N/A</v>
      </c>
      <c r="T3062" s="45" t="str">
        <f>IFERROR(VLOOKUP(B3062,'Pre-Summary'!$Y$6:$AC$83, 3,FALSE),"")</f>
        <v/>
      </c>
      <c r="U3062" s="45" t="str">
        <f>IFERROR(VLOOKUP(B3062,'Pre-Summary'!$Y$6:$AC$83, 4,FALSE),"")</f>
        <v/>
      </c>
      <c r="V3062" t="str">
        <f>IFERROR(VLOOKUP(B3062,'Pre-Summary'!$Y$6:$AC$83, 5,FALSE),"")</f>
        <v/>
      </c>
      <c r="W3062" s="45" t="str">
        <f>IFERROR(VLOOKUP(B3062,'Pre-Summary'!$Y$6:$AD$83,6,FALSE),"")</f>
        <v/>
      </c>
      <c r="X3062" t="str">
        <f>IFERROR(VLOOKUP('Pre-Summary'!$DB$6:$DD$63,3,FALSE),"")</f>
        <v/>
      </c>
      <c r="Y3062" t="str">
        <f>IFERROR(VLOOKUP(B3062,'Pre-Summary'!$CR$6:$CT$36,3,FALSE),"")</f>
        <v/>
      </c>
      <c r="Z3062" s="45" t="str">
        <f>IFERROR(VLOOKUP(B3062,'Pre-Summary'!$BZ$6:$CB$63,2,FALSE),"")</f>
        <v/>
      </c>
      <c r="AA3062" s="45" t="str">
        <f>IFERROR(VLOOKUP(B3062,'Pre-Summary'!$CG$6:$CI$70,2,FALSE),"")</f>
        <v/>
      </c>
      <c r="AB3062" s="99">
        <f>IFERROR(VLOOKUP(B3062,'Pre-Summary'!$A$6:$P$178,9,FALSE),AB3063)</f>
        <v>1.2254632720101373</v>
      </c>
      <c r="AC3062" s="10">
        <f>IFERROR(VLOOKUP(Summary!B3062,'Pre-Summary'!$A$6:$P$184,5, FALSE)/100,AC3063)</f>
        <v>0.83185799999999999</v>
      </c>
      <c r="AD3062" s="10">
        <f>IFERROR(VLOOKUP(Summary!B3062,'Pre-Summary'!$A$6:$P$184,3, FALSE)/100,AD3063)</f>
        <v>0.13380733333333333</v>
      </c>
      <c r="AE3062" s="10">
        <f>IFERROR(VLOOKUP(Summary!B3062,'Pre-Summary'!$A$6:$P$184,7, FALSE)/100,AE3063)</f>
        <v>3.4334666666666666E-2</v>
      </c>
      <c r="AF3062" s="99">
        <f t="shared" si="142"/>
        <v>0.16397597252561777</v>
      </c>
      <c r="AG3062" s="99">
        <f t="shared" si="143"/>
        <v>4.2075872956710725E-2</v>
      </c>
      <c r="AH3062" s="10" t="str">
        <f>IFERROR(VLOOKUP(B3062,'Pre-Summary'!$AZ$6:$BE$65,3,FALSE),"")</f>
        <v/>
      </c>
      <c r="AI3062" s="10" t="str">
        <f>IFERROR(VLOOKUP(B3062,'Pre-Summary'!$AZ$6:$BE$65,5,FALSE),"")</f>
        <v/>
      </c>
      <c r="AJ3062" s="10" t="str">
        <f>IFERROR(VLOOKUP(B3062,'Pre-Summary'!$AZ$6:$BE$65,4,FALSE),"")</f>
        <v/>
      </c>
      <c r="AK3062" s="10" t="str">
        <f>IFERROR(VLOOKUP(B3062,'Pre-Summary'!$AZ$6:$BE$65,6,FALSE),"")</f>
        <v/>
      </c>
      <c r="AL3062" s="10" t="str">
        <f>IFERROR(VLOOKUP(B3062,'Pre-Summary'!$BG$6:$BL$44,3,FALSE),"")</f>
        <v/>
      </c>
      <c r="AM3062" s="10" t="str">
        <f>IFERROR(VLOOKUP(B3062,'Pre-Summary'!$BG$6:$BL$44,4,FALSE),"")</f>
        <v/>
      </c>
    </row>
    <row r="3063" spans="2:39" ht="15" customHeight="1" x14ac:dyDescent="0.3">
      <c r="B3063">
        <v>306</v>
      </c>
      <c r="C3063" t="str">
        <f>IFERROR(VLOOKUP(B3063,'Pre-Summary'!$DI$6:$DM$23,4,FALSE),"")</f>
        <v/>
      </c>
      <c r="D3063" s="10" t="str">
        <f>IFERROR(VLOOKUP(B3063,'Pre-Summary'!$AT$6:$AX$14,5,FALSE),D3062)</f>
        <v>Wolfe v3: went back to modified wolfe + EDTA and switched CuSO4 to CUCl2</v>
      </c>
      <c r="E3063" s="10" t="str">
        <f>IFERROR(VLOOKUP(B3063,'Pre-Summary'!$AT$6:$AX$15,4,FALSE),"")</f>
        <v/>
      </c>
      <c r="F3063">
        <f>IFERROR(VLOOKUP(B3063,'Pre-Summary'!$AL$6:$AQ$13,6,FALSE),F3062)</f>
        <v>5.9405263157894746E-2</v>
      </c>
      <c r="G3063" t="str">
        <f>IFERROR(VLOOKUP(B3063,'Pre-Summary'!$AE$6:$AJ$85,3,FALSE),"")</f>
        <v/>
      </c>
      <c r="H3063" t="str">
        <f>IFERROR(VLOOKUP(B3063,'Pre-Summary'!$AE$6:$AJ$85,4,FALSE),"")</f>
        <v/>
      </c>
      <c r="I3063" t="str">
        <f>IFERROR(VLOOKUP(B3063,'Pre-Summary'!$AE$6:$AJ$85,5,FALSE),"")</f>
        <v/>
      </c>
      <c r="J3063" s="45" t="str">
        <f>IFERROR(VLOOKUP(B3063,'Pre-Summary'!$AE$6:$AJ$85,6, FALSE),"")</f>
        <v/>
      </c>
      <c r="K3063" s="45" t="str">
        <f>IFERROR(VLOOKUP(B3063,'Pre-Summary'!$DE$6:$DG$61,3,FALSE),"")</f>
        <v/>
      </c>
      <c r="L3063" s="45" t="str">
        <f>IFERROR(VLOOKUP(B3063,'Pre-Summary'!$CU$6:$CW$36,3,FALSE),"")</f>
        <v/>
      </c>
      <c r="M3063" s="45" t="str">
        <f>IFERROR(VLOOKUP(B3063,'Pre-Summary'!$BW$6:$BY$58,2,FALSE),"")</f>
        <v/>
      </c>
      <c r="N3063" s="45" t="str">
        <f>IFERROR(VLOOKUP(B3063,'Pre-Summary'!$CD$6:$CF$64,2,FALSE),"")</f>
        <v/>
      </c>
      <c r="O3063" s="99">
        <f>IFERROR(VLOOKUP(B3063,'Pre-Summary'!$BO$6:$BQ$48,3, FALSE),O3062)</f>
        <v>3.3239999999999998</v>
      </c>
      <c r="P3063" s="99">
        <f>IFERROR(VLOOKUP(B3063,'Pre-Summary'!$BS$6:$BU$35,3,FALSE),P3062)</f>
        <v>0.84099999999999997</v>
      </c>
      <c r="Q3063" s="54">
        <f t="shared" si="141"/>
        <v>3.9524375743162903</v>
      </c>
      <c r="R3063" s="53">
        <f>IFERROR(VLOOKUP(B3063,'Pre-Summary'!$BG$6:$BM$44,7,FALSE),R3064)</f>
        <v>0</v>
      </c>
      <c r="S3063" s="53" t="e">
        <f>VLOOKUP(B3063,'Pre-Summary'!$BG$6:$BM$44,6,FALSE)</f>
        <v>#N/A</v>
      </c>
      <c r="T3063" s="45" t="str">
        <f>IFERROR(VLOOKUP(B3063,'Pre-Summary'!$Y$6:$AC$83, 3,FALSE),"")</f>
        <v/>
      </c>
      <c r="U3063" s="45" t="str">
        <f>IFERROR(VLOOKUP(B3063,'Pre-Summary'!$Y$6:$AC$83, 4,FALSE),"")</f>
        <v/>
      </c>
      <c r="V3063" t="str">
        <f>IFERROR(VLOOKUP(B3063,'Pre-Summary'!$Y$6:$AC$83, 5,FALSE),"")</f>
        <v/>
      </c>
      <c r="W3063" s="45" t="str">
        <f>IFERROR(VLOOKUP(B3063,'Pre-Summary'!$Y$6:$AD$83,6,FALSE),"")</f>
        <v/>
      </c>
      <c r="X3063" t="str">
        <f>IFERROR(VLOOKUP('Pre-Summary'!$DB$6:$DD$63,3,FALSE),"")</f>
        <v/>
      </c>
      <c r="Y3063" t="str">
        <f>IFERROR(VLOOKUP(B3063,'Pre-Summary'!$CR$6:$CT$36,3,FALSE),"")</f>
        <v/>
      </c>
      <c r="Z3063" s="45" t="str">
        <f>IFERROR(VLOOKUP(B3063,'Pre-Summary'!$BZ$6:$CB$63,2,FALSE),"")</f>
        <v/>
      </c>
      <c r="AA3063" s="45" t="str">
        <f>IFERROR(VLOOKUP(B3063,'Pre-Summary'!$CG$6:$CI$70,2,FALSE),"")</f>
        <v/>
      </c>
      <c r="AB3063" s="99">
        <f>IFERROR(VLOOKUP(B3063,'Pre-Summary'!$A$6:$P$178,9,FALSE),AB3064)</f>
        <v>1.2254632720101373</v>
      </c>
      <c r="AC3063" s="10">
        <f>IFERROR(VLOOKUP(Summary!B3063,'Pre-Summary'!$A$6:$P$184,5, FALSE)/100,AC3064)</f>
        <v>0.83185799999999999</v>
      </c>
      <c r="AD3063" s="10">
        <f>IFERROR(VLOOKUP(Summary!B3063,'Pre-Summary'!$A$6:$P$184,3, FALSE)/100,AD3064)</f>
        <v>0.13380733333333333</v>
      </c>
      <c r="AE3063" s="10">
        <f>IFERROR(VLOOKUP(Summary!B3063,'Pre-Summary'!$A$6:$P$184,7, FALSE)/100,AE3064)</f>
        <v>3.4334666666666666E-2</v>
      </c>
      <c r="AF3063" s="99">
        <f t="shared" si="142"/>
        <v>0.16397597252561777</v>
      </c>
      <c r="AG3063" s="99">
        <f t="shared" si="143"/>
        <v>4.2075872956710725E-2</v>
      </c>
      <c r="AH3063" s="10" t="str">
        <f>IFERROR(VLOOKUP(B3063,'Pre-Summary'!$AZ$6:$BE$65,3,FALSE),"")</f>
        <v/>
      </c>
      <c r="AI3063" s="10" t="str">
        <f>IFERROR(VLOOKUP(B3063,'Pre-Summary'!$AZ$6:$BE$65,5,FALSE),"")</f>
        <v/>
      </c>
      <c r="AJ3063" s="10" t="str">
        <f>IFERROR(VLOOKUP(B3063,'Pre-Summary'!$AZ$6:$BE$65,4,FALSE),"")</f>
        <v/>
      </c>
      <c r="AK3063" s="10" t="str">
        <f>IFERROR(VLOOKUP(B3063,'Pre-Summary'!$AZ$6:$BE$65,6,FALSE),"")</f>
        <v/>
      </c>
      <c r="AL3063" s="10" t="str">
        <f>IFERROR(VLOOKUP(B3063,'Pre-Summary'!$BG$6:$BL$44,3,FALSE),"")</f>
        <v/>
      </c>
      <c r="AM3063" s="10" t="str">
        <f>IFERROR(VLOOKUP(B3063,'Pre-Summary'!$BG$6:$BL$44,4,FALSE),"")</f>
        <v/>
      </c>
    </row>
    <row r="3064" spans="2:39" ht="15" customHeight="1" x14ac:dyDescent="0.3">
      <c r="B3064">
        <v>306.10000000000002</v>
      </c>
      <c r="C3064" t="str">
        <f>IFERROR(VLOOKUP(B3064,'Pre-Summary'!$DI$6:$DM$23,4,FALSE),"")</f>
        <v/>
      </c>
      <c r="D3064" s="10" t="str">
        <f>IFERROR(VLOOKUP(B3064,'Pre-Summary'!$AT$6:$AX$14,5,FALSE),D3063)</f>
        <v>Wolfe v3: went back to modified wolfe + EDTA and switched CuSO4 to CUCl2</v>
      </c>
      <c r="E3064" s="10" t="str">
        <f>IFERROR(VLOOKUP(B3064,'Pre-Summary'!$AT$6:$AX$15,4,FALSE),"")</f>
        <v/>
      </c>
      <c r="F3064">
        <f>IFERROR(VLOOKUP(B3064,'Pre-Summary'!$AL$6:$AQ$13,6,FALSE),F3063)</f>
        <v>5.9405263157894746E-2</v>
      </c>
      <c r="G3064" t="str">
        <f>IFERROR(VLOOKUP(B3064,'Pre-Summary'!$AE$6:$AJ$85,3,FALSE),"")</f>
        <v/>
      </c>
      <c r="H3064" t="str">
        <f>IFERROR(VLOOKUP(B3064,'Pre-Summary'!$AE$6:$AJ$85,4,FALSE),"")</f>
        <v/>
      </c>
      <c r="I3064" t="str">
        <f>IFERROR(VLOOKUP(B3064,'Pre-Summary'!$AE$6:$AJ$85,5,FALSE),"")</f>
        <v/>
      </c>
      <c r="J3064" s="45" t="str">
        <f>IFERROR(VLOOKUP(B3064,'Pre-Summary'!$AE$6:$AJ$85,6, FALSE),"")</f>
        <v/>
      </c>
      <c r="K3064" s="45" t="str">
        <f>IFERROR(VLOOKUP(B3064,'Pre-Summary'!$DE$6:$DG$61,3,FALSE),"")</f>
        <v/>
      </c>
      <c r="L3064" s="45" t="str">
        <f>IFERROR(VLOOKUP(B3064,'Pre-Summary'!$CU$6:$CW$36,3,FALSE),"")</f>
        <v/>
      </c>
      <c r="M3064" s="45" t="str">
        <f>IFERROR(VLOOKUP(B3064,'Pre-Summary'!$BW$6:$BY$58,2,FALSE),"")</f>
        <v/>
      </c>
      <c r="N3064" s="45" t="str">
        <f>IFERROR(VLOOKUP(B3064,'Pre-Summary'!$CD$6:$CF$64,2,FALSE),"")</f>
        <v/>
      </c>
      <c r="O3064" s="99">
        <f>IFERROR(VLOOKUP(B3064,'Pre-Summary'!$BO$6:$BQ$48,3, FALSE),O3063)</f>
        <v>3.3239999999999998</v>
      </c>
      <c r="P3064" s="99">
        <f>IFERROR(VLOOKUP(B3064,'Pre-Summary'!$BS$6:$BU$35,3,FALSE),P3063)</f>
        <v>0.84099999999999997</v>
      </c>
      <c r="Q3064" s="54">
        <f t="shared" si="141"/>
        <v>3.9524375743162903</v>
      </c>
      <c r="R3064" s="53">
        <f>IFERROR(VLOOKUP(B3064,'Pre-Summary'!$BG$6:$BM$44,7,FALSE),R3065)</f>
        <v>0</v>
      </c>
      <c r="S3064" s="53" t="e">
        <f>VLOOKUP(B3064,'Pre-Summary'!$BG$6:$BM$44,6,FALSE)</f>
        <v>#N/A</v>
      </c>
      <c r="T3064" s="45" t="str">
        <f>IFERROR(VLOOKUP(B3064,'Pre-Summary'!$Y$6:$AC$83, 3,FALSE),"")</f>
        <v/>
      </c>
      <c r="U3064" s="45" t="str">
        <f>IFERROR(VLOOKUP(B3064,'Pre-Summary'!$Y$6:$AC$83, 4,FALSE),"")</f>
        <v/>
      </c>
      <c r="V3064" t="str">
        <f>IFERROR(VLOOKUP(B3064,'Pre-Summary'!$Y$6:$AC$83, 5,FALSE),"")</f>
        <v/>
      </c>
      <c r="W3064" s="45" t="str">
        <f>IFERROR(VLOOKUP(B3064,'Pre-Summary'!$Y$6:$AD$83,6,FALSE),"")</f>
        <v/>
      </c>
      <c r="X3064" t="str">
        <f>IFERROR(VLOOKUP('Pre-Summary'!$DB$6:$DD$63,3,FALSE),"")</f>
        <v/>
      </c>
      <c r="Y3064" t="str">
        <f>IFERROR(VLOOKUP(B3064,'Pre-Summary'!$CR$6:$CT$36,3,FALSE),"")</f>
        <v/>
      </c>
      <c r="Z3064" s="45" t="str">
        <f>IFERROR(VLOOKUP(B3064,'Pre-Summary'!$BZ$6:$CB$63,2,FALSE),"")</f>
        <v/>
      </c>
      <c r="AA3064" s="45" t="str">
        <f>IFERROR(VLOOKUP(B3064,'Pre-Summary'!$CG$6:$CI$70,2,FALSE),"")</f>
        <v/>
      </c>
      <c r="AB3064" s="99">
        <f>IFERROR(VLOOKUP(B3064,'Pre-Summary'!$A$6:$P$178,9,FALSE),AB3065)</f>
        <v>1.2254632720101373</v>
      </c>
      <c r="AC3064" s="10">
        <f>IFERROR(VLOOKUP(Summary!B3064,'Pre-Summary'!$A$6:$P$184,5, FALSE)/100,AC3065)</f>
        <v>0.83185799999999999</v>
      </c>
      <c r="AD3064" s="10">
        <f>IFERROR(VLOOKUP(Summary!B3064,'Pre-Summary'!$A$6:$P$184,3, FALSE)/100,AD3065)</f>
        <v>0.13380733333333333</v>
      </c>
      <c r="AE3064" s="10">
        <f>IFERROR(VLOOKUP(Summary!B3064,'Pre-Summary'!$A$6:$P$184,7, FALSE)/100,AE3065)</f>
        <v>3.4334666666666666E-2</v>
      </c>
      <c r="AF3064" s="99">
        <f t="shared" si="142"/>
        <v>0.16397597252561777</v>
      </c>
      <c r="AG3064" s="99">
        <f t="shared" si="143"/>
        <v>4.2075872956710725E-2</v>
      </c>
      <c r="AH3064" s="10" t="str">
        <f>IFERROR(VLOOKUP(B3064,'Pre-Summary'!$AZ$6:$BE$65,3,FALSE),"")</f>
        <v/>
      </c>
      <c r="AI3064" s="10" t="str">
        <f>IFERROR(VLOOKUP(B3064,'Pre-Summary'!$AZ$6:$BE$65,5,FALSE),"")</f>
        <v/>
      </c>
      <c r="AJ3064" s="10" t="str">
        <f>IFERROR(VLOOKUP(B3064,'Pre-Summary'!$AZ$6:$BE$65,4,FALSE),"")</f>
        <v/>
      </c>
      <c r="AK3064" s="10" t="str">
        <f>IFERROR(VLOOKUP(B3064,'Pre-Summary'!$AZ$6:$BE$65,6,FALSE),"")</f>
        <v/>
      </c>
      <c r="AL3064" s="10" t="str">
        <f>IFERROR(VLOOKUP(B3064,'Pre-Summary'!$BG$6:$BL$44,3,FALSE),"")</f>
        <v/>
      </c>
      <c r="AM3064" s="10" t="str">
        <f>IFERROR(VLOOKUP(B3064,'Pre-Summary'!$BG$6:$BL$44,4,FALSE),"")</f>
        <v/>
      </c>
    </row>
    <row r="3065" spans="2:39" ht="15" customHeight="1" x14ac:dyDescent="0.3">
      <c r="B3065">
        <v>306.2</v>
      </c>
      <c r="C3065" t="str">
        <f>IFERROR(VLOOKUP(B3065,'Pre-Summary'!$DI$6:$DM$23,4,FALSE),"")</f>
        <v/>
      </c>
      <c r="D3065" s="10" t="str">
        <f>IFERROR(VLOOKUP(B3065,'Pre-Summary'!$AT$6:$AX$14,5,FALSE),D3064)</f>
        <v>Wolfe v3: went back to modified wolfe + EDTA and switched CuSO4 to CUCl2</v>
      </c>
      <c r="E3065" s="10" t="str">
        <f>IFERROR(VLOOKUP(B3065,'Pre-Summary'!$AT$6:$AX$15,4,FALSE),"")</f>
        <v/>
      </c>
      <c r="F3065">
        <f>IFERROR(VLOOKUP(B3065,'Pre-Summary'!$AL$6:$AQ$13,6,FALSE),F3064)</f>
        <v>5.9405263157894746E-2</v>
      </c>
      <c r="G3065" t="str">
        <f>IFERROR(VLOOKUP(B3065,'Pre-Summary'!$AE$6:$AJ$85,3,FALSE),"")</f>
        <v/>
      </c>
      <c r="H3065" t="str">
        <f>IFERROR(VLOOKUP(B3065,'Pre-Summary'!$AE$6:$AJ$85,4,FALSE),"")</f>
        <v/>
      </c>
      <c r="I3065" t="str">
        <f>IFERROR(VLOOKUP(B3065,'Pre-Summary'!$AE$6:$AJ$85,5,FALSE),"")</f>
        <v/>
      </c>
      <c r="J3065" s="45" t="str">
        <f>IFERROR(VLOOKUP(B3065,'Pre-Summary'!$AE$6:$AJ$85,6, FALSE),"")</f>
        <v/>
      </c>
      <c r="K3065" s="45" t="str">
        <f>IFERROR(VLOOKUP(B3065,'Pre-Summary'!$DE$6:$DG$61,3,FALSE),"")</f>
        <v/>
      </c>
      <c r="L3065" s="45" t="str">
        <f>IFERROR(VLOOKUP(B3065,'Pre-Summary'!$CU$6:$CW$36,3,FALSE),"")</f>
        <v/>
      </c>
      <c r="M3065" s="45" t="str">
        <f>IFERROR(VLOOKUP(B3065,'Pre-Summary'!$BW$6:$BY$58,2,FALSE),"")</f>
        <v/>
      </c>
      <c r="N3065" s="45" t="str">
        <f>IFERROR(VLOOKUP(B3065,'Pre-Summary'!$CD$6:$CF$64,2,FALSE),"")</f>
        <v/>
      </c>
      <c r="O3065" s="99">
        <f>IFERROR(VLOOKUP(B3065,'Pre-Summary'!$BO$6:$BQ$48,3, FALSE),O3064)</f>
        <v>3.3239999999999998</v>
      </c>
      <c r="P3065" s="99">
        <f>IFERROR(VLOOKUP(B3065,'Pre-Summary'!$BS$6:$BU$35,3,FALSE),P3064)</f>
        <v>0.84099999999999997</v>
      </c>
      <c r="Q3065" s="54">
        <f t="shared" si="141"/>
        <v>3.9524375743162903</v>
      </c>
      <c r="R3065" s="53">
        <f>IFERROR(VLOOKUP(B3065,'Pre-Summary'!$BG$6:$BM$44,7,FALSE),R3066)</f>
        <v>0</v>
      </c>
      <c r="S3065" s="53" t="e">
        <f>VLOOKUP(B3065,'Pre-Summary'!$BG$6:$BM$44,6,FALSE)</f>
        <v>#N/A</v>
      </c>
      <c r="T3065" s="45" t="str">
        <f>IFERROR(VLOOKUP(B3065,'Pre-Summary'!$Y$6:$AC$83, 3,FALSE),"")</f>
        <v/>
      </c>
      <c r="U3065" s="45" t="str">
        <f>IFERROR(VLOOKUP(B3065,'Pre-Summary'!$Y$6:$AC$83, 4,FALSE),"")</f>
        <v/>
      </c>
      <c r="V3065" t="str">
        <f>IFERROR(VLOOKUP(B3065,'Pre-Summary'!$Y$6:$AC$83, 5,FALSE),"")</f>
        <v/>
      </c>
      <c r="W3065" s="45" t="str">
        <f>IFERROR(VLOOKUP(B3065,'Pre-Summary'!$Y$6:$AD$83,6,FALSE),"")</f>
        <v/>
      </c>
      <c r="X3065" t="str">
        <f>IFERROR(VLOOKUP('Pre-Summary'!$DB$6:$DD$63,3,FALSE),"")</f>
        <v/>
      </c>
      <c r="Y3065" t="str">
        <f>IFERROR(VLOOKUP(B3065,'Pre-Summary'!$CR$6:$CT$36,3,FALSE),"")</f>
        <v/>
      </c>
      <c r="Z3065" s="45" t="str">
        <f>IFERROR(VLOOKUP(B3065,'Pre-Summary'!$BZ$6:$CB$63,2,FALSE),"")</f>
        <v/>
      </c>
      <c r="AA3065" s="45" t="str">
        <f>IFERROR(VLOOKUP(B3065,'Pre-Summary'!$CG$6:$CI$70,2,FALSE),"")</f>
        <v/>
      </c>
      <c r="AB3065" s="99">
        <f>IFERROR(VLOOKUP(B3065,'Pre-Summary'!$A$6:$P$178,9,FALSE),AB3066)</f>
        <v>1.2254632720101373</v>
      </c>
      <c r="AC3065" s="10">
        <f>IFERROR(VLOOKUP(Summary!B3065,'Pre-Summary'!$A$6:$P$184,5, FALSE)/100,AC3066)</f>
        <v>0.83185799999999999</v>
      </c>
      <c r="AD3065" s="10">
        <f>IFERROR(VLOOKUP(Summary!B3065,'Pre-Summary'!$A$6:$P$184,3, FALSE)/100,AD3066)</f>
        <v>0.13380733333333333</v>
      </c>
      <c r="AE3065" s="10">
        <f>IFERROR(VLOOKUP(Summary!B3065,'Pre-Summary'!$A$6:$P$184,7, FALSE)/100,AE3066)</f>
        <v>3.4334666666666666E-2</v>
      </c>
      <c r="AF3065" s="99">
        <f t="shared" si="142"/>
        <v>0.16397597252561777</v>
      </c>
      <c r="AG3065" s="99">
        <f t="shared" si="143"/>
        <v>4.2075872956710725E-2</v>
      </c>
      <c r="AH3065" s="10" t="str">
        <f>IFERROR(VLOOKUP(B3065,'Pre-Summary'!$AZ$6:$BE$65,3,FALSE),"")</f>
        <v/>
      </c>
      <c r="AI3065" s="10" t="str">
        <f>IFERROR(VLOOKUP(B3065,'Pre-Summary'!$AZ$6:$BE$65,5,FALSE),"")</f>
        <v/>
      </c>
      <c r="AJ3065" s="10" t="str">
        <f>IFERROR(VLOOKUP(B3065,'Pre-Summary'!$AZ$6:$BE$65,4,FALSE),"")</f>
        <v/>
      </c>
      <c r="AK3065" s="10" t="str">
        <f>IFERROR(VLOOKUP(B3065,'Pre-Summary'!$AZ$6:$BE$65,6,FALSE),"")</f>
        <v/>
      </c>
      <c r="AL3065" s="10" t="str">
        <f>IFERROR(VLOOKUP(B3065,'Pre-Summary'!$BG$6:$BL$44,3,FALSE),"")</f>
        <v/>
      </c>
      <c r="AM3065" s="10" t="str">
        <f>IFERROR(VLOOKUP(B3065,'Pre-Summary'!$BG$6:$BL$44,4,FALSE),"")</f>
        <v/>
      </c>
    </row>
    <row r="3066" spans="2:39" ht="15" customHeight="1" x14ac:dyDescent="0.3">
      <c r="B3066">
        <v>306.3</v>
      </c>
      <c r="C3066" t="str">
        <f>IFERROR(VLOOKUP(B3066,'Pre-Summary'!$DI$6:$DM$23,4,FALSE),"")</f>
        <v/>
      </c>
      <c r="D3066" s="10" t="str">
        <f>IFERROR(VLOOKUP(B3066,'Pre-Summary'!$AT$6:$AX$14,5,FALSE),D3065)</f>
        <v>Wolfe v3: went back to modified wolfe + EDTA and switched CuSO4 to CUCl2</v>
      </c>
      <c r="E3066" s="10" t="str">
        <f>IFERROR(VLOOKUP(B3066,'Pre-Summary'!$AT$6:$AX$15,4,FALSE),"")</f>
        <v/>
      </c>
      <c r="F3066">
        <f>IFERROR(VLOOKUP(B3066,'Pre-Summary'!$AL$6:$AQ$13,6,FALSE),F3065)</f>
        <v>5.9405263157894746E-2</v>
      </c>
      <c r="G3066" t="str">
        <f>IFERROR(VLOOKUP(B3066,'Pre-Summary'!$AE$6:$AJ$85,3,FALSE),"")</f>
        <v/>
      </c>
      <c r="H3066" t="str">
        <f>IFERROR(VLOOKUP(B3066,'Pre-Summary'!$AE$6:$AJ$85,4,FALSE),"")</f>
        <v/>
      </c>
      <c r="I3066" t="str">
        <f>IFERROR(VLOOKUP(B3066,'Pre-Summary'!$AE$6:$AJ$85,5,FALSE),"")</f>
        <v/>
      </c>
      <c r="J3066" s="45" t="str">
        <f>IFERROR(VLOOKUP(B3066,'Pre-Summary'!$AE$6:$AJ$85,6, FALSE),"")</f>
        <v/>
      </c>
      <c r="K3066" s="45" t="str">
        <f>IFERROR(VLOOKUP(B3066,'Pre-Summary'!$DE$6:$DG$61,3,FALSE),"")</f>
        <v/>
      </c>
      <c r="L3066" s="45" t="str">
        <f>IFERROR(VLOOKUP(B3066,'Pre-Summary'!$CU$6:$CW$36,3,FALSE),"")</f>
        <v/>
      </c>
      <c r="M3066" s="45" t="str">
        <f>IFERROR(VLOOKUP(B3066,'Pre-Summary'!$BW$6:$BY$58,2,FALSE),"")</f>
        <v/>
      </c>
      <c r="N3066" s="45" t="str">
        <f>IFERROR(VLOOKUP(B3066,'Pre-Summary'!$CD$6:$CF$64,2,FALSE),"")</f>
        <v/>
      </c>
      <c r="O3066" s="99">
        <f>IFERROR(VLOOKUP(B3066,'Pre-Summary'!$BO$6:$BQ$48,3, FALSE),O3065)</f>
        <v>3.3239999999999998</v>
      </c>
      <c r="P3066" s="99">
        <f>IFERROR(VLOOKUP(B3066,'Pre-Summary'!$BS$6:$BU$35,3,FALSE),P3065)</f>
        <v>0.84099999999999997</v>
      </c>
      <c r="Q3066" s="54">
        <f t="shared" si="141"/>
        <v>3.9524375743162903</v>
      </c>
      <c r="R3066" s="53">
        <f>IFERROR(VLOOKUP(B3066,'Pre-Summary'!$BG$6:$BM$44,7,FALSE),R3067)</f>
        <v>0</v>
      </c>
      <c r="S3066" s="53" t="e">
        <f>VLOOKUP(B3066,'Pre-Summary'!$BG$6:$BM$44,6,FALSE)</f>
        <v>#N/A</v>
      </c>
      <c r="T3066" s="45" t="str">
        <f>IFERROR(VLOOKUP(B3066,'Pre-Summary'!$Y$6:$AC$83, 3,FALSE),"")</f>
        <v/>
      </c>
      <c r="U3066" s="45" t="str">
        <f>IFERROR(VLOOKUP(B3066,'Pre-Summary'!$Y$6:$AC$83, 4,FALSE),"")</f>
        <v/>
      </c>
      <c r="V3066" t="str">
        <f>IFERROR(VLOOKUP(B3066,'Pre-Summary'!$Y$6:$AC$83, 5,FALSE),"")</f>
        <v/>
      </c>
      <c r="W3066" s="45" t="str">
        <f>IFERROR(VLOOKUP(B3066,'Pre-Summary'!$Y$6:$AD$83,6,FALSE),"")</f>
        <v/>
      </c>
      <c r="X3066" t="str">
        <f>IFERROR(VLOOKUP('Pre-Summary'!$DB$6:$DD$63,3,FALSE),"")</f>
        <v/>
      </c>
      <c r="Y3066" t="str">
        <f>IFERROR(VLOOKUP(B3066,'Pre-Summary'!$CR$6:$CT$36,3,FALSE),"")</f>
        <v/>
      </c>
      <c r="Z3066" s="45" t="str">
        <f>IFERROR(VLOOKUP(B3066,'Pre-Summary'!$BZ$6:$CB$63,2,FALSE),"")</f>
        <v/>
      </c>
      <c r="AA3066" s="45" t="str">
        <f>IFERROR(VLOOKUP(B3066,'Pre-Summary'!$CG$6:$CI$70,2,FALSE),"")</f>
        <v/>
      </c>
      <c r="AB3066" s="99">
        <f>IFERROR(VLOOKUP(B3066,'Pre-Summary'!$A$6:$P$178,9,FALSE),AB3067)</f>
        <v>1.2254632720101373</v>
      </c>
      <c r="AC3066" s="10">
        <f>IFERROR(VLOOKUP(Summary!B3066,'Pre-Summary'!$A$6:$P$184,5, FALSE)/100,AC3067)</f>
        <v>0.83185799999999999</v>
      </c>
      <c r="AD3066" s="10">
        <f>IFERROR(VLOOKUP(Summary!B3066,'Pre-Summary'!$A$6:$P$184,3, FALSE)/100,AD3067)</f>
        <v>0.13380733333333333</v>
      </c>
      <c r="AE3066" s="10">
        <f>IFERROR(VLOOKUP(Summary!B3066,'Pre-Summary'!$A$6:$P$184,7, FALSE)/100,AE3067)</f>
        <v>3.4334666666666666E-2</v>
      </c>
      <c r="AF3066" s="99">
        <f t="shared" si="142"/>
        <v>0.16397597252561777</v>
      </c>
      <c r="AG3066" s="99">
        <f t="shared" si="143"/>
        <v>4.2075872956710725E-2</v>
      </c>
      <c r="AH3066" s="10" t="str">
        <f>IFERROR(VLOOKUP(B3066,'Pre-Summary'!$AZ$6:$BE$65,3,FALSE),"")</f>
        <v/>
      </c>
      <c r="AI3066" s="10" t="str">
        <f>IFERROR(VLOOKUP(B3066,'Pre-Summary'!$AZ$6:$BE$65,5,FALSE),"")</f>
        <v/>
      </c>
      <c r="AJ3066" s="10" t="str">
        <f>IFERROR(VLOOKUP(B3066,'Pre-Summary'!$AZ$6:$BE$65,4,FALSE),"")</f>
        <v/>
      </c>
      <c r="AK3066" s="10" t="str">
        <f>IFERROR(VLOOKUP(B3066,'Pre-Summary'!$AZ$6:$BE$65,6,FALSE),"")</f>
        <v/>
      </c>
      <c r="AL3066" s="10" t="str">
        <f>IFERROR(VLOOKUP(B3066,'Pre-Summary'!$BG$6:$BL$44,3,FALSE),"")</f>
        <v/>
      </c>
      <c r="AM3066" s="10" t="str">
        <f>IFERROR(VLOOKUP(B3066,'Pre-Summary'!$BG$6:$BL$44,4,FALSE),"")</f>
        <v/>
      </c>
    </row>
    <row r="3067" spans="2:39" ht="15" customHeight="1" x14ac:dyDescent="0.3">
      <c r="B3067">
        <v>306.39999999999998</v>
      </c>
      <c r="C3067" t="str">
        <f>IFERROR(VLOOKUP(B3067,'Pre-Summary'!$DI$6:$DM$23,4,FALSE),"")</f>
        <v/>
      </c>
      <c r="D3067" s="10" t="str">
        <f>IFERROR(VLOOKUP(B3067,'Pre-Summary'!$AT$6:$AX$14,5,FALSE),D3066)</f>
        <v>Wolfe v3: went back to modified wolfe + EDTA and switched CuSO4 to CUCl2</v>
      </c>
      <c r="E3067" s="10" t="str">
        <f>IFERROR(VLOOKUP(B3067,'Pre-Summary'!$AT$6:$AX$15,4,FALSE),"")</f>
        <v/>
      </c>
      <c r="F3067">
        <f>IFERROR(VLOOKUP(B3067,'Pre-Summary'!$AL$6:$AQ$13,6,FALSE),F3066)</f>
        <v>5.9405263157894746E-2</v>
      </c>
      <c r="G3067" t="str">
        <f>IFERROR(VLOOKUP(B3067,'Pre-Summary'!$AE$6:$AJ$85,3,FALSE),"")</f>
        <v/>
      </c>
      <c r="H3067" t="str">
        <f>IFERROR(VLOOKUP(B3067,'Pre-Summary'!$AE$6:$AJ$85,4,FALSE),"")</f>
        <v/>
      </c>
      <c r="I3067" t="str">
        <f>IFERROR(VLOOKUP(B3067,'Pre-Summary'!$AE$6:$AJ$85,5,FALSE),"")</f>
        <v/>
      </c>
      <c r="J3067" s="45" t="str">
        <f>IFERROR(VLOOKUP(B3067,'Pre-Summary'!$AE$6:$AJ$85,6, FALSE),"")</f>
        <v/>
      </c>
      <c r="K3067" s="45" t="str">
        <f>IFERROR(VLOOKUP(B3067,'Pre-Summary'!$DE$6:$DG$61,3,FALSE),"")</f>
        <v/>
      </c>
      <c r="L3067" s="45" t="str">
        <f>IFERROR(VLOOKUP(B3067,'Pre-Summary'!$CU$6:$CW$36,3,FALSE),"")</f>
        <v/>
      </c>
      <c r="M3067" s="45" t="str">
        <f>IFERROR(VLOOKUP(B3067,'Pre-Summary'!$BW$6:$BY$58,2,FALSE),"")</f>
        <v/>
      </c>
      <c r="N3067" s="45" t="str">
        <f>IFERROR(VLOOKUP(B3067,'Pre-Summary'!$CD$6:$CF$64,2,FALSE),"")</f>
        <v/>
      </c>
      <c r="O3067" s="99">
        <f>IFERROR(VLOOKUP(B3067,'Pre-Summary'!$BO$6:$BQ$48,3, FALSE),O3066)</f>
        <v>3.3239999999999998</v>
      </c>
      <c r="P3067" s="99">
        <f>IFERROR(VLOOKUP(B3067,'Pre-Summary'!$BS$6:$BU$35,3,FALSE),P3066)</f>
        <v>0.84099999999999997</v>
      </c>
      <c r="Q3067" s="54">
        <f t="shared" si="141"/>
        <v>3.9524375743162903</v>
      </c>
      <c r="R3067" s="53">
        <f>IFERROR(VLOOKUP(B3067,'Pre-Summary'!$BG$6:$BM$44,7,FALSE),R3068)</f>
        <v>0</v>
      </c>
      <c r="S3067" s="53" t="e">
        <f>VLOOKUP(B3067,'Pre-Summary'!$BG$6:$BM$44,6,FALSE)</f>
        <v>#N/A</v>
      </c>
      <c r="T3067" s="45" t="str">
        <f>IFERROR(VLOOKUP(B3067,'Pre-Summary'!$Y$6:$AC$83, 3,FALSE),"")</f>
        <v/>
      </c>
      <c r="U3067" s="45" t="str">
        <f>IFERROR(VLOOKUP(B3067,'Pre-Summary'!$Y$6:$AC$83, 4,FALSE),"")</f>
        <v/>
      </c>
      <c r="V3067" t="str">
        <f>IFERROR(VLOOKUP(B3067,'Pre-Summary'!$Y$6:$AC$83, 5,FALSE),"")</f>
        <v/>
      </c>
      <c r="W3067" s="45" t="str">
        <f>IFERROR(VLOOKUP(B3067,'Pre-Summary'!$Y$6:$AD$83,6,FALSE),"")</f>
        <v/>
      </c>
      <c r="X3067" t="str">
        <f>IFERROR(VLOOKUP('Pre-Summary'!$DB$6:$DD$63,3,FALSE),"")</f>
        <v/>
      </c>
      <c r="Y3067" t="str">
        <f>IFERROR(VLOOKUP(B3067,'Pre-Summary'!$CR$6:$CT$36,3,FALSE),"")</f>
        <v/>
      </c>
      <c r="Z3067" s="45" t="str">
        <f>IFERROR(VLOOKUP(B3067,'Pre-Summary'!$BZ$6:$CB$63,2,FALSE),"")</f>
        <v/>
      </c>
      <c r="AA3067" s="45" t="str">
        <f>IFERROR(VLOOKUP(B3067,'Pre-Summary'!$CG$6:$CI$70,2,FALSE),"")</f>
        <v/>
      </c>
      <c r="AB3067" s="99">
        <f>IFERROR(VLOOKUP(B3067,'Pre-Summary'!$A$6:$P$178,9,FALSE),AB3068)</f>
        <v>1.2254632720101373</v>
      </c>
      <c r="AC3067" s="10">
        <f>IFERROR(VLOOKUP(Summary!B3067,'Pre-Summary'!$A$6:$P$184,5, FALSE)/100,AC3068)</f>
        <v>0.83185799999999999</v>
      </c>
      <c r="AD3067" s="10">
        <f>IFERROR(VLOOKUP(Summary!B3067,'Pre-Summary'!$A$6:$P$184,3, FALSE)/100,AD3068)</f>
        <v>0.13380733333333333</v>
      </c>
      <c r="AE3067" s="10">
        <f>IFERROR(VLOOKUP(Summary!B3067,'Pre-Summary'!$A$6:$P$184,7, FALSE)/100,AE3068)</f>
        <v>3.4334666666666666E-2</v>
      </c>
      <c r="AF3067" s="99">
        <f t="shared" si="142"/>
        <v>0.16397597252561777</v>
      </c>
      <c r="AG3067" s="99">
        <f t="shared" si="143"/>
        <v>4.2075872956710725E-2</v>
      </c>
      <c r="AH3067" s="10" t="str">
        <f>IFERROR(VLOOKUP(B3067,'Pre-Summary'!$AZ$6:$BE$65,3,FALSE),"")</f>
        <v/>
      </c>
      <c r="AI3067" s="10" t="str">
        <f>IFERROR(VLOOKUP(B3067,'Pre-Summary'!$AZ$6:$BE$65,5,FALSE),"")</f>
        <v/>
      </c>
      <c r="AJ3067" s="10" t="str">
        <f>IFERROR(VLOOKUP(B3067,'Pre-Summary'!$AZ$6:$BE$65,4,FALSE),"")</f>
        <v/>
      </c>
      <c r="AK3067" s="10" t="str">
        <f>IFERROR(VLOOKUP(B3067,'Pre-Summary'!$AZ$6:$BE$65,6,FALSE),"")</f>
        <v/>
      </c>
      <c r="AL3067" s="10" t="str">
        <f>IFERROR(VLOOKUP(B3067,'Pre-Summary'!$BG$6:$BL$44,3,FALSE),"")</f>
        <v/>
      </c>
      <c r="AM3067" s="10" t="str">
        <f>IFERROR(VLOOKUP(B3067,'Pre-Summary'!$BG$6:$BL$44,4,FALSE),"")</f>
        <v/>
      </c>
    </row>
    <row r="3068" spans="2:39" ht="15" customHeight="1" x14ac:dyDescent="0.3">
      <c r="B3068">
        <v>306.5</v>
      </c>
      <c r="C3068" t="str">
        <f>IFERROR(VLOOKUP(B3068,'Pre-Summary'!$DI$6:$DM$23,4,FALSE),"")</f>
        <v/>
      </c>
      <c r="D3068" s="10" t="str">
        <f>IFERROR(VLOOKUP(B3068,'Pre-Summary'!$AT$6:$AX$14,5,FALSE),D3067)</f>
        <v>Wolfe v3: went back to modified wolfe + EDTA and switched CuSO4 to CUCl2</v>
      </c>
      <c r="E3068" s="10" t="str">
        <f>IFERROR(VLOOKUP(B3068,'Pre-Summary'!$AT$6:$AX$15,4,FALSE),"")</f>
        <v/>
      </c>
      <c r="F3068">
        <f>IFERROR(VLOOKUP(B3068,'Pre-Summary'!$AL$6:$AQ$13,6,FALSE),F3067)</f>
        <v>5.9405263157894746E-2</v>
      </c>
      <c r="G3068">
        <f>IFERROR(VLOOKUP(B3068,'Pre-Summary'!$AE$6:$AJ$85,3,FALSE),"")</f>
        <v>109.04900000000001</v>
      </c>
      <c r="H3068" t="str">
        <f>IFERROR(VLOOKUP(B3068,'Pre-Summary'!$AE$6:$AJ$85,4,FALSE),"")</f>
        <v/>
      </c>
      <c r="I3068" t="str">
        <f>IFERROR(VLOOKUP(B3068,'Pre-Summary'!$AE$6:$AJ$85,5,FALSE),"")</f>
        <v/>
      </c>
      <c r="J3068" s="45">
        <f>IFERROR(VLOOKUP(B3068,'Pre-Summary'!$AE$6:$AJ$85,6, FALSE),"")</f>
        <v>116.355283</v>
      </c>
      <c r="K3068" s="45" t="str">
        <f>IFERROR(VLOOKUP(B3068,'Pre-Summary'!$DE$6:$DG$61,3,FALSE),"")</f>
        <v/>
      </c>
      <c r="L3068" s="45" t="str">
        <f>IFERROR(VLOOKUP(B3068,'Pre-Summary'!$CU$6:$CW$36,3,FALSE),"")</f>
        <v/>
      </c>
      <c r="M3068" s="45" t="str">
        <f>IFERROR(VLOOKUP(B3068,'Pre-Summary'!$BW$6:$BY$58,2,FALSE),"")</f>
        <v/>
      </c>
      <c r="N3068" s="45" t="str">
        <f>IFERROR(VLOOKUP(B3068,'Pre-Summary'!$CD$6:$CF$64,2,FALSE),"")</f>
        <v/>
      </c>
      <c r="O3068" s="99">
        <f>IFERROR(VLOOKUP(B3068,'Pre-Summary'!$BO$6:$BQ$48,3, FALSE),O3067)</f>
        <v>3.3239999999999998</v>
      </c>
      <c r="P3068" s="99">
        <f>IFERROR(VLOOKUP(B3068,'Pre-Summary'!$BS$6:$BU$35,3,FALSE),P3067)</f>
        <v>0.84099999999999997</v>
      </c>
      <c r="Q3068" s="54">
        <f t="shared" si="141"/>
        <v>3.9524375743162903</v>
      </c>
      <c r="R3068" s="53">
        <f>IFERROR(VLOOKUP(B3068,'Pre-Summary'!$BG$6:$BM$44,7,FALSE),R3069)</f>
        <v>0</v>
      </c>
      <c r="S3068" s="53" t="e">
        <f>VLOOKUP(B3068,'Pre-Summary'!$BG$6:$BM$44,6,FALSE)</f>
        <v>#N/A</v>
      </c>
      <c r="T3068" s="45">
        <f>IFERROR(VLOOKUP(B3068,'Pre-Summary'!$Y$6:$AC$83, 3,FALSE),"")</f>
        <v>5.4139999999999997</v>
      </c>
      <c r="U3068" s="45">
        <f>IFERROR(VLOOKUP(B3068,'Pre-Summary'!$Y$6:$AC$83, 4,FALSE),"")</f>
        <v>1.7609999999999999</v>
      </c>
      <c r="V3068">
        <f>IFERROR(VLOOKUP(B3068,'Pre-Summary'!$Y$6:$AC$83, 5,FALSE),"")</f>
        <v>1.806</v>
      </c>
      <c r="W3068" s="45">
        <f>IFERROR(VLOOKUP(B3068,'Pre-Summary'!$Y$6:$AD$83,6,FALSE),"")</f>
        <v>11.726199999999999</v>
      </c>
      <c r="X3068" t="str">
        <f>IFERROR(VLOOKUP('Pre-Summary'!$DB$6:$DD$63,3,FALSE),"")</f>
        <v/>
      </c>
      <c r="Y3068" t="str">
        <f>IFERROR(VLOOKUP(B3068,'Pre-Summary'!$CR$6:$CT$36,3,FALSE),"")</f>
        <v/>
      </c>
      <c r="Z3068" s="45" t="str">
        <f>IFERROR(VLOOKUP(B3068,'Pre-Summary'!$BZ$6:$CB$63,2,FALSE),"")</f>
        <v/>
      </c>
      <c r="AA3068" s="45" t="str">
        <f>IFERROR(VLOOKUP(B3068,'Pre-Summary'!$CG$6:$CI$70,2,FALSE),"")</f>
        <v/>
      </c>
      <c r="AB3068" s="99">
        <f>IFERROR(VLOOKUP(B3068,'Pre-Summary'!$A$6:$P$178,9,FALSE),AB3069)</f>
        <v>1.2254632720101373</v>
      </c>
      <c r="AC3068" s="10">
        <f>IFERROR(VLOOKUP(Summary!B3068,'Pre-Summary'!$A$6:$P$184,5, FALSE)/100,AC3069)</f>
        <v>0.83185799999999999</v>
      </c>
      <c r="AD3068" s="10">
        <f>IFERROR(VLOOKUP(Summary!B3068,'Pre-Summary'!$A$6:$P$184,3, FALSE)/100,AD3069)</f>
        <v>0.13380733333333333</v>
      </c>
      <c r="AE3068" s="10">
        <f>IFERROR(VLOOKUP(Summary!B3068,'Pre-Summary'!$A$6:$P$184,7, FALSE)/100,AE3069)</f>
        <v>3.4334666666666666E-2</v>
      </c>
      <c r="AF3068" s="99">
        <f t="shared" si="142"/>
        <v>0.16397597252561777</v>
      </c>
      <c r="AG3068" s="99">
        <f t="shared" si="143"/>
        <v>4.2075872956710725E-2</v>
      </c>
      <c r="AH3068" s="10" t="str">
        <f>IFERROR(VLOOKUP(B3068,'Pre-Summary'!$AZ$6:$BE$65,3,FALSE),"")</f>
        <v/>
      </c>
      <c r="AI3068" s="10" t="str">
        <f>IFERROR(VLOOKUP(B3068,'Pre-Summary'!$AZ$6:$BE$65,5,FALSE),"")</f>
        <v/>
      </c>
      <c r="AJ3068" s="10" t="str">
        <f>IFERROR(VLOOKUP(B3068,'Pre-Summary'!$AZ$6:$BE$65,4,FALSE),"")</f>
        <v/>
      </c>
      <c r="AK3068" s="10" t="str">
        <f>IFERROR(VLOOKUP(B3068,'Pre-Summary'!$AZ$6:$BE$65,6,FALSE),"")</f>
        <v/>
      </c>
      <c r="AL3068" s="10" t="str">
        <f>IFERROR(VLOOKUP(B3068,'Pre-Summary'!$BG$6:$BL$44,3,FALSE),"")</f>
        <v/>
      </c>
      <c r="AM3068" s="10" t="str">
        <f>IFERROR(VLOOKUP(B3068,'Pre-Summary'!$BG$6:$BL$44,4,FALSE),"")</f>
        <v/>
      </c>
    </row>
    <row r="3069" spans="2:39" ht="15" customHeight="1" x14ac:dyDescent="0.3">
      <c r="B3069">
        <v>306.60000000000002</v>
      </c>
      <c r="C3069" t="str">
        <f>IFERROR(VLOOKUP(B3069,'Pre-Summary'!$DI$6:$DM$23,4,FALSE),"")</f>
        <v/>
      </c>
      <c r="D3069" s="10" t="str">
        <f>IFERROR(VLOOKUP(B3069,'Pre-Summary'!$AT$6:$AX$14,5,FALSE),D3068)</f>
        <v>Wolfe v3: went back to modified wolfe + EDTA and switched CuSO4 to CUCl2</v>
      </c>
      <c r="E3069" s="10" t="str">
        <f>IFERROR(VLOOKUP(B3069,'Pre-Summary'!$AT$6:$AX$15,4,FALSE),"")</f>
        <v/>
      </c>
      <c r="F3069">
        <f>IFERROR(VLOOKUP(B3069,'Pre-Summary'!$AL$6:$AQ$13,6,FALSE),F3068)</f>
        <v>5.9405263157894746E-2</v>
      </c>
      <c r="G3069" t="str">
        <f>IFERROR(VLOOKUP(B3069,'Pre-Summary'!$AE$6:$AJ$85,3,FALSE),"")</f>
        <v/>
      </c>
      <c r="H3069" t="str">
        <f>IFERROR(VLOOKUP(B3069,'Pre-Summary'!$AE$6:$AJ$85,4,FALSE),"")</f>
        <v/>
      </c>
      <c r="I3069" t="str">
        <f>IFERROR(VLOOKUP(B3069,'Pre-Summary'!$AE$6:$AJ$85,5,FALSE),"")</f>
        <v/>
      </c>
      <c r="J3069" s="45" t="str">
        <f>IFERROR(VLOOKUP(B3069,'Pre-Summary'!$AE$6:$AJ$85,6, FALSE),"")</f>
        <v/>
      </c>
      <c r="K3069" s="45" t="str">
        <f>IFERROR(VLOOKUP(B3069,'Pre-Summary'!$DE$6:$DG$61,3,FALSE),"")</f>
        <v/>
      </c>
      <c r="L3069" s="45" t="str">
        <f>IFERROR(VLOOKUP(B3069,'Pre-Summary'!$CU$6:$CW$36,3,FALSE),"")</f>
        <v/>
      </c>
      <c r="M3069" s="45" t="str">
        <f>IFERROR(VLOOKUP(B3069,'Pre-Summary'!$BW$6:$BY$58,2,FALSE),"")</f>
        <v/>
      </c>
      <c r="N3069" s="45" t="str">
        <f>IFERROR(VLOOKUP(B3069,'Pre-Summary'!$CD$6:$CF$64,2,FALSE),"")</f>
        <v/>
      </c>
      <c r="O3069" s="99">
        <f>IFERROR(VLOOKUP(B3069,'Pre-Summary'!$BO$6:$BQ$48,3, FALSE),O3068)</f>
        <v>3.3239999999999998</v>
      </c>
      <c r="P3069" s="99">
        <f>IFERROR(VLOOKUP(B3069,'Pre-Summary'!$BS$6:$BU$35,3,FALSE),P3068)</f>
        <v>0.84099999999999997</v>
      </c>
      <c r="Q3069" s="54">
        <f t="shared" si="141"/>
        <v>3.9524375743162903</v>
      </c>
      <c r="R3069" s="53">
        <f>IFERROR(VLOOKUP(B3069,'Pre-Summary'!$BG$6:$BM$44,7,FALSE),R3070)</f>
        <v>0</v>
      </c>
      <c r="S3069" s="53" t="e">
        <f>VLOOKUP(B3069,'Pre-Summary'!$BG$6:$BM$44,6,FALSE)</f>
        <v>#N/A</v>
      </c>
      <c r="T3069" s="45" t="str">
        <f>IFERROR(VLOOKUP(B3069,'Pre-Summary'!$Y$6:$AC$83, 3,FALSE),"")</f>
        <v/>
      </c>
      <c r="U3069" s="45" t="str">
        <f>IFERROR(VLOOKUP(B3069,'Pre-Summary'!$Y$6:$AC$83, 4,FALSE),"")</f>
        <v/>
      </c>
      <c r="V3069" t="str">
        <f>IFERROR(VLOOKUP(B3069,'Pre-Summary'!$Y$6:$AC$83, 5,FALSE),"")</f>
        <v/>
      </c>
      <c r="W3069" s="45" t="str">
        <f>IFERROR(VLOOKUP(B3069,'Pre-Summary'!$Y$6:$AD$83,6,FALSE),"")</f>
        <v/>
      </c>
      <c r="X3069" t="str">
        <f>IFERROR(VLOOKUP('Pre-Summary'!$DB$6:$DD$63,3,FALSE),"")</f>
        <v/>
      </c>
      <c r="Y3069" t="str">
        <f>IFERROR(VLOOKUP(B3069,'Pre-Summary'!$CR$6:$CT$36,3,FALSE),"")</f>
        <v/>
      </c>
      <c r="Z3069" s="45" t="str">
        <f>IFERROR(VLOOKUP(B3069,'Pre-Summary'!$BZ$6:$CB$63,2,FALSE),"")</f>
        <v/>
      </c>
      <c r="AA3069" s="45" t="str">
        <f>IFERROR(VLOOKUP(B3069,'Pre-Summary'!$CG$6:$CI$70,2,FALSE),"")</f>
        <v/>
      </c>
      <c r="AB3069" s="99">
        <f>IFERROR(VLOOKUP(B3069,'Pre-Summary'!$A$6:$P$178,9,FALSE),AB3070)</f>
        <v>1.2254632720101373</v>
      </c>
      <c r="AC3069" s="10">
        <f>IFERROR(VLOOKUP(Summary!B3069,'Pre-Summary'!$A$6:$P$184,5, FALSE)/100,AC3070)</f>
        <v>0.83185799999999999</v>
      </c>
      <c r="AD3069" s="10">
        <f>IFERROR(VLOOKUP(Summary!B3069,'Pre-Summary'!$A$6:$P$184,3, FALSE)/100,AD3070)</f>
        <v>0.13380733333333333</v>
      </c>
      <c r="AE3069" s="10">
        <f>IFERROR(VLOOKUP(Summary!B3069,'Pre-Summary'!$A$6:$P$184,7, FALSE)/100,AE3070)</f>
        <v>3.4334666666666666E-2</v>
      </c>
      <c r="AF3069" s="99">
        <f t="shared" si="142"/>
        <v>0.16397597252561777</v>
      </c>
      <c r="AG3069" s="99">
        <f t="shared" si="143"/>
        <v>4.2075872956710725E-2</v>
      </c>
      <c r="AH3069" s="10" t="str">
        <f>IFERROR(VLOOKUP(B3069,'Pre-Summary'!$AZ$6:$BE$65,3,FALSE),"")</f>
        <v/>
      </c>
      <c r="AI3069" s="10" t="str">
        <f>IFERROR(VLOOKUP(B3069,'Pre-Summary'!$AZ$6:$BE$65,5,FALSE),"")</f>
        <v/>
      </c>
      <c r="AJ3069" s="10" t="str">
        <f>IFERROR(VLOOKUP(B3069,'Pre-Summary'!$AZ$6:$BE$65,4,FALSE),"")</f>
        <v/>
      </c>
      <c r="AK3069" s="10" t="str">
        <f>IFERROR(VLOOKUP(B3069,'Pre-Summary'!$AZ$6:$BE$65,6,FALSE),"")</f>
        <v/>
      </c>
      <c r="AL3069" s="10" t="str">
        <f>IFERROR(VLOOKUP(B3069,'Pre-Summary'!$BG$6:$BL$44,3,FALSE),"")</f>
        <v/>
      </c>
      <c r="AM3069" s="10" t="str">
        <f>IFERROR(VLOOKUP(B3069,'Pre-Summary'!$BG$6:$BL$44,4,FALSE),"")</f>
        <v/>
      </c>
    </row>
    <row r="3070" spans="2:39" ht="15" customHeight="1" x14ac:dyDescent="0.3">
      <c r="B3070">
        <v>306.7</v>
      </c>
      <c r="C3070" t="str">
        <f>IFERROR(VLOOKUP(B3070,'Pre-Summary'!$DI$6:$DM$23,4,FALSE),"")</f>
        <v/>
      </c>
      <c r="D3070" s="10" t="str">
        <f>IFERROR(VLOOKUP(B3070,'Pre-Summary'!$AT$6:$AX$14,5,FALSE),D3069)</f>
        <v>Wolfe v3: went back to modified wolfe + EDTA and switched CuSO4 to CUCl2</v>
      </c>
      <c r="E3070" s="10" t="str">
        <f>IFERROR(VLOOKUP(B3070,'Pre-Summary'!$AT$6:$AX$15,4,FALSE),"")</f>
        <v/>
      </c>
      <c r="F3070">
        <f>IFERROR(VLOOKUP(B3070,'Pre-Summary'!$AL$6:$AQ$13,6,FALSE),F3069)</f>
        <v>5.9405263157894746E-2</v>
      </c>
      <c r="G3070" t="str">
        <f>IFERROR(VLOOKUP(B3070,'Pre-Summary'!$AE$6:$AJ$85,3,FALSE),"")</f>
        <v/>
      </c>
      <c r="H3070" t="str">
        <f>IFERROR(VLOOKUP(B3070,'Pre-Summary'!$AE$6:$AJ$85,4,FALSE),"")</f>
        <v/>
      </c>
      <c r="I3070" t="str">
        <f>IFERROR(VLOOKUP(B3070,'Pre-Summary'!$AE$6:$AJ$85,5,FALSE),"")</f>
        <v/>
      </c>
      <c r="J3070" s="45" t="str">
        <f>IFERROR(VLOOKUP(B3070,'Pre-Summary'!$AE$6:$AJ$85,6, FALSE),"")</f>
        <v/>
      </c>
      <c r="K3070" s="45" t="str">
        <f>IFERROR(VLOOKUP(B3070,'Pre-Summary'!$DE$6:$DG$61,3,FALSE),"")</f>
        <v/>
      </c>
      <c r="L3070" s="45" t="str">
        <f>IFERROR(VLOOKUP(B3070,'Pre-Summary'!$CU$6:$CW$36,3,FALSE),"")</f>
        <v/>
      </c>
      <c r="M3070" s="45" t="str">
        <f>IFERROR(VLOOKUP(B3070,'Pre-Summary'!$BW$6:$BY$58,2,FALSE),"")</f>
        <v/>
      </c>
      <c r="N3070" s="45" t="str">
        <f>IFERROR(VLOOKUP(B3070,'Pre-Summary'!$CD$6:$CF$64,2,FALSE),"")</f>
        <v/>
      </c>
      <c r="O3070" s="99">
        <f>IFERROR(VLOOKUP(B3070,'Pre-Summary'!$BO$6:$BQ$48,3, FALSE),O3069)</f>
        <v>3.3239999999999998</v>
      </c>
      <c r="P3070" s="99">
        <f>IFERROR(VLOOKUP(B3070,'Pre-Summary'!$BS$6:$BU$35,3,FALSE),P3069)</f>
        <v>0.84099999999999997</v>
      </c>
      <c r="Q3070" s="54">
        <f t="shared" si="141"/>
        <v>3.9524375743162903</v>
      </c>
      <c r="R3070" s="53">
        <f>IFERROR(VLOOKUP(B3070,'Pre-Summary'!$BG$6:$BM$44,7,FALSE),R3071)</f>
        <v>0</v>
      </c>
      <c r="S3070" s="53" t="e">
        <f>VLOOKUP(B3070,'Pre-Summary'!$BG$6:$BM$44,6,FALSE)</f>
        <v>#N/A</v>
      </c>
      <c r="T3070" s="45" t="str">
        <f>IFERROR(VLOOKUP(B3070,'Pre-Summary'!$Y$6:$AC$83, 3,FALSE),"")</f>
        <v/>
      </c>
      <c r="U3070" s="45" t="str">
        <f>IFERROR(VLOOKUP(B3070,'Pre-Summary'!$Y$6:$AC$83, 4,FALSE),"")</f>
        <v/>
      </c>
      <c r="V3070" t="str">
        <f>IFERROR(VLOOKUP(B3070,'Pre-Summary'!$Y$6:$AC$83, 5,FALSE),"")</f>
        <v/>
      </c>
      <c r="W3070" s="45" t="str">
        <f>IFERROR(VLOOKUP(B3070,'Pre-Summary'!$Y$6:$AD$83,6,FALSE),"")</f>
        <v/>
      </c>
      <c r="X3070" t="str">
        <f>IFERROR(VLOOKUP('Pre-Summary'!$DB$6:$DD$63,3,FALSE),"")</f>
        <v/>
      </c>
      <c r="Y3070" t="str">
        <f>IFERROR(VLOOKUP(B3070,'Pre-Summary'!$CR$6:$CT$36,3,FALSE),"")</f>
        <v/>
      </c>
      <c r="Z3070" s="45" t="str">
        <f>IFERROR(VLOOKUP(B3070,'Pre-Summary'!$BZ$6:$CB$63,2,FALSE),"")</f>
        <v/>
      </c>
      <c r="AA3070" s="45" t="str">
        <f>IFERROR(VLOOKUP(B3070,'Pre-Summary'!$CG$6:$CI$70,2,FALSE),"")</f>
        <v/>
      </c>
      <c r="AB3070" s="99">
        <f>IFERROR(VLOOKUP(B3070,'Pre-Summary'!$A$6:$P$178,9,FALSE),AB3071)</f>
        <v>1.2254632720101373</v>
      </c>
      <c r="AC3070" s="10">
        <f>IFERROR(VLOOKUP(Summary!B3070,'Pre-Summary'!$A$6:$P$184,5, FALSE)/100,AC3071)</f>
        <v>0.83185799999999999</v>
      </c>
      <c r="AD3070" s="10">
        <f>IFERROR(VLOOKUP(Summary!B3070,'Pre-Summary'!$A$6:$P$184,3, FALSE)/100,AD3071)</f>
        <v>0.13380733333333333</v>
      </c>
      <c r="AE3070" s="10">
        <f>IFERROR(VLOOKUP(Summary!B3070,'Pre-Summary'!$A$6:$P$184,7, FALSE)/100,AE3071)</f>
        <v>3.4334666666666666E-2</v>
      </c>
      <c r="AF3070" s="99">
        <f t="shared" si="142"/>
        <v>0.16397597252561777</v>
      </c>
      <c r="AG3070" s="99">
        <f t="shared" si="143"/>
        <v>4.2075872956710725E-2</v>
      </c>
      <c r="AH3070" s="10" t="str">
        <f>IFERROR(VLOOKUP(B3070,'Pre-Summary'!$AZ$6:$BE$65,3,FALSE),"")</f>
        <v/>
      </c>
      <c r="AI3070" s="10" t="str">
        <f>IFERROR(VLOOKUP(B3070,'Pre-Summary'!$AZ$6:$BE$65,5,FALSE),"")</f>
        <v/>
      </c>
      <c r="AJ3070" s="10" t="str">
        <f>IFERROR(VLOOKUP(B3070,'Pre-Summary'!$AZ$6:$BE$65,4,FALSE),"")</f>
        <v/>
      </c>
      <c r="AK3070" s="10" t="str">
        <f>IFERROR(VLOOKUP(B3070,'Pre-Summary'!$AZ$6:$BE$65,6,FALSE),"")</f>
        <v/>
      </c>
      <c r="AL3070" s="10" t="str">
        <f>IFERROR(VLOOKUP(B3070,'Pre-Summary'!$BG$6:$BL$44,3,FALSE),"")</f>
        <v/>
      </c>
      <c r="AM3070" s="10" t="str">
        <f>IFERROR(VLOOKUP(B3070,'Pre-Summary'!$BG$6:$BL$44,4,FALSE),"")</f>
        <v/>
      </c>
    </row>
    <row r="3071" spans="2:39" ht="15" customHeight="1" x14ac:dyDescent="0.3">
      <c r="B3071">
        <v>306.8</v>
      </c>
      <c r="C3071" t="str">
        <f>IFERROR(VLOOKUP(B3071,'Pre-Summary'!$DI$6:$DM$23,4,FALSE),"")</f>
        <v/>
      </c>
      <c r="D3071" s="10" t="str">
        <f>IFERROR(VLOOKUP(B3071,'Pre-Summary'!$AT$6:$AX$14,5,FALSE),D3070)</f>
        <v>Wolfe v3: went back to modified wolfe + EDTA and switched CuSO4 to CUCl2</v>
      </c>
      <c r="E3071" s="10" t="str">
        <f>IFERROR(VLOOKUP(B3071,'Pre-Summary'!$AT$6:$AX$15,4,FALSE),"")</f>
        <v/>
      </c>
      <c r="F3071">
        <f>IFERROR(VLOOKUP(B3071,'Pre-Summary'!$AL$6:$AQ$13,6,FALSE),F3070)</f>
        <v>5.9405263157894746E-2</v>
      </c>
      <c r="G3071" t="str">
        <f>IFERROR(VLOOKUP(B3071,'Pre-Summary'!$AE$6:$AJ$85,3,FALSE),"")</f>
        <v/>
      </c>
      <c r="H3071" t="str">
        <f>IFERROR(VLOOKUP(B3071,'Pre-Summary'!$AE$6:$AJ$85,4,FALSE),"")</f>
        <v/>
      </c>
      <c r="I3071" t="str">
        <f>IFERROR(VLOOKUP(B3071,'Pre-Summary'!$AE$6:$AJ$85,5,FALSE),"")</f>
        <v/>
      </c>
      <c r="J3071" s="45" t="str">
        <f>IFERROR(VLOOKUP(B3071,'Pre-Summary'!$AE$6:$AJ$85,6, FALSE),"")</f>
        <v/>
      </c>
      <c r="K3071" s="45" t="str">
        <f>IFERROR(VLOOKUP(B3071,'Pre-Summary'!$DE$6:$DG$61,3,FALSE),"")</f>
        <v/>
      </c>
      <c r="L3071" s="45" t="str">
        <f>IFERROR(VLOOKUP(B3071,'Pre-Summary'!$CU$6:$CW$36,3,FALSE),"")</f>
        <v/>
      </c>
      <c r="M3071" s="45" t="str">
        <f>IFERROR(VLOOKUP(B3071,'Pre-Summary'!$BW$6:$BY$58,2,FALSE),"")</f>
        <v/>
      </c>
      <c r="N3071" s="45" t="str">
        <f>IFERROR(VLOOKUP(B3071,'Pre-Summary'!$CD$6:$CF$64,2,FALSE),"")</f>
        <v/>
      </c>
      <c r="O3071" s="99">
        <f>IFERROR(VLOOKUP(B3071,'Pre-Summary'!$BO$6:$BQ$48,3, FALSE),O3070)</f>
        <v>3.3239999999999998</v>
      </c>
      <c r="P3071" s="99">
        <f>IFERROR(VLOOKUP(B3071,'Pre-Summary'!$BS$6:$BU$35,3,FALSE),P3070)</f>
        <v>0.84099999999999997</v>
      </c>
      <c r="Q3071" s="54">
        <f t="shared" si="141"/>
        <v>3.9524375743162903</v>
      </c>
      <c r="R3071" s="53">
        <f>IFERROR(VLOOKUP(B3071,'Pre-Summary'!$BG$6:$BM$44,7,FALSE),R3072)</f>
        <v>0</v>
      </c>
      <c r="S3071" s="53" t="e">
        <f>VLOOKUP(B3071,'Pre-Summary'!$BG$6:$BM$44,6,FALSE)</f>
        <v>#N/A</v>
      </c>
      <c r="T3071" s="45" t="str">
        <f>IFERROR(VLOOKUP(B3071,'Pre-Summary'!$Y$6:$AC$83, 3,FALSE),"")</f>
        <v/>
      </c>
      <c r="U3071" s="45" t="str">
        <f>IFERROR(VLOOKUP(B3071,'Pre-Summary'!$Y$6:$AC$83, 4,FALSE),"")</f>
        <v/>
      </c>
      <c r="V3071" t="str">
        <f>IFERROR(VLOOKUP(B3071,'Pre-Summary'!$Y$6:$AC$83, 5,FALSE),"")</f>
        <v/>
      </c>
      <c r="W3071" s="45" t="str">
        <f>IFERROR(VLOOKUP(B3071,'Pre-Summary'!$Y$6:$AD$83,6,FALSE),"")</f>
        <v/>
      </c>
      <c r="X3071" t="str">
        <f>IFERROR(VLOOKUP('Pre-Summary'!$DB$6:$DD$63,3,FALSE),"")</f>
        <v/>
      </c>
      <c r="Y3071" t="str">
        <f>IFERROR(VLOOKUP(B3071,'Pre-Summary'!$CR$6:$CT$36,3,FALSE),"")</f>
        <v/>
      </c>
      <c r="Z3071" s="45" t="str">
        <f>IFERROR(VLOOKUP(B3071,'Pre-Summary'!$BZ$6:$CB$63,2,FALSE),"")</f>
        <v/>
      </c>
      <c r="AA3071" s="45" t="str">
        <f>IFERROR(VLOOKUP(B3071,'Pre-Summary'!$CG$6:$CI$70,2,FALSE),"")</f>
        <v/>
      </c>
      <c r="AB3071" s="99">
        <f>IFERROR(VLOOKUP(B3071,'Pre-Summary'!$A$6:$P$178,9,FALSE),AB3072)</f>
        <v>1.2254632720101373</v>
      </c>
      <c r="AC3071" s="10">
        <f>IFERROR(VLOOKUP(Summary!B3071,'Pre-Summary'!$A$6:$P$184,5, FALSE)/100,AC3072)</f>
        <v>0.83185799999999999</v>
      </c>
      <c r="AD3071" s="10">
        <f>IFERROR(VLOOKUP(Summary!B3071,'Pre-Summary'!$A$6:$P$184,3, FALSE)/100,AD3072)</f>
        <v>0.13380733333333333</v>
      </c>
      <c r="AE3071" s="10">
        <f>IFERROR(VLOOKUP(Summary!B3071,'Pre-Summary'!$A$6:$P$184,7, FALSE)/100,AE3072)</f>
        <v>3.4334666666666666E-2</v>
      </c>
      <c r="AF3071" s="99">
        <f t="shared" si="142"/>
        <v>0.16397597252561777</v>
      </c>
      <c r="AG3071" s="99">
        <f t="shared" si="143"/>
        <v>4.2075872956710725E-2</v>
      </c>
      <c r="AH3071" s="10" t="str">
        <f>IFERROR(VLOOKUP(B3071,'Pre-Summary'!$AZ$6:$BE$65,3,FALSE),"")</f>
        <v/>
      </c>
      <c r="AI3071" s="10" t="str">
        <f>IFERROR(VLOOKUP(B3071,'Pre-Summary'!$AZ$6:$BE$65,5,FALSE),"")</f>
        <v/>
      </c>
      <c r="AJ3071" s="10" t="str">
        <f>IFERROR(VLOOKUP(B3071,'Pre-Summary'!$AZ$6:$BE$65,4,FALSE),"")</f>
        <v/>
      </c>
      <c r="AK3071" s="10" t="str">
        <f>IFERROR(VLOOKUP(B3071,'Pre-Summary'!$AZ$6:$BE$65,6,FALSE),"")</f>
        <v/>
      </c>
      <c r="AL3071" s="10" t="str">
        <f>IFERROR(VLOOKUP(B3071,'Pre-Summary'!$BG$6:$BL$44,3,FALSE),"")</f>
        <v/>
      </c>
      <c r="AM3071" s="10" t="str">
        <f>IFERROR(VLOOKUP(B3071,'Pre-Summary'!$BG$6:$BL$44,4,FALSE),"")</f>
        <v/>
      </c>
    </row>
    <row r="3072" spans="2:39" ht="15" customHeight="1" x14ac:dyDescent="0.3">
      <c r="B3072">
        <v>306.89999999999998</v>
      </c>
      <c r="C3072" t="str">
        <f>IFERROR(VLOOKUP(B3072,'Pre-Summary'!$DI$6:$DM$23,4,FALSE),"")</f>
        <v/>
      </c>
      <c r="D3072" s="10" t="str">
        <f>IFERROR(VLOOKUP(B3072,'Pre-Summary'!$AT$6:$AX$14,5,FALSE),D3071)</f>
        <v>Wolfe v3: went back to modified wolfe + EDTA and switched CuSO4 to CUCl2</v>
      </c>
      <c r="E3072" s="10" t="str">
        <f>IFERROR(VLOOKUP(B3072,'Pre-Summary'!$AT$6:$AX$15,4,FALSE),"")</f>
        <v/>
      </c>
      <c r="F3072">
        <f>IFERROR(VLOOKUP(B3072,'Pre-Summary'!$AL$6:$AQ$13,6,FALSE),F3071)</f>
        <v>5.9405263157894746E-2</v>
      </c>
      <c r="G3072" t="str">
        <f>IFERROR(VLOOKUP(B3072,'Pre-Summary'!$AE$6:$AJ$85,3,FALSE),"")</f>
        <v/>
      </c>
      <c r="H3072" t="str">
        <f>IFERROR(VLOOKUP(B3072,'Pre-Summary'!$AE$6:$AJ$85,4,FALSE),"")</f>
        <v/>
      </c>
      <c r="I3072" t="str">
        <f>IFERROR(VLOOKUP(B3072,'Pre-Summary'!$AE$6:$AJ$85,5,FALSE),"")</f>
        <v/>
      </c>
      <c r="J3072" s="45" t="str">
        <f>IFERROR(VLOOKUP(B3072,'Pre-Summary'!$AE$6:$AJ$85,6, FALSE),"")</f>
        <v/>
      </c>
      <c r="K3072" s="45" t="str">
        <f>IFERROR(VLOOKUP(B3072,'Pre-Summary'!$DE$6:$DG$61,3,FALSE),"")</f>
        <v/>
      </c>
      <c r="L3072" s="45" t="str">
        <f>IFERROR(VLOOKUP(B3072,'Pre-Summary'!$CU$6:$CW$36,3,FALSE),"")</f>
        <v/>
      </c>
      <c r="M3072" s="45" t="str">
        <f>IFERROR(VLOOKUP(B3072,'Pre-Summary'!$BW$6:$BY$58,2,FALSE),"")</f>
        <v/>
      </c>
      <c r="N3072" s="45" t="str">
        <f>IFERROR(VLOOKUP(B3072,'Pre-Summary'!$CD$6:$CF$64,2,FALSE),"")</f>
        <v/>
      </c>
      <c r="O3072" s="99">
        <f>IFERROR(VLOOKUP(B3072,'Pre-Summary'!$BO$6:$BQ$48,3, FALSE),O3071)</f>
        <v>3.3239999999999998</v>
      </c>
      <c r="P3072" s="99">
        <f>IFERROR(VLOOKUP(B3072,'Pre-Summary'!$BS$6:$BU$35,3,FALSE),P3071)</f>
        <v>0.84099999999999997</v>
      </c>
      <c r="Q3072" s="54">
        <f t="shared" si="141"/>
        <v>3.9524375743162903</v>
      </c>
      <c r="R3072" s="53">
        <f>IFERROR(VLOOKUP(B3072,'Pre-Summary'!$BG$6:$BM$44,7,FALSE),R3073)</f>
        <v>0</v>
      </c>
      <c r="S3072" s="53" t="e">
        <f>VLOOKUP(B3072,'Pre-Summary'!$BG$6:$BM$44,6,FALSE)</f>
        <v>#N/A</v>
      </c>
      <c r="T3072" s="45" t="str">
        <f>IFERROR(VLOOKUP(B3072,'Pre-Summary'!$Y$6:$AC$83, 3,FALSE),"")</f>
        <v/>
      </c>
      <c r="U3072" s="45" t="str">
        <f>IFERROR(VLOOKUP(B3072,'Pre-Summary'!$Y$6:$AC$83, 4,FALSE),"")</f>
        <v/>
      </c>
      <c r="V3072" t="str">
        <f>IFERROR(VLOOKUP(B3072,'Pre-Summary'!$Y$6:$AC$83, 5,FALSE),"")</f>
        <v/>
      </c>
      <c r="W3072" s="45" t="str">
        <f>IFERROR(VLOOKUP(B3072,'Pre-Summary'!$Y$6:$AD$83,6,FALSE),"")</f>
        <v/>
      </c>
      <c r="X3072" t="str">
        <f>IFERROR(VLOOKUP('Pre-Summary'!$DB$6:$DD$63,3,FALSE),"")</f>
        <v/>
      </c>
      <c r="Y3072" t="str">
        <f>IFERROR(VLOOKUP(B3072,'Pre-Summary'!$CR$6:$CT$36,3,FALSE),"")</f>
        <v/>
      </c>
      <c r="Z3072" s="45" t="str">
        <f>IFERROR(VLOOKUP(B3072,'Pre-Summary'!$BZ$6:$CB$63,2,FALSE),"")</f>
        <v/>
      </c>
      <c r="AA3072" s="45" t="str">
        <f>IFERROR(VLOOKUP(B3072,'Pre-Summary'!$CG$6:$CI$70,2,FALSE),"")</f>
        <v/>
      </c>
      <c r="AB3072" s="99">
        <f>IFERROR(VLOOKUP(B3072,'Pre-Summary'!$A$6:$P$178,9,FALSE),AB3073)</f>
        <v>1.2254632720101373</v>
      </c>
      <c r="AC3072" s="10">
        <f>IFERROR(VLOOKUP(Summary!B3072,'Pre-Summary'!$A$6:$P$184,5, FALSE)/100,AC3073)</f>
        <v>0.83185799999999999</v>
      </c>
      <c r="AD3072" s="10">
        <f>IFERROR(VLOOKUP(Summary!B3072,'Pre-Summary'!$A$6:$P$184,3, FALSE)/100,AD3073)</f>
        <v>0.13380733333333333</v>
      </c>
      <c r="AE3072" s="10">
        <f>IFERROR(VLOOKUP(Summary!B3072,'Pre-Summary'!$A$6:$P$184,7, FALSE)/100,AE3073)</f>
        <v>3.4334666666666666E-2</v>
      </c>
      <c r="AF3072" s="99">
        <f t="shared" si="142"/>
        <v>0.16397597252561777</v>
      </c>
      <c r="AG3072" s="99">
        <f t="shared" si="143"/>
        <v>4.2075872956710725E-2</v>
      </c>
      <c r="AH3072" s="10" t="str">
        <f>IFERROR(VLOOKUP(B3072,'Pre-Summary'!$AZ$6:$BE$65,3,FALSE),"")</f>
        <v/>
      </c>
      <c r="AI3072" s="10" t="str">
        <f>IFERROR(VLOOKUP(B3072,'Pre-Summary'!$AZ$6:$BE$65,5,FALSE),"")</f>
        <v/>
      </c>
      <c r="AJ3072" s="10" t="str">
        <f>IFERROR(VLOOKUP(B3072,'Pre-Summary'!$AZ$6:$BE$65,4,FALSE),"")</f>
        <v/>
      </c>
      <c r="AK3072" s="10" t="str">
        <f>IFERROR(VLOOKUP(B3072,'Pre-Summary'!$AZ$6:$BE$65,6,FALSE),"")</f>
        <v/>
      </c>
      <c r="AL3072" s="10" t="str">
        <f>IFERROR(VLOOKUP(B3072,'Pre-Summary'!$BG$6:$BL$44,3,FALSE),"")</f>
        <v/>
      </c>
      <c r="AM3072" s="10" t="str">
        <f>IFERROR(VLOOKUP(B3072,'Pre-Summary'!$BG$6:$BL$44,4,FALSE),"")</f>
        <v/>
      </c>
    </row>
    <row r="3073" spans="2:39" ht="15" customHeight="1" x14ac:dyDescent="0.3">
      <c r="B3073">
        <v>307</v>
      </c>
      <c r="C3073" t="str">
        <f>IFERROR(VLOOKUP(B3073,'Pre-Summary'!$DI$6:$DM$23,4,FALSE),"")</f>
        <v/>
      </c>
      <c r="D3073" s="10" t="str">
        <f>IFERROR(VLOOKUP(B3073,'Pre-Summary'!$AT$6:$AX$14,5,FALSE),D3072)</f>
        <v>Wolfe v3: went back to modified wolfe + EDTA and switched CuSO4 to CUCl2</v>
      </c>
      <c r="E3073" s="10" t="str">
        <f>IFERROR(VLOOKUP(B3073,'Pre-Summary'!$AT$6:$AX$15,4,FALSE),"")</f>
        <v/>
      </c>
      <c r="F3073">
        <f>IFERROR(VLOOKUP(B3073,'Pre-Summary'!$AL$6:$AQ$13,6,FALSE),F3072)</f>
        <v>5.9405263157894746E-2</v>
      </c>
      <c r="G3073" t="str">
        <f>IFERROR(VLOOKUP(B3073,'Pre-Summary'!$AE$6:$AJ$85,3,FALSE),"")</f>
        <v/>
      </c>
      <c r="H3073" t="str">
        <f>IFERROR(VLOOKUP(B3073,'Pre-Summary'!$AE$6:$AJ$85,4,FALSE),"")</f>
        <v/>
      </c>
      <c r="I3073" t="str">
        <f>IFERROR(VLOOKUP(B3073,'Pre-Summary'!$AE$6:$AJ$85,5,FALSE),"")</f>
        <v/>
      </c>
      <c r="J3073" s="45" t="str">
        <f>IFERROR(VLOOKUP(B3073,'Pre-Summary'!$AE$6:$AJ$85,6, FALSE),"")</f>
        <v/>
      </c>
      <c r="K3073" s="45" t="str">
        <f>IFERROR(VLOOKUP(B3073,'Pre-Summary'!$DE$6:$DG$61,3,FALSE),"")</f>
        <v/>
      </c>
      <c r="L3073" s="45" t="str">
        <f>IFERROR(VLOOKUP(B3073,'Pre-Summary'!$CU$6:$CW$36,3,FALSE),"")</f>
        <v/>
      </c>
      <c r="M3073" s="45" t="str">
        <f>IFERROR(VLOOKUP(B3073,'Pre-Summary'!$BW$6:$BY$58,2,FALSE),"")</f>
        <v/>
      </c>
      <c r="N3073" s="45" t="str">
        <f>IFERROR(VLOOKUP(B3073,'Pre-Summary'!$CD$6:$CF$64,2,FALSE),"")</f>
        <v/>
      </c>
      <c r="O3073" s="99">
        <f>IFERROR(VLOOKUP(B3073,'Pre-Summary'!$BO$6:$BQ$48,3, FALSE),O3072)</f>
        <v>3.3239999999999998</v>
      </c>
      <c r="P3073" s="99">
        <f>IFERROR(VLOOKUP(B3073,'Pre-Summary'!$BS$6:$BU$35,3,FALSE),P3072)</f>
        <v>0.84099999999999997</v>
      </c>
      <c r="Q3073" s="54">
        <f t="shared" si="141"/>
        <v>3.9524375743162903</v>
      </c>
      <c r="R3073" s="53">
        <f>IFERROR(VLOOKUP(B3073,'Pre-Summary'!$BG$6:$BM$44,7,FALSE),R3074)</f>
        <v>0</v>
      </c>
      <c r="S3073" s="53" t="e">
        <f>VLOOKUP(B3073,'Pre-Summary'!$BG$6:$BM$44,6,FALSE)</f>
        <v>#N/A</v>
      </c>
      <c r="T3073" s="45" t="str">
        <f>IFERROR(VLOOKUP(B3073,'Pre-Summary'!$Y$6:$AC$83, 3,FALSE),"")</f>
        <v/>
      </c>
      <c r="U3073" s="45" t="str">
        <f>IFERROR(VLOOKUP(B3073,'Pre-Summary'!$Y$6:$AC$83, 4,FALSE),"")</f>
        <v/>
      </c>
      <c r="V3073" t="str">
        <f>IFERROR(VLOOKUP(B3073,'Pre-Summary'!$Y$6:$AC$83, 5,FALSE),"")</f>
        <v/>
      </c>
      <c r="W3073" s="45" t="str">
        <f>IFERROR(VLOOKUP(B3073,'Pre-Summary'!$Y$6:$AD$83,6,FALSE),"")</f>
        <v/>
      </c>
      <c r="X3073" t="str">
        <f>IFERROR(VLOOKUP('Pre-Summary'!$DB$6:$DD$63,3,FALSE),"")</f>
        <v/>
      </c>
      <c r="Y3073" t="str">
        <f>IFERROR(VLOOKUP(B3073,'Pre-Summary'!$CR$6:$CT$36,3,FALSE),"")</f>
        <v/>
      </c>
      <c r="Z3073" s="45" t="str">
        <f>IFERROR(VLOOKUP(B3073,'Pre-Summary'!$BZ$6:$CB$63,2,FALSE),"")</f>
        <v/>
      </c>
      <c r="AA3073" s="45" t="str">
        <f>IFERROR(VLOOKUP(B3073,'Pre-Summary'!$CG$6:$CI$70,2,FALSE),"")</f>
        <v/>
      </c>
      <c r="AB3073" s="99">
        <f>IFERROR(VLOOKUP(B3073,'Pre-Summary'!$A$6:$P$178,9,FALSE),AB3074)</f>
        <v>1.2254632720101373</v>
      </c>
      <c r="AC3073" s="10">
        <f>IFERROR(VLOOKUP(Summary!B3073,'Pre-Summary'!$A$6:$P$184,5, FALSE)/100,AC3074)</f>
        <v>0.83185799999999999</v>
      </c>
      <c r="AD3073" s="10">
        <f>IFERROR(VLOOKUP(Summary!B3073,'Pre-Summary'!$A$6:$P$184,3, FALSE)/100,AD3074)</f>
        <v>0.13380733333333333</v>
      </c>
      <c r="AE3073" s="10">
        <f>IFERROR(VLOOKUP(Summary!B3073,'Pre-Summary'!$A$6:$P$184,7, FALSE)/100,AE3074)</f>
        <v>3.4334666666666666E-2</v>
      </c>
      <c r="AF3073" s="99">
        <f t="shared" si="142"/>
        <v>0.16397597252561777</v>
      </c>
      <c r="AG3073" s="99">
        <f t="shared" si="143"/>
        <v>4.2075872956710725E-2</v>
      </c>
      <c r="AH3073" s="10" t="str">
        <f>IFERROR(VLOOKUP(B3073,'Pre-Summary'!$AZ$6:$BE$65,3,FALSE),"")</f>
        <v/>
      </c>
      <c r="AI3073" s="10" t="str">
        <f>IFERROR(VLOOKUP(B3073,'Pre-Summary'!$AZ$6:$BE$65,5,FALSE),"")</f>
        <v/>
      </c>
      <c r="AJ3073" s="10" t="str">
        <f>IFERROR(VLOOKUP(B3073,'Pre-Summary'!$AZ$6:$BE$65,4,FALSE),"")</f>
        <v/>
      </c>
      <c r="AK3073" s="10" t="str">
        <f>IFERROR(VLOOKUP(B3073,'Pre-Summary'!$AZ$6:$BE$65,6,FALSE),"")</f>
        <v/>
      </c>
      <c r="AL3073" s="10" t="str">
        <f>IFERROR(VLOOKUP(B3073,'Pre-Summary'!$BG$6:$BL$44,3,FALSE),"")</f>
        <v/>
      </c>
      <c r="AM3073" s="10" t="str">
        <f>IFERROR(VLOOKUP(B3073,'Pre-Summary'!$BG$6:$BL$44,4,FALSE),"")</f>
        <v/>
      </c>
    </row>
    <row r="3074" spans="2:39" ht="15" customHeight="1" x14ac:dyDescent="0.3">
      <c r="B3074">
        <v>307.10000000000002</v>
      </c>
      <c r="C3074" t="str">
        <f>IFERROR(VLOOKUP(B3074,'Pre-Summary'!$DI$6:$DM$23,4,FALSE),"")</f>
        <v/>
      </c>
      <c r="D3074" s="10" t="str">
        <f>IFERROR(VLOOKUP(B3074,'Pre-Summary'!$AT$6:$AX$14,5,FALSE),D3073)</f>
        <v>Wolfe v3: went back to modified wolfe + EDTA and switched CuSO4 to CUCl2</v>
      </c>
      <c r="E3074" s="10" t="str">
        <f>IFERROR(VLOOKUP(B3074,'Pre-Summary'!$AT$6:$AX$15,4,FALSE),"")</f>
        <v/>
      </c>
      <c r="F3074">
        <f>IFERROR(VLOOKUP(B3074,'Pre-Summary'!$AL$6:$AQ$13,6,FALSE),F3073)</f>
        <v>5.9405263157894746E-2</v>
      </c>
      <c r="G3074" t="str">
        <f>IFERROR(VLOOKUP(B3074,'Pre-Summary'!$AE$6:$AJ$85,3,FALSE),"")</f>
        <v/>
      </c>
      <c r="H3074" t="str">
        <f>IFERROR(VLOOKUP(B3074,'Pre-Summary'!$AE$6:$AJ$85,4,FALSE),"")</f>
        <v/>
      </c>
      <c r="I3074" t="str">
        <f>IFERROR(VLOOKUP(B3074,'Pre-Summary'!$AE$6:$AJ$85,5,FALSE),"")</f>
        <v/>
      </c>
      <c r="J3074" s="45" t="str">
        <f>IFERROR(VLOOKUP(B3074,'Pre-Summary'!$AE$6:$AJ$85,6, FALSE),"")</f>
        <v/>
      </c>
      <c r="K3074" s="45" t="str">
        <f>IFERROR(VLOOKUP(B3074,'Pre-Summary'!$DE$6:$DG$61,3,FALSE),"")</f>
        <v/>
      </c>
      <c r="L3074" s="45" t="str">
        <f>IFERROR(VLOOKUP(B3074,'Pre-Summary'!$CU$6:$CW$36,3,FALSE),"")</f>
        <v/>
      </c>
      <c r="M3074" s="45" t="str">
        <f>IFERROR(VLOOKUP(B3074,'Pre-Summary'!$BW$6:$BY$58,2,FALSE),"")</f>
        <v/>
      </c>
      <c r="N3074" s="45" t="str">
        <f>IFERROR(VLOOKUP(B3074,'Pre-Summary'!$CD$6:$CF$64,2,FALSE),"")</f>
        <v/>
      </c>
      <c r="O3074" s="99">
        <f>IFERROR(VLOOKUP(B3074,'Pre-Summary'!$BO$6:$BQ$48,3, FALSE),O3073)</f>
        <v>3.3239999999999998</v>
      </c>
      <c r="P3074" s="99">
        <f>IFERROR(VLOOKUP(B3074,'Pre-Summary'!$BS$6:$BU$35,3,FALSE),P3073)</f>
        <v>0.84099999999999997</v>
      </c>
      <c r="Q3074" s="54">
        <f t="shared" si="141"/>
        <v>3.9524375743162903</v>
      </c>
      <c r="R3074" s="53">
        <f>IFERROR(VLOOKUP(B3074,'Pre-Summary'!$BG$6:$BM$44,7,FALSE),R3075)</f>
        <v>0</v>
      </c>
      <c r="S3074" s="53" t="e">
        <f>VLOOKUP(B3074,'Pre-Summary'!$BG$6:$BM$44,6,FALSE)</f>
        <v>#N/A</v>
      </c>
      <c r="T3074" s="45" t="str">
        <f>IFERROR(VLOOKUP(B3074,'Pre-Summary'!$Y$6:$AC$83, 3,FALSE),"")</f>
        <v/>
      </c>
      <c r="U3074" s="45" t="str">
        <f>IFERROR(VLOOKUP(B3074,'Pre-Summary'!$Y$6:$AC$83, 4,FALSE),"")</f>
        <v/>
      </c>
      <c r="V3074" t="str">
        <f>IFERROR(VLOOKUP(B3074,'Pre-Summary'!$Y$6:$AC$83, 5,FALSE),"")</f>
        <v/>
      </c>
      <c r="W3074" s="45" t="str">
        <f>IFERROR(VLOOKUP(B3074,'Pre-Summary'!$Y$6:$AD$83,6,FALSE),"")</f>
        <v/>
      </c>
      <c r="X3074" t="str">
        <f>IFERROR(VLOOKUP('Pre-Summary'!$DB$6:$DD$63,3,FALSE),"")</f>
        <v/>
      </c>
      <c r="Y3074" t="str">
        <f>IFERROR(VLOOKUP(B3074,'Pre-Summary'!$CR$6:$CT$36,3,FALSE),"")</f>
        <v/>
      </c>
      <c r="Z3074" s="45" t="str">
        <f>IFERROR(VLOOKUP(B3074,'Pre-Summary'!$BZ$6:$CB$63,2,FALSE),"")</f>
        <v/>
      </c>
      <c r="AA3074" s="45" t="str">
        <f>IFERROR(VLOOKUP(B3074,'Pre-Summary'!$CG$6:$CI$70,2,FALSE),"")</f>
        <v/>
      </c>
      <c r="AB3074" s="99">
        <f>IFERROR(VLOOKUP(B3074,'Pre-Summary'!$A$6:$P$178,9,FALSE),AB3075)</f>
        <v>1.2254632720101373</v>
      </c>
      <c r="AC3074" s="10">
        <f>IFERROR(VLOOKUP(Summary!B3074,'Pre-Summary'!$A$6:$P$184,5, FALSE)/100,AC3075)</f>
        <v>0.83185799999999999</v>
      </c>
      <c r="AD3074" s="10">
        <f>IFERROR(VLOOKUP(Summary!B3074,'Pre-Summary'!$A$6:$P$184,3, FALSE)/100,AD3075)</f>
        <v>0.13380733333333333</v>
      </c>
      <c r="AE3074" s="10">
        <f>IFERROR(VLOOKUP(Summary!B3074,'Pre-Summary'!$A$6:$P$184,7, FALSE)/100,AE3075)</f>
        <v>3.4334666666666666E-2</v>
      </c>
      <c r="AF3074" s="99">
        <f t="shared" si="142"/>
        <v>0.16397597252561777</v>
      </c>
      <c r="AG3074" s="99">
        <f t="shared" si="143"/>
        <v>4.2075872956710725E-2</v>
      </c>
      <c r="AH3074" s="10" t="str">
        <f>IFERROR(VLOOKUP(B3074,'Pre-Summary'!$AZ$6:$BE$65,3,FALSE),"")</f>
        <v/>
      </c>
      <c r="AI3074" s="10" t="str">
        <f>IFERROR(VLOOKUP(B3074,'Pre-Summary'!$AZ$6:$BE$65,5,FALSE),"")</f>
        <v/>
      </c>
      <c r="AJ3074" s="10" t="str">
        <f>IFERROR(VLOOKUP(B3074,'Pre-Summary'!$AZ$6:$BE$65,4,FALSE),"")</f>
        <v/>
      </c>
      <c r="AK3074" s="10" t="str">
        <f>IFERROR(VLOOKUP(B3074,'Pre-Summary'!$AZ$6:$BE$65,6,FALSE),"")</f>
        <v/>
      </c>
      <c r="AL3074" s="10" t="str">
        <f>IFERROR(VLOOKUP(B3074,'Pre-Summary'!$BG$6:$BL$44,3,FALSE),"")</f>
        <v/>
      </c>
      <c r="AM3074" s="10" t="str">
        <f>IFERROR(VLOOKUP(B3074,'Pre-Summary'!$BG$6:$BL$44,4,FALSE),"")</f>
        <v/>
      </c>
    </row>
    <row r="3075" spans="2:39" ht="15" customHeight="1" x14ac:dyDescent="0.3">
      <c r="B3075">
        <v>307.2</v>
      </c>
      <c r="C3075" t="str">
        <f>IFERROR(VLOOKUP(B3075,'Pre-Summary'!$DI$6:$DM$23,4,FALSE),"")</f>
        <v/>
      </c>
      <c r="D3075" s="10" t="str">
        <f>IFERROR(VLOOKUP(B3075,'Pre-Summary'!$AT$6:$AX$14,5,FALSE),D3074)</f>
        <v>Wolfe v3: went back to modified wolfe + EDTA and switched CuSO4 to CUCl2</v>
      </c>
      <c r="E3075" s="10" t="str">
        <f>IFERROR(VLOOKUP(B3075,'Pre-Summary'!$AT$6:$AX$15,4,FALSE),"")</f>
        <v/>
      </c>
      <c r="F3075">
        <f>IFERROR(VLOOKUP(B3075,'Pre-Summary'!$AL$6:$AQ$13,6,FALSE),F3074)</f>
        <v>5.9405263157894746E-2</v>
      </c>
      <c r="G3075" t="str">
        <f>IFERROR(VLOOKUP(B3075,'Pre-Summary'!$AE$6:$AJ$85,3,FALSE),"")</f>
        <v/>
      </c>
      <c r="H3075" t="str">
        <f>IFERROR(VLOOKUP(B3075,'Pre-Summary'!$AE$6:$AJ$85,4,FALSE),"")</f>
        <v/>
      </c>
      <c r="I3075" t="str">
        <f>IFERROR(VLOOKUP(B3075,'Pre-Summary'!$AE$6:$AJ$85,5,FALSE),"")</f>
        <v/>
      </c>
      <c r="J3075" s="45" t="str">
        <f>IFERROR(VLOOKUP(B3075,'Pre-Summary'!$AE$6:$AJ$85,6, FALSE),"")</f>
        <v/>
      </c>
      <c r="K3075" s="45" t="str">
        <f>IFERROR(VLOOKUP(B3075,'Pre-Summary'!$DE$6:$DG$61,3,FALSE),"")</f>
        <v/>
      </c>
      <c r="L3075" s="45" t="str">
        <f>IFERROR(VLOOKUP(B3075,'Pre-Summary'!$CU$6:$CW$36,3,FALSE),"")</f>
        <v/>
      </c>
      <c r="M3075" s="45" t="str">
        <f>IFERROR(VLOOKUP(B3075,'Pre-Summary'!$BW$6:$BY$58,2,FALSE),"")</f>
        <v/>
      </c>
      <c r="N3075" s="45" t="str">
        <f>IFERROR(VLOOKUP(B3075,'Pre-Summary'!$CD$6:$CF$64,2,FALSE),"")</f>
        <v/>
      </c>
      <c r="O3075" s="99">
        <f>IFERROR(VLOOKUP(B3075,'Pre-Summary'!$BO$6:$BQ$48,3, FALSE),O3074)</f>
        <v>3.3239999999999998</v>
      </c>
      <c r="P3075" s="99">
        <f>IFERROR(VLOOKUP(B3075,'Pre-Summary'!$BS$6:$BU$35,3,FALSE),P3074)</f>
        <v>0.84099999999999997</v>
      </c>
      <c r="Q3075" s="54">
        <f t="shared" ref="Q3075:Q3138" si="144">O3075/P3075</f>
        <v>3.9524375743162903</v>
      </c>
      <c r="R3075" s="53">
        <f>IFERROR(VLOOKUP(B3075,'Pre-Summary'!$BG$6:$BM$44,7,FALSE),R3076)</f>
        <v>0</v>
      </c>
      <c r="S3075" s="53" t="e">
        <f>VLOOKUP(B3075,'Pre-Summary'!$BG$6:$BM$44,6,FALSE)</f>
        <v>#N/A</v>
      </c>
      <c r="T3075" s="45" t="str">
        <f>IFERROR(VLOOKUP(B3075,'Pre-Summary'!$Y$6:$AC$83, 3,FALSE),"")</f>
        <v/>
      </c>
      <c r="U3075" s="45" t="str">
        <f>IFERROR(VLOOKUP(B3075,'Pre-Summary'!$Y$6:$AC$83, 4,FALSE),"")</f>
        <v/>
      </c>
      <c r="V3075" t="str">
        <f>IFERROR(VLOOKUP(B3075,'Pre-Summary'!$Y$6:$AC$83, 5,FALSE),"")</f>
        <v/>
      </c>
      <c r="W3075" s="45" t="str">
        <f>IFERROR(VLOOKUP(B3075,'Pre-Summary'!$Y$6:$AD$83,6,FALSE),"")</f>
        <v/>
      </c>
      <c r="X3075" t="str">
        <f>IFERROR(VLOOKUP('Pre-Summary'!$DB$6:$DD$63,3,FALSE),"")</f>
        <v/>
      </c>
      <c r="Y3075" t="str">
        <f>IFERROR(VLOOKUP(B3075,'Pre-Summary'!$CR$6:$CT$36,3,FALSE),"")</f>
        <v/>
      </c>
      <c r="Z3075" s="45" t="str">
        <f>IFERROR(VLOOKUP(B3075,'Pre-Summary'!$BZ$6:$CB$63,2,FALSE),"")</f>
        <v/>
      </c>
      <c r="AA3075" s="45" t="str">
        <f>IFERROR(VLOOKUP(B3075,'Pre-Summary'!$CG$6:$CI$70,2,FALSE),"")</f>
        <v/>
      </c>
      <c r="AB3075" s="99">
        <f>IFERROR(VLOOKUP(B3075,'Pre-Summary'!$A$6:$P$178,9,FALSE),AB3076)</f>
        <v>1.2254632720101373</v>
      </c>
      <c r="AC3075" s="10">
        <f>IFERROR(VLOOKUP(Summary!B3075,'Pre-Summary'!$A$6:$P$184,5, FALSE)/100,AC3076)</f>
        <v>0.83185799999999999</v>
      </c>
      <c r="AD3075" s="10">
        <f>IFERROR(VLOOKUP(Summary!B3075,'Pre-Summary'!$A$6:$P$184,3, FALSE)/100,AD3076)</f>
        <v>0.13380733333333333</v>
      </c>
      <c r="AE3075" s="10">
        <f>IFERROR(VLOOKUP(Summary!B3075,'Pre-Summary'!$A$6:$P$184,7, FALSE)/100,AE3076)</f>
        <v>3.4334666666666666E-2</v>
      </c>
      <c r="AF3075" s="99">
        <f t="shared" ref="AF3075:AF3113" si="145">AD3075*AB3075</f>
        <v>0.16397597252561777</v>
      </c>
      <c r="AG3075" s="99">
        <f t="shared" ref="AG3075:AG3113" si="146">AB3075*AE3075</f>
        <v>4.2075872956710725E-2</v>
      </c>
      <c r="AH3075" s="10" t="str">
        <f>IFERROR(VLOOKUP(B3075,'Pre-Summary'!$AZ$6:$BE$65,3,FALSE),"")</f>
        <v/>
      </c>
      <c r="AI3075" s="10" t="str">
        <f>IFERROR(VLOOKUP(B3075,'Pre-Summary'!$AZ$6:$BE$65,5,FALSE),"")</f>
        <v/>
      </c>
      <c r="AJ3075" s="10" t="str">
        <f>IFERROR(VLOOKUP(B3075,'Pre-Summary'!$AZ$6:$BE$65,4,FALSE),"")</f>
        <v/>
      </c>
      <c r="AK3075" s="10" t="str">
        <f>IFERROR(VLOOKUP(B3075,'Pre-Summary'!$AZ$6:$BE$65,6,FALSE),"")</f>
        <v/>
      </c>
      <c r="AL3075" s="10" t="str">
        <f>IFERROR(VLOOKUP(B3075,'Pre-Summary'!$BG$6:$BL$44,3,FALSE),"")</f>
        <v/>
      </c>
      <c r="AM3075" s="10" t="str">
        <f>IFERROR(VLOOKUP(B3075,'Pre-Summary'!$BG$6:$BL$44,4,FALSE),"")</f>
        <v/>
      </c>
    </row>
    <row r="3076" spans="2:39" ht="15" customHeight="1" x14ac:dyDescent="0.3">
      <c r="B3076">
        <v>307.3</v>
      </c>
      <c r="C3076" t="str">
        <f>IFERROR(VLOOKUP(B3076,'Pre-Summary'!$DI$6:$DM$23,4,FALSE),"")</f>
        <v/>
      </c>
      <c r="D3076" s="10" t="str">
        <f>IFERROR(VLOOKUP(B3076,'Pre-Summary'!$AT$6:$AX$14,5,FALSE),D3075)</f>
        <v>Wolfe v3: went back to modified wolfe + EDTA and switched CuSO4 to CUCl2</v>
      </c>
      <c r="E3076" s="10" t="str">
        <f>IFERROR(VLOOKUP(B3076,'Pre-Summary'!$AT$6:$AX$15,4,FALSE),"")</f>
        <v/>
      </c>
      <c r="F3076">
        <f>IFERROR(VLOOKUP(B3076,'Pre-Summary'!$AL$6:$AQ$13,6,FALSE),F3075)</f>
        <v>5.9405263157894746E-2</v>
      </c>
      <c r="G3076" t="str">
        <f>IFERROR(VLOOKUP(B3076,'Pre-Summary'!$AE$6:$AJ$85,3,FALSE),"")</f>
        <v/>
      </c>
      <c r="H3076" t="str">
        <f>IFERROR(VLOOKUP(B3076,'Pre-Summary'!$AE$6:$AJ$85,4,FALSE),"")</f>
        <v/>
      </c>
      <c r="I3076" t="str">
        <f>IFERROR(VLOOKUP(B3076,'Pre-Summary'!$AE$6:$AJ$85,5,FALSE),"")</f>
        <v/>
      </c>
      <c r="J3076" s="45" t="str">
        <f>IFERROR(VLOOKUP(B3076,'Pre-Summary'!$AE$6:$AJ$85,6, FALSE),"")</f>
        <v/>
      </c>
      <c r="K3076" s="45" t="str">
        <f>IFERROR(VLOOKUP(B3076,'Pre-Summary'!$DE$6:$DG$61,3,FALSE),"")</f>
        <v/>
      </c>
      <c r="L3076" s="45" t="str">
        <f>IFERROR(VLOOKUP(B3076,'Pre-Summary'!$CU$6:$CW$36,3,FALSE),"")</f>
        <v/>
      </c>
      <c r="M3076" s="45" t="str">
        <f>IFERROR(VLOOKUP(B3076,'Pre-Summary'!$BW$6:$BY$58,2,FALSE),"")</f>
        <v/>
      </c>
      <c r="N3076" s="45" t="str">
        <f>IFERROR(VLOOKUP(B3076,'Pre-Summary'!$CD$6:$CF$64,2,FALSE),"")</f>
        <v/>
      </c>
      <c r="O3076" s="99">
        <f>IFERROR(VLOOKUP(B3076,'Pre-Summary'!$BO$6:$BQ$48,3, FALSE),O3075)</f>
        <v>3.3239999999999998</v>
      </c>
      <c r="P3076" s="99">
        <f>IFERROR(VLOOKUP(B3076,'Pre-Summary'!$BS$6:$BU$35,3,FALSE),P3075)</f>
        <v>0.84099999999999997</v>
      </c>
      <c r="Q3076" s="54">
        <f t="shared" si="144"/>
        <v>3.9524375743162903</v>
      </c>
      <c r="R3076" s="53">
        <f>IFERROR(VLOOKUP(B3076,'Pre-Summary'!$BG$6:$BM$44,7,FALSE),R3077)</f>
        <v>0</v>
      </c>
      <c r="S3076" s="53" t="e">
        <f>VLOOKUP(B3076,'Pre-Summary'!$BG$6:$BM$44,6,FALSE)</f>
        <v>#N/A</v>
      </c>
      <c r="T3076" s="45" t="str">
        <f>IFERROR(VLOOKUP(B3076,'Pre-Summary'!$Y$6:$AC$83, 3,FALSE),"")</f>
        <v/>
      </c>
      <c r="U3076" s="45" t="str">
        <f>IFERROR(VLOOKUP(B3076,'Pre-Summary'!$Y$6:$AC$83, 4,FALSE),"")</f>
        <v/>
      </c>
      <c r="V3076" t="str">
        <f>IFERROR(VLOOKUP(B3076,'Pre-Summary'!$Y$6:$AC$83, 5,FALSE),"")</f>
        <v/>
      </c>
      <c r="W3076" s="45" t="str">
        <f>IFERROR(VLOOKUP(B3076,'Pre-Summary'!$Y$6:$AD$83,6,FALSE),"")</f>
        <v/>
      </c>
      <c r="X3076" t="str">
        <f>IFERROR(VLOOKUP('Pre-Summary'!$DB$6:$DD$63,3,FALSE),"")</f>
        <v/>
      </c>
      <c r="Y3076" t="str">
        <f>IFERROR(VLOOKUP(B3076,'Pre-Summary'!$CR$6:$CT$36,3,FALSE),"")</f>
        <v/>
      </c>
      <c r="Z3076" s="45" t="str">
        <f>IFERROR(VLOOKUP(B3076,'Pre-Summary'!$BZ$6:$CB$63,2,FALSE),"")</f>
        <v/>
      </c>
      <c r="AA3076" s="45" t="str">
        <f>IFERROR(VLOOKUP(B3076,'Pre-Summary'!$CG$6:$CI$70,2,FALSE),"")</f>
        <v/>
      </c>
      <c r="AB3076" s="99">
        <f>IFERROR(VLOOKUP(B3076,'Pre-Summary'!$A$6:$P$178,9,FALSE),AB3077)</f>
        <v>1.2254632720101373</v>
      </c>
      <c r="AC3076" s="10">
        <f>IFERROR(VLOOKUP(Summary!B3076,'Pre-Summary'!$A$6:$P$184,5, FALSE)/100,AC3077)</f>
        <v>0.83185799999999999</v>
      </c>
      <c r="AD3076" s="10">
        <f>IFERROR(VLOOKUP(Summary!B3076,'Pre-Summary'!$A$6:$P$184,3, FALSE)/100,AD3077)</f>
        <v>0.13380733333333333</v>
      </c>
      <c r="AE3076" s="10">
        <f>IFERROR(VLOOKUP(Summary!B3076,'Pre-Summary'!$A$6:$P$184,7, FALSE)/100,AE3077)</f>
        <v>3.4334666666666666E-2</v>
      </c>
      <c r="AF3076" s="99">
        <f t="shared" si="145"/>
        <v>0.16397597252561777</v>
      </c>
      <c r="AG3076" s="99">
        <f t="shared" si="146"/>
        <v>4.2075872956710725E-2</v>
      </c>
      <c r="AH3076" s="10" t="str">
        <f>IFERROR(VLOOKUP(B3076,'Pre-Summary'!$AZ$6:$BE$65,3,FALSE),"")</f>
        <v/>
      </c>
      <c r="AI3076" s="10" t="str">
        <f>IFERROR(VLOOKUP(B3076,'Pre-Summary'!$AZ$6:$BE$65,5,FALSE),"")</f>
        <v/>
      </c>
      <c r="AJ3076" s="10" t="str">
        <f>IFERROR(VLOOKUP(B3076,'Pre-Summary'!$AZ$6:$BE$65,4,FALSE),"")</f>
        <v/>
      </c>
      <c r="AK3076" s="10" t="str">
        <f>IFERROR(VLOOKUP(B3076,'Pre-Summary'!$AZ$6:$BE$65,6,FALSE),"")</f>
        <v/>
      </c>
      <c r="AL3076" s="10" t="str">
        <f>IFERROR(VLOOKUP(B3076,'Pre-Summary'!$BG$6:$BL$44,3,FALSE),"")</f>
        <v/>
      </c>
      <c r="AM3076" s="10" t="str">
        <f>IFERROR(VLOOKUP(B3076,'Pre-Summary'!$BG$6:$BL$44,4,FALSE),"")</f>
        <v/>
      </c>
    </row>
    <row r="3077" spans="2:39" ht="15" customHeight="1" x14ac:dyDescent="0.3">
      <c r="B3077">
        <v>307.39999999999998</v>
      </c>
      <c r="C3077" t="str">
        <f>IFERROR(VLOOKUP(B3077,'Pre-Summary'!$DI$6:$DM$23,4,FALSE),"")</f>
        <v/>
      </c>
      <c r="D3077" s="10" t="str">
        <f>IFERROR(VLOOKUP(B3077,'Pre-Summary'!$AT$6:$AX$14,5,FALSE),D3076)</f>
        <v>Wolfe v3: went back to modified wolfe + EDTA and switched CuSO4 to CUCl2</v>
      </c>
      <c r="E3077" s="10" t="str">
        <f>IFERROR(VLOOKUP(B3077,'Pre-Summary'!$AT$6:$AX$15,4,FALSE),"")</f>
        <v/>
      </c>
      <c r="F3077">
        <f>IFERROR(VLOOKUP(B3077,'Pre-Summary'!$AL$6:$AQ$13,6,FALSE),F3076)</f>
        <v>5.9405263157894746E-2</v>
      </c>
      <c r="G3077" t="str">
        <f>IFERROR(VLOOKUP(B3077,'Pre-Summary'!$AE$6:$AJ$85,3,FALSE),"")</f>
        <v/>
      </c>
      <c r="H3077" t="str">
        <f>IFERROR(VLOOKUP(B3077,'Pre-Summary'!$AE$6:$AJ$85,4,FALSE),"")</f>
        <v/>
      </c>
      <c r="I3077" t="str">
        <f>IFERROR(VLOOKUP(B3077,'Pre-Summary'!$AE$6:$AJ$85,5,FALSE),"")</f>
        <v/>
      </c>
      <c r="J3077" s="45" t="str">
        <f>IFERROR(VLOOKUP(B3077,'Pre-Summary'!$AE$6:$AJ$85,6, FALSE),"")</f>
        <v/>
      </c>
      <c r="K3077" s="45" t="str">
        <f>IFERROR(VLOOKUP(B3077,'Pre-Summary'!$DE$6:$DG$61,3,FALSE),"")</f>
        <v/>
      </c>
      <c r="L3077" s="45" t="str">
        <f>IFERROR(VLOOKUP(B3077,'Pre-Summary'!$CU$6:$CW$36,3,FALSE),"")</f>
        <v/>
      </c>
      <c r="M3077" s="45" t="str">
        <f>IFERROR(VLOOKUP(B3077,'Pre-Summary'!$BW$6:$BY$58,2,FALSE),"")</f>
        <v/>
      </c>
      <c r="N3077" s="45" t="str">
        <f>IFERROR(VLOOKUP(B3077,'Pre-Summary'!$CD$6:$CF$64,2,FALSE),"")</f>
        <v/>
      </c>
      <c r="O3077" s="99">
        <f>IFERROR(VLOOKUP(B3077,'Pre-Summary'!$BO$6:$BQ$48,3, FALSE),O3076)</f>
        <v>3.3239999999999998</v>
      </c>
      <c r="P3077" s="99">
        <f>IFERROR(VLOOKUP(B3077,'Pre-Summary'!$BS$6:$BU$35,3,FALSE),P3076)</f>
        <v>0.84099999999999997</v>
      </c>
      <c r="Q3077" s="54">
        <f t="shared" si="144"/>
        <v>3.9524375743162903</v>
      </c>
      <c r="R3077" s="53">
        <f>IFERROR(VLOOKUP(B3077,'Pre-Summary'!$BG$6:$BM$44,7,FALSE),R3078)</f>
        <v>0</v>
      </c>
      <c r="S3077" s="53" t="e">
        <f>VLOOKUP(B3077,'Pre-Summary'!$BG$6:$BM$44,6,FALSE)</f>
        <v>#N/A</v>
      </c>
      <c r="T3077" s="45" t="str">
        <f>IFERROR(VLOOKUP(B3077,'Pre-Summary'!$Y$6:$AC$83, 3,FALSE),"")</f>
        <v/>
      </c>
      <c r="U3077" s="45" t="str">
        <f>IFERROR(VLOOKUP(B3077,'Pre-Summary'!$Y$6:$AC$83, 4,FALSE),"")</f>
        <v/>
      </c>
      <c r="V3077" t="str">
        <f>IFERROR(VLOOKUP(B3077,'Pre-Summary'!$Y$6:$AC$83, 5,FALSE),"")</f>
        <v/>
      </c>
      <c r="W3077" s="45" t="str">
        <f>IFERROR(VLOOKUP(B3077,'Pre-Summary'!$Y$6:$AD$83,6,FALSE),"")</f>
        <v/>
      </c>
      <c r="X3077" t="str">
        <f>IFERROR(VLOOKUP('Pre-Summary'!$DB$6:$DD$63,3,FALSE),"")</f>
        <v/>
      </c>
      <c r="Y3077" t="str">
        <f>IFERROR(VLOOKUP(B3077,'Pre-Summary'!$CR$6:$CT$36,3,FALSE),"")</f>
        <v/>
      </c>
      <c r="Z3077" s="45" t="str">
        <f>IFERROR(VLOOKUP(B3077,'Pre-Summary'!$BZ$6:$CB$63,2,FALSE),"")</f>
        <v/>
      </c>
      <c r="AA3077" s="45" t="str">
        <f>IFERROR(VLOOKUP(B3077,'Pre-Summary'!$CG$6:$CI$70,2,FALSE),"")</f>
        <v/>
      </c>
      <c r="AB3077" s="99">
        <f>IFERROR(VLOOKUP(B3077,'Pre-Summary'!$A$6:$P$178,9,FALSE),AB3078)</f>
        <v>1.2254632720101373</v>
      </c>
      <c r="AC3077" s="10">
        <f>IFERROR(VLOOKUP(Summary!B3077,'Pre-Summary'!$A$6:$P$184,5, FALSE)/100,AC3078)</f>
        <v>0.83185799999999999</v>
      </c>
      <c r="AD3077" s="10">
        <f>IFERROR(VLOOKUP(Summary!B3077,'Pre-Summary'!$A$6:$P$184,3, FALSE)/100,AD3078)</f>
        <v>0.13380733333333333</v>
      </c>
      <c r="AE3077" s="10">
        <f>IFERROR(VLOOKUP(Summary!B3077,'Pre-Summary'!$A$6:$P$184,7, FALSE)/100,AE3078)</f>
        <v>3.4334666666666666E-2</v>
      </c>
      <c r="AF3077" s="99">
        <f t="shared" si="145"/>
        <v>0.16397597252561777</v>
      </c>
      <c r="AG3077" s="99">
        <f t="shared" si="146"/>
        <v>4.2075872956710725E-2</v>
      </c>
      <c r="AH3077" s="10" t="str">
        <f>IFERROR(VLOOKUP(B3077,'Pre-Summary'!$AZ$6:$BE$65,3,FALSE),"")</f>
        <v/>
      </c>
      <c r="AI3077" s="10" t="str">
        <f>IFERROR(VLOOKUP(B3077,'Pre-Summary'!$AZ$6:$BE$65,5,FALSE),"")</f>
        <v/>
      </c>
      <c r="AJ3077" s="10" t="str">
        <f>IFERROR(VLOOKUP(B3077,'Pre-Summary'!$AZ$6:$BE$65,4,FALSE),"")</f>
        <v/>
      </c>
      <c r="AK3077" s="10" t="str">
        <f>IFERROR(VLOOKUP(B3077,'Pre-Summary'!$AZ$6:$BE$65,6,FALSE),"")</f>
        <v/>
      </c>
      <c r="AL3077" s="10" t="str">
        <f>IFERROR(VLOOKUP(B3077,'Pre-Summary'!$BG$6:$BL$44,3,FALSE),"")</f>
        <v/>
      </c>
      <c r="AM3077" s="10" t="str">
        <f>IFERROR(VLOOKUP(B3077,'Pre-Summary'!$BG$6:$BL$44,4,FALSE),"")</f>
        <v/>
      </c>
    </row>
    <row r="3078" spans="2:39" ht="15" customHeight="1" x14ac:dyDescent="0.3">
      <c r="B3078">
        <v>307.5</v>
      </c>
      <c r="C3078" t="str">
        <f>IFERROR(VLOOKUP(B3078,'Pre-Summary'!$DI$6:$DM$23,4,FALSE),"")</f>
        <v/>
      </c>
      <c r="D3078" s="10" t="str">
        <f>IFERROR(VLOOKUP(B3078,'Pre-Summary'!$AT$6:$AX$14,5,FALSE),D3077)</f>
        <v>Wolfe v3: went back to modified wolfe + EDTA and switched CuSO4 to CUCl2</v>
      </c>
      <c r="E3078" s="10" t="str">
        <f>IFERROR(VLOOKUP(B3078,'Pre-Summary'!$AT$6:$AX$15,4,FALSE),"")</f>
        <v/>
      </c>
      <c r="F3078">
        <f>IFERROR(VLOOKUP(B3078,'Pre-Summary'!$AL$6:$AQ$13,6,FALSE),F3077)</f>
        <v>5.9405263157894746E-2</v>
      </c>
      <c r="G3078" t="str">
        <f>IFERROR(VLOOKUP(B3078,'Pre-Summary'!$AE$6:$AJ$85,3,FALSE),"")</f>
        <v/>
      </c>
      <c r="H3078" t="str">
        <f>IFERROR(VLOOKUP(B3078,'Pre-Summary'!$AE$6:$AJ$85,4,FALSE),"")</f>
        <v/>
      </c>
      <c r="I3078" t="str">
        <f>IFERROR(VLOOKUP(B3078,'Pre-Summary'!$AE$6:$AJ$85,5,FALSE),"")</f>
        <v/>
      </c>
      <c r="J3078" s="45" t="str">
        <f>IFERROR(VLOOKUP(B3078,'Pre-Summary'!$AE$6:$AJ$85,6, FALSE),"")</f>
        <v/>
      </c>
      <c r="K3078" s="45" t="str">
        <f>IFERROR(VLOOKUP(B3078,'Pre-Summary'!$DE$6:$DG$61,3,FALSE),"")</f>
        <v/>
      </c>
      <c r="L3078" s="45" t="str">
        <f>IFERROR(VLOOKUP(B3078,'Pre-Summary'!$CU$6:$CW$36,3,FALSE),"")</f>
        <v/>
      </c>
      <c r="M3078" s="45" t="str">
        <f>IFERROR(VLOOKUP(B3078,'Pre-Summary'!$BW$6:$BY$58,2,FALSE),"")</f>
        <v/>
      </c>
      <c r="N3078" s="45" t="str">
        <f>IFERROR(VLOOKUP(B3078,'Pre-Summary'!$CD$6:$CF$64,2,FALSE),"")</f>
        <v/>
      </c>
      <c r="O3078" s="99">
        <f>IFERROR(VLOOKUP(B3078,'Pre-Summary'!$BO$6:$BQ$48,3, FALSE),O3077)</f>
        <v>3.3239999999999998</v>
      </c>
      <c r="P3078" s="99">
        <f>IFERROR(VLOOKUP(B3078,'Pre-Summary'!$BS$6:$BU$35,3,FALSE),P3077)</f>
        <v>0.84099999999999997</v>
      </c>
      <c r="Q3078" s="54">
        <f t="shared" si="144"/>
        <v>3.9524375743162903</v>
      </c>
      <c r="R3078" s="53">
        <f>IFERROR(VLOOKUP(B3078,'Pre-Summary'!$BG$6:$BM$44,7,FALSE),R3079)</f>
        <v>0</v>
      </c>
      <c r="S3078" s="53" t="e">
        <f>VLOOKUP(B3078,'Pre-Summary'!$BG$6:$BM$44,6,FALSE)</f>
        <v>#N/A</v>
      </c>
      <c r="T3078" s="45" t="str">
        <f>IFERROR(VLOOKUP(B3078,'Pre-Summary'!$Y$6:$AC$83, 3,FALSE),"")</f>
        <v/>
      </c>
      <c r="U3078" s="45" t="str">
        <f>IFERROR(VLOOKUP(B3078,'Pre-Summary'!$Y$6:$AC$83, 4,FALSE),"")</f>
        <v/>
      </c>
      <c r="V3078" t="str">
        <f>IFERROR(VLOOKUP(B3078,'Pre-Summary'!$Y$6:$AC$83, 5,FALSE),"")</f>
        <v/>
      </c>
      <c r="W3078" s="45" t="str">
        <f>IFERROR(VLOOKUP(B3078,'Pre-Summary'!$Y$6:$AD$83,6,FALSE),"")</f>
        <v/>
      </c>
      <c r="X3078" t="str">
        <f>IFERROR(VLOOKUP('Pre-Summary'!$DB$6:$DD$63,3,FALSE),"")</f>
        <v/>
      </c>
      <c r="Y3078" t="str">
        <f>IFERROR(VLOOKUP(B3078,'Pre-Summary'!$CR$6:$CT$36,3,FALSE),"")</f>
        <v/>
      </c>
      <c r="Z3078" s="45" t="str">
        <f>IFERROR(VLOOKUP(B3078,'Pre-Summary'!$BZ$6:$CB$63,2,FALSE),"")</f>
        <v/>
      </c>
      <c r="AA3078" s="45" t="str">
        <f>IFERROR(VLOOKUP(B3078,'Pre-Summary'!$CG$6:$CI$70,2,FALSE),"")</f>
        <v/>
      </c>
      <c r="AB3078" s="99">
        <f>IFERROR(VLOOKUP(B3078,'Pre-Summary'!$A$6:$P$178,9,FALSE),AB3079)</f>
        <v>1.2254632720101373</v>
      </c>
      <c r="AC3078" s="10">
        <f>IFERROR(VLOOKUP(Summary!B3078,'Pre-Summary'!$A$6:$P$184,5, FALSE)/100,AC3079)</f>
        <v>0.83185799999999999</v>
      </c>
      <c r="AD3078" s="10">
        <f>IFERROR(VLOOKUP(Summary!B3078,'Pre-Summary'!$A$6:$P$184,3, FALSE)/100,AD3079)</f>
        <v>0.13380733333333333</v>
      </c>
      <c r="AE3078" s="10">
        <f>IFERROR(VLOOKUP(Summary!B3078,'Pre-Summary'!$A$6:$P$184,7, FALSE)/100,AE3079)</f>
        <v>3.4334666666666666E-2</v>
      </c>
      <c r="AF3078" s="99">
        <f t="shared" si="145"/>
        <v>0.16397597252561777</v>
      </c>
      <c r="AG3078" s="99">
        <f t="shared" si="146"/>
        <v>4.2075872956710725E-2</v>
      </c>
      <c r="AH3078" s="10" t="str">
        <f>IFERROR(VLOOKUP(B3078,'Pre-Summary'!$AZ$6:$BE$65,3,FALSE),"")</f>
        <v/>
      </c>
      <c r="AI3078" s="10" t="str">
        <f>IFERROR(VLOOKUP(B3078,'Pre-Summary'!$AZ$6:$BE$65,5,FALSE),"")</f>
        <v/>
      </c>
      <c r="AJ3078" s="10" t="str">
        <f>IFERROR(VLOOKUP(B3078,'Pre-Summary'!$AZ$6:$BE$65,4,FALSE),"")</f>
        <v/>
      </c>
      <c r="AK3078" s="10" t="str">
        <f>IFERROR(VLOOKUP(B3078,'Pre-Summary'!$AZ$6:$BE$65,6,FALSE),"")</f>
        <v/>
      </c>
      <c r="AL3078" s="10" t="str">
        <f>IFERROR(VLOOKUP(B3078,'Pre-Summary'!$BG$6:$BL$44,3,FALSE),"")</f>
        <v/>
      </c>
      <c r="AM3078" s="10" t="str">
        <f>IFERROR(VLOOKUP(B3078,'Pre-Summary'!$BG$6:$BL$44,4,FALSE),"")</f>
        <v/>
      </c>
    </row>
    <row r="3079" spans="2:39" ht="15" customHeight="1" x14ac:dyDescent="0.3">
      <c r="B3079">
        <v>307.60000000000002</v>
      </c>
      <c r="C3079" t="str">
        <f>IFERROR(VLOOKUP(B3079,'Pre-Summary'!$DI$6:$DM$23,4,FALSE),"")</f>
        <v/>
      </c>
      <c r="D3079" s="10" t="str">
        <f>IFERROR(VLOOKUP(B3079,'Pre-Summary'!$AT$6:$AX$14,5,FALSE),D3078)</f>
        <v>Wolfe v3: went back to modified wolfe + EDTA and switched CuSO4 to CUCl2</v>
      </c>
      <c r="E3079" s="10" t="str">
        <f>IFERROR(VLOOKUP(B3079,'Pre-Summary'!$AT$6:$AX$15,4,FALSE),"")</f>
        <v/>
      </c>
      <c r="F3079">
        <f>IFERROR(VLOOKUP(B3079,'Pre-Summary'!$AL$6:$AQ$13,6,FALSE),F3078)</f>
        <v>5.9405263157894746E-2</v>
      </c>
      <c r="G3079" t="str">
        <f>IFERROR(VLOOKUP(B3079,'Pre-Summary'!$AE$6:$AJ$85,3,FALSE),"")</f>
        <v/>
      </c>
      <c r="H3079" t="str">
        <f>IFERROR(VLOOKUP(B3079,'Pre-Summary'!$AE$6:$AJ$85,4,FALSE),"")</f>
        <v/>
      </c>
      <c r="I3079" t="str">
        <f>IFERROR(VLOOKUP(B3079,'Pre-Summary'!$AE$6:$AJ$85,5,FALSE),"")</f>
        <v/>
      </c>
      <c r="J3079" s="45" t="str">
        <f>IFERROR(VLOOKUP(B3079,'Pre-Summary'!$AE$6:$AJ$85,6, FALSE),"")</f>
        <v/>
      </c>
      <c r="K3079" s="45" t="str">
        <f>IFERROR(VLOOKUP(B3079,'Pre-Summary'!$DE$6:$DG$61,3,FALSE),"")</f>
        <v/>
      </c>
      <c r="L3079" s="45" t="str">
        <f>IFERROR(VLOOKUP(B3079,'Pre-Summary'!$CU$6:$CW$36,3,FALSE),"")</f>
        <v/>
      </c>
      <c r="M3079" s="45" t="str">
        <f>IFERROR(VLOOKUP(B3079,'Pre-Summary'!$BW$6:$BY$58,2,FALSE),"")</f>
        <v/>
      </c>
      <c r="N3079" s="45" t="str">
        <f>IFERROR(VLOOKUP(B3079,'Pre-Summary'!$CD$6:$CF$64,2,FALSE),"")</f>
        <v/>
      </c>
      <c r="O3079" s="99">
        <f>IFERROR(VLOOKUP(B3079,'Pre-Summary'!$BO$6:$BQ$48,3, FALSE),O3078)</f>
        <v>3.3239999999999998</v>
      </c>
      <c r="P3079" s="99">
        <f>IFERROR(VLOOKUP(B3079,'Pre-Summary'!$BS$6:$BU$35,3,FALSE),P3078)</f>
        <v>0.84099999999999997</v>
      </c>
      <c r="Q3079" s="54">
        <f t="shared" si="144"/>
        <v>3.9524375743162903</v>
      </c>
      <c r="R3079" s="53">
        <f>IFERROR(VLOOKUP(B3079,'Pre-Summary'!$BG$6:$BM$44,7,FALSE),R3080)</f>
        <v>0</v>
      </c>
      <c r="S3079" s="53" t="e">
        <f>VLOOKUP(B3079,'Pre-Summary'!$BG$6:$BM$44,6,FALSE)</f>
        <v>#N/A</v>
      </c>
      <c r="T3079" s="45" t="str">
        <f>IFERROR(VLOOKUP(B3079,'Pre-Summary'!$Y$6:$AC$83, 3,FALSE),"")</f>
        <v/>
      </c>
      <c r="U3079" s="45" t="str">
        <f>IFERROR(VLOOKUP(B3079,'Pre-Summary'!$Y$6:$AC$83, 4,FALSE),"")</f>
        <v/>
      </c>
      <c r="V3079" t="str">
        <f>IFERROR(VLOOKUP(B3079,'Pre-Summary'!$Y$6:$AC$83, 5,FALSE),"")</f>
        <v/>
      </c>
      <c r="W3079" s="45" t="str">
        <f>IFERROR(VLOOKUP(B3079,'Pre-Summary'!$Y$6:$AD$83,6,FALSE),"")</f>
        <v/>
      </c>
      <c r="X3079" t="str">
        <f>IFERROR(VLOOKUP('Pre-Summary'!$DB$6:$DD$63,3,FALSE),"")</f>
        <v/>
      </c>
      <c r="Y3079" t="str">
        <f>IFERROR(VLOOKUP(B3079,'Pre-Summary'!$CR$6:$CT$36,3,FALSE),"")</f>
        <v/>
      </c>
      <c r="Z3079" s="45" t="str">
        <f>IFERROR(VLOOKUP(B3079,'Pre-Summary'!$BZ$6:$CB$63,2,FALSE),"")</f>
        <v/>
      </c>
      <c r="AA3079" s="45" t="str">
        <f>IFERROR(VLOOKUP(B3079,'Pre-Summary'!$CG$6:$CI$70,2,FALSE),"")</f>
        <v/>
      </c>
      <c r="AB3079" s="99">
        <f>IFERROR(VLOOKUP(B3079,'Pre-Summary'!$A$6:$P$178,9,FALSE),AB3080)</f>
        <v>1.2254632720101373</v>
      </c>
      <c r="AC3079" s="10">
        <f>IFERROR(VLOOKUP(Summary!B3079,'Pre-Summary'!$A$6:$P$184,5, FALSE)/100,AC3080)</f>
        <v>0.83185799999999999</v>
      </c>
      <c r="AD3079" s="10">
        <f>IFERROR(VLOOKUP(Summary!B3079,'Pre-Summary'!$A$6:$P$184,3, FALSE)/100,AD3080)</f>
        <v>0.13380733333333333</v>
      </c>
      <c r="AE3079" s="10">
        <f>IFERROR(VLOOKUP(Summary!B3079,'Pre-Summary'!$A$6:$P$184,7, FALSE)/100,AE3080)</f>
        <v>3.4334666666666666E-2</v>
      </c>
      <c r="AF3079" s="99">
        <f t="shared" si="145"/>
        <v>0.16397597252561777</v>
      </c>
      <c r="AG3079" s="99">
        <f t="shared" si="146"/>
        <v>4.2075872956710725E-2</v>
      </c>
      <c r="AH3079" s="10" t="str">
        <f>IFERROR(VLOOKUP(B3079,'Pre-Summary'!$AZ$6:$BE$65,3,FALSE),"")</f>
        <v/>
      </c>
      <c r="AI3079" s="10" t="str">
        <f>IFERROR(VLOOKUP(B3079,'Pre-Summary'!$AZ$6:$BE$65,5,FALSE),"")</f>
        <v/>
      </c>
      <c r="AJ3079" s="10" t="str">
        <f>IFERROR(VLOOKUP(B3079,'Pre-Summary'!$AZ$6:$BE$65,4,FALSE),"")</f>
        <v/>
      </c>
      <c r="AK3079" s="10" t="str">
        <f>IFERROR(VLOOKUP(B3079,'Pre-Summary'!$AZ$6:$BE$65,6,FALSE),"")</f>
        <v/>
      </c>
      <c r="AL3079" s="10" t="str">
        <f>IFERROR(VLOOKUP(B3079,'Pre-Summary'!$BG$6:$BL$44,3,FALSE),"")</f>
        <v/>
      </c>
      <c r="AM3079" s="10" t="str">
        <f>IFERROR(VLOOKUP(B3079,'Pre-Summary'!$BG$6:$BL$44,4,FALSE),"")</f>
        <v/>
      </c>
    </row>
    <row r="3080" spans="2:39" ht="15" customHeight="1" x14ac:dyDescent="0.3">
      <c r="B3080">
        <v>307.7</v>
      </c>
      <c r="C3080" t="str">
        <f>IFERROR(VLOOKUP(B3080,'Pre-Summary'!$DI$6:$DM$23,4,FALSE),"")</f>
        <v/>
      </c>
      <c r="D3080" s="10" t="str">
        <f>IFERROR(VLOOKUP(B3080,'Pre-Summary'!$AT$6:$AX$14,5,FALSE),D3079)</f>
        <v>Wolfe v3: went back to modified wolfe + EDTA and switched CuSO4 to CUCl2</v>
      </c>
      <c r="E3080" s="10" t="str">
        <f>IFERROR(VLOOKUP(B3080,'Pre-Summary'!$AT$6:$AX$15,4,FALSE),"")</f>
        <v/>
      </c>
      <c r="F3080">
        <f>IFERROR(VLOOKUP(B3080,'Pre-Summary'!$AL$6:$AQ$13,6,FALSE),F3079)</f>
        <v>5.9405263157894746E-2</v>
      </c>
      <c r="G3080" t="str">
        <f>IFERROR(VLOOKUP(B3080,'Pre-Summary'!$AE$6:$AJ$85,3,FALSE),"")</f>
        <v/>
      </c>
      <c r="H3080" t="str">
        <f>IFERROR(VLOOKUP(B3080,'Pre-Summary'!$AE$6:$AJ$85,4,FALSE),"")</f>
        <v/>
      </c>
      <c r="I3080" t="str">
        <f>IFERROR(VLOOKUP(B3080,'Pre-Summary'!$AE$6:$AJ$85,5,FALSE),"")</f>
        <v/>
      </c>
      <c r="J3080" s="45" t="str">
        <f>IFERROR(VLOOKUP(B3080,'Pre-Summary'!$AE$6:$AJ$85,6, FALSE),"")</f>
        <v/>
      </c>
      <c r="K3080" s="45" t="str">
        <f>IFERROR(VLOOKUP(B3080,'Pre-Summary'!$DE$6:$DG$61,3,FALSE),"")</f>
        <v/>
      </c>
      <c r="L3080" s="45" t="str">
        <f>IFERROR(VLOOKUP(B3080,'Pre-Summary'!$CU$6:$CW$36,3,FALSE),"")</f>
        <v/>
      </c>
      <c r="M3080" s="45" t="str">
        <f>IFERROR(VLOOKUP(B3080,'Pre-Summary'!$BW$6:$BY$58,2,FALSE),"")</f>
        <v/>
      </c>
      <c r="N3080" s="45" t="str">
        <f>IFERROR(VLOOKUP(B3080,'Pre-Summary'!$CD$6:$CF$64,2,FALSE),"")</f>
        <v/>
      </c>
      <c r="O3080" s="99">
        <f>IFERROR(VLOOKUP(B3080,'Pre-Summary'!$BO$6:$BQ$48,3, FALSE),O3079)</f>
        <v>3.3239999999999998</v>
      </c>
      <c r="P3080" s="99">
        <f>IFERROR(VLOOKUP(B3080,'Pre-Summary'!$BS$6:$BU$35,3,FALSE),P3079)</f>
        <v>0.84099999999999997</v>
      </c>
      <c r="Q3080" s="54">
        <f t="shared" si="144"/>
        <v>3.9524375743162903</v>
      </c>
      <c r="R3080" s="53">
        <f>IFERROR(VLOOKUP(B3080,'Pre-Summary'!$BG$6:$BM$44,7,FALSE),R3081)</f>
        <v>0</v>
      </c>
      <c r="S3080" s="53" t="e">
        <f>VLOOKUP(B3080,'Pre-Summary'!$BG$6:$BM$44,6,FALSE)</f>
        <v>#N/A</v>
      </c>
      <c r="T3080" s="45" t="str">
        <f>IFERROR(VLOOKUP(B3080,'Pre-Summary'!$Y$6:$AC$83, 3,FALSE),"")</f>
        <v/>
      </c>
      <c r="U3080" s="45" t="str">
        <f>IFERROR(VLOOKUP(B3080,'Pre-Summary'!$Y$6:$AC$83, 4,FALSE),"")</f>
        <v/>
      </c>
      <c r="V3080" t="str">
        <f>IFERROR(VLOOKUP(B3080,'Pre-Summary'!$Y$6:$AC$83, 5,FALSE),"")</f>
        <v/>
      </c>
      <c r="W3080" s="45" t="str">
        <f>IFERROR(VLOOKUP(B3080,'Pre-Summary'!$Y$6:$AD$83,6,FALSE),"")</f>
        <v/>
      </c>
      <c r="X3080" t="str">
        <f>IFERROR(VLOOKUP('Pre-Summary'!$DB$6:$DD$63,3,FALSE),"")</f>
        <v/>
      </c>
      <c r="Y3080" t="str">
        <f>IFERROR(VLOOKUP(B3080,'Pre-Summary'!$CR$6:$CT$36,3,FALSE),"")</f>
        <v/>
      </c>
      <c r="Z3080" s="45" t="str">
        <f>IFERROR(VLOOKUP(B3080,'Pre-Summary'!$BZ$6:$CB$63,2,FALSE),"")</f>
        <v/>
      </c>
      <c r="AA3080" s="45" t="str">
        <f>IFERROR(VLOOKUP(B3080,'Pre-Summary'!$CG$6:$CI$70,2,FALSE),"")</f>
        <v/>
      </c>
      <c r="AB3080" s="99">
        <f>IFERROR(VLOOKUP(B3080,'Pre-Summary'!$A$6:$P$178,9,FALSE),AB3081)</f>
        <v>1.2254632720101373</v>
      </c>
      <c r="AC3080" s="10">
        <f>IFERROR(VLOOKUP(Summary!B3080,'Pre-Summary'!$A$6:$P$184,5, FALSE)/100,AC3081)</f>
        <v>0.83185799999999999</v>
      </c>
      <c r="AD3080" s="10">
        <f>IFERROR(VLOOKUP(Summary!B3080,'Pre-Summary'!$A$6:$P$184,3, FALSE)/100,AD3081)</f>
        <v>0.13380733333333333</v>
      </c>
      <c r="AE3080" s="10">
        <f>IFERROR(VLOOKUP(Summary!B3080,'Pre-Summary'!$A$6:$P$184,7, FALSE)/100,AE3081)</f>
        <v>3.4334666666666666E-2</v>
      </c>
      <c r="AF3080" s="99">
        <f t="shared" si="145"/>
        <v>0.16397597252561777</v>
      </c>
      <c r="AG3080" s="99">
        <f t="shared" si="146"/>
        <v>4.2075872956710725E-2</v>
      </c>
      <c r="AH3080" s="10" t="str">
        <f>IFERROR(VLOOKUP(B3080,'Pre-Summary'!$AZ$6:$BE$65,3,FALSE),"")</f>
        <v/>
      </c>
      <c r="AI3080" s="10" t="str">
        <f>IFERROR(VLOOKUP(B3080,'Pre-Summary'!$AZ$6:$BE$65,5,FALSE),"")</f>
        <v/>
      </c>
      <c r="AJ3080" s="10" t="str">
        <f>IFERROR(VLOOKUP(B3080,'Pre-Summary'!$AZ$6:$BE$65,4,FALSE),"")</f>
        <v/>
      </c>
      <c r="AK3080" s="10" t="str">
        <f>IFERROR(VLOOKUP(B3080,'Pre-Summary'!$AZ$6:$BE$65,6,FALSE),"")</f>
        <v/>
      </c>
      <c r="AL3080" s="10" t="str">
        <f>IFERROR(VLOOKUP(B3080,'Pre-Summary'!$BG$6:$BL$44,3,FALSE),"")</f>
        <v/>
      </c>
      <c r="AM3080" s="10" t="str">
        <f>IFERROR(VLOOKUP(B3080,'Pre-Summary'!$BG$6:$BL$44,4,FALSE),"")</f>
        <v/>
      </c>
    </row>
    <row r="3081" spans="2:39" ht="15" customHeight="1" x14ac:dyDescent="0.3">
      <c r="B3081">
        <v>307.8</v>
      </c>
      <c r="C3081" t="str">
        <f>IFERROR(VLOOKUP(B3081,'Pre-Summary'!$DI$6:$DM$23,4,FALSE),"")</f>
        <v/>
      </c>
      <c r="D3081" s="10" t="str">
        <f>IFERROR(VLOOKUP(B3081,'Pre-Summary'!$AT$6:$AX$14,5,FALSE),D3080)</f>
        <v>Wolfe v3: went back to modified wolfe + EDTA and switched CuSO4 to CUCl2</v>
      </c>
      <c r="E3081" s="10" t="str">
        <f>IFERROR(VLOOKUP(B3081,'Pre-Summary'!$AT$6:$AX$15,4,FALSE),"")</f>
        <v/>
      </c>
      <c r="F3081">
        <f>IFERROR(VLOOKUP(B3081,'Pre-Summary'!$AL$6:$AQ$13,6,FALSE),F3080)</f>
        <v>5.9405263157894746E-2</v>
      </c>
      <c r="G3081" t="str">
        <f>IFERROR(VLOOKUP(B3081,'Pre-Summary'!$AE$6:$AJ$85,3,FALSE),"")</f>
        <v/>
      </c>
      <c r="H3081" t="str">
        <f>IFERROR(VLOOKUP(B3081,'Pre-Summary'!$AE$6:$AJ$85,4,FALSE),"")</f>
        <v/>
      </c>
      <c r="I3081" t="str">
        <f>IFERROR(VLOOKUP(B3081,'Pre-Summary'!$AE$6:$AJ$85,5,FALSE),"")</f>
        <v/>
      </c>
      <c r="J3081" s="45" t="str">
        <f>IFERROR(VLOOKUP(B3081,'Pre-Summary'!$AE$6:$AJ$85,6, FALSE),"")</f>
        <v/>
      </c>
      <c r="K3081" s="45" t="str">
        <f>IFERROR(VLOOKUP(B3081,'Pre-Summary'!$DE$6:$DG$61,3,FALSE),"")</f>
        <v/>
      </c>
      <c r="L3081" s="45" t="str">
        <f>IFERROR(VLOOKUP(B3081,'Pre-Summary'!$CU$6:$CW$36,3,FALSE),"")</f>
        <v/>
      </c>
      <c r="M3081" s="45" t="str">
        <f>IFERROR(VLOOKUP(B3081,'Pre-Summary'!$BW$6:$BY$58,2,FALSE),"")</f>
        <v/>
      </c>
      <c r="N3081" s="45" t="str">
        <f>IFERROR(VLOOKUP(B3081,'Pre-Summary'!$CD$6:$CF$64,2,FALSE),"")</f>
        <v/>
      </c>
      <c r="O3081" s="99">
        <f>IFERROR(VLOOKUP(B3081,'Pre-Summary'!$BO$6:$BQ$48,3, FALSE),O3080)</f>
        <v>3.3239999999999998</v>
      </c>
      <c r="P3081" s="99">
        <f>IFERROR(VLOOKUP(B3081,'Pre-Summary'!$BS$6:$BU$35,3,FALSE),P3080)</f>
        <v>0.84099999999999997</v>
      </c>
      <c r="Q3081" s="54">
        <f t="shared" si="144"/>
        <v>3.9524375743162903</v>
      </c>
      <c r="R3081" s="53">
        <f>IFERROR(VLOOKUP(B3081,'Pre-Summary'!$BG$6:$BM$44,7,FALSE),R3082)</f>
        <v>0</v>
      </c>
      <c r="S3081" s="53" t="e">
        <f>VLOOKUP(B3081,'Pre-Summary'!$BG$6:$BM$44,6,FALSE)</f>
        <v>#N/A</v>
      </c>
      <c r="T3081" s="45" t="str">
        <f>IFERROR(VLOOKUP(B3081,'Pre-Summary'!$Y$6:$AC$83, 3,FALSE),"")</f>
        <v/>
      </c>
      <c r="U3081" s="45" t="str">
        <f>IFERROR(VLOOKUP(B3081,'Pre-Summary'!$Y$6:$AC$83, 4,FALSE),"")</f>
        <v/>
      </c>
      <c r="V3081" t="str">
        <f>IFERROR(VLOOKUP(B3081,'Pre-Summary'!$Y$6:$AC$83, 5,FALSE),"")</f>
        <v/>
      </c>
      <c r="W3081" s="45" t="str">
        <f>IFERROR(VLOOKUP(B3081,'Pre-Summary'!$Y$6:$AD$83,6,FALSE),"")</f>
        <v/>
      </c>
      <c r="X3081" t="str">
        <f>IFERROR(VLOOKUP('Pre-Summary'!$DB$6:$DD$63,3,FALSE),"")</f>
        <v/>
      </c>
      <c r="Y3081" t="str">
        <f>IFERROR(VLOOKUP(B3081,'Pre-Summary'!$CR$6:$CT$36,3,FALSE),"")</f>
        <v/>
      </c>
      <c r="Z3081" s="45" t="str">
        <f>IFERROR(VLOOKUP(B3081,'Pre-Summary'!$BZ$6:$CB$63,2,FALSE),"")</f>
        <v/>
      </c>
      <c r="AA3081" s="45" t="str">
        <f>IFERROR(VLOOKUP(B3081,'Pre-Summary'!$CG$6:$CI$70,2,FALSE),"")</f>
        <v/>
      </c>
      <c r="AB3081" s="99">
        <f>IFERROR(VLOOKUP(B3081,'Pre-Summary'!$A$6:$P$178,9,FALSE),AB3082)</f>
        <v>1.2254632720101373</v>
      </c>
      <c r="AC3081" s="10">
        <f>IFERROR(VLOOKUP(Summary!B3081,'Pre-Summary'!$A$6:$P$184,5, FALSE)/100,AC3082)</f>
        <v>0.83185799999999999</v>
      </c>
      <c r="AD3081" s="10">
        <f>IFERROR(VLOOKUP(Summary!B3081,'Pre-Summary'!$A$6:$P$184,3, FALSE)/100,AD3082)</f>
        <v>0.13380733333333333</v>
      </c>
      <c r="AE3081" s="10">
        <f>IFERROR(VLOOKUP(Summary!B3081,'Pre-Summary'!$A$6:$P$184,7, FALSE)/100,AE3082)</f>
        <v>3.4334666666666666E-2</v>
      </c>
      <c r="AF3081" s="99">
        <f t="shared" si="145"/>
        <v>0.16397597252561777</v>
      </c>
      <c r="AG3081" s="99">
        <f t="shared" si="146"/>
        <v>4.2075872956710725E-2</v>
      </c>
      <c r="AH3081" s="10" t="str">
        <f>IFERROR(VLOOKUP(B3081,'Pre-Summary'!$AZ$6:$BE$65,3,FALSE),"")</f>
        <v/>
      </c>
      <c r="AI3081" s="10" t="str">
        <f>IFERROR(VLOOKUP(B3081,'Pre-Summary'!$AZ$6:$BE$65,5,FALSE),"")</f>
        <v/>
      </c>
      <c r="AJ3081" s="10" t="str">
        <f>IFERROR(VLOOKUP(B3081,'Pre-Summary'!$AZ$6:$BE$65,4,FALSE),"")</f>
        <v/>
      </c>
      <c r="AK3081" s="10" t="str">
        <f>IFERROR(VLOOKUP(B3081,'Pre-Summary'!$AZ$6:$BE$65,6,FALSE),"")</f>
        <v/>
      </c>
      <c r="AL3081" s="10" t="str">
        <f>IFERROR(VLOOKUP(B3081,'Pre-Summary'!$BG$6:$BL$44,3,FALSE),"")</f>
        <v/>
      </c>
      <c r="AM3081" s="10" t="str">
        <f>IFERROR(VLOOKUP(B3081,'Pre-Summary'!$BG$6:$BL$44,4,FALSE),"")</f>
        <v/>
      </c>
    </row>
    <row r="3082" spans="2:39" ht="15" customHeight="1" x14ac:dyDescent="0.3">
      <c r="B3082">
        <v>307.89999999999998</v>
      </c>
      <c r="C3082" t="str">
        <f>IFERROR(VLOOKUP(B3082,'Pre-Summary'!$DI$6:$DM$23,4,FALSE),"")</f>
        <v/>
      </c>
      <c r="D3082" s="10" t="str">
        <f>IFERROR(VLOOKUP(B3082,'Pre-Summary'!$AT$6:$AX$14,5,FALSE),D3081)</f>
        <v>Wolfe v3: went back to modified wolfe + EDTA and switched CuSO4 to CUCl2</v>
      </c>
      <c r="E3082" s="10" t="str">
        <f>IFERROR(VLOOKUP(B3082,'Pre-Summary'!$AT$6:$AX$15,4,FALSE),"")</f>
        <v/>
      </c>
      <c r="F3082">
        <f>IFERROR(VLOOKUP(B3082,'Pre-Summary'!$AL$6:$AQ$13,6,FALSE),F3081)</f>
        <v>5.9405263157894746E-2</v>
      </c>
      <c r="G3082" t="str">
        <f>IFERROR(VLOOKUP(B3082,'Pre-Summary'!$AE$6:$AJ$85,3,FALSE),"")</f>
        <v/>
      </c>
      <c r="H3082" t="str">
        <f>IFERROR(VLOOKUP(B3082,'Pre-Summary'!$AE$6:$AJ$85,4,FALSE),"")</f>
        <v/>
      </c>
      <c r="I3082" t="str">
        <f>IFERROR(VLOOKUP(B3082,'Pre-Summary'!$AE$6:$AJ$85,5,FALSE),"")</f>
        <v/>
      </c>
      <c r="J3082" s="45" t="str">
        <f>IFERROR(VLOOKUP(B3082,'Pre-Summary'!$AE$6:$AJ$85,6, FALSE),"")</f>
        <v/>
      </c>
      <c r="K3082" s="45" t="str">
        <f>IFERROR(VLOOKUP(B3082,'Pre-Summary'!$DE$6:$DG$61,3,FALSE),"")</f>
        <v/>
      </c>
      <c r="L3082" s="45" t="str">
        <f>IFERROR(VLOOKUP(B3082,'Pre-Summary'!$CU$6:$CW$36,3,FALSE),"")</f>
        <v/>
      </c>
      <c r="M3082" s="45" t="str">
        <f>IFERROR(VLOOKUP(B3082,'Pre-Summary'!$BW$6:$BY$58,2,FALSE),"")</f>
        <v/>
      </c>
      <c r="N3082" s="45" t="str">
        <f>IFERROR(VLOOKUP(B3082,'Pre-Summary'!$CD$6:$CF$64,2,FALSE),"")</f>
        <v/>
      </c>
      <c r="O3082" s="99">
        <f>IFERROR(VLOOKUP(B3082,'Pre-Summary'!$BO$6:$BQ$48,3, FALSE),O3081)</f>
        <v>3.3239999999999998</v>
      </c>
      <c r="P3082" s="99">
        <f>IFERROR(VLOOKUP(B3082,'Pre-Summary'!$BS$6:$BU$35,3,FALSE),P3081)</f>
        <v>0.84099999999999997</v>
      </c>
      <c r="Q3082" s="54">
        <f t="shared" si="144"/>
        <v>3.9524375743162903</v>
      </c>
      <c r="R3082" s="53">
        <f>IFERROR(VLOOKUP(B3082,'Pre-Summary'!$BG$6:$BM$44,7,FALSE),R3083)</f>
        <v>0</v>
      </c>
      <c r="S3082" s="53" t="e">
        <f>VLOOKUP(B3082,'Pre-Summary'!$BG$6:$BM$44,6,FALSE)</f>
        <v>#N/A</v>
      </c>
      <c r="T3082" s="45" t="str">
        <f>IFERROR(VLOOKUP(B3082,'Pre-Summary'!$Y$6:$AC$83, 3,FALSE),"")</f>
        <v/>
      </c>
      <c r="U3082" s="45" t="str">
        <f>IFERROR(VLOOKUP(B3082,'Pre-Summary'!$Y$6:$AC$83, 4,FALSE),"")</f>
        <v/>
      </c>
      <c r="V3082" t="str">
        <f>IFERROR(VLOOKUP(B3082,'Pre-Summary'!$Y$6:$AC$83, 5,FALSE),"")</f>
        <v/>
      </c>
      <c r="W3082" s="45" t="str">
        <f>IFERROR(VLOOKUP(B3082,'Pre-Summary'!$Y$6:$AD$83,6,FALSE),"")</f>
        <v/>
      </c>
      <c r="X3082" t="str">
        <f>IFERROR(VLOOKUP('Pre-Summary'!$DB$6:$DD$63,3,FALSE),"")</f>
        <v/>
      </c>
      <c r="Y3082" t="str">
        <f>IFERROR(VLOOKUP(B3082,'Pre-Summary'!$CR$6:$CT$36,3,FALSE),"")</f>
        <v/>
      </c>
      <c r="Z3082" s="45" t="str">
        <f>IFERROR(VLOOKUP(B3082,'Pre-Summary'!$BZ$6:$CB$63,2,FALSE),"")</f>
        <v/>
      </c>
      <c r="AA3082" s="45" t="str">
        <f>IFERROR(VLOOKUP(B3082,'Pre-Summary'!$CG$6:$CI$70,2,FALSE),"")</f>
        <v/>
      </c>
      <c r="AB3082" s="99">
        <f>IFERROR(VLOOKUP(B3082,'Pre-Summary'!$A$6:$P$178,9,FALSE),AB3083)</f>
        <v>1.2254632720101373</v>
      </c>
      <c r="AC3082" s="10">
        <f>IFERROR(VLOOKUP(Summary!B3082,'Pre-Summary'!$A$6:$P$184,5, FALSE)/100,AC3083)</f>
        <v>0.83185799999999999</v>
      </c>
      <c r="AD3082" s="10">
        <f>IFERROR(VLOOKUP(Summary!B3082,'Pre-Summary'!$A$6:$P$184,3, FALSE)/100,AD3083)</f>
        <v>0.13380733333333333</v>
      </c>
      <c r="AE3082" s="10">
        <f>IFERROR(VLOOKUP(Summary!B3082,'Pre-Summary'!$A$6:$P$184,7, FALSE)/100,AE3083)</f>
        <v>3.4334666666666666E-2</v>
      </c>
      <c r="AF3082" s="99">
        <f t="shared" si="145"/>
        <v>0.16397597252561777</v>
      </c>
      <c r="AG3082" s="99">
        <f t="shared" si="146"/>
        <v>4.2075872956710725E-2</v>
      </c>
      <c r="AH3082" s="10" t="str">
        <f>IFERROR(VLOOKUP(B3082,'Pre-Summary'!$AZ$6:$BE$65,3,FALSE),"")</f>
        <v/>
      </c>
      <c r="AI3082" s="10" t="str">
        <f>IFERROR(VLOOKUP(B3082,'Pre-Summary'!$AZ$6:$BE$65,5,FALSE),"")</f>
        <v/>
      </c>
      <c r="AJ3082" s="10" t="str">
        <f>IFERROR(VLOOKUP(B3082,'Pre-Summary'!$AZ$6:$BE$65,4,FALSE),"")</f>
        <v/>
      </c>
      <c r="AK3082" s="10" t="str">
        <f>IFERROR(VLOOKUP(B3082,'Pre-Summary'!$AZ$6:$BE$65,6,FALSE),"")</f>
        <v/>
      </c>
      <c r="AL3082" s="10" t="str">
        <f>IFERROR(VLOOKUP(B3082,'Pre-Summary'!$BG$6:$BL$44,3,FALSE),"")</f>
        <v/>
      </c>
      <c r="AM3082" s="10" t="str">
        <f>IFERROR(VLOOKUP(B3082,'Pre-Summary'!$BG$6:$BL$44,4,FALSE),"")</f>
        <v/>
      </c>
    </row>
    <row r="3083" spans="2:39" ht="15" customHeight="1" x14ac:dyDescent="0.3">
      <c r="B3083">
        <v>308</v>
      </c>
      <c r="C3083" t="str">
        <f>IFERROR(VLOOKUP(B3083,'Pre-Summary'!$DI$6:$DM$23,4,FALSE),"")</f>
        <v/>
      </c>
      <c r="D3083" s="10" t="str">
        <f>IFERROR(VLOOKUP(B3083,'Pre-Summary'!$AT$6:$AX$14,5,FALSE),D3082)</f>
        <v>Wolfe v3: went back to modified wolfe + EDTA and switched CuSO4 to CUCl2</v>
      </c>
      <c r="E3083" s="10" t="str">
        <f>IFERROR(VLOOKUP(B3083,'Pre-Summary'!$AT$6:$AX$15,4,FALSE),"")</f>
        <v/>
      </c>
      <c r="F3083">
        <f>IFERROR(VLOOKUP(B3083,'Pre-Summary'!$AL$6:$AQ$13,6,FALSE),F3082)</f>
        <v>5.9405263157894746E-2</v>
      </c>
      <c r="G3083" t="str">
        <f>IFERROR(VLOOKUP(B3083,'Pre-Summary'!$AE$6:$AJ$85,3,FALSE),"")</f>
        <v/>
      </c>
      <c r="H3083" t="str">
        <f>IFERROR(VLOOKUP(B3083,'Pre-Summary'!$AE$6:$AJ$85,4,FALSE),"")</f>
        <v/>
      </c>
      <c r="I3083" t="str">
        <f>IFERROR(VLOOKUP(B3083,'Pre-Summary'!$AE$6:$AJ$85,5,FALSE),"")</f>
        <v/>
      </c>
      <c r="J3083" s="45" t="str">
        <f>IFERROR(VLOOKUP(B3083,'Pre-Summary'!$AE$6:$AJ$85,6, FALSE),"")</f>
        <v/>
      </c>
      <c r="K3083" s="45" t="str">
        <f>IFERROR(VLOOKUP(B3083,'Pre-Summary'!$DE$6:$DG$61,3,FALSE),"")</f>
        <v/>
      </c>
      <c r="L3083" s="45" t="str">
        <f>IFERROR(VLOOKUP(B3083,'Pre-Summary'!$CU$6:$CW$36,3,FALSE),"")</f>
        <v/>
      </c>
      <c r="M3083" s="45" t="str">
        <f>IFERROR(VLOOKUP(B3083,'Pre-Summary'!$BW$6:$BY$58,2,FALSE),"")</f>
        <v/>
      </c>
      <c r="N3083" s="45" t="str">
        <f>IFERROR(VLOOKUP(B3083,'Pre-Summary'!$CD$6:$CF$64,2,FALSE),"")</f>
        <v/>
      </c>
      <c r="O3083" s="99">
        <f>IFERROR(VLOOKUP(B3083,'Pre-Summary'!$BO$6:$BQ$48,3, FALSE),O3082)</f>
        <v>3.3239999999999998</v>
      </c>
      <c r="P3083" s="99">
        <f>IFERROR(VLOOKUP(B3083,'Pre-Summary'!$BS$6:$BU$35,3,FALSE),P3082)</f>
        <v>0.84099999999999997</v>
      </c>
      <c r="Q3083" s="54">
        <f t="shared" si="144"/>
        <v>3.9524375743162903</v>
      </c>
      <c r="R3083" s="53">
        <f>IFERROR(VLOOKUP(B3083,'Pre-Summary'!$BG$6:$BM$44,7,FALSE),R3084)</f>
        <v>0</v>
      </c>
      <c r="S3083" s="53" t="e">
        <f>VLOOKUP(B3083,'Pre-Summary'!$BG$6:$BM$44,6,FALSE)</f>
        <v>#N/A</v>
      </c>
      <c r="T3083" s="45" t="str">
        <f>IFERROR(VLOOKUP(B3083,'Pre-Summary'!$Y$6:$AC$83, 3,FALSE),"")</f>
        <v/>
      </c>
      <c r="U3083" s="45" t="str">
        <f>IFERROR(VLOOKUP(B3083,'Pre-Summary'!$Y$6:$AC$83, 4,FALSE),"")</f>
        <v/>
      </c>
      <c r="V3083" t="str">
        <f>IFERROR(VLOOKUP(B3083,'Pre-Summary'!$Y$6:$AC$83, 5,FALSE),"")</f>
        <v/>
      </c>
      <c r="W3083" s="45" t="str">
        <f>IFERROR(VLOOKUP(B3083,'Pre-Summary'!$Y$6:$AD$83,6,FALSE),"")</f>
        <v/>
      </c>
      <c r="X3083" t="str">
        <f>IFERROR(VLOOKUP('Pre-Summary'!$DB$6:$DD$63,3,FALSE),"")</f>
        <v/>
      </c>
      <c r="Y3083" t="str">
        <f>IFERROR(VLOOKUP(B3083,'Pre-Summary'!$CR$6:$CT$36,3,FALSE),"")</f>
        <v/>
      </c>
      <c r="Z3083" s="45" t="str">
        <f>IFERROR(VLOOKUP(B3083,'Pre-Summary'!$BZ$6:$CB$63,2,FALSE),"")</f>
        <v/>
      </c>
      <c r="AA3083" s="45" t="str">
        <f>IFERROR(VLOOKUP(B3083,'Pre-Summary'!$CG$6:$CI$70,2,FALSE),"")</f>
        <v/>
      </c>
      <c r="AB3083" s="99">
        <f>IFERROR(VLOOKUP(B3083,'Pre-Summary'!$A$6:$P$178,9,FALSE),AB3084)</f>
        <v>1.2254632720101373</v>
      </c>
      <c r="AC3083" s="10">
        <f>IFERROR(VLOOKUP(Summary!B3083,'Pre-Summary'!$A$6:$P$184,5, FALSE)/100,AC3084)</f>
        <v>0.83185799999999999</v>
      </c>
      <c r="AD3083" s="10">
        <f>IFERROR(VLOOKUP(Summary!B3083,'Pre-Summary'!$A$6:$P$184,3, FALSE)/100,AD3084)</f>
        <v>0.13380733333333333</v>
      </c>
      <c r="AE3083" s="10">
        <f>IFERROR(VLOOKUP(Summary!B3083,'Pre-Summary'!$A$6:$P$184,7, FALSE)/100,AE3084)</f>
        <v>3.4334666666666666E-2</v>
      </c>
      <c r="AF3083" s="99">
        <f t="shared" si="145"/>
        <v>0.16397597252561777</v>
      </c>
      <c r="AG3083" s="99">
        <f t="shared" si="146"/>
        <v>4.2075872956710725E-2</v>
      </c>
      <c r="AH3083" s="10" t="str">
        <f>IFERROR(VLOOKUP(B3083,'Pre-Summary'!$AZ$6:$BE$65,3,FALSE),"")</f>
        <v/>
      </c>
      <c r="AI3083" s="10" t="str">
        <f>IFERROR(VLOOKUP(B3083,'Pre-Summary'!$AZ$6:$BE$65,5,FALSE),"")</f>
        <v/>
      </c>
      <c r="AJ3083" s="10" t="str">
        <f>IFERROR(VLOOKUP(B3083,'Pre-Summary'!$AZ$6:$BE$65,4,FALSE),"")</f>
        <v/>
      </c>
      <c r="AK3083" s="10" t="str">
        <f>IFERROR(VLOOKUP(B3083,'Pre-Summary'!$AZ$6:$BE$65,6,FALSE),"")</f>
        <v/>
      </c>
      <c r="AL3083" s="10" t="str">
        <f>IFERROR(VLOOKUP(B3083,'Pre-Summary'!$BG$6:$BL$44,3,FALSE),"")</f>
        <v/>
      </c>
      <c r="AM3083" s="10" t="str">
        <f>IFERROR(VLOOKUP(B3083,'Pre-Summary'!$BG$6:$BL$44,4,FALSE),"")</f>
        <v/>
      </c>
    </row>
    <row r="3084" spans="2:39" ht="15" customHeight="1" x14ac:dyDescent="0.3">
      <c r="B3084">
        <v>308.10000000000002</v>
      </c>
      <c r="C3084" t="str">
        <f>IFERROR(VLOOKUP(B3084,'Pre-Summary'!$DI$6:$DM$23,4,FALSE),"")</f>
        <v/>
      </c>
      <c r="D3084" s="10" t="str">
        <f>IFERROR(VLOOKUP(B3084,'Pre-Summary'!$AT$6:$AX$14,5,FALSE),D3083)</f>
        <v>Wolfe v3: went back to modified wolfe + EDTA and switched CuSO4 to CUCl2</v>
      </c>
      <c r="E3084" s="10" t="str">
        <f>IFERROR(VLOOKUP(B3084,'Pre-Summary'!$AT$6:$AX$15,4,FALSE),"")</f>
        <v/>
      </c>
      <c r="F3084">
        <f>IFERROR(VLOOKUP(B3084,'Pre-Summary'!$AL$6:$AQ$13,6,FALSE),F3083)</f>
        <v>5.9405263157894746E-2</v>
      </c>
      <c r="G3084" t="str">
        <f>IFERROR(VLOOKUP(B3084,'Pre-Summary'!$AE$6:$AJ$85,3,FALSE),"")</f>
        <v/>
      </c>
      <c r="H3084" t="str">
        <f>IFERROR(VLOOKUP(B3084,'Pre-Summary'!$AE$6:$AJ$85,4,FALSE),"")</f>
        <v/>
      </c>
      <c r="I3084" t="str">
        <f>IFERROR(VLOOKUP(B3084,'Pre-Summary'!$AE$6:$AJ$85,5,FALSE),"")</f>
        <v/>
      </c>
      <c r="J3084" s="45" t="str">
        <f>IFERROR(VLOOKUP(B3084,'Pre-Summary'!$AE$6:$AJ$85,6, FALSE),"")</f>
        <v/>
      </c>
      <c r="K3084" s="45" t="str">
        <f>IFERROR(VLOOKUP(B3084,'Pre-Summary'!$DE$6:$DG$61,3,FALSE),"")</f>
        <v/>
      </c>
      <c r="L3084" s="45" t="str">
        <f>IFERROR(VLOOKUP(B3084,'Pre-Summary'!$CU$6:$CW$36,3,FALSE),"")</f>
        <v/>
      </c>
      <c r="M3084" s="45" t="str">
        <f>IFERROR(VLOOKUP(B3084,'Pre-Summary'!$BW$6:$BY$58,2,FALSE),"")</f>
        <v/>
      </c>
      <c r="N3084" s="45" t="str">
        <f>IFERROR(VLOOKUP(B3084,'Pre-Summary'!$CD$6:$CF$64,2,FALSE),"")</f>
        <v/>
      </c>
      <c r="O3084" s="99">
        <f>IFERROR(VLOOKUP(B3084,'Pre-Summary'!$BO$6:$BQ$48,3, FALSE),O3083)</f>
        <v>3.3239999999999998</v>
      </c>
      <c r="P3084" s="99">
        <f>IFERROR(VLOOKUP(B3084,'Pre-Summary'!$BS$6:$BU$35,3,FALSE),P3083)</f>
        <v>0.84099999999999997</v>
      </c>
      <c r="Q3084" s="54">
        <f t="shared" si="144"/>
        <v>3.9524375743162903</v>
      </c>
      <c r="R3084" s="53">
        <f>IFERROR(VLOOKUP(B3084,'Pre-Summary'!$BG$6:$BM$44,7,FALSE),R3085)</f>
        <v>0</v>
      </c>
      <c r="S3084" s="53" t="e">
        <f>VLOOKUP(B3084,'Pre-Summary'!$BG$6:$BM$44,6,FALSE)</f>
        <v>#N/A</v>
      </c>
      <c r="T3084" s="45" t="str">
        <f>IFERROR(VLOOKUP(B3084,'Pre-Summary'!$Y$6:$AC$83, 3,FALSE),"")</f>
        <v/>
      </c>
      <c r="U3084" s="45" t="str">
        <f>IFERROR(VLOOKUP(B3084,'Pre-Summary'!$Y$6:$AC$83, 4,FALSE),"")</f>
        <v/>
      </c>
      <c r="V3084" t="str">
        <f>IFERROR(VLOOKUP(B3084,'Pre-Summary'!$Y$6:$AC$83, 5,FALSE),"")</f>
        <v/>
      </c>
      <c r="W3084" s="45" t="str">
        <f>IFERROR(VLOOKUP(B3084,'Pre-Summary'!$Y$6:$AD$83,6,FALSE),"")</f>
        <v/>
      </c>
      <c r="X3084" t="str">
        <f>IFERROR(VLOOKUP('Pre-Summary'!$DB$6:$DD$63,3,FALSE),"")</f>
        <v/>
      </c>
      <c r="Y3084" t="str">
        <f>IFERROR(VLOOKUP(B3084,'Pre-Summary'!$CR$6:$CT$36,3,FALSE),"")</f>
        <v/>
      </c>
      <c r="Z3084" s="45" t="str">
        <f>IFERROR(VLOOKUP(B3084,'Pre-Summary'!$BZ$6:$CB$63,2,FALSE),"")</f>
        <v/>
      </c>
      <c r="AA3084" s="45" t="str">
        <f>IFERROR(VLOOKUP(B3084,'Pre-Summary'!$CG$6:$CI$70,2,FALSE),"")</f>
        <v/>
      </c>
      <c r="AB3084" s="99">
        <f>IFERROR(VLOOKUP(B3084,'Pre-Summary'!$A$6:$P$178,9,FALSE),AB3085)</f>
        <v>1.2254632720101373</v>
      </c>
      <c r="AC3084" s="10">
        <f>IFERROR(VLOOKUP(Summary!B3084,'Pre-Summary'!$A$6:$P$184,5, FALSE)/100,AC3085)</f>
        <v>0.83185799999999999</v>
      </c>
      <c r="AD3084" s="10">
        <f>IFERROR(VLOOKUP(Summary!B3084,'Pre-Summary'!$A$6:$P$184,3, FALSE)/100,AD3085)</f>
        <v>0.13380733333333333</v>
      </c>
      <c r="AE3084" s="10">
        <f>IFERROR(VLOOKUP(Summary!B3084,'Pre-Summary'!$A$6:$P$184,7, FALSE)/100,AE3085)</f>
        <v>3.4334666666666666E-2</v>
      </c>
      <c r="AF3084" s="99">
        <f t="shared" si="145"/>
        <v>0.16397597252561777</v>
      </c>
      <c r="AG3084" s="99">
        <f t="shared" si="146"/>
        <v>4.2075872956710725E-2</v>
      </c>
      <c r="AH3084" s="10" t="str">
        <f>IFERROR(VLOOKUP(B3084,'Pre-Summary'!$AZ$6:$BE$65,3,FALSE),"")</f>
        <v/>
      </c>
      <c r="AI3084" s="10" t="str">
        <f>IFERROR(VLOOKUP(B3084,'Pre-Summary'!$AZ$6:$BE$65,5,FALSE),"")</f>
        <v/>
      </c>
      <c r="AJ3084" s="10" t="str">
        <f>IFERROR(VLOOKUP(B3084,'Pre-Summary'!$AZ$6:$BE$65,4,FALSE),"")</f>
        <v/>
      </c>
      <c r="AK3084" s="10" t="str">
        <f>IFERROR(VLOOKUP(B3084,'Pre-Summary'!$AZ$6:$BE$65,6,FALSE),"")</f>
        <v/>
      </c>
      <c r="AL3084" s="10" t="str">
        <f>IFERROR(VLOOKUP(B3084,'Pre-Summary'!$BG$6:$BL$44,3,FALSE),"")</f>
        <v/>
      </c>
      <c r="AM3084" s="10" t="str">
        <f>IFERROR(VLOOKUP(B3084,'Pre-Summary'!$BG$6:$BL$44,4,FALSE),"")</f>
        <v/>
      </c>
    </row>
    <row r="3085" spans="2:39" ht="15" customHeight="1" x14ac:dyDescent="0.3">
      <c r="B3085">
        <v>308.2</v>
      </c>
      <c r="C3085" t="str">
        <f>IFERROR(VLOOKUP(B3085,'Pre-Summary'!$DI$6:$DM$23,4,FALSE),"")</f>
        <v/>
      </c>
      <c r="D3085" s="10" t="str">
        <f>IFERROR(VLOOKUP(B3085,'Pre-Summary'!$AT$6:$AX$14,5,FALSE),D3084)</f>
        <v>Wolfe v3: went back to modified wolfe + EDTA and switched CuSO4 to CUCl2</v>
      </c>
      <c r="E3085" s="10" t="str">
        <f>IFERROR(VLOOKUP(B3085,'Pre-Summary'!$AT$6:$AX$15,4,FALSE),"")</f>
        <v/>
      </c>
      <c r="F3085">
        <f>IFERROR(VLOOKUP(B3085,'Pre-Summary'!$AL$6:$AQ$13,6,FALSE),F3084)</f>
        <v>5.9405263157894746E-2</v>
      </c>
      <c r="G3085" t="str">
        <f>IFERROR(VLOOKUP(B3085,'Pre-Summary'!$AE$6:$AJ$85,3,FALSE),"")</f>
        <v/>
      </c>
      <c r="H3085" t="str">
        <f>IFERROR(VLOOKUP(B3085,'Pre-Summary'!$AE$6:$AJ$85,4,FALSE),"")</f>
        <v/>
      </c>
      <c r="I3085" t="str">
        <f>IFERROR(VLOOKUP(B3085,'Pre-Summary'!$AE$6:$AJ$85,5,FALSE),"")</f>
        <v/>
      </c>
      <c r="J3085" s="45" t="str">
        <f>IFERROR(VLOOKUP(B3085,'Pre-Summary'!$AE$6:$AJ$85,6, FALSE),"")</f>
        <v/>
      </c>
      <c r="K3085" s="45" t="str">
        <f>IFERROR(VLOOKUP(B3085,'Pre-Summary'!$DE$6:$DG$61,3,FALSE),"")</f>
        <v/>
      </c>
      <c r="L3085" s="45" t="str">
        <f>IFERROR(VLOOKUP(B3085,'Pre-Summary'!$CU$6:$CW$36,3,FALSE),"")</f>
        <v/>
      </c>
      <c r="M3085" s="45" t="str">
        <f>IFERROR(VLOOKUP(B3085,'Pre-Summary'!$BW$6:$BY$58,2,FALSE),"")</f>
        <v/>
      </c>
      <c r="N3085" s="45" t="str">
        <f>IFERROR(VLOOKUP(B3085,'Pre-Summary'!$CD$6:$CF$64,2,FALSE),"")</f>
        <v/>
      </c>
      <c r="O3085" s="99">
        <f>IFERROR(VLOOKUP(B3085,'Pre-Summary'!$BO$6:$BQ$48,3, FALSE),O3084)</f>
        <v>3.3239999999999998</v>
      </c>
      <c r="P3085" s="99">
        <f>IFERROR(VLOOKUP(B3085,'Pre-Summary'!$BS$6:$BU$35,3,FALSE),P3084)</f>
        <v>0.84099999999999997</v>
      </c>
      <c r="Q3085" s="54">
        <f t="shared" si="144"/>
        <v>3.9524375743162903</v>
      </c>
      <c r="R3085" s="53">
        <f>IFERROR(VLOOKUP(B3085,'Pre-Summary'!$BG$6:$BM$44,7,FALSE),R3086)</f>
        <v>0</v>
      </c>
      <c r="S3085" s="53" t="e">
        <f>VLOOKUP(B3085,'Pre-Summary'!$BG$6:$BM$44,6,FALSE)</f>
        <v>#N/A</v>
      </c>
      <c r="T3085" s="45" t="str">
        <f>IFERROR(VLOOKUP(B3085,'Pre-Summary'!$Y$6:$AC$83, 3,FALSE),"")</f>
        <v/>
      </c>
      <c r="U3085" s="45" t="str">
        <f>IFERROR(VLOOKUP(B3085,'Pre-Summary'!$Y$6:$AC$83, 4,FALSE),"")</f>
        <v/>
      </c>
      <c r="V3085" t="str">
        <f>IFERROR(VLOOKUP(B3085,'Pre-Summary'!$Y$6:$AC$83, 5,FALSE),"")</f>
        <v/>
      </c>
      <c r="W3085" s="45" t="str">
        <f>IFERROR(VLOOKUP(B3085,'Pre-Summary'!$Y$6:$AD$83,6,FALSE),"")</f>
        <v/>
      </c>
      <c r="X3085" t="str">
        <f>IFERROR(VLOOKUP('Pre-Summary'!$DB$6:$DD$63,3,FALSE),"")</f>
        <v/>
      </c>
      <c r="Y3085" t="str">
        <f>IFERROR(VLOOKUP(B3085,'Pre-Summary'!$CR$6:$CT$36,3,FALSE),"")</f>
        <v/>
      </c>
      <c r="Z3085" s="45" t="str">
        <f>IFERROR(VLOOKUP(B3085,'Pre-Summary'!$BZ$6:$CB$63,2,FALSE),"")</f>
        <v/>
      </c>
      <c r="AA3085" s="45" t="str">
        <f>IFERROR(VLOOKUP(B3085,'Pre-Summary'!$CG$6:$CI$70,2,FALSE),"")</f>
        <v/>
      </c>
      <c r="AB3085" s="99">
        <f>IFERROR(VLOOKUP(B3085,'Pre-Summary'!$A$6:$P$178,9,FALSE),AB3086)</f>
        <v>1.2254632720101373</v>
      </c>
      <c r="AC3085" s="10">
        <f>IFERROR(VLOOKUP(Summary!B3085,'Pre-Summary'!$A$6:$P$184,5, FALSE)/100,AC3086)</f>
        <v>0.83185799999999999</v>
      </c>
      <c r="AD3085" s="10">
        <f>IFERROR(VLOOKUP(Summary!B3085,'Pre-Summary'!$A$6:$P$184,3, FALSE)/100,AD3086)</f>
        <v>0.13380733333333333</v>
      </c>
      <c r="AE3085" s="10">
        <f>IFERROR(VLOOKUP(Summary!B3085,'Pre-Summary'!$A$6:$P$184,7, FALSE)/100,AE3086)</f>
        <v>3.4334666666666666E-2</v>
      </c>
      <c r="AF3085" s="99">
        <f t="shared" si="145"/>
        <v>0.16397597252561777</v>
      </c>
      <c r="AG3085" s="99">
        <f t="shared" si="146"/>
        <v>4.2075872956710725E-2</v>
      </c>
      <c r="AH3085" s="10" t="str">
        <f>IFERROR(VLOOKUP(B3085,'Pre-Summary'!$AZ$6:$BE$65,3,FALSE),"")</f>
        <v/>
      </c>
      <c r="AI3085" s="10" t="str">
        <f>IFERROR(VLOOKUP(B3085,'Pre-Summary'!$AZ$6:$BE$65,5,FALSE),"")</f>
        <v/>
      </c>
      <c r="AJ3085" s="10" t="str">
        <f>IFERROR(VLOOKUP(B3085,'Pre-Summary'!$AZ$6:$BE$65,4,FALSE),"")</f>
        <v/>
      </c>
      <c r="AK3085" s="10" t="str">
        <f>IFERROR(VLOOKUP(B3085,'Pre-Summary'!$AZ$6:$BE$65,6,FALSE),"")</f>
        <v/>
      </c>
      <c r="AL3085" s="10" t="str">
        <f>IFERROR(VLOOKUP(B3085,'Pre-Summary'!$BG$6:$BL$44,3,FALSE),"")</f>
        <v/>
      </c>
      <c r="AM3085" s="10" t="str">
        <f>IFERROR(VLOOKUP(B3085,'Pre-Summary'!$BG$6:$BL$44,4,FALSE),"")</f>
        <v/>
      </c>
    </row>
    <row r="3086" spans="2:39" ht="15" customHeight="1" x14ac:dyDescent="0.3">
      <c r="B3086">
        <v>308.3</v>
      </c>
      <c r="C3086" t="str">
        <f>IFERROR(VLOOKUP(B3086,'Pre-Summary'!$DI$6:$DM$23,4,FALSE),"")</f>
        <v/>
      </c>
      <c r="D3086" s="10" t="str">
        <f>IFERROR(VLOOKUP(B3086,'Pre-Summary'!$AT$6:$AX$14,5,FALSE),D3085)</f>
        <v>Wolfe v3: went back to modified wolfe + EDTA and switched CuSO4 to CUCl2</v>
      </c>
      <c r="E3086" s="10" t="str">
        <f>IFERROR(VLOOKUP(B3086,'Pre-Summary'!$AT$6:$AX$15,4,FALSE),"")</f>
        <v/>
      </c>
      <c r="F3086">
        <f>IFERROR(VLOOKUP(B3086,'Pre-Summary'!$AL$6:$AQ$13,6,FALSE),F3085)</f>
        <v>5.9405263157894746E-2</v>
      </c>
      <c r="G3086" t="str">
        <f>IFERROR(VLOOKUP(B3086,'Pre-Summary'!$AE$6:$AJ$85,3,FALSE),"")</f>
        <v/>
      </c>
      <c r="H3086" t="str">
        <f>IFERROR(VLOOKUP(B3086,'Pre-Summary'!$AE$6:$AJ$85,4,FALSE),"")</f>
        <v/>
      </c>
      <c r="I3086" t="str">
        <f>IFERROR(VLOOKUP(B3086,'Pre-Summary'!$AE$6:$AJ$85,5,FALSE),"")</f>
        <v/>
      </c>
      <c r="J3086" s="45" t="str">
        <f>IFERROR(VLOOKUP(B3086,'Pre-Summary'!$AE$6:$AJ$85,6, FALSE),"")</f>
        <v/>
      </c>
      <c r="K3086" s="45" t="str">
        <f>IFERROR(VLOOKUP(B3086,'Pre-Summary'!$DE$6:$DG$61,3,FALSE),"")</f>
        <v/>
      </c>
      <c r="L3086" s="45" t="str">
        <f>IFERROR(VLOOKUP(B3086,'Pre-Summary'!$CU$6:$CW$36,3,FALSE),"")</f>
        <v/>
      </c>
      <c r="M3086" s="45" t="str">
        <f>IFERROR(VLOOKUP(B3086,'Pre-Summary'!$BW$6:$BY$58,2,FALSE),"")</f>
        <v/>
      </c>
      <c r="N3086" s="45" t="str">
        <f>IFERROR(VLOOKUP(B3086,'Pre-Summary'!$CD$6:$CF$64,2,FALSE),"")</f>
        <v/>
      </c>
      <c r="O3086" s="99">
        <f>IFERROR(VLOOKUP(B3086,'Pre-Summary'!$BO$6:$BQ$48,3, FALSE),O3085)</f>
        <v>3.3239999999999998</v>
      </c>
      <c r="P3086" s="99">
        <f>IFERROR(VLOOKUP(B3086,'Pre-Summary'!$BS$6:$BU$35,3,FALSE),P3085)</f>
        <v>0.84099999999999997</v>
      </c>
      <c r="Q3086" s="54">
        <f t="shared" si="144"/>
        <v>3.9524375743162903</v>
      </c>
      <c r="R3086" s="53">
        <f>IFERROR(VLOOKUP(B3086,'Pre-Summary'!$BG$6:$BM$44,7,FALSE),R3087)</f>
        <v>0</v>
      </c>
      <c r="S3086" s="53" t="e">
        <f>VLOOKUP(B3086,'Pre-Summary'!$BG$6:$BM$44,6,FALSE)</f>
        <v>#N/A</v>
      </c>
      <c r="T3086" s="45" t="str">
        <f>IFERROR(VLOOKUP(B3086,'Pre-Summary'!$Y$6:$AC$83, 3,FALSE),"")</f>
        <v/>
      </c>
      <c r="U3086" s="45" t="str">
        <f>IFERROR(VLOOKUP(B3086,'Pre-Summary'!$Y$6:$AC$83, 4,FALSE),"")</f>
        <v/>
      </c>
      <c r="V3086" t="str">
        <f>IFERROR(VLOOKUP(B3086,'Pre-Summary'!$Y$6:$AC$83, 5,FALSE),"")</f>
        <v/>
      </c>
      <c r="W3086" s="45" t="str">
        <f>IFERROR(VLOOKUP(B3086,'Pre-Summary'!$Y$6:$AD$83,6,FALSE),"")</f>
        <v/>
      </c>
      <c r="X3086" t="str">
        <f>IFERROR(VLOOKUP('Pre-Summary'!$DB$6:$DD$63,3,FALSE),"")</f>
        <v/>
      </c>
      <c r="Y3086" t="str">
        <f>IFERROR(VLOOKUP(B3086,'Pre-Summary'!$CR$6:$CT$36,3,FALSE),"")</f>
        <v/>
      </c>
      <c r="Z3086" s="45" t="str">
        <f>IFERROR(VLOOKUP(B3086,'Pre-Summary'!$BZ$6:$CB$63,2,FALSE),"")</f>
        <v/>
      </c>
      <c r="AA3086" s="45" t="str">
        <f>IFERROR(VLOOKUP(B3086,'Pre-Summary'!$CG$6:$CI$70,2,FALSE),"")</f>
        <v/>
      </c>
      <c r="AB3086" s="99">
        <f>IFERROR(VLOOKUP(B3086,'Pre-Summary'!$A$6:$P$178,9,FALSE),AB3087)</f>
        <v>1.2254632720101373</v>
      </c>
      <c r="AC3086" s="10">
        <f>IFERROR(VLOOKUP(Summary!B3086,'Pre-Summary'!$A$6:$P$184,5, FALSE)/100,AC3087)</f>
        <v>0.83185799999999999</v>
      </c>
      <c r="AD3086" s="10">
        <f>IFERROR(VLOOKUP(Summary!B3086,'Pre-Summary'!$A$6:$P$184,3, FALSE)/100,AD3087)</f>
        <v>0.13380733333333333</v>
      </c>
      <c r="AE3086" s="10">
        <f>IFERROR(VLOOKUP(Summary!B3086,'Pre-Summary'!$A$6:$P$184,7, FALSE)/100,AE3087)</f>
        <v>3.4334666666666666E-2</v>
      </c>
      <c r="AF3086" s="99">
        <f t="shared" si="145"/>
        <v>0.16397597252561777</v>
      </c>
      <c r="AG3086" s="99">
        <f t="shared" si="146"/>
        <v>4.2075872956710725E-2</v>
      </c>
      <c r="AH3086" s="10" t="str">
        <f>IFERROR(VLOOKUP(B3086,'Pre-Summary'!$AZ$6:$BE$65,3,FALSE),"")</f>
        <v/>
      </c>
      <c r="AI3086" s="10" t="str">
        <f>IFERROR(VLOOKUP(B3086,'Pre-Summary'!$AZ$6:$BE$65,5,FALSE),"")</f>
        <v/>
      </c>
      <c r="AJ3086" s="10" t="str">
        <f>IFERROR(VLOOKUP(B3086,'Pre-Summary'!$AZ$6:$BE$65,4,FALSE),"")</f>
        <v/>
      </c>
      <c r="AK3086" s="10" t="str">
        <f>IFERROR(VLOOKUP(B3086,'Pre-Summary'!$AZ$6:$BE$65,6,FALSE),"")</f>
        <v/>
      </c>
      <c r="AL3086" s="10" t="str">
        <f>IFERROR(VLOOKUP(B3086,'Pre-Summary'!$BG$6:$BL$44,3,FALSE),"")</f>
        <v/>
      </c>
      <c r="AM3086" s="10" t="str">
        <f>IFERROR(VLOOKUP(B3086,'Pre-Summary'!$BG$6:$BL$44,4,FALSE),"")</f>
        <v/>
      </c>
    </row>
    <row r="3087" spans="2:39" ht="15" customHeight="1" x14ac:dyDescent="0.3">
      <c r="B3087">
        <v>308.39999999999998</v>
      </c>
      <c r="C3087" t="str">
        <f>IFERROR(VLOOKUP(B3087,'Pre-Summary'!$DI$6:$DM$23,4,FALSE),"")</f>
        <v/>
      </c>
      <c r="D3087" s="10" t="str">
        <f>IFERROR(VLOOKUP(B3087,'Pre-Summary'!$AT$6:$AX$14,5,FALSE),D3086)</f>
        <v>Wolfe v3: went back to modified wolfe + EDTA and switched CuSO4 to CUCl2</v>
      </c>
      <c r="E3087" s="10" t="str">
        <f>IFERROR(VLOOKUP(B3087,'Pre-Summary'!$AT$6:$AX$15,4,FALSE),"")</f>
        <v/>
      </c>
      <c r="F3087">
        <f>IFERROR(VLOOKUP(B3087,'Pre-Summary'!$AL$6:$AQ$13,6,FALSE),F3086)</f>
        <v>5.9405263157894746E-2</v>
      </c>
      <c r="G3087" t="str">
        <f>IFERROR(VLOOKUP(B3087,'Pre-Summary'!$AE$6:$AJ$85,3,FALSE),"")</f>
        <v/>
      </c>
      <c r="H3087" t="str">
        <f>IFERROR(VLOOKUP(B3087,'Pre-Summary'!$AE$6:$AJ$85,4,FALSE),"")</f>
        <v/>
      </c>
      <c r="I3087" t="str">
        <f>IFERROR(VLOOKUP(B3087,'Pre-Summary'!$AE$6:$AJ$85,5,FALSE),"")</f>
        <v/>
      </c>
      <c r="J3087" s="45" t="str">
        <f>IFERROR(VLOOKUP(B3087,'Pre-Summary'!$AE$6:$AJ$85,6, FALSE),"")</f>
        <v/>
      </c>
      <c r="K3087" s="45" t="str">
        <f>IFERROR(VLOOKUP(B3087,'Pre-Summary'!$DE$6:$DG$61,3,FALSE),"")</f>
        <v/>
      </c>
      <c r="L3087" s="45" t="str">
        <f>IFERROR(VLOOKUP(B3087,'Pre-Summary'!$CU$6:$CW$36,3,FALSE),"")</f>
        <v/>
      </c>
      <c r="M3087" s="45" t="str">
        <f>IFERROR(VLOOKUP(B3087,'Pre-Summary'!$BW$6:$BY$58,2,FALSE),"")</f>
        <v/>
      </c>
      <c r="N3087" s="45" t="str">
        <f>IFERROR(VLOOKUP(B3087,'Pre-Summary'!$CD$6:$CF$64,2,FALSE),"")</f>
        <v/>
      </c>
      <c r="O3087" s="99">
        <f>IFERROR(VLOOKUP(B3087,'Pre-Summary'!$BO$6:$BQ$48,3, FALSE),O3086)</f>
        <v>3.3239999999999998</v>
      </c>
      <c r="P3087" s="99">
        <f>IFERROR(VLOOKUP(B3087,'Pre-Summary'!$BS$6:$BU$35,3,FALSE),P3086)</f>
        <v>0.84099999999999997</v>
      </c>
      <c r="Q3087" s="54">
        <f t="shared" si="144"/>
        <v>3.9524375743162903</v>
      </c>
      <c r="R3087" s="53">
        <f>IFERROR(VLOOKUP(B3087,'Pre-Summary'!$BG$6:$BM$44,7,FALSE),R3088)</f>
        <v>0</v>
      </c>
      <c r="S3087" s="53" t="e">
        <f>VLOOKUP(B3087,'Pre-Summary'!$BG$6:$BM$44,6,FALSE)</f>
        <v>#N/A</v>
      </c>
      <c r="T3087" s="45" t="str">
        <f>IFERROR(VLOOKUP(B3087,'Pre-Summary'!$Y$6:$AC$83, 3,FALSE),"")</f>
        <v/>
      </c>
      <c r="U3087" s="45" t="str">
        <f>IFERROR(VLOOKUP(B3087,'Pre-Summary'!$Y$6:$AC$83, 4,FALSE),"")</f>
        <v/>
      </c>
      <c r="V3087" t="str">
        <f>IFERROR(VLOOKUP(B3087,'Pre-Summary'!$Y$6:$AC$83, 5,FALSE),"")</f>
        <v/>
      </c>
      <c r="W3087" s="45" t="str">
        <f>IFERROR(VLOOKUP(B3087,'Pre-Summary'!$Y$6:$AD$83,6,FALSE),"")</f>
        <v/>
      </c>
      <c r="X3087" t="str">
        <f>IFERROR(VLOOKUP('Pre-Summary'!$DB$6:$DD$63,3,FALSE),"")</f>
        <v/>
      </c>
      <c r="Y3087" t="str">
        <f>IFERROR(VLOOKUP(B3087,'Pre-Summary'!$CR$6:$CT$36,3,FALSE),"")</f>
        <v/>
      </c>
      <c r="Z3087" s="45" t="str">
        <f>IFERROR(VLOOKUP(B3087,'Pre-Summary'!$BZ$6:$CB$63,2,FALSE),"")</f>
        <v/>
      </c>
      <c r="AA3087" s="45" t="str">
        <f>IFERROR(VLOOKUP(B3087,'Pre-Summary'!$CG$6:$CI$70,2,FALSE),"")</f>
        <v/>
      </c>
      <c r="AB3087" s="99">
        <f>IFERROR(VLOOKUP(B3087,'Pre-Summary'!$A$6:$P$178,9,FALSE),AB3088)</f>
        <v>1.2254632720101373</v>
      </c>
      <c r="AC3087" s="10">
        <f>IFERROR(VLOOKUP(Summary!B3087,'Pre-Summary'!$A$6:$P$184,5, FALSE)/100,AC3088)</f>
        <v>0.83185799999999999</v>
      </c>
      <c r="AD3087" s="10">
        <f>IFERROR(VLOOKUP(Summary!B3087,'Pre-Summary'!$A$6:$P$184,3, FALSE)/100,AD3088)</f>
        <v>0.13380733333333333</v>
      </c>
      <c r="AE3087" s="10">
        <f>IFERROR(VLOOKUP(Summary!B3087,'Pre-Summary'!$A$6:$P$184,7, FALSE)/100,AE3088)</f>
        <v>3.4334666666666666E-2</v>
      </c>
      <c r="AF3087" s="99">
        <f t="shared" si="145"/>
        <v>0.16397597252561777</v>
      </c>
      <c r="AG3087" s="99">
        <f t="shared" si="146"/>
        <v>4.2075872956710725E-2</v>
      </c>
      <c r="AH3087" s="10" t="str">
        <f>IFERROR(VLOOKUP(B3087,'Pre-Summary'!$AZ$6:$BE$65,3,FALSE),"")</f>
        <v/>
      </c>
      <c r="AI3087" s="10" t="str">
        <f>IFERROR(VLOOKUP(B3087,'Pre-Summary'!$AZ$6:$BE$65,5,FALSE),"")</f>
        <v/>
      </c>
      <c r="AJ3087" s="10" t="str">
        <f>IFERROR(VLOOKUP(B3087,'Pre-Summary'!$AZ$6:$BE$65,4,FALSE),"")</f>
        <v/>
      </c>
      <c r="AK3087" s="10" t="str">
        <f>IFERROR(VLOOKUP(B3087,'Pre-Summary'!$AZ$6:$BE$65,6,FALSE),"")</f>
        <v/>
      </c>
      <c r="AL3087" s="10" t="str">
        <f>IFERROR(VLOOKUP(B3087,'Pre-Summary'!$BG$6:$BL$44,3,FALSE),"")</f>
        <v/>
      </c>
      <c r="AM3087" s="10" t="str">
        <f>IFERROR(VLOOKUP(B3087,'Pre-Summary'!$BG$6:$BL$44,4,FALSE),"")</f>
        <v/>
      </c>
    </row>
    <row r="3088" spans="2:39" ht="15" customHeight="1" x14ac:dyDescent="0.3">
      <c r="B3088">
        <v>308.5</v>
      </c>
      <c r="C3088" t="str">
        <f>IFERROR(VLOOKUP(B3088,'Pre-Summary'!$DI$6:$DM$23,4,FALSE),"")</f>
        <v/>
      </c>
      <c r="D3088" s="10" t="str">
        <f>IFERROR(VLOOKUP(B3088,'Pre-Summary'!$AT$6:$AX$14,5,FALSE),D3087)</f>
        <v>Wolfe v3: went back to modified wolfe + EDTA and switched CuSO4 to CUCl2</v>
      </c>
      <c r="E3088" s="10" t="str">
        <f>IFERROR(VLOOKUP(B3088,'Pre-Summary'!$AT$6:$AX$15,4,FALSE),"")</f>
        <v/>
      </c>
      <c r="F3088">
        <f>IFERROR(VLOOKUP(B3088,'Pre-Summary'!$AL$6:$AQ$13,6,FALSE),F3087)</f>
        <v>5.9405263157894746E-2</v>
      </c>
      <c r="G3088" t="str">
        <f>IFERROR(VLOOKUP(B3088,'Pre-Summary'!$AE$6:$AJ$85,3,FALSE),"")</f>
        <v/>
      </c>
      <c r="H3088" t="str">
        <f>IFERROR(VLOOKUP(B3088,'Pre-Summary'!$AE$6:$AJ$85,4,FALSE),"")</f>
        <v/>
      </c>
      <c r="I3088" t="str">
        <f>IFERROR(VLOOKUP(B3088,'Pre-Summary'!$AE$6:$AJ$85,5,FALSE),"")</f>
        <v/>
      </c>
      <c r="J3088" s="45" t="str">
        <f>IFERROR(VLOOKUP(B3088,'Pre-Summary'!$AE$6:$AJ$85,6, FALSE),"")</f>
        <v/>
      </c>
      <c r="K3088" s="45" t="str">
        <f>IFERROR(VLOOKUP(B3088,'Pre-Summary'!$DE$6:$DG$61,3,FALSE),"")</f>
        <v/>
      </c>
      <c r="L3088" s="45" t="str">
        <f>IFERROR(VLOOKUP(B3088,'Pre-Summary'!$CU$6:$CW$36,3,FALSE),"")</f>
        <v/>
      </c>
      <c r="M3088" s="45" t="str">
        <f>IFERROR(VLOOKUP(B3088,'Pre-Summary'!$BW$6:$BY$58,2,FALSE),"")</f>
        <v/>
      </c>
      <c r="N3088" s="45" t="str">
        <f>IFERROR(VLOOKUP(B3088,'Pre-Summary'!$CD$6:$CF$64,2,FALSE),"")</f>
        <v/>
      </c>
      <c r="O3088" s="99">
        <f>IFERROR(VLOOKUP(B3088,'Pre-Summary'!$BO$6:$BQ$48,3, FALSE),O3087)</f>
        <v>3.3239999999999998</v>
      </c>
      <c r="P3088" s="99">
        <f>IFERROR(VLOOKUP(B3088,'Pre-Summary'!$BS$6:$BU$35,3,FALSE),P3087)</f>
        <v>0.84099999999999997</v>
      </c>
      <c r="Q3088" s="54">
        <f t="shared" si="144"/>
        <v>3.9524375743162903</v>
      </c>
      <c r="R3088" s="53">
        <f>IFERROR(VLOOKUP(B3088,'Pre-Summary'!$BG$6:$BM$44,7,FALSE),R3089)</f>
        <v>0</v>
      </c>
      <c r="S3088" s="53" t="e">
        <f>VLOOKUP(B3088,'Pre-Summary'!$BG$6:$BM$44,6,FALSE)</f>
        <v>#N/A</v>
      </c>
      <c r="T3088" s="45" t="str">
        <f>IFERROR(VLOOKUP(B3088,'Pre-Summary'!$Y$6:$AC$83, 3,FALSE),"")</f>
        <v/>
      </c>
      <c r="U3088" s="45" t="str">
        <f>IFERROR(VLOOKUP(B3088,'Pre-Summary'!$Y$6:$AC$83, 4,FALSE),"")</f>
        <v/>
      </c>
      <c r="V3088" t="str">
        <f>IFERROR(VLOOKUP(B3088,'Pre-Summary'!$Y$6:$AC$83, 5,FALSE),"")</f>
        <v/>
      </c>
      <c r="W3088" s="45" t="str">
        <f>IFERROR(VLOOKUP(B3088,'Pre-Summary'!$Y$6:$AD$83,6,FALSE),"")</f>
        <v/>
      </c>
      <c r="X3088" t="str">
        <f>IFERROR(VLOOKUP('Pre-Summary'!$DB$6:$DD$63,3,FALSE),"")</f>
        <v/>
      </c>
      <c r="Y3088" t="str">
        <f>IFERROR(VLOOKUP(B3088,'Pre-Summary'!$CR$6:$CT$36,3,FALSE),"")</f>
        <v/>
      </c>
      <c r="Z3088" s="45" t="str">
        <f>IFERROR(VLOOKUP(B3088,'Pre-Summary'!$BZ$6:$CB$63,2,FALSE),"")</f>
        <v/>
      </c>
      <c r="AA3088" s="45" t="str">
        <f>IFERROR(VLOOKUP(B3088,'Pre-Summary'!$CG$6:$CI$70,2,FALSE),"")</f>
        <v/>
      </c>
      <c r="AB3088" s="99">
        <f>IFERROR(VLOOKUP(B3088,'Pre-Summary'!$A$6:$P$178,9,FALSE),AB3089)</f>
        <v>1.2254632720101373</v>
      </c>
      <c r="AC3088" s="10">
        <f>IFERROR(VLOOKUP(Summary!B3088,'Pre-Summary'!$A$6:$P$184,5, FALSE)/100,AC3089)</f>
        <v>0.83185799999999999</v>
      </c>
      <c r="AD3088" s="10">
        <f>IFERROR(VLOOKUP(Summary!B3088,'Pre-Summary'!$A$6:$P$184,3, FALSE)/100,AD3089)</f>
        <v>0.13380733333333333</v>
      </c>
      <c r="AE3088" s="10">
        <f>IFERROR(VLOOKUP(Summary!B3088,'Pre-Summary'!$A$6:$P$184,7, FALSE)/100,AE3089)</f>
        <v>3.4334666666666666E-2</v>
      </c>
      <c r="AF3088" s="99">
        <f t="shared" si="145"/>
        <v>0.16397597252561777</v>
      </c>
      <c r="AG3088" s="99">
        <f t="shared" si="146"/>
        <v>4.2075872956710725E-2</v>
      </c>
      <c r="AH3088" s="10" t="str">
        <f>IFERROR(VLOOKUP(B3088,'Pre-Summary'!$AZ$6:$BE$65,3,FALSE),"")</f>
        <v/>
      </c>
      <c r="AI3088" s="10" t="str">
        <f>IFERROR(VLOOKUP(B3088,'Pre-Summary'!$AZ$6:$BE$65,5,FALSE),"")</f>
        <v/>
      </c>
      <c r="AJ3088" s="10" t="str">
        <f>IFERROR(VLOOKUP(B3088,'Pre-Summary'!$AZ$6:$BE$65,4,FALSE),"")</f>
        <v/>
      </c>
      <c r="AK3088" s="10" t="str">
        <f>IFERROR(VLOOKUP(B3088,'Pre-Summary'!$AZ$6:$BE$65,6,FALSE),"")</f>
        <v/>
      </c>
      <c r="AL3088" s="10" t="str">
        <f>IFERROR(VLOOKUP(B3088,'Pre-Summary'!$BG$6:$BL$44,3,FALSE),"")</f>
        <v/>
      </c>
      <c r="AM3088" s="10" t="str">
        <f>IFERROR(VLOOKUP(B3088,'Pre-Summary'!$BG$6:$BL$44,4,FALSE),"")</f>
        <v/>
      </c>
    </row>
    <row r="3089" spans="2:39" ht="15" customHeight="1" x14ac:dyDescent="0.3">
      <c r="B3089">
        <v>308.60000000000002</v>
      </c>
      <c r="C3089" t="str">
        <f>IFERROR(VLOOKUP(B3089,'Pre-Summary'!$DI$6:$DM$23,4,FALSE),"")</f>
        <v/>
      </c>
      <c r="D3089" s="10" t="str">
        <f>IFERROR(VLOOKUP(B3089,'Pre-Summary'!$AT$6:$AX$14,5,FALSE),D3088)</f>
        <v>Wolfe v3: went back to modified wolfe + EDTA and switched CuSO4 to CUCl2</v>
      </c>
      <c r="E3089" s="10" t="str">
        <f>IFERROR(VLOOKUP(B3089,'Pre-Summary'!$AT$6:$AX$15,4,FALSE),"")</f>
        <v/>
      </c>
      <c r="F3089">
        <f>IFERROR(VLOOKUP(B3089,'Pre-Summary'!$AL$6:$AQ$13,6,FALSE),F3088)</f>
        <v>5.9405263157894746E-2</v>
      </c>
      <c r="G3089" t="str">
        <f>IFERROR(VLOOKUP(B3089,'Pre-Summary'!$AE$6:$AJ$85,3,FALSE),"")</f>
        <v/>
      </c>
      <c r="H3089" t="str">
        <f>IFERROR(VLOOKUP(B3089,'Pre-Summary'!$AE$6:$AJ$85,4,FALSE),"")</f>
        <v/>
      </c>
      <c r="I3089" t="str">
        <f>IFERROR(VLOOKUP(B3089,'Pre-Summary'!$AE$6:$AJ$85,5,FALSE),"")</f>
        <v/>
      </c>
      <c r="J3089" s="45" t="str">
        <f>IFERROR(VLOOKUP(B3089,'Pre-Summary'!$AE$6:$AJ$85,6, FALSE),"")</f>
        <v/>
      </c>
      <c r="K3089" s="45" t="str">
        <f>IFERROR(VLOOKUP(B3089,'Pre-Summary'!$DE$6:$DG$61,3,FALSE),"")</f>
        <v/>
      </c>
      <c r="L3089" s="45" t="str">
        <f>IFERROR(VLOOKUP(B3089,'Pre-Summary'!$CU$6:$CW$36,3,FALSE),"")</f>
        <v/>
      </c>
      <c r="M3089" s="45" t="str">
        <f>IFERROR(VLOOKUP(B3089,'Pre-Summary'!$BW$6:$BY$58,2,FALSE),"")</f>
        <v/>
      </c>
      <c r="N3089" s="45" t="str">
        <f>IFERROR(VLOOKUP(B3089,'Pre-Summary'!$CD$6:$CF$64,2,FALSE),"")</f>
        <v/>
      </c>
      <c r="O3089" s="99">
        <f>IFERROR(VLOOKUP(B3089,'Pre-Summary'!$BO$6:$BQ$48,3, FALSE),O3088)</f>
        <v>3.3239999999999998</v>
      </c>
      <c r="P3089" s="99">
        <f>IFERROR(VLOOKUP(B3089,'Pre-Summary'!$BS$6:$BU$35,3,FALSE),P3088)</f>
        <v>0.84099999999999997</v>
      </c>
      <c r="Q3089" s="54">
        <f t="shared" si="144"/>
        <v>3.9524375743162903</v>
      </c>
      <c r="R3089" s="53">
        <f>IFERROR(VLOOKUP(B3089,'Pre-Summary'!$BG$6:$BM$44,7,FALSE),R3090)</f>
        <v>0</v>
      </c>
      <c r="S3089" s="53" t="e">
        <f>VLOOKUP(B3089,'Pre-Summary'!$BG$6:$BM$44,6,FALSE)</f>
        <v>#N/A</v>
      </c>
      <c r="T3089" s="45" t="str">
        <f>IFERROR(VLOOKUP(B3089,'Pre-Summary'!$Y$6:$AC$83, 3,FALSE),"")</f>
        <v/>
      </c>
      <c r="U3089" s="45" t="str">
        <f>IFERROR(VLOOKUP(B3089,'Pre-Summary'!$Y$6:$AC$83, 4,FALSE),"")</f>
        <v/>
      </c>
      <c r="V3089" t="str">
        <f>IFERROR(VLOOKUP(B3089,'Pre-Summary'!$Y$6:$AC$83, 5,FALSE),"")</f>
        <v/>
      </c>
      <c r="W3089" s="45" t="str">
        <f>IFERROR(VLOOKUP(B3089,'Pre-Summary'!$Y$6:$AD$83,6,FALSE),"")</f>
        <v/>
      </c>
      <c r="X3089" t="str">
        <f>IFERROR(VLOOKUP('Pre-Summary'!$DB$6:$DD$63,3,FALSE),"")</f>
        <v/>
      </c>
      <c r="Y3089" t="str">
        <f>IFERROR(VLOOKUP(B3089,'Pre-Summary'!$CR$6:$CT$36,3,FALSE),"")</f>
        <v/>
      </c>
      <c r="Z3089" s="45" t="str">
        <f>IFERROR(VLOOKUP(B3089,'Pre-Summary'!$BZ$6:$CB$63,2,FALSE),"")</f>
        <v/>
      </c>
      <c r="AA3089" s="45" t="str">
        <f>IFERROR(VLOOKUP(B3089,'Pre-Summary'!$CG$6:$CI$70,2,FALSE),"")</f>
        <v/>
      </c>
      <c r="AB3089" s="99">
        <f>IFERROR(VLOOKUP(B3089,'Pre-Summary'!$A$6:$P$178,9,FALSE),AB3090)</f>
        <v>1.2254632720101373</v>
      </c>
      <c r="AC3089" s="10">
        <f>IFERROR(VLOOKUP(Summary!B3089,'Pre-Summary'!$A$6:$P$184,5, FALSE)/100,AC3090)</f>
        <v>0.83185799999999999</v>
      </c>
      <c r="AD3089" s="10">
        <f>IFERROR(VLOOKUP(Summary!B3089,'Pre-Summary'!$A$6:$P$184,3, FALSE)/100,AD3090)</f>
        <v>0.13380733333333333</v>
      </c>
      <c r="AE3089" s="10">
        <f>IFERROR(VLOOKUP(Summary!B3089,'Pre-Summary'!$A$6:$P$184,7, FALSE)/100,AE3090)</f>
        <v>3.4334666666666666E-2</v>
      </c>
      <c r="AF3089" s="99">
        <f t="shared" si="145"/>
        <v>0.16397597252561777</v>
      </c>
      <c r="AG3089" s="99">
        <f t="shared" si="146"/>
        <v>4.2075872956710725E-2</v>
      </c>
      <c r="AH3089" s="10" t="str">
        <f>IFERROR(VLOOKUP(B3089,'Pre-Summary'!$AZ$6:$BE$65,3,FALSE),"")</f>
        <v/>
      </c>
      <c r="AI3089" s="10" t="str">
        <f>IFERROR(VLOOKUP(B3089,'Pre-Summary'!$AZ$6:$BE$65,5,FALSE),"")</f>
        <v/>
      </c>
      <c r="AJ3089" s="10" t="str">
        <f>IFERROR(VLOOKUP(B3089,'Pre-Summary'!$AZ$6:$BE$65,4,FALSE),"")</f>
        <v/>
      </c>
      <c r="AK3089" s="10" t="str">
        <f>IFERROR(VLOOKUP(B3089,'Pre-Summary'!$AZ$6:$BE$65,6,FALSE),"")</f>
        <v/>
      </c>
      <c r="AL3089" s="10" t="str">
        <f>IFERROR(VLOOKUP(B3089,'Pre-Summary'!$BG$6:$BL$44,3,FALSE),"")</f>
        <v/>
      </c>
      <c r="AM3089" s="10" t="str">
        <f>IFERROR(VLOOKUP(B3089,'Pre-Summary'!$BG$6:$BL$44,4,FALSE),"")</f>
        <v/>
      </c>
    </row>
    <row r="3090" spans="2:39" ht="15" customHeight="1" x14ac:dyDescent="0.3">
      <c r="B3090">
        <v>308.7</v>
      </c>
      <c r="C3090" t="str">
        <f>IFERROR(VLOOKUP(B3090,'Pre-Summary'!$DI$6:$DM$23,4,FALSE),"")</f>
        <v/>
      </c>
      <c r="D3090" s="10" t="str">
        <f>IFERROR(VLOOKUP(B3090,'Pre-Summary'!$AT$6:$AX$14,5,FALSE),D3089)</f>
        <v>Wolfe v3: went back to modified wolfe + EDTA and switched CuSO4 to CUCl2</v>
      </c>
      <c r="E3090" s="10" t="str">
        <f>IFERROR(VLOOKUP(B3090,'Pre-Summary'!$AT$6:$AX$15,4,FALSE),"")</f>
        <v/>
      </c>
      <c r="F3090">
        <f>IFERROR(VLOOKUP(B3090,'Pre-Summary'!$AL$6:$AQ$13,6,FALSE),F3089)</f>
        <v>5.9405263157894746E-2</v>
      </c>
      <c r="G3090" t="str">
        <f>IFERROR(VLOOKUP(B3090,'Pre-Summary'!$AE$6:$AJ$85,3,FALSE),"")</f>
        <v/>
      </c>
      <c r="H3090" t="str">
        <f>IFERROR(VLOOKUP(B3090,'Pre-Summary'!$AE$6:$AJ$85,4,FALSE),"")</f>
        <v/>
      </c>
      <c r="I3090" t="str">
        <f>IFERROR(VLOOKUP(B3090,'Pre-Summary'!$AE$6:$AJ$85,5,FALSE),"")</f>
        <v/>
      </c>
      <c r="J3090" s="45" t="str">
        <f>IFERROR(VLOOKUP(B3090,'Pre-Summary'!$AE$6:$AJ$85,6, FALSE),"")</f>
        <v/>
      </c>
      <c r="K3090" s="45" t="str">
        <f>IFERROR(VLOOKUP(B3090,'Pre-Summary'!$DE$6:$DG$61,3,FALSE),"")</f>
        <v/>
      </c>
      <c r="L3090" s="45" t="str">
        <f>IFERROR(VLOOKUP(B3090,'Pre-Summary'!$CU$6:$CW$36,3,FALSE),"")</f>
        <v/>
      </c>
      <c r="M3090" s="45" t="str">
        <f>IFERROR(VLOOKUP(B3090,'Pre-Summary'!$BW$6:$BY$58,2,FALSE),"")</f>
        <v/>
      </c>
      <c r="N3090" s="45" t="str">
        <f>IFERROR(VLOOKUP(B3090,'Pre-Summary'!$CD$6:$CF$64,2,FALSE),"")</f>
        <v/>
      </c>
      <c r="O3090" s="99">
        <f>IFERROR(VLOOKUP(B3090,'Pre-Summary'!$BO$6:$BQ$48,3, FALSE),O3089)</f>
        <v>3.3239999999999998</v>
      </c>
      <c r="P3090" s="99">
        <f>IFERROR(VLOOKUP(B3090,'Pre-Summary'!$BS$6:$BU$35,3,FALSE),P3089)</f>
        <v>0.84099999999999997</v>
      </c>
      <c r="Q3090" s="54">
        <f t="shared" si="144"/>
        <v>3.9524375743162903</v>
      </c>
      <c r="R3090" s="53">
        <f>IFERROR(VLOOKUP(B3090,'Pre-Summary'!$BG$6:$BM$44,7,FALSE),R3091)</f>
        <v>0</v>
      </c>
      <c r="S3090" s="53" t="e">
        <f>VLOOKUP(B3090,'Pre-Summary'!$BG$6:$BM$44,6,FALSE)</f>
        <v>#N/A</v>
      </c>
      <c r="T3090" s="45" t="str">
        <f>IFERROR(VLOOKUP(B3090,'Pre-Summary'!$Y$6:$AC$83, 3,FALSE),"")</f>
        <v/>
      </c>
      <c r="U3090" s="45" t="str">
        <f>IFERROR(VLOOKUP(B3090,'Pre-Summary'!$Y$6:$AC$83, 4,FALSE),"")</f>
        <v/>
      </c>
      <c r="V3090" t="str">
        <f>IFERROR(VLOOKUP(B3090,'Pre-Summary'!$Y$6:$AC$83, 5,FALSE),"")</f>
        <v/>
      </c>
      <c r="W3090" s="45" t="str">
        <f>IFERROR(VLOOKUP(B3090,'Pre-Summary'!$Y$6:$AD$83,6,FALSE),"")</f>
        <v/>
      </c>
      <c r="X3090" t="str">
        <f>IFERROR(VLOOKUP('Pre-Summary'!$DB$6:$DD$63,3,FALSE),"")</f>
        <v/>
      </c>
      <c r="Y3090" t="str">
        <f>IFERROR(VLOOKUP(B3090,'Pre-Summary'!$CR$6:$CT$36,3,FALSE),"")</f>
        <v/>
      </c>
      <c r="Z3090" s="45" t="str">
        <f>IFERROR(VLOOKUP(B3090,'Pre-Summary'!$BZ$6:$CB$63,2,FALSE),"")</f>
        <v/>
      </c>
      <c r="AA3090" s="45" t="str">
        <f>IFERROR(VLOOKUP(B3090,'Pre-Summary'!$CG$6:$CI$70,2,FALSE),"")</f>
        <v/>
      </c>
      <c r="AB3090" s="99">
        <f>IFERROR(VLOOKUP(B3090,'Pre-Summary'!$A$6:$P$178,9,FALSE),AB3091)</f>
        <v>1.2254632720101373</v>
      </c>
      <c r="AC3090" s="10">
        <f>IFERROR(VLOOKUP(Summary!B3090,'Pre-Summary'!$A$6:$P$184,5, FALSE)/100,AC3091)</f>
        <v>0.83185799999999999</v>
      </c>
      <c r="AD3090" s="10">
        <f>IFERROR(VLOOKUP(Summary!B3090,'Pre-Summary'!$A$6:$P$184,3, FALSE)/100,AD3091)</f>
        <v>0.13380733333333333</v>
      </c>
      <c r="AE3090" s="10">
        <f>IFERROR(VLOOKUP(Summary!B3090,'Pre-Summary'!$A$6:$P$184,7, FALSE)/100,AE3091)</f>
        <v>3.4334666666666666E-2</v>
      </c>
      <c r="AF3090" s="99">
        <f t="shared" si="145"/>
        <v>0.16397597252561777</v>
      </c>
      <c r="AG3090" s="99">
        <f t="shared" si="146"/>
        <v>4.2075872956710725E-2</v>
      </c>
      <c r="AH3090" s="10" t="str">
        <f>IFERROR(VLOOKUP(B3090,'Pre-Summary'!$AZ$6:$BE$65,3,FALSE),"")</f>
        <v/>
      </c>
      <c r="AI3090" s="10" t="str">
        <f>IFERROR(VLOOKUP(B3090,'Pre-Summary'!$AZ$6:$BE$65,5,FALSE),"")</f>
        <v/>
      </c>
      <c r="AJ3090" s="10" t="str">
        <f>IFERROR(VLOOKUP(B3090,'Pre-Summary'!$AZ$6:$BE$65,4,FALSE),"")</f>
        <v/>
      </c>
      <c r="AK3090" s="10" t="str">
        <f>IFERROR(VLOOKUP(B3090,'Pre-Summary'!$AZ$6:$BE$65,6,FALSE),"")</f>
        <v/>
      </c>
      <c r="AL3090" s="10" t="str">
        <f>IFERROR(VLOOKUP(B3090,'Pre-Summary'!$BG$6:$BL$44,3,FALSE),"")</f>
        <v/>
      </c>
      <c r="AM3090" s="10" t="str">
        <f>IFERROR(VLOOKUP(B3090,'Pre-Summary'!$BG$6:$BL$44,4,FALSE),"")</f>
        <v/>
      </c>
    </row>
    <row r="3091" spans="2:39" ht="15" customHeight="1" x14ac:dyDescent="0.3">
      <c r="B3091">
        <v>308.8</v>
      </c>
      <c r="C3091" t="str">
        <f>IFERROR(VLOOKUP(B3091,'Pre-Summary'!$DI$6:$DM$23,4,FALSE),"")</f>
        <v/>
      </c>
      <c r="D3091" s="10" t="str">
        <f>IFERROR(VLOOKUP(B3091,'Pre-Summary'!$AT$6:$AX$14,5,FALSE),D3090)</f>
        <v>Wolfe v3: went back to modified wolfe + EDTA and switched CuSO4 to CUCl2</v>
      </c>
      <c r="E3091" s="10" t="str">
        <f>IFERROR(VLOOKUP(B3091,'Pre-Summary'!$AT$6:$AX$15,4,FALSE),"")</f>
        <v/>
      </c>
      <c r="F3091">
        <f>IFERROR(VLOOKUP(B3091,'Pre-Summary'!$AL$6:$AQ$13,6,FALSE),F3090)</f>
        <v>5.9405263157894746E-2</v>
      </c>
      <c r="G3091" t="str">
        <f>IFERROR(VLOOKUP(B3091,'Pre-Summary'!$AE$6:$AJ$85,3,FALSE),"")</f>
        <v/>
      </c>
      <c r="H3091" t="str">
        <f>IFERROR(VLOOKUP(B3091,'Pre-Summary'!$AE$6:$AJ$85,4,FALSE),"")</f>
        <v/>
      </c>
      <c r="I3091" t="str">
        <f>IFERROR(VLOOKUP(B3091,'Pre-Summary'!$AE$6:$AJ$85,5,FALSE),"")</f>
        <v/>
      </c>
      <c r="J3091" s="45" t="str">
        <f>IFERROR(VLOOKUP(B3091,'Pre-Summary'!$AE$6:$AJ$85,6, FALSE),"")</f>
        <v/>
      </c>
      <c r="K3091" s="45" t="str">
        <f>IFERROR(VLOOKUP(B3091,'Pre-Summary'!$DE$6:$DG$61,3,FALSE),"")</f>
        <v/>
      </c>
      <c r="L3091" s="45" t="str">
        <f>IFERROR(VLOOKUP(B3091,'Pre-Summary'!$CU$6:$CW$36,3,FALSE),"")</f>
        <v/>
      </c>
      <c r="M3091" s="45" t="str">
        <f>IFERROR(VLOOKUP(B3091,'Pre-Summary'!$BW$6:$BY$58,2,FALSE),"")</f>
        <v/>
      </c>
      <c r="N3091" s="45" t="str">
        <f>IFERROR(VLOOKUP(B3091,'Pre-Summary'!$CD$6:$CF$64,2,FALSE),"")</f>
        <v/>
      </c>
      <c r="O3091" s="99">
        <f>IFERROR(VLOOKUP(B3091,'Pre-Summary'!$BO$6:$BQ$48,3, FALSE),O3090)</f>
        <v>3.3239999999999998</v>
      </c>
      <c r="P3091" s="99">
        <f>IFERROR(VLOOKUP(B3091,'Pre-Summary'!$BS$6:$BU$35,3,FALSE),P3090)</f>
        <v>0.84099999999999997</v>
      </c>
      <c r="Q3091" s="54">
        <f t="shared" si="144"/>
        <v>3.9524375743162903</v>
      </c>
      <c r="R3091" s="53">
        <f>IFERROR(VLOOKUP(B3091,'Pre-Summary'!$BG$6:$BM$44,7,FALSE),R3092)</f>
        <v>0</v>
      </c>
      <c r="S3091" s="53" t="e">
        <f>VLOOKUP(B3091,'Pre-Summary'!$BG$6:$BM$44,6,FALSE)</f>
        <v>#N/A</v>
      </c>
      <c r="T3091" s="45" t="str">
        <f>IFERROR(VLOOKUP(B3091,'Pre-Summary'!$Y$6:$AC$83, 3,FALSE),"")</f>
        <v/>
      </c>
      <c r="U3091" s="45" t="str">
        <f>IFERROR(VLOOKUP(B3091,'Pre-Summary'!$Y$6:$AC$83, 4,FALSE),"")</f>
        <v/>
      </c>
      <c r="V3091" t="str">
        <f>IFERROR(VLOOKUP(B3091,'Pre-Summary'!$Y$6:$AC$83, 5,FALSE),"")</f>
        <v/>
      </c>
      <c r="W3091" s="45" t="str">
        <f>IFERROR(VLOOKUP(B3091,'Pre-Summary'!$Y$6:$AD$83,6,FALSE),"")</f>
        <v/>
      </c>
      <c r="X3091" t="str">
        <f>IFERROR(VLOOKUP('Pre-Summary'!$DB$6:$DD$63,3,FALSE),"")</f>
        <v/>
      </c>
      <c r="Y3091" t="str">
        <f>IFERROR(VLOOKUP(B3091,'Pre-Summary'!$CR$6:$CT$36,3,FALSE),"")</f>
        <v/>
      </c>
      <c r="Z3091" s="45" t="str">
        <f>IFERROR(VLOOKUP(B3091,'Pre-Summary'!$BZ$6:$CB$63,2,FALSE),"")</f>
        <v/>
      </c>
      <c r="AA3091" s="45" t="str">
        <f>IFERROR(VLOOKUP(B3091,'Pre-Summary'!$CG$6:$CI$70,2,FALSE),"")</f>
        <v/>
      </c>
      <c r="AB3091" s="99">
        <f>IFERROR(VLOOKUP(B3091,'Pre-Summary'!$A$6:$P$178,9,FALSE),AB3092)</f>
        <v>1.2254632720101373</v>
      </c>
      <c r="AC3091" s="10">
        <f>IFERROR(VLOOKUP(Summary!B3091,'Pre-Summary'!$A$6:$P$184,5, FALSE)/100,AC3092)</f>
        <v>0.83185799999999999</v>
      </c>
      <c r="AD3091" s="10">
        <f>IFERROR(VLOOKUP(Summary!B3091,'Pre-Summary'!$A$6:$P$184,3, FALSE)/100,AD3092)</f>
        <v>0.13380733333333333</v>
      </c>
      <c r="AE3091" s="10">
        <f>IFERROR(VLOOKUP(Summary!B3091,'Pre-Summary'!$A$6:$P$184,7, FALSE)/100,AE3092)</f>
        <v>3.4334666666666666E-2</v>
      </c>
      <c r="AF3091" s="99">
        <f t="shared" si="145"/>
        <v>0.16397597252561777</v>
      </c>
      <c r="AG3091" s="99">
        <f t="shared" si="146"/>
        <v>4.2075872956710725E-2</v>
      </c>
      <c r="AH3091" s="10" t="str">
        <f>IFERROR(VLOOKUP(B3091,'Pre-Summary'!$AZ$6:$BE$65,3,FALSE),"")</f>
        <v/>
      </c>
      <c r="AI3091" s="10" t="str">
        <f>IFERROR(VLOOKUP(B3091,'Pre-Summary'!$AZ$6:$BE$65,5,FALSE),"")</f>
        <v/>
      </c>
      <c r="AJ3091" s="10" t="str">
        <f>IFERROR(VLOOKUP(B3091,'Pre-Summary'!$AZ$6:$BE$65,4,FALSE),"")</f>
        <v/>
      </c>
      <c r="AK3091" s="10" t="str">
        <f>IFERROR(VLOOKUP(B3091,'Pre-Summary'!$AZ$6:$BE$65,6,FALSE),"")</f>
        <v/>
      </c>
      <c r="AL3091" s="10" t="str">
        <f>IFERROR(VLOOKUP(B3091,'Pre-Summary'!$BG$6:$BL$44,3,FALSE),"")</f>
        <v/>
      </c>
      <c r="AM3091" s="10" t="str">
        <f>IFERROR(VLOOKUP(B3091,'Pre-Summary'!$BG$6:$BL$44,4,FALSE),"")</f>
        <v/>
      </c>
    </row>
    <row r="3092" spans="2:39" ht="15" customHeight="1" x14ac:dyDescent="0.3">
      <c r="B3092">
        <v>308.89999999999998</v>
      </c>
      <c r="C3092" t="str">
        <f>IFERROR(VLOOKUP(B3092,'Pre-Summary'!$DI$6:$DM$23,4,FALSE),"")</f>
        <v/>
      </c>
      <c r="D3092" s="10" t="str">
        <f>IFERROR(VLOOKUP(B3092,'Pre-Summary'!$AT$6:$AX$14,5,FALSE),D3091)</f>
        <v>Wolfe v3: went back to modified wolfe + EDTA and switched CuSO4 to CUCl2</v>
      </c>
      <c r="E3092" s="10" t="str">
        <f>IFERROR(VLOOKUP(B3092,'Pre-Summary'!$AT$6:$AX$15,4,FALSE),"")</f>
        <v/>
      </c>
      <c r="F3092">
        <f>IFERROR(VLOOKUP(B3092,'Pre-Summary'!$AL$6:$AQ$13,6,FALSE),F3091)</f>
        <v>5.9405263157894746E-2</v>
      </c>
      <c r="G3092" t="str">
        <f>IFERROR(VLOOKUP(B3092,'Pre-Summary'!$AE$6:$AJ$85,3,FALSE),"")</f>
        <v/>
      </c>
      <c r="H3092" t="str">
        <f>IFERROR(VLOOKUP(B3092,'Pre-Summary'!$AE$6:$AJ$85,4,FALSE),"")</f>
        <v/>
      </c>
      <c r="I3092" t="str">
        <f>IFERROR(VLOOKUP(B3092,'Pre-Summary'!$AE$6:$AJ$85,5,FALSE),"")</f>
        <v/>
      </c>
      <c r="J3092" s="45" t="str">
        <f>IFERROR(VLOOKUP(B3092,'Pre-Summary'!$AE$6:$AJ$85,6, FALSE),"")</f>
        <v/>
      </c>
      <c r="K3092" s="45" t="str">
        <f>IFERROR(VLOOKUP(B3092,'Pre-Summary'!$DE$6:$DG$61,3,FALSE),"")</f>
        <v/>
      </c>
      <c r="L3092" s="45" t="str">
        <f>IFERROR(VLOOKUP(B3092,'Pre-Summary'!$CU$6:$CW$36,3,FALSE),"")</f>
        <v/>
      </c>
      <c r="M3092" s="45" t="str">
        <f>IFERROR(VLOOKUP(B3092,'Pre-Summary'!$BW$6:$BY$58,2,FALSE),"")</f>
        <v/>
      </c>
      <c r="N3092" s="45" t="str">
        <f>IFERROR(VLOOKUP(B3092,'Pre-Summary'!$CD$6:$CF$64,2,FALSE),"")</f>
        <v/>
      </c>
      <c r="O3092" s="99">
        <f>IFERROR(VLOOKUP(B3092,'Pre-Summary'!$BO$6:$BQ$48,3, FALSE),O3091)</f>
        <v>3.3239999999999998</v>
      </c>
      <c r="P3092" s="99">
        <f>IFERROR(VLOOKUP(B3092,'Pre-Summary'!$BS$6:$BU$35,3,FALSE),P3091)</f>
        <v>0.84099999999999997</v>
      </c>
      <c r="Q3092" s="54">
        <f t="shared" si="144"/>
        <v>3.9524375743162903</v>
      </c>
      <c r="R3092" s="53">
        <f>IFERROR(VLOOKUP(B3092,'Pre-Summary'!$BG$6:$BM$44,7,FALSE),R3093)</f>
        <v>0</v>
      </c>
      <c r="S3092" s="53" t="e">
        <f>VLOOKUP(B3092,'Pre-Summary'!$BG$6:$BM$44,6,FALSE)</f>
        <v>#N/A</v>
      </c>
      <c r="T3092" s="45" t="str">
        <f>IFERROR(VLOOKUP(B3092,'Pre-Summary'!$Y$6:$AC$83, 3,FALSE),"")</f>
        <v/>
      </c>
      <c r="U3092" s="45" t="str">
        <f>IFERROR(VLOOKUP(B3092,'Pre-Summary'!$Y$6:$AC$83, 4,FALSE),"")</f>
        <v/>
      </c>
      <c r="V3092" t="str">
        <f>IFERROR(VLOOKUP(B3092,'Pre-Summary'!$Y$6:$AC$83, 5,FALSE),"")</f>
        <v/>
      </c>
      <c r="W3092" s="45" t="str">
        <f>IFERROR(VLOOKUP(B3092,'Pre-Summary'!$Y$6:$AD$83,6,FALSE),"")</f>
        <v/>
      </c>
      <c r="X3092" t="str">
        <f>IFERROR(VLOOKUP('Pre-Summary'!$DB$6:$DD$63,3,FALSE),"")</f>
        <v/>
      </c>
      <c r="Y3092" t="str">
        <f>IFERROR(VLOOKUP(B3092,'Pre-Summary'!$CR$6:$CT$36,3,FALSE),"")</f>
        <v/>
      </c>
      <c r="Z3092" s="45" t="str">
        <f>IFERROR(VLOOKUP(B3092,'Pre-Summary'!$BZ$6:$CB$63,2,FALSE),"")</f>
        <v/>
      </c>
      <c r="AA3092" s="45" t="str">
        <f>IFERROR(VLOOKUP(B3092,'Pre-Summary'!$CG$6:$CI$70,2,FALSE),"")</f>
        <v/>
      </c>
      <c r="AB3092" s="99">
        <f>IFERROR(VLOOKUP(B3092,'Pre-Summary'!$A$6:$P$178,9,FALSE),AB3093)</f>
        <v>1.2254632720101373</v>
      </c>
      <c r="AC3092" s="10">
        <f>IFERROR(VLOOKUP(Summary!B3092,'Pre-Summary'!$A$6:$P$184,5, FALSE)/100,AC3093)</f>
        <v>0.83185799999999999</v>
      </c>
      <c r="AD3092" s="10">
        <f>IFERROR(VLOOKUP(Summary!B3092,'Pre-Summary'!$A$6:$P$184,3, FALSE)/100,AD3093)</f>
        <v>0.13380733333333333</v>
      </c>
      <c r="AE3092" s="10">
        <f>IFERROR(VLOOKUP(Summary!B3092,'Pre-Summary'!$A$6:$P$184,7, FALSE)/100,AE3093)</f>
        <v>3.4334666666666666E-2</v>
      </c>
      <c r="AF3092" s="99">
        <f t="shared" si="145"/>
        <v>0.16397597252561777</v>
      </c>
      <c r="AG3092" s="99">
        <f t="shared" si="146"/>
        <v>4.2075872956710725E-2</v>
      </c>
      <c r="AH3092" s="10" t="str">
        <f>IFERROR(VLOOKUP(B3092,'Pre-Summary'!$AZ$6:$BE$65,3,FALSE),"")</f>
        <v/>
      </c>
      <c r="AI3092" s="10" t="str">
        <f>IFERROR(VLOOKUP(B3092,'Pre-Summary'!$AZ$6:$BE$65,5,FALSE),"")</f>
        <v/>
      </c>
      <c r="AJ3092" s="10" t="str">
        <f>IFERROR(VLOOKUP(B3092,'Pre-Summary'!$AZ$6:$BE$65,4,FALSE),"")</f>
        <v/>
      </c>
      <c r="AK3092" s="10" t="str">
        <f>IFERROR(VLOOKUP(B3092,'Pre-Summary'!$AZ$6:$BE$65,6,FALSE),"")</f>
        <v/>
      </c>
      <c r="AL3092" s="10" t="str">
        <f>IFERROR(VLOOKUP(B3092,'Pre-Summary'!$BG$6:$BL$44,3,FALSE),"")</f>
        <v/>
      </c>
      <c r="AM3092" s="10" t="str">
        <f>IFERROR(VLOOKUP(B3092,'Pre-Summary'!$BG$6:$BL$44,4,FALSE),"")</f>
        <v/>
      </c>
    </row>
    <row r="3093" spans="2:39" ht="15" customHeight="1" x14ac:dyDescent="0.3">
      <c r="B3093">
        <v>309</v>
      </c>
      <c r="C3093" t="str">
        <f>IFERROR(VLOOKUP(B3093,'Pre-Summary'!$DI$6:$DM$23,4,FALSE),"")</f>
        <v/>
      </c>
      <c r="D3093" s="10" t="str">
        <f>IFERROR(VLOOKUP(B3093,'Pre-Summary'!$AT$6:$AX$14,5,FALSE),D3092)</f>
        <v>Wolfe v3: went back to modified wolfe + EDTA and switched CuSO4 to CUCl2</v>
      </c>
      <c r="E3093" s="10" t="str">
        <f>IFERROR(VLOOKUP(B3093,'Pre-Summary'!$AT$6:$AX$15,4,FALSE),"")</f>
        <v/>
      </c>
      <c r="F3093">
        <f>IFERROR(VLOOKUP(B3093,'Pre-Summary'!$AL$6:$AQ$13,6,FALSE),F3092)</f>
        <v>5.9405263157894746E-2</v>
      </c>
      <c r="G3093" t="str">
        <f>IFERROR(VLOOKUP(B3093,'Pre-Summary'!$AE$6:$AJ$85,3,FALSE),"")</f>
        <v/>
      </c>
      <c r="H3093" t="str">
        <f>IFERROR(VLOOKUP(B3093,'Pre-Summary'!$AE$6:$AJ$85,4,FALSE),"")</f>
        <v/>
      </c>
      <c r="I3093" t="str">
        <f>IFERROR(VLOOKUP(B3093,'Pre-Summary'!$AE$6:$AJ$85,5,FALSE),"")</f>
        <v/>
      </c>
      <c r="J3093" s="45" t="str">
        <f>IFERROR(VLOOKUP(B3093,'Pre-Summary'!$AE$6:$AJ$85,6, FALSE),"")</f>
        <v/>
      </c>
      <c r="K3093" s="45" t="str">
        <f>IFERROR(VLOOKUP(B3093,'Pre-Summary'!$DE$6:$DG$61,3,FALSE),"")</f>
        <v/>
      </c>
      <c r="L3093" s="45" t="str">
        <f>IFERROR(VLOOKUP(B3093,'Pre-Summary'!$CU$6:$CW$36,3,FALSE),"")</f>
        <v/>
      </c>
      <c r="M3093" s="45" t="str">
        <f>IFERROR(VLOOKUP(B3093,'Pre-Summary'!$BW$6:$BY$58,2,FALSE),"")</f>
        <v/>
      </c>
      <c r="N3093" s="45" t="str">
        <f>IFERROR(VLOOKUP(B3093,'Pre-Summary'!$CD$6:$CF$64,2,FALSE),"")</f>
        <v/>
      </c>
      <c r="O3093" s="99">
        <f>IFERROR(VLOOKUP(B3093,'Pre-Summary'!$BO$6:$BQ$48,3, FALSE),O3092)</f>
        <v>3.3239999999999998</v>
      </c>
      <c r="P3093" s="99">
        <f>IFERROR(VLOOKUP(B3093,'Pre-Summary'!$BS$6:$BU$35,3,FALSE),P3092)</f>
        <v>0.84099999999999997</v>
      </c>
      <c r="Q3093" s="54">
        <f t="shared" si="144"/>
        <v>3.9524375743162903</v>
      </c>
      <c r="R3093" s="53">
        <f>IFERROR(VLOOKUP(B3093,'Pre-Summary'!$BG$6:$BM$44,7,FALSE),R3094)</f>
        <v>0</v>
      </c>
      <c r="S3093" s="53" t="e">
        <f>VLOOKUP(B3093,'Pre-Summary'!$BG$6:$BM$44,6,FALSE)</f>
        <v>#N/A</v>
      </c>
      <c r="T3093" s="45" t="str">
        <f>IFERROR(VLOOKUP(B3093,'Pre-Summary'!$Y$6:$AC$83, 3,FALSE),"")</f>
        <v/>
      </c>
      <c r="U3093" s="45" t="str">
        <f>IFERROR(VLOOKUP(B3093,'Pre-Summary'!$Y$6:$AC$83, 4,FALSE),"")</f>
        <v/>
      </c>
      <c r="V3093" t="str">
        <f>IFERROR(VLOOKUP(B3093,'Pre-Summary'!$Y$6:$AC$83, 5,FALSE),"")</f>
        <v/>
      </c>
      <c r="W3093" s="45" t="str">
        <f>IFERROR(VLOOKUP(B3093,'Pre-Summary'!$Y$6:$AD$83,6,FALSE),"")</f>
        <v/>
      </c>
      <c r="X3093" t="str">
        <f>IFERROR(VLOOKUP('Pre-Summary'!$DB$6:$DD$63,3,FALSE),"")</f>
        <v/>
      </c>
      <c r="Y3093" t="str">
        <f>IFERROR(VLOOKUP(B3093,'Pre-Summary'!$CR$6:$CT$36,3,FALSE),"")</f>
        <v/>
      </c>
      <c r="Z3093" s="45" t="str">
        <f>IFERROR(VLOOKUP(B3093,'Pre-Summary'!$BZ$6:$CB$63,2,FALSE),"")</f>
        <v/>
      </c>
      <c r="AA3093" s="45" t="str">
        <f>IFERROR(VLOOKUP(B3093,'Pre-Summary'!$CG$6:$CI$70,2,FALSE),"")</f>
        <v/>
      </c>
      <c r="AB3093" s="99">
        <f>IFERROR(VLOOKUP(B3093,'Pre-Summary'!$A$6:$P$178,9,FALSE),AB3094)</f>
        <v>1.2254632720101373</v>
      </c>
      <c r="AC3093" s="10">
        <f>IFERROR(VLOOKUP(Summary!B3093,'Pre-Summary'!$A$6:$P$184,5, FALSE)/100,AC3094)</f>
        <v>0.83185799999999999</v>
      </c>
      <c r="AD3093" s="10">
        <f>IFERROR(VLOOKUP(Summary!B3093,'Pre-Summary'!$A$6:$P$184,3, FALSE)/100,AD3094)</f>
        <v>0.13380733333333333</v>
      </c>
      <c r="AE3093" s="10">
        <f>IFERROR(VLOOKUP(Summary!B3093,'Pre-Summary'!$A$6:$P$184,7, FALSE)/100,AE3094)</f>
        <v>3.4334666666666666E-2</v>
      </c>
      <c r="AF3093" s="99">
        <f t="shared" si="145"/>
        <v>0.16397597252561777</v>
      </c>
      <c r="AG3093" s="99">
        <f t="shared" si="146"/>
        <v>4.2075872956710725E-2</v>
      </c>
      <c r="AH3093" s="10" t="str">
        <f>IFERROR(VLOOKUP(B3093,'Pre-Summary'!$AZ$6:$BE$65,3,FALSE),"")</f>
        <v/>
      </c>
      <c r="AI3093" s="10" t="str">
        <f>IFERROR(VLOOKUP(B3093,'Pre-Summary'!$AZ$6:$BE$65,5,FALSE),"")</f>
        <v/>
      </c>
      <c r="AJ3093" s="10" t="str">
        <f>IFERROR(VLOOKUP(B3093,'Pre-Summary'!$AZ$6:$BE$65,4,FALSE),"")</f>
        <v/>
      </c>
      <c r="AK3093" s="10" t="str">
        <f>IFERROR(VLOOKUP(B3093,'Pre-Summary'!$AZ$6:$BE$65,6,FALSE),"")</f>
        <v/>
      </c>
      <c r="AL3093" s="10" t="str">
        <f>IFERROR(VLOOKUP(B3093,'Pre-Summary'!$BG$6:$BL$44,3,FALSE),"")</f>
        <v/>
      </c>
      <c r="AM3093" s="10" t="str">
        <f>IFERROR(VLOOKUP(B3093,'Pre-Summary'!$BG$6:$BL$44,4,FALSE),"")</f>
        <v/>
      </c>
    </row>
    <row r="3094" spans="2:39" ht="15" customHeight="1" x14ac:dyDescent="0.3">
      <c r="B3094">
        <v>309.10000000000002</v>
      </c>
      <c r="C3094" t="str">
        <f>IFERROR(VLOOKUP(B3094,'Pre-Summary'!$DI$6:$DM$23,4,FALSE),"")</f>
        <v/>
      </c>
      <c r="D3094" s="10" t="str">
        <f>IFERROR(VLOOKUP(B3094,'Pre-Summary'!$AT$6:$AX$14,5,FALSE),D3093)</f>
        <v>Wolfe v3: went back to modified wolfe + EDTA and switched CuSO4 to CUCl2</v>
      </c>
      <c r="E3094" s="10" t="str">
        <f>IFERROR(VLOOKUP(B3094,'Pre-Summary'!$AT$6:$AX$15,4,FALSE),"")</f>
        <v/>
      </c>
      <c r="F3094">
        <f>IFERROR(VLOOKUP(B3094,'Pre-Summary'!$AL$6:$AQ$13,6,FALSE),F3093)</f>
        <v>5.9405263157894746E-2</v>
      </c>
      <c r="G3094" t="str">
        <f>IFERROR(VLOOKUP(B3094,'Pre-Summary'!$AE$6:$AJ$85,3,FALSE),"")</f>
        <v/>
      </c>
      <c r="H3094" t="str">
        <f>IFERROR(VLOOKUP(B3094,'Pre-Summary'!$AE$6:$AJ$85,4,FALSE),"")</f>
        <v/>
      </c>
      <c r="I3094" t="str">
        <f>IFERROR(VLOOKUP(B3094,'Pre-Summary'!$AE$6:$AJ$85,5,FALSE),"")</f>
        <v/>
      </c>
      <c r="J3094" s="45" t="str">
        <f>IFERROR(VLOOKUP(B3094,'Pre-Summary'!$AE$6:$AJ$85,6, FALSE),"")</f>
        <v/>
      </c>
      <c r="K3094" s="45" t="str">
        <f>IFERROR(VLOOKUP(B3094,'Pre-Summary'!$DE$6:$DG$61,3,FALSE),"")</f>
        <v/>
      </c>
      <c r="L3094" s="45" t="str">
        <f>IFERROR(VLOOKUP(B3094,'Pre-Summary'!$CU$6:$CW$36,3,FALSE),"")</f>
        <v/>
      </c>
      <c r="M3094" s="45" t="str">
        <f>IFERROR(VLOOKUP(B3094,'Pre-Summary'!$BW$6:$BY$58,2,FALSE),"")</f>
        <v/>
      </c>
      <c r="N3094" s="45" t="str">
        <f>IFERROR(VLOOKUP(B3094,'Pre-Summary'!$CD$6:$CF$64,2,FALSE),"")</f>
        <v/>
      </c>
      <c r="O3094" s="99">
        <f>IFERROR(VLOOKUP(B3094,'Pre-Summary'!$BO$6:$BQ$48,3, FALSE),O3093)</f>
        <v>3.3239999999999998</v>
      </c>
      <c r="P3094" s="99">
        <f>IFERROR(VLOOKUP(B3094,'Pre-Summary'!$BS$6:$BU$35,3,FALSE),P3093)</f>
        <v>0.84099999999999997</v>
      </c>
      <c r="Q3094" s="54">
        <f t="shared" si="144"/>
        <v>3.9524375743162903</v>
      </c>
      <c r="R3094" s="53">
        <f>IFERROR(VLOOKUP(B3094,'Pre-Summary'!$BG$6:$BM$44,7,FALSE),R3095)</f>
        <v>0</v>
      </c>
      <c r="S3094" s="53" t="e">
        <f>VLOOKUP(B3094,'Pre-Summary'!$BG$6:$BM$44,6,FALSE)</f>
        <v>#N/A</v>
      </c>
      <c r="T3094" s="45" t="str">
        <f>IFERROR(VLOOKUP(B3094,'Pre-Summary'!$Y$6:$AC$83, 3,FALSE),"")</f>
        <v/>
      </c>
      <c r="U3094" s="45" t="str">
        <f>IFERROR(VLOOKUP(B3094,'Pre-Summary'!$Y$6:$AC$83, 4,FALSE),"")</f>
        <v/>
      </c>
      <c r="V3094" t="str">
        <f>IFERROR(VLOOKUP(B3094,'Pre-Summary'!$Y$6:$AC$83, 5,FALSE),"")</f>
        <v/>
      </c>
      <c r="W3094" s="45" t="str">
        <f>IFERROR(VLOOKUP(B3094,'Pre-Summary'!$Y$6:$AD$83,6,FALSE),"")</f>
        <v/>
      </c>
      <c r="X3094" t="str">
        <f>IFERROR(VLOOKUP('Pre-Summary'!$DB$6:$DD$63,3,FALSE),"")</f>
        <v/>
      </c>
      <c r="Y3094" t="str">
        <f>IFERROR(VLOOKUP(B3094,'Pre-Summary'!$CR$6:$CT$36,3,FALSE),"")</f>
        <v/>
      </c>
      <c r="Z3094" s="45" t="str">
        <f>IFERROR(VLOOKUP(B3094,'Pre-Summary'!$BZ$6:$CB$63,2,FALSE),"")</f>
        <v/>
      </c>
      <c r="AA3094" s="45" t="str">
        <f>IFERROR(VLOOKUP(B3094,'Pre-Summary'!$CG$6:$CI$70,2,FALSE),"")</f>
        <v/>
      </c>
      <c r="AB3094" s="99">
        <f>IFERROR(VLOOKUP(B3094,'Pre-Summary'!$A$6:$P$178,9,FALSE),AB3095)</f>
        <v>1.2254632720101373</v>
      </c>
      <c r="AC3094" s="10">
        <f>IFERROR(VLOOKUP(Summary!B3094,'Pre-Summary'!$A$6:$P$184,5, FALSE)/100,AC3095)</f>
        <v>0.83185799999999999</v>
      </c>
      <c r="AD3094" s="10">
        <f>IFERROR(VLOOKUP(Summary!B3094,'Pre-Summary'!$A$6:$P$184,3, FALSE)/100,AD3095)</f>
        <v>0.13380733333333333</v>
      </c>
      <c r="AE3094" s="10">
        <f>IFERROR(VLOOKUP(Summary!B3094,'Pre-Summary'!$A$6:$P$184,7, FALSE)/100,AE3095)</f>
        <v>3.4334666666666666E-2</v>
      </c>
      <c r="AF3094" s="99">
        <f t="shared" si="145"/>
        <v>0.16397597252561777</v>
      </c>
      <c r="AG3094" s="99">
        <f t="shared" si="146"/>
        <v>4.2075872956710725E-2</v>
      </c>
      <c r="AH3094" s="10" t="str">
        <f>IFERROR(VLOOKUP(B3094,'Pre-Summary'!$AZ$6:$BE$65,3,FALSE),"")</f>
        <v/>
      </c>
      <c r="AI3094" s="10" t="str">
        <f>IFERROR(VLOOKUP(B3094,'Pre-Summary'!$AZ$6:$BE$65,5,FALSE),"")</f>
        <v/>
      </c>
      <c r="AJ3094" s="10" t="str">
        <f>IFERROR(VLOOKUP(B3094,'Pre-Summary'!$AZ$6:$BE$65,4,FALSE),"")</f>
        <v/>
      </c>
      <c r="AK3094" s="10" t="str">
        <f>IFERROR(VLOOKUP(B3094,'Pre-Summary'!$AZ$6:$BE$65,6,FALSE),"")</f>
        <v/>
      </c>
      <c r="AL3094" s="10" t="str">
        <f>IFERROR(VLOOKUP(B3094,'Pre-Summary'!$BG$6:$BL$44,3,FALSE),"")</f>
        <v/>
      </c>
      <c r="AM3094" s="10" t="str">
        <f>IFERROR(VLOOKUP(B3094,'Pre-Summary'!$BG$6:$BL$44,4,FALSE),"")</f>
        <v/>
      </c>
    </row>
    <row r="3095" spans="2:39" ht="15" customHeight="1" x14ac:dyDescent="0.3">
      <c r="B3095">
        <v>309.2</v>
      </c>
      <c r="C3095" t="str">
        <f>IFERROR(VLOOKUP(B3095,'Pre-Summary'!$DI$6:$DM$23,4,FALSE),"")</f>
        <v/>
      </c>
      <c r="D3095" s="10" t="str">
        <f>IFERROR(VLOOKUP(B3095,'Pre-Summary'!$AT$6:$AX$14,5,FALSE),D3094)</f>
        <v>Wolfe v3: went back to modified wolfe + EDTA and switched CuSO4 to CUCl2</v>
      </c>
      <c r="E3095" s="10" t="str">
        <f>IFERROR(VLOOKUP(B3095,'Pre-Summary'!$AT$6:$AX$15,4,FALSE),"")</f>
        <v/>
      </c>
      <c r="F3095">
        <f>IFERROR(VLOOKUP(B3095,'Pre-Summary'!$AL$6:$AQ$13,6,FALSE),F3094)</f>
        <v>5.9405263157894746E-2</v>
      </c>
      <c r="G3095" t="str">
        <f>IFERROR(VLOOKUP(B3095,'Pre-Summary'!$AE$6:$AJ$85,3,FALSE),"")</f>
        <v/>
      </c>
      <c r="H3095" t="str">
        <f>IFERROR(VLOOKUP(B3095,'Pre-Summary'!$AE$6:$AJ$85,4,FALSE),"")</f>
        <v/>
      </c>
      <c r="I3095" t="str">
        <f>IFERROR(VLOOKUP(B3095,'Pre-Summary'!$AE$6:$AJ$85,5,FALSE),"")</f>
        <v/>
      </c>
      <c r="J3095" s="45" t="str">
        <f>IFERROR(VLOOKUP(B3095,'Pre-Summary'!$AE$6:$AJ$85,6, FALSE),"")</f>
        <v/>
      </c>
      <c r="K3095" s="45" t="str">
        <f>IFERROR(VLOOKUP(B3095,'Pre-Summary'!$DE$6:$DG$61,3,FALSE),"")</f>
        <v/>
      </c>
      <c r="L3095" s="45" t="str">
        <f>IFERROR(VLOOKUP(B3095,'Pre-Summary'!$CU$6:$CW$36,3,FALSE),"")</f>
        <v/>
      </c>
      <c r="M3095" s="45" t="str">
        <f>IFERROR(VLOOKUP(B3095,'Pre-Summary'!$BW$6:$BY$58,2,FALSE),"")</f>
        <v/>
      </c>
      <c r="N3095" s="45" t="str">
        <f>IFERROR(VLOOKUP(B3095,'Pre-Summary'!$CD$6:$CF$64,2,FALSE),"")</f>
        <v/>
      </c>
      <c r="O3095" s="99">
        <f>IFERROR(VLOOKUP(B3095,'Pre-Summary'!$BO$6:$BQ$48,3, FALSE),O3094)</f>
        <v>3.3239999999999998</v>
      </c>
      <c r="P3095" s="99">
        <f>IFERROR(VLOOKUP(B3095,'Pre-Summary'!$BS$6:$BU$35,3,FALSE),P3094)</f>
        <v>0.84099999999999997</v>
      </c>
      <c r="Q3095" s="54">
        <f t="shared" si="144"/>
        <v>3.9524375743162903</v>
      </c>
      <c r="R3095" s="53">
        <f>IFERROR(VLOOKUP(B3095,'Pre-Summary'!$BG$6:$BM$44,7,FALSE),R3096)</f>
        <v>0</v>
      </c>
      <c r="S3095" s="53" t="e">
        <f>VLOOKUP(B3095,'Pre-Summary'!$BG$6:$BM$44,6,FALSE)</f>
        <v>#N/A</v>
      </c>
      <c r="T3095" s="45" t="str">
        <f>IFERROR(VLOOKUP(B3095,'Pre-Summary'!$Y$6:$AC$83, 3,FALSE),"")</f>
        <v/>
      </c>
      <c r="U3095" s="45" t="str">
        <f>IFERROR(VLOOKUP(B3095,'Pre-Summary'!$Y$6:$AC$83, 4,FALSE),"")</f>
        <v/>
      </c>
      <c r="V3095" t="str">
        <f>IFERROR(VLOOKUP(B3095,'Pre-Summary'!$Y$6:$AC$83, 5,FALSE),"")</f>
        <v/>
      </c>
      <c r="W3095" s="45" t="str">
        <f>IFERROR(VLOOKUP(B3095,'Pre-Summary'!$Y$6:$AD$83,6,FALSE),"")</f>
        <v/>
      </c>
      <c r="X3095" t="str">
        <f>IFERROR(VLOOKUP('Pre-Summary'!$DB$6:$DD$63,3,FALSE),"")</f>
        <v/>
      </c>
      <c r="Y3095" t="str">
        <f>IFERROR(VLOOKUP(B3095,'Pre-Summary'!$CR$6:$CT$36,3,FALSE),"")</f>
        <v/>
      </c>
      <c r="Z3095" s="45" t="str">
        <f>IFERROR(VLOOKUP(B3095,'Pre-Summary'!$BZ$6:$CB$63,2,FALSE),"")</f>
        <v/>
      </c>
      <c r="AA3095" s="45" t="str">
        <f>IFERROR(VLOOKUP(B3095,'Pre-Summary'!$CG$6:$CI$70,2,FALSE),"")</f>
        <v/>
      </c>
      <c r="AB3095" s="99">
        <f>IFERROR(VLOOKUP(B3095,'Pre-Summary'!$A$6:$P$178,9,FALSE),AB3096)</f>
        <v>1.2254632720101373</v>
      </c>
      <c r="AC3095" s="10">
        <f>IFERROR(VLOOKUP(Summary!B3095,'Pre-Summary'!$A$6:$P$184,5, FALSE)/100,AC3096)</f>
        <v>0.83185799999999999</v>
      </c>
      <c r="AD3095" s="10">
        <f>IFERROR(VLOOKUP(Summary!B3095,'Pre-Summary'!$A$6:$P$184,3, FALSE)/100,AD3096)</f>
        <v>0.13380733333333333</v>
      </c>
      <c r="AE3095" s="10">
        <f>IFERROR(VLOOKUP(Summary!B3095,'Pre-Summary'!$A$6:$P$184,7, FALSE)/100,AE3096)</f>
        <v>3.4334666666666666E-2</v>
      </c>
      <c r="AF3095" s="99">
        <f t="shared" si="145"/>
        <v>0.16397597252561777</v>
      </c>
      <c r="AG3095" s="99">
        <f t="shared" si="146"/>
        <v>4.2075872956710725E-2</v>
      </c>
      <c r="AH3095" s="10" t="str">
        <f>IFERROR(VLOOKUP(B3095,'Pre-Summary'!$AZ$6:$BE$65,3,FALSE),"")</f>
        <v/>
      </c>
      <c r="AI3095" s="10" t="str">
        <f>IFERROR(VLOOKUP(B3095,'Pre-Summary'!$AZ$6:$BE$65,5,FALSE),"")</f>
        <v/>
      </c>
      <c r="AJ3095" s="10" t="str">
        <f>IFERROR(VLOOKUP(B3095,'Pre-Summary'!$AZ$6:$BE$65,4,FALSE),"")</f>
        <v/>
      </c>
      <c r="AK3095" s="10" t="str">
        <f>IFERROR(VLOOKUP(B3095,'Pre-Summary'!$AZ$6:$BE$65,6,FALSE),"")</f>
        <v/>
      </c>
      <c r="AL3095" s="10" t="str">
        <f>IFERROR(VLOOKUP(B3095,'Pre-Summary'!$BG$6:$BL$44,3,FALSE),"")</f>
        <v/>
      </c>
      <c r="AM3095" s="10" t="str">
        <f>IFERROR(VLOOKUP(B3095,'Pre-Summary'!$BG$6:$BL$44,4,FALSE),"")</f>
        <v/>
      </c>
    </row>
    <row r="3096" spans="2:39" ht="15" customHeight="1" x14ac:dyDescent="0.3">
      <c r="B3096">
        <v>309.3</v>
      </c>
      <c r="C3096" t="str">
        <f>IFERROR(VLOOKUP(B3096,'Pre-Summary'!$DI$6:$DM$23,4,FALSE),"")</f>
        <v/>
      </c>
      <c r="D3096" s="10" t="str">
        <f>IFERROR(VLOOKUP(B3096,'Pre-Summary'!$AT$6:$AX$14,5,FALSE),D3095)</f>
        <v>Wolfe v3: went back to modified wolfe + EDTA and switched CuSO4 to CUCl2</v>
      </c>
      <c r="E3096" s="10" t="str">
        <f>IFERROR(VLOOKUP(B3096,'Pre-Summary'!$AT$6:$AX$15,4,FALSE),"")</f>
        <v/>
      </c>
      <c r="F3096">
        <f>IFERROR(VLOOKUP(B3096,'Pre-Summary'!$AL$6:$AQ$13,6,FALSE),F3095)</f>
        <v>5.9405263157894746E-2</v>
      </c>
      <c r="G3096" t="str">
        <f>IFERROR(VLOOKUP(B3096,'Pre-Summary'!$AE$6:$AJ$85,3,FALSE),"")</f>
        <v/>
      </c>
      <c r="H3096" t="str">
        <f>IFERROR(VLOOKUP(B3096,'Pre-Summary'!$AE$6:$AJ$85,4,FALSE),"")</f>
        <v/>
      </c>
      <c r="I3096" t="str">
        <f>IFERROR(VLOOKUP(B3096,'Pre-Summary'!$AE$6:$AJ$85,5,FALSE),"")</f>
        <v/>
      </c>
      <c r="J3096" s="45" t="str">
        <f>IFERROR(VLOOKUP(B3096,'Pre-Summary'!$AE$6:$AJ$85,6, FALSE),"")</f>
        <v/>
      </c>
      <c r="K3096" s="45" t="str">
        <f>IFERROR(VLOOKUP(B3096,'Pre-Summary'!$DE$6:$DG$61,3,FALSE),"")</f>
        <v/>
      </c>
      <c r="L3096" s="45" t="str">
        <f>IFERROR(VLOOKUP(B3096,'Pre-Summary'!$CU$6:$CW$36,3,FALSE),"")</f>
        <v/>
      </c>
      <c r="M3096" s="45" t="str">
        <f>IFERROR(VLOOKUP(B3096,'Pre-Summary'!$BW$6:$BY$58,2,FALSE),"")</f>
        <v/>
      </c>
      <c r="N3096" s="45" t="str">
        <f>IFERROR(VLOOKUP(B3096,'Pre-Summary'!$CD$6:$CF$64,2,FALSE),"")</f>
        <v/>
      </c>
      <c r="O3096" s="99">
        <f>IFERROR(VLOOKUP(B3096,'Pre-Summary'!$BO$6:$BQ$48,3, FALSE),O3095)</f>
        <v>3.3239999999999998</v>
      </c>
      <c r="P3096" s="99">
        <f>IFERROR(VLOOKUP(B3096,'Pre-Summary'!$BS$6:$BU$35,3,FALSE),P3095)</f>
        <v>0.84099999999999997</v>
      </c>
      <c r="Q3096" s="54">
        <f t="shared" si="144"/>
        <v>3.9524375743162903</v>
      </c>
      <c r="R3096" s="53">
        <f>IFERROR(VLOOKUP(B3096,'Pre-Summary'!$BG$6:$BM$44,7,FALSE),R3097)</f>
        <v>0</v>
      </c>
      <c r="S3096" s="53" t="e">
        <f>VLOOKUP(B3096,'Pre-Summary'!$BG$6:$BM$44,6,FALSE)</f>
        <v>#N/A</v>
      </c>
      <c r="T3096" s="45" t="str">
        <f>IFERROR(VLOOKUP(B3096,'Pre-Summary'!$Y$6:$AC$83, 3,FALSE),"")</f>
        <v/>
      </c>
      <c r="U3096" s="45" t="str">
        <f>IFERROR(VLOOKUP(B3096,'Pre-Summary'!$Y$6:$AC$83, 4,FALSE),"")</f>
        <v/>
      </c>
      <c r="V3096" t="str">
        <f>IFERROR(VLOOKUP(B3096,'Pre-Summary'!$Y$6:$AC$83, 5,FALSE),"")</f>
        <v/>
      </c>
      <c r="W3096" s="45" t="str">
        <f>IFERROR(VLOOKUP(B3096,'Pre-Summary'!$Y$6:$AD$83,6,FALSE),"")</f>
        <v/>
      </c>
      <c r="X3096" t="str">
        <f>IFERROR(VLOOKUP('Pre-Summary'!$DB$6:$DD$63,3,FALSE),"")</f>
        <v/>
      </c>
      <c r="Y3096" t="str">
        <f>IFERROR(VLOOKUP(B3096,'Pre-Summary'!$CR$6:$CT$36,3,FALSE),"")</f>
        <v/>
      </c>
      <c r="Z3096" s="45" t="str">
        <f>IFERROR(VLOOKUP(B3096,'Pre-Summary'!$BZ$6:$CB$63,2,FALSE),"")</f>
        <v/>
      </c>
      <c r="AA3096" s="45" t="str">
        <f>IFERROR(VLOOKUP(B3096,'Pre-Summary'!$CG$6:$CI$70,2,FALSE),"")</f>
        <v/>
      </c>
      <c r="AB3096" s="99">
        <f>IFERROR(VLOOKUP(B3096,'Pre-Summary'!$A$6:$P$178,9,FALSE),AB3097)</f>
        <v>1.2254632720101373</v>
      </c>
      <c r="AC3096" s="10">
        <f>IFERROR(VLOOKUP(Summary!B3096,'Pre-Summary'!$A$6:$P$184,5, FALSE)/100,AC3097)</f>
        <v>0.83185799999999999</v>
      </c>
      <c r="AD3096" s="10">
        <f>IFERROR(VLOOKUP(Summary!B3096,'Pre-Summary'!$A$6:$P$184,3, FALSE)/100,AD3097)</f>
        <v>0.13380733333333333</v>
      </c>
      <c r="AE3096" s="10">
        <f>IFERROR(VLOOKUP(Summary!B3096,'Pre-Summary'!$A$6:$P$184,7, FALSE)/100,AE3097)</f>
        <v>3.4334666666666666E-2</v>
      </c>
      <c r="AF3096" s="99">
        <f t="shared" si="145"/>
        <v>0.16397597252561777</v>
      </c>
      <c r="AG3096" s="99">
        <f t="shared" si="146"/>
        <v>4.2075872956710725E-2</v>
      </c>
      <c r="AH3096" s="10" t="str">
        <f>IFERROR(VLOOKUP(B3096,'Pre-Summary'!$AZ$6:$BE$65,3,FALSE),"")</f>
        <v/>
      </c>
      <c r="AI3096" s="10" t="str">
        <f>IFERROR(VLOOKUP(B3096,'Pre-Summary'!$AZ$6:$BE$65,5,FALSE),"")</f>
        <v/>
      </c>
      <c r="AJ3096" s="10" t="str">
        <f>IFERROR(VLOOKUP(B3096,'Pre-Summary'!$AZ$6:$BE$65,4,FALSE),"")</f>
        <v/>
      </c>
      <c r="AK3096" s="10" t="str">
        <f>IFERROR(VLOOKUP(B3096,'Pre-Summary'!$AZ$6:$BE$65,6,FALSE),"")</f>
        <v/>
      </c>
      <c r="AL3096" s="10" t="str">
        <f>IFERROR(VLOOKUP(B3096,'Pre-Summary'!$BG$6:$BL$44,3,FALSE),"")</f>
        <v/>
      </c>
      <c r="AM3096" s="10" t="str">
        <f>IFERROR(VLOOKUP(B3096,'Pre-Summary'!$BG$6:$BL$44,4,FALSE),"")</f>
        <v/>
      </c>
    </row>
    <row r="3097" spans="2:39" ht="15" customHeight="1" x14ac:dyDescent="0.3">
      <c r="B3097">
        <v>309.39999999999998</v>
      </c>
      <c r="C3097" t="str">
        <f>IFERROR(VLOOKUP(B3097,'Pre-Summary'!$DI$6:$DM$23,4,FALSE),"")</f>
        <v/>
      </c>
      <c r="D3097" s="10" t="str">
        <f>IFERROR(VLOOKUP(B3097,'Pre-Summary'!$AT$6:$AX$14,5,FALSE),D3096)</f>
        <v>Wolfe v3: went back to modified wolfe + EDTA and switched CuSO4 to CUCl2</v>
      </c>
      <c r="E3097" s="10" t="str">
        <f>IFERROR(VLOOKUP(B3097,'Pre-Summary'!$AT$6:$AX$15,4,FALSE),"")</f>
        <v/>
      </c>
      <c r="F3097">
        <f>IFERROR(VLOOKUP(B3097,'Pre-Summary'!$AL$6:$AQ$13,6,FALSE),F3096)</f>
        <v>5.9405263157894746E-2</v>
      </c>
      <c r="G3097" t="str">
        <f>IFERROR(VLOOKUP(B3097,'Pre-Summary'!$AE$6:$AJ$85,3,FALSE),"")</f>
        <v/>
      </c>
      <c r="H3097" t="str">
        <f>IFERROR(VLOOKUP(B3097,'Pre-Summary'!$AE$6:$AJ$85,4,FALSE),"")</f>
        <v/>
      </c>
      <c r="I3097" t="str">
        <f>IFERROR(VLOOKUP(B3097,'Pre-Summary'!$AE$6:$AJ$85,5,FALSE),"")</f>
        <v/>
      </c>
      <c r="J3097" s="45" t="str">
        <f>IFERROR(VLOOKUP(B3097,'Pre-Summary'!$AE$6:$AJ$85,6, FALSE),"")</f>
        <v/>
      </c>
      <c r="K3097" s="45" t="str">
        <f>IFERROR(VLOOKUP(B3097,'Pre-Summary'!$DE$6:$DG$61,3,FALSE),"")</f>
        <v/>
      </c>
      <c r="L3097" s="45" t="str">
        <f>IFERROR(VLOOKUP(B3097,'Pre-Summary'!$CU$6:$CW$36,3,FALSE),"")</f>
        <v/>
      </c>
      <c r="M3097" s="45" t="str">
        <f>IFERROR(VLOOKUP(B3097,'Pre-Summary'!$BW$6:$BY$58,2,FALSE),"")</f>
        <v/>
      </c>
      <c r="N3097" s="45" t="str">
        <f>IFERROR(VLOOKUP(B3097,'Pre-Summary'!$CD$6:$CF$64,2,FALSE),"")</f>
        <v/>
      </c>
      <c r="O3097" s="99">
        <f>IFERROR(VLOOKUP(B3097,'Pre-Summary'!$BO$6:$BQ$48,3, FALSE),O3096)</f>
        <v>3.3239999999999998</v>
      </c>
      <c r="P3097" s="99">
        <f>IFERROR(VLOOKUP(B3097,'Pre-Summary'!$BS$6:$BU$35,3,FALSE),P3096)</f>
        <v>0.84099999999999997</v>
      </c>
      <c r="Q3097" s="54">
        <f t="shared" si="144"/>
        <v>3.9524375743162903</v>
      </c>
      <c r="R3097" s="53">
        <f>IFERROR(VLOOKUP(B3097,'Pre-Summary'!$BG$6:$BM$44,7,FALSE),R3098)</f>
        <v>0</v>
      </c>
      <c r="S3097" s="53" t="e">
        <f>VLOOKUP(B3097,'Pre-Summary'!$BG$6:$BM$44,6,FALSE)</f>
        <v>#N/A</v>
      </c>
      <c r="T3097" s="45" t="str">
        <f>IFERROR(VLOOKUP(B3097,'Pre-Summary'!$Y$6:$AC$83, 3,FALSE),"")</f>
        <v/>
      </c>
      <c r="U3097" s="45" t="str">
        <f>IFERROR(VLOOKUP(B3097,'Pre-Summary'!$Y$6:$AC$83, 4,FALSE),"")</f>
        <v/>
      </c>
      <c r="V3097" t="str">
        <f>IFERROR(VLOOKUP(B3097,'Pre-Summary'!$Y$6:$AC$83, 5,FALSE),"")</f>
        <v/>
      </c>
      <c r="W3097" s="45" t="str">
        <f>IFERROR(VLOOKUP(B3097,'Pre-Summary'!$Y$6:$AD$83,6,FALSE),"")</f>
        <v/>
      </c>
      <c r="X3097" t="str">
        <f>IFERROR(VLOOKUP('Pre-Summary'!$DB$6:$DD$63,3,FALSE),"")</f>
        <v/>
      </c>
      <c r="Y3097" t="str">
        <f>IFERROR(VLOOKUP(B3097,'Pre-Summary'!$CR$6:$CT$36,3,FALSE),"")</f>
        <v/>
      </c>
      <c r="Z3097" s="45" t="str">
        <f>IFERROR(VLOOKUP(B3097,'Pre-Summary'!$BZ$6:$CB$63,2,FALSE),"")</f>
        <v/>
      </c>
      <c r="AA3097" s="45" t="str">
        <f>IFERROR(VLOOKUP(B3097,'Pre-Summary'!$CG$6:$CI$70,2,FALSE),"")</f>
        <v/>
      </c>
      <c r="AB3097" s="99">
        <f>IFERROR(VLOOKUP(B3097,'Pre-Summary'!$A$6:$P$178,9,FALSE),AB3098)</f>
        <v>1.2254632720101373</v>
      </c>
      <c r="AC3097" s="10">
        <f>IFERROR(VLOOKUP(Summary!B3097,'Pre-Summary'!$A$6:$P$184,5, FALSE)/100,AC3098)</f>
        <v>0.83185799999999999</v>
      </c>
      <c r="AD3097" s="10">
        <f>IFERROR(VLOOKUP(Summary!B3097,'Pre-Summary'!$A$6:$P$184,3, FALSE)/100,AD3098)</f>
        <v>0.13380733333333333</v>
      </c>
      <c r="AE3097" s="10">
        <f>IFERROR(VLOOKUP(Summary!B3097,'Pre-Summary'!$A$6:$P$184,7, FALSE)/100,AE3098)</f>
        <v>3.4334666666666666E-2</v>
      </c>
      <c r="AF3097" s="99">
        <f t="shared" si="145"/>
        <v>0.16397597252561777</v>
      </c>
      <c r="AG3097" s="99">
        <f t="shared" si="146"/>
        <v>4.2075872956710725E-2</v>
      </c>
      <c r="AH3097" s="10" t="str">
        <f>IFERROR(VLOOKUP(B3097,'Pre-Summary'!$AZ$6:$BE$65,3,FALSE),"")</f>
        <v/>
      </c>
      <c r="AI3097" s="10" t="str">
        <f>IFERROR(VLOOKUP(B3097,'Pre-Summary'!$AZ$6:$BE$65,5,FALSE),"")</f>
        <v/>
      </c>
      <c r="AJ3097" s="10" t="str">
        <f>IFERROR(VLOOKUP(B3097,'Pre-Summary'!$AZ$6:$BE$65,4,FALSE),"")</f>
        <v/>
      </c>
      <c r="AK3097" s="10" t="str">
        <f>IFERROR(VLOOKUP(B3097,'Pre-Summary'!$AZ$6:$BE$65,6,FALSE),"")</f>
        <v/>
      </c>
      <c r="AL3097" s="10" t="str">
        <f>IFERROR(VLOOKUP(B3097,'Pre-Summary'!$BG$6:$BL$44,3,FALSE),"")</f>
        <v/>
      </c>
      <c r="AM3097" s="10" t="str">
        <f>IFERROR(VLOOKUP(B3097,'Pre-Summary'!$BG$6:$BL$44,4,FALSE),"")</f>
        <v/>
      </c>
    </row>
    <row r="3098" spans="2:39" ht="15" customHeight="1" x14ac:dyDescent="0.3">
      <c r="B3098">
        <v>309.5</v>
      </c>
      <c r="C3098" t="str">
        <f>IFERROR(VLOOKUP(B3098,'Pre-Summary'!$DI$6:$DM$23,4,FALSE),"")</f>
        <v/>
      </c>
      <c r="D3098" s="10" t="str">
        <f>IFERROR(VLOOKUP(B3098,'Pre-Summary'!$AT$6:$AX$14,5,FALSE),D3097)</f>
        <v>Wolfe v3: went back to modified wolfe + EDTA and switched CuSO4 to CUCl2</v>
      </c>
      <c r="E3098" s="10" t="str">
        <f>IFERROR(VLOOKUP(B3098,'Pre-Summary'!$AT$6:$AX$15,4,FALSE),"")</f>
        <v/>
      </c>
      <c r="F3098">
        <f>IFERROR(VLOOKUP(B3098,'Pre-Summary'!$AL$6:$AQ$13,6,FALSE),F3097)</f>
        <v>5.9405263157894746E-2</v>
      </c>
      <c r="G3098">
        <f>IFERROR(VLOOKUP(B3098,'Pre-Summary'!$AE$6:$AJ$85,3,FALSE),"")</f>
        <v>8.7420000000000009</v>
      </c>
      <c r="H3098" t="str">
        <f>IFERROR(VLOOKUP(B3098,'Pre-Summary'!$AE$6:$AJ$85,4,FALSE),"")</f>
        <v/>
      </c>
      <c r="I3098" t="str">
        <f>IFERROR(VLOOKUP(B3098,'Pre-Summary'!$AE$6:$AJ$85,5,FALSE),"")</f>
        <v/>
      </c>
      <c r="J3098" s="45">
        <f>IFERROR(VLOOKUP(B3098,'Pre-Summary'!$AE$6:$AJ$85,6, FALSE),"")</f>
        <v>9.3277140000000003</v>
      </c>
      <c r="K3098" s="45" t="str">
        <f>IFERROR(VLOOKUP(B3098,'Pre-Summary'!$DE$6:$DG$61,3,FALSE),"")</f>
        <v/>
      </c>
      <c r="L3098" s="45" t="str">
        <f>IFERROR(VLOOKUP(B3098,'Pre-Summary'!$CU$6:$CW$36,3,FALSE),"")</f>
        <v/>
      </c>
      <c r="M3098" s="45" t="str">
        <f>IFERROR(VLOOKUP(B3098,'Pre-Summary'!$BW$6:$BY$58,2,FALSE),"")</f>
        <v/>
      </c>
      <c r="N3098" s="45" t="str">
        <f>IFERROR(VLOOKUP(B3098,'Pre-Summary'!$CD$6:$CF$64,2,FALSE),"")</f>
        <v/>
      </c>
      <c r="O3098" s="99">
        <f>IFERROR(VLOOKUP(B3098,'Pre-Summary'!$BO$6:$BQ$48,3, FALSE),O3097)</f>
        <v>3.3239999999999998</v>
      </c>
      <c r="P3098" s="99">
        <f>IFERROR(VLOOKUP(B3098,'Pre-Summary'!$BS$6:$BU$35,3,FALSE),P3097)</f>
        <v>0.84099999999999997</v>
      </c>
      <c r="Q3098" s="54">
        <f t="shared" si="144"/>
        <v>3.9524375743162903</v>
      </c>
      <c r="R3098" s="53">
        <f>IFERROR(VLOOKUP(B3098,'Pre-Summary'!$BG$6:$BM$44,7,FALSE),R3099)</f>
        <v>0</v>
      </c>
      <c r="S3098" s="53" t="e">
        <f>VLOOKUP(B3098,'Pre-Summary'!$BG$6:$BM$44,6,FALSE)</f>
        <v>#N/A</v>
      </c>
      <c r="T3098" s="45">
        <f>IFERROR(VLOOKUP(B3098,'Pre-Summary'!$Y$6:$AC$83, 3,FALSE),"")</f>
        <v>2.8679999999999999</v>
      </c>
      <c r="U3098" s="45" t="str">
        <f>IFERROR(VLOOKUP(B3098,'Pre-Summary'!$Y$6:$AC$83, 4,FALSE),"")</f>
        <v/>
      </c>
      <c r="V3098" t="str">
        <f>IFERROR(VLOOKUP(B3098,'Pre-Summary'!$Y$6:$AC$83, 5,FALSE),"")</f>
        <v/>
      </c>
      <c r="W3098" s="45">
        <f>IFERROR(VLOOKUP(B3098,'Pre-Summary'!$Y$6:$AD$83,6,FALSE),"")</f>
        <v>3.0601559999999997</v>
      </c>
      <c r="X3098" t="str">
        <f>IFERROR(VLOOKUP('Pre-Summary'!$DB$6:$DD$63,3,FALSE),"")</f>
        <v/>
      </c>
      <c r="Y3098" t="str">
        <f>IFERROR(VLOOKUP(B3098,'Pre-Summary'!$CR$6:$CT$36,3,FALSE),"")</f>
        <v/>
      </c>
      <c r="Z3098" s="45" t="str">
        <f>IFERROR(VLOOKUP(B3098,'Pre-Summary'!$BZ$6:$CB$63,2,FALSE),"")</f>
        <v/>
      </c>
      <c r="AA3098" s="45" t="str">
        <f>IFERROR(VLOOKUP(B3098,'Pre-Summary'!$CG$6:$CI$70,2,FALSE),"")</f>
        <v/>
      </c>
      <c r="AB3098" s="99">
        <f>IFERROR(VLOOKUP(B3098,'Pre-Summary'!$A$6:$P$178,9,FALSE),AB3099)</f>
        <v>1.2254632720101373</v>
      </c>
      <c r="AC3098" s="10">
        <f>IFERROR(VLOOKUP(Summary!B3098,'Pre-Summary'!$A$6:$P$184,5, FALSE)/100,AC3099)</f>
        <v>0.83185799999999999</v>
      </c>
      <c r="AD3098" s="10">
        <f>IFERROR(VLOOKUP(Summary!B3098,'Pre-Summary'!$A$6:$P$184,3, FALSE)/100,AD3099)</f>
        <v>0.13380733333333333</v>
      </c>
      <c r="AE3098" s="10">
        <f>IFERROR(VLOOKUP(Summary!B3098,'Pre-Summary'!$A$6:$P$184,7, FALSE)/100,AE3099)</f>
        <v>3.4334666666666666E-2</v>
      </c>
      <c r="AF3098" s="99">
        <f t="shared" si="145"/>
        <v>0.16397597252561777</v>
      </c>
      <c r="AG3098" s="99">
        <f t="shared" si="146"/>
        <v>4.2075872956710725E-2</v>
      </c>
      <c r="AH3098" s="10" t="str">
        <f>IFERROR(VLOOKUP(B3098,'Pre-Summary'!$AZ$6:$BE$65,3,FALSE),"")</f>
        <v/>
      </c>
      <c r="AI3098" s="10" t="str">
        <f>IFERROR(VLOOKUP(B3098,'Pre-Summary'!$AZ$6:$BE$65,5,FALSE),"")</f>
        <v/>
      </c>
      <c r="AJ3098" s="10" t="str">
        <f>IFERROR(VLOOKUP(B3098,'Pre-Summary'!$AZ$6:$BE$65,4,FALSE),"")</f>
        <v/>
      </c>
      <c r="AK3098" s="10" t="str">
        <f>IFERROR(VLOOKUP(B3098,'Pre-Summary'!$AZ$6:$BE$65,6,FALSE),"")</f>
        <v/>
      </c>
      <c r="AL3098" s="10" t="str">
        <f>IFERROR(VLOOKUP(B3098,'Pre-Summary'!$BG$6:$BL$44,3,FALSE),"")</f>
        <v/>
      </c>
      <c r="AM3098" s="10" t="str">
        <f>IFERROR(VLOOKUP(B3098,'Pre-Summary'!$BG$6:$BL$44,4,FALSE),"")</f>
        <v/>
      </c>
    </row>
    <row r="3099" spans="2:39" ht="15" customHeight="1" x14ac:dyDescent="0.3">
      <c r="B3099">
        <v>309.60000000000002</v>
      </c>
      <c r="C3099" t="str">
        <f>IFERROR(VLOOKUP(B3099,'Pre-Summary'!$DI$6:$DM$23,4,FALSE),"")</f>
        <v/>
      </c>
      <c r="D3099" s="10" t="str">
        <f>IFERROR(VLOOKUP(B3099,'Pre-Summary'!$AT$6:$AX$14,5,FALSE),D3098)</f>
        <v>Wolfe v3: went back to modified wolfe + EDTA and switched CuSO4 to CUCl2</v>
      </c>
      <c r="E3099" s="10" t="str">
        <f>IFERROR(VLOOKUP(B3099,'Pre-Summary'!$AT$6:$AX$15,4,FALSE),"")</f>
        <v/>
      </c>
      <c r="F3099">
        <f>IFERROR(VLOOKUP(B3099,'Pre-Summary'!$AL$6:$AQ$13,6,FALSE),F3098)</f>
        <v>5.9405263157894746E-2</v>
      </c>
      <c r="G3099" t="str">
        <f>IFERROR(VLOOKUP(B3099,'Pre-Summary'!$AE$6:$AJ$85,3,FALSE),"")</f>
        <v/>
      </c>
      <c r="H3099" t="str">
        <f>IFERROR(VLOOKUP(B3099,'Pre-Summary'!$AE$6:$AJ$85,4,FALSE),"")</f>
        <v/>
      </c>
      <c r="I3099" t="str">
        <f>IFERROR(VLOOKUP(B3099,'Pre-Summary'!$AE$6:$AJ$85,5,FALSE),"")</f>
        <v/>
      </c>
      <c r="J3099" s="45" t="str">
        <f>IFERROR(VLOOKUP(B3099,'Pre-Summary'!$AE$6:$AJ$85,6, FALSE),"")</f>
        <v/>
      </c>
      <c r="K3099" s="45" t="str">
        <f>IFERROR(VLOOKUP(B3099,'Pre-Summary'!$DE$6:$DG$61,3,FALSE),"")</f>
        <v/>
      </c>
      <c r="L3099" s="45" t="str">
        <f>IFERROR(VLOOKUP(B3099,'Pre-Summary'!$CU$6:$CW$36,3,FALSE),"")</f>
        <v/>
      </c>
      <c r="M3099" s="45" t="str">
        <f>IFERROR(VLOOKUP(B3099,'Pre-Summary'!$BW$6:$BY$58,2,FALSE),"")</f>
        <v/>
      </c>
      <c r="N3099" s="45" t="str">
        <f>IFERROR(VLOOKUP(B3099,'Pre-Summary'!$CD$6:$CF$64,2,FALSE),"")</f>
        <v/>
      </c>
      <c r="O3099" s="99">
        <f>IFERROR(VLOOKUP(B3099,'Pre-Summary'!$BO$6:$BQ$48,3, FALSE),O3098)</f>
        <v>3.3239999999999998</v>
      </c>
      <c r="P3099" s="99">
        <f>IFERROR(VLOOKUP(B3099,'Pre-Summary'!$BS$6:$BU$35,3,FALSE),P3098)</f>
        <v>0.84099999999999997</v>
      </c>
      <c r="Q3099" s="54">
        <f t="shared" si="144"/>
        <v>3.9524375743162903</v>
      </c>
      <c r="R3099" s="53">
        <f>IFERROR(VLOOKUP(B3099,'Pre-Summary'!$BG$6:$BM$44,7,FALSE),R3100)</f>
        <v>0</v>
      </c>
      <c r="S3099" s="53" t="e">
        <f>VLOOKUP(B3099,'Pre-Summary'!$BG$6:$BM$44,6,FALSE)</f>
        <v>#N/A</v>
      </c>
      <c r="T3099" s="45" t="str">
        <f>IFERROR(VLOOKUP(B3099,'Pre-Summary'!$Y$6:$AC$83, 3,FALSE),"")</f>
        <v/>
      </c>
      <c r="U3099" s="45" t="str">
        <f>IFERROR(VLOOKUP(B3099,'Pre-Summary'!$Y$6:$AC$83, 4,FALSE),"")</f>
        <v/>
      </c>
      <c r="V3099" t="str">
        <f>IFERROR(VLOOKUP(B3099,'Pre-Summary'!$Y$6:$AC$83, 5,FALSE),"")</f>
        <v/>
      </c>
      <c r="W3099" s="45" t="str">
        <f>IFERROR(VLOOKUP(B3099,'Pre-Summary'!$Y$6:$AD$83,6,FALSE),"")</f>
        <v/>
      </c>
      <c r="X3099" t="str">
        <f>IFERROR(VLOOKUP('Pre-Summary'!$DB$6:$DD$63,3,FALSE),"")</f>
        <v/>
      </c>
      <c r="Y3099" t="str">
        <f>IFERROR(VLOOKUP(B3099,'Pre-Summary'!$CR$6:$CT$36,3,FALSE),"")</f>
        <v/>
      </c>
      <c r="Z3099" s="45" t="str">
        <f>IFERROR(VLOOKUP(B3099,'Pre-Summary'!$BZ$6:$CB$63,2,FALSE),"")</f>
        <v/>
      </c>
      <c r="AA3099" s="45" t="str">
        <f>IFERROR(VLOOKUP(B3099,'Pre-Summary'!$CG$6:$CI$70,2,FALSE),"")</f>
        <v/>
      </c>
      <c r="AB3099" s="99">
        <f>IFERROR(VLOOKUP(B3099,'Pre-Summary'!$A$6:$P$178,9,FALSE),AB3100)</f>
        <v>1.2254632720101373</v>
      </c>
      <c r="AC3099" s="10">
        <f>IFERROR(VLOOKUP(Summary!B3099,'Pre-Summary'!$A$6:$P$184,5, FALSE)/100,AC3100)</f>
        <v>0.83185799999999999</v>
      </c>
      <c r="AD3099" s="10">
        <f>IFERROR(VLOOKUP(Summary!B3099,'Pre-Summary'!$A$6:$P$184,3, FALSE)/100,AD3100)</f>
        <v>0.13380733333333333</v>
      </c>
      <c r="AE3099" s="10">
        <f>IFERROR(VLOOKUP(Summary!B3099,'Pre-Summary'!$A$6:$P$184,7, FALSE)/100,AE3100)</f>
        <v>3.4334666666666666E-2</v>
      </c>
      <c r="AF3099" s="99">
        <f t="shared" si="145"/>
        <v>0.16397597252561777</v>
      </c>
      <c r="AG3099" s="99">
        <f t="shared" si="146"/>
        <v>4.2075872956710725E-2</v>
      </c>
      <c r="AH3099" s="10" t="str">
        <f>IFERROR(VLOOKUP(B3099,'Pre-Summary'!$AZ$6:$BE$65,3,FALSE),"")</f>
        <v/>
      </c>
      <c r="AI3099" s="10" t="str">
        <f>IFERROR(VLOOKUP(B3099,'Pre-Summary'!$AZ$6:$BE$65,5,FALSE),"")</f>
        <v/>
      </c>
      <c r="AJ3099" s="10" t="str">
        <f>IFERROR(VLOOKUP(B3099,'Pre-Summary'!$AZ$6:$BE$65,4,FALSE),"")</f>
        <v/>
      </c>
      <c r="AK3099" s="10" t="str">
        <f>IFERROR(VLOOKUP(B3099,'Pre-Summary'!$AZ$6:$BE$65,6,FALSE),"")</f>
        <v/>
      </c>
      <c r="AL3099" s="10" t="str">
        <f>IFERROR(VLOOKUP(B3099,'Pre-Summary'!$BG$6:$BL$44,3,FALSE),"")</f>
        <v/>
      </c>
      <c r="AM3099" s="10" t="str">
        <f>IFERROR(VLOOKUP(B3099,'Pre-Summary'!$BG$6:$BL$44,4,FALSE),"")</f>
        <v/>
      </c>
    </row>
    <row r="3100" spans="2:39" ht="15" customHeight="1" x14ac:dyDescent="0.3">
      <c r="B3100">
        <v>309.7</v>
      </c>
      <c r="C3100" t="str">
        <f>IFERROR(VLOOKUP(B3100,'Pre-Summary'!$DI$6:$DM$23,4,FALSE),"")</f>
        <v/>
      </c>
      <c r="D3100" s="10" t="str">
        <f>IFERROR(VLOOKUP(B3100,'Pre-Summary'!$AT$6:$AX$14,5,FALSE),D3099)</f>
        <v>Wolfe v3: went back to modified wolfe + EDTA and switched CuSO4 to CUCl2</v>
      </c>
      <c r="E3100" s="10" t="str">
        <f>IFERROR(VLOOKUP(B3100,'Pre-Summary'!$AT$6:$AX$15,4,FALSE),"")</f>
        <v/>
      </c>
      <c r="F3100">
        <f>IFERROR(VLOOKUP(B3100,'Pre-Summary'!$AL$6:$AQ$13,6,FALSE),F3099)</f>
        <v>5.9405263157894746E-2</v>
      </c>
      <c r="G3100" t="str">
        <f>IFERROR(VLOOKUP(B3100,'Pre-Summary'!$AE$6:$AJ$85,3,FALSE),"")</f>
        <v/>
      </c>
      <c r="H3100" t="str">
        <f>IFERROR(VLOOKUP(B3100,'Pre-Summary'!$AE$6:$AJ$85,4,FALSE),"")</f>
        <v/>
      </c>
      <c r="I3100" t="str">
        <f>IFERROR(VLOOKUP(B3100,'Pre-Summary'!$AE$6:$AJ$85,5,FALSE),"")</f>
        <v/>
      </c>
      <c r="J3100" s="45" t="str">
        <f>IFERROR(VLOOKUP(B3100,'Pre-Summary'!$AE$6:$AJ$85,6, FALSE),"")</f>
        <v/>
      </c>
      <c r="K3100" s="45" t="str">
        <f>IFERROR(VLOOKUP(B3100,'Pre-Summary'!$DE$6:$DG$61,3,FALSE),"")</f>
        <v/>
      </c>
      <c r="L3100" s="45" t="str">
        <f>IFERROR(VLOOKUP(B3100,'Pre-Summary'!$CU$6:$CW$36,3,FALSE),"")</f>
        <v/>
      </c>
      <c r="M3100" s="45" t="str">
        <f>IFERROR(VLOOKUP(B3100,'Pre-Summary'!$BW$6:$BY$58,2,FALSE),"")</f>
        <v/>
      </c>
      <c r="N3100" s="45" t="str">
        <f>IFERROR(VLOOKUP(B3100,'Pre-Summary'!$CD$6:$CF$64,2,FALSE),"")</f>
        <v/>
      </c>
      <c r="O3100" s="99">
        <f>IFERROR(VLOOKUP(B3100,'Pre-Summary'!$BO$6:$BQ$48,3, FALSE),O3099)</f>
        <v>3.3239999999999998</v>
      </c>
      <c r="P3100" s="99">
        <f>IFERROR(VLOOKUP(B3100,'Pre-Summary'!$BS$6:$BU$35,3,FALSE),P3099)</f>
        <v>0.84099999999999997</v>
      </c>
      <c r="Q3100" s="54">
        <f t="shared" si="144"/>
        <v>3.9524375743162903</v>
      </c>
      <c r="R3100" s="53">
        <f>IFERROR(VLOOKUP(B3100,'Pre-Summary'!$BG$6:$BM$44,7,FALSE),R3101)</f>
        <v>0</v>
      </c>
      <c r="S3100" s="53" t="e">
        <f>VLOOKUP(B3100,'Pre-Summary'!$BG$6:$BM$44,6,FALSE)</f>
        <v>#N/A</v>
      </c>
      <c r="T3100" s="45" t="str">
        <f>IFERROR(VLOOKUP(B3100,'Pre-Summary'!$Y$6:$AC$83, 3,FALSE),"")</f>
        <v/>
      </c>
      <c r="U3100" s="45" t="str">
        <f>IFERROR(VLOOKUP(B3100,'Pre-Summary'!$Y$6:$AC$83, 4,FALSE),"")</f>
        <v/>
      </c>
      <c r="V3100" t="str">
        <f>IFERROR(VLOOKUP(B3100,'Pre-Summary'!$Y$6:$AC$83, 5,FALSE),"")</f>
        <v/>
      </c>
      <c r="W3100" s="45" t="str">
        <f>IFERROR(VLOOKUP(B3100,'Pre-Summary'!$Y$6:$AD$83,6,FALSE),"")</f>
        <v/>
      </c>
      <c r="X3100" t="str">
        <f>IFERROR(VLOOKUP('Pre-Summary'!$DB$6:$DD$63,3,FALSE),"")</f>
        <v/>
      </c>
      <c r="Y3100" t="str">
        <f>IFERROR(VLOOKUP(B3100,'Pre-Summary'!$CR$6:$CT$36,3,FALSE),"")</f>
        <v/>
      </c>
      <c r="Z3100" s="45" t="str">
        <f>IFERROR(VLOOKUP(B3100,'Pre-Summary'!$BZ$6:$CB$63,2,FALSE),"")</f>
        <v/>
      </c>
      <c r="AA3100" s="45" t="str">
        <f>IFERROR(VLOOKUP(B3100,'Pre-Summary'!$CG$6:$CI$70,2,FALSE),"")</f>
        <v/>
      </c>
      <c r="AB3100" s="99">
        <f>IFERROR(VLOOKUP(B3100,'Pre-Summary'!$A$6:$P$178,9,FALSE),AB3101)</f>
        <v>1.2254632720101373</v>
      </c>
      <c r="AC3100" s="10">
        <f>IFERROR(VLOOKUP(Summary!B3100,'Pre-Summary'!$A$6:$P$184,5, FALSE)/100,AC3101)</f>
        <v>0.83185799999999999</v>
      </c>
      <c r="AD3100" s="10">
        <f>IFERROR(VLOOKUP(Summary!B3100,'Pre-Summary'!$A$6:$P$184,3, FALSE)/100,AD3101)</f>
        <v>0.13380733333333333</v>
      </c>
      <c r="AE3100" s="10">
        <f>IFERROR(VLOOKUP(Summary!B3100,'Pre-Summary'!$A$6:$P$184,7, FALSE)/100,AE3101)</f>
        <v>3.4334666666666666E-2</v>
      </c>
      <c r="AF3100" s="99">
        <f t="shared" si="145"/>
        <v>0.16397597252561777</v>
      </c>
      <c r="AG3100" s="99">
        <f t="shared" si="146"/>
        <v>4.2075872956710725E-2</v>
      </c>
      <c r="AH3100" s="10" t="str">
        <f>IFERROR(VLOOKUP(B3100,'Pre-Summary'!$AZ$6:$BE$65,3,FALSE),"")</f>
        <v/>
      </c>
      <c r="AI3100" s="10" t="str">
        <f>IFERROR(VLOOKUP(B3100,'Pre-Summary'!$AZ$6:$BE$65,5,FALSE),"")</f>
        <v/>
      </c>
      <c r="AJ3100" s="10" t="str">
        <f>IFERROR(VLOOKUP(B3100,'Pre-Summary'!$AZ$6:$BE$65,4,FALSE),"")</f>
        <v/>
      </c>
      <c r="AK3100" s="10" t="str">
        <f>IFERROR(VLOOKUP(B3100,'Pre-Summary'!$AZ$6:$BE$65,6,FALSE),"")</f>
        <v/>
      </c>
      <c r="AL3100" s="10" t="str">
        <f>IFERROR(VLOOKUP(B3100,'Pre-Summary'!$BG$6:$BL$44,3,FALSE),"")</f>
        <v/>
      </c>
      <c r="AM3100" s="10" t="str">
        <f>IFERROR(VLOOKUP(B3100,'Pre-Summary'!$BG$6:$BL$44,4,FALSE),"")</f>
        <v/>
      </c>
    </row>
    <row r="3101" spans="2:39" ht="15" customHeight="1" x14ac:dyDescent="0.3">
      <c r="B3101">
        <v>309.8</v>
      </c>
      <c r="C3101" t="str">
        <f>IFERROR(VLOOKUP(B3101,'Pre-Summary'!$DI$6:$DM$23,4,FALSE),"")</f>
        <v/>
      </c>
      <c r="D3101" s="10" t="str">
        <f>IFERROR(VLOOKUP(B3101,'Pre-Summary'!$AT$6:$AX$14,5,FALSE),D3100)</f>
        <v>Wolfe v3: went back to modified wolfe + EDTA and switched CuSO4 to CUCl2</v>
      </c>
      <c r="E3101" s="10" t="str">
        <f>IFERROR(VLOOKUP(B3101,'Pre-Summary'!$AT$6:$AX$15,4,FALSE),"")</f>
        <v/>
      </c>
      <c r="F3101">
        <f>IFERROR(VLOOKUP(B3101,'Pre-Summary'!$AL$6:$AQ$13,6,FALSE),F3100)</f>
        <v>5.9405263157894746E-2</v>
      </c>
      <c r="G3101" t="str">
        <f>IFERROR(VLOOKUP(B3101,'Pre-Summary'!$AE$6:$AJ$85,3,FALSE),"")</f>
        <v/>
      </c>
      <c r="H3101" t="str">
        <f>IFERROR(VLOOKUP(B3101,'Pre-Summary'!$AE$6:$AJ$85,4,FALSE),"")</f>
        <v/>
      </c>
      <c r="I3101" t="str">
        <f>IFERROR(VLOOKUP(B3101,'Pre-Summary'!$AE$6:$AJ$85,5,FALSE),"")</f>
        <v/>
      </c>
      <c r="J3101" s="45" t="str">
        <f>IFERROR(VLOOKUP(B3101,'Pre-Summary'!$AE$6:$AJ$85,6, FALSE),"")</f>
        <v/>
      </c>
      <c r="K3101" s="45" t="str">
        <f>IFERROR(VLOOKUP(B3101,'Pre-Summary'!$DE$6:$DG$61,3,FALSE),"")</f>
        <v/>
      </c>
      <c r="L3101" s="45" t="str">
        <f>IFERROR(VLOOKUP(B3101,'Pre-Summary'!$CU$6:$CW$36,3,FALSE),"")</f>
        <v/>
      </c>
      <c r="M3101" s="45" t="str">
        <f>IFERROR(VLOOKUP(B3101,'Pre-Summary'!$BW$6:$BY$58,2,FALSE),"")</f>
        <v/>
      </c>
      <c r="N3101" s="45" t="str">
        <f>IFERROR(VLOOKUP(B3101,'Pre-Summary'!$CD$6:$CF$64,2,FALSE),"")</f>
        <v/>
      </c>
      <c r="O3101" s="99">
        <f>IFERROR(VLOOKUP(B3101,'Pre-Summary'!$BO$6:$BQ$48,3, FALSE),O3100)</f>
        <v>3.3239999999999998</v>
      </c>
      <c r="P3101" s="99">
        <f>IFERROR(VLOOKUP(B3101,'Pre-Summary'!$BS$6:$BU$35,3,FALSE),P3100)</f>
        <v>0.84099999999999997</v>
      </c>
      <c r="Q3101" s="54">
        <f t="shared" si="144"/>
        <v>3.9524375743162903</v>
      </c>
      <c r="R3101" s="53">
        <f>IFERROR(VLOOKUP(B3101,'Pre-Summary'!$BG$6:$BM$44,7,FALSE),R3102)</f>
        <v>0</v>
      </c>
      <c r="S3101" s="53" t="e">
        <f>VLOOKUP(B3101,'Pre-Summary'!$BG$6:$BM$44,6,FALSE)</f>
        <v>#N/A</v>
      </c>
      <c r="T3101" s="45" t="str">
        <f>IFERROR(VLOOKUP(B3101,'Pre-Summary'!$Y$6:$AC$83, 3,FALSE),"")</f>
        <v/>
      </c>
      <c r="U3101" s="45" t="str">
        <f>IFERROR(VLOOKUP(B3101,'Pre-Summary'!$Y$6:$AC$83, 4,FALSE),"")</f>
        <v/>
      </c>
      <c r="V3101" t="str">
        <f>IFERROR(VLOOKUP(B3101,'Pre-Summary'!$Y$6:$AC$83, 5,FALSE),"")</f>
        <v/>
      </c>
      <c r="W3101" s="45" t="str">
        <f>IFERROR(VLOOKUP(B3101,'Pre-Summary'!$Y$6:$AD$83,6,FALSE),"")</f>
        <v/>
      </c>
      <c r="X3101" t="str">
        <f>IFERROR(VLOOKUP('Pre-Summary'!$DB$6:$DD$63,3,FALSE),"")</f>
        <v/>
      </c>
      <c r="Y3101" t="str">
        <f>IFERROR(VLOOKUP(B3101,'Pre-Summary'!$CR$6:$CT$36,3,FALSE),"")</f>
        <v/>
      </c>
      <c r="Z3101" s="45" t="str">
        <f>IFERROR(VLOOKUP(B3101,'Pre-Summary'!$BZ$6:$CB$63,2,FALSE),"")</f>
        <v/>
      </c>
      <c r="AA3101" s="45" t="str">
        <f>IFERROR(VLOOKUP(B3101,'Pre-Summary'!$CG$6:$CI$70,2,FALSE),"")</f>
        <v/>
      </c>
      <c r="AB3101" s="99">
        <f>IFERROR(VLOOKUP(B3101,'Pre-Summary'!$A$6:$P$178,9,FALSE),AB3102)</f>
        <v>1.2254632720101373</v>
      </c>
      <c r="AC3101" s="10">
        <f>IFERROR(VLOOKUP(Summary!B3101,'Pre-Summary'!$A$6:$P$184,5, FALSE)/100,AC3102)</f>
        <v>0.83185799999999999</v>
      </c>
      <c r="AD3101" s="10">
        <f>IFERROR(VLOOKUP(Summary!B3101,'Pre-Summary'!$A$6:$P$184,3, FALSE)/100,AD3102)</f>
        <v>0.13380733333333333</v>
      </c>
      <c r="AE3101" s="10">
        <f>IFERROR(VLOOKUP(Summary!B3101,'Pre-Summary'!$A$6:$P$184,7, FALSE)/100,AE3102)</f>
        <v>3.4334666666666666E-2</v>
      </c>
      <c r="AF3101" s="99">
        <f t="shared" si="145"/>
        <v>0.16397597252561777</v>
      </c>
      <c r="AG3101" s="99">
        <f t="shared" si="146"/>
        <v>4.2075872956710725E-2</v>
      </c>
      <c r="AH3101" s="10" t="str">
        <f>IFERROR(VLOOKUP(B3101,'Pre-Summary'!$AZ$6:$BE$65,3,FALSE),"")</f>
        <v/>
      </c>
      <c r="AI3101" s="10" t="str">
        <f>IFERROR(VLOOKUP(B3101,'Pre-Summary'!$AZ$6:$BE$65,5,FALSE),"")</f>
        <v/>
      </c>
      <c r="AJ3101" s="10" t="str">
        <f>IFERROR(VLOOKUP(B3101,'Pre-Summary'!$AZ$6:$BE$65,4,FALSE),"")</f>
        <v/>
      </c>
      <c r="AK3101" s="10" t="str">
        <f>IFERROR(VLOOKUP(B3101,'Pre-Summary'!$AZ$6:$BE$65,6,FALSE),"")</f>
        <v/>
      </c>
      <c r="AL3101" s="10" t="str">
        <f>IFERROR(VLOOKUP(B3101,'Pre-Summary'!$BG$6:$BL$44,3,FALSE),"")</f>
        <v/>
      </c>
      <c r="AM3101" s="10" t="str">
        <f>IFERROR(VLOOKUP(B3101,'Pre-Summary'!$BG$6:$BL$44,4,FALSE),"")</f>
        <v/>
      </c>
    </row>
    <row r="3102" spans="2:39" ht="15" customHeight="1" x14ac:dyDescent="0.3">
      <c r="B3102">
        <v>309.89999999999998</v>
      </c>
      <c r="C3102" t="str">
        <f>IFERROR(VLOOKUP(B3102,'Pre-Summary'!$DI$6:$DM$23,4,FALSE),"")</f>
        <v/>
      </c>
      <c r="D3102" s="10" t="str">
        <f>IFERROR(VLOOKUP(B3102,'Pre-Summary'!$AT$6:$AX$14,5,FALSE),D3101)</f>
        <v>Wolfe v3: went back to modified wolfe + EDTA and switched CuSO4 to CUCl2</v>
      </c>
      <c r="E3102" s="10" t="str">
        <f>IFERROR(VLOOKUP(B3102,'Pre-Summary'!$AT$6:$AX$15,4,FALSE),"")</f>
        <v/>
      </c>
      <c r="F3102">
        <f>IFERROR(VLOOKUP(B3102,'Pre-Summary'!$AL$6:$AQ$13,6,FALSE),F3101)</f>
        <v>5.9405263157894746E-2</v>
      </c>
      <c r="G3102" t="str">
        <f>IFERROR(VLOOKUP(B3102,'Pre-Summary'!$AE$6:$AJ$85,3,FALSE),"")</f>
        <v/>
      </c>
      <c r="H3102" t="str">
        <f>IFERROR(VLOOKUP(B3102,'Pre-Summary'!$AE$6:$AJ$85,4,FALSE),"")</f>
        <v/>
      </c>
      <c r="I3102" t="str">
        <f>IFERROR(VLOOKUP(B3102,'Pre-Summary'!$AE$6:$AJ$85,5,FALSE),"")</f>
        <v/>
      </c>
      <c r="J3102" s="45" t="str">
        <f>IFERROR(VLOOKUP(B3102,'Pre-Summary'!$AE$6:$AJ$85,6, FALSE),"")</f>
        <v/>
      </c>
      <c r="K3102" s="45" t="str">
        <f>IFERROR(VLOOKUP(B3102,'Pre-Summary'!$DE$6:$DG$61,3,FALSE),"")</f>
        <v/>
      </c>
      <c r="L3102" s="45" t="str">
        <f>IFERROR(VLOOKUP(B3102,'Pre-Summary'!$CU$6:$CW$36,3,FALSE),"")</f>
        <v/>
      </c>
      <c r="M3102" s="45" t="str">
        <f>IFERROR(VLOOKUP(B3102,'Pre-Summary'!$BW$6:$BY$58,2,FALSE),"")</f>
        <v/>
      </c>
      <c r="N3102" s="45" t="str">
        <f>IFERROR(VLOOKUP(B3102,'Pre-Summary'!$CD$6:$CF$64,2,FALSE),"")</f>
        <v/>
      </c>
      <c r="O3102" s="99">
        <f>IFERROR(VLOOKUP(B3102,'Pre-Summary'!$BO$6:$BQ$48,3, FALSE),O3101)</f>
        <v>3.3239999999999998</v>
      </c>
      <c r="P3102" s="99">
        <f>IFERROR(VLOOKUP(B3102,'Pre-Summary'!$BS$6:$BU$35,3,FALSE),P3101)</f>
        <v>0.84099999999999997</v>
      </c>
      <c r="Q3102" s="54">
        <f t="shared" si="144"/>
        <v>3.9524375743162903</v>
      </c>
      <c r="R3102" s="53">
        <f>IFERROR(VLOOKUP(B3102,'Pre-Summary'!$BG$6:$BM$44,7,FALSE),R3103)</f>
        <v>0</v>
      </c>
      <c r="S3102" s="53" t="e">
        <f>VLOOKUP(B3102,'Pre-Summary'!$BG$6:$BM$44,6,FALSE)</f>
        <v>#N/A</v>
      </c>
      <c r="T3102" s="45" t="str">
        <f>IFERROR(VLOOKUP(B3102,'Pre-Summary'!$Y$6:$AC$83, 3,FALSE),"")</f>
        <v/>
      </c>
      <c r="U3102" s="45" t="str">
        <f>IFERROR(VLOOKUP(B3102,'Pre-Summary'!$Y$6:$AC$83, 4,FALSE),"")</f>
        <v/>
      </c>
      <c r="V3102" t="str">
        <f>IFERROR(VLOOKUP(B3102,'Pre-Summary'!$Y$6:$AC$83, 5,FALSE),"")</f>
        <v/>
      </c>
      <c r="W3102" s="45" t="str">
        <f>IFERROR(VLOOKUP(B3102,'Pre-Summary'!$Y$6:$AD$83,6,FALSE),"")</f>
        <v/>
      </c>
      <c r="X3102" t="str">
        <f>IFERROR(VLOOKUP('Pre-Summary'!$DB$6:$DD$63,3,FALSE),"")</f>
        <v/>
      </c>
      <c r="Y3102" t="str">
        <f>IFERROR(VLOOKUP(B3102,'Pre-Summary'!$CR$6:$CT$36,3,FALSE),"")</f>
        <v/>
      </c>
      <c r="Z3102" s="45" t="str">
        <f>IFERROR(VLOOKUP(B3102,'Pre-Summary'!$BZ$6:$CB$63,2,FALSE),"")</f>
        <v/>
      </c>
      <c r="AA3102" s="45" t="str">
        <f>IFERROR(VLOOKUP(B3102,'Pre-Summary'!$CG$6:$CI$70,2,FALSE),"")</f>
        <v/>
      </c>
      <c r="AB3102" s="99">
        <f>IFERROR(VLOOKUP(B3102,'Pre-Summary'!$A$6:$P$178,9,FALSE),AB3103)</f>
        <v>1.2254632720101373</v>
      </c>
      <c r="AC3102" s="10">
        <f>IFERROR(VLOOKUP(Summary!B3102,'Pre-Summary'!$A$6:$P$184,5, FALSE)/100,AC3103)</f>
        <v>0.83185799999999999</v>
      </c>
      <c r="AD3102" s="10">
        <f>IFERROR(VLOOKUP(Summary!B3102,'Pre-Summary'!$A$6:$P$184,3, FALSE)/100,AD3103)</f>
        <v>0.13380733333333333</v>
      </c>
      <c r="AE3102" s="10">
        <f>IFERROR(VLOOKUP(Summary!B3102,'Pre-Summary'!$A$6:$P$184,7, FALSE)/100,AE3103)</f>
        <v>3.4334666666666666E-2</v>
      </c>
      <c r="AF3102" s="99">
        <f t="shared" si="145"/>
        <v>0.16397597252561777</v>
      </c>
      <c r="AG3102" s="99">
        <f t="shared" si="146"/>
        <v>4.2075872956710725E-2</v>
      </c>
      <c r="AH3102" s="10" t="str">
        <f>IFERROR(VLOOKUP(B3102,'Pre-Summary'!$AZ$6:$BE$65,3,FALSE),"")</f>
        <v/>
      </c>
      <c r="AI3102" s="10" t="str">
        <f>IFERROR(VLOOKUP(B3102,'Pre-Summary'!$AZ$6:$BE$65,5,FALSE),"")</f>
        <v/>
      </c>
      <c r="AJ3102" s="10" t="str">
        <f>IFERROR(VLOOKUP(B3102,'Pre-Summary'!$AZ$6:$BE$65,4,FALSE),"")</f>
        <v/>
      </c>
      <c r="AK3102" s="10" t="str">
        <f>IFERROR(VLOOKUP(B3102,'Pre-Summary'!$AZ$6:$BE$65,6,FALSE),"")</f>
        <v/>
      </c>
      <c r="AL3102" s="10" t="str">
        <f>IFERROR(VLOOKUP(B3102,'Pre-Summary'!$BG$6:$BL$44,3,FALSE),"")</f>
        <v/>
      </c>
      <c r="AM3102" s="10" t="str">
        <f>IFERROR(VLOOKUP(B3102,'Pre-Summary'!$BG$6:$BL$44,4,FALSE),"")</f>
        <v/>
      </c>
    </row>
    <row r="3103" spans="2:39" ht="15" customHeight="1" x14ac:dyDescent="0.3">
      <c r="B3103">
        <v>310</v>
      </c>
      <c r="C3103" t="str">
        <f>IFERROR(VLOOKUP(B3103,'Pre-Summary'!$DI$6:$DM$23,4,FALSE),"")</f>
        <v/>
      </c>
      <c r="D3103" s="10" t="str">
        <f>IFERROR(VLOOKUP(B3103,'Pre-Summary'!$AT$6:$AX$14,5,FALSE),D3102)</f>
        <v>Wolfe v3: went back to modified wolfe + EDTA and switched CuSO4 to CUCl2</v>
      </c>
      <c r="E3103" s="10" t="str">
        <f>IFERROR(VLOOKUP(B3103,'Pre-Summary'!$AT$6:$AX$15,4,FALSE),"")</f>
        <v/>
      </c>
      <c r="F3103">
        <f>IFERROR(VLOOKUP(B3103,'Pre-Summary'!$AL$6:$AQ$13,6,FALSE),F3102)</f>
        <v>5.9405263157894746E-2</v>
      </c>
      <c r="G3103" t="str">
        <f>IFERROR(VLOOKUP(B3103,'Pre-Summary'!$AE$6:$AJ$85,3,FALSE),"")</f>
        <v/>
      </c>
      <c r="H3103" t="str">
        <f>IFERROR(VLOOKUP(B3103,'Pre-Summary'!$AE$6:$AJ$85,4,FALSE),"")</f>
        <v/>
      </c>
      <c r="I3103" t="str">
        <f>IFERROR(VLOOKUP(B3103,'Pre-Summary'!$AE$6:$AJ$85,5,FALSE),"")</f>
        <v/>
      </c>
      <c r="J3103" s="45" t="str">
        <f>IFERROR(VLOOKUP(B3103,'Pre-Summary'!$AE$6:$AJ$85,6, FALSE),"")</f>
        <v/>
      </c>
      <c r="K3103" s="45" t="str">
        <f>IFERROR(VLOOKUP(B3103,'Pre-Summary'!$DE$6:$DG$61,3,FALSE),"")</f>
        <v/>
      </c>
      <c r="L3103" s="45" t="str">
        <f>IFERROR(VLOOKUP(B3103,'Pre-Summary'!$CU$6:$CW$36,3,FALSE),"")</f>
        <v/>
      </c>
      <c r="M3103" s="45" t="str">
        <f>IFERROR(VLOOKUP(B3103,'Pre-Summary'!$BW$6:$BY$58,2,FALSE),"")</f>
        <v/>
      </c>
      <c r="N3103" s="45" t="str">
        <f>IFERROR(VLOOKUP(B3103,'Pre-Summary'!$CD$6:$CF$64,2,FALSE),"")</f>
        <v/>
      </c>
      <c r="O3103" s="99">
        <f>IFERROR(VLOOKUP(B3103,'Pre-Summary'!$BO$6:$BQ$48,3, FALSE),O3102)</f>
        <v>3.3239999999999998</v>
      </c>
      <c r="P3103" s="99">
        <f>IFERROR(VLOOKUP(B3103,'Pre-Summary'!$BS$6:$BU$35,3,FALSE),P3102)</f>
        <v>0.84099999999999997</v>
      </c>
      <c r="Q3103" s="54">
        <f t="shared" si="144"/>
        <v>3.9524375743162903</v>
      </c>
      <c r="R3103" s="53">
        <f>IFERROR(VLOOKUP(B3103,'Pre-Summary'!$BG$6:$BM$44,7,FALSE),R3104)</f>
        <v>0</v>
      </c>
      <c r="S3103" s="53" t="e">
        <f>VLOOKUP(B3103,'Pre-Summary'!$BG$6:$BM$44,6,FALSE)</f>
        <v>#N/A</v>
      </c>
      <c r="T3103" s="45" t="str">
        <f>IFERROR(VLOOKUP(B3103,'Pre-Summary'!$Y$6:$AC$83, 3,FALSE),"")</f>
        <v/>
      </c>
      <c r="U3103" s="45" t="str">
        <f>IFERROR(VLOOKUP(B3103,'Pre-Summary'!$Y$6:$AC$83, 4,FALSE),"")</f>
        <v/>
      </c>
      <c r="V3103" t="str">
        <f>IFERROR(VLOOKUP(B3103,'Pre-Summary'!$Y$6:$AC$83, 5,FALSE),"")</f>
        <v/>
      </c>
      <c r="W3103" s="45" t="str">
        <f>IFERROR(VLOOKUP(B3103,'Pre-Summary'!$Y$6:$AD$83,6,FALSE),"")</f>
        <v/>
      </c>
      <c r="X3103" t="str">
        <f>IFERROR(VLOOKUP('Pre-Summary'!$DB$6:$DD$63,3,FALSE),"")</f>
        <v/>
      </c>
      <c r="Y3103" t="str">
        <f>IFERROR(VLOOKUP(B3103,'Pre-Summary'!$CR$6:$CT$36,3,FALSE),"")</f>
        <v/>
      </c>
      <c r="Z3103" s="45" t="str">
        <f>IFERROR(VLOOKUP(B3103,'Pre-Summary'!$BZ$6:$CB$63,2,FALSE),"")</f>
        <v/>
      </c>
      <c r="AA3103" s="45" t="str">
        <f>IFERROR(VLOOKUP(B3103,'Pre-Summary'!$CG$6:$CI$70,2,FALSE),"")</f>
        <v/>
      </c>
      <c r="AB3103" s="99">
        <f>IFERROR(VLOOKUP(B3103,'Pre-Summary'!$A$6:$P$178,9,FALSE),AB3104)</f>
        <v>1.2254632720101373</v>
      </c>
      <c r="AC3103" s="10">
        <f>IFERROR(VLOOKUP(Summary!B3103,'Pre-Summary'!$A$6:$P$184,5, FALSE)/100,AC3104)</f>
        <v>0.83185799999999999</v>
      </c>
      <c r="AD3103" s="10">
        <f>IFERROR(VLOOKUP(Summary!B3103,'Pre-Summary'!$A$6:$P$184,3, FALSE)/100,AD3104)</f>
        <v>0.13380733333333333</v>
      </c>
      <c r="AE3103" s="10">
        <f>IFERROR(VLOOKUP(Summary!B3103,'Pre-Summary'!$A$6:$P$184,7, FALSE)/100,AE3104)</f>
        <v>3.4334666666666666E-2</v>
      </c>
      <c r="AF3103" s="99">
        <f t="shared" si="145"/>
        <v>0.16397597252561777</v>
      </c>
      <c r="AG3103" s="99">
        <f t="shared" si="146"/>
        <v>4.2075872956710725E-2</v>
      </c>
      <c r="AH3103" s="10" t="str">
        <f>IFERROR(VLOOKUP(B3103,'Pre-Summary'!$AZ$6:$BE$65,3,FALSE),"")</f>
        <v/>
      </c>
      <c r="AI3103" s="10" t="str">
        <f>IFERROR(VLOOKUP(B3103,'Pre-Summary'!$AZ$6:$BE$65,5,FALSE),"")</f>
        <v/>
      </c>
      <c r="AJ3103" s="10" t="str">
        <f>IFERROR(VLOOKUP(B3103,'Pre-Summary'!$AZ$6:$BE$65,4,FALSE),"")</f>
        <v/>
      </c>
      <c r="AK3103" s="10" t="str">
        <f>IFERROR(VLOOKUP(B3103,'Pre-Summary'!$AZ$6:$BE$65,6,FALSE),"")</f>
        <v/>
      </c>
      <c r="AL3103" s="10" t="str">
        <f>IFERROR(VLOOKUP(B3103,'Pre-Summary'!$BG$6:$BL$44,3,FALSE),"")</f>
        <v/>
      </c>
      <c r="AM3103" s="10" t="str">
        <f>IFERROR(VLOOKUP(B3103,'Pre-Summary'!$BG$6:$BL$44,4,FALSE),"")</f>
        <v/>
      </c>
    </row>
    <row r="3104" spans="2:39" ht="15" customHeight="1" x14ac:dyDescent="0.3">
      <c r="B3104">
        <v>310.10000000000002</v>
      </c>
      <c r="C3104" t="str">
        <f>IFERROR(VLOOKUP(B3104,'Pre-Summary'!$DI$6:$DM$23,4,FALSE),"")</f>
        <v/>
      </c>
      <c r="D3104" s="10" t="str">
        <f>IFERROR(VLOOKUP(B3104,'Pre-Summary'!$AT$6:$AX$14,5,FALSE),D3103)</f>
        <v>Wolfe v3: went back to modified wolfe + EDTA and switched CuSO4 to CUCl2</v>
      </c>
      <c r="E3104" s="10" t="str">
        <f>IFERROR(VLOOKUP(B3104,'Pre-Summary'!$AT$6:$AX$15,4,FALSE),"")</f>
        <v/>
      </c>
      <c r="F3104">
        <f>IFERROR(VLOOKUP(B3104,'Pre-Summary'!$AL$6:$AQ$13,6,FALSE),F3103)</f>
        <v>5.9405263157894746E-2</v>
      </c>
      <c r="G3104" t="str">
        <f>IFERROR(VLOOKUP(B3104,'Pre-Summary'!$AE$6:$AJ$85,3,FALSE),"")</f>
        <v/>
      </c>
      <c r="H3104" t="str">
        <f>IFERROR(VLOOKUP(B3104,'Pre-Summary'!$AE$6:$AJ$85,4,FALSE),"")</f>
        <v/>
      </c>
      <c r="I3104" t="str">
        <f>IFERROR(VLOOKUP(B3104,'Pre-Summary'!$AE$6:$AJ$85,5,FALSE),"")</f>
        <v/>
      </c>
      <c r="J3104" s="45" t="str">
        <f>IFERROR(VLOOKUP(B3104,'Pre-Summary'!$AE$6:$AJ$85,6, FALSE),"")</f>
        <v/>
      </c>
      <c r="K3104" s="45" t="str">
        <f>IFERROR(VLOOKUP(B3104,'Pre-Summary'!$DE$6:$DG$61,3,FALSE),"")</f>
        <v/>
      </c>
      <c r="L3104" s="45" t="str">
        <f>IFERROR(VLOOKUP(B3104,'Pre-Summary'!$CU$6:$CW$36,3,FALSE),"")</f>
        <v/>
      </c>
      <c r="M3104" s="45" t="str">
        <f>IFERROR(VLOOKUP(B3104,'Pre-Summary'!$BW$6:$BY$58,2,FALSE),"")</f>
        <v/>
      </c>
      <c r="N3104" s="45" t="str">
        <f>IFERROR(VLOOKUP(B3104,'Pre-Summary'!$CD$6:$CF$64,2,FALSE),"")</f>
        <v/>
      </c>
      <c r="O3104" s="99">
        <f>IFERROR(VLOOKUP(B3104,'Pre-Summary'!$BO$6:$BQ$48,3, FALSE),O3103)</f>
        <v>3.3239999999999998</v>
      </c>
      <c r="P3104" s="99">
        <f>IFERROR(VLOOKUP(B3104,'Pre-Summary'!$BS$6:$BU$35,3,FALSE),P3103)</f>
        <v>0.84099999999999997</v>
      </c>
      <c r="Q3104" s="54">
        <f t="shared" si="144"/>
        <v>3.9524375743162903</v>
      </c>
      <c r="R3104" s="53">
        <f>IFERROR(VLOOKUP(B3104,'Pre-Summary'!$BG$6:$BM$44,7,FALSE),R3105)</f>
        <v>0</v>
      </c>
      <c r="S3104" s="53" t="e">
        <f>VLOOKUP(B3104,'Pre-Summary'!$BG$6:$BM$44,6,FALSE)</f>
        <v>#N/A</v>
      </c>
      <c r="T3104" s="45" t="str">
        <f>IFERROR(VLOOKUP(B3104,'Pre-Summary'!$Y$6:$AC$83, 3,FALSE),"")</f>
        <v/>
      </c>
      <c r="U3104" s="45" t="str">
        <f>IFERROR(VLOOKUP(B3104,'Pre-Summary'!$Y$6:$AC$83, 4,FALSE),"")</f>
        <v/>
      </c>
      <c r="V3104" t="str">
        <f>IFERROR(VLOOKUP(B3104,'Pre-Summary'!$Y$6:$AC$83, 5,FALSE),"")</f>
        <v/>
      </c>
      <c r="W3104" s="45" t="str">
        <f>IFERROR(VLOOKUP(B3104,'Pre-Summary'!$Y$6:$AD$83,6,FALSE),"")</f>
        <v/>
      </c>
      <c r="X3104" t="str">
        <f>IFERROR(VLOOKUP('Pre-Summary'!$DB$6:$DD$63,3,FALSE),"")</f>
        <v/>
      </c>
      <c r="Y3104" t="str">
        <f>IFERROR(VLOOKUP(B3104,'Pre-Summary'!$CR$6:$CT$36,3,FALSE),"")</f>
        <v/>
      </c>
      <c r="Z3104" s="45" t="str">
        <f>IFERROR(VLOOKUP(B3104,'Pre-Summary'!$BZ$6:$CB$63,2,FALSE),"")</f>
        <v/>
      </c>
      <c r="AA3104" s="45" t="str">
        <f>IFERROR(VLOOKUP(B3104,'Pre-Summary'!$CG$6:$CI$70,2,FALSE),"")</f>
        <v/>
      </c>
      <c r="AB3104" s="99">
        <f>IFERROR(VLOOKUP(B3104,'Pre-Summary'!$A$6:$P$178,9,FALSE),AB3105)</f>
        <v>1.2254632720101373</v>
      </c>
      <c r="AC3104" s="10">
        <f>IFERROR(VLOOKUP(Summary!B3104,'Pre-Summary'!$A$6:$P$184,5, FALSE)/100,AC3105)</f>
        <v>0.83185799999999999</v>
      </c>
      <c r="AD3104" s="10">
        <f>IFERROR(VLOOKUP(Summary!B3104,'Pre-Summary'!$A$6:$P$184,3, FALSE)/100,AD3105)</f>
        <v>0.13380733333333333</v>
      </c>
      <c r="AE3104" s="10">
        <f>IFERROR(VLOOKUP(Summary!B3104,'Pre-Summary'!$A$6:$P$184,7, FALSE)/100,AE3105)</f>
        <v>3.4334666666666666E-2</v>
      </c>
      <c r="AF3104" s="99">
        <f t="shared" si="145"/>
        <v>0.16397597252561777</v>
      </c>
      <c r="AG3104" s="99">
        <f t="shared" si="146"/>
        <v>4.2075872956710725E-2</v>
      </c>
      <c r="AH3104" s="10" t="str">
        <f>IFERROR(VLOOKUP(B3104,'Pre-Summary'!$AZ$6:$BE$65,3,FALSE),"")</f>
        <v/>
      </c>
      <c r="AI3104" s="10" t="str">
        <f>IFERROR(VLOOKUP(B3104,'Pre-Summary'!$AZ$6:$BE$65,5,FALSE),"")</f>
        <v/>
      </c>
      <c r="AJ3104" s="10" t="str">
        <f>IFERROR(VLOOKUP(B3104,'Pre-Summary'!$AZ$6:$BE$65,4,FALSE),"")</f>
        <v/>
      </c>
      <c r="AK3104" s="10" t="str">
        <f>IFERROR(VLOOKUP(B3104,'Pre-Summary'!$AZ$6:$BE$65,6,FALSE),"")</f>
        <v/>
      </c>
      <c r="AL3104" s="10" t="str">
        <f>IFERROR(VLOOKUP(B3104,'Pre-Summary'!$BG$6:$BL$44,3,FALSE),"")</f>
        <v/>
      </c>
      <c r="AM3104" s="10" t="str">
        <f>IFERROR(VLOOKUP(B3104,'Pre-Summary'!$BG$6:$BL$44,4,FALSE),"")</f>
        <v/>
      </c>
    </row>
    <row r="3105" spans="2:39" ht="15" customHeight="1" x14ac:dyDescent="0.3">
      <c r="B3105">
        <v>310.2</v>
      </c>
      <c r="C3105" t="str">
        <f>IFERROR(VLOOKUP(B3105,'Pre-Summary'!$DI$6:$DM$23,4,FALSE),"")</f>
        <v/>
      </c>
      <c r="D3105" s="10" t="str">
        <f>IFERROR(VLOOKUP(B3105,'Pre-Summary'!$AT$6:$AX$14,5,FALSE),D3104)</f>
        <v>Wolfe v3: went back to modified wolfe + EDTA and switched CuSO4 to CUCl2</v>
      </c>
      <c r="E3105" s="10" t="str">
        <f>IFERROR(VLOOKUP(B3105,'Pre-Summary'!$AT$6:$AX$15,4,FALSE),"")</f>
        <v/>
      </c>
      <c r="F3105">
        <f>IFERROR(VLOOKUP(B3105,'Pre-Summary'!$AL$6:$AQ$13,6,FALSE),F3104)</f>
        <v>5.9405263157894746E-2</v>
      </c>
      <c r="G3105" t="str">
        <f>IFERROR(VLOOKUP(B3105,'Pre-Summary'!$AE$6:$AJ$85,3,FALSE),"")</f>
        <v/>
      </c>
      <c r="H3105" t="str">
        <f>IFERROR(VLOOKUP(B3105,'Pre-Summary'!$AE$6:$AJ$85,4,FALSE),"")</f>
        <v/>
      </c>
      <c r="I3105" t="str">
        <f>IFERROR(VLOOKUP(B3105,'Pre-Summary'!$AE$6:$AJ$85,5,FALSE),"")</f>
        <v/>
      </c>
      <c r="J3105" s="45" t="str">
        <f>IFERROR(VLOOKUP(B3105,'Pre-Summary'!$AE$6:$AJ$85,6, FALSE),"")</f>
        <v/>
      </c>
      <c r="K3105" s="45" t="str">
        <f>IFERROR(VLOOKUP(B3105,'Pre-Summary'!$DE$6:$DG$61,3,FALSE),"")</f>
        <v/>
      </c>
      <c r="L3105" s="45" t="str">
        <f>IFERROR(VLOOKUP(B3105,'Pre-Summary'!$CU$6:$CW$36,3,FALSE),"")</f>
        <v/>
      </c>
      <c r="M3105" s="45" t="str">
        <f>IFERROR(VLOOKUP(B3105,'Pre-Summary'!$BW$6:$BY$58,2,FALSE),"")</f>
        <v/>
      </c>
      <c r="N3105" s="45" t="str">
        <f>IFERROR(VLOOKUP(B3105,'Pre-Summary'!$CD$6:$CF$64,2,FALSE),"")</f>
        <v/>
      </c>
      <c r="O3105" s="99">
        <f>IFERROR(VLOOKUP(B3105,'Pre-Summary'!$BO$6:$BQ$48,3, FALSE),O3104)</f>
        <v>3.3239999999999998</v>
      </c>
      <c r="P3105" s="99">
        <f>IFERROR(VLOOKUP(B3105,'Pre-Summary'!$BS$6:$BU$35,3,FALSE),P3104)</f>
        <v>0.84099999999999997</v>
      </c>
      <c r="Q3105" s="54">
        <f t="shared" si="144"/>
        <v>3.9524375743162903</v>
      </c>
      <c r="R3105" s="53">
        <f>IFERROR(VLOOKUP(B3105,'Pre-Summary'!$BG$6:$BM$44,7,FALSE),R3106)</f>
        <v>0</v>
      </c>
      <c r="S3105" s="53" t="e">
        <f>VLOOKUP(B3105,'Pre-Summary'!$BG$6:$BM$44,6,FALSE)</f>
        <v>#N/A</v>
      </c>
      <c r="T3105" s="45" t="str">
        <f>IFERROR(VLOOKUP(B3105,'Pre-Summary'!$Y$6:$AC$83, 3,FALSE),"")</f>
        <v/>
      </c>
      <c r="U3105" s="45" t="str">
        <f>IFERROR(VLOOKUP(B3105,'Pre-Summary'!$Y$6:$AC$83, 4,FALSE),"")</f>
        <v/>
      </c>
      <c r="V3105" t="str">
        <f>IFERROR(VLOOKUP(B3105,'Pre-Summary'!$Y$6:$AC$83, 5,FALSE),"")</f>
        <v/>
      </c>
      <c r="W3105" s="45" t="str">
        <f>IFERROR(VLOOKUP(B3105,'Pre-Summary'!$Y$6:$AD$83,6,FALSE),"")</f>
        <v/>
      </c>
      <c r="X3105" t="str">
        <f>IFERROR(VLOOKUP('Pre-Summary'!$DB$6:$DD$63,3,FALSE),"")</f>
        <v/>
      </c>
      <c r="Y3105" t="str">
        <f>IFERROR(VLOOKUP(B3105,'Pre-Summary'!$CR$6:$CT$36,3,FALSE),"")</f>
        <v/>
      </c>
      <c r="Z3105" s="45" t="str">
        <f>IFERROR(VLOOKUP(B3105,'Pre-Summary'!$BZ$6:$CB$63,2,FALSE),"")</f>
        <v/>
      </c>
      <c r="AA3105" s="45" t="str">
        <f>IFERROR(VLOOKUP(B3105,'Pre-Summary'!$CG$6:$CI$70,2,FALSE),"")</f>
        <v/>
      </c>
      <c r="AB3105" s="99">
        <f>IFERROR(VLOOKUP(B3105,'Pre-Summary'!$A$6:$P$178,9,FALSE),AB3106)</f>
        <v>1.2254632720101373</v>
      </c>
      <c r="AC3105" s="10">
        <f>IFERROR(VLOOKUP(Summary!B3105,'Pre-Summary'!$A$6:$P$184,5, FALSE)/100,AC3106)</f>
        <v>0.83185799999999999</v>
      </c>
      <c r="AD3105" s="10">
        <f>IFERROR(VLOOKUP(Summary!B3105,'Pre-Summary'!$A$6:$P$184,3, FALSE)/100,AD3106)</f>
        <v>0.13380733333333333</v>
      </c>
      <c r="AE3105" s="10">
        <f>IFERROR(VLOOKUP(Summary!B3105,'Pre-Summary'!$A$6:$P$184,7, FALSE)/100,AE3106)</f>
        <v>3.4334666666666666E-2</v>
      </c>
      <c r="AF3105" s="99">
        <f t="shared" si="145"/>
        <v>0.16397597252561777</v>
      </c>
      <c r="AG3105" s="99">
        <f t="shared" si="146"/>
        <v>4.2075872956710725E-2</v>
      </c>
      <c r="AH3105" s="10" t="str">
        <f>IFERROR(VLOOKUP(B3105,'Pre-Summary'!$AZ$6:$BE$65,3,FALSE),"")</f>
        <v/>
      </c>
      <c r="AI3105" s="10" t="str">
        <f>IFERROR(VLOOKUP(B3105,'Pre-Summary'!$AZ$6:$BE$65,5,FALSE),"")</f>
        <v/>
      </c>
      <c r="AJ3105" s="10" t="str">
        <f>IFERROR(VLOOKUP(B3105,'Pre-Summary'!$AZ$6:$BE$65,4,FALSE),"")</f>
        <v/>
      </c>
      <c r="AK3105" s="10" t="str">
        <f>IFERROR(VLOOKUP(B3105,'Pre-Summary'!$AZ$6:$BE$65,6,FALSE),"")</f>
        <v/>
      </c>
      <c r="AL3105" s="10" t="str">
        <f>IFERROR(VLOOKUP(B3105,'Pre-Summary'!$BG$6:$BL$44,3,FALSE),"")</f>
        <v/>
      </c>
      <c r="AM3105" s="10" t="str">
        <f>IFERROR(VLOOKUP(B3105,'Pre-Summary'!$BG$6:$BL$44,4,FALSE),"")</f>
        <v/>
      </c>
    </row>
    <row r="3106" spans="2:39" ht="15" customHeight="1" x14ac:dyDescent="0.3">
      <c r="B3106">
        <v>310.3</v>
      </c>
      <c r="C3106" t="str">
        <f>IFERROR(VLOOKUP(B3106,'Pre-Summary'!$DI$6:$DM$23,4,FALSE),"")</f>
        <v/>
      </c>
      <c r="D3106" s="10" t="str">
        <f>IFERROR(VLOOKUP(B3106,'Pre-Summary'!$AT$6:$AX$14,5,FALSE),D3105)</f>
        <v>Wolfe v3: went back to modified wolfe + EDTA and switched CuSO4 to CUCl2</v>
      </c>
      <c r="E3106" s="10" t="str">
        <f>IFERROR(VLOOKUP(B3106,'Pre-Summary'!$AT$6:$AX$15,4,FALSE),"")</f>
        <v/>
      </c>
      <c r="F3106">
        <f>IFERROR(VLOOKUP(B3106,'Pre-Summary'!$AL$6:$AQ$13,6,FALSE),F3105)</f>
        <v>5.9405263157894746E-2</v>
      </c>
      <c r="G3106" t="str">
        <f>IFERROR(VLOOKUP(B3106,'Pre-Summary'!$AE$6:$AJ$85,3,FALSE),"")</f>
        <v/>
      </c>
      <c r="H3106" t="str">
        <f>IFERROR(VLOOKUP(B3106,'Pre-Summary'!$AE$6:$AJ$85,4,FALSE),"")</f>
        <v/>
      </c>
      <c r="I3106" t="str">
        <f>IFERROR(VLOOKUP(B3106,'Pre-Summary'!$AE$6:$AJ$85,5,FALSE),"")</f>
        <v/>
      </c>
      <c r="J3106" s="45" t="str">
        <f>IFERROR(VLOOKUP(B3106,'Pre-Summary'!$AE$6:$AJ$85,6, FALSE),"")</f>
        <v/>
      </c>
      <c r="K3106" s="45" t="str">
        <f>IFERROR(VLOOKUP(B3106,'Pre-Summary'!$DE$6:$DG$61,3,FALSE),"")</f>
        <v/>
      </c>
      <c r="L3106" s="45" t="str">
        <f>IFERROR(VLOOKUP(B3106,'Pre-Summary'!$CU$6:$CW$36,3,FALSE),"")</f>
        <v/>
      </c>
      <c r="M3106" s="45" t="str">
        <f>IFERROR(VLOOKUP(B3106,'Pre-Summary'!$BW$6:$BY$58,2,FALSE),"")</f>
        <v/>
      </c>
      <c r="N3106" s="45" t="str">
        <f>IFERROR(VLOOKUP(B3106,'Pre-Summary'!$CD$6:$CF$64,2,FALSE),"")</f>
        <v/>
      </c>
      <c r="O3106" s="99">
        <f>IFERROR(VLOOKUP(B3106,'Pre-Summary'!$BO$6:$BQ$48,3, FALSE),O3105)</f>
        <v>3.3239999999999998</v>
      </c>
      <c r="P3106" s="99">
        <f>IFERROR(VLOOKUP(B3106,'Pre-Summary'!$BS$6:$BU$35,3,FALSE),P3105)</f>
        <v>0.84099999999999997</v>
      </c>
      <c r="Q3106" s="54">
        <f t="shared" si="144"/>
        <v>3.9524375743162903</v>
      </c>
      <c r="R3106" s="53">
        <f>IFERROR(VLOOKUP(B3106,'Pre-Summary'!$BG$6:$BM$44,7,FALSE),R3107)</f>
        <v>0</v>
      </c>
      <c r="S3106" s="53" t="e">
        <f>VLOOKUP(B3106,'Pre-Summary'!$BG$6:$BM$44,6,FALSE)</f>
        <v>#N/A</v>
      </c>
      <c r="T3106" s="45" t="str">
        <f>IFERROR(VLOOKUP(B3106,'Pre-Summary'!$Y$6:$AC$83, 3,FALSE),"")</f>
        <v/>
      </c>
      <c r="U3106" s="45" t="str">
        <f>IFERROR(VLOOKUP(B3106,'Pre-Summary'!$Y$6:$AC$83, 4,FALSE),"")</f>
        <v/>
      </c>
      <c r="V3106" t="str">
        <f>IFERROR(VLOOKUP(B3106,'Pre-Summary'!$Y$6:$AC$83, 5,FALSE),"")</f>
        <v/>
      </c>
      <c r="W3106" s="45" t="str">
        <f>IFERROR(VLOOKUP(B3106,'Pre-Summary'!$Y$6:$AD$83,6,FALSE),"")</f>
        <v/>
      </c>
      <c r="X3106" t="str">
        <f>IFERROR(VLOOKUP('Pre-Summary'!$DB$6:$DD$63,3,FALSE),"")</f>
        <v/>
      </c>
      <c r="Y3106" t="str">
        <f>IFERROR(VLOOKUP(B3106,'Pre-Summary'!$CR$6:$CT$36,3,FALSE),"")</f>
        <v/>
      </c>
      <c r="Z3106" s="45" t="str">
        <f>IFERROR(VLOOKUP(B3106,'Pre-Summary'!$BZ$6:$CB$63,2,FALSE),"")</f>
        <v/>
      </c>
      <c r="AA3106" s="45" t="str">
        <f>IFERROR(VLOOKUP(B3106,'Pre-Summary'!$CG$6:$CI$70,2,FALSE),"")</f>
        <v/>
      </c>
      <c r="AB3106" s="99">
        <f>IFERROR(VLOOKUP(B3106,'Pre-Summary'!$A$6:$P$178,9,FALSE),AB3107)</f>
        <v>1.2254632720101373</v>
      </c>
      <c r="AC3106" s="10">
        <f>IFERROR(VLOOKUP(Summary!B3106,'Pre-Summary'!$A$6:$P$184,5, FALSE)/100,AC3107)</f>
        <v>0.83185799999999999</v>
      </c>
      <c r="AD3106" s="10">
        <f>IFERROR(VLOOKUP(Summary!B3106,'Pre-Summary'!$A$6:$P$184,3, FALSE)/100,AD3107)</f>
        <v>0.13380733333333333</v>
      </c>
      <c r="AE3106" s="10">
        <f>IFERROR(VLOOKUP(Summary!B3106,'Pre-Summary'!$A$6:$P$184,7, FALSE)/100,AE3107)</f>
        <v>3.4334666666666666E-2</v>
      </c>
      <c r="AF3106" s="99">
        <f t="shared" si="145"/>
        <v>0.16397597252561777</v>
      </c>
      <c r="AG3106" s="99">
        <f t="shared" si="146"/>
        <v>4.2075872956710725E-2</v>
      </c>
      <c r="AH3106" s="10" t="str">
        <f>IFERROR(VLOOKUP(B3106,'Pre-Summary'!$AZ$6:$BE$65,3,FALSE),"")</f>
        <v/>
      </c>
      <c r="AI3106" s="10" t="str">
        <f>IFERROR(VLOOKUP(B3106,'Pre-Summary'!$AZ$6:$BE$65,5,FALSE),"")</f>
        <v/>
      </c>
      <c r="AJ3106" s="10" t="str">
        <f>IFERROR(VLOOKUP(B3106,'Pre-Summary'!$AZ$6:$BE$65,4,FALSE),"")</f>
        <v/>
      </c>
      <c r="AK3106" s="10" t="str">
        <f>IFERROR(VLOOKUP(B3106,'Pre-Summary'!$AZ$6:$BE$65,6,FALSE),"")</f>
        <v/>
      </c>
      <c r="AL3106" s="10" t="str">
        <f>IFERROR(VLOOKUP(B3106,'Pre-Summary'!$BG$6:$BL$44,3,FALSE),"")</f>
        <v/>
      </c>
      <c r="AM3106" s="10" t="str">
        <f>IFERROR(VLOOKUP(B3106,'Pre-Summary'!$BG$6:$BL$44,4,FALSE),"")</f>
        <v/>
      </c>
    </row>
    <row r="3107" spans="2:39" ht="15" customHeight="1" x14ac:dyDescent="0.3">
      <c r="B3107">
        <v>310.39999999999998</v>
      </c>
      <c r="C3107" t="str">
        <f>IFERROR(VLOOKUP(B3107,'Pre-Summary'!$DI$6:$DM$23,4,FALSE),"")</f>
        <v/>
      </c>
      <c r="D3107" s="10" t="str">
        <f>IFERROR(VLOOKUP(B3107,'Pre-Summary'!$AT$6:$AX$14,5,FALSE),D3106)</f>
        <v>Wolfe v3: went back to modified wolfe + EDTA and switched CuSO4 to CUCl2</v>
      </c>
      <c r="E3107" s="10" t="str">
        <f>IFERROR(VLOOKUP(B3107,'Pre-Summary'!$AT$6:$AX$15,4,FALSE),"")</f>
        <v/>
      </c>
      <c r="F3107">
        <f>IFERROR(VLOOKUP(B3107,'Pre-Summary'!$AL$6:$AQ$13,6,FALSE),F3106)</f>
        <v>5.9405263157894746E-2</v>
      </c>
      <c r="G3107" t="str">
        <f>IFERROR(VLOOKUP(B3107,'Pre-Summary'!$AE$6:$AJ$85,3,FALSE),"")</f>
        <v/>
      </c>
      <c r="H3107" t="str">
        <f>IFERROR(VLOOKUP(B3107,'Pre-Summary'!$AE$6:$AJ$85,4,FALSE),"")</f>
        <v/>
      </c>
      <c r="I3107" t="str">
        <f>IFERROR(VLOOKUP(B3107,'Pre-Summary'!$AE$6:$AJ$85,5,FALSE),"")</f>
        <v/>
      </c>
      <c r="J3107" s="45" t="str">
        <f>IFERROR(VLOOKUP(B3107,'Pre-Summary'!$AE$6:$AJ$85,6, FALSE),"")</f>
        <v/>
      </c>
      <c r="K3107" s="45" t="str">
        <f>IFERROR(VLOOKUP(B3107,'Pre-Summary'!$DE$6:$DG$61,3,FALSE),"")</f>
        <v/>
      </c>
      <c r="L3107" s="45" t="str">
        <f>IFERROR(VLOOKUP(B3107,'Pre-Summary'!$CU$6:$CW$36,3,FALSE),"")</f>
        <v/>
      </c>
      <c r="M3107" s="45" t="str">
        <f>IFERROR(VLOOKUP(B3107,'Pre-Summary'!$BW$6:$BY$58,2,FALSE),"")</f>
        <v/>
      </c>
      <c r="N3107" s="45" t="str">
        <f>IFERROR(VLOOKUP(B3107,'Pre-Summary'!$CD$6:$CF$64,2,FALSE),"")</f>
        <v/>
      </c>
      <c r="O3107" s="99">
        <f>IFERROR(VLOOKUP(B3107,'Pre-Summary'!$BO$6:$BQ$48,3, FALSE),O3106)</f>
        <v>3.3239999999999998</v>
      </c>
      <c r="P3107" s="99">
        <f>IFERROR(VLOOKUP(B3107,'Pre-Summary'!$BS$6:$BU$35,3,FALSE),P3106)</f>
        <v>0.84099999999999997</v>
      </c>
      <c r="Q3107" s="54">
        <f t="shared" si="144"/>
        <v>3.9524375743162903</v>
      </c>
      <c r="R3107" s="53">
        <f>IFERROR(VLOOKUP(B3107,'Pre-Summary'!$BG$6:$BM$44,7,FALSE),R3108)</f>
        <v>0</v>
      </c>
      <c r="S3107" s="53" t="e">
        <f>VLOOKUP(B3107,'Pre-Summary'!$BG$6:$BM$44,6,FALSE)</f>
        <v>#N/A</v>
      </c>
      <c r="T3107" s="45" t="str">
        <f>IFERROR(VLOOKUP(B3107,'Pre-Summary'!$Y$6:$AC$83, 3,FALSE),"")</f>
        <v/>
      </c>
      <c r="U3107" s="45" t="str">
        <f>IFERROR(VLOOKUP(B3107,'Pre-Summary'!$Y$6:$AC$83, 4,FALSE),"")</f>
        <v/>
      </c>
      <c r="V3107" t="str">
        <f>IFERROR(VLOOKUP(B3107,'Pre-Summary'!$Y$6:$AC$83, 5,FALSE),"")</f>
        <v/>
      </c>
      <c r="W3107" s="45" t="str">
        <f>IFERROR(VLOOKUP(B3107,'Pre-Summary'!$Y$6:$AD$83,6,FALSE),"")</f>
        <v/>
      </c>
      <c r="X3107" t="str">
        <f>IFERROR(VLOOKUP('Pre-Summary'!$DB$6:$DD$63,3,FALSE),"")</f>
        <v/>
      </c>
      <c r="Y3107" t="str">
        <f>IFERROR(VLOOKUP(B3107,'Pre-Summary'!$CR$6:$CT$36,3,FALSE),"")</f>
        <v/>
      </c>
      <c r="Z3107" s="45" t="str">
        <f>IFERROR(VLOOKUP(B3107,'Pre-Summary'!$BZ$6:$CB$63,2,FALSE),"")</f>
        <v/>
      </c>
      <c r="AA3107" s="45" t="str">
        <f>IFERROR(VLOOKUP(B3107,'Pre-Summary'!$CG$6:$CI$70,2,FALSE),"")</f>
        <v/>
      </c>
      <c r="AB3107" s="99">
        <f>IFERROR(VLOOKUP(B3107,'Pre-Summary'!$A$6:$P$178,9,FALSE),AB3108)</f>
        <v>1.2254632720101373</v>
      </c>
      <c r="AC3107" s="10">
        <f>IFERROR(VLOOKUP(Summary!B3107,'Pre-Summary'!$A$6:$P$184,5, FALSE)/100,AC3108)</f>
        <v>0.83185799999999999</v>
      </c>
      <c r="AD3107" s="10">
        <f>IFERROR(VLOOKUP(Summary!B3107,'Pre-Summary'!$A$6:$P$184,3, FALSE)/100,AD3108)</f>
        <v>0.13380733333333333</v>
      </c>
      <c r="AE3107" s="10">
        <f>IFERROR(VLOOKUP(Summary!B3107,'Pre-Summary'!$A$6:$P$184,7, FALSE)/100,AE3108)</f>
        <v>3.4334666666666666E-2</v>
      </c>
      <c r="AF3107" s="99">
        <f t="shared" si="145"/>
        <v>0.16397597252561777</v>
      </c>
      <c r="AG3107" s="99">
        <f t="shared" si="146"/>
        <v>4.2075872956710725E-2</v>
      </c>
      <c r="AH3107" s="10" t="str">
        <f>IFERROR(VLOOKUP(B3107,'Pre-Summary'!$AZ$6:$BE$65,3,FALSE),"")</f>
        <v/>
      </c>
      <c r="AI3107" s="10" t="str">
        <f>IFERROR(VLOOKUP(B3107,'Pre-Summary'!$AZ$6:$BE$65,5,FALSE),"")</f>
        <v/>
      </c>
      <c r="AJ3107" s="10" t="str">
        <f>IFERROR(VLOOKUP(B3107,'Pre-Summary'!$AZ$6:$BE$65,4,FALSE),"")</f>
        <v/>
      </c>
      <c r="AK3107" s="10" t="str">
        <f>IFERROR(VLOOKUP(B3107,'Pre-Summary'!$AZ$6:$BE$65,6,FALSE),"")</f>
        <v/>
      </c>
      <c r="AL3107" s="10" t="str">
        <f>IFERROR(VLOOKUP(B3107,'Pre-Summary'!$BG$6:$BL$44,3,FALSE),"")</f>
        <v/>
      </c>
      <c r="AM3107" s="10" t="str">
        <f>IFERROR(VLOOKUP(B3107,'Pre-Summary'!$BG$6:$BL$44,4,FALSE),"")</f>
        <v/>
      </c>
    </row>
    <row r="3108" spans="2:39" ht="15" customHeight="1" x14ac:dyDescent="0.3">
      <c r="B3108">
        <v>310.5</v>
      </c>
      <c r="C3108" t="str">
        <f>IFERROR(VLOOKUP(B3108,'Pre-Summary'!$DI$6:$DM$23,4,FALSE),"")</f>
        <v/>
      </c>
      <c r="D3108" s="10" t="str">
        <f>IFERROR(VLOOKUP(B3108,'Pre-Summary'!$AT$6:$AX$14,5,FALSE),D3107)</f>
        <v>Wolfe v3: went back to modified wolfe + EDTA and switched CuSO4 to CUCl2</v>
      </c>
      <c r="E3108" s="10" t="str">
        <f>IFERROR(VLOOKUP(B3108,'Pre-Summary'!$AT$6:$AX$15,4,FALSE),"")</f>
        <v/>
      </c>
      <c r="F3108">
        <f>IFERROR(VLOOKUP(B3108,'Pre-Summary'!$AL$6:$AQ$13,6,FALSE),F3107)</f>
        <v>5.9405263157894746E-2</v>
      </c>
      <c r="G3108" t="str">
        <f>IFERROR(VLOOKUP(B3108,'Pre-Summary'!$AE$6:$AJ$85,3,FALSE),"")</f>
        <v/>
      </c>
      <c r="H3108" t="str">
        <f>IFERROR(VLOOKUP(B3108,'Pre-Summary'!$AE$6:$AJ$85,4,FALSE),"")</f>
        <v/>
      </c>
      <c r="I3108" t="str">
        <f>IFERROR(VLOOKUP(B3108,'Pre-Summary'!$AE$6:$AJ$85,5,FALSE),"")</f>
        <v/>
      </c>
      <c r="J3108" s="45" t="str">
        <f>IFERROR(VLOOKUP(B3108,'Pre-Summary'!$AE$6:$AJ$85,6, FALSE),"")</f>
        <v/>
      </c>
      <c r="K3108" s="45" t="str">
        <f>IFERROR(VLOOKUP(B3108,'Pre-Summary'!$DE$6:$DG$61,3,FALSE),"")</f>
        <v/>
      </c>
      <c r="L3108" s="45" t="str">
        <f>IFERROR(VLOOKUP(B3108,'Pre-Summary'!$CU$6:$CW$36,3,FALSE),"")</f>
        <v/>
      </c>
      <c r="M3108" s="45" t="str">
        <f>IFERROR(VLOOKUP(B3108,'Pre-Summary'!$BW$6:$BY$58,2,FALSE),"")</f>
        <v/>
      </c>
      <c r="N3108" s="45" t="str">
        <f>IFERROR(VLOOKUP(B3108,'Pre-Summary'!$CD$6:$CF$64,2,FALSE),"")</f>
        <v/>
      </c>
      <c r="O3108" s="99">
        <f>IFERROR(VLOOKUP(B3108,'Pre-Summary'!$BO$6:$BQ$48,3, FALSE),O3107)</f>
        <v>3.3239999999999998</v>
      </c>
      <c r="P3108" s="99">
        <f>IFERROR(VLOOKUP(B3108,'Pre-Summary'!$BS$6:$BU$35,3,FALSE),P3107)</f>
        <v>0.84099999999999997</v>
      </c>
      <c r="Q3108" s="54">
        <f t="shared" si="144"/>
        <v>3.9524375743162903</v>
      </c>
      <c r="R3108" s="53">
        <f>IFERROR(VLOOKUP(B3108,'Pre-Summary'!$BG$6:$BM$44,7,FALSE),R3109)</f>
        <v>0</v>
      </c>
      <c r="S3108" s="53" t="e">
        <f>VLOOKUP(B3108,'Pre-Summary'!$BG$6:$BM$44,6,FALSE)</f>
        <v>#N/A</v>
      </c>
      <c r="T3108" s="45" t="str">
        <f>IFERROR(VLOOKUP(B3108,'Pre-Summary'!$Y$6:$AC$83, 3,FALSE),"")</f>
        <v/>
      </c>
      <c r="U3108" s="45" t="str">
        <f>IFERROR(VLOOKUP(B3108,'Pre-Summary'!$Y$6:$AC$83, 4,FALSE),"")</f>
        <v/>
      </c>
      <c r="V3108" t="str">
        <f>IFERROR(VLOOKUP(B3108,'Pre-Summary'!$Y$6:$AC$83, 5,FALSE),"")</f>
        <v/>
      </c>
      <c r="W3108" s="45" t="str">
        <f>IFERROR(VLOOKUP(B3108,'Pre-Summary'!$Y$6:$AD$83,6,FALSE),"")</f>
        <v/>
      </c>
      <c r="X3108" t="str">
        <f>IFERROR(VLOOKUP('Pre-Summary'!$DB$6:$DD$63,3,FALSE),"")</f>
        <v/>
      </c>
      <c r="Y3108" t="str">
        <f>IFERROR(VLOOKUP(B3108,'Pre-Summary'!$CR$6:$CT$36,3,FALSE),"")</f>
        <v/>
      </c>
      <c r="Z3108" s="45" t="str">
        <f>IFERROR(VLOOKUP(B3108,'Pre-Summary'!$BZ$6:$CB$63,2,FALSE),"")</f>
        <v/>
      </c>
      <c r="AA3108" s="45" t="str">
        <f>IFERROR(VLOOKUP(B3108,'Pre-Summary'!$CG$6:$CI$70,2,FALSE),"")</f>
        <v/>
      </c>
      <c r="AB3108" s="99">
        <f>IFERROR(VLOOKUP(B3108,'Pre-Summary'!$A$6:$P$178,9,FALSE),AB3109)</f>
        <v>1.2254632720101373</v>
      </c>
      <c r="AC3108" s="10">
        <f>IFERROR(VLOOKUP(Summary!B3108,'Pre-Summary'!$A$6:$P$184,5, FALSE)/100,AC3109)</f>
        <v>0.83185799999999999</v>
      </c>
      <c r="AD3108" s="10">
        <f>IFERROR(VLOOKUP(Summary!B3108,'Pre-Summary'!$A$6:$P$184,3, FALSE)/100,AD3109)</f>
        <v>0.13380733333333333</v>
      </c>
      <c r="AE3108" s="10">
        <f>IFERROR(VLOOKUP(Summary!B3108,'Pre-Summary'!$A$6:$P$184,7, FALSE)/100,AE3109)</f>
        <v>3.4334666666666666E-2</v>
      </c>
      <c r="AF3108" s="99">
        <f t="shared" si="145"/>
        <v>0.16397597252561777</v>
      </c>
      <c r="AG3108" s="99">
        <f t="shared" si="146"/>
        <v>4.2075872956710725E-2</v>
      </c>
      <c r="AH3108" s="10" t="str">
        <f>IFERROR(VLOOKUP(B3108,'Pre-Summary'!$AZ$6:$BE$65,3,FALSE),"")</f>
        <v/>
      </c>
      <c r="AI3108" s="10" t="str">
        <f>IFERROR(VLOOKUP(B3108,'Pre-Summary'!$AZ$6:$BE$65,5,FALSE),"")</f>
        <v/>
      </c>
      <c r="AJ3108" s="10" t="str">
        <f>IFERROR(VLOOKUP(B3108,'Pre-Summary'!$AZ$6:$BE$65,4,FALSE),"")</f>
        <v/>
      </c>
      <c r="AK3108" s="10" t="str">
        <f>IFERROR(VLOOKUP(B3108,'Pre-Summary'!$AZ$6:$BE$65,6,FALSE),"")</f>
        <v/>
      </c>
      <c r="AL3108" s="10" t="str">
        <f>IFERROR(VLOOKUP(B3108,'Pre-Summary'!$BG$6:$BL$44,3,FALSE),"")</f>
        <v/>
      </c>
      <c r="AM3108" s="10" t="str">
        <f>IFERROR(VLOOKUP(B3108,'Pre-Summary'!$BG$6:$BL$44,4,FALSE),"")</f>
        <v/>
      </c>
    </row>
    <row r="3109" spans="2:39" ht="15" customHeight="1" x14ac:dyDescent="0.3">
      <c r="B3109">
        <v>310.60000000000002</v>
      </c>
      <c r="C3109" t="str">
        <f>IFERROR(VLOOKUP(B3109,'Pre-Summary'!$DI$6:$DM$23,4,FALSE),"")</f>
        <v/>
      </c>
      <c r="D3109" s="10" t="str">
        <f>IFERROR(VLOOKUP(B3109,'Pre-Summary'!$AT$6:$AX$14,5,FALSE),D3108)</f>
        <v>Wolfe v3: went back to modified wolfe + EDTA and switched CuSO4 to CUCl2</v>
      </c>
      <c r="E3109" s="10" t="str">
        <f>IFERROR(VLOOKUP(B3109,'Pre-Summary'!$AT$6:$AX$15,4,FALSE),"")</f>
        <v/>
      </c>
      <c r="F3109">
        <f>IFERROR(VLOOKUP(B3109,'Pre-Summary'!$AL$6:$AQ$13,6,FALSE),F3108)</f>
        <v>5.9405263157894746E-2</v>
      </c>
      <c r="G3109" t="str">
        <f>IFERROR(VLOOKUP(B3109,'Pre-Summary'!$AE$6:$AJ$85,3,FALSE),"")</f>
        <v/>
      </c>
      <c r="H3109" t="str">
        <f>IFERROR(VLOOKUP(B3109,'Pre-Summary'!$AE$6:$AJ$85,4,FALSE),"")</f>
        <v/>
      </c>
      <c r="I3109" t="str">
        <f>IFERROR(VLOOKUP(B3109,'Pre-Summary'!$AE$6:$AJ$85,5,FALSE),"")</f>
        <v/>
      </c>
      <c r="J3109" s="45" t="str">
        <f>IFERROR(VLOOKUP(B3109,'Pre-Summary'!$AE$6:$AJ$85,6, FALSE),"")</f>
        <v/>
      </c>
      <c r="K3109" s="45" t="str">
        <f>IFERROR(VLOOKUP(B3109,'Pre-Summary'!$DE$6:$DG$61,3,FALSE),"")</f>
        <v/>
      </c>
      <c r="L3109" s="45" t="str">
        <f>IFERROR(VLOOKUP(B3109,'Pre-Summary'!$CU$6:$CW$36,3,FALSE),"")</f>
        <v/>
      </c>
      <c r="M3109" s="45" t="str">
        <f>IFERROR(VLOOKUP(B3109,'Pre-Summary'!$BW$6:$BY$58,2,FALSE),"")</f>
        <v/>
      </c>
      <c r="N3109" s="45" t="str">
        <f>IFERROR(VLOOKUP(B3109,'Pre-Summary'!$CD$6:$CF$64,2,FALSE),"")</f>
        <v/>
      </c>
      <c r="O3109" s="99">
        <f>IFERROR(VLOOKUP(B3109,'Pre-Summary'!$BO$6:$BQ$48,3, FALSE),O3108)</f>
        <v>3.3239999999999998</v>
      </c>
      <c r="P3109" s="99">
        <f>IFERROR(VLOOKUP(B3109,'Pre-Summary'!$BS$6:$BU$35,3,FALSE),P3108)</f>
        <v>0.84099999999999997</v>
      </c>
      <c r="Q3109" s="54">
        <f t="shared" si="144"/>
        <v>3.9524375743162903</v>
      </c>
      <c r="R3109" s="53">
        <f>IFERROR(VLOOKUP(B3109,'Pre-Summary'!$BG$6:$BM$44,7,FALSE),R3110)</f>
        <v>0</v>
      </c>
      <c r="S3109" s="53" t="e">
        <f>VLOOKUP(B3109,'Pre-Summary'!$BG$6:$BM$44,6,FALSE)</f>
        <v>#N/A</v>
      </c>
      <c r="T3109" s="45" t="str">
        <f>IFERROR(VLOOKUP(B3109,'Pre-Summary'!$Y$6:$AC$83, 3,FALSE),"")</f>
        <v/>
      </c>
      <c r="U3109" s="45" t="str">
        <f>IFERROR(VLOOKUP(B3109,'Pre-Summary'!$Y$6:$AC$83, 4,FALSE),"")</f>
        <v/>
      </c>
      <c r="V3109" t="str">
        <f>IFERROR(VLOOKUP(B3109,'Pre-Summary'!$Y$6:$AC$83, 5,FALSE),"")</f>
        <v/>
      </c>
      <c r="W3109" s="45" t="str">
        <f>IFERROR(VLOOKUP(B3109,'Pre-Summary'!$Y$6:$AD$83,6,FALSE),"")</f>
        <v/>
      </c>
      <c r="X3109" t="str">
        <f>IFERROR(VLOOKUP('Pre-Summary'!$DB$6:$DD$63,3,FALSE),"")</f>
        <v/>
      </c>
      <c r="Y3109" t="str">
        <f>IFERROR(VLOOKUP(B3109,'Pre-Summary'!$CR$6:$CT$36,3,FALSE),"")</f>
        <v/>
      </c>
      <c r="Z3109" s="45" t="str">
        <f>IFERROR(VLOOKUP(B3109,'Pre-Summary'!$BZ$6:$CB$63,2,FALSE),"")</f>
        <v/>
      </c>
      <c r="AA3109" s="45" t="str">
        <f>IFERROR(VLOOKUP(B3109,'Pre-Summary'!$CG$6:$CI$70,2,FALSE),"")</f>
        <v/>
      </c>
      <c r="AB3109" s="99">
        <f>IFERROR(VLOOKUP(B3109,'Pre-Summary'!$A$6:$P$178,9,FALSE),AB3110)</f>
        <v>1.2254632720101373</v>
      </c>
      <c r="AC3109" s="10">
        <f>IFERROR(VLOOKUP(Summary!B3109,'Pre-Summary'!$A$6:$P$184,5, FALSE)/100,AC3110)</f>
        <v>0.83185799999999999</v>
      </c>
      <c r="AD3109" s="10">
        <f>IFERROR(VLOOKUP(Summary!B3109,'Pre-Summary'!$A$6:$P$184,3, FALSE)/100,AD3110)</f>
        <v>0.13380733333333333</v>
      </c>
      <c r="AE3109" s="10">
        <f>IFERROR(VLOOKUP(Summary!B3109,'Pre-Summary'!$A$6:$P$184,7, FALSE)/100,AE3110)</f>
        <v>3.4334666666666666E-2</v>
      </c>
      <c r="AF3109" s="99">
        <f t="shared" si="145"/>
        <v>0.16397597252561777</v>
      </c>
      <c r="AG3109" s="99">
        <f t="shared" si="146"/>
        <v>4.2075872956710725E-2</v>
      </c>
      <c r="AH3109" s="10" t="str">
        <f>IFERROR(VLOOKUP(B3109,'Pre-Summary'!$AZ$6:$BE$65,3,FALSE),"")</f>
        <v/>
      </c>
      <c r="AI3109" s="10" t="str">
        <f>IFERROR(VLOOKUP(B3109,'Pre-Summary'!$AZ$6:$BE$65,5,FALSE),"")</f>
        <v/>
      </c>
      <c r="AJ3109" s="10" t="str">
        <f>IFERROR(VLOOKUP(B3109,'Pre-Summary'!$AZ$6:$BE$65,4,FALSE),"")</f>
        <v/>
      </c>
      <c r="AK3109" s="10" t="str">
        <f>IFERROR(VLOOKUP(B3109,'Pre-Summary'!$AZ$6:$BE$65,6,FALSE),"")</f>
        <v/>
      </c>
      <c r="AL3109" s="10" t="str">
        <f>IFERROR(VLOOKUP(B3109,'Pre-Summary'!$BG$6:$BL$44,3,FALSE),"")</f>
        <v/>
      </c>
      <c r="AM3109" s="10" t="str">
        <f>IFERROR(VLOOKUP(B3109,'Pre-Summary'!$BG$6:$BL$44,4,FALSE),"")</f>
        <v/>
      </c>
    </row>
    <row r="3110" spans="2:39" ht="15" customHeight="1" x14ac:dyDescent="0.3">
      <c r="B3110">
        <v>310.7</v>
      </c>
      <c r="C3110" t="str">
        <f>IFERROR(VLOOKUP(B3110,'Pre-Summary'!$DI$6:$DM$23,4,FALSE),"")</f>
        <v/>
      </c>
      <c r="D3110" s="10" t="str">
        <f>IFERROR(VLOOKUP(B3110,'Pre-Summary'!$AT$6:$AX$14,5,FALSE),D3109)</f>
        <v>Wolfe v3: went back to modified wolfe + EDTA and switched CuSO4 to CUCl2</v>
      </c>
      <c r="E3110" s="10" t="str">
        <f>IFERROR(VLOOKUP(B3110,'Pre-Summary'!$AT$6:$AX$15,4,FALSE),"")</f>
        <v/>
      </c>
      <c r="F3110">
        <f>IFERROR(VLOOKUP(B3110,'Pre-Summary'!$AL$6:$AQ$13,6,FALSE),F3109)</f>
        <v>5.9405263157894746E-2</v>
      </c>
      <c r="G3110" t="str">
        <f>IFERROR(VLOOKUP(B3110,'Pre-Summary'!$AE$6:$AJ$85,3,FALSE),"")</f>
        <v/>
      </c>
      <c r="H3110" t="str">
        <f>IFERROR(VLOOKUP(B3110,'Pre-Summary'!$AE$6:$AJ$85,4,FALSE),"")</f>
        <v/>
      </c>
      <c r="I3110" t="str">
        <f>IFERROR(VLOOKUP(B3110,'Pre-Summary'!$AE$6:$AJ$85,5,FALSE),"")</f>
        <v/>
      </c>
      <c r="J3110" s="45" t="str">
        <f>IFERROR(VLOOKUP(B3110,'Pre-Summary'!$AE$6:$AJ$85,6, FALSE),"")</f>
        <v/>
      </c>
      <c r="K3110" s="45" t="str">
        <f>IFERROR(VLOOKUP(B3110,'Pre-Summary'!$DE$6:$DG$61,3,FALSE),"")</f>
        <v/>
      </c>
      <c r="L3110" s="45" t="str">
        <f>IFERROR(VLOOKUP(B3110,'Pre-Summary'!$CU$6:$CW$36,3,FALSE),"")</f>
        <v/>
      </c>
      <c r="M3110" s="45" t="str">
        <f>IFERROR(VLOOKUP(B3110,'Pre-Summary'!$BW$6:$BY$58,2,FALSE),"")</f>
        <v/>
      </c>
      <c r="N3110" s="45" t="str">
        <f>IFERROR(VLOOKUP(B3110,'Pre-Summary'!$CD$6:$CF$64,2,FALSE),"")</f>
        <v/>
      </c>
      <c r="O3110" s="99">
        <f>IFERROR(VLOOKUP(B3110,'Pre-Summary'!$BO$6:$BQ$48,3, FALSE),O3109)</f>
        <v>3.3239999999999998</v>
      </c>
      <c r="P3110" s="99">
        <f>IFERROR(VLOOKUP(B3110,'Pre-Summary'!$BS$6:$BU$35,3,FALSE),P3109)</f>
        <v>0.84099999999999997</v>
      </c>
      <c r="Q3110" s="54">
        <f t="shared" si="144"/>
        <v>3.9524375743162903</v>
      </c>
      <c r="R3110" s="53">
        <f>IFERROR(VLOOKUP(B3110,'Pre-Summary'!$BG$6:$BM$44,7,FALSE),R3111)</f>
        <v>0</v>
      </c>
      <c r="S3110" s="53" t="e">
        <f>VLOOKUP(B3110,'Pre-Summary'!$BG$6:$BM$44,6,FALSE)</f>
        <v>#N/A</v>
      </c>
      <c r="T3110" s="45" t="str">
        <f>IFERROR(VLOOKUP(B3110,'Pre-Summary'!$Y$6:$AC$83, 3,FALSE),"")</f>
        <v/>
      </c>
      <c r="U3110" s="45" t="str">
        <f>IFERROR(VLOOKUP(B3110,'Pre-Summary'!$Y$6:$AC$83, 4,FALSE),"")</f>
        <v/>
      </c>
      <c r="V3110" t="str">
        <f>IFERROR(VLOOKUP(B3110,'Pre-Summary'!$Y$6:$AC$83, 5,FALSE),"")</f>
        <v/>
      </c>
      <c r="W3110" s="45" t="str">
        <f>IFERROR(VLOOKUP(B3110,'Pre-Summary'!$Y$6:$AD$83,6,FALSE),"")</f>
        <v/>
      </c>
      <c r="X3110" t="str">
        <f>IFERROR(VLOOKUP('Pre-Summary'!$DB$6:$DD$63,3,FALSE),"")</f>
        <v/>
      </c>
      <c r="Y3110" t="str">
        <f>IFERROR(VLOOKUP(B3110,'Pre-Summary'!$CR$6:$CT$36,3,FALSE),"")</f>
        <v/>
      </c>
      <c r="Z3110" s="45" t="str">
        <f>IFERROR(VLOOKUP(B3110,'Pre-Summary'!$BZ$6:$CB$63,2,FALSE),"")</f>
        <v/>
      </c>
      <c r="AA3110" s="45" t="str">
        <f>IFERROR(VLOOKUP(B3110,'Pre-Summary'!$CG$6:$CI$70,2,FALSE),"")</f>
        <v/>
      </c>
      <c r="AB3110" s="99">
        <f>IFERROR(VLOOKUP(B3110,'Pre-Summary'!$A$6:$P$178,9,FALSE),AB3111)</f>
        <v>1.2254632720101373</v>
      </c>
      <c r="AC3110" s="10">
        <f>IFERROR(VLOOKUP(Summary!B3110,'Pre-Summary'!$A$6:$P$184,5, FALSE)/100,AC3111)</f>
        <v>0.83185799999999999</v>
      </c>
      <c r="AD3110" s="10">
        <f>IFERROR(VLOOKUP(Summary!B3110,'Pre-Summary'!$A$6:$P$184,3, FALSE)/100,AD3111)</f>
        <v>0.13380733333333333</v>
      </c>
      <c r="AE3110" s="10">
        <f>IFERROR(VLOOKUP(Summary!B3110,'Pre-Summary'!$A$6:$P$184,7, FALSE)/100,AE3111)</f>
        <v>3.4334666666666666E-2</v>
      </c>
      <c r="AF3110" s="99">
        <f t="shared" si="145"/>
        <v>0.16397597252561777</v>
      </c>
      <c r="AG3110" s="99">
        <f t="shared" si="146"/>
        <v>4.2075872956710725E-2</v>
      </c>
      <c r="AH3110" s="10" t="str">
        <f>IFERROR(VLOOKUP(B3110,'Pre-Summary'!$AZ$6:$BE$65,3,FALSE),"")</f>
        <v/>
      </c>
      <c r="AI3110" s="10" t="str">
        <f>IFERROR(VLOOKUP(B3110,'Pre-Summary'!$AZ$6:$BE$65,5,FALSE),"")</f>
        <v/>
      </c>
      <c r="AJ3110" s="10" t="str">
        <f>IFERROR(VLOOKUP(B3110,'Pre-Summary'!$AZ$6:$BE$65,4,FALSE),"")</f>
        <v/>
      </c>
      <c r="AK3110" s="10" t="str">
        <f>IFERROR(VLOOKUP(B3110,'Pre-Summary'!$AZ$6:$BE$65,6,FALSE),"")</f>
        <v/>
      </c>
      <c r="AL3110" s="10" t="str">
        <f>IFERROR(VLOOKUP(B3110,'Pre-Summary'!$BG$6:$BL$44,3,FALSE),"")</f>
        <v/>
      </c>
      <c r="AM3110" s="10" t="str">
        <f>IFERROR(VLOOKUP(B3110,'Pre-Summary'!$BG$6:$BL$44,4,FALSE),"")</f>
        <v/>
      </c>
    </row>
    <row r="3111" spans="2:39" ht="15" customHeight="1" x14ac:dyDescent="0.3">
      <c r="B3111">
        <v>310.8</v>
      </c>
      <c r="C3111" t="str">
        <f>IFERROR(VLOOKUP(B3111,'Pre-Summary'!$DI$6:$DM$23,4,FALSE),"")</f>
        <v/>
      </c>
      <c r="D3111" s="10" t="str">
        <f>IFERROR(VLOOKUP(B3111,'Pre-Summary'!$AT$6:$AX$14,5,FALSE),D3110)</f>
        <v>Wolfe v3: went back to modified wolfe + EDTA and switched CuSO4 to CUCl2</v>
      </c>
      <c r="E3111" s="10" t="str">
        <f>IFERROR(VLOOKUP(B3111,'Pre-Summary'!$AT$6:$AX$15,4,FALSE),"")</f>
        <v/>
      </c>
      <c r="F3111">
        <f>IFERROR(VLOOKUP(B3111,'Pre-Summary'!$AL$6:$AQ$13,6,FALSE),F3110)</f>
        <v>5.9405263157894746E-2</v>
      </c>
      <c r="G3111" t="str">
        <f>IFERROR(VLOOKUP(B3111,'Pre-Summary'!$AE$6:$AJ$85,3,FALSE),"")</f>
        <v/>
      </c>
      <c r="H3111" t="str">
        <f>IFERROR(VLOOKUP(B3111,'Pre-Summary'!$AE$6:$AJ$85,4,FALSE),"")</f>
        <v/>
      </c>
      <c r="I3111" t="str">
        <f>IFERROR(VLOOKUP(B3111,'Pre-Summary'!$AE$6:$AJ$85,5,FALSE),"")</f>
        <v/>
      </c>
      <c r="J3111" s="45" t="str">
        <f>IFERROR(VLOOKUP(B3111,'Pre-Summary'!$AE$6:$AJ$85,6, FALSE),"")</f>
        <v/>
      </c>
      <c r="K3111" s="45" t="str">
        <f>IFERROR(VLOOKUP(B3111,'Pre-Summary'!$DE$6:$DG$61,3,FALSE),"")</f>
        <v/>
      </c>
      <c r="L3111" s="45" t="str">
        <f>IFERROR(VLOOKUP(B3111,'Pre-Summary'!$CU$6:$CW$36,3,FALSE),"")</f>
        <v/>
      </c>
      <c r="M3111" s="45" t="str">
        <f>IFERROR(VLOOKUP(B3111,'Pre-Summary'!$BW$6:$BY$58,2,FALSE),"")</f>
        <v/>
      </c>
      <c r="N3111" s="45" t="str">
        <f>IFERROR(VLOOKUP(B3111,'Pre-Summary'!$CD$6:$CF$64,2,FALSE),"")</f>
        <v/>
      </c>
      <c r="O3111" s="99">
        <f>IFERROR(VLOOKUP(B3111,'Pre-Summary'!$BO$6:$BQ$48,3, FALSE),O3110)</f>
        <v>3.3239999999999998</v>
      </c>
      <c r="P3111" s="99">
        <f>IFERROR(VLOOKUP(B3111,'Pre-Summary'!$BS$6:$BU$35,3,FALSE),P3110)</f>
        <v>0.84099999999999997</v>
      </c>
      <c r="Q3111" s="54">
        <f t="shared" si="144"/>
        <v>3.9524375743162903</v>
      </c>
      <c r="R3111" s="53">
        <f>IFERROR(VLOOKUP(B3111,'Pre-Summary'!$BG$6:$BM$44,7,FALSE),R3112)</f>
        <v>0</v>
      </c>
      <c r="S3111" s="53" t="e">
        <f>VLOOKUP(B3111,'Pre-Summary'!$BG$6:$BM$44,6,FALSE)</f>
        <v>#N/A</v>
      </c>
      <c r="T3111" s="45" t="str">
        <f>IFERROR(VLOOKUP(B3111,'Pre-Summary'!$Y$6:$AC$83, 3,FALSE),"")</f>
        <v/>
      </c>
      <c r="U3111" s="45" t="str">
        <f>IFERROR(VLOOKUP(B3111,'Pre-Summary'!$Y$6:$AC$83, 4,FALSE),"")</f>
        <v/>
      </c>
      <c r="V3111" t="str">
        <f>IFERROR(VLOOKUP(B3111,'Pre-Summary'!$Y$6:$AC$83, 5,FALSE),"")</f>
        <v/>
      </c>
      <c r="W3111" s="45" t="str">
        <f>IFERROR(VLOOKUP(B3111,'Pre-Summary'!$Y$6:$AD$83,6,FALSE),"")</f>
        <v/>
      </c>
      <c r="X3111" t="str">
        <f>IFERROR(VLOOKUP('Pre-Summary'!$DB$6:$DD$63,3,FALSE),"")</f>
        <v/>
      </c>
      <c r="Y3111" t="str">
        <f>IFERROR(VLOOKUP(B3111,'Pre-Summary'!$CR$6:$CT$36,3,FALSE),"")</f>
        <v/>
      </c>
      <c r="Z3111" s="45" t="str">
        <f>IFERROR(VLOOKUP(B3111,'Pre-Summary'!$BZ$6:$CB$63,2,FALSE),"")</f>
        <v/>
      </c>
      <c r="AA3111" s="45" t="str">
        <f>IFERROR(VLOOKUP(B3111,'Pre-Summary'!$CG$6:$CI$70,2,FALSE),"")</f>
        <v/>
      </c>
      <c r="AB3111" s="99">
        <f>IFERROR(VLOOKUP(B3111,'Pre-Summary'!$A$6:$P$178,9,FALSE),AB3112)</f>
        <v>1.2254632720101373</v>
      </c>
      <c r="AC3111" s="10">
        <f>IFERROR(VLOOKUP(Summary!B3111,'Pre-Summary'!$A$6:$P$184,5, FALSE)/100,AC3112)</f>
        <v>0.83185799999999999</v>
      </c>
      <c r="AD3111" s="10">
        <f>IFERROR(VLOOKUP(Summary!B3111,'Pre-Summary'!$A$6:$P$184,3, FALSE)/100,AD3112)</f>
        <v>0.13380733333333333</v>
      </c>
      <c r="AE3111" s="10">
        <f>IFERROR(VLOOKUP(Summary!B3111,'Pre-Summary'!$A$6:$P$184,7, FALSE)/100,AE3112)</f>
        <v>3.4334666666666666E-2</v>
      </c>
      <c r="AF3111" s="99">
        <f t="shared" si="145"/>
        <v>0.16397597252561777</v>
      </c>
      <c r="AG3111" s="99">
        <f t="shared" si="146"/>
        <v>4.2075872956710725E-2</v>
      </c>
      <c r="AH3111" s="10" t="str">
        <f>IFERROR(VLOOKUP(B3111,'Pre-Summary'!$AZ$6:$BE$65,3,FALSE),"")</f>
        <v/>
      </c>
      <c r="AI3111" s="10" t="str">
        <f>IFERROR(VLOOKUP(B3111,'Pre-Summary'!$AZ$6:$BE$65,5,FALSE),"")</f>
        <v/>
      </c>
      <c r="AJ3111" s="10" t="str">
        <f>IFERROR(VLOOKUP(B3111,'Pre-Summary'!$AZ$6:$BE$65,4,FALSE),"")</f>
        <v/>
      </c>
      <c r="AK3111" s="10" t="str">
        <f>IFERROR(VLOOKUP(B3111,'Pre-Summary'!$AZ$6:$BE$65,6,FALSE),"")</f>
        <v/>
      </c>
      <c r="AL3111" s="10" t="str">
        <f>IFERROR(VLOOKUP(B3111,'Pre-Summary'!$BG$6:$BL$44,3,FALSE),"")</f>
        <v/>
      </c>
      <c r="AM3111" s="10" t="str">
        <f>IFERROR(VLOOKUP(B3111,'Pre-Summary'!$BG$6:$BL$44,4,FALSE),"")</f>
        <v/>
      </c>
    </row>
    <row r="3112" spans="2:39" ht="15" customHeight="1" x14ac:dyDescent="0.3">
      <c r="B3112">
        <v>310.89999999999998</v>
      </c>
      <c r="C3112" t="str">
        <f>IFERROR(VLOOKUP(B3112,'Pre-Summary'!$DI$6:$DM$23,4,FALSE),"")</f>
        <v/>
      </c>
      <c r="D3112" s="10" t="str">
        <f>IFERROR(VLOOKUP(B3112,'Pre-Summary'!$AT$6:$AX$14,5,FALSE),D3111)</f>
        <v>Wolfe v3: went back to modified wolfe + EDTA and switched CuSO4 to CUCl2</v>
      </c>
      <c r="E3112" s="10" t="str">
        <f>IFERROR(VLOOKUP(B3112,'Pre-Summary'!$AT$6:$AX$15,4,FALSE),"")</f>
        <v/>
      </c>
      <c r="F3112">
        <f>IFERROR(VLOOKUP(B3112,'Pre-Summary'!$AL$6:$AQ$13,6,FALSE),F3111)</f>
        <v>5.9405263157894746E-2</v>
      </c>
      <c r="G3112" t="str">
        <f>IFERROR(VLOOKUP(B3112,'Pre-Summary'!$AE$6:$AJ$85,3,FALSE),"")</f>
        <v/>
      </c>
      <c r="H3112" t="str">
        <f>IFERROR(VLOOKUP(B3112,'Pre-Summary'!$AE$6:$AJ$85,4,FALSE),"")</f>
        <v/>
      </c>
      <c r="I3112" t="str">
        <f>IFERROR(VLOOKUP(B3112,'Pre-Summary'!$AE$6:$AJ$85,5,FALSE),"")</f>
        <v/>
      </c>
      <c r="J3112" s="45" t="str">
        <f>IFERROR(VLOOKUP(B3112,'Pre-Summary'!$AE$6:$AJ$85,6, FALSE),"")</f>
        <v/>
      </c>
      <c r="K3112" s="45" t="str">
        <f>IFERROR(VLOOKUP(B3112,'Pre-Summary'!$DE$6:$DG$61,3,FALSE),"")</f>
        <v/>
      </c>
      <c r="L3112" s="45" t="str">
        <f>IFERROR(VLOOKUP(B3112,'Pre-Summary'!$CU$6:$CW$36,3,FALSE),"")</f>
        <v/>
      </c>
      <c r="M3112" s="45" t="str">
        <f>IFERROR(VLOOKUP(B3112,'Pre-Summary'!$BW$6:$BY$58,2,FALSE),"")</f>
        <v/>
      </c>
      <c r="N3112" s="45" t="str">
        <f>IFERROR(VLOOKUP(B3112,'Pre-Summary'!$CD$6:$CF$64,2,FALSE),"")</f>
        <v/>
      </c>
      <c r="O3112" s="99">
        <f>IFERROR(VLOOKUP(B3112,'Pre-Summary'!$BO$6:$BQ$48,3, FALSE),O3111)</f>
        <v>3.3239999999999998</v>
      </c>
      <c r="P3112" s="99">
        <f>IFERROR(VLOOKUP(B3112,'Pre-Summary'!$BS$6:$BU$35,3,FALSE),P3111)</f>
        <v>0.84099999999999997</v>
      </c>
      <c r="Q3112" s="54">
        <f t="shared" si="144"/>
        <v>3.9524375743162903</v>
      </c>
      <c r="R3112" s="53">
        <f>IFERROR(VLOOKUP(B3112,'Pre-Summary'!$BG$6:$BM$44,7,FALSE),R3113)</f>
        <v>0</v>
      </c>
      <c r="S3112" s="53" t="e">
        <f>VLOOKUP(B3112,'Pre-Summary'!$BG$6:$BM$44,6,FALSE)</f>
        <v>#N/A</v>
      </c>
      <c r="T3112" s="45" t="str">
        <f>IFERROR(VLOOKUP(B3112,'Pre-Summary'!$Y$6:$AC$83, 3,FALSE),"")</f>
        <v/>
      </c>
      <c r="U3112" s="45" t="str">
        <f>IFERROR(VLOOKUP(B3112,'Pre-Summary'!$Y$6:$AC$83, 4,FALSE),"")</f>
        <v/>
      </c>
      <c r="V3112" t="str">
        <f>IFERROR(VLOOKUP(B3112,'Pre-Summary'!$Y$6:$AC$83, 5,FALSE),"")</f>
        <v/>
      </c>
      <c r="W3112" s="45" t="str">
        <f>IFERROR(VLOOKUP(B3112,'Pre-Summary'!$Y$6:$AD$83,6,FALSE),"")</f>
        <v/>
      </c>
      <c r="X3112" t="str">
        <f>IFERROR(VLOOKUP('Pre-Summary'!$DB$6:$DD$63,3,FALSE),"")</f>
        <v/>
      </c>
      <c r="Y3112" t="str">
        <f>IFERROR(VLOOKUP(B3112,'Pre-Summary'!$CR$6:$CT$36,3,FALSE),"")</f>
        <v/>
      </c>
      <c r="Z3112" s="45" t="str">
        <f>IFERROR(VLOOKUP(B3112,'Pre-Summary'!$BZ$6:$CB$63,2,FALSE),"")</f>
        <v/>
      </c>
      <c r="AA3112" s="45" t="str">
        <f>IFERROR(VLOOKUP(B3112,'Pre-Summary'!$CG$6:$CI$70,2,FALSE),"")</f>
        <v/>
      </c>
      <c r="AB3112" s="99">
        <f>IFERROR(VLOOKUP(B3112,'Pre-Summary'!$A$6:$P$178,9,FALSE),AB3113)</f>
        <v>1.2254632720101373</v>
      </c>
      <c r="AC3112" s="10">
        <f>IFERROR(VLOOKUP(Summary!B3112,'Pre-Summary'!$A$6:$P$184,5, FALSE)/100,AC3113)</f>
        <v>0.83185799999999999</v>
      </c>
      <c r="AD3112" s="10">
        <f>IFERROR(VLOOKUP(Summary!B3112,'Pre-Summary'!$A$6:$P$184,3, FALSE)/100,AD3113)</f>
        <v>0.13380733333333333</v>
      </c>
      <c r="AE3112" s="10">
        <f>IFERROR(VLOOKUP(Summary!B3112,'Pre-Summary'!$A$6:$P$184,7, FALSE)/100,AE3113)</f>
        <v>3.4334666666666666E-2</v>
      </c>
      <c r="AF3112" s="99">
        <f t="shared" si="145"/>
        <v>0.16397597252561777</v>
      </c>
      <c r="AG3112" s="99">
        <f t="shared" si="146"/>
        <v>4.2075872956710725E-2</v>
      </c>
      <c r="AH3112" s="10" t="str">
        <f>IFERROR(VLOOKUP(B3112,'Pre-Summary'!$AZ$6:$BE$65,3,FALSE),"")</f>
        <v/>
      </c>
      <c r="AI3112" s="10" t="str">
        <f>IFERROR(VLOOKUP(B3112,'Pre-Summary'!$AZ$6:$BE$65,5,FALSE),"")</f>
        <v/>
      </c>
      <c r="AJ3112" s="10" t="str">
        <f>IFERROR(VLOOKUP(B3112,'Pre-Summary'!$AZ$6:$BE$65,4,FALSE),"")</f>
        <v/>
      </c>
      <c r="AK3112" s="10" t="str">
        <f>IFERROR(VLOOKUP(B3112,'Pre-Summary'!$AZ$6:$BE$65,6,FALSE),"")</f>
        <v/>
      </c>
      <c r="AL3112" s="10" t="str">
        <f>IFERROR(VLOOKUP(B3112,'Pre-Summary'!$BG$6:$BL$44,3,FALSE),"")</f>
        <v/>
      </c>
      <c r="AM3112" s="10" t="str">
        <f>IFERROR(VLOOKUP(B3112,'Pre-Summary'!$BG$6:$BL$44,4,FALSE),"")</f>
        <v/>
      </c>
    </row>
    <row r="3113" spans="2:39" ht="15" customHeight="1" x14ac:dyDescent="0.3">
      <c r="B3113">
        <v>311</v>
      </c>
      <c r="C3113" t="str">
        <f>IFERROR(VLOOKUP(B3113,'Pre-Summary'!$DI$6:$DM$23,4,FALSE),"")</f>
        <v/>
      </c>
      <c r="D3113" s="10" t="str">
        <f>IFERROR(VLOOKUP(B3113,'Pre-Summary'!$AT$6:$AX$14,5,FALSE),D3112)</f>
        <v>Wolfe v3: went back to modified wolfe + EDTA and switched CuSO4 to CUCl2</v>
      </c>
      <c r="E3113" s="10" t="str">
        <f>IFERROR(VLOOKUP(B3113,'Pre-Summary'!$AT$6:$AX$15,4,FALSE),"")</f>
        <v/>
      </c>
      <c r="F3113">
        <f>IFERROR(VLOOKUP(B3113,'Pre-Summary'!$AL$6:$AQ$13,6,FALSE),F3112)</f>
        <v>5.9405263157894746E-2</v>
      </c>
      <c r="G3113" t="str">
        <f>IFERROR(VLOOKUP(B3113,'Pre-Summary'!$AE$6:$AJ$85,3,FALSE),"")</f>
        <v/>
      </c>
      <c r="H3113" t="str">
        <f>IFERROR(VLOOKUP(B3113,'Pre-Summary'!$AE$6:$AJ$85,4,FALSE),"")</f>
        <v/>
      </c>
      <c r="I3113" t="str">
        <f>IFERROR(VLOOKUP(B3113,'Pre-Summary'!$AE$6:$AJ$85,5,FALSE),"")</f>
        <v/>
      </c>
      <c r="J3113" s="45" t="str">
        <f>IFERROR(VLOOKUP(B3113,'Pre-Summary'!$AE$6:$AJ$85,6, FALSE),"")</f>
        <v/>
      </c>
      <c r="K3113" s="45" t="str">
        <f>IFERROR(VLOOKUP(B3113,'Pre-Summary'!$DE$6:$DG$61,3,FALSE),"")</f>
        <v/>
      </c>
      <c r="L3113" s="45" t="str">
        <f>IFERROR(VLOOKUP(B3113,'Pre-Summary'!$CU$6:$CW$36,3,FALSE),"")</f>
        <v/>
      </c>
      <c r="M3113" s="45" t="str">
        <f>IFERROR(VLOOKUP(B3113,'Pre-Summary'!$BW$6:$BY$58,2,FALSE),"")</f>
        <v/>
      </c>
      <c r="N3113" s="45" t="str">
        <f>IFERROR(VLOOKUP(B3113,'Pre-Summary'!$CD$6:$CF$64,2,FALSE),"")</f>
        <v/>
      </c>
      <c r="O3113" s="99">
        <f>IFERROR(VLOOKUP(B3113,'Pre-Summary'!$BO$6:$BQ$48,3, FALSE),O3112)</f>
        <v>3.3239999999999998</v>
      </c>
      <c r="P3113" s="99">
        <f>IFERROR(VLOOKUP(B3113,'Pre-Summary'!$BS$6:$BU$35,3,FALSE),P3112)</f>
        <v>0.84099999999999997</v>
      </c>
      <c r="Q3113" s="54">
        <f t="shared" si="144"/>
        <v>3.9524375743162903</v>
      </c>
      <c r="R3113" s="53">
        <f>IFERROR(VLOOKUP(B3113,'Pre-Summary'!$BG$6:$BM$44,7,FALSE),R3114)</f>
        <v>0</v>
      </c>
      <c r="S3113" s="53" t="e">
        <f>VLOOKUP(B3113,'Pre-Summary'!$BG$6:$BM$44,6,FALSE)</f>
        <v>#N/A</v>
      </c>
      <c r="T3113" s="45" t="str">
        <f>IFERROR(VLOOKUP(B3113,'Pre-Summary'!$Y$6:$AC$83, 3,FALSE),"")</f>
        <v/>
      </c>
      <c r="U3113" s="45" t="str">
        <f>IFERROR(VLOOKUP(B3113,'Pre-Summary'!$Y$6:$AC$83, 4,FALSE),"")</f>
        <v/>
      </c>
      <c r="V3113" t="str">
        <f>IFERROR(VLOOKUP(B3113,'Pre-Summary'!$Y$6:$AC$83, 5,FALSE),"")</f>
        <v/>
      </c>
      <c r="W3113" s="45" t="str">
        <f>IFERROR(VLOOKUP(B3113,'Pre-Summary'!$Y$6:$AD$83,6,FALSE),"")</f>
        <v/>
      </c>
      <c r="X3113" t="str">
        <f>IFERROR(VLOOKUP('Pre-Summary'!$DB$6:$DD$63,3,FALSE),"")</f>
        <v/>
      </c>
      <c r="Y3113" t="str">
        <f>IFERROR(VLOOKUP(B3113,'Pre-Summary'!$CR$6:$CT$36,3,FALSE),"")</f>
        <v/>
      </c>
      <c r="Z3113" s="45" t="str">
        <f>IFERROR(VLOOKUP(B3113,'Pre-Summary'!$BZ$6:$CB$63,2,FALSE),"")</f>
        <v/>
      </c>
      <c r="AA3113" s="45" t="str">
        <f>IFERROR(VLOOKUP(B3113,'Pre-Summary'!$CG$6:$CI$70,2,FALSE),"")</f>
        <v/>
      </c>
      <c r="AB3113" s="99">
        <f>IFERROR(VLOOKUP(B3113,'Pre-Summary'!$A$6:$P$178,9,FALSE),AB3114)</f>
        <v>1.2254632720101373</v>
      </c>
      <c r="AC3113" s="10">
        <f>IFERROR(VLOOKUP(Summary!B3113,'Pre-Summary'!$A$6:$P$184,5, FALSE)/100,AC3114)</f>
        <v>0.83185799999999999</v>
      </c>
      <c r="AD3113" s="10">
        <f>IFERROR(VLOOKUP(Summary!B3113,'Pre-Summary'!$A$6:$P$184,3, FALSE)/100,AD3114)</f>
        <v>0.13380733333333333</v>
      </c>
      <c r="AE3113" s="10">
        <f>IFERROR(VLOOKUP(Summary!B3113,'Pre-Summary'!$A$6:$P$184,7, FALSE)/100,AE3114)</f>
        <v>3.4334666666666666E-2</v>
      </c>
      <c r="AF3113" s="99">
        <f t="shared" si="145"/>
        <v>0.16397597252561777</v>
      </c>
      <c r="AG3113" s="99">
        <f t="shared" si="146"/>
        <v>4.2075872956710725E-2</v>
      </c>
      <c r="AH3113" s="10" t="str">
        <f>IFERROR(VLOOKUP(B3113,'Pre-Summary'!$AZ$6:$BE$65,3,FALSE),"")</f>
        <v/>
      </c>
      <c r="AI3113" s="10" t="str">
        <f>IFERROR(VLOOKUP(B3113,'Pre-Summary'!$AZ$6:$BE$65,5,FALSE),"")</f>
        <v/>
      </c>
      <c r="AJ3113" s="10" t="str">
        <f>IFERROR(VLOOKUP(B3113,'Pre-Summary'!$AZ$6:$BE$65,4,FALSE),"")</f>
        <v/>
      </c>
      <c r="AK3113" s="10" t="str">
        <f>IFERROR(VLOOKUP(B3113,'Pre-Summary'!$AZ$6:$BE$65,6,FALSE),"")</f>
        <v/>
      </c>
      <c r="AL3113" s="10" t="str">
        <f>IFERROR(VLOOKUP(B3113,'Pre-Summary'!$BG$6:$BL$44,3,FALSE),"")</f>
        <v/>
      </c>
      <c r="AM3113" s="10" t="str">
        <f>IFERROR(VLOOKUP(B3113,'Pre-Summary'!$BG$6:$BL$44,4,FALSE),"")</f>
        <v/>
      </c>
    </row>
    <row r="3114" spans="2:39" ht="15" customHeight="1" x14ac:dyDescent="0.3">
      <c r="B3114">
        <v>311.10000000000002</v>
      </c>
      <c r="D3114" s="10"/>
      <c r="E3114" s="10"/>
      <c r="F3114">
        <f>IFERROR(VLOOKUP(B3114,'Pre-Summary'!$AL$6:$AQ$13,6,FALSE),F3113)</f>
        <v>5.9405263157894746E-2</v>
      </c>
      <c r="M3114" s="45" t="str">
        <f>IFERROR(VLOOKUP(B3114,'Pre-Summary'!$BW$6:$BY$58,2,FALSE),"")</f>
        <v/>
      </c>
      <c r="N3114" s="45" t="str">
        <f>IFERROR(VLOOKUP(B3114,'Pre-Summary'!$CD$6:$CF$64,2,FALSE),"")</f>
        <v/>
      </c>
      <c r="O3114" s="99">
        <f>IFERROR(VLOOKUP(B3114,'Pre-Summary'!$BO$6:$BQ$48,3, FALSE),O3113)</f>
        <v>3.3239999999999998</v>
      </c>
      <c r="P3114" s="99">
        <f>IFERROR(VLOOKUP(B3114,'Pre-Summary'!$BS$6:$BU$35,3,FALSE),P3113)</f>
        <v>0.84099999999999997</v>
      </c>
      <c r="Q3114" s="54">
        <f t="shared" si="144"/>
        <v>3.9524375743162903</v>
      </c>
      <c r="R3114" s="53">
        <f>IFERROR(VLOOKUP(B3114,'Pre-Summary'!$BG$6:$BM$44,7,FALSE),R3115)</f>
        <v>0</v>
      </c>
      <c r="S3114" s="53" t="e">
        <f>VLOOKUP(B3114,'Pre-Summary'!$BG$6:$BM$44,6,FALSE)</f>
        <v>#N/A</v>
      </c>
      <c r="Z3114" s="45" t="str">
        <f>IFERROR(VLOOKUP(B3114,'Pre-Summary'!$BZ$6:$CB$63,2,FALSE),"")</f>
        <v/>
      </c>
      <c r="AA3114" s="45" t="str">
        <f>IFERROR(VLOOKUP(B3114,'Pre-Summary'!$CG$6:$CI$70,2,FALSE),"")</f>
        <v/>
      </c>
      <c r="AB3114" s="99">
        <f>IFERROR(VLOOKUP(B3114,'Pre-Summary'!$A$6:$P$178,9,FALSE),AB3115)</f>
        <v>0</v>
      </c>
      <c r="AC3114" s="10">
        <f>IFERROR(VLOOKUP(Summary!B3114,'Pre-Summary'!$A$6:$P$184,5, FALSE)/100,AC3115)</f>
        <v>0</v>
      </c>
      <c r="AD3114" s="10">
        <f>IFERROR(VLOOKUP(Summary!B3114,'Pre-Summary'!$A$6:$P$184,3, FALSE)/100,AD3115)</f>
        <v>0</v>
      </c>
      <c r="AE3114" s="10">
        <f>IFERROR(VLOOKUP(Summary!B3114,'Pre-Summary'!$A$6:$P$184,7, FALSE)/100,AE3115)</f>
        <v>0</v>
      </c>
      <c r="AF3114" s="99">
        <f t="shared" ref="AF3114:AF3177" si="147">AD3114*AB3114</f>
        <v>0</v>
      </c>
      <c r="AG3114" s="99">
        <f t="shared" ref="AG3114:AG3177" si="148">AB3114*AE3114</f>
        <v>0</v>
      </c>
      <c r="AH3114" s="10" t="str">
        <f>IFERROR(VLOOKUP(B3114,'Pre-Summary'!$AZ$6:$BE$65,3,FALSE),"")</f>
        <v/>
      </c>
      <c r="AI3114" s="10" t="str">
        <f>IFERROR(VLOOKUP(B3114,'Pre-Summary'!$AZ$6:$BE$65,5,FALSE),"")</f>
        <v/>
      </c>
      <c r="AJ3114" s="10" t="str">
        <f>IFERROR(VLOOKUP(B3114,'Pre-Summary'!$AZ$6:$BE$65,4,FALSE),"")</f>
        <v/>
      </c>
      <c r="AK3114" s="10" t="str">
        <f>IFERROR(VLOOKUP(B3114,'Pre-Summary'!$AZ$6:$BE$65,6,FALSE),"")</f>
        <v/>
      </c>
      <c r="AL3114" s="10" t="str">
        <f>IFERROR(VLOOKUP(B3114,'Pre-Summary'!$BG$6:$BL$44,3,FALSE),"")</f>
        <v/>
      </c>
      <c r="AM3114" s="10" t="str">
        <f>IFERROR(VLOOKUP(B3114,'Pre-Summary'!$BG$6:$BL$44,4,FALSE),"")</f>
        <v/>
      </c>
    </row>
    <row r="3115" spans="2:39" ht="15" customHeight="1" x14ac:dyDescent="0.3">
      <c r="B3115">
        <v>311.2</v>
      </c>
      <c r="D3115" s="10"/>
      <c r="E3115" s="10"/>
      <c r="F3115">
        <f>IFERROR(VLOOKUP(B3115,'Pre-Summary'!$AL$6:$AQ$13,6,FALSE),F3114)</f>
        <v>5.9405263157894746E-2</v>
      </c>
      <c r="M3115" s="45" t="str">
        <f>IFERROR(VLOOKUP(B3115,'Pre-Summary'!$BW$6:$BY$58,2,FALSE),"")</f>
        <v/>
      </c>
      <c r="N3115" s="45" t="str">
        <f>IFERROR(VLOOKUP(B3115,'Pre-Summary'!$CD$6:$CF$64,2,FALSE),"")</f>
        <v/>
      </c>
      <c r="O3115" s="99">
        <f>IFERROR(VLOOKUP(B3115,'Pre-Summary'!$BO$6:$BQ$48,3, FALSE),O3114)</f>
        <v>3.3239999999999998</v>
      </c>
      <c r="P3115" s="99">
        <f>IFERROR(VLOOKUP(B3115,'Pre-Summary'!$BS$6:$BU$35,3,FALSE),P3114)</f>
        <v>0.84099999999999997</v>
      </c>
      <c r="Q3115" s="54">
        <f t="shared" si="144"/>
        <v>3.9524375743162903</v>
      </c>
      <c r="R3115" s="53">
        <f>IFERROR(VLOOKUP(B3115,'Pre-Summary'!$BG$6:$BM$44,7,FALSE),R3116)</f>
        <v>0</v>
      </c>
      <c r="S3115" s="53" t="e">
        <f>VLOOKUP(B3115,'Pre-Summary'!$BG$6:$BM$44,6,FALSE)</f>
        <v>#N/A</v>
      </c>
      <c r="Z3115" s="45" t="str">
        <f>IFERROR(VLOOKUP(B3115,'Pre-Summary'!$BZ$6:$CB$63,2,FALSE),"")</f>
        <v/>
      </c>
      <c r="AA3115" s="45" t="str">
        <f>IFERROR(VLOOKUP(B3115,'Pre-Summary'!$CG$6:$CI$70,2,FALSE),"")</f>
        <v/>
      </c>
      <c r="AB3115" s="99">
        <f>IFERROR(VLOOKUP(B3115,'Pre-Summary'!$A$6:$P$178,9,FALSE),AB3116)</f>
        <v>0</v>
      </c>
      <c r="AC3115" s="10">
        <f>IFERROR(VLOOKUP(Summary!B3115,'Pre-Summary'!$A$6:$P$184,5, FALSE)/100,AC3116)</f>
        <v>0</v>
      </c>
      <c r="AD3115" s="10">
        <f>IFERROR(VLOOKUP(Summary!B3115,'Pre-Summary'!$A$6:$P$184,3, FALSE)/100,AD3116)</f>
        <v>0</v>
      </c>
      <c r="AE3115" s="10">
        <f>IFERROR(VLOOKUP(Summary!B3115,'Pre-Summary'!$A$6:$P$184,7, FALSE)/100,AE3116)</f>
        <v>0</v>
      </c>
      <c r="AF3115" s="99">
        <f t="shared" si="147"/>
        <v>0</v>
      </c>
      <c r="AG3115" s="99">
        <f t="shared" si="148"/>
        <v>0</v>
      </c>
      <c r="AH3115" s="10" t="str">
        <f>IFERROR(VLOOKUP(B3115,'Pre-Summary'!$AZ$6:$BE$65,3,FALSE),"")</f>
        <v/>
      </c>
      <c r="AI3115" s="10" t="str">
        <f>IFERROR(VLOOKUP(B3115,'Pre-Summary'!$AZ$6:$BE$65,5,FALSE),"")</f>
        <v/>
      </c>
      <c r="AJ3115" s="10" t="str">
        <f>IFERROR(VLOOKUP(B3115,'Pre-Summary'!$AZ$6:$BE$65,4,FALSE),"")</f>
        <v/>
      </c>
      <c r="AK3115" s="10" t="str">
        <f>IFERROR(VLOOKUP(B3115,'Pre-Summary'!$AZ$6:$BE$65,6,FALSE),"")</f>
        <v/>
      </c>
      <c r="AL3115" s="10" t="str">
        <f>IFERROR(VLOOKUP(B3115,'Pre-Summary'!$BG$6:$BL$44,3,FALSE),"")</f>
        <v/>
      </c>
      <c r="AM3115" s="10" t="str">
        <f>IFERROR(VLOOKUP(B3115,'Pre-Summary'!$BG$6:$BL$44,4,FALSE),"")</f>
        <v/>
      </c>
    </row>
    <row r="3116" spans="2:39" ht="15" customHeight="1" x14ac:dyDescent="0.3">
      <c r="B3116">
        <v>311.3</v>
      </c>
      <c r="D3116" s="10"/>
      <c r="E3116" s="10"/>
      <c r="F3116">
        <f>IFERROR(VLOOKUP(B3116,'Pre-Summary'!$AL$6:$AQ$13,6,FALSE),F3115)</f>
        <v>5.9405263157894746E-2</v>
      </c>
      <c r="M3116" s="45" t="str">
        <f>IFERROR(VLOOKUP(B3116,'Pre-Summary'!$BW$6:$BY$58,2,FALSE),"")</f>
        <v/>
      </c>
      <c r="N3116" s="45" t="str">
        <f>IFERROR(VLOOKUP(B3116,'Pre-Summary'!$CD$6:$CF$64,2,FALSE),"")</f>
        <v/>
      </c>
      <c r="O3116" s="99">
        <f>IFERROR(VLOOKUP(B3116,'Pre-Summary'!$BO$6:$BQ$48,3, FALSE),O3115)</f>
        <v>3.3239999999999998</v>
      </c>
      <c r="P3116" s="99">
        <f>IFERROR(VLOOKUP(B3116,'Pre-Summary'!$BS$6:$BU$35,3,FALSE),P3115)</f>
        <v>0.84099999999999997</v>
      </c>
      <c r="Q3116" s="54">
        <f t="shared" si="144"/>
        <v>3.9524375743162903</v>
      </c>
      <c r="R3116" s="53">
        <f>IFERROR(VLOOKUP(B3116,'Pre-Summary'!$BG$6:$BM$44,7,FALSE),R3117)</f>
        <v>0</v>
      </c>
      <c r="S3116" s="53" t="e">
        <f>VLOOKUP(B3116,'Pre-Summary'!$BG$6:$BM$44,6,FALSE)</f>
        <v>#N/A</v>
      </c>
      <c r="Z3116" s="45" t="str">
        <f>IFERROR(VLOOKUP(B3116,'Pre-Summary'!$BZ$6:$CB$63,2,FALSE),"")</f>
        <v/>
      </c>
      <c r="AA3116" s="45" t="str">
        <f>IFERROR(VLOOKUP(B3116,'Pre-Summary'!$CG$6:$CI$70,2,FALSE),"")</f>
        <v/>
      </c>
      <c r="AB3116" s="99">
        <f>IFERROR(VLOOKUP(B3116,'Pre-Summary'!$A$6:$P$178,9,FALSE),AB3117)</f>
        <v>0</v>
      </c>
      <c r="AC3116" s="10">
        <f>IFERROR(VLOOKUP(Summary!B3116,'Pre-Summary'!$A$6:$P$184,5, FALSE)/100,AC3117)</f>
        <v>0</v>
      </c>
      <c r="AD3116" s="10">
        <f>IFERROR(VLOOKUP(Summary!B3116,'Pre-Summary'!$A$6:$P$184,3, FALSE)/100,AD3117)</f>
        <v>0</v>
      </c>
      <c r="AE3116" s="10">
        <f>IFERROR(VLOOKUP(Summary!B3116,'Pre-Summary'!$A$6:$P$184,7, FALSE)/100,AE3117)</f>
        <v>0</v>
      </c>
      <c r="AF3116" s="99">
        <f t="shared" si="147"/>
        <v>0</v>
      </c>
      <c r="AG3116" s="99">
        <f t="shared" si="148"/>
        <v>0</v>
      </c>
      <c r="AH3116" s="10" t="str">
        <f>IFERROR(VLOOKUP(B3116,'Pre-Summary'!$AZ$6:$BE$65,3,FALSE),"")</f>
        <v/>
      </c>
      <c r="AI3116" s="10" t="str">
        <f>IFERROR(VLOOKUP(B3116,'Pre-Summary'!$AZ$6:$BE$65,5,FALSE),"")</f>
        <v/>
      </c>
      <c r="AJ3116" s="10" t="str">
        <f>IFERROR(VLOOKUP(B3116,'Pre-Summary'!$AZ$6:$BE$65,4,FALSE),"")</f>
        <v/>
      </c>
      <c r="AK3116" s="10" t="str">
        <f>IFERROR(VLOOKUP(B3116,'Pre-Summary'!$AZ$6:$BE$65,6,FALSE),"")</f>
        <v/>
      </c>
      <c r="AL3116" s="10" t="str">
        <f>IFERROR(VLOOKUP(B3116,'Pre-Summary'!$BG$6:$BL$44,3,FALSE),"")</f>
        <v/>
      </c>
      <c r="AM3116" s="10" t="str">
        <f>IFERROR(VLOOKUP(B3116,'Pre-Summary'!$BG$6:$BL$44,4,FALSE),"")</f>
        <v/>
      </c>
    </row>
    <row r="3117" spans="2:39" ht="15" customHeight="1" x14ac:dyDescent="0.3">
      <c r="B3117">
        <v>311.39999999999998</v>
      </c>
      <c r="D3117" s="10"/>
      <c r="E3117" s="10"/>
      <c r="F3117">
        <f>IFERROR(VLOOKUP(B3117,'Pre-Summary'!$AL$6:$AQ$13,6,FALSE),F3116)</f>
        <v>5.9405263157894746E-2</v>
      </c>
      <c r="M3117" s="45" t="str">
        <f>IFERROR(VLOOKUP(B3117,'Pre-Summary'!$BW$6:$BY$58,2,FALSE),"")</f>
        <v/>
      </c>
      <c r="N3117" s="45" t="str">
        <f>IFERROR(VLOOKUP(B3117,'Pre-Summary'!$CD$6:$CF$64,2,FALSE),"")</f>
        <v/>
      </c>
      <c r="O3117" s="99">
        <f>IFERROR(VLOOKUP(B3117,'Pre-Summary'!$BO$6:$BQ$48,3, FALSE),O3116)</f>
        <v>3.3239999999999998</v>
      </c>
      <c r="P3117" s="99">
        <f>IFERROR(VLOOKUP(B3117,'Pre-Summary'!$BS$6:$BU$35,3,FALSE),P3116)</f>
        <v>0.84099999999999997</v>
      </c>
      <c r="Q3117" s="54">
        <f t="shared" si="144"/>
        <v>3.9524375743162903</v>
      </c>
      <c r="R3117" s="53">
        <f>IFERROR(VLOOKUP(B3117,'Pre-Summary'!$BG$6:$BM$44,7,FALSE),R3118)</f>
        <v>0</v>
      </c>
      <c r="S3117" s="53" t="e">
        <f>VLOOKUP(B3117,'Pre-Summary'!$BG$6:$BM$44,6,FALSE)</f>
        <v>#N/A</v>
      </c>
      <c r="Z3117" s="45" t="str">
        <f>IFERROR(VLOOKUP(B3117,'Pre-Summary'!$BZ$6:$CB$63,2,FALSE),"")</f>
        <v/>
      </c>
      <c r="AA3117" s="45" t="str">
        <f>IFERROR(VLOOKUP(B3117,'Pre-Summary'!$CG$6:$CI$70,2,FALSE),"")</f>
        <v/>
      </c>
      <c r="AB3117" s="99">
        <f>IFERROR(VLOOKUP(B3117,'Pre-Summary'!$A$6:$P$178,9,FALSE),AB3118)</f>
        <v>0</v>
      </c>
      <c r="AC3117" s="10">
        <f>IFERROR(VLOOKUP(Summary!B3117,'Pre-Summary'!$A$6:$P$184,5, FALSE)/100,AC3118)</f>
        <v>0</v>
      </c>
      <c r="AD3117" s="10">
        <f>IFERROR(VLOOKUP(Summary!B3117,'Pre-Summary'!$A$6:$P$184,3, FALSE)/100,AD3118)</f>
        <v>0</v>
      </c>
      <c r="AE3117" s="10">
        <f>IFERROR(VLOOKUP(Summary!B3117,'Pre-Summary'!$A$6:$P$184,7, FALSE)/100,AE3118)</f>
        <v>0</v>
      </c>
      <c r="AF3117" s="99">
        <f t="shared" si="147"/>
        <v>0</v>
      </c>
      <c r="AG3117" s="99">
        <f t="shared" si="148"/>
        <v>0</v>
      </c>
      <c r="AH3117" s="10" t="str">
        <f>IFERROR(VLOOKUP(B3117,'Pre-Summary'!$AZ$6:$BE$65,3,FALSE),"")</f>
        <v/>
      </c>
      <c r="AI3117" s="10" t="str">
        <f>IFERROR(VLOOKUP(B3117,'Pre-Summary'!$AZ$6:$BE$65,5,FALSE),"")</f>
        <v/>
      </c>
      <c r="AJ3117" s="10" t="str">
        <f>IFERROR(VLOOKUP(B3117,'Pre-Summary'!$AZ$6:$BE$65,4,FALSE),"")</f>
        <v/>
      </c>
      <c r="AK3117" s="10" t="str">
        <f>IFERROR(VLOOKUP(B3117,'Pre-Summary'!$AZ$6:$BE$65,6,FALSE),"")</f>
        <v/>
      </c>
      <c r="AL3117" s="10" t="str">
        <f>IFERROR(VLOOKUP(B3117,'Pre-Summary'!$BG$6:$BL$44,3,FALSE),"")</f>
        <v/>
      </c>
      <c r="AM3117" s="10" t="str">
        <f>IFERROR(VLOOKUP(B3117,'Pre-Summary'!$BG$6:$BL$44,4,FALSE),"")</f>
        <v/>
      </c>
    </row>
    <row r="3118" spans="2:39" ht="15" customHeight="1" x14ac:dyDescent="0.3">
      <c r="B3118">
        <v>311.5</v>
      </c>
      <c r="D3118" s="10"/>
      <c r="E3118" s="10"/>
      <c r="F3118">
        <f>IFERROR(VLOOKUP(B3118,'Pre-Summary'!$AL$6:$AQ$13,6,FALSE),F3117)</f>
        <v>5.9405263157894746E-2</v>
      </c>
      <c r="M3118" s="45" t="str">
        <f>IFERROR(VLOOKUP(B3118,'Pre-Summary'!$BW$6:$BY$58,2,FALSE),"")</f>
        <v/>
      </c>
      <c r="N3118" s="45" t="str">
        <f>IFERROR(VLOOKUP(B3118,'Pre-Summary'!$CD$6:$CF$64,2,FALSE),"")</f>
        <v/>
      </c>
      <c r="O3118" s="99">
        <f>IFERROR(VLOOKUP(B3118,'Pre-Summary'!$BO$6:$BQ$48,3, FALSE),O3117)</f>
        <v>3.3239999999999998</v>
      </c>
      <c r="P3118" s="99">
        <f>IFERROR(VLOOKUP(B3118,'Pre-Summary'!$BS$6:$BU$35,3,FALSE),P3117)</f>
        <v>0.84099999999999997</v>
      </c>
      <c r="Q3118" s="54">
        <f t="shared" si="144"/>
        <v>3.9524375743162903</v>
      </c>
      <c r="R3118" s="53">
        <f>IFERROR(VLOOKUP(B3118,'Pre-Summary'!$BG$6:$BM$44,7,FALSE),R3119)</f>
        <v>0</v>
      </c>
      <c r="S3118" s="53" t="e">
        <f>VLOOKUP(B3118,'Pre-Summary'!$BG$6:$BM$44,6,FALSE)</f>
        <v>#N/A</v>
      </c>
      <c r="Z3118" s="45" t="str">
        <f>IFERROR(VLOOKUP(B3118,'Pre-Summary'!$BZ$6:$CB$63,2,FALSE),"")</f>
        <v/>
      </c>
      <c r="AA3118" s="45" t="str">
        <f>IFERROR(VLOOKUP(B3118,'Pre-Summary'!$CG$6:$CI$70,2,FALSE),"")</f>
        <v/>
      </c>
      <c r="AB3118" s="99">
        <f>IFERROR(VLOOKUP(B3118,'Pre-Summary'!$A$6:$P$178,9,FALSE),AB3119)</f>
        <v>0</v>
      </c>
      <c r="AC3118" s="10">
        <f>IFERROR(VLOOKUP(Summary!B3118,'Pre-Summary'!$A$6:$P$184,5, FALSE)/100,AC3119)</f>
        <v>0</v>
      </c>
      <c r="AD3118" s="10">
        <f>IFERROR(VLOOKUP(Summary!B3118,'Pre-Summary'!$A$6:$P$184,3, FALSE)/100,AD3119)</f>
        <v>0</v>
      </c>
      <c r="AE3118" s="10">
        <f>IFERROR(VLOOKUP(Summary!B3118,'Pre-Summary'!$A$6:$P$184,7, FALSE)/100,AE3119)</f>
        <v>0</v>
      </c>
      <c r="AF3118" s="99">
        <f t="shared" si="147"/>
        <v>0</v>
      </c>
      <c r="AG3118" s="99">
        <f t="shared" si="148"/>
        <v>0</v>
      </c>
      <c r="AH3118" s="10" t="str">
        <f>IFERROR(VLOOKUP(B3118,'Pre-Summary'!$AZ$6:$BE$65,3,FALSE),"")</f>
        <v/>
      </c>
      <c r="AI3118" s="10" t="str">
        <f>IFERROR(VLOOKUP(B3118,'Pre-Summary'!$AZ$6:$BE$65,5,FALSE),"")</f>
        <v/>
      </c>
      <c r="AJ3118" s="10" t="str">
        <f>IFERROR(VLOOKUP(B3118,'Pre-Summary'!$AZ$6:$BE$65,4,FALSE),"")</f>
        <v/>
      </c>
      <c r="AK3118" s="10" t="str">
        <f>IFERROR(VLOOKUP(B3118,'Pre-Summary'!$AZ$6:$BE$65,6,FALSE),"")</f>
        <v/>
      </c>
      <c r="AL3118" s="10" t="str">
        <f>IFERROR(VLOOKUP(B3118,'Pre-Summary'!$BG$6:$BL$44,3,FALSE),"")</f>
        <v/>
      </c>
      <c r="AM3118" s="10" t="str">
        <f>IFERROR(VLOOKUP(B3118,'Pre-Summary'!$BG$6:$BL$44,4,FALSE),"")</f>
        <v/>
      </c>
    </row>
    <row r="3119" spans="2:39" ht="15" customHeight="1" x14ac:dyDescent="0.3">
      <c r="B3119">
        <v>311.60000000000002</v>
      </c>
      <c r="D3119" s="10"/>
      <c r="E3119" s="10"/>
      <c r="F3119">
        <f>IFERROR(VLOOKUP(B3119,'Pre-Summary'!$AL$6:$AQ$13,6,FALSE),F3118)</f>
        <v>5.9405263157894746E-2</v>
      </c>
      <c r="M3119" s="45" t="str">
        <f>IFERROR(VLOOKUP(B3119,'Pre-Summary'!$BW$6:$BY$58,2,FALSE),"")</f>
        <v/>
      </c>
      <c r="N3119" s="45" t="str">
        <f>IFERROR(VLOOKUP(B3119,'Pre-Summary'!$CD$6:$CF$64,2,FALSE),"")</f>
        <v/>
      </c>
      <c r="O3119" s="99">
        <f>IFERROR(VLOOKUP(B3119,'Pre-Summary'!$BO$6:$BQ$48,3, FALSE),O3118)</f>
        <v>3.3239999999999998</v>
      </c>
      <c r="P3119" s="99">
        <f>IFERROR(VLOOKUP(B3119,'Pre-Summary'!$BS$6:$BU$35,3,FALSE),P3118)</f>
        <v>0.84099999999999997</v>
      </c>
      <c r="Q3119" s="54">
        <f t="shared" si="144"/>
        <v>3.9524375743162903</v>
      </c>
      <c r="R3119" s="53">
        <f>IFERROR(VLOOKUP(B3119,'Pre-Summary'!$BG$6:$BM$44,7,FALSE),R3120)</f>
        <v>0</v>
      </c>
      <c r="S3119" s="53" t="e">
        <f>VLOOKUP(B3119,'Pre-Summary'!$BG$6:$BM$44,6,FALSE)</f>
        <v>#N/A</v>
      </c>
      <c r="Z3119" s="45" t="str">
        <f>IFERROR(VLOOKUP(B3119,'Pre-Summary'!$BZ$6:$CB$63,2,FALSE),"")</f>
        <v/>
      </c>
      <c r="AA3119" s="45" t="str">
        <f>IFERROR(VLOOKUP(B3119,'Pre-Summary'!$CG$6:$CI$70,2,FALSE),"")</f>
        <v/>
      </c>
      <c r="AB3119" s="99">
        <f>IFERROR(VLOOKUP(B3119,'Pre-Summary'!$A$6:$P$178,9,FALSE),AB3120)</f>
        <v>0</v>
      </c>
      <c r="AC3119" s="10">
        <f>IFERROR(VLOOKUP(Summary!B3119,'Pre-Summary'!$A$6:$P$184,5, FALSE)/100,AC3120)</f>
        <v>0</v>
      </c>
      <c r="AD3119" s="10">
        <f>IFERROR(VLOOKUP(Summary!B3119,'Pre-Summary'!$A$6:$P$184,3, FALSE)/100,AD3120)</f>
        <v>0</v>
      </c>
      <c r="AE3119" s="10">
        <f>IFERROR(VLOOKUP(Summary!B3119,'Pre-Summary'!$A$6:$P$184,7, FALSE)/100,AE3120)</f>
        <v>0</v>
      </c>
      <c r="AF3119" s="99">
        <f t="shared" si="147"/>
        <v>0</v>
      </c>
      <c r="AG3119" s="99">
        <f t="shared" si="148"/>
        <v>0</v>
      </c>
      <c r="AH3119" s="10" t="str">
        <f>IFERROR(VLOOKUP(B3119,'Pre-Summary'!$AZ$6:$BE$65,3,FALSE),"")</f>
        <v/>
      </c>
      <c r="AI3119" s="10" t="str">
        <f>IFERROR(VLOOKUP(B3119,'Pre-Summary'!$AZ$6:$BE$65,5,FALSE),"")</f>
        <v/>
      </c>
      <c r="AJ3119" s="10" t="str">
        <f>IFERROR(VLOOKUP(B3119,'Pre-Summary'!$AZ$6:$BE$65,4,FALSE),"")</f>
        <v/>
      </c>
      <c r="AK3119" s="10" t="str">
        <f>IFERROR(VLOOKUP(B3119,'Pre-Summary'!$AZ$6:$BE$65,6,FALSE),"")</f>
        <v/>
      </c>
      <c r="AL3119" s="10" t="str">
        <f>IFERROR(VLOOKUP(B3119,'Pre-Summary'!$BG$6:$BL$44,3,FALSE),"")</f>
        <v/>
      </c>
      <c r="AM3119" s="10" t="str">
        <f>IFERROR(VLOOKUP(B3119,'Pre-Summary'!$BG$6:$BL$44,4,FALSE),"")</f>
        <v/>
      </c>
    </row>
    <row r="3120" spans="2:39" ht="15" customHeight="1" x14ac:dyDescent="0.3">
      <c r="B3120">
        <v>311.7</v>
      </c>
      <c r="D3120" s="10"/>
      <c r="E3120" s="10"/>
      <c r="F3120">
        <f>IFERROR(VLOOKUP(B3120,'Pre-Summary'!$AL$6:$AQ$13,6,FALSE),F3119)</f>
        <v>5.9405263157894746E-2</v>
      </c>
      <c r="M3120" s="45" t="str">
        <f>IFERROR(VLOOKUP(B3120,'Pre-Summary'!$BW$6:$BY$58,2,FALSE),"")</f>
        <v/>
      </c>
      <c r="N3120" s="45" t="str">
        <f>IFERROR(VLOOKUP(B3120,'Pre-Summary'!$CD$6:$CF$64,2,FALSE),"")</f>
        <v/>
      </c>
      <c r="O3120" s="99">
        <f>IFERROR(VLOOKUP(B3120,'Pre-Summary'!$BO$6:$BQ$48,3, FALSE),O3119)</f>
        <v>3.3239999999999998</v>
      </c>
      <c r="P3120" s="99">
        <f>IFERROR(VLOOKUP(B3120,'Pre-Summary'!$BS$6:$BU$35,3,FALSE),P3119)</f>
        <v>0.84099999999999997</v>
      </c>
      <c r="Q3120" s="54">
        <f t="shared" si="144"/>
        <v>3.9524375743162903</v>
      </c>
      <c r="R3120" s="53">
        <f>IFERROR(VLOOKUP(B3120,'Pre-Summary'!$BG$6:$BM$44,7,FALSE),R3121)</f>
        <v>0</v>
      </c>
      <c r="S3120" s="53" t="e">
        <f>VLOOKUP(B3120,'Pre-Summary'!$BG$6:$BM$44,6,FALSE)</f>
        <v>#N/A</v>
      </c>
      <c r="Z3120" s="45" t="str">
        <f>IFERROR(VLOOKUP(B3120,'Pre-Summary'!$BZ$6:$CB$63,2,FALSE),"")</f>
        <v/>
      </c>
      <c r="AA3120" s="45" t="str">
        <f>IFERROR(VLOOKUP(B3120,'Pre-Summary'!$CG$6:$CI$70,2,FALSE),"")</f>
        <v/>
      </c>
      <c r="AB3120" s="99">
        <f>IFERROR(VLOOKUP(B3120,'Pre-Summary'!$A$6:$P$178,9,FALSE),AB3121)</f>
        <v>0</v>
      </c>
      <c r="AC3120" s="10">
        <f>IFERROR(VLOOKUP(Summary!B3120,'Pre-Summary'!$A$6:$P$184,5, FALSE)/100,AC3121)</f>
        <v>0</v>
      </c>
      <c r="AD3120" s="10">
        <f>IFERROR(VLOOKUP(Summary!B3120,'Pre-Summary'!$A$6:$P$184,3, FALSE)/100,AD3121)</f>
        <v>0</v>
      </c>
      <c r="AE3120" s="10">
        <f>IFERROR(VLOOKUP(Summary!B3120,'Pre-Summary'!$A$6:$P$184,7, FALSE)/100,AE3121)</f>
        <v>0</v>
      </c>
      <c r="AF3120" s="99">
        <f t="shared" si="147"/>
        <v>0</v>
      </c>
      <c r="AG3120" s="99">
        <f t="shared" si="148"/>
        <v>0</v>
      </c>
      <c r="AH3120" s="10" t="str">
        <f>IFERROR(VLOOKUP(B3120,'Pre-Summary'!$AZ$6:$BE$65,3,FALSE),"")</f>
        <v/>
      </c>
      <c r="AI3120" s="10" t="str">
        <f>IFERROR(VLOOKUP(B3120,'Pre-Summary'!$AZ$6:$BE$65,5,FALSE),"")</f>
        <v/>
      </c>
      <c r="AJ3120" s="10" t="str">
        <f>IFERROR(VLOOKUP(B3120,'Pre-Summary'!$AZ$6:$BE$65,4,FALSE),"")</f>
        <v/>
      </c>
      <c r="AK3120" s="10" t="str">
        <f>IFERROR(VLOOKUP(B3120,'Pre-Summary'!$AZ$6:$BE$65,6,FALSE),"")</f>
        <v/>
      </c>
      <c r="AL3120" s="10" t="str">
        <f>IFERROR(VLOOKUP(B3120,'Pre-Summary'!$BG$6:$BL$44,3,FALSE),"")</f>
        <v/>
      </c>
      <c r="AM3120" s="10" t="str">
        <f>IFERROR(VLOOKUP(B3120,'Pre-Summary'!$BG$6:$BL$44,4,FALSE),"")</f>
        <v/>
      </c>
    </row>
    <row r="3121" spans="2:39" ht="15" customHeight="1" x14ac:dyDescent="0.3">
      <c r="B3121">
        <v>311.8</v>
      </c>
      <c r="D3121" s="10"/>
      <c r="E3121" s="10"/>
      <c r="F3121">
        <f>IFERROR(VLOOKUP(B3121,'Pre-Summary'!$AL$6:$AQ$13,6,FALSE),F3120)</f>
        <v>5.9405263157894746E-2</v>
      </c>
      <c r="M3121" s="45" t="str">
        <f>IFERROR(VLOOKUP(B3121,'Pre-Summary'!$BW$6:$BY$58,2,FALSE),"")</f>
        <v/>
      </c>
      <c r="N3121" s="45" t="str">
        <f>IFERROR(VLOOKUP(B3121,'Pre-Summary'!$CD$6:$CF$64,2,FALSE),"")</f>
        <v/>
      </c>
      <c r="O3121" s="99">
        <f>IFERROR(VLOOKUP(B3121,'Pre-Summary'!$BO$6:$BQ$48,3, FALSE),O3120)</f>
        <v>3.3239999999999998</v>
      </c>
      <c r="P3121" s="99">
        <f>IFERROR(VLOOKUP(B3121,'Pre-Summary'!$BS$6:$BU$35,3,FALSE),P3120)</f>
        <v>0.84099999999999997</v>
      </c>
      <c r="Q3121" s="54">
        <f t="shared" si="144"/>
        <v>3.9524375743162903</v>
      </c>
      <c r="R3121" s="53">
        <f>IFERROR(VLOOKUP(B3121,'Pre-Summary'!$BG$6:$BM$44,7,FALSE),R3122)</f>
        <v>0</v>
      </c>
      <c r="S3121" s="53" t="e">
        <f>VLOOKUP(B3121,'Pre-Summary'!$BG$6:$BM$44,6,FALSE)</f>
        <v>#N/A</v>
      </c>
      <c r="Z3121" s="45" t="str">
        <f>IFERROR(VLOOKUP(B3121,'Pre-Summary'!$BZ$6:$CB$63,2,FALSE),"")</f>
        <v/>
      </c>
      <c r="AA3121" s="45" t="str">
        <f>IFERROR(VLOOKUP(B3121,'Pre-Summary'!$CG$6:$CI$70,2,FALSE),"")</f>
        <v/>
      </c>
      <c r="AB3121" s="99">
        <f>IFERROR(VLOOKUP(B3121,'Pre-Summary'!$A$6:$P$178,9,FALSE),AB3122)</f>
        <v>0</v>
      </c>
      <c r="AC3121" s="10">
        <f>IFERROR(VLOOKUP(Summary!B3121,'Pre-Summary'!$A$6:$P$184,5, FALSE)/100,AC3122)</f>
        <v>0</v>
      </c>
      <c r="AD3121" s="10">
        <f>IFERROR(VLOOKUP(Summary!B3121,'Pre-Summary'!$A$6:$P$184,3, FALSE)/100,AD3122)</f>
        <v>0</v>
      </c>
      <c r="AE3121" s="10">
        <f>IFERROR(VLOOKUP(Summary!B3121,'Pre-Summary'!$A$6:$P$184,7, FALSE)/100,AE3122)</f>
        <v>0</v>
      </c>
      <c r="AF3121" s="99">
        <f t="shared" si="147"/>
        <v>0</v>
      </c>
      <c r="AG3121" s="99">
        <f t="shared" si="148"/>
        <v>0</v>
      </c>
      <c r="AH3121" s="10" t="str">
        <f>IFERROR(VLOOKUP(B3121,'Pre-Summary'!$AZ$6:$BE$65,3,FALSE),"")</f>
        <v/>
      </c>
      <c r="AI3121" s="10" t="str">
        <f>IFERROR(VLOOKUP(B3121,'Pre-Summary'!$AZ$6:$BE$65,5,FALSE),"")</f>
        <v/>
      </c>
      <c r="AJ3121" s="10" t="str">
        <f>IFERROR(VLOOKUP(B3121,'Pre-Summary'!$AZ$6:$BE$65,4,FALSE),"")</f>
        <v/>
      </c>
      <c r="AK3121" s="10" t="str">
        <f>IFERROR(VLOOKUP(B3121,'Pre-Summary'!$AZ$6:$BE$65,6,FALSE),"")</f>
        <v/>
      </c>
      <c r="AL3121" s="10" t="str">
        <f>IFERROR(VLOOKUP(B3121,'Pre-Summary'!$BG$6:$BL$44,3,FALSE),"")</f>
        <v/>
      </c>
      <c r="AM3121" s="10" t="str">
        <f>IFERROR(VLOOKUP(B3121,'Pre-Summary'!$BG$6:$BL$44,4,FALSE),"")</f>
        <v/>
      </c>
    </row>
    <row r="3122" spans="2:39" ht="15" customHeight="1" x14ac:dyDescent="0.3">
      <c r="B3122">
        <v>311.89999999999998</v>
      </c>
      <c r="D3122" s="10"/>
      <c r="E3122" s="10"/>
      <c r="F3122">
        <f>IFERROR(VLOOKUP(B3122,'Pre-Summary'!$AL$6:$AQ$13,6,FALSE),F3121)</f>
        <v>5.9405263157894746E-2</v>
      </c>
      <c r="M3122" s="45" t="str">
        <f>IFERROR(VLOOKUP(B3122,'Pre-Summary'!$BW$6:$BY$58,2,FALSE),"")</f>
        <v/>
      </c>
      <c r="N3122" s="45" t="str">
        <f>IFERROR(VLOOKUP(B3122,'Pre-Summary'!$CD$6:$CF$64,2,FALSE),"")</f>
        <v/>
      </c>
      <c r="O3122" s="99">
        <f>IFERROR(VLOOKUP(B3122,'Pre-Summary'!$BO$6:$BQ$48,3, FALSE),O3121)</f>
        <v>3.3239999999999998</v>
      </c>
      <c r="P3122" s="99">
        <f>IFERROR(VLOOKUP(B3122,'Pre-Summary'!$BS$6:$BU$35,3,FALSE),P3121)</f>
        <v>0.84099999999999997</v>
      </c>
      <c r="Q3122" s="54">
        <f t="shared" si="144"/>
        <v>3.9524375743162903</v>
      </c>
      <c r="R3122" s="53">
        <f>IFERROR(VLOOKUP(B3122,'Pre-Summary'!$BG$6:$BM$44,7,FALSE),R3123)</f>
        <v>0</v>
      </c>
      <c r="S3122" s="53" t="e">
        <f>VLOOKUP(B3122,'Pre-Summary'!$BG$6:$BM$44,6,FALSE)</f>
        <v>#N/A</v>
      </c>
      <c r="Z3122" s="45" t="str">
        <f>IFERROR(VLOOKUP(B3122,'Pre-Summary'!$BZ$6:$CB$63,2,FALSE),"")</f>
        <v/>
      </c>
      <c r="AA3122" s="45" t="str">
        <f>IFERROR(VLOOKUP(B3122,'Pre-Summary'!$CG$6:$CI$70,2,FALSE),"")</f>
        <v/>
      </c>
      <c r="AB3122" s="99">
        <f>IFERROR(VLOOKUP(B3122,'Pre-Summary'!$A$6:$P$178,9,FALSE),AB3123)</f>
        <v>0</v>
      </c>
      <c r="AC3122" s="10">
        <f>IFERROR(VLOOKUP(Summary!B3122,'Pre-Summary'!$A$6:$P$184,5, FALSE)/100,AC3123)</f>
        <v>0</v>
      </c>
      <c r="AD3122" s="10">
        <f>IFERROR(VLOOKUP(Summary!B3122,'Pre-Summary'!$A$6:$P$184,3, FALSE)/100,AD3123)</f>
        <v>0</v>
      </c>
      <c r="AE3122" s="10">
        <f>IFERROR(VLOOKUP(Summary!B3122,'Pre-Summary'!$A$6:$P$184,7, FALSE)/100,AE3123)</f>
        <v>0</v>
      </c>
      <c r="AF3122" s="99">
        <f t="shared" si="147"/>
        <v>0</v>
      </c>
      <c r="AG3122" s="99">
        <f t="shared" si="148"/>
        <v>0</v>
      </c>
      <c r="AH3122" s="10" t="str">
        <f>IFERROR(VLOOKUP(B3122,'Pre-Summary'!$AZ$6:$BE$65,3,FALSE),"")</f>
        <v/>
      </c>
      <c r="AI3122" s="10" t="str">
        <f>IFERROR(VLOOKUP(B3122,'Pre-Summary'!$AZ$6:$BE$65,5,FALSE),"")</f>
        <v/>
      </c>
      <c r="AJ3122" s="10" t="str">
        <f>IFERROR(VLOOKUP(B3122,'Pre-Summary'!$AZ$6:$BE$65,4,FALSE),"")</f>
        <v/>
      </c>
      <c r="AK3122" s="10" t="str">
        <f>IFERROR(VLOOKUP(B3122,'Pre-Summary'!$AZ$6:$BE$65,6,FALSE),"")</f>
        <v/>
      </c>
      <c r="AL3122" s="10" t="str">
        <f>IFERROR(VLOOKUP(B3122,'Pre-Summary'!$BG$6:$BL$44,3,FALSE),"")</f>
        <v/>
      </c>
      <c r="AM3122" s="10" t="str">
        <f>IFERROR(VLOOKUP(B3122,'Pre-Summary'!$BG$6:$BL$44,4,FALSE),"")</f>
        <v/>
      </c>
    </row>
    <row r="3123" spans="2:39" ht="15" customHeight="1" x14ac:dyDescent="0.3">
      <c r="B3123">
        <v>312</v>
      </c>
      <c r="D3123" s="10"/>
      <c r="E3123" s="10"/>
      <c r="F3123">
        <f>IFERROR(VLOOKUP(B3123,'Pre-Summary'!$AL$6:$AQ$13,6,FALSE),F3122)</f>
        <v>5.9405263157894746E-2</v>
      </c>
      <c r="M3123" s="45" t="str">
        <f>IFERROR(VLOOKUP(B3123,'Pre-Summary'!$BW$6:$BY$58,2,FALSE),"")</f>
        <v/>
      </c>
      <c r="N3123" s="45" t="str">
        <f>IFERROR(VLOOKUP(B3123,'Pre-Summary'!$CD$6:$CF$64,2,FALSE),"")</f>
        <v/>
      </c>
      <c r="O3123" s="99">
        <f>IFERROR(VLOOKUP(B3123,'Pre-Summary'!$BO$6:$BQ$48,3, FALSE),O3122)</f>
        <v>3.3239999999999998</v>
      </c>
      <c r="P3123" s="99">
        <f>IFERROR(VLOOKUP(B3123,'Pre-Summary'!$BS$6:$BU$35,3,FALSE),P3122)</f>
        <v>0.84099999999999997</v>
      </c>
      <c r="Q3123" s="54">
        <f t="shared" si="144"/>
        <v>3.9524375743162903</v>
      </c>
      <c r="R3123" s="53">
        <f>IFERROR(VLOOKUP(B3123,'Pre-Summary'!$BG$6:$BM$44,7,FALSE),R3124)</f>
        <v>0</v>
      </c>
      <c r="S3123" s="53" t="e">
        <f>VLOOKUP(B3123,'Pre-Summary'!$BG$6:$BM$44,6,FALSE)</f>
        <v>#N/A</v>
      </c>
      <c r="Z3123" s="45" t="str">
        <f>IFERROR(VLOOKUP(B3123,'Pre-Summary'!$BZ$6:$CB$63,2,FALSE),"")</f>
        <v/>
      </c>
      <c r="AA3123" s="45" t="str">
        <f>IFERROR(VLOOKUP(B3123,'Pre-Summary'!$CG$6:$CI$70,2,FALSE),"")</f>
        <v/>
      </c>
      <c r="AB3123" s="99">
        <f>IFERROR(VLOOKUP(B3123,'Pre-Summary'!$A$6:$P$178,9,FALSE),AB3124)</f>
        <v>0</v>
      </c>
      <c r="AC3123" s="10">
        <f>IFERROR(VLOOKUP(Summary!B3123,'Pre-Summary'!$A$6:$P$184,5, FALSE)/100,AC3124)</f>
        <v>0</v>
      </c>
      <c r="AD3123" s="10">
        <f>IFERROR(VLOOKUP(Summary!B3123,'Pre-Summary'!$A$6:$P$184,3, FALSE)/100,AD3124)</f>
        <v>0</v>
      </c>
      <c r="AE3123" s="10">
        <f>IFERROR(VLOOKUP(Summary!B3123,'Pre-Summary'!$A$6:$P$184,7, FALSE)/100,AE3124)</f>
        <v>0</v>
      </c>
      <c r="AF3123" s="99">
        <f t="shared" si="147"/>
        <v>0</v>
      </c>
      <c r="AG3123" s="99">
        <f t="shared" si="148"/>
        <v>0</v>
      </c>
      <c r="AH3123" s="10" t="str">
        <f>IFERROR(VLOOKUP(B3123,'Pre-Summary'!$AZ$6:$BE$65,3,FALSE),"")</f>
        <v/>
      </c>
      <c r="AI3123" s="10" t="str">
        <f>IFERROR(VLOOKUP(B3123,'Pre-Summary'!$AZ$6:$BE$65,5,FALSE),"")</f>
        <v/>
      </c>
      <c r="AJ3123" s="10" t="str">
        <f>IFERROR(VLOOKUP(B3123,'Pre-Summary'!$AZ$6:$BE$65,4,FALSE),"")</f>
        <v/>
      </c>
      <c r="AK3123" s="10" t="str">
        <f>IFERROR(VLOOKUP(B3123,'Pre-Summary'!$AZ$6:$BE$65,6,FALSE),"")</f>
        <v/>
      </c>
      <c r="AL3123" s="10" t="str">
        <f>IFERROR(VLOOKUP(B3123,'Pre-Summary'!$BG$6:$BL$44,3,FALSE),"")</f>
        <v/>
      </c>
      <c r="AM3123" s="10" t="str">
        <f>IFERROR(VLOOKUP(B3123,'Pre-Summary'!$BG$6:$BL$44,4,FALSE),"")</f>
        <v/>
      </c>
    </row>
    <row r="3124" spans="2:39" ht="15" customHeight="1" x14ac:dyDescent="0.3">
      <c r="B3124">
        <v>312.10000000000002</v>
      </c>
      <c r="D3124" s="10"/>
      <c r="E3124" s="10"/>
      <c r="F3124">
        <f>IFERROR(VLOOKUP(B3124,'Pre-Summary'!$AL$6:$AQ$13,6,FALSE),F3123)</f>
        <v>5.9405263157894746E-2</v>
      </c>
      <c r="M3124" s="45" t="str">
        <f>IFERROR(VLOOKUP(B3124,'Pre-Summary'!$BW$6:$BY$58,2,FALSE),"")</f>
        <v/>
      </c>
      <c r="N3124" s="45" t="str">
        <f>IFERROR(VLOOKUP(B3124,'Pre-Summary'!$CD$6:$CF$64,2,FALSE),"")</f>
        <v/>
      </c>
      <c r="O3124" s="99">
        <f>IFERROR(VLOOKUP(B3124,'Pre-Summary'!$BO$6:$BQ$48,3, FALSE),O3123)</f>
        <v>3.3239999999999998</v>
      </c>
      <c r="P3124" s="99">
        <f>IFERROR(VLOOKUP(B3124,'Pre-Summary'!$BS$6:$BU$35,3,FALSE),P3123)</f>
        <v>0.84099999999999997</v>
      </c>
      <c r="Q3124" s="54">
        <f t="shared" si="144"/>
        <v>3.9524375743162903</v>
      </c>
      <c r="R3124" s="53">
        <f>IFERROR(VLOOKUP(B3124,'Pre-Summary'!$BG$6:$BM$44,7,FALSE),R3125)</f>
        <v>0</v>
      </c>
      <c r="S3124" s="53" t="e">
        <f>VLOOKUP(B3124,'Pre-Summary'!$BG$6:$BM$44,6,FALSE)</f>
        <v>#N/A</v>
      </c>
      <c r="Z3124" s="45" t="str">
        <f>IFERROR(VLOOKUP(B3124,'Pre-Summary'!$BZ$6:$CB$63,2,FALSE),"")</f>
        <v/>
      </c>
      <c r="AA3124" s="45" t="str">
        <f>IFERROR(VLOOKUP(B3124,'Pre-Summary'!$CG$6:$CI$70,2,FALSE),"")</f>
        <v/>
      </c>
      <c r="AB3124" s="99">
        <f>IFERROR(VLOOKUP(B3124,'Pre-Summary'!$A$6:$P$178,9,FALSE),AB3125)</f>
        <v>0</v>
      </c>
      <c r="AC3124" s="10">
        <f>IFERROR(VLOOKUP(Summary!B3124,'Pre-Summary'!$A$6:$P$184,5, FALSE)/100,AC3125)</f>
        <v>0</v>
      </c>
      <c r="AD3124" s="10">
        <f>IFERROR(VLOOKUP(Summary!B3124,'Pre-Summary'!$A$6:$P$184,3, FALSE)/100,AD3125)</f>
        <v>0</v>
      </c>
      <c r="AE3124" s="10">
        <f>IFERROR(VLOOKUP(Summary!B3124,'Pre-Summary'!$A$6:$P$184,7, FALSE)/100,AE3125)</f>
        <v>0</v>
      </c>
      <c r="AF3124" s="99">
        <f t="shared" si="147"/>
        <v>0</v>
      </c>
      <c r="AG3124" s="99">
        <f t="shared" si="148"/>
        <v>0</v>
      </c>
      <c r="AH3124" s="10" t="str">
        <f>IFERROR(VLOOKUP(B3124,'Pre-Summary'!$AZ$6:$BE$65,3,FALSE),"")</f>
        <v/>
      </c>
      <c r="AI3124" s="10" t="str">
        <f>IFERROR(VLOOKUP(B3124,'Pre-Summary'!$AZ$6:$BE$65,5,FALSE),"")</f>
        <v/>
      </c>
      <c r="AJ3124" s="10" t="str">
        <f>IFERROR(VLOOKUP(B3124,'Pre-Summary'!$AZ$6:$BE$65,4,FALSE),"")</f>
        <v/>
      </c>
      <c r="AK3124" s="10" t="str">
        <f>IFERROR(VLOOKUP(B3124,'Pre-Summary'!$AZ$6:$BE$65,6,FALSE),"")</f>
        <v/>
      </c>
      <c r="AL3124" s="10" t="str">
        <f>IFERROR(VLOOKUP(B3124,'Pre-Summary'!$BG$6:$BL$44,3,FALSE),"")</f>
        <v/>
      </c>
      <c r="AM3124" s="10" t="str">
        <f>IFERROR(VLOOKUP(B3124,'Pre-Summary'!$BG$6:$BL$44,4,FALSE),"")</f>
        <v/>
      </c>
    </row>
    <row r="3125" spans="2:39" ht="15" customHeight="1" x14ac:dyDescent="0.3">
      <c r="B3125">
        <v>312.20000000000101</v>
      </c>
      <c r="D3125" s="10"/>
      <c r="E3125" s="10"/>
      <c r="F3125">
        <f>IFERROR(VLOOKUP(B3125,'Pre-Summary'!$AL$6:$AQ$13,6,FALSE),F3124)</f>
        <v>5.9405263157894746E-2</v>
      </c>
      <c r="M3125" s="45" t="str">
        <f>IFERROR(VLOOKUP(B3125,'Pre-Summary'!$BW$6:$BY$58,2,FALSE),"")</f>
        <v/>
      </c>
      <c r="N3125" s="45" t="str">
        <f>IFERROR(VLOOKUP(B3125,'Pre-Summary'!$CD$6:$CF$64,2,FALSE),"")</f>
        <v/>
      </c>
      <c r="O3125" s="99">
        <f>IFERROR(VLOOKUP(B3125,'Pre-Summary'!$BO$6:$BQ$48,3, FALSE),O3124)</f>
        <v>3.3239999999999998</v>
      </c>
      <c r="P3125" s="99">
        <f>IFERROR(VLOOKUP(B3125,'Pre-Summary'!$BS$6:$BU$35,3,FALSE),P3124)</f>
        <v>0.84099999999999997</v>
      </c>
      <c r="Q3125" s="54">
        <f t="shared" si="144"/>
        <v>3.9524375743162903</v>
      </c>
      <c r="R3125" s="53">
        <f>IFERROR(VLOOKUP(B3125,'Pre-Summary'!$BG$6:$BM$44,7,FALSE),R3126)</f>
        <v>0</v>
      </c>
      <c r="S3125" s="53" t="e">
        <f>VLOOKUP(B3125,'Pre-Summary'!$BG$6:$BM$44,6,FALSE)</f>
        <v>#N/A</v>
      </c>
      <c r="Z3125" s="45" t="str">
        <f>IFERROR(VLOOKUP(B3125,'Pre-Summary'!$BZ$6:$CB$63,2,FALSE),"")</f>
        <v/>
      </c>
      <c r="AA3125" s="45" t="str">
        <f>IFERROR(VLOOKUP(B3125,'Pre-Summary'!$CG$6:$CI$70,2,FALSE),"")</f>
        <v/>
      </c>
      <c r="AB3125" s="99">
        <f>IFERROR(VLOOKUP(B3125,'Pre-Summary'!$A$6:$P$178,9,FALSE),AB3126)</f>
        <v>0</v>
      </c>
      <c r="AC3125" s="10">
        <f>IFERROR(VLOOKUP(Summary!B3125,'Pre-Summary'!$A$6:$P$184,5, FALSE)/100,AC3126)</f>
        <v>0</v>
      </c>
      <c r="AD3125" s="10">
        <f>IFERROR(VLOOKUP(Summary!B3125,'Pre-Summary'!$A$6:$P$184,3, FALSE)/100,AD3126)</f>
        <v>0</v>
      </c>
      <c r="AE3125" s="10">
        <f>IFERROR(VLOOKUP(Summary!B3125,'Pre-Summary'!$A$6:$P$184,7, FALSE)/100,AE3126)</f>
        <v>0</v>
      </c>
      <c r="AF3125" s="99">
        <f t="shared" si="147"/>
        <v>0</v>
      </c>
      <c r="AG3125" s="99">
        <f t="shared" si="148"/>
        <v>0</v>
      </c>
      <c r="AH3125" s="10" t="str">
        <f>IFERROR(VLOOKUP(B3125,'Pre-Summary'!$AZ$6:$BE$65,3,FALSE),"")</f>
        <v/>
      </c>
      <c r="AI3125" s="10" t="str">
        <f>IFERROR(VLOOKUP(B3125,'Pre-Summary'!$AZ$6:$BE$65,5,FALSE),"")</f>
        <v/>
      </c>
      <c r="AJ3125" s="10" t="str">
        <f>IFERROR(VLOOKUP(B3125,'Pre-Summary'!$AZ$6:$BE$65,4,FALSE),"")</f>
        <v/>
      </c>
      <c r="AK3125" s="10" t="str">
        <f>IFERROR(VLOOKUP(B3125,'Pre-Summary'!$AZ$6:$BE$65,6,FALSE),"")</f>
        <v/>
      </c>
      <c r="AL3125" s="10" t="str">
        <f>IFERROR(VLOOKUP(B3125,'Pre-Summary'!$BG$6:$BL$44,3,FALSE),"")</f>
        <v/>
      </c>
      <c r="AM3125" s="10" t="str">
        <f>IFERROR(VLOOKUP(B3125,'Pre-Summary'!$BG$6:$BL$44,4,FALSE),"")</f>
        <v/>
      </c>
    </row>
    <row r="3126" spans="2:39" ht="15" customHeight="1" x14ac:dyDescent="0.3">
      <c r="B3126">
        <v>312.30000000000098</v>
      </c>
      <c r="D3126" s="10"/>
      <c r="E3126" s="10"/>
      <c r="F3126">
        <f>IFERROR(VLOOKUP(B3126,'Pre-Summary'!$AL$6:$AQ$13,6,FALSE),F3125)</f>
        <v>5.9405263157894746E-2</v>
      </c>
      <c r="M3126" s="45" t="str">
        <f>IFERROR(VLOOKUP(B3126,'Pre-Summary'!$BW$6:$BY$58,2,FALSE),"")</f>
        <v/>
      </c>
      <c r="N3126" s="45" t="str">
        <f>IFERROR(VLOOKUP(B3126,'Pre-Summary'!$CD$6:$CF$64,2,FALSE),"")</f>
        <v/>
      </c>
      <c r="O3126" s="99">
        <f>IFERROR(VLOOKUP(B3126,'Pre-Summary'!$BO$6:$BQ$48,3, FALSE),O3125)</f>
        <v>3.3239999999999998</v>
      </c>
      <c r="P3126" s="99">
        <f>IFERROR(VLOOKUP(B3126,'Pre-Summary'!$BS$6:$BU$35,3,FALSE),P3125)</f>
        <v>0.84099999999999997</v>
      </c>
      <c r="Q3126" s="54">
        <f t="shared" si="144"/>
        <v>3.9524375743162903</v>
      </c>
      <c r="R3126" s="53">
        <f>IFERROR(VLOOKUP(B3126,'Pre-Summary'!$BG$6:$BM$44,7,FALSE),R3127)</f>
        <v>0</v>
      </c>
      <c r="S3126" s="53" t="e">
        <f>VLOOKUP(B3126,'Pre-Summary'!$BG$6:$BM$44,6,FALSE)</f>
        <v>#N/A</v>
      </c>
      <c r="Z3126" s="45" t="str">
        <f>IFERROR(VLOOKUP(B3126,'Pre-Summary'!$BZ$6:$CB$63,2,FALSE),"")</f>
        <v/>
      </c>
      <c r="AA3126" s="45" t="str">
        <f>IFERROR(VLOOKUP(B3126,'Pre-Summary'!$CG$6:$CI$70,2,FALSE),"")</f>
        <v/>
      </c>
      <c r="AB3126" s="99">
        <f>IFERROR(VLOOKUP(B3126,'Pre-Summary'!$A$6:$P$178,9,FALSE),AB3127)</f>
        <v>0</v>
      </c>
      <c r="AC3126" s="10">
        <f>IFERROR(VLOOKUP(Summary!B3126,'Pre-Summary'!$A$6:$P$184,5, FALSE)/100,AC3127)</f>
        <v>0</v>
      </c>
      <c r="AD3126" s="10">
        <f>IFERROR(VLOOKUP(Summary!B3126,'Pre-Summary'!$A$6:$P$184,3, FALSE)/100,AD3127)</f>
        <v>0</v>
      </c>
      <c r="AE3126" s="10">
        <f>IFERROR(VLOOKUP(Summary!B3126,'Pre-Summary'!$A$6:$P$184,7, FALSE)/100,AE3127)</f>
        <v>0</v>
      </c>
      <c r="AF3126" s="99">
        <f t="shared" si="147"/>
        <v>0</v>
      </c>
      <c r="AG3126" s="99">
        <f t="shared" si="148"/>
        <v>0</v>
      </c>
      <c r="AH3126" s="10" t="str">
        <f>IFERROR(VLOOKUP(B3126,'Pre-Summary'!$AZ$6:$BE$65,3,FALSE),"")</f>
        <v/>
      </c>
      <c r="AI3126" s="10" t="str">
        <f>IFERROR(VLOOKUP(B3126,'Pre-Summary'!$AZ$6:$BE$65,5,FALSE),"")</f>
        <v/>
      </c>
      <c r="AJ3126" s="10" t="str">
        <f>IFERROR(VLOOKUP(B3126,'Pre-Summary'!$AZ$6:$BE$65,4,FALSE),"")</f>
        <v/>
      </c>
      <c r="AK3126" s="10" t="str">
        <f>IFERROR(VLOOKUP(B3126,'Pre-Summary'!$AZ$6:$BE$65,6,FALSE),"")</f>
        <v/>
      </c>
      <c r="AL3126" s="10" t="str">
        <f>IFERROR(VLOOKUP(B3126,'Pre-Summary'!$BG$6:$BL$44,3,FALSE),"")</f>
        <v/>
      </c>
      <c r="AM3126" s="10" t="str">
        <f>IFERROR(VLOOKUP(B3126,'Pre-Summary'!$BG$6:$BL$44,4,FALSE),"")</f>
        <v/>
      </c>
    </row>
    <row r="3127" spans="2:39" ht="15" customHeight="1" x14ac:dyDescent="0.3">
      <c r="B3127">
        <v>312.400000000001</v>
      </c>
      <c r="D3127" s="10"/>
      <c r="E3127" s="10"/>
      <c r="F3127">
        <f>IFERROR(VLOOKUP(B3127,'Pre-Summary'!$AL$6:$AQ$13,6,FALSE),F3126)</f>
        <v>5.9405263157894746E-2</v>
      </c>
      <c r="M3127" s="45" t="str">
        <f>IFERROR(VLOOKUP(B3127,'Pre-Summary'!$BW$6:$BY$58,2,FALSE),"")</f>
        <v/>
      </c>
      <c r="N3127" s="45" t="str">
        <f>IFERROR(VLOOKUP(B3127,'Pre-Summary'!$CD$6:$CF$64,2,FALSE),"")</f>
        <v/>
      </c>
      <c r="O3127" s="99">
        <f>IFERROR(VLOOKUP(B3127,'Pre-Summary'!$BO$6:$BQ$48,3, FALSE),O3126)</f>
        <v>3.3239999999999998</v>
      </c>
      <c r="P3127" s="99">
        <f>IFERROR(VLOOKUP(B3127,'Pre-Summary'!$BS$6:$BU$35,3,FALSE),P3126)</f>
        <v>0.84099999999999997</v>
      </c>
      <c r="Q3127" s="54">
        <f t="shared" si="144"/>
        <v>3.9524375743162903</v>
      </c>
      <c r="R3127" s="53">
        <f>IFERROR(VLOOKUP(B3127,'Pre-Summary'!$BG$6:$BM$44,7,FALSE),R3128)</f>
        <v>0</v>
      </c>
      <c r="S3127" s="53" t="e">
        <f>VLOOKUP(B3127,'Pre-Summary'!$BG$6:$BM$44,6,FALSE)</f>
        <v>#N/A</v>
      </c>
      <c r="Z3127" s="45" t="str">
        <f>IFERROR(VLOOKUP(B3127,'Pre-Summary'!$BZ$6:$CB$63,2,FALSE),"")</f>
        <v/>
      </c>
      <c r="AA3127" s="45" t="str">
        <f>IFERROR(VLOOKUP(B3127,'Pre-Summary'!$CG$6:$CI$70,2,FALSE),"")</f>
        <v/>
      </c>
      <c r="AB3127" s="99">
        <f>IFERROR(VLOOKUP(B3127,'Pre-Summary'!$A$6:$P$178,9,FALSE),AB3128)</f>
        <v>0</v>
      </c>
      <c r="AC3127" s="10">
        <f>IFERROR(VLOOKUP(Summary!B3127,'Pre-Summary'!$A$6:$P$184,5, FALSE)/100,AC3128)</f>
        <v>0</v>
      </c>
      <c r="AD3127" s="10">
        <f>IFERROR(VLOOKUP(Summary!B3127,'Pre-Summary'!$A$6:$P$184,3, FALSE)/100,AD3128)</f>
        <v>0</v>
      </c>
      <c r="AE3127" s="10">
        <f>IFERROR(VLOOKUP(Summary!B3127,'Pre-Summary'!$A$6:$P$184,7, FALSE)/100,AE3128)</f>
        <v>0</v>
      </c>
      <c r="AF3127" s="99">
        <f t="shared" si="147"/>
        <v>0</v>
      </c>
      <c r="AG3127" s="99">
        <f t="shared" si="148"/>
        <v>0</v>
      </c>
      <c r="AH3127" s="10" t="str">
        <f>IFERROR(VLOOKUP(B3127,'Pre-Summary'!$AZ$6:$BE$65,3,FALSE),"")</f>
        <v/>
      </c>
      <c r="AI3127" s="10" t="str">
        <f>IFERROR(VLOOKUP(B3127,'Pre-Summary'!$AZ$6:$BE$65,5,FALSE),"")</f>
        <v/>
      </c>
      <c r="AJ3127" s="10" t="str">
        <f>IFERROR(VLOOKUP(B3127,'Pre-Summary'!$AZ$6:$BE$65,4,FALSE),"")</f>
        <v/>
      </c>
      <c r="AK3127" s="10" t="str">
        <f>IFERROR(VLOOKUP(B3127,'Pre-Summary'!$AZ$6:$BE$65,6,FALSE),"")</f>
        <v/>
      </c>
      <c r="AL3127" s="10" t="str">
        <f>IFERROR(VLOOKUP(B3127,'Pre-Summary'!$BG$6:$BL$44,3,FALSE),"")</f>
        <v/>
      </c>
      <c r="AM3127" s="10" t="str">
        <f>IFERROR(VLOOKUP(B3127,'Pre-Summary'!$BG$6:$BL$44,4,FALSE),"")</f>
        <v/>
      </c>
    </row>
    <row r="3128" spans="2:39" ht="15" customHeight="1" x14ac:dyDescent="0.3">
      <c r="B3128">
        <v>312.50000000000102</v>
      </c>
      <c r="D3128" s="10"/>
      <c r="E3128" s="10"/>
      <c r="F3128">
        <f>IFERROR(VLOOKUP(B3128,'Pre-Summary'!$AL$6:$AQ$13,6,FALSE),F3127)</f>
        <v>5.9405263157894746E-2</v>
      </c>
      <c r="M3128" s="45" t="str">
        <f>IFERROR(VLOOKUP(B3128,'Pre-Summary'!$BW$6:$BY$58,2,FALSE),"")</f>
        <v/>
      </c>
      <c r="N3128" s="45" t="str">
        <f>IFERROR(VLOOKUP(B3128,'Pre-Summary'!$CD$6:$CF$64,2,FALSE),"")</f>
        <v/>
      </c>
      <c r="O3128" s="99">
        <f>IFERROR(VLOOKUP(B3128,'Pre-Summary'!$BO$6:$BQ$48,3, FALSE),O3127)</f>
        <v>3.3239999999999998</v>
      </c>
      <c r="P3128" s="99">
        <f>IFERROR(VLOOKUP(B3128,'Pre-Summary'!$BS$6:$BU$35,3,FALSE),P3127)</f>
        <v>0.84099999999999997</v>
      </c>
      <c r="Q3128" s="54">
        <f t="shared" si="144"/>
        <v>3.9524375743162903</v>
      </c>
      <c r="R3128" s="53">
        <f>IFERROR(VLOOKUP(B3128,'Pre-Summary'!$BG$6:$BM$44,7,FALSE),R3129)</f>
        <v>0</v>
      </c>
      <c r="S3128" s="53" t="e">
        <f>VLOOKUP(B3128,'Pre-Summary'!$BG$6:$BM$44,6,FALSE)</f>
        <v>#N/A</v>
      </c>
      <c r="Z3128" s="45" t="str">
        <f>IFERROR(VLOOKUP(B3128,'Pre-Summary'!$BZ$6:$CB$63,2,FALSE),"")</f>
        <v/>
      </c>
      <c r="AA3128" s="45" t="str">
        <f>IFERROR(VLOOKUP(B3128,'Pre-Summary'!$CG$6:$CI$70,2,FALSE),"")</f>
        <v/>
      </c>
      <c r="AB3128" s="99">
        <f>IFERROR(VLOOKUP(B3128,'Pre-Summary'!$A$6:$P$178,9,FALSE),AB3129)</f>
        <v>0</v>
      </c>
      <c r="AC3128" s="10">
        <f>IFERROR(VLOOKUP(Summary!B3128,'Pre-Summary'!$A$6:$P$184,5, FALSE)/100,AC3129)</f>
        <v>0</v>
      </c>
      <c r="AD3128" s="10">
        <f>IFERROR(VLOOKUP(Summary!B3128,'Pre-Summary'!$A$6:$P$184,3, FALSE)/100,AD3129)</f>
        <v>0</v>
      </c>
      <c r="AE3128" s="10">
        <f>IFERROR(VLOOKUP(Summary!B3128,'Pre-Summary'!$A$6:$P$184,7, FALSE)/100,AE3129)</f>
        <v>0</v>
      </c>
      <c r="AF3128" s="99">
        <f t="shared" si="147"/>
        <v>0</v>
      </c>
      <c r="AG3128" s="99">
        <f t="shared" si="148"/>
        <v>0</v>
      </c>
      <c r="AH3128" s="10" t="str">
        <f>IFERROR(VLOOKUP(B3128,'Pre-Summary'!$AZ$6:$BE$65,3,FALSE),"")</f>
        <v/>
      </c>
      <c r="AI3128" s="10" t="str">
        <f>IFERROR(VLOOKUP(B3128,'Pre-Summary'!$AZ$6:$BE$65,5,FALSE),"")</f>
        <v/>
      </c>
      <c r="AJ3128" s="10" t="str">
        <f>IFERROR(VLOOKUP(B3128,'Pre-Summary'!$AZ$6:$BE$65,4,FALSE),"")</f>
        <v/>
      </c>
      <c r="AK3128" s="10" t="str">
        <f>IFERROR(VLOOKUP(B3128,'Pre-Summary'!$AZ$6:$BE$65,6,FALSE),"")</f>
        <v/>
      </c>
      <c r="AL3128" s="10" t="str">
        <f>IFERROR(VLOOKUP(B3128,'Pre-Summary'!$BG$6:$BL$44,3,FALSE),"")</f>
        <v/>
      </c>
      <c r="AM3128" s="10" t="str">
        <f>IFERROR(VLOOKUP(B3128,'Pre-Summary'!$BG$6:$BL$44,4,FALSE),"")</f>
        <v/>
      </c>
    </row>
    <row r="3129" spans="2:39" ht="15" customHeight="1" x14ac:dyDescent="0.3">
      <c r="B3129">
        <v>312.60000000000099</v>
      </c>
      <c r="D3129" s="10"/>
      <c r="E3129" s="10"/>
      <c r="F3129">
        <f>IFERROR(VLOOKUP(B3129,'Pre-Summary'!$AL$6:$AQ$13,6,FALSE),F3128)</f>
        <v>5.9405263157894746E-2</v>
      </c>
      <c r="M3129" s="45" t="str">
        <f>IFERROR(VLOOKUP(B3129,'Pre-Summary'!$BW$6:$BY$58,2,FALSE),"")</f>
        <v/>
      </c>
      <c r="N3129" s="45" t="str">
        <f>IFERROR(VLOOKUP(B3129,'Pre-Summary'!$CD$6:$CF$64,2,FALSE),"")</f>
        <v/>
      </c>
      <c r="O3129" s="99">
        <f>IFERROR(VLOOKUP(B3129,'Pre-Summary'!$BO$6:$BQ$48,3, FALSE),O3128)</f>
        <v>3.3239999999999998</v>
      </c>
      <c r="P3129" s="99">
        <f>IFERROR(VLOOKUP(B3129,'Pre-Summary'!$BS$6:$BU$35,3,FALSE),P3128)</f>
        <v>0.84099999999999997</v>
      </c>
      <c r="Q3129" s="54">
        <f t="shared" si="144"/>
        <v>3.9524375743162903</v>
      </c>
      <c r="R3129" s="53">
        <f>IFERROR(VLOOKUP(B3129,'Pre-Summary'!$BG$6:$BM$44,7,FALSE),R3130)</f>
        <v>0</v>
      </c>
      <c r="S3129" s="53" t="e">
        <f>VLOOKUP(B3129,'Pre-Summary'!$BG$6:$BM$44,6,FALSE)</f>
        <v>#N/A</v>
      </c>
      <c r="Z3129" s="45" t="str">
        <f>IFERROR(VLOOKUP(B3129,'Pre-Summary'!$BZ$6:$CB$63,2,FALSE),"")</f>
        <v/>
      </c>
      <c r="AA3129" s="45" t="str">
        <f>IFERROR(VLOOKUP(B3129,'Pre-Summary'!$CG$6:$CI$70,2,FALSE),"")</f>
        <v/>
      </c>
      <c r="AB3129" s="99">
        <f>IFERROR(VLOOKUP(B3129,'Pre-Summary'!$A$6:$P$178,9,FALSE),AB3130)</f>
        <v>0</v>
      </c>
      <c r="AC3129" s="10">
        <f>IFERROR(VLOOKUP(Summary!B3129,'Pre-Summary'!$A$6:$P$184,5, FALSE)/100,AC3130)</f>
        <v>0</v>
      </c>
      <c r="AD3129" s="10">
        <f>IFERROR(VLOOKUP(Summary!B3129,'Pre-Summary'!$A$6:$P$184,3, FALSE)/100,AD3130)</f>
        <v>0</v>
      </c>
      <c r="AE3129" s="10">
        <f>IFERROR(VLOOKUP(Summary!B3129,'Pre-Summary'!$A$6:$P$184,7, FALSE)/100,AE3130)</f>
        <v>0</v>
      </c>
      <c r="AF3129" s="99">
        <f t="shared" si="147"/>
        <v>0</v>
      </c>
      <c r="AG3129" s="99">
        <f t="shared" si="148"/>
        <v>0</v>
      </c>
      <c r="AH3129" s="10" t="str">
        <f>IFERROR(VLOOKUP(B3129,'Pre-Summary'!$AZ$6:$BE$65,3,FALSE),"")</f>
        <v/>
      </c>
      <c r="AI3129" s="10" t="str">
        <f>IFERROR(VLOOKUP(B3129,'Pre-Summary'!$AZ$6:$BE$65,5,FALSE),"")</f>
        <v/>
      </c>
      <c r="AJ3129" s="10" t="str">
        <f>IFERROR(VLOOKUP(B3129,'Pre-Summary'!$AZ$6:$BE$65,4,FALSE),"")</f>
        <v/>
      </c>
      <c r="AK3129" s="10" t="str">
        <f>IFERROR(VLOOKUP(B3129,'Pre-Summary'!$AZ$6:$BE$65,6,FALSE),"")</f>
        <v/>
      </c>
      <c r="AL3129" s="10" t="str">
        <f>IFERROR(VLOOKUP(B3129,'Pre-Summary'!$BG$6:$BL$44,3,FALSE),"")</f>
        <v/>
      </c>
      <c r="AM3129" s="10" t="str">
        <f>IFERROR(VLOOKUP(B3129,'Pre-Summary'!$BG$6:$BL$44,4,FALSE),"")</f>
        <v/>
      </c>
    </row>
    <row r="3130" spans="2:39" ht="15" customHeight="1" x14ac:dyDescent="0.3">
      <c r="B3130">
        <v>312.70000000000101</v>
      </c>
      <c r="D3130" s="10"/>
      <c r="E3130" s="10"/>
      <c r="F3130">
        <f>IFERROR(VLOOKUP(B3130,'Pre-Summary'!$AL$6:$AQ$13,6,FALSE),F3129)</f>
        <v>5.9405263157894746E-2</v>
      </c>
      <c r="M3130" s="45" t="str">
        <f>IFERROR(VLOOKUP(B3130,'Pre-Summary'!$BW$6:$BY$58,2,FALSE),"")</f>
        <v/>
      </c>
      <c r="N3130" s="45" t="str">
        <f>IFERROR(VLOOKUP(B3130,'Pre-Summary'!$CD$6:$CF$64,2,FALSE),"")</f>
        <v/>
      </c>
      <c r="O3130" s="99">
        <f>IFERROR(VLOOKUP(B3130,'Pre-Summary'!$BO$6:$BQ$48,3, FALSE),O3129)</f>
        <v>3.3239999999999998</v>
      </c>
      <c r="P3130" s="99">
        <f>IFERROR(VLOOKUP(B3130,'Pre-Summary'!$BS$6:$BU$35,3,FALSE),P3129)</f>
        <v>0.84099999999999997</v>
      </c>
      <c r="Q3130" s="54">
        <f t="shared" si="144"/>
        <v>3.9524375743162903</v>
      </c>
      <c r="R3130" s="53">
        <f>IFERROR(VLOOKUP(B3130,'Pre-Summary'!$BG$6:$BM$44,7,FALSE),R3131)</f>
        <v>0</v>
      </c>
      <c r="S3130" s="53" t="e">
        <f>VLOOKUP(B3130,'Pre-Summary'!$BG$6:$BM$44,6,FALSE)</f>
        <v>#N/A</v>
      </c>
      <c r="Z3130" s="45" t="str">
        <f>IFERROR(VLOOKUP(B3130,'Pre-Summary'!$BZ$6:$CB$63,2,FALSE),"")</f>
        <v/>
      </c>
      <c r="AA3130" s="45" t="str">
        <f>IFERROR(VLOOKUP(B3130,'Pre-Summary'!$CG$6:$CI$70,2,FALSE),"")</f>
        <v/>
      </c>
      <c r="AB3130" s="99">
        <f>IFERROR(VLOOKUP(B3130,'Pre-Summary'!$A$6:$P$178,9,FALSE),AB3131)</f>
        <v>0</v>
      </c>
      <c r="AC3130" s="10">
        <f>IFERROR(VLOOKUP(Summary!B3130,'Pre-Summary'!$A$6:$P$184,5, FALSE)/100,AC3131)</f>
        <v>0</v>
      </c>
      <c r="AD3130" s="10">
        <f>IFERROR(VLOOKUP(Summary!B3130,'Pre-Summary'!$A$6:$P$184,3, FALSE)/100,AD3131)</f>
        <v>0</v>
      </c>
      <c r="AE3130" s="10">
        <f>IFERROR(VLOOKUP(Summary!B3130,'Pre-Summary'!$A$6:$P$184,7, FALSE)/100,AE3131)</f>
        <v>0</v>
      </c>
      <c r="AF3130" s="99">
        <f t="shared" si="147"/>
        <v>0</v>
      </c>
      <c r="AG3130" s="99">
        <f t="shared" si="148"/>
        <v>0</v>
      </c>
      <c r="AH3130" s="10" t="str">
        <f>IFERROR(VLOOKUP(B3130,'Pre-Summary'!$AZ$6:$BE$65,3,FALSE),"")</f>
        <v/>
      </c>
      <c r="AI3130" s="10" t="str">
        <f>IFERROR(VLOOKUP(B3130,'Pre-Summary'!$AZ$6:$BE$65,5,FALSE),"")</f>
        <v/>
      </c>
      <c r="AJ3130" s="10" t="str">
        <f>IFERROR(VLOOKUP(B3130,'Pre-Summary'!$AZ$6:$BE$65,4,FALSE),"")</f>
        <v/>
      </c>
      <c r="AK3130" s="10" t="str">
        <f>IFERROR(VLOOKUP(B3130,'Pre-Summary'!$AZ$6:$BE$65,6,FALSE),"")</f>
        <v/>
      </c>
      <c r="AL3130" s="10" t="str">
        <f>IFERROR(VLOOKUP(B3130,'Pre-Summary'!$BG$6:$BL$44,3,FALSE),"")</f>
        <v/>
      </c>
      <c r="AM3130" s="10" t="str">
        <f>IFERROR(VLOOKUP(B3130,'Pre-Summary'!$BG$6:$BL$44,4,FALSE),"")</f>
        <v/>
      </c>
    </row>
    <row r="3131" spans="2:39" ht="15" customHeight="1" x14ac:dyDescent="0.3">
      <c r="B3131">
        <v>312.80000000000098</v>
      </c>
      <c r="D3131" s="10"/>
      <c r="E3131" s="10"/>
      <c r="F3131">
        <f>IFERROR(VLOOKUP(B3131,'Pre-Summary'!$AL$6:$AQ$13,6,FALSE),F3130)</f>
        <v>5.9405263157894746E-2</v>
      </c>
      <c r="M3131" s="45" t="str">
        <f>IFERROR(VLOOKUP(B3131,'Pre-Summary'!$BW$6:$BY$58,2,FALSE),"")</f>
        <v/>
      </c>
      <c r="N3131" s="45" t="str">
        <f>IFERROR(VLOOKUP(B3131,'Pre-Summary'!$CD$6:$CF$64,2,FALSE),"")</f>
        <v/>
      </c>
      <c r="O3131" s="99">
        <f>IFERROR(VLOOKUP(B3131,'Pre-Summary'!$BO$6:$BQ$48,3, FALSE),O3130)</f>
        <v>3.3239999999999998</v>
      </c>
      <c r="P3131" s="99">
        <f>IFERROR(VLOOKUP(B3131,'Pre-Summary'!$BS$6:$BU$35,3,FALSE),P3130)</f>
        <v>0.84099999999999997</v>
      </c>
      <c r="Q3131" s="54">
        <f t="shared" si="144"/>
        <v>3.9524375743162903</v>
      </c>
      <c r="R3131" s="53">
        <f>IFERROR(VLOOKUP(B3131,'Pre-Summary'!$BG$6:$BM$44,7,FALSE),R3132)</f>
        <v>0</v>
      </c>
      <c r="S3131" s="53" t="e">
        <f>VLOOKUP(B3131,'Pre-Summary'!$BG$6:$BM$44,6,FALSE)</f>
        <v>#N/A</v>
      </c>
      <c r="Z3131" s="45" t="str">
        <f>IFERROR(VLOOKUP(B3131,'Pre-Summary'!$BZ$6:$CB$63,2,FALSE),"")</f>
        <v/>
      </c>
      <c r="AA3131" s="45" t="str">
        <f>IFERROR(VLOOKUP(B3131,'Pre-Summary'!$CG$6:$CI$70,2,FALSE),"")</f>
        <v/>
      </c>
      <c r="AB3131" s="99">
        <f>IFERROR(VLOOKUP(B3131,'Pre-Summary'!$A$6:$P$178,9,FALSE),AB3132)</f>
        <v>0</v>
      </c>
      <c r="AC3131" s="10">
        <f>IFERROR(VLOOKUP(Summary!B3131,'Pre-Summary'!$A$6:$P$184,5, FALSE)/100,AC3132)</f>
        <v>0</v>
      </c>
      <c r="AD3131" s="10">
        <f>IFERROR(VLOOKUP(Summary!B3131,'Pre-Summary'!$A$6:$P$184,3, FALSE)/100,AD3132)</f>
        <v>0</v>
      </c>
      <c r="AE3131" s="10">
        <f>IFERROR(VLOOKUP(Summary!B3131,'Pre-Summary'!$A$6:$P$184,7, FALSE)/100,AE3132)</f>
        <v>0</v>
      </c>
      <c r="AF3131" s="99">
        <f t="shared" si="147"/>
        <v>0</v>
      </c>
      <c r="AG3131" s="99">
        <f t="shared" si="148"/>
        <v>0</v>
      </c>
      <c r="AH3131" s="10" t="str">
        <f>IFERROR(VLOOKUP(B3131,'Pre-Summary'!$AZ$6:$BE$65,3,FALSE),"")</f>
        <v/>
      </c>
      <c r="AI3131" s="10" t="str">
        <f>IFERROR(VLOOKUP(B3131,'Pre-Summary'!$AZ$6:$BE$65,5,FALSE),"")</f>
        <v/>
      </c>
      <c r="AJ3131" s="10" t="str">
        <f>IFERROR(VLOOKUP(B3131,'Pre-Summary'!$AZ$6:$BE$65,4,FALSE),"")</f>
        <v/>
      </c>
      <c r="AK3131" s="10" t="str">
        <f>IFERROR(VLOOKUP(B3131,'Pre-Summary'!$AZ$6:$BE$65,6,FALSE),"")</f>
        <v/>
      </c>
      <c r="AL3131" s="10" t="str">
        <f>IFERROR(VLOOKUP(B3131,'Pre-Summary'!$BG$6:$BL$44,3,FALSE),"")</f>
        <v/>
      </c>
      <c r="AM3131" s="10" t="str">
        <f>IFERROR(VLOOKUP(B3131,'Pre-Summary'!$BG$6:$BL$44,4,FALSE),"")</f>
        <v/>
      </c>
    </row>
    <row r="3132" spans="2:39" ht="15" customHeight="1" x14ac:dyDescent="0.3">
      <c r="B3132">
        <v>312.900000000001</v>
      </c>
      <c r="D3132" s="10"/>
      <c r="E3132" s="10"/>
      <c r="F3132">
        <f>IFERROR(VLOOKUP(B3132,'Pre-Summary'!$AL$6:$AQ$13,6,FALSE),F3131)</f>
        <v>5.9405263157894746E-2</v>
      </c>
      <c r="M3132" s="45" t="str">
        <f>IFERROR(VLOOKUP(B3132,'Pre-Summary'!$BW$6:$BY$58,2,FALSE),"")</f>
        <v/>
      </c>
      <c r="N3132" s="45" t="str">
        <f>IFERROR(VLOOKUP(B3132,'Pre-Summary'!$CD$6:$CF$64,2,FALSE),"")</f>
        <v/>
      </c>
      <c r="O3132" s="99">
        <f>IFERROR(VLOOKUP(B3132,'Pre-Summary'!$BO$6:$BQ$48,3, FALSE),O3131)</f>
        <v>3.3239999999999998</v>
      </c>
      <c r="P3132" s="99">
        <f>IFERROR(VLOOKUP(B3132,'Pre-Summary'!$BS$6:$BU$35,3,FALSE),P3131)</f>
        <v>0.84099999999999997</v>
      </c>
      <c r="Q3132" s="54">
        <f t="shared" si="144"/>
        <v>3.9524375743162903</v>
      </c>
      <c r="R3132" s="53">
        <f>IFERROR(VLOOKUP(B3132,'Pre-Summary'!$BG$6:$BM$44,7,FALSE),R3133)</f>
        <v>0</v>
      </c>
      <c r="S3132" s="53" t="e">
        <f>VLOOKUP(B3132,'Pre-Summary'!$BG$6:$BM$44,6,FALSE)</f>
        <v>#N/A</v>
      </c>
      <c r="Z3132" s="45" t="str">
        <f>IFERROR(VLOOKUP(B3132,'Pre-Summary'!$BZ$6:$CB$63,2,FALSE),"")</f>
        <v/>
      </c>
      <c r="AA3132" s="45" t="str">
        <f>IFERROR(VLOOKUP(B3132,'Pre-Summary'!$CG$6:$CI$70,2,FALSE),"")</f>
        <v/>
      </c>
      <c r="AB3132" s="99">
        <f>IFERROR(VLOOKUP(B3132,'Pre-Summary'!$A$6:$P$178,9,FALSE),AB3133)</f>
        <v>0</v>
      </c>
      <c r="AC3132" s="10">
        <f>IFERROR(VLOOKUP(Summary!B3132,'Pre-Summary'!$A$6:$P$184,5, FALSE)/100,AC3133)</f>
        <v>0</v>
      </c>
      <c r="AD3132" s="10">
        <f>IFERROR(VLOOKUP(Summary!B3132,'Pre-Summary'!$A$6:$P$184,3, FALSE)/100,AD3133)</f>
        <v>0</v>
      </c>
      <c r="AE3132" s="10">
        <f>IFERROR(VLOOKUP(Summary!B3132,'Pre-Summary'!$A$6:$P$184,7, FALSE)/100,AE3133)</f>
        <v>0</v>
      </c>
      <c r="AF3132" s="99">
        <f t="shared" si="147"/>
        <v>0</v>
      </c>
      <c r="AG3132" s="99">
        <f t="shared" si="148"/>
        <v>0</v>
      </c>
      <c r="AH3132" s="10" t="str">
        <f>IFERROR(VLOOKUP(B3132,'Pre-Summary'!$AZ$6:$BE$65,3,FALSE),"")</f>
        <v/>
      </c>
      <c r="AI3132" s="10" t="str">
        <f>IFERROR(VLOOKUP(B3132,'Pre-Summary'!$AZ$6:$BE$65,5,FALSE),"")</f>
        <v/>
      </c>
      <c r="AJ3132" s="10" t="str">
        <f>IFERROR(VLOOKUP(B3132,'Pre-Summary'!$AZ$6:$BE$65,4,FALSE),"")</f>
        <v/>
      </c>
      <c r="AK3132" s="10" t="str">
        <f>IFERROR(VLOOKUP(B3132,'Pre-Summary'!$AZ$6:$BE$65,6,FALSE),"")</f>
        <v/>
      </c>
      <c r="AL3132" s="10" t="str">
        <f>IFERROR(VLOOKUP(B3132,'Pre-Summary'!$BG$6:$BL$44,3,FALSE),"")</f>
        <v/>
      </c>
      <c r="AM3132" s="10" t="str">
        <f>IFERROR(VLOOKUP(B3132,'Pre-Summary'!$BG$6:$BL$44,4,FALSE),"")</f>
        <v/>
      </c>
    </row>
    <row r="3133" spans="2:39" ht="15" customHeight="1" x14ac:dyDescent="0.3">
      <c r="B3133">
        <v>313.00000000000102</v>
      </c>
      <c r="D3133" s="10"/>
      <c r="E3133" s="10"/>
      <c r="F3133">
        <f>IFERROR(VLOOKUP(B3133,'Pre-Summary'!$AL$6:$AQ$13,6,FALSE),F3132)</f>
        <v>5.9405263157894746E-2</v>
      </c>
      <c r="M3133" s="45" t="str">
        <f>IFERROR(VLOOKUP(B3133,'Pre-Summary'!$BW$6:$BY$58,2,FALSE),"")</f>
        <v/>
      </c>
      <c r="N3133" s="45" t="str">
        <f>IFERROR(VLOOKUP(B3133,'Pre-Summary'!$CD$6:$CF$64,2,FALSE),"")</f>
        <v/>
      </c>
      <c r="O3133" s="99">
        <f>IFERROR(VLOOKUP(B3133,'Pre-Summary'!$BO$6:$BQ$48,3, FALSE),O3132)</f>
        <v>3.3239999999999998</v>
      </c>
      <c r="P3133" s="99">
        <f>IFERROR(VLOOKUP(B3133,'Pre-Summary'!$BS$6:$BU$35,3,FALSE),P3132)</f>
        <v>0.84099999999999997</v>
      </c>
      <c r="Q3133" s="54">
        <f t="shared" si="144"/>
        <v>3.9524375743162903</v>
      </c>
      <c r="R3133" s="53">
        <f>IFERROR(VLOOKUP(B3133,'Pre-Summary'!$BG$6:$BM$44,7,FALSE),R3134)</f>
        <v>0</v>
      </c>
      <c r="S3133" s="53" t="e">
        <f>VLOOKUP(B3133,'Pre-Summary'!$BG$6:$BM$44,6,FALSE)</f>
        <v>#N/A</v>
      </c>
      <c r="Z3133" s="45" t="str">
        <f>IFERROR(VLOOKUP(B3133,'Pre-Summary'!$BZ$6:$CB$63,2,FALSE),"")</f>
        <v/>
      </c>
      <c r="AA3133" s="45" t="str">
        <f>IFERROR(VLOOKUP(B3133,'Pre-Summary'!$CG$6:$CI$70,2,FALSE),"")</f>
        <v/>
      </c>
      <c r="AB3133" s="99">
        <f>IFERROR(VLOOKUP(B3133,'Pre-Summary'!$A$6:$P$178,9,FALSE),AB3134)</f>
        <v>0</v>
      </c>
      <c r="AC3133" s="10">
        <f>IFERROR(VLOOKUP(Summary!B3133,'Pre-Summary'!$A$6:$P$184,5, FALSE)/100,AC3134)</f>
        <v>0</v>
      </c>
      <c r="AD3133" s="10">
        <f>IFERROR(VLOOKUP(Summary!B3133,'Pre-Summary'!$A$6:$P$184,3, FALSE)/100,AD3134)</f>
        <v>0</v>
      </c>
      <c r="AE3133" s="10">
        <f>IFERROR(VLOOKUP(Summary!B3133,'Pre-Summary'!$A$6:$P$184,7, FALSE)/100,AE3134)</f>
        <v>0</v>
      </c>
      <c r="AF3133" s="99">
        <f t="shared" si="147"/>
        <v>0</v>
      </c>
      <c r="AG3133" s="99">
        <f t="shared" si="148"/>
        <v>0</v>
      </c>
      <c r="AH3133" s="10" t="str">
        <f>IFERROR(VLOOKUP(B3133,'Pre-Summary'!$AZ$6:$BE$65,3,FALSE),"")</f>
        <v/>
      </c>
      <c r="AI3133" s="10" t="str">
        <f>IFERROR(VLOOKUP(B3133,'Pre-Summary'!$AZ$6:$BE$65,5,FALSE),"")</f>
        <v/>
      </c>
      <c r="AJ3133" s="10" t="str">
        <f>IFERROR(VLOOKUP(B3133,'Pre-Summary'!$AZ$6:$BE$65,4,FALSE),"")</f>
        <v/>
      </c>
      <c r="AK3133" s="10" t="str">
        <f>IFERROR(VLOOKUP(B3133,'Pre-Summary'!$AZ$6:$BE$65,6,FALSE),"")</f>
        <v/>
      </c>
      <c r="AL3133" s="10" t="str">
        <f>IFERROR(VLOOKUP(B3133,'Pre-Summary'!$BG$6:$BL$44,3,FALSE),"")</f>
        <v/>
      </c>
      <c r="AM3133" s="10" t="str">
        <f>IFERROR(VLOOKUP(B3133,'Pre-Summary'!$BG$6:$BL$44,4,FALSE),"")</f>
        <v/>
      </c>
    </row>
    <row r="3134" spans="2:39" ht="15" customHeight="1" x14ac:dyDescent="0.3">
      <c r="B3134">
        <v>313.10000000000099</v>
      </c>
      <c r="D3134" s="10"/>
      <c r="E3134" s="10"/>
      <c r="F3134">
        <f>IFERROR(VLOOKUP(B3134,'Pre-Summary'!$AL$6:$AQ$13,6,FALSE),F3133)</f>
        <v>5.9405263157894746E-2</v>
      </c>
      <c r="M3134" s="45" t="str">
        <f>IFERROR(VLOOKUP(B3134,'Pre-Summary'!$BW$6:$BY$58,2,FALSE),"")</f>
        <v/>
      </c>
      <c r="N3134" s="45" t="str">
        <f>IFERROR(VLOOKUP(B3134,'Pre-Summary'!$CD$6:$CF$64,2,FALSE),"")</f>
        <v/>
      </c>
      <c r="O3134" s="99">
        <f>IFERROR(VLOOKUP(B3134,'Pre-Summary'!$BO$6:$BQ$48,3, FALSE),O3133)</f>
        <v>3.3239999999999998</v>
      </c>
      <c r="P3134" s="99">
        <f>IFERROR(VLOOKUP(B3134,'Pre-Summary'!$BS$6:$BU$35,3,FALSE),P3133)</f>
        <v>0.84099999999999997</v>
      </c>
      <c r="Q3134" s="54">
        <f t="shared" si="144"/>
        <v>3.9524375743162903</v>
      </c>
      <c r="R3134" s="53">
        <f>IFERROR(VLOOKUP(B3134,'Pre-Summary'!$BG$6:$BM$44,7,FALSE),R3135)</f>
        <v>0</v>
      </c>
      <c r="S3134" s="53" t="e">
        <f>VLOOKUP(B3134,'Pre-Summary'!$BG$6:$BM$44,6,FALSE)</f>
        <v>#N/A</v>
      </c>
      <c r="Z3134" s="45" t="str">
        <f>IFERROR(VLOOKUP(B3134,'Pre-Summary'!$BZ$6:$CB$63,2,FALSE),"")</f>
        <v/>
      </c>
      <c r="AA3134" s="45" t="str">
        <f>IFERROR(VLOOKUP(B3134,'Pre-Summary'!$CG$6:$CI$70,2,FALSE),"")</f>
        <v/>
      </c>
      <c r="AB3134" s="99">
        <f>IFERROR(VLOOKUP(B3134,'Pre-Summary'!$A$6:$P$178,9,FALSE),AB3135)</f>
        <v>0</v>
      </c>
      <c r="AC3134" s="10">
        <f>IFERROR(VLOOKUP(Summary!B3134,'Pre-Summary'!$A$6:$P$184,5, FALSE)/100,AC3135)</f>
        <v>0</v>
      </c>
      <c r="AD3134" s="10">
        <f>IFERROR(VLOOKUP(Summary!B3134,'Pre-Summary'!$A$6:$P$184,3, FALSE)/100,AD3135)</f>
        <v>0</v>
      </c>
      <c r="AE3134" s="10">
        <f>IFERROR(VLOOKUP(Summary!B3134,'Pre-Summary'!$A$6:$P$184,7, FALSE)/100,AE3135)</f>
        <v>0</v>
      </c>
      <c r="AF3134" s="99">
        <f t="shared" si="147"/>
        <v>0</v>
      </c>
      <c r="AG3134" s="99">
        <f t="shared" si="148"/>
        <v>0</v>
      </c>
      <c r="AH3134" s="10" t="str">
        <f>IFERROR(VLOOKUP(B3134,'Pre-Summary'!$AZ$6:$BE$65,3,FALSE),"")</f>
        <v/>
      </c>
      <c r="AI3134" s="10" t="str">
        <f>IFERROR(VLOOKUP(B3134,'Pre-Summary'!$AZ$6:$BE$65,5,FALSE),"")</f>
        <v/>
      </c>
      <c r="AJ3134" s="10" t="str">
        <f>IFERROR(VLOOKUP(B3134,'Pre-Summary'!$AZ$6:$BE$65,4,FALSE),"")</f>
        <v/>
      </c>
      <c r="AK3134" s="10" t="str">
        <f>IFERROR(VLOOKUP(B3134,'Pre-Summary'!$AZ$6:$BE$65,6,FALSE),"")</f>
        <v/>
      </c>
      <c r="AL3134" s="10" t="str">
        <f>IFERROR(VLOOKUP(B3134,'Pre-Summary'!$BG$6:$BL$44,3,FALSE),"")</f>
        <v/>
      </c>
      <c r="AM3134" s="10" t="str">
        <f>IFERROR(VLOOKUP(B3134,'Pre-Summary'!$BG$6:$BL$44,4,FALSE),"")</f>
        <v/>
      </c>
    </row>
    <row r="3135" spans="2:39" ht="15" customHeight="1" x14ac:dyDescent="0.3">
      <c r="B3135">
        <v>313.20000000000101</v>
      </c>
      <c r="D3135" s="10"/>
      <c r="E3135" s="10"/>
      <c r="F3135">
        <f>IFERROR(VLOOKUP(B3135,'Pre-Summary'!$AL$6:$AQ$13,6,FALSE),F3134)</f>
        <v>5.9405263157894746E-2</v>
      </c>
      <c r="M3135" s="45" t="str">
        <f>IFERROR(VLOOKUP(B3135,'Pre-Summary'!$BW$6:$BY$58,2,FALSE),"")</f>
        <v/>
      </c>
      <c r="N3135" s="45" t="str">
        <f>IFERROR(VLOOKUP(B3135,'Pre-Summary'!$CD$6:$CF$64,2,FALSE),"")</f>
        <v/>
      </c>
      <c r="O3135" s="99">
        <f>IFERROR(VLOOKUP(B3135,'Pre-Summary'!$BO$6:$BQ$48,3, FALSE),O3134)</f>
        <v>3.3239999999999998</v>
      </c>
      <c r="P3135" s="99">
        <f>IFERROR(VLOOKUP(B3135,'Pre-Summary'!$BS$6:$BU$35,3,FALSE),P3134)</f>
        <v>0.84099999999999997</v>
      </c>
      <c r="Q3135" s="54">
        <f t="shared" si="144"/>
        <v>3.9524375743162903</v>
      </c>
      <c r="R3135" s="53">
        <f>IFERROR(VLOOKUP(B3135,'Pre-Summary'!$BG$6:$BM$44,7,FALSE),R3136)</f>
        <v>0</v>
      </c>
      <c r="S3135" s="53" t="e">
        <f>VLOOKUP(B3135,'Pre-Summary'!$BG$6:$BM$44,6,FALSE)</f>
        <v>#N/A</v>
      </c>
      <c r="Z3135" s="45" t="str">
        <f>IFERROR(VLOOKUP(B3135,'Pre-Summary'!$BZ$6:$CB$63,2,FALSE),"")</f>
        <v/>
      </c>
      <c r="AA3135" s="45" t="str">
        <f>IFERROR(VLOOKUP(B3135,'Pre-Summary'!$CG$6:$CI$70,2,FALSE),"")</f>
        <v/>
      </c>
      <c r="AB3135" s="99">
        <f>IFERROR(VLOOKUP(B3135,'Pre-Summary'!$A$6:$P$178,9,FALSE),AB3136)</f>
        <v>0</v>
      </c>
      <c r="AC3135" s="10">
        <f>IFERROR(VLOOKUP(Summary!B3135,'Pre-Summary'!$A$6:$P$184,5, FALSE)/100,AC3136)</f>
        <v>0</v>
      </c>
      <c r="AD3135" s="10">
        <f>IFERROR(VLOOKUP(Summary!B3135,'Pre-Summary'!$A$6:$P$184,3, FALSE)/100,AD3136)</f>
        <v>0</v>
      </c>
      <c r="AE3135" s="10">
        <f>IFERROR(VLOOKUP(Summary!B3135,'Pre-Summary'!$A$6:$P$184,7, FALSE)/100,AE3136)</f>
        <v>0</v>
      </c>
      <c r="AF3135" s="99">
        <f t="shared" si="147"/>
        <v>0</v>
      </c>
      <c r="AG3135" s="99">
        <f t="shared" si="148"/>
        <v>0</v>
      </c>
      <c r="AH3135" s="10" t="str">
        <f>IFERROR(VLOOKUP(B3135,'Pre-Summary'!$AZ$6:$BE$65,3,FALSE),"")</f>
        <v/>
      </c>
      <c r="AI3135" s="10" t="str">
        <f>IFERROR(VLOOKUP(B3135,'Pre-Summary'!$AZ$6:$BE$65,5,FALSE),"")</f>
        <v/>
      </c>
      <c r="AJ3135" s="10" t="str">
        <f>IFERROR(VLOOKUP(B3135,'Pre-Summary'!$AZ$6:$BE$65,4,FALSE),"")</f>
        <v/>
      </c>
      <c r="AK3135" s="10" t="str">
        <f>IFERROR(VLOOKUP(B3135,'Pre-Summary'!$AZ$6:$BE$65,6,FALSE),"")</f>
        <v/>
      </c>
      <c r="AL3135" s="10" t="str">
        <f>IFERROR(VLOOKUP(B3135,'Pre-Summary'!$BG$6:$BL$44,3,FALSE),"")</f>
        <v/>
      </c>
      <c r="AM3135" s="10" t="str">
        <f>IFERROR(VLOOKUP(B3135,'Pre-Summary'!$BG$6:$BL$44,4,FALSE),"")</f>
        <v/>
      </c>
    </row>
    <row r="3136" spans="2:39" ht="15" customHeight="1" x14ac:dyDescent="0.3">
      <c r="B3136">
        <v>313.30000000000098</v>
      </c>
      <c r="D3136" s="10"/>
      <c r="E3136" s="10"/>
      <c r="F3136">
        <f>IFERROR(VLOOKUP(B3136,'Pre-Summary'!$AL$6:$AQ$13,6,FALSE),F3135)</f>
        <v>5.9405263157894746E-2</v>
      </c>
      <c r="M3136" s="45" t="str">
        <f>IFERROR(VLOOKUP(B3136,'Pre-Summary'!$BW$6:$BY$58,2,FALSE),"")</f>
        <v/>
      </c>
      <c r="N3136" s="45" t="str">
        <f>IFERROR(VLOOKUP(B3136,'Pre-Summary'!$CD$6:$CF$64,2,FALSE),"")</f>
        <v/>
      </c>
      <c r="O3136" s="99">
        <f>IFERROR(VLOOKUP(B3136,'Pre-Summary'!$BO$6:$BQ$48,3, FALSE),O3135)</f>
        <v>3.3239999999999998</v>
      </c>
      <c r="P3136" s="99">
        <f>IFERROR(VLOOKUP(B3136,'Pre-Summary'!$BS$6:$BU$35,3,FALSE),P3135)</f>
        <v>0.84099999999999997</v>
      </c>
      <c r="Q3136" s="54">
        <f t="shared" si="144"/>
        <v>3.9524375743162903</v>
      </c>
      <c r="R3136" s="53">
        <f>IFERROR(VLOOKUP(B3136,'Pre-Summary'!$BG$6:$BM$44,7,FALSE),R3137)</f>
        <v>0</v>
      </c>
      <c r="S3136" s="53" t="e">
        <f>VLOOKUP(B3136,'Pre-Summary'!$BG$6:$BM$44,6,FALSE)</f>
        <v>#N/A</v>
      </c>
      <c r="Z3136" s="45" t="str">
        <f>IFERROR(VLOOKUP(B3136,'Pre-Summary'!$BZ$6:$CB$63,2,FALSE),"")</f>
        <v/>
      </c>
      <c r="AA3136" s="45" t="str">
        <f>IFERROR(VLOOKUP(B3136,'Pre-Summary'!$CG$6:$CI$70,2,FALSE),"")</f>
        <v/>
      </c>
      <c r="AB3136" s="99">
        <f>IFERROR(VLOOKUP(B3136,'Pre-Summary'!$A$6:$P$178,9,FALSE),AB3137)</f>
        <v>0</v>
      </c>
      <c r="AC3136" s="10">
        <f>IFERROR(VLOOKUP(Summary!B3136,'Pre-Summary'!$A$6:$P$184,5, FALSE)/100,AC3137)</f>
        <v>0</v>
      </c>
      <c r="AD3136" s="10">
        <f>IFERROR(VLOOKUP(Summary!B3136,'Pre-Summary'!$A$6:$P$184,3, FALSE)/100,AD3137)</f>
        <v>0</v>
      </c>
      <c r="AE3136" s="10">
        <f>IFERROR(VLOOKUP(Summary!B3136,'Pre-Summary'!$A$6:$P$184,7, FALSE)/100,AE3137)</f>
        <v>0</v>
      </c>
      <c r="AF3136" s="99">
        <f t="shared" si="147"/>
        <v>0</v>
      </c>
      <c r="AG3136" s="99">
        <f t="shared" si="148"/>
        <v>0</v>
      </c>
      <c r="AH3136" s="10" t="str">
        <f>IFERROR(VLOOKUP(B3136,'Pre-Summary'!$AZ$6:$BE$65,3,FALSE),"")</f>
        <v/>
      </c>
      <c r="AI3136" s="10" t="str">
        <f>IFERROR(VLOOKUP(B3136,'Pre-Summary'!$AZ$6:$BE$65,5,FALSE),"")</f>
        <v/>
      </c>
      <c r="AJ3136" s="10" t="str">
        <f>IFERROR(VLOOKUP(B3136,'Pre-Summary'!$AZ$6:$BE$65,4,FALSE),"")</f>
        <v/>
      </c>
      <c r="AK3136" s="10" t="str">
        <f>IFERROR(VLOOKUP(B3136,'Pre-Summary'!$AZ$6:$BE$65,6,FALSE),"")</f>
        <v/>
      </c>
      <c r="AL3136" s="10" t="str">
        <f>IFERROR(VLOOKUP(B3136,'Pre-Summary'!$BG$6:$BL$44,3,FALSE),"")</f>
        <v/>
      </c>
      <c r="AM3136" s="10" t="str">
        <f>IFERROR(VLOOKUP(B3136,'Pre-Summary'!$BG$6:$BL$44,4,FALSE),"")</f>
        <v/>
      </c>
    </row>
    <row r="3137" spans="2:39" ht="15" customHeight="1" x14ac:dyDescent="0.3">
      <c r="B3137">
        <v>313.400000000001</v>
      </c>
      <c r="D3137" s="10"/>
      <c r="E3137" s="10"/>
      <c r="F3137">
        <f>IFERROR(VLOOKUP(B3137,'Pre-Summary'!$AL$6:$AQ$13,6,FALSE),F3136)</f>
        <v>5.9405263157894746E-2</v>
      </c>
      <c r="M3137" s="45" t="str">
        <f>IFERROR(VLOOKUP(B3137,'Pre-Summary'!$BW$6:$BY$58,2,FALSE),"")</f>
        <v/>
      </c>
      <c r="N3137" s="45" t="str">
        <f>IFERROR(VLOOKUP(B3137,'Pre-Summary'!$CD$6:$CF$64,2,FALSE),"")</f>
        <v/>
      </c>
      <c r="O3137" s="99">
        <f>IFERROR(VLOOKUP(B3137,'Pre-Summary'!$BO$6:$BQ$48,3, FALSE),O3136)</f>
        <v>3.3239999999999998</v>
      </c>
      <c r="P3137" s="99">
        <f>IFERROR(VLOOKUP(B3137,'Pre-Summary'!$BS$6:$BU$35,3,FALSE),P3136)</f>
        <v>0.84099999999999997</v>
      </c>
      <c r="Q3137" s="54">
        <f t="shared" si="144"/>
        <v>3.9524375743162903</v>
      </c>
      <c r="R3137" s="53">
        <f>IFERROR(VLOOKUP(B3137,'Pre-Summary'!$BG$6:$BM$44,7,FALSE),R3138)</f>
        <v>0</v>
      </c>
      <c r="S3137" s="53" t="e">
        <f>VLOOKUP(B3137,'Pre-Summary'!$BG$6:$BM$44,6,FALSE)</f>
        <v>#N/A</v>
      </c>
      <c r="Z3137" s="45" t="str">
        <f>IFERROR(VLOOKUP(B3137,'Pre-Summary'!$BZ$6:$CB$63,2,FALSE),"")</f>
        <v/>
      </c>
      <c r="AA3137" s="45" t="str">
        <f>IFERROR(VLOOKUP(B3137,'Pre-Summary'!$CG$6:$CI$70,2,FALSE),"")</f>
        <v/>
      </c>
      <c r="AB3137" s="99">
        <f>IFERROR(VLOOKUP(B3137,'Pre-Summary'!$A$6:$P$178,9,FALSE),AB3138)</f>
        <v>0</v>
      </c>
      <c r="AC3137" s="10">
        <f>IFERROR(VLOOKUP(Summary!B3137,'Pre-Summary'!$A$6:$P$184,5, FALSE)/100,AC3138)</f>
        <v>0</v>
      </c>
      <c r="AD3137" s="10">
        <f>IFERROR(VLOOKUP(Summary!B3137,'Pre-Summary'!$A$6:$P$184,3, FALSE)/100,AD3138)</f>
        <v>0</v>
      </c>
      <c r="AE3137" s="10">
        <f>IFERROR(VLOOKUP(Summary!B3137,'Pre-Summary'!$A$6:$P$184,7, FALSE)/100,AE3138)</f>
        <v>0</v>
      </c>
      <c r="AF3137" s="99">
        <f t="shared" si="147"/>
        <v>0</v>
      </c>
      <c r="AG3137" s="99">
        <f t="shared" si="148"/>
        <v>0</v>
      </c>
      <c r="AH3137" s="10" t="str">
        <f>IFERROR(VLOOKUP(B3137,'Pre-Summary'!$AZ$6:$BE$65,3,FALSE),"")</f>
        <v/>
      </c>
      <c r="AI3137" s="10" t="str">
        <f>IFERROR(VLOOKUP(B3137,'Pre-Summary'!$AZ$6:$BE$65,5,FALSE),"")</f>
        <v/>
      </c>
      <c r="AJ3137" s="10" t="str">
        <f>IFERROR(VLOOKUP(B3137,'Pre-Summary'!$AZ$6:$BE$65,4,FALSE),"")</f>
        <v/>
      </c>
      <c r="AK3137" s="10" t="str">
        <f>IFERROR(VLOOKUP(B3137,'Pre-Summary'!$AZ$6:$BE$65,6,FALSE),"")</f>
        <v/>
      </c>
      <c r="AL3137" s="10" t="str">
        <f>IFERROR(VLOOKUP(B3137,'Pre-Summary'!$BG$6:$BL$44,3,FALSE),"")</f>
        <v/>
      </c>
      <c r="AM3137" s="10" t="str">
        <f>IFERROR(VLOOKUP(B3137,'Pre-Summary'!$BG$6:$BL$44,4,FALSE),"")</f>
        <v/>
      </c>
    </row>
    <row r="3138" spans="2:39" ht="15" customHeight="1" x14ac:dyDescent="0.3">
      <c r="B3138">
        <v>313.50000000000102</v>
      </c>
      <c r="D3138" s="10"/>
      <c r="E3138" s="10"/>
      <c r="F3138">
        <f>IFERROR(VLOOKUP(B3138,'Pre-Summary'!$AL$6:$AQ$13,6,FALSE),F3137)</f>
        <v>5.9405263157894746E-2</v>
      </c>
      <c r="M3138" s="45" t="str">
        <f>IFERROR(VLOOKUP(B3138,'Pre-Summary'!$BW$6:$BY$58,2,FALSE),"")</f>
        <v/>
      </c>
      <c r="N3138" s="45" t="str">
        <f>IFERROR(VLOOKUP(B3138,'Pre-Summary'!$CD$6:$CF$64,2,FALSE),"")</f>
        <v/>
      </c>
      <c r="O3138" s="99">
        <f>IFERROR(VLOOKUP(B3138,'Pre-Summary'!$BO$6:$BQ$48,3, FALSE),O3137)</f>
        <v>3.3239999999999998</v>
      </c>
      <c r="P3138" s="99">
        <f>IFERROR(VLOOKUP(B3138,'Pre-Summary'!$BS$6:$BU$35,3,FALSE),P3137)</f>
        <v>0.84099999999999997</v>
      </c>
      <c r="Q3138" s="54">
        <f t="shared" si="144"/>
        <v>3.9524375743162903</v>
      </c>
      <c r="R3138" s="53">
        <f>IFERROR(VLOOKUP(B3138,'Pre-Summary'!$BG$6:$BM$44,7,FALSE),R3139)</f>
        <v>0</v>
      </c>
      <c r="S3138" s="53" t="e">
        <f>VLOOKUP(B3138,'Pre-Summary'!$BG$6:$BM$44,6,FALSE)</f>
        <v>#N/A</v>
      </c>
      <c r="Z3138" s="45" t="str">
        <f>IFERROR(VLOOKUP(B3138,'Pre-Summary'!$BZ$6:$CB$63,2,FALSE),"")</f>
        <v/>
      </c>
      <c r="AA3138" s="45" t="str">
        <f>IFERROR(VLOOKUP(B3138,'Pre-Summary'!$CG$6:$CI$70,2,FALSE),"")</f>
        <v/>
      </c>
      <c r="AB3138" s="99">
        <f>IFERROR(VLOOKUP(B3138,'Pre-Summary'!$A$6:$P$178,9,FALSE),AB3139)</f>
        <v>0</v>
      </c>
      <c r="AC3138" s="10">
        <f>IFERROR(VLOOKUP(Summary!B3138,'Pre-Summary'!$A$6:$P$184,5, FALSE)/100,AC3139)</f>
        <v>0</v>
      </c>
      <c r="AD3138" s="10">
        <f>IFERROR(VLOOKUP(Summary!B3138,'Pre-Summary'!$A$6:$P$184,3, FALSE)/100,AD3139)</f>
        <v>0</v>
      </c>
      <c r="AE3138" s="10">
        <f>IFERROR(VLOOKUP(Summary!B3138,'Pre-Summary'!$A$6:$P$184,7, FALSE)/100,AE3139)</f>
        <v>0</v>
      </c>
      <c r="AF3138" s="99">
        <f t="shared" si="147"/>
        <v>0</v>
      </c>
      <c r="AG3138" s="99">
        <f t="shared" si="148"/>
        <v>0</v>
      </c>
      <c r="AH3138" s="10" t="str">
        <f>IFERROR(VLOOKUP(B3138,'Pre-Summary'!$AZ$6:$BE$65,3,FALSE),"")</f>
        <v/>
      </c>
      <c r="AI3138" s="10" t="str">
        <f>IFERROR(VLOOKUP(B3138,'Pre-Summary'!$AZ$6:$BE$65,5,FALSE),"")</f>
        <v/>
      </c>
      <c r="AJ3138" s="10" t="str">
        <f>IFERROR(VLOOKUP(B3138,'Pre-Summary'!$AZ$6:$BE$65,4,FALSE),"")</f>
        <v/>
      </c>
      <c r="AK3138" s="10" t="str">
        <f>IFERROR(VLOOKUP(B3138,'Pre-Summary'!$AZ$6:$BE$65,6,FALSE),"")</f>
        <v/>
      </c>
      <c r="AL3138" s="10" t="str">
        <f>IFERROR(VLOOKUP(B3138,'Pre-Summary'!$BG$6:$BL$44,3,FALSE),"")</f>
        <v/>
      </c>
      <c r="AM3138" s="10" t="str">
        <f>IFERROR(VLOOKUP(B3138,'Pre-Summary'!$BG$6:$BL$44,4,FALSE),"")</f>
        <v/>
      </c>
    </row>
    <row r="3139" spans="2:39" ht="15" customHeight="1" x14ac:dyDescent="0.3">
      <c r="B3139">
        <v>313.60000000000099</v>
      </c>
      <c r="D3139" s="10"/>
      <c r="E3139" s="10"/>
      <c r="F3139">
        <f>IFERROR(VLOOKUP(B3139,'Pre-Summary'!$AL$6:$AQ$13,6,FALSE),F3138)</f>
        <v>5.9405263157894746E-2</v>
      </c>
      <c r="M3139" s="45" t="str">
        <f>IFERROR(VLOOKUP(B3139,'Pre-Summary'!$BW$6:$BY$58,2,FALSE),"")</f>
        <v/>
      </c>
      <c r="N3139" s="45" t="str">
        <f>IFERROR(VLOOKUP(B3139,'Pre-Summary'!$CD$6:$CF$64,2,FALSE),"")</f>
        <v/>
      </c>
      <c r="O3139" s="99">
        <f>IFERROR(VLOOKUP(B3139,'Pre-Summary'!$BO$6:$BQ$48,3, FALSE),O3138)</f>
        <v>3.3239999999999998</v>
      </c>
      <c r="P3139" s="99">
        <f>IFERROR(VLOOKUP(B3139,'Pre-Summary'!$BS$6:$BU$35,3,FALSE),P3138)</f>
        <v>0.84099999999999997</v>
      </c>
      <c r="Q3139" s="54">
        <f t="shared" ref="Q3139:Q3202" si="149">O3139/P3139</f>
        <v>3.9524375743162903</v>
      </c>
      <c r="R3139" s="53">
        <f>IFERROR(VLOOKUP(B3139,'Pre-Summary'!$BG$6:$BM$44,7,FALSE),R3140)</f>
        <v>0</v>
      </c>
      <c r="S3139" s="53" t="e">
        <f>VLOOKUP(B3139,'Pre-Summary'!$BG$6:$BM$44,6,FALSE)</f>
        <v>#N/A</v>
      </c>
      <c r="Z3139" s="45" t="str">
        <f>IFERROR(VLOOKUP(B3139,'Pre-Summary'!$BZ$6:$CB$63,2,FALSE),"")</f>
        <v/>
      </c>
      <c r="AA3139" s="45" t="str">
        <f>IFERROR(VLOOKUP(B3139,'Pre-Summary'!$CG$6:$CI$70,2,FALSE),"")</f>
        <v/>
      </c>
      <c r="AB3139" s="99">
        <f>IFERROR(VLOOKUP(B3139,'Pre-Summary'!$A$6:$P$178,9,FALSE),AB3140)</f>
        <v>0</v>
      </c>
      <c r="AC3139" s="10">
        <f>IFERROR(VLOOKUP(Summary!B3139,'Pre-Summary'!$A$6:$P$184,5, FALSE)/100,AC3140)</f>
        <v>0</v>
      </c>
      <c r="AD3139" s="10">
        <f>IFERROR(VLOOKUP(Summary!B3139,'Pre-Summary'!$A$6:$P$184,3, FALSE)/100,AD3140)</f>
        <v>0</v>
      </c>
      <c r="AE3139" s="10">
        <f>IFERROR(VLOOKUP(Summary!B3139,'Pre-Summary'!$A$6:$P$184,7, FALSE)/100,AE3140)</f>
        <v>0</v>
      </c>
      <c r="AF3139" s="99">
        <f t="shared" si="147"/>
        <v>0</v>
      </c>
      <c r="AG3139" s="99">
        <f t="shared" si="148"/>
        <v>0</v>
      </c>
      <c r="AH3139" s="10" t="str">
        <f>IFERROR(VLOOKUP(B3139,'Pre-Summary'!$AZ$6:$BE$65,3,FALSE),"")</f>
        <v/>
      </c>
      <c r="AI3139" s="10" t="str">
        <f>IFERROR(VLOOKUP(B3139,'Pre-Summary'!$AZ$6:$BE$65,5,FALSE),"")</f>
        <v/>
      </c>
      <c r="AJ3139" s="10" t="str">
        <f>IFERROR(VLOOKUP(B3139,'Pre-Summary'!$AZ$6:$BE$65,4,FALSE),"")</f>
        <v/>
      </c>
      <c r="AK3139" s="10" t="str">
        <f>IFERROR(VLOOKUP(B3139,'Pre-Summary'!$AZ$6:$BE$65,6,FALSE),"")</f>
        <v/>
      </c>
      <c r="AL3139" s="10" t="str">
        <f>IFERROR(VLOOKUP(B3139,'Pre-Summary'!$BG$6:$BL$44,3,FALSE),"")</f>
        <v/>
      </c>
      <c r="AM3139" s="10" t="str">
        <f>IFERROR(VLOOKUP(B3139,'Pre-Summary'!$BG$6:$BL$44,4,FALSE),"")</f>
        <v/>
      </c>
    </row>
    <row r="3140" spans="2:39" ht="15" customHeight="1" x14ac:dyDescent="0.3">
      <c r="B3140">
        <v>313.70000000000101</v>
      </c>
      <c r="D3140" s="10"/>
      <c r="E3140" s="10"/>
      <c r="F3140">
        <f>IFERROR(VLOOKUP(B3140,'Pre-Summary'!$AL$6:$AQ$13,6,FALSE),F3139)</f>
        <v>5.9405263157894746E-2</v>
      </c>
      <c r="M3140" s="45" t="str">
        <f>IFERROR(VLOOKUP(B3140,'Pre-Summary'!$BW$6:$BY$58,2,FALSE),"")</f>
        <v/>
      </c>
      <c r="N3140" s="45" t="str">
        <f>IFERROR(VLOOKUP(B3140,'Pre-Summary'!$CD$6:$CF$64,2,FALSE),"")</f>
        <v/>
      </c>
      <c r="O3140" s="99">
        <f>IFERROR(VLOOKUP(B3140,'Pre-Summary'!$BO$6:$BQ$48,3, FALSE),O3139)</f>
        <v>3.3239999999999998</v>
      </c>
      <c r="P3140" s="99">
        <f>IFERROR(VLOOKUP(B3140,'Pre-Summary'!$BS$6:$BU$35,3,FALSE),P3139)</f>
        <v>0.84099999999999997</v>
      </c>
      <c r="Q3140" s="54">
        <f t="shared" si="149"/>
        <v>3.9524375743162903</v>
      </c>
      <c r="R3140" s="53">
        <f>IFERROR(VLOOKUP(B3140,'Pre-Summary'!$BG$6:$BM$44,7,FALSE),R3141)</f>
        <v>0</v>
      </c>
      <c r="S3140" s="53" t="e">
        <f>VLOOKUP(B3140,'Pre-Summary'!$BG$6:$BM$44,6,FALSE)</f>
        <v>#N/A</v>
      </c>
      <c r="Z3140" s="45" t="str">
        <f>IFERROR(VLOOKUP(B3140,'Pre-Summary'!$BZ$6:$CB$63,2,FALSE),"")</f>
        <v/>
      </c>
      <c r="AA3140" s="45" t="str">
        <f>IFERROR(VLOOKUP(B3140,'Pre-Summary'!$CG$6:$CI$70,2,FALSE),"")</f>
        <v/>
      </c>
      <c r="AB3140" s="99">
        <f>IFERROR(VLOOKUP(B3140,'Pre-Summary'!$A$6:$P$178,9,FALSE),AB3141)</f>
        <v>0</v>
      </c>
      <c r="AC3140" s="10">
        <f>IFERROR(VLOOKUP(Summary!B3140,'Pre-Summary'!$A$6:$P$184,5, FALSE)/100,AC3141)</f>
        <v>0</v>
      </c>
      <c r="AD3140" s="10">
        <f>IFERROR(VLOOKUP(Summary!B3140,'Pre-Summary'!$A$6:$P$184,3, FALSE)/100,AD3141)</f>
        <v>0</v>
      </c>
      <c r="AE3140" s="10">
        <f>IFERROR(VLOOKUP(Summary!B3140,'Pre-Summary'!$A$6:$P$184,7, FALSE)/100,AE3141)</f>
        <v>0</v>
      </c>
      <c r="AF3140" s="99">
        <f t="shared" si="147"/>
        <v>0</v>
      </c>
      <c r="AG3140" s="99">
        <f t="shared" si="148"/>
        <v>0</v>
      </c>
      <c r="AH3140" s="10" t="str">
        <f>IFERROR(VLOOKUP(B3140,'Pre-Summary'!$AZ$6:$BE$65,3,FALSE),"")</f>
        <v/>
      </c>
      <c r="AI3140" s="10" t="str">
        <f>IFERROR(VLOOKUP(B3140,'Pre-Summary'!$AZ$6:$BE$65,5,FALSE),"")</f>
        <v/>
      </c>
      <c r="AJ3140" s="10" t="str">
        <f>IFERROR(VLOOKUP(B3140,'Pre-Summary'!$AZ$6:$BE$65,4,FALSE),"")</f>
        <v/>
      </c>
      <c r="AK3140" s="10" t="str">
        <f>IFERROR(VLOOKUP(B3140,'Pre-Summary'!$AZ$6:$BE$65,6,FALSE),"")</f>
        <v/>
      </c>
      <c r="AL3140" s="10" t="str">
        <f>IFERROR(VLOOKUP(B3140,'Pre-Summary'!$BG$6:$BL$44,3,FALSE),"")</f>
        <v/>
      </c>
      <c r="AM3140" s="10" t="str">
        <f>IFERROR(VLOOKUP(B3140,'Pre-Summary'!$BG$6:$BL$44,4,FALSE),"")</f>
        <v/>
      </c>
    </row>
    <row r="3141" spans="2:39" ht="15" customHeight="1" x14ac:dyDescent="0.3">
      <c r="B3141">
        <v>313.80000000000098</v>
      </c>
      <c r="D3141" s="10"/>
      <c r="E3141" s="10"/>
      <c r="F3141">
        <f>IFERROR(VLOOKUP(B3141,'Pre-Summary'!$AL$6:$AQ$13,6,FALSE),F3140)</f>
        <v>5.9405263157894746E-2</v>
      </c>
      <c r="M3141" s="45" t="str">
        <f>IFERROR(VLOOKUP(B3141,'Pre-Summary'!$BW$6:$BY$58,2,FALSE),"")</f>
        <v/>
      </c>
      <c r="N3141" s="45" t="str">
        <f>IFERROR(VLOOKUP(B3141,'Pre-Summary'!$CD$6:$CF$64,2,FALSE),"")</f>
        <v/>
      </c>
      <c r="O3141" s="99">
        <f>IFERROR(VLOOKUP(B3141,'Pre-Summary'!$BO$6:$BQ$48,3, FALSE),O3140)</f>
        <v>3.3239999999999998</v>
      </c>
      <c r="P3141" s="99">
        <f>IFERROR(VLOOKUP(B3141,'Pre-Summary'!$BS$6:$BU$35,3,FALSE),P3140)</f>
        <v>0.84099999999999997</v>
      </c>
      <c r="Q3141" s="54">
        <f t="shared" si="149"/>
        <v>3.9524375743162903</v>
      </c>
      <c r="R3141" s="53">
        <f>IFERROR(VLOOKUP(B3141,'Pre-Summary'!$BG$6:$BM$44,7,FALSE),R3142)</f>
        <v>0</v>
      </c>
      <c r="S3141" s="53" t="e">
        <f>VLOOKUP(B3141,'Pre-Summary'!$BG$6:$BM$44,6,FALSE)</f>
        <v>#N/A</v>
      </c>
      <c r="Z3141" s="45" t="str">
        <f>IFERROR(VLOOKUP(B3141,'Pre-Summary'!$BZ$6:$CB$63,2,FALSE),"")</f>
        <v/>
      </c>
      <c r="AA3141" s="45" t="str">
        <f>IFERROR(VLOOKUP(B3141,'Pre-Summary'!$CG$6:$CI$70,2,FALSE),"")</f>
        <v/>
      </c>
      <c r="AB3141" s="99">
        <f>IFERROR(VLOOKUP(B3141,'Pre-Summary'!$A$6:$P$178,9,FALSE),AB3142)</f>
        <v>0</v>
      </c>
      <c r="AC3141" s="10">
        <f>IFERROR(VLOOKUP(Summary!B3141,'Pre-Summary'!$A$6:$P$184,5, FALSE)/100,AC3142)</f>
        <v>0</v>
      </c>
      <c r="AD3141" s="10">
        <f>IFERROR(VLOOKUP(Summary!B3141,'Pre-Summary'!$A$6:$P$184,3, FALSE)/100,AD3142)</f>
        <v>0</v>
      </c>
      <c r="AE3141" s="10">
        <f>IFERROR(VLOOKUP(Summary!B3141,'Pre-Summary'!$A$6:$P$184,7, FALSE)/100,AE3142)</f>
        <v>0</v>
      </c>
      <c r="AF3141" s="99">
        <f t="shared" si="147"/>
        <v>0</v>
      </c>
      <c r="AG3141" s="99">
        <f t="shared" si="148"/>
        <v>0</v>
      </c>
      <c r="AH3141" s="10" t="str">
        <f>IFERROR(VLOOKUP(B3141,'Pre-Summary'!$AZ$6:$BE$65,3,FALSE),"")</f>
        <v/>
      </c>
      <c r="AI3141" s="10" t="str">
        <f>IFERROR(VLOOKUP(B3141,'Pre-Summary'!$AZ$6:$BE$65,5,FALSE),"")</f>
        <v/>
      </c>
      <c r="AJ3141" s="10" t="str">
        <f>IFERROR(VLOOKUP(B3141,'Pre-Summary'!$AZ$6:$BE$65,4,FALSE),"")</f>
        <v/>
      </c>
      <c r="AK3141" s="10" t="str">
        <f>IFERROR(VLOOKUP(B3141,'Pre-Summary'!$AZ$6:$BE$65,6,FALSE),"")</f>
        <v/>
      </c>
      <c r="AL3141" s="10" t="str">
        <f>IFERROR(VLOOKUP(B3141,'Pre-Summary'!$BG$6:$BL$44,3,FALSE),"")</f>
        <v/>
      </c>
      <c r="AM3141" s="10" t="str">
        <f>IFERROR(VLOOKUP(B3141,'Pre-Summary'!$BG$6:$BL$44,4,FALSE),"")</f>
        <v/>
      </c>
    </row>
    <row r="3142" spans="2:39" ht="15" customHeight="1" x14ac:dyDescent="0.3">
      <c r="B3142">
        <v>313.900000000001</v>
      </c>
      <c r="D3142" s="10"/>
      <c r="E3142" s="10"/>
      <c r="F3142">
        <f>IFERROR(VLOOKUP(B3142,'Pre-Summary'!$AL$6:$AQ$13,6,FALSE),F3141)</f>
        <v>5.9405263157894746E-2</v>
      </c>
      <c r="M3142" s="45" t="str">
        <f>IFERROR(VLOOKUP(B3142,'Pre-Summary'!$BW$6:$BY$58,2,FALSE),"")</f>
        <v/>
      </c>
      <c r="N3142" s="45" t="str">
        <f>IFERROR(VLOOKUP(B3142,'Pre-Summary'!$CD$6:$CF$64,2,FALSE),"")</f>
        <v/>
      </c>
      <c r="O3142" s="99">
        <f>IFERROR(VLOOKUP(B3142,'Pre-Summary'!$BO$6:$BQ$48,3, FALSE),O3141)</f>
        <v>3.3239999999999998</v>
      </c>
      <c r="P3142" s="99">
        <f>IFERROR(VLOOKUP(B3142,'Pre-Summary'!$BS$6:$BU$35,3,FALSE),P3141)</f>
        <v>0.84099999999999997</v>
      </c>
      <c r="Q3142" s="54">
        <f t="shared" si="149"/>
        <v>3.9524375743162903</v>
      </c>
      <c r="R3142" s="53">
        <f>IFERROR(VLOOKUP(B3142,'Pre-Summary'!$BG$6:$BM$44,7,FALSE),R3143)</f>
        <v>0</v>
      </c>
      <c r="S3142" s="53" t="e">
        <f>VLOOKUP(B3142,'Pre-Summary'!$BG$6:$BM$44,6,FALSE)</f>
        <v>#N/A</v>
      </c>
      <c r="Z3142" s="45" t="str">
        <f>IFERROR(VLOOKUP(B3142,'Pre-Summary'!$BZ$6:$CB$63,2,FALSE),"")</f>
        <v/>
      </c>
      <c r="AA3142" s="45" t="str">
        <f>IFERROR(VLOOKUP(B3142,'Pre-Summary'!$CG$6:$CI$70,2,FALSE),"")</f>
        <v/>
      </c>
      <c r="AB3142" s="99">
        <f>IFERROR(VLOOKUP(B3142,'Pre-Summary'!$A$6:$P$178,9,FALSE),AB3143)</f>
        <v>0</v>
      </c>
      <c r="AC3142" s="10">
        <f>IFERROR(VLOOKUP(Summary!B3142,'Pre-Summary'!$A$6:$P$184,5, FALSE)/100,AC3143)</f>
        <v>0</v>
      </c>
      <c r="AD3142" s="10">
        <f>IFERROR(VLOOKUP(Summary!B3142,'Pre-Summary'!$A$6:$P$184,3, FALSE)/100,AD3143)</f>
        <v>0</v>
      </c>
      <c r="AE3142" s="10">
        <f>IFERROR(VLOOKUP(Summary!B3142,'Pre-Summary'!$A$6:$P$184,7, FALSE)/100,AE3143)</f>
        <v>0</v>
      </c>
      <c r="AF3142" s="99">
        <f t="shared" si="147"/>
        <v>0</v>
      </c>
      <c r="AG3142" s="99">
        <f t="shared" si="148"/>
        <v>0</v>
      </c>
      <c r="AH3142" s="10" t="str">
        <f>IFERROR(VLOOKUP(B3142,'Pre-Summary'!$AZ$6:$BE$65,3,FALSE),"")</f>
        <v/>
      </c>
      <c r="AI3142" s="10" t="str">
        <f>IFERROR(VLOOKUP(B3142,'Pre-Summary'!$AZ$6:$BE$65,5,FALSE),"")</f>
        <v/>
      </c>
      <c r="AJ3142" s="10" t="str">
        <f>IFERROR(VLOOKUP(B3142,'Pre-Summary'!$AZ$6:$BE$65,4,FALSE),"")</f>
        <v/>
      </c>
      <c r="AK3142" s="10" t="str">
        <f>IFERROR(VLOOKUP(B3142,'Pre-Summary'!$AZ$6:$BE$65,6,FALSE),"")</f>
        <v/>
      </c>
      <c r="AL3142" s="10" t="str">
        <f>IFERROR(VLOOKUP(B3142,'Pre-Summary'!$BG$6:$BL$44,3,FALSE),"")</f>
        <v/>
      </c>
      <c r="AM3142" s="10" t="str">
        <f>IFERROR(VLOOKUP(B3142,'Pre-Summary'!$BG$6:$BL$44,4,FALSE),"")</f>
        <v/>
      </c>
    </row>
    <row r="3143" spans="2:39" ht="15" customHeight="1" x14ac:dyDescent="0.3">
      <c r="B3143">
        <v>314.00000000000102</v>
      </c>
      <c r="D3143" s="10"/>
      <c r="E3143" s="10"/>
      <c r="F3143">
        <f>IFERROR(VLOOKUP(B3143,'Pre-Summary'!$AL$6:$AQ$13,6,FALSE),F3142)</f>
        <v>5.9405263157894746E-2</v>
      </c>
      <c r="M3143" s="45" t="str">
        <f>IFERROR(VLOOKUP(B3143,'Pre-Summary'!$BW$6:$BY$58,2,FALSE),"")</f>
        <v/>
      </c>
      <c r="N3143" s="45" t="str">
        <f>IFERROR(VLOOKUP(B3143,'Pre-Summary'!$CD$6:$CF$64,2,FALSE),"")</f>
        <v/>
      </c>
      <c r="O3143" s="99">
        <f>IFERROR(VLOOKUP(B3143,'Pre-Summary'!$BO$6:$BQ$48,3, FALSE),O3142)</f>
        <v>3.3239999999999998</v>
      </c>
      <c r="P3143" s="99">
        <f>IFERROR(VLOOKUP(B3143,'Pre-Summary'!$BS$6:$BU$35,3,FALSE),P3142)</f>
        <v>0.84099999999999997</v>
      </c>
      <c r="Q3143" s="54">
        <f t="shared" si="149"/>
        <v>3.9524375743162903</v>
      </c>
      <c r="R3143" s="53">
        <f>IFERROR(VLOOKUP(B3143,'Pre-Summary'!$BG$6:$BM$44,7,FALSE),R3144)</f>
        <v>0</v>
      </c>
      <c r="S3143" s="53" t="e">
        <f>VLOOKUP(B3143,'Pre-Summary'!$BG$6:$BM$44,6,FALSE)</f>
        <v>#N/A</v>
      </c>
      <c r="Z3143" s="45" t="str">
        <f>IFERROR(VLOOKUP(B3143,'Pre-Summary'!$BZ$6:$CB$63,2,FALSE),"")</f>
        <v/>
      </c>
      <c r="AA3143" s="45" t="str">
        <f>IFERROR(VLOOKUP(B3143,'Pre-Summary'!$CG$6:$CI$70,2,FALSE),"")</f>
        <v/>
      </c>
      <c r="AB3143" s="99">
        <f>IFERROR(VLOOKUP(B3143,'Pre-Summary'!$A$6:$P$178,9,FALSE),AB3144)</f>
        <v>0</v>
      </c>
      <c r="AC3143" s="10">
        <f>IFERROR(VLOOKUP(Summary!B3143,'Pre-Summary'!$A$6:$P$184,5, FALSE)/100,AC3144)</f>
        <v>0</v>
      </c>
      <c r="AD3143" s="10">
        <f>IFERROR(VLOOKUP(Summary!B3143,'Pre-Summary'!$A$6:$P$184,3, FALSE)/100,AD3144)</f>
        <v>0</v>
      </c>
      <c r="AE3143" s="10">
        <f>IFERROR(VLOOKUP(Summary!B3143,'Pre-Summary'!$A$6:$P$184,7, FALSE)/100,AE3144)</f>
        <v>0</v>
      </c>
      <c r="AF3143" s="99">
        <f t="shared" si="147"/>
        <v>0</v>
      </c>
      <c r="AG3143" s="99">
        <f t="shared" si="148"/>
        <v>0</v>
      </c>
      <c r="AH3143" s="10" t="str">
        <f>IFERROR(VLOOKUP(B3143,'Pre-Summary'!$AZ$6:$BE$65,3,FALSE),"")</f>
        <v/>
      </c>
      <c r="AI3143" s="10" t="str">
        <f>IFERROR(VLOOKUP(B3143,'Pre-Summary'!$AZ$6:$BE$65,5,FALSE),"")</f>
        <v/>
      </c>
      <c r="AJ3143" s="10" t="str">
        <f>IFERROR(VLOOKUP(B3143,'Pre-Summary'!$AZ$6:$BE$65,4,FALSE),"")</f>
        <v/>
      </c>
      <c r="AK3143" s="10" t="str">
        <f>IFERROR(VLOOKUP(B3143,'Pre-Summary'!$AZ$6:$BE$65,6,FALSE),"")</f>
        <v/>
      </c>
      <c r="AL3143" s="10" t="str">
        <f>IFERROR(VLOOKUP(B3143,'Pre-Summary'!$BG$6:$BL$44,3,FALSE),"")</f>
        <v/>
      </c>
      <c r="AM3143" s="10" t="str">
        <f>IFERROR(VLOOKUP(B3143,'Pre-Summary'!$BG$6:$BL$44,4,FALSE),"")</f>
        <v/>
      </c>
    </row>
    <row r="3144" spans="2:39" ht="15" customHeight="1" x14ac:dyDescent="0.3">
      <c r="B3144">
        <v>314.10000000000099</v>
      </c>
      <c r="D3144" s="10"/>
      <c r="E3144" s="10"/>
      <c r="F3144">
        <f>IFERROR(VLOOKUP(B3144,'Pre-Summary'!$AL$6:$AQ$13,6,FALSE),F3143)</f>
        <v>5.9405263157894746E-2</v>
      </c>
      <c r="M3144" s="45" t="str">
        <f>IFERROR(VLOOKUP(B3144,'Pre-Summary'!$BW$6:$BY$58,2,FALSE),"")</f>
        <v/>
      </c>
      <c r="N3144" s="45" t="str">
        <f>IFERROR(VLOOKUP(B3144,'Pre-Summary'!$CD$6:$CF$64,2,FALSE),"")</f>
        <v/>
      </c>
      <c r="O3144" s="99">
        <f>IFERROR(VLOOKUP(B3144,'Pre-Summary'!$BO$6:$BQ$48,3, FALSE),O3143)</f>
        <v>3.3239999999999998</v>
      </c>
      <c r="P3144" s="99">
        <f>IFERROR(VLOOKUP(B3144,'Pre-Summary'!$BS$6:$BU$35,3,FALSE),P3143)</f>
        <v>0.84099999999999997</v>
      </c>
      <c r="Q3144" s="54">
        <f t="shared" si="149"/>
        <v>3.9524375743162903</v>
      </c>
      <c r="R3144" s="53">
        <f>IFERROR(VLOOKUP(B3144,'Pre-Summary'!$BG$6:$BM$44,7,FALSE),R3145)</f>
        <v>0</v>
      </c>
      <c r="S3144" s="53" t="e">
        <f>VLOOKUP(B3144,'Pre-Summary'!$BG$6:$BM$44,6,FALSE)</f>
        <v>#N/A</v>
      </c>
      <c r="Z3144" s="45" t="str">
        <f>IFERROR(VLOOKUP(B3144,'Pre-Summary'!$BZ$6:$CB$63,2,FALSE),"")</f>
        <v/>
      </c>
      <c r="AA3144" s="45" t="str">
        <f>IFERROR(VLOOKUP(B3144,'Pre-Summary'!$CG$6:$CI$70,2,FALSE),"")</f>
        <v/>
      </c>
      <c r="AB3144" s="99">
        <f>IFERROR(VLOOKUP(B3144,'Pre-Summary'!$A$6:$P$178,9,FALSE),AB3145)</f>
        <v>0</v>
      </c>
      <c r="AC3144" s="10">
        <f>IFERROR(VLOOKUP(Summary!B3144,'Pre-Summary'!$A$6:$P$184,5, FALSE)/100,AC3145)</f>
        <v>0</v>
      </c>
      <c r="AD3144" s="10">
        <f>IFERROR(VLOOKUP(Summary!B3144,'Pre-Summary'!$A$6:$P$184,3, FALSE)/100,AD3145)</f>
        <v>0</v>
      </c>
      <c r="AE3144" s="10">
        <f>IFERROR(VLOOKUP(Summary!B3144,'Pre-Summary'!$A$6:$P$184,7, FALSE)/100,AE3145)</f>
        <v>0</v>
      </c>
      <c r="AF3144" s="99">
        <f t="shared" si="147"/>
        <v>0</v>
      </c>
      <c r="AG3144" s="99">
        <f t="shared" si="148"/>
        <v>0</v>
      </c>
      <c r="AH3144" s="10" t="str">
        <f>IFERROR(VLOOKUP(B3144,'Pre-Summary'!$AZ$6:$BE$65,3,FALSE),"")</f>
        <v/>
      </c>
      <c r="AI3144" s="10" t="str">
        <f>IFERROR(VLOOKUP(B3144,'Pre-Summary'!$AZ$6:$BE$65,5,FALSE),"")</f>
        <v/>
      </c>
      <c r="AJ3144" s="10" t="str">
        <f>IFERROR(VLOOKUP(B3144,'Pre-Summary'!$AZ$6:$BE$65,4,FALSE),"")</f>
        <v/>
      </c>
      <c r="AK3144" s="10" t="str">
        <f>IFERROR(VLOOKUP(B3144,'Pre-Summary'!$AZ$6:$BE$65,6,FALSE),"")</f>
        <v/>
      </c>
      <c r="AL3144" s="10" t="str">
        <f>IFERROR(VLOOKUP(B3144,'Pre-Summary'!$BG$6:$BL$44,3,FALSE),"")</f>
        <v/>
      </c>
      <c r="AM3144" s="10" t="str">
        <f>IFERROR(VLOOKUP(B3144,'Pre-Summary'!$BG$6:$BL$44,4,FALSE),"")</f>
        <v/>
      </c>
    </row>
    <row r="3145" spans="2:39" ht="15" customHeight="1" x14ac:dyDescent="0.3">
      <c r="B3145">
        <v>314.20000000000101</v>
      </c>
      <c r="D3145" s="10"/>
      <c r="E3145" s="10"/>
      <c r="F3145">
        <f>IFERROR(VLOOKUP(B3145,'Pre-Summary'!$AL$6:$AQ$13,6,FALSE),F3144)</f>
        <v>5.9405263157894746E-2</v>
      </c>
      <c r="M3145" s="45" t="str">
        <f>IFERROR(VLOOKUP(B3145,'Pre-Summary'!$BW$6:$BY$58,2,FALSE),"")</f>
        <v/>
      </c>
      <c r="N3145" s="45" t="str">
        <f>IFERROR(VLOOKUP(B3145,'Pre-Summary'!$CD$6:$CF$64,2,FALSE),"")</f>
        <v/>
      </c>
      <c r="O3145" s="99">
        <f>IFERROR(VLOOKUP(B3145,'Pre-Summary'!$BO$6:$BQ$48,3, FALSE),O3144)</f>
        <v>3.3239999999999998</v>
      </c>
      <c r="P3145" s="99">
        <f>IFERROR(VLOOKUP(B3145,'Pre-Summary'!$BS$6:$BU$35,3,FALSE),P3144)</f>
        <v>0.84099999999999997</v>
      </c>
      <c r="Q3145" s="54">
        <f t="shared" si="149"/>
        <v>3.9524375743162903</v>
      </c>
      <c r="R3145" s="53">
        <f>IFERROR(VLOOKUP(B3145,'Pre-Summary'!$BG$6:$BM$44,7,FALSE),R3146)</f>
        <v>0</v>
      </c>
      <c r="S3145" s="53" t="e">
        <f>VLOOKUP(B3145,'Pre-Summary'!$BG$6:$BM$44,6,FALSE)</f>
        <v>#N/A</v>
      </c>
      <c r="Z3145" s="45" t="str">
        <f>IFERROR(VLOOKUP(B3145,'Pre-Summary'!$BZ$6:$CB$63,2,FALSE),"")</f>
        <v/>
      </c>
      <c r="AA3145" s="45" t="str">
        <f>IFERROR(VLOOKUP(B3145,'Pre-Summary'!$CG$6:$CI$70,2,FALSE),"")</f>
        <v/>
      </c>
      <c r="AB3145" s="99">
        <f>IFERROR(VLOOKUP(B3145,'Pre-Summary'!$A$6:$P$178,9,FALSE),AB3146)</f>
        <v>0</v>
      </c>
      <c r="AC3145" s="10">
        <f>IFERROR(VLOOKUP(Summary!B3145,'Pre-Summary'!$A$6:$P$184,5, FALSE)/100,AC3146)</f>
        <v>0</v>
      </c>
      <c r="AD3145" s="10">
        <f>IFERROR(VLOOKUP(Summary!B3145,'Pre-Summary'!$A$6:$P$184,3, FALSE)/100,AD3146)</f>
        <v>0</v>
      </c>
      <c r="AE3145" s="10">
        <f>IFERROR(VLOOKUP(Summary!B3145,'Pre-Summary'!$A$6:$P$184,7, FALSE)/100,AE3146)</f>
        <v>0</v>
      </c>
      <c r="AF3145" s="99">
        <f t="shared" si="147"/>
        <v>0</v>
      </c>
      <c r="AG3145" s="99">
        <f t="shared" si="148"/>
        <v>0</v>
      </c>
      <c r="AH3145" s="10" t="str">
        <f>IFERROR(VLOOKUP(B3145,'Pre-Summary'!$AZ$6:$BE$65,3,FALSE),"")</f>
        <v/>
      </c>
      <c r="AI3145" s="10" t="str">
        <f>IFERROR(VLOOKUP(B3145,'Pre-Summary'!$AZ$6:$BE$65,5,FALSE),"")</f>
        <v/>
      </c>
      <c r="AJ3145" s="10" t="str">
        <f>IFERROR(VLOOKUP(B3145,'Pre-Summary'!$AZ$6:$BE$65,4,FALSE),"")</f>
        <v/>
      </c>
      <c r="AK3145" s="10" t="str">
        <f>IFERROR(VLOOKUP(B3145,'Pre-Summary'!$AZ$6:$BE$65,6,FALSE),"")</f>
        <v/>
      </c>
      <c r="AL3145" s="10" t="str">
        <f>IFERROR(VLOOKUP(B3145,'Pre-Summary'!$BG$6:$BL$44,3,FALSE),"")</f>
        <v/>
      </c>
      <c r="AM3145" s="10" t="str">
        <f>IFERROR(VLOOKUP(B3145,'Pre-Summary'!$BG$6:$BL$44,4,FALSE),"")</f>
        <v/>
      </c>
    </row>
    <row r="3146" spans="2:39" ht="15" customHeight="1" x14ac:dyDescent="0.3">
      <c r="B3146">
        <v>314.30000000000098</v>
      </c>
      <c r="D3146" s="10"/>
      <c r="E3146" s="10"/>
      <c r="F3146">
        <f>IFERROR(VLOOKUP(B3146,'Pre-Summary'!$AL$6:$AQ$13,6,FALSE),F3145)</f>
        <v>5.9405263157894746E-2</v>
      </c>
      <c r="M3146" s="45" t="str">
        <f>IFERROR(VLOOKUP(B3146,'Pre-Summary'!$BW$6:$BY$58,2,FALSE),"")</f>
        <v/>
      </c>
      <c r="N3146" s="45" t="str">
        <f>IFERROR(VLOOKUP(B3146,'Pre-Summary'!$CD$6:$CF$64,2,FALSE),"")</f>
        <v/>
      </c>
      <c r="O3146" s="99">
        <f>IFERROR(VLOOKUP(B3146,'Pre-Summary'!$BO$6:$BQ$48,3, FALSE),O3145)</f>
        <v>3.3239999999999998</v>
      </c>
      <c r="P3146" s="99">
        <f>IFERROR(VLOOKUP(B3146,'Pre-Summary'!$BS$6:$BU$35,3,FALSE),P3145)</f>
        <v>0.84099999999999997</v>
      </c>
      <c r="Q3146" s="54">
        <f t="shared" si="149"/>
        <v>3.9524375743162903</v>
      </c>
      <c r="R3146" s="53">
        <f>IFERROR(VLOOKUP(B3146,'Pre-Summary'!$BG$6:$BM$44,7,FALSE),R3147)</f>
        <v>0</v>
      </c>
      <c r="S3146" s="53" t="e">
        <f>VLOOKUP(B3146,'Pre-Summary'!$BG$6:$BM$44,6,FALSE)</f>
        <v>#N/A</v>
      </c>
      <c r="Z3146" s="45" t="str">
        <f>IFERROR(VLOOKUP(B3146,'Pre-Summary'!$BZ$6:$CB$63,2,FALSE),"")</f>
        <v/>
      </c>
      <c r="AA3146" s="45" t="str">
        <f>IFERROR(VLOOKUP(B3146,'Pre-Summary'!$CG$6:$CI$70,2,FALSE),"")</f>
        <v/>
      </c>
      <c r="AB3146" s="99">
        <f>IFERROR(VLOOKUP(B3146,'Pre-Summary'!$A$6:$P$178,9,FALSE),AB3147)</f>
        <v>0</v>
      </c>
      <c r="AC3146" s="10">
        <f>IFERROR(VLOOKUP(Summary!B3146,'Pre-Summary'!$A$6:$P$184,5, FALSE)/100,AC3147)</f>
        <v>0</v>
      </c>
      <c r="AD3146" s="10">
        <f>IFERROR(VLOOKUP(Summary!B3146,'Pre-Summary'!$A$6:$P$184,3, FALSE)/100,AD3147)</f>
        <v>0</v>
      </c>
      <c r="AE3146" s="10">
        <f>IFERROR(VLOOKUP(Summary!B3146,'Pre-Summary'!$A$6:$P$184,7, FALSE)/100,AE3147)</f>
        <v>0</v>
      </c>
      <c r="AF3146" s="99">
        <f t="shared" si="147"/>
        <v>0</v>
      </c>
      <c r="AG3146" s="99">
        <f t="shared" si="148"/>
        <v>0</v>
      </c>
      <c r="AH3146" s="10" t="str">
        <f>IFERROR(VLOOKUP(B3146,'Pre-Summary'!$AZ$6:$BE$65,3,FALSE),"")</f>
        <v/>
      </c>
      <c r="AI3146" s="10" t="str">
        <f>IFERROR(VLOOKUP(B3146,'Pre-Summary'!$AZ$6:$BE$65,5,FALSE),"")</f>
        <v/>
      </c>
      <c r="AJ3146" s="10" t="str">
        <f>IFERROR(VLOOKUP(B3146,'Pre-Summary'!$AZ$6:$BE$65,4,FALSE),"")</f>
        <v/>
      </c>
      <c r="AK3146" s="10" t="str">
        <f>IFERROR(VLOOKUP(B3146,'Pre-Summary'!$AZ$6:$BE$65,6,FALSE),"")</f>
        <v/>
      </c>
      <c r="AL3146" s="10" t="str">
        <f>IFERROR(VLOOKUP(B3146,'Pre-Summary'!$BG$6:$BL$44,3,FALSE),"")</f>
        <v/>
      </c>
      <c r="AM3146" s="10" t="str">
        <f>IFERROR(VLOOKUP(B3146,'Pre-Summary'!$BG$6:$BL$44,4,FALSE),"")</f>
        <v/>
      </c>
    </row>
    <row r="3147" spans="2:39" ht="15" customHeight="1" x14ac:dyDescent="0.3">
      <c r="B3147">
        <v>314.400000000001</v>
      </c>
      <c r="D3147" s="10"/>
      <c r="E3147" s="10"/>
      <c r="F3147">
        <f>IFERROR(VLOOKUP(B3147,'Pre-Summary'!$AL$6:$AQ$13,6,FALSE),F3146)</f>
        <v>5.9405263157894746E-2</v>
      </c>
      <c r="M3147" s="45" t="str">
        <f>IFERROR(VLOOKUP(B3147,'Pre-Summary'!$BW$6:$BY$58,2,FALSE),"")</f>
        <v/>
      </c>
      <c r="N3147" s="45" t="str">
        <f>IFERROR(VLOOKUP(B3147,'Pre-Summary'!$CD$6:$CF$64,2,FALSE),"")</f>
        <v/>
      </c>
      <c r="O3147" s="99">
        <f>IFERROR(VLOOKUP(B3147,'Pre-Summary'!$BO$6:$BQ$48,3, FALSE),O3146)</f>
        <v>3.3239999999999998</v>
      </c>
      <c r="P3147" s="99">
        <f>IFERROR(VLOOKUP(B3147,'Pre-Summary'!$BS$6:$BU$35,3,FALSE),P3146)</f>
        <v>0.84099999999999997</v>
      </c>
      <c r="Q3147" s="54">
        <f t="shared" si="149"/>
        <v>3.9524375743162903</v>
      </c>
      <c r="R3147" s="53">
        <f>IFERROR(VLOOKUP(B3147,'Pre-Summary'!$BG$6:$BM$44,7,FALSE),R3148)</f>
        <v>0</v>
      </c>
      <c r="S3147" s="53" t="e">
        <f>VLOOKUP(B3147,'Pre-Summary'!$BG$6:$BM$44,6,FALSE)</f>
        <v>#N/A</v>
      </c>
      <c r="Z3147" s="45" t="str">
        <f>IFERROR(VLOOKUP(B3147,'Pre-Summary'!$BZ$6:$CB$63,2,FALSE),"")</f>
        <v/>
      </c>
      <c r="AA3147" s="45" t="str">
        <f>IFERROR(VLOOKUP(B3147,'Pre-Summary'!$CG$6:$CI$70,2,FALSE),"")</f>
        <v/>
      </c>
      <c r="AB3147" s="99">
        <f>IFERROR(VLOOKUP(B3147,'Pre-Summary'!$A$6:$P$178,9,FALSE),AB3148)</f>
        <v>0</v>
      </c>
      <c r="AC3147" s="10">
        <f>IFERROR(VLOOKUP(Summary!B3147,'Pre-Summary'!$A$6:$P$184,5, FALSE)/100,AC3148)</f>
        <v>0</v>
      </c>
      <c r="AD3147" s="10">
        <f>IFERROR(VLOOKUP(Summary!B3147,'Pre-Summary'!$A$6:$P$184,3, FALSE)/100,AD3148)</f>
        <v>0</v>
      </c>
      <c r="AE3147" s="10">
        <f>IFERROR(VLOOKUP(Summary!B3147,'Pre-Summary'!$A$6:$P$184,7, FALSE)/100,AE3148)</f>
        <v>0</v>
      </c>
      <c r="AF3147" s="99">
        <f t="shared" si="147"/>
        <v>0</v>
      </c>
      <c r="AG3147" s="99">
        <f t="shared" si="148"/>
        <v>0</v>
      </c>
      <c r="AH3147" s="10" t="str">
        <f>IFERROR(VLOOKUP(B3147,'Pre-Summary'!$AZ$6:$BE$65,3,FALSE),"")</f>
        <v/>
      </c>
      <c r="AI3147" s="10" t="str">
        <f>IFERROR(VLOOKUP(B3147,'Pre-Summary'!$AZ$6:$BE$65,5,FALSE),"")</f>
        <v/>
      </c>
      <c r="AJ3147" s="10" t="str">
        <f>IFERROR(VLOOKUP(B3147,'Pre-Summary'!$AZ$6:$BE$65,4,FALSE),"")</f>
        <v/>
      </c>
      <c r="AK3147" s="10" t="str">
        <f>IFERROR(VLOOKUP(B3147,'Pre-Summary'!$AZ$6:$BE$65,6,FALSE),"")</f>
        <v/>
      </c>
      <c r="AL3147" s="10" t="str">
        <f>IFERROR(VLOOKUP(B3147,'Pre-Summary'!$BG$6:$BL$44,3,FALSE),"")</f>
        <v/>
      </c>
      <c r="AM3147" s="10" t="str">
        <f>IFERROR(VLOOKUP(B3147,'Pre-Summary'!$BG$6:$BL$44,4,FALSE),"")</f>
        <v/>
      </c>
    </row>
    <row r="3148" spans="2:39" ht="15" customHeight="1" x14ac:dyDescent="0.3">
      <c r="B3148">
        <v>314.50000000000102</v>
      </c>
      <c r="D3148" s="10"/>
      <c r="E3148" s="10"/>
      <c r="F3148">
        <f>IFERROR(VLOOKUP(B3148,'Pre-Summary'!$AL$6:$AQ$13,6,FALSE),F3147)</f>
        <v>5.9405263157894746E-2</v>
      </c>
      <c r="M3148" s="45" t="str">
        <f>IFERROR(VLOOKUP(B3148,'Pre-Summary'!$BW$6:$BY$58,2,FALSE),"")</f>
        <v/>
      </c>
      <c r="N3148" s="45" t="str">
        <f>IFERROR(VLOOKUP(B3148,'Pre-Summary'!$CD$6:$CF$64,2,FALSE),"")</f>
        <v/>
      </c>
      <c r="O3148" s="99">
        <f>IFERROR(VLOOKUP(B3148,'Pre-Summary'!$BO$6:$BQ$48,3, FALSE),O3147)</f>
        <v>3.3239999999999998</v>
      </c>
      <c r="P3148" s="99">
        <f>IFERROR(VLOOKUP(B3148,'Pre-Summary'!$BS$6:$BU$35,3,FALSE),P3147)</f>
        <v>0.84099999999999997</v>
      </c>
      <c r="Q3148" s="54">
        <f t="shared" si="149"/>
        <v>3.9524375743162903</v>
      </c>
      <c r="R3148" s="53">
        <f>IFERROR(VLOOKUP(B3148,'Pre-Summary'!$BG$6:$BM$44,7,FALSE),R3149)</f>
        <v>0</v>
      </c>
      <c r="S3148" s="53" t="e">
        <f>VLOOKUP(B3148,'Pre-Summary'!$BG$6:$BM$44,6,FALSE)</f>
        <v>#N/A</v>
      </c>
      <c r="Z3148" s="45" t="str">
        <f>IFERROR(VLOOKUP(B3148,'Pre-Summary'!$BZ$6:$CB$63,2,FALSE),"")</f>
        <v/>
      </c>
      <c r="AA3148" s="45" t="str">
        <f>IFERROR(VLOOKUP(B3148,'Pre-Summary'!$CG$6:$CI$70,2,FALSE),"")</f>
        <v/>
      </c>
      <c r="AB3148" s="99">
        <f>IFERROR(VLOOKUP(B3148,'Pre-Summary'!$A$6:$P$178,9,FALSE),AB3149)</f>
        <v>0</v>
      </c>
      <c r="AC3148" s="10">
        <f>IFERROR(VLOOKUP(Summary!B3148,'Pre-Summary'!$A$6:$P$184,5, FALSE)/100,AC3149)</f>
        <v>0</v>
      </c>
      <c r="AD3148" s="10">
        <f>IFERROR(VLOOKUP(Summary!B3148,'Pre-Summary'!$A$6:$P$184,3, FALSE)/100,AD3149)</f>
        <v>0</v>
      </c>
      <c r="AE3148" s="10">
        <f>IFERROR(VLOOKUP(Summary!B3148,'Pre-Summary'!$A$6:$P$184,7, FALSE)/100,AE3149)</f>
        <v>0</v>
      </c>
      <c r="AF3148" s="99">
        <f t="shared" si="147"/>
        <v>0</v>
      </c>
      <c r="AG3148" s="99">
        <f t="shared" si="148"/>
        <v>0</v>
      </c>
      <c r="AH3148" s="10" t="str">
        <f>IFERROR(VLOOKUP(B3148,'Pre-Summary'!$AZ$6:$BE$65,3,FALSE),"")</f>
        <v/>
      </c>
      <c r="AI3148" s="10" t="str">
        <f>IFERROR(VLOOKUP(B3148,'Pre-Summary'!$AZ$6:$BE$65,5,FALSE),"")</f>
        <v/>
      </c>
      <c r="AJ3148" s="10" t="str">
        <f>IFERROR(VLOOKUP(B3148,'Pre-Summary'!$AZ$6:$BE$65,4,FALSE),"")</f>
        <v/>
      </c>
      <c r="AK3148" s="10" t="str">
        <f>IFERROR(VLOOKUP(B3148,'Pre-Summary'!$AZ$6:$BE$65,6,FALSE),"")</f>
        <v/>
      </c>
      <c r="AL3148" s="10" t="str">
        <f>IFERROR(VLOOKUP(B3148,'Pre-Summary'!$BG$6:$BL$44,3,FALSE),"")</f>
        <v/>
      </c>
      <c r="AM3148" s="10" t="str">
        <f>IFERROR(VLOOKUP(B3148,'Pre-Summary'!$BG$6:$BL$44,4,FALSE),"")</f>
        <v/>
      </c>
    </row>
    <row r="3149" spans="2:39" ht="15" customHeight="1" x14ac:dyDescent="0.3">
      <c r="B3149">
        <v>314.60000000000099</v>
      </c>
      <c r="D3149" s="10"/>
      <c r="E3149" s="10"/>
      <c r="F3149">
        <f>IFERROR(VLOOKUP(B3149,'Pre-Summary'!$AL$6:$AQ$13,6,FALSE),F3148)</f>
        <v>5.9405263157894746E-2</v>
      </c>
      <c r="M3149" s="45" t="str">
        <f>IFERROR(VLOOKUP(B3149,'Pre-Summary'!$BW$6:$BY$58,2,FALSE),"")</f>
        <v/>
      </c>
      <c r="N3149" s="45" t="str">
        <f>IFERROR(VLOOKUP(B3149,'Pre-Summary'!$CD$6:$CF$64,2,FALSE),"")</f>
        <v/>
      </c>
      <c r="O3149" s="99">
        <f>IFERROR(VLOOKUP(B3149,'Pre-Summary'!$BO$6:$BQ$48,3, FALSE),O3148)</f>
        <v>3.3239999999999998</v>
      </c>
      <c r="P3149" s="99">
        <f>IFERROR(VLOOKUP(B3149,'Pre-Summary'!$BS$6:$BU$35,3,FALSE),P3148)</f>
        <v>0.84099999999999997</v>
      </c>
      <c r="Q3149" s="54">
        <f t="shared" si="149"/>
        <v>3.9524375743162903</v>
      </c>
      <c r="R3149" s="53">
        <f>IFERROR(VLOOKUP(B3149,'Pre-Summary'!$BG$6:$BM$44,7,FALSE),R3150)</f>
        <v>0</v>
      </c>
      <c r="S3149" s="53" t="e">
        <f>VLOOKUP(B3149,'Pre-Summary'!$BG$6:$BM$44,6,FALSE)</f>
        <v>#N/A</v>
      </c>
      <c r="Z3149" s="45" t="str">
        <f>IFERROR(VLOOKUP(B3149,'Pre-Summary'!$BZ$6:$CB$63,2,FALSE),"")</f>
        <v/>
      </c>
      <c r="AA3149" s="45" t="str">
        <f>IFERROR(VLOOKUP(B3149,'Pre-Summary'!$CG$6:$CI$70,2,FALSE),"")</f>
        <v/>
      </c>
      <c r="AB3149" s="99">
        <f>IFERROR(VLOOKUP(B3149,'Pre-Summary'!$A$6:$P$178,9,FALSE),AB3150)</f>
        <v>0</v>
      </c>
      <c r="AC3149" s="10">
        <f>IFERROR(VLOOKUP(Summary!B3149,'Pre-Summary'!$A$6:$P$184,5, FALSE)/100,AC3150)</f>
        <v>0</v>
      </c>
      <c r="AD3149" s="10">
        <f>IFERROR(VLOOKUP(Summary!B3149,'Pre-Summary'!$A$6:$P$184,3, FALSE)/100,AD3150)</f>
        <v>0</v>
      </c>
      <c r="AE3149" s="10">
        <f>IFERROR(VLOOKUP(Summary!B3149,'Pre-Summary'!$A$6:$P$184,7, FALSE)/100,AE3150)</f>
        <v>0</v>
      </c>
      <c r="AF3149" s="99">
        <f t="shared" si="147"/>
        <v>0</v>
      </c>
      <c r="AG3149" s="99">
        <f t="shared" si="148"/>
        <v>0</v>
      </c>
      <c r="AH3149" s="10" t="str">
        <f>IFERROR(VLOOKUP(B3149,'Pre-Summary'!$AZ$6:$BE$65,3,FALSE),"")</f>
        <v/>
      </c>
      <c r="AI3149" s="10" t="str">
        <f>IFERROR(VLOOKUP(B3149,'Pre-Summary'!$AZ$6:$BE$65,5,FALSE),"")</f>
        <v/>
      </c>
      <c r="AJ3149" s="10" t="str">
        <f>IFERROR(VLOOKUP(B3149,'Pre-Summary'!$AZ$6:$BE$65,4,FALSE),"")</f>
        <v/>
      </c>
      <c r="AK3149" s="10" t="str">
        <f>IFERROR(VLOOKUP(B3149,'Pre-Summary'!$AZ$6:$BE$65,6,FALSE),"")</f>
        <v/>
      </c>
      <c r="AL3149" s="10" t="str">
        <f>IFERROR(VLOOKUP(B3149,'Pre-Summary'!$BG$6:$BL$44,3,FALSE),"")</f>
        <v/>
      </c>
      <c r="AM3149" s="10" t="str">
        <f>IFERROR(VLOOKUP(B3149,'Pre-Summary'!$BG$6:$BL$44,4,FALSE),"")</f>
        <v/>
      </c>
    </row>
    <row r="3150" spans="2:39" ht="15" customHeight="1" x14ac:dyDescent="0.3">
      <c r="B3150">
        <v>314.70000000000101</v>
      </c>
      <c r="D3150" s="10"/>
      <c r="E3150" s="10"/>
      <c r="F3150">
        <f>IFERROR(VLOOKUP(B3150,'Pre-Summary'!$AL$6:$AQ$13,6,FALSE),F3149)</f>
        <v>5.9405263157894746E-2</v>
      </c>
      <c r="M3150" s="45" t="str">
        <f>IFERROR(VLOOKUP(B3150,'Pre-Summary'!$BW$6:$BY$58,2,FALSE),"")</f>
        <v/>
      </c>
      <c r="N3150" s="45" t="str">
        <f>IFERROR(VLOOKUP(B3150,'Pre-Summary'!$CD$6:$CF$64,2,FALSE),"")</f>
        <v/>
      </c>
      <c r="O3150" s="99">
        <f>IFERROR(VLOOKUP(B3150,'Pre-Summary'!$BO$6:$BQ$48,3, FALSE),O3149)</f>
        <v>3.3239999999999998</v>
      </c>
      <c r="P3150" s="99">
        <f>IFERROR(VLOOKUP(B3150,'Pre-Summary'!$BS$6:$BU$35,3,FALSE),P3149)</f>
        <v>0.84099999999999997</v>
      </c>
      <c r="Q3150" s="54">
        <f t="shared" si="149"/>
        <v>3.9524375743162903</v>
      </c>
      <c r="R3150" s="53">
        <f>IFERROR(VLOOKUP(B3150,'Pre-Summary'!$BG$6:$BM$44,7,FALSE),R3151)</f>
        <v>0</v>
      </c>
      <c r="S3150" s="53" t="e">
        <f>VLOOKUP(B3150,'Pre-Summary'!$BG$6:$BM$44,6,FALSE)</f>
        <v>#N/A</v>
      </c>
      <c r="Z3150" s="45" t="str">
        <f>IFERROR(VLOOKUP(B3150,'Pre-Summary'!$BZ$6:$CB$63,2,FALSE),"")</f>
        <v/>
      </c>
      <c r="AA3150" s="45" t="str">
        <f>IFERROR(VLOOKUP(B3150,'Pre-Summary'!$CG$6:$CI$70,2,FALSE),"")</f>
        <v/>
      </c>
      <c r="AB3150" s="99">
        <f>IFERROR(VLOOKUP(B3150,'Pre-Summary'!$A$6:$P$178,9,FALSE),AB3151)</f>
        <v>0</v>
      </c>
      <c r="AC3150" s="10">
        <f>IFERROR(VLOOKUP(Summary!B3150,'Pre-Summary'!$A$6:$P$184,5, FALSE)/100,AC3151)</f>
        <v>0</v>
      </c>
      <c r="AD3150" s="10">
        <f>IFERROR(VLOOKUP(Summary!B3150,'Pre-Summary'!$A$6:$P$184,3, FALSE)/100,AD3151)</f>
        <v>0</v>
      </c>
      <c r="AE3150" s="10">
        <f>IFERROR(VLOOKUP(Summary!B3150,'Pre-Summary'!$A$6:$P$184,7, FALSE)/100,AE3151)</f>
        <v>0</v>
      </c>
      <c r="AF3150" s="99">
        <f t="shared" si="147"/>
        <v>0</v>
      </c>
      <c r="AG3150" s="99">
        <f t="shared" si="148"/>
        <v>0</v>
      </c>
      <c r="AH3150" s="10" t="str">
        <f>IFERROR(VLOOKUP(B3150,'Pre-Summary'!$AZ$6:$BE$65,3,FALSE),"")</f>
        <v/>
      </c>
      <c r="AI3150" s="10" t="str">
        <f>IFERROR(VLOOKUP(B3150,'Pre-Summary'!$AZ$6:$BE$65,5,FALSE),"")</f>
        <v/>
      </c>
      <c r="AJ3150" s="10" t="str">
        <f>IFERROR(VLOOKUP(B3150,'Pre-Summary'!$AZ$6:$BE$65,4,FALSE),"")</f>
        <v/>
      </c>
      <c r="AK3150" s="10" t="str">
        <f>IFERROR(VLOOKUP(B3150,'Pre-Summary'!$AZ$6:$BE$65,6,FALSE),"")</f>
        <v/>
      </c>
      <c r="AL3150" s="10" t="str">
        <f>IFERROR(VLOOKUP(B3150,'Pre-Summary'!$BG$6:$BL$44,3,FALSE),"")</f>
        <v/>
      </c>
      <c r="AM3150" s="10" t="str">
        <f>IFERROR(VLOOKUP(B3150,'Pre-Summary'!$BG$6:$BL$44,4,FALSE),"")</f>
        <v/>
      </c>
    </row>
    <row r="3151" spans="2:39" ht="15" customHeight="1" x14ac:dyDescent="0.3">
      <c r="B3151">
        <v>314.80000000000098</v>
      </c>
      <c r="D3151" s="10"/>
      <c r="E3151" s="10"/>
      <c r="F3151">
        <f>IFERROR(VLOOKUP(B3151,'Pre-Summary'!$AL$6:$AQ$13,6,FALSE),F3150)</f>
        <v>5.9405263157894746E-2</v>
      </c>
      <c r="M3151" s="45" t="str">
        <f>IFERROR(VLOOKUP(B3151,'Pre-Summary'!$BW$6:$BY$58,2,FALSE),"")</f>
        <v/>
      </c>
      <c r="N3151" s="45" t="str">
        <f>IFERROR(VLOOKUP(B3151,'Pre-Summary'!$CD$6:$CF$64,2,FALSE),"")</f>
        <v/>
      </c>
      <c r="O3151" s="99">
        <f>IFERROR(VLOOKUP(B3151,'Pre-Summary'!$BO$6:$BQ$48,3, FALSE),O3150)</f>
        <v>3.3239999999999998</v>
      </c>
      <c r="P3151" s="99">
        <f>IFERROR(VLOOKUP(B3151,'Pre-Summary'!$BS$6:$BU$35,3,FALSE),P3150)</f>
        <v>0.84099999999999997</v>
      </c>
      <c r="Q3151" s="54">
        <f t="shared" si="149"/>
        <v>3.9524375743162903</v>
      </c>
      <c r="R3151" s="53">
        <f>IFERROR(VLOOKUP(B3151,'Pre-Summary'!$BG$6:$BM$44,7,FALSE),R3152)</f>
        <v>0</v>
      </c>
      <c r="S3151" s="53" t="e">
        <f>VLOOKUP(B3151,'Pre-Summary'!$BG$6:$BM$44,6,FALSE)</f>
        <v>#N/A</v>
      </c>
      <c r="Z3151" s="45" t="str">
        <f>IFERROR(VLOOKUP(B3151,'Pre-Summary'!$BZ$6:$CB$63,2,FALSE),"")</f>
        <v/>
      </c>
      <c r="AA3151" s="45" t="str">
        <f>IFERROR(VLOOKUP(B3151,'Pre-Summary'!$CG$6:$CI$70,2,FALSE),"")</f>
        <v/>
      </c>
      <c r="AB3151" s="99">
        <f>IFERROR(VLOOKUP(B3151,'Pre-Summary'!$A$6:$P$178,9,FALSE),AB3152)</f>
        <v>0</v>
      </c>
      <c r="AC3151" s="10">
        <f>IFERROR(VLOOKUP(Summary!B3151,'Pre-Summary'!$A$6:$P$184,5, FALSE)/100,AC3152)</f>
        <v>0</v>
      </c>
      <c r="AD3151" s="10">
        <f>IFERROR(VLOOKUP(Summary!B3151,'Pre-Summary'!$A$6:$P$184,3, FALSE)/100,AD3152)</f>
        <v>0</v>
      </c>
      <c r="AE3151" s="10">
        <f>IFERROR(VLOOKUP(Summary!B3151,'Pre-Summary'!$A$6:$P$184,7, FALSE)/100,AE3152)</f>
        <v>0</v>
      </c>
      <c r="AF3151" s="99">
        <f t="shared" si="147"/>
        <v>0</v>
      </c>
      <c r="AG3151" s="99">
        <f t="shared" si="148"/>
        <v>0</v>
      </c>
      <c r="AH3151" s="10" t="str">
        <f>IFERROR(VLOOKUP(B3151,'Pre-Summary'!$AZ$6:$BE$65,3,FALSE),"")</f>
        <v/>
      </c>
      <c r="AI3151" s="10" t="str">
        <f>IFERROR(VLOOKUP(B3151,'Pre-Summary'!$AZ$6:$BE$65,5,FALSE),"")</f>
        <v/>
      </c>
      <c r="AJ3151" s="10" t="str">
        <f>IFERROR(VLOOKUP(B3151,'Pre-Summary'!$AZ$6:$BE$65,4,FALSE),"")</f>
        <v/>
      </c>
      <c r="AK3151" s="10" t="str">
        <f>IFERROR(VLOOKUP(B3151,'Pre-Summary'!$AZ$6:$BE$65,6,FALSE),"")</f>
        <v/>
      </c>
      <c r="AL3151" s="10" t="str">
        <f>IFERROR(VLOOKUP(B3151,'Pre-Summary'!$BG$6:$BL$44,3,FALSE),"")</f>
        <v/>
      </c>
      <c r="AM3151" s="10" t="str">
        <f>IFERROR(VLOOKUP(B3151,'Pre-Summary'!$BG$6:$BL$44,4,FALSE),"")</f>
        <v/>
      </c>
    </row>
    <row r="3152" spans="2:39" ht="15" customHeight="1" x14ac:dyDescent="0.3">
      <c r="B3152">
        <v>314.900000000001</v>
      </c>
      <c r="D3152" s="10"/>
      <c r="E3152" s="10"/>
      <c r="F3152">
        <f>IFERROR(VLOOKUP(B3152,'Pre-Summary'!$AL$6:$AQ$13,6,FALSE),F3151)</f>
        <v>5.9405263157894746E-2</v>
      </c>
      <c r="M3152" s="45" t="str">
        <f>IFERROR(VLOOKUP(B3152,'Pre-Summary'!$BW$6:$BY$58,2,FALSE),"")</f>
        <v/>
      </c>
      <c r="N3152" s="45" t="str">
        <f>IFERROR(VLOOKUP(B3152,'Pre-Summary'!$CD$6:$CF$64,2,FALSE),"")</f>
        <v/>
      </c>
      <c r="O3152" s="99">
        <f>IFERROR(VLOOKUP(B3152,'Pre-Summary'!$BO$6:$BQ$48,3, FALSE),O3151)</f>
        <v>3.3239999999999998</v>
      </c>
      <c r="P3152" s="99">
        <f>IFERROR(VLOOKUP(B3152,'Pre-Summary'!$BS$6:$BU$35,3,FALSE),P3151)</f>
        <v>0.84099999999999997</v>
      </c>
      <c r="Q3152" s="54">
        <f t="shared" si="149"/>
        <v>3.9524375743162903</v>
      </c>
      <c r="R3152" s="53">
        <f>IFERROR(VLOOKUP(B3152,'Pre-Summary'!$BG$6:$BM$44,7,FALSE),R3153)</f>
        <v>0</v>
      </c>
      <c r="S3152" s="53" t="e">
        <f>VLOOKUP(B3152,'Pre-Summary'!$BG$6:$BM$44,6,FALSE)</f>
        <v>#N/A</v>
      </c>
      <c r="Z3152" s="45" t="str">
        <f>IFERROR(VLOOKUP(B3152,'Pre-Summary'!$BZ$6:$CB$63,2,FALSE),"")</f>
        <v/>
      </c>
      <c r="AA3152" s="45" t="str">
        <f>IFERROR(VLOOKUP(B3152,'Pre-Summary'!$CG$6:$CI$70,2,FALSE),"")</f>
        <v/>
      </c>
      <c r="AB3152" s="99">
        <f>IFERROR(VLOOKUP(B3152,'Pre-Summary'!$A$6:$P$178,9,FALSE),AB3153)</f>
        <v>0</v>
      </c>
      <c r="AC3152" s="10">
        <f>IFERROR(VLOOKUP(Summary!B3152,'Pre-Summary'!$A$6:$P$184,5, FALSE)/100,AC3153)</f>
        <v>0</v>
      </c>
      <c r="AD3152" s="10">
        <f>IFERROR(VLOOKUP(Summary!B3152,'Pre-Summary'!$A$6:$P$184,3, FALSE)/100,AD3153)</f>
        <v>0</v>
      </c>
      <c r="AE3152" s="10">
        <f>IFERROR(VLOOKUP(Summary!B3152,'Pre-Summary'!$A$6:$P$184,7, FALSE)/100,AE3153)</f>
        <v>0</v>
      </c>
      <c r="AF3152" s="99">
        <f t="shared" si="147"/>
        <v>0</v>
      </c>
      <c r="AG3152" s="99">
        <f t="shared" si="148"/>
        <v>0</v>
      </c>
      <c r="AH3152" s="10" t="str">
        <f>IFERROR(VLOOKUP(B3152,'Pre-Summary'!$AZ$6:$BE$65,3,FALSE),"")</f>
        <v/>
      </c>
      <c r="AI3152" s="10" t="str">
        <f>IFERROR(VLOOKUP(B3152,'Pre-Summary'!$AZ$6:$BE$65,5,FALSE),"")</f>
        <v/>
      </c>
      <c r="AJ3152" s="10" t="str">
        <f>IFERROR(VLOOKUP(B3152,'Pre-Summary'!$AZ$6:$BE$65,4,FALSE),"")</f>
        <v/>
      </c>
      <c r="AK3152" s="10" t="str">
        <f>IFERROR(VLOOKUP(B3152,'Pre-Summary'!$AZ$6:$BE$65,6,FALSE),"")</f>
        <v/>
      </c>
      <c r="AL3152" s="10" t="str">
        <f>IFERROR(VLOOKUP(B3152,'Pre-Summary'!$BG$6:$BL$44,3,FALSE),"")</f>
        <v/>
      </c>
      <c r="AM3152" s="10" t="str">
        <f>IFERROR(VLOOKUP(B3152,'Pre-Summary'!$BG$6:$BL$44,4,FALSE),"")</f>
        <v/>
      </c>
    </row>
    <row r="3153" spans="2:39" ht="15" customHeight="1" x14ac:dyDescent="0.3">
      <c r="B3153">
        <v>315.00000000000102</v>
      </c>
      <c r="D3153" s="10"/>
      <c r="E3153" s="10"/>
      <c r="F3153">
        <f>IFERROR(VLOOKUP(B3153,'Pre-Summary'!$AL$6:$AQ$13,6,FALSE),F3152)</f>
        <v>5.9405263157894746E-2</v>
      </c>
      <c r="M3153" s="45" t="str">
        <f>IFERROR(VLOOKUP(B3153,'Pre-Summary'!$BW$6:$BY$58,2,FALSE),"")</f>
        <v/>
      </c>
      <c r="N3153" s="45" t="str">
        <f>IFERROR(VLOOKUP(B3153,'Pre-Summary'!$CD$6:$CF$64,2,FALSE),"")</f>
        <v/>
      </c>
      <c r="O3153" s="99">
        <f>IFERROR(VLOOKUP(B3153,'Pre-Summary'!$BO$6:$BQ$48,3, FALSE),O3152)</f>
        <v>3.3239999999999998</v>
      </c>
      <c r="P3153" s="99">
        <f>IFERROR(VLOOKUP(B3153,'Pre-Summary'!$BS$6:$BU$35,3,FALSE),P3152)</f>
        <v>0.84099999999999997</v>
      </c>
      <c r="Q3153" s="54">
        <f t="shared" si="149"/>
        <v>3.9524375743162903</v>
      </c>
      <c r="R3153" s="53">
        <f>IFERROR(VLOOKUP(B3153,'Pre-Summary'!$BG$6:$BM$44,7,FALSE),R3154)</f>
        <v>0</v>
      </c>
      <c r="S3153" s="53" t="e">
        <f>VLOOKUP(B3153,'Pre-Summary'!$BG$6:$BM$44,6,FALSE)</f>
        <v>#N/A</v>
      </c>
      <c r="Z3153" s="45" t="str">
        <f>IFERROR(VLOOKUP(B3153,'Pre-Summary'!$BZ$6:$CB$63,2,FALSE),"")</f>
        <v/>
      </c>
      <c r="AA3153" s="45" t="str">
        <f>IFERROR(VLOOKUP(B3153,'Pre-Summary'!$CG$6:$CI$70,2,FALSE),"")</f>
        <v/>
      </c>
      <c r="AB3153" s="99">
        <f>IFERROR(VLOOKUP(B3153,'Pre-Summary'!$A$6:$P$178,9,FALSE),AB3154)</f>
        <v>0</v>
      </c>
      <c r="AC3153" s="10">
        <f>IFERROR(VLOOKUP(Summary!B3153,'Pre-Summary'!$A$6:$P$184,5, FALSE)/100,AC3154)</f>
        <v>0</v>
      </c>
      <c r="AD3153" s="10">
        <f>IFERROR(VLOOKUP(Summary!B3153,'Pre-Summary'!$A$6:$P$184,3, FALSE)/100,AD3154)</f>
        <v>0</v>
      </c>
      <c r="AE3153" s="10">
        <f>IFERROR(VLOOKUP(Summary!B3153,'Pre-Summary'!$A$6:$P$184,7, FALSE)/100,AE3154)</f>
        <v>0</v>
      </c>
      <c r="AF3153" s="99">
        <f t="shared" si="147"/>
        <v>0</v>
      </c>
      <c r="AG3153" s="99">
        <f t="shared" si="148"/>
        <v>0</v>
      </c>
      <c r="AH3153" s="10" t="str">
        <f>IFERROR(VLOOKUP(B3153,'Pre-Summary'!$AZ$6:$BE$65,3,FALSE),"")</f>
        <v/>
      </c>
      <c r="AI3153" s="10" t="str">
        <f>IFERROR(VLOOKUP(B3153,'Pre-Summary'!$AZ$6:$BE$65,5,FALSE),"")</f>
        <v/>
      </c>
      <c r="AJ3153" s="10" t="str">
        <f>IFERROR(VLOOKUP(B3153,'Pre-Summary'!$AZ$6:$BE$65,4,FALSE),"")</f>
        <v/>
      </c>
      <c r="AK3153" s="10" t="str">
        <f>IFERROR(VLOOKUP(B3153,'Pre-Summary'!$AZ$6:$BE$65,6,FALSE),"")</f>
        <v/>
      </c>
      <c r="AL3153" s="10" t="str">
        <f>IFERROR(VLOOKUP(B3153,'Pre-Summary'!$BG$6:$BL$44,3,FALSE),"")</f>
        <v/>
      </c>
      <c r="AM3153" s="10" t="str">
        <f>IFERROR(VLOOKUP(B3153,'Pre-Summary'!$BG$6:$BL$44,4,FALSE),"")</f>
        <v/>
      </c>
    </row>
    <row r="3154" spans="2:39" ht="15" customHeight="1" x14ac:dyDescent="0.3">
      <c r="B3154">
        <v>315.10000000000099</v>
      </c>
      <c r="D3154" s="10"/>
      <c r="E3154" s="10"/>
      <c r="F3154">
        <f>IFERROR(VLOOKUP(B3154,'Pre-Summary'!$AL$6:$AQ$13,6,FALSE),F3153)</f>
        <v>5.9405263157894746E-2</v>
      </c>
      <c r="M3154" s="45" t="str">
        <f>IFERROR(VLOOKUP(B3154,'Pre-Summary'!$BW$6:$BY$58,2,FALSE),"")</f>
        <v/>
      </c>
      <c r="N3154" s="45" t="str">
        <f>IFERROR(VLOOKUP(B3154,'Pre-Summary'!$CD$6:$CF$64,2,FALSE),"")</f>
        <v/>
      </c>
      <c r="O3154" s="99">
        <f>IFERROR(VLOOKUP(B3154,'Pre-Summary'!$BO$6:$BQ$48,3, FALSE),O3153)</f>
        <v>3.3239999999999998</v>
      </c>
      <c r="P3154" s="99">
        <f>IFERROR(VLOOKUP(B3154,'Pre-Summary'!$BS$6:$BU$35,3,FALSE),P3153)</f>
        <v>0.84099999999999997</v>
      </c>
      <c r="Q3154" s="54">
        <f t="shared" si="149"/>
        <v>3.9524375743162903</v>
      </c>
      <c r="R3154" s="53">
        <f>IFERROR(VLOOKUP(B3154,'Pre-Summary'!$BG$6:$BM$44,7,FALSE),R3155)</f>
        <v>0</v>
      </c>
      <c r="S3154" s="53" t="e">
        <f>VLOOKUP(B3154,'Pre-Summary'!$BG$6:$BM$44,6,FALSE)</f>
        <v>#N/A</v>
      </c>
      <c r="Z3154" s="45" t="str">
        <f>IFERROR(VLOOKUP(B3154,'Pre-Summary'!$BZ$6:$CB$63,2,FALSE),"")</f>
        <v/>
      </c>
      <c r="AA3154" s="45" t="str">
        <f>IFERROR(VLOOKUP(B3154,'Pre-Summary'!$CG$6:$CI$70,2,FALSE),"")</f>
        <v/>
      </c>
      <c r="AB3154" s="99">
        <f>IFERROR(VLOOKUP(B3154,'Pre-Summary'!$A$6:$P$178,9,FALSE),AB3155)</f>
        <v>0</v>
      </c>
      <c r="AC3154" s="10">
        <f>IFERROR(VLOOKUP(Summary!B3154,'Pre-Summary'!$A$6:$P$184,5, FALSE)/100,AC3155)</f>
        <v>0</v>
      </c>
      <c r="AD3154" s="10">
        <f>IFERROR(VLOOKUP(Summary!B3154,'Pre-Summary'!$A$6:$P$184,3, FALSE)/100,AD3155)</f>
        <v>0</v>
      </c>
      <c r="AE3154" s="10">
        <f>IFERROR(VLOOKUP(Summary!B3154,'Pre-Summary'!$A$6:$P$184,7, FALSE)/100,AE3155)</f>
        <v>0</v>
      </c>
      <c r="AF3154" s="99">
        <f t="shared" si="147"/>
        <v>0</v>
      </c>
      <c r="AG3154" s="99">
        <f t="shared" si="148"/>
        <v>0</v>
      </c>
      <c r="AH3154" s="10" t="str">
        <f>IFERROR(VLOOKUP(B3154,'Pre-Summary'!$AZ$6:$BE$65,3,FALSE),"")</f>
        <v/>
      </c>
      <c r="AI3154" s="10" t="str">
        <f>IFERROR(VLOOKUP(B3154,'Pre-Summary'!$AZ$6:$BE$65,5,FALSE),"")</f>
        <v/>
      </c>
      <c r="AJ3154" s="10" t="str">
        <f>IFERROR(VLOOKUP(B3154,'Pre-Summary'!$AZ$6:$BE$65,4,FALSE),"")</f>
        <v/>
      </c>
      <c r="AK3154" s="10" t="str">
        <f>IFERROR(VLOOKUP(B3154,'Pre-Summary'!$AZ$6:$BE$65,6,FALSE),"")</f>
        <v/>
      </c>
      <c r="AL3154" s="10" t="str">
        <f>IFERROR(VLOOKUP(B3154,'Pre-Summary'!$BG$6:$BL$44,3,FALSE),"")</f>
        <v/>
      </c>
      <c r="AM3154" s="10" t="str">
        <f>IFERROR(VLOOKUP(B3154,'Pre-Summary'!$BG$6:$BL$44,4,FALSE),"")</f>
        <v/>
      </c>
    </row>
    <row r="3155" spans="2:39" ht="15" customHeight="1" x14ac:dyDescent="0.3">
      <c r="B3155">
        <v>315.20000000000101</v>
      </c>
      <c r="D3155" s="10"/>
      <c r="E3155" s="10"/>
      <c r="F3155">
        <f>IFERROR(VLOOKUP(B3155,'Pre-Summary'!$AL$6:$AQ$13,6,FALSE),F3154)</f>
        <v>5.9405263157894746E-2</v>
      </c>
      <c r="M3155" s="45" t="str">
        <f>IFERROR(VLOOKUP(B3155,'Pre-Summary'!$BW$6:$BY$58,2,FALSE),"")</f>
        <v/>
      </c>
      <c r="N3155" s="45" t="str">
        <f>IFERROR(VLOOKUP(B3155,'Pre-Summary'!$CD$6:$CF$64,2,FALSE),"")</f>
        <v/>
      </c>
      <c r="O3155" s="99">
        <f>IFERROR(VLOOKUP(B3155,'Pre-Summary'!$BO$6:$BQ$48,3, FALSE),O3154)</f>
        <v>3.3239999999999998</v>
      </c>
      <c r="P3155" s="99">
        <f>IFERROR(VLOOKUP(B3155,'Pre-Summary'!$BS$6:$BU$35,3,FALSE),P3154)</f>
        <v>0.84099999999999997</v>
      </c>
      <c r="Q3155" s="54">
        <f t="shared" si="149"/>
        <v>3.9524375743162903</v>
      </c>
      <c r="R3155" s="53">
        <f>IFERROR(VLOOKUP(B3155,'Pre-Summary'!$BG$6:$BM$44,7,FALSE),R3156)</f>
        <v>0</v>
      </c>
      <c r="S3155" s="53" t="e">
        <f>VLOOKUP(B3155,'Pre-Summary'!$BG$6:$BM$44,6,FALSE)</f>
        <v>#N/A</v>
      </c>
      <c r="Z3155" s="45" t="str">
        <f>IFERROR(VLOOKUP(B3155,'Pre-Summary'!$BZ$6:$CB$63,2,FALSE),"")</f>
        <v/>
      </c>
      <c r="AA3155" s="45" t="str">
        <f>IFERROR(VLOOKUP(B3155,'Pre-Summary'!$CG$6:$CI$70,2,FALSE),"")</f>
        <v/>
      </c>
      <c r="AB3155" s="99">
        <f>IFERROR(VLOOKUP(B3155,'Pre-Summary'!$A$6:$P$178,9,FALSE),AB3156)</f>
        <v>0</v>
      </c>
      <c r="AC3155" s="10">
        <f>IFERROR(VLOOKUP(Summary!B3155,'Pre-Summary'!$A$6:$P$184,5, FALSE)/100,AC3156)</f>
        <v>0</v>
      </c>
      <c r="AD3155" s="10">
        <f>IFERROR(VLOOKUP(Summary!B3155,'Pre-Summary'!$A$6:$P$184,3, FALSE)/100,AD3156)</f>
        <v>0</v>
      </c>
      <c r="AE3155" s="10">
        <f>IFERROR(VLOOKUP(Summary!B3155,'Pre-Summary'!$A$6:$P$184,7, FALSE)/100,AE3156)</f>
        <v>0</v>
      </c>
      <c r="AF3155" s="99">
        <f t="shared" si="147"/>
        <v>0</v>
      </c>
      <c r="AG3155" s="99">
        <f t="shared" si="148"/>
        <v>0</v>
      </c>
      <c r="AH3155" s="10" t="str">
        <f>IFERROR(VLOOKUP(B3155,'Pre-Summary'!$AZ$6:$BE$65,3,FALSE),"")</f>
        <v/>
      </c>
      <c r="AI3155" s="10" t="str">
        <f>IFERROR(VLOOKUP(B3155,'Pre-Summary'!$AZ$6:$BE$65,5,FALSE),"")</f>
        <v/>
      </c>
      <c r="AJ3155" s="10" t="str">
        <f>IFERROR(VLOOKUP(B3155,'Pre-Summary'!$AZ$6:$BE$65,4,FALSE),"")</f>
        <v/>
      </c>
      <c r="AK3155" s="10" t="str">
        <f>IFERROR(VLOOKUP(B3155,'Pre-Summary'!$AZ$6:$BE$65,6,FALSE),"")</f>
        <v/>
      </c>
      <c r="AL3155" s="10" t="str">
        <f>IFERROR(VLOOKUP(B3155,'Pre-Summary'!$BG$6:$BL$44,3,FALSE),"")</f>
        <v/>
      </c>
      <c r="AM3155" s="10" t="str">
        <f>IFERROR(VLOOKUP(B3155,'Pre-Summary'!$BG$6:$BL$44,4,FALSE),"")</f>
        <v/>
      </c>
    </row>
    <row r="3156" spans="2:39" ht="15" customHeight="1" x14ac:dyDescent="0.3">
      <c r="B3156">
        <v>315.30000000000098</v>
      </c>
      <c r="D3156" s="10"/>
      <c r="E3156" s="10"/>
      <c r="F3156">
        <f>IFERROR(VLOOKUP(B3156,'Pre-Summary'!$AL$6:$AQ$13,6,FALSE),F3155)</f>
        <v>5.9405263157894746E-2</v>
      </c>
      <c r="M3156" s="45" t="str">
        <f>IFERROR(VLOOKUP(B3156,'Pre-Summary'!$BW$6:$BY$58,2,FALSE),"")</f>
        <v/>
      </c>
      <c r="N3156" s="45" t="str">
        <f>IFERROR(VLOOKUP(B3156,'Pre-Summary'!$CD$6:$CF$64,2,FALSE),"")</f>
        <v/>
      </c>
      <c r="O3156" s="99">
        <f>IFERROR(VLOOKUP(B3156,'Pre-Summary'!$BO$6:$BQ$48,3, FALSE),O3155)</f>
        <v>3.3239999999999998</v>
      </c>
      <c r="P3156" s="99">
        <f>IFERROR(VLOOKUP(B3156,'Pre-Summary'!$BS$6:$BU$35,3,FALSE),P3155)</f>
        <v>0.84099999999999997</v>
      </c>
      <c r="Q3156" s="54">
        <f t="shared" si="149"/>
        <v>3.9524375743162903</v>
      </c>
      <c r="R3156" s="53">
        <f>IFERROR(VLOOKUP(B3156,'Pre-Summary'!$BG$6:$BM$44,7,FALSE),R3157)</f>
        <v>0</v>
      </c>
      <c r="S3156" s="53" t="e">
        <f>VLOOKUP(B3156,'Pre-Summary'!$BG$6:$BM$44,6,FALSE)</f>
        <v>#N/A</v>
      </c>
      <c r="Z3156" s="45" t="str">
        <f>IFERROR(VLOOKUP(B3156,'Pre-Summary'!$BZ$6:$CB$63,2,FALSE),"")</f>
        <v/>
      </c>
      <c r="AA3156" s="45" t="str">
        <f>IFERROR(VLOOKUP(B3156,'Pre-Summary'!$CG$6:$CI$70,2,FALSE),"")</f>
        <v/>
      </c>
      <c r="AB3156" s="99">
        <f>IFERROR(VLOOKUP(B3156,'Pre-Summary'!$A$6:$P$178,9,FALSE),AB3157)</f>
        <v>0</v>
      </c>
      <c r="AC3156" s="10">
        <f>IFERROR(VLOOKUP(Summary!B3156,'Pre-Summary'!$A$6:$P$184,5, FALSE)/100,AC3157)</f>
        <v>0</v>
      </c>
      <c r="AD3156" s="10">
        <f>IFERROR(VLOOKUP(Summary!B3156,'Pre-Summary'!$A$6:$P$184,3, FALSE)/100,AD3157)</f>
        <v>0</v>
      </c>
      <c r="AE3156" s="10">
        <f>IFERROR(VLOOKUP(Summary!B3156,'Pre-Summary'!$A$6:$P$184,7, FALSE)/100,AE3157)</f>
        <v>0</v>
      </c>
      <c r="AF3156" s="99">
        <f t="shared" si="147"/>
        <v>0</v>
      </c>
      <c r="AG3156" s="99">
        <f t="shared" si="148"/>
        <v>0</v>
      </c>
      <c r="AH3156" s="10" t="str">
        <f>IFERROR(VLOOKUP(B3156,'Pre-Summary'!$AZ$6:$BE$65,3,FALSE),"")</f>
        <v/>
      </c>
      <c r="AI3156" s="10" t="str">
        <f>IFERROR(VLOOKUP(B3156,'Pre-Summary'!$AZ$6:$BE$65,5,FALSE),"")</f>
        <v/>
      </c>
      <c r="AJ3156" s="10" t="str">
        <f>IFERROR(VLOOKUP(B3156,'Pre-Summary'!$AZ$6:$BE$65,4,FALSE),"")</f>
        <v/>
      </c>
      <c r="AK3156" s="10" t="str">
        <f>IFERROR(VLOOKUP(B3156,'Pre-Summary'!$AZ$6:$BE$65,6,FALSE),"")</f>
        <v/>
      </c>
      <c r="AL3156" s="10" t="str">
        <f>IFERROR(VLOOKUP(B3156,'Pre-Summary'!$BG$6:$BL$44,3,FALSE),"")</f>
        <v/>
      </c>
      <c r="AM3156" s="10" t="str">
        <f>IFERROR(VLOOKUP(B3156,'Pre-Summary'!$BG$6:$BL$44,4,FALSE),"")</f>
        <v/>
      </c>
    </row>
    <row r="3157" spans="2:39" ht="15" customHeight="1" x14ac:dyDescent="0.3">
      <c r="B3157">
        <v>315.400000000001</v>
      </c>
      <c r="D3157" s="10"/>
      <c r="E3157" s="10"/>
      <c r="F3157">
        <f>IFERROR(VLOOKUP(B3157,'Pre-Summary'!$AL$6:$AQ$13,6,FALSE),F3156)</f>
        <v>5.9405263157894746E-2</v>
      </c>
      <c r="M3157" s="45" t="str">
        <f>IFERROR(VLOOKUP(B3157,'Pre-Summary'!$BW$6:$BY$58,2,FALSE),"")</f>
        <v/>
      </c>
      <c r="N3157" s="45" t="str">
        <f>IFERROR(VLOOKUP(B3157,'Pre-Summary'!$CD$6:$CF$64,2,FALSE),"")</f>
        <v/>
      </c>
      <c r="O3157" s="99">
        <f>IFERROR(VLOOKUP(B3157,'Pre-Summary'!$BO$6:$BQ$48,3, FALSE),O3156)</f>
        <v>3.3239999999999998</v>
      </c>
      <c r="P3157" s="99">
        <f>IFERROR(VLOOKUP(B3157,'Pre-Summary'!$BS$6:$BU$35,3,FALSE),P3156)</f>
        <v>0.84099999999999997</v>
      </c>
      <c r="Q3157" s="54">
        <f t="shared" si="149"/>
        <v>3.9524375743162903</v>
      </c>
      <c r="R3157" s="53">
        <f>IFERROR(VLOOKUP(B3157,'Pre-Summary'!$BG$6:$BM$44,7,FALSE),R3158)</f>
        <v>0</v>
      </c>
      <c r="S3157" s="53" t="e">
        <f>VLOOKUP(B3157,'Pre-Summary'!$BG$6:$BM$44,6,FALSE)</f>
        <v>#N/A</v>
      </c>
      <c r="Z3157" s="45" t="str">
        <f>IFERROR(VLOOKUP(B3157,'Pre-Summary'!$BZ$6:$CB$63,2,FALSE),"")</f>
        <v/>
      </c>
      <c r="AA3157" s="45" t="str">
        <f>IFERROR(VLOOKUP(B3157,'Pre-Summary'!$CG$6:$CI$70,2,FALSE),"")</f>
        <v/>
      </c>
      <c r="AB3157" s="99">
        <f>IFERROR(VLOOKUP(B3157,'Pre-Summary'!$A$6:$P$178,9,FALSE),AB3158)</f>
        <v>0</v>
      </c>
      <c r="AC3157" s="10">
        <f>IFERROR(VLOOKUP(Summary!B3157,'Pre-Summary'!$A$6:$P$184,5, FALSE)/100,AC3158)</f>
        <v>0</v>
      </c>
      <c r="AD3157" s="10">
        <f>IFERROR(VLOOKUP(Summary!B3157,'Pre-Summary'!$A$6:$P$184,3, FALSE)/100,AD3158)</f>
        <v>0</v>
      </c>
      <c r="AE3157" s="10">
        <f>IFERROR(VLOOKUP(Summary!B3157,'Pre-Summary'!$A$6:$P$184,7, FALSE)/100,AE3158)</f>
        <v>0</v>
      </c>
      <c r="AF3157" s="99">
        <f t="shared" si="147"/>
        <v>0</v>
      </c>
      <c r="AG3157" s="99">
        <f t="shared" si="148"/>
        <v>0</v>
      </c>
      <c r="AH3157" s="10" t="str">
        <f>IFERROR(VLOOKUP(B3157,'Pre-Summary'!$AZ$6:$BE$65,3,FALSE),"")</f>
        <v/>
      </c>
      <c r="AI3157" s="10" t="str">
        <f>IFERROR(VLOOKUP(B3157,'Pre-Summary'!$AZ$6:$BE$65,5,FALSE),"")</f>
        <v/>
      </c>
      <c r="AJ3157" s="10" t="str">
        <f>IFERROR(VLOOKUP(B3157,'Pre-Summary'!$AZ$6:$BE$65,4,FALSE),"")</f>
        <v/>
      </c>
      <c r="AK3157" s="10" t="str">
        <f>IFERROR(VLOOKUP(B3157,'Pre-Summary'!$AZ$6:$BE$65,6,FALSE),"")</f>
        <v/>
      </c>
      <c r="AL3157" s="10" t="str">
        <f>IFERROR(VLOOKUP(B3157,'Pre-Summary'!$BG$6:$BL$44,3,FALSE),"")</f>
        <v/>
      </c>
      <c r="AM3157" s="10" t="str">
        <f>IFERROR(VLOOKUP(B3157,'Pre-Summary'!$BG$6:$BL$44,4,FALSE),"")</f>
        <v/>
      </c>
    </row>
    <row r="3158" spans="2:39" ht="15" customHeight="1" x14ac:dyDescent="0.3">
      <c r="B3158">
        <v>315.50000000000102</v>
      </c>
      <c r="D3158" s="10"/>
      <c r="E3158" s="10"/>
      <c r="F3158">
        <f>IFERROR(VLOOKUP(B3158,'Pre-Summary'!$AL$6:$AQ$13,6,FALSE),F3157)</f>
        <v>5.9405263157894746E-2</v>
      </c>
      <c r="M3158" s="45" t="str">
        <f>IFERROR(VLOOKUP(B3158,'Pre-Summary'!$BW$6:$BY$58,2,FALSE),"")</f>
        <v/>
      </c>
      <c r="N3158" s="45" t="str">
        <f>IFERROR(VLOOKUP(B3158,'Pre-Summary'!$CD$6:$CF$64,2,FALSE),"")</f>
        <v/>
      </c>
      <c r="O3158" s="99">
        <f>IFERROR(VLOOKUP(B3158,'Pre-Summary'!$BO$6:$BQ$48,3, FALSE),O3157)</f>
        <v>3.3239999999999998</v>
      </c>
      <c r="P3158" s="99">
        <f>IFERROR(VLOOKUP(B3158,'Pre-Summary'!$BS$6:$BU$35,3,FALSE),P3157)</f>
        <v>0.84099999999999997</v>
      </c>
      <c r="Q3158" s="54">
        <f t="shared" si="149"/>
        <v>3.9524375743162903</v>
      </c>
      <c r="R3158" s="53">
        <f>IFERROR(VLOOKUP(B3158,'Pre-Summary'!$BG$6:$BM$44,7,FALSE),R3159)</f>
        <v>0</v>
      </c>
      <c r="S3158" s="53" t="e">
        <f>VLOOKUP(B3158,'Pre-Summary'!$BG$6:$BM$44,6,FALSE)</f>
        <v>#N/A</v>
      </c>
      <c r="Z3158" s="45" t="str">
        <f>IFERROR(VLOOKUP(B3158,'Pre-Summary'!$BZ$6:$CB$63,2,FALSE),"")</f>
        <v/>
      </c>
      <c r="AA3158" s="45" t="str">
        <f>IFERROR(VLOOKUP(B3158,'Pre-Summary'!$CG$6:$CI$70,2,FALSE),"")</f>
        <v/>
      </c>
      <c r="AB3158" s="99">
        <f>IFERROR(VLOOKUP(B3158,'Pre-Summary'!$A$6:$P$178,9,FALSE),AB3159)</f>
        <v>0</v>
      </c>
      <c r="AC3158" s="10">
        <f>IFERROR(VLOOKUP(Summary!B3158,'Pre-Summary'!$A$6:$P$184,5, FALSE)/100,AC3159)</f>
        <v>0</v>
      </c>
      <c r="AD3158" s="10">
        <f>IFERROR(VLOOKUP(Summary!B3158,'Pre-Summary'!$A$6:$P$184,3, FALSE)/100,AD3159)</f>
        <v>0</v>
      </c>
      <c r="AE3158" s="10">
        <f>IFERROR(VLOOKUP(Summary!B3158,'Pre-Summary'!$A$6:$P$184,7, FALSE)/100,AE3159)</f>
        <v>0</v>
      </c>
      <c r="AF3158" s="99">
        <f t="shared" si="147"/>
        <v>0</v>
      </c>
      <c r="AG3158" s="99">
        <f t="shared" si="148"/>
        <v>0</v>
      </c>
      <c r="AH3158" s="10" t="str">
        <f>IFERROR(VLOOKUP(B3158,'Pre-Summary'!$AZ$6:$BE$65,3,FALSE),"")</f>
        <v/>
      </c>
      <c r="AI3158" s="10" t="str">
        <f>IFERROR(VLOOKUP(B3158,'Pre-Summary'!$AZ$6:$BE$65,5,FALSE),"")</f>
        <v/>
      </c>
      <c r="AJ3158" s="10" t="str">
        <f>IFERROR(VLOOKUP(B3158,'Pre-Summary'!$AZ$6:$BE$65,4,FALSE),"")</f>
        <v/>
      </c>
      <c r="AK3158" s="10" t="str">
        <f>IFERROR(VLOOKUP(B3158,'Pre-Summary'!$AZ$6:$BE$65,6,FALSE),"")</f>
        <v/>
      </c>
      <c r="AL3158" s="10" t="str">
        <f>IFERROR(VLOOKUP(B3158,'Pre-Summary'!$BG$6:$BL$44,3,FALSE),"")</f>
        <v/>
      </c>
      <c r="AM3158" s="10" t="str">
        <f>IFERROR(VLOOKUP(B3158,'Pre-Summary'!$BG$6:$BL$44,4,FALSE),"")</f>
        <v/>
      </c>
    </row>
    <row r="3159" spans="2:39" ht="15" customHeight="1" x14ac:dyDescent="0.3">
      <c r="B3159">
        <v>315.60000000000099</v>
      </c>
      <c r="D3159" s="10"/>
      <c r="E3159" s="10"/>
      <c r="F3159">
        <f>IFERROR(VLOOKUP(B3159,'Pre-Summary'!$AL$6:$AQ$13,6,FALSE),F3158)</f>
        <v>5.9405263157894746E-2</v>
      </c>
      <c r="M3159" s="45" t="str">
        <f>IFERROR(VLOOKUP(B3159,'Pre-Summary'!$BW$6:$BY$58,2,FALSE),"")</f>
        <v/>
      </c>
      <c r="N3159" s="45" t="str">
        <f>IFERROR(VLOOKUP(B3159,'Pre-Summary'!$CD$6:$CF$64,2,FALSE),"")</f>
        <v/>
      </c>
      <c r="O3159" s="99">
        <f>IFERROR(VLOOKUP(B3159,'Pre-Summary'!$BO$6:$BQ$48,3, FALSE),O3158)</f>
        <v>3.3239999999999998</v>
      </c>
      <c r="P3159" s="99">
        <f>IFERROR(VLOOKUP(B3159,'Pre-Summary'!$BS$6:$BU$35,3,FALSE),P3158)</f>
        <v>0.84099999999999997</v>
      </c>
      <c r="Q3159" s="54">
        <f t="shared" si="149"/>
        <v>3.9524375743162903</v>
      </c>
      <c r="R3159" s="53">
        <f>IFERROR(VLOOKUP(B3159,'Pre-Summary'!$BG$6:$BM$44,7,FALSE),R3160)</f>
        <v>0</v>
      </c>
      <c r="S3159" s="53" t="e">
        <f>VLOOKUP(B3159,'Pre-Summary'!$BG$6:$BM$44,6,FALSE)</f>
        <v>#N/A</v>
      </c>
      <c r="Z3159" s="45" t="str">
        <f>IFERROR(VLOOKUP(B3159,'Pre-Summary'!$BZ$6:$CB$63,2,FALSE),"")</f>
        <v/>
      </c>
      <c r="AA3159" s="45" t="str">
        <f>IFERROR(VLOOKUP(B3159,'Pre-Summary'!$CG$6:$CI$70,2,FALSE),"")</f>
        <v/>
      </c>
      <c r="AB3159" s="99">
        <f>IFERROR(VLOOKUP(B3159,'Pre-Summary'!$A$6:$P$178,9,FALSE),AB3160)</f>
        <v>0</v>
      </c>
      <c r="AC3159" s="10">
        <f>IFERROR(VLOOKUP(Summary!B3159,'Pre-Summary'!$A$6:$P$184,5, FALSE)/100,AC3160)</f>
        <v>0</v>
      </c>
      <c r="AD3159" s="10">
        <f>IFERROR(VLOOKUP(Summary!B3159,'Pre-Summary'!$A$6:$P$184,3, FALSE)/100,AD3160)</f>
        <v>0</v>
      </c>
      <c r="AE3159" s="10">
        <f>IFERROR(VLOOKUP(Summary!B3159,'Pre-Summary'!$A$6:$P$184,7, FALSE)/100,AE3160)</f>
        <v>0</v>
      </c>
      <c r="AF3159" s="99">
        <f t="shared" si="147"/>
        <v>0</v>
      </c>
      <c r="AG3159" s="99">
        <f t="shared" si="148"/>
        <v>0</v>
      </c>
      <c r="AH3159" s="10" t="str">
        <f>IFERROR(VLOOKUP(B3159,'Pre-Summary'!$AZ$6:$BE$65,3,FALSE),"")</f>
        <v/>
      </c>
      <c r="AI3159" s="10" t="str">
        <f>IFERROR(VLOOKUP(B3159,'Pre-Summary'!$AZ$6:$BE$65,5,FALSE),"")</f>
        <v/>
      </c>
      <c r="AJ3159" s="10" t="str">
        <f>IFERROR(VLOOKUP(B3159,'Pre-Summary'!$AZ$6:$BE$65,4,FALSE),"")</f>
        <v/>
      </c>
      <c r="AK3159" s="10" t="str">
        <f>IFERROR(VLOOKUP(B3159,'Pre-Summary'!$AZ$6:$BE$65,6,FALSE),"")</f>
        <v/>
      </c>
      <c r="AL3159" s="10" t="str">
        <f>IFERROR(VLOOKUP(B3159,'Pre-Summary'!$BG$6:$BL$44,3,FALSE),"")</f>
        <v/>
      </c>
      <c r="AM3159" s="10" t="str">
        <f>IFERROR(VLOOKUP(B3159,'Pre-Summary'!$BG$6:$BL$44,4,FALSE),"")</f>
        <v/>
      </c>
    </row>
    <row r="3160" spans="2:39" ht="15" customHeight="1" x14ac:dyDescent="0.3">
      <c r="B3160">
        <v>315.70000000000101</v>
      </c>
      <c r="D3160" s="10"/>
      <c r="E3160" s="10"/>
      <c r="F3160">
        <f>IFERROR(VLOOKUP(B3160,'Pre-Summary'!$AL$6:$AQ$13,6,FALSE),F3159)</f>
        <v>5.9405263157894746E-2</v>
      </c>
      <c r="M3160" s="45" t="str">
        <f>IFERROR(VLOOKUP(B3160,'Pre-Summary'!$BW$6:$BY$58,2,FALSE),"")</f>
        <v/>
      </c>
      <c r="N3160" s="45" t="str">
        <f>IFERROR(VLOOKUP(B3160,'Pre-Summary'!$CD$6:$CF$64,2,FALSE),"")</f>
        <v/>
      </c>
      <c r="O3160" s="99">
        <f>IFERROR(VLOOKUP(B3160,'Pre-Summary'!$BO$6:$BQ$48,3, FALSE),O3159)</f>
        <v>3.3239999999999998</v>
      </c>
      <c r="P3160" s="99">
        <f>IFERROR(VLOOKUP(B3160,'Pre-Summary'!$BS$6:$BU$35,3,FALSE),P3159)</f>
        <v>0.84099999999999997</v>
      </c>
      <c r="Q3160" s="54">
        <f t="shared" si="149"/>
        <v>3.9524375743162903</v>
      </c>
      <c r="R3160" s="53">
        <f>IFERROR(VLOOKUP(B3160,'Pre-Summary'!$BG$6:$BM$44,7,FALSE),R3161)</f>
        <v>0</v>
      </c>
      <c r="S3160" s="53" t="e">
        <f>VLOOKUP(B3160,'Pre-Summary'!$BG$6:$BM$44,6,FALSE)</f>
        <v>#N/A</v>
      </c>
      <c r="Z3160" s="45" t="str">
        <f>IFERROR(VLOOKUP(B3160,'Pre-Summary'!$BZ$6:$CB$63,2,FALSE),"")</f>
        <v/>
      </c>
      <c r="AA3160" s="45" t="str">
        <f>IFERROR(VLOOKUP(B3160,'Pre-Summary'!$CG$6:$CI$70,2,FALSE),"")</f>
        <v/>
      </c>
      <c r="AB3160" s="99">
        <f>IFERROR(VLOOKUP(B3160,'Pre-Summary'!$A$6:$P$178,9,FALSE),AB3161)</f>
        <v>0</v>
      </c>
      <c r="AC3160" s="10">
        <f>IFERROR(VLOOKUP(Summary!B3160,'Pre-Summary'!$A$6:$P$184,5, FALSE)/100,AC3161)</f>
        <v>0</v>
      </c>
      <c r="AD3160" s="10">
        <f>IFERROR(VLOOKUP(Summary!B3160,'Pre-Summary'!$A$6:$P$184,3, FALSE)/100,AD3161)</f>
        <v>0</v>
      </c>
      <c r="AE3160" s="10">
        <f>IFERROR(VLOOKUP(Summary!B3160,'Pre-Summary'!$A$6:$P$184,7, FALSE)/100,AE3161)</f>
        <v>0</v>
      </c>
      <c r="AF3160" s="99">
        <f t="shared" si="147"/>
        <v>0</v>
      </c>
      <c r="AG3160" s="99">
        <f t="shared" si="148"/>
        <v>0</v>
      </c>
      <c r="AH3160" s="10" t="str">
        <f>IFERROR(VLOOKUP(B3160,'Pre-Summary'!$AZ$6:$BE$65,3,FALSE),"")</f>
        <v/>
      </c>
      <c r="AI3160" s="10" t="str">
        <f>IFERROR(VLOOKUP(B3160,'Pre-Summary'!$AZ$6:$BE$65,5,FALSE),"")</f>
        <v/>
      </c>
      <c r="AJ3160" s="10" t="str">
        <f>IFERROR(VLOOKUP(B3160,'Pre-Summary'!$AZ$6:$BE$65,4,FALSE),"")</f>
        <v/>
      </c>
      <c r="AK3160" s="10" t="str">
        <f>IFERROR(VLOOKUP(B3160,'Pre-Summary'!$AZ$6:$BE$65,6,FALSE),"")</f>
        <v/>
      </c>
      <c r="AL3160" s="10" t="str">
        <f>IFERROR(VLOOKUP(B3160,'Pre-Summary'!$BG$6:$BL$44,3,FALSE),"")</f>
        <v/>
      </c>
      <c r="AM3160" s="10" t="str">
        <f>IFERROR(VLOOKUP(B3160,'Pre-Summary'!$BG$6:$BL$44,4,FALSE),"")</f>
        <v/>
      </c>
    </row>
    <row r="3161" spans="2:39" ht="15" customHeight="1" x14ac:dyDescent="0.3">
      <c r="B3161">
        <v>315.80000000000098</v>
      </c>
      <c r="D3161" s="10"/>
      <c r="E3161" s="10"/>
      <c r="F3161">
        <f>IFERROR(VLOOKUP(B3161,'Pre-Summary'!$AL$6:$AQ$13,6,FALSE),F3160)</f>
        <v>5.9405263157894746E-2</v>
      </c>
      <c r="M3161" s="45" t="str">
        <f>IFERROR(VLOOKUP(B3161,'Pre-Summary'!$BW$6:$BY$58,2,FALSE),"")</f>
        <v/>
      </c>
      <c r="N3161" s="45" t="str">
        <f>IFERROR(VLOOKUP(B3161,'Pre-Summary'!$CD$6:$CF$64,2,FALSE),"")</f>
        <v/>
      </c>
      <c r="O3161" s="99">
        <f>IFERROR(VLOOKUP(B3161,'Pre-Summary'!$BO$6:$BQ$48,3, FALSE),O3160)</f>
        <v>3.3239999999999998</v>
      </c>
      <c r="P3161" s="99">
        <f>IFERROR(VLOOKUP(B3161,'Pre-Summary'!$BS$6:$BU$35,3,FALSE),P3160)</f>
        <v>0.84099999999999997</v>
      </c>
      <c r="Q3161" s="54">
        <f t="shared" si="149"/>
        <v>3.9524375743162903</v>
      </c>
      <c r="R3161" s="53">
        <f>IFERROR(VLOOKUP(B3161,'Pre-Summary'!$BG$6:$BM$44,7,FALSE),R3162)</f>
        <v>0</v>
      </c>
      <c r="S3161" s="53" t="e">
        <f>VLOOKUP(B3161,'Pre-Summary'!$BG$6:$BM$44,6,FALSE)</f>
        <v>#N/A</v>
      </c>
      <c r="Z3161" s="45" t="str">
        <f>IFERROR(VLOOKUP(B3161,'Pre-Summary'!$BZ$6:$CB$63,2,FALSE),"")</f>
        <v/>
      </c>
      <c r="AA3161" s="45" t="str">
        <f>IFERROR(VLOOKUP(B3161,'Pre-Summary'!$CG$6:$CI$70,2,FALSE),"")</f>
        <v/>
      </c>
      <c r="AB3161" s="99">
        <f>IFERROR(VLOOKUP(B3161,'Pre-Summary'!$A$6:$P$178,9,FALSE),AB3162)</f>
        <v>0</v>
      </c>
      <c r="AC3161" s="10">
        <f>IFERROR(VLOOKUP(Summary!B3161,'Pre-Summary'!$A$6:$P$184,5, FALSE)/100,AC3162)</f>
        <v>0</v>
      </c>
      <c r="AD3161" s="10">
        <f>IFERROR(VLOOKUP(Summary!B3161,'Pre-Summary'!$A$6:$P$184,3, FALSE)/100,AD3162)</f>
        <v>0</v>
      </c>
      <c r="AE3161" s="10">
        <f>IFERROR(VLOOKUP(Summary!B3161,'Pre-Summary'!$A$6:$P$184,7, FALSE)/100,AE3162)</f>
        <v>0</v>
      </c>
      <c r="AF3161" s="99">
        <f t="shared" si="147"/>
        <v>0</v>
      </c>
      <c r="AG3161" s="99">
        <f t="shared" si="148"/>
        <v>0</v>
      </c>
      <c r="AH3161" s="10" t="str">
        <f>IFERROR(VLOOKUP(B3161,'Pre-Summary'!$AZ$6:$BE$65,3,FALSE),"")</f>
        <v/>
      </c>
      <c r="AI3161" s="10" t="str">
        <f>IFERROR(VLOOKUP(B3161,'Pre-Summary'!$AZ$6:$BE$65,5,FALSE),"")</f>
        <v/>
      </c>
      <c r="AJ3161" s="10" t="str">
        <f>IFERROR(VLOOKUP(B3161,'Pre-Summary'!$AZ$6:$BE$65,4,FALSE),"")</f>
        <v/>
      </c>
      <c r="AK3161" s="10" t="str">
        <f>IFERROR(VLOOKUP(B3161,'Pre-Summary'!$AZ$6:$BE$65,6,FALSE),"")</f>
        <v/>
      </c>
      <c r="AL3161" s="10" t="str">
        <f>IFERROR(VLOOKUP(B3161,'Pre-Summary'!$BG$6:$BL$44,3,FALSE),"")</f>
        <v/>
      </c>
      <c r="AM3161" s="10" t="str">
        <f>IFERROR(VLOOKUP(B3161,'Pre-Summary'!$BG$6:$BL$44,4,FALSE),"")</f>
        <v/>
      </c>
    </row>
    <row r="3162" spans="2:39" ht="15" customHeight="1" x14ac:dyDescent="0.3">
      <c r="B3162">
        <v>315.900000000001</v>
      </c>
      <c r="D3162" s="10"/>
      <c r="E3162" s="10"/>
      <c r="F3162">
        <f>IFERROR(VLOOKUP(B3162,'Pre-Summary'!$AL$6:$AQ$13,6,FALSE),F3161)</f>
        <v>5.9405263157894746E-2</v>
      </c>
      <c r="M3162" s="45" t="str">
        <f>IFERROR(VLOOKUP(B3162,'Pre-Summary'!$BW$6:$BY$58,2,FALSE),"")</f>
        <v/>
      </c>
      <c r="N3162" s="45" t="str">
        <f>IFERROR(VLOOKUP(B3162,'Pre-Summary'!$CD$6:$CF$64,2,FALSE),"")</f>
        <v/>
      </c>
      <c r="O3162" s="99">
        <f>IFERROR(VLOOKUP(B3162,'Pre-Summary'!$BO$6:$BQ$48,3, FALSE),O3161)</f>
        <v>3.3239999999999998</v>
      </c>
      <c r="P3162" s="99">
        <f>IFERROR(VLOOKUP(B3162,'Pre-Summary'!$BS$6:$BU$35,3,FALSE),P3161)</f>
        <v>0.84099999999999997</v>
      </c>
      <c r="Q3162" s="54">
        <f t="shared" si="149"/>
        <v>3.9524375743162903</v>
      </c>
      <c r="R3162" s="53">
        <f>IFERROR(VLOOKUP(B3162,'Pre-Summary'!$BG$6:$BM$44,7,FALSE),R3163)</f>
        <v>0</v>
      </c>
      <c r="S3162" s="53" t="e">
        <f>VLOOKUP(B3162,'Pre-Summary'!$BG$6:$BM$44,6,FALSE)</f>
        <v>#N/A</v>
      </c>
      <c r="Z3162" s="45" t="str">
        <f>IFERROR(VLOOKUP(B3162,'Pre-Summary'!$BZ$6:$CB$63,2,FALSE),"")</f>
        <v/>
      </c>
      <c r="AA3162" s="45" t="str">
        <f>IFERROR(VLOOKUP(B3162,'Pre-Summary'!$CG$6:$CI$70,2,FALSE),"")</f>
        <v/>
      </c>
      <c r="AB3162" s="99">
        <f>IFERROR(VLOOKUP(B3162,'Pre-Summary'!$A$6:$P$178,9,FALSE),AB3163)</f>
        <v>0</v>
      </c>
      <c r="AC3162" s="10">
        <f>IFERROR(VLOOKUP(Summary!B3162,'Pre-Summary'!$A$6:$P$184,5, FALSE)/100,AC3163)</f>
        <v>0</v>
      </c>
      <c r="AD3162" s="10">
        <f>IFERROR(VLOOKUP(Summary!B3162,'Pre-Summary'!$A$6:$P$184,3, FALSE)/100,AD3163)</f>
        <v>0</v>
      </c>
      <c r="AE3162" s="10">
        <f>IFERROR(VLOOKUP(Summary!B3162,'Pre-Summary'!$A$6:$P$184,7, FALSE)/100,AE3163)</f>
        <v>0</v>
      </c>
      <c r="AF3162" s="99">
        <f t="shared" si="147"/>
        <v>0</v>
      </c>
      <c r="AG3162" s="99">
        <f t="shared" si="148"/>
        <v>0</v>
      </c>
      <c r="AH3162" s="10" t="str">
        <f>IFERROR(VLOOKUP(B3162,'Pre-Summary'!$AZ$6:$BE$65,3,FALSE),"")</f>
        <v/>
      </c>
      <c r="AI3162" s="10" t="str">
        <f>IFERROR(VLOOKUP(B3162,'Pre-Summary'!$AZ$6:$BE$65,5,FALSE),"")</f>
        <v/>
      </c>
      <c r="AJ3162" s="10" t="str">
        <f>IFERROR(VLOOKUP(B3162,'Pre-Summary'!$AZ$6:$BE$65,4,FALSE),"")</f>
        <v/>
      </c>
      <c r="AK3162" s="10" t="str">
        <f>IFERROR(VLOOKUP(B3162,'Pre-Summary'!$AZ$6:$BE$65,6,FALSE),"")</f>
        <v/>
      </c>
      <c r="AL3162" s="10" t="str">
        <f>IFERROR(VLOOKUP(B3162,'Pre-Summary'!$BG$6:$BL$44,3,FALSE),"")</f>
        <v/>
      </c>
      <c r="AM3162" s="10" t="str">
        <f>IFERROR(VLOOKUP(B3162,'Pre-Summary'!$BG$6:$BL$44,4,FALSE),"")</f>
        <v/>
      </c>
    </row>
    <row r="3163" spans="2:39" ht="15" customHeight="1" x14ac:dyDescent="0.3">
      <c r="B3163">
        <v>316.00000000000102</v>
      </c>
      <c r="D3163" s="10"/>
      <c r="E3163" s="10"/>
      <c r="F3163">
        <f>IFERROR(VLOOKUP(B3163,'Pre-Summary'!$AL$6:$AQ$13,6,FALSE),F3162)</f>
        <v>5.9405263157894746E-2</v>
      </c>
      <c r="M3163" s="45" t="str">
        <f>IFERROR(VLOOKUP(B3163,'Pre-Summary'!$BW$6:$BY$58,2,FALSE),"")</f>
        <v/>
      </c>
      <c r="N3163" s="45" t="str">
        <f>IFERROR(VLOOKUP(B3163,'Pre-Summary'!$CD$6:$CF$64,2,FALSE),"")</f>
        <v/>
      </c>
      <c r="O3163" s="99">
        <f>IFERROR(VLOOKUP(B3163,'Pre-Summary'!$BO$6:$BQ$48,3, FALSE),O3162)</f>
        <v>3.3239999999999998</v>
      </c>
      <c r="P3163" s="99">
        <f>IFERROR(VLOOKUP(B3163,'Pre-Summary'!$BS$6:$BU$35,3,FALSE),P3162)</f>
        <v>0.84099999999999997</v>
      </c>
      <c r="Q3163" s="54">
        <f t="shared" si="149"/>
        <v>3.9524375743162903</v>
      </c>
      <c r="R3163" s="53">
        <f>IFERROR(VLOOKUP(B3163,'Pre-Summary'!$BG$6:$BM$44,7,FALSE),R3164)</f>
        <v>0</v>
      </c>
      <c r="S3163" s="53" t="e">
        <f>VLOOKUP(B3163,'Pre-Summary'!$BG$6:$BM$44,6,FALSE)</f>
        <v>#N/A</v>
      </c>
      <c r="Z3163" s="45" t="str">
        <f>IFERROR(VLOOKUP(B3163,'Pre-Summary'!$BZ$6:$CB$63,2,FALSE),"")</f>
        <v/>
      </c>
      <c r="AA3163" s="45" t="str">
        <f>IFERROR(VLOOKUP(B3163,'Pre-Summary'!$CG$6:$CI$70,2,FALSE),"")</f>
        <v/>
      </c>
      <c r="AB3163" s="99">
        <f>IFERROR(VLOOKUP(B3163,'Pre-Summary'!$A$6:$P$178,9,FALSE),AB3164)</f>
        <v>0</v>
      </c>
      <c r="AC3163" s="10">
        <f>IFERROR(VLOOKUP(Summary!B3163,'Pre-Summary'!$A$6:$P$184,5, FALSE)/100,AC3164)</f>
        <v>0</v>
      </c>
      <c r="AD3163" s="10">
        <f>IFERROR(VLOOKUP(Summary!B3163,'Pre-Summary'!$A$6:$P$184,3, FALSE)/100,AD3164)</f>
        <v>0</v>
      </c>
      <c r="AE3163" s="10">
        <f>IFERROR(VLOOKUP(Summary!B3163,'Pre-Summary'!$A$6:$P$184,7, FALSE)/100,AE3164)</f>
        <v>0</v>
      </c>
      <c r="AF3163" s="99">
        <f t="shared" si="147"/>
        <v>0</v>
      </c>
      <c r="AG3163" s="99">
        <f t="shared" si="148"/>
        <v>0</v>
      </c>
      <c r="AH3163" s="10" t="str">
        <f>IFERROR(VLOOKUP(B3163,'Pre-Summary'!$AZ$6:$BE$65,3,FALSE),"")</f>
        <v/>
      </c>
      <c r="AI3163" s="10" t="str">
        <f>IFERROR(VLOOKUP(B3163,'Pre-Summary'!$AZ$6:$BE$65,5,FALSE),"")</f>
        <v/>
      </c>
      <c r="AJ3163" s="10" t="str">
        <f>IFERROR(VLOOKUP(B3163,'Pre-Summary'!$AZ$6:$BE$65,4,FALSE),"")</f>
        <v/>
      </c>
      <c r="AK3163" s="10" t="str">
        <f>IFERROR(VLOOKUP(B3163,'Pre-Summary'!$AZ$6:$BE$65,6,FALSE),"")</f>
        <v/>
      </c>
      <c r="AL3163" s="10" t="str">
        <f>IFERROR(VLOOKUP(B3163,'Pre-Summary'!$BG$6:$BL$44,3,FALSE),"")</f>
        <v/>
      </c>
      <c r="AM3163" s="10" t="str">
        <f>IFERROR(VLOOKUP(B3163,'Pre-Summary'!$BG$6:$BL$44,4,FALSE),"")</f>
        <v/>
      </c>
    </row>
    <row r="3164" spans="2:39" ht="15" customHeight="1" x14ac:dyDescent="0.3">
      <c r="B3164">
        <v>316.10000000000099</v>
      </c>
      <c r="D3164" s="10"/>
      <c r="E3164" s="10"/>
      <c r="F3164">
        <f>IFERROR(VLOOKUP(B3164,'Pre-Summary'!$AL$6:$AQ$13,6,FALSE),F3163)</f>
        <v>5.9405263157894746E-2</v>
      </c>
      <c r="M3164" s="45" t="str">
        <f>IFERROR(VLOOKUP(B3164,'Pre-Summary'!$BW$6:$BY$58,2,FALSE),"")</f>
        <v/>
      </c>
      <c r="N3164" s="45" t="str">
        <f>IFERROR(VLOOKUP(B3164,'Pre-Summary'!$CD$6:$CF$64,2,FALSE),"")</f>
        <v/>
      </c>
      <c r="O3164" s="99">
        <f>IFERROR(VLOOKUP(B3164,'Pre-Summary'!$BO$6:$BQ$48,3, FALSE),O3163)</f>
        <v>3.3239999999999998</v>
      </c>
      <c r="P3164" s="99">
        <f>IFERROR(VLOOKUP(B3164,'Pre-Summary'!$BS$6:$BU$35,3,FALSE),P3163)</f>
        <v>0.84099999999999997</v>
      </c>
      <c r="Q3164" s="54">
        <f t="shared" si="149"/>
        <v>3.9524375743162903</v>
      </c>
      <c r="R3164" s="53">
        <f>IFERROR(VLOOKUP(B3164,'Pre-Summary'!$BG$6:$BM$44,7,FALSE),R3165)</f>
        <v>0</v>
      </c>
      <c r="S3164" s="53" t="e">
        <f>VLOOKUP(B3164,'Pre-Summary'!$BG$6:$BM$44,6,FALSE)</f>
        <v>#N/A</v>
      </c>
      <c r="Z3164" s="45" t="str">
        <f>IFERROR(VLOOKUP(B3164,'Pre-Summary'!$BZ$6:$CB$63,2,FALSE),"")</f>
        <v/>
      </c>
      <c r="AA3164" s="45" t="str">
        <f>IFERROR(VLOOKUP(B3164,'Pre-Summary'!$CG$6:$CI$70,2,FALSE),"")</f>
        <v/>
      </c>
      <c r="AB3164" s="99">
        <f>IFERROR(VLOOKUP(B3164,'Pre-Summary'!$A$6:$P$178,9,FALSE),AB3165)</f>
        <v>0</v>
      </c>
      <c r="AC3164" s="10">
        <f>IFERROR(VLOOKUP(Summary!B3164,'Pre-Summary'!$A$6:$P$184,5, FALSE)/100,AC3165)</f>
        <v>0</v>
      </c>
      <c r="AD3164" s="10">
        <f>IFERROR(VLOOKUP(Summary!B3164,'Pre-Summary'!$A$6:$P$184,3, FALSE)/100,AD3165)</f>
        <v>0</v>
      </c>
      <c r="AE3164" s="10">
        <f>IFERROR(VLOOKUP(Summary!B3164,'Pre-Summary'!$A$6:$P$184,7, FALSE)/100,AE3165)</f>
        <v>0</v>
      </c>
      <c r="AF3164" s="99">
        <f t="shared" si="147"/>
        <v>0</v>
      </c>
      <c r="AG3164" s="99">
        <f t="shared" si="148"/>
        <v>0</v>
      </c>
      <c r="AH3164" s="10" t="str">
        <f>IFERROR(VLOOKUP(B3164,'Pre-Summary'!$AZ$6:$BE$65,3,FALSE),"")</f>
        <v/>
      </c>
      <c r="AI3164" s="10" t="str">
        <f>IFERROR(VLOOKUP(B3164,'Pre-Summary'!$AZ$6:$BE$65,5,FALSE),"")</f>
        <v/>
      </c>
      <c r="AJ3164" s="10" t="str">
        <f>IFERROR(VLOOKUP(B3164,'Pre-Summary'!$AZ$6:$BE$65,4,FALSE),"")</f>
        <v/>
      </c>
      <c r="AK3164" s="10" t="str">
        <f>IFERROR(VLOOKUP(B3164,'Pre-Summary'!$AZ$6:$BE$65,6,FALSE),"")</f>
        <v/>
      </c>
      <c r="AL3164" s="10" t="str">
        <f>IFERROR(VLOOKUP(B3164,'Pre-Summary'!$BG$6:$BL$44,3,FALSE),"")</f>
        <v/>
      </c>
      <c r="AM3164" s="10" t="str">
        <f>IFERROR(VLOOKUP(B3164,'Pre-Summary'!$BG$6:$BL$44,4,FALSE),"")</f>
        <v/>
      </c>
    </row>
    <row r="3165" spans="2:39" ht="15" customHeight="1" x14ac:dyDescent="0.3">
      <c r="B3165">
        <v>316.20000000000101</v>
      </c>
      <c r="D3165" s="10"/>
      <c r="E3165" s="10"/>
      <c r="F3165">
        <f>IFERROR(VLOOKUP(B3165,'Pre-Summary'!$AL$6:$AQ$13,6,FALSE),F3164)</f>
        <v>5.9405263157894746E-2</v>
      </c>
      <c r="M3165" s="45" t="str">
        <f>IFERROR(VLOOKUP(B3165,'Pre-Summary'!$BW$6:$BY$58,2,FALSE),"")</f>
        <v/>
      </c>
      <c r="N3165" s="45" t="str">
        <f>IFERROR(VLOOKUP(B3165,'Pre-Summary'!$CD$6:$CF$64,2,FALSE),"")</f>
        <v/>
      </c>
      <c r="O3165" s="99">
        <f>IFERROR(VLOOKUP(B3165,'Pre-Summary'!$BO$6:$BQ$48,3, FALSE),O3164)</f>
        <v>3.3239999999999998</v>
      </c>
      <c r="P3165" s="99">
        <f>IFERROR(VLOOKUP(B3165,'Pre-Summary'!$BS$6:$BU$35,3,FALSE),P3164)</f>
        <v>0.84099999999999997</v>
      </c>
      <c r="Q3165" s="54">
        <f t="shared" si="149"/>
        <v>3.9524375743162903</v>
      </c>
      <c r="R3165" s="53">
        <f>IFERROR(VLOOKUP(B3165,'Pre-Summary'!$BG$6:$BM$44,7,FALSE),R3166)</f>
        <v>0</v>
      </c>
      <c r="S3165" s="53" t="e">
        <f>VLOOKUP(B3165,'Pre-Summary'!$BG$6:$BM$44,6,FALSE)</f>
        <v>#N/A</v>
      </c>
      <c r="Z3165" s="45" t="str">
        <f>IFERROR(VLOOKUP(B3165,'Pre-Summary'!$BZ$6:$CB$63,2,FALSE),"")</f>
        <v/>
      </c>
      <c r="AA3165" s="45" t="str">
        <f>IFERROR(VLOOKUP(B3165,'Pre-Summary'!$CG$6:$CI$70,2,FALSE),"")</f>
        <v/>
      </c>
      <c r="AB3165" s="99">
        <f>IFERROR(VLOOKUP(B3165,'Pre-Summary'!$A$6:$P$178,9,FALSE),AB3166)</f>
        <v>0</v>
      </c>
      <c r="AC3165" s="10">
        <f>IFERROR(VLOOKUP(Summary!B3165,'Pre-Summary'!$A$6:$P$184,5, FALSE)/100,AC3166)</f>
        <v>0</v>
      </c>
      <c r="AD3165" s="10">
        <f>IFERROR(VLOOKUP(Summary!B3165,'Pre-Summary'!$A$6:$P$184,3, FALSE)/100,AD3166)</f>
        <v>0</v>
      </c>
      <c r="AE3165" s="10">
        <f>IFERROR(VLOOKUP(Summary!B3165,'Pre-Summary'!$A$6:$P$184,7, FALSE)/100,AE3166)</f>
        <v>0</v>
      </c>
      <c r="AF3165" s="99">
        <f t="shared" si="147"/>
        <v>0</v>
      </c>
      <c r="AG3165" s="99">
        <f t="shared" si="148"/>
        <v>0</v>
      </c>
      <c r="AH3165" s="10" t="str">
        <f>IFERROR(VLOOKUP(B3165,'Pre-Summary'!$AZ$6:$BE$65,3,FALSE),"")</f>
        <v/>
      </c>
      <c r="AI3165" s="10" t="str">
        <f>IFERROR(VLOOKUP(B3165,'Pre-Summary'!$AZ$6:$BE$65,5,FALSE),"")</f>
        <v/>
      </c>
      <c r="AJ3165" s="10" t="str">
        <f>IFERROR(VLOOKUP(B3165,'Pre-Summary'!$AZ$6:$BE$65,4,FALSE),"")</f>
        <v/>
      </c>
      <c r="AK3165" s="10" t="str">
        <f>IFERROR(VLOOKUP(B3165,'Pre-Summary'!$AZ$6:$BE$65,6,FALSE),"")</f>
        <v/>
      </c>
      <c r="AL3165" s="10" t="str">
        <f>IFERROR(VLOOKUP(B3165,'Pre-Summary'!$BG$6:$BL$44,3,FALSE),"")</f>
        <v/>
      </c>
      <c r="AM3165" s="10" t="str">
        <f>IFERROR(VLOOKUP(B3165,'Pre-Summary'!$BG$6:$BL$44,4,FALSE),"")</f>
        <v/>
      </c>
    </row>
    <row r="3166" spans="2:39" ht="15" customHeight="1" x14ac:dyDescent="0.3">
      <c r="B3166">
        <v>316.30000000000098</v>
      </c>
      <c r="D3166" s="10"/>
      <c r="E3166" s="10"/>
      <c r="F3166">
        <f>IFERROR(VLOOKUP(B3166,'Pre-Summary'!$AL$6:$AQ$13,6,FALSE),F3165)</f>
        <v>5.9405263157894746E-2</v>
      </c>
      <c r="M3166" s="45" t="str">
        <f>IFERROR(VLOOKUP(B3166,'Pre-Summary'!$BW$6:$BY$58,2,FALSE),"")</f>
        <v/>
      </c>
      <c r="N3166" s="45" t="str">
        <f>IFERROR(VLOOKUP(B3166,'Pre-Summary'!$CD$6:$CF$64,2,FALSE),"")</f>
        <v/>
      </c>
      <c r="O3166" s="99">
        <f>IFERROR(VLOOKUP(B3166,'Pre-Summary'!$BO$6:$BQ$48,3, FALSE),O3165)</f>
        <v>3.3239999999999998</v>
      </c>
      <c r="P3166" s="99">
        <f>IFERROR(VLOOKUP(B3166,'Pre-Summary'!$BS$6:$BU$35,3,FALSE),P3165)</f>
        <v>0.84099999999999997</v>
      </c>
      <c r="Q3166" s="54">
        <f t="shared" si="149"/>
        <v>3.9524375743162903</v>
      </c>
      <c r="R3166" s="53">
        <f>IFERROR(VLOOKUP(B3166,'Pre-Summary'!$BG$6:$BM$44,7,FALSE),R3167)</f>
        <v>0</v>
      </c>
      <c r="S3166" s="53" t="e">
        <f>VLOOKUP(B3166,'Pre-Summary'!$BG$6:$BM$44,6,FALSE)</f>
        <v>#N/A</v>
      </c>
      <c r="Z3166" s="45" t="str">
        <f>IFERROR(VLOOKUP(B3166,'Pre-Summary'!$BZ$6:$CB$63,2,FALSE),"")</f>
        <v/>
      </c>
      <c r="AA3166" s="45" t="str">
        <f>IFERROR(VLOOKUP(B3166,'Pre-Summary'!$CG$6:$CI$70,2,FALSE),"")</f>
        <v/>
      </c>
      <c r="AB3166" s="99">
        <f>IFERROR(VLOOKUP(B3166,'Pre-Summary'!$A$6:$P$178,9,FALSE),AB3167)</f>
        <v>0</v>
      </c>
      <c r="AC3166" s="10">
        <f>IFERROR(VLOOKUP(Summary!B3166,'Pre-Summary'!$A$6:$P$184,5, FALSE)/100,AC3167)</f>
        <v>0</v>
      </c>
      <c r="AD3166" s="10">
        <f>IFERROR(VLOOKUP(Summary!B3166,'Pre-Summary'!$A$6:$P$184,3, FALSE)/100,AD3167)</f>
        <v>0</v>
      </c>
      <c r="AE3166" s="10">
        <f>IFERROR(VLOOKUP(Summary!B3166,'Pre-Summary'!$A$6:$P$184,7, FALSE)/100,AE3167)</f>
        <v>0</v>
      </c>
      <c r="AF3166" s="99">
        <f t="shared" si="147"/>
        <v>0</v>
      </c>
      <c r="AG3166" s="99">
        <f t="shared" si="148"/>
        <v>0</v>
      </c>
      <c r="AH3166" s="10" t="str">
        <f>IFERROR(VLOOKUP(B3166,'Pre-Summary'!$AZ$6:$BE$65,3,FALSE),"")</f>
        <v/>
      </c>
      <c r="AI3166" s="10" t="str">
        <f>IFERROR(VLOOKUP(B3166,'Pre-Summary'!$AZ$6:$BE$65,5,FALSE),"")</f>
        <v/>
      </c>
      <c r="AJ3166" s="10" t="str">
        <f>IFERROR(VLOOKUP(B3166,'Pre-Summary'!$AZ$6:$BE$65,4,FALSE),"")</f>
        <v/>
      </c>
      <c r="AK3166" s="10" t="str">
        <f>IFERROR(VLOOKUP(B3166,'Pre-Summary'!$AZ$6:$BE$65,6,FALSE),"")</f>
        <v/>
      </c>
      <c r="AL3166" s="10" t="str">
        <f>IFERROR(VLOOKUP(B3166,'Pre-Summary'!$BG$6:$BL$44,3,FALSE),"")</f>
        <v/>
      </c>
      <c r="AM3166" s="10" t="str">
        <f>IFERROR(VLOOKUP(B3166,'Pre-Summary'!$BG$6:$BL$44,4,FALSE),"")</f>
        <v/>
      </c>
    </row>
    <row r="3167" spans="2:39" ht="15" customHeight="1" x14ac:dyDescent="0.3">
      <c r="B3167">
        <v>316.400000000001</v>
      </c>
      <c r="D3167" s="10"/>
      <c r="E3167" s="10"/>
      <c r="F3167">
        <f>IFERROR(VLOOKUP(B3167,'Pre-Summary'!$AL$6:$AQ$13,6,FALSE),F3166)</f>
        <v>5.9405263157894746E-2</v>
      </c>
      <c r="M3167" s="45" t="str">
        <f>IFERROR(VLOOKUP(B3167,'Pre-Summary'!$BW$6:$BY$58,2,FALSE),"")</f>
        <v/>
      </c>
      <c r="N3167" s="45" t="str">
        <f>IFERROR(VLOOKUP(B3167,'Pre-Summary'!$CD$6:$CF$64,2,FALSE),"")</f>
        <v/>
      </c>
      <c r="O3167" s="99">
        <f>IFERROR(VLOOKUP(B3167,'Pre-Summary'!$BO$6:$BQ$48,3, FALSE),O3166)</f>
        <v>3.3239999999999998</v>
      </c>
      <c r="P3167" s="99">
        <f>IFERROR(VLOOKUP(B3167,'Pre-Summary'!$BS$6:$BU$35,3,FALSE),P3166)</f>
        <v>0.84099999999999997</v>
      </c>
      <c r="Q3167" s="54">
        <f t="shared" si="149"/>
        <v>3.9524375743162903</v>
      </c>
      <c r="R3167" s="53">
        <f>IFERROR(VLOOKUP(B3167,'Pre-Summary'!$BG$6:$BM$44,7,FALSE),R3168)</f>
        <v>0</v>
      </c>
      <c r="S3167" s="53" t="e">
        <f>VLOOKUP(B3167,'Pre-Summary'!$BG$6:$BM$44,6,FALSE)</f>
        <v>#N/A</v>
      </c>
      <c r="Z3167" s="45" t="str">
        <f>IFERROR(VLOOKUP(B3167,'Pre-Summary'!$BZ$6:$CB$63,2,FALSE),"")</f>
        <v/>
      </c>
      <c r="AA3167" s="45" t="str">
        <f>IFERROR(VLOOKUP(B3167,'Pre-Summary'!$CG$6:$CI$70,2,FALSE),"")</f>
        <v/>
      </c>
      <c r="AB3167" s="99">
        <f>IFERROR(VLOOKUP(B3167,'Pre-Summary'!$A$6:$P$178,9,FALSE),AB3168)</f>
        <v>0</v>
      </c>
      <c r="AC3167" s="10">
        <f>IFERROR(VLOOKUP(Summary!B3167,'Pre-Summary'!$A$6:$P$184,5, FALSE)/100,AC3168)</f>
        <v>0</v>
      </c>
      <c r="AD3167" s="10">
        <f>IFERROR(VLOOKUP(Summary!B3167,'Pre-Summary'!$A$6:$P$184,3, FALSE)/100,AD3168)</f>
        <v>0</v>
      </c>
      <c r="AE3167" s="10">
        <f>IFERROR(VLOOKUP(Summary!B3167,'Pre-Summary'!$A$6:$P$184,7, FALSE)/100,AE3168)</f>
        <v>0</v>
      </c>
      <c r="AF3167" s="99">
        <f t="shared" si="147"/>
        <v>0</v>
      </c>
      <c r="AG3167" s="99">
        <f t="shared" si="148"/>
        <v>0</v>
      </c>
      <c r="AH3167" s="10" t="str">
        <f>IFERROR(VLOOKUP(B3167,'Pre-Summary'!$AZ$6:$BE$65,3,FALSE),"")</f>
        <v/>
      </c>
      <c r="AI3167" s="10" t="str">
        <f>IFERROR(VLOOKUP(B3167,'Pre-Summary'!$AZ$6:$BE$65,5,FALSE),"")</f>
        <v/>
      </c>
      <c r="AJ3167" s="10" t="str">
        <f>IFERROR(VLOOKUP(B3167,'Pre-Summary'!$AZ$6:$BE$65,4,FALSE),"")</f>
        <v/>
      </c>
      <c r="AK3167" s="10" t="str">
        <f>IFERROR(VLOOKUP(B3167,'Pre-Summary'!$AZ$6:$BE$65,6,FALSE),"")</f>
        <v/>
      </c>
      <c r="AL3167" s="10" t="str">
        <f>IFERROR(VLOOKUP(B3167,'Pre-Summary'!$BG$6:$BL$44,3,FALSE),"")</f>
        <v/>
      </c>
      <c r="AM3167" s="10" t="str">
        <f>IFERROR(VLOOKUP(B3167,'Pre-Summary'!$BG$6:$BL$44,4,FALSE),"")</f>
        <v/>
      </c>
    </row>
    <row r="3168" spans="2:39" ht="15" customHeight="1" x14ac:dyDescent="0.3">
      <c r="B3168">
        <v>316.50000000000102</v>
      </c>
      <c r="D3168" s="10"/>
      <c r="E3168" s="10"/>
      <c r="F3168">
        <f>IFERROR(VLOOKUP(B3168,'Pre-Summary'!$AL$6:$AQ$13,6,FALSE),F3167)</f>
        <v>5.9405263157894746E-2</v>
      </c>
      <c r="M3168" s="45" t="str">
        <f>IFERROR(VLOOKUP(B3168,'Pre-Summary'!$BW$6:$BY$58,2,FALSE),"")</f>
        <v/>
      </c>
      <c r="N3168" s="45" t="str">
        <f>IFERROR(VLOOKUP(B3168,'Pre-Summary'!$CD$6:$CF$64,2,FALSE),"")</f>
        <v/>
      </c>
      <c r="O3168" s="99">
        <f>IFERROR(VLOOKUP(B3168,'Pre-Summary'!$BO$6:$BQ$48,3, FALSE),O3167)</f>
        <v>3.3239999999999998</v>
      </c>
      <c r="P3168" s="99">
        <f>IFERROR(VLOOKUP(B3168,'Pre-Summary'!$BS$6:$BU$35,3,FALSE),P3167)</f>
        <v>0.84099999999999997</v>
      </c>
      <c r="Q3168" s="54">
        <f t="shared" si="149"/>
        <v>3.9524375743162903</v>
      </c>
      <c r="R3168" s="53">
        <f>IFERROR(VLOOKUP(B3168,'Pre-Summary'!$BG$6:$BM$44,7,FALSE),R3169)</f>
        <v>0</v>
      </c>
      <c r="S3168" s="53" t="e">
        <f>VLOOKUP(B3168,'Pre-Summary'!$BG$6:$BM$44,6,FALSE)</f>
        <v>#N/A</v>
      </c>
      <c r="Z3168" s="45" t="str">
        <f>IFERROR(VLOOKUP(B3168,'Pre-Summary'!$BZ$6:$CB$63,2,FALSE),"")</f>
        <v/>
      </c>
      <c r="AA3168" s="45" t="str">
        <f>IFERROR(VLOOKUP(B3168,'Pre-Summary'!$CG$6:$CI$70,2,FALSE),"")</f>
        <v/>
      </c>
      <c r="AB3168" s="99">
        <f>IFERROR(VLOOKUP(B3168,'Pre-Summary'!$A$6:$P$178,9,FALSE),AB3169)</f>
        <v>0</v>
      </c>
      <c r="AC3168" s="10">
        <f>IFERROR(VLOOKUP(Summary!B3168,'Pre-Summary'!$A$6:$P$184,5, FALSE)/100,AC3169)</f>
        <v>0</v>
      </c>
      <c r="AD3168" s="10">
        <f>IFERROR(VLOOKUP(Summary!B3168,'Pre-Summary'!$A$6:$P$184,3, FALSE)/100,AD3169)</f>
        <v>0</v>
      </c>
      <c r="AE3168" s="10">
        <f>IFERROR(VLOOKUP(Summary!B3168,'Pre-Summary'!$A$6:$P$184,7, FALSE)/100,AE3169)</f>
        <v>0</v>
      </c>
      <c r="AF3168" s="99">
        <f t="shared" si="147"/>
        <v>0</v>
      </c>
      <c r="AG3168" s="99">
        <f t="shared" si="148"/>
        <v>0</v>
      </c>
      <c r="AH3168" s="10" t="str">
        <f>IFERROR(VLOOKUP(B3168,'Pre-Summary'!$AZ$6:$BE$65,3,FALSE),"")</f>
        <v/>
      </c>
      <c r="AI3168" s="10" t="str">
        <f>IFERROR(VLOOKUP(B3168,'Pre-Summary'!$AZ$6:$BE$65,5,FALSE),"")</f>
        <v/>
      </c>
      <c r="AJ3168" s="10" t="str">
        <f>IFERROR(VLOOKUP(B3168,'Pre-Summary'!$AZ$6:$BE$65,4,FALSE),"")</f>
        <v/>
      </c>
      <c r="AK3168" s="10" t="str">
        <f>IFERROR(VLOOKUP(B3168,'Pre-Summary'!$AZ$6:$BE$65,6,FALSE),"")</f>
        <v/>
      </c>
      <c r="AL3168" s="10" t="str">
        <f>IFERROR(VLOOKUP(B3168,'Pre-Summary'!$BG$6:$BL$44,3,FALSE),"")</f>
        <v/>
      </c>
      <c r="AM3168" s="10" t="str">
        <f>IFERROR(VLOOKUP(B3168,'Pre-Summary'!$BG$6:$BL$44,4,FALSE),"")</f>
        <v/>
      </c>
    </row>
    <row r="3169" spans="2:39" ht="15" customHeight="1" x14ac:dyDescent="0.3">
      <c r="B3169">
        <v>316.60000000000201</v>
      </c>
      <c r="D3169" s="10"/>
      <c r="E3169" s="10"/>
      <c r="F3169">
        <f>IFERROR(VLOOKUP(B3169,'Pre-Summary'!$AL$6:$AQ$13,6,FALSE),F3168)</f>
        <v>5.9405263157894746E-2</v>
      </c>
      <c r="M3169" s="45" t="str">
        <f>IFERROR(VLOOKUP(B3169,'Pre-Summary'!$BW$6:$BY$58,2,FALSE),"")</f>
        <v/>
      </c>
      <c r="N3169" s="45" t="str">
        <f>IFERROR(VLOOKUP(B3169,'Pre-Summary'!$CD$6:$CF$64,2,FALSE),"")</f>
        <v/>
      </c>
      <c r="O3169" s="99">
        <f>IFERROR(VLOOKUP(B3169,'Pre-Summary'!$BO$6:$BQ$48,3, FALSE),O3168)</f>
        <v>3.3239999999999998</v>
      </c>
      <c r="P3169" s="99">
        <f>IFERROR(VLOOKUP(B3169,'Pre-Summary'!$BS$6:$BU$35,3,FALSE),P3168)</f>
        <v>0.84099999999999997</v>
      </c>
      <c r="Q3169" s="54">
        <f t="shared" si="149"/>
        <v>3.9524375743162903</v>
      </c>
      <c r="R3169" s="53">
        <f>IFERROR(VLOOKUP(B3169,'Pre-Summary'!$BG$6:$BM$44,7,FALSE),R3170)</f>
        <v>0</v>
      </c>
      <c r="S3169" s="53" t="e">
        <f>VLOOKUP(B3169,'Pre-Summary'!$BG$6:$BM$44,6,FALSE)</f>
        <v>#N/A</v>
      </c>
      <c r="Z3169" s="45" t="str">
        <f>IFERROR(VLOOKUP(B3169,'Pre-Summary'!$BZ$6:$CB$63,2,FALSE),"")</f>
        <v/>
      </c>
      <c r="AA3169" s="45" t="str">
        <f>IFERROR(VLOOKUP(B3169,'Pre-Summary'!$CG$6:$CI$70,2,FALSE),"")</f>
        <v/>
      </c>
      <c r="AB3169" s="99">
        <f>IFERROR(VLOOKUP(B3169,'Pre-Summary'!$A$6:$P$178,9,FALSE),AB3170)</f>
        <v>0</v>
      </c>
      <c r="AC3169" s="10">
        <f>IFERROR(VLOOKUP(Summary!B3169,'Pre-Summary'!$A$6:$P$184,5, FALSE)/100,AC3170)</f>
        <v>0</v>
      </c>
      <c r="AD3169" s="10">
        <f>IFERROR(VLOOKUP(Summary!B3169,'Pre-Summary'!$A$6:$P$184,3, FALSE)/100,AD3170)</f>
        <v>0</v>
      </c>
      <c r="AE3169" s="10">
        <f>IFERROR(VLOOKUP(Summary!B3169,'Pre-Summary'!$A$6:$P$184,7, FALSE)/100,AE3170)</f>
        <v>0</v>
      </c>
      <c r="AF3169" s="99">
        <f t="shared" si="147"/>
        <v>0</v>
      </c>
      <c r="AG3169" s="99">
        <f t="shared" si="148"/>
        <v>0</v>
      </c>
      <c r="AH3169" s="10" t="str">
        <f>IFERROR(VLOOKUP(B3169,'Pre-Summary'!$AZ$6:$BE$65,3,FALSE),"")</f>
        <v/>
      </c>
      <c r="AI3169" s="10" t="str">
        <f>IFERROR(VLOOKUP(B3169,'Pre-Summary'!$AZ$6:$BE$65,5,FALSE),"")</f>
        <v/>
      </c>
      <c r="AJ3169" s="10" t="str">
        <f>IFERROR(VLOOKUP(B3169,'Pre-Summary'!$AZ$6:$BE$65,4,FALSE),"")</f>
        <v/>
      </c>
      <c r="AK3169" s="10" t="str">
        <f>IFERROR(VLOOKUP(B3169,'Pre-Summary'!$AZ$6:$BE$65,6,FALSE),"")</f>
        <v/>
      </c>
      <c r="AL3169" s="10" t="str">
        <f>IFERROR(VLOOKUP(B3169,'Pre-Summary'!$BG$6:$BL$44,3,FALSE),"")</f>
        <v/>
      </c>
      <c r="AM3169" s="10" t="str">
        <f>IFERROR(VLOOKUP(B3169,'Pre-Summary'!$BG$6:$BL$44,4,FALSE),"")</f>
        <v/>
      </c>
    </row>
    <row r="3170" spans="2:39" ht="15" customHeight="1" x14ac:dyDescent="0.3">
      <c r="B3170">
        <v>316.70000000000198</v>
      </c>
      <c r="D3170" s="10"/>
      <c r="E3170" s="10"/>
      <c r="F3170">
        <f>IFERROR(VLOOKUP(B3170,'Pre-Summary'!$AL$6:$AQ$13,6,FALSE),F3169)</f>
        <v>5.9405263157894746E-2</v>
      </c>
      <c r="M3170" s="45" t="str">
        <f>IFERROR(VLOOKUP(B3170,'Pre-Summary'!$BW$6:$BY$58,2,FALSE),"")</f>
        <v/>
      </c>
      <c r="N3170" s="45" t="str">
        <f>IFERROR(VLOOKUP(B3170,'Pre-Summary'!$CD$6:$CF$64,2,FALSE),"")</f>
        <v/>
      </c>
      <c r="O3170" s="99">
        <f>IFERROR(VLOOKUP(B3170,'Pre-Summary'!$BO$6:$BQ$48,3, FALSE),O3169)</f>
        <v>3.3239999999999998</v>
      </c>
      <c r="P3170" s="99">
        <f>IFERROR(VLOOKUP(B3170,'Pre-Summary'!$BS$6:$BU$35,3,FALSE),P3169)</f>
        <v>0.84099999999999997</v>
      </c>
      <c r="Q3170" s="54">
        <f t="shared" si="149"/>
        <v>3.9524375743162903</v>
      </c>
      <c r="R3170" s="53">
        <f>IFERROR(VLOOKUP(B3170,'Pre-Summary'!$BG$6:$BM$44,7,FALSE),R3171)</f>
        <v>0</v>
      </c>
      <c r="S3170" s="53" t="e">
        <f>VLOOKUP(B3170,'Pre-Summary'!$BG$6:$BM$44,6,FALSE)</f>
        <v>#N/A</v>
      </c>
      <c r="Z3170" s="45" t="str">
        <f>IFERROR(VLOOKUP(B3170,'Pre-Summary'!$BZ$6:$CB$63,2,FALSE),"")</f>
        <v/>
      </c>
      <c r="AA3170" s="45" t="str">
        <f>IFERROR(VLOOKUP(B3170,'Pre-Summary'!$CG$6:$CI$70,2,FALSE),"")</f>
        <v/>
      </c>
      <c r="AB3170" s="99">
        <f>IFERROR(VLOOKUP(B3170,'Pre-Summary'!$A$6:$P$178,9,FALSE),AB3171)</f>
        <v>0</v>
      </c>
      <c r="AC3170" s="10">
        <f>IFERROR(VLOOKUP(Summary!B3170,'Pre-Summary'!$A$6:$P$184,5, FALSE)/100,AC3171)</f>
        <v>0</v>
      </c>
      <c r="AD3170" s="10">
        <f>IFERROR(VLOOKUP(Summary!B3170,'Pre-Summary'!$A$6:$P$184,3, FALSE)/100,AD3171)</f>
        <v>0</v>
      </c>
      <c r="AE3170" s="10">
        <f>IFERROR(VLOOKUP(Summary!B3170,'Pre-Summary'!$A$6:$P$184,7, FALSE)/100,AE3171)</f>
        <v>0</v>
      </c>
      <c r="AF3170" s="99">
        <f t="shared" si="147"/>
        <v>0</v>
      </c>
      <c r="AG3170" s="99">
        <f t="shared" si="148"/>
        <v>0</v>
      </c>
      <c r="AH3170" s="10" t="str">
        <f>IFERROR(VLOOKUP(B3170,'Pre-Summary'!$AZ$6:$BE$65,3,FALSE),"")</f>
        <v/>
      </c>
      <c r="AI3170" s="10" t="str">
        <f>IFERROR(VLOOKUP(B3170,'Pre-Summary'!$AZ$6:$BE$65,5,FALSE),"")</f>
        <v/>
      </c>
      <c r="AJ3170" s="10" t="str">
        <f>IFERROR(VLOOKUP(B3170,'Pre-Summary'!$AZ$6:$BE$65,4,FALSE),"")</f>
        <v/>
      </c>
      <c r="AK3170" s="10" t="str">
        <f>IFERROR(VLOOKUP(B3170,'Pre-Summary'!$AZ$6:$BE$65,6,FALSE),"")</f>
        <v/>
      </c>
      <c r="AL3170" s="10" t="str">
        <f>IFERROR(VLOOKUP(B3170,'Pre-Summary'!$BG$6:$BL$44,3,FALSE),"")</f>
        <v/>
      </c>
      <c r="AM3170" s="10" t="str">
        <f>IFERROR(VLOOKUP(B3170,'Pre-Summary'!$BG$6:$BL$44,4,FALSE),"")</f>
        <v/>
      </c>
    </row>
    <row r="3171" spans="2:39" ht="15" customHeight="1" x14ac:dyDescent="0.3">
      <c r="B3171">
        <v>316.800000000002</v>
      </c>
      <c r="D3171" s="10"/>
      <c r="E3171" s="10"/>
      <c r="F3171">
        <f>IFERROR(VLOOKUP(B3171,'Pre-Summary'!$AL$6:$AQ$13,6,FALSE),F3170)</f>
        <v>5.9405263157894746E-2</v>
      </c>
      <c r="M3171" s="45" t="str">
        <f>IFERROR(VLOOKUP(B3171,'Pre-Summary'!$BW$6:$BY$58,2,FALSE),"")</f>
        <v/>
      </c>
      <c r="N3171" s="45" t="str">
        <f>IFERROR(VLOOKUP(B3171,'Pre-Summary'!$CD$6:$CF$64,2,FALSE),"")</f>
        <v/>
      </c>
      <c r="O3171" s="99">
        <f>IFERROR(VLOOKUP(B3171,'Pre-Summary'!$BO$6:$BQ$48,3, FALSE),O3170)</f>
        <v>3.3239999999999998</v>
      </c>
      <c r="P3171" s="99">
        <f>IFERROR(VLOOKUP(B3171,'Pre-Summary'!$BS$6:$BU$35,3,FALSE),P3170)</f>
        <v>0.84099999999999997</v>
      </c>
      <c r="Q3171" s="54">
        <f t="shared" si="149"/>
        <v>3.9524375743162903</v>
      </c>
      <c r="R3171" s="53">
        <f>IFERROR(VLOOKUP(B3171,'Pre-Summary'!$BG$6:$BM$44,7,FALSE),R3172)</f>
        <v>0</v>
      </c>
      <c r="S3171" s="53" t="e">
        <f>VLOOKUP(B3171,'Pre-Summary'!$BG$6:$BM$44,6,FALSE)</f>
        <v>#N/A</v>
      </c>
      <c r="Z3171" s="45" t="str">
        <f>IFERROR(VLOOKUP(B3171,'Pre-Summary'!$BZ$6:$CB$63,2,FALSE),"")</f>
        <v/>
      </c>
      <c r="AA3171" s="45" t="str">
        <f>IFERROR(VLOOKUP(B3171,'Pre-Summary'!$CG$6:$CI$70,2,FALSE),"")</f>
        <v/>
      </c>
      <c r="AB3171" s="99">
        <f>IFERROR(VLOOKUP(B3171,'Pre-Summary'!$A$6:$P$178,9,FALSE),AB3172)</f>
        <v>0</v>
      </c>
      <c r="AC3171" s="10">
        <f>IFERROR(VLOOKUP(Summary!B3171,'Pre-Summary'!$A$6:$P$184,5, FALSE)/100,AC3172)</f>
        <v>0</v>
      </c>
      <c r="AD3171" s="10">
        <f>IFERROR(VLOOKUP(Summary!B3171,'Pre-Summary'!$A$6:$P$184,3, FALSE)/100,AD3172)</f>
        <v>0</v>
      </c>
      <c r="AE3171" s="10">
        <f>IFERROR(VLOOKUP(Summary!B3171,'Pre-Summary'!$A$6:$P$184,7, FALSE)/100,AE3172)</f>
        <v>0</v>
      </c>
      <c r="AF3171" s="99">
        <f t="shared" si="147"/>
        <v>0</v>
      </c>
      <c r="AG3171" s="99">
        <f t="shared" si="148"/>
        <v>0</v>
      </c>
      <c r="AH3171" s="10" t="str">
        <f>IFERROR(VLOOKUP(B3171,'Pre-Summary'!$AZ$6:$BE$65,3,FALSE),"")</f>
        <v/>
      </c>
      <c r="AI3171" s="10" t="str">
        <f>IFERROR(VLOOKUP(B3171,'Pre-Summary'!$AZ$6:$BE$65,5,FALSE),"")</f>
        <v/>
      </c>
      <c r="AJ3171" s="10" t="str">
        <f>IFERROR(VLOOKUP(B3171,'Pre-Summary'!$AZ$6:$BE$65,4,FALSE),"")</f>
        <v/>
      </c>
      <c r="AK3171" s="10" t="str">
        <f>IFERROR(VLOOKUP(B3171,'Pre-Summary'!$AZ$6:$BE$65,6,FALSE),"")</f>
        <v/>
      </c>
      <c r="AL3171" s="10" t="str">
        <f>IFERROR(VLOOKUP(B3171,'Pre-Summary'!$BG$6:$BL$44,3,FALSE),"")</f>
        <v/>
      </c>
      <c r="AM3171" s="10" t="str">
        <f>IFERROR(VLOOKUP(B3171,'Pre-Summary'!$BG$6:$BL$44,4,FALSE),"")</f>
        <v/>
      </c>
    </row>
    <row r="3172" spans="2:39" ht="15" customHeight="1" x14ac:dyDescent="0.3">
      <c r="B3172">
        <v>316.90000000000202</v>
      </c>
      <c r="D3172" s="10"/>
      <c r="E3172" s="10"/>
      <c r="F3172">
        <f>IFERROR(VLOOKUP(B3172,'Pre-Summary'!$AL$6:$AQ$13,6,FALSE),F3171)</f>
        <v>5.9405263157894746E-2</v>
      </c>
      <c r="M3172" s="45" t="str">
        <f>IFERROR(VLOOKUP(B3172,'Pre-Summary'!$BW$6:$BY$58,2,FALSE),"")</f>
        <v/>
      </c>
      <c r="N3172" s="45" t="str">
        <f>IFERROR(VLOOKUP(B3172,'Pre-Summary'!$CD$6:$CF$64,2,FALSE),"")</f>
        <v/>
      </c>
      <c r="O3172" s="99">
        <f>IFERROR(VLOOKUP(B3172,'Pre-Summary'!$BO$6:$BQ$48,3, FALSE),O3171)</f>
        <v>3.3239999999999998</v>
      </c>
      <c r="P3172" s="99">
        <f>IFERROR(VLOOKUP(B3172,'Pre-Summary'!$BS$6:$BU$35,3,FALSE),P3171)</f>
        <v>0.84099999999999997</v>
      </c>
      <c r="Q3172" s="54">
        <f t="shared" si="149"/>
        <v>3.9524375743162903</v>
      </c>
      <c r="R3172" s="53">
        <f>IFERROR(VLOOKUP(B3172,'Pre-Summary'!$BG$6:$BM$44,7,FALSE),R3173)</f>
        <v>0</v>
      </c>
      <c r="S3172" s="53" t="e">
        <f>VLOOKUP(B3172,'Pre-Summary'!$BG$6:$BM$44,6,FALSE)</f>
        <v>#N/A</v>
      </c>
      <c r="Z3172" s="45" t="str">
        <f>IFERROR(VLOOKUP(B3172,'Pre-Summary'!$BZ$6:$CB$63,2,FALSE),"")</f>
        <v/>
      </c>
      <c r="AA3172" s="45" t="str">
        <f>IFERROR(VLOOKUP(B3172,'Pre-Summary'!$CG$6:$CI$70,2,FALSE),"")</f>
        <v/>
      </c>
      <c r="AB3172" s="99">
        <f>IFERROR(VLOOKUP(B3172,'Pre-Summary'!$A$6:$P$178,9,FALSE),AB3173)</f>
        <v>0</v>
      </c>
      <c r="AC3172" s="10">
        <f>IFERROR(VLOOKUP(Summary!B3172,'Pre-Summary'!$A$6:$P$184,5, FALSE)/100,AC3173)</f>
        <v>0</v>
      </c>
      <c r="AD3172" s="10">
        <f>IFERROR(VLOOKUP(Summary!B3172,'Pre-Summary'!$A$6:$P$184,3, FALSE)/100,AD3173)</f>
        <v>0</v>
      </c>
      <c r="AE3172" s="10">
        <f>IFERROR(VLOOKUP(Summary!B3172,'Pre-Summary'!$A$6:$P$184,7, FALSE)/100,AE3173)</f>
        <v>0</v>
      </c>
      <c r="AF3172" s="99">
        <f t="shared" si="147"/>
        <v>0</v>
      </c>
      <c r="AG3172" s="99">
        <f t="shared" si="148"/>
        <v>0</v>
      </c>
      <c r="AH3172" s="10" t="str">
        <f>IFERROR(VLOOKUP(B3172,'Pre-Summary'!$AZ$6:$BE$65,3,FALSE),"")</f>
        <v/>
      </c>
      <c r="AI3172" s="10" t="str">
        <f>IFERROR(VLOOKUP(B3172,'Pre-Summary'!$AZ$6:$BE$65,5,FALSE),"")</f>
        <v/>
      </c>
      <c r="AJ3172" s="10" t="str">
        <f>IFERROR(VLOOKUP(B3172,'Pre-Summary'!$AZ$6:$BE$65,4,FALSE),"")</f>
        <v/>
      </c>
      <c r="AK3172" s="10" t="str">
        <f>IFERROR(VLOOKUP(B3172,'Pre-Summary'!$AZ$6:$BE$65,6,FALSE),"")</f>
        <v/>
      </c>
      <c r="AL3172" s="10" t="str">
        <f>IFERROR(VLOOKUP(B3172,'Pre-Summary'!$BG$6:$BL$44,3,FALSE),"")</f>
        <v/>
      </c>
      <c r="AM3172" s="10" t="str">
        <f>IFERROR(VLOOKUP(B3172,'Pre-Summary'!$BG$6:$BL$44,4,FALSE),"")</f>
        <v/>
      </c>
    </row>
    <row r="3173" spans="2:39" ht="15" customHeight="1" x14ac:dyDescent="0.3">
      <c r="B3173">
        <v>317.00000000000199</v>
      </c>
      <c r="D3173" s="10"/>
      <c r="E3173" s="10"/>
      <c r="F3173">
        <f>IFERROR(VLOOKUP(B3173,'Pre-Summary'!$AL$6:$AQ$13,6,FALSE),F3172)</f>
        <v>5.9405263157894746E-2</v>
      </c>
      <c r="M3173" s="45" t="str">
        <f>IFERROR(VLOOKUP(B3173,'Pre-Summary'!$BW$6:$BY$58,2,FALSE),"")</f>
        <v/>
      </c>
      <c r="N3173" s="45" t="str">
        <f>IFERROR(VLOOKUP(B3173,'Pre-Summary'!$CD$6:$CF$64,2,FALSE),"")</f>
        <v/>
      </c>
      <c r="O3173" s="99">
        <f>IFERROR(VLOOKUP(B3173,'Pre-Summary'!$BO$6:$BQ$48,3, FALSE),O3172)</f>
        <v>3.3239999999999998</v>
      </c>
      <c r="P3173" s="99">
        <f>IFERROR(VLOOKUP(B3173,'Pre-Summary'!$BS$6:$BU$35,3,FALSE),P3172)</f>
        <v>0.84099999999999997</v>
      </c>
      <c r="Q3173" s="54">
        <f t="shared" si="149"/>
        <v>3.9524375743162903</v>
      </c>
      <c r="R3173" s="53">
        <f>IFERROR(VLOOKUP(B3173,'Pre-Summary'!$BG$6:$BM$44,7,FALSE),R3174)</f>
        <v>0</v>
      </c>
      <c r="S3173" s="53" t="e">
        <f>VLOOKUP(B3173,'Pre-Summary'!$BG$6:$BM$44,6,FALSE)</f>
        <v>#N/A</v>
      </c>
      <c r="Z3173" s="45" t="str">
        <f>IFERROR(VLOOKUP(B3173,'Pre-Summary'!$BZ$6:$CB$63,2,FALSE),"")</f>
        <v/>
      </c>
      <c r="AA3173" s="45" t="str">
        <f>IFERROR(VLOOKUP(B3173,'Pre-Summary'!$CG$6:$CI$70,2,FALSE),"")</f>
        <v/>
      </c>
      <c r="AB3173" s="99">
        <f>IFERROR(VLOOKUP(B3173,'Pre-Summary'!$A$6:$P$178,9,FALSE),AB3174)</f>
        <v>0</v>
      </c>
      <c r="AC3173" s="10">
        <f>IFERROR(VLOOKUP(Summary!B3173,'Pre-Summary'!$A$6:$P$184,5, FALSE)/100,AC3174)</f>
        <v>0</v>
      </c>
      <c r="AD3173" s="10">
        <f>IFERROR(VLOOKUP(Summary!B3173,'Pre-Summary'!$A$6:$P$184,3, FALSE)/100,AD3174)</f>
        <v>0</v>
      </c>
      <c r="AE3173" s="10">
        <f>IFERROR(VLOOKUP(Summary!B3173,'Pre-Summary'!$A$6:$P$184,7, FALSE)/100,AE3174)</f>
        <v>0</v>
      </c>
      <c r="AF3173" s="99">
        <f t="shared" si="147"/>
        <v>0</v>
      </c>
      <c r="AG3173" s="99">
        <f t="shared" si="148"/>
        <v>0</v>
      </c>
      <c r="AH3173" s="10" t="str">
        <f>IFERROR(VLOOKUP(B3173,'Pre-Summary'!$AZ$6:$BE$65,3,FALSE),"")</f>
        <v/>
      </c>
      <c r="AI3173" s="10" t="str">
        <f>IFERROR(VLOOKUP(B3173,'Pre-Summary'!$AZ$6:$BE$65,5,FALSE),"")</f>
        <v/>
      </c>
      <c r="AJ3173" s="10" t="str">
        <f>IFERROR(VLOOKUP(B3173,'Pre-Summary'!$AZ$6:$BE$65,4,FALSE),"")</f>
        <v/>
      </c>
      <c r="AK3173" s="10" t="str">
        <f>IFERROR(VLOOKUP(B3173,'Pre-Summary'!$AZ$6:$BE$65,6,FALSE),"")</f>
        <v/>
      </c>
      <c r="AL3173" s="10" t="str">
        <f>IFERROR(VLOOKUP(B3173,'Pre-Summary'!$BG$6:$BL$44,3,FALSE),"")</f>
        <v/>
      </c>
      <c r="AM3173" s="10" t="str">
        <f>IFERROR(VLOOKUP(B3173,'Pre-Summary'!$BG$6:$BL$44,4,FALSE),"")</f>
        <v/>
      </c>
    </row>
    <row r="3174" spans="2:39" ht="15" customHeight="1" x14ac:dyDescent="0.3">
      <c r="B3174">
        <v>317.10000000000201</v>
      </c>
      <c r="D3174" s="10"/>
      <c r="E3174" s="10"/>
      <c r="F3174">
        <f>IFERROR(VLOOKUP(B3174,'Pre-Summary'!$AL$6:$AQ$13,6,FALSE),F3173)</f>
        <v>5.9405263157894746E-2</v>
      </c>
      <c r="M3174" s="45" t="str">
        <f>IFERROR(VLOOKUP(B3174,'Pre-Summary'!$BW$6:$BY$58,2,FALSE),"")</f>
        <v/>
      </c>
      <c r="N3174" s="45" t="str">
        <f>IFERROR(VLOOKUP(B3174,'Pre-Summary'!$CD$6:$CF$64,2,FALSE),"")</f>
        <v/>
      </c>
      <c r="O3174" s="99">
        <f>IFERROR(VLOOKUP(B3174,'Pre-Summary'!$BO$6:$BQ$48,3, FALSE),O3173)</f>
        <v>3.3239999999999998</v>
      </c>
      <c r="P3174" s="99">
        <f>IFERROR(VLOOKUP(B3174,'Pre-Summary'!$BS$6:$BU$35,3,FALSE),P3173)</f>
        <v>0.84099999999999997</v>
      </c>
      <c r="Q3174" s="54">
        <f t="shared" si="149"/>
        <v>3.9524375743162903</v>
      </c>
      <c r="R3174" s="53">
        <f>IFERROR(VLOOKUP(B3174,'Pre-Summary'!$BG$6:$BM$44,7,FALSE),R3175)</f>
        <v>0</v>
      </c>
      <c r="S3174" s="53" t="e">
        <f>VLOOKUP(B3174,'Pre-Summary'!$BG$6:$BM$44,6,FALSE)</f>
        <v>#N/A</v>
      </c>
      <c r="Z3174" s="45" t="str">
        <f>IFERROR(VLOOKUP(B3174,'Pre-Summary'!$BZ$6:$CB$63,2,FALSE),"")</f>
        <v/>
      </c>
      <c r="AA3174" s="45" t="str">
        <f>IFERROR(VLOOKUP(B3174,'Pre-Summary'!$CG$6:$CI$70,2,FALSE),"")</f>
        <v/>
      </c>
      <c r="AB3174" s="99">
        <f>IFERROR(VLOOKUP(B3174,'Pre-Summary'!$A$6:$P$178,9,FALSE),AB3175)</f>
        <v>0</v>
      </c>
      <c r="AC3174" s="10">
        <f>IFERROR(VLOOKUP(Summary!B3174,'Pre-Summary'!$A$6:$P$184,5, FALSE)/100,AC3175)</f>
        <v>0</v>
      </c>
      <c r="AD3174" s="10">
        <f>IFERROR(VLOOKUP(Summary!B3174,'Pre-Summary'!$A$6:$P$184,3, FALSE)/100,AD3175)</f>
        <v>0</v>
      </c>
      <c r="AE3174" s="10">
        <f>IFERROR(VLOOKUP(Summary!B3174,'Pre-Summary'!$A$6:$P$184,7, FALSE)/100,AE3175)</f>
        <v>0</v>
      </c>
      <c r="AF3174" s="99">
        <f t="shared" si="147"/>
        <v>0</v>
      </c>
      <c r="AG3174" s="99">
        <f t="shared" si="148"/>
        <v>0</v>
      </c>
      <c r="AH3174" s="10" t="str">
        <f>IFERROR(VLOOKUP(B3174,'Pre-Summary'!$AZ$6:$BE$65,3,FALSE),"")</f>
        <v/>
      </c>
      <c r="AI3174" s="10" t="str">
        <f>IFERROR(VLOOKUP(B3174,'Pre-Summary'!$AZ$6:$BE$65,5,FALSE),"")</f>
        <v/>
      </c>
      <c r="AJ3174" s="10" t="str">
        <f>IFERROR(VLOOKUP(B3174,'Pre-Summary'!$AZ$6:$BE$65,4,FALSE),"")</f>
        <v/>
      </c>
      <c r="AK3174" s="10" t="str">
        <f>IFERROR(VLOOKUP(B3174,'Pre-Summary'!$AZ$6:$BE$65,6,FALSE),"")</f>
        <v/>
      </c>
      <c r="AL3174" s="10" t="str">
        <f>IFERROR(VLOOKUP(B3174,'Pre-Summary'!$BG$6:$BL$44,3,FALSE),"")</f>
        <v/>
      </c>
      <c r="AM3174" s="10" t="str">
        <f>IFERROR(VLOOKUP(B3174,'Pre-Summary'!$BG$6:$BL$44,4,FALSE),"")</f>
        <v/>
      </c>
    </row>
    <row r="3175" spans="2:39" ht="15" customHeight="1" x14ac:dyDescent="0.3">
      <c r="B3175">
        <v>317.20000000000198</v>
      </c>
      <c r="D3175" s="10"/>
      <c r="E3175" s="10"/>
      <c r="F3175">
        <f>IFERROR(VLOOKUP(B3175,'Pre-Summary'!$AL$6:$AQ$13,6,FALSE),F3174)</f>
        <v>5.9405263157894746E-2</v>
      </c>
      <c r="M3175" s="45" t="str">
        <f>IFERROR(VLOOKUP(B3175,'Pre-Summary'!$BW$6:$BY$58,2,FALSE),"")</f>
        <v/>
      </c>
      <c r="N3175" s="45" t="str">
        <f>IFERROR(VLOOKUP(B3175,'Pre-Summary'!$CD$6:$CF$64,2,FALSE),"")</f>
        <v/>
      </c>
      <c r="O3175" s="99">
        <f>IFERROR(VLOOKUP(B3175,'Pre-Summary'!$BO$6:$BQ$48,3, FALSE),O3174)</f>
        <v>3.3239999999999998</v>
      </c>
      <c r="P3175" s="99">
        <f>IFERROR(VLOOKUP(B3175,'Pre-Summary'!$BS$6:$BU$35,3,FALSE),P3174)</f>
        <v>0.84099999999999997</v>
      </c>
      <c r="Q3175" s="54">
        <f t="shared" si="149"/>
        <v>3.9524375743162903</v>
      </c>
      <c r="R3175" s="53">
        <f>IFERROR(VLOOKUP(B3175,'Pre-Summary'!$BG$6:$BM$44,7,FALSE),R3176)</f>
        <v>0</v>
      </c>
      <c r="S3175" s="53" t="e">
        <f>VLOOKUP(B3175,'Pre-Summary'!$BG$6:$BM$44,6,FALSE)</f>
        <v>#N/A</v>
      </c>
      <c r="Z3175" s="45" t="str">
        <f>IFERROR(VLOOKUP(B3175,'Pre-Summary'!$BZ$6:$CB$63,2,FALSE),"")</f>
        <v/>
      </c>
      <c r="AA3175" s="45" t="str">
        <f>IFERROR(VLOOKUP(B3175,'Pre-Summary'!$CG$6:$CI$70,2,FALSE),"")</f>
        <v/>
      </c>
      <c r="AB3175" s="99">
        <f>IFERROR(VLOOKUP(B3175,'Pre-Summary'!$A$6:$P$178,9,FALSE),AB3176)</f>
        <v>0</v>
      </c>
      <c r="AC3175" s="10">
        <f>IFERROR(VLOOKUP(Summary!B3175,'Pre-Summary'!$A$6:$P$184,5, FALSE)/100,AC3176)</f>
        <v>0</v>
      </c>
      <c r="AD3175" s="10">
        <f>IFERROR(VLOOKUP(Summary!B3175,'Pre-Summary'!$A$6:$P$184,3, FALSE)/100,AD3176)</f>
        <v>0</v>
      </c>
      <c r="AE3175" s="10">
        <f>IFERROR(VLOOKUP(Summary!B3175,'Pre-Summary'!$A$6:$P$184,7, FALSE)/100,AE3176)</f>
        <v>0</v>
      </c>
      <c r="AF3175" s="99">
        <f t="shared" si="147"/>
        <v>0</v>
      </c>
      <c r="AG3175" s="99">
        <f t="shared" si="148"/>
        <v>0</v>
      </c>
      <c r="AH3175" s="10" t="str">
        <f>IFERROR(VLOOKUP(B3175,'Pre-Summary'!$AZ$6:$BE$65,3,FALSE),"")</f>
        <v/>
      </c>
      <c r="AI3175" s="10" t="str">
        <f>IFERROR(VLOOKUP(B3175,'Pre-Summary'!$AZ$6:$BE$65,5,FALSE),"")</f>
        <v/>
      </c>
      <c r="AJ3175" s="10" t="str">
        <f>IFERROR(VLOOKUP(B3175,'Pre-Summary'!$AZ$6:$BE$65,4,FALSE),"")</f>
        <v/>
      </c>
      <c r="AK3175" s="10" t="str">
        <f>IFERROR(VLOOKUP(B3175,'Pre-Summary'!$AZ$6:$BE$65,6,FALSE),"")</f>
        <v/>
      </c>
      <c r="AL3175" s="10" t="str">
        <f>IFERROR(VLOOKUP(B3175,'Pre-Summary'!$BG$6:$BL$44,3,FALSE),"")</f>
        <v/>
      </c>
      <c r="AM3175" s="10" t="str">
        <f>IFERROR(VLOOKUP(B3175,'Pre-Summary'!$BG$6:$BL$44,4,FALSE),"")</f>
        <v/>
      </c>
    </row>
    <row r="3176" spans="2:39" ht="15" customHeight="1" x14ac:dyDescent="0.3">
      <c r="B3176">
        <v>317.300000000002</v>
      </c>
      <c r="D3176" s="10"/>
      <c r="E3176" s="10"/>
      <c r="F3176">
        <f>IFERROR(VLOOKUP(B3176,'Pre-Summary'!$AL$6:$AQ$13,6,FALSE),F3175)</f>
        <v>5.9405263157894746E-2</v>
      </c>
      <c r="M3176" s="45" t="str">
        <f>IFERROR(VLOOKUP(B3176,'Pre-Summary'!$BW$6:$BY$58,2,FALSE),"")</f>
        <v/>
      </c>
      <c r="N3176" s="45" t="str">
        <f>IFERROR(VLOOKUP(B3176,'Pre-Summary'!$CD$6:$CF$64,2,FALSE),"")</f>
        <v/>
      </c>
      <c r="O3176" s="99">
        <f>IFERROR(VLOOKUP(B3176,'Pre-Summary'!$BO$6:$BQ$48,3, FALSE),O3175)</f>
        <v>3.3239999999999998</v>
      </c>
      <c r="P3176" s="99">
        <f>IFERROR(VLOOKUP(B3176,'Pre-Summary'!$BS$6:$BU$35,3,FALSE),P3175)</f>
        <v>0.84099999999999997</v>
      </c>
      <c r="Q3176" s="54">
        <f t="shared" si="149"/>
        <v>3.9524375743162903</v>
      </c>
      <c r="R3176" s="53">
        <f>IFERROR(VLOOKUP(B3176,'Pre-Summary'!$BG$6:$BM$44,7,FALSE),R3177)</f>
        <v>0</v>
      </c>
      <c r="S3176" s="53" t="e">
        <f>VLOOKUP(B3176,'Pre-Summary'!$BG$6:$BM$44,6,FALSE)</f>
        <v>#N/A</v>
      </c>
      <c r="Z3176" s="45" t="str">
        <f>IFERROR(VLOOKUP(B3176,'Pre-Summary'!$BZ$6:$CB$63,2,FALSE),"")</f>
        <v/>
      </c>
      <c r="AA3176" s="45" t="str">
        <f>IFERROR(VLOOKUP(B3176,'Pre-Summary'!$CG$6:$CI$70,2,FALSE),"")</f>
        <v/>
      </c>
      <c r="AB3176" s="99">
        <f>IFERROR(VLOOKUP(B3176,'Pre-Summary'!$A$6:$P$178,9,FALSE),AB3177)</f>
        <v>0</v>
      </c>
      <c r="AC3176" s="10">
        <f>IFERROR(VLOOKUP(Summary!B3176,'Pre-Summary'!$A$6:$P$184,5, FALSE)/100,AC3177)</f>
        <v>0</v>
      </c>
      <c r="AD3176" s="10">
        <f>IFERROR(VLOOKUP(Summary!B3176,'Pre-Summary'!$A$6:$P$184,3, FALSE)/100,AD3177)</f>
        <v>0</v>
      </c>
      <c r="AE3176" s="10">
        <f>IFERROR(VLOOKUP(Summary!B3176,'Pre-Summary'!$A$6:$P$184,7, FALSE)/100,AE3177)</f>
        <v>0</v>
      </c>
      <c r="AF3176" s="99">
        <f t="shared" si="147"/>
        <v>0</v>
      </c>
      <c r="AG3176" s="99">
        <f t="shared" si="148"/>
        <v>0</v>
      </c>
      <c r="AH3176" s="10" t="str">
        <f>IFERROR(VLOOKUP(B3176,'Pre-Summary'!$AZ$6:$BE$65,3,FALSE),"")</f>
        <v/>
      </c>
      <c r="AI3176" s="10" t="str">
        <f>IFERROR(VLOOKUP(B3176,'Pre-Summary'!$AZ$6:$BE$65,5,FALSE),"")</f>
        <v/>
      </c>
      <c r="AJ3176" s="10" t="str">
        <f>IFERROR(VLOOKUP(B3176,'Pre-Summary'!$AZ$6:$BE$65,4,FALSE),"")</f>
        <v/>
      </c>
      <c r="AK3176" s="10" t="str">
        <f>IFERROR(VLOOKUP(B3176,'Pre-Summary'!$AZ$6:$BE$65,6,FALSE),"")</f>
        <v/>
      </c>
      <c r="AL3176" s="10" t="str">
        <f>IFERROR(VLOOKUP(B3176,'Pre-Summary'!$BG$6:$BL$44,3,FALSE),"")</f>
        <v/>
      </c>
      <c r="AM3176" s="10" t="str">
        <f>IFERROR(VLOOKUP(B3176,'Pre-Summary'!$BG$6:$BL$44,4,FALSE),"")</f>
        <v/>
      </c>
    </row>
    <row r="3177" spans="2:39" ht="15" customHeight="1" x14ac:dyDescent="0.3">
      <c r="B3177">
        <v>317.40000000000202</v>
      </c>
      <c r="D3177" s="10"/>
      <c r="E3177" s="10"/>
      <c r="F3177">
        <f>IFERROR(VLOOKUP(B3177,'Pre-Summary'!$AL$6:$AQ$13,6,FALSE),F3176)</f>
        <v>5.9405263157894746E-2</v>
      </c>
      <c r="M3177" s="45" t="str">
        <f>IFERROR(VLOOKUP(B3177,'Pre-Summary'!$BW$6:$BY$58,2,FALSE),"")</f>
        <v/>
      </c>
      <c r="N3177" s="45" t="str">
        <f>IFERROR(VLOOKUP(B3177,'Pre-Summary'!$CD$6:$CF$64,2,FALSE),"")</f>
        <v/>
      </c>
      <c r="O3177" s="99">
        <f>IFERROR(VLOOKUP(B3177,'Pre-Summary'!$BO$6:$BQ$48,3, FALSE),O3176)</f>
        <v>3.3239999999999998</v>
      </c>
      <c r="P3177" s="99">
        <f>IFERROR(VLOOKUP(B3177,'Pre-Summary'!$BS$6:$BU$35,3,FALSE),P3176)</f>
        <v>0.84099999999999997</v>
      </c>
      <c r="Q3177" s="54">
        <f t="shared" si="149"/>
        <v>3.9524375743162903</v>
      </c>
      <c r="R3177" s="53">
        <f>IFERROR(VLOOKUP(B3177,'Pre-Summary'!$BG$6:$BM$44,7,FALSE),R3178)</f>
        <v>0</v>
      </c>
      <c r="S3177" s="53" t="e">
        <f>VLOOKUP(B3177,'Pre-Summary'!$BG$6:$BM$44,6,FALSE)</f>
        <v>#N/A</v>
      </c>
      <c r="Z3177" s="45" t="str">
        <f>IFERROR(VLOOKUP(B3177,'Pre-Summary'!$BZ$6:$CB$63,2,FALSE),"")</f>
        <v/>
      </c>
      <c r="AA3177" s="45" t="str">
        <f>IFERROR(VLOOKUP(B3177,'Pre-Summary'!$CG$6:$CI$70,2,FALSE),"")</f>
        <v/>
      </c>
      <c r="AB3177" s="99">
        <f>IFERROR(VLOOKUP(B3177,'Pre-Summary'!$A$6:$P$178,9,FALSE),AB3178)</f>
        <v>0</v>
      </c>
      <c r="AC3177" s="10">
        <f>IFERROR(VLOOKUP(Summary!B3177,'Pre-Summary'!$A$6:$P$184,5, FALSE)/100,AC3178)</f>
        <v>0</v>
      </c>
      <c r="AD3177" s="10">
        <f>IFERROR(VLOOKUP(Summary!B3177,'Pre-Summary'!$A$6:$P$184,3, FALSE)/100,AD3178)</f>
        <v>0</v>
      </c>
      <c r="AE3177" s="10">
        <f>IFERROR(VLOOKUP(Summary!B3177,'Pre-Summary'!$A$6:$P$184,7, FALSE)/100,AE3178)</f>
        <v>0</v>
      </c>
      <c r="AF3177" s="99">
        <f t="shared" si="147"/>
        <v>0</v>
      </c>
      <c r="AG3177" s="99">
        <f t="shared" si="148"/>
        <v>0</v>
      </c>
      <c r="AH3177" s="10" t="str">
        <f>IFERROR(VLOOKUP(B3177,'Pre-Summary'!$AZ$6:$BE$65,3,FALSE),"")</f>
        <v/>
      </c>
      <c r="AI3177" s="10" t="str">
        <f>IFERROR(VLOOKUP(B3177,'Pre-Summary'!$AZ$6:$BE$65,5,FALSE),"")</f>
        <v/>
      </c>
      <c r="AJ3177" s="10" t="str">
        <f>IFERROR(VLOOKUP(B3177,'Pre-Summary'!$AZ$6:$BE$65,4,FALSE),"")</f>
        <v/>
      </c>
      <c r="AK3177" s="10" t="str">
        <f>IFERROR(VLOOKUP(B3177,'Pre-Summary'!$AZ$6:$BE$65,6,FALSE),"")</f>
        <v/>
      </c>
      <c r="AL3177" s="10" t="str">
        <f>IFERROR(VLOOKUP(B3177,'Pre-Summary'!$BG$6:$BL$44,3,FALSE),"")</f>
        <v/>
      </c>
      <c r="AM3177" s="10" t="str">
        <f>IFERROR(VLOOKUP(B3177,'Pre-Summary'!$BG$6:$BL$44,4,FALSE),"")</f>
        <v/>
      </c>
    </row>
    <row r="3178" spans="2:39" ht="15" customHeight="1" x14ac:dyDescent="0.3">
      <c r="B3178">
        <v>317.50000000000199</v>
      </c>
      <c r="D3178" s="10"/>
      <c r="E3178" s="10"/>
      <c r="F3178">
        <f>IFERROR(VLOOKUP(B3178,'Pre-Summary'!$AL$6:$AQ$13,6,FALSE),F3177)</f>
        <v>5.9405263157894746E-2</v>
      </c>
      <c r="M3178" s="45" t="str">
        <f>IFERROR(VLOOKUP(B3178,'Pre-Summary'!$BW$6:$BY$58,2,FALSE),"")</f>
        <v/>
      </c>
      <c r="N3178" s="45" t="str">
        <f>IFERROR(VLOOKUP(B3178,'Pre-Summary'!$CD$6:$CF$64,2,FALSE),"")</f>
        <v/>
      </c>
      <c r="O3178" s="99">
        <f>IFERROR(VLOOKUP(B3178,'Pre-Summary'!$BO$6:$BQ$48,3, FALSE),O3177)</f>
        <v>3.3239999999999998</v>
      </c>
      <c r="P3178" s="99">
        <f>IFERROR(VLOOKUP(B3178,'Pre-Summary'!$BS$6:$BU$35,3,FALSE),P3177)</f>
        <v>0.84099999999999997</v>
      </c>
      <c r="Q3178" s="54">
        <f t="shared" si="149"/>
        <v>3.9524375743162903</v>
      </c>
      <c r="R3178" s="53">
        <f>IFERROR(VLOOKUP(B3178,'Pre-Summary'!$BG$6:$BM$44,7,FALSE),R3179)</f>
        <v>0</v>
      </c>
      <c r="S3178" s="53" t="e">
        <f>VLOOKUP(B3178,'Pre-Summary'!$BG$6:$BM$44,6,FALSE)</f>
        <v>#N/A</v>
      </c>
      <c r="Z3178" s="45" t="str">
        <f>IFERROR(VLOOKUP(B3178,'Pre-Summary'!$BZ$6:$CB$63,2,FALSE),"")</f>
        <v/>
      </c>
      <c r="AA3178" s="45" t="str">
        <f>IFERROR(VLOOKUP(B3178,'Pre-Summary'!$CG$6:$CI$70,2,FALSE),"")</f>
        <v/>
      </c>
      <c r="AB3178" s="99">
        <f>IFERROR(VLOOKUP(B3178,'Pre-Summary'!$A$6:$P$178,9,FALSE),AB3179)</f>
        <v>0</v>
      </c>
      <c r="AC3178" s="10">
        <f>IFERROR(VLOOKUP(Summary!B3178,'Pre-Summary'!$A$6:$P$184,5, FALSE)/100,AC3179)</f>
        <v>0</v>
      </c>
      <c r="AD3178" s="10">
        <f>IFERROR(VLOOKUP(Summary!B3178,'Pre-Summary'!$A$6:$P$184,3, FALSE)/100,AD3179)</f>
        <v>0</v>
      </c>
      <c r="AE3178" s="10">
        <f>IFERROR(VLOOKUP(Summary!B3178,'Pre-Summary'!$A$6:$P$184,7, FALSE)/100,AE3179)</f>
        <v>0</v>
      </c>
      <c r="AF3178" s="99">
        <f t="shared" ref="AF3178:AF3241" si="150">AD3178*AB3178</f>
        <v>0</v>
      </c>
      <c r="AG3178" s="99">
        <f t="shared" ref="AG3178:AG3241" si="151">AB3178*AE3178</f>
        <v>0</v>
      </c>
      <c r="AH3178" s="10" t="str">
        <f>IFERROR(VLOOKUP(B3178,'Pre-Summary'!$AZ$6:$BE$65,3,FALSE),"")</f>
        <v/>
      </c>
      <c r="AI3178" s="10" t="str">
        <f>IFERROR(VLOOKUP(B3178,'Pre-Summary'!$AZ$6:$BE$65,5,FALSE),"")</f>
        <v/>
      </c>
      <c r="AJ3178" s="10" t="str">
        <f>IFERROR(VLOOKUP(B3178,'Pre-Summary'!$AZ$6:$BE$65,4,FALSE),"")</f>
        <v/>
      </c>
      <c r="AK3178" s="10" t="str">
        <f>IFERROR(VLOOKUP(B3178,'Pre-Summary'!$AZ$6:$BE$65,6,FALSE),"")</f>
        <v/>
      </c>
      <c r="AL3178" s="10" t="str">
        <f>IFERROR(VLOOKUP(B3178,'Pre-Summary'!$BG$6:$BL$44,3,FALSE),"")</f>
        <v/>
      </c>
      <c r="AM3178" s="10" t="str">
        <f>IFERROR(VLOOKUP(B3178,'Pre-Summary'!$BG$6:$BL$44,4,FALSE),"")</f>
        <v/>
      </c>
    </row>
    <row r="3179" spans="2:39" ht="15" customHeight="1" x14ac:dyDescent="0.3">
      <c r="B3179">
        <v>317.60000000000201</v>
      </c>
      <c r="D3179" s="10"/>
      <c r="E3179" s="10"/>
      <c r="F3179">
        <f>IFERROR(VLOOKUP(B3179,'Pre-Summary'!$AL$6:$AQ$13,6,FALSE),F3178)</f>
        <v>5.9405263157894746E-2</v>
      </c>
      <c r="M3179" s="45" t="str">
        <f>IFERROR(VLOOKUP(B3179,'Pre-Summary'!$BW$6:$BY$58,2,FALSE),"")</f>
        <v/>
      </c>
      <c r="N3179" s="45" t="str">
        <f>IFERROR(VLOOKUP(B3179,'Pre-Summary'!$CD$6:$CF$64,2,FALSE),"")</f>
        <v/>
      </c>
      <c r="O3179" s="99">
        <f>IFERROR(VLOOKUP(B3179,'Pre-Summary'!$BO$6:$BQ$48,3, FALSE),O3178)</f>
        <v>3.3239999999999998</v>
      </c>
      <c r="P3179" s="99">
        <f>IFERROR(VLOOKUP(B3179,'Pre-Summary'!$BS$6:$BU$35,3,FALSE),P3178)</f>
        <v>0.84099999999999997</v>
      </c>
      <c r="Q3179" s="54">
        <f t="shared" si="149"/>
        <v>3.9524375743162903</v>
      </c>
      <c r="R3179" s="53">
        <f>IFERROR(VLOOKUP(B3179,'Pre-Summary'!$BG$6:$BM$44,7,FALSE),R3180)</f>
        <v>0</v>
      </c>
      <c r="S3179" s="53" t="e">
        <f>VLOOKUP(B3179,'Pre-Summary'!$BG$6:$BM$44,6,FALSE)</f>
        <v>#N/A</v>
      </c>
      <c r="Z3179" s="45" t="str">
        <f>IFERROR(VLOOKUP(B3179,'Pre-Summary'!$BZ$6:$CB$63,2,FALSE),"")</f>
        <v/>
      </c>
      <c r="AA3179" s="45" t="str">
        <f>IFERROR(VLOOKUP(B3179,'Pre-Summary'!$CG$6:$CI$70,2,FALSE),"")</f>
        <v/>
      </c>
      <c r="AB3179" s="99">
        <f>IFERROR(VLOOKUP(B3179,'Pre-Summary'!$A$6:$P$178,9,FALSE),AB3180)</f>
        <v>0</v>
      </c>
      <c r="AC3179" s="10">
        <f>IFERROR(VLOOKUP(Summary!B3179,'Pre-Summary'!$A$6:$P$184,5, FALSE)/100,AC3180)</f>
        <v>0</v>
      </c>
      <c r="AD3179" s="10">
        <f>IFERROR(VLOOKUP(Summary!B3179,'Pre-Summary'!$A$6:$P$184,3, FALSE)/100,AD3180)</f>
        <v>0</v>
      </c>
      <c r="AE3179" s="10">
        <f>IFERROR(VLOOKUP(Summary!B3179,'Pre-Summary'!$A$6:$P$184,7, FALSE)/100,AE3180)</f>
        <v>0</v>
      </c>
      <c r="AF3179" s="99">
        <f t="shared" si="150"/>
        <v>0</v>
      </c>
      <c r="AG3179" s="99">
        <f t="shared" si="151"/>
        <v>0</v>
      </c>
      <c r="AH3179" s="10" t="str">
        <f>IFERROR(VLOOKUP(B3179,'Pre-Summary'!$AZ$6:$BE$65,3,FALSE),"")</f>
        <v/>
      </c>
      <c r="AI3179" s="10" t="str">
        <f>IFERROR(VLOOKUP(B3179,'Pre-Summary'!$AZ$6:$BE$65,5,FALSE),"")</f>
        <v/>
      </c>
      <c r="AJ3179" s="10" t="str">
        <f>IFERROR(VLOOKUP(B3179,'Pre-Summary'!$AZ$6:$BE$65,4,FALSE),"")</f>
        <v/>
      </c>
      <c r="AK3179" s="10" t="str">
        <f>IFERROR(VLOOKUP(B3179,'Pre-Summary'!$AZ$6:$BE$65,6,FALSE),"")</f>
        <v/>
      </c>
      <c r="AL3179" s="10" t="str">
        <f>IFERROR(VLOOKUP(B3179,'Pre-Summary'!$BG$6:$BL$44,3,FALSE),"")</f>
        <v/>
      </c>
      <c r="AM3179" s="10" t="str">
        <f>IFERROR(VLOOKUP(B3179,'Pre-Summary'!$BG$6:$BL$44,4,FALSE),"")</f>
        <v/>
      </c>
    </row>
    <row r="3180" spans="2:39" ht="15" customHeight="1" x14ac:dyDescent="0.3">
      <c r="B3180">
        <v>317.70000000000198</v>
      </c>
      <c r="D3180" s="10"/>
      <c r="E3180" s="10"/>
      <c r="F3180">
        <f>IFERROR(VLOOKUP(B3180,'Pre-Summary'!$AL$6:$AQ$13,6,FALSE),F3179)</f>
        <v>5.9405263157894746E-2</v>
      </c>
      <c r="M3180" s="45" t="str">
        <f>IFERROR(VLOOKUP(B3180,'Pre-Summary'!$BW$6:$BY$58,2,FALSE),"")</f>
        <v/>
      </c>
      <c r="N3180" s="45" t="str">
        <f>IFERROR(VLOOKUP(B3180,'Pre-Summary'!$CD$6:$CF$64,2,FALSE),"")</f>
        <v/>
      </c>
      <c r="O3180" s="99">
        <f>IFERROR(VLOOKUP(B3180,'Pre-Summary'!$BO$6:$BQ$48,3, FALSE),O3179)</f>
        <v>3.3239999999999998</v>
      </c>
      <c r="P3180" s="99">
        <f>IFERROR(VLOOKUP(B3180,'Pre-Summary'!$BS$6:$BU$35,3,FALSE),P3179)</f>
        <v>0.84099999999999997</v>
      </c>
      <c r="Q3180" s="54">
        <f t="shared" si="149"/>
        <v>3.9524375743162903</v>
      </c>
      <c r="R3180" s="53">
        <f>IFERROR(VLOOKUP(B3180,'Pre-Summary'!$BG$6:$BM$44,7,FALSE),R3181)</f>
        <v>0</v>
      </c>
      <c r="S3180" s="53" t="e">
        <f>VLOOKUP(B3180,'Pre-Summary'!$BG$6:$BM$44,6,FALSE)</f>
        <v>#N/A</v>
      </c>
      <c r="Z3180" s="45" t="str">
        <f>IFERROR(VLOOKUP(B3180,'Pre-Summary'!$BZ$6:$CB$63,2,FALSE),"")</f>
        <v/>
      </c>
      <c r="AA3180" s="45" t="str">
        <f>IFERROR(VLOOKUP(B3180,'Pre-Summary'!$CG$6:$CI$70,2,FALSE),"")</f>
        <v/>
      </c>
      <c r="AB3180" s="99">
        <f>IFERROR(VLOOKUP(B3180,'Pre-Summary'!$A$6:$P$178,9,FALSE),AB3181)</f>
        <v>0</v>
      </c>
      <c r="AC3180" s="10">
        <f>IFERROR(VLOOKUP(Summary!B3180,'Pre-Summary'!$A$6:$P$184,5, FALSE)/100,AC3181)</f>
        <v>0</v>
      </c>
      <c r="AD3180" s="10">
        <f>IFERROR(VLOOKUP(Summary!B3180,'Pre-Summary'!$A$6:$P$184,3, FALSE)/100,AD3181)</f>
        <v>0</v>
      </c>
      <c r="AE3180" s="10">
        <f>IFERROR(VLOOKUP(Summary!B3180,'Pre-Summary'!$A$6:$P$184,7, FALSE)/100,AE3181)</f>
        <v>0</v>
      </c>
      <c r="AF3180" s="99">
        <f t="shared" si="150"/>
        <v>0</v>
      </c>
      <c r="AG3180" s="99">
        <f t="shared" si="151"/>
        <v>0</v>
      </c>
      <c r="AH3180" s="10" t="str">
        <f>IFERROR(VLOOKUP(B3180,'Pre-Summary'!$AZ$6:$BE$65,3,FALSE),"")</f>
        <v/>
      </c>
      <c r="AI3180" s="10" t="str">
        <f>IFERROR(VLOOKUP(B3180,'Pre-Summary'!$AZ$6:$BE$65,5,FALSE),"")</f>
        <v/>
      </c>
      <c r="AJ3180" s="10" t="str">
        <f>IFERROR(VLOOKUP(B3180,'Pre-Summary'!$AZ$6:$BE$65,4,FALSE),"")</f>
        <v/>
      </c>
      <c r="AK3180" s="10" t="str">
        <f>IFERROR(VLOOKUP(B3180,'Pre-Summary'!$AZ$6:$BE$65,6,FALSE),"")</f>
        <v/>
      </c>
      <c r="AL3180" s="10" t="str">
        <f>IFERROR(VLOOKUP(B3180,'Pre-Summary'!$BG$6:$BL$44,3,FALSE),"")</f>
        <v/>
      </c>
      <c r="AM3180" s="10" t="str">
        <f>IFERROR(VLOOKUP(B3180,'Pre-Summary'!$BG$6:$BL$44,4,FALSE),"")</f>
        <v/>
      </c>
    </row>
    <row r="3181" spans="2:39" ht="15" customHeight="1" x14ac:dyDescent="0.3">
      <c r="B3181">
        <v>317.800000000002</v>
      </c>
      <c r="D3181" s="10"/>
      <c r="E3181" s="10"/>
      <c r="F3181">
        <f>IFERROR(VLOOKUP(B3181,'Pre-Summary'!$AL$6:$AQ$13,6,FALSE),F3180)</f>
        <v>5.9405263157894746E-2</v>
      </c>
      <c r="M3181" s="45" t="str">
        <f>IFERROR(VLOOKUP(B3181,'Pre-Summary'!$BW$6:$BY$58,2,FALSE),"")</f>
        <v/>
      </c>
      <c r="N3181" s="45" t="str">
        <f>IFERROR(VLOOKUP(B3181,'Pre-Summary'!$CD$6:$CF$64,2,FALSE),"")</f>
        <v/>
      </c>
      <c r="O3181" s="99">
        <f>IFERROR(VLOOKUP(B3181,'Pre-Summary'!$BO$6:$BQ$48,3, FALSE),O3180)</f>
        <v>3.3239999999999998</v>
      </c>
      <c r="P3181" s="99">
        <f>IFERROR(VLOOKUP(B3181,'Pre-Summary'!$BS$6:$BU$35,3,FALSE),P3180)</f>
        <v>0.84099999999999997</v>
      </c>
      <c r="Q3181" s="54">
        <f t="shared" si="149"/>
        <v>3.9524375743162903</v>
      </c>
      <c r="R3181" s="53">
        <f>IFERROR(VLOOKUP(B3181,'Pre-Summary'!$BG$6:$BM$44,7,FALSE),R3182)</f>
        <v>0</v>
      </c>
      <c r="S3181" s="53" t="e">
        <f>VLOOKUP(B3181,'Pre-Summary'!$BG$6:$BM$44,6,FALSE)</f>
        <v>#N/A</v>
      </c>
      <c r="Z3181" s="45" t="str">
        <f>IFERROR(VLOOKUP(B3181,'Pre-Summary'!$BZ$6:$CB$63,2,FALSE),"")</f>
        <v/>
      </c>
      <c r="AA3181" s="45" t="str">
        <f>IFERROR(VLOOKUP(B3181,'Pre-Summary'!$CG$6:$CI$70,2,FALSE),"")</f>
        <v/>
      </c>
      <c r="AB3181" s="99">
        <f>IFERROR(VLOOKUP(B3181,'Pre-Summary'!$A$6:$P$178,9,FALSE),AB3182)</f>
        <v>0</v>
      </c>
      <c r="AC3181" s="10">
        <f>IFERROR(VLOOKUP(Summary!B3181,'Pre-Summary'!$A$6:$P$184,5, FALSE)/100,AC3182)</f>
        <v>0</v>
      </c>
      <c r="AD3181" s="10">
        <f>IFERROR(VLOOKUP(Summary!B3181,'Pre-Summary'!$A$6:$P$184,3, FALSE)/100,AD3182)</f>
        <v>0</v>
      </c>
      <c r="AE3181" s="10">
        <f>IFERROR(VLOOKUP(Summary!B3181,'Pre-Summary'!$A$6:$P$184,7, FALSE)/100,AE3182)</f>
        <v>0</v>
      </c>
      <c r="AF3181" s="99">
        <f t="shared" si="150"/>
        <v>0</v>
      </c>
      <c r="AG3181" s="99">
        <f t="shared" si="151"/>
        <v>0</v>
      </c>
      <c r="AH3181" s="10" t="str">
        <f>IFERROR(VLOOKUP(B3181,'Pre-Summary'!$AZ$6:$BE$65,3,FALSE),"")</f>
        <v/>
      </c>
      <c r="AI3181" s="10" t="str">
        <f>IFERROR(VLOOKUP(B3181,'Pre-Summary'!$AZ$6:$BE$65,5,FALSE),"")</f>
        <v/>
      </c>
      <c r="AJ3181" s="10" t="str">
        <f>IFERROR(VLOOKUP(B3181,'Pre-Summary'!$AZ$6:$BE$65,4,FALSE),"")</f>
        <v/>
      </c>
      <c r="AK3181" s="10" t="str">
        <f>IFERROR(VLOOKUP(B3181,'Pre-Summary'!$AZ$6:$BE$65,6,FALSE),"")</f>
        <v/>
      </c>
      <c r="AL3181" s="10" t="str">
        <f>IFERROR(VLOOKUP(B3181,'Pre-Summary'!$BG$6:$BL$44,3,FALSE),"")</f>
        <v/>
      </c>
      <c r="AM3181" s="10" t="str">
        <f>IFERROR(VLOOKUP(B3181,'Pre-Summary'!$BG$6:$BL$44,4,FALSE),"")</f>
        <v/>
      </c>
    </row>
    <row r="3182" spans="2:39" ht="15" customHeight="1" x14ac:dyDescent="0.3">
      <c r="B3182">
        <v>317.90000000000202</v>
      </c>
      <c r="D3182" s="10"/>
      <c r="E3182" s="10"/>
      <c r="F3182">
        <f>IFERROR(VLOOKUP(B3182,'Pre-Summary'!$AL$6:$AQ$13,6,FALSE),F3181)</f>
        <v>5.9405263157894746E-2</v>
      </c>
      <c r="M3182" s="45" t="str">
        <f>IFERROR(VLOOKUP(B3182,'Pre-Summary'!$BW$6:$BY$58,2,FALSE),"")</f>
        <v/>
      </c>
      <c r="N3182" s="45" t="str">
        <f>IFERROR(VLOOKUP(B3182,'Pre-Summary'!$CD$6:$CF$64,2,FALSE),"")</f>
        <v/>
      </c>
      <c r="O3182" s="99">
        <f>IFERROR(VLOOKUP(B3182,'Pre-Summary'!$BO$6:$BQ$48,3, FALSE),O3181)</f>
        <v>3.3239999999999998</v>
      </c>
      <c r="P3182" s="99">
        <f>IFERROR(VLOOKUP(B3182,'Pre-Summary'!$BS$6:$BU$35,3,FALSE),P3181)</f>
        <v>0.84099999999999997</v>
      </c>
      <c r="Q3182" s="54">
        <f t="shared" si="149"/>
        <v>3.9524375743162903</v>
      </c>
      <c r="R3182" s="53">
        <f>IFERROR(VLOOKUP(B3182,'Pre-Summary'!$BG$6:$BM$44,7,FALSE),R3183)</f>
        <v>0</v>
      </c>
      <c r="S3182" s="53" t="e">
        <f>VLOOKUP(B3182,'Pre-Summary'!$BG$6:$BM$44,6,FALSE)</f>
        <v>#N/A</v>
      </c>
      <c r="Z3182" s="45" t="str">
        <f>IFERROR(VLOOKUP(B3182,'Pre-Summary'!$BZ$6:$CB$63,2,FALSE),"")</f>
        <v/>
      </c>
      <c r="AA3182" s="45" t="str">
        <f>IFERROR(VLOOKUP(B3182,'Pre-Summary'!$CG$6:$CI$70,2,FALSE),"")</f>
        <v/>
      </c>
      <c r="AB3182" s="99">
        <f>IFERROR(VLOOKUP(B3182,'Pre-Summary'!$A$6:$P$178,9,FALSE),AB3183)</f>
        <v>0</v>
      </c>
      <c r="AC3182" s="10">
        <f>IFERROR(VLOOKUP(Summary!B3182,'Pre-Summary'!$A$6:$P$184,5, FALSE)/100,AC3183)</f>
        <v>0</v>
      </c>
      <c r="AD3182" s="10">
        <f>IFERROR(VLOOKUP(Summary!B3182,'Pre-Summary'!$A$6:$P$184,3, FALSE)/100,AD3183)</f>
        <v>0</v>
      </c>
      <c r="AE3182" s="10">
        <f>IFERROR(VLOOKUP(Summary!B3182,'Pre-Summary'!$A$6:$P$184,7, FALSE)/100,AE3183)</f>
        <v>0</v>
      </c>
      <c r="AF3182" s="99">
        <f t="shared" si="150"/>
        <v>0</v>
      </c>
      <c r="AG3182" s="99">
        <f t="shared" si="151"/>
        <v>0</v>
      </c>
      <c r="AH3182" s="10" t="str">
        <f>IFERROR(VLOOKUP(B3182,'Pre-Summary'!$AZ$6:$BE$65,3,FALSE),"")</f>
        <v/>
      </c>
      <c r="AI3182" s="10" t="str">
        <f>IFERROR(VLOOKUP(B3182,'Pre-Summary'!$AZ$6:$BE$65,5,FALSE),"")</f>
        <v/>
      </c>
      <c r="AJ3182" s="10" t="str">
        <f>IFERROR(VLOOKUP(B3182,'Pre-Summary'!$AZ$6:$BE$65,4,FALSE),"")</f>
        <v/>
      </c>
      <c r="AK3182" s="10" t="str">
        <f>IFERROR(VLOOKUP(B3182,'Pre-Summary'!$AZ$6:$BE$65,6,FALSE),"")</f>
        <v/>
      </c>
      <c r="AL3182" s="10" t="str">
        <f>IFERROR(VLOOKUP(B3182,'Pre-Summary'!$BG$6:$BL$44,3,FALSE),"")</f>
        <v/>
      </c>
      <c r="AM3182" s="10" t="str">
        <f>IFERROR(VLOOKUP(B3182,'Pre-Summary'!$BG$6:$BL$44,4,FALSE),"")</f>
        <v/>
      </c>
    </row>
    <row r="3183" spans="2:39" ht="15" customHeight="1" x14ac:dyDescent="0.3">
      <c r="B3183">
        <v>318.00000000000199</v>
      </c>
      <c r="D3183" s="10"/>
      <c r="E3183" s="10"/>
      <c r="F3183">
        <f>IFERROR(VLOOKUP(B3183,'Pre-Summary'!$AL$6:$AQ$13,6,FALSE),F3182)</f>
        <v>5.9405263157894746E-2</v>
      </c>
      <c r="M3183" s="45" t="str">
        <f>IFERROR(VLOOKUP(B3183,'Pre-Summary'!$BW$6:$BY$58,2,FALSE),"")</f>
        <v/>
      </c>
      <c r="N3183" s="45" t="str">
        <f>IFERROR(VLOOKUP(B3183,'Pre-Summary'!$CD$6:$CF$64,2,FALSE),"")</f>
        <v/>
      </c>
      <c r="O3183" s="99">
        <f>IFERROR(VLOOKUP(B3183,'Pre-Summary'!$BO$6:$BQ$48,3, FALSE),O3182)</f>
        <v>3.3239999999999998</v>
      </c>
      <c r="P3183" s="99">
        <f>IFERROR(VLOOKUP(B3183,'Pre-Summary'!$BS$6:$BU$35,3,FALSE),P3182)</f>
        <v>0.84099999999999997</v>
      </c>
      <c r="Q3183" s="54">
        <f t="shared" si="149"/>
        <v>3.9524375743162903</v>
      </c>
      <c r="R3183" s="53">
        <f>IFERROR(VLOOKUP(B3183,'Pre-Summary'!$BG$6:$BM$44,7,FALSE),R3184)</f>
        <v>0</v>
      </c>
      <c r="S3183" s="53" t="e">
        <f>VLOOKUP(B3183,'Pre-Summary'!$BG$6:$BM$44,6,FALSE)</f>
        <v>#N/A</v>
      </c>
      <c r="Z3183" s="45" t="str">
        <f>IFERROR(VLOOKUP(B3183,'Pre-Summary'!$BZ$6:$CB$63,2,FALSE),"")</f>
        <v/>
      </c>
      <c r="AA3183" s="45" t="str">
        <f>IFERROR(VLOOKUP(B3183,'Pre-Summary'!$CG$6:$CI$70,2,FALSE),"")</f>
        <v/>
      </c>
      <c r="AB3183" s="99">
        <f>IFERROR(VLOOKUP(B3183,'Pre-Summary'!$A$6:$P$178,9,FALSE),AB3184)</f>
        <v>0</v>
      </c>
      <c r="AC3183" s="10">
        <f>IFERROR(VLOOKUP(Summary!B3183,'Pre-Summary'!$A$6:$P$184,5, FALSE)/100,AC3184)</f>
        <v>0</v>
      </c>
      <c r="AD3183" s="10">
        <f>IFERROR(VLOOKUP(Summary!B3183,'Pre-Summary'!$A$6:$P$184,3, FALSE)/100,AD3184)</f>
        <v>0</v>
      </c>
      <c r="AE3183" s="10">
        <f>IFERROR(VLOOKUP(Summary!B3183,'Pre-Summary'!$A$6:$P$184,7, FALSE)/100,AE3184)</f>
        <v>0</v>
      </c>
      <c r="AF3183" s="99">
        <f t="shared" si="150"/>
        <v>0</v>
      </c>
      <c r="AG3183" s="99">
        <f t="shared" si="151"/>
        <v>0</v>
      </c>
      <c r="AH3183" s="10" t="str">
        <f>IFERROR(VLOOKUP(B3183,'Pre-Summary'!$AZ$6:$BE$65,3,FALSE),"")</f>
        <v/>
      </c>
      <c r="AI3183" s="10" t="str">
        <f>IFERROR(VLOOKUP(B3183,'Pre-Summary'!$AZ$6:$BE$65,5,FALSE),"")</f>
        <v/>
      </c>
      <c r="AJ3183" s="10" t="str">
        <f>IFERROR(VLOOKUP(B3183,'Pre-Summary'!$AZ$6:$BE$65,4,FALSE),"")</f>
        <v/>
      </c>
      <c r="AK3183" s="10" t="str">
        <f>IFERROR(VLOOKUP(B3183,'Pre-Summary'!$AZ$6:$BE$65,6,FALSE),"")</f>
        <v/>
      </c>
      <c r="AL3183" s="10" t="str">
        <f>IFERROR(VLOOKUP(B3183,'Pre-Summary'!$BG$6:$BL$44,3,FALSE),"")</f>
        <v/>
      </c>
      <c r="AM3183" s="10" t="str">
        <f>IFERROR(VLOOKUP(B3183,'Pre-Summary'!$BG$6:$BL$44,4,FALSE),"")</f>
        <v/>
      </c>
    </row>
    <row r="3184" spans="2:39" ht="15" customHeight="1" x14ac:dyDescent="0.3">
      <c r="B3184">
        <v>318.10000000000201</v>
      </c>
      <c r="D3184" s="10"/>
      <c r="E3184" s="10"/>
      <c r="F3184">
        <f>IFERROR(VLOOKUP(B3184,'Pre-Summary'!$AL$6:$AQ$13,6,FALSE),F3183)</f>
        <v>5.9405263157894746E-2</v>
      </c>
      <c r="M3184" s="45" t="str">
        <f>IFERROR(VLOOKUP(B3184,'Pre-Summary'!$BW$6:$BY$58,2,FALSE),"")</f>
        <v/>
      </c>
      <c r="N3184" s="45" t="str">
        <f>IFERROR(VLOOKUP(B3184,'Pre-Summary'!$CD$6:$CF$64,2,FALSE),"")</f>
        <v/>
      </c>
      <c r="O3184" s="99">
        <f>IFERROR(VLOOKUP(B3184,'Pre-Summary'!$BO$6:$BQ$48,3, FALSE),O3183)</f>
        <v>3.3239999999999998</v>
      </c>
      <c r="P3184" s="99">
        <f>IFERROR(VLOOKUP(B3184,'Pre-Summary'!$BS$6:$BU$35,3,FALSE),P3183)</f>
        <v>0.84099999999999997</v>
      </c>
      <c r="Q3184" s="54">
        <f t="shared" si="149"/>
        <v>3.9524375743162903</v>
      </c>
      <c r="R3184" s="53">
        <f>IFERROR(VLOOKUP(B3184,'Pre-Summary'!$BG$6:$BM$44,7,FALSE),R3185)</f>
        <v>0</v>
      </c>
      <c r="S3184" s="53" t="e">
        <f>VLOOKUP(B3184,'Pre-Summary'!$BG$6:$BM$44,6,FALSE)</f>
        <v>#N/A</v>
      </c>
      <c r="Z3184" s="45" t="str">
        <f>IFERROR(VLOOKUP(B3184,'Pre-Summary'!$BZ$6:$CB$63,2,FALSE),"")</f>
        <v/>
      </c>
      <c r="AA3184" s="45" t="str">
        <f>IFERROR(VLOOKUP(B3184,'Pre-Summary'!$CG$6:$CI$70,2,FALSE),"")</f>
        <v/>
      </c>
      <c r="AB3184" s="99">
        <f>IFERROR(VLOOKUP(B3184,'Pre-Summary'!$A$6:$P$178,9,FALSE),AB3185)</f>
        <v>0</v>
      </c>
      <c r="AC3184" s="10">
        <f>IFERROR(VLOOKUP(Summary!B3184,'Pre-Summary'!$A$6:$P$184,5, FALSE)/100,AC3185)</f>
        <v>0</v>
      </c>
      <c r="AD3184" s="10">
        <f>IFERROR(VLOOKUP(Summary!B3184,'Pre-Summary'!$A$6:$P$184,3, FALSE)/100,AD3185)</f>
        <v>0</v>
      </c>
      <c r="AE3184" s="10">
        <f>IFERROR(VLOOKUP(Summary!B3184,'Pre-Summary'!$A$6:$P$184,7, FALSE)/100,AE3185)</f>
        <v>0</v>
      </c>
      <c r="AF3184" s="99">
        <f t="shared" si="150"/>
        <v>0</v>
      </c>
      <c r="AG3184" s="99">
        <f t="shared" si="151"/>
        <v>0</v>
      </c>
      <c r="AH3184" s="10" t="str">
        <f>IFERROR(VLOOKUP(B3184,'Pre-Summary'!$AZ$6:$BE$65,3,FALSE),"")</f>
        <v/>
      </c>
      <c r="AI3184" s="10" t="str">
        <f>IFERROR(VLOOKUP(B3184,'Pre-Summary'!$AZ$6:$BE$65,5,FALSE),"")</f>
        <v/>
      </c>
      <c r="AJ3184" s="10" t="str">
        <f>IFERROR(VLOOKUP(B3184,'Pre-Summary'!$AZ$6:$BE$65,4,FALSE),"")</f>
        <v/>
      </c>
      <c r="AK3184" s="10" t="str">
        <f>IFERROR(VLOOKUP(B3184,'Pre-Summary'!$AZ$6:$BE$65,6,FALSE),"")</f>
        <v/>
      </c>
      <c r="AL3184" s="10" t="str">
        <f>IFERROR(VLOOKUP(B3184,'Pre-Summary'!$BG$6:$BL$44,3,FALSE),"")</f>
        <v/>
      </c>
      <c r="AM3184" s="10" t="str">
        <f>IFERROR(VLOOKUP(B3184,'Pre-Summary'!$BG$6:$BL$44,4,FALSE),"")</f>
        <v/>
      </c>
    </row>
    <row r="3185" spans="2:39" ht="15" customHeight="1" x14ac:dyDescent="0.3">
      <c r="B3185">
        <v>318.20000000000198</v>
      </c>
      <c r="D3185" s="10"/>
      <c r="E3185" s="10"/>
      <c r="F3185">
        <f>IFERROR(VLOOKUP(B3185,'Pre-Summary'!$AL$6:$AQ$13,6,FALSE),F3184)</f>
        <v>5.9405263157894746E-2</v>
      </c>
      <c r="M3185" s="45" t="str">
        <f>IFERROR(VLOOKUP(B3185,'Pre-Summary'!$BW$6:$BY$58,2,FALSE),"")</f>
        <v/>
      </c>
      <c r="N3185" s="45" t="str">
        <f>IFERROR(VLOOKUP(B3185,'Pre-Summary'!$CD$6:$CF$64,2,FALSE),"")</f>
        <v/>
      </c>
      <c r="O3185" s="99">
        <f>IFERROR(VLOOKUP(B3185,'Pre-Summary'!$BO$6:$BQ$48,3, FALSE),O3184)</f>
        <v>3.3239999999999998</v>
      </c>
      <c r="P3185" s="99">
        <f>IFERROR(VLOOKUP(B3185,'Pre-Summary'!$BS$6:$BU$35,3,FALSE),P3184)</f>
        <v>0.84099999999999997</v>
      </c>
      <c r="Q3185" s="54">
        <f t="shared" si="149"/>
        <v>3.9524375743162903</v>
      </c>
      <c r="R3185" s="53">
        <f>IFERROR(VLOOKUP(B3185,'Pre-Summary'!$BG$6:$BM$44,7,FALSE),R3186)</f>
        <v>0</v>
      </c>
      <c r="S3185" s="53" t="e">
        <f>VLOOKUP(B3185,'Pre-Summary'!$BG$6:$BM$44,6,FALSE)</f>
        <v>#N/A</v>
      </c>
      <c r="Z3185" s="45" t="str">
        <f>IFERROR(VLOOKUP(B3185,'Pre-Summary'!$BZ$6:$CB$63,2,FALSE),"")</f>
        <v/>
      </c>
      <c r="AA3185" s="45" t="str">
        <f>IFERROR(VLOOKUP(B3185,'Pre-Summary'!$CG$6:$CI$70,2,FALSE),"")</f>
        <v/>
      </c>
      <c r="AB3185" s="99">
        <f>IFERROR(VLOOKUP(B3185,'Pre-Summary'!$A$6:$P$178,9,FALSE),AB3186)</f>
        <v>0</v>
      </c>
      <c r="AC3185" s="10">
        <f>IFERROR(VLOOKUP(Summary!B3185,'Pre-Summary'!$A$6:$P$184,5, FALSE)/100,AC3186)</f>
        <v>0</v>
      </c>
      <c r="AD3185" s="10">
        <f>IFERROR(VLOOKUP(Summary!B3185,'Pre-Summary'!$A$6:$P$184,3, FALSE)/100,AD3186)</f>
        <v>0</v>
      </c>
      <c r="AE3185" s="10">
        <f>IFERROR(VLOOKUP(Summary!B3185,'Pre-Summary'!$A$6:$P$184,7, FALSE)/100,AE3186)</f>
        <v>0</v>
      </c>
      <c r="AF3185" s="99">
        <f t="shared" si="150"/>
        <v>0</v>
      </c>
      <c r="AG3185" s="99">
        <f t="shared" si="151"/>
        <v>0</v>
      </c>
      <c r="AH3185" s="10" t="str">
        <f>IFERROR(VLOOKUP(B3185,'Pre-Summary'!$AZ$6:$BE$65,3,FALSE),"")</f>
        <v/>
      </c>
      <c r="AI3185" s="10" t="str">
        <f>IFERROR(VLOOKUP(B3185,'Pre-Summary'!$AZ$6:$BE$65,5,FALSE),"")</f>
        <v/>
      </c>
      <c r="AJ3185" s="10" t="str">
        <f>IFERROR(VLOOKUP(B3185,'Pre-Summary'!$AZ$6:$BE$65,4,FALSE),"")</f>
        <v/>
      </c>
      <c r="AK3185" s="10" t="str">
        <f>IFERROR(VLOOKUP(B3185,'Pre-Summary'!$AZ$6:$BE$65,6,FALSE),"")</f>
        <v/>
      </c>
      <c r="AL3185" s="10" t="str">
        <f>IFERROR(VLOOKUP(B3185,'Pre-Summary'!$BG$6:$BL$44,3,FALSE),"")</f>
        <v/>
      </c>
      <c r="AM3185" s="10" t="str">
        <f>IFERROR(VLOOKUP(B3185,'Pre-Summary'!$BG$6:$BL$44,4,FALSE),"")</f>
        <v/>
      </c>
    </row>
    <row r="3186" spans="2:39" ht="15" customHeight="1" x14ac:dyDescent="0.3">
      <c r="B3186">
        <v>318.300000000002</v>
      </c>
      <c r="D3186" s="10"/>
      <c r="E3186" s="10"/>
      <c r="F3186">
        <f>IFERROR(VLOOKUP(B3186,'Pre-Summary'!$AL$6:$AQ$13,6,FALSE),F3185)</f>
        <v>5.9405263157894746E-2</v>
      </c>
      <c r="M3186" s="45" t="str">
        <f>IFERROR(VLOOKUP(B3186,'Pre-Summary'!$BW$6:$BY$58,2,FALSE),"")</f>
        <v/>
      </c>
      <c r="N3186" s="45" t="str">
        <f>IFERROR(VLOOKUP(B3186,'Pre-Summary'!$CD$6:$CF$64,2,FALSE),"")</f>
        <v/>
      </c>
      <c r="O3186" s="99">
        <f>IFERROR(VLOOKUP(B3186,'Pre-Summary'!$BO$6:$BQ$48,3, FALSE),O3185)</f>
        <v>3.3239999999999998</v>
      </c>
      <c r="P3186" s="99">
        <f>IFERROR(VLOOKUP(B3186,'Pre-Summary'!$BS$6:$BU$35,3,FALSE),P3185)</f>
        <v>0.84099999999999997</v>
      </c>
      <c r="Q3186" s="54">
        <f t="shared" si="149"/>
        <v>3.9524375743162903</v>
      </c>
      <c r="R3186" s="53">
        <f>IFERROR(VLOOKUP(B3186,'Pre-Summary'!$BG$6:$BM$44,7,FALSE),R3187)</f>
        <v>0</v>
      </c>
      <c r="S3186" s="53" t="e">
        <f>VLOOKUP(B3186,'Pre-Summary'!$BG$6:$BM$44,6,FALSE)</f>
        <v>#N/A</v>
      </c>
      <c r="Z3186" s="45" t="str">
        <f>IFERROR(VLOOKUP(B3186,'Pre-Summary'!$BZ$6:$CB$63,2,FALSE),"")</f>
        <v/>
      </c>
      <c r="AA3186" s="45" t="str">
        <f>IFERROR(VLOOKUP(B3186,'Pre-Summary'!$CG$6:$CI$70,2,FALSE),"")</f>
        <v/>
      </c>
      <c r="AB3186" s="99">
        <f>IFERROR(VLOOKUP(B3186,'Pre-Summary'!$A$6:$P$178,9,FALSE),AB3187)</f>
        <v>0</v>
      </c>
      <c r="AC3186" s="10">
        <f>IFERROR(VLOOKUP(Summary!B3186,'Pre-Summary'!$A$6:$P$184,5, FALSE)/100,AC3187)</f>
        <v>0</v>
      </c>
      <c r="AD3186" s="10">
        <f>IFERROR(VLOOKUP(Summary!B3186,'Pre-Summary'!$A$6:$P$184,3, FALSE)/100,AD3187)</f>
        <v>0</v>
      </c>
      <c r="AE3186" s="10">
        <f>IFERROR(VLOOKUP(Summary!B3186,'Pre-Summary'!$A$6:$P$184,7, FALSE)/100,AE3187)</f>
        <v>0</v>
      </c>
      <c r="AF3186" s="99">
        <f t="shared" si="150"/>
        <v>0</v>
      </c>
      <c r="AG3186" s="99">
        <f t="shared" si="151"/>
        <v>0</v>
      </c>
      <c r="AH3186" s="10" t="str">
        <f>IFERROR(VLOOKUP(B3186,'Pre-Summary'!$AZ$6:$BE$65,3,FALSE),"")</f>
        <v/>
      </c>
      <c r="AI3186" s="10" t="str">
        <f>IFERROR(VLOOKUP(B3186,'Pre-Summary'!$AZ$6:$BE$65,5,FALSE),"")</f>
        <v/>
      </c>
      <c r="AJ3186" s="10" t="str">
        <f>IFERROR(VLOOKUP(B3186,'Pre-Summary'!$AZ$6:$BE$65,4,FALSE),"")</f>
        <v/>
      </c>
      <c r="AK3186" s="10" t="str">
        <f>IFERROR(VLOOKUP(B3186,'Pre-Summary'!$AZ$6:$BE$65,6,FALSE),"")</f>
        <v/>
      </c>
      <c r="AL3186" s="10" t="str">
        <f>IFERROR(VLOOKUP(B3186,'Pre-Summary'!$BG$6:$BL$44,3,FALSE),"")</f>
        <v/>
      </c>
      <c r="AM3186" s="10" t="str">
        <f>IFERROR(VLOOKUP(B3186,'Pre-Summary'!$BG$6:$BL$44,4,FALSE),"")</f>
        <v/>
      </c>
    </row>
    <row r="3187" spans="2:39" ht="15" customHeight="1" x14ac:dyDescent="0.3">
      <c r="B3187">
        <v>318.40000000000202</v>
      </c>
      <c r="D3187" s="10"/>
      <c r="E3187" s="10"/>
      <c r="F3187">
        <f>IFERROR(VLOOKUP(B3187,'Pre-Summary'!$AL$6:$AQ$13,6,FALSE),F3186)</f>
        <v>5.9405263157894746E-2</v>
      </c>
      <c r="M3187" s="45" t="str">
        <f>IFERROR(VLOOKUP(B3187,'Pre-Summary'!$BW$6:$BY$58,2,FALSE),"")</f>
        <v/>
      </c>
      <c r="N3187" s="45" t="str">
        <f>IFERROR(VLOOKUP(B3187,'Pre-Summary'!$CD$6:$CF$64,2,FALSE),"")</f>
        <v/>
      </c>
      <c r="O3187" s="99">
        <f>IFERROR(VLOOKUP(B3187,'Pre-Summary'!$BO$6:$BQ$48,3, FALSE),O3186)</f>
        <v>3.3239999999999998</v>
      </c>
      <c r="P3187" s="99">
        <f>IFERROR(VLOOKUP(B3187,'Pre-Summary'!$BS$6:$BU$35,3,FALSE),P3186)</f>
        <v>0.84099999999999997</v>
      </c>
      <c r="Q3187" s="54">
        <f t="shared" si="149"/>
        <v>3.9524375743162903</v>
      </c>
      <c r="R3187" s="53">
        <f>IFERROR(VLOOKUP(B3187,'Pre-Summary'!$BG$6:$BM$44,7,FALSE),R3188)</f>
        <v>0</v>
      </c>
      <c r="S3187" s="53" t="e">
        <f>VLOOKUP(B3187,'Pre-Summary'!$BG$6:$BM$44,6,FALSE)</f>
        <v>#N/A</v>
      </c>
      <c r="Z3187" s="45" t="str">
        <f>IFERROR(VLOOKUP(B3187,'Pre-Summary'!$BZ$6:$CB$63,2,FALSE),"")</f>
        <v/>
      </c>
      <c r="AA3187" s="45" t="str">
        <f>IFERROR(VLOOKUP(B3187,'Pre-Summary'!$CG$6:$CI$70,2,FALSE),"")</f>
        <v/>
      </c>
      <c r="AB3187" s="99">
        <f>IFERROR(VLOOKUP(B3187,'Pre-Summary'!$A$6:$P$178,9,FALSE),AB3188)</f>
        <v>0</v>
      </c>
      <c r="AC3187" s="10">
        <f>IFERROR(VLOOKUP(Summary!B3187,'Pre-Summary'!$A$6:$P$184,5, FALSE)/100,AC3188)</f>
        <v>0</v>
      </c>
      <c r="AD3187" s="10">
        <f>IFERROR(VLOOKUP(Summary!B3187,'Pre-Summary'!$A$6:$P$184,3, FALSE)/100,AD3188)</f>
        <v>0</v>
      </c>
      <c r="AE3187" s="10">
        <f>IFERROR(VLOOKUP(Summary!B3187,'Pre-Summary'!$A$6:$P$184,7, FALSE)/100,AE3188)</f>
        <v>0</v>
      </c>
      <c r="AF3187" s="99">
        <f t="shared" si="150"/>
        <v>0</v>
      </c>
      <c r="AG3187" s="99">
        <f t="shared" si="151"/>
        <v>0</v>
      </c>
      <c r="AH3187" s="10" t="str">
        <f>IFERROR(VLOOKUP(B3187,'Pre-Summary'!$AZ$6:$BE$65,3,FALSE),"")</f>
        <v/>
      </c>
      <c r="AI3187" s="10" t="str">
        <f>IFERROR(VLOOKUP(B3187,'Pre-Summary'!$AZ$6:$BE$65,5,FALSE),"")</f>
        <v/>
      </c>
      <c r="AJ3187" s="10" t="str">
        <f>IFERROR(VLOOKUP(B3187,'Pre-Summary'!$AZ$6:$BE$65,4,FALSE),"")</f>
        <v/>
      </c>
      <c r="AK3187" s="10" t="str">
        <f>IFERROR(VLOOKUP(B3187,'Pre-Summary'!$AZ$6:$BE$65,6,FALSE),"")</f>
        <v/>
      </c>
      <c r="AL3187" s="10" t="str">
        <f>IFERROR(VLOOKUP(B3187,'Pre-Summary'!$BG$6:$BL$44,3,FALSE),"")</f>
        <v/>
      </c>
      <c r="AM3187" s="10" t="str">
        <f>IFERROR(VLOOKUP(B3187,'Pre-Summary'!$BG$6:$BL$44,4,FALSE),"")</f>
        <v/>
      </c>
    </row>
    <row r="3188" spans="2:39" ht="15" customHeight="1" x14ac:dyDescent="0.3">
      <c r="B3188">
        <v>318.50000000000199</v>
      </c>
      <c r="D3188" s="10"/>
      <c r="E3188" s="10"/>
      <c r="F3188">
        <f>IFERROR(VLOOKUP(B3188,'Pre-Summary'!$AL$6:$AQ$13,6,FALSE),F3187)</f>
        <v>5.9405263157894746E-2</v>
      </c>
      <c r="M3188" s="45" t="str">
        <f>IFERROR(VLOOKUP(B3188,'Pre-Summary'!$BW$6:$BY$58,2,FALSE),"")</f>
        <v/>
      </c>
      <c r="N3188" s="45" t="str">
        <f>IFERROR(VLOOKUP(B3188,'Pre-Summary'!$CD$6:$CF$64,2,FALSE),"")</f>
        <v/>
      </c>
      <c r="O3188" s="99">
        <f>IFERROR(VLOOKUP(B3188,'Pre-Summary'!$BO$6:$BQ$48,3, FALSE),O3187)</f>
        <v>3.3239999999999998</v>
      </c>
      <c r="P3188" s="99">
        <f>IFERROR(VLOOKUP(B3188,'Pre-Summary'!$BS$6:$BU$35,3,FALSE),P3187)</f>
        <v>0.84099999999999997</v>
      </c>
      <c r="Q3188" s="54">
        <f t="shared" si="149"/>
        <v>3.9524375743162903</v>
      </c>
      <c r="R3188" s="53">
        <f>IFERROR(VLOOKUP(B3188,'Pre-Summary'!$BG$6:$BM$44,7,FALSE),R3189)</f>
        <v>0</v>
      </c>
      <c r="S3188" s="53" t="e">
        <f>VLOOKUP(B3188,'Pre-Summary'!$BG$6:$BM$44,6,FALSE)</f>
        <v>#N/A</v>
      </c>
      <c r="Z3188" s="45" t="str">
        <f>IFERROR(VLOOKUP(B3188,'Pre-Summary'!$BZ$6:$CB$63,2,FALSE),"")</f>
        <v/>
      </c>
      <c r="AA3188" s="45" t="str">
        <f>IFERROR(VLOOKUP(B3188,'Pre-Summary'!$CG$6:$CI$70,2,FALSE),"")</f>
        <v/>
      </c>
      <c r="AB3188" s="99">
        <f>IFERROR(VLOOKUP(B3188,'Pre-Summary'!$A$6:$P$178,9,FALSE),AB3189)</f>
        <v>0</v>
      </c>
      <c r="AC3188" s="10">
        <f>IFERROR(VLOOKUP(Summary!B3188,'Pre-Summary'!$A$6:$P$184,5, FALSE)/100,AC3189)</f>
        <v>0</v>
      </c>
      <c r="AD3188" s="10">
        <f>IFERROR(VLOOKUP(Summary!B3188,'Pre-Summary'!$A$6:$P$184,3, FALSE)/100,AD3189)</f>
        <v>0</v>
      </c>
      <c r="AE3188" s="10">
        <f>IFERROR(VLOOKUP(Summary!B3188,'Pre-Summary'!$A$6:$P$184,7, FALSE)/100,AE3189)</f>
        <v>0</v>
      </c>
      <c r="AF3188" s="99">
        <f t="shared" si="150"/>
        <v>0</v>
      </c>
      <c r="AG3188" s="99">
        <f t="shared" si="151"/>
        <v>0</v>
      </c>
      <c r="AH3188" s="10" t="str">
        <f>IFERROR(VLOOKUP(B3188,'Pre-Summary'!$AZ$6:$BE$65,3,FALSE),"")</f>
        <v/>
      </c>
      <c r="AI3188" s="10" t="str">
        <f>IFERROR(VLOOKUP(B3188,'Pre-Summary'!$AZ$6:$BE$65,5,FALSE),"")</f>
        <v/>
      </c>
      <c r="AJ3188" s="10" t="str">
        <f>IFERROR(VLOOKUP(B3188,'Pre-Summary'!$AZ$6:$BE$65,4,FALSE),"")</f>
        <v/>
      </c>
      <c r="AK3188" s="10" t="str">
        <f>IFERROR(VLOOKUP(B3188,'Pre-Summary'!$AZ$6:$BE$65,6,FALSE),"")</f>
        <v/>
      </c>
      <c r="AL3188" s="10" t="str">
        <f>IFERROR(VLOOKUP(B3188,'Pre-Summary'!$BG$6:$BL$44,3,FALSE),"")</f>
        <v/>
      </c>
      <c r="AM3188" s="10" t="str">
        <f>IFERROR(VLOOKUP(B3188,'Pre-Summary'!$BG$6:$BL$44,4,FALSE),"")</f>
        <v/>
      </c>
    </row>
    <row r="3189" spans="2:39" ht="15" customHeight="1" x14ac:dyDescent="0.3">
      <c r="B3189">
        <v>318.60000000000201</v>
      </c>
      <c r="D3189" s="10"/>
      <c r="E3189" s="10"/>
      <c r="F3189">
        <f>IFERROR(VLOOKUP(B3189,'Pre-Summary'!$AL$6:$AQ$13,6,FALSE),F3188)</f>
        <v>5.9405263157894746E-2</v>
      </c>
      <c r="M3189" s="45" t="str">
        <f>IFERROR(VLOOKUP(B3189,'Pre-Summary'!$BW$6:$BY$58,2,FALSE),"")</f>
        <v/>
      </c>
      <c r="N3189" s="45" t="str">
        <f>IFERROR(VLOOKUP(B3189,'Pre-Summary'!$CD$6:$CF$64,2,FALSE),"")</f>
        <v/>
      </c>
      <c r="O3189" s="99">
        <f>IFERROR(VLOOKUP(B3189,'Pre-Summary'!$BO$6:$BQ$48,3, FALSE),O3188)</f>
        <v>3.3239999999999998</v>
      </c>
      <c r="P3189" s="99">
        <f>IFERROR(VLOOKUP(B3189,'Pre-Summary'!$BS$6:$BU$35,3,FALSE),P3188)</f>
        <v>0.84099999999999997</v>
      </c>
      <c r="Q3189" s="54">
        <f t="shared" si="149"/>
        <v>3.9524375743162903</v>
      </c>
      <c r="R3189" s="53">
        <f>IFERROR(VLOOKUP(B3189,'Pre-Summary'!$BG$6:$BM$44,7,FALSE),R3190)</f>
        <v>0</v>
      </c>
      <c r="S3189" s="53" t="e">
        <f>VLOOKUP(B3189,'Pre-Summary'!$BG$6:$BM$44,6,FALSE)</f>
        <v>#N/A</v>
      </c>
      <c r="Z3189" s="45" t="str">
        <f>IFERROR(VLOOKUP(B3189,'Pre-Summary'!$BZ$6:$CB$63,2,FALSE),"")</f>
        <v/>
      </c>
      <c r="AA3189" s="45" t="str">
        <f>IFERROR(VLOOKUP(B3189,'Pre-Summary'!$CG$6:$CI$70,2,FALSE),"")</f>
        <v/>
      </c>
      <c r="AB3189" s="99">
        <f>IFERROR(VLOOKUP(B3189,'Pre-Summary'!$A$6:$P$178,9,FALSE),AB3190)</f>
        <v>0</v>
      </c>
      <c r="AC3189" s="10">
        <f>IFERROR(VLOOKUP(Summary!B3189,'Pre-Summary'!$A$6:$P$184,5, FALSE)/100,AC3190)</f>
        <v>0</v>
      </c>
      <c r="AD3189" s="10">
        <f>IFERROR(VLOOKUP(Summary!B3189,'Pre-Summary'!$A$6:$P$184,3, FALSE)/100,AD3190)</f>
        <v>0</v>
      </c>
      <c r="AE3189" s="10">
        <f>IFERROR(VLOOKUP(Summary!B3189,'Pre-Summary'!$A$6:$P$184,7, FALSE)/100,AE3190)</f>
        <v>0</v>
      </c>
      <c r="AF3189" s="99">
        <f t="shared" si="150"/>
        <v>0</v>
      </c>
      <c r="AG3189" s="99">
        <f t="shared" si="151"/>
        <v>0</v>
      </c>
      <c r="AH3189" s="10" t="str">
        <f>IFERROR(VLOOKUP(B3189,'Pre-Summary'!$AZ$6:$BE$65,3,FALSE),"")</f>
        <v/>
      </c>
      <c r="AI3189" s="10" t="str">
        <f>IFERROR(VLOOKUP(B3189,'Pre-Summary'!$AZ$6:$BE$65,5,FALSE),"")</f>
        <v/>
      </c>
      <c r="AJ3189" s="10" t="str">
        <f>IFERROR(VLOOKUP(B3189,'Pre-Summary'!$AZ$6:$BE$65,4,FALSE),"")</f>
        <v/>
      </c>
      <c r="AK3189" s="10" t="str">
        <f>IFERROR(VLOOKUP(B3189,'Pre-Summary'!$AZ$6:$BE$65,6,FALSE),"")</f>
        <v/>
      </c>
      <c r="AL3189" s="10" t="str">
        <f>IFERROR(VLOOKUP(B3189,'Pre-Summary'!$BG$6:$BL$44,3,FALSE),"")</f>
        <v/>
      </c>
      <c r="AM3189" s="10" t="str">
        <f>IFERROR(VLOOKUP(B3189,'Pre-Summary'!$BG$6:$BL$44,4,FALSE),"")</f>
        <v/>
      </c>
    </row>
    <row r="3190" spans="2:39" ht="15" customHeight="1" x14ac:dyDescent="0.3">
      <c r="B3190">
        <v>318.70000000000198</v>
      </c>
      <c r="D3190" s="10"/>
      <c r="E3190" s="10"/>
      <c r="F3190">
        <f>IFERROR(VLOOKUP(B3190,'Pre-Summary'!$AL$6:$AQ$13,6,FALSE),F3189)</f>
        <v>5.9405263157894746E-2</v>
      </c>
      <c r="M3190" s="45" t="str">
        <f>IFERROR(VLOOKUP(B3190,'Pre-Summary'!$BW$6:$BY$58,2,FALSE),"")</f>
        <v/>
      </c>
      <c r="N3190" s="45" t="str">
        <f>IFERROR(VLOOKUP(B3190,'Pre-Summary'!$CD$6:$CF$64,2,FALSE),"")</f>
        <v/>
      </c>
      <c r="O3190" s="99">
        <f>IFERROR(VLOOKUP(B3190,'Pre-Summary'!$BO$6:$BQ$48,3, FALSE),O3189)</f>
        <v>3.3239999999999998</v>
      </c>
      <c r="P3190" s="99">
        <f>IFERROR(VLOOKUP(B3190,'Pre-Summary'!$BS$6:$BU$35,3,FALSE),P3189)</f>
        <v>0.84099999999999997</v>
      </c>
      <c r="Q3190" s="54">
        <f t="shared" si="149"/>
        <v>3.9524375743162903</v>
      </c>
      <c r="R3190" s="53">
        <f>IFERROR(VLOOKUP(B3190,'Pre-Summary'!$BG$6:$BM$44,7,FALSE),R3191)</f>
        <v>0</v>
      </c>
      <c r="S3190" s="53" t="e">
        <f>VLOOKUP(B3190,'Pre-Summary'!$BG$6:$BM$44,6,FALSE)</f>
        <v>#N/A</v>
      </c>
      <c r="Z3190" s="45" t="str">
        <f>IFERROR(VLOOKUP(B3190,'Pre-Summary'!$BZ$6:$CB$63,2,FALSE),"")</f>
        <v/>
      </c>
      <c r="AA3190" s="45" t="str">
        <f>IFERROR(VLOOKUP(B3190,'Pre-Summary'!$CG$6:$CI$70,2,FALSE),"")</f>
        <v/>
      </c>
      <c r="AB3190" s="99">
        <f>IFERROR(VLOOKUP(B3190,'Pre-Summary'!$A$6:$P$178,9,FALSE),AB3191)</f>
        <v>0</v>
      </c>
      <c r="AC3190" s="10">
        <f>IFERROR(VLOOKUP(Summary!B3190,'Pre-Summary'!$A$6:$P$184,5, FALSE)/100,AC3191)</f>
        <v>0</v>
      </c>
      <c r="AD3190" s="10">
        <f>IFERROR(VLOOKUP(Summary!B3190,'Pre-Summary'!$A$6:$P$184,3, FALSE)/100,AD3191)</f>
        <v>0</v>
      </c>
      <c r="AE3190" s="10">
        <f>IFERROR(VLOOKUP(Summary!B3190,'Pre-Summary'!$A$6:$P$184,7, FALSE)/100,AE3191)</f>
        <v>0</v>
      </c>
      <c r="AF3190" s="99">
        <f t="shared" si="150"/>
        <v>0</v>
      </c>
      <c r="AG3190" s="99">
        <f t="shared" si="151"/>
        <v>0</v>
      </c>
      <c r="AH3190" s="10" t="str">
        <f>IFERROR(VLOOKUP(B3190,'Pre-Summary'!$AZ$6:$BE$65,3,FALSE),"")</f>
        <v/>
      </c>
      <c r="AI3190" s="10" t="str">
        <f>IFERROR(VLOOKUP(B3190,'Pre-Summary'!$AZ$6:$BE$65,5,FALSE),"")</f>
        <v/>
      </c>
      <c r="AJ3190" s="10" t="str">
        <f>IFERROR(VLOOKUP(B3190,'Pre-Summary'!$AZ$6:$BE$65,4,FALSE),"")</f>
        <v/>
      </c>
      <c r="AK3190" s="10" t="str">
        <f>IFERROR(VLOOKUP(B3190,'Pre-Summary'!$AZ$6:$BE$65,6,FALSE),"")</f>
        <v/>
      </c>
      <c r="AL3190" s="10" t="str">
        <f>IFERROR(VLOOKUP(B3190,'Pre-Summary'!$BG$6:$BL$44,3,FALSE),"")</f>
        <v/>
      </c>
      <c r="AM3190" s="10" t="str">
        <f>IFERROR(VLOOKUP(B3190,'Pre-Summary'!$BG$6:$BL$44,4,FALSE),"")</f>
        <v/>
      </c>
    </row>
    <row r="3191" spans="2:39" ht="15" customHeight="1" x14ac:dyDescent="0.3">
      <c r="B3191">
        <v>318.800000000002</v>
      </c>
      <c r="D3191" s="10"/>
      <c r="E3191" s="10"/>
      <c r="F3191">
        <f>IFERROR(VLOOKUP(B3191,'Pre-Summary'!$AL$6:$AQ$13,6,FALSE),F3190)</f>
        <v>5.9405263157894746E-2</v>
      </c>
      <c r="M3191" s="45" t="str">
        <f>IFERROR(VLOOKUP(B3191,'Pre-Summary'!$BW$6:$BY$58,2,FALSE),"")</f>
        <v/>
      </c>
      <c r="N3191" s="45" t="str">
        <f>IFERROR(VLOOKUP(B3191,'Pre-Summary'!$CD$6:$CF$64,2,FALSE),"")</f>
        <v/>
      </c>
      <c r="O3191" s="99">
        <f>IFERROR(VLOOKUP(B3191,'Pre-Summary'!$BO$6:$BQ$48,3, FALSE),O3190)</f>
        <v>3.3239999999999998</v>
      </c>
      <c r="P3191" s="99">
        <f>IFERROR(VLOOKUP(B3191,'Pre-Summary'!$BS$6:$BU$35,3,FALSE),P3190)</f>
        <v>0.84099999999999997</v>
      </c>
      <c r="Q3191" s="54">
        <f t="shared" si="149"/>
        <v>3.9524375743162903</v>
      </c>
      <c r="R3191" s="53">
        <f>IFERROR(VLOOKUP(B3191,'Pre-Summary'!$BG$6:$BM$44,7,FALSE),R3192)</f>
        <v>0</v>
      </c>
      <c r="S3191" s="53" t="e">
        <f>VLOOKUP(B3191,'Pre-Summary'!$BG$6:$BM$44,6,FALSE)</f>
        <v>#N/A</v>
      </c>
      <c r="Z3191" s="45" t="str">
        <f>IFERROR(VLOOKUP(B3191,'Pre-Summary'!$BZ$6:$CB$63,2,FALSE),"")</f>
        <v/>
      </c>
      <c r="AA3191" s="45" t="str">
        <f>IFERROR(VLOOKUP(B3191,'Pre-Summary'!$CG$6:$CI$70,2,FALSE),"")</f>
        <v/>
      </c>
      <c r="AB3191" s="99">
        <f>IFERROR(VLOOKUP(B3191,'Pre-Summary'!$A$6:$P$178,9,FALSE),AB3192)</f>
        <v>0</v>
      </c>
      <c r="AC3191" s="10">
        <f>IFERROR(VLOOKUP(Summary!B3191,'Pre-Summary'!$A$6:$P$184,5, FALSE)/100,AC3192)</f>
        <v>0</v>
      </c>
      <c r="AD3191" s="10">
        <f>IFERROR(VLOOKUP(Summary!B3191,'Pre-Summary'!$A$6:$P$184,3, FALSE)/100,AD3192)</f>
        <v>0</v>
      </c>
      <c r="AE3191" s="10">
        <f>IFERROR(VLOOKUP(Summary!B3191,'Pre-Summary'!$A$6:$P$184,7, FALSE)/100,AE3192)</f>
        <v>0</v>
      </c>
      <c r="AF3191" s="99">
        <f t="shared" si="150"/>
        <v>0</v>
      </c>
      <c r="AG3191" s="99">
        <f t="shared" si="151"/>
        <v>0</v>
      </c>
      <c r="AH3191" s="10" t="str">
        <f>IFERROR(VLOOKUP(B3191,'Pre-Summary'!$AZ$6:$BE$65,3,FALSE),"")</f>
        <v/>
      </c>
      <c r="AI3191" s="10" t="str">
        <f>IFERROR(VLOOKUP(B3191,'Pre-Summary'!$AZ$6:$BE$65,5,FALSE),"")</f>
        <v/>
      </c>
      <c r="AJ3191" s="10" t="str">
        <f>IFERROR(VLOOKUP(B3191,'Pre-Summary'!$AZ$6:$BE$65,4,FALSE),"")</f>
        <v/>
      </c>
      <c r="AK3191" s="10" t="str">
        <f>IFERROR(VLOOKUP(B3191,'Pre-Summary'!$AZ$6:$BE$65,6,FALSE),"")</f>
        <v/>
      </c>
      <c r="AL3191" s="10" t="str">
        <f>IFERROR(VLOOKUP(B3191,'Pre-Summary'!$BG$6:$BL$44,3,FALSE),"")</f>
        <v/>
      </c>
      <c r="AM3191" s="10" t="str">
        <f>IFERROR(VLOOKUP(B3191,'Pre-Summary'!$BG$6:$BL$44,4,FALSE),"")</f>
        <v/>
      </c>
    </row>
    <row r="3192" spans="2:39" ht="15" customHeight="1" x14ac:dyDescent="0.3">
      <c r="B3192">
        <v>318.90000000000202</v>
      </c>
      <c r="D3192" s="10"/>
      <c r="E3192" s="10"/>
      <c r="F3192">
        <f>IFERROR(VLOOKUP(B3192,'Pre-Summary'!$AL$6:$AQ$13,6,FALSE),F3191)</f>
        <v>5.9405263157894746E-2</v>
      </c>
      <c r="M3192" s="45" t="str">
        <f>IFERROR(VLOOKUP(B3192,'Pre-Summary'!$BW$6:$BY$58,2,FALSE),"")</f>
        <v/>
      </c>
      <c r="N3192" s="45" t="str">
        <f>IFERROR(VLOOKUP(B3192,'Pre-Summary'!$CD$6:$CF$64,2,FALSE),"")</f>
        <v/>
      </c>
      <c r="O3192" s="99">
        <f>IFERROR(VLOOKUP(B3192,'Pre-Summary'!$BO$6:$BQ$48,3, FALSE),O3191)</f>
        <v>3.3239999999999998</v>
      </c>
      <c r="P3192" s="99">
        <f>IFERROR(VLOOKUP(B3192,'Pre-Summary'!$BS$6:$BU$35,3,FALSE),P3191)</f>
        <v>0.84099999999999997</v>
      </c>
      <c r="Q3192" s="54">
        <f t="shared" si="149"/>
        <v>3.9524375743162903</v>
      </c>
      <c r="R3192" s="53">
        <f>IFERROR(VLOOKUP(B3192,'Pre-Summary'!$BG$6:$BM$44,7,FALSE),R3193)</f>
        <v>0</v>
      </c>
      <c r="S3192" s="53" t="e">
        <f>VLOOKUP(B3192,'Pre-Summary'!$BG$6:$BM$44,6,FALSE)</f>
        <v>#N/A</v>
      </c>
      <c r="Z3192" s="45" t="str">
        <f>IFERROR(VLOOKUP(B3192,'Pre-Summary'!$BZ$6:$CB$63,2,FALSE),"")</f>
        <v/>
      </c>
      <c r="AA3192" s="45" t="str">
        <f>IFERROR(VLOOKUP(B3192,'Pre-Summary'!$CG$6:$CI$70,2,FALSE),"")</f>
        <v/>
      </c>
      <c r="AB3192" s="99">
        <f>IFERROR(VLOOKUP(B3192,'Pre-Summary'!$A$6:$P$178,9,FALSE),AB3193)</f>
        <v>0</v>
      </c>
      <c r="AC3192" s="10">
        <f>IFERROR(VLOOKUP(Summary!B3192,'Pre-Summary'!$A$6:$P$184,5, FALSE)/100,AC3193)</f>
        <v>0</v>
      </c>
      <c r="AD3192" s="10">
        <f>IFERROR(VLOOKUP(Summary!B3192,'Pre-Summary'!$A$6:$P$184,3, FALSE)/100,AD3193)</f>
        <v>0</v>
      </c>
      <c r="AE3192" s="10">
        <f>IFERROR(VLOOKUP(Summary!B3192,'Pre-Summary'!$A$6:$P$184,7, FALSE)/100,AE3193)</f>
        <v>0</v>
      </c>
      <c r="AF3192" s="99">
        <f t="shared" si="150"/>
        <v>0</v>
      </c>
      <c r="AG3192" s="99">
        <f t="shared" si="151"/>
        <v>0</v>
      </c>
      <c r="AH3192" s="10" t="str">
        <f>IFERROR(VLOOKUP(B3192,'Pre-Summary'!$AZ$6:$BE$65,3,FALSE),"")</f>
        <v/>
      </c>
      <c r="AI3192" s="10" t="str">
        <f>IFERROR(VLOOKUP(B3192,'Pre-Summary'!$AZ$6:$BE$65,5,FALSE),"")</f>
        <v/>
      </c>
      <c r="AJ3192" s="10" t="str">
        <f>IFERROR(VLOOKUP(B3192,'Pre-Summary'!$AZ$6:$BE$65,4,FALSE),"")</f>
        <v/>
      </c>
      <c r="AK3192" s="10" t="str">
        <f>IFERROR(VLOOKUP(B3192,'Pre-Summary'!$AZ$6:$BE$65,6,FALSE),"")</f>
        <v/>
      </c>
      <c r="AL3192" s="10" t="str">
        <f>IFERROR(VLOOKUP(B3192,'Pre-Summary'!$BG$6:$BL$44,3,FALSE),"")</f>
        <v/>
      </c>
      <c r="AM3192" s="10" t="str">
        <f>IFERROR(VLOOKUP(B3192,'Pre-Summary'!$BG$6:$BL$44,4,FALSE),"")</f>
        <v/>
      </c>
    </row>
    <row r="3193" spans="2:39" ht="15" customHeight="1" x14ac:dyDescent="0.3">
      <c r="B3193">
        <v>319.00000000000199</v>
      </c>
      <c r="D3193" s="10"/>
      <c r="E3193" s="10"/>
      <c r="F3193">
        <f>IFERROR(VLOOKUP(B3193,'Pre-Summary'!$AL$6:$AQ$13,6,FALSE),F3192)</f>
        <v>5.9405263157894746E-2</v>
      </c>
      <c r="M3193" s="45" t="str">
        <f>IFERROR(VLOOKUP(B3193,'Pre-Summary'!$BW$6:$BY$58,2,FALSE),"")</f>
        <v/>
      </c>
      <c r="N3193" s="45" t="str">
        <f>IFERROR(VLOOKUP(B3193,'Pre-Summary'!$CD$6:$CF$64,2,FALSE),"")</f>
        <v/>
      </c>
      <c r="O3193" s="99">
        <f>IFERROR(VLOOKUP(B3193,'Pre-Summary'!$BO$6:$BQ$48,3, FALSE),O3192)</f>
        <v>3.3239999999999998</v>
      </c>
      <c r="P3193" s="99">
        <f>IFERROR(VLOOKUP(B3193,'Pre-Summary'!$BS$6:$BU$35,3,FALSE),P3192)</f>
        <v>0.84099999999999997</v>
      </c>
      <c r="Q3193" s="54">
        <f t="shared" si="149"/>
        <v>3.9524375743162903</v>
      </c>
      <c r="R3193" s="53">
        <f>IFERROR(VLOOKUP(B3193,'Pre-Summary'!$BG$6:$BM$44,7,FALSE),R3194)</f>
        <v>0</v>
      </c>
      <c r="S3193" s="53" t="e">
        <f>VLOOKUP(B3193,'Pre-Summary'!$BG$6:$BM$44,6,FALSE)</f>
        <v>#N/A</v>
      </c>
      <c r="Z3193" s="45" t="str">
        <f>IFERROR(VLOOKUP(B3193,'Pre-Summary'!$BZ$6:$CB$63,2,FALSE),"")</f>
        <v/>
      </c>
      <c r="AA3193" s="45" t="str">
        <f>IFERROR(VLOOKUP(B3193,'Pre-Summary'!$CG$6:$CI$70,2,FALSE),"")</f>
        <v/>
      </c>
      <c r="AB3193" s="99">
        <f>IFERROR(VLOOKUP(B3193,'Pre-Summary'!$A$6:$P$178,9,FALSE),AB3194)</f>
        <v>0</v>
      </c>
      <c r="AC3193" s="10">
        <f>IFERROR(VLOOKUP(Summary!B3193,'Pre-Summary'!$A$6:$P$184,5, FALSE)/100,AC3194)</f>
        <v>0</v>
      </c>
      <c r="AD3193" s="10">
        <f>IFERROR(VLOOKUP(Summary!B3193,'Pre-Summary'!$A$6:$P$184,3, FALSE)/100,AD3194)</f>
        <v>0</v>
      </c>
      <c r="AE3193" s="10">
        <f>IFERROR(VLOOKUP(Summary!B3193,'Pre-Summary'!$A$6:$P$184,7, FALSE)/100,AE3194)</f>
        <v>0</v>
      </c>
      <c r="AF3193" s="99">
        <f t="shared" si="150"/>
        <v>0</v>
      </c>
      <c r="AG3193" s="99">
        <f t="shared" si="151"/>
        <v>0</v>
      </c>
      <c r="AH3193" s="10" t="str">
        <f>IFERROR(VLOOKUP(B3193,'Pre-Summary'!$AZ$6:$BE$65,3,FALSE),"")</f>
        <v/>
      </c>
      <c r="AI3193" s="10" t="str">
        <f>IFERROR(VLOOKUP(B3193,'Pre-Summary'!$AZ$6:$BE$65,5,FALSE),"")</f>
        <v/>
      </c>
      <c r="AJ3193" s="10" t="str">
        <f>IFERROR(VLOOKUP(B3193,'Pre-Summary'!$AZ$6:$BE$65,4,FALSE),"")</f>
        <v/>
      </c>
      <c r="AK3193" s="10" t="str">
        <f>IFERROR(VLOOKUP(B3193,'Pre-Summary'!$AZ$6:$BE$65,6,FALSE),"")</f>
        <v/>
      </c>
      <c r="AL3193" s="10" t="str">
        <f>IFERROR(VLOOKUP(B3193,'Pre-Summary'!$BG$6:$BL$44,3,FALSE),"")</f>
        <v/>
      </c>
      <c r="AM3193" s="10" t="str">
        <f>IFERROR(VLOOKUP(B3193,'Pre-Summary'!$BG$6:$BL$44,4,FALSE),"")</f>
        <v/>
      </c>
    </row>
    <row r="3194" spans="2:39" ht="15" customHeight="1" x14ac:dyDescent="0.3">
      <c r="B3194">
        <v>319.10000000000201</v>
      </c>
      <c r="D3194" s="10"/>
      <c r="E3194" s="10"/>
      <c r="F3194">
        <f>IFERROR(VLOOKUP(B3194,'Pre-Summary'!$AL$6:$AQ$13,6,FALSE),F3193)</f>
        <v>5.9405263157894746E-2</v>
      </c>
      <c r="M3194" s="45" t="str">
        <f>IFERROR(VLOOKUP(B3194,'Pre-Summary'!$BW$6:$BY$58,2,FALSE),"")</f>
        <v/>
      </c>
      <c r="N3194" s="45" t="str">
        <f>IFERROR(VLOOKUP(B3194,'Pre-Summary'!$CD$6:$CF$64,2,FALSE),"")</f>
        <v/>
      </c>
      <c r="O3194" s="99">
        <f>IFERROR(VLOOKUP(B3194,'Pre-Summary'!$BO$6:$BQ$48,3, FALSE),O3193)</f>
        <v>3.3239999999999998</v>
      </c>
      <c r="P3194" s="99">
        <f>IFERROR(VLOOKUP(B3194,'Pre-Summary'!$BS$6:$BU$35,3,FALSE),P3193)</f>
        <v>0.84099999999999997</v>
      </c>
      <c r="Q3194" s="54">
        <f t="shared" si="149"/>
        <v>3.9524375743162903</v>
      </c>
      <c r="R3194" s="53">
        <f>IFERROR(VLOOKUP(B3194,'Pre-Summary'!$BG$6:$BM$44,7,FALSE),R3195)</f>
        <v>0</v>
      </c>
      <c r="S3194" s="53" t="e">
        <f>VLOOKUP(B3194,'Pre-Summary'!$BG$6:$BM$44,6,FALSE)</f>
        <v>#N/A</v>
      </c>
      <c r="Z3194" s="45" t="str">
        <f>IFERROR(VLOOKUP(B3194,'Pre-Summary'!$BZ$6:$CB$63,2,FALSE),"")</f>
        <v/>
      </c>
      <c r="AA3194" s="45" t="str">
        <f>IFERROR(VLOOKUP(B3194,'Pre-Summary'!$CG$6:$CI$70,2,FALSE),"")</f>
        <v/>
      </c>
      <c r="AB3194" s="99">
        <f>IFERROR(VLOOKUP(B3194,'Pre-Summary'!$A$6:$P$178,9,FALSE),AB3195)</f>
        <v>0</v>
      </c>
      <c r="AC3194" s="10">
        <f>IFERROR(VLOOKUP(Summary!B3194,'Pre-Summary'!$A$6:$P$184,5, FALSE)/100,AC3195)</f>
        <v>0</v>
      </c>
      <c r="AD3194" s="10">
        <f>IFERROR(VLOOKUP(Summary!B3194,'Pre-Summary'!$A$6:$P$184,3, FALSE)/100,AD3195)</f>
        <v>0</v>
      </c>
      <c r="AE3194" s="10">
        <f>IFERROR(VLOOKUP(Summary!B3194,'Pre-Summary'!$A$6:$P$184,7, FALSE)/100,AE3195)</f>
        <v>0</v>
      </c>
      <c r="AF3194" s="99">
        <f t="shared" si="150"/>
        <v>0</v>
      </c>
      <c r="AG3194" s="99">
        <f t="shared" si="151"/>
        <v>0</v>
      </c>
      <c r="AH3194" s="10" t="str">
        <f>IFERROR(VLOOKUP(B3194,'Pre-Summary'!$AZ$6:$BE$65,3,FALSE),"")</f>
        <v/>
      </c>
      <c r="AI3194" s="10" t="str">
        <f>IFERROR(VLOOKUP(B3194,'Pre-Summary'!$AZ$6:$BE$65,5,FALSE),"")</f>
        <v/>
      </c>
      <c r="AJ3194" s="10" t="str">
        <f>IFERROR(VLOOKUP(B3194,'Pre-Summary'!$AZ$6:$BE$65,4,FALSE),"")</f>
        <v/>
      </c>
      <c r="AK3194" s="10" t="str">
        <f>IFERROR(VLOOKUP(B3194,'Pre-Summary'!$AZ$6:$BE$65,6,FALSE),"")</f>
        <v/>
      </c>
      <c r="AL3194" s="10" t="str">
        <f>IFERROR(VLOOKUP(B3194,'Pre-Summary'!$BG$6:$BL$44,3,FALSE),"")</f>
        <v/>
      </c>
      <c r="AM3194" s="10" t="str">
        <f>IFERROR(VLOOKUP(B3194,'Pre-Summary'!$BG$6:$BL$44,4,FALSE),"")</f>
        <v/>
      </c>
    </row>
    <row r="3195" spans="2:39" ht="15" customHeight="1" x14ac:dyDescent="0.3">
      <c r="B3195">
        <v>319.20000000000198</v>
      </c>
      <c r="D3195" s="10"/>
      <c r="E3195" s="10"/>
      <c r="F3195">
        <f>IFERROR(VLOOKUP(B3195,'Pre-Summary'!$AL$6:$AQ$13,6,FALSE),F3194)</f>
        <v>5.9405263157894746E-2</v>
      </c>
      <c r="M3195" s="45" t="str">
        <f>IFERROR(VLOOKUP(B3195,'Pre-Summary'!$BW$6:$BY$58,2,FALSE),"")</f>
        <v/>
      </c>
      <c r="N3195" s="45" t="str">
        <f>IFERROR(VLOOKUP(B3195,'Pre-Summary'!$CD$6:$CF$64,2,FALSE),"")</f>
        <v/>
      </c>
      <c r="O3195" s="99">
        <f>IFERROR(VLOOKUP(B3195,'Pre-Summary'!$BO$6:$BQ$48,3, FALSE),O3194)</f>
        <v>3.3239999999999998</v>
      </c>
      <c r="P3195" s="99">
        <f>IFERROR(VLOOKUP(B3195,'Pre-Summary'!$BS$6:$BU$35,3,FALSE),P3194)</f>
        <v>0.84099999999999997</v>
      </c>
      <c r="Q3195" s="54">
        <f t="shared" si="149"/>
        <v>3.9524375743162903</v>
      </c>
      <c r="R3195" s="53">
        <f>IFERROR(VLOOKUP(B3195,'Pre-Summary'!$BG$6:$BM$44,7,FALSE),R3196)</f>
        <v>0</v>
      </c>
      <c r="S3195" s="53" t="e">
        <f>VLOOKUP(B3195,'Pre-Summary'!$BG$6:$BM$44,6,FALSE)</f>
        <v>#N/A</v>
      </c>
      <c r="Z3195" s="45" t="str">
        <f>IFERROR(VLOOKUP(B3195,'Pre-Summary'!$BZ$6:$CB$63,2,FALSE),"")</f>
        <v/>
      </c>
      <c r="AA3195" s="45" t="str">
        <f>IFERROR(VLOOKUP(B3195,'Pre-Summary'!$CG$6:$CI$70,2,FALSE),"")</f>
        <v/>
      </c>
      <c r="AB3195" s="99">
        <f>IFERROR(VLOOKUP(B3195,'Pre-Summary'!$A$6:$P$178,9,FALSE),AB3196)</f>
        <v>0</v>
      </c>
      <c r="AC3195" s="10">
        <f>IFERROR(VLOOKUP(Summary!B3195,'Pre-Summary'!$A$6:$P$184,5, FALSE)/100,AC3196)</f>
        <v>0</v>
      </c>
      <c r="AD3195" s="10">
        <f>IFERROR(VLOOKUP(Summary!B3195,'Pre-Summary'!$A$6:$P$184,3, FALSE)/100,AD3196)</f>
        <v>0</v>
      </c>
      <c r="AE3195" s="10">
        <f>IFERROR(VLOOKUP(Summary!B3195,'Pre-Summary'!$A$6:$P$184,7, FALSE)/100,AE3196)</f>
        <v>0</v>
      </c>
      <c r="AF3195" s="99">
        <f t="shared" si="150"/>
        <v>0</v>
      </c>
      <c r="AG3195" s="99">
        <f t="shared" si="151"/>
        <v>0</v>
      </c>
      <c r="AH3195" s="10" t="str">
        <f>IFERROR(VLOOKUP(B3195,'Pre-Summary'!$AZ$6:$BE$65,3,FALSE),"")</f>
        <v/>
      </c>
      <c r="AI3195" s="10" t="str">
        <f>IFERROR(VLOOKUP(B3195,'Pre-Summary'!$AZ$6:$BE$65,5,FALSE),"")</f>
        <v/>
      </c>
      <c r="AJ3195" s="10" t="str">
        <f>IFERROR(VLOOKUP(B3195,'Pre-Summary'!$AZ$6:$BE$65,4,FALSE),"")</f>
        <v/>
      </c>
      <c r="AK3195" s="10" t="str">
        <f>IFERROR(VLOOKUP(B3195,'Pre-Summary'!$AZ$6:$BE$65,6,FALSE),"")</f>
        <v/>
      </c>
      <c r="AL3195" s="10" t="str">
        <f>IFERROR(VLOOKUP(B3195,'Pre-Summary'!$BG$6:$BL$44,3,FALSE),"")</f>
        <v/>
      </c>
      <c r="AM3195" s="10" t="str">
        <f>IFERROR(VLOOKUP(B3195,'Pre-Summary'!$BG$6:$BL$44,4,FALSE),"")</f>
        <v/>
      </c>
    </row>
    <row r="3196" spans="2:39" ht="15" customHeight="1" x14ac:dyDescent="0.3">
      <c r="B3196">
        <v>319.300000000002</v>
      </c>
      <c r="D3196" s="10"/>
      <c r="E3196" s="10"/>
      <c r="F3196">
        <f>IFERROR(VLOOKUP(B3196,'Pre-Summary'!$AL$6:$AQ$13,6,FALSE),F3195)</f>
        <v>5.9405263157894746E-2</v>
      </c>
      <c r="M3196" s="45" t="str">
        <f>IFERROR(VLOOKUP(B3196,'Pre-Summary'!$BW$6:$BY$58,2,FALSE),"")</f>
        <v/>
      </c>
      <c r="N3196" s="45" t="str">
        <f>IFERROR(VLOOKUP(B3196,'Pre-Summary'!$CD$6:$CF$64,2,FALSE),"")</f>
        <v/>
      </c>
      <c r="O3196" s="99">
        <f>IFERROR(VLOOKUP(B3196,'Pre-Summary'!$BO$6:$BQ$48,3, FALSE),O3195)</f>
        <v>3.3239999999999998</v>
      </c>
      <c r="P3196" s="99">
        <f>IFERROR(VLOOKUP(B3196,'Pre-Summary'!$BS$6:$BU$35,3,FALSE),P3195)</f>
        <v>0.84099999999999997</v>
      </c>
      <c r="Q3196" s="54">
        <f t="shared" si="149"/>
        <v>3.9524375743162903</v>
      </c>
      <c r="R3196" s="53">
        <f>IFERROR(VLOOKUP(B3196,'Pre-Summary'!$BG$6:$BM$44,7,FALSE),R3197)</f>
        <v>0</v>
      </c>
      <c r="S3196" s="53" t="e">
        <f>VLOOKUP(B3196,'Pre-Summary'!$BG$6:$BM$44,6,FALSE)</f>
        <v>#N/A</v>
      </c>
      <c r="Z3196" s="45" t="str">
        <f>IFERROR(VLOOKUP(B3196,'Pre-Summary'!$BZ$6:$CB$63,2,FALSE),"")</f>
        <v/>
      </c>
      <c r="AA3196" s="45" t="str">
        <f>IFERROR(VLOOKUP(B3196,'Pre-Summary'!$CG$6:$CI$70,2,FALSE),"")</f>
        <v/>
      </c>
      <c r="AB3196" s="99">
        <f>IFERROR(VLOOKUP(B3196,'Pre-Summary'!$A$6:$P$178,9,FALSE),AB3197)</f>
        <v>0</v>
      </c>
      <c r="AC3196" s="10">
        <f>IFERROR(VLOOKUP(Summary!B3196,'Pre-Summary'!$A$6:$P$184,5, FALSE)/100,AC3197)</f>
        <v>0</v>
      </c>
      <c r="AD3196" s="10">
        <f>IFERROR(VLOOKUP(Summary!B3196,'Pre-Summary'!$A$6:$P$184,3, FALSE)/100,AD3197)</f>
        <v>0</v>
      </c>
      <c r="AE3196" s="10">
        <f>IFERROR(VLOOKUP(Summary!B3196,'Pre-Summary'!$A$6:$P$184,7, FALSE)/100,AE3197)</f>
        <v>0</v>
      </c>
      <c r="AF3196" s="99">
        <f t="shared" si="150"/>
        <v>0</v>
      </c>
      <c r="AG3196" s="99">
        <f t="shared" si="151"/>
        <v>0</v>
      </c>
      <c r="AH3196" s="10" t="str">
        <f>IFERROR(VLOOKUP(B3196,'Pre-Summary'!$AZ$6:$BE$65,3,FALSE),"")</f>
        <v/>
      </c>
      <c r="AI3196" s="10" t="str">
        <f>IFERROR(VLOOKUP(B3196,'Pre-Summary'!$AZ$6:$BE$65,5,FALSE),"")</f>
        <v/>
      </c>
      <c r="AJ3196" s="10" t="str">
        <f>IFERROR(VLOOKUP(B3196,'Pre-Summary'!$AZ$6:$BE$65,4,FALSE),"")</f>
        <v/>
      </c>
      <c r="AK3196" s="10" t="str">
        <f>IFERROR(VLOOKUP(B3196,'Pre-Summary'!$AZ$6:$BE$65,6,FALSE),"")</f>
        <v/>
      </c>
      <c r="AL3196" s="10" t="str">
        <f>IFERROR(VLOOKUP(B3196,'Pre-Summary'!$BG$6:$BL$44,3,FALSE),"")</f>
        <v/>
      </c>
      <c r="AM3196" s="10" t="str">
        <f>IFERROR(VLOOKUP(B3196,'Pre-Summary'!$BG$6:$BL$44,4,FALSE),"")</f>
        <v/>
      </c>
    </row>
    <row r="3197" spans="2:39" ht="15" customHeight="1" x14ac:dyDescent="0.3">
      <c r="B3197">
        <v>319.40000000000202</v>
      </c>
      <c r="D3197" s="10"/>
      <c r="E3197" s="10"/>
      <c r="F3197">
        <f>IFERROR(VLOOKUP(B3197,'Pre-Summary'!$AL$6:$AQ$13,6,FALSE),F3196)</f>
        <v>5.9405263157894746E-2</v>
      </c>
      <c r="M3197" s="45" t="str">
        <f>IFERROR(VLOOKUP(B3197,'Pre-Summary'!$BW$6:$BY$58,2,FALSE),"")</f>
        <v/>
      </c>
      <c r="N3197" s="45" t="str">
        <f>IFERROR(VLOOKUP(B3197,'Pre-Summary'!$CD$6:$CF$64,2,FALSE),"")</f>
        <v/>
      </c>
      <c r="O3197" s="99">
        <f>IFERROR(VLOOKUP(B3197,'Pre-Summary'!$BO$6:$BQ$48,3, FALSE),O3196)</f>
        <v>3.3239999999999998</v>
      </c>
      <c r="P3197" s="99">
        <f>IFERROR(VLOOKUP(B3197,'Pre-Summary'!$BS$6:$BU$35,3,FALSE),P3196)</f>
        <v>0.84099999999999997</v>
      </c>
      <c r="Q3197" s="54">
        <f t="shared" si="149"/>
        <v>3.9524375743162903</v>
      </c>
      <c r="R3197" s="53">
        <f>IFERROR(VLOOKUP(B3197,'Pre-Summary'!$BG$6:$BM$44,7,FALSE),R3198)</f>
        <v>0</v>
      </c>
      <c r="S3197" s="53" t="e">
        <f>VLOOKUP(B3197,'Pre-Summary'!$BG$6:$BM$44,6,FALSE)</f>
        <v>#N/A</v>
      </c>
      <c r="Z3197" s="45" t="str">
        <f>IFERROR(VLOOKUP(B3197,'Pre-Summary'!$BZ$6:$CB$63,2,FALSE),"")</f>
        <v/>
      </c>
      <c r="AA3197" s="45" t="str">
        <f>IFERROR(VLOOKUP(B3197,'Pre-Summary'!$CG$6:$CI$70,2,FALSE),"")</f>
        <v/>
      </c>
      <c r="AB3197" s="99">
        <f>IFERROR(VLOOKUP(B3197,'Pre-Summary'!$A$6:$P$178,9,FALSE),AB3198)</f>
        <v>0</v>
      </c>
      <c r="AC3197" s="10">
        <f>IFERROR(VLOOKUP(Summary!B3197,'Pre-Summary'!$A$6:$P$184,5, FALSE)/100,AC3198)</f>
        <v>0</v>
      </c>
      <c r="AD3197" s="10">
        <f>IFERROR(VLOOKUP(Summary!B3197,'Pre-Summary'!$A$6:$P$184,3, FALSE)/100,AD3198)</f>
        <v>0</v>
      </c>
      <c r="AE3197" s="10">
        <f>IFERROR(VLOOKUP(Summary!B3197,'Pre-Summary'!$A$6:$P$184,7, FALSE)/100,AE3198)</f>
        <v>0</v>
      </c>
      <c r="AF3197" s="99">
        <f t="shared" si="150"/>
        <v>0</v>
      </c>
      <c r="AG3197" s="99">
        <f t="shared" si="151"/>
        <v>0</v>
      </c>
      <c r="AH3197" s="10" t="str">
        <f>IFERROR(VLOOKUP(B3197,'Pre-Summary'!$AZ$6:$BE$65,3,FALSE),"")</f>
        <v/>
      </c>
      <c r="AI3197" s="10" t="str">
        <f>IFERROR(VLOOKUP(B3197,'Pre-Summary'!$AZ$6:$BE$65,5,FALSE),"")</f>
        <v/>
      </c>
      <c r="AJ3197" s="10" t="str">
        <f>IFERROR(VLOOKUP(B3197,'Pre-Summary'!$AZ$6:$BE$65,4,FALSE),"")</f>
        <v/>
      </c>
      <c r="AK3197" s="10" t="str">
        <f>IFERROR(VLOOKUP(B3197,'Pre-Summary'!$AZ$6:$BE$65,6,FALSE),"")</f>
        <v/>
      </c>
      <c r="AL3197" s="10" t="str">
        <f>IFERROR(VLOOKUP(B3197,'Pre-Summary'!$BG$6:$BL$44,3,FALSE),"")</f>
        <v/>
      </c>
      <c r="AM3197" s="10" t="str">
        <f>IFERROR(VLOOKUP(B3197,'Pre-Summary'!$BG$6:$BL$44,4,FALSE),"")</f>
        <v/>
      </c>
    </row>
    <row r="3198" spans="2:39" ht="15" customHeight="1" x14ac:dyDescent="0.3">
      <c r="B3198">
        <v>319.50000000000199</v>
      </c>
      <c r="D3198" s="10"/>
      <c r="E3198" s="10"/>
      <c r="F3198">
        <f>IFERROR(VLOOKUP(B3198,'Pre-Summary'!$AL$6:$AQ$13,6,FALSE),F3197)</f>
        <v>5.9405263157894746E-2</v>
      </c>
      <c r="M3198" s="45" t="str">
        <f>IFERROR(VLOOKUP(B3198,'Pre-Summary'!$BW$6:$BY$58,2,FALSE),"")</f>
        <v/>
      </c>
      <c r="N3198" s="45" t="str">
        <f>IFERROR(VLOOKUP(B3198,'Pre-Summary'!$CD$6:$CF$64,2,FALSE),"")</f>
        <v/>
      </c>
      <c r="O3198" s="99">
        <f>IFERROR(VLOOKUP(B3198,'Pre-Summary'!$BO$6:$BQ$48,3, FALSE),O3197)</f>
        <v>3.3239999999999998</v>
      </c>
      <c r="P3198" s="99">
        <f>IFERROR(VLOOKUP(B3198,'Pre-Summary'!$BS$6:$BU$35,3,FALSE),P3197)</f>
        <v>0.84099999999999997</v>
      </c>
      <c r="Q3198" s="54">
        <f t="shared" si="149"/>
        <v>3.9524375743162903</v>
      </c>
      <c r="R3198" s="53">
        <f>IFERROR(VLOOKUP(B3198,'Pre-Summary'!$BG$6:$BM$44,7,FALSE),R3199)</f>
        <v>0</v>
      </c>
      <c r="S3198" s="53" t="e">
        <f>VLOOKUP(B3198,'Pre-Summary'!$BG$6:$BM$44,6,FALSE)</f>
        <v>#N/A</v>
      </c>
      <c r="Z3198" s="45" t="str">
        <f>IFERROR(VLOOKUP(B3198,'Pre-Summary'!$BZ$6:$CB$63,2,FALSE),"")</f>
        <v/>
      </c>
      <c r="AA3198" s="45" t="str">
        <f>IFERROR(VLOOKUP(B3198,'Pre-Summary'!$CG$6:$CI$70,2,FALSE),"")</f>
        <v/>
      </c>
      <c r="AB3198" s="99">
        <f>IFERROR(VLOOKUP(B3198,'Pre-Summary'!$A$6:$P$178,9,FALSE),AB3199)</f>
        <v>0</v>
      </c>
      <c r="AC3198" s="10">
        <f>IFERROR(VLOOKUP(Summary!B3198,'Pre-Summary'!$A$6:$P$184,5, FALSE)/100,AC3199)</f>
        <v>0</v>
      </c>
      <c r="AD3198" s="10">
        <f>IFERROR(VLOOKUP(Summary!B3198,'Pre-Summary'!$A$6:$P$184,3, FALSE)/100,AD3199)</f>
        <v>0</v>
      </c>
      <c r="AE3198" s="10">
        <f>IFERROR(VLOOKUP(Summary!B3198,'Pre-Summary'!$A$6:$P$184,7, FALSE)/100,AE3199)</f>
        <v>0</v>
      </c>
      <c r="AF3198" s="99">
        <f t="shared" si="150"/>
        <v>0</v>
      </c>
      <c r="AG3198" s="99">
        <f t="shared" si="151"/>
        <v>0</v>
      </c>
      <c r="AH3198" s="10" t="str">
        <f>IFERROR(VLOOKUP(B3198,'Pre-Summary'!$AZ$6:$BE$65,3,FALSE),"")</f>
        <v/>
      </c>
      <c r="AI3198" s="10" t="str">
        <f>IFERROR(VLOOKUP(B3198,'Pre-Summary'!$AZ$6:$BE$65,5,FALSE),"")</f>
        <v/>
      </c>
      <c r="AJ3198" s="10" t="str">
        <f>IFERROR(VLOOKUP(B3198,'Pre-Summary'!$AZ$6:$BE$65,4,FALSE),"")</f>
        <v/>
      </c>
      <c r="AK3198" s="10" t="str">
        <f>IFERROR(VLOOKUP(B3198,'Pre-Summary'!$AZ$6:$BE$65,6,FALSE),"")</f>
        <v/>
      </c>
      <c r="AL3198" s="10" t="str">
        <f>IFERROR(VLOOKUP(B3198,'Pre-Summary'!$BG$6:$BL$44,3,FALSE),"")</f>
        <v/>
      </c>
      <c r="AM3198" s="10" t="str">
        <f>IFERROR(VLOOKUP(B3198,'Pre-Summary'!$BG$6:$BL$44,4,FALSE),"")</f>
        <v/>
      </c>
    </row>
    <row r="3199" spans="2:39" ht="15" customHeight="1" x14ac:dyDescent="0.3">
      <c r="B3199">
        <v>319.60000000000201</v>
      </c>
      <c r="D3199" s="10"/>
      <c r="E3199" s="10"/>
      <c r="F3199">
        <f>IFERROR(VLOOKUP(B3199,'Pre-Summary'!$AL$6:$AQ$13,6,FALSE),F3198)</f>
        <v>5.9405263157894746E-2</v>
      </c>
      <c r="M3199" s="45" t="str">
        <f>IFERROR(VLOOKUP(B3199,'Pre-Summary'!$BW$6:$BY$58,2,FALSE),"")</f>
        <v/>
      </c>
      <c r="N3199" s="45" t="str">
        <f>IFERROR(VLOOKUP(B3199,'Pre-Summary'!$CD$6:$CF$64,2,FALSE),"")</f>
        <v/>
      </c>
      <c r="O3199" s="99">
        <f>IFERROR(VLOOKUP(B3199,'Pre-Summary'!$BO$6:$BQ$48,3, FALSE),O3198)</f>
        <v>3.3239999999999998</v>
      </c>
      <c r="P3199" s="99">
        <f>IFERROR(VLOOKUP(B3199,'Pre-Summary'!$BS$6:$BU$35,3,FALSE),P3198)</f>
        <v>0.84099999999999997</v>
      </c>
      <c r="Q3199" s="54">
        <f t="shared" si="149"/>
        <v>3.9524375743162903</v>
      </c>
      <c r="R3199" s="53">
        <f>IFERROR(VLOOKUP(B3199,'Pre-Summary'!$BG$6:$BM$44,7,FALSE),R3200)</f>
        <v>0</v>
      </c>
      <c r="S3199" s="53" t="e">
        <f>VLOOKUP(B3199,'Pre-Summary'!$BG$6:$BM$44,6,FALSE)</f>
        <v>#N/A</v>
      </c>
      <c r="Z3199" s="45" t="str">
        <f>IFERROR(VLOOKUP(B3199,'Pre-Summary'!$BZ$6:$CB$63,2,FALSE),"")</f>
        <v/>
      </c>
      <c r="AA3199" s="45" t="str">
        <f>IFERROR(VLOOKUP(B3199,'Pre-Summary'!$CG$6:$CI$70,2,FALSE),"")</f>
        <v/>
      </c>
      <c r="AB3199" s="99">
        <f>IFERROR(VLOOKUP(B3199,'Pre-Summary'!$A$6:$P$178,9,FALSE),AB3200)</f>
        <v>0</v>
      </c>
      <c r="AC3199" s="10">
        <f>IFERROR(VLOOKUP(Summary!B3199,'Pre-Summary'!$A$6:$P$184,5, FALSE)/100,AC3200)</f>
        <v>0</v>
      </c>
      <c r="AD3199" s="10">
        <f>IFERROR(VLOOKUP(Summary!B3199,'Pre-Summary'!$A$6:$P$184,3, FALSE)/100,AD3200)</f>
        <v>0</v>
      </c>
      <c r="AE3199" s="10">
        <f>IFERROR(VLOOKUP(Summary!B3199,'Pre-Summary'!$A$6:$P$184,7, FALSE)/100,AE3200)</f>
        <v>0</v>
      </c>
      <c r="AF3199" s="99">
        <f t="shared" si="150"/>
        <v>0</v>
      </c>
      <c r="AG3199" s="99">
        <f t="shared" si="151"/>
        <v>0</v>
      </c>
      <c r="AH3199" s="10" t="str">
        <f>IFERROR(VLOOKUP(B3199,'Pre-Summary'!$AZ$6:$BE$65,3,FALSE),"")</f>
        <v/>
      </c>
      <c r="AI3199" s="10" t="str">
        <f>IFERROR(VLOOKUP(B3199,'Pre-Summary'!$AZ$6:$BE$65,5,FALSE),"")</f>
        <v/>
      </c>
      <c r="AJ3199" s="10" t="str">
        <f>IFERROR(VLOOKUP(B3199,'Pre-Summary'!$AZ$6:$BE$65,4,FALSE),"")</f>
        <v/>
      </c>
      <c r="AK3199" s="10" t="str">
        <f>IFERROR(VLOOKUP(B3199,'Pre-Summary'!$AZ$6:$BE$65,6,FALSE),"")</f>
        <v/>
      </c>
      <c r="AL3199" s="10" t="str">
        <f>IFERROR(VLOOKUP(B3199,'Pre-Summary'!$BG$6:$BL$44,3,FALSE),"")</f>
        <v/>
      </c>
      <c r="AM3199" s="10" t="str">
        <f>IFERROR(VLOOKUP(B3199,'Pre-Summary'!$BG$6:$BL$44,4,FALSE),"")</f>
        <v/>
      </c>
    </row>
    <row r="3200" spans="2:39" ht="15" customHeight="1" x14ac:dyDescent="0.3">
      <c r="B3200">
        <v>319.70000000000198</v>
      </c>
      <c r="D3200" s="10"/>
      <c r="E3200" s="10"/>
      <c r="F3200">
        <f>IFERROR(VLOOKUP(B3200,'Pre-Summary'!$AL$6:$AQ$13,6,FALSE),F3199)</f>
        <v>5.9405263157894746E-2</v>
      </c>
      <c r="M3200" s="45" t="str">
        <f>IFERROR(VLOOKUP(B3200,'Pre-Summary'!$BW$6:$BY$58,2,FALSE),"")</f>
        <v/>
      </c>
      <c r="N3200" s="45" t="str">
        <f>IFERROR(VLOOKUP(B3200,'Pre-Summary'!$CD$6:$CF$64,2,FALSE),"")</f>
        <v/>
      </c>
      <c r="O3200" s="99">
        <f>IFERROR(VLOOKUP(B3200,'Pre-Summary'!$BO$6:$BQ$48,3, FALSE),O3199)</f>
        <v>3.3239999999999998</v>
      </c>
      <c r="P3200" s="99">
        <f>IFERROR(VLOOKUP(B3200,'Pre-Summary'!$BS$6:$BU$35,3,FALSE),P3199)</f>
        <v>0.84099999999999997</v>
      </c>
      <c r="Q3200" s="54">
        <f t="shared" si="149"/>
        <v>3.9524375743162903</v>
      </c>
      <c r="R3200" s="53">
        <f>IFERROR(VLOOKUP(B3200,'Pre-Summary'!$BG$6:$BM$44,7,FALSE),R3201)</f>
        <v>0</v>
      </c>
      <c r="S3200" s="53" t="e">
        <f>VLOOKUP(B3200,'Pre-Summary'!$BG$6:$BM$44,6,FALSE)</f>
        <v>#N/A</v>
      </c>
      <c r="Z3200" s="45" t="str">
        <f>IFERROR(VLOOKUP(B3200,'Pre-Summary'!$BZ$6:$CB$63,2,FALSE),"")</f>
        <v/>
      </c>
      <c r="AA3200" s="45" t="str">
        <f>IFERROR(VLOOKUP(B3200,'Pre-Summary'!$CG$6:$CI$70,2,FALSE),"")</f>
        <v/>
      </c>
      <c r="AB3200" s="99">
        <f>IFERROR(VLOOKUP(B3200,'Pre-Summary'!$A$6:$P$178,9,FALSE),AB3201)</f>
        <v>0</v>
      </c>
      <c r="AC3200" s="10">
        <f>IFERROR(VLOOKUP(Summary!B3200,'Pre-Summary'!$A$6:$P$184,5, FALSE)/100,AC3201)</f>
        <v>0</v>
      </c>
      <c r="AD3200" s="10">
        <f>IFERROR(VLOOKUP(Summary!B3200,'Pre-Summary'!$A$6:$P$184,3, FALSE)/100,AD3201)</f>
        <v>0</v>
      </c>
      <c r="AE3200" s="10">
        <f>IFERROR(VLOOKUP(Summary!B3200,'Pre-Summary'!$A$6:$P$184,7, FALSE)/100,AE3201)</f>
        <v>0</v>
      </c>
      <c r="AF3200" s="99">
        <f t="shared" si="150"/>
        <v>0</v>
      </c>
      <c r="AG3200" s="99">
        <f t="shared" si="151"/>
        <v>0</v>
      </c>
      <c r="AH3200" s="10" t="str">
        <f>IFERROR(VLOOKUP(B3200,'Pre-Summary'!$AZ$6:$BE$65,3,FALSE),"")</f>
        <v/>
      </c>
      <c r="AI3200" s="10" t="str">
        <f>IFERROR(VLOOKUP(B3200,'Pre-Summary'!$AZ$6:$BE$65,5,FALSE),"")</f>
        <v/>
      </c>
      <c r="AJ3200" s="10" t="str">
        <f>IFERROR(VLOOKUP(B3200,'Pre-Summary'!$AZ$6:$BE$65,4,FALSE),"")</f>
        <v/>
      </c>
      <c r="AK3200" s="10" t="str">
        <f>IFERROR(VLOOKUP(B3200,'Pre-Summary'!$AZ$6:$BE$65,6,FALSE),"")</f>
        <v/>
      </c>
      <c r="AL3200" s="10" t="str">
        <f>IFERROR(VLOOKUP(B3200,'Pre-Summary'!$BG$6:$BL$44,3,FALSE),"")</f>
        <v/>
      </c>
      <c r="AM3200" s="10" t="str">
        <f>IFERROR(VLOOKUP(B3200,'Pre-Summary'!$BG$6:$BL$44,4,FALSE),"")</f>
        <v/>
      </c>
    </row>
    <row r="3201" spans="2:39" ht="15" customHeight="1" x14ac:dyDescent="0.3">
      <c r="B3201">
        <v>319.800000000002</v>
      </c>
      <c r="D3201" s="10"/>
      <c r="E3201" s="10"/>
      <c r="F3201">
        <f>IFERROR(VLOOKUP(B3201,'Pre-Summary'!$AL$6:$AQ$13,6,FALSE),F3200)</f>
        <v>5.9405263157894746E-2</v>
      </c>
      <c r="M3201" s="45" t="str">
        <f>IFERROR(VLOOKUP(B3201,'Pre-Summary'!$BW$6:$BY$58,2,FALSE),"")</f>
        <v/>
      </c>
      <c r="N3201" s="45" t="str">
        <f>IFERROR(VLOOKUP(B3201,'Pre-Summary'!$CD$6:$CF$64,2,FALSE),"")</f>
        <v/>
      </c>
      <c r="O3201" s="99">
        <f>IFERROR(VLOOKUP(B3201,'Pre-Summary'!$BO$6:$BQ$48,3, FALSE),O3200)</f>
        <v>3.3239999999999998</v>
      </c>
      <c r="P3201" s="99">
        <f>IFERROR(VLOOKUP(B3201,'Pre-Summary'!$BS$6:$BU$35,3,FALSE),P3200)</f>
        <v>0.84099999999999997</v>
      </c>
      <c r="Q3201" s="54">
        <f t="shared" si="149"/>
        <v>3.9524375743162903</v>
      </c>
      <c r="R3201" s="53">
        <f>IFERROR(VLOOKUP(B3201,'Pre-Summary'!$BG$6:$BM$44,7,FALSE),R3202)</f>
        <v>0</v>
      </c>
      <c r="S3201" s="53" t="e">
        <f>VLOOKUP(B3201,'Pre-Summary'!$BG$6:$BM$44,6,FALSE)</f>
        <v>#N/A</v>
      </c>
      <c r="Z3201" s="45" t="str">
        <f>IFERROR(VLOOKUP(B3201,'Pre-Summary'!$BZ$6:$CB$63,2,FALSE),"")</f>
        <v/>
      </c>
      <c r="AA3201" s="45" t="str">
        <f>IFERROR(VLOOKUP(B3201,'Pre-Summary'!$CG$6:$CI$70,2,FALSE),"")</f>
        <v/>
      </c>
      <c r="AB3201" s="99">
        <f>IFERROR(VLOOKUP(B3201,'Pre-Summary'!$A$6:$P$178,9,FALSE),AB3202)</f>
        <v>0</v>
      </c>
      <c r="AC3201" s="10">
        <f>IFERROR(VLOOKUP(Summary!B3201,'Pre-Summary'!$A$6:$P$184,5, FALSE)/100,AC3202)</f>
        <v>0</v>
      </c>
      <c r="AD3201" s="10">
        <f>IFERROR(VLOOKUP(Summary!B3201,'Pre-Summary'!$A$6:$P$184,3, FALSE)/100,AD3202)</f>
        <v>0</v>
      </c>
      <c r="AE3201" s="10">
        <f>IFERROR(VLOOKUP(Summary!B3201,'Pre-Summary'!$A$6:$P$184,7, FALSE)/100,AE3202)</f>
        <v>0</v>
      </c>
      <c r="AF3201" s="99">
        <f t="shared" si="150"/>
        <v>0</v>
      </c>
      <c r="AG3201" s="99">
        <f t="shared" si="151"/>
        <v>0</v>
      </c>
      <c r="AH3201" s="10" t="str">
        <f>IFERROR(VLOOKUP(B3201,'Pre-Summary'!$AZ$6:$BE$65,3,FALSE),"")</f>
        <v/>
      </c>
      <c r="AI3201" s="10" t="str">
        <f>IFERROR(VLOOKUP(B3201,'Pre-Summary'!$AZ$6:$BE$65,5,FALSE),"")</f>
        <v/>
      </c>
      <c r="AJ3201" s="10" t="str">
        <f>IFERROR(VLOOKUP(B3201,'Pre-Summary'!$AZ$6:$BE$65,4,FALSE),"")</f>
        <v/>
      </c>
      <c r="AK3201" s="10" t="str">
        <f>IFERROR(VLOOKUP(B3201,'Pre-Summary'!$AZ$6:$BE$65,6,FALSE),"")</f>
        <v/>
      </c>
      <c r="AL3201" s="10" t="str">
        <f>IFERROR(VLOOKUP(B3201,'Pre-Summary'!$BG$6:$BL$44,3,FALSE),"")</f>
        <v/>
      </c>
      <c r="AM3201" s="10" t="str">
        <f>IFERROR(VLOOKUP(B3201,'Pre-Summary'!$BG$6:$BL$44,4,FALSE),"")</f>
        <v/>
      </c>
    </row>
    <row r="3202" spans="2:39" ht="15" customHeight="1" x14ac:dyDescent="0.3">
      <c r="B3202">
        <v>319.90000000000202</v>
      </c>
      <c r="D3202" s="10"/>
      <c r="E3202" s="10"/>
      <c r="F3202">
        <f>IFERROR(VLOOKUP(B3202,'Pre-Summary'!$AL$6:$AQ$13,6,FALSE),F3201)</f>
        <v>5.9405263157894746E-2</v>
      </c>
      <c r="M3202" s="45" t="str">
        <f>IFERROR(VLOOKUP(B3202,'Pre-Summary'!$BW$6:$BY$58,2,FALSE),"")</f>
        <v/>
      </c>
      <c r="N3202" s="45" t="str">
        <f>IFERROR(VLOOKUP(B3202,'Pre-Summary'!$CD$6:$CF$64,2,FALSE),"")</f>
        <v/>
      </c>
      <c r="O3202" s="99">
        <f>IFERROR(VLOOKUP(B3202,'Pre-Summary'!$BO$6:$BQ$48,3, FALSE),O3201)</f>
        <v>3.3239999999999998</v>
      </c>
      <c r="P3202" s="99">
        <f>IFERROR(VLOOKUP(B3202,'Pre-Summary'!$BS$6:$BU$35,3,FALSE),P3201)</f>
        <v>0.84099999999999997</v>
      </c>
      <c r="Q3202" s="54">
        <f t="shared" si="149"/>
        <v>3.9524375743162903</v>
      </c>
      <c r="R3202" s="53">
        <f>IFERROR(VLOOKUP(B3202,'Pre-Summary'!$BG$6:$BM$44,7,FALSE),R3203)</f>
        <v>0</v>
      </c>
      <c r="S3202" s="53" t="e">
        <f>VLOOKUP(B3202,'Pre-Summary'!$BG$6:$BM$44,6,FALSE)</f>
        <v>#N/A</v>
      </c>
      <c r="Z3202" s="45" t="str">
        <f>IFERROR(VLOOKUP(B3202,'Pre-Summary'!$BZ$6:$CB$63,2,FALSE),"")</f>
        <v/>
      </c>
      <c r="AA3202" s="45" t="str">
        <f>IFERROR(VLOOKUP(B3202,'Pre-Summary'!$CG$6:$CI$70,2,FALSE),"")</f>
        <v/>
      </c>
      <c r="AB3202" s="99">
        <f>IFERROR(VLOOKUP(B3202,'Pre-Summary'!$A$6:$P$178,9,FALSE),AB3203)</f>
        <v>0</v>
      </c>
      <c r="AC3202" s="10">
        <f>IFERROR(VLOOKUP(Summary!B3202,'Pre-Summary'!$A$6:$P$184,5, FALSE)/100,AC3203)</f>
        <v>0</v>
      </c>
      <c r="AD3202" s="10">
        <f>IFERROR(VLOOKUP(Summary!B3202,'Pre-Summary'!$A$6:$P$184,3, FALSE)/100,AD3203)</f>
        <v>0</v>
      </c>
      <c r="AE3202" s="10">
        <f>IFERROR(VLOOKUP(Summary!B3202,'Pre-Summary'!$A$6:$P$184,7, FALSE)/100,AE3203)</f>
        <v>0</v>
      </c>
      <c r="AF3202" s="99">
        <f t="shared" si="150"/>
        <v>0</v>
      </c>
      <c r="AG3202" s="99">
        <f t="shared" si="151"/>
        <v>0</v>
      </c>
      <c r="AH3202" s="10" t="str">
        <f>IFERROR(VLOOKUP(B3202,'Pre-Summary'!$AZ$6:$BE$65,3,FALSE),"")</f>
        <v/>
      </c>
      <c r="AI3202" s="10" t="str">
        <f>IFERROR(VLOOKUP(B3202,'Pre-Summary'!$AZ$6:$BE$65,5,FALSE),"")</f>
        <v/>
      </c>
      <c r="AJ3202" s="10" t="str">
        <f>IFERROR(VLOOKUP(B3202,'Pre-Summary'!$AZ$6:$BE$65,4,FALSE),"")</f>
        <v/>
      </c>
      <c r="AK3202" s="10" t="str">
        <f>IFERROR(VLOOKUP(B3202,'Pre-Summary'!$AZ$6:$BE$65,6,FALSE),"")</f>
        <v/>
      </c>
      <c r="AL3202" s="10" t="str">
        <f>IFERROR(VLOOKUP(B3202,'Pre-Summary'!$BG$6:$BL$44,3,FALSE),"")</f>
        <v/>
      </c>
      <c r="AM3202" s="10" t="str">
        <f>IFERROR(VLOOKUP(B3202,'Pre-Summary'!$BG$6:$BL$44,4,FALSE),"")</f>
        <v/>
      </c>
    </row>
    <row r="3203" spans="2:39" ht="15" customHeight="1" x14ac:dyDescent="0.3">
      <c r="B3203">
        <v>320.00000000000199</v>
      </c>
      <c r="D3203" s="10"/>
      <c r="E3203" s="10"/>
      <c r="F3203">
        <f>IFERROR(VLOOKUP(B3203,'Pre-Summary'!$AL$6:$AQ$13,6,FALSE),F3202)</f>
        <v>5.9405263157894746E-2</v>
      </c>
      <c r="M3203" s="45" t="str">
        <f>IFERROR(VLOOKUP(B3203,'Pre-Summary'!$BW$6:$BY$58,2,FALSE),"")</f>
        <v/>
      </c>
      <c r="N3203" s="45" t="str">
        <f>IFERROR(VLOOKUP(B3203,'Pre-Summary'!$CD$6:$CF$64,2,FALSE),"")</f>
        <v/>
      </c>
      <c r="O3203" s="99">
        <f>IFERROR(VLOOKUP(B3203,'Pre-Summary'!$BO$6:$BQ$48,3, FALSE),O3202)</f>
        <v>3.3239999999999998</v>
      </c>
      <c r="P3203" s="99">
        <f>IFERROR(VLOOKUP(B3203,'Pre-Summary'!$BS$6:$BU$35,3,FALSE),P3202)</f>
        <v>0.84099999999999997</v>
      </c>
      <c r="Q3203" s="54">
        <f t="shared" ref="Q3203:Q3266" si="152">O3203/P3203</f>
        <v>3.9524375743162903</v>
      </c>
      <c r="R3203" s="53">
        <f>IFERROR(VLOOKUP(B3203,'Pre-Summary'!$BG$6:$BM$44,7,FALSE),R3204)</f>
        <v>0</v>
      </c>
      <c r="S3203" s="53" t="e">
        <f>VLOOKUP(B3203,'Pre-Summary'!$BG$6:$BM$44,6,FALSE)</f>
        <v>#N/A</v>
      </c>
      <c r="Z3203" s="45" t="str">
        <f>IFERROR(VLOOKUP(B3203,'Pre-Summary'!$BZ$6:$CB$63,2,FALSE),"")</f>
        <v/>
      </c>
      <c r="AA3203" s="45" t="str">
        <f>IFERROR(VLOOKUP(B3203,'Pre-Summary'!$CG$6:$CI$70,2,FALSE),"")</f>
        <v/>
      </c>
      <c r="AB3203" s="99">
        <f>IFERROR(VLOOKUP(B3203,'Pre-Summary'!$A$6:$P$178,9,FALSE),AB3204)</f>
        <v>0</v>
      </c>
      <c r="AC3203" s="10">
        <f>IFERROR(VLOOKUP(Summary!B3203,'Pre-Summary'!$A$6:$P$184,5, FALSE)/100,AC3204)</f>
        <v>0</v>
      </c>
      <c r="AD3203" s="10">
        <f>IFERROR(VLOOKUP(Summary!B3203,'Pre-Summary'!$A$6:$P$184,3, FALSE)/100,AD3204)</f>
        <v>0</v>
      </c>
      <c r="AE3203" s="10">
        <f>IFERROR(VLOOKUP(Summary!B3203,'Pre-Summary'!$A$6:$P$184,7, FALSE)/100,AE3204)</f>
        <v>0</v>
      </c>
      <c r="AF3203" s="99">
        <f t="shared" si="150"/>
        <v>0</v>
      </c>
      <c r="AG3203" s="99">
        <f t="shared" si="151"/>
        <v>0</v>
      </c>
      <c r="AH3203" s="10" t="str">
        <f>IFERROR(VLOOKUP(B3203,'Pre-Summary'!$AZ$6:$BE$65,3,FALSE),"")</f>
        <v/>
      </c>
      <c r="AI3203" s="10" t="str">
        <f>IFERROR(VLOOKUP(B3203,'Pre-Summary'!$AZ$6:$BE$65,5,FALSE),"")</f>
        <v/>
      </c>
      <c r="AJ3203" s="10" t="str">
        <f>IFERROR(VLOOKUP(B3203,'Pre-Summary'!$AZ$6:$BE$65,4,FALSE),"")</f>
        <v/>
      </c>
      <c r="AK3203" s="10" t="str">
        <f>IFERROR(VLOOKUP(B3203,'Pre-Summary'!$AZ$6:$BE$65,6,FALSE),"")</f>
        <v/>
      </c>
      <c r="AL3203" s="10" t="str">
        <f>IFERROR(VLOOKUP(B3203,'Pre-Summary'!$BG$6:$BL$44,3,FALSE),"")</f>
        <v/>
      </c>
      <c r="AM3203" s="10" t="str">
        <f>IFERROR(VLOOKUP(B3203,'Pre-Summary'!$BG$6:$BL$44,4,FALSE),"")</f>
        <v/>
      </c>
    </row>
    <row r="3204" spans="2:39" ht="15" customHeight="1" x14ac:dyDescent="0.3">
      <c r="B3204">
        <v>320.10000000000201</v>
      </c>
      <c r="D3204" s="10"/>
      <c r="E3204" s="10"/>
      <c r="F3204">
        <f>IFERROR(VLOOKUP(B3204,'Pre-Summary'!$AL$6:$AQ$13,6,FALSE),F3203)</f>
        <v>5.9405263157894746E-2</v>
      </c>
      <c r="M3204" s="45" t="str">
        <f>IFERROR(VLOOKUP(B3204,'Pre-Summary'!$BW$6:$BY$58,2,FALSE),"")</f>
        <v/>
      </c>
      <c r="N3204" s="45" t="str">
        <f>IFERROR(VLOOKUP(B3204,'Pre-Summary'!$CD$6:$CF$64,2,FALSE),"")</f>
        <v/>
      </c>
      <c r="O3204" s="99">
        <f>IFERROR(VLOOKUP(B3204,'Pre-Summary'!$BO$6:$BQ$48,3, FALSE),O3203)</f>
        <v>3.3239999999999998</v>
      </c>
      <c r="P3204" s="99">
        <f>IFERROR(VLOOKUP(B3204,'Pre-Summary'!$BS$6:$BU$35,3,FALSE),P3203)</f>
        <v>0.84099999999999997</v>
      </c>
      <c r="Q3204" s="54">
        <f t="shared" si="152"/>
        <v>3.9524375743162903</v>
      </c>
      <c r="R3204" s="53">
        <f>IFERROR(VLOOKUP(B3204,'Pre-Summary'!$BG$6:$BM$44,7,FALSE),R3205)</f>
        <v>0</v>
      </c>
      <c r="S3204" s="53" t="e">
        <f>VLOOKUP(B3204,'Pre-Summary'!$BG$6:$BM$44,6,FALSE)</f>
        <v>#N/A</v>
      </c>
      <c r="Z3204" s="45" t="str">
        <f>IFERROR(VLOOKUP(B3204,'Pre-Summary'!$BZ$6:$CB$63,2,FALSE),"")</f>
        <v/>
      </c>
      <c r="AA3204" s="45" t="str">
        <f>IFERROR(VLOOKUP(B3204,'Pre-Summary'!$CG$6:$CI$70,2,FALSE),"")</f>
        <v/>
      </c>
      <c r="AB3204" s="99">
        <f>IFERROR(VLOOKUP(B3204,'Pre-Summary'!$A$6:$P$178,9,FALSE),AB3205)</f>
        <v>0</v>
      </c>
      <c r="AC3204" s="10">
        <f>IFERROR(VLOOKUP(Summary!B3204,'Pre-Summary'!$A$6:$P$184,5, FALSE)/100,AC3205)</f>
        <v>0</v>
      </c>
      <c r="AD3204" s="10">
        <f>IFERROR(VLOOKUP(Summary!B3204,'Pre-Summary'!$A$6:$P$184,3, FALSE)/100,AD3205)</f>
        <v>0</v>
      </c>
      <c r="AE3204" s="10">
        <f>IFERROR(VLOOKUP(Summary!B3204,'Pre-Summary'!$A$6:$P$184,7, FALSE)/100,AE3205)</f>
        <v>0</v>
      </c>
      <c r="AF3204" s="99">
        <f t="shared" si="150"/>
        <v>0</v>
      </c>
      <c r="AG3204" s="99">
        <f t="shared" si="151"/>
        <v>0</v>
      </c>
      <c r="AH3204" s="10" t="str">
        <f>IFERROR(VLOOKUP(B3204,'Pre-Summary'!$AZ$6:$BE$65,3,FALSE),"")</f>
        <v/>
      </c>
      <c r="AI3204" s="10" t="str">
        <f>IFERROR(VLOOKUP(B3204,'Pre-Summary'!$AZ$6:$BE$65,5,FALSE),"")</f>
        <v/>
      </c>
      <c r="AJ3204" s="10" t="str">
        <f>IFERROR(VLOOKUP(B3204,'Pre-Summary'!$AZ$6:$BE$65,4,FALSE),"")</f>
        <v/>
      </c>
      <c r="AK3204" s="10" t="str">
        <f>IFERROR(VLOOKUP(B3204,'Pre-Summary'!$AZ$6:$BE$65,6,FALSE),"")</f>
        <v/>
      </c>
      <c r="AL3204" s="10" t="str">
        <f>IFERROR(VLOOKUP(B3204,'Pre-Summary'!$BG$6:$BL$44,3,FALSE),"")</f>
        <v/>
      </c>
      <c r="AM3204" s="10" t="str">
        <f>IFERROR(VLOOKUP(B3204,'Pre-Summary'!$BG$6:$BL$44,4,FALSE),"")</f>
        <v/>
      </c>
    </row>
    <row r="3205" spans="2:39" ht="15" customHeight="1" x14ac:dyDescent="0.3">
      <c r="B3205">
        <v>320.20000000000198</v>
      </c>
      <c r="D3205" s="10"/>
      <c r="E3205" s="10"/>
      <c r="F3205">
        <f>IFERROR(VLOOKUP(B3205,'Pre-Summary'!$AL$6:$AQ$13,6,FALSE),F3204)</f>
        <v>5.9405263157894746E-2</v>
      </c>
      <c r="M3205" s="45" t="str">
        <f>IFERROR(VLOOKUP(B3205,'Pre-Summary'!$BW$6:$BY$58,2,FALSE),"")</f>
        <v/>
      </c>
      <c r="N3205" s="45" t="str">
        <f>IFERROR(VLOOKUP(B3205,'Pre-Summary'!$CD$6:$CF$64,2,FALSE),"")</f>
        <v/>
      </c>
      <c r="O3205" s="99">
        <f>IFERROR(VLOOKUP(B3205,'Pre-Summary'!$BO$6:$BQ$48,3, FALSE),O3204)</f>
        <v>3.3239999999999998</v>
      </c>
      <c r="P3205" s="99">
        <f>IFERROR(VLOOKUP(B3205,'Pre-Summary'!$BS$6:$BU$35,3,FALSE),P3204)</f>
        <v>0.84099999999999997</v>
      </c>
      <c r="Q3205" s="54">
        <f t="shared" si="152"/>
        <v>3.9524375743162903</v>
      </c>
      <c r="R3205" s="53">
        <f>IFERROR(VLOOKUP(B3205,'Pre-Summary'!$BG$6:$BM$44,7,FALSE),R3206)</f>
        <v>0</v>
      </c>
      <c r="S3205" s="53" t="e">
        <f>VLOOKUP(B3205,'Pre-Summary'!$BG$6:$BM$44,6,FALSE)</f>
        <v>#N/A</v>
      </c>
      <c r="Z3205" s="45" t="str">
        <f>IFERROR(VLOOKUP(B3205,'Pre-Summary'!$BZ$6:$CB$63,2,FALSE),"")</f>
        <v/>
      </c>
      <c r="AA3205" s="45" t="str">
        <f>IFERROR(VLOOKUP(B3205,'Pre-Summary'!$CG$6:$CI$70,2,FALSE),"")</f>
        <v/>
      </c>
      <c r="AB3205" s="99">
        <f>IFERROR(VLOOKUP(B3205,'Pre-Summary'!$A$6:$P$178,9,FALSE),AB3206)</f>
        <v>0</v>
      </c>
      <c r="AC3205" s="10">
        <f>IFERROR(VLOOKUP(Summary!B3205,'Pre-Summary'!$A$6:$P$184,5, FALSE)/100,AC3206)</f>
        <v>0</v>
      </c>
      <c r="AD3205" s="10">
        <f>IFERROR(VLOOKUP(Summary!B3205,'Pre-Summary'!$A$6:$P$184,3, FALSE)/100,AD3206)</f>
        <v>0</v>
      </c>
      <c r="AE3205" s="10">
        <f>IFERROR(VLOOKUP(Summary!B3205,'Pre-Summary'!$A$6:$P$184,7, FALSE)/100,AE3206)</f>
        <v>0</v>
      </c>
      <c r="AF3205" s="99">
        <f t="shared" si="150"/>
        <v>0</v>
      </c>
      <c r="AG3205" s="99">
        <f t="shared" si="151"/>
        <v>0</v>
      </c>
      <c r="AH3205" s="10" t="str">
        <f>IFERROR(VLOOKUP(B3205,'Pre-Summary'!$AZ$6:$BE$65,3,FALSE),"")</f>
        <v/>
      </c>
      <c r="AI3205" s="10" t="str">
        <f>IFERROR(VLOOKUP(B3205,'Pre-Summary'!$AZ$6:$BE$65,5,FALSE),"")</f>
        <v/>
      </c>
      <c r="AJ3205" s="10" t="str">
        <f>IFERROR(VLOOKUP(B3205,'Pre-Summary'!$AZ$6:$BE$65,4,FALSE),"")</f>
        <v/>
      </c>
      <c r="AK3205" s="10" t="str">
        <f>IFERROR(VLOOKUP(B3205,'Pre-Summary'!$AZ$6:$BE$65,6,FALSE),"")</f>
        <v/>
      </c>
      <c r="AL3205" s="10" t="str">
        <f>IFERROR(VLOOKUP(B3205,'Pre-Summary'!$BG$6:$BL$44,3,FALSE),"")</f>
        <v/>
      </c>
      <c r="AM3205" s="10" t="str">
        <f>IFERROR(VLOOKUP(B3205,'Pre-Summary'!$BG$6:$BL$44,4,FALSE),"")</f>
        <v/>
      </c>
    </row>
    <row r="3206" spans="2:39" ht="15" customHeight="1" x14ac:dyDescent="0.3">
      <c r="B3206">
        <v>320.300000000002</v>
      </c>
      <c r="D3206" s="10"/>
      <c r="E3206" s="10"/>
      <c r="F3206">
        <f>IFERROR(VLOOKUP(B3206,'Pre-Summary'!$AL$6:$AQ$13,6,FALSE),F3205)</f>
        <v>5.9405263157894746E-2</v>
      </c>
      <c r="M3206" s="45" t="str">
        <f>IFERROR(VLOOKUP(B3206,'Pre-Summary'!$BW$6:$BY$58,2,FALSE),"")</f>
        <v/>
      </c>
      <c r="N3206" s="45" t="str">
        <f>IFERROR(VLOOKUP(B3206,'Pre-Summary'!$CD$6:$CF$64,2,FALSE),"")</f>
        <v/>
      </c>
      <c r="O3206" s="99">
        <f>IFERROR(VLOOKUP(B3206,'Pre-Summary'!$BO$6:$BQ$48,3, FALSE),O3205)</f>
        <v>3.3239999999999998</v>
      </c>
      <c r="P3206" s="99">
        <f>IFERROR(VLOOKUP(B3206,'Pre-Summary'!$BS$6:$BU$35,3,FALSE),P3205)</f>
        <v>0.84099999999999997</v>
      </c>
      <c r="Q3206" s="54">
        <f t="shared" si="152"/>
        <v>3.9524375743162903</v>
      </c>
      <c r="R3206" s="53">
        <f>IFERROR(VLOOKUP(B3206,'Pre-Summary'!$BG$6:$BM$44,7,FALSE),R3207)</f>
        <v>0</v>
      </c>
      <c r="S3206" s="53" t="e">
        <f>VLOOKUP(B3206,'Pre-Summary'!$BG$6:$BM$44,6,FALSE)</f>
        <v>#N/A</v>
      </c>
      <c r="Z3206" s="45" t="str">
        <f>IFERROR(VLOOKUP(B3206,'Pre-Summary'!$BZ$6:$CB$63,2,FALSE),"")</f>
        <v/>
      </c>
      <c r="AA3206" s="45" t="str">
        <f>IFERROR(VLOOKUP(B3206,'Pre-Summary'!$CG$6:$CI$70,2,FALSE),"")</f>
        <v/>
      </c>
      <c r="AB3206" s="99">
        <f>IFERROR(VLOOKUP(B3206,'Pre-Summary'!$A$6:$P$178,9,FALSE),AB3207)</f>
        <v>0</v>
      </c>
      <c r="AC3206" s="10">
        <f>IFERROR(VLOOKUP(Summary!B3206,'Pre-Summary'!$A$6:$P$184,5, FALSE)/100,AC3207)</f>
        <v>0</v>
      </c>
      <c r="AD3206" s="10">
        <f>IFERROR(VLOOKUP(Summary!B3206,'Pre-Summary'!$A$6:$P$184,3, FALSE)/100,AD3207)</f>
        <v>0</v>
      </c>
      <c r="AE3206" s="10">
        <f>IFERROR(VLOOKUP(Summary!B3206,'Pre-Summary'!$A$6:$P$184,7, FALSE)/100,AE3207)</f>
        <v>0</v>
      </c>
      <c r="AF3206" s="99">
        <f t="shared" si="150"/>
        <v>0</v>
      </c>
      <c r="AG3206" s="99">
        <f t="shared" si="151"/>
        <v>0</v>
      </c>
      <c r="AH3206" s="10" t="str">
        <f>IFERROR(VLOOKUP(B3206,'Pre-Summary'!$AZ$6:$BE$65,3,FALSE),"")</f>
        <v/>
      </c>
      <c r="AI3206" s="10" t="str">
        <f>IFERROR(VLOOKUP(B3206,'Pre-Summary'!$AZ$6:$BE$65,5,FALSE),"")</f>
        <v/>
      </c>
      <c r="AJ3206" s="10" t="str">
        <f>IFERROR(VLOOKUP(B3206,'Pre-Summary'!$AZ$6:$BE$65,4,FALSE),"")</f>
        <v/>
      </c>
      <c r="AK3206" s="10" t="str">
        <f>IFERROR(VLOOKUP(B3206,'Pre-Summary'!$AZ$6:$BE$65,6,FALSE),"")</f>
        <v/>
      </c>
      <c r="AL3206" s="10" t="str">
        <f>IFERROR(VLOOKUP(B3206,'Pre-Summary'!$BG$6:$BL$44,3,FALSE),"")</f>
        <v/>
      </c>
      <c r="AM3206" s="10" t="str">
        <f>IFERROR(VLOOKUP(B3206,'Pre-Summary'!$BG$6:$BL$44,4,FALSE),"")</f>
        <v/>
      </c>
    </row>
    <row r="3207" spans="2:39" ht="15" customHeight="1" x14ac:dyDescent="0.3">
      <c r="B3207">
        <v>320.40000000000202</v>
      </c>
      <c r="D3207" s="10"/>
      <c r="E3207" s="10"/>
      <c r="F3207">
        <f>IFERROR(VLOOKUP(B3207,'Pre-Summary'!$AL$6:$AQ$13,6,FALSE),F3206)</f>
        <v>5.9405263157894746E-2</v>
      </c>
      <c r="M3207" s="45" t="str">
        <f>IFERROR(VLOOKUP(B3207,'Pre-Summary'!$BW$6:$BY$58,2,FALSE),"")</f>
        <v/>
      </c>
      <c r="N3207" s="45" t="str">
        <f>IFERROR(VLOOKUP(B3207,'Pre-Summary'!$CD$6:$CF$64,2,FALSE),"")</f>
        <v/>
      </c>
      <c r="O3207" s="99">
        <f>IFERROR(VLOOKUP(B3207,'Pre-Summary'!$BO$6:$BQ$48,3, FALSE),O3206)</f>
        <v>3.3239999999999998</v>
      </c>
      <c r="P3207" s="99">
        <f>IFERROR(VLOOKUP(B3207,'Pre-Summary'!$BS$6:$BU$35,3,FALSE),P3206)</f>
        <v>0.84099999999999997</v>
      </c>
      <c r="Q3207" s="54">
        <f t="shared" si="152"/>
        <v>3.9524375743162903</v>
      </c>
      <c r="R3207" s="53">
        <f>IFERROR(VLOOKUP(B3207,'Pre-Summary'!$BG$6:$BM$44,7,FALSE),R3208)</f>
        <v>0</v>
      </c>
      <c r="S3207" s="53" t="e">
        <f>VLOOKUP(B3207,'Pre-Summary'!$BG$6:$BM$44,6,FALSE)</f>
        <v>#N/A</v>
      </c>
      <c r="Z3207" s="45" t="str">
        <f>IFERROR(VLOOKUP(B3207,'Pre-Summary'!$BZ$6:$CB$63,2,FALSE),"")</f>
        <v/>
      </c>
      <c r="AA3207" s="45" t="str">
        <f>IFERROR(VLOOKUP(B3207,'Pre-Summary'!$CG$6:$CI$70,2,FALSE),"")</f>
        <v/>
      </c>
      <c r="AB3207" s="99">
        <f>IFERROR(VLOOKUP(B3207,'Pre-Summary'!$A$6:$P$178,9,FALSE),AB3208)</f>
        <v>0</v>
      </c>
      <c r="AC3207" s="10">
        <f>IFERROR(VLOOKUP(Summary!B3207,'Pre-Summary'!$A$6:$P$184,5, FALSE)/100,AC3208)</f>
        <v>0</v>
      </c>
      <c r="AD3207" s="10">
        <f>IFERROR(VLOOKUP(Summary!B3207,'Pre-Summary'!$A$6:$P$184,3, FALSE)/100,AD3208)</f>
        <v>0</v>
      </c>
      <c r="AE3207" s="10">
        <f>IFERROR(VLOOKUP(Summary!B3207,'Pre-Summary'!$A$6:$P$184,7, FALSE)/100,AE3208)</f>
        <v>0</v>
      </c>
      <c r="AF3207" s="99">
        <f t="shared" si="150"/>
        <v>0</v>
      </c>
      <c r="AG3207" s="99">
        <f t="shared" si="151"/>
        <v>0</v>
      </c>
      <c r="AH3207" s="10" t="str">
        <f>IFERROR(VLOOKUP(B3207,'Pre-Summary'!$AZ$6:$BE$65,3,FALSE),"")</f>
        <v/>
      </c>
      <c r="AI3207" s="10" t="str">
        <f>IFERROR(VLOOKUP(B3207,'Pre-Summary'!$AZ$6:$BE$65,5,FALSE),"")</f>
        <v/>
      </c>
      <c r="AJ3207" s="10" t="str">
        <f>IFERROR(VLOOKUP(B3207,'Pre-Summary'!$AZ$6:$BE$65,4,FALSE),"")</f>
        <v/>
      </c>
      <c r="AK3207" s="10" t="str">
        <f>IFERROR(VLOOKUP(B3207,'Pre-Summary'!$AZ$6:$BE$65,6,FALSE),"")</f>
        <v/>
      </c>
      <c r="AL3207" s="10" t="str">
        <f>IFERROR(VLOOKUP(B3207,'Pre-Summary'!$BG$6:$BL$44,3,FALSE),"")</f>
        <v/>
      </c>
      <c r="AM3207" s="10" t="str">
        <f>IFERROR(VLOOKUP(B3207,'Pre-Summary'!$BG$6:$BL$44,4,FALSE),"")</f>
        <v/>
      </c>
    </row>
    <row r="3208" spans="2:39" ht="15" customHeight="1" x14ac:dyDescent="0.3">
      <c r="B3208">
        <v>320.50000000000199</v>
      </c>
      <c r="D3208" s="10"/>
      <c r="E3208" s="10"/>
      <c r="F3208">
        <f>IFERROR(VLOOKUP(B3208,'Pre-Summary'!$AL$6:$AQ$13,6,FALSE),F3207)</f>
        <v>5.9405263157894746E-2</v>
      </c>
      <c r="M3208" s="45" t="str">
        <f>IFERROR(VLOOKUP(B3208,'Pre-Summary'!$BW$6:$BY$58,2,FALSE),"")</f>
        <v/>
      </c>
      <c r="N3208" s="45" t="str">
        <f>IFERROR(VLOOKUP(B3208,'Pre-Summary'!$CD$6:$CF$64,2,FALSE),"")</f>
        <v/>
      </c>
      <c r="O3208" s="99">
        <f>IFERROR(VLOOKUP(B3208,'Pre-Summary'!$BO$6:$BQ$48,3, FALSE),O3207)</f>
        <v>3.3239999999999998</v>
      </c>
      <c r="P3208" s="99">
        <f>IFERROR(VLOOKUP(B3208,'Pre-Summary'!$BS$6:$BU$35,3,FALSE),P3207)</f>
        <v>0.84099999999999997</v>
      </c>
      <c r="Q3208" s="54">
        <f t="shared" si="152"/>
        <v>3.9524375743162903</v>
      </c>
      <c r="R3208" s="53">
        <f>IFERROR(VLOOKUP(B3208,'Pre-Summary'!$BG$6:$BM$44,7,FALSE),R3209)</f>
        <v>0</v>
      </c>
      <c r="S3208" s="53" t="e">
        <f>VLOOKUP(B3208,'Pre-Summary'!$BG$6:$BM$44,6,FALSE)</f>
        <v>#N/A</v>
      </c>
      <c r="Z3208" s="45" t="str">
        <f>IFERROR(VLOOKUP(B3208,'Pre-Summary'!$BZ$6:$CB$63,2,FALSE),"")</f>
        <v/>
      </c>
      <c r="AA3208" s="45" t="str">
        <f>IFERROR(VLOOKUP(B3208,'Pre-Summary'!$CG$6:$CI$70,2,FALSE),"")</f>
        <v/>
      </c>
      <c r="AB3208" s="99">
        <f>IFERROR(VLOOKUP(B3208,'Pre-Summary'!$A$6:$P$178,9,FALSE),AB3209)</f>
        <v>0</v>
      </c>
      <c r="AC3208" s="10">
        <f>IFERROR(VLOOKUP(Summary!B3208,'Pre-Summary'!$A$6:$P$184,5, FALSE)/100,AC3209)</f>
        <v>0</v>
      </c>
      <c r="AD3208" s="10">
        <f>IFERROR(VLOOKUP(Summary!B3208,'Pre-Summary'!$A$6:$P$184,3, FALSE)/100,AD3209)</f>
        <v>0</v>
      </c>
      <c r="AE3208" s="10">
        <f>IFERROR(VLOOKUP(Summary!B3208,'Pre-Summary'!$A$6:$P$184,7, FALSE)/100,AE3209)</f>
        <v>0</v>
      </c>
      <c r="AF3208" s="99">
        <f t="shared" si="150"/>
        <v>0</v>
      </c>
      <c r="AG3208" s="99">
        <f t="shared" si="151"/>
        <v>0</v>
      </c>
      <c r="AH3208" s="10" t="str">
        <f>IFERROR(VLOOKUP(B3208,'Pre-Summary'!$AZ$6:$BE$65,3,FALSE),"")</f>
        <v/>
      </c>
      <c r="AI3208" s="10" t="str">
        <f>IFERROR(VLOOKUP(B3208,'Pre-Summary'!$AZ$6:$BE$65,5,FALSE),"")</f>
        <v/>
      </c>
      <c r="AJ3208" s="10" t="str">
        <f>IFERROR(VLOOKUP(B3208,'Pre-Summary'!$AZ$6:$BE$65,4,FALSE),"")</f>
        <v/>
      </c>
      <c r="AK3208" s="10" t="str">
        <f>IFERROR(VLOOKUP(B3208,'Pre-Summary'!$AZ$6:$BE$65,6,FALSE),"")</f>
        <v/>
      </c>
      <c r="AL3208" s="10" t="str">
        <f>IFERROR(VLOOKUP(B3208,'Pre-Summary'!$BG$6:$BL$44,3,FALSE),"")</f>
        <v/>
      </c>
      <c r="AM3208" s="10" t="str">
        <f>IFERROR(VLOOKUP(B3208,'Pre-Summary'!$BG$6:$BL$44,4,FALSE),"")</f>
        <v/>
      </c>
    </row>
    <row r="3209" spans="2:39" ht="15" customHeight="1" x14ac:dyDescent="0.3">
      <c r="B3209">
        <v>320.60000000000201</v>
      </c>
      <c r="D3209" s="10"/>
      <c r="E3209" s="10"/>
      <c r="F3209">
        <f>IFERROR(VLOOKUP(B3209,'Pre-Summary'!$AL$6:$AQ$13,6,FALSE),F3208)</f>
        <v>5.9405263157894746E-2</v>
      </c>
      <c r="M3209" s="45" t="str">
        <f>IFERROR(VLOOKUP(B3209,'Pre-Summary'!$BW$6:$BY$58,2,FALSE),"")</f>
        <v/>
      </c>
      <c r="N3209" s="45" t="str">
        <f>IFERROR(VLOOKUP(B3209,'Pre-Summary'!$CD$6:$CF$64,2,FALSE),"")</f>
        <v/>
      </c>
      <c r="O3209" s="99">
        <f>IFERROR(VLOOKUP(B3209,'Pre-Summary'!$BO$6:$BQ$48,3, FALSE),O3208)</f>
        <v>3.3239999999999998</v>
      </c>
      <c r="P3209" s="99">
        <f>IFERROR(VLOOKUP(B3209,'Pre-Summary'!$BS$6:$BU$35,3,FALSE),P3208)</f>
        <v>0.84099999999999997</v>
      </c>
      <c r="Q3209" s="54">
        <f t="shared" si="152"/>
        <v>3.9524375743162903</v>
      </c>
      <c r="R3209" s="53">
        <f>IFERROR(VLOOKUP(B3209,'Pre-Summary'!$BG$6:$BM$44,7,FALSE),R3210)</f>
        <v>0</v>
      </c>
      <c r="S3209" s="53" t="e">
        <f>VLOOKUP(B3209,'Pre-Summary'!$BG$6:$BM$44,6,FALSE)</f>
        <v>#N/A</v>
      </c>
      <c r="Z3209" s="45" t="str">
        <f>IFERROR(VLOOKUP(B3209,'Pre-Summary'!$BZ$6:$CB$63,2,FALSE),"")</f>
        <v/>
      </c>
      <c r="AA3209" s="45" t="str">
        <f>IFERROR(VLOOKUP(B3209,'Pre-Summary'!$CG$6:$CI$70,2,FALSE),"")</f>
        <v/>
      </c>
      <c r="AB3209" s="99">
        <f>IFERROR(VLOOKUP(B3209,'Pre-Summary'!$A$6:$P$178,9,FALSE),AB3210)</f>
        <v>0</v>
      </c>
      <c r="AC3209" s="10">
        <f>IFERROR(VLOOKUP(Summary!B3209,'Pre-Summary'!$A$6:$P$184,5, FALSE)/100,AC3210)</f>
        <v>0</v>
      </c>
      <c r="AD3209" s="10">
        <f>IFERROR(VLOOKUP(Summary!B3209,'Pre-Summary'!$A$6:$P$184,3, FALSE)/100,AD3210)</f>
        <v>0</v>
      </c>
      <c r="AE3209" s="10">
        <f>IFERROR(VLOOKUP(Summary!B3209,'Pre-Summary'!$A$6:$P$184,7, FALSE)/100,AE3210)</f>
        <v>0</v>
      </c>
      <c r="AF3209" s="99">
        <f t="shared" si="150"/>
        <v>0</v>
      </c>
      <c r="AG3209" s="99">
        <f t="shared" si="151"/>
        <v>0</v>
      </c>
      <c r="AH3209" s="10" t="str">
        <f>IFERROR(VLOOKUP(B3209,'Pre-Summary'!$AZ$6:$BE$65,3,FALSE),"")</f>
        <v/>
      </c>
      <c r="AI3209" s="10" t="str">
        <f>IFERROR(VLOOKUP(B3209,'Pre-Summary'!$AZ$6:$BE$65,5,FALSE),"")</f>
        <v/>
      </c>
      <c r="AJ3209" s="10" t="str">
        <f>IFERROR(VLOOKUP(B3209,'Pre-Summary'!$AZ$6:$BE$65,4,FALSE),"")</f>
        <v/>
      </c>
      <c r="AK3209" s="10" t="str">
        <f>IFERROR(VLOOKUP(B3209,'Pre-Summary'!$AZ$6:$BE$65,6,FALSE),"")</f>
        <v/>
      </c>
      <c r="AL3209" s="10" t="str">
        <f>IFERROR(VLOOKUP(B3209,'Pre-Summary'!$BG$6:$BL$44,3,FALSE),"")</f>
        <v/>
      </c>
      <c r="AM3209" s="10" t="str">
        <f>IFERROR(VLOOKUP(B3209,'Pre-Summary'!$BG$6:$BL$44,4,FALSE),"")</f>
        <v/>
      </c>
    </row>
    <row r="3210" spans="2:39" ht="15" customHeight="1" x14ac:dyDescent="0.3">
      <c r="B3210">
        <v>320.70000000000198</v>
      </c>
      <c r="D3210" s="10"/>
      <c r="E3210" s="10"/>
      <c r="F3210">
        <f>IFERROR(VLOOKUP(B3210,'Pre-Summary'!$AL$6:$AQ$13,6,FALSE),F3209)</f>
        <v>5.9405263157894746E-2</v>
      </c>
      <c r="M3210" s="45" t="str">
        <f>IFERROR(VLOOKUP(B3210,'Pre-Summary'!$BW$6:$BY$58,2,FALSE),"")</f>
        <v/>
      </c>
      <c r="N3210" s="45" t="str">
        <f>IFERROR(VLOOKUP(B3210,'Pre-Summary'!$CD$6:$CF$64,2,FALSE),"")</f>
        <v/>
      </c>
      <c r="O3210" s="99">
        <f>IFERROR(VLOOKUP(B3210,'Pre-Summary'!$BO$6:$BQ$48,3, FALSE),O3209)</f>
        <v>3.3239999999999998</v>
      </c>
      <c r="P3210" s="99">
        <f>IFERROR(VLOOKUP(B3210,'Pre-Summary'!$BS$6:$BU$35,3,FALSE),P3209)</f>
        <v>0.84099999999999997</v>
      </c>
      <c r="Q3210" s="54">
        <f t="shared" si="152"/>
        <v>3.9524375743162903</v>
      </c>
      <c r="R3210" s="53">
        <f>IFERROR(VLOOKUP(B3210,'Pre-Summary'!$BG$6:$BM$44,7,FALSE),R3211)</f>
        <v>0</v>
      </c>
      <c r="S3210" s="53" t="e">
        <f>VLOOKUP(B3210,'Pre-Summary'!$BG$6:$BM$44,6,FALSE)</f>
        <v>#N/A</v>
      </c>
      <c r="Z3210" s="45" t="str">
        <f>IFERROR(VLOOKUP(B3210,'Pre-Summary'!$BZ$6:$CB$63,2,FALSE),"")</f>
        <v/>
      </c>
      <c r="AA3210" s="45" t="str">
        <f>IFERROR(VLOOKUP(B3210,'Pre-Summary'!$CG$6:$CI$70,2,FALSE),"")</f>
        <v/>
      </c>
      <c r="AB3210" s="99">
        <f>IFERROR(VLOOKUP(B3210,'Pre-Summary'!$A$6:$P$178,9,FALSE),AB3211)</f>
        <v>0</v>
      </c>
      <c r="AC3210" s="10">
        <f>IFERROR(VLOOKUP(Summary!B3210,'Pre-Summary'!$A$6:$P$184,5, FALSE)/100,AC3211)</f>
        <v>0</v>
      </c>
      <c r="AD3210" s="10">
        <f>IFERROR(VLOOKUP(Summary!B3210,'Pre-Summary'!$A$6:$P$184,3, FALSE)/100,AD3211)</f>
        <v>0</v>
      </c>
      <c r="AE3210" s="10">
        <f>IFERROR(VLOOKUP(Summary!B3210,'Pre-Summary'!$A$6:$P$184,7, FALSE)/100,AE3211)</f>
        <v>0</v>
      </c>
      <c r="AF3210" s="99">
        <f t="shared" si="150"/>
        <v>0</v>
      </c>
      <c r="AG3210" s="99">
        <f t="shared" si="151"/>
        <v>0</v>
      </c>
      <c r="AH3210" s="10" t="str">
        <f>IFERROR(VLOOKUP(B3210,'Pre-Summary'!$AZ$6:$BE$65,3,FALSE),"")</f>
        <v/>
      </c>
      <c r="AI3210" s="10" t="str">
        <f>IFERROR(VLOOKUP(B3210,'Pre-Summary'!$AZ$6:$BE$65,5,FALSE),"")</f>
        <v/>
      </c>
      <c r="AJ3210" s="10" t="str">
        <f>IFERROR(VLOOKUP(B3210,'Pre-Summary'!$AZ$6:$BE$65,4,FALSE),"")</f>
        <v/>
      </c>
      <c r="AK3210" s="10" t="str">
        <f>IFERROR(VLOOKUP(B3210,'Pre-Summary'!$AZ$6:$BE$65,6,FALSE),"")</f>
        <v/>
      </c>
      <c r="AL3210" s="10" t="str">
        <f>IFERROR(VLOOKUP(B3210,'Pre-Summary'!$BG$6:$BL$44,3,FALSE),"")</f>
        <v/>
      </c>
      <c r="AM3210" s="10" t="str">
        <f>IFERROR(VLOOKUP(B3210,'Pre-Summary'!$BG$6:$BL$44,4,FALSE),"")</f>
        <v/>
      </c>
    </row>
    <row r="3211" spans="2:39" ht="15" customHeight="1" x14ac:dyDescent="0.3">
      <c r="B3211">
        <v>320.800000000002</v>
      </c>
      <c r="D3211" s="10"/>
      <c r="E3211" s="10"/>
      <c r="F3211">
        <f>IFERROR(VLOOKUP(B3211,'Pre-Summary'!$AL$6:$AQ$13,6,FALSE),F3210)</f>
        <v>5.9405263157894746E-2</v>
      </c>
      <c r="M3211" s="45" t="str">
        <f>IFERROR(VLOOKUP(B3211,'Pre-Summary'!$BW$6:$BY$58,2,FALSE),"")</f>
        <v/>
      </c>
      <c r="N3211" s="45" t="str">
        <f>IFERROR(VLOOKUP(B3211,'Pre-Summary'!$CD$6:$CF$64,2,FALSE),"")</f>
        <v/>
      </c>
      <c r="O3211" s="99">
        <f>IFERROR(VLOOKUP(B3211,'Pre-Summary'!$BO$6:$BQ$48,3, FALSE),O3210)</f>
        <v>3.3239999999999998</v>
      </c>
      <c r="P3211" s="99">
        <f>IFERROR(VLOOKUP(B3211,'Pre-Summary'!$BS$6:$BU$35,3,FALSE),P3210)</f>
        <v>0.84099999999999997</v>
      </c>
      <c r="Q3211" s="54">
        <f t="shared" si="152"/>
        <v>3.9524375743162903</v>
      </c>
      <c r="R3211" s="53">
        <f>IFERROR(VLOOKUP(B3211,'Pre-Summary'!$BG$6:$BM$44,7,FALSE),R3212)</f>
        <v>0</v>
      </c>
      <c r="S3211" s="53" t="e">
        <f>VLOOKUP(B3211,'Pre-Summary'!$BG$6:$BM$44,6,FALSE)</f>
        <v>#N/A</v>
      </c>
      <c r="Z3211" s="45" t="str">
        <f>IFERROR(VLOOKUP(B3211,'Pre-Summary'!$BZ$6:$CB$63,2,FALSE),"")</f>
        <v/>
      </c>
      <c r="AA3211" s="45" t="str">
        <f>IFERROR(VLOOKUP(B3211,'Pre-Summary'!$CG$6:$CI$70,2,FALSE),"")</f>
        <v/>
      </c>
      <c r="AB3211" s="99">
        <f>IFERROR(VLOOKUP(B3211,'Pre-Summary'!$A$6:$P$178,9,FALSE),AB3212)</f>
        <v>0</v>
      </c>
      <c r="AC3211" s="10">
        <f>IFERROR(VLOOKUP(Summary!B3211,'Pre-Summary'!$A$6:$P$184,5, FALSE)/100,AC3212)</f>
        <v>0</v>
      </c>
      <c r="AD3211" s="10">
        <f>IFERROR(VLOOKUP(Summary!B3211,'Pre-Summary'!$A$6:$P$184,3, FALSE)/100,AD3212)</f>
        <v>0</v>
      </c>
      <c r="AE3211" s="10">
        <f>IFERROR(VLOOKUP(Summary!B3211,'Pre-Summary'!$A$6:$P$184,7, FALSE)/100,AE3212)</f>
        <v>0</v>
      </c>
      <c r="AF3211" s="99">
        <f t="shared" si="150"/>
        <v>0</v>
      </c>
      <c r="AG3211" s="99">
        <f t="shared" si="151"/>
        <v>0</v>
      </c>
      <c r="AH3211" s="10" t="str">
        <f>IFERROR(VLOOKUP(B3211,'Pre-Summary'!$AZ$6:$BE$65,3,FALSE),"")</f>
        <v/>
      </c>
      <c r="AI3211" s="10" t="str">
        <f>IFERROR(VLOOKUP(B3211,'Pre-Summary'!$AZ$6:$BE$65,5,FALSE),"")</f>
        <v/>
      </c>
      <c r="AJ3211" s="10" t="str">
        <f>IFERROR(VLOOKUP(B3211,'Pre-Summary'!$AZ$6:$BE$65,4,FALSE),"")</f>
        <v/>
      </c>
      <c r="AK3211" s="10" t="str">
        <f>IFERROR(VLOOKUP(B3211,'Pre-Summary'!$AZ$6:$BE$65,6,FALSE),"")</f>
        <v/>
      </c>
      <c r="AL3211" s="10" t="str">
        <f>IFERROR(VLOOKUP(B3211,'Pre-Summary'!$BG$6:$BL$44,3,FALSE),"")</f>
        <v/>
      </c>
      <c r="AM3211" s="10" t="str">
        <f>IFERROR(VLOOKUP(B3211,'Pre-Summary'!$BG$6:$BL$44,4,FALSE),"")</f>
        <v/>
      </c>
    </row>
    <row r="3212" spans="2:39" ht="15" customHeight="1" x14ac:dyDescent="0.3">
      <c r="B3212">
        <v>320.90000000000202</v>
      </c>
      <c r="D3212" s="10"/>
      <c r="E3212" s="10"/>
      <c r="F3212">
        <f>IFERROR(VLOOKUP(B3212,'Pre-Summary'!$AL$6:$AQ$13,6,FALSE),F3211)</f>
        <v>5.9405263157894746E-2</v>
      </c>
      <c r="M3212" s="45" t="str">
        <f>IFERROR(VLOOKUP(B3212,'Pre-Summary'!$BW$6:$BY$58,2,FALSE),"")</f>
        <v/>
      </c>
      <c r="N3212" s="45" t="str">
        <f>IFERROR(VLOOKUP(B3212,'Pre-Summary'!$CD$6:$CF$64,2,FALSE),"")</f>
        <v/>
      </c>
      <c r="O3212" s="99">
        <f>IFERROR(VLOOKUP(B3212,'Pre-Summary'!$BO$6:$BQ$48,3, FALSE),O3211)</f>
        <v>3.3239999999999998</v>
      </c>
      <c r="P3212" s="99">
        <f>IFERROR(VLOOKUP(B3212,'Pre-Summary'!$BS$6:$BU$35,3,FALSE),P3211)</f>
        <v>0.84099999999999997</v>
      </c>
      <c r="Q3212" s="54">
        <f t="shared" si="152"/>
        <v>3.9524375743162903</v>
      </c>
      <c r="R3212" s="53">
        <f>IFERROR(VLOOKUP(B3212,'Pre-Summary'!$BG$6:$BM$44,7,FALSE),R3213)</f>
        <v>0</v>
      </c>
      <c r="S3212" s="53" t="e">
        <f>VLOOKUP(B3212,'Pre-Summary'!$BG$6:$BM$44,6,FALSE)</f>
        <v>#N/A</v>
      </c>
      <c r="Z3212" s="45" t="str">
        <f>IFERROR(VLOOKUP(B3212,'Pre-Summary'!$BZ$6:$CB$63,2,FALSE),"")</f>
        <v/>
      </c>
      <c r="AA3212" s="45" t="str">
        <f>IFERROR(VLOOKUP(B3212,'Pre-Summary'!$CG$6:$CI$70,2,FALSE),"")</f>
        <v/>
      </c>
      <c r="AB3212" s="99">
        <f>IFERROR(VLOOKUP(B3212,'Pre-Summary'!$A$6:$P$178,9,FALSE),AB3213)</f>
        <v>0</v>
      </c>
      <c r="AC3212" s="10">
        <f>IFERROR(VLOOKUP(Summary!B3212,'Pre-Summary'!$A$6:$P$184,5, FALSE)/100,AC3213)</f>
        <v>0</v>
      </c>
      <c r="AD3212" s="10">
        <f>IFERROR(VLOOKUP(Summary!B3212,'Pre-Summary'!$A$6:$P$184,3, FALSE)/100,AD3213)</f>
        <v>0</v>
      </c>
      <c r="AE3212" s="10">
        <f>IFERROR(VLOOKUP(Summary!B3212,'Pre-Summary'!$A$6:$P$184,7, FALSE)/100,AE3213)</f>
        <v>0</v>
      </c>
      <c r="AF3212" s="99">
        <f t="shared" si="150"/>
        <v>0</v>
      </c>
      <c r="AG3212" s="99">
        <f t="shared" si="151"/>
        <v>0</v>
      </c>
      <c r="AH3212" s="10" t="str">
        <f>IFERROR(VLOOKUP(B3212,'Pre-Summary'!$AZ$6:$BE$65,3,FALSE),"")</f>
        <v/>
      </c>
      <c r="AI3212" s="10" t="str">
        <f>IFERROR(VLOOKUP(B3212,'Pre-Summary'!$AZ$6:$BE$65,5,FALSE),"")</f>
        <v/>
      </c>
      <c r="AJ3212" s="10" t="str">
        <f>IFERROR(VLOOKUP(B3212,'Pre-Summary'!$AZ$6:$BE$65,4,FALSE),"")</f>
        <v/>
      </c>
      <c r="AK3212" s="10" t="str">
        <f>IFERROR(VLOOKUP(B3212,'Pre-Summary'!$AZ$6:$BE$65,6,FALSE),"")</f>
        <v/>
      </c>
      <c r="AL3212" s="10" t="str">
        <f>IFERROR(VLOOKUP(B3212,'Pre-Summary'!$BG$6:$BL$44,3,FALSE),"")</f>
        <v/>
      </c>
      <c r="AM3212" s="10" t="str">
        <f>IFERROR(VLOOKUP(B3212,'Pre-Summary'!$BG$6:$BL$44,4,FALSE),"")</f>
        <v/>
      </c>
    </row>
    <row r="3213" spans="2:39" ht="15" customHeight="1" x14ac:dyDescent="0.3">
      <c r="B3213">
        <v>321.00000000000301</v>
      </c>
      <c r="D3213" s="10"/>
      <c r="E3213" s="10"/>
      <c r="F3213">
        <f>IFERROR(VLOOKUP(B3213,'Pre-Summary'!$AL$6:$AQ$13,6,FALSE),F3212)</f>
        <v>5.9405263157894746E-2</v>
      </c>
      <c r="M3213" s="45" t="str">
        <f>IFERROR(VLOOKUP(B3213,'Pre-Summary'!$BW$6:$BY$58,2,FALSE),"")</f>
        <v/>
      </c>
      <c r="N3213" s="45" t="str">
        <f>IFERROR(VLOOKUP(B3213,'Pre-Summary'!$CD$6:$CF$64,2,FALSE),"")</f>
        <v/>
      </c>
      <c r="O3213" s="99">
        <f>IFERROR(VLOOKUP(B3213,'Pre-Summary'!$BO$6:$BQ$48,3, FALSE),O3212)</f>
        <v>3.3239999999999998</v>
      </c>
      <c r="P3213" s="99">
        <f>IFERROR(VLOOKUP(B3213,'Pre-Summary'!$BS$6:$BU$35,3,FALSE),P3212)</f>
        <v>0.84099999999999997</v>
      </c>
      <c r="Q3213" s="54">
        <f t="shared" si="152"/>
        <v>3.9524375743162903</v>
      </c>
      <c r="R3213" s="53">
        <f>IFERROR(VLOOKUP(B3213,'Pre-Summary'!$BG$6:$BM$44,7,FALSE),R3214)</f>
        <v>0</v>
      </c>
      <c r="S3213" s="53" t="e">
        <f>VLOOKUP(B3213,'Pre-Summary'!$BG$6:$BM$44,6,FALSE)</f>
        <v>#N/A</v>
      </c>
      <c r="Z3213" s="45" t="str">
        <f>IFERROR(VLOOKUP(B3213,'Pre-Summary'!$BZ$6:$CB$63,2,FALSE),"")</f>
        <v/>
      </c>
      <c r="AA3213" s="45" t="str">
        <f>IFERROR(VLOOKUP(B3213,'Pre-Summary'!$CG$6:$CI$70,2,FALSE),"")</f>
        <v/>
      </c>
      <c r="AB3213" s="99">
        <f>IFERROR(VLOOKUP(B3213,'Pre-Summary'!$A$6:$P$178,9,FALSE),AB3214)</f>
        <v>0</v>
      </c>
      <c r="AC3213" s="10">
        <f>IFERROR(VLOOKUP(Summary!B3213,'Pre-Summary'!$A$6:$P$184,5, FALSE)/100,AC3214)</f>
        <v>0</v>
      </c>
      <c r="AD3213" s="10">
        <f>IFERROR(VLOOKUP(Summary!B3213,'Pre-Summary'!$A$6:$P$184,3, FALSE)/100,AD3214)</f>
        <v>0</v>
      </c>
      <c r="AE3213" s="10">
        <f>IFERROR(VLOOKUP(Summary!B3213,'Pre-Summary'!$A$6:$P$184,7, FALSE)/100,AE3214)</f>
        <v>0</v>
      </c>
      <c r="AF3213" s="99">
        <f t="shared" si="150"/>
        <v>0</v>
      </c>
      <c r="AG3213" s="99">
        <f t="shared" si="151"/>
        <v>0</v>
      </c>
      <c r="AH3213" s="10" t="str">
        <f>IFERROR(VLOOKUP(B3213,'Pre-Summary'!$AZ$6:$BE$65,3,FALSE),"")</f>
        <v/>
      </c>
      <c r="AI3213" s="10" t="str">
        <f>IFERROR(VLOOKUP(B3213,'Pre-Summary'!$AZ$6:$BE$65,5,FALSE),"")</f>
        <v/>
      </c>
      <c r="AJ3213" s="10" t="str">
        <f>IFERROR(VLOOKUP(B3213,'Pre-Summary'!$AZ$6:$BE$65,4,FALSE),"")</f>
        <v/>
      </c>
      <c r="AK3213" s="10" t="str">
        <f>IFERROR(VLOOKUP(B3213,'Pre-Summary'!$AZ$6:$BE$65,6,FALSE),"")</f>
        <v/>
      </c>
      <c r="AL3213" s="10" t="str">
        <f>IFERROR(VLOOKUP(B3213,'Pre-Summary'!$BG$6:$BL$44,3,FALSE),"")</f>
        <v/>
      </c>
      <c r="AM3213" s="10" t="str">
        <f>IFERROR(VLOOKUP(B3213,'Pre-Summary'!$BG$6:$BL$44,4,FALSE),"")</f>
        <v/>
      </c>
    </row>
    <row r="3214" spans="2:39" ht="15" customHeight="1" x14ac:dyDescent="0.3">
      <c r="B3214">
        <v>321.10000000000201</v>
      </c>
      <c r="D3214" s="10"/>
      <c r="E3214" s="10"/>
      <c r="F3214">
        <f>IFERROR(VLOOKUP(B3214,'Pre-Summary'!$AL$6:$AQ$13,6,FALSE),F3213)</f>
        <v>5.9405263157894746E-2</v>
      </c>
      <c r="M3214" s="45" t="str">
        <f>IFERROR(VLOOKUP(B3214,'Pre-Summary'!$BW$6:$BY$58,2,FALSE),"")</f>
        <v/>
      </c>
      <c r="N3214" s="45" t="str">
        <f>IFERROR(VLOOKUP(B3214,'Pre-Summary'!$CD$6:$CF$64,2,FALSE),"")</f>
        <v/>
      </c>
      <c r="O3214" s="99">
        <f>IFERROR(VLOOKUP(B3214,'Pre-Summary'!$BO$6:$BQ$48,3, FALSE),O3213)</f>
        <v>3.3239999999999998</v>
      </c>
      <c r="P3214" s="99">
        <f>IFERROR(VLOOKUP(B3214,'Pre-Summary'!$BS$6:$BU$35,3,FALSE),P3213)</f>
        <v>0.84099999999999997</v>
      </c>
      <c r="Q3214" s="54">
        <f t="shared" si="152"/>
        <v>3.9524375743162903</v>
      </c>
      <c r="R3214" s="53">
        <f>IFERROR(VLOOKUP(B3214,'Pre-Summary'!$BG$6:$BM$44,7,FALSE),R3215)</f>
        <v>0</v>
      </c>
      <c r="S3214" s="53" t="e">
        <f>VLOOKUP(B3214,'Pre-Summary'!$BG$6:$BM$44,6,FALSE)</f>
        <v>#N/A</v>
      </c>
      <c r="Z3214" s="45" t="str">
        <f>IFERROR(VLOOKUP(B3214,'Pre-Summary'!$BZ$6:$CB$63,2,FALSE),"")</f>
        <v/>
      </c>
      <c r="AA3214" s="45" t="str">
        <f>IFERROR(VLOOKUP(B3214,'Pre-Summary'!$CG$6:$CI$70,2,FALSE),"")</f>
        <v/>
      </c>
      <c r="AB3214" s="99">
        <f>IFERROR(VLOOKUP(B3214,'Pre-Summary'!$A$6:$P$178,9,FALSE),AB3215)</f>
        <v>0</v>
      </c>
      <c r="AC3214" s="10">
        <f>IFERROR(VLOOKUP(Summary!B3214,'Pre-Summary'!$A$6:$P$184,5, FALSE)/100,AC3215)</f>
        <v>0</v>
      </c>
      <c r="AD3214" s="10">
        <f>IFERROR(VLOOKUP(Summary!B3214,'Pre-Summary'!$A$6:$P$184,3, FALSE)/100,AD3215)</f>
        <v>0</v>
      </c>
      <c r="AE3214" s="10">
        <f>IFERROR(VLOOKUP(Summary!B3214,'Pre-Summary'!$A$6:$P$184,7, FALSE)/100,AE3215)</f>
        <v>0</v>
      </c>
      <c r="AF3214" s="99">
        <f t="shared" si="150"/>
        <v>0</v>
      </c>
      <c r="AG3214" s="99">
        <f t="shared" si="151"/>
        <v>0</v>
      </c>
      <c r="AH3214" s="10" t="str">
        <f>IFERROR(VLOOKUP(B3214,'Pre-Summary'!$AZ$6:$BE$65,3,FALSE),"")</f>
        <v/>
      </c>
      <c r="AI3214" s="10" t="str">
        <f>IFERROR(VLOOKUP(B3214,'Pre-Summary'!$AZ$6:$BE$65,5,FALSE),"")</f>
        <v/>
      </c>
      <c r="AJ3214" s="10" t="str">
        <f>IFERROR(VLOOKUP(B3214,'Pre-Summary'!$AZ$6:$BE$65,4,FALSE),"")</f>
        <v/>
      </c>
      <c r="AK3214" s="10" t="str">
        <f>IFERROR(VLOOKUP(B3214,'Pre-Summary'!$AZ$6:$BE$65,6,FALSE),"")</f>
        <v/>
      </c>
      <c r="AL3214" s="10" t="str">
        <f>IFERROR(VLOOKUP(B3214,'Pre-Summary'!$BG$6:$BL$44,3,FALSE),"")</f>
        <v/>
      </c>
      <c r="AM3214" s="10" t="str">
        <f>IFERROR(VLOOKUP(B3214,'Pre-Summary'!$BG$6:$BL$44,4,FALSE),"")</f>
        <v/>
      </c>
    </row>
    <row r="3215" spans="2:39" ht="15" customHeight="1" x14ac:dyDescent="0.3">
      <c r="B3215">
        <v>321.200000000003</v>
      </c>
      <c r="D3215" s="10"/>
      <c r="E3215" s="10"/>
      <c r="F3215">
        <f>IFERROR(VLOOKUP(B3215,'Pre-Summary'!$AL$6:$AQ$13,6,FALSE),F3214)</f>
        <v>5.9405263157894746E-2</v>
      </c>
      <c r="M3215" s="45" t="str">
        <f>IFERROR(VLOOKUP(B3215,'Pre-Summary'!$BW$6:$BY$58,2,FALSE),"")</f>
        <v/>
      </c>
      <c r="N3215" s="45" t="str">
        <f>IFERROR(VLOOKUP(B3215,'Pre-Summary'!$CD$6:$CF$64,2,FALSE),"")</f>
        <v/>
      </c>
      <c r="O3215" s="99">
        <f>IFERROR(VLOOKUP(B3215,'Pre-Summary'!$BO$6:$BQ$48,3, FALSE),O3214)</f>
        <v>3.3239999999999998</v>
      </c>
      <c r="P3215" s="99">
        <f>IFERROR(VLOOKUP(B3215,'Pre-Summary'!$BS$6:$BU$35,3,FALSE),P3214)</f>
        <v>0.84099999999999997</v>
      </c>
      <c r="Q3215" s="54">
        <f t="shared" si="152"/>
        <v>3.9524375743162903</v>
      </c>
      <c r="R3215" s="53">
        <f>IFERROR(VLOOKUP(B3215,'Pre-Summary'!$BG$6:$BM$44,7,FALSE),R3216)</f>
        <v>0</v>
      </c>
      <c r="S3215" s="53" t="e">
        <f>VLOOKUP(B3215,'Pre-Summary'!$BG$6:$BM$44,6,FALSE)</f>
        <v>#N/A</v>
      </c>
      <c r="Z3215" s="45" t="str">
        <f>IFERROR(VLOOKUP(B3215,'Pre-Summary'!$BZ$6:$CB$63,2,FALSE),"")</f>
        <v/>
      </c>
      <c r="AA3215" s="45" t="str">
        <f>IFERROR(VLOOKUP(B3215,'Pre-Summary'!$CG$6:$CI$70,2,FALSE),"")</f>
        <v/>
      </c>
      <c r="AB3215" s="99">
        <f>IFERROR(VLOOKUP(B3215,'Pre-Summary'!$A$6:$P$178,9,FALSE),AB3216)</f>
        <v>0</v>
      </c>
      <c r="AC3215" s="10">
        <f>IFERROR(VLOOKUP(Summary!B3215,'Pre-Summary'!$A$6:$P$184,5, FALSE)/100,AC3216)</f>
        <v>0</v>
      </c>
      <c r="AD3215" s="10">
        <f>IFERROR(VLOOKUP(Summary!B3215,'Pre-Summary'!$A$6:$P$184,3, FALSE)/100,AD3216)</f>
        <v>0</v>
      </c>
      <c r="AE3215" s="10">
        <f>IFERROR(VLOOKUP(Summary!B3215,'Pre-Summary'!$A$6:$P$184,7, FALSE)/100,AE3216)</f>
        <v>0</v>
      </c>
      <c r="AF3215" s="99">
        <f t="shared" si="150"/>
        <v>0</v>
      </c>
      <c r="AG3215" s="99">
        <f t="shared" si="151"/>
        <v>0</v>
      </c>
      <c r="AH3215" s="10" t="str">
        <f>IFERROR(VLOOKUP(B3215,'Pre-Summary'!$AZ$6:$BE$65,3,FALSE),"")</f>
        <v/>
      </c>
      <c r="AI3215" s="10" t="str">
        <f>IFERROR(VLOOKUP(B3215,'Pre-Summary'!$AZ$6:$BE$65,5,FALSE),"")</f>
        <v/>
      </c>
      <c r="AJ3215" s="10" t="str">
        <f>IFERROR(VLOOKUP(B3215,'Pre-Summary'!$AZ$6:$BE$65,4,FALSE),"")</f>
        <v/>
      </c>
      <c r="AK3215" s="10" t="str">
        <f>IFERROR(VLOOKUP(B3215,'Pre-Summary'!$AZ$6:$BE$65,6,FALSE),"")</f>
        <v/>
      </c>
      <c r="AL3215" s="10" t="str">
        <f>IFERROR(VLOOKUP(B3215,'Pre-Summary'!$BG$6:$BL$44,3,FALSE),"")</f>
        <v/>
      </c>
      <c r="AM3215" s="10" t="str">
        <f>IFERROR(VLOOKUP(B3215,'Pre-Summary'!$BG$6:$BL$44,4,FALSE),"")</f>
        <v/>
      </c>
    </row>
    <row r="3216" spans="2:39" ht="15" customHeight="1" x14ac:dyDescent="0.3">
      <c r="B3216">
        <v>321.30000000000302</v>
      </c>
      <c r="D3216" s="10"/>
      <c r="E3216" s="10"/>
      <c r="F3216">
        <f>IFERROR(VLOOKUP(B3216,'Pre-Summary'!$AL$6:$AQ$13,6,FALSE),F3215)</f>
        <v>5.9405263157894746E-2</v>
      </c>
      <c r="M3216" s="45" t="str">
        <f>IFERROR(VLOOKUP(B3216,'Pre-Summary'!$BW$6:$BY$58,2,FALSE),"")</f>
        <v/>
      </c>
      <c r="N3216" s="45" t="str">
        <f>IFERROR(VLOOKUP(B3216,'Pre-Summary'!$CD$6:$CF$64,2,FALSE),"")</f>
        <v/>
      </c>
      <c r="O3216" s="99">
        <f>IFERROR(VLOOKUP(B3216,'Pre-Summary'!$BO$6:$BQ$48,3, FALSE),O3215)</f>
        <v>3.3239999999999998</v>
      </c>
      <c r="P3216" s="99">
        <f>IFERROR(VLOOKUP(B3216,'Pre-Summary'!$BS$6:$BU$35,3,FALSE),P3215)</f>
        <v>0.84099999999999997</v>
      </c>
      <c r="Q3216" s="54">
        <f t="shared" si="152"/>
        <v>3.9524375743162903</v>
      </c>
      <c r="R3216" s="53">
        <f>IFERROR(VLOOKUP(B3216,'Pre-Summary'!$BG$6:$BM$44,7,FALSE),R3217)</f>
        <v>0</v>
      </c>
      <c r="S3216" s="53" t="e">
        <f>VLOOKUP(B3216,'Pre-Summary'!$BG$6:$BM$44,6,FALSE)</f>
        <v>#N/A</v>
      </c>
      <c r="Z3216" s="45" t="str">
        <f>IFERROR(VLOOKUP(B3216,'Pre-Summary'!$BZ$6:$CB$63,2,FALSE),"")</f>
        <v/>
      </c>
      <c r="AA3216" s="45" t="str">
        <f>IFERROR(VLOOKUP(B3216,'Pre-Summary'!$CG$6:$CI$70,2,FALSE),"")</f>
        <v/>
      </c>
      <c r="AB3216" s="99">
        <f>IFERROR(VLOOKUP(B3216,'Pre-Summary'!$A$6:$P$178,9,FALSE),AB3217)</f>
        <v>0</v>
      </c>
      <c r="AC3216" s="10">
        <f>IFERROR(VLOOKUP(Summary!B3216,'Pre-Summary'!$A$6:$P$184,5, FALSE)/100,AC3217)</f>
        <v>0</v>
      </c>
      <c r="AD3216" s="10">
        <f>IFERROR(VLOOKUP(Summary!B3216,'Pre-Summary'!$A$6:$P$184,3, FALSE)/100,AD3217)</f>
        <v>0</v>
      </c>
      <c r="AE3216" s="10">
        <f>IFERROR(VLOOKUP(Summary!B3216,'Pre-Summary'!$A$6:$P$184,7, FALSE)/100,AE3217)</f>
        <v>0</v>
      </c>
      <c r="AF3216" s="99">
        <f t="shared" si="150"/>
        <v>0</v>
      </c>
      <c r="AG3216" s="99">
        <f t="shared" si="151"/>
        <v>0</v>
      </c>
      <c r="AH3216" s="10" t="str">
        <f>IFERROR(VLOOKUP(B3216,'Pre-Summary'!$AZ$6:$BE$65,3,FALSE),"")</f>
        <v/>
      </c>
      <c r="AI3216" s="10" t="str">
        <f>IFERROR(VLOOKUP(B3216,'Pre-Summary'!$AZ$6:$BE$65,5,FALSE),"")</f>
        <v/>
      </c>
      <c r="AJ3216" s="10" t="str">
        <f>IFERROR(VLOOKUP(B3216,'Pre-Summary'!$AZ$6:$BE$65,4,FALSE),"")</f>
        <v/>
      </c>
      <c r="AK3216" s="10" t="str">
        <f>IFERROR(VLOOKUP(B3216,'Pre-Summary'!$AZ$6:$BE$65,6,FALSE),"")</f>
        <v/>
      </c>
      <c r="AL3216" s="10" t="str">
        <f>IFERROR(VLOOKUP(B3216,'Pre-Summary'!$BG$6:$BL$44,3,FALSE),"")</f>
        <v/>
      </c>
      <c r="AM3216" s="10" t="str">
        <f>IFERROR(VLOOKUP(B3216,'Pre-Summary'!$BG$6:$BL$44,4,FALSE),"")</f>
        <v/>
      </c>
    </row>
    <row r="3217" spans="2:39" ht="15" customHeight="1" x14ac:dyDescent="0.3">
      <c r="B3217">
        <v>321.40000000000299</v>
      </c>
      <c r="D3217" s="10"/>
      <c r="E3217" s="10"/>
      <c r="F3217">
        <f>IFERROR(VLOOKUP(B3217,'Pre-Summary'!$AL$6:$AQ$13,6,FALSE),F3216)</f>
        <v>5.9405263157894746E-2</v>
      </c>
      <c r="M3217" s="45" t="str">
        <f>IFERROR(VLOOKUP(B3217,'Pre-Summary'!$BW$6:$BY$58,2,FALSE),"")</f>
        <v/>
      </c>
      <c r="N3217" s="45" t="str">
        <f>IFERROR(VLOOKUP(B3217,'Pre-Summary'!$CD$6:$CF$64,2,FALSE),"")</f>
        <v/>
      </c>
      <c r="O3217" s="99">
        <f>IFERROR(VLOOKUP(B3217,'Pre-Summary'!$BO$6:$BQ$48,3, FALSE),O3216)</f>
        <v>3.3239999999999998</v>
      </c>
      <c r="P3217" s="99">
        <f>IFERROR(VLOOKUP(B3217,'Pre-Summary'!$BS$6:$BU$35,3,FALSE),P3216)</f>
        <v>0.84099999999999997</v>
      </c>
      <c r="Q3217" s="54">
        <f t="shared" si="152"/>
        <v>3.9524375743162903</v>
      </c>
      <c r="R3217" s="53">
        <f>IFERROR(VLOOKUP(B3217,'Pre-Summary'!$BG$6:$BM$44,7,FALSE),R3218)</f>
        <v>0</v>
      </c>
      <c r="S3217" s="53" t="e">
        <f>VLOOKUP(B3217,'Pre-Summary'!$BG$6:$BM$44,6,FALSE)</f>
        <v>#N/A</v>
      </c>
      <c r="Z3217" s="45" t="str">
        <f>IFERROR(VLOOKUP(B3217,'Pre-Summary'!$BZ$6:$CB$63,2,FALSE),"")</f>
        <v/>
      </c>
      <c r="AA3217" s="45" t="str">
        <f>IFERROR(VLOOKUP(B3217,'Pre-Summary'!$CG$6:$CI$70,2,FALSE),"")</f>
        <v/>
      </c>
      <c r="AB3217" s="99">
        <f>IFERROR(VLOOKUP(B3217,'Pre-Summary'!$A$6:$P$178,9,FALSE),AB3218)</f>
        <v>0</v>
      </c>
      <c r="AC3217" s="10">
        <f>IFERROR(VLOOKUP(Summary!B3217,'Pre-Summary'!$A$6:$P$184,5, FALSE)/100,AC3218)</f>
        <v>0</v>
      </c>
      <c r="AD3217" s="10">
        <f>IFERROR(VLOOKUP(Summary!B3217,'Pre-Summary'!$A$6:$P$184,3, FALSE)/100,AD3218)</f>
        <v>0</v>
      </c>
      <c r="AE3217" s="10">
        <f>IFERROR(VLOOKUP(Summary!B3217,'Pre-Summary'!$A$6:$P$184,7, FALSE)/100,AE3218)</f>
        <v>0</v>
      </c>
      <c r="AF3217" s="99">
        <f t="shared" si="150"/>
        <v>0</v>
      </c>
      <c r="AG3217" s="99">
        <f t="shared" si="151"/>
        <v>0</v>
      </c>
      <c r="AH3217" s="10" t="str">
        <f>IFERROR(VLOOKUP(B3217,'Pre-Summary'!$AZ$6:$BE$65,3,FALSE),"")</f>
        <v/>
      </c>
      <c r="AI3217" s="10" t="str">
        <f>IFERROR(VLOOKUP(B3217,'Pre-Summary'!$AZ$6:$BE$65,5,FALSE),"")</f>
        <v/>
      </c>
      <c r="AJ3217" s="10" t="str">
        <f>IFERROR(VLOOKUP(B3217,'Pre-Summary'!$AZ$6:$BE$65,4,FALSE),"")</f>
        <v/>
      </c>
      <c r="AK3217" s="10" t="str">
        <f>IFERROR(VLOOKUP(B3217,'Pre-Summary'!$AZ$6:$BE$65,6,FALSE),"")</f>
        <v/>
      </c>
      <c r="AL3217" s="10" t="str">
        <f>IFERROR(VLOOKUP(B3217,'Pre-Summary'!$BG$6:$BL$44,3,FALSE),"")</f>
        <v/>
      </c>
      <c r="AM3217" s="10" t="str">
        <f>IFERROR(VLOOKUP(B3217,'Pre-Summary'!$BG$6:$BL$44,4,FALSE),"")</f>
        <v/>
      </c>
    </row>
    <row r="3218" spans="2:39" ht="15" customHeight="1" x14ac:dyDescent="0.3">
      <c r="B3218">
        <v>321.50000000000301</v>
      </c>
      <c r="D3218" s="10"/>
      <c r="E3218" s="10"/>
      <c r="F3218">
        <f>IFERROR(VLOOKUP(B3218,'Pre-Summary'!$AL$6:$AQ$13,6,FALSE),F3217)</f>
        <v>5.9405263157894746E-2</v>
      </c>
      <c r="M3218" s="45" t="str">
        <f>IFERROR(VLOOKUP(B3218,'Pre-Summary'!$BW$6:$BY$58,2,FALSE),"")</f>
        <v/>
      </c>
      <c r="N3218" s="45" t="str">
        <f>IFERROR(VLOOKUP(B3218,'Pre-Summary'!$CD$6:$CF$64,2,FALSE),"")</f>
        <v/>
      </c>
      <c r="O3218" s="99">
        <f>IFERROR(VLOOKUP(B3218,'Pre-Summary'!$BO$6:$BQ$48,3, FALSE),O3217)</f>
        <v>3.3239999999999998</v>
      </c>
      <c r="P3218" s="99">
        <f>IFERROR(VLOOKUP(B3218,'Pre-Summary'!$BS$6:$BU$35,3,FALSE),P3217)</f>
        <v>0.84099999999999997</v>
      </c>
      <c r="Q3218" s="54">
        <f t="shared" si="152"/>
        <v>3.9524375743162903</v>
      </c>
      <c r="R3218" s="53">
        <f>IFERROR(VLOOKUP(B3218,'Pre-Summary'!$BG$6:$BM$44,7,FALSE),R3219)</f>
        <v>0</v>
      </c>
      <c r="S3218" s="53" t="e">
        <f>VLOOKUP(B3218,'Pre-Summary'!$BG$6:$BM$44,6,FALSE)</f>
        <v>#N/A</v>
      </c>
      <c r="Z3218" s="45" t="str">
        <f>IFERROR(VLOOKUP(B3218,'Pre-Summary'!$BZ$6:$CB$63,2,FALSE),"")</f>
        <v/>
      </c>
      <c r="AA3218" s="45" t="str">
        <f>IFERROR(VLOOKUP(B3218,'Pre-Summary'!$CG$6:$CI$70,2,FALSE),"")</f>
        <v/>
      </c>
      <c r="AB3218" s="99">
        <f>IFERROR(VLOOKUP(B3218,'Pre-Summary'!$A$6:$P$178,9,FALSE),AB3219)</f>
        <v>0</v>
      </c>
      <c r="AC3218" s="10">
        <f>IFERROR(VLOOKUP(Summary!B3218,'Pre-Summary'!$A$6:$P$184,5, FALSE)/100,AC3219)</f>
        <v>0</v>
      </c>
      <c r="AD3218" s="10">
        <f>IFERROR(VLOOKUP(Summary!B3218,'Pre-Summary'!$A$6:$P$184,3, FALSE)/100,AD3219)</f>
        <v>0</v>
      </c>
      <c r="AE3218" s="10">
        <f>IFERROR(VLOOKUP(Summary!B3218,'Pre-Summary'!$A$6:$P$184,7, FALSE)/100,AE3219)</f>
        <v>0</v>
      </c>
      <c r="AF3218" s="99">
        <f t="shared" si="150"/>
        <v>0</v>
      </c>
      <c r="AG3218" s="99">
        <f t="shared" si="151"/>
        <v>0</v>
      </c>
      <c r="AH3218" s="10" t="str">
        <f>IFERROR(VLOOKUP(B3218,'Pre-Summary'!$AZ$6:$BE$65,3,FALSE),"")</f>
        <v/>
      </c>
      <c r="AI3218" s="10" t="str">
        <f>IFERROR(VLOOKUP(B3218,'Pre-Summary'!$AZ$6:$BE$65,5,FALSE),"")</f>
        <v/>
      </c>
      <c r="AJ3218" s="10" t="str">
        <f>IFERROR(VLOOKUP(B3218,'Pre-Summary'!$AZ$6:$BE$65,4,FALSE),"")</f>
        <v/>
      </c>
      <c r="AK3218" s="10" t="str">
        <f>IFERROR(VLOOKUP(B3218,'Pre-Summary'!$AZ$6:$BE$65,6,FALSE),"")</f>
        <v/>
      </c>
      <c r="AL3218" s="10" t="str">
        <f>IFERROR(VLOOKUP(B3218,'Pre-Summary'!$BG$6:$BL$44,3,FALSE),"")</f>
        <v/>
      </c>
      <c r="AM3218" s="10" t="str">
        <f>IFERROR(VLOOKUP(B3218,'Pre-Summary'!$BG$6:$BL$44,4,FALSE),"")</f>
        <v/>
      </c>
    </row>
    <row r="3219" spans="2:39" ht="15" customHeight="1" x14ac:dyDescent="0.3">
      <c r="B3219">
        <v>321.60000000000298</v>
      </c>
      <c r="D3219" s="10"/>
      <c r="E3219" s="10"/>
      <c r="F3219">
        <f>IFERROR(VLOOKUP(B3219,'Pre-Summary'!$AL$6:$AQ$13,6,FALSE),F3218)</f>
        <v>5.9405263157894746E-2</v>
      </c>
      <c r="M3219" s="45" t="str">
        <f>IFERROR(VLOOKUP(B3219,'Pre-Summary'!$BW$6:$BY$58,2,FALSE),"")</f>
        <v/>
      </c>
      <c r="N3219" s="45" t="str">
        <f>IFERROR(VLOOKUP(B3219,'Pre-Summary'!$CD$6:$CF$64,2,FALSE),"")</f>
        <v/>
      </c>
      <c r="O3219" s="99">
        <f>IFERROR(VLOOKUP(B3219,'Pre-Summary'!$BO$6:$BQ$48,3, FALSE),O3218)</f>
        <v>3.3239999999999998</v>
      </c>
      <c r="P3219" s="99">
        <f>IFERROR(VLOOKUP(B3219,'Pre-Summary'!$BS$6:$BU$35,3,FALSE),P3218)</f>
        <v>0.84099999999999997</v>
      </c>
      <c r="Q3219" s="54">
        <f t="shared" si="152"/>
        <v>3.9524375743162903</v>
      </c>
      <c r="R3219" s="53">
        <f>IFERROR(VLOOKUP(B3219,'Pre-Summary'!$BG$6:$BM$44,7,FALSE),R3220)</f>
        <v>0</v>
      </c>
      <c r="S3219" s="53" t="e">
        <f>VLOOKUP(B3219,'Pre-Summary'!$BG$6:$BM$44,6,FALSE)</f>
        <v>#N/A</v>
      </c>
      <c r="Z3219" s="45" t="str">
        <f>IFERROR(VLOOKUP(B3219,'Pre-Summary'!$BZ$6:$CB$63,2,FALSE),"")</f>
        <v/>
      </c>
      <c r="AA3219" s="45" t="str">
        <f>IFERROR(VLOOKUP(B3219,'Pre-Summary'!$CG$6:$CI$70,2,FALSE),"")</f>
        <v/>
      </c>
      <c r="AB3219" s="99">
        <f>IFERROR(VLOOKUP(B3219,'Pre-Summary'!$A$6:$P$178,9,FALSE),AB3220)</f>
        <v>0</v>
      </c>
      <c r="AC3219" s="10">
        <f>IFERROR(VLOOKUP(Summary!B3219,'Pre-Summary'!$A$6:$P$184,5, FALSE)/100,AC3220)</f>
        <v>0</v>
      </c>
      <c r="AD3219" s="10">
        <f>IFERROR(VLOOKUP(Summary!B3219,'Pre-Summary'!$A$6:$P$184,3, FALSE)/100,AD3220)</f>
        <v>0</v>
      </c>
      <c r="AE3219" s="10">
        <f>IFERROR(VLOOKUP(Summary!B3219,'Pre-Summary'!$A$6:$P$184,7, FALSE)/100,AE3220)</f>
        <v>0</v>
      </c>
      <c r="AF3219" s="99">
        <f t="shared" si="150"/>
        <v>0</v>
      </c>
      <c r="AG3219" s="99">
        <f t="shared" si="151"/>
        <v>0</v>
      </c>
      <c r="AH3219" s="10" t="str">
        <f>IFERROR(VLOOKUP(B3219,'Pre-Summary'!$AZ$6:$BE$65,3,FALSE),"")</f>
        <v/>
      </c>
      <c r="AI3219" s="10" t="str">
        <f>IFERROR(VLOOKUP(B3219,'Pre-Summary'!$AZ$6:$BE$65,5,FALSE),"")</f>
        <v/>
      </c>
      <c r="AJ3219" s="10" t="str">
        <f>IFERROR(VLOOKUP(B3219,'Pre-Summary'!$AZ$6:$BE$65,4,FALSE),"")</f>
        <v/>
      </c>
      <c r="AK3219" s="10" t="str">
        <f>IFERROR(VLOOKUP(B3219,'Pre-Summary'!$AZ$6:$BE$65,6,FALSE),"")</f>
        <v/>
      </c>
      <c r="AL3219" s="10" t="str">
        <f>IFERROR(VLOOKUP(B3219,'Pre-Summary'!$BG$6:$BL$44,3,FALSE),"")</f>
        <v/>
      </c>
      <c r="AM3219" s="10" t="str">
        <f>IFERROR(VLOOKUP(B3219,'Pre-Summary'!$BG$6:$BL$44,4,FALSE),"")</f>
        <v/>
      </c>
    </row>
    <row r="3220" spans="2:39" ht="15" customHeight="1" x14ac:dyDescent="0.3">
      <c r="B3220">
        <v>321.700000000003</v>
      </c>
      <c r="D3220" s="10"/>
      <c r="E3220" s="10"/>
      <c r="F3220">
        <f>IFERROR(VLOOKUP(B3220,'Pre-Summary'!$AL$6:$AQ$13,6,FALSE),F3219)</f>
        <v>5.9405263157894746E-2</v>
      </c>
      <c r="M3220" s="45" t="str">
        <f>IFERROR(VLOOKUP(B3220,'Pre-Summary'!$BW$6:$BY$58,2,FALSE),"")</f>
        <v/>
      </c>
      <c r="N3220" s="45" t="str">
        <f>IFERROR(VLOOKUP(B3220,'Pre-Summary'!$CD$6:$CF$64,2,FALSE),"")</f>
        <v/>
      </c>
      <c r="O3220" s="99">
        <f>IFERROR(VLOOKUP(B3220,'Pre-Summary'!$BO$6:$BQ$48,3, FALSE),O3219)</f>
        <v>3.3239999999999998</v>
      </c>
      <c r="P3220" s="99">
        <f>IFERROR(VLOOKUP(B3220,'Pre-Summary'!$BS$6:$BU$35,3,FALSE),P3219)</f>
        <v>0.84099999999999997</v>
      </c>
      <c r="Q3220" s="54">
        <f t="shared" si="152"/>
        <v>3.9524375743162903</v>
      </c>
      <c r="R3220" s="53">
        <f>IFERROR(VLOOKUP(B3220,'Pre-Summary'!$BG$6:$BM$44,7,FALSE),R3221)</f>
        <v>0</v>
      </c>
      <c r="S3220" s="53" t="e">
        <f>VLOOKUP(B3220,'Pre-Summary'!$BG$6:$BM$44,6,FALSE)</f>
        <v>#N/A</v>
      </c>
      <c r="Z3220" s="45" t="str">
        <f>IFERROR(VLOOKUP(B3220,'Pre-Summary'!$BZ$6:$CB$63,2,FALSE),"")</f>
        <v/>
      </c>
      <c r="AA3220" s="45" t="str">
        <f>IFERROR(VLOOKUP(B3220,'Pre-Summary'!$CG$6:$CI$70,2,FALSE),"")</f>
        <v/>
      </c>
      <c r="AB3220" s="99">
        <f>IFERROR(VLOOKUP(B3220,'Pre-Summary'!$A$6:$P$178,9,FALSE),AB3221)</f>
        <v>0</v>
      </c>
      <c r="AC3220" s="10">
        <f>IFERROR(VLOOKUP(Summary!B3220,'Pre-Summary'!$A$6:$P$184,5, FALSE)/100,AC3221)</f>
        <v>0</v>
      </c>
      <c r="AD3220" s="10">
        <f>IFERROR(VLOOKUP(Summary!B3220,'Pre-Summary'!$A$6:$P$184,3, FALSE)/100,AD3221)</f>
        <v>0</v>
      </c>
      <c r="AE3220" s="10">
        <f>IFERROR(VLOOKUP(Summary!B3220,'Pre-Summary'!$A$6:$P$184,7, FALSE)/100,AE3221)</f>
        <v>0</v>
      </c>
      <c r="AF3220" s="99">
        <f t="shared" si="150"/>
        <v>0</v>
      </c>
      <c r="AG3220" s="99">
        <f t="shared" si="151"/>
        <v>0</v>
      </c>
      <c r="AH3220" s="10" t="str">
        <f>IFERROR(VLOOKUP(B3220,'Pre-Summary'!$AZ$6:$BE$65,3,FALSE),"")</f>
        <v/>
      </c>
      <c r="AI3220" s="10" t="str">
        <f>IFERROR(VLOOKUP(B3220,'Pre-Summary'!$AZ$6:$BE$65,5,FALSE),"")</f>
        <v/>
      </c>
      <c r="AJ3220" s="10" t="str">
        <f>IFERROR(VLOOKUP(B3220,'Pre-Summary'!$AZ$6:$BE$65,4,FALSE),"")</f>
        <v/>
      </c>
      <c r="AK3220" s="10" t="str">
        <f>IFERROR(VLOOKUP(B3220,'Pre-Summary'!$AZ$6:$BE$65,6,FALSE),"")</f>
        <v/>
      </c>
      <c r="AL3220" s="10" t="str">
        <f>IFERROR(VLOOKUP(B3220,'Pre-Summary'!$BG$6:$BL$44,3,FALSE),"")</f>
        <v/>
      </c>
      <c r="AM3220" s="10" t="str">
        <f>IFERROR(VLOOKUP(B3220,'Pre-Summary'!$BG$6:$BL$44,4,FALSE),"")</f>
        <v/>
      </c>
    </row>
    <row r="3221" spans="2:39" ht="15" customHeight="1" x14ac:dyDescent="0.3">
      <c r="B3221">
        <v>321.80000000000302</v>
      </c>
      <c r="D3221" s="10"/>
      <c r="E3221" s="10"/>
      <c r="F3221">
        <f>IFERROR(VLOOKUP(B3221,'Pre-Summary'!$AL$6:$AQ$13,6,FALSE),F3220)</f>
        <v>5.9405263157894746E-2</v>
      </c>
      <c r="M3221" s="45" t="str">
        <f>IFERROR(VLOOKUP(B3221,'Pre-Summary'!$BW$6:$BY$58,2,FALSE),"")</f>
        <v/>
      </c>
      <c r="N3221" s="45" t="str">
        <f>IFERROR(VLOOKUP(B3221,'Pre-Summary'!$CD$6:$CF$64,2,FALSE),"")</f>
        <v/>
      </c>
      <c r="O3221" s="99">
        <f>IFERROR(VLOOKUP(B3221,'Pre-Summary'!$BO$6:$BQ$48,3, FALSE),O3220)</f>
        <v>3.3239999999999998</v>
      </c>
      <c r="P3221" s="99">
        <f>IFERROR(VLOOKUP(B3221,'Pre-Summary'!$BS$6:$BU$35,3,FALSE),P3220)</f>
        <v>0.84099999999999997</v>
      </c>
      <c r="Q3221" s="54">
        <f t="shared" si="152"/>
        <v>3.9524375743162903</v>
      </c>
      <c r="R3221" s="53">
        <f>IFERROR(VLOOKUP(B3221,'Pre-Summary'!$BG$6:$BM$44,7,FALSE),R3222)</f>
        <v>0</v>
      </c>
      <c r="S3221" s="53" t="e">
        <f>VLOOKUP(B3221,'Pre-Summary'!$BG$6:$BM$44,6,FALSE)</f>
        <v>#N/A</v>
      </c>
      <c r="Z3221" s="45" t="str">
        <f>IFERROR(VLOOKUP(B3221,'Pre-Summary'!$BZ$6:$CB$63,2,FALSE),"")</f>
        <v/>
      </c>
      <c r="AA3221" s="45" t="str">
        <f>IFERROR(VLOOKUP(B3221,'Pre-Summary'!$CG$6:$CI$70,2,FALSE),"")</f>
        <v/>
      </c>
      <c r="AB3221" s="99">
        <f>IFERROR(VLOOKUP(B3221,'Pre-Summary'!$A$6:$P$178,9,FALSE),AB3222)</f>
        <v>0</v>
      </c>
      <c r="AC3221" s="10">
        <f>IFERROR(VLOOKUP(Summary!B3221,'Pre-Summary'!$A$6:$P$184,5, FALSE)/100,AC3222)</f>
        <v>0</v>
      </c>
      <c r="AD3221" s="10">
        <f>IFERROR(VLOOKUP(Summary!B3221,'Pre-Summary'!$A$6:$P$184,3, FALSE)/100,AD3222)</f>
        <v>0</v>
      </c>
      <c r="AE3221" s="10">
        <f>IFERROR(VLOOKUP(Summary!B3221,'Pre-Summary'!$A$6:$P$184,7, FALSE)/100,AE3222)</f>
        <v>0</v>
      </c>
      <c r="AF3221" s="99">
        <f t="shared" si="150"/>
        <v>0</v>
      </c>
      <c r="AG3221" s="99">
        <f t="shared" si="151"/>
        <v>0</v>
      </c>
      <c r="AH3221" s="10" t="str">
        <f>IFERROR(VLOOKUP(B3221,'Pre-Summary'!$AZ$6:$BE$65,3,FALSE),"")</f>
        <v/>
      </c>
      <c r="AI3221" s="10" t="str">
        <f>IFERROR(VLOOKUP(B3221,'Pre-Summary'!$AZ$6:$BE$65,5,FALSE),"")</f>
        <v/>
      </c>
      <c r="AJ3221" s="10" t="str">
        <f>IFERROR(VLOOKUP(B3221,'Pre-Summary'!$AZ$6:$BE$65,4,FALSE),"")</f>
        <v/>
      </c>
      <c r="AK3221" s="10" t="str">
        <f>IFERROR(VLOOKUP(B3221,'Pre-Summary'!$AZ$6:$BE$65,6,FALSE),"")</f>
        <v/>
      </c>
      <c r="AL3221" s="10" t="str">
        <f>IFERROR(VLOOKUP(B3221,'Pre-Summary'!$BG$6:$BL$44,3,FALSE),"")</f>
        <v/>
      </c>
      <c r="AM3221" s="10" t="str">
        <f>IFERROR(VLOOKUP(B3221,'Pre-Summary'!$BG$6:$BL$44,4,FALSE),"")</f>
        <v/>
      </c>
    </row>
    <row r="3222" spans="2:39" ht="15" customHeight="1" x14ac:dyDescent="0.3">
      <c r="B3222">
        <v>321.90000000000299</v>
      </c>
      <c r="D3222" s="10"/>
      <c r="E3222" s="10"/>
      <c r="F3222">
        <f>IFERROR(VLOOKUP(B3222,'Pre-Summary'!$AL$6:$AQ$13,6,FALSE),F3221)</f>
        <v>5.9405263157894746E-2</v>
      </c>
      <c r="M3222" s="45" t="str">
        <f>IFERROR(VLOOKUP(B3222,'Pre-Summary'!$BW$6:$BY$58,2,FALSE),"")</f>
        <v/>
      </c>
      <c r="N3222" s="45" t="str">
        <f>IFERROR(VLOOKUP(B3222,'Pre-Summary'!$CD$6:$CF$64,2,FALSE),"")</f>
        <v/>
      </c>
      <c r="O3222" s="99">
        <f>IFERROR(VLOOKUP(B3222,'Pre-Summary'!$BO$6:$BQ$48,3, FALSE),O3221)</f>
        <v>3.3239999999999998</v>
      </c>
      <c r="P3222" s="99">
        <f>IFERROR(VLOOKUP(B3222,'Pre-Summary'!$BS$6:$BU$35,3,FALSE),P3221)</f>
        <v>0.84099999999999997</v>
      </c>
      <c r="Q3222" s="54">
        <f t="shared" si="152"/>
        <v>3.9524375743162903</v>
      </c>
      <c r="R3222" s="53">
        <f>IFERROR(VLOOKUP(B3222,'Pre-Summary'!$BG$6:$BM$44,7,FALSE),R3223)</f>
        <v>0</v>
      </c>
      <c r="S3222" s="53" t="e">
        <f>VLOOKUP(B3222,'Pre-Summary'!$BG$6:$BM$44,6,FALSE)</f>
        <v>#N/A</v>
      </c>
      <c r="Z3222" s="45" t="str">
        <f>IFERROR(VLOOKUP(B3222,'Pre-Summary'!$BZ$6:$CB$63,2,FALSE),"")</f>
        <v/>
      </c>
      <c r="AA3222" s="45" t="str">
        <f>IFERROR(VLOOKUP(B3222,'Pre-Summary'!$CG$6:$CI$70,2,FALSE),"")</f>
        <v/>
      </c>
      <c r="AB3222" s="99">
        <f>IFERROR(VLOOKUP(B3222,'Pre-Summary'!$A$6:$P$178,9,FALSE),AB3223)</f>
        <v>0</v>
      </c>
      <c r="AC3222" s="10">
        <f>IFERROR(VLOOKUP(Summary!B3222,'Pre-Summary'!$A$6:$P$184,5, FALSE)/100,AC3223)</f>
        <v>0</v>
      </c>
      <c r="AD3222" s="10">
        <f>IFERROR(VLOOKUP(Summary!B3222,'Pre-Summary'!$A$6:$P$184,3, FALSE)/100,AD3223)</f>
        <v>0</v>
      </c>
      <c r="AE3222" s="10">
        <f>IFERROR(VLOOKUP(Summary!B3222,'Pre-Summary'!$A$6:$P$184,7, FALSE)/100,AE3223)</f>
        <v>0</v>
      </c>
      <c r="AF3222" s="99">
        <f t="shared" si="150"/>
        <v>0</v>
      </c>
      <c r="AG3222" s="99">
        <f t="shared" si="151"/>
        <v>0</v>
      </c>
      <c r="AH3222" s="10" t="str">
        <f>IFERROR(VLOOKUP(B3222,'Pre-Summary'!$AZ$6:$BE$65,3,FALSE),"")</f>
        <v/>
      </c>
      <c r="AI3222" s="10" t="str">
        <f>IFERROR(VLOOKUP(B3222,'Pre-Summary'!$AZ$6:$BE$65,5,FALSE),"")</f>
        <v/>
      </c>
      <c r="AJ3222" s="10" t="str">
        <f>IFERROR(VLOOKUP(B3222,'Pre-Summary'!$AZ$6:$BE$65,4,FALSE),"")</f>
        <v/>
      </c>
      <c r="AK3222" s="10" t="str">
        <f>IFERROR(VLOOKUP(B3222,'Pre-Summary'!$AZ$6:$BE$65,6,FALSE),"")</f>
        <v/>
      </c>
      <c r="AL3222" s="10" t="str">
        <f>IFERROR(VLOOKUP(B3222,'Pre-Summary'!$BG$6:$BL$44,3,FALSE),"")</f>
        <v/>
      </c>
      <c r="AM3222" s="10" t="str">
        <f>IFERROR(VLOOKUP(B3222,'Pre-Summary'!$BG$6:$BL$44,4,FALSE),"")</f>
        <v/>
      </c>
    </row>
    <row r="3223" spans="2:39" ht="15" customHeight="1" x14ac:dyDescent="0.3">
      <c r="B3223">
        <v>322.00000000000301</v>
      </c>
      <c r="D3223" s="10"/>
      <c r="E3223" s="10"/>
      <c r="F3223">
        <f>IFERROR(VLOOKUP(B3223,'Pre-Summary'!$AL$6:$AQ$13,6,FALSE),F3222)</f>
        <v>5.9405263157894746E-2</v>
      </c>
      <c r="M3223" s="45" t="str">
        <f>IFERROR(VLOOKUP(B3223,'Pre-Summary'!$BW$6:$BY$58,2,FALSE),"")</f>
        <v/>
      </c>
      <c r="N3223" s="45" t="str">
        <f>IFERROR(VLOOKUP(B3223,'Pre-Summary'!$CD$6:$CF$64,2,FALSE),"")</f>
        <v/>
      </c>
      <c r="O3223" s="99">
        <f>IFERROR(VLOOKUP(B3223,'Pre-Summary'!$BO$6:$BQ$48,3, FALSE),O3222)</f>
        <v>3.3239999999999998</v>
      </c>
      <c r="P3223" s="99">
        <f>IFERROR(VLOOKUP(B3223,'Pre-Summary'!$BS$6:$BU$35,3,FALSE),P3222)</f>
        <v>0.84099999999999997</v>
      </c>
      <c r="Q3223" s="54">
        <f t="shared" si="152"/>
        <v>3.9524375743162903</v>
      </c>
      <c r="R3223" s="53">
        <f>IFERROR(VLOOKUP(B3223,'Pre-Summary'!$BG$6:$BM$44,7,FALSE),R3224)</f>
        <v>0</v>
      </c>
      <c r="S3223" s="53" t="e">
        <f>VLOOKUP(B3223,'Pre-Summary'!$BG$6:$BM$44,6,FALSE)</f>
        <v>#N/A</v>
      </c>
      <c r="Z3223" s="45" t="str">
        <f>IFERROR(VLOOKUP(B3223,'Pre-Summary'!$BZ$6:$CB$63,2,FALSE),"")</f>
        <v/>
      </c>
      <c r="AA3223" s="45" t="str">
        <f>IFERROR(VLOOKUP(B3223,'Pre-Summary'!$CG$6:$CI$70,2,FALSE),"")</f>
        <v/>
      </c>
      <c r="AB3223" s="99">
        <f>IFERROR(VLOOKUP(B3223,'Pre-Summary'!$A$6:$P$178,9,FALSE),AB3224)</f>
        <v>0</v>
      </c>
      <c r="AC3223" s="10">
        <f>IFERROR(VLOOKUP(Summary!B3223,'Pre-Summary'!$A$6:$P$184,5, FALSE)/100,AC3224)</f>
        <v>0</v>
      </c>
      <c r="AD3223" s="10">
        <f>IFERROR(VLOOKUP(Summary!B3223,'Pre-Summary'!$A$6:$P$184,3, FALSE)/100,AD3224)</f>
        <v>0</v>
      </c>
      <c r="AE3223" s="10">
        <f>IFERROR(VLOOKUP(Summary!B3223,'Pre-Summary'!$A$6:$P$184,7, FALSE)/100,AE3224)</f>
        <v>0</v>
      </c>
      <c r="AF3223" s="99">
        <f t="shared" si="150"/>
        <v>0</v>
      </c>
      <c r="AG3223" s="99">
        <f t="shared" si="151"/>
        <v>0</v>
      </c>
      <c r="AH3223" s="10" t="str">
        <f>IFERROR(VLOOKUP(B3223,'Pre-Summary'!$AZ$6:$BE$65,3,FALSE),"")</f>
        <v/>
      </c>
      <c r="AI3223" s="10" t="str">
        <f>IFERROR(VLOOKUP(B3223,'Pre-Summary'!$AZ$6:$BE$65,5,FALSE),"")</f>
        <v/>
      </c>
      <c r="AJ3223" s="10" t="str">
        <f>IFERROR(VLOOKUP(B3223,'Pre-Summary'!$AZ$6:$BE$65,4,FALSE),"")</f>
        <v/>
      </c>
      <c r="AK3223" s="10" t="str">
        <f>IFERROR(VLOOKUP(B3223,'Pre-Summary'!$AZ$6:$BE$65,6,FALSE),"")</f>
        <v/>
      </c>
      <c r="AL3223" s="10" t="str">
        <f>IFERROR(VLOOKUP(B3223,'Pre-Summary'!$BG$6:$BL$44,3,FALSE),"")</f>
        <v/>
      </c>
      <c r="AM3223" s="10" t="str">
        <f>IFERROR(VLOOKUP(B3223,'Pre-Summary'!$BG$6:$BL$44,4,FALSE),"")</f>
        <v/>
      </c>
    </row>
    <row r="3224" spans="2:39" ht="15" customHeight="1" x14ac:dyDescent="0.3">
      <c r="B3224">
        <v>322.10000000000298</v>
      </c>
      <c r="D3224" s="10"/>
      <c r="E3224" s="10"/>
      <c r="F3224">
        <f>IFERROR(VLOOKUP(B3224,'Pre-Summary'!$AL$6:$AQ$13,6,FALSE),F3223)</f>
        <v>5.9405263157894746E-2</v>
      </c>
      <c r="M3224" s="45" t="str">
        <f>IFERROR(VLOOKUP(B3224,'Pre-Summary'!$BW$6:$BY$58,2,FALSE),"")</f>
        <v/>
      </c>
      <c r="N3224" s="45" t="str">
        <f>IFERROR(VLOOKUP(B3224,'Pre-Summary'!$CD$6:$CF$64,2,FALSE),"")</f>
        <v/>
      </c>
      <c r="O3224" s="99">
        <f>IFERROR(VLOOKUP(B3224,'Pre-Summary'!$BO$6:$BQ$48,3, FALSE),O3223)</f>
        <v>3.3239999999999998</v>
      </c>
      <c r="P3224" s="99">
        <f>IFERROR(VLOOKUP(B3224,'Pre-Summary'!$BS$6:$BU$35,3,FALSE),P3223)</f>
        <v>0.84099999999999997</v>
      </c>
      <c r="Q3224" s="54">
        <f t="shared" si="152"/>
        <v>3.9524375743162903</v>
      </c>
      <c r="R3224" s="53">
        <f>IFERROR(VLOOKUP(B3224,'Pre-Summary'!$BG$6:$BM$44,7,FALSE),R3225)</f>
        <v>0</v>
      </c>
      <c r="S3224" s="53" t="e">
        <f>VLOOKUP(B3224,'Pre-Summary'!$BG$6:$BM$44,6,FALSE)</f>
        <v>#N/A</v>
      </c>
      <c r="Z3224" s="45" t="str">
        <f>IFERROR(VLOOKUP(B3224,'Pre-Summary'!$BZ$6:$CB$63,2,FALSE),"")</f>
        <v/>
      </c>
      <c r="AA3224" s="45" t="str">
        <f>IFERROR(VLOOKUP(B3224,'Pre-Summary'!$CG$6:$CI$70,2,FALSE),"")</f>
        <v/>
      </c>
      <c r="AB3224" s="99">
        <f>IFERROR(VLOOKUP(B3224,'Pre-Summary'!$A$6:$P$178,9,FALSE),AB3225)</f>
        <v>0</v>
      </c>
      <c r="AC3224" s="10">
        <f>IFERROR(VLOOKUP(Summary!B3224,'Pre-Summary'!$A$6:$P$184,5, FALSE)/100,AC3225)</f>
        <v>0</v>
      </c>
      <c r="AD3224" s="10">
        <f>IFERROR(VLOOKUP(Summary!B3224,'Pre-Summary'!$A$6:$P$184,3, FALSE)/100,AD3225)</f>
        <v>0</v>
      </c>
      <c r="AE3224" s="10">
        <f>IFERROR(VLOOKUP(Summary!B3224,'Pre-Summary'!$A$6:$P$184,7, FALSE)/100,AE3225)</f>
        <v>0</v>
      </c>
      <c r="AF3224" s="99">
        <f t="shared" si="150"/>
        <v>0</v>
      </c>
      <c r="AG3224" s="99">
        <f t="shared" si="151"/>
        <v>0</v>
      </c>
      <c r="AH3224" s="10" t="str">
        <f>IFERROR(VLOOKUP(B3224,'Pre-Summary'!$AZ$6:$BE$65,3,FALSE),"")</f>
        <v/>
      </c>
      <c r="AI3224" s="10" t="str">
        <f>IFERROR(VLOOKUP(B3224,'Pre-Summary'!$AZ$6:$BE$65,5,FALSE),"")</f>
        <v/>
      </c>
      <c r="AJ3224" s="10" t="str">
        <f>IFERROR(VLOOKUP(B3224,'Pre-Summary'!$AZ$6:$BE$65,4,FALSE),"")</f>
        <v/>
      </c>
      <c r="AK3224" s="10" t="str">
        <f>IFERROR(VLOOKUP(B3224,'Pre-Summary'!$AZ$6:$BE$65,6,FALSE),"")</f>
        <v/>
      </c>
      <c r="AL3224" s="10" t="str">
        <f>IFERROR(VLOOKUP(B3224,'Pre-Summary'!$BG$6:$BL$44,3,FALSE),"")</f>
        <v/>
      </c>
      <c r="AM3224" s="10" t="str">
        <f>IFERROR(VLOOKUP(B3224,'Pre-Summary'!$BG$6:$BL$44,4,FALSE),"")</f>
        <v/>
      </c>
    </row>
    <row r="3225" spans="2:39" ht="15" customHeight="1" x14ac:dyDescent="0.3">
      <c r="B3225">
        <v>322.200000000003</v>
      </c>
      <c r="D3225" s="10"/>
      <c r="E3225" s="10"/>
      <c r="F3225">
        <f>IFERROR(VLOOKUP(B3225,'Pre-Summary'!$AL$6:$AQ$13,6,FALSE),F3224)</f>
        <v>5.9405263157894746E-2</v>
      </c>
      <c r="M3225" s="45" t="str">
        <f>IFERROR(VLOOKUP(B3225,'Pre-Summary'!$BW$6:$BY$58,2,FALSE),"")</f>
        <v/>
      </c>
      <c r="N3225" s="45" t="str">
        <f>IFERROR(VLOOKUP(B3225,'Pre-Summary'!$CD$6:$CF$64,2,FALSE),"")</f>
        <v/>
      </c>
      <c r="O3225" s="99">
        <f>IFERROR(VLOOKUP(B3225,'Pre-Summary'!$BO$6:$BQ$48,3, FALSE),O3224)</f>
        <v>3.3239999999999998</v>
      </c>
      <c r="P3225" s="99">
        <f>IFERROR(VLOOKUP(B3225,'Pre-Summary'!$BS$6:$BU$35,3,FALSE),P3224)</f>
        <v>0.84099999999999997</v>
      </c>
      <c r="Q3225" s="54">
        <f t="shared" si="152"/>
        <v>3.9524375743162903</v>
      </c>
      <c r="R3225" s="53">
        <f>IFERROR(VLOOKUP(B3225,'Pre-Summary'!$BG$6:$BM$44,7,FALSE),R3226)</f>
        <v>0</v>
      </c>
      <c r="S3225" s="53" t="e">
        <f>VLOOKUP(B3225,'Pre-Summary'!$BG$6:$BM$44,6,FALSE)</f>
        <v>#N/A</v>
      </c>
      <c r="Z3225" s="45" t="str">
        <f>IFERROR(VLOOKUP(B3225,'Pre-Summary'!$BZ$6:$CB$63,2,FALSE),"")</f>
        <v/>
      </c>
      <c r="AA3225" s="45" t="str">
        <f>IFERROR(VLOOKUP(B3225,'Pre-Summary'!$CG$6:$CI$70,2,FALSE),"")</f>
        <v/>
      </c>
      <c r="AB3225" s="99">
        <f>IFERROR(VLOOKUP(B3225,'Pre-Summary'!$A$6:$P$178,9,FALSE),AB3226)</f>
        <v>0</v>
      </c>
      <c r="AC3225" s="10">
        <f>IFERROR(VLOOKUP(Summary!B3225,'Pre-Summary'!$A$6:$P$184,5, FALSE)/100,AC3226)</f>
        <v>0</v>
      </c>
      <c r="AD3225" s="10">
        <f>IFERROR(VLOOKUP(Summary!B3225,'Pre-Summary'!$A$6:$P$184,3, FALSE)/100,AD3226)</f>
        <v>0</v>
      </c>
      <c r="AE3225" s="10">
        <f>IFERROR(VLOOKUP(Summary!B3225,'Pre-Summary'!$A$6:$P$184,7, FALSE)/100,AE3226)</f>
        <v>0</v>
      </c>
      <c r="AF3225" s="99">
        <f t="shared" si="150"/>
        <v>0</v>
      </c>
      <c r="AG3225" s="99">
        <f t="shared" si="151"/>
        <v>0</v>
      </c>
      <c r="AH3225" s="10" t="str">
        <f>IFERROR(VLOOKUP(B3225,'Pre-Summary'!$AZ$6:$BE$65,3,FALSE),"")</f>
        <v/>
      </c>
      <c r="AI3225" s="10" t="str">
        <f>IFERROR(VLOOKUP(B3225,'Pre-Summary'!$AZ$6:$BE$65,5,FALSE),"")</f>
        <v/>
      </c>
      <c r="AJ3225" s="10" t="str">
        <f>IFERROR(VLOOKUP(B3225,'Pre-Summary'!$AZ$6:$BE$65,4,FALSE),"")</f>
        <v/>
      </c>
      <c r="AK3225" s="10" t="str">
        <f>IFERROR(VLOOKUP(B3225,'Pre-Summary'!$AZ$6:$BE$65,6,FALSE),"")</f>
        <v/>
      </c>
      <c r="AL3225" s="10" t="str">
        <f>IFERROR(VLOOKUP(B3225,'Pre-Summary'!$BG$6:$BL$44,3,FALSE),"")</f>
        <v/>
      </c>
      <c r="AM3225" s="10" t="str">
        <f>IFERROR(VLOOKUP(B3225,'Pre-Summary'!$BG$6:$BL$44,4,FALSE),"")</f>
        <v/>
      </c>
    </row>
    <row r="3226" spans="2:39" ht="15" customHeight="1" x14ac:dyDescent="0.3">
      <c r="B3226">
        <v>322.30000000000302</v>
      </c>
      <c r="D3226" s="10"/>
      <c r="E3226" s="10"/>
      <c r="F3226">
        <f>IFERROR(VLOOKUP(B3226,'Pre-Summary'!$AL$6:$AQ$13,6,FALSE),F3225)</f>
        <v>5.9405263157894746E-2</v>
      </c>
      <c r="M3226" s="45" t="str">
        <f>IFERROR(VLOOKUP(B3226,'Pre-Summary'!$BW$6:$BY$58,2,FALSE),"")</f>
        <v/>
      </c>
      <c r="N3226" s="45" t="str">
        <f>IFERROR(VLOOKUP(B3226,'Pre-Summary'!$CD$6:$CF$64,2,FALSE),"")</f>
        <v/>
      </c>
      <c r="O3226" s="99">
        <f>IFERROR(VLOOKUP(B3226,'Pre-Summary'!$BO$6:$BQ$48,3, FALSE),O3225)</f>
        <v>3.3239999999999998</v>
      </c>
      <c r="P3226" s="99">
        <f>IFERROR(VLOOKUP(B3226,'Pre-Summary'!$BS$6:$BU$35,3,FALSE),P3225)</f>
        <v>0.84099999999999997</v>
      </c>
      <c r="Q3226" s="54">
        <f t="shared" si="152"/>
        <v>3.9524375743162903</v>
      </c>
      <c r="R3226" s="53">
        <f>IFERROR(VLOOKUP(B3226,'Pre-Summary'!$BG$6:$BM$44,7,FALSE),R3227)</f>
        <v>0</v>
      </c>
      <c r="S3226" s="53" t="e">
        <f>VLOOKUP(B3226,'Pre-Summary'!$BG$6:$BM$44,6,FALSE)</f>
        <v>#N/A</v>
      </c>
      <c r="Z3226" s="45" t="str">
        <f>IFERROR(VLOOKUP(B3226,'Pre-Summary'!$BZ$6:$CB$63,2,FALSE),"")</f>
        <v/>
      </c>
      <c r="AA3226" s="45" t="str">
        <f>IFERROR(VLOOKUP(B3226,'Pre-Summary'!$CG$6:$CI$70,2,FALSE),"")</f>
        <v/>
      </c>
      <c r="AB3226" s="99">
        <f>IFERROR(VLOOKUP(B3226,'Pre-Summary'!$A$6:$P$178,9,FALSE),AB3227)</f>
        <v>0</v>
      </c>
      <c r="AC3226" s="10">
        <f>IFERROR(VLOOKUP(Summary!B3226,'Pre-Summary'!$A$6:$P$184,5, FALSE)/100,AC3227)</f>
        <v>0</v>
      </c>
      <c r="AD3226" s="10">
        <f>IFERROR(VLOOKUP(Summary!B3226,'Pre-Summary'!$A$6:$P$184,3, FALSE)/100,AD3227)</f>
        <v>0</v>
      </c>
      <c r="AE3226" s="10">
        <f>IFERROR(VLOOKUP(Summary!B3226,'Pre-Summary'!$A$6:$P$184,7, FALSE)/100,AE3227)</f>
        <v>0</v>
      </c>
      <c r="AF3226" s="99">
        <f t="shared" si="150"/>
        <v>0</v>
      </c>
      <c r="AG3226" s="99">
        <f t="shared" si="151"/>
        <v>0</v>
      </c>
      <c r="AH3226" s="10" t="str">
        <f>IFERROR(VLOOKUP(B3226,'Pre-Summary'!$AZ$6:$BE$65,3,FALSE),"")</f>
        <v/>
      </c>
      <c r="AI3226" s="10" t="str">
        <f>IFERROR(VLOOKUP(B3226,'Pre-Summary'!$AZ$6:$BE$65,5,FALSE),"")</f>
        <v/>
      </c>
      <c r="AJ3226" s="10" t="str">
        <f>IFERROR(VLOOKUP(B3226,'Pre-Summary'!$AZ$6:$BE$65,4,FALSE),"")</f>
        <v/>
      </c>
      <c r="AK3226" s="10" t="str">
        <f>IFERROR(VLOOKUP(B3226,'Pre-Summary'!$AZ$6:$BE$65,6,FALSE),"")</f>
        <v/>
      </c>
      <c r="AL3226" s="10" t="str">
        <f>IFERROR(VLOOKUP(B3226,'Pre-Summary'!$BG$6:$BL$44,3,FALSE),"")</f>
        <v/>
      </c>
      <c r="AM3226" s="10" t="str">
        <f>IFERROR(VLOOKUP(B3226,'Pre-Summary'!$BG$6:$BL$44,4,FALSE),"")</f>
        <v/>
      </c>
    </row>
    <row r="3227" spans="2:39" ht="15" customHeight="1" x14ac:dyDescent="0.3">
      <c r="B3227">
        <v>322.40000000000299</v>
      </c>
      <c r="D3227" s="10"/>
      <c r="E3227" s="10"/>
      <c r="F3227">
        <f>IFERROR(VLOOKUP(B3227,'Pre-Summary'!$AL$6:$AQ$13,6,FALSE),F3226)</f>
        <v>5.9405263157894746E-2</v>
      </c>
      <c r="M3227" s="45" t="str">
        <f>IFERROR(VLOOKUP(B3227,'Pre-Summary'!$BW$6:$BY$58,2,FALSE),"")</f>
        <v/>
      </c>
      <c r="N3227" s="45" t="str">
        <f>IFERROR(VLOOKUP(B3227,'Pre-Summary'!$CD$6:$CF$64,2,FALSE),"")</f>
        <v/>
      </c>
      <c r="O3227" s="99">
        <f>IFERROR(VLOOKUP(B3227,'Pre-Summary'!$BO$6:$BQ$48,3, FALSE),O3226)</f>
        <v>3.3239999999999998</v>
      </c>
      <c r="P3227" s="99">
        <f>IFERROR(VLOOKUP(B3227,'Pre-Summary'!$BS$6:$BU$35,3,FALSE),P3226)</f>
        <v>0.84099999999999997</v>
      </c>
      <c r="Q3227" s="54">
        <f t="shared" si="152"/>
        <v>3.9524375743162903</v>
      </c>
      <c r="R3227" s="53">
        <f>IFERROR(VLOOKUP(B3227,'Pre-Summary'!$BG$6:$BM$44,7,FALSE),R3228)</f>
        <v>0</v>
      </c>
      <c r="S3227" s="53" t="e">
        <f>VLOOKUP(B3227,'Pre-Summary'!$BG$6:$BM$44,6,FALSE)</f>
        <v>#N/A</v>
      </c>
      <c r="Z3227" s="45" t="str">
        <f>IFERROR(VLOOKUP(B3227,'Pre-Summary'!$BZ$6:$CB$63,2,FALSE),"")</f>
        <v/>
      </c>
      <c r="AA3227" s="45" t="str">
        <f>IFERROR(VLOOKUP(B3227,'Pre-Summary'!$CG$6:$CI$70,2,FALSE),"")</f>
        <v/>
      </c>
      <c r="AB3227" s="99">
        <f>IFERROR(VLOOKUP(B3227,'Pre-Summary'!$A$6:$P$178,9,FALSE),AB3228)</f>
        <v>0</v>
      </c>
      <c r="AC3227" s="10">
        <f>IFERROR(VLOOKUP(Summary!B3227,'Pre-Summary'!$A$6:$P$184,5, FALSE)/100,AC3228)</f>
        <v>0</v>
      </c>
      <c r="AD3227" s="10">
        <f>IFERROR(VLOOKUP(Summary!B3227,'Pre-Summary'!$A$6:$P$184,3, FALSE)/100,AD3228)</f>
        <v>0</v>
      </c>
      <c r="AE3227" s="10">
        <f>IFERROR(VLOOKUP(Summary!B3227,'Pre-Summary'!$A$6:$P$184,7, FALSE)/100,AE3228)</f>
        <v>0</v>
      </c>
      <c r="AF3227" s="99">
        <f t="shared" si="150"/>
        <v>0</v>
      </c>
      <c r="AG3227" s="99">
        <f t="shared" si="151"/>
        <v>0</v>
      </c>
      <c r="AH3227" s="10" t="str">
        <f>IFERROR(VLOOKUP(B3227,'Pre-Summary'!$AZ$6:$BE$65,3,FALSE),"")</f>
        <v/>
      </c>
      <c r="AI3227" s="10" t="str">
        <f>IFERROR(VLOOKUP(B3227,'Pre-Summary'!$AZ$6:$BE$65,5,FALSE),"")</f>
        <v/>
      </c>
      <c r="AJ3227" s="10" t="str">
        <f>IFERROR(VLOOKUP(B3227,'Pre-Summary'!$AZ$6:$BE$65,4,FALSE),"")</f>
        <v/>
      </c>
      <c r="AK3227" s="10" t="str">
        <f>IFERROR(VLOOKUP(B3227,'Pre-Summary'!$AZ$6:$BE$65,6,FALSE),"")</f>
        <v/>
      </c>
      <c r="AL3227" s="10" t="str">
        <f>IFERROR(VLOOKUP(B3227,'Pre-Summary'!$BG$6:$BL$44,3,FALSE),"")</f>
        <v/>
      </c>
      <c r="AM3227" s="10" t="str">
        <f>IFERROR(VLOOKUP(B3227,'Pre-Summary'!$BG$6:$BL$44,4,FALSE),"")</f>
        <v/>
      </c>
    </row>
    <row r="3228" spans="2:39" ht="15" customHeight="1" x14ac:dyDescent="0.3">
      <c r="B3228">
        <v>322.50000000000301</v>
      </c>
      <c r="D3228" s="10"/>
      <c r="E3228" s="10"/>
      <c r="F3228">
        <f>IFERROR(VLOOKUP(B3228,'Pre-Summary'!$AL$6:$AQ$13,6,FALSE),F3227)</f>
        <v>5.9405263157894746E-2</v>
      </c>
      <c r="M3228" s="45" t="str">
        <f>IFERROR(VLOOKUP(B3228,'Pre-Summary'!$BW$6:$BY$58,2,FALSE),"")</f>
        <v/>
      </c>
      <c r="N3228" s="45" t="str">
        <f>IFERROR(VLOOKUP(B3228,'Pre-Summary'!$CD$6:$CF$64,2,FALSE),"")</f>
        <v/>
      </c>
      <c r="O3228" s="99">
        <f>IFERROR(VLOOKUP(B3228,'Pre-Summary'!$BO$6:$BQ$48,3, FALSE),O3227)</f>
        <v>3.3239999999999998</v>
      </c>
      <c r="P3228" s="99">
        <f>IFERROR(VLOOKUP(B3228,'Pre-Summary'!$BS$6:$BU$35,3,FALSE),P3227)</f>
        <v>0.84099999999999997</v>
      </c>
      <c r="Q3228" s="54">
        <f t="shared" si="152"/>
        <v>3.9524375743162903</v>
      </c>
      <c r="R3228" s="53">
        <f>IFERROR(VLOOKUP(B3228,'Pre-Summary'!$BG$6:$BM$44,7,FALSE),R3229)</f>
        <v>0</v>
      </c>
      <c r="S3228" s="53" t="e">
        <f>VLOOKUP(B3228,'Pre-Summary'!$BG$6:$BM$44,6,FALSE)</f>
        <v>#N/A</v>
      </c>
      <c r="Z3228" s="45" t="str">
        <f>IFERROR(VLOOKUP(B3228,'Pre-Summary'!$BZ$6:$CB$63,2,FALSE),"")</f>
        <v/>
      </c>
      <c r="AA3228" s="45" t="str">
        <f>IFERROR(VLOOKUP(B3228,'Pre-Summary'!$CG$6:$CI$70,2,FALSE),"")</f>
        <v/>
      </c>
      <c r="AB3228" s="99">
        <f>IFERROR(VLOOKUP(B3228,'Pre-Summary'!$A$6:$P$178,9,FALSE),AB3229)</f>
        <v>0</v>
      </c>
      <c r="AC3228" s="10">
        <f>IFERROR(VLOOKUP(Summary!B3228,'Pre-Summary'!$A$6:$P$184,5, FALSE)/100,AC3229)</f>
        <v>0</v>
      </c>
      <c r="AD3228" s="10">
        <f>IFERROR(VLOOKUP(Summary!B3228,'Pre-Summary'!$A$6:$P$184,3, FALSE)/100,AD3229)</f>
        <v>0</v>
      </c>
      <c r="AE3228" s="10">
        <f>IFERROR(VLOOKUP(Summary!B3228,'Pre-Summary'!$A$6:$P$184,7, FALSE)/100,AE3229)</f>
        <v>0</v>
      </c>
      <c r="AF3228" s="99">
        <f t="shared" si="150"/>
        <v>0</v>
      </c>
      <c r="AG3228" s="99">
        <f t="shared" si="151"/>
        <v>0</v>
      </c>
      <c r="AH3228" s="10" t="str">
        <f>IFERROR(VLOOKUP(B3228,'Pre-Summary'!$AZ$6:$BE$65,3,FALSE),"")</f>
        <v/>
      </c>
      <c r="AI3228" s="10" t="str">
        <f>IFERROR(VLOOKUP(B3228,'Pre-Summary'!$AZ$6:$BE$65,5,FALSE),"")</f>
        <v/>
      </c>
      <c r="AJ3228" s="10" t="str">
        <f>IFERROR(VLOOKUP(B3228,'Pre-Summary'!$AZ$6:$BE$65,4,FALSE),"")</f>
        <v/>
      </c>
      <c r="AK3228" s="10" t="str">
        <f>IFERROR(VLOOKUP(B3228,'Pre-Summary'!$AZ$6:$BE$65,6,FALSE),"")</f>
        <v/>
      </c>
      <c r="AL3228" s="10" t="str">
        <f>IFERROR(VLOOKUP(B3228,'Pre-Summary'!$BG$6:$BL$44,3,FALSE),"")</f>
        <v/>
      </c>
      <c r="AM3228" s="10" t="str">
        <f>IFERROR(VLOOKUP(B3228,'Pre-Summary'!$BG$6:$BL$44,4,FALSE),"")</f>
        <v/>
      </c>
    </row>
    <row r="3229" spans="2:39" ht="15" customHeight="1" x14ac:dyDescent="0.3">
      <c r="B3229">
        <v>322.60000000000298</v>
      </c>
      <c r="D3229" s="10"/>
      <c r="E3229" s="10"/>
      <c r="F3229">
        <f>IFERROR(VLOOKUP(B3229,'Pre-Summary'!$AL$6:$AQ$13,6,FALSE),F3228)</f>
        <v>5.9405263157894746E-2</v>
      </c>
      <c r="M3229" s="45" t="str">
        <f>IFERROR(VLOOKUP(B3229,'Pre-Summary'!$BW$6:$BY$58,2,FALSE),"")</f>
        <v/>
      </c>
      <c r="N3229" s="45" t="str">
        <f>IFERROR(VLOOKUP(B3229,'Pre-Summary'!$CD$6:$CF$64,2,FALSE),"")</f>
        <v/>
      </c>
      <c r="O3229" s="99">
        <f>IFERROR(VLOOKUP(B3229,'Pre-Summary'!$BO$6:$BQ$48,3, FALSE),O3228)</f>
        <v>3.3239999999999998</v>
      </c>
      <c r="P3229" s="99">
        <f>IFERROR(VLOOKUP(B3229,'Pre-Summary'!$BS$6:$BU$35,3,FALSE),P3228)</f>
        <v>0.84099999999999997</v>
      </c>
      <c r="Q3229" s="54">
        <f t="shared" si="152"/>
        <v>3.9524375743162903</v>
      </c>
      <c r="R3229" s="53">
        <f>IFERROR(VLOOKUP(B3229,'Pre-Summary'!$BG$6:$BM$44,7,FALSE),R3230)</f>
        <v>0</v>
      </c>
      <c r="S3229" s="53" t="e">
        <f>VLOOKUP(B3229,'Pre-Summary'!$BG$6:$BM$44,6,FALSE)</f>
        <v>#N/A</v>
      </c>
      <c r="Z3229" s="45" t="str">
        <f>IFERROR(VLOOKUP(B3229,'Pre-Summary'!$BZ$6:$CB$63,2,FALSE),"")</f>
        <v/>
      </c>
      <c r="AA3229" s="45" t="str">
        <f>IFERROR(VLOOKUP(B3229,'Pre-Summary'!$CG$6:$CI$70,2,FALSE),"")</f>
        <v/>
      </c>
      <c r="AB3229" s="99">
        <f>IFERROR(VLOOKUP(B3229,'Pre-Summary'!$A$6:$P$178,9,FALSE),AB3230)</f>
        <v>0</v>
      </c>
      <c r="AC3229" s="10">
        <f>IFERROR(VLOOKUP(Summary!B3229,'Pre-Summary'!$A$6:$P$184,5, FALSE)/100,AC3230)</f>
        <v>0</v>
      </c>
      <c r="AD3229" s="10">
        <f>IFERROR(VLOOKUP(Summary!B3229,'Pre-Summary'!$A$6:$P$184,3, FALSE)/100,AD3230)</f>
        <v>0</v>
      </c>
      <c r="AE3229" s="10">
        <f>IFERROR(VLOOKUP(Summary!B3229,'Pre-Summary'!$A$6:$P$184,7, FALSE)/100,AE3230)</f>
        <v>0</v>
      </c>
      <c r="AF3229" s="99">
        <f t="shared" si="150"/>
        <v>0</v>
      </c>
      <c r="AG3229" s="99">
        <f t="shared" si="151"/>
        <v>0</v>
      </c>
      <c r="AH3229" s="10" t="str">
        <f>IFERROR(VLOOKUP(B3229,'Pre-Summary'!$AZ$6:$BE$65,3,FALSE),"")</f>
        <v/>
      </c>
      <c r="AI3229" s="10" t="str">
        <f>IFERROR(VLOOKUP(B3229,'Pre-Summary'!$AZ$6:$BE$65,5,FALSE),"")</f>
        <v/>
      </c>
      <c r="AJ3229" s="10" t="str">
        <f>IFERROR(VLOOKUP(B3229,'Pre-Summary'!$AZ$6:$BE$65,4,FALSE),"")</f>
        <v/>
      </c>
      <c r="AK3229" s="10" t="str">
        <f>IFERROR(VLOOKUP(B3229,'Pre-Summary'!$AZ$6:$BE$65,6,FALSE),"")</f>
        <v/>
      </c>
      <c r="AL3229" s="10" t="str">
        <f>IFERROR(VLOOKUP(B3229,'Pre-Summary'!$BG$6:$BL$44,3,FALSE),"")</f>
        <v/>
      </c>
      <c r="AM3229" s="10" t="str">
        <f>IFERROR(VLOOKUP(B3229,'Pre-Summary'!$BG$6:$BL$44,4,FALSE),"")</f>
        <v/>
      </c>
    </row>
    <row r="3230" spans="2:39" ht="15" customHeight="1" x14ac:dyDescent="0.3">
      <c r="B3230">
        <v>322.700000000003</v>
      </c>
      <c r="D3230" s="10"/>
      <c r="E3230" s="10"/>
      <c r="F3230">
        <f>IFERROR(VLOOKUP(B3230,'Pre-Summary'!$AL$6:$AQ$13,6,FALSE),F3229)</f>
        <v>5.9405263157894746E-2</v>
      </c>
      <c r="M3230" s="45" t="str">
        <f>IFERROR(VLOOKUP(B3230,'Pre-Summary'!$BW$6:$BY$58,2,FALSE),"")</f>
        <v/>
      </c>
      <c r="N3230" s="45" t="str">
        <f>IFERROR(VLOOKUP(B3230,'Pre-Summary'!$CD$6:$CF$64,2,FALSE),"")</f>
        <v/>
      </c>
      <c r="O3230" s="99">
        <f>IFERROR(VLOOKUP(B3230,'Pre-Summary'!$BO$6:$BQ$48,3, FALSE),O3229)</f>
        <v>3.3239999999999998</v>
      </c>
      <c r="P3230" s="99">
        <f>IFERROR(VLOOKUP(B3230,'Pre-Summary'!$BS$6:$BU$35,3,FALSE),P3229)</f>
        <v>0.84099999999999997</v>
      </c>
      <c r="Q3230" s="54">
        <f t="shared" si="152"/>
        <v>3.9524375743162903</v>
      </c>
      <c r="R3230" s="53">
        <f>IFERROR(VLOOKUP(B3230,'Pre-Summary'!$BG$6:$BM$44,7,FALSE),R3231)</f>
        <v>0</v>
      </c>
      <c r="S3230" s="53" t="e">
        <f>VLOOKUP(B3230,'Pre-Summary'!$BG$6:$BM$44,6,FALSE)</f>
        <v>#N/A</v>
      </c>
      <c r="Z3230" s="45" t="str">
        <f>IFERROR(VLOOKUP(B3230,'Pre-Summary'!$BZ$6:$CB$63,2,FALSE),"")</f>
        <v/>
      </c>
      <c r="AA3230" s="45" t="str">
        <f>IFERROR(VLOOKUP(B3230,'Pre-Summary'!$CG$6:$CI$70,2,FALSE),"")</f>
        <v/>
      </c>
      <c r="AB3230" s="99">
        <f>IFERROR(VLOOKUP(B3230,'Pre-Summary'!$A$6:$P$178,9,FALSE),AB3231)</f>
        <v>0</v>
      </c>
      <c r="AC3230" s="10">
        <f>IFERROR(VLOOKUP(Summary!B3230,'Pre-Summary'!$A$6:$P$184,5, FALSE)/100,AC3231)</f>
        <v>0</v>
      </c>
      <c r="AD3230" s="10">
        <f>IFERROR(VLOOKUP(Summary!B3230,'Pre-Summary'!$A$6:$P$184,3, FALSE)/100,AD3231)</f>
        <v>0</v>
      </c>
      <c r="AE3230" s="10">
        <f>IFERROR(VLOOKUP(Summary!B3230,'Pre-Summary'!$A$6:$P$184,7, FALSE)/100,AE3231)</f>
        <v>0</v>
      </c>
      <c r="AF3230" s="99">
        <f t="shared" si="150"/>
        <v>0</v>
      </c>
      <c r="AG3230" s="99">
        <f t="shared" si="151"/>
        <v>0</v>
      </c>
      <c r="AH3230" s="10" t="str">
        <f>IFERROR(VLOOKUP(B3230,'Pre-Summary'!$AZ$6:$BE$65,3,FALSE),"")</f>
        <v/>
      </c>
      <c r="AI3230" s="10" t="str">
        <f>IFERROR(VLOOKUP(B3230,'Pre-Summary'!$AZ$6:$BE$65,5,FALSE),"")</f>
        <v/>
      </c>
      <c r="AJ3230" s="10" t="str">
        <f>IFERROR(VLOOKUP(B3230,'Pre-Summary'!$AZ$6:$BE$65,4,FALSE),"")</f>
        <v/>
      </c>
      <c r="AK3230" s="10" t="str">
        <f>IFERROR(VLOOKUP(B3230,'Pre-Summary'!$AZ$6:$BE$65,6,FALSE),"")</f>
        <v/>
      </c>
      <c r="AL3230" s="10" t="str">
        <f>IFERROR(VLOOKUP(B3230,'Pre-Summary'!$BG$6:$BL$44,3,FALSE),"")</f>
        <v/>
      </c>
      <c r="AM3230" s="10" t="str">
        <f>IFERROR(VLOOKUP(B3230,'Pre-Summary'!$BG$6:$BL$44,4,FALSE),"")</f>
        <v/>
      </c>
    </row>
    <row r="3231" spans="2:39" ht="15" customHeight="1" x14ac:dyDescent="0.3">
      <c r="B3231">
        <v>322.80000000000302</v>
      </c>
      <c r="D3231" s="10"/>
      <c r="E3231" s="10"/>
      <c r="F3231">
        <f>IFERROR(VLOOKUP(B3231,'Pre-Summary'!$AL$6:$AQ$13,6,FALSE),F3230)</f>
        <v>5.9405263157894746E-2</v>
      </c>
      <c r="M3231" s="45" t="str">
        <f>IFERROR(VLOOKUP(B3231,'Pre-Summary'!$BW$6:$BY$58,2,FALSE),"")</f>
        <v/>
      </c>
      <c r="N3231" s="45" t="str">
        <f>IFERROR(VLOOKUP(B3231,'Pre-Summary'!$CD$6:$CF$64,2,FALSE),"")</f>
        <v/>
      </c>
      <c r="O3231" s="99">
        <f>IFERROR(VLOOKUP(B3231,'Pre-Summary'!$BO$6:$BQ$48,3, FALSE),O3230)</f>
        <v>3.3239999999999998</v>
      </c>
      <c r="P3231" s="99">
        <f>IFERROR(VLOOKUP(B3231,'Pre-Summary'!$BS$6:$BU$35,3,FALSE),P3230)</f>
        <v>0.84099999999999997</v>
      </c>
      <c r="Q3231" s="54">
        <f t="shared" si="152"/>
        <v>3.9524375743162903</v>
      </c>
      <c r="R3231" s="53">
        <f>IFERROR(VLOOKUP(B3231,'Pre-Summary'!$BG$6:$BM$44,7,FALSE),R3232)</f>
        <v>0</v>
      </c>
      <c r="S3231" s="53" t="e">
        <f>VLOOKUP(B3231,'Pre-Summary'!$BG$6:$BM$44,6,FALSE)</f>
        <v>#N/A</v>
      </c>
      <c r="Z3231" s="45" t="str">
        <f>IFERROR(VLOOKUP(B3231,'Pre-Summary'!$BZ$6:$CB$63,2,FALSE),"")</f>
        <v/>
      </c>
      <c r="AA3231" s="45" t="str">
        <f>IFERROR(VLOOKUP(B3231,'Pre-Summary'!$CG$6:$CI$70,2,FALSE),"")</f>
        <v/>
      </c>
      <c r="AB3231" s="99">
        <f>IFERROR(VLOOKUP(B3231,'Pre-Summary'!$A$6:$P$178,9,FALSE),AB3232)</f>
        <v>0</v>
      </c>
      <c r="AC3231" s="10">
        <f>IFERROR(VLOOKUP(Summary!B3231,'Pre-Summary'!$A$6:$P$184,5, FALSE)/100,AC3232)</f>
        <v>0</v>
      </c>
      <c r="AD3231" s="10">
        <f>IFERROR(VLOOKUP(Summary!B3231,'Pre-Summary'!$A$6:$P$184,3, FALSE)/100,AD3232)</f>
        <v>0</v>
      </c>
      <c r="AE3231" s="10">
        <f>IFERROR(VLOOKUP(Summary!B3231,'Pre-Summary'!$A$6:$P$184,7, FALSE)/100,AE3232)</f>
        <v>0</v>
      </c>
      <c r="AF3231" s="99">
        <f t="shared" si="150"/>
        <v>0</v>
      </c>
      <c r="AG3231" s="99">
        <f t="shared" si="151"/>
        <v>0</v>
      </c>
      <c r="AH3231" s="10" t="str">
        <f>IFERROR(VLOOKUP(B3231,'Pre-Summary'!$AZ$6:$BE$65,3,FALSE),"")</f>
        <v/>
      </c>
      <c r="AI3231" s="10" t="str">
        <f>IFERROR(VLOOKUP(B3231,'Pre-Summary'!$AZ$6:$BE$65,5,FALSE),"")</f>
        <v/>
      </c>
      <c r="AJ3231" s="10" t="str">
        <f>IFERROR(VLOOKUP(B3231,'Pre-Summary'!$AZ$6:$BE$65,4,FALSE),"")</f>
        <v/>
      </c>
      <c r="AK3231" s="10" t="str">
        <f>IFERROR(VLOOKUP(B3231,'Pre-Summary'!$AZ$6:$BE$65,6,FALSE),"")</f>
        <v/>
      </c>
      <c r="AL3231" s="10" t="str">
        <f>IFERROR(VLOOKUP(B3231,'Pre-Summary'!$BG$6:$BL$44,3,FALSE),"")</f>
        <v/>
      </c>
      <c r="AM3231" s="10" t="str">
        <f>IFERROR(VLOOKUP(B3231,'Pre-Summary'!$BG$6:$BL$44,4,FALSE),"")</f>
        <v/>
      </c>
    </row>
    <row r="3232" spans="2:39" ht="15" customHeight="1" x14ac:dyDescent="0.3">
      <c r="B3232">
        <v>322.90000000000299</v>
      </c>
      <c r="D3232" s="10"/>
      <c r="E3232" s="10"/>
      <c r="F3232">
        <f>IFERROR(VLOOKUP(B3232,'Pre-Summary'!$AL$6:$AQ$13,6,FALSE),F3231)</f>
        <v>5.9405263157894746E-2</v>
      </c>
      <c r="M3232" s="45" t="str">
        <f>IFERROR(VLOOKUP(B3232,'Pre-Summary'!$BW$6:$BY$58,2,FALSE),"")</f>
        <v/>
      </c>
      <c r="N3232" s="45" t="str">
        <f>IFERROR(VLOOKUP(B3232,'Pre-Summary'!$CD$6:$CF$64,2,FALSE),"")</f>
        <v/>
      </c>
      <c r="O3232" s="99">
        <f>IFERROR(VLOOKUP(B3232,'Pre-Summary'!$BO$6:$BQ$48,3, FALSE),O3231)</f>
        <v>3.3239999999999998</v>
      </c>
      <c r="P3232" s="99">
        <f>IFERROR(VLOOKUP(B3232,'Pre-Summary'!$BS$6:$BU$35,3,FALSE),P3231)</f>
        <v>0.84099999999999997</v>
      </c>
      <c r="Q3232" s="54">
        <f t="shared" si="152"/>
        <v>3.9524375743162903</v>
      </c>
      <c r="R3232" s="53">
        <f>IFERROR(VLOOKUP(B3232,'Pre-Summary'!$BG$6:$BM$44,7,FALSE),R3233)</f>
        <v>0</v>
      </c>
      <c r="S3232" s="53" t="e">
        <f>VLOOKUP(B3232,'Pre-Summary'!$BG$6:$BM$44,6,FALSE)</f>
        <v>#N/A</v>
      </c>
      <c r="Z3232" s="45" t="str">
        <f>IFERROR(VLOOKUP(B3232,'Pre-Summary'!$BZ$6:$CB$63,2,FALSE),"")</f>
        <v/>
      </c>
      <c r="AA3232" s="45" t="str">
        <f>IFERROR(VLOOKUP(B3232,'Pre-Summary'!$CG$6:$CI$70,2,FALSE),"")</f>
        <v/>
      </c>
      <c r="AB3232" s="99">
        <f>IFERROR(VLOOKUP(B3232,'Pre-Summary'!$A$6:$P$178,9,FALSE),AB3233)</f>
        <v>0</v>
      </c>
      <c r="AC3232" s="10">
        <f>IFERROR(VLOOKUP(Summary!B3232,'Pre-Summary'!$A$6:$P$184,5, FALSE)/100,AC3233)</f>
        <v>0</v>
      </c>
      <c r="AD3232" s="10">
        <f>IFERROR(VLOOKUP(Summary!B3232,'Pre-Summary'!$A$6:$P$184,3, FALSE)/100,AD3233)</f>
        <v>0</v>
      </c>
      <c r="AE3232" s="10">
        <f>IFERROR(VLOOKUP(Summary!B3232,'Pre-Summary'!$A$6:$P$184,7, FALSE)/100,AE3233)</f>
        <v>0</v>
      </c>
      <c r="AF3232" s="99">
        <f t="shared" si="150"/>
        <v>0</v>
      </c>
      <c r="AG3232" s="99">
        <f t="shared" si="151"/>
        <v>0</v>
      </c>
      <c r="AH3232" s="10" t="str">
        <f>IFERROR(VLOOKUP(B3232,'Pre-Summary'!$AZ$6:$BE$65,3,FALSE),"")</f>
        <v/>
      </c>
      <c r="AI3232" s="10" t="str">
        <f>IFERROR(VLOOKUP(B3232,'Pre-Summary'!$AZ$6:$BE$65,5,FALSE),"")</f>
        <v/>
      </c>
      <c r="AJ3232" s="10" t="str">
        <f>IFERROR(VLOOKUP(B3232,'Pre-Summary'!$AZ$6:$BE$65,4,FALSE),"")</f>
        <v/>
      </c>
      <c r="AK3232" s="10" t="str">
        <f>IFERROR(VLOOKUP(B3232,'Pre-Summary'!$AZ$6:$BE$65,6,FALSE),"")</f>
        <v/>
      </c>
      <c r="AL3232" s="10" t="str">
        <f>IFERROR(VLOOKUP(B3232,'Pre-Summary'!$BG$6:$BL$44,3,FALSE),"")</f>
        <v/>
      </c>
      <c r="AM3232" s="10" t="str">
        <f>IFERROR(VLOOKUP(B3232,'Pre-Summary'!$BG$6:$BL$44,4,FALSE),"")</f>
        <v/>
      </c>
    </row>
    <row r="3233" spans="2:39" ht="15" customHeight="1" x14ac:dyDescent="0.3">
      <c r="B3233">
        <v>323.00000000000301</v>
      </c>
      <c r="D3233" s="10"/>
      <c r="E3233" s="10"/>
      <c r="F3233">
        <f>IFERROR(VLOOKUP(B3233,'Pre-Summary'!$AL$6:$AQ$13,6,FALSE),F3232)</f>
        <v>5.9405263157894746E-2</v>
      </c>
      <c r="M3233" s="45" t="str">
        <f>IFERROR(VLOOKUP(B3233,'Pre-Summary'!$BW$6:$BY$58,2,FALSE),"")</f>
        <v/>
      </c>
      <c r="N3233" s="45" t="str">
        <f>IFERROR(VLOOKUP(B3233,'Pre-Summary'!$CD$6:$CF$64,2,FALSE),"")</f>
        <v/>
      </c>
      <c r="O3233" s="99">
        <f>IFERROR(VLOOKUP(B3233,'Pre-Summary'!$BO$6:$BQ$48,3, FALSE),O3232)</f>
        <v>3.3239999999999998</v>
      </c>
      <c r="P3233" s="99">
        <f>IFERROR(VLOOKUP(B3233,'Pre-Summary'!$BS$6:$BU$35,3,FALSE),P3232)</f>
        <v>0.84099999999999997</v>
      </c>
      <c r="Q3233" s="54">
        <f t="shared" si="152"/>
        <v>3.9524375743162903</v>
      </c>
      <c r="R3233" s="53">
        <f>IFERROR(VLOOKUP(B3233,'Pre-Summary'!$BG$6:$BM$44,7,FALSE),R3234)</f>
        <v>0</v>
      </c>
      <c r="S3233" s="53" t="e">
        <f>VLOOKUP(B3233,'Pre-Summary'!$BG$6:$BM$44,6,FALSE)</f>
        <v>#N/A</v>
      </c>
      <c r="Z3233" s="45" t="str">
        <f>IFERROR(VLOOKUP(B3233,'Pre-Summary'!$BZ$6:$CB$63,2,FALSE),"")</f>
        <v/>
      </c>
      <c r="AA3233" s="45" t="str">
        <f>IFERROR(VLOOKUP(B3233,'Pre-Summary'!$CG$6:$CI$70,2,FALSE),"")</f>
        <v/>
      </c>
      <c r="AB3233" s="99">
        <f>IFERROR(VLOOKUP(B3233,'Pre-Summary'!$A$6:$P$178,9,FALSE),AB3234)</f>
        <v>0</v>
      </c>
      <c r="AC3233" s="10">
        <f>IFERROR(VLOOKUP(Summary!B3233,'Pre-Summary'!$A$6:$P$184,5, FALSE)/100,AC3234)</f>
        <v>0</v>
      </c>
      <c r="AD3233" s="10">
        <f>IFERROR(VLOOKUP(Summary!B3233,'Pre-Summary'!$A$6:$P$184,3, FALSE)/100,AD3234)</f>
        <v>0</v>
      </c>
      <c r="AE3233" s="10">
        <f>IFERROR(VLOOKUP(Summary!B3233,'Pre-Summary'!$A$6:$P$184,7, FALSE)/100,AE3234)</f>
        <v>0</v>
      </c>
      <c r="AF3233" s="99">
        <f t="shared" si="150"/>
        <v>0</v>
      </c>
      <c r="AG3233" s="99">
        <f t="shared" si="151"/>
        <v>0</v>
      </c>
      <c r="AH3233" s="10" t="str">
        <f>IFERROR(VLOOKUP(B3233,'Pre-Summary'!$AZ$6:$BE$65,3,FALSE),"")</f>
        <v/>
      </c>
      <c r="AI3233" s="10" t="str">
        <f>IFERROR(VLOOKUP(B3233,'Pre-Summary'!$AZ$6:$BE$65,5,FALSE),"")</f>
        <v/>
      </c>
      <c r="AJ3233" s="10" t="str">
        <f>IFERROR(VLOOKUP(B3233,'Pre-Summary'!$AZ$6:$BE$65,4,FALSE),"")</f>
        <v/>
      </c>
      <c r="AK3233" s="10" t="str">
        <f>IFERROR(VLOOKUP(B3233,'Pre-Summary'!$AZ$6:$BE$65,6,FALSE),"")</f>
        <v/>
      </c>
      <c r="AL3233" s="10" t="str">
        <f>IFERROR(VLOOKUP(B3233,'Pre-Summary'!$BG$6:$BL$44,3,FALSE),"")</f>
        <v/>
      </c>
      <c r="AM3233" s="10" t="str">
        <f>IFERROR(VLOOKUP(B3233,'Pre-Summary'!$BG$6:$BL$44,4,FALSE),"")</f>
        <v/>
      </c>
    </row>
    <row r="3234" spans="2:39" ht="15" customHeight="1" x14ac:dyDescent="0.3">
      <c r="B3234">
        <v>323.10000000000298</v>
      </c>
      <c r="D3234" s="10"/>
      <c r="E3234" s="10"/>
      <c r="F3234">
        <f>IFERROR(VLOOKUP(B3234,'Pre-Summary'!$AL$6:$AQ$13,6,FALSE),F3233)</f>
        <v>5.9405263157894746E-2</v>
      </c>
      <c r="M3234" s="45" t="str">
        <f>IFERROR(VLOOKUP(B3234,'Pre-Summary'!$BW$6:$BY$58,2,FALSE),"")</f>
        <v/>
      </c>
      <c r="N3234" s="45" t="str">
        <f>IFERROR(VLOOKUP(B3234,'Pre-Summary'!$CD$6:$CF$64,2,FALSE),"")</f>
        <v/>
      </c>
      <c r="O3234" s="99">
        <f>IFERROR(VLOOKUP(B3234,'Pre-Summary'!$BO$6:$BQ$48,3, FALSE),O3233)</f>
        <v>3.3239999999999998</v>
      </c>
      <c r="P3234" s="99">
        <f>IFERROR(VLOOKUP(B3234,'Pre-Summary'!$BS$6:$BU$35,3,FALSE),P3233)</f>
        <v>0.84099999999999997</v>
      </c>
      <c r="Q3234" s="54">
        <f t="shared" si="152"/>
        <v>3.9524375743162903</v>
      </c>
      <c r="R3234" s="53">
        <f>IFERROR(VLOOKUP(B3234,'Pre-Summary'!$BG$6:$BM$44,7,FALSE),R3235)</f>
        <v>0</v>
      </c>
      <c r="S3234" s="53" t="e">
        <f>VLOOKUP(B3234,'Pre-Summary'!$BG$6:$BM$44,6,FALSE)</f>
        <v>#N/A</v>
      </c>
      <c r="Z3234" s="45" t="str">
        <f>IFERROR(VLOOKUP(B3234,'Pre-Summary'!$BZ$6:$CB$63,2,FALSE),"")</f>
        <v/>
      </c>
      <c r="AA3234" s="45" t="str">
        <f>IFERROR(VLOOKUP(B3234,'Pre-Summary'!$CG$6:$CI$70,2,FALSE),"")</f>
        <v/>
      </c>
      <c r="AB3234" s="99">
        <f>IFERROR(VLOOKUP(B3234,'Pre-Summary'!$A$6:$P$178,9,FALSE),AB3235)</f>
        <v>0</v>
      </c>
      <c r="AC3234" s="10">
        <f>IFERROR(VLOOKUP(Summary!B3234,'Pre-Summary'!$A$6:$P$184,5, FALSE)/100,AC3235)</f>
        <v>0</v>
      </c>
      <c r="AD3234" s="10">
        <f>IFERROR(VLOOKUP(Summary!B3234,'Pre-Summary'!$A$6:$P$184,3, FALSE)/100,AD3235)</f>
        <v>0</v>
      </c>
      <c r="AE3234" s="10">
        <f>IFERROR(VLOOKUP(Summary!B3234,'Pre-Summary'!$A$6:$P$184,7, FALSE)/100,AE3235)</f>
        <v>0</v>
      </c>
      <c r="AF3234" s="99">
        <f t="shared" si="150"/>
        <v>0</v>
      </c>
      <c r="AG3234" s="99">
        <f t="shared" si="151"/>
        <v>0</v>
      </c>
      <c r="AH3234" s="10" t="str">
        <f>IFERROR(VLOOKUP(B3234,'Pre-Summary'!$AZ$6:$BE$65,3,FALSE),"")</f>
        <v/>
      </c>
      <c r="AI3234" s="10" t="str">
        <f>IFERROR(VLOOKUP(B3234,'Pre-Summary'!$AZ$6:$BE$65,5,FALSE),"")</f>
        <v/>
      </c>
      <c r="AJ3234" s="10" t="str">
        <f>IFERROR(VLOOKUP(B3234,'Pre-Summary'!$AZ$6:$BE$65,4,FALSE),"")</f>
        <v/>
      </c>
      <c r="AK3234" s="10" t="str">
        <f>IFERROR(VLOOKUP(B3234,'Pre-Summary'!$AZ$6:$BE$65,6,FALSE),"")</f>
        <v/>
      </c>
      <c r="AL3234" s="10" t="str">
        <f>IFERROR(VLOOKUP(B3234,'Pre-Summary'!$BG$6:$BL$44,3,FALSE),"")</f>
        <v/>
      </c>
      <c r="AM3234" s="10" t="str">
        <f>IFERROR(VLOOKUP(B3234,'Pre-Summary'!$BG$6:$BL$44,4,FALSE),"")</f>
        <v/>
      </c>
    </row>
    <row r="3235" spans="2:39" ht="15" customHeight="1" x14ac:dyDescent="0.3">
      <c r="B3235">
        <v>323.200000000003</v>
      </c>
      <c r="D3235" s="10"/>
      <c r="E3235" s="10"/>
      <c r="F3235">
        <f>IFERROR(VLOOKUP(B3235,'Pre-Summary'!$AL$6:$AQ$13,6,FALSE),F3234)</f>
        <v>5.9405263157894746E-2</v>
      </c>
      <c r="M3235" s="45" t="str">
        <f>IFERROR(VLOOKUP(B3235,'Pre-Summary'!$BW$6:$BY$58,2,FALSE),"")</f>
        <v/>
      </c>
      <c r="N3235" s="45" t="str">
        <f>IFERROR(VLOOKUP(B3235,'Pre-Summary'!$CD$6:$CF$64,2,FALSE),"")</f>
        <v/>
      </c>
      <c r="O3235" s="99">
        <f>IFERROR(VLOOKUP(B3235,'Pre-Summary'!$BO$6:$BQ$48,3, FALSE),O3234)</f>
        <v>3.3239999999999998</v>
      </c>
      <c r="P3235" s="99">
        <f>IFERROR(VLOOKUP(B3235,'Pre-Summary'!$BS$6:$BU$35,3,FALSE),P3234)</f>
        <v>0.84099999999999997</v>
      </c>
      <c r="Q3235" s="54">
        <f t="shared" si="152"/>
        <v>3.9524375743162903</v>
      </c>
      <c r="R3235" s="53">
        <f>IFERROR(VLOOKUP(B3235,'Pre-Summary'!$BG$6:$BM$44,7,FALSE),R3236)</f>
        <v>0</v>
      </c>
      <c r="S3235" s="53" t="e">
        <f>VLOOKUP(B3235,'Pre-Summary'!$BG$6:$BM$44,6,FALSE)</f>
        <v>#N/A</v>
      </c>
      <c r="Z3235" s="45" t="str">
        <f>IFERROR(VLOOKUP(B3235,'Pre-Summary'!$BZ$6:$CB$63,2,FALSE),"")</f>
        <v/>
      </c>
      <c r="AA3235" s="45" t="str">
        <f>IFERROR(VLOOKUP(B3235,'Pre-Summary'!$CG$6:$CI$70,2,FALSE),"")</f>
        <v/>
      </c>
      <c r="AB3235" s="99">
        <f>IFERROR(VLOOKUP(B3235,'Pre-Summary'!$A$6:$P$178,9,FALSE),AB3236)</f>
        <v>0</v>
      </c>
      <c r="AC3235" s="10">
        <f>IFERROR(VLOOKUP(Summary!B3235,'Pre-Summary'!$A$6:$P$184,5, FALSE)/100,AC3236)</f>
        <v>0</v>
      </c>
      <c r="AD3235" s="10">
        <f>IFERROR(VLOOKUP(Summary!B3235,'Pre-Summary'!$A$6:$P$184,3, FALSE)/100,AD3236)</f>
        <v>0</v>
      </c>
      <c r="AE3235" s="10">
        <f>IFERROR(VLOOKUP(Summary!B3235,'Pre-Summary'!$A$6:$P$184,7, FALSE)/100,AE3236)</f>
        <v>0</v>
      </c>
      <c r="AF3235" s="99">
        <f t="shared" si="150"/>
        <v>0</v>
      </c>
      <c r="AG3235" s="99">
        <f t="shared" si="151"/>
        <v>0</v>
      </c>
      <c r="AH3235" s="10" t="str">
        <f>IFERROR(VLOOKUP(B3235,'Pre-Summary'!$AZ$6:$BE$65,3,FALSE),"")</f>
        <v/>
      </c>
      <c r="AI3235" s="10" t="str">
        <f>IFERROR(VLOOKUP(B3235,'Pre-Summary'!$AZ$6:$BE$65,5,FALSE),"")</f>
        <v/>
      </c>
      <c r="AJ3235" s="10" t="str">
        <f>IFERROR(VLOOKUP(B3235,'Pre-Summary'!$AZ$6:$BE$65,4,FALSE),"")</f>
        <v/>
      </c>
      <c r="AK3235" s="10" t="str">
        <f>IFERROR(VLOOKUP(B3235,'Pre-Summary'!$AZ$6:$BE$65,6,FALSE),"")</f>
        <v/>
      </c>
      <c r="AL3235" s="10" t="str">
        <f>IFERROR(VLOOKUP(B3235,'Pre-Summary'!$BG$6:$BL$44,3,FALSE),"")</f>
        <v/>
      </c>
      <c r="AM3235" s="10" t="str">
        <f>IFERROR(VLOOKUP(B3235,'Pre-Summary'!$BG$6:$BL$44,4,FALSE),"")</f>
        <v/>
      </c>
    </row>
    <row r="3236" spans="2:39" ht="15" customHeight="1" x14ac:dyDescent="0.3">
      <c r="B3236">
        <v>323.30000000000302</v>
      </c>
      <c r="D3236" s="10"/>
      <c r="E3236" s="10"/>
      <c r="F3236">
        <f>IFERROR(VLOOKUP(B3236,'Pre-Summary'!$AL$6:$AQ$13,6,FALSE),F3235)</f>
        <v>5.9405263157894746E-2</v>
      </c>
      <c r="M3236" s="45" t="str">
        <f>IFERROR(VLOOKUP(B3236,'Pre-Summary'!$BW$6:$BY$58,2,FALSE),"")</f>
        <v/>
      </c>
      <c r="N3236" s="45" t="str">
        <f>IFERROR(VLOOKUP(B3236,'Pre-Summary'!$CD$6:$CF$64,2,FALSE),"")</f>
        <v/>
      </c>
      <c r="O3236" s="99">
        <f>IFERROR(VLOOKUP(B3236,'Pre-Summary'!$BO$6:$BQ$48,3, FALSE),O3235)</f>
        <v>3.3239999999999998</v>
      </c>
      <c r="P3236" s="99">
        <f>IFERROR(VLOOKUP(B3236,'Pre-Summary'!$BS$6:$BU$35,3,FALSE),P3235)</f>
        <v>0.84099999999999997</v>
      </c>
      <c r="Q3236" s="54">
        <f t="shared" si="152"/>
        <v>3.9524375743162903</v>
      </c>
      <c r="R3236" s="53">
        <f>IFERROR(VLOOKUP(B3236,'Pre-Summary'!$BG$6:$BM$44,7,FALSE),R3237)</f>
        <v>0</v>
      </c>
      <c r="S3236" s="53" t="e">
        <f>VLOOKUP(B3236,'Pre-Summary'!$BG$6:$BM$44,6,FALSE)</f>
        <v>#N/A</v>
      </c>
      <c r="Z3236" s="45" t="str">
        <f>IFERROR(VLOOKUP(B3236,'Pre-Summary'!$BZ$6:$CB$63,2,FALSE),"")</f>
        <v/>
      </c>
      <c r="AA3236" s="45" t="str">
        <f>IFERROR(VLOOKUP(B3236,'Pre-Summary'!$CG$6:$CI$70,2,FALSE),"")</f>
        <v/>
      </c>
      <c r="AB3236" s="99">
        <f>IFERROR(VLOOKUP(B3236,'Pre-Summary'!$A$6:$P$178,9,FALSE),AB3237)</f>
        <v>0</v>
      </c>
      <c r="AC3236" s="10">
        <f>IFERROR(VLOOKUP(Summary!B3236,'Pre-Summary'!$A$6:$P$184,5, FALSE)/100,AC3237)</f>
        <v>0</v>
      </c>
      <c r="AD3236" s="10">
        <f>IFERROR(VLOOKUP(Summary!B3236,'Pre-Summary'!$A$6:$P$184,3, FALSE)/100,AD3237)</f>
        <v>0</v>
      </c>
      <c r="AE3236" s="10">
        <f>IFERROR(VLOOKUP(Summary!B3236,'Pre-Summary'!$A$6:$P$184,7, FALSE)/100,AE3237)</f>
        <v>0</v>
      </c>
      <c r="AF3236" s="99">
        <f t="shared" si="150"/>
        <v>0</v>
      </c>
      <c r="AG3236" s="99">
        <f t="shared" si="151"/>
        <v>0</v>
      </c>
      <c r="AH3236" s="10" t="str">
        <f>IFERROR(VLOOKUP(B3236,'Pre-Summary'!$AZ$6:$BE$65,3,FALSE),"")</f>
        <v/>
      </c>
      <c r="AI3236" s="10" t="str">
        <f>IFERROR(VLOOKUP(B3236,'Pre-Summary'!$AZ$6:$BE$65,5,FALSE),"")</f>
        <v/>
      </c>
      <c r="AJ3236" s="10" t="str">
        <f>IFERROR(VLOOKUP(B3236,'Pre-Summary'!$AZ$6:$BE$65,4,FALSE),"")</f>
        <v/>
      </c>
      <c r="AK3236" s="10" t="str">
        <f>IFERROR(VLOOKUP(B3236,'Pre-Summary'!$AZ$6:$BE$65,6,FALSE),"")</f>
        <v/>
      </c>
      <c r="AL3236" s="10" t="str">
        <f>IFERROR(VLOOKUP(B3236,'Pre-Summary'!$BG$6:$BL$44,3,FALSE),"")</f>
        <v/>
      </c>
      <c r="AM3236" s="10" t="str">
        <f>IFERROR(VLOOKUP(B3236,'Pre-Summary'!$BG$6:$BL$44,4,FALSE),"")</f>
        <v/>
      </c>
    </row>
    <row r="3237" spans="2:39" ht="15" customHeight="1" x14ac:dyDescent="0.3">
      <c r="B3237">
        <v>323.40000000000299</v>
      </c>
      <c r="D3237" s="10"/>
      <c r="E3237" s="10"/>
      <c r="F3237">
        <f>IFERROR(VLOOKUP(B3237,'Pre-Summary'!$AL$6:$AQ$13,6,FALSE),F3236)</f>
        <v>5.9405263157894746E-2</v>
      </c>
      <c r="M3237" s="45" t="str">
        <f>IFERROR(VLOOKUP(B3237,'Pre-Summary'!$BW$6:$BY$58,2,FALSE),"")</f>
        <v/>
      </c>
      <c r="N3237" s="45" t="str">
        <f>IFERROR(VLOOKUP(B3237,'Pre-Summary'!$CD$6:$CF$64,2,FALSE),"")</f>
        <v/>
      </c>
      <c r="O3237" s="99">
        <f>IFERROR(VLOOKUP(B3237,'Pre-Summary'!$BO$6:$BQ$48,3, FALSE),O3236)</f>
        <v>3.3239999999999998</v>
      </c>
      <c r="P3237" s="99">
        <f>IFERROR(VLOOKUP(B3237,'Pre-Summary'!$BS$6:$BU$35,3,FALSE),P3236)</f>
        <v>0.84099999999999997</v>
      </c>
      <c r="Q3237" s="54">
        <f t="shared" si="152"/>
        <v>3.9524375743162903</v>
      </c>
      <c r="R3237" s="53">
        <f>IFERROR(VLOOKUP(B3237,'Pre-Summary'!$BG$6:$BM$44,7,FALSE),R3238)</f>
        <v>0</v>
      </c>
      <c r="S3237" s="53" t="e">
        <f>VLOOKUP(B3237,'Pre-Summary'!$BG$6:$BM$44,6,FALSE)</f>
        <v>#N/A</v>
      </c>
      <c r="Z3237" s="45" t="str">
        <f>IFERROR(VLOOKUP(B3237,'Pre-Summary'!$BZ$6:$CB$63,2,FALSE),"")</f>
        <v/>
      </c>
      <c r="AA3237" s="45" t="str">
        <f>IFERROR(VLOOKUP(B3237,'Pre-Summary'!$CG$6:$CI$70,2,FALSE),"")</f>
        <v/>
      </c>
      <c r="AB3237" s="99">
        <f>IFERROR(VLOOKUP(B3237,'Pre-Summary'!$A$6:$P$178,9,FALSE),AB3238)</f>
        <v>0</v>
      </c>
      <c r="AC3237" s="10">
        <f>IFERROR(VLOOKUP(Summary!B3237,'Pre-Summary'!$A$6:$P$184,5, FALSE)/100,AC3238)</f>
        <v>0</v>
      </c>
      <c r="AD3237" s="10">
        <f>IFERROR(VLOOKUP(Summary!B3237,'Pre-Summary'!$A$6:$P$184,3, FALSE)/100,AD3238)</f>
        <v>0</v>
      </c>
      <c r="AE3237" s="10">
        <f>IFERROR(VLOOKUP(Summary!B3237,'Pre-Summary'!$A$6:$P$184,7, FALSE)/100,AE3238)</f>
        <v>0</v>
      </c>
      <c r="AF3237" s="99">
        <f t="shared" si="150"/>
        <v>0</v>
      </c>
      <c r="AG3237" s="99">
        <f t="shared" si="151"/>
        <v>0</v>
      </c>
      <c r="AH3237" s="10" t="str">
        <f>IFERROR(VLOOKUP(B3237,'Pre-Summary'!$AZ$6:$BE$65,3,FALSE),"")</f>
        <v/>
      </c>
      <c r="AI3237" s="10" t="str">
        <f>IFERROR(VLOOKUP(B3237,'Pre-Summary'!$AZ$6:$BE$65,5,FALSE),"")</f>
        <v/>
      </c>
      <c r="AJ3237" s="10" t="str">
        <f>IFERROR(VLOOKUP(B3237,'Pre-Summary'!$AZ$6:$BE$65,4,FALSE),"")</f>
        <v/>
      </c>
      <c r="AK3237" s="10" t="str">
        <f>IFERROR(VLOOKUP(B3237,'Pre-Summary'!$AZ$6:$BE$65,6,FALSE),"")</f>
        <v/>
      </c>
      <c r="AL3237" s="10" t="str">
        <f>IFERROR(VLOOKUP(B3237,'Pre-Summary'!$BG$6:$BL$44,3,FALSE),"")</f>
        <v/>
      </c>
      <c r="AM3237" s="10" t="str">
        <f>IFERROR(VLOOKUP(B3237,'Pre-Summary'!$BG$6:$BL$44,4,FALSE),"")</f>
        <v/>
      </c>
    </row>
    <row r="3238" spans="2:39" ht="15" customHeight="1" x14ac:dyDescent="0.3">
      <c r="B3238">
        <v>323.50000000000301</v>
      </c>
      <c r="D3238" s="10"/>
      <c r="E3238" s="10"/>
      <c r="F3238">
        <f>IFERROR(VLOOKUP(B3238,'Pre-Summary'!$AL$6:$AQ$13,6,FALSE),F3237)</f>
        <v>5.9405263157894746E-2</v>
      </c>
      <c r="M3238" s="45" t="str">
        <f>IFERROR(VLOOKUP(B3238,'Pre-Summary'!$BW$6:$BY$58,2,FALSE),"")</f>
        <v/>
      </c>
      <c r="N3238" s="45" t="str">
        <f>IFERROR(VLOOKUP(B3238,'Pre-Summary'!$CD$6:$CF$64,2,FALSE),"")</f>
        <v/>
      </c>
      <c r="O3238" s="99">
        <f>IFERROR(VLOOKUP(B3238,'Pre-Summary'!$BO$6:$BQ$48,3, FALSE),O3237)</f>
        <v>3.3239999999999998</v>
      </c>
      <c r="P3238" s="99">
        <f>IFERROR(VLOOKUP(B3238,'Pre-Summary'!$BS$6:$BU$35,3,FALSE),P3237)</f>
        <v>0.84099999999999997</v>
      </c>
      <c r="Q3238" s="54">
        <f t="shared" si="152"/>
        <v>3.9524375743162903</v>
      </c>
      <c r="R3238" s="53">
        <f>IFERROR(VLOOKUP(B3238,'Pre-Summary'!$BG$6:$BM$44,7,FALSE),R3239)</f>
        <v>0</v>
      </c>
      <c r="S3238" s="53" t="e">
        <f>VLOOKUP(B3238,'Pre-Summary'!$BG$6:$BM$44,6,FALSE)</f>
        <v>#N/A</v>
      </c>
      <c r="Z3238" s="45" t="str">
        <f>IFERROR(VLOOKUP(B3238,'Pre-Summary'!$BZ$6:$CB$63,2,FALSE),"")</f>
        <v/>
      </c>
      <c r="AA3238" s="45" t="str">
        <f>IFERROR(VLOOKUP(B3238,'Pre-Summary'!$CG$6:$CI$70,2,FALSE),"")</f>
        <v/>
      </c>
      <c r="AB3238" s="99">
        <f>IFERROR(VLOOKUP(B3238,'Pre-Summary'!$A$6:$P$178,9,FALSE),AB3239)</f>
        <v>0</v>
      </c>
      <c r="AC3238" s="10">
        <f>IFERROR(VLOOKUP(Summary!B3238,'Pre-Summary'!$A$6:$P$184,5, FALSE)/100,AC3239)</f>
        <v>0</v>
      </c>
      <c r="AD3238" s="10">
        <f>IFERROR(VLOOKUP(Summary!B3238,'Pre-Summary'!$A$6:$P$184,3, FALSE)/100,AD3239)</f>
        <v>0</v>
      </c>
      <c r="AE3238" s="10">
        <f>IFERROR(VLOOKUP(Summary!B3238,'Pre-Summary'!$A$6:$P$184,7, FALSE)/100,AE3239)</f>
        <v>0</v>
      </c>
      <c r="AF3238" s="99">
        <f t="shared" si="150"/>
        <v>0</v>
      </c>
      <c r="AG3238" s="99">
        <f t="shared" si="151"/>
        <v>0</v>
      </c>
      <c r="AH3238" s="10" t="str">
        <f>IFERROR(VLOOKUP(B3238,'Pre-Summary'!$AZ$6:$BE$65,3,FALSE),"")</f>
        <v/>
      </c>
      <c r="AI3238" s="10" t="str">
        <f>IFERROR(VLOOKUP(B3238,'Pre-Summary'!$AZ$6:$BE$65,5,FALSE),"")</f>
        <v/>
      </c>
      <c r="AJ3238" s="10" t="str">
        <f>IFERROR(VLOOKUP(B3238,'Pre-Summary'!$AZ$6:$BE$65,4,FALSE),"")</f>
        <v/>
      </c>
      <c r="AK3238" s="10" t="str">
        <f>IFERROR(VLOOKUP(B3238,'Pre-Summary'!$AZ$6:$BE$65,6,FALSE),"")</f>
        <v/>
      </c>
      <c r="AL3238" s="10" t="str">
        <f>IFERROR(VLOOKUP(B3238,'Pre-Summary'!$BG$6:$BL$44,3,FALSE),"")</f>
        <v/>
      </c>
      <c r="AM3238" s="10" t="str">
        <f>IFERROR(VLOOKUP(B3238,'Pre-Summary'!$BG$6:$BL$44,4,FALSE),"")</f>
        <v/>
      </c>
    </row>
    <row r="3239" spans="2:39" ht="15" customHeight="1" x14ac:dyDescent="0.3">
      <c r="B3239">
        <v>323.60000000000298</v>
      </c>
      <c r="D3239" s="10"/>
      <c r="E3239" s="10"/>
      <c r="F3239">
        <f>IFERROR(VLOOKUP(B3239,'Pre-Summary'!$AL$6:$AQ$13,6,FALSE),F3238)</f>
        <v>5.9405263157894746E-2</v>
      </c>
      <c r="M3239" s="45" t="str">
        <f>IFERROR(VLOOKUP(B3239,'Pre-Summary'!$BW$6:$BY$58,2,FALSE),"")</f>
        <v/>
      </c>
      <c r="N3239" s="45" t="str">
        <f>IFERROR(VLOOKUP(B3239,'Pre-Summary'!$CD$6:$CF$64,2,FALSE),"")</f>
        <v/>
      </c>
      <c r="O3239" s="99">
        <f>IFERROR(VLOOKUP(B3239,'Pre-Summary'!$BO$6:$BQ$48,3, FALSE),O3238)</f>
        <v>3.3239999999999998</v>
      </c>
      <c r="P3239" s="99">
        <f>IFERROR(VLOOKUP(B3239,'Pre-Summary'!$BS$6:$BU$35,3,FALSE),P3238)</f>
        <v>0.84099999999999997</v>
      </c>
      <c r="Q3239" s="54">
        <f t="shared" si="152"/>
        <v>3.9524375743162903</v>
      </c>
      <c r="R3239" s="53">
        <f>IFERROR(VLOOKUP(B3239,'Pre-Summary'!$BG$6:$BM$44,7,FALSE),R3240)</f>
        <v>0</v>
      </c>
      <c r="S3239" s="53" t="e">
        <f>VLOOKUP(B3239,'Pre-Summary'!$BG$6:$BM$44,6,FALSE)</f>
        <v>#N/A</v>
      </c>
      <c r="Z3239" s="45" t="str">
        <f>IFERROR(VLOOKUP(B3239,'Pre-Summary'!$BZ$6:$CB$63,2,FALSE),"")</f>
        <v/>
      </c>
      <c r="AA3239" s="45" t="str">
        <f>IFERROR(VLOOKUP(B3239,'Pre-Summary'!$CG$6:$CI$70,2,FALSE),"")</f>
        <v/>
      </c>
      <c r="AB3239" s="99">
        <f>IFERROR(VLOOKUP(B3239,'Pre-Summary'!$A$6:$P$178,9,FALSE),AB3240)</f>
        <v>0</v>
      </c>
      <c r="AC3239" s="10">
        <f>IFERROR(VLOOKUP(Summary!B3239,'Pre-Summary'!$A$6:$P$184,5, FALSE)/100,AC3240)</f>
        <v>0</v>
      </c>
      <c r="AD3239" s="10">
        <f>IFERROR(VLOOKUP(Summary!B3239,'Pre-Summary'!$A$6:$P$184,3, FALSE)/100,AD3240)</f>
        <v>0</v>
      </c>
      <c r="AE3239" s="10">
        <f>IFERROR(VLOOKUP(Summary!B3239,'Pre-Summary'!$A$6:$P$184,7, FALSE)/100,AE3240)</f>
        <v>0</v>
      </c>
      <c r="AF3239" s="99">
        <f t="shared" si="150"/>
        <v>0</v>
      </c>
      <c r="AG3239" s="99">
        <f t="shared" si="151"/>
        <v>0</v>
      </c>
      <c r="AH3239" s="10" t="str">
        <f>IFERROR(VLOOKUP(B3239,'Pre-Summary'!$AZ$6:$BE$65,3,FALSE),"")</f>
        <v/>
      </c>
      <c r="AI3239" s="10" t="str">
        <f>IFERROR(VLOOKUP(B3239,'Pre-Summary'!$AZ$6:$BE$65,5,FALSE),"")</f>
        <v/>
      </c>
      <c r="AJ3239" s="10" t="str">
        <f>IFERROR(VLOOKUP(B3239,'Pre-Summary'!$AZ$6:$BE$65,4,FALSE),"")</f>
        <v/>
      </c>
      <c r="AK3239" s="10" t="str">
        <f>IFERROR(VLOOKUP(B3239,'Pre-Summary'!$AZ$6:$BE$65,6,FALSE),"")</f>
        <v/>
      </c>
      <c r="AL3239" s="10" t="str">
        <f>IFERROR(VLOOKUP(B3239,'Pre-Summary'!$BG$6:$BL$44,3,FALSE),"")</f>
        <v/>
      </c>
      <c r="AM3239" s="10" t="str">
        <f>IFERROR(VLOOKUP(B3239,'Pre-Summary'!$BG$6:$BL$44,4,FALSE),"")</f>
        <v/>
      </c>
    </row>
    <row r="3240" spans="2:39" ht="15" customHeight="1" x14ac:dyDescent="0.3">
      <c r="B3240">
        <v>323.700000000003</v>
      </c>
      <c r="D3240" s="10"/>
      <c r="E3240" s="10"/>
      <c r="F3240">
        <f>IFERROR(VLOOKUP(B3240,'Pre-Summary'!$AL$6:$AQ$13,6,FALSE),F3239)</f>
        <v>5.9405263157894746E-2</v>
      </c>
      <c r="M3240" s="45" t="str">
        <f>IFERROR(VLOOKUP(B3240,'Pre-Summary'!$BW$6:$BY$58,2,FALSE),"")</f>
        <v/>
      </c>
      <c r="N3240" s="45" t="str">
        <f>IFERROR(VLOOKUP(B3240,'Pre-Summary'!$CD$6:$CF$64,2,FALSE),"")</f>
        <v/>
      </c>
      <c r="O3240" s="99">
        <f>IFERROR(VLOOKUP(B3240,'Pre-Summary'!$BO$6:$BQ$48,3, FALSE),O3239)</f>
        <v>3.3239999999999998</v>
      </c>
      <c r="P3240" s="99">
        <f>IFERROR(VLOOKUP(B3240,'Pre-Summary'!$BS$6:$BU$35,3,FALSE),P3239)</f>
        <v>0.84099999999999997</v>
      </c>
      <c r="Q3240" s="54">
        <f t="shared" si="152"/>
        <v>3.9524375743162903</v>
      </c>
      <c r="R3240" s="53">
        <f>IFERROR(VLOOKUP(B3240,'Pre-Summary'!$BG$6:$BM$44,7,FALSE),R3241)</f>
        <v>0</v>
      </c>
      <c r="S3240" s="53" t="e">
        <f>VLOOKUP(B3240,'Pre-Summary'!$BG$6:$BM$44,6,FALSE)</f>
        <v>#N/A</v>
      </c>
      <c r="Z3240" s="45" t="str">
        <f>IFERROR(VLOOKUP(B3240,'Pre-Summary'!$BZ$6:$CB$63,2,FALSE),"")</f>
        <v/>
      </c>
      <c r="AA3240" s="45" t="str">
        <f>IFERROR(VLOOKUP(B3240,'Pre-Summary'!$CG$6:$CI$70,2,FALSE),"")</f>
        <v/>
      </c>
      <c r="AB3240" s="99">
        <f>IFERROR(VLOOKUP(B3240,'Pre-Summary'!$A$6:$P$178,9,FALSE),AB3241)</f>
        <v>0</v>
      </c>
      <c r="AC3240" s="10">
        <f>IFERROR(VLOOKUP(Summary!B3240,'Pre-Summary'!$A$6:$P$184,5, FALSE)/100,AC3241)</f>
        <v>0</v>
      </c>
      <c r="AD3240" s="10">
        <f>IFERROR(VLOOKUP(Summary!B3240,'Pre-Summary'!$A$6:$P$184,3, FALSE)/100,AD3241)</f>
        <v>0</v>
      </c>
      <c r="AE3240" s="10">
        <f>IFERROR(VLOOKUP(Summary!B3240,'Pre-Summary'!$A$6:$P$184,7, FALSE)/100,AE3241)</f>
        <v>0</v>
      </c>
      <c r="AF3240" s="99">
        <f t="shared" si="150"/>
        <v>0</v>
      </c>
      <c r="AG3240" s="99">
        <f t="shared" si="151"/>
        <v>0</v>
      </c>
      <c r="AH3240" s="10" t="str">
        <f>IFERROR(VLOOKUP(B3240,'Pre-Summary'!$AZ$6:$BE$65,3,FALSE),"")</f>
        <v/>
      </c>
      <c r="AI3240" s="10" t="str">
        <f>IFERROR(VLOOKUP(B3240,'Pre-Summary'!$AZ$6:$BE$65,5,FALSE),"")</f>
        <v/>
      </c>
      <c r="AJ3240" s="10" t="str">
        <f>IFERROR(VLOOKUP(B3240,'Pre-Summary'!$AZ$6:$BE$65,4,FALSE),"")</f>
        <v/>
      </c>
      <c r="AK3240" s="10" t="str">
        <f>IFERROR(VLOOKUP(B3240,'Pre-Summary'!$AZ$6:$BE$65,6,FALSE),"")</f>
        <v/>
      </c>
      <c r="AL3240" s="10" t="str">
        <f>IFERROR(VLOOKUP(B3240,'Pre-Summary'!$BG$6:$BL$44,3,FALSE),"")</f>
        <v/>
      </c>
      <c r="AM3240" s="10" t="str">
        <f>IFERROR(VLOOKUP(B3240,'Pre-Summary'!$BG$6:$BL$44,4,FALSE),"")</f>
        <v/>
      </c>
    </row>
    <row r="3241" spans="2:39" ht="15" customHeight="1" x14ac:dyDescent="0.3">
      <c r="B3241">
        <v>323.80000000000302</v>
      </c>
      <c r="D3241" s="10"/>
      <c r="E3241" s="10"/>
      <c r="F3241">
        <f>IFERROR(VLOOKUP(B3241,'Pre-Summary'!$AL$6:$AQ$13,6,FALSE),F3240)</f>
        <v>5.9405263157894746E-2</v>
      </c>
      <c r="M3241" s="45" t="str">
        <f>IFERROR(VLOOKUP(B3241,'Pre-Summary'!$BW$6:$BY$58,2,FALSE),"")</f>
        <v/>
      </c>
      <c r="N3241" s="45" t="str">
        <f>IFERROR(VLOOKUP(B3241,'Pre-Summary'!$CD$6:$CF$64,2,FALSE),"")</f>
        <v/>
      </c>
      <c r="O3241" s="99">
        <f>IFERROR(VLOOKUP(B3241,'Pre-Summary'!$BO$6:$BQ$48,3, FALSE),O3240)</f>
        <v>3.3239999999999998</v>
      </c>
      <c r="P3241" s="99">
        <f>IFERROR(VLOOKUP(B3241,'Pre-Summary'!$BS$6:$BU$35,3,FALSE),P3240)</f>
        <v>0.84099999999999997</v>
      </c>
      <c r="Q3241" s="54">
        <f t="shared" si="152"/>
        <v>3.9524375743162903</v>
      </c>
      <c r="R3241" s="53">
        <f>IFERROR(VLOOKUP(B3241,'Pre-Summary'!$BG$6:$BM$44,7,FALSE),R3242)</f>
        <v>0</v>
      </c>
      <c r="S3241" s="53" t="e">
        <f>VLOOKUP(B3241,'Pre-Summary'!$BG$6:$BM$44,6,FALSE)</f>
        <v>#N/A</v>
      </c>
      <c r="Z3241" s="45" t="str">
        <f>IFERROR(VLOOKUP(B3241,'Pre-Summary'!$BZ$6:$CB$63,2,FALSE),"")</f>
        <v/>
      </c>
      <c r="AA3241" s="45" t="str">
        <f>IFERROR(VLOOKUP(B3241,'Pre-Summary'!$CG$6:$CI$70,2,FALSE),"")</f>
        <v/>
      </c>
      <c r="AB3241" s="99">
        <f>IFERROR(VLOOKUP(B3241,'Pre-Summary'!$A$6:$P$178,9,FALSE),AB3242)</f>
        <v>0</v>
      </c>
      <c r="AC3241" s="10">
        <f>IFERROR(VLOOKUP(Summary!B3241,'Pre-Summary'!$A$6:$P$184,5, FALSE)/100,AC3242)</f>
        <v>0</v>
      </c>
      <c r="AD3241" s="10">
        <f>IFERROR(VLOOKUP(Summary!B3241,'Pre-Summary'!$A$6:$P$184,3, FALSE)/100,AD3242)</f>
        <v>0</v>
      </c>
      <c r="AE3241" s="10">
        <f>IFERROR(VLOOKUP(Summary!B3241,'Pre-Summary'!$A$6:$P$184,7, FALSE)/100,AE3242)</f>
        <v>0</v>
      </c>
      <c r="AF3241" s="99">
        <f t="shared" si="150"/>
        <v>0</v>
      </c>
      <c r="AG3241" s="99">
        <f t="shared" si="151"/>
        <v>0</v>
      </c>
      <c r="AH3241" s="10" t="str">
        <f>IFERROR(VLOOKUP(B3241,'Pre-Summary'!$AZ$6:$BE$65,3,FALSE),"")</f>
        <v/>
      </c>
      <c r="AI3241" s="10" t="str">
        <f>IFERROR(VLOOKUP(B3241,'Pre-Summary'!$AZ$6:$BE$65,5,FALSE),"")</f>
        <v/>
      </c>
      <c r="AJ3241" s="10" t="str">
        <f>IFERROR(VLOOKUP(B3241,'Pre-Summary'!$AZ$6:$BE$65,4,FALSE),"")</f>
        <v/>
      </c>
      <c r="AK3241" s="10" t="str">
        <f>IFERROR(VLOOKUP(B3241,'Pre-Summary'!$AZ$6:$BE$65,6,FALSE),"")</f>
        <v/>
      </c>
      <c r="AL3241" s="10" t="str">
        <f>IFERROR(VLOOKUP(B3241,'Pre-Summary'!$BG$6:$BL$44,3,FALSE),"")</f>
        <v/>
      </c>
      <c r="AM3241" s="10" t="str">
        <f>IFERROR(VLOOKUP(B3241,'Pre-Summary'!$BG$6:$BL$44,4,FALSE),"")</f>
        <v/>
      </c>
    </row>
    <row r="3242" spans="2:39" ht="15" customHeight="1" x14ac:dyDescent="0.3">
      <c r="B3242">
        <v>323.90000000000299</v>
      </c>
      <c r="D3242" s="10"/>
      <c r="E3242" s="10"/>
      <c r="F3242">
        <f>IFERROR(VLOOKUP(B3242,'Pre-Summary'!$AL$6:$AQ$13,6,FALSE),F3241)</f>
        <v>5.9405263157894746E-2</v>
      </c>
      <c r="M3242" s="45" t="str">
        <f>IFERROR(VLOOKUP(B3242,'Pre-Summary'!$BW$6:$BY$58,2,FALSE),"")</f>
        <v/>
      </c>
      <c r="N3242" s="45" t="str">
        <f>IFERROR(VLOOKUP(B3242,'Pre-Summary'!$CD$6:$CF$64,2,FALSE),"")</f>
        <v/>
      </c>
      <c r="O3242" s="99">
        <f>IFERROR(VLOOKUP(B3242,'Pre-Summary'!$BO$6:$BQ$48,3, FALSE),O3241)</f>
        <v>3.3239999999999998</v>
      </c>
      <c r="P3242" s="99">
        <f>IFERROR(VLOOKUP(B3242,'Pre-Summary'!$BS$6:$BU$35,3,FALSE),P3241)</f>
        <v>0.84099999999999997</v>
      </c>
      <c r="Q3242" s="54">
        <f t="shared" si="152"/>
        <v>3.9524375743162903</v>
      </c>
      <c r="R3242" s="53">
        <f>IFERROR(VLOOKUP(B3242,'Pre-Summary'!$BG$6:$BM$44,7,FALSE),R3243)</f>
        <v>0</v>
      </c>
      <c r="S3242" s="53" t="e">
        <f>VLOOKUP(B3242,'Pre-Summary'!$BG$6:$BM$44,6,FALSE)</f>
        <v>#N/A</v>
      </c>
      <c r="Z3242" s="45" t="str">
        <f>IFERROR(VLOOKUP(B3242,'Pre-Summary'!$BZ$6:$CB$63,2,FALSE),"")</f>
        <v/>
      </c>
      <c r="AA3242" s="45" t="str">
        <f>IFERROR(VLOOKUP(B3242,'Pre-Summary'!$CG$6:$CI$70,2,FALSE),"")</f>
        <v/>
      </c>
      <c r="AB3242" s="99">
        <f>IFERROR(VLOOKUP(B3242,'Pre-Summary'!$A$6:$P$178,9,FALSE),AB3243)</f>
        <v>0</v>
      </c>
      <c r="AC3242" s="10">
        <f>IFERROR(VLOOKUP(Summary!B3242,'Pre-Summary'!$A$6:$P$184,5, FALSE)/100,AC3243)</f>
        <v>0</v>
      </c>
      <c r="AD3242" s="10">
        <f>IFERROR(VLOOKUP(Summary!B3242,'Pre-Summary'!$A$6:$P$184,3, FALSE)/100,AD3243)</f>
        <v>0</v>
      </c>
      <c r="AE3242" s="10">
        <f>IFERROR(VLOOKUP(Summary!B3242,'Pre-Summary'!$A$6:$P$184,7, FALSE)/100,AE3243)</f>
        <v>0</v>
      </c>
      <c r="AF3242" s="99">
        <f t="shared" ref="AF3242:AF3305" si="153">AD3242*AB3242</f>
        <v>0</v>
      </c>
      <c r="AG3242" s="99">
        <f t="shared" ref="AG3242:AG3305" si="154">AB3242*AE3242</f>
        <v>0</v>
      </c>
      <c r="AH3242" s="10" t="str">
        <f>IFERROR(VLOOKUP(B3242,'Pre-Summary'!$AZ$6:$BE$65,3,FALSE),"")</f>
        <v/>
      </c>
      <c r="AI3242" s="10" t="str">
        <f>IFERROR(VLOOKUP(B3242,'Pre-Summary'!$AZ$6:$BE$65,5,FALSE),"")</f>
        <v/>
      </c>
      <c r="AJ3242" s="10" t="str">
        <f>IFERROR(VLOOKUP(B3242,'Pre-Summary'!$AZ$6:$BE$65,4,FALSE),"")</f>
        <v/>
      </c>
      <c r="AK3242" s="10" t="str">
        <f>IFERROR(VLOOKUP(B3242,'Pre-Summary'!$AZ$6:$BE$65,6,FALSE),"")</f>
        <v/>
      </c>
      <c r="AL3242" s="10" t="str">
        <f>IFERROR(VLOOKUP(B3242,'Pre-Summary'!$BG$6:$BL$44,3,FALSE),"")</f>
        <v/>
      </c>
      <c r="AM3242" s="10" t="str">
        <f>IFERROR(VLOOKUP(B3242,'Pre-Summary'!$BG$6:$BL$44,4,FALSE),"")</f>
        <v/>
      </c>
    </row>
    <row r="3243" spans="2:39" ht="15" customHeight="1" x14ac:dyDescent="0.3">
      <c r="B3243">
        <v>324.00000000000301</v>
      </c>
      <c r="D3243" s="10"/>
      <c r="E3243" s="10"/>
      <c r="F3243">
        <f>IFERROR(VLOOKUP(B3243,'Pre-Summary'!$AL$6:$AQ$13,6,FALSE),F3242)</f>
        <v>5.9405263157894746E-2</v>
      </c>
      <c r="M3243" s="45" t="str">
        <f>IFERROR(VLOOKUP(B3243,'Pre-Summary'!$BW$6:$BY$58,2,FALSE),"")</f>
        <v/>
      </c>
      <c r="N3243" s="45" t="str">
        <f>IFERROR(VLOOKUP(B3243,'Pre-Summary'!$CD$6:$CF$64,2,FALSE),"")</f>
        <v/>
      </c>
      <c r="O3243" s="99">
        <f>IFERROR(VLOOKUP(B3243,'Pre-Summary'!$BO$6:$BQ$48,3, FALSE),O3242)</f>
        <v>3.3239999999999998</v>
      </c>
      <c r="P3243" s="99">
        <f>IFERROR(VLOOKUP(B3243,'Pre-Summary'!$BS$6:$BU$35,3,FALSE),P3242)</f>
        <v>0.84099999999999997</v>
      </c>
      <c r="Q3243" s="54">
        <f t="shared" si="152"/>
        <v>3.9524375743162903</v>
      </c>
      <c r="R3243" s="53">
        <f>IFERROR(VLOOKUP(B3243,'Pre-Summary'!$BG$6:$BM$44,7,FALSE),R3244)</f>
        <v>0</v>
      </c>
      <c r="S3243" s="53" t="e">
        <f>VLOOKUP(B3243,'Pre-Summary'!$BG$6:$BM$44,6,FALSE)</f>
        <v>#N/A</v>
      </c>
      <c r="Z3243" s="45" t="str">
        <f>IFERROR(VLOOKUP(B3243,'Pre-Summary'!$BZ$6:$CB$63,2,FALSE),"")</f>
        <v/>
      </c>
      <c r="AA3243" s="45" t="str">
        <f>IFERROR(VLOOKUP(B3243,'Pre-Summary'!$CG$6:$CI$70,2,FALSE),"")</f>
        <v/>
      </c>
      <c r="AB3243" s="99">
        <f>IFERROR(VLOOKUP(B3243,'Pre-Summary'!$A$6:$P$178,9,FALSE),AB3244)</f>
        <v>0</v>
      </c>
      <c r="AC3243" s="10">
        <f>IFERROR(VLOOKUP(Summary!B3243,'Pre-Summary'!$A$6:$P$184,5, FALSE)/100,AC3244)</f>
        <v>0</v>
      </c>
      <c r="AD3243" s="10">
        <f>IFERROR(VLOOKUP(Summary!B3243,'Pre-Summary'!$A$6:$P$184,3, FALSE)/100,AD3244)</f>
        <v>0</v>
      </c>
      <c r="AE3243" s="10">
        <f>IFERROR(VLOOKUP(Summary!B3243,'Pre-Summary'!$A$6:$P$184,7, FALSE)/100,AE3244)</f>
        <v>0</v>
      </c>
      <c r="AF3243" s="99">
        <f t="shared" si="153"/>
        <v>0</v>
      </c>
      <c r="AG3243" s="99">
        <f t="shared" si="154"/>
        <v>0</v>
      </c>
      <c r="AH3243" s="10" t="str">
        <f>IFERROR(VLOOKUP(B3243,'Pre-Summary'!$AZ$6:$BE$65,3,FALSE),"")</f>
        <v/>
      </c>
      <c r="AI3243" s="10" t="str">
        <f>IFERROR(VLOOKUP(B3243,'Pre-Summary'!$AZ$6:$BE$65,5,FALSE),"")</f>
        <v/>
      </c>
      <c r="AJ3243" s="10" t="str">
        <f>IFERROR(VLOOKUP(B3243,'Pre-Summary'!$AZ$6:$BE$65,4,FALSE),"")</f>
        <v/>
      </c>
      <c r="AK3243" s="10" t="str">
        <f>IFERROR(VLOOKUP(B3243,'Pre-Summary'!$AZ$6:$BE$65,6,FALSE),"")</f>
        <v/>
      </c>
      <c r="AL3243" s="10" t="str">
        <f>IFERROR(VLOOKUP(B3243,'Pre-Summary'!$BG$6:$BL$44,3,FALSE),"")</f>
        <v/>
      </c>
      <c r="AM3243" s="10" t="str">
        <f>IFERROR(VLOOKUP(B3243,'Pre-Summary'!$BG$6:$BL$44,4,FALSE),"")</f>
        <v/>
      </c>
    </row>
    <row r="3244" spans="2:39" ht="15" customHeight="1" x14ac:dyDescent="0.3">
      <c r="B3244">
        <v>324.10000000000298</v>
      </c>
      <c r="D3244" s="10"/>
      <c r="E3244" s="10"/>
      <c r="F3244">
        <f>IFERROR(VLOOKUP(B3244,'Pre-Summary'!$AL$6:$AQ$13,6,FALSE),F3243)</f>
        <v>5.9405263157894746E-2</v>
      </c>
      <c r="M3244" s="45" t="str">
        <f>IFERROR(VLOOKUP(B3244,'Pre-Summary'!$BW$6:$BY$58,2,FALSE),"")</f>
        <v/>
      </c>
      <c r="N3244" s="45" t="str">
        <f>IFERROR(VLOOKUP(B3244,'Pre-Summary'!$CD$6:$CF$64,2,FALSE),"")</f>
        <v/>
      </c>
      <c r="O3244" s="99">
        <f>IFERROR(VLOOKUP(B3244,'Pre-Summary'!$BO$6:$BQ$48,3, FALSE),O3243)</f>
        <v>3.3239999999999998</v>
      </c>
      <c r="P3244" s="99">
        <f>IFERROR(VLOOKUP(B3244,'Pre-Summary'!$BS$6:$BU$35,3,FALSE),P3243)</f>
        <v>0.84099999999999997</v>
      </c>
      <c r="Q3244" s="54">
        <f t="shared" si="152"/>
        <v>3.9524375743162903</v>
      </c>
      <c r="R3244" s="53">
        <f>IFERROR(VLOOKUP(B3244,'Pre-Summary'!$BG$6:$BM$44,7,FALSE),R3245)</f>
        <v>0</v>
      </c>
      <c r="S3244" s="53" t="e">
        <f>VLOOKUP(B3244,'Pre-Summary'!$BG$6:$BM$44,6,FALSE)</f>
        <v>#N/A</v>
      </c>
      <c r="Z3244" s="45" t="str">
        <f>IFERROR(VLOOKUP(B3244,'Pre-Summary'!$BZ$6:$CB$63,2,FALSE),"")</f>
        <v/>
      </c>
      <c r="AA3244" s="45" t="str">
        <f>IFERROR(VLOOKUP(B3244,'Pre-Summary'!$CG$6:$CI$70,2,FALSE),"")</f>
        <v/>
      </c>
      <c r="AB3244" s="99">
        <f>IFERROR(VLOOKUP(B3244,'Pre-Summary'!$A$6:$P$178,9,FALSE),AB3245)</f>
        <v>0</v>
      </c>
      <c r="AC3244" s="10">
        <f>IFERROR(VLOOKUP(Summary!B3244,'Pre-Summary'!$A$6:$P$184,5, FALSE)/100,AC3245)</f>
        <v>0</v>
      </c>
      <c r="AD3244" s="10">
        <f>IFERROR(VLOOKUP(Summary!B3244,'Pre-Summary'!$A$6:$P$184,3, FALSE)/100,AD3245)</f>
        <v>0</v>
      </c>
      <c r="AE3244" s="10">
        <f>IFERROR(VLOOKUP(Summary!B3244,'Pre-Summary'!$A$6:$P$184,7, FALSE)/100,AE3245)</f>
        <v>0</v>
      </c>
      <c r="AF3244" s="99">
        <f t="shared" si="153"/>
        <v>0</v>
      </c>
      <c r="AG3244" s="99">
        <f t="shared" si="154"/>
        <v>0</v>
      </c>
      <c r="AH3244" s="10" t="str">
        <f>IFERROR(VLOOKUP(B3244,'Pre-Summary'!$AZ$6:$BE$65,3,FALSE),"")</f>
        <v/>
      </c>
      <c r="AI3244" s="10" t="str">
        <f>IFERROR(VLOOKUP(B3244,'Pre-Summary'!$AZ$6:$BE$65,5,FALSE),"")</f>
        <v/>
      </c>
      <c r="AJ3244" s="10" t="str">
        <f>IFERROR(VLOOKUP(B3244,'Pre-Summary'!$AZ$6:$BE$65,4,FALSE),"")</f>
        <v/>
      </c>
      <c r="AK3244" s="10" t="str">
        <f>IFERROR(VLOOKUP(B3244,'Pre-Summary'!$AZ$6:$BE$65,6,FALSE),"")</f>
        <v/>
      </c>
      <c r="AL3244" s="10" t="str">
        <f>IFERROR(VLOOKUP(B3244,'Pre-Summary'!$BG$6:$BL$44,3,FALSE),"")</f>
        <v/>
      </c>
      <c r="AM3244" s="10" t="str">
        <f>IFERROR(VLOOKUP(B3244,'Pre-Summary'!$BG$6:$BL$44,4,FALSE),"")</f>
        <v/>
      </c>
    </row>
    <row r="3245" spans="2:39" ht="15" customHeight="1" x14ac:dyDescent="0.3">
      <c r="B3245">
        <v>324.200000000003</v>
      </c>
      <c r="D3245" s="10"/>
      <c r="E3245" s="10"/>
      <c r="F3245">
        <f>IFERROR(VLOOKUP(B3245,'Pre-Summary'!$AL$6:$AQ$13,6,FALSE),F3244)</f>
        <v>5.9405263157894746E-2</v>
      </c>
      <c r="M3245" s="45" t="str">
        <f>IFERROR(VLOOKUP(B3245,'Pre-Summary'!$BW$6:$BY$58,2,FALSE),"")</f>
        <v/>
      </c>
      <c r="N3245" s="45" t="str">
        <f>IFERROR(VLOOKUP(B3245,'Pre-Summary'!$CD$6:$CF$64,2,FALSE),"")</f>
        <v/>
      </c>
      <c r="O3245" s="99">
        <f>IFERROR(VLOOKUP(B3245,'Pre-Summary'!$BO$6:$BQ$48,3, FALSE),O3244)</f>
        <v>3.3239999999999998</v>
      </c>
      <c r="P3245" s="99">
        <f>IFERROR(VLOOKUP(B3245,'Pre-Summary'!$BS$6:$BU$35,3,FALSE),P3244)</f>
        <v>0.84099999999999997</v>
      </c>
      <c r="Q3245" s="54">
        <f t="shared" si="152"/>
        <v>3.9524375743162903</v>
      </c>
      <c r="R3245" s="53">
        <f>IFERROR(VLOOKUP(B3245,'Pre-Summary'!$BG$6:$BM$44,7,FALSE),R3246)</f>
        <v>0</v>
      </c>
      <c r="S3245" s="53" t="e">
        <f>VLOOKUP(B3245,'Pre-Summary'!$BG$6:$BM$44,6,FALSE)</f>
        <v>#N/A</v>
      </c>
      <c r="Z3245" s="45" t="str">
        <f>IFERROR(VLOOKUP(B3245,'Pre-Summary'!$BZ$6:$CB$63,2,FALSE),"")</f>
        <v/>
      </c>
      <c r="AA3245" s="45" t="str">
        <f>IFERROR(VLOOKUP(B3245,'Pre-Summary'!$CG$6:$CI$70,2,FALSE),"")</f>
        <v/>
      </c>
      <c r="AB3245" s="99">
        <f>IFERROR(VLOOKUP(B3245,'Pre-Summary'!$A$6:$P$178,9,FALSE),AB3246)</f>
        <v>0</v>
      </c>
      <c r="AC3245" s="10">
        <f>IFERROR(VLOOKUP(Summary!B3245,'Pre-Summary'!$A$6:$P$184,5, FALSE)/100,AC3246)</f>
        <v>0</v>
      </c>
      <c r="AD3245" s="10">
        <f>IFERROR(VLOOKUP(Summary!B3245,'Pre-Summary'!$A$6:$P$184,3, FALSE)/100,AD3246)</f>
        <v>0</v>
      </c>
      <c r="AE3245" s="10">
        <f>IFERROR(VLOOKUP(Summary!B3245,'Pre-Summary'!$A$6:$P$184,7, FALSE)/100,AE3246)</f>
        <v>0</v>
      </c>
      <c r="AF3245" s="99">
        <f t="shared" si="153"/>
        <v>0</v>
      </c>
      <c r="AG3245" s="99">
        <f t="shared" si="154"/>
        <v>0</v>
      </c>
      <c r="AH3245" s="10" t="str">
        <f>IFERROR(VLOOKUP(B3245,'Pre-Summary'!$AZ$6:$BE$65,3,FALSE),"")</f>
        <v/>
      </c>
      <c r="AI3245" s="10" t="str">
        <f>IFERROR(VLOOKUP(B3245,'Pre-Summary'!$AZ$6:$BE$65,5,FALSE),"")</f>
        <v/>
      </c>
      <c r="AJ3245" s="10" t="str">
        <f>IFERROR(VLOOKUP(B3245,'Pre-Summary'!$AZ$6:$BE$65,4,FALSE),"")</f>
        <v/>
      </c>
      <c r="AK3245" s="10" t="str">
        <f>IFERROR(VLOOKUP(B3245,'Pre-Summary'!$AZ$6:$BE$65,6,FALSE),"")</f>
        <v/>
      </c>
      <c r="AL3245" s="10" t="str">
        <f>IFERROR(VLOOKUP(B3245,'Pre-Summary'!$BG$6:$BL$44,3,FALSE),"")</f>
        <v/>
      </c>
      <c r="AM3245" s="10" t="str">
        <f>IFERROR(VLOOKUP(B3245,'Pre-Summary'!$BG$6:$BL$44,4,FALSE),"")</f>
        <v/>
      </c>
    </row>
    <row r="3246" spans="2:39" ht="15" customHeight="1" x14ac:dyDescent="0.3">
      <c r="B3246">
        <v>324.30000000000302</v>
      </c>
      <c r="D3246" s="10"/>
      <c r="E3246" s="10"/>
      <c r="F3246">
        <f>IFERROR(VLOOKUP(B3246,'Pre-Summary'!$AL$6:$AQ$13,6,FALSE),F3245)</f>
        <v>5.9405263157894746E-2</v>
      </c>
      <c r="M3246" s="45" t="str">
        <f>IFERROR(VLOOKUP(B3246,'Pre-Summary'!$BW$6:$BY$58,2,FALSE),"")</f>
        <v/>
      </c>
      <c r="N3246" s="45" t="str">
        <f>IFERROR(VLOOKUP(B3246,'Pre-Summary'!$CD$6:$CF$64,2,FALSE),"")</f>
        <v/>
      </c>
      <c r="O3246" s="99">
        <f>IFERROR(VLOOKUP(B3246,'Pre-Summary'!$BO$6:$BQ$48,3, FALSE),O3245)</f>
        <v>3.3239999999999998</v>
      </c>
      <c r="P3246" s="99">
        <f>IFERROR(VLOOKUP(B3246,'Pre-Summary'!$BS$6:$BU$35,3,FALSE),P3245)</f>
        <v>0.84099999999999997</v>
      </c>
      <c r="Q3246" s="54">
        <f t="shared" si="152"/>
        <v>3.9524375743162903</v>
      </c>
      <c r="R3246" s="53">
        <f>IFERROR(VLOOKUP(B3246,'Pre-Summary'!$BG$6:$BM$44,7,FALSE),R3247)</f>
        <v>0</v>
      </c>
      <c r="S3246" s="53" t="e">
        <f>VLOOKUP(B3246,'Pre-Summary'!$BG$6:$BM$44,6,FALSE)</f>
        <v>#N/A</v>
      </c>
      <c r="Z3246" s="45" t="str">
        <f>IFERROR(VLOOKUP(B3246,'Pre-Summary'!$BZ$6:$CB$63,2,FALSE),"")</f>
        <v/>
      </c>
      <c r="AA3246" s="45" t="str">
        <f>IFERROR(VLOOKUP(B3246,'Pre-Summary'!$CG$6:$CI$70,2,FALSE),"")</f>
        <v/>
      </c>
      <c r="AB3246" s="99">
        <f>IFERROR(VLOOKUP(B3246,'Pre-Summary'!$A$6:$P$178,9,FALSE),AB3247)</f>
        <v>0</v>
      </c>
      <c r="AC3246" s="10">
        <f>IFERROR(VLOOKUP(Summary!B3246,'Pre-Summary'!$A$6:$P$184,5, FALSE)/100,AC3247)</f>
        <v>0</v>
      </c>
      <c r="AD3246" s="10">
        <f>IFERROR(VLOOKUP(Summary!B3246,'Pre-Summary'!$A$6:$P$184,3, FALSE)/100,AD3247)</f>
        <v>0</v>
      </c>
      <c r="AE3246" s="10">
        <f>IFERROR(VLOOKUP(Summary!B3246,'Pre-Summary'!$A$6:$P$184,7, FALSE)/100,AE3247)</f>
        <v>0</v>
      </c>
      <c r="AF3246" s="99">
        <f t="shared" si="153"/>
        <v>0</v>
      </c>
      <c r="AG3246" s="99">
        <f t="shared" si="154"/>
        <v>0</v>
      </c>
      <c r="AH3246" s="10" t="str">
        <f>IFERROR(VLOOKUP(B3246,'Pre-Summary'!$AZ$6:$BE$65,3,FALSE),"")</f>
        <v/>
      </c>
      <c r="AI3246" s="10" t="str">
        <f>IFERROR(VLOOKUP(B3246,'Pre-Summary'!$AZ$6:$BE$65,5,FALSE),"")</f>
        <v/>
      </c>
      <c r="AJ3246" s="10" t="str">
        <f>IFERROR(VLOOKUP(B3246,'Pre-Summary'!$AZ$6:$BE$65,4,FALSE),"")</f>
        <v/>
      </c>
      <c r="AK3246" s="10" t="str">
        <f>IFERROR(VLOOKUP(B3246,'Pre-Summary'!$AZ$6:$BE$65,6,FALSE),"")</f>
        <v/>
      </c>
      <c r="AL3246" s="10" t="str">
        <f>IFERROR(VLOOKUP(B3246,'Pre-Summary'!$BG$6:$BL$44,3,FALSE),"")</f>
        <v/>
      </c>
      <c r="AM3246" s="10" t="str">
        <f>IFERROR(VLOOKUP(B3246,'Pre-Summary'!$BG$6:$BL$44,4,FALSE),"")</f>
        <v/>
      </c>
    </row>
    <row r="3247" spans="2:39" ht="15" customHeight="1" x14ac:dyDescent="0.3">
      <c r="B3247">
        <v>324.40000000000299</v>
      </c>
      <c r="D3247" s="10"/>
      <c r="E3247" s="10"/>
      <c r="F3247">
        <f>IFERROR(VLOOKUP(B3247,'Pre-Summary'!$AL$6:$AQ$13,6,FALSE),F3246)</f>
        <v>5.9405263157894746E-2</v>
      </c>
      <c r="M3247" s="45" t="str">
        <f>IFERROR(VLOOKUP(B3247,'Pre-Summary'!$BW$6:$BY$58,2,FALSE),"")</f>
        <v/>
      </c>
      <c r="N3247" s="45" t="str">
        <f>IFERROR(VLOOKUP(B3247,'Pre-Summary'!$CD$6:$CF$64,2,FALSE),"")</f>
        <v/>
      </c>
      <c r="O3247" s="99">
        <f>IFERROR(VLOOKUP(B3247,'Pre-Summary'!$BO$6:$BQ$48,3, FALSE),O3246)</f>
        <v>3.3239999999999998</v>
      </c>
      <c r="P3247" s="99">
        <f>IFERROR(VLOOKUP(B3247,'Pre-Summary'!$BS$6:$BU$35,3,FALSE),P3246)</f>
        <v>0.84099999999999997</v>
      </c>
      <c r="Q3247" s="54">
        <f t="shared" si="152"/>
        <v>3.9524375743162903</v>
      </c>
      <c r="R3247" s="53">
        <f>IFERROR(VLOOKUP(B3247,'Pre-Summary'!$BG$6:$BM$44,7,FALSE),R3248)</f>
        <v>0</v>
      </c>
      <c r="S3247" s="53" t="e">
        <f>VLOOKUP(B3247,'Pre-Summary'!$BG$6:$BM$44,6,FALSE)</f>
        <v>#N/A</v>
      </c>
      <c r="Z3247" s="45" t="str">
        <f>IFERROR(VLOOKUP(B3247,'Pre-Summary'!$BZ$6:$CB$63,2,FALSE),"")</f>
        <v/>
      </c>
      <c r="AA3247" s="45" t="str">
        <f>IFERROR(VLOOKUP(B3247,'Pre-Summary'!$CG$6:$CI$70,2,FALSE),"")</f>
        <v/>
      </c>
      <c r="AB3247" s="99">
        <f>IFERROR(VLOOKUP(B3247,'Pre-Summary'!$A$6:$P$178,9,FALSE),AB3248)</f>
        <v>0</v>
      </c>
      <c r="AC3247" s="10">
        <f>IFERROR(VLOOKUP(Summary!B3247,'Pre-Summary'!$A$6:$P$184,5, FALSE)/100,AC3248)</f>
        <v>0</v>
      </c>
      <c r="AD3247" s="10">
        <f>IFERROR(VLOOKUP(Summary!B3247,'Pre-Summary'!$A$6:$P$184,3, FALSE)/100,AD3248)</f>
        <v>0</v>
      </c>
      <c r="AE3247" s="10">
        <f>IFERROR(VLOOKUP(Summary!B3247,'Pre-Summary'!$A$6:$P$184,7, FALSE)/100,AE3248)</f>
        <v>0</v>
      </c>
      <c r="AF3247" s="99">
        <f t="shared" si="153"/>
        <v>0</v>
      </c>
      <c r="AG3247" s="99">
        <f t="shared" si="154"/>
        <v>0</v>
      </c>
      <c r="AH3247" s="10" t="str">
        <f>IFERROR(VLOOKUP(B3247,'Pre-Summary'!$AZ$6:$BE$65,3,FALSE),"")</f>
        <v/>
      </c>
      <c r="AI3247" s="10" t="str">
        <f>IFERROR(VLOOKUP(B3247,'Pre-Summary'!$AZ$6:$BE$65,5,FALSE),"")</f>
        <v/>
      </c>
      <c r="AJ3247" s="10" t="str">
        <f>IFERROR(VLOOKUP(B3247,'Pre-Summary'!$AZ$6:$BE$65,4,FALSE),"")</f>
        <v/>
      </c>
      <c r="AK3247" s="10" t="str">
        <f>IFERROR(VLOOKUP(B3247,'Pre-Summary'!$AZ$6:$BE$65,6,FALSE),"")</f>
        <v/>
      </c>
      <c r="AL3247" s="10" t="str">
        <f>IFERROR(VLOOKUP(B3247,'Pre-Summary'!$BG$6:$BL$44,3,FALSE),"")</f>
        <v/>
      </c>
      <c r="AM3247" s="10" t="str">
        <f>IFERROR(VLOOKUP(B3247,'Pre-Summary'!$BG$6:$BL$44,4,FALSE),"")</f>
        <v/>
      </c>
    </row>
    <row r="3248" spans="2:39" ht="15" customHeight="1" x14ac:dyDescent="0.3">
      <c r="B3248">
        <v>324.50000000000301</v>
      </c>
      <c r="D3248" s="10"/>
      <c r="E3248" s="10"/>
      <c r="F3248">
        <f>IFERROR(VLOOKUP(B3248,'Pre-Summary'!$AL$6:$AQ$13,6,FALSE),F3247)</f>
        <v>5.9405263157894746E-2</v>
      </c>
      <c r="M3248" s="45" t="str">
        <f>IFERROR(VLOOKUP(B3248,'Pre-Summary'!$BW$6:$BY$58,2,FALSE),"")</f>
        <v/>
      </c>
      <c r="N3248" s="45" t="str">
        <f>IFERROR(VLOOKUP(B3248,'Pre-Summary'!$CD$6:$CF$64,2,FALSE),"")</f>
        <v/>
      </c>
      <c r="O3248" s="99">
        <f>IFERROR(VLOOKUP(B3248,'Pre-Summary'!$BO$6:$BQ$48,3, FALSE),O3247)</f>
        <v>3.3239999999999998</v>
      </c>
      <c r="P3248" s="99">
        <f>IFERROR(VLOOKUP(B3248,'Pre-Summary'!$BS$6:$BU$35,3,FALSE),P3247)</f>
        <v>0.84099999999999997</v>
      </c>
      <c r="Q3248" s="54">
        <f t="shared" si="152"/>
        <v>3.9524375743162903</v>
      </c>
      <c r="R3248" s="53">
        <f>IFERROR(VLOOKUP(B3248,'Pre-Summary'!$BG$6:$BM$44,7,FALSE),R3249)</f>
        <v>0</v>
      </c>
      <c r="S3248" s="53" t="e">
        <f>VLOOKUP(B3248,'Pre-Summary'!$BG$6:$BM$44,6,FALSE)</f>
        <v>#N/A</v>
      </c>
      <c r="Z3248" s="45" t="str">
        <f>IFERROR(VLOOKUP(B3248,'Pre-Summary'!$BZ$6:$CB$63,2,FALSE),"")</f>
        <v/>
      </c>
      <c r="AA3248" s="45" t="str">
        <f>IFERROR(VLOOKUP(B3248,'Pre-Summary'!$CG$6:$CI$70,2,FALSE),"")</f>
        <v/>
      </c>
      <c r="AB3248" s="99">
        <f>IFERROR(VLOOKUP(B3248,'Pre-Summary'!$A$6:$P$178,9,FALSE),AB3249)</f>
        <v>0</v>
      </c>
      <c r="AC3248" s="10">
        <f>IFERROR(VLOOKUP(Summary!B3248,'Pre-Summary'!$A$6:$P$184,5, FALSE)/100,AC3249)</f>
        <v>0</v>
      </c>
      <c r="AD3248" s="10">
        <f>IFERROR(VLOOKUP(Summary!B3248,'Pre-Summary'!$A$6:$P$184,3, FALSE)/100,AD3249)</f>
        <v>0</v>
      </c>
      <c r="AE3248" s="10">
        <f>IFERROR(VLOOKUP(Summary!B3248,'Pre-Summary'!$A$6:$P$184,7, FALSE)/100,AE3249)</f>
        <v>0</v>
      </c>
      <c r="AF3248" s="99">
        <f t="shared" si="153"/>
        <v>0</v>
      </c>
      <c r="AG3248" s="99">
        <f t="shared" si="154"/>
        <v>0</v>
      </c>
      <c r="AH3248" s="10" t="str">
        <f>IFERROR(VLOOKUP(B3248,'Pre-Summary'!$AZ$6:$BE$65,3,FALSE),"")</f>
        <v/>
      </c>
      <c r="AI3248" s="10" t="str">
        <f>IFERROR(VLOOKUP(B3248,'Pre-Summary'!$AZ$6:$BE$65,5,FALSE),"")</f>
        <v/>
      </c>
      <c r="AJ3248" s="10" t="str">
        <f>IFERROR(VLOOKUP(B3248,'Pre-Summary'!$AZ$6:$BE$65,4,FALSE),"")</f>
        <v/>
      </c>
      <c r="AK3248" s="10" t="str">
        <f>IFERROR(VLOOKUP(B3248,'Pre-Summary'!$AZ$6:$BE$65,6,FALSE),"")</f>
        <v/>
      </c>
      <c r="AL3248" s="10" t="str">
        <f>IFERROR(VLOOKUP(B3248,'Pre-Summary'!$BG$6:$BL$44,3,FALSE),"")</f>
        <v/>
      </c>
      <c r="AM3248" s="10" t="str">
        <f>IFERROR(VLOOKUP(B3248,'Pre-Summary'!$BG$6:$BL$44,4,FALSE),"")</f>
        <v/>
      </c>
    </row>
    <row r="3249" spans="2:39" ht="15" customHeight="1" x14ac:dyDescent="0.3">
      <c r="B3249">
        <v>324.60000000000298</v>
      </c>
      <c r="D3249" s="10"/>
      <c r="E3249" s="10"/>
      <c r="F3249">
        <f>IFERROR(VLOOKUP(B3249,'Pre-Summary'!$AL$6:$AQ$13,6,FALSE),F3248)</f>
        <v>5.9405263157894746E-2</v>
      </c>
      <c r="M3249" s="45" t="str">
        <f>IFERROR(VLOOKUP(B3249,'Pre-Summary'!$BW$6:$BY$58,2,FALSE),"")</f>
        <v/>
      </c>
      <c r="N3249" s="45" t="str">
        <f>IFERROR(VLOOKUP(B3249,'Pre-Summary'!$CD$6:$CF$64,2,FALSE),"")</f>
        <v/>
      </c>
      <c r="O3249" s="99">
        <f>IFERROR(VLOOKUP(B3249,'Pre-Summary'!$BO$6:$BQ$48,3, FALSE),O3248)</f>
        <v>3.3239999999999998</v>
      </c>
      <c r="P3249" s="99">
        <f>IFERROR(VLOOKUP(B3249,'Pre-Summary'!$BS$6:$BU$35,3,FALSE),P3248)</f>
        <v>0.84099999999999997</v>
      </c>
      <c r="Q3249" s="54">
        <f t="shared" si="152"/>
        <v>3.9524375743162903</v>
      </c>
      <c r="R3249" s="53">
        <f>IFERROR(VLOOKUP(B3249,'Pre-Summary'!$BG$6:$BM$44,7,FALSE),R3250)</f>
        <v>0</v>
      </c>
      <c r="S3249" s="53" t="e">
        <f>VLOOKUP(B3249,'Pre-Summary'!$BG$6:$BM$44,6,FALSE)</f>
        <v>#N/A</v>
      </c>
      <c r="Z3249" s="45" t="str">
        <f>IFERROR(VLOOKUP(B3249,'Pre-Summary'!$BZ$6:$CB$63,2,FALSE),"")</f>
        <v/>
      </c>
      <c r="AA3249" s="45" t="str">
        <f>IFERROR(VLOOKUP(B3249,'Pre-Summary'!$CG$6:$CI$70,2,FALSE),"")</f>
        <v/>
      </c>
      <c r="AB3249" s="99">
        <f>IFERROR(VLOOKUP(B3249,'Pre-Summary'!$A$6:$P$178,9,FALSE),AB3250)</f>
        <v>0</v>
      </c>
      <c r="AC3249" s="10">
        <f>IFERROR(VLOOKUP(Summary!B3249,'Pre-Summary'!$A$6:$P$184,5, FALSE)/100,AC3250)</f>
        <v>0</v>
      </c>
      <c r="AD3249" s="10">
        <f>IFERROR(VLOOKUP(Summary!B3249,'Pre-Summary'!$A$6:$P$184,3, FALSE)/100,AD3250)</f>
        <v>0</v>
      </c>
      <c r="AE3249" s="10">
        <f>IFERROR(VLOOKUP(Summary!B3249,'Pre-Summary'!$A$6:$P$184,7, FALSE)/100,AE3250)</f>
        <v>0</v>
      </c>
      <c r="AF3249" s="99">
        <f t="shared" si="153"/>
        <v>0</v>
      </c>
      <c r="AG3249" s="99">
        <f t="shared" si="154"/>
        <v>0</v>
      </c>
      <c r="AH3249" s="10" t="str">
        <f>IFERROR(VLOOKUP(B3249,'Pre-Summary'!$AZ$6:$BE$65,3,FALSE),"")</f>
        <v/>
      </c>
      <c r="AI3249" s="10" t="str">
        <f>IFERROR(VLOOKUP(B3249,'Pre-Summary'!$AZ$6:$BE$65,5,FALSE),"")</f>
        <v/>
      </c>
      <c r="AJ3249" s="10" t="str">
        <f>IFERROR(VLOOKUP(B3249,'Pre-Summary'!$AZ$6:$BE$65,4,FALSE),"")</f>
        <v/>
      </c>
      <c r="AK3249" s="10" t="str">
        <f>IFERROR(VLOOKUP(B3249,'Pre-Summary'!$AZ$6:$BE$65,6,FALSE),"")</f>
        <v/>
      </c>
      <c r="AL3249" s="10" t="str">
        <f>IFERROR(VLOOKUP(B3249,'Pre-Summary'!$BG$6:$BL$44,3,FALSE),"")</f>
        <v/>
      </c>
      <c r="AM3249" s="10" t="str">
        <f>IFERROR(VLOOKUP(B3249,'Pre-Summary'!$BG$6:$BL$44,4,FALSE),"")</f>
        <v/>
      </c>
    </row>
    <row r="3250" spans="2:39" ht="15" customHeight="1" x14ac:dyDescent="0.3">
      <c r="B3250">
        <v>324.700000000003</v>
      </c>
      <c r="D3250" s="10"/>
      <c r="E3250" s="10"/>
      <c r="F3250">
        <f>IFERROR(VLOOKUP(B3250,'Pre-Summary'!$AL$6:$AQ$13,6,FALSE),F3249)</f>
        <v>5.9405263157894746E-2</v>
      </c>
      <c r="M3250" s="45" t="str">
        <f>IFERROR(VLOOKUP(B3250,'Pre-Summary'!$BW$6:$BY$58,2,FALSE),"")</f>
        <v/>
      </c>
      <c r="N3250" s="45" t="str">
        <f>IFERROR(VLOOKUP(B3250,'Pre-Summary'!$CD$6:$CF$64,2,FALSE),"")</f>
        <v/>
      </c>
      <c r="O3250" s="99">
        <f>IFERROR(VLOOKUP(B3250,'Pre-Summary'!$BO$6:$BQ$48,3, FALSE),O3249)</f>
        <v>3.3239999999999998</v>
      </c>
      <c r="P3250" s="99">
        <f>IFERROR(VLOOKUP(B3250,'Pre-Summary'!$BS$6:$BU$35,3,FALSE),P3249)</f>
        <v>0.84099999999999997</v>
      </c>
      <c r="Q3250" s="54">
        <f t="shared" si="152"/>
        <v>3.9524375743162903</v>
      </c>
      <c r="R3250" s="53">
        <f>IFERROR(VLOOKUP(B3250,'Pre-Summary'!$BG$6:$BM$44,7,FALSE),R3251)</f>
        <v>0</v>
      </c>
      <c r="S3250" s="53" t="e">
        <f>VLOOKUP(B3250,'Pre-Summary'!$BG$6:$BM$44,6,FALSE)</f>
        <v>#N/A</v>
      </c>
      <c r="Z3250" s="45" t="str">
        <f>IFERROR(VLOOKUP(B3250,'Pre-Summary'!$BZ$6:$CB$63,2,FALSE),"")</f>
        <v/>
      </c>
      <c r="AA3250" s="45" t="str">
        <f>IFERROR(VLOOKUP(B3250,'Pre-Summary'!$CG$6:$CI$70,2,FALSE),"")</f>
        <v/>
      </c>
      <c r="AB3250" s="99">
        <f>IFERROR(VLOOKUP(B3250,'Pre-Summary'!$A$6:$P$178,9,FALSE),AB3251)</f>
        <v>0</v>
      </c>
      <c r="AC3250" s="10">
        <f>IFERROR(VLOOKUP(Summary!B3250,'Pre-Summary'!$A$6:$P$184,5, FALSE)/100,AC3251)</f>
        <v>0</v>
      </c>
      <c r="AD3250" s="10">
        <f>IFERROR(VLOOKUP(Summary!B3250,'Pre-Summary'!$A$6:$P$184,3, FALSE)/100,AD3251)</f>
        <v>0</v>
      </c>
      <c r="AE3250" s="10">
        <f>IFERROR(VLOOKUP(Summary!B3250,'Pre-Summary'!$A$6:$P$184,7, FALSE)/100,AE3251)</f>
        <v>0</v>
      </c>
      <c r="AF3250" s="99">
        <f t="shared" si="153"/>
        <v>0</v>
      </c>
      <c r="AG3250" s="99">
        <f t="shared" si="154"/>
        <v>0</v>
      </c>
      <c r="AH3250" s="10" t="str">
        <f>IFERROR(VLOOKUP(B3250,'Pre-Summary'!$AZ$6:$BE$65,3,FALSE),"")</f>
        <v/>
      </c>
      <c r="AI3250" s="10" t="str">
        <f>IFERROR(VLOOKUP(B3250,'Pre-Summary'!$AZ$6:$BE$65,5,FALSE),"")</f>
        <v/>
      </c>
      <c r="AJ3250" s="10" t="str">
        <f>IFERROR(VLOOKUP(B3250,'Pre-Summary'!$AZ$6:$BE$65,4,FALSE),"")</f>
        <v/>
      </c>
      <c r="AK3250" s="10" t="str">
        <f>IFERROR(VLOOKUP(B3250,'Pre-Summary'!$AZ$6:$BE$65,6,FALSE),"")</f>
        <v/>
      </c>
      <c r="AL3250" s="10" t="str">
        <f>IFERROR(VLOOKUP(B3250,'Pre-Summary'!$BG$6:$BL$44,3,FALSE),"")</f>
        <v/>
      </c>
      <c r="AM3250" s="10" t="str">
        <f>IFERROR(VLOOKUP(B3250,'Pre-Summary'!$BG$6:$BL$44,4,FALSE),"")</f>
        <v/>
      </c>
    </row>
    <row r="3251" spans="2:39" ht="15" customHeight="1" x14ac:dyDescent="0.3">
      <c r="B3251">
        <v>324.80000000000302</v>
      </c>
      <c r="D3251" s="10"/>
      <c r="E3251" s="10"/>
      <c r="F3251">
        <f>IFERROR(VLOOKUP(B3251,'Pre-Summary'!$AL$6:$AQ$13,6,FALSE),F3250)</f>
        <v>5.9405263157894746E-2</v>
      </c>
      <c r="M3251" s="45" t="str">
        <f>IFERROR(VLOOKUP(B3251,'Pre-Summary'!$BW$6:$BY$58,2,FALSE),"")</f>
        <v/>
      </c>
      <c r="N3251" s="45" t="str">
        <f>IFERROR(VLOOKUP(B3251,'Pre-Summary'!$CD$6:$CF$64,2,FALSE),"")</f>
        <v/>
      </c>
      <c r="O3251" s="99">
        <f>IFERROR(VLOOKUP(B3251,'Pre-Summary'!$BO$6:$BQ$48,3, FALSE),O3250)</f>
        <v>3.3239999999999998</v>
      </c>
      <c r="P3251" s="99">
        <f>IFERROR(VLOOKUP(B3251,'Pre-Summary'!$BS$6:$BU$35,3,FALSE),P3250)</f>
        <v>0.84099999999999997</v>
      </c>
      <c r="Q3251" s="54">
        <f t="shared" si="152"/>
        <v>3.9524375743162903</v>
      </c>
      <c r="R3251" s="53">
        <f>IFERROR(VLOOKUP(B3251,'Pre-Summary'!$BG$6:$BM$44,7,FALSE),R3252)</f>
        <v>0</v>
      </c>
      <c r="S3251" s="53" t="e">
        <f>VLOOKUP(B3251,'Pre-Summary'!$BG$6:$BM$44,6,FALSE)</f>
        <v>#N/A</v>
      </c>
      <c r="Z3251" s="45" t="str">
        <f>IFERROR(VLOOKUP(B3251,'Pre-Summary'!$BZ$6:$CB$63,2,FALSE),"")</f>
        <v/>
      </c>
      <c r="AA3251" s="45" t="str">
        <f>IFERROR(VLOOKUP(B3251,'Pre-Summary'!$CG$6:$CI$70,2,FALSE),"")</f>
        <v/>
      </c>
      <c r="AB3251" s="99">
        <f>IFERROR(VLOOKUP(B3251,'Pre-Summary'!$A$6:$P$178,9,FALSE),AB3252)</f>
        <v>0</v>
      </c>
      <c r="AC3251" s="10">
        <f>IFERROR(VLOOKUP(Summary!B3251,'Pre-Summary'!$A$6:$P$184,5, FALSE)/100,AC3252)</f>
        <v>0</v>
      </c>
      <c r="AD3251" s="10">
        <f>IFERROR(VLOOKUP(Summary!B3251,'Pre-Summary'!$A$6:$P$184,3, FALSE)/100,AD3252)</f>
        <v>0</v>
      </c>
      <c r="AE3251" s="10">
        <f>IFERROR(VLOOKUP(Summary!B3251,'Pre-Summary'!$A$6:$P$184,7, FALSE)/100,AE3252)</f>
        <v>0</v>
      </c>
      <c r="AF3251" s="99">
        <f t="shared" si="153"/>
        <v>0</v>
      </c>
      <c r="AG3251" s="99">
        <f t="shared" si="154"/>
        <v>0</v>
      </c>
      <c r="AH3251" s="10" t="str">
        <f>IFERROR(VLOOKUP(B3251,'Pre-Summary'!$AZ$6:$BE$65,3,FALSE),"")</f>
        <v/>
      </c>
      <c r="AI3251" s="10" t="str">
        <f>IFERROR(VLOOKUP(B3251,'Pre-Summary'!$AZ$6:$BE$65,5,FALSE),"")</f>
        <v/>
      </c>
      <c r="AJ3251" s="10" t="str">
        <f>IFERROR(VLOOKUP(B3251,'Pre-Summary'!$AZ$6:$BE$65,4,FALSE),"")</f>
        <v/>
      </c>
      <c r="AK3251" s="10" t="str">
        <f>IFERROR(VLOOKUP(B3251,'Pre-Summary'!$AZ$6:$BE$65,6,FALSE),"")</f>
        <v/>
      </c>
      <c r="AL3251" s="10" t="str">
        <f>IFERROR(VLOOKUP(B3251,'Pre-Summary'!$BG$6:$BL$44,3,FALSE),"")</f>
        <v/>
      </c>
      <c r="AM3251" s="10" t="str">
        <f>IFERROR(VLOOKUP(B3251,'Pre-Summary'!$BG$6:$BL$44,4,FALSE),"")</f>
        <v/>
      </c>
    </row>
    <row r="3252" spans="2:39" ht="15" customHeight="1" x14ac:dyDescent="0.3">
      <c r="B3252">
        <v>324.90000000000299</v>
      </c>
      <c r="D3252" s="10"/>
      <c r="E3252" s="10"/>
      <c r="F3252">
        <f>IFERROR(VLOOKUP(B3252,'Pre-Summary'!$AL$6:$AQ$13,6,FALSE),F3251)</f>
        <v>5.9405263157894746E-2</v>
      </c>
      <c r="M3252" s="45" t="str">
        <f>IFERROR(VLOOKUP(B3252,'Pre-Summary'!$BW$6:$BY$58,2,FALSE),"")</f>
        <v/>
      </c>
      <c r="N3252" s="45" t="str">
        <f>IFERROR(VLOOKUP(B3252,'Pre-Summary'!$CD$6:$CF$64,2,FALSE),"")</f>
        <v/>
      </c>
      <c r="O3252" s="99">
        <f>IFERROR(VLOOKUP(B3252,'Pre-Summary'!$BO$6:$BQ$48,3, FALSE),O3251)</f>
        <v>3.3239999999999998</v>
      </c>
      <c r="P3252" s="99">
        <f>IFERROR(VLOOKUP(B3252,'Pre-Summary'!$BS$6:$BU$35,3,FALSE),P3251)</f>
        <v>0.84099999999999997</v>
      </c>
      <c r="Q3252" s="54">
        <f t="shared" si="152"/>
        <v>3.9524375743162903</v>
      </c>
      <c r="R3252" s="53">
        <f>IFERROR(VLOOKUP(B3252,'Pre-Summary'!$BG$6:$BM$44,7,FALSE),R3253)</f>
        <v>0</v>
      </c>
      <c r="S3252" s="53" t="e">
        <f>VLOOKUP(B3252,'Pre-Summary'!$BG$6:$BM$44,6,FALSE)</f>
        <v>#N/A</v>
      </c>
      <c r="Z3252" s="45" t="str">
        <f>IFERROR(VLOOKUP(B3252,'Pre-Summary'!$BZ$6:$CB$63,2,FALSE),"")</f>
        <v/>
      </c>
      <c r="AA3252" s="45" t="str">
        <f>IFERROR(VLOOKUP(B3252,'Pre-Summary'!$CG$6:$CI$70,2,FALSE),"")</f>
        <v/>
      </c>
      <c r="AB3252" s="99">
        <f>IFERROR(VLOOKUP(B3252,'Pre-Summary'!$A$6:$P$178,9,FALSE),AB3253)</f>
        <v>0</v>
      </c>
      <c r="AC3252" s="10">
        <f>IFERROR(VLOOKUP(Summary!B3252,'Pre-Summary'!$A$6:$P$184,5, FALSE)/100,AC3253)</f>
        <v>0</v>
      </c>
      <c r="AD3252" s="10">
        <f>IFERROR(VLOOKUP(Summary!B3252,'Pre-Summary'!$A$6:$P$184,3, FALSE)/100,AD3253)</f>
        <v>0</v>
      </c>
      <c r="AE3252" s="10">
        <f>IFERROR(VLOOKUP(Summary!B3252,'Pre-Summary'!$A$6:$P$184,7, FALSE)/100,AE3253)</f>
        <v>0</v>
      </c>
      <c r="AF3252" s="99">
        <f t="shared" si="153"/>
        <v>0</v>
      </c>
      <c r="AG3252" s="99">
        <f t="shared" si="154"/>
        <v>0</v>
      </c>
      <c r="AH3252" s="10" t="str">
        <f>IFERROR(VLOOKUP(B3252,'Pre-Summary'!$AZ$6:$BE$65,3,FALSE),"")</f>
        <v/>
      </c>
      <c r="AI3252" s="10" t="str">
        <f>IFERROR(VLOOKUP(B3252,'Pre-Summary'!$AZ$6:$BE$65,5,FALSE),"")</f>
        <v/>
      </c>
      <c r="AJ3252" s="10" t="str">
        <f>IFERROR(VLOOKUP(B3252,'Pre-Summary'!$AZ$6:$BE$65,4,FALSE),"")</f>
        <v/>
      </c>
      <c r="AK3252" s="10" t="str">
        <f>IFERROR(VLOOKUP(B3252,'Pre-Summary'!$AZ$6:$BE$65,6,FALSE),"")</f>
        <v/>
      </c>
      <c r="AL3252" s="10" t="str">
        <f>IFERROR(VLOOKUP(B3252,'Pre-Summary'!$BG$6:$BL$44,3,FALSE),"")</f>
        <v/>
      </c>
      <c r="AM3252" s="10" t="str">
        <f>IFERROR(VLOOKUP(B3252,'Pre-Summary'!$BG$6:$BL$44,4,FALSE),"")</f>
        <v/>
      </c>
    </row>
    <row r="3253" spans="2:39" ht="15" customHeight="1" x14ac:dyDescent="0.3">
      <c r="B3253">
        <v>325.00000000000301</v>
      </c>
      <c r="D3253" s="10"/>
      <c r="E3253" s="10"/>
      <c r="F3253">
        <f>IFERROR(VLOOKUP(B3253,'Pre-Summary'!$AL$6:$AQ$13,6,FALSE),F3252)</f>
        <v>5.9405263157894746E-2</v>
      </c>
      <c r="M3253" s="45" t="str">
        <f>IFERROR(VLOOKUP(B3253,'Pre-Summary'!$BW$6:$BY$58,2,FALSE),"")</f>
        <v/>
      </c>
      <c r="N3253" s="45" t="str">
        <f>IFERROR(VLOOKUP(B3253,'Pre-Summary'!$CD$6:$CF$64,2,FALSE),"")</f>
        <v/>
      </c>
      <c r="O3253" s="99">
        <f>IFERROR(VLOOKUP(B3253,'Pre-Summary'!$BO$6:$BQ$48,3, FALSE),O3252)</f>
        <v>3.3239999999999998</v>
      </c>
      <c r="P3253" s="99">
        <f>IFERROR(VLOOKUP(B3253,'Pre-Summary'!$BS$6:$BU$35,3,FALSE),P3252)</f>
        <v>0.84099999999999997</v>
      </c>
      <c r="Q3253" s="54">
        <f t="shared" si="152"/>
        <v>3.9524375743162903</v>
      </c>
      <c r="R3253" s="53">
        <f>IFERROR(VLOOKUP(B3253,'Pre-Summary'!$BG$6:$BM$44,7,FALSE),R3254)</f>
        <v>0</v>
      </c>
      <c r="S3253" s="53" t="e">
        <f>VLOOKUP(B3253,'Pre-Summary'!$BG$6:$BM$44,6,FALSE)</f>
        <v>#N/A</v>
      </c>
      <c r="Z3253" s="45" t="str">
        <f>IFERROR(VLOOKUP(B3253,'Pre-Summary'!$BZ$6:$CB$63,2,FALSE),"")</f>
        <v/>
      </c>
      <c r="AA3253" s="45" t="str">
        <f>IFERROR(VLOOKUP(B3253,'Pre-Summary'!$CG$6:$CI$70,2,FALSE),"")</f>
        <v/>
      </c>
      <c r="AB3253" s="99">
        <f>IFERROR(VLOOKUP(B3253,'Pre-Summary'!$A$6:$P$178,9,FALSE),AB3254)</f>
        <v>0</v>
      </c>
      <c r="AC3253" s="10">
        <f>IFERROR(VLOOKUP(Summary!B3253,'Pre-Summary'!$A$6:$P$184,5, FALSE)/100,AC3254)</f>
        <v>0</v>
      </c>
      <c r="AD3253" s="10">
        <f>IFERROR(VLOOKUP(Summary!B3253,'Pre-Summary'!$A$6:$P$184,3, FALSE)/100,AD3254)</f>
        <v>0</v>
      </c>
      <c r="AE3253" s="10">
        <f>IFERROR(VLOOKUP(Summary!B3253,'Pre-Summary'!$A$6:$P$184,7, FALSE)/100,AE3254)</f>
        <v>0</v>
      </c>
      <c r="AF3253" s="99">
        <f t="shared" si="153"/>
        <v>0</v>
      </c>
      <c r="AG3253" s="99">
        <f t="shared" si="154"/>
        <v>0</v>
      </c>
      <c r="AH3253" s="10" t="str">
        <f>IFERROR(VLOOKUP(B3253,'Pre-Summary'!$AZ$6:$BE$65,3,FALSE),"")</f>
        <v/>
      </c>
      <c r="AI3253" s="10" t="str">
        <f>IFERROR(VLOOKUP(B3253,'Pre-Summary'!$AZ$6:$BE$65,5,FALSE),"")</f>
        <v/>
      </c>
      <c r="AJ3253" s="10" t="str">
        <f>IFERROR(VLOOKUP(B3253,'Pre-Summary'!$AZ$6:$BE$65,4,FALSE),"")</f>
        <v/>
      </c>
      <c r="AK3253" s="10" t="str">
        <f>IFERROR(VLOOKUP(B3253,'Pre-Summary'!$AZ$6:$BE$65,6,FALSE),"")</f>
        <v/>
      </c>
      <c r="AL3253" s="10" t="str">
        <f>IFERROR(VLOOKUP(B3253,'Pre-Summary'!$BG$6:$BL$44,3,FALSE),"")</f>
        <v/>
      </c>
      <c r="AM3253" s="10" t="str">
        <f>IFERROR(VLOOKUP(B3253,'Pre-Summary'!$BG$6:$BL$44,4,FALSE),"")</f>
        <v/>
      </c>
    </row>
    <row r="3254" spans="2:39" ht="15" customHeight="1" x14ac:dyDescent="0.3">
      <c r="B3254">
        <v>325.10000000000298</v>
      </c>
      <c r="D3254" s="10"/>
      <c r="E3254" s="10"/>
      <c r="F3254">
        <f>IFERROR(VLOOKUP(B3254,'Pre-Summary'!$AL$6:$AQ$13,6,FALSE),F3253)</f>
        <v>5.9405263157894746E-2</v>
      </c>
      <c r="M3254" s="45" t="str">
        <f>IFERROR(VLOOKUP(B3254,'Pre-Summary'!$BW$6:$BY$58,2,FALSE),"")</f>
        <v/>
      </c>
      <c r="N3254" s="45" t="str">
        <f>IFERROR(VLOOKUP(B3254,'Pre-Summary'!$CD$6:$CF$64,2,FALSE),"")</f>
        <v/>
      </c>
      <c r="O3254" s="99">
        <f>IFERROR(VLOOKUP(B3254,'Pre-Summary'!$BO$6:$BQ$48,3, FALSE),O3253)</f>
        <v>3.3239999999999998</v>
      </c>
      <c r="P3254" s="99">
        <f>IFERROR(VLOOKUP(B3254,'Pre-Summary'!$BS$6:$BU$35,3,FALSE),P3253)</f>
        <v>0.84099999999999997</v>
      </c>
      <c r="Q3254" s="54">
        <f t="shared" si="152"/>
        <v>3.9524375743162903</v>
      </c>
      <c r="R3254" s="53">
        <f>IFERROR(VLOOKUP(B3254,'Pre-Summary'!$BG$6:$BM$44,7,FALSE),R3255)</f>
        <v>0</v>
      </c>
      <c r="S3254" s="53" t="e">
        <f>VLOOKUP(B3254,'Pre-Summary'!$BG$6:$BM$44,6,FALSE)</f>
        <v>#N/A</v>
      </c>
      <c r="Z3254" s="45" t="str">
        <f>IFERROR(VLOOKUP(B3254,'Pre-Summary'!$BZ$6:$CB$63,2,FALSE),"")</f>
        <v/>
      </c>
      <c r="AA3254" s="45" t="str">
        <f>IFERROR(VLOOKUP(B3254,'Pre-Summary'!$CG$6:$CI$70,2,FALSE),"")</f>
        <v/>
      </c>
      <c r="AB3254" s="99">
        <f>IFERROR(VLOOKUP(B3254,'Pre-Summary'!$A$6:$P$178,9,FALSE),AB3255)</f>
        <v>0</v>
      </c>
      <c r="AC3254" s="10">
        <f>IFERROR(VLOOKUP(Summary!B3254,'Pre-Summary'!$A$6:$P$184,5, FALSE)/100,AC3255)</f>
        <v>0</v>
      </c>
      <c r="AD3254" s="10">
        <f>IFERROR(VLOOKUP(Summary!B3254,'Pre-Summary'!$A$6:$P$184,3, FALSE)/100,AD3255)</f>
        <v>0</v>
      </c>
      <c r="AE3254" s="10">
        <f>IFERROR(VLOOKUP(Summary!B3254,'Pre-Summary'!$A$6:$P$184,7, FALSE)/100,AE3255)</f>
        <v>0</v>
      </c>
      <c r="AF3254" s="99">
        <f t="shared" si="153"/>
        <v>0</v>
      </c>
      <c r="AG3254" s="99">
        <f t="shared" si="154"/>
        <v>0</v>
      </c>
      <c r="AH3254" s="10" t="str">
        <f>IFERROR(VLOOKUP(B3254,'Pre-Summary'!$AZ$6:$BE$65,3,FALSE),"")</f>
        <v/>
      </c>
      <c r="AI3254" s="10" t="str">
        <f>IFERROR(VLOOKUP(B3254,'Pre-Summary'!$AZ$6:$BE$65,5,FALSE),"")</f>
        <v/>
      </c>
      <c r="AJ3254" s="10" t="str">
        <f>IFERROR(VLOOKUP(B3254,'Pre-Summary'!$AZ$6:$BE$65,4,FALSE),"")</f>
        <v/>
      </c>
      <c r="AK3254" s="10" t="str">
        <f>IFERROR(VLOOKUP(B3254,'Pre-Summary'!$AZ$6:$BE$65,6,FALSE),"")</f>
        <v/>
      </c>
      <c r="AL3254" s="10" t="str">
        <f>IFERROR(VLOOKUP(B3254,'Pre-Summary'!$BG$6:$BL$44,3,FALSE),"")</f>
        <v/>
      </c>
      <c r="AM3254" s="10" t="str">
        <f>IFERROR(VLOOKUP(B3254,'Pre-Summary'!$BG$6:$BL$44,4,FALSE),"")</f>
        <v/>
      </c>
    </row>
    <row r="3255" spans="2:39" ht="15" customHeight="1" x14ac:dyDescent="0.3">
      <c r="B3255">
        <v>325.200000000003</v>
      </c>
      <c r="D3255" s="10"/>
      <c r="E3255" s="10"/>
      <c r="F3255">
        <f>IFERROR(VLOOKUP(B3255,'Pre-Summary'!$AL$6:$AQ$13,6,FALSE),F3254)</f>
        <v>5.9405263157894746E-2</v>
      </c>
      <c r="M3255" s="45" t="str">
        <f>IFERROR(VLOOKUP(B3255,'Pre-Summary'!$BW$6:$BY$58,2,FALSE),"")</f>
        <v/>
      </c>
      <c r="N3255" s="45" t="str">
        <f>IFERROR(VLOOKUP(B3255,'Pre-Summary'!$CD$6:$CF$64,2,FALSE),"")</f>
        <v/>
      </c>
      <c r="O3255" s="99">
        <f>IFERROR(VLOOKUP(B3255,'Pre-Summary'!$BO$6:$BQ$48,3, FALSE),O3254)</f>
        <v>3.3239999999999998</v>
      </c>
      <c r="P3255" s="99">
        <f>IFERROR(VLOOKUP(B3255,'Pre-Summary'!$BS$6:$BU$35,3,FALSE),P3254)</f>
        <v>0.84099999999999997</v>
      </c>
      <c r="Q3255" s="54">
        <f t="shared" si="152"/>
        <v>3.9524375743162903</v>
      </c>
      <c r="R3255" s="53">
        <f>IFERROR(VLOOKUP(B3255,'Pre-Summary'!$BG$6:$BM$44,7,FALSE),R3256)</f>
        <v>0</v>
      </c>
      <c r="S3255" s="53" t="e">
        <f>VLOOKUP(B3255,'Pre-Summary'!$BG$6:$BM$44,6,FALSE)</f>
        <v>#N/A</v>
      </c>
      <c r="Z3255" s="45" t="str">
        <f>IFERROR(VLOOKUP(B3255,'Pre-Summary'!$BZ$6:$CB$63,2,FALSE),"")</f>
        <v/>
      </c>
      <c r="AA3255" s="45" t="str">
        <f>IFERROR(VLOOKUP(B3255,'Pre-Summary'!$CG$6:$CI$70,2,FALSE),"")</f>
        <v/>
      </c>
      <c r="AB3255" s="99">
        <f>IFERROR(VLOOKUP(B3255,'Pre-Summary'!$A$6:$P$178,9,FALSE),AB3256)</f>
        <v>0</v>
      </c>
      <c r="AC3255" s="10">
        <f>IFERROR(VLOOKUP(Summary!B3255,'Pre-Summary'!$A$6:$P$184,5, FALSE)/100,AC3256)</f>
        <v>0</v>
      </c>
      <c r="AD3255" s="10">
        <f>IFERROR(VLOOKUP(Summary!B3255,'Pre-Summary'!$A$6:$P$184,3, FALSE)/100,AD3256)</f>
        <v>0</v>
      </c>
      <c r="AE3255" s="10">
        <f>IFERROR(VLOOKUP(Summary!B3255,'Pre-Summary'!$A$6:$P$184,7, FALSE)/100,AE3256)</f>
        <v>0</v>
      </c>
      <c r="AF3255" s="99">
        <f t="shared" si="153"/>
        <v>0</v>
      </c>
      <c r="AG3255" s="99">
        <f t="shared" si="154"/>
        <v>0</v>
      </c>
      <c r="AH3255" s="10" t="str">
        <f>IFERROR(VLOOKUP(B3255,'Pre-Summary'!$AZ$6:$BE$65,3,FALSE),"")</f>
        <v/>
      </c>
      <c r="AI3255" s="10" t="str">
        <f>IFERROR(VLOOKUP(B3255,'Pre-Summary'!$AZ$6:$BE$65,5,FALSE),"")</f>
        <v/>
      </c>
      <c r="AJ3255" s="10" t="str">
        <f>IFERROR(VLOOKUP(B3255,'Pre-Summary'!$AZ$6:$BE$65,4,FALSE),"")</f>
        <v/>
      </c>
      <c r="AK3255" s="10" t="str">
        <f>IFERROR(VLOOKUP(B3255,'Pre-Summary'!$AZ$6:$BE$65,6,FALSE),"")</f>
        <v/>
      </c>
      <c r="AL3255" s="10" t="str">
        <f>IFERROR(VLOOKUP(B3255,'Pre-Summary'!$BG$6:$BL$44,3,FALSE),"")</f>
        <v/>
      </c>
      <c r="AM3255" s="10" t="str">
        <f>IFERROR(VLOOKUP(B3255,'Pre-Summary'!$BG$6:$BL$44,4,FALSE),"")</f>
        <v/>
      </c>
    </row>
    <row r="3256" spans="2:39" ht="15" customHeight="1" x14ac:dyDescent="0.3">
      <c r="B3256">
        <v>325.30000000000302</v>
      </c>
      <c r="D3256" s="10"/>
      <c r="E3256" s="10"/>
      <c r="F3256">
        <f>IFERROR(VLOOKUP(B3256,'Pre-Summary'!$AL$6:$AQ$13,6,FALSE),F3255)</f>
        <v>5.9405263157894746E-2</v>
      </c>
      <c r="M3256" s="45" t="str">
        <f>IFERROR(VLOOKUP(B3256,'Pre-Summary'!$BW$6:$BY$58,2,FALSE),"")</f>
        <v/>
      </c>
      <c r="N3256" s="45" t="str">
        <f>IFERROR(VLOOKUP(B3256,'Pre-Summary'!$CD$6:$CF$64,2,FALSE),"")</f>
        <v/>
      </c>
      <c r="O3256" s="99">
        <f>IFERROR(VLOOKUP(B3256,'Pre-Summary'!$BO$6:$BQ$48,3, FALSE),O3255)</f>
        <v>3.3239999999999998</v>
      </c>
      <c r="P3256" s="99">
        <f>IFERROR(VLOOKUP(B3256,'Pre-Summary'!$BS$6:$BU$35,3,FALSE),P3255)</f>
        <v>0.84099999999999997</v>
      </c>
      <c r="Q3256" s="54">
        <f t="shared" si="152"/>
        <v>3.9524375743162903</v>
      </c>
      <c r="R3256" s="53">
        <f>IFERROR(VLOOKUP(B3256,'Pre-Summary'!$BG$6:$BM$44,7,FALSE),R3257)</f>
        <v>0</v>
      </c>
      <c r="S3256" s="53" t="e">
        <f>VLOOKUP(B3256,'Pre-Summary'!$BG$6:$BM$44,6,FALSE)</f>
        <v>#N/A</v>
      </c>
      <c r="Z3256" s="45" t="str">
        <f>IFERROR(VLOOKUP(B3256,'Pre-Summary'!$BZ$6:$CB$63,2,FALSE),"")</f>
        <v/>
      </c>
      <c r="AA3256" s="45" t="str">
        <f>IFERROR(VLOOKUP(B3256,'Pre-Summary'!$CG$6:$CI$70,2,FALSE),"")</f>
        <v/>
      </c>
      <c r="AB3256" s="99">
        <f>IFERROR(VLOOKUP(B3256,'Pre-Summary'!$A$6:$P$178,9,FALSE),AB3257)</f>
        <v>0</v>
      </c>
      <c r="AC3256" s="10">
        <f>IFERROR(VLOOKUP(Summary!B3256,'Pre-Summary'!$A$6:$P$184,5, FALSE)/100,AC3257)</f>
        <v>0</v>
      </c>
      <c r="AD3256" s="10">
        <f>IFERROR(VLOOKUP(Summary!B3256,'Pre-Summary'!$A$6:$P$184,3, FALSE)/100,AD3257)</f>
        <v>0</v>
      </c>
      <c r="AE3256" s="10">
        <f>IFERROR(VLOOKUP(Summary!B3256,'Pre-Summary'!$A$6:$P$184,7, FALSE)/100,AE3257)</f>
        <v>0</v>
      </c>
      <c r="AF3256" s="99">
        <f t="shared" si="153"/>
        <v>0</v>
      </c>
      <c r="AG3256" s="99">
        <f t="shared" si="154"/>
        <v>0</v>
      </c>
      <c r="AH3256" s="10" t="str">
        <f>IFERROR(VLOOKUP(B3256,'Pre-Summary'!$AZ$6:$BE$65,3,FALSE),"")</f>
        <v/>
      </c>
      <c r="AI3256" s="10" t="str">
        <f>IFERROR(VLOOKUP(B3256,'Pre-Summary'!$AZ$6:$BE$65,5,FALSE),"")</f>
        <v/>
      </c>
      <c r="AJ3256" s="10" t="str">
        <f>IFERROR(VLOOKUP(B3256,'Pre-Summary'!$AZ$6:$BE$65,4,FALSE),"")</f>
        <v/>
      </c>
      <c r="AK3256" s="10" t="str">
        <f>IFERROR(VLOOKUP(B3256,'Pre-Summary'!$AZ$6:$BE$65,6,FALSE),"")</f>
        <v/>
      </c>
      <c r="AL3256" s="10" t="str">
        <f>IFERROR(VLOOKUP(B3256,'Pre-Summary'!$BG$6:$BL$44,3,FALSE),"")</f>
        <v/>
      </c>
      <c r="AM3256" s="10" t="str">
        <f>IFERROR(VLOOKUP(B3256,'Pre-Summary'!$BG$6:$BL$44,4,FALSE),"")</f>
        <v/>
      </c>
    </row>
    <row r="3257" spans="2:39" ht="15" customHeight="1" x14ac:dyDescent="0.3">
      <c r="B3257">
        <v>325.40000000000401</v>
      </c>
      <c r="D3257" s="10"/>
      <c r="E3257" s="10"/>
      <c r="F3257">
        <f>IFERROR(VLOOKUP(B3257,'Pre-Summary'!$AL$6:$AQ$13,6,FALSE),F3256)</f>
        <v>5.9405263157894746E-2</v>
      </c>
      <c r="M3257" s="45" t="str">
        <f>IFERROR(VLOOKUP(B3257,'Pre-Summary'!$BW$6:$BY$58,2,FALSE),"")</f>
        <v/>
      </c>
      <c r="N3257" s="45" t="str">
        <f>IFERROR(VLOOKUP(B3257,'Pre-Summary'!$CD$6:$CF$64,2,FALSE),"")</f>
        <v/>
      </c>
      <c r="O3257" s="99">
        <f>IFERROR(VLOOKUP(B3257,'Pre-Summary'!$BO$6:$BQ$48,3, FALSE),O3256)</f>
        <v>3.3239999999999998</v>
      </c>
      <c r="P3257" s="99">
        <f>IFERROR(VLOOKUP(B3257,'Pre-Summary'!$BS$6:$BU$35,3,FALSE),P3256)</f>
        <v>0.84099999999999997</v>
      </c>
      <c r="Q3257" s="54">
        <f t="shared" si="152"/>
        <v>3.9524375743162903</v>
      </c>
      <c r="R3257" s="53">
        <f>IFERROR(VLOOKUP(B3257,'Pre-Summary'!$BG$6:$BM$44,7,FALSE),R3258)</f>
        <v>0</v>
      </c>
      <c r="S3257" s="53" t="e">
        <f>VLOOKUP(B3257,'Pre-Summary'!$BG$6:$BM$44,6,FALSE)</f>
        <v>#N/A</v>
      </c>
      <c r="Z3257" s="45" t="str">
        <f>IFERROR(VLOOKUP(B3257,'Pre-Summary'!$BZ$6:$CB$63,2,FALSE),"")</f>
        <v/>
      </c>
      <c r="AA3257" s="45" t="str">
        <f>IFERROR(VLOOKUP(B3257,'Pre-Summary'!$CG$6:$CI$70,2,FALSE),"")</f>
        <v/>
      </c>
      <c r="AB3257" s="99">
        <f>IFERROR(VLOOKUP(B3257,'Pre-Summary'!$A$6:$P$178,9,FALSE),AB3258)</f>
        <v>0</v>
      </c>
      <c r="AC3257" s="10">
        <f>IFERROR(VLOOKUP(Summary!B3257,'Pre-Summary'!$A$6:$P$184,5, FALSE)/100,AC3258)</f>
        <v>0</v>
      </c>
      <c r="AD3257" s="10">
        <f>IFERROR(VLOOKUP(Summary!B3257,'Pre-Summary'!$A$6:$P$184,3, FALSE)/100,AD3258)</f>
        <v>0</v>
      </c>
      <c r="AE3257" s="10">
        <f>IFERROR(VLOOKUP(Summary!B3257,'Pre-Summary'!$A$6:$P$184,7, FALSE)/100,AE3258)</f>
        <v>0</v>
      </c>
      <c r="AF3257" s="99">
        <f t="shared" si="153"/>
        <v>0</v>
      </c>
      <c r="AG3257" s="99">
        <f t="shared" si="154"/>
        <v>0</v>
      </c>
      <c r="AH3257" s="10" t="str">
        <f>IFERROR(VLOOKUP(B3257,'Pre-Summary'!$AZ$6:$BE$65,3,FALSE),"")</f>
        <v/>
      </c>
      <c r="AI3257" s="10" t="str">
        <f>IFERROR(VLOOKUP(B3257,'Pre-Summary'!$AZ$6:$BE$65,5,FALSE),"")</f>
        <v/>
      </c>
      <c r="AJ3257" s="10" t="str">
        <f>IFERROR(VLOOKUP(B3257,'Pre-Summary'!$AZ$6:$BE$65,4,FALSE),"")</f>
        <v/>
      </c>
      <c r="AK3257" s="10" t="str">
        <f>IFERROR(VLOOKUP(B3257,'Pre-Summary'!$AZ$6:$BE$65,6,FALSE),"")</f>
        <v/>
      </c>
      <c r="AL3257" s="10" t="str">
        <f>IFERROR(VLOOKUP(B3257,'Pre-Summary'!$BG$6:$BL$44,3,FALSE),"")</f>
        <v/>
      </c>
      <c r="AM3257" s="10" t="str">
        <f>IFERROR(VLOOKUP(B3257,'Pre-Summary'!$BG$6:$BL$44,4,FALSE),"")</f>
        <v/>
      </c>
    </row>
    <row r="3258" spans="2:39" ht="15" customHeight="1" x14ac:dyDescent="0.3">
      <c r="B3258">
        <v>325.50000000000301</v>
      </c>
      <c r="D3258" s="10"/>
      <c r="E3258" s="10"/>
      <c r="F3258">
        <f>IFERROR(VLOOKUP(B3258,'Pre-Summary'!$AL$6:$AQ$13,6,FALSE),F3257)</f>
        <v>5.9405263157894746E-2</v>
      </c>
      <c r="M3258" s="45" t="str">
        <f>IFERROR(VLOOKUP(B3258,'Pre-Summary'!$BW$6:$BY$58,2,FALSE),"")</f>
        <v/>
      </c>
      <c r="N3258" s="45" t="str">
        <f>IFERROR(VLOOKUP(B3258,'Pre-Summary'!$CD$6:$CF$64,2,FALSE),"")</f>
        <v/>
      </c>
      <c r="O3258" s="99">
        <f>IFERROR(VLOOKUP(B3258,'Pre-Summary'!$BO$6:$BQ$48,3, FALSE),O3257)</f>
        <v>3.3239999999999998</v>
      </c>
      <c r="P3258" s="99">
        <f>IFERROR(VLOOKUP(B3258,'Pre-Summary'!$BS$6:$BU$35,3,FALSE),P3257)</f>
        <v>0.84099999999999997</v>
      </c>
      <c r="Q3258" s="54">
        <f t="shared" si="152"/>
        <v>3.9524375743162903</v>
      </c>
      <c r="R3258" s="53">
        <f>IFERROR(VLOOKUP(B3258,'Pre-Summary'!$BG$6:$BM$44,7,FALSE),R3259)</f>
        <v>0</v>
      </c>
      <c r="S3258" s="53" t="e">
        <f>VLOOKUP(B3258,'Pre-Summary'!$BG$6:$BM$44,6,FALSE)</f>
        <v>#N/A</v>
      </c>
      <c r="Z3258" s="45" t="str">
        <f>IFERROR(VLOOKUP(B3258,'Pre-Summary'!$BZ$6:$CB$63,2,FALSE),"")</f>
        <v/>
      </c>
      <c r="AA3258" s="45" t="str">
        <f>IFERROR(VLOOKUP(B3258,'Pre-Summary'!$CG$6:$CI$70,2,FALSE),"")</f>
        <v/>
      </c>
      <c r="AB3258" s="99">
        <f>IFERROR(VLOOKUP(B3258,'Pre-Summary'!$A$6:$P$178,9,FALSE),AB3259)</f>
        <v>0</v>
      </c>
      <c r="AC3258" s="10">
        <f>IFERROR(VLOOKUP(Summary!B3258,'Pre-Summary'!$A$6:$P$184,5, FALSE)/100,AC3259)</f>
        <v>0</v>
      </c>
      <c r="AD3258" s="10">
        <f>IFERROR(VLOOKUP(Summary!B3258,'Pre-Summary'!$A$6:$P$184,3, FALSE)/100,AD3259)</f>
        <v>0</v>
      </c>
      <c r="AE3258" s="10">
        <f>IFERROR(VLOOKUP(Summary!B3258,'Pre-Summary'!$A$6:$P$184,7, FALSE)/100,AE3259)</f>
        <v>0</v>
      </c>
      <c r="AF3258" s="99">
        <f t="shared" si="153"/>
        <v>0</v>
      </c>
      <c r="AG3258" s="99">
        <f t="shared" si="154"/>
        <v>0</v>
      </c>
      <c r="AH3258" s="10" t="str">
        <f>IFERROR(VLOOKUP(B3258,'Pre-Summary'!$AZ$6:$BE$65,3,FALSE),"")</f>
        <v/>
      </c>
      <c r="AI3258" s="10" t="str">
        <f>IFERROR(VLOOKUP(B3258,'Pre-Summary'!$AZ$6:$BE$65,5,FALSE),"")</f>
        <v/>
      </c>
      <c r="AJ3258" s="10" t="str">
        <f>IFERROR(VLOOKUP(B3258,'Pre-Summary'!$AZ$6:$BE$65,4,FALSE),"")</f>
        <v/>
      </c>
      <c r="AK3258" s="10" t="str">
        <f>IFERROR(VLOOKUP(B3258,'Pre-Summary'!$AZ$6:$BE$65,6,FALSE),"")</f>
        <v/>
      </c>
      <c r="AL3258" s="10" t="str">
        <f>IFERROR(VLOOKUP(B3258,'Pre-Summary'!$BG$6:$BL$44,3,FALSE),"")</f>
        <v/>
      </c>
      <c r="AM3258" s="10" t="str">
        <f>IFERROR(VLOOKUP(B3258,'Pre-Summary'!$BG$6:$BL$44,4,FALSE),"")</f>
        <v/>
      </c>
    </row>
    <row r="3259" spans="2:39" ht="15" customHeight="1" x14ac:dyDescent="0.3">
      <c r="B3259">
        <v>325.600000000004</v>
      </c>
      <c r="D3259" s="10"/>
      <c r="E3259" s="10"/>
      <c r="F3259">
        <f>IFERROR(VLOOKUP(B3259,'Pre-Summary'!$AL$6:$AQ$13,6,FALSE),F3258)</f>
        <v>5.9405263157894746E-2</v>
      </c>
      <c r="M3259" s="45" t="str">
        <f>IFERROR(VLOOKUP(B3259,'Pre-Summary'!$BW$6:$BY$58,2,FALSE),"")</f>
        <v/>
      </c>
      <c r="N3259" s="45" t="str">
        <f>IFERROR(VLOOKUP(B3259,'Pre-Summary'!$CD$6:$CF$64,2,FALSE),"")</f>
        <v/>
      </c>
      <c r="O3259" s="99">
        <f>IFERROR(VLOOKUP(B3259,'Pre-Summary'!$BO$6:$BQ$48,3, FALSE),O3258)</f>
        <v>3.3239999999999998</v>
      </c>
      <c r="P3259" s="99">
        <f>IFERROR(VLOOKUP(B3259,'Pre-Summary'!$BS$6:$BU$35,3,FALSE),P3258)</f>
        <v>0.84099999999999997</v>
      </c>
      <c r="Q3259" s="54">
        <f t="shared" si="152"/>
        <v>3.9524375743162903</v>
      </c>
      <c r="R3259" s="53">
        <f>IFERROR(VLOOKUP(B3259,'Pre-Summary'!$BG$6:$BM$44,7,FALSE),R3260)</f>
        <v>0</v>
      </c>
      <c r="S3259" s="53" t="e">
        <f>VLOOKUP(B3259,'Pre-Summary'!$BG$6:$BM$44,6,FALSE)</f>
        <v>#N/A</v>
      </c>
      <c r="Z3259" s="45" t="str">
        <f>IFERROR(VLOOKUP(B3259,'Pre-Summary'!$BZ$6:$CB$63,2,FALSE),"")</f>
        <v/>
      </c>
      <c r="AA3259" s="45" t="str">
        <f>IFERROR(VLOOKUP(B3259,'Pre-Summary'!$CG$6:$CI$70,2,FALSE),"")</f>
        <v/>
      </c>
      <c r="AB3259" s="99">
        <f>IFERROR(VLOOKUP(B3259,'Pre-Summary'!$A$6:$P$178,9,FALSE),AB3260)</f>
        <v>0</v>
      </c>
      <c r="AC3259" s="10">
        <f>IFERROR(VLOOKUP(Summary!B3259,'Pre-Summary'!$A$6:$P$184,5, FALSE)/100,AC3260)</f>
        <v>0</v>
      </c>
      <c r="AD3259" s="10">
        <f>IFERROR(VLOOKUP(Summary!B3259,'Pre-Summary'!$A$6:$P$184,3, FALSE)/100,AD3260)</f>
        <v>0</v>
      </c>
      <c r="AE3259" s="10">
        <f>IFERROR(VLOOKUP(Summary!B3259,'Pre-Summary'!$A$6:$P$184,7, FALSE)/100,AE3260)</f>
        <v>0</v>
      </c>
      <c r="AF3259" s="99">
        <f t="shared" si="153"/>
        <v>0</v>
      </c>
      <c r="AG3259" s="99">
        <f t="shared" si="154"/>
        <v>0</v>
      </c>
      <c r="AH3259" s="10" t="str">
        <f>IFERROR(VLOOKUP(B3259,'Pre-Summary'!$AZ$6:$BE$65,3,FALSE),"")</f>
        <v/>
      </c>
      <c r="AI3259" s="10" t="str">
        <f>IFERROR(VLOOKUP(B3259,'Pre-Summary'!$AZ$6:$BE$65,5,FALSE),"")</f>
        <v/>
      </c>
      <c r="AJ3259" s="10" t="str">
        <f>IFERROR(VLOOKUP(B3259,'Pre-Summary'!$AZ$6:$BE$65,4,FALSE),"")</f>
        <v/>
      </c>
      <c r="AK3259" s="10" t="str">
        <f>IFERROR(VLOOKUP(B3259,'Pre-Summary'!$AZ$6:$BE$65,6,FALSE),"")</f>
        <v/>
      </c>
      <c r="AL3259" s="10" t="str">
        <f>IFERROR(VLOOKUP(B3259,'Pre-Summary'!$BG$6:$BL$44,3,FALSE),"")</f>
        <v/>
      </c>
      <c r="AM3259" s="10" t="str">
        <f>IFERROR(VLOOKUP(B3259,'Pre-Summary'!$BG$6:$BL$44,4,FALSE),"")</f>
        <v/>
      </c>
    </row>
    <row r="3260" spans="2:39" ht="15" customHeight="1" x14ac:dyDescent="0.3">
      <c r="B3260">
        <v>325.70000000000402</v>
      </c>
      <c r="D3260" s="10"/>
      <c r="E3260" s="10"/>
      <c r="F3260">
        <f>IFERROR(VLOOKUP(B3260,'Pre-Summary'!$AL$6:$AQ$13,6,FALSE),F3259)</f>
        <v>5.9405263157894746E-2</v>
      </c>
      <c r="M3260" s="45" t="str">
        <f>IFERROR(VLOOKUP(B3260,'Pre-Summary'!$BW$6:$BY$58,2,FALSE),"")</f>
        <v/>
      </c>
      <c r="N3260" s="45" t="str">
        <f>IFERROR(VLOOKUP(B3260,'Pre-Summary'!$CD$6:$CF$64,2,FALSE),"")</f>
        <v/>
      </c>
      <c r="O3260" s="99">
        <f>IFERROR(VLOOKUP(B3260,'Pre-Summary'!$BO$6:$BQ$48,3, FALSE),O3259)</f>
        <v>3.3239999999999998</v>
      </c>
      <c r="P3260" s="99">
        <f>IFERROR(VLOOKUP(B3260,'Pre-Summary'!$BS$6:$BU$35,3,FALSE),P3259)</f>
        <v>0.84099999999999997</v>
      </c>
      <c r="Q3260" s="54">
        <f t="shared" si="152"/>
        <v>3.9524375743162903</v>
      </c>
      <c r="R3260" s="53">
        <f>IFERROR(VLOOKUP(B3260,'Pre-Summary'!$BG$6:$BM$44,7,FALSE),R3261)</f>
        <v>0</v>
      </c>
      <c r="S3260" s="53" t="e">
        <f>VLOOKUP(B3260,'Pre-Summary'!$BG$6:$BM$44,6,FALSE)</f>
        <v>#N/A</v>
      </c>
      <c r="Z3260" s="45" t="str">
        <f>IFERROR(VLOOKUP(B3260,'Pre-Summary'!$BZ$6:$CB$63,2,FALSE),"")</f>
        <v/>
      </c>
      <c r="AA3260" s="45" t="str">
        <f>IFERROR(VLOOKUP(B3260,'Pre-Summary'!$CG$6:$CI$70,2,FALSE),"")</f>
        <v/>
      </c>
      <c r="AB3260" s="99">
        <f>IFERROR(VLOOKUP(B3260,'Pre-Summary'!$A$6:$P$178,9,FALSE),AB3261)</f>
        <v>0</v>
      </c>
      <c r="AC3260" s="10">
        <f>IFERROR(VLOOKUP(Summary!B3260,'Pre-Summary'!$A$6:$P$184,5, FALSE)/100,AC3261)</f>
        <v>0</v>
      </c>
      <c r="AD3260" s="10">
        <f>IFERROR(VLOOKUP(Summary!B3260,'Pre-Summary'!$A$6:$P$184,3, FALSE)/100,AD3261)</f>
        <v>0</v>
      </c>
      <c r="AE3260" s="10">
        <f>IFERROR(VLOOKUP(Summary!B3260,'Pre-Summary'!$A$6:$P$184,7, FALSE)/100,AE3261)</f>
        <v>0</v>
      </c>
      <c r="AF3260" s="99">
        <f t="shared" si="153"/>
        <v>0</v>
      </c>
      <c r="AG3260" s="99">
        <f t="shared" si="154"/>
        <v>0</v>
      </c>
      <c r="AH3260" s="10" t="str">
        <f>IFERROR(VLOOKUP(B3260,'Pre-Summary'!$AZ$6:$BE$65,3,FALSE),"")</f>
        <v/>
      </c>
      <c r="AI3260" s="10" t="str">
        <f>IFERROR(VLOOKUP(B3260,'Pre-Summary'!$AZ$6:$BE$65,5,FALSE),"")</f>
        <v/>
      </c>
      <c r="AJ3260" s="10" t="str">
        <f>IFERROR(VLOOKUP(B3260,'Pre-Summary'!$AZ$6:$BE$65,4,FALSE),"")</f>
        <v/>
      </c>
      <c r="AK3260" s="10" t="str">
        <f>IFERROR(VLOOKUP(B3260,'Pre-Summary'!$AZ$6:$BE$65,6,FALSE),"")</f>
        <v/>
      </c>
      <c r="AL3260" s="10" t="str">
        <f>IFERROR(VLOOKUP(B3260,'Pre-Summary'!$BG$6:$BL$44,3,FALSE),"")</f>
        <v/>
      </c>
      <c r="AM3260" s="10" t="str">
        <f>IFERROR(VLOOKUP(B3260,'Pre-Summary'!$BG$6:$BL$44,4,FALSE),"")</f>
        <v/>
      </c>
    </row>
    <row r="3261" spans="2:39" ht="15" customHeight="1" x14ac:dyDescent="0.3">
      <c r="B3261">
        <v>325.80000000000399</v>
      </c>
      <c r="D3261" s="10"/>
      <c r="E3261" s="10"/>
      <c r="F3261">
        <f>IFERROR(VLOOKUP(B3261,'Pre-Summary'!$AL$6:$AQ$13,6,FALSE),F3260)</f>
        <v>5.9405263157894746E-2</v>
      </c>
      <c r="M3261" s="45" t="str">
        <f>IFERROR(VLOOKUP(B3261,'Pre-Summary'!$BW$6:$BY$58,2,FALSE),"")</f>
        <v/>
      </c>
      <c r="N3261" s="45" t="str">
        <f>IFERROR(VLOOKUP(B3261,'Pre-Summary'!$CD$6:$CF$64,2,FALSE),"")</f>
        <v/>
      </c>
      <c r="O3261" s="99">
        <f>IFERROR(VLOOKUP(B3261,'Pre-Summary'!$BO$6:$BQ$48,3, FALSE),O3260)</f>
        <v>3.3239999999999998</v>
      </c>
      <c r="P3261" s="99">
        <f>IFERROR(VLOOKUP(B3261,'Pre-Summary'!$BS$6:$BU$35,3,FALSE),P3260)</f>
        <v>0.84099999999999997</v>
      </c>
      <c r="Q3261" s="54">
        <f t="shared" si="152"/>
        <v>3.9524375743162903</v>
      </c>
      <c r="R3261" s="53">
        <f>IFERROR(VLOOKUP(B3261,'Pre-Summary'!$BG$6:$BM$44,7,FALSE),R3262)</f>
        <v>0</v>
      </c>
      <c r="S3261" s="53" t="e">
        <f>VLOOKUP(B3261,'Pre-Summary'!$BG$6:$BM$44,6,FALSE)</f>
        <v>#N/A</v>
      </c>
      <c r="Z3261" s="45" t="str">
        <f>IFERROR(VLOOKUP(B3261,'Pre-Summary'!$BZ$6:$CB$63,2,FALSE),"")</f>
        <v/>
      </c>
      <c r="AA3261" s="45" t="str">
        <f>IFERROR(VLOOKUP(B3261,'Pre-Summary'!$CG$6:$CI$70,2,FALSE),"")</f>
        <v/>
      </c>
      <c r="AB3261" s="99">
        <f>IFERROR(VLOOKUP(B3261,'Pre-Summary'!$A$6:$P$178,9,FALSE),AB3262)</f>
        <v>0</v>
      </c>
      <c r="AC3261" s="10">
        <f>IFERROR(VLOOKUP(Summary!B3261,'Pre-Summary'!$A$6:$P$184,5, FALSE)/100,AC3262)</f>
        <v>0</v>
      </c>
      <c r="AD3261" s="10">
        <f>IFERROR(VLOOKUP(Summary!B3261,'Pre-Summary'!$A$6:$P$184,3, FALSE)/100,AD3262)</f>
        <v>0</v>
      </c>
      <c r="AE3261" s="10">
        <f>IFERROR(VLOOKUP(Summary!B3261,'Pre-Summary'!$A$6:$P$184,7, FALSE)/100,AE3262)</f>
        <v>0</v>
      </c>
      <c r="AF3261" s="99">
        <f t="shared" si="153"/>
        <v>0</v>
      </c>
      <c r="AG3261" s="99">
        <f t="shared" si="154"/>
        <v>0</v>
      </c>
      <c r="AH3261" s="10" t="str">
        <f>IFERROR(VLOOKUP(B3261,'Pre-Summary'!$AZ$6:$BE$65,3,FALSE),"")</f>
        <v/>
      </c>
      <c r="AI3261" s="10" t="str">
        <f>IFERROR(VLOOKUP(B3261,'Pre-Summary'!$AZ$6:$BE$65,5,FALSE),"")</f>
        <v/>
      </c>
      <c r="AJ3261" s="10" t="str">
        <f>IFERROR(VLOOKUP(B3261,'Pre-Summary'!$AZ$6:$BE$65,4,FALSE),"")</f>
        <v/>
      </c>
      <c r="AK3261" s="10" t="str">
        <f>IFERROR(VLOOKUP(B3261,'Pre-Summary'!$AZ$6:$BE$65,6,FALSE),"")</f>
        <v/>
      </c>
      <c r="AL3261" s="10" t="str">
        <f>IFERROR(VLOOKUP(B3261,'Pre-Summary'!$BG$6:$BL$44,3,FALSE),"")</f>
        <v/>
      </c>
      <c r="AM3261" s="10" t="str">
        <f>IFERROR(VLOOKUP(B3261,'Pre-Summary'!$BG$6:$BL$44,4,FALSE),"")</f>
        <v/>
      </c>
    </row>
    <row r="3262" spans="2:39" ht="15" customHeight="1" x14ac:dyDescent="0.3">
      <c r="B3262">
        <v>325.90000000000401</v>
      </c>
      <c r="D3262" s="10"/>
      <c r="E3262" s="10"/>
      <c r="F3262">
        <f>IFERROR(VLOOKUP(B3262,'Pre-Summary'!$AL$6:$AQ$13,6,FALSE),F3261)</f>
        <v>5.9405263157894746E-2</v>
      </c>
      <c r="M3262" s="45" t="str">
        <f>IFERROR(VLOOKUP(B3262,'Pre-Summary'!$BW$6:$BY$58,2,FALSE),"")</f>
        <v/>
      </c>
      <c r="N3262" s="45" t="str">
        <f>IFERROR(VLOOKUP(B3262,'Pre-Summary'!$CD$6:$CF$64,2,FALSE),"")</f>
        <v/>
      </c>
      <c r="O3262" s="99">
        <f>IFERROR(VLOOKUP(B3262,'Pre-Summary'!$BO$6:$BQ$48,3, FALSE),O3261)</f>
        <v>3.3239999999999998</v>
      </c>
      <c r="P3262" s="99">
        <f>IFERROR(VLOOKUP(B3262,'Pre-Summary'!$BS$6:$BU$35,3,FALSE),P3261)</f>
        <v>0.84099999999999997</v>
      </c>
      <c r="Q3262" s="54">
        <f t="shared" si="152"/>
        <v>3.9524375743162903</v>
      </c>
      <c r="R3262" s="53">
        <f>IFERROR(VLOOKUP(B3262,'Pre-Summary'!$BG$6:$BM$44,7,FALSE),R3263)</f>
        <v>0</v>
      </c>
      <c r="S3262" s="53" t="e">
        <f>VLOOKUP(B3262,'Pre-Summary'!$BG$6:$BM$44,6,FALSE)</f>
        <v>#N/A</v>
      </c>
      <c r="Z3262" s="45" t="str">
        <f>IFERROR(VLOOKUP(B3262,'Pre-Summary'!$BZ$6:$CB$63,2,FALSE),"")</f>
        <v/>
      </c>
      <c r="AA3262" s="45" t="str">
        <f>IFERROR(VLOOKUP(B3262,'Pre-Summary'!$CG$6:$CI$70,2,FALSE),"")</f>
        <v/>
      </c>
      <c r="AB3262" s="99">
        <f>IFERROR(VLOOKUP(B3262,'Pre-Summary'!$A$6:$P$178,9,FALSE),AB3263)</f>
        <v>0</v>
      </c>
      <c r="AC3262" s="10">
        <f>IFERROR(VLOOKUP(Summary!B3262,'Pre-Summary'!$A$6:$P$184,5, FALSE)/100,AC3263)</f>
        <v>0</v>
      </c>
      <c r="AD3262" s="10">
        <f>IFERROR(VLOOKUP(Summary!B3262,'Pre-Summary'!$A$6:$P$184,3, FALSE)/100,AD3263)</f>
        <v>0</v>
      </c>
      <c r="AE3262" s="10">
        <f>IFERROR(VLOOKUP(Summary!B3262,'Pre-Summary'!$A$6:$P$184,7, FALSE)/100,AE3263)</f>
        <v>0</v>
      </c>
      <c r="AF3262" s="99">
        <f t="shared" si="153"/>
        <v>0</v>
      </c>
      <c r="AG3262" s="99">
        <f t="shared" si="154"/>
        <v>0</v>
      </c>
      <c r="AH3262" s="10" t="str">
        <f>IFERROR(VLOOKUP(B3262,'Pre-Summary'!$AZ$6:$BE$65,3,FALSE),"")</f>
        <v/>
      </c>
      <c r="AI3262" s="10" t="str">
        <f>IFERROR(VLOOKUP(B3262,'Pre-Summary'!$AZ$6:$BE$65,5,FALSE),"")</f>
        <v/>
      </c>
      <c r="AJ3262" s="10" t="str">
        <f>IFERROR(VLOOKUP(B3262,'Pre-Summary'!$AZ$6:$BE$65,4,FALSE),"")</f>
        <v/>
      </c>
      <c r="AK3262" s="10" t="str">
        <f>IFERROR(VLOOKUP(B3262,'Pre-Summary'!$AZ$6:$BE$65,6,FALSE),"")</f>
        <v/>
      </c>
      <c r="AL3262" s="10" t="str">
        <f>IFERROR(VLOOKUP(B3262,'Pre-Summary'!$BG$6:$BL$44,3,FALSE),"")</f>
        <v/>
      </c>
      <c r="AM3262" s="10" t="str">
        <f>IFERROR(VLOOKUP(B3262,'Pre-Summary'!$BG$6:$BL$44,4,FALSE),"")</f>
        <v/>
      </c>
    </row>
    <row r="3263" spans="2:39" ht="15" customHeight="1" x14ac:dyDescent="0.3">
      <c r="B3263">
        <v>326.00000000000398</v>
      </c>
      <c r="D3263" s="10"/>
      <c r="E3263" s="10"/>
      <c r="F3263">
        <f>IFERROR(VLOOKUP(B3263,'Pre-Summary'!$AL$6:$AQ$13,6,FALSE),F3262)</f>
        <v>5.9405263157894746E-2</v>
      </c>
      <c r="M3263" s="45" t="str">
        <f>IFERROR(VLOOKUP(B3263,'Pre-Summary'!$BW$6:$BY$58,2,FALSE),"")</f>
        <v/>
      </c>
      <c r="N3263" s="45" t="str">
        <f>IFERROR(VLOOKUP(B3263,'Pre-Summary'!$CD$6:$CF$64,2,FALSE),"")</f>
        <v/>
      </c>
      <c r="O3263" s="99">
        <f>IFERROR(VLOOKUP(B3263,'Pre-Summary'!$BO$6:$BQ$48,3, FALSE),O3262)</f>
        <v>3.3239999999999998</v>
      </c>
      <c r="P3263" s="99">
        <f>IFERROR(VLOOKUP(B3263,'Pre-Summary'!$BS$6:$BU$35,3,FALSE),P3262)</f>
        <v>0.84099999999999997</v>
      </c>
      <c r="Q3263" s="54">
        <f t="shared" si="152"/>
        <v>3.9524375743162903</v>
      </c>
      <c r="R3263" s="53">
        <f>IFERROR(VLOOKUP(B3263,'Pre-Summary'!$BG$6:$BM$44,7,FALSE),R3264)</f>
        <v>0</v>
      </c>
      <c r="S3263" s="53" t="e">
        <f>VLOOKUP(B3263,'Pre-Summary'!$BG$6:$BM$44,6,FALSE)</f>
        <v>#N/A</v>
      </c>
      <c r="Z3263" s="45" t="str">
        <f>IFERROR(VLOOKUP(B3263,'Pre-Summary'!$BZ$6:$CB$63,2,FALSE),"")</f>
        <v/>
      </c>
      <c r="AA3263" s="45" t="str">
        <f>IFERROR(VLOOKUP(B3263,'Pre-Summary'!$CG$6:$CI$70,2,FALSE),"")</f>
        <v/>
      </c>
      <c r="AB3263" s="99">
        <f>IFERROR(VLOOKUP(B3263,'Pre-Summary'!$A$6:$P$178,9,FALSE),AB3264)</f>
        <v>0</v>
      </c>
      <c r="AC3263" s="10">
        <f>IFERROR(VLOOKUP(Summary!B3263,'Pre-Summary'!$A$6:$P$184,5, FALSE)/100,AC3264)</f>
        <v>0</v>
      </c>
      <c r="AD3263" s="10">
        <f>IFERROR(VLOOKUP(Summary!B3263,'Pre-Summary'!$A$6:$P$184,3, FALSE)/100,AD3264)</f>
        <v>0</v>
      </c>
      <c r="AE3263" s="10">
        <f>IFERROR(VLOOKUP(Summary!B3263,'Pre-Summary'!$A$6:$P$184,7, FALSE)/100,AE3264)</f>
        <v>0</v>
      </c>
      <c r="AF3263" s="99">
        <f t="shared" si="153"/>
        <v>0</v>
      </c>
      <c r="AG3263" s="99">
        <f t="shared" si="154"/>
        <v>0</v>
      </c>
      <c r="AH3263" s="10" t="str">
        <f>IFERROR(VLOOKUP(B3263,'Pre-Summary'!$AZ$6:$BE$65,3,FALSE),"")</f>
        <v/>
      </c>
      <c r="AI3263" s="10" t="str">
        <f>IFERROR(VLOOKUP(B3263,'Pre-Summary'!$AZ$6:$BE$65,5,FALSE),"")</f>
        <v/>
      </c>
      <c r="AJ3263" s="10" t="str">
        <f>IFERROR(VLOOKUP(B3263,'Pre-Summary'!$AZ$6:$BE$65,4,FALSE),"")</f>
        <v/>
      </c>
      <c r="AK3263" s="10" t="str">
        <f>IFERROR(VLOOKUP(B3263,'Pre-Summary'!$AZ$6:$BE$65,6,FALSE),"")</f>
        <v/>
      </c>
      <c r="AL3263" s="10" t="str">
        <f>IFERROR(VLOOKUP(B3263,'Pre-Summary'!$BG$6:$BL$44,3,FALSE),"")</f>
        <v/>
      </c>
      <c r="AM3263" s="10" t="str">
        <f>IFERROR(VLOOKUP(B3263,'Pre-Summary'!$BG$6:$BL$44,4,FALSE),"")</f>
        <v/>
      </c>
    </row>
    <row r="3264" spans="2:39" ht="15" customHeight="1" x14ac:dyDescent="0.3">
      <c r="B3264">
        <v>326.100000000004</v>
      </c>
      <c r="D3264" s="10"/>
      <c r="E3264" s="10"/>
      <c r="F3264">
        <f>IFERROR(VLOOKUP(B3264,'Pre-Summary'!$AL$6:$AQ$13,6,FALSE),F3263)</f>
        <v>5.9405263157894746E-2</v>
      </c>
      <c r="M3264" s="45" t="str">
        <f>IFERROR(VLOOKUP(B3264,'Pre-Summary'!$BW$6:$BY$58,2,FALSE),"")</f>
        <v/>
      </c>
      <c r="N3264" s="45" t="str">
        <f>IFERROR(VLOOKUP(B3264,'Pre-Summary'!$CD$6:$CF$64,2,FALSE),"")</f>
        <v/>
      </c>
      <c r="O3264" s="99">
        <f>IFERROR(VLOOKUP(B3264,'Pre-Summary'!$BO$6:$BQ$48,3, FALSE),O3263)</f>
        <v>3.3239999999999998</v>
      </c>
      <c r="P3264" s="99">
        <f>IFERROR(VLOOKUP(B3264,'Pre-Summary'!$BS$6:$BU$35,3,FALSE),P3263)</f>
        <v>0.84099999999999997</v>
      </c>
      <c r="Q3264" s="54">
        <f t="shared" si="152"/>
        <v>3.9524375743162903</v>
      </c>
      <c r="R3264" s="53">
        <f>IFERROR(VLOOKUP(B3264,'Pre-Summary'!$BG$6:$BM$44,7,FALSE),R3265)</f>
        <v>0</v>
      </c>
      <c r="S3264" s="53" t="e">
        <f>VLOOKUP(B3264,'Pre-Summary'!$BG$6:$BM$44,6,FALSE)</f>
        <v>#N/A</v>
      </c>
      <c r="Z3264" s="45" t="str">
        <f>IFERROR(VLOOKUP(B3264,'Pre-Summary'!$BZ$6:$CB$63,2,FALSE),"")</f>
        <v/>
      </c>
      <c r="AA3264" s="45" t="str">
        <f>IFERROR(VLOOKUP(B3264,'Pre-Summary'!$CG$6:$CI$70,2,FALSE),"")</f>
        <v/>
      </c>
      <c r="AB3264" s="99">
        <f>IFERROR(VLOOKUP(B3264,'Pre-Summary'!$A$6:$P$178,9,FALSE),AB3265)</f>
        <v>0</v>
      </c>
      <c r="AC3264" s="10">
        <f>IFERROR(VLOOKUP(Summary!B3264,'Pre-Summary'!$A$6:$P$184,5, FALSE)/100,AC3265)</f>
        <v>0</v>
      </c>
      <c r="AD3264" s="10">
        <f>IFERROR(VLOOKUP(Summary!B3264,'Pre-Summary'!$A$6:$P$184,3, FALSE)/100,AD3265)</f>
        <v>0</v>
      </c>
      <c r="AE3264" s="10">
        <f>IFERROR(VLOOKUP(Summary!B3264,'Pre-Summary'!$A$6:$P$184,7, FALSE)/100,AE3265)</f>
        <v>0</v>
      </c>
      <c r="AF3264" s="99">
        <f t="shared" si="153"/>
        <v>0</v>
      </c>
      <c r="AG3264" s="99">
        <f t="shared" si="154"/>
        <v>0</v>
      </c>
      <c r="AH3264" s="10" t="str">
        <f>IFERROR(VLOOKUP(B3264,'Pre-Summary'!$AZ$6:$BE$65,3,FALSE),"")</f>
        <v/>
      </c>
      <c r="AI3264" s="10" t="str">
        <f>IFERROR(VLOOKUP(B3264,'Pre-Summary'!$AZ$6:$BE$65,5,FALSE),"")</f>
        <v/>
      </c>
      <c r="AJ3264" s="10" t="str">
        <f>IFERROR(VLOOKUP(B3264,'Pre-Summary'!$AZ$6:$BE$65,4,FALSE),"")</f>
        <v/>
      </c>
      <c r="AK3264" s="10" t="str">
        <f>IFERROR(VLOOKUP(B3264,'Pre-Summary'!$AZ$6:$BE$65,6,FALSE),"")</f>
        <v/>
      </c>
      <c r="AL3264" s="10" t="str">
        <f>IFERROR(VLOOKUP(B3264,'Pre-Summary'!$BG$6:$BL$44,3,FALSE),"")</f>
        <v/>
      </c>
      <c r="AM3264" s="10" t="str">
        <f>IFERROR(VLOOKUP(B3264,'Pre-Summary'!$BG$6:$BL$44,4,FALSE),"")</f>
        <v/>
      </c>
    </row>
    <row r="3265" spans="2:39" ht="15" customHeight="1" x14ac:dyDescent="0.3">
      <c r="B3265">
        <v>326.20000000000402</v>
      </c>
      <c r="D3265" s="10"/>
      <c r="E3265" s="10"/>
      <c r="F3265">
        <f>IFERROR(VLOOKUP(B3265,'Pre-Summary'!$AL$6:$AQ$13,6,FALSE),F3264)</f>
        <v>5.9405263157894746E-2</v>
      </c>
      <c r="M3265" s="45" t="str">
        <f>IFERROR(VLOOKUP(B3265,'Pre-Summary'!$BW$6:$BY$58,2,FALSE),"")</f>
        <v/>
      </c>
      <c r="N3265" s="45" t="str">
        <f>IFERROR(VLOOKUP(B3265,'Pre-Summary'!$CD$6:$CF$64,2,FALSE),"")</f>
        <v/>
      </c>
      <c r="O3265" s="99">
        <f>IFERROR(VLOOKUP(B3265,'Pre-Summary'!$BO$6:$BQ$48,3, FALSE),O3264)</f>
        <v>3.3239999999999998</v>
      </c>
      <c r="P3265" s="99">
        <f>IFERROR(VLOOKUP(B3265,'Pre-Summary'!$BS$6:$BU$35,3,FALSE),P3264)</f>
        <v>0.84099999999999997</v>
      </c>
      <c r="Q3265" s="54">
        <f t="shared" si="152"/>
        <v>3.9524375743162903</v>
      </c>
      <c r="R3265" s="53">
        <f>IFERROR(VLOOKUP(B3265,'Pre-Summary'!$BG$6:$BM$44,7,FALSE),R3266)</f>
        <v>0</v>
      </c>
      <c r="S3265" s="53" t="e">
        <f>VLOOKUP(B3265,'Pre-Summary'!$BG$6:$BM$44,6,FALSE)</f>
        <v>#N/A</v>
      </c>
      <c r="Z3265" s="45" t="str">
        <f>IFERROR(VLOOKUP(B3265,'Pre-Summary'!$BZ$6:$CB$63,2,FALSE),"")</f>
        <v/>
      </c>
      <c r="AA3265" s="45" t="str">
        <f>IFERROR(VLOOKUP(B3265,'Pre-Summary'!$CG$6:$CI$70,2,FALSE),"")</f>
        <v/>
      </c>
      <c r="AB3265" s="99">
        <f>IFERROR(VLOOKUP(B3265,'Pre-Summary'!$A$6:$P$178,9,FALSE),AB3266)</f>
        <v>0</v>
      </c>
      <c r="AC3265" s="10">
        <f>IFERROR(VLOOKUP(Summary!B3265,'Pre-Summary'!$A$6:$P$184,5, FALSE)/100,AC3266)</f>
        <v>0</v>
      </c>
      <c r="AD3265" s="10">
        <f>IFERROR(VLOOKUP(Summary!B3265,'Pre-Summary'!$A$6:$P$184,3, FALSE)/100,AD3266)</f>
        <v>0</v>
      </c>
      <c r="AE3265" s="10">
        <f>IFERROR(VLOOKUP(Summary!B3265,'Pre-Summary'!$A$6:$P$184,7, FALSE)/100,AE3266)</f>
        <v>0</v>
      </c>
      <c r="AF3265" s="99">
        <f t="shared" si="153"/>
        <v>0</v>
      </c>
      <c r="AG3265" s="99">
        <f t="shared" si="154"/>
        <v>0</v>
      </c>
      <c r="AH3265" s="10" t="str">
        <f>IFERROR(VLOOKUP(B3265,'Pre-Summary'!$AZ$6:$BE$65,3,FALSE),"")</f>
        <v/>
      </c>
      <c r="AI3265" s="10" t="str">
        <f>IFERROR(VLOOKUP(B3265,'Pre-Summary'!$AZ$6:$BE$65,5,FALSE),"")</f>
        <v/>
      </c>
      <c r="AJ3265" s="10" t="str">
        <f>IFERROR(VLOOKUP(B3265,'Pre-Summary'!$AZ$6:$BE$65,4,FALSE),"")</f>
        <v/>
      </c>
      <c r="AK3265" s="10" t="str">
        <f>IFERROR(VLOOKUP(B3265,'Pre-Summary'!$AZ$6:$BE$65,6,FALSE),"")</f>
        <v/>
      </c>
      <c r="AL3265" s="10" t="str">
        <f>IFERROR(VLOOKUP(B3265,'Pre-Summary'!$BG$6:$BL$44,3,FALSE),"")</f>
        <v/>
      </c>
      <c r="AM3265" s="10" t="str">
        <f>IFERROR(VLOOKUP(B3265,'Pre-Summary'!$BG$6:$BL$44,4,FALSE),"")</f>
        <v/>
      </c>
    </row>
    <row r="3266" spans="2:39" ht="15" customHeight="1" x14ac:dyDescent="0.3">
      <c r="B3266">
        <v>326.30000000000399</v>
      </c>
      <c r="D3266" s="10"/>
      <c r="E3266" s="10"/>
      <c r="F3266">
        <f>IFERROR(VLOOKUP(B3266,'Pre-Summary'!$AL$6:$AQ$13,6,FALSE),F3265)</f>
        <v>5.9405263157894746E-2</v>
      </c>
      <c r="M3266" s="45" t="str">
        <f>IFERROR(VLOOKUP(B3266,'Pre-Summary'!$BW$6:$BY$58,2,FALSE),"")</f>
        <v/>
      </c>
      <c r="N3266" s="45" t="str">
        <f>IFERROR(VLOOKUP(B3266,'Pre-Summary'!$CD$6:$CF$64,2,FALSE),"")</f>
        <v/>
      </c>
      <c r="O3266" s="99">
        <f>IFERROR(VLOOKUP(B3266,'Pre-Summary'!$BO$6:$BQ$48,3, FALSE),O3265)</f>
        <v>3.3239999999999998</v>
      </c>
      <c r="P3266" s="99">
        <f>IFERROR(VLOOKUP(B3266,'Pre-Summary'!$BS$6:$BU$35,3,FALSE),P3265)</f>
        <v>0.84099999999999997</v>
      </c>
      <c r="Q3266" s="54">
        <f t="shared" si="152"/>
        <v>3.9524375743162903</v>
      </c>
      <c r="R3266" s="53">
        <f>IFERROR(VLOOKUP(B3266,'Pre-Summary'!$BG$6:$BM$44,7,FALSE),R3267)</f>
        <v>0</v>
      </c>
      <c r="S3266" s="53" t="e">
        <f>VLOOKUP(B3266,'Pre-Summary'!$BG$6:$BM$44,6,FALSE)</f>
        <v>#N/A</v>
      </c>
      <c r="Z3266" s="45" t="str">
        <f>IFERROR(VLOOKUP(B3266,'Pre-Summary'!$BZ$6:$CB$63,2,FALSE),"")</f>
        <v/>
      </c>
      <c r="AA3266" s="45" t="str">
        <f>IFERROR(VLOOKUP(B3266,'Pre-Summary'!$CG$6:$CI$70,2,FALSE),"")</f>
        <v/>
      </c>
      <c r="AB3266" s="99">
        <f>IFERROR(VLOOKUP(B3266,'Pre-Summary'!$A$6:$P$178,9,FALSE),AB3267)</f>
        <v>0</v>
      </c>
      <c r="AC3266" s="10">
        <f>IFERROR(VLOOKUP(Summary!B3266,'Pre-Summary'!$A$6:$P$184,5, FALSE)/100,AC3267)</f>
        <v>0</v>
      </c>
      <c r="AD3266" s="10">
        <f>IFERROR(VLOOKUP(Summary!B3266,'Pre-Summary'!$A$6:$P$184,3, FALSE)/100,AD3267)</f>
        <v>0</v>
      </c>
      <c r="AE3266" s="10">
        <f>IFERROR(VLOOKUP(Summary!B3266,'Pre-Summary'!$A$6:$P$184,7, FALSE)/100,AE3267)</f>
        <v>0</v>
      </c>
      <c r="AF3266" s="99">
        <f t="shared" si="153"/>
        <v>0</v>
      </c>
      <c r="AG3266" s="99">
        <f t="shared" si="154"/>
        <v>0</v>
      </c>
      <c r="AH3266" s="10" t="str">
        <f>IFERROR(VLOOKUP(B3266,'Pre-Summary'!$AZ$6:$BE$65,3,FALSE),"")</f>
        <v/>
      </c>
      <c r="AI3266" s="10" t="str">
        <f>IFERROR(VLOOKUP(B3266,'Pre-Summary'!$AZ$6:$BE$65,5,FALSE),"")</f>
        <v/>
      </c>
      <c r="AJ3266" s="10" t="str">
        <f>IFERROR(VLOOKUP(B3266,'Pre-Summary'!$AZ$6:$BE$65,4,FALSE),"")</f>
        <v/>
      </c>
      <c r="AK3266" s="10" t="str">
        <f>IFERROR(VLOOKUP(B3266,'Pre-Summary'!$AZ$6:$BE$65,6,FALSE),"")</f>
        <v/>
      </c>
      <c r="AL3266" s="10" t="str">
        <f>IFERROR(VLOOKUP(B3266,'Pre-Summary'!$BG$6:$BL$44,3,FALSE),"")</f>
        <v/>
      </c>
      <c r="AM3266" s="10" t="str">
        <f>IFERROR(VLOOKUP(B3266,'Pre-Summary'!$BG$6:$BL$44,4,FALSE),"")</f>
        <v/>
      </c>
    </row>
    <row r="3267" spans="2:39" ht="15" customHeight="1" x14ac:dyDescent="0.3">
      <c r="B3267">
        <v>326.40000000000401</v>
      </c>
      <c r="D3267" s="10"/>
      <c r="E3267" s="10"/>
      <c r="F3267">
        <f>IFERROR(VLOOKUP(B3267,'Pre-Summary'!$AL$6:$AQ$13,6,FALSE),F3266)</f>
        <v>5.9405263157894746E-2</v>
      </c>
      <c r="M3267" s="45" t="str">
        <f>IFERROR(VLOOKUP(B3267,'Pre-Summary'!$BW$6:$BY$58,2,FALSE),"")</f>
        <v/>
      </c>
      <c r="N3267" s="45" t="str">
        <f>IFERROR(VLOOKUP(B3267,'Pre-Summary'!$CD$6:$CF$64,2,FALSE),"")</f>
        <v/>
      </c>
      <c r="O3267" s="99">
        <f>IFERROR(VLOOKUP(B3267,'Pre-Summary'!$BO$6:$BQ$48,3, FALSE),O3266)</f>
        <v>3.3239999999999998</v>
      </c>
      <c r="P3267" s="99">
        <f>IFERROR(VLOOKUP(B3267,'Pre-Summary'!$BS$6:$BU$35,3,FALSE),P3266)</f>
        <v>0.84099999999999997</v>
      </c>
      <c r="Q3267" s="54">
        <f t="shared" ref="Q3267:Q3313" si="155">O3267/P3267</f>
        <v>3.9524375743162903</v>
      </c>
      <c r="R3267" s="53">
        <f>IFERROR(VLOOKUP(B3267,'Pre-Summary'!$BG$6:$BM$44,7,FALSE),R3268)</f>
        <v>0</v>
      </c>
      <c r="S3267" s="53" t="e">
        <f>VLOOKUP(B3267,'Pre-Summary'!$BG$6:$BM$44,6,FALSE)</f>
        <v>#N/A</v>
      </c>
      <c r="Z3267" s="45" t="str">
        <f>IFERROR(VLOOKUP(B3267,'Pre-Summary'!$BZ$6:$CB$63,2,FALSE),"")</f>
        <v/>
      </c>
      <c r="AA3267" s="45" t="str">
        <f>IFERROR(VLOOKUP(B3267,'Pre-Summary'!$CG$6:$CI$70,2,FALSE),"")</f>
        <v/>
      </c>
      <c r="AB3267" s="99">
        <f>IFERROR(VLOOKUP(B3267,'Pre-Summary'!$A$6:$P$178,9,FALSE),AB3268)</f>
        <v>0</v>
      </c>
      <c r="AC3267" s="10">
        <f>IFERROR(VLOOKUP(Summary!B3267,'Pre-Summary'!$A$6:$P$184,5, FALSE)/100,AC3268)</f>
        <v>0</v>
      </c>
      <c r="AD3267" s="10">
        <f>IFERROR(VLOOKUP(Summary!B3267,'Pre-Summary'!$A$6:$P$184,3, FALSE)/100,AD3268)</f>
        <v>0</v>
      </c>
      <c r="AE3267" s="10">
        <f>IFERROR(VLOOKUP(Summary!B3267,'Pre-Summary'!$A$6:$P$184,7, FALSE)/100,AE3268)</f>
        <v>0</v>
      </c>
      <c r="AF3267" s="99">
        <f t="shared" si="153"/>
        <v>0</v>
      </c>
      <c r="AG3267" s="99">
        <f t="shared" si="154"/>
        <v>0</v>
      </c>
      <c r="AH3267" s="10" t="str">
        <f>IFERROR(VLOOKUP(B3267,'Pre-Summary'!$AZ$6:$BE$65,3,FALSE),"")</f>
        <v/>
      </c>
      <c r="AI3267" s="10" t="str">
        <f>IFERROR(VLOOKUP(B3267,'Pre-Summary'!$AZ$6:$BE$65,5,FALSE),"")</f>
        <v/>
      </c>
      <c r="AJ3267" s="10" t="str">
        <f>IFERROR(VLOOKUP(B3267,'Pre-Summary'!$AZ$6:$BE$65,4,FALSE),"")</f>
        <v/>
      </c>
      <c r="AK3267" s="10" t="str">
        <f>IFERROR(VLOOKUP(B3267,'Pre-Summary'!$AZ$6:$BE$65,6,FALSE),"")</f>
        <v/>
      </c>
      <c r="AL3267" s="10" t="str">
        <f>IFERROR(VLOOKUP(B3267,'Pre-Summary'!$BG$6:$BL$44,3,FALSE),"")</f>
        <v/>
      </c>
      <c r="AM3267" s="10" t="str">
        <f>IFERROR(VLOOKUP(B3267,'Pre-Summary'!$BG$6:$BL$44,4,FALSE),"")</f>
        <v/>
      </c>
    </row>
    <row r="3268" spans="2:39" ht="15" customHeight="1" x14ac:dyDescent="0.3">
      <c r="B3268">
        <v>326.50000000000398</v>
      </c>
      <c r="D3268" s="10"/>
      <c r="E3268" s="10"/>
      <c r="F3268">
        <f>IFERROR(VLOOKUP(B3268,'Pre-Summary'!$AL$6:$AQ$13,6,FALSE),F3267)</f>
        <v>5.9405263157894746E-2</v>
      </c>
      <c r="M3268" s="45" t="str">
        <f>IFERROR(VLOOKUP(B3268,'Pre-Summary'!$BW$6:$BY$58,2,FALSE),"")</f>
        <v/>
      </c>
      <c r="N3268" s="45" t="str">
        <f>IFERROR(VLOOKUP(B3268,'Pre-Summary'!$CD$6:$CF$64,2,FALSE),"")</f>
        <v/>
      </c>
      <c r="O3268" s="99">
        <f>IFERROR(VLOOKUP(B3268,'Pre-Summary'!$BO$6:$BQ$48,3, FALSE),O3267)</f>
        <v>3.3239999999999998</v>
      </c>
      <c r="P3268" s="99">
        <f>IFERROR(VLOOKUP(B3268,'Pre-Summary'!$BS$6:$BU$35,3,FALSE),P3267)</f>
        <v>0.84099999999999997</v>
      </c>
      <c r="Q3268" s="54">
        <f t="shared" si="155"/>
        <v>3.9524375743162903</v>
      </c>
      <c r="R3268" s="53">
        <f>IFERROR(VLOOKUP(B3268,'Pre-Summary'!$BG$6:$BM$44,7,FALSE),R3269)</f>
        <v>0</v>
      </c>
      <c r="S3268" s="53" t="e">
        <f>VLOOKUP(B3268,'Pre-Summary'!$BG$6:$BM$44,6,FALSE)</f>
        <v>#N/A</v>
      </c>
      <c r="Z3268" s="45" t="str">
        <f>IFERROR(VLOOKUP(B3268,'Pre-Summary'!$BZ$6:$CB$63,2,FALSE),"")</f>
        <v/>
      </c>
      <c r="AA3268" s="45" t="str">
        <f>IFERROR(VLOOKUP(B3268,'Pre-Summary'!$CG$6:$CI$70,2,FALSE),"")</f>
        <v/>
      </c>
      <c r="AB3268" s="99">
        <f>IFERROR(VLOOKUP(B3268,'Pre-Summary'!$A$6:$P$178,9,FALSE),AB3269)</f>
        <v>0</v>
      </c>
      <c r="AC3268" s="10">
        <f>IFERROR(VLOOKUP(Summary!B3268,'Pre-Summary'!$A$6:$P$184,5, FALSE)/100,AC3269)</f>
        <v>0</v>
      </c>
      <c r="AD3268" s="10">
        <f>IFERROR(VLOOKUP(Summary!B3268,'Pre-Summary'!$A$6:$P$184,3, FALSE)/100,AD3269)</f>
        <v>0</v>
      </c>
      <c r="AE3268" s="10">
        <f>IFERROR(VLOOKUP(Summary!B3268,'Pre-Summary'!$A$6:$P$184,7, FALSE)/100,AE3269)</f>
        <v>0</v>
      </c>
      <c r="AF3268" s="99">
        <f t="shared" si="153"/>
        <v>0</v>
      </c>
      <c r="AG3268" s="99">
        <f t="shared" si="154"/>
        <v>0</v>
      </c>
      <c r="AH3268" s="10" t="str">
        <f>IFERROR(VLOOKUP(B3268,'Pre-Summary'!$AZ$6:$BE$65,3,FALSE),"")</f>
        <v/>
      </c>
      <c r="AI3268" s="10" t="str">
        <f>IFERROR(VLOOKUP(B3268,'Pre-Summary'!$AZ$6:$BE$65,5,FALSE),"")</f>
        <v/>
      </c>
      <c r="AJ3268" s="10" t="str">
        <f>IFERROR(VLOOKUP(B3268,'Pre-Summary'!$AZ$6:$BE$65,4,FALSE),"")</f>
        <v/>
      </c>
      <c r="AK3268" s="10" t="str">
        <f>IFERROR(VLOOKUP(B3268,'Pre-Summary'!$AZ$6:$BE$65,6,FALSE),"")</f>
        <v/>
      </c>
      <c r="AL3268" s="10" t="str">
        <f>IFERROR(VLOOKUP(B3268,'Pre-Summary'!$BG$6:$BL$44,3,FALSE),"")</f>
        <v/>
      </c>
      <c r="AM3268" s="10" t="str">
        <f>IFERROR(VLOOKUP(B3268,'Pre-Summary'!$BG$6:$BL$44,4,FALSE),"")</f>
        <v/>
      </c>
    </row>
    <row r="3269" spans="2:39" ht="15" customHeight="1" x14ac:dyDescent="0.3">
      <c r="B3269">
        <v>326.600000000004</v>
      </c>
      <c r="D3269" s="10"/>
      <c r="E3269" s="10"/>
      <c r="F3269">
        <f>IFERROR(VLOOKUP(B3269,'Pre-Summary'!$AL$6:$AQ$13,6,FALSE),F3268)</f>
        <v>5.9405263157894746E-2</v>
      </c>
      <c r="M3269" s="45" t="str">
        <f>IFERROR(VLOOKUP(B3269,'Pre-Summary'!$BW$6:$BY$58,2,FALSE),"")</f>
        <v/>
      </c>
      <c r="N3269" s="45" t="str">
        <f>IFERROR(VLOOKUP(B3269,'Pre-Summary'!$CD$6:$CF$64,2,FALSE),"")</f>
        <v/>
      </c>
      <c r="O3269" s="99">
        <f>IFERROR(VLOOKUP(B3269,'Pre-Summary'!$BO$6:$BQ$48,3, FALSE),O3268)</f>
        <v>3.3239999999999998</v>
      </c>
      <c r="P3269" s="99">
        <f>IFERROR(VLOOKUP(B3269,'Pre-Summary'!$BS$6:$BU$35,3,FALSE),P3268)</f>
        <v>0.84099999999999997</v>
      </c>
      <c r="Q3269" s="54">
        <f t="shared" si="155"/>
        <v>3.9524375743162903</v>
      </c>
      <c r="R3269" s="53">
        <f>IFERROR(VLOOKUP(B3269,'Pre-Summary'!$BG$6:$BM$44,7,FALSE),R3270)</f>
        <v>0</v>
      </c>
      <c r="S3269" s="53" t="e">
        <f>VLOOKUP(B3269,'Pre-Summary'!$BG$6:$BM$44,6,FALSE)</f>
        <v>#N/A</v>
      </c>
      <c r="Z3269" s="45" t="str">
        <f>IFERROR(VLOOKUP(B3269,'Pre-Summary'!$BZ$6:$CB$63,2,FALSE),"")</f>
        <v/>
      </c>
      <c r="AA3269" s="45" t="str">
        <f>IFERROR(VLOOKUP(B3269,'Pre-Summary'!$CG$6:$CI$70,2,FALSE),"")</f>
        <v/>
      </c>
      <c r="AB3269" s="99">
        <f>IFERROR(VLOOKUP(B3269,'Pre-Summary'!$A$6:$P$178,9,FALSE),AB3270)</f>
        <v>0</v>
      </c>
      <c r="AC3269" s="10">
        <f>IFERROR(VLOOKUP(Summary!B3269,'Pre-Summary'!$A$6:$P$184,5, FALSE)/100,AC3270)</f>
        <v>0</v>
      </c>
      <c r="AD3269" s="10">
        <f>IFERROR(VLOOKUP(Summary!B3269,'Pre-Summary'!$A$6:$P$184,3, FALSE)/100,AD3270)</f>
        <v>0</v>
      </c>
      <c r="AE3269" s="10">
        <f>IFERROR(VLOOKUP(Summary!B3269,'Pre-Summary'!$A$6:$P$184,7, FALSE)/100,AE3270)</f>
        <v>0</v>
      </c>
      <c r="AF3269" s="99">
        <f t="shared" si="153"/>
        <v>0</v>
      </c>
      <c r="AG3269" s="99">
        <f t="shared" si="154"/>
        <v>0</v>
      </c>
      <c r="AH3269" s="10" t="str">
        <f>IFERROR(VLOOKUP(B3269,'Pre-Summary'!$AZ$6:$BE$65,3,FALSE),"")</f>
        <v/>
      </c>
      <c r="AI3269" s="10" t="str">
        <f>IFERROR(VLOOKUP(B3269,'Pre-Summary'!$AZ$6:$BE$65,5,FALSE),"")</f>
        <v/>
      </c>
      <c r="AJ3269" s="10" t="str">
        <f>IFERROR(VLOOKUP(B3269,'Pre-Summary'!$AZ$6:$BE$65,4,FALSE),"")</f>
        <v/>
      </c>
      <c r="AK3269" s="10" t="str">
        <f>IFERROR(VLOOKUP(B3269,'Pre-Summary'!$AZ$6:$BE$65,6,FALSE),"")</f>
        <v/>
      </c>
      <c r="AL3269" s="10" t="str">
        <f>IFERROR(VLOOKUP(B3269,'Pre-Summary'!$BG$6:$BL$44,3,FALSE),"")</f>
        <v/>
      </c>
      <c r="AM3269" s="10" t="str">
        <f>IFERROR(VLOOKUP(B3269,'Pre-Summary'!$BG$6:$BL$44,4,FALSE),"")</f>
        <v/>
      </c>
    </row>
    <row r="3270" spans="2:39" ht="15" customHeight="1" x14ac:dyDescent="0.3">
      <c r="B3270">
        <v>326.70000000000402</v>
      </c>
      <c r="D3270" s="10"/>
      <c r="E3270" s="10"/>
      <c r="F3270">
        <f>IFERROR(VLOOKUP(B3270,'Pre-Summary'!$AL$6:$AQ$13,6,FALSE),F3269)</f>
        <v>5.9405263157894746E-2</v>
      </c>
      <c r="M3270" s="45" t="str">
        <f>IFERROR(VLOOKUP(B3270,'Pre-Summary'!$BW$6:$BY$58,2,FALSE),"")</f>
        <v/>
      </c>
      <c r="N3270" s="45" t="str">
        <f>IFERROR(VLOOKUP(B3270,'Pre-Summary'!$CD$6:$CF$64,2,FALSE),"")</f>
        <v/>
      </c>
      <c r="O3270" s="99">
        <f>IFERROR(VLOOKUP(B3270,'Pre-Summary'!$BO$6:$BQ$48,3, FALSE),O3269)</f>
        <v>3.3239999999999998</v>
      </c>
      <c r="P3270" s="99">
        <f>IFERROR(VLOOKUP(B3270,'Pre-Summary'!$BS$6:$BU$35,3,FALSE),P3269)</f>
        <v>0.84099999999999997</v>
      </c>
      <c r="Q3270" s="54">
        <f t="shared" si="155"/>
        <v>3.9524375743162903</v>
      </c>
      <c r="R3270" s="53">
        <f>IFERROR(VLOOKUP(B3270,'Pre-Summary'!$BG$6:$BM$44,7,FALSE),R3271)</f>
        <v>0</v>
      </c>
      <c r="S3270" s="53" t="e">
        <f>VLOOKUP(B3270,'Pre-Summary'!$BG$6:$BM$44,6,FALSE)</f>
        <v>#N/A</v>
      </c>
      <c r="Z3270" s="45" t="str">
        <f>IFERROR(VLOOKUP(B3270,'Pre-Summary'!$BZ$6:$CB$63,2,FALSE),"")</f>
        <v/>
      </c>
      <c r="AA3270" s="45" t="str">
        <f>IFERROR(VLOOKUP(B3270,'Pre-Summary'!$CG$6:$CI$70,2,FALSE),"")</f>
        <v/>
      </c>
      <c r="AB3270" s="99">
        <f>IFERROR(VLOOKUP(B3270,'Pre-Summary'!$A$6:$P$178,9,FALSE),AB3271)</f>
        <v>0</v>
      </c>
      <c r="AC3270" s="10">
        <f>IFERROR(VLOOKUP(Summary!B3270,'Pre-Summary'!$A$6:$P$184,5, FALSE)/100,AC3271)</f>
        <v>0</v>
      </c>
      <c r="AD3270" s="10">
        <f>IFERROR(VLOOKUP(Summary!B3270,'Pre-Summary'!$A$6:$P$184,3, FALSE)/100,AD3271)</f>
        <v>0</v>
      </c>
      <c r="AE3270" s="10">
        <f>IFERROR(VLOOKUP(Summary!B3270,'Pre-Summary'!$A$6:$P$184,7, FALSE)/100,AE3271)</f>
        <v>0</v>
      </c>
      <c r="AF3270" s="99">
        <f t="shared" si="153"/>
        <v>0</v>
      </c>
      <c r="AG3270" s="99">
        <f t="shared" si="154"/>
        <v>0</v>
      </c>
      <c r="AH3270" s="10" t="str">
        <f>IFERROR(VLOOKUP(B3270,'Pre-Summary'!$AZ$6:$BE$65,3,FALSE),"")</f>
        <v/>
      </c>
      <c r="AI3270" s="10" t="str">
        <f>IFERROR(VLOOKUP(B3270,'Pre-Summary'!$AZ$6:$BE$65,5,FALSE),"")</f>
        <v/>
      </c>
      <c r="AJ3270" s="10" t="str">
        <f>IFERROR(VLOOKUP(B3270,'Pre-Summary'!$AZ$6:$BE$65,4,FALSE),"")</f>
        <v/>
      </c>
      <c r="AK3270" s="10" t="str">
        <f>IFERROR(VLOOKUP(B3270,'Pre-Summary'!$AZ$6:$BE$65,6,FALSE),"")</f>
        <v/>
      </c>
      <c r="AL3270" s="10" t="str">
        <f>IFERROR(VLOOKUP(B3270,'Pre-Summary'!$BG$6:$BL$44,3,FALSE),"")</f>
        <v/>
      </c>
      <c r="AM3270" s="10" t="str">
        <f>IFERROR(VLOOKUP(B3270,'Pre-Summary'!$BG$6:$BL$44,4,FALSE),"")</f>
        <v/>
      </c>
    </row>
    <row r="3271" spans="2:39" ht="15" customHeight="1" x14ac:dyDescent="0.3">
      <c r="B3271">
        <v>326.80000000000399</v>
      </c>
      <c r="D3271" s="10"/>
      <c r="E3271" s="10"/>
      <c r="F3271">
        <f>IFERROR(VLOOKUP(B3271,'Pre-Summary'!$AL$6:$AQ$13,6,FALSE),F3270)</f>
        <v>5.9405263157894746E-2</v>
      </c>
      <c r="M3271" s="45" t="str">
        <f>IFERROR(VLOOKUP(B3271,'Pre-Summary'!$BW$6:$BY$58,2,FALSE),"")</f>
        <v/>
      </c>
      <c r="N3271" s="45" t="str">
        <f>IFERROR(VLOOKUP(B3271,'Pre-Summary'!$CD$6:$CF$64,2,FALSE),"")</f>
        <v/>
      </c>
      <c r="O3271" s="99">
        <f>IFERROR(VLOOKUP(B3271,'Pre-Summary'!$BO$6:$BQ$48,3, FALSE),O3270)</f>
        <v>3.3239999999999998</v>
      </c>
      <c r="P3271" s="99">
        <f>IFERROR(VLOOKUP(B3271,'Pre-Summary'!$BS$6:$BU$35,3,FALSE),P3270)</f>
        <v>0.84099999999999997</v>
      </c>
      <c r="Q3271" s="54">
        <f t="shared" si="155"/>
        <v>3.9524375743162903</v>
      </c>
      <c r="R3271" s="53">
        <f>IFERROR(VLOOKUP(B3271,'Pre-Summary'!$BG$6:$BM$44,7,FALSE),R3272)</f>
        <v>0</v>
      </c>
      <c r="S3271" s="53" t="e">
        <f>VLOOKUP(B3271,'Pre-Summary'!$BG$6:$BM$44,6,FALSE)</f>
        <v>#N/A</v>
      </c>
      <c r="Z3271" s="45" t="str">
        <f>IFERROR(VLOOKUP(B3271,'Pre-Summary'!$BZ$6:$CB$63,2,FALSE),"")</f>
        <v/>
      </c>
      <c r="AA3271" s="45" t="str">
        <f>IFERROR(VLOOKUP(B3271,'Pre-Summary'!$CG$6:$CI$70,2,FALSE),"")</f>
        <v/>
      </c>
      <c r="AB3271" s="99">
        <f>IFERROR(VLOOKUP(B3271,'Pre-Summary'!$A$6:$P$178,9,FALSE),AB3272)</f>
        <v>0</v>
      </c>
      <c r="AC3271" s="10">
        <f>IFERROR(VLOOKUP(Summary!B3271,'Pre-Summary'!$A$6:$P$184,5, FALSE)/100,AC3272)</f>
        <v>0</v>
      </c>
      <c r="AD3271" s="10">
        <f>IFERROR(VLOOKUP(Summary!B3271,'Pre-Summary'!$A$6:$P$184,3, FALSE)/100,AD3272)</f>
        <v>0</v>
      </c>
      <c r="AE3271" s="10">
        <f>IFERROR(VLOOKUP(Summary!B3271,'Pre-Summary'!$A$6:$P$184,7, FALSE)/100,AE3272)</f>
        <v>0</v>
      </c>
      <c r="AF3271" s="99">
        <f t="shared" si="153"/>
        <v>0</v>
      </c>
      <c r="AG3271" s="99">
        <f t="shared" si="154"/>
        <v>0</v>
      </c>
      <c r="AH3271" s="10" t="str">
        <f>IFERROR(VLOOKUP(B3271,'Pre-Summary'!$AZ$6:$BE$65,3,FALSE),"")</f>
        <v/>
      </c>
      <c r="AI3271" s="10" t="str">
        <f>IFERROR(VLOOKUP(B3271,'Pre-Summary'!$AZ$6:$BE$65,5,FALSE),"")</f>
        <v/>
      </c>
      <c r="AJ3271" s="10" t="str">
        <f>IFERROR(VLOOKUP(B3271,'Pre-Summary'!$AZ$6:$BE$65,4,FALSE),"")</f>
        <v/>
      </c>
      <c r="AK3271" s="10" t="str">
        <f>IFERROR(VLOOKUP(B3271,'Pre-Summary'!$AZ$6:$BE$65,6,FALSE),"")</f>
        <v/>
      </c>
      <c r="AL3271" s="10" t="str">
        <f>IFERROR(VLOOKUP(B3271,'Pre-Summary'!$BG$6:$BL$44,3,FALSE),"")</f>
        <v/>
      </c>
      <c r="AM3271" s="10" t="str">
        <f>IFERROR(VLOOKUP(B3271,'Pre-Summary'!$BG$6:$BL$44,4,FALSE),"")</f>
        <v/>
      </c>
    </row>
    <row r="3272" spans="2:39" ht="15" customHeight="1" x14ac:dyDescent="0.3">
      <c r="B3272">
        <v>326.90000000000401</v>
      </c>
      <c r="D3272" s="10"/>
      <c r="E3272" s="10"/>
      <c r="F3272">
        <f>IFERROR(VLOOKUP(B3272,'Pre-Summary'!$AL$6:$AQ$13,6,FALSE),F3271)</f>
        <v>5.9405263157894746E-2</v>
      </c>
      <c r="M3272" s="45" t="str">
        <f>IFERROR(VLOOKUP(B3272,'Pre-Summary'!$BW$6:$BY$58,2,FALSE),"")</f>
        <v/>
      </c>
      <c r="N3272" s="45" t="str">
        <f>IFERROR(VLOOKUP(B3272,'Pre-Summary'!$CD$6:$CF$64,2,FALSE),"")</f>
        <v/>
      </c>
      <c r="O3272" s="99">
        <f>IFERROR(VLOOKUP(B3272,'Pre-Summary'!$BO$6:$BQ$48,3, FALSE),O3271)</f>
        <v>3.3239999999999998</v>
      </c>
      <c r="P3272" s="99">
        <f>IFERROR(VLOOKUP(B3272,'Pre-Summary'!$BS$6:$BU$35,3,FALSE),P3271)</f>
        <v>0.84099999999999997</v>
      </c>
      <c r="Q3272" s="54">
        <f t="shared" si="155"/>
        <v>3.9524375743162903</v>
      </c>
      <c r="R3272" s="53">
        <f>IFERROR(VLOOKUP(B3272,'Pre-Summary'!$BG$6:$BM$44,7,FALSE),R3273)</f>
        <v>0</v>
      </c>
      <c r="S3272" s="53" t="e">
        <f>VLOOKUP(B3272,'Pre-Summary'!$BG$6:$BM$44,6,FALSE)</f>
        <v>#N/A</v>
      </c>
      <c r="Z3272" s="45" t="str">
        <f>IFERROR(VLOOKUP(B3272,'Pre-Summary'!$BZ$6:$CB$63,2,FALSE),"")</f>
        <v/>
      </c>
      <c r="AA3272" s="45" t="str">
        <f>IFERROR(VLOOKUP(B3272,'Pre-Summary'!$CG$6:$CI$70,2,FALSE),"")</f>
        <v/>
      </c>
      <c r="AB3272" s="99">
        <f>IFERROR(VLOOKUP(B3272,'Pre-Summary'!$A$6:$P$178,9,FALSE),AB3273)</f>
        <v>0</v>
      </c>
      <c r="AC3272" s="10">
        <f>IFERROR(VLOOKUP(Summary!B3272,'Pre-Summary'!$A$6:$P$184,5, FALSE)/100,AC3273)</f>
        <v>0</v>
      </c>
      <c r="AD3272" s="10">
        <f>IFERROR(VLOOKUP(Summary!B3272,'Pre-Summary'!$A$6:$P$184,3, FALSE)/100,AD3273)</f>
        <v>0</v>
      </c>
      <c r="AE3272" s="10">
        <f>IFERROR(VLOOKUP(Summary!B3272,'Pre-Summary'!$A$6:$P$184,7, FALSE)/100,AE3273)</f>
        <v>0</v>
      </c>
      <c r="AF3272" s="99">
        <f t="shared" si="153"/>
        <v>0</v>
      </c>
      <c r="AG3272" s="99">
        <f t="shared" si="154"/>
        <v>0</v>
      </c>
      <c r="AH3272" s="10" t="str">
        <f>IFERROR(VLOOKUP(B3272,'Pre-Summary'!$AZ$6:$BE$65,3,FALSE),"")</f>
        <v/>
      </c>
      <c r="AI3272" s="10" t="str">
        <f>IFERROR(VLOOKUP(B3272,'Pre-Summary'!$AZ$6:$BE$65,5,FALSE),"")</f>
        <v/>
      </c>
      <c r="AJ3272" s="10" t="str">
        <f>IFERROR(VLOOKUP(B3272,'Pre-Summary'!$AZ$6:$BE$65,4,FALSE),"")</f>
        <v/>
      </c>
      <c r="AK3272" s="10" t="str">
        <f>IFERROR(VLOOKUP(B3272,'Pre-Summary'!$AZ$6:$BE$65,6,FALSE),"")</f>
        <v/>
      </c>
      <c r="AL3272" s="10" t="str">
        <f>IFERROR(VLOOKUP(B3272,'Pre-Summary'!$BG$6:$BL$44,3,FALSE),"")</f>
        <v/>
      </c>
      <c r="AM3272" s="10" t="str">
        <f>IFERROR(VLOOKUP(B3272,'Pre-Summary'!$BG$6:$BL$44,4,FALSE),"")</f>
        <v/>
      </c>
    </row>
    <row r="3273" spans="2:39" ht="15" customHeight="1" x14ac:dyDescent="0.3">
      <c r="B3273">
        <v>327.00000000000398</v>
      </c>
      <c r="D3273" s="10"/>
      <c r="E3273" s="10"/>
      <c r="F3273">
        <f>IFERROR(VLOOKUP(B3273,'Pre-Summary'!$AL$6:$AQ$13,6,FALSE),F3272)</f>
        <v>5.9405263157894746E-2</v>
      </c>
      <c r="M3273" s="45" t="str">
        <f>IFERROR(VLOOKUP(B3273,'Pre-Summary'!$BW$6:$BY$58,2,FALSE),"")</f>
        <v/>
      </c>
      <c r="N3273" s="45" t="str">
        <f>IFERROR(VLOOKUP(B3273,'Pre-Summary'!$CD$6:$CF$64,2,FALSE),"")</f>
        <v/>
      </c>
      <c r="O3273" s="99">
        <f>IFERROR(VLOOKUP(B3273,'Pre-Summary'!$BO$6:$BQ$48,3, FALSE),O3272)</f>
        <v>3.3239999999999998</v>
      </c>
      <c r="P3273" s="99">
        <f>IFERROR(VLOOKUP(B3273,'Pre-Summary'!$BS$6:$BU$35,3,FALSE),P3272)</f>
        <v>0.84099999999999997</v>
      </c>
      <c r="Q3273" s="54">
        <f t="shared" si="155"/>
        <v>3.9524375743162903</v>
      </c>
      <c r="R3273" s="53">
        <f>IFERROR(VLOOKUP(B3273,'Pre-Summary'!$BG$6:$BM$44,7,FALSE),R3274)</f>
        <v>0</v>
      </c>
      <c r="S3273" s="53" t="e">
        <f>VLOOKUP(B3273,'Pre-Summary'!$BG$6:$BM$44,6,FALSE)</f>
        <v>#N/A</v>
      </c>
      <c r="Z3273" s="45" t="str">
        <f>IFERROR(VLOOKUP(B3273,'Pre-Summary'!$BZ$6:$CB$63,2,FALSE),"")</f>
        <v/>
      </c>
      <c r="AA3273" s="45" t="str">
        <f>IFERROR(VLOOKUP(B3273,'Pre-Summary'!$CG$6:$CI$70,2,FALSE),"")</f>
        <v/>
      </c>
      <c r="AB3273" s="99">
        <f>IFERROR(VLOOKUP(B3273,'Pre-Summary'!$A$6:$P$178,9,FALSE),AB3274)</f>
        <v>0</v>
      </c>
      <c r="AC3273" s="10">
        <f>IFERROR(VLOOKUP(Summary!B3273,'Pre-Summary'!$A$6:$P$184,5, FALSE)/100,AC3274)</f>
        <v>0</v>
      </c>
      <c r="AD3273" s="10">
        <f>IFERROR(VLOOKUP(Summary!B3273,'Pre-Summary'!$A$6:$P$184,3, FALSE)/100,AD3274)</f>
        <v>0</v>
      </c>
      <c r="AE3273" s="10">
        <f>IFERROR(VLOOKUP(Summary!B3273,'Pre-Summary'!$A$6:$P$184,7, FALSE)/100,AE3274)</f>
        <v>0</v>
      </c>
      <c r="AF3273" s="99">
        <f t="shared" si="153"/>
        <v>0</v>
      </c>
      <c r="AG3273" s="99">
        <f t="shared" si="154"/>
        <v>0</v>
      </c>
      <c r="AH3273" s="10" t="str">
        <f>IFERROR(VLOOKUP(B3273,'Pre-Summary'!$AZ$6:$BE$65,3,FALSE),"")</f>
        <v/>
      </c>
      <c r="AI3273" s="10" t="str">
        <f>IFERROR(VLOOKUP(B3273,'Pre-Summary'!$AZ$6:$BE$65,5,FALSE),"")</f>
        <v/>
      </c>
      <c r="AJ3273" s="10" t="str">
        <f>IFERROR(VLOOKUP(B3273,'Pre-Summary'!$AZ$6:$BE$65,4,FALSE),"")</f>
        <v/>
      </c>
      <c r="AK3273" s="10" t="str">
        <f>IFERROR(VLOOKUP(B3273,'Pre-Summary'!$AZ$6:$BE$65,6,FALSE),"")</f>
        <v/>
      </c>
      <c r="AL3273" s="10" t="str">
        <f>IFERROR(VLOOKUP(B3273,'Pre-Summary'!$BG$6:$BL$44,3,FALSE),"")</f>
        <v/>
      </c>
      <c r="AM3273" s="10" t="str">
        <f>IFERROR(VLOOKUP(B3273,'Pre-Summary'!$BG$6:$BL$44,4,FALSE),"")</f>
        <v/>
      </c>
    </row>
    <row r="3274" spans="2:39" ht="15" customHeight="1" x14ac:dyDescent="0.3">
      <c r="B3274">
        <v>327.100000000004</v>
      </c>
      <c r="D3274" s="10"/>
      <c r="E3274" s="10"/>
      <c r="F3274">
        <f>IFERROR(VLOOKUP(B3274,'Pre-Summary'!$AL$6:$AQ$13,6,FALSE),F3273)</f>
        <v>5.9405263157894746E-2</v>
      </c>
      <c r="M3274" s="45" t="str">
        <f>IFERROR(VLOOKUP(B3274,'Pre-Summary'!$BW$6:$BY$58,2,FALSE),"")</f>
        <v/>
      </c>
      <c r="N3274" s="45" t="str">
        <f>IFERROR(VLOOKUP(B3274,'Pre-Summary'!$CD$6:$CF$64,2,FALSE),"")</f>
        <v/>
      </c>
      <c r="O3274" s="99">
        <f>IFERROR(VLOOKUP(B3274,'Pre-Summary'!$BO$6:$BQ$48,3, FALSE),O3273)</f>
        <v>3.3239999999999998</v>
      </c>
      <c r="P3274" s="99">
        <f>IFERROR(VLOOKUP(B3274,'Pre-Summary'!$BS$6:$BU$35,3,FALSE),P3273)</f>
        <v>0.84099999999999997</v>
      </c>
      <c r="Q3274" s="54">
        <f t="shared" si="155"/>
        <v>3.9524375743162903</v>
      </c>
      <c r="R3274" s="53">
        <f>IFERROR(VLOOKUP(B3274,'Pre-Summary'!$BG$6:$BM$44,7,FALSE),R3275)</f>
        <v>0</v>
      </c>
      <c r="S3274" s="53" t="e">
        <f>VLOOKUP(B3274,'Pre-Summary'!$BG$6:$BM$44,6,FALSE)</f>
        <v>#N/A</v>
      </c>
      <c r="Z3274" s="45" t="str">
        <f>IFERROR(VLOOKUP(B3274,'Pre-Summary'!$BZ$6:$CB$63,2,FALSE),"")</f>
        <v/>
      </c>
      <c r="AA3274" s="45" t="str">
        <f>IFERROR(VLOOKUP(B3274,'Pre-Summary'!$CG$6:$CI$70,2,FALSE),"")</f>
        <v/>
      </c>
      <c r="AB3274" s="99">
        <f>IFERROR(VLOOKUP(B3274,'Pre-Summary'!$A$6:$P$178,9,FALSE),AB3275)</f>
        <v>0</v>
      </c>
      <c r="AC3274" s="10">
        <f>IFERROR(VLOOKUP(Summary!B3274,'Pre-Summary'!$A$6:$P$184,5, FALSE)/100,AC3275)</f>
        <v>0</v>
      </c>
      <c r="AD3274" s="10">
        <f>IFERROR(VLOOKUP(Summary!B3274,'Pre-Summary'!$A$6:$P$184,3, FALSE)/100,AD3275)</f>
        <v>0</v>
      </c>
      <c r="AE3274" s="10">
        <f>IFERROR(VLOOKUP(Summary!B3274,'Pre-Summary'!$A$6:$P$184,7, FALSE)/100,AE3275)</f>
        <v>0</v>
      </c>
      <c r="AF3274" s="99">
        <f t="shared" si="153"/>
        <v>0</v>
      </c>
      <c r="AG3274" s="99">
        <f t="shared" si="154"/>
        <v>0</v>
      </c>
      <c r="AH3274" s="10" t="str">
        <f>IFERROR(VLOOKUP(B3274,'Pre-Summary'!$AZ$6:$BE$65,3,FALSE),"")</f>
        <v/>
      </c>
      <c r="AI3274" s="10" t="str">
        <f>IFERROR(VLOOKUP(B3274,'Pre-Summary'!$AZ$6:$BE$65,5,FALSE),"")</f>
        <v/>
      </c>
      <c r="AJ3274" s="10" t="str">
        <f>IFERROR(VLOOKUP(B3274,'Pre-Summary'!$AZ$6:$BE$65,4,FALSE),"")</f>
        <v/>
      </c>
      <c r="AK3274" s="10" t="str">
        <f>IFERROR(VLOOKUP(B3274,'Pre-Summary'!$AZ$6:$BE$65,6,FALSE),"")</f>
        <v/>
      </c>
      <c r="AL3274" s="10" t="str">
        <f>IFERROR(VLOOKUP(B3274,'Pre-Summary'!$BG$6:$BL$44,3,FALSE),"")</f>
        <v/>
      </c>
      <c r="AM3274" s="10" t="str">
        <f>IFERROR(VLOOKUP(B3274,'Pre-Summary'!$BG$6:$BL$44,4,FALSE),"")</f>
        <v/>
      </c>
    </row>
    <row r="3275" spans="2:39" ht="15" customHeight="1" x14ac:dyDescent="0.3">
      <c r="B3275">
        <v>327.20000000000402</v>
      </c>
      <c r="D3275" s="10"/>
      <c r="E3275" s="10"/>
      <c r="F3275">
        <f>IFERROR(VLOOKUP(B3275,'Pre-Summary'!$AL$6:$AQ$13,6,FALSE),F3274)</f>
        <v>5.9405263157894746E-2</v>
      </c>
      <c r="M3275" s="45" t="str">
        <f>IFERROR(VLOOKUP(B3275,'Pre-Summary'!$BW$6:$BY$58,2,FALSE),"")</f>
        <v/>
      </c>
      <c r="N3275" s="45" t="str">
        <f>IFERROR(VLOOKUP(B3275,'Pre-Summary'!$CD$6:$CF$64,2,FALSE),"")</f>
        <v/>
      </c>
      <c r="O3275" s="99">
        <f>IFERROR(VLOOKUP(B3275,'Pre-Summary'!$BO$6:$BQ$48,3, FALSE),O3274)</f>
        <v>3.3239999999999998</v>
      </c>
      <c r="P3275" s="99">
        <f>IFERROR(VLOOKUP(B3275,'Pre-Summary'!$BS$6:$BU$35,3,FALSE),P3274)</f>
        <v>0.84099999999999997</v>
      </c>
      <c r="Q3275" s="54">
        <f t="shared" si="155"/>
        <v>3.9524375743162903</v>
      </c>
      <c r="R3275" s="53">
        <f>IFERROR(VLOOKUP(B3275,'Pre-Summary'!$BG$6:$BM$44,7,FALSE),R3276)</f>
        <v>0</v>
      </c>
      <c r="S3275" s="53" t="e">
        <f>VLOOKUP(B3275,'Pre-Summary'!$BG$6:$BM$44,6,FALSE)</f>
        <v>#N/A</v>
      </c>
      <c r="Z3275" s="45" t="str">
        <f>IFERROR(VLOOKUP(B3275,'Pre-Summary'!$BZ$6:$CB$63,2,FALSE),"")</f>
        <v/>
      </c>
      <c r="AA3275" s="45" t="str">
        <f>IFERROR(VLOOKUP(B3275,'Pre-Summary'!$CG$6:$CI$70,2,FALSE),"")</f>
        <v/>
      </c>
      <c r="AB3275" s="99">
        <f>IFERROR(VLOOKUP(B3275,'Pre-Summary'!$A$6:$P$178,9,FALSE),AB3276)</f>
        <v>0</v>
      </c>
      <c r="AC3275" s="10">
        <f>IFERROR(VLOOKUP(Summary!B3275,'Pre-Summary'!$A$6:$P$184,5, FALSE)/100,AC3276)</f>
        <v>0</v>
      </c>
      <c r="AD3275" s="10">
        <f>IFERROR(VLOOKUP(Summary!B3275,'Pre-Summary'!$A$6:$P$184,3, FALSE)/100,AD3276)</f>
        <v>0</v>
      </c>
      <c r="AE3275" s="10">
        <f>IFERROR(VLOOKUP(Summary!B3275,'Pre-Summary'!$A$6:$P$184,7, FALSE)/100,AE3276)</f>
        <v>0</v>
      </c>
      <c r="AF3275" s="99">
        <f t="shared" si="153"/>
        <v>0</v>
      </c>
      <c r="AG3275" s="99">
        <f t="shared" si="154"/>
        <v>0</v>
      </c>
      <c r="AH3275" s="10" t="str">
        <f>IFERROR(VLOOKUP(B3275,'Pre-Summary'!$AZ$6:$BE$65,3,FALSE),"")</f>
        <v/>
      </c>
      <c r="AI3275" s="10" t="str">
        <f>IFERROR(VLOOKUP(B3275,'Pre-Summary'!$AZ$6:$BE$65,5,FALSE),"")</f>
        <v/>
      </c>
      <c r="AJ3275" s="10" t="str">
        <f>IFERROR(VLOOKUP(B3275,'Pre-Summary'!$AZ$6:$BE$65,4,FALSE),"")</f>
        <v/>
      </c>
      <c r="AK3275" s="10" t="str">
        <f>IFERROR(VLOOKUP(B3275,'Pre-Summary'!$AZ$6:$BE$65,6,FALSE),"")</f>
        <v/>
      </c>
      <c r="AL3275" s="10" t="str">
        <f>IFERROR(VLOOKUP(B3275,'Pre-Summary'!$BG$6:$BL$44,3,FALSE),"")</f>
        <v/>
      </c>
      <c r="AM3275" s="10" t="str">
        <f>IFERROR(VLOOKUP(B3275,'Pre-Summary'!$BG$6:$BL$44,4,FALSE),"")</f>
        <v/>
      </c>
    </row>
    <row r="3276" spans="2:39" ht="15" customHeight="1" x14ac:dyDescent="0.3">
      <c r="B3276">
        <v>327.30000000000399</v>
      </c>
      <c r="D3276" s="10"/>
      <c r="E3276" s="10"/>
      <c r="F3276">
        <f>IFERROR(VLOOKUP(B3276,'Pre-Summary'!$AL$6:$AQ$13,6,FALSE),F3275)</f>
        <v>5.9405263157894746E-2</v>
      </c>
      <c r="M3276" s="45" t="str">
        <f>IFERROR(VLOOKUP(B3276,'Pre-Summary'!$BW$6:$BY$58,2,FALSE),"")</f>
        <v/>
      </c>
      <c r="N3276" s="45" t="str">
        <f>IFERROR(VLOOKUP(B3276,'Pre-Summary'!$CD$6:$CF$64,2,FALSE),"")</f>
        <v/>
      </c>
      <c r="O3276" s="99">
        <f>IFERROR(VLOOKUP(B3276,'Pre-Summary'!$BO$6:$BQ$48,3, FALSE),O3275)</f>
        <v>3.3239999999999998</v>
      </c>
      <c r="P3276" s="99">
        <f>IFERROR(VLOOKUP(B3276,'Pre-Summary'!$BS$6:$BU$35,3,FALSE),P3275)</f>
        <v>0.84099999999999997</v>
      </c>
      <c r="Q3276" s="54">
        <f t="shared" si="155"/>
        <v>3.9524375743162903</v>
      </c>
      <c r="R3276" s="53">
        <f>IFERROR(VLOOKUP(B3276,'Pre-Summary'!$BG$6:$BM$44,7,FALSE),R3277)</f>
        <v>0</v>
      </c>
      <c r="S3276" s="53" t="e">
        <f>VLOOKUP(B3276,'Pre-Summary'!$BG$6:$BM$44,6,FALSE)</f>
        <v>#N/A</v>
      </c>
      <c r="Z3276" s="45" t="str">
        <f>IFERROR(VLOOKUP(B3276,'Pre-Summary'!$BZ$6:$CB$63,2,FALSE),"")</f>
        <v/>
      </c>
      <c r="AA3276" s="45" t="str">
        <f>IFERROR(VLOOKUP(B3276,'Pre-Summary'!$CG$6:$CI$70,2,FALSE),"")</f>
        <v/>
      </c>
      <c r="AB3276" s="99">
        <f>IFERROR(VLOOKUP(B3276,'Pre-Summary'!$A$6:$P$178,9,FALSE),AB3277)</f>
        <v>0</v>
      </c>
      <c r="AC3276" s="10">
        <f>IFERROR(VLOOKUP(Summary!B3276,'Pre-Summary'!$A$6:$P$184,5, FALSE)/100,AC3277)</f>
        <v>0</v>
      </c>
      <c r="AD3276" s="10">
        <f>IFERROR(VLOOKUP(Summary!B3276,'Pre-Summary'!$A$6:$P$184,3, FALSE)/100,AD3277)</f>
        <v>0</v>
      </c>
      <c r="AE3276" s="10">
        <f>IFERROR(VLOOKUP(Summary!B3276,'Pre-Summary'!$A$6:$P$184,7, FALSE)/100,AE3277)</f>
        <v>0</v>
      </c>
      <c r="AF3276" s="99">
        <f t="shared" si="153"/>
        <v>0</v>
      </c>
      <c r="AG3276" s="99">
        <f t="shared" si="154"/>
        <v>0</v>
      </c>
      <c r="AH3276" s="10" t="str">
        <f>IFERROR(VLOOKUP(B3276,'Pre-Summary'!$AZ$6:$BE$65,3,FALSE),"")</f>
        <v/>
      </c>
      <c r="AI3276" s="10" t="str">
        <f>IFERROR(VLOOKUP(B3276,'Pre-Summary'!$AZ$6:$BE$65,5,FALSE),"")</f>
        <v/>
      </c>
      <c r="AJ3276" s="10" t="str">
        <f>IFERROR(VLOOKUP(B3276,'Pre-Summary'!$AZ$6:$BE$65,4,FALSE),"")</f>
        <v/>
      </c>
      <c r="AK3276" s="10" t="str">
        <f>IFERROR(VLOOKUP(B3276,'Pre-Summary'!$AZ$6:$BE$65,6,FALSE),"")</f>
        <v/>
      </c>
      <c r="AL3276" s="10" t="str">
        <f>IFERROR(VLOOKUP(B3276,'Pre-Summary'!$BG$6:$BL$44,3,FALSE),"")</f>
        <v/>
      </c>
      <c r="AM3276" s="10" t="str">
        <f>IFERROR(VLOOKUP(B3276,'Pre-Summary'!$BG$6:$BL$44,4,FALSE),"")</f>
        <v/>
      </c>
    </row>
    <row r="3277" spans="2:39" ht="15" customHeight="1" x14ac:dyDescent="0.3">
      <c r="B3277">
        <v>327.40000000000401</v>
      </c>
      <c r="D3277" s="10"/>
      <c r="E3277" s="10"/>
      <c r="F3277">
        <f>IFERROR(VLOOKUP(B3277,'Pre-Summary'!$AL$6:$AQ$13,6,FALSE),F3276)</f>
        <v>5.9405263157894746E-2</v>
      </c>
      <c r="M3277" s="45" t="str">
        <f>IFERROR(VLOOKUP(B3277,'Pre-Summary'!$BW$6:$BY$58,2,FALSE),"")</f>
        <v/>
      </c>
      <c r="N3277" s="45" t="str">
        <f>IFERROR(VLOOKUP(B3277,'Pre-Summary'!$CD$6:$CF$64,2,FALSE),"")</f>
        <v/>
      </c>
      <c r="O3277" s="99">
        <f>IFERROR(VLOOKUP(B3277,'Pre-Summary'!$BO$6:$BQ$48,3, FALSE),O3276)</f>
        <v>3.3239999999999998</v>
      </c>
      <c r="P3277" s="99">
        <f>IFERROR(VLOOKUP(B3277,'Pre-Summary'!$BS$6:$BU$35,3,FALSE),P3276)</f>
        <v>0.84099999999999997</v>
      </c>
      <c r="Q3277" s="54">
        <f t="shared" si="155"/>
        <v>3.9524375743162903</v>
      </c>
      <c r="R3277" s="53">
        <f>IFERROR(VLOOKUP(B3277,'Pre-Summary'!$BG$6:$BM$44,7,FALSE),R3278)</f>
        <v>0</v>
      </c>
      <c r="S3277" s="53" t="e">
        <f>VLOOKUP(B3277,'Pre-Summary'!$BG$6:$BM$44,6,FALSE)</f>
        <v>#N/A</v>
      </c>
      <c r="Z3277" s="45" t="str">
        <f>IFERROR(VLOOKUP(B3277,'Pre-Summary'!$BZ$6:$CB$63,2,FALSE),"")</f>
        <v/>
      </c>
      <c r="AA3277" s="45" t="str">
        <f>IFERROR(VLOOKUP(B3277,'Pre-Summary'!$CG$6:$CI$70,2,FALSE),"")</f>
        <v/>
      </c>
      <c r="AB3277" s="99">
        <f>IFERROR(VLOOKUP(B3277,'Pre-Summary'!$A$6:$P$178,9,FALSE),AB3278)</f>
        <v>0</v>
      </c>
      <c r="AC3277" s="10">
        <f>IFERROR(VLOOKUP(Summary!B3277,'Pre-Summary'!$A$6:$P$184,5, FALSE)/100,AC3278)</f>
        <v>0</v>
      </c>
      <c r="AD3277" s="10">
        <f>IFERROR(VLOOKUP(Summary!B3277,'Pre-Summary'!$A$6:$P$184,3, FALSE)/100,AD3278)</f>
        <v>0</v>
      </c>
      <c r="AE3277" s="10">
        <f>IFERROR(VLOOKUP(Summary!B3277,'Pre-Summary'!$A$6:$P$184,7, FALSE)/100,AE3278)</f>
        <v>0</v>
      </c>
      <c r="AF3277" s="99">
        <f t="shared" si="153"/>
        <v>0</v>
      </c>
      <c r="AG3277" s="99">
        <f t="shared" si="154"/>
        <v>0</v>
      </c>
      <c r="AH3277" s="10" t="str">
        <f>IFERROR(VLOOKUP(B3277,'Pre-Summary'!$AZ$6:$BE$65,3,FALSE),"")</f>
        <v/>
      </c>
      <c r="AI3277" s="10" t="str">
        <f>IFERROR(VLOOKUP(B3277,'Pre-Summary'!$AZ$6:$BE$65,5,FALSE),"")</f>
        <v/>
      </c>
      <c r="AJ3277" s="10" t="str">
        <f>IFERROR(VLOOKUP(B3277,'Pre-Summary'!$AZ$6:$BE$65,4,FALSE),"")</f>
        <v/>
      </c>
      <c r="AK3277" s="10" t="str">
        <f>IFERROR(VLOOKUP(B3277,'Pre-Summary'!$AZ$6:$BE$65,6,FALSE),"")</f>
        <v/>
      </c>
      <c r="AL3277" s="10" t="str">
        <f>IFERROR(VLOOKUP(B3277,'Pre-Summary'!$BG$6:$BL$44,3,FALSE),"")</f>
        <v/>
      </c>
      <c r="AM3277" s="10" t="str">
        <f>IFERROR(VLOOKUP(B3277,'Pre-Summary'!$BG$6:$BL$44,4,FALSE),"")</f>
        <v/>
      </c>
    </row>
    <row r="3278" spans="2:39" ht="15" customHeight="1" x14ac:dyDescent="0.3">
      <c r="B3278">
        <v>327.50000000000398</v>
      </c>
      <c r="D3278" s="10"/>
      <c r="E3278" s="10"/>
      <c r="F3278">
        <f>IFERROR(VLOOKUP(B3278,'Pre-Summary'!$AL$6:$AQ$13,6,FALSE),F3277)</f>
        <v>5.9405263157894746E-2</v>
      </c>
      <c r="M3278" s="45" t="str">
        <f>IFERROR(VLOOKUP(B3278,'Pre-Summary'!$BW$6:$BY$58,2,FALSE),"")</f>
        <v/>
      </c>
      <c r="N3278" s="45" t="str">
        <f>IFERROR(VLOOKUP(B3278,'Pre-Summary'!$CD$6:$CF$64,2,FALSE),"")</f>
        <v/>
      </c>
      <c r="O3278" s="99">
        <f>IFERROR(VLOOKUP(B3278,'Pre-Summary'!$BO$6:$BQ$48,3, FALSE),O3277)</f>
        <v>3.3239999999999998</v>
      </c>
      <c r="P3278" s="99">
        <f>IFERROR(VLOOKUP(B3278,'Pre-Summary'!$BS$6:$BU$35,3,FALSE),P3277)</f>
        <v>0.84099999999999997</v>
      </c>
      <c r="Q3278" s="54">
        <f t="shared" si="155"/>
        <v>3.9524375743162903</v>
      </c>
      <c r="R3278" s="53">
        <f>IFERROR(VLOOKUP(B3278,'Pre-Summary'!$BG$6:$BM$44,7,FALSE),R3279)</f>
        <v>0</v>
      </c>
      <c r="S3278" s="53" t="e">
        <f>VLOOKUP(B3278,'Pre-Summary'!$BG$6:$BM$44,6,FALSE)</f>
        <v>#N/A</v>
      </c>
      <c r="Z3278" s="45" t="str">
        <f>IFERROR(VLOOKUP(B3278,'Pre-Summary'!$BZ$6:$CB$63,2,FALSE),"")</f>
        <v/>
      </c>
      <c r="AA3278" s="45" t="str">
        <f>IFERROR(VLOOKUP(B3278,'Pre-Summary'!$CG$6:$CI$70,2,FALSE),"")</f>
        <v/>
      </c>
      <c r="AB3278" s="99">
        <f>IFERROR(VLOOKUP(B3278,'Pre-Summary'!$A$6:$P$178,9,FALSE),AB3279)</f>
        <v>0</v>
      </c>
      <c r="AC3278" s="10">
        <f>IFERROR(VLOOKUP(Summary!B3278,'Pre-Summary'!$A$6:$P$184,5, FALSE)/100,AC3279)</f>
        <v>0</v>
      </c>
      <c r="AD3278" s="10">
        <f>IFERROR(VLOOKUP(Summary!B3278,'Pre-Summary'!$A$6:$P$184,3, FALSE)/100,AD3279)</f>
        <v>0</v>
      </c>
      <c r="AE3278" s="10">
        <f>IFERROR(VLOOKUP(Summary!B3278,'Pre-Summary'!$A$6:$P$184,7, FALSE)/100,AE3279)</f>
        <v>0</v>
      </c>
      <c r="AF3278" s="99">
        <f t="shared" si="153"/>
        <v>0</v>
      </c>
      <c r="AG3278" s="99">
        <f t="shared" si="154"/>
        <v>0</v>
      </c>
      <c r="AH3278" s="10" t="str">
        <f>IFERROR(VLOOKUP(B3278,'Pre-Summary'!$AZ$6:$BE$65,3,FALSE),"")</f>
        <v/>
      </c>
      <c r="AI3278" s="10" t="str">
        <f>IFERROR(VLOOKUP(B3278,'Pre-Summary'!$AZ$6:$BE$65,5,FALSE),"")</f>
        <v/>
      </c>
      <c r="AJ3278" s="10" t="str">
        <f>IFERROR(VLOOKUP(B3278,'Pre-Summary'!$AZ$6:$BE$65,4,FALSE),"")</f>
        <v/>
      </c>
      <c r="AK3278" s="10" t="str">
        <f>IFERROR(VLOOKUP(B3278,'Pre-Summary'!$AZ$6:$BE$65,6,FALSE),"")</f>
        <v/>
      </c>
      <c r="AL3278" s="10" t="str">
        <f>IFERROR(VLOOKUP(B3278,'Pre-Summary'!$BG$6:$BL$44,3,FALSE),"")</f>
        <v/>
      </c>
      <c r="AM3278" s="10" t="str">
        <f>IFERROR(VLOOKUP(B3278,'Pre-Summary'!$BG$6:$BL$44,4,FALSE),"")</f>
        <v/>
      </c>
    </row>
    <row r="3279" spans="2:39" ht="15" customHeight="1" x14ac:dyDescent="0.3">
      <c r="B3279">
        <v>327.600000000004</v>
      </c>
      <c r="D3279" s="10"/>
      <c r="E3279" s="10"/>
      <c r="F3279">
        <f>IFERROR(VLOOKUP(B3279,'Pre-Summary'!$AL$6:$AQ$13,6,FALSE),F3278)</f>
        <v>5.9405263157894746E-2</v>
      </c>
      <c r="M3279" s="45" t="str">
        <f>IFERROR(VLOOKUP(B3279,'Pre-Summary'!$BW$6:$BY$58,2,FALSE),"")</f>
        <v/>
      </c>
      <c r="N3279" s="45" t="str">
        <f>IFERROR(VLOOKUP(B3279,'Pre-Summary'!$CD$6:$CF$64,2,FALSE),"")</f>
        <v/>
      </c>
      <c r="O3279" s="99">
        <f>IFERROR(VLOOKUP(B3279,'Pre-Summary'!$BO$6:$BQ$48,3, FALSE),O3278)</f>
        <v>3.3239999999999998</v>
      </c>
      <c r="P3279" s="99">
        <f>IFERROR(VLOOKUP(B3279,'Pre-Summary'!$BS$6:$BU$35,3,FALSE),P3278)</f>
        <v>0.84099999999999997</v>
      </c>
      <c r="Q3279" s="54">
        <f t="shared" si="155"/>
        <v>3.9524375743162903</v>
      </c>
      <c r="R3279" s="53">
        <f>IFERROR(VLOOKUP(B3279,'Pre-Summary'!$BG$6:$BM$44,7,FALSE),R3280)</f>
        <v>0</v>
      </c>
      <c r="S3279" s="53" t="e">
        <f>VLOOKUP(B3279,'Pre-Summary'!$BG$6:$BM$44,6,FALSE)</f>
        <v>#N/A</v>
      </c>
      <c r="Z3279" s="45" t="str">
        <f>IFERROR(VLOOKUP(B3279,'Pre-Summary'!$BZ$6:$CB$63,2,FALSE),"")</f>
        <v/>
      </c>
      <c r="AA3279" s="45" t="str">
        <f>IFERROR(VLOOKUP(B3279,'Pre-Summary'!$CG$6:$CI$70,2,FALSE),"")</f>
        <v/>
      </c>
      <c r="AB3279" s="99">
        <f>IFERROR(VLOOKUP(B3279,'Pre-Summary'!$A$6:$P$178,9,FALSE),AB3280)</f>
        <v>0</v>
      </c>
      <c r="AC3279" s="10">
        <f>IFERROR(VLOOKUP(Summary!B3279,'Pre-Summary'!$A$6:$P$184,5, FALSE)/100,AC3280)</f>
        <v>0</v>
      </c>
      <c r="AD3279" s="10">
        <f>IFERROR(VLOOKUP(Summary!B3279,'Pre-Summary'!$A$6:$P$184,3, FALSE)/100,AD3280)</f>
        <v>0</v>
      </c>
      <c r="AE3279" s="10">
        <f>IFERROR(VLOOKUP(Summary!B3279,'Pre-Summary'!$A$6:$P$184,7, FALSE)/100,AE3280)</f>
        <v>0</v>
      </c>
      <c r="AF3279" s="99">
        <f t="shared" si="153"/>
        <v>0</v>
      </c>
      <c r="AG3279" s="99">
        <f t="shared" si="154"/>
        <v>0</v>
      </c>
      <c r="AH3279" s="10" t="str">
        <f>IFERROR(VLOOKUP(B3279,'Pre-Summary'!$AZ$6:$BE$65,3,FALSE),"")</f>
        <v/>
      </c>
      <c r="AI3279" s="10" t="str">
        <f>IFERROR(VLOOKUP(B3279,'Pre-Summary'!$AZ$6:$BE$65,5,FALSE),"")</f>
        <v/>
      </c>
      <c r="AJ3279" s="10" t="str">
        <f>IFERROR(VLOOKUP(B3279,'Pre-Summary'!$AZ$6:$BE$65,4,FALSE),"")</f>
        <v/>
      </c>
      <c r="AK3279" s="10" t="str">
        <f>IFERROR(VLOOKUP(B3279,'Pre-Summary'!$AZ$6:$BE$65,6,FALSE),"")</f>
        <v/>
      </c>
      <c r="AL3279" s="10" t="str">
        <f>IFERROR(VLOOKUP(B3279,'Pre-Summary'!$BG$6:$BL$44,3,FALSE),"")</f>
        <v/>
      </c>
      <c r="AM3279" s="10" t="str">
        <f>IFERROR(VLOOKUP(B3279,'Pre-Summary'!$BG$6:$BL$44,4,FALSE),"")</f>
        <v/>
      </c>
    </row>
    <row r="3280" spans="2:39" ht="15" customHeight="1" x14ac:dyDescent="0.3">
      <c r="B3280">
        <v>327.70000000000402</v>
      </c>
      <c r="D3280" s="10"/>
      <c r="E3280" s="10"/>
      <c r="F3280">
        <f>IFERROR(VLOOKUP(B3280,'Pre-Summary'!$AL$6:$AQ$13,6,FALSE),F3279)</f>
        <v>5.9405263157894746E-2</v>
      </c>
      <c r="M3280" s="45" t="str">
        <f>IFERROR(VLOOKUP(B3280,'Pre-Summary'!$BW$6:$BY$58,2,FALSE),"")</f>
        <v/>
      </c>
      <c r="N3280" s="45" t="str">
        <f>IFERROR(VLOOKUP(B3280,'Pre-Summary'!$CD$6:$CF$64,2,FALSE),"")</f>
        <v/>
      </c>
      <c r="O3280" s="99">
        <f>IFERROR(VLOOKUP(B3280,'Pre-Summary'!$BO$6:$BQ$48,3, FALSE),O3279)</f>
        <v>3.3239999999999998</v>
      </c>
      <c r="P3280" s="99">
        <f>IFERROR(VLOOKUP(B3280,'Pre-Summary'!$BS$6:$BU$35,3,FALSE),P3279)</f>
        <v>0.84099999999999997</v>
      </c>
      <c r="Q3280" s="54">
        <f t="shared" si="155"/>
        <v>3.9524375743162903</v>
      </c>
      <c r="R3280" s="53">
        <f>IFERROR(VLOOKUP(B3280,'Pre-Summary'!$BG$6:$BM$44,7,FALSE),R3281)</f>
        <v>0</v>
      </c>
      <c r="S3280" s="53" t="e">
        <f>VLOOKUP(B3280,'Pre-Summary'!$BG$6:$BM$44,6,FALSE)</f>
        <v>#N/A</v>
      </c>
      <c r="Z3280" s="45" t="str">
        <f>IFERROR(VLOOKUP(B3280,'Pre-Summary'!$BZ$6:$CB$63,2,FALSE),"")</f>
        <v/>
      </c>
      <c r="AA3280" s="45" t="str">
        <f>IFERROR(VLOOKUP(B3280,'Pre-Summary'!$CG$6:$CI$70,2,FALSE),"")</f>
        <v/>
      </c>
      <c r="AB3280" s="99">
        <f>IFERROR(VLOOKUP(B3280,'Pre-Summary'!$A$6:$P$178,9,FALSE),AB3281)</f>
        <v>0</v>
      </c>
      <c r="AC3280" s="10">
        <f>IFERROR(VLOOKUP(Summary!B3280,'Pre-Summary'!$A$6:$P$184,5, FALSE)/100,AC3281)</f>
        <v>0</v>
      </c>
      <c r="AD3280" s="10">
        <f>IFERROR(VLOOKUP(Summary!B3280,'Pre-Summary'!$A$6:$P$184,3, FALSE)/100,AD3281)</f>
        <v>0</v>
      </c>
      <c r="AE3280" s="10">
        <f>IFERROR(VLOOKUP(Summary!B3280,'Pre-Summary'!$A$6:$P$184,7, FALSE)/100,AE3281)</f>
        <v>0</v>
      </c>
      <c r="AF3280" s="99">
        <f t="shared" si="153"/>
        <v>0</v>
      </c>
      <c r="AG3280" s="99">
        <f t="shared" si="154"/>
        <v>0</v>
      </c>
      <c r="AH3280" s="10" t="str">
        <f>IFERROR(VLOOKUP(B3280,'Pre-Summary'!$AZ$6:$BE$65,3,FALSE),"")</f>
        <v/>
      </c>
      <c r="AI3280" s="10" t="str">
        <f>IFERROR(VLOOKUP(B3280,'Pre-Summary'!$AZ$6:$BE$65,5,FALSE),"")</f>
        <v/>
      </c>
      <c r="AJ3280" s="10" t="str">
        <f>IFERROR(VLOOKUP(B3280,'Pre-Summary'!$AZ$6:$BE$65,4,FALSE),"")</f>
        <v/>
      </c>
      <c r="AK3280" s="10" t="str">
        <f>IFERROR(VLOOKUP(B3280,'Pre-Summary'!$AZ$6:$BE$65,6,FALSE),"")</f>
        <v/>
      </c>
      <c r="AL3280" s="10" t="str">
        <f>IFERROR(VLOOKUP(B3280,'Pre-Summary'!$BG$6:$BL$44,3,FALSE),"")</f>
        <v/>
      </c>
      <c r="AM3280" s="10" t="str">
        <f>IFERROR(VLOOKUP(B3280,'Pre-Summary'!$BG$6:$BL$44,4,FALSE),"")</f>
        <v/>
      </c>
    </row>
    <row r="3281" spans="2:39" ht="15" customHeight="1" x14ac:dyDescent="0.3">
      <c r="B3281">
        <v>327.80000000000399</v>
      </c>
      <c r="D3281" s="10"/>
      <c r="E3281" s="10"/>
      <c r="F3281">
        <f>IFERROR(VLOOKUP(B3281,'Pre-Summary'!$AL$6:$AQ$13,6,FALSE),F3280)</f>
        <v>5.9405263157894746E-2</v>
      </c>
      <c r="M3281" s="45" t="str">
        <f>IFERROR(VLOOKUP(B3281,'Pre-Summary'!$BW$6:$BY$58,2,FALSE),"")</f>
        <v/>
      </c>
      <c r="N3281" s="45" t="str">
        <f>IFERROR(VLOOKUP(B3281,'Pre-Summary'!$CD$6:$CF$64,2,FALSE),"")</f>
        <v/>
      </c>
      <c r="O3281" s="99">
        <f>IFERROR(VLOOKUP(B3281,'Pre-Summary'!$BO$6:$BQ$48,3, FALSE),O3280)</f>
        <v>3.3239999999999998</v>
      </c>
      <c r="P3281" s="99">
        <f>IFERROR(VLOOKUP(B3281,'Pre-Summary'!$BS$6:$BU$35,3,FALSE),P3280)</f>
        <v>0.84099999999999997</v>
      </c>
      <c r="Q3281" s="54">
        <f t="shared" si="155"/>
        <v>3.9524375743162903</v>
      </c>
      <c r="R3281" s="53">
        <f>IFERROR(VLOOKUP(B3281,'Pre-Summary'!$BG$6:$BM$44,7,FALSE),R3282)</f>
        <v>0</v>
      </c>
      <c r="S3281" s="53" t="e">
        <f>VLOOKUP(B3281,'Pre-Summary'!$BG$6:$BM$44,6,FALSE)</f>
        <v>#N/A</v>
      </c>
      <c r="Z3281" s="45" t="str">
        <f>IFERROR(VLOOKUP(B3281,'Pre-Summary'!$BZ$6:$CB$63,2,FALSE),"")</f>
        <v/>
      </c>
      <c r="AA3281" s="45" t="str">
        <f>IFERROR(VLOOKUP(B3281,'Pre-Summary'!$CG$6:$CI$70,2,FALSE),"")</f>
        <v/>
      </c>
      <c r="AB3281" s="99">
        <f>IFERROR(VLOOKUP(B3281,'Pre-Summary'!$A$6:$P$178,9,FALSE),AB3282)</f>
        <v>0</v>
      </c>
      <c r="AC3281" s="10">
        <f>IFERROR(VLOOKUP(Summary!B3281,'Pre-Summary'!$A$6:$P$184,5, FALSE)/100,AC3282)</f>
        <v>0</v>
      </c>
      <c r="AD3281" s="10">
        <f>IFERROR(VLOOKUP(Summary!B3281,'Pre-Summary'!$A$6:$P$184,3, FALSE)/100,AD3282)</f>
        <v>0</v>
      </c>
      <c r="AE3281" s="10">
        <f>IFERROR(VLOOKUP(Summary!B3281,'Pre-Summary'!$A$6:$P$184,7, FALSE)/100,AE3282)</f>
        <v>0</v>
      </c>
      <c r="AF3281" s="99">
        <f t="shared" si="153"/>
        <v>0</v>
      </c>
      <c r="AG3281" s="99">
        <f t="shared" si="154"/>
        <v>0</v>
      </c>
      <c r="AH3281" s="10" t="str">
        <f>IFERROR(VLOOKUP(B3281,'Pre-Summary'!$AZ$6:$BE$65,3,FALSE),"")</f>
        <v/>
      </c>
      <c r="AI3281" s="10" t="str">
        <f>IFERROR(VLOOKUP(B3281,'Pre-Summary'!$AZ$6:$BE$65,5,FALSE),"")</f>
        <v/>
      </c>
      <c r="AJ3281" s="10" t="str">
        <f>IFERROR(VLOOKUP(B3281,'Pre-Summary'!$AZ$6:$BE$65,4,FALSE),"")</f>
        <v/>
      </c>
      <c r="AK3281" s="10" t="str">
        <f>IFERROR(VLOOKUP(B3281,'Pre-Summary'!$AZ$6:$BE$65,6,FALSE),"")</f>
        <v/>
      </c>
      <c r="AL3281" s="10" t="str">
        <f>IFERROR(VLOOKUP(B3281,'Pre-Summary'!$BG$6:$BL$44,3,FALSE),"")</f>
        <v/>
      </c>
      <c r="AM3281" s="10" t="str">
        <f>IFERROR(VLOOKUP(B3281,'Pre-Summary'!$BG$6:$BL$44,4,FALSE),"")</f>
        <v/>
      </c>
    </row>
    <row r="3282" spans="2:39" ht="15" customHeight="1" x14ac:dyDescent="0.3">
      <c r="B3282">
        <v>327.90000000000401</v>
      </c>
      <c r="D3282" s="10"/>
      <c r="E3282" s="10"/>
      <c r="F3282">
        <f>IFERROR(VLOOKUP(B3282,'Pre-Summary'!$AL$6:$AQ$13,6,FALSE),F3281)</f>
        <v>5.9405263157894746E-2</v>
      </c>
      <c r="M3282" s="45" t="str">
        <f>IFERROR(VLOOKUP(B3282,'Pre-Summary'!$BW$6:$BY$58,2,FALSE),"")</f>
        <v/>
      </c>
      <c r="N3282" s="45" t="str">
        <f>IFERROR(VLOOKUP(B3282,'Pre-Summary'!$CD$6:$CF$64,2,FALSE),"")</f>
        <v/>
      </c>
      <c r="O3282" s="99">
        <f>IFERROR(VLOOKUP(B3282,'Pre-Summary'!$BO$6:$BQ$48,3, FALSE),O3281)</f>
        <v>3.3239999999999998</v>
      </c>
      <c r="P3282" s="99">
        <f>IFERROR(VLOOKUP(B3282,'Pre-Summary'!$BS$6:$BU$35,3,FALSE),P3281)</f>
        <v>0.84099999999999997</v>
      </c>
      <c r="Q3282" s="54">
        <f t="shared" si="155"/>
        <v>3.9524375743162903</v>
      </c>
      <c r="R3282" s="53">
        <f>IFERROR(VLOOKUP(B3282,'Pre-Summary'!$BG$6:$BM$44,7,FALSE),R3283)</f>
        <v>0</v>
      </c>
      <c r="S3282" s="53" t="e">
        <f>VLOOKUP(B3282,'Pre-Summary'!$BG$6:$BM$44,6,FALSE)</f>
        <v>#N/A</v>
      </c>
      <c r="Z3282" s="45" t="str">
        <f>IFERROR(VLOOKUP(B3282,'Pre-Summary'!$BZ$6:$CB$63,2,FALSE),"")</f>
        <v/>
      </c>
      <c r="AA3282" s="45" t="str">
        <f>IFERROR(VLOOKUP(B3282,'Pre-Summary'!$CG$6:$CI$70,2,FALSE),"")</f>
        <v/>
      </c>
      <c r="AB3282" s="99">
        <f>IFERROR(VLOOKUP(B3282,'Pre-Summary'!$A$6:$P$178,9,FALSE),AB3283)</f>
        <v>0</v>
      </c>
      <c r="AC3282" s="10">
        <f>IFERROR(VLOOKUP(Summary!B3282,'Pre-Summary'!$A$6:$P$184,5, FALSE)/100,AC3283)</f>
        <v>0</v>
      </c>
      <c r="AD3282" s="10">
        <f>IFERROR(VLOOKUP(Summary!B3282,'Pre-Summary'!$A$6:$P$184,3, FALSE)/100,AD3283)</f>
        <v>0</v>
      </c>
      <c r="AE3282" s="10">
        <f>IFERROR(VLOOKUP(Summary!B3282,'Pre-Summary'!$A$6:$P$184,7, FALSE)/100,AE3283)</f>
        <v>0</v>
      </c>
      <c r="AF3282" s="99">
        <f t="shared" si="153"/>
        <v>0</v>
      </c>
      <c r="AG3282" s="99">
        <f t="shared" si="154"/>
        <v>0</v>
      </c>
      <c r="AH3282" s="10" t="str">
        <f>IFERROR(VLOOKUP(B3282,'Pre-Summary'!$AZ$6:$BE$65,3,FALSE),"")</f>
        <v/>
      </c>
      <c r="AI3282" s="10" t="str">
        <f>IFERROR(VLOOKUP(B3282,'Pre-Summary'!$AZ$6:$BE$65,5,FALSE),"")</f>
        <v/>
      </c>
      <c r="AJ3282" s="10" t="str">
        <f>IFERROR(VLOOKUP(B3282,'Pre-Summary'!$AZ$6:$BE$65,4,FALSE),"")</f>
        <v/>
      </c>
      <c r="AK3282" s="10" t="str">
        <f>IFERROR(VLOOKUP(B3282,'Pre-Summary'!$AZ$6:$BE$65,6,FALSE),"")</f>
        <v/>
      </c>
      <c r="AL3282" s="10" t="str">
        <f>IFERROR(VLOOKUP(B3282,'Pre-Summary'!$BG$6:$BL$44,3,FALSE),"")</f>
        <v/>
      </c>
      <c r="AM3282" s="10" t="str">
        <f>IFERROR(VLOOKUP(B3282,'Pre-Summary'!$BG$6:$BL$44,4,FALSE),"")</f>
        <v/>
      </c>
    </row>
    <row r="3283" spans="2:39" ht="15" customHeight="1" x14ac:dyDescent="0.3">
      <c r="B3283">
        <v>328.00000000000398</v>
      </c>
      <c r="D3283" s="10"/>
      <c r="E3283" s="10"/>
      <c r="F3283">
        <f>IFERROR(VLOOKUP(B3283,'Pre-Summary'!$AL$6:$AQ$13,6,FALSE),F3282)</f>
        <v>5.9405263157894746E-2</v>
      </c>
      <c r="M3283" s="45" t="str">
        <f>IFERROR(VLOOKUP(B3283,'Pre-Summary'!$BW$6:$BY$58,2,FALSE),"")</f>
        <v/>
      </c>
      <c r="N3283" s="45" t="str">
        <f>IFERROR(VLOOKUP(B3283,'Pre-Summary'!$CD$6:$CF$64,2,FALSE),"")</f>
        <v/>
      </c>
      <c r="O3283" s="99">
        <f>IFERROR(VLOOKUP(B3283,'Pre-Summary'!$BO$6:$BQ$48,3, FALSE),O3282)</f>
        <v>3.3239999999999998</v>
      </c>
      <c r="P3283" s="99">
        <f>IFERROR(VLOOKUP(B3283,'Pre-Summary'!$BS$6:$BU$35,3,FALSE),P3282)</f>
        <v>0.84099999999999997</v>
      </c>
      <c r="Q3283" s="54">
        <f t="shared" si="155"/>
        <v>3.9524375743162903</v>
      </c>
      <c r="R3283" s="53">
        <f>IFERROR(VLOOKUP(B3283,'Pre-Summary'!$BG$6:$BM$44,7,FALSE),R3284)</f>
        <v>0</v>
      </c>
      <c r="S3283" s="53" t="e">
        <f>VLOOKUP(B3283,'Pre-Summary'!$BG$6:$BM$44,6,FALSE)</f>
        <v>#N/A</v>
      </c>
      <c r="Z3283" s="45" t="str">
        <f>IFERROR(VLOOKUP(B3283,'Pre-Summary'!$BZ$6:$CB$63,2,FALSE),"")</f>
        <v/>
      </c>
      <c r="AA3283" s="45" t="str">
        <f>IFERROR(VLOOKUP(B3283,'Pre-Summary'!$CG$6:$CI$70,2,FALSE),"")</f>
        <v/>
      </c>
      <c r="AB3283" s="99">
        <f>IFERROR(VLOOKUP(B3283,'Pre-Summary'!$A$6:$P$178,9,FALSE),AB3284)</f>
        <v>0</v>
      </c>
      <c r="AC3283" s="10">
        <f>IFERROR(VLOOKUP(Summary!B3283,'Pre-Summary'!$A$6:$P$184,5, FALSE)/100,AC3284)</f>
        <v>0</v>
      </c>
      <c r="AD3283" s="10">
        <f>IFERROR(VLOOKUP(Summary!B3283,'Pre-Summary'!$A$6:$P$184,3, FALSE)/100,AD3284)</f>
        <v>0</v>
      </c>
      <c r="AE3283" s="10">
        <f>IFERROR(VLOOKUP(Summary!B3283,'Pre-Summary'!$A$6:$P$184,7, FALSE)/100,AE3284)</f>
        <v>0</v>
      </c>
      <c r="AF3283" s="99">
        <f t="shared" si="153"/>
        <v>0</v>
      </c>
      <c r="AG3283" s="99">
        <f t="shared" si="154"/>
        <v>0</v>
      </c>
      <c r="AH3283" s="10" t="str">
        <f>IFERROR(VLOOKUP(B3283,'Pre-Summary'!$AZ$6:$BE$65,3,FALSE),"")</f>
        <v/>
      </c>
      <c r="AI3283" s="10" t="str">
        <f>IFERROR(VLOOKUP(B3283,'Pre-Summary'!$AZ$6:$BE$65,5,FALSE),"")</f>
        <v/>
      </c>
      <c r="AJ3283" s="10" t="str">
        <f>IFERROR(VLOOKUP(B3283,'Pre-Summary'!$AZ$6:$BE$65,4,FALSE),"")</f>
        <v/>
      </c>
      <c r="AK3283" s="10" t="str">
        <f>IFERROR(VLOOKUP(B3283,'Pre-Summary'!$AZ$6:$BE$65,6,FALSE),"")</f>
        <v/>
      </c>
      <c r="AL3283" s="10" t="str">
        <f>IFERROR(VLOOKUP(B3283,'Pre-Summary'!$BG$6:$BL$44,3,FALSE),"")</f>
        <v/>
      </c>
      <c r="AM3283" s="10" t="str">
        <f>IFERROR(VLOOKUP(B3283,'Pre-Summary'!$BG$6:$BL$44,4,FALSE),"")</f>
        <v/>
      </c>
    </row>
    <row r="3284" spans="2:39" ht="15" customHeight="1" x14ac:dyDescent="0.3">
      <c r="B3284">
        <v>328.100000000004</v>
      </c>
      <c r="D3284" s="10"/>
      <c r="E3284" s="10"/>
      <c r="F3284">
        <f>IFERROR(VLOOKUP(B3284,'Pre-Summary'!$AL$6:$AQ$13,6,FALSE),F3283)</f>
        <v>5.9405263157894746E-2</v>
      </c>
      <c r="M3284" s="45" t="str">
        <f>IFERROR(VLOOKUP(B3284,'Pre-Summary'!$BW$6:$BY$58,2,FALSE),"")</f>
        <v/>
      </c>
      <c r="N3284" s="45" t="str">
        <f>IFERROR(VLOOKUP(B3284,'Pre-Summary'!$CD$6:$CF$64,2,FALSE),"")</f>
        <v/>
      </c>
      <c r="O3284" s="99">
        <f>IFERROR(VLOOKUP(B3284,'Pre-Summary'!$BO$6:$BQ$48,3, FALSE),O3283)</f>
        <v>3.3239999999999998</v>
      </c>
      <c r="P3284" s="99">
        <f>IFERROR(VLOOKUP(B3284,'Pre-Summary'!$BS$6:$BU$35,3,FALSE),P3283)</f>
        <v>0.84099999999999997</v>
      </c>
      <c r="Q3284" s="54">
        <f t="shared" si="155"/>
        <v>3.9524375743162903</v>
      </c>
      <c r="R3284" s="53">
        <f>IFERROR(VLOOKUP(B3284,'Pre-Summary'!$BG$6:$BM$44,7,FALSE),R3285)</f>
        <v>0</v>
      </c>
      <c r="S3284" s="53" t="e">
        <f>VLOOKUP(B3284,'Pre-Summary'!$BG$6:$BM$44,6,FALSE)</f>
        <v>#N/A</v>
      </c>
      <c r="Z3284" s="45" t="str">
        <f>IFERROR(VLOOKUP(B3284,'Pre-Summary'!$BZ$6:$CB$63,2,FALSE),"")</f>
        <v/>
      </c>
      <c r="AA3284" s="45" t="str">
        <f>IFERROR(VLOOKUP(B3284,'Pre-Summary'!$CG$6:$CI$70,2,FALSE),"")</f>
        <v/>
      </c>
      <c r="AB3284" s="99">
        <f>IFERROR(VLOOKUP(B3284,'Pre-Summary'!$A$6:$P$178,9,FALSE),AB3285)</f>
        <v>0</v>
      </c>
      <c r="AC3284" s="10">
        <f>IFERROR(VLOOKUP(Summary!B3284,'Pre-Summary'!$A$6:$P$184,5, FALSE)/100,AC3285)</f>
        <v>0</v>
      </c>
      <c r="AD3284" s="10">
        <f>IFERROR(VLOOKUP(Summary!B3284,'Pre-Summary'!$A$6:$P$184,3, FALSE)/100,AD3285)</f>
        <v>0</v>
      </c>
      <c r="AE3284" s="10">
        <f>IFERROR(VLOOKUP(Summary!B3284,'Pre-Summary'!$A$6:$P$184,7, FALSE)/100,AE3285)</f>
        <v>0</v>
      </c>
      <c r="AF3284" s="99">
        <f t="shared" si="153"/>
        <v>0</v>
      </c>
      <c r="AG3284" s="99">
        <f t="shared" si="154"/>
        <v>0</v>
      </c>
      <c r="AH3284" s="10" t="str">
        <f>IFERROR(VLOOKUP(B3284,'Pre-Summary'!$AZ$6:$BE$65,3,FALSE),"")</f>
        <v/>
      </c>
      <c r="AI3284" s="10" t="str">
        <f>IFERROR(VLOOKUP(B3284,'Pre-Summary'!$AZ$6:$BE$65,5,FALSE),"")</f>
        <v/>
      </c>
      <c r="AJ3284" s="10" t="str">
        <f>IFERROR(VLOOKUP(B3284,'Pre-Summary'!$AZ$6:$BE$65,4,FALSE),"")</f>
        <v/>
      </c>
      <c r="AK3284" s="10" t="str">
        <f>IFERROR(VLOOKUP(B3284,'Pre-Summary'!$AZ$6:$BE$65,6,FALSE),"")</f>
        <v/>
      </c>
      <c r="AL3284" s="10" t="str">
        <f>IFERROR(VLOOKUP(B3284,'Pre-Summary'!$BG$6:$BL$44,3,FALSE),"")</f>
        <v/>
      </c>
      <c r="AM3284" s="10" t="str">
        <f>IFERROR(VLOOKUP(B3284,'Pre-Summary'!$BG$6:$BL$44,4,FALSE),"")</f>
        <v/>
      </c>
    </row>
    <row r="3285" spans="2:39" ht="15" customHeight="1" x14ac:dyDescent="0.3">
      <c r="B3285">
        <v>328.20000000000402</v>
      </c>
      <c r="D3285" s="10"/>
      <c r="E3285" s="10"/>
      <c r="F3285">
        <f>IFERROR(VLOOKUP(B3285,'Pre-Summary'!$AL$6:$AQ$13,6,FALSE),F3284)</f>
        <v>5.9405263157894746E-2</v>
      </c>
      <c r="M3285" s="45" t="str">
        <f>IFERROR(VLOOKUP(B3285,'Pre-Summary'!$BW$6:$BY$58,2,FALSE),"")</f>
        <v/>
      </c>
      <c r="N3285" s="45" t="str">
        <f>IFERROR(VLOOKUP(B3285,'Pre-Summary'!$CD$6:$CF$64,2,FALSE),"")</f>
        <v/>
      </c>
      <c r="O3285" s="99">
        <f>IFERROR(VLOOKUP(B3285,'Pre-Summary'!$BO$6:$BQ$48,3, FALSE),O3284)</f>
        <v>3.3239999999999998</v>
      </c>
      <c r="P3285" s="99">
        <f>IFERROR(VLOOKUP(B3285,'Pre-Summary'!$BS$6:$BU$35,3,FALSE),P3284)</f>
        <v>0.84099999999999997</v>
      </c>
      <c r="Q3285" s="54">
        <f t="shared" si="155"/>
        <v>3.9524375743162903</v>
      </c>
      <c r="R3285" s="53">
        <f>IFERROR(VLOOKUP(B3285,'Pre-Summary'!$BG$6:$BM$44,7,FALSE),R3286)</f>
        <v>0</v>
      </c>
      <c r="S3285" s="53" t="e">
        <f>VLOOKUP(B3285,'Pre-Summary'!$BG$6:$BM$44,6,FALSE)</f>
        <v>#N/A</v>
      </c>
      <c r="Z3285" s="45" t="str">
        <f>IFERROR(VLOOKUP(B3285,'Pre-Summary'!$BZ$6:$CB$63,2,FALSE),"")</f>
        <v/>
      </c>
      <c r="AA3285" s="45" t="str">
        <f>IFERROR(VLOOKUP(B3285,'Pre-Summary'!$CG$6:$CI$70,2,FALSE),"")</f>
        <v/>
      </c>
      <c r="AB3285" s="99">
        <f>IFERROR(VLOOKUP(B3285,'Pre-Summary'!$A$6:$P$178,9,FALSE),AB3286)</f>
        <v>0</v>
      </c>
      <c r="AC3285" s="10">
        <f>IFERROR(VLOOKUP(Summary!B3285,'Pre-Summary'!$A$6:$P$184,5, FALSE)/100,AC3286)</f>
        <v>0</v>
      </c>
      <c r="AD3285" s="10">
        <f>IFERROR(VLOOKUP(Summary!B3285,'Pre-Summary'!$A$6:$P$184,3, FALSE)/100,AD3286)</f>
        <v>0</v>
      </c>
      <c r="AE3285" s="10">
        <f>IFERROR(VLOOKUP(Summary!B3285,'Pre-Summary'!$A$6:$P$184,7, FALSE)/100,AE3286)</f>
        <v>0</v>
      </c>
      <c r="AF3285" s="99">
        <f t="shared" si="153"/>
        <v>0</v>
      </c>
      <c r="AG3285" s="99">
        <f t="shared" si="154"/>
        <v>0</v>
      </c>
      <c r="AH3285" s="10" t="str">
        <f>IFERROR(VLOOKUP(B3285,'Pre-Summary'!$AZ$6:$BE$65,3,FALSE),"")</f>
        <v/>
      </c>
      <c r="AI3285" s="10" t="str">
        <f>IFERROR(VLOOKUP(B3285,'Pre-Summary'!$AZ$6:$BE$65,5,FALSE),"")</f>
        <v/>
      </c>
      <c r="AJ3285" s="10" t="str">
        <f>IFERROR(VLOOKUP(B3285,'Pre-Summary'!$AZ$6:$BE$65,4,FALSE),"")</f>
        <v/>
      </c>
      <c r="AK3285" s="10" t="str">
        <f>IFERROR(VLOOKUP(B3285,'Pre-Summary'!$AZ$6:$BE$65,6,FALSE),"")</f>
        <v/>
      </c>
      <c r="AL3285" s="10" t="str">
        <f>IFERROR(VLOOKUP(B3285,'Pre-Summary'!$BG$6:$BL$44,3,FALSE),"")</f>
        <v/>
      </c>
      <c r="AM3285" s="10" t="str">
        <f>IFERROR(VLOOKUP(B3285,'Pre-Summary'!$BG$6:$BL$44,4,FALSE),"")</f>
        <v/>
      </c>
    </row>
    <row r="3286" spans="2:39" ht="15" customHeight="1" x14ac:dyDescent="0.3">
      <c r="B3286">
        <v>328.30000000000399</v>
      </c>
      <c r="D3286" s="10"/>
      <c r="E3286" s="10"/>
      <c r="F3286">
        <f>IFERROR(VLOOKUP(B3286,'Pre-Summary'!$AL$6:$AQ$13,6,FALSE),F3285)</f>
        <v>5.9405263157894746E-2</v>
      </c>
      <c r="M3286" s="45" t="str">
        <f>IFERROR(VLOOKUP(B3286,'Pre-Summary'!$BW$6:$BY$58,2,FALSE),"")</f>
        <v/>
      </c>
      <c r="N3286" s="45" t="str">
        <f>IFERROR(VLOOKUP(B3286,'Pre-Summary'!$CD$6:$CF$64,2,FALSE),"")</f>
        <v/>
      </c>
      <c r="O3286" s="99">
        <f>IFERROR(VLOOKUP(B3286,'Pre-Summary'!$BO$6:$BQ$48,3, FALSE),O3285)</f>
        <v>3.3239999999999998</v>
      </c>
      <c r="P3286" s="99">
        <f>IFERROR(VLOOKUP(B3286,'Pre-Summary'!$BS$6:$BU$35,3,FALSE),P3285)</f>
        <v>0.84099999999999997</v>
      </c>
      <c r="Q3286" s="54">
        <f t="shared" si="155"/>
        <v>3.9524375743162903</v>
      </c>
      <c r="R3286" s="53">
        <f>IFERROR(VLOOKUP(B3286,'Pre-Summary'!$BG$6:$BM$44,7,FALSE),R3287)</f>
        <v>0</v>
      </c>
      <c r="S3286" s="53" t="e">
        <f>VLOOKUP(B3286,'Pre-Summary'!$BG$6:$BM$44,6,FALSE)</f>
        <v>#N/A</v>
      </c>
      <c r="Z3286" s="45" t="str">
        <f>IFERROR(VLOOKUP(B3286,'Pre-Summary'!$BZ$6:$CB$63,2,FALSE),"")</f>
        <v/>
      </c>
      <c r="AA3286" s="45" t="str">
        <f>IFERROR(VLOOKUP(B3286,'Pre-Summary'!$CG$6:$CI$70,2,FALSE),"")</f>
        <v/>
      </c>
      <c r="AB3286" s="99">
        <f>IFERROR(VLOOKUP(B3286,'Pre-Summary'!$A$6:$P$178,9,FALSE),AB3287)</f>
        <v>0</v>
      </c>
      <c r="AC3286" s="10">
        <f>IFERROR(VLOOKUP(Summary!B3286,'Pre-Summary'!$A$6:$P$184,5, FALSE)/100,AC3287)</f>
        <v>0</v>
      </c>
      <c r="AD3286" s="10">
        <f>IFERROR(VLOOKUP(Summary!B3286,'Pre-Summary'!$A$6:$P$184,3, FALSE)/100,AD3287)</f>
        <v>0</v>
      </c>
      <c r="AE3286" s="10">
        <f>IFERROR(VLOOKUP(Summary!B3286,'Pre-Summary'!$A$6:$P$184,7, FALSE)/100,AE3287)</f>
        <v>0</v>
      </c>
      <c r="AF3286" s="99">
        <f t="shared" si="153"/>
        <v>0</v>
      </c>
      <c r="AG3286" s="99">
        <f t="shared" si="154"/>
        <v>0</v>
      </c>
      <c r="AH3286" s="10" t="str">
        <f>IFERROR(VLOOKUP(B3286,'Pre-Summary'!$AZ$6:$BE$65,3,FALSE),"")</f>
        <v/>
      </c>
      <c r="AI3286" s="10" t="str">
        <f>IFERROR(VLOOKUP(B3286,'Pre-Summary'!$AZ$6:$BE$65,5,FALSE),"")</f>
        <v/>
      </c>
      <c r="AJ3286" s="10" t="str">
        <f>IFERROR(VLOOKUP(B3286,'Pre-Summary'!$AZ$6:$BE$65,4,FALSE),"")</f>
        <v/>
      </c>
      <c r="AK3286" s="10" t="str">
        <f>IFERROR(VLOOKUP(B3286,'Pre-Summary'!$AZ$6:$BE$65,6,FALSE),"")</f>
        <v/>
      </c>
      <c r="AL3286" s="10" t="str">
        <f>IFERROR(VLOOKUP(B3286,'Pre-Summary'!$BG$6:$BL$44,3,FALSE),"")</f>
        <v/>
      </c>
      <c r="AM3286" s="10" t="str">
        <f>IFERROR(VLOOKUP(B3286,'Pre-Summary'!$BG$6:$BL$44,4,FALSE),"")</f>
        <v/>
      </c>
    </row>
    <row r="3287" spans="2:39" ht="15" customHeight="1" x14ac:dyDescent="0.3">
      <c r="B3287">
        <v>328.40000000000401</v>
      </c>
      <c r="D3287" s="10"/>
      <c r="E3287" s="10"/>
      <c r="F3287">
        <f>IFERROR(VLOOKUP(B3287,'Pre-Summary'!$AL$6:$AQ$13,6,FALSE),F3286)</f>
        <v>5.9405263157894746E-2</v>
      </c>
      <c r="M3287" s="45" t="str">
        <f>IFERROR(VLOOKUP(B3287,'Pre-Summary'!$BW$6:$BY$58,2,FALSE),"")</f>
        <v/>
      </c>
      <c r="N3287" s="45" t="str">
        <f>IFERROR(VLOOKUP(B3287,'Pre-Summary'!$CD$6:$CF$64,2,FALSE),"")</f>
        <v/>
      </c>
      <c r="O3287" s="99">
        <f>IFERROR(VLOOKUP(B3287,'Pre-Summary'!$BO$6:$BQ$48,3, FALSE),O3286)</f>
        <v>3.3239999999999998</v>
      </c>
      <c r="P3287" s="99">
        <f>IFERROR(VLOOKUP(B3287,'Pre-Summary'!$BS$6:$BU$35,3,FALSE),P3286)</f>
        <v>0.84099999999999997</v>
      </c>
      <c r="Q3287" s="54">
        <f t="shared" si="155"/>
        <v>3.9524375743162903</v>
      </c>
      <c r="R3287" s="53">
        <f>IFERROR(VLOOKUP(B3287,'Pre-Summary'!$BG$6:$BM$44,7,FALSE),R3288)</f>
        <v>0</v>
      </c>
      <c r="S3287" s="53" t="e">
        <f>VLOOKUP(B3287,'Pre-Summary'!$BG$6:$BM$44,6,FALSE)</f>
        <v>#N/A</v>
      </c>
      <c r="Z3287" s="45" t="str">
        <f>IFERROR(VLOOKUP(B3287,'Pre-Summary'!$BZ$6:$CB$63,2,FALSE),"")</f>
        <v/>
      </c>
      <c r="AA3287" s="45" t="str">
        <f>IFERROR(VLOOKUP(B3287,'Pre-Summary'!$CG$6:$CI$70,2,FALSE),"")</f>
        <v/>
      </c>
      <c r="AB3287" s="99">
        <f>IFERROR(VLOOKUP(B3287,'Pre-Summary'!$A$6:$P$178,9,FALSE),AB3288)</f>
        <v>0</v>
      </c>
      <c r="AC3287" s="10">
        <f>IFERROR(VLOOKUP(Summary!B3287,'Pre-Summary'!$A$6:$P$184,5, FALSE)/100,AC3288)</f>
        <v>0</v>
      </c>
      <c r="AD3287" s="10">
        <f>IFERROR(VLOOKUP(Summary!B3287,'Pre-Summary'!$A$6:$P$184,3, FALSE)/100,AD3288)</f>
        <v>0</v>
      </c>
      <c r="AE3287" s="10">
        <f>IFERROR(VLOOKUP(Summary!B3287,'Pre-Summary'!$A$6:$P$184,7, FALSE)/100,AE3288)</f>
        <v>0</v>
      </c>
      <c r="AF3287" s="99">
        <f t="shared" si="153"/>
        <v>0</v>
      </c>
      <c r="AG3287" s="99">
        <f t="shared" si="154"/>
        <v>0</v>
      </c>
      <c r="AH3287" s="10" t="str">
        <f>IFERROR(VLOOKUP(B3287,'Pre-Summary'!$AZ$6:$BE$65,3,FALSE),"")</f>
        <v/>
      </c>
      <c r="AI3287" s="10" t="str">
        <f>IFERROR(VLOOKUP(B3287,'Pre-Summary'!$AZ$6:$BE$65,5,FALSE),"")</f>
        <v/>
      </c>
      <c r="AJ3287" s="10" t="str">
        <f>IFERROR(VLOOKUP(B3287,'Pre-Summary'!$AZ$6:$BE$65,4,FALSE),"")</f>
        <v/>
      </c>
      <c r="AK3287" s="10" t="str">
        <f>IFERROR(VLOOKUP(B3287,'Pre-Summary'!$AZ$6:$BE$65,6,FALSE),"")</f>
        <v/>
      </c>
      <c r="AL3287" s="10" t="str">
        <f>IFERROR(VLOOKUP(B3287,'Pre-Summary'!$BG$6:$BL$44,3,FALSE),"")</f>
        <v/>
      </c>
      <c r="AM3287" s="10" t="str">
        <f>IFERROR(VLOOKUP(B3287,'Pre-Summary'!$BG$6:$BL$44,4,FALSE),"")</f>
        <v/>
      </c>
    </row>
    <row r="3288" spans="2:39" ht="15" customHeight="1" x14ac:dyDescent="0.3">
      <c r="B3288">
        <v>328.50000000000398</v>
      </c>
      <c r="D3288" s="10"/>
      <c r="E3288" s="10"/>
      <c r="F3288">
        <f>IFERROR(VLOOKUP(B3288,'Pre-Summary'!$AL$6:$AQ$13,6,FALSE),F3287)</f>
        <v>5.9405263157894746E-2</v>
      </c>
      <c r="M3288" s="45" t="str">
        <f>IFERROR(VLOOKUP(B3288,'Pre-Summary'!$BW$6:$BY$58,2,FALSE),"")</f>
        <v/>
      </c>
      <c r="N3288" s="45" t="str">
        <f>IFERROR(VLOOKUP(B3288,'Pre-Summary'!$CD$6:$CF$64,2,FALSE),"")</f>
        <v/>
      </c>
      <c r="O3288" s="99">
        <f>IFERROR(VLOOKUP(B3288,'Pre-Summary'!$BO$6:$BQ$48,3, FALSE),O3287)</f>
        <v>3.3239999999999998</v>
      </c>
      <c r="P3288" s="99">
        <f>IFERROR(VLOOKUP(B3288,'Pre-Summary'!$BS$6:$BU$35,3,FALSE),P3287)</f>
        <v>0.84099999999999997</v>
      </c>
      <c r="Q3288" s="54">
        <f t="shared" si="155"/>
        <v>3.9524375743162903</v>
      </c>
      <c r="R3288" s="53">
        <f>IFERROR(VLOOKUP(B3288,'Pre-Summary'!$BG$6:$BM$44,7,FALSE),R3289)</f>
        <v>0</v>
      </c>
      <c r="S3288" s="53" t="e">
        <f>VLOOKUP(B3288,'Pre-Summary'!$BG$6:$BM$44,6,FALSE)</f>
        <v>#N/A</v>
      </c>
      <c r="Z3288" s="45" t="str">
        <f>IFERROR(VLOOKUP(B3288,'Pre-Summary'!$BZ$6:$CB$63,2,FALSE),"")</f>
        <v/>
      </c>
      <c r="AA3288" s="45" t="str">
        <f>IFERROR(VLOOKUP(B3288,'Pre-Summary'!$CG$6:$CI$70,2,FALSE),"")</f>
        <v/>
      </c>
      <c r="AB3288" s="99">
        <f>IFERROR(VLOOKUP(B3288,'Pre-Summary'!$A$6:$P$178,9,FALSE),AB3289)</f>
        <v>0</v>
      </c>
      <c r="AC3288" s="10">
        <f>IFERROR(VLOOKUP(Summary!B3288,'Pre-Summary'!$A$6:$P$184,5, FALSE)/100,AC3289)</f>
        <v>0</v>
      </c>
      <c r="AD3288" s="10">
        <f>IFERROR(VLOOKUP(Summary!B3288,'Pre-Summary'!$A$6:$P$184,3, FALSE)/100,AD3289)</f>
        <v>0</v>
      </c>
      <c r="AE3288" s="10">
        <f>IFERROR(VLOOKUP(Summary!B3288,'Pre-Summary'!$A$6:$P$184,7, FALSE)/100,AE3289)</f>
        <v>0</v>
      </c>
      <c r="AF3288" s="99">
        <f t="shared" si="153"/>
        <v>0</v>
      </c>
      <c r="AG3288" s="99">
        <f t="shared" si="154"/>
        <v>0</v>
      </c>
      <c r="AH3288" s="10" t="str">
        <f>IFERROR(VLOOKUP(B3288,'Pre-Summary'!$AZ$6:$BE$65,3,FALSE),"")</f>
        <v/>
      </c>
      <c r="AI3288" s="10" t="str">
        <f>IFERROR(VLOOKUP(B3288,'Pre-Summary'!$AZ$6:$BE$65,5,FALSE),"")</f>
        <v/>
      </c>
      <c r="AJ3288" s="10" t="str">
        <f>IFERROR(VLOOKUP(B3288,'Pre-Summary'!$AZ$6:$BE$65,4,FALSE),"")</f>
        <v/>
      </c>
      <c r="AK3288" s="10" t="str">
        <f>IFERROR(VLOOKUP(B3288,'Pre-Summary'!$AZ$6:$BE$65,6,FALSE),"")</f>
        <v/>
      </c>
      <c r="AL3288" s="10" t="str">
        <f>IFERROR(VLOOKUP(B3288,'Pre-Summary'!$BG$6:$BL$44,3,FALSE),"")</f>
        <v/>
      </c>
      <c r="AM3288" s="10" t="str">
        <f>IFERROR(VLOOKUP(B3288,'Pre-Summary'!$BG$6:$BL$44,4,FALSE),"")</f>
        <v/>
      </c>
    </row>
    <row r="3289" spans="2:39" ht="15" customHeight="1" x14ac:dyDescent="0.3">
      <c r="B3289">
        <v>328.600000000004</v>
      </c>
      <c r="D3289" s="10"/>
      <c r="E3289" s="10"/>
      <c r="F3289">
        <f>IFERROR(VLOOKUP(B3289,'Pre-Summary'!$AL$6:$AQ$13,6,FALSE),F3288)</f>
        <v>5.9405263157894746E-2</v>
      </c>
      <c r="M3289" s="45" t="str">
        <f>IFERROR(VLOOKUP(B3289,'Pre-Summary'!$BW$6:$BY$58,2,FALSE),"")</f>
        <v/>
      </c>
      <c r="N3289" s="45" t="str">
        <f>IFERROR(VLOOKUP(B3289,'Pre-Summary'!$CD$6:$CF$64,2,FALSE),"")</f>
        <v/>
      </c>
      <c r="O3289" s="99">
        <f>IFERROR(VLOOKUP(B3289,'Pre-Summary'!$BO$6:$BQ$48,3, FALSE),O3288)</f>
        <v>3.3239999999999998</v>
      </c>
      <c r="P3289" s="99">
        <f>IFERROR(VLOOKUP(B3289,'Pre-Summary'!$BS$6:$BU$35,3,FALSE),P3288)</f>
        <v>0.84099999999999997</v>
      </c>
      <c r="Q3289" s="54">
        <f t="shared" si="155"/>
        <v>3.9524375743162903</v>
      </c>
      <c r="R3289" s="53">
        <f>IFERROR(VLOOKUP(B3289,'Pre-Summary'!$BG$6:$BM$44,7,FALSE),R3290)</f>
        <v>0</v>
      </c>
      <c r="S3289" s="53" t="e">
        <f>VLOOKUP(B3289,'Pre-Summary'!$BG$6:$BM$44,6,FALSE)</f>
        <v>#N/A</v>
      </c>
      <c r="Z3289" s="45" t="str">
        <f>IFERROR(VLOOKUP(B3289,'Pre-Summary'!$BZ$6:$CB$63,2,FALSE),"")</f>
        <v/>
      </c>
      <c r="AA3289" s="45" t="str">
        <f>IFERROR(VLOOKUP(B3289,'Pre-Summary'!$CG$6:$CI$70,2,FALSE),"")</f>
        <v/>
      </c>
      <c r="AB3289" s="99">
        <f>IFERROR(VLOOKUP(B3289,'Pre-Summary'!$A$6:$P$178,9,FALSE),AB3290)</f>
        <v>0</v>
      </c>
      <c r="AC3289" s="10">
        <f>IFERROR(VLOOKUP(Summary!B3289,'Pre-Summary'!$A$6:$P$184,5, FALSE)/100,AC3290)</f>
        <v>0</v>
      </c>
      <c r="AD3289" s="10">
        <f>IFERROR(VLOOKUP(Summary!B3289,'Pre-Summary'!$A$6:$P$184,3, FALSE)/100,AD3290)</f>
        <v>0</v>
      </c>
      <c r="AE3289" s="10">
        <f>IFERROR(VLOOKUP(Summary!B3289,'Pre-Summary'!$A$6:$P$184,7, FALSE)/100,AE3290)</f>
        <v>0</v>
      </c>
      <c r="AF3289" s="99">
        <f t="shared" si="153"/>
        <v>0</v>
      </c>
      <c r="AG3289" s="99">
        <f t="shared" si="154"/>
        <v>0</v>
      </c>
      <c r="AH3289" s="10" t="str">
        <f>IFERROR(VLOOKUP(B3289,'Pre-Summary'!$AZ$6:$BE$65,3,FALSE),"")</f>
        <v/>
      </c>
      <c r="AI3289" s="10" t="str">
        <f>IFERROR(VLOOKUP(B3289,'Pre-Summary'!$AZ$6:$BE$65,5,FALSE),"")</f>
        <v/>
      </c>
      <c r="AJ3289" s="10" t="str">
        <f>IFERROR(VLOOKUP(B3289,'Pre-Summary'!$AZ$6:$BE$65,4,FALSE),"")</f>
        <v/>
      </c>
      <c r="AK3289" s="10" t="str">
        <f>IFERROR(VLOOKUP(B3289,'Pre-Summary'!$AZ$6:$BE$65,6,FALSE),"")</f>
        <v/>
      </c>
      <c r="AL3289" s="10" t="str">
        <f>IFERROR(VLOOKUP(B3289,'Pre-Summary'!$BG$6:$BL$44,3,FALSE),"")</f>
        <v/>
      </c>
      <c r="AM3289" s="10" t="str">
        <f>IFERROR(VLOOKUP(B3289,'Pre-Summary'!$BG$6:$BL$44,4,FALSE),"")</f>
        <v/>
      </c>
    </row>
    <row r="3290" spans="2:39" ht="15" customHeight="1" x14ac:dyDescent="0.3">
      <c r="B3290">
        <v>328.70000000000402</v>
      </c>
      <c r="D3290" s="10"/>
      <c r="E3290" s="10"/>
      <c r="F3290">
        <f>IFERROR(VLOOKUP(B3290,'Pre-Summary'!$AL$6:$AQ$13,6,FALSE),F3289)</f>
        <v>5.9405263157894746E-2</v>
      </c>
      <c r="M3290" s="45" t="str">
        <f>IFERROR(VLOOKUP(B3290,'Pre-Summary'!$BW$6:$BY$58,2,FALSE),"")</f>
        <v/>
      </c>
      <c r="N3290" s="45" t="str">
        <f>IFERROR(VLOOKUP(B3290,'Pre-Summary'!$CD$6:$CF$64,2,FALSE),"")</f>
        <v/>
      </c>
      <c r="O3290" s="99">
        <f>IFERROR(VLOOKUP(B3290,'Pre-Summary'!$BO$6:$BQ$48,3, FALSE),O3289)</f>
        <v>3.3239999999999998</v>
      </c>
      <c r="P3290" s="99">
        <f>IFERROR(VLOOKUP(B3290,'Pre-Summary'!$BS$6:$BU$35,3,FALSE),P3289)</f>
        <v>0.84099999999999997</v>
      </c>
      <c r="Q3290" s="54">
        <f t="shared" si="155"/>
        <v>3.9524375743162903</v>
      </c>
      <c r="R3290" s="53">
        <f>IFERROR(VLOOKUP(B3290,'Pre-Summary'!$BG$6:$BM$44,7,FALSE),R3291)</f>
        <v>0</v>
      </c>
      <c r="S3290" s="53" t="e">
        <f>VLOOKUP(B3290,'Pre-Summary'!$BG$6:$BM$44,6,FALSE)</f>
        <v>#N/A</v>
      </c>
      <c r="Z3290" s="45" t="str">
        <f>IFERROR(VLOOKUP(B3290,'Pre-Summary'!$BZ$6:$CB$63,2,FALSE),"")</f>
        <v/>
      </c>
      <c r="AA3290" s="45" t="str">
        <f>IFERROR(VLOOKUP(B3290,'Pre-Summary'!$CG$6:$CI$70,2,FALSE),"")</f>
        <v/>
      </c>
      <c r="AB3290" s="99">
        <f>IFERROR(VLOOKUP(B3290,'Pre-Summary'!$A$6:$P$178,9,FALSE),AB3291)</f>
        <v>0</v>
      </c>
      <c r="AC3290" s="10">
        <f>IFERROR(VLOOKUP(Summary!B3290,'Pre-Summary'!$A$6:$P$184,5, FALSE)/100,AC3291)</f>
        <v>0</v>
      </c>
      <c r="AD3290" s="10">
        <f>IFERROR(VLOOKUP(Summary!B3290,'Pre-Summary'!$A$6:$P$184,3, FALSE)/100,AD3291)</f>
        <v>0</v>
      </c>
      <c r="AE3290" s="10">
        <f>IFERROR(VLOOKUP(Summary!B3290,'Pre-Summary'!$A$6:$P$184,7, FALSE)/100,AE3291)</f>
        <v>0</v>
      </c>
      <c r="AF3290" s="99">
        <f t="shared" si="153"/>
        <v>0</v>
      </c>
      <c r="AG3290" s="99">
        <f t="shared" si="154"/>
        <v>0</v>
      </c>
      <c r="AH3290" s="10" t="str">
        <f>IFERROR(VLOOKUP(B3290,'Pre-Summary'!$AZ$6:$BE$65,3,FALSE),"")</f>
        <v/>
      </c>
      <c r="AI3290" s="10" t="str">
        <f>IFERROR(VLOOKUP(B3290,'Pre-Summary'!$AZ$6:$BE$65,5,FALSE),"")</f>
        <v/>
      </c>
      <c r="AJ3290" s="10" t="str">
        <f>IFERROR(VLOOKUP(B3290,'Pre-Summary'!$AZ$6:$BE$65,4,FALSE),"")</f>
        <v/>
      </c>
      <c r="AK3290" s="10" t="str">
        <f>IFERROR(VLOOKUP(B3290,'Pre-Summary'!$AZ$6:$BE$65,6,FALSE),"")</f>
        <v/>
      </c>
      <c r="AL3290" s="10" t="str">
        <f>IFERROR(VLOOKUP(B3290,'Pre-Summary'!$BG$6:$BL$44,3,FALSE),"")</f>
        <v/>
      </c>
      <c r="AM3290" s="10" t="str">
        <f>IFERROR(VLOOKUP(B3290,'Pre-Summary'!$BG$6:$BL$44,4,FALSE),"")</f>
        <v/>
      </c>
    </row>
    <row r="3291" spans="2:39" ht="15" customHeight="1" x14ac:dyDescent="0.3">
      <c r="B3291">
        <v>328.80000000000399</v>
      </c>
      <c r="D3291" s="10"/>
      <c r="E3291" s="10"/>
      <c r="F3291">
        <f>IFERROR(VLOOKUP(B3291,'Pre-Summary'!$AL$6:$AQ$13,6,FALSE),F3290)</f>
        <v>5.9405263157894746E-2</v>
      </c>
      <c r="M3291" s="45" t="str">
        <f>IFERROR(VLOOKUP(B3291,'Pre-Summary'!$BW$6:$BY$58,2,FALSE),"")</f>
        <v/>
      </c>
      <c r="N3291" s="45" t="str">
        <f>IFERROR(VLOOKUP(B3291,'Pre-Summary'!$CD$6:$CF$64,2,FALSE),"")</f>
        <v/>
      </c>
      <c r="O3291" s="99">
        <f>IFERROR(VLOOKUP(B3291,'Pre-Summary'!$BO$6:$BQ$48,3, FALSE),O3290)</f>
        <v>3.3239999999999998</v>
      </c>
      <c r="P3291" s="99">
        <f>IFERROR(VLOOKUP(B3291,'Pre-Summary'!$BS$6:$BU$35,3,FALSE),P3290)</f>
        <v>0.84099999999999997</v>
      </c>
      <c r="Q3291" s="54">
        <f t="shared" si="155"/>
        <v>3.9524375743162903</v>
      </c>
      <c r="R3291" s="53">
        <f>IFERROR(VLOOKUP(B3291,'Pre-Summary'!$BG$6:$BM$44,7,FALSE),R3292)</f>
        <v>0</v>
      </c>
      <c r="S3291" s="53" t="e">
        <f>VLOOKUP(B3291,'Pre-Summary'!$BG$6:$BM$44,6,FALSE)</f>
        <v>#N/A</v>
      </c>
      <c r="Z3291" s="45" t="str">
        <f>IFERROR(VLOOKUP(B3291,'Pre-Summary'!$BZ$6:$CB$63,2,FALSE),"")</f>
        <v/>
      </c>
      <c r="AA3291" s="45" t="str">
        <f>IFERROR(VLOOKUP(B3291,'Pre-Summary'!$CG$6:$CI$70,2,FALSE),"")</f>
        <v/>
      </c>
      <c r="AB3291" s="99">
        <f>IFERROR(VLOOKUP(B3291,'Pre-Summary'!$A$6:$P$178,9,FALSE),AB3292)</f>
        <v>0</v>
      </c>
      <c r="AC3291" s="10">
        <f>IFERROR(VLOOKUP(Summary!B3291,'Pre-Summary'!$A$6:$P$184,5, FALSE)/100,AC3292)</f>
        <v>0</v>
      </c>
      <c r="AD3291" s="10">
        <f>IFERROR(VLOOKUP(Summary!B3291,'Pre-Summary'!$A$6:$P$184,3, FALSE)/100,AD3292)</f>
        <v>0</v>
      </c>
      <c r="AE3291" s="10">
        <f>IFERROR(VLOOKUP(Summary!B3291,'Pre-Summary'!$A$6:$P$184,7, FALSE)/100,AE3292)</f>
        <v>0</v>
      </c>
      <c r="AF3291" s="99">
        <f t="shared" si="153"/>
        <v>0</v>
      </c>
      <c r="AG3291" s="99">
        <f t="shared" si="154"/>
        <v>0</v>
      </c>
      <c r="AH3291" s="10" t="str">
        <f>IFERROR(VLOOKUP(B3291,'Pre-Summary'!$AZ$6:$BE$65,3,FALSE),"")</f>
        <v/>
      </c>
      <c r="AI3291" s="10" t="str">
        <f>IFERROR(VLOOKUP(B3291,'Pre-Summary'!$AZ$6:$BE$65,5,FALSE),"")</f>
        <v/>
      </c>
      <c r="AJ3291" s="10" t="str">
        <f>IFERROR(VLOOKUP(B3291,'Pre-Summary'!$AZ$6:$BE$65,4,FALSE),"")</f>
        <v/>
      </c>
      <c r="AK3291" s="10" t="str">
        <f>IFERROR(VLOOKUP(B3291,'Pre-Summary'!$AZ$6:$BE$65,6,FALSE),"")</f>
        <v/>
      </c>
      <c r="AL3291" s="10" t="str">
        <f>IFERROR(VLOOKUP(B3291,'Pre-Summary'!$BG$6:$BL$44,3,FALSE),"")</f>
        <v/>
      </c>
      <c r="AM3291" s="10" t="str">
        <f>IFERROR(VLOOKUP(B3291,'Pre-Summary'!$BG$6:$BL$44,4,FALSE),"")</f>
        <v/>
      </c>
    </row>
    <row r="3292" spans="2:39" ht="15" customHeight="1" x14ac:dyDescent="0.3">
      <c r="B3292">
        <v>328.90000000000401</v>
      </c>
      <c r="D3292" s="10"/>
      <c r="E3292" s="10"/>
      <c r="F3292">
        <f>IFERROR(VLOOKUP(B3292,'Pre-Summary'!$AL$6:$AQ$13,6,FALSE),F3291)</f>
        <v>5.9405263157894746E-2</v>
      </c>
      <c r="M3292" s="45" t="str">
        <f>IFERROR(VLOOKUP(B3292,'Pre-Summary'!$BW$6:$BY$58,2,FALSE),"")</f>
        <v/>
      </c>
      <c r="N3292" s="45" t="str">
        <f>IFERROR(VLOOKUP(B3292,'Pre-Summary'!$CD$6:$CF$64,2,FALSE),"")</f>
        <v/>
      </c>
      <c r="O3292" s="99">
        <f>IFERROR(VLOOKUP(B3292,'Pre-Summary'!$BO$6:$BQ$48,3, FALSE),O3291)</f>
        <v>3.3239999999999998</v>
      </c>
      <c r="P3292" s="99">
        <f>IFERROR(VLOOKUP(B3292,'Pre-Summary'!$BS$6:$BU$35,3,FALSE),P3291)</f>
        <v>0.84099999999999997</v>
      </c>
      <c r="Q3292" s="54">
        <f t="shared" si="155"/>
        <v>3.9524375743162903</v>
      </c>
      <c r="R3292" s="53">
        <f>IFERROR(VLOOKUP(B3292,'Pre-Summary'!$BG$6:$BM$44,7,FALSE),R3293)</f>
        <v>0</v>
      </c>
      <c r="S3292" s="53" t="e">
        <f>VLOOKUP(B3292,'Pre-Summary'!$BG$6:$BM$44,6,FALSE)</f>
        <v>#N/A</v>
      </c>
      <c r="Z3292" s="45" t="str">
        <f>IFERROR(VLOOKUP(B3292,'Pre-Summary'!$BZ$6:$CB$63,2,FALSE),"")</f>
        <v/>
      </c>
      <c r="AA3292" s="45" t="str">
        <f>IFERROR(VLOOKUP(B3292,'Pre-Summary'!$CG$6:$CI$70,2,FALSE),"")</f>
        <v/>
      </c>
      <c r="AB3292" s="99">
        <f>IFERROR(VLOOKUP(B3292,'Pre-Summary'!$A$6:$P$178,9,FALSE),AB3293)</f>
        <v>0</v>
      </c>
      <c r="AC3292" s="10">
        <f>IFERROR(VLOOKUP(Summary!B3292,'Pre-Summary'!$A$6:$P$184,5, FALSE)/100,AC3293)</f>
        <v>0</v>
      </c>
      <c r="AD3292" s="10">
        <f>IFERROR(VLOOKUP(Summary!B3292,'Pre-Summary'!$A$6:$P$184,3, FALSE)/100,AD3293)</f>
        <v>0</v>
      </c>
      <c r="AE3292" s="10">
        <f>IFERROR(VLOOKUP(Summary!B3292,'Pre-Summary'!$A$6:$P$184,7, FALSE)/100,AE3293)</f>
        <v>0</v>
      </c>
      <c r="AF3292" s="99">
        <f t="shared" si="153"/>
        <v>0</v>
      </c>
      <c r="AG3292" s="99">
        <f t="shared" si="154"/>
        <v>0</v>
      </c>
      <c r="AH3292" s="10" t="str">
        <f>IFERROR(VLOOKUP(B3292,'Pre-Summary'!$AZ$6:$BE$65,3,FALSE),"")</f>
        <v/>
      </c>
      <c r="AI3292" s="10" t="str">
        <f>IFERROR(VLOOKUP(B3292,'Pre-Summary'!$AZ$6:$BE$65,5,FALSE),"")</f>
        <v/>
      </c>
      <c r="AJ3292" s="10" t="str">
        <f>IFERROR(VLOOKUP(B3292,'Pre-Summary'!$AZ$6:$BE$65,4,FALSE),"")</f>
        <v/>
      </c>
      <c r="AK3292" s="10" t="str">
        <f>IFERROR(VLOOKUP(B3292,'Pre-Summary'!$AZ$6:$BE$65,6,FALSE),"")</f>
        <v/>
      </c>
      <c r="AL3292" s="10" t="str">
        <f>IFERROR(VLOOKUP(B3292,'Pre-Summary'!$BG$6:$BL$44,3,FALSE),"")</f>
        <v/>
      </c>
      <c r="AM3292" s="10" t="str">
        <f>IFERROR(VLOOKUP(B3292,'Pre-Summary'!$BG$6:$BL$44,4,FALSE),"")</f>
        <v/>
      </c>
    </row>
    <row r="3293" spans="2:39" ht="15" customHeight="1" x14ac:dyDescent="0.3">
      <c r="B3293">
        <v>329.00000000000398</v>
      </c>
      <c r="D3293" s="10"/>
      <c r="E3293" s="10"/>
      <c r="F3293">
        <f>IFERROR(VLOOKUP(B3293,'Pre-Summary'!$AL$6:$AQ$13,6,FALSE),F3292)</f>
        <v>5.9405263157894746E-2</v>
      </c>
      <c r="M3293" s="45" t="str">
        <f>IFERROR(VLOOKUP(B3293,'Pre-Summary'!$BW$6:$BY$58,2,FALSE),"")</f>
        <v/>
      </c>
      <c r="N3293" s="45" t="str">
        <f>IFERROR(VLOOKUP(B3293,'Pre-Summary'!$CD$6:$CF$64,2,FALSE),"")</f>
        <v/>
      </c>
      <c r="O3293" s="99">
        <f>IFERROR(VLOOKUP(B3293,'Pre-Summary'!$BO$6:$BQ$48,3, FALSE),O3292)</f>
        <v>3.3239999999999998</v>
      </c>
      <c r="P3293" s="99">
        <f>IFERROR(VLOOKUP(B3293,'Pre-Summary'!$BS$6:$BU$35,3,FALSE),P3292)</f>
        <v>0.84099999999999997</v>
      </c>
      <c r="Q3293" s="54">
        <f t="shared" si="155"/>
        <v>3.9524375743162903</v>
      </c>
      <c r="R3293" s="53">
        <f>IFERROR(VLOOKUP(B3293,'Pre-Summary'!$BG$6:$BM$44,7,FALSE),R3294)</f>
        <v>0</v>
      </c>
      <c r="S3293" s="53" t="e">
        <f>VLOOKUP(B3293,'Pre-Summary'!$BG$6:$BM$44,6,FALSE)</f>
        <v>#N/A</v>
      </c>
      <c r="Z3293" s="45" t="str">
        <f>IFERROR(VLOOKUP(B3293,'Pre-Summary'!$BZ$6:$CB$63,2,FALSE),"")</f>
        <v/>
      </c>
      <c r="AA3293" s="45" t="str">
        <f>IFERROR(VLOOKUP(B3293,'Pre-Summary'!$CG$6:$CI$70,2,FALSE),"")</f>
        <v/>
      </c>
      <c r="AB3293" s="99">
        <f>IFERROR(VLOOKUP(B3293,'Pre-Summary'!$A$6:$P$178,9,FALSE),AB3294)</f>
        <v>0</v>
      </c>
      <c r="AC3293" s="10">
        <f>IFERROR(VLOOKUP(Summary!B3293,'Pre-Summary'!$A$6:$P$184,5, FALSE)/100,AC3294)</f>
        <v>0</v>
      </c>
      <c r="AD3293" s="10">
        <f>IFERROR(VLOOKUP(Summary!B3293,'Pre-Summary'!$A$6:$P$184,3, FALSE)/100,AD3294)</f>
        <v>0</v>
      </c>
      <c r="AE3293" s="10">
        <f>IFERROR(VLOOKUP(Summary!B3293,'Pre-Summary'!$A$6:$P$184,7, FALSE)/100,AE3294)</f>
        <v>0</v>
      </c>
      <c r="AF3293" s="99">
        <f t="shared" si="153"/>
        <v>0</v>
      </c>
      <c r="AG3293" s="99">
        <f t="shared" si="154"/>
        <v>0</v>
      </c>
      <c r="AH3293" s="10" t="str">
        <f>IFERROR(VLOOKUP(B3293,'Pre-Summary'!$AZ$6:$BE$65,3,FALSE),"")</f>
        <v/>
      </c>
      <c r="AI3293" s="10" t="str">
        <f>IFERROR(VLOOKUP(B3293,'Pre-Summary'!$AZ$6:$BE$65,5,FALSE),"")</f>
        <v/>
      </c>
      <c r="AJ3293" s="10" t="str">
        <f>IFERROR(VLOOKUP(B3293,'Pre-Summary'!$AZ$6:$BE$65,4,FALSE),"")</f>
        <v/>
      </c>
      <c r="AK3293" s="10" t="str">
        <f>IFERROR(VLOOKUP(B3293,'Pre-Summary'!$AZ$6:$BE$65,6,FALSE),"")</f>
        <v/>
      </c>
      <c r="AL3293" s="10" t="str">
        <f>IFERROR(VLOOKUP(B3293,'Pre-Summary'!$BG$6:$BL$44,3,FALSE),"")</f>
        <v/>
      </c>
      <c r="AM3293" s="10" t="str">
        <f>IFERROR(VLOOKUP(B3293,'Pre-Summary'!$BG$6:$BL$44,4,FALSE),"")</f>
        <v/>
      </c>
    </row>
    <row r="3294" spans="2:39" ht="15" customHeight="1" x14ac:dyDescent="0.3">
      <c r="B3294">
        <v>329.100000000004</v>
      </c>
      <c r="D3294" s="10"/>
      <c r="E3294" s="10"/>
      <c r="F3294">
        <f>IFERROR(VLOOKUP(B3294,'Pre-Summary'!$AL$6:$AQ$13,6,FALSE),F3293)</f>
        <v>5.9405263157894746E-2</v>
      </c>
      <c r="M3294" s="45" t="str">
        <f>IFERROR(VLOOKUP(B3294,'Pre-Summary'!$BW$6:$BY$58,2,FALSE),"")</f>
        <v/>
      </c>
      <c r="N3294" s="45" t="str">
        <f>IFERROR(VLOOKUP(B3294,'Pre-Summary'!$CD$6:$CF$64,2,FALSE),"")</f>
        <v/>
      </c>
      <c r="O3294" s="99">
        <f>IFERROR(VLOOKUP(B3294,'Pre-Summary'!$BO$6:$BQ$48,3, FALSE),O3293)</f>
        <v>3.3239999999999998</v>
      </c>
      <c r="P3294" s="99">
        <f>IFERROR(VLOOKUP(B3294,'Pre-Summary'!$BS$6:$BU$35,3,FALSE),P3293)</f>
        <v>0.84099999999999997</v>
      </c>
      <c r="Q3294" s="54">
        <f t="shared" si="155"/>
        <v>3.9524375743162903</v>
      </c>
      <c r="R3294" s="53">
        <f>IFERROR(VLOOKUP(B3294,'Pre-Summary'!$BG$6:$BM$44,7,FALSE),R3295)</f>
        <v>0</v>
      </c>
      <c r="S3294" s="53" t="e">
        <f>VLOOKUP(B3294,'Pre-Summary'!$BG$6:$BM$44,6,FALSE)</f>
        <v>#N/A</v>
      </c>
      <c r="Z3294" s="45" t="str">
        <f>IFERROR(VLOOKUP(B3294,'Pre-Summary'!$BZ$6:$CB$63,2,FALSE),"")</f>
        <v/>
      </c>
      <c r="AA3294" s="45" t="str">
        <f>IFERROR(VLOOKUP(B3294,'Pre-Summary'!$CG$6:$CI$70,2,FALSE),"")</f>
        <v/>
      </c>
      <c r="AB3294" s="99">
        <f>IFERROR(VLOOKUP(B3294,'Pre-Summary'!$A$6:$P$178,9,FALSE),AB3295)</f>
        <v>0</v>
      </c>
      <c r="AC3294" s="10">
        <f>IFERROR(VLOOKUP(Summary!B3294,'Pre-Summary'!$A$6:$P$184,5, FALSE)/100,AC3295)</f>
        <v>0</v>
      </c>
      <c r="AD3294" s="10">
        <f>IFERROR(VLOOKUP(Summary!B3294,'Pre-Summary'!$A$6:$P$184,3, FALSE)/100,AD3295)</f>
        <v>0</v>
      </c>
      <c r="AE3294" s="10">
        <f>IFERROR(VLOOKUP(Summary!B3294,'Pre-Summary'!$A$6:$P$184,7, FALSE)/100,AE3295)</f>
        <v>0</v>
      </c>
      <c r="AF3294" s="99">
        <f t="shared" si="153"/>
        <v>0</v>
      </c>
      <c r="AG3294" s="99">
        <f t="shared" si="154"/>
        <v>0</v>
      </c>
      <c r="AH3294" s="10" t="str">
        <f>IFERROR(VLOOKUP(B3294,'Pre-Summary'!$AZ$6:$BE$65,3,FALSE),"")</f>
        <v/>
      </c>
      <c r="AI3294" s="10" t="str">
        <f>IFERROR(VLOOKUP(B3294,'Pre-Summary'!$AZ$6:$BE$65,5,FALSE),"")</f>
        <v/>
      </c>
      <c r="AJ3294" s="10" t="str">
        <f>IFERROR(VLOOKUP(B3294,'Pre-Summary'!$AZ$6:$BE$65,4,FALSE),"")</f>
        <v/>
      </c>
      <c r="AK3294" s="10" t="str">
        <f>IFERROR(VLOOKUP(B3294,'Pre-Summary'!$AZ$6:$BE$65,6,FALSE),"")</f>
        <v/>
      </c>
      <c r="AL3294" s="10" t="str">
        <f>IFERROR(VLOOKUP(B3294,'Pre-Summary'!$BG$6:$BL$44,3,FALSE),"")</f>
        <v/>
      </c>
      <c r="AM3294" s="10" t="str">
        <f>IFERROR(VLOOKUP(B3294,'Pre-Summary'!$BG$6:$BL$44,4,FALSE),"")</f>
        <v/>
      </c>
    </row>
    <row r="3295" spans="2:39" ht="15" customHeight="1" x14ac:dyDescent="0.3">
      <c r="B3295">
        <v>329.20000000000402</v>
      </c>
      <c r="D3295" s="10"/>
      <c r="E3295" s="10"/>
      <c r="F3295">
        <f>IFERROR(VLOOKUP(B3295,'Pre-Summary'!$AL$6:$AQ$13,6,FALSE),F3294)</f>
        <v>5.9405263157894746E-2</v>
      </c>
      <c r="M3295" s="45" t="str">
        <f>IFERROR(VLOOKUP(B3295,'Pre-Summary'!$BW$6:$BY$58,2,FALSE),"")</f>
        <v/>
      </c>
      <c r="N3295" s="45" t="str">
        <f>IFERROR(VLOOKUP(B3295,'Pre-Summary'!$CD$6:$CF$64,2,FALSE),"")</f>
        <v/>
      </c>
      <c r="O3295" s="99">
        <f>IFERROR(VLOOKUP(B3295,'Pre-Summary'!$BO$6:$BQ$48,3, FALSE),O3294)</f>
        <v>3.3239999999999998</v>
      </c>
      <c r="P3295" s="99">
        <f>IFERROR(VLOOKUP(B3295,'Pre-Summary'!$BS$6:$BU$35,3,FALSE),P3294)</f>
        <v>0.84099999999999997</v>
      </c>
      <c r="Q3295" s="54">
        <f t="shared" si="155"/>
        <v>3.9524375743162903</v>
      </c>
      <c r="R3295" s="53">
        <f>IFERROR(VLOOKUP(B3295,'Pre-Summary'!$BG$6:$BM$44,7,FALSE),R3296)</f>
        <v>0</v>
      </c>
      <c r="S3295" s="53" t="e">
        <f>VLOOKUP(B3295,'Pre-Summary'!$BG$6:$BM$44,6,FALSE)</f>
        <v>#N/A</v>
      </c>
      <c r="Z3295" s="45" t="str">
        <f>IFERROR(VLOOKUP(B3295,'Pre-Summary'!$BZ$6:$CB$63,2,FALSE),"")</f>
        <v/>
      </c>
      <c r="AA3295" s="45" t="str">
        <f>IFERROR(VLOOKUP(B3295,'Pre-Summary'!$CG$6:$CI$70,2,FALSE),"")</f>
        <v/>
      </c>
      <c r="AB3295" s="99">
        <f>IFERROR(VLOOKUP(B3295,'Pre-Summary'!$A$6:$P$178,9,FALSE),AB3296)</f>
        <v>0</v>
      </c>
      <c r="AC3295" s="10">
        <f>IFERROR(VLOOKUP(Summary!B3295,'Pre-Summary'!$A$6:$P$184,5, FALSE)/100,AC3296)</f>
        <v>0</v>
      </c>
      <c r="AD3295" s="10">
        <f>IFERROR(VLOOKUP(Summary!B3295,'Pre-Summary'!$A$6:$P$184,3, FALSE)/100,AD3296)</f>
        <v>0</v>
      </c>
      <c r="AE3295" s="10">
        <f>IFERROR(VLOOKUP(Summary!B3295,'Pre-Summary'!$A$6:$P$184,7, FALSE)/100,AE3296)</f>
        <v>0</v>
      </c>
      <c r="AF3295" s="99">
        <f t="shared" si="153"/>
        <v>0</v>
      </c>
      <c r="AG3295" s="99">
        <f t="shared" si="154"/>
        <v>0</v>
      </c>
      <c r="AH3295" s="10" t="str">
        <f>IFERROR(VLOOKUP(B3295,'Pre-Summary'!$AZ$6:$BE$65,3,FALSE),"")</f>
        <v/>
      </c>
      <c r="AI3295" s="10" t="str">
        <f>IFERROR(VLOOKUP(B3295,'Pre-Summary'!$AZ$6:$BE$65,5,FALSE),"")</f>
        <v/>
      </c>
      <c r="AJ3295" s="10" t="str">
        <f>IFERROR(VLOOKUP(B3295,'Pre-Summary'!$AZ$6:$BE$65,4,FALSE),"")</f>
        <v/>
      </c>
      <c r="AK3295" s="10" t="str">
        <f>IFERROR(VLOOKUP(B3295,'Pre-Summary'!$AZ$6:$BE$65,6,FALSE),"")</f>
        <v/>
      </c>
      <c r="AL3295" s="10" t="str">
        <f>IFERROR(VLOOKUP(B3295,'Pre-Summary'!$BG$6:$BL$44,3,FALSE),"")</f>
        <v/>
      </c>
      <c r="AM3295" s="10" t="str">
        <f>IFERROR(VLOOKUP(B3295,'Pre-Summary'!$BG$6:$BL$44,4,FALSE),"")</f>
        <v/>
      </c>
    </row>
    <row r="3296" spans="2:39" ht="15" customHeight="1" x14ac:dyDescent="0.3">
      <c r="B3296">
        <v>329.30000000000399</v>
      </c>
      <c r="D3296" s="10"/>
      <c r="E3296" s="10"/>
      <c r="F3296">
        <f>IFERROR(VLOOKUP(B3296,'Pre-Summary'!$AL$6:$AQ$13,6,FALSE),F3295)</f>
        <v>5.9405263157894746E-2</v>
      </c>
      <c r="M3296" s="45" t="str">
        <f>IFERROR(VLOOKUP(B3296,'Pre-Summary'!$BW$6:$BY$58,2,FALSE),"")</f>
        <v/>
      </c>
      <c r="N3296" s="45" t="str">
        <f>IFERROR(VLOOKUP(B3296,'Pre-Summary'!$CD$6:$CF$64,2,FALSE),"")</f>
        <v/>
      </c>
      <c r="O3296" s="99">
        <f>IFERROR(VLOOKUP(B3296,'Pre-Summary'!$BO$6:$BQ$48,3, FALSE),O3295)</f>
        <v>3.3239999999999998</v>
      </c>
      <c r="P3296" s="99">
        <f>IFERROR(VLOOKUP(B3296,'Pre-Summary'!$BS$6:$BU$35,3,FALSE),P3295)</f>
        <v>0.84099999999999997</v>
      </c>
      <c r="Q3296" s="54">
        <f t="shared" si="155"/>
        <v>3.9524375743162903</v>
      </c>
      <c r="R3296" s="53">
        <f>IFERROR(VLOOKUP(B3296,'Pre-Summary'!$BG$6:$BM$44,7,FALSE),R3297)</f>
        <v>0</v>
      </c>
      <c r="S3296" s="53" t="e">
        <f>VLOOKUP(B3296,'Pre-Summary'!$BG$6:$BM$44,6,FALSE)</f>
        <v>#N/A</v>
      </c>
      <c r="Z3296" s="45" t="str">
        <f>IFERROR(VLOOKUP(B3296,'Pre-Summary'!$BZ$6:$CB$63,2,FALSE),"")</f>
        <v/>
      </c>
      <c r="AA3296" s="45" t="str">
        <f>IFERROR(VLOOKUP(B3296,'Pre-Summary'!$CG$6:$CI$70,2,FALSE),"")</f>
        <v/>
      </c>
      <c r="AB3296" s="99">
        <f>IFERROR(VLOOKUP(B3296,'Pre-Summary'!$A$6:$P$178,9,FALSE),AB3297)</f>
        <v>0</v>
      </c>
      <c r="AC3296" s="10">
        <f>IFERROR(VLOOKUP(Summary!B3296,'Pre-Summary'!$A$6:$P$184,5, FALSE)/100,AC3297)</f>
        <v>0</v>
      </c>
      <c r="AD3296" s="10">
        <f>IFERROR(VLOOKUP(Summary!B3296,'Pre-Summary'!$A$6:$P$184,3, FALSE)/100,AD3297)</f>
        <v>0</v>
      </c>
      <c r="AE3296" s="10">
        <f>IFERROR(VLOOKUP(Summary!B3296,'Pre-Summary'!$A$6:$P$184,7, FALSE)/100,AE3297)</f>
        <v>0</v>
      </c>
      <c r="AF3296" s="99">
        <f t="shared" si="153"/>
        <v>0</v>
      </c>
      <c r="AG3296" s="99">
        <f t="shared" si="154"/>
        <v>0</v>
      </c>
      <c r="AH3296" s="10" t="str">
        <f>IFERROR(VLOOKUP(B3296,'Pre-Summary'!$AZ$6:$BE$65,3,FALSE),"")</f>
        <v/>
      </c>
      <c r="AI3296" s="10" t="str">
        <f>IFERROR(VLOOKUP(B3296,'Pre-Summary'!$AZ$6:$BE$65,5,FALSE),"")</f>
        <v/>
      </c>
      <c r="AJ3296" s="10" t="str">
        <f>IFERROR(VLOOKUP(B3296,'Pre-Summary'!$AZ$6:$BE$65,4,FALSE),"")</f>
        <v/>
      </c>
      <c r="AK3296" s="10" t="str">
        <f>IFERROR(VLOOKUP(B3296,'Pre-Summary'!$AZ$6:$BE$65,6,FALSE),"")</f>
        <v/>
      </c>
      <c r="AL3296" s="10" t="str">
        <f>IFERROR(VLOOKUP(B3296,'Pre-Summary'!$BG$6:$BL$44,3,FALSE),"")</f>
        <v/>
      </c>
      <c r="AM3296" s="10" t="str">
        <f>IFERROR(VLOOKUP(B3296,'Pre-Summary'!$BG$6:$BL$44,4,FALSE),"")</f>
        <v/>
      </c>
    </row>
    <row r="3297" spans="2:39" ht="15" customHeight="1" x14ac:dyDescent="0.3">
      <c r="B3297">
        <v>329.40000000000401</v>
      </c>
      <c r="D3297" s="10"/>
      <c r="E3297" s="10"/>
      <c r="F3297">
        <f>IFERROR(VLOOKUP(B3297,'Pre-Summary'!$AL$6:$AQ$13,6,FALSE),F3296)</f>
        <v>5.9405263157894746E-2</v>
      </c>
      <c r="M3297" s="45" t="str">
        <f>IFERROR(VLOOKUP(B3297,'Pre-Summary'!$BW$6:$BY$58,2,FALSE),"")</f>
        <v/>
      </c>
      <c r="N3297" s="45" t="str">
        <f>IFERROR(VLOOKUP(B3297,'Pre-Summary'!$CD$6:$CF$64,2,FALSE),"")</f>
        <v/>
      </c>
      <c r="O3297" s="99">
        <f>IFERROR(VLOOKUP(B3297,'Pre-Summary'!$BO$6:$BQ$48,3, FALSE),O3296)</f>
        <v>3.3239999999999998</v>
      </c>
      <c r="P3297" s="99">
        <f>IFERROR(VLOOKUP(B3297,'Pre-Summary'!$BS$6:$BU$35,3,FALSE),P3296)</f>
        <v>0.84099999999999997</v>
      </c>
      <c r="Q3297" s="54">
        <f t="shared" si="155"/>
        <v>3.9524375743162903</v>
      </c>
      <c r="R3297" s="53">
        <f>IFERROR(VLOOKUP(B3297,'Pre-Summary'!$BG$6:$BM$44,7,FALSE),R3298)</f>
        <v>0</v>
      </c>
      <c r="S3297" s="53" t="e">
        <f>VLOOKUP(B3297,'Pre-Summary'!$BG$6:$BM$44,6,FALSE)</f>
        <v>#N/A</v>
      </c>
      <c r="Z3297" s="45" t="str">
        <f>IFERROR(VLOOKUP(B3297,'Pre-Summary'!$BZ$6:$CB$63,2,FALSE),"")</f>
        <v/>
      </c>
      <c r="AA3297" s="45" t="str">
        <f>IFERROR(VLOOKUP(B3297,'Pre-Summary'!$CG$6:$CI$70,2,FALSE),"")</f>
        <v/>
      </c>
      <c r="AB3297" s="99">
        <f>IFERROR(VLOOKUP(B3297,'Pre-Summary'!$A$6:$P$178,9,FALSE),AB3298)</f>
        <v>0</v>
      </c>
      <c r="AC3297" s="10">
        <f>IFERROR(VLOOKUP(Summary!B3297,'Pre-Summary'!$A$6:$P$184,5, FALSE)/100,AC3298)</f>
        <v>0</v>
      </c>
      <c r="AD3297" s="10">
        <f>IFERROR(VLOOKUP(Summary!B3297,'Pre-Summary'!$A$6:$P$184,3, FALSE)/100,AD3298)</f>
        <v>0</v>
      </c>
      <c r="AE3297" s="10">
        <f>IFERROR(VLOOKUP(Summary!B3297,'Pre-Summary'!$A$6:$P$184,7, FALSE)/100,AE3298)</f>
        <v>0</v>
      </c>
      <c r="AF3297" s="99">
        <f t="shared" si="153"/>
        <v>0</v>
      </c>
      <c r="AG3297" s="99">
        <f t="shared" si="154"/>
        <v>0</v>
      </c>
      <c r="AH3297" s="10" t="str">
        <f>IFERROR(VLOOKUP(B3297,'Pre-Summary'!$AZ$6:$BE$65,3,FALSE),"")</f>
        <v/>
      </c>
      <c r="AI3297" s="10" t="str">
        <f>IFERROR(VLOOKUP(B3297,'Pre-Summary'!$AZ$6:$BE$65,5,FALSE),"")</f>
        <v/>
      </c>
      <c r="AJ3297" s="10" t="str">
        <f>IFERROR(VLOOKUP(B3297,'Pre-Summary'!$AZ$6:$BE$65,4,FALSE),"")</f>
        <v/>
      </c>
      <c r="AK3297" s="10" t="str">
        <f>IFERROR(VLOOKUP(B3297,'Pre-Summary'!$AZ$6:$BE$65,6,FALSE),"")</f>
        <v/>
      </c>
      <c r="AL3297" s="10" t="str">
        <f>IFERROR(VLOOKUP(B3297,'Pre-Summary'!$BG$6:$BL$44,3,FALSE),"")</f>
        <v/>
      </c>
      <c r="AM3297" s="10" t="str">
        <f>IFERROR(VLOOKUP(B3297,'Pre-Summary'!$BG$6:$BL$44,4,FALSE),"")</f>
        <v/>
      </c>
    </row>
    <row r="3298" spans="2:39" ht="15" customHeight="1" x14ac:dyDescent="0.3">
      <c r="B3298">
        <v>329.50000000000398</v>
      </c>
      <c r="D3298" s="10"/>
      <c r="E3298" s="10"/>
      <c r="F3298">
        <f>IFERROR(VLOOKUP(B3298,'Pre-Summary'!$AL$6:$AQ$13,6,FALSE),F3297)</f>
        <v>5.9405263157894746E-2</v>
      </c>
      <c r="M3298" s="45" t="str">
        <f>IFERROR(VLOOKUP(B3298,'Pre-Summary'!$BW$6:$BY$58,2,FALSE),"")</f>
        <v/>
      </c>
      <c r="N3298" s="45" t="str">
        <f>IFERROR(VLOOKUP(B3298,'Pre-Summary'!$CD$6:$CF$64,2,FALSE),"")</f>
        <v/>
      </c>
      <c r="O3298" s="99">
        <f>IFERROR(VLOOKUP(B3298,'Pre-Summary'!$BO$6:$BQ$48,3, FALSE),O3297)</f>
        <v>3.3239999999999998</v>
      </c>
      <c r="P3298" s="99">
        <f>IFERROR(VLOOKUP(B3298,'Pre-Summary'!$BS$6:$BU$35,3,FALSE),P3297)</f>
        <v>0.84099999999999997</v>
      </c>
      <c r="Q3298" s="54">
        <f t="shared" si="155"/>
        <v>3.9524375743162903</v>
      </c>
      <c r="R3298" s="53">
        <f>IFERROR(VLOOKUP(B3298,'Pre-Summary'!$BG$6:$BM$44,7,FALSE),R3299)</f>
        <v>0</v>
      </c>
      <c r="S3298" s="53" t="e">
        <f>VLOOKUP(B3298,'Pre-Summary'!$BG$6:$BM$44,6,FALSE)</f>
        <v>#N/A</v>
      </c>
      <c r="Z3298" s="45" t="str">
        <f>IFERROR(VLOOKUP(B3298,'Pre-Summary'!$BZ$6:$CB$63,2,FALSE),"")</f>
        <v/>
      </c>
      <c r="AA3298" s="45" t="str">
        <f>IFERROR(VLOOKUP(B3298,'Pre-Summary'!$CG$6:$CI$70,2,FALSE),"")</f>
        <v/>
      </c>
      <c r="AB3298" s="99">
        <f>IFERROR(VLOOKUP(B3298,'Pre-Summary'!$A$6:$P$178,9,FALSE),AB3299)</f>
        <v>0</v>
      </c>
      <c r="AC3298" s="10">
        <f>IFERROR(VLOOKUP(Summary!B3298,'Pre-Summary'!$A$6:$P$184,5, FALSE)/100,AC3299)</f>
        <v>0</v>
      </c>
      <c r="AD3298" s="10">
        <f>IFERROR(VLOOKUP(Summary!B3298,'Pre-Summary'!$A$6:$P$184,3, FALSE)/100,AD3299)</f>
        <v>0</v>
      </c>
      <c r="AE3298" s="10">
        <f>IFERROR(VLOOKUP(Summary!B3298,'Pre-Summary'!$A$6:$P$184,7, FALSE)/100,AE3299)</f>
        <v>0</v>
      </c>
      <c r="AF3298" s="99">
        <f t="shared" si="153"/>
        <v>0</v>
      </c>
      <c r="AG3298" s="99">
        <f t="shared" si="154"/>
        <v>0</v>
      </c>
      <c r="AH3298" s="10" t="str">
        <f>IFERROR(VLOOKUP(B3298,'Pre-Summary'!$AZ$6:$BE$65,3,FALSE),"")</f>
        <v/>
      </c>
      <c r="AI3298" s="10" t="str">
        <f>IFERROR(VLOOKUP(B3298,'Pre-Summary'!$AZ$6:$BE$65,5,FALSE),"")</f>
        <v/>
      </c>
      <c r="AJ3298" s="10" t="str">
        <f>IFERROR(VLOOKUP(B3298,'Pre-Summary'!$AZ$6:$BE$65,4,FALSE),"")</f>
        <v/>
      </c>
      <c r="AK3298" s="10" t="str">
        <f>IFERROR(VLOOKUP(B3298,'Pre-Summary'!$AZ$6:$BE$65,6,FALSE),"")</f>
        <v/>
      </c>
      <c r="AL3298" s="10" t="str">
        <f>IFERROR(VLOOKUP(B3298,'Pre-Summary'!$BG$6:$BL$44,3,FALSE),"")</f>
        <v/>
      </c>
      <c r="AM3298" s="10" t="str">
        <f>IFERROR(VLOOKUP(B3298,'Pre-Summary'!$BG$6:$BL$44,4,FALSE),"")</f>
        <v/>
      </c>
    </row>
    <row r="3299" spans="2:39" ht="15" customHeight="1" x14ac:dyDescent="0.3">
      <c r="B3299">
        <v>329.600000000004</v>
      </c>
      <c r="D3299" s="10"/>
      <c r="E3299" s="10"/>
      <c r="F3299">
        <f>IFERROR(VLOOKUP(B3299,'Pre-Summary'!$AL$6:$AQ$13,6,FALSE),F3298)</f>
        <v>5.9405263157894746E-2</v>
      </c>
      <c r="M3299" s="45" t="str">
        <f>IFERROR(VLOOKUP(B3299,'Pre-Summary'!$BW$6:$BY$58,2,FALSE),"")</f>
        <v/>
      </c>
      <c r="N3299" s="45" t="str">
        <f>IFERROR(VLOOKUP(B3299,'Pre-Summary'!$CD$6:$CF$64,2,FALSE),"")</f>
        <v/>
      </c>
      <c r="O3299" s="99">
        <f>IFERROR(VLOOKUP(B3299,'Pre-Summary'!$BO$6:$BQ$48,3, FALSE),O3298)</f>
        <v>3.3239999999999998</v>
      </c>
      <c r="P3299" s="99">
        <f>IFERROR(VLOOKUP(B3299,'Pre-Summary'!$BS$6:$BU$35,3,FALSE),P3298)</f>
        <v>0.84099999999999997</v>
      </c>
      <c r="Q3299" s="54">
        <f t="shared" si="155"/>
        <v>3.9524375743162903</v>
      </c>
      <c r="R3299" s="53">
        <f>IFERROR(VLOOKUP(B3299,'Pre-Summary'!$BG$6:$BM$44,7,FALSE),R3300)</f>
        <v>0</v>
      </c>
      <c r="S3299" s="53" t="e">
        <f>VLOOKUP(B3299,'Pre-Summary'!$BG$6:$BM$44,6,FALSE)</f>
        <v>#N/A</v>
      </c>
      <c r="Z3299" s="45" t="str">
        <f>IFERROR(VLOOKUP(B3299,'Pre-Summary'!$BZ$6:$CB$63,2,FALSE),"")</f>
        <v/>
      </c>
      <c r="AA3299" s="45" t="str">
        <f>IFERROR(VLOOKUP(B3299,'Pre-Summary'!$CG$6:$CI$70,2,FALSE),"")</f>
        <v/>
      </c>
      <c r="AB3299" s="99">
        <f>IFERROR(VLOOKUP(B3299,'Pre-Summary'!$A$6:$P$178,9,FALSE),AB3300)</f>
        <v>0</v>
      </c>
      <c r="AC3299" s="10">
        <f>IFERROR(VLOOKUP(Summary!B3299,'Pre-Summary'!$A$6:$P$184,5, FALSE)/100,AC3300)</f>
        <v>0</v>
      </c>
      <c r="AD3299" s="10">
        <f>IFERROR(VLOOKUP(Summary!B3299,'Pre-Summary'!$A$6:$P$184,3, FALSE)/100,AD3300)</f>
        <v>0</v>
      </c>
      <c r="AE3299" s="10">
        <f>IFERROR(VLOOKUP(Summary!B3299,'Pre-Summary'!$A$6:$P$184,7, FALSE)/100,AE3300)</f>
        <v>0</v>
      </c>
      <c r="AF3299" s="99">
        <f t="shared" si="153"/>
        <v>0</v>
      </c>
      <c r="AG3299" s="99">
        <f t="shared" si="154"/>
        <v>0</v>
      </c>
      <c r="AH3299" s="10" t="str">
        <f>IFERROR(VLOOKUP(B3299,'Pre-Summary'!$AZ$6:$BE$65,3,FALSE),"")</f>
        <v/>
      </c>
      <c r="AI3299" s="10" t="str">
        <f>IFERROR(VLOOKUP(B3299,'Pre-Summary'!$AZ$6:$BE$65,5,FALSE),"")</f>
        <v/>
      </c>
      <c r="AJ3299" s="10" t="str">
        <f>IFERROR(VLOOKUP(B3299,'Pre-Summary'!$AZ$6:$BE$65,4,FALSE),"")</f>
        <v/>
      </c>
      <c r="AK3299" s="10" t="str">
        <f>IFERROR(VLOOKUP(B3299,'Pre-Summary'!$AZ$6:$BE$65,6,FALSE),"")</f>
        <v/>
      </c>
      <c r="AL3299" s="10" t="str">
        <f>IFERROR(VLOOKUP(B3299,'Pre-Summary'!$BG$6:$BL$44,3,FALSE),"")</f>
        <v/>
      </c>
      <c r="AM3299" s="10" t="str">
        <f>IFERROR(VLOOKUP(B3299,'Pre-Summary'!$BG$6:$BL$44,4,FALSE),"")</f>
        <v/>
      </c>
    </row>
    <row r="3300" spans="2:39" ht="15" customHeight="1" x14ac:dyDescent="0.3">
      <c r="B3300">
        <v>329.70000000000402</v>
      </c>
      <c r="D3300" s="10"/>
      <c r="E3300" s="10"/>
      <c r="F3300">
        <f>IFERROR(VLOOKUP(B3300,'Pre-Summary'!$AL$6:$AQ$13,6,FALSE),F3299)</f>
        <v>5.9405263157894746E-2</v>
      </c>
      <c r="M3300" s="45" t="str">
        <f>IFERROR(VLOOKUP(B3300,'Pre-Summary'!$BW$6:$BY$58,2,FALSE),"")</f>
        <v/>
      </c>
      <c r="N3300" s="45" t="str">
        <f>IFERROR(VLOOKUP(B3300,'Pre-Summary'!$CD$6:$CF$64,2,FALSE),"")</f>
        <v/>
      </c>
      <c r="O3300" s="99">
        <f>IFERROR(VLOOKUP(B3300,'Pre-Summary'!$BO$6:$BQ$48,3, FALSE),O3299)</f>
        <v>3.3239999999999998</v>
      </c>
      <c r="P3300" s="99">
        <f>IFERROR(VLOOKUP(B3300,'Pre-Summary'!$BS$6:$BU$35,3,FALSE),P3299)</f>
        <v>0.84099999999999997</v>
      </c>
      <c r="Q3300" s="54">
        <f t="shared" si="155"/>
        <v>3.9524375743162903</v>
      </c>
      <c r="R3300" s="53">
        <f>IFERROR(VLOOKUP(B3300,'Pre-Summary'!$BG$6:$BM$44,7,FALSE),R3301)</f>
        <v>0</v>
      </c>
      <c r="S3300" s="53" t="e">
        <f>VLOOKUP(B3300,'Pre-Summary'!$BG$6:$BM$44,6,FALSE)</f>
        <v>#N/A</v>
      </c>
      <c r="Z3300" s="45" t="str">
        <f>IFERROR(VLOOKUP(B3300,'Pre-Summary'!$BZ$6:$CB$63,2,FALSE),"")</f>
        <v/>
      </c>
      <c r="AA3300" s="45" t="str">
        <f>IFERROR(VLOOKUP(B3300,'Pre-Summary'!$CG$6:$CI$70,2,FALSE),"")</f>
        <v/>
      </c>
      <c r="AB3300" s="99">
        <f>IFERROR(VLOOKUP(B3300,'Pre-Summary'!$A$6:$P$178,9,FALSE),AB3301)</f>
        <v>0</v>
      </c>
      <c r="AC3300" s="10">
        <f>IFERROR(VLOOKUP(Summary!B3300,'Pre-Summary'!$A$6:$P$184,5, FALSE)/100,AC3301)</f>
        <v>0</v>
      </c>
      <c r="AD3300" s="10">
        <f>IFERROR(VLOOKUP(Summary!B3300,'Pre-Summary'!$A$6:$P$184,3, FALSE)/100,AD3301)</f>
        <v>0</v>
      </c>
      <c r="AE3300" s="10">
        <f>IFERROR(VLOOKUP(Summary!B3300,'Pre-Summary'!$A$6:$P$184,7, FALSE)/100,AE3301)</f>
        <v>0</v>
      </c>
      <c r="AF3300" s="99">
        <f t="shared" si="153"/>
        <v>0</v>
      </c>
      <c r="AG3300" s="99">
        <f t="shared" si="154"/>
        <v>0</v>
      </c>
      <c r="AH3300" s="10" t="str">
        <f>IFERROR(VLOOKUP(B3300,'Pre-Summary'!$AZ$6:$BE$65,3,FALSE),"")</f>
        <v/>
      </c>
      <c r="AI3300" s="10" t="str">
        <f>IFERROR(VLOOKUP(B3300,'Pre-Summary'!$AZ$6:$BE$65,5,FALSE),"")</f>
        <v/>
      </c>
      <c r="AJ3300" s="10" t="str">
        <f>IFERROR(VLOOKUP(B3300,'Pre-Summary'!$AZ$6:$BE$65,4,FALSE),"")</f>
        <v/>
      </c>
      <c r="AK3300" s="10" t="str">
        <f>IFERROR(VLOOKUP(B3300,'Pre-Summary'!$AZ$6:$BE$65,6,FALSE),"")</f>
        <v/>
      </c>
      <c r="AL3300" s="10" t="str">
        <f>IFERROR(VLOOKUP(B3300,'Pre-Summary'!$BG$6:$BL$44,3,FALSE),"")</f>
        <v/>
      </c>
      <c r="AM3300" s="10" t="str">
        <f>IFERROR(VLOOKUP(B3300,'Pre-Summary'!$BG$6:$BL$44,4,FALSE),"")</f>
        <v/>
      </c>
    </row>
    <row r="3301" spans="2:39" ht="15" customHeight="1" x14ac:dyDescent="0.3">
      <c r="B3301">
        <v>329.80000000000501</v>
      </c>
      <c r="D3301" s="10"/>
      <c r="E3301" s="10"/>
      <c r="F3301">
        <f>IFERROR(VLOOKUP(B3301,'Pre-Summary'!$AL$6:$AQ$13,6,FALSE),F3300)</f>
        <v>5.9405263157894746E-2</v>
      </c>
      <c r="M3301" s="45" t="str">
        <f>IFERROR(VLOOKUP(B3301,'Pre-Summary'!$BW$6:$BY$58,2,FALSE),"")</f>
        <v/>
      </c>
      <c r="N3301" s="45" t="str">
        <f>IFERROR(VLOOKUP(B3301,'Pre-Summary'!$CD$6:$CF$64,2,FALSE),"")</f>
        <v/>
      </c>
      <c r="O3301" s="99">
        <f>IFERROR(VLOOKUP(B3301,'Pre-Summary'!$BO$6:$BQ$48,3, FALSE),O3300)</f>
        <v>3.3239999999999998</v>
      </c>
      <c r="P3301" s="99">
        <f>IFERROR(VLOOKUP(B3301,'Pre-Summary'!$BS$6:$BU$35,3,FALSE),P3300)</f>
        <v>0.84099999999999997</v>
      </c>
      <c r="Q3301" s="54">
        <f t="shared" si="155"/>
        <v>3.9524375743162903</v>
      </c>
      <c r="R3301" s="53">
        <f>IFERROR(VLOOKUP(B3301,'Pre-Summary'!$BG$6:$BM$44,7,FALSE),R3302)</f>
        <v>0</v>
      </c>
      <c r="S3301" s="53" t="e">
        <f>VLOOKUP(B3301,'Pre-Summary'!$BG$6:$BM$44,6,FALSE)</f>
        <v>#N/A</v>
      </c>
      <c r="Z3301" s="45" t="str">
        <f>IFERROR(VLOOKUP(B3301,'Pre-Summary'!$BZ$6:$CB$63,2,FALSE),"")</f>
        <v/>
      </c>
      <c r="AA3301" s="45" t="str">
        <f>IFERROR(VLOOKUP(B3301,'Pre-Summary'!$CG$6:$CI$70,2,FALSE),"")</f>
        <v/>
      </c>
      <c r="AB3301" s="99">
        <f>IFERROR(VLOOKUP(B3301,'Pre-Summary'!$A$6:$P$178,9,FALSE),AB3302)</f>
        <v>0</v>
      </c>
      <c r="AC3301" s="10">
        <f>IFERROR(VLOOKUP(Summary!B3301,'Pre-Summary'!$A$6:$P$184,5, FALSE)/100,AC3302)</f>
        <v>0</v>
      </c>
      <c r="AD3301" s="10">
        <f>IFERROR(VLOOKUP(Summary!B3301,'Pre-Summary'!$A$6:$P$184,3, FALSE)/100,AD3302)</f>
        <v>0</v>
      </c>
      <c r="AE3301" s="10">
        <f>IFERROR(VLOOKUP(Summary!B3301,'Pre-Summary'!$A$6:$P$184,7, FALSE)/100,AE3302)</f>
        <v>0</v>
      </c>
      <c r="AF3301" s="99">
        <f t="shared" si="153"/>
        <v>0</v>
      </c>
      <c r="AG3301" s="99">
        <f t="shared" si="154"/>
        <v>0</v>
      </c>
      <c r="AH3301" s="10" t="str">
        <f>IFERROR(VLOOKUP(B3301,'Pre-Summary'!$AZ$6:$BE$65,3,FALSE),"")</f>
        <v/>
      </c>
      <c r="AI3301" s="10" t="str">
        <f>IFERROR(VLOOKUP(B3301,'Pre-Summary'!$AZ$6:$BE$65,5,FALSE),"")</f>
        <v/>
      </c>
      <c r="AJ3301" s="10" t="str">
        <f>IFERROR(VLOOKUP(B3301,'Pre-Summary'!$AZ$6:$BE$65,4,FALSE),"")</f>
        <v/>
      </c>
      <c r="AK3301" s="10" t="str">
        <f>IFERROR(VLOOKUP(B3301,'Pre-Summary'!$AZ$6:$BE$65,6,FALSE),"")</f>
        <v/>
      </c>
      <c r="AL3301" s="10" t="str">
        <f>IFERROR(VLOOKUP(B3301,'Pre-Summary'!$BG$6:$BL$44,3,FALSE),"")</f>
        <v/>
      </c>
      <c r="AM3301" s="10" t="str">
        <f>IFERROR(VLOOKUP(B3301,'Pre-Summary'!$BG$6:$BL$44,4,FALSE),"")</f>
        <v/>
      </c>
    </row>
    <row r="3302" spans="2:39" ht="15" customHeight="1" x14ac:dyDescent="0.3">
      <c r="B3302">
        <v>329.90000000000401</v>
      </c>
      <c r="D3302" s="10"/>
      <c r="E3302" s="10"/>
      <c r="F3302">
        <f>IFERROR(VLOOKUP(B3302,'Pre-Summary'!$AL$6:$AQ$13,6,FALSE),F3301)</f>
        <v>5.9405263157894746E-2</v>
      </c>
      <c r="M3302" s="45" t="str">
        <f>IFERROR(VLOOKUP(B3302,'Pre-Summary'!$BW$6:$BY$58,2,FALSE),"")</f>
        <v/>
      </c>
      <c r="N3302" s="45" t="str">
        <f>IFERROR(VLOOKUP(B3302,'Pre-Summary'!$CD$6:$CF$64,2,FALSE),"")</f>
        <v/>
      </c>
      <c r="O3302" s="99">
        <f>IFERROR(VLOOKUP(B3302,'Pre-Summary'!$BO$6:$BQ$48,3, FALSE),O3301)</f>
        <v>3.3239999999999998</v>
      </c>
      <c r="P3302" s="99">
        <f>IFERROR(VLOOKUP(B3302,'Pre-Summary'!$BS$6:$BU$35,3,FALSE),P3301)</f>
        <v>0.84099999999999997</v>
      </c>
      <c r="Q3302" s="54">
        <f t="shared" si="155"/>
        <v>3.9524375743162903</v>
      </c>
      <c r="R3302" s="53">
        <f>IFERROR(VLOOKUP(B3302,'Pre-Summary'!$BG$6:$BM$44,7,FALSE),R3303)</f>
        <v>0</v>
      </c>
      <c r="S3302" s="53" t="e">
        <f>VLOOKUP(B3302,'Pre-Summary'!$BG$6:$BM$44,6,FALSE)</f>
        <v>#N/A</v>
      </c>
      <c r="Z3302" s="45" t="str">
        <f>IFERROR(VLOOKUP(B3302,'Pre-Summary'!$BZ$6:$CB$63,2,FALSE),"")</f>
        <v/>
      </c>
      <c r="AA3302" s="45" t="str">
        <f>IFERROR(VLOOKUP(B3302,'Pre-Summary'!$CG$6:$CI$70,2,FALSE),"")</f>
        <v/>
      </c>
      <c r="AB3302" s="99">
        <f>IFERROR(VLOOKUP(B3302,'Pre-Summary'!$A$6:$P$178,9,FALSE),AB3303)</f>
        <v>0</v>
      </c>
      <c r="AC3302" s="10">
        <f>IFERROR(VLOOKUP(Summary!B3302,'Pre-Summary'!$A$6:$P$184,5, FALSE)/100,AC3303)</f>
        <v>0</v>
      </c>
      <c r="AD3302" s="10">
        <f>IFERROR(VLOOKUP(Summary!B3302,'Pre-Summary'!$A$6:$P$184,3, FALSE)/100,AD3303)</f>
        <v>0</v>
      </c>
      <c r="AE3302" s="10">
        <f>IFERROR(VLOOKUP(Summary!B3302,'Pre-Summary'!$A$6:$P$184,7, FALSE)/100,AE3303)</f>
        <v>0</v>
      </c>
      <c r="AF3302" s="99">
        <f t="shared" si="153"/>
        <v>0</v>
      </c>
      <c r="AG3302" s="99">
        <f t="shared" si="154"/>
        <v>0</v>
      </c>
      <c r="AH3302" s="10" t="str">
        <f>IFERROR(VLOOKUP(B3302,'Pre-Summary'!$AZ$6:$BE$65,3,FALSE),"")</f>
        <v/>
      </c>
      <c r="AI3302" s="10" t="str">
        <f>IFERROR(VLOOKUP(B3302,'Pre-Summary'!$AZ$6:$BE$65,5,FALSE),"")</f>
        <v/>
      </c>
      <c r="AJ3302" s="10" t="str">
        <f>IFERROR(VLOOKUP(B3302,'Pre-Summary'!$AZ$6:$BE$65,4,FALSE),"")</f>
        <v/>
      </c>
      <c r="AK3302" s="10" t="str">
        <f>IFERROR(VLOOKUP(B3302,'Pre-Summary'!$AZ$6:$BE$65,6,FALSE),"")</f>
        <v/>
      </c>
      <c r="AL3302" s="10" t="str">
        <f>IFERROR(VLOOKUP(B3302,'Pre-Summary'!$BG$6:$BL$44,3,FALSE),"")</f>
        <v/>
      </c>
      <c r="AM3302" s="10" t="str">
        <f>IFERROR(VLOOKUP(B3302,'Pre-Summary'!$BG$6:$BL$44,4,FALSE),"")</f>
        <v/>
      </c>
    </row>
    <row r="3303" spans="2:39" ht="15" customHeight="1" x14ac:dyDescent="0.3">
      <c r="B3303">
        <v>330.000000000005</v>
      </c>
      <c r="D3303" s="10"/>
      <c r="E3303" s="10"/>
      <c r="F3303">
        <f>IFERROR(VLOOKUP(B3303,'Pre-Summary'!$AL$6:$AQ$13,6,FALSE),F3302)</f>
        <v>5.9405263157894746E-2</v>
      </c>
      <c r="M3303" s="45" t="str">
        <f>IFERROR(VLOOKUP(B3303,'Pre-Summary'!$BW$6:$BY$58,2,FALSE),"")</f>
        <v/>
      </c>
      <c r="N3303" s="45" t="str">
        <f>IFERROR(VLOOKUP(B3303,'Pre-Summary'!$CD$6:$CF$64,2,FALSE),"")</f>
        <v/>
      </c>
      <c r="O3303" s="99">
        <f>IFERROR(VLOOKUP(B3303,'Pre-Summary'!$BO$6:$BQ$48,3, FALSE),O3302)</f>
        <v>3.3239999999999998</v>
      </c>
      <c r="P3303" s="99">
        <f>IFERROR(VLOOKUP(B3303,'Pre-Summary'!$BS$6:$BU$35,3,FALSE),P3302)</f>
        <v>0.84099999999999997</v>
      </c>
      <c r="Q3303" s="54">
        <f t="shared" si="155"/>
        <v>3.9524375743162903</v>
      </c>
      <c r="R3303" s="53">
        <f>IFERROR(VLOOKUP(B3303,'Pre-Summary'!$BG$6:$BM$44,7,FALSE),R3304)</f>
        <v>0</v>
      </c>
      <c r="S3303" s="53" t="e">
        <f>VLOOKUP(B3303,'Pre-Summary'!$BG$6:$BM$44,6,FALSE)</f>
        <v>#N/A</v>
      </c>
      <c r="Z3303" s="45" t="str">
        <f>IFERROR(VLOOKUP(B3303,'Pre-Summary'!$BZ$6:$CB$63,2,FALSE),"")</f>
        <v/>
      </c>
      <c r="AA3303" s="45" t="str">
        <f>IFERROR(VLOOKUP(B3303,'Pre-Summary'!$CG$6:$CI$70,2,FALSE),"")</f>
        <v/>
      </c>
      <c r="AB3303" s="99">
        <f>IFERROR(VLOOKUP(B3303,'Pre-Summary'!$A$6:$P$178,9,FALSE),AB3304)</f>
        <v>0</v>
      </c>
      <c r="AC3303" s="10">
        <f>IFERROR(VLOOKUP(Summary!B3303,'Pre-Summary'!$A$6:$P$184,5, FALSE)/100,AC3304)</f>
        <v>0</v>
      </c>
      <c r="AD3303" s="10">
        <f>IFERROR(VLOOKUP(Summary!B3303,'Pre-Summary'!$A$6:$P$184,3, FALSE)/100,AD3304)</f>
        <v>0</v>
      </c>
      <c r="AE3303" s="10">
        <f>IFERROR(VLOOKUP(Summary!B3303,'Pre-Summary'!$A$6:$P$184,7, FALSE)/100,AE3304)</f>
        <v>0</v>
      </c>
      <c r="AF3303" s="99">
        <f t="shared" si="153"/>
        <v>0</v>
      </c>
      <c r="AG3303" s="99">
        <f t="shared" si="154"/>
        <v>0</v>
      </c>
      <c r="AH3303" s="10" t="str">
        <f>IFERROR(VLOOKUP(B3303,'Pre-Summary'!$AZ$6:$BE$65,3,FALSE),"")</f>
        <v/>
      </c>
      <c r="AI3303" s="10" t="str">
        <f>IFERROR(VLOOKUP(B3303,'Pre-Summary'!$AZ$6:$BE$65,5,FALSE),"")</f>
        <v/>
      </c>
      <c r="AJ3303" s="10" t="str">
        <f>IFERROR(VLOOKUP(B3303,'Pre-Summary'!$AZ$6:$BE$65,4,FALSE),"")</f>
        <v/>
      </c>
      <c r="AK3303" s="10" t="str">
        <f>IFERROR(VLOOKUP(B3303,'Pre-Summary'!$AZ$6:$BE$65,6,FALSE),"")</f>
        <v/>
      </c>
      <c r="AL3303" s="10" t="str">
        <f>IFERROR(VLOOKUP(B3303,'Pre-Summary'!$BG$6:$BL$44,3,FALSE),"")</f>
        <v/>
      </c>
      <c r="AM3303" s="10" t="str">
        <f>IFERROR(VLOOKUP(B3303,'Pre-Summary'!$BG$6:$BL$44,4,FALSE),"")</f>
        <v/>
      </c>
    </row>
    <row r="3304" spans="2:39" ht="15" customHeight="1" x14ac:dyDescent="0.3">
      <c r="B3304">
        <v>330.10000000000502</v>
      </c>
      <c r="D3304" s="10"/>
      <c r="E3304" s="10"/>
      <c r="F3304">
        <f>IFERROR(VLOOKUP(B3304,'Pre-Summary'!$AL$6:$AQ$13,6,FALSE),F3303)</f>
        <v>5.9405263157894746E-2</v>
      </c>
      <c r="M3304" s="45" t="str">
        <f>IFERROR(VLOOKUP(B3304,'Pre-Summary'!$BW$6:$BY$58,2,FALSE),"")</f>
        <v/>
      </c>
      <c r="N3304" s="45" t="str">
        <f>IFERROR(VLOOKUP(B3304,'Pre-Summary'!$CD$6:$CF$64,2,FALSE),"")</f>
        <v/>
      </c>
      <c r="O3304" s="99">
        <f>IFERROR(VLOOKUP(B3304,'Pre-Summary'!$BO$6:$BQ$48,3, FALSE),O3303)</f>
        <v>3.3239999999999998</v>
      </c>
      <c r="P3304" s="99">
        <f>IFERROR(VLOOKUP(B3304,'Pre-Summary'!$BS$6:$BU$35,3,FALSE),P3303)</f>
        <v>0.84099999999999997</v>
      </c>
      <c r="Q3304" s="54">
        <f t="shared" si="155"/>
        <v>3.9524375743162903</v>
      </c>
      <c r="R3304" s="53">
        <f>IFERROR(VLOOKUP(B3304,'Pre-Summary'!$BG$6:$BM$44,7,FALSE),R3305)</f>
        <v>0</v>
      </c>
      <c r="S3304" s="53" t="e">
        <f>VLOOKUP(B3304,'Pre-Summary'!$BG$6:$BM$44,6,FALSE)</f>
        <v>#N/A</v>
      </c>
      <c r="Z3304" s="45" t="str">
        <f>IFERROR(VLOOKUP(B3304,'Pre-Summary'!$BZ$6:$CB$63,2,FALSE),"")</f>
        <v/>
      </c>
      <c r="AA3304" s="45" t="str">
        <f>IFERROR(VLOOKUP(B3304,'Pre-Summary'!$CG$6:$CI$70,2,FALSE),"")</f>
        <v/>
      </c>
      <c r="AB3304" s="99">
        <f>IFERROR(VLOOKUP(B3304,'Pre-Summary'!$A$6:$P$178,9,FALSE),AB3305)</f>
        <v>0</v>
      </c>
      <c r="AC3304" s="10">
        <f>IFERROR(VLOOKUP(Summary!B3304,'Pre-Summary'!$A$6:$P$184,5, FALSE)/100,AC3305)</f>
        <v>0</v>
      </c>
      <c r="AD3304" s="10">
        <f>IFERROR(VLOOKUP(Summary!B3304,'Pre-Summary'!$A$6:$P$184,3, FALSE)/100,AD3305)</f>
        <v>0</v>
      </c>
      <c r="AE3304" s="10">
        <f>IFERROR(VLOOKUP(Summary!B3304,'Pre-Summary'!$A$6:$P$184,7, FALSE)/100,AE3305)</f>
        <v>0</v>
      </c>
      <c r="AF3304" s="99">
        <f t="shared" si="153"/>
        <v>0</v>
      </c>
      <c r="AG3304" s="99">
        <f t="shared" si="154"/>
        <v>0</v>
      </c>
      <c r="AH3304" s="10" t="str">
        <f>IFERROR(VLOOKUP(B3304,'Pre-Summary'!$AZ$6:$BE$65,3,FALSE),"")</f>
        <v/>
      </c>
      <c r="AI3304" s="10" t="str">
        <f>IFERROR(VLOOKUP(B3304,'Pre-Summary'!$AZ$6:$BE$65,5,FALSE),"")</f>
        <v/>
      </c>
      <c r="AJ3304" s="10" t="str">
        <f>IFERROR(VLOOKUP(B3304,'Pre-Summary'!$AZ$6:$BE$65,4,FALSE),"")</f>
        <v/>
      </c>
      <c r="AK3304" s="10" t="str">
        <f>IFERROR(VLOOKUP(B3304,'Pre-Summary'!$AZ$6:$BE$65,6,FALSE),"")</f>
        <v/>
      </c>
      <c r="AL3304" s="10" t="str">
        <f>IFERROR(VLOOKUP(B3304,'Pre-Summary'!$BG$6:$BL$44,3,FALSE),"")</f>
        <v/>
      </c>
      <c r="AM3304" s="10" t="str">
        <f>IFERROR(VLOOKUP(B3304,'Pre-Summary'!$BG$6:$BL$44,4,FALSE),"")</f>
        <v/>
      </c>
    </row>
    <row r="3305" spans="2:39" ht="15" customHeight="1" x14ac:dyDescent="0.3">
      <c r="B3305">
        <v>330.20000000000499</v>
      </c>
      <c r="D3305" s="10"/>
      <c r="E3305" s="10"/>
      <c r="F3305">
        <f>IFERROR(VLOOKUP(B3305,'Pre-Summary'!$AL$6:$AQ$13,6,FALSE),F3304)</f>
        <v>5.9405263157894746E-2</v>
      </c>
      <c r="M3305" s="45" t="str">
        <f>IFERROR(VLOOKUP(B3305,'Pre-Summary'!$BW$6:$BY$58,2,FALSE),"")</f>
        <v/>
      </c>
      <c r="N3305" s="45" t="str">
        <f>IFERROR(VLOOKUP(B3305,'Pre-Summary'!$CD$6:$CF$64,2,FALSE),"")</f>
        <v/>
      </c>
      <c r="O3305" s="99">
        <f>IFERROR(VLOOKUP(B3305,'Pre-Summary'!$BO$6:$BQ$48,3, FALSE),O3304)</f>
        <v>3.3239999999999998</v>
      </c>
      <c r="P3305" s="99">
        <f>IFERROR(VLOOKUP(B3305,'Pre-Summary'!$BS$6:$BU$35,3,FALSE),P3304)</f>
        <v>0.84099999999999997</v>
      </c>
      <c r="Q3305" s="54">
        <f t="shared" si="155"/>
        <v>3.9524375743162903</v>
      </c>
      <c r="R3305" s="53">
        <f>IFERROR(VLOOKUP(B3305,'Pre-Summary'!$BG$6:$BM$44,7,FALSE),R3306)</f>
        <v>0</v>
      </c>
      <c r="S3305" s="53" t="e">
        <f>VLOOKUP(B3305,'Pre-Summary'!$BG$6:$BM$44,6,FALSE)</f>
        <v>#N/A</v>
      </c>
      <c r="Z3305" s="45" t="str">
        <f>IFERROR(VLOOKUP(B3305,'Pre-Summary'!$BZ$6:$CB$63,2,FALSE),"")</f>
        <v/>
      </c>
      <c r="AA3305" s="45" t="str">
        <f>IFERROR(VLOOKUP(B3305,'Pre-Summary'!$CG$6:$CI$70,2,FALSE),"")</f>
        <v/>
      </c>
      <c r="AB3305" s="99">
        <f>IFERROR(VLOOKUP(B3305,'Pre-Summary'!$A$6:$P$178,9,FALSE),AB3306)</f>
        <v>0</v>
      </c>
      <c r="AC3305" s="10">
        <f>IFERROR(VLOOKUP(Summary!B3305,'Pre-Summary'!$A$6:$P$184,5, FALSE)/100,AC3306)</f>
        <v>0</v>
      </c>
      <c r="AD3305" s="10">
        <f>IFERROR(VLOOKUP(Summary!B3305,'Pre-Summary'!$A$6:$P$184,3, FALSE)/100,AD3306)</f>
        <v>0</v>
      </c>
      <c r="AE3305" s="10">
        <f>IFERROR(VLOOKUP(Summary!B3305,'Pre-Summary'!$A$6:$P$184,7, FALSE)/100,AE3306)</f>
        <v>0</v>
      </c>
      <c r="AF3305" s="99">
        <f t="shared" si="153"/>
        <v>0</v>
      </c>
      <c r="AG3305" s="99">
        <f t="shared" si="154"/>
        <v>0</v>
      </c>
      <c r="AH3305" s="10" t="str">
        <f>IFERROR(VLOOKUP(B3305,'Pre-Summary'!$AZ$6:$BE$65,3,FALSE),"")</f>
        <v/>
      </c>
      <c r="AI3305" s="10" t="str">
        <f>IFERROR(VLOOKUP(B3305,'Pre-Summary'!$AZ$6:$BE$65,5,FALSE),"")</f>
        <v/>
      </c>
      <c r="AJ3305" s="10" t="str">
        <f>IFERROR(VLOOKUP(B3305,'Pre-Summary'!$AZ$6:$BE$65,4,FALSE),"")</f>
        <v/>
      </c>
      <c r="AK3305" s="10" t="str">
        <f>IFERROR(VLOOKUP(B3305,'Pre-Summary'!$AZ$6:$BE$65,6,FALSE),"")</f>
        <v/>
      </c>
      <c r="AL3305" s="10" t="str">
        <f>IFERROR(VLOOKUP(B3305,'Pre-Summary'!$BG$6:$BL$44,3,FALSE),"")</f>
        <v/>
      </c>
      <c r="AM3305" s="10" t="str">
        <f>IFERROR(VLOOKUP(B3305,'Pre-Summary'!$BG$6:$BL$44,4,FALSE),"")</f>
        <v/>
      </c>
    </row>
    <row r="3306" spans="2:39" ht="15" customHeight="1" x14ac:dyDescent="0.3">
      <c r="B3306">
        <v>330.30000000000501</v>
      </c>
      <c r="D3306" s="10"/>
      <c r="E3306" s="10"/>
      <c r="F3306">
        <f>IFERROR(VLOOKUP(B3306,'Pre-Summary'!$AL$6:$AQ$13,6,FALSE),F3305)</f>
        <v>5.9405263157894746E-2</v>
      </c>
      <c r="M3306" s="45" t="str">
        <f>IFERROR(VLOOKUP(B3306,'Pre-Summary'!$BW$6:$BY$58,2,FALSE),"")</f>
        <v/>
      </c>
      <c r="N3306" s="45" t="str">
        <f>IFERROR(VLOOKUP(B3306,'Pre-Summary'!$CD$6:$CF$64,2,FALSE),"")</f>
        <v/>
      </c>
      <c r="O3306" s="99">
        <f>IFERROR(VLOOKUP(B3306,'Pre-Summary'!$BO$6:$BQ$48,3, FALSE),O3305)</f>
        <v>3.3239999999999998</v>
      </c>
      <c r="P3306" s="99">
        <f>IFERROR(VLOOKUP(B3306,'Pre-Summary'!$BS$6:$BU$35,3,FALSE),P3305)</f>
        <v>0.84099999999999997</v>
      </c>
      <c r="Q3306" s="54">
        <f t="shared" si="155"/>
        <v>3.9524375743162903</v>
      </c>
      <c r="R3306" s="53">
        <f>IFERROR(VLOOKUP(B3306,'Pre-Summary'!$BG$6:$BM$44,7,FALSE),R3307)</f>
        <v>0</v>
      </c>
      <c r="S3306" s="53" t="e">
        <f>VLOOKUP(B3306,'Pre-Summary'!$BG$6:$BM$44,6,FALSE)</f>
        <v>#N/A</v>
      </c>
      <c r="Z3306" s="45" t="str">
        <f>IFERROR(VLOOKUP(B3306,'Pre-Summary'!$BZ$6:$CB$63,2,FALSE),"")</f>
        <v/>
      </c>
      <c r="AA3306" s="45" t="str">
        <f>IFERROR(VLOOKUP(B3306,'Pre-Summary'!$CG$6:$CI$70,2,FALSE),"")</f>
        <v/>
      </c>
      <c r="AB3306" s="99">
        <f>IFERROR(VLOOKUP(B3306,'Pre-Summary'!$A$6:$P$178,9,FALSE),AB3307)</f>
        <v>0</v>
      </c>
      <c r="AC3306" s="10">
        <f>IFERROR(VLOOKUP(Summary!B3306,'Pre-Summary'!$A$6:$P$184,5, FALSE)/100,AC3307)</f>
        <v>0</v>
      </c>
      <c r="AD3306" s="10">
        <f>IFERROR(VLOOKUP(Summary!B3306,'Pre-Summary'!$A$6:$P$184,3, FALSE)/100,AD3307)</f>
        <v>0</v>
      </c>
      <c r="AE3306" s="10">
        <f>IFERROR(VLOOKUP(Summary!B3306,'Pre-Summary'!$A$6:$P$184,7, FALSE)/100,AE3307)</f>
        <v>0</v>
      </c>
      <c r="AF3306" s="99">
        <f t="shared" ref="AF3306:AF3313" si="156">AD3306*AB3306</f>
        <v>0</v>
      </c>
      <c r="AG3306" s="99">
        <f t="shared" ref="AG3306:AG3313" si="157">AB3306*AE3306</f>
        <v>0</v>
      </c>
      <c r="AH3306" s="10" t="str">
        <f>IFERROR(VLOOKUP(B3306,'Pre-Summary'!$AZ$6:$BE$65,3,FALSE),"")</f>
        <v/>
      </c>
      <c r="AI3306" s="10" t="str">
        <f>IFERROR(VLOOKUP(B3306,'Pre-Summary'!$AZ$6:$BE$65,5,FALSE),"")</f>
        <v/>
      </c>
      <c r="AJ3306" s="10" t="str">
        <f>IFERROR(VLOOKUP(B3306,'Pre-Summary'!$AZ$6:$BE$65,4,FALSE),"")</f>
        <v/>
      </c>
      <c r="AK3306" s="10" t="str">
        <f>IFERROR(VLOOKUP(B3306,'Pre-Summary'!$AZ$6:$BE$65,6,FALSE),"")</f>
        <v/>
      </c>
      <c r="AL3306" s="10" t="str">
        <f>IFERROR(VLOOKUP(B3306,'Pre-Summary'!$BG$6:$BL$44,3,FALSE),"")</f>
        <v/>
      </c>
      <c r="AM3306" s="10" t="str">
        <f>IFERROR(VLOOKUP(B3306,'Pre-Summary'!$BG$6:$BL$44,4,FALSE),"")</f>
        <v/>
      </c>
    </row>
    <row r="3307" spans="2:39" ht="15" customHeight="1" x14ac:dyDescent="0.3">
      <c r="B3307">
        <v>330.40000000000498</v>
      </c>
      <c r="D3307" s="10"/>
      <c r="E3307" s="10"/>
      <c r="F3307">
        <f>IFERROR(VLOOKUP(B3307,'Pre-Summary'!$AL$6:$AQ$13,6,FALSE),F3306)</f>
        <v>5.9405263157894746E-2</v>
      </c>
      <c r="M3307" s="45" t="str">
        <f>IFERROR(VLOOKUP(B3307,'Pre-Summary'!$BW$6:$BY$58,2,FALSE),"")</f>
        <v/>
      </c>
      <c r="N3307" s="45" t="str">
        <f>IFERROR(VLOOKUP(B3307,'Pre-Summary'!$CD$6:$CF$64,2,FALSE),"")</f>
        <v/>
      </c>
      <c r="O3307" s="99">
        <f>IFERROR(VLOOKUP(B3307,'Pre-Summary'!$BO$6:$BQ$48,3, FALSE),O3306)</f>
        <v>3.3239999999999998</v>
      </c>
      <c r="P3307" s="99">
        <f>IFERROR(VLOOKUP(B3307,'Pre-Summary'!$BS$6:$BU$35,3,FALSE),P3306)</f>
        <v>0.84099999999999997</v>
      </c>
      <c r="Q3307" s="54">
        <f t="shared" si="155"/>
        <v>3.9524375743162903</v>
      </c>
      <c r="R3307" s="53">
        <f>IFERROR(VLOOKUP(B3307,'Pre-Summary'!$BG$6:$BM$44,7,FALSE),R3308)</f>
        <v>0</v>
      </c>
      <c r="S3307" s="53" t="e">
        <f>VLOOKUP(B3307,'Pre-Summary'!$BG$6:$BM$44,6,FALSE)</f>
        <v>#N/A</v>
      </c>
      <c r="Z3307" s="45" t="str">
        <f>IFERROR(VLOOKUP(B3307,'Pre-Summary'!$BZ$6:$CB$63,2,FALSE),"")</f>
        <v/>
      </c>
      <c r="AA3307" s="45" t="str">
        <f>IFERROR(VLOOKUP(B3307,'Pre-Summary'!$CG$6:$CI$70,2,FALSE),"")</f>
        <v/>
      </c>
      <c r="AB3307" s="99">
        <f>IFERROR(VLOOKUP(B3307,'Pre-Summary'!$A$6:$P$178,9,FALSE),AB3308)</f>
        <v>0</v>
      </c>
      <c r="AC3307" s="10">
        <f>IFERROR(VLOOKUP(Summary!B3307,'Pre-Summary'!$A$6:$P$184,5, FALSE)/100,AC3308)</f>
        <v>0</v>
      </c>
      <c r="AD3307" s="10">
        <f>IFERROR(VLOOKUP(Summary!B3307,'Pre-Summary'!$A$6:$P$184,3, FALSE)/100,AD3308)</f>
        <v>0</v>
      </c>
      <c r="AE3307" s="10">
        <f>IFERROR(VLOOKUP(Summary!B3307,'Pre-Summary'!$A$6:$P$184,7, FALSE)/100,AE3308)</f>
        <v>0</v>
      </c>
      <c r="AF3307" s="99">
        <f t="shared" si="156"/>
        <v>0</v>
      </c>
      <c r="AG3307" s="99">
        <f t="shared" si="157"/>
        <v>0</v>
      </c>
      <c r="AH3307" s="10" t="str">
        <f>IFERROR(VLOOKUP(B3307,'Pre-Summary'!$AZ$6:$BE$65,3,FALSE),"")</f>
        <v/>
      </c>
      <c r="AI3307" s="10" t="str">
        <f>IFERROR(VLOOKUP(B3307,'Pre-Summary'!$AZ$6:$BE$65,5,FALSE),"")</f>
        <v/>
      </c>
      <c r="AJ3307" s="10" t="str">
        <f>IFERROR(VLOOKUP(B3307,'Pre-Summary'!$AZ$6:$BE$65,4,FALSE),"")</f>
        <v/>
      </c>
      <c r="AK3307" s="10" t="str">
        <f>IFERROR(VLOOKUP(B3307,'Pre-Summary'!$AZ$6:$BE$65,6,FALSE),"")</f>
        <v/>
      </c>
      <c r="AL3307" s="10" t="str">
        <f>IFERROR(VLOOKUP(B3307,'Pre-Summary'!$BG$6:$BL$44,3,FALSE),"")</f>
        <v/>
      </c>
      <c r="AM3307" s="10" t="str">
        <f>IFERROR(VLOOKUP(B3307,'Pre-Summary'!$BG$6:$BL$44,4,FALSE),"")</f>
        <v/>
      </c>
    </row>
    <row r="3308" spans="2:39" ht="15" customHeight="1" x14ac:dyDescent="0.3">
      <c r="B3308">
        <v>330.500000000005</v>
      </c>
      <c r="D3308" s="10"/>
      <c r="E3308" s="10"/>
      <c r="F3308">
        <f>IFERROR(VLOOKUP(B3308,'Pre-Summary'!$AL$6:$AQ$13,6,FALSE),F3307)</f>
        <v>5.9405263157894746E-2</v>
      </c>
      <c r="M3308" s="45" t="str">
        <f>IFERROR(VLOOKUP(B3308,'Pre-Summary'!$BW$6:$BY$58,2,FALSE),"")</f>
        <v/>
      </c>
      <c r="N3308" s="45" t="str">
        <f>IFERROR(VLOOKUP(B3308,'Pre-Summary'!$CD$6:$CF$64,2,FALSE),"")</f>
        <v/>
      </c>
      <c r="O3308" s="99">
        <f>IFERROR(VLOOKUP(B3308,'Pre-Summary'!$BO$6:$BQ$48,3, FALSE),O3307)</f>
        <v>3.3239999999999998</v>
      </c>
      <c r="P3308" s="99">
        <f>IFERROR(VLOOKUP(B3308,'Pre-Summary'!$BS$6:$BU$35,3,FALSE),P3307)</f>
        <v>0.84099999999999997</v>
      </c>
      <c r="Q3308" s="54">
        <f t="shared" si="155"/>
        <v>3.9524375743162903</v>
      </c>
      <c r="R3308" s="53">
        <f>IFERROR(VLOOKUP(B3308,'Pre-Summary'!$BG$6:$BM$44,7,FALSE),R3309)</f>
        <v>0</v>
      </c>
      <c r="S3308" s="53" t="e">
        <f>VLOOKUP(B3308,'Pre-Summary'!$BG$6:$BM$44,6,FALSE)</f>
        <v>#N/A</v>
      </c>
      <c r="Z3308" s="45" t="str">
        <f>IFERROR(VLOOKUP(B3308,'Pre-Summary'!$BZ$6:$CB$63,2,FALSE),"")</f>
        <v/>
      </c>
      <c r="AA3308" s="45" t="str">
        <f>IFERROR(VLOOKUP(B3308,'Pre-Summary'!$CG$6:$CI$70,2,FALSE),"")</f>
        <v/>
      </c>
      <c r="AB3308" s="99">
        <f>IFERROR(VLOOKUP(B3308,'Pre-Summary'!$A$6:$P$178,9,FALSE),AB3309)</f>
        <v>0</v>
      </c>
      <c r="AC3308" s="10">
        <f>IFERROR(VLOOKUP(Summary!B3308,'Pre-Summary'!$A$6:$P$184,5, FALSE)/100,AC3309)</f>
        <v>0</v>
      </c>
      <c r="AD3308" s="10">
        <f>IFERROR(VLOOKUP(Summary!B3308,'Pre-Summary'!$A$6:$P$184,3, FALSE)/100,AD3309)</f>
        <v>0</v>
      </c>
      <c r="AE3308" s="10">
        <f>IFERROR(VLOOKUP(Summary!B3308,'Pre-Summary'!$A$6:$P$184,7, FALSE)/100,AE3309)</f>
        <v>0</v>
      </c>
      <c r="AF3308" s="99">
        <f t="shared" si="156"/>
        <v>0</v>
      </c>
      <c r="AG3308" s="99">
        <f t="shared" si="157"/>
        <v>0</v>
      </c>
      <c r="AH3308" s="10" t="str">
        <f>IFERROR(VLOOKUP(B3308,'Pre-Summary'!$AZ$6:$BE$65,3,FALSE),"")</f>
        <v/>
      </c>
      <c r="AI3308" s="10" t="str">
        <f>IFERROR(VLOOKUP(B3308,'Pre-Summary'!$AZ$6:$BE$65,5,FALSE),"")</f>
        <v/>
      </c>
      <c r="AJ3308" s="10" t="str">
        <f>IFERROR(VLOOKUP(B3308,'Pre-Summary'!$AZ$6:$BE$65,4,FALSE),"")</f>
        <v/>
      </c>
      <c r="AK3308" s="10" t="str">
        <f>IFERROR(VLOOKUP(B3308,'Pre-Summary'!$AZ$6:$BE$65,6,FALSE),"")</f>
        <v/>
      </c>
      <c r="AL3308" s="10" t="str">
        <f>IFERROR(VLOOKUP(B3308,'Pre-Summary'!$BG$6:$BL$44,3,FALSE),"")</f>
        <v/>
      </c>
      <c r="AM3308" s="10" t="str">
        <f>IFERROR(VLOOKUP(B3308,'Pre-Summary'!$BG$6:$BL$44,4,FALSE),"")</f>
        <v/>
      </c>
    </row>
    <row r="3309" spans="2:39" ht="15" customHeight="1" x14ac:dyDescent="0.3">
      <c r="B3309">
        <v>330.60000000000502</v>
      </c>
      <c r="D3309" s="10"/>
      <c r="E3309" s="10"/>
      <c r="F3309">
        <f>IFERROR(VLOOKUP(B3309,'Pre-Summary'!$AL$6:$AQ$13,6,FALSE),F3308)</f>
        <v>5.9405263157894746E-2</v>
      </c>
      <c r="M3309" s="45" t="str">
        <f>IFERROR(VLOOKUP(B3309,'Pre-Summary'!$BW$6:$BY$58,2,FALSE),"")</f>
        <v/>
      </c>
      <c r="N3309" s="45" t="str">
        <f>IFERROR(VLOOKUP(B3309,'Pre-Summary'!$CD$6:$CF$64,2,FALSE),"")</f>
        <v/>
      </c>
      <c r="O3309" s="99">
        <f>IFERROR(VLOOKUP(B3309,'Pre-Summary'!$BO$6:$BQ$48,3, FALSE),O3308)</f>
        <v>3.3239999999999998</v>
      </c>
      <c r="P3309" s="99">
        <f>IFERROR(VLOOKUP(B3309,'Pre-Summary'!$BS$6:$BU$35,3,FALSE),P3308)</f>
        <v>0.84099999999999997</v>
      </c>
      <c r="Q3309" s="54">
        <f t="shared" si="155"/>
        <v>3.9524375743162903</v>
      </c>
      <c r="R3309" s="53">
        <f>IFERROR(VLOOKUP(B3309,'Pre-Summary'!$BG$6:$BM$44,7,FALSE),R3310)</f>
        <v>0</v>
      </c>
      <c r="S3309" s="53" t="e">
        <f>VLOOKUP(B3309,'Pre-Summary'!$BG$6:$BM$44,6,FALSE)</f>
        <v>#N/A</v>
      </c>
      <c r="Z3309" s="45" t="str">
        <f>IFERROR(VLOOKUP(B3309,'Pre-Summary'!$BZ$6:$CB$63,2,FALSE),"")</f>
        <v/>
      </c>
      <c r="AA3309" s="45" t="str">
        <f>IFERROR(VLOOKUP(B3309,'Pre-Summary'!$CG$6:$CI$70,2,FALSE),"")</f>
        <v/>
      </c>
      <c r="AB3309" s="99">
        <f>IFERROR(VLOOKUP(B3309,'Pre-Summary'!$A$6:$P$178,9,FALSE),AB3310)</f>
        <v>0</v>
      </c>
      <c r="AC3309" s="10">
        <f>IFERROR(VLOOKUP(Summary!B3309,'Pre-Summary'!$A$6:$P$184,5, FALSE)/100,AC3310)</f>
        <v>0</v>
      </c>
      <c r="AD3309" s="10">
        <f>IFERROR(VLOOKUP(Summary!B3309,'Pre-Summary'!$A$6:$P$184,3, FALSE)/100,AD3310)</f>
        <v>0</v>
      </c>
      <c r="AE3309" s="10">
        <f>IFERROR(VLOOKUP(Summary!B3309,'Pre-Summary'!$A$6:$P$184,7, FALSE)/100,AE3310)</f>
        <v>0</v>
      </c>
      <c r="AF3309" s="99">
        <f t="shared" si="156"/>
        <v>0</v>
      </c>
      <c r="AG3309" s="99">
        <f t="shared" si="157"/>
        <v>0</v>
      </c>
      <c r="AH3309" s="10" t="str">
        <f>IFERROR(VLOOKUP(B3309,'Pre-Summary'!$AZ$6:$BE$65,3,FALSE),"")</f>
        <v/>
      </c>
      <c r="AI3309" s="10" t="str">
        <f>IFERROR(VLOOKUP(B3309,'Pre-Summary'!$AZ$6:$BE$65,5,FALSE),"")</f>
        <v/>
      </c>
      <c r="AJ3309" s="10" t="str">
        <f>IFERROR(VLOOKUP(B3309,'Pre-Summary'!$AZ$6:$BE$65,4,FALSE),"")</f>
        <v/>
      </c>
      <c r="AK3309" s="10" t="str">
        <f>IFERROR(VLOOKUP(B3309,'Pre-Summary'!$AZ$6:$BE$65,6,FALSE),"")</f>
        <v/>
      </c>
      <c r="AL3309" s="10" t="str">
        <f>IFERROR(VLOOKUP(B3309,'Pre-Summary'!$BG$6:$BL$44,3,FALSE),"")</f>
        <v/>
      </c>
      <c r="AM3309" s="10" t="str">
        <f>IFERROR(VLOOKUP(B3309,'Pre-Summary'!$BG$6:$BL$44,4,FALSE),"")</f>
        <v/>
      </c>
    </row>
    <row r="3310" spans="2:39" ht="15" customHeight="1" x14ac:dyDescent="0.3">
      <c r="B3310">
        <v>330.70000000000499</v>
      </c>
      <c r="D3310" s="10"/>
      <c r="E3310" s="10"/>
      <c r="F3310">
        <f>IFERROR(VLOOKUP(B3310,'Pre-Summary'!$AL$6:$AQ$13,6,FALSE),F3309)</f>
        <v>5.9405263157894746E-2</v>
      </c>
      <c r="M3310" s="45" t="str">
        <f>IFERROR(VLOOKUP(B3310,'Pre-Summary'!$BW$6:$BY$58,2,FALSE),"")</f>
        <v/>
      </c>
      <c r="N3310" s="45" t="str">
        <f>IFERROR(VLOOKUP(B3310,'Pre-Summary'!$CD$6:$CF$64,2,FALSE),"")</f>
        <v/>
      </c>
      <c r="O3310" s="99">
        <f>IFERROR(VLOOKUP(B3310,'Pre-Summary'!$BO$6:$BQ$48,3, FALSE),O3309)</f>
        <v>3.3239999999999998</v>
      </c>
      <c r="P3310" s="99">
        <f>IFERROR(VLOOKUP(B3310,'Pre-Summary'!$BS$6:$BU$35,3,FALSE),P3309)</f>
        <v>0.84099999999999997</v>
      </c>
      <c r="Q3310" s="54">
        <f t="shared" si="155"/>
        <v>3.9524375743162903</v>
      </c>
      <c r="R3310" s="53">
        <f>IFERROR(VLOOKUP(B3310,'Pre-Summary'!$BG$6:$BM$44,7,FALSE),R3311)</f>
        <v>0</v>
      </c>
      <c r="S3310" s="53" t="e">
        <f>VLOOKUP(B3310,'Pre-Summary'!$BG$6:$BM$44,6,FALSE)</f>
        <v>#N/A</v>
      </c>
      <c r="Z3310" s="45" t="str">
        <f>IFERROR(VLOOKUP(B3310,'Pre-Summary'!$BZ$6:$CB$63,2,FALSE),"")</f>
        <v/>
      </c>
      <c r="AA3310" s="45" t="str">
        <f>IFERROR(VLOOKUP(B3310,'Pre-Summary'!$CG$6:$CI$70,2,FALSE),"")</f>
        <v/>
      </c>
      <c r="AB3310" s="99">
        <f>IFERROR(VLOOKUP(B3310,'Pre-Summary'!$A$6:$P$178,9,FALSE),AB3311)</f>
        <v>0</v>
      </c>
      <c r="AC3310" s="10">
        <f>IFERROR(VLOOKUP(Summary!B3310,'Pre-Summary'!$A$6:$P$184,5, FALSE)/100,AC3311)</f>
        <v>0</v>
      </c>
      <c r="AD3310" s="10">
        <f>IFERROR(VLOOKUP(Summary!B3310,'Pre-Summary'!$A$6:$P$184,3, FALSE)/100,AD3311)</f>
        <v>0</v>
      </c>
      <c r="AE3310" s="10">
        <f>IFERROR(VLOOKUP(Summary!B3310,'Pre-Summary'!$A$6:$P$184,7, FALSE)/100,AE3311)</f>
        <v>0</v>
      </c>
      <c r="AF3310" s="99">
        <f t="shared" si="156"/>
        <v>0</v>
      </c>
      <c r="AG3310" s="99">
        <f t="shared" si="157"/>
        <v>0</v>
      </c>
      <c r="AH3310" s="10" t="str">
        <f>IFERROR(VLOOKUP(B3310,'Pre-Summary'!$AZ$6:$BE$65,3,FALSE),"")</f>
        <v/>
      </c>
      <c r="AI3310" s="10" t="str">
        <f>IFERROR(VLOOKUP(B3310,'Pre-Summary'!$AZ$6:$BE$65,5,FALSE),"")</f>
        <v/>
      </c>
      <c r="AJ3310" s="10" t="str">
        <f>IFERROR(VLOOKUP(B3310,'Pre-Summary'!$AZ$6:$BE$65,4,FALSE),"")</f>
        <v/>
      </c>
      <c r="AK3310" s="10" t="str">
        <f>IFERROR(VLOOKUP(B3310,'Pre-Summary'!$AZ$6:$BE$65,6,FALSE),"")</f>
        <v/>
      </c>
      <c r="AL3310" s="10" t="str">
        <f>IFERROR(VLOOKUP(B3310,'Pre-Summary'!$BG$6:$BL$44,3,FALSE),"")</f>
        <v/>
      </c>
      <c r="AM3310" s="10" t="str">
        <f>IFERROR(VLOOKUP(B3310,'Pre-Summary'!$BG$6:$BL$44,4,FALSE),"")</f>
        <v/>
      </c>
    </row>
    <row r="3311" spans="2:39" ht="15" customHeight="1" x14ac:dyDescent="0.3">
      <c r="B3311">
        <v>330.80000000000501</v>
      </c>
      <c r="D3311" s="10"/>
      <c r="E3311" s="10"/>
      <c r="F3311">
        <f>IFERROR(VLOOKUP(B3311,'Pre-Summary'!$AL$6:$AQ$13,6,FALSE),F3310)</f>
        <v>5.9405263157894746E-2</v>
      </c>
      <c r="M3311" s="45" t="str">
        <f>IFERROR(VLOOKUP(B3311,'Pre-Summary'!$BW$6:$BY$58,2,FALSE),"")</f>
        <v/>
      </c>
      <c r="N3311" s="45" t="str">
        <f>IFERROR(VLOOKUP(B3311,'Pre-Summary'!$CD$6:$CF$64,2,FALSE),"")</f>
        <v/>
      </c>
      <c r="O3311" s="99">
        <f>IFERROR(VLOOKUP(B3311,'Pre-Summary'!$BO$6:$BQ$48,3, FALSE),O3310)</f>
        <v>3.3239999999999998</v>
      </c>
      <c r="P3311" s="99">
        <f>IFERROR(VLOOKUP(B3311,'Pre-Summary'!$BS$6:$BU$35,3,FALSE),P3310)</f>
        <v>0.84099999999999997</v>
      </c>
      <c r="Q3311" s="54">
        <f t="shared" si="155"/>
        <v>3.9524375743162903</v>
      </c>
      <c r="R3311" s="53">
        <f>IFERROR(VLOOKUP(B3311,'Pre-Summary'!$BG$6:$BM$44,7,FALSE),R3312)</f>
        <v>0</v>
      </c>
      <c r="S3311" s="53" t="e">
        <f>VLOOKUP(B3311,'Pre-Summary'!$BG$6:$BM$44,6,FALSE)</f>
        <v>#N/A</v>
      </c>
      <c r="Z3311" s="45" t="str">
        <f>IFERROR(VLOOKUP(B3311,'Pre-Summary'!$BZ$6:$CB$63,2,FALSE),"")</f>
        <v/>
      </c>
      <c r="AA3311" s="45" t="str">
        <f>IFERROR(VLOOKUP(B3311,'Pre-Summary'!$CG$6:$CI$70,2,FALSE),"")</f>
        <v/>
      </c>
      <c r="AB3311" s="99">
        <f>IFERROR(VLOOKUP(B3311,'Pre-Summary'!$A$6:$P$178,9,FALSE),AB3312)</f>
        <v>0</v>
      </c>
      <c r="AC3311" s="10">
        <f>IFERROR(VLOOKUP(Summary!B3311,'Pre-Summary'!$A$6:$P$184,5, FALSE)/100,AC3312)</f>
        <v>0</v>
      </c>
      <c r="AD3311" s="10">
        <f>IFERROR(VLOOKUP(Summary!B3311,'Pre-Summary'!$A$6:$P$184,3, FALSE)/100,AD3312)</f>
        <v>0</v>
      </c>
      <c r="AE3311" s="10">
        <f>IFERROR(VLOOKUP(Summary!B3311,'Pre-Summary'!$A$6:$P$184,7, FALSE)/100,AE3312)</f>
        <v>0</v>
      </c>
      <c r="AF3311" s="99">
        <f t="shared" si="156"/>
        <v>0</v>
      </c>
      <c r="AG3311" s="99">
        <f t="shared" si="157"/>
        <v>0</v>
      </c>
      <c r="AH3311" s="10" t="str">
        <f>IFERROR(VLOOKUP(B3311,'Pre-Summary'!$AZ$6:$BE$65,3,FALSE),"")</f>
        <v/>
      </c>
      <c r="AI3311" s="10" t="str">
        <f>IFERROR(VLOOKUP(B3311,'Pre-Summary'!$AZ$6:$BE$65,5,FALSE),"")</f>
        <v/>
      </c>
      <c r="AJ3311" s="10" t="str">
        <f>IFERROR(VLOOKUP(B3311,'Pre-Summary'!$AZ$6:$BE$65,4,FALSE),"")</f>
        <v/>
      </c>
      <c r="AK3311" s="10" t="str">
        <f>IFERROR(VLOOKUP(B3311,'Pre-Summary'!$AZ$6:$BE$65,6,FALSE),"")</f>
        <v/>
      </c>
      <c r="AL3311" s="10" t="str">
        <f>IFERROR(VLOOKUP(B3311,'Pre-Summary'!$BG$6:$BL$44,3,FALSE),"")</f>
        <v/>
      </c>
      <c r="AM3311" s="10" t="str">
        <f>IFERROR(VLOOKUP(B3311,'Pre-Summary'!$BG$6:$BL$44,4,FALSE),"")</f>
        <v/>
      </c>
    </row>
    <row r="3312" spans="2:39" ht="15" customHeight="1" x14ac:dyDescent="0.3">
      <c r="B3312">
        <v>330.90000000000498</v>
      </c>
      <c r="D3312" s="10"/>
      <c r="E3312" s="10"/>
      <c r="F3312">
        <f>IFERROR(VLOOKUP(B3312,'Pre-Summary'!$AL$6:$AQ$13,6,FALSE),F3311)</f>
        <v>5.9405263157894746E-2</v>
      </c>
      <c r="M3312" s="45" t="str">
        <f>IFERROR(VLOOKUP(B3312,'Pre-Summary'!$BW$6:$BY$58,2,FALSE),"")</f>
        <v/>
      </c>
      <c r="N3312" s="45" t="str">
        <f>IFERROR(VLOOKUP(B3312,'Pre-Summary'!$CD$6:$CF$64,2,FALSE),"")</f>
        <v/>
      </c>
      <c r="O3312" s="99">
        <f>IFERROR(VLOOKUP(B3312,'Pre-Summary'!$BO$6:$BQ$48,3, FALSE),O3311)</f>
        <v>3.3239999999999998</v>
      </c>
      <c r="P3312" s="99">
        <f>IFERROR(VLOOKUP(B3312,'Pre-Summary'!$BS$6:$BU$35,3,FALSE),P3311)</f>
        <v>0.84099999999999997</v>
      </c>
      <c r="Q3312" s="54">
        <f t="shared" si="155"/>
        <v>3.9524375743162903</v>
      </c>
      <c r="R3312" s="53">
        <f>IFERROR(VLOOKUP(B3312,'Pre-Summary'!$BG$6:$BM$44,7,FALSE),R3313)</f>
        <v>0</v>
      </c>
      <c r="S3312" s="53" t="e">
        <f>VLOOKUP(B3312,'Pre-Summary'!$BG$6:$BM$44,6,FALSE)</f>
        <v>#N/A</v>
      </c>
      <c r="Z3312" s="45" t="str">
        <f>IFERROR(VLOOKUP(B3312,'Pre-Summary'!$BZ$6:$CB$63,2,FALSE),"")</f>
        <v/>
      </c>
      <c r="AA3312" s="45" t="str">
        <f>IFERROR(VLOOKUP(B3312,'Pre-Summary'!$CG$6:$CI$70,2,FALSE),"")</f>
        <v/>
      </c>
      <c r="AB3312" s="99">
        <f>IFERROR(VLOOKUP(B3312,'Pre-Summary'!$A$6:$P$178,9,FALSE),AB3313)</f>
        <v>0</v>
      </c>
      <c r="AC3312" s="10">
        <f>IFERROR(VLOOKUP(Summary!B3312,'Pre-Summary'!$A$6:$P$184,5, FALSE)/100,AC3313)</f>
        <v>0</v>
      </c>
      <c r="AD3312" s="10">
        <f>IFERROR(VLOOKUP(Summary!B3312,'Pre-Summary'!$A$6:$P$184,3, FALSE)/100,AD3313)</f>
        <v>0</v>
      </c>
      <c r="AE3312" s="10">
        <f>IFERROR(VLOOKUP(Summary!B3312,'Pre-Summary'!$A$6:$P$184,7, FALSE)/100,AE3313)</f>
        <v>0</v>
      </c>
      <c r="AF3312" s="99">
        <f t="shared" si="156"/>
        <v>0</v>
      </c>
      <c r="AG3312" s="99">
        <f t="shared" si="157"/>
        <v>0</v>
      </c>
      <c r="AH3312" s="10" t="str">
        <f>IFERROR(VLOOKUP(B3312,'Pre-Summary'!$AZ$6:$BE$65,3,FALSE),"")</f>
        <v/>
      </c>
      <c r="AI3312" s="10" t="str">
        <f>IFERROR(VLOOKUP(B3312,'Pre-Summary'!$AZ$6:$BE$65,5,FALSE),"")</f>
        <v/>
      </c>
      <c r="AJ3312" s="10" t="str">
        <f>IFERROR(VLOOKUP(B3312,'Pre-Summary'!$AZ$6:$BE$65,4,FALSE),"")</f>
        <v/>
      </c>
      <c r="AK3312" s="10" t="str">
        <f>IFERROR(VLOOKUP(B3312,'Pre-Summary'!$AZ$6:$BE$65,6,FALSE),"")</f>
        <v/>
      </c>
      <c r="AL3312" s="10" t="str">
        <f>IFERROR(VLOOKUP(B3312,'Pre-Summary'!$BG$6:$BL$44,3,FALSE),"")</f>
        <v/>
      </c>
      <c r="AM3312" s="10" t="str">
        <f>IFERROR(VLOOKUP(B3312,'Pre-Summary'!$BG$6:$BL$44,4,FALSE),"")</f>
        <v/>
      </c>
    </row>
    <row r="3313" spans="2:39" ht="15" customHeight="1" x14ac:dyDescent="0.3">
      <c r="B3313">
        <v>331.000000000005</v>
      </c>
      <c r="D3313" s="10"/>
      <c r="E3313" s="10"/>
      <c r="F3313">
        <f>IFERROR(VLOOKUP(B3313,'Pre-Summary'!$AL$6:$AQ$13,6,FALSE),F3312)</f>
        <v>5.9405263157894746E-2</v>
      </c>
      <c r="M3313" s="45" t="str">
        <f>IFERROR(VLOOKUP(B3313,'Pre-Summary'!$BW$6:$BY$58,2,FALSE),"")</f>
        <v/>
      </c>
      <c r="N3313" s="45" t="str">
        <f>IFERROR(VLOOKUP(B3313,'Pre-Summary'!$CD$6:$CF$64,2,FALSE),"")</f>
        <v/>
      </c>
      <c r="O3313" s="99">
        <f>IFERROR(VLOOKUP(B3313,'Pre-Summary'!$BO$6:$BQ$48,3, FALSE),O3312)</f>
        <v>3.3239999999999998</v>
      </c>
      <c r="P3313" s="99">
        <f>IFERROR(VLOOKUP(B3313,'Pre-Summary'!$BS$6:$BU$35,3,FALSE),P3312)</f>
        <v>0.84099999999999997</v>
      </c>
      <c r="Q3313" s="54">
        <f t="shared" si="155"/>
        <v>3.9524375743162903</v>
      </c>
      <c r="R3313" s="53">
        <f>IFERROR(VLOOKUP(B3313,'Pre-Summary'!$BG$6:$BM$44,7,FALSE),R3314)</f>
        <v>0</v>
      </c>
      <c r="S3313" s="53" t="e">
        <f>VLOOKUP(B3313,'Pre-Summary'!$BG$6:$BM$44,6,FALSE)</f>
        <v>#N/A</v>
      </c>
      <c r="Z3313" s="45" t="str">
        <f>IFERROR(VLOOKUP(B3313,'Pre-Summary'!$BZ$6:$CB$63,2,FALSE),"")</f>
        <v/>
      </c>
      <c r="AA3313" s="45" t="str">
        <f>IFERROR(VLOOKUP(B3313,'Pre-Summary'!$CG$6:$CI$70,2,FALSE),"")</f>
        <v/>
      </c>
      <c r="AB3313" s="99">
        <f>IFERROR(VLOOKUP(B3313,'Pre-Summary'!$A$6:$P$178,9,FALSE),AB3314)</f>
        <v>0</v>
      </c>
      <c r="AC3313" s="10">
        <f>IFERROR(VLOOKUP(Summary!B3313,'Pre-Summary'!$A$6:$P$184,5, FALSE)/100,AC3314)</f>
        <v>0</v>
      </c>
      <c r="AD3313" s="10">
        <f>IFERROR(VLOOKUP(Summary!B3313,'Pre-Summary'!$A$6:$P$184,3, FALSE)/100,AD3314)</f>
        <v>0</v>
      </c>
      <c r="AE3313" s="10">
        <f>IFERROR(VLOOKUP(Summary!B3313,'Pre-Summary'!$A$6:$P$184,7, FALSE)/100,AE3314)</f>
        <v>0</v>
      </c>
      <c r="AF3313" s="99">
        <f t="shared" si="156"/>
        <v>0</v>
      </c>
      <c r="AG3313" s="99">
        <f t="shared" si="157"/>
        <v>0</v>
      </c>
      <c r="AH3313" s="10" t="str">
        <f>IFERROR(VLOOKUP(B3313,'Pre-Summary'!$AZ$6:$BE$65,3,FALSE),"")</f>
        <v/>
      </c>
      <c r="AI3313" s="10" t="str">
        <f>IFERROR(VLOOKUP(B3313,'Pre-Summary'!$AZ$6:$BE$65,5,FALSE),"")</f>
        <v/>
      </c>
      <c r="AJ3313" s="10" t="str">
        <f>IFERROR(VLOOKUP(B3313,'Pre-Summary'!$AZ$6:$BE$65,4,FALSE),"")</f>
        <v/>
      </c>
      <c r="AK3313" s="10" t="str">
        <f>IFERROR(VLOOKUP(B3313,'Pre-Summary'!$AZ$6:$BE$65,6,FALSE),"")</f>
        <v/>
      </c>
      <c r="AL3313" s="10" t="str">
        <f>IFERROR(VLOOKUP(B3313,'Pre-Summary'!$BG$6:$BL$44,3,FALSE),"")</f>
        <v/>
      </c>
      <c r="AM3313" s="10" t="str">
        <f>IFERROR(VLOOKUP(B3313,'Pre-Summary'!$BG$6:$BL$44,4,FALSE),"")</f>
        <v/>
      </c>
    </row>
    <row r="3314" spans="2:39" ht="15" customHeight="1" x14ac:dyDescent="0.3">
      <c r="D3314" s="10"/>
      <c r="E3314" s="10"/>
      <c r="O3314" s="10"/>
      <c r="P3314" s="10"/>
      <c r="Q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</row>
    <row r="3315" spans="2:39" ht="15" customHeight="1" x14ac:dyDescent="0.3">
      <c r="D3315" s="10"/>
      <c r="E3315" s="10"/>
      <c r="O3315" s="10"/>
      <c r="P3315" s="10"/>
      <c r="Q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</row>
    <row r="3316" spans="2:39" ht="15" customHeight="1" x14ac:dyDescent="0.3">
      <c r="D3316" s="10"/>
      <c r="E3316" s="10"/>
      <c r="O3316" s="10"/>
      <c r="P3316" s="10"/>
      <c r="Q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</row>
    <row r="3317" spans="2:39" ht="15" customHeight="1" x14ac:dyDescent="0.3">
      <c r="D3317" s="10"/>
      <c r="E3317" s="10"/>
      <c r="O3317" s="10"/>
      <c r="P3317" s="10"/>
      <c r="Q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</row>
    <row r="3318" spans="2:39" ht="15" customHeight="1" x14ac:dyDescent="0.3">
      <c r="D3318" s="10"/>
      <c r="E3318" s="10"/>
      <c r="O3318" s="10"/>
      <c r="P3318" s="10"/>
      <c r="Q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</row>
    <row r="3319" spans="2:39" ht="15" customHeight="1" x14ac:dyDescent="0.3">
      <c r="D3319" s="10"/>
      <c r="E3319" s="10"/>
      <c r="O3319" s="10"/>
      <c r="P3319" s="10"/>
      <c r="Q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</row>
    <row r="3320" spans="2:39" ht="15" customHeight="1" x14ac:dyDescent="0.3">
      <c r="D3320" s="10"/>
      <c r="E3320" s="10"/>
      <c r="O3320" s="10"/>
      <c r="P3320" s="10"/>
      <c r="Q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</row>
    <row r="3321" spans="2:39" ht="15" customHeight="1" x14ac:dyDescent="0.3">
      <c r="D3321" s="10"/>
      <c r="E3321" s="10"/>
      <c r="O3321" s="10"/>
      <c r="P3321" s="10"/>
      <c r="Q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</row>
    <row r="3322" spans="2:39" ht="15" customHeight="1" x14ac:dyDescent="0.3">
      <c r="D3322" s="10"/>
      <c r="E3322" s="10"/>
      <c r="O3322" s="10"/>
      <c r="P3322" s="10"/>
      <c r="Q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</row>
    <row r="3323" spans="2:39" ht="15" customHeight="1" x14ac:dyDescent="0.3">
      <c r="D3323" s="10"/>
      <c r="E3323" s="10"/>
      <c r="O3323" s="10"/>
      <c r="P3323" s="10"/>
      <c r="Q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</row>
    <row r="3324" spans="2:39" ht="15" customHeight="1" x14ac:dyDescent="0.3">
      <c r="D3324" s="10"/>
      <c r="E3324" s="10"/>
      <c r="O3324" s="10"/>
      <c r="P3324" s="10"/>
      <c r="Q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</row>
    <row r="3325" spans="2:39" ht="15" customHeight="1" x14ac:dyDescent="0.3">
      <c r="D3325" s="10"/>
      <c r="E3325" s="10"/>
      <c r="O3325" s="10"/>
      <c r="P3325" s="10"/>
      <c r="Q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</row>
    <row r="3326" spans="2:39" ht="15" customHeight="1" x14ac:dyDescent="0.3">
      <c r="D3326" s="10"/>
      <c r="E3326" s="10"/>
      <c r="O3326" s="10"/>
      <c r="P3326" s="10"/>
      <c r="Q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</row>
    <row r="3327" spans="2:39" ht="15" customHeight="1" x14ac:dyDescent="0.3">
      <c r="D3327" s="10"/>
      <c r="E3327" s="10"/>
      <c r="O3327" s="10"/>
      <c r="P3327" s="10"/>
      <c r="Q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</row>
    <row r="3328" spans="2:39" ht="15" customHeight="1" x14ac:dyDescent="0.3">
      <c r="D3328" s="10"/>
      <c r="E3328" s="10"/>
      <c r="O3328" s="10"/>
      <c r="P3328" s="10"/>
      <c r="Q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</row>
    <row r="3329" spans="4:37" ht="15" customHeight="1" x14ac:dyDescent="0.3">
      <c r="D3329" s="10"/>
      <c r="E3329" s="10"/>
      <c r="O3329" s="10"/>
      <c r="P3329" s="10"/>
      <c r="Q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</row>
    <row r="3330" spans="4:37" ht="15" customHeight="1" x14ac:dyDescent="0.3">
      <c r="D3330" s="10"/>
      <c r="E3330" s="10"/>
      <c r="O3330" s="10"/>
      <c r="P3330" s="10"/>
      <c r="Q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</row>
    <row r="3331" spans="4:37" ht="15" customHeight="1" x14ac:dyDescent="0.3">
      <c r="D3331" s="10"/>
      <c r="E3331" s="10"/>
      <c r="O3331" s="10"/>
      <c r="P3331" s="10"/>
      <c r="Q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</row>
    <row r="3332" spans="4:37" ht="15" customHeight="1" x14ac:dyDescent="0.3">
      <c r="D3332" s="10"/>
      <c r="E3332" s="10"/>
      <c r="O3332" s="10"/>
      <c r="P3332" s="10"/>
      <c r="Q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</row>
    <row r="3333" spans="4:37" ht="15" customHeight="1" x14ac:dyDescent="0.3">
      <c r="D3333" s="10"/>
      <c r="E3333" s="10"/>
      <c r="O3333" s="10"/>
      <c r="P3333" s="10"/>
      <c r="Q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</row>
    <row r="3334" spans="4:37" ht="15" customHeight="1" x14ac:dyDescent="0.3">
      <c r="D3334" s="10"/>
      <c r="E3334" s="10"/>
      <c r="O3334" s="10"/>
      <c r="P3334" s="10"/>
      <c r="Q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</row>
    <row r="3335" spans="4:37" ht="15" customHeight="1" x14ac:dyDescent="0.3">
      <c r="D3335" s="10"/>
      <c r="E3335" s="10"/>
      <c r="O3335" s="10"/>
      <c r="P3335" s="10"/>
      <c r="Q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</row>
    <row r="3336" spans="4:37" ht="15" customHeight="1" x14ac:dyDescent="0.3">
      <c r="D3336" s="10"/>
      <c r="E3336" s="10"/>
      <c r="O3336" s="10"/>
      <c r="P3336" s="10"/>
      <c r="Q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</row>
    <row r="3337" spans="4:37" ht="15" customHeight="1" x14ac:dyDescent="0.3">
      <c r="D3337" s="10"/>
      <c r="E3337" s="10"/>
      <c r="O3337" s="10"/>
      <c r="P3337" s="10"/>
      <c r="Q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</row>
    <row r="3338" spans="4:37" ht="15" customHeight="1" x14ac:dyDescent="0.3">
      <c r="D3338" s="10"/>
      <c r="E3338" s="10"/>
      <c r="O3338" s="10"/>
      <c r="P3338" s="10"/>
      <c r="Q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</row>
    <row r="3339" spans="4:37" ht="15" customHeight="1" x14ac:dyDescent="0.3">
      <c r="D3339" s="10"/>
      <c r="E3339" s="10"/>
      <c r="O3339" s="10"/>
      <c r="P3339" s="10"/>
      <c r="Q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</row>
    <row r="3340" spans="4:37" ht="15" customHeight="1" x14ac:dyDescent="0.3">
      <c r="D3340" s="10"/>
      <c r="E3340" s="10"/>
      <c r="O3340" s="10"/>
      <c r="P3340" s="10"/>
      <c r="Q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80B0A-0DD7-4324-95B1-7CF03D35F315}">
  <dimension ref="A2:AA165"/>
  <sheetViews>
    <sheetView topLeftCell="G36" zoomScale="85" zoomScaleNormal="85" workbookViewId="0">
      <selection activeCell="T39" sqref="T39"/>
    </sheetView>
  </sheetViews>
  <sheetFormatPr defaultRowHeight="14.4" x14ac:dyDescent="0.3"/>
  <cols>
    <col min="2" max="2" width="17.5546875" customWidth="1"/>
    <col min="3" max="3" width="16.44140625" customWidth="1"/>
    <col min="7" max="7" width="13.6640625" customWidth="1"/>
    <col min="9" max="9" width="12.109375" customWidth="1"/>
    <col min="11" max="11" width="11.33203125" customWidth="1"/>
    <col min="12" max="12" width="9.44140625" customWidth="1"/>
    <col min="13" max="13" width="9.6640625" customWidth="1"/>
    <col min="14" max="14" width="11.6640625" bestFit="1" customWidth="1"/>
    <col min="15" max="15" width="12.6640625" customWidth="1"/>
  </cols>
  <sheetData>
    <row r="2" spans="2:15" x14ac:dyDescent="0.3">
      <c r="I2" t="s">
        <v>281</v>
      </c>
      <c r="J2" t="s">
        <v>281</v>
      </c>
      <c r="K2" t="s">
        <v>281</v>
      </c>
      <c r="M2" t="s">
        <v>282</v>
      </c>
    </row>
    <row r="3" spans="2:15" x14ac:dyDescent="0.3">
      <c r="I3">
        <v>810</v>
      </c>
      <c r="J3">
        <v>1075</v>
      </c>
      <c r="K3">
        <v>1070</v>
      </c>
      <c r="M3">
        <f>COD!AK2</f>
        <v>1185</v>
      </c>
    </row>
    <row r="4" spans="2:15" x14ac:dyDescent="0.3">
      <c r="I4" t="s">
        <v>283</v>
      </c>
      <c r="J4" t="s">
        <v>283</v>
      </c>
      <c r="K4" t="s">
        <v>283</v>
      </c>
      <c r="L4" t="s">
        <v>283</v>
      </c>
      <c r="M4" t="s">
        <v>284</v>
      </c>
      <c r="N4" t="s">
        <v>285</v>
      </c>
      <c r="O4" t="s">
        <v>286</v>
      </c>
    </row>
    <row r="5" spans="2:15" x14ac:dyDescent="0.3">
      <c r="I5" t="s">
        <v>287</v>
      </c>
      <c r="J5" t="s">
        <v>288</v>
      </c>
      <c r="K5" t="s">
        <v>289</v>
      </c>
      <c r="L5" t="s">
        <v>290</v>
      </c>
      <c r="M5" t="s">
        <v>291</v>
      </c>
    </row>
    <row r="6" spans="2:15" x14ac:dyDescent="0.3">
      <c r="B6" s="5">
        <v>1</v>
      </c>
      <c r="C6" s="4">
        <v>45426</v>
      </c>
      <c r="D6" t="s">
        <v>292</v>
      </c>
      <c r="H6">
        <v>0</v>
      </c>
      <c r="I6">
        <v>2</v>
      </c>
      <c r="J6">
        <v>2</v>
      </c>
      <c r="K6">
        <v>2.5</v>
      </c>
      <c r="L6">
        <v>2.5</v>
      </c>
      <c r="M6">
        <v>10</v>
      </c>
      <c r="N6">
        <f>(I6*$I$3+J6*$J$3+K6*(59.044/82.03)*$K$3+M6*$M$3)</f>
        <v>17545.426063635256</v>
      </c>
      <c r="O6">
        <v>0.115</v>
      </c>
    </row>
    <row r="7" spans="2:15" x14ac:dyDescent="0.3">
      <c r="B7" s="5">
        <v>38</v>
      </c>
      <c r="C7" s="4">
        <v>45464</v>
      </c>
      <c r="D7" t="s">
        <v>293</v>
      </c>
      <c r="H7">
        <v>0</v>
      </c>
      <c r="I7">
        <v>2</v>
      </c>
      <c r="J7">
        <v>2</v>
      </c>
      <c r="K7">
        <v>0</v>
      </c>
      <c r="L7">
        <v>2.5</v>
      </c>
      <c r="M7">
        <v>10</v>
      </c>
      <c r="N7">
        <f t="shared" ref="N7:N15" si="0">(I7*$I$3+J7*$J$3+K7*(59.044/82.03)*$K$3+M7*$M$3)</f>
        <v>15620</v>
      </c>
    </row>
    <row r="8" spans="2:15" x14ac:dyDescent="0.3">
      <c r="B8" s="5">
        <v>52</v>
      </c>
      <c r="C8" s="4">
        <v>45478</v>
      </c>
      <c r="D8" t="s">
        <v>294</v>
      </c>
      <c r="H8">
        <v>0</v>
      </c>
      <c r="N8">
        <f t="shared" si="0"/>
        <v>0</v>
      </c>
    </row>
    <row r="9" spans="2:15" x14ac:dyDescent="0.3">
      <c r="B9" s="5">
        <v>94</v>
      </c>
      <c r="C9" s="4">
        <v>45520</v>
      </c>
      <c r="D9" t="s">
        <v>295</v>
      </c>
      <c r="H9">
        <v>0</v>
      </c>
      <c r="I9">
        <v>0</v>
      </c>
      <c r="J9">
        <v>0</v>
      </c>
      <c r="K9">
        <v>0</v>
      </c>
      <c r="L9">
        <v>0</v>
      </c>
      <c r="M9">
        <v>10</v>
      </c>
      <c r="N9">
        <f t="shared" si="0"/>
        <v>11850</v>
      </c>
    </row>
    <row r="10" spans="2:15" x14ac:dyDescent="0.3">
      <c r="B10" s="5">
        <v>104</v>
      </c>
      <c r="C10" s="4">
        <v>45531</v>
      </c>
      <c r="D10" t="s">
        <v>296</v>
      </c>
      <c r="H10">
        <v>0</v>
      </c>
      <c r="N10">
        <f t="shared" si="0"/>
        <v>0</v>
      </c>
    </row>
    <row r="11" spans="2:15" x14ac:dyDescent="0.3">
      <c r="B11" s="5">
        <v>107</v>
      </c>
      <c r="C11" s="4" t="s">
        <v>297</v>
      </c>
      <c r="D11" t="s">
        <v>298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f t="shared" si="0"/>
        <v>0</v>
      </c>
    </row>
    <row r="12" spans="2:15" x14ac:dyDescent="0.3">
      <c r="B12" s="5">
        <v>112</v>
      </c>
      <c r="C12" s="4" t="s">
        <v>299</v>
      </c>
      <c r="D12" t="s">
        <v>300</v>
      </c>
      <c r="H12">
        <v>0</v>
      </c>
      <c r="N12">
        <f t="shared" si="0"/>
        <v>0</v>
      </c>
    </row>
    <row r="13" spans="2:15" x14ac:dyDescent="0.3">
      <c r="B13" s="5">
        <v>129</v>
      </c>
      <c r="C13" s="4">
        <v>45561</v>
      </c>
      <c r="D13" t="s">
        <v>301</v>
      </c>
      <c r="H13">
        <v>0</v>
      </c>
      <c r="N13">
        <f t="shared" si="0"/>
        <v>0</v>
      </c>
    </row>
    <row r="14" spans="2:15" x14ac:dyDescent="0.3">
      <c r="B14" s="5">
        <v>146</v>
      </c>
      <c r="C14" s="4">
        <v>45572</v>
      </c>
      <c r="D14" t="s">
        <v>302</v>
      </c>
      <c r="H14">
        <v>0</v>
      </c>
      <c r="N14">
        <f t="shared" si="0"/>
        <v>0</v>
      </c>
    </row>
    <row r="15" spans="2:15" x14ac:dyDescent="0.3">
      <c r="B15" s="5">
        <v>150</v>
      </c>
      <c r="C15" s="4">
        <v>45576</v>
      </c>
      <c r="D15" t="s">
        <v>303</v>
      </c>
      <c r="H15">
        <v>0</v>
      </c>
      <c r="N15">
        <f t="shared" si="0"/>
        <v>0</v>
      </c>
    </row>
    <row r="16" spans="2:15" x14ac:dyDescent="0.3">
      <c r="H16">
        <v>4</v>
      </c>
    </row>
    <row r="61" spans="1:11" x14ac:dyDescent="0.3">
      <c r="B61" t="s">
        <v>304</v>
      </c>
      <c r="C61" t="s">
        <v>305</v>
      </c>
      <c r="D61" t="s">
        <v>306</v>
      </c>
      <c r="E61" t="s">
        <v>307</v>
      </c>
      <c r="G61" t="s">
        <v>308</v>
      </c>
      <c r="H61" t="s">
        <v>309</v>
      </c>
      <c r="I61" t="s">
        <v>310</v>
      </c>
    </row>
    <row r="62" spans="1:11" x14ac:dyDescent="0.3">
      <c r="A62">
        <v>57.47</v>
      </c>
      <c r="B62" s="97">
        <v>45849</v>
      </c>
      <c r="C62">
        <v>0.9</v>
      </c>
      <c r="D62">
        <v>0.5</v>
      </c>
      <c r="E62">
        <v>0.22500000000000001</v>
      </c>
      <c r="F62">
        <v>0.72</v>
      </c>
      <c r="G62" s="38">
        <v>45687.487500000003</v>
      </c>
      <c r="H62">
        <v>1.3925145370000001</v>
      </c>
      <c r="I62">
        <v>0.43516079299999999</v>
      </c>
      <c r="K62">
        <v>1.8</v>
      </c>
    </row>
    <row r="63" spans="1:11" x14ac:dyDescent="0.3">
      <c r="A63">
        <v>58.47</v>
      </c>
      <c r="B63" s="97">
        <v>45850</v>
      </c>
      <c r="C63">
        <v>0.88800000000000001</v>
      </c>
      <c r="D63">
        <v>0.44400000000000001</v>
      </c>
      <c r="E63">
        <v>0.222</v>
      </c>
      <c r="F63">
        <v>0.71040000000000003</v>
      </c>
      <c r="G63" s="38">
        <v>45688.45416666667</v>
      </c>
      <c r="H63">
        <v>1.318064642</v>
      </c>
      <c r="I63">
        <v>0.41189520099999999</v>
      </c>
      <c r="K63">
        <v>2</v>
      </c>
    </row>
    <row r="64" spans="1:11" x14ac:dyDescent="0.3">
      <c r="A64">
        <v>61.47</v>
      </c>
      <c r="B64" s="97">
        <v>45853</v>
      </c>
      <c r="C64">
        <v>0.88800000000000001</v>
      </c>
      <c r="D64">
        <v>0.34399999999999997</v>
      </c>
      <c r="E64">
        <v>0.222</v>
      </c>
      <c r="F64">
        <v>0.71040000000000003</v>
      </c>
      <c r="G64" s="38">
        <v>45691.354166666664</v>
      </c>
      <c r="H64">
        <v>1.2716745599999999</v>
      </c>
      <c r="I64">
        <v>0.39739829999999998</v>
      </c>
      <c r="K64">
        <v>2.5813953490000001</v>
      </c>
    </row>
    <row r="65" spans="1:11" x14ac:dyDescent="0.3">
      <c r="A65">
        <v>64.47</v>
      </c>
      <c r="B65" s="97">
        <v>45856</v>
      </c>
      <c r="C65">
        <v>0.98799999999999999</v>
      </c>
      <c r="D65">
        <v>0.34399999999999997</v>
      </c>
      <c r="E65">
        <v>0.247</v>
      </c>
      <c r="F65">
        <v>0.79039999999999999</v>
      </c>
      <c r="G65" s="38">
        <v>45692.432638888888</v>
      </c>
      <c r="H65">
        <v>1.267707715</v>
      </c>
      <c r="I65">
        <v>0.39615866100000002</v>
      </c>
      <c r="K65">
        <v>2.8720930230000001</v>
      </c>
    </row>
    <row r="66" spans="1:11" x14ac:dyDescent="0.3">
      <c r="A66">
        <v>70.47</v>
      </c>
      <c r="B66" s="97">
        <v>45862</v>
      </c>
      <c r="C66">
        <v>1.2</v>
      </c>
      <c r="D66">
        <v>0.34399999999999997</v>
      </c>
      <c r="E66">
        <v>0.3</v>
      </c>
      <c r="F66">
        <v>0.96</v>
      </c>
      <c r="G66" s="38">
        <v>45693.397222222222</v>
      </c>
      <c r="H66">
        <v>1.3640530909999999</v>
      </c>
      <c r="I66">
        <v>0.42626659099999997</v>
      </c>
      <c r="K66">
        <v>3.4883720930000002</v>
      </c>
    </row>
    <row r="67" spans="1:11" x14ac:dyDescent="0.3">
      <c r="A67">
        <v>71.47</v>
      </c>
      <c r="B67" s="97">
        <v>45863</v>
      </c>
      <c r="C67">
        <v>1.3</v>
      </c>
      <c r="D67">
        <v>0.34399999999999997</v>
      </c>
      <c r="E67">
        <v>0.32500000000000001</v>
      </c>
      <c r="F67">
        <v>1.04</v>
      </c>
      <c r="G67" s="38">
        <v>45694.481944444444</v>
      </c>
      <c r="H67">
        <v>1.2889429109999999</v>
      </c>
      <c r="I67">
        <v>0.40279466000000003</v>
      </c>
      <c r="K67">
        <v>3.7790697670000002</v>
      </c>
    </row>
    <row r="68" spans="1:11" x14ac:dyDescent="0.3">
      <c r="A68">
        <v>76.47</v>
      </c>
      <c r="B68" s="97">
        <v>45868</v>
      </c>
      <c r="C68">
        <v>1</v>
      </c>
      <c r="D68">
        <v>0.25</v>
      </c>
      <c r="E68">
        <v>0.25</v>
      </c>
      <c r="F68">
        <v>0.8</v>
      </c>
      <c r="G68" s="38">
        <v>45695.479861111111</v>
      </c>
      <c r="H68">
        <v>1.2802097690000001</v>
      </c>
      <c r="I68">
        <v>0.40006555300000002</v>
      </c>
      <c r="K68">
        <v>4</v>
      </c>
    </row>
    <row r="69" spans="1:11" x14ac:dyDescent="0.3">
      <c r="A69">
        <v>78.47</v>
      </c>
      <c r="B69" s="97">
        <v>45870</v>
      </c>
      <c r="C69">
        <v>1.2</v>
      </c>
      <c r="D69">
        <v>0.3</v>
      </c>
      <c r="E69">
        <v>0.3</v>
      </c>
      <c r="F69">
        <v>0.96</v>
      </c>
      <c r="G69" s="38">
        <v>45698.440972222219</v>
      </c>
      <c r="H69">
        <v>1.3303971999999999</v>
      </c>
      <c r="I69">
        <v>0.415749125</v>
      </c>
      <c r="K69">
        <v>4</v>
      </c>
    </row>
    <row r="70" spans="1:11" x14ac:dyDescent="0.3">
      <c r="A70">
        <v>96.47</v>
      </c>
      <c r="B70" s="97">
        <v>45888</v>
      </c>
      <c r="C70">
        <v>1</v>
      </c>
      <c r="D70">
        <v>0.25</v>
      </c>
      <c r="E70">
        <v>0.25</v>
      </c>
      <c r="F70">
        <v>0.8</v>
      </c>
      <c r="G70" s="38">
        <v>45699.48541666667</v>
      </c>
      <c r="H70">
        <v>1.5541846349999999</v>
      </c>
      <c r="I70">
        <v>0.48568269800000002</v>
      </c>
      <c r="K70">
        <v>4</v>
      </c>
    </row>
    <row r="71" spans="1:11" x14ac:dyDescent="0.3">
      <c r="A71">
        <v>106.47</v>
      </c>
      <c r="B71" s="97">
        <v>45898</v>
      </c>
      <c r="C71">
        <v>1.2</v>
      </c>
      <c r="D71">
        <v>0.3</v>
      </c>
      <c r="E71">
        <v>0.3</v>
      </c>
      <c r="F71">
        <v>0.96</v>
      </c>
      <c r="G71" s="38">
        <v>45700.447916666664</v>
      </c>
      <c r="H71">
        <v>1.572901645</v>
      </c>
      <c r="I71">
        <v>0.49153176399999998</v>
      </c>
      <c r="K71">
        <v>4</v>
      </c>
    </row>
    <row r="72" spans="1:11" x14ac:dyDescent="0.3">
      <c r="A72">
        <v>146.47</v>
      </c>
      <c r="B72" s="97">
        <v>45938</v>
      </c>
      <c r="C72">
        <v>0.6</v>
      </c>
      <c r="D72">
        <v>0.3</v>
      </c>
      <c r="E72">
        <v>0.15</v>
      </c>
      <c r="F72">
        <v>0.48</v>
      </c>
      <c r="G72" s="38">
        <v>45701.443055555559</v>
      </c>
      <c r="H72">
        <v>1.7085815289999999</v>
      </c>
      <c r="I72">
        <v>0.53393172799999999</v>
      </c>
      <c r="K72">
        <v>2</v>
      </c>
    </row>
    <row r="73" spans="1:11" x14ac:dyDescent="0.3">
      <c r="A73">
        <v>150.47</v>
      </c>
      <c r="B73" s="97">
        <v>45942</v>
      </c>
      <c r="C73">
        <v>1</v>
      </c>
      <c r="D73">
        <v>0.3</v>
      </c>
      <c r="E73">
        <v>0.25</v>
      </c>
      <c r="F73">
        <v>0.8</v>
      </c>
      <c r="G73" s="38">
        <v>45702.470833333333</v>
      </c>
      <c r="H73">
        <v>1.656091894</v>
      </c>
      <c r="I73">
        <v>0.51752871700000003</v>
      </c>
      <c r="K73">
        <v>3.3333333330000001</v>
      </c>
    </row>
    <row r="74" spans="1:11" x14ac:dyDescent="0.3">
      <c r="A74">
        <v>152.47</v>
      </c>
      <c r="B74" s="97">
        <v>45944</v>
      </c>
      <c r="C74">
        <v>1.2</v>
      </c>
      <c r="D74">
        <v>0.3</v>
      </c>
      <c r="E74">
        <v>0.3</v>
      </c>
      <c r="F74">
        <v>0.96</v>
      </c>
      <c r="G74" s="38">
        <v>45705.444444444445</v>
      </c>
      <c r="H74">
        <v>1.5986978940000001</v>
      </c>
      <c r="I74">
        <v>0.49959309200000002</v>
      </c>
      <c r="K74">
        <v>4</v>
      </c>
    </row>
    <row r="75" spans="1:11" x14ac:dyDescent="0.3">
      <c r="A75">
        <v>159.47</v>
      </c>
      <c r="B75" s="97">
        <v>45951</v>
      </c>
      <c r="C75">
        <v>1.2</v>
      </c>
      <c r="D75">
        <v>0.4</v>
      </c>
      <c r="E75">
        <v>0.3</v>
      </c>
      <c r="F75">
        <v>0.96</v>
      </c>
      <c r="G75" s="38">
        <v>45706.442361111112</v>
      </c>
      <c r="H75">
        <v>1.6110573690000001</v>
      </c>
      <c r="I75">
        <v>0.50345542799999998</v>
      </c>
      <c r="K75">
        <v>3</v>
      </c>
    </row>
    <row r="76" spans="1:11" x14ac:dyDescent="0.3">
      <c r="A76">
        <v>160.47</v>
      </c>
      <c r="B76" s="97">
        <v>45952</v>
      </c>
      <c r="C76">
        <v>1.2</v>
      </c>
      <c r="D76">
        <v>0.35</v>
      </c>
      <c r="E76">
        <v>0.3</v>
      </c>
      <c r="F76">
        <v>0.96</v>
      </c>
      <c r="G76" s="38">
        <v>45707.45416666667</v>
      </c>
      <c r="H76">
        <v>1.673596989</v>
      </c>
      <c r="I76">
        <v>0.52299905899999999</v>
      </c>
      <c r="K76">
        <v>3.4285714289999998</v>
      </c>
    </row>
    <row r="77" spans="1:11" x14ac:dyDescent="0.3">
      <c r="A77">
        <v>161.47</v>
      </c>
      <c r="B77" s="4">
        <v>45588</v>
      </c>
      <c r="C77">
        <v>1.2</v>
      </c>
      <c r="D77">
        <v>0.3</v>
      </c>
      <c r="E77">
        <v>0.3</v>
      </c>
      <c r="F77">
        <v>0.96</v>
      </c>
      <c r="G77" s="38">
        <v>45708.470833333333</v>
      </c>
      <c r="H77">
        <v>1.996810886</v>
      </c>
      <c r="I77">
        <v>0.62400340200000004</v>
      </c>
      <c r="K77">
        <v>4</v>
      </c>
    </row>
    <row r="78" spans="1:11" x14ac:dyDescent="0.3">
      <c r="A78">
        <v>166.47</v>
      </c>
      <c r="B78" s="4">
        <v>45593</v>
      </c>
      <c r="C78">
        <v>1.25</v>
      </c>
      <c r="D78">
        <v>0.3</v>
      </c>
      <c r="E78">
        <v>0.3125</v>
      </c>
      <c r="F78">
        <v>1</v>
      </c>
      <c r="G78" s="38">
        <v>45709.42291666667</v>
      </c>
      <c r="H78">
        <v>2.0819469150000001</v>
      </c>
      <c r="I78">
        <v>0.650608411</v>
      </c>
      <c r="K78">
        <v>4.1666666670000003</v>
      </c>
    </row>
    <row r="79" spans="1:11" x14ac:dyDescent="0.3">
      <c r="A79">
        <v>167.47</v>
      </c>
      <c r="B79" s="4">
        <v>45594</v>
      </c>
      <c r="C79">
        <v>1.25</v>
      </c>
      <c r="D79">
        <v>0.33700000000000002</v>
      </c>
      <c r="E79">
        <v>0.3125</v>
      </c>
      <c r="F79">
        <v>1</v>
      </c>
      <c r="G79" s="38">
        <v>45712.456250000003</v>
      </c>
      <c r="H79">
        <v>1.9195921419999999</v>
      </c>
      <c r="I79">
        <v>0.59987254400000001</v>
      </c>
      <c r="K79">
        <v>3.709198813</v>
      </c>
    </row>
    <row r="80" spans="1:11" x14ac:dyDescent="0.3">
      <c r="A80">
        <v>183.47</v>
      </c>
      <c r="B80" s="4">
        <v>45610</v>
      </c>
      <c r="C80">
        <v>1.2969999999999999</v>
      </c>
      <c r="D80">
        <v>0.33700000000000002</v>
      </c>
      <c r="E80">
        <v>0.32424999999999998</v>
      </c>
      <c r="F80">
        <v>1.0376000000000001</v>
      </c>
      <c r="G80" s="38">
        <v>45713.456250000003</v>
      </c>
      <c r="H80">
        <v>1.9112048939999999</v>
      </c>
      <c r="I80">
        <v>0.597251529</v>
      </c>
      <c r="K80">
        <v>3.8486646879999999</v>
      </c>
    </row>
    <row r="81" spans="1:11" x14ac:dyDescent="0.3">
      <c r="A81">
        <v>184.47</v>
      </c>
      <c r="B81" s="4">
        <v>45611</v>
      </c>
      <c r="C81">
        <v>1.331</v>
      </c>
      <c r="D81">
        <v>0.33700000000000002</v>
      </c>
      <c r="E81">
        <v>0.33274999999999999</v>
      </c>
      <c r="F81">
        <v>1.0648</v>
      </c>
      <c r="G81" s="38">
        <v>45714.414583333331</v>
      </c>
      <c r="H81">
        <v>1.904652013</v>
      </c>
      <c r="I81">
        <v>0.59520375400000003</v>
      </c>
      <c r="K81">
        <v>3.949554896</v>
      </c>
    </row>
    <row r="82" spans="1:11" x14ac:dyDescent="0.3">
      <c r="A82">
        <v>189.47</v>
      </c>
      <c r="B82" s="4">
        <v>45616</v>
      </c>
      <c r="C82">
        <v>1.3480000000000001</v>
      </c>
      <c r="D82">
        <v>0.33700000000000002</v>
      </c>
      <c r="E82">
        <v>0.33700000000000002</v>
      </c>
      <c r="F82">
        <v>1.0784</v>
      </c>
      <c r="G82" s="38">
        <v>45715.4375</v>
      </c>
      <c r="H82">
        <v>2.077253818</v>
      </c>
      <c r="I82">
        <v>0.64914181800000004</v>
      </c>
      <c r="K82">
        <v>4</v>
      </c>
    </row>
    <row r="83" spans="1:11" x14ac:dyDescent="0.3">
      <c r="A83">
        <v>196.47</v>
      </c>
      <c r="B83" s="4">
        <v>45623</v>
      </c>
      <c r="C83">
        <v>1.48</v>
      </c>
      <c r="D83">
        <v>0.37</v>
      </c>
      <c r="E83">
        <v>0.37</v>
      </c>
      <c r="F83">
        <v>1.1839999999999999</v>
      </c>
      <c r="G83" s="38">
        <v>45716.46875</v>
      </c>
      <c r="H83">
        <v>1.981940901</v>
      </c>
      <c r="I83">
        <v>0.61935653099999999</v>
      </c>
      <c r="K83">
        <v>4</v>
      </c>
    </row>
    <row r="84" spans="1:11" x14ac:dyDescent="0.3">
      <c r="A84">
        <v>198.47</v>
      </c>
      <c r="B84" s="4">
        <v>45625</v>
      </c>
      <c r="C84">
        <v>1.48</v>
      </c>
      <c r="D84">
        <v>0.374</v>
      </c>
      <c r="E84">
        <v>0.37</v>
      </c>
      <c r="F84">
        <v>1.1839999999999999</v>
      </c>
      <c r="G84" s="38">
        <v>45719.455555555556</v>
      </c>
      <c r="H84">
        <v>2.1005827730000002</v>
      </c>
      <c r="I84">
        <v>0.65643211700000004</v>
      </c>
      <c r="K84">
        <v>3.9572192510000002</v>
      </c>
    </row>
    <row r="85" spans="1:11" x14ac:dyDescent="0.3">
      <c r="A85">
        <v>204.47</v>
      </c>
      <c r="B85" s="4">
        <v>45631</v>
      </c>
      <c r="C85">
        <v>1.48</v>
      </c>
      <c r="D85">
        <v>0.379</v>
      </c>
      <c r="E85">
        <v>0.37</v>
      </c>
      <c r="F85">
        <v>1.1839999999999999</v>
      </c>
      <c r="G85" s="38">
        <v>45720.689583333333</v>
      </c>
      <c r="H85">
        <v>2.1198030569999999</v>
      </c>
      <c r="I85">
        <v>0.66243845499999998</v>
      </c>
      <c r="K85">
        <v>3.9050131929999998</v>
      </c>
    </row>
    <row r="86" spans="1:11" x14ac:dyDescent="0.3">
      <c r="A86">
        <v>210.47</v>
      </c>
      <c r="B86" s="4">
        <v>45637</v>
      </c>
      <c r="C86">
        <v>1.4970000000000001</v>
      </c>
      <c r="D86">
        <v>0.379</v>
      </c>
      <c r="E86">
        <v>0.37425000000000003</v>
      </c>
      <c r="F86">
        <v>1.1976</v>
      </c>
      <c r="G86" s="38">
        <v>45721.458333333336</v>
      </c>
      <c r="H86">
        <v>2.2931131570000001</v>
      </c>
      <c r="I86">
        <v>0.71659786199999997</v>
      </c>
      <c r="K86">
        <v>3.9498680739999998</v>
      </c>
    </row>
    <row r="87" spans="1:11" x14ac:dyDescent="0.3">
      <c r="A87">
        <v>217.47</v>
      </c>
      <c r="B87" s="4">
        <v>45644</v>
      </c>
      <c r="C87">
        <v>1.508</v>
      </c>
      <c r="D87">
        <v>0.379</v>
      </c>
      <c r="E87">
        <v>0.377</v>
      </c>
      <c r="F87">
        <v>1.2063999999999999</v>
      </c>
      <c r="G87" s="38">
        <v>45722.418055555558</v>
      </c>
      <c r="H87">
        <v>3.1409711599999999</v>
      </c>
      <c r="I87">
        <v>0.981553487</v>
      </c>
      <c r="K87">
        <v>3.9788918209999999</v>
      </c>
    </row>
    <row r="88" spans="1:11" x14ac:dyDescent="0.3">
      <c r="A88">
        <v>236.47</v>
      </c>
      <c r="B88" s="4">
        <v>45663</v>
      </c>
      <c r="C88">
        <v>1.583</v>
      </c>
      <c r="D88">
        <v>0.39700000000000002</v>
      </c>
      <c r="E88">
        <v>0.39574999999999999</v>
      </c>
      <c r="F88">
        <v>1.2664</v>
      </c>
      <c r="G88" s="38">
        <v>45722.615277777775</v>
      </c>
      <c r="H88">
        <v>1.7684915430000001</v>
      </c>
      <c r="I88">
        <v>0.55265360699999999</v>
      </c>
      <c r="K88">
        <v>3.9874055419999999</v>
      </c>
    </row>
    <row r="89" spans="1:11" x14ac:dyDescent="0.3">
      <c r="A89">
        <v>240.47</v>
      </c>
      <c r="B89" s="4">
        <v>45667</v>
      </c>
      <c r="C89">
        <v>1.583</v>
      </c>
      <c r="D89">
        <v>0.4</v>
      </c>
      <c r="E89">
        <v>0.39574999999999999</v>
      </c>
      <c r="F89">
        <v>1.2664</v>
      </c>
      <c r="G89" s="38">
        <v>45723.42291666667</v>
      </c>
      <c r="H89">
        <v>1.866876609</v>
      </c>
      <c r="I89">
        <v>0.58339894000000003</v>
      </c>
      <c r="K89">
        <v>3.9575</v>
      </c>
    </row>
    <row r="90" spans="1:11" x14ac:dyDescent="0.3">
      <c r="A90">
        <v>250.47</v>
      </c>
      <c r="B90" s="4">
        <v>45677</v>
      </c>
      <c r="C90">
        <v>1.663</v>
      </c>
      <c r="D90">
        <v>0.42</v>
      </c>
      <c r="E90">
        <v>0.41575000000000001</v>
      </c>
      <c r="F90">
        <v>1.3304</v>
      </c>
      <c r="G90" s="38">
        <v>45726.428472222222</v>
      </c>
      <c r="H90">
        <v>2.0728919719999999</v>
      </c>
      <c r="I90">
        <v>0.64777874099999999</v>
      </c>
      <c r="K90">
        <v>3.9595238099999999</v>
      </c>
    </row>
    <row r="91" spans="1:11" x14ac:dyDescent="0.3">
      <c r="A91">
        <v>258.47000000000003</v>
      </c>
      <c r="B91" s="4">
        <v>45685</v>
      </c>
      <c r="C91">
        <v>1.83</v>
      </c>
      <c r="D91">
        <v>0.46200000000000002</v>
      </c>
      <c r="E91">
        <v>0.45750000000000002</v>
      </c>
      <c r="F91">
        <v>1.464</v>
      </c>
      <c r="G91" s="38">
        <v>45727.538194444445</v>
      </c>
      <c r="H91">
        <v>2.0026830819999999</v>
      </c>
      <c r="I91">
        <v>0.62583846300000001</v>
      </c>
      <c r="K91">
        <v>3.9610389609999999</v>
      </c>
    </row>
    <row r="92" spans="1:11" x14ac:dyDescent="0.3">
      <c r="A92">
        <v>272.47000000000003</v>
      </c>
      <c r="B92" s="4">
        <v>45699</v>
      </c>
      <c r="C92">
        <v>2.1030000000000002</v>
      </c>
      <c r="D92">
        <v>0.53100000000000003</v>
      </c>
      <c r="E92">
        <v>0.52575000000000005</v>
      </c>
      <c r="F92">
        <v>1.6823999999999999</v>
      </c>
      <c r="G92" s="38">
        <v>45728.461805555555</v>
      </c>
      <c r="H92">
        <v>1.9962846139999999</v>
      </c>
      <c r="I92">
        <v>0.62383894200000001</v>
      </c>
      <c r="K92">
        <v>3.960451977</v>
      </c>
    </row>
    <row r="93" spans="1:11" x14ac:dyDescent="0.3">
      <c r="A93">
        <v>274.47000000000003</v>
      </c>
      <c r="B93" s="4">
        <v>45701</v>
      </c>
      <c r="C93">
        <v>2.3130000000000002</v>
      </c>
      <c r="D93">
        <v>0.58399999999999996</v>
      </c>
      <c r="E93">
        <v>0.57825000000000004</v>
      </c>
      <c r="F93">
        <v>1.8504</v>
      </c>
      <c r="G93" s="38">
        <v>45729.417361111111</v>
      </c>
      <c r="H93">
        <v>2.418112813</v>
      </c>
      <c r="I93">
        <v>0.75566025400000003</v>
      </c>
      <c r="K93">
        <v>3.9606164380000002</v>
      </c>
    </row>
    <row r="94" spans="1:11" x14ac:dyDescent="0.3">
      <c r="A94">
        <v>278.47000000000003</v>
      </c>
      <c r="B94" s="4">
        <v>45705</v>
      </c>
      <c r="C94">
        <v>2.1030000000000002</v>
      </c>
      <c r="D94">
        <v>0.53100000000000003</v>
      </c>
      <c r="E94">
        <v>0.52575000000000005</v>
      </c>
      <c r="F94">
        <v>1.6823999999999999</v>
      </c>
      <c r="G94" s="38">
        <v>45730.537499999999</v>
      </c>
      <c r="H94">
        <v>2.3953312599999999</v>
      </c>
      <c r="I94">
        <v>0.74854101900000003</v>
      </c>
      <c r="K94">
        <v>3.960451977</v>
      </c>
    </row>
    <row r="95" spans="1:11" x14ac:dyDescent="0.3">
      <c r="A95">
        <v>281.47000000000003</v>
      </c>
      <c r="B95" s="4">
        <v>45708</v>
      </c>
      <c r="C95">
        <v>2.7749999999999999</v>
      </c>
      <c r="D95">
        <v>0.70099999999999996</v>
      </c>
      <c r="E95">
        <v>0.69374999999999998</v>
      </c>
      <c r="F95">
        <v>2.2200000000000002</v>
      </c>
      <c r="G95" s="38">
        <v>45733.400694444441</v>
      </c>
      <c r="H95">
        <v>2.5113378310000001</v>
      </c>
      <c r="I95">
        <v>0.78479307200000004</v>
      </c>
      <c r="K95">
        <v>3.958630528</v>
      </c>
    </row>
    <row r="96" spans="1:11" x14ac:dyDescent="0.3">
      <c r="A96">
        <v>286.47000000000003</v>
      </c>
      <c r="B96" s="4">
        <v>45713</v>
      </c>
      <c r="C96">
        <v>2.77</v>
      </c>
      <c r="D96">
        <v>0.70099999999999996</v>
      </c>
      <c r="E96">
        <v>0.6925</v>
      </c>
      <c r="F96">
        <v>2.2160000000000002</v>
      </c>
      <c r="G96" s="38">
        <v>45734.40902777778</v>
      </c>
      <c r="H96">
        <v>2.4605121319999999</v>
      </c>
      <c r="I96">
        <v>0.76891004100000004</v>
      </c>
      <c r="K96">
        <v>3.9514978599999999</v>
      </c>
    </row>
    <row r="97" spans="1:11" x14ac:dyDescent="0.3">
      <c r="A97">
        <v>301.47000000000003</v>
      </c>
      <c r="B97" s="4">
        <v>45728</v>
      </c>
      <c r="C97">
        <v>3.3239999999999998</v>
      </c>
      <c r="D97">
        <v>0.84099999999999997</v>
      </c>
      <c r="E97">
        <v>0.83099999999999996</v>
      </c>
      <c r="F97">
        <v>2.6591999999999998</v>
      </c>
      <c r="G97" s="38">
        <v>45735.452777777777</v>
      </c>
      <c r="K97">
        <v>3.9524375740000002</v>
      </c>
    </row>
    <row r="98" spans="1:11" x14ac:dyDescent="0.3">
      <c r="A98">
        <v>310.47000000000003</v>
      </c>
      <c r="B98" s="4">
        <v>45737</v>
      </c>
      <c r="C98">
        <v>3.9887999999999999</v>
      </c>
      <c r="D98">
        <v>1.012</v>
      </c>
      <c r="E98">
        <v>0.99719999999999998</v>
      </c>
      <c r="F98">
        <v>3.1910400000000001</v>
      </c>
      <c r="G98" s="38"/>
      <c r="K98">
        <v>3.9415019760000001</v>
      </c>
    </row>
    <row r="101" spans="1:11" x14ac:dyDescent="0.3">
      <c r="F101" t="s">
        <v>311</v>
      </c>
      <c r="G101" t="s">
        <v>312</v>
      </c>
      <c r="H101" t="s">
        <v>313</v>
      </c>
      <c r="I101" t="s">
        <v>314</v>
      </c>
    </row>
    <row r="102" spans="1:11" x14ac:dyDescent="0.3">
      <c r="A102">
        <v>45663.701388888891</v>
      </c>
      <c r="B102">
        <v>237.17152777777665</v>
      </c>
      <c r="C102">
        <v>1.583</v>
      </c>
      <c r="D102">
        <v>0.39700000000000002</v>
      </c>
      <c r="E102">
        <v>3.9874055415617127</v>
      </c>
      <c r="F102" s="100">
        <v>4.973474801061005E-2</v>
      </c>
      <c r="G102">
        <f>MROUND(B102, 0.5)</f>
        <v>237</v>
      </c>
      <c r="H102">
        <v>0.5</v>
      </c>
      <c r="I102">
        <v>0.5</v>
      </c>
    </row>
    <row r="103" spans="1:11" x14ac:dyDescent="0.3">
      <c r="A103">
        <v>45667.520833333336</v>
      </c>
      <c r="B103">
        <v>240.9909722222219</v>
      </c>
      <c r="C103">
        <v>1.583</v>
      </c>
      <c r="D103">
        <v>0.4</v>
      </c>
      <c r="E103">
        <v>3.9574999999999996</v>
      </c>
      <c r="F103" s="100">
        <v>5.0536955148452349E-2</v>
      </c>
      <c r="G103">
        <f t="shared" ref="G103:G108" si="1">MROUND(B104, 0.5)</f>
        <v>251</v>
      </c>
      <c r="H103">
        <v>0.5</v>
      </c>
      <c r="I103">
        <v>0.5</v>
      </c>
    </row>
    <row r="104" spans="1:11" x14ac:dyDescent="0.3">
      <c r="A104">
        <v>45677.609027777777</v>
      </c>
      <c r="B104">
        <v>251.07916666666279</v>
      </c>
      <c r="C104">
        <v>1.663</v>
      </c>
      <c r="D104">
        <v>0.42</v>
      </c>
      <c r="E104">
        <v>3.9595238095238097</v>
      </c>
      <c r="F104" s="100">
        <v>0.10042092603728205</v>
      </c>
      <c r="G104">
        <f t="shared" si="1"/>
        <v>259</v>
      </c>
      <c r="H104">
        <v>0.5</v>
      </c>
      <c r="I104">
        <v>0.5</v>
      </c>
    </row>
    <row r="105" spans="1:11" x14ac:dyDescent="0.3">
      <c r="A105">
        <v>45685.600694444445</v>
      </c>
      <c r="B105">
        <v>259.07083333333139</v>
      </c>
      <c r="C105">
        <v>1.83</v>
      </c>
      <c r="D105">
        <v>0.46200000000000002</v>
      </c>
      <c r="E105">
        <v>3.9610389610389611</v>
      </c>
      <c r="F105" s="100">
        <v>0.14918032786885252</v>
      </c>
      <c r="G105">
        <f t="shared" si="1"/>
        <v>273</v>
      </c>
      <c r="H105">
        <v>0.5</v>
      </c>
      <c r="I105">
        <v>0.5</v>
      </c>
    </row>
    <row r="106" spans="1:11" x14ac:dyDescent="0.3">
      <c r="A106">
        <v>45699.754861111112</v>
      </c>
      <c r="B106">
        <v>273.22499999999854</v>
      </c>
      <c r="C106">
        <v>2.1030000000000002</v>
      </c>
      <c r="D106">
        <v>0.53100000000000003</v>
      </c>
      <c r="E106">
        <v>3.9604519774011302</v>
      </c>
      <c r="F106" s="100">
        <v>9.9857346647646186E-2</v>
      </c>
      <c r="G106">
        <f t="shared" si="1"/>
        <v>275</v>
      </c>
      <c r="H106">
        <v>0.5</v>
      </c>
      <c r="I106">
        <v>0.5</v>
      </c>
    </row>
    <row r="107" spans="1:11" x14ac:dyDescent="0.3">
      <c r="A107">
        <v>45701.461111111108</v>
      </c>
      <c r="B107">
        <v>274.93124999999418</v>
      </c>
      <c r="C107">
        <v>2.3130000000000002</v>
      </c>
      <c r="D107">
        <v>0.58399999999999996</v>
      </c>
      <c r="E107">
        <v>3.9606164383561651</v>
      </c>
      <c r="F107" s="100">
        <v>-9.0791180285343692E-2</v>
      </c>
      <c r="G107">
        <f t="shared" si="1"/>
        <v>279</v>
      </c>
      <c r="H107">
        <v>0.5</v>
      </c>
      <c r="I107">
        <v>0.5</v>
      </c>
    </row>
    <row r="108" spans="1:11" x14ac:dyDescent="0.3">
      <c r="A108">
        <v>45705.440972222219</v>
      </c>
      <c r="B108">
        <v>278.91111111110513</v>
      </c>
      <c r="C108">
        <v>2.1030000000000002</v>
      </c>
      <c r="D108">
        <v>0.53100000000000003</v>
      </c>
      <c r="E108">
        <v>3.9604519774011302</v>
      </c>
      <c r="F108" s="100">
        <v>0.31954350927246772</v>
      </c>
      <c r="G108">
        <f t="shared" si="1"/>
        <v>282</v>
      </c>
      <c r="H108">
        <v>0.5</v>
      </c>
      <c r="I108">
        <v>0.5</v>
      </c>
    </row>
    <row r="109" spans="1:11" x14ac:dyDescent="0.3">
      <c r="A109">
        <v>45708.612500000003</v>
      </c>
      <c r="B109">
        <v>282.08263888888905</v>
      </c>
      <c r="C109">
        <v>2.7749999999999999</v>
      </c>
      <c r="D109">
        <v>0.70099999999999996</v>
      </c>
      <c r="E109">
        <v>3.9586305278174039</v>
      </c>
      <c r="F109" s="100">
        <v>0.19999999999999993</v>
      </c>
      <c r="G109">
        <f>MROUND(B113, 0.5)</f>
        <v>303</v>
      </c>
      <c r="H109">
        <v>0.5</v>
      </c>
      <c r="I109">
        <v>0.5</v>
      </c>
    </row>
    <row r="110" spans="1:11" x14ac:dyDescent="0.3">
      <c r="A110">
        <v>45713.570833333331</v>
      </c>
      <c r="B110">
        <v>287.04097222221753</v>
      </c>
      <c r="C110">
        <v>2.77</v>
      </c>
      <c r="D110">
        <v>0.70099999999999996</v>
      </c>
      <c r="E110">
        <v>3.9514978601997148</v>
      </c>
      <c r="F110" s="100">
        <v>0.19975932611311678</v>
      </c>
      <c r="G110">
        <f>MROUND(B114, 0.5)</f>
        <v>310</v>
      </c>
      <c r="H110">
        <v>0.5</v>
      </c>
      <c r="I110">
        <v>0.5</v>
      </c>
    </row>
    <row r="111" spans="1:11" x14ac:dyDescent="0.3">
      <c r="A111">
        <v>45722.385416666664</v>
      </c>
      <c r="B111">
        <v>295.85555555555038</v>
      </c>
      <c r="C111">
        <v>2.77</v>
      </c>
      <c r="D111">
        <v>7.01</v>
      </c>
      <c r="E111">
        <v>0.39514978601997147</v>
      </c>
      <c r="F111" s="100">
        <v>-1.1785356068204652E-2</v>
      </c>
      <c r="G111">
        <f>MROUND(B115, 0.5)</f>
        <v>314</v>
      </c>
      <c r="H111">
        <v>0.5</v>
      </c>
      <c r="I111">
        <v>0.5</v>
      </c>
    </row>
    <row r="112" spans="1:11" x14ac:dyDescent="0.3">
      <c r="A112">
        <v>45722.4375</v>
      </c>
      <c r="B112">
        <v>295.90763888888614</v>
      </c>
      <c r="C112">
        <v>2.77</v>
      </c>
      <c r="D112">
        <v>0.70099999999999996</v>
      </c>
      <c r="E112">
        <v>3.9514978601997148</v>
      </c>
    </row>
    <row r="113" spans="1:7" x14ac:dyDescent="0.3">
      <c r="A113">
        <v>45729.715277777781</v>
      </c>
      <c r="B113">
        <v>303.18541666666715</v>
      </c>
      <c r="C113">
        <v>3.3239999999999998</v>
      </c>
      <c r="D113">
        <v>0.84099999999999997</v>
      </c>
      <c r="E113">
        <v>3.9524375743162903</v>
      </c>
    </row>
    <row r="114" spans="1:7" x14ac:dyDescent="0.3">
      <c r="A114">
        <v>45736.43472222222</v>
      </c>
      <c r="B114">
        <v>309.90486111110658</v>
      </c>
      <c r="C114">
        <v>3.988</v>
      </c>
      <c r="D114">
        <v>1.012</v>
      </c>
      <c r="E114">
        <v>3.9407114624505928</v>
      </c>
    </row>
    <row r="115" spans="1:7" x14ac:dyDescent="0.3">
      <c r="A115">
        <v>45740.652777777781</v>
      </c>
      <c r="B115">
        <v>314.12291666666715</v>
      </c>
      <c r="C115">
        <v>3.9409999999999998</v>
      </c>
      <c r="D115">
        <v>1.012</v>
      </c>
      <c r="E115">
        <v>3.8942687747035571</v>
      </c>
    </row>
    <row r="116" spans="1:7" x14ac:dyDescent="0.3">
      <c r="A116">
        <v>45749</v>
      </c>
      <c r="B116">
        <v>322.47013888888614</v>
      </c>
      <c r="C116">
        <v>3.9409999999999998</v>
      </c>
      <c r="D116">
        <v>1.012</v>
      </c>
      <c r="E116">
        <v>3.8942687747035571</v>
      </c>
    </row>
    <row r="119" spans="1:7" x14ac:dyDescent="0.3">
      <c r="G119">
        <f>0.04/0.5</f>
        <v>0.08</v>
      </c>
    </row>
    <row r="123" spans="1:7" x14ac:dyDescent="0.3">
      <c r="B123">
        <v>190</v>
      </c>
      <c r="C123">
        <v>0.9</v>
      </c>
      <c r="D123">
        <v>0.99</v>
      </c>
    </row>
    <row r="124" spans="1:7" x14ac:dyDescent="0.3">
      <c r="B124">
        <v>225</v>
      </c>
      <c r="C124">
        <v>0.9</v>
      </c>
      <c r="D124">
        <v>0.99</v>
      </c>
    </row>
    <row r="125" spans="1:7" x14ac:dyDescent="0.3">
      <c r="B125">
        <v>225</v>
      </c>
      <c r="C125">
        <v>0.9</v>
      </c>
      <c r="D125">
        <v>0.98</v>
      </c>
    </row>
    <row r="126" spans="1:7" x14ac:dyDescent="0.3">
      <c r="B126">
        <v>322</v>
      </c>
      <c r="C126">
        <v>0.9</v>
      </c>
      <c r="D126">
        <v>0.98</v>
      </c>
    </row>
    <row r="128" spans="1:7" x14ac:dyDescent="0.3">
      <c r="C128" t="s">
        <v>315</v>
      </c>
      <c r="E128" t="s">
        <v>316</v>
      </c>
      <c r="F128" t="s">
        <v>317</v>
      </c>
    </row>
    <row r="129" spans="2:13" x14ac:dyDescent="0.3">
      <c r="B129" s="4">
        <v>45614</v>
      </c>
      <c r="C129">
        <v>187.5</v>
      </c>
      <c r="E129">
        <v>247</v>
      </c>
      <c r="F129">
        <v>176</v>
      </c>
      <c r="G129">
        <v>86</v>
      </c>
      <c r="H129">
        <v>58</v>
      </c>
      <c r="K129">
        <v>86</v>
      </c>
      <c r="L129">
        <v>58</v>
      </c>
      <c r="M129">
        <v>0.71255060699999995</v>
      </c>
    </row>
    <row r="130" spans="2:13" x14ac:dyDescent="0.3">
      <c r="B130" s="4">
        <v>45621</v>
      </c>
      <c r="C130">
        <v>194.5</v>
      </c>
      <c r="E130">
        <v>216</v>
      </c>
      <c r="F130">
        <v>167</v>
      </c>
      <c r="G130">
        <v>82</v>
      </c>
      <c r="H130">
        <v>66</v>
      </c>
      <c r="K130">
        <v>82</v>
      </c>
      <c r="L130">
        <v>66</v>
      </c>
      <c r="M130">
        <v>0.77314814799999998</v>
      </c>
    </row>
    <row r="131" spans="2:13" x14ac:dyDescent="0.3">
      <c r="B131" s="4">
        <v>45628</v>
      </c>
      <c r="C131">
        <v>201.5</v>
      </c>
      <c r="E131">
        <v>1224</v>
      </c>
      <c r="F131">
        <v>1089</v>
      </c>
      <c r="G131">
        <v>303</v>
      </c>
      <c r="H131">
        <v>278</v>
      </c>
      <c r="K131">
        <v>303</v>
      </c>
      <c r="L131">
        <v>278</v>
      </c>
      <c r="M131">
        <v>0.889705882</v>
      </c>
    </row>
    <row r="132" spans="2:13" x14ac:dyDescent="0.3">
      <c r="B132" s="4">
        <v>45635</v>
      </c>
      <c r="C132">
        <v>208.5</v>
      </c>
      <c r="E132">
        <v>1083</v>
      </c>
      <c r="F132">
        <v>874</v>
      </c>
      <c r="I132">
        <v>71</v>
      </c>
      <c r="J132">
        <v>51</v>
      </c>
      <c r="K132">
        <v>71</v>
      </c>
      <c r="L132">
        <v>51</v>
      </c>
      <c r="M132">
        <v>0.80701754400000003</v>
      </c>
    </row>
    <row r="133" spans="2:13" x14ac:dyDescent="0.3">
      <c r="B133" s="4">
        <v>45642</v>
      </c>
      <c r="C133">
        <v>215.5</v>
      </c>
      <c r="E133">
        <v>429</v>
      </c>
      <c r="F133">
        <v>331</v>
      </c>
      <c r="G133">
        <v>210</v>
      </c>
      <c r="H133">
        <v>168</v>
      </c>
      <c r="K133">
        <v>210</v>
      </c>
      <c r="L133">
        <v>168</v>
      </c>
      <c r="M133">
        <v>0.77156177199999998</v>
      </c>
    </row>
    <row r="134" spans="2:13" x14ac:dyDescent="0.3">
      <c r="B134" s="4">
        <v>45663</v>
      </c>
      <c r="C134">
        <v>236.5</v>
      </c>
      <c r="E134">
        <v>396</v>
      </c>
      <c r="F134">
        <v>322</v>
      </c>
      <c r="G134">
        <v>249</v>
      </c>
      <c r="H134">
        <v>210</v>
      </c>
      <c r="K134">
        <v>249</v>
      </c>
      <c r="L134">
        <v>210</v>
      </c>
      <c r="M134">
        <v>0.81313131299999997</v>
      </c>
    </row>
    <row r="135" spans="2:13" x14ac:dyDescent="0.3">
      <c r="B135" s="4">
        <v>45670</v>
      </c>
      <c r="C135">
        <v>243.5</v>
      </c>
      <c r="E135">
        <v>722</v>
      </c>
      <c r="F135">
        <v>591</v>
      </c>
      <c r="G135">
        <v>403</v>
      </c>
      <c r="H135">
        <v>352</v>
      </c>
      <c r="K135">
        <v>403</v>
      </c>
      <c r="L135">
        <v>352</v>
      </c>
      <c r="M135">
        <v>0.81855955700000005</v>
      </c>
    </row>
    <row r="136" spans="2:13" x14ac:dyDescent="0.3">
      <c r="B136" s="4">
        <v>45677</v>
      </c>
      <c r="C136">
        <v>250.5</v>
      </c>
      <c r="E136">
        <v>524</v>
      </c>
      <c r="F136">
        <v>453</v>
      </c>
      <c r="G136">
        <v>209</v>
      </c>
      <c r="H136">
        <v>171</v>
      </c>
      <c r="K136">
        <v>209</v>
      </c>
      <c r="L136">
        <v>171</v>
      </c>
      <c r="M136">
        <v>0.86450381700000001</v>
      </c>
    </row>
    <row r="137" spans="2:13" x14ac:dyDescent="0.3">
      <c r="B137" s="4">
        <v>45684</v>
      </c>
      <c r="C137">
        <v>257.5</v>
      </c>
      <c r="E137">
        <v>256</v>
      </c>
      <c r="F137">
        <v>191</v>
      </c>
      <c r="G137">
        <v>111</v>
      </c>
      <c r="H137">
        <v>88</v>
      </c>
      <c r="K137">
        <v>111</v>
      </c>
      <c r="L137">
        <v>88</v>
      </c>
      <c r="M137">
        <v>0.74609375</v>
      </c>
    </row>
    <row r="138" spans="2:13" x14ac:dyDescent="0.3">
      <c r="B138" s="4">
        <v>45691</v>
      </c>
      <c r="C138">
        <v>264.5</v>
      </c>
      <c r="E138">
        <v>231</v>
      </c>
      <c r="F138">
        <v>169</v>
      </c>
      <c r="G138">
        <v>132</v>
      </c>
      <c r="H138">
        <v>96</v>
      </c>
      <c r="K138">
        <v>132</v>
      </c>
      <c r="L138">
        <v>96</v>
      </c>
      <c r="M138">
        <v>0.731601732</v>
      </c>
    </row>
    <row r="139" spans="2:13" x14ac:dyDescent="0.3">
      <c r="B139" s="4">
        <v>45699</v>
      </c>
      <c r="C139">
        <v>272.5</v>
      </c>
      <c r="E139">
        <v>198</v>
      </c>
      <c r="F139">
        <v>146</v>
      </c>
      <c r="G139">
        <v>94</v>
      </c>
      <c r="H139">
        <v>60</v>
      </c>
      <c r="K139">
        <v>94</v>
      </c>
      <c r="L139">
        <v>60</v>
      </c>
      <c r="M139">
        <v>0.73737373699999997</v>
      </c>
    </row>
    <row r="140" spans="2:13" x14ac:dyDescent="0.3">
      <c r="B140" s="4">
        <v>45705</v>
      </c>
      <c r="C140">
        <v>278.5</v>
      </c>
      <c r="E140">
        <v>213</v>
      </c>
      <c r="F140">
        <v>169</v>
      </c>
      <c r="G140">
        <v>130</v>
      </c>
      <c r="H140">
        <v>94</v>
      </c>
      <c r="K140">
        <v>130</v>
      </c>
      <c r="L140">
        <v>94</v>
      </c>
      <c r="M140">
        <v>0.79342723000000004</v>
      </c>
    </row>
    <row r="141" spans="2:13" x14ac:dyDescent="0.3">
      <c r="B141" s="4">
        <v>45712</v>
      </c>
      <c r="C141">
        <v>285.5</v>
      </c>
      <c r="E141">
        <v>351</v>
      </c>
      <c r="F141">
        <v>273</v>
      </c>
      <c r="G141">
        <v>139</v>
      </c>
      <c r="H141">
        <v>108</v>
      </c>
      <c r="K141">
        <v>139</v>
      </c>
      <c r="L141">
        <v>108</v>
      </c>
      <c r="M141">
        <v>0.77777777800000003</v>
      </c>
    </row>
    <row r="142" spans="2:13" x14ac:dyDescent="0.3">
      <c r="B142" s="4">
        <v>45719</v>
      </c>
      <c r="C142">
        <v>292.5</v>
      </c>
      <c r="E142">
        <v>1002</v>
      </c>
      <c r="F142">
        <v>868</v>
      </c>
      <c r="G142">
        <v>120</v>
      </c>
      <c r="H142">
        <v>104</v>
      </c>
      <c r="K142">
        <v>120</v>
      </c>
      <c r="L142">
        <v>104</v>
      </c>
      <c r="M142">
        <v>0.86626746499999996</v>
      </c>
    </row>
    <row r="143" spans="2:13" x14ac:dyDescent="0.3">
      <c r="B143" s="4">
        <v>45726</v>
      </c>
      <c r="C143">
        <v>299.5</v>
      </c>
      <c r="E143">
        <v>482</v>
      </c>
      <c r="F143">
        <v>391</v>
      </c>
      <c r="G143">
        <v>234</v>
      </c>
      <c r="H143">
        <v>179</v>
      </c>
      <c r="K143">
        <v>234</v>
      </c>
      <c r="L143">
        <v>179</v>
      </c>
      <c r="M143">
        <v>0.81120331999999995</v>
      </c>
    </row>
    <row r="144" spans="2:13" x14ac:dyDescent="0.3">
      <c r="B144" s="4">
        <v>45733</v>
      </c>
      <c r="C144">
        <v>306.5</v>
      </c>
      <c r="E144">
        <v>407</v>
      </c>
      <c r="F144">
        <v>309</v>
      </c>
      <c r="G144">
        <v>220</v>
      </c>
      <c r="H144">
        <v>182</v>
      </c>
      <c r="K144">
        <v>220</v>
      </c>
      <c r="L144">
        <v>182</v>
      </c>
      <c r="M144">
        <v>0.75921375899999999</v>
      </c>
    </row>
    <row r="145" spans="1:27" x14ac:dyDescent="0.3">
      <c r="B145" s="4">
        <v>45740</v>
      </c>
      <c r="C145">
        <v>313.5</v>
      </c>
      <c r="E145">
        <v>598</v>
      </c>
      <c r="F145">
        <v>508</v>
      </c>
      <c r="G145">
        <v>406</v>
      </c>
      <c r="H145">
        <v>346</v>
      </c>
      <c r="K145">
        <v>406</v>
      </c>
      <c r="L145">
        <v>346</v>
      </c>
      <c r="M145">
        <v>0.84949832800000002</v>
      </c>
    </row>
    <row r="146" spans="1:27" x14ac:dyDescent="0.3">
      <c r="B146" s="4">
        <v>45747</v>
      </c>
      <c r="C146">
        <v>320.5</v>
      </c>
      <c r="E146">
        <v>562</v>
      </c>
      <c r="G146">
        <v>402</v>
      </c>
    </row>
    <row r="153" spans="1:27" x14ac:dyDescent="0.3">
      <c r="A153" s="3"/>
      <c r="B153" s="3"/>
      <c r="C153" s="3"/>
      <c r="D153" s="3"/>
      <c r="E153" s="3"/>
      <c r="F153" s="3"/>
      <c r="G153" s="3"/>
      <c r="H153" s="12"/>
      <c r="I153" s="12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3">
      <c r="A154" s="3"/>
      <c r="B154" s="12"/>
      <c r="C154" s="12"/>
      <c r="D154" s="12"/>
      <c r="E154" s="3"/>
      <c r="F154" s="3"/>
      <c r="G154" s="3"/>
      <c r="H154" s="3"/>
      <c r="I154" s="3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x14ac:dyDescent="0.3">
      <c r="A155" s="4"/>
      <c r="B155" s="83"/>
      <c r="C155" s="83"/>
      <c r="D155" s="113"/>
      <c r="E155" s="19"/>
      <c r="F155" s="19"/>
      <c r="G155" s="19"/>
      <c r="H155" s="19"/>
      <c r="I155" s="114"/>
      <c r="J155" s="10"/>
      <c r="K155" s="10"/>
      <c r="L155" s="115"/>
      <c r="M155" s="115"/>
      <c r="N155" s="115"/>
      <c r="O155" s="115"/>
      <c r="P155" s="115"/>
      <c r="Q155" s="10"/>
      <c r="R155" s="115"/>
      <c r="S155" s="115"/>
      <c r="T155" s="115"/>
      <c r="U155" s="115"/>
      <c r="V155" s="116"/>
      <c r="W155" s="116"/>
      <c r="X155" s="116"/>
      <c r="Y155" s="116"/>
      <c r="Z155" s="116"/>
      <c r="AA155" s="116"/>
    </row>
    <row r="156" spans="1:27" x14ac:dyDescent="0.3">
      <c r="A156" s="4"/>
      <c r="B156" s="83"/>
      <c r="C156" s="83"/>
      <c r="D156" s="113"/>
      <c r="E156" s="19"/>
      <c r="F156" s="19"/>
      <c r="G156" s="19"/>
      <c r="H156" s="19"/>
      <c r="I156" s="114"/>
      <c r="J156" s="10"/>
      <c r="K156" s="10"/>
      <c r="L156" s="10"/>
      <c r="M156" s="10"/>
      <c r="N156" s="10"/>
      <c r="O156" s="10"/>
      <c r="P156" s="10"/>
      <c r="Q156" s="10"/>
      <c r="R156" s="10"/>
      <c r="S156" s="115"/>
      <c r="T156" s="115"/>
      <c r="U156" s="115"/>
      <c r="V156" s="116"/>
      <c r="W156" s="116"/>
      <c r="X156" s="116"/>
      <c r="Y156" s="116"/>
      <c r="Z156" s="116"/>
      <c r="AA156" s="116"/>
    </row>
    <row r="157" spans="1:27" x14ac:dyDescent="0.3">
      <c r="A157" s="4"/>
      <c r="B157" s="83"/>
      <c r="C157" s="83"/>
      <c r="D157" s="113"/>
      <c r="E157" s="19"/>
      <c r="F157" s="19"/>
      <c r="G157" s="19"/>
      <c r="H157" s="19"/>
      <c r="I157" s="114"/>
      <c r="J157" s="115"/>
      <c r="K157" s="115"/>
      <c r="L157" s="10"/>
      <c r="M157" s="115"/>
      <c r="N157" s="115"/>
      <c r="O157" s="10"/>
      <c r="P157" s="115"/>
      <c r="Q157" s="115"/>
      <c r="R157" s="10"/>
      <c r="S157" s="115"/>
      <c r="T157" s="115"/>
      <c r="U157" s="115"/>
      <c r="V157" s="116"/>
      <c r="W157" s="116"/>
      <c r="X157" s="116"/>
      <c r="Y157" s="116"/>
      <c r="Z157" s="116"/>
      <c r="AA157" s="116"/>
    </row>
    <row r="158" spans="1:27" x14ac:dyDescent="0.3">
      <c r="A158" s="4"/>
      <c r="B158" s="83"/>
      <c r="C158" s="83"/>
      <c r="D158" s="113"/>
      <c r="E158" s="19"/>
      <c r="F158" s="19"/>
      <c r="G158" s="19"/>
      <c r="H158" s="19"/>
      <c r="I158" s="114"/>
      <c r="S158" s="115"/>
      <c r="T158" s="115"/>
      <c r="U158" s="115"/>
      <c r="V158" s="116"/>
      <c r="W158" s="116"/>
      <c r="X158" s="116"/>
      <c r="Y158" s="116"/>
      <c r="Z158" s="116"/>
      <c r="AA158" s="116"/>
    </row>
    <row r="159" spans="1:27" x14ac:dyDescent="0.3">
      <c r="A159" s="4"/>
      <c r="B159" s="83"/>
      <c r="C159" s="83"/>
      <c r="D159" s="113"/>
      <c r="E159" s="19"/>
      <c r="G159" s="19"/>
      <c r="H159" s="19"/>
      <c r="I159" s="114"/>
      <c r="P159" s="10"/>
      <c r="Q159" s="10"/>
      <c r="R159" s="10"/>
      <c r="S159" s="115"/>
      <c r="T159" s="115"/>
      <c r="U159" s="115"/>
      <c r="V159" s="116"/>
      <c r="W159" s="116"/>
      <c r="X159" s="116"/>
      <c r="Y159" s="116"/>
      <c r="Z159" s="116"/>
      <c r="AA159" s="116"/>
    </row>
    <row r="160" spans="1:27" x14ac:dyDescent="0.3">
      <c r="A160" s="4"/>
      <c r="B160" s="83"/>
      <c r="C160" s="83"/>
      <c r="D160" s="113"/>
      <c r="E160" s="19"/>
      <c r="G160" s="19"/>
      <c r="H160" s="19"/>
      <c r="I160" s="114"/>
      <c r="S160" s="115"/>
      <c r="T160" s="115"/>
      <c r="U160" s="115"/>
      <c r="V160" s="116"/>
      <c r="W160" s="116"/>
      <c r="X160" s="116"/>
      <c r="Y160" s="116"/>
      <c r="Z160" s="116"/>
      <c r="AA160" s="116"/>
    </row>
    <row r="161" spans="1:27" x14ac:dyDescent="0.3">
      <c r="A161" s="4"/>
      <c r="B161" s="83"/>
      <c r="C161" s="117"/>
      <c r="D161" s="113"/>
      <c r="E161" s="19"/>
      <c r="G161" s="19"/>
      <c r="H161" s="19"/>
      <c r="I161" s="114"/>
      <c r="J161" s="10"/>
      <c r="K161" s="10"/>
      <c r="L161" s="10"/>
      <c r="M161" s="10"/>
      <c r="N161" s="10"/>
      <c r="O161" s="10"/>
      <c r="P161" s="118"/>
      <c r="Q161" s="118"/>
      <c r="R161" s="118"/>
      <c r="S161" s="115"/>
      <c r="T161" s="115"/>
      <c r="U161" s="115"/>
      <c r="V161" s="116"/>
      <c r="W161" s="116"/>
      <c r="X161" s="116"/>
      <c r="Y161" s="116"/>
      <c r="Z161" s="116"/>
      <c r="AA161" s="116"/>
    </row>
    <row r="162" spans="1:27" x14ac:dyDescent="0.3">
      <c r="A162" s="4"/>
      <c r="B162" s="83"/>
      <c r="C162" s="83"/>
      <c r="D162" s="113"/>
      <c r="E162" s="19"/>
      <c r="G162" s="19"/>
      <c r="H162" s="19"/>
      <c r="I162" s="114"/>
      <c r="J162" s="10"/>
      <c r="K162" s="10"/>
      <c r="L162" s="10"/>
      <c r="N162" s="10"/>
      <c r="O162" s="10"/>
      <c r="P162" s="118"/>
      <c r="Q162" s="10"/>
      <c r="R162" s="118"/>
      <c r="S162" s="115"/>
      <c r="T162" s="115"/>
      <c r="U162" s="115"/>
      <c r="V162" s="116"/>
      <c r="W162" s="116"/>
      <c r="X162" s="116"/>
      <c r="Y162" s="116"/>
      <c r="Z162" s="116"/>
      <c r="AA162" s="116"/>
    </row>
    <row r="163" spans="1:27" x14ac:dyDescent="0.3">
      <c r="A163" s="4"/>
      <c r="B163" s="83"/>
      <c r="C163" s="83"/>
      <c r="D163" s="113"/>
      <c r="E163" s="19"/>
      <c r="G163" s="19"/>
      <c r="H163" s="19"/>
      <c r="I163" s="114"/>
      <c r="J163" s="10"/>
      <c r="K163" s="10"/>
      <c r="L163" s="10"/>
      <c r="M163" s="10"/>
      <c r="N163" s="10"/>
      <c r="O163" s="10"/>
      <c r="P163" s="10"/>
      <c r="Q163" s="10"/>
      <c r="R163" s="10"/>
      <c r="S163" s="115"/>
      <c r="T163" s="115"/>
      <c r="U163" s="115"/>
      <c r="V163" s="116"/>
      <c r="W163" s="116"/>
      <c r="X163" s="116"/>
      <c r="Y163" s="116"/>
      <c r="Z163" s="116"/>
      <c r="AA163" s="116"/>
    </row>
    <row r="164" spans="1:27" x14ac:dyDescent="0.3">
      <c r="A164" s="4"/>
      <c r="B164" s="83"/>
      <c r="C164" s="83"/>
      <c r="D164" s="113"/>
      <c r="E164" s="19"/>
      <c r="G164" s="19"/>
      <c r="H164" s="19"/>
      <c r="I164" s="114"/>
      <c r="J164" s="10"/>
      <c r="K164" s="10"/>
      <c r="L164" s="10"/>
      <c r="M164" s="10"/>
      <c r="N164" s="10"/>
      <c r="O164" s="10"/>
      <c r="P164" s="10"/>
      <c r="Q164" s="10"/>
      <c r="R164" s="10"/>
      <c r="S164" s="115"/>
      <c r="T164" s="115"/>
      <c r="U164" s="115"/>
      <c r="V164" s="116"/>
      <c r="W164" s="116"/>
      <c r="X164" s="116"/>
      <c r="Y164" s="116"/>
      <c r="Z164" s="116"/>
      <c r="AA164" s="116"/>
    </row>
    <row r="165" spans="1:27" x14ac:dyDescent="0.3">
      <c r="A165" s="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4C3EB-95FA-4838-BC56-9A0345FAF218}">
  <dimension ref="A1:DN312"/>
  <sheetViews>
    <sheetView topLeftCell="AH1" workbookViewId="0">
      <selection activeCell="AR15" sqref="AR15"/>
    </sheetView>
  </sheetViews>
  <sheetFormatPr defaultRowHeight="15" customHeight="1" x14ac:dyDescent="0.3"/>
  <cols>
    <col min="1" max="1" width="14.88671875" customWidth="1"/>
    <col min="3" max="3" width="16" bestFit="1" customWidth="1"/>
    <col min="9" max="9" width="13.6640625" customWidth="1"/>
    <col min="10" max="10" width="12.6640625" customWidth="1"/>
    <col min="11" max="11" width="11.6640625" customWidth="1"/>
    <col min="12" max="12" width="12.88671875" style="103" customWidth="1"/>
    <col min="13" max="13" width="11.109375" customWidth="1"/>
    <col min="14" max="14" width="11.5546875" customWidth="1"/>
    <col min="15" max="16" width="13.88671875" customWidth="1"/>
    <col min="21" max="21" width="10.33203125" bestFit="1" customWidth="1"/>
    <col min="22" max="26" width="10.33203125" customWidth="1"/>
    <col min="27" max="27" width="11.5546875" bestFit="1" customWidth="1"/>
    <col min="28" max="28" width="10.5546875" bestFit="1" customWidth="1"/>
    <col min="29" max="29" width="9" bestFit="1" customWidth="1"/>
    <col min="30" max="30" width="11.5546875" bestFit="1" customWidth="1"/>
    <col min="31" max="31" width="13.109375" customWidth="1"/>
    <col min="32" max="32" width="10.5546875" bestFit="1" customWidth="1"/>
    <col min="33" max="33" width="12.33203125" customWidth="1"/>
    <col min="34" max="38" width="12.5546875" customWidth="1"/>
    <col min="39" max="39" width="14.6640625" customWidth="1"/>
    <col min="40" max="40" width="16.6640625" customWidth="1"/>
    <col min="41" max="41" width="12.5546875" customWidth="1"/>
    <col min="42" max="47" width="10.33203125" customWidth="1"/>
    <col min="48" max="48" width="16.33203125" customWidth="1"/>
    <col min="49" max="49" width="10.33203125" customWidth="1"/>
    <col min="50" max="50" width="58.5546875" customWidth="1"/>
    <col min="51" max="51" width="10.33203125" customWidth="1"/>
    <col min="52" max="52" width="11.33203125" customWidth="1"/>
    <col min="53" max="53" width="13.109375" customWidth="1"/>
    <col min="54" max="58" width="10.33203125" customWidth="1"/>
    <col min="59" max="59" width="11.44140625" customWidth="1"/>
    <col min="60" max="60" width="8" customWidth="1"/>
    <col min="61" max="61" width="12.6640625" customWidth="1"/>
    <col min="67" max="67" width="12.33203125" customWidth="1"/>
    <col min="69" max="69" width="12" customWidth="1"/>
    <col min="70" max="70" width="12.5546875" customWidth="1"/>
    <col min="74" max="75" width="12.6640625" customWidth="1"/>
    <col min="76" max="76" width="12.44140625" bestFit="1" customWidth="1"/>
    <col min="77" max="77" width="6.109375" bestFit="1" customWidth="1"/>
    <col min="78" max="78" width="12.6640625" customWidth="1"/>
    <col min="79" max="79" width="12.5546875" bestFit="1" customWidth="1"/>
    <col min="80" max="80" width="6.109375" bestFit="1" customWidth="1"/>
    <col min="81" max="81" width="6.109375" customWidth="1"/>
    <col min="82" max="82" width="11.33203125" customWidth="1"/>
    <col min="83" max="83" width="8.33203125" customWidth="1"/>
    <col min="84" max="84" width="6.5546875" customWidth="1"/>
    <col min="85" max="85" width="11.6640625" bestFit="1" customWidth="1"/>
    <col min="86" max="86" width="12.5546875" bestFit="1" customWidth="1"/>
    <col min="87" max="87" width="6.109375" bestFit="1" customWidth="1"/>
    <col min="88" max="88" width="12.6640625" customWidth="1"/>
    <col min="111" max="111" width="11" bestFit="1" customWidth="1"/>
    <col min="114" max="114" width="9.44140625" customWidth="1"/>
    <col min="115" max="115" width="15.33203125" customWidth="1"/>
    <col min="116" max="116" width="11.33203125" customWidth="1"/>
    <col min="117" max="117" width="12.109375" customWidth="1"/>
  </cols>
  <sheetData>
    <row r="1" spans="1:117" ht="14.4" x14ac:dyDescent="0.3">
      <c r="B1" t="s">
        <v>237</v>
      </c>
      <c r="C1" s="2">
        <v>45426.529166666667</v>
      </c>
      <c r="E1">
        <v>0.1</v>
      </c>
      <c r="I1" t="s">
        <v>318</v>
      </c>
      <c r="J1">
        <v>155</v>
      </c>
      <c r="AN1" t="s">
        <v>319</v>
      </c>
      <c r="AO1" t="s">
        <v>320</v>
      </c>
      <c r="AP1">
        <v>0.18859999999999999</v>
      </c>
      <c r="AQ1" t="s">
        <v>756</v>
      </c>
      <c r="AR1">
        <f>Sheet2!B6</f>
        <v>0.11015789473684214</v>
      </c>
    </row>
    <row r="2" spans="1:117" ht="15" customHeight="1" x14ac:dyDescent="0.3">
      <c r="J2">
        <v>350</v>
      </c>
      <c r="M2">
        <f>M3*M4*J2</f>
        <v>0.17592918860102844</v>
      </c>
      <c r="AO2" t="s">
        <v>321</v>
      </c>
      <c r="AP2">
        <v>-5.8999999999999999E-3</v>
      </c>
      <c r="AQ2" t="s">
        <v>757</v>
      </c>
      <c r="AR2">
        <f>Sheet2!B7</f>
        <v>4.3263157894736781E-3</v>
      </c>
    </row>
    <row r="3" spans="1:117" ht="21" x14ac:dyDescent="0.4">
      <c r="B3" s="57" t="s">
        <v>322</v>
      </c>
      <c r="J3">
        <v>0.4</v>
      </c>
      <c r="K3" s="103" t="s">
        <v>323</v>
      </c>
      <c r="M3">
        <f>J3*PI()/1000</f>
        <v>1.2566370614359172E-3</v>
      </c>
      <c r="N3" s="56"/>
      <c r="S3" s="57" t="s">
        <v>324</v>
      </c>
      <c r="AL3" s="57" t="s">
        <v>325</v>
      </c>
      <c r="AN3" t="s">
        <v>326</v>
      </c>
      <c r="AO3" t="s">
        <v>320</v>
      </c>
      <c r="AP3">
        <v>0.19839999999999999</v>
      </c>
      <c r="AT3" s="57" t="s">
        <v>327</v>
      </c>
      <c r="AU3" s="57"/>
      <c r="AZ3" s="57" t="s">
        <v>243</v>
      </c>
      <c r="BG3" s="57" t="s">
        <v>328</v>
      </c>
      <c r="BO3" s="57" t="s">
        <v>329</v>
      </c>
      <c r="BS3" s="57" t="s">
        <v>330</v>
      </c>
      <c r="BW3" s="57" t="s">
        <v>331</v>
      </c>
      <c r="CD3" s="57" t="s">
        <v>332</v>
      </c>
      <c r="CK3" s="57" t="s">
        <v>333</v>
      </c>
      <c r="CO3" s="57" t="s">
        <v>334</v>
      </c>
      <c r="CY3" s="57" t="s">
        <v>335</v>
      </c>
      <c r="DI3" s="57" t="s">
        <v>336</v>
      </c>
    </row>
    <row r="4" spans="1:117" ht="14.4" x14ac:dyDescent="0.3">
      <c r="C4" t="s">
        <v>11</v>
      </c>
      <c r="E4" t="s">
        <v>12</v>
      </c>
      <c r="G4" t="s">
        <v>13</v>
      </c>
      <c r="J4">
        <v>400</v>
      </c>
      <c r="K4" s="103" t="s">
        <v>323</v>
      </c>
      <c r="M4">
        <f>J4/1000</f>
        <v>0.4</v>
      </c>
      <c r="S4" s="3" t="s">
        <v>337</v>
      </c>
      <c r="Y4" s="3" t="s">
        <v>338</v>
      </c>
      <c r="AE4" s="3" t="s">
        <v>339</v>
      </c>
      <c r="AO4" t="s">
        <v>321</v>
      </c>
      <c r="AP4">
        <v>-1.01E-2</v>
      </c>
      <c r="BB4" s="3" t="s">
        <v>337</v>
      </c>
      <c r="BD4" s="3" t="s">
        <v>338</v>
      </c>
      <c r="BO4" t="s">
        <v>329</v>
      </c>
      <c r="BS4" t="s">
        <v>330</v>
      </c>
      <c r="CK4" t="s">
        <v>340</v>
      </c>
    </row>
    <row r="5" spans="1:117" ht="57.6" x14ac:dyDescent="0.3">
      <c r="A5" t="s">
        <v>341</v>
      </c>
      <c r="B5" t="s">
        <v>342</v>
      </c>
      <c r="C5" t="s">
        <v>29</v>
      </c>
      <c r="D5" t="s">
        <v>30</v>
      </c>
      <c r="E5" t="s">
        <v>29</v>
      </c>
      <c r="F5" t="s">
        <v>30</v>
      </c>
      <c r="G5" t="s">
        <v>29</v>
      </c>
      <c r="H5" t="s">
        <v>30</v>
      </c>
      <c r="I5" s="1" t="s">
        <v>343</v>
      </c>
      <c r="J5" s="1" t="s">
        <v>344</v>
      </c>
      <c r="K5" s="1" t="s">
        <v>345</v>
      </c>
      <c r="L5" s="104" t="s">
        <v>346</v>
      </c>
      <c r="M5" s="1" t="s">
        <v>347</v>
      </c>
      <c r="N5" s="1" t="s">
        <v>20</v>
      </c>
      <c r="O5" s="1" t="s">
        <v>273</v>
      </c>
      <c r="P5" s="1" t="s">
        <v>274</v>
      </c>
      <c r="Q5" s="1" t="s">
        <v>348</v>
      </c>
      <c r="R5" s="1"/>
      <c r="S5" t="s">
        <v>341</v>
      </c>
      <c r="T5" t="s">
        <v>342</v>
      </c>
      <c r="U5" s="1" t="s">
        <v>349</v>
      </c>
      <c r="V5" s="1" t="s">
        <v>350</v>
      </c>
      <c r="W5" s="1" t="s">
        <v>351</v>
      </c>
      <c r="X5" s="1" t="s">
        <v>352</v>
      </c>
      <c r="Y5" t="s">
        <v>341</v>
      </c>
      <c r="Z5" t="s">
        <v>342</v>
      </c>
      <c r="AA5" s="1" t="s">
        <v>349</v>
      </c>
      <c r="AB5" s="1" t="s">
        <v>350</v>
      </c>
      <c r="AC5" s="1" t="s">
        <v>351</v>
      </c>
      <c r="AD5" s="1" t="s">
        <v>352</v>
      </c>
      <c r="AE5" t="s">
        <v>341</v>
      </c>
      <c r="AF5" t="s">
        <v>342</v>
      </c>
      <c r="AG5" s="1" t="s">
        <v>349</v>
      </c>
      <c r="AH5" s="1" t="s">
        <v>350</v>
      </c>
      <c r="AI5" s="1" t="s">
        <v>351</v>
      </c>
      <c r="AJ5" s="1" t="s">
        <v>352</v>
      </c>
      <c r="AK5" s="1"/>
      <c r="AL5" s="1" t="s">
        <v>341</v>
      </c>
      <c r="AM5" s="1" t="s">
        <v>342</v>
      </c>
      <c r="AN5" s="1" t="s">
        <v>353</v>
      </c>
      <c r="AO5" s="1" t="s">
        <v>354</v>
      </c>
      <c r="AP5" s="1" t="s">
        <v>751</v>
      </c>
      <c r="AQ5" s="1" t="s">
        <v>752</v>
      </c>
      <c r="AR5" s="1" t="s">
        <v>355</v>
      </c>
      <c r="AS5" s="1"/>
      <c r="AT5" s="1" t="s">
        <v>341</v>
      </c>
      <c r="AU5" s="1" t="s">
        <v>342</v>
      </c>
      <c r="AV5" s="1" t="s">
        <v>353</v>
      </c>
      <c r="AW5" s="1" t="s">
        <v>356</v>
      </c>
      <c r="AX5" s="1" t="s">
        <v>31</v>
      </c>
      <c r="AY5" s="1"/>
      <c r="AZ5" t="s">
        <v>341</v>
      </c>
      <c r="BA5" s="10" t="s">
        <v>342</v>
      </c>
      <c r="BB5" s="10" t="s">
        <v>357</v>
      </c>
      <c r="BC5" s="10" t="s">
        <v>358</v>
      </c>
      <c r="BD5" s="10" t="s">
        <v>357</v>
      </c>
      <c r="BE5" s="10" t="s">
        <v>358</v>
      </c>
      <c r="BG5" t="s">
        <v>341</v>
      </c>
      <c r="BH5" t="s">
        <v>342</v>
      </c>
      <c r="BI5" t="s">
        <v>359</v>
      </c>
      <c r="BJ5" t="s">
        <v>360</v>
      </c>
      <c r="BK5" s="1" t="s">
        <v>361</v>
      </c>
      <c r="BL5" s="1" t="s">
        <v>362</v>
      </c>
      <c r="BM5" s="1" t="s">
        <v>363</v>
      </c>
      <c r="BO5" t="s">
        <v>364</v>
      </c>
      <c r="BP5" t="s">
        <v>342</v>
      </c>
      <c r="BQ5" s="1" t="s">
        <v>365</v>
      </c>
      <c r="BR5" s="1"/>
      <c r="BS5" t="s">
        <v>364</v>
      </c>
      <c r="BT5" t="s">
        <v>342</v>
      </c>
      <c r="BU5" s="1" t="s">
        <v>366</v>
      </c>
      <c r="BW5" t="s">
        <v>341</v>
      </c>
      <c r="BX5" s="1" t="s">
        <v>367</v>
      </c>
      <c r="BY5" t="s">
        <v>368</v>
      </c>
      <c r="BZ5" t="s">
        <v>341</v>
      </c>
      <c r="CA5" s="1" t="s">
        <v>369</v>
      </c>
      <c r="CB5" t="s">
        <v>368</v>
      </c>
      <c r="CD5" t="s">
        <v>341</v>
      </c>
      <c r="CE5" s="1" t="s">
        <v>367</v>
      </c>
      <c r="CF5" t="s">
        <v>368</v>
      </c>
      <c r="CG5" t="s">
        <v>341</v>
      </c>
      <c r="CH5" s="1" t="s">
        <v>369</v>
      </c>
      <c r="CI5" t="s">
        <v>368</v>
      </c>
      <c r="CK5" s="1" t="s">
        <v>364</v>
      </c>
      <c r="CL5" s="1" t="s">
        <v>342</v>
      </c>
      <c r="CM5" s="1" t="s">
        <v>370</v>
      </c>
      <c r="CO5" s="1" t="s">
        <v>364</v>
      </c>
      <c r="CP5" s="1" t="s">
        <v>342</v>
      </c>
      <c r="CQ5" s="130" t="s">
        <v>337</v>
      </c>
      <c r="CR5" s="1" t="s">
        <v>364</v>
      </c>
      <c r="CS5" s="1" t="s">
        <v>342</v>
      </c>
      <c r="CT5" s="130" t="s">
        <v>338</v>
      </c>
      <c r="CU5" s="1" t="s">
        <v>364</v>
      </c>
      <c r="CV5" s="1" t="s">
        <v>342</v>
      </c>
      <c r="CW5" s="46" t="s">
        <v>339</v>
      </c>
      <c r="CY5" s="1" t="s">
        <v>364</v>
      </c>
      <c r="CZ5" s="1" t="s">
        <v>342</v>
      </c>
      <c r="DA5" s="12" t="s">
        <v>337</v>
      </c>
      <c r="DB5" s="1" t="s">
        <v>364</v>
      </c>
      <c r="DC5" s="1" t="s">
        <v>342</v>
      </c>
      <c r="DD5" s="12" t="s">
        <v>338</v>
      </c>
      <c r="DE5" s="1" t="s">
        <v>364</v>
      </c>
      <c r="DF5" s="1" t="s">
        <v>342</v>
      </c>
      <c r="DG5" s="3" t="s">
        <v>339</v>
      </c>
      <c r="DI5" s="1" t="s">
        <v>364</v>
      </c>
      <c r="DJ5" s="1" t="s">
        <v>342</v>
      </c>
      <c r="DK5" s="1" t="s">
        <v>353</v>
      </c>
      <c r="DL5" s="1" t="s">
        <v>23</v>
      </c>
      <c r="DM5" s="1" t="s">
        <v>31</v>
      </c>
    </row>
    <row r="6" spans="1:117" ht="14.4" x14ac:dyDescent="0.3">
      <c r="A6">
        <f>MROUND(B6,$E$1)</f>
        <v>0.1</v>
      </c>
      <c r="B6">
        <f>GC_TCD!G8</f>
        <v>5.0000000002910383E-2</v>
      </c>
      <c r="C6">
        <f>GC_TCD!U8</f>
        <v>87.588533333333331</v>
      </c>
      <c r="D6">
        <f>GC_TCD!V8</f>
        <v>0.1431639037374117</v>
      </c>
      <c r="E6">
        <f>GC_TCD!W8</f>
        <v>0</v>
      </c>
      <c r="F6">
        <f>GC_TCD!X8</f>
        <v>0</v>
      </c>
      <c r="G6">
        <f>GC_TCD!Y8</f>
        <v>12.411466666666668</v>
      </c>
      <c r="H6">
        <f>GC_TCD!Z8</f>
        <v>0.14316390373740684</v>
      </c>
      <c r="I6" s="38">
        <f>GC_TCD!K8</f>
        <v>1.027461111051305</v>
      </c>
      <c r="J6" s="42">
        <f>GC_TCD!AA8</f>
        <v>0</v>
      </c>
      <c r="K6" s="42">
        <f>GC_TCD!AB8</f>
        <v>0</v>
      </c>
      <c r="L6" s="105">
        <f>GC_TCD!AC8</f>
        <v>0</v>
      </c>
      <c r="M6" s="42">
        <f t="shared" ref="M6:M37" si="0">(N6/10^6)*1440/B6</f>
        <v>0</v>
      </c>
      <c r="N6">
        <f t="shared" ref="N6:N37" si="1">I6*E6/100</f>
        <v>0</v>
      </c>
      <c r="O6">
        <f t="shared" ref="O6:O37" si="2">C6/100*I6</f>
        <v>0.89993811774020926</v>
      </c>
      <c r="P6">
        <f t="shared" ref="P6:P37" si="3">I6*G6/100</f>
        <v>0.12752299331109571</v>
      </c>
      <c r="Q6" t="str">
        <f t="shared" ref="Q6:Q37" si="4">IFERROR(VLOOKUP(A6,$CK$5:$CM$110,3,FALSE),Q5)</f>
        <v>Reactor Vol</v>
      </c>
      <c r="S6">
        <f>MROUND(T6,$E$1)</f>
        <v>0</v>
      </c>
      <c r="T6">
        <f>VFA!F3</f>
        <v>4.2361111110949423E-2</v>
      </c>
      <c r="U6">
        <f>VFA!K3</f>
        <v>1507.4633333333336</v>
      </c>
      <c r="V6">
        <f>VFA!L3</f>
        <v>1496.0568607777782</v>
      </c>
      <c r="W6" t="str">
        <f>IF(VFA!M3&lt;=0,"",VFA!M3)</f>
        <v/>
      </c>
      <c r="X6">
        <f>VFA!N3</f>
        <v>3873.4934638842233</v>
      </c>
      <c r="Y6">
        <f>MROUND(Z6,$E$1)</f>
        <v>0</v>
      </c>
      <c r="Z6" s="39">
        <f>VFA!Q3</f>
        <v>4.2361111110949423E-2</v>
      </c>
      <c r="AA6" s="39">
        <f>VFA!V3</f>
        <v>2099.6799999999998</v>
      </c>
      <c r="AB6" s="39">
        <f>VFA!W3</f>
        <v>135.86666666666667</v>
      </c>
      <c r="AC6" s="39"/>
      <c r="AD6" s="39">
        <f>VFA!Y3</f>
        <v>2446.0606933333329</v>
      </c>
      <c r="AE6">
        <f>MROUND(AF6,$E$1)</f>
        <v>0.5</v>
      </c>
      <c r="AF6" s="39">
        <f>VFA!AB3</f>
        <v>0.47083333333284827</v>
      </c>
      <c r="AG6" s="39">
        <f>IF(VFA!AG3&lt;=0,"",VFA!AG3)</f>
        <v>2091.6200000000003</v>
      </c>
      <c r="AH6" s="39">
        <f>IF(VFA!AH3&lt;=0,"",VFA!AH3)</f>
        <v>164.33333333333334</v>
      </c>
      <c r="AI6" s="45"/>
      <c r="AJ6" s="45">
        <f>VFA!AJ3</f>
        <v>2480.5592066666668</v>
      </c>
      <c r="AK6" s="45"/>
      <c r="AL6" s="39">
        <f>MROUND(AM6,$E$1)</f>
        <v>0</v>
      </c>
      <c r="AM6" s="39">
        <f>AN6-$C$1</f>
        <v>0</v>
      </c>
      <c r="AN6" s="32">
        <f>C1</f>
        <v>45426.529166666667</v>
      </c>
      <c r="AO6" s="38">
        <v>0.5</v>
      </c>
      <c r="AP6">
        <f>IF(AO6=0,0,IF(AO6&gt;1,$AP$1*AO6+$AP$2,$AP$3*AO6+$AP$4))</f>
        <v>8.9099999999999999E-2</v>
      </c>
      <c r="AQ6">
        <f>AO6*$AR$1+$AR$2</f>
        <v>5.9405263157894746E-2</v>
      </c>
      <c r="AT6" s="38">
        <f>MROUND(AU6,$E$1)</f>
        <v>0</v>
      </c>
      <c r="AU6" s="38">
        <f>AV6-$C$1</f>
        <v>0</v>
      </c>
      <c r="AV6" s="2">
        <v>45426.529166666667</v>
      </c>
      <c r="AW6" s="10">
        <v>1</v>
      </c>
      <c r="AX6" t="s">
        <v>371</v>
      </c>
      <c r="AZ6">
        <f>MROUND(BA6,$E$1)</f>
        <v>38.1</v>
      </c>
      <c r="BA6" s="120">
        <f>TSS_VSS!B7</f>
        <v>38.134722222224809</v>
      </c>
      <c r="BB6" s="10">
        <f>TSS_VSS!D7</f>
        <v>383</v>
      </c>
      <c r="BC6" s="10">
        <f>TSS_VSS!E7</f>
        <v>253</v>
      </c>
      <c r="BD6" s="10">
        <f>TSS_VSS!J7</f>
        <v>304</v>
      </c>
      <c r="BE6" s="10">
        <f>TSS_VSS!K7</f>
        <v>198</v>
      </c>
      <c r="BG6">
        <f>MROUND(BH6,$E$1)</f>
        <v>38.1</v>
      </c>
      <c r="BH6">
        <f>SRT.HRT!B14</f>
        <v>38.134722222224809</v>
      </c>
      <c r="BI6">
        <f>SRT.HRT!P14</f>
        <v>10.707535739380075</v>
      </c>
      <c r="BJ6">
        <f>SRT.HRT!Q14</f>
        <v>9.1969339622654545</v>
      </c>
      <c r="BK6">
        <f>SRT.HRT!R14</f>
        <v>11.19904653445159</v>
      </c>
      <c r="BL6">
        <f>SRT.HRT!S14</f>
        <v>3.3978715219895171E-2</v>
      </c>
      <c r="BM6">
        <f>SRT.HRT!T14</f>
        <v>2.7904161219319636E-2</v>
      </c>
      <c r="BO6">
        <f>MROUND(BP6,0.1)</f>
        <v>0</v>
      </c>
      <c r="BP6">
        <f>'H2 Delivery'!C4</f>
        <v>0</v>
      </c>
      <c r="BQ6">
        <f>'H2 Delivery'!F4</f>
        <v>1.0915248032216731</v>
      </c>
      <c r="BS6">
        <f>MROUND(BT6,$E$1)</f>
        <v>0</v>
      </c>
      <c r="BT6" s="38">
        <f>'CO2 Delivery'!M3</f>
        <v>0</v>
      </c>
      <c r="BU6">
        <f>'CO2 Delivery'!N3</f>
        <v>0.25</v>
      </c>
      <c r="BW6">
        <v>5.5</v>
      </c>
      <c r="BX6" s="45">
        <v>246.87032699238355</v>
      </c>
      <c r="BY6" s="45">
        <v>0</v>
      </c>
      <c r="BZ6">
        <v>0</v>
      </c>
      <c r="CA6" s="45">
        <v>425.35815904548076</v>
      </c>
      <c r="CB6" s="45">
        <v>77.704504120505504</v>
      </c>
      <c r="CC6" s="45"/>
      <c r="CD6" s="39">
        <v>5.5</v>
      </c>
      <c r="CE6" s="45">
        <v>6404.4530014688034</v>
      </c>
      <c r="CF6" s="45">
        <v>1145.3775640769329</v>
      </c>
      <c r="CG6">
        <v>0</v>
      </c>
      <c r="CH6" s="45">
        <v>5629.6618098221961</v>
      </c>
      <c r="CI6" s="45">
        <v>1045.6104303815919</v>
      </c>
      <c r="CK6">
        <f>MROUND(CL6,$E$1)</f>
        <v>0</v>
      </c>
      <c r="CL6">
        <f>'Liquid Volume'!A3</f>
        <v>0</v>
      </c>
      <c r="CM6">
        <f>'Liquid Volume'!C3</f>
        <v>450</v>
      </c>
      <c r="CO6">
        <f>MROUND(CP6,$E$1)</f>
        <v>58.900000000000006</v>
      </c>
      <c r="CP6">
        <f>Ammonia!F4</f>
        <v>58.908333333332848</v>
      </c>
      <c r="CQ6">
        <f>Ammonia!N4</f>
        <v>232</v>
      </c>
      <c r="CR6">
        <f>MROUND(CS6,$E$1)</f>
        <v>58.900000000000006</v>
      </c>
      <c r="CS6">
        <f>Ammonia!Q4</f>
        <v>58.908333333332848</v>
      </c>
      <c r="CT6">
        <f>Ammonia!Y4</f>
        <v>223.99999999999994</v>
      </c>
      <c r="CU6">
        <f>MROUND(CV6,$E$1)</f>
        <v>58.900000000000006</v>
      </c>
      <c r="CV6">
        <f>Ammonia!AB4</f>
        <v>58.908333333332848</v>
      </c>
      <c r="CW6">
        <f>Ammonia!AJ4</f>
        <v>228</v>
      </c>
      <c r="CY6">
        <f>MROUND(CZ6,$E$1)</f>
        <v>1</v>
      </c>
      <c r="CZ6" s="5">
        <v>1</v>
      </c>
      <c r="DA6" s="1"/>
      <c r="DB6" s="1"/>
      <c r="DC6" s="1"/>
      <c r="DD6" s="1"/>
      <c r="DE6">
        <f>MROUND(DF6,0.1)</f>
        <v>0</v>
      </c>
      <c r="DF6" s="5" t="s">
        <v>372</v>
      </c>
      <c r="DG6">
        <f>Plots!N6</f>
        <v>17545.426063635256</v>
      </c>
      <c r="DI6" s="39">
        <f>MROUND(DJ6,$E$1)</f>
        <v>0</v>
      </c>
      <c r="DJ6" s="39">
        <f>DK6-$C$1</f>
        <v>0</v>
      </c>
      <c r="DK6" s="2">
        <v>45426.529166666667</v>
      </c>
      <c r="DL6" t="s">
        <v>373</v>
      </c>
      <c r="DM6" t="s">
        <v>374</v>
      </c>
    </row>
    <row r="7" spans="1:117" ht="14.4" x14ac:dyDescent="0.3">
      <c r="A7">
        <f t="shared" ref="A7:A70" si="5">MROUND(B7,$E$1)</f>
        <v>0.1</v>
      </c>
      <c r="B7">
        <f>GC_TCD!G9</f>
        <v>6.3888888886140194E-2</v>
      </c>
      <c r="C7">
        <f>GC_TCD!U9</f>
        <v>87.898966666666681</v>
      </c>
      <c r="D7">
        <f>GC_TCD!V9</f>
        <v>7.4706916234938622E-2</v>
      </c>
      <c r="E7">
        <f>GC_TCD!W9</f>
        <v>0</v>
      </c>
      <c r="F7">
        <f>GC_TCD!X9</f>
        <v>0</v>
      </c>
      <c r="G7">
        <f>GC_TCD!Y9</f>
        <v>12.101033333333334</v>
      </c>
      <c r="H7">
        <f>GC_TCD!Z9</f>
        <v>7.4706916234933363E-2</v>
      </c>
      <c r="I7" s="38">
        <f>GC_TCD!K9</f>
        <v>0.92966000037879315</v>
      </c>
      <c r="J7" s="42">
        <f>GC_TCD!AA9</f>
        <v>0</v>
      </c>
      <c r="K7" s="42">
        <f>GC_TCD!AB9</f>
        <v>0</v>
      </c>
      <c r="L7" s="105">
        <f>GC_TCD!AC9</f>
        <v>0</v>
      </c>
      <c r="M7" s="42">
        <f t="shared" si="0"/>
        <v>0</v>
      </c>
      <c r="N7">
        <f t="shared" si="1"/>
        <v>0</v>
      </c>
      <c r="O7">
        <f t="shared" si="2"/>
        <v>0.81716153384628876</v>
      </c>
      <c r="P7">
        <f t="shared" si="3"/>
        <v>0.11249846653250456</v>
      </c>
      <c r="Q7" t="str">
        <f t="shared" si="4"/>
        <v>Reactor Vol</v>
      </c>
      <c r="S7">
        <f t="shared" ref="S7:S70" si="6">MROUND(T7,$E$1)</f>
        <v>5.9</v>
      </c>
      <c r="T7">
        <f>VFA!F4</f>
        <v>5.9083333333328483</v>
      </c>
      <c r="U7" t="str">
        <f>VFA!K4</f>
        <v/>
      </c>
      <c r="V7" t="str">
        <f>VFA!L4</f>
        <v/>
      </c>
      <c r="W7" t="str">
        <f>IF(VFA!M4&lt;=0,"",VFA!M4)</f>
        <v/>
      </c>
      <c r="X7">
        <f>VFA!N4</f>
        <v>0</v>
      </c>
      <c r="Y7">
        <f t="shared" ref="Y7:Y70" si="7">MROUND(Z7,$E$1)</f>
        <v>5.9</v>
      </c>
      <c r="Z7" s="39">
        <f>VFA!Q4</f>
        <v>5.9083333333328483</v>
      </c>
      <c r="AA7" s="39">
        <f>VFA!V4</f>
        <v>940.13333333333321</v>
      </c>
      <c r="AB7" s="39">
        <f>VFA!W4</f>
        <v>106.23666666666666</v>
      </c>
      <c r="AC7" s="39"/>
      <c r="AD7" s="39">
        <f>VFA!Y4</f>
        <v>1163.9645799999998</v>
      </c>
      <c r="AE7">
        <f t="shared" ref="AE7:AE70" si="8">MROUND(AF7,$E$1)</f>
        <v>5.9</v>
      </c>
      <c r="AF7" s="39">
        <f>VFA!AB4</f>
        <v>5.9083333333328483</v>
      </c>
      <c r="AG7" s="39">
        <f>IF(VFA!AG4&lt;=0,"",VFA!AG4)</f>
        <v>889.30000000000007</v>
      </c>
      <c r="AH7" s="39">
        <f>IF(VFA!AH4&lt;=0,"",VFA!AH4)</f>
        <v>180.73000000000002</v>
      </c>
      <c r="AI7" s="45"/>
      <c r="AJ7" s="45">
        <f>VFA!AJ4</f>
        <v>1222.5083199999999</v>
      </c>
      <c r="AK7" s="45"/>
      <c r="AL7" s="39">
        <f t="shared" ref="AL7:AL13" si="9">MROUND(AM7,$E$1)</f>
        <v>22.1</v>
      </c>
      <c r="AM7" s="39">
        <f t="shared" ref="AM7:AM13" si="10">AN7-$C$1</f>
        <v>22.12361111111386</v>
      </c>
      <c r="AN7" s="32">
        <v>45448.652777777781</v>
      </c>
      <c r="AO7" s="38">
        <v>0</v>
      </c>
      <c r="AP7">
        <f t="shared" ref="AP7:AP13" si="11">IF(AO7=0,0,IF(AO7&gt;1,$AP$1*AO7+$AP$2,$AP$3*AO7+$AP$4))</f>
        <v>0</v>
      </c>
      <c r="AQ7">
        <v>0</v>
      </c>
      <c r="AT7" s="38">
        <f t="shared" ref="AT7:AT9" si="12">MROUND(AU7,$E$1)</f>
        <v>14</v>
      </c>
      <c r="AU7" s="38">
        <f t="shared" ref="AU7:AU9" si="13">AV7-$C$1</f>
        <v>13.970833333332848</v>
      </c>
      <c r="AV7" s="2">
        <v>45440.5</v>
      </c>
      <c r="AW7" s="10">
        <v>1</v>
      </c>
      <c r="AX7" t="s">
        <v>375</v>
      </c>
      <c r="AZ7">
        <f t="shared" ref="AZ7:AZ46" si="14">MROUND(BA7,$E$1)</f>
        <v>41.900000000000006</v>
      </c>
      <c r="BA7" s="120">
        <f>TSS_VSS!B8</f>
        <v>41.913888888891961</v>
      </c>
      <c r="BB7" s="10">
        <f>TSS_VSS!D8</f>
        <v>1078</v>
      </c>
      <c r="BC7" s="10">
        <f>TSS_VSS!E8</f>
        <v>804</v>
      </c>
      <c r="BD7" s="10">
        <f>TSS_VSS!J8</f>
        <v>272</v>
      </c>
      <c r="BE7" s="10">
        <f>TSS_VSS!K8</f>
        <v>214</v>
      </c>
      <c r="BG7">
        <f t="shared" ref="BG7:BG44" si="15">MROUND(BH7,$E$1)</f>
        <v>41.900000000000006</v>
      </c>
      <c r="BH7">
        <f>SRT.HRT!B15</f>
        <v>41.913888888891961</v>
      </c>
      <c r="BI7">
        <f>SRT.HRT!P15</f>
        <v>39.209379544876271</v>
      </c>
      <c r="BJ7">
        <f>SRT.HRT!Q15</f>
        <v>20.489457831327929</v>
      </c>
      <c r="BK7">
        <f>SRT.HRT!R15</f>
        <v>11.813957435919235</v>
      </c>
      <c r="BL7">
        <f>SRT.HRT!S15</f>
        <v>1.5251745681732699E-2</v>
      </c>
      <c r="BM7">
        <f>SRT.HRT!T15</f>
        <v>2.6451762814878009E-2</v>
      </c>
      <c r="BO7">
        <f t="shared" ref="BO7:BO48" si="16">MROUND(BP7,0.1)</f>
        <v>20.3</v>
      </c>
      <c r="BP7">
        <f>'H2 Delivery'!C5</f>
        <v>20.306249999994179</v>
      </c>
      <c r="BQ7">
        <f>'H2 Delivery'!F5</f>
        <v>0.54576240161083656</v>
      </c>
      <c r="BS7">
        <f t="shared" ref="BS7:BS35" si="17">MROUND(BT7,$E$1)</f>
        <v>58</v>
      </c>
      <c r="BT7" s="38">
        <f>'CO2 Delivery'!M4</f>
        <v>57.972222222218988</v>
      </c>
      <c r="BU7">
        <f>'CO2 Delivery'!N4</f>
        <v>0.5</v>
      </c>
      <c r="BW7">
        <v>13.5</v>
      </c>
      <c r="BX7" s="45">
        <v>709.47483582740483</v>
      </c>
      <c r="BY7" s="45">
        <v>337.03396193848897</v>
      </c>
      <c r="BZ7">
        <v>5.5</v>
      </c>
      <c r="CA7" s="45">
        <v>36.693238617950144</v>
      </c>
      <c r="CB7" s="45">
        <v>0</v>
      </c>
      <c r="CC7" s="45"/>
      <c r="CD7" s="39">
        <v>13.5</v>
      </c>
      <c r="CE7" s="45">
        <v>5337.3902832973963</v>
      </c>
      <c r="CF7" s="45">
        <v>552.0037832556709</v>
      </c>
      <c r="CG7">
        <v>5.5</v>
      </c>
      <c r="CH7" s="45">
        <v>5154.0856407314532</v>
      </c>
      <c r="CI7" s="45">
        <v>638.62719306772362</v>
      </c>
      <c r="CK7">
        <f t="shared" ref="CK7:CK70" si="18">MROUND(CL7,$E$1)</f>
        <v>20.3</v>
      </c>
      <c r="CL7">
        <f>'Liquid Volume'!A4</f>
        <v>20.31111111111386</v>
      </c>
      <c r="CM7">
        <f>'Liquid Volume'!C4</f>
        <v>450</v>
      </c>
      <c r="CO7">
        <f t="shared" ref="CO7:CO37" si="19">MROUND(CP7,$E$1)</f>
        <v>75.900000000000006</v>
      </c>
      <c r="CP7">
        <f>Ammonia!F5</f>
        <v>75.870833333334303</v>
      </c>
      <c r="CQ7">
        <f>Ammonia!N5</f>
        <v>92.250000000000014</v>
      </c>
      <c r="CR7">
        <f t="shared" ref="CR7:CR36" si="20">MROUND(CS7,$E$1)</f>
        <v>82.9</v>
      </c>
      <c r="CS7">
        <f>Ammonia!Q5</f>
        <v>82.859722222223354</v>
      </c>
      <c r="CT7">
        <f>Ammonia!Y5</f>
        <v>476.4</v>
      </c>
      <c r="CU7">
        <f t="shared" ref="CU7:CU35" si="21">MROUND(CV7,$E$1)</f>
        <v>82.9</v>
      </c>
      <c r="CV7">
        <f>Ammonia!AB5</f>
        <v>82.859722222223354</v>
      </c>
      <c r="CW7">
        <f>Ammonia!AJ5</f>
        <v>441.2</v>
      </c>
      <c r="CZ7" s="5"/>
      <c r="DA7" s="1"/>
      <c r="DB7" s="1"/>
      <c r="DC7" s="1"/>
      <c r="DD7" s="1"/>
      <c r="DE7">
        <f t="shared" ref="DE7:DE61" si="22">MROUND(DF7,0.1)</f>
        <v>38</v>
      </c>
      <c r="DF7" s="5" t="s">
        <v>376</v>
      </c>
      <c r="DG7">
        <f>DG6</f>
        <v>17545.426063635256</v>
      </c>
      <c r="DI7" s="39">
        <f t="shared" ref="DI7:DI23" si="23">MROUND(DJ7,$E$1)</f>
        <v>21.5</v>
      </c>
      <c r="DJ7" s="39">
        <f t="shared" ref="DJ7:DJ23" si="24">DK7-$C$1</f>
        <v>21.470833333332848</v>
      </c>
      <c r="DK7" s="131">
        <v>45448</v>
      </c>
      <c r="DL7" t="s">
        <v>377</v>
      </c>
      <c r="DM7" t="s">
        <v>378</v>
      </c>
    </row>
    <row r="8" spans="1:117" ht="14.4" x14ac:dyDescent="0.3">
      <c r="A8">
        <f t="shared" si="5"/>
        <v>1</v>
      </c>
      <c r="B8">
        <f>GC_TCD!G10</f>
        <v>1.0090277777781012</v>
      </c>
      <c r="C8">
        <f>GC_TCD!U10</f>
        <v>88.24560000000001</v>
      </c>
      <c r="D8">
        <f>GC_TCD!V10</f>
        <v>0.71386238869967211</v>
      </c>
      <c r="E8">
        <f>GC_TCD!W10</f>
        <v>0</v>
      </c>
      <c r="F8">
        <f>GC_TCD!X10</f>
        <v>0</v>
      </c>
      <c r="G8">
        <f>GC_TCD!Y10</f>
        <v>11.754399999999999</v>
      </c>
      <c r="H8">
        <f>GC_TCD!Z10</f>
        <v>0.71386238869967089</v>
      </c>
      <c r="I8" s="38">
        <f>GC_TCD!K10</f>
        <v>0.16698912564236681</v>
      </c>
      <c r="J8" s="42">
        <f>GC_TCD!AA10</f>
        <v>0</v>
      </c>
      <c r="K8" s="42">
        <f>GC_TCD!AB10</f>
        <v>0</v>
      </c>
      <c r="L8" s="105">
        <f>GC_TCD!AC10</f>
        <v>0</v>
      </c>
      <c r="M8" s="42">
        <f t="shared" si="0"/>
        <v>0</v>
      </c>
      <c r="N8">
        <f t="shared" si="1"/>
        <v>0</v>
      </c>
      <c r="O8">
        <f t="shared" si="2"/>
        <v>0.14736055585786048</v>
      </c>
      <c r="P8">
        <f t="shared" si="3"/>
        <v>1.9628569784506361E-2</v>
      </c>
      <c r="Q8" t="str">
        <f t="shared" si="4"/>
        <v>Reactor Vol</v>
      </c>
      <c r="S8">
        <f t="shared" si="6"/>
        <v>7.5</v>
      </c>
      <c r="T8">
        <f>VFA!F5</f>
        <v>7.4708333333328483</v>
      </c>
      <c r="U8">
        <f>VFA!K5</f>
        <v>4130.3766666666661</v>
      </c>
      <c r="V8">
        <f>VFA!L5</f>
        <v>4296.2801294444434</v>
      </c>
      <c r="W8" t="str">
        <f>IF(VFA!M5&lt;=0,"",VFA!M5)</f>
        <v/>
      </c>
      <c r="X8">
        <f>VFA!N5</f>
        <v>10911.68001931222</v>
      </c>
      <c r="Y8">
        <f t="shared" si="7"/>
        <v>7.5</v>
      </c>
      <c r="Z8" s="39">
        <f>VFA!Q5</f>
        <v>7.4708333333328483</v>
      </c>
      <c r="AA8" s="39">
        <f>VFA!V5</f>
        <v>3891.893333333333</v>
      </c>
      <c r="AB8" s="39">
        <f>VFA!W5</f>
        <v>101.17666666666666</v>
      </c>
      <c r="AC8" s="39"/>
      <c r="AD8" s="39">
        <f>VFA!Y5</f>
        <v>4305.8316599999989</v>
      </c>
      <c r="AE8">
        <f t="shared" si="8"/>
        <v>13.5</v>
      </c>
      <c r="AF8" s="39">
        <f>VFA!AB5</f>
        <v>13.470833333332848</v>
      </c>
      <c r="AG8" s="39">
        <f>IF(VFA!AG5&lt;=0,"",VFA!AG5)</f>
        <v>2066.4066666666668</v>
      </c>
      <c r="AH8" s="39">
        <f>IF(VFA!AH5&lt;=0,"",VFA!AH5)</f>
        <v>170.96666666666667</v>
      </c>
      <c r="AI8" s="45"/>
      <c r="AJ8" s="45">
        <f>VFA!AJ5</f>
        <v>2463.6994466666665</v>
      </c>
      <c r="AK8" s="45"/>
      <c r="AL8" s="39">
        <f t="shared" si="9"/>
        <v>34.9</v>
      </c>
      <c r="AM8" s="39">
        <f t="shared" si="10"/>
        <v>34.926388888889051</v>
      </c>
      <c r="AN8" s="32">
        <v>45461.455555555556</v>
      </c>
      <c r="AO8" s="121">
        <v>18.100000000000001</v>
      </c>
      <c r="AP8">
        <f t="shared" si="11"/>
        <v>3.4077600000000001</v>
      </c>
      <c r="AQ8">
        <f t="shared" ref="AQ7:AQ13" si="25">AO8*$AR$1+$AR$2</f>
        <v>1.9981842105263166</v>
      </c>
      <c r="AT8" s="38">
        <f t="shared" si="12"/>
        <v>38.200000000000003</v>
      </c>
      <c r="AU8" s="38">
        <f t="shared" si="13"/>
        <v>38.220833333332848</v>
      </c>
      <c r="AV8" s="32">
        <v>45464.75</v>
      </c>
      <c r="AW8" s="10">
        <v>1</v>
      </c>
      <c r="AX8" t="s">
        <v>379</v>
      </c>
      <c r="AZ8">
        <f t="shared" si="14"/>
        <v>48.900000000000006</v>
      </c>
      <c r="BA8" s="120">
        <f>TSS_VSS!B9</f>
        <v>48.857638888890506</v>
      </c>
      <c r="BB8" s="10">
        <f>TSS_VSS!D9</f>
        <v>449</v>
      </c>
      <c r="BC8" s="10">
        <f>TSS_VSS!E9</f>
        <v>497</v>
      </c>
      <c r="BD8" s="10">
        <f>TSS_VSS!J9</f>
        <v>112</v>
      </c>
      <c r="BE8" s="10">
        <f>TSS_VSS!K9</f>
        <v>75</v>
      </c>
      <c r="BG8">
        <f t="shared" si="15"/>
        <v>48.900000000000006</v>
      </c>
      <c r="BH8">
        <f>SRT.HRT!B16</f>
        <v>48.857638888890506</v>
      </c>
      <c r="BI8">
        <f>SRT.HRT!P16</f>
        <v>13.214573747636617</v>
      </c>
      <c r="BJ8">
        <f>SRT.HRT!Q16</f>
        <v>3.910747809761383</v>
      </c>
      <c r="BK8">
        <f>SRT.HRT!R16</f>
        <v>8.2234040867833311</v>
      </c>
      <c r="BL8">
        <f>SRT.HRT!S16</f>
        <v>7.9907990799096648E-2</v>
      </c>
      <c r="BM8">
        <f>SRT.HRT!T16</f>
        <v>3.8001294439884148E-2</v>
      </c>
      <c r="BO8">
        <f t="shared" si="16"/>
        <v>20.3</v>
      </c>
      <c r="BP8">
        <f>'H2 Delivery'!C6</f>
        <v>20.310416666667152</v>
      </c>
      <c r="BQ8">
        <f>'H2 Delivery'!F6</f>
        <v>0.32745744096650192</v>
      </c>
      <c r="BS8">
        <f t="shared" si="17"/>
        <v>58.900000000000006</v>
      </c>
      <c r="BT8" s="38">
        <f>'CO2 Delivery'!M5</f>
        <v>58.868055555554747</v>
      </c>
      <c r="BU8">
        <f>'CO2 Delivery'!N5</f>
        <v>0.44400000000000001</v>
      </c>
      <c r="BW8">
        <v>48.900000000000006</v>
      </c>
      <c r="BX8" s="45">
        <v>331.6318702280816</v>
      </c>
      <c r="BY8" s="45">
        <v>50.541974110082499</v>
      </c>
      <c r="BZ8">
        <v>8.9</v>
      </c>
      <c r="CA8" s="45">
        <v>13.348582730309589</v>
      </c>
      <c r="CB8" s="45">
        <v>0</v>
      </c>
      <c r="CC8" s="45"/>
      <c r="CD8" s="39">
        <v>48.5</v>
      </c>
      <c r="CE8" s="45">
        <v>3541.7443808292142</v>
      </c>
      <c r="CF8" s="45">
        <v>670.72995785826686</v>
      </c>
      <c r="CG8">
        <v>8.9</v>
      </c>
      <c r="CH8" s="45">
        <v>4036.4322379182267</v>
      </c>
      <c r="CI8" s="45">
        <v>796.60977064483041</v>
      </c>
      <c r="CK8">
        <f t="shared" si="18"/>
        <v>20.900000000000002</v>
      </c>
      <c r="CL8">
        <f>'Liquid Volume'!A5</f>
        <v>20.90486111111386</v>
      </c>
      <c r="CM8">
        <f>'Liquid Volume'!C5</f>
        <v>450</v>
      </c>
      <c r="CO8">
        <f t="shared" si="19"/>
        <v>82.9</v>
      </c>
      <c r="CP8">
        <f>Ammonia!F6</f>
        <v>82.859722222223354</v>
      </c>
      <c r="CQ8">
        <f>Ammonia!N6</f>
        <v>490</v>
      </c>
      <c r="CR8">
        <f t="shared" si="20"/>
        <v>96.9</v>
      </c>
      <c r="CS8">
        <f>Ammonia!Q6</f>
        <v>96.856944444443798</v>
      </c>
      <c r="CT8">
        <f>Ammonia!Y6</f>
        <v>520</v>
      </c>
      <c r="CU8">
        <f t="shared" si="21"/>
        <v>89.9</v>
      </c>
      <c r="CV8">
        <f>Ammonia!AB6</f>
        <v>89.861111111109494</v>
      </c>
      <c r="CW8">
        <f>Ammonia!AJ6</f>
        <v>489</v>
      </c>
      <c r="CY8">
        <f>MROUND(CZ8,$E$1)</f>
        <v>38</v>
      </c>
      <c r="CZ8" s="5">
        <v>38</v>
      </c>
      <c r="DA8" s="1"/>
      <c r="DB8" s="1"/>
      <c r="DC8" s="1"/>
      <c r="DD8" s="1"/>
      <c r="DE8">
        <f t="shared" si="22"/>
        <v>39</v>
      </c>
      <c r="DF8" s="5" t="s">
        <v>380</v>
      </c>
      <c r="DG8">
        <f>Plots!N7</f>
        <v>15620</v>
      </c>
      <c r="DI8" s="39">
        <f t="shared" si="23"/>
        <v>34.9</v>
      </c>
      <c r="DJ8" s="39">
        <f t="shared" si="24"/>
        <v>34.915277777778101</v>
      </c>
      <c r="DK8" s="132">
        <v>45461.444444444445</v>
      </c>
      <c r="DL8" t="s">
        <v>381</v>
      </c>
      <c r="DM8" t="s">
        <v>382</v>
      </c>
    </row>
    <row r="9" spans="1:117" ht="14.4" x14ac:dyDescent="0.3">
      <c r="A9">
        <f t="shared" si="5"/>
        <v>2.1</v>
      </c>
      <c r="B9">
        <f>GC_TCD!G11</f>
        <v>2.1465277777751908</v>
      </c>
      <c r="C9">
        <f>GC_TCD!U11</f>
        <v>88.461866666666666</v>
      </c>
      <c r="D9">
        <f>GC_TCD!V11</f>
        <v>0.17111529251745067</v>
      </c>
      <c r="E9">
        <f>GC_TCD!W11</f>
        <v>0</v>
      </c>
      <c r="F9">
        <f>GC_TCD!X11</f>
        <v>0</v>
      </c>
      <c r="G9">
        <f>GC_TCD!Y11</f>
        <v>11.538133333333334</v>
      </c>
      <c r="H9">
        <f>GC_TCD!Z11</f>
        <v>0.17111529251745217</v>
      </c>
      <c r="I9" s="38">
        <f>GC_TCD!K11</f>
        <v>0.88641691086917873</v>
      </c>
      <c r="J9" s="42">
        <f>GC_TCD!AA11</f>
        <v>0</v>
      </c>
      <c r="K9" s="42">
        <f>GC_TCD!AB11</f>
        <v>0</v>
      </c>
      <c r="L9" s="105">
        <f>GC_TCD!AC11</f>
        <v>0</v>
      </c>
      <c r="M9" s="42">
        <f t="shared" si="0"/>
        <v>0</v>
      </c>
      <c r="N9">
        <f t="shared" si="1"/>
        <v>0</v>
      </c>
      <c r="O9">
        <f t="shared" si="2"/>
        <v>0.78414094580387839</v>
      </c>
      <c r="P9">
        <f t="shared" si="3"/>
        <v>0.10227596506530034</v>
      </c>
      <c r="Q9" t="str">
        <f t="shared" si="4"/>
        <v>Reactor Vol</v>
      </c>
      <c r="S9">
        <f t="shared" si="6"/>
        <v>8.9</v>
      </c>
      <c r="T9">
        <f>VFA!F6</f>
        <v>8.9270833333357587</v>
      </c>
      <c r="U9">
        <f>VFA!K6</f>
        <v>2824.3900000000003</v>
      </c>
      <c r="V9">
        <f>VFA!L6</f>
        <v>418.32354111111118</v>
      </c>
      <c r="W9" t="str">
        <f>IF(VFA!M6&lt;=0,"",VFA!M6)</f>
        <v/>
      </c>
      <c r="X9">
        <f>VFA!N6</f>
        <v>3646.9659712422226</v>
      </c>
      <c r="Y9">
        <f t="shared" si="7"/>
        <v>8.9</v>
      </c>
      <c r="Z9" s="39">
        <f>VFA!Q6</f>
        <v>8.9270833333357587</v>
      </c>
      <c r="AA9" s="39">
        <f>VFA!V6</f>
        <v>2841.6699999999996</v>
      </c>
      <c r="AB9" s="39">
        <f>VFA!W6</f>
        <v>134.07999999999998</v>
      </c>
      <c r="AC9" s="39"/>
      <c r="AD9" s="39">
        <f>VFA!Y6</f>
        <v>3235.0590099999995</v>
      </c>
      <c r="AE9">
        <f t="shared" si="8"/>
        <v>41.900000000000006</v>
      </c>
      <c r="AF9" s="39">
        <f>VFA!AB6</f>
        <v>41.913888888891961</v>
      </c>
      <c r="AG9" s="39">
        <f>IF(VFA!AG6&lt;=0,"",VFA!AG6)</f>
        <v>762.22333333333336</v>
      </c>
      <c r="AH9" s="39">
        <f>IF(VFA!AH6&lt;=0,"",VFA!AH6)</f>
        <v>277.01333333333332</v>
      </c>
      <c r="AI9" s="45"/>
      <c r="AJ9" s="45">
        <f>VFA!AJ6</f>
        <v>1232.6904833333333</v>
      </c>
      <c r="AK9" s="45"/>
      <c r="AL9" s="39">
        <f t="shared" si="9"/>
        <v>35</v>
      </c>
      <c r="AM9" s="39">
        <f t="shared" si="10"/>
        <v>35.042361111110949</v>
      </c>
      <c r="AN9" s="32">
        <v>45461.571527777778</v>
      </c>
      <c r="AO9" s="38">
        <v>0.5</v>
      </c>
      <c r="AP9">
        <f t="shared" si="11"/>
        <v>8.9099999999999999E-2</v>
      </c>
      <c r="AQ9">
        <f t="shared" si="25"/>
        <v>5.9405263157894746E-2</v>
      </c>
      <c r="AT9" s="38">
        <f t="shared" si="12"/>
        <v>93.9</v>
      </c>
      <c r="AU9" s="38">
        <f t="shared" si="13"/>
        <v>93.915277777778101</v>
      </c>
      <c r="AV9" s="32">
        <v>45520.444444444445</v>
      </c>
      <c r="AW9" s="10">
        <v>1</v>
      </c>
      <c r="AX9" t="s">
        <v>383</v>
      </c>
      <c r="AZ9">
        <f t="shared" si="14"/>
        <v>51.900000000000006</v>
      </c>
      <c r="BA9" s="120">
        <f>TSS_VSS!B10</f>
        <v>51.949305555557657</v>
      </c>
      <c r="BB9" s="10">
        <f>TSS_VSS!D10</f>
        <v>428</v>
      </c>
      <c r="BC9" s="10">
        <f>TSS_VSS!E10</f>
        <v>272</v>
      </c>
      <c r="BD9" s="10">
        <f>TSS_VSS!J10</f>
        <v>196</v>
      </c>
      <c r="BE9" s="10">
        <f>TSS_VSS!K10</f>
        <v>143</v>
      </c>
      <c r="BG9">
        <f t="shared" si="15"/>
        <v>51.900000000000006</v>
      </c>
      <c r="BH9">
        <f>SRT.HRT!B17</f>
        <v>51.949305555557657</v>
      </c>
      <c r="BI9">
        <f>SRT.HRT!P17</f>
        <v>18.810178165279673</v>
      </c>
      <c r="BJ9">
        <f>SRT.HRT!Q17</f>
        <v>11.041666666668398</v>
      </c>
      <c r="BK9">
        <f>SRT.HRT!R17</f>
        <v>8.6499198025915334</v>
      </c>
      <c r="BL9">
        <f>SRT.HRT!S17</f>
        <v>2.830188679244839E-2</v>
      </c>
      <c r="BM9">
        <f>SRT.HRT!T17</f>
        <v>3.612750258174352E-2</v>
      </c>
      <c r="BO9">
        <f t="shared" si="16"/>
        <v>20.3</v>
      </c>
      <c r="BP9">
        <f>'H2 Delivery'!C7</f>
        <v>20.321527777778101</v>
      </c>
      <c r="BQ9">
        <f>'H2 Delivery'!F7</f>
        <v>0.21830496064433461</v>
      </c>
      <c r="BS9">
        <f t="shared" si="17"/>
        <v>62.1</v>
      </c>
      <c r="BT9" s="38">
        <f>'CO2 Delivery'!M6</f>
        <v>62.09652777777228</v>
      </c>
      <c r="BU9">
        <f>'CO2 Delivery'!N6</f>
        <v>0.34399999999999997</v>
      </c>
      <c r="BW9">
        <v>51.900000000000006</v>
      </c>
      <c r="BX9" s="45">
        <v>299.34970300660166</v>
      </c>
      <c r="BY9" s="45">
        <v>35.155473069864009</v>
      </c>
      <c r="BZ9">
        <v>13.5</v>
      </c>
      <c r="CA9" s="45">
        <v>180.29023497627119</v>
      </c>
      <c r="CB9" s="45">
        <v>149.02831671002392</v>
      </c>
      <c r="CC9" s="45"/>
      <c r="CD9" s="39">
        <v>51.5</v>
      </c>
      <c r="CE9" s="45">
        <v>657.40650293792157</v>
      </c>
      <c r="CF9" s="45">
        <v>339.25833836372419</v>
      </c>
      <c r="CG9">
        <v>13.5</v>
      </c>
      <c r="CH9" s="45">
        <v>3051.8070017680698</v>
      </c>
      <c r="CI9" s="45">
        <v>501.37560051250324</v>
      </c>
      <c r="CK9">
        <f t="shared" si="18"/>
        <v>20.900000000000002</v>
      </c>
      <c r="CL9">
        <f>'Liquid Volume'!A6</f>
        <v>20.934027777773736</v>
      </c>
      <c r="CM9">
        <f>'Liquid Volume'!C6</f>
        <v>450</v>
      </c>
      <c r="CO9">
        <f t="shared" si="19"/>
        <v>89.9</v>
      </c>
      <c r="CP9">
        <f>Ammonia!F7</f>
        <v>89.861111111109494</v>
      </c>
      <c r="CQ9">
        <f>Ammonia!N7</f>
        <v>482.5</v>
      </c>
      <c r="CR9">
        <f t="shared" si="20"/>
        <v>103.9</v>
      </c>
      <c r="CS9">
        <f>Ammonia!Q7</f>
        <v>103.88263888889196</v>
      </c>
      <c r="CT9">
        <f>Ammonia!Y7</f>
        <v>279.60000000000002</v>
      </c>
      <c r="CU9">
        <f t="shared" si="21"/>
        <v>96.9</v>
      </c>
      <c r="CV9">
        <f>Ammonia!AB7</f>
        <v>96.856944444443798</v>
      </c>
      <c r="CW9">
        <f>Ammonia!AJ7</f>
        <v>144.91999999999999</v>
      </c>
      <c r="CZ9" s="5"/>
      <c r="DA9" s="1"/>
      <c r="DB9" s="1"/>
      <c r="DC9" s="1"/>
      <c r="DD9" s="1"/>
      <c r="DE9">
        <f t="shared" si="22"/>
        <v>94</v>
      </c>
      <c r="DF9" s="5" t="s">
        <v>384</v>
      </c>
      <c r="DG9">
        <f>DG8</f>
        <v>15620</v>
      </c>
      <c r="DI9" s="39">
        <f t="shared" si="23"/>
        <v>68.5</v>
      </c>
      <c r="DJ9" s="39">
        <f t="shared" si="24"/>
        <v>68.470833333332848</v>
      </c>
      <c r="DK9" s="131">
        <v>45495</v>
      </c>
      <c r="DL9" t="s">
        <v>385</v>
      </c>
      <c r="DM9" t="s">
        <v>386</v>
      </c>
    </row>
    <row r="10" spans="1:117" ht="14.4" x14ac:dyDescent="0.3">
      <c r="A10">
        <f t="shared" si="5"/>
        <v>3.1</v>
      </c>
      <c r="B10">
        <f>GC_TCD!G12</f>
        <v>3.1027777777781012</v>
      </c>
      <c r="C10">
        <f>GC_TCD!U12</f>
        <v>93.1845</v>
      </c>
      <c r="D10">
        <f>GC_TCD!V12</f>
        <v>0.15575403686581893</v>
      </c>
      <c r="E10">
        <f>GC_TCD!W12</f>
        <v>0</v>
      </c>
      <c r="F10">
        <f>GC_TCD!X12</f>
        <v>0</v>
      </c>
      <c r="G10">
        <f>GC_TCD!Y12</f>
        <v>6.8155000000000001</v>
      </c>
      <c r="H10">
        <f>GC_TCD!Z12</f>
        <v>0.15575403686582243</v>
      </c>
      <c r="I10" s="38">
        <f>GC_TCD!K12</f>
        <v>0.59347182280138921</v>
      </c>
      <c r="J10" s="42">
        <f>GC_TCD!AA12</f>
        <v>0</v>
      </c>
      <c r="K10" s="42">
        <f>GC_TCD!AB12</f>
        <v>0</v>
      </c>
      <c r="L10" s="105">
        <f>GC_TCD!AC12</f>
        <v>0</v>
      </c>
      <c r="M10" s="42">
        <f t="shared" si="0"/>
        <v>0</v>
      </c>
      <c r="N10">
        <f t="shared" si="1"/>
        <v>0</v>
      </c>
      <c r="O10">
        <f t="shared" si="2"/>
        <v>0.55302375071836052</v>
      </c>
      <c r="P10">
        <f t="shared" si="3"/>
        <v>4.0448072083028676E-2</v>
      </c>
      <c r="Q10" t="str">
        <f t="shared" si="4"/>
        <v>Reactor Vol</v>
      </c>
      <c r="S10">
        <f t="shared" si="6"/>
        <v>13.5</v>
      </c>
      <c r="T10">
        <f>VFA!F7</f>
        <v>13.470833333332848</v>
      </c>
      <c r="U10">
        <f>VFA!K7</f>
        <v>2378.2599999999998</v>
      </c>
      <c r="V10">
        <f>VFA!L7</f>
        <v>298.12810355555553</v>
      </c>
      <c r="W10" t="str">
        <f>IF(VFA!M7&lt;=0,"",VFA!M7)</f>
        <v/>
      </c>
      <c r="X10">
        <f>VFA!N7</f>
        <v>2988.9693687831104</v>
      </c>
      <c r="Y10">
        <f t="shared" si="7"/>
        <v>13.5</v>
      </c>
      <c r="Z10" s="39">
        <f>VFA!Q7</f>
        <v>13.470833333332848</v>
      </c>
      <c r="AA10" s="39">
        <f>VFA!V7</f>
        <v>2331.54</v>
      </c>
      <c r="AB10" s="39">
        <f>VFA!W7</f>
        <v>111.17000000000002</v>
      </c>
      <c r="AC10" s="39"/>
      <c r="AD10" s="39">
        <f>VFA!Y7</f>
        <v>2656.0645599999998</v>
      </c>
      <c r="AE10">
        <f t="shared" si="8"/>
        <v>48.900000000000006</v>
      </c>
      <c r="AF10" s="39">
        <f>VFA!AB7</f>
        <v>48.857638888890506</v>
      </c>
      <c r="AG10" s="39">
        <f>IF(VFA!AG7&lt;=0,"",VFA!AG7)</f>
        <v>928.92</v>
      </c>
      <c r="AH10" s="39">
        <f>IF(VFA!AH7&lt;=0,"",VFA!AH7)</f>
        <v>301.03999999999996</v>
      </c>
      <c r="AI10" s="45"/>
      <c r="AJ10" s="45">
        <f>VFA!AJ7</f>
        <v>1446.9321999999997</v>
      </c>
      <c r="AK10" s="45"/>
      <c r="AL10" s="39">
        <f t="shared" si="9"/>
        <v>107.2</v>
      </c>
      <c r="AM10" s="39">
        <f t="shared" si="10"/>
        <v>107.1694444444438</v>
      </c>
      <c r="AN10" s="32">
        <v>45533.698611111111</v>
      </c>
      <c r="AO10" s="38">
        <v>0.4</v>
      </c>
      <c r="AP10">
        <f t="shared" si="11"/>
        <v>6.9260000000000002E-2</v>
      </c>
      <c r="AQ10">
        <f t="shared" si="25"/>
        <v>4.8389473684210538E-2</v>
      </c>
      <c r="AT10" s="38">
        <f t="shared" ref="AT10:AT15" si="26">MROUND(AU10,$E$1)</f>
        <v>108</v>
      </c>
      <c r="AU10" s="38">
        <f t="shared" ref="AU10:AU15" si="27">AV10-$C$1</f>
        <v>108.0222222222219</v>
      </c>
      <c r="AV10" s="32">
        <v>45534.551388888889</v>
      </c>
      <c r="AW10" s="10">
        <v>1</v>
      </c>
      <c r="AX10" t="s">
        <v>387</v>
      </c>
      <c r="AZ10">
        <f t="shared" si="14"/>
        <v>55.800000000000004</v>
      </c>
      <c r="BA10" s="120">
        <f>TSS_VSS!B11</f>
        <v>55.847222222218988</v>
      </c>
      <c r="BB10" s="10">
        <f>TSS_VSS!D11</f>
        <v>492</v>
      </c>
      <c r="BC10" s="10">
        <f>TSS_VSS!E11</f>
        <v>322</v>
      </c>
      <c r="BD10" s="10">
        <f>TSS_VSS!J11</f>
        <v>168</v>
      </c>
      <c r="BE10" s="10">
        <f>TSS_VSS!K11</f>
        <v>139</v>
      </c>
      <c r="BG10">
        <f t="shared" si="15"/>
        <v>55.800000000000004</v>
      </c>
      <c r="BH10">
        <f>SRT.HRT!B18</f>
        <v>55.847222222218988</v>
      </c>
      <c r="BI10">
        <f>SRT.HRT!P18</f>
        <v>21.46442695117193</v>
      </c>
      <c r="BJ10">
        <f>SRT.HRT!Q18</f>
        <v>9.717797783920215</v>
      </c>
      <c r="BK10">
        <f>SRT.HRT!R18</f>
        <v>6.9385824118297492</v>
      </c>
      <c r="BL10">
        <f>SRT.HRT!S18</f>
        <v>3.2157491537546247E-2</v>
      </c>
      <c r="BM10">
        <f>SRT.HRT!T18</f>
        <v>4.5038018063633799E-2</v>
      </c>
      <c r="BO10">
        <f t="shared" si="16"/>
        <v>21.1</v>
      </c>
      <c r="BP10">
        <f>'H2 Delivery'!C8</f>
        <v>21.105555555550382</v>
      </c>
      <c r="BQ10">
        <f>'H2 Delivery'!F8</f>
        <v>0.54576240161083656</v>
      </c>
      <c r="BS10">
        <f t="shared" si="17"/>
        <v>77.2</v>
      </c>
      <c r="BT10" s="38">
        <f>'CO2 Delivery'!M7</f>
        <v>77.161805555551837</v>
      </c>
      <c r="BU10">
        <f>'CO2 Delivery'!N7</f>
        <v>0.25</v>
      </c>
      <c r="BW10">
        <v>55.800000000000004</v>
      </c>
      <c r="BX10" s="45">
        <v>317.1541691421296</v>
      </c>
      <c r="BY10" s="45">
        <v>30.133374560698471</v>
      </c>
      <c r="BZ10">
        <v>14.5</v>
      </c>
      <c r="CA10" s="45" t="s">
        <v>388</v>
      </c>
      <c r="CB10" s="45">
        <v>0</v>
      </c>
      <c r="CC10" s="45"/>
      <c r="CD10" s="39">
        <v>55.5</v>
      </c>
      <c r="CE10" s="45">
        <v>3781.250440459843</v>
      </c>
      <c r="CF10" s="45">
        <v>685.96508601775088</v>
      </c>
      <c r="CG10">
        <v>14.5</v>
      </c>
      <c r="CH10" s="45">
        <v>202.84618768418355</v>
      </c>
      <c r="CI10" s="45">
        <v>53.02702348149414</v>
      </c>
      <c r="CK10">
        <f t="shared" si="18"/>
        <v>21.900000000000002</v>
      </c>
      <c r="CL10">
        <f>'Liquid Volume'!A7</f>
        <v>21.931944444440887</v>
      </c>
      <c r="CM10">
        <f>'Liquid Volume'!C7</f>
        <v>450</v>
      </c>
      <c r="CO10">
        <f t="shared" si="19"/>
        <v>96.9</v>
      </c>
      <c r="CP10">
        <f>Ammonia!F8</f>
        <v>96.856944444443798</v>
      </c>
      <c r="CQ10">
        <f>Ammonia!N8</f>
        <v>270.8</v>
      </c>
      <c r="CR10">
        <f t="shared" si="20"/>
        <v>111.9</v>
      </c>
      <c r="CS10">
        <f>Ammonia!Q8</f>
        <v>111.8659722222219</v>
      </c>
      <c r="CT10">
        <f>Ammonia!Y8</f>
        <v>277.25</v>
      </c>
      <c r="CU10">
        <f t="shared" si="21"/>
        <v>103.9</v>
      </c>
      <c r="CV10">
        <f>Ammonia!AB8</f>
        <v>103.88263888889196</v>
      </c>
      <c r="CW10">
        <f>Ammonia!AJ8</f>
        <v>146.75</v>
      </c>
      <c r="CY10">
        <f t="shared" ref="CY10:CY63" si="28">MROUND(CZ10,$E$1)</f>
        <v>94</v>
      </c>
      <c r="CZ10" s="5">
        <v>94</v>
      </c>
      <c r="DA10" s="1"/>
      <c r="DB10" s="1"/>
      <c r="DC10" s="1"/>
      <c r="DD10" s="1"/>
      <c r="DE10">
        <f t="shared" si="22"/>
        <v>95</v>
      </c>
      <c r="DF10" s="5" t="s">
        <v>389</v>
      </c>
      <c r="DG10">
        <f>Plots!N9</f>
        <v>11850</v>
      </c>
      <c r="DI10" s="39">
        <f t="shared" si="23"/>
        <v>82.5</v>
      </c>
      <c r="DJ10" s="39">
        <f t="shared" si="24"/>
        <v>82.470833333332848</v>
      </c>
      <c r="DK10" s="132">
        <v>45509</v>
      </c>
      <c r="DL10" t="s">
        <v>390</v>
      </c>
      <c r="DM10" t="s">
        <v>391</v>
      </c>
    </row>
    <row r="11" spans="1:117" ht="14.4" x14ac:dyDescent="0.3">
      <c r="A11">
        <f t="shared" si="5"/>
        <v>6.1000000000000005</v>
      </c>
      <c r="B11">
        <f>GC_TCD!G13</f>
        <v>6.0520833333357587</v>
      </c>
      <c r="C11">
        <f>GC_TCD!U13</f>
        <v>93.409566666666663</v>
      </c>
      <c r="D11">
        <f>GC_TCD!V13</f>
        <v>0.24981275654644264</v>
      </c>
      <c r="E11">
        <f>GC_TCD!W13</f>
        <v>5.1048</v>
      </c>
      <c r="F11">
        <f>GC_TCD!X13</f>
        <v>0.20468724923648751</v>
      </c>
      <c r="G11">
        <f>GC_TCD!Y13</f>
        <v>1.4856666666666667</v>
      </c>
      <c r="H11">
        <f>GC_TCD!Z13</f>
        <v>6.4545048867696575E-2</v>
      </c>
      <c r="I11" s="38">
        <f>GC_TCD!K13</f>
        <v>0.5646172356953828</v>
      </c>
      <c r="J11" s="42">
        <f>GC_TCD!AA13</f>
        <v>9.2232258072889289E-2</v>
      </c>
      <c r="K11" s="42">
        <f>GC_TCD!AB13</f>
        <v>0.26777107182451731</v>
      </c>
      <c r="L11" s="105">
        <f>GC_TCD!AC13</f>
        <v>2.8604077279669317E-4</v>
      </c>
      <c r="M11" s="42">
        <f t="shared" si="0"/>
        <v>6.8578890684117391E-6</v>
      </c>
      <c r="N11">
        <f t="shared" si="1"/>
        <v>2.8822580647777901E-2</v>
      </c>
      <c r="O11">
        <f t="shared" si="2"/>
        <v>0.52740651318836906</v>
      </c>
      <c r="P11">
        <f t="shared" si="3"/>
        <v>8.3883300649810703E-3</v>
      </c>
      <c r="Q11" t="str">
        <f t="shared" si="4"/>
        <v>Reactor Vol</v>
      </c>
      <c r="S11">
        <f t="shared" si="6"/>
        <v>14.5</v>
      </c>
      <c r="T11">
        <f>VFA!F8</f>
        <v>14.470833333332848</v>
      </c>
      <c r="U11">
        <f>VFA!K8</f>
        <v>1974.49</v>
      </c>
      <c r="V11" t="str">
        <f>VFA!L8</f>
        <v/>
      </c>
      <c r="W11" t="str">
        <f>IF(VFA!M8&lt;=0,"",VFA!M8)</f>
        <v/>
      </c>
      <c r="X11">
        <f>VFA!N8</f>
        <v>2106.7808299999997</v>
      </c>
      <c r="Y11">
        <f t="shared" si="7"/>
        <v>14.5</v>
      </c>
      <c r="Z11" s="39">
        <f>VFA!Q8</f>
        <v>14.470833333332848</v>
      </c>
      <c r="AA11" s="39">
        <f>VFA!V8</f>
        <v>1966.3300000000002</v>
      </c>
      <c r="AB11" s="39" t="str">
        <f>VFA!W8</f>
        <v/>
      </c>
      <c r="AC11" s="39"/>
      <c r="AD11" s="39">
        <f>VFA!Y8</f>
        <v>2098.07411</v>
      </c>
      <c r="AE11">
        <f t="shared" si="8"/>
        <v>52</v>
      </c>
      <c r="AF11" s="39">
        <f>VFA!AB8</f>
        <v>51.988194444442343</v>
      </c>
      <c r="AG11" s="39">
        <f>IF(VFA!AG8&lt;=0,"",VFA!AG8)</f>
        <v>909.76333333333332</v>
      </c>
      <c r="AH11" s="39">
        <f>IF(VFA!AH8&lt;=0,"",VFA!AH8)</f>
        <v>236.41333333333336</v>
      </c>
      <c r="AI11" s="45"/>
      <c r="AJ11" s="45">
        <f>VFA!AJ8</f>
        <v>1328.6472633333333</v>
      </c>
      <c r="AK11" s="45"/>
      <c r="AL11" s="39">
        <f t="shared" si="9"/>
        <v>108</v>
      </c>
      <c r="AM11" s="39">
        <f t="shared" si="10"/>
        <v>108.0222222222219</v>
      </c>
      <c r="AN11" s="32">
        <v>45534.551388888889</v>
      </c>
      <c r="AO11" s="38">
        <v>0.5</v>
      </c>
      <c r="AP11">
        <f t="shared" si="11"/>
        <v>8.9099999999999999E-2</v>
      </c>
      <c r="AQ11">
        <f t="shared" si="25"/>
        <v>5.9405263157894746E-2</v>
      </c>
      <c r="AT11" s="38">
        <f t="shared" si="26"/>
        <v>125.2</v>
      </c>
      <c r="AU11" s="38">
        <f t="shared" si="27"/>
        <v>125.1513888888876</v>
      </c>
      <c r="AV11" s="32">
        <v>45551.680555555555</v>
      </c>
      <c r="AW11" s="10">
        <v>1</v>
      </c>
      <c r="AX11" t="s">
        <v>392</v>
      </c>
      <c r="AZ11">
        <f t="shared" si="14"/>
        <v>61.900000000000006</v>
      </c>
      <c r="BA11" s="120">
        <f>TSS_VSS!B12</f>
        <v>61.908333333332848</v>
      </c>
      <c r="BB11" s="10">
        <f>TSS_VSS!D12</f>
        <v>499</v>
      </c>
      <c r="BC11" s="10">
        <f>TSS_VSS!E12</f>
        <v>356</v>
      </c>
      <c r="BD11" s="10">
        <f>TSS_VSS!J12</f>
        <v>201</v>
      </c>
      <c r="BE11" s="10">
        <f>TSS_VSS!K12</f>
        <v>137</v>
      </c>
      <c r="BG11">
        <f t="shared" si="15"/>
        <v>61.900000000000006</v>
      </c>
      <c r="BH11">
        <f>SRT.HRT!B19</f>
        <v>61.908333333332848</v>
      </c>
      <c r="BI11">
        <f>SRT.HRT!P19</f>
        <v>10.684784443341488</v>
      </c>
      <c r="BJ11">
        <f>SRT.HRT!Q19</f>
        <v>5.1902949571859889</v>
      </c>
      <c r="BK11">
        <f>SRT.HRT!R19</f>
        <v>4.7459311960447179</v>
      </c>
      <c r="BL11">
        <f>SRT.HRT!S19</f>
        <v>6.020852428961522E-2</v>
      </c>
      <c r="BM11">
        <f>SRT.HRT!T19</f>
        <v>6.5845876623841282E-2</v>
      </c>
      <c r="BO11">
        <f t="shared" si="16"/>
        <v>21.900000000000002</v>
      </c>
      <c r="BP11">
        <f>'H2 Delivery'!C9</f>
        <v>21.886805555550382</v>
      </c>
      <c r="BQ11">
        <f>'H2 Delivery'!F9</f>
        <v>0</v>
      </c>
      <c r="BS11">
        <f t="shared" si="17"/>
        <v>78.100000000000009</v>
      </c>
      <c r="BT11" s="38">
        <f>'CO2 Delivery'!M8</f>
        <v>78.13749999999709</v>
      </c>
      <c r="BU11">
        <f>'CO2 Delivery'!N8</f>
        <v>0.25</v>
      </c>
      <c r="BW11">
        <v>78.900000000000006</v>
      </c>
      <c r="BX11" s="45">
        <v>191.95975900249292</v>
      </c>
      <c r="BY11" s="45">
        <v>0</v>
      </c>
      <c r="BZ11">
        <v>38.1</v>
      </c>
      <c r="CA11" s="45">
        <v>32.384141484775292</v>
      </c>
      <c r="CB11" s="45">
        <v>0</v>
      </c>
      <c r="CC11" s="45"/>
      <c r="CD11" s="39">
        <v>58.5</v>
      </c>
      <c r="CE11" s="45">
        <v>5297.2333722784433</v>
      </c>
      <c r="CF11" s="45">
        <v>392.89056749862345</v>
      </c>
      <c r="CG11">
        <v>38.1</v>
      </c>
      <c r="CH11" s="45">
        <v>772.32437700248738</v>
      </c>
      <c r="CI11" s="45">
        <v>508.90837075590764</v>
      </c>
      <c r="CK11">
        <f t="shared" si="18"/>
        <v>22.1</v>
      </c>
      <c r="CL11">
        <f>'Liquid Volume'!A8</f>
        <v>22.116666666668607</v>
      </c>
      <c r="CM11">
        <f>'Liquid Volume'!C8</f>
        <v>450</v>
      </c>
      <c r="CO11">
        <f t="shared" si="19"/>
        <v>103.9</v>
      </c>
      <c r="CP11">
        <f>Ammonia!F9</f>
        <v>103.88263888889196</v>
      </c>
      <c r="CQ11">
        <f>Ammonia!N9</f>
        <v>328.25</v>
      </c>
      <c r="CR11">
        <f t="shared" si="20"/>
        <v>117.9</v>
      </c>
      <c r="CS11">
        <f>Ammonia!Q9</f>
        <v>117.88263888889196</v>
      </c>
      <c r="CT11">
        <f>Ammonia!Y9</f>
        <v>152.19999999999999</v>
      </c>
      <c r="CU11">
        <f t="shared" si="21"/>
        <v>111.9</v>
      </c>
      <c r="CV11">
        <f>Ammonia!AB9</f>
        <v>111.8659722222219</v>
      </c>
      <c r="CW11">
        <f>Ammonia!AJ9</f>
        <v>138.6</v>
      </c>
      <c r="CY11">
        <f t="shared" si="28"/>
        <v>99.9</v>
      </c>
      <c r="CZ11">
        <f>COD!A4</f>
        <v>99.897222222221899</v>
      </c>
      <c r="DA11">
        <f>COD!I4</f>
        <v>20</v>
      </c>
      <c r="DB11">
        <f>MROUND(DC11,0.5)</f>
        <v>100</v>
      </c>
      <c r="DC11">
        <f>COD!L4</f>
        <v>99.897222222221899</v>
      </c>
      <c r="DD11">
        <f>COD!T4</f>
        <v>120</v>
      </c>
      <c r="DE11">
        <f t="shared" si="22"/>
        <v>106.9</v>
      </c>
      <c r="DF11">
        <f>COD!W7</f>
        <v>106.93541666666715</v>
      </c>
      <c r="DG11">
        <f>DG10</f>
        <v>11850</v>
      </c>
      <c r="DI11" s="39">
        <f t="shared" si="23"/>
        <v>90.9</v>
      </c>
      <c r="DJ11" s="39">
        <f t="shared" si="24"/>
        <v>90.866666666668607</v>
      </c>
      <c r="DK11" s="132">
        <v>45517.395833333336</v>
      </c>
      <c r="DL11" t="s">
        <v>393</v>
      </c>
      <c r="DM11" t="s">
        <v>394</v>
      </c>
    </row>
    <row r="12" spans="1:117" ht="14.4" x14ac:dyDescent="0.3">
      <c r="A12">
        <f t="shared" si="5"/>
        <v>7</v>
      </c>
      <c r="B12">
        <f>GC_TCD!G14</f>
        <v>6.9798611111109494</v>
      </c>
      <c r="C12">
        <f>GC_TCD!U14</f>
        <v>86.166133333333335</v>
      </c>
      <c r="D12">
        <f>GC_TCD!V14</f>
        <v>0.4674916505493229</v>
      </c>
      <c r="E12">
        <f>GC_TCD!W14</f>
        <v>12.2433</v>
      </c>
      <c r="F12">
        <f>GC_TCD!X14</f>
        <v>0.80447985680189593</v>
      </c>
      <c r="G12">
        <f>GC_TCD!Y14</f>
        <v>1.5905666666666667</v>
      </c>
      <c r="H12">
        <f>GC_TCD!Z14</f>
        <v>0.52258657018080168</v>
      </c>
      <c r="I12" s="38">
        <f>GC_TCD!K14</f>
        <v>0.53921227545060579</v>
      </c>
      <c r="J12" s="42">
        <f>GC_TCD!AA14</f>
        <v>0.21125560486478087</v>
      </c>
      <c r="K12" s="42">
        <f>GC_TCD!AB14</f>
        <v>0.61332272380097674</v>
      </c>
      <c r="L12" s="105">
        <f>GC_TCD!AC14</f>
        <v>6.5516900199277318E-4</v>
      </c>
      <c r="M12" s="42">
        <f t="shared" si="0"/>
        <v>1.3619901696585529E-5</v>
      </c>
      <c r="N12">
        <f t="shared" si="1"/>
        <v>6.6017376520244017E-2</v>
      </c>
      <c r="O12">
        <f t="shared" si="2"/>
        <v>0.46461836821446961</v>
      </c>
      <c r="P12">
        <f t="shared" si="3"/>
        <v>8.5765307158921847E-3</v>
      </c>
      <c r="Q12" t="str">
        <f t="shared" si="4"/>
        <v>Reactor Vol</v>
      </c>
      <c r="S12">
        <f t="shared" si="6"/>
        <v>41.900000000000006</v>
      </c>
      <c r="T12">
        <f>VFA!F9</f>
        <v>41.913888888891961</v>
      </c>
      <c r="U12">
        <f>VFA!K9</f>
        <v>58.013333333333328</v>
      </c>
      <c r="V12">
        <f>VFA!L9</f>
        <v>57.16923933333333</v>
      </c>
      <c r="W12" t="str">
        <f>IF(VFA!M9&lt;=0,"",VFA!M9)</f>
        <v/>
      </c>
      <c r="X12">
        <f>VFA!N9</f>
        <v>148.45445501733332</v>
      </c>
      <c r="Y12">
        <f t="shared" si="7"/>
        <v>41.900000000000006</v>
      </c>
      <c r="Z12" s="39">
        <f>VFA!Q9</f>
        <v>41.913888888891961</v>
      </c>
      <c r="AA12" s="39">
        <f>VFA!V9</f>
        <v>507.34000000000003</v>
      </c>
      <c r="AB12" s="39">
        <f>VFA!W9</f>
        <v>242.47333333333333</v>
      </c>
      <c r="AC12" s="39"/>
      <c r="AD12" s="39">
        <f>VFA!Y9</f>
        <v>908.4364066666667</v>
      </c>
      <c r="AE12">
        <f t="shared" si="8"/>
        <v>55.800000000000004</v>
      </c>
      <c r="AF12" s="39">
        <f>VFA!AB9</f>
        <v>55.847222222218988</v>
      </c>
      <c r="AG12" s="39">
        <f>IF(VFA!AG9&lt;=0,"",VFA!AG9)</f>
        <v>969.2349999999999</v>
      </c>
      <c r="AH12" s="39">
        <f>IF(VFA!AH9&lt;=0,"",VFA!AH9)</f>
        <v>276.26499999999999</v>
      </c>
      <c r="AI12" s="45"/>
      <c r="AJ12" s="45">
        <f>VFA!AJ9</f>
        <v>1452.4389549999999</v>
      </c>
      <c r="AK12" s="45"/>
      <c r="AL12" s="39">
        <f t="shared" si="9"/>
        <v>135</v>
      </c>
      <c r="AM12" s="39">
        <f t="shared" si="10"/>
        <v>135.02291666666861</v>
      </c>
      <c r="AN12" s="32">
        <v>45561.552083333336</v>
      </c>
      <c r="AO12" s="38">
        <v>0.45</v>
      </c>
      <c r="AP12">
        <f t="shared" si="11"/>
        <v>7.918E-2</v>
      </c>
      <c r="AQ12">
        <f t="shared" si="25"/>
        <v>5.3897368421052638E-2</v>
      </c>
      <c r="AT12" s="38">
        <f t="shared" si="26"/>
        <v>134.5</v>
      </c>
      <c r="AU12" s="38">
        <f t="shared" si="27"/>
        <v>134.47083333333285</v>
      </c>
      <c r="AV12" s="4">
        <v>45561</v>
      </c>
      <c r="AW12" s="10">
        <v>1</v>
      </c>
      <c r="AX12" t="s">
        <v>395</v>
      </c>
      <c r="AZ12">
        <f t="shared" si="14"/>
        <v>75.900000000000006</v>
      </c>
      <c r="BA12" s="120">
        <f>TSS_VSS!B13</f>
        <v>75.929166666668607</v>
      </c>
      <c r="BB12" s="10">
        <f>TSS_VSS!D13</f>
        <v>252</v>
      </c>
      <c r="BC12" s="10">
        <f>TSS_VSS!E13</f>
        <v>233</v>
      </c>
      <c r="BD12" s="10">
        <f>TSS_VSS!J13</f>
        <v>233</v>
      </c>
      <c r="BE12" s="10">
        <f>TSS_VSS!K13</f>
        <v>173</v>
      </c>
      <c r="BG12">
        <f t="shared" si="15"/>
        <v>75.900000000000006</v>
      </c>
      <c r="BH12">
        <f>SRT.HRT!B20</f>
        <v>75.929166666668607</v>
      </c>
      <c r="BI12">
        <f>SRT.HRT!P20</f>
        <v>6.3108525408737561</v>
      </c>
      <c r="BJ12">
        <f>SRT.HRT!Q20</f>
        <v>5.9076544943830438</v>
      </c>
      <c r="BK12">
        <f>SRT.HRT!R20</f>
        <v>4.1164046025545984</v>
      </c>
      <c r="BL12">
        <f>SRT.HRT!S20</f>
        <v>5.2897473997019086E-2</v>
      </c>
      <c r="BM12">
        <f>SRT.HRT!T20</f>
        <v>7.5915763918363535E-2</v>
      </c>
      <c r="BO12">
        <f t="shared" si="16"/>
        <v>22.900000000000002</v>
      </c>
      <c r="BP12">
        <f>'H2 Delivery'!C10</f>
        <v>22.942361111105129</v>
      </c>
      <c r="BQ12">
        <f>'H2 Delivery'!F10</f>
        <v>0.1091524803221673</v>
      </c>
      <c r="BS12">
        <f t="shared" si="17"/>
        <v>79</v>
      </c>
      <c r="BT12" s="38">
        <f>'CO2 Delivery'!M9</f>
        <v>78.997222222220444</v>
      </c>
      <c r="BU12">
        <f>'CO2 Delivery'!N9</f>
        <v>0.3</v>
      </c>
      <c r="BW12">
        <v>82.9</v>
      </c>
      <c r="BX12" s="45">
        <v>57.583272621721406</v>
      </c>
      <c r="BY12" s="45">
        <v>0</v>
      </c>
      <c r="BZ12">
        <v>41.900000000000006</v>
      </c>
      <c r="CA12" s="45">
        <v>233.03641028593296</v>
      </c>
      <c r="CB12" s="45">
        <v>20.771245134059107</v>
      </c>
      <c r="CC12" s="45"/>
      <c r="CD12" s="39">
        <v>75.5</v>
      </c>
      <c r="CE12" s="45">
        <v>5020.8616034831657</v>
      </c>
      <c r="CF12" s="45">
        <v>41.261545847440843</v>
      </c>
      <c r="CG12">
        <v>41.900000000000006</v>
      </c>
      <c r="CH12" s="45">
        <v>488.74010465612508</v>
      </c>
      <c r="CI12" s="45">
        <v>436.59318487611017</v>
      </c>
      <c r="CK12">
        <f t="shared" si="18"/>
        <v>34.9</v>
      </c>
      <c r="CL12">
        <f>'Liquid Volume'!A9</f>
        <v>34.915277777778101</v>
      </c>
      <c r="CM12">
        <f>'Liquid Volume'!C9</f>
        <v>450</v>
      </c>
      <c r="CO12">
        <f t="shared" si="19"/>
        <v>111.9</v>
      </c>
      <c r="CP12">
        <f>Ammonia!F10</f>
        <v>111.8659722222219</v>
      </c>
      <c r="CQ12">
        <f>Ammonia!N10</f>
        <v>145</v>
      </c>
      <c r="CR12">
        <f t="shared" si="20"/>
        <v>124.5</v>
      </c>
      <c r="CS12">
        <f>Ammonia!Q10</f>
        <v>124.47083333333285</v>
      </c>
      <c r="CT12">
        <f>Ammonia!Y10</f>
        <v>157.79999999999998</v>
      </c>
      <c r="CU12">
        <f t="shared" si="21"/>
        <v>117.9</v>
      </c>
      <c r="CV12">
        <f>Ammonia!AB10</f>
        <v>117.88263888889196</v>
      </c>
      <c r="CW12">
        <f>Ammonia!AJ10</f>
        <v>147.39999999999998</v>
      </c>
      <c r="CY12">
        <f t="shared" si="28"/>
        <v>106.9</v>
      </c>
      <c r="CZ12">
        <f>COD!A5</f>
        <v>106.93541666666715</v>
      </c>
      <c r="DA12">
        <f>COD!I5</f>
        <v>6440</v>
      </c>
      <c r="DB12">
        <f t="shared" ref="DB12:DB16" si="29">MROUND(DC12,0.5)</f>
        <v>107</v>
      </c>
      <c r="DC12">
        <f>COD!L5</f>
        <v>106.93541666666715</v>
      </c>
      <c r="DD12">
        <f>COD!T5</f>
        <v>5560</v>
      </c>
      <c r="DE12">
        <f t="shared" si="22"/>
        <v>114.9</v>
      </c>
      <c r="DF12">
        <f>COD!W8</f>
        <v>114.90763888888614</v>
      </c>
      <c r="DG12">
        <f>COD!AE8</f>
        <v>13175</v>
      </c>
      <c r="DI12" s="39">
        <f t="shared" si="23"/>
        <v>104.9</v>
      </c>
      <c r="DJ12" s="39">
        <f t="shared" si="24"/>
        <v>104.94305555555184</v>
      </c>
      <c r="DK12" s="132">
        <v>45531.472222222219</v>
      </c>
      <c r="DL12" t="s">
        <v>396</v>
      </c>
    </row>
    <row r="13" spans="1:117" ht="14.4" x14ac:dyDescent="0.3">
      <c r="A13">
        <f t="shared" si="5"/>
        <v>7.9</v>
      </c>
      <c r="B13">
        <f>GC_TCD!G15</f>
        <v>7.859722222223354</v>
      </c>
      <c r="C13">
        <f>GC_TCD!U15</f>
        <v>86.58186666666667</v>
      </c>
      <c r="D13">
        <f>GC_TCD!V15</f>
        <v>0.18349066279605328</v>
      </c>
      <c r="E13">
        <f>GC_TCD!W15</f>
        <v>12.663466666666666</v>
      </c>
      <c r="F13">
        <f>GC_TCD!X15</f>
        <v>0.24327684504147365</v>
      </c>
      <c r="G13">
        <f>GC_TCD!Y15</f>
        <v>0.7546666666666666</v>
      </c>
      <c r="H13">
        <f>GC_TCD!Z15</f>
        <v>6.0573454031723629E-2</v>
      </c>
      <c r="I13" s="38">
        <f>GC_TCD!K15</f>
        <v>0.55015564325096722</v>
      </c>
      <c r="J13" s="42">
        <f>GC_TCD!AA15</f>
        <v>0.22294008479318983</v>
      </c>
      <c r="K13" s="42">
        <f>GC_TCD!AB15</f>
        <v>0.64724540746409953</v>
      </c>
      <c r="L13" s="105">
        <f>GC_TCD!AC15</f>
        <v>6.9140618991685339E-4</v>
      </c>
      <c r="M13" s="42">
        <f t="shared" si="0"/>
        <v>1.2764196408019631E-5</v>
      </c>
      <c r="N13">
        <f t="shared" si="1"/>
        <v>6.9668776497871815E-2</v>
      </c>
      <c r="O13">
        <f t="shared" si="2"/>
        <v>0.47633502549869483</v>
      </c>
      <c r="P13">
        <f t="shared" si="3"/>
        <v>4.1518412544006324E-3</v>
      </c>
      <c r="Q13" t="str">
        <f t="shared" si="4"/>
        <v>Reactor Vol</v>
      </c>
      <c r="S13">
        <f t="shared" si="6"/>
        <v>43.5</v>
      </c>
      <c r="T13">
        <f>VFA!F10</f>
        <v>43.470833333332848</v>
      </c>
      <c r="U13">
        <f>VFA!K10</f>
        <v>32.200000000000003</v>
      </c>
      <c r="V13" t="str">
        <f>VFA!L10</f>
        <v/>
      </c>
      <c r="W13" t="str">
        <f>IF(VFA!M10&lt;=0,"",VFA!M10)</f>
        <v/>
      </c>
      <c r="X13">
        <f>VFA!N10</f>
        <v>34.357399999999998</v>
      </c>
      <c r="Y13">
        <f t="shared" si="7"/>
        <v>43.5</v>
      </c>
      <c r="Z13" s="39">
        <f>VFA!Q10</f>
        <v>43.470833333332848</v>
      </c>
      <c r="AA13" s="39">
        <f>VFA!V10</f>
        <v>278.82666666666665</v>
      </c>
      <c r="AB13" s="39" t="str">
        <f>VFA!W10</f>
        <v/>
      </c>
      <c r="AC13" s="39"/>
      <c r="AD13" s="39">
        <f>VFA!Y10</f>
        <v>297.50805333333329</v>
      </c>
      <c r="AE13">
        <f t="shared" si="8"/>
        <v>58.900000000000006</v>
      </c>
      <c r="AF13" s="39">
        <f>VFA!AB10</f>
        <v>58.868750000001455</v>
      </c>
      <c r="AG13" s="39">
        <f>IF(VFA!AG10&lt;=0,"",VFA!AG10)</f>
        <v>892.14</v>
      </c>
      <c r="AH13" s="39">
        <f>IF(VFA!AH10&lt;=0,"",VFA!AH10)</f>
        <v>219.62000000000003</v>
      </c>
      <c r="AI13" s="45"/>
      <c r="AJ13" s="45">
        <f>VFA!AJ10</f>
        <v>1284.41806</v>
      </c>
      <c r="AK13" s="45"/>
      <c r="AL13" s="39">
        <f t="shared" si="9"/>
        <v>154</v>
      </c>
      <c r="AM13" s="39">
        <f t="shared" si="10"/>
        <v>154.01597222222335</v>
      </c>
      <c r="AN13" s="32">
        <v>45580.545138888891</v>
      </c>
      <c r="AO13" s="38">
        <v>0.5</v>
      </c>
      <c r="AP13">
        <f t="shared" si="11"/>
        <v>8.9099999999999999E-2</v>
      </c>
      <c r="AQ13">
        <f t="shared" si="25"/>
        <v>5.9405263157894746E-2</v>
      </c>
      <c r="AT13" s="38">
        <f t="shared" si="26"/>
        <v>145.80000000000001</v>
      </c>
      <c r="AU13" s="38">
        <f t="shared" si="27"/>
        <v>145.84583333333285</v>
      </c>
      <c r="AV13" s="32">
        <v>45572.375</v>
      </c>
      <c r="AW13" s="10">
        <v>1</v>
      </c>
      <c r="AX13" t="s">
        <v>397</v>
      </c>
      <c r="AZ13">
        <f t="shared" si="14"/>
        <v>83</v>
      </c>
      <c r="BA13" s="120">
        <f>TSS_VSS!B14</f>
        <v>82.979861111110949</v>
      </c>
      <c r="BB13" s="10">
        <f>TSS_VSS!D14</f>
        <v>2670</v>
      </c>
      <c r="BC13" s="10">
        <f>TSS_VSS!E14</f>
        <v>2504</v>
      </c>
      <c r="BD13" s="10">
        <f>TSS_VSS!J14</f>
        <v>171</v>
      </c>
      <c r="BE13" s="10">
        <f>TSS_VSS!K14</f>
        <v>81</v>
      </c>
      <c r="BG13">
        <f t="shared" si="15"/>
        <v>83</v>
      </c>
      <c r="BH13">
        <f>SRT.HRT!B21</f>
        <v>82.979861111110949</v>
      </c>
      <c r="BI13">
        <f>SRT.HRT!P21</f>
        <v>23.932360307134932</v>
      </c>
      <c r="BJ13">
        <f>SRT.HRT!Q21</f>
        <v>3.1398441365651202</v>
      </c>
      <c r="BK13">
        <f>SRT.HRT!R21</f>
        <v>2.9432920919598815</v>
      </c>
      <c r="BL13">
        <f>SRT.HRT!S21</f>
        <v>9.9527233330079901E-2</v>
      </c>
      <c r="BM13">
        <f>SRT.HRT!T21</f>
        <v>0.10617362811310796</v>
      </c>
      <c r="BO13">
        <f t="shared" si="16"/>
        <v>24</v>
      </c>
      <c r="BP13">
        <f>'H2 Delivery'!C11</f>
        <v>23.994444444440887</v>
      </c>
      <c r="BQ13">
        <f>'H2 Delivery'!F11</f>
        <v>1.0915248032216731</v>
      </c>
      <c r="BS13">
        <f t="shared" si="17"/>
        <v>97.2</v>
      </c>
      <c r="BT13" s="38">
        <f>'CO2 Delivery'!M10</f>
        <v>97.154861111106584</v>
      </c>
      <c r="BU13">
        <f>'CO2 Delivery'!N10</f>
        <v>0.25</v>
      </c>
      <c r="BW13">
        <v>85.9</v>
      </c>
      <c r="BX13" s="45">
        <v>233.97107259046496</v>
      </c>
      <c r="BY13" s="45">
        <v>33.498882772331385</v>
      </c>
      <c r="BZ13">
        <v>43.5</v>
      </c>
      <c r="CA13" s="45">
        <v>273.01711944777958</v>
      </c>
      <c r="CB13" s="45">
        <v>24.03098899552398</v>
      </c>
      <c r="CC13" s="45"/>
      <c r="CD13" s="39">
        <v>78.5</v>
      </c>
      <c r="CE13" s="45">
        <v>4950.4095575733445</v>
      </c>
      <c r="CF13" s="45">
        <v>155.44825329855672</v>
      </c>
      <c r="CG13">
        <v>43.5</v>
      </c>
      <c r="CH13" s="45">
        <v>233.25331435106139</v>
      </c>
      <c r="CI13" s="45">
        <v>285.30748174988321</v>
      </c>
      <c r="CK13">
        <f t="shared" si="18"/>
        <v>38.1</v>
      </c>
      <c r="CL13">
        <f>'Liquid Volume'!A10</f>
        <v>38.134722222224809</v>
      </c>
      <c r="CM13">
        <f>'Liquid Volume'!C10</f>
        <v>450</v>
      </c>
      <c r="CO13">
        <f t="shared" si="19"/>
        <v>117.9</v>
      </c>
      <c r="CP13">
        <f>Ammonia!F11</f>
        <v>117.88263888889196</v>
      </c>
      <c r="CQ13">
        <f>Ammonia!N11</f>
        <v>152.19999999999999</v>
      </c>
      <c r="CR13">
        <f t="shared" si="20"/>
        <v>131.5</v>
      </c>
      <c r="CS13">
        <f>Ammonia!Q11</f>
        <v>131.47083333333285</v>
      </c>
      <c r="CT13">
        <f>Ammonia!Y11</f>
        <v>73.8</v>
      </c>
      <c r="CU13">
        <f t="shared" si="21"/>
        <v>131.5</v>
      </c>
      <c r="CV13">
        <f>Ammonia!AB11</f>
        <v>131.47083333333285</v>
      </c>
      <c r="CW13">
        <f>Ammonia!AJ11</f>
        <v>160.29999999999998</v>
      </c>
      <c r="CY13">
        <f t="shared" si="28"/>
        <v>106.9</v>
      </c>
      <c r="CZ13">
        <f>COD!A6</f>
        <v>106.93541666666715</v>
      </c>
      <c r="DA13">
        <f>COD!I6</f>
        <v>3780</v>
      </c>
      <c r="DB13">
        <f t="shared" si="29"/>
        <v>107</v>
      </c>
      <c r="DC13">
        <f>COD!L6</f>
        <v>106.93541666666715</v>
      </c>
      <c r="DD13">
        <f>COD!T6</f>
        <v>3800</v>
      </c>
      <c r="DE13">
        <f t="shared" si="22"/>
        <v>117.9</v>
      </c>
      <c r="DF13">
        <f>COD!W9</f>
        <v>117.88680555555766</v>
      </c>
      <c r="DG13">
        <f>COD!AE9</f>
        <v>450</v>
      </c>
      <c r="DI13" s="39">
        <f t="shared" si="23"/>
        <v>125.9</v>
      </c>
      <c r="DJ13" s="39">
        <f t="shared" si="24"/>
        <v>125.93680555555329</v>
      </c>
      <c r="DK13" s="132">
        <v>45552.46597222222</v>
      </c>
      <c r="DL13" t="s">
        <v>398</v>
      </c>
      <c r="DM13" t="s">
        <v>399</v>
      </c>
    </row>
    <row r="14" spans="1:117" ht="14.4" x14ac:dyDescent="0.3">
      <c r="A14">
        <f t="shared" si="5"/>
        <v>9.9</v>
      </c>
      <c r="B14">
        <f>GC_TCD!G16</f>
        <v>9.9124999999985448</v>
      </c>
      <c r="C14">
        <f>GC_TCD!U16</f>
        <v>78.441233333333329</v>
      </c>
      <c r="D14">
        <f>GC_TCD!V16</f>
        <v>1.3713438384786421</v>
      </c>
      <c r="E14">
        <f>GC_TCD!W16</f>
        <v>19.379933333333334</v>
      </c>
      <c r="F14">
        <f>GC_TCD!X16</f>
        <v>0.47116995164519382</v>
      </c>
      <c r="G14">
        <f>GC_TCD!Y16</f>
        <v>2.1787666666666667</v>
      </c>
      <c r="H14">
        <f>GC_TCD!Z16</f>
        <v>1.5033352830733846</v>
      </c>
      <c r="I14" s="38">
        <f>GC_TCD!K16</f>
        <v>0.48376018267990589</v>
      </c>
      <c r="J14" s="42">
        <f>GC_TCD!AA16</f>
        <v>0.30000768286904744</v>
      </c>
      <c r="K14" s="42">
        <f>GC_TCD!AB16</f>
        <v>0.87099004703917005</v>
      </c>
      <c r="L14" s="105">
        <f>GC_TCD!AC16</f>
        <v>9.3041665948360682E-4</v>
      </c>
      <c r="M14" s="42">
        <f t="shared" si="0"/>
        <v>1.3619516498470734E-5</v>
      </c>
      <c r="N14">
        <f t="shared" si="1"/>
        <v>9.3752400896577312E-2</v>
      </c>
      <c r="O14">
        <f t="shared" si="2"/>
        <v>0.37946745366970452</v>
      </c>
      <c r="P14">
        <f t="shared" si="3"/>
        <v>1.0540005606835563E-2</v>
      </c>
      <c r="Q14" t="str">
        <f t="shared" si="4"/>
        <v>Reactor Vol</v>
      </c>
      <c r="S14">
        <f t="shared" si="6"/>
        <v>48.900000000000006</v>
      </c>
      <c r="T14">
        <f>VFA!F11</f>
        <v>48.857638888890506</v>
      </c>
      <c r="U14">
        <f>VFA!K11</f>
        <v>19.38666666666667</v>
      </c>
      <c r="V14">
        <f>VFA!L11</f>
        <v>19.780216000000006</v>
      </c>
      <c r="W14" t="str">
        <f>IF(VFA!M11&lt;=0,"",VFA!M11)</f>
        <v/>
      </c>
      <c r="X14">
        <f>VFA!N11</f>
        <v>50.632820357333344</v>
      </c>
      <c r="Y14">
        <f t="shared" si="7"/>
        <v>48.900000000000006</v>
      </c>
      <c r="Z14" s="39">
        <f>VFA!Q11</f>
        <v>48.857638888890506</v>
      </c>
      <c r="AA14" s="39">
        <f>VFA!V11</f>
        <v>30.75333333333333</v>
      </c>
      <c r="AB14" s="39">
        <f>VFA!W11</f>
        <v>425.17333333333335</v>
      </c>
      <c r="AC14" s="39"/>
      <c r="AD14" s="39">
        <f>VFA!Y11</f>
        <v>676.52623333333338</v>
      </c>
      <c r="AE14">
        <f t="shared" si="8"/>
        <v>61.900000000000006</v>
      </c>
      <c r="AF14" s="39">
        <f>VFA!AB11</f>
        <v>61.908333333332848</v>
      </c>
      <c r="AG14" s="39">
        <f>IF(VFA!AG11&lt;=0,"",VFA!AG11)</f>
        <v>917.09</v>
      </c>
      <c r="AH14" s="39">
        <f>IF(VFA!AH11&lt;=0,"",VFA!AH11)</f>
        <v>254.17000000000002</v>
      </c>
      <c r="AI14" s="45"/>
      <c r="AJ14" s="45">
        <f>VFA!AJ11</f>
        <v>1363.3484100000001</v>
      </c>
      <c r="AK14" s="45"/>
      <c r="AL14" s="45"/>
      <c r="AM14" s="45"/>
      <c r="AN14" s="45"/>
      <c r="AO14" s="38"/>
      <c r="AT14" s="38">
        <f t="shared" si="26"/>
        <v>149.9</v>
      </c>
      <c r="AU14" s="38">
        <f t="shared" si="27"/>
        <v>149.92916666666861</v>
      </c>
      <c r="AV14" s="32">
        <v>45576.458333333336</v>
      </c>
      <c r="AW14" s="10">
        <v>1</v>
      </c>
      <c r="AX14" t="s">
        <v>400</v>
      </c>
      <c r="AZ14">
        <f t="shared" si="14"/>
        <v>90</v>
      </c>
      <c r="BA14" s="120">
        <f>TSS_VSS!B15</f>
        <v>90.038194444445253</v>
      </c>
      <c r="BB14" s="10">
        <f>TSS_VSS!D15</f>
        <v>1406</v>
      </c>
      <c r="BC14" s="10">
        <f>TSS_VSS!E15</f>
        <v>1186</v>
      </c>
      <c r="BD14" s="10">
        <f>TSS_VSS!J15</f>
        <v>89</v>
      </c>
      <c r="BE14" s="10">
        <f>TSS_VSS!K15</f>
        <v>0</v>
      </c>
      <c r="BG14">
        <f t="shared" si="15"/>
        <v>90</v>
      </c>
      <c r="BH14">
        <f>SRT.HRT!B22</f>
        <v>90.038194444445253</v>
      </c>
      <c r="BI14">
        <f>SRT.HRT!P22</f>
        <v>19.599425509320064</v>
      </c>
      <c r="BJ14">
        <f>SRT.HRT!Q22</f>
        <v>3.3017151767156303</v>
      </c>
      <c r="BK14">
        <f>SRT.HRT!R22</f>
        <v>4.821491160033097</v>
      </c>
      <c r="BL14">
        <f>SRT.HRT!S22</f>
        <v>9.4647776465945271E-2</v>
      </c>
      <c r="BM14">
        <f>SRT.HRT!T22</f>
        <v>6.4813973442575987E-2</v>
      </c>
      <c r="BO14">
        <f t="shared" si="16"/>
        <v>38.200000000000003</v>
      </c>
      <c r="BP14">
        <f>'H2 Delivery'!C12</f>
        <v>38.211805555554747</v>
      </c>
      <c r="BQ14">
        <f>'H2 Delivery'!F12</f>
        <v>1.0915248032216731</v>
      </c>
      <c r="BS14">
        <f t="shared" si="17"/>
        <v>107.2</v>
      </c>
      <c r="BT14" s="38">
        <f>'CO2 Delivery'!M11</f>
        <v>107.15694444443943</v>
      </c>
      <c r="BU14">
        <f>'CO2 Delivery'!N11</f>
        <v>0.3</v>
      </c>
      <c r="BW14">
        <v>89.9</v>
      </c>
      <c r="BX14" s="45">
        <v>178.10575474128026</v>
      </c>
      <c r="BY14" s="45">
        <v>10.673658498661638</v>
      </c>
      <c r="BZ14">
        <v>48.900000000000006</v>
      </c>
      <c r="CA14" s="45">
        <v>4.797545479778651</v>
      </c>
      <c r="CB14" s="45">
        <v>0</v>
      </c>
      <c r="CC14" s="45"/>
      <c r="CD14" s="39">
        <v>82.5</v>
      </c>
      <c r="CE14" s="45">
        <v>5729.7390966687017</v>
      </c>
      <c r="CF14" s="45">
        <v>361.35177132691439</v>
      </c>
      <c r="CG14">
        <v>48.900000000000006</v>
      </c>
      <c r="CH14" s="45">
        <v>247.01604674135908</v>
      </c>
      <c r="CI14" s="45">
        <v>195.20888737854108</v>
      </c>
      <c r="CK14">
        <f t="shared" si="18"/>
        <v>41.900000000000006</v>
      </c>
      <c r="CL14">
        <f>'Liquid Volume'!A11</f>
        <v>41.913888888891961</v>
      </c>
      <c r="CM14">
        <f>'Liquid Volume'!C11</f>
        <v>450</v>
      </c>
      <c r="CO14">
        <f t="shared" si="19"/>
        <v>124.5</v>
      </c>
      <c r="CP14">
        <f>Ammonia!F12</f>
        <v>124.47083333333285</v>
      </c>
      <c r="CQ14">
        <f>Ammonia!N12</f>
        <v>71.8</v>
      </c>
      <c r="CR14">
        <f t="shared" si="20"/>
        <v>138.9</v>
      </c>
      <c r="CS14">
        <f>Ammonia!Q12</f>
        <v>138.9020833333343</v>
      </c>
      <c r="CT14">
        <f>Ammonia!Y12</f>
        <v>145.1</v>
      </c>
      <c r="CU14">
        <f t="shared" si="21"/>
        <v>138.9</v>
      </c>
      <c r="CV14">
        <f>Ammonia!AB12</f>
        <v>138.9020833333343</v>
      </c>
      <c r="CW14">
        <f>Ammonia!AJ12</f>
        <v>127.5</v>
      </c>
      <c r="CY14">
        <f t="shared" si="28"/>
        <v>114.9</v>
      </c>
      <c r="CZ14">
        <f>COD!A7</f>
        <v>114.90763888888614</v>
      </c>
      <c r="DA14">
        <f>COD!I7</f>
        <v>575</v>
      </c>
      <c r="DB14">
        <f t="shared" si="29"/>
        <v>115</v>
      </c>
      <c r="DC14">
        <f>COD!L7</f>
        <v>114.90763888888614</v>
      </c>
      <c r="DD14">
        <f>COD!T7</f>
        <v>437.5</v>
      </c>
      <c r="DE14">
        <f t="shared" si="22"/>
        <v>120.5</v>
      </c>
      <c r="DF14">
        <f>COD!W10</f>
        <v>120.50208333333285</v>
      </c>
      <c r="DG14">
        <f>COD!AE10</f>
        <v>150</v>
      </c>
      <c r="DI14" s="39">
        <f t="shared" si="23"/>
        <v>125.9</v>
      </c>
      <c r="DJ14" s="39">
        <f t="shared" si="24"/>
        <v>125.93680555555329</v>
      </c>
      <c r="DK14" s="132">
        <v>45552.46597222222</v>
      </c>
      <c r="DL14" t="s">
        <v>401</v>
      </c>
      <c r="DM14" t="s">
        <v>399</v>
      </c>
    </row>
    <row r="15" spans="1:117" ht="14.4" x14ac:dyDescent="0.3">
      <c r="A15">
        <f t="shared" si="5"/>
        <v>10.200000000000001</v>
      </c>
      <c r="B15">
        <f>GC_TCD!G17</f>
        <v>10.166666666664241</v>
      </c>
      <c r="C15">
        <f>GC_TCD!U17</f>
        <v>78.783799999999999</v>
      </c>
      <c r="D15">
        <f>GC_TCD!V17</f>
        <v>0.89261981268623369</v>
      </c>
      <c r="E15">
        <f>GC_TCD!W17</f>
        <v>20.246700000000001</v>
      </c>
      <c r="F15">
        <f>GC_TCD!X17</f>
        <v>0.40633162564584996</v>
      </c>
      <c r="G15">
        <f>GC_TCD!Y17</f>
        <v>0.96950000000000003</v>
      </c>
      <c r="H15">
        <f>GC_TCD!Z17</f>
        <v>0.48628912181951961</v>
      </c>
      <c r="I15" s="38">
        <f>GC_TCD!K17</f>
        <v>0.60177677595858059</v>
      </c>
      <c r="J15" s="42">
        <f>GC_TCD!AA17</f>
        <v>0.38988780319361904</v>
      </c>
      <c r="K15" s="42">
        <f>GC_TCD!AB17</f>
        <v>1.1319323318524424</v>
      </c>
      <c r="L15" s="105">
        <f>GC_TCD!AC17</f>
        <v>1.2091627252731119E-3</v>
      </c>
      <c r="M15" s="42">
        <f t="shared" si="0"/>
        <v>1.7257328993820038E-5</v>
      </c>
      <c r="N15">
        <f t="shared" si="1"/>
        <v>0.12183993849800594</v>
      </c>
      <c r="O15">
        <f t="shared" si="2"/>
        <v>0.47410261161765621</v>
      </c>
      <c r="P15">
        <f t="shared" si="3"/>
        <v>5.8342258429184392E-3</v>
      </c>
      <c r="Q15" t="str">
        <f t="shared" si="4"/>
        <v>Reactor Vol</v>
      </c>
      <c r="S15">
        <f t="shared" si="6"/>
        <v>52</v>
      </c>
      <c r="T15">
        <f>VFA!F12</f>
        <v>51.988194444442343</v>
      </c>
      <c r="U15">
        <f>VFA!K12</f>
        <v>24.41333333333333</v>
      </c>
      <c r="V15">
        <f>VFA!L12</f>
        <v>27.655017111111107</v>
      </c>
      <c r="W15" t="str">
        <f>IF(VFA!M12&lt;=0,"",VFA!M12)</f>
        <v/>
      </c>
      <c r="X15">
        <f>VFA!N12</f>
        <v>67.918722572888882</v>
      </c>
      <c r="Y15">
        <f t="shared" si="7"/>
        <v>52</v>
      </c>
      <c r="Z15" s="39">
        <f>VFA!Q12</f>
        <v>51.988194444442343</v>
      </c>
      <c r="AA15" s="39">
        <f>VFA!V12</f>
        <v>19.353333333333332</v>
      </c>
      <c r="AB15" s="39">
        <f>VFA!W12</f>
        <v>424.1133333333334</v>
      </c>
      <c r="AC15" s="39"/>
      <c r="AD15" s="39">
        <f>VFA!Y12</f>
        <v>662.75759333333338</v>
      </c>
      <c r="AE15">
        <f t="shared" si="8"/>
        <v>64.900000000000006</v>
      </c>
      <c r="AF15" s="39">
        <f>VFA!AB12</f>
        <v>64.88749999999709</v>
      </c>
      <c r="AG15" s="39">
        <f>IF(VFA!AG12&lt;=0,"",VFA!AG12)</f>
        <v>292.76</v>
      </c>
      <c r="AH15" s="39">
        <f>IF(VFA!AH12&lt;=0,"",VFA!AH12)</f>
        <v>143.13999999999999</v>
      </c>
      <c r="AI15" s="45"/>
      <c r="AJ15" s="45">
        <f>VFA!AJ12</f>
        <v>529.08888000000002</v>
      </c>
      <c r="AK15" s="45"/>
      <c r="AL15" s="45"/>
      <c r="AM15" s="45"/>
      <c r="AN15" s="45"/>
      <c r="AO15" s="38"/>
      <c r="AT15" s="38">
        <f t="shared" si="26"/>
        <v>161.20000000000002</v>
      </c>
      <c r="AU15" s="38">
        <f t="shared" si="27"/>
        <v>161.18680555555329</v>
      </c>
      <c r="AV15" s="32">
        <v>45587.71597222222</v>
      </c>
      <c r="AW15" s="10">
        <v>1</v>
      </c>
      <c r="AX15" t="s">
        <v>402</v>
      </c>
      <c r="AZ15">
        <f t="shared" si="14"/>
        <v>97.100000000000009</v>
      </c>
      <c r="BA15" s="120">
        <f>TSS_VSS!B16</f>
        <v>97.0625</v>
      </c>
      <c r="BB15" s="10">
        <f>TSS_VSS!D16</f>
        <v>364</v>
      </c>
      <c r="BC15" s="10">
        <f>TSS_VSS!E16</f>
        <v>275</v>
      </c>
      <c r="BD15" s="10">
        <f>TSS_VSS!J16</f>
        <v>53</v>
      </c>
      <c r="BE15" s="10">
        <f>TSS_VSS!K16</f>
        <v>32</v>
      </c>
      <c r="BG15">
        <f t="shared" si="15"/>
        <v>97.100000000000009</v>
      </c>
      <c r="BH15">
        <f>SRT.HRT!B23</f>
        <v>97.0625</v>
      </c>
      <c r="BI15">
        <f>SRT.HRT!P23</f>
        <v>10.976524489132698</v>
      </c>
      <c r="BJ15">
        <f>SRT.HRT!Q23</f>
        <v>2.388316962598894</v>
      </c>
      <c r="BK15">
        <f>SRT.HRT!R23</f>
        <v>6.9331416566825368</v>
      </c>
      <c r="BL15">
        <f>SRT.HRT!S23</f>
        <v>0.13084527928820092</v>
      </c>
      <c r="BM15">
        <f>SRT.HRT!T23</f>
        <v>4.5073361467927835E-2</v>
      </c>
      <c r="BO15">
        <f t="shared" si="16"/>
        <v>38.200000000000003</v>
      </c>
      <c r="BP15">
        <f>'H2 Delivery'!C13</f>
        <v>38.22013888888614</v>
      </c>
      <c r="BQ15">
        <f>'H2 Delivery'!F13</f>
        <v>1.0915248032216731</v>
      </c>
      <c r="BS15">
        <f t="shared" si="17"/>
        <v>160</v>
      </c>
      <c r="BT15" s="38">
        <f>'CO2 Delivery'!M12</f>
        <v>159.97222222221899</v>
      </c>
      <c r="BU15">
        <f>'CO2 Delivery'!N12</f>
        <v>0.4</v>
      </c>
      <c r="BW15">
        <v>103.9</v>
      </c>
      <c r="BX15" s="45" t="s">
        <v>388</v>
      </c>
      <c r="BY15" s="45">
        <v>0</v>
      </c>
      <c r="BZ15">
        <v>51.900000000000006</v>
      </c>
      <c r="CA15" s="45">
        <v>11.762753096824978</v>
      </c>
      <c r="CB15" s="45">
        <v>2.0076901906612656</v>
      </c>
      <c r="CC15" s="45"/>
      <c r="CD15" s="39">
        <v>85.5</v>
      </c>
      <c r="CE15" s="45">
        <v>4879.6585985089896</v>
      </c>
      <c r="CF15" s="45">
        <v>127.60286718431641</v>
      </c>
      <c r="CG15">
        <v>51.900000000000006</v>
      </c>
      <c r="CH15" s="45">
        <v>189.25374970139211</v>
      </c>
      <c r="CI15" s="45">
        <v>183.43982646051634</v>
      </c>
      <c r="CK15">
        <f t="shared" si="18"/>
        <v>48.900000000000006</v>
      </c>
      <c r="CL15">
        <f>'Liquid Volume'!A12</f>
        <v>48.857638888890506</v>
      </c>
      <c r="CM15">
        <f>'Liquid Volume'!C12</f>
        <v>450</v>
      </c>
      <c r="CO15">
        <f t="shared" si="19"/>
        <v>131.5</v>
      </c>
      <c r="CP15">
        <f>Ammonia!F13</f>
        <v>131.47083333333285</v>
      </c>
      <c r="CQ15">
        <f>Ammonia!N13</f>
        <v>137.6</v>
      </c>
      <c r="CR15">
        <f t="shared" si="20"/>
        <v>138.9</v>
      </c>
      <c r="CS15">
        <f>Ammonia!Q13</f>
        <v>138.9020833333343</v>
      </c>
      <c r="CT15">
        <f>Ammonia!Y13</f>
        <v>120.29999999999998</v>
      </c>
      <c r="CU15">
        <f t="shared" si="21"/>
        <v>145.9</v>
      </c>
      <c r="CV15">
        <f>Ammonia!AB13</f>
        <v>145.90416666666715</v>
      </c>
      <c r="CW15">
        <f>Ammonia!AJ13</f>
        <v>323</v>
      </c>
      <c r="CY15">
        <f t="shared" si="28"/>
        <v>117.9</v>
      </c>
      <c r="CZ15">
        <f>COD!A8</f>
        <v>117.88680555555766</v>
      </c>
      <c r="DA15">
        <f>COD!I8</f>
        <v>637.5</v>
      </c>
      <c r="DB15">
        <f t="shared" si="29"/>
        <v>118</v>
      </c>
      <c r="DC15">
        <f>COD!L8</f>
        <v>117.88680555555766</v>
      </c>
      <c r="DD15">
        <f>COD!T8</f>
        <v>383.33333333333337</v>
      </c>
      <c r="DE15">
        <f t="shared" si="22"/>
        <v>131.9</v>
      </c>
      <c r="DF15">
        <f>COD!W11</f>
        <v>131.87569444444671</v>
      </c>
      <c r="DG15">
        <f>COD!AE11</f>
        <v>570</v>
      </c>
      <c r="DI15" s="39">
        <f t="shared" si="23"/>
        <v>139.9</v>
      </c>
      <c r="DJ15" s="39">
        <f t="shared" si="24"/>
        <v>139.88749999999709</v>
      </c>
      <c r="DK15" s="132">
        <v>45566.416666666664</v>
      </c>
      <c r="DL15" t="s">
        <v>403</v>
      </c>
      <c r="DM15" t="s">
        <v>404</v>
      </c>
    </row>
    <row r="16" spans="1:117" ht="14.4" x14ac:dyDescent="0.3">
      <c r="A16">
        <f t="shared" si="5"/>
        <v>15.100000000000001</v>
      </c>
      <c r="B16">
        <f>GC_TCD!G19</f>
        <v>15.124305555553292</v>
      </c>
      <c r="C16">
        <f>GC_TCD!U19</f>
        <v>80.83393333333332</v>
      </c>
      <c r="D16">
        <f>GC_TCD!V19</f>
        <v>2.0942430955677835</v>
      </c>
      <c r="E16">
        <f>GC_TCD!W19</f>
        <v>17.937966666666668</v>
      </c>
      <c r="F16">
        <f>GC_TCD!X19</f>
        <v>1.6420722893141251</v>
      </c>
      <c r="G16">
        <f>GC_TCD!Y19</f>
        <v>1.2280666666666666</v>
      </c>
      <c r="H16">
        <f>GC_TCD!Z19</f>
        <v>0.45608764874016677</v>
      </c>
      <c r="I16" s="38">
        <f>GC_TCD!K19</f>
        <v>0.50844743589873653</v>
      </c>
      <c r="J16" s="42">
        <f>GC_TCD!AA19</f>
        <v>0.29185642102091758</v>
      </c>
      <c r="K16" s="42">
        <f>GC_TCD!AB19</f>
        <v>0.84732509328653494</v>
      </c>
      <c r="L16" s="105">
        <f>GC_TCD!AC19</f>
        <v>9.0513707415170851E-4</v>
      </c>
      <c r="M16" s="42">
        <f t="shared" si="0"/>
        <v>8.6837302365390005E-6</v>
      </c>
      <c r="N16">
        <f t="shared" si="1"/>
        <v>9.1205131569036729E-2</v>
      </c>
      <c r="O16">
        <f t="shared" si="2"/>
        <v>0.41099806136942735</v>
      </c>
      <c r="P16">
        <f t="shared" si="3"/>
        <v>6.24407347779375E-3</v>
      </c>
      <c r="Q16" t="str">
        <f t="shared" si="4"/>
        <v>Reactor Vol</v>
      </c>
      <c r="S16">
        <f t="shared" si="6"/>
        <v>55.800000000000004</v>
      </c>
      <c r="T16">
        <f>VFA!F13</f>
        <v>55.847222222218988</v>
      </c>
      <c r="U16">
        <f>VFA!K13</f>
        <v>35.510000000000005</v>
      </c>
      <c r="V16">
        <f>VFA!L13</f>
        <v>37.3192345</v>
      </c>
      <c r="W16" t="str">
        <f>IF(VFA!M13&lt;=0,"",VFA!M13)</f>
        <v/>
      </c>
      <c r="X16">
        <f>VFA!N13</f>
        <v>94.390491033000018</v>
      </c>
      <c r="Y16">
        <f t="shared" si="7"/>
        <v>55.800000000000004</v>
      </c>
      <c r="Z16" s="39">
        <f>VFA!Q13</f>
        <v>55.847222222218988</v>
      </c>
      <c r="AA16" s="39">
        <f>VFA!V13</f>
        <v>36.71</v>
      </c>
      <c r="AB16" s="39">
        <f>VFA!W13</f>
        <v>431.85</v>
      </c>
      <c r="AC16" s="39"/>
      <c r="AD16" s="39">
        <f>VFA!Y13</f>
        <v>692.99047000000007</v>
      </c>
      <c r="AE16">
        <f t="shared" si="8"/>
        <v>68.900000000000006</v>
      </c>
      <c r="AF16" s="39">
        <f>VFA!AB13</f>
        <v>68.88749999999709</v>
      </c>
      <c r="AG16" s="39">
        <f>IF(VFA!AG13&lt;=0,"",VFA!AG13)</f>
        <v>1018.1399999999999</v>
      </c>
      <c r="AH16" s="39">
        <f>IF(VFA!AH13&lt;=0,"",VFA!AH13)</f>
        <v>211.81</v>
      </c>
      <c r="AI16" s="45"/>
      <c r="AJ16" s="45">
        <f>VFA!AJ13</f>
        <v>1407.0357199999999</v>
      </c>
      <c r="AK16" s="45"/>
      <c r="AL16" s="45"/>
      <c r="AM16" s="45"/>
      <c r="AN16" s="45"/>
      <c r="AO16" s="38"/>
      <c r="AT16" s="38"/>
      <c r="AU16" s="38"/>
      <c r="AZ16">
        <f t="shared" si="14"/>
        <v>104</v>
      </c>
      <c r="BA16" s="120">
        <f>TSS_VSS!B17</f>
        <v>104.04305555555766</v>
      </c>
      <c r="BB16" s="10">
        <f>TSS_VSS!D17</f>
        <v>1530</v>
      </c>
      <c r="BC16" s="10">
        <f>TSS_VSS!E17</f>
        <v>1319</v>
      </c>
      <c r="BD16" s="10">
        <f>TSS_VSS!J17</f>
        <v>110</v>
      </c>
      <c r="BE16" s="10">
        <f>TSS_VSS!K17</f>
        <v>78</v>
      </c>
      <c r="BG16">
        <f t="shared" si="15"/>
        <v>104</v>
      </c>
      <c r="BH16">
        <f>SRT.HRT!B24</f>
        <v>104.04305555555766</v>
      </c>
      <c r="BI16">
        <f>SRT.HRT!P24</f>
        <v>25.988820094097477</v>
      </c>
      <c r="BJ16">
        <f>SRT.HRT!Q24</f>
        <v>8.7744413407847652</v>
      </c>
      <c r="BK16">
        <f>SRT.HRT!R24</f>
        <v>7.6519285806081889</v>
      </c>
      <c r="BL16">
        <f>SRT.HRT!S24</f>
        <v>3.561480302426305E-2</v>
      </c>
      <c r="BM16">
        <f>SRT.HRT!T24</f>
        <v>4.0839377512219534E-2</v>
      </c>
      <c r="BO16">
        <f t="shared" si="16"/>
        <v>421.20000000000005</v>
      </c>
      <c r="BP16">
        <f>'H2 Delivery'!C14</f>
        <v>421.15625</v>
      </c>
      <c r="BQ16">
        <f>'H2 Delivery'!F14</f>
        <v>1</v>
      </c>
      <c r="BS16">
        <f t="shared" si="17"/>
        <v>161.20000000000002</v>
      </c>
      <c r="BT16" s="38">
        <f>'CO2 Delivery'!M13</f>
        <v>161.18611111110658</v>
      </c>
      <c r="BU16">
        <f>'CO2 Delivery'!N13</f>
        <v>0.35</v>
      </c>
      <c r="BW16">
        <v>106.9</v>
      </c>
      <c r="BX16" s="45" t="s">
        <v>388</v>
      </c>
      <c r="BY16" s="45">
        <v>0</v>
      </c>
      <c r="BZ16">
        <v>55.800000000000004</v>
      </c>
      <c r="CA16" s="45">
        <v>8.3559362301791555</v>
      </c>
      <c r="CB16" s="45">
        <v>0.98605239535642542</v>
      </c>
      <c r="CC16" s="45"/>
      <c r="CD16" s="39">
        <v>89.5</v>
      </c>
      <c r="CE16" s="45">
        <v>5457.4648121019654</v>
      </c>
      <c r="CF16" s="45">
        <v>211.81926750674648</v>
      </c>
      <c r="CG16">
        <v>55.800000000000004</v>
      </c>
      <c r="CH16" s="45">
        <v>901.47273809981743</v>
      </c>
      <c r="CI16" s="45">
        <v>92.777189834725135</v>
      </c>
      <c r="CK16">
        <f t="shared" si="18"/>
        <v>51.900000000000006</v>
      </c>
      <c r="CL16">
        <f>'Liquid Volume'!A13</f>
        <v>51.949305555557657</v>
      </c>
      <c r="CM16">
        <f>'Liquid Volume'!C13</f>
        <v>450</v>
      </c>
      <c r="CO16">
        <f t="shared" si="19"/>
        <v>138.9</v>
      </c>
      <c r="CP16">
        <f>Ammonia!F14</f>
        <v>138.9020833333343</v>
      </c>
      <c r="CQ16">
        <f>Ammonia!N14</f>
        <v>121.20000000000002</v>
      </c>
      <c r="CR16">
        <f t="shared" si="20"/>
        <v>145.9</v>
      </c>
      <c r="CS16">
        <f>Ammonia!Q14</f>
        <v>145.90416666666715</v>
      </c>
      <c r="CT16">
        <f>Ammonia!Y14</f>
        <v>264</v>
      </c>
      <c r="CU16">
        <f t="shared" si="21"/>
        <v>145.9</v>
      </c>
      <c r="CV16">
        <f>Ammonia!AB14</f>
        <v>145.90416666666715</v>
      </c>
      <c r="CW16">
        <f>Ammonia!AJ14</f>
        <v>271.40000000000003</v>
      </c>
      <c r="CY16">
        <f t="shared" si="28"/>
        <v>120.5</v>
      </c>
      <c r="CZ16">
        <f>COD!A9</f>
        <v>120.50208333333285</v>
      </c>
      <c r="DA16">
        <f>COD!I9</f>
        <v>186.66666666666669</v>
      </c>
      <c r="DB16">
        <f t="shared" si="29"/>
        <v>125</v>
      </c>
      <c r="DC16">
        <f>COD!L9</f>
        <v>124.90555555555329</v>
      </c>
      <c r="DD16">
        <f>COD!T9</f>
        <v>73</v>
      </c>
      <c r="DE16">
        <f t="shared" si="22"/>
        <v>135</v>
      </c>
      <c r="DF16">
        <f>COD!W12</f>
        <v>135.02430555555475</v>
      </c>
      <c r="DG16">
        <f>COD!AE12</f>
        <v>720</v>
      </c>
      <c r="DI16" s="39">
        <f t="shared" si="23"/>
        <v>149.1</v>
      </c>
      <c r="DJ16" s="39">
        <f t="shared" si="24"/>
        <v>149.0888888888876</v>
      </c>
      <c r="DK16" s="132">
        <v>45575.618055555555</v>
      </c>
      <c r="DL16" t="s">
        <v>405</v>
      </c>
      <c r="DM16" t="s">
        <v>406</v>
      </c>
    </row>
    <row r="17" spans="1:118" ht="14.4" x14ac:dyDescent="0.3">
      <c r="A17">
        <f t="shared" si="5"/>
        <v>16</v>
      </c>
      <c r="B17">
        <f>GC_TCD!G20</f>
        <v>15.970833333332848</v>
      </c>
      <c r="C17">
        <f>GC_TCD!U20</f>
        <v>0</v>
      </c>
      <c r="D17">
        <f>GC_TCD!V20</f>
        <v>0</v>
      </c>
      <c r="E17">
        <f>GC_TCD!W20</f>
        <v>89.163000000000011</v>
      </c>
      <c r="F17">
        <f>GC_TCD!X20</f>
        <v>1.2267565406387664</v>
      </c>
      <c r="G17">
        <f>GC_TCD!Y20</f>
        <v>10.837000000000002</v>
      </c>
      <c r="H17">
        <f>GC_TCD!Z20</f>
        <v>1.2267565406387686</v>
      </c>
      <c r="I17" s="38">
        <f>GC_TCD!K20</f>
        <v>0.49660943396122104</v>
      </c>
      <c r="J17" s="42">
        <f>GC_TCD!AA20</f>
        <v>1.4169339827290994</v>
      </c>
      <c r="K17" s="42">
        <f>GC_TCD!AB20</f>
        <v>4.1136793046973867</v>
      </c>
      <c r="L17" s="105">
        <f>GC_TCD!AC20</f>
        <v>4.3943507389944516E-3</v>
      </c>
      <c r="M17" s="42">
        <f t="shared" si="0"/>
        <v>3.9924046473975316E-5</v>
      </c>
      <c r="N17">
        <f t="shared" si="1"/>
        <v>0.44279186960284356</v>
      </c>
      <c r="O17">
        <f t="shared" si="2"/>
        <v>0</v>
      </c>
      <c r="P17">
        <f t="shared" si="3"/>
        <v>5.3817564358377527E-2</v>
      </c>
      <c r="Q17" t="str">
        <f t="shared" si="4"/>
        <v>Reactor Vol</v>
      </c>
      <c r="S17">
        <f t="shared" si="6"/>
        <v>58.900000000000006</v>
      </c>
      <c r="T17">
        <f>VFA!F14</f>
        <v>58.868750000001455</v>
      </c>
      <c r="U17">
        <f>VFA!K14</f>
        <v>5.7949999999999999</v>
      </c>
      <c r="V17">
        <f>VFA!L14</f>
        <v>24.900245750000003</v>
      </c>
      <c r="W17" t="str">
        <f>IF(VFA!M14&lt;=0,"",VFA!M14)</f>
        <v/>
      </c>
      <c r="X17">
        <f>VFA!N14</f>
        <v>43.882237065500007</v>
      </c>
      <c r="Y17">
        <f t="shared" si="7"/>
        <v>58.900000000000006</v>
      </c>
      <c r="Z17" s="39">
        <f>VFA!Q14</f>
        <v>58.868750000001455</v>
      </c>
      <c r="AA17" s="39">
        <f>VFA!V14</f>
        <v>8.3650000000000002</v>
      </c>
      <c r="AB17" s="39">
        <f>VFA!W14</f>
        <v>427.375</v>
      </c>
      <c r="AC17" s="39"/>
      <c r="AD17" s="39">
        <f>VFA!Y14</f>
        <v>655.97120500000005</v>
      </c>
      <c r="AE17">
        <f t="shared" si="8"/>
        <v>70.5</v>
      </c>
      <c r="AF17" s="39">
        <f>VFA!AB14</f>
        <v>70.470833333332848</v>
      </c>
      <c r="AG17" s="39">
        <f>IF(VFA!AG14&lt;=0,"",VFA!AG14)</f>
        <v>60.12</v>
      </c>
      <c r="AH17" s="39">
        <f>IF(VFA!AH14&lt;=0,"",VFA!AH14)</f>
        <v>45.85</v>
      </c>
      <c r="AI17" s="45"/>
      <c r="AJ17" s="45">
        <f>VFA!AJ14</f>
        <v>133.56493999999998</v>
      </c>
      <c r="AK17" s="45"/>
      <c r="AL17" s="45"/>
      <c r="AM17" s="45"/>
      <c r="AN17" s="45"/>
      <c r="AO17" s="38"/>
      <c r="AT17" s="38"/>
      <c r="AZ17">
        <f t="shared" si="14"/>
        <v>112.10000000000001</v>
      </c>
      <c r="BA17" s="120">
        <f>TSS_VSS!B18</f>
        <v>112.07361111111095</v>
      </c>
      <c r="BB17" s="10">
        <f>TSS_VSS!D18</f>
        <v>1441</v>
      </c>
      <c r="BC17" s="10">
        <f>TSS_VSS!E18</f>
        <v>1244</v>
      </c>
      <c r="BD17" s="10">
        <f>TSS_VSS!J18</f>
        <v>118</v>
      </c>
      <c r="BE17" s="10">
        <f>TSS_VSS!K18</f>
        <v>82</v>
      </c>
      <c r="BG17">
        <f t="shared" si="15"/>
        <v>112.10000000000001</v>
      </c>
      <c r="BH17">
        <f>SRT.HRT!B25</f>
        <v>112.07361111111095</v>
      </c>
      <c r="BI17">
        <f>SRT.HRT!P25</f>
        <v>28.025325465115259</v>
      </c>
      <c r="BJ17">
        <f>SRT.HRT!Q25</f>
        <v>9.6366666666639489</v>
      </c>
      <c r="BK17">
        <f>SRT.HRT!R25</f>
        <v>6.06488301789416</v>
      </c>
      <c r="BL17">
        <f>SRT.HRT!S25</f>
        <v>3.2428225527508278E-2</v>
      </c>
      <c r="BM17">
        <f>SRT.HRT!T25</f>
        <v>5.152613810983378E-2</v>
      </c>
      <c r="BO17">
        <f t="shared" si="16"/>
        <v>58</v>
      </c>
      <c r="BP17">
        <f>'H2 Delivery'!C15</f>
        <v>57.972222222218988</v>
      </c>
      <c r="BQ17">
        <f>'H2 Delivery'!F15</f>
        <v>0.9</v>
      </c>
      <c r="BS17">
        <f t="shared" si="17"/>
        <v>162</v>
      </c>
      <c r="BT17" s="38">
        <f>'CO2 Delivery'!M14</f>
        <v>161.97916666666424</v>
      </c>
      <c r="BU17">
        <f>'CO2 Delivery'!N14</f>
        <v>0.3</v>
      </c>
      <c r="BW17">
        <v>111.9</v>
      </c>
      <c r="BX17" s="45" t="s">
        <v>388</v>
      </c>
      <c r="BY17" s="45">
        <v>0</v>
      </c>
      <c r="BZ17">
        <v>78.900000000000006</v>
      </c>
      <c r="CA17" s="45">
        <v>349.80645975551181</v>
      </c>
      <c r="CB17" s="45">
        <v>1.7119108460022823</v>
      </c>
      <c r="CC17" s="45"/>
      <c r="CD17" s="39">
        <v>92.5</v>
      </c>
      <c r="CE17" s="45">
        <v>6007.1687616539884</v>
      </c>
      <c r="CF17" s="45">
        <v>283.80685105600469</v>
      </c>
      <c r="CG17">
        <v>58.900000000000006</v>
      </c>
      <c r="CH17" s="45">
        <v>830.07695277691528</v>
      </c>
      <c r="CI17" s="45">
        <v>105.23534887437044</v>
      </c>
      <c r="CK17">
        <f t="shared" si="18"/>
        <v>55.800000000000004</v>
      </c>
      <c r="CL17">
        <f>'Liquid Volume'!A14</f>
        <v>55.847222222218988</v>
      </c>
      <c r="CM17">
        <f>'Liquid Volume'!C14</f>
        <v>450</v>
      </c>
      <c r="CO17">
        <f t="shared" si="19"/>
        <v>145.9</v>
      </c>
      <c r="CP17">
        <f>Ammonia!F15</f>
        <v>145.90416666666715</v>
      </c>
      <c r="CQ17">
        <f>Ammonia!N15</f>
        <v>257.8</v>
      </c>
      <c r="CR17">
        <f t="shared" si="20"/>
        <v>153.80000000000001</v>
      </c>
      <c r="CS17">
        <f>Ammonia!Q15</f>
        <v>153.84722222221899</v>
      </c>
      <c r="CT17">
        <f>Ammonia!Y15</f>
        <v>286.00000000000006</v>
      </c>
      <c r="CU17">
        <f t="shared" si="21"/>
        <v>153.80000000000001</v>
      </c>
      <c r="CV17">
        <f>Ammonia!AB15</f>
        <v>153.84722222221899</v>
      </c>
      <c r="CW17">
        <f>Ammonia!AJ15</f>
        <v>272</v>
      </c>
      <c r="CY17">
        <f t="shared" si="28"/>
        <v>124.9</v>
      </c>
      <c r="CZ17">
        <f>COD!A10</f>
        <v>124.90555555555329</v>
      </c>
      <c r="DA17">
        <f>COD!I10</f>
        <v>46</v>
      </c>
      <c r="DB17">
        <f t="shared" ref="DB17:DB60" si="30">MROUND(DC17,0.5)</f>
        <v>132</v>
      </c>
      <c r="DC17">
        <f>COD!L10</f>
        <v>131.87569444444671</v>
      </c>
      <c r="DD17">
        <f>COD!T10</f>
        <v>473.75</v>
      </c>
      <c r="DE17">
        <f t="shared" si="22"/>
        <v>135</v>
      </c>
      <c r="DF17">
        <f>COD!W13</f>
        <v>135.02430555555475</v>
      </c>
      <c r="DG17">
        <f>COD!AE13</f>
        <v>666.66666666666674</v>
      </c>
      <c r="DI17" s="39">
        <f t="shared" si="23"/>
        <v>161.10000000000002</v>
      </c>
      <c r="DJ17" s="39">
        <f t="shared" si="24"/>
        <v>161.08750000000146</v>
      </c>
      <c r="DK17" s="132">
        <v>45587.616666666669</v>
      </c>
      <c r="DL17" t="s">
        <v>407</v>
      </c>
      <c r="DM17" t="s">
        <v>408</v>
      </c>
    </row>
    <row r="18" spans="1:118" ht="14.4" x14ac:dyDescent="0.3">
      <c r="A18">
        <f t="shared" si="5"/>
        <v>17.900000000000002</v>
      </c>
      <c r="B18">
        <f>GC_TCD!G21</f>
        <v>17.901388888887595</v>
      </c>
      <c r="C18">
        <f>GC_TCD!U21</f>
        <v>68.950699999999998</v>
      </c>
      <c r="D18">
        <f>GC_TCD!V21</f>
        <v>0.47665428771805091</v>
      </c>
      <c r="E18">
        <f>GC_TCD!W21</f>
        <v>30.431166666666666</v>
      </c>
      <c r="F18">
        <f>GC_TCD!X21</f>
        <v>0.5485377136836922</v>
      </c>
      <c r="G18">
        <f>GC_TCD!Y21</f>
        <v>0.61726666666666663</v>
      </c>
      <c r="H18">
        <f>GC_TCD!Z21</f>
        <v>0.12071691403168615</v>
      </c>
      <c r="I18" s="38">
        <f>GC_TCD!K21</f>
        <v>0.53110723021604955</v>
      </c>
      <c r="J18" s="42">
        <f>GC_TCD!AA21</f>
        <v>0.5171908044984419</v>
      </c>
      <c r="K18" s="42">
        <f>GC_TCD!AB21</f>
        <v>1.5015216904793474</v>
      </c>
      <c r="L18" s="105">
        <f>GC_TCD!AC21</f>
        <v>1.6039687251846921E-3</v>
      </c>
      <c r="M18" s="42">
        <f t="shared" si="0"/>
        <v>1.3000994697610928E-5</v>
      </c>
      <c r="N18">
        <f t="shared" si="1"/>
        <v>0.16162212640576307</v>
      </c>
      <c r="O18">
        <f t="shared" si="2"/>
        <v>0.36620215298457764</v>
      </c>
      <c r="P18">
        <f t="shared" si="3"/>
        <v>3.2783478963802682E-3</v>
      </c>
      <c r="Q18" t="str">
        <f t="shared" si="4"/>
        <v>Reactor Vol</v>
      </c>
      <c r="S18">
        <f t="shared" si="6"/>
        <v>61.900000000000006</v>
      </c>
      <c r="T18">
        <f>VFA!F15</f>
        <v>61.908333333332848</v>
      </c>
      <c r="U18">
        <f>VFA!K15</f>
        <v>101.47999999999999</v>
      </c>
      <c r="V18">
        <f>VFA!L15</f>
        <v>119.58403199999998</v>
      </c>
      <c r="W18" t="str">
        <f>IF(VFA!M15&lt;=0,"",VFA!M15)</f>
        <v/>
      </c>
      <c r="X18">
        <f>VFA!N15</f>
        <v>289.32938444799993</v>
      </c>
      <c r="Y18">
        <f t="shared" si="7"/>
        <v>61.900000000000006</v>
      </c>
      <c r="Z18" s="39">
        <f>VFA!Q15</f>
        <v>61.908333333332848</v>
      </c>
      <c r="AA18" s="39">
        <f>VFA!V15</f>
        <v>90.3</v>
      </c>
      <c r="AB18" s="39">
        <f>VFA!W15</f>
        <v>440.21000000000004</v>
      </c>
      <c r="AC18" s="39"/>
      <c r="AD18" s="39">
        <f>VFA!Y15</f>
        <v>762.8280400000001</v>
      </c>
      <c r="AE18">
        <f t="shared" si="8"/>
        <v>71.900000000000006</v>
      </c>
      <c r="AF18" s="39">
        <f>VFA!AB15</f>
        <v>71.924305555556202</v>
      </c>
      <c r="AG18" s="39">
        <f>IF(VFA!AG15&lt;=0,"",VFA!AG15)</f>
        <v>44.84</v>
      </c>
      <c r="AH18" s="39">
        <f>IF(VFA!AH15&lt;=0,"",VFA!AH15)</f>
        <v>20.150000000000002</v>
      </c>
      <c r="AI18" s="45"/>
      <c r="AJ18" s="45">
        <f>VFA!AJ15</f>
        <v>78.351380000000006</v>
      </c>
      <c r="AK18" s="45"/>
      <c r="AL18" s="45"/>
      <c r="AM18" s="45"/>
      <c r="AN18" s="45"/>
      <c r="AO18" s="38"/>
      <c r="AZ18">
        <f t="shared" si="14"/>
        <v>117.9</v>
      </c>
      <c r="BA18" s="120">
        <f>TSS_VSS!B19</f>
        <v>117.88263888889196</v>
      </c>
      <c r="BB18" s="10">
        <f>TSS_VSS!D19</f>
        <v>450</v>
      </c>
      <c r="BC18" s="10">
        <f>TSS_VSS!E19</f>
        <v>247</v>
      </c>
      <c r="BD18" s="10">
        <f>TSS_VSS!J19</f>
        <v>347</v>
      </c>
      <c r="BE18" s="10">
        <f>TSS_VSS!K19</f>
        <v>173</v>
      </c>
      <c r="BG18">
        <f t="shared" si="15"/>
        <v>125</v>
      </c>
      <c r="BH18">
        <f>SRT.HRT!B26</f>
        <v>125.00069444444671</v>
      </c>
      <c r="BI18">
        <f>SRT.HRT!P26</f>
        <v>10.730858005189038</v>
      </c>
      <c r="BJ18">
        <f>SRT.HRT!Q26</f>
        <v>4.5446777343758527</v>
      </c>
      <c r="BK18">
        <f>SRT.HRT!R26</f>
        <v>4.0809696192025973</v>
      </c>
      <c r="BL18">
        <f>SRT.HRT!S26</f>
        <v>6.8761751275839902E-2</v>
      </c>
      <c r="BM18">
        <f>SRT.HRT!T26</f>
        <v>7.6574939085447311E-2</v>
      </c>
      <c r="BO18">
        <f t="shared" si="16"/>
        <v>58.900000000000006</v>
      </c>
      <c r="BP18">
        <f>'H2 Delivery'!C16</f>
        <v>58.868055555554747</v>
      </c>
      <c r="BQ18">
        <f>'H2 Delivery'!F16</f>
        <v>0.88800000000000001</v>
      </c>
      <c r="BS18">
        <f t="shared" si="17"/>
        <v>168.10000000000002</v>
      </c>
      <c r="BT18" s="38">
        <f>'CO2 Delivery'!M15</f>
        <v>168.09027777777374</v>
      </c>
      <c r="BU18">
        <f>'CO2 Delivery'!N15</f>
        <v>0.33700000000000002</v>
      </c>
      <c r="BW18">
        <v>114.9</v>
      </c>
      <c r="BX18" s="45">
        <v>8.3375857184947595</v>
      </c>
      <c r="BY18" s="45">
        <v>0</v>
      </c>
      <c r="BZ18">
        <v>82.9</v>
      </c>
      <c r="CA18" s="45">
        <v>326.29935771268538</v>
      </c>
      <c r="CB18" s="45">
        <v>0</v>
      </c>
      <c r="CC18" s="45"/>
      <c r="CD18" s="39">
        <v>96.5</v>
      </c>
      <c r="CE18" s="45">
        <v>3684.8460539768225</v>
      </c>
      <c r="CF18" s="45">
        <v>166.37691302380284</v>
      </c>
      <c r="CG18">
        <v>75.900000000000006</v>
      </c>
      <c r="CH18" s="45">
        <v>40.035720422210517</v>
      </c>
      <c r="CI18" s="45">
        <v>33.92909373943197</v>
      </c>
      <c r="CK18">
        <f t="shared" si="18"/>
        <v>56</v>
      </c>
      <c r="CL18">
        <f>'Liquid Volume'!A15</f>
        <v>55.997222222220444</v>
      </c>
      <c r="CM18">
        <f>'Liquid Volume'!C15</f>
        <v>450</v>
      </c>
      <c r="CO18">
        <f t="shared" si="19"/>
        <v>153.80000000000001</v>
      </c>
      <c r="CP18">
        <f>Ammonia!F16</f>
        <v>153.84722222221899</v>
      </c>
      <c r="CQ18">
        <f>Ammonia!N16</f>
        <v>276.00000000000006</v>
      </c>
      <c r="CR18">
        <f t="shared" si="20"/>
        <v>159.9</v>
      </c>
      <c r="CS18">
        <f>Ammonia!Q16</f>
        <v>159.92152777777665</v>
      </c>
      <c r="CT18">
        <f>Ammonia!Y16</f>
        <v>297.2</v>
      </c>
      <c r="CU18">
        <f t="shared" si="21"/>
        <v>159.9</v>
      </c>
      <c r="CV18">
        <f>Ammonia!AB16</f>
        <v>159.92152777777665</v>
      </c>
      <c r="CW18">
        <f>Ammonia!AJ16</f>
        <v>308.60000000000002</v>
      </c>
      <c r="CY18">
        <f t="shared" si="28"/>
        <v>131.9</v>
      </c>
      <c r="CZ18">
        <f>COD!A11</f>
        <v>131.87569444444671</v>
      </c>
      <c r="DA18">
        <f>COD!I11</f>
        <v>458.75</v>
      </c>
      <c r="DB18">
        <f t="shared" si="30"/>
        <v>135</v>
      </c>
      <c r="DC18">
        <f>COD!L11</f>
        <v>135.02430555555475</v>
      </c>
      <c r="DD18">
        <f>COD!T11</f>
        <v>180</v>
      </c>
      <c r="DE18">
        <f t="shared" si="22"/>
        <v>138.9</v>
      </c>
      <c r="DF18">
        <f>COD!W14</f>
        <v>138.9020833333343</v>
      </c>
      <c r="DG18">
        <f>COD!AE14</f>
        <v>826</v>
      </c>
      <c r="DI18" s="39">
        <f t="shared" si="23"/>
        <v>161.10000000000002</v>
      </c>
      <c r="DJ18" s="39">
        <f t="shared" si="24"/>
        <v>161.08750000000146</v>
      </c>
      <c r="DK18" s="132">
        <v>45587.616666666669</v>
      </c>
      <c r="DL18" t="s">
        <v>409</v>
      </c>
      <c r="DM18" t="s">
        <v>408</v>
      </c>
    </row>
    <row r="19" spans="1:118" ht="14.4" x14ac:dyDescent="0.3">
      <c r="A19">
        <f t="shared" si="5"/>
        <v>23.200000000000003</v>
      </c>
      <c r="B19">
        <f>GC_TCD!G22</f>
        <v>23.198611111110949</v>
      </c>
      <c r="C19">
        <f>GC_TCD!U22</f>
        <v>58.7181</v>
      </c>
      <c r="D19">
        <f>GC_TCD!V22</f>
        <v>1.1902520741423089E-2</v>
      </c>
      <c r="E19">
        <f>GC_TCD!W22</f>
        <v>40.495633333333338</v>
      </c>
      <c r="F19">
        <f>GC_TCD!X22</f>
        <v>9.2358775074885824E-2</v>
      </c>
      <c r="G19">
        <f>GC_TCD!Y22</f>
        <v>0.78633333333333333</v>
      </c>
      <c r="H19">
        <f>GC_TCD!Z22</f>
        <v>9.2984371446675568E-2</v>
      </c>
      <c r="I19" s="38">
        <f>GC_TCD!K22</f>
        <v>0.40641313581533012</v>
      </c>
      <c r="J19" s="42">
        <f>GC_TCD!AA22</f>
        <v>0.52665463455449002</v>
      </c>
      <c r="K19" s="42">
        <f>GC_TCD!AB22</f>
        <v>1.5289973261259386</v>
      </c>
      <c r="L19" s="105">
        <f>GC_TCD!AC22</f>
        <v>1.6333189906927669E-3</v>
      </c>
      <c r="M19" s="42">
        <f t="shared" si="0"/>
        <v>1.0215895443672151E-5</v>
      </c>
      <c r="N19">
        <f t="shared" si="1"/>
        <v>0.1645795732982781</v>
      </c>
      <c r="O19">
        <f t="shared" si="2"/>
        <v>0.23863807150118133</v>
      </c>
      <c r="P19">
        <f t="shared" si="3"/>
        <v>3.1957619579612122E-3</v>
      </c>
      <c r="Q19" t="str">
        <f t="shared" si="4"/>
        <v>Reactor Vol</v>
      </c>
      <c r="S19">
        <f t="shared" si="6"/>
        <v>64.900000000000006</v>
      </c>
      <c r="T19">
        <f>VFA!F16</f>
        <v>64.88749999999709</v>
      </c>
      <c r="U19">
        <f>VFA!K16</f>
        <v>130.98000000000002</v>
      </c>
      <c r="V19">
        <f>VFA!L16</f>
        <v>158.90493599999999</v>
      </c>
      <c r="W19" t="str">
        <f>IF(VFA!M16&lt;=0,"",VFA!M16)</f>
        <v/>
      </c>
      <c r="X19">
        <f>VFA!N16</f>
        <v>380.33773310399999</v>
      </c>
      <c r="Y19">
        <f t="shared" si="7"/>
        <v>64.900000000000006</v>
      </c>
      <c r="Z19" s="39">
        <f>VFA!Q16</f>
        <v>64.88749999999709</v>
      </c>
      <c r="AA19" s="39">
        <f>VFA!V16</f>
        <v>124.06</v>
      </c>
      <c r="AB19" s="39">
        <f>VFA!W16</f>
        <v>458.6</v>
      </c>
      <c r="AC19" s="39"/>
      <c r="AD19" s="39">
        <f>VFA!Y16</f>
        <v>826.69242000000008</v>
      </c>
      <c r="AE19">
        <f t="shared" si="8"/>
        <v>72.900000000000006</v>
      </c>
      <c r="AF19" s="39">
        <f>VFA!AB16</f>
        <v>72.909027777779556</v>
      </c>
      <c r="AG19" s="39">
        <f>IF(VFA!AG16&lt;=0,"",VFA!AG16)</f>
        <v>330.27</v>
      </c>
      <c r="AH19" s="39">
        <f>IF(VFA!AH16&lt;=0,"",VFA!AH16)</f>
        <v>48.7</v>
      </c>
      <c r="AI19" s="45"/>
      <c r="AJ19" s="45">
        <f>VFA!AJ16</f>
        <v>426.12988999999999</v>
      </c>
      <c r="AK19" s="45"/>
      <c r="AL19" s="45"/>
      <c r="AM19" s="45"/>
      <c r="AN19" s="45"/>
      <c r="AO19" s="45"/>
      <c r="AZ19">
        <f t="shared" si="14"/>
        <v>125</v>
      </c>
      <c r="BA19" s="120">
        <f>TSS_VSS!B20</f>
        <v>125.00069444444671</v>
      </c>
      <c r="BB19" s="10">
        <f>TSS_VSS!D20</f>
        <v>404</v>
      </c>
      <c r="BC19" s="10">
        <f>TSS_VSS!E20</f>
        <v>302</v>
      </c>
      <c r="BD19" s="10">
        <f>TSS_VSS!J20</f>
        <v>132</v>
      </c>
      <c r="BE19" s="10">
        <f>TSS_VSS!K20</f>
        <v>99</v>
      </c>
      <c r="BG19">
        <f t="shared" si="15"/>
        <v>132</v>
      </c>
      <c r="BH19">
        <f>SRT.HRT!B27</f>
        <v>131.99722222222044</v>
      </c>
      <c r="BI19">
        <f>SRT.HRT!P27</f>
        <v>22.37993391028547</v>
      </c>
      <c r="BJ19">
        <f>SRT.HRT!Q27</f>
        <v>4.0133046526426783</v>
      </c>
      <c r="BK19">
        <f>SRT.HRT!R27</f>
        <v>3.7771642058281323</v>
      </c>
      <c r="BL19">
        <f>SRT.HRT!S27</f>
        <v>7.7866004962824142E-2</v>
      </c>
      <c r="BM19">
        <f>SRT.HRT!T27</f>
        <v>8.2734025573422298E-2</v>
      </c>
      <c r="BO19">
        <f t="shared" si="16"/>
        <v>65</v>
      </c>
      <c r="BP19">
        <f>'H2 Delivery'!C17</f>
        <v>65.022916666661331</v>
      </c>
      <c r="BQ19">
        <f>'H2 Delivery'!F17</f>
        <v>0.98799999999999999</v>
      </c>
      <c r="BS19">
        <f t="shared" si="17"/>
        <v>170</v>
      </c>
      <c r="BT19" s="38">
        <f>'CO2 Delivery'!M16</f>
        <v>169.95763888888905</v>
      </c>
      <c r="BU19">
        <f>'CO2 Delivery'!N16</f>
        <v>0.33700000000000002</v>
      </c>
      <c r="BW19">
        <v>117.9</v>
      </c>
      <c r="BX19" s="45">
        <v>1.7384777829744724</v>
      </c>
      <c r="BY19" s="45">
        <v>0</v>
      </c>
      <c r="BZ19">
        <v>85.9</v>
      </c>
      <c r="CA19" s="45">
        <v>305.46227652836205</v>
      </c>
      <c r="CB19" s="45">
        <v>26.489191541897505</v>
      </c>
      <c r="CC19" s="45"/>
      <c r="CD19" s="39">
        <v>103.5</v>
      </c>
      <c r="CE19" s="45">
        <v>3754.5832587005002</v>
      </c>
      <c r="CF19" s="45">
        <v>307.83816161353622</v>
      </c>
      <c r="CG19">
        <v>78.900000000000006</v>
      </c>
      <c r="CH19" s="45">
        <v>1072.6458843230089</v>
      </c>
      <c r="CI19" s="45">
        <v>63.842614615241679</v>
      </c>
      <c r="CK19">
        <f t="shared" si="18"/>
        <v>56</v>
      </c>
      <c r="CL19">
        <f>'Liquid Volume'!A16</f>
        <v>56.022222222221899</v>
      </c>
      <c r="CM19">
        <f>'Liquid Volume'!C16</f>
        <v>450</v>
      </c>
      <c r="CO19">
        <f t="shared" si="19"/>
        <v>159.9</v>
      </c>
      <c r="CP19">
        <f>Ammonia!F17</f>
        <v>159.92152777777665</v>
      </c>
      <c r="CQ19">
        <f>Ammonia!N17</f>
        <v>283</v>
      </c>
      <c r="CR19">
        <f t="shared" si="20"/>
        <v>166.5</v>
      </c>
      <c r="CS19">
        <f>Ammonia!Q17</f>
        <v>166.47083333333285</v>
      </c>
      <c r="CT19">
        <f>Ammonia!Y17</f>
        <v>297.8</v>
      </c>
      <c r="CU19">
        <f t="shared" si="21"/>
        <v>166.5</v>
      </c>
      <c r="CV19">
        <f>Ammonia!AB17</f>
        <v>166.47083333333285</v>
      </c>
      <c r="CW19">
        <f>Ammonia!AJ17</f>
        <v>320.79999999999995</v>
      </c>
      <c r="CY19">
        <f t="shared" si="28"/>
        <v>135</v>
      </c>
      <c r="CZ19">
        <f>COD!A12</f>
        <v>135.02430555555475</v>
      </c>
      <c r="DA19">
        <f>COD!I12</f>
        <v>481.66666666666663</v>
      </c>
      <c r="DB19">
        <f t="shared" si="30"/>
        <v>135</v>
      </c>
      <c r="DC19">
        <f>COD!L12</f>
        <v>135.02430555555475</v>
      </c>
      <c r="DD19">
        <f>COD!T12</f>
        <v>500</v>
      </c>
      <c r="DE19">
        <f t="shared" si="22"/>
        <v>141.9</v>
      </c>
      <c r="DF19">
        <f>COD!W15</f>
        <v>141.92638888888905</v>
      </c>
      <c r="DG19">
        <f>COD!AE15</f>
        <v>340</v>
      </c>
      <c r="DI19" s="39">
        <f t="shared" si="23"/>
        <v>181.9</v>
      </c>
      <c r="DJ19" s="39">
        <f t="shared" si="24"/>
        <v>181.9465277777781</v>
      </c>
      <c r="DK19" s="132">
        <v>45608.475694444445</v>
      </c>
      <c r="DL19" t="s">
        <v>410</v>
      </c>
      <c r="DM19" t="s">
        <v>411</v>
      </c>
    </row>
    <row r="20" spans="1:118" ht="14.4" x14ac:dyDescent="0.3">
      <c r="A20">
        <f t="shared" si="5"/>
        <v>24</v>
      </c>
      <c r="B20">
        <f>GC_TCD!G23</f>
        <v>23.995138888887595</v>
      </c>
      <c r="C20">
        <f>GC_TCD!U23</f>
        <v>0</v>
      </c>
      <c r="D20">
        <f>GC_TCD!V23</f>
        <v>0</v>
      </c>
      <c r="E20">
        <f>GC_TCD!W23</f>
        <v>88.412199999999984</v>
      </c>
      <c r="F20">
        <f>GC_TCD!X23</f>
        <v>0.51339003691151042</v>
      </c>
      <c r="G20">
        <f>GC_TCD!Y23</f>
        <v>11.587800000000001</v>
      </c>
      <c r="H20">
        <f>GC_TCD!Z23</f>
        <v>0.5133900369115082</v>
      </c>
      <c r="I20" s="38">
        <f>GC_TCD!K23</f>
        <v>0.95192327811817912</v>
      </c>
      <c r="J20" s="42">
        <f>GC_TCD!AA23</f>
        <v>2.6931721999884823</v>
      </c>
      <c r="K20" s="42">
        <f>GC_TCD!AB23</f>
        <v>7.8188870322246267</v>
      </c>
      <c r="L20" s="105">
        <f>GC_TCD!AC23</f>
        <v>8.3523603721214132E-3</v>
      </c>
      <c r="M20" s="42">
        <f t="shared" si="0"/>
        <v>5.0507208797865041E-5</v>
      </c>
      <c r="N20">
        <f t="shared" si="1"/>
        <v>0.84161631249640068</v>
      </c>
      <c r="O20">
        <f t="shared" si="2"/>
        <v>0</v>
      </c>
      <c r="P20">
        <f t="shared" si="3"/>
        <v>0.11030696562177837</v>
      </c>
      <c r="Q20" t="str">
        <f t="shared" si="4"/>
        <v>Reactor Vol</v>
      </c>
      <c r="S20">
        <f t="shared" si="6"/>
        <v>65.5</v>
      </c>
      <c r="T20">
        <f>VFA!F17</f>
        <v>65.470833333332848</v>
      </c>
      <c r="U20">
        <f>VFA!K17</f>
        <v>82.300000000000011</v>
      </c>
      <c r="V20">
        <f>VFA!L17</f>
        <v>382.29996</v>
      </c>
      <c r="W20" t="str">
        <f>IF(VFA!M17&lt;=0,"",VFA!M17)</f>
        <v/>
      </c>
      <c r="X20">
        <f>VFA!N17</f>
        <v>666.61623944000007</v>
      </c>
      <c r="Y20">
        <f t="shared" si="7"/>
        <v>65.5</v>
      </c>
      <c r="Z20" s="39">
        <f>VFA!Q17</f>
        <v>65.470833333332848</v>
      </c>
      <c r="AA20" s="39">
        <f>VFA!V17</f>
        <v>96.649999999999991</v>
      </c>
      <c r="AB20" s="39">
        <f>VFA!W17</f>
        <v>461.38</v>
      </c>
      <c r="AC20" s="39"/>
      <c r="AD20" s="39">
        <f>VFA!Y17</f>
        <v>801.65486999999996</v>
      </c>
      <c r="AE20">
        <f t="shared" si="8"/>
        <v>73.8</v>
      </c>
      <c r="AF20" s="39">
        <f>VFA!AB17</f>
        <v>73.845833333332848</v>
      </c>
      <c r="AG20" s="39">
        <f>IF(VFA!AG17&lt;=0,"",VFA!AG17)</f>
        <v>41.155000000000001</v>
      </c>
      <c r="AH20" s="39">
        <f>IF(VFA!AH17&lt;=0,"",VFA!AH17)</f>
        <v>24.81</v>
      </c>
      <c r="AI20" s="45"/>
      <c r="AJ20" s="45">
        <f>VFA!AJ17</f>
        <v>81.474725000000007</v>
      </c>
      <c r="AK20" s="45"/>
      <c r="AL20" s="45"/>
      <c r="AM20" s="45"/>
      <c r="AN20" s="45"/>
      <c r="AO20" s="45"/>
      <c r="AZ20">
        <f t="shared" si="14"/>
        <v>132</v>
      </c>
      <c r="BA20" s="120">
        <f>TSS_VSS!B21</f>
        <v>131.99722222222044</v>
      </c>
      <c r="BB20" s="10">
        <f>TSS_VSS!D21</f>
        <v>662</v>
      </c>
      <c r="BC20" s="10">
        <f>TSS_VSS!E21</f>
        <v>544</v>
      </c>
      <c r="BD20" s="10">
        <f>TSS_VSS!J21</f>
        <v>54</v>
      </c>
      <c r="BE20" s="10">
        <f>TSS_VSS!K21</f>
        <v>34</v>
      </c>
      <c r="BG20">
        <f t="shared" si="15"/>
        <v>139</v>
      </c>
      <c r="BH20">
        <f>SRT.HRT!B28</f>
        <v>138.95763888888905</v>
      </c>
      <c r="BI20">
        <f>SRT.HRT!P28</f>
        <v>15.741217710327033</v>
      </c>
      <c r="BJ20">
        <f>SRT.HRT!Q28</f>
        <v>3.6849264705892626</v>
      </c>
      <c r="BK20">
        <f>SRT.HRT!R28</f>
        <v>3.5173066919182592</v>
      </c>
      <c r="BL20">
        <f>SRT.HRT!S28</f>
        <v>8.4804948618154546E-2</v>
      </c>
      <c r="BM20">
        <f>SRT.HRT!T28</f>
        <v>8.8846389403014939E-2</v>
      </c>
      <c r="BO20">
        <f t="shared" si="16"/>
        <v>70.8</v>
      </c>
      <c r="BP20">
        <f>'H2 Delivery'!C18</f>
        <v>70.849305555551837</v>
      </c>
      <c r="BQ20">
        <f>'H2 Delivery'!F18</f>
        <v>1.2</v>
      </c>
      <c r="BS20">
        <f t="shared" si="17"/>
        <v>170.10000000000002</v>
      </c>
      <c r="BT20" s="38">
        <f>'CO2 Delivery'!M17</f>
        <v>170.1291666666657</v>
      </c>
      <c r="BU20">
        <f>'CO2 Delivery'!N17</f>
        <v>0.33700000000000002</v>
      </c>
      <c r="BW20">
        <v>121</v>
      </c>
      <c r="BX20" s="45">
        <v>16.597360848800509</v>
      </c>
      <c r="BY20" s="45">
        <v>0</v>
      </c>
      <c r="BZ20">
        <v>89.9</v>
      </c>
      <c r="CA20" s="45">
        <v>275.10547841806118</v>
      </c>
      <c r="CB20" s="45">
        <v>31.253260803837861</v>
      </c>
      <c r="CC20" s="45"/>
      <c r="CD20" s="39">
        <v>106.5</v>
      </c>
      <c r="CE20" s="45">
        <v>3866.4901589370666</v>
      </c>
      <c r="CF20" s="45">
        <v>70.68283400149086</v>
      </c>
      <c r="CG20">
        <v>82.9</v>
      </c>
      <c r="CH20" s="45">
        <v>1000.9824083680322</v>
      </c>
      <c r="CI20" s="45">
        <v>1.371913570115763</v>
      </c>
      <c r="CK20">
        <f t="shared" si="18"/>
        <v>58.900000000000006</v>
      </c>
      <c r="CL20">
        <f>'Liquid Volume'!A17</f>
        <v>58.868750000001455</v>
      </c>
      <c r="CM20">
        <f>'Liquid Volume'!C17</f>
        <v>450</v>
      </c>
      <c r="CO20">
        <f t="shared" si="19"/>
        <v>166.5</v>
      </c>
      <c r="CP20">
        <f>Ammonia!F18</f>
        <v>166.47083333333285</v>
      </c>
      <c r="CQ20">
        <f>Ammonia!N18</f>
        <v>291</v>
      </c>
      <c r="CR20">
        <f t="shared" si="20"/>
        <v>173.9</v>
      </c>
      <c r="CS20">
        <f>Ammonia!Q18</f>
        <v>173.93402777777374</v>
      </c>
      <c r="CT20">
        <f>Ammonia!Y18</f>
        <v>311.60000000000002</v>
      </c>
      <c r="CU20">
        <f t="shared" si="21"/>
        <v>180.9</v>
      </c>
      <c r="CV20">
        <f>Ammonia!AB18</f>
        <v>180.8930555555562</v>
      </c>
      <c r="CW20">
        <f>Ammonia!AJ18</f>
        <v>295</v>
      </c>
      <c r="CY20">
        <f t="shared" si="28"/>
        <v>138.9</v>
      </c>
      <c r="CZ20">
        <f>COD!A13</f>
        <v>138.9020833333343</v>
      </c>
      <c r="DA20">
        <f>COD!I13</f>
        <v>966</v>
      </c>
      <c r="DB20">
        <f t="shared" si="30"/>
        <v>139</v>
      </c>
      <c r="DC20">
        <f>COD!L13</f>
        <v>138.9020833333343</v>
      </c>
      <c r="DD20">
        <f>COD!T13</f>
        <v>936</v>
      </c>
      <c r="DE20">
        <f t="shared" si="22"/>
        <v>145.9</v>
      </c>
      <c r="DF20">
        <f>COD!W16</f>
        <v>145.90416666666715</v>
      </c>
      <c r="DG20">
        <f>COD!AE16</f>
        <v>510</v>
      </c>
      <c r="DI20" s="39">
        <f t="shared" si="23"/>
        <v>189.10000000000002</v>
      </c>
      <c r="DJ20" s="39">
        <f t="shared" si="24"/>
        <v>189.07499999999709</v>
      </c>
      <c r="DK20" s="132">
        <v>45615.604166666664</v>
      </c>
      <c r="DL20" t="s">
        <v>412</v>
      </c>
      <c r="DM20" t="s">
        <v>413</v>
      </c>
    </row>
    <row r="21" spans="1:118" ht="14.4" x14ac:dyDescent="0.3">
      <c r="A21">
        <f t="shared" si="5"/>
        <v>26.900000000000002</v>
      </c>
      <c r="B21">
        <f>GC_TCD!G24</f>
        <v>26.858333333329938</v>
      </c>
      <c r="C21">
        <f>GC_TCD!U24</f>
        <v>46.269433333333332</v>
      </c>
      <c r="D21">
        <f>GC_TCD!V24</f>
        <v>0.15852146016654589</v>
      </c>
      <c r="E21">
        <f>GC_TCD!W24</f>
        <v>49.019033333333333</v>
      </c>
      <c r="F21">
        <f>GC_TCD!X24</f>
        <v>0.11620285423918504</v>
      </c>
      <c r="G21">
        <f>GC_TCD!Y24</f>
        <v>4.7115333333333336</v>
      </c>
      <c r="H21">
        <f>GC_TCD!Z24</f>
        <v>5.0667971474426671E-2</v>
      </c>
      <c r="I21" s="38">
        <f>GC_TCD!K24</f>
        <v>0.69234797477615739</v>
      </c>
      <c r="J21" s="42">
        <f>GC_TCD!AA24</f>
        <v>1.086023310522185</v>
      </c>
      <c r="K21" s="42">
        <f>GC_TCD!AB24</f>
        <v>3.1529709015160212</v>
      </c>
      <c r="L21" s="105">
        <f>GC_TCD!AC24</f>
        <v>3.3680943468985753E-3</v>
      </c>
      <c r="M21" s="42">
        <f t="shared" si="0"/>
        <v>1.819586061688036E-5</v>
      </c>
      <c r="N21">
        <f t="shared" si="1"/>
        <v>0.33938228453818281</v>
      </c>
      <c r="O21">
        <f t="shared" si="2"/>
        <v>0.32034548462373763</v>
      </c>
      <c r="P21">
        <f t="shared" si="3"/>
        <v>3.2620205614236918E-2</v>
      </c>
      <c r="Q21" t="str">
        <f t="shared" si="4"/>
        <v>Reactor Vol</v>
      </c>
      <c r="S21">
        <f t="shared" si="6"/>
        <v>68.900000000000006</v>
      </c>
      <c r="T21">
        <f>VFA!F18</f>
        <v>68.88749999999709</v>
      </c>
      <c r="U21">
        <f>VFA!K18</f>
        <v>37.58</v>
      </c>
      <c r="V21">
        <f>VFA!L18</f>
        <v>49.201614999999997</v>
      </c>
      <c r="W21" t="str">
        <f>IF(VFA!M18&lt;=0,"",VFA!M18)</f>
        <v/>
      </c>
      <c r="X21">
        <f>VFA!N18</f>
        <v>114.58910510999999</v>
      </c>
      <c r="Y21">
        <f t="shared" si="7"/>
        <v>68.900000000000006</v>
      </c>
      <c r="Z21" s="39">
        <f>VFA!Q18</f>
        <v>68.88749999999709</v>
      </c>
      <c r="AA21" s="39">
        <f>VFA!V18</f>
        <v>40.08</v>
      </c>
      <c r="AB21" s="39">
        <f>VFA!W18</f>
        <v>484.28</v>
      </c>
      <c r="AC21" s="39"/>
      <c r="AD21" s="39">
        <f>VFA!Y18</f>
        <v>775.96528000000001</v>
      </c>
      <c r="AE21">
        <f t="shared" si="8"/>
        <v>75.900000000000006</v>
      </c>
      <c r="AF21" s="39">
        <f>VFA!AB18</f>
        <v>75.870833333334303</v>
      </c>
      <c r="AG21" s="39">
        <f>IF(VFA!AG18&lt;=0,"",VFA!AG18)</f>
        <v>758.58</v>
      </c>
      <c r="AH21" s="39">
        <f>IF(VFA!AH18&lt;=0,"",VFA!AH18)</f>
        <v>186.1</v>
      </c>
      <c r="AI21" s="45"/>
      <c r="AJ21" s="45">
        <f>VFA!AJ18</f>
        <v>1091.1602600000001</v>
      </c>
      <c r="AK21" s="45"/>
      <c r="AL21" s="45"/>
      <c r="AM21" s="45"/>
      <c r="AN21" s="45"/>
      <c r="AO21" s="45"/>
      <c r="AZ21">
        <f t="shared" si="14"/>
        <v>139</v>
      </c>
      <c r="BA21" s="120">
        <f>TSS_VSS!B22</f>
        <v>138.95763888888905</v>
      </c>
      <c r="BB21" s="10">
        <f>TSS_VSS!D22</f>
        <v>300</v>
      </c>
      <c r="BC21" s="10">
        <f>TSS_VSS!E22</f>
        <v>220</v>
      </c>
      <c r="BD21" s="10">
        <f>TSS_VSS!J22</f>
        <v>42</v>
      </c>
      <c r="BE21" s="10">
        <f>TSS_VSS!K22</f>
        <v>33</v>
      </c>
      <c r="BG21">
        <f t="shared" si="15"/>
        <v>146</v>
      </c>
      <c r="BH21">
        <f>SRT.HRT!B29</f>
        <v>145.9819444444438</v>
      </c>
      <c r="BI21">
        <f>SRT.HRT!P29</f>
        <v>9.2488939784912372</v>
      </c>
      <c r="BJ21">
        <f>SRT.HRT!Q29</f>
        <v>3.6332614942524555</v>
      </c>
      <c r="BK21">
        <f>SRT.HRT!R29</f>
        <v>3.2716521551589413</v>
      </c>
      <c r="BL21">
        <f>SRT.HRT!S29</f>
        <v>8.6010874938220475E-2</v>
      </c>
      <c r="BM21">
        <f>SRT.HRT!T29</f>
        <v>9.5517489384447818E-2</v>
      </c>
      <c r="BO21">
        <f t="shared" si="16"/>
        <v>72.2</v>
      </c>
      <c r="BP21">
        <f>'H2 Delivery'!C19</f>
        <v>72.151388888887595</v>
      </c>
      <c r="BQ21">
        <f>'H2 Delivery'!F19</f>
        <v>1.3</v>
      </c>
      <c r="BS21">
        <f t="shared" si="17"/>
        <v>197.20000000000002</v>
      </c>
      <c r="BT21" s="38">
        <f>'CO2 Delivery'!M18</f>
        <v>197.15486111110658</v>
      </c>
      <c r="BU21">
        <f>'CO2 Delivery'!N18</f>
        <v>0.37</v>
      </c>
      <c r="BW21">
        <v>124.9</v>
      </c>
      <c r="BX21" s="45" t="s">
        <v>388</v>
      </c>
      <c r="BY21" s="45">
        <v>0</v>
      </c>
      <c r="BZ21">
        <v>103.9</v>
      </c>
      <c r="CA21" s="45">
        <v>219.1129562840743</v>
      </c>
      <c r="CB21" s="45">
        <v>0</v>
      </c>
      <c r="CC21" s="45"/>
      <c r="CD21" s="39">
        <v>111.5</v>
      </c>
      <c r="CE21" s="45">
        <v>3722.7064714783933</v>
      </c>
      <c r="CF21" s="45">
        <v>240.37562465134224</v>
      </c>
      <c r="CG21">
        <v>85.9</v>
      </c>
      <c r="CH21" s="45">
        <v>936.66925896310704</v>
      </c>
      <c r="CI21" s="45">
        <v>0</v>
      </c>
      <c r="CK21">
        <f t="shared" si="18"/>
        <v>61.900000000000006</v>
      </c>
      <c r="CL21">
        <f>'Liquid Volume'!A18</f>
        <v>61.908333333332848</v>
      </c>
      <c r="CM21">
        <f>'Liquid Volume'!C18</f>
        <v>450</v>
      </c>
      <c r="CO21">
        <f t="shared" si="19"/>
        <v>173.9</v>
      </c>
      <c r="CP21">
        <f>Ammonia!F19</f>
        <v>173.93402777777374</v>
      </c>
      <c r="CQ21">
        <f>Ammonia!N19</f>
        <v>296.8</v>
      </c>
      <c r="CR21">
        <f t="shared" si="20"/>
        <v>180.9</v>
      </c>
      <c r="CS21">
        <f>Ammonia!Q19</f>
        <v>180.8930555555562</v>
      </c>
      <c r="CT21">
        <f>Ammonia!Y19</f>
        <v>294.5</v>
      </c>
      <c r="CU21">
        <f t="shared" si="21"/>
        <v>187.8</v>
      </c>
      <c r="CV21">
        <f>Ammonia!AB19</f>
        <v>187.80555555555475</v>
      </c>
      <c r="CW21">
        <f>Ammonia!AJ19</f>
        <v>270.2</v>
      </c>
      <c r="CY21">
        <f t="shared" si="28"/>
        <v>141.9</v>
      </c>
      <c r="CZ21">
        <f>COD!A14</f>
        <v>141.92638888888905</v>
      </c>
      <c r="DA21">
        <f>COD!I14</f>
        <v>330</v>
      </c>
      <c r="DB21">
        <f t="shared" si="30"/>
        <v>142</v>
      </c>
      <c r="DC21">
        <f>COD!L14</f>
        <v>141.92638888888905</v>
      </c>
      <c r="DD21">
        <f>COD!T14</f>
        <v>390</v>
      </c>
      <c r="DE21">
        <f t="shared" si="22"/>
        <v>148.80000000000001</v>
      </c>
      <c r="DF21">
        <f>COD!W17</f>
        <v>148.84166666666715</v>
      </c>
      <c r="DG21">
        <f>COD!AE17</f>
        <v>440</v>
      </c>
      <c r="DI21" s="39">
        <f t="shared" si="23"/>
        <v>209.9</v>
      </c>
      <c r="DJ21" s="39">
        <f t="shared" si="24"/>
        <v>209.94999999999709</v>
      </c>
      <c r="DK21" s="132">
        <v>45636.479166666664</v>
      </c>
      <c r="DL21" t="s">
        <v>414</v>
      </c>
      <c r="DM21" t="s">
        <v>415</v>
      </c>
    </row>
    <row r="22" spans="1:118" ht="14.4" x14ac:dyDescent="0.3">
      <c r="A22">
        <f t="shared" si="5"/>
        <v>27.900000000000002</v>
      </c>
      <c r="B22">
        <f>GC_TCD!G25</f>
        <v>27.945833333331393</v>
      </c>
      <c r="C22">
        <f>GC_TCD!U25</f>
        <v>84.932399999999987</v>
      </c>
      <c r="D22">
        <f>GC_TCD!V25</f>
        <v>0.10500290472172571</v>
      </c>
      <c r="E22">
        <f>GC_TCD!W25</f>
        <v>14.133866666666668</v>
      </c>
      <c r="F22">
        <f>GC_TCD!X25</f>
        <v>0.16197173621756694</v>
      </c>
      <c r="G22">
        <f>GC_TCD!Y25</f>
        <v>0.93376666666666674</v>
      </c>
      <c r="H22">
        <f>GC_TCD!Z25</f>
        <v>0.22016403732974449</v>
      </c>
      <c r="I22" s="38">
        <f>GC_TCD!K25</f>
        <v>0.66741711366449596</v>
      </c>
      <c r="J22" s="42">
        <f>GC_TCD!AA25</f>
        <v>0.30186190385873596</v>
      </c>
      <c r="K22" s="42">
        <f>GC_TCD!AB25</f>
        <v>0.87637326926729797</v>
      </c>
      <c r="L22" s="105">
        <f>GC_TCD!AC25</f>
        <v>9.3616717254604528E-4</v>
      </c>
      <c r="M22" s="42">
        <f t="shared" si="0"/>
        <v>4.8607552731095493E-6</v>
      </c>
      <c r="N22">
        <f t="shared" si="1"/>
        <v>9.433184495585499E-2</v>
      </c>
      <c r="O22">
        <f t="shared" si="2"/>
        <v>0.56685337264598423</v>
      </c>
      <c r="P22">
        <f t="shared" si="3"/>
        <v>6.2321185350278415E-3</v>
      </c>
      <c r="Q22" t="str">
        <f t="shared" si="4"/>
        <v>Reactor Vol</v>
      </c>
      <c r="S22">
        <f t="shared" si="6"/>
        <v>70.100000000000009</v>
      </c>
      <c r="T22">
        <f>VFA!F19</f>
        <v>70.111111111109494</v>
      </c>
      <c r="U22">
        <f>VFA!K19</f>
        <v>57.26</v>
      </c>
      <c r="V22">
        <f>VFA!L19</f>
        <v>158.89077399999999</v>
      </c>
      <c r="W22" t="str">
        <f>IF(VFA!M19&lt;=0,"",VFA!M19)</f>
        <v/>
      </c>
      <c r="X22">
        <f>VFA!N19</f>
        <v>301.65705183599999</v>
      </c>
      <c r="Y22">
        <f t="shared" si="7"/>
        <v>71.900000000000006</v>
      </c>
      <c r="Z22" s="39">
        <f>VFA!Q19</f>
        <v>71.924305555556202</v>
      </c>
      <c r="AA22" s="39">
        <f>VFA!V19</f>
        <v>23.97</v>
      </c>
      <c r="AB22" s="39">
        <f>VFA!W19</f>
        <v>436</v>
      </c>
      <c r="AC22" s="39"/>
      <c r="AD22" s="39">
        <f>VFA!Y19</f>
        <v>685.67999000000009</v>
      </c>
      <c r="AE22">
        <f t="shared" si="8"/>
        <v>76.900000000000006</v>
      </c>
      <c r="AF22" s="39">
        <f>VFA!AB19</f>
        <v>76.86250000000291</v>
      </c>
      <c r="AG22" s="39">
        <f>IF(VFA!AG19&lt;=0,"",VFA!AG19)</f>
        <v>796.61</v>
      </c>
      <c r="AH22" s="39">
        <f>IF(VFA!AH19&lt;=0,"",VFA!AH19)</f>
        <v>204.17500000000001</v>
      </c>
      <c r="AI22" s="45"/>
      <c r="AJ22" s="45">
        <f>VFA!AJ19</f>
        <v>1159.1038199999998</v>
      </c>
      <c r="AK22" s="45"/>
      <c r="AL22" s="45"/>
      <c r="AM22" s="45"/>
      <c r="AN22" s="45"/>
      <c r="AO22" s="45"/>
      <c r="AZ22">
        <f t="shared" si="14"/>
        <v>146</v>
      </c>
      <c r="BA22" s="120">
        <f>TSS_VSS!B23</f>
        <v>145.9819444444438</v>
      </c>
      <c r="BB22" s="10">
        <f>TSS_VSS!D23</f>
        <v>271</v>
      </c>
      <c r="BC22" s="10">
        <f>TSS_VSS!E23</f>
        <v>209</v>
      </c>
      <c r="BD22" s="10">
        <f>TSS_VSS!J23</f>
        <v>87</v>
      </c>
      <c r="BE22" s="10">
        <f>TSS_VSS!K23</f>
        <v>61</v>
      </c>
      <c r="BG22">
        <f t="shared" si="15"/>
        <v>154</v>
      </c>
      <c r="BH22">
        <f>SRT.HRT!B30</f>
        <v>154.01597222222335</v>
      </c>
      <c r="BI22">
        <f>SRT.HRT!P30</f>
        <v>5.2252637699070803</v>
      </c>
      <c r="BJ22">
        <f>SRT.HRT!Q30</f>
        <v>3.2337321109130595</v>
      </c>
      <c r="BK22">
        <f>SRT.HRT!R30</f>
        <v>3.0843515542138089</v>
      </c>
      <c r="BL22">
        <f>SRT.HRT!S30</f>
        <v>9.6637565908873055E-2</v>
      </c>
      <c r="BM22">
        <f>SRT.HRT!T30</f>
        <v>0.10131789275871156</v>
      </c>
      <c r="BO22">
        <f t="shared" si="16"/>
        <v>77.2</v>
      </c>
      <c r="BP22">
        <f>'H2 Delivery'!C20</f>
        <v>77.161805555551837</v>
      </c>
      <c r="BQ22">
        <f>'H2 Delivery'!F20</f>
        <v>1</v>
      </c>
      <c r="BS22">
        <f t="shared" si="17"/>
        <v>199.10000000000002</v>
      </c>
      <c r="BT22" s="38">
        <f>'CO2 Delivery'!M19</f>
        <v>199.14513888888905</v>
      </c>
      <c r="BU22">
        <f>'CO2 Delivery'!N19</f>
        <v>0.374</v>
      </c>
      <c r="BW22">
        <v>127.9</v>
      </c>
      <c r="BX22" s="45">
        <v>0</v>
      </c>
      <c r="BY22" s="45">
        <v>0</v>
      </c>
      <c r="BZ22">
        <v>111.9</v>
      </c>
      <c r="CA22" s="45">
        <v>168.05214941121727</v>
      </c>
      <c r="CB22" s="45">
        <v>0.54921281900937324</v>
      </c>
      <c r="CC22" s="45"/>
      <c r="CD22" s="39">
        <v>114.5</v>
      </c>
      <c r="CE22" s="45">
        <v>3849.1059358491443</v>
      </c>
      <c r="CF22" s="45">
        <v>384.40935413728448</v>
      </c>
      <c r="CG22">
        <v>89.9</v>
      </c>
      <c r="CH22" s="45">
        <v>805.95923039432489</v>
      </c>
      <c r="CI22" s="45">
        <v>20.690954774569917</v>
      </c>
      <c r="CK22">
        <f t="shared" si="18"/>
        <v>64.900000000000006</v>
      </c>
      <c r="CL22">
        <f>'Liquid Volume'!A19</f>
        <v>64.88749999999709</v>
      </c>
      <c r="CM22">
        <f>'Liquid Volume'!C19</f>
        <v>450</v>
      </c>
      <c r="CO22">
        <f t="shared" si="19"/>
        <v>180.9</v>
      </c>
      <c r="CP22">
        <f>Ammonia!F20</f>
        <v>180.8930555555562</v>
      </c>
      <c r="CQ22">
        <f>Ammonia!N20</f>
        <v>292.25</v>
      </c>
      <c r="CR22">
        <f t="shared" si="20"/>
        <v>187.8</v>
      </c>
      <c r="CS22">
        <f>Ammonia!Q20</f>
        <v>187.80555555555475</v>
      </c>
      <c r="CT22">
        <f>Ammonia!Y20</f>
        <v>290.2</v>
      </c>
      <c r="CU22">
        <f t="shared" si="21"/>
        <v>194.9</v>
      </c>
      <c r="CV22">
        <f>Ammonia!AB20</f>
        <v>194.89791666666861</v>
      </c>
      <c r="CW22">
        <f>Ammonia!AJ20</f>
        <v>273.59999999999997</v>
      </c>
      <c r="CY22">
        <f t="shared" si="28"/>
        <v>145.9</v>
      </c>
      <c r="CZ22">
        <f>COD!A15</f>
        <v>145.90416666666715</v>
      </c>
      <c r="DA22">
        <f>COD!I15</f>
        <v>190</v>
      </c>
      <c r="DB22">
        <f t="shared" si="30"/>
        <v>146</v>
      </c>
      <c r="DC22">
        <f>COD!L15</f>
        <v>145.90416666666715</v>
      </c>
      <c r="DD22">
        <f>COD!T15</f>
        <v>160</v>
      </c>
      <c r="DE22">
        <f t="shared" si="22"/>
        <v>153.80000000000001</v>
      </c>
      <c r="DF22">
        <f>COD!W18</f>
        <v>153.84722222221899</v>
      </c>
      <c r="DG22">
        <f>COD!AE18</f>
        <v>570</v>
      </c>
      <c r="DI22" s="39">
        <f t="shared" si="23"/>
        <v>238</v>
      </c>
      <c r="DJ22" s="39">
        <f t="shared" si="24"/>
        <v>238.01249999999709</v>
      </c>
      <c r="DK22" s="132">
        <v>45664.541666666664</v>
      </c>
      <c r="DL22" t="s">
        <v>416</v>
      </c>
      <c r="DM22" t="s">
        <v>417</v>
      </c>
    </row>
    <row r="23" spans="1:118" ht="14.4" x14ac:dyDescent="0.3">
      <c r="A23">
        <f t="shared" si="5"/>
        <v>30</v>
      </c>
      <c r="B23">
        <f>GC_TCD!G26</f>
        <v>29.957638888889051</v>
      </c>
      <c r="C23">
        <f>GC_TCD!U26</f>
        <v>88.127200000000002</v>
      </c>
      <c r="D23">
        <f>GC_TCD!V26</f>
        <v>0.26318010943078712</v>
      </c>
      <c r="E23">
        <f>GC_TCD!W26</f>
        <v>11.5633</v>
      </c>
      <c r="F23">
        <f>GC_TCD!X26</f>
        <v>0.22087763580770262</v>
      </c>
      <c r="G23">
        <f>GC_TCD!Y26</f>
        <v>0.30949999999999994</v>
      </c>
      <c r="H23">
        <f>GC_TCD!Z26</f>
        <v>0.27818247608359514</v>
      </c>
      <c r="I23" s="38">
        <f>GC_TCD!K26</f>
        <v>1.0067180186389197</v>
      </c>
      <c r="J23" s="42">
        <f>GC_TCD!AA26</f>
        <v>0.37251143887767746</v>
      </c>
      <c r="K23" s="42">
        <f>GC_TCD!AB26</f>
        <v>1.081484822548096</v>
      </c>
      <c r="L23" s="105">
        <f>GC_TCD!AC26</f>
        <v>1.1552732425565463E-3</v>
      </c>
      <c r="M23" s="42">
        <f t="shared" si="0"/>
        <v>5.5955727391161983E-6</v>
      </c>
      <c r="N23">
        <f t="shared" si="1"/>
        <v>0.1164098246492742</v>
      </c>
      <c r="O23">
        <f t="shared" si="2"/>
        <v>0.88719240172195812</v>
      </c>
      <c r="P23">
        <f t="shared" si="3"/>
        <v>3.115792267687456E-3</v>
      </c>
      <c r="Q23" t="str">
        <f t="shared" si="4"/>
        <v>Reactor Vol</v>
      </c>
      <c r="S23">
        <f t="shared" si="6"/>
        <v>70.900000000000006</v>
      </c>
      <c r="T23">
        <f>VFA!F20</f>
        <v>70.88749999999709</v>
      </c>
      <c r="U23">
        <f>VFA!K20</f>
        <v>66.760000000000005</v>
      </c>
      <c r="V23">
        <f>VFA!L20</f>
        <v>316.97647999999998</v>
      </c>
      <c r="W23" t="str">
        <f>IF(VFA!M20&lt;=0,"",VFA!M20)</f>
        <v/>
      </c>
      <c r="X23">
        <f>VFA!N20</f>
        <v>551.13531072000001</v>
      </c>
      <c r="Y23">
        <f t="shared" si="7"/>
        <v>75.900000000000006</v>
      </c>
      <c r="Z23" s="39">
        <f>VFA!Q20</f>
        <v>75.870833333334303</v>
      </c>
      <c r="AA23" s="39">
        <f>VFA!V20</f>
        <v>34.76</v>
      </c>
      <c r="AB23" s="39">
        <f>VFA!W20</f>
        <v>434.38499999999999</v>
      </c>
      <c r="AC23" s="39"/>
      <c r="AD23" s="39">
        <f>VFA!Y20</f>
        <v>694.74781000000007</v>
      </c>
      <c r="AE23">
        <f t="shared" si="8"/>
        <v>77.900000000000006</v>
      </c>
      <c r="AF23" s="39">
        <f>VFA!AB20</f>
        <v>77.863194444442343</v>
      </c>
      <c r="AG23" s="39">
        <f>IF(VFA!AG20&lt;=0,"",VFA!AG20)</f>
        <v>887.19499999999994</v>
      </c>
      <c r="AH23" s="39">
        <f>IF(VFA!AH20&lt;=0,"",VFA!AH20)</f>
        <v>228.58</v>
      </c>
      <c r="AI23" s="45"/>
      <c r="AJ23" s="45">
        <f>VFA!AJ20</f>
        <v>1292.707185</v>
      </c>
      <c r="AK23" s="45"/>
      <c r="AL23" s="45"/>
      <c r="AM23" s="45"/>
      <c r="AN23" s="45"/>
      <c r="AO23" s="45"/>
      <c r="AZ23">
        <f t="shared" si="14"/>
        <v>154</v>
      </c>
      <c r="BA23" s="120">
        <f>TSS_VSS!B24</f>
        <v>154.01597222222335</v>
      </c>
      <c r="BB23" s="10">
        <f>TSS_VSS!D24</f>
        <v>440</v>
      </c>
      <c r="BC23" s="10">
        <f>TSS_VSS!E24</f>
        <v>356</v>
      </c>
      <c r="BD23" s="10">
        <f>TSS_VSS!J24</f>
        <v>251</v>
      </c>
      <c r="BE23" s="10">
        <f>TSS_VSS!K24</f>
        <v>216</v>
      </c>
      <c r="BG23">
        <f t="shared" si="15"/>
        <v>159.9</v>
      </c>
      <c r="BH23">
        <f>SRT.HRT!B31</f>
        <v>159.92500000000291</v>
      </c>
      <c r="BI23">
        <f>SRT.HRT!P31</f>
        <v>9.3677078755902858</v>
      </c>
      <c r="BJ23">
        <f>SRT.HRT!Q31</f>
        <v>2.9479628603113084</v>
      </c>
      <c r="BK23">
        <f>SRT.HRT!R31</f>
        <v>3.7136732353996948</v>
      </c>
      <c r="BL23">
        <f>SRT.HRT!S31</f>
        <v>0.10600540604063093</v>
      </c>
      <c r="BM23">
        <f>SRT.HRT!T31</f>
        <v>8.4148491316136567E-2</v>
      </c>
      <c r="BO23">
        <f t="shared" si="16"/>
        <v>79</v>
      </c>
      <c r="BP23">
        <f>'H2 Delivery'!C21</f>
        <v>78.997222222220444</v>
      </c>
      <c r="BQ23">
        <f>'H2 Delivery'!F21</f>
        <v>1.2</v>
      </c>
      <c r="BS23">
        <f t="shared" si="17"/>
        <v>205</v>
      </c>
      <c r="BT23" s="38">
        <f>'CO2 Delivery'!M20</f>
        <v>205.00694444444525</v>
      </c>
      <c r="BU23">
        <f>'CO2 Delivery'!N20</f>
        <v>0.379</v>
      </c>
      <c r="BW23">
        <v>131.9</v>
      </c>
      <c r="BX23" s="45">
        <v>8.0403951209522333</v>
      </c>
      <c r="BY23" s="45">
        <v>0</v>
      </c>
      <c r="BZ23">
        <v>114.9</v>
      </c>
      <c r="CA23" s="45">
        <v>217.88431549447353</v>
      </c>
      <c r="CB23" s="45">
        <v>0</v>
      </c>
      <c r="CC23" s="45"/>
      <c r="CD23" s="39">
        <v>117.5</v>
      </c>
      <c r="CE23" s="45">
        <v>88.925511480739317</v>
      </c>
      <c r="CF23" s="45">
        <v>0</v>
      </c>
      <c r="CG23">
        <v>92.9</v>
      </c>
      <c r="CH23" s="45">
        <v>764.92878062894124</v>
      </c>
      <c r="CI23" s="45">
        <v>117.59240811433457</v>
      </c>
      <c r="CK23">
        <f t="shared" si="18"/>
        <v>68.900000000000006</v>
      </c>
      <c r="CL23">
        <f>'Liquid Volume'!A20</f>
        <v>68.88749999999709</v>
      </c>
      <c r="CM23">
        <f>'Liquid Volume'!C20</f>
        <v>450</v>
      </c>
      <c r="CO23">
        <f t="shared" si="19"/>
        <v>187.8</v>
      </c>
      <c r="CP23">
        <f>Ammonia!F21</f>
        <v>187.80555555555475</v>
      </c>
      <c r="CQ23">
        <f>Ammonia!N21</f>
        <v>283.2</v>
      </c>
      <c r="CR23">
        <f t="shared" si="20"/>
        <v>194.9</v>
      </c>
      <c r="CS23">
        <f>Ammonia!Q21</f>
        <v>194.89791666666861</v>
      </c>
      <c r="CT23">
        <f>Ammonia!Y21</f>
        <v>311.8</v>
      </c>
      <c r="CU23">
        <f t="shared" si="21"/>
        <v>201.9</v>
      </c>
      <c r="CV23">
        <f>Ammonia!AB21</f>
        <v>201.93194444444089</v>
      </c>
      <c r="CW23">
        <f>Ammonia!AJ21</f>
        <v>296.25</v>
      </c>
      <c r="CY23">
        <f t="shared" si="28"/>
        <v>148.80000000000001</v>
      </c>
      <c r="CZ23">
        <f>COD!A16</f>
        <v>148.84166666666715</v>
      </c>
      <c r="DA23">
        <f>COD!I16</f>
        <v>242</v>
      </c>
      <c r="DB23">
        <f t="shared" si="30"/>
        <v>149</v>
      </c>
      <c r="DC23">
        <f>COD!L16</f>
        <v>148.84166666666715</v>
      </c>
      <c r="DD23">
        <f>COD!T16</f>
        <v>250</v>
      </c>
      <c r="DE23">
        <f t="shared" si="22"/>
        <v>155.80000000000001</v>
      </c>
      <c r="DF23">
        <f>COD!W19</f>
        <v>155.83333333333576</v>
      </c>
      <c r="DG23">
        <f>COD!AE19</f>
        <v>568</v>
      </c>
      <c r="DI23" s="39">
        <f t="shared" si="23"/>
        <v>283.10000000000002</v>
      </c>
      <c r="DJ23" s="39">
        <f t="shared" si="24"/>
        <v>283.09513888888614</v>
      </c>
      <c r="DK23" s="132">
        <v>45709.624305555553</v>
      </c>
      <c r="DL23" t="s">
        <v>418</v>
      </c>
      <c r="DM23" s="10" t="s">
        <v>419</v>
      </c>
    </row>
    <row r="24" spans="1:118" ht="14.4" x14ac:dyDescent="0.3">
      <c r="A24">
        <f t="shared" si="5"/>
        <v>33.9</v>
      </c>
      <c r="B24">
        <f>GC_TCD!G27</f>
        <v>33.884027777778101</v>
      </c>
      <c r="C24">
        <f>GC_TCD!U27</f>
        <v>86.153966670000003</v>
      </c>
      <c r="D24">
        <f>GC_TCD!V27</f>
        <v>0.129938306</v>
      </c>
      <c r="E24">
        <f>GC_TCD!W27</f>
        <v>13.57256667</v>
      </c>
      <c r="F24">
        <f>GC_TCD!X27</f>
        <v>0.108495361</v>
      </c>
      <c r="G24">
        <f>GC_TCD!Y27</f>
        <v>0.27350000000000002</v>
      </c>
      <c r="H24">
        <f>GC_TCD!Z27</f>
        <v>0.23837493600000001</v>
      </c>
      <c r="I24" s="38">
        <f>GC_TCD!K27</f>
        <v>0.50070967456665783</v>
      </c>
      <c r="J24" s="42">
        <f>GC_TCD!AA27</f>
        <v>0.21746929409183893</v>
      </c>
      <c r="K24" s="42">
        <f>GC_TCD!AB27</f>
        <v>0.63136246671824203</v>
      </c>
      <c r="L24" s="105">
        <f>GC_TCD!AC27</f>
        <v>6.7443957506083748E-4</v>
      </c>
      <c r="M24" s="42">
        <f t="shared" si="0"/>
        <v>2.8881212996026129E-6</v>
      </c>
      <c r="N24">
        <f t="shared" si="1"/>
        <v>6.7959154403699665E-2</v>
      </c>
      <c r="O24">
        <f t="shared" si="2"/>
        <v>0.43138124613962386</v>
      </c>
      <c r="P24">
        <f t="shared" si="3"/>
        <v>1.369440959939809E-3</v>
      </c>
      <c r="Q24" t="str">
        <f t="shared" si="4"/>
        <v>Reactor Vol</v>
      </c>
      <c r="S24">
        <f t="shared" si="6"/>
        <v>71.900000000000006</v>
      </c>
      <c r="T24">
        <f>VFA!F21</f>
        <v>71.924305555556202</v>
      </c>
      <c r="U24">
        <f>VFA!K21</f>
        <v>41.1</v>
      </c>
      <c r="V24">
        <f>VFA!L21</f>
        <v>197.80608000000001</v>
      </c>
      <c r="W24" t="str">
        <f>IF(VFA!M21&lt;=0,"",VFA!M21)</f>
        <v/>
      </c>
      <c r="X24">
        <f>VFA!N21</f>
        <v>343.33210511999999</v>
      </c>
      <c r="Y24">
        <f t="shared" si="7"/>
        <v>78.900000000000006</v>
      </c>
      <c r="Z24" s="39">
        <f>VFA!Q21</f>
        <v>78.85624999999709</v>
      </c>
      <c r="AA24" s="39">
        <f>VFA!V21</f>
        <v>166.285</v>
      </c>
      <c r="AB24" s="39">
        <f>VFA!W21</f>
        <v>466.685</v>
      </c>
      <c r="AC24" s="39"/>
      <c r="AD24" s="39">
        <f>VFA!Y21</f>
        <v>883.98718499999995</v>
      </c>
      <c r="AE24">
        <f t="shared" si="8"/>
        <v>78.900000000000006</v>
      </c>
      <c r="AF24" s="39">
        <f>VFA!AB21</f>
        <v>78.85624999999709</v>
      </c>
      <c r="AG24" s="39">
        <f>IF(VFA!AG21&lt;=0,"",VFA!AG21)</f>
        <v>995.84</v>
      </c>
      <c r="AH24" s="39">
        <f>IF(VFA!AH21&lt;=0,"",VFA!AH21)</f>
        <v>257.935</v>
      </c>
      <c r="AI24" s="45"/>
      <c r="AJ24" s="45">
        <f>VFA!AJ21</f>
        <v>1453.0748699999999</v>
      </c>
      <c r="AK24" s="45"/>
      <c r="AL24" s="45"/>
      <c r="AM24" s="45"/>
      <c r="AN24" s="45"/>
      <c r="AO24" s="45"/>
      <c r="AZ24">
        <f t="shared" si="14"/>
        <v>159.9</v>
      </c>
      <c r="BA24" s="120">
        <f>TSS_VSS!B25</f>
        <v>159.92500000000291</v>
      </c>
      <c r="BB24" s="10">
        <f>TSS_VSS!D25</f>
        <v>473</v>
      </c>
      <c r="BC24" s="10">
        <f>TSS_VSS!E25</f>
        <v>376</v>
      </c>
      <c r="BD24" s="10">
        <f>TSS_VSS!J25</f>
        <v>122</v>
      </c>
      <c r="BE24" s="10">
        <f>TSS_VSS!K25</f>
        <v>106</v>
      </c>
      <c r="BG24">
        <f t="shared" si="15"/>
        <v>167</v>
      </c>
      <c r="BH24">
        <f>SRT.HRT!B32</f>
        <v>167.00277777777956</v>
      </c>
      <c r="BI24">
        <f>SRT.HRT!P32</f>
        <v>5.2410728978105823</v>
      </c>
      <c r="BJ24">
        <f>SRT.HRT!Q32</f>
        <v>3.0713596914170593</v>
      </c>
      <c r="BK24">
        <f>SRT.HRT!R32</f>
        <v>3.739067278751405</v>
      </c>
      <c r="BL24">
        <f>SRT.HRT!S32</f>
        <v>0.10174646781791266</v>
      </c>
      <c r="BM24">
        <f>SRT.HRT!T32</f>
        <v>8.3576993058106674E-2</v>
      </c>
      <c r="BO24">
        <f t="shared" si="16"/>
        <v>79</v>
      </c>
      <c r="BP24">
        <f>'H2 Delivery'!C22</f>
        <v>78.997916666667152</v>
      </c>
      <c r="BQ24">
        <f>'H2 Delivery'!F22</f>
        <v>1</v>
      </c>
      <c r="BS24">
        <f t="shared" si="17"/>
        <v>237.20000000000002</v>
      </c>
      <c r="BT24" s="38">
        <f>'CO2 Delivery'!M21</f>
        <v>237.17152777777665</v>
      </c>
      <c r="BU24">
        <f>'CO2 Delivery'!N21</f>
        <v>0.39700000000000002</v>
      </c>
      <c r="BW24">
        <v>135</v>
      </c>
      <c r="BX24" s="45">
        <v>0</v>
      </c>
      <c r="BY24" s="45">
        <v>0</v>
      </c>
      <c r="BZ24">
        <v>117.9</v>
      </c>
      <c r="CA24" s="45">
        <v>85.967785735583263</v>
      </c>
      <c r="CB24" s="45">
        <v>0</v>
      </c>
      <c r="CC24" s="45"/>
      <c r="CD24" s="39">
        <v>120.5</v>
      </c>
      <c r="CE24" s="45">
        <v>32.073655991531147</v>
      </c>
      <c r="CF24" s="45">
        <v>0</v>
      </c>
      <c r="CG24">
        <v>96.9</v>
      </c>
      <c r="CH24" s="45">
        <v>250.2806477646642</v>
      </c>
      <c r="CI24" s="45">
        <v>16.148155852455787</v>
      </c>
      <c r="CK24">
        <f t="shared" si="18"/>
        <v>70.100000000000009</v>
      </c>
      <c r="CL24">
        <f>'Liquid Volume'!A21</f>
        <v>70.111111111109494</v>
      </c>
      <c r="CM24">
        <f>'Liquid Volume'!C21</f>
        <v>450</v>
      </c>
      <c r="CO24">
        <f t="shared" si="19"/>
        <v>194.9</v>
      </c>
      <c r="CP24">
        <f>Ammonia!F22</f>
        <v>194.89791666666861</v>
      </c>
      <c r="CQ24">
        <f>Ammonia!N22</f>
        <v>271</v>
      </c>
      <c r="CR24">
        <f t="shared" si="20"/>
        <v>201.9</v>
      </c>
      <c r="CS24">
        <f>Ammonia!Q22</f>
        <v>201.93194444444089</v>
      </c>
      <c r="CT24">
        <f>Ammonia!Y22</f>
        <v>284.25</v>
      </c>
      <c r="CU24">
        <f t="shared" si="21"/>
        <v>208.9</v>
      </c>
      <c r="CV24">
        <f>Ammonia!AB22</f>
        <v>208.91319444444525</v>
      </c>
      <c r="CW24">
        <f>Ammonia!AJ22</f>
        <v>287.40000000000003</v>
      </c>
      <c r="CY24">
        <f t="shared" si="28"/>
        <v>153.80000000000001</v>
      </c>
      <c r="CZ24">
        <f>COD!A17</f>
        <v>153.84722222221899</v>
      </c>
      <c r="DA24">
        <f>COD!I17</f>
        <v>305</v>
      </c>
      <c r="DB24">
        <f t="shared" si="30"/>
        <v>154</v>
      </c>
      <c r="DC24">
        <f>COD!L17</f>
        <v>153.84722222221899</v>
      </c>
      <c r="DD24">
        <f>COD!T17</f>
        <v>390</v>
      </c>
      <c r="DE24">
        <f t="shared" si="22"/>
        <v>159.9</v>
      </c>
      <c r="DF24">
        <f>COD!W20</f>
        <v>159.92152777777665</v>
      </c>
      <c r="DG24">
        <f>COD!AE20</f>
        <v>324</v>
      </c>
      <c r="DK24" s="132"/>
    </row>
    <row r="25" spans="1:118" ht="14.4" x14ac:dyDescent="0.3">
      <c r="A25">
        <f t="shared" si="5"/>
        <v>37.9</v>
      </c>
      <c r="B25">
        <f>GC_TCD!G28</f>
        <v>37.874305555553292</v>
      </c>
      <c r="C25">
        <f>GC_TCD!U28</f>
        <v>72.263599999999997</v>
      </c>
      <c r="D25">
        <f>GC_TCD!V28</f>
        <v>9.1474095000000005E-2</v>
      </c>
      <c r="E25">
        <f>GC_TCD!W28</f>
        <v>27.094999999999999</v>
      </c>
      <c r="F25">
        <f>GC_TCD!X28</f>
        <v>0.152754313</v>
      </c>
      <c r="G25">
        <f>GC_TCD!Y28</f>
        <v>0.64139999999999997</v>
      </c>
      <c r="H25">
        <f>GC_TCD!Z28</f>
        <v>0.14242791199999999</v>
      </c>
      <c r="I25" s="38">
        <f>GC_TCD!K28</f>
        <v>0.55228059519701667</v>
      </c>
      <c r="J25" s="42">
        <f>GC_TCD!AA28</f>
        <v>0.47884936725962135</v>
      </c>
      <c r="K25" s="42">
        <f>GC_TCD!AB28</f>
        <v>1.3902078404311586</v>
      </c>
      <c r="L25" s="105">
        <f>GC_TCD!AC28</f>
        <v>1.4850600638651246E-3</v>
      </c>
      <c r="M25" s="42">
        <f t="shared" si="0"/>
        <v>5.6894037291525917E-6</v>
      </c>
      <c r="N25">
        <f t="shared" si="1"/>
        <v>0.14964042726863166</v>
      </c>
      <c r="O25">
        <f t="shared" si="2"/>
        <v>0.39909784019079131</v>
      </c>
      <c r="P25">
        <f t="shared" si="3"/>
        <v>3.5423277375936646E-3</v>
      </c>
      <c r="Q25" t="str">
        <f t="shared" si="4"/>
        <v>Reactor Vol</v>
      </c>
      <c r="S25">
        <f t="shared" si="6"/>
        <v>72.900000000000006</v>
      </c>
      <c r="T25">
        <f>VFA!F22</f>
        <v>72.909027777779556</v>
      </c>
      <c r="U25">
        <f>VFA!K22</f>
        <v>16.03</v>
      </c>
      <c r="V25">
        <f>VFA!L22</f>
        <v>76.746831</v>
      </c>
      <c r="W25" t="str">
        <f>IF(VFA!M22&lt;=0,"",VFA!M22)</f>
        <v/>
      </c>
      <c r="X25">
        <f>VFA!N22</f>
        <v>133.298712134</v>
      </c>
      <c r="Y25">
        <f t="shared" si="7"/>
        <v>83</v>
      </c>
      <c r="Z25" s="39">
        <f>VFA!Q22</f>
        <v>82.979861111110949</v>
      </c>
      <c r="AA25" s="39">
        <f>VFA!V22</f>
        <v>30.594999999999999</v>
      </c>
      <c r="AB25" s="39">
        <f>VFA!W22</f>
        <v>442.10500000000002</v>
      </c>
      <c r="AC25" s="39"/>
      <c r="AD25" s="39">
        <f>VFA!Y22</f>
        <v>701.99183500000004</v>
      </c>
      <c r="AE25">
        <f t="shared" si="8"/>
        <v>79.800000000000011</v>
      </c>
      <c r="AF25" s="39">
        <f>VFA!AB22</f>
        <v>79.807638888887595</v>
      </c>
      <c r="AG25" s="39">
        <f>IF(VFA!AG22&lt;=0,"",VFA!AG22)</f>
        <v>908.3</v>
      </c>
      <c r="AH25" s="39">
        <f>IF(VFA!AH22&lt;=0,"",VFA!AH22)</f>
        <v>220.99</v>
      </c>
      <c r="AI25" s="45"/>
      <c r="AJ25" s="45">
        <f>VFA!AJ22</f>
        <v>1303.73496</v>
      </c>
      <c r="AK25" s="45"/>
      <c r="AL25" s="45"/>
      <c r="AM25" s="45"/>
      <c r="AN25" s="45"/>
      <c r="AO25" s="45"/>
      <c r="AZ25">
        <f t="shared" si="14"/>
        <v>167</v>
      </c>
      <c r="BA25" s="120">
        <f>TSS_VSS!B26</f>
        <v>167.00277777777956</v>
      </c>
      <c r="BB25" s="10">
        <f>TSS_VSS!D26</f>
        <v>340</v>
      </c>
      <c r="BC25" s="10">
        <f>TSS_VSS!E26</f>
        <v>269</v>
      </c>
      <c r="BD25" s="10">
        <f>TSS_VSS!J26</f>
        <v>181</v>
      </c>
      <c r="BE25" s="10">
        <f>TSS_VSS!K26</f>
        <v>142</v>
      </c>
      <c r="BG25">
        <f t="shared" si="15"/>
        <v>181</v>
      </c>
      <c r="BH25">
        <f>SRT.HRT!B33</f>
        <v>181.00208333333285</v>
      </c>
      <c r="BI25">
        <f>SRT.HRT!P33</f>
        <v>14.113649844577006</v>
      </c>
      <c r="BJ25">
        <f>SRT.HRT!Q33</f>
        <v>5.1216971544707164</v>
      </c>
      <c r="BK25">
        <f>SRT.HRT!R33</f>
        <v>3.8630472724421323</v>
      </c>
      <c r="BL25">
        <f>SRT.HRT!S33</f>
        <v>6.1014931296205117E-2</v>
      </c>
      <c r="BM25">
        <f>SRT.HRT!T33</f>
        <v>8.0894687007659741E-2</v>
      </c>
      <c r="BO25">
        <f t="shared" si="16"/>
        <v>90</v>
      </c>
      <c r="BP25">
        <f>'H2 Delivery'!C23</f>
        <v>90.03125</v>
      </c>
      <c r="BQ25">
        <f>'H2 Delivery'!F23</f>
        <v>1.2</v>
      </c>
      <c r="BS25">
        <f t="shared" si="17"/>
        <v>241</v>
      </c>
      <c r="BT25" s="38">
        <f>'CO2 Delivery'!M22</f>
        <v>240.9909722222219</v>
      </c>
      <c r="BU25">
        <f>'CO2 Delivery'!N22</f>
        <v>0.4</v>
      </c>
      <c r="BW25">
        <v>138.9</v>
      </c>
      <c r="BX25" s="45">
        <v>0</v>
      </c>
      <c r="BY25" s="45">
        <v>0</v>
      </c>
      <c r="BZ25">
        <v>121</v>
      </c>
      <c r="CA25" s="45">
        <v>51.139477661836992</v>
      </c>
      <c r="CB25" s="45">
        <v>0</v>
      </c>
      <c r="CC25" s="45"/>
      <c r="CD25" s="39">
        <v>124.5</v>
      </c>
      <c r="CE25" s="45">
        <v>434.89806025622795</v>
      </c>
      <c r="CF25" s="45">
        <v>0</v>
      </c>
      <c r="CG25">
        <v>103.9</v>
      </c>
      <c r="CH25" s="45">
        <v>512.55727416804973</v>
      </c>
      <c r="CI25" s="45">
        <v>37.356906644454455</v>
      </c>
      <c r="CK25">
        <f t="shared" si="18"/>
        <v>70.900000000000006</v>
      </c>
      <c r="CL25">
        <f>'Liquid Volume'!A22</f>
        <v>70.88749999999709</v>
      </c>
      <c r="CM25">
        <f>'Liquid Volume'!C22</f>
        <v>450</v>
      </c>
      <c r="CO25">
        <f t="shared" si="19"/>
        <v>201.9</v>
      </c>
      <c r="CP25">
        <f>Ammonia!F23</f>
        <v>201.93194444444089</v>
      </c>
      <c r="CQ25">
        <f>Ammonia!N23</f>
        <v>276</v>
      </c>
      <c r="CR25">
        <f t="shared" si="20"/>
        <v>208.9</v>
      </c>
      <c r="CS25">
        <f>Ammonia!Q23</f>
        <v>208.91319444444525</v>
      </c>
      <c r="CT25">
        <f>Ammonia!Y23</f>
        <v>271.60000000000002</v>
      </c>
      <c r="CU25">
        <f t="shared" si="21"/>
        <v>215.9</v>
      </c>
      <c r="CV25">
        <f>Ammonia!AB23</f>
        <v>215.87847222221899</v>
      </c>
      <c r="CW25">
        <f>Ammonia!AJ23</f>
        <v>283.8</v>
      </c>
      <c r="CY25">
        <f t="shared" si="28"/>
        <v>155.80000000000001</v>
      </c>
      <c r="CZ25">
        <f>COD!A18</f>
        <v>155.83333333333576</v>
      </c>
      <c r="DA25">
        <f>COD!I18</f>
        <v>300</v>
      </c>
      <c r="DB25">
        <f t="shared" si="30"/>
        <v>156</v>
      </c>
      <c r="DC25">
        <f>COD!L18</f>
        <v>155.83333333333576</v>
      </c>
      <c r="DD25">
        <f>COD!T18</f>
        <v>282</v>
      </c>
      <c r="DE25">
        <f t="shared" si="22"/>
        <v>166.5</v>
      </c>
      <c r="DF25">
        <f>COD!W21</f>
        <v>166.47083333333285</v>
      </c>
      <c r="DG25">
        <f>COD!AE21</f>
        <v>614</v>
      </c>
      <c r="DK25" s="132"/>
      <c r="DN25" s="1"/>
    </row>
    <row r="26" spans="1:118" ht="14.4" x14ac:dyDescent="0.3">
      <c r="A26">
        <f t="shared" si="5"/>
        <v>40.400000000000006</v>
      </c>
      <c r="B26">
        <f>GC_TCD!G29</f>
        <v>40.355555555557657</v>
      </c>
      <c r="C26">
        <f>GC_TCD!U29</f>
        <v>23.121066670000001</v>
      </c>
      <c r="D26">
        <f>GC_TCD!V29</f>
        <v>0.37099628499999998</v>
      </c>
      <c r="E26">
        <f>GC_TCD!W29</f>
        <v>68.988200000000006</v>
      </c>
      <c r="F26">
        <f>GC_TCD!X29</f>
        <v>0.59972611200000003</v>
      </c>
      <c r="G26">
        <f>GC_TCD!Y29</f>
        <v>7.890733333</v>
      </c>
      <c r="H26">
        <f>GC_TCD!Z29</f>
        <v>0.97064518899999996</v>
      </c>
      <c r="I26" s="38">
        <f>GC_TCD!K29</f>
        <v>1.0003036506581613</v>
      </c>
      <c r="J26" s="42">
        <f>GC_TCD!AA29</f>
        <v>2.2082927459947319</v>
      </c>
      <c r="K26" s="42">
        <f>GC_TCD!AB29</f>
        <v>6.4111724883718031</v>
      </c>
      <c r="L26" s="105">
        <f>GC_TCD!AC29</f>
        <v>6.8485991433330767E-3</v>
      </c>
      <c r="M26" s="42">
        <f t="shared" si="0"/>
        <v>2.4624409750215305E-5</v>
      </c>
      <c r="N26">
        <f t="shared" si="1"/>
        <v>0.69009148312335367</v>
      </c>
      <c r="O26">
        <f t="shared" si="2"/>
        <v>0.23128087397111738</v>
      </c>
      <c r="P26">
        <f t="shared" si="3"/>
        <v>7.8931293593699409E-2</v>
      </c>
      <c r="Q26" t="str">
        <f t="shared" si="4"/>
        <v>Reactor Vol</v>
      </c>
      <c r="S26">
        <f t="shared" si="6"/>
        <v>75.900000000000006</v>
      </c>
      <c r="T26">
        <f>VFA!F23</f>
        <v>75.870833333334303</v>
      </c>
      <c r="U26">
        <f>VFA!K23</f>
        <v>31.76</v>
      </c>
      <c r="V26">
        <f>VFA!L23</f>
        <v>514.14993600000003</v>
      </c>
      <c r="W26" t="str">
        <f>IF(VFA!M23&lt;=0,"",VFA!M23)</f>
        <v/>
      </c>
      <c r="X26">
        <f>VFA!N23</f>
        <v>812.31092310400004</v>
      </c>
      <c r="Y26">
        <f t="shared" si="7"/>
        <v>85.9</v>
      </c>
      <c r="Z26" s="39">
        <f>VFA!Q23</f>
        <v>85.860416666662786</v>
      </c>
      <c r="AA26" s="39">
        <f>VFA!V23</f>
        <v>11.594999999999999</v>
      </c>
      <c r="AB26" s="39">
        <f>VFA!W23</f>
        <v>435.71</v>
      </c>
      <c r="AC26" s="39"/>
      <c r="AD26" s="39">
        <f>VFA!Y23</f>
        <v>672.03680499999996</v>
      </c>
      <c r="AE26">
        <f t="shared" si="8"/>
        <v>83</v>
      </c>
      <c r="AF26" s="39">
        <f>VFA!AB23</f>
        <v>82.979861111110949</v>
      </c>
      <c r="AG26" s="39">
        <f>IF(VFA!AG23&lt;=0,"",VFA!AG23)</f>
        <v>784.15000000000009</v>
      </c>
      <c r="AH26" s="39">
        <f>IF(VFA!AH23&lt;=0,"",VFA!AH23)</f>
        <v>254.67</v>
      </c>
      <c r="AI26" s="45"/>
      <c r="AJ26" s="45">
        <f>VFA!AJ23</f>
        <v>1222.2584300000001</v>
      </c>
      <c r="AK26" s="45"/>
      <c r="AL26" s="45"/>
      <c r="AM26" s="45"/>
      <c r="AN26" s="45"/>
      <c r="AO26" s="45"/>
      <c r="AZ26">
        <f t="shared" si="14"/>
        <v>174</v>
      </c>
      <c r="BA26" s="120">
        <f>TSS_VSS!B27</f>
        <v>174.00347222221899</v>
      </c>
      <c r="BB26" s="10">
        <f>TSS_VSS!D27</f>
        <v>562</v>
      </c>
      <c r="BC26" s="10">
        <f>TSS_VSS!E27</f>
        <v>462</v>
      </c>
      <c r="BD26" s="10">
        <f>TSS_VSS!J27</f>
        <v>181</v>
      </c>
      <c r="BE26" s="10">
        <f>TSS_VSS!K27</f>
        <v>149</v>
      </c>
      <c r="BG26">
        <f t="shared" si="15"/>
        <v>188</v>
      </c>
      <c r="BH26">
        <f>SRT.HRT!B34</f>
        <v>187.9777777777781</v>
      </c>
      <c r="BI26">
        <f>SRT.HRT!P34</f>
        <v>7.2696185634196837</v>
      </c>
      <c r="BJ26">
        <f>SRT.HRT!Q34</f>
        <v>3.0241449903664388</v>
      </c>
      <c r="BK26">
        <f>SRT.HRT!R34</f>
        <v>3.9394714362414227</v>
      </c>
      <c r="BL26">
        <f>SRT.HRT!S34</f>
        <v>0.10333499253358684</v>
      </c>
      <c r="BM26">
        <f>SRT.HRT!T34</f>
        <v>7.9325362566443819E-2</v>
      </c>
      <c r="BO26">
        <f t="shared" si="16"/>
        <v>97.2</v>
      </c>
      <c r="BP26">
        <f>'H2 Delivery'!C24</f>
        <v>97.154861111106584</v>
      </c>
      <c r="BQ26">
        <f>'H2 Delivery'!F24</f>
        <v>1</v>
      </c>
      <c r="BS26">
        <f t="shared" si="17"/>
        <v>251.10000000000002</v>
      </c>
      <c r="BT26" s="38">
        <f>'CO2 Delivery'!M23</f>
        <v>251.07916666666279</v>
      </c>
      <c r="BU26">
        <f>'CO2 Delivery'!N23</f>
        <v>0.42</v>
      </c>
      <c r="BW26">
        <v>141.9</v>
      </c>
      <c r="BX26" s="45">
        <v>2.6238281666411125</v>
      </c>
      <c r="BY26" s="45">
        <v>0</v>
      </c>
      <c r="BZ26">
        <v>124.9</v>
      </c>
      <c r="CA26" s="45">
        <v>33.11230399451906</v>
      </c>
      <c r="CB26" s="45">
        <v>0</v>
      </c>
      <c r="CC26" s="45"/>
      <c r="CD26" s="39">
        <v>127.5</v>
      </c>
      <c r="CE26" s="45">
        <v>407.65894690328031</v>
      </c>
      <c r="CF26" s="45">
        <v>33.50415772618134</v>
      </c>
      <c r="CG26">
        <v>111.9</v>
      </c>
      <c r="CH26" s="45">
        <v>556.92478403403993</v>
      </c>
      <c r="CI26" s="45">
        <v>4.8062576372366834</v>
      </c>
      <c r="CK26">
        <f t="shared" si="18"/>
        <v>71</v>
      </c>
      <c r="CL26">
        <f>'Liquid Volume'!A23</f>
        <v>70.973611111112405</v>
      </c>
      <c r="CM26">
        <f>'Liquid Volume'!C23</f>
        <v>450</v>
      </c>
      <c r="CO26">
        <f t="shared" si="19"/>
        <v>208.9</v>
      </c>
      <c r="CP26">
        <f>Ammonia!F24</f>
        <v>208.91319444444525</v>
      </c>
      <c r="CQ26">
        <f>Ammonia!N24</f>
        <v>259.39999999999998</v>
      </c>
      <c r="CR26">
        <f t="shared" si="20"/>
        <v>215.9</v>
      </c>
      <c r="CS26">
        <f>Ammonia!Q24</f>
        <v>215.87847222221899</v>
      </c>
      <c r="CT26">
        <f>Ammonia!Y24</f>
        <v>276.40000000000003</v>
      </c>
      <c r="CU26">
        <f t="shared" si="21"/>
        <v>236.9</v>
      </c>
      <c r="CV26">
        <f>Ammonia!AB24</f>
        <v>236.9111111111124</v>
      </c>
      <c r="CW26">
        <f>Ammonia!AJ24</f>
        <v>297.39999999999998</v>
      </c>
      <c r="CY26">
        <f t="shared" si="28"/>
        <v>159.9</v>
      </c>
      <c r="CZ26">
        <f>COD!A19</f>
        <v>159.92152777777665</v>
      </c>
      <c r="DA26">
        <f>COD!I19</f>
        <v>210</v>
      </c>
      <c r="DB26">
        <f t="shared" si="30"/>
        <v>160</v>
      </c>
      <c r="DC26">
        <f>COD!L19</f>
        <v>159.92152777777665</v>
      </c>
      <c r="DD26">
        <f>COD!T19</f>
        <v>226</v>
      </c>
      <c r="DE26">
        <f t="shared" si="22"/>
        <v>170</v>
      </c>
      <c r="DF26">
        <f>COD!W22</f>
        <v>169.9597222222219</v>
      </c>
      <c r="DG26">
        <f>COD!AE22</f>
        <v>636</v>
      </c>
      <c r="DK26" s="132"/>
    </row>
    <row r="27" spans="1:118" ht="14.4" x14ac:dyDescent="0.3">
      <c r="A27">
        <f t="shared" si="5"/>
        <v>41.900000000000006</v>
      </c>
      <c r="B27">
        <f>GC_TCD!G30</f>
        <v>41.909027777779556</v>
      </c>
      <c r="C27">
        <f>GC_TCD!U30</f>
        <v>17.769400000000001</v>
      </c>
      <c r="D27">
        <f>GC_TCD!V30</f>
        <v>0.17971780657464032</v>
      </c>
      <c r="E27">
        <f>GC_TCD!W30</f>
        <v>75.657033333333331</v>
      </c>
      <c r="F27">
        <f>GC_TCD!X30</f>
        <v>0.32909427727222923</v>
      </c>
      <c r="G27">
        <f>GC_TCD!Y30</f>
        <v>6.5735666666666672</v>
      </c>
      <c r="H27">
        <f>GC_TCD!Z30</f>
        <v>0.15200333329678439</v>
      </c>
      <c r="I27" s="38">
        <f>GC_TCD!K30</f>
        <v>0.74544161823886712</v>
      </c>
      <c r="J27" s="42">
        <f>GC_TCD!AA30</f>
        <v>1.8047328434928613</v>
      </c>
      <c r="K27" s="42">
        <f>GC_TCD!AB30</f>
        <v>5.239546964979275</v>
      </c>
      <c r="L27" s="105">
        <f>GC_TCD!AC30</f>
        <v>5.5970350073865447E-3</v>
      </c>
      <c r="M27" s="42">
        <f t="shared" si="0"/>
        <v>1.937839703364305E-5</v>
      </c>
      <c r="N27">
        <f t="shared" si="1"/>
        <v>0.56397901359151914</v>
      </c>
      <c r="O27">
        <f t="shared" si="2"/>
        <v>0.13246050291133726</v>
      </c>
      <c r="P27">
        <f t="shared" si="3"/>
        <v>4.9002101736010759E-2</v>
      </c>
      <c r="Q27">
        <f t="shared" si="4"/>
        <v>450</v>
      </c>
      <c r="S27">
        <f t="shared" si="6"/>
        <v>76.900000000000006</v>
      </c>
      <c r="T27">
        <f>VFA!F24</f>
        <v>76.86250000000291</v>
      </c>
      <c r="U27">
        <f>VFA!K24</f>
        <v>234.44500000000002</v>
      </c>
      <c r="V27">
        <f>VFA!L24</f>
        <v>3673.6124829999999</v>
      </c>
      <c r="W27" t="str">
        <f>IF(VFA!M24&lt;=0,"",VFA!M24)</f>
        <v/>
      </c>
      <c r="X27">
        <f>VFA!N24</f>
        <v>5812.0021142619998</v>
      </c>
      <c r="Y27">
        <f t="shared" si="7"/>
        <v>89.9</v>
      </c>
      <c r="Z27" s="39">
        <f>VFA!Q24</f>
        <v>89.861111111109494</v>
      </c>
      <c r="AA27" s="39">
        <f>VFA!V24</f>
        <v>16.670000000000002</v>
      </c>
      <c r="AB27" s="39">
        <f>VFA!W24</f>
        <v>237.345</v>
      </c>
      <c r="AC27" s="39"/>
      <c r="AD27" s="39">
        <f>VFA!Y24</f>
        <v>377.12721999999997</v>
      </c>
      <c r="AE27">
        <f t="shared" si="8"/>
        <v>85.9</v>
      </c>
      <c r="AF27" s="39">
        <f>VFA!AB24</f>
        <v>85.860416666662786</v>
      </c>
      <c r="AG27" s="39">
        <f>IF(VFA!AG24&lt;=0,"",VFA!AG24)</f>
        <v>992.92000000000007</v>
      </c>
      <c r="AH27" s="39">
        <f>IF(VFA!AH24&lt;=0,"",VFA!AH24)</f>
        <v>323.36500000000001</v>
      </c>
      <c r="AI27" s="45"/>
      <c r="AJ27" s="45">
        <f>VFA!AJ24</f>
        <v>1549.02025</v>
      </c>
      <c r="AK27" s="45"/>
      <c r="AL27" s="45"/>
      <c r="AM27" s="45"/>
      <c r="AN27" s="45"/>
      <c r="AO27" s="45"/>
      <c r="AZ27">
        <f t="shared" si="14"/>
        <v>181</v>
      </c>
      <c r="BA27" s="120">
        <f>TSS_VSS!B28</f>
        <v>181.00208333333285</v>
      </c>
      <c r="BB27" s="10">
        <f>TSS_VSS!D28</f>
        <v>542</v>
      </c>
      <c r="BC27" s="10">
        <f>TSS_VSS!E28</f>
        <v>424</v>
      </c>
      <c r="BD27" s="10">
        <f>TSS_VSS!J28</f>
        <v>126</v>
      </c>
      <c r="BE27" s="10">
        <f>TSS_VSS!K28</f>
        <v>87</v>
      </c>
      <c r="BG27">
        <f t="shared" si="15"/>
        <v>195</v>
      </c>
      <c r="BH27">
        <f>SRT.HRT!B35</f>
        <v>194.9868055555562</v>
      </c>
      <c r="BI27">
        <f>SRT.HRT!P35</f>
        <v>7.6506771628788011</v>
      </c>
      <c r="BJ27">
        <f>SRT.HRT!Q35</f>
        <v>3.4432996724892417</v>
      </c>
      <c r="BK27">
        <f>SRT.HRT!R35</f>
        <v>4.9321414969242925</v>
      </c>
      <c r="BL27">
        <f>SRT.HRT!S35</f>
        <v>9.0755969483796467E-2</v>
      </c>
      <c r="BM27">
        <f>SRT.HRT!T35</f>
        <v>6.3359901615733558E-2</v>
      </c>
      <c r="BO27">
        <f t="shared" si="16"/>
        <v>107.2</v>
      </c>
      <c r="BP27">
        <f>'H2 Delivery'!C25</f>
        <v>107.15694444443943</v>
      </c>
      <c r="BQ27">
        <f>'H2 Delivery'!F25</f>
        <v>1.2</v>
      </c>
      <c r="BS27">
        <f t="shared" si="17"/>
        <v>259.10000000000002</v>
      </c>
      <c r="BT27" s="38">
        <f>'CO2 Delivery'!M24</f>
        <v>259.07083333333139</v>
      </c>
      <c r="BU27">
        <f>'CO2 Delivery'!N24</f>
        <v>0.46200000000000002</v>
      </c>
      <c r="BW27">
        <v>145.9</v>
      </c>
      <c r="BX27" s="45">
        <v>0</v>
      </c>
      <c r="BY27" s="45">
        <v>0</v>
      </c>
      <c r="BZ27">
        <v>127.9</v>
      </c>
      <c r="CA27" s="45">
        <v>0</v>
      </c>
      <c r="CB27" s="45">
        <v>0</v>
      </c>
      <c r="CC27" s="45"/>
      <c r="CD27" s="39">
        <v>131.5</v>
      </c>
      <c r="CE27" s="45">
        <v>355.44255790083071</v>
      </c>
      <c r="CF27" s="45">
        <v>0</v>
      </c>
      <c r="CG27">
        <v>114.9</v>
      </c>
      <c r="CH27" s="45">
        <v>466.46863424003851</v>
      </c>
      <c r="CI27" s="45">
        <v>4.5532626170083237</v>
      </c>
      <c r="CK27">
        <f t="shared" si="18"/>
        <v>71.900000000000006</v>
      </c>
      <c r="CL27">
        <f>'Liquid Volume'!A24</f>
        <v>71.924305555556202</v>
      </c>
      <c r="CM27">
        <f>'Liquid Volume'!C24</f>
        <v>450</v>
      </c>
      <c r="CO27">
        <f t="shared" si="19"/>
        <v>215.9</v>
      </c>
      <c r="CP27">
        <f>Ammonia!F25</f>
        <v>215.87847222221899</v>
      </c>
      <c r="CQ27">
        <f>Ammonia!N25</f>
        <v>274.39999999999998</v>
      </c>
      <c r="CR27">
        <f t="shared" si="20"/>
        <v>236.9</v>
      </c>
      <c r="CS27">
        <f>Ammonia!Q25</f>
        <v>236.9111111111124</v>
      </c>
      <c r="CT27">
        <f>Ammonia!Y25</f>
        <v>290</v>
      </c>
      <c r="CU27">
        <f t="shared" si="21"/>
        <v>243.9</v>
      </c>
      <c r="CV27">
        <f>Ammonia!AB25</f>
        <v>243.88333333333139</v>
      </c>
      <c r="CW27">
        <f>Ammonia!AJ25</f>
        <v>275.8</v>
      </c>
      <c r="CY27">
        <f t="shared" si="28"/>
        <v>166.5</v>
      </c>
      <c r="CZ27">
        <f>COD!A20</f>
        <v>166.47083333333285</v>
      </c>
      <c r="DA27">
        <f>COD!I20</f>
        <v>488</v>
      </c>
      <c r="DB27">
        <f t="shared" si="30"/>
        <v>166.5</v>
      </c>
      <c r="DC27">
        <f>COD!L20</f>
        <v>166.47083333333285</v>
      </c>
      <c r="DD27">
        <f>COD!T20</f>
        <v>522</v>
      </c>
      <c r="DE27">
        <f t="shared" si="22"/>
        <v>180.9</v>
      </c>
      <c r="DF27">
        <f>COD!W23</f>
        <v>180.8930555555562</v>
      </c>
      <c r="DG27">
        <f>COD!AE23</f>
        <v>530</v>
      </c>
      <c r="DK27" s="103"/>
    </row>
    <row r="28" spans="1:118" ht="14.4" x14ac:dyDescent="0.3">
      <c r="A28">
        <f t="shared" si="5"/>
        <v>43.2</v>
      </c>
      <c r="B28">
        <f>GC_TCD!G31</f>
        <v>43.179166666668607</v>
      </c>
      <c r="C28">
        <f>GC_TCD!U31</f>
        <v>10.673033333333334</v>
      </c>
      <c r="D28">
        <f>GC_TCD!V31</f>
        <v>0.1305190152174516</v>
      </c>
      <c r="E28">
        <f>GC_TCD!W31</f>
        <v>82.638300000000001</v>
      </c>
      <c r="F28">
        <f>GC_TCD!X31</f>
        <v>0.21079115256575526</v>
      </c>
      <c r="G28">
        <f>GC_TCD!Y31</f>
        <v>6.6886666666666663</v>
      </c>
      <c r="H28">
        <f>GC_TCD!Z31</f>
        <v>0.24887174072870036</v>
      </c>
      <c r="I28" s="38">
        <f>GC_TCD!K31</f>
        <v>0.56106418808084624</v>
      </c>
      <c r="J28" s="42">
        <f>GC_TCD!AA31</f>
        <v>1.4836925022042045</v>
      </c>
      <c r="K28" s="42">
        <f>GC_TCD!AB31</f>
        <v>4.307494361238013</v>
      </c>
      <c r="L28" s="105">
        <f>GC_TCD!AC31</f>
        <v>4.6013895657607993E-3</v>
      </c>
      <c r="M28" s="42">
        <f t="shared" si="0"/>
        <v>1.546258711165173E-5</v>
      </c>
      <c r="N28">
        <f t="shared" si="1"/>
        <v>0.46365390693881392</v>
      </c>
      <c r="O28">
        <f t="shared" si="2"/>
        <v>5.9882567815264749E-2</v>
      </c>
      <c r="P28">
        <f t="shared" si="3"/>
        <v>3.7527713326767534E-2</v>
      </c>
      <c r="Q28">
        <f t="shared" si="4"/>
        <v>450</v>
      </c>
      <c r="S28">
        <f t="shared" si="6"/>
        <v>77.900000000000006</v>
      </c>
      <c r="T28">
        <f>VFA!F25</f>
        <v>77.863194444442343</v>
      </c>
      <c r="U28">
        <f>VFA!K25</f>
        <v>328.39499999999998</v>
      </c>
      <c r="V28">
        <f>VFA!L25</f>
        <v>7072.1176830000004</v>
      </c>
      <c r="W28" t="str">
        <f>IF(VFA!M25&lt;=0,"",VFA!M25)</f>
        <v/>
      </c>
      <c r="X28">
        <f>VFA!N25</f>
        <v>11057.583637062</v>
      </c>
      <c r="Y28">
        <f t="shared" si="7"/>
        <v>92.9</v>
      </c>
      <c r="Z28" s="39">
        <f>VFA!Q25</f>
        <v>92.863888888889051</v>
      </c>
      <c r="AA28" s="39">
        <f>VFA!V25</f>
        <v>21.074999999999999</v>
      </c>
      <c r="AB28" s="39">
        <f>VFA!W25</f>
        <v>167.32500000000002</v>
      </c>
      <c r="AC28" s="39"/>
      <c r="AD28" s="39">
        <f>VFA!Y25</f>
        <v>275.81707500000005</v>
      </c>
      <c r="AE28">
        <f t="shared" si="8"/>
        <v>89.9</v>
      </c>
      <c r="AF28" s="39">
        <f>VFA!AB25</f>
        <v>89.861111111109494</v>
      </c>
      <c r="AG28" s="39">
        <f>IF(VFA!AG25&lt;=0,"",VFA!AG25)</f>
        <v>995.87999999999988</v>
      </c>
      <c r="AH28" s="39">
        <f>IF(VFA!AH25&lt;=0,"",VFA!AH25)</f>
        <v>151.13</v>
      </c>
      <c r="AI28" s="45"/>
      <c r="AJ28" s="45">
        <f>VFA!AJ25</f>
        <v>1291.4147799999998</v>
      </c>
      <c r="AK28" s="45"/>
      <c r="AL28" s="45"/>
      <c r="AM28" s="45"/>
      <c r="AN28" s="45"/>
      <c r="AO28" s="45"/>
      <c r="AZ28">
        <f t="shared" si="14"/>
        <v>188</v>
      </c>
      <c r="BA28" s="120">
        <f>TSS_VSS!B29</f>
        <v>187.9777777777781</v>
      </c>
      <c r="BB28" s="10">
        <f>TSS_VSS!D29</f>
        <v>247</v>
      </c>
      <c r="BC28" s="10">
        <f>TSS_VSS!E29</f>
        <v>176</v>
      </c>
      <c r="BD28" s="10">
        <f>TSS_VSS!J29</f>
        <v>86</v>
      </c>
      <c r="BE28" s="10">
        <f>TSS_VSS!K29</f>
        <v>58</v>
      </c>
      <c r="BG28">
        <f t="shared" si="15"/>
        <v>202</v>
      </c>
      <c r="BH28">
        <f>SRT.HRT!B36</f>
        <v>202.03819444444525</v>
      </c>
      <c r="BI28">
        <f>SRT.HRT!P36</f>
        <v>15.555842595374342</v>
      </c>
      <c r="BJ28">
        <f>SRT.HRT!Q36</f>
        <v>5.350969645868588</v>
      </c>
      <c r="BK28">
        <f>SRT.HRT!R36</f>
        <v>5.0372442009042562</v>
      </c>
      <c r="BL28">
        <f>SRT.HRT!S36</f>
        <v>5.8400630293479062E-2</v>
      </c>
      <c r="BM28">
        <f>SRT.HRT!T36</f>
        <v>6.2037889674656205E-2</v>
      </c>
      <c r="BO28">
        <f t="shared" si="16"/>
        <v>147</v>
      </c>
      <c r="BP28">
        <f>'H2 Delivery'!C26</f>
        <v>146.97430555555184</v>
      </c>
      <c r="BQ28">
        <f>'H2 Delivery'!F26</f>
        <v>0.6</v>
      </c>
      <c r="BS28">
        <f t="shared" si="17"/>
        <v>273.2</v>
      </c>
      <c r="BT28" s="38">
        <f>'CO2 Delivery'!M25</f>
        <v>273.22499999999854</v>
      </c>
      <c r="BU28">
        <f>'CO2 Delivery'!N25</f>
        <v>0.53100000000000003</v>
      </c>
      <c r="BW28">
        <v>148.80000000000001</v>
      </c>
      <c r="BX28" s="45">
        <v>7.9823441211618933</v>
      </c>
      <c r="BY28" s="45">
        <v>0</v>
      </c>
      <c r="BZ28">
        <v>131.9</v>
      </c>
      <c r="CA28" s="45">
        <v>8.9342280750368168</v>
      </c>
      <c r="CB28" s="45">
        <v>0</v>
      </c>
      <c r="CC28" s="45"/>
      <c r="CD28" s="39">
        <v>134.5</v>
      </c>
      <c r="CE28" s="45">
        <v>371.55958635270292</v>
      </c>
      <c r="CF28" s="45">
        <v>8.0585955528435882</v>
      </c>
      <c r="CG28">
        <v>117.9</v>
      </c>
      <c r="CH28" s="45">
        <v>288.91093717928692</v>
      </c>
      <c r="CI28" s="45">
        <v>24.0933147662602</v>
      </c>
      <c r="CK28">
        <f t="shared" si="18"/>
        <v>72.900000000000006</v>
      </c>
      <c r="CL28">
        <f>'Liquid Volume'!A25</f>
        <v>72.909027777779556</v>
      </c>
      <c r="CM28">
        <f>'Liquid Volume'!C25</f>
        <v>450</v>
      </c>
      <c r="CO28">
        <f t="shared" si="19"/>
        <v>236.9</v>
      </c>
      <c r="CP28">
        <f>Ammonia!F26</f>
        <v>236.9111111111124</v>
      </c>
      <c r="CQ28">
        <f>Ammonia!N26</f>
        <v>280.2</v>
      </c>
      <c r="CR28">
        <f t="shared" si="20"/>
        <v>243.9</v>
      </c>
      <c r="CS28">
        <f>Ammonia!Q26</f>
        <v>243.88333333333139</v>
      </c>
      <c r="CT28">
        <f>Ammonia!Y26</f>
        <v>291.60000000000002</v>
      </c>
      <c r="CU28">
        <f t="shared" si="21"/>
        <v>257.90000000000003</v>
      </c>
      <c r="CV28">
        <f>Ammonia!AB26</f>
        <v>257.8708333333343</v>
      </c>
      <c r="CW28">
        <f>Ammonia!AJ26</f>
        <v>291.2</v>
      </c>
      <c r="CY28">
        <f t="shared" si="28"/>
        <v>170</v>
      </c>
      <c r="CZ28">
        <f>COD!A21</f>
        <v>169.9597222222219</v>
      </c>
      <c r="DA28">
        <f>COD!I21</f>
        <v>326</v>
      </c>
      <c r="DB28">
        <f t="shared" si="30"/>
        <v>170</v>
      </c>
      <c r="DC28">
        <f>COD!L21</f>
        <v>169.9597222222219</v>
      </c>
      <c r="DD28">
        <f>COD!T21</f>
        <v>320</v>
      </c>
      <c r="DE28">
        <f t="shared" si="22"/>
        <v>184</v>
      </c>
      <c r="DF28">
        <f>COD!W24</f>
        <v>183.98124999999709</v>
      </c>
      <c r="DG28">
        <f>COD!AE24</f>
        <v>874</v>
      </c>
    </row>
    <row r="29" spans="1:118" ht="14.4" x14ac:dyDescent="0.3">
      <c r="A29">
        <f t="shared" si="5"/>
        <v>44.300000000000004</v>
      </c>
      <c r="B29">
        <f>GC_TCD!G32</f>
        <v>44.253472222218988</v>
      </c>
      <c r="C29">
        <f>GC_TCD!U32</f>
        <v>46.364399999999996</v>
      </c>
      <c r="D29">
        <f>GC_TCD!V32</f>
        <v>2.4918779083253653</v>
      </c>
      <c r="E29">
        <f>GC_TCD!W32</f>
        <v>50.960233333333328</v>
      </c>
      <c r="F29">
        <f>GC_TCD!X32</f>
        <v>1.5842481003092088</v>
      </c>
      <c r="G29">
        <f>GC_TCD!Y32</f>
        <v>2.6753999999999998</v>
      </c>
      <c r="H29">
        <f>GC_TCD!Z32</f>
        <v>0.9077133192809288</v>
      </c>
      <c r="I29" s="38">
        <f>GC_TCD!K32</f>
        <v>0.64448021978332748</v>
      </c>
      <c r="J29" s="42">
        <f>GC_TCD!AA32</f>
        <v>1.050971596124042</v>
      </c>
      <c r="K29" s="42">
        <f>GC_TCD!AB32</f>
        <v>3.0512078597149608</v>
      </c>
      <c r="L29" s="105">
        <f>GC_TCD!AC32</f>
        <v>3.2593881340855888E-3</v>
      </c>
      <c r="M29" s="42">
        <f t="shared" si="0"/>
        <v>1.0687008148896493E-5</v>
      </c>
      <c r="N29">
        <f t="shared" si="1"/>
        <v>0.32842862378876314</v>
      </c>
      <c r="O29">
        <f t="shared" si="2"/>
        <v>0.29880938702122106</v>
      </c>
      <c r="P29">
        <f t="shared" si="3"/>
        <v>1.7242423800083142E-2</v>
      </c>
      <c r="Q29">
        <f t="shared" si="4"/>
        <v>450</v>
      </c>
      <c r="S29">
        <f t="shared" si="6"/>
        <v>78.900000000000006</v>
      </c>
      <c r="T29">
        <f>VFA!F26</f>
        <v>78.85624999999709</v>
      </c>
      <c r="U29">
        <f>VFA!K26</f>
        <v>236.64500000000001</v>
      </c>
      <c r="V29">
        <f>VFA!L26</f>
        <v>4664.7462400000004</v>
      </c>
      <c r="W29" t="str">
        <f>IF(VFA!M26&lt;=0,"",VFA!M26)</f>
        <v/>
      </c>
      <c r="X29">
        <f>VFA!N26</f>
        <v>7314.9260223600004</v>
      </c>
      <c r="Y29">
        <f t="shared" si="7"/>
        <v>96.9</v>
      </c>
      <c r="Z29" s="39">
        <f>VFA!Q26</f>
        <v>96.856944444443798</v>
      </c>
      <c r="AA29" s="39">
        <f>VFA!V26</f>
        <v>10.515000000000001</v>
      </c>
      <c r="AB29" s="39">
        <f>VFA!W26</f>
        <v>8.0150000000000006</v>
      </c>
      <c r="AC29" s="39"/>
      <c r="AD29" s="39">
        <f>VFA!Y26</f>
        <v>23.354215</v>
      </c>
      <c r="AE29">
        <f t="shared" si="8"/>
        <v>92.9</v>
      </c>
      <c r="AF29" s="39">
        <f>VFA!AB26</f>
        <v>92.863888888889051</v>
      </c>
      <c r="AG29" s="39">
        <f>IF(VFA!AG26&lt;=0,"",VFA!AG26)</f>
        <v>1214.3800000000001</v>
      </c>
      <c r="AH29" s="39">
        <f>IF(VFA!AH26&lt;=0,"",VFA!AH26)</f>
        <v>191.20999999999998</v>
      </c>
      <c r="AI29" s="45"/>
      <c r="AJ29" s="45">
        <f>VFA!AJ26</f>
        <v>1585.2354</v>
      </c>
      <c r="AK29" s="45"/>
      <c r="AL29" s="45"/>
      <c r="AM29" s="45"/>
      <c r="AN29" s="45"/>
      <c r="AO29" s="45"/>
      <c r="AZ29">
        <f t="shared" si="14"/>
        <v>195</v>
      </c>
      <c r="BA29" s="120">
        <f>TSS_VSS!B30</f>
        <v>194.9868055555562</v>
      </c>
      <c r="BB29" s="10">
        <f>TSS_VSS!D30</f>
        <v>216</v>
      </c>
      <c r="BC29" s="10">
        <f>TSS_VSS!E30</f>
        <v>167</v>
      </c>
      <c r="BD29" s="10">
        <f>TSS_VSS!J30</f>
        <v>82</v>
      </c>
      <c r="BE29" s="10">
        <f>TSS_VSS!K30</f>
        <v>66</v>
      </c>
      <c r="BG29">
        <f t="shared" si="15"/>
        <v>209</v>
      </c>
      <c r="BH29">
        <f>SRT.HRT!B37</f>
        <v>209.00069444444671</v>
      </c>
      <c r="BI29">
        <f>SRT.HRT!P37</f>
        <v>27.122395208868554</v>
      </c>
      <c r="BJ29">
        <f>SRT.HRT!Q37</f>
        <v>6.0021551724150468</v>
      </c>
      <c r="BK29">
        <f>SRT.HRT!R37</f>
        <v>4.2349926109589662</v>
      </c>
      <c r="BL29">
        <f>SRT.HRT!S37</f>
        <v>5.2064631956901149E-2</v>
      </c>
      <c r="BM29">
        <f>SRT.HRT!T37</f>
        <v>7.3789975262610413E-2</v>
      </c>
      <c r="BO29">
        <f t="shared" si="16"/>
        <v>151</v>
      </c>
      <c r="BP29">
        <f>'H2 Delivery'!C27</f>
        <v>151.02083333332848</v>
      </c>
      <c r="BQ29">
        <f>'H2 Delivery'!F27</f>
        <v>1</v>
      </c>
      <c r="BS29">
        <f t="shared" si="17"/>
        <v>274.90000000000003</v>
      </c>
      <c r="BT29" s="38">
        <f>'CO2 Delivery'!M26</f>
        <v>274.93124999999418</v>
      </c>
      <c r="BU29">
        <f>'CO2 Delivery'!N26</f>
        <v>0.58399999999999996</v>
      </c>
      <c r="BW29">
        <v>154</v>
      </c>
      <c r="BX29" s="45" t="s">
        <v>388</v>
      </c>
      <c r="BY29" s="45">
        <v>0</v>
      </c>
      <c r="BZ29">
        <v>135</v>
      </c>
      <c r="CA29" s="45">
        <v>73.063626893923256</v>
      </c>
      <c r="CB29" s="45">
        <v>0</v>
      </c>
      <c r="CC29" s="45"/>
      <c r="CD29" s="39">
        <v>138.5</v>
      </c>
      <c r="CE29" s="45">
        <v>379.81316907999155</v>
      </c>
      <c r="CF29" s="45">
        <v>8.4366500820342463</v>
      </c>
      <c r="CG29">
        <v>121</v>
      </c>
      <c r="CH29" s="45">
        <v>130.52971216574829</v>
      </c>
      <c r="CI29" s="45">
        <v>0</v>
      </c>
      <c r="CK29">
        <f t="shared" si="18"/>
        <v>73.100000000000009</v>
      </c>
      <c r="CL29">
        <f>'Liquid Volume'!A26</f>
        <v>73.095833333332848</v>
      </c>
      <c r="CM29">
        <f>'Liquid Volume'!C26</f>
        <v>450</v>
      </c>
      <c r="CO29">
        <f t="shared" si="19"/>
        <v>243.9</v>
      </c>
      <c r="CP29">
        <f>Ammonia!F27</f>
        <v>243.88333333333139</v>
      </c>
      <c r="CQ29">
        <f>Ammonia!N27</f>
        <v>277.8</v>
      </c>
      <c r="CR29">
        <f t="shared" si="20"/>
        <v>257.90000000000003</v>
      </c>
      <c r="CS29">
        <f>Ammonia!Q27</f>
        <v>257.8708333333343</v>
      </c>
      <c r="CT29">
        <f>Ammonia!Y27</f>
        <v>284.60000000000002</v>
      </c>
      <c r="CU29">
        <f t="shared" si="21"/>
        <v>264.8</v>
      </c>
      <c r="CV29">
        <f>Ammonia!AB27</f>
        <v>264.80208333333576</v>
      </c>
      <c r="CW29">
        <f>Ammonia!AJ27</f>
        <v>286</v>
      </c>
      <c r="CY29">
        <f t="shared" si="28"/>
        <v>173.5</v>
      </c>
      <c r="CZ29">
        <f>COD!A22</f>
        <v>173.47083333333285</v>
      </c>
      <c r="DA29">
        <f>COD!I22</f>
        <v>338</v>
      </c>
      <c r="DB29">
        <f t="shared" si="30"/>
        <v>173.5</v>
      </c>
      <c r="DC29">
        <f>COD!L22</f>
        <v>173.47083333333285</v>
      </c>
      <c r="DD29">
        <f>COD!T22</f>
        <v>320</v>
      </c>
      <c r="DE29">
        <f t="shared" si="22"/>
        <v>187.8</v>
      </c>
      <c r="DF29">
        <f>COD!W25</f>
        <v>187.80555555555475</v>
      </c>
      <c r="DG29">
        <f>COD!AE25</f>
        <v>506</v>
      </c>
    </row>
    <row r="30" spans="1:118" ht="14.4" x14ac:dyDescent="0.3">
      <c r="A30">
        <f t="shared" si="5"/>
        <v>44.900000000000006</v>
      </c>
      <c r="B30">
        <f>GC_TCD!G33</f>
        <v>44.922222222223354</v>
      </c>
      <c r="C30">
        <f>GC_TCD!U33</f>
        <v>53.185566666666666</v>
      </c>
      <c r="D30">
        <f>GC_TCD!V33</f>
        <v>1.183411552813872</v>
      </c>
      <c r="E30">
        <f>GC_TCD!W33</f>
        <v>45.264699999999998</v>
      </c>
      <c r="F30">
        <f>GC_TCD!X33</f>
        <v>0.22502002133143667</v>
      </c>
      <c r="G30">
        <f>GC_TCD!Y33</f>
        <v>1.5496666666666667</v>
      </c>
      <c r="H30">
        <f>GC_TCD!Z33</f>
        <v>0.97123576094238495</v>
      </c>
      <c r="I30" s="38">
        <f>GC_TCD!K33</f>
        <v>0.58066521287263129</v>
      </c>
      <c r="J30" s="42">
        <f>GC_TCD!AA33</f>
        <v>0.84107637315570549</v>
      </c>
      <c r="K30" s="42">
        <f>GC_TCD!AB33</f>
        <v>2.4418346317423709</v>
      </c>
      <c r="L30" s="105">
        <f>GC_TCD!AC33</f>
        <v>2.6084380973126634E-3</v>
      </c>
      <c r="M30" s="42">
        <f t="shared" si="0"/>
        <v>8.4253260234492228E-6</v>
      </c>
      <c r="N30">
        <f t="shared" si="1"/>
        <v>0.26283636661115795</v>
      </c>
      <c r="O30">
        <f t="shared" si="2"/>
        <v>0.30883008390251521</v>
      </c>
      <c r="P30">
        <f t="shared" si="3"/>
        <v>8.9983752488162101E-3</v>
      </c>
      <c r="Q30">
        <f t="shared" si="4"/>
        <v>450</v>
      </c>
      <c r="S30">
        <f t="shared" si="6"/>
        <v>79.800000000000011</v>
      </c>
      <c r="T30">
        <f>VFA!F27</f>
        <v>79.807638888887595</v>
      </c>
      <c r="U30">
        <f>VFA!K27</f>
        <v>57.34</v>
      </c>
      <c r="V30">
        <f>VFA!L27</f>
        <v>229.57789199999999</v>
      </c>
      <c r="W30" t="str">
        <f>IF(VFA!M27&lt;=0,"",VFA!M27)</f>
        <v/>
      </c>
      <c r="X30">
        <f>VFA!N27</f>
        <v>408.76270848799999</v>
      </c>
      <c r="Y30">
        <f t="shared" si="7"/>
        <v>99.9</v>
      </c>
      <c r="Z30" s="39">
        <f>VFA!Q27</f>
        <v>99.897222222221899</v>
      </c>
      <c r="AA30" s="39" t="str">
        <f>VFA!V27</f>
        <v/>
      </c>
      <c r="AB30" s="39" t="str">
        <f>VFA!W27</f>
        <v/>
      </c>
      <c r="AC30" s="39"/>
      <c r="AD30" s="39">
        <f>VFA!Y27</f>
        <v>0</v>
      </c>
      <c r="AE30">
        <f t="shared" si="8"/>
        <v>96.9</v>
      </c>
      <c r="AF30" s="39">
        <f>VFA!AB27</f>
        <v>96.856944444443798</v>
      </c>
      <c r="AG30" s="39">
        <f>IF(VFA!AG27&lt;=0,"",VFA!AG27)</f>
        <v>21.815000000000001</v>
      </c>
      <c r="AH30" s="39">
        <f>IF(VFA!AH27&lt;=0,"",VFA!AH27)</f>
        <v>5.5600000000000005</v>
      </c>
      <c r="AI30" s="45"/>
      <c r="AJ30" s="45">
        <f>VFA!AJ27</f>
        <v>31.694445000000002</v>
      </c>
      <c r="AK30" s="45"/>
      <c r="AL30" s="45"/>
      <c r="AM30" s="45"/>
      <c r="AN30" s="45"/>
      <c r="AO30" s="45"/>
      <c r="AZ30">
        <f t="shared" si="14"/>
        <v>202</v>
      </c>
      <c r="BA30" s="120">
        <f>TSS_VSS!B31</f>
        <v>202.03819444444525</v>
      </c>
      <c r="BB30" s="10">
        <f>TSS_VSS!D31</f>
        <v>1224</v>
      </c>
      <c r="BC30" s="10" t="str">
        <f>TSS_VSS!E31</f>
        <v>1089</v>
      </c>
      <c r="BD30" s="10">
        <f>TSS_VSS!J31</f>
        <v>303</v>
      </c>
      <c r="BE30" s="10">
        <f>TSS_VSS!K31</f>
        <v>278</v>
      </c>
      <c r="BG30">
        <f t="shared" si="15"/>
        <v>216</v>
      </c>
      <c r="BH30">
        <f>SRT.HRT!B38</f>
        <v>215.97499999999854</v>
      </c>
      <c r="BI30">
        <f>SRT.HRT!P38</f>
        <v>6.9179727240460069</v>
      </c>
      <c r="BJ30">
        <f>SRT.HRT!Q38</f>
        <v>3.7586077844291332</v>
      </c>
      <c r="BK30">
        <f>SRT.HRT!R38</f>
        <v>3.3621671157411508</v>
      </c>
      <c r="BL30">
        <f>SRT.HRT!S38</f>
        <v>8.3142487304634596E-2</v>
      </c>
      <c r="BM30">
        <f>SRT.HRT!T38</f>
        <v>9.2946004538835364E-2</v>
      </c>
      <c r="BO30">
        <f t="shared" si="16"/>
        <v>153.20000000000002</v>
      </c>
      <c r="BP30">
        <f>'H2 Delivery'!C28</f>
        <v>153.19583333333139</v>
      </c>
      <c r="BQ30">
        <f>'H2 Delivery'!F28</f>
        <v>1.2</v>
      </c>
      <c r="BS30">
        <f t="shared" si="17"/>
        <v>278.90000000000003</v>
      </c>
      <c r="BT30" s="38">
        <f>'CO2 Delivery'!M27</f>
        <v>278.91111111110513</v>
      </c>
      <c r="BU30">
        <f>'CO2 Delivery'!N27</f>
        <v>0.53100000000000003</v>
      </c>
      <c r="BW30">
        <v>155.80000000000001</v>
      </c>
      <c r="BX30" s="45" t="s">
        <v>388</v>
      </c>
      <c r="BY30" s="45">
        <v>0</v>
      </c>
      <c r="BZ30">
        <v>138.9</v>
      </c>
      <c r="CA30" s="45">
        <v>47.71907422123639</v>
      </c>
      <c r="CB30" s="45">
        <v>0</v>
      </c>
      <c r="CC30" s="45"/>
      <c r="CD30" s="39">
        <v>141.5</v>
      </c>
      <c r="CE30" s="45">
        <v>102.6317193642208</v>
      </c>
      <c r="CF30" s="45">
        <v>0</v>
      </c>
      <c r="CG30">
        <v>124.9</v>
      </c>
      <c r="CH30" s="45">
        <v>81.54202728958326</v>
      </c>
      <c r="CI30" s="45">
        <v>0</v>
      </c>
      <c r="CK30">
        <f t="shared" si="18"/>
        <v>73.100000000000009</v>
      </c>
      <c r="CL30">
        <f>'Liquid Volume'!A27</f>
        <v>73.12361111111386</v>
      </c>
      <c r="CM30">
        <f>'Liquid Volume'!C27</f>
        <v>900</v>
      </c>
      <c r="CO30">
        <f t="shared" si="19"/>
        <v>257.90000000000003</v>
      </c>
      <c r="CP30">
        <f>Ammonia!F28</f>
        <v>257.8708333333343</v>
      </c>
      <c r="CQ30">
        <f>Ammonia!N28</f>
        <v>271.60000000000002</v>
      </c>
      <c r="CR30">
        <f t="shared" si="20"/>
        <v>264.8</v>
      </c>
      <c r="CS30">
        <f>Ammonia!Q28</f>
        <v>264.80208333333576</v>
      </c>
      <c r="CT30">
        <f>Ammonia!Y28</f>
        <v>281.8</v>
      </c>
      <c r="CU30">
        <f t="shared" si="21"/>
        <v>272.90000000000003</v>
      </c>
      <c r="CV30">
        <f>Ammonia!AB28</f>
        <v>272.9375</v>
      </c>
      <c r="CW30">
        <f>Ammonia!AJ28</f>
        <v>289.60000000000002</v>
      </c>
      <c r="CY30">
        <f t="shared" si="28"/>
        <v>180.9</v>
      </c>
      <c r="CZ30">
        <f>COD!A23</f>
        <v>180.8930555555562</v>
      </c>
      <c r="DA30">
        <f>COD!I23</f>
        <v>342</v>
      </c>
      <c r="DB30">
        <f t="shared" si="30"/>
        <v>181</v>
      </c>
      <c r="DC30">
        <f>COD!L23</f>
        <v>180.8930555555562</v>
      </c>
      <c r="DD30">
        <f>COD!T23</f>
        <v>362</v>
      </c>
      <c r="DE30">
        <f t="shared" si="22"/>
        <v>191</v>
      </c>
      <c r="DF30">
        <f>COD!W26</f>
        <v>190.9638888888876</v>
      </c>
      <c r="DG30">
        <f>COD!AE26</f>
        <v>338</v>
      </c>
    </row>
    <row r="31" spans="1:118" ht="14.4" x14ac:dyDescent="0.3">
      <c r="A31">
        <f t="shared" si="5"/>
        <v>49.1</v>
      </c>
      <c r="B31">
        <f>GC_TCD!G34</f>
        <v>49.079166666662786</v>
      </c>
      <c r="C31">
        <f>GC_TCD!U34</f>
        <v>48.541899999999998</v>
      </c>
      <c r="D31">
        <f>GC_TCD!V34</f>
        <v>2.705572695382624</v>
      </c>
      <c r="E31">
        <f>GC_TCD!W34</f>
        <v>50.395600000000002</v>
      </c>
      <c r="F31">
        <f>GC_TCD!X34</f>
        <v>2.0880218700961937</v>
      </c>
      <c r="G31">
        <f>GC_TCD!Y34</f>
        <v>1.0624666666666667</v>
      </c>
      <c r="H31">
        <f>GC_TCD!Z34</f>
        <v>0.85546060887298192</v>
      </c>
      <c r="I31" s="38">
        <f>GC_TCD!K34</f>
        <v>0.54933613431406059</v>
      </c>
      <c r="J31" s="42">
        <f>GC_TCD!AA34</f>
        <v>0.88589197089400551</v>
      </c>
      <c r="K31" s="42">
        <f>GC_TCD!AB34</f>
        <v>2.5719444316277582</v>
      </c>
      <c r="L31" s="105">
        <f>GC_TCD!AC34</f>
        <v>2.7474251337167642E-3</v>
      </c>
      <c r="M31" s="42">
        <f t="shared" si="0"/>
        <v>8.1226193103455445E-6</v>
      </c>
      <c r="N31">
        <f t="shared" si="1"/>
        <v>0.27684124090437673</v>
      </c>
      <c r="O31">
        <f t="shared" si="2"/>
        <v>0.26665819698259696</v>
      </c>
      <c r="P31">
        <f t="shared" si="3"/>
        <v>5.8365133150421224E-3</v>
      </c>
      <c r="Q31">
        <f t="shared" si="4"/>
        <v>450</v>
      </c>
      <c r="S31">
        <f t="shared" si="6"/>
        <v>81.5</v>
      </c>
      <c r="T31">
        <f>VFA!F28</f>
        <v>81.470833333332848</v>
      </c>
      <c r="U31">
        <f>VFA!K28</f>
        <v>1095.7962500000001</v>
      </c>
      <c r="V31">
        <f>VFA!L28</f>
        <v>1181.4875167500002</v>
      </c>
      <c r="W31" t="str">
        <f>IF(VFA!M28&lt;=0,"",VFA!M28)</f>
        <v/>
      </c>
      <c r="X31">
        <f>VFA!N28</f>
        <v>2957.9866991095005</v>
      </c>
      <c r="Y31">
        <f t="shared" si="7"/>
        <v>103.5</v>
      </c>
      <c r="Z31" s="39">
        <f>VFA!Q28</f>
        <v>103.47083333333285</v>
      </c>
      <c r="AA31" s="39">
        <f>VFA!V28</f>
        <v>143.41499999999999</v>
      </c>
      <c r="AB31" s="39">
        <f>VFA!W28</f>
        <v>65.804999999999993</v>
      </c>
      <c r="AC31" s="39"/>
      <c r="AD31" s="39">
        <f>VFA!Y28</f>
        <v>252.65257499999996</v>
      </c>
      <c r="AE31">
        <f t="shared" si="8"/>
        <v>99.9</v>
      </c>
      <c r="AF31" s="39">
        <f>VFA!AB28</f>
        <v>99.897222222221899</v>
      </c>
      <c r="AG31" s="39">
        <f>IF(VFA!AG28&lt;=0,"",VFA!AG28)</f>
        <v>71.070000000000007</v>
      </c>
      <c r="AH31" s="39" t="str">
        <f>IF(VFA!AH28&lt;=0,"",VFA!AH28)</f>
        <v/>
      </c>
      <c r="AI31" s="45"/>
      <c r="AJ31" s="45">
        <f>VFA!AJ28</f>
        <v>75.831690000000009</v>
      </c>
      <c r="AK31" s="45"/>
      <c r="AL31" s="45"/>
      <c r="AM31" s="45"/>
      <c r="AN31" s="45"/>
      <c r="AO31" s="45"/>
      <c r="AZ31">
        <f t="shared" si="14"/>
        <v>209</v>
      </c>
      <c r="BA31" s="120">
        <f>TSS_VSS!B32</f>
        <v>209.00069444444671</v>
      </c>
      <c r="BB31" s="10">
        <f>TSS_VSS!D32</f>
        <v>1083</v>
      </c>
      <c r="BC31" s="10" t="str">
        <f>TSS_VSS!E32</f>
        <v>874</v>
      </c>
      <c r="BD31" s="10">
        <f>TSS_VSS!J32</f>
        <v>71</v>
      </c>
      <c r="BE31" s="10">
        <f>TSS_VSS!K32</f>
        <v>51</v>
      </c>
      <c r="BG31">
        <f t="shared" si="15"/>
        <v>237</v>
      </c>
      <c r="BH31">
        <f>SRT.HRT!B39</f>
        <v>236.95416666666279</v>
      </c>
      <c r="BI31">
        <f>SRT.HRT!P39</f>
        <v>4.6379623168173287</v>
      </c>
      <c r="BJ31">
        <f>SRT.HRT!Q39</f>
        <v>2.9442148760327176</v>
      </c>
      <c r="BK31">
        <f>SRT.HRT!R39</f>
        <v>3.1904461754826841</v>
      </c>
      <c r="BL31">
        <f>SRT.HRT!S39</f>
        <v>0.10614035087720526</v>
      </c>
      <c r="BM31">
        <f>SRT.HRT!T39</f>
        <v>9.7948682664336664E-2</v>
      </c>
      <c r="BO31">
        <f t="shared" si="16"/>
        <v>167</v>
      </c>
      <c r="BP31">
        <f>'H2 Delivery'!C29</f>
        <v>167.00138888888614</v>
      </c>
      <c r="BQ31">
        <f>'H2 Delivery'!F29</f>
        <v>1.25</v>
      </c>
      <c r="BS31">
        <f t="shared" si="17"/>
        <v>282.10000000000002</v>
      </c>
      <c r="BT31" s="38">
        <f>'CO2 Delivery'!M28</f>
        <v>282.08263888888905</v>
      </c>
      <c r="BU31">
        <f>'CO2 Delivery'!N28</f>
        <v>0.70099999999999996</v>
      </c>
      <c r="BW31">
        <v>159.9</v>
      </c>
      <c r="BX31" s="45">
        <v>7.5258770403527533E-2</v>
      </c>
      <c r="BY31" s="45">
        <v>0</v>
      </c>
      <c r="BZ31">
        <v>141.9</v>
      </c>
      <c r="CA31" s="45">
        <v>27.779202268079526</v>
      </c>
      <c r="CB31" s="45">
        <v>0</v>
      </c>
      <c r="CC31" s="45"/>
      <c r="CD31" s="39">
        <v>145.5</v>
      </c>
      <c r="CE31" s="45">
        <v>90.379116793414596</v>
      </c>
      <c r="CF31" s="45">
        <v>0</v>
      </c>
      <c r="CG31">
        <v>127.9</v>
      </c>
      <c r="CH31" s="45">
        <v>237.12834523918258</v>
      </c>
      <c r="CI31" s="45">
        <v>6.0604685484828478</v>
      </c>
      <c r="CK31">
        <f t="shared" si="18"/>
        <v>75.900000000000006</v>
      </c>
      <c r="CL31">
        <f>'Liquid Volume'!A28</f>
        <v>75.870833333334303</v>
      </c>
      <c r="CM31">
        <f>'Liquid Volume'!C28</f>
        <v>900</v>
      </c>
      <c r="CO31">
        <f t="shared" si="19"/>
        <v>264.8</v>
      </c>
      <c r="CP31">
        <f>Ammonia!F29</f>
        <v>264.80208333333576</v>
      </c>
      <c r="CQ31">
        <f>Ammonia!N29</f>
        <v>274.60000000000002</v>
      </c>
      <c r="CR31">
        <f t="shared" si="20"/>
        <v>272.90000000000003</v>
      </c>
      <c r="CS31">
        <f>Ammonia!Q29</f>
        <v>272.9375</v>
      </c>
      <c r="CT31">
        <f>Ammonia!Y29</f>
        <v>282.39999999999998</v>
      </c>
      <c r="CU31">
        <f t="shared" si="21"/>
        <v>278.90000000000003</v>
      </c>
      <c r="CV31">
        <f>Ammonia!AB29</f>
        <v>278.91249999999854</v>
      </c>
      <c r="CW31">
        <f>Ammonia!AJ29</f>
        <v>282.8</v>
      </c>
      <c r="CY31">
        <f t="shared" si="28"/>
        <v>184</v>
      </c>
      <c r="CZ31">
        <f>COD!A24</f>
        <v>183.98124999999709</v>
      </c>
      <c r="DA31">
        <f>COD!I24</f>
        <v>818</v>
      </c>
      <c r="DB31">
        <f t="shared" si="30"/>
        <v>188</v>
      </c>
      <c r="DC31">
        <f>COD!L24</f>
        <v>187.80555555555475</v>
      </c>
      <c r="DD31">
        <f>COD!T24</f>
        <v>308</v>
      </c>
      <c r="DE31">
        <f t="shared" si="22"/>
        <v>194.9</v>
      </c>
      <c r="DF31">
        <f>COD!W27</f>
        <v>194.89791666666861</v>
      </c>
      <c r="DG31">
        <f>COD!AE27</f>
        <v>554</v>
      </c>
    </row>
    <row r="32" spans="1:118" ht="14.4" x14ac:dyDescent="0.3">
      <c r="A32">
        <f t="shared" si="5"/>
        <v>51.900000000000006</v>
      </c>
      <c r="B32">
        <f>GC_TCD!G35</f>
        <v>51.94999999999709</v>
      </c>
      <c r="C32">
        <f>GC_TCD!U35</f>
        <v>34.473530854777252</v>
      </c>
      <c r="D32">
        <f>GC_TCD!V35</f>
        <v>0.11339384169051606</v>
      </c>
      <c r="E32">
        <f>GC_TCD!W35</f>
        <v>61.748454647266271</v>
      </c>
      <c r="F32">
        <f>GC_TCD!X35</f>
        <v>0.26696127684241533</v>
      </c>
      <c r="G32">
        <f>GC_TCD!Y35</f>
        <v>3.7780622344374013</v>
      </c>
      <c r="H32">
        <f>GC_TCD!Z35</f>
        <v>0.30161475980683233</v>
      </c>
      <c r="I32" s="38">
        <f>GC_TCD!K35</f>
        <v>0.53854327527799861</v>
      </c>
      <c r="J32" s="42">
        <f>GC_TCD!AA35</f>
        <v>1.0641348802909996</v>
      </c>
      <c r="K32" s="42">
        <f>GC_TCD!AB35</f>
        <v>3.089423846006127</v>
      </c>
      <c r="L32" s="105">
        <f>GC_TCD!AC35</f>
        <v>3.3002115515571996E-3</v>
      </c>
      <c r="M32" s="42">
        <f t="shared" si="0"/>
        <v>9.2177227359187028E-6</v>
      </c>
      <c r="N32">
        <f t="shared" si="1"/>
        <v>0.33254215009093735</v>
      </c>
      <c r="O32">
        <f t="shared" si="2"/>
        <v>0.18565488216928883</v>
      </c>
      <c r="P32">
        <f t="shared" si="3"/>
        <v>2.0346500099380316E-2</v>
      </c>
      <c r="Q32">
        <f t="shared" si="4"/>
        <v>450</v>
      </c>
      <c r="S32">
        <f t="shared" si="6"/>
        <v>82.9</v>
      </c>
      <c r="T32">
        <f>VFA!F29</f>
        <v>82.859722222223354</v>
      </c>
      <c r="U32">
        <f>VFA!K29</f>
        <v>59.835000000000001</v>
      </c>
      <c r="V32">
        <f>VFA!L29</f>
        <v>1084.1623320000001</v>
      </c>
      <c r="W32" t="str">
        <f>IF(VFA!M29&lt;=0,"",VFA!M29)</f>
        <v/>
      </c>
      <c r="X32">
        <f>VFA!N29</f>
        <v>1705.2657156480002</v>
      </c>
      <c r="Y32">
        <f t="shared" si="7"/>
        <v>106.9</v>
      </c>
      <c r="Z32" s="39">
        <f>VFA!Q29</f>
        <v>106.93541666666715</v>
      </c>
      <c r="AA32" s="39">
        <f>VFA!V29</f>
        <v>176.69499999999999</v>
      </c>
      <c r="AB32" s="39">
        <f>VFA!W29</f>
        <v>50.185000000000002</v>
      </c>
      <c r="AC32" s="39"/>
      <c r="AD32" s="39">
        <f>VFA!Y29</f>
        <v>264.51365499999997</v>
      </c>
      <c r="AE32">
        <f t="shared" si="8"/>
        <v>103.5</v>
      </c>
      <c r="AF32" s="39">
        <f>VFA!AB29</f>
        <v>103.47083333333285</v>
      </c>
      <c r="AG32" s="39">
        <f>IF(VFA!AG29&lt;=0,"",VFA!AG29)</f>
        <v>14.004</v>
      </c>
      <c r="AH32" s="39">
        <f>IF(VFA!AH29&lt;=0,"",VFA!AH29)</f>
        <v>1.84</v>
      </c>
      <c r="AI32" s="45"/>
      <c r="AJ32" s="45">
        <f>VFA!AJ29</f>
        <v>17.728027999999998</v>
      </c>
      <c r="AK32" s="45"/>
      <c r="AL32" s="45"/>
      <c r="AM32" s="45"/>
      <c r="AN32" s="45"/>
      <c r="AO32" s="45"/>
      <c r="AZ32">
        <f t="shared" si="14"/>
        <v>216</v>
      </c>
      <c r="BA32" s="120">
        <f>TSS_VSS!B33</f>
        <v>215.97499999999854</v>
      </c>
      <c r="BB32" s="10">
        <f>TSS_VSS!D33</f>
        <v>429</v>
      </c>
      <c r="BC32" s="10">
        <f>TSS_VSS!E33</f>
        <v>331</v>
      </c>
      <c r="BD32" s="10">
        <f>TSS_VSS!J33</f>
        <v>210</v>
      </c>
      <c r="BE32" s="10">
        <f>TSS_VSS!K33</f>
        <v>168</v>
      </c>
      <c r="BG32">
        <f t="shared" si="15"/>
        <v>243.9</v>
      </c>
      <c r="BH32">
        <f>SRT.HRT!B40</f>
        <v>243.93958333333285</v>
      </c>
      <c r="BI32">
        <f>SRT.HRT!P40</f>
        <v>5.5555710246771355</v>
      </c>
      <c r="BJ32">
        <f>SRT.HRT!Q40</f>
        <v>3.3836786867616016</v>
      </c>
      <c r="BK32">
        <f>SRT.HRT!R40</f>
        <v>3.1144557503662451</v>
      </c>
      <c r="BL32">
        <f>SRT.HRT!S40</f>
        <v>9.2355104881156017E-2</v>
      </c>
      <c r="BM32">
        <f>SRT.HRT!T40</f>
        <v>0.10033855833824304</v>
      </c>
      <c r="BO32">
        <f t="shared" si="16"/>
        <v>184.10000000000002</v>
      </c>
      <c r="BP32">
        <f>'H2 Delivery'!C30</f>
        <v>184.1472222222219</v>
      </c>
      <c r="BQ32">
        <f>'H2 Delivery'!F30</f>
        <v>1.2969999999999999</v>
      </c>
      <c r="BS32">
        <f t="shared" si="17"/>
        <v>295.90000000000003</v>
      </c>
      <c r="BT32" s="38">
        <f>'CO2 Delivery'!M29</f>
        <v>295.85555555555038</v>
      </c>
      <c r="BU32">
        <f>'CO2 Delivery'!N29</f>
        <v>7.01</v>
      </c>
      <c r="BW32">
        <v>162.9</v>
      </c>
      <c r="BX32" s="45" t="s">
        <v>388</v>
      </c>
      <c r="BY32" s="45">
        <v>0</v>
      </c>
      <c r="BZ32">
        <v>145.9</v>
      </c>
      <c r="CA32" s="45">
        <v>0</v>
      </c>
      <c r="CB32" s="45">
        <v>0</v>
      </c>
      <c r="CC32" s="45"/>
      <c r="CD32" s="39">
        <v>148.5</v>
      </c>
      <c r="CE32" s="45">
        <v>179.64629534142691</v>
      </c>
      <c r="CF32" s="45">
        <v>0</v>
      </c>
      <c r="CG32">
        <v>131.9</v>
      </c>
      <c r="CH32" s="45">
        <v>293.8103203729176</v>
      </c>
      <c r="CI32" s="45">
        <v>0</v>
      </c>
      <c r="CK32">
        <f t="shared" si="18"/>
        <v>75.900000000000006</v>
      </c>
      <c r="CL32">
        <f>'Liquid Volume'!A29</f>
        <v>75.929166666668607</v>
      </c>
      <c r="CM32">
        <f>'Liquid Volume'!C29</f>
        <v>900</v>
      </c>
      <c r="CO32">
        <f t="shared" si="19"/>
        <v>272.90000000000003</v>
      </c>
      <c r="CP32">
        <f>Ammonia!F30</f>
        <v>272.9375</v>
      </c>
      <c r="CQ32">
        <f>Ammonia!N30</f>
        <v>262.2</v>
      </c>
      <c r="CR32">
        <f t="shared" si="20"/>
        <v>278.90000000000003</v>
      </c>
      <c r="CS32">
        <f>Ammonia!Q30</f>
        <v>278.91249999999854</v>
      </c>
      <c r="CT32">
        <f>Ammonia!Y30</f>
        <v>268.2</v>
      </c>
      <c r="CU32">
        <f t="shared" si="21"/>
        <v>285.90000000000003</v>
      </c>
      <c r="CV32">
        <f>Ammonia!AB30</f>
        <v>285.93958333333285</v>
      </c>
      <c r="CW32">
        <f>Ammonia!AJ30</f>
        <v>278.40000000000003</v>
      </c>
      <c r="CY32">
        <f t="shared" si="28"/>
        <v>187.8</v>
      </c>
      <c r="CZ32">
        <f>COD!A25</f>
        <v>187.80555555555475</v>
      </c>
      <c r="DA32">
        <f>COD!I25</f>
        <v>228</v>
      </c>
      <c r="DB32">
        <f t="shared" si="30"/>
        <v>191</v>
      </c>
      <c r="DC32">
        <f>COD!L25</f>
        <v>190.9638888888876</v>
      </c>
      <c r="DD32">
        <f>COD!T25</f>
        <v>234</v>
      </c>
      <c r="DE32">
        <f t="shared" si="22"/>
        <v>201.9</v>
      </c>
      <c r="DF32">
        <f>COD!W28</f>
        <v>201.93194444444089</v>
      </c>
      <c r="DG32">
        <f>COD!AE28</f>
        <v>410</v>
      </c>
    </row>
    <row r="33" spans="1:111" ht="14.4" x14ac:dyDescent="0.3">
      <c r="A33">
        <f t="shared" si="5"/>
        <v>55.900000000000006</v>
      </c>
      <c r="B33">
        <f>GC_TCD!G36</f>
        <v>55.897222222221899</v>
      </c>
      <c r="C33">
        <f>GC_TCD!U36</f>
        <v>50.728133333333325</v>
      </c>
      <c r="D33">
        <f>GC_TCD!V36</f>
        <v>7.126881661942658</v>
      </c>
      <c r="E33">
        <f>GC_TCD!W36</f>
        <v>51.3217</v>
      </c>
      <c r="F33">
        <f>GC_TCD!X36</f>
        <v>0.84923061061174643</v>
      </c>
      <c r="G33">
        <f>GC_TCD!Y36</f>
        <v>1.2834999999999999</v>
      </c>
      <c r="H33">
        <f>GC_TCD!Z36</f>
        <v>1.408905181337623</v>
      </c>
      <c r="I33" s="38">
        <f>GC_TCD!K36</f>
        <v>0.55066629134376344</v>
      </c>
      <c r="J33" s="42">
        <f>GC_TCD!AA36</f>
        <v>0.90435616654263118</v>
      </c>
      <c r="K33" s="42">
        <f>GC_TCD!AB36</f>
        <v>2.6255501609302199</v>
      </c>
      <c r="L33" s="105">
        <f>GC_TCD!AC36</f>
        <v>2.8046883180164305E-3</v>
      </c>
      <c r="M33" s="42">
        <f t="shared" si="0"/>
        <v>7.2805098136414597E-6</v>
      </c>
      <c r="N33">
        <f t="shared" si="1"/>
        <v>0.28261130204457224</v>
      </c>
      <c r="O33">
        <f t="shared" si="2"/>
        <v>0.27934273049458608</v>
      </c>
      <c r="P33">
        <f t="shared" si="3"/>
        <v>7.067801849397203E-3</v>
      </c>
      <c r="Q33">
        <f t="shared" si="4"/>
        <v>450</v>
      </c>
      <c r="S33">
        <f t="shared" si="6"/>
        <v>83.9</v>
      </c>
      <c r="T33">
        <f>VFA!F30</f>
        <v>83.875694444446708</v>
      </c>
      <c r="U33">
        <f>VFA!K30</f>
        <v>34.555</v>
      </c>
      <c r="V33">
        <f>VFA!L30</f>
        <v>668.25223399999993</v>
      </c>
      <c r="W33" t="str">
        <f>IF(VFA!M30&lt;=0,"",VFA!M30)</f>
        <v/>
      </c>
      <c r="X33">
        <f>VFA!N30</f>
        <v>1048.604067276</v>
      </c>
      <c r="Y33">
        <f t="shared" si="7"/>
        <v>111.9</v>
      </c>
      <c r="Z33" s="39">
        <f>VFA!Q30</f>
        <v>111.8659722222219</v>
      </c>
      <c r="AA33" s="39">
        <f>VFA!V30</f>
        <v>175.714</v>
      </c>
      <c r="AB33" s="39">
        <f>VFA!W30</f>
        <v>74.44</v>
      </c>
      <c r="AC33" s="39"/>
      <c r="AD33" s="39">
        <f>VFA!Y30</f>
        <v>300.18899799999997</v>
      </c>
      <c r="AE33">
        <f t="shared" si="8"/>
        <v>106.9</v>
      </c>
      <c r="AF33" s="39">
        <f>VFA!AB30</f>
        <v>106.93541666666715</v>
      </c>
      <c r="AG33" s="39">
        <f>IF(VFA!AG30&lt;=0,"",VFA!AG30)</f>
        <v>9.0280000000000005</v>
      </c>
      <c r="AH33" s="39">
        <f>IF(VFA!AH30&lt;=0,"",VFA!AH30)</f>
        <v>0.79700000000000004</v>
      </c>
      <c r="AI33" s="45"/>
      <c r="AJ33" s="45">
        <f>VFA!AJ30</f>
        <v>10.839534</v>
      </c>
      <c r="AK33" s="45"/>
      <c r="AL33" s="45"/>
      <c r="AM33" s="45"/>
      <c r="AN33" s="45"/>
      <c r="AO33" s="45"/>
      <c r="AZ33">
        <f t="shared" si="14"/>
        <v>237</v>
      </c>
      <c r="BA33" s="120">
        <f>TSS_VSS!B34</f>
        <v>236.95416666666279</v>
      </c>
      <c r="BB33" s="10">
        <f>TSS_VSS!D34</f>
        <v>396</v>
      </c>
      <c r="BC33" s="10">
        <f>TSS_VSS!E34</f>
        <v>322</v>
      </c>
      <c r="BD33" s="10">
        <f>TSS_VSS!J34</f>
        <v>249</v>
      </c>
      <c r="BE33" s="10">
        <f>TSS_VSS!K34</f>
        <v>210</v>
      </c>
      <c r="BG33">
        <f t="shared" si="15"/>
        <v>250.9</v>
      </c>
      <c r="BH33">
        <f>SRT.HRT!B41</f>
        <v>250.88055555555184</v>
      </c>
      <c r="BI33">
        <f>SRT.HRT!P41</f>
        <v>7.3705456256692541</v>
      </c>
      <c r="BJ33">
        <f>SRT.HRT!Q41</f>
        <v>3.243444963653733</v>
      </c>
      <c r="BK33">
        <f>SRT.HRT!R41</f>
        <v>2.9722810056764195</v>
      </c>
      <c r="BL33">
        <f>SRT.HRT!S41</f>
        <v>9.6348174087088401E-2</v>
      </c>
      <c r="BM33">
        <f>SRT.HRT!T41</f>
        <v>0.1051381075353212</v>
      </c>
      <c r="BO33">
        <f t="shared" si="16"/>
        <v>185.20000000000002</v>
      </c>
      <c r="BP33">
        <f>'H2 Delivery'!C31</f>
        <v>185.16180555555184</v>
      </c>
      <c r="BQ33">
        <f>'H2 Delivery'!F31</f>
        <v>1.331</v>
      </c>
      <c r="BS33">
        <f t="shared" si="17"/>
        <v>295.90000000000003</v>
      </c>
      <c r="BT33" s="38">
        <f>'CO2 Delivery'!M30</f>
        <v>295.90763888888614</v>
      </c>
      <c r="BU33">
        <f>'CO2 Delivery'!N30</f>
        <v>0.70099999999999996</v>
      </c>
      <c r="BW33">
        <v>166.9</v>
      </c>
      <c r="BX33" s="45" t="s">
        <v>388</v>
      </c>
      <c r="BY33" s="45">
        <v>0</v>
      </c>
      <c r="BZ33">
        <v>148.80000000000001</v>
      </c>
      <c r="CA33" s="45" t="s">
        <v>388</v>
      </c>
      <c r="CB33" s="45">
        <v>0</v>
      </c>
      <c r="CC33" s="45"/>
      <c r="CD33" s="39">
        <v>153.5</v>
      </c>
      <c r="CE33" s="45">
        <v>229.49777079839893</v>
      </c>
      <c r="CF33" s="45">
        <v>2.5947344311934137</v>
      </c>
      <c r="CG33">
        <v>135</v>
      </c>
      <c r="CH33" s="45">
        <v>359.3913188634366</v>
      </c>
      <c r="CI33" s="45">
        <v>36.82702923847949</v>
      </c>
      <c r="CK33">
        <f t="shared" si="18"/>
        <v>76.900000000000006</v>
      </c>
      <c r="CL33">
        <f>'Liquid Volume'!A30</f>
        <v>76.86250000000291</v>
      </c>
      <c r="CM33">
        <f>'Liquid Volume'!C30</f>
        <v>900</v>
      </c>
      <c r="CO33">
        <f t="shared" si="19"/>
        <v>278.90000000000003</v>
      </c>
      <c r="CP33">
        <f>Ammonia!F31</f>
        <v>278.91249999999854</v>
      </c>
      <c r="CQ33">
        <f>Ammonia!N31</f>
        <v>252.79999999999998</v>
      </c>
      <c r="CR33">
        <f t="shared" si="20"/>
        <v>285.90000000000003</v>
      </c>
      <c r="CS33">
        <f>Ammonia!Q31</f>
        <v>285.93958333333285</v>
      </c>
      <c r="CT33">
        <f>Ammonia!Y31</f>
        <v>253.2</v>
      </c>
      <c r="CU33">
        <f t="shared" si="21"/>
        <v>292.90000000000003</v>
      </c>
      <c r="CV33">
        <f>Ammonia!AB31</f>
        <v>292.88263888889196</v>
      </c>
      <c r="CW33">
        <f>Ammonia!AJ31</f>
        <v>281</v>
      </c>
      <c r="CY33">
        <f t="shared" si="28"/>
        <v>194.9</v>
      </c>
      <c r="CZ33">
        <f>COD!A26</f>
        <v>194.89791666666861</v>
      </c>
      <c r="DA33">
        <f>COD!I26</f>
        <v>252</v>
      </c>
      <c r="DB33">
        <f t="shared" si="30"/>
        <v>195</v>
      </c>
      <c r="DC33">
        <f>COD!L26</f>
        <v>194.89791666666861</v>
      </c>
      <c r="DD33">
        <f>COD!T26</f>
        <v>268</v>
      </c>
      <c r="DE33">
        <f t="shared" si="22"/>
        <v>204.9</v>
      </c>
      <c r="DF33">
        <f>COD!W29</f>
        <v>204.94444444444525</v>
      </c>
      <c r="DG33">
        <f>COD!AE29</f>
        <v>842</v>
      </c>
    </row>
    <row r="34" spans="1:111" ht="14.4" x14ac:dyDescent="0.3">
      <c r="A34">
        <f t="shared" si="5"/>
        <v>58.900000000000006</v>
      </c>
      <c r="B34">
        <f>GC_TCD!G37</f>
        <v>58.947916666664241</v>
      </c>
      <c r="C34">
        <f>GC_TCD!U37</f>
        <v>42.175800000000002</v>
      </c>
      <c r="D34">
        <f>GC_TCD!V37</f>
        <v>0.83587319014309525</v>
      </c>
      <c r="E34">
        <f>GC_TCD!W37</f>
        <v>57.428500000000007</v>
      </c>
      <c r="F34">
        <f>GC_TCD!X37</f>
        <v>0.17214653641592734</v>
      </c>
      <c r="G34">
        <f>GC_TCD!Y37</f>
        <v>0.3957</v>
      </c>
      <c r="H34">
        <f>GC_TCD!Z37</f>
        <v>0.68537250455500476</v>
      </c>
      <c r="I34" s="38">
        <f>GC_TCD!K37</f>
        <v>0.51346681212713696</v>
      </c>
      <c r="J34" s="42">
        <f>GC_TCD!AA37</f>
        <v>0.94360412224778534</v>
      </c>
      <c r="K34" s="42">
        <f>GC_TCD!AB37</f>
        <v>2.7394958387838928</v>
      </c>
      <c r="L34" s="105">
        <f>GC_TCD!AC37</f>
        <v>2.9264083736147716E-3</v>
      </c>
      <c r="M34" s="42">
        <f t="shared" si="0"/>
        <v>7.2033394736006349E-6</v>
      </c>
      <c r="N34">
        <f t="shared" si="1"/>
        <v>0.29487628820243289</v>
      </c>
      <c r="O34">
        <f t="shared" si="2"/>
        <v>0.21655873574911705</v>
      </c>
      <c r="P34">
        <f t="shared" si="3"/>
        <v>2.031788175587081E-3</v>
      </c>
      <c r="Q34">
        <f t="shared" si="4"/>
        <v>450</v>
      </c>
      <c r="S34">
        <f t="shared" si="6"/>
        <v>84.9</v>
      </c>
      <c r="T34">
        <f>VFA!F31</f>
        <v>84.930555555554747</v>
      </c>
      <c r="U34">
        <f>VFA!K31</f>
        <v>40.49</v>
      </c>
      <c r="V34">
        <f>VFA!L31</f>
        <v>696.99486000000002</v>
      </c>
      <c r="W34" t="str">
        <f>IF(VFA!M31&lt;=0,"",VFA!M31)</f>
        <v/>
      </c>
      <c r="X34">
        <f>VFA!N31</f>
        <v>1098.4530480399999</v>
      </c>
      <c r="Y34">
        <f t="shared" si="7"/>
        <v>114.9</v>
      </c>
      <c r="Z34" s="39">
        <f>VFA!Q31</f>
        <v>114.90763888888614</v>
      </c>
      <c r="AA34" s="39">
        <f>VFA!V31</f>
        <v>129.13999999999999</v>
      </c>
      <c r="AB34" s="39">
        <f>VFA!W31</f>
        <v>39.655999999999999</v>
      </c>
      <c r="AC34" s="39"/>
      <c r="AD34" s="39">
        <f>VFA!Y31</f>
        <v>197.83156399999999</v>
      </c>
      <c r="AE34">
        <f t="shared" si="8"/>
        <v>108</v>
      </c>
      <c r="AF34" s="39">
        <f>VFA!AB31</f>
        <v>108.0222222222219</v>
      </c>
      <c r="AG34" s="39">
        <f>IF(VFA!AG31&lt;=0,"",VFA!AG31)</f>
        <v>11.53</v>
      </c>
      <c r="AH34" s="39" t="str">
        <f>IF(VFA!AH31&lt;=0,"",VFA!AH31)</f>
        <v/>
      </c>
      <c r="AI34" s="45"/>
      <c r="AJ34" s="45">
        <f>VFA!AJ31</f>
        <v>12.302509999999998</v>
      </c>
      <c r="AK34" s="45"/>
      <c r="AL34" s="45"/>
      <c r="AM34" s="45"/>
      <c r="AN34" s="45"/>
      <c r="AO34" s="45"/>
      <c r="AZ34">
        <f t="shared" si="14"/>
        <v>243.9</v>
      </c>
      <c r="BA34" s="120">
        <f>TSS_VSS!B35</f>
        <v>243.93958333333285</v>
      </c>
      <c r="BB34" s="10">
        <f>TSS_VSS!D35</f>
        <v>722</v>
      </c>
      <c r="BC34" s="10">
        <f>TSS_VSS!E35</f>
        <v>591</v>
      </c>
      <c r="BD34" s="10">
        <f>TSS_VSS!J35</f>
        <v>403</v>
      </c>
      <c r="BE34" s="10">
        <f>TSS_VSS!K35</f>
        <v>352</v>
      </c>
      <c r="BG34">
        <f t="shared" si="15"/>
        <v>258</v>
      </c>
      <c r="BH34">
        <f>SRT.HRT!B42</f>
        <v>257.95486111110949</v>
      </c>
      <c r="BI34">
        <f>SRT.HRT!P42</f>
        <v>6.0617961648907492</v>
      </c>
      <c r="BJ34">
        <f>SRT.HRT!Q42</f>
        <v>2.7162436006834008</v>
      </c>
      <c r="BK34">
        <f>SRT.HRT!R42</f>
        <v>2.832976377088372</v>
      </c>
      <c r="BL34">
        <f>SRT.HRT!S42</f>
        <v>0.11504859134187218</v>
      </c>
      <c r="BM34">
        <f>SRT.HRT!T42</f>
        <v>0.11030801475343607</v>
      </c>
      <c r="BO34">
        <f t="shared" si="16"/>
        <v>189.9</v>
      </c>
      <c r="BP34">
        <f>'H2 Delivery'!C32</f>
        <v>189.94722222221753</v>
      </c>
      <c r="BQ34">
        <f>'H2 Delivery'!F32</f>
        <v>1.3480000000000001</v>
      </c>
      <c r="BS34">
        <f t="shared" si="17"/>
        <v>303.2</v>
      </c>
      <c r="BT34" s="38">
        <f>'CO2 Delivery'!M31</f>
        <v>303.18541666666715</v>
      </c>
      <c r="BU34">
        <f>'CO2 Delivery'!N31</f>
        <v>0.84099999999999997</v>
      </c>
      <c r="BW34">
        <v>173.9</v>
      </c>
      <c r="BX34" s="45" t="s">
        <v>388</v>
      </c>
      <c r="BY34" s="45">
        <v>0</v>
      </c>
      <c r="BZ34">
        <v>154</v>
      </c>
      <c r="CA34" s="45">
        <v>30.924664083749629</v>
      </c>
      <c r="CB34" s="45">
        <v>0</v>
      </c>
      <c r="CC34" s="45"/>
      <c r="CD34" s="39">
        <v>155.5</v>
      </c>
      <c r="CE34" s="45">
        <v>167.0325661863896</v>
      </c>
      <c r="CF34" s="45">
        <v>0</v>
      </c>
      <c r="CG34">
        <v>138.9</v>
      </c>
      <c r="CH34" s="45">
        <v>381.81935057224365</v>
      </c>
      <c r="CI34" s="45">
        <v>24.661523516652913</v>
      </c>
      <c r="CK34">
        <f t="shared" si="18"/>
        <v>77.900000000000006</v>
      </c>
      <c r="CL34">
        <f>'Liquid Volume'!A31</f>
        <v>77.863194444442343</v>
      </c>
      <c r="CM34">
        <f>'Liquid Volume'!C31</f>
        <v>900</v>
      </c>
      <c r="CO34">
        <f t="shared" si="19"/>
        <v>285.90000000000003</v>
      </c>
      <c r="CP34">
        <f>Ammonia!F32</f>
        <v>285.93958333333285</v>
      </c>
      <c r="CQ34">
        <f>Ammonia!N32</f>
        <v>233.60000000000002</v>
      </c>
      <c r="CR34">
        <f t="shared" si="20"/>
        <v>292.90000000000003</v>
      </c>
      <c r="CS34">
        <f>Ammonia!Q32</f>
        <v>292.88263888889196</v>
      </c>
      <c r="CT34">
        <f>Ammonia!Y32</f>
        <v>247.59999999999997</v>
      </c>
      <c r="CU34">
        <f t="shared" si="21"/>
        <v>299.8</v>
      </c>
      <c r="CV34">
        <f>Ammonia!AB32</f>
        <v>299.83125000000291</v>
      </c>
      <c r="CW34">
        <f>Ammonia!AJ32</f>
        <v>272</v>
      </c>
      <c r="CY34">
        <f t="shared" si="28"/>
        <v>201.9</v>
      </c>
      <c r="CZ34">
        <f>COD!A27</f>
        <v>201.93194444444089</v>
      </c>
      <c r="DA34">
        <f>COD!I27</f>
        <v>268</v>
      </c>
      <c r="DB34">
        <f t="shared" si="30"/>
        <v>202</v>
      </c>
      <c r="DC34">
        <f>COD!L27</f>
        <v>201.93194444444089</v>
      </c>
      <c r="DD34">
        <f>COD!T27</f>
        <v>322</v>
      </c>
      <c r="DE34">
        <f t="shared" si="22"/>
        <v>208.9</v>
      </c>
      <c r="DF34">
        <f>COD!W30</f>
        <v>208.91319444444525</v>
      </c>
      <c r="DG34">
        <f>COD!AE30</f>
        <v>798</v>
      </c>
    </row>
    <row r="35" spans="1:111" ht="14.4" x14ac:dyDescent="0.3">
      <c r="A35">
        <f t="shared" si="5"/>
        <v>62</v>
      </c>
      <c r="B35">
        <f>GC_TCD!G38</f>
        <v>61.977777777778101</v>
      </c>
      <c r="C35">
        <f>GC_TCD!U38</f>
        <v>8.9092333333333329</v>
      </c>
      <c r="D35">
        <f>GC_TCD!V38</f>
        <v>0.67109228376828556</v>
      </c>
      <c r="E35">
        <f>GC_TCD!W38</f>
        <v>67.272566666666663</v>
      </c>
      <c r="F35">
        <f>GC_TCD!X38</f>
        <v>0.86660715629016605</v>
      </c>
      <c r="G35">
        <f>GC_TCD!Y38</f>
        <v>23.818233333333335</v>
      </c>
      <c r="H35">
        <f>GC_TCD!Z38</f>
        <v>0.22163822624568597</v>
      </c>
      <c r="I35" s="38">
        <f>GC_TCD!K38</f>
        <v>0.87858471235308822</v>
      </c>
      <c r="J35" s="42">
        <f>GC_TCD!AA38</f>
        <v>1.8913487562907934</v>
      </c>
      <c r="K35" s="42">
        <f>GC_TCD!AB38</f>
        <v>5.4910125182635934</v>
      </c>
      <c r="L35" s="105">
        <f>GC_TCD!AC38</f>
        <v>5.8656577555538042E-3</v>
      </c>
      <c r="M35" s="42">
        <f t="shared" si="0"/>
        <v>1.3732453321939176E-5</v>
      </c>
      <c r="N35">
        <f t="shared" si="1"/>
        <v>0.59104648634087287</v>
      </c>
      <c r="O35">
        <f t="shared" si="2"/>
        <v>7.827516205453211E-2</v>
      </c>
      <c r="P35">
        <f t="shared" si="3"/>
        <v>0.20926335681925404</v>
      </c>
      <c r="Q35">
        <f t="shared" si="4"/>
        <v>450</v>
      </c>
      <c r="S35">
        <f t="shared" si="6"/>
        <v>85.9</v>
      </c>
      <c r="T35">
        <f>VFA!F32</f>
        <v>85.860416666662786</v>
      </c>
      <c r="U35">
        <f>VFA!K32</f>
        <v>14.58</v>
      </c>
      <c r="V35">
        <f>VFA!L32</f>
        <v>249.34132799999998</v>
      </c>
      <c r="W35" t="str">
        <f>IF(VFA!M32&lt;=0,"",VFA!M32)</f>
        <v/>
      </c>
      <c r="X35">
        <f>VFA!N32</f>
        <v>393.05963059199996</v>
      </c>
      <c r="Y35">
        <f t="shared" si="7"/>
        <v>117.9</v>
      </c>
      <c r="Z35" s="39">
        <f>VFA!Q32</f>
        <v>117.88680555555766</v>
      </c>
      <c r="AA35" s="39">
        <f>VFA!V32</f>
        <v>163.89599999999999</v>
      </c>
      <c r="AB35" s="39">
        <f>VFA!W32</f>
        <v>16.036000000000001</v>
      </c>
      <c r="AC35" s="39"/>
      <c r="AD35" s="39">
        <f>VFA!Y32</f>
        <v>199.15553599999998</v>
      </c>
      <c r="AE35">
        <f t="shared" si="8"/>
        <v>111.9</v>
      </c>
      <c r="AF35" s="39">
        <f>VFA!AB32</f>
        <v>111.8659722222219</v>
      </c>
      <c r="AG35" s="39">
        <f>IF(VFA!AG32&lt;=0,"",VFA!AG32)</f>
        <v>30.675000000000001</v>
      </c>
      <c r="AH35" s="39" t="str">
        <f>IF(VFA!AH32&lt;=0,"",VFA!AH32)</f>
        <v/>
      </c>
      <c r="AI35" s="45"/>
      <c r="AJ35" s="45">
        <f>VFA!AJ32</f>
        <v>32.730224999999997</v>
      </c>
      <c r="AK35" s="45"/>
      <c r="AL35" s="45"/>
      <c r="AM35" s="45"/>
      <c r="AN35" s="45"/>
      <c r="AO35" s="45"/>
      <c r="AZ35">
        <f t="shared" si="14"/>
        <v>250.9</v>
      </c>
      <c r="BA35" s="120">
        <f>TSS_VSS!B36</f>
        <v>250.88055555555184</v>
      </c>
      <c r="BB35" s="10">
        <f>TSS_VSS!D36</f>
        <v>524</v>
      </c>
      <c r="BC35" s="10">
        <f>TSS_VSS!E36</f>
        <v>453</v>
      </c>
      <c r="BD35" s="10">
        <f>TSS_VSS!J36</f>
        <v>209</v>
      </c>
      <c r="BE35" s="10">
        <f>TSS_VSS!K36</f>
        <v>171</v>
      </c>
      <c r="BG35">
        <f t="shared" si="15"/>
        <v>265</v>
      </c>
      <c r="BH35">
        <f>SRT.HRT!B43</f>
        <v>265.03888888889196</v>
      </c>
      <c r="BI35">
        <f>SRT.HRT!P43</f>
        <v>4.915129405289596</v>
      </c>
      <c r="BJ35">
        <f>SRT.HRT!Q43</f>
        <v>2.9571544526921243</v>
      </c>
      <c r="BK35">
        <f>SRT.HRT!R43</f>
        <v>2.9682583898989328</v>
      </c>
      <c r="BL35">
        <f>SRT.HRT!S43</f>
        <v>0.10567591412599613</v>
      </c>
      <c r="BM35">
        <f>SRT.HRT!T43</f>
        <v>0.10528059183238438</v>
      </c>
      <c r="BO35">
        <f t="shared" si="16"/>
        <v>197.20000000000002</v>
      </c>
      <c r="BP35">
        <f>'H2 Delivery'!C33</f>
        <v>197.15486111110658</v>
      </c>
      <c r="BQ35">
        <f>'H2 Delivery'!F33</f>
        <v>1.48</v>
      </c>
      <c r="BS35">
        <f t="shared" si="17"/>
        <v>309.90000000000003</v>
      </c>
      <c r="BT35" s="38">
        <f>'CO2 Delivery'!M32</f>
        <v>309.90486111110658</v>
      </c>
      <c r="BU35">
        <f>'CO2 Delivery'!N32</f>
        <v>1.012</v>
      </c>
      <c r="BW35">
        <v>176.9</v>
      </c>
      <c r="BX35" s="45">
        <v>0</v>
      </c>
      <c r="BY35" s="45">
        <v>0</v>
      </c>
      <c r="BZ35">
        <v>155.80000000000001</v>
      </c>
      <c r="CA35" s="45">
        <v>29.514661654218347</v>
      </c>
      <c r="CB35" s="45">
        <v>0</v>
      </c>
      <c r="CC35" s="45"/>
      <c r="CD35" s="39">
        <v>159.5</v>
      </c>
      <c r="CE35" s="45">
        <v>171.48420893281155</v>
      </c>
      <c r="CF35" s="45">
        <v>0</v>
      </c>
      <c r="CG35">
        <v>141.9</v>
      </c>
      <c r="CH35" s="45">
        <v>234.38170784566034</v>
      </c>
      <c r="CI35" s="45">
        <v>6.618809339292719</v>
      </c>
      <c r="CK35">
        <f t="shared" si="18"/>
        <v>78.100000000000009</v>
      </c>
      <c r="CL35">
        <f>'Liquid Volume'!A32</f>
        <v>78.109027777776646</v>
      </c>
      <c r="CM35">
        <f>'Liquid Volume'!C32</f>
        <v>650</v>
      </c>
      <c r="CO35">
        <f t="shared" si="19"/>
        <v>292.90000000000003</v>
      </c>
      <c r="CP35">
        <f>Ammonia!F33</f>
        <v>292.88263888889196</v>
      </c>
      <c r="CQ35">
        <f>Ammonia!N33</f>
        <v>235.79999999999998</v>
      </c>
      <c r="CR35">
        <f t="shared" si="20"/>
        <v>299.8</v>
      </c>
      <c r="CS35">
        <f>Ammonia!Q33</f>
        <v>299.83125000000291</v>
      </c>
      <c r="CT35">
        <f>Ammonia!Y33</f>
        <v>264.2</v>
      </c>
      <c r="CU35">
        <f t="shared" si="21"/>
        <v>306.90000000000003</v>
      </c>
      <c r="CV35">
        <f>Ammonia!AB33</f>
        <v>306.88472222222481</v>
      </c>
      <c r="CW35">
        <f>Ammonia!AJ33</f>
        <v>286.40000000000003</v>
      </c>
      <c r="CY35">
        <f t="shared" si="28"/>
        <v>204.9</v>
      </c>
      <c r="CZ35">
        <f>COD!A28</f>
        <v>204.94444444444525</v>
      </c>
      <c r="DA35">
        <f>COD!I28</f>
        <v>568</v>
      </c>
      <c r="DB35">
        <f t="shared" si="30"/>
        <v>205</v>
      </c>
      <c r="DC35">
        <f>COD!L28</f>
        <v>204.94444444444525</v>
      </c>
      <c r="DD35">
        <f>COD!T28</f>
        <v>560</v>
      </c>
      <c r="DE35">
        <f t="shared" si="22"/>
        <v>212</v>
      </c>
      <c r="DF35">
        <f>COD!W31</f>
        <v>211.96527777777374</v>
      </c>
      <c r="DG35">
        <f>COD!AE31</f>
        <v>640</v>
      </c>
    </row>
    <row r="36" spans="1:111" ht="14.4" x14ac:dyDescent="0.3">
      <c r="A36">
        <f t="shared" si="5"/>
        <v>65</v>
      </c>
      <c r="B36">
        <f>GC_TCD!G39</f>
        <v>64.977777777778101</v>
      </c>
      <c r="C36">
        <f>GC_TCD!U39</f>
        <v>0</v>
      </c>
      <c r="D36">
        <f>GC_TCD!V39</f>
        <v>0</v>
      </c>
      <c r="E36">
        <f>GC_TCD!W39</f>
        <v>72.243166666666653</v>
      </c>
      <c r="F36">
        <f>GC_TCD!X39</f>
        <v>0.8269251014047948</v>
      </c>
      <c r="G36">
        <f>GC_TCD!Y39</f>
        <v>27.756833333333333</v>
      </c>
      <c r="H36">
        <f>GC_TCD!Z39</f>
        <v>0.82692510140479669</v>
      </c>
      <c r="I36" s="38">
        <f>GC_TCD!K39</f>
        <v>0.85539342592592615</v>
      </c>
      <c r="J36" s="42">
        <f>GC_TCD!AA39</f>
        <v>1.9774825547116053</v>
      </c>
      <c r="K36" s="42">
        <f>GC_TCD!AB39</f>
        <v>5.7410783846465954</v>
      </c>
      <c r="L36" s="105">
        <f>GC_TCD!AC39</f>
        <v>6.1327853178512904E-3</v>
      </c>
      <c r="M36" s="42">
        <f t="shared" si="0"/>
        <v>1.3694945873088168E-5</v>
      </c>
      <c r="N36">
        <f t="shared" si="1"/>
        <v>0.61796329834737662</v>
      </c>
      <c r="O36">
        <f t="shared" si="2"/>
        <v>0</v>
      </c>
      <c r="P36">
        <f t="shared" si="3"/>
        <v>0.23743012757854945</v>
      </c>
      <c r="Q36">
        <f t="shared" si="4"/>
        <v>450</v>
      </c>
      <c r="S36">
        <f t="shared" si="6"/>
        <v>86.800000000000011</v>
      </c>
      <c r="T36">
        <f>VFA!F33</f>
        <v>86.804166666668607</v>
      </c>
      <c r="U36">
        <f>VFA!K33</f>
        <v>46.375</v>
      </c>
      <c r="V36">
        <f>VFA!L33</f>
        <v>644.76090000000011</v>
      </c>
      <c r="W36" t="str">
        <f>IF(VFA!M33&lt;=0,"",VFA!M33)</f>
        <v/>
      </c>
      <c r="X36">
        <f>VFA!N33</f>
        <v>1025.6501276000001</v>
      </c>
      <c r="Y36">
        <f t="shared" si="7"/>
        <v>120.5</v>
      </c>
      <c r="Z36" s="39">
        <f>VFA!Q33</f>
        <v>120.47083333333285</v>
      </c>
      <c r="AA36" s="39">
        <f>VFA!V33</f>
        <v>56.564</v>
      </c>
      <c r="AB36" s="39" t="str">
        <f>VFA!W33</f>
        <v/>
      </c>
      <c r="AC36" s="39"/>
      <c r="AD36" s="39">
        <f>VFA!Y33</f>
        <v>60.353787999999994</v>
      </c>
      <c r="AE36">
        <f t="shared" si="8"/>
        <v>114.9</v>
      </c>
      <c r="AF36" s="39">
        <f>VFA!AB33</f>
        <v>114.9111111111124</v>
      </c>
      <c r="AG36" s="39">
        <f>IF(VFA!AG33&lt;=0,"",VFA!AG33)</f>
        <v>62.597000000000001</v>
      </c>
      <c r="AH36" s="39">
        <f>IF(VFA!AH33&lt;=0,"",VFA!AH33)</f>
        <v>2.1659999999999999</v>
      </c>
      <c r="AI36" s="45"/>
      <c r="AJ36" s="45">
        <f>VFA!AJ33</f>
        <v>70.070323000000002</v>
      </c>
      <c r="AK36" s="45"/>
      <c r="AL36" s="45"/>
      <c r="AM36" s="45"/>
      <c r="AN36" s="45"/>
      <c r="AO36" s="45"/>
      <c r="AZ36">
        <f t="shared" si="14"/>
        <v>258</v>
      </c>
      <c r="BA36" s="120">
        <f>TSS_VSS!B37</f>
        <v>257.95486111110949</v>
      </c>
      <c r="BB36" s="10">
        <f>TSS_VSS!D37</f>
        <v>256</v>
      </c>
      <c r="BC36" s="10">
        <f>TSS_VSS!E37</f>
        <v>191</v>
      </c>
      <c r="BD36" s="10">
        <f>TSS_VSS!J37</f>
        <v>111</v>
      </c>
      <c r="BE36" s="10">
        <f>TSS_VSS!K37</f>
        <v>88</v>
      </c>
      <c r="BG36">
        <f t="shared" si="15"/>
        <v>273</v>
      </c>
      <c r="BH36">
        <f>SRT.HRT!B44</f>
        <v>273.01944444444234</v>
      </c>
      <c r="BI36">
        <f>SRT.HRT!P44</f>
        <v>5.5237124213434239</v>
      </c>
      <c r="BJ36">
        <f>SRT.HRT!Q44</f>
        <v>2.8255310778895919</v>
      </c>
      <c r="BK36">
        <f>SRT.HRT!R44</f>
        <v>3.1919188022863927</v>
      </c>
      <c r="BL36">
        <f>SRT.HRT!S44</f>
        <v>0.1105986773408305</v>
      </c>
      <c r="BM36">
        <f>SRT.HRT!T44</f>
        <v>9.7903492963591104E-2</v>
      </c>
      <c r="BO36">
        <f t="shared" si="16"/>
        <v>211.10000000000002</v>
      </c>
      <c r="BP36">
        <f>'H2 Delivery'!C34</f>
        <v>211.10138888888469</v>
      </c>
      <c r="BQ36">
        <f>'H2 Delivery'!F34</f>
        <v>1.4970000000000001</v>
      </c>
      <c r="BT36" s="38"/>
      <c r="BW36">
        <v>180.9</v>
      </c>
      <c r="BX36" s="45" t="s">
        <v>388</v>
      </c>
      <c r="BY36" s="45">
        <v>0</v>
      </c>
      <c r="BZ36">
        <v>159.9</v>
      </c>
      <c r="CA36" s="45">
        <v>80.97664779300888</v>
      </c>
      <c r="CB36" s="45">
        <v>0</v>
      </c>
      <c r="CC36" s="45"/>
      <c r="CD36" s="39">
        <v>162.5</v>
      </c>
      <c r="CE36" s="45">
        <v>326.10028200546327</v>
      </c>
      <c r="CF36" s="45">
        <v>0.22050778913313399</v>
      </c>
      <c r="CG36">
        <v>145.9</v>
      </c>
      <c r="CH36" s="45">
        <v>95.455904184123767</v>
      </c>
      <c r="CI36" s="45">
        <v>0</v>
      </c>
      <c r="CK36">
        <f t="shared" si="18"/>
        <v>78.900000000000006</v>
      </c>
      <c r="CL36">
        <f>'Liquid Volume'!A33</f>
        <v>78.85624999999709</v>
      </c>
      <c r="CM36">
        <f>'Liquid Volume'!C33</f>
        <v>650</v>
      </c>
      <c r="CO36">
        <f t="shared" si="19"/>
        <v>299.8</v>
      </c>
      <c r="CP36">
        <f>Ammonia!F34</f>
        <v>299.83125000000291</v>
      </c>
      <c r="CQ36">
        <f>Ammonia!N34</f>
        <v>252.2</v>
      </c>
      <c r="CR36">
        <f t="shared" si="20"/>
        <v>306.90000000000003</v>
      </c>
      <c r="CS36">
        <f>Ammonia!Q34</f>
        <v>306.88472222222481</v>
      </c>
      <c r="CT36">
        <f>Ammonia!Y34</f>
        <v>268.8</v>
      </c>
      <c r="CY36">
        <f t="shared" si="28"/>
        <v>208.9</v>
      </c>
      <c r="CZ36">
        <f>COD!A29</f>
        <v>208.91319444444525</v>
      </c>
      <c r="DA36">
        <f>COD!I29</f>
        <v>530</v>
      </c>
      <c r="DB36">
        <f t="shared" si="30"/>
        <v>209</v>
      </c>
      <c r="DC36">
        <f>COD!L29</f>
        <v>208.91319444444525</v>
      </c>
      <c r="DD36">
        <f>COD!T29</f>
        <v>496</v>
      </c>
      <c r="DE36">
        <f t="shared" si="22"/>
        <v>215.9</v>
      </c>
      <c r="DF36">
        <f>COD!W32</f>
        <v>215.87847222221899</v>
      </c>
      <c r="DG36">
        <f>COD!AE32</f>
        <v>762</v>
      </c>
    </row>
    <row r="37" spans="1:111" ht="14.4" x14ac:dyDescent="0.3">
      <c r="A37">
        <f t="shared" si="5"/>
        <v>72.2</v>
      </c>
      <c r="B37">
        <f>GC_TCD!G40</f>
        <v>72.150000000001455</v>
      </c>
      <c r="C37">
        <f>GC_TCD!U40</f>
        <v>0.36833887159730255</v>
      </c>
      <c r="D37">
        <f>GC_TCD!V40</f>
        <v>0.10962961886886829</v>
      </c>
      <c r="E37">
        <f>GC_TCD!W40</f>
        <v>77.505331832279211</v>
      </c>
      <c r="F37">
        <f>GC_TCD!X40</f>
        <v>0.24019968775999867</v>
      </c>
      <c r="G37">
        <f>GC_TCD!Y40</f>
        <v>22.126423296090699</v>
      </c>
      <c r="H37">
        <f>GC_TCD!Z40</f>
        <v>0.33613146733582366</v>
      </c>
      <c r="I37" s="38">
        <f>GC_TCD!K40</f>
        <v>0.84881825135540423</v>
      </c>
      <c r="J37" s="42">
        <f>GC_TCD!AA40</f>
        <v>2.105214087571059</v>
      </c>
      <c r="K37" s="42">
        <f>GC_TCD!AB40</f>
        <v>6.1119118671417842</v>
      </c>
      <c r="L37" s="105">
        <f>GC_TCD!AC40</f>
        <v>6.5289203267193422E-3</v>
      </c>
      <c r="M37" s="42">
        <f t="shared" si="0"/>
        <v>1.3130233394413823E-5</v>
      </c>
      <c r="N37">
        <f t="shared" si="1"/>
        <v>0.65787940236595588</v>
      </c>
      <c r="O37">
        <f t="shared" si="2"/>
        <v>3.1265275689544509E-3</v>
      </c>
      <c r="P37">
        <f t="shared" si="3"/>
        <v>0.18781311930937186</v>
      </c>
      <c r="Q37">
        <f t="shared" si="4"/>
        <v>450</v>
      </c>
      <c r="S37">
        <f t="shared" si="6"/>
        <v>86.800000000000011</v>
      </c>
      <c r="T37">
        <f>VFA!F34</f>
        <v>86.845833333332848</v>
      </c>
      <c r="U37">
        <f>VFA!K34</f>
        <v>45.214999999999996</v>
      </c>
      <c r="V37">
        <f>VFA!L34</f>
        <v>628.30763999999999</v>
      </c>
      <c r="W37" t="str">
        <f>IF(VFA!M34&lt;=0,"",VFA!M34)</f>
        <v/>
      </c>
      <c r="X37">
        <f>VFA!N34</f>
        <v>999.50217196000006</v>
      </c>
      <c r="Y37">
        <f t="shared" si="7"/>
        <v>124.9</v>
      </c>
      <c r="Z37" s="39">
        <f>VFA!Q34</f>
        <v>124.90555555555329</v>
      </c>
      <c r="AA37" s="39">
        <f>VFA!V34</f>
        <v>19.776</v>
      </c>
      <c r="AB37" s="39">
        <f>VFA!W34</f>
        <v>6.71</v>
      </c>
      <c r="AC37" s="39"/>
      <c r="AD37" s="39">
        <f>VFA!Y34</f>
        <v>31.259931999999999</v>
      </c>
      <c r="AE37">
        <f t="shared" si="8"/>
        <v>117.9</v>
      </c>
      <c r="AF37" s="39">
        <f>VFA!AB34</f>
        <v>117.89166666666279</v>
      </c>
      <c r="AG37" s="39">
        <f>IF(VFA!AG34&lt;=0,"",VFA!AG34)</f>
        <v>53.835999999999999</v>
      </c>
      <c r="AH37" s="39" t="str">
        <f>IF(VFA!AH34&lt;=0,"",VFA!AH34)</f>
        <v/>
      </c>
      <c r="AI37" s="45"/>
      <c r="AJ37" s="45">
        <f>VFA!AJ34</f>
        <v>57.443011999999996</v>
      </c>
      <c r="AK37" s="45"/>
      <c r="AL37" s="45"/>
      <c r="AM37" s="45"/>
      <c r="AN37" s="45"/>
      <c r="AO37" s="45"/>
      <c r="AZ37">
        <f t="shared" si="14"/>
        <v>265</v>
      </c>
      <c r="BA37" s="120">
        <f>TSS_VSS!B38</f>
        <v>265.03888888889196</v>
      </c>
      <c r="BB37" s="10">
        <f>TSS_VSS!D38</f>
        <v>231</v>
      </c>
      <c r="BC37" s="10">
        <f>TSS_VSS!E38</f>
        <v>169</v>
      </c>
      <c r="BD37" s="10">
        <f>TSS_VSS!J38</f>
        <v>132</v>
      </c>
      <c r="BE37" s="10">
        <f>TSS_VSS!K38</f>
        <v>96</v>
      </c>
      <c r="BG37">
        <f t="shared" si="15"/>
        <v>279</v>
      </c>
      <c r="BH37">
        <f>SRT.HRT!B45</f>
        <v>278.97916666666424</v>
      </c>
      <c r="BI37">
        <f>SRT.HRT!P45</f>
        <v>4.907512607279739</v>
      </c>
      <c r="BJ37">
        <f>SRT.HRT!Q45</f>
        <v>3.1220896391150808</v>
      </c>
      <c r="BK37">
        <f>SRT.HRT!R45</f>
        <v>3.2773597907864072</v>
      </c>
      <c r="BL37">
        <f>SRT.HRT!S45</f>
        <v>0.10009321836402316</v>
      </c>
      <c r="BM37">
        <f>SRT.HRT!T45</f>
        <v>9.5351142367257502E-2</v>
      </c>
      <c r="BO37">
        <f t="shared" si="16"/>
        <v>218</v>
      </c>
      <c r="BP37">
        <f>'H2 Delivery'!C35</f>
        <v>217.9909722222219</v>
      </c>
      <c r="BQ37">
        <f>'H2 Delivery'!F35</f>
        <v>1.508</v>
      </c>
      <c r="BT37" s="38"/>
      <c r="BW37">
        <v>184</v>
      </c>
      <c r="BX37" s="45" t="s">
        <v>388</v>
      </c>
      <c r="BY37" s="45">
        <v>0</v>
      </c>
      <c r="BZ37">
        <v>162.9</v>
      </c>
      <c r="CA37" s="45">
        <v>66.307486544677772</v>
      </c>
      <c r="CB37" s="45">
        <v>0</v>
      </c>
      <c r="CC37" s="45"/>
      <c r="CD37" s="39">
        <v>166.5</v>
      </c>
      <c r="CE37" s="45">
        <v>260.89746541471135</v>
      </c>
      <c r="CF37" s="45">
        <v>0</v>
      </c>
      <c r="CG37">
        <v>148.80000000000001</v>
      </c>
      <c r="CH37" s="45">
        <v>106.61171447342578</v>
      </c>
      <c r="CI37" s="45">
        <v>0</v>
      </c>
      <c r="CK37">
        <f t="shared" si="18"/>
        <v>78.900000000000006</v>
      </c>
      <c r="CL37">
        <f>'Liquid Volume'!A34</f>
        <v>78.885416666664241</v>
      </c>
      <c r="CM37">
        <f>'Liquid Volume'!C34</f>
        <v>650</v>
      </c>
      <c r="CO37">
        <f t="shared" si="19"/>
        <v>306.90000000000003</v>
      </c>
      <c r="CP37">
        <f>Ammonia!F35</f>
        <v>306.88472222222481</v>
      </c>
      <c r="CQ37">
        <f>Ammonia!N35</f>
        <v>237.79999999999998</v>
      </c>
      <c r="CY37">
        <f t="shared" si="28"/>
        <v>212</v>
      </c>
      <c r="CZ37">
        <f>COD!A30</f>
        <v>211.96527777777374</v>
      </c>
      <c r="DA37">
        <f>COD!I30</f>
        <v>548</v>
      </c>
      <c r="DB37">
        <f t="shared" si="30"/>
        <v>212</v>
      </c>
      <c r="DC37">
        <f>COD!L30</f>
        <v>211.96527777777374</v>
      </c>
      <c r="DD37">
        <f>COD!T30</f>
        <v>520</v>
      </c>
      <c r="DE37">
        <f t="shared" si="22"/>
        <v>236.9</v>
      </c>
      <c r="DF37">
        <f>COD!W33</f>
        <v>236.9111111111124</v>
      </c>
      <c r="DG37">
        <f>COD!AE33</f>
        <v>570</v>
      </c>
    </row>
    <row r="38" spans="1:111" ht="14.4" x14ac:dyDescent="0.3">
      <c r="A38">
        <f t="shared" si="5"/>
        <v>73.100000000000009</v>
      </c>
      <c r="B38">
        <f>GC_TCD!G41</f>
        <v>73.108333333329938</v>
      </c>
      <c r="C38">
        <f>GC_TCD!U41</f>
        <v>5.9948333333333332</v>
      </c>
      <c r="D38">
        <f>GC_TCD!V41</f>
        <v>5.1916794607654015</v>
      </c>
      <c r="E38">
        <f>GC_TCD!W41</f>
        <v>67.773133333333348</v>
      </c>
      <c r="F38">
        <f>GC_TCD!X41</f>
        <v>3.0280767598152742</v>
      </c>
      <c r="G38">
        <f>GC_TCD!Y41</f>
        <v>26.232033333333334</v>
      </c>
      <c r="H38">
        <f>GC_TCD!Z41</f>
        <v>8.2146169200598305</v>
      </c>
      <c r="I38" s="38">
        <f>GC_TCD!K41</f>
        <v>0.9784650000049494</v>
      </c>
      <c r="J38" s="42">
        <f>GC_TCD!AA41</f>
        <v>2.1220364450347344</v>
      </c>
      <c r="K38" s="42">
        <f>GC_TCD!AB41</f>
        <v>6.1607509694556812</v>
      </c>
      <c r="L38" s="105">
        <f>GC_TCD!AC41</f>
        <v>6.5810916627541726E-3</v>
      </c>
      <c r="M38" s="42">
        <f t="shared" ref="M38:M69" si="31">(N38/10^6)*1440/B38</f>
        <v>1.3061662832768833E-5</v>
      </c>
      <c r="N38">
        <f t="shared" ref="N38:N69" si="32">I38*E38/100</f>
        <v>0.66313638907335448</v>
      </c>
      <c r="O38">
        <f t="shared" ref="O38:O69" si="33">C38/100*I38</f>
        <v>5.8657345975296711E-2</v>
      </c>
      <c r="P38">
        <f t="shared" ref="P38:P69" si="34">I38*G38/100</f>
        <v>0.25667126495629833</v>
      </c>
      <c r="Q38">
        <f t="shared" ref="Q38:Q69" si="35">IFERROR(VLOOKUP(A38,$CK$5:$CM$110,3,FALSE),Q37)</f>
        <v>450</v>
      </c>
      <c r="S38">
        <f t="shared" si="6"/>
        <v>86.9</v>
      </c>
      <c r="T38">
        <f>VFA!F35</f>
        <v>86.88749999999709</v>
      </c>
      <c r="U38">
        <f>VFA!K35</f>
        <v>46.83</v>
      </c>
      <c r="V38">
        <f>VFA!L35</f>
        <v>700.60489799999993</v>
      </c>
      <c r="W38" t="str">
        <f>IF(VFA!M35&lt;=0,"",VFA!M35)</f>
        <v/>
      </c>
      <c r="X38">
        <f>VFA!N35</f>
        <v>1110.6834255719998</v>
      </c>
      <c r="Y38">
        <f t="shared" si="7"/>
        <v>127.9</v>
      </c>
      <c r="Z38" s="39">
        <f>VFA!Q35</f>
        <v>127.9111111111124</v>
      </c>
      <c r="AA38" s="39">
        <f>VFA!V35</f>
        <v>33.847999999999999</v>
      </c>
      <c r="AB38" s="39">
        <f>VFA!W35</f>
        <v>1.3280000000000001</v>
      </c>
      <c r="AC38" s="39"/>
      <c r="AD38" s="39">
        <f>VFA!Y35</f>
        <v>38.126407999999998</v>
      </c>
      <c r="AE38">
        <f t="shared" si="8"/>
        <v>120.5</v>
      </c>
      <c r="AF38" s="39">
        <f>VFA!AB35</f>
        <v>120.47083333333285</v>
      </c>
      <c r="AG38" s="39">
        <f>IF(VFA!AG35&lt;=0,"",VFA!AG35)</f>
        <v>74.061999999999998</v>
      </c>
      <c r="AH38" s="39" t="str">
        <f>IF(VFA!AH35&lt;=0,"",VFA!AH35)</f>
        <v/>
      </c>
      <c r="AI38" s="45"/>
      <c r="AJ38" s="45">
        <f>VFA!AJ35</f>
        <v>79.024153999999996</v>
      </c>
      <c r="AK38" s="45"/>
      <c r="AL38" s="45"/>
      <c r="AM38" s="45"/>
      <c r="AN38" s="45"/>
      <c r="AO38" s="45"/>
      <c r="AZ38">
        <f t="shared" si="14"/>
        <v>273</v>
      </c>
      <c r="BA38" s="120">
        <f>TSS_VSS!B39</f>
        <v>273.01944444444234</v>
      </c>
      <c r="BB38" s="10">
        <f>TSS_VSS!D39</f>
        <v>198</v>
      </c>
      <c r="BC38" s="10">
        <f>TSS_VSS!E39</f>
        <v>146</v>
      </c>
      <c r="BD38" s="10">
        <f>TSS_VSS!J39</f>
        <v>94</v>
      </c>
      <c r="BE38" s="10">
        <f>TSS_VSS!K39</f>
        <v>60</v>
      </c>
      <c r="BG38">
        <f t="shared" si="15"/>
        <v>286.10000000000002</v>
      </c>
      <c r="BH38">
        <f>SRT.HRT!B46</f>
        <v>286.05000000000291</v>
      </c>
      <c r="BI38">
        <f>SRT.HRT!P46</f>
        <v>7.9818051714217306</v>
      </c>
      <c r="BJ38">
        <f>SRT.HRT!Q46</f>
        <v>3.628135689854505</v>
      </c>
      <c r="BK38">
        <f>SRT.HRT!R46</f>
        <v>3.2189046509119579</v>
      </c>
      <c r="BL38">
        <f>SRT.HRT!S46</f>
        <v>8.6132390492961911E-2</v>
      </c>
      <c r="BM38">
        <f>SRT.HRT!T46</f>
        <v>9.7082714118749885E-2</v>
      </c>
      <c r="BO38">
        <f t="shared" si="16"/>
        <v>237.20000000000002</v>
      </c>
      <c r="BP38">
        <f>'H2 Delivery'!C36</f>
        <v>237.17152777777665</v>
      </c>
      <c r="BQ38">
        <f>'H2 Delivery'!F36</f>
        <v>1.583</v>
      </c>
      <c r="BT38" s="38"/>
      <c r="BW38">
        <v>187.8</v>
      </c>
      <c r="BX38" s="45" t="s">
        <v>388</v>
      </c>
      <c r="BY38" s="45">
        <v>0</v>
      </c>
      <c r="BZ38">
        <v>166.9</v>
      </c>
      <c r="CA38" s="45">
        <v>48.130293762734645</v>
      </c>
      <c r="CB38" s="45">
        <v>0</v>
      </c>
      <c r="CC38" s="45"/>
      <c r="CD38" s="39">
        <v>173.5</v>
      </c>
      <c r="CE38" s="45" t="s">
        <v>388</v>
      </c>
      <c r="CF38" s="45">
        <v>0</v>
      </c>
      <c r="CG38">
        <v>154</v>
      </c>
      <c r="CH38" s="45">
        <v>237.61576225937293</v>
      </c>
      <c r="CI38" s="45">
        <v>6.6215028377878067</v>
      </c>
      <c r="CK38">
        <f t="shared" si="18"/>
        <v>79</v>
      </c>
      <c r="CL38">
        <f>'Liquid Volume'!A35</f>
        <v>79.022916666668607</v>
      </c>
      <c r="CM38">
        <f>'Liquid Volume'!C35</f>
        <v>650</v>
      </c>
      <c r="CY38">
        <f t="shared" si="28"/>
        <v>215.9</v>
      </c>
      <c r="CZ38">
        <f>COD!A31</f>
        <v>215.87847222221899</v>
      </c>
      <c r="DA38">
        <f>COD!I31</f>
        <v>460</v>
      </c>
      <c r="DB38">
        <f t="shared" si="30"/>
        <v>216</v>
      </c>
      <c r="DC38">
        <f>COD!L31</f>
        <v>215.87847222221899</v>
      </c>
      <c r="DD38">
        <f>COD!T31</f>
        <v>440</v>
      </c>
      <c r="DE38">
        <f t="shared" si="22"/>
        <v>240</v>
      </c>
      <c r="DF38">
        <f>COD!W34</f>
        <v>240.0402777777781</v>
      </c>
      <c r="DG38">
        <f>COD!AE34</f>
        <v>820</v>
      </c>
    </row>
    <row r="39" spans="1:111" ht="14.4" x14ac:dyDescent="0.3">
      <c r="A39">
        <f t="shared" si="5"/>
        <v>76</v>
      </c>
      <c r="B39">
        <f>GC_TCD!G42</f>
        <v>76.004861111112405</v>
      </c>
      <c r="C39">
        <f>GC_TCD!U42</f>
        <v>8.5874333333333315</v>
      </c>
      <c r="D39">
        <f>GC_TCD!V42</f>
        <v>0.17700916172145839</v>
      </c>
      <c r="E39">
        <f>GC_TCD!W42</f>
        <v>73.17540000000001</v>
      </c>
      <c r="F39">
        <f>GC_TCD!X42</f>
        <v>0.1407111935845875</v>
      </c>
      <c r="G39">
        <f>GC_TCD!Y42</f>
        <v>18.237166666666667</v>
      </c>
      <c r="H39">
        <f>GC_TCD!Z42</f>
        <v>0.31757094220557053</v>
      </c>
      <c r="I39" s="38">
        <f>GC_TCD!K42</f>
        <v>0.55977731958672339</v>
      </c>
      <c r="J39" s="42">
        <f>GC_TCD!AA42</f>
        <v>1.3107817366939623</v>
      </c>
      <c r="K39" s="42">
        <f>GC_TCD!AB42</f>
        <v>3.8054953645953749</v>
      </c>
      <c r="L39" s="105">
        <f>GC_TCD!AC42</f>
        <v>4.0651397761011926E-3</v>
      </c>
      <c r="M39" s="42">
        <f t="shared" si="31"/>
        <v>7.7607112609543714E-6</v>
      </c>
      <c r="N39">
        <f t="shared" si="32"/>
        <v>0.4096192927168632</v>
      </c>
      <c r="O39">
        <f t="shared" si="33"/>
        <v>4.807050413463014E-2</v>
      </c>
      <c r="P39">
        <f t="shared" si="34"/>
        <v>0.10208752273523006</v>
      </c>
      <c r="Q39">
        <f t="shared" si="35"/>
        <v>450</v>
      </c>
      <c r="S39">
        <f t="shared" si="6"/>
        <v>86.9</v>
      </c>
      <c r="T39">
        <f>VFA!F36</f>
        <v>86.929166666668607</v>
      </c>
      <c r="U39">
        <f>VFA!K36</f>
        <v>44.94</v>
      </c>
      <c r="V39">
        <f>VFA!L36</f>
        <v>650.67727200000002</v>
      </c>
      <c r="W39" t="str">
        <f>IF(VFA!M36&lt;=0,"",VFA!M36)</f>
        <v/>
      </c>
      <c r="X39">
        <f>VFA!N36</f>
        <v>1033.076369808</v>
      </c>
      <c r="Y39">
        <f t="shared" si="7"/>
        <v>131.9</v>
      </c>
      <c r="Z39" s="39">
        <f>VFA!Q36</f>
        <v>131.87569444444671</v>
      </c>
      <c r="AA39" s="39">
        <f>VFA!V36</f>
        <v>16.253</v>
      </c>
      <c r="AB39" s="39">
        <f>VFA!W36</f>
        <v>0.88800000000000001</v>
      </c>
      <c r="AC39" s="39"/>
      <c r="AD39" s="39">
        <f>VFA!Y36</f>
        <v>18.686382999999999</v>
      </c>
      <c r="AE39">
        <f t="shared" si="8"/>
        <v>124.9</v>
      </c>
      <c r="AF39" s="39">
        <f>VFA!AB36</f>
        <v>124.90555555555329</v>
      </c>
      <c r="AG39" s="39">
        <f>IF(VFA!AG36&lt;=0,"",VFA!AG36)</f>
        <v>8.6310000000000002</v>
      </c>
      <c r="AH39" s="39">
        <f>IF(VFA!AH36&lt;=0,"",VFA!AH36)</f>
        <v>3.2130000000000001</v>
      </c>
      <c r="AI39" s="45"/>
      <c r="AJ39" s="45">
        <f>VFA!AJ36</f>
        <v>14.073758999999999</v>
      </c>
      <c r="AK39" s="45"/>
      <c r="AL39" s="45"/>
      <c r="AM39" s="45"/>
      <c r="AN39" s="45"/>
      <c r="AO39" s="45"/>
      <c r="AZ39">
        <f t="shared" si="14"/>
        <v>279</v>
      </c>
      <c r="BA39" s="120">
        <f>TSS_VSS!B40</f>
        <v>278.97916666666424</v>
      </c>
      <c r="BB39" s="10">
        <f>TSS_VSS!D40</f>
        <v>213</v>
      </c>
      <c r="BC39" s="10">
        <f>TSS_VSS!E40</f>
        <v>169</v>
      </c>
      <c r="BD39" s="10">
        <f>TSS_VSS!J40</f>
        <v>130</v>
      </c>
      <c r="BE39" s="10">
        <f>TSS_VSS!K40</f>
        <v>94</v>
      </c>
      <c r="BG39">
        <f t="shared" si="15"/>
        <v>293</v>
      </c>
      <c r="BH39">
        <f>SRT.HRT!B47</f>
        <v>292.99444444444089</v>
      </c>
      <c r="BI39">
        <f>SRT.HRT!P47</f>
        <v>17.321351521773508</v>
      </c>
      <c r="BJ39">
        <f>SRT.HRT!Q47</f>
        <v>3.0818540433896349</v>
      </c>
      <c r="BK39">
        <f>SRT.HRT!R47</f>
        <v>2.9944808740315683</v>
      </c>
      <c r="BL39">
        <f>SRT.HRT!S47</f>
        <v>0.10140000000009444</v>
      </c>
      <c r="BM39">
        <f>SRT.HRT!T47</f>
        <v>0.1043586561898026</v>
      </c>
      <c r="BO39">
        <f t="shared" si="16"/>
        <v>251.10000000000002</v>
      </c>
      <c r="BP39">
        <f>'H2 Delivery'!C37</f>
        <v>251.07916666666279</v>
      </c>
      <c r="BQ39">
        <f>'H2 Delivery'!F37</f>
        <v>1.663</v>
      </c>
      <c r="BT39" s="38"/>
      <c r="BW39">
        <v>191</v>
      </c>
      <c r="BX39" s="45">
        <v>4.3015481749792874</v>
      </c>
      <c r="BY39" s="45">
        <v>0</v>
      </c>
      <c r="BZ39">
        <v>173.9</v>
      </c>
      <c r="CA39" s="45">
        <v>69.173808593605557</v>
      </c>
      <c r="CB39" s="45">
        <v>0</v>
      </c>
      <c r="CC39" s="45"/>
      <c r="CD39" s="39">
        <v>176.5</v>
      </c>
      <c r="CE39" s="45">
        <v>227.24339847468309</v>
      </c>
      <c r="CF39" s="45">
        <v>0</v>
      </c>
      <c r="CG39">
        <v>155.80000000000001</v>
      </c>
      <c r="CH39" s="45">
        <v>168.01956213659327</v>
      </c>
      <c r="CI39" s="45">
        <v>0</v>
      </c>
      <c r="CK39">
        <f t="shared" si="18"/>
        <v>79.100000000000009</v>
      </c>
      <c r="CL39">
        <f>'Liquid Volume'!A36</f>
        <v>79.085416666668607</v>
      </c>
      <c r="CM39">
        <f>'Liquid Volume'!C36</f>
        <v>650</v>
      </c>
      <c r="CY39">
        <f t="shared" si="28"/>
        <v>236.9</v>
      </c>
      <c r="CZ39">
        <f>COD!A32</f>
        <v>236.9111111111124</v>
      </c>
      <c r="DA39">
        <f>COD!I32</f>
        <v>516</v>
      </c>
      <c r="DB39">
        <f t="shared" si="30"/>
        <v>237</v>
      </c>
      <c r="DC39">
        <f>COD!L32</f>
        <v>236.9111111111124</v>
      </c>
      <c r="DD39">
        <f>COD!T32</f>
        <v>572</v>
      </c>
      <c r="DE39">
        <f t="shared" si="22"/>
        <v>243.9</v>
      </c>
      <c r="DF39">
        <f>COD!W35</f>
        <v>243.88333333333139</v>
      </c>
      <c r="DG39">
        <f>COD!AE35</f>
        <v>1110</v>
      </c>
    </row>
    <row r="40" spans="1:111" ht="14.4" x14ac:dyDescent="0.3">
      <c r="A40">
        <f t="shared" si="5"/>
        <v>76.900000000000006</v>
      </c>
      <c r="B40">
        <f>GC_TCD!G43</f>
        <v>76.905555555553292</v>
      </c>
      <c r="C40">
        <f>GC_TCD!U43</f>
        <v>19.306700000000003</v>
      </c>
      <c r="D40">
        <f>GC_TCD!V43</f>
        <v>1.4788816822180195</v>
      </c>
      <c r="E40">
        <f>GC_TCD!W43</f>
        <v>60.329133333333338</v>
      </c>
      <c r="F40">
        <f>GC_TCD!X43</f>
        <v>0.24600344171034086</v>
      </c>
      <c r="G40">
        <f>GC_TCD!Y43</f>
        <v>20.364166666666666</v>
      </c>
      <c r="H40">
        <f>GC_TCD!Z43</f>
        <v>1.3604030370935416</v>
      </c>
      <c r="I40" s="38">
        <f>GC_TCD!K43</f>
        <v>1.9032721665456815</v>
      </c>
      <c r="J40" s="42">
        <f>GC_TCD!AA43</f>
        <v>3.6743283297650122</v>
      </c>
      <c r="K40" s="42">
        <f>GC_TCD!AB43</f>
        <v>10.667404828350039</v>
      </c>
      <c r="L40" s="105">
        <f>GC_TCD!AC43</f>
        <v>1.1395229141242288E-2</v>
      </c>
      <c r="M40" s="42">
        <f t="shared" si="31"/>
        <v>2.1499717887089122E-5</v>
      </c>
      <c r="N40">
        <f t="shared" si="32"/>
        <v>1.1482276030515663</v>
      </c>
      <c r="O40">
        <f t="shared" si="33"/>
        <v>0.36745904737847512</v>
      </c>
      <c r="P40">
        <f t="shared" si="34"/>
        <v>0.38758551611564018</v>
      </c>
      <c r="Q40">
        <f t="shared" si="35"/>
        <v>900</v>
      </c>
      <c r="S40">
        <f t="shared" si="6"/>
        <v>87</v>
      </c>
      <c r="T40">
        <f>VFA!F37</f>
        <v>86.970833333332848</v>
      </c>
      <c r="U40">
        <f>VFA!K37</f>
        <v>43.730000000000004</v>
      </c>
      <c r="V40">
        <f>VFA!L37</f>
        <v>606.03657800000008</v>
      </c>
      <c r="W40" t="str">
        <f>IF(VFA!M37&lt;=0,"",VFA!M37)</f>
        <v/>
      </c>
      <c r="X40">
        <f>VFA!N37</f>
        <v>964.19928909200007</v>
      </c>
      <c r="Y40">
        <f t="shared" si="7"/>
        <v>135</v>
      </c>
      <c r="Z40" s="39">
        <f>VFA!Q37</f>
        <v>135.02430555555475</v>
      </c>
      <c r="AA40" s="39">
        <f>VFA!V37</f>
        <v>40</v>
      </c>
      <c r="AB40" s="39" t="str">
        <f>VFA!W37</f>
        <v/>
      </c>
      <c r="AC40" s="39"/>
      <c r="AD40" s="39">
        <f>VFA!Y37</f>
        <v>42.68</v>
      </c>
      <c r="AE40">
        <f t="shared" si="8"/>
        <v>127.9</v>
      </c>
      <c r="AF40" s="39">
        <f>VFA!AB37</f>
        <v>127.9111111111124</v>
      </c>
      <c r="AG40" s="39">
        <f>IF(VFA!AG37&lt;=0,"",VFA!AG37)</f>
        <v>5.8689999999999998</v>
      </c>
      <c r="AH40" s="39" t="str">
        <f>IF(VFA!AH37&lt;=0,"",VFA!AH37)</f>
        <v/>
      </c>
      <c r="AI40" s="45"/>
      <c r="AJ40" s="45">
        <f>VFA!AJ37</f>
        <v>6.2622229999999997</v>
      </c>
      <c r="AK40" s="45"/>
      <c r="AL40" s="45"/>
      <c r="AM40" s="45"/>
      <c r="AN40" s="45"/>
      <c r="AO40" s="45"/>
      <c r="AZ40">
        <f t="shared" si="14"/>
        <v>286.10000000000002</v>
      </c>
      <c r="BA40" s="120">
        <f>TSS_VSS!B41</f>
        <v>286.05000000000291</v>
      </c>
      <c r="BB40" s="10">
        <f>TSS_VSS!D41</f>
        <v>351</v>
      </c>
      <c r="BC40" s="10">
        <f>TSS_VSS!E41</f>
        <v>273</v>
      </c>
      <c r="BD40" s="10">
        <f>TSS_VSS!J41</f>
        <v>139</v>
      </c>
      <c r="BE40" s="10">
        <f>TSS_VSS!K41</f>
        <v>108</v>
      </c>
      <c r="BG40">
        <f t="shared" si="15"/>
        <v>299.90000000000003</v>
      </c>
      <c r="BH40">
        <f>SRT.HRT!B48</f>
        <v>299.91597222222481</v>
      </c>
      <c r="BI40">
        <f>SRT.HRT!P48</f>
        <v>5.698363211598557</v>
      </c>
      <c r="BJ40">
        <f>SRT.HRT!Q48</f>
        <v>2.9467242194917356</v>
      </c>
      <c r="BK40">
        <f>SRT.HRT!R48</f>
        <v>3.0509117892321878</v>
      </c>
      <c r="BL40">
        <f>SRT.HRT!S48</f>
        <v>0.10604996488402346</v>
      </c>
      <c r="BM40">
        <f>SRT.HRT!T48</f>
        <v>0.10242839570220605</v>
      </c>
      <c r="BO40">
        <f t="shared" si="16"/>
        <v>259.10000000000002</v>
      </c>
      <c r="BP40">
        <f>'H2 Delivery'!C38</f>
        <v>259.07083333333139</v>
      </c>
      <c r="BQ40">
        <f>'H2 Delivery'!F38</f>
        <v>1.83</v>
      </c>
      <c r="BT40" s="38"/>
      <c r="BW40">
        <v>194.9</v>
      </c>
      <c r="BX40" s="45" t="s">
        <v>388</v>
      </c>
      <c r="BY40" s="45">
        <v>0</v>
      </c>
      <c r="BZ40">
        <v>176.9</v>
      </c>
      <c r="CA40" s="45">
        <v>78.991855150279306</v>
      </c>
      <c r="CB40" s="45">
        <v>0</v>
      </c>
      <c r="CC40" s="45"/>
      <c r="CD40" s="39">
        <v>180.5</v>
      </c>
      <c r="CE40" s="45">
        <v>240.75796787283062</v>
      </c>
      <c r="CF40" s="45">
        <v>5.6101880863940243</v>
      </c>
      <c r="CG40">
        <v>159.9</v>
      </c>
      <c r="CH40" s="45">
        <v>207.26415992019705</v>
      </c>
      <c r="CI40" s="45">
        <v>14.283748663335791</v>
      </c>
      <c r="CK40">
        <f t="shared" si="18"/>
        <v>79.800000000000011</v>
      </c>
      <c r="CL40">
        <f>'Liquid Volume'!A37</f>
        <v>79.807638888887595</v>
      </c>
      <c r="CM40">
        <f>'Liquid Volume'!C37</f>
        <v>650</v>
      </c>
      <c r="CY40">
        <f t="shared" si="28"/>
        <v>240</v>
      </c>
      <c r="CZ40">
        <f>COD!A33</f>
        <v>240.0402777777781</v>
      </c>
      <c r="DA40">
        <f>COD!I33</f>
        <v>490</v>
      </c>
      <c r="DB40">
        <f t="shared" si="30"/>
        <v>240</v>
      </c>
      <c r="DC40">
        <f>COD!L33</f>
        <v>240.0402777777781</v>
      </c>
      <c r="DD40">
        <f>COD!T33</f>
        <v>516</v>
      </c>
      <c r="DE40">
        <f t="shared" si="22"/>
        <v>246.9</v>
      </c>
      <c r="DF40">
        <f>COD!W36</f>
        <v>246.91805555555766</v>
      </c>
      <c r="DG40">
        <f>COD!AE36</f>
        <v>800</v>
      </c>
    </row>
    <row r="41" spans="1:111" ht="14.4" x14ac:dyDescent="0.3">
      <c r="A41">
        <f t="shared" si="5"/>
        <v>79</v>
      </c>
      <c r="B41">
        <f>GC_TCD!G44</f>
        <v>78.956944444442343</v>
      </c>
      <c r="C41">
        <f>GC_TCD!U44</f>
        <v>16.251999999999999</v>
      </c>
      <c r="D41">
        <f>GC_TCD!V44</f>
        <v>1.4121238932898204</v>
      </c>
      <c r="E41">
        <f>GC_TCD!W44</f>
        <v>62.433033333333334</v>
      </c>
      <c r="F41">
        <f>GC_TCD!X44</f>
        <v>1.28524951014709</v>
      </c>
      <c r="G41">
        <f>GC_TCD!Y44</f>
        <v>21.314966666666667</v>
      </c>
      <c r="H41">
        <f>GC_TCD!Z44</f>
        <v>0.6239667005003835</v>
      </c>
      <c r="I41" s="38">
        <f>GC_TCD!K44</f>
        <v>0.86523914835158122</v>
      </c>
      <c r="J41" s="42">
        <f>GC_TCD!AA44</f>
        <v>1.728624146890855</v>
      </c>
      <c r="K41" s="42">
        <f>GC_TCD!AB44</f>
        <v>5.0185862329089339</v>
      </c>
      <c r="L41" s="105">
        <f>GC_TCD!AC44</f>
        <v>5.3609983880143677E-3</v>
      </c>
      <c r="M41" s="42">
        <f t="shared" si="31"/>
        <v>9.8519626306997814E-6</v>
      </c>
      <c r="N41">
        <f t="shared" si="32"/>
        <v>0.54019504590339218</v>
      </c>
      <c r="O41">
        <f t="shared" si="33"/>
        <v>0.14061866639009898</v>
      </c>
      <c r="P41">
        <f t="shared" si="34"/>
        <v>0.18442543605809006</v>
      </c>
      <c r="Q41">
        <f t="shared" si="35"/>
        <v>650</v>
      </c>
      <c r="S41">
        <f t="shared" si="6"/>
        <v>87</v>
      </c>
      <c r="T41">
        <f>VFA!F38</f>
        <v>87.01249999999709</v>
      </c>
      <c r="U41">
        <f>VFA!K38</f>
        <v>47.244999999999997</v>
      </c>
      <c r="V41">
        <f>VFA!L38</f>
        <v>729.32106499999998</v>
      </c>
      <c r="W41" t="str">
        <f>IF(VFA!M38&lt;=0,"",VFA!M38)</f>
        <v/>
      </c>
      <c r="X41">
        <f>VFA!N38</f>
        <v>1154.60250741</v>
      </c>
      <c r="Y41">
        <f t="shared" si="7"/>
        <v>138.9</v>
      </c>
      <c r="Z41" s="39">
        <f>VFA!Q38</f>
        <v>138.9020833333343</v>
      </c>
      <c r="AA41" s="39">
        <f>VFA!V38</f>
        <v>15.465</v>
      </c>
      <c r="AB41" s="39">
        <f>VFA!W38</f>
        <v>1.175</v>
      </c>
      <c r="AC41" s="39"/>
      <c r="AD41" s="39">
        <f>VFA!Y38</f>
        <v>18.280104999999999</v>
      </c>
      <c r="AE41">
        <f t="shared" si="8"/>
        <v>131.9</v>
      </c>
      <c r="AF41" s="39">
        <f>VFA!AB38</f>
        <v>131.87569444444671</v>
      </c>
      <c r="AG41" s="39">
        <f>IF(VFA!AG38&lt;=0,"",VFA!AG38)</f>
        <v>1.228</v>
      </c>
      <c r="AH41" s="39">
        <f>IF(VFA!AH38&lt;=0,"",VFA!AH38)</f>
        <v>0.377</v>
      </c>
      <c r="AI41" s="45"/>
      <c r="AJ41" s="45">
        <f>VFA!AJ38</f>
        <v>1.881054</v>
      </c>
      <c r="AK41" s="45"/>
      <c r="AL41" s="45"/>
      <c r="AM41" s="45"/>
      <c r="AN41" s="45"/>
      <c r="AO41" s="45"/>
      <c r="AZ41">
        <f t="shared" si="14"/>
        <v>293</v>
      </c>
      <c r="BA41" s="120">
        <f>TSS_VSS!B42</f>
        <v>292.99444444444089</v>
      </c>
      <c r="BB41" s="10">
        <f>TSS_VSS!D42</f>
        <v>1002</v>
      </c>
      <c r="BC41" s="10">
        <f>TSS_VSS!E42</f>
        <v>868</v>
      </c>
      <c r="BD41" s="10">
        <f>TSS_VSS!J42</f>
        <v>120</v>
      </c>
      <c r="BE41" s="10">
        <f>TSS_VSS!K42</f>
        <v>104</v>
      </c>
      <c r="BG41">
        <f t="shared" si="15"/>
        <v>306.90000000000003</v>
      </c>
      <c r="BH41">
        <f>SRT.HRT!B49</f>
        <v>306.93541666666715</v>
      </c>
      <c r="BI41">
        <f>SRT.HRT!P49</f>
        <v>5.1052177521497839</v>
      </c>
      <c r="BJ41">
        <f>SRT.HRT!Q49</f>
        <v>2.9548643592133339</v>
      </c>
      <c r="BK41">
        <f>SRT.HRT!R49</f>
        <v>3.1031460566335736</v>
      </c>
      <c r="BL41">
        <f>SRT.HRT!S49</f>
        <v>0.10575781559164227</v>
      </c>
      <c r="BM41">
        <f>SRT.HRT!T49</f>
        <v>0.1007042512008002</v>
      </c>
      <c r="BO41">
        <f t="shared" si="16"/>
        <v>273.2</v>
      </c>
      <c r="BP41">
        <f>'H2 Delivery'!C39</f>
        <v>273.22499999999854</v>
      </c>
      <c r="BQ41">
        <f>'H2 Delivery'!F39</f>
        <v>2.1030000000000002</v>
      </c>
      <c r="BT41" s="38"/>
      <c r="BW41">
        <v>201.9</v>
      </c>
      <c r="BX41" s="45">
        <v>0.67777767881328987</v>
      </c>
      <c r="BY41" s="45">
        <v>0</v>
      </c>
      <c r="BZ41">
        <v>180.9</v>
      </c>
      <c r="CA41" s="45">
        <v>69.948249865407931</v>
      </c>
      <c r="CB41" s="45">
        <v>0</v>
      </c>
      <c r="CC41" s="45"/>
      <c r="CD41" s="39">
        <v>183.5</v>
      </c>
      <c r="CE41" s="45">
        <v>230.8642365855645</v>
      </c>
      <c r="CF41" s="45">
        <v>0</v>
      </c>
      <c r="CG41">
        <v>162.9</v>
      </c>
      <c r="CH41" s="45">
        <v>255.61665414283109</v>
      </c>
      <c r="CI41" s="45">
        <v>15.632580477138237</v>
      </c>
      <c r="CK41">
        <f t="shared" si="18"/>
        <v>79.900000000000006</v>
      </c>
      <c r="CL41">
        <f>'Liquid Volume'!A38</f>
        <v>79.866666666668607</v>
      </c>
      <c r="CM41">
        <f>'Liquid Volume'!C38</f>
        <v>900</v>
      </c>
      <c r="CY41">
        <f t="shared" si="28"/>
        <v>243.9</v>
      </c>
      <c r="CZ41">
        <f>COD!A34</f>
        <v>243.88333333333139</v>
      </c>
      <c r="DA41">
        <f>COD!I34</f>
        <v>960</v>
      </c>
      <c r="DB41">
        <f t="shared" si="30"/>
        <v>244</v>
      </c>
      <c r="DC41">
        <f>COD!L34</f>
        <v>243.88333333333139</v>
      </c>
      <c r="DD41">
        <f>COD!T34</f>
        <v>936</v>
      </c>
      <c r="DE41">
        <f t="shared" si="22"/>
        <v>257.90000000000003</v>
      </c>
      <c r="DF41">
        <f>COD!W37</f>
        <v>257.8708333333343</v>
      </c>
      <c r="DG41">
        <f>COD!AE37</f>
        <v>504</v>
      </c>
    </row>
    <row r="42" spans="1:111" ht="14.4" x14ac:dyDescent="0.3">
      <c r="A42">
        <f t="shared" si="5"/>
        <v>82.9</v>
      </c>
      <c r="B42">
        <f>GC_TCD!G45</f>
        <v>82.864583333335759</v>
      </c>
      <c r="C42">
        <f>GC_TCD!U45</f>
        <v>3.6938666666666666</v>
      </c>
      <c r="D42">
        <f>GC_TCD!V45</f>
        <v>0.2932063153026096</v>
      </c>
      <c r="E42">
        <f>GC_TCD!W45</f>
        <v>75.598666666666659</v>
      </c>
      <c r="F42">
        <f>GC_TCD!X45</f>
        <v>0.55204295424661953</v>
      </c>
      <c r="G42">
        <f>GC_TCD!Y45</f>
        <v>20.7075</v>
      </c>
      <c r="H42">
        <f>GC_TCD!Z45</f>
        <v>0.26762882879092098</v>
      </c>
      <c r="I42" s="38">
        <f>GC_TCD!K45</f>
        <v>0.81724034866906348</v>
      </c>
      <c r="J42" s="42">
        <f>GC_TCD!AA45</f>
        <v>1.977032982578655</v>
      </c>
      <c r="K42" s="42">
        <f>GC_TCD!AB45</f>
        <v>5.7397731752283523</v>
      </c>
      <c r="L42" s="105">
        <f>GC_TCD!AC45</f>
        <v>6.1313910555506178E-3</v>
      </c>
      <c r="M42" s="42">
        <f t="shared" si="31"/>
        <v>1.0736370188233237E-5</v>
      </c>
      <c r="N42">
        <f t="shared" si="32"/>
        <v>0.6178228070558297</v>
      </c>
      <c r="O42">
        <f t="shared" si="33"/>
        <v>3.0187768826036982E-2</v>
      </c>
      <c r="P42">
        <f t="shared" si="34"/>
        <v>0.1692300452006463</v>
      </c>
      <c r="Q42">
        <f t="shared" si="35"/>
        <v>900</v>
      </c>
      <c r="S42">
        <f t="shared" si="6"/>
        <v>87.100000000000009</v>
      </c>
      <c r="T42">
        <f>VFA!F39</f>
        <v>87.054166666668607</v>
      </c>
      <c r="U42">
        <f>VFA!K39</f>
        <v>44.394999999999996</v>
      </c>
      <c r="V42">
        <f>VFA!L39</f>
        <v>568.868651</v>
      </c>
      <c r="W42" t="str">
        <f>IF(VFA!M39&lt;=0,"",VFA!M39)</f>
        <v/>
      </c>
      <c r="X42">
        <f>VFA!N39</f>
        <v>908.63660261400003</v>
      </c>
      <c r="Y42">
        <f t="shared" si="7"/>
        <v>141.9</v>
      </c>
      <c r="Z42" s="39">
        <f>VFA!Q39</f>
        <v>141.92638888888905</v>
      </c>
      <c r="AA42" s="39">
        <f>VFA!V39</f>
        <v>5.82</v>
      </c>
      <c r="AB42" s="39">
        <f>VFA!W39</f>
        <v>3.2890000000000001</v>
      </c>
      <c r="AC42" s="39"/>
      <c r="AD42" s="39">
        <f>VFA!Y39</f>
        <v>11.189485999999999</v>
      </c>
      <c r="AE42">
        <f t="shared" si="8"/>
        <v>135</v>
      </c>
      <c r="AF42" s="39">
        <f>VFA!AB39</f>
        <v>135.02430555555475</v>
      </c>
      <c r="AG42" s="39">
        <f>IF(VFA!AG39&lt;=0,"",VFA!AG39)</f>
        <v>2.1520000000000001</v>
      </c>
      <c r="AH42" s="39" t="str">
        <f>IF(VFA!AH39&lt;=0,"",VFA!AH39)</f>
        <v/>
      </c>
      <c r="AI42" s="45"/>
      <c r="AJ42" s="45">
        <f>VFA!AJ39</f>
        <v>2.2961840000000002</v>
      </c>
      <c r="AK42" s="45"/>
      <c r="AL42" s="45"/>
      <c r="AM42" s="45"/>
      <c r="AN42" s="45"/>
      <c r="AO42" s="45"/>
      <c r="AZ42">
        <f t="shared" si="14"/>
        <v>299.90000000000003</v>
      </c>
      <c r="BA42" s="120">
        <f>TSS_VSS!B43</f>
        <v>299.91597222222481</v>
      </c>
      <c r="BB42" s="10">
        <f>TSS_VSS!D43</f>
        <v>482</v>
      </c>
      <c r="BC42" s="10">
        <f>TSS_VSS!E43</f>
        <v>391</v>
      </c>
      <c r="BD42" s="10">
        <f>TSS_VSS!J43</f>
        <v>234</v>
      </c>
      <c r="BE42" s="10">
        <f>TSS_VSS!K43</f>
        <v>179</v>
      </c>
      <c r="BG42">
        <f t="shared" si="15"/>
        <v>314</v>
      </c>
      <c r="BH42">
        <f>SRT.HRT!B50</f>
        <v>314.02291666666861</v>
      </c>
      <c r="BI42">
        <f>SRT.HRT!P50</f>
        <v>4.7047195293430812</v>
      </c>
      <c r="BJ42">
        <f>SRT.HRT!Q50</f>
        <v>3.2511467889914933</v>
      </c>
      <c r="BK42">
        <f>SRT.HRT!R50</f>
        <v>3.1729310627319887</v>
      </c>
      <c r="BL42">
        <f>SRT.HRT!S50</f>
        <v>9.6119929453243047E-2</v>
      </c>
      <c r="BM42">
        <f>SRT.HRT!T50</f>
        <v>9.8489375855184233E-2</v>
      </c>
      <c r="BO42">
        <f t="shared" si="16"/>
        <v>274.90000000000003</v>
      </c>
      <c r="BP42">
        <f>'H2 Delivery'!C40</f>
        <v>274.93124999999418</v>
      </c>
      <c r="BQ42">
        <f>'H2 Delivery'!F40</f>
        <v>2.3130000000000002</v>
      </c>
      <c r="BT42" s="38"/>
      <c r="BW42">
        <v>204.9</v>
      </c>
      <c r="BX42" s="45" t="s">
        <v>388</v>
      </c>
      <c r="BY42" s="45">
        <v>0</v>
      </c>
      <c r="BZ42">
        <v>184</v>
      </c>
      <c r="CA42" s="45">
        <v>62.72686540936062</v>
      </c>
      <c r="CB42" s="45">
        <v>0</v>
      </c>
      <c r="CC42" s="45"/>
      <c r="CD42" s="39">
        <v>187.5</v>
      </c>
      <c r="CE42" s="45">
        <v>179.35068786687268</v>
      </c>
      <c r="CF42" s="45">
        <v>23.276362882582863</v>
      </c>
      <c r="CG42">
        <v>166.9</v>
      </c>
      <c r="CH42" s="45">
        <v>225.11734933496976</v>
      </c>
      <c r="CI42" s="45">
        <v>0</v>
      </c>
      <c r="CK42">
        <f t="shared" si="18"/>
        <v>80.100000000000009</v>
      </c>
      <c r="CL42">
        <f>'Liquid Volume'!A39</f>
        <v>80.094444444446708</v>
      </c>
      <c r="CM42">
        <f>'Liquid Volume'!C39</f>
        <v>900</v>
      </c>
      <c r="CY42">
        <f t="shared" si="28"/>
        <v>246.9</v>
      </c>
      <c r="CZ42">
        <f>COD!A35</f>
        <v>246.91805555555766</v>
      </c>
      <c r="DA42">
        <f>COD!I35</f>
        <v>540</v>
      </c>
      <c r="DB42">
        <f t="shared" si="30"/>
        <v>247</v>
      </c>
      <c r="DC42">
        <f>COD!L35</f>
        <v>246.91805555555766</v>
      </c>
      <c r="DD42">
        <f>COD!T35</f>
        <v>680</v>
      </c>
      <c r="DE42">
        <f t="shared" si="22"/>
        <v>260.5</v>
      </c>
      <c r="DF42">
        <f>COD!W38</f>
        <v>260.47083333333285</v>
      </c>
      <c r="DG42">
        <f>COD!AE38</f>
        <v>828</v>
      </c>
    </row>
    <row r="43" spans="1:111" ht="14.4" x14ac:dyDescent="0.3">
      <c r="A43">
        <f t="shared" si="5"/>
        <v>86.2</v>
      </c>
      <c r="B43">
        <f>GC_TCD!G46</f>
        <v>86.159027777779556</v>
      </c>
      <c r="C43">
        <f>GC_TCD!U46</f>
        <v>1.5776333333333337</v>
      </c>
      <c r="D43">
        <f>GC_TCD!V46</f>
        <v>0.48129157829047142</v>
      </c>
      <c r="E43">
        <f>GC_TCD!W46</f>
        <v>79.696000000000012</v>
      </c>
      <c r="F43">
        <f>GC_TCD!X46</f>
        <v>0.36808607688962919</v>
      </c>
      <c r="G43">
        <f>GC_TCD!Y46</f>
        <v>18.726333333333333</v>
      </c>
      <c r="H43">
        <f>GC_TCD!Z46</f>
        <v>0.12993314947823523</v>
      </c>
      <c r="I43" s="38">
        <f>GC_TCD!K46</f>
        <v>0.74933844856675635</v>
      </c>
      <c r="J43" s="42">
        <f>GC_TCD!AA46</f>
        <v>1.9110168639032392</v>
      </c>
      <c r="K43" s="42">
        <f>GC_TCD!AB46</f>
        <v>5.5481134758481145</v>
      </c>
      <c r="L43" s="105">
        <f>GC_TCD!AC46</f>
        <v>5.9266546433939188E-3</v>
      </c>
      <c r="M43" s="42">
        <f t="shared" si="31"/>
        <v>9.981050284996844E-6</v>
      </c>
      <c r="N43">
        <f t="shared" si="32"/>
        <v>0.59719276996976223</v>
      </c>
      <c r="O43">
        <f t="shared" si="33"/>
        <v>1.1821813144072007E-2</v>
      </c>
      <c r="P43">
        <f t="shared" si="34"/>
        <v>0.14032361567343934</v>
      </c>
      <c r="Q43">
        <f t="shared" si="35"/>
        <v>900</v>
      </c>
      <c r="S43">
        <f t="shared" si="6"/>
        <v>87.100000000000009</v>
      </c>
      <c r="T43">
        <f>VFA!F40</f>
        <v>87.095833333332848</v>
      </c>
      <c r="U43">
        <f>VFA!K40</f>
        <v>47.220000000000006</v>
      </c>
      <c r="V43">
        <f>VFA!L40</f>
        <v>675.59542800000008</v>
      </c>
      <c r="W43" t="str">
        <f>IF(VFA!M40&lt;=0,"",VFA!M40)</f>
        <v/>
      </c>
      <c r="X43">
        <f>VFA!N40</f>
        <v>1073.2352179920001</v>
      </c>
      <c r="Y43">
        <f t="shared" si="7"/>
        <v>145.9</v>
      </c>
      <c r="Z43" s="39">
        <f>VFA!Q40</f>
        <v>145.90416666666715</v>
      </c>
      <c r="AA43" s="39">
        <f>VFA!V40</f>
        <v>14.795</v>
      </c>
      <c r="AB43" s="39">
        <f>VFA!W40</f>
        <v>2.6739999999999999</v>
      </c>
      <c r="AC43" s="39"/>
      <c r="AD43" s="39">
        <f>VFA!Y40</f>
        <v>19.834700999999999</v>
      </c>
      <c r="AE43">
        <f t="shared" si="8"/>
        <v>138.9</v>
      </c>
      <c r="AF43" s="39">
        <f>VFA!AB40</f>
        <v>138.9020833333343</v>
      </c>
      <c r="AG43" s="39">
        <f>IF(VFA!AG40&lt;=0,"",VFA!AG40)</f>
        <v>5.3890000000000002</v>
      </c>
      <c r="AH43" s="39">
        <f>IF(VFA!AH40&lt;=0,"",VFA!AH40)</f>
        <v>0.748</v>
      </c>
      <c r="AI43" s="45"/>
      <c r="AJ43" s="45">
        <f>VFA!AJ40</f>
        <v>6.8825349999999998</v>
      </c>
      <c r="AK43" s="45"/>
      <c r="AL43" s="45"/>
      <c r="AM43" s="45"/>
      <c r="AN43" s="45"/>
      <c r="AO43" s="45"/>
      <c r="AZ43">
        <f t="shared" si="14"/>
        <v>306.90000000000003</v>
      </c>
      <c r="BA43" s="120">
        <f>TSS_VSS!B44</f>
        <v>306.93541666666715</v>
      </c>
      <c r="BB43" s="10">
        <f>TSS_VSS!D44</f>
        <v>407</v>
      </c>
      <c r="BC43" s="10">
        <f>TSS_VSS!E44</f>
        <v>309</v>
      </c>
      <c r="BD43" s="10">
        <f>TSS_VSS!J44</f>
        <v>220</v>
      </c>
      <c r="BE43" s="10">
        <f>TSS_VSS!K44</f>
        <v>182</v>
      </c>
      <c r="BG43" s="45">
        <f t="shared" si="15"/>
        <v>321</v>
      </c>
      <c r="BH43">
        <f>SRT.HRT!B51</f>
        <v>321.01597222222335</v>
      </c>
      <c r="BI43">
        <f>SRT.HRT!P51</f>
        <v>4.2242152493140042</v>
      </c>
      <c r="BJ43">
        <f>SRT.HRT!Q51</f>
        <v>3.1034270216958935</v>
      </c>
      <c r="BK43">
        <f>SRT.HRT!R51</f>
        <v>3.1338231996022365</v>
      </c>
      <c r="BL43">
        <f>SRT.HRT!S51</f>
        <v>0.10069513406158066</v>
      </c>
      <c r="BM43">
        <f>SRT.HRT!T51</f>
        <v>9.9718452540546745E-2</v>
      </c>
      <c r="BO43">
        <f t="shared" si="16"/>
        <v>278.90000000000003</v>
      </c>
      <c r="BP43">
        <f>'H2 Delivery'!C41</f>
        <v>278.91111111110513</v>
      </c>
      <c r="BQ43">
        <f>'H2 Delivery'!F41</f>
        <v>2.1030000000000002</v>
      </c>
      <c r="BT43" s="38"/>
      <c r="BW43">
        <v>208.9</v>
      </c>
      <c r="BX43" s="45">
        <v>12.79653385127509</v>
      </c>
      <c r="BY43" s="45">
        <v>0</v>
      </c>
      <c r="BZ43">
        <v>187.8</v>
      </c>
      <c r="CA43" s="45">
        <v>28.863939254583229</v>
      </c>
      <c r="CB43" s="45">
        <v>0</v>
      </c>
      <c r="CC43" s="45"/>
      <c r="CD43" s="39">
        <v>190.5</v>
      </c>
      <c r="CE43" s="45">
        <v>202.39334657147518</v>
      </c>
      <c r="CF43" s="45">
        <v>7.3952946320227628</v>
      </c>
      <c r="CG43">
        <v>173.9</v>
      </c>
      <c r="CH43" s="45">
        <v>251.77154700127167</v>
      </c>
      <c r="CI43" s="45">
        <v>2.6939932027982305</v>
      </c>
      <c r="CK43">
        <f t="shared" si="18"/>
        <v>82.9</v>
      </c>
      <c r="CL43">
        <f>'Liquid Volume'!A40</f>
        <v>82.859722222223354</v>
      </c>
      <c r="CM43">
        <f>'Liquid Volume'!C40</f>
        <v>900</v>
      </c>
      <c r="CY43">
        <f t="shared" si="28"/>
        <v>257.90000000000003</v>
      </c>
      <c r="CZ43">
        <f>COD!A36</f>
        <v>257.8708333333343</v>
      </c>
      <c r="DA43">
        <f>COD!I36</f>
        <v>554</v>
      </c>
      <c r="DB43">
        <f t="shared" si="30"/>
        <v>258</v>
      </c>
      <c r="DC43">
        <f>COD!L36</f>
        <v>257.8708333333343</v>
      </c>
      <c r="DD43">
        <f>COD!T36</f>
        <v>594</v>
      </c>
      <c r="DE43">
        <f t="shared" si="22"/>
        <v>264.5</v>
      </c>
      <c r="DF43">
        <f>COD!W39</f>
        <v>264.47083333333285</v>
      </c>
      <c r="DG43">
        <f>COD!AE39</f>
        <v>650</v>
      </c>
    </row>
    <row r="44" spans="1:111" ht="14.4" x14ac:dyDescent="0.3">
      <c r="A44">
        <f t="shared" si="5"/>
        <v>90.100000000000009</v>
      </c>
      <c r="B44">
        <f>GC_TCD!G47</f>
        <v>90.096527777779556</v>
      </c>
      <c r="C44">
        <f>GC_TCD!U47</f>
        <v>0</v>
      </c>
      <c r="D44">
        <f>GC_TCD!V47</f>
        <v>0</v>
      </c>
      <c r="E44">
        <f>GC_TCD!W47</f>
        <v>82.476333333333329</v>
      </c>
      <c r="F44">
        <f>GC_TCD!X47</f>
        <v>0.21909154098991165</v>
      </c>
      <c r="G44">
        <f>GC_TCD!Y47</f>
        <v>17.524266666666666</v>
      </c>
      <c r="H44">
        <f>GC_TCD!Z47</f>
        <v>0.21852693960547137</v>
      </c>
      <c r="I44" s="38">
        <f>GC_TCD!K47</f>
        <v>0.775832998236333</v>
      </c>
      <c r="J44" s="42">
        <f>GC_TCD!AA47</f>
        <v>2.0476115511532549</v>
      </c>
      <c r="K44" s="42">
        <f>GC_TCD!AB47</f>
        <v>5.9446786968965464</v>
      </c>
      <c r="L44" s="105">
        <f>GC_TCD!AC47</f>
        <v>6.3502770366572342E-3</v>
      </c>
      <c r="M44" s="42">
        <f t="shared" si="31"/>
        <v>1.0227088887283568E-5</v>
      </c>
      <c r="N44">
        <f t="shared" si="32"/>
        <v>0.63987860973539212</v>
      </c>
      <c r="O44">
        <f t="shared" si="33"/>
        <v>0</v>
      </c>
      <c r="P44">
        <f t="shared" si="34"/>
        <v>0.13595904349893029</v>
      </c>
      <c r="Q44">
        <f t="shared" si="35"/>
        <v>900</v>
      </c>
      <c r="S44">
        <f t="shared" si="6"/>
        <v>89.9</v>
      </c>
      <c r="T44">
        <f>VFA!F41</f>
        <v>89.861111111109494</v>
      </c>
      <c r="U44">
        <f>VFA!K41</f>
        <v>20.82</v>
      </c>
      <c r="V44">
        <f>VFA!L41</f>
        <v>212.55970799999997</v>
      </c>
      <c r="W44" t="str">
        <f>IF(VFA!M41&lt;=0,"",VFA!M41)</f>
        <v/>
      </c>
      <c r="X44">
        <f>VFA!N41</f>
        <v>344.03033791199999</v>
      </c>
      <c r="Y44">
        <f t="shared" si="7"/>
        <v>148.80000000000001</v>
      </c>
      <c r="Z44" s="39">
        <f>VFA!Q41</f>
        <v>148.84166666666715</v>
      </c>
      <c r="AA44" s="39">
        <f>VFA!V41</f>
        <v>13.215999999999999</v>
      </c>
      <c r="AB44" s="39">
        <f>VFA!W41</f>
        <v>5.64</v>
      </c>
      <c r="AC44" s="39">
        <f>VFA!X41</f>
        <v>4.3159999999999998</v>
      </c>
      <c r="AD44" s="39">
        <f>VFA!Y41</f>
        <v>30.486919999999998</v>
      </c>
      <c r="AE44">
        <f t="shared" si="8"/>
        <v>141.9</v>
      </c>
      <c r="AF44" s="39">
        <f>VFA!AB41</f>
        <v>141.92638888888905</v>
      </c>
      <c r="AG44" s="39">
        <f>IF(VFA!AG41&lt;=0,"",VFA!AG41)</f>
        <v>97.400999999999996</v>
      </c>
      <c r="AH44" s="39">
        <f>IF(VFA!AH41&lt;=0,"",VFA!AH41)</f>
        <v>3.2189999999999999</v>
      </c>
      <c r="AI44" s="45"/>
      <c r="AJ44" s="45">
        <f>VFA!AJ41</f>
        <v>108.80043299999998</v>
      </c>
      <c r="AK44" s="45"/>
      <c r="AL44" s="45"/>
      <c r="AM44" s="45"/>
      <c r="AN44" s="45"/>
      <c r="AO44" s="45"/>
      <c r="AZ44">
        <f t="shared" si="14"/>
        <v>314</v>
      </c>
      <c r="BA44" s="120">
        <f>TSS_VSS!B45</f>
        <v>314.02291666666861</v>
      </c>
      <c r="BB44" s="10">
        <f>TSS_VSS!D45</f>
        <v>598</v>
      </c>
      <c r="BC44" s="10">
        <f>TSS_VSS!E45</f>
        <v>508</v>
      </c>
      <c r="BD44" s="10">
        <f>TSS_VSS!J45</f>
        <v>406</v>
      </c>
      <c r="BE44" s="10">
        <f>TSS_VSS!K45</f>
        <v>346</v>
      </c>
      <c r="BG44">
        <f t="shared" si="15"/>
        <v>328</v>
      </c>
      <c r="BH44">
        <f>SRT.HRT!B52</f>
        <v>328.01944444444234</v>
      </c>
      <c r="BI44">
        <f>SRT.HRT!P52</f>
        <v>5.3136254057906829</v>
      </c>
      <c r="BJ44">
        <f>SRT.HRT!Q52</f>
        <v>3.1642193775085792</v>
      </c>
      <c r="BK44">
        <f>SRT.HRT!R52</f>
        <v>3.1642193775085792</v>
      </c>
      <c r="BL44">
        <f>SRT.HRT!S52</f>
        <v>9.8760535448731757E-2</v>
      </c>
      <c r="BM44">
        <f>SRT.HRT!T52</f>
        <v>9.876053544873177E-2</v>
      </c>
      <c r="BO44">
        <f t="shared" si="16"/>
        <v>282.10000000000002</v>
      </c>
      <c r="BP44">
        <f>'H2 Delivery'!C42</f>
        <v>282.08263888888905</v>
      </c>
      <c r="BQ44">
        <f>'H2 Delivery'!F42</f>
        <v>2.7749999999999999</v>
      </c>
      <c r="BT44" s="38"/>
      <c r="BW44">
        <v>212</v>
      </c>
      <c r="BX44" s="45">
        <v>20.408624557719499</v>
      </c>
      <c r="BY44" s="45">
        <v>0</v>
      </c>
      <c r="BZ44">
        <v>191</v>
      </c>
      <c r="CA44" s="45">
        <v>17.995872161990921</v>
      </c>
      <c r="CB44" s="45">
        <v>0</v>
      </c>
      <c r="CC44" s="45"/>
      <c r="CD44" s="39">
        <v>194.5</v>
      </c>
      <c r="CE44" s="45">
        <v>258.36224862564137</v>
      </c>
      <c r="CF44" s="45">
        <v>0</v>
      </c>
      <c r="CG44">
        <v>176.9</v>
      </c>
      <c r="CH44" s="45">
        <v>269.37040717901533</v>
      </c>
      <c r="CI44" s="45">
        <v>0.95602962373158373</v>
      </c>
      <c r="CK44">
        <f t="shared" si="18"/>
        <v>83</v>
      </c>
      <c r="CL44">
        <f>'Liquid Volume'!A41</f>
        <v>82.979861111110949</v>
      </c>
      <c r="CM44">
        <f>'Liquid Volume'!C41</f>
        <v>900</v>
      </c>
      <c r="CY44">
        <f t="shared" si="28"/>
        <v>260.5</v>
      </c>
      <c r="CZ44">
        <f>COD!A37</f>
        <v>260.47083333333285</v>
      </c>
      <c r="DA44">
        <f>COD!I37</f>
        <v>620</v>
      </c>
      <c r="DB44">
        <f t="shared" si="30"/>
        <v>260.5</v>
      </c>
      <c r="DC44">
        <f>COD!L37</f>
        <v>260.47083333333285</v>
      </c>
      <c r="DD44">
        <f>COD!T37</f>
        <v>634</v>
      </c>
      <c r="DE44">
        <f t="shared" si="22"/>
        <v>267.90000000000003</v>
      </c>
      <c r="DF44">
        <f>COD!W40</f>
        <v>267.92083333332994</v>
      </c>
      <c r="DG44">
        <f>COD!AE40</f>
        <v>576</v>
      </c>
    </row>
    <row r="45" spans="1:111" ht="14.4" x14ac:dyDescent="0.3">
      <c r="A45">
        <f t="shared" si="5"/>
        <v>93.100000000000009</v>
      </c>
      <c r="B45">
        <f>GC_TCD!G48</f>
        <v>93.086111111108039</v>
      </c>
      <c r="C45">
        <f>GC_TCD!U48</f>
        <v>5.3864666666666672</v>
      </c>
      <c r="D45">
        <f>GC_TCD!V48</f>
        <v>2.2293571569699747E-2</v>
      </c>
      <c r="E45">
        <f>GC_TCD!W48</f>
        <v>80.593699999999998</v>
      </c>
      <c r="F45">
        <f>GC_TCD!X48</f>
        <v>0.131812859767174</v>
      </c>
      <c r="G45">
        <f>GC_TCD!Y48</f>
        <v>14.019866666666667</v>
      </c>
      <c r="H45">
        <f>GC_TCD!Z48</f>
        <v>0.12400908568864408</v>
      </c>
      <c r="I45" s="38">
        <f>GC_TCD!K48</f>
        <v>0.93485196283542815</v>
      </c>
      <c r="J45" s="42">
        <f>GC_TCD!AA48</f>
        <v>2.4109817163894283</v>
      </c>
      <c r="K45" s="42">
        <f>GC_TCD!AB48</f>
        <v>6.9996243379047929</v>
      </c>
      <c r="L45" s="105">
        <f>GC_TCD!AC48</f>
        <v>7.4772003609596335E-3</v>
      </c>
      <c r="M45" s="42">
        <f t="shared" si="31"/>
        <v>1.1655248666261833E-5</v>
      </c>
      <c r="N45">
        <f t="shared" si="32"/>
        <v>0.75343178637169639</v>
      </c>
      <c r="O45">
        <f t="shared" si="33"/>
        <v>5.03554893608094E-2</v>
      </c>
      <c r="P45">
        <f t="shared" si="34"/>
        <v>0.13106499872024324</v>
      </c>
      <c r="Q45">
        <f t="shared" si="35"/>
        <v>900</v>
      </c>
      <c r="S45">
        <f t="shared" si="6"/>
        <v>90.9</v>
      </c>
      <c r="T45">
        <f>VFA!F42</f>
        <v>90.866666666668607</v>
      </c>
      <c r="U45">
        <f>VFA!K42</f>
        <v>14.64</v>
      </c>
      <c r="V45">
        <f>VFA!L42</f>
        <v>107.987568</v>
      </c>
      <c r="W45" t="str">
        <f>IF(VFA!M42&lt;=0,"",VFA!M42)</f>
        <v/>
      </c>
      <c r="X45">
        <f>VFA!N42</f>
        <v>179.114057952</v>
      </c>
      <c r="Y45">
        <f t="shared" si="7"/>
        <v>155.5</v>
      </c>
      <c r="Z45" s="39">
        <f>VFA!Q42</f>
        <v>155.47083333333285</v>
      </c>
      <c r="AA45" s="39">
        <f>VFA!V42</f>
        <v>21.117000000000001</v>
      </c>
      <c r="AB45" s="39">
        <f>VFA!W42</f>
        <v>8.1080000000000005</v>
      </c>
      <c r="AC45" s="39">
        <f>VFA!X42</f>
        <v>1.123</v>
      </c>
      <c r="AD45" s="39">
        <f>VFA!Y42</f>
        <v>36.848965000000007</v>
      </c>
      <c r="AE45">
        <f t="shared" si="8"/>
        <v>145.9</v>
      </c>
      <c r="AF45" s="39">
        <f>VFA!AB42</f>
        <v>145.90416666666715</v>
      </c>
      <c r="AG45" s="39">
        <f>IF(VFA!AG42&lt;=0,"",VFA!AG42)</f>
        <v>94.772000000000006</v>
      </c>
      <c r="AH45" s="39" t="str">
        <f>IF(VFA!AH42&lt;=0,"",VFA!AH42)</f>
        <v/>
      </c>
      <c r="AI45" s="45"/>
      <c r="AJ45" s="45">
        <f>VFA!AJ42</f>
        <v>101.121724</v>
      </c>
      <c r="AK45" s="45"/>
      <c r="AL45" s="45"/>
      <c r="AM45" s="45"/>
      <c r="AN45" s="45"/>
      <c r="AO45" s="45"/>
      <c r="AZ45">
        <f t="shared" si="14"/>
        <v>321</v>
      </c>
      <c r="BA45" s="120">
        <f>TSS_VSS!B46</f>
        <v>321.01597222222335</v>
      </c>
      <c r="BB45" s="10">
        <f>TSS_VSS!D46</f>
        <v>562</v>
      </c>
      <c r="BC45" s="10">
        <f>TSS_VSS!E46</f>
        <v>0</v>
      </c>
      <c r="BD45" s="10">
        <f>TSS_VSS!J46</f>
        <v>402</v>
      </c>
      <c r="BE45" s="10">
        <f>TSS_VSS!K46</f>
        <v>0</v>
      </c>
      <c r="BO45">
        <f t="shared" si="16"/>
        <v>287</v>
      </c>
      <c r="BP45">
        <f>'H2 Delivery'!C43</f>
        <v>287.04097222221753</v>
      </c>
      <c r="BQ45">
        <f>'H2 Delivery'!F43</f>
        <v>2.77</v>
      </c>
      <c r="BT45" s="38"/>
      <c r="BW45">
        <v>215.9</v>
      </c>
      <c r="BX45" s="45">
        <v>10.90951526030992</v>
      </c>
      <c r="BY45" s="45">
        <v>0</v>
      </c>
      <c r="BZ45">
        <v>194.9</v>
      </c>
      <c r="CA45" s="45">
        <v>24.147235404228425</v>
      </c>
      <c r="CB45" s="45">
        <v>0</v>
      </c>
      <c r="CC45" s="45"/>
      <c r="CD45" s="39">
        <v>201.5</v>
      </c>
      <c r="CE45" s="45">
        <v>207.17566571462231</v>
      </c>
      <c r="CF45" s="45">
        <v>0</v>
      </c>
      <c r="CG45">
        <v>180.9</v>
      </c>
      <c r="CH45" s="45">
        <v>285.82864095399816</v>
      </c>
      <c r="CI45" s="45">
        <v>0</v>
      </c>
      <c r="CK45">
        <f t="shared" si="18"/>
        <v>83.9</v>
      </c>
      <c r="CL45">
        <f>'Liquid Volume'!A42</f>
        <v>83.875694444446708</v>
      </c>
      <c r="CM45">
        <f>'Liquid Volume'!C42</f>
        <v>900</v>
      </c>
      <c r="CY45">
        <f t="shared" si="28"/>
        <v>264.5</v>
      </c>
      <c r="CZ45">
        <f>COD!A38</f>
        <v>264.47083333333285</v>
      </c>
      <c r="DA45">
        <f>COD!I38</f>
        <v>488</v>
      </c>
      <c r="DB45">
        <f t="shared" si="30"/>
        <v>264.5</v>
      </c>
      <c r="DC45">
        <f>COD!L38</f>
        <v>264.47083333333285</v>
      </c>
      <c r="DD45">
        <f>COD!T38</f>
        <v>620</v>
      </c>
      <c r="DE45">
        <f t="shared" si="22"/>
        <v>272.90000000000003</v>
      </c>
      <c r="DF45">
        <f>COD!W41</f>
        <v>272.9375</v>
      </c>
      <c r="DG45">
        <f>COD!AE41</f>
        <v>560</v>
      </c>
    </row>
    <row r="46" spans="1:111" ht="14.4" x14ac:dyDescent="0.3">
      <c r="A46">
        <f t="shared" si="5"/>
        <v>97.2</v>
      </c>
      <c r="B46">
        <f>GC_TCD!G49</f>
        <v>97.154166666667152</v>
      </c>
      <c r="C46">
        <f>GC_TCD!U49</f>
        <v>6.2578333333333331</v>
      </c>
      <c r="D46">
        <f>GC_TCD!V49</f>
        <v>7.5273457030571977E-2</v>
      </c>
      <c r="E46">
        <f>GC_TCD!W49</f>
        <v>83.335766666666657</v>
      </c>
      <c r="F46">
        <f>GC_TCD!X49</f>
        <v>2.0084156276361287E-2</v>
      </c>
      <c r="G46">
        <f>GC_TCD!Y49</f>
        <v>10.4064</v>
      </c>
      <c r="H46">
        <f>GC_TCD!Z49</f>
        <v>5.5196739034113186E-2</v>
      </c>
      <c r="I46" s="38">
        <f>GC_TCD!K49</f>
        <v>0.51107900307227605</v>
      </c>
      <c r="J46" s="42">
        <f>GC_TCD!AA49</f>
        <v>1.362917137544442</v>
      </c>
      <c r="K46" s="42">
        <f>GC_TCD!AB49</f>
        <v>3.9568562057741867</v>
      </c>
      <c r="L46" s="105">
        <f>GC_TCD!AC49</f>
        <v>4.2268277870089518E-3</v>
      </c>
      <c r="M46" s="42">
        <f t="shared" si="31"/>
        <v>6.3127782671355236E-6</v>
      </c>
      <c r="N46">
        <f t="shared" si="32"/>
        <v>0.42591160548263807</v>
      </c>
      <c r="O46">
        <f t="shared" si="33"/>
        <v>3.1982472213924584E-2</v>
      </c>
      <c r="P46">
        <f t="shared" si="34"/>
        <v>5.3184925375713329E-2</v>
      </c>
      <c r="Q46">
        <f t="shared" si="35"/>
        <v>900</v>
      </c>
      <c r="S46">
        <f t="shared" si="6"/>
        <v>91.5</v>
      </c>
      <c r="T46">
        <f>VFA!F43</f>
        <v>91.470833333332848</v>
      </c>
      <c r="U46">
        <f>VFA!K43</f>
        <v>25.32</v>
      </c>
      <c r="V46">
        <f>VFA!L43</f>
        <v>168.09441600000002</v>
      </c>
      <c r="W46" t="str">
        <f>IF(VFA!M43&lt;=0,"",VFA!M43)</f>
        <v/>
      </c>
      <c r="X46">
        <f>VFA!N43</f>
        <v>281.51138582400006</v>
      </c>
      <c r="Y46">
        <f t="shared" si="7"/>
        <v>159.5</v>
      </c>
      <c r="Z46" s="39">
        <f>VFA!Q43</f>
        <v>159.47083333333285</v>
      </c>
      <c r="AA46" s="39">
        <f>VFA!V43</f>
        <v>5.7185550000000003</v>
      </c>
      <c r="AB46" s="39">
        <f>VFA!W43</f>
        <v>6.4004089999999998</v>
      </c>
      <c r="AC46" s="39">
        <f>VFA!X43</f>
        <v>1.93</v>
      </c>
      <c r="AD46" s="39">
        <f>VFA!Y43</f>
        <v>19.300657411</v>
      </c>
      <c r="AE46">
        <f t="shared" si="8"/>
        <v>148.80000000000001</v>
      </c>
      <c r="AF46" s="39">
        <f>VFA!AB43</f>
        <v>148.84166666666715</v>
      </c>
      <c r="AG46" s="39">
        <f>IF(VFA!AG43&lt;=0,"",VFA!AG43)</f>
        <v>90.656999999999996</v>
      </c>
      <c r="AH46" s="39" t="str">
        <f>IF(VFA!AH43&lt;=0,"",VFA!AH43)</f>
        <v/>
      </c>
      <c r="AI46" s="45" t="str">
        <f>VFA!AI43</f>
        <v/>
      </c>
      <c r="AJ46" s="45">
        <f>VFA!AJ43</f>
        <v>96.731018999999989</v>
      </c>
      <c r="AK46" s="45"/>
      <c r="AL46" s="45"/>
      <c r="AM46" s="45"/>
      <c r="AN46" s="45"/>
      <c r="AO46" s="45"/>
      <c r="AZ46">
        <f t="shared" si="14"/>
        <v>328</v>
      </c>
      <c r="BA46" s="120">
        <f>TSS_VSS!B47</f>
        <v>328.01944444444234</v>
      </c>
      <c r="BB46" s="10">
        <f>TSS_VSS!D47</f>
        <v>684</v>
      </c>
      <c r="BC46" s="10">
        <f>TSS_VSS!E47</f>
        <v>584</v>
      </c>
      <c r="BD46" s="10">
        <f>TSS_VSS!J47</f>
        <v>393</v>
      </c>
      <c r="BE46" s="10">
        <f>TSS_VSS!K47</f>
        <v>332</v>
      </c>
      <c r="BO46">
        <f t="shared" si="16"/>
        <v>303.2</v>
      </c>
      <c r="BP46">
        <f>'H2 Delivery'!C44</f>
        <v>303.18541666666715</v>
      </c>
      <c r="BQ46">
        <f>'H2 Delivery'!F44</f>
        <v>3.3239999999999998</v>
      </c>
      <c r="BT46" s="38"/>
      <c r="BW46">
        <v>240</v>
      </c>
      <c r="BX46" s="45" t="s">
        <v>388</v>
      </c>
      <c r="BY46" s="45">
        <v>0</v>
      </c>
      <c r="BZ46">
        <v>201.9</v>
      </c>
      <c r="CA46" s="45">
        <v>31.774149237743334</v>
      </c>
      <c r="CB46" s="45">
        <v>0</v>
      </c>
      <c r="CC46" s="45"/>
      <c r="CD46" s="39">
        <v>204.5</v>
      </c>
      <c r="CE46" s="45">
        <v>256.071501398132</v>
      </c>
      <c r="CF46" s="45">
        <v>10.373457046333503</v>
      </c>
      <c r="CG46">
        <v>184</v>
      </c>
      <c r="CH46" s="45">
        <v>283.80088319681823</v>
      </c>
      <c r="CI46" s="45">
        <v>0</v>
      </c>
      <c r="CK46">
        <f t="shared" si="18"/>
        <v>84.9</v>
      </c>
      <c r="CL46">
        <f>'Liquid Volume'!A43</f>
        <v>84.930555555554747</v>
      </c>
      <c r="CM46">
        <f>'Liquid Volume'!C43</f>
        <v>450</v>
      </c>
      <c r="CY46">
        <f t="shared" si="28"/>
        <v>267.90000000000003</v>
      </c>
      <c r="CZ46">
        <f>COD!A39</f>
        <v>267.92083333332994</v>
      </c>
      <c r="DA46">
        <f>COD!I39</f>
        <v>504</v>
      </c>
      <c r="DB46">
        <f t="shared" si="30"/>
        <v>268</v>
      </c>
      <c r="DC46">
        <f>COD!L39</f>
        <v>267.92083333332994</v>
      </c>
      <c r="DD46">
        <f>COD!T39</f>
        <v>620</v>
      </c>
      <c r="DE46">
        <f t="shared" si="22"/>
        <v>275.90000000000003</v>
      </c>
      <c r="DF46">
        <f>COD!W42</f>
        <v>275.93888888888614</v>
      </c>
      <c r="DG46">
        <f>COD!AE42</f>
        <v>808</v>
      </c>
    </row>
    <row r="47" spans="1:111" ht="14.4" x14ac:dyDescent="0.3">
      <c r="A47">
        <f t="shared" si="5"/>
        <v>99.9</v>
      </c>
      <c r="B47">
        <f>GC_TCD!G50</f>
        <v>99.902777777773736</v>
      </c>
      <c r="C47">
        <f>GC_TCD!U50</f>
        <v>2.5033666666666665</v>
      </c>
      <c r="D47">
        <f>GC_TCD!V50</f>
        <v>5.4131722061406165E-2</v>
      </c>
      <c r="E47">
        <f>GC_TCD!W50</f>
        <v>90.877666666666656</v>
      </c>
      <c r="F47">
        <f>GC_TCD!X50</f>
        <v>0.13328256950303582</v>
      </c>
      <c r="G47">
        <f>GC_TCD!Y50</f>
        <v>6.618966666666668</v>
      </c>
      <c r="H47">
        <f>GC_TCD!Z50</f>
        <v>0.12218651043930079</v>
      </c>
      <c r="I47" s="38">
        <f>GC_TCD!K50</f>
        <v>0.56698835270431935</v>
      </c>
      <c r="J47" s="42">
        <f>GC_TCD!AA50</f>
        <v>1.6488505126702582</v>
      </c>
      <c r="K47" s="42">
        <f>GC_TCD!AB50</f>
        <v>4.7869853593652651</v>
      </c>
      <c r="L47" s="105">
        <f>GC_TCD!AC50</f>
        <v>5.1135956630021786E-3</v>
      </c>
      <c r="M47" s="42">
        <f t="shared" si="31"/>
        <v>7.4270480481744083E-6</v>
      </c>
      <c r="N47">
        <f t="shared" si="32"/>
        <v>0.51526578520945565</v>
      </c>
      <c r="O47">
        <f t="shared" si="33"/>
        <v>1.4193797425482362E-2</v>
      </c>
      <c r="P47">
        <f t="shared" si="34"/>
        <v>3.7528770069381337E-2</v>
      </c>
      <c r="Q47">
        <f t="shared" si="35"/>
        <v>450</v>
      </c>
      <c r="S47">
        <f t="shared" si="6"/>
        <v>92.9</v>
      </c>
      <c r="T47">
        <f>VFA!F44</f>
        <v>92.863888888889051</v>
      </c>
      <c r="U47">
        <f>VFA!K44</f>
        <v>26.68</v>
      </c>
      <c r="V47">
        <f>VFA!L44</f>
        <v>191.75983199999999</v>
      </c>
      <c r="W47" t="str">
        <f>IF(VFA!M44&lt;=0,"",VFA!M44)</f>
        <v/>
      </c>
      <c r="X47">
        <f>VFA!N44</f>
        <v>318.79194564799997</v>
      </c>
      <c r="Y47">
        <f t="shared" si="7"/>
        <v>162.5</v>
      </c>
      <c r="Z47" s="39">
        <f>VFA!Q44</f>
        <v>162.47083333333285</v>
      </c>
      <c r="AA47" s="39">
        <f>VFA!V44</f>
        <v>9.1549999999999994</v>
      </c>
      <c r="AB47" s="39">
        <f>VFA!W44</f>
        <v>7.55</v>
      </c>
      <c r="AC47" s="39">
        <f>VFA!X44</f>
        <v>3.5179999999999998</v>
      </c>
      <c r="AD47" s="39">
        <f>VFA!Y44</f>
        <v>27.594808999999998</v>
      </c>
      <c r="AE47">
        <f t="shared" si="8"/>
        <v>155.5</v>
      </c>
      <c r="AF47" s="39">
        <f>VFA!AB44</f>
        <v>155.47083333333285</v>
      </c>
      <c r="AG47" s="39">
        <f>IF(VFA!AG44&lt;=0,"",VFA!AG44)</f>
        <v>9.5519999999999996</v>
      </c>
      <c r="AH47" s="39" t="str">
        <f>IF(VFA!AH44&lt;=0,"",VFA!AH44)</f>
        <v/>
      </c>
      <c r="AI47" s="45" t="str">
        <f>VFA!AI44</f>
        <v/>
      </c>
      <c r="AJ47" s="45">
        <f>VFA!AJ44</f>
        <v>10.191984</v>
      </c>
      <c r="AK47" s="45"/>
      <c r="AL47" s="45"/>
      <c r="AM47" s="45"/>
      <c r="AN47" s="45"/>
      <c r="AO47" s="45"/>
      <c r="BA47" s="120"/>
      <c r="BB47" s="10"/>
      <c r="BC47" s="10"/>
      <c r="BD47" s="10"/>
      <c r="BE47" s="10"/>
      <c r="BO47">
        <f t="shared" si="16"/>
        <v>309.90000000000003</v>
      </c>
      <c r="BP47">
        <f>'H2 Delivery'!C45</f>
        <v>309.90486111110658</v>
      </c>
      <c r="BQ47">
        <f>'H2 Delivery'!F45</f>
        <v>3.988</v>
      </c>
      <c r="BT47" s="38"/>
      <c r="BW47">
        <v>243.9</v>
      </c>
      <c r="BX47" s="45" t="s">
        <v>388</v>
      </c>
      <c r="BY47" s="45">
        <v>0</v>
      </c>
      <c r="BZ47">
        <v>204.9</v>
      </c>
      <c r="CA47" s="45">
        <v>18.713040153732045</v>
      </c>
      <c r="CB47" s="45">
        <v>0</v>
      </c>
      <c r="CC47" s="45"/>
      <c r="CD47" s="39">
        <v>208.5</v>
      </c>
      <c r="CE47" s="45">
        <v>228.39810380592306</v>
      </c>
      <c r="CF47" s="45">
        <v>0</v>
      </c>
      <c r="CG47">
        <v>187.8</v>
      </c>
      <c r="CH47" s="45">
        <v>196.4606241999675</v>
      </c>
      <c r="CI47" s="45">
        <v>32.315040412041611</v>
      </c>
      <c r="CK47">
        <f t="shared" si="18"/>
        <v>85.9</v>
      </c>
      <c r="CL47">
        <f>'Liquid Volume'!A44</f>
        <v>85.857638888890506</v>
      </c>
      <c r="CM47">
        <f>'Liquid Volume'!C44</f>
        <v>450</v>
      </c>
      <c r="CY47">
        <f t="shared" si="28"/>
        <v>272.90000000000003</v>
      </c>
      <c r="CZ47">
        <f>COD!A40</f>
        <v>272.9375</v>
      </c>
      <c r="DA47">
        <f>COD!I40</f>
        <v>310</v>
      </c>
      <c r="DB47">
        <f t="shared" si="30"/>
        <v>273</v>
      </c>
      <c r="DC47">
        <f>COD!L40</f>
        <v>272.9375</v>
      </c>
      <c r="DD47">
        <f>COD!T40</f>
        <v>535</v>
      </c>
      <c r="DE47">
        <f t="shared" si="22"/>
        <v>278.90000000000003</v>
      </c>
      <c r="DF47">
        <f>COD!W43</f>
        <v>278.91249999999854</v>
      </c>
      <c r="DG47">
        <f>COD!AE43</f>
        <v>716</v>
      </c>
    </row>
    <row r="48" spans="1:111" ht="14.4" x14ac:dyDescent="0.3">
      <c r="A48">
        <f t="shared" si="5"/>
        <v>103.9</v>
      </c>
      <c r="B48">
        <f>GC_TCD!G51</f>
        <v>103.89166666666279</v>
      </c>
      <c r="C48">
        <f>GC_TCD!U51</f>
        <v>4.5391000000000004</v>
      </c>
      <c r="D48">
        <f>GC_TCD!V51</f>
        <v>0.10568959267591127</v>
      </c>
      <c r="E48">
        <f>GC_TCD!W51</f>
        <v>86.886866666666677</v>
      </c>
      <c r="F48">
        <f>GC_TCD!X51</f>
        <v>9.996581082217279E-2</v>
      </c>
      <c r="G48">
        <f>GC_TCD!Y51</f>
        <v>8.5740333333333325</v>
      </c>
      <c r="H48">
        <f>GC_TCD!Z51</f>
        <v>2.8132780405308835E-2</v>
      </c>
      <c r="I48" s="38">
        <f>GC_TCD!K51</f>
        <v>0.41343584148043017</v>
      </c>
      <c r="J48" s="42">
        <f>GC_TCD!AA51</f>
        <v>1.149508634685801</v>
      </c>
      <c r="K48" s="42">
        <f>GC_TCD!AB51</f>
        <v>3.3372831329587767</v>
      </c>
      <c r="L48" s="105">
        <f>GC_TCD!AC51</f>
        <v>3.564981982140664E-3</v>
      </c>
      <c r="M48" s="42">
        <f t="shared" si="31"/>
        <v>4.9790219197108822E-6</v>
      </c>
      <c r="N48">
        <f t="shared" si="32"/>
        <v>0.3592214483393128</v>
      </c>
      <c r="O48">
        <f t="shared" si="33"/>
        <v>1.8766266280638207E-2</v>
      </c>
      <c r="P48">
        <f t="shared" si="34"/>
        <v>3.544812686047924E-2</v>
      </c>
      <c r="Q48">
        <f t="shared" si="35"/>
        <v>450</v>
      </c>
      <c r="S48">
        <f t="shared" si="6"/>
        <v>93.9</v>
      </c>
      <c r="T48">
        <f>VFA!F45</f>
        <v>93.877777777779556</v>
      </c>
      <c r="U48">
        <f>VFA!K45</f>
        <v>47.95</v>
      </c>
      <c r="V48">
        <f>VFA!L45</f>
        <v>326.18466999999998</v>
      </c>
      <c r="W48" t="str">
        <f>IF(VFA!M45&lt;=0,"",VFA!M45)</f>
        <v/>
      </c>
      <c r="X48">
        <f>VFA!N45</f>
        <v>545.00624038000001</v>
      </c>
      <c r="Y48">
        <f t="shared" si="7"/>
        <v>166.5</v>
      </c>
      <c r="Z48" s="39">
        <f>VFA!Q45</f>
        <v>166.47083333333285</v>
      </c>
      <c r="AA48" s="39">
        <f>VFA!V45</f>
        <v>6.5350169999999999</v>
      </c>
      <c r="AB48" s="39">
        <f>VFA!W45</f>
        <v>5.0397259999999999</v>
      </c>
      <c r="AC48" s="39" t="str">
        <f>VFA!X45</f>
        <v/>
      </c>
      <c r="AD48" s="39">
        <f>VFA!Y45</f>
        <v>6.9728631389999993</v>
      </c>
      <c r="AE48">
        <f t="shared" si="8"/>
        <v>159.5</v>
      </c>
      <c r="AF48" s="39">
        <f>VFA!AB45</f>
        <v>159.47083333333285</v>
      </c>
      <c r="AG48" s="39">
        <f>IF(VFA!AG45&lt;=0,"",VFA!AG45)</f>
        <v>107.88930000000001</v>
      </c>
      <c r="AH48" s="39">
        <f>IF(VFA!AH45&lt;=0,"",VFA!AH45)</f>
        <v>1.52139</v>
      </c>
      <c r="AI48" s="45">
        <f>VFA!AI45</f>
        <v>1.88</v>
      </c>
      <c r="AJ48" s="45">
        <f>VFA!AJ45</f>
        <v>120.83910756</v>
      </c>
      <c r="AK48" s="45"/>
      <c r="AL48" s="45"/>
      <c r="AM48" s="45"/>
      <c r="AN48" s="45"/>
      <c r="AO48" s="45"/>
      <c r="BA48" s="10"/>
      <c r="BB48" s="10"/>
      <c r="BC48" s="10"/>
      <c r="BD48" s="10"/>
      <c r="BE48" s="10"/>
      <c r="BO48">
        <f t="shared" si="16"/>
        <v>314.10000000000002</v>
      </c>
      <c r="BP48">
        <f>'H2 Delivery'!C46</f>
        <v>314.12291666666715</v>
      </c>
      <c r="BQ48">
        <f>'H2 Delivery'!F46</f>
        <v>3.9470000000000001</v>
      </c>
      <c r="BT48" s="38"/>
      <c r="BW48">
        <v>246.9</v>
      </c>
      <c r="BX48" s="45">
        <v>10.226119364994949</v>
      </c>
      <c r="BY48" s="45">
        <v>0</v>
      </c>
      <c r="BZ48">
        <v>208.9</v>
      </c>
      <c r="CA48" s="45">
        <v>23.588001224050039</v>
      </c>
      <c r="CB48" s="45">
        <v>0</v>
      </c>
      <c r="CC48" s="45"/>
      <c r="CD48" s="39">
        <v>211.5</v>
      </c>
      <c r="CE48" s="45">
        <v>208.88775770690677</v>
      </c>
      <c r="CF48" s="45">
        <v>0</v>
      </c>
      <c r="CG48">
        <v>191</v>
      </c>
      <c r="CH48" s="45">
        <v>180.23955507348975</v>
      </c>
      <c r="CI48" s="45">
        <v>1.5271913887825483</v>
      </c>
      <c r="CK48">
        <f t="shared" si="18"/>
        <v>85.9</v>
      </c>
      <c r="CL48">
        <f>'Liquid Volume'!A45</f>
        <v>85.860416666662786</v>
      </c>
      <c r="CM48">
        <f>'Liquid Volume'!C45</f>
        <v>450</v>
      </c>
      <c r="CY48">
        <f t="shared" si="28"/>
        <v>275.90000000000003</v>
      </c>
      <c r="CZ48">
        <f>COD!A41</f>
        <v>275.93888888888614</v>
      </c>
      <c r="DA48">
        <f>COD!I41</f>
        <v>508</v>
      </c>
      <c r="DB48">
        <f t="shared" si="30"/>
        <v>276</v>
      </c>
      <c r="DC48">
        <f>COD!L41</f>
        <v>275.93888888888614</v>
      </c>
      <c r="DD48">
        <f>COD!T41</f>
        <v>452</v>
      </c>
      <c r="DE48">
        <f t="shared" si="22"/>
        <v>281.90000000000003</v>
      </c>
      <c r="DF48">
        <f>COD!W44</f>
        <v>281.88749999999709</v>
      </c>
      <c r="DG48">
        <f>COD!AE44</f>
        <v>820</v>
      </c>
    </row>
    <row r="49" spans="1:111" ht="14.4" x14ac:dyDescent="0.3">
      <c r="A49">
        <f t="shared" si="5"/>
        <v>106.9</v>
      </c>
      <c r="B49">
        <f>GC_TCD!G52</f>
        <v>106.94583333333139</v>
      </c>
      <c r="C49">
        <f>GC_TCD!U52</f>
        <v>1.1944999999999999</v>
      </c>
      <c r="D49">
        <f>GC_TCD!V52</f>
        <v>0.26552883082633577</v>
      </c>
      <c r="E49">
        <f>GC_TCD!W52</f>
        <v>90.854199999999992</v>
      </c>
      <c r="F49">
        <f>GC_TCD!X52</f>
        <v>0.28207022175337748</v>
      </c>
      <c r="G49">
        <f>GC_TCD!Y52</f>
        <v>7.9512999999999998</v>
      </c>
      <c r="H49">
        <f>GC_TCD!Z52</f>
        <v>3.7971436633343299E-2</v>
      </c>
      <c r="I49" s="38">
        <f>GC_TCD!K52</f>
        <v>0.50944710327423315</v>
      </c>
      <c r="J49" s="42">
        <f>GC_TCD!AA52</f>
        <v>1.4811330883295306</v>
      </c>
      <c r="K49" s="42">
        <f>GC_TCD!AB52</f>
        <v>4.3000638048276691</v>
      </c>
      <c r="L49" s="105">
        <f>GC_TCD!AC52</f>
        <v>4.5934520313458908E-3</v>
      </c>
      <c r="M49" s="42">
        <f t="shared" si="31"/>
        <v>6.2322193298629448E-6</v>
      </c>
      <c r="N49">
        <f t="shared" si="32"/>
        <v>0.46285409010297829</v>
      </c>
      <c r="O49">
        <f t="shared" si="33"/>
        <v>6.0853456486107144E-3</v>
      </c>
      <c r="P49">
        <f t="shared" si="34"/>
        <v>4.0507667522644099E-2</v>
      </c>
      <c r="Q49">
        <f t="shared" si="35"/>
        <v>450</v>
      </c>
      <c r="S49">
        <f t="shared" si="6"/>
        <v>96.9</v>
      </c>
      <c r="T49">
        <f>VFA!F46</f>
        <v>96.856944444443798</v>
      </c>
      <c r="U49">
        <f>VFA!K46</f>
        <v>29.085000000000001</v>
      </c>
      <c r="V49">
        <f>VFA!L46</f>
        <v>22.575776999999999</v>
      </c>
      <c r="W49" t="str">
        <f>IF(VFA!M46&lt;=0,"",VFA!M46)</f>
        <v/>
      </c>
      <c r="X49">
        <f>VFA!N46</f>
        <v>65.213421377999993</v>
      </c>
      <c r="Y49">
        <f t="shared" si="7"/>
        <v>169.5</v>
      </c>
      <c r="Z49" s="39">
        <f>VFA!Q46</f>
        <v>169.47083333333285</v>
      </c>
      <c r="AA49" s="39">
        <f>VFA!V46</f>
        <v>18.516940000000002</v>
      </c>
      <c r="AB49" s="39">
        <f>VFA!W46</f>
        <v>11.74113</v>
      </c>
      <c r="AC49" s="39">
        <f>VFA!X46</f>
        <v>5.2359819999999999</v>
      </c>
      <c r="AD49" s="39">
        <f>VFA!Y46</f>
        <v>47.052661076</v>
      </c>
      <c r="AE49">
        <f t="shared" si="8"/>
        <v>162.5</v>
      </c>
      <c r="AF49" s="39">
        <f>VFA!AB46</f>
        <v>162.47083333333285</v>
      </c>
      <c r="AG49" s="39">
        <f>IF(VFA!AG46&lt;=0,"",VFA!AG46)</f>
        <v>26.131</v>
      </c>
      <c r="AH49" s="39">
        <f>IF(VFA!AH46&lt;=0,"",VFA!AH46)</f>
        <v>2.3559999999999999</v>
      </c>
      <c r="AI49" s="45">
        <f>VFA!AI46</f>
        <v>3.4239999999999999</v>
      </c>
      <c r="AJ49" s="45">
        <f>VFA!AJ46</f>
        <v>37.673592999999997</v>
      </c>
      <c r="AK49" s="45"/>
      <c r="AL49" s="45"/>
      <c r="AM49" s="45"/>
      <c r="AN49" s="45"/>
      <c r="AO49" s="45"/>
      <c r="BA49" s="10"/>
      <c r="BB49" s="10"/>
      <c r="BC49" s="10"/>
      <c r="BD49" s="10"/>
      <c r="BE49" s="10"/>
      <c r="BT49" s="38"/>
      <c r="BW49">
        <v>257.90000000000003</v>
      </c>
      <c r="BX49" s="45">
        <v>29.418423401276275</v>
      </c>
      <c r="BY49" s="45">
        <v>0</v>
      </c>
      <c r="BZ49">
        <v>212</v>
      </c>
      <c r="CA49" s="45">
        <v>37.50334354026959</v>
      </c>
      <c r="CB49" s="45">
        <v>0</v>
      </c>
      <c r="CC49" s="45"/>
      <c r="CD49" s="39">
        <v>215.5</v>
      </c>
      <c r="CE49" s="45">
        <v>211.36988629967647</v>
      </c>
      <c r="CF49" s="45">
        <v>1.3675152787112133</v>
      </c>
      <c r="CG49">
        <v>194.9</v>
      </c>
      <c r="CH49" s="45">
        <v>177.49689401825532</v>
      </c>
      <c r="CI49" s="45">
        <v>0</v>
      </c>
      <c r="CK49">
        <f t="shared" si="18"/>
        <v>86.800000000000011</v>
      </c>
      <c r="CL49">
        <f>'Liquid Volume'!A46</f>
        <v>86.804166666668607</v>
      </c>
      <c r="CM49">
        <f>'Liquid Volume'!C46</f>
        <v>450</v>
      </c>
      <c r="CY49">
        <f t="shared" si="28"/>
        <v>278.90000000000003</v>
      </c>
      <c r="CZ49">
        <f>COD!A42</f>
        <v>278.91249999999854</v>
      </c>
      <c r="DA49">
        <f>COD!I42</f>
        <v>700</v>
      </c>
      <c r="DB49">
        <f t="shared" si="30"/>
        <v>279</v>
      </c>
      <c r="DC49">
        <f>COD!L42</f>
        <v>278.91249999999854</v>
      </c>
      <c r="DD49">
        <f>COD!T42</f>
        <v>644</v>
      </c>
      <c r="DE49">
        <f t="shared" si="22"/>
        <v>285.90000000000003</v>
      </c>
      <c r="DF49">
        <f>COD!W45</f>
        <v>285.93958333333285</v>
      </c>
      <c r="DG49">
        <f>COD!AE45</f>
        <v>630</v>
      </c>
    </row>
    <row r="50" spans="1:111" ht="14.4" x14ac:dyDescent="0.3">
      <c r="A50">
        <f t="shared" si="5"/>
        <v>117.9</v>
      </c>
      <c r="B50">
        <f>GC_TCD!G53</f>
        <v>117.89236111110949</v>
      </c>
      <c r="C50">
        <f>GC_TCD!U53</f>
        <v>1.5917000000000001</v>
      </c>
      <c r="D50">
        <f>GC_TCD!V53</f>
        <v>0.24569983719978267</v>
      </c>
      <c r="E50">
        <f>GC_TCD!W53</f>
        <v>89.807866666666669</v>
      </c>
      <c r="F50">
        <f>GC_TCD!X53</f>
        <v>1.2492193255522945</v>
      </c>
      <c r="G50">
        <f>GC_TCD!Y53</f>
        <v>8.6004666666666676</v>
      </c>
      <c r="H50">
        <f>GC_TCD!Z53</f>
        <v>1.0067080725480122</v>
      </c>
      <c r="I50" s="38">
        <f>GC_TCD!K53</f>
        <v>0.45533763440924657</v>
      </c>
      <c r="J50" s="42">
        <f>GC_TCD!AA53</f>
        <v>1.3085728498989129</v>
      </c>
      <c r="K50" s="42">
        <f>GC_TCD!AB53</f>
        <v>3.7990824674484576</v>
      </c>
      <c r="L50" s="105">
        <f>GC_TCD!AC53</f>
        <v>4.0582893346279179E-3</v>
      </c>
      <c r="M50" s="42">
        <f t="shared" si="31"/>
        <v>4.9948764865225887E-6</v>
      </c>
      <c r="N50">
        <f t="shared" si="32"/>
        <v>0.40892901559341027</v>
      </c>
      <c r="O50">
        <f t="shared" si="33"/>
        <v>7.2476091268919782E-3</v>
      </c>
      <c r="P50">
        <f t="shared" si="34"/>
        <v>3.9161161468155785E-2</v>
      </c>
      <c r="Q50">
        <f t="shared" si="35"/>
        <v>450</v>
      </c>
      <c r="S50">
        <f t="shared" si="6"/>
        <v>98</v>
      </c>
      <c r="T50">
        <f>VFA!F47</f>
        <v>97.963888888887595</v>
      </c>
      <c r="U50">
        <f>VFA!K47</f>
        <v>30.71</v>
      </c>
      <c r="V50">
        <f>VFA!L47</f>
        <v>23.284322</v>
      </c>
      <c r="W50" t="str">
        <f>IF(VFA!M47&lt;=0,"",VFA!M47)</f>
        <v/>
      </c>
      <c r="X50">
        <f>VFA!N47</f>
        <v>68.020033507999997</v>
      </c>
      <c r="Y50">
        <f t="shared" si="7"/>
        <v>173.5</v>
      </c>
      <c r="Z50" s="39">
        <f>VFA!Q47</f>
        <v>173.47083333333285</v>
      </c>
      <c r="AA50" s="39">
        <f>VFA!V47</f>
        <v>9.4538779999999996</v>
      </c>
      <c r="AB50" s="39">
        <f>VFA!W47</f>
        <v>12.119529999999999</v>
      </c>
      <c r="AC50" s="39">
        <f>VFA!X47</f>
        <v>0.86917800000000001</v>
      </c>
      <c r="AD50" s="39">
        <f>VFA!Y47</f>
        <v>30.01642185</v>
      </c>
      <c r="AE50">
        <f t="shared" si="8"/>
        <v>166.5</v>
      </c>
      <c r="AF50" s="39">
        <f>VFA!AB47</f>
        <v>166.47083333333285</v>
      </c>
      <c r="AG50" s="39">
        <f>IF(VFA!AG47&lt;=0,"",VFA!AG47)</f>
        <v>145.43700000000001</v>
      </c>
      <c r="AH50" s="39">
        <f>IF(VFA!AH47&lt;=0,"",VFA!AH47)</f>
        <v>0.73668299999999998</v>
      </c>
      <c r="AI50" s="45" t="str">
        <f>VFA!AI47</f>
        <v/>
      </c>
      <c r="AJ50" s="45">
        <f>VFA!AJ47</f>
        <v>155.18127900000002</v>
      </c>
      <c r="AK50" s="45"/>
      <c r="AL50" s="45"/>
      <c r="AM50" s="45"/>
      <c r="AN50" s="45"/>
      <c r="AO50" s="45"/>
      <c r="BA50" s="10"/>
      <c r="BB50" s="10"/>
      <c r="BC50" s="10"/>
      <c r="BD50" s="10"/>
      <c r="BE50" s="10"/>
      <c r="BT50" s="38"/>
      <c r="BW50">
        <v>260.90000000000003</v>
      </c>
      <c r="BX50" s="45" t="s">
        <v>388</v>
      </c>
      <c r="BY50" s="45">
        <v>0</v>
      </c>
      <c r="BZ50">
        <v>215.9</v>
      </c>
      <c r="CA50" s="45">
        <v>32.942993815049903</v>
      </c>
      <c r="CB50" s="45">
        <v>0</v>
      </c>
      <c r="CC50" s="45"/>
      <c r="CD50" s="39">
        <v>239.5</v>
      </c>
      <c r="CE50" s="45">
        <v>212.89259987741661</v>
      </c>
      <c r="CF50" s="45">
        <v>8.0627014966229247</v>
      </c>
      <c r="CG50">
        <v>201.9</v>
      </c>
      <c r="CH50" s="45">
        <v>198.53621972310364</v>
      </c>
      <c r="CI50" s="45">
        <v>0</v>
      </c>
      <c r="CK50">
        <f t="shared" si="18"/>
        <v>86.800000000000011</v>
      </c>
      <c r="CL50">
        <f>'Liquid Volume'!A47</f>
        <v>86.845833333332848</v>
      </c>
      <c r="CM50">
        <f>'Liquid Volume'!C47</f>
        <v>450</v>
      </c>
      <c r="CY50">
        <f t="shared" si="28"/>
        <v>281.90000000000003</v>
      </c>
      <c r="CZ50">
        <f>COD!A43</f>
        <v>281.88749999999709</v>
      </c>
      <c r="DA50">
        <f>COD!I43</f>
        <v>634</v>
      </c>
      <c r="DB50">
        <f t="shared" si="30"/>
        <v>282</v>
      </c>
      <c r="DC50">
        <f>COD!L43</f>
        <v>281.88749999999709</v>
      </c>
      <c r="DD50">
        <f>COD!T43</f>
        <v>500</v>
      </c>
      <c r="DE50">
        <f t="shared" si="22"/>
        <v>288.90000000000003</v>
      </c>
      <c r="DF50">
        <f>COD!W46</f>
        <v>288.91319444444525</v>
      </c>
      <c r="DG50">
        <f>COD!AE46</f>
        <v>498</v>
      </c>
    </row>
    <row r="51" spans="1:111" ht="14.4" x14ac:dyDescent="0.3">
      <c r="A51">
        <f t="shared" si="5"/>
        <v>118.9</v>
      </c>
      <c r="B51">
        <f>GC_TCD!G54</f>
        <v>118.9416666666657</v>
      </c>
      <c r="C51">
        <f>GC_TCD!U54</f>
        <v>1.0362666666666667</v>
      </c>
      <c r="D51">
        <f>GC_TCD!V54</f>
        <v>9.585532501292425E-2</v>
      </c>
      <c r="E51">
        <f>GC_TCD!W54</f>
        <v>91.911466666666669</v>
      </c>
      <c r="F51">
        <f>GC_TCD!X54</f>
        <v>1.5592378822146868</v>
      </c>
      <c r="G51">
        <f>GC_TCD!Y54</f>
        <v>7.0522999999999998</v>
      </c>
      <c r="H51">
        <f>GC_TCD!Z54</f>
        <v>1.4781335223855767</v>
      </c>
      <c r="I51" s="38">
        <f>GC_TCD!K54</f>
        <v>0.30200172071457204</v>
      </c>
      <c r="J51" s="42">
        <f>GC_TCD!AA54</f>
        <v>0.88823747477546766</v>
      </c>
      <c r="K51" s="42">
        <f>GC_TCD!AB54</f>
        <v>2.5787539590255513</v>
      </c>
      <c r="L51" s="105">
        <f>GC_TCD!AC54</f>
        <v>2.7546992670500372E-3</v>
      </c>
      <c r="M51" s="42">
        <f t="shared" si="31"/>
        <v>3.3605285250385793E-6</v>
      </c>
      <c r="N51">
        <f t="shared" si="32"/>
        <v>0.27757421086733364</v>
      </c>
      <c r="O51">
        <f t="shared" si="33"/>
        <v>3.1295431645248718E-3</v>
      </c>
      <c r="P51">
        <f t="shared" si="34"/>
        <v>2.1298067349953764E-2</v>
      </c>
      <c r="Q51">
        <f t="shared" si="35"/>
        <v>450</v>
      </c>
      <c r="S51">
        <f t="shared" si="6"/>
        <v>98.9</v>
      </c>
      <c r="T51">
        <f>VFA!F48</f>
        <v>98.909027777779556</v>
      </c>
      <c r="U51">
        <f>VFA!K48</f>
        <v>8.1449999999999996</v>
      </c>
      <c r="V51" t="str">
        <f>VFA!L48</f>
        <v/>
      </c>
      <c r="W51" t="str">
        <f>IF(VFA!M48&lt;=0,"",VFA!M48)</f>
        <v/>
      </c>
      <c r="X51">
        <f>VFA!N48</f>
        <v>8.6907149999999991</v>
      </c>
      <c r="Y51">
        <f t="shared" si="7"/>
        <v>176.5</v>
      </c>
      <c r="Z51" s="39">
        <f>VFA!Q48</f>
        <v>176.47083333333285</v>
      </c>
      <c r="AA51" s="39">
        <f>VFA!V48</f>
        <v>18.852160000000001</v>
      </c>
      <c r="AB51" s="39">
        <f>VFA!W48</f>
        <v>18.186440000000001</v>
      </c>
      <c r="AC51" s="39">
        <f>VFA!X48</f>
        <v>0.90529099999999996</v>
      </c>
      <c r="AD51" s="39">
        <f>VFA!Y48</f>
        <v>49.295343918</v>
      </c>
      <c r="AE51">
        <f t="shared" si="8"/>
        <v>169.5</v>
      </c>
      <c r="AF51" s="39">
        <f>VFA!AB48</f>
        <v>169.47083333333285</v>
      </c>
      <c r="AG51" s="39">
        <f>IF(VFA!AG48&lt;=0,"",VFA!AG48)</f>
        <v>8.7186880000000002</v>
      </c>
      <c r="AH51" s="39">
        <f>IF(VFA!AH48&lt;=0,"",VFA!AH48)</f>
        <v>1.7548649999999999</v>
      </c>
      <c r="AI51" s="45">
        <f>VFA!AI48</f>
        <v>2.07579</v>
      </c>
      <c r="AJ51" s="45">
        <f>VFA!AJ48</f>
        <v>15.733491926000001</v>
      </c>
      <c r="AK51" s="45"/>
      <c r="AL51" s="45"/>
      <c r="AM51" s="45"/>
      <c r="AN51" s="45"/>
      <c r="AO51" s="45"/>
      <c r="BA51" s="10"/>
      <c r="BB51" s="10"/>
      <c r="BC51" s="10"/>
      <c r="BD51" s="10"/>
      <c r="BE51" s="10"/>
      <c r="BT51" s="38"/>
      <c r="BW51">
        <v>264.8</v>
      </c>
      <c r="BX51" s="45">
        <v>4.0489641580775411</v>
      </c>
      <c r="BY51" s="45">
        <v>0</v>
      </c>
      <c r="BZ51">
        <v>240</v>
      </c>
      <c r="CA51" s="45">
        <v>30.863817959665976</v>
      </c>
      <c r="CB51" s="45">
        <v>0</v>
      </c>
      <c r="CC51" s="45"/>
      <c r="CD51" s="39">
        <v>243.5</v>
      </c>
      <c r="CE51" s="45">
        <v>222.3764468690544</v>
      </c>
      <c r="CF51" s="45">
        <v>14.83915871755096</v>
      </c>
      <c r="CG51">
        <v>204.9</v>
      </c>
      <c r="CH51" s="45">
        <v>184.63616505159277</v>
      </c>
      <c r="CI51" s="45">
        <v>0</v>
      </c>
      <c r="CK51">
        <f t="shared" si="18"/>
        <v>86.9</v>
      </c>
      <c r="CL51">
        <f>'Liquid Volume'!A48</f>
        <v>86.88749999999709</v>
      </c>
      <c r="CM51">
        <f>'Liquid Volume'!C48</f>
        <v>450</v>
      </c>
      <c r="CY51">
        <f t="shared" si="28"/>
        <v>285.90000000000003</v>
      </c>
      <c r="CZ51">
        <f>COD!A44</f>
        <v>285.93958333333285</v>
      </c>
      <c r="DA51">
        <f>COD!I44</f>
        <v>500</v>
      </c>
      <c r="DB51">
        <f t="shared" si="30"/>
        <v>286</v>
      </c>
      <c r="DC51">
        <f>COD!L44</f>
        <v>285.93958333333285</v>
      </c>
      <c r="DD51">
        <f>COD!T44</f>
        <v>642</v>
      </c>
      <c r="DE51">
        <f t="shared" si="22"/>
        <v>292.90000000000003</v>
      </c>
      <c r="DF51">
        <f>COD!W47</f>
        <v>292.88263888889196</v>
      </c>
      <c r="DG51">
        <f>COD!AE47</f>
        <v>628</v>
      </c>
    </row>
    <row r="52" spans="1:111" ht="15" customHeight="1" x14ac:dyDescent="0.3">
      <c r="A52">
        <f t="shared" si="5"/>
        <v>122</v>
      </c>
      <c r="B52">
        <f>GC_TCD!G55</f>
        <v>121.99930555555329</v>
      </c>
      <c r="C52">
        <f>GC_TCD!U55</f>
        <v>0.69433333333333336</v>
      </c>
      <c r="D52">
        <f>GC_TCD!V55</f>
        <v>0.17359220412602946</v>
      </c>
      <c r="E52">
        <f>GC_TCD!W55</f>
        <v>95.201066666666676</v>
      </c>
      <c r="F52">
        <f>GC_TCD!X55</f>
        <v>0.12735510721339319</v>
      </c>
      <c r="G52">
        <f>GC_TCD!Y55</f>
        <v>4.1046000000000005</v>
      </c>
      <c r="H52">
        <f>GC_TCD!Z55</f>
        <v>0.12855492989380038</v>
      </c>
      <c r="I52" s="38">
        <f>GC_TCD!K55</f>
        <v>0.28466705399875358</v>
      </c>
      <c r="J52" s="42">
        <f>GC_TCD!AA55</f>
        <v>0.86721942993724621</v>
      </c>
      <c r="K52" s="42">
        <f>GC_TCD!AB55</f>
        <v>2.5177338288500697</v>
      </c>
      <c r="L52" s="105">
        <f>GC_TCD!AC55</f>
        <v>2.6895158061458358E-3</v>
      </c>
      <c r="M52" s="42">
        <f t="shared" si="31"/>
        <v>3.1987784003742388E-6</v>
      </c>
      <c r="N52">
        <f t="shared" si="32"/>
        <v>0.27100607185538944</v>
      </c>
      <c r="O52">
        <f t="shared" si="33"/>
        <v>1.9765382449313459E-3</v>
      </c>
      <c r="P52">
        <f t="shared" si="34"/>
        <v>1.1684443898432841E-2</v>
      </c>
      <c r="Q52">
        <f t="shared" si="35"/>
        <v>450</v>
      </c>
      <c r="S52">
        <f t="shared" si="6"/>
        <v>99.9</v>
      </c>
      <c r="T52">
        <f>VFA!F49</f>
        <v>99.897222222221899</v>
      </c>
      <c r="U52">
        <f>VFA!K49</f>
        <v>3.125</v>
      </c>
      <c r="V52" t="str">
        <f>VFA!L49</f>
        <v/>
      </c>
      <c r="W52" t="str">
        <f>IF(VFA!M49&lt;=0,"",VFA!M49)</f>
        <v/>
      </c>
      <c r="X52">
        <f>VFA!N49</f>
        <v>3.3343749999999996</v>
      </c>
      <c r="Y52">
        <f t="shared" si="7"/>
        <v>180.5</v>
      </c>
      <c r="Z52" s="39">
        <f>VFA!Q49</f>
        <v>180.47083333333285</v>
      </c>
      <c r="AA52" s="39">
        <f>VFA!V49</f>
        <v>10.27979</v>
      </c>
      <c r="AB52" s="39">
        <f>VFA!W49</f>
        <v>14.63678</v>
      </c>
      <c r="AC52" s="39">
        <f>VFA!X49</f>
        <v>0.45016400000000001</v>
      </c>
      <c r="AD52" s="39">
        <f>VFA!Y49</f>
        <v>33.947019001999998</v>
      </c>
      <c r="AE52">
        <f t="shared" si="8"/>
        <v>176.5</v>
      </c>
      <c r="AF52" s="39">
        <f>VFA!AB49</f>
        <v>176.47083333333285</v>
      </c>
      <c r="AG52" s="39">
        <f>IF(VFA!AG49&lt;=0,"",VFA!AG49)</f>
        <v>2.7340749999999998</v>
      </c>
      <c r="AH52" s="39" t="str">
        <f>IF(VFA!AH49&lt;=0,"",VFA!AH49)</f>
        <v/>
      </c>
      <c r="AI52" s="45" t="str">
        <f>VFA!AI49</f>
        <v/>
      </c>
      <c r="AJ52" s="45">
        <f>VFA!AJ49</f>
        <v>2.9172580249999998</v>
      </c>
      <c r="AK52" s="45"/>
      <c r="AL52" s="45"/>
      <c r="AM52" s="45"/>
      <c r="AN52" s="45"/>
      <c r="AO52" s="45"/>
      <c r="BA52" s="10"/>
      <c r="BB52" s="10"/>
      <c r="BC52" s="10"/>
      <c r="BD52" s="10"/>
      <c r="BE52" s="10"/>
      <c r="BT52" s="38"/>
      <c r="BW52">
        <v>267.90000000000003</v>
      </c>
      <c r="BX52" s="45">
        <v>26.693857690234807</v>
      </c>
      <c r="BY52" s="45">
        <v>0</v>
      </c>
      <c r="BZ52">
        <v>243.9</v>
      </c>
      <c r="CA52" s="45">
        <v>32.883293425359177</v>
      </c>
      <c r="CB52" s="45">
        <v>0</v>
      </c>
      <c r="CC52" s="45"/>
      <c r="CD52" s="39">
        <v>246.5</v>
      </c>
      <c r="CE52" s="45">
        <v>212.11857445571525</v>
      </c>
      <c r="CF52" s="45">
        <v>0</v>
      </c>
      <c r="CG52">
        <v>208.9</v>
      </c>
      <c r="CH52" s="45">
        <v>145.82343646855014</v>
      </c>
      <c r="CI52" s="45">
        <v>0</v>
      </c>
      <c r="CK52">
        <f t="shared" si="18"/>
        <v>86.9</v>
      </c>
      <c r="CL52">
        <f>'Liquid Volume'!A49</f>
        <v>86.929166666668607</v>
      </c>
      <c r="CM52">
        <f>'Liquid Volume'!C49</f>
        <v>450</v>
      </c>
      <c r="CY52">
        <f t="shared" si="28"/>
        <v>288.90000000000003</v>
      </c>
      <c r="CZ52">
        <f>COD!A45</f>
        <v>288.91319444444525</v>
      </c>
      <c r="DA52">
        <f>COD!I45</f>
        <v>560</v>
      </c>
      <c r="DB52">
        <f t="shared" si="30"/>
        <v>289</v>
      </c>
      <c r="DC52">
        <f>COD!L45</f>
        <v>288.91319444444525</v>
      </c>
      <c r="DD52">
        <f>COD!T45</f>
        <v>426</v>
      </c>
      <c r="DE52">
        <f t="shared" si="22"/>
        <v>295.90000000000003</v>
      </c>
      <c r="DF52">
        <f>COD!W48</f>
        <v>295.85972222222335</v>
      </c>
      <c r="DG52">
        <f>COD!AE48</f>
        <v>726</v>
      </c>
    </row>
    <row r="53" spans="1:111" ht="15" customHeight="1" x14ac:dyDescent="0.3">
      <c r="A53">
        <f t="shared" si="5"/>
        <v>124.9</v>
      </c>
      <c r="B53">
        <f>GC_TCD!G56</f>
        <v>124.90694444444671</v>
      </c>
      <c r="C53">
        <f>GC_TCD!U56</f>
        <v>0.75419999999999998</v>
      </c>
      <c r="D53">
        <f>GC_TCD!V56</f>
        <v>0.12539238413875051</v>
      </c>
      <c r="E53">
        <f>GC_TCD!W56</f>
        <v>96.409233333333347</v>
      </c>
      <c r="F53">
        <f>GC_TCD!X56</f>
        <v>1.0024383788210272</v>
      </c>
      <c r="G53">
        <f>GC_TCD!Y56</f>
        <v>2.8365666666666667</v>
      </c>
      <c r="H53">
        <f>GC_TCD!Z56</f>
        <v>1.0461517114325865</v>
      </c>
      <c r="I53" s="38">
        <f>GC_TCD!K56</f>
        <v>0.29854506098972833</v>
      </c>
      <c r="J53" s="42">
        <f>GC_TCD!AA56</f>
        <v>0.92104001425513449</v>
      </c>
      <c r="K53" s="42">
        <f>GC_TCD!AB56</f>
        <v>2.6739871381600682</v>
      </c>
      <c r="L53" s="105">
        <f>GC_TCD!AC56</f>
        <v>2.8564300924521745E-3</v>
      </c>
      <c r="M53" s="42">
        <f t="shared" si="31"/>
        <v>3.3182142775027872E-6</v>
      </c>
      <c r="N53">
        <f t="shared" si="32"/>
        <v>0.28782500445472953</v>
      </c>
      <c r="O53">
        <f t="shared" si="33"/>
        <v>2.2516268499845312E-3</v>
      </c>
      <c r="P53">
        <f t="shared" si="34"/>
        <v>8.4684296850143035E-3</v>
      </c>
      <c r="Q53">
        <f t="shared" si="35"/>
        <v>450</v>
      </c>
      <c r="S53">
        <f t="shared" si="6"/>
        <v>100.9</v>
      </c>
      <c r="T53">
        <f>VFA!F50</f>
        <v>100.90069444444089</v>
      </c>
      <c r="U53">
        <f>VFA!K50</f>
        <v>3.2850000000000001</v>
      </c>
      <c r="V53">
        <f>VFA!L50</f>
        <v>1.5354090000000002</v>
      </c>
      <c r="W53" t="str">
        <f>IF(VFA!M50&lt;=0,"",VFA!M50)</f>
        <v/>
      </c>
      <c r="X53">
        <f>VFA!N50</f>
        <v>5.8297042260000005</v>
      </c>
      <c r="Y53">
        <f t="shared" si="7"/>
        <v>187.5</v>
      </c>
      <c r="Z53" s="39">
        <f>VFA!Q50</f>
        <v>187.47083333333285</v>
      </c>
      <c r="AA53" s="39">
        <f>VFA!V50</f>
        <v>7.1880600000000001</v>
      </c>
      <c r="AB53" s="39">
        <f>VFA!W50</f>
        <v>8.1899479999999993</v>
      </c>
      <c r="AC53" s="39" t="str">
        <f>VFA!X50</f>
        <v/>
      </c>
      <c r="AD53" s="39">
        <f>VFA!Y50</f>
        <v>7.6696600199999994</v>
      </c>
      <c r="AE53">
        <f t="shared" si="8"/>
        <v>180.5</v>
      </c>
      <c r="AF53" s="39">
        <f>VFA!AB50</f>
        <v>180.47083333333285</v>
      </c>
      <c r="AG53" s="39">
        <f>IF(VFA!AG50&lt;=0,"",VFA!AG50)</f>
        <v>60.743020000000001</v>
      </c>
      <c r="AH53" s="39" t="str">
        <f>IF(VFA!AH50&lt;=0,"",VFA!AH50)</f>
        <v/>
      </c>
      <c r="AI53" s="45" t="str">
        <f>VFA!AI50</f>
        <v/>
      </c>
      <c r="AJ53" s="45">
        <f>VFA!AJ50</f>
        <v>64.812802340000005</v>
      </c>
      <c r="AK53" s="45"/>
      <c r="AL53" s="45"/>
      <c r="AM53" s="45"/>
      <c r="AN53" s="45"/>
      <c r="AO53" s="45"/>
      <c r="BA53" s="10"/>
      <c r="BB53" s="10"/>
      <c r="BC53" s="10"/>
      <c r="BD53" s="10"/>
      <c r="BE53" s="10"/>
      <c r="BT53" s="38"/>
      <c r="BW53">
        <v>272.90000000000003</v>
      </c>
      <c r="BX53" s="45" t="s">
        <v>388</v>
      </c>
      <c r="BY53" s="45">
        <v>0</v>
      </c>
      <c r="BZ53">
        <v>246.9</v>
      </c>
      <c r="CA53" s="45">
        <v>29.652181226601733</v>
      </c>
      <c r="CB53" s="45">
        <v>0</v>
      </c>
      <c r="CC53" s="45"/>
      <c r="CD53" s="39">
        <v>257.5</v>
      </c>
      <c r="CE53" s="45">
        <v>164.4851078033341</v>
      </c>
      <c r="CF53" s="45">
        <v>0</v>
      </c>
      <c r="CG53">
        <v>212</v>
      </c>
      <c r="CH53" s="45">
        <v>181.57563064799982</v>
      </c>
      <c r="CI53" s="45">
        <v>0</v>
      </c>
      <c r="CK53">
        <f t="shared" si="18"/>
        <v>87</v>
      </c>
      <c r="CL53">
        <f>'Liquid Volume'!A50</f>
        <v>86.970833333332848</v>
      </c>
      <c r="CM53">
        <f>'Liquid Volume'!C50</f>
        <v>450</v>
      </c>
      <c r="CY53">
        <f t="shared" si="28"/>
        <v>292.90000000000003</v>
      </c>
      <c r="CZ53">
        <f>COD!A46</f>
        <v>292.88263888889196</v>
      </c>
      <c r="DA53">
        <f>COD!I46</f>
        <v>518</v>
      </c>
      <c r="DB53">
        <f t="shared" si="30"/>
        <v>293</v>
      </c>
      <c r="DC53">
        <f>COD!L46</f>
        <v>292.88263888889196</v>
      </c>
      <c r="DD53">
        <f>COD!T46</f>
        <v>624</v>
      </c>
      <c r="DE53">
        <f t="shared" si="22"/>
        <v>299.8</v>
      </c>
      <c r="DF53">
        <f>COD!W49</f>
        <v>299.83125000000291</v>
      </c>
      <c r="DG53">
        <f>COD!AE49</f>
        <v>890</v>
      </c>
    </row>
    <row r="54" spans="1:111" ht="15" customHeight="1" x14ac:dyDescent="0.3">
      <c r="A54">
        <f t="shared" si="5"/>
        <v>127.9</v>
      </c>
      <c r="B54">
        <f>GC_TCD!G57</f>
        <v>127.9152777777781</v>
      </c>
      <c r="C54">
        <f>GC_TCD!U57</f>
        <v>3.9489333333333332</v>
      </c>
      <c r="D54">
        <f>GC_TCD!V57</f>
        <v>5.9039760613787677E-2</v>
      </c>
      <c r="E54">
        <f>GC_TCD!W57</f>
        <v>95.326399999999992</v>
      </c>
      <c r="F54">
        <f>GC_TCD!X57</f>
        <v>0.10041717980505489</v>
      </c>
      <c r="G54">
        <f>GC_TCD!Y57</f>
        <v>0.70663333333333334</v>
      </c>
      <c r="H54">
        <f>GC_TCD!Z57</f>
        <v>0.12267111857863425</v>
      </c>
      <c r="I54" s="38">
        <f>GC_TCD!K57</f>
        <v>0.23722758541104874</v>
      </c>
      <c r="J54" s="42">
        <f>GC_TCD!AA57</f>
        <v>0.72364965433368944</v>
      </c>
      <c r="K54" s="42">
        <f>GC_TCD!AB57</f>
        <v>2.1009183512913565</v>
      </c>
      <c r="L54" s="105">
        <f>GC_TCD!AC57</f>
        <v>2.2442615055145434E-3</v>
      </c>
      <c r="M54" s="42">
        <f t="shared" si="31"/>
        <v>2.5457658389788683E-6</v>
      </c>
      <c r="N54">
        <f t="shared" si="32"/>
        <v>0.22614051697927795</v>
      </c>
      <c r="O54">
        <f t="shared" si="33"/>
        <v>9.3679591961587077E-3</v>
      </c>
      <c r="P54">
        <f t="shared" si="34"/>
        <v>1.676329194376274E-3</v>
      </c>
      <c r="Q54">
        <f t="shared" si="35"/>
        <v>450</v>
      </c>
      <c r="S54">
        <f t="shared" si="6"/>
        <v>103.5</v>
      </c>
      <c r="T54">
        <f>VFA!F51</f>
        <v>103.47083333333285</v>
      </c>
      <c r="U54">
        <f>VFA!K51</f>
        <v>208.70000000000002</v>
      </c>
      <c r="V54">
        <f>VFA!L51</f>
        <v>892.27598</v>
      </c>
      <c r="W54" t="str">
        <f>IF(VFA!M51&lt;=0,"",VFA!M51)</f>
        <v/>
      </c>
      <c r="X54">
        <f>VFA!N51</f>
        <v>1573.5887337199999</v>
      </c>
      <c r="Y54">
        <f t="shared" si="7"/>
        <v>190.5</v>
      </c>
      <c r="Z54" s="39">
        <f>VFA!Q51</f>
        <v>190.47083333333285</v>
      </c>
      <c r="AA54" s="39">
        <f>VFA!V51</f>
        <v>6.9628860000000001</v>
      </c>
      <c r="AB54" s="39">
        <f>VFA!W51</f>
        <v>4.284281</v>
      </c>
      <c r="AC54" s="39" t="str">
        <f>VFA!X51</f>
        <v/>
      </c>
      <c r="AD54" s="39">
        <f>VFA!Y51</f>
        <v>7.4293993619999998</v>
      </c>
      <c r="AE54">
        <f t="shared" si="8"/>
        <v>187.5</v>
      </c>
      <c r="AF54" s="39">
        <f>VFA!AB51</f>
        <v>187.47083333333285</v>
      </c>
      <c r="AG54" s="39">
        <f>IF(VFA!AG51&lt;=0,"",VFA!AG51)</f>
        <v>35.286059999999999</v>
      </c>
      <c r="AH54" s="39" t="str">
        <f>IF(VFA!AH51&lt;=0,"",VFA!AH51)</f>
        <v/>
      </c>
      <c r="AI54" s="45" t="str">
        <f>VFA!AI51</f>
        <v/>
      </c>
      <c r="AJ54" s="45">
        <f>VFA!AJ51</f>
        <v>37.650226019999998</v>
      </c>
      <c r="AK54" s="45"/>
      <c r="AL54" s="45"/>
      <c r="AM54" s="45"/>
      <c r="AN54" s="45"/>
      <c r="AO54" s="45"/>
      <c r="BA54" s="10"/>
      <c r="BB54" s="10"/>
      <c r="BC54" s="10"/>
      <c r="BD54" s="10"/>
      <c r="BE54" s="10"/>
      <c r="BT54" s="38"/>
      <c r="BW54">
        <v>285.90000000000003</v>
      </c>
      <c r="BX54" s="45">
        <v>24.662643810186744</v>
      </c>
      <c r="BY54" s="45">
        <v>0</v>
      </c>
      <c r="BZ54">
        <v>257.90000000000003</v>
      </c>
      <c r="CA54" s="45">
        <v>26.376414490263027</v>
      </c>
      <c r="CB54" s="45">
        <v>0</v>
      </c>
      <c r="CC54" s="45"/>
      <c r="CD54" s="39">
        <v>260.5</v>
      </c>
      <c r="CE54" s="45">
        <v>209.39099707187711</v>
      </c>
      <c r="CF54" s="45">
        <v>0</v>
      </c>
      <c r="CG54">
        <v>215.9</v>
      </c>
      <c r="CH54" s="45">
        <v>152.83632789766253</v>
      </c>
      <c r="CI54" s="45">
        <v>0</v>
      </c>
      <c r="CK54">
        <f t="shared" si="18"/>
        <v>87</v>
      </c>
      <c r="CL54">
        <f>'Liquid Volume'!A51</f>
        <v>87.01249999999709</v>
      </c>
      <c r="CM54">
        <f>'Liquid Volume'!C51</f>
        <v>450</v>
      </c>
      <c r="CY54">
        <f t="shared" si="28"/>
        <v>295.90000000000003</v>
      </c>
      <c r="CZ54">
        <f>COD!A47</f>
        <v>295.85972222222335</v>
      </c>
      <c r="DA54">
        <f>COD!I47</f>
        <v>618</v>
      </c>
      <c r="DB54">
        <f t="shared" si="30"/>
        <v>296</v>
      </c>
      <c r="DC54">
        <f>COD!L47</f>
        <v>295.85972222222335</v>
      </c>
      <c r="DD54">
        <f>COD!T47</f>
        <v>620</v>
      </c>
      <c r="DE54">
        <f t="shared" si="22"/>
        <v>302.90000000000003</v>
      </c>
      <c r="DF54">
        <f>COD!W50</f>
        <v>302.88333333333139</v>
      </c>
      <c r="DG54">
        <f>COD!AE50</f>
        <v>736</v>
      </c>
    </row>
    <row r="55" spans="1:111" ht="15" customHeight="1" x14ac:dyDescent="0.3">
      <c r="A55">
        <f t="shared" si="5"/>
        <v>131.9</v>
      </c>
      <c r="B55">
        <f>GC_TCD!G58</f>
        <v>131.8840277777781</v>
      </c>
      <c r="C55">
        <f>GC_TCD!U58</f>
        <v>11.797166666666667</v>
      </c>
      <c r="D55">
        <f>GC_TCD!V58</f>
        <v>0.38537182477878901</v>
      </c>
      <c r="E55">
        <f>GC_TCD!W58</f>
        <v>87.194233333333329</v>
      </c>
      <c r="F55">
        <f>GC_TCD!X58</f>
        <v>0.53277768659482505</v>
      </c>
      <c r="G55">
        <f>GC_TCD!Y58</f>
        <v>1.0085666666666666</v>
      </c>
      <c r="H55">
        <f>GC_TCD!Z58</f>
        <v>0.91124919935950199</v>
      </c>
      <c r="I55" s="38">
        <f>GC_TCD!K58</f>
        <v>0.29951034906156815</v>
      </c>
      <c r="J55" s="42">
        <f>GC_TCD!AA58</f>
        <v>0.83569840837831966</v>
      </c>
      <c r="K55" s="42">
        <f>GC_TCD!AB58</f>
        <v>2.4262211856144766</v>
      </c>
      <c r="L55" s="105">
        <f>GC_TCD!AC58</f>
        <v>2.591759364371081E-3</v>
      </c>
      <c r="M55" s="42">
        <f t="shared" si="31"/>
        <v>2.851477090189454E-6</v>
      </c>
      <c r="N55">
        <f t="shared" si="32"/>
        <v>0.26115575261822488</v>
      </c>
      <c r="O55">
        <f t="shared" si="33"/>
        <v>3.5333735062708295E-2</v>
      </c>
      <c r="P55">
        <f t="shared" si="34"/>
        <v>3.0207615438519559E-3</v>
      </c>
      <c r="Q55">
        <f t="shared" si="35"/>
        <v>450</v>
      </c>
      <c r="S55">
        <f t="shared" si="6"/>
        <v>104.9</v>
      </c>
      <c r="T55">
        <f>VFA!F52</f>
        <v>104.94305555555184</v>
      </c>
      <c r="U55">
        <f>VFA!K52</f>
        <v>196.97</v>
      </c>
      <c r="V55">
        <f>VFA!L52</f>
        <v>616.55549399999995</v>
      </c>
      <c r="W55" t="str">
        <f>IF(VFA!M52&lt;=0,"",VFA!M52)</f>
        <v/>
      </c>
      <c r="X55">
        <f>VFA!N52</f>
        <v>1143.632007916</v>
      </c>
      <c r="Y55">
        <f t="shared" si="7"/>
        <v>194.5</v>
      </c>
      <c r="Z55" s="39">
        <f>VFA!Q52</f>
        <v>194.47083333333285</v>
      </c>
      <c r="AA55" s="39">
        <f>VFA!V52</f>
        <v>5.925529</v>
      </c>
      <c r="AB55" s="39">
        <f>VFA!W52</f>
        <v>0.43364799999999998</v>
      </c>
      <c r="AC55" s="39" t="str">
        <f>VFA!X52</f>
        <v/>
      </c>
      <c r="AD55" s="39">
        <f>VFA!Y52</f>
        <v>6.3225394430000001</v>
      </c>
      <c r="AE55">
        <f t="shared" si="8"/>
        <v>190.5</v>
      </c>
      <c r="AF55" s="39">
        <f>VFA!AB52</f>
        <v>190.47083333333285</v>
      </c>
      <c r="AG55" s="39">
        <f>IF(VFA!AG52&lt;=0,"",VFA!AG52)</f>
        <v>113.86969999999999</v>
      </c>
      <c r="AH55" s="39" t="str">
        <f>IF(VFA!AH52&lt;=0,"",VFA!AH52)</f>
        <v/>
      </c>
      <c r="AI55" s="45" t="str">
        <f>VFA!AI52</f>
        <v/>
      </c>
      <c r="AJ55" s="45">
        <f>VFA!AJ52</f>
        <v>121.49896989999999</v>
      </c>
      <c r="AK55" s="45"/>
      <c r="AL55" s="45"/>
      <c r="AM55" s="45"/>
      <c r="AN55" s="45"/>
      <c r="AO55" s="45"/>
      <c r="BA55" s="10"/>
      <c r="BB55" s="10"/>
      <c r="BC55" s="10"/>
      <c r="BD55" s="10"/>
      <c r="BE55" s="10"/>
      <c r="BT55" s="38"/>
      <c r="BW55">
        <v>288.90000000000003</v>
      </c>
      <c r="BX55" s="45">
        <v>10.673489987968837</v>
      </c>
      <c r="BY55" s="45">
        <v>0</v>
      </c>
      <c r="BZ55">
        <v>260.90000000000003</v>
      </c>
      <c r="CA55" s="45">
        <v>24.285337343733996</v>
      </c>
      <c r="CB55" s="45">
        <v>0</v>
      </c>
      <c r="CC55" s="45"/>
      <c r="CD55" s="39">
        <v>264.5</v>
      </c>
      <c r="CE55" s="45">
        <v>202.60854096687984</v>
      </c>
      <c r="CF55" s="45">
        <v>0</v>
      </c>
      <c r="CG55">
        <v>236.9</v>
      </c>
      <c r="CH55" s="45">
        <v>173.88130355638566</v>
      </c>
      <c r="CI55" s="45">
        <v>0</v>
      </c>
      <c r="CK55">
        <f t="shared" si="18"/>
        <v>87.100000000000009</v>
      </c>
      <c r="CL55">
        <f>'Liquid Volume'!A52</f>
        <v>87.054166666668607</v>
      </c>
      <c r="CM55">
        <f>'Liquid Volume'!C52</f>
        <v>450</v>
      </c>
      <c r="CY55">
        <f t="shared" si="28"/>
        <v>299.8</v>
      </c>
      <c r="CZ55">
        <f>COD!A48</f>
        <v>299.83125000000291</v>
      </c>
      <c r="DA55">
        <f>COD!I48</f>
        <v>584</v>
      </c>
      <c r="DB55">
        <f t="shared" si="30"/>
        <v>300</v>
      </c>
      <c r="DC55">
        <f>COD!L48</f>
        <v>299.83125000000291</v>
      </c>
      <c r="DD55">
        <f>COD!T48</f>
        <v>722</v>
      </c>
      <c r="DE55">
        <f t="shared" si="22"/>
        <v>306.90000000000003</v>
      </c>
      <c r="DF55">
        <f>COD!W51</f>
        <v>306.88472222222481</v>
      </c>
      <c r="DG55">
        <f>COD!AE51</f>
        <v>630</v>
      </c>
    </row>
    <row r="56" spans="1:111" ht="15" customHeight="1" x14ac:dyDescent="0.3">
      <c r="A56">
        <f t="shared" si="5"/>
        <v>135</v>
      </c>
      <c r="B56">
        <f>GC_TCD!G59</f>
        <v>135.03125</v>
      </c>
      <c r="C56">
        <f>GC_TCD!U59</f>
        <v>6.3624666666666663</v>
      </c>
      <c r="D56">
        <f>GC_TCD!V59</f>
        <v>0.4544566462637924</v>
      </c>
      <c r="E56">
        <f>GC_TCD!W59</f>
        <v>92.992700000000013</v>
      </c>
      <c r="F56">
        <f>GC_TCD!X59</f>
        <v>0.91736727105342342</v>
      </c>
      <c r="G56">
        <f>GC_TCD!Y59</f>
        <v>0.64483333333333337</v>
      </c>
      <c r="H56">
        <f>GC_TCD!Z59</f>
        <v>1.1168840957473312</v>
      </c>
      <c r="I56" s="38">
        <f>GC_TCD!K59</f>
        <v>0.28691964523284591</v>
      </c>
      <c r="J56" s="42">
        <f>GC_TCD!AA59</f>
        <v>0.85380583978382318</v>
      </c>
      <c r="K56" s="42">
        <f>GC_TCD!AB59</f>
        <v>2.4787911477594866</v>
      </c>
      <c r="L56" s="105">
        <f>GC_TCD!AC59</f>
        <v>2.6479161123550681E-3</v>
      </c>
      <c r="M56" s="42">
        <f t="shared" si="31"/>
        <v>2.8453608176086677E-6</v>
      </c>
      <c r="N56">
        <f t="shared" si="32"/>
        <v>0.26681432493244472</v>
      </c>
      <c r="O56">
        <f t="shared" si="33"/>
        <v>1.8255166788058077E-2</v>
      </c>
      <c r="P56">
        <f t="shared" si="34"/>
        <v>1.8501535123431347E-3</v>
      </c>
      <c r="Q56">
        <f t="shared" si="35"/>
        <v>450</v>
      </c>
      <c r="S56">
        <f t="shared" si="6"/>
        <v>105.9</v>
      </c>
      <c r="T56">
        <f>VFA!F53</f>
        <v>105.86666666666861</v>
      </c>
      <c r="U56">
        <f>VFA!K53</f>
        <v>189.43</v>
      </c>
      <c r="V56">
        <f>VFA!L53</f>
        <v>599.58383600000002</v>
      </c>
      <c r="W56" t="str">
        <f>IF(VFA!M53&lt;=0,"",VFA!M53)</f>
        <v/>
      </c>
      <c r="X56">
        <f>VFA!N53</f>
        <v>1109.891737704</v>
      </c>
      <c r="Y56">
        <f t="shared" si="7"/>
        <v>201.5</v>
      </c>
      <c r="Z56" s="39">
        <f>VFA!Q53</f>
        <v>201.47083333333285</v>
      </c>
      <c r="AA56" s="39">
        <f>VFA!V53</f>
        <v>3.5234740000000002</v>
      </c>
      <c r="AB56" s="39">
        <f>VFA!W53</f>
        <v>6.9357069999999998</v>
      </c>
      <c r="AC56" s="39" t="str">
        <f>VFA!X53</f>
        <v/>
      </c>
      <c r="AD56" s="39">
        <f>VFA!Y53</f>
        <v>3.7595467579999999</v>
      </c>
      <c r="AE56">
        <f t="shared" si="8"/>
        <v>194.5</v>
      </c>
      <c r="AF56" s="39">
        <f>VFA!AB53</f>
        <v>194.47083333333285</v>
      </c>
      <c r="AG56" s="39">
        <f>IF(VFA!AG53&lt;=0,"",VFA!AG53)</f>
        <v>34.109760000000001</v>
      </c>
      <c r="AH56" s="39" t="str">
        <f>IF(VFA!AH53&lt;=0,"",VFA!AH53)</f>
        <v/>
      </c>
      <c r="AI56" s="45" t="str">
        <f>VFA!AI53</f>
        <v/>
      </c>
      <c r="AJ56" s="45">
        <f>VFA!AJ53</f>
        <v>36.39511392</v>
      </c>
      <c r="AK56" s="45"/>
      <c r="AL56" s="45"/>
      <c r="AM56" s="45"/>
      <c r="AN56" s="45"/>
      <c r="AO56" s="45"/>
      <c r="BA56" s="10"/>
      <c r="BB56" s="10"/>
      <c r="BC56" s="10"/>
      <c r="BD56" s="10"/>
      <c r="BE56" s="10"/>
      <c r="BT56" s="38"/>
      <c r="BW56">
        <v>292.90000000000003</v>
      </c>
      <c r="BX56" s="45">
        <v>0</v>
      </c>
      <c r="BY56" s="45">
        <v>0</v>
      </c>
      <c r="BZ56">
        <v>264.8</v>
      </c>
      <c r="CA56" s="45">
        <v>0</v>
      </c>
      <c r="CB56" s="45">
        <v>0</v>
      </c>
      <c r="CC56" s="45"/>
      <c r="CD56" s="39">
        <v>267.5</v>
      </c>
      <c r="CE56" s="45">
        <v>175.87533106361366</v>
      </c>
      <c r="CF56" s="45">
        <v>0</v>
      </c>
      <c r="CG56">
        <v>240</v>
      </c>
      <c r="CH56" s="45">
        <v>184.34091689941474</v>
      </c>
      <c r="CI56" s="45">
        <v>0</v>
      </c>
      <c r="CK56">
        <f t="shared" si="18"/>
        <v>87.100000000000009</v>
      </c>
      <c r="CL56">
        <f>'Liquid Volume'!A53</f>
        <v>87.095833333332848</v>
      </c>
      <c r="CM56">
        <f>'Liquid Volume'!C53</f>
        <v>450</v>
      </c>
      <c r="CY56">
        <f t="shared" si="28"/>
        <v>302.90000000000003</v>
      </c>
      <c r="CZ56">
        <f>COD!A49</f>
        <v>302.88333333333139</v>
      </c>
      <c r="DA56">
        <f>COD!I49</f>
        <v>680</v>
      </c>
      <c r="DB56">
        <f t="shared" si="30"/>
        <v>303</v>
      </c>
      <c r="DC56">
        <f>COD!L49</f>
        <v>302.88333333333139</v>
      </c>
      <c r="DD56">
        <f>COD!T49</f>
        <v>552</v>
      </c>
      <c r="DE56">
        <f t="shared" si="22"/>
        <v>309.90000000000003</v>
      </c>
      <c r="DF56">
        <f>COD!W52</f>
        <v>309.89097222222335</v>
      </c>
      <c r="DG56">
        <f>COD!AE52</f>
        <v>904</v>
      </c>
    </row>
    <row r="57" spans="1:111" ht="15" customHeight="1" x14ac:dyDescent="0.3">
      <c r="A57">
        <f t="shared" si="5"/>
        <v>138.9</v>
      </c>
      <c r="B57">
        <f>GC_TCD!G60</f>
        <v>138.90625</v>
      </c>
      <c r="C57">
        <f>GC_TCD!U60</f>
        <v>1.5241</v>
      </c>
      <c r="D57">
        <f>GC_TCD!V60</f>
        <v>0.22941758868927314</v>
      </c>
      <c r="E57">
        <f>GC_TCD!W60</f>
        <v>97.350766666666672</v>
      </c>
      <c r="F57">
        <f>GC_TCD!X60</f>
        <v>0.92271465433975941</v>
      </c>
      <c r="G57">
        <f>GC_TCD!Y60</f>
        <v>1.1251</v>
      </c>
      <c r="H57">
        <f>GC_TCD!Z60</f>
        <v>0.80314255272647561</v>
      </c>
      <c r="I57" s="38">
        <f>GC_TCD!K60</f>
        <v>0.2853438274932612</v>
      </c>
      <c r="J57" s="42">
        <f>GC_TCD!AA60</f>
        <v>0.8889100918422419</v>
      </c>
      <c r="K57" s="42">
        <f>GC_TCD!AB60</f>
        <v>2.5807067182516699</v>
      </c>
      <c r="L57" s="105">
        <f>GC_TCD!AC60</f>
        <v>2.7567852607099162E-3</v>
      </c>
      <c r="M57" s="42">
        <f t="shared" si="31"/>
        <v>2.8797087339771164E-6</v>
      </c>
      <c r="N57">
        <f t="shared" si="32"/>
        <v>0.27778440370070057</v>
      </c>
      <c r="O57">
        <f t="shared" si="33"/>
        <v>4.348925274824794E-3</v>
      </c>
      <c r="P57">
        <f t="shared" si="34"/>
        <v>3.2104034031266819E-3</v>
      </c>
      <c r="Q57">
        <f t="shared" si="35"/>
        <v>450</v>
      </c>
      <c r="S57">
        <f t="shared" si="6"/>
        <v>106.9</v>
      </c>
      <c r="T57">
        <f>VFA!F54</f>
        <v>106.93541666666715</v>
      </c>
      <c r="U57" t="str">
        <f>VFA!K54</f>
        <v/>
      </c>
      <c r="V57" t="str">
        <f>VFA!L54</f>
        <v/>
      </c>
      <c r="W57" t="str">
        <f>IF(VFA!M54&lt;=0,"",VFA!M54)</f>
        <v/>
      </c>
      <c r="X57">
        <f>VFA!N54</f>
        <v>0</v>
      </c>
      <c r="Y57">
        <f t="shared" si="7"/>
        <v>204.5</v>
      </c>
      <c r="Z57" s="39">
        <f>VFA!Q54</f>
        <v>204.47083333333285</v>
      </c>
      <c r="AA57" s="39">
        <f>VFA!V54</f>
        <v>3.2995346992729688</v>
      </c>
      <c r="AB57" s="39">
        <f>VFA!W54</f>
        <v>1.3731552430629694</v>
      </c>
      <c r="AC57" s="39" t="str">
        <f>VFA!X54</f>
        <v/>
      </c>
      <c r="AD57" s="39">
        <f>VFA!Y54</f>
        <v>3.5206035241242577</v>
      </c>
      <c r="AE57">
        <f t="shared" si="8"/>
        <v>201.5</v>
      </c>
      <c r="AF57" s="39">
        <f>VFA!AB54</f>
        <v>201.47083333333285</v>
      </c>
      <c r="AG57" s="39">
        <f>IF(VFA!AG54&lt;=0,"",VFA!AG54)</f>
        <v>113.6596</v>
      </c>
      <c r="AH57" s="39">
        <f>IF(VFA!AH54&lt;=0,"",VFA!AH54)</f>
        <v>0.70506199999999997</v>
      </c>
      <c r="AI57" s="45" t="str">
        <f>VFA!AI54</f>
        <v/>
      </c>
      <c r="AJ57" s="45">
        <f>VFA!AJ54</f>
        <v>121.27479319999999</v>
      </c>
      <c r="AK57" s="45"/>
      <c r="AL57" s="45"/>
      <c r="AM57" s="45"/>
      <c r="AN57" s="45"/>
      <c r="AO57" s="45"/>
      <c r="BT57" s="38"/>
      <c r="BW57">
        <v>295.90000000000003</v>
      </c>
      <c r="BX57" s="45">
        <v>11.085639541480058</v>
      </c>
      <c r="BY57" s="45">
        <v>0</v>
      </c>
      <c r="BZ57">
        <v>267.90000000000003</v>
      </c>
      <c r="CA57" s="45">
        <v>24.792542251617569</v>
      </c>
      <c r="CB57" s="45">
        <v>0</v>
      </c>
      <c r="CC57" s="45"/>
      <c r="CD57" s="39">
        <v>272.5</v>
      </c>
      <c r="CE57" s="45">
        <v>96.448328781406843</v>
      </c>
      <c r="CF57" s="45">
        <v>52.973590446777152</v>
      </c>
      <c r="CG57">
        <v>243.9</v>
      </c>
      <c r="CH57" s="45">
        <v>190.50828026094976</v>
      </c>
      <c r="CI57" s="45">
        <v>14.082551126760697</v>
      </c>
      <c r="CK57">
        <f t="shared" si="18"/>
        <v>89.9</v>
      </c>
      <c r="CL57">
        <f>'Liquid Volume'!A54</f>
        <v>89.861111111109494</v>
      </c>
      <c r="CM57">
        <f>'Liquid Volume'!C54</f>
        <v>450</v>
      </c>
      <c r="CY57">
        <f t="shared" si="28"/>
        <v>306.90000000000003</v>
      </c>
      <c r="CZ57">
        <f>COD!A50</f>
        <v>306.88472222222481</v>
      </c>
      <c r="DA57">
        <f>COD!I50</f>
        <v>558</v>
      </c>
      <c r="DB57">
        <f t="shared" si="30"/>
        <v>307</v>
      </c>
      <c r="DC57">
        <f>COD!L50</f>
        <v>306.88472222222481</v>
      </c>
      <c r="DD57">
        <f>COD!T50</f>
        <v>614</v>
      </c>
      <c r="DE57">
        <f t="shared" si="22"/>
        <v>316.90000000000003</v>
      </c>
      <c r="DF57">
        <f>COD!W53</f>
        <v>316.89791666666861</v>
      </c>
      <c r="DG57">
        <f>COD!AE53</f>
        <v>870</v>
      </c>
    </row>
    <row r="58" spans="1:111" ht="15" customHeight="1" x14ac:dyDescent="0.3">
      <c r="A58">
        <f t="shared" si="5"/>
        <v>141.9</v>
      </c>
      <c r="B58">
        <f>GC_TCD!G61</f>
        <v>141.92291666666279</v>
      </c>
      <c r="C58">
        <f>GC_TCD!U61</f>
        <v>0.99173333333333324</v>
      </c>
      <c r="D58">
        <f>GC_TCD!V61</f>
        <v>6.3280671087886944E-2</v>
      </c>
      <c r="E58">
        <f>GC_TCD!W61</f>
        <v>98.266966666666676</v>
      </c>
      <c r="F58">
        <f>GC_TCD!X61</f>
        <v>0.58575880132809777</v>
      </c>
      <c r="G58">
        <f>GC_TCD!Y61</f>
        <v>0.74129999999999996</v>
      </c>
      <c r="H58">
        <f>GC_TCD!Z61</f>
        <v>0.64879374996989603</v>
      </c>
      <c r="I58" s="38">
        <f>GC_TCD!K61</f>
        <v>0.26243021266793065</v>
      </c>
      <c r="J58" s="42">
        <f>GC_TCD!AA61</f>
        <v>0.8252230707381053</v>
      </c>
      <c r="K58" s="42">
        <f>GC_TCD!AB61</f>
        <v>2.3958089150461124</v>
      </c>
      <c r="L58" s="105">
        <f>GC_TCD!AC61</f>
        <v>2.559272100841815E-3</v>
      </c>
      <c r="M58" s="42">
        <f t="shared" si="31"/>
        <v>2.6165639105652363E-6</v>
      </c>
      <c r="N58">
        <f t="shared" si="32"/>
        <v>0.25788220960565789</v>
      </c>
      <c r="O58">
        <f t="shared" si="33"/>
        <v>2.6026078957654239E-3</v>
      </c>
      <c r="P58">
        <f t="shared" si="34"/>
        <v>1.9453951665073699E-3</v>
      </c>
      <c r="Q58">
        <f t="shared" si="35"/>
        <v>450</v>
      </c>
      <c r="S58">
        <f t="shared" si="6"/>
        <v>107.9</v>
      </c>
      <c r="T58">
        <f>VFA!F55</f>
        <v>107.87361111111386</v>
      </c>
      <c r="U58">
        <f>VFA!K55</f>
        <v>83.699999999999989</v>
      </c>
      <c r="V58">
        <f>VFA!L55</f>
        <v>96.422399999999982</v>
      </c>
      <c r="W58" t="str">
        <f>IF(VFA!M55&lt;=0,"",VFA!M55)</f>
        <v/>
      </c>
      <c r="X58">
        <f>VFA!N55</f>
        <v>235.29141359999997</v>
      </c>
      <c r="Y58">
        <f t="shared" si="7"/>
        <v>208.5</v>
      </c>
      <c r="Z58" s="39">
        <f>VFA!Q55</f>
        <v>208.47083333333285</v>
      </c>
      <c r="AA58" s="39">
        <f>VFA!V55</f>
        <v>5.4404065697989159</v>
      </c>
      <c r="AB58" s="39">
        <f>VFA!W55</f>
        <v>1.3925784295084565</v>
      </c>
      <c r="AC58" s="39" t="str">
        <f>VFA!X55</f>
        <v/>
      </c>
      <c r="AD58" s="39">
        <f>VFA!Y55</f>
        <v>5.8049138099754432</v>
      </c>
      <c r="AE58">
        <f t="shared" si="8"/>
        <v>204.5</v>
      </c>
      <c r="AF58" s="39">
        <f>VFA!AB55</f>
        <v>204.47083333333285</v>
      </c>
      <c r="AG58" s="39">
        <f>IF(VFA!AG55&lt;=0,"",VFA!AG55)</f>
        <v>4.9032191011235966</v>
      </c>
      <c r="AH58" s="39">
        <f>IF(VFA!AH55&lt;=0,"",VFA!AH55)</f>
        <v>0.36185021949211527</v>
      </c>
      <c r="AI58" s="45" t="str">
        <f>VFA!AI55</f>
        <v/>
      </c>
      <c r="AJ58" s="45">
        <f>VFA!AJ55</f>
        <v>5.2317347808988774</v>
      </c>
      <c r="AK58" s="45"/>
      <c r="AL58" s="45"/>
      <c r="AM58" s="45"/>
      <c r="AN58" s="45"/>
      <c r="AO58" s="45"/>
      <c r="BT58" s="38"/>
      <c r="BW58">
        <v>299.8</v>
      </c>
      <c r="BX58" s="45" t="s">
        <v>388</v>
      </c>
      <c r="BY58" s="45">
        <v>0</v>
      </c>
      <c r="BZ58">
        <v>272.90000000000003</v>
      </c>
      <c r="CA58" s="45" t="s">
        <v>388</v>
      </c>
      <c r="CB58" s="45">
        <v>0</v>
      </c>
      <c r="CC58" s="45"/>
      <c r="CD58" s="39">
        <v>285.5</v>
      </c>
      <c r="CE58" s="45">
        <v>175.25551975142375</v>
      </c>
      <c r="CF58" s="45">
        <v>0</v>
      </c>
      <c r="CG58">
        <v>246.9</v>
      </c>
      <c r="CH58" s="45">
        <v>185.79900302046127</v>
      </c>
      <c r="CI58" s="45">
        <v>3.51229446221619</v>
      </c>
      <c r="CK58">
        <f t="shared" si="18"/>
        <v>90.9</v>
      </c>
      <c r="CL58">
        <f>'Liquid Volume'!A55</f>
        <v>90.866666666668607</v>
      </c>
      <c r="CM58">
        <f>'Liquid Volume'!C55</f>
        <v>450</v>
      </c>
      <c r="CY58">
        <f t="shared" si="28"/>
        <v>309.90000000000003</v>
      </c>
      <c r="CZ58">
        <f>COD!A51</f>
        <v>309.89097222222335</v>
      </c>
      <c r="DA58">
        <f>COD!I51</f>
        <v>588</v>
      </c>
      <c r="DB58">
        <f t="shared" si="30"/>
        <v>310</v>
      </c>
      <c r="DC58">
        <f>COD!L51</f>
        <v>309.89097222222335</v>
      </c>
      <c r="DD58">
        <f>COD!T51</f>
        <v>436</v>
      </c>
      <c r="DE58">
        <f t="shared" si="22"/>
        <v>320.90000000000003</v>
      </c>
      <c r="DF58">
        <f>COD!W54</f>
        <v>320.88194444444525</v>
      </c>
      <c r="DG58">
        <f>COD!AE54</f>
        <v>740</v>
      </c>
    </row>
    <row r="59" spans="1:111" ht="15" customHeight="1" x14ac:dyDescent="0.3">
      <c r="A59">
        <f t="shared" si="5"/>
        <v>145.9</v>
      </c>
      <c r="B59">
        <f>GC_TCD!G62</f>
        <v>145.90625</v>
      </c>
      <c r="C59">
        <f>GC_TCD!U62</f>
        <v>0.96713333333333329</v>
      </c>
      <c r="D59">
        <f>GC_TCD!V62</f>
        <v>0.13021460491562933</v>
      </c>
      <c r="E59">
        <f>GC_TCD!W62</f>
        <v>97.370999999999995</v>
      </c>
      <c r="F59">
        <f>GC_TCD!X62</f>
        <v>0.4478995088186683</v>
      </c>
      <c r="G59">
        <f>GC_TCD!Y62</f>
        <v>1.6468333333333334</v>
      </c>
      <c r="H59">
        <f>GC_TCD!Z62</f>
        <v>0.4197605547610837</v>
      </c>
      <c r="I59" s="38">
        <f>GC_TCD!K62</f>
        <v>0.28469639734144964</v>
      </c>
      <c r="J59" s="42">
        <f>GC_TCD!AA62</f>
        <v>0.88707753297709735</v>
      </c>
      <c r="K59" s="42">
        <f>GC_TCD!AB62</f>
        <v>2.5753863860625406</v>
      </c>
      <c r="L59" s="105">
        <f>GC_TCD!AC62</f>
        <v>2.7511019285988546E-3</v>
      </c>
      <c r="M59" s="42">
        <f t="shared" si="31"/>
        <v>2.7358998661105595E-6</v>
      </c>
      <c r="N59">
        <f t="shared" si="32"/>
        <v>0.27721172905534291</v>
      </c>
      <c r="O59">
        <f t="shared" si="33"/>
        <v>2.7533937574882729E-3</v>
      </c>
      <c r="P59">
        <f t="shared" si="34"/>
        <v>4.6884751702181062E-3</v>
      </c>
      <c r="Q59">
        <f t="shared" si="35"/>
        <v>450</v>
      </c>
      <c r="S59">
        <f t="shared" si="6"/>
        <v>107.9</v>
      </c>
      <c r="T59">
        <f>VFA!F56</f>
        <v>107.87361111111386</v>
      </c>
      <c r="U59">
        <f>VFA!K56</f>
        <v>87.495999999999995</v>
      </c>
      <c r="V59">
        <f>VFA!L56</f>
        <v>2603.2684879999997</v>
      </c>
      <c r="W59" t="str">
        <f>IF(VFA!M56&lt;=0,"",VFA!M56)</f>
        <v/>
      </c>
      <c r="X59">
        <f>VFA!N56</f>
        <v>4034.7067228319997</v>
      </c>
      <c r="Y59">
        <f t="shared" si="7"/>
        <v>211.5</v>
      </c>
      <c r="Z59" s="39">
        <f>VFA!Q56</f>
        <v>211.47083333333285</v>
      </c>
      <c r="AA59" s="39">
        <f>VFA!V56</f>
        <v>3.1719240000000002</v>
      </c>
      <c r="AB59" s="39">
        <f>VFA!W56</f>
        <v>0.357323</v>
      </c>
      <c r="AC59" s="39" t="str">
        <f>VFA!X56</f>
        <v/>
      </c>
      <c r="AD59" s="39">
        <f>VFA!Y56</f>
        <v>3.384442908</v>
      </c>
      <c r="AE59">
        <f t="shared" si="8"/>
        <v>208.5</v>
      </c>
      <c r="AF59" s="39">
        <f>VFA!AB56</f>
        <v>208.47083333333285</v>
      </c>
      <c r="AG59" s="39">
        <f>IF(VFA!AG56&lt;=0,"",VFA!AG56)</f>
        <v>2.2417321883456087</v>
      </c>
      <c r="AH59" s="39" t="str">
        <f>IF(VFA!AH56&lt;=0,"",VFA!AH56)</f>
        <v/>
      </c>
      <c r="AI59" s="45" t="str">
        <f>VFA!AI56</f>
        <v/>
      </c>
      <c r="AJ59" s="45">
        <f>VFA!AJ56</f>
        <v>2.3919282449647645</v>
      </c>
      <c r="AK59" s="45"/>
      <c r="AL59" s="45"/>
      <c r="AM59" s="45"/>
      <c r="AN59" s="45"/>
      <c r="AO59" s="45"/>
      <c r="BT59" s="38"/>
      <c r="BZ59">
        <v>285.90000000000003</v>
      </c>
      <c r="CA59" s="45">
        <v>24.374440900725176</v>
      </c>
      <c r="CB59" s="45">
        <v>0</v>
      </c>
      <c r="CC59" s="45"/>
      <c r="CD59" s="39">
        <v>288.5</v>
      </c>
      <c r="CE59" s="45">
        <v>145.35356085651034</v>
      </c>
      <c r="CF59" s="45">
        <v>0</v>
      </c>
      <c r="CG59">
        <v>257.90000000000003</v>
      </c>
      <c r="CH59" s="45">
        <v>172.90505538633556</v>
      </c>
      <c r="CI59" s="45">
        <v>7.0499438928830616</v>
      </c>
      <c r="CK59">
        <f t="shared" si="18"/>
        <v>90.9</v>
      </c>
      <c r="CL59">
        <f>'Liquid Volume'!A56</f>
        <v>90.894444444442343</v>
      </c>
      <c r="CM59">
        <f>'Liquid Volume'!C56</f>
        <v>450</v>
      </c>
      <c r="CY59">
        <f t="shared" si="28"/>
        <v>316.90000000000003</v>
      </c>
      <c r="CZ59">
        <f>COD!A52</f>
        <v>316.89791666666861</v>
      </c>
      <c r="DA59">
        <f>COD!I52</f>
        <v>840</v>
      </c>
      <c r="DB59">
        <f t="shared" si="30"/>
        <v>317</v>
      </c>
      <c r="DC59">
        <f>COD!L52</f>
        <v>316.89791666666861</v>
      </c>
      <c r="DD59">
        <f>COD!T52</f>
        <v>848</v>
      </c>
      <c r="DE59">
        <f t="shared" si="22"/>
        <v>323.90000000000003</v>
      </c>
      <c r="DF59">
        <f>COD!W55</f>
        <v>323.93819444444671</v>
      </c>
      <c r="DG59">
        <f>COD!AE55</f>
        <v>888</v>
      </c>
    </row>
    <row r="60" spans="1:111" ht="15" customHeight="1" x14ac:dyDescent="0.3">
      <c r="A60">
        <f t="shared" si="5"/>
        <v>147.20000000000002</v>
      </c>
      <c r="B60">
        <f>GC_TCD!G63</f>
        <v>147.15625</v>
      </c>
      <c r="C60">
        <f>GC_TCD!U63</f>
        <v>33.984766666666665</v>
      </c>
      <c r="D60">
        <f>GC_TCD!V63</f>
        <v>0.20157733834271294</v>
      </c>
      <c r="E60">
        <f>GC_TCD!W63</f>
        <v>65.938400000000001</v>
      </c>
      <c r="F60">
        <f>GC_TCD!X63</f>
        <v>0.11924516761697276</v>
      </c>
      <c r="G60">
        <f>GC_TCD!Y63</f>
        <v>7.686666666666668E-2</v>
      </c>
      <c r="H60">
        <f>GC_TCD!Z63</f>
        <v>8.3980970066636726E-2</v>
      </c>
      <c r="I60" s="38">
        <f>GC_TCD!K63</f>
        <v>0.95911022222222131</v>
      </c>
      <c r="J60" s="42">
        <f>GC_TCD!AA63</f>
        <v>2.0237501912632871</v>
      </c>
      <c r="K60" s="42">
        <f>GC_TCD!AB63</f>
        <v>5.8754037810869635</v>
      </c>
      <c r="L60" s="105">
        <f>GC_TCD!AC63</f>
        <v>6.2762755759371422E-3</v>
      </c>
      <c r="M60" s="42">
        <f t="shared" si="31"/>
        <v>6.1885756538949513E-6</v>
      </c>
      <c r="N60">
        <f t="shared" si="32"/>
        <v>0.63242193476977715</v>
      </c>
      <c r="O60">
        <f t="shared" si="33"/>
        <v>0.32595137109837008</v>
      </c>
      <c r="P60">
        <f t="shared" si="34"/>
        <v>7.37236057481481E-4</v>
      </c>
      <c r="Q60">
        <f t="shared" si="35"/>
        <v>450</v>
      </c>
      <c r="S60">
        <f t="shared" si="6"/>
        <v>111.9</v>
      </c>
      <c r="T60">
        <f>VFA!F57</f>
        <v>111.8659722222219</v>
      </c>
      <c r="U60">
        <f>VFA!K57</f>
        <v>164.274</v>
      </c>
      <c r="V60">
        <f>VFA!L57</f>
        <v>2883.501522</v>
      </c>
      <c r="W60" t="str">
        <f>IF(VFA!M57&lt;=0,"",VFA!M57)</f>
        <v/>
      </c>
      <c r="X60">
        <f>VFA!N57</f>
        <v>4540.9016623079997</v>
      </c>
      <c r="Y60">
        <f t="shared" si="7"/>
        <v>236.5</v>
      </c>
      <c r="Z60" s="39">
        <f>VFA!Q57</f>
        <v>236.47083333333285</v>
      </c>
      <c r="AA60" s="39">
        <f>VFA!V57</f>
        <v>2.7193770000000002</v>
      </c>
      <c r="AB60" s="39">
        <f>VFA!W57</f>
        <v>1.6568989999999999</v>
      </c>
      <c r="AC60" s="39">
        <f>VFA!X57</f>
        <v>1.333286</v>
      </c>
      <c r="AD60" s="39">
        <f>VFA!Y57</f>
        <v>7.8340342929999993</v>
      </c>
      <c r="AE60">
        <f t="shared" si="8"/>
        <v>211.5</v>
      </c>
      <c r="AF60" s="39">
        <f>VFA!AB57</f>
        <v>211.47083333333285</v>
      </c>
      <c r="AG60" s="39">
        <f>IF(VFA!AG57&lt;=0,"",VFA!AG57)</f>
        <v>111.01860000000001</v>
      </c>
      <c r="AH60" s="39">
        <f>IF(VFA!AH57&lt;=0,"",VFA!AH57)</f>
        <v>0.74593399999999999</v>
      </c>
      <c r="AI60" s="45" t="str">
        <f>VFA!AI57</f>
        <v/>
      </c>
      <c r="AJ60" s="45">
        <f>VFA!AJ57</f>
        <v>118.4568462</v>
      </c>
      <c r="AK60" s="45"/>
      <c r="AL60" s="45"/>
      <c r="AM60" s="45"/>
      <c r="AN60" s="45"/>
      <c r="AO60" s="45"/>
      <c r="BT60" s="38"/>
      <c r="BZ60">
        <v>288.90000000000003</v>
      </c>
      <c r="CA60" s="45">
        <v>26.628786592702333</v>
      </c>
      <c r="CB60" s="45">
        <v>0</v>
      </c>
      <c r="CC60" s="45"/>
      <c r="CD60" s="39">
        <v>292.5</v>
      </c>
      <c r="CE60" s="45">
        <v>193.8505510583762</v>
      </c>
      <c r="CF60" s="45">
        <v>0</v>
      </c>
      <c r="CG60">
        <v>260.90000000000003</v>
      </c>
      <c r="CH60" s="45">
        <v>181.36219471404712</v>
      </c>
      <c r="CI60" s="45">
        <v>0</v>
      </c>
      <c r="CK60">
        <f t="shared" si="18"/>
        <v>91.9</v>
      </c>
      <c r="CL60">
        <f>'Liquid Volume'!A57</f>
        <v>91.872916666667152</v>
      </c>
      <c r="CM60">
        <f>'Liquid Volume'!C57</f>
        <v>450</v>
      </c>
      <c r="CY60">
        <f t="shared" si="28"/>
        <v>320.90000000000003</v>
      </c>
      <c r="CZ60">
        <f>COD!A53</f>
        <v>320.88194444444525</v>
      </c>
      <c r="DA60">
        <f>COD!I53</f>
        <v>690</v>
      </c>
      <c r="DB60">
        <f t="shared" si="30"/>
        <v>321</v>
      </c>
      <c r="DC60">
        <f>COD!L53</f>
        <v>320.88194444444525</v>
      </c>
      <c r="DD60">
        <f>COD!T53</f>
        <v>636</v>
      </c>
      <c r="DE60">
        <f t="shared" si="22"/>
        <v>327.90000000000003</v>
      </c>
      <c r="DF60">
        <f>COD!W56</f>
        <v>327.90625</v>
      </c>
      <c r="DG60">
        <f>COD!AE56</f>
        <v>830</v>
      </c>
    </row>
    <row r="61" spans="1:111" ht="15" customHeight="1" x14ac:dyDescent="0.3">
      <c r="A61">
        <f t="shared" si="5"/>
        <v>148.20000000000002</v>
      </c>
      <c r="B61">
        <f>GC_TCD!G64</f>
        <v>148.18958333333285</v>
      </c>
      <c r="C61">
        <f>GC_TCD!U64</f>
        <v>80.254233333333332</v>
      </c>
      <c r="D61">
        <f>GC_TCD!V64</f>
        <v>0.29714618175795476</v>
      </c>
      <c r="E61">
        <f>GC_TCD!W64</f>
        <v>19.745766666666668</v>
      </c>
      <c r="F61">
        <f>GC_TCD!X64</f>
        <v>0.29714618175795832</v>
      </c>
      <c r="G61">
        <f>GC_TCD!Y64</f>
        <v>0</v>
      </c>
      <c r="H61">
        <f>GC_TCD!Z64</f>
        <v>0</v>
      </c>
      <c r="I61" s="38">
        <f>GC_TCD!K64</f>
        <v>0.8335382392477021</v>
      </c>
      <c r="J61" s="42">
        <f>GC_TCD!AA64</f>
        <v>0.52668325055773768</v>
      </c>
      <c r="K61" s="42">
        <f>GC_TCD!AB64</f>
        <v>1.5290804048450448</v>
      </c>
      <c r="L61" s="105">
        <f>GC_TCD!AC64</f>
        <v>1.6334077377738246E-3</v>
      </c>
      <c r="M61" s="42">
        <f t="shared" si="31"/>
        <v>1.5993530545116996E-6</v>
      </c>
      <c r="N61">
        <f t="shared" si="32"/>
        <v>0.16458851579929301</v>
      </c>
      <c r="O61">
        <f t="shared" si="33"/>
        <v>0.66894972344840908</v>
      </c>
      <c r="P61">
        <f t="shared" si="34"/>
        <v>0</v>
      </c>
      <c r="Q61">
        <f t="shared" si="35"/>
        <v>450</v>
      </c>
      <c r="S61">
        <f t="shared" si="6"/>
        <v>112.9</v>
      </c>
      <c r="T61">
        <f>VFA!F58</f>
        <v>112.85972222222335</v>
      </c>
      <c r="U61">
        <f>VFA!K58</f>
        <v>180.084</v>
      </c>
      <c r="V61">
        <f>VFA!L58</f>
        <v>2303.634528</v>
      </c>
      <c r="W61" t="str">
        <f>IF(VFA!M58&lt;=0,"",VFA!M58)</f>
        <v/>
      </c>
      <c r="X61">
        <f>VFA!N58</f>
        <v>3679.8523033920001</v>
      </c>
      <c r="Y61">
        <f t="shared" si="7"/>
        <v>239.5</v>
      </c>
      <c r="Z61" s="39">
        <f>VFA!Q58</f>
        <v>239.47083333333285</v>
      </c>
      <c r="AA61" s="39">
        <f>VFA!V58</f>
        <v>3.2662110000000002</v>
      </c>
      <c r="AB61" s="39" t="str">
        <f>VFA!W58</f>
        <v/>
      </c>
      <c r="AC61" s="39" t="str">
        <f>VFA!X58</f>
        <v/>
      </c>
      <c r="AD61" s="39">
        <f>VFA!Y58</f>
        <v>3.485047137</v>
      </c>
      <c r="AE61">
        <f t="shared" si="8"/>
        <v>236.5</v>
      </c>
      <c r="AF61" s="39">
        <f>VFA!AB58</f>
        <v>236.47083333333285</v>
      </c>
      <c r="AG61" s="39" t="str">
        <f>IF(VFA!AG58&lt;=0,"",VFA!AG58)</f>
        <v/>
      </c>
      <c r="AH61" s="39" t="str">
        <f>IF(VFA!AH58&lt;=0,"",VFA!AH58)</f>
        <v/>
      </c>
      <c r="AI61" s="45" t="str">
        <f>VFA!AI58</f>
        <v/>
      </c>
      <c r="AJ61" s="45">
        <f>VFA!AJ58</f>
        <v>0</v>
      </c>
      <c r="AK61" s="45"/>
      <c r="AL61" s="45"/>
      <c r="AM61" s="45"/>
      <c r="AN61" s="45"/>
      <c r="AO61" s="45"/>
      <c r="BT61" s="38"/>
      <c r="BZ61">
        <v>292.90000000000003</v>
      </c>
      <c r="CA61" s="45">
        <v>0</v>
      </c>
      <c r="CB61" s="45">
        <v>0</v>
      </c>
      <c r="CC61" s="45"/>
      <c r="CD61" s="39">
        <v>295.5</v>
      </c>
      <c r="CE61" s="45">
        <v>185.95629268397647</v>
      </c>
      <c r="CF61" s="45">
        <v>0</v>
      </c>
      <c r="CG61">
        <v>264.8</v>
      </c>
      <c r="CH61" s="45">
        <v>166.63342053522021</v>
      </c>
      <c r="CI61" s="45">
        <v>0</v>
      </c>
      <c r="CK61">
        <f t="shared" si="18"/>
        <v>92.9</v>
      </c>
      <c r="CL61">
        <f>'Liquid Volume'!A58</f>
        <v>92.863888888889051</v>
      </c>
      <c r="CM61">
        <f>'Liquid Volume'!C58</f>
        <v>450</v>
      </c>
      <c r="CY61">
        <f t="shared" si="28"/>
        <v>323.90000000000003</v>
      </c>
      <c r="CZ61">
        <f>COD!A54</f>
        <v>323.93819444444671</v>
      </c>
      <c r="DA61">
        <f>COD!I54</f>
        <v>598</v>
      </c>
      <c r="DB61">
        <f t="shared" ref="DB61:DB63" si="36">MROUND(DC61,0.5)</f>
        <v>324</v>
      </c>
      <c r="DC61">
        <f>COD!L54</f>
        <v>323.93819444444671</v>
      </c>
      <c r="DD61">
        <f>COD!T54</f>
        <v>606</v>
      </c>
      <c r="DE61">
        <f t="shared" si="22"/>
        <v>330.90000000000003</v>
      </c>
      <c r="DF61">
        <f>COD!W57</f>
        <v>330.87708333333285</v>
      </c>
      <c r="DG61">
        <f>COD!AE57</f>
        <v>900</v>
      </c>
    </row>
    <row r="62" spans="1:111" ht="15" customHeight="1" x14ac:dyDescent="0.3">
      <c r="A62">
        <f t="shared" si="5"/>
        <v>148.80000000000001</v>
      </c>
      <c r="B62">
        <f>GC_TCD!G65</f>
        <v>148.84722222221899</v>
      </c>
      <c r="C62">
        <f>GC_TCD!U65</f>
        <v>89.4876</v>
      </c>
      <c r="D62">
        <f>GC_TCD!V65</f>
        <v>0.49995460793956242</v>
      </c>
      <c r="E62">
        <f>GC_TCD!W65</f>
        <v>10.5124</v>
      </c>
      <c r="F62">
        <f>GC_TCD!X65</f>
        <v>0.49995460793956004</v>
      </c>
      <c r="G62">
        <f>GC_TCD!Y65</f>
        <v>0</v>
      </c>
      <c r="H62">
        <f>GC_TCD!Z65</f>
        <v>0</v>
      </c>
      <c r="I62" s="38">
        <f>GC_TCD!K65</f>
        <v>0.35667806451764861</v>
      </c>
      <c r="J62" s="42">
        <f>GC_TCD!AA65</f>
        <v>0.11998535953393052</v>
      </c>
      <c r="K62" s="42">
        <f>GC_TCD!AB65</f>
        <v>0.34834459219528219</v>
      </c>
      <c r="L62" s="105">
        <f>GC_TCD!AC65</f>
        <v>3.7211172839606298E-4</v>
      </c>
      <c r="M62" s="42">
        <f t="shared" si="31"/>
        <v>3.6274383212647505E-7</v>
      </c>
      <c r="N62">
        <f t="shared" si="32"/>
        <v>3.7495424854353289E-2</v>
      </c>
      <c r="O62">
        <f t="shared" si="33"/>
        <v>0.3191826396632953</v>
      </c>
      <c r="P62">
        <f t="shared" si="34"/>
        <v>0</v>
      </c>
      <c r="Q62">
        <f t="shared" si="35"/>
        <v>450</v>
      </c>
      <c r="S62">
        <f t="shared" si="6"/>
        <v>113.9</v>
      </c>
      <c r="T62">
        <f>VFA!F59</f>
        <v>113.86388888888905</v>
      </c>
      <c r="U62">
        <f>VFA!K59</f>
        <v>131.626</v>
      </c>
      <c r="V62">
        <f>VFA!L59</f>
        <v>972.84776600000009</v>
      </c>
      <c r="W62" t="str">
        <f>IF(VFA!M59&lt;=0,"",VFA!M59)</f>
        <v/>
      </c>
      <c r="X62">
        <f>VFA!N59</f>
        <v>1613.3364597240002</v>
      </c>
      <c r="Y62">
        <f t="shared" si="7"/>
        <v>243.5</v>
      </c>
      <c r="Z62" s="39">
        <f>VFA!Q59</f>
        <v>243.47083333333285</v>
      </c>
      <c r="AA62" s="39">
        <f>VFA!V59</f>
        <v>3.1796264541220856</v>
      </c>
      <c r="AB62" s="39" t="str">
        <f>VFA!W59</f>
        <v/>
      </c>
      <c r="AC62" s="39" t="str">
        <f>VFA!X59</f>
        <v/>
      </c>
      <c r="AD62" s="39">
        <f>VFA!Y59</f>
        <v>3.3926614265482651</v>
      </c>
      <c r="AE62">
        <f t="shared" si="8"/>
        <v>239.5</v>
      </c>
      <c r="AF62" s="39">
        <f>VFA!AB59</f>
        <v>239.47083333333285</v>
      </c>
      <c r="AG62" s="39">
        <f>IF(VFA!AG59&lt;=0,"",VFA!AG59)</f>
        <v>138.62710000000001</v>
      </c>
      <c r="AH62" s="39">
        <f>IF(VFA!AH59&lt;=0,"",VFA!AH59)</f>
        <v>0.88931199999999999</v>
      </c>
      <c r="AI62" s="45" t="str">
        <f>VFA!AI59</f>
        <v/>
      </c>
      <c r="AJ62" s="45">
        <f>VFA!AJ59</f>
        <v>147.9151157</v>
      </c>
      <c r="AK62" s="45"/>
      <c r="AL62" s="45"/>
      <c r="AM62" s="45"/>
      <c r="AN62" s="45"/>
      <c r="AO62" s="45"/>
      <c r="BT62" s="38"/>
      <c r="BZ62">
        <v>295.90000000000003</v>
      </c>
      <c r="CA62" s="45">
        <v>25.617213025345201</v>
      </c>
      <c r="CB62" s="45">
        <v>0</v>
      </c>
      <c r="CC62" s="45"/>
      <c r="CD62" s="39">
        <v>299.5</v>
      </c>
      <c r="CE62" s="45">
        <v>192.35834426881024</v>
      </c>
      <c r="CF62" s="45">
        <v>0</v>
      </c>
      <c r="CG62">
        <v>267.90000000000003</v>
      </c>
      <c r="CH62" s="45">
        <v>189.90081756294663</v>
      </c>
      <c r="CI62" s="45">
        <v>0</v>
      </c>
      <c r="CK62">
        <f t="shared" si="18"/>
        <v>93.9</v>
      </c>
      <c r="CL62">
        <f>'Liquid Volume'!A59</f>
        <v>93.877777777779556</v>
      </c>
      <c r="CM62">
        <f>'Liquid Volume'!C59</f>
        <v>450</v>
      </c>
      <c r="CY62">
        <f t="shared" si="28"/>
        <v>327.90000000000003</v>
      </c>
      <c r="CZ62">
        <f>COD!A55</f>
        <v>327.90625</v>
      </c>
      <c r="DA62">
        <f>COD!I55</f>
        <v>532</v>
      </c>
      <c r="DB62">
        <f t="shared" si="36"/>
        <v>328</v>
      </c>
      <c r="DC62">
        <f>COD!L55</f>
        <v>327.90625</v>
      </c>
      <c r="DD62">
        <f>COD!T55</f>
        <v>594</v>
      </c>
    </row>
    <row r="63" spans="1:111" ht="15" customHeight="1" x14ac:dyDescent="0.3">
      <c r="A63">
        <f t="shared" si="5"/>
        <v>154.9</v>
      </c>
      <c r="B63">
        <f>GC_TCD!G66</f>
        <v>154.9013888888876</v>
      </c>
      <c r="C63">
        <f>GC_TCD!U66</f>
        <v>24.037466666666671</v>
      </c>
      <c r="D63">
        <f>GC_TCD!V66</f>
        <v>1.0689630925964346</v>
      </c>
      <c r="E63">
        <f>GC_TCD!W66</f>
        <v>71.615799999999993</v>
      </c>
      <c r="F63">
        <f>GC_TCD!X66</f>
        <v>0.23926706835667808</v>
      </c>
      <c r="G63">
        <f>GC_TCD!Y66</f>
        <v>4.3467666666666664</v>
      </c>
      <c r="H63">
        <f>GC_TCD!Z66</f>
        <v>0.86697145473962012</v>
      </c>
      <c r="I63" s="38">
        <f>GC_TCD!K66</f>
        <v>0.35181614583388343</v>
      </c>
      <c r="J63" s="42">
        <f>GC_TCD!AA66</f>
        <v>0.80625903157792722</v>
      </c>
      <c r="K63" s="42">
        <f>GC_TCD!AB66</f>
        <v>2.3407520271617246</v>
      </c>
      <c r="L63" s="105">
        <f>GC_TCD!AC66</f>
        <v>2.500458747140367E-3</v>
      </c>
      <c r="M63" s="42">
        <f t="shared" si="31"/>
        <v>2.3422421633050648E-6</v>
      </c>
      <c r="N63">
        <f t="shared" si="32"/>
        <v>0.25195594736810223</v>
      </c>
      <c r="O63">
        <f t="shared" si="33"/>
        <v>8.4567688782771128E-2</v>
      </c>
      <c r="P63">
        <f t="shared" si="34"/>
        <v>1.5292626955058633E-2</v>
      </c>
      <c r="Q63">
        <f t="shared" si="35"/>
        <v>450</v>
      </c>
      <c r="S63">
        <f t="shared" si="6"/>
        <v>114.9</v>
      </c>
      <c r="T63">
        <f>VFA!F60</f>
        <v>114.90763888888614</v>
      </c>
      <c r="U63">
        <f>VFA!K60</f>
        <v>137.97200000000001</v>
      </c>
      <c r="V63">
        <f>VFA!L60</f>
        <v>1457.1912780000002</v>
      </c>
      <c r="W63" t="str">
        <f>IF(VFA!M60&lt;=0,"",VFA!M60)</f>
        <v/>
      </c>
      <c r="X63">
        <f>VFA!N60</f>
        <v>2353.4037188920006</v>
      </c>
      <c r="Y63">
        <f t="shared" si="7"/>
        <v>246.5</v>
      </c>
      <c r="Z63" s="39">
        <f>VFA!Q60</f>
        <v>246.47083333333285</v>
      </c>
      <c r="AA63" s="39" t="str">
        <f>VFA!V60</f>
        <v/>
      </c>
      <c r="AB63" s="39">
        <f>VFA!W60</f>
        <v>0.60241542199999998</v>
      </c>
      <c r="AC63" s="39" t="str">
        <f>VFA!X60</f>
        <v/>
      </c>
      <c r="AD63" s="39">
        <f>VFA!Y60</f>
        <v>0.91205694890799993</v>
      </c>
      <c r="AE63">
        <f t="shared" si="8"/>
        <v>243.5</v>
      </c>
      <c r="AF63" s="39">
        <f>VFA!AB60</f>
        <v>243.47083333333285</v>
      </c>
      <c r="AG63" s="39">
        <f>IF(VFA!AG60&lt;=0,"",VFA!AG60)</f>
        <v>4.6506774964599478</v>
      </c>
      <c r="AH63" s="39" t="str">
        <f>IF(VFA!AH60&lt;=0,"",VFA!AH60)</f>
        <v/>
      </c>
      <c r="AI63" s="45" t="str">
        <f>VFA!AI60</f>
        <v/>
      </c>
      <c r="AJ63" s="45">
        <f>VFA!AJ60</f>
        <v>4.9622728887227643</v>
      </c>
      <c r="AK63" s="45"/>
      <c r="AL63" s="45"/>
      <c r="AM63" s="45"/>
      <c r="AN63" s="45"/>
      <c r="AO63" s="45"/>
      <c r="BT63" s="38"/>
      <c r="BZ63">
        <v>299.8</v>
      </c>
      <c r="CA63" s="45">
        <v>21.338372893992737</v>
      </c>
      <c r="CB63" s="45">
        <v>0</v>
      </c>
      <c r="CC63" s="45"/>
      <c r="CD63" s="39">
        <v>323.5</v>
      </c>
      <c r="CE63" s="45">
        <v>221.9024055594289</v>
      </c>
      <c r="CF63" s="45">
        <v>55.29503563989168</v>
      </c>
      <c r="CG63">
        <v>272.90000000000003</v>
      </c>
      <c r="CH63" s="45">
        <v>99.887829798110374</v>
      </c>
      <c r="CI63" s="45">
        <v>55.186893630247212</v>
      </c>
      <c r="CK63">
        <f t="shared" si="18"/>
        <v>96.9</v>
      </c>
      <c r="CL63">
        <f>'Liquid Volume'!A60</f>
        <v>96.856944444443798</v>
      </c>
      <c r="CM63">
        <f>'Liquid Volume'!C60</f>
        <v>450</v>
      </c>
      <c r="CY63">
        <f t="shared" si="28"/>
        <v>330.90000000000003</v>
      </c>
      <c r="CZ63">
        <f>COD!A56</f>
        <v>330.87708333333285</v>
      </c>
      <c r="DA63">
        <f>COD!I56</f>
        <v>680</v>
      </c>
      <c r="DB63">
        <f t="shared" si="36"/>
        <v>331</v>
      </c>
      <c r="DC63">
        <f>COD!L56</f>
        <v>330.87708333333285</v>
      </c>
      <c r="DD63">
        <f>COD!T56</f>
        <v>698</v>
      </c>
    </row>
    <row r="64" spans="1:111" ht="15" customHeight="1" x14ac:dyDescent="0.3">
      <c r="A64">
        <f t="shared" si="5"/>
        <v>155.80000000000001</v>
      </c>
      <c r="B64">
        <f>GC_TCD!G67</f>
        <v>155.83750000000146</v>
      </c>
      <c r="C64">
        <f>GC_TCD!U67</f>
        <v>25.342833333333331</v>
      </c>
      <c r="D64">
        <f>GC_TCD!V67</f>
        <v>0.84672871885470591</v>
      </c>
      <c r="E64">
        <f>GC_TCD!W67</f>
        <v>71.589233333333326</v>
      </c>
      <c r="F64">
        <f>GC_TCD!X67</f>
        <v>0.428320468029878</v>
      </c>
      <c r="G64">
        <f>GC_TCD!Y67</f>
        <v>3.0678999999999998</v>
      </c>
      <c r="H64">
        <f>GC_TCD!Z67</f>
        <v>0.53786372809476546</v>
      </c>
      <c r="I64" s="38">
        <f>GC_TCD!K67</f>
        <v>0.44066929429298479</v>
      </c>
      <c r="J64" s="42">
        <f>GC_TCD!AA67</f>
        <v>1.0095096618232262</v>
      </c>
      <c r="K64" s="42">
        <f>GC_TCD!AB67</f>
        <v>2.9308345020674316</v>
      </c>
      <c r="L64" s="105">
        <f>GC_TCD!AC67</f>
        <v>3.1308018457646579E-3</v>
      </c>
      <c r="M64" s="42">
        <f t="shared" si="31"/>
        <v>2.9150836468786239E-6</v>
      </c>
      <c r="N64">
        <f t="shared" si="32"/>
        <v>0.31547176931975818</v>
      </c>
      <c r="O64">
        <f t="shared" si="33"/>
        <v>0.11167808480384731</v>
      </c>
      <c r="P64">
        <f t="shared" si="34"/>
        <v>1.3519293279614479E-2</v>
      </c>
      <c r="Q64">
        <f t="shared" si="35"/>
        <v>450</v>
      </c>
      <c r="S64">
        <f t="shared" si="6"/>
        <v>117.9</v>
      </c>
      <c r="T64">
        <f>VFA!F61</f>
        <v>117.88263888889196</v>
      </c>
      <c r="U64">
        <f>VFA!K61</f>
        <v>176.46600000000001</v>
      </c>
      <c r="V64">
        <f>VFA!L61</f>
        <v>806.18492100000003</v>
      </c>
      <c r="W64" t="str">
        <f>IF(VFA!M61&lt;=0,"",VFA!M61)</f>
        <v/>
      </c>
      <c r="X64">
        <f>VFA!N61</f>
        <v>1408.853192394</v>
      </c>
      <c r="Y64">
        <f t="shared" si="7"/>
        <v>257.5</v>
      </c>
      <c r="Z64" s="39">
        <f>VFA!Q61</f>
        <v>257.47083333333285</v>
      </c>
      <c r="AA64" s="39">
        <f>VFA!V61</f>
        <v>2.941736744</v>
      </c>
      <c r="AB64" s="39" t="str">
        <f>VFA!W61</f>
        <v/>
      </c>
      <c r="AC64" s="39" t="str">
        <f>VFA!X61</f>
        <v/>
      </c>
      <c r="AD64" s="39">
        <f>VFA!Y61</f>
        <v>3.1388331058479997</v>
      </c>
      <c r="AE64">
        <f t="shared" si="8"/>
        <v>246.5</v>
      </c>
      <c r="AF64" s="39">
        <f>VFA!AB61</f>
        <v>246.47083333333285</v>
      </c>
      <c r="AG64" s="39">
        <f>IF(VFA!AG61&lt;=0,"",VFA!AG61)</f>
        <v>122.5314072878233</v>
      </c>
      <c r="AH64" s="39">
        <f>IF(VFA!AH61&lt;=0,"",VFA!AH61)</f>
        <v>0.66035298499999995</v>
      </c>
      <c r="AI64" s="45" t="str">
        <f>VFA!AI61</f>
        <v/>
      </c>
      <c r="AJ64" s="45">
        <f>VFA!AJ61</f>
        <v>130.74101157610747</v>
      </c>
      <c r="AK64" s="45"/>
      <c r="AL64" s="45"/>
      <c r="AM64" s="45"/>
      <c r="AN64" s="45"/>
      <c r="AO64" s="45"/>
      <c r="BT64" s="38"/>
      <c r="CD64" s="39">
        <v>327.5</v>
      </c>
      <c r="CE64" s="45">
        <v>319.7048722828456</v>
      </c>
      <c r="CF64" s="45">
        <v>139.95335911737055</v>
      </c>
      <c r="CG64">
        <v>285.90000000000003</v>
      </c>
      <c r="CH64" s="45">
        <v>166.14519057343259</v>
      </c>
      <c r="CI64" s="45">
        <v>0</v>
      </c>
      <c r="CK64">
        <f t="shared" si="18"/>
        <v>97.100000000000009</v>
      </c>
      <c r="CL64">
        <f>'Liquid Volume'!A61</f>
        <v>97.060416666667152</v>
      </c>
      <c r="CM64">
        <f>'Liquid Volume'!C61</f>
        <v>450</v>
      </c>
    </row>
    <row r="65" spans="1:91" ht="15" customHeight="1" x14ac:dyDescent="0.3">
      <c r="A65">
        <f t="shared" si="5"/>
        <v>156.9</v>
      </c>
      <c r="B65">
        <f>GC_TCD!G68</f>
        <v>156.9423611111124</v>
      </c>
      <c r="C65">
        <f>GC_TCD!U68</f>
        <v>22.568866666666665</v>
      </c>
      <c r="D65">
        <f>GC_TCD!V68</f>
        <v>1.0847023754621963</v>
      </c>
      <c r="E65">
        <f>GC_TCD!W68</f>
        <v>74.730599999999995</v>
      </c>
      <c r="F65">
        <f>GC_TCD!X68</f>
        <v>1.042669415490836</v>
      </c>
      <c r="G65">
        <f>GC_TCD!Y68</f>
        <v>2.7005666666666666</v>
      </c>
      <c r="H65">
        <f>GC_TCD!Z68</f>
        <v>1.4693276364832095</v>
      </c>
      <c r="I65" s="38">
        <f>GC_TCD!K68</f>
        <v>0.27830000000003891</v>
      </c>
      <c r="J65" s="42">
        <f>GC_TCD!AA68</f>
        <v>0.6655208313600931</v>
      </c>
      <c r="K65" s="42">
        <f>GC_TCD!AB68</f>
        <v>1.9321572523357537</v>
      </c>
      <c r="L65" s="105">
        <f>GC_TCD!AC68</f>
        <v>2.0639860379878831E-3</v>
      </c>
      <c r="M65" s="42">
        <f t="shared" si="31"/>
        <v>1.9082443515681036E-6</v>
      </c>
      <c r="N65">
        <f t="shared" si="32"/>
        <v>0.20797525980002907</v>
      </c>
      <c r="O65">
        <f t="shared" si="33"/>
        <v>6.2809155933342103E-2</v>
      </c>
      <c r="P65">
        <f t="shared" si="34"/>
        <v>7.515677033334384E-3</v>
      </c>
      <c r="Q65">
        <f t="shared" si="35"/>
        <v>450</v>
      </c>
      <c r="S65">
        <f t="shared" si="6"/>
        <v>118.5</v>
      </c>
      <c r="T65">
        <f>VFA!F62</f>
        <v>118.47083333333285</v>
      </c>
      <c r="U65">
        <f>VFA!K62</f>
        <v>136.898</v>
      </c>
      <c r="V65">
        <f>VFA!L62</f>
        <v>234.300927</v>
      </c>
      <c r="W65" t="str">
        <f>IF(VFA!M62&lt;=0,"",VFA!M62)</f>
        <v/>
      </c>
      <c r="X65">
        <f>VFA!N62</f>
        <v>500.80176947799998</v>
      </c>
      <c r="Y65">
        <f t="shared" si="7"/>
        <v>260.5</v>
      </c>
      <c r="Z65" s="39">
        <f>VFA!Q62</f>
        <v>260.47083333333285</v>
      </c>
      <c r="AA65" s="39">
        <f>VFA!V62</f>
        <v>2.8794065940000002</v>
      </c>
      <c r="AB65" s="39" t="str">
        <f>VFA!W62</f>
        <v/>
      </c>
      <c r="AC65" s="39" t="str">
        <f>VFA!X62</f>
        <v/>
      </c>
      <c r="AD65" s="39">
        <f>VFA!Y62</f>
        <v>3.072326835798</v>
      </c>
      <c r="AE65">
        <f t="shared" si="8"/>
        <v>257.5</v>
      </c>
      <c r="AF65" s="39">
        <f>VFA!AB62</f>
        <v>257.47083333333285</v>
      </c>
      <c r="AG65" s="39" t="str">
        <f>IF(VFA!AG62&lt;=0,"",VFA!AG62)</f>
        <v/>
      </c>
      <c r="AH65" s="39" t="str">
        <f>IF(VFA!AH62&lt;=0,"",VFA!AH62)</f>
        <v/>
      </c>
      <c r="AI65" s="45" t="str">
        <f>VFA!AI62</f>
        <v/>
      </c>
      <c r="AJ65" s="45">
        <f>VFA!AJ62</f>
        <v>0</v>
      </c>
      <c r="AK65" s="45"/>
      <c r="AL65" s="45"/>
      <c r="AM65" s="45"/>
      <c r="AN65" s="45"/>
      <c r="AO65" s="45"/>
      <c r="BT65" s="38"/>
      <c r="CG65">
        <v>288.90000000000003</v>
      </c>
      <c r="CH65" s="45">
        <v>177.66889429894013</v>
      </c>
      <c r="CI65" s="45">
        <v>0</v>
      </c>
      <c r="CK65">
        <f t="shared" si="18"/>
        <v>97.100000000000009</v>
      </c>
      <c r="CL65">
        <f>'Liquid Volume'!A62</f>
        <v>97.0625</v>
      </c>
      <c r="CM65">
        <f>'Liquid Volume'!C62</f>
        <v>450</v>
      </c>
    </row>
    <row r="66" spans="1:91" ht="15" customHeight="1" x14ac:dyDescent="0.3">
      <c r="A66">
        <f t="shared" si="5"/>
        <v>159.9</v>
      </c>
      <c r="B66">
        <f>GC_TCD!G69</f>
        <v>159.92569444444234</v>
      </c>
      <c r="C66">
        <f>GC_TCD!U69</f>
        <v>18.477833333333333</v>
      </c>
      <c r="D66">
        <f>GC_TCD!V69</f>
        <v>1.1340098823790445</v>
      </c>
      <c r="E66">
        <f>GC_TCD!W69</f>
        <v>79.926699999999997</v>
      </c>
      <c r="F66">
        <f>GC_TCD!X69</f>
        <v>0.38265612499998303</v>
      </c>
      <c r="G66">
        <f>GC_TCD!Y69</f>
        <v>1.5954666666666668</v>
      </c>
      <c r="H66">
        <f>GC_TCD!Z69</f>
        <v>1.5053838857026911</v>
      </c>
      <c r="I66" s="38">
        <f>GC_TCD!K69</f>
        <v>0.28821360766925663</v>
      </c>
      <c r="J66" s="42">
        <f>GC_TCD!AA69</f>
        <v>0.73715080179514791</v>
      </c>
      <c r="K66" s="42">
        <f>GC_TCD!AB69</f>
        <v>2.1401152310181715</v>
      </c>
      <c r="L66" s="105">
        <f>GC_TCD!AC69</f>
        <v>2.286132741611417E-3</v>
      </c>
      <c r="M66" s="42">
        <f t="shared" si="31"/>
        <v>2.0741999086522912E-6</v>
      </c>
      <c r="N66">
        <f t="shared" si="32"/>
        <v>0.23035962556098372</v>
      </c>
      <c r="O66">
        <f t="shared" si="33"/>
        <v>5.3255630069112457E-2</v>
      </c>
      <c r="P66">
        <f t="shared" si="34"/>
        <v>4.5983520391604336E-3</v>
      </c>
      <c r="Q66">
        <f t="shared" si="35"/>
        <v>450</v>
      </c>
      <c r="S66">
        <f t="shared" si="6"/>
        <v>119.5</v>
      </c>
      <c r="T66">
        <f>VFA!F63</f>
        <v>119.47083333333285</v>
      </c>
      <c r="U66">
        <f>VFA!K63</f>
        <v>103.964</v>
      </c>
      <c r="V66" t="str">
        <f>VFA!L63</f>
        <v/>
      </c>
      <c r="W66" t="str">
        <f>IF(VFA!M63&lt;=0,"",VFA!M63)</f>
        <v/>
      </c>
      <c r="X66">
        <f>VFA!N63</f>
        <v>110.929588</v>
      </c>
      <c r="Y66">
        <f t="shared" si="7"/>
        <v>264.5</v>
      </c>
      <c r="Z66" s="39">
        <f>VFA!Q63</f>
        <v>264.47083333333285</v>
      </c>
      <c r="AA66" s="39">
        <f>VFA!V63</f>
        <v>3.0650707690000001</v>
      </c>
      <c r="AB66" s="39">
        <f>VFA!W63</f>
        <v>0.62391225900000002</v>
      </c>
      <c r="AC66" s="39">
        <f>VFA!X63</f>
        <v>0.47191804199999998</v>
      </c>
      <c r="AD66" s="39">
        <f>VFA!Y63</f>
        <v>5.0729806710050003</v>
      </c>
      <c r="AE66">
        <f t="shared" si="8"/>
        <v>260.5</v>
      </c>
      <c r="AF66" s="39">
        <f>VFA!AB63</f>
        <v>260.47083333333285</v>
      </c>
      <c r="AG66" s="39">
        <f>IF(VFA!AG63&lt;=0,"",VFA!AG63)</f>
        <v>1.4089692309999999</v>
      </c>
      <c r="AH66" s="39" t="str">
        <f>IF(VFA!AH63&lt;=0,"",VFA!AH63)</f>
        <v/>
      </c>
      <c r="AI66" s="45" t="str">
        <f>VFA!AI63</f>
        <v/>
      </c>
      <c r="AJ66" s="45">
        <f>VFA!AJ63</f>
        <v>1.5033701694769999</v>
      </c>
      <c r="AK66" s="45"/>
      <c r="AL66" s="45"/>
      <c r="AM66" s="45"/>
      <c r="AN66" s="45"/>
      <c r="AO66" s="45"/>
      <c r="BT66" s="38"/>
      <c r="CG66">
        <v>292.90000000000003</v>
      </c>
      <c r="CH66" s="45">
        <v>180.68183650743944</v>
      </c>
      <c r="CI66" s="45">
        <v>0</v>
      </c>
      <c r="CK66">
        <f t="shared" si="18"/>
        <v>98</v>
      </c>
      <c r="CL66">
        <f>'Liquid Volume'!A63</f>
        <v>97.963888888887595</v>
      </c>
      <c r="CM66">
        <f>'Liquid Volume'!C63</f>
        <v>450</v>
      </c>
    </row>
    <row r="67" spans="1:91" ht="15" customHeight="1" x14ac:dyDescent="0.3">
      <c r="A67">
        <f t="shared" si="5"/>
        <v>161</v>
      </c>
      <c r="B67">
        <f>GC_TCD!G70</f>
        <v>161.01597222222335</v>
      </c>
      <c r="C67">
        <f>GC_TCD!U70</f>
        <v>8.2243333333333339</v>
      </c>
      <c r="D67">
        <f>GC_TCD!V70</f>
        <v>0.37224930266332756</v>
      </c>
      <c r="E67">
        <f>GC_TCD!W70</f>
        <v>90.001266666666666</v>
      </c>
      <c r="F67">
        <f>GC_TCD!X70</f>
        <v>0.23210127818117474</v>
      </c>
      <c r="G67">
        <f>GC_TCD!Y70</f>
        <v>1.7744</v>
      </c>
      <c r="H67">
        <f>GC_TCD!Z70</f>
        <v>0.20217190704942173</v>
      </c>
      <c r="I67" s="38">
        <f>GC_TCD!K70</f>
        <v>0.3585597452218669</v>
      </c>
      <c r="J67" s="42">
        <f>GC_TCD!AA70</f>
        <v>1.0326665998606497</v>
      </c>
      <c r="K67" s="42">
        <f>GC_TCD!AB70</f>
        <v>2.9980643221760799</v>
      </c>
      <c r="L67" s="105">
        <f>GC_TCD!AC70</f>
        <v>3.2026186763424698E-3</v>
      </c>
      <c r="M67" s="42">
        <f t="shared" si="31"/>
        <v>2.8860489026265352E-6</v>
      </c>
      <c r="N67">
        <f t="shared" si="32"/>
        <v>0.32270831245645304</v>
      </c>
      <c r="O67">
        <f t="shared" si="33"/>
        <v>2.9489148646197075E-2</v>
      </c>
      <c r="P67">
        <f t="shared" si="34"/>
        <v>6.3622841192168067E-3</v>
      </c>
      <c r="Q67">
        <f t="shared" si="35"/>
        <v>450</v>
      </c>
      <c r="S67">
        <f t="shared" si="6"/>
        <v>120.5</v>
      </c>
      <c r="T67">
        <f>VFA!F64</f>
        <v>120.47083333333285</v>
      </c>
      <c r="U67">
        <f>VFA!K64</f>
        <v>58.26</v>
      </c>
      <c r="V67" t="str">
        <f>VFA!L64</f>
        <v/>
      </c>
      <c r="W67" t="str">
        <f>IF(VFA!M64&lt;=0,"",VFA!M64)</f>
        <v/>
      </c>
      <c r="X67">
        <f>VFA!N64</f>
        <v>62.163419999999995</v>
      </c>
      <c r="Y67">
        <f t="shared" si="7"/>
        <v>267.5</v>
      </c>
      <c r="Z67" s="39">
        <f>VFA!Q64</f>
        <v>267.47083333333285</v>
      </c>
      <c r="AA67" s="39">
        <f>VFA!V64</f>
        <v>2.5391471490000002</v>
      </c>
      <c r="AB67" s="39" t="str">
        <f>VFA!W64</f>
        <v/>
      </c>
      <c r="AC67" s="39" t="str">
        <f>VFA!X64</f>
        <v/>
      </c>
      <c r="AD67" s="39">
        <f>VFA!Y64</f>
        <v>2.7092700079830001</v>
      </c>
      <c r="AE67">
        <f t="shared" si="8"/>
        <v>264.5</v>
      </c>
      <c r="AF67" s="39">
        <f>VFA!AB64</f>
        <v>264.47083333333285</v>
      </c>
      <c r="AG67" s="39">
        <f>IF(VFA!AG64&lt;=0,"",VFA!AG64)</f>
        <v>123.7675167</v>
      </c>
      <c r="AH67" s="39">
        <f>IF(VFA!AH64&lt;=0,"",VFA!AH64)</f>
        <v>0.95331230199999994</v>
      </c>
      <c r="AI67" s="45">
        <f>VFA!AI64</f>
        <v>0.46043236199999998</v>
      </c>
      <c r="AJ67" s="45">
        <f>VFA!AJ64</f>
        <v>134.34032117824398</v>
      </c>
      <c r="AK67" s="45"/>
      <c r="AL67" s="45"/>
      <c r="AM67" s="45"/>
      <c r="AN67" s="45"/>
      <c r="AO67" s="45"/>
      <c r="BT67" s="38"/>
      <c r="CG67">
        <v>295.90000000000003</v>
      </c>
      <c r="CH67" s="45">
        <v>192.57587567178498</v>
      </c>
      <c r="CI67" s="45">
        <v>0</v>
      </c>
      <c r="CK67">
        <f t="shared" si="18"/>
        <v>98</v>
      </c>
      <c r="CL67">
        <f>'Liquid Volume'!A64</f>
        <v>97.974999999998545</v>
      </c>
      <c r="CM67">
        <f>'Liquid Volume'!C64</f>
        <v>450</v>
      </c>
    </row>
    <row r="68" spans="1:91" ht="15" customHeight="1" x14ac:dyDescent="0.3">
      <c r="A68">
        <f t="shared" si="5"/>
        <v>161.9</v>
      </c>
      <c r="B68">
        <f>GC_TCD!G71</f>
        <v>161.91388888889196</v>
      </c>
      <c r="C68">
        <f>GC_TCD!U71</f>
        <v>5.1938666666666675</v>
      </c>
      <c r="D68">
        <f>GC_TCD!V71</f>
        <v>0.23895322415345899</v>
      </c>
      <c r="E68">
        <f>GC_TCD!W71</f>
        <v>91.200566666666688</v>
      </c>
      <c r="F68">
        <f>GC_TCD!X71</f>
        <v>0.70028615103637193</v>
      </c>
      <c r="G68">
        <f>GC_TCD!Y71</f>
        <v>3.6055666666666668</v>
      </c>
      <c r="H68">
        <f>GC_TCD!Z71</f>
        <v>0.93807112914390856</v>
      </c>
      <c r="I68" s="38">
        <f>GC_TCD!K71</f>
        <v>0.29318151585396762</v>
      </c>
      <c r="J68" s="42">
        <f>GC_TCD!AA71</f>
        <v>0.85562625222637345</v>
      </c>
      <c r="K68" s="42">
        <f>GC_TCD!AB71</f>
        <v>2.4840762161410841</v>
      </c>
      <c r="L68" s="105">
        <f>GC_TCD!AC71</f>
        <v>2.6535617746510547E-3</v>
      </c>
      <c r="M68" s="42">
        <f t="shared" si="31"/>
        <v>2.3780036175036435E-6</v>
      </c>
      <c r="N68">
        <f t="shared" si="32"/>
        <v>0.26738320382074171</v>
      </c>
      <c r="O68">
        <f t="shared" si="33"/>
        <v>1.5227457024767275E-2</v>
      </c>
      <c r="P68">
        <f t="shared" si="34"/>
        <v>1.0570855008458706E-2</v>
      </c>
      <c r="Q68">
        <f t="shared" si="35"/>
        <v>450</v>
      </c>
      <c r="S68">
        <f t="shared" si="6"/>
        <v>121.5</v>
      </c>
      <c r="T68">
        <f>VFA!F65</f>
        <v>121.47083333333285</v>
      </c>
      <c r="U68">
        <f>VFA!K65</f>
        <v>51.927999999999997</v>
      </c>
      <c r="V68">
        <f>VFA!L65</f>
        <v>15.007191999999998</v>
      </c>
      <c r="W68" t="str">
        <f>IF(VFA!M65&lt;=0,"",VFA!M65)</f>
        <v/>
      </c>
      <c r="X68">
        <f>VFA!N65</f>
        <v>78.128064687999995</v>
      </c>
      <c r="Y68">
        <f t="shared" si="7"/>
        <v>272.5</v>
      </c>
      <c r="Z68" s="39">
        <f>VFA!Q65</f>
        <v>272.47083333333285</v>
      </c>
      <c r="AA68" s="39">
        <f>VFA!V65</f>
        <v>1.862426997</v>
      </c>
      <c r="AB68" s="39" t="str">
        <f>VFA!W65</f>
        <v/>
      </c>
      <c r="AC68" s="39" t="str">
        <f>VFA!X65</f>
        <v/>
      </c>
      <c r="AD68" s="39">
        <f>VFA!Y65</f>
        <v>1.9872096057989999</v>
      </c>
      <c r="AE68">
        <f t="shared" si="8"/>
        <v>267.5</v>
      </c>
      <c r="AF68" s="39">
        <f>VFA!AB65</f>
        <v>267.47083333333285</v>
      </c>
      <c r="AG68" s="39" t="str">
        <f>IF(VFA!AG65&lt;=0,"",VFA!AG65)</f>
        <v/>
      </c>
      <c r="AH68" s="39" t="str">
        <f>IF(VFA!AH65&lt;=0,"",VFA!AH65)</f>
        <v/>
      </c>
      <c r="AI68" s="45" t="str">
        <f>VFA!AI65</f>
        <v/>
      </c>
      <c r="AJ68" s="45">
        <f>VFA!AJ65</f>
        <v>0</v>
      </c>
      <c r="AK68" s="45"/>
      <c r="AL68" s="45"/>
      <c r="AM68" s="45"/>
      <c r="AN68" s="45"/>
      <c r="AO68" s="45"/>
      <c r="BT68" s="38"/>
      <c r="CG68">
        <v>299.8</v>
      </c>
      <c r="CH68" s="45">
        <v>199.52038737886454</v>
      </c>
      <c r="CI68" s="45">
        <v>0</v>
      </c>
      <c r="CK68">
        <f t="shared" si="18"/>
        <v>98.9</v>
      </c>
      <c r="CL68">
        <f>'Liquid Volume'!A65</f>
        <v>98.909027777779556</v>
      </c>
      <c r="CM68">
        <f>'Liquid Volume'!C65</f>
        <v>450</v>
      </c>
    </row>
    <row r="69" spans="1:91" ht="15" customHeight="1" x14ac:dyDescent="0.3">
      <c r="A69">
        <f t="shared" si="5"/>
        <v>162.9</v>
      </c>
      <c r="B69">
        <f>GC_TCD!G72</f>
        <v>162.94583333333139</v>
      </c>
      <c r="C69">
        <f>GC_TCD!U72</f>
        <v>2.5143999999999997</v>
      </c>
      <c r="D69">
        <f>GC_TCD!V72</f>
        <v>0.23249582791955639</v>
      </c>
      <c r="E69">
        <f>GC_TCD!W72</f>
        <v>93.713833333333312</v>
      </c>
      <c r="F69">
        <f>GC_TCD!X72</f>
        <v>0.61586885238119371</v>
      </c>
      <c r="G69">
        <f>GC_TCD!Y72</f>
        <v>3.7717666666666667</v>
      </c>
      <c r="H69">
        <f>GC_TCD!Z72</f>
        <v>0.51800113255989533</v>
      </c>
      <c r="I69" s="38">
        <f>GC_TCD!K72</f>
        <v>0.27917596741480943</v>
      </c>
      <c r="J69" s="42">
        <f>GC_TCD!AA72</f>
        <v>0.83720480259147334</v>
      </c>
      <c r="K69" s="42">
        <f>GC_TCD!AB72</f>
        <v>2.4305945881687943</v>
      </c>
      <c r="L69" s="105">
        <f>GC_TCD!AC72</f>
        <v>2.5964311589673542E-3</v>
      </c>
      <c r="M69" s="42">
        <f t="shared" si="31"/>
        <v>2.3120699281427924E-6</v>
      </c>
      <c r="N69">
        <f t="shared" si="32"/>
        <v>0.26162650080983541</v>
      </c>
      <c r="O69">
        <f t="shared" si="33"/>
        <v>7.0196005246779677E-3</v>
      </c>
      <c r="P69">
        <f t="shared" si="34"/>
        <v>1.0529866080295977E-2</v>
      </c>
      <c r="Q69">
        <f t="shared" si="35"/>
        <v>450</v>
      </c>
      <c r="S69">
        <f t="shared" si="6"/>
        <v>124.9</v>
      </c>
      <c r="T69">
        <f>VFA!F66</f>
        <v>124.90555555555329</v>
      </c>
      <c r="U69">
        <f>VFA!K66</f>
        <v>22.02</v>
      </c>
      <c r="V69">
        <f>VFA!L66</f>
        <v>38.942369999999997</v>
      </c>
      <c r="W69" t="str">
        <f>IF(VFA!M66&lt;=0,"",VFA!M66)</f>
        <v/>
      </c>
      <c r="X69">
        <f>VFA!N66</f>
        <v>82.454088179999985</v>
      </c>
      <c r="Y69">
        <f t="shared" si="7"/>
        <v>275.5</v>
      </c>
      <c r="Z69" s="39">
        <f>VFA!Q66</f>
        <v>275.47083333333285</v>
      </c>
      <c r="AA69" s="39">
        <f>VFA!V66</f>
        <v>1.9095812670000001</v>
      </c>
      <c r="AB69" s="39" t="str">
        <f>VFA!W66</f>
        <v/>
      </c>
      <c r="AC69" s="39" t="str">
        <f>VFA!X66</f>
        <v/>
      </c>
      <c r="AD69" s="39">
        <f>VFA!Y66</f>
        <v>2.0375232118889999</v>
      </c>
      <c r="AE69">
        <f t="shared" si="8"/>
        <v>272.5</v>
      </c>
      <c r="AF69" s="39">
        <f>VFA!AB66</f>
        <v>272.47083333333285</v>
      </c>
      <c r="AG69" s="39" t="str">
        <f>IF(VFA!AG66&lt;=0,"",VFA!AG66)</f>
        <v/>
      </c>
      <c r="AH69" s="39" t="str">
        <f>IF(VFA!AH66&lt;=0,"",VFA!AH66)</f>
        <v/>
      </c>
      <c r="AI69" s="45" t="str">
        <f>VFA!AI66</f>
        <v/>
      </c>
      <c r="AJ69" s="45">
        <f>VFA!AJ66</f>
        <v>0</v>
      </c>
      <c r="AK69" s="45"/>
      <c r="AL69" s="45"/>
      <c r="AM69" s="45"/>
      <c r="AN69" s="45"/>
      <c r="AO69" s="45"/>
      <c r="BT69" s="38"/>
      <c r="CG69">
        <v>323.90000000000003</v>
      </c>
      <c r="CH69" s="45">
        <v>266.93762096239487</v>
      </c>
      <c r="CI69" s="45">
        <v>46.229917372013936</v>
      </c>
      <c r="CK69">
        <f t="shared" si="18"/>
        <v>99.100000000000009</v>
      </c>
      <c r="CL69">
        <f>'Liquid Volume'!A66</f>
        <v>99.118750000001455</v>
      </c>
      <c r="CM69">
        <f>'Liquid Volume'!C66</f>
        <v>450</v>
      </c>
    </row>
    <row r="70" spans="1:91" ht="15" customHeight="1" x14ac:dyDescent="0.3">
      <c r="A70">
        <f t="shared" si="5"/>
        <v>163.9</v>
      </c>
      <c r="B70">
        <f>GC_TCD!G73</f>
        <v>163.91458333333139</v>
      </c>
      <c r="C70">
        <f>GC_TCD!U73</f>
        <v>1.8381333333333334</v>
      </c>
      <c r="D70">
        <f>GC_TCD!V73</f>
        <v>0.27673701113753002</v>
      </c>
      <c r="E70">
        <f>GC_TCD!W73</f>
        <v>94.147400000000005</v>
      </c>
      <c r="F70">
        <f>GC_TCD!X73</f>
        <v>0.53018160096329159</v>
      </c>
      <c r="G70">
        <f>GC_TCD!Y73</f>
        <v>4.0145</v>
      </c>
      <c r="H70">
        <f>GC_TCD!Z73</f>
        <v>0.2786872978806173</v>
      </c>
      <c r="I70" s="38">
        <f>GC_TCD!K73</f>
        <v>0.30570379928315466</v>
      </c>
      <c r="J70" s="42">
        <f>GC_TCD!AA73</f>
        <v>0.92099897192418811</v>
      </c>
      <c r="K70" s="42">
        <f>GC_TCD!AB73</f>
        <v>2.6738679830057075</v>
      </c>
      <c r="L70" s="105">
        <f>GC_TCD!AC73</f>
        <v>2.8563028074836982E-3</v>
      </c>
      <c r="M70" s="42">
        <f t="shared" ref="M70:M101" si="37">(N70/10^6)*1440/B70</f>
        <v>2.5284482255192237E-6</v>
      </c>
      <c r="N70">
        <f t="shared" ref="N70:N101" si="38">I70*E70/100</f>
        <v>0.28781217872630876</v>
      </c>
      <c r="O70">
        <f t="shared" ref="O70:O101" si="39">C70/100*I70</f>
        <v>5.6192434358900934E-3</v>
      </c>
      <c r="P70">
        <f t="shared" ref="P70:P101" si="40">I70*G70/100</f>
        <v>1.2272479022222244E-2</v>
      </c>
      <c r="Q70">
        <f t="shared" ref="Q70:Q101" si="41">IFERROR(VLOOKUP(A70,$CK$5:$CM$110,3,FALSE),Q69)</f>
        <v>450</v>
      </c>
      <c r="S70">
        <f t="shared" si="6"/>
        <v>125.5</v>
      </c>
      <c r="T70">
        <f>VFA!F67</f>
        <v>125.47083333333285</v>
      </c>
      <c r="U70">
        <f>VFA!K67</f>
        <v>39.031999999999996</v>
      </c>
      <c r="V70">
        <f>VFA!L67</f>
        <v>72.833711999999991</v>
      </c>
      <c r="W70" t="str">
        <f>IF(VFA!M67&lt;=0,"",VFA!M67)</f>
        <v/>
      </c>
      <c r="X70">
        <f>VFA!N67</f>
        <v>151.91738396799997</v>
      </c>
      <c r="Y70">
        <f t="shared" si="7"/>
        <v>278.5</v>
      </c>
      <c r="Z70" s="39">
        <f>VFA!Q67</f>
        <v>278.47083333333285</v>
      </c>
      <c r="AA70" s="39">
        <f>VFA!V67</f>
        <v>2.3629257049999999</v>
      </c>
      <c r="AB70" s="39" t="str">
        <f>VFA!W67</f>
        <v/>
      </c>
      <c r="AC70" s="39" t="str">
        <f>VFA!X67</f>
        <v/>
      </c>
      <c r="AD70" s="39">
        <f>VFA!Y67</f>
        <v>2.5212417272349996</v>
      </c>
      <c r="AE70">
        <f t="shared" si="8"/>
        <v>275.5</v>
      </c>
      <c r="AF70" s="39">
        <f>VFA!AB67</f>
        <v>275.47083333333285</v>
      </c>
      <c r="AG70" s="39">
        <f>IF(VFA!AG67&lt;=0,"",VFA!AG67)</f>
        <v>7.4585095570000002</v>
      </c>
      <c r="AH70" s="39" t="str">
        <f>IF(VFA!AH67&lt;=0,"",VFA!AH67)</f>
        <v/>
      </c>
      <c r="AI70" s="45" t="str">
        <f>VFA!AI67</f>
        <v/>
      </c>
      <c r="AJ70" s="45">
        <f>VFA!AJ67</f>
        <v>7.9582296973190001</v>
      </c>
      <c r="AK70" s="45"/>
      <c r="AL70" s="45"/>
      <c r="AM70" s="45"/>
      <c r="AN70" s="45"/>
      <c r="AO70" s="45"/>
      <c r="BT70" s="38"/>
      <c r="CG70">
        <v>327.90000000000003</v>
      </c>
      <c r="CH70" s="45"/>
      <c r="CI70" s="45"/>
      <c r="CK70">
        <f t="shared" si="18"/>
        <v>99.9</v>
      </c>
      <c r="CL70">
        <f>'Liquid Volume'!A67</f>
        <v>99.897222222221899</v>
      </c>
      <c r="CM70">
        <f>'Liquid Volume'!C67</f>
        <v>450</v>
      </c>
    </row>
    <row r="71" spans="1:91" ht="15" customHeight="1" x14ac:dyDescent="0.3">
      <c r="A71">
        <f t="shared" ref="A71:A134" si="42">MROUND(B71,$E$1)</f>
        <v>166.9</v>
      </c>
      <c r="B71">
        <f>GC_TCD!G74</f>
        <v>166.92013888889051</v>
      </c>
      <c r="C71">
        <f>GC_TCD!U74</f>
        <v>1.3388333333333333</v>
      </c>
      <c r="D71">
        <f>GC_TCD!V74</f>
        <v>2.9276327183124139E-2</v>
      </c>
      <c r="E71">
        <f>GC_TCD!W74</f>
        <v>95.646433333333334</v>
      </c>
      <c r="F71">
        <f>GC_TCD!X74</f>
        <v>0.14220029301422707</v>
      </c>
      <c r="G71">
        <f>GC_TCD!Y74</f>
        <v>3.0146999999999999</v>
      </c>
      <c r="H71">
        <f>GC_TCD!Z74</f>
        <v>0.17145632096834446</v>
      </c>
      <c r="I71" s="38">
        <f>GC_TCD!K74</f>
        <v>0.2823945757993872</v>
      </c>
      <c r="J71" s="42">
        <f>GC_TCD!AA74</f>
        <v>0.86432108697251309</v>
      </c>
      <c r="K71" s="42">
        <f>GC_TCD!AB74</f>
        <v>2.509319284758909</v>
      </c>
      <c r="L71" s="105">
        <f>GC_TCD!AC74</f>
        <v>2.6805271477438378E-3</v>
      </c>
      <c r="M71" s="42">
        <f t="shared" si="37"/>
        <v>2.3301232057836331E-6</v>
      </c>
      <c r="N71">
        <f t="shared" si="38"/>
        <v>0.27010033967891034</v>
      </c>
      <c r="O71">
        <f t="shared" si="39"/>
        <v>3.7807927123274625E-3</v>
      </c>
      <c r="P71">
        <f t="shared" si="40"/>
        <v>8.5133492766241263E-3</v>
      </c>
      <c r="Q71">
        <f t="shared" si="41"/>
        <v>450</v>
      </c>
      <c r="S71">
        <f t="shared" ref="S71:S134" si="43">MROUND(T71,$E$1)</f>
        <v>126.5</v>
      </c>
      <c r="T71">
        <f>VFA!F68</f>
        <v>126.47083333333285</v>
      </c>
      <c r="U71">
        <f>VFA!K68</f>
        <v>48.43</v>
      </c>
      <c r="V71">
        <f>VFA!L68</f>
        <v>18.476044999999999</v>
      </c>
      <c r="W71" t="str">
        <f>IF(VFA!M68&lt;=0,"",VFA!M68)</f>
        <v/>
      </c>
      <c r="X71">
        <f>VFA!N68</f>
        <v>79.647542129999991</v>
      </c>
      <c r="Y71">
        <f t="shared" ref="Y71:Y83" si="44">MROUND(Z71,$E$1)</f>
        <v>281.5</v>
      </c>
      <c r="Z71" s="39">
        <f>VFA!Q68</f>
        <v>281.47083333333285</v>
      </c>
      <c r="AA71" s="39">
        <f>VFA!V68</f>
        <v>2.7177131170000002</v>
      </c>
      <c r="AB71" s="39" t="str">
        <f>VFA!W68</f>
        <v/>
      </c>
      <c r="AC71" s="39" t="str">
        <f>VFA!X68</f>
        <v/>
      </c>
      <c r="AD71" s="39">
        <f>VFA!Y68</f>
        <v>2.8997998958390001</v>
      </c>
      <c r="AE71">
        <f t="shared" ref="AE71:AE85" si="45">MROUND(AF71,$E$1)</f>
        <v>278.5</v>
      </c>
      <c r="AF71" s="39">
        <f>VFA!AB68</f>
        <v>278.47083333333285</v>
      </c>
      <c r="AG71" s="39">
        <f>IF(VFA!AG68&lt;=0,"",VFA!AG68)</f>
        <v>61.925062310000001</v>
      </c>
      <c r="AH71" s="39">
        <f>IF(VFA!AH68&lt;=0,"",VFA!AH68)</f>
        <v>0.69634606899999996</v>
      </c>
      <c r="AI71" s="45" t="str">
        <f>VFA!AI68</f>
        <v/>
      </c>
      <c r="AJ71" s="45">
        <f>VFA!AJ68</f>
        <v>66.074041484769992</v>
      </c>
      <c r="AK71" s="45"/>
      <c r="AL71" s="45"/>
      <c r="AM71" s="45"/>
      <c r="AN71" s="45"/>
      <c r="AO71" s="45"/>
      <c r="BT71" s="38"/>
      <c r="CK71">
        <f t="shared" ref="CK71:CK121" si="46">MROUND(CL71,$E$1)</f>
        <v>100.9</v>
      </c>
      <c r="CL71">
        <f>'Liquid Volume'!A68</f>
        <v>100.8972222222219</v>
      </c>
      <c r="CM71">
        <f>'Liquid Volume'!C68</f>
        <v>450</v>
      </c>
    </row>
    <row r="72" spans="1:91" ht="15" customHeight="1" x14ac:dyDescent="0.3">
      <c r="A72">
        <f t="shared" si="42"/>
        <v>168</v>
      </c>
      <c r="B72">
        <f>GC_TCD!G75</f>
        <v>167.95138888889051</v>
      </c>
      <c r="C72">
        <f>GC_TCD!U75</f>
        <v>9.7922333333333338</v>
      </c>
      <c r="D72">
        <f>GC_TCD!V75</f>
        <v>0.21672227235181285</v>
      </c>
      <c r="E72">
        <f>GC_TCD!W75</f>
        <v>88.87406666666665</v>
      </c>
      <c r="F72">
        <f>GC_TCD!X75</f>
        <v>2.3034177505031759E-2</v>
      </c>
      <c r="G72">
        <f>GC_TCD!Y75</f>
        <v>1.3337333333333337</v>
      </c>
      <c r="H72">
        <f>GC_TCD!Z75</f>
        <v>0.23015389054572349</v>
      </c>
      <c r="I72" s="38">
        <f>GC_TCD!K75</f>
        <v>0.62070572390572398</v>
      </c>
      <c r="J72" s="42">
        <f>GC_TCD!AA75</f>
        <v>1.7652685403769246</v>
      </c>
      <c r="K72" s="42">
        <f>GC_TCD!AB75</f>
        <v>5.1249731817394588</v>
      </c>
      <c r="L72" s="105">
        <f>GC_TCD!AC75</f>
        <v>5.4746439915204417E-3</v>
      </c>
      <c r="M72" s="42">
        <f t="shared" si="37"/>
        <v>4.7297664426885921E-6</v>
      </c>
      <c r="N72">
        <f t="shared" si="38"/>
        <v>0.55164641886778898</v>
      </c>
      <c r="O72">
        <f t="shared" si="39"/>
        <v>6.0780952798204273E-2</v>
      </c>
      <c r="P72">
        <f t="shared" si="40"/>
        <v>8.2785591416386119E-3</v>
      </c>
      <c r="Q72">
        <f t="shared" si="41"/>
        <v>450</v>
      </c>
      <c r="S72">
        <f t="shared" si="43"/>
        <v>127.9</v>
      </c>
      <c r="T72">
        <f>VFA!F69</f>
        <v>127.9111111111124</v>
      </c>
      <c r="U72">
        <f>VFA!K69</f>
        <v>33.322000000000003</v>
      </c>
      <c r="V72">
        <f>VFA!L69</f>
        <v>13.112207000000001</v>
      </c>
      <c r="W72" t="str">
        <f>IF(VFA!M69&lt;=0,"",VFA!M69)</f>
        <v/>
      </c>
      <c r="X72">
        <f>VFA!N69</f>
        <v>55.406455398000006</v>
      </c>
      <c r="Y72">
        <f t="shared" si="44"/>
        <v>285.5</v>
      </c>
      <c r="Z72" s="39">
        <f>VFA!Q69</f>
        <v>285.47083333333285</v>
      </c>
      <c r="AA72" s="39">
        <f>VFA!V69</f>
        <v>3.5009999999999999</v>
      </c>
      <c r="AB72" s="39">
        <f>VFA!W69</f>
        <v>1.0269999999999999</v>
      </c>
      <c r="AC72" s="39">
        <f>VFA!X69</f>
        <v>1.198</v>
      </c>
      <c r="AD72" s="39">
        <f>VFA!Y69</f>
        <v>7.4684089999999994</v>
      </c>
      <c r="AE72">
        <f t="shared" si="45"/>
        <v>281.5</v>
      </c>
      <c r="AF72" s="39">
        <f>VFA!AB69</f>
        <v>281.47083333333285</v>
      </c>
      <c r="AG72" s="39">
        <f>IF(VFA!AG69&lt;=0,"",VFA!AG69)</f>
        <v>2.5025101150000002</v>
      </c>
      <c r="AH72" s="39" t="str">
        <f>IF(VFA!AH69&lt;=0,"",VFA!AH69)</f>
        <v/>
      </c>
      <c r="AI72" s="45" t="str">
        <f>VFA!AI69</f>
        <v/>
      </c>
      <c r="AJ72" s="45">
        <f>VFA!AJ69</f>
        <v>2.6701782927050002</v>
      </c>
      <c r="AK72" s="45"/>
      <c r="AL72" s="45"/>
      <c r="AM72" s="45"/>
      <c r="AN72" s="45"/>
      <c r="AO72" s="45"/>
      <c r="BT72" s="38"/>
      <c r="CK72">
        <f t="shared" si="46"/>
        <v>103.9</v>
      </c>
      <c r="CL72">
        <f>'Liquid Volume'!A69</f>
        <v>103.8701388888876</v>
      </c>
      <c r="CM72">
        <f>'Liquid Volume'!C69</f>
        <v>450</v>
      </c>
    </row>
    <row r="73" spans="1:91" ht="15" customHeight="1" x14ac:dyDescent="0.3">
      <c r="A73">
        <f t="shared" si="42"/>
        <v>168.9</v>
      </c>
      <c r="B73">
        <f>GC_TCD!G76</f>
        <v>168.91597222222481</v>
      </c>
      <c r="C73">
        <f>GC_TCD!U76</f>
        <v>37.177033333333334</v>
      </c>
      <c r="D73">
        <f>GC_TCD!V76</f>
        <v>0.20297429229666805</v>
      </c>
      <c r="E73">
        <f>GC_TCD!W76</f>
        <v>62.658066666666663</v>
      </c>
      <c r="F73">
        <f>GC_TCD!X76</f>
        <v>7.4315162203506369E-2</v>
      </c>
      <c r="G73">
        <f>GC_TCD!Y76</f>
        <v>0.16493333333333335</v>
      </c>
      <c r="H73">
        <f>GC_TCD!Z76</f>
        <v>0.24682776045925894</v>
      </c>
      <c r="I73" s="38">
        <f>GC_TCD!K76</f>
        <v>0.52497458603258629</v>
      </c>
      <c r="J73" s="42">
        <f>GC_TCD!AA76</f>
        <v>1.0526045635179369</v>
      </c>
      <c r="K73" s="42">
        <f>GC_TCD!AB76</f>
        <v>3.0559487327940102</v>
      </c>
      <c r="L73" s="105">
        <f>GC_TCD!AC76</f>
        <v>3.2644524712823679E-3</v>
      </c>
      <c r="M73" s="42">
        <f t="shared" si="37"/>
        <v>2.8041874747043552E-6</v>
      </c>
      <c r="N73">
        <f t="shared" si="38"/>
        <v>0.32893892609935527</v>
      </c>
      <c r="O73">
        <f t="shared" si="39"/>
        <v>0.19516997684086326</v>
      </c>
      <c r="P73">
        <f t="shared" si="40"/>
        <v>8.6585808389641234E-4</v>
      </c>
      <c r="Q73">
        <f t="shared" si="41"/>
        <v>450</v>
      </c>
      <c r="S73">
        <f t="shared" si="43"/>
        <v>128.5</v>
      </c>
      <c r="T73">
        <f>VFA!F70</f>
        <v>128.47083333333285</v>
      </c>
      <c r="U73">
        <f>VFA!K70</f>
        <v>29.253</v>
      </c>
      <c r="V73" t="str">
        <f>VFA!L70</f>
        <v/>
      </c>
      <c r="W73" t="str">
        <f>IF(VFA!M70&lt;=0,"",VFA!M70)</f>
        <v/>
      </c>
      <c r="X73">
        <f>VFA!N70</f>
        <v>31.212951</v>
      </c>
      <c r="Y73">
        <f t="shared" si="44"/>
        <v>288.5</v>
      </c>
      <c r="Z73" s="39">
        <f>VFA!Q70</f>
        <v>288.47083333333285</v>
      </c>
      <c r="AA73" s="39">
        <f>VFA!V70</f>
        <v>3.613</v>
      </c>
      <c r="AB73" s="39">
        <f>VFA!W70</f>
        <v>1.2110000000000001</v>
      </c>
      <c r="AC73" s="39">
        <f>VFA!X70</f>
        <v>1.353</v>
      </c>
      <c r="AD73" s="39">
        <f>VFA!Y70</f>
        <v>8.1482790000000005</v>
      </c>
      <c r="AE73">
        <f t="shared" si="45"/>
        <v>285.5</v>
      </c>
      <c r="AF73" s="39">
        <f>VFA!AB70</f>
        <v>285.47083333333285</v>
      </c>
      <c r="AG73" s="39">
        <f>IF(VFA!AG70&lt;=0,"",VFA!AG70)</f>
        <v>1.264</v>
      </c>
      <c r="AH73" s="39">
        <f>IF(VFA!AH70&lt;=0,"",VFA!AH70)</f>
        <v>0.89700000000000002</v>
      </c>
      <c r="AI73" s="45">
        <f>VFA!AI70</f>
        <v>1.1850000000000001</v>
      </c>
      <c r="AJ73" s="45">
        <f>VFA!AJ70</f>
        <v>4.8610760000000006</v>
      </c>
      <c r="AK73" s="45"/>
      <c r="AL73" s="45"/>
      <c r="AM73" s="45"/>
      <c r="AN73" s="45"/>
      <c r="AO73" s="45"/>
      <c r="BT73" s="38"/>
      <c r="CK73">
        <f t="shared" si="46"/>
        <v>103.9</v>
      </c>
      <c r="CL73">
        <f>'Liquid Volume'!A70</f>
        <v>103.88263888889196</v>
      </c>
      <c r="CM73">
        <f>'Liquid Volume'!C70</f>
        <v>450</v>
      </c>
    </row>
    <row r="74" spans="1:91" ht="15" customHeight="1" x14ac:dyDescent="0.3">
      <c r="A74">
        <f t="shared" si="42"/>
        <v>170</v>
      </c>
      <c r="B74">
        <f>GC_TCD!G77</f>
        <v>169.96180555555475</v>
      </c>
      <c r="C74">
        <f>GC_TCD!U77</f>
        <v>49.457466666666669</v>
      </c>
      <c r="D74">
        <f>GC_TCD!V77</f>
        <v>0.92545059475551117</v>
      </c>
      <c r="E74">
        <f>GC_TCD!W77</f>
        <v>50.542533333333331</v>
      </c>
      <c r="F74">
        <f>GC_TCD!X77</f>
        <v>0.92545059475551117</v>
      </c>
      <c r="G74">
        <f>GC_TCD!Y77</f>
        <v>0</v>
      </c>
      <c r="H74">
        <f>GC_TCD!Z77</f>
        <v>0</v>
      </c>
      <c r="I74" s="38">
        <f>GC_TCD!K77</f>
        <v>0.53610026791870335</v>
      </c>
      <c r="J74" s="42">
        <f>GC_TCD!AA77</f>
        <v>0.86706770116127996</v>
      </c>
      <c r="K74" s="42">
        <f>GC_TCD!AB77</f>
        <v>2.5172933259521026</v>
      </c>
      <c r="L74" s="105">
        <f>GC_TCD!AC77</f>
        <v>2.6890452482603439E-3</v>
      </c>
      <c r="M74" s="42">
        <f t="shared" si="37"/>
        <v>2.2956949901019922E-6</v>
      </c>
      <c r="N74">
        <f t="shared" si="38"/>
        <v>0.27095865661289997</v>
      </c>
      <c r="O74">
        <f t="shared" si="39"/>
        <v>0.26514161130580338</v>
      </c>
      <c r="P74">
        <f t="shared" si="40"/>
        <v>0</v>
      </c>
      <c r="Q74">
        <f t="shared" si="41"/>
        <v>450</v>
      </c>
      <c r="S74">
        <f t="shared" si="43"/>
        <v>131.9</v>
      </c>
      <c r="T74">
        <f>VFA!F71</f>
        <v>131.87569444444671</v>
      </c>
      <c r="U74">
        <f>VFA!K71</f>
        <v>18.791</v>
      </c>
      <c r="V74">
        <f>VFA!L71</f>
        <v>25.236312999999999</v>
      </c>
      <c r="W74" t="str">
        <f>IF(VFA!M71&lt;=0,"",VFA!M71)</f>
        <v/>
      </c>
      <c r="X74">
        <f>VFA!N71</f>
        <v>58.257774882000007</v>
      </c>
      <c r="Y74">
        <f t="shared" si="44"/>
        <v>292.5</v>
      </c>
      <c r="Z74" s="39">
        <f>VFA!Q71</f>
        <v>292.47083333333285</v>
      </c>
      <c r="AA74" s="39">
        <f>VFA!V71</f>
        <v>3.0070000000000001</v>
      </c>
      <c r="AB74" s="39" t="str">
        <f>VFA!W71</f>
        <v/>
      </c>
      <c r="AC74" s="39">
        <f>VFA!X71</f>
        <v>0.45400000000000001</v>
      </c>
      <c r="AD74" s="39">
        <f>VFA!Y71</f>
        <v>3.208469</v>
      </c>
      <c r="AE74">
        <f t="shared" si="45"/>
        <v>288.5</v>
      </c>
      <c r="AF74" s="39">
        <f>VFA!AB71</f>
        <v>288.47083333333285</v>
      </c>
      <c r="AG74" s="39">
        <f>IF(VFA!AG71&lt;=0,"",VFA!AG71)</f>
        <v>1.331</v>
      </c>
      <c r="AH74" s="39">
        <f>IF(VFA!AH71&lt;=0,"",VFA!AH71)</f>
        <v>1.0760000000000001</v>
      </c>
      <c r="AI74" s="45">
        <f>VFA!AI71</f>
        <v>1.343</v>
      </c>
      <c r="AJ74" s="45">
        <f>VFA!AJ71</f>
        <v>5.4908149999999996</v>
      </c>
      <c r="AK74" s="45"/>
      <c r="AL74" s="45"/>
      <c r="AM74" s="45"/>
      <c r="AN74" s="45"/>
      <c r="AO74" s="45"/>
      <c r="BT74" s="38"/>
      <c r="CK74">
        <f t="shared" si="46"/>
        <v>104</v>
      </c>
      <c r="CL74">
        <f>'Liquid Volume'!A71</f>
        <v>104.04305555555766</v>
      </c>
      <c r="CM74">
        <f>'Liquid Volume'!C71</f>
        <v>450</v>
      </c>
    </row>
    <row r="75" spans="1:91" ht="15" customHeight="1" x14ac:dyDescent="0.3">
      <c r="A75">
        <f t="shared" si="42"/>
        <v>171</v>
      </c>
      <c r="B75">
        <f>GC_TCD!G78</f>
        <v>170.95486111110949</v>
      </c>
      <c r="C75">
        <f>GC_TCD!U78</f>
        <v>53.119366666666657</v>
      </c>
      <c r="D75">
        <f>GC_TCD!V78</f>
        <v>0.22354754155063275</v>
      </c>
      <c r="E75">
        <f>GC_TCD!W78</f>
        <v>46.880633333333343</v>
      </c>
      <c r="F75">
        <f>GC_TCD!X78</f>
        <v>0.22354754155063275</v>
      </c>
      <c r="G75">
        <f>GC_TCD!Y78</f>
        <v>0</v>
      </c>
      <c r="H75">
        <f>GC_TCD!Z78</f>
        <v>0</v>
      </c>
      <c r="I75" s="38">
        <f>GC_TCD!K78</f>
        <v>0.31377326315815007</v>
      </c>
      <c r="J75" s="42">
        <f>GC_TCD!AA78</f>
        <v>0.47071645759746383</v>
      </c>
      <c r="K75" s="42">
        <f>GC_TCD!AB78</f>
        <v>1.3665961672184435</v>
      </c>
      <c r="L75" s="105">
        <f>GC_TCD!AC78</f>
        <v>1.4598373943408595E-3</v>
      </c>
      <c r="M75" s="42">
        <f t="shared" si="37"/>
        <v>1.2390545933712173E-6</v>
      </c>
      <c r="N75">
        <f t="shared" si="38"/>
        <v>0.14709889299920745</v>
      </c>
      <c r="O75">
        <f t="shared" si="39"/>
        <v>0.16667437015894263</v>
      </c>
      <c r="P75">
        <f t="shared" si="40"/>
        <v>0</v>
      </c>
      <c r="Q75">
        <f t="shared" si="41"/>
        <v>450</v>
      </c>
      <c r="S75">
        <f t="shared" si="43"/>
        <v>132.5</v>
      </c>
      <c r="T75">
        <f>VFA!F72</f>
        <v>132.47083333333285</v>
      </c>
      <c r="U75">
        <f>VFA!K72</f>
        <v>28.027999999999999</v>
      </c>
      <c r="V75">
        <f>VFA!L72</f>
        <v>44.648603999999999</v>
      </c>
      <c r="W75" t="str">
        <f>IF(VFA!M72&lt;=0,"",VFA!M72)</f>
        <v/>
      </c>
      <c r="X75">
        <f>VFA!N72</f>
        <v>97.503862455999993</v>
      </c>
      <c r="Y75">
        <f t="shared" si="44"/>
        <v>299.5</v>
      </c>
      <c r="Z75" s="39">
        <f>VFA!Q72</f>
        <v>299.47083333333285</v>
      </c>
      <c r="AA75" s="39">
        <f>VFA!V72</f>
        <v>5.3630000000000004</v>
      </c>
      <c r="AB75" s="39">
        <f>VFA!W72</f>
        <v>1.958</v>
      </c>
      <c r="AC75" s="39">
        <f>VFA!X72</f>
        <v>2.0659999999999998</v>
      </c>
      <c r="AD75" s="39">
        <f>VFA!Y72</f>
        <v>12.442721000000001</v>
      </c>
      <c r="AE75">
        <f t="shared" si="45"/>
        <v>292.5</v>
      </c>
      <c r="AF75" s="39">
        <f>VFA!AB72</f>
        <v>292.47083333333285</v>
      </c>
      <c r="AG75" s="39">
        <f>IF(VFA!AG72&lt;=0,"",VFA!AG72)</f>
        <v>99.414000000000001</v>
      </c>
      <c r="AH75" s="39" t="str">
        <f>IF(VFA!AH72&lt;=0,"",VFA!AH72)</f>
        <v/>
      </c>
      <c r="AI75" s="45">
        <f>VFA!AI72</f>
        <v>0.46200000000000002</v>
      </c>
      <c r="AJ75" s="45">
        <f>VFA!AJ72</f>
        <v>106.074738</v>
      </c>
      <c r="AK75" s="45"/>
      <c r="AL75" s="45"/>
      <c r="AM75" s="45"/>
      <c r="AN75" s="45"/>
      <c r="AO75" s="45"/>
      <c r="BT75" s="38"/>
      <c r="CK75">
        <f t="shared" si="46"/>
        <v>104.9</v>
      </c>
      <c r="CL75">
        <f>'Liquid Volume'!A72</f>
        <v>104.94305555555184</v>
      </c>
      <c r="CM75">
        <f>'Liquid Volume'!C72</f>
        <v>450</v>
      </c>
    </row>
    <row r="76" spans="1:91" ht="15" customHeight="1" x14ac:dyDescent="0.3">
      <c r="A76">
        <f t="shared" si="42"/>
        <v>173.9</v>
      </c>
      <c r="B76">
        <f>GC_TCD!G79</f>
        <v>173.93472222222044</v>
      </c>
      <c r="C76">
        <f>GC_TCD!U79</f>
        <v>29.873833333333334</v>
      </c>
      <c r="D76">
        <f>GC_TCD!V79</f>
        <v>0.22750367762595322</v>
      </c>
      <c r="E76">
        <f>GC_TCD!W79</f>
        <v>70.126166666666663</v>
      </c>
      <c r="F76">
        <f>GC_TCD!X79</f>
        <v>0.22750367762595641</v>
      </c>
      <c r="G76">
        <f>GC_TCD!Y79</f>
        <v>0</v>
      </c>
      <c r="H76">
        <f>GC_TCD!Z79</f>
        <v>0</v>
      </c>
      <c r="I76" s="38">
        <f>GC_TCD!K79</f>
        <v>0.31098350443305406</v>
      </c>
      <c r="J76" s="42">
        <f>GC_TCD!AA79</f>
        <v>0.6978585939986055</v>
      </c>
      <c r="K76" s="42">
        <f>GC_TCD!AB79</f>
        <v>2.0260410793507901</v>
      </c>
      <c r="L76" s="105">
        <f>GC_TCD!AC79</f>
        <v>2.1642754465842347E-3</v>
      </c>
      <c r="M76" s="42">
        <f t="shared" si="37"/>
        <v>1.8054840533689241E-6</v>
      </c>
      <c r="N76">
        <f t="shared" si="38"/>
        <v>0.21808081062456419</v>
      </c>
      <c r="O76">
        <f t="shared" si="39"/>
        <v>9.2902693808489853E-2</v>
      </c>
      <c r="P76">
        <f t="shared" si="40"/>
        <v>0</v>
      </c>
      <c r="Q76">
        <f t="shared" si="41"/>
        <v>450</v>
      </c>
      <c r="S76">
        <f t="shared" si="43"/>
        <v>133.5</v>
      </c>
      <c r="T76">
        <f>VFA!F73</f>
        <v>133.47083333333285</v>
      </c>
      <c r="U76">
        <f>VFA!K73</f>
        <v>38.274000000000001</v>
      </c>
      <c r="V76">
        <f>VFA!L73</f>
        <v>108.353694</v>
      </c>
      <c r="W76" t="str">
        <f>IF(VFA!M73&lt;=0,"",VFA!M73)</f>
        <v/>
      </c>
      <c r="X76">
        <f>VFA!N73</f>
        <v>204.88585071600002</v>
      </c>
      <c r="Y76">
        <f t="shared" si="44"/>
        <v>306.5</v>
      </c>
      <c r="Z76" s="39">
        <f>VFA!Q73</f>
        <v>306.47083333333285</v>
      </c>
      <c r="AA76" s="39">
        <f>VFA!V73</f>
        <v>5.4139999999999997</v>
      </c>
      <c r="AB76" s="39">
        <f>VFA!W73</f>
        <v>1.7609999999999999</v>
      </c>
      <c r="AC76" s="39">
        <f>VFA!X73</f>
        <v>1.806</v>
      </c>
      <c r="AD76" s="39">
        <f>VFA!Y73</f>
        <v>11.726199999999999</v>
      </c>
      <c r="AE76">
        <f t="shared" si="45"/>
        <v>299.5</v>
      </c>
      <c r="AF76" s="39">
        <f>VFA!AB73</f>
        <v>299.47083333333285</v>
      </c>
      <c r="AG76" s="39">
        <f>IF(VFA!AG73&lt;=0,"",VFA!AG73)</f>
        <v>3.5569999999999999</v>
      </c>
      <c r="AH76" s="39">
        <f>IF(VFA!AH73&lt;=0,"",VFA!AH73)</f>
        <v>1.74</v>
      </c>
      <c r="AI76" s="45">
        <f>VFA!AI73</f>
        <v>2.0409999999999999</v>
      </c>
      <c r="AJ76" s="45">
        <f>VFA!AJ73</f>
        <v>10.140217</v>
      </c>
      <c r="AK76" s="45"/>
      <c r="AL76" s="45"/>
      <c r="AM76" s="45"/>
      <c r="AN76" s="45"/>
      <c r="AO76" s="45"/>
      <c r="BT76" s="38"/>
      <c r="CK76">
        <f t="shared" si="46"/>
        <v>105.9</v>
      </c>
      <c r="CL76">
        <f>'Liquid Volume'!A73</f>
        <v>105.86666666666861</v>
      </c>
      <c r="CM76">
        <f>'Liquid Volume'!C73</f>
        <v>450</v>
      </c>
    </row>
    <row r="77" spans="1:91" ht="15" customHeight="1" x14ac:dyDescent="0.3">
      <c r="A77">
        <f t="shared" si="42"/>
        <v>174.9</v>
      </c>
      <c r="B77">
        <f>GC_TCD!G80</f>
        <v>174.93541666666715</v>
      </c>
      <c r="C77">
        <f>GC_TCD!U80</f>
        <v>14.595033333333333</v>
      </c>
      <c r="D77">
        <f>GC_TCD!V80</f>
        <v>0.16100001035196701</v>
      </c>
      <c r="E77">
        <f>GC_TCD!W80</f>
        <v>84.628766666666664</v>
      </c>
      <c r="F77">
        <f>GC_TCD!X80</f>
        <v>0.39404611828227765</v>
      </c>
      <c r="G77">
        <f>GC_TCD!Y80</f>
        <v>0.77619999999999989</v>
      </c>
      <c r="H77">
        <f>GC_TCD!Z80</f>
        <v>0.27986580712906023</v>
      </c>
      <c r="I77" s="38">
        <f>GC_TCD!K80</f>
        <v>0.34666474670289782</v>
      </c>
      <c r="J77" s="42">
        <f>GC_TCD!AA80</f>
        <v>0.9388099187289165</v>
      </c>
      <c r="K77" s="42">
        <f>GC_TCD!AB80</f>
        <v>2.7255771834065321</v>
      </c>
      <c r="L77" s="105">
        <f>GC_TCD!AC80</f>
        <v>2.9115400649759645E-3</v>
      </c>
      <c r="M77" s="42">
        <f t="shared" si="37"/>
        <v>2.4149738885236861E-6</v>
      </c>
      <c r="N77">
        <f t="shared" si="38"/>
        <v>0.29337809960278638</v>
      </c>
      <c r="O77">
        <f t="shared" si="39"/>
        <v>5.0595835336203501E-2</v>
      </c>
      <c r="P77">
        <f t="shared" si="40"/>
        <v>2.6908117639078927E-3</v>
      </c>
      <c r="Q77">
        <f t="shared" si="41"/>
        <v>450</v>
      </c>
      <c r="S77">
        <f t="shared" si="43"/>
        <v>135</v>
      </c>
      <c r="T77">
        <f>VFA!F74</f>
        <v>135.02430555555475</v>
      </c>
      <c r="U77">
        <f>VFA!K74</f>
        <v>39.622</v>
      </c>
      <c r="V77" t="str">
        <f>VFA!L74</f>
        <v/>
      </c>
      <c r="W77" t="str">
        <f>IF(VFA!M74&lt;=0,"",VFA!M74)</f>
        <v/>
      </c>
      <c r="X77">
        <f>VFA!N74</f>
        <v>42.276674</v>
      </c>
      <c r="Y77">
        <f t="shared" si="44"/>
        <v>309.5</v>
      </c>
      <c r="Z77" s="39">
        <f>VFA!Q74</f>
        <v>309.47083333333285</v>
      </c>
      <c r="AA77" s="39">
        <f>VFA!V74</f>
        <v>2.8679999999999999</v>
      </c>
      <c r="AB77" s="39" t="str">
        <f>VFA!W74</f>
        <v/>
      </c>
      <c r="AC77" s="39" t="str">
        <f>VFA!X74</f>
        <v/>
      </c>
      <c r="AD77" s="39">
        <f>VFA!Y74</f>
        <v>3.0601559999999997</v>
      </c>
      <c r="AE77">
        <f t="shared" si="45"/>
        <v>302.5</v>
      </c>
      <c r="AF77" s="39">
        <f>VFA!AB74</f>
        <v>302.47083333333285</v>
      </c>
      <c r="AG77" s="39">
        <f>IF(VFA!AG74&lt;=0,"",VFA!AG74)</f>
        <v>29.344000000000001</v>
      </c>
      <c r="AH77" s="39">
        <f>IF(VFA!AH74&lt;=0,"",VFA!AH74)</f>
        <v>1.359</v>
      </c>
      <c r="AI77" s="45">
        <f>VFA!AI74</f>
        <v>1.492</v>
      </c>
      <c r="AJ77" s="45">
        <f>VFA!AJ74</f>
        <v>36.080030000000001</v>
      </c>
      <c r="AK77" s="45"/>
      <c r="AL77" s="45"/>
      <c r="AM77" s="45"/>
      <c r="AN77" s="45"/>
      <c r="AO77" s="45"/>
      <c r="BT77" s="38"/>
      <c r="CK77">
        <f t="shared" si="46"/>
        <v>106.9</v>
      </c>
      <c r="CL77">
        <f>'Liquid Volume'!A74</f>
        <v>106.93541666666715</v>
      </c>
      <c r="CM77">
        <f>'Liquid Volume'!C74</f>
        <v>450</v>
      </c>
    </row>
    <row r="78" spans="1:91" ht="15" customHeight="1" x14ac:dyDescent="0.3">
      <c r="A78">
        <f t="shared" si="42"/>
        <v>175.9</v>
      </c>
      <c r="B78">
        <f>GC_TCD!G81</f>
        <v>175.90555555555329</v>
      </c>
      <c r="C78">
        <f>GC_TCD!U81</f>
        <v>12.393833333333333</v>
      </c>
      <c r="D78">
        <f>GC_TCD!V81</f>
        <v>0.15910956392792161</v>
      </c>
      <c r="E78">
        <f>GC_TCD!W81</f>
        <v>86.59793333333333</v>
      </c>
      <c r="F78">
        <f>GC_TCD!X81</f>
        <v>0.19537871770828302</v>
      </c>
      <c r="G78">
        <f>GC_TCD!Y81</f>
        <v>1.0083</v>
      </c>
      <c r="H78">
        <f>GC_TCD!Z81</f>
        <v>8.1660516775244524E-2</v>
      </c>
      <c r="I78" s="38">
        <f>GC_TCD!K81</f>
        <v>0.31800916249195121</v>
      </c>
      <c r="J78" s="42">
        <f>GC_TCD!AA81</f>
        <v>0.88124596009174916</v>
      </c>
      <c r="K78" s="42">
        <f>GC_TCD!AB81</f>
        <v>2.5584560131695944</v>
      </c>
      <c r="L78" s="105">
        <f>GC_TCD!AC81</f>
        <v>2.7330164165491875E-3</v>
      </c>
      <c r="M78" s="42">
        <f t="shared" si="37"/>
        <v>2.2543954384433753E-6</v>
      </c>
      <c r="N78">
        <f t="shared" si="38"/>
        <v>0.27538936252867158</v>
      </c>
      <c r="O78">
        <f t="shared" si="39"/>
        <v>3.9413525583981611E-2</v>
      </c>
      <c r="P78">
        <f t="shared" si="40"/>
        <v>3.2064863854063441E-3</v>
      </c>
      <c r="Q78">
        <f t="shared" si="41"/>
        <v>450</v>
      </c>
      <c r="S78">
        <f t="shared" si="43"/>
        <v>135.5</v>
      </c>
      <c r="T78">
        <f>VFA!F75</f>
        <v>135.47083333333285</v>
      </c>
      <c r="U78">
        <f>VFA!K75</f>
        <v>35.436999999999998</v>
      </c>
      <c r="V78" t="str">
        <f>VFA!L75</f>
        <v/>
      </c>
      <c r="W78" t="str">
        <f>IF(VFA!M75&lt;=0,"",VFA!M75)</f>
        <v/>
      </c>
      <c r="X78">
        <f>VFA!N75</f>
        <v>37.811278999999999</v>
      </c>
      <c r="Y78">
        <f t="shared" si="44"/>
        <v>313.5</v>
      </c>
      <c r="Z78" s="39">
        <f>VFA!Q75</f>
        <v>313.47083333333285</v>
      </c>
      <c r="AA78" s="39">
        <f>VFA!V75</f>
        <v>8.7710000000000008</v>
      </c>
      <c r="AB78" s="39" t="str">
        <f>VFA!W75</f>
        <v/>
      </c>
      <c r="AC78" s="39" t="str">
        <f>VFA!X75</f>
        <v/>
      </c>
      <c r="AD78" s="39">
        <f>VFA!Y75</f>
        <v>9.3586570000000009</v>
      </c>
      <c r="AE78">
        <f t="shared" si="45"/>
        <v>306.5</v>
      </c>
      <c r="AF78" s="39">
        <f>VFA!AB75</f>
        <v>306.47083333333285</v>
      </c>
      <c r="AG78" s="39">
        <f>IF(VFA!AG75&lt;=0,"",VFA!AG75)</f>
        <v>109.04900000000001</v>
      </c>
      <c r="AH78" s="39" t="str">
        <f>IF(VFA!AH75&lt;=0,"",VFA!AH75)</f>
        <v/>
      </c>
      <c r="AI78" s="45" t="str">
        <f>VFA!AI75</f>
        <v/>
      </c>
      <c r="AJ78" s="45">
        <f>VFA!AJ75</f>
        <v>116.355283</v>
      </c>
      <c r="AK78" s="45"/>
      <c r="AL78" s="45"/>
      <c r="AM78" s="45"/>
      <c r="AN78" s="45"/>
      <c r="AO78" s="45"/>
      <c r="BT78" s="38"/>
      <c r="CK78">
        <f t="shared" si="46"/>
        <v>107.9</v>
      </c>
      <c r="CL78">
        <f>'Liquid Volume'!A75</f>
        <v>107.87361111111386</v>
      </c>
      <c r="CM78">
        <f>'Liquid Volume'!C75</f>
        <v>450</v>
      </c>
    </row>
    <row r="79" spans="1:91" ht="15" customHeight="1" x14ac:dyDescent="0.3">
      <c r="A79">
        <f t="shared" si="42"/>
        <v>177</v>
      </c>
      <c r="B79">
        <f>GC_TCD!G82</f>
        <v>176.9506944444438</v>
      </c>
      <c r="C79">
        <f>GC_TCD!U82</f>
        <v>9.1757333333333317</v>
      </c>
      <c r="D79">
        <f>GC_TCD!V82</f>
        <v>0.10905229632306342</v>
      </c>
      <c r="E79">
        <f>GC_TCD!W82</f>
        <v>88.067666666666653</v>
      </c>
      <c r="F79">
        <f>GC_TCD!X82</f>
        <v>0.76527561919437415</v>
      </c>
      <c r="G79">
        <f>GC_TCD!Y82</f>
        <v>2.7566000000000002</v>
      </c>
      <c r="H79">
        <f>GC_TCD!Z82</f>
        <v>0.87197384708487635</v>
      </c>
      <c r="I79" s="38">
        <f>GC_TCD!K82</f>
        <v>0.31425425318102462</v>
      </c>
      <c r="J79" s="42">
        <f>GC_TCD!AA82</f>
        <v>0.88562044216731994</v>
      </c>
      <c r="K79" s="42">
        <f>GC_TCD!AB82</f>
        <v>2.5711561224212516</v>
      </c>
      <c r="L79" s="105">
        <f>GC_TCD!AC82</f>
        <v>2.746583039112984E-3</v>
      </c>
      <c r="M79" s="42">
        <f t="shared" si="37"/>
        <v>2.2522047750449371E-6</v>
      </c>
      <c r="N79">
        <f t="shared" si="38"/>
        <v>0.27675638817728748</v>
      </c>
      <c r="O79">
        <f t="shared" si="39"/>
        <v>2.8835132260548998E-2</v>
      </c>
      <c r="P79">
        <f t="shared" si="40"/>
        <v>8.662732743188125E-3</v>
      </c>
      <c r="Q79">
        <f t="shared" si="41"/>
        <v>450</v>
      </c>
      <c r="S79">
        <f t="shared" si="43"/>
        <v>138.9</v>
      </c>
      <c r="T79">
        <f>VFA!F76</f>
        <v>138.9020833333343</v>
      </c>
      <c r="U79">
        <f>VFA!K76</f>
        <v>16.640999999999998</v>
      </c>
      <c r="V79">
        <f>VFA!L76</f>
        <v>24.229295999999998</v>
      </c>
      <c r="W79" t="str">
        <f>IF(VFA!M76&lt;=0,"",VFA!M76)</f>
        <v/>
      </c>
      <c r="X79">
        <f>VFA!N76</f>
        <v>54.439101143999999</v>
      </c>
      <c r="Y79">
        <f t="shared" si="44"/>
        <v>316.5</v>
      </c>
      <c r="Z79" s="39">
        <f>VFA!Q76</f>
        <v>316.47083333333285</v>
      </c>
      <c r="AA79" s="39">
        <f>VFA!V76</f>
        <v>6.2530000000000001</v>
      </c>
      <c r="AB79" s="39" t="str">
        <f>VFA!W76</f>
        <v/>
      </c>
      <c r="AC79" s="39" t="str">
        <f>VFA!X76</f>
        <v/>
      </c>
      <c r="AD79" s="39">
        <f>VFA!Y76</f>
        <v>6.671951</v>
      </c>
      <c r="AE79">
        <f t="shared" si="45"/>
        <v>309.5</v>
      </c>
      <c r="AF79" s="39">
        <f>VFA!AB76</f>
        <v>309.47083333333285</v>
      </c>
      <c r="AG79" s="39">
        <f>IF(VFA!AG76&lt;=0,"",VFA!AG76)</f>
        <v>8.7420000000000009</v>
      </c>
      <c r="AH79" s="39" t="str">
        <f>IF(VFA!AH76&lt;=0,"",VFA!AH76)</f>
        <v/>
      </c>
      <c r="AI79" s="45" t="str">
        <f>VFA!AI76</f>
        <v/>
      </c>
      <c r="AJ79" s="45">
        <f>VFA!AJ76</f>
        <v>9.3277140000000003</v>
      </c>
      <c r="AK79" s="45"/>
      <c r="AL79" s="45"/>
      <c r="AM79" s="45"/>
      <c r="AN79" s="45"/>
      <c r="AO79" s="45"/>
      <c r="BT79" s="38"/>
      <c r="CK79">
        <f t="shared" si="46"/>
        <v>111.9</v>
      </c>
      <c r="CL79">
        <f>'Liquid Volume'!A76</f>
        <v>111.8659722222219</v>
      </c>
      <c r="CM79">
        <f>'Liquid Volume'!C76</f>
        <v>450</v>
      </c>
    </row>
    <row r="80" spans="1:91" ht="15" customHeight="1" x14ac:dyDescent="0.3">
      <c r="A80">
        <f t="shared" si="42"/>
        <v>177.9</v>
      </c>
      <c r="B80">
        <f>GC_TCD!G83</f>
        <v>177.92569444444234</v>
      </c>
      <c r="C80">
        <f>GC_TCD!U83</f>
        <v>8.1131900000000012</v>
      </c>
      <c r="D80">
        <f>GC_TCD!V83</f>
        <v>0.1263961522357388</v>
      </c>
      <c r="E80">
        <f>GC_TCD!W83</f>
        <v>88.793700000000001</v>
      </c>
      <c r="F80">
        <f>GC_TCD!X83</f>
        <v>0.29412901930954843</v>
      </c>
      <c r="G80">
        <f>GC_TCD!Y83</f>
        <v>3.0946333333333329</v>
      </c>
      <c r="H80">
        <f>GC_TCD!Z83</f>
        <v>0.18556751691320678</v>
      </c>
      <c r="I80" s="38">
        <f>GC_TCD!K83</f>
        <v>0.32924401709450951</v>
      </c>
      <c r="J80" s="42">
        <f>GC_TCD!AA83</f>
        <v>0.93551342338191212</v>
      </c>
      <c r="K80" s="42">
        <f>GC_TCD!AB83</f>
        <v>2.7160067130442611</v>
      </c>
      <c r="L80" s="105">
        <f>GC_TCD!AC83</f>
        <v>2.9013166128315673E-3</v>
      </c>
      <c r="M80" s="42">
        <f t="shared" si="37"/>
        <v>2.3660497256247187E-6</v>
      </c>
      <c r="N80">
        <f t="shared" si="38"/>
        <v>0.2923479448068475</v>
      </c>
      <c r="O80">
        <f t="shared" si="39"/>
        <v>2.6712192670510039E-2</v>
      </c>
      <c r="P80">
        <f t="shared" si="40"/>
        <v>1.0188895101012388E-2</v>
      </c>
      <c r="Q80">
        <f t="shared" si="41"/>
        <v>450</v>
      </c>
      <c r="S80">
        <f t="shared" si="43"/>
        <v>139.5</v>
      </c>
      <c r="T80">
        <f>VFA!F77</f>
        <v>139.47083333333285</v>
      </c>
      <c r="U80">
        <f>VFA!K77</f>
        <v>17.292000000000002</v>
      </c>
      <c r="V80">
        <f>VFA!L77</f>
        <v>34.826087999999999</v>
      </c>
      <c r="W80" t="str">
        <f>IF(VFA!M77&lt;=0,"",VFA!M77)</f>
        <v/>
      </c>
      <c r="X80">
        <f>VFA!N77</f>
        <v>71.177261232000006</v>
      </c>
      <c r="Y80">
        <f t="shared" si="44"/>
        <v>320.5</v>
      </c>
      <c r="Z80" s="39">
        <f>VFA!Q77</f>
        <v>320.47083333333285</v>
      </c>
      <c r="AA80" s="39">
        <f>VFA!V77</f>
        <v>5.7350000000000003</v>
      </c>
      <c r="AB80" s="39" t="str">
        <f>VFA!W77</f>
        <v/>
      </c>
      <c r="AC80" s="39" t="str">
        <f>VFA!X77</f>
        <v/>
      </c>
      <c r="AD80" s="39">
        <f>VFA!Y77</f>
        <v>6.1192450000000003</v>
      </c>
      <c r="AE80">
        <f t="shared" si="45"/>
        <v>313.5</v>
      </c>
      <c r="AF80" s="39">
        <f>VFA!AB77</f>
        <v>313.47083333333285</v>
      </c>
      <c r="AG80" s="39">
        <f>IF(VFA!AG77&lt;=0,"",VFA!AG77)</f>
        <v>90.408000000000001</v>
      </c>
      <c r="AH80" s="39">
        <f>IF(VFA!AH77&lt;=0,"",VFA!AH77)</f>
        <v>0.60399999999999998</v>
      </c>
      <c r="AI80" s="45" t="str">
        <f>VFA!AI77</f>
        <v/>
      </c>
      <c r="AJ80" s="45">
        <f>VFA!AJ77</f>
        <v>96.465335999999994</v>
      </c>
      <c r="AK80" s="45"/>
      <c r="AL80" s="45"/>
      <c r="AM80" s="45"/>
      <c r="AN80" s="45"/>
      <c r="AO80" s="45"/>
      <c r="BT80" s="38"/>
      <c r="CK80">
        <f t="shared" si="46"/>
        <v>112.10000000000001</v>
      </c>
      <c r="CL80">
        <f>'Liquid Volume'!A77</f>
        <v>112.07361111111095</v>
      </c>
      <c r="CM80">
        <f>'Liquid Volume'!C77</f>
        <v>450</v>
      </c>
    </row>
    <row r="81" spans="1:91" ht="15" customHeight="1" x14ac:dyDescent="0.3">
      <c r="A81">
        <f t="shared" si="42"/>
        <v>180.9</v>
      </c>
      <c r="B81">
        <f>GC_TCD!G84</f>
        <v>180.89583333333576</v>
      </c>
      <c r="C81">
        <f>GC_TCD!U84</f>
        <v>6.6985666666666672</v>
      </c>
      <c r="D81">
        <f>GC_TCD!V84</f>
        <v>7.1833859240147319E-2</v>
      </c>
      <c r="E81">
        <f>GC_TCD!W84</f>
        <v>88.337933333333339</v>
      </c>
      <c r="F81">
        <f>GC_TCD!X84</f>
        <v>0.21261487091296391</v>
      </c>
      <c r="G81">
        <f>GC_TCD!Y84</f>
        <v>4.9634999999999998</v>
      </c>
      <c r="H81">
        <f>GC_TCD!Z84</f>
        <v>0.28273056078181563</v>
      </c>
      <c r="I81" s="38">
        <f>GC_TCD!K84</f>
        <v>0.30142939521754147</v>
      </c>
      <c r="J81" s="42">
        <f>GC_TCD!AA84</f>
        <v>0.85208479422189332</v>
      </c>
      <c r="K81" s="42">
        <f>GC_TCD!AB84</f>
        <v>2.4737945638700132</v>
      </c>
      <c r="L81" s="105">
        <f>GC_TCD!AC84</f>
        <v>2.642578617504149E-3</v>
      </c>
      <c r="M81" s="42">
        <f t="shared" si="37"/>
        <v>2.119662738131135E-6</v>
      </c>
      <c r="N81">
        <f t="shared" si="38"/>
        <v>0.26627649819434163</v>
      </c>
      <c r="O81">
        <f t="shared" si="39"/>
        <v>2.0191448991577161E-2</v>
      </c>
      <c r="P81">
        <f t="shared" si="40"/>
        <v>1.496144803162267E-2</v>
      </c>
      <c r="Q81">
        <f t="shared" si="41"/>
        <v>450</v>
      </c>
      <c r="S81">
        <f t="shared" si="43"/>
        <v>140.5</v>
      </c>
      <c r="T81">
        <f>VFA!F78</f>
        <v>140.47083333333285</v>
      </c>
      <c r="U81">
        <f>VFA!K78</f>
        <v>14.1</v>
      </c>
      <c r="V81">
        <f>VFA!L78</f>
        <v>66.086700000000008</v>
      </c>
      <c r="W81" t="str">
        <f>IF(VFA!M78&lt;=0,"",VFA!M78)</f>
        <v/>
      </c>
      <c r="X81">
        <f>VFA!N78</f>
        <v>115.09996380000001</v>
      </c>
      <c r="Y81">
        <f t="shared" si="44"/>
        <v>323.5</v>
      </c>
      <c r="Z81" s="39">
        <f>VFA!Q78</f>
        <v>323.47083333333285</v>
      </c>
      <c r="AA81" s="39">
        <f>VFA!V78</f>
        <v>6.3159999999999998</v>
      </c>
      <c r="AB81" s="39" t="str">
        <f>VFA!W78</f>
        <v/>
      </c>
      <c r="AC81" s="39" t="str">
        <f>VFA!X78</f>
        <v/>
      </c>
      <c r="AD81" s="39">
        <f>VFA!Y78</f>
        <v>6.7391719999999999</v>
      </c>
      <c r="AE81">
        <f t="shared" si="45"/>
        <v>316.5</v>
      </c>
      <c r="AF81" s="39">
        <f>VFA!AB78</f>
        <v>316.47083333333285</v>
      </c>
      <c r="AG81" s="39">
        <f>IF(VFA!AG78&lt;=0,"",VFA!AG78)</f>
        <v>39.002000000000002</v>
      </c>
      <c r="AH81" s="39">
        <f>IF(VFA!AH78&lt;=0,"",VFA!AH78)</f>
        <v>0.48899999999999999</v>
      </c>
      <c r="AI81" s="45" t="str">
        <f>VFA!AI78</f>
        <v/>
      </c>
      <c r="AJ81" s="45">
        <f>VFA!AJ78</f>
        <v>41.615133999999998</v>
      </c>
      <c r="AM81" s="45"/>
      <c r="AN81" s="45"/>
      <c r="AO81" s="45"/>
      <c r="BT81" s="38"/>
      <c r="CK81">
        <f t="shared" si="46"/>
        <v>112.2</v>
      </c>
      <c r="CL81">
        <f>'Liquid Volume'!A78</f>
        <v>112.16180555555184</v>
      </c>
      <c r="CM81">
        <f>'Liquid Volume'!C78</f>
        <v>450</v>
      </c>
    </row>
    <row r="82" spans="1:91" ht="15" customHeight="1" x14ac:dyDescent="0.3">
      <c r="A82">
        <f t="shared" si="42"/>
        <v>181.9</v>
      </c>
      <c r="B82">
        <f>GC_TCD!G85</f>
        <v>181.87361111111386</v>
      </c>
      <c r="C82">
        <f>GC_TCD!U85</f>
        <v>4.9340333333333328</v>
      </c>
      <c r="D82">
        <f>GC_TCD!V85</f>
        <v>8.1291655988381437E-2</v>
      </c>
      <c r="E82">
        <f>GC_TCD!W85</f>
        <v>91.960399999999993</v>
      </c>
      <c r="F82">
        <f>GC_TCD!X85</f>
        <v>0.12104003469927044</v>
      </c>
      <c r="G82">
        <f>GC_TCD!Y85</f>
        <v>3.1055333333333337</v>
      </c>
      <c r="H82">
        <f>GC_TCD!Z85</f>
        <v>0.12871380397351839</v>
      </c>
      <c r="I82" s="38">
        <f>GC_TCD!K85</f>
        <v>0.30351342329535314</v>
      </c>
      <c r="J82" s="42">
        <f>GC_TCD!AA85</f>
        <v>0.8931589059715197</v>
      </c>
      <c r="K82" s="42">
        <f>GC_TCD!AB85</f>
        <v>2.5930419850786057</v>
      </c>
      <c r="L82" s="105">
        <f>GC_TCD!AC85</f>
        <v>2.7699621480853469E-3</v>
      </c>
      <c r="M82" s="42">
        <f t="shared" si="37"/>
        <v>2.2098945813619655E-6</v>
      </c>
      <c r="N82">
        <f t="shared" si="38"/>
        <v>0.27911215811609991</v>
      </c>
      <c r="O82">
        <f t="shared" si="39"/>
        <v>1.4975453476533821E-2</v>
      </c>
      <c r="P82">
        <f t="shared" si="40"/>
        <v>9.4257105315782904E-3</v>
      </c>
      <c r="Q82">
        <f t="shared" si="41"/>
        <v>450</v>
      </c>
      <c r="S82">
        <f t="shared" si="43"/>
        <v>141.9</v>
      </c>
      <c r="T82">
        <f>VFA!F79</f>
        <v>141.92638888888905</v>
      </c>
      <c r="U82">
        <f>VFA!K79</f>
        <v>12.412000000000001</v>
      </c>
      <c r="V82">
        <f>VFA!L79</f>
        <v>48.419212000000002</v>
      </c>
      <c r="W82" t="str">
        <f>IF(VFA!M79&lt;=0,"",VFA!M79)</f>
        <v/>
      </c>
      <c r="X82">
        <f>VFA!N79</f>
        <v>86.550290968000013</v>
      </c>
      <c r="Y82">
        <f t="shared" si="44"/>
        <v>327.5</v>
      </c>
      <c r="Z82" s="39">
        <f>VFA!Q79</f>
        <v>327.47083333333285</v>
      </c>
      <c r="AA82" s="39">
        <f>VFA!V79</f>
        <v>3.42</v>
      </c>
      <c r="AB82" s="39" t="str">
        <f>VFA!W79</f>
        <v/>
      </c>
      <c r="AC82" s="39" t="str">
        <f>VFA!X79</f>
        <v/>
      </c>
      <c r="AD82" s="39">
        <f>VFA!Y79</f>
        <v>3.6491399999999996</v>
      </c>
      <c r="AE82">
        <f t="shared" si="45"/>
        <v>320.5</v>
      </c>
      <c r="AF82" s="39">
        <f>VFA!AB79</f>
        <v>320.47083333333285</v>
      </c>
      <c r="AG82" s="39">
        <f>IF(VFA!AG79&lt;=0,"",VFA!AG79)</f>
        <v>125.742</v>
      </c>
      <c r="AH82" s="39">
        <f>IF(VFA!AH79&lt;=0,"",VFA!AH79)</f>
        <v>0.70099999999999996</v>
      </c>
      <c r="AI82" s="45" t="str">
        <f>VFA!AI79</f>
        <v/>
      </c>
      <c r="AJ82" s="45">
        <f>VFA!AJ79</f>
        <v>134.16671399999998</v>
      </c>
      <c r="AM82" s="45"/>
      <c r="AN82" s="45"/>
      <c r="AO82" s="45"/>
      <c r="BT82" s="38"/>
      <c r="CK82">
        <f t="shared" si="46"/>
        <v>112.9</v>
      </c>
      <c r="CL82">
        <f>'Liquid Volume'!A79</f>
        <v>112.85972222222335</v>
      </c>
      <c r="CM82">
        <f>'Liquid Volume'!C79</f>
        <v>450</v>
      </c>
    </row>
    <row r="83" spans="1:91" ht="15" customHeight="1" x14ac:dyDescent="0.3">
      <c r="A83">
        <f t="shared" si="42"/>
        <v>182.9</v>
      </c>
      <c r="B83">
        <f>GC_TCD!G86</f>
        <v>182.9013888888876</v>
      </c>
      <c r="C83">
        <f>GC_TCD!U86</f>
        <v>5.418566666666667</v>
      </c>
      <c r="D83">
        <f>GC_TCD!V86</f>
        <v>8.6115290937982356E-2</v>
      </c>
      <c r="E83">
        <f>GC_TCD!W86</f>
        <v>91.56883333333333</v>
      </c>
      <c r="F83">
        <f>GC_TCD!X86</f>
        <v>7.7860794584518264E-2</v>
      </c>
      <c r="G83">
        <f>GC_TCD!Y86</f>
        <v>3.0125999999999995</v>
      </c>
      <c r="H83">
        <f>GC_TCD!Z86</f>
        <v>0.14610092402171854</v>
      </c>
      <c r="I83" s="38">
        <f>GC_TCD!K86</f>
        <v>0.29703412162278986</v>
      </c>
      <c r="J83" s="42">
        <f>GC_TCD!AA86</f>
        <v>0.87037017527008986</v>
      </c>
      <c r="K83" s="42">
        <f>GC_TCD!AB86</f>
        <v>2.5268811540099381</v>
      </c>
      <c r="L83" s="105">
        <f>GC_TCD!AC86</f>
        <v>2.6992872423951784E-3</v>
      </c>
      <c r="M83" s="42">
        <f t="shared" si="37"/>
        <v>2.1414084455612165E-6</v>
      </c>
      <c r="N83">
        <f t="shared" si="38"/>
        <v>0.27199067977190305</v>
      </c>
      <c r="O83">
        <f t="shared" si="39"/>
        <v>1.6094991902878619E-2</v>
      </c>
      <c r="P83">
        <f t="shared" si="40"/>
        <v>8.9484499480081657E-3</v>
      </c>
      <c r="Q83">
        <f t="shared" si="41"/>
        <v>450</v>
      </c>
      <c r="S83">
        <f t="shared" si="43"/>
        <v>142.5</v>
      </c>
      <c r="T83">
        <f>VFA!F80</f>
        <v>142.47083333333285</v>
      </c>
      <c r="U83">
        <f>VFA!K80</f>
        <v>10.757</v>
      </c>
      <c r="V83" t="str">
        <f>VFA!L80</f>
        <v/>
      </c>
      <c r="W83" t="str">
        <f>IF(VFA!M80&lt;=0,"",VFA!M80)</f>
        <v/>
      </c>
      <c r="X83">
        <f>VFA!N80</f>
        <v>11.477718999999999</v>
      </c>
      <c r="Y83">
        <f t="shared" si="44"/>
        <v>330.5</v>
      </c>
      <c r="Z83" s="39">
        <f>VFA!Q80</f>
        <v>330.47083333333285</v>
      </c>
      <c r="AA83" s="39">
        <f>VFA!V80</f>
        <v>7.2619999999999996</v>
      </c>
      <c r="AB83" s="39" t="str">
        <f>VFA!W80</f>
        <v/>
      </c>
      <c r="AC83" s="39" t="str">
        <f>VFA!X80</f>
        <v/>
      </c>
      <c r="AD83" s="39">
        <f>VFA!Y80</f>
        <v>7.7485539999999995</v>
      </c>
      <c r="AE83">
        <f t="shared" si="45"/>
        <v>323.5</v>
      </c>
      <c r="AF83" s="39">
        <f>VFA!AB80</f>
        <v>323.47083333333285</v>
      </c>
      <c r="AG83" s="39">
        <f>IF(VFA!AG80&lt;=0,"",VFA!AG80)</f>
        <v>21.797999999999998</v>
      </c>
      <c r="AH83" s="39" t="str">
        <f>IF(VFA!AH80&lt;=0,"",VFA!AH80)</f>
        <v/>
      </c>
      <c r="AI83" s="45" t="str">
        <f>VFA!AI80</f>
        <v/>
      </c>
      <c r="AJ83" s="45">
        <f>VFA!AJ80</f>
        <v>23.258465999999999</v>
      </c>
      <c r="CK83">
        <f t="shared" si="46"/>
        <v>112.9</v>
      </c>
      <c r="CL83">
        <f>'Liquid Volume'!A80</f>
        <v>112.9111111111124</v>
      </c>
      <c r="CM83">
        <f>'Liquid Volume'!C80</f>
        <v>450</v>
      </c>
    </row>
    <row r="84" spans="1:91" ht="15" customHeight="1" x14ac:dyDescent="0.3">
      <c r="A84">
        <f t="shared" si="42"/>
        <v>184</v>
      </c>
      <c r="B84">
        <f>GC_TCD!G87</f>
        <v>183.99166666666861</v>
      </c>
      <c r="C84">
        <f>GC_TCD!U87</f>
        <v>4.0443666666666669</v>
      </c>
      <c r="D84">
        <f>GC_TCD!V87</f>
        <v>5.7667350670317155E-2</v>
      </c>
      <c r="E84">
        <f>GC_TCD!W87</f>
        <v>93.164333333333332</v>
      </c>
      <c r="F84">
        <f>GC_TCD!X87</f>
        <v>7.1459522341907028E-2</v>
      </c>
      <c r="G84">
        <f>GC_TCD!Y87</f>
        <v>2.7912999999999997</v>
      </c>
      <c r="H84">
        <f>GC_TCD!Z87</f>
        <v>7.6338522385490312E-2</v>
      </c>
      <c r="I84" s="38">
        <f>GC_TCD!K87</f>
        <v>0.29796794871705928</v>
      </c>
      <c r="J84" s="42">
        <f>GC_TCD!AA87</f>
        <v>0.88831952950162185</v>
      </c>
      <c r="K84" s="42">
        <f>GC_TCD!AB87</f>
        <v>2.5789921824240634</v>
      </c>
      <c r="L84" s="105">
        <f>GC_TCD!AC87</f>
        <v>2.7549537441470006E-3</v>
      </c>
      <c r="M84" s="42">
        <f t="shared" si="37"/>
        <v>2.1726189860540367E-6</v>
      </c>
      <c r="N84">
        <f t="shared" si="38"/>
        <v>0.27759985296925682</v>
      </c>
      <c r="O84">
        <f t="shared" si="39"/>
        <v>1.2050916395263175E-2</v>
      </c>
      <c r="P84">
        <f t="shared" si="40"/>
        <v>8.3171793525392747E-3</v>
      </c>
      <c r="Q84">
        <f t="shared" si="41"/>
        <v>450</v>
      </c>
      <c r="S84">
        <f t="shared" si="43"/>
        <v>145.9</v>
      </c>
      <c r="T84">
        <f>VFA!F81</f>
        <v>145.90416666666715</v>
      </c>
      <c r="U84">
        <f>VFA!K81</f>
        <v>13.563000000000001</v>
      </c>
      <c r="V84">
        <f>VFA!L81</f>
        <v>37.094805000000001</v>
      </c>
      <c r="W84" t="str">
        <f>IF(VFA!M81&lt;=0,"",VFA!M81)</f>
        <v/>
      </c>
      <c r="X84">
        <f>VFA!N81</f>
        <v>70.633255770000005</v>
      </c>
      <c r="AE84">
        <f t="shared" si="45"/>
        <v>327.5</v>
      </c>
      <c r="AF84" s="39">
        <f>VFA!AB81</f>
        <v>327.47083333333285</v>
      </c>
      <c r="AG84" s="39">
        <f>IF(VFA!AG81&lt;=0,"",VFA!AG81)</f>
        <v>143.124</v>
      </c>
      <c r="AH84" s="39" t="str">
        <f>IF(VFA!AH81&lt;=0,"",VFA!AH81)</f>
        <v/>
      </c>
      <c r="AI84" s="45" t="str">
        <f>VFA!AI81</f>
        <v/>
      </c>
      <c r="AJ84" s="45">
        <f>VFA!AJ81</f>
        <v>152.71330799999998</v>
      </c>
      <c r="CK84">
        <f t="shared" si="46"/>
        <v>113.9</v>
      </c>
      <c r="CL84">
        <f>'Liquid Volume'!A81</f>
        <v>113.86388888888905</v>
      </c>
      <c r="CM84">
        <f>'Liquid Volume'!C81</f>
        <v>450</v>
      </c>
    </row>
    <row r="85" spans="1:91" ht="15" customHeight="1" x14ac:dyDescent="0.3">
      <c r="A85">
        <f t="shared" si="42"/>
        <v>184.9</v>
      </c>
      <c r="B85">
        <f>GC_TCD!G88</f>
        <v>184.90833333333285</v>
      </c>
      <c r="C85">
        <f>GC_TCD!U88</f>
        <v>3.7964333333333333</v>
      </c>
      <c r="D85">
        <f>GC_TCD!V88</f>
        <v>0.13676934354354905</v>
      </c>
      <c r="E85">
        <f>GC_TCD!W88</f>
        <v>92.946966666666654</v>
      </c>
      <c r="F85">
        <f>GC_TCD!X88</f>
        <v>0.20101269445816364</v>
      </c>
      <c r="G85">
        <f>GC_TCD!Y88</f>
        <v>3.2565666666666666</v>
      </c>
      <c r="H85">
        <f>GC_TCD!Z88</f>
        <v>0.16902086656189322</v>
      </c>
      <c r="I85" s="38">
        <f>GC_TCD!K88</f>
        <v>0.30718939394020672</v>
      </c>
      <c r="J85" s="42">
        <f>GC_TCD!AA88</f>
        <v>0.9136743154852458</v>
      </c>
      <c r="K85" s="42">
        <f>GC_TCD!AB88</f>
        <v>2.6526028514087781</v>
      </c>
      <c r="L85" s="105">
        <f>GC_TCD!AC88</f>
        <v>2.833586781311927E-3</v>
      </c>
      <c r="M85" s="42">
        <f t="shared" si="37"/>
        <v>2.2235527980622559E-6</v>
      </c>
      <c r="N85">
        <f t="shared" si="38"/>
        <v>0.28552322358913929</v>
      </c>
      <c r="O85">
        <f t="shared" si="39"/>
        <v>1.1662240548010655E-2</v>
      </c>
      <c r="P85">
        <f t="shared" si="40"/>
        <v>1.0003827406592124E-2</v>
      </c>
      <c r="Q85">
        <f t="shared" si="41"/>
        <v>450</v>
      </c>
      <c r="S85">
        <f t="shared" si="43"/>
        <v>146.5</v>
      </c>
      <c r="T85">
        <f>VFA!F82</f>
        <v>146.47083333333285</v>
      </c>
      <c r="U85">
        <f>VFA!K82</f>
        <v>17.702000000000002</v>
      </c>
      <c r="V85">
        <f>VFA!L82</f>
        <v>98.476226000000011</v>
      </c>
      <c r="W85" t="str">
        <f>IF(VFA!M82&lt;=0,"",VFA!M82)</f>
        <v/>
      </c>
      <c r="X85">
        <f>VFA!N82</f>
        <v>167.98104016400004</v>
      </c>
      <c r="AE85">
        <f t="shared" si="45"/>
        <v>330.5</v>
      </c>
      <c r="AF85" s="39">
        <f>VFA!AB82</f>
        <v>330.47083333333285</v>
      </c>
      <c r="AG85" s="39">
        <f>IF(VFA!AG82&lt;=0,"",VFA!AG82)</f>
        <v>17.792999999999999</v>
      </c>
      <c r="AH85" s="39" t="str">
        <f>IF(VFA!AH82&lt;=0,"",VFA!AH82)</f>
        <v/>
      </c>
      <c r="AI85" s="45" t="str">
        <f>VFA!AI82</f>
        <v/>
      </c>
      <c r="AJ85" s="45">
        <f>VFA!AJ82</f>
        <v>18.985130999999999</v>
      </c>
      <c r="CK85">
        <f t="shared" si="46"/>
        <v>113.9</v>
      </c>
      <c r="CL85">
        <f>'Liquid Volume'!A82</f>
        <v>113.89791666666861</v>
      </c>
      <c r="CM85">
        <f>'Liquid Volume'!C82</f>
        <v>450</v>
      </c>
    </row>
    <row r="86" spans="1:91" ht="15" customHeight="1" x14ac:dyDescent="0.3">
      <c r="A86">
        <f t="shared" si="42"/>
        <v>187.8</v>
      </c>
      <c r="B86">
        <f>GC_TCD!G89</f>
        <v>187.82847222222335</v>
      </c>
      <c r="C86">
        <f>GC_TCD!U89</f>
        <v>3.2489000000000003</v>
      </c>
      <c r="D86">
        <f>GC_TCD!V89</f>
        <v>0.12495763282008834</v>
      </c>
      <c r="E86">
        <f>GC_TCD!W89</f>
        <v>94.007199999999997</v>
      </c>
      <c r="F86">
        <f>GC_TCD!X89</f>
        <v>0.18488309819991366</v>
      </c>
      <c r="G86">
        <f>GC_TCD!Y89</f>
        <v>2.7439</v>
      </c>
      <c r="H86">
        <f>GC_TCD!Z89</f>
        <v>0.11292975692880951</v>
      </c>
      <c r="I86" s="38">
        <f>GC_TCD!K89</f>
        <v>0.31225386628581325</v>
      </c>
      <c r="J86" s="42">
        <f>GC_TCD!AA89</f>
        <v>0.93933157307851844</v>
      </c>
      <c r="K86" s="42">
        <f>GC_TCD!AB89</f>
        <v>2.7270916637763438</v>
      </c>
      <c r="L86" s="105">
        <f>GC_TCD!AC89</f>
        <v>2.913157876535722E-3</v>
      </c>
      <c r="M86" s="42">
        <f t="shared" si="37"/>
        <v>2.2504533145817746E-6</v>
      </c>
      <c r="N86">
        <f t="shared" si="38"/>
        <v>0.29354111658703702</v>
      </c>
      <c r="O86">
        <f t="shared" si="39"/>
        <v>1.0144815861759788E-2</v>
      </c>
      <c r="P86">
        <f t="shared" si="40"/>
        <v>8.5679338370164299E-3</v>
      </c>
      <c r="Q86">
        <f t="shared" si="41"/>
        <v>450</v>
      </c>
      <c r="S86">
        <f t="shared" si="43"/>
        <v>147.5</v>
      </c>
      <c r="T86">
        <f>VFA!F83</f>
        <v>147.47083333333285</v>
      </c>
      <c r="U86">
        <f>VFA!K83</f>
        <v>18.693000000000001</v>
      </c>
      <c r="V86">
        <f>VFA!L83</f>
        <v>112.15800000000002</v>
      </c>
      <c r="W86">
        <f>IF(VFA!M83&lt;=0,"",VFA!M83)</f>
        <v>4.3129999999999997</v>
      </c>
      <c r="X86">
        <f>VFA!N83</f>
        <v>197.59367700000004</v>
      </c>
      <c r="AJ86" s="45"/>
      <c r="CK86">
        <f t="shared" si="46"/>
        <v>114.9</v>
      </c>
      <c r="CL86">
        <f>'Liquid Volume'!A83</f>
        <v>114.90763888888614</v>
      </c>
      <c r="CM86">
        <f>'Liquid Volume'!C83</f>
        <v>450</v>
      </c>
    </row>
    <row r="87" spans="1:91" ht="15" customHeight="1" x14ac:dyDescent="0.3">
      <c r="A87">
        <f t="shared" si="42"/>
        <v>188.9</v>
      </c>
      <c r="B87">
        <f>GC_TCD!G90</f>
        <v>188.94930555555766</v>
      </c>
      <c r="C87">
        <f>GC_TCD!U90</f>
        <v>3.1720333333333333</v>
      </c>
      <c r="D87">
        <f>GC_TCD!V90</f>
        <v>3.9164056650624599E-2</v>
      </c>
      <c r="E87">
        <f>GC_TCD!W90</f>
        <v>94.854466666666667</v>
      </c>
      <c r="F87">
        <f>GC_TCD!X90</f>
        <v>0.14200853260749327</v>
      </c>
      <c r="G87">
        <f>GC_TCD!Y90</f>
        <v>1.9735333333333334</v>
      </c>
      <c r="H87">
        <f>GC_TCD!Z90</f>
        <v>0.12355461680298852</v>
      </c>
      <c r="I87" s="38">
        <f>GC_TCD!K90</f>
        <v>0.34089867256607242</v>
      </c>
      <c r="J87" s="42">
        <f>GC_TCD!AA90</f>
        <v>1.0347443767561417</v>
      </c>
      <c r="K87" s="42">
        <f>GC_TCD!AB90</f>
        <v>3.0040965776791215</v>
      </c>
      <c r="L87" s="105">
        <f>GC_TCD!AC90</f>
        <v>3.2090625054463392E-3</v>
      </c>
      <c r="M87" s="42">
        <f t="shared" si="37"/>
        <v>2.4643380835467052E-6</v>
      </c>
      <c r="N87">
        <f t="shared" si="38"/>
        <v>0.32335761773629429</v>
      </c>
      <c r="O87">
        <f t="shared" si="39"/>
        <v>1.0813419526686671E-2</v>
      </c>
      <c r="P87">
        <f t="shared" si="40"/>
        <v>6.7277489359822947E-3</v>
      </c>
      <c r="Q87">
        <f t="shared" si="41"/>
        <v>450</v>
      </c>
      <c r="S87">
        <f t="shared" si="43"/>
        <v>148.80000000000001</v>
      </c>
      <c r="T87">
        <f>VFA!F84</f>
        <v>148.84166666666715</v>
      </c>
      <c r="U87">
        <f>VFA!K84</f>
        <v>16.369</v>
      </c>
      <c r="V87">
        <f>VFA!L84</f>
        <v>106.103858</v>
      </c>
      <c r="W87">
        <f>IF(VFA!M84&lt;=0,"",VFA!M84)</f>
        <v>4.62</v>
      </c>
      <c r="X87">
        <f>VFA!N84</f>
        <v>186.50612401199999</v>
      </c>
      <c r="AJ87" s="45"/>
      <c r="CK87">
        <f t="shared" si="46"/>
        <v>117.9</v>
      </c>
      <c r="CL87">
        <f>'Liquid Volume'!A84</f>
        <v>117.88263888889196</v>
      </c>
      <c r="CM87">
        <f>'Liquid Volume'!C84</f>
        <v>450</v>
      </c>
    </row>
    <row r="88" spans="1:91" ht="15" customHeight="1" x14ac:dyDescent="0.3">
      <c r="A88">
        <f t="shared" si="42"/>
        <v>189.9</v>
      </c>
      <c r="B88">
        <f>GC_TCD!G91</f>
        <v>189.88055555555184</v>
      </c>
      <c r="C88">
        <f>GC_TCD!U91</f>
        <v>3.5070333333333337</v>
      </c>
      <c r="D88">
        <f>GC_TCD!V91</f>
        <v>9.1921506370018377E-2</v>
      </c>
      <c r="E88">
        <f>GC_TCD!W91</f>
        <v>94.832299999999989</v>
      </c>
      <c r="F88">
        <f>GC_TCD!X91</f>
        <v>0.2308428253162729</v>
      </c>
      <c r="G88">
        <f>GC_TCD!Y91</f>
        <v>1.6606666666666667</v>
      </c>
      <c r="H88">
        <f>GC_TCD!Z91</f>
        <v>0.29792784920737686</v>
      </c>
      <c r="I88" s="38">
        <f>GC_TCD!K91</f>
        <v>0.30348214016770225</v>
      </c>
      <c r="J88" s="42">
        <f>GC_TCD!AA91</f>
        <v>0.9209570995528189</v>
      </c>
      <c r="K88" s="42">
        <f>GC_TCD!AB91</f>
        <v>2.6737464180565707</v>
      </c>
      <c r="L88" s="105">
        <f>GC_TCD!AC91</f>
        <v>2.8561729483030217E-3</v>
      </c>
      <c r="M88" s="42">
        <f t="shared" si="37"/>
        <v>2.1825862768635194E-6</v>
      </c>
      <c r="N88">
        <f t="shared" si="38"/>
        <v>0.28779909361025591</v>
      </c>
      <c r="O88">
        <f t="shared" si="39"/>
        <v>1.0643219816394708E-2</v>
      </c>
      <c r="P88">
        <f t="shared" si="40"/>
        <v>5.0398267410516418E-3</v>
      </c>
      <c r="Q88">
        <f t="shared" si="41"/>
        <v>450</v>
      </c>
      <c r="S88">
        <f t="shared" si="43"/>
        <v>149.5</v>
      </c>
      <c r="T88">
        <f>VFA!F85</f>
        <v>149.47083333333285</v>
      </c>
      <c r="U88">
        <f>VFA!K85</f>
        <v>15.773</v>
      </c>
      <c r="V88">
        <f>VFA!L85</f>
        <v>102.24058600000001</v>
      </c>
      <c r="W88">
        <f>IF(VFA!M85&lt;=0,"",VFA!M85)</f>
        <v>0.63800000000000001</v>
      </c>
      <c r="X88">
        <f>VFA!N85</f>
        <v>172.78192220400001</v>
      </c>
      <c r="AJ88" s="45"/>
      <c r="CK88">
        <f t="shared" si="46"/>
        <v>117.9</v>
      </c>
      <c r="CL88">
        <f>'Liquid Volume'!A85</f>
        <v>117.88680555555766</v>
      </c>
      <c r="CM88">
        <f>'Liquid Volume'!C85</f>
        <v>450</v>
      </c>
    </row>
    <row r="89" spans="1:91" ht="15" customHeight="1" x14ac:dyDescent="0.3">
      <c r="A89">
        <f t="shared" si="42"/>
        <v>190.9</v>
      </c>
      <c r="B89">
        <f>GC_TCD!G92</f>
        <v>190.92500000000291</v>
      </c>
      <c r="C89">
        <f>GC_TCD!U92</f>
        <v>2.9022000000000001</v>
      </c>
      <c r="D89">
        <f>GC_TCD!V92</f>
        <v>5.056708415560468E-2</v>
      </c>
      <c r="E89">
        <f>GC_TCD!W92</f>
        <v>95.474533333333326</v>
      </c>
      <c r="F89">
        <f>GC_TCD!X92</f>
        <v>0.60641735078519898</v>
      </c>
      <c r="G89">
        <f>GC_TCD!Y92</f>
        <v>1.6232666666666666</v>
      </c>
      <c r="H89">
        <f>GC_TCD!Z92</f>
        <v>0.60653291199516435</v>
      </c>
      <c r="I89" s="38">
        <f>GC_TCD!K92</f>
        <v>0.31918922872137928</v>
      </c>
      <c r="J89" s="42">
        <f>GC_TCD!AA92</f>
        <v>0.975182165030409</v>
      </c>
      <c r="K89" s="42">
        <f>GC_TCD!AB92</f>
        <v>2.8311740275076391</v>
      </c>
      <c r="L89" s="105">
        <f>GC_TCD!AC92</f>
        <v>3.0243416558489596E-3</v>
      </c>
      <c r="M89" s="42">
        <f t="shared" si="37"/>
        <v>2.298452137036414E-6</v>
      </c>
      <c r="N89">
        <f t="shared" si="38"/>
        <v>0.30474442657200279</v>
      </c>
      <c r="O89">
        <f t="shared" si="39"/>
        <v>9.26350979595187E-3</v>
      </c>
      <c r="P89">
        <f t="shared" si="40"/>
        <v>5.1812923534245757E-3</v>
      </c>
      <c r="Q89">
        <f t="shared" si="41"/>
        <v>450</v>
      </c>
      <c r="S89">
        <f t="shared" si="43"/>
        <v>153.80000000000001</v>
      </c>
      <c r="T89">
        <f>VFA!F86</f>
        <v>153.84722222221899</v>
      </c>
      <c r="U89" t="str">
        <f>VFA!K86</f>
        <v/>
      </c>
      <c r="V89" t="str">
        <f>VFA!L86</f>
        <v/>
      </c>
      <c r="W89" t="str">
        <f>IF(VFA!M86&lt;=0,"",VFA!M86)</f>
        <v/>
      </c>
      <c r="X89">
        <f>VFA!N86</f>
        <v>0</v>
      </c>
      <c r="AJ89" s="45"/>
      <c r="CK89">
        <f t="shared" si="46"/>
        <v>118.9</v>
      </c>
      <c r="CL89">
        <f>'Liquid Volume'!A86</f>
        <v>118.88611111111095</v>
      </c>
      <c r="CM89">
        <f>'Liquid Volume'!C86</f>
        <v>450</v>
      </c>
    </row>
    <row r="90" spans="1:91" ht="15" customHeight="1" x14ac:dyDescent="0.3">
      <c r="A90">
        <f t="shared" si="42"/>
        <v>191.9</v>
      </c>
      <c r="B90">
        <f>GC_TCD!G93</f>
        <v>191.8840277777781</v>
      </c>
      <c r="C90">
        <f>GC_TCD!U93</f>
        <v>3.0977333333333337</v>
      </c>
      <c r="D90">
        <f>GC_TCD!V93</f>
        <v>6.0286759187514152E-2</v>
      </c>
      <c r="E90">
        <f>GC_TCD!W93</f>
        <v>95.596299999999999</v>
      </c>
      <c r="F90">
        <f>GC_TCD!X93</f>
        <v>9.0283608700583648E-2</v>
      </c>
      <c r="G90">
        <f>GC_TCD!Y93</f>
        <v>1.3059666666666667</v>
      </c>
      <c r="H90">
        <f>GC_TCD!Z93</f>
        <v>0.10318441419775247</v>
      </c>
      <c r="I90" s="38">
        <f>GC_TCD!K93</f>
        <v>0.29626780772112643</v>
      </c>
      <c r="J90" s="42">
        <f>GC_TCD!AA93</f>
        <v>0.90630739927203585</v>
      </c>
      <c r="K90" s="42">
        <f>GC_TCD!AB93</f>
        <v>2.6312150301446198</v>
      </c>
      <c r="L90" s="105">
        <f>GC_TCD!AC93</f>
        <v>2.8107396945032119E-3</v>
      </c>
      <c r="M90" s="42">
        <f t="shared" si="37"/>
        <v>2.125441780619364E-6</v>
      </c>
      <c r="N90">
        <f t="shared" si="38"/>
        <v>0.2832210622725112</v>
      </c>
      <c r="O90">
        <f t="shared" si="39"/>
        <v>9.1775866357132405E-3</v>
      </c>
      <c r="P90">
        <f t="shared" si="40"/>
        <v>3.8691588129020045E-3</v>
      </c>
      <c r="Q90">
        <f t="shared" si="41"/>
        <v>450</v>
      </c>
      <c r="S90">
        <f t="shared" si="43"/>
        <v>154.5</v>
      </c>
      <c r="T90">
        <f>VFA!F87</f>
        <v>154.47083333333285</v>
      </c>
      <c r="U90">
        <f>VFA!K87</f>
        <v>17.757999999999999</v>
      </c>
      <c r="V90">
        <f>VFA!L87</f>
        <v>134.49909199999999</v>
      </c>
      <c r="W90">
        <f>IF(VFA!M87&lt;=0,"",VFA!M87)</f>
        <v>0.61</v>
      </c>
      <c r="X90">
        <f>VFA!N87</f>
        <v>223.68839128799999</v>
      </c>
      <c r="AJ90" s="45"/>
      <c r="CK90">
        <f t="shared" si="46"/>
        <v>120.9</v>
      </c>
      <c r="CL90">
        <f>'Liquid Volume'!A87</f>
        <v>120.88958333332994</v>
      </c>
      <c r="CM90">
        <f>'Liquid Volume'!C87</f>
        <v>450</v>
      </c>
    </row>
    <row r="91" spans="1:91" ht="15" customHeight="1" x14ac:dyDescent="0.3">
      <c r="A91">
        <f t="shared" si="42"/>
        <v>194.9</v>
      </c>
      <c r="B91">
        <f>GC_TCD!G94</f>
        <v>194.9013888888876</v>
      </c>
      <c r="C91">
        <f>GC_TCD!U94</f>
        <v>2.2943666666666664</v>
      </c>
      <c r="D91">
        <f>GC_TCD!V94</f>
        <v>6.6669733262803135E-2</v>
      </c>
      <c r="E91">
        <f>GC_TCD!W94</f>
        <v>96.390199999999993</v>
      </c>
      <c r="F91">
        <f>GC_TCD!X94</f>
        <v>0.80861979322794042</v>
      </c>
      <c r="G91">
        <f>GC_TCD!Y94</f>
        <v>1.3154333333333332</v>
      </c>
      <c r="H91">
        <f>GC_TCD!Z94</f>
        <v>0.83124106210733661</v>
      </c>
      <c r="I91" s="38">
        <f>GC_TCD!K94</f>
        <v>0.30044327255958808</v>
      </c>
      <c r="J91" s="42">
        <f>GC_TCD!AA94</f>
        <v>0.92671318818154258</v>
      </c>
      <c r="K91" s="42">
        <f>GC_TCD!AB94</f>
        <v>2.6904576431077043</v>
      </c>
      <c r="L91" s="105">
        <f>GC_TCD!AC94</f>
        <v>2.8740243603149148E-3</v>
      </c>
      <c r="M91" s="42">
        <f t="shared" si="37"/>
        <v>2.1396509130031693E-6</v>
      </c>
      <c r="N91">
        <f t="shared" si="38"/>
        <v>0.28959787130673204</v>
      </c>
      <c r="O91">
        <f t="shared" si="39"/>
        <v>6.8932702978496685E-3</v>
      </c>
      <c r="P91">
        <f t="shared" si="40"/>
        <v>3.9521309550063412E-3</v>
      </c>
      <c r="Q91">
        <f t="shared" si="41"/>
        <v>450</v>
      </c>
      <c r="S91">
        <f t="shared" si="43"/>
        <v>155.5</v>
      </c>
      <c r="T91">
        <f>VFA!F88</f>
        <v>155.47083333333285</v>
      </c>
      <c r="U91">
        <f>VFA!K88</f>
        <v>17.663</v>
      </c>
      <c r="V91">
        <f>VFA!L88</f>
        <v>150.206152</v>
      </c>
      <c r="W91">
        <f>IF(VFA!M88&lt;=0,"",VFA!M88)</f>
        <v>1.1339999999999999</v>
      </c>
      <c r="X91">
        <f>VFA!N88</f>
        <v>248.320147128</v>
      </c>
      <c r="AJ91" s="45"/>
      <c r="CK91">
        <f t="shared" si="46"/>
        <v>121</v>
      </c>
      <c r="CL91">
        <f>'Liquid Volume'!A88</f>
        <v>120.98819444444234</v>
      </c>
      <c r="CM91">
        <f>'Liquid Volume'!C88</f>
        <v>450</v>
      </c>
    </row>
    <row r="92" spans="1:91" ht="15" customHeight="1" x14ac:dyDescent="0.3">
      <c r="A92">
        <f t="shared" si="42"/>
        <v>196</v>
      </c>
      <c r="B92">
        <f>GC_TCD!G95</f>
        <v>195.95208333332994</v>
      </c>
      <c r="C92">
        <f>GC_TCD!U95</f>
        <v>1.2428333333333332</v>
      </c>
      <c r="D92">
        <f>GC_TCD!V95</f>
        <v>0.24147600985052994</v>
      </c>
      <c r="E92">
        <f>GC_TCD!W95</f>
        <v>98.34559999999999</v>
      </c>
      <c r="F92">
        <f>GC_TCD!X95</f>
        <v>0.12579534967557066</v>
      </c>
      <c r="G92">
        <f>GC_TCD!Y95</f>
        <v>0.41156666666666669</v>
      </c>
      <c r="H92">
        <f>GC_TCD!Z95</f>
        <v>0.13458433539358619</v>
      </c>
      <c r="I92" s="38">
        <f>GC_TCD!K95</f>
        <v>0.28650277594241247</v>
      </c>
      <c r="J92" s="42">
        <f>GC_TCD!AA95</f>
        <v>0.9016411968551078</v>
      </c>
      <c r="K92" s="42">
        <f>GC_TCD!AB95</f>
        <v>2.6176679908696676</v>
      </c>
      <c r="L92" s="105">
        <f>GC_TCD!AC95</f>
        <v>2.7962683568904098E-3</v>
      </c>
      <c r="M92" s="42">
        <f t="shared" si="37"/>
        <v>2.0706007901666718E-6</v>
      </c>
      <c r="N92">
        <f t="shared" si="38"/>
        <v>0.28176287401722117</v>
      </c>
      <c r="O92">
        <f t="shared" si="39"/>
        <v>3.5607520003376161E-3</v>
      </c>
      <c r="P92">
        <f t="shared" si="40"/>
        <v>1.1791499248536557E-3</v>
      </c>
      <c r="Q92">
        <f t="shared" si="41"/>
        <v>450</v>
      </c>
      <c r="S92">
        <f t="shared" si="43"/>
        <v>156.5</v>
      </c>
      <c r="T92">
        <f>VFA!F89</f>
        <v>156.47083333333285</v>
      </c>
      <c r="U92">
        <f>VFA!K89</f>
        <v>11.865</v>
      </c>
      <c r="V92">
        <f>VFA!L89</f>
        <v>94.030124999999998</v>
      </c>
      <c r="W92">
        <f>IF(VFA!M89&lt;=0,"",VFA!M89)</f>
        <v>0.48199999999999998</v>
      </c>
      <c r="X92">
        <f>VFA!N89</f>
        <v>155.89784024999997</v>
      </c>
      <c r="AJ92" s="45"/>
      <c r="CK92">
        <f t="shared" si="46"/>
        <v>122</v>
      </c>
      <c r="CL92">
        <f>'Liquid Volume'!A89</f>
        <v>121.99166666666861</v>
      </c>
      <c r="CM92">
        <f>'Liquid Volume'!C89</f>
        <v>450</v>
      </c>
    </row>
    <row r="93" spans="1:91" ht="15" customHeight="1" x14ac:dyDescent="0.3">
      <c r="A93">
        <f t="shared" si="42"/>
        <v>197</v>
      </c>
      <c r="B93">
        <f>GC_TCD!G96</f>
        <v>196.9645833333343</v>
      </c>
      <c r="C93">
        <f>GC_TCD!U96</f>
        <v>1.8589666666666667</v>
      </c>
      <c r="D93">
        <f>GC_TCD!V96</f>
        <v>6.5893120531155078E-2</v>
      </c>
      <c r="E93">
        <f>GC_TCD!W96</f>
        <v>97.274333333333331</v>
      </c>
      <c r="F93">
        <f>GC_TCD!X96</f>
        <v>1.2187230708136014</v>
      </c>
      <c r="G93">
        <f>GC_TCD!Y96</f>
        <v>0.86790000000000012</v>
      </c>
      <c r="H93">
        <f>GC_TCD!Z96</f>
        <v>1.2333640014205054</v>
      </c>
      <c r="I93" s="38">
        <f>GC_TCD!K96</f>
        <v>0.28971323731013532</v>
      </c>
      <c r="J93" s="42">
        <f>GC_TCD!AA96</f>
        <v>0.90181318454992665</v>
      </c>
      <c r="K93" s="42">
        <f>GC_TCD!AB96</f>
        <v>2.618167309983658</v>
      </c>
      <c r="L93" s="105">
        <f>GC_TCD!AC96</f>
        <v>2.7968017439522191E-3</v>
      </c>
      <c r="M93" s="42">
        <f t="shared" si="37"/>
        <v>2.0603497653214219E-6</v>
      </c>
      <c r="N93">
        <f t="shared" si="38"/>
        <v>0.28181662017185205</v>
      </c>
      <c r="O93">
        <f t="shared" si="39"/>
        <v>5.3856725105163126E-3</v>
      </c>
      <c r="P93">
        <f t="shared" si="40"/>
        <v>2.5144211866146649E-3</v>
      </c>
      <c r="Q93">
        <f t="shared" si="41"/>
        <v>450</v>
      </c>
      <c r="S93">
        <f t="shared" si="43"/>
        <v>159.5</v>
      </c>
      <c r="T93">
        <f>VFA!F90</f>
        <v>159.47083333333285</v>
      </c>
      <c r="U93">
        <f>VFA!K90</f>
        <v>6.2361880000000003</v>
      </c>
      <c r="V93">
        <f>VFA!L90</f>
        <v>40.919227748475997</v>
      </c>
      <c r="W93">
        <f>IF(VFA!M90&lt;=0,"",VFA!M90)</f>
        <v>1.94</v>
      </c>
      <c r="X93">
        <f>VFA!N90</f>
        <v>72.13264340719266</v>
      </c>
      <c r="AJ93" s="45"/>
      <c r="CK93">
        <f t="shared" si="46"/>
        <v>124.9</v>
      </c>
      <c r="CL93">
        <f>'Liquid Volume'!A90</f>
        <v>124.90555555555329</v>
      </c>
      <c r="CM93">
        <f>'Liquid Volume'!C90</f>
        <v>450</v>
      </c>
    </row>
    <row r="94" spans="1:91" ht="15" customHeight="1" x14ac:dyDescent="0.3">
      <c r="A94">
        <f t="shared" si="42"/>
        <v>199.10000000000002</v>
      </c>
      <c r="B94">
        <f>GC_TCD!G97</f>
        <v>199.12569444444671</v>
      </c>
      <c r="C94">
        <f>GC_TCD!U97</f>
        <v>2.9034666666666666</v>
      </c>
      <c r="D94">
        <f>GC_TCD!V97</f>
        <v>0.15164677158889134</v>
      </c>
      <c r="E94">
        <f>GC_TCD!W97</f>
        <v>96.960766666666657</v>
      </c>
      <c r="F94">
        <f>GC_TCD!X97</f>
        <v>0.26733021403000939</v>
      </c>
      <c r="G94">
        <f>GC_TCD!Y97</f>
        <v>0.13576666666666667</v>
      </c>
      <c r="H94">
        <f>GC_TCD!Z97</f>
        <v>0.23515476464093457</v>
      </c>
      <c r="I94" s="38">
        <f>GC_TCD!K97</f>
        <v>0.32871923753576165</v>
      </c>
      <c r="J94" s="42">
        <f>GC_TCD!AA97</f>
        <v>1.019931817265586</v>
      </c>
      <c r="K94" s="42">
        <f>GC_TCD!AB97</f>
        <v>2.9610923727065392</v>
      </c>
      <c r="L94" s="105">
        <f>GC_TCD!AC97</f>
        <v>3.1631241748415824E-3</v>
      </c>
      <c r="M94" s="42">
        <f t="shared" si="37"/>
        <v>2.3049226221157494E-6</v>
      </c>
      <c r="N94">
        <f t="shared" si="38"/>
        <v>0.3187286928954956</v>
      </c>
      <c r="O94">
        <f t="shared" si="39"/>
        <v>9.5442534887716611E-3</v>
      </c>
      <c r="P94">
        <f t="shared" si="40"/>
        <v>4.4629115149438575E-4</v>
      </c>
      <c r="Q94">
        <f t="shared" si="41"/>
        <v>450</v>
      </c>
      <c r="S94">
        <f t="shared" si="43"/>
        <v>160.5</v>
      </c>
      <c r="T94">
        <f>VFA!F91</f>
        <v>160.47083333333285</v>
      </c>
      <c r="U94">
        <f>VFA!K91</f>
        <v>6.9510129999999997</v>
      </c>
      <c r="V94">
        <f>VFA!L91</f>
        <v>52.331326961670001</v>
      </c>
      <c r="W94">
        <f>IF(VFA!M91&lt;=0,"",VFA!M91)</f>
        <v>1.94</v>
      </c>
      <c r="X94">
        <f>VFA!N91</f>
        <v>90.173279890968388</v>
      </c>
      <c r="AJ94" s="45"/>
      <c r="CK94">
        <f t="shared" si="46"/>
        <v>125</v>
      </c>
      <c r="CL94">
        <f>'Liquid Volume'!A91</f>
        <v>124.99930555555329</v>
      </c>
      <c r="CM94">
        <f>'Liquid Volume'!C91</f>
        <v>450</v>
      </c>
    </row>
    <row r="95" spans="1:91" ht="15" customHeight="1" x14ac:dyDescent="0.3">
      <c r="A95">
        <f t="shared" si="42"/>
        <v>202</v>
      </c>
      <c r="B95">
        <f>GC_TCD!G98</f>
        <v>201.96319444444089</v>
      </c>
      <c r="C95">
        <f>GC_TCD!U98</f>
        <v>3.5208666666666666</v>
      </c>
      <c r="D95">
        <f>GC_TCD!V98</f>
        <v>3.8783673540980203E-2</v>
      </c>
      <c r="E95">
        <f>GC_TCD!W98</f>
        <v>95.914699999999996</v>
      </c>
      <c r="F95">
        <f>GC_TCD!X98</f>
        <v>0.6178128923873325</v>
      </c>
      <c r="G95">
        <f>GC_TCD!Y98</f>
        <v>0.56443333333333334</v>
      </c>
      <c r="H95">
        <f>GC_TCD!Z98</f>
        <v>0.58008728940852805</v>
      </c>
      <c r="I95" s="38">
        <f>GC_TCD!K98</f>
        <v>0.34645337423384143</v>
      </c>
      <c r="J95" s="42">
        <f>GC_TCD!AA98</f>
        <v>1.0633590865160523</v>
      </c>
      <c r="K95" s="42">
        <f>GC_TCD!AB98</f>
        <v>3.0871715414982157</v>
      </c>
      <c r="L95" s="105">
        <f>GC_TCD!AC98</f>
        <v>3.2978055749980939E-3</v>
      </c>
      <c r="M95" s="42">
        <f t="shared" si="37"/>
        <v>2.369300952327033E-6</v>
      </c>
      <c r="N95">
        <f t="shared" si="38"/>
        <v>0.33229971453626633</v>
      </c>
      <c r="O95">
        <f t="shared" si="39"/>
        <v>1.2198161368941245E-2</v>
      </c>
      <c r="P95">
        <f t="shared" si="40"/>
        <v>1.9554983286338787E-3</v>
      </c>
      <c r="Q95">
        <f t="shared" si="41"/>
        <v>450</v>
      </c>
      <c r="S95">
        <f t="shared" si="43"/>
        <v>161.5</v>
      </c>
      <c r="T95">
        <f>VFA!F92</f>
        <v>161.47083333333285</v>
      </c>
      <c r="U95">
        <f>VFA!K92</f>
        <v>10.77163</v>
      </c>
      <c r="V95">
        <f>VFA!L92</f>
        <v>85.356399643179998</v>
      </c>
      <c r="W95">
        <f>IF(VFA!M92&lt;=0,"",VFA!M92)</f>
        <v>1.99</v>
      </c>
      <c r="X95">
        <f>VFA!N92</f>
        <v>144.34073826977453</v>
      </c>
      <c r="AJ95" s="45"/>
      <c r="CK95">
        <f t="shared" si="46"/>
        <v>125</v>
      </c>
      <c r="CL95">
        <f>'Liquid Volume'!A92</f>
        <v>125.00069444444671</v>
      </c>
      <c r="CM95">
        <f>'Liquid Volume'!C92</f>
        <v>450</v>
      </c>
    </row>
    <row r="96" spans="1:91" ht="15" customHeight="1" x14ac:dyDescent="0.3">
      <c r="A96">
        <f t="shared" si="42"/>
        <v>202.9</v>
      </c>
      <c r="B96">
        <f>GC_TCD!G99</f>
        <v>202.87222222222044</v>
      </c>
      <c r="C96">
        <f>GC_TCD!U99</f>
        <v>4.393933333333333</v>
      </c>
      <c r="D96">
        <f>GC_TCD!V99</f>
        <v>8.0086286799509854E-2</v>
      </c>
      <c r="E96">
        <f>GC_TCD!W99</f>
        <v>94.801700000000025</v>
      </c>
      <c r="F96">
        <f>GC_TCD!X99</f>
        <v>7.5733810151081063E-2</v>
      </c>
      <c r="G96">
        <f>GC_TCD!Y99</f>
        <v>0.80446666666666677</v>
      </c>
      <c r="H96">
        <f>GC_TCD!Z99</f>
        <v>4.4543274838445952E-2</v>
      </c>
      <c r="I96" s="38">
        <f>GC_TCD!K99</f>
        <v>0.36537845683656439</v>
      </c>
      <c r="J96" s="42">
        <f>GC_TCD!AA99</f>
        <v>1.1084319632474537</v>
      </c>
      <c r="K96" s="42">
        <f>GC_TCD!AB99</f>
        <v>3.218028280395834</v>
      </c>
      <c r="L96" s="105">
        <f>GC_TCD!AC99</f>
        <v>3.4375905131726688E-3</v>
      </c>
      <c r="M96" s="42">
        <f t="shared" si="37"/>
        <v>2.4586627878260694E-6</v>
      </c>
      <c r="N96">
        <f t="shared" si="38"/>
        <v>0.34638498851482935</v>
      </c>
      <c r="O96">
        <f t="shared" si="39"/>
        <v>1.6054485807760747E-2</v>
      </c>
      <c r="P96">
        <f t="shared" si="40"/>
        <v>2.9393478924312154E-3</v>
      </c>
      <c r="Q96">
        <f t="shared" si="41"/>
        <v>450</v>
      </c>
      <c r="S96">
        <f t="shared" si="43"/>
        <v>162.5</v>
      </c>
      <c r="T96">
        <f>VFA!F93</f>
        <v>162.47083333333285</v>
      </c>
      <c r="U96">
        <f>VFA!K93</f>
        <v>9.4049999999999994</v>
      </c>
      <c r="V96">
        <f>VFA!L93</f>
        <v>71.177039999999991</v>
      </c>
      <c r="W96">
        <f>IF(VFA!M93&lt;=0,"",VFA!M93)</f>
        <v>3.4969999999999999</v>
      </c>
      <c r="X96">
        <f>VFA!N93</f>
        <v>124.15471955999999</v>
      </c>
      <c r="AJ96" s="45"/>
      <c r="CK96" t="e">
        <f t="shared" si="46"/>
        <v>#NUM!</v>
      </c>
      <c r="CL96">
        <f>'Liquid Volume'!A93</f>
        <v>-240.12847222222626</v>
      </c>
      <c r="CM96">
        <f>'Liquid Volume'!C93</f>
        <v>450</v>
      </c>
    </row>
    <row r="97" spans="1:91" ht="15" customHeight="1" x14ac:dyDescent="0.3">
      <c r="A97">
        <f t="shared" si="42"/>
        <v>204.10000000000002</v>
      </c>
      <c r="B97">
        <f>GC_TCD!G100</f>
        <v>204.07499999999709</v>
      </c>
      <c r="C97">
        <f>GC_TCD!U100</f>
        <v>3.1092999999999997</v>
      </c>
      <c r="D97">
        <f>GC_TCD!V100</f>
        <v>3.0707816594476352E-2</v>
      </c>
      <c r="E97">
        <f>GC_TCD!W100</f>
        <v>95.407366666666675</v>
      </c>
      <c r="F97">
        <f>GC_TCD!X100</f>
        <v>1.1762090984741371</v>
      </c>
      <c r="G97">
        <f>GC_TCD!Y100</f>
        <v>1.4832999999999998</v>
      </c>
      <c r="H97">
        <f>GC_TCD!Z100</f>
        <v>1.206876845415471</v>
      </c>
      <c r="I97" s="38">
        <f>GC_TCD!K100</f>
        <v>0.35899786374167564</v>
      </c>
      <c r="J97" s="42">
        <f>GC_TCD!AA100</f>
        <v>1.0960333061936671</v>
      </c>
      <c r="K97" s="42">
        <f>GC_TCD!AB100</f>
        <v>3.1820321792719359</v>
      </c>
      <c r="L97" s="105">
        <f>GC_TCD!AC100</f>
        <v>3.3991384409865614E-3</v>
      </c>
      <c r="M97" s="42">
        <f t="shared" si="37"/>
        <v>2.4168319871966539E-6</v>
      </c>
      <c r="N97">
        <f t="shared" si="38"/>
        <v>0.34251040818552092</v>
      </c>
      <c r="O97">
        <f t="shared" si="39"/>
        <v>1.1162320577319919E-2</v>
      </c>
      <c r="P97">
        <f t="shared" si="40"/>
        <v>5.3250153128802744E-3</v>
      </c>
      <c r="Q97">
        <f t="shared" si="41"/>
        <v>450</v>
      </c>
      <c r="S97">
        <f t="shared" si="43"/>
        <v>163.5</v>
      </c>
      <c r="T97">
        <f>VFA!F94</f>
        <v>163.47083333333285</v>
      </c>
      <c r="U97">
        <f>VFA!K94</f>
        <v>8.6859999999999999</v>
      </c>
      <c r="V97">
        <f>VFA!L94</f>
        <v>73.466188000000002</v>
      </c>
      <c r="W97">
        <f>IF(VFA!M94&lt;=0,"",VFA!M94)</f>
        <v>3.5409999999999999</v>
      </c>
      <c r="X97">
        <f>VFA!N94</f>
        <v>126.93330863200001</v>
      </c>
      <c r="AJ97" s="45"/>
      <c r="CK97" t="e">
        <f t="shared" si="46"/>
        <v>#NUM!</v>
      </c>
      <c r="CL97">
        <f>'Liquid Volume'!A94</f>
        <v>-240.06319444444671</v>
      </c>
      <c r="CM97">
        <f>'Liquid Volume'!C94</f>
        <v>450</v>
      </c>
    </row>
    <row r="98" spans="1:91" ht="15" customHeight="1" x14ac:dyDescent="0.3">
      <c r="A98">
        <f t="shared" si="42"/>
        <v>204.9</v>
      </c>
      <c r="B98">
        <f>GC_TCD!G101</f>
        <v>204.94583333333139</v>
      </c>
      <c r="C98">
        <f>GC_TCD!U101</f>
        <v>4.7375333333333334</v>
      </c>
      <c r="D98">
        <f>GC_TCD!V101</f>
        <v>7.9421491633771796E-2</v>
      </c>
      <c r="E98">
        <f>GC_TCD!W101</f>
        <v>94.092399999999998</v>
      </c>
      <c r="F98">
        <f>GC_TCD!X101</f>
        <v>0.86656740649530573</v>
      </c>
      <c r="G98">
        <f>GC_TCD!Y101</f>
        <v>1.1700666666666668</v>
      </c>
      <c r="H98">
        <f>GC_TCD!Z101</f>
        <v>0.93256075584024734</v>
      </c>
      <c r="I98" s="38">
        <f>GC_TCD!K101</f>
        <v>0.33120369774882302</v>
      </c>
      <c r="J98" s="42">
        <f>GC_TCD!AA101</f>
        <v>0.99724002592196337</v>
      </c>
      <c r="K98" s="42">
        <f>GC_TCD!AB101</f>
        <v>2.8952129784831193</v>
      </c>
      <c r="L98" s="105">
        <f>GC_TCD!AC101</f>
        <v>3.0927499080970608E-3</v>
      </c>
      <c r="M98" s="42">
        <f t="shared" si="37"/>
        <v>2.1896420354885037E-6</v>
      </c>
      <c r="N98">
        <f t="shared" si="38"/>
        <v>0.31163750810061353</v>
      </c>
      <c r="O98">
        <f t="shared" si="39"/>
        <v>1.5690885582083074E-2</v>
      </c>
      <c r="P98">
        <f t="shared" si="40"/>
        <v>3.875304066126396E-3</v>
      </c>
      <c r="Q98">
        <f t="shared" si="41"/>
        <v>450</v>
      </c>
      <c r="S98">
        <f t="shared" si="43"/>
        <v>166.5</v>
      </c>
      <c r="T98">
        <f>VFA!F95</f>
        <v>166.47083333333285</v>
      </c>
      <c r="U98">
        <f>VFA!K95</f>
        <v>6.872986</v>
      </c>
      <c r="V98">
        <f>VFA!L95</f>
        <v>36.187735236018</v>
      </c>
      <c r="W98">
        <f>IF(VFA!M95&lt;=0,"",VFA!M95)</f>
        <v>0.43922</v>
      </c>
      <c r="X98">
        <f>VFA!N95</f>
        <v>62.920209169331258</v>
      </c>
      <c r="AJ98" s="45"/>
      <c r="CK98">
        <f t="shared" si="46"/>
        <v>126.9</v>
      </c>
      <c r="CL98">
        <f>'Liquid Volume'!A95</f>
        <v>126.90763888888614</v>
      </c>
      <c r="CM98">
        <f>'Liquid Volume'!C95</f>
        <v>450</v>
      </c>
    </row>
    <row r="99" spans="1:91" ht="15" customHeight="1" x14ac:dyDescent="0.3">
      <c r="A99">
        <f t="shared" si="42"/>
        <v>205.9</v>
      </c>
      <c r="B99">
        <f>GC_TCD!G102</f>
        <v>205.90000000000146</v>
      </c>
      <c r="C99">
        <f>GC_TCD!U102</f>
        <v>4.3424666666666667</v>
      </c>
      <c r="D99">
        <f>GC_TCD!V102</f>
        <v>5.5768928027471819E-2</v>
      </c>
      <c r="E99">
        <f>GC_TCD!W102</f>
        <v>95.091600000000014</v>
      </c>
      <c r="F99">
        <f>GC_TCD!X102</f>
        <v>7.3525981802351453E-2</v>
      </c>
      <c r="G99">
        <f>GC_TCD!Y102</f>
        <v>0.56593333333333329</v>
      </c>
      <c r="H99">
        <f>GC_TCD!Z102</f>
        <v>0.11530695266692879</v>
      </c>
      <c r="I99" s="38">
        <f>GC_TCD!K102</f>
        <v>0.3520523289652725</v>
      </c>
      <c r="J99" s="42">
        <f>GC_TCD!AA102</f>
        <v>1.0712710158410916</v>
      </c>
      <c r="K99" s="42">
        <f>GC_TCD!AB102</f>
        <v>3.1101416588934914</v>
      </c>
      <c r="L99" s="105">
        <f>GC_TCD!AC102</f>
        <v>3.32234291611641E-3</v>
      </c>
      <c r="M99" s="42">
        <f t="shared" si="37"/>
        <v>2.3412916810514222E-6</v>
      </c>
      <c r="N99">
        <f t="shared" si="38"/>
        <v>0.33477219245034112</v>
      </c>
      <c r="O99">
        <f t="shared" si="39"/>
        <v>1.5287755034540636E-2</v>
      </c>
      <c r="P99">
        <f t="shared" si="40"/>
        <v>1.9923814803907984E-3</v>
      </c>
      <c r="Q99">
        <f t="shared" si="41"/>
        <v>450</v>
      </c>
      <c r="S99">
        <f t="shared" si="43"/>
        <v>167.5</v>
      </c>
      <c r="T99">
        <f>VFA!F96</f>
        <v>167.47083333333285</v>
      </c>
      <c r="U99">
        <f>VFA!K96</f>
        <v>15.998150000000001</v>
      </c>
      <c r="V99">
        <f>VFA!L96</f>
        <v>105.27668997510001</v>
      </c>
      <c r="W99">
        <f>IF(VFA!M96&lt;=0,"",VFA!M96)</f>
        <v>2.4712830000000001</v>
      </c>
      <c r="X99">
        <f>VFA!N96</f>
        <v>180.95172716630142</v>
      </c>
      <c r="AJ99" s="45"/>
      <c r="CK99">
        <f t="shared" si="46"/>
        <v>127.9</v>
      </c>
      <c r="CL99">
        <f>'Liquid Volume'!A96</f>
        <v>127.9111111111124</v>
      </c>
      <c r="CM99">
        <f>'Liquid Volume'!C96</f>
        <v>450</v>
      </c>
    </row>
    <row r="100" spans="1:91" ht="15" customHeight="1" x14ac:dyDescent="0.3">
      <c r="A100">
        <f t="shared" si="42"/>
        <v>208.9</v>
      </c>
      <c r="B100">
        <f>GC_TCD!G103</f>
        <v>208.9194444444438</v>
      </c>
      <c r="C100">
        <f>GC_TCD!U103</f>
        <v>1.2500666666666667</v>
      </c>
      <c r="D100">
        <f>GC_TCD!V103</f>
        <v>0.10524591836899577</v>
      </c>
      <c r="E100">
        <f>GC_TCD!W103</f>
        <v>98.159100000000009</v>
      </c>
      <c r="F100">
        <f>GC_TCD!X103</f>
        <v>0.10800055555412748</v>
      </c>
      <c r="G100">
        <f>GC_TCD!Y103</f>
        <v>0.59083333333333332</v>
      </c>
      <c r="H100">
        <f>GC_TCD!Z103</f>
        <v>1.5453262870129813E-2</v>
      </c>
      <c r="I100" s="38">
        <f>GC_TCD!K103</f>
        <v>0.34701634393754011</v>
      </c>
      <c r="J100" s="42">
        <f>GC_TCD!AA103</f>
        <v>1.0900099841983806</v>
      </c>
      <c r="K100" s="42">
        <f>GC_TCD!AB103</f>
        <v>3.1645451154146533</v>
      </c>
      <c r="L100" s="105">
        <f>GC_TCD!AC103</f>
        <v>3.3804582556117937E-3</v>
      </c>
      <c r="M100" s="42">
        <f t="shared" si="37"/>
        <v>2.3478163757979313E-6</v>
      </c>
      <c r="N100">
        <f t="shared" si="38"/>
        <v>0.34062812006199394</v>
      </c>
      <c r="O100">
        <f t="shared" si="39"/>
        <v>4.3379356434485429E-3</v>
      </c>
      <c r="P100">
        <f t="shared" si="40"/>
        <v>2.0502882320976327E-3</v>
      </c>
      <c r="Q100">
        <f t="shared" si="41"/>
        <v>450</v>
      </c>
      <c r="S100">
        <f t="shared" si="43"/>
        <v>168.5</v>
      </c>
      <c r="T100">
        <f>VFA!F97</f>
        <v>168.47083333333285</v>
      </c>
      <c r="U100">
        <f>VFA!K97</f>
        <v>22.985489999999999</v>
      </c>
      <c r="V100">
        <f>VFA!L97</f>
        <v>249.30108424979997</v>
      </c>
      <c r="W100">
        <f>IF(VFA!M97&lt;=0,"",VFA!M97)</f>
        <v>4.4689040000000002</v>
      </c>
      <c r="X100">
        <f>VFA!N97</f>
        <v>410.09182685619714</v>
      </c>
      <c r="AJ100" s="45"/>
      <c r="CK100">
        <f t="shared" si="46"/>
        <v>128.9</v>
      </c>
      <c r="CL100">
        <f>'Liquid Volume'!A97</f>
        <v>128.86319444444234</v>
      </c>
      <c r="CM100">
        <f>'Liquid Volume'!C97</f>
        <v>450</v>
      </c>
    </row>
    <row r="101" spans="1:91" ht="15" customHeight="1" x14ac:dyDescent="0.3">
      <c r="A101">
        <f t="shared" si="42"/>
        <v>211</v>
      </c>
      <c r="B101">
        <f>GC_TCD!G104</f>
        <v>210.99027777777519</v>
      </c>
      <c r="C101">
        <f>GC_TCD!U104</f>
        <v>3.9670999999999998</v>
      </c>
      <c r="D101">
        <f>GC_TCD!V104</f>
        <v>6.4775226746032949E-2</v>
      </c>
      <c r="E101">
        <f>GC_TCD!W104</f>
        <v>94.680200000000013</v>
      </c>
      <c r="F101">
        <f>GC_TCD!X104</f>
        <v>9.744706255193028E-2</v>
      </c>
      <c r="G101">
        <f>GC_TCD!Y104</f>
        <v>1.3526666666666667</v>
      </c>
      <c r="H101">
        <f>GC_TCD!Z104</f>
        <v>0.11720385374778995</v>
      </c>
      <c r="I101" s="38">
        <f>GC_TCD!K104</f>
        <v>0.35893988476371363</v>
      </c>
      <c r="J101" s="42">
        <f>GC_TCD!AA104</f>
        <v>1.0875040024769718</v>
      </c>
      <c r="K101" s="42">
        <f>GC_TCD!AB104</f>
        <v>3.1572696846105632</v>
      </c>
      <c r="L101" s="105">
        <f>GC_TCD!AC104</f>
        <v>3.3726864308382997E-3</v>
      </c>
      <c r="M101" s="42">
        <f t="shared" si="37"/>
        <v>2.3194282043178872E-6</v>
      </c>
      <c r="N101">
        <f t="shared" si="38"/>
        <v>0.33984500077405366</v>
      </c>
      <c r="O101">
        <f t="shared" si="39"/>
        <v>1.4239504168461283E-2</v>
      </c>
      <c r="P101">
        <f t="shared" si="40"/>
        <v>4.8552601745704997E-3</v>
      </c>
      <c r="Q101">
        <f t="shared" si="41"/>
        <v>450</v>
      </c>
      <c r="S101">
        <f t="shared" si="43"/>
        <v>169.5</v>
      </c>
      <c r="T101">
        <f>VFA!F98</f>
        <v>169.47083333333285</v>
      </c>
      <c r="U101">
        <f>VFA!K98</f>
        <v>18.431740000000001</v>
      </c>
      <c r="V101">
        <f>VFA!L98</f>
        <v>206.58404782440002</v>
      </c>
      <c r="W101">
        <f>IF(VFA!M98&lt;=0,"",VFA!M98)</f>
        <v>5.1860840000000001</v>
      </c>
      <c r="X101">
        <f>VFA!N98</f>
        <v>341.86321569814169</v>
      </c>
      <c r="AJ101" s="45"/>
      <c r="CK101">
        <f t="shared" si="46"/>
        <v>129</v>
      </c>
      <c r="CL101">
        <f>'Liquid Volume'!A98</f>
        <v>129.04722222222335</v>
      </c>
      <c r="CM101">
        <f>'Liquid Volume'!C98</f>
        <v>450</v>
      </c>
    </row>
    <row r="102" spans="1:91" ht="15" customHeight="1" x14ac:dyDescent="0.3">
      <c r="A102">
        <f t="shared" si="42"/>
        <v>212</v>
      </c>
      <c r="B102">
        <f>GC_TCD!G105</f>
        <v>211.98750000000291</v>
      </c>
      <c r="C102">
        <f>GC_TCD!U105</f>
        <v>4.1715333333333335</v>
      </c>
      <c r="D102">
        <f>GC_TCD!V105</f>
        <v>9.463531757929132E-2</v>
      </c>
      <c r="E102">
        <f>GC_TCD!W105</f>
        <v>94.402733333333344</v>
      </c>
      <c r="F102">
        <f>GC_TCD!X105</f>
        <v>0.21110912659885739</v>
      </c>
      <c r="G102">
        <f>GC_TCD!Y105</f>
        <v>1.4257666666666664</v>
      </c>
      <c r="H102">
        <f>GC_TCD!Z105</f>
        <v>0.24462167388302711</v>
      </c>
      <c r="I102" s="38">
        <f>GC_TCD!K105</f>
        <v>0.34282096774002935</v>
      </c>
      <c r="J102" s="42">
        <f>GC_TCD!AA105</f>
        <v>1.0356235647563925</v>
      </c>
      <c r="K102" s="42">
        <f>GC_TCD!AB105</f>
        <v>3.0066490589701718</v>
      </c>
      <c r="L102" s="105">
        <f>GC_TCD!AC105</f>
        <v>3.211789139492602E-3</v>
      </c>
      <c r="M102" s="42">
        <f t="shared" ref="M102:M133" si="47">(N102/10^6)*1440/B102</f>
        <v>2.1983871885859788E-6</v>
      </c>
      <c r="N102">
        <f t="shared" ref="N102:N133" si="48">I102*E102/100</f>
        <v>0.32363236398637263</v>
      </c>
      <c r="O102">
        <f t="shared" ref="O102:O133" si="49">C102/100*I102</f>
        <v>1.4300890942931238E-2</v>
      </c>
      <c r="P102">
        <f t="shared" ref="P102:P133" si="50">I102*G102/100</f>
        <v>4.8878270843814246E-3</v>
      </c>
      <c r="Q102">
        <f t="shared" ref="Q102:Q133" si="51">IFERROR(VLOOKUP(A102,$CK$5:$CM$110,3,FALSE),Q101)</f>
        <v>450</v>
      </c>
      <c r="S102">
        <f t="shared" si="43"/>
        <v>170.5</v>
      </c>
      <c r="T102">
        <f>VFA!F99</f>
        <v>170.47083333333285</v>
      </c>
      <c r="U102">
        <f>VFA!K99</f>
        <v>21.95072</v>
      </c>
      <c r="V102">
        <f>VFA!L99</f>
        <v>343.53645075200001</v>
      </c>
      <c r="W102">
        <f>IF(VFA!M99&lt;=0,"",VFA!M99)</f>
        <v>4.8534319999999997</v>
      </c>
      <c r="X102">
        <f>VFA!N99</f>
        <v>552.35914405452797</v>
      </c>
      <c r="AJ102" s="45"/>
      <c r="CK102">
        <f t="shared" si="46"/>
        <v>131.9</v>
      </c>
      <c r="CL102">
        <f>'Liquid Volume'!A99</f>
        <v>131.87569444444671</v>
      </c>
      <c r="CM102">
        <f>'Liquid Volume'!C99</f>
        <v>450</v>
      </c>
    </row>
    <row r="103" spans="1:91" ht="15" customHeight="1" x14ac:dyDescent="0.3">
      <c r="A103">
        <f t="shared" si="42"/>
        <v>212.9</v>
      </c>
      <c r="B103">
        <f>GC_TCD!G106</f>
        <v>212.90416666666715</v>
      </c>
      <c r="C103">
        <f>GC_TCD!U106</f>
        <v>3.7776666666666667</v>
      </c>
      <c r="D103">
        <f>GC_TCD!V106</f>
        <v>1.8604390162897881E-2</v>
      </c>
      <c r="E103">
        <f>GC_TCD!W106</f>
        <v>94.91436666666668</v>
      </c>
      <c r="F103">
        <f>GC_TCD!X106</f>
        <v>7.7855143268336799E-2</v>
      </c>
      <c r="G103">
        <f>GC_TCD!Y106</f>
        <v>1.3079999999999998</v>
      </c>
      <c r="H103">
        <f>GC_TCD!Z106</f>
        <v>9.1934106837451776E-2</v>
      </c>
      <c r="I103" s="38">
        <f>GC_TCD!K106</f>
        <v>0.33723401515240631</v>
      </c>
      <c r="J103" s="42">
        <f>GC_TCD!AA106</f>
        <v>1.0242672949327269</v>
      </c>
      <c r="K103" s="42">
        <f>GC_TCD!AB106</f>
        <v>2.9736792433530783</v>
      </c>
      <c r="L103" s="105">
        <f>GC_TCD!AC106</f>
        <v>3.1765698326652455E-3</v>
      </c>
      <c r="M103" s="42">
        <f t="shared" si="47"/>
        <v>2.1649190334605603E-6</v>
      </c>
      <c r="N103">
        <f t="shared" si="48"/>
        <v>0.32008352966647718</v>
      </c>
      <c r="O103">
        <f t="shared" si="49"/>
        <v>1.2739576979074069E-2</v>
      </c>
      <c r="P103">
        <f t="shared" si="50"/>
        <v>4.4110209181934742E-3</v>
      </c>
      <c r="Q103">
        <f t="shared" si="51"/>
        <v>450</v>
      </c>
      <c r="S103">
        <f t="shared" si="43"/>
        <v>173.5</v>
      </c>
      <c r="T103">
        <f>VFA!F100</f>
        <v>173.47083333333285</v>
      </c>
      <c r="U103">
        <f>VFA!K100</f>
        <v>10.63288</v>
      </c>
      <c r="V103">
        <f>VFA!L100</f>
        <v>156.2045565448</v>
      </c>
      <c r="W103">
        <f>IF(VFA!M100&lt;=0,"",VFA!M100)</f>
        <v>1.199665</v>
      </c>
      <c r="X103">
        <f>VFA!N100</f>
        <v>250.0199725388272</v>
      </c>
      <c r="AJ103" s="45"/>
      <c r="CK103">
        <f t="shared" si="46"/>
        <v>132</v>
      </c>
      <c r="CL103">
        <f>'Liquid Volume'!A100</f>
        <v>131.99722222222044</v>
      </c>
      <c r="CM103">
        <f>'Liquid Volume'!C100</f>
        <v>450</v>
      </c>
    </row>
    <row r="104" spans="1:91" ht="15" customHeight="1" x14ac:dyDescent="0.3">
      <c r="A104">
        <f t="shared" si="42"/>
        <v>215.9</v>
      </c>
      <c r="B104">
        <f>GC_TCD!G107</f>
        <v>215.94583333333139</v>
      </c>
      <c r="C104">
        <f>GC_TCD!U107</f>
        <v>3.6379333333333332</v>
      </c>
      <c r="D104">
        <f>GC_TCD!V107</f>
        <v>1.7400383137544242E-2</v>
      </c>
      <c r="E104">
        <f>GC_TCD!W107</f>
        <v>95.479399999999998</v>
      </c>
      <c r="F104">
        <f>GC_TCD!X107</f>
        <v>0.1662166357498559</v>
      </c>
      <c r="G104">
        <f>GC_TCD!Y107</f>
        <v>0.88266666666666671</v>
      </c>
      <c r="H104">
        <f>GC_TCD!Z107</f>
        <v>0.18123703631800378</v>
      </c>
      <c r="I104" s="38">
        <f>GC_TCD!K107</f>
        <v>0.35331798165166045</v>
      </c>
      <c r="J104" s="42">
        <f>GC_TCD!AA107</f>
        <v>1.0795068447139695</v>
      </c>
      <c r="K104" s="42">
        <f>GC_TCD!AB107</f>
        <v>3.1340521298147506</v>
      </c>
      <c r="L104" s="105">
        <f>GC_TCD!AC107</f>
        <v>3.3478847699606224E-3</v>
      </c>
      <c r="M104" s="42">
        <f t="shared" si="47"/>
        <v>2.2495367130860313E-6</v>
      </c>
      <c r="N104">
        <f t="shared" si="48"/>
        <v>0.33734588897311546</v>
      </c>
      <c r="O104">
        <f t="shared" si="49"/>
        <v>1.2853472627166306E-2</v>
      </c>
      <c r="P104">
        <f t="shared" si="50"/>
        <v>3.1186200513786564E-3</v>
      </c>
      <c r="Q104">
        <f t="shared" si="51"/>
        <v>450</v>
      </c>
      <c r="S104">
        <f t="shared" si="43"/>
        <v>174.5</v>
      </c>
      <c r="T104">
        <f>VFA!F101</f>
        <v>174.47083333333285</v>
      </c>
      <c r="U104">
        <f>VFA!K101</f>
        <v>27.770720000000001</v>
      </c>
      <c r="V104">
        <f>VFA!L101</f>
        <v>450.24251775200003</v>
      </c>
      <c r="W104">
        <f>IF(VFA!M101&lt;=0,"",VFA!M101)</f>
        <v>1.41351</v>
      </c>
      <c r="X104">
        <f>VFA!N101</f>
        <v>713.86829129652813</v>
      </c>
      <c r="AJ104" s="45"/>
      <c r="CK104">
        <f t="shared" si="46"/>
        <v>132</v>
      </c>
      <c r="CL104">
        <f>'Liquid Volume'!A101</f>
        <v>131.99722222222044</v>
      </c>
      <c r="CM104">
        <f>'Liquid Volume'!C101</f>
        <v>450</v>
      </c>
    </row>
    <row r="105" spans="1:91" ht="15" customHeight="1" x14ac:dyDescent="0.3">
      <c r="A105">
        <f t="shared" si="42"/>
        <v>216.9</v>
      </c>
      <c r="B105">
        <f>GC_TCD!G108</f>
        <v>216.92222222222335</v>
      </c>
      <c r="C105">
        <f>GC_TCD!U108</f>
        <v>4.3410333333333329</v>
      </c>
      <c r="D105">
        <f>GC_TCD!V108</f>
        <v>8.3814935025526963E-2</v>
      </c>
      <c r="E105">
        <f>GC_TCD!W108</f>
        <v>94.610566666666671</v>
      </c>
      <c r="F105">
        <f>GC_TCD!X108</f>
        <v>0.57489470630136252</v>
      </c>
      <c r="G105">
        <f>GC_TCD!Y108</f>
        <v>1.0483666666666667</v>
      </c>
      <c r="H105">
        <f>GC_TCD!Z108</f>
        <v>0.63167488736954991</v>
      </c>
      <c r="I105" s="38">
        <f>GC_TCD!K108</f>
        <v>0.36218783783669417</v>
      </c>
      <c r="J105" s="42">
        <f>GC_TCD!AA108</f>
        <v>1.0965374904801413</v>
      </c>
      <c r="K105" s="42">
        <f>GC_TCD!AB108</f>
        <v>3.183495940103636</v>
      </c>
      <c r="L105" s="105">
        <f>GC_TCD!AC108</f>
        <v>3.4007020724745934E-3</v>
      </c>
      <c r="M105" s="42">
        <f t="shared" si="47"/>
        <v>2.2747409908541457E-6</v>
      </c>
      <c r="N105">
        <f t="shared" si="48"/>
        <v>0.3426679657750441</v>
      </c>
      <c r="O105">
        <f t="shared" si="49"/>
        <v>1.572269476977017E-2</v>
      </c>
      <c r="P105">
        <f t="shared" si="50"/>
        <v>3.7970565626006224E-3</v>
      </c>
      <c r="Q105">
        <f t="shared" si="51"/>
        <v>450</v>
      </c>
      <c r="S105">
        <f t="shared" si="43"/>
        <v>175.5</v>
      </c>
      <c r="T105">
        <f>VFA!F102</f>
        <v>175.47083333333285</v>
      </c>
      <c r="U105">
        <f>VFA!K102</f>
        <v>24.836970000000001</v>
      </c>
      <c r="V105">
        <f>VFA!L102</f>
        <v>466.53838958910006</v>
      </c>
      <c r="W105">
        <f>IF(VFA!M102&lt;=0,"",VFA!M102)</f>
        <v>1.549593</v>
      </c>
      <c r="X105">
        <f>VFA!N102</f>
        <v>735.65732890189747</v>
      </c>
      <c r="AJ105" s="45"/>
      <c r="CK105">
        <f t="shared" si="46"/>
        <v>133</v>
      </c>
      <c r="CL105">
        <f>'Liquid Volume'!A102</f>
        <v>133</v>
      </c>
      <c r="CM105">
        <f>'Liquid Volume'!C102</f>
        <v>450</v>
      </c>
    </row>
    <row r="106" spans="1:91" ht="15" customHeight="1" x14ac:dyDescent="0.3">
      <c r="A106">
        <f t="shared" si="42"/>
        <v>217.9</v>
      </c>
      <c r="B106">
        <f>GC_TCD!G109</f>
        <v>217.9333333333343</v>
      </c>
      <c r="C106">
        <f>GC_TCD!U109</f>
        <v>4.0876999999999999</v>
      </c>
      <c r="D106">
        <f>GC_TCD!V109</f>
        <v>1.2735383779061738E-2</v>
      </c>
      <c r="E106">
        <f>GC_TCD!W109</f>
        <v>95.237866666666676</v>
      </c>
      <c r="F106">
        <f>GC_TCD!X109</f>
        <v>9.5749273278355362E-2</v>
      </c>
      <c r="G106">
        <f>GC_TCD!Y109</f>
        <v>0.6744</v>
      </c>
      <c r="H106">
        <f>GC_TCD!Z109</f>
        <v>8.5037403535149811E-2</v>
      </c>
      <c r="I106" s="38">
        <f>GC_TCD!K109</f>
        <v>0.34370467032972529</v>
      </c>
      <c r="J106" s="42">
        <f>GC_TCD!AA109</f>
        <v>1.0474783860983361</v>
      </c>
      <c r="K106" s="42">
        <f>GC_TCD!AB109</f>
        <v>3.0410662822209762</v>
      </c>
      <c r="L106" s="105">
        <f>GC_TCD!AC109</f>
        <v>3.2485546088508012E-3</v>
      </c>
      <c r="M106" s="42">
        <f t="shared" si="47"/>
        <v>2.1628874598237192E-6</v>
      </c>
      <c r="N106">
        <f t="shared" si="48"/>
        <v>0.32733699565573005</v>
      </c>
      <c r="O106">
        <f t="shared" si="49"/>
        <v>1.404961580906818E-2</v>
      </c>
      <c r="P106">
        <f t="shared" si="50"/>
        <v>2.3179442967036674E-3</v>
      </c>
      <c r="Q106">
        <f t="shared" si="51"/>
        <v>450</v>
      </c>
      <c r="S106">
        <f t="shared" si="43"/>
        <v>176.5</v>
      </c>
      <c r="T106">
        <f>VFA!F103</f>
        <v>176.47083333333285</v>
      </c>
      <c r="U106">
        <f>VFA!K103</f>
        <v>14.942449999999999</v>
      </c>
      <c r="V106">
        <f>VFA!L103</f>
        <v>214.62050129299999</v>
      </c>
      <c r="W106">
        <f>IF(VFA!M103&lt;=0,"",VFA!M103)</f>
        <v>0.68357000000000001</v>
      </c>
      <c r="X106">
        <f>VFA!N103</f>
        <v>342.121763367602</v>
      </c>
      <c r="AJ106" s="45"/>
      <c r="CK106">
        <f t="shared" si="46"/>
        <v>133</v>
      </c>
      <c r="CL106">
        <f>'Liquid Volume'!A103</f>
        <v>133.01597222222335</v>
      </c>
      <c r="CM106">
        <f>'Liquid Volume'!C103</f>
        <v>450</v>
      </c>
    </row>
    <row r="107" spans="1:91" ht="15" customHeight="1" x14ac:dyDescent="0.3">
      <c r="A107">
        <f t="shared" si="42"/>
        <v>218.9</v>
      </c>
      <c r="B107">
        <f>GC_TCD!G110</f>
        <v>218.8972222222219</v>
      </c>
      <c r="C107">
        <f>GC_TCD!U110</f>
        <v>3.9913666666666665</v>
      </c>
      <c r="D107">
        <f>GC_TCD!V110</f>
        <v>8.0784672638646887E-2</v>
      </c>
      <c r="E107">
        <f>GC_TCD!W110</f>
        <v>94.664333333333346</v>
      </c>
      <c r="F107">
        <f>GC_TCD!X110</f>
        <v>1.1963431043531563</v>
      </c>
      <c r="G107">
        <f>GC_TCD!Y110</f>
        <v>1.3442999999999998</v>
      </c>
      <c r="H107">
        <f>GC_TCD!Z110</f>
        <v>1.2738142839519431</v>
      </c>
      <c r="I107" s="38">
        <f>GC_TCD!K110</f>
        <v>0.37590984103005748</v>
      </c>
      <c r="J107" s="42">
        <f>GC_TCD!AA110</f>
        <v>1.1387281438255905</v>
      </c>
      <c r="K107" s="42">
        <f>GC_TCD!AB110</f>
        <v>3.3059849336871991</v>
      </c>
      <c r="L107" s="105">
        <f>GC_TCD!AC110</f>
        <v>3.5315483440490408E-3</v>
      </c>
      <c r="M107" s="42">
        <f t="shared" si="47"/>
        <v>2.3409509701375068E-6</v>
      </c>
      <c r="N107">
        <f t="shared" si="48"/>
        <v>0.35585254494549706</v>
      </c>
      <c r="O107">
        <f t="shared" si="49"/>
        <v>1.500394009159337E-2</v>
      </c>
      <c r="P107">
        <f t="shared" si="50"/>
        <v>5.0533559929670626E-3</v>
      </c>
      <c r="Q107">
        <f t="shared" si="51"/>
        <v>450</v>
      </c>
      <c r="S107">
        <f t="shared" si="43"/>
        <v>177.5</v>
      </c>
      <c r="T107">
        <f>VFA!F104</f>
        <v>177.47083333333285</v>
      </c>
      <c r="U107">
        <f>VFA!K104</f>
        <v>13.050660000000001</v>
      </c>
      <c r="V107">
        <f>VFA!L104</f>
        <v>203.53235106960003</v>
      </c>
      <c r="W107">
        <f>IF(VFA!M104&lt;=0,"",VFA!M104)</f>
        <v>0.78334499999999996</v>
      </c>
      <c r="X107">
        <f>VFA!N104</f>
        <v>323.49715494937442</v>
      </c>
      <c r="AJ107" s="45"/>
      <c r="CK107">
        <f t="shared" si="46"/>
        <v>133.9</v>
      </c>
      <c r="CL107">
        <f>'Liquid Volume'!A104</f>
        <v>133.89861111110804</v>
      </c>
      <c r="CM107">
        <f>'Liquid Volume'!C104</f>
        <v>450</v>
      </c>
    </row>
    <row r="108" spans="1:91" ht="15" customHeight="1" x14ac:dyDescent="0.3">
      <c r="A108">
        <f t="shared" si="42"/>
        <v>225.9</v>
      </c>
      <c r="B108">
        <f>GC_TCD!G111</f>
        <v>225.8701388888876</v>
      </c>
      <c r="C108">
        <f>GC_TCD!U111</f>
        <v>4.2818000000000005</v>
      </c>
      <c r="D108">
        <f>GC_TCD!V111</f>
        <v>4.4675160883873626E-2</v>
      </c>
      <c r="E108">
        <f>GC_TCD!W111</f>
        <v>94.276500000000013</v>
      </c>
      <c r="F108">
        <f>GC_TCD!X111</f>
        <v>0.98882998033029335</v>
      </c>
      <c r="G108">
        <f>GC_TCD!Y111</f>
        <v>1.4417</v>
      </c>
      <c r="H108">
        <f>GC_TCD!Z111</f>
        <v>1.0247969603780058</v>
      </c>
      <c r="I108" s="38">
        <f>GC_TCD!K111</f>
        <v>0.35465514391001818</v>
      </c>
      <c r="J108" s="42">
        <f>GC_TCD!AA111</f>
        <v>1.0699406615946507</v>
      </c>
      <c r="K108" s="42">
        <f>GC_TCD!AB111</f>
        <v>3.106279340113502</v>
      </c>
      <c r="L108" s="105">
        <f>GC_TCD!AC111</f>
        <v>3.3182170759310323E-3</v>
      </c>
      <c r="M108" s="42">
        <f t="shared" si="47"/>
        <v>2.1316376750201772E-6</v>
      </c>
      <c r="N108">
        <f t="shared" si="48"/>
        <v>0.33435645674832837</v>
      </c>
      <c r="O108">
        <f t="shared" si="49"/>
        <v>1.5185623951939158E-2</v>
      </c>
      <c r="P108">
        <f t="shared" si="50"/>
        <v>5.1130632097507326E-3</v>
      </c>
      <c r="Q108">
        <f t="shared" si="51"/>
        <v>450</v>
      </c>
      <c r="S108">
        <f t="shared" si="43"/>
        <v>180.5</v>
      </c>
      <c r="T108">
        <f>VFA!F105</f>
        <v>180.47083333333285</v>
      </c>
      <c r="U108">
        <f>VFA!K105</f>
        <v>11.0349</v>
      </c>
      <c r="V108">
        <f>VFA!L105</f>
        <v>173.33720234100002</v>
      </c>
      <c r="W108">
        <f>IF(VFA!M105&lt;=0,"",VFA!M105)</f>
        <v>0.50776200000000005</v>
      </c>
      <c r="X108">
        <f>VFA!N105</f>
        <v>275.12987396027404</v>
      </c>
      <c r="AJ108" s="45"/>
      <c r="CK108">
        <f t="shared" si="46"/>
        <v>135</v>
      </c>
      <c r="CL108">
        <f>'Liquid Volume'!A105</f>
        <v>135.02430555555475</v>
      </c>
      <c r="CM108">
        <f>'Liquid Volume'!C105</f>
        <v>450</v>
      </c>
    </row>
    <row r="109" spans="1:91" ht="15" customHeight="1" x14ac:dyDescent="0.3">
      <c r="A109">
        <f t="shared" si="42"/>
        <v>232.9</v>
      </c>
      <c r="B109">
        <f>GC_TCD!G112</f>
        <v>232.90486111111386</v>
      </c>
      <c r="C109">
        <f>GC_TCD!U112</f>
        <v>2.8433333333333333</v>
      </c>
      <c r="D109">
        <f>GC_TCD!V112</f>
        <v>1.5557741909844497E-2</v>
      </c>
      <c r="E109">
        <f>GC_TCD!W112</f>
        <v>95.838633333333334</v>
      </c>
      <c r="F109">
        <f>GC_TCD!X112</f>
        <v>1.0941032599043581</v>
      </c>
      <c r="G109">
        <f>GC_TCD!Y112</f>
        <v>1.3180333333333334</v>
      </c>
      <c r="H109">
        <f>GC_TCD!Z112</f>
        <v>1.1083021669803468</v>
      </c>
      <c r="I109" s="38">
        <f>GC_TCD!K112</f>
        <v>0.3510413030600153</v>
      </c>
      <c r="J109" s="42">
        <f>GC_TCD!AA112</f>
        <v>1.0765861993223795</v>
      </c>
      <c r="K109" s="42">
        <f>GC_TCD!AB112</f>
        <v>3.1255728367423918</v>
      </c>
      <c r="L109" s="105">
        <f>GC_TCD!AC112</f>
        <v>3.3388269448316379E-3</v>
      </c>
      <c r="M109" s="42">
        <f t="shared" si="47"/>
        <v>2.0800930791390551E-6</v>
      </c>
      <c r="N109">
        <f t="shared" si="48"/>
        <v>0.33643318728824356</v>
      </c>
      <c r="O109">
        <f t="shared" si="49"/>
        <v>9.9812743836731003E-3</v>
      </c>
      <c r="P109">
        <f t="shared" si="50"/>
        <v>4.6268413880986882E-3</v>
      </c>
      <c r="Q109">
        <f t="shared" si="51"/>
        <v>450</v>
      </c>
      <c r="S109">
        <f t="shared" si="43"/>
        <v>181.5</v>
      </c>
      <c r="T109">
        <f>VFA!F106</f>
        <v>181.47083333333285</v>
      </c>
      <c r="U109">
        <f>VFA!K106</f>
        <v>12.01375</v>
      </c>
      <c r="V109">
        <f>VFA!L106</f>
        <v>198.0573609875</v>
      </c>
      <c r="W109">
        <f>IF(VFA!M106&lt;=0,"",VFA!M106)</f>
        <v>0.43864500000000001</v>
      </c>
      <c r="X109">
        <f>VFA!N106</f>
        <v>313.47497239507504</v>
      </c>
      <c r="AJ109" s="45"/>
      <c r="CK109">
        <f t="shared" si="46"/>
        <v>136</v>
      </c>
      <c r="CL109">
        <f>'Liquid Volume'!A106</f>
        <v>135.97847222222481</v>
      </c>
      <c r="CM109">
        <f>'Liquid Volume'!C106</f>
        <v>450</v>
      </c>
    </row>
    <row r="110" spans="1:91" ht="15" customHeight="1" x14ac:dyDescent="0.3">
      <c r="A110">
        <f t="shared" si="42"/>
        <v>233.9</v>
      </c>
      <c r="B110">
        <f>GC_TCD!G113</f>
        <v>233.92291666666279</v>
      </c>
      <c r="C110">
        <f>GC_TCD!U113</f>
        <v>3.3821333333333334</v>
      </c>
      <c r="D110">
        <f>GC_TCD!V113</f>
        <v>4.7872991689817318E-2</v>
      </c>
      <c r="E110">
        <f>GC_TCD!W113</f>
        <v>95.826766666666671</v>
      </c>
      <c r="F110">
        <f>GC_TCD!X113</f>
        <v>1.3720501898011355</v>
      </c>
      <c r="G110">
        <f>GC_TCD!Y113</f>
        <v>0.79139999999999988</v>
      </c>
      <c r="H110">
        <f>GC_TCD!Z113</f>
        <v>1.336167830027351</v>
      </c>
      <c r="I110" s="38">
        <f>GC_TCD!K113</f>
        <v>0.338931514326901</v>
      </c>
      <c r="J110" s="42">
        <f>GC_TCD!AA113</f>
        <v>1.0393187564602859</v>
      </c>
      <c r="K110" s="42">
        <f>GC_TCD!AB113</f>
        <v>3.0173770348847011</v>
      </c>
      <c r="L110" s="105">
        <f>GC_TCD!AC113</f>
        <v>3.2232490724130162E-3</v>
      </c>
      <c r="M110" s="42">
        <f t="shared" si="47"/>
        <v>1.999348533575211E-6</v>
      </c>
      <c r="N110">
        <f t="shared" si="48"/>
        <v>0.32478711139383931</v>
      </c>
      <c r="O110">
        <f t="shared" si="49"/>
        <v>1.1463115723221562E-2</v>
      </c>
      <c r="P110">
        <f t="shared" si="50"/>
        <v>2.6823040043830941E-3</v>
      </c>
      <c r="Q110">
        <f t="shared" si="51"/>
        <v>450</v>
      </c>
      <c r="S110">
        <f t="shared" si="43"/>
        <v>182.5</v>
      </c>
      <c r="T110">
        <f>VFA!F107</f>
        <v>182.47083333333285</v>
      </c>
      <c r="U110">
        <f>VFA!K107</f>
        <v>11.17474</v>
      </c>
      <c r="V110">
        <f>VFA!L107</f>
        <v>159.6263557618</v>
      </c>
      <c r="W110" t="str">
        <f>IF(VFA!M107&lt;=0,"",VFA!M107)</f>
        <v/>
      </c>
      <c r="X110">
        <f>VFA!N107</f>
        <v>11.923447579999999</v>
      </c>
      <c r="AJ110" s="45"/>
      <c r="CK110">
        <f t="shared" si="46"/>
        <v>136</v>
      </c>
      <c r="CL110">
        <f>'Liquid Volume'!A107</f>
        <v>136.01944444444234</v>
      </c>
      <c r="CM110">
        <f>'Liquid Volume'!C107</f>
        <v>450</v>
      </c>
    </row>
    <row r="111" spans="1:91" ht="15" customHeight="1" x14ac:dyDescent="0.3">
      <c r="A111">
        <f t="shared" si="42"/>
        <v>236.9</v>
      </c>
      <c r="B111">
        <f>GC_TCD!G114</f>
        <v>236.91249999999854</v>
      </c>
      <c r="C111">
        <f>GC_TCD!U114</f>
        <v>3.3588666666666662</v>
      </c>
      <c r="D111">
        <f>GC_TCD!V114</f>
        <v>3.4772738364030741E-2</v>
      </c>
      <c r="E111">
        <f>GC_TCD!W114</f>
        <v>95.883799999999994</v>
      </c>
      <c r="F111">
        <f>GC_TCD!X114</f>
        <v>1.0170272169416092</v>
      </c>
      <c r="G111">
        <f>GC_TCD!Y114</f>
        <v>0.75729999999999997</v>
      </c>
      <c r="H111">
        <f>GC_TCD!Z114</f>
        <v>0.98353672020926597</v>
      </c>
      <c r="I111" s="38">
        <f>GC_TCD!K114</f>
        <v>0.33989240270305521</v>
      </c>
      <c r="J111" s="42">
        <f>GC_TCD!AA114</f>
        <v>1.0428856051935746</v>
      </c>
      <c r="K111" s="42">
        <f>GC_TCD!AB114</f>
        <v>3.0277324021748937</v>
      </c>
      <c r="L111" s="105">
        <f>GC_TCD!AC114</f>
        <v>3.234310974066909E-3</v>
      </c>
      <c r="M111" s="42">
        <f t="shared" si="47"/>
        <v>1.9808938841855597E-6</v>
      </c>
      <c r="N111">
        <f t="shared" si="48"/>
        <v>0.32590175162299206</v>
      </c>
      <c r="O111">
        <f t="shared" si="49"/>
        <v>1.1416532616925353E-2</v>
      </c>
      <c r="P111">
        <f t="shared" si="50"/>
        <v>2.5740051656702369E-3</v>
      </c>
      <c r="Q111">
        <f t="shared" si="51"/>
        <v>450</v>
      </c>
      <c r="S111">
        <f t="shared" si="43"/>
        <v>187.5</v>
      </c>
      <c r="T111">
        <f>VFA!F108</f>
        <v>187.47083333333285</v>
      </c>
      <c r="U111">
        <f>VFA!K108</f>
        <v>5.8454839999999999</v>
      </c>
      <c r="V111">
        <f>VFA!L108</f>
        <v>50.468476712420006</v>
      </c>
      <c r="W111" t="str">
        <f>IF(VFA!M108&lt;=0,"",VFA!M108)</f>
        <v/>
      </c>
      <c r="X111">
        <f>VFA!N108</f>
        <v>6.2371314279999996</v>
      </c>
      <c r="AJ111" s="45"/>
      <c r="CK111">
        <f t="shared" si="46"/>
        <v>138.9</v>
      </c>
      <c r="CL111">
        <f>'Liquid Volume'!A108</f>
        <v>138.9020833333343</v>
      </c>
      <c r="CM111">
        <f>'Liquid Volume'!C108</f>
        <v>450</v>
      </c>
    </row>
    <row r="112" spans="1:91" ht="15" customHeight="1" x14ac:dyDescent="0.3">
      <c r="A112">
        <f t="shared" si="42"/>
        <v>237.9</v>
      </c>
      <c r="B112">
        <f>GC_TCD!G115</f>
        <v>237.93541666666715</v>
      </c>
      <c r="C112">
        <f>GC_TCD!U115</f>
        <v>3.7687000000000004</v>
      </c>
      <c r="D112">
        <f>GC_TCD!V115</f>
        <v>1.5694266469000743E-2</v>
      </c>
      <c r="E112">
        <f>GC_TCD!W115</f>
        <v>95.724033333333338</v>
      </c>
      <c r="F112">
        <f>GC_TCD!X115</f>
        <v>0.16988126245508922</v>
      </c>
      <c r="G112">
        <f>GC_TCD!Y115</f>
        <v>0.50666666666666671</v>
      </c>
      <c r="H112">
        <f>GC_TCD!Z115</f>
        <v>0.17576479548912338</v>
      </c>
      <c r="I112" s="38">
        <f>GC_TCD!K115</f>
        <v>0.36135763747385435</v>
      </c>
      <c r="J112" s="42">
        <f>GC_TCD!AA115</f>
        <v>1.1068995371136583</v>
      </c>
      <c r="K112" s="42">
        <f>GC_TCD!AB115</f>
        <v>3.2135793012977176</v>
      </c>
      <c r="L112" s="105">
        <f>GC_TCD!AC115</f>
        <v>3.432837985535122E-3</v>
      </c>
      <c r="M112" s="42">
        <f t="shared" si="47"/>
        <v>2.0934453503362231E-6</v>
      </c>
      <c r="N112">
        <f t="shared" si="48"/>
        <v>0.34590610534801819</v>
      </c>
      <c r="O112">
        <f t="shared" si="49"/>
        <v>1.3618485283477151E-2</v>
      </c>
      <c r="P112">
        <f t="shared" si="50"/>
        <v>1.8308786965341955E-3</v>
      </c>
      <c r="Q112">
        <f t="shared" si="51"/>
        <v>450</v>
      </c>
      <c r="S112">
        <f t="shared" si="43"/>
        <v>188.5</v>
      </c>
      <c r="T112">
        <f>VFA!F109</f>
        <v>188.47083333333285</v>
      </c>
      <c r="U112">
        <f>VFA!K109</f>
        <v>6.1294909999999998</v>
      </c>
      <c r="V112">
        <f>VFA!L109</f>
        <v>67.487350872570005</v>
      </c>
      <c r="W112" t="str">
        <f>IF(VFA!M109&lt;=0,"",VFA!M109)</f>
        <v/>
      </c>
      <c r="X112">
        <f>VFA!N109</f>
        <v>6.5401668969999998</v>
      </c>
      <c r="AJ112" s="45"/>
      <c r="CK112">
        <f t="shared" si="46"/>
        <v>139</v>
      </c>
      <c r="CL112">
        <f>'Liquid Volume'!A109</f>
        <v>138.95763888888905</v>
      </c>
      <c r="CM112">
        <f>'Liquid Volume'!C109</f>
        <v>450</v>
      </c>
    </row>
    <row r="113" spans="1:91" ht="15" customHeight="1" x14ac:dyDescent="0.3">
      <c r="A113">
        <f t="shared" si="42"/>
        <v>238.9</v>
      </c>
      <c r="B113">
        <f>GC_TCD!G116</f>
        <v>238.88958333332994</v>
      </c>
      <c r="C113">
        <f>GC_TCD!U116</f>
        <v>4.3159666666666672</v>
      </c>
      <c r="D113">
        <f>GC_TCD!V116</f>
        <v>7.2042510598488443E-2</v>
      </c>
      <c r="E113">
        <f>GC_TCD!W116</f>
        <v>95.182900000000004</v>
      </c>
      <c r="F113">
        <f>GC_TCD!X116</f>
        <v>2.2099095004095001E-2</v>
      </c>
      <c r="G113">
        <f>GC_TCD!Y116</f>
        <v>0.50109999999999999</v>
      </c>
      <c r="H113">
        <f>GC_TCD!Z116</f>
        <v>9.085114198511772E-2</v>
      </c>
      <c r="I113" s="38">
        <f>GC_TCD!K116</f>
        <v>0.38366504783087224</v>
      </c>
      <c r="J113" s="42">
        <f>GC_TCD!AA116</f>
        <v>1.1685872601977965</v>
      </c>
      <c r="K113" s="42">
        <f>GC_TCD!AB116</f>
        <v>3.3926726908968283</v>
      </c>
      <c r="L113" s="105">
        <f>GC_TCD!AC116</f>
        <v>3.6241507035769012E-3</v>
      </c>
      <c r="M113" s="42">
        <f t="shared" si="47"/>
        <v>2.2012858817508747E-6</v>
      </c>
      <c r="N113">
        <f t="shared" si="48"/>
        <v>0.36518351881181133</v>
      </c>
      <c r="O113">
        <f t="shared" si="49"/>
        <v>1.6558855576031171E-2</v>
      </c>
      <c r="P113">
        <f t="shared" si="50"/>
        <v>1.9225455546805006E-3</v>
      </c>
      <c r="Q113">
        <f t="shared" si="51"/>
        <v>450</v>
      </c>
      <c r="S113">
        <f t="shared" si="43"/>
        <v>189.5</v>
      </c>
      <c r="T113">
        <f>VFA!F110</f>
        <v>189.47083333333285</v>
      </c>
      <c r="U113">
        <f>VFA!K110</f>
        <v>6.3876780000000002</v>
      </c>
      <c r="V113">
        <f>VFA!L110</f>
        <v>54.418059721871998</v>
      </c>
      <c r="W113" t="str">
        <f>IF(VFA!M110&lt;=0,"",VFA!M110)</f>
        <v/>
      </c>
      <c r="X113">
        <f>VFA!N110</f>
        <v>6.8156524259999998</v>
      </c>
      <c r="AJ113" s="45"/>
      <c r="CK113">
        <f t="shared" si="46"/>
        <v>139</v>
      </c>
      <c r="CL113">
        <f>'Liquid Volume'!A110</f>
        <v>138.96041666666861</v>
      </c>
      <c r="CM113">
        <f>'Liquid Volume'!C110</f>
        <v>450</v>
      </c>
    </row>
    <row r="114" spans="1:91" ht="15" customHeight="1" x14ac:dyDescent="0.3">
      <c r="A114">
        <f t="shared" si="42"/>
        <v>240</v>
      </c>
      <c r="B114">
        <f>GC_TCD!G117</f>
        <v>240.04305555555766</v>
      </c>
      <c r="C114">
        <f>GC_TCD!U117</f>
        <v>4.7865666666666664</v>
      </c>
      <c r="D114">
        <f>GC_TCD!V117</f>
        <v>5.14346510956704E-2</v>
      </c>
      <c r="E114">
        <f>GC_TCD!W117</f>
        <v>94.508233333333337</v>
      </c>
      <c r="F114">
        <f>GC_TCD!X117</f>
        <v>0.3400264891641982</v>
      </c>
      <c r="G114">
        <f>GC_TCD!Y117</f>
        <v>0.70520000000000005</v>
      </c>
      <c r="H114">
        <f>GC_TCD!Z117</f>
        <v>0.29830536367956917</v>
      </c>
      <c r="I114" s="38">
        <f>GC_TCD!K117</f>
        <v>0.36931468446424193</v>
      </c>
      <c r="J114" s="42">
        <f>GC_TCD!AA117</f>
        <v>1.1169049079287343</v>
      </c>
      <c r="K114" s="42">
        <f>GC_TCD!AB117</f>
        <v>3.2426271520511651</v>
      </c>
      <c r="L114" s="105">
        <f>GC_TCD!AC117</f>
        <v>3.4638677365122711E-3</v>
      </c>
      <c r="M114" s="42">
        <f t="shared" si="47"/>
        <v>2.0938210747429963E-6</v>
      </c>
      <c r="N114">
        <f t="shared" si="48"/>
        <v>0.3490327837277295</v>
      </c>
      <c r="O114">
        <f t="shared" si="49"/>
        <v>1.7677493581670582E-2</v>
      </c>
      <c r="P114">
        <f t="shared" si="50"/>
        <v>2.6044071548418342E-3</v>
      </c>
      <c r="Q114">
        <f t="shared" si="51"/>
        <v>450</v>
      </c>
      <c r="S114">
        <f t="shared" si="43"/>
        <v>190.5</v>
      </c>
      <c r="T114">
        <f>VFA!F111</f>
        <v>190.47083333333285</v>
      </c>
      <c r="U114">
        <f>VFA!K111</f>
        <v>5.6018470000000002</v>
      </c>
      <c r="V114">
        <f>VFA!L111</f>
        <v>23.762071456316001</v>
      </c>
      <c r="W114" t="str">
        <f>IF(VFA!M111&lt;=0,"",VFA!M111)</f>
        <v/>
      </c>
      <c r="X114">
        <f>VFA!N111</f>
        <v>5.9771707489999999</v>
      </c>
      <c r="AJ114" s="45"/>
      <c r="CK114">
        <f t="shared" si="46"/>
        <v>139.9</v>
      </c>
      <c r="CL114">
        <f>'Liquid Volume'!A111</f>
        <v>139.88749999999709</v>
      </c>
      <c r="CM114">
        <f>'Liquid Volume'!C111</f>
        <v>450</v>
      </c>
    </row>
    <row r="115" spans="1:91" ht="15" customHeight="1" x14ac:dyDescent="0.3">
      <c r="A115">
        <f t="shared" si="42"/>
        <v>240.9</v>
      </c>
      <c r="B115">
        <f>GC_TCD!G118</f>
        <v>240.91458333333139</v>
      </c>
      <c r="C115">
        <f>GC_TCD!U118</f>
        <v>5.2729666666666661</v>
      </c>
      <c r="D115">
        <f>GC_TCD!V118</f>
        <v>4.5357836515130846E-2</v>
      </c>
      <c r="E115">
        <f>GC_TCD!W118</f>
        <v>93.948033333333328</v>
      </c>
      <c r="F115">
        <f>GC_TCD!X118</f>
        <v>8.8127767096036494E-2</v>
      </c>
      <c r="G115">
        <f>GC_TCD!Y118</f>
        <v>0.77900000000000003</v>
      </c>
      <c r="H115">
        <f>GC_TCD!Z118</f>
        <v>5.0846533805167071E-2</v>
      </c>
      <c r="I115" s="38">
        <f>GC_TCD!K118</f>
        <v>0.43748610197577364</v>
      </c>
      <c r="J115" s="42">
        <f>GC_TCD!AA118</f>
        <v>1.3152306845212816</v>
      </c>
      <c r="K115" s="42">
        <f>GC_TCD!AB118</f>
        <v>3.8184116647392039</v>
      </c>
      <c r="L115" s="105">
        <f>GC_TCD!AC118</f>
        <v>4.0789373400039733E-3</v>
      </c>
      <c r="M115" s="42">
        <f t="shared" si="47"/>
        <v>2.4566956464220471E-6</v>
      </c>
      <c r="N115">
        <f t="shared" si="48"/>
        <v>0.41100958891290046</v>
      </c>
      <c r="O115">
        <f t="shared" si="49"/>
        <v>2.3068496328481881E-2</v>
      </c>
      <c r="P115">
        <f t="shared" si="50"/>
        <v>3.4080167343912772E-3</v>
      </c>
      <c r="Q115">
        <f t="shared" si="51"/>
        <v>450</v>
      </c>
      <c r="S115">
        <f t="shared" si="43"/>
        <v>191.5</v>
      </c>
      <c r="T115">
        <f>VFA!F112</f>
        <v>191.47083333333285</v>
      </c>
      <c r="U115">
        <f>VFA!K112</f>
        <v>7.2684249999999997</v>
      </c>
      <c r="V115">
        <f>VFA!L112</f>
        <v>33.814195858700003</v>
      </c>
      <c r="W115" t="str">
        <f>IF(VFA!M112&lt;=0,"",VFA!M112)</f>
        <v/>
      </c>
      <c r="X115">
        <f>VFA!N112</f>
        <v>7.7554094749999996</v>
      </c>
      <c r="AJ115" s="45"/>
      <c r="CK115">
        <f t="shared" si="46"/>
        <v>140.9</v>
      </c>
      <c r="CL115">
        <f>'Liquid Volume'!A112</f>
        <v>140.8930555555562</v>
      </c>
      <c r="CM115">
        <f>'Liquid Volume'!C112</f>
        <v>450</v>
      </c>
    </row>
    <row r="116" spans="1:91" ht="15" customHeight="1" x14ac:dyDescent="0.3">
      <c r="A116">
        <f t="shared" si="42"/>
        <v>243.9</v>
      </c>
      <c r="B116">
        <f>GC_TCD!G119</f>
        <v>243.88541666666424</v>
      </c>
      <c r="C116">
        <f>GC_TCD!U119</f>
        <v>6.32</v>
      </c>
      <c r="D116">
        <f>GC_TCD!V119</f>
        <v>4.2726923596252457E-2</v>
      </c>
      <c r="E116">
        <f>GC_TCD!W119</f>
        <v>92.695399999999992</v>
      </c>
      <c r="F116">
        <f>GC_TCD!X119</f>
        <v>6.6554263574921765E-2</v>
      </c>
      <c r="G116">
        <f>GC_TCD!Y119</f>
        <v>0.98456666666666681</v>
      </c>
      <c r="H116">
        <f>GC_TCD!Z119</f>
        <v>7.4912571263662631E-2</v>
      </c>
      <c r="I116" s="38">
        <f>GC_TCD!K119</f>
        <v>0.37146051582655759</v>
      </c>
      <c r="J116" s="42">
        <f>GC_TCD!AA119</f>
        <v>1.1018457951599707</v>
      </c>
      <c r="K116" s="42">
        <f>GC_TCD!AB119</f>
        <v>3.1989071472386246</v>
      </c>
      <c r="L116" s="105">
        <f>GC_TCD!AC119</f>
        <v>3.4171647678979105E-3</v>
      </c>
      <c r="M116" s="42">
        <f t="shared" si="47"/>
        <v>2.0330473818353567E-6</v>
      </c>
      <c r="N116">
        <f t="shared" si="48"/>
        <v>0.34432681098749085</v>
      </c>
      <c r="O116">
        <f t="shared" si="49"/>
        <v>2.3476304600238442E-2</v>
      </c>
      <c r="P116">
        <f t="shared" si="50"/>
        <v>3.6572764186563445E-3</v>
      </c>
      <c r="Q116">
        <f t="shared" si="51"/>
        <v>450</v>
      </c>
      <c r="S116">
        <f t="shared" si="43"/>
        <v>194.5</v>
      </c>
      <c r="T116">
        <f>VFA!F113</f>
        <v>194.47083333333285</v>
      </c>
      <c r="U116">
        <f>VFA!K113</f>
        <v>4.4438370000000003</v>
      </c>
      <c r="V116">
        <f>VFA!L113</f>
        <v>1.636234114911</v>
      </c>
      <c r="W116" t="str">
        <f>IF(VFA!M113&lt;=0,"",VFA!M113)</f>
        <v/>
      </c>
      <c r="X116">
        <f>VFA!N113</f>
        <v>4.7415740790000003</v>
      </c>
      <c r="AJ116" s="45"/>
      <c r="CK116">
        <f t="shared" si="46"/>
        <v>141.9</v>
      </c>
      <c r="CL116">
        <f>'Liquid Volume'!A113</f>
        <v>141.92638888888905</v>
      </c>
      <c r="CM116">
        <f>'Liquid Volume'!C113</f>
        <v>450</v>
      </c>
    </row>
    <row r="117" spans="1:91" ht="15" customHeight="1" x14ac:dyDescent="0.3">
      <c r="A117">
        <f t="shared" si="42"/>
        <v>244.9</v>
      </c>
      <c r="B117">
        <f>GC_TCD!G120</f>
        <v>244.91249999999854</v>
      </c>
      <c r="C117">
        <f>GC_TCD!U120</f>
        <v>6.4073666666666673</v>
      </c>
      <c r="D117">
        <f>GC_TCD!V120</f>
        <v>6.8369169464996049E-2</v>
      </c>
      <c r="E117">
        <f>GC_TCD!W120</f>
        <v>92.401933333333318</v>
      </c>
      <c r="F117">
        <f>GC_TCD!X120</f>
        <v>6.3597195954956331E-2</v>
      </c>
      <c r="G117">
        <f>GC_TCD!Y120</f>
        <v>1.1906999999999999</v>
      </c>
      <c r="H117">
        <f>GC_TCD!Z120</f>
        <v>0.10790361439729437</v>
      </c>
      <c r="I117" s="38">
        <f>GC_TCD!K120</f>
        <v>0.4103112914127236</v>
      </c>
      <c r="J117" s="42">
        <f>GC_TCD!AA120</f>
        <v>1.2132338110410361</v>
      </c>
      <c r="K117" s="42">
        <f>GC_TCD!AB120</f>
        <v>3.5222917094739761</v>
      </c>
      <c r="L117" s="105">
        <f>GC_TCD!AC120</f>
        <v>3.7626134732492507E-3</v>
      </c>
      <c r="M117" s="42">
        <f t="shared" si="47"/>
        <v>2.2291847699422021E-6</v>
      </c>
      <c r="N117">
        <f t="shared" si="48"/>
        <v>0.37913556595032383</v>
      </c>
      <c r="O117">
        <f t="shared" si="49"/>
        <v>2.6290148915548383E-2</v>
      </c>
      <c r="P117">
        <f t="shared" si="50"/>
        <v>4.8855765468512995E-3</v>
      </c>
      <c r="Q117">
        <f t="shared" si="51"/>
        <v>450</v>
      </c>
      <c r="S117">
        <f t="shared" si="43"/>
        <v>195.5</v>
      </c>
      <c r="T117">
        <f>VFA!F114</f>
        <v>195.47083333333285</v>
      </c>
      <c r="U117">
        <f>VFA!K114</f>
        <v>4.8067000000000002</v>
      </c>
      <c r="V117">
        <f>VFA!L114</f>
        <v>1.6911989413999999</v>
      </c>
      <c r="W117" t="str">
        <f>IF(VFA!M114&lt;=0,"",VFA!M114)</f>
        <v/>
      </c>
      <c r="X117">
        <f>VFA!N114</f>
        <v>5.1287488999999997</v>
      </c>
      <c r="AJ117" s="45"/>
      <c r="CK117">
        <f t="shared" si="46"/>
        <v>142.9</v>
      </c>
      <c r="CL117">
        <f>'Liquid Volume'!A114</f>
        <v>142.92500000000291</v>
      </c>
      <c r="CM117">
        <f>'Liquid Volume'!C114</f>
        <v>450</v>
      </c>
    </row>
    <row r="118" spans="1:91" ht="15" customHeight="1" x14ac:dyDescent="0.3">
      <c r="A118">
        <f t="shared" si="42"/>
        <v>245.9</v>
      </c>
      <c r="B118">
        <f>GC_TCD!G121</f>
        <v>245.94027777777956</v>
      </c>
      <c r="C118">
        <f>GC_TCD!U121</f>
        <v>6.325499999999999</v>
      </c>
      <c r="D118">
        <f>GC_TCD!V121</f>
        <v>0.27408642797482685</v>
      </c>
      <c r="E118">
        <f>GC_TCD!W121</f>
        <v>92.186266666666668</v>
      </c>
      <c r="F118">
        <f>GC_TCD!X121</f>
        <v>0.39402829001650341</v>
      </c>
      <c r="G118">
        <f>GC_TCD!Y121</f>
        <v>1.4882333333333335</v>
      </c>
      <c r="H118">
        <f>GC_TCD!Z121</f>
        <v>0.31282917596243032</v>
      </c>
      <c r="I118" s="38">
        <f>GC_TCD!K121</f>
        <v>0.35797790540428687</v>
      </c>
      <c r="J118" s="42">
        <f>GC_TCD!AA121</f>
        <v>1.0560206927479798</v>
      </c>
      <c r="K118" s="42">
        <f>GC_TCD!AB121</f>
        <v>3.0658665273328447</v>
      </c>
      <c r="L118" s="105">
        <f>GC_TCD!AC121</f>
        <v>3.2750469451177868E-3</v>
      </c>
      <c r="M118" s="42">
        <f t="shared" si="47"/>
        <v>1.9322142596178098E-6</v>
      </c>
      <c r="N118">
        <f t="shared" si="48"/>
        <v>0.33000646648374365</v>
      </c>
      <c r="O118">
        <f t="shared" si="49"/>
        <v>2.2643892406348162E-2</v>
      </c>
      <c r="P118">
        <f t="shared" si="50"/>
        <v>5.3275465141950666E-3</v>
      </c>
      <c r="Q118">
        <f t="shared" si="51"/>
        <v>450</v>
      </c>
      <c r="S118">
        <f t="shared" si="43"/>
        <v>196.5</v>
      </c>
      <c r="T118">
        <f>VFA!F115</f>
        <v>196.47083333333285</v>
      </c>
      <c r="U118">
        <f>VFA!K115</f>
        <v>5.4114719999999998</v>
      </c>
      <c r="V118">
        <f>VFA!L115</f>
        <v>2.9664444865439998</v>
      </c>
      <c r="W118" t="str">
        <f>IF(VFA!M115&lt;=0,"",VFA!M115)</f>
        <v/>
      </c>
      <c r="X118">
        <f>VFA!N115</f>
        <v>5.7740406239999995</v>
      </c>
      <c r="AJ118" s="45"/>
      <c r="CK118">
        <f t="shared" si="46"/>
        <v>145.9</v>
      </c>
      <c r="CL118">
        <f>'Liquid Volume'!A115</f>
        <v>145.90416666666715</v>
      </c>
      <c r="CM118">
        <f>'Liquid Volume'!C115</f>
        <v>450</v>
      </c>
    </row>
    <row r="119" spans="1:91" ht="15" customHeight="1" x14ac:dyDescent="0.3">
      <c r="A119">
        <f t="shared" si="42"/>
        <v>247</v>
      </c>
      <c r="B119">
        <f>GC_TCD!G122</f>
        <v>246.96250000000146</v>
      </c>
      <c r="C119">
        <f>GC_TCD!U122</f>
        <v>5.5926333333333327</v>
      </c>
      <c r="D119">
        <f>GC_TCD!V122</f>
        <v>2.6727015047201316E-3</v>
      </c>
      <c r="E119">
        <f>GC_TCD!W122</f>
        <v>93.231133333333332</v>
      </c>
      <c r="F119">
        <f>GC_TCD!X122</f>
        <v>0.34508173427948069</v>
      </c>
      <c r="G119">
        <f>GC_TCD!Y122</f>
        <v>1.1762333333333332</v>
      </c>
      <c r="H119">
        <f>GC_TCD!Z122</f>
        <v>0.34548100285447492</v>
      </c>
      <c r="I119" s="38">
        <f>GC_TCD!K122</f>
        <v>0.35840219629386882</v>
      </c>
      <c r="J119" s="42">
        <f>GC_TCD!AA122</f>
        <v>1.0692557743882622</v>
      </c>
      <c r="K119" s="42">
        <f>GC_TCD!AB122</f>
        <v>3.104290957901406</v>
      </c>
      <c r="L119" s="105">
        <f>GC_TCD!AC122</f>
        <v>3.3160930287713156E-3</v>
      </c>
      <c r="M119" s="42">
        <f t="shared" si="47"/>
        <v>1.9483326354192038E-6</v>
      </c>
      <c r="N119">
        <f t="shared" si="48"/>
        <v>0.33414242949633194</v>
      </c>
      <c r="O119">
        <f t="shared" si="49"/>
        <v>2.0044120697329672E-2</v>
      </c>
      <c r="P119">
        <f t="shared" si="50"/>
        <v>4.2156461002072496E-3</v>
      </c>
      <c r="Q119">
        <f t="shared" si="51"/>
        <v>450</v>
      </c>
      <c r="S119">
        <f t="shared" si="43"/>
        <v>201.5</v>
      </c>
      <c r="T119">
        <f>VFA!F116</f>
        <v>201.47083333333285</v>
      </c>
      <c r="U119">
        <f>VFA!K116</f>
        <v>4.8611319999999996</v>
      </c>
      <c r="V119">
        <f>VFA!L116</f>
        <v>48.062332918712002</v>
      </c>
      <c r="W119" t="str">
        <f>IF(VFA!M116&lt;=0,"",VFA!M116)</f>
        <v/>
      </c>
      <c r="X119">
        <f>VFA!N116</f>
        <v>5.1868278439999989</v>
      </c>
      <c r="AJ119" s="45"/>
      <c r="CK119">
        <f t="shared" si="46"/>
        <v>146</v>
      </c>
      <c r="CL119">
        <f>'Liquid Volume'!A116</f>
        <v>145.9819444444438</v>
      </c>
      <c r="CM119">
        <f>'Liquid Volume'!C116</f>
        <v>450</v>
      </c>
    </row>
    <row r="120" spans="1:91" ht="15" customHeight="1" x14ac:dyDescent="0.3">
      <c r="A120">
        <f t="shared" si="42"/>
        <v>247.9</v>
      </c>
      <c r="B120">
        <f>GC_TCD!G123</f>
        <v>247.94027777777956</v>
      </c>
      <c r="C120">
        <f>GC_TCD!U123</f>
        <v>4.0728999999999997</v>
      </c>
      <c r="D120">
        <f>GC_TCD!V123</f>
        <v>4.4777561344941479E-2</v>
      </c>
      <c r="E120">
        <f>GC_TCD!W123</f>
        <v>94.580233333333339</v>
      </c>
      <c r="F120">
        <f>GC_TCD!X123</f>
        <v>0.37003471909178309</v>
      </c>
      <c r="G120">
        <f>GC_TCD!Y123</f>
        <v>1.3468333333333333</v>
      </c>
      <c r="H120">
        <f>GC_TCD!Z123</f>
        <v>0.32888761505008607</v>
      </c>
      <c r="I120" s="38">
        <f>GC_TCD!K123</f>
        <v>0.36862727272714263</v>
      </c>
      <c r="J120" s="42">
        <f>GC_TCD!AA123</f>
        <v>1.1156753109620308</v>
      </c>
      <c r="K120" s="42">
        <f>GC_TCD!AB123</f>
        <v>3.2390573544058956</v>
      </c>
      <c r="L120" s="105">
        <f>GC_TCD!AC123</f>
        <v>3.4600543758298678E-3</v>
      </c>
      <c r="M120" s="42">
        <f t="shared" si="47"/>
        <v>2.0248984732641444E-6</v>
      </c>
      <c r="N120">
        <f t="shared" si="48"/>
        <v>0.34864853467563456</v>
      </c>
      <c r="O120">
        <f t="shared" si="49"/>
        <v>1.501382019090379E-2</v>
      </c>
      <c r="P120">
        <f t="shared" si="50"/>
        <v>4.9647949848467326E-3</v>
      </c>
      <c r="Q120">
        <f t="shared" si="51"/>
        <v>450</v>
      </c>
      <c r="S120">
        <f t="shared" si="43"/>
        <v>202.5</v>
      </c>
      <c r="T120">
        <f>VFA!F117</f>
        <v>202.47083333333285</v>
      </c>
      <c r="U120">
        <f>VFA!K117</f>
        <v>4.1923029999999999</v>
      </c>
      <c r="V120">
        <f>VFA!L117</f>
        <v>30.212271761314998</v>
      </c>
      <c r="W120" t="str">
        <f>IF(VFA!M117&lt;=0,"",VFA!M117)</f>
        <v/>
      </c>
      <c r="X120">
        <f>VFA!N117</f>
        <v>4.4731873009999994</v>
      </c>
      <c r="AJ120" s="45"/>
      <c r="CK120">
        <f t="shared" si="46"/>
        <v>146</v>
      </c>
      <c r="CL120">
        <f>'Liquid Volume'!A117</f>
        <v>145.98402777777665</v>
      </c>
      <c r="CM120">
        <f>'Liquid Volume'!C117</f>
        <v>450</v>
      </c>
    </row>
    <row r="121" spans="1:91" ht="15" customHeight="1" x14ac:dyDescent="0.3">
      <c r="A121">
        <f t="shared" si="42"/>
        <v>250.9</v>
      </c>
      <c r="B121">
        <f>GC_TCD!G124</f>
        <v>250.93819444444671</v>
      </c>
      <c r="C121">
        <f>GC_TCD!U124</f>
        <v>2.0058333333333334</v>
      </c>
      <c r="D121">
        <f>GC_TCD!V124</f>
        <v>1.3120340442737513E-2</v>
      </c>
      <c r="E121">
        <f>GC_TCD!W124</f>
        <v>96.895166666666668</v>
      </c>
      <c r="F121">
        <f>GC_TCD!X124</f>
        <v>0.22002209737508727</v>
      </c>
      <c r="G121">
        <f>GC_TCD!Y124</f>
        <v>1.0990333333333335</v>
      </c>
      <c r="H121">
        <f>GC_TCD!Z124</f>
        <v>0.22050363564651973</v>
      </c>
      <c r="I121" s="38">
        <f>GC_TCD!K124</f>
        <v>0.35236427409982735</v>
      </c>
      <c r="J121" s="42">
        <f>GC_TCD!AA124</f>
        <v>1.0925566421210171</v>
      </c>
      <c r="K121" s="42">
        <f>GC_TCD!AB124</f>
        <v>3.171938638415857</v>
      </c>
      <c r="L121" s="105">
        <f>GC_TCD!AC124</f>
        <v>3.3883562298722106E-3</v>
      </c>
      <c r="M121" s="42">
        <f t="shared" si="47"/>
        <v>1.9592493284767792E-6</v>
      </c>
      <c r="N121">
        <f t="shared" si="48"/>
        <v>0.34142395066281783</v>
      </c>
      <c r="O121">
        <f t="shared" si="49"/>
        <v>7.0678400646523708E-3</v>
      </c>
      <c r="P121">
        <f t="shared" si="50"/>
        <v>3.8726008271151363E-3</v>
      </c>
      <c r="Q121">
        <f t="shared" si="51"/>
        <v>450</v>
      </c>
      <c r="S121">
        <f t="shared" si="43"/>
        <v>203.5</v>
      </c>
      <c r="T121">
        <f>VFA!F118</f>
        <v>203.47083333333285</v>
      </c>
      <c r="U121">
        <f>VFA!K118</f>
        <v>4.4063280000000002</v>
      </c>
      <c r="V121">
        <f>VFA!L118</f>
        <v>21.388637773943998</v>
      </c>
      <c r="W121" t="str">
        <f>IF(VFA!M118&lt;=0,"",VFA!M118)</f>
        <v/>
      </c>
      <c r="X121">
        <f>VFA!N118</f>
        <v>4.7015519760000002</v>
      </c>
      <c r="AJ121" s="45"/>
      <c r="CK121">
        <f t="shared" si="46"/>
        <v>147</v>
      </c>
      <c r="CL121">
        <f>'Liquid Volume'!A118</f>
        <v>146.99722222222044</v>
      </c>
      <c r="CM121">
        <f>'Liquid Volume'!C118</f>
        <v>450</v>
      </c>
    </row>
    <row r="122" spans="1:91" ht="15" customHeight="1" x14ac:dyDescent="0.3">
      <c r="A122">
        <f t="shared" si="42"/>
        <v>254</v>
      </c>
      <c r="B122">
        <f>GC_TCD!G125</f>
        <v>254.01527777777665</v>
      </c>
      <c r="C122">
        <f>GC_TCD!U125</f>
        <v>0.22106666666666666</v>
      </c>
      <c r="D122">
        <f>GC_TCD!V125</f>
        <v>3.245371062503221E-2</v>
      </c>
      <c r="E122">
        <f>GC_TCD!W125</f>
        <v>98.776766666666674</v>
      </c>
      <c r="F122">
        <f>GC_TCD!X125</f>
        <v>0.14323527265772559</v>
      </c>
      <c r="G122">
        <f>GC_TCD!Y125</f>
        <v>1.0021666666666667</v>
      </c>
      <c r="H122">
        <f>GC_TCD!Z125</f>
        <v>0.17550812896653287</v>
      </c>
      <c r="I122" s="38">
        <f>GC_TCD!K125</f>
        <v>0.38080182803021162</v>
      </c>
      <c r="J122" s="42">
        <f>GC_TCD!AA125</f>
        <v>1.2036599460345709</v>
      </c>
      <c r="K122" s="42">
        <f>GC_TCD!AB125</f>
        <v>3.4944966175197223</v>
      </c>
      <c r="L122" s="105">
        <f>GC_TCD!AC125</f>
        <v>3.7329219553105236E-3</v>
      </c>
      <c r="M122" s="42">
        <f t="shared" si="47"/>
        <v>2.1323401507739735E-6</v>
      </c>
      <c r="N122">
        <f t="shared" si="48"/>
        <v>0.37614373313580346</v>
      </c>
      <c r="O122">
        <f t="shared" si="49"/>
        <v>8.4182590783212115E-4</v>
      </c>
      <c r="P122">
        <f t="shared" si="50"/>
        <v>3.8162689865761041E-3</v>
      </c>
      <c r="Q122">
        <f t="shared" si="51"/>
        <v>450</v>
      </c>
      <c r="S122">
        <f t="shared" si="43"/>
        <v>204.5</v>
      </c>
      <c r="T122">
        <f>VFA!F119</f>
        <v>204.47083333333285</v>
      </c>
      <c r="U122">
        <f>VFA!K119</f>
        <v>3.4210259418374105</v>
      </c>
      <c r="V122">
        <f>VFA!L119</f>
        <v>5.0874251420120098</v>
      </c>
      <c r="W122" t="str">
        <f>IF(VFA!M119&lt;=0,"",VFA!M119)</f>
        <v/>
      </c>
      <c r="X122">
        <f>VFA!N119</f>
        <v>3.650234679940517</v>
      </c>
      <c r="AJ122" s="45"/>
    </row>
    <row r="123" spans="1:91" ht="15" customHeight="1" x14ac:dyDescent="0.3">
      <c r="A123">
        <f t="shared" si="42"/>
        <v>255</v>
      </c>
      <c r="B123">
        <f>GC_TCD!G126</f>
        <v>255.02847222222044</v>
      </c>
      <c r="C123">
        <f>GC_TCD!U126</f>
        <v>0.4027</v>
      </c>
      <c r="D123">
        <f>GC_TCD!V126</f>
        <v>6.1938921527582555E-2</v>
      </c>
      <c r="E123">
        <f>GC_TCD!W126</f>
        <v>98.701300000000003</v>
      </c>
      <c r="F123">
        <f>GC_TCD!X126</f>
        <v>0.25160850542062074</v>
      </c>
      <c r="G123">
        <f>GC_TCD!Y126</f>
        <v>0.89603333333333335</v>
      </c>
      <c r="H123">
        <f>GC_TCD!Z126</f>
        <v>0.26257304380559215</v>
      </c>
      <c r="I123" s="38">
        <f>GC_TCD!K126</f>
        <v>0.37499300891044984</v>
      </c>
      <c r="J123" s="42">
        <f>GC_TCD!AA126</f>
        <v>1.1843935190519355</v>
      </c>
      <c r="K123" s="42">
        <f>GC_TCD!AB126</f>
        <v>3.4385618295056193</v>
      </c>
      <c r="L123" s="105">
        <f>GC_TCD!AC126</f>
        <v>3.6731708034002135E-3</v>
      </c>
      <c r="M123" s="42">
        <f t="shared" si="47"/>
        <v>2.0898728637207162E-6</v>
      </c>
      <c r="N123">
        <f t="shared" si="48"/>
        <v>0.37012297470372985</v>
      </c>
      <c r="O123">
        <f t="shared" si="49"/>
        <v>1.5100968468823815E-3</v>
      </c>
      <c r="P123">
        <f t="shared" si="50"/>
        <v>3.3600623575072673E-3</v>
      </c>
      <c r="Q123">
        <f t="shared" si="51"/>
        <v>450</v>
      </c>
      <c r="S123">
        <f t="shared" si="43"/>
        <v>205.5</v>
      </c>
      <c r="T123">
        <f>VFA!F120</f>
        <v>205.47083333333285</v>
      </c>
      <c r="U123">
        <f>VFA!K120</f>
        <v>5.6807630535360216</v>
      </c>
      <c r="V123">
        <f>VFA!L120</f>
        <v>16.539418798120852</v>
      </c>
      <c r="W123" t="str">
        <f>IF(VFA!M120&lt;=0,"",VFA!M120)</f>
        <v/>
      </c>
      <c r="X123">
        <f>VFA!N120</f>
        <v>6.0613741781229349</v>
      </c>
      <c r="AJ123" s="45"/>
    </row>
    <row r="124" spans="1:91" ht="15" customHeight="1" x14ac:dyDescent="0.3">
      <c r="A124">
        <f t="shared" si="42"/>
        <v>257.90000000000003</v>
      </c>
      <c r="B124">
        <f>GC_TCD!G127</f>
        <v>257.87291666666715</v>
      </c>
      <c r="C124">
        <f>GC_TCD!U127</f>
        <v>0.34873333333333334</v>
      </c>
      <c r="D124">
        <f>GC_TCD!V127</f>
        <v>0.18445770066151571</v>
      </c>
      <c r="E124">
        <f>GC_TCD!W127</f>
        <v>98.581599999999995</v>
      </c>
      <c r="F124">
        <f>GC_TCD!X127</f>
        <v>0.77084486766144666</v>
      </c>
      <c r="G124">
        <f>GC_TCD!Y127</f>
        <v>1.0697333333333334</v>
      </c>
      <c r="H124">
        <f>GC_TCD!Z127</f>
        <v>0.67364710593405897</v>
      </c>
      <c r="I124" s="38">
        <f>GC_TCD!K127</f>
        <v>0.37529730853897159</v>
      </c>
      <c r="J124" s="42">
        <f>GC_TCD!AA127</f>
        <v>1.1839170928468952</v>
      </c>
      <c r="K124" s="42">
        <f>GC_TCD!AB127</f>
        <v>3.4371786566522768</v>
      </c>
      <c r="L124" s="105">
        <f>GC_TCD!AC127</f>
        <v>3.6716932583122181E-3</v>
      </c>
      <c r="M124" s="42">
        <f t="shared" si="47"/>
        <v>2.065989320118347E-6</v>
      </c>
      <c r="N124">
        <f t="shared" si="48"/>
        <v>0.36997409151465477</v>
      </c>
      <c r="O124">
        <f t="shared" si="49"/>
        <v>1.3087868139782404E-3</v>
      </c>
      <c r="P124">
        <f t="shared" si="50"/>
        <v>4.0146804085442259E-3</v>
      </c>
      <c r="Q124">
        <f t="shared" si="51"/>
        <v>450</v>
      </c>
      <c r="S124">
        <f t="shared" si="43"/>
        <v>208.5</v>
      </c>
      <c r="T124">
        <f>VFA!F121</f>
        <v>208.47083333333285</v>
      </c>
      <c r="U124">
        <f>VFA!K121</f>
        <v>4.4008373958265921</v>
      </c>
      <c r="V124" t="str">
        <f>VFA!L121</f>
        <v/>
      </c>
      <c r="W124" t="str">
        <f>IF(VFA!M121&lt;=0,"",VFA!M121)</f>
        <v/>
      </c>
      <c r="X124">
        <f>VFA!N121</f>
        <v>4.6956935013469732</v>
      </c>
      <c r="AJ124" s="45"/>
    </row>
    <row r="125" spans="1:91" ht="15" customHeight="1" x14ac:dyDescent="0.3">
      <c r="A125">
        <f t="shared" si="42"/>
        <v>258.90000000000003</v>
      </c>
      <c r="B125">
        <f>GC_TCD!G128</f>
        <v>258.85972222222335</v>
      </c>
      <c r="C125">
        <f>GC_TCD!U128</f>
        <v>0.71436666666666671</v>
      </c>
      <c r="D125">
        <f>GC_TCD!V128</f>
        <v>8.7157348131602336E-2</v>
      </c>
      <c r="E125">
        <f>GC_TCD!W128</f>
        <v>98.313400000000001</v>
      </c>
      <c r="F125">
        <f>GC_TCD!X128</f>
        <v>8.9301959664946085E-2</v>
      </c>
      <c r="G125">
        <f>GC_TCD!Y128</f>
        <v>0.97223333333333339</v>
      </c>
      <c r="H125">
        <f>GC_TCD!Z128</f>
        <v>0.17400294058817842</v>
      </c>
      <c r="I125" s="38">
        <f>GC_TCD!K128</f>
        <v>0.42789387755073982</v>
      </c>
      <c r="J125" s="42">
        <f>GC_TCD!AA128</f>
        <v>1.3461664621183014</v>
      </c>
      <c r="K125" s="42">
        <f>GC_TCD!AB128</f>
        <v>3.9082252126015193</v>
      </c>
      <c r="L125" s="105">
        <f>GC_TCD!AC128</f>
        <v>4.1748787591539315E-3</v>
      </c>
      <c r="M125" s="42">
        <f t="shared" si="47"/>
        <v>2.3401667233235913E-6</v>
      </c>
      <c r="N125">
        <f t="shared" si="48"/>
        <v>0.42067701941196911</v>
      </c>
      <c r="O125">
        <f t="shared" si="49"/>
        <v>3.0567312299299688E-3</v>
      </c>
      <c r="P125">
        <f t="shared" si="50"/>
        <v>4.16012690884081E-3</v>
      </c>
      <c r="Q125">
        <f t="shared" si="51"/>
        <v>450</v>
      </c>
      <c r="S125">
        <f t="shared" si="43"/>
        <v>209.5</v>
      </c>
      <c r="T125">
        <f>VFA!F122</f>
        <v>209.47083333333285</v>
      </c>
      <c r="U125">
        <f>VFA!K122</f>
        <v>9.3587826870792163</v>
      </c>
      <c r="V125">
        <f>VFA!L122</f>
        <v>32.971763659343722</v>
      </c>
      <c r="W125" t="str">
        <f>IF(VFA!M122&lt;=0,"",VFA!M122)</f>
        <v/>
      </c>
      <c r="X125">
        <f>VFA!N122</f>
        <v>9.9858211271135229</v>
      </c>
      <c r="AJ125" s="45"/>
    </row>
    <row r="126" spans="1:91" ht="15" customHeight="1" x14ac:dyDescent="0.3">
      <c r="A126">
        <f t="shared" si="42"/>
        <v>259.90000000000003</v>
      </c>
      <c r="B126">
        <f>GC_TCD!G129</f>
        <v>259.91249999999854</v>
      </c>
      <c r="C126">
        <f>GC_TCD!U129</f>
        <v>1.7548333333333332</v>
      </c>
      <c r="D126">
        <f>GC_TCD!V129</f>
        <v>6.7968546647205447E-2</v>
      </c>
      <c r="E126">
        <f>GC_TCD!W129</f>
        <v>97.114166666666662</v>
      </c>
      <c r="F126">
        <f>GC_TCD!X129</f>
        <v>0.3962574205404028</v>
      </c>
      <c r="G126">
        <f>GC_TCD!Y129</f>
        <v>1.131</v>
      </c>
      <c r="H126">
        <f>GC_TCD!Z129</f>
        <v>0.44360987365026061</v>
      </c>
      <c r="I126" s="38">
        <f>GC_TCD!K129</f>
        <v>0.42600065963165368</v>
      </c>
      <c r="J126" s="42">
        <f>GC_TCD!AA129</f>
        <v>1.3238623699065071</v>
      </c>
      <c r="K126" s="42">
        <f>GC_TCD!AB129</f>
        <v>3.8434713965027631</v>
      </c>
      <c r="L126" s="105">
        <f>GC_TCD!AC129</f>
        <v>4.105706867387514E-3</v>
      </c>
      <c r="M126" s="42">
        <f t="shared" si="47"/>
        <v>2.2920716258661339E-6</v>
      </c>
      <c r="N126">
        <f t="shared" si="48"/>
        <v>0.41370699059578347</v>
      </c>
      <c r="O126">
        <f t="shared" si="49"/>
        <v>7.4756015754361355E-3</v>
      </c>
      <c r="P126">
        <f t="shared" si="50"/>
        <v>4.8180674604340031E-3</v>
      </c>
      <c r="Q126">
        <f t="shared" si="51"/>
        <v>450</v>
      </c>
      <c r="S126">
        <f t="shared" si="43"/>
        <v>210.5</v>
      </c>
      <c r="T126">
        <f>VFA!F123</f>
        <v>210.47083333333285</v>
      </c>
      <c r="U126">
        <f>VFA!K123</f>
        <v>9.0922264886247746</v>
      </c>
      <c r="V126">
        <f>VFA!L123</f>
        <v>29.191580408680167</v>
      </c>
      <c r="W126" t="str">
        <f>IF(VFA!M123&lt;=0,"",VFA!M123)</f>
        <v/>
      </c>
      <c r="X126">
        <f>VFA!N123</f>
        <v>9.7014056633626335</v>
      </c>
      <c r="AJ126" s="45"/>
    </row>
    <row r="127" spans="1:91" ht="15" customHeight="1" x14ac:dyDescent="0.3">
      <c r="A127">
        <f t="shared" si="42"/>
        <v>261</v>
      </c>
      <c r="B127">
        <f>GC_TCD!G130</f>
        <v>260.95833333333576</v>
      </c>
      <c r="C127">
        <f>GC_TCD!U130</f>
        <v>3.0608333333333331</v>
      </c>
      <c r="D127">
        <f>GC_TCD!V130</f>
        <v>1.2107986345108611E-2</v>
      </c>
      <c r="E127">
        <f>GC_TCD!W130</f>
        <v>96.290499999999994</v>
      </c>
      <c r="F127">
        <f>GC_TCD!X130</f>
        <v>9.8140562460176634E-2</v>
      </c>
      <c r="G127">
        <f>GC_TCD!Y130</f>
        <v>0.64959999999999996</v>
      </c>
      <c r="H127">
        <f>GC_TCD!Z130</f>
        <v>8.5648175695692191E-2</v>
      </c>
      <c r="I127" s="38">
        <f>GC_TCD!K130</f>
        <v>0.44037364184945627</v>
      </c>
      <c r="J127" s="42">
        <f>GC_TCD!AA130</f>
        <v>1.3569215411361624</v>
      </c>
      <c r="K127" s="42">
        <f>GC_TCD!AB130</f>
        <v>3.9394496355566</v>
      </c>
      <c r="L127" s="105">
        <f>GC_TCD!AC130</f>
        <v>4.2082335872589459E-3</v>
      </c>
      <c r="M127" s="42">
        <f t="shared" si="47"/>
        <v>2.3398934447182528E-6</v>
      </c>
      <c r="N127">
        <f t="shared" si="48"/>
        <v>0.42403798160505068</v>
      </c>
      <c r="O127">
        <f t="shared" si="49"/>
        <v>1.3479103220942106E-2</v>
      </c>
      <c r="P127">
        <f t="shared" si="50"/>
        <v>2.8606671774540678E-3</v>
      </c>
      <c r="Q127">
        <f t="shared" si="51"/>
        <v>450</v>
      </c>
      <c r="S127">
        <f t="shared" si="43"/>
        <v>211.5</v>
      </c>
      <c r="T127">
        <f>VFA!F124</f>
        <v>211.47083333333285</v>
      </c>
      <c r="U127">
        <f>VFA!K124</f>
        <v>3.5901239999999999</v>
      </c>
      <c r="V127">
        <f>VFA!L124</f>
        <v>2.2315420956719998</v>
      </c>
      <c r="W127" t="str">
        <f>IF(VFA!M124&lt;=0,"",VFA!M124)</f>
        <v/>
      </c>
      <c r="X127">
        <f>VFA!N124</f>
        <v>3.8306623079999995</v>
      </c>
      <c r="AJ127" s="45"/>
    </row>
    <row r="128" spans="1:91" ht="15" customHeight="1" x14ac:dyDescent="0.3">
      <c r="A128">
        <f t="shared" si="42"/>
        <v>261.90000000000003</v>
      </c>
      <c r="B128">
        <f>GC_TCD!G131</f>
        <v>261.92500000000291</v>
      </c>
      <c r="C128">
        <f>GC_TCD!U131</f>
        <v>3.8207</v>
      </c>
      <c r="D128">
        <f>GC_TCD!V131</f>
        <v>1.7404597093871602E-2</v>
      </c>
      <c r="E128">
        <f>GC_TCD!W131</f>
        <v>95.227766666666682</v>
      </c>
      <c r="F128">
        <f>GC_TCD!X131</f>
        <v>0.34212299445277317</v>
      </c>
      <c r="G128">
        <f>GC_TCD!Y131</f>
        <v>0.93959999999999999</v>
      </c>
      <c r="H128">
        <f>GC_TCD!Z131</f>
        <v>0.33590866318093049</v>
      </c>
      <c r="I128" s="38">
        <f>GC_TCD!K131</f>
        <v>0.45194173850552027</v>
      </c>
      <c r="J128" s="42">
        <f>GC_TCD!AA131</f>
        <v>1.377196877482604</v>
      </c>
      <c r="K128" s="42">
        <f>GC_TCD!AB131</f>
        <v>3.9983135152720761</v>
      </c>
      <c r="L128" s="105">
        <f>GC_TCD!AC131</f>
        <v>4.2711136793051122E-3</v>
      </c>
      <c r="M128" s="42">
        <f t="shared" si="47"/>
        <v>2.3660918005809481E-6</v>
      </c>
      <c r="N128">
        <f t="shared" si="48"/>
        <v>0.43037402421331372</v>
      </c>
      <c r="O128">
        <f t="shared" si="49"/>
        <v>1.7267338003080411E-2</v>
      </c>
      <c r="P128">
        <f t="shared" si="50"/>
        <v>4.2464445749978682E-3</v>
      </c>
      <c r="Q128">
        <f t="shared" si="51"/>
        <v>450</v>
      </c>
      <c r="S128">
        <f t="shared" si="43"/>
        <v>212.5</v>
      </c>
      <c r="T128">
        <f>VFA!F125</f>
        <v>212.47083333333285</v>
      </c>
      <c r="U128">
        <f>VFA!K125</f>
        <v>4.4544030000000001</v>
      </c>
      <c r="V128">
        <f>VFA!L125</f>
        <v>4.6382718470339999</v>
      </c>
      <c r="W128" t="str">
        <f>IF(VFA!M125&lt;=0,"",VFA!M125)</f>
        <v/>
      </c>
      <c r="X128">
        <f>VFA!N125</f>
        <v>4.7528480010000003</v>
      </c>
      <c r="AJ128" s="45"/>
    </row>
    <row r="129" spans="1:36" ht="15" customHeight="1" x14ac:dyDescent="0.3">
      <c r="A129">
        <f t="shared" si="42"/>
        <v>264.8</v>
      </c>
      <c r="B129">
        <f>GC_TCD!G132</f>
        <v>264.82499999999709</v>
      </c>
      <c r="C129">
        <f>GC_TCD!U132</f>
        <v>4.8995666666666668</v>
      </c>
      <c r="D129">
        <f>GC_TCD!V132</f>
        <v>1.3923481365424879E-2</v>
      </c>
      <c r="E129">
        <f>GC_TCD!W132</f>
        <v>93.941800000000001</v>
      </c>
      <c r="F129">
        <f>GC_TCD!X132</f>
        <v>0.19447136035931378</v>
      </c>
      <c r="G129">
        <f>GC_TCD!Y132</f>
        <v>1.1586666666666667</v>
      </c>
      <c r="H129">
        <f>GC_TCD!Z132</f>
        <v>0.19453010906626597</v>
      </c>
      <c r="I129" s="38">
        <f>GC_TCD!K132</f>
        <v>0.43582647412843634</v>
      </c>
      <c r="J129" s="42">
        <f>GC_TCD!AA132</f>
        <v>1.3101543509529197</v>
      </c>
      <c r="K129" s="42">
        <f>GC_TCD!AB132</f>
        <v>3.80367392212138</v>
      </c>
      <c r="L129" s="105">
        <f>GC_TCD!AC132</f>
        <v>4.0631940587788689E-3</v>
      </c>
      <c r="M129" s="42">
        <f t="shared" si="47"/>
        <v>2.2262605793592762E-6</v>
      </c>
      <c r="N129">
        <f t="shared" si="48"/>
        <v>0.40942323467278741</v>
      </c>
      <c r="O129">
        <f t="shared" si="49"/>
        <v>2.1353608650905489E-2</v>
      </c>
      <c r="P129">
        <f t="shared" si="50"/>
        <v>5.0497760802348159E-3</v>
      </c>
      <c r="Q129">
        <f t="shared" si="51"/>
        <v>450</v>
      </c>
      <c r="S129">
        <f t="shared" si="43"/>
        <v>236.5</v>
      </c>
      <c r="T129">
        <f>VFA!F126</f>
        <v>236.47083333333285</v>
      </c>
      <c r="U129">
        <f>VFA!K126</f>
        <v>2.371391</v>
      </c>
      <c r="V129">
        <f>VFA!L126</f>
        <v>3.465821145974</v>
      </c>
      <c r="W129">
        <f>IF(VFA!M126&lt;=0,"",VFA!M126)</f>
        <v>1.1749229999999999</v>
      </c>
      <c r="X129">
        <f>VFA!N126</f>
        <v>9.9135374260046358</v>
      </c>
      <c r="AJ129" s="45"/>
    </row>
    <row r="130" spans="1:36" ht="15" customHeight="1" x14ac:dyDescent="0.3">
      <c r="A130">
        <f t="shared" si="42"/>
        <v>265.90000000000003</v>
      </c>
      <c r="B130">
        <f>GC_TCD!G133</f>
        <v>265.90347222222044</v>
      </c>
      <c r="C130">
        <f>GC_TCD!U133</f>
        <v>7.3029666666666664</v>
      </c>
      <c r="D130">
        <f>GC_TCD!V133</f>
        <v>0.14066607029889361</v>
      </c>
      <c r="E130">
        <f>GC_TCD!W133</f>
        <v>92.513799999999989</v>
      </c>
      <c r="F130">
        <f>GC_TCD!X133</f>
        <v>0.18707033436651968</v>
      </c>
      <c r="G130">
        <f>GC_TCD!Y133</f>
        <v>0.18323333333333333</v>
      </c>
      <c r="H130">
        <f>GC_TCD!Z133</f>
        <v>0.31736944297353725</v>
      </c>
      <c r="I130" s="38">
        <f>GC_TCD!K133</f>
        <v>0.4248305859622073</v>
      </c>
      <c r="J130" s="42">
        <f>GC_TCD!AA133</f>
        <v>1.2576861396348944</v>
      </c>
      <c r="K130" s="42">
        <f>GC_TCD!AB133</f>
        <v>3.651346857004532</v>
      </c>
      <c r="L130" s="105">
        <f>GC_TCD!AC133</f>
        <v>3.9004738996257921E-3</v>
      </c>
      <c r="M130" s="42">
        <f t="shared" si="47"/>
        <v>2.12843690270701E-6</v>
      </c>
      <c r="N130">
        <f t="shared" si="48"/>
        <v>0.39302691863590444</v>
      </c>
      <c r="O130">
        <f t="shared" si="49"/>
        <v>3.1025236082624676E-2</v>
      </c>
      <c r="P130">
        <f t="shared" si="50"/>
        <v>7.7843124367808455E-4</v>
      </c>
      <c r="Q130">
        <f t="shared" si="51"/>
        <v>450</v>
      </c>
      <c r="S130">
        <f t="shared" si="43"/>
        <v>237.5</v>
      </c>
      <c r="T130">
        <f>VFA!F127</f>
        <v>237.47083333333285</v>
      </c>
      <c r="U130">
        <f>VFA!K127</f>
        <v>4.4095909999999998</v>
      </c>
      <c r="V130">
        <f>VFA!L127</f>
        <v>11.491023740356001</v>
      </c>
      <c r="W130">
        <f>IF(VFA!M127&lt;=0,"",VFA!M127)</f>
        <v>2.1024780000000001</v>
      </c>
      <c r="X130">
        <f>VFA!N127</f>
        <v>25.924748543898986</v>
      </c>
      <c r="AJ130" s="45"/>
    </row>
    <row r="131" spans="1:36" ht="15" customHeight="1" x14ac:dyDescent="0.3">
      <c r="A131">
        <f t="shared" si="42"/>
        <v>266.90000000000003</v>
      </c>
      <c r="B131">
        <f>GC_TCD!G134</f>
        <v>266.86805555555475</v>
      </c>
      <c r="C131">
        <f>GC_TCD!U134</f>
        <v>5.0777333333333337</v>
      </c>
      <c r="D131">
        <f>GC_TCD!V134</f>
        <v>5.912041384609306E-2</v>
      </c>
      <c r="E131">
        <f>GC_TCD!W134</f>
        <v>94.922266666666658</v>
      </c>
      <c r="F131">
        <f>GC_TCD!X134</f>
        <v>5.9120413846090819E-2</v>
      </c>
      <c r="G131">
        <f>GC_TCD!Y134</f>
        <v>0</v>
      </c>
      <c r="H131">
        <f>GC_TCD!Z134</f>
        <v>0</v>
      </c>
      <c r="I131" s="38">
        <f>GC_TCD!K134</f>
        <v>0.41275975521916713</v>
      </c>
      <c r="J131" s="42">
        <f>GC_TCD!AA134</f>
        <v>1.2537629297338186</v>
      </c>
      <c r="K131" s="42">
        <f>GC_TCD!AB134</f>
        <v>3.6399568927756025</v>
      </c>
      <c r="L131" s="105">
        <f>GC_TCD!AC134</f>
        <v>3.8883068117175628E-3</v>
      </c>
      <c r="M131" s="42">
        <f t="shared" si="47"/>
        <v>2.1141283365882979E-6</v>
      </c>
      <c r="N131">
        <f t="shared" si="48"/>
        <v>0.39180091554181834</v>
      </c>
      <c r="O131">
        <f t="shared" si="49"/>
        <v>2.0958839677348722E-2</v>
      </c>
      <c r="P131">
        <f t="shared" si="50"/>
        <v>0</v>
      </c>
      <c r="Q131">
        <f t="shared" si="51"/>
        <v>450</v>
      </c>
      <c r="S131">
        <f t="shared" si="43"/>
        <v>238.5</v>
      </c>
      <c r="T131">
        <f>VFA!F128</f>
        <v>238.47083333333285</v>
      </c>
      <c r="U131">
        <f>VFA!K128</f>
        <v>3.4650590000000001</v>
      </c>
      <c r="V131">
        <f>VFA!L128</f>
        <v>7.1920175543970002</v>
      </c>
      <c r="W131">
        <f>IF(VFA!M128&lt;=0,"",VFA!M128)</f>
        <v>1.672636</v>
      </c>
      <c r="X131">
        <f>VFA!N128</f>
        <v>17.626784778357059</v>
      </c>
      <c r="AJ131" s="45"/>
    </row>
    <row r="132" spans="1:36" ht="15" customHeight="1" x14ac:dyDescent="0.3">
      <c r="A132">
        <f t="shared" si="42"/>
        <v>268</v>
      </c>
      <c r="B132">
        <f>GC_TCD!G135</f>
        <v>267.95277777777665</v>
      </c>
      <c r="C132">
        <f>GC_TCD!U135</f>
        <v>3.3729333333333336</v>
      </c>
      <c r="D132">
        <f>GC_TCD!V135</f>
        <v>4.8728362719604179E-2</v>
      </c>
      <c r="E132">
        <f>GC_TCD!W135</f>
        <v>95.692499999999995</v>
      </c>
      <c r="F132">
        <f>GC_TCD!X135</f>
        <v>1.3691596218118582</v>
      </c>
      <c r="G132">
        <f>GC_TCD!Y135</f>
        <v>0.93456666666666666</v>
      </c>
      <c r="H132">
        <f>GC_TCD!Z135</f>
        <v>1.3885277106825535</v>
      </c>
      <c r="I132" s="38">
        <f>GC_TCD!K135</f>
        <v>0.44425190445462043</v>
      </c>
      <c r="J132" s="42">
        <f>GC_TCD!AA135</f>
        <v>1.3603704117447606</v>
      </c>
      <c r="K132" s="42">
        <f>GC_TCD!AB135</f>
        <v>3.9494624857105953</v>
      </c>
      <c r="L132" s="105">
        <f>GC_TCD!AC135</f>
        <v>4.2189296022408151E-3</v>
      </c>
      <c r="M132" s="42">
        <f t="shared" si="47"/>
        <v>2.2846066025590343E-6</v>
      </c>
      <c r="N132">
        <f t="shared" si="48"/>
        <v>0.42511575367023768</v>
      </c>
      <c r="O132">
        <f t="shared" si="49"/>
        <v>1.4984320569318045E-2</v>
      </c>
      <c r="P132">
        <f t="shared" si="50"/>
        <v>4.1518302150647304E-3</v>
      </c>
      <c r="Q132">
        <f t="shared" si="51"/>
        <v>450</v>
      </c>
      <c r="S132">
        <f t="shared" si="43"/>
        <v>239.5</v>
      </c>
      <c r="T132">
        <f>VFA!F129</f>
        <v>239.47083333333285</v>
      </c>
      <c r="U132">
        <f>VFA!K129</f>
        <v>2.4956719999999999</v>
      </c>
      <c r="V132">
        <f>VFA!L129</f>
        <v>1.2441948145519999</v>
      </c>
      <c r="W132" t="str">
        <f>IF(VFA!M129&lt;=0,"",VFA!M129)</f>
        <v/>
      </c>
      <c r="X132">
        <f>VFA!N129</f>
        <v>2.662882024</v>
      </c>
      <c r="AJ132" s="45"/>
    </row>
    <row r="133" spans="1:36" ht="15" customHeight="1" x14ac:dyDescent="0.3">
      <c r="A133">
        <f t="shared" si="42"/>
        <v>269</v>
      </c>
      <c r="B133">
        <f>GC_TCD!G136</f>
        <v>268.9506944444438</v>
      </c>
      <c r="C133">
        <f>GC_TCD!U136</f>
        <v>3.2206333333333337</v>
      </c>
      <c r="D133">
        <f>GC_TCD!V136</f>
        <v>6.1642950394455852E-2</v>
      </c>
      <c r="E133">
        <f>GC_TCD!W136</f>
        <v>96.581999999999994</v>
      </c>
      <c r="F133">
        <f>GC_TCD!X136</f>
        <v>0.40296894421282703</v>
      </c>
      <c r="G133">
        <f>GC_TCD!Y136</f>
        <v>0.19733333333333333</v>
      </c>
      <c r="H133">
        <f>GC_TCD!Z136</f>
        <v>0.3417913593602584</v>
      </c>
      <c r="I133" s="38">
        <f>GC_TCD!K136</f>
        <v>0.41246186499632015</v>
      </c>
      <c r="J133" s="42">
        <f>GC_TCD!AA136</f>
        <v>1.274764539042387</v>
      </c>
      <c r="K133" s="42">
        <f>GC_TCD!AB136</f>
        <v>3.7009293068972524</v>
      </c>
      <c r="L133" s="105">
        <f>GC_TCD!AC136</f>
        <v>3.9534393009584704E-3</v>
      </c>
      <c r="M133" s="42">
        <f t="shared" si="47"/>
        <v>2.1328966774152342E-6</v>
      </c>
      <c r="N133">
        <f t="shared" si="48"/>
        <v>0.39836391845074587</v>
      </c>
      <c r="O133">
        <f t="shared" si="49"/>
        <v>1.3283884311359821E-2</v>
      </c>
      <c r="P133">
        <f t="shared" si="50"/>
        <v>8.1392474692607172E-4</v>
      </c>
      <c r="Q133">
        <f t="shared" si="51"/>
        <v>450</v>
      </c>
      <c r="S133">
        <f t="shared" si="43"/>
        <v>240.5</v>
      </c>
      <c r="T133">
        <f>VFA!F130</f>
        <v>240.47083333333285</v>
      </c>
      <c r="U133">
        <f>VFA!K130</f>
        <v>4.1361739999999996</v>
      </c>
      <c r="V133">
        <f>VFA!L130</f>
        <v>2.9856517039859995</v>
      </c>
      <c r="W133" t="str">
        <f>IF(VFA!M130&lt;=0,"",VFA!M130)</f>
        <v/>
      </c>
      <c r="X133">
        <f>VFA!N130</f>
        <v>4.4132976579999994</v>
      </c>
      <c r="AJ133" s="45"/>
    </row>
    <row r="134" spans="1:36" ht="15" customHeight="1" x14ac:dyDescent="0.3">
      <c r="A134">
        <f t="shared" si="42"/>
        <v>271.90000000000003</v>
      </c>
      <c r="B134">
        <f>GC_TCD!G137</f>
        <v>271.91180555555184</v>
      </c>
      <c r="C134">
        <f>GC_TCD!U137</f>
        <v>1.7746000000000002</v>
      </c>
      <c r="D134">
        <f>GC_TCD!V137</f>
        <v>8.3230463173047456E-2</v>
      </c>
      <c r="E134">
        <f>GC_TCD!W137</f>
        <v>97.002133333333333</v>
      </c>
      <c r="F134">
        <f>GC_TCD!X137</f>
        <v>0.77547921528132147</v>
      </c>
      <c r="G134">
        <f>GC_TCD!Y137</f>
        <v>1.2232666666666667</v>
      </c>
      <c r="H134">
        <f>GC_TCD!Z137</f>
        <v>0.77549539220638364</v>
      </c>
      <c r="I134" s="38">
        <f>GC_TCD!K137</f>
        <v>0.4078929174488285</v>
      </c>
      <c r="J134" s="42">
        <f>GC_TCD!AA137</f>
        <v>1.266127461250995</v>
      </c>
      <c r="K134" s="42">
        <f>GC_TCD!AB137</f>
        <v>3.6758539197609532</v>
      </c>
      <c r="L134" s="105">
        <f>GC_TCD!AC137</f>
        <v>3.9266530500547741E-3</v>
      </c>
      <c r="M134" s="42">
        <f t="shared" ref="M134:M165" si="52">(N134/10^6)*1440/B134</f>
        <v>2.0953755810596672E-6</v>
      </c>
      <c r="N134">
        <f t="shared" ref="N134:N165" si="53">I134*E134/100</f>
        <v>0.39566483164093591</v>
      </c>
      <c r="O134">
        <f t="shared" ref="O134:O165" si="54">C134/100*I134</f>
        <v>7.2384677130469107E-3</v>
      </c>
      <c r="P134">
        <f t="shared" ref="P134:P165" si="55">I134*G134/100</f>
        <v>4.9896180948457028E-3</v>
      </c>
      <c r="Q134">
        <f t="shared" ref="Q134:Q165" si="56">IFERROR(VLOOKUP(A134,$CK$5:$CM$110,3,FALSE),Q133)</f>
        <v>450</v>
      </c>
      <c r="S134">
        <f t="shared" si="43"/>
        <v>243.5</v>
      </c>
      <c r="T134">
        <f>VFA!F131</f>
        <v>243.47083333333285</v>
      </c>
      <c r="U134">
        <f>VFA!K131</f>
        <v>3.2644947834877316</v>
      </c>
      <c r="V134" t="str">
        <f>VFA!L131</f>
        <v/>
      </c>
      <c r="W134" t="str">
        <f>IF(VFA!M131&lt;=0,"",VFA!M131)</f>
        <v/>
      </c>
      <c r="X134">
        <f>VFA!N131</f>
        <v>3.4832159339814095</v>
      </c>
      <c r="AJ134" s="45"/>
    </row>
    <row r="135" spans="1:36" ht="15" customHeight="1" x14ac:dyDescent="0.3">
      <c r="A135">
        <f t="shared" ref="A135:A178" si="57">MROUND(B135,$E$1)</f>
        <v>273</v>
      </c>
      <c r="B135">
        <f>GC_TCD!G138</f>
        <v>272.95625000000291</v>
      </c>
      <c r="C135">
        <f>GC_TCD!U138</f>
        <v>0.78013333333333323</v>
      </c>
      <c r="D135">
        <f>GC_TCD!V138</f>
        <v>6.3131714164382804E-2</v>
      </c>
      <c r="E135">
        <f>GC_TCD!W138</f>
        <v>98.781466666666674</v>
      </c>
      <c r="F135">
        <f>GC_TCD!X138</f>
        <v>0.45813073825419171</v>
      </c>
      <c r="G135">
        <f>GC_TCD!Y138</f>
        <v>0.43839999999999996</v>
      </c>
      <c r="H135">
        <f>GC_TCD!Z138</f>
        <v>0.52095343361955126</v>
      </c>
      <c r="I135" s="38">
        <f>GC_TCD!K138</f>
        <v>0.42015906039999273</v>
      </c>
      <c r="J135" s="42">
        <f>GC_TCD!AA138</f>
        <v>1.3281257030271958</v>
      </c>
      <c r="K135" s="42">
        <f>GC_TCD!AB138</f>
        <v>3.8558488152402464</v>
      </c>
      <c r="L135" s="105">
        <f>GC_TCD!AC138</f>
        <v>4.1189287826480922E-3</v>
      </c>
      <c r="M135" s="42">
        <f t="shared" si="52"/>
        <v>2.1895690842845025E-6</v>
      </c>
      <c r="N135">
        <f t="shared" si="53"/>
        <v>0.41503928219599873</v>
      </c>
      <c r="O135">
        <f t="shared" si="54"/>
        <v>3.2778008832004763E-3</v>
      </c>
      <c r="P135">
        <f t="shared" si="55"/>
        <v>1.841977320793568E-3</v>
      </c>
      <c r="Q135">
        <f t="shared" si="56"/>
        <v>450</v>
      </c>
      <c r="S135">
        <f t="shared" ref="S135:S179" si="58">MROUND(T135,$E$1)</f>
        <v>244.5</v>
      </c>
      <c r="T135">
        <f>VFA!F132</f>
        <v>244.47083333333285</v>
      </c>
      <c r="U135">
        <f>VFA!K132</f>
        <v>3.4625208853409055</v>
      </c>
      <c r="V135" t="str">
        <f>VFA!L132</f>
        <v/>
      </c>
      <c r="W135" t="str">
        <f>IF(VFA!M132&lt;=0,"",VFA!M132)</f>
        <v/>
      </c>
      <c r="X135">
        <f>VFA!N132</f>
        <v>3.694509784658746</v>
      </c>
      <c r="AJ135" s="45"/>
    </row>
    <row r="136" spans="1:36" ht="15" customHeight="1" x14ac:dyDescent="0.3">
      <c r="A136">
        <f t="shared" si="57"/>
        <v>273.90000000000003</v>
      </c>
      <c r="B136">
        <f>GC_TCD!G139</f>
        <v>273.91874999999709</v>
      </c>
      <c r="C136">
        <f>GC_TCD!U139</f>
        <v>1.1837333333333333</v>
      </c>
      <c r="D136">
        <f>GC_TCD!V139</f>
        <v>1.7724089069211291E-2</v>
      </c>
      <c r="E136">
        <f>GC_TCD!W139</f>
        <v>96.537533333333329</v>
      </c>
      <c r="F136">
        <f>GC_TCD!X139</f>
        <v>1.1473611303043776</v>
      </c>
      <c r="G136">
        <f>GC_TCD!Y139</f>
        <v>2.2787333333333333</v>
      </c>
      <c r="H136">
        <f>GC_TCD!Z139</f>
        <v>1.1614845342635145</v>
      </c>
      <c r="I136" s="38">
        <f>GC_TCD!K139</f>
        <v>0.49756832612133467</v>
      </c>
      <c r="J136" s="42">
        <f>GC_TCD!AA139</f>
        <v>1.5370886037935749</v>
      </c>
      <c r="K136" s="42">
        <f>GC_TCD!AB139</f>
        <v>4.4625153013361851</v>
      </c>
      <c r="L136" s="105">
        <f>GC_TCD!AC139</f>
        <v>4.7669873997733198E-3</v>
      </c>
      <c r="M136" s="42">
        <f t="shared" si="52"/>
        <v>2.5251643843552731E-6</v>
      </c>
      <c r="N136">
        <f t="shared" si="53"/>
        <v>0.48034018868549211</v>
      </c>
      <c r="O136">
        <f t="shared" si="54"/>
        <v>5.8898821324069456E-3</v>
      </c>
      <c r="P136">
        <f t="shared" si="55"/>
        <v>1.133825530343556E-2</v>
      </c>
      <c r="Q136">
        <f t="shared" si="56"/>
        <v>450</v>
      </c>
      <c r="S136">
        <f t="shared" si="58"/>
        <v>245.5</v>
      </c>
      <c r="T136">
        <f>VFA!F133</f>
        <v>245.47083333333285</v>
      </c>
      <c r="U136">
        <f>VFA!K133</f>
        <v>3.3210736697314953</v>
      </c>
      <c r="V136" t="str">
        <f>VFA!L133</f>
        <v/>
      </c>
      <c r="W136" t="str">
        <f>IF(VFA!M133&lt;=0,"",VFA!M133)</f>
        <v/>
      </c>
      <c r="X136">
        <f>VFA!N133</f>
        <v>3.5435856056035053</v>
      </c>
      <c r="AJ136" s="45"/>
    </row>
    <row r="137" spans="1:36" ht="15" customHeight="1" x14ac:dyDescent="0.3">
      <c r="A137">
        <f t="shared" si="57"/>
        <v>274.90000000000003</v>
      </c>
      <c r="B137">
        <f>GC_TCD!G140</f>
        <v>274.91388888889196</v>
      </c>
      <c r="C137">
        <f>GC_TCD!U140</f>
        <v>2.3963666666666668</v>
      </c>
      <c r="D137">
        <f>GC_TCD!V140</f>
        <v>8.7585976807553756E-2</v>
      </c>
      <c r="E137">
        <f>GC_TCD!W140</f>
        <v>94.927900000000008</v>
      </c>
      <c r="F137">
        <f>GC_TCD!X140</f>
        <v>0.16435848015846252</v>
      </c>
      <c r="G137">
        <f>GC_TCD!Y140</f>
        <v>2.6757666666666666</v>
      </c>
      <c r="H137">
        <f>GC_TCD!Z140</f>
        <v>0.18508077515866786</v>
      </c>
      <c r="I137" s="38">
        <f>GC_TCD!K140</f>
        <v>0.51209909280920329</v>
      </c>
      <c r="J137" s="42">
        <f>GC_TCD!AA140</f>
        <v>1.5555997271130488</v>
      </c>
      <c r="K137" s="42">
        <f>GC_TCD!AB140</f>
        <v>4.5162572722636893</v>
      </c>
      <c r="L137" s="105">
        <f>GC_TCD!AC140</f>
        <v>4.8243961213016674E-3</v>
      </c>
      <c r="M137" s="42">
        <f t="shared" si="52"/>
        <v>2.5463241600128436E-6</v>
      </c>
      <c r="N137">
        <f t="shared" si="53"/>
        <v>0.48612491472282776</v>
      </c>
      <c r="O137">
        <f t="shared" si="54"/>
        <v>1.2271771960382146E-2</v>
      </c>
      <c r="P137">
        <f t="shared" si="55"/>
        <v>1.3702576825691058E-2</v>
      </c>
      <c r="Q137">
        <f t="shared" si="56"/>
        <v>450</v>
      </c>
      <c r="S137">
        <f t="shared" si="58"/>
        <v>246.5</v>
      </c>
      <c r="T137">
        <f>VFA!F134</f>
        <v>246.47083333333285</v>
      </c>
      <c r="U137">
        <f>VFA!K134</f>
        <v>2.9150169570000002</v>
      </c>
      <c r="V137">
        <f>VFA!L134</f>
        <v>1.4604954584806176</v>
      </c>
      <c r="W137" t="str">
        <f>IF(VFA!M134&lt;=0,"",VFA!M134)</f>
        <v/>
      </c>
      <c r="X137">
        <f>VFA!N134</f>
        <v>3.1103230931190002</v>
      </c>
      <c r="AJ137" s="45"/>
    </row>
    <row r="138" spans="1:36" ht="15" customHeight="1" x14ac:dyDescent="0.3">
      <c r="A138">
        <f t="shared" si="57"/>
        <v>275.90000000000003</v>
      </c>
      <c r="B138">
        <f>GC_TCD!G141</f>
        <v>275.9416666666657</v>
      </c>
      <c r="C138">
        <f>GC_TCD!U141</f>
        <v>5.464266666666667</v>
      </c>
      <c r="D138">
        <f>GC_TCD!V141</f>
        <v>9.931335928933914E-2</v>
      </c>
      <c r="E138">
        <f>GC_TCD!W141</f>
        <v>93.972999999999999</v>
      </c>
      <c r="F138">
        <f>GC_TCD!X141</f>
        <v>0.42903878612545521</v>
      </c>
      <c r="G138">
        <f>GC_TCD!Y141</f>
        <v>0.56473333333333342</v>
      </c>
      <c r="H138">
        <f>GC_TCD!Z141</f>
        <v>0.51524619681598172</v>
      </c>
      <c r="I138" s="38">
        <f>GC_TCD!K141</f>
        <v>0.56192574324545297</v>
      </c>
      <c r="J138" s="42">
        <f>GC_TCD!AA141</f>
        <v>1.6897871318401585</v>
      </c>
      <c r="K138" s="42">
        <f>GC_TCD!AB141</f>
        <v>4.9058336085682024</v>
      </c>
      <c r="L138" s="105">
        <f>GC_TCD!AC141</f>
        <v>5.2405527865477001E-3</v>
      </c>
      <c r="M138" s="42">
        <f t="shared" si="52"/>
        <v>2.7556701331612625E-6</v>
      </c>
      <c r="N138">
        <f t="shared" si="53"/>
        <v>0.52805847870004952</v>
      </c>
      <c r="O138">
        <f t="shared" si="54"/>
        <v>3.0705121079580209E-2</v>
      </c>
      <c r="P138">
        <f t="shared" si="55"/>
        <v>3.1733819806881551E-3</v>
      </c>
      <c r="Q138">
        <f t="shared" si="56"/>
        <v>450</v>
      </c>
      <c r="S138">
        <f t="shared" si="58"/>
        <v>247.5</v>
      </c>
      <c r="T138">
        <f>VFA!F135</f>
        <v>247.47083333333285</v>
      </c>
      <c r="U138">
        <f>VFA!K135</f>
        <v>3.6303399409999999</v>
      </c>
      <c r="V138">
        <f>VFA!L135</f>
        <v>2.3447225534357128</v>
      </c>
      <c r="W138" t="str">
        <f>IF(VFA!M135&lt;=0,"",VFA!M135)</f>
        <v/>
      </c>
      <c r="X138">
        <f>VFA!N135</f>
        <v>3.8735727170469998</v>
      </c>
      <c r="AJ138" s="45"/>
    </row>
    <row r="139" spans="1:36" ht="15" customHeight="1" x14ac:dyDescent="0.3">
      <c r="A139">
        <f t="shared" si="57"/>
        <v>278.90000000000003</v>
      </c>
      <c r="B139">
        <f>GC_TCD!G142</f>
        <v>278.9152777777781</v>
      </c>
      <c r="C139">
        <f>GC_TCD!U142</f>
        <v>8.2779000000000007</v>
      </c>
      <c r="D139">
        <f>GC_TCD!V142</f>
        <v>0.14143793691934248</v>
      </c>
      <c r="E139">
        <f>GC_TCD!W142</f>
        <v>89.501533333333327</v>
      </c>
      <c r="F139">
        <f>GC_TCD!X142</f>
        <v>0.25088173176485629</v>
      </c>
      <c r="G139">
        <f>GC_TCD!Y142</f>
        <v>2.5542333333333329</v>
      </c>
      <c r="H139">
        <f>GC_TCD!Z142</f>
        <v>0.44213554859718446</v>
      </c>
      <c r="I139" s="38">
        <f>GC_TCD!K142</f>
        <v>0.57321254681622946</v>
      </c>
      <c r="J139" s="42">
        <f>GC_TCD!AA142</f>
        <v>1.6417088597106451</v>
      </c>
      <c r="K139" s="42">
        <f>GC_TCD!AB142</f>
        <v>4.7662515281921953</v>
      </c>
      <c r="L139" s="105">
        <f>GC_TCD!AC142</f>
        <v>5.0914471872487268E-3</v>
      </c>
      <c r="M139" s="42">
        <f t="shared" si="52"/>
        <v>2.6487218368095066E-6</v>
      </c>
      <c r="N139">
        <f t="shared" si="53"/>
        <v>0.51303401865957654</v>
      </c>
      <c r="O139">
        <f t="shared" si="54"/>
        <v>4.7449961412900664E-2</v>
      </c>
      <c r="P139">
        <f t="shared" si="55"/>
        <v>1.4641185941629069E-2</v>
      </c>
      <c r="Q139">
        <f t="shared" si="56"/>
        <v>450</v>
      </c>
      <c r="S139">
        <f t="shared" si="58"/>
        <v>257.5</v>
      </c>
      <c r="T139">
        <f>VFA!F136</f>
        <v>257.47083333333285</v>
      </c>
      <c r="U139">
        <f>VFA!K136</f>
        <v>2.0562171600000001</v>
      </c>
      <c r="V139" t="str">
        <f>VFA!L136</f>
        <v/>
      </c>
      <c r="W139" t="str">
        <f>IF(VFA!M136&lt;=0,"",VFA!M136)</f>
        <v/>
      </c>
      <c r="X139">
        <f>VFA!N136</f>
        <v>2.1939837097199999</v>
      </c>
      <c r="AJ139" s="45"/>
    </row>
    <row r="140" spans="1:36" ht="15" customHeight="1" x14ac:dyDescent="0.3">
      <c r="A140">
        <f t="shared" si="57"/>
        <v>279.90000000000003</v>
      </c>
      <c r="B140">
        <f>GC_TCD!G143</f>
        <v>279.91319444444525</v>
      </c>
      <c r="C140">
        <f>GC_TCD!U143</f>
        <v>8.0817999999999994</v>
      </c>
      <c r="D140">
        <f>GC_TCD!V143</f>
        <v>7.5639341615326733E-2</v>
      </c>
      <c r="E140">
        <f>GC_TCD!W143</f>
        <v>90.349266666666665</v>
      </c>
      <c r="F140">
        <f>GC_TCD!X143</f>
        <v>0.10702739524688538</v>
      </c>
      <c r="G140">
        <f>GC_TCD!Y143</f>
        <v>1.5689000000000002</v>
      </c>
      <c r="H140">
        <f>GC_TCD!Z143</f>
        <v>0.12401209618420288</v>
      </c>
      <c r="I140" s="38">
        <f>GC_TCD!K143</f>
        <v>0.5468750173970901</v>
      </c>
      <c r="J140" s="42">
        <f>GC_TCD!AA143</f>
        <v>1.5811122169647256</v>
      </c>
      <c r="K140" s="42">
        <f>GC_TCD!AB143</f>
        <v>4.5903257911879125</v>
      </c>
      <c r="L140" s="105">
        <f>GC_TCD!AC143</f>
        <v>4.9035182469615874E-3</v>
      </c>
      <c r="M140" s="42">
        <f t="shared" si="52"/>
        <v>2.5418612332522211E-6</v>
      </c>
      <c r="N140">
        <f t="shared" si="53"/>
        <v>0.49409756780147668</v>
      </c>
      <c r="O140">
        <f t="shared" si="54"/>
        <v>4.4197345155998026E-2</v>
      </c>
      <c r="P140">
        <f t="shared" si="55"/>
        <v>8.5799221479429481E-3</v>
      </c>
      <c r="Q140">
        <f t="shared" si="56"/>
        <v>450</v>
      </c>
      <c r="S140">
        <f t="shared" si="58"/>
        <v>258.5</v>
      </c>
      <c r="T140">
        <f>VFA!F137</f>
        <v>258.47083333333285</v>
      </c>
      <c r="U140">
        <f>VFA!K137</f>
        <v>2.309222755</v>
      </c>
      <c r="V140" t="str">
        <f>VFA!L137</f>
        <v/>
      </c>
      <c r="W140" t="str">
        <f>IF(VFA!M137&lt;=0,"",VFA!M137)</f>
        <v/>
      </c>
      <c r="X140">
        <f>VFA!N137</f>
        <v>2.4639406795849998</v>
      </c>
      <c r="AJ140" s="45"/>
    </row>
    <row r="141" spans="1:36" ht="15" customHeight="1" x14ac:dyDescent="0.3">
      <c r="A141">
        <f t="shared" si="57"/>
        <v>280.90000000000003</v>
      </c>
      <c r="B141">
        <f>GC_TCD!G144</f>
        <v>280.92500000000291</v>
      </c>
      <c r="C141">
        <f>GC_TCD!U144</f>
        <v>5.412399999999999</v>
      </c>
      <c r="D141">
        <f>GC_TCD!V144</f>
        <v>0.12230441529233485</v>
      </c>
      <c r="E141">
        <f>GC_TCD!W144</f>
        <v>93.301266666666663</v>
      </c>
      <c r="F141">
        <f>GC_TCD!X144</f>
        <v>0.60636721822121387</v>
      </c>
      <c r="G141">
        <f>GC_TCD!Y144</f>
        <v>1.2863333333333333</v>
      </c>
      <c r="H141">
        <f>GC_TCD!Z144</f>
        <v>0.72201666416595511</v>
      </c>
      <c r="I141" s="38">
        <f>GC_TCD!K144</f>
        <v>0.53366630061659948</v>
      </c>
      <c r="J141" s="42">
        <f>GC_TCD!AA144</f>
        <v>1.5933357383949711</v>
      </c>
      <c r="K141" s="42">
        <f>GC_TCD!AB144</f>
        <v>4.625813434049916</v>
      </c>
      <c r="L141" s="105">
        <f>GC_TCD!AC144</f>
        <v>4.9414271693848169E-3</v>
      </c>
      <c r="M141" s="42">
        <f t="shared" si="52"/>
        <v>2.5522864902651222E-6</v>
      </c>
      <c r="N141">
        <f t="shared" si="53"/>
        <v>0.49791741824842844</v>
      </c>
      <c r="O141">
        <f t="shared" si="54"/>
        <v>2.8884154854572824E-2</v>
      </c>
      <c r="P141">
        <f t="shared" si="55"/>
        <v>6.864727513598191E-3</v>
      </c>
      <c r="Q141">
        <f t="shared" si="56"/>
        <v>450</v>
      </c>
      <c r="S141">
        <f t="shared" si="58"/>
        <v>259.5</v>
      </c>
      <c r="T141">
        <f>VFA!F138</f>
        <v>259.47083333333285</v>
      </c>
      <c r="U141">
        <f>VFA!K138</f>
        <v>2.4924493929999998</v>
      </c>
      <c r="V141" t="str">
        <f>VFA!L138</f>
        <v/>
      </c>
      <c r="W141" t="str">
        <f>IF(VFA!M138&lt;=0,"",VFA!M138)</f>
        <v/>
      </c>
      <c r="X141">
        <f>VFA!N138</f>
        <v>2.6594435023309995</v>
      </c>
      <c r="AJ141" s="45"/>
    </row>
    <row r="142" spans="1:36" ht="15" customHeight="1" x14ac:dyDescent="0.3">
      <c r="A142">
        <f t="shared" si="57"/>
        <v>281.90000000000003</v>
      </c>
      <c r="B142">
        <f>GC_TCD!G145</f>
        <v>281.9416666666657</v>
      </c>
      <c r="C142">
        <f>GC_TCD!U145</f>
        <v>3.3188</v>
      </c>
      <c r="D142">
        <f>GC_TCD!V145</f>
        <v>2.1936955121438281E-2</v>
      </c>
      <c r="E142">
        <f>GC_TCD!W145</f>
        <v>95.63709999999999</v>
      </c>
      <c r="F142">
        <f>GC_TCD!X145</f>
        <v>0.16108680889507787</v>
      </c>
      <c r="G142">
        <f>GC_TCD!Y145</f>
        <v>1.0440666666666667</v>
      </c>
      <c r="H142">
        <f>GC_TCD!Z145</f>
        <v>0.18145000229631503</v>
      </c>
      <c r="I142" s="38">
        <f>GC_TCD!K145</f>
        <v>0.54493695801998876</v>
      </c>
      <c r="J142" s="42">
        <f>GC_TCD!AA145</f>
        <v>1.667718091131311</v>
      </c>
      <c r="K142" s="42">
        <f>GC_TCD!AB145</f>
        <v>4.8417622000586436</v>
      </c>
      <c r="L142" s="105">
        <f>GC_TCD!AC145</f>
        <v>5.1721098622266697E-3</v>
      </c>
      <c r="M142" s="42">
        <f t="shared" si="52"/>
        <v>2.6618028824251794E-6</v>
      </c>
      <c r="N142">
        <f t="shared" si="53"/>
        <v>0.52116190347853464</v>
      </c>
      <c r="O142">
        <f t="shared" si="54"/>
        <v>1.8085367762767389E-2</v>
      </c>
      <c r="P142">
        <f t="shared" si="55"/>
        <v>5.6895051330340292E-3</v>
      </c>
      <c r="Q142">
        <f t="shared" si="56"/>
        <v>450</v>
      </c>
      <c r="S142">
        <f t="shared" si="58"/>
        <v>260.5</v>
      </c>
      <c r="T142">
        <f>VFA!F139</f>
        <v>260.47083333333285</v>
      </c>
      <c r="U142">
        <f>VFA!K139</f>
        <v>2.8020151539999998</v>
      </c>
      <c r="V142">
        <f>VFA!L139</f>
        <v>0.9955295640153129</v>
      </c>
      <c r="W142" t="str">
        <f>IF(VFA!M139&lt;=0,"",VFA!M139)</f>
        <v/>
      </c>
      <c r="X142">
        <f>VFA!N139</f>
        <v>2.9897501693179995</v>
      </c>
      <c r="AJ142" s="45"/>
    </row>
    <row r="143" spans="1:36" ht="15" customHeight="1" x14ac:dyDescent="0.3">
      <c r="A143">
        <f t="shared" si="57"/>
        <v>282.90000000000003</v>
      </c>
      <c r="B143">
        <f>GC_TCD!G146</f>
        <v>282.89375000000291</v>
      </c>
      <c r="C143">
        <f>GC_TCD!U146</f>
        <v>3.2987000000000002</v>
      </c>
      <c r="D143">
        <f>GC_TCD!V146</f>
        <v>3.9065713867789599E-2</v>
      </c>
      <c r="E143">
        <f>GC_TCD!W146</f>
        <v>95.630299999999991</v>
      </c>
      <c r="F143">
        <f>GC_TCD!X146</f>
        <v>0.50157275643719301</v>
      </c>
      <c r="G143">
        <f>GC_TCD!Y146</f>
        <v>1.0709333333333333</v>
      </c>
      <c r="H143">
        <f>GC_TCD!Z146</f>
        <v>0.48726843047065277</v>
      </c>
      <c r="I143" s="38">
        <f>GC_TCD!K146</f>
        <v>0.64533873085076299</v>
      </c>
      <c r="J143" s="42">
        <f>GC_TCD!AA146</f>
        <v>1.9748459658520869</v>
      </c>
      <c r="K143" s="42">
        <f>GC_TCD!AB146</f>
        <v>5.7334237718286394</v>
      </c>
      <c r="L143" s="105">
        <f>GC_TCD!AC146</f>
        <v>6.1246084399272163E-3</v>
      </c>
      <c r="M143" s="42">
        <f t="shared" si="52"/>
        <v>3.1413938435664625E-6</v>
      </c>
      <c r="N143">
        <f t="shared" si="53"/>
        <v>0.61713936432877714</v>
      </c>
      <c r="O143">
        <f t="shared" si="54"/>
        <v>2.1287788714574121E-2</v>
      </c>
      <c r="P143">
        <f t="shared" si="55"/>
        <v>6.9111475815911037E-3</v>
      </c>
      <c r="Q143">
        <f t="shared" si="56"/>
        <v>450</v>
      </c>
      <c r="S143">
        <f t="shared" si="58"/>
        <v>261.5</v>
      </c>
      <c r="T143">
        <f>VFA!F140</f>
        <v>261.47083333333285</v>
      </c>
      <c r="U143">
        <f>VFA!K140</f>
        <v>2.8278123000000002</v>
      </c>
      <c r="V143" t="str">
        <f>VFA!L140</f>
        <v/>
      </c>
      <c r="W143" t="str">
        <f>IF(VFA!M140&lt;=0,"",VFA!M140)</f>
        <v/>
      </c>
      <c r="X143">
        <f>VFA!N140</f>
        <v>3.0172757241000001</v>
      </c>
      <c r="AJ143" s="45"/>
    </row>
    <row r="144" spans="1:36" ht="15" customHeight="1" x14ac:dyDescent="0.3">
      <c r="A144">
        <f t="shared" si="57"/>
        <v>285.90000000000003</v>
      </c>
      <c r="B144">
        <f>GC_TCD!G147</f>
        <v>285.92708333333576</v>
      </c>
      <c r="C144">
        <f>GC_TCD!U147</f>
        <v>11.001100000000001</v>
      </c>
      <c r="D144">
        <f>GC_TCD!V147</f>
        <v>9.5365140381587582E-2</v>
      </c>
      <c r="E144">
        <f>GC_TCD!W147</f>
        <v>88.866366666666678</v>
      </c>
      <c r="F144">
        <f>GC_TCD!X147</f>
        <v>0.25685358345433285</v>
      </c>
      <c r="G144">
        <f>GC_TCD!Y147</f>
        <v>0.13253333333333334</v>
      </c>
      <c r="H144">
        <f>GC_TCD!Z147</f>
        <v>0.17110646783021771</v>
      </c>
      <c r="I144" s="38">
        <f>GC_TCD!K147</f>
        <v>0.72406664377300911</v>
      </c>
      <c r="J144" s="42">
        <f>GC_TCD!AA147</f>
        <v>2.0590454994123184</v>
      </c>
      <c r="K144" s="42">
        <f>GC_TCD!AB147</f>
        <v>5.9778740305518925</v>
      </c>
      <c r="L144" s="105">
        <f>GC_TCD!AC147</f>
        <v>6.385737248349713E-3</v>
      </c>
      <c r="M144" s="42">
        <f t="shared" si="52"/>
        <v>3.2405831022846516E-6</v>
      </c>
      <c r="N144">
        <f t="shared" si="53"/>
        <v>0.64345171856634953</v>
      </c>
      <c r="O144">
        <f t="shared" si="54"/>
        <v>7.9655295548112515E-2</v>
      </c>
      <c r="P144">
        <f t="shared" si="55"/>
        <v>9.5962965854716139E-4</v>
      </c>
      <c r="Q144">
        <f t="shared" si="56"/>
        <v>450</v>
      </c>
      <c r="S144">
        <f t="shared" si="58"/>
        <v>264.5</v>
      </c>
      <c r="T144">
        <f>VFA!F141</f>
        <v>264.47083333333285</v>
      </c>
      <c r="U144">
        <f>VFA!K141</f>
        <v>2.8115286940000002</v>
      </c>
      <c r="V144">
        <f>VFA!L141</f>
        <v>2.1970730621817585</v>
      </c>
      <c r="W144">
        <f>IF(VFA!M141&lt;=0,"",VFA!M141)</f>
        <v>0.57528916399999996</v>
      </c>
      <c r="X144">
        <f>VFA!N141</f>
        <v>7.3721454327931824</v>
      </c>
      <c r="AJ144" s="45"/>
    </row>
    <row r="145" spans="1:36" ht="15" customHeight="1" x14ac:dyDescent="0.3">
      <c r="A145">
        <f t="shared" si="57"/>
        <v>286.90000000000003</v>
      </c>
      <c r="B145">
        <f>GC_TCD!G148</f>
        <v>286.92708333333576</v>
      </c>
      <c r="C145">
        <f>GC_TCD!U148</f>
        <v>14.185266666666669</v>
      </c>
      <c r="D145">
        <f>GC_TCD!V148</f>
        <v>9.857410072292476E-2</v>
      </c>
      <c r="E145">
        <f>GC_TCD!W148</f>
        <v>85.323633333333333</v>
      </c>
      <c r="F145">
        <f>GC_TCD!X148</f>
        <v>0.12495408490054823</v>
      </c>
      <c r="G145">
        <f>GC_TCD!Y148</f>
        <v>0.49110000000000004</v>
      </c>
      <c r="H145">
        <f>GC_TCD!Z148</f>
        <v>8.7125828546992926E-2</v>
      </c>
      <c r="I145" s="38">
        <f>GC_TCD!K148</f>
        <v>0.70018433566433669</v>
      </c>
      <c r="J145" s="42">
        <f>GC_TCD!AA148</f>
        <v>1.9117526887029583</v>
      </c>
      <c r="K145" s="42">
        <f>GC_TCD!AB148</f>
        <v>5.5502497413956862</v>
      </c>
      <c r="L145" s="105">
        <f>GC_TCD!AC148</f>
        <v>5.9289366637927726E-3</v>
      </c>
      <c r="M145" s="42">
        <f t="shared" si="52"/>
        <v>2.9982833963320785E-6</v>
      </c>
      <c r="N145">
        <f t="shared" si="53"/>
        <v>0.59742271521967449</v>
      </c>
      <c r="O145">
        <f t="shared" si="54"/>
        <v>9.9323015172214604E-2</v>
      </c>
      <c r="P145">
        <f t="shared" si="55"/>
        <v>3.438605272447558E-3</v>
      </c>
      <c r="Q145">
        <f t="shared" si="56"/>
        <v>450</v>
      </c>
      <c r="S145">
        <f t="shared" si="58"/>
        <v>265.5</v>
      </c>
      <c r="T145">
        <f>VFA!F142</f>
        <v>265.47083333333285</v>
      </c>
      <c r="U145">
        <f>VFA!K142</f>
        <v>2.456569789</v>
      </c>
      <c r="V145">
        <f>VFA!L142</f>
        <v>1.5678663627126259</v>
      </c>
      <c r="W145">
        <f>IF(VFA!M142&lt;=0,"",VFA!M142)</f>
        <v>0.47191804199999998</v>
      </c>
      <c r="X145">
        <f>VFA!N142</f>
        <v>5.8528566383659149</v>
      </c>
      <c r="AJ145" s="45"/>
    </row>
    <row r="146" spans="1:36" ht="15" customHeight="1" x14ac:dyDescent="0.3">
      <c r="A146">
        <f t="shared" si="57"/>
        <v>287.90000000000003</v>
      </c>
      <c r="B146">
        <f>GC_TCD!G149</f>
        <v>287.88541666666424</v>
      </c>
      <c r="C146">
        <f>GC_TCD!U149</f>
        <v>9.6211666666666673</v>
      </c>
      <c r="D146">
        <f>GC_TCD!V149</f>
        <v>7.0269860774967371E-2</v>
      </c>
      <c r="E146">
        <f>GC_TCD!W149</f>
        <v>89.277199999999993</v>
      </c>
      <c r="F146">
        <f>GC_TCD!X149</f>
        <v>0.3147737759089847</v>
      </c>
      <c r="G146">
        <f>GC_TCD!Y149</f>
        <v>1.1016333333333332</v>
      </c>
      <c r="H146">
        <f>GC_TCD!Z149</f>
        <v>0.33166417251993552</v>
      </c>
      <c r="I146" s="38">
        <f>GC_TCD!K149</f>
        <v>0.66162666667001602</v>
      </c>
      <c r="J146" s="42">
        <f>GC_TCD!AA149</f>
        <v>1.8901816398602354</v>
      </c>
      <c r="K146" s="42">
        <f>GC_TCD!AB149</f>
        <v>5.4876241157232641</v>
      </c>
      <c r="L146" s="105">
        <f>GC_TCD!AC149</f>
        <v>5.8620381663480768E-3</v>
      </c>
      <c r="M146" s="42">
        <f t="shared" si="52"/>
        <v>2.9545843196426117E-6</v>
      </c>
      <c r="N146">
        <f t="shared" si="53"/>
        <v>0.59068176245632353</v>
      </c>
      <c r="O146">
        <f t="shared" si="54"/>
        <v>6.3656204311433359E-2</v>
      </c>
      <c r="P146">
        <f t="shared" si="55"/>
        <v>7.288699902259119E-3</v>
      </c>
      <c r="Q146">
        <f t="shared" si="56"/>
        <v>450</v>
      </c>
      <c r="S146">
        <f t="shared" si="58"/>
        <v>266.5</v>
      </c>
      <c r="T146">
        <f>VFA!F143</f>
        <v>266.47083333333285</v>
      </c>
      <c r="U146">
        <f>VFA!K143</f>
        <v>2.7861744869999998</v>
      </c>
      <c r="V146">
        <f>VFA!L143</f>
        <v>1.8181341569195799</v>
      </c>
      <c r="W146">
        <f>IF(VFA!M143&lt;=0,"",VFA!M143)</f>
        <v>0.47191804199999998</v>
      </c>
      <c r="X146">
        <f>VFA!N143</f>
        <v>6.5834502915612427</v>
      </c>
      <c r="AJ146" s="45"/>
    </row>
    <row r="147" spans="1:36" ht="15" customHeight="1" x14ac:dyDescent="0.3">
      <c r="A147">
        <f t="shared" si="57"/>
        <v>288.90000000000003</v>
      </c>
      <c r="B147">
        <f>GC_TCD!G150</f>
        <v>288.90833333333285</v>
      </c>
      <c r="C147">
        <f>GC_TCD!U150</f>
        <v>6.9622333333333337</v>
      </c>
      <c r="D147">
        <f>GC_TCD!V150</f>
        <v>0.16065566698169498</v>
      </c>
      <c r="E147">
        <f>GC_TCD!W150</f>
        <v>90.534400000000005</v>
      </c>
      <c r="F147">
        <f>GC_TCD!X150</f>
        <v>0.34351944632000397</v>
      </c>
      <c r="G147">
        <f>GC_TCD!Y150</f>
        <v>2.5032000000000001</v>
      </c>
      <c r="H147">
        <f>GC_TCD!Z150</f>
        <v>0.50341258426860991</v>
      </c>
      <c r="I147" s="38">
        <f>GC_TCD!K150</f>
        <v>0.65419918032661895</v>
      </c>
      <c r="J147" s="42">
        <f>GC_TCD!AA150</f>
        <v>1.8952809686835921</v>
      </c>
      <c r="K147" s="42">
        <f>GC_TCD!AB150</f>
        <v>5.5024286187588158</v>
      </c>
      <c r="L147" s="105">
        <f>GC_TCD!AC150</f>
        <v>5.8778527629746134E-3</v>
      </c>
      <c r="M147" s="42">
        <f t="shared" si="52"/>
        <v>2.9520658890915269E-6</v>
      </c>
      <c r="N147">
        <f t="shared" si="53"/>
        <v>0.5922753027136225</v>
      </c>
      <c r="O147">
        <f t="shared" si="54"/>
        <v>4.5546873399093309E-2</v>
      </c>
      <c r="P147">
        <f t="shared" si="55"/>
        <v>1.6375913881935926E-2</v>
      </c>
      <c r="Q147">
        <f t="shared" si="56"/>
        <v>450</v>
      </c>
      <c r="S147">
        <f t="shared" si="58"/>
        <v>267.5</v>
      </c>
      <c r="T147">
        <f>VFA!F144</f>
        <v>267.47083333333285</v>
      </c>
      <c r="U147">
        <f>VFA!K144</f>
        <v>2.6671924040000001</v>
      </c>
      <c r="V147" t="str">
        <f>VFA!L144</f>
        <v/>
      </c>
      <c r="W147" t="str">
        <f>IF(VFA!M144&lt;=0,"",VFA!M144)</f>
        <v/>
      </c>
      <c r="X147">
        <f>VFA!N144</f>
        <v>2.8458942950680002</v>
      </c>
      <c r="AJ147" s="45"/>
    </row>
    <row r="148" spans="1:36" ht="15" customHeight="1" x14ac:dyDescent="0.3">
      <c r="A148">
        <f t="shared" si="57"/>
        <v>289.90000000000003</v>
      </c>
      <c r="B148">
        <f>GC_TCD!G151</f>
        <v>289.93958333333285</v>
      </c>
      <c r="C148">
        <f>GC_TCD!U151</f>
        <v>4.7005999999999997</v>
      </c>
      <c r="D148">
        <f>GC_TCD!V151</f>
        <v>0</v>
      </c>
      <c r="E148">
        <f>GC_TCD!W151</f>
        <v>91.807200000000009</v>
      </c>
      <c r="F148">
        <f>GC_TCD!X151</f>
        <v>1.7404671430534633E-14</v>
      </c>
      <c r="G148">
        <f>GC_TCD!Y151</f>
        <v>3.4922</v>
      </c>
      <c r="H148">
        <f>GC_TCD!Z151</f>
        <v>0</v>
      </c>
      <c r="I148" s="38">
        <f>GC_TCD!K151</f>
        <v>0.6992929292929293</v>
      </c>
      <c r="J148" s="42">
        <f>GC_TCD!AA151</f>
        <v>2.0544040261818188</v>
      </c>
      <c r="K148" s="42">
        <f>GC_TCD!AB151</f>
        <v>5.9643987856891494</v>
      </c>
      <c r="L148" s="105">
        <f>GC_TCD!AC151</f>
        <v>6.3713426035962653E-3</v>
      </c>
      <c r="M148" s="42">
        <f t="shared" si="52"/>
        <v>3.1885325941128078E-6</v>
      </c>
      <c r="N148">
        <f t="shared" si="53"/>
        <v>0.6420012581818183</v>
      </c>
      <c r="O148">
        <f t="shared" si="54"/>
        <v>3.2870963434343432E-2</v>
      </c>
      <c r="P148">
        <f t="shared" si="55"/>
        <v>2.4420707676767676E-2</v>
      </c>
      <c r="Q148">
        <f t="shared" si="56"/>
        <v>450</v>
      </c>
      <c r="S148">
        <f t="shared" si="58"/>
        <v>268.5</v>
      </c>
      <c r="T148">
        <f>VFA!F145</f>
        <v>268.47083333333285</v>
      </c>
      <c r="U148">
        <f>VFA!K145</f>
        <v>2.2318385350000001</v>
      </c>
      <c r="V148" t="str">
        <f>VFA!L145</f>
        <v/>
      </c>
      <c r="W148" t="str">
        <f>IF(VFA!M145&lt;=0,"",VFA!M145)</f>
        <v/>
      </c>
      <c r="X148">
        <f>VFA!N145</f>
        <v>2.3813717168449999</v>
      </c>
      <c r="AJ148" s="45"/>
    </row>
    <row r="149" spans="1:36" ht="15" customHeight="1" x14ac:dyDescent="0.3">
      <c r="A149">
        <f t="shared" si="57"/>
        <v>292.90000000000003</v>
      </c>
      <c r="B149">
        <f>GC_TCD!G152</f>
        <v>292.92638888888905</v>
      </c>
      <c r="C149">
        <f>GC_TCD!U152</f>
        <v>5.6198000000000006</v>
      </c>
      <c r="D149">
        <f>GC_TCD!V152</f>
        <v>0.1098525830374505</v>
      </c>
      <c r="E149">
        <f>GC_TCD!W152</f>
        <v>92.907799999999995</v>
      </c>
      <c r="F149">
        <f>GC_TCD!X152</f>
        <v>0.77443639506417905</v>
      </c>
      <c r="G149">
        <f>GC_TCD!Y152</f>
        <v>1.4723999999999997</v>
      </c>
      <c r="H149">
        <f>GC_TCD!Z152</f>
        <v>0.86559188998049219</v>
      </c>
      <c r="I149" s="38">
        <f>GC_TCD!K152</f>
        <v>0.6608391517127441</v>
      </c>
      <c r="J149" s="42">
        <f>GC_TCD!AA152</f>
        <v>1.964707575663913</v>
      </c>
      <c r="K149" s="42">
        <f>GC_TCD!AB152</f>
        <v>5.7039897357984568</v>
      </c>
      <c r="L149" s="105">
        <f>GC_TCD!AC152</f>
        <v>6.0931661547123416E-3</v>
      </c>
      <c r="M149" s="42">
        <f t="shared" si="52"/>
        <v>3.0182272495228106E-6</v>
      </c>
      <c r="N149">
        <f t="shared" si="53"/>
        <v>0.61397111739497279</v>
      </c>
      <c r="O149">
        <f t="shared" si="54"/>
        <v>3.7137838647952795E-2</v>
      </c>
      <c r="P149">
        <f t="shared" si="55"/>
        <v>9.7301956698184425E-3</v>
      </c>
      <c r="Q149">
        <f t="shared" si="56"/>
        <v>450</v>
      </c>
      <c r="S149">
        <f t="shared" si="58"/>
        <v>271.5</v>
      </c>
      <c r="T149">
        <f>VFA!F146</f>
        <v>271.47083333333285</v>
      </c>
      <c r="U149">
        <f>VFA!K146</f>
        <v>1.9188567320000001</v>
      </c>
      <c r="V149" t="str">
        <f>VFA!L146</f>
        <v/>
      </c>
      <c r="W149" t="str">
        <f>IF(VFA!M146&lt;=0,"",VFA!M146)</f>
        <v/>
      </c>
      <c r="X149">
        <f>VFA!N146</f>
        <v>2.0474201330440001</v>
      </c>
      <c r="AJ149" s="45"/>
    </row>
    <row r="150" spans="1:36" ht="15" customHeight="1" x14ac:dyDescent="0.3">
      <c r="A150">
        <f t="shared" si="57"/>
        <v>294.2</v>
      </c>
      <c r="B150">
        <f>GC_TCD!G153</f>
        <v>294.1604166666657</v>
      </c>
      <c r="C150">
        <f>GC_TCD!U153</f>
        <v>5.4963666666666668</v>
      </c>
      <c r="D150">
        <f>GC_TCD!V153</f>
        <v>0.12178227840426271</v>
      </c>
      <c r="E150">
        <f>GC_TCD!W153</f>
        <v>92.607166666666672</v>
      </c>
      <c r="F150">
        <f>GC_TCD!X153</f>
        <v>0.41105985371151743</v>
      </c>
      <c r="G150">
        <f>GC_TCD!Y153</f>
        <v>1.8946666666666667</v>
      </c>
      <c r="H150">
        <f>GC_TCD!Z153</f>
        <v>0.53102017224709286</v>
      </c>
      <c r="I150" s="38">
        <f>GC_TCD!K153</f>
        <v>0.7010379290946207</v>
      </c>
      <c r="J150" s="42">
        <f>GC_TCD!AA153</f>
        <v>2.0774763628582527</v>
      </c>
      <c r="K150" s="42">
        <f>GC_TCD!AB153</f>
        <v>6.0313829889433146</v>
      </c>
      <c r="L150" s="105">
        <f>GC_TCD!AC153</f>
        <v>6.4428970591744565E-3</v>
      </c>
      <c r="M150" s="42">
        <f t="shared" si="52"/>
        <v>3.178076689854487E-6</v>
      </c>
      <c r="N150">
        <f t="shared" si="53"/>
        <v>0.64921136339320396</v>
      </c>
      <c r="O150">
        <f t="shared" si="54"/>
        <v>3.8531615055447034E-2</v>
      </c>
      <c r="P150">
        <f t="shared" si="55"/>
        <v>1.3282331963246082E-2</v>
      </c>
      <c r="Q150">
        <f t="shared" si="56"/>
        <v>450</v>
      </c>
      <c r="S150">
        <f t="shared" si="58"/>
        <v>272.5</v>
      </c>
      <c r="T150">
        <f>VFA!F147</f>
        <v>272.47083333333285</v>
      </c>
      <c r="U150">
        <f>VFA!K147</f>
        <v>2.0881459389999999</v>
      </c>
      <c r="V150" t="str">
        <f>VFA!L147</f>
        <v/>
      </c>
      <c r="W150" t="str">
        <f>IF(VFA!M147&lt;=0,"",VFA!M147)</f>
        <v/>
      </c>
      <c r="X150">
        <f>VFA!N147</f>
        <v>2.2280517169129999</v>
      </c>
      <c r="AJ150" s="45"/>
    </row>
    <row r="151" spans="1:36" ht="15" customHeight="1" x14ac:dyDescent="0.3">
      <c r="A151">
        <f t="shared" si="57"/>
        <v>294.90000000000003</v>
      </c>
      <c r="B151">
        <f>GC_TCD!G154</f>
        <v>294.92916666666861</v>
      </c>
      <c r="C151">
        <f>GC_TCD!U154</f>
        <v>6.4877333333333338</v>
      </c>
      <c r="D151">
        <f>GC_TCD!V154</f>
        <v>4.5388581530307545E-2</v>
      </c>
      <c r="E151">
        <f>GC_TCD!W154</f>
        <v>92.79</v>
      </c>
      <c r="F151">
        <f>GC_TCD!X154</f>
        <v>0.62406457197953691</v>
      </c>
      <c r="G151">
        <f>GC_TCD!Y154</f>
        <v>0.72223333333333339</v>
      </c>
      <c r="H151">
        <f>GC_TCD!Z154</f>
        <v>0.66934211232622531</v>
      </c>
      <c r="I151" s="38">
        <f>GC_TCD!K154</f>
        <v>0.7060584462484587</v>
      </c>
      <c r="J151" s="42">
        <f>GC_TCD!AA154</f>
        <v>2.0964852232766233</v>
      </c>
      <c r="K151" s="42">
        <f>GC_TCD!AB154</f>
        <v>6.0865700030611656</v>
      </c>
      <c r="L151" s="105">
        <f>GC_TCD!AC154</f>
        <v>6.5018494174671308E-3</v>
      </c>
      <c r="M151" s="42">
        <f t="shared" si="52"/>
        <v>3.1987963792700767E-6</v>
      </c>
      <c r="N151">
        <f t="shared" si="53"/>
        <v>0.6551516322739448</v>
      </c>
      <c r="O151">
        <f t="shared" si="54"/>
        <v>4.580718917007668E-2</v>
      </c>
      <c r="P151">
        <f t="shared" si="55"/>
        <v>5.0993894516217853E-3</v>
      </c>
      <c r="Q151">
        <f t="shared" si="56"/>
        <v>450</v>
      </c>
      <c r="S151">
        <f t="shared" si="58"/>
        <v>273.5</v>
      </c>
      <c r="T151">
        <f>VFA!F148</f>
        <v>273.47083333333285</v>
      </c>
      <c r="U151">
        <f>VFA!K148</f>
        <v>1.7495675260000001</v>
      </c>
      <c r="V151" t="str">
        <f>VFA!L148</f>
        <v/>
      </c>
      <c r="W151" t="str">
        <f>IF(VFA!M148&lt;=0,"",VFA!M148)</f>
        <v/>
      </c>
      <c r="X151">
        <f>VFA!N148</f>
        <v>1.8667885502420001</v>
      </c>
      <c r="AJ151" s="45"/>
    </row>
    <row r="152" spans="1:36" ht="15" customHeight="1" x14ac:dyDescent="0.3">
      <c r="A152">
        <f t="shared" si="57"/>
        <v>295.90000000000003</v>
      </c>
      <c r="B152">
        <f>GC_TCD!G155</f>
        <v>295.88888888889051</v>
      </c>
      <c r="C152">
        <f>GC_TCD!U155</f>
        <v>7.0112333333333332</v>
      </c>
      <c r="D152">
        <f>GC_TCD!V155</f>
        <v>0.10143009086722397</v>
      </c>
      <c r="E152">
        <f>GC_TCD!W155</f>
        <v>92.365066666666664</v>
      </c>
      <c r="F152">
        <f>GC_TCD!X155</f>
        <v>0.36117852003314904</v>
      </c>
      <c r="G152">
        <f>GC_TCD!Y155</f>
        <v>0.62370000000000003</v>
      </c>
      <c r="H152">
        <f>GC_TCD!Z155</f>
        <v>0.27386644555330286</v>
      </c>
      <c r="I152" s="38">
        <f>GC_TCD!K155</f>
        <v>0.77289052478160125</v>
      </c>
      <c r="J152" s="42">
        <f>GC_TCD!AA155</f>
        <v>2.2844187151196023</v>
      </c>
      <c r="K152" s="42">
        <f>GC_TCD!AB155</f>
        <v>6.6321833664762666</v>
      </c>
      <c r="L152" s="105">
        <f>GC_TCD!AC155</f>
        <v>7.0846893301434958E-3</v>
      </c>
      <c r="M152" s="42">
        <f t="shared" si="52"/>
        <v>3.4742380008390309E-6</v>
      </c>
      <c r="N152">
        <f t="shared" si="53"/>
        <v>0.71388084847487576</v>
      </c>
      <c r="O152">
        <f t="shared" si="54"/>
        <v>5.4189158103662552E-2</v>
      </c>
      <c r="P152">
        <f t="shared" si="55"/>
        <v>4.8205182030628471E-3</v>
      </c>
      <c r="Q152">
        <f t="shared" si="56"/>
        <v>450</v>
      </c>
      <c r="S152">
        <f t="shared" si="58"/>
        <v>274.5</v>
      </c>
      <c r="T152">
        <f>VFA!F149</f>
        <v>274.47083333333285</v>
      </c>
      <c r="U152">
        <f>VFA!K149</f>
        <v>1.862426997</v>
      </c>
      <c r="V152" t="str">
        <f>VFA!L149</f>
        <v/>
      </c>
      <c r="W152" t="str">
        <f>IF(VFA!M149&lt;=0,"",VFA!M149)</f>
        <v/>
      </c>
      <c r="X152">
        <f>VFA!N149</f>
        <v>1.9872096057989999</v>
      </c>
      <c r="AJ152" s="45"/>
    </row>
    <row r="153" spans="1:36" ht="15" customHeight="1" x14ac:dyDescent="0.3">
      <c r="A153">
        <f t="shared" si="57"/>
        <v>296.10000000000002</v>
      </c>
      <c r="B153">
        <f>GC_TCD!G156</f>
        <v>296.08611111110804</v>
      </c>
      <c r="C153">
        <f>GC_TCD!U156</f>
        <v>10.613833333333334</v>
      </c>
      <c r="D153">
        <f>GC_TCD!V156</f>
        <v>9.7496683704284409E-2</v>
      </c>
      <c r="E153">
        <f>GC_TCD!W156</f>
        <v>87.33120000000001</v>
      </c>
      <c r="F153">
        <f>GC_TCD!X156</f>
        <v>0.22877611326359634</v>
      </c>
      <c r="G153">
        <f>GC_TCD!Y156</f>
        <v>2.0549666666666666</v>
      </c>
      <c r="H153">
        <f>GC_TCD!Z156</f>
        <v>0.26095490670484472</v>
      </c>
      <c r="I153" s="38">
        <f>GC_TCD!K156</f>
        <v>1.111580281716571</v>
      </c>
      <c r="J153" s="42">
        <f>GC_TCD!AA156</f>
        <v>3.106420476756679</v>
      </c>
      <c r="K153" s="42">
        <f>GC_TCD!AB156</f>
        <v>9.0186400938097133</v>
      </c>
      <c r="L153" s="105">
        <f>GC_TCD!AC156</f>
        <v>9.633971154655448E-3</v>
      </c>
      <c r="M153" s="42">
        <f t="shared" si="52"/>
        <v>4.7212252182134248E-6</v>
      </c>
      <c r="N153">
        <f t="shared" si="53"/>
        <v>0.97075639898646215</v>
      </c>
      <c r="O153">
        <f t="shared" si="54"/>
        <v>0.11798127846759399</v>
      </c>
      <c r="P153">
        <f t="shared" si="55"/>
        <v>2.284260426251496E-2</v>
      </c>
      <c r="Q153">
        <f t="shared" si="56"/>
        <v>450</v>
      </c>
      <c r="S153">
        <f t="shared" si="58"/>
        <v>275.5</v>
      </c>
      <c r="T153">
        <f>VFA!F150</f>
        <v>275.47083333333285</v>
      </c>
      <c r="U153">
        <f>VFA!K150</f>
        <v>1.778710316</v>
      </c>
      <c r="V153" t="str">
        <f>VFA!L150</f>
        <v/>
      </c>
      <c r="W153" t="str">
        <f>IF(VFA!M150&lt;=0,"",VFA!M150)</f>
        <v/>
      </c>
      <c r="X153">
        <f>VFA!N150</f>
        <v>1.897883907172</v>
      </c>
      <c r="AJ153" s="45"/>
    </row>
    <row r="154" spans="1:36" ht="15" customHeight="1" x14ac:dyDescent="0.3">
      <c r="A154">
        <f t="shared" si="57"/>
        <v>296.90000000000003</v>
      </c>
      <c r="B154">
        <f>GC_TCD!G157</f>
        <v>296.89375000000291</v>
      </c>
      <c r="C154">
        <f>GC_TCD!U157</f>
        <v>12.294766666666666</v>
      </c>
      <c r="D154">
        <f>GC_TCD!V157</f>
        <v>8.9431333062485643E-2</v>
      </c>
      <c r="E154">
        <f>GC_TCD!W157</f>
        <v>74.356333333333339</v>
      </c>
      <c r="F154">
        <f>GC_TCD!X157</f>
        <v>0.30564394862868211</v>
      </c>
      <c r="G154">
        <f>GC_TCD!Y157</f>
        <v>13.3489</v>
      </c>
      <c r="H154">
        <f>GC_TCD!Z157</f>
        <v>0.38737037832028398</v>
      </c>
      <c r="I154" s="38">
        <f>GC_TCD!K157</f>
        <v>0.73507446259128584</v>
      </c>
      <c r="J154" s="42">
        <f>GC_TCD!AA157</f>
        <v>1.7490381364882728</v>
      </c>
      <c r="K154" s="42">
        <f>GC_TCD!AB157</f>
        <v>5.0778526543207922</v>
      </c>
      <c r="L154" s="105">
        <f>GC_TCD!AC157</f>
        <v>5.4243084866969172E-3</v>
      </c>
      <c r="M154" s="42">
        <f t="shared" si="52"/>
        <v>2.6510061643928675E-6</v>
      </c>
      <c r="N154">
        <f t="shared" si="53"/>
        <v>0.54657441765258519</v>
      </c>
      <c r="O154">
        <f t="shared" si="54"/>
        <v>9.0375690001852541E-2</v>
      </c>
      <c r="P154">
        <f t="shared" si="55"/>
        <v>9.8124354936848165E-2</v>
      </c>
      <c r="Q154">
        <f t="shared" si="56"/>
        <v>450</v>
      </c>
      <c r="S154">
        <f t="shared" si="58"/>
        <v>278.5</v>
      </c>
      <c r="T154">
        <f>VFA!F151</f>
        <v>278.47083333333285</v>
      </c>
      <c r="U154">
        <f>VFA!K151</f>
        <v>2.5723051579999998</v>
      </c>
      <c r="V154">
        <f>VFA!L151</f>
        <v>0.94608195563487507</v>
      </c>
      <c r="W154" t="str">
        <f>IF(VFA!M151&lt;=0,"",VFA!M151)</f>
        <v/>
      </c>
      <c r="X154">
        <f>VFA!N151</f>
        <v>2.7446496035859997</v>
      </c>
      <c r="AJ154" s="45"/>
    </row>
    <row r="155" spans="1:36" ht="15" customHeight="1" x14ac:dyDescent="0.3">
      <c r="A155">
        <f t="shared" si="57"/>
        <v>299.90000000000003</v>
      </c>
      <c r="B155">
        <f>GC_TCD!G158</f>
        <v>299.89930555555475</v>
      </c>
      <c r="C155">
        <f>GC_TCD!U158</f>
        <v>5.4392333333333331</v>
      </c>
      <c r="D155">
        <f>GC_TCD!V158</f>
        <v>4.3800266361442734E-2</v>
      </c>
      <c r="E155">
        <f>GC_TCD!W158</f>
        <v>87.368533333333332</v>
      </c>
      <c r="F155">
        <f>GC_TCD!X158</f>
        <v>5.8646426432757554E-2</v>
      </c>
      <c r="G155">
        <f>GC_TCD!Y158</f>
        <v>7.1922333333333341</v>
      </c>
      <c r="H155">
        <f>GC_TCD!Z158</f>
        <v>0.10155650315628915</v>
      </c>
      <c r="I155" s="38">
        <f>GC_TCD!K158</f>
        <v>0.66177587404573834</v>
      </c>
      <c r="J155" s="42">
        <f>GC_TCD!AA158</f>
        <v>1.8501884003443487</v>
      </c>
      <c r="K155" s="42">
        <f>GC_TCD!AB158</f>
        <v>5.3715147106771415</v>
      </c>
      <c r="L155" s="105">
        <f>GC_TCD!AC158</f>
        <v>5.7380067550307163E-3</v>
      </c>
      <c r="M155" s="42">
        <f t="shared" si="52"/>
        <v>2.7762144317494092E-6</v>
      </c>
      <c r="N155">
        <f t="shared" si="53"/>
        <v>0.57818387510760894</v>
      </c>
      <c r="O155">
        <f t="shared" si="54"/>
        <v>3.5995533933053818E-2</v>
      </c>
      <c r="P155">
        <f t="shared" si="55"/>
        <v>4.7596465005075618E-2</v>
      </c>
      <c r="Q155">
        <f t="shared" si="56"/>
        <v>450</v>
      </c>
      <c r="S155">
        <f t="shared" si="58"/>
        <v>279.5</v>
      </c>
      <c r="T155">
        <f>VFA!F152</f>
        <v>279.47083333333285</v>
      </c>
      <c r="U155">
        <f>VFA!K152</f>
        <v>2.4526597560000001</v>
      </c>
      <c r="V155" t="str">
        <f>VFA!L152</f>
        <v/>
      </c>
      <c r="W155" t="str">
        <f>IF(VFA!M152&lt;=0,"",VFA!M152)</f>
        <v/>
      </c>
      <c r="X155">
        <f>VFA!N152</f>
        <v>2.616987959652</v>
      </c>
      <c r="AJ155" s="45"/>
    </row>
    <row r="156" spans="1:36" ht="15" customHeight="1" x14ac:dyDescent="0.3">
      <c r="A156">
        <f t="shared" si="57"/>
        <v>301</v>
      </c>
      <c r="B156">
        <f>GC_TCD!G159</f>
        <v>301.0090277777781</v>
      </c>
      <c r="C156">
        <f>GC_TCD!U159</f>
        <v>3.8144666666666667</v>
      </c>
      <c r="D156">
        <f>GC_TCD!V159</f>
        <v>6.5478571558436838E-2</v>
      </c>
      <c r="E156">
        <f>GC_TCD!W159</f>
        <v>92.963666666666654</v>
      </c>
      <c r="F156">
        <f>GC_TCD!X159</f>
        <v>1.0750413588943131</v>
      </c>
      <c r="G156">
        <f>GC_TCD!Y159</f>
        <v>3.2219333333333338</v>
      </c>
      <c r="H156">
        <f>GC_TCD!Z159</f>
        <v>1.1398883907353969</v>
      </c>
      <c r="I156" s="38">
        <f>GC_TCD!K159</f>
        <v>0.68914361702057381</v>
      </c>
      <c r="J156" s="42">
        <f>GC_TCD!AA159</f>
        <v>2.0500901599411714</v>
      </c>
      <c r="K156" s="42">
        <f>GC_TCD!AB159</f>
        <v>5.9518746578937245</v>
      </c>
      <c r="L156" s="105">
        <f>GC_TCD!AC159</f>
        <v>6.3579639694936402E-3</v>
      </c>
      <c r="M156" s="42">
        <f t="shared" si="52"/>
        <v>3.064826921585218E-6</v>
      </c>
      <c r="N156">
        <f t="shared" si="53"/>
        <v>0.640653174981616</v>
      </c>
      <c r="O156">
        <f t="shared" si="54"/>
        <v>2.6287153556710782E-2</v>
      </c>
      <c r="P156">
        <f t="shared" si="55"/>
        <v>2.2203747911324876E-2</v>
      </c>
      <c r="Q156">
        <f t="shared" si="56"/>
        <v>450</v>
      </c>
      <c r="S156">
        <f t="shared" si="58"/>
        <v>280.5</v>
      </c>
      <c r="T156">
        <f>VFA!F153</f>
        <v>280.47083333333285</v>
      </c>
      <c r="U156">
        <f>VFA!K153</f>
        <v>2.273191653</v>
      </c>
      <c r="V156" t="str">
        <f>VFA!L153</f>
        <v/>
      </c>
      <c r="W156" t="str">
        <f>IF(VFA!M153&lt;=0,"",VFA!M153)</f>
        <v/>
      </c>
      <c r="X156">
        <f>VFA!N153</f>
        <v>2.4254954937509998</v>
      </c>
      <c r="AJ156" s="45"/>
    </row>
    <row r="157" spans="1:36" ht="15" customHeight="1" x14ac:dyDescent="0.3">
      <c r="A157">
        <f t="shared" si="57"/>
        <v>301.90000000000003</v>
      </c>
      <c r="B157">
        <f>GC_TCD!G160</f>
        <v>301.9326388888876</v>
      </c>
      <c r="C157">
        <f>GC_TCD!U160</f>
        <v>3.7058999999999997</v>
      </c>
      <c r="D157">
        <f>GC_TCD!V160</f>
        <v>1.9504102132628504E-2</v>
      </c>
      <c r="E157">
        <f>GC_TCD!W160</f>
        <v>94.372466666666654</v>
      </c>
      <c r="F157">
        <f>GC_TCD!X160</f>
        <v>0.21180314760015945</v>
      </c>
      <c r="G157">
        <f>GC_TCD!Y160</f>
        <v>1.9217000000000002</v>
      </c>
      <c r="H157">
        <f>GC_TCD!Z160</f>
        <v>0.22918553619284091</v>
      </c>
      <c r="I157" s="38">
        <f>GC_TCD!K160</f>
        <v>0.66284042553308764</v>
      </c>
      <c r="J157" s="42">
        <f>GC_TCD!AA160</f>
        <v>2.0017243508460947</v>
      </c>
      <c r="K157" s="42">
        <f>GC_TCD!AB160</f>
        <v>5.8114577927789837</v>
      </c>
      <c r="L157" s="105">
        <f>GC_TCD!AC160</f>
        <v>6.2079666290885075E-3</v>
      </c>
      <c r="M157" s="42">
        <f t="shared" si="52"/>
        <v>2.9833672874704731E-6</v>
      </c>
      <c r="N157">
        <f t="shared" si="53"/>
        <v>0.62553885963940448</v>
      </c>
      <c r="O157">
        <f t="shared" si="54"/>
        <v>2.456420332983069E-2</v>
      </c>
      <c r="P157">
        <f t="shared" si="55"/>
        <v>1.2737804457469346E-2</v>
      </c>
      <c r="Q157">
        <f t="shared" si="56"/>
        <v>450</v>
      </c>
      <c r="S157">
        <f t="shared" si="58"/>
        <v>281.5</v>
      </c>
      <c r="T157">
        <f>VFA!F154</f>
        <v>281.47083333333285</v>
      </c>
      <c r="U157">
        <f>VFA!K154</f>
        <v>2.1335906809999998</v>
      </c>
      <c r="V157" t="str">
        <f>VFA!L154</f>
        <v/>
      </c>
      <c r="W157" t="str">
        <f>IF(VFA!M154&lt;=0,"",VFA!M154)</f>
        <v/>
      </c>
      <c r="X157">
        <f>VFA!N154</f>
        <v>2.2765412566269996</v>
      </c>
      <c r="AJ157" s="45"/>
    </row>
    <row r="158" spans="1:36" ht="15" customHeight="1" x14ac:dyDescent="0.3">
      <c r="A158">
        <f t="shared" si="57"/>
        <v>302.90000000000003</v>
      </c>
      <c r="B158">
        <f>GC_TCD!G161</f>
        <v>302.8881944444438</v>
      </c>
      <c r="C158">
        <f>GC_TCD!U161</f>
        <v>3.8378333333333337</v>
      </c>
      <c r="D158">
        <f>GC_TCD!V161</f>
        <v>8.2934210874242673E-2</v>
      </c>
      <c r="E158">
        <f>GC_TCD!W161</f>
        <v>94.746399999999994</v>
      </c>
      <c r="F158">
        <f>GC_TCD!X161</f>
        <v>0.1995638995409747</v>
      </c>
      <c r="G158">
        <f>GC_TCD!Y161</f>
        <v>1.4157666666666666</v>
      </c>
      <c r="H158">
        <f>GC_TCD!Z161</f>
        <v>0.17494665853720531</v>
      </c>
      <c r="I158" s="38">
        <f>GC_TCD!K161</f>
        <v>0.65547476225266244</v>
      </c>
      <c r="J158" s="42">
        <f>GC_TCD!AA161</f>
        <v>1.9873239684574611</v>
      </c>
      <c r="K158" s="42">
        <f>GC_TCD!AB161</f>
        <v>5.7696502310055324</v>
      </c>
      <c r="L158" s="105">
        <f>GC_TCD!AC161</f>
        <v>6.1633065872216224E-3</v>
      </c>
      <c r="M158" s="42">
        <f t="shared" si="52"/>
        <v>2.952560721114175E-6</v>
      </c>
      <c r="N158">
        <f t="shared" si="53"/>
        <v>0.62103874014295657</v>
      </c>
      <c r="O158">
        <f t="shared" si="54"/>
        <v>2.5156028917320095E-2</v>
      </c>
      <c r="P158">
        <f t="shared" si="55"/>
        <v>9.2799931923857777E-3</v>
      </c>
      <c r="Q158">
        <f t="shared" si="56"/>
        <v>450</v>
      </c>
      <c r="S158">
        <f t="shared" si="58"/>
        <v>282.5</v>
      </c>
      <c r="T158">
        <f>VFA!F155</f>
        <v>282.47083333333285</v>
      </c>
      <c r="U158">
        <f>VFA!K155</f>
        <v>2.5332534010000001</v>
      </c>
      <c r="V158" t="str">
        <f>VFA!L155</f>
        <v/>
      </c>
      <c r="W158" t="str">
        <f>IF(VFA!M155&lt;=0,"",VFA!M155)</f>
        <v/>
      </c>
      <c r="X158">
        <f>VFA!N155</f>
        <v>2.7029813788669999</v>
      </c>
      <c r="AJ158" s="45"/>
    </row>
    <row r="159" spans="1:36" ht="15" customHeight="1" x14ac:dyDescent="0.3">
      <c r="A159">
        <f t="shared" si="57"/>
        <v>304</v>
      </c>
      <c r="B159">
        <f>GC_TCD!G162</f>
        <v>304.00833333333139</v>
      </c>
      <c r="C159">
        <f>GC_TCD!U162</f>
        <v>4.7186000000000003</v>
      </c>
      <c r="D159">
        <f>GC_TCD!V162</f>
        <v>3.0406742673295264E-2</v>
      </c>
      <c r="E159">
        <f>GC_TCD!W162</f>
        <v>94.994933333333336</v>
      </c>
      <c r="F159">
        <f>GC_TCD!X162</f>
        <v>0.27656489895381536</v>
      </c>
      <c r="G159">
        <f>GC_TCD!Y162</f>
        <v>0.2864666666666667</v>
      </c>
      <c r="H159">
        <f>GC_TCD!Z162</f>
        <v>0.24654292391657345</v>
      </c>
      <c r="I159" s="38">
        <f>GC_TCD!K162</f>
        <v>0.78672405455763872</v>
      </c>
      <c r="J159" s="42">
        <f>GC_TCD!AA162</f>
        <v>2.391513571661843</v>
      </c>
      <c r="K159" s="42">
        <f>GC_TCD!AB162</f>
        <v>6.9431039177279317</v>
      </c>
      <c r="L159" s="105">
        <f>GC_TCD!AC162</f>
        <v>7.416823619902339E-3</v>
      </c>
      <c r="M159" s="42">
        <f t="shared" si="52"/>
        <v>3.5399723930193895E-6</v>
      </c>
      <c r="N159">
        <f t="shared" si="53"/>
        <v>0.74734799114432593</v>
      </c>
      <c r="O159">
        <f t="shared" si="54"/>
        <v>3.7122361238356744E-2</v>
      </c>
      <c r="P159">
        <f t="shared" si="55"/>
        <v>2.2537021749561158E-3</v>
      </c>
      <c r="Q159">
        <f t="shared" si="56"/>
        <v>450</v>
      </c>
      <c r="S159">
        <f t="shared" si="58"/>
        <v>285.5</v>
      </c>
      <c r="T159">
        <f>VFA!F156</f>
        <v>285.47083333333285</v>
      </c>
      <c r="U159">
        <f>VFA!K156</f>
        <v>3.4540000000000002</v>
      </c>
      <c r="V159">
        <f>VFA!L156</f>
        <v>3.7303200000000003</v>
      </c>
      <c r="W159">
        <f>IF(VFA!M156&lt;=0,"",VFA!M156)</f>
        <v>1.179</v>
      </c>
      <c r="X159">
        <f>VFA!N156</f>
        <v>11.476544480000001</v>
      </c>
      <c r="AJ159" s="45"/>
    </row>
    <row r="160" spans="1:36" ht="15" customHeight="1" x14ac:dyDescent="0.3">
      <c r="A160">
        <f t="shared" si="57"/>
        <v>306.90000000000003</v>
      </c>
      <c r="B160">
        <f>GC_TCD!G163</f>
        <v>306.87152777777374</v>
      </c>
      <c r="C160">
        <f>GC_TCD!U163</f>
        <v>5.9162333333333335</v>
      </c>
      <c r="D160">
        <f>GC_TCD!V163</f>
        <v>7.4121274498846215E-2</v>
      </c>
      <c r="E160">
        <f>GC_TCD!W163</f>
        <v>92.482533333333336</v>
      </c>
      <c r="F160">
        <f>GC_TCD!X163</f>
        <v>0.61781733006879269</v>
      </c>
      <c r="G160">
        <f>GC_TCD!Y163</f>
        <v>1.6011999999999997</v>
      </c>
      <c r="H160">
        <f>GC_TCD!Z163</f>
        <v>0.69081396193186584</v>
      </c>
      <c r="I160" s="38">
        <f>GC_TCD!K163</f>
        <v>0.80048311908863001</v>
      </c>
      <c r="J160" s="42">
        <f>GC_TCD!AA163</f>
        <v>2.3689826158043159</v>
      </c>
      <c r="K160" s="42">
        <f>GC_TCD!AB163</f>
        <v>6.8776914652383372</v>
      </c>
      <c r="L160" s="105">
        <f>GC_TCD!AC163</f>
        <v>7.3469481537694155E-3</v>
      </c>
      <c r="M160" s="42">
        <f t="shared" si="52"/>
        <v>3.4739038347146193E-6</v>
      </c>
      <c r="N160">
        <f t="shared" si="53"/>
        <v>0.74030706743884866</v>
      </c>
      <c r="O160">
        <f t="shared" si="54"/>
        <v>4.7358449119227895E-2</v>
      </c>
      <c r="P160">
        <f t="shared" si="55"/>
        <v>1.2817335702847141E-2</v>
      </c>
      <c r="Q160">
        <f t="shared" si="56"/>
        <v>450</v>
      </c>
      <c r="S160">
        <f t="shared" si="58"/>
        <v>286.5</v>
      </c>
      <c r="T160">
        <f>VFA!F157</f>
        <v>286.47083333333285</v>
      </c>
      <c r="U160">
        <f>VFA!K157</f>
        <v>4.7300000000000004</v>
      </c>
      <c r="V160">
        <f>VFA!L157</f>
        <v>5.4773399999999999</v>
      </c>
      <c r="W160">
        <f>IF(VFA!M157&lt;=0,"",VFA!M157)</f>
        <v>1.1759999999999999</v>
      </c>
      <c r="X160">
        <f>VFA!N157</f>
        <v>15.477570759999999</v>
      </c>
      <c r="AJ160" s="45"/>
    </row>
    <row r="161" spans="1:36" ht="15" customHeight="1" x14ac:dyDescent="0.3">
      <c r="A161">
        <f t="shared" si="57"/>
        <v>307.90000000000003</v>
      </c>
      <c r="B161">
        <f>GC_TCD!G164</f>
        <v>307.8798611111124</v>
      </c>
      <c r="C161">
        <f>GC_TCD!U164</f>
        <v>6.0390333333333333</v>
      </c>
      <c r="D161">
        <f>GC_TCD!V164</f>
        <v>0.16217133943250697</v>
      </c>
      <c r="E161">
        <f>GC_TCD!W164</f>
        <v>92.666466666666665</v>
      </c>
      <c r="F161">
        <f>GC_TCD!X164</f>
        <v>1.1120944219504647</v>
      </c>
      <c r="G161">
        <f>GC_TCD!Y164</f>
        <v>1.2945</v>
      </c>
      <c r="H161">
        <f>GC_TCD!Z164</f>
        <v>1.2732713261516575</v>
      </c>
      <c r="I161" s="38">
        <f>GC_TCD!K164</f>
        <v>0.84280893970445014</v>
      </c>
      <c r="J161" s="42">
        <f>GC_TCD!AA164</f>
        <v>2.4992040485597156</v>
      </c>
      <c r="K161" s="42">
        <f>GC_TCD!AB164</f>
        <v>7.2557536893669159</v>
      </c>
      <c r="L161" s="105">
        <f>GC_TCD!AC164</f>
        <v>7.7508051126938104E-3</v>
      </c>
      <c r="M161" s="42">
        <f t="shared" si="52"/>
        <v>3.6528593256900099E-6</v>
      </c>
      <c r="N161">
        <f t="shared" si="53"/>
        <v>0.78100126517491109</v>
      </c>
      <c r="O161">
        <f t="shared" si="54"/>
        <v>5.0897512805064979E-2</v>
      </c>
      <c r="P161">
        <f t="shared" si="55"/>
        <v>1.0910161724474107E-2</v>
      </c>
      <c r="Q161">
        <f t="shared" si="56"/>
        <v>450</v>
      </c>
      <c r="S161">
        <f t="shared" si="58"/>
        <v>287.5</v>
      </c>
      <c r="T161">
        <f>VFA!F158</f>
        <v>287.47083333333285</v>
      </c>
      <c r="U161">
        <f>VFA!K158</f>
        <v>3.8010000000000002</v>
      </c>
      <c r="V161">
        <f>VFA!L158</f>
        <v>4.1278860000000002</v>
      </c>
      <c r="W161">
        <f>IF(VFA!M158&lt;=0,"",VFA!M158)</f>
        <v>1.175</v>
      </c>
      <c r="X161">
        <f>VFA!N158</f>
        <v>12.441436404000001</v>
      </c>
      <c r="AJ161" s="45"/>
    </row>
    <row r="162" spans="1:36" ht="15" customHeight="1" x14ac:dyDescent="0.3">
      <c r="A162">
        <f t="shared" si="57"/>
        <v>308.90000000000003</v>
      </c>
      <c r="B162">
        <f>GC_TCD!G165</f>
        <v>308.92361111110949</v>
      </c>
      <c r="C162">
        <f>GC_TCD!U165</f>
        <v>6.2588333333333326</v>
      </c>
      <c r="D162">
        <f>GC_TCD!V165</f>
        <v>9.2678278648954962E-2</v>
      </c>
      <c r="E162">
        <f>GC_TCD!W165</f>
        <v>93.599400000000003</v>
      </c>
      <c r="F162">
        <f>GC_TCD!X165</f>
        <v>0.22203812735654219</v>
      </c>
      <c r="G162">
        <f>GC_TCD!Y165</f>
        <v>0.14176666666666668</v>
      </c>
      <c r="H162">
        <f>GC_TCD!Z165</f>
        <v>0.15423217347017232</v>
      </c>
      <c r="I162" s="38">
        <f>GC_TCD!K165</f>
        <v>0.81245395875143378</v>
      </c>
      <c r="J162" s="42">
        <f>GC_TCD!AA165</f>
        <v>2.4334464981362869</v>
      </c>
      <c r="K162" s="42">
        <f>GC_TCD!AB165</f>
        <v>7.064844672008574</v>
      </c>
      <c r="L162" s="105">
        <f>GC_TCD!AC165</f>
        <v>7.546870600698339E-3</v>
      </c>
      <c r="M162" s="42">
        <f t="shared" si="52"/>
        <v>3.5447304277673869E-6</v>
      </c>
      <c r="N162">
        <f t="shared" si="53"/>
        <v>0.7604520306675896</v>
      </c>
      <c r="O162">
        <f t="shared" si="54"/>
        <v>5.0850139188320986E-2</v>
      </c>
      <c r="P162">
        <f t="shared" si="55"/>
        <v>1.1517888955232826E-3</v>
      </c>
      <c r="Q162">
        <f t="shared" si="56"/>
        <v>450</v>
      </c>
      <c r="S162">
        <f t="shared" si="58"/>
        <v>288.5</v>
      </c>
      <c r="T162">
        <f>VFA!F159</f>
        <v>288.47083333333285</v>
      </c>
      <c r="U162">
        <f>VFA!K159</f>
        <v>3.6669999999999998</v>
      </c>
      <c r="V162">
        <f>VFA!L159</f>
        <v>4.95045</v>
      </c>
      <c r="W162">
        <f>IF(VFA!M159&lt;=0,"",VFA!M159)</f>
        <v>1.486</v>
      </c>
      <c r="X162">
        <f>VFA!N159</f>
        <v>14.1092183</v>
      </c>
      <c r="AJ162" s="45"/>
    </row>
    <row r="163" spans="1:36" ht="15" customHeight="1" x14ac:dyDescent="0.3">
      <c r="A163">
        <f t="shared" si="57"/>
        <v>309.90000000000003</v>
      </c>
      <c r="B163">
        <f>GC_TCD!G166</f>
        <v>309.90277777777374</v>
      </c>
      <c r="C163">
        <f>GC_TCD!U166</f>
        <v>5.7200666666666669</v>
      </c>
      <c r="D163">
        <f>GC_TCD!V166</f>
        <v>9.4628184666796428E-2</v>
      </c>
      <c r="E163">
        <f>GC_TCD!W166</f>
        <v>94.180300000000003</v>
      </c>
      <c r="F163">
        <f>GC_TCD!X166</f>
        <v>0.18190247386992872</v>
      </c>
      <c r="G163">
        <f>GC_TCD!Y166</f>
        <v>9.9699999999999997E-2</v>
      </c>
      <c r="H163">
        <f>GC_TCD!Z166</f>
        <v>8.8333968551175146E-2</v>
      </c>
      <c r="I163" s="38">
        <f>GC_TCD!K166</f>
        <v>0.79477723404452194</v>
      </c>
      <c r="J163" s="42">
        <f>GC_TCD!AA166</f>
        <v>2.3952754667354657</v>
      </c>
      <c r="K163" s="42">
        <f>GC_TCD!AB166</f>
        <v>6.9540255485868352</v>
      </c>
      <c r="L163" s="105">
        <f>GC_TCD!AC166</f>
        <v>7.4284904206130906E-3</v>
      </c>
      <c r="M163" s="42">
        <f t="shared" si="52"/>
        <v>3.4781035773867294E-6</v>
      </c>
      <c r="N163">
        <f t="shared" si="53"/>
        <v>0.74852358335483293</v>
      </c>
      <c r="O163">
        <f t="shared" si="54"/>
        <v>4.5461787638836022E-2</v>
      </c>
      <c r="P163">
        <f t="shared" si="55"/>
        <v>7.9239290234238836E-4</v>
      </c>
      <c r="Q163">
        <f t="shared" si="56"/>
        <v>450</v>
      </c>
      <c r="S163">
        <f t="shared" si="58"/>
        <v>289.5</v>
      </c>
      <c r="T163">
        <f>VFA!F160</f>
        <v>289.47083333333285</v>
      </c>
      <c r="U163">
        <f>VFA!K160</f>
        <v>3.4940000000000002</v>
      </c>
      <c r="V163">
        <f>VFA!L160</f>
        <v>4.5736460000000001</v>
      </c>
      <c r="W163">
        <f>IF(VFA!M160&lt;=0,"",VFA!M160)</f>
        <v>1.4690000000000001</v>
      </c>
      <c r="X163">
        <f>VFA!N160</f>
        <v>13.323240044000002</v>
      </c>
      <c r="AJ163" s="45"/>
    </row>
    <row r="164" spans="1:36" ht="15" customHeight="1" x14ac:dyDescent="0.3">
      <c r="A164">
        <f t="shared" si="57"/>
        <v>311</v>
      </c>
      <c r="B164">
        <f>GC_TCD!G167</f>
        <v>310.97430555555184</v>
      </c>
      <c r="C164">
        <f>GC_TCD!U167</f>
        <v>13.380733333333334</v>
      </c>
      <c r="D164">
        <f>GC_TCD!V167</f>
        <v>0.14501532102965353</v>
      </c>
      <c r="E164">
        <f>GC_TCD!W167</f>
        <v>83.1858</v>
      </c>
      <c r="F164">
        <f>GC_TCD!X167</f>
        <v>0.13302161478496444</v>
      </c>
      <c r="G164">
        <f>GC_TCD!Y167</f>
        <v>3.4334666666666664</v>
      </c>
      <c r="H164">
        <f>GC_TCD!Z167</f>
        <v>7.1060138849662738E-2</v>
      </c>
      <c r="I164" s="38">
        <f>GC_TCD!K167</f>
        <v>1.2254632720101373</v>
      </c>
      <c r="J164" s="42">
        <f>GC_TCD!AA167</f>
        <v>3.2621165648889887</v>
      </c>
      <c r="K164" s="42">
        <f>GC_TCD!AB167</f>
        <v>9.4706609948389975</v>
      </c>
      <c r="L164" s="105">
        <f>GC_TCD!AC167</f>
        <v>1.0116832902825943E-2</v>
      </c>
      <c r="M164" s="42">
        <f t="shared" si="52"/>
        <v>4.7204943558843735E-6</v>
      </c>
      <c r="N164">
        <f t="shared" si="53"/>
        <v>1.0194114265278089</v>
      </c>
      <c r="O164">
        <f t="shared" si="54"/>
        <v>0.16397597252561777</v>
      </c>
      <c r="P164">
        <f t="shared" si="55"/>
        <v>4.2075872956710725E-2</v>
      </c>
      <c r="Q164">
        <f t="shared" si="56"/>
        <v>450</v>
      </c>
      <c r="S164">
        <f t="shared" si="58"/>
        <v>292.5</v>
      </c>
      <c r="T164">
        <f>VFA!F161</f>
        <v>292.47083333333285</v>
      </c>
      <c r="U164">
        <f>VFA!K161</f>
        <v>3.3210000000000002</v>
      </c>
      <c r="V164">
        <f>VFA!L161</f>
        <v>1.8996119999999999</v>
      </c>
      <c r="W164">
        <f>IF(VFA!M161&lt;=0,"",VFA!M161)</f>
        <v>0.64400000000000002</v>
      </c>
      <c r="X164">
        <f>VFA!N161</f>
        <v>7.5903115680000006</v>
      </c>
      <c r="AJ164" s="45"/>
    </row>
    <row r="165" spans="1:36" ht="15" customHeight="1" x14ac:dyDescent="0.3">
      <c r="A165">
        <f t="shared" si="57"/>
        <v>313.90000000000003</v>
      </c>
      <c r="B165">
        <f>GC_TCD!G168</f>
        <v>313.91388888889196</v>
      </c>
      <c r="C165">
        <f>GC_TCD!U168</f>
        <v>21.132466666666669</v>
      </c>
      <c r="D165">
        <f>GC_TCD!V168</f>
        <v>0.80408942496051683</v>
      </c>
      <c r="E165">
        <f>GC_TCD!W168</f>
        <v>75.550600000000003</v>
      </c>
      <c r="F165">
        <f>GC_TCD!X168</f>
        <v>0.6023649475193561</v>
      </c>
      <c r="G165">
        <f>GC_TCD!Y168</f>
        <v>3.3170000000000002</v>
      </c>
      <c r="H165">
        <f>GC_TCD!Z168</f>
        <v>0.45345938076083081</v>
      </c>
      <c r="I165" s="38">
        <f>GC_TCD!K168</f>
        <v>1.1433936286093838</v>
      </c>
      <c r="J165" s="42">
        <f>GC_TCD!AA168</f>
        <v>2.7642903896837154</v>
      </c>
      <c r="K165" s="42">
        <f>GC_TCD!AB168</f>
        <v>8.02535919585595</v>
      </c>
      <c r="L165" s="105">
        <f>GC_TCD!AC168</f>
        <v>8.5729198853044253E-3</v>
      </c>
      <c r="M165" s="42">
        <f t="shared" si="52"/>
        <v>3.9626493741981394E-6</v>
      </c>
      <c r="N165">
        <f t="shared" si="53"/>
        <v>0.86384074677616107</v>
      </c>
      <c r="O165">
        <f t="shared" si="54"/>
        <v>0.24162727743466852</v>
      </c>
      <c r="P165">
        <f t="shared" si="55"/>
        <v>3.7926366660973258E-2</v>
      </c>
      <c r="Q165">
        <f t="shared" si="56"/>
        <v>450</v>
      </c>
      <c r="S165">
        <f t="shared" si="58"/>
        <v>293.5</v>
      </c>
      <c r="T165">
        <f>VFA!F162</f>
        <v>293.47083333333285</v>
      </c>
      <c r="U165">
        <f>VFA!K162</f>
        <v>3.899</v>
      </c>
      <c r="V165">
        <f>VFA!L162</f>
        <v>3.8561109999999998</v>
      </c>
      <c r="W165">
        <f>IF(VFA!M162&lt;=0,"",VFA!M162)</f>
        <v>0.502</v>
      </c>
      <c r="X165">
        <f>VFA!N162</f>
        <v>10.911021053999999</v>
      </c>
      <c r="AJ165" s="45"/>
    </row>
    <row r="166" spans="1:36" ht="15" customHeight="1" x14ac:dyDescent="0.3">
      <c r="A166">
        <f t="shared" si="57"/>
        <v>314.90000000000003</v>
      </c>
      <c r="B166">
        <f>GC_TCD!G169</f>
        <v>314.88888888889051</v>
      </c>
      <c r="C166">
        <f>GC_TCD!U169</f>
        <v>19.672933333333333</v>
      </c>
      <c r="D166">
        <f>GC_TCD!V169</f>
        <v>4.9973426271702738E-2</v>
      </c>
      <c r="E166">
        <f>GC_TCD!W169</f>
        <v>77.131033333333335</v>
      </c>
      <c r="F166">
        <f>GC_TCD!X169</f>
        <v>0.30844919084564087</v>
      </c>
      <c r="G166">
        <f>GC_TCD!Y169</f>
        <v>3.1960333333333337</v>
      </c>
      <c r="H166">
        <f>GC_TCD!Z169</f>
        <v>0.29731912708961949</v>
      </c>
      <c r="I166" s="38">
        <f>GC_TCD!K169</f>
        <v>1.1055808404574905</v>
      </c>
      <c r="J166" s="42">
        <f>GC_TCD!AA169</f>
        <v>2.7287869650566843</v>
      </c>
      <c r="K166" s="42">
        <f>GC_TCD!AB169</f>
        <v>7.922284737261343</v>
      </c>
      <c r="L166" s="105">
        <f>GC_TCD!AC169</f>
        <v>8.4628127792936454E-3</v>
      </c>
      <c r="M166" s="42">
        <f t="shared" ref="M166:M178" si="59">(N166/10^6)*1440/B166</f>
        <v>3.8996426282567085E-6</v>
      </c>
      <c r="N166">
        <f t="shared" ref="N166:N178" si="60">I166*E166/100</f>
        <v>0.85274592658021375</v>
      </c>
      <c r="O166">
        <f t="shared" ref="O166:O178" si="61">C166/100*I166</f>
        <v>0.21750018168930849</v>
      </c>
      <c r="P166">
        <f t="shared" ref="P166:P178" si="62">I166*G166/100</f>
        <v>3.5334732187968218E-2</v>
      </c>
      <c r="Q166">
        <f t="shared" ref="Q166:Q178" si="63">IFERROR(VLOOKUP(A166,$CK$5:$CM$110,3,FALSE),Q165)</f>
        <v>450</v>
      </c>
      <c r="S166">
        <f t="shared" si="58"/>
        <v>294.5</v>
      </c>
      <c r="T166">
        <f>VFA!F163</f>
        <v>294.47083333333285</v>
      </c>
      <c r="U166">
        <f>VFA!K163</f>
        <v>4.5629999999999997</v>
      </c>
      <c r="V166">
        <f>VFA!L163</f>
        <v>4.403295</v>
      </c>
      <c r="W166">
        <f>IF(VFA!M163&lt;=0,"",VFA!M163)</f>
        <v>0.47599999999999998</v>
      </c>
      <c r="X166">
        <f>VFA!N163</f>
        <v>12.400677630000001</v>
      </c>
      <c r="AJ166" s="45"/>
    </row>
    <row r="167" spans="1:36" ht="15" customHeight="1" x14ac:dyDescent="0.3">
      <c r="A167">
        <f t="shared" si="57"/>
        <v>315.90000000000003</v>
      </c>
      <c r="B167">
        <f>GC_TCD!G170</f>
        <v>315.89097222222335</v>
      </c>
      <c r="C167">
        <f>GC_TCD!U170</f>
        <v>16.650266666666667</v>
      </c>
      <c r="D167">
        <f>GC_TCD!V170</f>
        <v>0.10776791421073972</v>
      </c>
      <c r="E167">
        <f>GC_TCD!W170</f>
        <v>80.241666666666674</v>
      </c>
      <c r="F167">
        <f>GC_TCD!X170</f>
        <v>0.16230718817517675</v>
      </c>
      <c r="G167">
        <f>GC_TCD!Y170</f>
        <v>3.1080000000000001</v>
      </c>
      <c r="H167">
        <f>GC_TCD!Z170</f>
        <v>9.9926322858394132E-2</v>
      </c>
      <c r="I167" s="38">
        <f>GC_TCD!K170</f>
        <v>1.0430524142762274</v>
      </c>
      <c r="J167" s="42">
        <f>GC_TCD!AA170</f>
        <v>2.6782804525508785</v>
      </c>
      <c r="K167" s="42">
        <f>GC_TCD!AB170</f>
        <v>7.7756529267606158</v>
      </c>
      <c r="L167" s="105">
        <f>GC_TCD!AC170</f>
        <v>8.3061764551888035E-3</v>
      </c>
      <c r="M167" s="42">
        <f t="shared" si="59"/>
        <v>3.8153233540338139E-6</v>
      </c>
      <c r="N167">
        <f t="shared" si="60"/>
        <v>0.8369626414221496</v>
      </c>
      <c r="O167">
        <f t="shared" si="61"/>
        <v>0.17367100845009659</v>
      </c>
      <c r="P167">
        <f t="shared" si="62"/>
        <v>3.2418069035705148E-2</v>
      </c>
      <c r="Q167">
        <f t="shared" si="63"/>
        <v>450</v>
      </c>
      <c r="S167">
        <f t="shared" si="58"/>
        <v>299.5</v>
      </c>
      <c r="T167">
        <f>VFA!F164</f>
        <v>299.47083333333285</v>
      </c>
      <c r="U167">
        <f>VFA!K164</f>
        <v>5.4020000000000001</v>
      </c>
      <c r="V167">
        <f>VFA!L164</f>
        <v>11.824978</v>
      </c>
      <c r="W167">
        <f>IF(VFA!M164&lt;=0,"",VFA!M164)</f>
        <v>2.2189999999999999</v>
      </c>
      <c r="X167">
        <f>VFA!N164</f>
        <v>27.701092692</v>
      </c>
      <c r="AJ167" s="45"/>
    </row>
    <row r="168" spans="1:36" ht="15" customHeight="1" x14ac:dyDescent="0.3">
      <c r="A168">
        <f t="shared" si="57"/>
        <v>316.90000000000003</v>
      </c>
      <c r="B168">
        <f>GC_TCD!G171</f>
        <v>316.90555555555329</v>
      </c>
      <c r="C168">
        <f>GC_TCD!U171</f>
        <v>14.005633333333334</v>
      </c>
      <c r="D168">
        <f>GC_TCD!V171</f>
        <v>0.66692714994467983</v>
      </c>
      <c r="E168">
        <f>GC_TCD!W171</f>
        <v>82.523166666666668</v>
      </c>
      <c r="F168">
        <f>GC_TCD!X171</f>
        <v>0.53162139096666639</v>
      </c>
      <c r="G168">
        <f>GC_TCD!Y171</f>
        <v>3.4711999999999996</v>
      </c>
      <c r="H168">
        <f>GC_TCD!Z171</f>
        <v>1.1933225506961653</v>
      </c>
      <c r="I168" s="38">
        <f>GC_TCD!K171</f>
        <v>1.0485035837388887</v>
      </c>
      <c r="J168" s="42">
        <f>GC_TCD!AA171</f>
        <v>2.7688267517274121</v>
      </c>
      <c r="K168" s="42">
        <f>GC_TCD!AB171</f>
        <v>8.038529279208614</v>
      </c>
      <c r="L168" s="105">
        <f>GC_TCD!AC171</f>
        <v>8.5869885477418001E-3</v>
      </c>
      <c r="M168" s="42">
        <f t="shared" si="59"/>
        <v>3.931682535804953E-6</v>
      </c>
      <c r="N168">
        <f t="shared" si="60"/>
        <v>0.86525835991481614</v>
      </c>
      <c r="O168">
        <f t="shared" si="61"/>
        <v>0.1468495674253284</v>
      </c>
      <c r="P168">
        <f t="shared" si="62"/>
        <v>3.63956563987443E-2</v>
      </c>
      <c r="Q168">
        <f t="shared" si="63"/>
        <v>450</v>
      </c>
      <c r="S168">
        <f t="shared" si="58"/>
        <v>300.5</v>
      </c>
      <c r="T168">
        <f>VFA!F165</f>
        <v>300.47083333333285</v>
      </c>
      <c r="U168">
        <f>VFA!K165</f>
        <v>5.2830000000000004</v>
      </c>
      <c r="V168">
        <f>VFA!L165</f>
        <v>10.534302</v>
      </c>
      <c r="W168">
        <f>IF(VFA!M165&lt;=0,"",VFA!M165)</f>
        <v>2.1059999999999999</v>
      </c>
      <c r="X168">
        <f>VFA!N165</f>
        <v>25.414602228</v>
      </c>
      <c r="AJ168" s="45"/>
    </row>
    <row r="169" spans="1:36" ht="15" customHeight="1" x14ac:dyDescent="0.3">
      <c r="A169">
        <f t="shared" si="57"/>
        <v>317.90000000000003</v>
      </c>
      <c r="B169">
        <f>GC_TCD!G172</f>
        <v>317.87222222222044</v>
      </c>
      <c r="C169">
        <f>GC_TCD!U172</f>
        <v>15.2522</v>
      </c>
      <c r="D169">
        <f>GC_TCD!V172</f>
        <v>1.3234146100145647</v>
      </c>
      <c r="E169">
        <f>GC_TCD!W172</f>
        <v>81.2941</v>
      </c>
      <c r="F169">
        <f>GC_TCD!X172</f>
        <v>0.36210428056016614</v>
      </c>
      <c r="G169">
        <f>GC_TCD!Y172</f>
        <v>3.4518999999999997</v>
      </c>
      <c r="H169">
        <f>GC_TCD!Z172</f>
        <v>1.6819589858257551</v>
      </c>
      <c r="I169" s="38">
        <f>GC_TCD!K172</f>
        <v>1.085271192528191</v>
      </c>
      <c r="J169" s="42">
        <f>GC_TCD!AA172</f>
        <v>2.8232366352801925</v>
      </c>
      <c r="K169" s="42">
        <f>GC_TCD!AB172</f>
        <v>8.1964934572650758</v>
      </c>
      <c r="L169" s="105">
        <f>GC_TCD!AC172</f>
        <v>8.7557304333293357E-3</v>
      </c>
      <c r="M169" s="42">
        <f t="shared" si="59"/>
        <v>3.9967521446020732E-6</v>
      </c>
      <c r="N169">
        <f t="shared" si="60"/>
        <v>0.88226144852506005</v>
      </c>
      <c r="O169">
        <f t="shared" si="61"/>
        <v>0.16552773282678473</v>
      </c>
      <c r="P169">
        <f t="shared" si="62"/>
        <v>3.7462476294880621E-2</v>
      </c>
      <c r="Q169">
        <f t="shared" si="63"/>
        <v>450</v>
      </c>
      <c r="S169">
        <f t="shared" si="58"/>
        <v>301.5</v>
      </c>
      <c r="T169">
        <f>VFA!F166</f>
        <v>301.47083333333285</v>
      </c>
      <c r="U169">
        <f>VFA!K166</f>
        <v>5.1390000000000002</v>
      </c>
      <c r="V169">
        <f>VFA!L166</f>
        <v>10.226610000000001</v>
      </c>
      <c r="W169">
        <f>IF(VFA!M166&lt;=0,"",VFA!M166)</f>
        <v>2.0779999999999998</v>
      </c>
      <c r="X169">
        <f>VFA!N166</f>
        <v>24.744204540000002</v>
      </c>
      <c r="AJ169" s="45"/>
    </row>
    <row r="170" spans="1:36" ht="15" customHeight="1" x14ac:dyDescent="0.3">
      <c r="A170">
        <f t="shared" si="57"/>
        <v>320.90000000000003</v>
      </c>
      <c r="B170">
        <f>GC_TCD!G173</f>
        <v>320.86527777777519</v>
      </c>
      <c r="C170">
        <f>GC_TCD!U173</f>
        <v>16.644733333333335</v>
      </c>
      <c r="D170">
        <f>GC_TCD!V173</f>
        <v>8.1518852625226026E-2</v>
      </c>
      <c r="E170">
        <f>GC_TCD!W173</f>
        <v>80.214166666666657</v>
      </c>
      <c r="F170">
        <f>GC_TCD!X173</f>
        <v>0.27939814482801145</v>
      </c>
      <c r="G170">
        <f>GC_TCD!Y173</f>
        <v>3.1421333333333337</v>
      </c>
      <c r="H170">
        <f>GC_TCD!Z173</f>
        <v>0.32862130687667424</v>
      </c>
      <c r="I170" s="38">
        <f>GC_TCD!K173</f>
        <v>1.1042609512764001</v>
      </c>
      <c r="J170" s="42">
        <f>GC_TCD!AA173</f>
        <v>2.8344759036536646</v>
      </c>
      <c r="K170" s="42">
        <f>GC_TCD!AB173</f>
        <v>8.2291235912525771</v>
      </c>
      <c r="L170" s="105">
        <f>GC_TCD!AC173</f>
        <v>8.79058688245451E-3</v>
      </c>
      <c r="M170" s="42">
        <f t="shared" si="59"/>
        <v>3.9752327377957817E-6</v>
      </c>
      <c r="N170">
        <f t="shared" si="60"/>
        <v>0.88577371989177023</v>
      </c>
      <c r="O170">
        <f t="shared" si="61"/>
        <v>0.18380129064408673</v>
      </c>
      <c r="P170">
        <f t="shared" si="62"/>
        <v>3.4697351437039531E-2</v>
      </c>
      <c r="Q170">
        <f t="shared" si="63"/>
        <v>450</v>
      </c>
      <c r="S170">
        <f t="shared" si="58"/>
        <v>302.5</v>
      </c>
      <c r="T170">
        <f>VFA!F167</f>
        <v>302.47083333333285</v>
      </c>
      <c r="U170">
        <f>VFA!K167</f>
        <v>5.5570000000000004</v>
      </c>
      <c r="V170">
        <f>VFA!L167</f>
        <v>8.9856690000000015</v>
      </c>
      <c r="W170">
        <f>IF(VFA!M167&lt;=0,"",VFA!M167)</f>
        <v>1.4079999999999999</v>
      </c>
      <c r="X170">
        <f>VFA!N167</f>
        <v>22.093365866000003</v>
      </c>
      <c r="AJ170" s="45"/>
    </row>
    <row r="171" spans="1:36" ht="15" customHeight="1" x14ac:dyDescent="0.3">
      <c r="A171">
        <f t="shared" si="57"/>
        <v>321.90000000000003</v>
      </c>
      <c r="B171">
        <f>GC_TCD!G174</f>
        <v>321.8708333333343</v>
      </c>
      <c r="C171">
        <f>GC_TCD!U174</f>
        <v>16.728533333333335</v>
      </c>
      <c r="D171">
        <f>GC_TCD!V174</f>
        <v>0.59557368421827861</v>
      </c>
      <c r="E171">
        <f>GC_TCD!W174</f>
        <v>80.105566666666661</v>
      </c>
      <c r="F171">
        <f>GC_TCD!X174</f>
        <v>0.84065392602029287</v>
      </c>
      <c r="G171">
        <f>GC_TCD!Y174</f>
        <v>3.1719000000000004</v>
      </c>
      <c r="H171">
        <f>GC_TCD!Z174</f>
        <v>0.33070592676878341</v>
      </c>
      <c r="I171" s="38">
        <f>GC_TCD!K174</f>
        <v>1.0590914982540598</v>
      </c>
      <c r="J171" s="42">
        <f>GC_TCD!AA174</f>
        <v>2.7148519878236952</v>
      </c>
      <c r="K171" s="42">
        <f>GC_TCD!AB174</f>
        <v>7.8818283517462113</v>
      </c>
      <c r="L171" s="105">
        <f>GC_TCD!AC174</f>
        <v>8.4195961028302041E-3</v>
      </c>
      <c r="M171" s="42">
        <f t="shared" si="59"/>
        <v>3.7955703592921348E-6</v>
      </c>
      <c r="N171">
        <f t="shared" si="60"/>
        <v>0.84839124619490458</v>
      </c>
      <c r="O171">
        <f t="shared" si="61"/>
        <v>0.17717047431592983</v>
      </c>
      <c r="P171">
        <f t="shared" si="62"/>
        <v>3.3593323233120524E-2</v>
      </c>
      <c r="Q171">
        <f t="shared" si="63"/>
        <v>450</v>
      </c>
      <c r="S171">
        <f t="shared" si="58"/>
        <v>303.5</v>
      </c>
      <c r="T171">
        <f>VFA!F168</f>
        <v>303.47083333333285</v>
      </c>
      <c r="U171">
        <f>VFA!K168</f>
        <v>5.827</v>
      </c>
      <c r="V171">
        <f>VFA!L168</f>
        <v>9.1542169999999992</v>
      </c>
      <c r="W171">
        <f>IF(VFA!M168&lt;=0,"",VFA!M168)</f>
        <v>1.357</v>
      </c>
      <c r="X171">
        <f>VFA!N168</f>
        <v>22.543919538000001</v>
      </c>
      <c r="AJ171" s="45"/>
    </row>
    <row r="172" spans="1:36" ht="15" customHeight="1" x14ac:dyDescent="0.3">
      <c r="A172">
        <f t="shared" si="57"/>
        <v>322.90000000000003</v>
      </c>
      <c r="B172">
        <f>GC_TCD!G175</f>
        <v>322.88958333332994</v>
      </c>
      <c r="C172">
        <f>GC_TCD!U175</f>
        <v>15.840233333333332</v>
      </c>
      <c r="D172">
        <f>GC_TCD!V175</f>
        <v>8.4129087320220272E-2</v>
      </c>
      <c r="E172">
        <f>GC_TCD!W175</f>
        <v>81.084500000000006</v>
      </c>
      <c r="F172">
        <f>GC_TCD!X175</f>
        <v>0.10137238282687791</v>
      </c>
      <c r="G172">
        <f>GC_TCD!Y175</f>
        <v>3.0752333333333333</v>
      </c>
      <c r="H172">
        <f>GC_TCD!Z175</f>
        <v>0.18389935653322248</v>
      </c>
      <c r="I172" s="38">
        <f>GC_TCD!K175</f>
        <v>1.1054957055262091</v>
      </c>
      <c r="J172" s="42">
        <f>GC_TCD!AA175</f>
        <v>2.8684341291116771</v>
      </c>
      <c r="K172" s="42">
        <f>GC_TCD!AB175</f>
        <v>8.3277119877435783</v>
      </c>
      <c r="L172" s="105">
        <f>GC_TCD!AC175</f>
        <v>8.8959018476930021E-3</v>
      </c>
      <c r="M172" s="42">
        <f t="shared" si="59"/>
        <v>3.9976370398041687E-6</v>
      </c>
      <c r="N172">
        <f t="shared" si="60"/>
        <v>0.89638566534739905</v>
      </c>
      <c r="O172">
        <f t="shared" si="61"/>
        <v>0.17511309924533106</v>
      </c>
      <c r="P172">
        <f t="shared" si="62"/>
        <v>3.3996572434910492E-2</v>
      </c>
      <c r="Q172">
        <f t="shared" si="63"/>
        <v>450</v>
      </c>
      <c r="S172">
        <f t="shared" si="58"/>
        <v>306.5</v>
      </c>
      <c r="T172">
        <f>VFA!F169</f>
        <v>306.47083333333285</v>
      </c>
      <c r="U172">
        <f>VFA!K169</f>
        <v>4.5990000000000002</v>
      </c>
      <c r="V172" t="str">
        <f>VFA!L169</f>
        <v/>
      </c>
      <c r="W172" t="str">
        <f>IF(VFA!M169&lt;=0,"",VFA!M169)</f>
        <v/>
      </c>
      <c r="X172">
        <f>VFA!N169</f>
        <v>4.907133</v>
      </c>
      <c r="AJ172" s="45"/>
    </row>
    <row r="173" spans="1:36" ht="15" customHeight="1" x14ac:dyDescent="0.3">
      <c r="A173">
        <f t="shared" si="57"/>
        <v>323.90000000000003</v>
      </c>
      <c r="B173">
        <f>GC_TCD!G176</f>
        <v>323.94305555555184</v>
      </c>
      <c r="C173">
        <f>GC_TCD!U176</f>
        <v>15.2919</v>
      </c>
      <c r="D173">
        <f>GC_TCD!V176</f>
        <v>0.24507107132421801</v>
      </c>
      <c r="E173">
        <f>GC_TCD!W176</f>
        <v>81.02343333333333</v>
      </c>
      <c r="F173">
        <f>GC_TCD!X176</f>
        <v>0.14856397050877529</v>
      </c>
      <c r="G173">
        <f>GC_TCD!Y176</f>
        <v>3.6846999999999999</v>
      </c>
      <c r="H173">
        <f>GC_TCD!Z176</f>
        <v>0.38897902257062639</v>
      </c>
      <c r="I173" s="38">
        <f>GC_TCD!K176</f>
        <v>1.0728746792710993</v>
      </c>
      <c r="J173" s="42">
        <f>GC_TCD!AA176</f>
        <v>2.7816956816301852</v>
      </c>
      <c r="K173" s="42">
        <f>GC_TCD!AB176</f>
        <v>8.0758906886037636</v>
      </c>
      <c r="L173" s="105">
        <f>GC_TCD!AC176</f>
        <v>8.6268990815546748E-3</v>
      </c>
      <c r="M173" s="42">
        <f t="shared" si="59"/>
        <v>3.8641453652613437E-6</v>
      </c>
      <c r="N173">
        <f t="shared" si="60"/>
        <v>0.86927990050943293</v>
      </c>
      <c r="O173">
        <f t="shared" si="61"/>
        <v>0.16406292307945722</v>
      </c>
      <c r="P173">
        <f t="shared" si="62"/>
        <v>3.9532213307102194E-2</v>
      </c>
      <c r="Q173">
        <f t="shared" si="63"/>
        <v>450</v>
      </c>
      <c r="S173">
        <f t="shared" si="58"/>
        <v>309.5</v>
      </c>
      <c r="T173">
        <f>VFA!F170</f>
        <v>309.47083333333285</v>
      </c>
      <c r="U173">
        <f>VFA!K170</f>
        <v>5.8390000000000004</v>
      </c>
      <c r="V173" t="str">
        <f>VFA!L170</f>
        <v/>
      </c>
      <c r="W173" t="str">
        <f>IF(VFA!M170&lt;=0,"",VFA!M170)</f>
        <v/>
      </c>
      <c r="X173">
        <f>VFA!N170</f>
        <v>6.230213</v>
      </c>
      <c r="AJ173" s="45"/>
    </row>
    <row r="174" spans="1:36" ht="15" customHeight="1" x14ac:dyDescent="0.3">
      <c r="A174">
        <f t="shared" si="57"/>
        <v>324.90000000000003</v>
      </c>
      <c r="B174">
        <f>GC_TCD!G177</f>
        <v>324.91249999999854</v>
      </c>
      <c r="C174">
        <f>GC_TCD!U177</f>
        <v>15.948033333333333</v>
      </c>
      <c r="D174">
        <f>GC_TCD!V177</f>
        <v>0.14148534670888477</v>
      </c>
      <c r="E174">
        <f>GC_TCD!W177</f>
        <v>81.204166666666666</v>
      </c>
      <c r="F174">
        <f>GC_TCD!X177</f>
        <v>0.21313146959877199</v>
      </c>
      <c r="G174">
        <f>GC_TCD!Y177</f>
        <v>2.8477999999999999</v>
      </c>
      <c r="H174">
        <f>GC_TCD!Z177</f>
        <v>9.7341460847883365E-2</v>
      </c>
      <c r="I174" s="38">
        <f>GC_TCD!K177</f>
        <v>0.92863982807806289</v>
      </c>
      <c r="J174" s="42">
        <f>GC_TCD!AA177</f>
        <v>2.4131015479217823</v>
      </c>
      <c r="K174" s="42">
        <f>GC_TCD!AB177</f>
        <v>7.0057786875148524</v>
      </c>
      <c r="L174" s="105">
        <f>GC_TCD!AC177</f>
        <v>7.4837746145058719E-3</v>
      </c>
      <c r="M174" s="42">
        <f t="shared" si="59"/>
        <v>3.342117328710982E-6</v>
      </c>
      <c r="N174">
        <f t="shared" si="60"/>
        <v>0.75409423372555695</v>
      </c>
      <c r="O174">
        <f t="shared" si="61"/>
        <v>0.14809978932849882</v>
      </c>
      <c r="P174">
        <f t="shared" si="62"/>
        <v>2.6445805024007073E-2</v>
      </c>
      <c r="Q174">
        <f t="shared" si="63"/>
        <v>450</v>
      </c>
      <c r="S174">
        <f t="shared" si="58"/>
        <v>313.5</v>
      </c>
      <c r="T174">
        <f>VFA!F171</f>
        <v>313.47083333333285</v>
      </c>
      <c r="U174">
        <f>VFA!K171</f>
        <v>4.9279999999999999</v>
      </c>
      <c r="V174">
        <f>VFA!L171</f>
        <v>2.0746880000000001</v>
      </c>
      <c r="W174" t="str">
        <f>IF(VFA!M171&lt;=0,"",VFA!M171)</f>
        <v/>
      </c>
      <c r="X174">
        <f>VFA!N171</f>
        <v>5.2581759999999997</v>
      </c>
      <c r="AJ174" s="45"/>
    </row>
    <row r="175" spans="1:36" ht="15" customHeight="1" x14ac:dyDescent="0.3">
      <c r="A175">
        <f t="shared" si="57"/>
        <v>327.90000000000003</v>
      </c>
      <c r="B175">
        <f>GC_TCD!G178</f>
        <v>327.87777777777956</v>
      </c>
      <c r="C175">
        <f>GC_TCD!U178</f>
        <v>14.794700000000001</v>
      </c>
      <c r="D175">
        <f>GC_TCD!V178</f>
        <v>9.2823865465730973E-2</v>
      </c>
      <c r="E175">
        <f>GC_TCD!W178</f>
        <v>82.644266666666667</v>
      </c>
      <c r="F175">
        <f>GC_TCD!X178</f>
        <v>4.053077020405299E-2</v>
      </c>
      <c r="G175">
        <f>GC_TCD!Y178</f>
        <v>2.5610333333333335</v>
      </c>
      <c r="H175">
        <f>GC_TCD!Z178</f>
        <v>8.9912031082237998E-2</v>
      </c>
      <c r="I175" s="38">
        <f>GC_TCD!K178</f>
        <v>1.0661049414508275</v>
      </c>
      <c r="J175" s="42">
        <f>GC_TCD!AA178</f>
        <v>2.8194387544292239</v>
      </c>
      <c r="K175" s="42">
        <f>GC_TCD!AB178</f>
        <v>8.1854673515687129</v>
      </c>
      <c r="L175" s="105">
        <f>GC_TCD!AC178</f>
        <v>8.7439520295875296E-3</v>
      </c>
      <c r="M175" s="42">
        <f t="shared" si="59"/>
        <v>3.8695743520411721E-6</v>
      </c>
      <c r="N175">
        <f t="shared" si="60"/>
        <v>0.8810746107591324</v>
      </c>
      <c r="O175">
        <f t="shared" si="61"/>
        <v>0.15772702777282557</v>
      </c>
      <c r="P175">
        <f t="shared" si="62"/>
        <v>2.730330291886951E-2</v>
      </c>
      <c r="Q175">
        <f t="shared" si="63"/>
        <v>450</v>
      </c>
      <c r="S175">
        <f t="shared" si="58"/>
        <v>316.5</v>
      </c>
      <c r="T175">
        <f>VFA!F172</f>
        <v>316.47083333333285</v>
      </c>
      <c r="U175">
        <f>VFA!K172</f>
        <v>5.1260000000000003</v>
      </c>
      <c r="V175">
        <f>VFA!L172</f>
        <v>1.799226</v>
      </c>
      <c r="W175" t="str">
        <f>IF(VFA!M172&lt;=0,"",VFA!M172)</f>
        <v/>
      </c>
      <c r="X175">
        <f>VFA!N172</f>
        <v>5.4694419999999999</v>
      </c>
      <c r="AJ175" s="45"/>
    </row>
    <row r="176" spans="1:36" ht="15" customHeight="1" x14ac:dyDescent="0.3">
      <c r="A176">
        <f t="shared" si="57"/>
        <v>328.90000000000003</v>
      </c>
      <c r="B176">
        <f>GC_TCD!G179</f>
        <v>328.85416666666424</v>
      </c>
      <c r="C176">
        <f>GC_TCD!U179</f>
        <v>10.873900000000001</v>
      </c>
      <c r="D176">
        <f>GC_TCD!V179</f>
        <v>0.14539917468816715</v>
      </c>
      <c r="E176">
        <f>GC_TCD!W179</f>
        <v>86.211299999999994</v>
      </c>
      <c r="F176">
        <f>GC_TCD!X179</f>
        <v>0.13405920333941979</v>
      </c>
      <c r="G176">
        <f>GC_TCD!Y179</f>
        <v>2.9147666666666665</v>
      </c>
      <c r="H176">
        <f>GC_TCD!Z179</f>
        <v>1.1503622617824998E-2</v>
      </c>
      <c r="I176" s="38">
        <f>GC_TCD!K179</f>
        <v>1.0820114060305253</v>
      </c>
      <c r="J176" s="42">
        <f>GC_TCD!AA179</f>
        <v>2.9850115177190215</v>
      </c>
      <c r="K176" s="42">
        <f>GC_TCD!AB179</f>
        <v>8.6661624707971594</v>
      </c>
      <c r="L176" s="105">
        <f>GC_TCD!AC179</f>
        <v>9.2574444036771855E-3</v>
      </c>
      <c r="M176" s="42">
        <f t="shared" si="59"/>
        <v>4.0846530746107911E-6</v>
      </c>
      <c r="N176">
        <f t="shared" si="60"/>
        <v>0.93281609928719422</v>
      </c>
      <c r="O176">
        <f t="shared" si="61"/>
        <v>0.11765683828035328</v>
      </c>
      <c r="P176">
        <f t="shared" si="62"/>
        <v>3.1538107792509075E-2</v>
      </c>
      <c r="Q176">
        <f t="shared" si="63"/>
        <v>450</v>
      </c>
      <c r="S176">
        <f t="shared" si="58"/>
        <v>320.5</v>
      </c>
      <c r="T176">
        <f>VFA!F173</f>
        <v>320.47083333333285</v>
      </c>
      <c r="U176">
        <f>VFA!K173</f>
        <v>6.53</v>
      </c>
      <c r="V176">
        <f>VFA!L173</f>
        <v>2.9776800000000003</v>
      </c>
      <c r="W176" t="str">
        <f>IF(VFA!M173&lt;=0,"",VFA!M173)</f>
        <v/>
      </c>
      <c r="X176">
        <f>VFA!N173</f>
        <v>6.9675099999999999</v>
      </c>
      <c r="AJ176" s="45"/>
    </row>
    <row r="177" spans="1:36" ht="15" customHeight="1" x14ac:dyDescent="0.3">
      <c r="A177">
        <f t="shared" si="57"/>
        <v>329.90000000000003</v>
      </c>
      <c r="B177">
        <f>GC_TCD!G180</f>
        <v>329.8618055555562</v>
      </c>
      <c r="C177">
        <f>GC_TCD!U180</f>
        <v>15.525033333333333</v>
      </c>
      <c r="D177">
        <f>GC_TCD!V180</f>
        <v>0.12812655202311998</v>
      </c>
      <c r="E177">
        <f>GC_TCD!W180</f>
        <v>81.743133333333333</v>
      </c>
      <c r="F177">
        <f>GC_TCD!X180</f>
        <v>0.16387313182255656</v>
      </c>
      <c r="G177">
        <f>GC_TCD!Y180</f>
        <v>2.7319</v>
      </c>
      <c r="H177">
        <f>GC_TCD!Z180</f>
        <v>0.17105928796765177</v>
      </c>
      <c r="I177" s="38">
        <f>GC_TCD!K180</f>
        <v>1.0881726395556073</v>
      </c>
      <c r="J177" s="42">
        <f>GC_TCD!AA180</f>
        <v>2.8464205172761372</v>
      </c>
      <c r="K177" s="42">
        <f>GC_TCD!AB180</f>
        <v>8.2638015017694304</v>
      </c>
      <c r="L177" s="105">
        <f>GC_TCD!AC180</f>
        <v>8.8276308254601078E-3</v>
      </c>
      <c r="M177" s="42">
        <f t="shared" si="59"/>
        <v>3.8831086570237386E-6</v>
      </c>
      <c r="N177">
        <f t="shared" si="60"/>
        <v>0.88950641164879285</v>
      </c>
      <c r="O177">
        <f t="shared" si="61"/>
        <v>0.16893916501522122</v>
      </c>
      <c r="P177">
        <f t="shared" si="62"/>
        <v>2.9727788340019635E-2</v>
      </c>
      <c r="Q177">
        <f t="shared" si="63"/>
        <v>450</v>
      </c>
      <c r="S177">
        <f t="shared" si="58"/>
        <v>323.5</v>
      </c>
      <c r="T177">
        <f>VFA!F174</f>
        <v>323.47083333333285</v>
      </c>
      <c r="U177">
        <f>VFA!K174</f>
        <v>6.2930000000000001</v>
      </c>
      <c r="V177">
        <f>VFA!L174</f>
        <v>3.1653790000000002</v>
      </c>
      <c r="W177" t="str">
        <f>IF(VFA!M174&lt;=0,"",VFA!M174)</f>
        <v/>
      </c>
      <c r="X177">
        <f>VFA!N174</f>
        <v>6.7146309999999998</v>
      </c>
      <c r="AJ177" s="45"/>
    </row>
    <row r="178" spans="1:36" ht="15" customHeight="1" x14ac:dyDescent="0.3">
      <c r="A178">
        <f t="shared" si="57"/>
        <v>330.90000000000003</v>
      </c>
      <c r="B178">
        <f>GC_TCD!G181</f>
        <v>330.93819444444671</v>
      </c>
      <c r="C178">
        <f>GC_TCD!U181</f>
        <v>15.306433333333333</v>
      </c>
      <c r="D178">
        <f>GC_TCD!V181</f>
        <v>0.29296000295831043</v>
      </c>
      <c r="E178">
        <f>GC_TCD!W181</f>
        <v>81.542066666666656</v>
      </c>
      <c r="F178">
        <f>GC_TCD!X181</f>
        <v>0.34298551475730304</v>
      </c>
      <c r="G178">
        <f>GC_TCD!Y181</f>
        <v>3.1515</v>
      </c>
      <c r="H178">
        <f>GC_TCD!Z181</f>
        <v>6.672960362537754E-2</v>
      </c>
      <c r="I178" s="38">
        <f>GC_TCD!K181</f>
        <v>1.0356206111817872</v>
      </c>
      <c r="J178" s="42">
        <f>GC_TCD!AA181</f>
        <v>2.7022926373875</v>
      </c>
      <c r="K178" s="42">
        <f>GC_TCD!AB181</f>
        <v>7.84536572144758</v>
      </c>
      <c r="L178" s="105">
        <f>GC_TCD!AC181</f>
        <v>8.380645670740006E-3</v>
      </c>
      <c r="M178" s="42">
        <f t="shared" si="59"/>
        <v>3.6744978586281166E-6</v>
      </c>
      <c r="N178">
        <f t="shared" si="60"/>
        <v>0.84446644918359359</v>
      </c>
      <c r="O178">
        <f t="shared" si="61"/>
        <v>0.15851657843679945</v>
      </c>
      <c r="P178">
        <f t="shared" si="62"/>
        <v>3.2637583561394019E-2</v>
      </c>
      <c r="Q178">
        <f t="shared" si="63"/>
        <v>450</v>
      </c>
      <c r="S178">
        <f t="shared" si="58"/>
        <v>327.5</v>
      </c>
      <c r="T178">
        <f>VFA!F175</f>
        <v>327.47083333333285</v>
      </c>
      <c r="U178">
        <f>VFA!K175</f>
        <v>7.62</v>
      </c>
      <c r="V178" t="str">
        <f>VFA!L175</f>
        <v/>
      </c>
      <c r="W178" t="str">
        <f>IF(VFA!M175&lt;=0,"",VFA!M175)</f>
        <v/>
      </c>
      <c r="X178">
        <f>VFA!N175</f>
        <v>8.1305399999999999</v>
      </c>
      <c r="AJ178" s="45"/>
    </row>
    <row r="179" spans="1:36" ht="15" customHeight="1" x14ac:dyDescent="0.3">
      <c r="I179" s="38"/>
      <c r="J179" s="42"/>
      <c r="K179" s="42"/>
      <c r="L179" s="105"/>
      <c r="M179" s="42"/>
      <c r="S179">
        <f t="shared" si="58"/>
        <v>330.5</v>
      </c>
      <c r="T179">
        <f>VFA!F176</f>
        <v>330.47083333333285</v>
      </c>
      <c r="U179">
        <f>VFA!K176</f>
        <v>13.159000000000001</v>
      </c>
      <c r="V179" t="str">
        <f>VFA!L176</f>
        <v/>
      </c>
      <c r="W179" t="str">
        <f>IF(VFA!M176&lt;=0,"",VFA!M176)</f>
        <v/>
      </c>
      <c r="X179">
        <f>VFA!N176</f>
        <v>14.040653000000001</v>
      </c>
      <c r="AJ179" s="45"/>
    </row>
    <row r="180" spans="1:36" ht="15" customHeight="1" x14ac:dyDescent="0.3">
      <c r="I180" s="38"/>
      <c r="J180" s="42"/>
      <c r="K180" s="42"/>
      <c r="L180" s="105"/>
      <c r="M180" s="42"/>
    </row>
    <row r="181" spans="1:36" ht="15" customHeight="1" x14ac:dyDescent="0.3">
      <c r="I181" s="38"/>
      <c r="J181" s="42"/>
      <c r="K181" s="42"/>
      <c r="L181" s="105"/>
      <c r="M181" s="42"/>
    </row>
    <row r="182" spans="1:36" ht="15" customHeight="1" x14ac:dyDescent="0.3">
      <c r="I182" s="38"/>
      <c r="J182" s="42"/>
      <c r="K182" s="42"/>
      <c r="L182" s="105"/>
      <c r="M182" s="42"/>
    </row>
    <row r="183" spans="1:36" ht="15" customHeight="1" x14ac:dyDescent="0.3">
      <c r="I183" s="38"/>
      <c r="J183" s="42"/>
      <c r="K183" s="42"/>
      <c r="L183" s="105"/>
      <c r="M183" s="42"/>
    </row>
    <row r="184" spans="1:36" ht="15" customHeight="1" x14ac:dyDescent="0.3">
      <c r="I184" s="38"/>
      <c r="J184" s="42"/>
      <c r="K184" s="42"/>
      <c r="L184" s="105"/>
      <c r="M184" s="42"/>
    </row>
    <row r="185" spans="1:36" ht="15" customHeight="1" x14ac:dyDescent="0.3">
      <c r="I185" s="38"/>
      <c r="J185" s="42"/>
      <c r="K185" s="42"/>
      <c r="L185" s="105"/>
      <c r="M185" s="56"/>
    </row>
    <row r="186" spans="1:36" ht="15" customHeight="1" x14ac:dyDescent="0.3">
      <c r="I186" s="38"/>
      <c r="J186" s="42"/>
      <c r="K186" s="42"/>
      <c r="L186" s="105"/>
      <c r="M186" s="56"/>
    </row>
    <row r="187" spans="1:36" ht="15" customHeight="1" x14ac:dyDescent="0.3">
      <c r="I187" s="38"/>
      <c r="J187" s="42"/>
      <c r="K187" s="42"/>
      <c r="L187" s="105"/>
      <c r="M187" s="56"/>
    </row>
    <row r="188" spans="1:36" ht="15" customHeight="1" x14ac:dyDescent="0.3">
      <c r="I188" s="38"/>
      <c r="J188" s="42"/>
      <c r="K188" s="42"/>
      <c r="L188" s="105"/>
      <c r="M188" s="56"/>
    </row>
    <row r="189" spans="1:36" ht="15" customHeight="1" x14ac:dyDescent="0.3">
      <c r="I189" s="38"/>
      <c r="J189" s="42"/>
      <c r="K189" s="42"/>
      <c r="L189" s="105"/>
      <c r="M189" s="56"/>
    </row>
    <row r="190" spans="1:36" ht="15" customHeight="1" x14ac:dyDescent="0.3">
      <c r="I190" s="38"/>
      <c r="J190" s="42"/>
      <c r="K190" s="42"/>
      <c r="L190" s="105"/>
      <c r="M190" s="56"/>
    </row>
    <row r="191" spans="1:36" ht="15" customHeight="1" x14ac:dyDescent="0.3">
      <c r="I191" s="38"/>
      <c r="J191" s="42"/>
      <c r="K191" s="42"/>
      <c r="L191" s="105"/>
      <c r="M191" s="56"/>
    </row>
    <row r="192" spans="1:36" ht="15" customHeight="1" x14ac:dyDescent="0.3">
      <c r="I192" s="38"/>
      <c r="J192" s="42"/>
      <c r="K192" s="42"/>
      <c r="L192" s="105"/>
      <c r="M192" s="56"/>
    </row>
    <row r="193" spans="9:13" ht="15" customHeight="1" x14ac:dyDescent="0.3">
      <c r="I193" s="38"/>
      <c r="J193" s="42"/>
      <c r="K193" s="42"/>
      <c r="L193" s="105"/>
      <c r="M193" s="56"/>
    </row>
    <row r="194" spans="9:13" ht="15" customHeight="1" x14ac:dyDescent="0.3">
      <c r="I194" s="38"/>
      <c r="J194" s="42"/>
      <c r="K194" s="42"/>
      <c r="L194" s="105"/>
      <c r="M194" s="56"/>
    </row>
    <row r="195" spans="9:13" ht="15" customHeight="1" x14ac:dyDescent="0.3">
      <c r="I195" s="38"/>
      <c r="J195" s="42"/>
      <c r="K195" s="42"/>
      <c r="L195" s="105"/>
      <c r="M195" s="56"/>
    </row>
    <row r="196" spans="9:13" ht="15" customHeight="1" x14ac:dyDescent="0.3">
      <c r="I196" s="38"/>
      <c r="J196" s="42"/>
      <c r="K196" s="42"/>
      <c r="L196" s="105"/>
      <c r="M196" s="56"/>
    </row>
    <row r="197" spans="9:13" ht="15" customHeight="1" x14ac:dyDescent="0.3">
      <c r="I197" s="38"/>
      <c r="J197" s="42"/>
      <c r="K197" s="42"/>
      <c r="L197" s="105"/>
      <c r="M197" s="56"/>
    </row>
    <row r="198" spans="9:13" ht="15" customHeight="1" x14ac:dyDescent="0.3">
      <c r="I198" s="38"/>
      <c r="J198" s="42"/>
      <c r="K198" s="42"/>
      <c r="L198" s="105"/>
      <c r="M198" s="56"/>
    </row>
    <row r="199" spans="9:13" ht="15" customHeight="1" x14ac:dyDescent="0.3">
      <c r="I199" s="38"/>
      <c r="J199" s="42"/>
      <c r="K199" s="42"/>
      <c r="L199" s="105"/>
      <c r="M199" s="56"/>
    </row>
    <row r="200" spans="9:13" ht="15" customHeight="1" x14ac:dyDescent="0.3">
      <c r="I200" s="38"/>
      <c r="J200" s="42"/>
      <c r="K200" s="42"/>
      <c r="L200" s="105"/>
      <c r="M200" s="56"/>
    </row>
    <row r="201" spans="9:13" ht="15" customHeight="1" x14ac:dyDescent="0.3">
      <c r="I201" s="38"/>
      <c r="J201" s="42"/>
      <c r="K201" s="42"/>
      <c r="L201" s="105"/>
      <c r="M201" s="56"/>
    </row>
    <row r="202" spans="9:13" ht="15" customHeight="1" x14ac:dyDescent="0.3">
      <c r="I202" s="38"/>
      <c r="J202" s="42"/>
      <c r="K202" s="42"/>
      <c r="L202" s="105"/>
      <c r="M202" s="56"/>
    </row>
    <row r="203" spans="9:13" ht="15" customHeight="1" x14ac:dyDescent="0.3">
      <c r="I203" s="38"/>
      <c r="J203" s="42"/>
      <c r="K203" s="42"/>
      <c r="L203" s="105"/>
      <c r="M203" s="56"/>
    </row>
    <row r="204" spans="9:13" ht="15" customHeight="1" x14ac:dyDescent="0.3">
      <c r="I204" s="38"/>
      <c r="J204" s="42"/>
      <c r="K204" s="42"/>
      <c r="L204" s="105"/>
      <c r="M204" s="56"/>
    </row>
    <row r="205" spans="9:13" ht="15" customHeight="1" x14ac:dyDescent="0.3">
      <c r="I205" s="38"/>
      <c r="J205" s="42"/>
      <c r="K205" s="42"/>
      <c r="L205" s="105"/>
      <c r="M205" s="56"/>
    </row>
    <row r="206" spans="9:13" ht="15" customHeight="1" x14ac:dyDescent="0.3">
      <c r="I206" s="38"/>
      <c r="J206" s="42"/>
      <c r="K206" s="42"/>
      <c r="L206" s="105"/>
      <c r="M206" s="56"/>
    </row>
    <row r="207" spans="9:13" ht="15" customHeight="1" x14ac:dyDescent="0.3">
      <c r="I207" s="38"/>
      <c r="J207" s="42"/>
      <c r="K207" s="42"/>
      <c r="L207" s="105"/>
      <c r="M207" s="56"/>
    </row>
    <row r="208" spans="9:13" ht="15" customHeight="1" x14ac:dyDescent="0.3">
      <c r="I208" s="38"/>
      <c r="J208" s="42"/>
      <c r="K208" s="42"/>
      <c r="L208" s="105"/>
      <c r="M208" s="56"/>
    </row>
    <row r="209" spans="9:13" ht="15" customHeight="1" x14ac:dyDescent="0.3">
      <c r="I209" s="38"/>
      <c r="J209" s="42"/>
      <c r="K209" s="42"/>
      <c r="L209" s="105"/>
      <c r="M209" s="56"/>
    </row>
    <row r="210" spans="9:13" ht="15" customHeight="1" x14ac:dyDescent="0.3">
      <c r="I210" s="38"/>
      <c r="J210" s="42"/>
      <c r="K210" s="42"/>
      <c r="L210" s="105"/>
      <c r="M210" s="56"/>
    </row>
    <row r="211" spans="9:13" ht="15" customHeight="1" x14ac:dyDescent="0.3">
      <c r="I211" s="38"/>
      <c r="J211" s="42"/>
      <c r="K211" s="42"/>
      <c r="L211" s="105"/>
      <c r="M211" s="56"/>
    </row>
    <row r="212" spans="9:13" ht="15" customHeight="1" x14ac:dyDescent="0.3">
      <c r="I212" s="38"/>
      <c r="J212" s="42"/>
      <c r="K212" s="42"/>
      <c r="L212" s="105"/>
      <c r="M212" s="56"/>
    </row>
    <row r="213" spans="9:13" ht="15" customHeight="1" x14ac:dyDescent="0.3">
      <c r="I213" s="38"/>
      <c r="J213" s="42"/>
      <c r="K213" s="42"/>
      <c r="L213" s="105"/>
      <c r="M213" s="56"/>
    </row>
    <row r="214" spans="9:13" ht="15" customHeight="1" x14ac:dyDescent="0.3">
      <c r="I214" s="38"/>
      <c r="J214" s="42"/>
      <c r="K214" s="42"/>
      <c r="L214" s="105"/>
      <c r="M214" s="56"/>
    </row>
    <row r="215" spans="9:13" ht="15" customHeight="1" x14ac:dyDescent="0.3">
      <c r="I215" s="38"/>
      <c r="J215" s="42"/>
      <c r="K215" s="42"/>
      <c r="L215" s="105"/>
      <c r="M215" s="56"/>
    </row>
    <row r="216" spans="9:13" ht="15" customHeight="1" x14ac:dyDescent="0.3">
      <c r="I216" s="38"/>
      <c r="J216" s="42"/>
      <c r="K216" s="42"/>
      <c r="L216" s="105"/>
      <c r="M216" s="56"/>
    </row>
    <row r="217" spans="9:13" ht="15" customHeight="1" x14ac:dyDescent="0.3">
      <c r="I217" s="38"/>
      <c r="J217" s="42"/>
      <c r="K217" s="42"/>
      <c r="L217" s="105"/>
      <c r="M217" s="56"/>
    </row>
    <row r="218" spans="9:13" ht="15" customHeight="1" x14ac:dyDescent="0.3">
      <c r="I218" s="38"/>
      <c r="J218" s="42"/>
      <c r="K218" s="42"/>
      <c r="L218" s="105"/>
      <c r="M218" s="56"/>
    </row>
    <row r="219" spans="9:13" ht="15" customHeight="1" x14ac:dyDescent="0.3">
      <c r="I219" s="38"/>
      <c r="J219" s="42"/>
      <c r="K219" s="42"/>
      <c r="L219" s="105"/>
      <c r="M219" s="56"/>
    </row>
    <row r="220" spans="9:13" ht="15" customHeight="1" x14ac:dyDescent="0.3">
      <c r="I220" s="38"/>
      <c r="J220" s="42"/>
      <c r="K220" s="42"/>
      <c r="L220" s="105"/>
      <c r="M220" s="56"/>
    </row>
    <row r="221" spans="9:13" ht="15" customHeight="1" x14ac:dyDescent="0.3">
      <c r="I221" s="38"/>
      <c r="J221" s="42"/>
      <c r="K221" s="42"/>
      <c r="L221" s="105"/>
      <c r="M221" s="56"/>
    </row>
    <row r="222" spans="9:13" ht="15" customHeight="1" x14ac:dyDescent="0.3">
      <c r="I222" s="38"/>
      <c r="J222" s="42"/>
      <c r="K222" s="42"/>
      <c r="L222" s="105"/>
      <c r="M222" s="56"/>
    </row>
    <row r="223" spans="9:13" ht="15" customHeight="1" x14ac:dyDescent="0.3">
      <c r="I223" s="38"/>
      <c r="J223" s="42"/>
      <c r="K223" s="42"/>
      <c r="L223" s="105"/>
      <c r="M223" s="56"/>
    </row>
    <row r="224" spans="9:13" ht="15" customHeight="1" x14ac:dyDescent="0.3">
      <c r="I224" s="38"/>
      <c r="J224" s="42"/>
      <c r="K224" s="42"/>
      <c r="L224" s="105"/>
      <c r="M224" s="56"/>
    </row>
    <row r="225" spans="9:13" ht="15" customHeight="1" x14ac:dyDescent="0.3">
      <c r="I225" s="38"/>
      <c r="J225" s="42"/>
      <c r="K225" s="42"/>
      <c r="L225" s="105"/>
      <c r="M225" s="56"/>
    </row>
    <row r="226" spans="9:13" ht="15" customHeight="1" x14ac:dyDescent="0.3">
      <c r="I226" s="38"/>
      <c r="J226" s="42"/>
      <c r="K226" s="42"/>
      <c r="L226" s="105"/>
      <c r="M226" s="56"/>
    </row>
    <row r="227" spans="9:13" ht="15" customHeight="1" x14ac:dyDescent="0.3">
      <c r="I227" s="38"/>
      <c r="J227" s="42"/>
      <c r="K227" s="42"/>
      <c r="L227" s="105"/>
      <c r="M227" s="56"/>
    </row>
    <row r="228" spans="9:13" ht="15" customHeight="1" x14ac:dyDescent="0.3">
      <c r="I228" s="38"/>
      <c r="J228" s="42"/>
      <c r="K228" s="42"/>
      <c r="L228" s="105"/>
      <c r="M228" s="56"/>
    </row>
    <row r="229" spans="9:13" ht="15" customHeight="1" x14ac:dyDescent="0.3">
      <c r="I229" s="38"/>
      <c r="J229" s="42"/>
      <c r="K229" s="42"/>
      <c r="L229" s="105"/>
      <c r="M229" s="56"/>
    </row>
    <row r="230" spans="9:13" ht="15" customHeight="1" x14ac:dyDescent="0.3">
      <c r="I230" s="38"/>
      <c r="J230" s="42"/>
      <c r="K230" s="42"/>
      <c r="L230" s="105"/>
      <c r="M230" s="56"/>
    </row>
    <row r="231" spans="9:13" ht="15" customHeight="1" x14ac:dyDescent="0.3">
      <c r="I231" s="38"/>
      <c r="J231" s="42"/>
      <c r="K231" s="42"/>
      <c r="L231" s="105"/>
      <c r="M231" s="56"/>
    </row>
    <row r="232" spans="9:13" ht="15" customHeight="1" x14ac:dyDescent="0.3">
      <c r="I232" s="38"/>
      <c r="J232" s="42"/>
      <c r="K232" s="42"/>
      <c r="L232" s="105"/>
      <c r="M232" s="56"/>
    </row>
    <row r="233" spans="9:13" ht="15" customHeight="1" x14ac:dyDescent="0.3">
      <c r="I233" s="38"/>
      <c r="J233" s="42"/>
      <c r="K233" s="42"/>
      <c r="L233" s="105"/>
      <c r="M233" s="56"/>
    </row>
    <row r="234" spans="9:13" ht="15" customHeight="1" x14ac:dyDescent="0.3">
      <c r="I234" s="38"/>
      <c r="J234" s="42"/>
      <c r="K234" s="42"/>
      <c r="L234" s="105"/>
      <c r="M234" s="56"/>
    </row>
    <row r="235" spans="9:13" ht="15" customHeight="1" x14ac:dyDescent="0.3">
      <c r="I235" s="38"/>
      <c r="J235" s="42"/>
      <c r="K235" s="42"/>
      <c r="L235" s="105"/>
      <c r="M235" s="56"/>
    </row>
    <row r="236" spans="9:13" ht="15" customHeight="1" x14ac:dyDescent="0.3">
      <c r="I236" s="38"/>
      <c r="J236" s="42"/>
      <c r="K236" s="42"/>
      <c r="L236" s="105"/>
      <c r="M236" s="56"/>
    </row>
    <row r="237" spans="9:13" ht="15" customHeight="1" x14ac:dyDescent="0.3">
      <c r="I237" s="38"/>
      <c r="J237" s="42"/>
      <c r="K237" s="42"/>
      <c r="L237" s="105"/>
      <c r="M237" s="56"/>
    </row>
    <row r="238" spans="9:13" ht="15" customHeight="1" x14ac:dyDescent="0.3">
      <c r="I238" s="38"/>
      <c r="J238" s="42"/>
      <c r="K238" s="42"/>
      <c r="L238" s="105"/>
      <c r="M238" s="56"/>
    </row>
    <row r="239" spans="9:13" ht="15" customHeight="1" x14ac:dyDescent="0.3">
      <c r="I239" s="38"/>
      <c r="J239" s="42"/>
      <c r="K239" s="42"/>
      <c r="L239" s="105"/>
      <c r="M239" s="56"/>
    </row>
    <row r="240" spans="9:13" ht="15" customHeight="1" x14ac:dyDescent="0.3">
      <c r="I240" s="38"/>
      <c r="J240" s="42"/>
      <c r="K240" s="42"/>
      <c r="L240" s="105"/>
      <c r="M240" s="56"/>
    </row>
    <row r="241" spans="9:13" ht="15" customHeight="1" x14ac:dyDescent="0.3">
      <c r="I241" s="38"/>
      <c r="J241" s="42"/>
      <c r="K241" s="42"/>
      <c r="L241" s="105"/>
      <c r="M241" s="56"/>
    </row>
    <row r="242" spans="9:13" ht="15" customHeight="1" x14ac:dyDescent="0.3">
      <c r="I242" s="38"/>
      <c r="J242" s="42"/>
      <c r="K242" s="42"/>
      <c r="L242" s="105"/>
      <c r="M242" s="56"/>
    </row>
    <row r="243" spans="9:13" ht="15" customHeight="1" x14ac:dyDescent="0.3">
      <c r="I243" s="38"/>
      <c r="J243" s="42"/>
      <c r="K243" s="42"/>
      <c r="L243" s="105"/>
      <c r="M243" s="56"/>
    </row>
    <row r="244" spans="9:13" ht="15" customHeight="1" x14ac:dyDescent="0.3">
      <c r="I244" s="38"/>
      <c r="J244" s="42"/>
      <c r="K244" s="42"/>
      <c r="L244" s="105"/>
      <c r="M244" s="56"/>
    </row>
    <row r="245" spans="9:13" ht="15" customHeight="1" x14ac:dyDescent="0.3">
      <c r="I245" s="38"/>
      <c r="J245" s="42"/>
      <c r="K245" s="42"/>
      <c r="L245" s="105"/>
      <c r="M245" s="56"/>
    </row>
    <row r="246" spans="9:13" ht="15" customHeight="1" x14ac:dyDescent="0.3">
      <c r="I246" s="38"/>
      <c r="J246" s="42"/>
      <c r="K246" s="42"/>
      <c r="L246" s="105"/>
      <c r="M246" s="56"/>
    </row>
    <row r="247" spans="9:13" ht="15" customHeight="1" x14ac:dyDescent="0.3">
      <c r="I247" s="38"/>
      <c r="J247" s="42"/>
      <c r="K247" s="42"/>
      <c r="L247" s="105"/>
      <c r="M247" s="56"/>
    </row>
    <row r="248" spans="9:13" ht="15" customHeight="1" x14ac:dyDescent="0.3">
      <c r="I248" s="38"/>
      <c r="J248" s="42"/>
      <c r="K248" s="42"/>
      <c r="L248" s="105"/>
      <c r="M248" s="56"/>
    </row>
    <row r="249" spans="9:13" ht="15" customHeight="1" x14ac:dyDescent="0.3">
      <c r="I249" s="38"/>
      <c r="J249" s="42"/>
      <c r="K249" s="42"/>
      <c r="L249" s="105"/>
      <c r="M249" s="56"/>
    </row>
    <row r="250" spans="9:13" ht="15" customHeight="1" x14ac:dyDescent="0.3">
      <c r="I250" s="38"/>
      <c r="J250" s="42"/>
      <c r="K250" s="42"/>
      <c r="L250" s="105"/>
      <c r="M250" s="56"/>
    </row>
    <row r="251" spans="9:13" ht="15" customHeight="1" x14ac:dyDescent="0.3">
      <c r="I251" s="38"/>
      <c r="J251" s="42"/>
      <c r="K251" s="42"/>
      <c r="L251" s="105"/>
      <c r="M251" s="56"/>
    </row>
    <row r="252" spans="9:13" ht="15" customHeight="1" x14ac:dyDescent="0.3">
      <c r="I252" s="38"/>
      <c r="J252" s="42"/>
      <c r="K252" s="42"/>
      <c r="L252" s="105"/>
      <c r="M252" s="56"/>
    </row>
    <row r="253" spans="9:13" ht="15" customHeight="1" x14ac:dyDescent="0.3">
      <c r="I253" s="38"/>
      <c r="J253" s="42"/>
      <c r="K253" s="42"/>
      <c r="L253" s="105"/>
      <c r="M253" s="56"/>
    </row>
    <row r="254" spans="9:13" ht="15" customHeight="1" x14ac:dyDescent="0.3">
      <c r="I254" s="38"/>
      <c r="J254" s="42"/>
      <c r="K254" s="42"/>
      <c r="L254" s="105"/>
      <c r="M254" s="56"/>
    </row>
    <row r="255" spans="9:13" ht="15" customHeight="1" x14ac:dyDescent="0.3">
      <c r="I255" s="38"/>
      <c r="J255" s="42"/>
      <c r="K255" s="42"/>
      <c r="L255" s="105"/>
      <c r="M255" s="56"/>
    </row>
    <row r="256" spans="9:13" ht="15" customHeight="1" x14ac:dyDescent="0.3">
      <c r="I256" s="38"/>
      <c r="J256" s="42"/>
      <c r="K256" s="42"/>
      <c r="L256" s="105"/>
      <c r="M256" s="56"/>
    </row>
    <row r="257" spans="9:13" ht="15" customHeight="1" x14ac:dyDescent="0.3">
      <c r="I257" s="38"/>
      <c r="J257" s="42"/>
      <c r="K257" s="42"/>
      <c r="L257" s="105"/>
      <c r="M257" s="56"/>
    </row>
    <row r="258" spans="9:13" ht="15" customHeight="1" x14ac:dyDescent="0.3">
      <c r="I258" s="38"/>
      <c r="J258" s="42"/>
      <c r="K258" s="42"/>
      <c r="L258" s="105"/>
      <c r="M258" s="56"/>
    </row>
    <row r="259" spans="9:13" ht="15" customHeight="1" x14ac:dyDescent="0.3">
      <c r="I259" s="38"/>
      <c r="J259" s="42"/>
      <c r="K259" s="42"/>
      <c r="L259" s="105"/>
      <c r="M259" s="56"/>
    </row>
    <row r="260" spans="9:13" ht="15" customHeight="1" x14ac:dyDescent="0.3">
      <c r="I260" s="38"/>
      <c r="J260" s="42"/>
      <c r="K260" s="42"/>
      <c r="L260" s="105"/>
      <c r="M260" s="56"/>
    </row>
    <row r="261" spans="9:13" ht="15" customHeight="1" x14ac:dyDescent="0.3">
      <c r="I261" s="38"/>
      <c r="J261" s="42"/>
      <c r="K261" s="42"/>
      <c r="L261" s="105"/>
      <c r="M261" s="56"/>
    </row>
    <row r="262" spans="9:13" ht="15" customHeight="1" x14ac:dyDescent="0.3">
      <c r="I262" s="38"/>
      <c r="J262" s="42"/>
      <c r="K262" s="42"/>
      <c r="L262" s="105"/>
      <c r="M262" s="56"/>
    </row>
    <row r="263" spans="9:13" ht="15" customHeight="1" x14ac:dyDescent="0.3">
      <c r="I263" s="38"/>
      <c r="J263" s="42"/>
      <c r="K263" s="42"/>
      <c r="L263" s="105"/>
      <c r="M263" s="56"/>
    </row>
    <row r="264" spans="9:13" ht="15" customHeight="1" x14ac:dyDescent="0.3">
      <c r="I264" s="38"/>
      <c r="J264" s="42"/>
      <c r="K264" s="42"/>
      <c r="L264" s="105"/>
      <c r="M264" s="56"/>
    </row>
    <row r="265" spans="9:13" ht="15" customHeight="1" x14ac:dyDescent="0.3">
      <c r="I265" s="38"/>
      <c r="J265" s="42"/>
      <c r="K265" s="42"/>
      <c r="L265" s="105"/>
      <c r="M265" s="56"/>
    </row>
    <row r="266" spans="9:13" ht="15" customHeight="1" x14ac:dyDescent="0.3">
      <c r="I266" s="38"/>
      <c r="J266" s="42"/>
      <c r="K266" s="42"/>
      <c r="L266" s="105"/>
      <c r="M266" s="56"/>
    </row>
    <row r="267" spans="9:13" ht="15" customHeight="1" x14ac:dyDescent="0.3">
      <c r="I267" s="38"/>
      <c r="J267" s="42"/>
      <c r="K267" s="42"/>
      <c r="L267" s="105"/>
      <c r="M267" s="56"/>
    </row>
    <row r="268" spans="9:13" ht="15" customHeight="1" x14ac:dyDescent="0.3">
      <c r="I268" s="38"/>
      <c r="J268" s="42"/>
      <c r="K268" s="42"/>
      <c r="L268" s="105"/>
      <c r="M268" s="56"/>
    </row>
    <row r="269" spans="9:13" ht="15" customHeight="1" x14ac:dyDescent="0.3">
      <c r="I269" s="38"/>
      <c r="J269" s="42"/>
      <c r="K269" s="42"/>
      <c r="L269" s="105"/>
      <c r="M269" s="56"/>
    </row>
    <row r="270" spans="9:13" ht="15" customHeight="1" x14ac:dyDescent="0.3">
      <c r="I270" s="38"/>
      <c r="J270" s="42"/>
      <c r="K270" s="42"/>
      <c r="L270" s="105"/>
      <c r="M270" s="56"/>
    </row>
    <row r="271" spans="9:13" ht="15" customHeight="1" x14ac:dyDescent="0.3">
      <c r="I271" s="38"/>
      <c r="J271" s="42"/>
      <c r="K271" s="42"/>
      <c r="L271" s="105"/>
      <c r="M271" s="56"/>
    </row>
    <row r="272" spans="9:13" ht="15" customHeight="1" x14ac:dyDescent="0.3">
      <c r="I272" s="38"/>
      <c r="J272" s="42"/>
      <c r="K272" s="42"/>
      <c r="L272" s="105"/>
      <c r="M272" s="56"/>
    </row>
    <row r="273" spans="9:13" ht="15" customHeight="1" x14ac:dyDescent="0.3">
      <c r="I273" s="38"/>
      <c r="J273" s="42"/>
      <c r="K273" s="42"/>
      <c r="L273" s="105"/>
      <c r="M273" s="56"/>
    </row>
    <row r="274" spans="9:13" ht="15" customHeight="1" x14ac:dyDescent="0.3">
      <c r="I274" s="38"/>
      <c r="J274" s="42"/>
      <c r="K274" s="42"/>
      <c r="L274" s="105"/>
      <c r="M274" s="56"/>
    </row>
    <row r="275" spans="9:13" ht="15" customHeight="1" x14ac:dyDescent="0.3">
      <c r="I275" s="38"/>
      <c r="J275" s="42"/>
      <c r="K275" s="42"/>
      <c r="L275" s="105"/>
      <c r="M275" s="56"/>
    </row>
    <row r="276" spans="9:13" ht="15" customHeight="1" x14ac:dyDescent="0.3">
      <c r="I276" s="38"/>
      <c r="J276" s="42"/>
      <c r="K276" s="42"/>
      <c r="L276" s="105"/>
      <c r="M276" s="56"/>
    </row>
    <row r="277" spans="9:13" ht="15" customHeight="1" x14ac:dyDescent="0.3">
      <c r="I277" s="38"/>
      <c r="J277" s="42"/>
      <c r="K277" s="42"/>
      <c r="L277" s="105"/>
      <c r="M277" s="56"/>
    </row>
    <row r="278" spans="9:13" ht="15" customHeight="1" x14ac:dyDescent="0.3">
      <c r="I278" s="38"/>
      <c r="J278" s="42"/>
      <c r="K278" s="42"/>
      <c r="L278" s="105"/>
      <c r="M278" s="56"/>
    </row>
    <row r="279" spans="9:13" ht="15" customHeight="1" x14ac:dyDescent="0.3">
      <c r="I279" s="38"/>
      <c r="J279" s="42"/>
      <c r="K279" s="42"/>
      <c r="L279" s="105"/>
      <c r="M279" s="56"/>
    </row>
    <row r="280" spans="9:13" ht="15" customHeight="1" x14ac:dyDescent="0.3">
      <c r="I280" s="38"/>
      <c r="J280" s="42"/>
      <c r="K280" s="42"/>
      <c r="L280" s="105"/>
      <c r="M280" s="56"/>
    </row>
    <row r="281" spans="9:13" ht="15" customHeight="1" x14ac:dyDescent="0.3">
      <c r="I281" s="38"/>
      <c r="J281" s="42"/>
      <c r="K281" s="42"/>
      <c r="L281" s="105"/>
      <c r="M281" s="56"/>
    </row>
    <row r="282" spans="9:13" ht="15" customHeight="1" x14ac:dyDescent="0.3">
      <c r="I282" s="38"/>
      <c r="J282" s="42"/>
      <c r="K282" s="42"/>
      <c r="L282" s="105"/>
      <c r="M282" s="56"/>
    </row>
    <row r="283" spans="9:13" ht="15" customHeight="1" x14ac:dyDescent="0.3">
      <c r="I283" s="38"/>
      <c r="J283" s="42"/>
      <c r="K283" s="42"/>
      <c r="L283" s="105"/>
      <c r="M283" s="56"/>
    </row>
    <row r="284" spans="9:13" ht="15" customHeight="1" x14ac:dyDescent="0.3">
      <c r="I284" s="38"/>
      <c r="J284" s="42"/>
      <c r="K284" s="42"/>
      <c r="L284" s="105"/>
      <c r="M284" s="56"/>
    </row>
    <row r="285" spans="9:13" ht="15" customHeight="1" x14ac:dyDescent="0.3">
      <c r="I285" s="38"/>
      <c r="J285" s="42"/>
      <c r="K285" s="42"/>
      <c r="L285" s="105"/>
      <c r="M285" s="56"/>
    </row>
    <row r="286" spans="9:13" ht="15" customHeight="1" x14ac:dyDescent="0.3">
      <c r="I286" s="38"/>
      <c r="J286" s="42"/>
      <c r="K286" s="42"/>
      <c r="L286" s="105"/>
      <c r="M286" s="56"/>
    </row>
    <row r="287" spans="9:13" ht="15" customHeight="1" x14ac:dyDescent="0.3">
      <c r="I287" s="38"/>
      <c r="J287" s="42"/>
      <c r="K287" s="42"/>
      <c r="L287" s="105"/>
      <c r="M287" s="56"/>
    </row>
    <row r="288" spans="9:13" ht="15" customHeight="1" x14ac:dyDescent="0.3">
      <c r="I288" s="38"/>
      <c r="J288" s="42"/>
      <c r="K288" s="42"/>
      <c r="L288" s="105"/>
      <c r="M288" s="56"/>
    </row>
    <row r="289" spans="9:13" ht="15" customHeight="1" x14ac:dyDescent="0.3">
      <c r="I289" s="38"/>
      <c r="J289" s="42"/>
      <c r="K289" s="42"/>
      <c r="L289" s="105"/>
      <c r="M289" s="56"/>
    </row>
    <row r="290" spans="9:13" ht="15" customHeight="1" x14ac:dyDescent="0.3">
      <c r="I290" s="38"/>
      <c r="J290" s="42"/>
      <c r="K290" s="42"/>
      <c r="L290" s="105"/>
      <c r="M290" s="56"/>
    </row>
    <row r="291" spans="9:13" ht="15" customHeight="1" x14ac:dyDescent="0.3">
      <c r="I291" s="38"/>
      <c r="J291" s="42"/>
      <c r="K291" s="42"/>
      <c r="L291" s="105"/>
      <c r="M291" s="56"/>
    </row>
    <row r="292" spans="9:13" ht="15" customHeight="1" x14ac:dyDescent="0.3">
      <c r="I292" s="38"/>
      <c r="J292" s="42"/>
      <c r="K292" s="42"/>
      <c r="L292" s="105"/>
      <c r="M292" s="56"/>
    </row>
    <row r="293" spans="9:13" ht="15" customHeight="1" x14ac:dyDescent="0.3">
      <c r="I293" s="38"/>
      <c r="J293" s="42"/>
      <c r="K293" s="42"/>
      <c r="L293" s="105"/>
      <c r="M293" s="56"/>
    </row>
    <row r="294" spans="9:13" ht="15" customHeight="1" x14ac:dyDescent="0.3">
      <c r="I294" s="38"/>
      <c r="J294" s="42"/>
      <c r="K294" s="42"/>
      <c r="L294" s="105"/>
      <c r="M294" s="56"/>
    </row>
    <row r="295" spans="9:13" ht="15" customHeight="1" x14ac:dyDescent="0.3">
      <c r="I295" s="38"/>
      <c r="J295" s="42"/>
      <c r="K295" s="42"/>
      <c r="L295" s="105"/>
      <c r="M295" s="56"/>
    </row>
    <row r="296" spans="9:13" ht="15" customHeight="1" x14ac:dyDescent="0.3">
      <c r="I296" s="38"/>
      <c r="J296" s="42"/>
      <c r="K296" s="42"/>
      <c r="L296" s="105"/>
      <c r="M296" s="56"/>
    </row>
    <row r="297" spans="9:13" ht="15" customHeight="1" x14ac:dyDescent="0.3">
      <c r="I297" s="38"/>
      <c r="J297" s="42"/>
      <c r="K297" s="42"/>
      <c r="L297" s="105"/>
      <c r="M297" s="56"/>
    </row>
    <row r="298" spans="9:13" ht="15" customHeight="1" x14ac:dyDescent="0.3">
      <c r="I298" s="38"/>
      <c r="J298" s="42"/>
      <c r="K298" s="42"/>
      <c r="L298" s="105"/>
      <c r="M298" s="56"/>
    </row>
    <row r="299" spans="9:13" ht="15" customHeight="1" x14ac:dyDescent="0.3">
      <c r="I299" s="38"/>
      <c r="J299" s="42"/>
      <c r="K299" s="42"/>
      <c r="L299" s="105"/>
      <c r="M299" s="56"/>
    </row>
    <row r="300" spans="9:13" ht="15" customHeight="1" x14ac:dyDescent="0.3">
      <c r="I300" s="38"/>
      <c r="J300" s="42"/>
      <c r="K300" s="42"/>
      <c r="L300" s="105"/>
      <c r="M300" s="56"/>
    </row>
    <row r="301" spans="9:13" ht="15" customHeight="1" x14ac:dyDescent="0.3">
      <c r="I301" s="38"/>
      <c r="J301" s="42"/>
      <c r="K301" s="42"/>
      <c r="L301" s="105"/>
      <c r="M301" s="56"/>
    </row>
    <row r="302" spans="9:13" ht="15" customHeight="1" x14ac:dyDescent="0.3">
      <c r="I302" s="38"/>
      <c r="J302" s="42"/>
      <c r="K302" s="42"/>
      <c r="L302" s="105"/>
      <c r="M302" s="56"/>
    </row>
    <row r="303" spans="9:13" ht="15" customHeight="1" x14ac:dyDescent="0.3">
      <c r="I303" s="38"/>
      <c r="J303" s="42"/>
      <c r="K303" s="42"/>
      <c r="L303" s="105"/>
      <c r="M303" s="56"/>
    </row>
    <row r="304" spans="9:13" ht="15" customHeight="1" x14ac:dyDescent="0.3">
      <c r="I304" s="38"/>
      <c r="J304" s="42"/>
      <c r="K304" s="42"/>
      <c r="L304" s="105"/>
      <c r="M304" s="56"/>
    </row>
    <row r="305" spans="9:13" ht="15" customHeight="1" x14ac:dyDescent="0.3">
      <c r="I305" s="38"/>
      <c r="J305" s="42"/>
      <c r="K305" s="42"/>
      <c r="L305" s="105"/>
      <c r="M305" s="56"/>
    </row>
    <row r="306" spans="9:13" ht="15" customHeight="1" x14ac:dyDescent="0.3">
      <c r="I306" s="38"/>
      <c r="J306" s="42"/>
      <c r="K306" s="42"/>
      <c r="L306" s="105"/>
      <c r="M306" s="56"/>
    </row>
    <row r="307" spans="9:13" ht="15" customHeight="1" x14ac:dyDescent="0.3">
      <c r="K307" s="42"/>
    </row>
    <row r="308" spans="9:13" ht="15" customHeight="1" x14ac:dyDescent="0.3">
      <c r="K308" s="42"/>
    </row>
    <row r="309" spans="9:13" ht="15" customHeight="1" x14ac:dyDescent="0.3">
      <c r="K309" s="42"/>
    </row>
    <row r="310" spans="9:13" ht="15" customHeight="1" x14ac:dyDescent="0.3">
      <c r="K310" s="42"/>
    </row>
    <row r="311" spans="9:13" ht="15" customHeight="1" x14ac:dyDescent="0.3">
      <c r="K311" s="42"/>
    </row>
    <row r="312" spans="9:13" ht="15" customHeight="1" x14ac:dyDescent="0.3">
      <c r="K312" s="4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07D8-115F-4A95-B489-C2DE72646B47}">
  <dimension ref="A1:B7"/>
  <sheetViews>
    <sheetView workbookViewId="0">
      <selection activeCell="B8" sqref="B8"/>
    </sheetView>
  </sheetViews>
  <sheetFormatPr defaultRowHeight="14.4" x14ac:dyDescent="0.3"/>
  <sheetData>
    <row r="1" spans="1:2" x14ac:dyDescent="0.3">
      <c r="A1" t="s">
        <v>753</v>
      </c>
    </row>
    <row r="2" spans="1:2" x14ac:dyDescent="0.3">
      <c r="A2" t="s">
        <v>754</v>
      </c>
      <c r="B2" t="s">
        <v>755</v>
      </c>
    </row>
    <row r="3" spans="1:2" x14ac:dyDescent="0.3">
      <c r="A3">
        <v>0.2</v>
      </c>
      <c r="B3" s="33">
        <v>2.7799999999999998E-2</v>
      </c>
    </row>
    <row r="4" spans="1:2" x14ac:dyDescent="0.3">
      <c r="A4">
        <v>0.5</v>
      </c>
      <c r="B4" s="33">
        <v>5.5800000000000002E-2</v>
      </c>
    </row>
    <row r="5" spans="1:2" x14ac:dyDescent="0.3">
      <c r="A5">
        <v>0.7</v>
      </c>
      <c r="B5">
        <f>SUM(B3:B4)</f>
        <v>8.3600000000000008E-2</v>
      </c>
    </row>
    <row r="6" spans="1:2" x14ac:dyDescent="0.3">
      <c r="A6" t="s">
        <v>320</v>
      </c>
      <c r="B6">
        <f>SLOPE(B3:B5,A3:A5)</f>
        <v>0.11015789473684214</v>
      </c>
    </row>
    <row r="7" spans="1:2" x14ac:dyDescent="0.3">
      <c r="A7" t="s">
        <v>321</v>
      </c>
      <c r="B7">
        <f>INTERCEPT(B3:B5,A3:A5)</f>
        <v>4.3263157894736781E-3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8727F-F0D5-44AD-ACDD-6A61A6985F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D9553-313E-4042-8290-68AB2941A7E4}">
  <dimension ref="A1:AA55"/>
  <sheetViews>
    <sheetView workbookViewId="0">
      <selection activeCell="R55" sqref="R55"/>
    </sheetView>
  </sheetViews>
  <sheetFormatPr defaultRowHeight="14.4" x14ac:dyDescent="0.3"/>
  <cols>
    <col min="1" max="1" width="15.88671875" customWidth="1"/>
    <col min="2" max="2" width="16.5546875" customWidth="1"/>
    <col min="5" max="6" width="16" bestFit="1" customWidth="1"/>
    <col min="14" max="14" width="12.33203125" customWidth="1"/>
    <col min="16" max="16" width="11.33203125" customWidth="1"/>
    <col min="19" max="20" width="10.88671875" customWidth="1"/>
    <col min="22" max="22" width="31.5546875" customWidth="1"/>
    <col min="26" max="26" width="41.109375" customWidth="1"/>
  </cols>
  <sheetData>
    <row r="1" spans="1:26" ht="21" x14ac:dyDescent="0.4">
      <c r="A1" s="2">
        <v>45495.416666666664</v>
      </c>
      <c r="B1" s="39">
        <v>68.88749999999709</v>
      </c>
      <c r="C1">
        <v>20</v>
      </c>
      <c r="D1">
        <v>20</v>
      </c>
      <c r="E1">
        <v>0</v>
      </c>
      <c r="F1">
        <v>397</v>
      </c>
      <c r="G1">
        <v>-803</v>
      </c>
      <c r="I1" s="5" t="s">
        <v>420</v>
      </c>
      <c r="J1">
        <v>103</v>
      </c>
      <c r="L1">
        <v>40</v>
      </c>
      <c r="M1" s="53">
        <v>-203</v>
      </c>
      <c r="N1" s="39">
        <v>6.9791666666642413</v>
      </c>
      <c r="O1" s="39">
        <v>5.7313432835840814</v>
      </c>
      <c r="P1" s="39">
        <v>-153.55026169945404</v>
      </c>
      <c r="Q1" s="39">
        <v>78.515624999972715</v>
      </c>
      <c r="R1" s="39"/>
      <c r="S1" s="39"/>
      <c r="T1" s="39"/>
      <c r="V1" s="57" t="s">
        <v>421</v>
      </c>
    </row>
    <row r="2" spans="1:26" x14ac:dyDescent="0.3">
      <c r="A2" s="4">
        <v>45468</v>
      </c>
      <c r="B2" s="39">
        <v>41.470833333332848</v>
      </c>
      <c r="C2">
        <v>0</v>
      </c>
      <c r="D2">
        <v>0</v>
      </c>
      <c r="E2">
        <v>0</v>
      </c>
      <c r="F2">
        <v>115</v>
      </c>
      <c r="G2">
        <v>631</v>
      </c>
      <c r="H2">
        <v>0</v>
      </c>
      <c r="I2">
        <v>570</v>
      </c>
      <c r="J2">
        <v>169</v>
      </c>
      <c r="K2">
        <v>0</v>
      </c>
      <c r="L2">
        <v>0</v>
      </c>
      <c r="M2" s="53" t="e">
        <v>#DIV/0!</v>
      </c>
      <c r="N2" s="39">
        <v>-0.44305555555911269</v>
      </c>
      <c r="O2" s="39">
        <v>0</v>
      </c>
      <c r="P2" s="39" t="e">
        <v>#DIV/0!</v>
      </c>
      <c r="Q2" s="39" t="e">
        <v>#DIV/0!</v>
      </c>
      <c r="R2" s="39"/>
      <c r="S2" s="39"/>
      <c r="T2" s="39"/>
      <c r="V2" t="s">
        <v>422</v>
      </c>
      <c r="W2" s="62" t="s">
        <v>423</v>
      </c>
    </row>
    <row r="3" spans="1:26" x14ac:dyDescent="0.3">
      <c r="A3" t="s">
        <v>424</v>
      </c>
      <c r="B3" s="2">
        <v>45426.529166666667</v>
      </c>
      <c r="V3" s="1" t="s">
        <v>425</v>
      </c>
      <c r="W3" t="s">
        <v>426</v>
      </c>
      <c r="X3" t="s">
        <v>427</v>
      </c>
      <c r="Y3" t="s">
        <v>428</v>
      </c>
      <c r="Z3" t="s">
        <v>429</v>
      </c>
    </row>
    <row r="4" spans="1:26" ht="43.2" x14ac:dyDescent="0.3">
      <c r="A4" t="s">
        <v>430</v>
      </c>
      <c r="V4" s="1" t="s">
        <v>431</v>
      </c>
      <c r="W4" t="s">
        <v>432</v>
      </c>
      <c r="X4">
        <v>0.06</v>
      </c>
      <c r="Y4" t="s">
        <v>433</v>
      </c>
      <c r="Z4" s="1" t="s">
        <v>434</v>
      </c>
    </row>
    <row r="5" spans="1:26" ht="28.8" x14ac:dyDescent="0.3">
      <c r="L5">
        <v>450</v>
      </c>
      <c r="M5" t="s">
        <v>435</v>
      </c>
      <c r="V5" s="1" t="s">
        <v>436</v>
      </c>
      <c r="W5" t="s">
        <v>437</v>
      </c>
      <c r="X5">
        <v>24</v>
      </c>
      <c r="Y5" t="s">
        <v>438</v>
      </c>
    </row>
    <row r="6" spans="1:26" ht="28.8" x14ac:dyDescent="0.3">
      <c r="A6" t="s">
        <v>439</v>
      </c>
      <c r="B6" t="s">
        <v>440</v>
      </c>
      <c r="L6">
        <f>L5/L29</f>
        <v>0.51724137931034486</v>
      </c>
      <c r="V6" s="1" t="s">
        <v>441</v>
      </c>
      <c r="W6" t="s">
        <v>321</v>
      </c>
      <c r="X6">
        <v>0.03</v>
      </c>
      <c r="Y6" s="5" t="s">
        <v>442</v>
      </c>
    </row>
    <row r="7" spans="1:26" ht="28.8" x14ac:dyDescent="0.3">
      <c r="A7" t="s">
        <v>443</v>
      </c>
      <c r="B7" t="s">
        <v>444</v>
      </c>
      <c r="L7">
        <f>L6/1440</f>
        <v>3.5919540229885062E-4</v>
      </c>
      <c r="M7" t="s">
        <v>445</v>
      </c>
      <c r="V7" s="1" t="s">
        <v>446</v>
      </c>
      <c r="W7" t="s">
        <v>447</v>
      </c>
      <c r="X7">
        <f>1/(X4*X5-X6)</f>
        <v>0.70921985815602839</v>
      </c>
      <c r="Y7" t="s">
        <v>448</v>
      </c>
    </row>
    <row r="8" spans="1:26" x14ac:dyDescent="0.3">
      <c r="A8" t="s">
        <v>449</v>
      </c>
      <c r="B8" t="s">
        <v>450</v>
      </c>
      <c r="V8" s="1" t="s">
        <v>451</v>
      </c>
      <c r="W8" s="1" t="s">
        <v>451</v>
      </c>
      <c r="X8">
        <v>1.0000000000000001E-5</v>
      </c>
      <c r="Y8" t="s">
        <v>285</v>
      </c>
    </row>
    <row r="9" spans="1:26" x14ac:dyDescent="0.3">
      <c r="A9" t="s">
        <v>452</v>
      </c>
      <c r="B9" t="s">
        <v>453</v>
      </c>
    </row>
    <row r="10" spans="1:26" x14ac:dyDescent="0.3">
      <c r="A10" t="s">
        <v>454</v>
      </c>
      <c r="C10">
        <v>450</v>
      </c>
    </row>
    <row r="11" spans="1:26" ht="72" x14ac:dyDescent="0.3">
      <c r="C11" t="s">
        <v>455</v>
      </c>
      <c r="F11" t="s">
        <v>357</v>
      </c>
      <c r="I11" t="s">
        <v>358</v>
      </c>
      <c r="L11" s="1" t="s">
        <v>456</v>
      </c>
      <c r="M11" s="1" t="s">
        <v>457</v>
      </c>
      <c r="N11" s="1" t="s">
        <v>458</v>
      </c>
      <c r="O11" s="1" t="s">
        <v>459</v>
      </c>
      <c r="P11" s="1" t="s">
        <v>460</v>
      </c>
      <c r="Q11" t="s">
        <v>461</v>
      </c>
      <c r="R11" s="1" t="s">
        <v>462</v>
      </c>
      <c r="S11" s="1" t="s">
        <v>463</v>
      </c>
      <c r="T11" s="1" t="s">
        <v>464</v>
      </c>
    </row>
    <row r="12" spans="1:26" x14ac:dyDescent="0.3">
      <c r="A12" t="s">
        <v>353</v>
      </c>
      <c r="B12" t="s">
        <v>465</v>
      </c>
      <c r="C12" t="s">
        <v>466</v>
      </c>
      <c r="D12" t="s">
        <v>467</v>
      </c>
      <c r="E12" t="s">
        <v>468</v>
      </c>
      <c r="F12" t="s">
        <v>466</v>
      </c>
      <c r="G12" t="s">
        <v>467</v>
      </c>
      <c r="H12" t="s">
        <v>468</v>
      </c>
      <c r="I12" t="s">
        <v>466</v>
      </c>
      <c r="J12" t="s">
        <v>467</v>
      </c>
      <c r="K12" t="s">
        <v>468</v>
      </c>
    </row>
    <row r="13" spans="1:26" x14ac:dyDescent="0.3">
      <c r="A13" s="44">
        <f>TSS_VSS!A6</f>
        <v>45443</v>
      </c>
      <c r="B13" s="39">
        <f>TSS_VSS!B6</f>
        <v>16.470833333332848</v>
      </c>
      <c r="F13">
        <f>TSS_VSS!D6</f>
        <v>0</v>
      </c>
      <c r="G13">
        <f>TSS_VSS!F6</f>
        <v>0</v>
      </c>
      <c r="H13">
        <f>TSS_VSS!H6</f>
        <v>0</v>
      </c>
      <c r="I13">
        <f>TSS_VSS!E6</f>
        <v>0</v>
      </c>
      <c r="J13">
        <f>TSS_VSS!G6</f>
        <v>0</v>
      </c>
      <c r="K13">
        <f>TSS_VSS!I6</f>
        <v>0</v>
      </c>
    </row>
    <row r="14" spans="1:26" x14ac:dyDescent="0.3">
      <c r="A14" s="44">
        <f>TSS_VSS!A7</f>
        <v>45464.663888888892</v>
      </c>
      <c r="B14" s="39">
        <f>TSS_VSS!B7</f>
        <v>38.134722222224809</v>
      </c>
      <c r="C14">
        <f>SUMIFS('Liquid Volume'!$D$3:$D$285,'Liquid Volume'!$A$3:$A$285,"&gt;"&amp;B13,'Liquid Volume'!$A$3:$A$285,"&lt;="&amp;B14)</f>
        <v>335</v>
      </c>
      <c r="D14">
        <f>SUMIFS('Liquid Volume'!$E$3:$E$285,'Liquid Volume'!$A$3:$A$285,"&gt;"&amp;B13,'Liquid Volume'!$A$3:$A$285,"&lt;="&amp;B14)</f>
        <v>12</v>
      </c>
      <c r="E14">
        <f>SUMIFS('Liquid Volume'!$F$3:$F$285,'Liquid Volume'!$A$3:$A$285,"&gt;"&amp;B13,'Liquid Volume'!$A$3:$A$285,"&lt;="&amp;B14)</f>
        <v>713</v>
      </c>
      <c r="F14">
        <f>TSS_VSS!D7</f>
        <v>383</v>
      </c>
      <c r="G14">
        <f>TSS_VSS!F7</f>
        <v>0</v>
      </c>
      <c r="H14">
        <f>TSS_VSS!H7</f>
        <v>304</v>
      </c>
      <c r="I14">
        <f>TSS_VSS!E7</f>
        <v>253</v>
      </c>
      <c r="J14">
        <f>TSS_VSS!G7</f>
        <v>0</v>
      </c>
      <c r="K14">
        <f>TSS_VSS!I7</f>
        <v>198</v>
      </c>
      <c r="L14">
        <f>SUM(C14:E14)</f>
        <v>1060</v>
      </c>
      <c r="M14" s="53">
        <f>(((C14*F14)+SUM(D14:E14)*SUM(G14:H14))/L14)</f>
        <v>328.96698113207549</v>
      </c>
      <c r="N14" s="39">
        <f>(A14-A13)</f>
        <v>21.663888888891961</v>
      </c>
      <c r="O14" s="39">
        <f>L14/(N14)</f>
        <v>48.929349916649045</v>
      </c>
      <c r="P14" s="39">
        <f t="shared" ref="P14:P25" si="0">$C$10*F14/(O14*M14)</f>
        <v>10.707535739380075</v>
      </c>
      <c r="Q14" s="39">
        <f>$C$10/O14</f>
        <v>9.1969339622654545</v>
      </c>
      <c r="R14" s="39">
        <f>AVERAGE(Q14:Q16)</f>
        <v>11.19904653445159</v>
      </c>
      <c r="S14" s="53">
        <f>O14/1440</f>
        <v>3.3978715219895171E-2</v>
      </c>
      <c r="T14" s="53">
        <f>$C$10/(R14*1440)</f>
        <v>2.7904161219319636E-2</v>
      </c>
    </row>
    <row r="15" spans="1:26" x14ac:dyDescent="0.3">
      <c r="A15" s="44">
        <f>TSS_VSS!A8</f>
        <v>45468.443055555559</v>
      </c>
      <c r="B15" s="39">
        <f>TSS_VSS!B8</f>
        <v>41.913888888891961</v>
      </c>
      <c r="C15">
        <f>SUMIFS('Liquid Volume'!$D$3:$D$285,'Liquid Volume'!$A$3:$A$285,"&gt;"&amp;B14,'Liquid Volume'!$A$3:$A$285,"&lt;="&amp;B15)</f>
        <v>30</v>
      </c>
      <c r="D15">
        <f>SUMIFS('Liquid Volume'!$E$3:$E$285,'Liquid Volume'!$A$3:$A$285,"&gt;"&amp;B14,'Liquid Volume'!$A$3:$A$285,"&lt;="&amp;B15)</f>
        <v>53</v>
      </c>
      <c r="E15">
        <f>SUMIFS('Liquid Volume'!$F$3:$F$285,'Liquid Volume'!$A$3:$A$285,"&gt;"&amp;B14,'Liquid Volume'!$A$3:$A$285,"&lt;="&amp;B15)</f>
        <v>0</v>
      </c>
      <c r="F15">
        <f>TSS_VSS!D8</f>
        <v>1078</v>
      </c>
      <c r="G15">
        <f>TSS_VSS!F8</f>
        <v>272</v>
      </c>
      <c r="H15">
        <f>TSS_VSS!H8</f>
        <v>0</v>
      </c>
      <c r="I15">
        <f>TSS_VSS!E8</f>
        <v>804</v>
      </c>
      <c r="J15">
        <f>TSS_VSS!G8</f>
        <v>214</v>
      </c>
      <c r="K15">
        <f>TSS_VSS!I8</f>
        <v>0</v>
      </c>
      <c r="L15">
        <f t="shared" ref="L15:L32" si="1">SUM(C15:E15)</f>
        <v>83</v>
      </c>
      <c r="M15" s="53">
        <f t="shared" ref="M15:M34" si="2">(((C15*F15)+SUM(D15:E15)*SUM(G15:H15))/L15)</f>
        <v>563.32530120481931</v>
      </c>
      <c r="N15" s="39">
        <f t="shared" ref="N15:N25" si="3">A15-A14</f>
        <v>3.7791666666671517</v>
      </c>
      <c r="O15" s="39">
        <f t="shared" ref="O15:O25" si="4">L15/(N15)</f>
        <v>21.962513781695087</v>
      </c>
      <c r="P15" s="39">
        <f t="shared" si="0"/>
        <v>39.209379544876271</v>
      </c>
      <c r="Q15" s="39">
        <f t="shared" ref="Q15:Q25" si="5">$C$10/O15</f>
        <v>20.489457831327929</v>
      </c>
      <c r="R15" s="39">
        <f t="shared" ref="R15:R51" si="6">AVERAGE(Q15:Q17)</f>
        <v>11.813957435919235</v>
      </c>
      <c r="S15" s="53">
        <f t="shared" ref="S15:S52" si="7">O15/1440</f>
        <v>1.5251745681732699E-2</v>
      </c>
      <c r="T15" s="53">
        <f t="shared" ref="T15:T52" si="8">$C$10/(R15*1440)</f>
        <v>2.6451762814878009E-2</v>
      </c>
    </row>
    <row r="16" spans="1:26" x14ac:dyDescent="0.3">
      <c r="A16" s="44">
        <f>TSS_VSS!A9</f>
        <v>45475.386805555558</v>
      </c>
      <c r="B16" s="39">
        <f>TSS_VSS!B9</f>
        <v>48.857638888890506</v>
      </c>
      <c r="C16">
        <f>SUMIFS('Liquid Volume'!$D$3:$D$285,'Liquid Volume'!$A$3:$A$285,"&gt;"&amp;B15,'Liquid Volume'!$A$3:$A$285,"&lt;="&amp;B16)</f>
        <v>49.5</v>
      </c>
      <c r="D16">
        <f>SUMIFS('Liquid Volume'!$E$3:$E$285,'Liquid Volume'!$A$3:$A$285,"&gt;"&amp;B15,'Liquid Volume'!$A$3:$A$285,"&lt;="&amp;B16)</f>
        <v>49.5</v>
      </c>
      <c r="E16">
        <f>SUMIFS('Liquid Volume'!$F$3:$F$285,'Liquid Volume'!$A$3:$A$285,"&gt;"&amp;B15,'Liquid Volume'!$A$3:$A$285,"&lt;="&amp;B16)</f>
        <v>700</v>
      </c>
      <c r="F16">
        <f>TSS_VSS!D9</f>
        <v>449</v>
      </c>
      <c r="G16">
        <f>TSS_VSS!F9</f>
        <v>112</v>
      </c>
      <c r="H16">
        <f>TSS_VSS!H9</f>
        <v>0</v>
      </c>
      <c r="I16">
        <f>TSS_VSS!E9</f>
        <v>497</v>
      </c>
      <c r="J16">
        <f>TSS_VSS!G9</f>
        <v>75</v>
      </c>
      <c r="K16">
        <f>TSS_VSS!I9</f>
        <v>0</v>
      </c>
      <c r="L16">
        <f t="shared" si="1"/>
        <v>799</v>
      </c>
      <c r="M16" s="53">
        <f t="shared" si="2"/>
        <v>132.87797246558199</v>
      </c>
      <c r="N16" s="39">
        <f>A16-A15</f>
        <v>6.9437499999985448</v>
      </c>
      <c r="O16" s="39">
        <f t="shared" ref="O16:O22" si="9">L16/(N16)</f>
        <v>115.06750675069918</v>
      </c>
      <c r="P16" s="39">
        <f t="shared" si="0"/>
        <v>13.214573747636617</v>
      </c>
      <c r="Q16" s="39">
        <f t="shared" si="5"/>
        <v>3.910747809761383</v>
      </c>
      <c r="R16" s="39">
        <f t="shared" si="6"/>
        <v>8.2234040867833311</v>
      </c>
      <c r="S16" s="53">
        <f t="shared" si="7"/>
        <v>7.9907990799096648E-2</v>
      </c>
      <c r="T16" s="53">
        <f t="shared" si="8"/>
        <v>3.8001294439884148E-2</v>
      </c>
    </row>
    <row r="17" spans="1:21" x14ac:dyDescent="0.3">
      <c r="A17" s="44">
        <f>TSS_VSS!A10</f>
        <v>45478.478472222225</v>
      </c>
      <c r="B17" s="39">
        <f>TSS_VSS!B10</f>
        <v>51.949305555557657</v>
      </c>
      <c r="C17">
        <f>SUMIFS('Liquid Volume'!$D$3:$D$285,'Liquid Volume'!$A$3:$A$285,"&gt;"&amp;B16,'Liquid Volume'!$A$3:$A$285,"&lt;="&amp;B17)</f>
        <v>30</v>
      </c>
      <c r="D17">
        <f>SUMIFS('Liquid Volume'!$E$3:$E$285,'Liquid Volume'!$A$3:$A$285,"&gt;"&amp;B16,'Liquid Volume'!$A$3:$A$285,"&lt;="&amp;B17)</f>
        <v>15</v>
      </c>
      <c r="E17">
        <f>SUMIFS('Liquid Volume'!$F$3:$F$285,'Liquid Volume'!$A$3:$A$285,"&gt;"&amp;B16,'Liquid Volume'!$A$3:$A$285,"&lt;="&amp;B17)</f>
        <v>81</v>
      </c>
      <c r="F17">
        <f>TSS_VSS!D10</f>
        <v>428</v>
      </c>
      <c r="G17">
        <f>TSS_VSS!F10</f>
        <v>196</v>
      </c>
      <c r="H17">
        <f>TSS_VSS!H10</f>
        <v>0</v>
      </c>
      <c r="I17">
        <f>TSS_VSS!E10</f>
        <v>272</v>
      </c>
      <c r="J17">
        <f>TSS_VSS!G10</f>
        <v>143</v>
      </c>
      <c r="K17">
        <f>TSS_VSS!I10</f>
        <v>0</v>
      </c>
      <c r="L17">
        <f t="shared" si="1"/>
        <v>126</v>
      </c>
      <c r="M17" s="53">
        <f t="shared" si="2"/>
        <v>251.23809523809524</v>
      </c>
      <c r="N17" s="39">
        <f t="shared" si="3"/>
        <v>3.0916666666671517</v>
      </c>
      <c r="O17" s="39">
        <f t="shared" si="9"/>
        <v>40.754716981125682</v>
      </c>
      <c r="P17" s="39">
        <f t="shared" si="0"/>
        <v>18.810178165279673</v>
      </c>
      <c r="Q17" s="39">
        <f t="shared" si="5"/>
        <v>11.041666666668398</v>
      </c>
      <c r="R17" s="39">
        <f t="shared" si="6"/>
        <v>8.6499198025915334</v>
      </c>
      <c r="S17" s="53">
        <f t="shared" si="7"/>
        <v>2.830188679244839E-2</v>
      </c>
      <c r="T17" s="53">
        <f t="shared" si="8"/>
        <v>3.612750258174352E-2</v>
      </c>
    </row>
    <row r="18" spans="1:21" x14ac:dyDescent="0.3">
      <c r="A18" s="44">
        <f>TSS_VSS!A11</f>
        <v>45482.376388888886</v>
      </c>
      <c r="B18" s="39">
        <f>TSS_VSS!B11</f>
        <v>55.847222222218988</v>
      </c>
      <c r="C18">
        <f>SUMIFS('Liquid Volume'!$D$3:$D$285,'Liquid Volume'!$A$3:$A$285,"&gt;"&amp;B17,'Liquid Volume'!$A$3:$A$285,"&lt;="&amp;B18)</f>
        <v>30.5</v>
      </c>
      <c r="D18">
        <f>SUMIFS('Liquid Volume'!$E$3:$E$285,'Liquid Volume'!$A$3:$A$285,"&gt;"&amp;B17,'Liquid Volume'!$A$3:$A$285,"&lt;="&amp;B18)</f>
        <v>48</v>
      </c>
      <c r="E18">
        <f>SUMIFS('Liquid Volume'!$F$3:$F$285,'Liquid Volume'!$A$3:$A$285,"&gt;"&amp;B17,'Liquid Volume'!$A$3:$A$285,"&lt;="&amp;B18)</f>
        <v>102</v>
      </c>
      <c r="F18">
        <f>TSS_VSS!D11</f>
        <v>492</v>
      </c>
      <c r="G18">
        <f>TSS_VSS!F11</f>
        <v>168</v>
      </c>
      <c r="H18">
        <f>TSS_VSS!H11</f>
        <v>0</v>
      </c>
      <c r="I18">
        <f>TSS_VSS!E11</f>
        <v>322</v>
      </c>
      <c r="J18">
        <f>TSS_VSS!G11</f>
        <v>139</v>
      </c>
      <c r="K18">
        <f>TSS_VSS!I11</f>
        <v>0</v>
      </c>
      <c r="L18">
        <f t="shared" si="1"/>
        <v>180.5</v>
      </c>
      <c r="M18" s="53">
        <f t="shared" si="2"/>
        <v>222.74792243767314</v>
      </c>
      <c r="N18" s="39">
        <f t="shared" si="3"/>
        <v>3.897916666661331</v>
      </c>
      <c r="O18" s="39">
        <f t="shared" si="9"/>
        <v>46.306787814066595</v>
      </c>
      <c r="P18" s="39">
        <f t="shared" si="0"/>
        <v>21.46442695117193</v>
      </c>
      <c r="Q18" s="39">
        <f t="shared" si="5"/>
        <v>9.717797783920215</v>
      </c>
      <c r="R18" s="39">
        <f t="shared" si="6"/>
        <v>6.9385824118297492</v>
      </c>
      <c r="S18" s="53">
        <f t="shared" si="7"/>
        <v>3.2157491537546247E-2</v>
      </c>
      <c r="T18" s="53">
        <f t="shared" si="8"/>
        <v>4.5038018063633799E-2</v>
      </c>
    </row>
    <row r="19" spans="1:21" x14ac:dyDescent="0.3">
      <c r="A19" s="44">
        <f>TSS_VSS!A12</f>
        <v>45488.4375</v>
      </c>
      <c r="B19" s="39">
        <f>TSS_VSS!B12</f>
        <v>61.908333333332848</v>
      </c>
      <c r="C19">
        <f>SUMIFS('Liquid Volume'!$D$3:$D$285,'Liquid Volume'!$A$3:$A$285,"&gt;"&amp;B18,'Liquid Volume'!$A$3:$A$285,"&lt;="&amp;B19)</f>
        <v>73</v>
      </c>
      <c r="D19">
        <f>SUMIFS('Liquid Volume'!$E$3:$E$285,'Liquid Volume'!$A$3:$A$285,"&gt;"&amp;B18,'Liquid Volume'!$A$3:$A$285,"&lt;="&amp;B19)</f>
        <v>60.5</v>
      </c>
      <c r="E19">
        <f>SUMIFS('Liquid Volume'!$F$3:$F$285,'Liquid Volume'!$A$3:$A$285,"&gt;"&amp;B18,'Liquid Volume'!$A$3:$A$285,"&lt;="&amp;B19)</f>
        <v>392</v>
      </c>
      <c r="F19">
        <f>TSS_VSS!D12</f>
        <v>499</v>
      </c>
      <c r="G19">
        <f>TSS_VSS!F12</f>
        <v>201</v>
      </c>
      <c r="H19">
        <f>TSS_VSS!H12</f>
        <v>0</v>
      </c>
      <c r="I19">
        <f>TSS_VSS!E12</f>
        <v>356</v>
      </c>
      <c r="J19">
        <f>TSS_VSS!G12</f>
        <v>137</v>
      </c>
      <c r="K19">
        <f>TSS_VSS!I12</f>
        <v>0</v>
      </c>
      <c r="L19">
        <f t="shared" si="1"/>
        <v>525.5</v>
      </c>
      <c r="M19" s="53">
        <f>(((C19*F19)+SUM(D19:E19)*SUM(G19:H19))/L19)</f>
        <v>242.39676498572788</v>
      </c>
      <c r="N19" s="39">
        <f t="shared" si="3"/>
        <v>6.0611111111138598</v>
      </c>
      <c r="O19" s="39">
        <f t="shared" si="9"/>
        <v>86.700274977045922</v>
      </c>
      <c r="P19" s="39">
        <f t="shared" si="0"/>
        <v>10.684784443341488</v>
      </c>
      <c r="Q19" s="39">
        <f t="shared" si="5"/>
        <v>5.1902949571859889</v>
      </c>
      <c r="R19" s="39">
        <f t="shared" si="6"/>
        <v>4.7459311960447179</v>
      </c>
      <c r="S19" s="53">
        <f t="shared" si="7"/>
        <v>6.020852428961522E-2</v>
      </c>
      <c r="T19" s="53">
        <f t="shared" si="8"/>
        <v>6.5845876623841282E-2</v>
      </c>
    </row>
    <row r="20" spans="1:21" x14ac:dyDescent="0.3">
      <c r="A20" s="44">
        <f>TSS_VSS!A13</f>
        <v>45502.458333333336</v>
      </c>
      <c r="B20" s="39">
        <f>TSS_VSS!B13</f>
        <v>75.929166666668607</v>
      </c>
      <c r="C20">
        <f>SUMIFS('Liquid Volume'!$D$3:$D$285,'Liquid Volume'!$A$3:$A$285,"&gt;"&amp;B19,'Liquid Volume'!$A$3:$A$285,"&lt;="&amp;B20)</f>
        <v>163</v>
      </c>
      <c r="D20">
        <f>SUMIFS('Liquid Volume'!$E$3:$E$285,'Liquid Volume'!$A$3:$A$285,"&gt;"&amp;B19,'Liquid Volume'!$A$3:$A$285,"&lt;="&amp;B20)</f>
        <v>54</v>
      </c>
      <c r="E20">
        <f>SUMIFS('Liquid Volume'!$F$3:$F$285,'Liquid Volume'!$A$3:$A$285,"&gt;"&amp;B19,'Liquid Volume'!$A$3:$A$285,"&lt;="&amp;B20)</f>
        <v>851</v>
      </c>
      <c r="F20">
        <f>TSS_VSS!D13</f>
        <v>252</v>
      </c>
      <c r="G20">
        <f>TSS_VSS!F13</f>
        <v>233</v>
      </c>
      <c r="H20">
        <f>TSS_VSS!H13</f>
        <v>0</v>
      </c>
      <c r="I20">
        <f>TSS_VSS!E13</f>
        <v>233</v>
      </c>
      <c r="J20">
        <f>TSS_VSS!G13</f>
        <v>173</v>
      </c>
      <c r="K20">
        <f>TSS_VSS!I13</f>
        <v>0</v>
      </c>
      <c r="L20">
        <f t="shared" si="1"/>
        <v>1068</v>
      </c>
      <c r="M20" s="53">
        <f>(((C20*F20)+SUM(D20:E20)*SUM(G20:H20))/L20)</f>
        <v>235.89981273408239</v>
      </c>
      <c r="N20" s="39">
        <f t="shared" si="3"/>
        <v>14.020833333335759</v>
      </c>
      <c r="O20" s="39">
        <f t="shared" si="9"/>
        <v>76.17236255570748</v>
      </c>
      <c r="P20" s="39">
        <f t="shared" si="0"/>
        <v>6.3108525408737561</v>
      </c>
      <c r="Q20" s="39">
        <f t="shared" si="5"/>
        <v>5.9076544943830438</v>
      </c>
      <c r="R20" s="39">
        <f t="shared" si="6"/>
        <v>4.1164046025545984</v>
      </c>
      <c r="S20" s="53">
        <f t="shared" si="7"/>
        <v>5.2897473997019086E-2</v>
      </c>
      <c r="T20" s="53">
        <f t="shared" si="8"/>
        <v>7.5915763918363535E-2</v>
      </c>
    </row>
    <row r="21" spans="1:21" x14ac:dyDescent="0.3">
      <c r="A21" s="44">
        <f>TSS_VSS!A14</f>
        <v>45509.509027777778</v>
      </c>
      <c r="B21" s="39">
        <f>TSS_VSS!B14</f>
        <v>82.979861111110949</v>
      </c>
      <c r="C21">
        <f>SUMIFS('Liquid Volume'!$D$3:$D$285,'Liquid Volume'!$A$3:$A$285,"&gt;"&amp;B20,'Liquid Volume'!$A$3:$A$285,"&lt;="&amp;B21)</f>
        <v>72.5</v>
      </c>
      <c r="D21">
        <f>SUMIFS('Liquid Volume'!$E$3:$E$285,'Liquid Volume'!$A$3:$A$285,"&gt;"&amp;B20,'Liquid Volume'!$A$3:$A$285,"&lt;="&amp;B21)</f>
        <v>58</v>
      </c>
      <c r="E21">
        <f>SUMIFS('Liquid Volume'!$F$3:$F$285,'Liquid Volume'!$A$3:$A$285,"&gt;"&amp;B20,'Liquid Volume'!$A$3:$A$285,"&lt;="&amp;B21)</f>
        <v>880</v>
      </c>
      <c r="F21">
        <f>TSS_VSS!D14</f>
        <v>2670</v>
      </c>
      <c r="G21">
        <f>TSS_VSS!F14</f>
        <v>171</v>
      </c>
      <c r="H21">
        <f>TSS_VSS!H14</f>
        <v>0</v>
      </c>
      <c r="I21">
        <f>TSS_VSS!E14</f>
        <v>2504</v>
      </c>
      <c r="J21">
        <f>TSS_VSS!G14</f>
        <v>81</v>
      </c>
      <c r="K21">
        <f>TSS_VSS!I14</f>
        <v>0</v>
      </c>
      <c r="L21">
        <f t="shared" si="1"/>
        <v>1010.5</v>
      </c>
      <c r="M21" s="53">
        <f>(((C21*F21)+SUM(D21:E21)*SUM(G21:H21))/L21)</f>
        <v>350.29490351311233</v>
      </c>
      <c r="N21" s="39">
        <f t="shared" si="3"/>
        <v>7.0506944444423425</v>
      </c>
      <c r="O21" s="39">
        <f t="shared" si="9"/>
        <v>143.31921599531506</v>
      </c>
      <c r="P21" s="39">
        <f t="shared" si="0"/>
        <v>23.932360307134932</v>
      </c>
      <c r="Q21" s="39">
        <f t="shared" si="5"/>
        <v>3.1398441365651202</v>
      </c>
      <c r="R21" s="39">
        <f t="shared" si="6"/>
        <v>2.9432920919598815</v>
      </c>
      <c r="S21" s="53">
        <f t="shared" si="7"/>
        <v>9.9527233330079901E-2</v>
      </c>
      <c r="T21" s="53">
        <f t="shared" si="8"/>
        <v>0.10617362811310796</v>
      </c>
    </row>
    <row r="22" spans="1:21" x14ac:dyDescent="0.3">
      <c r="A22" s="44">
        <f>TSS_VSS!A15</f>
        <v>45516.567361111112</v>
      </c>
      <c r="B22" s="39">
        <f>TSS_VSS!B15</f>
        <v>90.038194444445253</v>
      </c>
      <c r="C22">
        <f>SUMIFS('Liquid Volume'!$D$3:$D$285,'Liquid Volume'!$A$3:$A$285,"&gt;"&amp;B21,'Liquid Volume'!$A$3:$A$285,"&lt;="&amp;B22)</f>
        <v>108</v>
      </c>
      <c r="D22">
        <f>SUMIFS('Liquid Volume'!$E$3:$E$285,'Liquid Volume'!$A$3:$A$285,"&gt;"&amp;B21,'Liquid Volume'!$A$3:$A$285,"&lt;="&amp;B22)</f>
        <v>29</v>
      </c>
      <c r="E22">
        <f>SUMIFS('Liquid Volume'!$F$3:$F$285,'Liquid Volume'!$A$3:$A$285,"&gt;"&amp;B21,'Liquid Volume'!$A$3:$A$285,"&lt;="&amp;B22)</f>
        <v>825</v>
      </c>
      <c r="F22">
        <f>TSS_VSS!D15</f>
        <v>1406</v>
      </c>
      <c r="G22">
        <f>TSS_VSS!F15</f>
        <v>89</v>
      </c>
      <c r="H22">
        <f>TSS_VSS!H15</f>
        <v>0</v>
      </c>
      <c r="I22">
        <f>TSS_VSS!E15</f>
        <v>1186</v>
      </c>
      <c r="J22">
        <f>TSS_VSS!G15</f>
        <v>0</v>
      </c>
      <c r="K22">
        <f>TSS_VSS!I15</f>
        <v>0</v>
      </c>
      <c r="L22">
        <f t="shared" si="1"/>
        <v>962</v>
      </c>
      <c r="M22" s="53">
        <f t="shared" si="2"/>
        <v>236.85446985446984</v>
      </c>
      <c r="N22" s="39">
        <f t="shared" si="3"/>
        <v>7.0583333333343035</v>
      </c>
      <c r="O22" s="39">
        <f t="shared" si="9"/>
        <v>136.2927981109612</v>
      </c>
      <c r="P22" s="39">
        <f t="shared" si="0"/>
        <v>19.599425509320064</v>
      </c>
      <c r="Q22" s="39">
        <f t="shared" si="5"/>
        <v>3.3017151767156303</v>
      </c>
      <c r="R22" s="39">
        <f t="shared" si="6"/>
        <v>4.821491160033097</v>
      </c>
      <c r="S22" s="53">
        <f t="shared" si="7"/>
        <v>9.4647776465945271E-2</v>
      </c>
      <c r="T22" s="53">
        <f t="shared" si="8"/>
        <v>6.4813973442575987E-2</v>
      </c>
    </row>
    <row r="23" spans="1:21" x14ac:dyDescent="0.3">
      <c r="A23" s="44">
        <f>TSS_VSS!A16</f>
        <v>45523.591666666667</v>
      </c>
      <c r="B23" s="39">
        <f>TSS_VSS!B16</f>
        <v>97.0625</v>
      </c>
      <c r="C23">
        <f>SUMIFS('Liquid Volume'!$D$3:$D$285,'Liquid Volume'!$A$3:$A$285,"&gt;"&amp;B22,'Liquid Volume'!$A$3:$A$285,"&lt;="&amp;B23)</f>
        <v>111.5</v>
      </c>
      <c r="D23">
        <f>SUMIFS('Liquid Volume'!$E$3:$E$285,'Liquid Volume'!$A$3:$A$285,"&gt;"&amp;B22,'Liquid Volume'!$A$3:$A$285,"&lt;="&amp;B23)</f>
        <v>62</v>
      </c>
      <c r="E23">
        <f>SUMIFS('Liquid Volume'!$F$3:$F$285,'Liquid Volume'!$A$3:$A$285,"&gt;"&amp;B22,'Liquid Volume'!$A$3:$A$285,"&lt;="&amp;B23)</f>
        <v>1150</v>
      </c>
      <c r="F23">
        <f>TSS_VSS!D16</f>
        <v>364</v>
      </c>
      <c r="G23">
        <f>TSS_VSS!F16</f>
        <v>53</v>
      </c>
      <c r="H23">
        <f>TSS_VSS!H16</f>
        <v>0</v>
      </c>
      <c r="I23">
        <f>TSS_VSS!E16</f>
        <v>275</v>
      </c>
      <c r="J23">
        <f>TSS_VSS!G16</f>
        <v>32</v>
      </c>
      <c r="K23">
        <f>TSS_VSS!I16</f>
        <v>0</v>
      </c>
      <c r="L23">
        <f t="shared" si="1"/>
        <v>1323.5</v>
      </c>
      <c r="M23" s="53">
        <f t="shared" si="2"/>
        <v>79.200604457876835</v>
      </c>
      <c r="N23" s="39">
        <f t="shared" si="3"/>
        <v>7.0243055555547471</v>
      </c>
      <c r="O23" s="39">
        <f t="shared" si="4"/>
        <v>188.41720217500932</v>
      </c>
      <c r="P23" s="39">
        <f t="shared" si="0"/>
        <v>10.976524489132698</v>
      </c>
      <c r="Q23" s="39">
        <f t="shared" si="5"/>
        <v>2.388316962598894</v>
      </c>
      <c r="R23" s="39">
        <f t="shared" si="6"/>
        <v>6.9331416566825368</v>
      </c>
      <c r="S23" s="53">
        <f t="shared" si="7"/>
        <v>0.13084527928820092</v>
      </c>
      <c r="T23" s="53">
        <f t="shared" si="8"/>
        <v>4.5073361467927835E-2</v>
      </c>
    </row>
    <row r="24" spans="1:21" x14ac:dyDescent="0.3">
      <c r="A24" s="44">
        <f>TSS_VSS!A17</f>
        <v>45530.572222222225</v>
      </c>
      <c r="B24" s="39">
        <f>TSS_VSS!B17</f>
        <v>104.04305555555766</v>
      </c>
      <c r="C24">
        <f>SUMIFS('Liquid Volume'!$D$3:$D$285,'Liquid Volume'!$A$3:$A$285,"&gt;"&amp;B23,'Liquid Volume'!$A$3:$A$285,"&lt;="&amp;B24)</f>
        <v>102.5</v>
      </c>
      <c r="D24">
        <f>SUMIFS('Liquid Volume'!$E$3:$E$285,'Liquid Volume'!$A$3:$A$285,"&gt;"&amp;B23,'Liquid Volume'!$A$3:$A$285,"&lt;="&amp;B24)</f>
        <v>71.5</v>
      </c>
      <c r="E24">
        <f>SUMIFS('Liquid Volume'!$F$3:$F$285,'Liquid Volume'!$A$3:$A$285,"&gt;"&amp;B23,'Liquid Volume'!$A$3:$A$285,"&lt;="&amp;B24)</f>
        <v>184</v>
      </c>
      <c r="F24">
        <f>TSS_VSS!D17</f>
        <v>1530</v>
      </c>
      <c r="G24">
        <f>TSS_VSS!F17</f>
        <v>110</v>
      </c>
      <c r="H24">
        <f>TSS_VSS!H17</f>
        <v>0</v>
      </c>
      <c r="I24">
        <f>TSS_VSS!E17</f>
        <v>1319</v>
      </c>
      <c r="J24">
        <f>TSS_VSS!G17</f>
        <v>78</v>
      </c>
      <c r="K24">
        <f>TSS_VSS!I17</f>
        <v>0</v>
      </c>
      <c r="L24">
        <f t="shared" si="1"/>
        <v>358</v>
      </c>
      <c r="M24" s="53">
        <f t="shared" si="2"/>
        <v>516.56424581005592</v>
      </c>
      <c r="N24" s="39">
        <f t="shared" si="3"/>
        <v>6.9805555555576575</v>
      </c>
      <c r="O24" s="39">
        <f t="shared" si="4"/>
        <v>51.285316354938793</v>
      </c>
      <c r="P24" s="39">
        <f t="shared" si="0"/>
        <v>25.988820094097477</v>
      </c>
      <c r="Q24" s="39">
        <f t="shared" si="5"/>
        <v>8.7744413407847652</v>
      </c>
      <c r="R24" s="39">
        <f t="shared" si="6"/>
        <v>7.6519285806081889</v>
      </c>
      <c r="S24" s="53">
        <f t="shared" si="7"/>
        <v>3.561480302426305E-2</v>
      </c>
      <c r="T24" s="53">
        <f t="shared" si="8"/>
        <v>4.0839377512219534E-2</v>
      </c>
    </row>
    <row r="25" spans="1:21" x14ac:dyDescent="0.3">
      <c r="A25" s="44">
        <f>TSS_VSS!A18</f>
        <v>45538.602777777778</v>
      </c>
      <c r="B25" s="39">
        <f>TSS_VSS!B18</f>
        <v>112.07361111111095</v>
      </c>
      <c r="C25">
        <f>SUMIFS('Liquid Volume'!$D$3:$D$285,'Liquid Volume'!$A$3:$A$285,"&gt;"&amp;B24,'Liquid Volume'!$A$3:$A$285,"&lt;="&amp;B25)</f>
        <v>107</v>
      </c>
      <c r="D25">
        <f>SUMIFS('Liquid Volume'!$E$3:$E$285,'Liquid Volume'!$A$3:$A$285,"&gt;"&amp;B24,'Liquid Volume'!$A$3:$A$285,"&lt;="&amp;B25)</f>
        <v>20</v>
      </c>
      <c r="E25">
        <f>SUMIFS('Liquid Volume'!$F$3:$F$285,'Liquid Volume'!$A$3:$A$285,"&gt;"&amp;B24,'Liquid Volume'!$A$3:$A$285,"&lt;="&amp;B25)</f>
        <v>248</v>
      </c>
      <c r="F25">
        <f>TSS_VSS!D18</f>
        <v>1441</v>
      </c>
      <c r="G25">
        <f>TSS_VSS!F18</f>
        <v>118</v>
      </c>
      <c r="H25">
        <f>TSS_VSS!H18</f>
        <v>0</v>
      </c>
      <c r="I25">
        <f>TSS_VSS!E18</f>
        <v>1244</v>
      </c>
      <c r="J25">
        <f>TSS_VSS!G18</f>
        <v>82</v>
      </c>
      <c r="K25">
        <f>TSS_VSS!I18</f>
        <v>0</v>
      </c>
      <c r="L25">
        <f t="shared" si="1"/>
        <v>375</v>
      </c>
      <c r="M25" s="53">
        <f t="shared" si="2"/>
        <v>495.49599999999998</v>
      </c>
      <c r="N25" s="39">
        <f t="shared" si="3"/>
        <v>8.0305555555532919</v>
      </c>
      <c r="O25" s="39">
        <f t="shared" si="4"/>
        <v>46.696644759611921</v>
      </c>
      <c r="P25" s="39">
        <f t="shared" si="0"/>
        <v>28.025325465115259</v>
      </c>
      <c r="Q25" s="39">
        <f t="shared" si="5"/>
        <v>9.6366666666639489</v>
      </c>
      <c r="R25" s="39">
        <f t="shared" si="6"/>
        <v>6.06488301789416</v>
      </c>
      <c r="S25" s="53">
        <f t="shared" si="7"/>
        <v>3.2428225527508278E-2</v>
      </c>
      <c r="T25" s="53">
        <f t="shared" si="8"/>
        <v>5.152613810983378E-2</v>
      </c>
      <c r="U25" t="s">
        <v>469</v>
      </c>
    </row>
    <row r="26" spans="1:21" x14ac:dyDescent="0.3">
      <c r="A26" s="44">
        <f>TSS_VSS!A20</f>
        <v>45551.529861111114</v>
      </c>
      <c r="B26" s="39">
        <f>TSS_VSS!B20</f>
        <v>125.00069444444671</v>
      </c>
      <c r="C26">
        <f>SUMIFS('Liquid Volume'!$D$3:$D$285,'Liquid Volume'!$A$3:$A$285,"&gt;"&amp;B25,'Liquid Volume'!$A$3:$A$285,"&lt;="&amp;B26)</f>
        <v>184</v>
      </c>
      <c r="D26">
        <f>SUMIFS('Liquid Volume'!$E$3:$E$285,'Liquid Volume'!$A$3:$A$285,"&gt;"&amp;B25,'Liquid Volume'!$A$3:$A$285,"&lt;="&amp;B26)</f>
        <v>31</v>
      </c>
      <c r="E26">
        <f>SUMIFS('Liquid Volume'!$F$3:$F$285,'Liquid Volume'!$A$3:$A$285,"&gt;"&amp;B25,'Liquid Volume'!$A$3:$A$285,"&lt;="&amp;B26)</f>
        <v>1065</v>
      </c>
      <c r="F26">
        <f>TSS_VSS!D20</f>
        <v>404</v>
      </c>
      <c r="G26">
        <f>TSS_VSS!F20</f>
        <v>132</v>
      </c>
      <c r="H26">
        <f>TSS_VSS!H20</f>
        <v>0</v>
      </c>
      <c r="I26">
        <f>TSS_VSS!E20</f>
        <v>302</v>
      </c>
      <c r="J26">
        <f>TSS_VSS!G20</f>
        <v>99</v>
      </c>
      <c r="K26">
        <f>TSS_VSS!I20</f>
        <v>0</v>
      </c>
      <c r="L26">
        <f t="shared" si="1"/>
        <v>1280</v>
      </c>
      <c r="M26" s="53">
        <f>(((C26*F26)+SUM(D26:E26)*SUM(G26:H26))/L26)</f>
        <v>171.1</v>
      </c>
      <c r="N26" s="39">
        <f t="shared" ref="N26:N29" si="10">A26-A25</f>
        <v>12.927083333335759</v>
      </c>
      <c r="O26" s="39">
        <f t="shared" ref="O26:O29" si="11">L26/(N26)</f>
        <v>99.016921837209466</v>
      </c>
      <c r="P26" s="39">
        <f t="shared" ref="P26:P29" si="12">$C$10*F26/(O26*M26)</f>
        <v>10.730858005189038</v>
      </c>
      <c r="Q26" s="39">
        <f t="shared" ref="Q26:Q29" si="13">$C$10/O26</f>
        <v>4.5446777343758527</v>
      </c>
      <c r="R26" s="39">
        <f t="shared" si="6"/>
        <v>4.0809696192025973</v>
      </c>
      <c r="S26" s="53">
        <f t="shared" si="7"/>
        <v>6.8761751275839902E-2</v>
      </c>
      <c r="T26" s="53">
        <f t="shared" si="8"/>
        <v>7.6574939085447311E-2</v>
      </c>
    </row>
    <row r="27" spans="1:21" x14ac:dyDescent="0.3">
      <c r="A27" s="44">
        <f>TSS_VSS!A21</f>
        <v>45558.526388888888</v>
      </c>
      <c r="B27" s="39">
        <f>TSS_VSS!B21</f>
        <v>131.99722222222044</v>
      </c>
      <c r="C27">
        <f>SUMIFS('Liquid Volume'!$D$3:$D$285,'Liquid Volume'!$A$3:$A$285,"&gt;"&amp;B26,'Liquid Volume'!$A$3:$A$285,"&lt;="&amp;B27)</f>
        <v>83.5</v>
      </c>
      <c r="D27">
        <f>SUMIFS('Liquid Volume'!$E$3:$E$285,'Liquid Volume'!$A$3:$A$285,"&gt;"&amp;B26,'Liquid Volume'!$A$3:$A$285,"&lt;="&amp;B27)</f>
        <v>93</v>
      </c>
      <c r="E27">
        <f>SUMIFS('Liquid Volume'!$F$3:$F$285,'Liquid Volume'!$A$3:$A$285,"&gt;"&amp;B26,'Liquid Volume'!$A$3:$A$285,"&lt;="&amp;B27)</f>
        <v>608</v>
      </c>
      <c r="F27">
        <f>TSS_VSS!D21</f>
        <v>662</v>
      </c>
      <c r="G27">
        <f>TSS_VSS!F21</f>
        <v>54</v>
      </c>
      <c r="H27">
        <f>TSS_VSS!H21</f>
        <v>0</v>
      </c>
      <c r="I27">
        <f>TSS_VSS!E21</f>
        <v>544</v>
      </c>
      <c r="J27">
        <f>TSS_VSS!G21</f>
        <v>34</v>
      </c>
      <c r="K27">
        <f>TSS_VSS!I21</f>
        <v>0</v>
      </c>
      <c r="L27">
        <f t="shared" si="1"/>
        <v>784.5</v>
      </c>
      <c r="M27" s="53">
        <f t="shared" si="2"/>
        <v>118.71383046526449</v>
      </c>
      <c r="N27" s="39">
        <f t="shared" si="10"/>
        <v>6.9965277777737356</v>
      </c>
      <c r="O27" s="39">
        <f t="shared" si="11"/>
        <v>112.12704714646677</v>
      </c>
      <c r="P27" s="39">
        <f t="shared" si="12"/>
        <v>22.37993391028547</v>
      </c>
      <c r="Q27" s="39">
        <f t="shared" si="13"/>
        <v>4.0133046526426783</v>
      </c>
      <c r="R27" s="39">
        <f t="shared" si="6"/>
        <v>3.7771642058281323</v>
      </c>
      <c r="S27" s="53">
        <f t="shared" si="7"/>
        <v>7.7866004962824142E-2</v>
      </c>
      <c r="T27" s="53">
        <f t="shared" si="8"/>
        <v>8.2734025573422298E-2</v>
      </c>
    </row>
    <row r="28" spans="1:21" x14ac:dyDescent="0.3">
      <c r="A28" s="44">
        <f>TSS_VSS!A22</f>
        <v>45565.486805555556</v>
      </c>
      <c r="B28" s="39">
        <f>TSS_VSS!B22</f>
        <v>138.95763888888905</v>
      </c>
      <c r="C28">
        <f>SUMIFS('Liquid Volume'!$D$3:$D$285,'Liquid Volume'!$A$3:$A$285,"&gt;"&amp;B27,'Liquid Volume'!$A$3:$A$285,"&lt;="&amp;B28)</f>
        <v>93</v>
      </c>
      <c r="D28">
        <f>SUMIFS('Liquid Volume'!$E$3:$E$285,'Liquid Volume'!$A$3:$A$285,"&gt;"&amp;B27,'Liquid Volume'!$A$3:$A$285,"&lt;="&amp;B28)</f>
        <v>87</v>
      </c>
      <c r="E28">
        <f>SUMIFS('Liquid Volume'!$F$3:$F$285,'Liquid Volume'!$A$3:$A$285,"&gt;"&amp;B27,'Liquid Volume'!$A$3:$A$285,"&lt;="&amp;B28)</f>
        <v>670</v>
      </c>
      <c r="F28">
        <f>TSS_VSS!D22</f>
        <v>300</v>
      </c>
      <c r="G28">
        <f>TSS_VSS!F22</f>
        <v>42</v>
      </c>
      <c r="H28">
        <f>TSS_VSS!H22</f>
        <v>0</v>
      </c>
      <c r="I28">
        <f>TSS_VSS!E22</f>
        <v>220</v>
      </c>
      <c r="J28">
        <f>TSS_VSS!G22</f>
        <v>33</v>
      </c>
      <c r="K28">
        <f>TSS_VSS!I22</f>
        <v>0</v>
      </c>
      <c r="L28">
        <f t="shared" si="1"/>
        <v>850</v>
      </c>
      <c r="M28" s="53">
        <f t="shared" si="2"/>
        <v>70.228235294117653</v>
      </c>
      <c r="N28" s="39">
        <f t="shared" si="10"/>
        <v>6.9604166666686069</v>
      </c>
      <c r="O28" s="39">
        <f t="shared" si="11"/>
        <v>122.11912601014255</v>
      </c>
      <c r="P28" s="39">
        <f t="shared" si="12"/>
        <v>15.741217710327033</v>
      </c>
      <c r="Q28" s="39">
        <f t="shared" si="13"/>
        <v>3.6849264705892626</v>
      </c>
      <c r="R28" s="39">
        <f t="shared" si="6"/>
        <v>3.5173066919182592</v>
      </c>
      <c r="S28" s="53">
        <f t="shared" si="7"/>
        <v>8.4804948618154546E-2</v>
      </c>
      <c r="T28" s="53">
        <f t="shared" si="8"/>
        <v>8.8846389403014939E-2</v>
      </c>
    </row>
    <row r="29" spans="1:21" x14ac:dyDescent="0.3">
      <c r="A29" s="44">
        <f>TSS_VSS!A23</f>
        <v>45572.511111111111</v>
      </c>
      <c r="B29" s="39">
        <f>TSS_VSS!B23</f>
        <v>145.9819444444438</v>
      </c>
      <c r="C29">
        <f>SUMIFS('Liquid Volume'!$D$3:$D$285,'Liquid Volume'!$A$3:$A$285,"&gt;"&amp;B28,'Liquid Volume'!$A$3:$A$285,"&lt;="&amp;B29)</f>
        <v>92</v>
      </c>
      <c r="D29">
        <f>SUMIFS('Liquid Volume'!$E$3:$E$285,'Liquid Volume'!$A$3:$A$285,"&gt;"&amp;B28,'Liquid Volume'!$A$3:$A$285,"&lt;="&amp;B29)</f>
        <v>63</v>
      </c>
      <c r="E29">
        <f>SUMIFS('Liquid Volume'!$F$3:$F$285,'Liquid Volume'!$A$3:$A$285,"&gt;"&amp;B28,'Liquid Volume'!$A$3:$A$285,"&lt;="&amp;B29)</f>
        <v>715</v>
      </c>
      <c r="F29">
        <f>TSS_VSS!D23</f>
        <v>271</v>
      </c>
      <c r="G29">
        <f>TSS_VSS!F23</f>
        <v>87</v>
      </c>
      <c r="H29">
        <f>TSS_VSS!H23</f>
        <v>0</v>
      </c>
      <c r="I29">
        <f>TSS_VSS!E23</f>
        <v>209</v>
      </c>
      <c r="J29">
        <f>TSS_VSS!G23</f>
        <v>61</v>
      </c>
      <c r="K29">
        <f>TSS_VSS!I23</f>
        <v>0</v>
      </c>
      <c r="L29">
        <f t="shared" si="1"/>
        <v>870</v>
      </c>
      <c r="M29" s="53">
        <f t="shared" si="2"/>
        <v>106.45747126436781</v>
      </c>
      <c r="N29" s="39">
        <f t="shared" si="10"/>
        <v>7.0243055555547471</v>
      </c>
      <c r="O29" s="39">
        <f t="shared" si="11"/>
        <v>123.85565991103749</v>
      </c>
      <c r="P29" s="39">
        <f t="shared" si="12"/>
        <v>9.2488939784912372</v>
      </c>
      <c r="Q29" s="39">
        <f t="shared" si="13"/>
        <v>3.6332614942524555</v>
      </c>
      <c r="R29" s="39">
        <f t="shared" si="6"/>
        <v>3.2716521551589413</v>
      </c>
      <c r="S29" s="53">
        <f t="shared" si="7"/>
        <v>8.6010874938220475E-2</v>
      </c>
      <c r="T29" s="53">
        <f t="shared" si="8"/>
        <v>9.5517489384447818E-2</v>
      </c>
    </row>
    <row r="30" spans="1:21" x14ac:dyDescent="0.3">
      <c r="A30" s="44">
        <f>TSS_VSS!A24</f>
        <v>45580.545138888891</v>
      </c>
      <c r="B30" s="39">
        <f>TSS_VSS!B24</f>
        <v>154.01597222222335</v>
      </c>
      <c r="C30">
        <f>SUMIFS('Liquid Volume'!$D$3:$D$285,'Liquid Volume'!$A$3:$A$285,"&gt;"&amp;B29,'Liquid Volume'!$A$3:$A$285,"&lt;="&amp;B30)</f>
        <v>126</v>
      </c>
      <c r="D30">
        <f>SUMIFS('Liquid Volume'!$E$3:$E$285,'Liquid Volume'!$A$3:$A$285,"&gt;"&amp;B29,'Liquid Volume'!$A$3:$A$285,"&lt;="&amp;B30)</f>
        <v>47</v>
      </c>
      <c r="E30">
        <f>SUMIFS('Liquid Volume'!$F$3:$F$285,'Liquid Volume'!$A$3:$A$285,"&gt;"&amp;B29,'Liquid Volume'!$A$3:$A$285,"&lt;="&amp;B30)</f>
        <v>945</v>
      </c>
      <c r="F30">
        <f>TSS_VSS!D24</f>
        <v>440</v>
      </c>
      <c r="G30">
        <f>TSS_VSS!F24</f>
        <v>251</v>
      </c>
      <c r="H30">
        <f>TSS_VSS!H24</f>
        <v>0</v>
      </c>
      <c r="I30">
        <f>TSS_VSS!E24</f>
        <v>356</v>
      </c>
      <c r="J30">
        <f>TSS_VSS!G24</f>
        <v>216</v>
      </c>
      <c r="K30">
        <f>TSS_VSS!I24</f>
        <v>0</v>
      </c>
      <c r="L30">
        <f t="shared" si="1"/>
        <v>1118</v>
      </c>
      <c r="M30" s="53">
        <f t="shared" si="2"/>
        <v>272.30053667262968</v>
      </c>
      <c r="N30" s="39">
        <f t="shared" ref="N30:N52" si="14">A30-A29</f>
        <v>8.0340277777795563</v>
      </c>
      <c r="O30" s="39">
        <f t="shared" ref="O30:O32" si="15">L30/(N30)</f>
        <v>139.1580949087772</v>
      </c>
      <c r="P30" s="39">
        <f t="shared" ref="P30:P32" si="16">$C$10*F30/(O30*M30)</f>
        <v>5.2252637699070803</v>
      </c>
      <c r="Q30" s="39">
        <f t="shared" ref="Q30:Q32" si="17">$C$10/O30</f>
        <v>3.2337321109130595</v>
      </c>
      <c r="R30" s="39">
        <f t="shared" si="6"/>
        <v>3.0843515542138089</v>
      </c>
      <c r="S30" s="53">
        <f t="shared" si="7"/>
        <v>9.6637565908873055E-2</v>
      </c>
      <c r="T30" s="53">
        <f t="shared" si="8"/>
        <v>0.10131789275871156</v>
      </c>
    </row>
    <row r="31" spans="1:21" x14ac:dyDescent="0.3">
      <c r="A31" s="44">
        <f>TSS_VSS!A25</f>
        <v>45586.45416666667</v>
      </c>
      <c r="B31" s="39">
        <f>TSS_VSS!B25</f>
        <v>159.92500000000291</v>
      </c>
      <c r="C31">
        <f>SUMIFS('Liquid Volume'!$D$3:$D$285,'Liquid Volume'!$A$3:$A$285,"&gt;"&amp;B30,'Liquid Volume'!$A$3:$A$285,"&lt;="&amp;B31)</f>
        <v>69</v>
      </c>
      <c r="D31">
        <f>SUMIFS('Liquid Volume'!$E$3:$E$285,'Liquid Volume'!$A$3:$A$285,"&gt;"&amp;B30,'Liquid Volume'!$A$3:$A$285,"&lt;="&amp;B31)</f>
        <v>63</v>
      </c>
      <c r="E31">
        <f>SUMIFS('Liquid Volume'!$F$3:$F$285,'Liquid Volume'!$A$3:$A$285,"&gt;"&amp;B30,'Liquid Volume'!$A$3:$A$285,"&lt;="&amp;B31)</f>
        <v>770</v>
      </c>
      <c r="F31">
        <f>TSS_VSS!D25</f>
        <v>473</v>
      </c>
      <c r="G31">
        <f>TSS_VSS!F25</f>
        <v>122</v>
      </c>
      <c r="H31">
        <f>TSS_VSS!H25</f>
        <v>0</v>
      </c>
      <c r="I31">
        <f>TSS_VSS!E25</f>
        <v>376</v>
      </c>
      <c r="J31">
        <f>TSS_VSS!G25</f>
        <v>106</v>
      </c>
      <c r="K31">
        <f>TSS_VSS!I25</f>
        <v>0</v>
      </c>
      <c r="L31">
        <f t="shared" si="1"/>
        <v>902</v>
      </c>
      <c r="M31" s="53">
        <f t="shared" si="2"/>
        <v>148.85033259423503</v>
      </c>
      <c r="N31" s="39">
        <f t="shared" si="14"/>
        <v>5.9090277777795563</v>
      </c>
      <c r="O31" s="39">
        <f t="shared" si="15"/>
        <v>152.64778469850853</v>
      </c>
      <c r="P31" s="39">
        <f t="shared" si="16"/>
        <v>9.3677078755902858</v>
      </c>
      <c r="Q31" s="39">
        <f t="shared" si="17"/>
        <v>2.9479628603113084</v>
      </c>
      <c r="R31" s="39">
        <f t="shared" si="6"/>
        <v>3.7136732353996948</v>
      </c>
      <c r="S31" s="53">
        <f t="shared" si="7"/>
        <v>0.10600540604063093</v>
      </c>
      <c r="T31" s="53">
        <f t="shared" si="8"/>
        <v>8.4148491316136567E-2</v>
      </c>
    </row>
    <row r="32" spans="1:21" x14ac:dyDescent="0.3">
      <c r="A32" s="44">
        <f>TSS_VSS!A26</f>
        <v>45593.531944444447</v>
      </c>
      <c r="B32" s="39">
        <f>TSS_VSS!B26</f>
        <v>167.00277777777956</v>
      </c>
      <c r="C32">
        <f>SUMIFS('Liquid Volume'!$D$3:$D$285,'Liquid Volume'!$A$3:$A$285,"&gt;"&amp;B31,'Liquid Volume'!$A$3:$A$285,"&lt;="&amp;B32)</f>
        <v>119</v>
      </c>
      <c r="D32">
        <f>SUMIFS('Liquid Volume'!$E$3:$E$285,'Liquid Volume'!$A$3:$A$285,"&gt;"&amp;B31,'Liquid Volume'!$A$3:$A$285,"&lt;="&amp;B32)</f>
        <v>58</v>
      </c>
      <c r="E32">
        <f>SUMIFS('Liquid Volume'!$F$3:$F$285,'Liquid Volume'!$A$3:$A$285,"&gt;"&amp;B31,'Liquid Volume'!$A$3:$A$285,"&lt;="&amp;B32)</f>
        <v>860</v>
      </c>
      <c r="F32">
        <f>TSS_VSS!D26</f>
        <v>340</v>
      </c>
      <c r="G32">
        <f>TSS_VSS!F26</f>
        <v>181</v>
      </c>
      <c r="H32">
        <f>TSS_VSS!H26</f>
        <v>0</v>
      </c>
      <c r="I32">
        <f>TSS_VSS!E26</f>
        <v>269</v>
      </c>
      <c r="J32">
        <f>TSS_VSS!G26</f>
        <v>142</v>
      </c>
      <c r="K32">
        <f>TSS_VSS!I26</f>
        <v>0</v>
      </c>
      <c r="L32">
        <f t="shared" si="1"/>
        <v>1037</v>
      </c>
      <c r="M32" s="53">
        <f t="shared" si="2"/>
        <v>199.24590163934425</v>
      </c>
      <c r="N32" s="39">
        <f t="shared" si="14"/>
        <v>7.077777777776646</v>
      </c>
      <c r="O32" s="39">
        <f t="shared" si="15"/>
        <v>146.51491365779424</v>
      </c>
      <c r="P32" s="39">
        <f t="shared" si="16"/>
        <v>5.2410728978105823</v>
      </c>
      <c r="Q32" s="39">
        <f t="shared" si="17"/>
        <v>3.0713596914170593</v>
      </c>
      <c r="R32" s="39">
        <f t="shared" si="6"/>
        <v>3.739067278751405</v>
      </c>
      <c r="S32" s="53">
        <f t="shared" si="7"/>
        <v>0.10174646781791266</v>
      </c>
      <c r="T32" s="53">
        <f t="shared" si="8"/>
        <v>8.3576993058106674E-2</v>
      </c>
      <c r="U32" t="s">
        <v>470</v>
      </c>
    </row>
    <row r="33" spans="1:27" x14ac:dyDescent="0.3">
      <c r="A33" s="44">
        <f>TSS_VSS!A28</f>
        <v>45607.53125</v>
      </c>
      <c r="B33" s="39">
        <f>TSS_VSS!B28</f>
        <v>181.00208333333285</v>
      </c>
      <c r="C33">
        <f>SUMIFS('Liquid Volume'!$D$3:$D$285,'Liquid Volume'!$A$3:$A$285,"&gt;"&amp;B32,'Liquid Volume'!$A$3:$A$285,"&lt;="&amp;B33)</f>
        <v>209</v>
      </c>
      <c r="D33">
        <f>SUMIFS('Liquid Volume'!$E$3:$E$285,'Liquid Volume'!$A$3:$A$285,"&gt;"&amp;B32,'Liquid Volume'!$A$3:$A$285,"&lt;="&amp;B33)</f>
        <v>131</v>
      </c>
      <c r="E33">
        <f>SUMIFS('Liquid Volume'!$F$3:$F$285,'Liquid Volume'!$A$3:$A$285,"&gt;"&amp;B32,'Liquid Volume'!$A$3:$A$285,"&lt;="&amp;B33)</f>
        <v>890</v>
      </c>
      <c r="F33">
        <f>TSS_VSS!D28</f>
        <v>542</v>
      </c>
      <c r="G33">
        <f>TSS_VSS!F28</f>
        <v>126</v>
      </c>
      <c r="H33">
        <f>TSS_VSS!H28</f>
        <v>0</v>
      </c>
      <c r="I33">
        <f>TSS_VSS!E28</f>
        <v>424</v>
      </c>
      <c r="J33">
        <f>TSS_VSS!G28</f>
        <v>87</v>
      </c>
      <c r="K33">
        <f>TSS_VSS!I28</f>
        <v>0</v>
      </c>
      <c r="L33">
        <f>SUM(C33:E33)</f>
        <v>1230</v>
      </c>
      <c r="M33" s="53">
        <f t="shared" si="2"/>
        <v>196.68617886178862</v>
      </c>
      <c r="N33" s="39">
        <f t="shared" ref="N33:N37" si="18">A33-A32</f>
        <v>13.999305555553292</v>
      </c>
      <c r="O33" s="39">
        <f t="shared" ref="O33:O37" si="19">L33/(N33)</f>
        <v>87.861501066535368</v>
      </c>
      <c r="P33" s="39">
        <f t="shared" ref="P33:P37" si="20">$C$10*F33/(O33*M33)</f>
        <v>14.113649844577006</v>
      </c>
      <c r="Q33" s="39">
        <f t="shared" ref="Q33:Q37" si="21">$C$10/O33</f>
        <v>5.1216971544707164</v>
      </c>
      <c r="R33" s="39">
        <f t="shared" si="6"/>
        <v>3.8630472724421323</v>
      </c>
      <c r="S33" s="53">
        <f t="shared" si="7"/>
        <v>6.1014931296205117E-2</v>
      </c>
      <c r="T33" s="53">
        <f t="shared" si="8"/>
        <v>8.0894687007659741E-2</v>
      </c>
    </row>
    <row r="34" spans="1:27" x14ac:dyDescent="0.3">
      <c r="A34" s="44">
        <f>TSS_VSS!A29</f>
        <v>45614.506944444445</v>
      </c>
      <c r="B34" s="39">
        <f>TSS_VSS!B29</f>
        <v>187.9777777777781</v>
      </c>
      <c r="C34">
        <f>SUMIFS('Liquid Volume'!$D$3:$D$285,'Liquid Volume'!$A$3:$A$285,"&gt;"&amp;B33,'Liquid Volume'!$A$3:$A$285,"&lt;="&amp;B34)</f>
        <v>108</v>
      </c>
      <c r="D34">
        <f>SUMIFS('Liquid Volume'!$E$3:$E$285,'Liquid Volume'!$A$3:$A$285,"&gt;"&amp;B33,'Liquid Volume'!$A$3:$A$285,"&lt;="&amp;B34)</f>
        <v>60</v>
      </c>
      <c r="E34">
        <f>SUMIFS('Liquid Volume'!$F$3:$F$285,'Liquid Volume'!$A$3:$A$285,"&gt;"&amp;B33,'Liquid Volume'!$A$3:$A$285,"&lt;="&amp;B34)</f>
        <v>870</v>
      </c>
      <c r="F34">
        <f>TSS_VSS!D29</f>
        <v>247</v>
      </c>
      <c r="G34">
        <f>TSS_VSS!F29</f>
        <v>86</v>
      </c>
      <c r="H34">
        <f>TSS_VSS!H29</f>
        <v>0</v>
      </c>
      <c r="I34">
        <f>TSS_VSS!E29</f>
        <v>176</v>
      </c>
      <c r="J34">
        <f>TSS_VSS!G29</f>
        <v>58</v>
      </c>
      <c r="K34">
        <f>TSS_VSS!I29</f>
        <v>0</v>
      </c>
      <c r="L34">
        <f>SUM(C34:E34)</f>
        <v>1038</v>
      </c>
      <c r="M34" s="53">
        <f t="shared" si="2"/>
        <v>102.7514450867052</v>
      </c>
      <c r="N34" s="39">
        <f t="shared" si="18"/>
        <v>6.9756944444452529</v>
      </c>
      <c r="O34" s="39">
        <f t="shared" si="19"/>
        <v>148.80238924836505</v>
      </c>
      <c r="P34" s="39">
        <f t="shared" si="20"/>
        <v>7.2696185634196837</v>
      </c>
      <c r="Q34" s="39">
        <f t="shared" si="21"/>
        <v>3.0241449903664388</v>
      </c>
      <c r="R34" s="39">
        <f t="shared" si="6"/>
        <v>3.9394714362414227</v>
      </c>
      <c r="S34" s="53">
        <f t="shared" si="7"/>
        <v>0.10333499253358684</v>
      </c>
      <c r="T34" s="53">
        <f t="shared" si="8"/>
        <v>7.9325362566443819E-2</v>
      </c>
    </row>
    <row r="35" spans="1:27" x14ac:dyDescent="0.3">
      <c r="A35" s="44">
        <f>TSS_VSS!A30</f>
        <v>45621.515972222223</v>
      </c>
      <c r="B35" s="39">
        <f>TSS_VSS!B30</f>
        <v>194.9868055555562</v>
      </c>
      <c r="C35">
        <f>SUMIFS('Liquid Volume'!$D$3:$D$285,'Liquid Volume'!$A$3:$A$285,"&gt;"&amp;B34,'Liquid Volume'!$A$3:$A$285,"&lt;="&amp;B35)</f>
        <v>104</v>
      </c>
      <c r="D35">
        <f>SUMIFS('Liquid Volume'!$E$3:$E$285,'Liquid Volume'!$A$3:$A$285,"&gt;"&amp;B34,'Liquid Volume'!$A$3:$A$285,"&lt;="&amp;B35)</f>
        <v>62</v>
      </c>
      <c r="E35">
        <f>SUMIFS('Liquid Volume'!$F$3:$F$285,'Liquid Volume'!$A$3:$A$285,"&gt;"&amp;B34,'Liquid Volume'!$A$3:$A$285,"&lt;="&amp;B35)</f>
        <v>750</v>
      </c>
      <c r="F35">
        <f>TSS_VSS!D30</f>
        <v>216</v>
      </c>
      <c r="G35">
        <f>TSS_VSS!F30</f>
        <v>82</v>
      </c>
      <c r="H35">
        <f>TSS_VSS!H30</f>
        <v>0</v>
      </c>
      <c r="I35">
        <f>TSS_VSS!E30</f>
        <v>167</v>
      </c>
      <c r="J35">
        <f>TSS_VSS!G30</f>
        <v>66</v>
      </c>
      <c r="K35">
        <f>TSS_VSS!I30</f>
        <v>0</v>
      </c>
      <c r="L35">
        <f>SUM(C35:E35)</f>
        <v>916</v>
      </c>
      <c r="M35" s="53">
        <f>(((C35*F35)+SUM(D35:E35)*SUM(G35:H35))/L35)</f>
        <v>97.213973799126634</v>
      </c>
      <c r="N35" s="39">
        <f t="shared" si="18"/>
        <v>7.0090277777781012</v>
      </c>
      <c r="O35" s="39">
        <f t="shared" si="19"/>
        <v>130.68859605666691</v>
      </c>
      <c r="P35" s="39">
        <f t="shared" si="20"/>
        <v>7.6506771628788011</v>
      </c>
      <c r="Q35" s="39">
        <f t="shared" si="21"/>
        <v>3.4432996724892417</v>
      </c>
      <c r="R35" s="39">
        <f t="shared" si="6"/>
        <v>4.9321414969242925</v>
      </c>
      <c r="S35" s="53">
        <f t="shared" si="7"/>
        <v>9.0755969483796467E-2</v>
      </c>
      <c r="T35" s="53">
        <f t="shared" si="8"/>
        <v>6.3359901615733558E-2</v>
      </c>
      <c r="W35" s="2">
        <v>45530.461805555555</v>
      </c>
      <c r="X35" s="2">
        <v>45531.5625</v>
      </c>
      <c r="Z35">
        <f>X35-W35</f>
        <v>1.1006944444452529</v>
      </c>
      <c r="AA35">
        <f>Z35*1440</f>
        <v>1585.0000000011642</v>
      </c>
    </row>
    <row r="36" spans="1:27" x14ac:dyDescent="0.3">
      <c r="A36" s="44">
        <f>TSS_VSS!A31</f>
        <v>45628.567361111112</v>
      </c>
      <c r="B36" s="39">
        <f>TSS_VSS!B31</f>
        <v>202.03819444444525</v>
      </c>
      <c r="C36">
        <f>SUMIFS('Liquid Volume'!$D$3:$D$285,'Liquid Volume'!$A$3:$A$285,"&gt;"&amp;B35,'Liquid Volume'!$A$3:$A$285,"&lt;="&amp;B36)</f>
        <v>76</v>
      </c>
      <c r="D36">
        <f>SUMIFS('Liquid Volume'!$E$3:$E$285,'Liquid Volume'!$A$3:$A$285,"&gt;"&amp;B35,'Liquid Volume'!$A$3:$A$285,"&lt;="&amp;B36)</f>
        <v>47</v>
      </c>
      <c r="E36">
        <f>SUMIFS('Liquid Volume'!$F$3:$F$285,'Liquid Volume'!$A$3:$A$285,"&gt;"&amp;B35,'Liquid Volume'!$A$3:$A$285,"&lt;="&amp;B36)</f>
        <v>470</v>
      </c>
      <c r="F36">
        <f>TSS_VSS!D31</f>
        <v>1224</v>
      </c>
      <c r="G36">
        <f>TSS_VSS!F31</f>
        <v>303</v>
      </c>
      <c r="H36">
        <f>TSS_VSS!H31</f>
        <v>0</v>
      </c>
      <c r="I36" t="str">
        <f>TSS_VSS!E31</f>
        <v>1089</v>
      </c>
      <c r="J36">
        <f>TSS_VSS!G31</f>
        <v>278</v>
      </c>
      <c r="K36">
        <f>TSS_VSS!I31</f>
        <v>0</v>
      </c>
      <c r="L36">
        <f t="shared" ref="L36:L52" si="22">SUM(C36:E36)</f>
        <v>593</v>
      </c>
      <c r="M36" s="53">
        <f t="shared" ref="M36:M52" si="23">(((C36*F36)+SUM(D36:E36)*SUM(G36:H36))/L36)</f>
        <v>421.03709949409779</v>
      </c>
      <c r="N36" s="39">
        <f t="shared" si="18"/>
        <v>7.0513888888890506</v>
      </c>
      <c r="O36" s="39">
        <f t="shared" si="19"/>
        <v>84.096907622609848</v>
      </c>
      <c r="P36" s="39">
        <f t="shared" si="20"/>
        <v>15.555842595374342</v>
      </c>
      <c r="Q36" s="39">
        <f t="shared" si="21"/>
        <v>5.350969645868588</v>
      </c>
      <c r="R36" s="39">
        <f t="shared" si="6"/>
        <v>5.0372442009042562</v>
      </c>
      <c r="S36" s="53">
        <f t="shared" si="7"/>
        <v>5.8400630293479062E-2</v>
      </c>
      <c r="T36" s="53">
        <f t="shared" si="8"/>
        <v>6.2037889674656205E-2</v>
      </c>
    </row>
    <row r="37" spans="1:27" x14ac:dyDescent="0.3">
      <c r="A37" s="44">
        <f>TSS_VSS!A32</f>
        <v>45635.529861111114</v>
      </c>
      <c r="B37" s="39">
        <f>TSS_VSS!B32</f>
        <v>209.00069444444671</v>
      </c>
      <c r="C37">
        <f>SUMIFS('Liquid Volume'!$D$3:$D$285,'Liquid Volume'!$A$3:$A$285,"&gt;"&amp;B36,'Liquid Volume'!$A$3:$A$285,"&lt;="&amp;B37)</f>
        <v>87</v>
      </c>
      <c r="D37">
        <f>SUMIFS('Liquid Volume'!$E$3:$E$285,'Liquid Volume'!$A$3:$A$285,"&gt;"&amp;B36,'Liquid Volume'!$A$3:$A$285,"&lt;="&amp;B37)</f>
        <v>115</v>
      </c>
      <c r="E37">
        <f>SUMIFS('Liquid Volume'!$F$3:$F$285,'Liquid Volume'!$A$3:$A$285,"&gt;"&amp;B36,'Liquid Volume'!$A$3:$A$285,"&lt;="&amp;B37)</f>
        <v>320</v>
      </c>
      <c r="F37">
        <f>TSS_VSS!D32</f>
        <v>1083</v>
      </c>
      <c r="G37">
        <f>TSS_VSS!F32</f>
        <v>0</v>
      </c>
      <c r="H37">
        <f>TSS_VSS!H32</f>
        <v>71</v>
      </c>
      <c r="I37" t="str">
        <f>TSS_VSS!E32</f>
        <v>874</v>
      </c>
      <c r="J37">
        <f>TSS_VSS!G32</f>
        <v>0</v>
      </c>
      <c r="K37">
        <f>TSS_VSS!I32</f>
        <v>51</v>
      </c>
      <c r="L37">
        <f t="shared" si="22"/>
        <v>522</v>
      </c>
      <c r="M37" s="53">
        <f t="shared" si="23"/>
        <v>239.66666666666666</v>
      </c>
      <c r="N37" s="39">
        <f t="shared" si="18"/>
        <v>6.9625000000014552</v>
      </c>
      <c r="O37" s="39">
        <f t="shared" si="19"/>
        <v>74.973070017937658</v>
      </c>
      <c r="P37" s="39">
        <f t="shared" si="20"/>
        <v>27.122395208868554</v>
      </c>
      <c r="Q37" s="39">
        <f t="shared" si="21"/>
        <v>6.0021551724150468</v>
      </c>
      <c r="R37" s="39">
        <f t="shared" si="6"/>
        <v>4.2349926109589662</v>
      </c>
      <c r="S37" s="53">
        <f t="shared" si="7"/>
        <v>5.2064631956901149E-2</v>
      </c>
      <c r="T37" s="53">
        <f t="shared" si="8"/>
        <v>7.3789975262610413E-2</v>
      </c>
    </row>
    <row r="38" spans="1:27" x14ac:dyDescent="0.3">
      <c r="A38" s="44">
        <f>TSS_VSS!A33</f>
        <v>45642.504166666666</v>
      </c>
      <c r="B38" s="39">
        <f>TSS_VSS!B33</f>
        <v>215.97499999999854</v>
      </c>
      <c r="C38">
        <f>SUMIFS('Liquid Volume'!$D$3:$D$285,'Liquid Volume'!$A$3:$A$285,"&gt;"&amp;B37,'Liquid Volume'!$A$3:$A$285,"&lt;="&amp;B38)</f>
        <v>88</v>
      </c>
      <c r="D38">
        <f>SUMIFS('Liquid Volume'!$E$3:$E$285,'Liquid Volume'!$A$3:$A$285,"&gt;"&amp;B37,'Liquid Volume'!$A$3:$A$285,"&lt;="&amp;B38)</f>
        <v>7</v>
      </c>
      <c r="E38">
        <f>SUMIFS('Liquid Volume'!$F$3:$F$285,'Liquid Volume'!$A$3:$A$285,"&gt;"&amp;B37,'Liquid Volume'!$A$3:$A$285,"&lt;="&amp;B38)</f>
        <v>740</v>
      </c>
      <c r="F38">
        <f>TSS_VSS!D33</f>
        <v>429</v>
      </c>
      <c r="G38">
        <f>TSS_VSS!F33</f>
        <v>210</v>
      </c>
      <c r="H38">
        <f>TSS_VSS!H33</f>
        <v>0</v>
      </c>
      <c r="I38">
        <f>TSS_VSS!E33</f>
        <v>331</v>
      </c>
      <c r="J38">
        <f>TSS_VSS!G33</f>
        <v>168</v>
      </c>
      <c r="K38">
        <f>TSS_VSS!I33</f>
        <v>0</v>
      </c>
      <c r="L38">
        <f t="shared" si="22"/>
        <v>835</v>
      </c>
      <c r="M38" s="53">
        <f t="shared" si="23"/>
        <v>233.08023952095809</v>
      </c>
      <c r="N38" s="39">
        <f t="shared" si="14"/>
        <v>6.9743055555518367</v>
      </c>
      <c r="O38" s="39">
        <f t="shared" ref="O38:O52" si="24">L38/(N38)</f>
        <v>119.72518171867382</v>
      </c>
      <c r="P38" s="39">
        <f t="shared" ref="P38:P52" si="25">$C$10*F38/(O38*M38)</f>
        <v>6.9179727240460069</v>
      </c>
      <c r="Q38" s="39">
        <f t="shared" ref="Q38:Q52" si="26">$C$10/O38</f>
        <v>3.7586077844291332</v>
      </c>
      <c r="R38" s="39">
        <f t="shared" si="6"/>
        <v>3.3621671157411508</v>
      </c>
      <c r="S38" s="53">
        <f t="shared" si="7"/>
        <v>8.3142487304634596E-2</v>
      </c>
      <c r="T38" s="53">
        <f t="shared" si="8"/>
        <v>9.2946004538835364E-2</v>
      </c>
    </row>
    <row r="39" spans="1:27" x14ac:dyDescent="0.3">
      <c r="A39" s="44">
        <f>TSS_VSS!A34</f>
        <v>45663.48333333333</v>
      </c>
      <c r="B39" s="39">
        <f>TSS_VSS!B34</f>
        <v>236.95416666666279</v>
      </c>
      <c r="C39">
        <f>SUMIFS('Liquid Volume'!$D$3:$D$285,'Liquid Volume'!$A$3:$A$285,"&gt;"&amp;B38,'Liquid Volume'!$A$3:$A$285,"&lt;="&amp;B39)</f>
        <v>52</v>
      </c>
      <c r="D39">
        <f>SUMIFS('Liquid Volume'!$E$3:$E$285,'Liquid Volume'!$A$3:$A$285,"&gt;"&amp;B38,'Liquid Volume'!$A$3:$A$285,"&lt;="&amp;B39)</f>
        <v>44</v>
      </c>
      <c r="E39">
        <f>SUMIFS('Liquid Volume'!$F$3:$F$285,'Liquid Volume'!$A$3:$A$285,"&gt;"&amp;B38,'Liquid Volume'!$A$3:$A$285,"&lt;="&amp;B39)</f>
        <v>3110.5</v>
      </c>
      <c r="F39">
        <f>TSS_VSS!D34</f>
        <v>396</v>
      </c>
      <c r="G39">
        <f>TSS_VSS!F34</f>
        <v>249</v>
      </c>
      <c r="H39">
        <f>TSS_VSS!H34</f>
        <v>0</v>
      </c>
      <c r="I39">
        <f>TSS_VSS!E34</f>
        <v>322</v>
      </c>
      <c r="J39">
        <f>TSS_VSS!G34</f>
        <v>210</v>
      </c>
      <c r="K39">
        <f>TSS_VSS!I34</f>
        <v>0</v>
      </c>
      <c r="L39">
        <f t="shared" si="22"/>
        <v>3206.5</v>
      </c>
      <c r="M39" s="53">
        <f t="shared" si="23"/>
        <v>251.38390768750975</v>
      </c>
      <c r="N39" s="39">
        <f t="shared" si="14"/>
        <v>20.979166666664241</v>
      </c>
      <c r="O39" s="39">
        <f t="shared" si="24"/>
        <v>152.84210526317557</v>
      </c>
      <c r="P39" s="39">
        <f t="shared" si="25"/>
        <v>4.6379623168173287</v>
      </c>
      <c r="Q39" s="39">
        <f t="shared" si="26"/>
        <v>2.9442148760327176</v>
      </c>
      <c r="R39" s="39">
        <f t="shared" si="6"/>
        <v>3.1904461754826841</v>
      </c>
      <c r="S39" s="53">
        <f t="shared" si="7"/>
        <v>0.10614035087720526</v>
      </c>
      <c r="T39" s="53">
        <f t="shared" si="8"/>
        <v>9.7948682664336664E-2</v>
      </c>
    </row>
    <row r="40" spans="1:27" x14ac:dyDescent="0.3">
      <c r="A40" s="44">
        <f>TSS_VSS!A35</f>
        <v>45670.46875</v>
      </c>
      <c r="B40" s="39">
        <f>TSS_VSS!B35</f>
        <v>243.93958333333285</v>
      </c>
      <c r="C40">
        <f>SUMIFS('Liquid Volume'!$D$3:$D$285,'Liquid Volume'!$A$3:$A$285,"&gt;"&amp;B39,'Liquid Volume'!$A$3:$A$285,"&lt;="&amp;B40)</f>
        <v>107</v>
      </c>
      <c r="D40">
        <f>SUMIFS('Liquid Volume'!$E$3:$E$285,'Liquid Volume'!$A$3:$A$285,"&gt;"&amp;B39,'Liquid Volume'!$A$3:$A$285,"&lt;="&amp;B40)</f>
        <v>62</v>
      </c>
      <c r="E40">
        <f>SUMIFS('Liquid Volume'!$F$3:$F$285,'Liquid Volume'!$A$3:$A$285,"&gt;"&amp;B39,'Liquid Volume'!$A$3:$A$285,"&lt;="&amp;B40)</f>
        <v>760</v>
      </c>
      <c r="F40">
        <f>TSS_VSS!D35</f>
        <v>722</v>
      </c>
      <c r="G40">
        <f>TSS_VSS!F35</f>
        <v>403</v>
      </c>
      <c r="H40">
        <f>TSS_VSS!H35</f>
        <v>0</v>
      </c>
      <c r="I40">
        <f>TSS_VSS!E35</f>
        <v>591</v>
      </c>
      <c r="J40">
        <f>TSS_VSS!G35</f>
        <v>352</v>
      </c>
      <c r="K40">
        <f>TSS_VSS!I35</f>
        <v>0</v>
      </c>
      <c r="L40">
        <f>SUM(C40:E40)</f>
        <v>929</v>
      </c>
      <c r="M40" s="53">
        <f t="shared" si="23"/>
        <v>439.74165769644782</v>
      </c>
      <c r="N40" s="39">
        <f t="shared" si="14"/>
        <v>6.9854166666700621</v>
      </c>
      <c r="O40" s="39">
        <f t="shared" si="24"/>
        <v>132.99135102886467</v>
      </c>
      <c r="P40" s="39">
        <f t="shared" si="25"/>
        <v>5.5555710246771355</v>
      </c>
      <c r="Q40" s="39">
        <f t="shared" si="26"/>
        <v>3.3836786867616016</v>
      </c>
      <c r="R40" s="39">
        <f t="shared" si="6"/>
        <v>3.1144557503662451</v>
      </c>
      <c r="S40" s="53">
        <f t="shared" si="7"/>
        <v>9.2355104881156017E-2</v>
      </c>
      <c r="T40" s="53">
        <f t="shared" si="8"/>
        <v>0.10033855833824304</v>
      </c>
    </row>
    <row r="41" spans="1:27" x14ac:dyDescent="0.3">
      <c r="A41" s="44">
        <f>TSS_VSS!A36</f>
        <v>45677.409722222219</v>
      </c>
      <c r="B41" s="39">
        <f>TSS_VSS!B36</f>
        <v>250.88055555555184</v>
      </c>
      <c r="C41">
        <f>SUMIFS('Liquid Volume'!$D$3:$D$285,'Liquid Volume'!$A$3:$A$285,"&gt;"&amp;B40,'Liquid Volume'!$A$3:$A$285,"&lt;="&amp;B41)</f>
        <v>66</v>
      </c>
      <c r="D41">
        <f>SUMIFS('Liquid Volume'!$E$3:$E$285,'Liquid Volume'!$A$3:$A$285,"&gt;"&amp;B40,'Liquid Volume'!$A$3:$A$285,"&lt;="&amp;B41)</f>
        <v>37</v>
      </c>
      <c r="E41">
        <f>SUMIFS('Liquid Volume'!$F$3:$F$285,'Liquid Volume'!$A$3:$A$285,"&gt;"&amp;B40,'Liquid Volume'!$A$3:$A$285,"&lt;="&amp;B41)</f>
        <v>860</v>
      </c>
      <c r="F41">
        <f>TSS_VSS!D36</f>
        <v>524</v>
      </c>
      <c r="G41">
        <f>TSS_VSS!F36</f>
        <v>209</v>
      </c>
      <c r="H41">
        <f>TSS_VSS!H36</f>
        <v>0</v>
      </c>
      <c r="I41">
        <f>TSS_VSS!E36</f>
        <v>453</v>
      </c>
      <c r="J41">
        <f>TSS_VSS!G36</f>
        <v>171</v>
      </c>
      <c r="K41">
        <f>TSS_VSS!I36</f>
        <v>0</v>
      </c>
      <c r="L41">
        <f t="shared" si="22"/>
        <v>963</v>
      </c>
      <c r="M41" s="53">
        <f t="shared" si="23"/>
        <v>230.58878504672896</v>
      </c>
      <c r="N41" s="39">
        <f t="shared" si="14"/>
        <v>6.9409722222189885</v>
      </c>
      <c r="O41" s="39">
        <f t="shared" si="24"/>
        <v>138.7413706854073</v>
      </c>
      <c r="P41" s="39">
        <f t="shared" si="25"/>
        <v>7.3705456256692541</v>
      </c>
      <c r="Q41" s="39">
        <f t="shared" si="26"/>
        <v>3.243444963653733</v>
      </c>
      <c r="R41" s="39">
        <f t="shared" si="6"/>
        <v>2.9722810056764195</v>
      </c>
      <c r="S41" s="53">
        <f t="shared" si="7"/>
        <v>9.6348174087088401E-2</v>
      </c>
      <c r="T41" s="53">
        <f t="shared" si="8"/>
        <v>0.1051381075353212</v>
      </c>
    </row>
    <row r="42" spans="1:27" x14ac:dyDescent="0.3">
      <c r="A42" s="44">
        <f>TSS_VSS!A37</f>
        <v>45684.484027777777</v>
      </c>
      <c r="B42" s="39">
        <f>TSS_VSS!B37</f>
        <v>257.95486111110949</v>
      </c>
      <c r="C42">
        <f>SUMIFS('Liquid Volume'!$D$3:$D$285,'Liquid Volume'!$A$3:$A$285,"&gt;"&amp;B41,'Liquid Volume'!$A$3:$A$285,"&lt;="&amp;B42)</f>
        <v>30</v>
      </c>
      <c r="D42">
        <f>SUMIFS('Liquid Volume'!$E$3:$E$285,'Liquid Volume'!$A$3:$A$285,"&gt;"&amp;B41,'Liquid Volume'!$A$3:$A$285,"&lt;="&amp;B42)</f>
        <v>47</v>
      </c>
      <c r="E42">
        <f>SUMIFS('Liquid Volume'!$F$3:$F$285,'Liquid Volume'!$A$3:$A$285,"&gt;"&amp;B41,'Liquid Volume'!$A$3:$A$285,"&lt;="&amp;B42)</f>
        <v>1095</v>
      </c>
      <c r="F42">
        <f>TSS_VSS!D37</f>
        <v>256</v>
      </c>
      <c r="G42">
        <f>TSS_VSS!F37</f>
        <v>111</v>
      </c>
      <c r="H42">
        <f>TSS_VSS!H37</f>
        <v>0</v>
      </c>
      <c r="I42">
        <f>TSS_VSS!E37</f>
        <v>191</v>
      </c>
      <c r="J42">
        <f>TSS_VSS!G37</f>
        <v>88</v>
      </c>
      <c r="K42">
        <f>TSS_VSS!I37</f>
        <v>0</v>
      </c>
      <c r="L42">
        <f t="shared" si="22"/>
        <v>1172</v>
      </c>
      <c r="M42" s="53">
        <f t="shared" si="23"/>
        <v>114.71160409556315</v>
      </c>
      <c r="N42" s="39">
        <f t="shared" si="14"/>
        <v>7.0743055555576575</v>
      </c>
      <c r="O42" s="39">
        <f t="shared" si="24"/>
        <v>165.66997153229593</v>
      </c>
      <c r="P42" s="39">
        <f t="shared" si="25"/>
        <v>6.0617961648907492</v>
      </c>
      <c r="Q42" s="39">
        <f t="shared" si="26"/>
        <v>2.7162436006834008</v>
      </c>
      <c r="R42" s="39">
        <f t="shared" si="6"/>
        <v>2.832976377088372</v>
      </c>
      <c r="S42" s="53">
        <f t="shared" si="7"/>
        <v>0.11504859134187218</v>
      </c>
      <c r="T42" s="53">
        <f t="shared" si="8"/>
        <v>0.11030801475343607</v>
      </c>
    </row>
    <row r="43" spans="1:27" x14ac:dyDescent="0.3">
      <c r="A43" s="44">
        <f>TSS_VSS!A38</f>
        <v>45691.568055555559</v>
      </c>
      <c r="B43" s="39">
        <f>TSS_VSS!B38</f>
        <v>265.03888888889196</v>
      </c>
      <c r="C43">
        <f>SUMIFS('Liquid Volume'!$D$3:$D$285,'Liquid Volume'!$A$3:$A$285,"&gt;"&amp;B42,'Liquid Volume'!$A$3:$A$285,"&lt;="&amp;B43)</f>
        <v>76</v>
      </c>
      <c r="D43">
        <f>SUMIFS('Liquid Volume'!$E$3:$E$285,'Liquid Volume'!$A$3:$A$285,"&gt;"&amp;B42,'Liquid Volume'!$A$3:$A$285,"&lt;="&amp;B43)</f>
        <v>62</v>
      </c>
      <c r="E43">
        <f>SUMIFS('Liquid Volume'!$F$3:$F$285,'Liquid Volume'!$A$3:$A$285,"&gt;"&amp;B42,'Liquid Volume'!$A$3:$A$285,"&lt;="&amp;B43)</f>
        <v>940</v>
      </c>
      <c r="F43">
        <f>TSS_VSS!D38</f>
        <v>231</v>
      </c>
      <c r="G43">
        <f>TSS_VSS!F38</f>
        <v>132</v>
      </c>
      <c r="H43">
        <f>TSS_VSS!H38</f>
        <v>0</v>
      </c>
      <c r="I43">
        <f>TSS_VSS!E38</f>
        <v>169</v>
      </c>
      <c r="J43">
        <f>TSS_VSS!G38</f>
        <v>96</v>
      </c>
      <c r="K43">
        <f>TSS_VSS!I38</f>
        <v>0</v>
      </c>
      <c r="L43">
        <f t="shared" si="22"/>
        <v>1078</v>
      </c>
      <c r="M43" s="53">
        <f t="shared" si="23"/>
        <v>138.9795918367347</v>
      </c>
      <c r="N43" s="39">
        <f t="shared" si="14"/>
        <v>7.0840277777824667</v>
      </c>
      <c r="O43" s="39">
        <f t="shared" si="24"/>
        <v>152.17331634143443</v>
      </c>
      <c r="P43" s="39">
        <f t="shared" si="25"/>
        <v>4.915129405289596</v>
      </c>
      <c r="Q43" s="39">
        <f t="shared" si="26"/>
        <v>2.9571544526921243</v>
      </c>
      <c r="R43" s="39">
        <f t="shared" si="6"/>
        <v>2.9682583898989328</v>
      </c>
      <c r="S43" s="53">
        <f t="shared" si="7"/>
        <v>0.10567591412599613</v>
      </c>
      <c r="T43" s="53">
        <f t="shared" si="8"/>
        <v>0.10528059183238438</v>
      </c>
    </row>
    <row r="44" spans="1:27" x14ac:dyDescent="0.3">
      <c r="A44" s="44">
        <f>TSS_VSS!A39</f>
        <v>45699.548611111109</v>
      </c>
      <c r="B44" s="39">
        <f>TSS_VSS!B39</f>
        <v>273.01944444444234</v>
      </c>
      <c r="C44">
        <f>SUMIFS('Liquid Volume'!$D$3:$D$285,'Liquid Volume'!$A$3:$A$285,"&gt;"&amp;B43,'Liquid Volume'!$A$3:$A$285,"&lt;="&amp;B44)</f>
        <v>89</v>
      </c>
      <c r="D44">
        <f>SUMIFS('Liquid Volume'!$E$3:$E$285,'Liquid Volume'!$A$3:$A$285,"&gt;"&amp;B43,'Liquid Volume'!$A$3:$A$285,"&lt;="&amp;B44)</f>
        <v>62</v>
      </c>
      <c r="E44">
        <f>SUMIFS('Liquid Volume'!$F$3:$F$285,'Liquid Volume'!$A$3:$A$285,"&gt;"&amp;B43,'Liquid Volume'!$A$3:$A$285,"&lt;="&amp;B44)</f>
        <v>1120</v>
      </c>
      <c r="F44">
        <f>TSS_VSS!D39</f>
        <v>198</v>
      </c>
      <c r="G44">
        <f>TSS_VSS!F39</f>
        <v>94</v>
      </c>
      <c r="H44">
        <f>TSS_VSS!H39</f>
        <v>0</v>
      </c>
      <c r="I44">
        <f>TSS_VSS!E39</f>
        <v>146</v>
      </c>
      <c r="J44">
        <f>TSS_VSS!G39</f>
        <v>60</v>
      </c>
      <c r="K44">
        <f>TSS_VSS!I39</f>
        <v>0</v>
      </c>
      <c r="L44">
        <f t="shared" si="22"/>
        <v>1271</v>
      </c>
      <c r="M44" s="53">
        <f t="shared" si="23"/>
        <v>101.28245476003147</v>
      </c>
      <c r="N44" s="39">
        <f t="shared" si="14"/>
        <v>7.9805555555503815</v>
      </c>
      <c r="O44" s="39">
        <f t="shared" si="24"/>
        <v>159.26209537079592</v>
      </c>
      <c r="P44" s="39">
        <f t="shared" si="25"/>
        <v>5.5237124213434239</v>
      </c>
      <c r="Q44" s="39">
        <f t="shared" si="26"/>
        <v>2.8255310778895919</v>
      </c>
      <c r="R44" s="39">
        <f t="shared" si="6"/>
        <v>3.1919188022863927</v>
      </c>
      <c r="S44" s="53">
        <f t="shared" si="7"/>
        <v>0.1105986773408305</v>
      </c>
      <c r="T44" s="53">
        <f t="shared" si="8"/>
        <v>9.7903492963591104E-2</v>
      </c>
    </row>
    <row r="45" spans="1:27" x14ac:dyDescent="0.3">
      <c r="A45" s="44">
        <f>TSS_VSS!A40</f>
        <v>45705.508333333331</v>
      </c>
      <c r="B45" s="39">
        <f>TSS_VSS!B40</f>
        <v>278.97916666666424</v>
      </c>
      <c r="C45">
        <f>SUMIFS('Liquid Volume'!$D$3:$D$285,'Liquid Volume'!$A$3:$A$285,"&gt;"&amp;B44,'Liquid Volume'!$A$3:$A$285,"&lt;="&amp;B45)</f>
        <v>57</v>
      </c>
      <c r="D45">
        <f>SUMIFS('Liquid Volume'!$E$3:$E$285,'Liquid Volume'!$A$3:$A$285,"&gt;"&amp;B44,'Liquid Volume'!$A$3:$A$285,"&lt;="&amp;B45)</f>
        <v>57</v>
      </c>
      <c r="E45">
        <f>SUMIFS('Liquid Volume'!$F$3:$F$285,'Liquid Volume'!$A$3:$A$285,"&gt;"&amp;B44,'Liquid Volume'!$A$3:$A$285,"&lt;="&amp;B45)</f>
        <v>745</v>
      </c>
      <c r="F45">
        <f>TSS_VSS!D40</f>
        <v>213</v>
      </c>
      <c r="G45">
        <f>TSS_VSS!F40</f>
        <v>130</v>
      </c>
      <c r="H45">
        <f>TSS_VSS!H40</f>
        <v>0</v>
      </c>
      <c r="I45">
        <f>TSS_VSS!E40</f>
        <v>169</v>
      </c>
      <c r="J45">
        <f>TSS_VSS!G40</f>
        <v>94</v>
      </c>
      <c r="K45">
        <f>TSS_VSS!I40</f>
        <v>0</v>
      </c>
      <c r="L45">
        <f t="shared" si="22"/>
        <v>859</v>
      </c>
      <c r="M45" s="53">
        <f t="shared" si="23"/>
        <v>135.50756693830036</v>
      </c>
      <c r="N45" s="39">
        <f t="shared" si="14"/>
        <v>5.9597222222218988</v>
      </c>
      <c r="O45" s="39">
        <f t="shared" si="24"/>
        <v>144.13423444419334</v>
      </c>
      <c r="P45" s="39">
        <f t="shared" si="25"/>
        <v>4.907512607279739</v>
      </c>
      <c r="Q45" s="39">
        <f t="shared" si="26"/>
        <v>3.1220896391150808</v>
      </c>
      <c r="R45" s="39">
        <f t="shared" si="6"/>
        <v>3.2773597907864072</v>
      </c>
      <c r="S45" s="53">
        <f t="shared" si="7"/>
        <v>0.10009321836402316</v>
      </c>
      <c r="T45" s="53">
        <f t="shared" si="8"/>
        <v>9.5351142367257502E-2</v>
      </c>
    </row>
    <row r="46" spans="1:27" x14ac:dyDescent="0.3">
      <c r="A46" s="44">
        <f>TSS_VSS!A41</f>
        <v>45712.57916666667</v>
      </c>
      <c r="B46" s="39">
        <f>TSS_VSS!B41</f>
        <v>286.05000000000291</v>
      </c>
      <c r="C46">
        <f>SUMIFS('Liquid Volume'!$D$3:$D$285,'Liquid Volume'!$A$3:$A$285,"&gt;"&amp;B45,'Liquid Volume'!$A$3:$A$285,"&lt;="&amp;B46)</f>
        <v>85</v>
      </c>
      <c r="D46">
        <f>SUMIFS('Liquid Volume'!$E$3:$E$285,'Liquid Volume'!$A$3:$A$285,"&gt;"&amp;B45,'Liquid Volume'!$A$3:$A$285,"&lt;="&amp;B46)</f>
        <v>42</v>
      </c>
      <c r="E46">
        <f>SUMIFS('Liquid Volume'!$F$3:$F$285,'Liquid Volume'!$A$3:$A$285,"&gt;"&amp;B45,'Liquid Volume'!$A$3:$A$285,"&lt;="&amp;B46)</f>
        <v>750</v>
      </c>
      <c r="F46">
        <f>TSS_VSS!D41</f>
        <v>351</v>
      </c>
      <c r="G46">
        <f>TSS_VSS!F41</f>
        <v>139</v>
      </c>
      <c r="H46">
        <f>TSS_VSS!H41</f>
        <v>0</v>
      </c>
      <c r="I46">
        <f>TSS_VSS!E41</f>
        <v>273</v>
      </c>
      <c r="J46">
        <f>TSS_VSS!G41</f>
        <v>108</v>
      </c>
      <c r="K46">
        <f>TSS_VSS!I41</f>
        <v>0</v>
      </c>
      <c r="L46">
        <f t="shared" si="22"/>
        <v>877</v>
      </c>
      <c r="M46" s="53">
        <f t="shared" si="23"/>
        <v>159.5473204104903</v>
      </c>
      <c r="N46" s="39">
        <f t="shared" si="14"/>
        <v>7.070833333338669</v>
      </c>
      <c r="O46" s="39">
        <f t="shared" si="24"/>
        <v>124.03064230986516</v>
      </c>
      <c r="P46" s="39">
        <f t="shared" si="25"/>
        <v>7.9818051714217306</v>
      </c>
      <c r="Q46" s="39">
        <f t="shared" si="26"/>
        <v>3.628135689854505</v>
      </c>
      <c r="R46" s="39">
        <f>AVERAGE(Q46:Q48)</f>
        <v>3.2189046509119579</v>
      </c>
      <c r="S46" s="53">
        <f t="shared" si="7"/>
        <v>8.6132390492961911E-2</v>
      </c>
      <c r="T46" s="53">
        <f t="shared" si="8"/>
        <v>9.7082714118749885E-2</v>
      </c>
    </row>
    <row r="47" spans="1:27" x14ac:dyDescent="0.3">
      <c r="A47" s="44">
        <f>TSS_VSS!A42</f>
        <v>45719.523611111108</v>
      </c>
      <c r="B47" s="39">
        <f>TSS_VSS!B42</f>
        <v>292.99444444444089</v>
      </c>
      <c r="C47">
        <f>SUMIFS('Liquid Volume'!$D$3:$D$285,'Liquid Volume'!$A$3:$A$285,"&gt;"&amp;B46,'Liquid Volume'!$A$3:$A$285,"&lt;="&amp;B47)</f>
        <v>67</v>
      </c>
      <c r="D47">
        <f>SUMIFS('Liquid Volume'!$E$3:$E$285,'Liquid Volume'!$A$3:$A$285,"&gt;"&amp;B46,'Liquid Volume'!$A$3:$A$285,"&lt;="&amp;B47)</f>
        <v>62</v>
      </c>
      <c r="E47">
        <f>SUMIFS('Liquid Volume'!$F$3:$F$285,'Liquid Volume'!$A$3:$A$285,"&gt;"&amp;B46,'Liquid Volume'!$A$3:$A$285,"&lt;="&amp;B47)</f>
        <v>885</v>
      </c>
      <c r="F47">
        <f>TSS_VSS!D42</f>
        <v>1002</v>
      </c>
      <c r="G47">
        <f>TSS_VSS!F42</f>
        <v>120</v>
      </c>
      <c r="H47">
        <f>TSS_VSS!H42</f>
        <v>0</v>
      </c>
      <c r="I47">
        <f>TSS_VSS!E42</f>
        <v>868</v>
      </c>
      <c r="J47">
        <f>TSS_VSS!G42</f>
        <v>104</v>
      </c>
      <c r="K47">
        <f>TSS_VSS!I42</f>
        <v>0</v>
      </c>
      <c r="L47">
        <f t="shared" si="22"/>
        <v>1014</v>
      </c>
      <c r="M47" s="53">
        <f t="shared" si="23"/>
        <v>178.27810650887574</v>
      </c>
      <c r="N47" s="39">
        <f t="shared" si="14"/>
        <v>6.9444444444379769</v>
      </c>
      <c r="O47" s="39">
        <f t="shared" si="24"/>
        <v>146.01600000013599</v>
      </c>
      <c r="P47" s="39">
        <f t="shared" si="25"/>
        <v>17.321351521773508</v>
      </c>
      <c r="Q47" s="39">
        <f t="shared" si="26"/>
        <v>3.0818540433896349</v>
      </c>
      <c r="R47" s="39">
        <f t="shared" si="6"/>
        <v>2.9944808740315683</v>
      </c>
      <c r="S47" s="53">
        <f t="shared" si="7"/>
        <v>0.10140000000009444</v>
      </c>
      <c r="T47" s="53">
        <f t="shared" si="8"/>
        <v>0.1043586561898026</v>
      </c>
    </row>
    <row r="48" spans="1:27" x14ac:dyDescent="0.3">
      <c r="A48" s="44">
        <f>TSS_VSS!A43</f>
        <v>45726.445138888892</v>
      </c>
      <c r="B48" s="39">
        <f>TSS_VSS!B43</f>
        <v>299.91597222222481</v>
      </c>
      <c r="C48">
        <f>SUMIFS('Liquid Volume'!$D$3:$D$285,'Liquid Volume'!$A$3:$A$285,"&gt;"&amp;B47,'Liquid Volume'!$A$3:$A$285,"&lt;="&amp;B48)</f>
        <v>65</v>
      </c>
      <c r="D48">
        <f>SUMIFS('Liquid Volume'!$E$3:$E$285,'Liquid Volume'!$A$3:$A$285,"&gt;"&amp;B47,'Liquid Volume'!$A$3:$A$285,"&lt;="&amp;B48)</f>
        <v>62</v>
      </c>
      <c r="E48">
        <f>SUMIFS('Liquid Volume'!$F$3:$F$285,'Liquid Volume'!$A$3:$A$285,"&gt;"&amp;B47,'Liquid Volume'!$A$3:$A$285,"&lt;="&amp;B48)</f>
        <v>930</v>
      </c>
      <c r="F48">
        <f>TSS_VSS!D43</f>
        <v>482</v>
      </c>
      <c r="G48">
        <f>TSS_VSS!F43</f>
        <v>234</v>
      </c>
      <c r="H48">
        <f>TSS_VSS!H43</f>
        <v>0</v>
      </c>
      <c r="I48">
        <f>TSS_VSS!E43</f>
        <v>391</v>
      </c>
      <c r="J48">
        <f>TSS_VSS!G43</f>
        <v>179</v>
      </c>
      <c r="K48">
        <f>TSS_VSS!I43</f>
        <v>0</v>
      </c>
      <c r="L48">
        <f t="shared" si="22"/>
        <v>1057</v>
      </c>
      <c r="M48" s="53">
        <f t="shared" si="23"/>
        <v>249.25070955534531</v>
      </c>
      <c r="N48" s="39">
        <f t="shared" si="14"/>
        <v>6.9215277777839219</v>
      </c>
      <c r="O48" s="39">
        <f t="shared" si="24"/>
        <v>152.71194943299378</v>
      </c>
      <c r="P48" s="39">
        <f t="shared" si="25"/>
        <v>5.698363211598557</v>
      </c>
      <c r="Q48" s="39">
        <f t="shared" si="26"/>
        <v>2.9467242194917356</v>
      </c>
      <c r="R48" s="39">
        <f t="shared" si="6"/>
        <v>3.0509117892321878</v>
      </c>
      <c r="S48" s="53">
        <f t="shared" si="7"/>
        <v>0.10604996488402346</v>
      </c>
      <c r="T48" s="53">
        <f t="shared" si="8"/>
        <v>0.10242839570220605</v>
      </c>
    </row>
    <row r="49" spans="1:20" x14ac:dyDescent="0.3">
      <c r="A49" s="44">
        <f>TSS_VSS!A44</f>
        <v>45733.464583333334</v>
      </c>
      <c r="B49" s="39">
        <f>TSS_VSS!B44</f>
        <v>306.93541666666715</v>
      </c>
      <c r="C49">
        <f>SUMIFS('Liquid Volume'!$D$3:$D$285,'Liquid Volume'!$A$3:$A$285,"&gt;"&amp;B48,'Liquid Volume'!$A$3:$A$285,"&lt;="&amp;B49)</f>
        <v>89</v>
      </c>
      <c r="D49">
        <f>SUMIFS('Liquid Volume'!$E$3:$E$285,'Liquid Volume'!$A$3:$A$285,"&gt;"&amp;B48,'Liquid Volume'!$A$3:$A$285,"&lt;="&amp;B49)</f>
        <v>20</v>
      </c>
      <c r="E49">
        <f>SUMIFS('Liquid Volume'!$F$3:$F$285,'Liquid Volume'!$A$3:$A$285,"&gt;"&amp;B48,'Liquid Volume'!$A$3:$A$285,"&lt;="&amp;B49)</f>
        <v>960</v>
      </c>
      <c r="F49">
        <f>TSS_VSS!D44</f>
        <v>407</v>
      </c>
      <c r="G49">
        <f>TSS_VSS!F44</f>
        <v>220</v>
      </c>
      <c r="H49">
        <f>TSS_VSS!H44</f>
        <v>0</v>
      </c>
      <c r="I49">
        <f>TSS_VSS!E44</f>
        <v>309</v>
      </c>
      <c r="J49">
        <f>TSS_VSS!G44</f>
        <v>182</v>
      </c>
      <c r="K49">
        <f>TSS_VSS!I44</f>
        <v>0</v>
      </c>
      <c r="L49">
        <f t="shared" si="22"/>
        <v>1069</v>
      </c>
      <c r="M49" s="53">
        <f t="shared" si="23"/>
        <v>235.56875584658559</v>
      </c>
      <c r="N49" s="39">
        <f t="shared" si="14"/>
        <v>7.0194444444423425</v>
      </c>
      <c r="O49" s="39">
        <f t="shared" si="24"/>
        <v>152.29125445196487</v>
      </c>
      <c r="P49" s="39">
        <f t="shared" si="25"/>
        <v>5.1052177521497839</v>
      </c>
      <c r="Q49" s="39">
        <f t="shared" si="26"/>
        <v>2.9548643592133339</v>
      </c>
      <c r="R49" s="39">
        <f t="shared" si="6"/>
        <v>3.1031460566335736</v>
      </c>
      <c r="S49" s="53">
        <f t="shared" si="7"/>
        <v>0.10575781559164227</v>
      </c>
      <c r="T49" s="53">
        <f t="shared" si="8"/>
        <v>0.1007042512008002</v>
      </c>
    </row>
    <row r="50" spans="1:20" x14ac:dyDescent="0.3">
      <c r="A50" s="44">
        <f>TSS_VSS!A45</f>
        <v>45740.552083333336</v>
      </c>
      <c r="B50" s="39">
        <f>TSS_VSS!B45</f>
        <v>314.02291666666861</v>
      </c>
      <c r="C50">
        <f>SUMIFS('Liquid Volume'!$D$3:$D$285,'Liquid Volume'!$A$3:$A$285,"&gt;"&amp;B49,'Liquid Volume'!$A$3:$A$285,"&lt;="&amp;B50)</f>
        <v>37</v>
      </c>
      <c r="D50">
        <f>SUMIFS('Liquid Volume'!$E$3:$E$285,'Liquid Volume'!$A$3:$A$285,"&gt;"&amp;B49,'Liquid Volume'!$A$3:$A$285,"&lt;="&amp;B50)</f>
        <v>54</v>
      </c>
      <c r="E50">
        <f>SUMIFS('Liquid Volume'!$F$3:$F$285,'Liquid Volume'!$A$3:$A$285,"&gt;"&amp;B49,'Liquid Volume'!$A$3:$A$285,"&lt;="&amp;B50)</f>
        <v>890</v>
      </c>
      <c r="F50">
        <f>TSS_VSS!D45</f>
        <v>598</v>
      </c>
      <c r="G50">
        <f>TSS_VSS!F45</f>
        <v>406</v>
      </c>
      <c r="H50">
        <f>TSS_VSS!H45</f>
        <v>0</v>
      </c>
      <c r="I50">
        <f>TSS_VSS!E45</f>
        <v>508</v>
      </c>
      <c r="J50">
        <f>TSS_VSS!G45</f>
        <v>346</v>
      </c>
      <c r="K50">
        <f>TSS_VSS!I45</f>
        <v>0</v>
      </c>
      <c r="L50">
        <f t="shared" si="22"/>
        <v>981</v>
      </c>
      <c r="M50" s="53">
        <f t="shared" si="23"/>
        <v>413.24159021406729</v>
      </c>
      <c r="N50" s="39">
        <f t="shared" si="14"/>
        <v>7.0875000000014552</v>
      </c>
      <c r="O50" s="39">
        <f t="shared" si="24"/>
        <v>138.41269841266998</v>
      </c>
      <c r="P50" s="39">
        <f t="shared" si="25"/>
        <v>4.7047195293430812</v>
      </c>
      <c r="Q50" s="39">
        <f t="shared" si="26"/>
        <v>3.2511467889914933</v>
      </c>
      <c r="R50" s="39">
        <f t="shared" si="6"/>
        <v>3.1729310627319887</v>
      </c>
      <c r="S50" s="53">
        <f t="shared" si="7"/>
        <v>9.6119929453243047E-2</v>
      </c>
      <c r="T50" s="53">
        <f>$C$10/(R50*1440)</f>
        <v>9.8489375855184233E-2</v>
      </c>
    </row>
    <row r="51" spans="1:20" x14ac:dyDescent="0.3">
      <c r="A51" s="44">
        <f>TSS_VSS!A46</f>
        <v>45747.545138888891</v>
      </c>
      <c r="B51" s="39">
        <f>TSS_VSS!B46</f>
        <v>321.01597222222335</v>
      </c>
      <c r="C51">
        <f>SUMIFS('Liquid Volume'!$D$3:$D$285,'Liquid Volume'!$A$3:$A$285,"&gt;"&amp;B50,'Liquid Volume'!$A$3:$A$285,"&lt;="&amp;B51)</f>
        <v>69</v>
      </c>
      <c r="D51">
        <f>SUMIFS('Liquid Volume'!$E$3:$E$285,'Liquid Volume'!$A$3:$A$285,"&gt;"&amp;B50,'Liquid Volume'!$A$3:$A$285,"&lt;="&amp;B51)</f>
        <v>30</v>
      </c>
      <c r="E51">
        <f>SUMIFS('Liquid Volume'!$F$3:$F$285,'Liquid Volume'!$A$3:$A$285,"&gt;"&amp;B50,'Liquid Volume'!$A$3:$A$285,"&lt;="&amp;B51)</f>
        <v>915</v>
      </c>
      <c r="F51">
        <f>TSS_VSS!D46</f>
        <v>562</v>
      </c>
      <c r="G51">
        <f>TSS_VSS!F46</f>
        <v>402</v>
      </c>
      <c r="H51">
        <f>TSS_VSS!H46</f>
        <v>0</v>
      </c>
      <c r="I51">
        <f>TSS_VSS!E46</f>
        <v>0</v>
      </c>
      <c r="J51">
        <f>TSS_VSS!G46</f>
        <v>0</v>
      </c>
      <c r="K51">
        <f>TSS_VSS!I46</f>
        <v>0</v>
      </c>
      <c r="L51">
        <f t="shared" si="22"/>
        <v>1014</v>
      </c>
      <c r="M51" s="53">
        <f t="shared" si="23"/>
        <v>412.88757396449705</v>
      </c>
      <c r="N51" s="39">
        <f t="shared" si="14"/>
        <v>6.9930555555547471</v>
      </c>
      <c r="O51" s="39">
        <f t="shared" si="24"/>
        <v>145.00099304867615</v>
      </c>
      <c r="P51" s="39">
        <f t="shared" si="25"/>
        <v>4.2242152493140042</v>
      </c>
      <c r="Q51" s="39">
        <f t="shared" si="26"/>
        <v>3.1034270216958935</v>
      </c>
      <c r="R51" s="39">
        <f t="shared" si="6"/>
        <v>3.1338231996022365</v>
      </c>
      <c r="S51" s="53">
        <f t="shared" si="7"/>
        <v>0.10069513406158066</v>
      </c>
      <c r="T51" s="53">
        <f t="shared" si="8"/>
        <v>9.9718452540546745E-2</v>
      </c>
    </row>
    <row r="52" spans="1:20" x14ac:dyDescent="0.3">
      <c r="A52" s="44">
        <f>TSS_VSS!A47</f>
        <v>45754.548611111109</v>
      </c>
      <c r="B52" s="39">
        <f>TSS_VSS!B47</f>
        <v>328.01944444444234</v>
      </c>
      <c r="C52">
        <f>SUMIFS('Liquid Volume'!$D$3:$D$285,'Liquid Volume'!$A$3:$A$285,"&gt;"&amp;B51,'Liquid Volume'!$A$3:$A$285,"&lt;="&amp;B52)</f>
        <v>49</v>
      </c>
      <c r="D52">
        <f>SUMIFS('Liquid Volume'!$E$3:$E$285,'Liquid Volume'!$A$3:$A$285,"&gt;"&amp;B51,'Liquid Volume'!$A$3:$A$285,"&lt;="&amp;B52)</f>
        <v>77</v>
      </c>
      <c r="E52">
        <f>SUMIFS('Liquid Volume'!$F$3:$F$285,'Liquid Volume'!$A$3:$A$285,"&gt;"&amp;B51,'Liquid Volume'!$A$3:$A$285,"&lt;="&amp;B52)</f>
        <v>870</v>
      </c>
      <c r="F52">
        <f>TSS_VSS!D47</f>
        <v>684</v>
      </c>
      <c r="G52">
        <f>TSS_VSS!F47</f>
        <v>393</v>
      </c>
      <c r="H52">
        <f>TSS_VSS!H47</f>
        <v>0</v>
      </c>
      <c r="I52">
        <f>TSS_VSS!E47</f>
        <v>584</v>
      </c>
      <c r="J52">
        <f>TSS_VSS!G47</f>
        <v>332</v>
      </c>
      <c r="K52">
        <f>TSS_VSS!I47</f>
        <v>0</v>
      </c>
      <c r="L52">
        <f t="shared" si="22"/>
        <v>996</v>
      </c>
      <c r="M52" s="53">
        <f t="shared" si="23"/>
        <v>407.31626506024094</v>
      </c>
      <c r="N52" s="39">
        <f t="shared" si="14"/>
        <v>7.0034722222189885</v>
      </c>
      <c r="O52" s="39">
        <f t="shared" si="24"/>
        <v>142.21517104617374</v>
      </c>
      <c r="P52" s="39">
        <f t="shared" si="25"/>
        <v>5.3136254057906829</v>
      </c>
      <c r="Q52" s="39">
        <f t="shared" si="26"/>
        <v>3.1642193775085792</v>
      </c>
      <c r="R52" s="39">
        <f>AVERAGE(Q52:Q54)</f>
        <v>3.1642193775085792</v>
      </c>
      <c r="S52" s="53">
        <f t="shared" si="7"/>
        <v>9.8760535448731757E-2</v>
      </c>
      <c r="T52" s="53">
        <f t="shared" si="8"/>
        <v>9.876053544873177E-2</v>
      </c>
    </row>
    <row r="53" spans="1:20" x14ac:dyDescent="0.3">
      <c r="A53" s="44"/>
    </row>
    <row r="54" spans="1:20" x14ac:dyDescent="0.3">
      <c r="A54" s="44"/>
    </row>
    <row r="55" spans="1:20" x14ac:dyDescent="0.3">
      <c r="A55" s="4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74CB-3E50-4C9E-8042-F94DA14A749D}">
  <dimension ref="A1:AC37"/>
  <sheetViews>
    <sheetView workbookViewId="0">
      <pane ySplit="3" topLeftCell="A13" activePane="bottomLeft" state="frozen"/>
      <selection pane="bottomLeft" activeCell="C10" sqref="C10"/>
    </sheetView>
  </sheetViews>
  <sheetFormatPr defaultRowHeight="15" customHeight="1" x14ac:dyDescent="0.3"/>
  <cols>
    <col min="1" max="2" width="19.33203125" style="10" customWidth="1"/>
    <col min="3" max="3" width="28.44140625" style="10" customWidth="1"/>
    <col min="4" max="4" width="19.33203125" style="10" customWidth="1"/>
    <col min="5" max="5" width="15" style="10" customWidth="1"/>
    <col min="6" max="6" width="15.5546875" style="10" customWidth="1"/>
    <col min="7" max="8" width="15" style="10" customWidth="1"/>
    <col min="9" max="9" width="18.88671875" style="10" customWidth="1"/>
    <col min="10" max="10" width="11.6640625" style="10" customWidth="1"/>
    <col min="11" max="11" width="30.109375" style="10" customWidth="1"/>
    <col min="12" max="12" width="10.44140625" style="10" customWidth="1"/>
    <col min="13" max="13" width="10.33203125" style="10" customWidth="1"/>
    <col min="14" max="14" width="12.6640625" style="10" customWidth="1"/>
    <col min="15" max="16" width="12.6640625" style="11" customWidth="1"/>
    <col min="17" max="17" width="11.88671875" style="11" customWidth="1"/>
    <col min="18" max="18" width="11.109375" style="11" customWidth="1"/>
    <col min="19" max="23" width="11.44140625" style="11" customWidth="1"/>
    <col min="24" max="24" width="12.33203125" style="11" customWidth="1"/>
    <col min="25" max="25" width="14.5546875" customWidth="1"/>
    <col min="26" max="26" width="29.44140625" customWidth="1"/>
    <col min="28" max="28" width="14.109375" customWidth="1"/>
  </cols>
  <sheetData>
    <row r="1" spans="1:29" ht="15" customHeight="1" x14ac:dyDescent="0.35">
      <c r="B1"/>
      <c r="C1"/>
      <c r="D1" s="2">
        <v>45426.529166666667</v>
      </c>
      <c r="J1" s="78" t="s">
        <v>471</v>
      </c>
      <c r="K1" s="78"/>
      <c r="L1" s="78"/>
      <c r="M1" s="78"/>
      <c r="P1" s="78" t="s">
        <v>472</v>
      </c>
      <c r="Q1" s="78"/>
      <c r="X1" s="78" t="s">
        <v>473</v>
      </c>
    </row>
    <row r="2" spans="1:29" ht="43.2" x14ac:dyDescent="0.3">
      <c r="A2" s="6" t="s">
        <v>474</v>
      </c>
      <c r="B2" s="3" t="s">
        <v>23</v>
      </c>
      <c r="C2" s="3" t="s">
        <v>475</v>
      </c>
      <c r="D2" s="3" t="s">
        <v>476</v>
      </c>
      <c r="E2" s="6" t="s">
        <v>477</v>
      </c>
      <c r="F2" s="6" t="s">
        <v>31</v>
      </c>
      <c r="G2" s="6" t="s">
        <v>478</v>
      </c>
      <c r="H2" s="55" t="s">
        <v>479</v>
      </c>
      <c r="I2" s="55" t="s">
        <v>480</v>
      </c>
      <c r="J2" s="55" t="s">
        <v>481</v>
      </c>
      <c r="K2" s="55" t="s">
        <v>24</v>
      </c>
      <c r="L2" s="55" t="s">
        <v>482</v>
      </c>
      <c r="M2" s="55" t="s">
        <v>23</v>
      </c>
      <c r="N2" s="6" t="s">
        <v>483</v>
      </c>
      <c r="O2" s="77" t="s">
        <v>484</v>
      </c>
      <c r="P2" s="55" t="s">
        <v>482</v>
      </c>
      <c r="Q2" s="77" t="s">
        <v>485</v>
      </c>
      <c r="R2" s="6" t="s">
        <v>483</v>
      </c>
      <c r="S2" s="77" t="s">
        <v>486</v>
      </c>
      <c r="T2" s="77"/>
      <c r="U2" s="77"/>
      <c r="V2" s="77"/>
      <c r="W2" s="77"/>
      <c r="X2" s="7" t="s">
        <v>315</v>
      </c>
      <c r="Y2" s="3" t="s">
        <v>487</v>
      </c>
      <c r="Z2" s="75" t="s">
        <v>24</v>
      </c>
      <c r="AA2" s="6" t="s">
        <v>315</v>
      </c>
      <c r="AB2" s="12" t="s">
        <v>488</v>
      </c>
      <c r="AC2" s="3" t="s">
        <v>24</v>
      </c>
    </row>
    <row r="3" spans="1:29" ht="14.4" x14ac:dyDescent="0.3">
      <c r="A3" s="6"/>
      <c r="B3" s="3"/>
      <c r="C3" s="3"/>
      <c r="D3" s="3"/>
      <c r="E3" s="6"/>
      <c r="F3" s="6"/>
      <c r="G3" s="6"/>
      <c r="H3" s="55"/>
      <c r="I3" s="55"/>
      <c r="J3" s="55"/>
      <c r="K3" s="55"/>
      <c r="L3" s="55"/>
      <c r="M3" s="6"/>
      <c r="N3" s="6"/>
      <c r="O3" s="77"/>
      <c r="P3" s="55"/>
      <c r="Q3" s="77"/>
      <c r="R3" s="6"/>
      <c r="S3" s="77"/>
      <c r="T3" s="77"/>
      <c r="U3" s="77"/>
      <c r="V3" s="77"/>
      <c r="W3" s="77"/>
      <c r="X3" s="11" t="s">
        <v>489</v>
      </c>
      <c r="Y3" s="4">
        <v>45426</v>
      </c>
      <c r="Z3" s="88" t="s">
        <v>292</v>
      </c>
      <c r="AA3" s="6"/>
      <c r="AB3" s="12"/>
      <c r="AC3" s="3"/>
    </row>
    <row r="4" spans="1:29" ht="28.8" x14ac:dyDescent="0.3">
      <c r="A4" s="8">
        <v>45422.571527777778</v>
      </c>
      <c r="B4" t="s">
        <v>490</v>
      </c>
      <c r="C4" s="1" t="s">
        <v>491</v>
      </c>
      <c r="D4" s="80">
        <f t="shared" ref="D4:D36" si="0">A4-$D$1</f>
        <v>-3.9576388888890506</v>
      </c>
      <c r="E4" s="9">
        <v>45426</v>
      </c>
      <c r="F4" s="76" t="s">
        <v>492</v>
      </c>
      <c r="J4" s="10" t="s">
        <v>493</v>
      </c>
      <c r="L4" s="9">
        <v>45422</v>
      </c>
      <c r="M4" s="10" t="s">
        <v>494</v>
      </c>
      <c r="N4" s="10">
        <v>1</v>
      </c>
      <c r="O4" s="79" t="s">
        <v>495</v>
      </c>
      <c r="P4" s="79"/>
      <c r="X4" s="11" t="s">
        <v>376</v>
      </c>
      <c r="Y4" s="4">
        <v>45464</v>
      </c>
      <c r="Z4" s="1" t="s">
        <v>293</v>
      </c>
      <c r="AA4">
        <v>33</v>
      </c>
      <c r="AB4" s="4">
        <v>45460</v>
      </c>
      <c r="AC4" t="s">
        <v>496</v>
      </c>
    </row>
    <row r="5" spans="1:29" ht="28.8" x14ac:dyDescent="0.3">
      <c r="A5" s="8">
        <v>45422.571527777778</v>
      </c>
      <c r="B5" t="s">
        <v>497</v>
      </c>
      <c r="C5" s="1" t="s">
        <v>491</v>
      </c>
      <c r="D5" s="80">
        <f t="shared" si="0"/>
        <v>-3.9576388888890506</v>
      </c>
      <c r="E5" s="9">
        <v>45426</v>
      </c>
      <c r="F5" s="76" t="s">
        <v>498</v>
      </c>
      <c r="J5" s="10" t="s">
        <v>493</v>
      </c>
      <c r="L5" s="9">
        <v>45422</v>
      </c>
      <c r="M5" s="10" t="s">
        <v>494</v>
      </c>
      <c r="N5" s="10">
        <v>1</v>
      </c>
      <c r="O5" s="79" t="s">
        <v>495</v>
      </c>
      <c r="P5" s="79"/>
      <c r="X5" s="11" t="s">
        <v>499</v>
      </c>
      <c r="Y5" s="4">
        <v>45478</v>
      </c>
      <c r="Z5" s="1" t="s">
        <v>294</v>
      </c>
      <c r="AA5" t="s">
        <v>500</v>
      </c>
      <c r="AB5" s="1" t="s">
        <v>501</v>
      </c>
      <c r="AC5" t="s">
        <v>502</v>
      </c>
    </row>
    <row r="6" spans="1:29" ht="28.8" x14ac:dyDescent="0.3">
      <c r="A6" s="9">
        <v>45426</v>
      </c>
      <c r="B6"/>
      <c r="C6"/>
      <c r="D6" s="80">
        <f t="shared" si="0"/>
        <v>-0.52916666666715173</v>
      </c>
      <c r="F6" s="76"/>
      <c r="X6" s="11" t="s">
        <v>384</v>
      </c>
      <c r="Y6" s="4">
        <v>45520</v>
      </c>
      <c r="Z6" s="1" t="s">
        <v>295</v>
      </c>
      <c r="AB6" s="1"/>
    </row>
    <row r="7" spans="1:29" ht="28.8" x14ac:dyDescent="0.3">
      <c r="A7" s="9">
        <v>45448</v>
      </c>
      <c r="B7"/>
      <c r="C7" s="1" t="s">
        <v>378</v>
      </c>
      <c r="D7" s="80">
        <f t="shared" si="0"/>
        <v>21.470833333332848</v>
      </c>
      <c r="F7" s="76" t="s">
        <v>492</v>
      </c>
      <c r="G7" s="10" t="s">
        <v>503</v>
      </c>
      <c r="H7" s="10">
        <v>5</v>
      </c>
      <c r="I7" s="10">
        <v>1</v>
      </c>
      <c r="J7" s="10" t="s">
        <v>493</v>
      </c>
      <c r="L7" s="9">
        <v>45590</v>
      </c>
      <c r="M7" s="52" t="s">
        <v>504</v>
      </c>
      <c r="N7" s="10">
        <v>4</v>
      </c>
      <c r="O7" s="79" t="s">
        <v>495</v>
      </c>
      <c r="X7" s="11" t="s">
        <v>505</v>
      </c>
      <c r="Y7" s="4">
        <v>45531</v>
      </c>
      <c r="Z7" s="1" t="s">
        <v>296</v>
      </c>
      <c r="AB7" s="1"/>
    </row>
    <row r="8" spans="1:29" ht="28.8" x14ac:dyDescent="0.3">
      <c r="A8" s="9">
        <v>45457</v>
      </c>
      <c r="B8"/>
      <c r="C8" s="1" t="s">
        <v>506</v>
      </c>
      <c r="D8" s="80">
        <f t="shared" si="0"/>
        <v>30.470833333332848</v>
      </c>
      <c r="F8" s="76" t="s">
        <v>492</v>
      </c>
      <c r="G8" s="10" t="s">
        <v>503</v>
      </c>
      <c r="H8" s="10">
        <v>5</v>
      </c>
      <c r="I8" s="10">
        <v>5</v>
      </c>
      <c r="X8" s="11" t="s">
        <v>507</v>
      </c>
      <c r="Y8" s="81" t="s">
        <v>297</v>
      </c>
      <c r="Z8" s="1" t="s">
        <v>298</v>
      </c>
      <c r="AB8" s="1"/>
    </row>
    <row r="9" spans="1:29" ht="57.6" x14ac:dyDescent="0.3">
      <c r="A9" s="72">
        <v>45461.444444444445</v>
      </c>
      <c r="B9" t="s">
        <v>508</v>
      </c>
      <c r="C9" s="1" t="s">
        <v>509</v>
      </c>
      <c r="D9" s="80">
        <f t="shared" si="0"/>
        <v>34.915277777778101</v>
      </c>
      <c r="F9" s="76" t="s">
        <v>492</v>
      </c>
      <c r="G9" s="10" t="s">
        <v>503</v>
      </c>
      <c r="H9" s="10">
        <v>5</v>
      </c>
      <c r="I9" s="10">
        <v>1</v>
      </c>
      <c r="J9" s="10" t="s">
        <v>493</v>
      </c>
      <c r="L9" s="9">
        <v>45590</v>
      </c>
      <c r="M9" s="52" t="s">
        <v>510</v>
      </c>
      <c r="N9" s="10">
        <v>4</v>
      </c>
      <c r="O9" s="79" t="s">
        <v>495</v>
      </c>
      <c r="X9" s="11" t="s">
        <v>511</v>
      </c>
      <c r="Y9" s="4" t="s">
        <v>299</v>
      </c>
      <c r="Z9" s="1" t="s">
        <v>300</v>
      </c>
      <c r="AA9" t="s">
        <v>512</v>
      </c>
      <c r="AB9" s="1" t="s">
        <v>513</v>
      </c>
      <c r="AC9" t="s">
        <v>514</v>
      </c>
    </row>
    <row r="10" spans="1:29" ht="28.8" x14ac:dyDescent="0.3">
      <c r="A10" s="72">
        <v>45475</v>
      </c>
      <c r="B10"/>
      <c r="C10" s="1" t="s">
        <v>515</v>
      </c>
      <c r="D10" s="80">
        <f t="shared" si="0"/>
        <v>48.470833333332848</v>
      </c>
      <c r="F10" s="76" t="s">
        <v>492</v>
      </c>
      <c r="G10" s="10" t="s">
        <v>503</v>
      </c>
      <c r="H10" s="10">
        <v>3</v>
      </c>
      <c r="I10" s="10">
        <v>5</v>
      </c>
      <c r="Y10" s="4"/>
      <c r="Z10" s="1"/>
      <c r="AB10" s="1"/>
    </row>
    <row r="11" spans="1:29" ht="28.8" x14ac:dyDescent="0.3">
      <c r="A11" s="72">
        <v>45485</v>
      </c>
      <c r="B11"/>
      <c r="C11" s="1"/>
      <c r="D11" s="80">
        <f t="shared" si="0"/>
        <v>58.470833333332848</v>
      </c>
      <c r="F11" s="76" t="s">
        <v>492</v>
      </c>
      <c r="G11" s="10" t="s">
        <v>503</v>
      </c>
      <c r="H11" s="10">
        <v>5</v>
      </c>
      <c r="I11" s="10">
        <v>5</v>
      </c>
      <c r="Y11" s="4"/>
      <c r="Z11" s="1"/>
      <c r="AB11" s="1"/>
    </row>
    <row r="12" spans="1:29" ht="28.8" x14ac:dyDescent="0.3">
      <c r="A12" s="72">
        <v>45488</v>
      </c>
      <c r="B12"/>
      <c r="C12" s="1"/>
      <c r="D12" s="80">
        <f t="shared" si="0"/>
        <v>61.470833333332848</v>
      </c>
      <c r="F12" s="76" t="s">
        <v>492</v>
      </c>
      <c r="G12" s="10" t="s">
        <v>503</v>
      </c>
      <c r="H12" s="10">
        <v>5</v>
      </c>
      <c r="I12" s="10">
        <v>5</v>
      </c>
      <c r="X12" s="11" t="s">
        <v>516</v>
      </c>
      <c r="Y12" s="4">
        <v>45561</v>
      </c>
      <c r="Z12" s="1" t="s">
        <v>301</v>
      </c>
      <c r="AA12" t="s">
        <v>517</v>
      </c>
      <c r="AB12" s="1" t="s">
        <v>518</v>
      </c>
      <c r="AC12" t="s">
        <v>519</v>
      </c>
    </row>
    <row r="13" spans="1:29" ht="57.6" x14ac:dyDescent="0.3">
      <c r="A13" s="9">
        <v>45495</v>
      </c>
      <c r="B13"/>
      <c r="C13" s="1" t="s">
        <v>386</v>
      </c>
      <c r="D13" s="80">
        <f t="shared" si="0"/>
        <v>68.470833333332848</v>
      </c>
      <c r="F13" s="76" t="s">
        <v>492</v>
      </c>
      <c r="G13" s="10" t="s">
        <v>503</v>
      </c>
      <c r="H13" s="10">
        <v>5</v>
      </c>
      <c r="I13" s="10">
        <v>1</v>
      </c>
      <c r="J13" s="10" t="s">
        <v>493</v>
      </c>
      <c r="L13" s="9">
        <v>45590</v>
      </c>
      <c r="M13" s="52" t="s">
        <v>520</v>
      </c>
      <c r="N13" s="10">
        <v>4</v>
      </c>
      <c r="O13" s="79" t="s">
        <v>495</v>
      </c>
      <c r="S13" s="79"/>
      <c r="T13" s="79"/>
      <c r="U13" s="79"/>
      <c r="V13" s="79"/>
      <c r="W13" s="79"/>
      <c r="X13" s="11" t="s">
        <v>521</v>
      </c>
      <c r="Y13" s="4">
        <v>45572</v>
      </c>
      <c r="Z13" s="1" t="s">
        <v>302</v>
      </c>
      <c r="AB13" s="1" t="s">
        <v>522</v>
      </c>
      <c r="AC13" t="s">
        <v>406</v>
      </c>
    </row>
    <row r="14" spans="1:29" ht="43.2" x14ac:dyDescent="0.3">
      <c r="A14" s="72">
        <v>45509</v>
      </c>
      <c r="B14"/>
      <c r="C14" s="1" t="s">
        <v>391</v>
      </c>
      <c r="D14" s="80">
        <f t="shared" si="0"/>
        <v>82.470833333332848</v>
      </c>
      <c r="F14" s="76" t="s">
        <v>492</v>
      </c>
      <c r="G14" s="10" t="s">
        <v>503</v>
      </c>
      <c r="H14" s="10">
        <v>5</v>
      </c>
      <c r="I14" s="10">
        <v>1</v>
      </c>
      <c r="J14" s="10" t="s">
        <v>493</v>
      </c>
      <c r="L14" s="9">
        <v>45590</v>
      </c>
      <c r="M14" s="10" t="s">
        <v>523</v>
      </c>
      <c r="N14" s="10">
        <v>4</v>
      </c>
      <c r="O14" s="79" t="s">
        <v>495</v>
      </c>
      <c r="S14" s="79"/>
      <c r="T14" s="79"/>
      <c r="U14" s="79"/>
      <c r="V14" s="79"/>
      <c r="W14" s="79"/>
      <c r="Y14" s="4"/>
      <c r="Z14" s="1"/>
      <c r="AB14" s="1"/>
    </row>
    <row r="15" spans="1:29" ht="47.4" customHeight="1" x14ac:dyDescent="0.3">
      <c r="A15" s="72">
        <v>45517.395833333336</v>
      </c>
      <c r="B15" t="s">
        <v>508</v>
      </c>
      <c r="C15" s="1" t="s">
        <v>394</v>
      </c>
      <c r="D15" s="80">
        <f t="shared" si="0"/>
        <v>90.866666666668607</v>
      </c>
      <c r="F15" s="76" t="s">
        <v>492</v>
      </c>
      <c r="G15" s="10" t="s">
        <v>524</v>
      </c>
      <c r="H15" s="10" t="s">
        <v>525</v>
      </c>
      <c r="I15" s="10" t="s">
        <v>526</v>
      </c>
      <c r="J15" s="10" t="s">
        <v>493</v>
      </c>
      <c r="L15" s="9">
        <v>45590</v>
      </c>
      <c r="M15" s="10" t="s">
        <v>527</v>
      </c>
      <c r="N15" s="10">
        <v>4</v>
      </c>
      <c r="O15" s="79" t="s">
        <v>495</v>
      </c>
      <c r="X15" s="11" t="s">
        <v>528</v>
      </c>
      <c r="Y15" s="4">
        <v>45576</v>
      </c>
      <c r="Z15" s="1" t="s">
        <v>303</v>
      </c>
    </row>
    <row r="16" spans="1:29" ht="15" customHeight="1" x14ac:dyDescent="0.3">
      <c r="A16" s="72">
        <v>45524.504166666666</v>
      </c>
      <c r="B16" t="s">
        <v>508</v>
      </c>
      <c r="C16"/>
      <c r="D16" s="80">
        <f t="shared" si="0"/>
        <v>97.974999999998545</v>
      </c>
      <c r="F16" s="76" t="s">
        <v>492</v>
      </c>
      <c r="G16" s="10" t="s">
        <v>524</v>
      </c>
      <c r="H16" s="10" t="s">
        <v>525</v>
      </c>
      <c r="I16" s="10" t="s">
        <v>529</v>
      </c>
    </row>
    <row r="17" spans="1:19" ht="15" customHeight="1" x14ac:dyDescent="0.3">
      <c r="A17" s="72">
        <v>45531.472222222219</v>
      </c>
      <c r="B17" t="s">
        <v>508</v>
      </c>
      <c r="C17"/>
      <c r="D17" s="80">
        <f t="shared" si="0"/>
        <v>104.94305555555184</v>
      </c>
      <c r="F17" s="76" t="s">
        <v>492</v>
      </c>
      <c r="G17" s="10" t="s">
        <v>524</v>
      </c>
      <c r="H17" s="10" t="s">
        <v>525</v>
      </c>
      <c r="I17" s="10" t="s">
        <v>526</v>
      </c>
      <c r="J17" s="10" t="s">
        <v>493</v>
      </c>
      <c r="L17" s="9">
        <v>45590</v>
      </c>
      <c r="M17" s="10" t="s">
        <v>530</v>
      </c>
      <c r="N17" s="10">
        <v>4</v>
      </c>
      <c r="O17" s="79" t="s">
        <v>495</v>
      </c>
    </row>
    <row r="18" spans="1:19" ht="28.8" x14ac:dyDescent="0.3">
      <c r="A18" s="72">
        <v>45539.44027777778</v>
      </c>
      <c r="B18" t="s">
        <v>508</v>
      </c>
      <c r="C18"/>
      <c r="D18" s="80">
        <f t="shared" si="0"/>
        <v>112.9111111111124</v>
      </c>
      <c r="F18" s="76" t="s">
        <v>492</v>
      </c>
      <c r="G18" s="10" t="s">
        <v>524</v>
      </c>
      <c r="H18" s="10" t="s">
        <v>525</v>
      </c>
      <c r="I18" s="10" t="s">
        <v>529</v>
      </c>
    </row>
    <row r="19" spans="1:19" ht="15" customHeight="1" x14ac:dyDescent="0.3">
      <c r="A19" s="72">
        <v>45547.418749999997</v>
      </c>
      <c r="B19" t="s">
        <v>508</v>
      </c>
      <c r="C19"/>
      <c r="D19" s="80">
        <f t="shared" si="0"/>
        <v>120.88958333332994</v>
      </c>
      <c r="F19" s="76" t="s">
        <v>492</v>
      </c>
      <c r="G19" s="10" t="s">
        <v>524</v>
      </c>
      <c r="H19" s="10" t="s">
        <v>525</v>
      </c>
      <c r="I19" s="10" t="s">
        <v>529</v>
      </c>
    </row>
    <row r="20" spans="1:19" ht="38.4" customHeight="1" x14ac:dyDescent="0.3">
      <c r="A20" s="72">
        <v>45552.46597222222</v>
      </c>
      <c r="B20" t="s">
        <v>508</v>
      </c>
      <c r="C20" s="1" t="s">
        <v>399</v>
      </c>
      <c r="D20" s="80">
        <f t="shared" si="0"/>
        <v>125.93680555555329</v>
      </c>
      <c r="F20" s="76" t="s">
        <v>492</v>
      </c>
      <c r="G20" s="10" t="s">
        <v>524</v>
      </c>
      <c r="H20" s="10" t="s">
        <v>525</v>
      </c>
      <c r="I20" s="10" t="s">
        <v>526</v>
      </c>
      <c r="J20" s="10" t="s">
        <v>493</v>
      </c>
      <c r="L20" s="9">
        <v>45590</v>
      </c>
      <c r="M20" s="10" t="s">
        <v>531</v>
      </c>
      <c r="N20" s="10">
        <v>4</v>
      </c>
      <c r="O20" s="79" t="s">
        <v>495</v>
      </c>
      <c r="S20" s="11" t="s">
        <v>532</v>
      </c>
    </row>
    <row r="21" spans="1:19" ht="15" customHeight="1" x14ac:dyDescent="0.3">
      <c r="A21" s="72">
        <v>45559.545138888891</v>
      </c>
      <c r="B21" t="s">
        <v>508</v>
      </c>
      <c r="C21"/>
      <c r="D21" s="80">
        <f t="shared" si="0"/>
        <v>133.01597222222335</v>
      </c>
      <c r="F21" s="76" t="s">
        <v>492</v>
      </c>
      <c r="G21" s="10" t="s">
        <v>524</v>
      </c>
      <c r="H21" s="10" t="s">
        <v>525</v>
      </c>
      <c r="I21" s="10" t="s">
        <v>529</v>
      </c>
      <c r="S21" s="11" t="s">
        <v>533</v>
      </c>
    </row>
    <row r="22" spans="1:19" ht="43.2" x14ac:dyDescent="0.3">
      <c r="A22" s="73">
        <v>45566.416666666664</v>
      </c>
      <c r="B22" t="s">
        <v>508</v>
      </c>
      <c r="C22" s="1" t="s">
        <v>404</v>
      </c>
      <c r="D22" s="80">
        <f t="shared" si="0"/>
        <v>139.88749999999709</v>
      </c>
      <c r="F22" s="76" t="s">
        <v>492</v>
      </c>
      <c r="G22" s="10" t="s">
        <v>524</v>
      </c>
      <c r="H22" s="10" t="s">
        <v>525</v>
      </c>
      <c r="I22" s="10" t="s">
        <v>526</v>
      </c>
      <c r="J22" s="10" t="s">
        <v>493</v>
      </c>
      <c r="L22" s="9">
        <v>45590</v>
      </c>
      <c r="M22" s="10" t="s">
        <v>534</v>
      </c>
      <c r="N22" s="10">
        <v>4</v>
      </c>
      <c r="O22" s="79" t="s">
        <v>495</v>
      </c>
    </row>
    <row r="23" spans="1:19" ht="15" customHeight="1" x14ac:dyDescent="0.3">
      <c r="A23" s="72">
        <v>45573.566666666666</v>
      </c>
      <c r="B23"/>
      <c r="C23"/>
      <c r="D23" s="80">
        <f t="shared" si="0"/>
        <v>147.03749999999854</v>
      </c>
      <c r="F23" s="76" t="s">
        <v>492</v>
      </c>
      <c r="G23" s="10" t="s">
        <v>524</v>
      </c>
      <c r="H23" s="10" t="s">
        <v>525</v>
      </c>
      <c r="I23" s="10" t="s">
        <v>529</v>
      </c>
    </row>
    <row r="24" spans="1:19" ht="15" customHeight="1" x14ac:dyDescent="0.3">
      <c r="A24" s="74">
        <v>45575.618055555555</v>
      </c>
      <c r="B24"/>
      <c r="C24" s="1" t="s">
        <v>535</v>
      </c>
      <c r="D24" s="80">
        <f t="shared" si="0"/>
        <v>149.0888888888876</v>
      </c>
      <c r="F24" s="76" t="s">
        <v>492</v>
      </c>
      <c r="G24" s="10" t="s">
        <v>524</v>
      </c>
      <c r="H24" s="10" t="s">
        <v>525</v>
      </c>
      <c r="I24" s="10" t="s">
        <v>526</v>
      </c>
      <c r="J24" s="10" t="s">
        <v>493</v>
      </c>
      <c r="L24" s="9">
        <v>45590</v>
      </c>
      <c r="M24" s="10" t="s">
        <v>536</v>
      </c>
      <c r="N24" s="10">
        <v>4</v>
      </c>
      <c r="O24" s="79" t="s">
        <v>495</v>
      </c>
    </row>
    <row r="25" spans="1:19" ht="15" customHeight="1" x14ac:dyDescent="0.3">
      <c r="A25" s="72">
        <v>45580</v>
      </c>
      <c r="B25"/>
      <c r="C25" s="1"/>
      <c r="D25" s="80">
        <f t="shared" si="0"/>
        <v>153.47083333333285</v>
      </c>
      <c r="F25" s="76" t="s">
        <v>492</v>
      </c>
      <c r="G25" s="10" t="s">
        <v>524</v>
      </c>
      <c r="H25" s="10" t="s">
        <v>525</v>
      </c>
      <c r="I25" s="10" t="s">
        <v>529</v>
      </c>
    </row>
    <row r="26" spans="1:19" ht="15" customHeight="1" x14ac:dyDescent="0.3">
      <c r="A26" s="72">
        <v>45587.616666666669</v>
      </c>
      <c r="B26"/>
      <c r="C26" t="s">
        <v>408</v>
      </c>
      <c r="D26" s="80">
        <f t="shared" si="0"/>
        <v>161.08750000000146</v>
      </c>
      <c r="F26" s="76" t="s">
        <v>492</v>
      </c>
      <c r="G26" s="10" t="s">
        <v>524</v>
      </c>
      <c r="H26" s="10" t="s">
        <v>525</v>
      </c>
      <c r="I26" s="10" t="s">
        <v>526</v>
      </c>
      <c r="J26" s="10" t="s">
        <v>493</v>
      </c>
      <c r="L26" s="9">
        <v>45590</v>
      </c>
      <c r="M26" s="10" t="s">
        <v>537</v>
      </c>
      <c r="N26" s="10">
        <v>4</v>
      </c>
      <c r="O26" s="79" t="s">
        <v>495</v>
      </c>
    </row>
    <row r="27" spans="1:19" ht="15" customHeight="1" x14ac:dyDescent="0.3">
      <c r="A27" s="8">
        <v>45594.519444444442</v>
      </c>
      <c r="B27"/>
      <c r="C27"/>
      <c r="D27" s="80">
        <f t="shared" si="0"/>
        <v>167.99027777777519</v>
      </c>
      <c r="F27" s="52" t="s">
        <v>538</v>
      </c>
      <c r="G27" s="10" t="s">
        <v>524</v>
      </c>
      <c r="H27" s="10" t="s">
        <v>525</v>
      </c>
      <c r="I27" s="10" t="s">
        <v>529</v>
      </c>
    </row>
    <row r="28" spans="1:19" ht="15" customHeight="1" x14ac:dyDescent="0.3">
      <c r="A28" s="8">
        <v>45601.51666666667</v>
      </c>
      <c r="B28"/>
      <c r="C28"/>
      <c r="D28" s="80">
        <f t="shared" si="0"/>
        <v>174.98750000000291</v>
      </c>
      <c r="F28" s="52" t="s">
        <v>538</v>
      </c>
      <c r="G28" s="10" t="s">
        <v>524</v>
      </c>
      <c r="H28" s="10" t="s">
        <v>525</v>
      </c>
      <c r="I28" s="10" t="s">
        <v>529</v>
      </c>
    </row>
    <row r="29" spans="1:19" ht="43.2" x14ac:dyDescent="0.3">
      <c r="A29" s="8">
        <v>45608.475694444445</v>
      </c>
      <c r="B29" t="s">
        <v>539</v>
      </c>
      <c r="C29" s="1" t="s">
        <v>411</v>
      </c>
      <c r="D29" s="80">
        <f t="shared" si="0"/>
        <v>181.9465277777781</v>
      </c>
      <c r="F29" s="52" t="s">
        <v>538</v>
      </c>
      <c r="G29" s="10" t="s">
        <v>524</v>
      </c>
      <c r="H29" s="10" t="s">
        <v>525</v>
      </c>
      <c r="I29" s="10" t="s">
        <v>526</v>
      </c>
      <c r="J29" s="10" t="s">
        <v>493</v>
      </c>
      <c r="K29" s="52" t="s">
        <v>540</v>
      </c>
      <c r="L29" s="9">
        <v>45720</v>
      </c>
      <c r="M29" s="10" t="s">
        <v>541</v>
      </c>
    </row>
    <row r="30" spans="1:19" ht="43.2" x14ac:dyDescent="0.3">
      <c r="A30" s="8">
        <v>45615.604166666664</v>
      </c>
      <c r="B30" t="s">
        <v>542</v>
      </c>
      <c r="C30" s="1" t="s">
        <v>413</v>
      </c>
      <c r="D30" s="80">
        <f t="shared" si="0"/>
        <v>189.07499999999709</v>
      </c>
      <c r="F30" s="52" t="s">
        <v>543</v>
      </c>
      <c r="G30" s="10" t="s">
        <v>524</v>
      </c>
      <c r="H30" s="10" t="s">
        <v>525</v>
      </c>
      <c r="I30" s="10" t="s">
        <v>526</v>
      </c>
      <c r="J30" s="10" t="s">
        <v>493</v>
      </c>
      <c r="K30" s="52" t="s">
        <v>540</v>
      </c>
      <c r="L30" s="9">
        <v>45720</v>
      </c>
      <c r="M30" s="10" t="s">
        <v>544</v>
      </c>
    </row>
    <row r="31" spans="1:19" ht="43.2" x14ac:dyDescent="0.3">
      <c r="A31" s="8">
        <v>45636.479166666664</v>
      </c>
      <c r="B31" t="s">
        <v>539</v>
      </c>
      <c r="C31" s="1" t="s">
        <v>415</v>
      </c>
      <c r="D31" s="80">
        <f t="shared" si="0"/>
        <v>209.94999999999709</v>
      </c>
      <c r="F31" s="52" t="s">
        <v>543</v>
      </c>
      <c r="G31" s="10" t="s">
        <v>524</v>
      </c>
      <c r="H31" s="10" t="s">
        <v>525</v>
      </c>
      <c r="I31" s="10" t="s">
        <v>526</v>
      </c>
      <c r="J31" s="10" t="s">
        <v>493</v>
      </c>
      <c r="K31" s="52" t="s">
        <v>540</v>
      </c>
      <c r="L31" s="9">
        <v>45720</v>
      </c>
      <c r="M31" s="10" t="s">
        <v>545</v>
      </c>
    </row>
    <row r="32" spans="1:19" ht="43.2" x14ac:dyDescent="0.3">
      <c r="A32" s="8">
        <v>45664.541666666664</v>
      </c>
      <c r="B32" t="s">
        <v>539</v>
      </c>
      <c r="C32" s="1" t="s">
        <v>417</v>
      </c>
      <c r="D32" s="80">
        <f t="shared" si="0"/>
        <v>238.01249999999709</v>
      </c>
      <c r="F32" s="52" t="s">
        <v>543</v>
      </c>
      <c r="G32" s="10" t="s">
        <v>524</v>
      </c>
      <c r="H32" s="10" t="s">
        <v>525</v>
      </c>
      <c r="I32" s="10" t="s">
        <v>526</v>
      </c>
      <c r="J32" s="10" t="s">
        <v>493</v>
      </c>
      <c r="K32" s="52" t="s">
        <v>540</v>
      </c>
      <c r="L32" s="9">
        <v>45720</v>
      </c>
      <c r="M32" s="10" t="s">
        <v>546</v>
      </c>
    </row>
    <row r="33" spans="1:13" ht="15" customHeight="1" x14ac:dyDescent="0.3">
      <c r="A33" s="8">
        <v>45688.470138888886</v>
      </c>
      <c r="C33" s="52"/>
      <c r="D33" s="80">
        <f t="shared" si="0"/>
        <v>261.94097222221899</v>
      </c>
      <c r="F33" s="10" t="s">
        <v>543</v>
      </c>
      <c r="G33" s="10" t="s">
        <v>524</v>
      </c>
      <c r="H33" s="10" t="s">
        <v>547</v>
      </c>
      <c r="I33" s="10" t="s">
        <v>548</v>
      </c>
    </row>
    <row r="34" spans="1:13" ht="57.6" x14ac:dyDescent="0.3">
      <c r="A34" s="8">
        <v>45709.624305555553</v>
      </c>
      <c r="B34" s="10" t="s">
        <v>539</v>
      </c>
      <c r="C34" s="52" t="s">
        <v>419</v>
      </c>
      <c r="D34" s="80">
        <f t="shared" si="0"/>
        <v>283.09513888888614</v>
      </c>
      <c r="F34" s="10" t="s">
        <v>543</v>
      </c>
      <c r="G34" s="10" t="s">
        <v>524</v>
      </c>
      <c r="H34" s="10" t="s">
        <v>547</v>
      </c>
      <c r="I34" s="10" t="s">
        <v>549</v>
      </c>
      <c r="J34" s="10" t="s">
        <v>493</v>
      </c>
      <c r="L34" s="9">
        <v>45720</v>
      </c>
      <c r="M34" s="10" t="s">
        <v>550</v>
      </c>
    </row>
    <row r="35" spans="1:13" ht="15" customHeight="1" x14ac:dyDescent="0.3">
      <c r="C35" s="52"/>
      <c r="D35" s="80">
        <f t="shared" si="0"/>
        <v>-45426.529166666667</v>
      </c>
    </row>
    <row r="36" spans="1:13" ht="15" customHeight="1" x14ac:dyDescent="0.3">
      <c r="C36" s="52"/>
      <c r="D36" s="80">
        <f t="shared" si="0"/>
        <v>-45426.529166666667</v>
      </c>
    </row>
    <row r="37" spans="1:13" ht="15" customHeight="1" x14ac:dyDescent="0.3">
      <c r="C37" s="5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47A13-2E15-4727-82B2-063780AB3CFC}">
  <dimension ref="A1:AG69"/>
  <sheetViews>
    <sheetView workbookViewId="0">
      <pane ySplit="4" topLeftCell="A32" activePane="bottomLeft" state="frozen"/>
      <selection pane="bottomLeft" activeCell="C59" sqref="C59"/>
    </sheetView>
  </sheetViews>
  <sheetFormatPr defaultColWidth="9.109375" defaultRowHeight="15" customHeight="1" x14ac:dyDescent="0.3"/>
  <cols>
    <col min="1" max="2" width="15.88671875" customWidth="1"/>
    <col min="3" max="4" width="19.33203125" style="10" customWidth="1"/>
    <col min="5" max="5" width="41" style="10" customWidth="1"/>
    <col min="6" max="6" width="19.33203125" style="10" customWidth="1"/>
    <col min="7" max="12" width="15.5546875" style="10" customWidth="1"/>
    <col min="13" max="13" width="16.88671875" style="10" customWidth="1"/>
    <col min="14" max="14" width="15" style="10" customWidth="1"/>
    <col min="15" max="15" width="17.5546875" customWidth="1"/>
    <col min="16" max="16" width="18.88671875" style="10" customWidth="1"/>
    <col min="17" max="17" width="11.6640625" style="10" customWidth="1"/>
    <col min="18" max="18" width="12.6640625" style="10" customWidth="1"/>
    <col min="19" max="20" width="12.6640625" style="11" customWidth="1"/>
    <col min="21" max="21" width="11.88671875" style="11" customWidth="1"/>
    <col min="22" max="22" width="11.109375" style="11" customWidth="1"/>
    <col min="23" max="27" width="11.44140625" style="11" customWidth="1"/>
    <col min="28" max="28" width="12.33203125" style="11" customWidth="1"/>
    <col min="29" max="29" width="14.5546875" customWidth="1"/>
    <col min="30" max="30" width="29.44140625" customWidth="1"/>
    <col min="32" max="32" width="14.109375" customWidth="1"/>
  </cols>
  <sheetData>
    <row r="1" spans="1:33" ht="15" customHeight="1" x14ac:dyDescent="0.3">
      <c r="M1" s="10" t="s">
        <v>551</v>
      </c>
      <c r="N1" s="10">
        <v>20</v>
      </c>
      <c r="O1" s="10" t="s">
        <v>551</v>
      </c>
      <c r="P1" s="10">
        <v>20</v>
      </c>
    </row>
    <row r="2" spans="1:33" ht="15" customHeight="1" x14ac:dyDescent="0.3">
      <c r="M2" s="10" t="s">
        <v>552</v>
      </c>
      <c r="N2" s="10">
        <v>20</v>
      </c>
      <c r="O2" s="10" t="s">
        <v>552</v>
      </c>
      <c r="P2" s="10">
        <v>2</v>
      </c>
    </row>
    <row r="3" spans="1:33" ht="15" customHeight="1" x14ac:dyDescent="0.35">
      <c r="D3"/>
      <c r="E3"/>
      <c r="F3"/>
      <c r="M3" s="135" t="s">
        <v>553</v>
      </c>
      <c r="N3" s="136"/>
      <c r="O3" s="135" t="s">
        <v>554</v>
      </c>
      <c r="P3" s="135"/>
      <c r="Q3" s="78"/>
      <c r="T3" s="78"/>
      <c r="U3" s="78"/>
      <c r="AB3" s="78"/>
    </row>
    <row r="4" spans="1:33" ht="14.4" x14ac:dyDescent="0.3">
      <c r="A4" s="12" t="s">
        <v>555</v>
      </c>
      <c r="B4" s="12"/>
      <c r="C4" s="6" t="s">
        <v>556</v>
      </c>
      <c r="D4" s="3" t="s">
        <v>482</v>
      </c>
      <c r="E4" s="3" t="s">
        <v>557</v>
      </c>
      <c r="F4" s="89" t="s">
        <v>558</v>
      </c>
      <c r="G4" s="89" t="s">
        <v>559</v>
      </c>
      <c r="H4" s="89" t="s">
        <v>560</v>
      </c>
      <c r="I4" s="89" t="s">
        <v>561</v>
      </c>
      <c r="J4" s="89" t="s">
        <v>562</v>
      </c>
      <c r="K4" s="89" t="s">
        <v>563</v>
      </c>
      <c r="L4" s="89" t="s">
        <v>564</v>
      </c>
      <c r="M4" s="90" t="s">
        <v>565</v>
      </c>
      <c r="N4" s="90" t="s">
        <v>566</v>
      </c>
      <c r="O4" s="96" t="s">
        <v>565</v>
      </c>
      <c r="P4" s="96" t="s">
        <v>566</v>
      </c>
      <c r="Q4" s="55"/>
      <c r="R4" s="6"/>
      <c r="S4" s="77"/>
      <c r="T4" s="55"/>
      <c r="U4" s="77"/>
      <c r="V4" s="6"/>
      <c r="W4" s="77"/>
      <c r="X4" s="77"/>
      <c r="Y4" s="77"/>
      <c r="Z4" s="77"/>
      <c r="AA4" s="77"/>
      <c r="AB4" s="7"/>
      <c r="AC4" s="3"/>
      <c r="AD4" s="75"/>
      <c r="AE4" s="6"/>
      <c r="AF4" s="12"/>
      <c r="AG4" s="3"/>
    </row>
    <row r="5" spans="1:33" ht="14.4" x14ac:dyDescent="0.3">
      <c r="A5" t="s">
        <v>490</v>
      </c>
      <c r="B5" t="e">
        <f>MROUND(C5-SRT.HRT!$B$3,1)</f>
        <v>#NUM!</v>
      </c>
      <c r="C5" s="8">
        <v>45422.571527777778</v>
      </c>
      <c r="D5" s="9">
        <v>45426</v>
      </c>
      <c r="E5" s="9"/>
      <c r="F5" s="20">
        <v>27.86</v>
      </c>
      <c r="G5" s="20">
        <v>2.4900000000000002</v>
      </c>
      <c r="H5" s="20"/>
      <c r="I5" s="20"/>
      <c r="J5" s="20">
        <v>0</v>
      </c>
      <c r="K5" s="93" t="s">
        <v>567</v>
      </c>
      <c r="L5" s="76"/>
      <c r="M5" s="94">
        <f t="shared" ref="M5:M31" si="0">IF(F5&lt;$N$2,"next", $N$1*$N$2/F5)</f>
        <v>14.357501794687725</v>
      </c>
      <c r="N5" s="94">
        <f t="shared" ref="N5:N31" si="1">$N$1-M5</f>
        <v>5.6424982053122754</v>
      </c>
      <c r="O5" s="95">
        <f t="shared" ref="O5:O36" si="2">IF(M5="next",$P$2*$P$1/F5, $P$2*$P$1/$N$2)</f>
        <v>2</v>
      </c>
      <c r="P5" s="94">
        <f t="shared" ref="P5:P31" si="3">$P$1-O5</f>
        <v>18</v>
      </c>
      <c r="S5" s="79"/>
      <c r="T5" s="79"/>
      <c r="AC5" s="4"/>
      <c r="AD5" s="1"/>
      <c r="AF5" s="4"/>
    </row>
    <row r="6" spans="1:33" ht="14.4" x14ac:dyDescent="0.3">
      <c r="A6" t="s">
        <v>497</v>
      </c>
      <c r="B6" t="e">
        <f>MROUND(C6-SRT.HRT!$B$3,1)</f>
        <v>#NUM!</v>
      </c>
      <c r="C6" s="8">
        <v>45422.571527777778</v>
      </c>
      <c r="D6" s="9">
        <v>45426</v>
      </c>
      <c r="E6" s="9"/>
      <c r="F6" s="20">
        <v>22.58</v>
      </c>
      <c r="G6" s="20">
        <v>1.84</v>
      </c>
      <c r="H6" s="20"/>
      <c r="I6" s="20"/>
      <c r="J6" s="20">
        <v>5.0000000000000001E-3</v>
      </c>
      <c r="K6" s="93" t="s">
        <v>567</v>
      </c>
      <c r="L6" s="76"/>
      <c r="M6" s="94">
        <f>IF(F6&lt;$N$2,"next", $N$1*$N$2/F6)</f>
        <v>17.714791851195749</v>
      </c>
      <c r="N6" s="94">
        <f>$N$1-M6</f>
        <v>2.2852081488042515</v>
      </c>
      <c r="O6" s="95">
        <f t="shared" si="2"/>
        <v>2</v>
      </c>
      <c r="P6" s="94">
        <f>$P$1-O6</f>
        <v>18</v>
      </c>
      <c r="S6" s="79"/>
      <c r="T6" s="79"/>
      <c r="AC6" s="4"/>
      <c r="AD6" s="1"/>
      <c r="AF6" s="1"/>
    </row>
    <row r="7" spans="1:33" ht="14.4" x14ac:dyDescent="0.3">
      <c r="B7" t="e">
        <f>MROUND(C7-SRT.HRT!$B$3,1)</f>
        <v>#NUM!</v>
      </c>
      <c r="C7" s="9">
        <v>45426</v>
      </c>
      <c r="D7"/>
      <c r="E7"/>
      <c r="F7" s="20">
        <v>68.25</v>
      </c>
      <c r="G7" s="20">
        <v>2.09</v>
      </c>
      <c r="H7" s="20"/>
      <c r="I7" s="20"/>
      <c r="J7" s="20">
        <v>4.9000000000000002E-2</v>
      </c>
      <c r="K7" s="93" t="s">
        <v>567</v>
      </c>
      <c r="L7" s="76"/>
      <c r="M7" s="94">
        <f t="shared" si="0"/>
        <v>5.8608058608058604</v>
      </c>
      <c r="N7" s="94">
        <f t="shared" si="1"/>
        <v>14.139194139194139</v>
      </c>
      <c r="O7" s="95">
        <f t="shared" si="2"/>
        <v>2</v>
      </c>
      <c r="P7" s="94">
        <f t="shared" si="3"/>
        <v>18</v>
      </c>
      <c r="AC7" s="4"/>
      <c r="AD7" s="1"/>
      <c r="AF7" s="1"/>
    </row>
    <row r="8" spans="1:33" ht="14.4" x14ac:dyDescent="0.3">
      <c r="A8" t="s">
        <v>568</v>
      </c>
      <c r="B8">
        <f>MROUND(C8-SRT.HRT!$B$3,1)</f>
        <v>21</v>
      </c>
      <c r="C8" s="9">
        <v>45448</v>
      </c>
      <c r="D8" s="9">
        <v>45590</v>
      </c>
      <c r="E8" s="9"/>
      <c r="F8" s="20">
        <v>92.99</v>
      </c>
      <c r="G8" s="20">
        <v>2</v>
      </c>
      <c r="H8" s="20"/>
      <c r="I8" s="20"/>
      <c r="J8" s="20">
        <v>7.5999999999999998E-2</v>
      </c>
      <c r="K8" s="93" t="s">
        <v>567</v>
      </c>
      <c r="L8" s="76"/>
      <c r="M8" s="94">
        <f t="shared" si="0"/>
        <v>4.3015377997634152</v>
      </c>
      <c r="N8" s="94">
        <f t="shared" si="1"/>
        <v>15.698462200236584</v>
      </c>
      <c r="O8" s="95">
        <f t="shared" si="2"/>
        <v>2</v>
      </c>
      <c r="P8" s="94">
        <f t="shared" si="3"/>
        <v>18</v>
      </c>
      <c r="AC8" s="4"/>
      <c r="AD8" s="1"/>
      <c r="AF8" s="1"/>
    </row>
    <row r="9" spans="1:33" ht="14.4" x14ac:dyDescent="0.3">
      <c r="A9" t="s">
        <v>569</v>
      </c>
      <c r="B9">
        <f>MROUND(C9-SRT.HRT!$B$3,1)</f>
        <v>21</v>
      </c>
      <c r="C9" s="9">
        <v>45448</v>
      </c>
      <c r="D9" s="9">
        <v>45590</v>
      </c>
      <c r="E9" s="9"/>
      <c r="F9" s="20">
        <v>7.97</v>
      </c>
      <c r="G9" s="20">
        <v>3.88</v>
      </c>
      <c r="H9" s="20"/>
      <c r="I9" s="20"/>
      <c r="J9" s="20">
        <v>-0.45100000000000001</v>
      </c>
      <c r="K9" s="20">
        <v>-0.14499999999999999</v>
      </c>
      <c r="L9" s="76"/>
      <c r="M9" s="94" t="str">
        <f t="shared" si="0"/>
        <v>next</v>
      </c>
      <c r="N9" s="94" t="e">
        <f t="shared" si="1"/>
        <v>#VALUE!</v>
      </c>
      <c r="O9" s="95">
        <f t="shared" si="2"/>
        <v>5.0188205771643668</v>
      </c>
      <c r="P9" s="94">
        <f t="shared" si="3"/>
        <v>14.981179422835634</v>
      </c>
      <c r="AC9" s="81"/>
      <c r="AD9" s="1"/>
      <c r="AF9" s="1"/>
    </row>
    <row r="10" spans="1:33" ht="14.4" x14ac:dyDescent="0.3">
      <c r="A10" t="s">
        <v>570</v>
      </c>
      <c r="B10">
        <f>MROUND(C10-SRT.HRT!$B$3,1)</f>
        <v>35</v>
      </c>
      <c r="C10" s="124">
        <v>45461.444444444445</v>
      </c>
      <c r="D10" s="9">
        <v>45590</v>
      </c>
      <c r="E10" s="9"/>
      <c r="F10" s="20">
        <v>33.020000000000003</v>
      </c>
      <c r="G10" s="20">
        <v>2.09</v>
      </c>
      <c r="H10" s="20"/>
      <c r="I10" s="20"/>
      <c r="J10" s="20">
        <v>-2.5999999999999999E-2</v>
      </c>
      <c r="K10" s="93" t="s">
        <v>567</v>
      </c>
      <c r="L10" s="76"/>
      <c r="M10" s="94">
        <f t="shared" si="0"/>
        <v>12.113870381586915</v>
      </c>
      <c r="N10" s="94">
        <f t="shared" si="1"/>
        <v>7.8861296184130847</v>
      </c>
      <c r="O10" s="95">
        <f t="shared" si="2"/>
        <v>2</v>
      </c>
      <c r="P10" s="94">
        <f t="shared" si="3"/>
        <v>18</v>
      </c>
      <c r="AC10" s="4"/>
      <c r="AD10" s="1"/>
      <c r="AF10" s="1"/>
    </row>
    <row r="11" spans="1:33" ht="14.4" x14ac:dyDescent="0.3">
      <c r="A11" t="s">
        <v>571</v>
      </c>
      <c r="B11">
        <f>MROUND(C11-SRT.HRT!$B$3,1)</f>
        <v>35</v>
      </c>
      <c r="C11" s="124">
        <v>45461.444444444445</v>
      </c>
      <c r="D11" s="9">
        <v>45590</v>
      </c>
      <c r="E11" s="9"/>
      <c r="F11" s="20">
        <v>95.03</v>
      </c>
      <c r="G11" s="20">
        <v>2.21</v>
      </c>
      <c r="H11" s="20"/>
      <c r="I11" s="20"/>
      <c r="J11" s="20">
        <v>-0.30599999999999999</v>
      </c>
      <c r="K11" s="93" t="s">
        <v>567</v>
      </c>
      <c r="L11" s="76"/>
      <c r="M11" s="94">
        <f t="shared" si="0"/>
        <v>4.2091970956540044</v>
      </c>
      <c r="N11" s="94">
        <f t="shared" si="1"/>
        <v>15.790802904345995</v>
      </c>
      <c r="O11" s="95">
        <f t="shared" si="2"/>
        <v>2</v>
      </c>
      <c r="P11" s="94">
        <f t="shared" si="3"/>
        <v>18</v>
      </c>
      <c r="AC11" s="4"/>
      <c r="AD11" s="1"/>
      <c r="AF11" s="1"/>
    </row>
    <row r="12" spans="1:33" ht="14.4" x14ac:dyDescent="0.3">
      <c r="A12" t="s">
        <v>572</v>
      </c>
      <c r="B12">
        <f>MROUND(C12-SRT.HRT!$B$3,1)</f>
        <v>68</v>
      </c>
      <c r="C12" s="9">
        <v>45495</v>
      </c>
      <c r="D12" s="9">
        <v>45590</v>
      </c>
      <c r="E12" s="9"/>
      <c r="F12" s="20">
        <v>312.47000000000003</v>
      </c>
      <c r="G12" s="20">
        <v>2.02</v>
      </c>
      <c r="H12" s="20"/>
      <c r="I12" s="20"/>
      <c r="J12" s="20">
        <v>0.28299999999999997</v>
      </c>
      <c r="K12" s="93" t="s">
        <v>567</v>
      </c>
      <c r="L12" s="76"/>
      <c r="M12" s="94">
        <f t="shared" si="0"/>
        <v>1.2801228917976124</v>
      </c>
      <c r="N12" s="94">
        <f t="shared" si="1"/>
        <v>18.719877108202386</v>
      </c>
      <c r="O12" s="95">
        <f t="shared" si="2"/>
        <v>2</v>
      </c>
      <c r="P12" s="94">
        <f t="shared" si="3"/>
        <v>18</v>
      </c>
      <c r="AC12" s="4"/>
      <c r="AD12" s="1"/>
      <c r="AF12" s="1"/>
    </row>
    <row r="13" spans="1:33" ht="14.4" x14ac:dyDescent="0.3">
      <c r="A13" t="s">
        <v>573</v>
      </c>
      <c r="B13">
        <f>MROUND(C13-SRT.HRT!$B$3,1)</f>
        <v>68</v>
      </c>
      <c r="C13" s="9">
        <v>45495</v>
      </c>
      <c r="D13" s="9">
        <v>45590</v>
      </c>
      <c r="E13" s="9"/>
      <c r="F13" s="20">
        <v>10.14</v>
      </c>
      <c r="G13" s="20">
        <v>2.54</v>
      </c>
      <c r="H13" s="20"/>
      <c r="I13" s="20"/>
      <c r="J13" s="20">
        <v>-0.52</v>
      </c>
      <c r="K13" s="20">
        <v>0.05</v>
      </c>
      <c r="L13" s="76"/>
      <c r="M13" s="94" t="str">
        <f t="shared" si="0"/>
        <v>next</v>
      </c>
      <c r="N13" s="94" t="e">
        <f t="shared" si="1"/>
        <v>#VALUE!</v>
      </c>
      <c r="O13" s="95">
        <f t="shared" si="2"/>
        <v>3.944773175542406</v>
      </c>
      <c r="P13" s="94">
        <f t="shared" si="3"/>
        <v>16.055226824457595</v>
      </c>
      <c r="AC13" s="4"/>
      <c r="AD13" s="1"/>
      <c r="AF13" s="1"/>
    </row>
    <row r="14" spans="1:33" ht="14.4" x14ac:dyDescent="0.3">
      <c r="A14" t="s">
        <v>574</v>
      </c>
      <c r="B14">
        <f>MROUND(C14-SRT.HRT!$B$3,1)</f>
        <v>82</v>
      </c>
      <c r="C14" s="124">
        <v>45509</v>
      </c>
      <c r="D14" s="9">
        <v>45590</v>
      </c>
      <c r="E14" s="9"/>
      <c r="F14" s="20">
        <v>69.680000000000007</v>
      </c>
      <c r="G14" s="20">
        <v>2.12</v>
      </c>
      <c r="H14" s="20"/>
      <c r="I14" s="20"/>
      <c r="J14" s="20">
        <v>3.1E-2</v>
      </c>
      <c r="K14" s="93" t="s">
        <v>567</v>
      </c>
      <c r="L14" s="76"/>
      <c r="M14" s="94">
        <f t="shared" si="0"/>
        <v>5.7405281285878296</v>
      </c>
      <c r="N14" s="94">
        <f t="shared" si="1"/>
        <v>14.25947187141217</v>
      </c>
      <c r="O14" s="95">
        <f t="shared" si="2"/>
        <v>2</v>
      </c>
      <c r="P14" s="94">
        <f t="shared" si="3"/>
        <v>18</v>
      </c>
      <c r="Y14" s="79"/>
      <c r="Z14" s="79"/>
      <c r="AA14" s="79"/>
      <c r="AC14" s="4"/>
      <c r="AD14" s="1"/>
      <c r="AF14" s="1"/>
    </row>
    <row r="15" spans="1:33" ht="14.4" x14ac:dyDescent="0.3">
      <c r="A15" t="s">
        <v>575</v>
      </c>
      <c r="B15">
        <f>MROUND(C15-SRT.HRT!$B$3,1)</f>
        <v>82</v>
      </c>
      <c r="C15" s="124">
        <v>45509</v>
      </c>
      <c r="D15" s="9">
        <v>45590</v>
      </c>
      <c r="E15" s="9"/>
      <c r="F15" s="20">
        <v>79.14</v>
      </c>
      <c r="G15" s="20">
        <v>2.11</v>
      </c>
      <c r="H15" s="20"/>
      <c r="I15" s="20"/>
      <c r="J15" s="20">
        <v>4.5999999999999999E-2</v>
      </c>
      <c r="K15" s="93" t="s">
        <v>567</v>
      </c>
      <c r="L15" s="76"/>
      <c r="M15" s="94">
        <f t="shared" si="0"/>
        <v>5.0543340914834474</v>
      </c>
      <c r="N15" s="94">
        <f t="shared" si="1"/>
        <v>14.945665908516553</v>
      </c>
      <c r="O15" s="95">
        <f t="shared" si="2"/>
        <v>2</v>
      </c>
      <c r="P15" s="94">
        <f t="shared" si="3"/>
        <v>18</v>
      </c>
      <c r="Y15" s="79"/>
      <c r="Z15" s="79"/>
      <c r="AA15" s="79"/>
      <c r="AC15" s="4"/>
      <c r="AD15" s="1"/>
      <c r="AF15" s="1"/>
    </row>
    <row r="16" spans="1:33" ht="47.4" customHeight="1" x14ac:dyDescent="0.3">
      <c r="A16" t="s">
        <v>576</v>
      </c>
      <c r="B16">
        <f>MROUND(C16-SRT.HRT!$B$3,1)</f>
        <v>91</v>
      </c>
      <c r="C16" s="124">
        <v>45517.395833333336</v>
      </c>
      <c r="D16" s="9">
        <v>45590</v>
      </c>
      <c r="E16" s="9"/>
      <c r="F16" s="20">
        <v>66.77</v>
      </c>
      <c r="G16" s="20">
        <v>2.13</v>
      </c>
      <c r="H16" s="20"/>
      <c r="I16" s="20"/>
      <c r="J16" s="20">
        <v>6.2E-2</v>
      </c>
      <c r="K16" s="93" t="s">
        <v>567</v>
      </c>
      <c r="L16" s="76"/>
      <c r="M16" s="94">
        <f t="shared" si="0"/>
        <v>5.9907143926913289</v>
      </c>
      <c r="N16" s="94">
        <f t="shared" si="1"/>
        <v>14.009285607308671</v>
      </c>
      <c r="O16" s="95">
        <f t="shared" si="2"/>
        <v>2</v>
      </c>
      <c r="P16" s="94">
        <f t="shared" si="3"/>
        <v>18</v>
      </c>
      <c r="AC16" s="4"/>
      <c r="AD16" s="1"/>
    </row>
    <row r="17" spans="1:19" ht="15" customHeight="1" x14ac:dyDescent="0.3">
      <c r="A17" t="s">
        <v>577</v>
      </c>
      <c r="B17">
        <f>MROUND(C17-SRT.HRT!$B$3,1)</f>
        <v>91</v>
      </c>
      <c r="C17" s="124">
        <v>45517.395833333336</v>
      </c>
      <c r="D17" s="9">
        <v>45590</v>
      </c>
      <c r="E17" s="9"/>
      <c r="F17" s="20">
        <v>54.02</v>
      </c>
      <c r="G17" s="20">
        <v>2.02</v>
      </c>
      <c r="H17" s="20"/>
      <c r="I17" s="20"/>
      <c r="J17" s="20">
        <v>-3.2000000000000001E-2</v>
      </c>
      <c r="K17" s="93" t="s">
        <v>567</v>
      </c>
      <c r="L17" s="76"/>
      <c r="M17" s="94">
        <f t="shared" si="0"/>
        <v>7.4046649389115142</v>
      </c>
      <c r="N17" s="94">
        <f t="shared" si="1"/>
        <v>12.595335061088486</v>
      </c>
      <c r="O17" s="95">
        <f t="shared" si="2"/>
        <v>2</v>
      </c>
      <c r="P17" s="94">
        <f t="shared" si="3"/>
        <v>18</v>
      </c>
    </row>
    <row r="18" spans="1:19" ht="15" customHeight="1" x14ac:dyDescent="0.3">
      <c r="A18" t="s">
        <v>578</v>
      </c>
      <c r="B18">
        <f>MROUND(C18-SRT.HRT!$B$3,1)</f>
        <v>105</v>
      </c>
      <c r="C18" s="124">
        <v>45531.472222222219</v>
      </c>
      <c r="D18" s="9">
        <v>45590</v>
      </c>
      <c r="E18" s="9"/>
      <c r="F18" s="20">
        <v>44.64</v>
      </c>
      <c r="G18" s="20">
        <v>2.0699999999999998</v>
      </c>
      <c r="H18" s="20"/>
      <c r="I18" s="20"/>
      <c r="J18" s="20">
        <v>-2.1000000000000001E-2</v>
      </c>
      <c r="K18" s="93" t="s">
        <v>567</v>
      </c>
      <c r="L18" s="76"/>
      <c r="M18" s="94">
        <f t="shared" si="0"/>
        <v>8.9605734767025087</v>
      </c>
      <c r="N18" s="94">
        <f t="shared" si="1"/>
        <v>11.039426523297491</v>
      </c>
      <c r="O18" s="95">
        <f t="shared" si="2"/>
        <v>2</v>
      </c>
      <c r="P18" s="94">
        <f t="shared" si="3"/>
        <v>18</v>
      </c>
    </row>
    <row r="19" spans="1:19" ht="14.4" x14ac:dyDescent="0.3">
      <c r="A19" t="s">
        <v>579</v>
      </c>
      <c r="B19">
        <f>MROUND(C19-SRT.HRT!$B$3,1)</f>
        <v>105</v>
      </c>
      <c r="C19" s="124">
        <v>45531.472222222219</v>
      </c>
      <c r="D19" s="9">
        <v>45590</v>
      </c>
      <c r="E19" s="9"/>
      <c r="F19" s="20">
        <v>18.84</v>
      </c>
      <c r="G19" s="20">
        <v>3.02</v>
      </c>
      <c r="H19" s="20"/>
      <c r="I19" s="20"/>
      <c r="J19" s="20">
        <v>-0.55100000000000005</v>
      </c>
      <c r="K19" s="20">
        <v>0.05</v>
      </c>
      <c r="L19" s="76"/>
      <c r="M19" s="94" t="str">
        <f t="shared" si="0"/>
        <v>next</v>
      </c>
      <c r="N19" s="94" t="e">
        <f t="shared" si="1"/>
        <v>#VALUE!</v>
      </c>
      <c r="O19" s="95">
        <f t="shared" si="2"/>
        <v>2.1231422505307855</v>
      </c>
      <c r="P19" s="94">
        <f t="shared" si="3"/>
        <v>17.876857749469213</v>
      </c>
    </row>
    <row r="20" spans="1:19" ht="15" customHeight="1" x14ac:dyDescent="0.3">
      <c r="A20" t="s">
        <v>580</v>
      </c>
      <c r="B20">
        <f>MROUND(C20-SRT.HRT!$B$3,1)</f>
        <v>126</v>
      </c>
      <c r="C20" s="124">
        <v>45552.46597222222</v>
      </c>
      <c r="D20" s="9">
        <v>45590</v>
      </c>
      <c r="E20" s="9"/>
      <c r="F20" s="20">
        <v>69.959999999999994</v>
      </c>
      <c r="G20" s="20">
        <v>2.02</v>
      </c>
      <c r="H20" s="20"/>
      <c r="I20" s="20"/>
      <c r="J20" s="20">
        <v>-1.7999999999999999E-2</v>
      </c>
      <c r="K20" s="93" t="s">
        <v>567</v>
      </c>
      <c r="L20" s="76"/>
      <c r="M20" s="94">
        <f t="shared" si="0"/>
        <v>5.7175528873642083</v>
      </c>
      <c r="N20" s="94">
        <f t="shared" si="1"/>
        <v>14.282447112635792</v>
      </c>
      <c r="O20" s="95">
        <f t="shared" si="2"/>
        <v>2</v>
      </c>
      <c r="P20" s="94">
        <f t="shared" si="3"/>
        <v>18</v>
      </c>
    </row>
    <row r="21" spans="1:19" ht="38.4" customHeight="1" x14ac:dyDescent="0.3">
      <c r="A21" t="s">
        <v>580</v>
      </c>
      <c r="B21">
        <f>MROUND(C21-SRT.HRT!$B$3,1)</f>
        <v>126</v>
      </c>
      <c r="C21" s="124">
        <v>45552.46597222222</v>
      </c>
      <c r="D21" s="9">
        <v>45590</v>
      </c>
      <c r="E21" s="9"/>
      <c r="F21" s="20">
        <v>10.82</v>
      </c>
      <c r="G21" s="20">
        <v>2.91</v>
      </c>
      <c r="H21" s="20"/>
      <c r="I21" s="20"/>
      <c r="J21" s="20">
        <v>-0.54500000000000004</v>
      </c>
      <c r="K21" s="20">
        <v>0.09</v>
      </c>
      <c r="L21" s="76"/>
      <c r="M21" s="94" t="str">
        <f t="shared" si="0"/>
        <v>next</v>
      </c>
      <c r="N21" s="94" t="e">
        <f t="shared" si="1"/>
        <v>#VALUE!</v>
      </c>
      <c r="O21" s="95">
        <f t="shared" si="2"/>
        <v>3.696857670979667</v>
      </c>
      <c r="P21" s="94">
        <f t="shared" si="3"/>
        <v>16.303142329020332</v>
      </c>
    </row>
    <row r="22" spans="1:19" ht="15" customHeight="1" x14ac:dyDescent="0.3">
      <c r="A22" t="s">
        <v>581</v>
      </c>
      <c r="B22">
        <f>MROUND(C22-SRT.HRT!$B$3,1)</f>
        <v>140</v>
      </c>
      <c r="C22" s="125">
        <v>45566.416666666664</v>
      </c>
      <c r="D22" s="9">
        <v>45590</v>
      </c>
      <c r="E22" s="9"/>
      <c r="F22" s="20">
        <v>49.17</v>
      </c>
      <c r="G22" s="20">
        <v>1.95</v>
      </c>
      <c r="H22" s="20"/>
      <c r="I22" s="20"/>
      <c r="J22" s="20">
        <v>-1.9E-2</v>
      </c>
      <c r="K22" s="93" t="s">
        <v>567</v>
      </c>
      <c r="L22" s="76"/>
      <c r="M22" s="94">
        <f t="shared" si="0"/>
        <v>8.1350416920886719</v>
      </c>
      <c r="N22" s="94">
        <f t="shared" si="1"/>
        <v>11.864958307911328</v>
      </c>
      <c r="O22" s="95">
        <f t="shared" si="2"/>
        <v>2</v>
      </c>
      <c r="P22" s="94">
        <f t="shared" si="3"/>
        <v>18</v>
      </c>
    </row>
    <row r="23" spans="1:19" ht="14.4" x14ac:dyDescent="0.3">
      <c r="A23" t="s">
        <v>11</v>
      </c>
      <c r="B23">
        <f>MROUND(C23-SRT.HRT!$B$3,1)</f>
        <v>140</v>
      </c>
      <c r="C23" s="125">
        <v>45566.416666666664</v>
      </c>
      <c r="D23" s="9">
        <v>45590</v>
      </c>
      <c r="E23" s="9"/>
      <c r="F23" s="20">
        <v>13.14</v>
      </c>
      <c r="G23" s="20">
        <v>4.9800000000000004</v>
      </c>
      <c r="H23" s="20"/>
      <c r="I23" s="20"/>
      <c r="J23" s="20">
        <v>-0.54</v>
      </c>
      <c r="K23" s="20">
        <v>7.0000000000000007E-2</v>
      </c>
      <c r="L23" s="76"/>
      <c r="M23" s="94" t="str">
        <f t="shared" si="0"/>
        <v>next</v>
      </c>
      <c r="N23" s="94" t="e">
        <f t="shared" si="1"/>
        <v>#VALUE!</v>
      </c>
      <c r="O23" s="95">
        <f t="shared" si="2"/>
        <v>3.0441400304414001</v>
      </c>
      <c r="P23" s="94">
        <f t="shared" si="3"/>
        <v>16.955859969558599</v>
      </c>
    </row>
    <row r="24" spans="1:19" ht="15" customHeight="1" x14ac:dyDescent="0.3">
      <c r="A24" t="s">
        <v>582</v>
      </c>
      <c r="B24">
        <f>MROUND(C24-SRT.HRT!$B$3,1)</f>
        <v>149</v>
      </c>
      <c r="C24" s="126">
        <v>45575.618055555555</v>
      </c>
      <c r="D24" s="9">
        <v>45590</v>
      </c>
      <c r="E24" s="9"/>
      <c r="F24" s="20">
        <v>12.37</v>
      </c>
      <c r="G24" s="20">
        <v>2.68</v>
      </c>
      <c r="H24" s="20"/>
      <c r="I24" s="20"/>
      <c r="J24" s="20">
        <v>-0.53500000000000003</v>
      </c>
      <c r="K24" s="20">
        <v>0.05</v>
      </c>
      <c r="L24" s="76"/>
      <c r="M24" s="94" t="str">
        <f t="shared" si="0"/>
        <v>next</v>
      </c>
      <c r="N24" s="94" t="e">
        <f t="shared" si="1"/>
        <v>#VALUE!</v>
      </c>
      <c r="O24" s="95">
        <f t="shared" si="2"/>
        <v>3.2336297493936947</v>
      </c>
      <c r="P24" s="94">
        <f t="shared" si="3"/>
        <v>16.766370250606304</v>
      </c>
    </row>
    <row r="25" spans="1:19" ht="15" customHeight="1" x14ac:dyDescent="0.3">
      <c r="A25" t="s">
        <v>583</v>
      </c>
      <c r="B25">
        <f>MROUND(C25-SRT.HRT!$B$3,1)</f>
        <v>149</v>
      </c>
      <c r="C25" s="126">
        <v>45575.618055555555</v>
      </c>
      <c r="D25" s="9">
        <v>45590</v>
      </c>
      <c r="E25" s="9"/>
      <c r="F25" s="54">
        <v>50.99</v>
      </c>
      <c r="G25" s="76">
        <v>2.23</v>
      </c>
      <c r="H25" s="76">
        <v>0.11600000000000001</v>
      </c>
      <c r="I25" s="76"/>
      <c r="J25" s="76">
        <v>0.06</v>
      </c>
      <c r="K25" s="76"/>
      <c r="L25" s="76">
        <v>1.4E-2</v>
      </c>
      <c r="M25" s="94">
        <f t="shared" si="0"/>
        <v>7.8446754265542262</v>
      </c>
      <c r="N25" s="94">
        <f t="shared" si="1"/>
        <v>12.155324573445775</v>
      </c>
      <c r="O25" s="95">
        <f t="shared" si="2"/>
        <v>2</v>
      </c>
      <c r="P25" s="94">
        <f t="shared" si="3"/>
        <v>18</v>
      </c>
    </row>
    <row r="26" spans="1:19" ht="15" customHeight="1" x14ac:dyDescent="0.3">
      <c r="A26" t="s">
        <v>584</v>
      </c>
      <c r="B26">
        <f>MROUND(C26-SRT.HRT!$B$3,1)</f>
        <v>161</v>
      </c>
      <c r="C26" s="124">
        <v>45587.616666666669</v>
      </c>
      <c r="D26" s="9">
        <v>45590</v>
      </c>
      <c r="E26" s="9"/>
      <c r="F26" s="54">
        <v>40.21</v>
      </c>
      <c r="G26" s="76">
        <v>2.09</v>
      </c>
      <c r="H26" s="76">
        <v>0.10299999999999999</v>
      </c>
      <c r="I26" s="76"/>
      <c r="J26" s="76">
        <v>6.0999999999999999E-2</v>
      </c>
      <c r="K26" s="76"/>
      <c r="L26" s="76">
        <v>2.1999999999999999E-2</v>
      </c>
      <c r="M26" s="94">
        <f t="shared" si="0"/>
        <v>9.9477741855259882</v>
      </c>
      <c r="N26" s="94">
        <f t="shared" si="1"/>
        <v>10.052225814474012</v>
      </c>
      <c r="O26" s="95">
        <f t="shared" si="2"/>
        <v>2</v>
      </c>
      <c r="P26" s="94">
        <f t="shared" si="3"/>
        <v>18</v>
      </c>
    </row>
    <row r="27" spans="1:19" ht="15" customHeight="1" x14ac:dyDescent="0.3">
      <c r="A27" t="s">
        <v>585</v>
      </c>
      <c r="B27">
        <f>MROUND(C27-SRT.HRT!$B$3,1)</f>
        <v>161</v>
      </c>
      <c r="C27" s="127">
        <v>45587.616666666669</v>
      </c>
      <c r="D27" s="9">
        <v>45590</v>
      </c>
      <c r="E27" s="9"/>
      <c r="F27" s="54">
        <v>39.93</v>
      </c>
      <c r="G27" s="76">
        <v>2.2400000000000002</v>
      </c>
      <c r="H27" s="76">
        <v>8.8999999999999996E-2</v>
      </c>
      <c r="I27" s="76"/>
      <c r="J27" s="76">
        <v>4.4999999999999998E-2</v>
      </c>
      <c r="K27" s="76"/>
      <c r="L27" s="76">
        <v>8.9999999999999993E-3</v>
      </c>
      <c r="M27" s="94">
        <f t="shared" si="0"/>
        <v>10.017530678687704</v>
      </c>
      <c r="N27" s="94">
        <f t="shared" si="1"/>
        <v>9.9824693213122959</v>
      </c>
      <c r="O27" s="95">
        <f t="shared" si="2"/>
        <v>2</v>
      </c>
      <c r="P27" s="94">
        <f t="shared" si="3"/>
        <v>18</v>
      </c>
      <c r="S27" s="79"/>
    </row>
    <row r="28" spans="1:19" ht="15" customHeight="1" x14ac:dyDescent="0.3">
      <c r="B28" t="e">
        <f>MROUND(C28-SRT.HRT!$B$3,1)</f>
        <v>#NUM!</v>
      </c>
      <c r="C28" s="127"/>
      <c r="D28" s="9"/>
      <c r="E28" s="9"/>
      <c r="F28" s="54"/>
      <c r="G28" s="76"/>
      <c r="H28" s="76"/>
      <c r="I28" s="76"/>
      <c r="J28" s="76"/>
      <c r="K28" s="76"/>
      <c r="L28" s="76"/>
      <c r="M28" s="94" t="str">
        <f t="shared" si="0"/>
        <v>next</v>
      </c>
      <c r="N28" s="94" t="e">
        <f t="shared" si="1"/>
        <v>#VALUE!</v>
      </c>
      <c r="O28" s="95" t="e">
        <f t="shared" si="2"/>
        <v>#DIV/0!</v>
      </c>
      <c r="P28" s="94" t="e">
        <f t="shared" si="3"/>
        <v>#DIV/0!</v>
      </c>
      <c r="S28" s="79"/>
    </row>
    <row r="29" spans="1:19" ht="15" customHeight="1" x14ac:dyDescent="0.3">
      <c r="B29" t="e">
        <f>MROUND(C29-SRT.HRT!$B$3,1)</f>
        <v>#NUM!</v>
      </c>
      <c r="C29" s="127"/>
      <c r="D29" s="9"/>
      <c r="E29" s="9"/>
      <c r="F29" s="54"/>
      <c r="G29" s="76"/>
      <c r="H29" s="76"/>
      <c r="I29" s="76"/>
      <c r="J29" s="76"/>
      <c r="K29" s="76"/>
      <c r="L29" s="76"/>
      <c r="M29" s="94" t="str">
        <f t="shared" si="0"/>
        <v>next</v>
      </c>
      <c r="N29" s="94" t="e">
        <f t="shared" si="1"/>
        <v>#VALUE!</v>
      </c>
      <c r="O29" s="95" t="e">
        <f t="shared" si="2"/>
        <v>#DIV/0!</v>
      </c>
      <c r="P29" s="94" t="e">
        <f t="shared" si="3"/>
        <v>#DIV/0!</v>
      </c>
      <c r="S29" s="79"/>
    </row>
    <row r="30" spans="1:19" ht="15" customHeight="1" x14ac:dyDescent="0.3">
      <c r="A30" s="123" t="s">
        <v>555</v>
      </c>
      <c r="B30" t="e">
        <f>MROUND(C30-SRT.HRT!$B$3,1)</f>
        <v>#VALUE!</v>
      </c>
      <c r="C30" s="124" t="s">
        <v>556</v>
      </c>
      <c r="D30" s="92" t="s">
        <v>482</v>
      </c>
      <c r="E30" s="9"/>
      <c r="F30" s="54"/>
      <c r="G30" s="76"/>
      <c r="H30" s="76"/>
      <c r="I30" s="76"/>
      <c r="J30" s="76"/>
      <c r="K30" s="76"/>
      <c r="L30" s="76"/>
      <c r="M30" s="94" t="str">
        <f t="shared" si="0"/>
        <v>next</v>
      </c>
      <c r="N30" s="94" t="e">
        <f t="shared" si="1"/>
        <v>#VALUE!</v>
      </c>
      <c r="O30" s="95" t="e">
        <f t="shared" si="2"/>
        <v>#DIV/0!</v>
      </c>
      <c r="P30" s="94" t="e">
        <f t="shared" si="3"/>
        <v>#DIV/0!</v>
      </c>
      <c r="S30" s="79"/>
    </row>
    <row r="31" spans="1:19" ht="15" customHeight="1" x14ac:dyDescent="0.3">
      <c r="A31" s="123"/>
      <c r="B31" t="e">
        <f>MROUND(C31-SRT.HRT!$B$3,1)</f>
        <v>#NUM!</v>
      </c>
      <c r="C31" s="124"/>
      <c r="D31" s="92"/>
      <c r="E31" s="9"/>
      <c r="F31" s="9"/>
      <c r="G31" s="76"/>
      <c r="H31" s="76"/>
      <c r="I31" s="76"/>
      <c r="J31" s="76"/>
      <c r="K31" s="76"/>
      <c r="L31" s="76"/>
      <c r="M31" s="94" t="str">
        <f t="shared" si="0"/>
        <v>next</v>
      </c>
      <c r="N31" s="94" t="e">
        <f t="shared" si="1"/>
        <v>#VALUE!</v>
      </c>
      <c r="O31" s="95" t="e">
        <f t="shared" si="2"/>
        <v>#DIV/0!</v>
      </c>
      <c r="P31" s="94" t="e">
        <f t="shared" si="3"/>
        <v>#DIV/0!</v>
      </c>
      <c r="S31" s="79"/>
    </row>
    <row r="32" spans="1:19" ht="15" customHeight="1" x14ac:dyDescent="0.3">
      <c r="A32" s="123" t="s">
        <v>586</v>
      </c>
      <c r="B32">
        <f>MROUND(C32-SRT.HRT!$B$3,1)</f>
        <v>21</v>
      </c>
      <c r="C32" s="128">
        <v>45448</v>
      </c>
      <c r="D32" s="92">
        <v>45604</v>
      </c>
      <c r="E32" s="9" t="s">
        <v>587</v>
      </c>
      <c r="F32" s="20">
        <v>28.14</v>
      </c>
      <c r="G32" s="20">
        <v>2.0099999999999998</v>
      </c>
      <c r="H32" s="20"/>
      <c r="I32" s="20"/>
      <c r="J32" s="20">
        <v>4.7E-2</v>
      </c>
      <c r="K32" s="20">
        <v>0.04</v>
      </c>
      <c r="L32" s="20">
        <v>1.9E-2</v>
      </c>
      <c r="M32" s="94">
        <f t="shared" ref="M32:M50" si="4">IF(F32&lt;$N$2,"next", $N$1*$N$2/F32)</f>
        <v>14.214641080312722</v>
      </c>
      <c r="N32" s="94">
        <f t="shared" ref="N32:N50" si="5">$N$1-M32</f>
        <v>5.7853589196872779</v>
      </c>
      <c r="O32" s="95">
        <f t="shared" si="2"/>
        <v>2</v>
      </c>
      <c r="P32" s="94">
        <f t="shared" ref="P32:P50" si="6">$P$1-O32</f>
        <v>18</v>
      </c>
    </row>
    <row r="33" spans="1:16" ht="15" customHeight="1" x14ac:dyDescent="0.3">
      <c r="A33" s="91" t="s">
        <v>588</v>
      </c>
      <c r="B33" s="129">
        <f>MROUND(C33-SRT.HRT!$B$3,1)</f>
        <v>21</v>
      </c>
      <c r="C33" s="92">
        <v>45448</v>
      </c>
      <c r="D33" s="92">
        <v>45604</v>
      </c>
      <c r="E33" s="9" t="s">
        <v>587</v>
      </c>
      <c r="F33" s="20">
        <v>15.65</v>
      </c>
      <c r="G33" s="20">
        <v>-0.48199999999999998</v>
      </c>
      <c r="H33" s="20"/>
      <c r="I33" s="20"/>
      <c r="J33" s="20">
        <v>-0.51700000000000002</v>
      </c>
      <c r="K33" s="20">
        <v>0.04</v>
      </c>
      <c r="L33" s="20">
        <v>-0.51300000000000001</v>
      </c>
      <c r="M33" s="94" t="str">
        <f t="shared" si="4"/>
        <v>next</v>
      </c>
      <c r="N33" s="94" t="e">
        <f t="shared" si="5"/>
        <v>#VALUE!</v>
      </c>
      <c r="O33" s="95">
        <f t="shared" si="2"/>
        <v>2.5559105431309903</v>
      </c>
      <c r="P33" s="94">
        <f t="shared" si="6"/>
        <v>17.444089456869008</v>
      </c>
    </row>
    <row r="34" spans="1:16" ht="15" customHeight="1" x14ac:dyDescent="0.3">
      <c r="A34" s="91" t="s">
        <v>589</v>
      </c>
      <c r="B34" s="91">
        <f>MROUND(C34-SRT.HRT!$B$3,1)</f>
        <v>35</v>
      </c>
      <c r="C34" s="72">
        <v>45461.444444444445</v>
      </c>
      <c r="D34" s="92">
        <v>45604</v>
      </c>
      <c r="E34" s="9" t="s">
        <v>587</v>
      </c>
      <c r="F34" s="20">
        <v>63.64</v>
      </c>
      <c r="G34" s="20">
        <v>1.99</v>
      </c>
      <c r="H34" s="20"/>
      <c r="I34" s="20"/>
      <c r="J34" s="20">
        <v>8.6999999999999994E-2</v>
      </c>
      <c r="K34" s="20">
        <v>0.05</v>
      </c>
      <c r="L34" s="20">
        <v>2.3E-2</v>
      </c>
      <c r="M34" s="94">
        <f t="shared" si="4"/>
        <v>6.2853551225644244</v>
      </c>
      <c r="N34" s="94">
        <f t="shared" si="5"/>
        <v>13.714644877435575</v>
      </c>
      <c r="O34" s="95">
        <f t="shared" si="2"/>
        <v>2</v>
      </c>
      <c r="P34" s="94">
        <f t="shared" si="6"/>
        <v>18</v>
      </c>
    </row>
    <row r="35" spans="1:16" ht="15" customHeight="1" x14ac:dyDescent="0.3">
      <c r="A35" s="91" t="s">
        <v>590</v>
      </c>
      <c r="B35" s="91">
        <f>MROUND(C35-SRT.HRT!$B$3,1)</f>
        <v>35</v>
      </c>
      <c r="C35" s="72">
        <v>45461.444444444445</v>
      </c>
      <c r="D35" s="92">
        <v>45604</v>
      </c>
      <c r="E35" s="9" t="s">
        <v>587</v>
      </c>
      <c r="F35" s="20">
        <v>69.05</v>
      </c>
      <c r="G35" s="20">
        <v>1.93</v>
      </c>
      <c r="H35" s="20"/>
      <c r="I35" s="20"/>
      <c r="J35" s="20">
        <v>0.113</v>
      </c>
      <c r="K35" s="20">
        <v>7.0000000000000007E-2</v>
      </c>
      <c r="L35" s="20">
        <v>4.2000000000000003E-2</v>
      </c>
      <c r="M35" s="94">
        <f t="shared" si="4"/>
        <v>5.7929036929761049</v>
      </c>
      <c r="N35" s="94">
        <f t="shared" si="5"/>
        <v>14.207096307023896</v>
      </c>
      <c r="O35" s="95">
        <f t="shared" si="2"/>
        <v>2</v>
      </c>
      <c r="P35" s="94">
        <f t="shared" si="6"/>
        <v>18</v>
      </c>
    </row>
    <row r="36" spans="1:16" ht="15" customHeight="1" x14ac:dyDescent="0.3">
      <c r="A36" s="91" t="s">
        <v>385</v>
      </c>
      <c r="B36" s="91">
        <f>MROUND(C36-SRT.HRT!$B$3,1)</f>
        <v>68</v>
      </c>
      <c r="C36" s="92">
        <v>45495</v>
      </c>
      <c r="D36" s="92">
        <v>45604</v>
      </c>
      <c r="E36" s="9" t="s">
        <v>587</v>
      </c>
      <c r="F36" s="20">
        <v>32.619999999999997</v>
      </c>
      <c r="G36" s="20">
        <v>2.74</v>
      </c>
      <c r="H36" s="20"/>
      <c r="I36" s="20"/>
      <c r="J36" s="20">
        <v>-0.32200000000000001</v>
      </c>
      <c r="K36" s="20">
        <v>0.04</v>
      </c>
      <c r="L36" s="20">
        <v>-0.34599999999999997</v>
      </c>
      <c r="M36" s="94">
        <f t="shared" si="4"/>
        <v>12.262415695892091</v>
      </c>
      <c r="N36" s="94">
        <f t="shared" si="5"/>
        <v>7.7375843041079087</v>
      </c>
      <c r="O36" s="95">
        <f t="shared" si="2"/>
        <v>2</v>
      </c>
      <c r="P36" s="94">
        <f t="shared" si="6"/>
        <v>18</v>
      </c>
    </row>
    <row r="37" spans="1:16" ht="15" customHeight="1" x14ac:dyDescent="0.3">
      <c r="A37" s="91" t="s">
        <v>591</v>
      </c>
      <c r="B37" s="91">
        <f>MROUND(C37-SRT.HRT!$B$3,1)</f>
        <v>82</v>
      </c>
      <c r="C37" s="72">
        <v>45509</v>
      </c>
      <c r="D37" s="92">
        <v>45604</v>
      </c>
      <c r="E37" s="9" t="s">
        <v>587</v>
      </c>
      <c r="F37" s="20">
        <v>52.53</v>
      </c>
      <c r="G37" s="20">
        <v>2.6</v>
      </c>
      <c r="H37" s="20"/>
      <c r="I37" s="20"/>
      <c r="J37" s="20">
        <v>-0.46700000000000003</v>
      </c>
      <c r="K37" s="20">
        <v>0.09</v>
      </c>
      <c r="L37" s="20">
        <v>-0.50800000000000001</v>
      </c>
      <c r="M37" s="94">
        <f t="shared" si="4"/>
        <v>7.6146963639824863</v>
      </c>
      <c r="N37" s="94">
        <f t="shared" si="5"/>
        <v>12.385303636017515</v>
      </c>
      <c r="O37" s="95">
        <f t="shared" ref="O37:O69" si="7">IF(M37="next",$P$2*$P$1/F37, $P$2*$P$1/$N$2)</f>
        <v>2</v>
      </c>
      <c r="P37" s="94">
        <f t="shared" si="6"/>
        <v>18</v>
      </c>
    </row>
    <row r="38" spans="1:16" ht="15" customHeight="1" x14ac:dyDescent="0.3">
      <c r="A38" s="91" t="s">
        <v>592</v>
      </c>
      <c r="B38" s="91">
        <f>MROUND(C38-SRT.HRT!$B$3,1)</f>
        <v>82</v>
      </c>
      <c r="C38" s="72">
        <v>45509</v>
      </c>
      <c r="D38" s="92">
        <v>45604</v>
      </c>
      <c r="E38" s="9" t="s">
        <v>587</v>
      </c>
      <c r="F38" s="20">
        <v>317.39999999999998</v>
      </c>
      <c r="G38" s="20">
        <v>1.99</v>
      </c>
      <c r="H38" s="20"/>
      <c r="I38" s="20"/>
      <c r="J38" s="20">
        <v>0.34300000000000003</v>
      </c>
      <c r="K38" s="20" t="s">
        <v>593</v>
      </c>
      <c r="L38" s="20">
        <v>2.4E-2</v>
      </c>
      <c r="M38" s="94">
        <f t="shared" si="4"/>
        <v>1.2602394454946442</v>
      </c>
      <c r="N38" s="94">
        <f t="shared" si="5"/>
        <v>18.739760554505356</v>
      </c>
      <c r="O38" s="95">
        <f t="shared" si="7"/>
        <v>2</v>
      </c>
      <c r="P38" s="94">
        <f t="shared" si="6"/>
        <v>18</v>
      </c>
    </row>
    <row r="39" spans="1:16" ht="15" customHeight="1" x14ac:dyDescent="0.3">
      <c r="A39" s="91" t="s">
        <v>594</v>
      </c>
      <c r="B39" s="91">
        <f>MROUND(C39-SRT.HRT!$B$3,1)</f>
        <v>91</v>
      </c>
      <c r="C39" s="72">
        <v>45517.395833333336</v>
      </c>
      <c r="D39" s="92">
        <v>45604</v>
      </c>
      <c r="E39" s="9" t="s">
        <v>587</v>
      </c>
      <c r="F39" s="20">
        <v>39.340000000000003</v>
      </c>
      <c r="G39" s="20">
        <v>1.94</v>
      </c>
      <c r="H39" s="20"/>
      <c r="I39" s="20"/>
      <c r="J39" s="20">
        <v>4.5999999999999999E-2</v>
      </c>
      <c r="K39" s="20">
        <v>0.06</v>
      </c>
      <c r="L39" s="20">
        <v>6.0000000000000001E-3</v>
      </c>
      <c r="M39" s="94">
        <f t="shared" si="4"/>
        <v>10.167768174885612</v>
      </c>
      <c r="N39" s="94">
        <f t="shared" si="5"/>
        <v>9.8322318251143876</v>
      </c>
      <c r="O39" s="95">
        <f t="shared" si="7"/>
        <v>2</v>
      </c>
      <c r="P39" s="94">
        <f t="shared" si="6"/>
        <v>18</v>
      </c>
    </row>
    <row r="40" spans="1:16" ht="15" customHeight="1" x14ac:dyDescent="0.3">
      <c r="A40" s="91" t="s">
        <v>595</v>
      </c>
      <c r="B40" s="91">
        <f>MROUND(C40-SRT.HRT!$B$3,1)</f>
        <v>91</v>
      </c>
      <c r="C40" s="72">
        <v>45517.395833333336</v>
      </c>
      <c r="D40" s="92">
        <v>45604</v>
      </c>
      <c r="E40" s="9" t="s">
        <v>587</v>
      </c>
      <c r="F40" s="20">
        <v>8.26</v>
      </c>
      <c r="G40" s="20">
        <v>9.69</v>
      </c>
      <c r="H40" s="20"/>
      <c r="I40" s="20"/>
      <c r="J40" s="20">
        <v>-0.442</v>
      </c>
      <c r="K40" s="20">
        <v>0.05</v>
      </c>
      <c r="L40" s="20">
        <v>-0.44400000000000001</v>
      </c>
      <c r="M40" s="94" t="str">
        <f t="shared" si="4"/>
        <v>next</v>
      </c>
      <c r="N40" s="94" t="e">
        <f t="shared" si="5"/>
        <v>#VALUE!</v>
      </c>
      <c r="O40" s="95">
        <f t="shared" si="7"/>
        <v>4.8426150121065374</v>
      </c>
      <c r="P40" s="94">
        <f t="shared" si="6"/>
        <v>15.157384987893462</v>
      </c>
    </row>
    <row r="41" spans="1:16" ht="15" customHeight="1" x14ac:dyDescent="0.3">
      <c r="A41" s="91" t="s">
        <v>596</v>
      </c>
      <c r="B41" s="91">
        <f>MROUND(C41-SRT.HRT!$B$3,1)</f>
        <v>105</v>
      </c>
      <c r="C41" s="72">
        <v>45531.472222222219</v>
      </c>
      <c r="D41" s="92">
        <v>45604</v>
      </c>
      <c r="E41" s="9" t="s">
        <v>597</v>
      </c>
      <c r="F41" s="20">
        <v>11.25</v>
      </c>
      <c r="G41" s="20"/>
      <c r="H41" s="20"/>
      <c r="I41" s="20"/>
      <c r="J41" s="20"/>
      <c r="K41" s="20"/>
      <c r="L41" s="20"/>
      <c r="M41" s="94" t="str">
        <f t="shared" si="4"/>
        <v>next</v>
      </c>
      <c r="N41" s="94" t="e">
        <f t="shared" si="5"/>
        <v>#VALUE!</v>
      </c>
      <c r="O41" s="95">
        <f t="shared" si="7"/>
        <v>3.5555555555555554</v>
      </c>
      <c r="P41" s="94">
        <f t="shared" si="6"/>
        <v>16.444444444444443</v>
      </c>
    </row>
    <row r="42" spans="1:16" ht="15" customHeight="1" x14ac:dyDescent="0.3">
      <c r="A42" s="91" t="s">
        <v>598</v>
      </c>
      <c r="B42" s="91">
        <f>MROUND(C42-SRT.HRT!$B$3,1)</f>
        <v>105</v>
      </c>
      <c r="C42" s="72">
        <v>45531.472222222219</v>
      </c>
      <c r="D42" s="92">
        <v>45604</v>
      </c>
      <c r="E42" s="9" t="s">
        <v>587</v>
      </c>
      <c r="F42" s="20">
        <v>12.33</v>
      </c>
      <c r="G42" s="20">
        <v>2.4500000000000002</v>
      </c>
      <c r="H42" s="20"/>
      <c r="I42" s="20"/>
      <c r="J42" s="20">
        <v>0.01</v>
      </c>
      <c r="K42" s="20">
        <v>0.01</v>
      </c>
      <c r="L42" s="20">
        <v>0</v>
      </c>
      <c r="M42" s="94" t="str">
        <f t="shared" si="4"/>
        <v>next</v>
      </c>
      <c r="N42" s="94" t="e">
        <f t="shared" si="5"/>
        <v>#VALUE!</v>
      </c>
      <c r="O42" s="95">
        <f t="shared" si="7"/>
        <v>3.2441200324412005</v>
      </c>
      <c r="P42" s="94">
        <f t="shared" si="6"/>
        <v>16.755879967558798</v>
      </c>
    </row>
    <row r="43" spans="1:16" ht="15" customHeight="1" x14ac:dyDescent="0.3">
      <c r="A43" s="91" t="s">
        <v>401</v>
      </c>
      <c r="B43" s="91">
        <f>MROUND(C43-SRT.HRT!$B$3,1)</f>
        <v>126</v>
      </c>
      <c r="C43" s="72">
        <v>45552.46597222222</v>
      </c>
      <c r="D43" s="92">
        <v>45604</v>
      </c>
      <c r="E43" s="9" t="s">
        <v>597</v>
      </c>
      <c r="F43" s="20">
        <v>11.38</v>
      </c>
      <c r="G43" s="20">
        <v>13.43</v>
      </c>
      <c r="H43" s="20"/>
      <c r="I43" s="20"/>
      <c r="J43" s="20">
        <v>-0.503</v>
      </c>
      <c r="K43" s="20">
        <v>0.1</v>
      </c>
      <c r="L43" s="20">
        <v>-0.505</v>
      </c>
      <c r="M43" s="94" t="str">
        <f t="shared" si="4"/>
        <v>next</v>
      </c>
      <c r="N43" s="94" t="e">
        <f t="shared" si="5"/>
        <v>#VALUE!</v>
      </c>
      <c r="O43" s="95">
        <f t="shared" si="7"/>
        <v>3.5149384885764499</v>
      </c>
      <c r="P43" s="94">
        <f t="shared" si="6"/>
        <v>16.485061511423549</v>
      </c>
    </row>
    <row r="44" spans="1:16" ht="15" customHeight="1" x14ac:dyDescent="0.3">
      <c r="A44" s="91" t="s">
        <v>599</v>
      </c>
      <c r="B44" s="91">
        <f>MROUND(C44-SRT.HRT!$B$3,1)</f>
        <v>126</v>
      </c>
      <c r="C44" s="72">
        <v>45552.46597222222</v>
      </c>
      <c r="D44" s="92">
        <v>45604</v>
      </c>
      <c r="E44" s="9" t="s">
        <v>597</v>
      </c>
      <c r="F44" s="20">
        <v>9.52</v>
      </c>
      <c r="G44" s="20">
        <v>2.8000000000000001E-2</v>
      </c>
      <c r="H44" s="20"/>
      <c r="I44" s="20"/>
      <c r="J44" s="20">
        <v>1.7999999999999999E-2</v>
      </c>
      <c r="K44" s="20">
        <v>0.01</v>
      </c>
      <c r="L44" s="20">
        <v>8.9999999999999993E-3</v>
      </c>
      <c r="M44" s="94" t="str">
        <f t="shared" si="4"/>
        <v>next</v>
      </c>
      <c r="N44" s="94" t="e">
        <f t="shared" si="5"/>
        <v>#VALUE!</v>
      </c>
      <c r="O44" s="95">
        <f t="shared" si="7"/>
        <v>4.2016806722689077</v>
      </c>
      <c r="P44" s="94">
        <f t="shared" si="6"/>
        <v>15.798319327731093</v>
      </c>
    </row>
    <row r="45" spans="1:16" ht="15" customHeight="1" x14ac:dyDescent="0.3">
      <c r="A45" s="91" t="s">
        <v>600</v>
      </c>
      <c r="B45" s="91">
        <f>MROUND(C45-SRT.HRT!$B$3,1)</f>
        <v>140</v>
      </c>
      <c r="C45" s="73">
        <v>45566.416666666664</v>
      </c>
      <c r="D45" s="92">
        <v>45604</v>
      </c>
      <c r="E45" s="9" t="s">
        <v>587</v>
      </c>
      <c r="F45" s="20">
        <v>10.87</v>
      </c>
      <c r="G45" s="20">
        <v>2.16</v>
      </c>
      <c r="H45" s="20"/>
      <c r="I45" s="20"/>
      <c r="J45" s="20">
        <v>1.9E-2</v>
      </c>
      <c r="K45" s="20">
        <v>0.01</v>
      </c>
      <c r="L45" s="20">
        <v>8.9999999999999993E-3</v>
      </c>
      <c r="M45" s="94" t="str">
        <f t="shared" si="4"/>
        <v>next</v>
      </c>
      <c r="N45" s="94" t="e">
        <f t="shared" si="5"/>
        <v>#VALUE!</v>
      </c>
      <c r="O45" s="95">
        <f t="shared" si="7"/>
        <v>3.6798528058877649</v>
      </c>
      <c r="P45" s="94">
        <f t="shared" si="6"/>
        <v>16.320147194112234</v>
      </c>
    </row>
    <row r="46" spans="1:16" ht="15" customHeight="1" x14ac:dyDescent="0.3">
      <c r="A46" s="91" t="s">
        <v>601</v>
      </c>
      <c r="B46" s="91">
        <f>MROUND(C46-SRT.HRT!$B$3,1)</f>
        <v>140</v>
      </c>
      <c r="C46" s="73">
        <v>45566.416666666664</v>
      </c>
      <c r="D46" s="92">
        <v>45604</v>
      </c>
      <c r="E46" s="9" t="s">
        <v>587</v>
      </c>
      <c r="F46" s="20">
        <v>14.35</v>
      </c>
      <c r="G46" s="20">
        <v>2.77</v>
      </c>
      <c r="H46" s="20"/>
      <c r="I46" s="20"/>
      <c r="J46" s="20">
        <v>1.9E-2</v>
      </c>
      <c r="K46" s="20" t="s">
        <v>602</v>
      </c>
      <c r="L46" s="20">
        <v>8.9999999999999993E-3</v>
      </c>
      <c r="M46" s="94" t="str">
        <f t="shared" si="4"/>
        <v>next</v>
      </c>
      <c r="N46" s="94" t="e">
        <f t="shared" si="5"/>
        <v>#VALUE!</v>
      </c>
      <c r="O46" s="95">
        <f t="shared" si="7"/>
        <v>2.7874564459930316</v>
      </c>
      <c r="P46" s="94">
        <f t="shared" si="6"/>
        <v>17.21254355400697</v>
      </c>
    </row>
    <row r="47" spans="1:16" ht="15" customHeight="1" x14ac:dyDescent="0.3">
      <c r="A47" s="91" t="s">
        <v>603</v>
      </c>
      <c r="B47" s="91">
        <f>MROUND(C47-SRT.HRT!$B$3,1)</f>
        <v>149</v>
      </c>
      <c r="C47" s="74">
        <v>45575.618055555555</v>
      </c>
      <c r="D47" s="92">
        <v>45604</v>
      </c>
      <c r="E47" s="9" t="s">
        <v>597</v>
      </c>
      <c r="F47" s="20">
        <v>12.14</v>
      </c>
      <c r="G47" s="20">
        <v>5.8</v>
      </c>
      <c r="H47" s="20"/>
      <c r="I47" s="20"/>
      <c r="J47" s="20">
        <v>-0.49199999999999999</v>
      </c>
      <c r="K47" s="20">
        <v>0.08</v>
      </c>
      <c r="L47" s="20">
        <v>-0.496</v>
      </c>
      <c r="M47" s="94" t="str">
        <f t="shared" si="4"/>
        <v>next</v>
      </c>
      <c r="N47" s="94" t="e">
        <f t="shared" si="5"/>
        <v>#VALUE!</v>
      </c>
      <c r="O47" s="95">
        <f t="shared" si="7"/>
        <v>3.2948929159802307</v>
      </c>
      <c r="P47" s="94">
        <f t="shared" si="6"/>
        <v>16.705107084019769</v>
      </c>
    </row>
    <row r="48" spans="1:16" ht="15" customHeight="1" x14ac:dyDescent="0.3">
      <c r="A48" s="91" t="s">
        <v>604</v>
      </c>
      <c r="B48" s="91">
        <f>MROUND(C48-SRT.HRT!$B$3,1)</f>
        <v>149</v>
      </c>
      <c r="C48" s="74">
        <v>45575.618055555555</v>
      </c>
      <c r="D48" s="92">
        <v>45604</v>
      </c>
      <c r="E48" s="9" t="s">
        <v>597</v>
      </c>
      <c r="F48" s="20">
        <v>12.02</v>
      </c>
      <c r="G48" s="20">
        <v>15.26</v>
      </c>
      <c r="H48" s="20"/>
      <c r="I48" s="20"/>
      <c r="J48" s="20">
        <v>-0.48899999999999999</v>
      </c>
      <c r="K48" s="20">
        <v>0.08</v>
      </c>
      <c r="L48" s="20">
        <v>-0.49</v>
      </c>
      <c r="M48" s="94" t="str">
        <f t="shared" si="4"/>
        <v>next</v>
      </c>
      <c r="N48" s="94" t="e">
        <f t="shared" si="5"/>
        <v>#VALUE!</v>
      </c>
      <c r="O48" s="95">
        <f t="shared" si="7"/>
        <v>3.3277870216306158</v>
      </c>
      <c r="P48" s="94">
        <f t="shared" si="6"/>
        <v>16.672212978369384</v>
      </c>
    </row>
    <row r="49" spans="1:16" ht="15" customHeight="1" x14ac:dyDescent="0.3">
      <c r="A49" s="91" t="s">
        <v>605</v>
      </c>
      <c r="B49" s="91">
        <f>MROUND(C49-SRT.HRT!$B$3,1)</f>
        <v>161</v>
      </c>
      <c r="C49" s="72">
        <v>45587.616666666669</v>
      </c>
      <c r="D49" s="92">
        <v>45604</v>
      </c>
      <c r="E49" s="9" t="s">
        <v>597</v>
      </c>
      <c r="F49" s="20">
        <v>8.86</v>
      </c>
      <c r="G49" s="20">
        <v>2.0299999999999998</v>
      </c>
      <c r="H49" s="20"/>
      <c r="I49" s="20"/>
      <c r="J49" s="20">
        <v>0.02</v>
      </c>
      <c r="K49" s="20">
        <v>0.01</v>
      </c>
      <c r="L49" s="20">
        <v>1.0999999999999999E-2</v>
      </c>
      <c r="M49" s="94" t="str">
        <f t="shared" si="4"/>
        <v>next</v>
      </c>
      <c r="N49" s="94" t="e">
        <f t="shared" si="5"/>
        <v>#VALUE!</v>
      </c>
      <c r="O49" s="95">
        <f t="shared" si="7"/>
        <v>4.5146726862302486</v>
      </c>
      <c r="P49" s="94">
        <f t="shared" si="6"/>
        <v>15.485327313769751</v>
      </c>
    </row>
    <row r="50" spans="1:16" ht="15" customHeight="1" x14ac:dyDescent="0.3">
      <c r="A50" s="91" t="s">
        <v>606</v>
      </c>
      <c r="B50" s="91">
        <f>MROUND(C50-SRT.HRT!$B$3,1)</f>
        <v>161</v>
      </c>
      <c r="C50" s="72">
        <v>45587.616666666669</v>
      </c>
      <c r="D50" s="92">
        <v>45604</v>
      </c>
      <c r="E50" s="9" t="s">
        <v>597</v>
      </c>
      <c r="F50" s="20">
        <v>7.19</v>
      </c>
      <c r="G50" s="20">
        <v>-3.44</v>
      </c>
      <c r="H50" s="20"/>
      <c r="I50" s="20"/>
      <c r="J50" s="20">
        <v>-0.51</v>
      </c>
      <c r="K50" s="20">
        <v>0.04</v>
      </c>
      <c r="L50" s="20">
        <v>-0.50600000000000001</v>
      </c>
      <c r="M50" s="94" t="str">
        <f t="shared" si="4"/>
        <v>next</v>
      </c>
      <c r="N50" s="94" t="e">
        <f t="shared" si="5"/>
        <v>#VALUE!</v>
      </c>
      <c r="O50" s="95">
        <f t="shared" si="7"/>
        <v>5.5632823365785811</v>
      </c>
      <c r="P50" s="94">
        <f t="shared" si="6"/>
        <v>14.436717663421419</v>
      </c>
    </row>
    <row r="51" spans="1:16" ht="15" customHeight="1" x14ac:dyDescent="0.3">
      <c r="A51" s="91" t="s">
        <v>607</v>
      </c>
      <c r="B51" s="91">
        <f>MROUND(C51-SRT.HRT!$B$3,1)</f>
        <v>182</v>
      </c>
      <c r="C51" s="92">
        <f>'Biomass Sample'!A29</f>
        <v>45608.475694444445</v>
      </c>
      <c r="D51" s="92">
        <v>45720</v>
      </c>
      <c r="E51" s="9"/>
      <c r="F51" s="20">
        <v>29.41</v>
      </c>
      <c r="G51" s="20">
        <v>2.2799999999999998</v>
      </c>
      <c r="H51" s="20">
        <v>8.4000000000000005E-2</v>
      </c>
      <c r="I51" s="20"/>
      <c r="J51" s="20">
        <v>5.0999999999999997E-2</v>
      </c>
      <c r="K51" s="20"/>
      <c r="L51" s="20">
        <v>2.5000000000000001E-2</v>
      </c>
      <c r="M51" s="94">
        <f t="shared" ref="M51:M69" si="8">IF(F51&lt;$N$2,"next", $N$1*$N$2/F51)</f>
        <v>13.600816048962937</v>
      </c>
      <c r="N51" s="94">
        <f t="shared" ref="N51:N69" si="9">$N$1-M51</f>
        <v>6.3991839510370632</v>
      </c>
      <c r="O51" s="95">
        <f t="shared" si="7"/>
        <v>2</v>
      </c>
      <c r="P51" s="94">
        <f t="shared" ref="P51:P69" si="10">$P$1-O51</f>
        <v>18</v>
      </c>
    </row>
    <row r="52" spans="1:16" ht="15" customHeight="1" x14ac:dyDescent="0.3">
      <c r="A52" s="91" t="s">
        <v>608</v>
      </c>
      <c r="B52" s="91">
        <f>MROUND(C52-SRT.HRT!$B$3,1)</f>
        <v>182</v>
      </c>
      <c r="C52" s="92">
        <f>'Biomass Sample'!A29</f>
        <v>45608.475694444445</v>
      </c>
      <c r="D52" s="92">
        <v>45720</v>
      </c>
      <c r="E52" s="9"/>
      <c r="F52" s="20">
        <v>24.86</v>
      </c>
      <c r="G52" s="20">
        <v>2.38</v>
      </c>
      <c r="H52" s="20">
        <v>6.4000000000000001E-2</v>
      </c>
      <c r="I52" s="20"/>
      <c r="J52" s="20">
        <v>3.5000000000000003E-2</v>
      </c>
      <c r="K52" s="20"/>
      <c r="L52" s="20">
        <v>1.4E-2</v>
      </c>
      <c r="M52" s="94">
        <f t="shared" si="8"/>
        <v>16.090104585679807</v>
      </c>
      <c r="N52" s="94">
        <f t="shared" si="9"/>
        <v>3.9098954143201929</v>
      </c>
      <c r="O52" s="95">
        <f t="shared" si="7"/>
        <v>2</v>
      </c>
      <c r="P52" s="94">
        <f t="shared" si="10"/>
        <v>18</v>
      </c>
    </row>
    <row r="53" spans="1:16" ht="15" customHeight="1" x14ac:dyDescent="0.3">
      <c r="A53" s="91" t="s">
        <v>609</v>
      </c>
      <c r="B53" s="91">
        <f>MROUND(C53-SRT.HRT!$B$3,1)</f>
        <v>189</v>
      </c>
      <c r="C53" s="72">
        <f>'Biomass Sample'!A30</f>
        <v>45615.604166666664</v>
      </c>
      <c r="D53" s="92">
        <v>45720</v>
      </c>
      <c r="E53" s="9"/>
      <c r="F53" s="20">
        <v>46.62</v>
      </c>
      <c r="G53" s="20">
        <v>2.27</v>
      </c>
      <c r="H53" s="20">
        <v>0.104</v>
      </c>
      <c r="I53" s="20"/>
      <c r="J53" s="20">
        <v>5.1999999999999998E-2</v>
      </c>
      <c r="K53" s="20"/>
      <c r="L53" s="20">
        <v>1.0999999999999999E-2</v>
      </c>
      <c r="M53" s="94">
        <f t="shared" si="8"/>
        <v>8.580008580008581</v>
      </c>
      <c r="N53" s="94">
        <f t="shared" si="9"/>
        <v>11.419991419991419</v>
      </c>
      <c r="O53" s="95">
        <f t="shared" si="7"/>
        <v>2</v>
      </c>
      <c r="P53" s="94">
        <f t="shared" si="10"/>
        <v>18</v>
      </c>
    </row>
    <row r="54" spans="1:16" ht="15" customHeight="1" x14ac:dyDescent="0.3">
      <c r="A54" s="91" t="s">
        <v>610</v>
      </c>
      <c r="B54" s="91">
        <f>MROUND(C54-SRT.HRT!$B$3,1)</f>
        <v>189</v>
      </c>
      <c r="C54" s="72">
        <f>'Biomass Sample'!A30</f>
        <v>45615.604166666664</v>
      </c>
      <c r="D54" s="92">
        <v>45720</v>
      </c>
      <c r="E54" s="9"/>
      <c r="F54" s="20">
        <v>43.45</v>
      </c>
      <c r="G54" s="20">
        <v>2.62</v>
      </c>
      <c r="H54" s="20">
        <v>8.6999999999999994E-2</v>
      </c>
      <c r="I54" s="20"/>
      <c r="J54" s="20">
        <v>3.3000000000000002E-2</v>
      </c>
      <c r="K54" s="20"/>
      <c r="L54" s="20">
        <v>0</v>
      </c>
      <c r="M54" s="94">
        <f t="shared" si="8"/>
        <v>9.2059838895281931</v>
      </c>
      <c r="N54" s="94">
        <f t="shared" si="9"/>
        <v>10.794016110471807</v>
      </c>
      <c r="O54" s="95">
        <f t="shared" si="7"/>
        <v>2</v>
      </c>
      <c r="P54" s="94">
        <f t="shared" si="10"/>
        <v>18</v>
      </c>
    </row>
    <row r="55" spans="1:16" ht="15" customHeight="1" x14ac:dyDescent="0.3">
      <c r="A55" s="91" t="s">
        <v>611</v>
      </c>
      <c r="B55" s="91">
        <f>MROUND(C55-SRT.HRT!$B$3,1)</f>
        <v>210</v>
      </c>
      <c r="C55" s="92">
        <f>'Biomass Sample'!A31</f>
        <v>45636.479166666664</v>
      </c>
      <c r="D55" s="92">
        <v>45720</v>
      </c>
      <c r="E55" s="9"/>
      <c r="F55" s="20">
        <v>101.72</v>
      </c>
      <c r="G55" s="20">
        <v>2.08</v>
      </c>
      <c r="H55" s="20">
        <v>0.219</v>
      </c>
      <c r="I55" s="20"/>
      <c r="J55" s="20">
        <v>0.114</v>
      </c>
      <c r="K55" s="20"/>
      <c r="L55" s="20">
        <v>1.6E-2</v>
      </c>
      <c r="M55" s="94">
        <f t="shared" si="8"/>
        <v>3.9323633503735747</v>
      </c>
      <c r="N55" s="94">
        <f t="shared" si="9"/>
        <v>16.067636649626426</v>
      </c>
      <c r="O55" s="95">
        <f t="shared" si="7"/>
        <v>2</v>
      </c>
      <c r="P55" s="94">
        <f t="shared" si="10"/>
        <v>18</v>
      </c>
    </row>
    <row r="56" spans="1:16" ht="15" customHeight="1" x14ac:dyDescent="0.3">
      <c r="A56" s="91" t="s">
        <v>612</v>
      </c>
      <c r="B56" s="91">
        <f>MROUND(C56-SRT.HRT!$B$3,1)</f>
        <v>210</v>
      </c>
      <c r="C56" s="72">
        <f>'Biomass Sample'!A31</f>
        <v>45636.479166666664</v>
      </c>
      <c r="D56" s="92">
        <v>45720</v>
      </c>
      <c r="E56" s="9"/>
      <c r="F56" s="20">
        <v>75.66</v>
      </c>
      <c r="G56" s="20">
        <v>1.95</v>
      </c>
      <c r="H56" s="20">
        <v>0.20300000000000001</v>
      </c>
      <c r="I56" s="20"/>
      <c r="J56" s="20">
        <v>0.129</v>
      </c>
      <c r="K56" s="20"/>
      <c r="L56" s="20">
        <v>5.0999999999999997E-2</v>
      </c>
      <c r="M56" s="94">
        <f t="shared" si="8"/>
        <v>5.2868094105207506</v>
      </c>
      <c r="N56" s="94">
        <f t="shared" si="9"/>
        <v>14.71319058947925</v>
      </c>
      <c r="O56" s="95">
        <f t="shared" si="7"/>
        <v>2</v>
      </c>
      <c r="P56" s="94">
        <f t="shared" si="10"/>
        <v>18</v>
      </c>
    </row>
    <row r="57" spans="1:16" ht="15" customHeight="1" x14ac:dyDescent="0.3">
      <c r="A57" s="91" t="s">
        <v>613</v>
      </c>
      <c r="B57" s="91">
        <f>MROUND(C57-SRT.HRT!$B$3,1)</f>
        <v>238</v>
      </c>
      <c r="C57" s="72">
        <f>'Biomass Sample'!A32</f>
        <v>45664.541666666664</v>
      </c>
      <c r="D57" s="92">
        <v>45720</v>
      </c>
      <c r="E57" s="9"/>
      <c r="F57" s="20">
        <v>138.30000000000001</v>
      </c>
      <c r="G57" s="20">
        <v>2.0099999999999998</v>
      </c>
      <c r="H57" s="20">
        <v>0.28100000000000003</v>
      </c>
      <c r="I57" s="20"/>
      <c r="J57" s="20">
        <v>0.14199999999999999</v>
      </c>
      <c r="K57" s="20"/>
      <c r="L57" s="20">
        <v>4.0000000000000001E-3</v>
      </c>
      <c r="M57" s="94">
        <f t="shared" si="8"/>
        <v>2.8922631959508314</v>
      </c>
      <c r="N57" s="94">
        <f t="shared" si="9"/>
        <v>17.107736804049168</v>
      </c>
      <c r="O57" s="95">
        <f t="shared" si="7"/>
        <v>2</v>
      </c>
      <c r="P57" s="94">
        <f t="shared" si="10"/>
        <v>18</v>
      </c>
    </row>
    <row r="58" spans="1:16" ht="15" customHeight="1" x14ac:dyDescent="0.3">
      <c r="A58" s="91" t="s">
        <v>614</v>
      </c>
      <c r="B58" s="91">
        <f>MROUND(C58-SRT.HRT!$B$3,1)</f>
        <v>238</v>
      </c>
      <c r="C58" s="72">
        <f>'Biomass Sample'!A32</f>
        <v>45664.541666666664</v>
      </c>
      <c r="D58" s="92">
        <v>45720</v>
      </c>
      <c r="E58" s="9"/>
      <c r="F58" s="20">
        <v>158.51</v>
      </c>
      <c r="G58" s="20">
        <v>2.04</v>
      </c>
      <c r="H58" s="20">
        <v>0.33700000000000002</v>
      </c>
      <c r="I58" s="20"/>
      <c r="J58" s="20">
        <v>0.17499999999999999</v>
      </c>
      <c r="K58" s="20"/>
      <c r="L58" s="20">
        <v>0.02</v>
      </c>
      <c r="M58" s="94">
        <f t="shared" si="8"/>
        <v>2.5235000946312538</v>
      </c>
      <c r="N58" s="94">
        <f t="shared" si="9"/>
        <v>17.476499905368748</v>
      </c>
      <c r="O58" s="95">
        <f t="shared" si="7"/>
        <v>2</v>
      </c>
      <c r="P58" s="94">
        <f t="shared" si="10"/>
        <v>18</v>
      </c>
    </row>
    <row r="59" spans="1:16" ht="15" customHeight="1" x14ac:dyDescent="0.3">
      <c r="A59" s="91" t="s">
        <v>615</v>
      </c>
      <c r="B59" s="91">
        <f>MROUND(C59-SRT.HRT!$B$3,1)</f>
        <v>283</v>
      </c>
      <c r="C59" s="72">
        <f>'Biomass Sample'!A34</f>
        <v>45709.624305555553</v>
      </c>
      <c r="D59" s="92">
        <v>45720</v>
      </c>
      <c r="E59" s="9"/>
      <c r="F59" s="20">
        <v>190.6</v>
      </c>
      <c r="G59" s="20">
        <v>2.02</v>
      </c>
      <c r="H59" s="20">
        <v>0.38700000000000001</v>
      </c>
      <c r="I59" s="20"/>
      <c r="J59" s="20">
        <v>0.19500000000000001</v>
      </c>
      <c r="K59" s="20"/>
      <c r="L59" s="20">
        <v>6.0000000000000001E-3</v>
      </c>
      <c r="M59" s="94">
        <f t="shared" si="8"/>
        <v>2.0986358866736623</v>
      </c>
      <c r="N59" s="94">
        <f t="shared" si="9"/>
        <v>17.901364113326338</v>
      </c>
      <c r="O59" s="95">
        <f t="shared" si="7"/>
        <v>2</v>
      </c>
      <c r="P59" s="94">
        <f t="shared" si="10"/>
        <v>18</v>
      </c>
    </row>
    <row r="60" spans="1:16" ht="15" customHeight="1" x14ac:dyDescent="0.3">
      <c r="A60" s="91" t="s">
        <v>616</v>
      </c>
      <c r="B60" s="91">
        <f>MROUND(C60-SRT.HRT!$B$3,1)</f>
        <v>283</v>
      </c>
      <c r="C60" s="72">
        <f>'Biomass Sample'!A34</f>
        <v>45709.624305555553</v>
      </c>
      <c r="D60" s="92">
        <v>45720</v>
      </c>
      <c r="E60" s="9"/>
      <c r="F60" s="20">
        <v>157.87</v>
      </c>
      <c r="G60" s="20">
        <v>2.02</v>
      </c>
      <c r="H60" s="20">
        <v>0.32</v>
      </c>
      <c r="I60" s="20"/>
      <c r="J60" s="20">
        <v>0.161</v>
      </c>
      <c r="K60" s="20"/>
      <c r="L60" s="20">
        <v>4.0000000000000001E-3</v>
      </c>
      <c r="M60" s="94">
        <f t="shared" si="8"/>
        <v>2.5337302844112242</v>
      </c>
      <c r="N60" s="94">
        <f t="shared" si="9"/>
        <v>17.466269715588776</v>
      </c>
      <c r="O60" s="95">
        <f t="shared" si="7"/>
        <v>2</v>
      </c>
      <c r="P60" s="94">
        <f t="shared" si="10"/>
        <v>18</v>
      </c>
    </row>
    <row r="61" spans="1:16" ht="15" customHeight="1" x14ac:dyDescent="0.3">
      <c r="A61" s="91" t="s">
        <v>617</v>
      </c>
      <c r="B61" s="91" t="e">
        <f>MROUND(C61-SRT.HRT!$B$3,1)</f>
        <v>#VALUE!</v>
      </c>
      <c r="C61" s="72" t="s">
        <v>618</v>
      </c>
      <c r="D61" s="92">
        <v>45720</v>
      </c>
      <c r="E61" s="9"/>
      <c r="F61" s="20">
        <v>20.94</v>
      </c>
      <c r="G61" s="20">
        <v>3.06</v>
      </c>
      <c r="H61" s="20">
        <v>4.3999999999999997E-2</v>
      </c>
      <c r="I61" s="20"/>
      <c r="J61" s="20">
        <v>1.6E-2</v>
      </c>
      <c r="K61" s="20"/>
      <c r="L61" s="20">
        <v>2E-3</v>
      </c>
      <c r="M61" s="94">
        <f t="shared" si="8"/>
        <v>19.102196752626551</v>
      </c>
      <c r="N61" s="94">
        <f t="shared" si="9"/>
        <v>0.89780324737344941</v>
      </c>
      <c r="O61" s="95">
        <f t="shared" si="7"/>
        <v>2</v>
      </c>
      <c r="P61" s="94">
        <f t="shared" si="10"/>
        <v>18</v>
      </c>
    </row>
    <row r="62" spans="1:16" ht="15" customHeight="1" x14ac:dyDescent="0.3">
      <c r="A62" s="91"/>
      <c r="B62" s="91"/>
      <c r="C62" s="72"/>
      <c r="D62" s="92"/>
      <c r="E62" s="9"/>
      <c r="F62" s="20"/>
      <c r="G62" s="20"/>
      <c r="H62" s="20"/>
      <c r="I62" s="20"/>
      <c r="J62" s="20"/>
      <c r="K62" s="20"/>
      <c r="L62" s="20"/>
      <c r="M62" s="94" t="str">
        <f t="shared" si="8"/>
        <v>next</v>
      </c>
      <c r="N62" s="94" t="e">
        <f t="shared" si="9"/>
        <v>#VALUE!</v>
      </c>
      <c r="O62" s="95" t="e">
        <f t="shared" si="7"/>
        <v>#DIV/0!</v>
      </c>
      <c r="P62" s="94" t="e">
        <f t="shared" si="10"/>
        <v>#DIV/0!</v>
      </c>
    </row>
    <row r="63" spans="1:16" ht="15" customHeight="1" x14ac:dyDescent="0.3">
      <c r="A63" s="91"/>
      <c r="B63" s="91"/>
      <c r="C63" s="72"/>
      <c r="D63" s="92"/>
      <c r="E63" s="9"/>
      <c r="F63" s="20"/>
      <c r="G63" s="20"/>
      <c r="H63" s="20"/>
      <c r="I63" s="20"/>
      <c r="J63" s="20"/>
      <c r="K63" s="20"/>
      <c r="L63" s="20"/>
      <c r="M63" s="94" t="str">
        <f t="shared" si="8"/>
        <v>next</v>
      </c>
      <c r="N63" s="94" t="e">
        <f t="shared" si="9"/>
        <v>#VALUE!</v>
      </c>
      <c r="O63" s="95" t="e">
        <f t="shared" si="7"/>
        <v>#DIV/0!</v>
      </c>
      <c r="P63" s="94" t="e">
        <f t="shared" si="10"/>
        <v>#DIV/0!</v>
      </c>
    </row>
    <row r="64" spans="1:16" ht="15" customHeight="1" x14ac:dyDescent="0.3">
      <c r="A64" s="91"/>
      <c r="B64" s="91"/>
      <c r="C64" s="73"/>
      <c r="D64" s="92"/>
      <c r="E64" s="9"/>
      <c r="F64" s="20"/>
      <c r="G64" s="20"/>
      <c r="H64" s="20"/>
      <c r="I64" s="20"/>
      <c r="J64" s="20"/>
      <c r="K64" s="20"/>
      <c r="L64" s="20"/>
      <c r="M64" s="94" t="str">
        <f t="shared" si="8"/>
        <v>next</v>
      </c>
      <c r="N64" s="94" t="e">
        <f t="shared" si="9"/>
        <v>#VALUE!</v>
      </c>
      <c r="O64" s="95" t="e">
        <f t="shared" si="7"/>
        <v>#DIV/0!</v>
      </c>
      <c r="P64" s="94" t="e">
        <f t="shared" si="10"/>
        <v>#DIV/0!</v>
      </c>
    </row>
    <row r="65" spans="1:16" ht="15" customHeight="1" x14ac:dyDescent="0.3">
      <c r="A65" s="91"/>
      <c r="B65" s="91"/>
      <c r="C65" s="73"/>
      <c r="D65" s="92"/>
      <c r="E65" s="9"/>
      <c r="F65" s="20"/>
      <c r="G65" s="20"/>
      <c r="H65" s="20"/>
      <c r="I65" s="20"/>
      <c r="J65" s="20"/>
      <c r="K65" s="20"/>
      <c r="L65" s="20"/>
      <c r="M65" s="94" t="str">
        <f t="shared" si="8"/>
        <v>next</v>
      </c>
      <c r="N65" s="94" t="e">
        <f t="shared" si="9"/>
        <v>#VALUE!</v>
      </c>
      <c r="O65" s="95" t="e">
        <f t="shared" si="7"/>
        <v>#DIV/0!</v>
      </c>
      <c r="P65" s="94" t="e">
        <f t="shared" si="10"/>
        <v>#DIV/0!</v>
      </c>
    </row>
    <row r="66" spans="1:16" ht="15" customHeight="1" x14ac:dyDescent="0.3">
      <c r="A66" s="91"/>
      <c r="B66" s="91"/>
      <c r="C66" s="74"/>
      <c r="D66" s="92"/>
      <c r="E66" s="9"/>
      <c r="F66" s="20"/>
      <c r="G66" s="20"/>
      <c r="H66" s="20"/>
      <c r="I66" s="20"/>
      <c r="J66" s="20"/>
      <c r="K66" s="20"/>
      <c r="L66" s="20"/>
      <c r="M66" s="94" t="str">
        <f t="shared" si="8"/>
        <v>next</v>
      </c>
      <c r="N66" s="94" t="e">
        <f t="shared" si="9"/>
        <v>#VALUE!</v>
      </c>
      <c r="O66" s="95" t="e">
        <f t="shared" si="7"/>
        <v>#DIV/0!</v>
      </c>
      <c r="P66" s="94" t="e">
        <f t="shared" si="10"/>
        <v>#DIV/0!</v>
      </c>
    </row>
    <row r="67" spans="1:16" ht="15" customHeight="1" x14ac:dyDescent="0.3">
      <c r="A67" s="91"/>
      <c r="B67" s="91"/>
      <c r="C67" s="74"/>
      <c r="D67" s="92"/>
      <c r="E67" s="9"/>
      <c r="F67" s="20"/>
      <c r="G67" s="20"/>
      <c r="H67" s="20"/>
      <c r="I67" s="20"/>
      <c r="J67" s="20"/>
      <c r="K67" s="20"/>
      <c r="L67" s="20"/>
      <c r="M67" s="94" t="str">
        <f t="shared" si="8"/>
        <v>next</v>
      </c>
      <c r="N67" s="94" t="e">
        <f t="shared" si="9"/>
        <v>#VALUE!</v>
      </c>
      <c r="O67" s="95" t="e">
        <f t="shared" si="7"/>
        <v>#DIV/0!</v>
      </c>
      <c r="P67" s="94" t="e">
        <f t="shared" si="10"/>
        <v>#DIV/0!</v>
      </c>
    </row>
    <row r="68" spans="1:16" ht="15" customHeight="1" x14ac:dyDescent="0.3">
      <c r="A68" s="91"/>
      <c r="B68" s="91"/>
      <c r="C68" s="72"/>
      <c r="D68" s="92"/>
      <c r="E68" s="9"/>
      <c r="F68" s="20"/>
      <c r="G68" s="20"/>
      <c r="H68" s="20"/>
      <c r="I68" s="20"/>
      <c r="J68" s="20"/>
      <c r="K68" s="20"/>
      <c r="L68" s="20"/>
      <c r="M68" s="94" t="str">
        <f t="shared" si="8"/>
        <v>next</v>
      </c>
      <c r="N68" s="94" t="e">
        <f t="shared" si="9"/>
        <v>#VALUE!</v>
      </c>
      <c r="O68" s="95" t="e">
        <f t="shared" si="7"/>
        <v>#DIV/0!</v>
      </c>
      <c r="P68" s="94" t="e">
        <f t="shared" si="10"/>
        <v>#DIV/0!</v>
      </c>
    </row>
    <row r="69" spans="1:16" ht="15" customHeight="1" x14ac:dyDescent="0.3">
      <c r="A69" s="91"/>
      <c r="B69" s="91"/>
      <c r="C69" s="72"/>
      <c r="D69" s="92"/>
      <c r="E69" s="9"/>
      <c r="F69" s="20"/>
      <c r="G69" s="20"/>
      <c r="H69" s="20"/>
      <c r="I69" s="20"/>
      <c r="J69" s="20"/>
      <c r="K69" s="20"/>
      <c r="L69" s="20"/>
      <c r="M69" s="94" t="str">
        <f t="shared" si="8"/>
        <v>next</v>
      </c>
      <c r="N69" s="94" t="e">
        <f t="shared" si="9"/>
        <v>#VALUE!</v>
      </c>
      <c r="O69" s="95" t="e">
        <f t="shared" si="7"/>
        <v>#DIV/0!</v>
      </c>
      <c r="P69" s="94" t="e">
        <f t="shared" si="10"/>
        <v>#DIV/0!</v>
      </c>
    </row>
  </sheetData>
  <mergeCells count="2">
    <mergeCell ref="M3:N3"/>
    <mergeCell ref="O3:P3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26CD-264D-4C9A-B73B-9AFD0D61E130}">
  <dimension ref="B1:AL41"/>
  <sheetViews>
    <sheetView workbookViewId="0">
      <selection activeCell="AH24" sqref="AH24"/>
    </sheetView>
  </sheetViews>
  <sheetFormatPr defaultRowHeight="15" customHeight="1" x14ac:dyDescent="0.3"/>
  <cols>
    <col min="2" max="2" width="19.88671875" customWidth="1"/>
    <col min="6" max="6" width="11.33203125" customWidth="1"/>
    <col min="7" max="7" width="16.33203125" customWidth="1"/>
    <col min="8" max="12" width="9.109375" customWidth="1"/>
    <col min="13" max="13" width="9.5546875" customWidth="1"/>
    <col min="15" max="16" width="9.109375" customWidth="1"/>
    <col min="17" max="17" width="10.5546875" customWidth="1"/>
    <col min="18" max="18" width="16.5546875" customWidth="1"/>
    <col min="19" max="23" width="9.109375" customWidth="1"/>
    <col min="24" max="24" width="10.44140625" customWidth="1"/>
    <col min="26" max="27" width="9.109375" customWidth="1"/>
    <col min="28" max="28" width="11" customWidth="1"/>
    <col min="29" max="29" width="16.88671875" customWidth="1"/>
    <col min="30" max="34" width="9.109375" customWidth="1"/>
    <col min="35" max="35" width="9.6640625" customWidth="1"/>
    <col min="36" max="36" width="10.88671875" customWidth="1"/>
  </cols>
  <sheetData>
    <row r="1" spans="2:38" ht="28.8" x14ac:dyDescent="0.3">
      <c r="F1" s="1" t="s">
        <v>424</v>
      </c>
      <c r="G1" s="2">
        <f>SRT.HRT!B3</f>
        <v>45426.529166666667</v>
      </c>
    </row>
    <row r="2" spans="2:38" ht="18" x14ac:dyDescent="0.35">
      <c r="G2" s="59" t="s">
        <v>337</v>
      </c>
      <c r="R2" s="59" t="s">
        <v>338</v>
      </c>
      <c r="AC2" s="59" t="s">
        <v>339</v>
      </c>
    </row>
    <row r="3" spans="2:38" ht="30" customHeight="1" x14ac:dyDescent="0.3">
      <c r="C3" t="s">
        <v>619</v>
      </c>
      <c r="F3" s="1" t="s">
        <v>465</v>
      </c>
      <c r="G3" t="s">
        <v>620</v>
      </c>
      <c r="H3" t="s">
        <v>621</v>
      </c>
      <c r="I3">
        <v>1</v>
      </c>
      <c r="J3">
        <v>2</v>
      </c>
      <c r="K3">
        <v>3</v>
      </c>
      <c r="L3">
        <v>4</v>
      </c>
      <c r="M3">
        <v>5</v>
      </c>
      <c r="N3" s="1" t="s">
        <v>622</v>
      </c>
      <c r="O3" t="s">
        <v>623</v>
      </c>
      <c r="Q3" s="1" t="s">
        <v>465</v>
      </c>
      <c r="R3" t="s">
        <v>620</v>
      </c>
      <c r="S3" t="s">
        <v>621</v>
      </c>
      <c r="T3">
        <v>1</v>
      </c>
      <c r="U3">
        <v>2</v>
      </c>
      <c r="V3">
        <v>3</v>
      </c>
      <c r="W3">
        <v>4</v>
      </c>
      <c r="X3">
        <v>5</v>
      </c>
      <c r="Y3" s="1" t="s">
        <v>622</v>
      </c>
      <c r="Z3" t="s">
        <v>623</v>
      </c>
      <c r="AB3" s="1" t="s">
        <v>465</v>
      </c>
      <c r="AC3" t="s">
        <v>620</v>
      </c>
      <c r="AD3" t="s">
        <v>621</v>
      </c>
      <c r="AE3">
        <v>1</v>
      </c>
      <c r="AF3">
        <v>2</v>
      </c>
      <c r="AG3">
        <v>3</v>
      </c>
      <c r="AH3">
        <v>4</v>
      </c>
      <c r="AI3">
        <v>5</v>
      </c>
      <c r="AJ3" s="1" t="s">
        <v>622</v>
      </c>
      <c r="AK3" t="s">
        <v>623</v>
      </c>
    </row>
    <row r="4" spans="2:38" ht="14.4" x14ac:dyDescent="0.3">
      <c r="B4" s="2">
        <f>G4</f>
        <v>45485.4375</v>
      </c>
      <c r="C4">
        <f>AJ4-N4</f>
        <v>-4</v>
      </c>
      <c r="F4" s="39">
        <f>G4-$G$1</f>
        <v>58.908333333332848</v>
      </c>
      <c r="G4" s="60">
        <v>45485.4375</v>
      </c>
      <c r="H4">
        <v>20</v>
      </c>
      <c r="I4">
        <v>11.6</v>
      </c>
      <c r="J4">
        <v>11.6</v>
      </c>
      <c r="K4">
        <v>11.6</v>
      </c>
      <c r="N4">
        <f t="shared" ref="N4:N15" si="0">AVERAGE(I4:M4)*H4</f>
        <v>232</v>
      </c>
      <c r="O4">
        <f t="shared" ref="O4:O15" si="1">STDEV(I4:M4)*H4</f>
        <v>0</v>
      </c>
      <c r="Q4" s="39">
        <f>R4-$G$1</f>
        <v>58.908333333332848</v>
      </c>
      <c r="R4" s="60">
        <v>45485.4375</v>
      </c>
      <c r="S4">
        <v>20</v>
      </c>
      <c r="T4">
        <v>11.2</v>
      </c>
      <c r="U4">
        <v>11.2</v>
      </c>
      <c r="V4">
        <v>11.2</v>
      </c>
      <c r="Y4">
        <f t="shared" ref="Y4:Y14" si="2">AVERAGE(T4:X4)*S4</f>
        <v>223.99999999999994</v>
      </c>
      <c r="Z4">
        <f t="shared" ref="Z4:Z14" si="3">STDEV(T4:X4)*S4</f>
        <v>4.3511678576336586E-14</v>
      </c>
      <c r="AB4" s="39">
        <f>AC4-$G$1</f>
        <v>58.908333333332848</v>
      </c>
      <c r="AC4" s="61">
        <v>45485.4375</v>
      </c>
      <c r="AD4">
        <v>20</v>
      </c>
      <c r="AE4">
        <v>11.4</v>
      </c>
      <c r="AF4">
        <v>11.4</v>
      </c>
      <c r="AG4">
        <v>11.4</v>
      </c>
      <c r="AJ4">
        <f t="shared" ref="AJ4:AJ10" si="4">AVERAGE(AE4:AI4)*AD4</f>
        <v>228</v>
      </c>
      <c r="AK4">
        <f t="shared" ref="AK4:AK10" si="5">STDEV(AE4:AI4)*AD4</f>
        <v>0</v>
      </c>
    </row>
    <row r="5" spans="2:38" ht="14.4" x14ac:dyDescent="0.3">
      <c r="B5" s="2">
        <f t="shared" ref="B5:B19" si="6">G5</f>
        <v>45502.400000000001</v>
      </c>
      <c r="C5">
        <f t="shared" ref="C5:C10" si="7">AJ5-N5</f>
        <v>348.95</v>
      </c>
      <c r="F5" s="39">
        <f t="shared" ref="F5:F35" si="8">G5-$G$1</f>
        <v>75.870833333334303</v>
      </c>
      <c r="G5" s="4">
        <v>45502.400000000001</v>
      </c>
      <c r="H5">
        <v>20</v>
      </c>
      <c r="I5">
        <v>4.5999999999999996</v>
      </c>
      <c r="J5">
        <v>4.6100000000000003</v>
      </c>
      <c r="K5">
        <v>4.62</v>
      </c>
      <c r="L5">
        <v>4.62</v>
      </c>
      <c r="N5">
        <f t="shared" si="0"/>
        <v>92.250000000000014</v>
      </c>
      <c r="O5">
        <f t="shared" si="1"/>
        <v>0.19148542155127127</v>
      </c>
      <c r="Q5" s="39">
        <f>R5-$G$1</f>
        <v>82.859722222223354</v>
      </c>
      <c r="R5" s="4">
        <v>45509.388888888891</v>
      </c>
      <c r="S5">
        <v>20</v>
      </c>
      <c r="T5">
        <v>23.7</v>
      </c>
      <c r="U5">
        <v>23.8</v>
      </c>
      <c r="V5">
        <v>23.8</v>
      </c>
      <c r="W5">
        <v>23.9</v>
      </c>
      <c r="X5">
        <v>23.9</v>
      </c>
      <c r="Y5">
        <f t="shared" si="2"/>
        <v>476.4</v>
      </c>
      <c r="Z5">
        <f t="shared" si="3"/>
        <v>1.6733200530681409</v>
      </c>
      <c r="AB5" s="39">
        <f>AC5-$G$1</f>
        <v>82.859722222223354</v>
      </c>
      <c r="AC5" s="4">
        <v>45509.388888888891</v>
      </c>
      <c r="AD5">
        <v>20</v>
      </c>
      <c r="AE5">
        <v>21.9</v>
      </c>
      <c r="AF5">
        <v>22</v>
      </c>
      <c r="AG5">
        <v>22.1</v>
      </c>
      <c r="AH5">
        <v>22.1</v>
      </c>
      <c r="AI5">
        <v>22.2</v>
      </c>
      <c r="AJ5">
        <f t="shared" si="4"/>
        <v>441.2</v>
      </c>
      <c r="AK5">
        <f t="shared" si="5"/>
        <v>2.2803508501982868</v>
      </c>
    </row>
    <row r="6" spans="2:38" ht="14.4" x14ac:dyDescent="0.3">
      <c r="B6" s="2">
        <f t="shared" si="6"/>
        <v>45509.388888888891</v>
      </c>
      <c r="C6">
        <f t="shared" si="7"/>
        <v>-1</v>
      </c>
      <c r="F6" s="39">
        <f t="shared" si="8"/>
        <v>82.859722222223354</v>
      </c>
      <c r="G6" s="4">
        <v>45509.388888888891</v>
      </c>
      <c r="H6">
        <v>20</v>
      </c>
      <c r="I6">
        <v>24.4</v>
      </c>
      <c r="J6">
        <v>24.4</v>
      </c>
      <c r="K6">
        <v>24.5</v>
      </c>
      <c r="L6">
        <v>24.6</v>
      </c>
      <c r="M6">
        <v>24.6</v>
      </c>
      <c r="N6">
        <f t="shared" si="0"/>
        <v>490</v>
      </c>
      <c r="O6">
        <f t="shared" si="1"/>
        <v>2.0000000000000284</v>
      </c>
      <c r="Q6" s="39">
        <f t="shared" ref="Q6:Q12" si="9">R7-$G$1</f>
        <v>96.856944444443798</v>
      </c>
      <c r="R6" s="61">
        <v>45516.390277777777</v>
      </c>
      <c r="S6">
        <v>20</v>
      </c>
      <c r="T6">
        <v>26</v>
      </c>
      <c r="U6">
        <v>26</v>
      </c>
      <c r="V6">
        <v>26</v>
      </c>
      <c r="W6">
        <v>26</v>
      </c>
      <c r="Y6">
        <f t="shared" si="2"/>
        <v>520</v>
      </c>
      <c r="Z6">
        <f t="shared" si="3"/>
        <v>0</v>
      </c>
      <c r="AB6" s="39">
        <f>AC6-$G$1</f>
        <v>89.861111111109494</v>
      </c>
      <c r="AC6" s="61">
        <v>45516.390277777777</v>
      </c>
      <c r="AD6">
        <v>20</v>
      </c>
      <c r="AE6">
        <v>24.4</v>
      </c>
      <c r="AF6">
        <v>24.4</v>
      </c>
      <c r="AG6">
        <v>24.5</v>
      </c>
      <c r="AH6">
        <v>24.5</v>
      </c>
      <c r="AJ6">
        <f t="shared" si="4"/>
        <v>489</v>
      </c>
      <c r="AK6">
        <f t="shared" si="5"/>
        <v>1.1547005383792679</v>
      </c>
    </row>
    <row r="7" spans="2:38" ht="14.4" x14ac:dyDescent="0.3">
      <c r="B7" s="2">
        <f t="shared" si="6"/>
        <v>45516.390277777777</v>
      </c>
      <c r="C7">
        <f t="shared" si="7"/>
        <v>-337.58000000000004</v>
      </c>
      <c r="F7" s="39">
        <f t="shared" si="8"/>
        <v>89.861111111109494</v>
      </c>
      <c r="G7" s="2">
        <v>45516.390277777777</v>
      </c>
      <c r="H7">
        <v>20</v>
      </c>
      <c r="I7">
        <v>24</v>
      </c>
      <c r="J7">
        <v>24.1</v>
      </c>
      <c r="K7">
        <v>24.2</v>
      </c>
      <c r="L7">
        <v>24.2</v>
      </c>
      <c r="N7">
        <f t="shared" si="0"/>
        <v>482.5</v>
      </c>
      <c r="O7">
        <f t="shared" si="1"/>
        <v>1.9148542155126664</v>
      </c>
      <c r="Q7" s="39">
        <f t="shared" si="9"/>
        <v>103.88263888889196</v>
      </c>
      <c r="R7" s="2">
        <v>45523.386111111111</v>
      </c>
      <c r="S7">
        <v>20</v>
      </c>
      <c r="T7">
        <v>13.6</v>
      </c>
      <c r="U7">
        <v>14</v>
      </c>
      <c r="V7">
        <v>14.1</v>
      </c>
      <c r="W7">
        <v>14.1</v>
      </c>
      <c r="X7">
        <v>14.1</v>
      </c>
      <c r="Y7">
        <f t="shared" si="2"/>
        <v>279.60000000000002</v>
      </c>
      <c r="Z7">
        <f t="shared" si="3"/>
        <v>4.335896677735759</v>
      </c>
      <c r="AB7" s="39">
        <f t="shared" ref="AB7:AB19" si="10">AC7-$G$1</f>
        <v>96.856944444443798</v>
      </c>
      <c r="AC7" s="61">
        <v>45523.386111111111</v>
      </c>
      <c r="AD7">
        <v>20</v>
      </c>
      <c r="AE7">
        <v>7.2</v>
      </c>
      <c r="AF7">
        <v>7.23</v>
      </c>
      <c r="AG7">
        <v>7.26</v>
      </c>
      <c r="AH7">
        <v>7.27</v>
      </c>
      <c r="AI7">
        <v>7.27</v>
      </c>
      <c r="AJ7">
        <f t="shared" si="4"/>
        <v>144.91999999999999</v>
      </c>
      <c r="AK7">
        <f t="shared" si="5"/>
        <v>0.60991802727906996</v>
      </c>
    </row>
    <row r="8" spans="2:38" ht="14.4" x14ac:dyDescent="0.3">
      <c r="B8" s="2">
        <f t="shared" si="6"/>
        <v>45523.386111111111</v>
      </c>
      <c r="C8">
        <f t="shared" si="7"/>
        <v>-124.05000000000001</v>
      </c>
      <c r="F8" s="39">
        <f t="shared" si="8"/>
        <v>96.856944444443798</v>
      </c>
      <c r="G8" s="2">
        <v>45523.386111111111</v>
      </c>
      <c r="H8">
        <v>20</v>
      </c>
      <c r="I8">
        <v>13.5</v>
      </c>
      <c r="J8">
        <v>13.5</v>
      </c>
      <c r="K8">
        <v>13.5</v>
      </c>
      <c r="L8">
        <v>13.6</v>
      </c>
      <c r="M8">
        <v>13.6</v>
      </c>
      <c r="N8">
        <f t="shared" si="0"/>
        <v>270.8</v>
      </c>
      <c r="O8">
        <f t="shared" si="1"/>
        <v>1.0954451150103282</v>
      </c>
      <c r="Q8" s="39">
        <f t="shared" si="9"/>
        <v>111.8659722222219</v>
      </c>
      <c r="R8" s="2">
        <v>45530.411805555559</v>
      </c>
      <c r="S8">
        <v>10</v>
      </c>
      <c r="T8">
        <v>27.6</v>
      </c>
      <c r="U8">
        <v>27.7</v>
      </c>
      <c r="V8">
        <v>27.8</v>
      </c>
      <c r="W8">
        <v>27.8</v>
      </c>
      <c r="Y8">
        <f t="shared" si="2"/>
        <v>277.25</v>
      </c>
      <c r="Z8">
        <f t="shared" si="3"/>
        <v>0.95742710775633622</v>
      </c>
      <c r="AB8" s="39">
        <f t="shared" si="10"/>
        <v>103.88263888889196</v>
      </c>
      <c r="AC8" s="2">
        <v>45530.411805555559</v>
      </c>
      <c r="AD8">
        <v>10</v>
      </c>
      <c r="AE8">
        <v>14.6</v>
      </c>
      <c r="AF8">
        <v>14.7</v>
      </c>
      <c r="AG8">
        <v>14.7</v>
      </c>
      <c r="AH8">
        <v>14.7</v>
      </c>
      <c r="AJ8">
        <f t="shared" si="4"/>
        <v>146.75</v>
      </c>
      <c r="AK8">
        <f t="shared" si="5"/>
        <v>0.49999999999999828</v>
      </c>
    </row>
    <row r="9" spans="2:38" ht="14.4" x14ac:dyDescent="0.3">
      <c r="B9" s="2">
        <f t="shared" si="6"/>
        <v>45530.411805555559</v>
      </c>
      <c r="C9">
        <f t="shared" si="7"/>
        <v>-189.65</v>
      </c>
      <c r="F9" s="39">
        <f t="shared" si="8"/>
        <v>103.88263888889196</v>
      </c>
      <c r="G9" s="2">
        <v>45530.411805555559</v>
      </c>
      <c r="H9">
        <v>10</v>
      </c>
      <c r="I9">
        <v>32.700000000000003</v>
      </c>
      <c r="J9">
        <v>32.799999999999997</v>
      </c>
      <c r="K9">
        <v>32.9</v>
      </c>
      <c r="L9">
        <v>32.9</v>
      </c>
      <c r="N9">
        <f t="shared" si="0"/>
        <v>328.25</v>
      </c>
      <c r="O9">
        <f t="shared" si="1"/>
        <v>0.95742710775632078</v>
      </c>
      <c r="Q9" s="39">
        <f t="shared" si="9"/>
        <v>117.88263888889196</v>
      </c>
      <c r="R9" s="2">
        <v>45538.395138888889</v>
      </c>
      <c r="S9">
        <v>10</v>
      </c>
      <c r="T9">
        <v>15.1</v>
      </c>
      <c r="U9">
        <v>15.2</v>
      </c>
      <c r="V9">
        <v>15.3</v>
      </c>
      <c r="W9">
        <v>15.2</v>
      </c>
      <c r="X9">
        <v>15.3</v>
      </c>
      <c r="Y9">
        <f t="shared" si="2"/>
        <v>152.19999999999999</v>
      </c>
      <c r="Z9">
        <f t="shared" si="3"/>
        <v>0.83666002653408111</v>
      </c>
      <c r="AB9" s="39">
        <f t="shared" si="10"/>
        <v>111.8659722222219</v>
      </c>
      <c r="AC9" s="2">
        <v>45538.395138888889</v>
      </c>
      <c r="AD9">
        <v>10</v>
      </c>
      <c r="AE9">
        <v>13.8</v>
      </c>
      <c r="AF9">
        <v>13.8</v>
      </c>
      <c r="AG9">
        <v>13.9</v>
      </c>
      <c r="AH9">
        <v>13.9</v>
      </c>
      <c r="AI9">
        <v>13.9</v>
      </c>
      <c r="AJ9">
        <f t="shared" si="4"/>
        <v>138.6</v>
      </c>
      <c r="AK9">
        <f t="shared" si="5"/>
        <v>0.54772255750516408</v>
      </c>
    </row>
    <row r="10" spans="2:38" ht="14.4" x14ac:dyDescent="0.3">
      <c r="B10" s="2">
        <f t="shared" si="6"/>
        <v>45538.395138888889</v>
      </c>
      <c r="C10">
        <f t="shared" si="7"/>
        <v>2.3999999999999773</v>
      </c>
      <c r="F10" s="39">
        <f t="shared" si="8"/>
        <v>111.8659722222219</v>
      </c>
      <c r="G10" s="2">
        <v>45538.395138888889</v>
      </c>
      <c r="H10">
        <v>10</v>
      </c>
      <c r="I10">
        <v>14.5</v>
      </c>
      <c r="J10">
        <v>14.5</v>
      </c>
      <c r="K10">
        <v>14.5</v>
      </c>
      <c r="L10">
        <v>14.5</v>
      </c>
      <c r="M10">
        <v>14.5</v>
      </c>
      <c r="N10">
        <f t="shared" si="0"/>
        <v>145</v>
      </c>
      <c r="O10">
        <f t="shared" si="1"/>
        <v>0</v>
      </c>
      <c r="Q10" s="39">
        <f t="shared" si="9"/>
        <v>124.47083333333285</v>
      </c>
      <c r="R10" s="2">
        <v>45544.411805555559</v>
      </c>
      <c r="S10">
        <v>10</v>
      </c>
      <c r="T10">
        <v>15.7</v>
      </c>
      <c r="U10">
        <v>15.8</v>
      </c>
      <c r="V10">
        <v>15.8</v>
      </c>
      <c r="W10">
        <v>15.8</v>
      </c>
      <c r="X10">
        <v>15.8</v>
      </c>
      <c r="Y10">
        <f t="shared" si="2"/>
        <v>157.79999999999998</v>
      </c>
      <c r="Z10">
        <f t="shared" si="3"/>
        <v>0.44721359549996431</v>
      </c>
      <c r="AB10" s="39">
        <f t="shared" si="10"/>
        <v>117.88263888889196</v>
      </c>
      <c r="AC10" s="2">
        <v>45544.411805555559</v>
      </c>
      <c r="AD10">
        <v>10</v>
      </c>
      <c r="AE10">
        <v>14.7</v>
      </c>
      <c r="AF10">
        <v>14.7</v>
      </c>
      <c r="AG10">
        <v>14.7</v>
      </c>
      <c r="AH10">
        <v>14.8</v>
      </c>
      <c r="AI10">
        <v>14.8</v>
      </c>
      <c r="AJ10">
        <f t="shared" si="4"/>
        <v>147.39999999999998</v>
      </c>
      <c r="AK10">
        <f t="shared" si="5"/>
        <v>0.54772255750517385</v>
      </c>
    </row>
    <row r="11" spans="2:38" ht="14.4" x14ac:dyDescent="0.3">
      <c r="B11" s="2">
        <f t="shared" si="6"/>
        <v>45544.411805555559</v>
      </c>
      <c r="C11" t="e">
        <f>#REF!-N11</f>
        <v>#REF!</v>
      </c>
      <c r="F11" s="39">
        <f t="shared" si="8"/>
        <v>117.88263888889196</v>
      </c>
      <c r="G11" s="2">
        <v>45544.411805555559</v>
      </c>
      <c r="H11">
        <v>10</v>
      </c>
      <c r="I11">
        <v>15.2</v>
      </c>
      <c r="J11">
        <v>15.2</v>
      </c>
      <c r="K11">
        <v>15.2</v>
      </c>
      <c r="L11">
        <v>15.2</v>
      </c>
      <c r="M11">
        <v>15.3</v>
      </c>
      <c r="N11">
        <f t="shared" si="0"/>
        <v>152.19999999999999</v>
      </c>
      <c r="O11">
        <f t="shared" si="1"/>
        <v>0.44721359549996431</v>
      </c>
      <c r="Q11" s="39">
        <f t="shared" si="9"/>
        <v>131.47083333333285</v>
      </c>
      <c r="R11" s="4">
        <v>45551</v>
      </c>
      <c r="S11">
        <v>5</v>
      </c>
      <c r="T11">
        <v>14.7</v>
      </c>
      <c r="U11">
        <v>14.7</v>
      </c>
      <c r="V11">
        <v>14.8</v>
      </c>
      <c r="W11">
        <v>14.8</v>
      </c>
      <c r="X11">
        <v>14.8</v>
      </c>
      <c r="Y11">
        <f t="shared" si="2"/>
        <v>73.8</v>
      </c>
      <c r="Z11">
        <f t="shared" si="3"/>
        <v>0.27386127875258692</v>
      </c>
      <c r="AB11" s="39">
        <f t="shared" si="10"/>
        <v>131.47083333333285</v>
      </c>
      <c r="AC11" s="4">
        <v>45558</v>
      </c>
      <c r="AD11">
        <v>5</v>
      </c>
      <c r="AE11">
        <v>32</v>
      </c>
      <c r="AF11">
        <v>32</v>
      </c>
      <c r="AG11">
        <v>32.1</v>
      </c>
      <c r="AH11">
        <v>32.1</v>
      </c>
      <c r="AI11">
        <v>32.1</v>
      </c>
      <c r="AJ11">
        <f t="shared" ref="AJ11:AJ16" si="11">AVERAGE(AE11:AI11)*AD11</f>
        <v>160.29999999999998</v>
      </c>
      <c r="AK11">
        <f>STDEV(AE11:AI11)*AD11</f>
        <v>0.27386127875258692</v>
      </c>
    </row>
    <row r="12" spans="2:38" ht="15" customHeight="1" x14ac:dyDescent="0.3">
      <c r="B12" s="2">
        <f t="shared" si="6"/>
        <v>45551</v>
      </c>
      <c r="C12">
        <f t="shared" ref="C12:C18" si="12">AJ11-N12</f>
        <v>88.499999999999986</v>
      </c>
      <c r="F12" s="39">
        <f t="shared" si="8"/>
        <v>124.47083333333285</v>
      </c>
      <c r="G12" s="4">
        <v>45551</v>
      </c>
      <c r="H12">
        <v>5</v>
      </c>
      <c r="I12">
        <v>14.3</v>
      </c>
      <c r="J12">
        <v>14.3</v>
      </c>
      <c r="K12">
        <v>14.4</v>
      </c>
      <c r="L12">
        <v>14.4</v>
      </c>
      <c r="M12">
        <v>14.4</v>
      </c>
      <c r="N12">
        <f t="shared" si="0"/>
        <v>71.8</v>
      </c>
      <c r="O12">
        <f t="shared" si="1"/>
        <v>0.27386127875258204</v>
      </c>
      <c r="Q12" s="39">
        <f t="shared" si="9"/>
        <v>138.9020833333343</v>
      </c>
      <c r="R12" s="4">
        <v>45558</v>
      </c>
      <c r="S12">
        <v>5</v>
      </c>
      <c r="T12">
        <v>28.9</v>
      </c>
      <c r="U12">
        <v>29</v>
      </c>
      <c r="V12">
        <v>29</v>
      </c>
      <c r="W12">
        <v>29.1</v>
      </c>
      <c r="X12">
        <v>29.1</v>
      </c>
      <c r="Y12">
        <f t="shared" si="2"/>
        <v>145.1</v>
      </c>
      <c r="Z12">
        <f t="shared" si="3"/>
        <v>0.41833001326704372</v>
      </c>
      <c r="AB12" s="39">
        <f t="shared" si="10"/>
        <v>138.9020833333343</v>
      </c>
      <c r="AC12" s="2">
        <v>45565.431250000001</v>
      </c>
      <c r="AD12">
        <v>5</v>
      </c>
      <c r="AE12">
        <v>25.5</v>
      </c>
      <c r="AF12">
        <v>25.5</v>
      </c>
      <c r="AG12">
        <v>25.5</v>
      </c>
      <c r="AH12">
        <v>25.5</v>
      </c>
      <c r="AI12">
        <v>25.5</v>
      </c>
      <c r="AJ12">
        <f t="shared" si="11"/>
        <v>127.5</v>
      </c>
      <c r="AK12">
        <f>STDEV(AE12:AI12)*AD12</f>
        <v>0</v>
      </c>
    </row>
    <row r="13" spans="2:38" ht="15" customHeight="1" x14ac:dyDescent="0.3">
      <c r="B13" s="2">
        <f t="shared" si="6"/>
        <v>45558</v>
      </c>
      <c r="C13">
        <f t="shared" si="12"/>
        <v>-10.099999999999994</v>
      </c>
      <c r="F13" s="39">
        <f>G13-$G$1</f>
        <v>131.47083333333285</v>
      </c>
      <c r="G13" s="4">
        <v>45558</v>
      </c>
      <c r="H13">
        <v>5</v>
      </c>
      <c r="I13">
        <v>27.4</v>
      </c>
      <c r="J13">
        <v>27.5</v>
      </c>
      <c r="K13">
        <v>27.5</v>
      </c>
      <c r="L13">
        <v>27.6</v>
      </c>
      <c r="M13">
        <v>27.6</v>
      </c>
      <c r="N13">
        <f t="shared" si="0"/>
        <v>137.6</v>
      </c>
      <c r="O13">
        <f t="shared" si="1"/>
        <v>0.41833001326704372</v>
      </c>
      <c r="Q13" s="39">
        <f>R13-$G$1</f>
        <v>138.9020833333343</v>
      </c>
      <c r="R13" s="2">
        <v>45565.431250000001</v>
      </c>
      <c r="S13">
        <v>5</v>
      </c>
      <c r="T13">
        <v>24</v>
      </c>
      <c r="U13">
        <v>24</v>
      </c>
      <c r="V13">
        <v>24.1</v>
      </c>
      <c r="W13">
        <v>24.1</v>
      </c>
      <c r="X13">
        <v>24.1</v>
      </c>
      <c r="Y13">
        <f t="shared" si="2"/>
        <v>120.29999999999998</v>
      </c>
      <c r="Z13">
        <f t="shared" si="3"/>
        <v>0.27386127875258692</v>
      </c>
      <c r="AB13" s="39">
        <f t="shared" si="10"/>
        <v>145.90416666666715</v>
      </c>
      <c r="AC13" s="2">
        <v>45572.433333333334</v>
      </c>
      <c r="AD13">
        <v>10</v>
      </c>
      <c r="AE13">
        <v>32.299999999999997</v>
      </c>
      <c r="AF13">
        <v>32.299999999999997</v>
      </c>
      <c r="AG13">
        <v>32.299999999999997</v>
      </c>
      <c r="AH13">
        <v>32.299999999999997</v>
      </c>
      <c r="AJ13">
        <f t="shared" si="11"/>
        <v>323</v>
      </c>
      <c r="AK13">
        <f>STDEV(AE13:AI13)*AD13</f>
        <v>0</v>
      </c>
    </row>
    <row r="14" spans="2:38" ht="15" customHeight="1" x14ac:dyDescent="0.3">
      <c r="B14" s="2">
        <f t="shared" si="6"/>
        <v>45565.431250000001</v>
      </c>
      <c r="C14">
        <f t="shared" si="12"/>
        <v>201.79999999999998</v>
      </c>
      <c r="F14" s="39">
        <f t="shared" si="8"/>
        <v>138.9020833333343</v>
      </c>
      <c r="G14" s="2">
        <v>45565.431250000001</v>
      </c>
      <c r="H14">
        <v>5</v>
      </c>
      <c r="I14">
        <v>24.3</v>
      </c>
      <c r="J14">
        <v>24.3</v>
      </c>
      <c r="K14">
        <v>24.2</v>
      </c>
      <c r="L14">
        <v>24.2</v>
      </c>
      <c r="M14">
        <v>24.2</v>
      </c>
      <c r="N14">
        <f t="shared" si="0"/>
        <v>121.20000000000002</v>
      </c>
      <c r="O14">
        <f t="shared" si="1"/>
        <v>0.27386127875258692</v>
      </c>
      <c r="Q14" s="39">
        <f>R14-$G$1</f>
        <v>145.90416666666715</v>
      </c>
      <c r="R14" s="2">
        <v>45572.433333333334</v>
      </c>
      <c r="S14">
        <v>10</v>
      </c>
      <c r="T14">
        <v>26.3</v>
      </c>
      <c r="U14">
        <v>26.4</v>
      </c>
      <c r="V14">
        <v>26.4</v>
      </c>
      <c r="W14">
        <v>26.4</v>
      </c>
      <c r="X14">
        <v>26.5</v>
      </c>
      <c r="Y14">
        <f t="shared" si="2"/>
        <v>264</v>
      </c>
      <c r="Z14">
        <f t="shared" si="3"/>
        <v>0.70710678118654502</v>
      </c>
      <c r="AB14" s="39">
        <f t="shared" si="10"/>
        <v>145.90416666666715</v>
      </c>
      <c r="AC14" s="2">
        <v>45572.433333333334</v>
      </c>
      <c r="AD14">
        <v>10</v>
      </c>
      <c r="AE14">
        <v>27.1</v>
      </c>
      <c r="AF14">
        <v>27.1</v>
      </c>
      <c r="AG14">
        <v>27.1</v>
      </c>
      <c r="AH14">
        <v>27.2</v>
      </c>
      <c r="AI14">
        <v>27.2</v>
      </c>
      <c r="AJ14">
        <f t="shared" si="11"/>
        <v>271.40000000000003</v>
      </c>
      <c r="AK14">
        <f>STDEV(AE14:AI14)*AD14</f>
        <v>0.54772255750515453</v>
      </c>
      <c r="AL14" t="s">
        <v>624</v>
      </c>
    </row>
    <row r="15" spans="2:38" ht="15" customHeight="1" x14ac:dyDescent="0.3">
      <c r="B15" s="2">
        <f t="shared" si="6"/>
        <v>45572.433333333334</v>
      </c>
      <c r="C15">
        <f t="shared" si="12"/>
        <v>13.600000000000023</v>
      </c>
      <c r="F15" s="39">
        <f t="shared" si="8"/>
        <v>145.90416666666715</v>
      </c>
      <c r="G15" s="2">
        <v>45572.433333333334</v>
      </c>
      <c r="H15">
        <v>10</v>
      </c>
      <c r="I15">
        <v>25.7</v>
      </c>
      <c r="J15">
        <v>25.8</v>
      </c>
      <c r="K15">
        <v>25.8</v>
      </c>
      <c r="L15">
        <v>25.8</v>
      </c>
      <c r="M15">
        <v>25.8</v>
      </c>
      <c r="N15">
        <f t="shared" si="0"/>
        <v>257.8</v>
      </c>
      <c r="O15">
        <f t="shared" si="1"/>
        <v>0.44721359549996431</v>
      </c>
      <c r="Q15" s="39">
        <f>R15-$G$1</f>
        <v>153.84722222221899</v>
      </c>
      <c r="R15" s="2">
        <v>45580.376388888886</v>
      </c>
      <c r="S15">
        <v>10</v>
      </c>
      <c r="T15">
        <v>28.6</v>
      </c>
      <c r="U15">
        <v>28.6</v>
      </c>
      <c r="V15">
        <v>28.6</v>
      </c>
      <c r="Y15">
        <f t="shared" ref="Y15:Y23" si="13">AVERAGE(T15:X15)*S15</f>
        <v>286.00000000000006</v>
      </c>
      <c r="Z15">
        <f t="shared" ref="Z15:Z23" si="14">STDEV(T15:X15)*S15</f>
        <v>4.3511678576336586E-14</v>
      </c>
      <c r="AB15" s="39">
        <f t="shared" si="10"/>
        <v>153.84722222221899</v>
      </c>
      <c r="AC15" s="2">
        <v>45580.376388888886</v>
      </c>
      <c r="AD15">
        <v>10</v>
      </c>
      <c r="AE15">
        <v>27.2</v>
      </c>
      <c r="AF15">
        <v>27.2</v>
      </c>
      <c r="AG15">
        <v>27.2</v>
      </c>
      <c r="AJ15">
        <f t="shared" si="11"/>
        <v>272</v>
      </c>
      <c r="AK15">
        <f>STDEV(AE15:AI15)*AD15</f>
        <v>0</v>
      </c>
    </row>
    <row r="16" spans="2:38" ht="15" customHeight="1" x14ac:dyDescent="0.3">
      <c r="B16" s="2">
        <f t="shared" si="6"/>
        <v>45580.376388888886</v>
      </c>
      <c r="C16">
        <f t="shared" si="12"/>
        <v>-4.0000000000000568</v>
      </c>
      <c r="F16" s="39">
        <f t="shared" si="8"/>
        <v>153.84722222221899</v>
      </c>
      <c r="G16" s="2">
        <v>45580.376388888886</v>
      </c>
      <c r="H16">
        <v>10</v>
      </c>
      <c r="I16">
        <v>27.6</v>
      </c>
      <c r="J16">
        <v>27.6</v>
      </c>
      <c r="K16">
        <v>27.6</v>
      </c>
      <c r="N16">
        <f t="shared" ref="N16:N21" si="15">AVERAGE(I16:M16)*H16</f>
        <v>276.00000000000006</v>
      </c>
      <c r="O16">
        <f t="shared" ref="O16:O21" si="16">STDEV(I16:M16)*H16</f>
        <v>4.3511678576336586E-14</v>
      </c>
      <c r="Q16" s="39">
        <f t="shared" ref="Q16:Q26" si="17">R16-$G$1</f>
        <v>159.92152777777665</v>
      </c>
      <c r="R16" s="2">
        <v>45586.450694444444</v>
      </c>
      <c r="S16">
        <v>10</v>
      </c>
      <c r="T16">
        <v>29.6</v>
      </c>
      <c r="U16">
        <v>29.7</v>
      </c>
      <c r="V16">
        <v>29.7</v>
      </c>
      <c r="W16">
        <v>29.8</v>
      </c>
      <c r="X16">
        <v>29.8</v>
      </c>
      <c r="Y16">
        <f t="shared" si="13"/>
        <v>297.2</v>
      </c>
      <c r="Z16">
        <f t="shared" si="14"/>
        <v>0.83666002653407467</v>
      </c>
      <c r="AB16" s="39">
        <f t="shared" si="10"/>
        <v>159.92152777777665</v>
      </c>
      <c r="AC16" s="2">
        <v>45586.450694444444</v>
      </c>
      <c r="AD16">
        <v>10</v>
      </c>
      <c r="AE16">
        <v>30.5</v>
      </c>
      <c r="AF16">
        <v>30.9</v>
      </c>
      <c r="AG16">
        <v>30.9</v>
      </c>
      <c r="AH16">
        <v>31</v>
      </c>
      <c r="AI16">
        <v>31</v>
      </c>
      <c r="AJ16">
        <f t="shared" si="11"/>
        <v>308.60000000000002</v>
      </c>
      <c r="AK16">
        <f t="shared" ref="AK16:AK25" si="18">STDEV(AE16:AI16)*AD16</f>
        <v>2.073644135332771</v>
      </c>
    </row>
    <row r="17" spans="2:37" ht="15" customHeight="1" x14ac:dyDescent="0.3">
      <c r="B17" s="2">
        <f t="shared" si="6"/>
        <v>45586.450694444444</v>
      </c>
      <c r="C17">
        <f t="shared" si="12"/>
        <v>25.600000000000023</v>
      </c>
      <c r="F17" s="39">
        <f t="shared" si="8"/>
        <v>159.92152777777665</v>
      </c>
      <c r="G17" s="2">
        <v>45586.450694444444</v>
      </c>
      <c r="H17">
        <v>10</v>
      </c>
      <c r="I17">
        <v>28.2</v>
      </c>
      <c r="J17">
        <v>28.3</v>
      </c>
      <c r="K17">
        <v>28.3</v>
      </c>
      <c r="L17">
        <v>28.3</v>
      </c>
      <c r="M17">
        <v>28.4</v>
      </c>
      <c r="N17">
        <f t="shared" si="15"/>
        <v>283</v>
      </c>
      <c r="O17">
        <f t="shared" si="16"/>
        <v>0.70710678118654502</v>
      </c>
      <c r="Q17" s="39">
        <f t="shared" si="17"/>
        <v>166.47083333333285</v>
      </c>
      <c r="R17" s="4">
        <v>45593</v>
      </c>
      <c r="S17">
        <v>10</v>
      </c>
      <c r="T17">
        <v>29.8</v>
      </c>
      <c r="U17">
        <v>29.7</v>
      </c>
      <c r="V17">
        <v>29.8</v>
      </c>
      <c r="W17">
        <v>29.8</v>
      </c>
      <c r="X17">
        <v>29.8</v>
      </c>
      <c r="Y17">
        <f t="shared" si="13"/>
        <v>297.8</v>
      </c>
      <c r="Z17">
        <f t="shared" si="14"/>
        <v>0.44721359549996431</v>
      </c>
      <c r="AB17" s="39">
        <f t="shared" si="10"/>
        <v>166.47083333333285</v>
      </c>
      <c r="AC17" s="4">
        <v>45593</v>
      </c>
      <c r="AD17">
        <v>10</v>
      </c>
      <c r="AE17">
        <v>32.1</v>
      </c>
      <c r="AF17">
        <v>32</v>
      </c>
      <c r="AG17">
        <v>32.1</v>
      </c>
      <c r="AH17">
        <v>32.1</v>
      </c>
      <c r="AI17">
        <v>32.1</v>
      </c>
      <c r="AJ17">
        <f t="shared" ref="AJ17:AJ25" si="19">AVERAGE(AE17:AI17)*AD17</f>
        <v>320.79999999999995</v>
      </c>
      <c r="AK17">
        <f t="shared" si="18"/>
        <v>0.44721359549996431</v>
      </c>
    </row>
    <row r="18" spans="2:37" ht="15" customHeight="1" x14ac:dyDescent="0.3">
      <c r="B18" s="2">
        <f t="shared" si="6"/>
        <v>45593</v>
      </c>
      <c r="C18">
        <f t="shared" si="12"/>
        <v>29.799999999999955</v>
      </c>
      <c r="F18" s="39">
        <f t="shared" si="8"/>
        <v>166.47083333333285</v>
      </c>
      <c r="G18" s="4">
        <v>45593</v>
      </c>
      <c r="H18">
        <v>10</v>
      </c>
      <c r="I18">
        <v>29</v>
      </c>
      <c r="J18">
        <v>29.1</v>
      </c>
      <c r="K18">
        <v>29.1</v>
      </c>
      <c r="L18">
        <v>29.2</v>
      </c>
      <c r="M18">
        <v>29.1</v>
      </c>
      <c r="N18">
        <f t="shared" si="15"/>
        <v>291</v>
      </c>
      <c r="O18">
        <f t="shared" si="16"/>
        <v>0.70710678118654502</v>
      </c>
      <c r="Q18" s="39">
        <f t="shared" si="17"/>
        <v>173.93402777777374</v>
      </c>
      <c r="R18" s="4">
        <v>45600.463194444441</v>
      </c>
      <c r="S18">
        <v>10</v>
      </c>
      <c r="T18">
        <v>31.1</v>
      </c>
      <c r="U18">
        <v>31.1</v>
      </c>
      <c r="V18">
        <v>31.2</v>
      </c>
      <c r="W18">
        <v>31.2</v>
      </c>
      <c r="X18">
        <v>31.2</v>
      </c>
      <c r="Y18">
        <f t="shared" si="13"/>
        <v>311.60000000000002</v>
      </c>
      <c r="Z18">
        <f t="shared" si="14"/>
        <v>0.54772255750515442</v>
      </c>
      <c r="AB18" s="39">
        <f t="shared" si="10"/>
        <v>180.8930555555562</v>
      </c>
      <c r="AC18" s="2">
        <v>45607.422222222223</v>
      </c>
      <c r="AD18">
        <v>10</v>
      </c>
      <c r="AE18">
        <v>29.5</v>
      </c>
      <c r="AF18">
        <v>29.5</v>
      </c>
      <c r="AG18">
        <v>29.5</v>
      </c>
      <c r="AH18">
        <v>29.5</v>
      </c>
      <c r="AJ18">
        <f t="shared" si="19"/>
        <v>295</v>
      </c>
      <c r="AK18">
        <f t="shared" si="18"/>
        <v>0</v>
      </c>
    </row>
    <row r="19" spans="2:37" ht="15" customHeight="1" x14ac:dyDescent="0.3">
      <c r="B19" s="2">
        <f t="shared" si="6"/>
        <v>45600.463194444441</v>
      </c>
      <c r="C19" t="e">
        <f>#REF!-N19</f>
        <v>#REF!</v>
      </c>
      <c r="F19" s="39">
        <f t="shared" si="8"/>
        <v>173.93402777777374</v>
      </c>
      <c r="G19" s="4">
        <v>45600.463194444441</v>
      </c>
      <c r="H19">
        <v>10</v>
      </c>
      <c r="I19">
        <v>29.6</v>
      </c>
      <c r="J19">
        <v>29.7</v>
      </c>
      <c r="K19">
        <v>29.7</v>
      </c>
      <c r="L19">
        <v>29.7</v>
      </c>
      <c r="M19">
        <v>29.7</v>
      </c>
      <c r="N19">
        <f t="shared" si="15"/>
        <v>296.8</v>
      </c>
      <c r="O19">
        <f t="shared" si="16"/>
        <v>0.44721359549994838</v>
      </c>
      <c r="Q19" s="39">
        <f t="shared" si="17"/>
        <v>180.8930555555562</v>
      </c>
      <c r="R19" s="2">
        <v>45607.422222222223</v>
      </c>
      <c r="S19">
        <v>10</v>
      </c>
      <c r="T19">
        <v>29.4</v>
      </c>
      <c r="U19">
        <v>29.4</v>
      </c>
      <c r="V19">
        <v>29.5</v>
      </c>
      <c r="W19">
        <v>29.5</v>
      </c>
      <c r="Y19">
        <f t="shared" si="13"/>
        <v>294.5</v>
      </c>
      <c r="Z19">
        <f t="shared" si="14"/>
        <v>0.57735026918963395</v>
      </c>
      <c r="AB19" s="39">
        <f t="shared" si="10"/>
        <v>187.80555555555475</v>
      </c>
      <c r="AC19" s="2">
        <v>45614.334722222222</v>
      </c>
      <c r="AD19">
        <v>10</v>
      </c>
      <c r="AE19">
        <v>26.9</v>
      </c>
      <c r="AF19">
        <v>27</v>
      </c>
      <c r="AG19">
        <v>27</v>
      </c>
      <c r="AH19">
        <v>27.1</v>
      </c>
      <c r="AI19">
        <v>27.1</v>
      </c>
      <c r="AJ19">
        <f t="shared" si="19"/>
        <v>270.2</v>
      </c>
      <c r="AK19">
        <f t="shared" si="18"/>
        <v>0.83666002653408744</v>
      </c>
    </row>
    <row r="20" spans="2:37" ht="15" customHeight="1" x14ac:dyDescent="0.3">
      <c r="B20" s="2">
        <v>45607.422222222223</v>
      </c>
      <c r="C20">
        <f t="shared" ref="C20:C35" si="20">AJ18-N20</f>
        <v>2.75</v>
      </c>
      <c r="F20" s="39">
        <f t="shared" si="8"/>
        <v>180.8930555555562</v>
      </c>
      <c r="G20" s="2">
        <v>45607.422222222223</v>
      </c>
      <c r="H20">
        <v>10</v>
      </c>
      <c r="I20">
        <v>29.2</v>
      </c>
      <c r="J20">
        <v>29.2</v>
      </c>
      <c r="K20">
        <v>29.2</v>
      </c>
      <c r="L20">
        <v>29.3</v>
      </c>
      <c r="N20">
        <f t="shared" si="15"/>
        <v>292.25</v>
      </c>
      <c r="O20">
        <f t="shared" si="16"/>
        <v>0.50000000000000711</v>
      </c>
      <c r="Q20" s="39">
        <f t="shared" si="17"/>
        <v>187.80555555555475</v>
      </c>
      <c r="R20" s="2">
        <v>45614.334722222222</v>
      </c>
      <c r="S20">
        <v>10</v>
      </c>
      <c r="T20">
        <v>29</v>
      </c>
      <c r="U20">
        <v>29</v>
      </c>
      <c r="V20">
        <v>29</v>
      </c>
      <c r="W20">
        <v>29</v>
      </c>
      <c r="X20">
        <v>29.1</v>
      </c>
      <c r="Y20">
        <f t="shared" si="13"/>
        <v>290.2</v>
      </c>
      <c r="Z20">
        <f t="shared" si="14"/>
        <v>0.44721359549996431</v>
      </c>
      <c r="AB20" s="39">
        <f t="shared" ref="AB20:AB28" si="21">AC20-$G$1</f>
        <v>194.89791666666861</v>
      </c>
      <c r="AC20" s="2">
        <v>45621.427083333336</v>
      </c>
      <c r="AD20">
        <v>10</v>
      </c>
      <c r="AE20">
        <v>27.4</v>
      </c>
      <c r="AF20">
        <v>27.4</v>
      </c>
      <c r="AG20">
        <v>27.3</v>
      </c>
      <c r="AH20">
        <v>27.3</v>
      </c>
      <c r="AI20">
        <v>27.4</v>
      </c>
      <c r="AJ20">
        <f t="shared" si="19"/>
        <v>273.59999999999997</v>
      </c>
      <c r="AK20">
        <f t="shared" si="18"/>
        <v>0.54772255750515453</v>
      </c>
    </row>
    <row r="21" spans="2:37" ht="15" customHeight="1" x14ac:dyDescent="0.3">
      <c r="B21" s="2">
        <v>45614.334722222222</v>
      </c>
      <c r="C21">
        <f t="shared" si="20"/>
        <v>-13</v>
      </c>
      <c r="F21" s="39">
        <f t="shared" si="8"/>
        <v>187.80555555555475</v>
      </c>
      <c r="G21" s="2">
        <v>45614.334722222222</v>
      </c>
      <c r="H21">
        <v>10</v>
      </c>
      <c r="I21">
        <v>28.2</v>
      </c>
      <c r="J21">
        <v>28.3</v>
      </c>
      <c r="K21">
        <v>28.3</v>
      </c>
      <c r="L21">
        <v>28.4</v>
      </c>
      <c r="M21">
        <v>28.4</v>
      </c>
      <c r="N21">
        <f t="shared" si="15"/>
        <v>283.2</v>
      </c>
      <c r="O21">
        <f t="shared" si="16"/>
        <v>0.83666002653407046</v>
      </c>
      <c r="Q21" s="39">
        <f t="shared" si="17"/>
        <v>194.89791666666861</v>
      </c>
      <c r="R21" s="2">
        <v>45621.427083333336</v>
      </c>
      <c r="S21">
        <v>10</v>
      </c>
      <c r="T21">
        <v>30.8</v>
      </c>
      <c r="U21">
        <v>30.6</v>
      </c>
      <c r="V21">
        <v>31</v>
      </c>
      <c r="W21">
        <v>31.7</v>
      </c>
      <c r="X21">
        <v>31.8</v>
      </c>
      <c r="Y21">
        <f t="shared" si="13"/>
        <v>311.8</v>
      </c>
      <c r="Z21">
        <f t="shared" si="14"/>
        <v>5.4037024344425131</v>
      </c>
      <c r="AB21" s="39">
        <f t="shared" si="21"/>
        <v>201.93194444444089</v>
      </c>
      <c r="AC21" s="2">
        <v>45628.461111111108</v>
      </c>
      <c r="AD21">
        <v>10</v>
      </c>
      <c r="AE21">
        <v>29.5</v>
      </c>
      <c r="AF21">
        <v>29.6</v>
      </c>
      <c r="AG21">
        <v>29.7</v>
      </c>
      <c r="AH21">
        <v>29.7</v>
      </c>
      <c r="AJ21">
        <f t="shared" si="19"/>
        <v>296.25</v>
      </c>
      <c r="AK21">
        <f t="shared" si="18"/>
        <v>0.95742710775633322</v>
      </c>
    </row>
    <row r="22" spans="2:37" ht="15" customHeight="1" x14ac:dyDescent="0.3">
      <c r="B22" s="2">
        <v>45621.427083333336</v>
      </c>
      <c r="C22">
        <f t="shared" si="20"/>
        <v>2.5999999999999659</v>
      </c>
      <c r="F22" s="39">
        <f t="shared" si="8"/>
        <v>194.89791666666861</v>
      </c>
      <c r="G22" s="2">
        <v>45621.427083333336</v>
      </c>
      <c r="H22">
        <v>10</v>
      </c>
      <c r="I22">
        <v>27</v>
      </c>
      <c r="J22">
        <v>27.1</v>
      </c>
      <c r="K22">
        <v>27.1</v>
      </c>
      <c r="L22">
        <v>27.1</v>
      </c>
      <c r="M22">
        <v>27.2</v>
      </c>
      <c r="N22">
        <f t="shared" ref="N22:N27" si="22">AVERAGE(I22:M22)*H22</f>
        <v>271</v>
      </c>
      <c r="O22">
        <f t="shared" ref="O22:O27" si="23">STDEV(I22:M22)*H22</f>
        <v>0.70710678118654502</v>
      </c>
      <c r="Q22" s="39">
        <f t="shared" si="17"/>
        <v>201.93194444444089</v>
      </c>
      <c r="R22" s="2">
        <v>45628.461111111108</v>
      </c>
      <c r="S22">
        <v>10</v>
      </c>
      <c r="T22">
        <v>28.4</v>
      </c>
      <c r="U22">
        <v>28.4</v>
      </c>
      <c r="V22">
        <v>28.4</v>
      </c>
      <c r="W22">
        <v>28.5</v>
      </c>
      <c r="Y22">
        <f t="shared" si="13"/>
        <v>284.25</v>
      </c>
      <c r="Z22">
        <f t="shared" si="14"/>
        <v>0.50000000000000711</v>
      </c>
      <c r="AB22" s="39">
        <f t="shared" si="21"/>
        <v>208.91319444444525</v>
      </c>
      <c r="AC22" s="2">
        <v>45635.442361111112</v>
      </c>
      <c r="AD22">
        <v>10</v>
      </c>
      <c r="AE22">
        <v>28.6</v>
      </c>
      <c r="AF22">
        <v>28.8</v>
      </c>
      <c r="AG22">
        <v>28.7</v>
      </c>
      <c r="AH22">
        <v>28.8</v>
      </c>
      <c r="AI22">
        <v>28.8</v>
      </c>
      <c r="AJ22">
        <f t="shared" si="19"/>
        <v>287.40000000000003</v>
      </c>
      <c r="AK22">
        <f t="shared" si="18"/>
        <v>0.89442719099991475</v>
      </c>
    </row>
    <row r="23" spans="2:37" ht="15" customHeight="1" x14ac:dyDescent="0.3">
      <c r="B23" s="2">
        <v>45628.461111111108</v>
      </c>
      <c r="C23">
        <f t="shared" si="20"/>
        <v>20.25</v>
      </c>
      <c r="F23" s="39">
        <f t="shared" si="8"/>
        <v>201.93194444444089</v>
      </c>
      <c r="G23" s="2">
        <v>45628.461111111108</v>
      </c>
      <c r="H23">
        <v>10</v>
      </c>
      <c r="I23">
        <v>27.5</v>
      </c>
      <c r="J23">
        <v>27.6</v>
      </c>
      <c r="K23">
        <v>27.6</v>
      </c>
      <c r="L23">
        <v>27.7</v>
      </c>
      <c r="N23">
        <f t="shared" si="22"/>
        <v>276</v>
      </c>
      <c r="O23">
        <f t="shared" si="23"/>
        <v>0.81649658092772315</v>
      </c>
      <c r="Q23" s="39">
        <f t="shared" si="17"/>
        <v>208.91319444444525</v>
      </c>
      <c r="R23" s="2">
        <v>45635.442361111112</v>
      </c>
      <c r="S23">
        <v>10</v>
      </c>
      <c r="T23">
        <v>27.1</v>
      </c>
      <c r="U23">
        <v>27.1</v>
      </c>
      <c r="V23">
        <v>27.2</v>
      </c>
      <c r="W23">
        <v>27.2</v>
      </c>
      <c r="X23">
        <v>27.2</v>
      </c>
      <c r="Y23">
        <f t="shared" si="13"/>
        <v>271.60000000000002</v>
      </c>
      <c r="Z23">
        <f t="shared" si="14"/>
        <v>0.54772255750515442</v>
      </c>
      <c r="AB23" s="39">
        <f t="shared" si="21"/>
        <v>215.87847222221899</v>
      </c>
      <c r="AC23" s="4">
        <v>45642.407638888886</v>
      </c>
      <c r="AD23">
        <v>10</v>
      </c>
      <c r="AE23">
        <v>28.3</v>
      </c>
      <c r="AF23">
        <v>28.3</v>
      </c>
      <c r="AG23">
        <v>28.4</v>
      </c>
      <c r="AH23">
        <v>28.4</v>
      </c>
      <c r="AI23">
        <v>28.5</v>
      </c>
      <c r="AJ23">
        <f t="shared" si="19"/>
        <v>283.8</v>
      </c>
      <c r="AK23">
        <f t="shared" si="18"/>
        <v>0.83666002653407046</v>
      </c>
    </row>
    <row r="24" spans="2:37" ht="15" customHeight="1" x14ac:dyDescent="0.3">
      <c r="B24" s="2">
        <v>45635.442361111112</v>
      </c>
      <c r="C24">
        <f t="shared" si="20"/>
        <v>28.000000000000057</v>
      </c>
      <c r="F24" s="39">
        <f t="shared" si="8"/>
        <v>208.91319444444525</v>
      </c>
      <c r="G24" s="2">
        <v>45635.442361111112</v>
      </c>
      <c r="H24">
        <v>10</v>
      </c>
      <c r="I24">
        <v>25.9</v>
      </c>
      <c r="J24">
        <v>25.9</v>
      </c>
      <c r="K24">
        <v>25.9</v>
      </c>
      <c r="L24">
        <v>26</v>
      </c>
      <c r="M24">
        <v>26</v>
      </c>
      <c r="N24">
        <f t="shared" si="22"/>
        <v>259.39999999999998</v>
      </c>
      <c r="O24">
        <f t="shared" si="23"/>
        <v>0.54772255750517385</v>
      </c>
      <c r="Q24" s="39">
        <f t="shared" si="17"/>
        <v>215.87847222221899</v>
      </c>
      <c r="R24" s="4">
        <v>45642.407638888886</v>
      </c>
      <c r="S24">
        <v>10</v>
      </c>
      <c r="T24">
        <v>27.5</v>
      </c>
      <c r="U24">
        <v>27.6</v>
      </c>
      <c r="V24">
        <v>27.6</v>
      </c>
      <c r="W24">
        <v>27.7</v>
      </c>
      <c r="X24">
        <v>27.8</v>
      </c>
      <c r="Y24">
        <f t="shared" ref="Y24:Y30" si="24">AVERAGE(T24:X24)*S24</f>
        <v>276.40000000000003</v>
      </c>
      <c r="Z24">
        <f t="shared" ref="Z24:Z30" si="25">STDEV(T24:X24)*S24</f>
        <v>1.1401754250991372</v>
      </c>
      <c r="AB24" s="39">
        <f t="shared" si="21"/>
        <v>236.9111111111124</v>
      </c>
      <c r="AC24" s="2">
        <v>45663.44027777778</v>
      </c>
      <c r="AD24">
        <v>10</v>
      </c>
      <c r="AE24">
        <v>29.7</v>
      </c>
      <c r="AF24">
        <v>29.7</v>
      </c>
      <c r="AG24">
        <v>29.7</v>
      </c>
      <c r="AH24">
        <v>29.8</v>
      </c>
      <c r="AI24">
        <v>29.8</v>
      </c>
      <c r="AJ24">
        <f t="shared" si="19"/>
        <v>297.39999999999998</v>
      </c>
      <c r="AK24">
        <f t="shared" si="18"/>
        <v>0.54772255750517385</v>
      </c>
    </row>
    <row r="25" spans="2:37" ht="15" customHeight="1" x14ac:dyDescent="0.3">
      <c r="B25" s="4">
        <v>45642.407638888886</v>
      </c>
      <c r="C25">
        <f t="shared" si="20"/>
        <v>9.4000000000000341</v>
      </c>
      <c r="F25" s="39">
        <f t="shared" si="8"/>
        <v>215.87847222221899</v>
      </c>
      <c r="G25" s="4">
        <v>45642.407638888886</v>
      </c>
      <c r="H25">
        <v>10</v>
      </c>
      <c r="I25">
        <v>27.4</v>
      </c>
      <c r="J25">
        <v>27.4</v>
      </c>
      <c r="K25">
        <v>27.4</v>
      </c>
      <c r="L25">
        <v>27.5</v>
      </c>
      <c r="M25">
        <v>27.5</v>
      </c>
      <c r="N25">
        <f t="shared" si="22"/>
        <v>274.39999999999998</v>
      </c>
      <c r="O25">
        <f t="shared" si="23"/>
        <v>0.54772255750517385</v>
      </c>
      <c r="Q25" s="39">
        <f t="shared" si="17"/>
        <v>236.9111111111124</v>
      </c>
      <c r="R25" s="2">
        <v>45663.44027777778</v>
      </c>
      <c r="S25">
        <v>10</v>
      </c>
      <c r="T25">
        <v>28.9</v>
      </c>
      <c r="U25">
        <v>29</v>
      </c>
      <c r="V25">
        <v>29</v>
      </c>
      <c r="W25">
        <v>29</v>
      </c>
      <c r="X25">
        <v>29.1</v>
      </c>
      <c r="Y25">
        <f t="shared" si="24"/>
        <v>290</v>
      </c>
      <c r="Z25">
        <f t="shared" si="25"/>
        <v>0.70710678118655768</v>
      </c>
      <c r="AB25" s="39">
        <f t="shared" si="21"/>
        <v>243.88333333333139</v>
      </c>
      <c r="AC25" s="2">
        <v>45670.412499999999</v>
      </c>
      <c r="AD25">
        <v>10</v>
      </c>
      <c r="AE25">
        <v>27.5</v>
      </c>
      <c r="AF25">
        <v>27.6</v>
      </c>
      <c r="AG25">
        <v>27.6</v>
      </c>
      <c r="AH25">
        <v>27.6</v>
      </c>
      <c r="AI25">
        <v>27.6</v>
      </c>
      <c r="AJ25">
        <f t="shared" si="19"/>
        <v>275.8</v>
      </c>
      <c r="AK25">
        <f t="shared" si="18"/>
        <v>0.44721359549996431</v>
      </c>
    </row>
    <row r="26" spans="2:37" ht="15" customHeight="1" x14ac:dyDescent="0.3">
      <c r="B26" s="2">
        <v>45663.44027777778</v>
      </c>
      <c r="C26">
        <f t="shared" si="20"/>
        <v>17.199999999999989</v>
      </c>
      <c r="F26" s="39">
        <f t="shared" si="8"/>
        <v>236.9111111111124</v>
      </c>
      <c r="G26" s="2">
        <v>45663.44027777778</v>
      </c>
      <c r="H26">
        <v>10</v>
      </c>
      <c r="I26">
        <v>28</v>
      </c>
      <c r="J26">
        <v>28</v>
      </c>
      <c r="K26">
        <v>28</v>
      </c>
      <c r="L26">
        <v>28</v>
      </c>
      <c r="M26">
        <v>28.1</v>
      </c>
      <c r="N26">
        <f t="shared" si="22"/>
        <v>280.2</v>
      </c>
      <c r="O26">
        <f t="shared" si="23"/>
        <v>0.44721359549996431</v>
      </c>
      <c r="Q26" s="39">
        <f t="shared" si="17"/>
        <v>243.88333333333139</v>
      </c>
      <c r="R26" s="2">
        <v>45670.412499999999</v>
      </c>
      <c r="S26">
        <v>10</v>
      </c>
      <c r="T26">
        <v>29.1</v>
      </c>
      <c r="U26">
        <v>29.1</v>
      </c>
      <c r="V26">
        <v>29.2</v>
      </c>
      <c r="W26">
        <v>29.2</v>
      </c>
      <c r="X26">
        <v>29.2</v>
      </c>
      <c r="Y26">
        <f t="shared" si="24"/>
        <v>291.60000000000002</v>
      </c>
      <c r="Z26">
        <f t="shared" si="25"/>
        <v>0.54772255750515442</v>
      </c>
      <c r="AB26" s="39">
        <f t="shared" si="21"/>
        <v>257.8708333333343</v>
      </c>
      <c r="AC26" s="2">
        <v>45684.4</v>
      </c>
      <c r="AD26">
        <v>10</v>
      </c>
      <c r="AE26">
        <v>29</v>
      </c>
      <c r="AF26">
        <v>29.1</v>
      </c>
      <c r="AG26">
        <v>29.1</v>
      </c>
      <c r="AH26">
        <v>29.2</v>
      </c>
      <c r="AI26">
        <v>29.2</v>
      </c>
      <c r="AJ26">
        <f t="shared" ref="AJ26:AJ31" si="26">AVERAGE(AE26:AI26)*AD26</f>
        <v>291.2</v>
      </c>
      <c r="AK26">
        <f t="shared" ref="AK26:AK31" si="27">STDEV(AE26:AI26)*AD26</f>
        <v>0.83666002653407046</v>
      </c>
    </row>
    <row r="27" spans="2:37" ht="15" customHeight="1" x14ac:dyDescent="0.3">
      <c r="B27" s="2">
        <v>45670.412499999999</v>
      </c>
      <c r="C27">
        <f t="shared" si="20"/>
        <v>-2</v>
      </c>
      <c r="F27" s="39">
        <f t="shared" si="8"/>
        <v>243.88333333333139</v>
      </c>
      <c r="G27" s="2">
        <v>45670.412499999999</v>
      </c>
      <c r="H27">
        <v>10</v>
      </c>
      <c r="I27">
        <v>27.8</v>
      </c>
      <c r="J27">
        <v>27.8</v>
      </c>
      <c r="K27">
        <v>27.8</v>
      </c>
      <c r="L27">
        <v>27.8</v>
      </c>
      <c r="M27">
        <v>27.7</v>
      </c>
      <c r="N27">
        <f t="shared" si="22"/>
        <v>277.8</v>
      </c>
      <c r="O27">
        <f t="shared" si="23"/>
        <v>0.44721359549996431</v>
      </c>
      <c r="Q27" s="39">
        <f t="shared" ref="Q27:Q34" si="28">R27-$G$1</f>
        <v>257.8708333333343</v>
      </c>
      <c r="R27" s="2">
        <v>45684.4</v>
      </c>
      <c r="S27">
        <v>10</v>
      </c>
      <c r="T27">
        <v>28.4</v>
      </c>
      <c r="U27">
        <v>28.4</v>
      </c>
      <c r="V27">
        <v>28.5</v>
      </c>
      <c r="W27">
        <v>28.5</v>
      </c>
      <c r="X27">
        <v>28.5</v>
      </c>
      <c r="Y27">
        <f t="shared" si="24"/>
        <v>284.60000000000002</v>
      </c>
      <c r="Z27">
        <f t="shared" si="25"/>
        <v>0.54772255750517385</v>
      </c>
      <c r="AB27" s="39">
        <f t="shared" si="21"/>
        <v>264.80208333333576</v>
      </c>
      <c r="AC27" s="2">
        <v>45691.331250000003</v>
      </c>
      <c r="AD27">
        <v>10</v>
      </c>
      <c r="AE27">
        <v>28.5</v>
      </c>
      <c r="AF27">
        <v>28.5</v>
      </c>
      <c r="AG27">
        <v>28.6</v>
      </c>
      <c r="AH27">
        <v>28.7</v>
      </c>
      <c r="AI27">
        <v>28.7</v>
      </c>
      <c r="AJ27">
        <f t="shared" si="26"/>
        <v>286</v>
      </c>
      <c r="AK27">
        <f t="shared" si="27"/>
        <v>0.99999999999999645</v>
      </c>
    </row>
    <row r="28" spans="2:37" ht="15" customHeight="1" x14ac:dyDescent="0.3">
      <c r="B28" s="2">
        <v>45684.4</v>
      </c>
      <c r="C28">
        <f t="shared" si="20"/>
        <v>19.599999999999966</v>
      </c>
      <c r="F28" s="39">
        <f t="shared" si="8"/>
        <v>257.8708333333343</v>
      </c>
      <c r="G28" s="2">
        <v>45684.4</v>
      </c>
      <c r="H28">
        <v>10</v>
      </c>
      <c r="I28">
        <v>27.1</v>
      </c>
      <c r="J28">
        <v>27.1</v>
      </c>
      <c r="K28">
        <v>27.2</v>
      </c>
      <c r="L28">
        <v>27.2</v>
      </c>
      <c r="M28">
        <v>27.2</v>
      </c>
      <c r="N28">
        <f t="shared" ref="N28:N35" si="29">AVERAGE(I28:M28)*H28</f>
        <v>271.60000000000002</v>
      </c>
      <c r="O28">
        <f t="shared" ref="O28:O35" si="30">STDEV(I28:M28)*H28</f>
        <v>0.54772255750515442</v>
      </c>
      <c r="Q28" s="39">
        <f t="shared" si="28"/>
        <v>264.80208333333576</v>
      </c>
      <c r="R28" s="2">
        <v>45691.331250000003</v>
      </c>
      <c r="S28">
        <v>10</v>
      </c>
      <c r="T28">
        <v>28.1</v>
      </c>
      <c r="U28">
        <v>28.2</v>
      </c>
      <c r="V28">
        <v>28.2</v>
      </c>
      <c r="W28">
        <v>28.2</v>
      </c>
      <c r="X28">
        <v>28.2</v>
      </c>
      <c r="Y28">
        <f t="shared" si="24"/>
        <v>281.8</v>
      </c>
      <c r="Z28">
        <f t="shared" si="25"/>
        <v>0.44721359549994838</v>
      </c>
      <c r="AB28" s="39">
        <f t="shared" si="21"/>
        <v>272.9375</v>
      </c>
      <c r="AC28" s="2">
        <v>45699.466666666667</v>
      </c>
      <c r="AD28">
        <v>10</v>
      </c>
      <c r="AE28">
        <v>28.9</v>
      </c>
      <c r="AF28">
        <v>28.9</v>
      </c>
      <c r="AG28">
        <v>29</v>
      </c>
      <c r="AH28">
        <v>29</v>
      </c>
      <c r="AI28">
        <v>29</v>
      </c>
      <c r="AJ28">
        <f t="shared" si="26"/>
        <v>289.60000000000002</v>
      </c>
      <c r="AK28">
        <f t="shared" si="27"/>
        <v>0.54772255750517385</v>
      </c>
    </row>
    <row r="29" spans="2:37" ht="15" customHeight="1" x14ac:dyDescent="0.3">
      <c r="B29" s="2">
        <v>45691.331250000003</v>
      </c>
      <c r="C29">
        <f t="shared" si="20"/>
        <v>11.399999999999977</v>
      </c>
      <c r="F29" s="39">
        <f t="shared" si="8"/>
        <v>264.80208333333576</v>
      </c>
      <c r="G29" s="2">
        <v>45691.331250000003</v>
      </c>
      <c r="H29">
        <v>10</v>
      </c>
      <c r="I29">
        <v>27.4</v>
      </c>
      <c r="J29">
        <v>27.4</v>
      </c>
      <c r="K29">
        <v>27.5</v>
      </c>
      <c r="L29">
        <v>27.5</v>
      </c>
      <c r="M29">
        <v>27.5</v>
      </c>
      <c r="N29">
        <f t="shared" si="29"/>
        <v>274.60000000000002</v>
      </c>
      <c r="O29">
        <f t="shared" si="30"/>
        <v>0.54772255750517385</v>
      </c>
      <c r="Q29" s="39">
        <f t="shared" si="28"/>
        <v>272.9375</v>
      </c>
      <c r="R29" s="2">
        <v>45699.466666666667</v>
      </c>
      <c r="S29">
        <v>10</v>
      </c>
      <c r="T29">
        <v>28.1</v>
      </c>
      <c r="U29">
        <v>28.2</v>
      </c>
      <c r="V29">
        <v>28.3</v>
      </c>
      <c r="W29">
        <v>28.3</v>
      </c>
      <c r="X29">
        <v>28.3</v>
      </c>
      <c r="Y29">
        <f t="shared" si="24"/>
        <v>282.39999999999998</v>
      </c>
      <c r="Z29">
        <f t="shared" si="25"/>
        <v>0.89442719099991463</v>
      </c>
      <c r="AB29" s="39">
        <f>AC29-$G$1</f>
        <v>278.91249999999854</v>
      </c>
      <c r="AC29" s="2">
        <v>45705.441666666666</v>
      </c>
      <c r="AD29">
        <v>10</v>
      </c>
      <c r="AE29">
        <v>28.2</v>
      </c>
      <c r="AF29">
        <v>28.3</v>
      </c>
      <c r="AG29">
        <v>28.3</v>
      </c>
      <c r="AH29">
        <v>28.3</v>
      </c>
      <c r="AI29">
        <v>28.3</v>
      </c>
      <c r="AJ29">
        <f t="shared" si="26"/>
        <v>282.8</v>
      </c>
      <c r="AK29">
        <f t="shared" si="27"/>
        <v>0.44721359549996431</v>
      </c>
    </row>
    <row r="30" spans="2:37" ht="15" customHeight="1" x14ac:dyDescent="0.3">
      <c r="B30" s="2">
        <v>45699.466666666667</v>
      </c>
      <c r="C30">
        <f t="shared" si="20"/>
        <v>27.400000000000034</v>
      </c>
      <c r="F30" s="39">
        <f t="shared" si="8"/>
        <v>272.9375</v>
      </c>
      <c r="G30" s="2">
        <v>45699.466666666667</v>
      </c>
      <c r="H30">
        <v>10</v>
      </c>
      <c r="I30">
        <v>26.1</v>
      </c>
      <c r="J30">
        <v>26.1</v>
      </c>
      <c r="K30">
        <v>26.2</v>
      </c>
      <c r="L30">
        <v>26.3</v>
      </c>
      <c r="M30">
        <v>26.4</v>
      </c>
      <c r="N30">
        <f t="shared" si="29"/>
        <v>262.2</v>
      </c>
      <c r="O30">
        <f t="shared" si="30"/>
        <v>1.3038404810405195</v>
      </c>
      <c r="Q30" s="39">
        <f t="shared" si="28"/>
        <v>278.91249999999854</v>
      </c>
      <c r="R30" s="2">
        <v>45705.441666666666</v>
      </c>
      <c r="S30">
        <v>10</v>
      </c>
      <c r="T30">
        <v>26.8</v>
      </c>
      <c r="U30">
        <v>26.8</v>
      </c>
      <c r="V30">
        <v>26.8</v>
      </c>
      <c r="W30">
        <v>26.8</v>
      </c>
      <c r="X30">
        <v>26.9</v>
      </c>
      <c r="Y30">
        <f t="shared" si="24"/>
        <v>268.2</v>
      </c>
      <c r="Z30">
        <f t="shared" si="25"/>
        <v>0.44721359549994838</v>
      </c>
      <c r="AB30" s="39">
        <f>AC30-$G$1</f>
        <v>285.93958333333285</v>
      </c>
      <c r="AC30" s="2">
        <v>45712.46875</v>
      </c>
      <c r="AD30">
        <v>10</v>
      </c>
      <c r="AE30">
        <v>27.7</v>
      </c>
      <c r="AF30">
        <v>27.8</v>
      </c>
      <c r="AG30">
        <v>27.9</v>
      </c>
      <c r="AH30">
        <v>27.9</v>
      </c>
      <c r="AI30">
        <v>27.9</v>
      </c>
      <c r="AJ30">
        <f t="shared" si="26"/>
        <v>278.40000000000003</v>
      </c>
      <c r="AK30">
        <f t="shared" si="27"/>
        <v>0.89442719099991075</v>
      </c>
    </row>
    <row r="31" spans="2:37" ht="15" customHeight="1" x14ac:dyDescent="0.3">
      <c r="B31" s="2">
        <v>45705.441666666666</v>
      </c>
      <c r="C31">
        <f t="shared" si="20"/>
        <v>30.000000000000028</v>
      </c>
      <c r="F31" s="39">
        <f>G31-$G$1</f>
        <v>278.91249999999854</v>
      </c>
      <c r="G31" s="2">
        <v>45705.441666666666</v>
      </c>
      <c r="H31">
        <v>10</v>
      </c>
      <c r="I31">
        <v>25.2</v>
      </c>
      <c r="J31">
        <v>25.3</v>
      </c>
      <c r="K31">
        <v>25.3</v>
      </c>
      <c r="L31">
        <v>25.3</v>
      </c>
      <c r="M31">
        <v>25.3</v>
      </c>
      <c r="N31">
        <f t="shared" si="29"/>
        <v>252.79999999999998</v>
      </c>
      <c r="O31">
        <f t="shared" si="30"/>
        <v>0.44721359549996431</v>
      </c>
      <c r="Q31" s="39">
        <f t="shared" si="28"/>
        <v>285.93958333333285</v>
      </c>
      <c r="R31" s="2">
        <v>45712.46875</v>
      </c>
      <c r="S31">
        <v>10</v>
      </c>
      <c r="T31">
        <v>25.2</v>
      </c>
      <c r="U31">
        <v>25.3</v>
      </c>
      <c r="V31">
        <v>25.3</v>
      </c>
      <c r="W31">
        <v>25.4</v>
      </c>
      <c r="X31">
        <v>25.4</v>
      </c>
      <c r="Y31">
        <f t="shared" ref="Y31:Y34" si="31">AVERAGE(T31:X31)*S31</f>
        <v>253.2</v>
      </c>
      <c r="Z31">
        <f t="shared" ref="Z31:Z34" si="32">STDEV(T31:X31)*S31</f>
        <v>0.83666002653407046</v>
      </c>
      <c r="AB31" s="39">
        <f>AC31-$G$1</f>
        <v>292.88263888889196</v>
      </c>
      <c r="AC31" s="2">
        <v>45719.411805555559</v>
      </c>
      <c r="AD31">
        <v>10</v>
      </c>
      <c r="AE31">
        <v>28</v>
      </c>
      <c r="AF31">
        <v>28</v>
      </c>
      <c r="AG31">
        <v>28.1</v>
      </c>
      <c r="AH31">
        <v>28.2</v>
      </c>
      <c r="AI31">
        <v>28.2</v>
      </c>
      <c r="AJ31">
        <f t="shared" si="26"/>
        <v>281</v>
      </c>
      <c r="AK31">
        <f t="shared" si="27"/>
        <v>0.99999999999999645</v>
      </c>
    </row>
    <row r="32" spans="2:37" ht="15" customHeight="1" x14ac:dyDescent="0.3">
      <c r="B32" s="2">
        <v>45712.46875</v>
      </c>
      <c r="C32">
        <f t="shared" si="20"/>
        <v>44.800000000000011</v>
      </c>
      <c r="F32" s="39">
        <f t="shared" si="8"/>
        <v>285.93958333333285</v>
      </c>
      <c r="G32" s="2">
        <v>45712.46875</v>
      </c>
      <c r="H32">
        <v>10</v>
      </c>
      <c r="I32">
        <v>23.2</v>
      </c>
      <c r="J32">
        <v>23.3</v>
      </c>
      <c r="K32">
        <v>23.4</v>
      </c>
      <c r="L32">
        <v>23.4</v>
      </c>
      <c r="M32">
        <v>23.5</v>
      </c>
      <c r="N32">
        <f t="shared" si="29"/>
        <v>233.60000000000002</v>
      </c>
      <c r="O32">
        <f t="shared" si="30"/>
        <v>1.1401754250991369</v>
      </c>
      <c r="Q32" s="39">
        <f t="shared" si="28"/>
        <v>292.88263888889196</v>
      </c>
      <c r="R32" s="2">
        <v>45719.411805555559</v>
      </c>
      <c r="S32">
        <v>10</v>
      </c>
      <c r="T32">
        <v>24.7</v>
      </c>
      <c r="U32">
        <v>24.7</v>
      </c>
      <c r="V32">
        <v>24.8</v>
      </c>
      <c r="W32">
        <v>24.8</v>
      </c>
      <c r="X32">
        <v>24.8</v>
      </c>
      <c r="Y32">
        <f t="shared" si="31"/>
        <v>247.59999999999997</v>
      </c>
      <c r="Z32">
        <f t="shared" si="32"/>
        <v>0.54772255750517385</v>
      </c>
      <c r="AB32" s="39">
        <f>AC32-$G$1</f>
        <v>299.83125000000291</v>
      </c>
      <c r="AC32" s="2">
        <v>45726.36041666667</v>
      </c>
      <c r="AD32">
        <v>10</v>
      </c>
      <c r="AE32">
        <v>27.1</v>
      </c>
      <c r="AF32">
        <v>27.2</v>
      </c>
      <c r="AG32">
        <v>27.2</v>
      </c>
      <c r="AH32">
        <v>27.2</v>
      </c>
      <c r="AI32">
        <v>27.3</v>
      </c>
      <c r="AJ32">
        <f>AVERAGE(AE32:AI32)*AD32</f>
        <v>272</v>
      </c>
      <c r="AK32">
        <f>STDEV(AE32:AI32)*AD32</f>
        <v>0.70710678118654502</v>
      </c>
    </row>
    <row r="33" spans="2:37" ht="15" customHeight="1" x14ac:dyDescent="0.3">
      <c r="B33" s="2">
        <v>45719.411805555559</v>
      </c>
      <c r="C33">
        <f t="shared" si="20"/>
        <v>45.200000000000017</v>
      </c>
      <c r="F33" s="39">
        <f t="shared" si="8"/>
        <v>292.88263888889196</v>
      </c>
      <c r="G33" s="2">
        <v>45719.411805555559</v>
      </c>
      <c r="H33">
        <v>10</v>
      </c>
      <c r="I33">
        <v>23.5</v>
      </c>
      <c r="J33">
        <v>23.5</v>
      </c>
      <c r="K33">
        <v>23.6</v>
      </c>
      <c r="L33">
        <v>23.6</v>
      </c>
      <c r="M33">
        <v>23.7</v>
      </c>
      <c r="N33">
        <f t="shared" si="29"/>
        <v>235.79999999999998</v>
      </c>
      <c r="O33">
        <f t="shared" si="30"/>
        <v>0.83666002653407467</v>
      </c>
      <c r="Q33" s="39">
        <f t="shared" si="28"/>
        <v>299.83125000000291</v>
      </c>
      <c r="R33" s="2">
        <v>45726.36041666667</v>
      </c>
      <c r="S33">
        <v>10</v>
      </c>
      <c r="T33">
        <v>26.3</v>
      </c>
      <c r="U33">
        <v>26.4</v>
      </c>
      <c r="V33">
        <v>26.4</v>
      </c>
      <c r="W33">
        <v>26.5</v>
      </c>
      <c r="X33">
        <v>26.5</v>
      </c>
      <c r="Y33">
        <f t="shared" si="31"/>
        <v>264.2</v>
      </c>
      <c r="Z33">
        <f t="shared" si="32"/>
        <v>0.83666002653407467</v>
      </c>
      <c r="AB33" s="39">
        <f>AC33-$G$1</f>
        <v>306.88472222222481</v>
      </c>
      <c r="AC33" s="2">
        <v>45733.413888888892</v>
      </c>
      <c r="AD33">
        <v>10</v>
      </c>
      <c r="AE33">
        <v>28.6</v>
      </c>
      <c r="AF33">
        <v>28.6</v>
      </c>
      <c r="AG33">
        <v>28.6</v>
      </c>
      <c r="AH33">
        <v>28.7</v>
      </c>
      <c r="AI33">
        <v>28.7</v>
      </c>
      <c r="AJ33">
        <f>AVERAGE(AE33:AI33)*AD33</f>
        <v>286.40000000000003</v>
      </c>
      <c r="AK33">
        <f>STDEV(AE33:AI33)*AD33</f>
        <v>0.54772255750515453</v>
      </c>
    </row>
    <row r="34" spans="2:37" ht="15" customHeight="1" x14ac:dyDescent="0.3">
      <c r="B34" s="2">
        <v>45726.36041666667</v>
      </c>
      <c r="C34">
        <f t="shared" si="20"/>
        <v>19.800000000000011</v>
      </c>
      <c r="F34" s="39">
        <f t="shared" si="8"/>
        <v>299.83125000000291</v>
      </c>
      <c r="G34" s="2">
        <v>45726.36041666667</v>
      </c>
      <c r="H34">
        <v>10</v>
      </c>
      <c r="I34">
        <v>25.1</v>
      </c>
      <c r="J34">
        <v>25.2</v>
      </c>
      <c r="K34">
        <v>25.2</v>
      </c>
      <c r="L34">
        <v>25.3</v>
      </c>
      <c r="M34">
        <v>25.3</v>
      </c>
      <c r="N34">
        <f t="shared" si="29"/>
        <v>252.2</v>
      </c>
      <c r="O34">
        <f t="shared" si="30"/>
        <v>0.83666002653407467</v>
      </c>
      <c r="Q34" s="39">
        <f t="shared" si="28"/>
        <v>306.88472222222481</v>
      </c>
      <c r="R34" s="2">
        <v>45733.413888888892</v>
      </c>
      <c r="S34">
        <v>10</v>
      </c>
      <c r="T34">
        <v>26.8</v>
      </c>
      <c r="U34">
        <v>26.8</v>
      </c>
      <c r="V34">
        <v>26.9</v>
      </c>
      <c r="W34">
        <v>26.9</v>
      </c>
      <c r="X34">
        <v>27</v>
      </c>
      <c r="Y34">
        <f t="shared" si="31"/>
        <v>268.8</v>
      </c>
      <c r="Z34">
        <f t="shared" si="32"/>
        <v>0.83666002653407046</v>
      </c>
    </row>
    <row r="35" spans="2:37" ht="15" customHeight="1" x14ac:dyDescent="0.3">
      <c r="B35" s="2">
        <v>45733.413888888892</v>
      </c>
      <c r="C35">
        <f t="shared" si="20"/>
        <v>48.600000000000051</v>
      </c>
      <c r="F35" s="39">
        <f t="shared" si="8"/>
        <v>306.88472222222481</v>
      </c>
      <c r="G35" s="2">
        <v>45733.413888888892</v>
      </c>
      <c r="H35">
        <v>10</v>
      </c>
      <c r="I35">
        <v>23.7</v>
      </c>
      <c r="J35">
        <v>23.8</v>
      </c>
      <c r="K35">
        <v>23.8</v>
      </c>
      <c r="L35">
        <v>23.8</v>
      </c>
      <c r="M35">
        <v>23.8</v>
      </c>
      <c r="N35">
        <f t="shared" si="29"/>
        <v>237.79999999999998</v>
      </c>
      <c r="O35">
        <f t="shared" si="30"/>
        <v>0.44721359549996431</v>
      </c>
    </row>
    <row r="36" spans="2:37" ht="15" customHeight="1" x14ac:dyDescent="0.3">
      <c r="F36" s="39"/>
    </row>
    <row r="37" spans="2:37" ht="15" customHeight="1" x14ac:dyDescent="0.3">
      <c r="F37" s="39"/>
    </row>
    <row r="38" spans="2:37" ht="15" customHeight="1" x14ac:dyDescent="0.3">
      <c r="F38" s="39"/>
    </row>
    <row r="39" spans="2:37" ht="15" customHeight="1" x14ac:dyDescent="0.3">
      <c r="F39" s="39"/>
    </row>
    <row r="40" spans="2:37" ht="15" customHeight="1" x14ac:dyDescent="0.3">
      <c r="F40" s="39"/>
    </row>
    <row r="41" spans="2:37" ht="15" customHeight="1" x14ac:dyDescent="0.3">
      <c r="F41" s="3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BC3EC-181A-4ABB-B108-FB589D787513}">
  <dimension ref="B1:I6"/>
  <sheetViews>
    <sheetView workbookViewId="0">
      <selection activeCell="I2" sqref="I2"/>
    </sheetView>
  </sheetViews>
  <sheetFormatPr defaultRowHeight="14.4" x14ac:dyDescent="0.3"/>
  <sheetData>
    <row r="1" spans="2:9" x14ac:dyDescent="0.3">
      <c r="B1" t="s">
        <v>625</v>
      </c>
      <c r="D1" t="s">
        <v>626</v>
      </c>
      <c r="H1" t="s">
        <v>627</v>
      </c>
    </row>
    <row r="2" spans="2:9" x14ac:dyDescent="0.3">
      <c r="B2" t="s">
        <v>628</v>
      </c>
      <c r="C2" t="s">
        <v>629</v>
      </c>
      <c r="D2" t="s">
        <v>630</v>
      </c>
      <c r="H2">
        <v>1.01325</v>
      </c>
      <c r="I2" t="s">
        <v>631</v>
      </c>
    </row>
    <row r="3" spans="2:9" x14ac:dyDescent="0.3">
      <c r="B3" t="s">
        <v>632</v>
      </c>
      <c r="C3" t="s">
        <v>633</v>
      </c>
      <c r="D3" t="s">
        <v>634</v>
      </c>
      <c r="H3">
        <v>720</v>
      </c>
      <c r="I3" t="s">
        <v>635</v>
      </c>
    </row>
    <row r="4" spans="2:9" x14ac:dyDescent="0.3">
      <c r="B4" t="s">
        <v>636</v>
      </c>
      <c r="C4" t="s">
        <v>637</v>
      </c>
      <c r="D4">
        <v>8.0713100000000004</v>
      </c>
      <c r="H4">
        <v>29.921299999999999</v>
      </c>
      <c r="I4" t="s">
        <v>638</v>
      </c>
    </row>
    <row r="5" spans="2:9" x14ac:dyDescent="0.3">
      <c r="B5" t="s">
        <v>639</v>
      </c>
      <c r="C5" t="s">
        <v>637</v>
      </c>
      <c r="D5">
        <v>1730.63</v>
      </c>
      <c r="H5">
        <v>1</v>
      </c>
      <c r="I5" t="s">
        <v>640</v>
      </c>
    </row>
    <row r="6" spans="2:9" x14ac:dyDescent="0.3">
      <c r="B6" t="s">
        <v>634</v>
      </c>
      <c r="C6" t="s">
        <v>637</v>
      </c>
      <c r="D6">
        <v>233.42599999999999</v>
      </c>
      <c r="H6">
        <v>14.6959</v>
      </c>
      <c r="I6" t="s">
        <v>641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DBDC-B278-45C9-9AE2-7278C0508584}">
  <dimension ref="A1:N129"/>
  <sheetViews>
    <sheetView topLeftCell="C1" workbookViewId="0">
      <selection activeCell="C15" sqref="C15"/>
    </sheetView>
  </sheetViews>
  <sheetFormatPr defaultRowHeight="15" customHeight="1" x14ac:dyDescent="0.3"/>
  <cols>
    <col min="1" max="1" width="14.6640625" customWidth="1"/>
    <col min="2" max="2" width="16.33203125" customWidth="1"/>
    <col min="3" max="4" width="20" customWidth="1"/>
    <col min="5" max="5" width="18.33203125" style="10" customWidth="1"/>
    <col min="6" max="7" width="16.88671875" customWidth="1"/>
    <col min="8" max="8" width="13.6640625" customWidth="1"/>
    <col min="9" max="9" width="11.109375" customWidth="1"/>
    <col min="10" max="11" width="15.6640625" customWidth="1"/>
    <col min="12" max="12" width="16.5546875" customWidth="1"/>
    <col min="13" max="13" width="20.5546875" customWidth="1"/>
    <col min="14" max="14" width="18.44140625" customWidth="1"/>
  </cols>
  <sheetData>
    <row r="1" spans="1:14" ht="15" customHeight="1" x14ac:dyDescent="0.3">
      <c r="A1" t="s">
        <v>642</v>
      </c>
      <c r="B1">
        <v>0.45</v>
      </c>
      <c r="C1" t="s">
        <v>643</v>
      </c>
      <c r="D1" t="s">
        <v>24</v>
      </c>
      <c r="E1" t="s">
        <v>644</v>
      </c>
    </row>
    <row r="2" spans="1:14" ht="43.2" x14ac:dyDescent="0.3">
      <c r="B2" s="3" t="s">
        <v>645</v>
      </c>
      <c r="C2" s="3" t="s">
        <v>646</v>
      </c>
      <c r="D2" s="3" t="s">
        <v>465</v>
      </c>
      <c r="E2" s="6" t="s">
        <v>647</v>
      </c>
      <c r="F2" s="6" t="s">
        <v>648</v>
      </c>
      <c r="G2" s="6"/>
      <c r="H2" s="55" t="s">
        <v>649</v>
      </c>
      <c r="I2" s="55" t="s">
        <v>650</v>
      </c>
      <c r="J2" s="55" t="s">
        <v>651</v>
      </c>
      <c r="K2" s="55"/>
      <c r="L2" s="3" t="s">
        <v>645</v>
      </c>
      <c r="M2" s="3" t="s">
        <v>465</v>
      </c>
      <c r="N2" s="6" t="s">
        <v>647</v>
      </c>
    </row>
    <row r="3" spans="1:14" ht="14.4" x14ac:dyDescent="0.3">
      <c r="B3" s="2">
        <v>45426.529861111114</v>
      </c>
      <c r="C3" s="2">
        <v>45426.529861111114</v>
      </c>
      <c r="D3" s="38">
        <f>C3-$B$4</f>
        <v>0</v>
      </c>
      <c r="E3" s="10">
        <v>0.25</v>
      </c>
      <c r="F3" s="51">
        <f t="shared" ref="F3:F24" si="0">(C3-B3)*1440</f>
        <v>0</v>
      </c>
      <c r="G3" s="51"/>
      <c r="H3" s="10">
        <f t="shared" ref="H3:H24" si="1">(E3*1440*1000)/((10^6)*0.45)</f>
        <v>0.8</v>
      </c>
      <c r="I3" s="10">
        <f t="shared" ref="I3:I24" si="2">E3*F3/(10^6)</f>
        <v>0</v>
      </c>
      <c r="J3" s="10">
        <f>I3</f>
        <v>0</v>
      </c>
      <c r="K3" s="10"/>
      <c r="L3" s="2">
        <v>45426.529861111114</v>
      </c>
      <c r="M3" s="98">
        <f>L3-$L$3</f>
        <v>0</v>
      </c>
      <c r="N3" s="52">
        <v>0.25</v>
      </c>
    </row>
    <row r="4" spans="1:14" ht="14.4" x14ac:dyDescent="0.3">
      <c r="B4" s="2">
        <v>45426.529861111114</v>
      </c>
      <c r="C4" s="2">
        <v>45446.836111111108</v>
      </c>
      <c r="D4" s="38">
        <f>C4-$B$4</f>
        <v>20.306249999994179</v>
      </c>
      <c r="E4" s="10">
        <v>0.25</v>
      </c>
      <c r="F4" s="51">
        <f t="shared" si="0"/>
        <v>29240.999999991618</v>
      </c>
      <c r="G4" s="51"/>
      <c r="H4" s="10">
        <f t="shared" si="1"/>
        <v>0.8</v>
      </c>
      <c r="I4" s="10">
        <f t="shared" si="2"/>
        <v>7.3102499999979044E-3</v>
      </c>
      <c r="J4" s="10">
        <f t="shared" ref="J4:J9" si="3">J3+I4</f>
        <v>7.3102499999979044E-3</v>
      </c>
      <c r="K4" s="10"/>
      <c r="L4" s="2">
        <v>45484.502083333333</v>
      </c>
      <c r="M4" s="98">
        <f t="shared" ref="M4:M32" si="4">L4-$L$3</f>
        <v>57.972222222218988</v>
      </c>
      <c r="N4" s="52">
        <v>0.5</v>
      </c>
    </row>
    <row r="5" spans="1:14" ht="14.4" x14ac:dyDescent="0.3">
      <c r="B5" s="2">
        <v>45446.836111111108</v>
      </c>
      <c r="C5" s="2">
        <v>45446.840277777781</v>
      </c>
      <c r="D5" s="38">
        <f t="shared" ref="D5:D17" si="5">C5-$B$4</f>
        <v>20.310416666667152</v>
      </c>
      <c r="E5" s="10">
        <v>0.25</v>
      </c>
      <c r="F5" s="51">
        <f t="shared" si="0"/>
        <v>6.0000000090803951</v>
      </c>
      <c r="G5" s="51"/>
      <c r="H5" s="10">
        <f t="shared" si="1"/>
        <v>0.8</v>
      </c>
      <c r="I5" s="10">
        <f t="shared" si="2"/>
        <v>1.5000000022700987E-6</v>
      </c>
      <c r="J5" s="10">
        <f t="shared" si="3"/>
        <v>7.3117500000001749E-3</v>
      </c>
      <c r="K5" s="10"/>
      <c r="L5" s="2">
        <v>45485.397916666669</v>
      </c>
      <c r="M5" s="98">
        <f t="shared" si="4"/>
        <v>58.868055555554747</v>
      </c>
      <c r="N5" s="52">
        <v>0.44400000000000001</v>
      </c>
    </row>
    <row r="6" spans="1:14" ht="14.4" x14ac:dyDescent="0.3">
      <c r="B6" s="2">
        <v>45446.840277777781</v>
      </c>
      <c r="C6" s="2">
        <v>45446.851388888892</v>
      </c>
      <c r="D6" s="38">
        <f t="shared" si="5"/>
        <v>20.321527777778101</v>
      </c>
      <c r="E6" s="10">
        <v>0.25</v>
      </c>
      <c r="F6" s="51">
        <f t="shared" si="0"/>
        <v>15.999999999767169</v>
      </c>
      <c r="G6" s="51"/>
      <c r="H6" s="10">
        <f t="shared" si="1"/>
        <v>0.8</v>
      </c>
      <c r="I6" s="10">
        <f t="shared" si="2"/>
        <v>3.9999999999417926E-6</v>
      </c>
      <c r="J6" s="10">
        <f t="shared" si="3"/>
        <v>7.3157500000001164E-3</v>
      </c>
      <c r="K6" s="10"/>
      <c r="L6" s="2">
        <v>45488.626388888886</v>
      </c>
      <c r="M6" s="98">
        <f t="shared" si="4"/>
        <v>62.09652777777228</v>
      </c>
      <c r="N6" s="52">
        <v>0.34399999999999997</v>
      </c>
    </row>
    <row r="7" spans="1:14" ht="14.4" x14ac:dyDescent="0.3">
      <c r="B7" s="2">
        <v>45446.851388888892</v>
      </c>
      <c r="C7" s="2">
        <v>45447.635416666664</v>
      </c>
      <c r="D7" s="38">
        <f t="shared" si="5"/>
        <v>21.105555555550382</v>
      </c>
      <c r="E7" s="10">
        <v>0.25</v>
      </c>
      <c r="F7" s="51">
        <f t="shared" si="0"/>
        <v>1128.9999999920838</v>
      </c>
      <c r="G7" s="51"/>
      <c r="H7" s="10">
        <f t="shared" si="1"/>
        <v>0.8</v>
      </c>
      <c r="I7" s="10">
        <f t="shared" si="2"/>
        <v>2.8224999999802095E-4</v>
      </c>
      <c r="J7" s="10">
        <f t="shared" si="3"/>
        <v>7.5979999999981375E-3</v>
      </c>
      <c r="K7" s="10"/>
      <c r="L7" s="2">
        <v>45503.691666666666</v>
      </c>
      <c r="M7" s="98">
        <f t="shared" si="4"/>
        <v>77.161805555551837</v>
      </c>
      <c r="N7" s="52">
        <v>0.25</v>
      </c>
    </row>
    <row r="8" spans="1:14" ht="14.4" x14ac:dyDescent="0.3">
      <c r="B8" s="2">
        <v>45447.635416666664</v>
      </c>
      <c r="C8" s="2">
        <v>45448.700694444444</v>
      </c>
      <c r="D8" s="38">
        <f t="shared" si="5"/>
        <v>22.170833333329938</v>
      </c>
      <c r="E8" s="10">
        <v>0.25</v>
      </c>
      <c r="F8" s="51">
        <f t="shared" si="0"/>
        <v>1534.0000000025611</v>
      </c>
      <c r="G8" s="51"/>
      <c r="H8" s="10">
        <f t="shared" si="1"/>
        <v>0.8</v>
      </c>
      <c r="I8" s="10">
        <f t="shared" si="2"/>
        <v>3.8350000000064027E-4</v>
      </c>
      <c r="J8" s="10">
        <f t="shared" si="3"/>
        <v>7.9814999999987778E-3</v>
      </c>
      <c r="K8" s="10"/>
      <c r="L8" s="2">
        <v>45504.667361111111</v>
      </c>
      <c r="M8" s="98">
        <f t="shared" si="4"/>
        <v>78.13749999999709</v>
      </c>
      <c r="N8" s="52">
        <v>0.25</v>
      </c>
    </row>
    <row r="9" spans="1:14" ht="14.4" x14ac:dyDescent="0.3">
      <c r="A9" t="s">
        <v>652</v>
      </c>
      <c r="B9" s="2">
        <v>45448.700694444444</v>
      </c>
      <c r="C9" s="2">
        <v>45448.734722222223</v>
      </c>
      <c r="D9" s="38">
        <f t="shared" si="5"/>
        <v>22.204861111109494</v>
      </c>
      <c r="E9" s="10">
        <v>0.25</v>
      </c>
      <c r="F9" s="51">
        <f t="shared" si="0"/>
        <v>49.000000002561137</v>
      </c>
      <c r="G9" s="51"/>
      <c r="H9" s="10">
        <f t="shared" si="1"/>
        <v>0.8</v>
      </c>
      <c r="I9" s="10">
        <f t="shared" si="2"/>
        <v>1.2250000000640284E-5</v>
      </c>
      <c r="J9" s="10">
        <f t="shared" si="3"/>
        <v>7.993749999999418E-3</v>
      </c>
      <c r="K9" s="10"/>
      <c r="L9" s="2">
        <v>45505.527083333334</v>
      </c>
      <c r="M9" s="98">
        <f t="shared" si="4"/>
        <v>78.997222222220444</v>
      </c>
      <c r="N9" s="52">
        <v>0.3</v>
      </c>
    </row>
    <row r="10" spans="1:14" ht="14.4" x14ac:dyDescent="0.3">
      <c r="B10" s="2">
        <v>45448.734722222223</v>
      </c>
      <c r="C10" s="2">
        <v>45464.741666666669</v>
      </c>
      <c r="D10" s="38">
        <f t="shared" si="5"/>
        <v>38.211805555554747</v>
      </c>
      <c r="E10" s="10">
        <v>0.25</v>
      </c>
      <c r="F10" s="51">
        <f t="shared" si="0"/>
        <v>23050.000000001164</v>
      </c>
      <c r="G10" s="51"/>
      <c r="H10" s="10">
        <f t="shared" si="1"/>
        <v>0.8</v>
      </c>
      <c r="I10" s="10">
        <f t="shared" si="2"/>
        <v>5.7625000000002908E-3</v>
      </c>
      <c r="J10" s="10">
        <f t="shared" ref="J10:J24" si="6">J9+I10</f>
        <v>1.375624999999971E-2</v>
      </c>
      <c r="K10" s="10"/>
      <c r="L10" s="2">
        <v>45523.68472222222</v>
      </c>
      <c r="M10" s="98">
        <f t="shared" si="4"/>
        <v>97.154861111106584</v>
      </c>
      <c r="N10" s="52">
        <v>0.25</v>
      </c>
    </row>
    <row r="11" spans="1:14" ht="14.4" x14ac:dyDescent="0.3">
      <c r="B11" s="2">
        <v>45464.741666666669</v>
      </c>
      <c r="C11" s="2">
        <v>45464.75</v>
      </c>
      <c r="D11" s="38">
        <f t="shared" si="5"/>
        <v>38.22013888888614</v>
      </c>
      <c r="E11" s="10">
        <v>0.25</v>
      </c>
      <c r="F11" s="51">
        <f t="shared" si="0"/>
        <v>11.999999997206032</v>
      </c>
      <c r="G11" s="51"/>
      <c r="H11" s="10">
        <f t="shared" si="1"/>
        <v>0.8</v>
      </c>
      <c r="I11" s="10">
        <f t="shared" si="2"/>
        <v>2.9999999993015079E-6</v>
      </c>
      <c r="J11" s="10">
        <f t="shared" si="6"/>
        <v>1.3759249999999012E-2</v>
      </c>
      <c r="K11" s="10"/>
      <c r="L11" s="2">
        <v>45533.686805555553</v>
      </c>
      <c r="M11" s="98">
        <f t="shared" si="4"/>
        <v>107.15694444443943</v>
      </c>
      <c r="N11" s="52">
        <v>0.3</v>
      </c>
    </row>
    <row r="12" spans="1:14" ht="14.4" x14ac:dyDescent="0.3">
      <c r="B12" s="2">
        <v>45464.75</v>
      </c>
      <c r="C12" s="2">
        <v>45473.999305555553</v>
      </c>
      <c r="D12" s="38">
        <f t="shared" si="5"/>
        <v>47.469444444439432</v>
      </c>
      <c r="E12" s="10">
        <v>0.25</v>
      </c>
      <c r="F12" s="51">
        <f t="shared" si="0"/>
        <v>13318.99999999674</v>
      </c>
      <c r="G12" s="51"/>
      <c r="H12" s="10">
        <f>(E12*1440*1000)/((10^6)*0.45)</f>
        <v>0.8</v>
      </c>
      <c r="I12" s="10">
        <f t="shared" si="2"/>
        <v>3.3297499999991849E-3</v>
      </c>
      <c r="J12" s="10">
        <f t="shared" si="6"/>
        <v>1.7088999999998196E-2</v>
      </c>
      <c r="K12" s="10"/>
      <c r="L12" s="2">
        <v>45586.502083333333</v>
      </c>
      <c r="M12" s="98">
        <f t="shared" si="4"/>
        <v>159.97222222221899</v>
      </c>
      <c r="N12" s="52">
        <v>0.4</v>
      </c>
    </row>
    <row r="13" spans="1:14" ht="14.4" x14ac:dyDescent="0.3">
      <c r="B13" s="2">
        <v>12600.999305555555</v>
      </c>
      <c r="C13" s="2">
        <v>45484.459722222222</v>
      </c>
      <c r="D13" s="38">
        <f t="shared" si="5"/>
        <v>57.929861111108039</v>
      </c>
      <c r="E13" s="10">
        <v>0.25</v>
      </c>
      <c r="F13" s="51">
        <f t="shared" si="0"/>
        <v>47352183</v>
      </c>
      <c r="G13" s="51"/>
      <c r="H13" s="10">
        <f t="shared" si="1"/>
        <v>0.8</v>
      </c>
      <c r="I13" s="10">
        <f t="shared" si="2"/>
        <v>11.838045749999999</v>
      </c>
      <c r="J13" s="10">
        <f t="shared" si="6"/>
        <v>11.855134749999998</v>
      </c>
      <c r="K13" s="10"/>
      <c r="L13" s="2">
        <v>45587.71597222222</v>
      </c>
      <c r="M13" s="98">
        <f t="shared" si="4"/>
        <v>161.18611111110658</v>
      </c>
      <c r="N13" s="52">
        <v>0.35</v>
      </c>
    </row>
    <row r="14" spans="1:14" ht="14.4" x14ac:dyDescent="0.3">
      <c r="B14" s="2">
        <v>45484.459722222222</v>
      </c>
      <c r="C14" s="2">
        <v>45484.468055555553</v>
      </c>
      <c r="D14" s="38">
        <f t="shared" si="5"/>
        <v>57.938194444439432</v>
      </c>
      <c r="E14" s="10">
        <v>0.25</v>
      </c>
      <c r="F14" s="51">
        <f t="shared" si="0"/>
        <v>11.999999997206032</v>
      </c>
      <c r="G14" s="51"/>
      <c r="H14" s="10">
        <f t="shared" si="1"/>
        <v>0.8</v>
      </c>
      <c r="I14" s="10">
        <f t="shared" si="2"/>
        <v>2.9999999993015079E-6</v>
      </c>
      <c r="J14" s="10">
        <f t="shared" si="6"/>
        <v>11.855137749999997</v>
      </c>
      <c r="K14" s="10"/>
      <c r="L14" s="2">
        <v>45588.509027777778</v>
      </c>
      <c r="M14" s="98">
        <f t="shared" si="4"/>
        <v>161.97916666666424</v>
      </c>
      <c r="N14" s="52">
        <v>0.3</v>
      </c>
    </row>
    <row r="15" spans="1:14" ht="14.4" x14ac:dyDescent="0.3">
      <c r="B15" s="2">
        <v>45484.468055555553</v>
      </c>
      <c r="C15" s="2">
        <v>45484.502083333333</v>
      </c>
      <c r="D15" s="38">
        <f t="shared" si="5"/>
        <v>57.972222222218988</v>
      </c>
      <c r="E15" s="10">
        <v>0.25</v>
      </c>
      <c r="F15" s="51">
        <f t="shared" si="0"/>
        <v>49.000000002561137</v>
      </c>
      <c r="G15" s="51"/>
      <c r="H15" s="10">
        <f t="shared" si="1"/>
        <v>0.8</v>
      </c>
      <c r="I15" s="10">
        <f t="shared" si="2"/>
        <v>1.2250000000640284E-5</v>
      </c>
      <c r="J15" s="10">
        <f t="shared" si="6"/>
        <v>11.855149999999998</v>
      </c>
      <c r="K15" s="10"/>
      <c r="L15" s="2">
        <v>45594.620138888888</v>
      </c>
      <c r="M15" s="98">
        <f t="shared" si="4"/>
        <v>168.09027777777374</v>
      </c>
      <c r="N15" s="52">
        <v>0.33700000000000002</v>
      </c>
    </row>
    <row r="16" spans="1:14" ht="14.4" x14ac:dyDescent="0.3">
      <c r="B16" s="2">
        <v>45484.502083333333</v>
      </c>
      <c r="C16" s="2">
        <v>45485.397916666669</v>
      </c>
      <c r="D16" s="38">
        <f t="shared" si="5"/>
        <v>58.868055555554747</v>
      </c>
      <c r="E16" s="10">
        <v>0.5</v>
      </c>
      <c r="F16" s="51">
        <f t="shared" si="0"/>
        <v>1290.0000000034925</v>
      </c>
      <c r="G16" s="51"/>
      <c r="H16" s="10">
        <f t="shared" si="1"/>
        <v>1.6</v>
      </c>
      <c r="I16" s="10">
        <f t="shared" si="2"/>
        <v>6.4500000000174628E-4</v>
      </c>
      <c r="J16" s="10">
        <f t="shared" si="6"/>
        <v>11.855795000000001</v>
      </c>
      <c r="K16" s="10"/>
      <c r="L16" s="2">
        <v>45596.487500000003</v>
      </c>
      <c r="M16" s="98">
        <f t="shared" si="4"/>
        <v>169.95763888888905</v>
      </c>
      <c r="N16" s="52">
        <v>0.33700000000000002</v>
      </c>
    </row>
    <row r="17" spans="1:14" ht="15" customHeight="1" x14ac:dyDescent="0.3">
      <c r="B17" s="2">
        <v>45485.397916666669</v>
      </c>
      <c r="C17" s="2">
        <v>45488.626388888886</v>
      </c>
      <c r="D17" s="38">
        <f t="shared" si="5"/>
        <v>62.09652777777228</v>
      </c>
      <c r="E17" s="10">
        <v>0.44400000000000001</v>
      </c>
      <c r="F17" s="51">
        <f t="shared" si="0"/>
        <v>4648.9999999932479</v>
      </c>
      <c r="G17" s="51"/>
      <c r="H17" s="10">
        <f t="shared" si="1"/>
        <v>1.4208000000000001</v>
      </c>
      <c r="I17" s="10">
        <f t="shared" si="2"/>
        <v>2.0641559999970021E-3</v>
      </c>
      <c r="J17" s="10">
        <f t="shared" si="6"/>
        <v>11.857859155999998</v>
      </c>
      <c r="K17" s="10"/>
      <c r="L17" s="2">
        <v>45596.65902777778</v>
      </c>
      <c r="M17" s="98">
        <f t="shared" si="4"/>
        <v>170.1291666666657</v>
      </c>
      <c r="N17" s="52">
        <v>0.33700000000000002</v>
      </c>
    </row>
    <row r="18" spans="1:14" ht="15" customHeight="1" x14ac:dyDescent="0.3">
      <c r="B18" s="2">
        <v>45488.626388888886</v>
      </c>
      <c r="C18" s="2">
        <v>45503.691666666666</v>
      </c>
      <c r="D18" s="38">
        <f>C18-$B$4</f>
        <v>77.161805555551837</v>
      </c>
      <c r="E18" s="10">
        <v>0.34399999999999997</v>
      </c>
      <c r="F18" s="51">
        <f t="shared" si="0"/>
        <v>21694.000000002561</v>
      </c>
      <c r="G18" s="51"/>
      <c r="H18" s="10">
        <f t="shared" si="1"/>
        <v>1.1007999999999998</v>
      </c>
      <c r="I18" s="10">
        <f t="shared" si="2"/>
        <v>7.4627360000008806E-3</v>
      </c>
      <c r="J18" s="10">
        <f t="shared" si="6"/>
        <v>11.865321891999999</v>
      </c>
      <c r="K18" s="10"/>
      <c r="L18" s="101">
        <v>45623.68472222222</v>
      </c>
      <c r="M18" s="98">
        <f t="shared" si="4"/>
        <v>197.15486111110658</v>
      </c>
      <c r="N18" s="52">
        <v>0.37</v>
      </c>
    </row>
    <row r="19" spans="1:14" ht="15" customHeight="1" x14ac:dyDescent="0.3">
      <c r="B19" s="2">
        <v>45503.691666666666</v>
      </c>
      <c r="C19" s="2">
        <v>45504.638194444444</v>
      </c>
      <c r="D19" s="38">
        <f t="shared" ref="D19:D74" si="7">C19-$B$4</f>
        <v>78.108333333329938</v>
      </c>
      <c r="E19" s="10">
        <v>0.25</v>
      </c>
      <c r="F19" s="51">
        <f t="shared" si="0"/>
        <v>1363.0000000004657</v>
      </c>
      <c r="G19" s="51"/>
      <c r="H19" s="10">
        <f t="shared" si="1"/>
        <v>0.8</v>
      </c>
      <c r="I19" s="10">
        <f t="shared" si="2"/>
        <v>3.407500000001164E-4</v>
      </c>
      <c r="J19" s="10">
        <f t="shared" si="6"/>
        <v>11.865662641999998</v>
      </c>
      <c r="K19" s="10"/>
      <c r="L19" s="101">
        <v>45625.675000000003</v>
      </c>
      <c r="M19" s="98">
        <f t="shared" si="4"/>
        <v>199.14513888888905</v>
      </c>
      <c r="N19" s="52">
        <v>0.374</v>
      </c>
    </row>
    <row r="20" spans="1:14" ht="15" customHeight="1" x14ac:dyDescent="0.3">
      <c r="B20" s="2">
        <v>45504.638194444444</v>
      </c>
      <c r="C20" s="2">
        <v>45504.667361111111</v>
      </c>
      <c r="D20" s="38">
        <f t="shared" si="7"/>
        <v>78.13749999999709</v>
      </c>
      <c r="E20" s="10">
        <v>0</v>
      </c>
      <c r="F20" s="51">
        <f t="shared" si="0"/>
        <v>42.000000000698492</v>
      </c>
      <c r="G20" s="51"/>
      <c r="H20" s="10">
        <f t="shared" si="1"/>
        <v>0</v>
      </c>
      <c r="I20" s="10">
        <f t="shared" si="2"/>
        <v>0</v>
      </c>
      <c r="J20" s="10">
        <f t="shared" si="6"/>
        <v>11.865662641999998</v>
      </c>
      <c r="K20" s="10"/>
      <c r="L20" s="101">
        <v>45631.536805555559</v>
      </c>
      <c r="M20" s="98">
        <f t="shared" si="4"/>
        <v>205.00694444444525</v>
      </c>
      <c r="N20" s="52">
        <v>0.379</v>
      </c>
    </row>
    <row r="21" spans="1:14" ht="15" customHeight="1" x14ac:dyDescent="0.3">
      <c r="B21" s="2">
        <v>45504.667361111111</v>
      </c>
      <c r="C21" s="2">
        <v>45505.48333333333</v>
      </c>
      <c r="D21" s="38">
        <f t="shared" si="7"/>
        <v>78.953472222216078</v>
      </c>
      <c r="E21" s="10">
        <v>0.25</v>
      </c>
      <c r="F21" s="51">
        <f t="shared" si="0"/>
        <v>1174.9999999953434</v>
      </c>
      <c r="G21" s="51"/>
      <c r="H21" s="10">
        <f t="shared" si="1"/>
        <v>0.8</v>
      </c>
      <c r="I21" s="10">
        <f t="shared" si="2"/>
        <v>2.9374999999883585E-4</v>
      </c>
      <c r="J21" s="10">
        <f t="shared" si="6"/>
        <v>11.865956391999998</v>
      </c>
      <c r="K21" s="10"/>
      <c r="L21" s="101">
        <v>45663.701388888891</v>
      </c>
      <c r="M21" s="98">
        <f t="shared" si="4"/>
        <v>237.17152777777665</v>
      </c>
      <c r="N21" s="52">
        <v>0.39700000000000002</v>
      </c>
    </row>
    <row r="22" spans="1:14" ht="15" customHeight="1" x14ac:dyDescent="0.3">
      <c r="B22" s="2">
        <v>45505.48333333333</v>
      </c>
      <c r="C22" s="2">
        <v>45505.527083333334</v>
      </c>
      <c r="D22" s="38">
        <f t="shared" si="7"/>
        <v>78.997222222220444</v>
      </c>
      <c r="E22" s="10">
        <v>0</v>
      </c>
      <c r="F22" s="51">
        <f t="shared" si="0"/>
        <v>63.000000006286427</v>
      </c>
      <c r="G22" s="51"/>
      <c r="H22" s="10">
        <f t="shared" si="1"/>
        <v>0</v>
      </c>
      <c r="I22" s="10">
        <f t="shared" si="2"/>
        <v>0</v>
      </c>
      <c r="J22" s="10">
        <f t="shared" si="6"/>
        <v>11.865956391999998</v>
      </c>
      <c r="K22" s="10"/>
      <c r="L22" s="101">
        <v>45667.520833333336</v>
      </c>
      <c r="M22" s="98">
        <f t="shared" si="4"/>
        <v>240.9909722222219</v>
      </c>
      <c r="N22" s="52">
        <v>0.4</v>
      </c>
    </row>
    <row r="23" spans="1:14" ht="15" customHeight="1" x14ac:dyDescent="0.3">
      <c r="B23" s="2">
        <v>45505.527083333334</v>
      </c>
      <c r="C23" s="47">
        <v>45505.527777777781</v>
      </c>
      <c r="D23" s="38">
        <f t="shared" si="7"/>
        <v>78.997916666667152</v>
      </c>
      <c r="E23" s="10">
        <v>0.3</v>
      </c>
      <c r="F23" s="51">
        <f t="shared" si="0"/>
        <v>1.000000003259629</v>
      </c>
      <c r="G23" s="51"/>
      <c r="H23" s="10">
        <f t="shared" si="1"/>
        <v>0.96</v>
      </c>
      <c r="I23" s="10">
        <f t="shared" si="2"/>
        <v>3.0000000097788872E-7</v>
      </c>
      <c r="J23" s="10">
        <f t="shared" si="6"/>
        <v>11.865956691999999</v>
      </c>
      <c r="K23" s="10"/>
      <c r="L23" s="101">
        <v>45677.609027777777</v>
      </c>
      <c r="M23" s="98">
        <f t="shared" si="4"/>
        <v>251.07916666666279</v>
      </c>
      <c r="N23" s="52">
        <v>0.42</v>
      </c>
    </row>
    <row r="24" spans="1:14" ht="15" customHeight="1" x14ac:dyDescent="0.3">
      <c r="A24" t="s">
        <v>653</v>
      </c>
      <c r="B24" s="47">
        <v>45505.527777777781</v>
      </c>
      <c r="C24" s="2">
        <v>45523.68472222222</v>
      </c>
      <c r="D24" s="38">
        <f t="shared" si="7"/>
        <v>97.154861111106584</v>
      </c>
      <c r="E24" s="10">
        <v>0.3</v>
      </c>
      <c r="F24" s="51">
        <f t="shared" si="0"/>
        <v>26145.999999992782</v>
      </c>
      <c r="G24" s="51"/>
      <c r="H24" s="10">
        <f t="shared" si="1"/>
        <v>0.96</v>
      </c>
      <c r="I24" s="10">
        <f t="shared" si="2"/>
        <v>7.8437999999978348E-3</v>
      </c>
      <c r="J24" s="10">
        <f t="shared" si="6"/>
        <v>11.873800491999997</v>
      </c>
      <c r="K24" s="10"/>
      <c r="L24" s="101">
        <v>45685.600694444445</v>
      </c>
      <c r="M24" s="98">
        <f t="shared" si="4"/>
        <v>259.07083333333139</v>
      </c>
      <c r="N24" s="52">
        <v>0.46200000000000002</v>
      </c>
    </row>
    <row r="25" spans="1:14" ht="15" customHeight="1" x14ac:dyDescent="0.3">
      <c r="B25" s="2">
        <v>45523.68472222222</v>
      </c>
      <c r="C25" s="2">
        <v>45530.39166666667</v>
      </c>
      <c r="D25" s="38">
        <f t="shared" si="7"/>
        <v>103.8618055555562</v>
      </c>
      <c r="E25" s="10">
        <v>0.25</v>
      </c>
      <c r="F25" s="51">
        <f t="shared" ref="F25:F39" si="8">(C25-B25)*1440</f>
        <v>9658.0000000074506</v>
      </c>
      <c r="G25" s="51"/>
      <c r="H25" s="10">
        <f t="shared" ref="H25:H39" si="9">(E25*1440*1000)/((10^6)*0.45)</f>
        <v>0.8</v>
      </c>
      <c r="I25" s="10">
        <f t="shared" ref="I25:I39" si="10">E25*F25/(10^6)</f>
        <v>2.4145000000018626E-3</v>
      </c>
      <c r="J25" s="10">
        <f t="shared" ref="J25:J39" si="11">J24+I25</f>
        <v>11.876214992</v>
      </c>
      <c r="K25" s="10"/>
      <c r="L25" s="101">
        <v>45699.754861111112</v>
      </c>
      <c r="M25" s="98">
        <f t="shared" si="4"/>
        <v>273.22499999999854</v>
      </c>
      <c r="N25" s="52">
        <v>0.53100000000000003</v>
      </c>
    </row>
    <row r="26" spans="1:14" ht="15" customHeight="1" x14ac:dyDescent="0.3">
      <c r="B26" s="2">
        <v>45530.39166666667</v>
      </c>
      <c r="C26" s="2">
        <v>45530.402777777781</v>
      </c>
      <c r="D26" s="38">
        <f t="shared" si="7"/>
        <v>103.87291666666715</v>
      </c>
      <c r="E26" s="10">
        <v>0</v>
      </c>
      <c r="F26" s="51">
        <f t="shared" si="8"/>
        <v>15.999999999767169</v>
      </c>
      <c r="G26" s="51"/>
      <c r="H26" s="10">
        <f t="shared" si="9"/>
        <v>0</v>
      </c>
      <c r="I26" s="10">
        <f t="shared" si="10"/>
        <v>0</v>
      </c>
      <c r="J26" s="10">
        <f t="shared" si="11"/>
        <v>11.876214992</v>
      </c>
      <c r="K26" s="10"/>
      <c r="L26" s="101">
        <v>45701.461111111108</v>
      </c>
      <c r="M26" s="98">
        <f t="shared" si="4"/>
        <v>274.93124999999418</v>
      </c>
      <c r="N26" s="52">
        <v>0.58399999999999996</v>
      </c>
    </row>
    <row r="27" spans="1:14" ht="15" customHeight="1" x14ac:dyDescent="0.3">
      <c r="B27" s="2">
        <v>45530.402777777781</v>
      </c>
      <c r="C27" s="2">
        <v>45533.45416666667</v>
      </c>
      <c r="D27" s="38">
        <f t="shared" si="7"/>
        <v>106.9243055555562</v>
      </c>
      <c r="E27" s="10">
        <v>0.25</v>
      </c>
      <c r="F27" s="51">
        <f t="shared" si="8"/>
        <v>4394.0000000002328</v>
      </c>
      <c r="G27" s="51"/>
      <c r="H27" s="10">
        <f t="shared" si="9"/>
        <v>0.8</v>
      </c>
      <c r="I27" s="10">
        <f t="shared" si="10"/>
        <v>1.0985000000000582E-3</v>
      </c>
      <c r="J27" s="10">
        <f t="shared" si="11"/>
        <v>11.877313491999999</v>
      </c>
      <c r="K27" s="10"/>
      <c r="L27" s="101">
        <v>45705.440972222219</v>
      </c>
      <c r="M27" s="98">
        <f t="shared" si="4"/>
        <v>278.91111111110513</v>
      </c>
      <c r="N27" s="52">
        <v>0.53100000000000003</v>
      </c>
    </row>
    <row r="28" spans="1:14" ht="15" customHeight="1" x14ac:dyDescent="0.3">
      <c r="B28" s="2">
        <v>45533.45416666667</v>
      </c>
      <c r="C28" s="2">
        <v>45533.475694444445</v>
      </c>
      <c r="D28" s="38">
        <f t="shared" si="7"/>
        <v>106.94583333333139</v>
      </c>
      <c r="E28" s="10">
        <v>0</v>
      </c>
      <c r="F28" s="51">
        <f t="shared" si="8"/>
        <v>30.99999999627471</v>
      </c>
      <c r="G28" s="51"/>
      <c r="H28" s="10">
        <f t="shared" si="9"/>
        <v>0</v>
      </c>
      <c r="I28" s="10">
        <f t="shared" si="10"/>
        <v>0</v>
      </c>
      <c r="J28" s="10">
        <f t="shared" si="11"/>
        <v>11.877313491999999</v>
      </c>
      <c r="K28" s="10"/>
      <c r="L28" s="101">
        <v>45708.612500000003</v>
      </c>
      <c r="M28" s="98">
        <f t="shared" si="4"/>
        <v>282.08263888888905</v>
      </c>
      <c r="N28" s="52">
        <v>0.70099999999999996</v>
      </c>
    </row>
    <row r="29" spans="1:14" ht="15" customHeight="1" x14ac:dyDescent="0.3">
      <c r="B29" s="2">
        <v>45533.475694444445</v>
      </c>
      <c r="C29" s="2">
        <v>45533.686805555553</v>
      </c>
      <c r="D29" s="38">
        <f t="shared" si="7"/>
        <v>107.15694444443943</v>
      </c>
      <c r="E29" s="10">
        <v>0.25</v>
      </c>
      <c r="F29" s="51">
        <f t="shared" si="8"/>
        <v>303.99999999557622</v>
      </c>
      <c r="G29" s="51"/>
      <c r="H29" s="10">
        <f t="shared" si="9"/>
        <v>0.8</v>
      </c>
      <c r="I29" s="10">
        <f t="shared" si="10"/>
        <v>7.599999999889405E-5</v>
      </c>
      <c r="J29" s="10">
        <f t="shared" si="11"/>
        <v>11.877389491999997</v>
      </c>
      <c r="K29" s="10"/>
      <c r="L29" s="101">
        <v>45722.385416666664</v>
      </c>
      <c r="M29" s="98">
        <f t="shared" si="4"/>
        <v>295.85555555555038</v>
      </c>
      <c r="N29" s="52">
        <v>7.01</v>
      </c>
    </row>
    <row r="30" spans="1:14" ht="15" customHeight="1" x14ac:dyDescent="0.3">
      <c r="B30" s="2">
        <v>45533.686805555553</v>
      </c>
      <c r="C30" s="2">
        <v>45538.347222222219</v>
      </c>
      <c r="D30" s="38">
        <f t="shared" si="7"/>
        <v>111.81736111110513</v>
      </c>
      <c r="E30" s="10">
        <v>0.3</v>
      </c>
      <c r="F30" s="51">
        <f t="shared" si="8"/>
        <v>6710.999999998603</v>
      </c>
      <c r="G30" s="51"/>
      <c r="H30" s="10">
        <f t="shared" si="9"/>
        <v>0.96</v>
      </c>
      <c r="I30" s="10">
        <f t="shared" si="10"/>
        <v>2.013299999999581E-3</v>
      </c>
      <c r="J30" s="10">
        <f t="shared" si="11"/>
        <v>11.879402791999997</v>
      </c>
      <c r="K30" s="10"/>
      <c r="L30" s="101">
        <v>45722.4375</v>
      </c>
      <c r="M30" s="98">
        <f t="shared" si="4"/>
        <v>295.90763888888614</v>
      </c>
      <c r="N30" s="52">
        <v>0.70099999999999996</v>
      </c>
    </row>
    <row r="31" spans="1:14" ht="15" customHeight="1" x14ac:dyDescent="0.3">
      <c r="B31" s="2">
        <v>45538.347222222219</v>
      </c>
      <c r="C31" s="2">
        <v>45538.499305555553</v>
      </c>
      <c r="D31" s="38">
        <f t="shared" si="7"/>
        <v>111.96944444443943</v>
      </c>
      <c r="E31" s="10">
        <v>0</v>
      </c>
      <c r="F31" s="51">
        <f t="shared" si="8"/>
        <v>219.00000000139698</v>
      </c>
      <c r="G31" s="51"/>
      <c r="H31" s="10">
        <f t="shared" si="9"/>
        <v>0</v>
      </c>
      <c r="I31" s="10">
        <f t="shared" si="10"/>
        <v>0</v>
      </c>
      <c r="J31" s="10">
        <f t="shared" si="11"/>
        <v>11.879402791999997</v>
      </c>
      <c r="K31" s="10"/>
      <c r="L31" s="101">
        <v>45729.715277777781</v>
      </c>
      <c r="M31" s="98">
        <f t="shared" si="4"/>
        <v>303.18541666666715</v>
      </c>
      <c r="N31" s="52">
        <v>0.84099999999999997</v>
      </c>
    </row>
    <row r="32" spans="1:14" ht="15" customHeight="1" x14ac:dyDescent="0.3">
      <c r="B32" s="2">
        <v>45538.499305555553</v>
      </c>
      <c r="C32" s="2">
        <v>45538.70416666667</v>
      </c>
      <c r="D32" s="38">
        <f t="shared" si="7"/>
        <v>112.1743055555562</v>
      </c>
      <c r="E32" s="10">
        <v>0.3</v>
      </c>
      <c r="F32" s="51">
        <f t="shared" si="8"/>
        <v>295.00000000814907</v>
      </c>
      <c r="G32" s="51"/>
      <c r="H32" s="10">
        <f t="shared" si="9"/>
        <v>0.96</v>
      </c>
      <c r="I32" s="10">
        <f t="shared" si="10"/>
        <v>8.8500000002444723E-5</v>
      </c>
      <c r="J32" s="10">
        <f t="shared" si="11"/>
        <v>11.879491291999999</v>
      </c>
      <c r="K32" s="10"/>
      <c r="L32" s="2">
        <v>45736.43472222222</v>
      </c>
      <c r="M32" s="98">
        <f t="shared" si="4"/>
        <v>309.90486111110658</v>
      </c>
      <c r="N32" s="52">
        <v>1.012</v>
      </c>
    </row>
    <row r="33" spans="1:14" ht="15" customHeight="1" x14ac:dyDescent="0.3">
      <c r="B33" s="2">
        <v>45538.70416666667</v>
      </c>
      <c r="C33" s="2">
        <v>45539.38958333333</v>
      </c>
      <c r="D33" s="38">
        <f t="shared" si="7"/>
        <v>112.85972222221608</v>
      </c>
      <c r="E33" s="10">
        <v>0</v>
      </c>
      <c r="F33" s="51">
        <f t="shared" si="8"/>
        <v>986.99999999022111</v>
      </c>
      <c r="G33" s="51"/>
      <c r="H33" s="10">
        <f t="shared" si="9"/>
        <v>0</v>
      </c>
      <c r="I33" s="10">
        <f t="shared" si="10"/>
        <v>0</v>
      </c>
      <c r="J33" s="10">
        <f t="shared" si="11"/>
        <v>11.879491291999999</v>
      </c>
      <c r="K33" s="10"/>
      <c r="L33" s="4"/>
      <c r="M33" s="98"/>
      <c r="N33" s="52"/>
    </row>
    <row r="34" spans="1:14" ht="15" customHeight="1" x14ac:dyDescent="0.3">
      <c r="B34" s="2">
        <v>45539.38958333333</v>
      </c>
      <c r="C34" s="2">
        <v>45539.620138888888</v>
      </c>
      <c r="D34" s="38">
        <f t="shared" si="7"/>
        <v>113.09027777777374</v>
      </c>
      <c r="E34" s="10">
        <v>0</v>
      </c>
      <c r="F34" s="51">
        <f t="shared" si="8"/>
        <v>332.0000000030268</v>
      </c>
      <c r="G34" s="51"/>
      <c r="H34" s="10">
        <f t="shared" si="9"/>
        <v>0</v>
      </c>
      <c r="I34" s="10">
        <f t="shared" si="10"/>
        <v>0</v>
      </c>
      <c r="J34" s="10">
        <f t="shared" si="11"/>
        <v>11.879491291999999</v>
      </c>
      <c r="K34" s="10"/>
    </row>
    <row r="35" spans="1:14" ht="15" customHeight="1" x14ac:dyDescent="0.3">
      <c r="B35" s="2">
        <v>45539.620138888888</v>
      </c>
      <c r="C35" s="2">
        <v>45544.40625</v>
      </c>
      <c r="D35" s="38">
        <f t="shared" si="7"/>
        <v>117.87638888888614</v>
      </c>
      <c r="E35" s="10">
        <v>0.3</v>
      </c>
      <c r="F35" s="51">
        <f t="shared" si="8"/>
        <v>6892.0000000018626</v>
      </c>
      <c r="G35" s="51"/>
      <c r="H35" s="10">
        <f t="shared" si="9"/>
        <v>0.96</v>
      </c>
      <c r="I35" s="10">
        <f t="shared" si="10"/>
        <v>2.0676000000005587E-3</v>
      </c>
      <c r="J35" s="10">
        <f t="shared" si="11"/>
        <v>11.881558891999999</v>
      </c>
      <c r="K35" s="10"/>
    </row>
    <row r="36" spans="1:14" ht="15" customHeight="1" x14ac:dyDescent="0.3">
      <c r="B36" s="2">
        <v>45544.40625</v>
      </c>
      <c r="C36" s="2">
        <v>45544.411805555559</v>
      </c>
      <c r="D36" s="38">
        <f t="shared" si="7"/>
        <v>117.88194444444525</v>
      </c>
      <c r="E36" s="10">
        <v>0</v>
      </c>
      <c r="F36" s="51">
        <f t="shared" si="8"/>
        <v>8.0000000051222742</v>
      </c>
      <c r="G36" s="51"/>
      <c r="H36" s="10">
        <f t="shared" si="9"/>
        <v>0</v>
      </c>
      <c r="I36" s="10">
        <f t="shared" si="10"/>
        <v>0</v>
      </c>
      <c r="J36" s="10">
        <f t="shared" si="11"/>
        <v>11.881558891999999</v>
      </c>
      <c r="K36" s="10"/>
    </row>
    <row r="37" spans="1:14" ht="15" customHeight="1" x14ac:dyDescent="0.3">
      <c r="A37" s="70" t="s">
        <v>654</v>
      </c>
      <c r="B37" s="2">
        <v>45544.411805555559</v>
      </c>
      <c r="C37" s="2">
        <v>45547.397222222222</v>
      </c>
      <c r="D37" s="38">
        <f t="shared" si="7"/>
        <v>120.86736111110804</v>
      </c>
      <c r="E37" s="10">
        <v>0.3</v>
      </c>
      <c r="F37" s="51">
        <f t="shared" si="8"/>
        <v>4298.9999999944121</v>
      </c>
      <c r="G37" s="51"/>
      <c r="H37" s="10">
        <f t="shared" si="9"/>
        <v>0.96</v>
      </c>
      <c r="I37" s="10">
        <f t="shared" si="10"/>
        <v>1.2896999999983236E-3</v>
      </c>
      <c r="J37" s="10">
        <f t="shared" si="11"/>
        <v>11.882848591999998</v>
      </c>
      <c r="K37" s="10"/>
    </row>
    <row r="38" spans="1:14" ht="15" customHeight="1" x14ac:dyDescent="0.3">
      <c r="B38" s="2">
        <v>45547.397222222222</v>
      </c>
      <c r="C38" s="2">
        <v>45547.406944444447</v>
      </c>
      <c r="D38" s="38">
        <f t="shared" si="7"/>
        <v>120.87708333333285</v>
      </c>
      <c r="E38" s="10">
        <v>0</v>
      </c>
      <c r="F38" s="51">
        <f t="shared" si="8"/>
        <v>14.00000000372529</v>
      </c>
      <c r="G38" s="51"/>
      <c r="H38" s="10">
        <f t="shared" si="9"/>
        <v>0</v>
      </c>
      <c r="I38" s="10">
        <f t="shared" si="10"/>
        <v>0</v>
      </c>
      <c r="J38" s="10">
        <f t="shared" si="11"/>
        <v>11.882848591999998</v>
      </c>
      <c r="K38" s="10"/>
    </row>
    <row r="39" spans="1:14" ht="15" customHeight="1" x14ac:dyDescent="0.3">
      <c r="B39" s="2">
        <v>45547.406944444447</v>
      </c>
      <c r="C39" s="2">
        <v>45551.420138888891</v>
      </c>
      <c r="D39" s="38">
        <f t="shared" si="7"/>
        <v>124.89027777777665</v>
      </c>
      <c r="E39" s="10">
        <v>0.3</v>
      </c>
      <c r="F39" s="51">
        <f t="shared" si="8"/>
        <v>5778.9999999990687</v>
      </c>
      <c r="G39" s="51"/>
      <c r="H39" s="10">
        <f t="shared" si="9"/>
        <v>0.96</v>
      </c>
      <c r="I39" s="10">
        <f t="shared" si="10"/>
        <v>1.7336999999997206E-3</v>
      </c>
      <c r="J39" s="10">
        <f t="shared" si="11"/>
        <v>11.884582291999997</v>
      </c>
      <c r="K39" s="10"/>
    </row>
    <row r="40" spans="1:14" ht="15" customHeight="1" x14ac:dyDescent="0.3">
      <c r="B40" s="2">
        <v>45551.420138888891</v>
      </c>
      <c r="C40" s="2">
        <v>45551.424305555556</v>
      </c>
      <c r="D40" s="38">
        <f t="shared" si="7"/>
        <v>124.89444444444234</v>
      </c>
      <c r="E40" s="10">
        <v>0</v>
      </c>
      <c r="F40" s="51">
        <f t="shared" ref="F40:F72" si="12">(C40-B40)*1440</f>
        <v>5.9999999986030161</v>
      </c>
      <c r="G40" s="51"/>
      <c r="H40" s="10">
        <f t="shared" ref="H40:H74" si="13">(E40*1440*1000)/((10^6)*0.45)</f>
        <v>0</v>
      </c>
      <c r="I40" s="10">
        <f t="shared" ref="I40:I64" si="14">E40*F40/(10^6)</f>
        <v>0</v>
      </c>
      <c r="J40" s="10">
        <f t="shared" ref="J40:J64" si="15">J39+I40</f>
        <v>11.884582291999997</v>
      </c>
      <c r="K40" s="10"/>
    </row>
    <row r="41" spans="1:14" ht="15" customHeight="1" x14ac:dyDescent="0.3">
      <c r="B41" s="2">
        <v>45551.424305555556</v>
      </c>
      <c r="C41" s="47">
        <v>45554.44027777778</v>
      </c>
      <c r="D41" s="38">
        <f t="shared" si="7"/>
        <v>127.9104166666657</v>
      </c>
      <c r="E41" s="10">
        <v>0.3</v>
      </c>
      <c r="F41" s="51">
        <f t="shared" si="12"/>
        <v>4343.0000000016298</v>
      </c>
      <c r="G41" s="51"/>
      <c r="H41" s="10">
        <f t="shared" si="13"/>
        <v>0.96</v>
      </c>
      <c r="I41" s="10">
        <f t="shared" si="14"/>
        <v>1.302900000000489E-3</v>
      </c>
      <c r="J41" s="10">
        <f t="shared" si="15"/>
        <v>11.885885191999998</v>
      </c>
      <c r="K41" s="10"/>
    </row>
    <row r="42" spans="1:14" ht="15" customHeight="1" x14ac:dyDescent="0.3">
      <c r="A42" t="s">
        <v>654</v>
      </c>
      <c r="B42" s="47">
        <v>45554.44027777778</v>
      </c>
      <c r="C42" s="2">
        <v>45558.392361111109</v>
      </c>
      <c r="D42" s="38">
        <f t="shared" si="7"/>
        <v>131.86249999999563</v>
      </c>
      <c r="E42" s="10">
        <v>0.3</v>
      </c>
      <c r="F42" s="51">
        <f t="shared" si="12"/>
        <v>5690.9999999951106</v>
      </c>
      <c r="G42" s="51"/>
      <c r="H42" s="10">
        <f t="shared" si="13"/>
        <v>0.96</v>
      </c>
      <c r="I42" s="10">
        <f t="shared" si="14"/>
        <v>1.7072999999985332E-3</v>
      </c>
      <c r="J42" s="10">
        <f t="shared" si="15"/>
        <v>11.887592491999996</v>
      </c>
      <c r="K42" s="10"/>
    </row>
    <row r="43" spans="1:14" ht="15" customHeight="1" x14ac:dyDescent="0.3">
      <c r="B43" s="2">
        <v>45558.392361111109</v>
      </c>
      <c r="C43" s="2">
        <v>45558.402083333334</v>
      </c>
      <c r="D43" s="38">
        <f t="shared" si="7"/>
        <v>131.87222222222044</v>
      </c>
      <c r="E43" s="10">
        <v>0</v>
      </c>
      <c r="F43" s="51">
        <f t="shared" si="12"/>
        <v>14.00000000372529</v>
      </c>
      <c r="G43" s="51"/>
      <c r="H43" s="10">
        <f t="shared" si="13"/>
        <v>0</v>
      </c>
      <c r="I43" s="10">
        <f t="shared" si="14"/>
        <v>0</v>
      </c>
      <c r="J43" s="10">
        <f t="shared" si="15"/>
        <v>11.887592491999996</v>
      </c>
      <c r="K43" s="10"/>
    </row>
    <row r="44" spans="1:14" ht="15" customHeight="1" x14ac:dyDescent="0.3">
      <c r="B44" s="2">
        <v>45558.402083333334</v>
      </c>
      <c r="C44" s="2">
        <v>45561.536805555559</v>
      </c>
      <c r="D44" s="38">
        <f t="shared" si="7"/>
        <v>135.00694444444525</v>
      </c>
      <c r="E44" s="10">
        <v>0.3</v>
      </c>
      <c r="F44" s="51">
        <f t="shared" si="12"/>
        <v>4514.0000000037253</v>
      </c>
      <c r="G44" s="51"/>
      <c r="H44" s="10">
        <f t="shared" si="13"/>
        <v>0.96</v>
      </c>
      <c r="I44" s="10">
        <f t="shared" si="14"/>
        <v>1.3542000000011177E-3</v>
      </c>
      <c r="J44" s="10">
        <f t="shared" si="15"/>
        <v>11.888946691999998</v>
      </c>
      <c r="K44" s="10"/>
    </row>
    <row r="45" spans="1:14" ht="15" customHeight="1" x14ac:dyDescent="0.3">
      <c r="B45" s="2">
        <v>45561.536805555559</v>
      </c>
      <c r="C45" s="2">
        <v>45561.552083333336</v>
      </c>
      <c r="D45" s="38">
        <f t="shared" si="7"/>
        <v>135.0222222222219</v>
      </c>
      <c r="E45" s="10">
        <v>0</v>
      </c>
      <c r="F45" s="51">
        <f t="shared" si="12"/>
        <v>21.999999998370185</v>
      </c>
      <c r="G45" s="51"/>
      <c r="H45" s="10">
        <f t="shared" si="13"/>
        <v>0</v>
      </c>
      <c r="I45" s="10">
        <f t="shared" si="14"/>
        <v>0</v>
      </c>
      <c r="J45" s="10">
        <f t="shared" si="15"/>
        <v>11.888946691999998</v>
      </c>
      <c r="K45" s="10"/>
    </row>
    <row r="46" spans="1:14" ht="15" customHeight="1" x14ac:dyDescent="0.3">
      <c r="B46" s="2">
        <v>45561.552083333336</v>
      </c>
      <c r="C46" s="2">
        <v>45565.42083333333</v>
      </c>
      <c r="D46" s="38">
        <f t="shared" si="7"/>
        <v>138.89097222221608</v>
      </c>
      <c r="E46" s="10">
        <v>0.3</v>
      </c>
      <c r="F46" s="51">
        <f t="shared" si="12"/>
        <v>5570.9999999916181</v>
      </c>
      <c r="G46" s="51"/>
      <c r="H46" s="10">
        <f t="shared" si="13"/>
        <v>0.96</v>
      </c>
      <c r="I46" s="10">
        <f t="shared" si="14"/>
        <v>1.6712999999974854E-3</v>
      </c>
      <c r="J46" s="10">
        <f t="shared" si="15"/>
        <v>11.890617991999996</v>
      </c>
      <c r="K46" s="10"/>
    </row>
    <row r="47" spans="1:14" ht="15" customHeight="1" x14ac:dyDescent="0.3">
      <c r="A47" s="71" t="s">
        <v>655</v>
      </c>
      <c r="B47" s="2">
        <v>45565.42083333333</v>
      </c>
      <c r="C47" s="2">
        <v>45565.431250000001</v>
      </c>
      <c r="D47" s="38">
        <f t="shared" si="7"/>
        <v>138.9013888888876</v>
      </c>
      <c r="E47" s="10">
        <v>0</v>
      </c>
      <c r="F47" s="51">
        <f t="shared" si="12"/>
        <v>15.000000006984919</v>
      </c>
      <c r="G47" s="51"/>
      <c r="H47" s="10">
        <f t="shared" si="13"/>
        <v>0</v>
      </c>
      <c r="I47" s="10">
        <f t="shared" si="14"/>
        <v>0</v>
      </c>
      <c r="J47" s="10">
        <f t="shared" si="15"/>
        <v>11.890617991999996</v>
      </c>
      <c r="K47" s="10"/>
    </row>
    <row r="48" spans="1:14" ht="15" customHeight="1" x14ac:dyDescent="0.3">
      <c r="B48" s="2">
        <v>45565.431250000001</v>
      </c>
      <c r="C48" s="2">
        <v>45568.435416666667</v>
      </c>
      <c r="D48" s="38">
        <f t="shared" si="7"/>
        <v>141.90555555555329</v>
      </c>
      <c r="E48" s="10">
        <v>0.3</v>
      </c>
      <c r="F48" s="51">
        <f t="shared" si="12"/>
        <v>4325.999999998603</v>
      </c>
      <c r="G48" s="51"/>
      <c r="H48" s="10">
        <f t="shared" si="13"/>
        <v>0.96</v>
      </c>
      <c r="I48" s="10">
        <f t="shared" si="14"/>
        <v>1.2977999999995808E-3</v>
      </c>
      <c r="J48" s="10">
        <f t="shared" si="15"/>
        <v>11.891915791999995</v>
      </c>
      <c r="K48" s="10"/>
    </row>
    <row r="49" spans="1:11" ht="15" customHeight="1" x14ac:dyDescent="0.3">
      <c r="B49" s="2">
        <v>45568.435416666667</v>
      </c>
      <c r="C49" s="2">
        <v>45568.447916666664</v>
      </c>
      <c r="D49" s="38">
        <f t="shared" si="7"/>
        <v>141.91805555555038</v>
      </c>
      <c r="E49" s="10">
        <v>0</v>
      </c>
      <c r="F49" s="51">
        <f t="shared" si="12"/>
        <v>17.999999995809048</v>
      </c>
      <c r="G49" s="51"/>
      <c r="H49" s="10">
        <f t="shared" si="13"/>
        <v>0</v>
      </c>
      <c r="I49" s="10">
        <f t="shared" si="14"/>
        <v>0</v>
      </c>
      <c r="J49" s="10">
        <f t="shared" si="15"/>
        <v>11.891915791999995</v>
      </c>
      <c r="K49" s="10"/>
    </row>
    <row r="50" spans="1:11" ht="15" customHeight="1" x14ac:dyDescent="0.3">
      <c r="B50" s="2">
        <v>45568.447916666664</v>
      </c>
      <c r="C50" s="2">
        <v>45572.345833333333</v>
      </c>
      <c r="D50" s="38">
        <f t="shared" si="7"/>
        <v>145.81597222221899</v>
      </c>
      <c r="E50" s="10">
        <v>0.3</v>
      </c>
      <c r="F50" s="51">
        <f t="shared" si="12"/>
        <v>5613.000000002794</v>
      </c>
      <c r="G50" s="51"/>
      <c r="H50" s="10">
        <f t="shared" si="13"/>
        <v>0.96</v>
      </c>
      <c r="I50" s="10">
        <f t="shared" si="14"/>
        <v>1.6839000000008382E-3</v>
      </c>
      <c r="J50" s="10">
        <f t="shared" si="15"/>
        <v>11.893599691999997</v>
      </c>
      <c r="K50" s="10"/>
    </row>
    <row r="51" spans="1:11" ht="15" customHeight="1" x14ac:dyDescent="0.3">
      <c r="B51" s="2">
        <v>45572.345833333333</v>
      </c>
      <c r="C51" s="2">
        <v>45572.35833333333</v>
      </c>
      <c r="D51" s="38">
        <f t="shared" si="7"/>
        <v>145.82847222221608</v>
      </c>
      <c r="E51" s="10">
        <v>0</v>
      </c>
      <c r="F51" s="51">
        <f t="shared" si="12"/>
        <v>17.999999995809048</v>
      </c>
      <c r="G51" s="51"/>
      <c r="H51" s="10">
        <f t="shared" si="13"/>
        <v>0</v>
      </c>
      <c r="I51" s="10">
        <f t="shared" si="14"/>
        <v>0</v>
      </c>
      <c r="J51" s="10">
        <f t="shared" si="15"/>
        <v>11.893599691999997</v>
      </c>
      <c r="K51" s="10"/>
    </row>
    <row r="52" spans="1:11" ht="15" customHeight="1" x14ac:dyDescent="0.3">
      <c r="B52" s="2">
        <v>45572.35833333333</v>
      </c>
      <c r="C52" s="2">
        <v>45577.550694444442</v>
      </c>
      <c r="D52" s="38">
        <f t="shared" si="7"/>
        <v>151.02083333332848</v>
      </c>
      <c r="E52" s="10">
        <v>0.3</v>
      </c>
      <c r="F52" s="51">
        <f t="shared" si="12"/>
        <v>7477.0000000018626</v>
      </c>
      <c r="G52" s="51"/>
      <c r="H52" s="10">
        <f t="shared" si="13"/>
        <v>0.96</v>
      </c>
      <c r="I52" s="10">
        <f t="shared" si="14"/>
        <v>2.2431000000005586E-3</v>
      </c>
      <c r="J52" s="10">
        <f t="shared" si="15"/>
        <v>11.895842791999998</v>
      </c>
      <c r="K52" s="10"/>
    </row>
    <row r="53" spans="1:11" ht="15" customHeight="1" x14ac:dyDescent="0.3">
      <c r="B53" s="2">
        <v>45577.550694444442</v>
      </c>
      <c r="C53" s="2">
        <v>45579.29583333333</v>
      </c>
      <c r="D53" s="38">
        <f t="shared" si="7"/>
        <v>152.76597222221608</v>
      </c>
      <c r="E53" s="10">
        <v>0.3</v>
      </c>
      <c r="F53" s="51">
        <f t="shared" si="12"/>
        <v>2512.9999999981374</v>
      </c>
      <c r="G53" s="51"/>
      <c r="H53" s="10">
        <f t="shared" si="13"/>
        <v>0.96</v>
      </c>
      <c r="I53" s="10">
        <f t="shared" si="14"/>
        <v>7.5389999999944126E-4</v>
      </c>
      <c r="J53" s="10">
        <f t="shared" si="15"/>
        <v>11.896596691999997</v>
      </c>
      <c r="K53" s="10"/>
    </row>
    <row r="54" spans="1:11" ht="15" customHeight="1" x14ac:dyDescent="0.3">
      <c r="B54" s="2">
        <v>45579.29583333333</v>
      </c>
      <c r="C54" s="2">
        <v>45579.725694444445</v>
      </c>
      <c r="D54" s="38">
        <f t="shared" si="7"/>
        <v>153.19583333333139</v>
      </c>
      <c r="E54" s="10">
        <v>0</v>
      </c>
      <c r="F54" s="51">
        <f t="shared" si="12"/>
        <v>619.0000000060536</v>
      </c>
      <c r="G54" s="51"/>
      <c r="H54" s="10">
        <f t="shared" si="13"/>
        <v>0</v>
      </c>
      <c r="I54" s="10">
        <f t="shared" si="14"/>
        <v>0</v>
      </c>
      <c r="J54" s="10">
        <f t="shared" si="15"/>
        <v>11.896596691999997</v>
      </c>
      <c r="K54" s="10"/>
    </row>
    <row r="55" spans="1:11" ht="15" customHeight="1" x14ac:dyDescent="0.3">
      <c r="B55" s="2">
        <v>45579.725694444445</v>
      </c>
      <c r="C55" s="2">
        <v>45580.534722222219</v>
      </c>
      <c r="D55" s="38">
        <f t="shared" si="7"/>
        <v>154.00486111110513</v>
      </c>
      <c r="E55" s="10">
        <v>0.3</v>
      </c>
      <c r="F55" s="51">
        <f t="shared" si="12"/>
        <v>1164.9999999941792</v>
      </c>
      <c r="G55" s="51"/>
      <c r="H55" s="10">
        <f t="shared" si="13"/>
        <v>0.96</v>
      </c>
      <c r="I55" s="10">
        <f t="shared" si="14"/>
        <v>3.4949999999825377E-4</v>
      </c>
      <c r="J55" s="10">
        <f t="shared" si="15"/>
        <v>11.896946191999996</v>
      </c>
      <c r="K55" s="10"/>
    </row>
    <row r="56" spans="1:11" ht="15" customHeight="1" x14ac:dyDescent="0.3">
      <c r="A56" s="71" t="s">
        <v>655</v>
      </c>
      <c r="B56" s="2">
        <v>45580.534722222219</v>
      </c>
      <c r="C56" s="2">
        <v>45580.545138888891</v>
      </c>
      <c r="D56" s="38">
        <f t="shared" si="7"/>
        <v>154.01527777777665</v>
      </c>
      <c r="E56" s="10">
        <v>0</v>
      </c>
      <c r="F56" s="51">
        <f t="shared" si="12"/>
        <v>15.000000006984919</v>
      </c>
      <c r="G56" s="51"/>
      <c r="H56" s="10">
        <f t="shared" si="13"/>
        <v>0</v>
      </c>
      <c r="I56" s="10">
        <f t="shared" si="14"/>
        <v>0</v>
      </c>
      <c r="J56" s="10">
        <f t="shared" si="15"/>
        <v>11.896946191999996</v>
      </c>
      <c r="K56" s="10"/>
    </row>
    <row r="57" spans="1:11" ht="15" customHeight="1" x14ac:dyDescent="0.3">
      <c r="B57" s="2">
        <v>45580.545138888891</v>
      </c>
      <c r="C57" s="2">
        <v>45582.34652777778</v>
      </c>
      <c r="D57" s="38">
        <f t="shared" si="7"/>
        <v>155.8166666666657</v>
      </c>
      <c r="E57" s="10">
        <v>0.3</v>
      </c>
      <c r="F57" s="51">
        <f t="shared" si="12"/>
        <v>2594.0000000002328</v>
      </c>
      <c r="G57" s="51"/>
      <c r="H57" s="10">
        <f t="shared" si="13"/>
        <v>0.96</v>
      </c>
      <c r="I57" s="10">
        <f t="shared" si="14"/>
        <v>7.7820000000006987E-4</v>
      </c>
      <c r="J57" s="10">
        <f t="shared" si="15"/>
        <v>11.897724391999997</v>
      </c>
      <c r="K57" s="10"/>
    </row>
    <row r="58" spans="1:11" ht="15" customHeight="1" x14ac:dyDescent="0.3">
      <c r="B58" s="2">
        <v>45582.34652777778</v>
      </c>
      <c r="C58" s="2">
        <v>45582.357638888891</v>
      </c>
      <c r="D58" s="38">
        <f t="shared" si="7"/>
        <v>155.82777777777665</v>
      </c>
      <c r="E58" s="10">
        <v>0</v>
      </c>
      <c r="F58" s="51">
        <f t="shared" si="12"/>
        <v>15.999999999767169</v>
      </c>
      <c r="G58" s="51"/>
      <c r="H58" s="10">
        <f t="shared" si="13"/>
        <v>0</v>
      </c>
      <c r="I58" s="10">
        <f t="shared" si="14"/>
        <v>0</v>
      </c>
      <c r="J58" s="10">
        <f t="shared" si="15"/>
        <v>11.897724391999997</v>
      </c>
      <c r="K58" s="10"/>
    </row>
    <row r="59" spans="1:11" ht="15" customHeight="1" x14ac:dyDescent="0.3">
      <c r="B59" s="2">
        <v>45582.357638888891</v>
      </c>
      <c r="C59" s="2">
        <v>45586.4375</v>
      </c>
      <c r="D59" s="38">
        <f t="shared" si="7"/>
        <v>159.90763888888614</v>
      </c>
      <c r="E59" s="10">
        <v>0.3</v>
      </c>
      <c r="F59" s="51">
        <f t="shared" si="12"/>
        <v>5874.9999999976717</v>
      </c>
      <c r="G59" s="51"/>
      <c r="H59" s="10">
        <f t="shared" si="13"/>
        <v>0.96</v>
      </c>
      <c r="I59" s="10">
        <f t="shared" si="14"/>
        <v>1.7624999999993015E-3</v>
      </c>
      <c r="J59" s="10">
        <f t="shared" si="15"/>
        <v>11.899486891999997</v>
      </c>
      <c r="K59" s="10"/>
    </row>
    <row r="60" spans="1:11" ht="15" customHeight="1" x14ac:dyDescent="0.3">
      <c r="B60" s="2">
        <v>45586.4375</v>
      </c>
      <c r="C60" s="2">
        <v>45586.450694444444</v>
      </c>
      <c r="D60" s="38">
        <f t="shared" si="7"/>
        <v>159.92083333332994</v>
      </c>
      <c r="E60" s="10">
        <v>0</v>
      </c>
      <c r="F60" s="51">
        <f t="shared" si="12"/>
        <v>18.999999999068677</v>
      </c>
      <c r="G60" s="51"/>
      <c r="H60" s="10">
        <f t="shared" si="13"/>
        <v>0</v>
      </c>
      <c r="I60" s="10">
        <f t="shared" si="14"/>
        <v>0</v>
      </c>
      <c r="J60" s="10">
        <f t="shared" si="15"/>
        <v>11.899486891999997</v>
      </c>
      <c r="K60" s="10"/>
    </row>
    <row r="61" spans="1:11" ht="15" customHeight="1" x14ac:dyDescent="0.3">
      <c r="B61" s="2">
        <v>45586.450694444444</v>
      </c>
      <c r="C61" s="2">
        <v>45586.502083333333</v>
      </c>
      <c r="D61" s="38">
        <f t="shared" si="7"/>
        <v>159.97222222221899</v>
      </c>
      <c r="E61" s="10">
        <v>0.3</v>
      </c>
      <c r="F61" s="51">
        <f t="shared" si="12"/>
        <v>74.000000000232831</v>
      </c>
      <c r="G61" s="51"/>
      <c r="H61" s="10">
        <f t="shared" si="13"/>
        <v>0.96</v>
      </c>
      <c r="I61" s="10">
        <f t="shared" si="14"/>
        <v>2.2200000000069851E-5</v>
      </c>
      <c r="J61" s="10">
        <f t="shared" si="15"/>
        <v>11.899509091999997</v>
      </c>
      <c r="K61" s="10"/>
    </row>
    <row r="62" spans="1:11" ht="15" customHeight="1" x14ac:dyDescent="0.3">
      <c r="B62" s="2">
        <v>45586.502083333333</v>
      </c>
      <c r="C62" s="2">
        <v>45587.71597222222</v>
      </c>
      <c r="D62" s="38">
        <f t="shared" si="7"/>
        <v>161.18611111110658</v>
      </c>
      <c r="E62" s="10">
        <v>0.4</v>
      </c>
      <c r="F62" s="51">
        <f t="shared" si="12"/>
        <v>1747.9999999981374</v>
      </c>
      <c r="G62" s="51"/>
      <c r="H62" s="10">
        <f t="shared" si="13"/>
        <v>1.28</v>
      </c>
      <c r="I62" s="10">
        <f t="shared" si="14"/>
        <v>6.9919999999925491E-4</v>
      </c>
      <c r="J62" s="10">
        <f t="shared" si="15"/>
        <v>11.900208291999997</v>
      </c>
      <c r="K62" s="10"/>
    </row>
    <row r="63" spans="1:11" ht="15" customHeight="1" x14ac:dyDescent="0.3">
      <c r="B63" s="2">
        <v>45587.71597222222</v>
      </c>
      <c r="C63" s="2">
        <v>45588.509027777778</v>
      </c>
      <c r="D63" s="38">
        <f>C69-$B$4</f>
        <v>169.94861111111095</v>
      </c>
      <c r="E63" s="10">
        <v>0.35</v>
      </c>
      <c r="F63" s="51">
        <f>(C69-B63)*1440</f>
        <v>12618.000000006286</v>
      </c>
      <c r="G63" s="51"/>
      <c r="H63" s="10">
        <f t="shared" si="13"/>
        <v>1.1199999999999999</v>
      </c>
      <c r="I63" s="10">
        <f t="shared" si="14"/>
        <v>4.4163000000022002E-3</v>
      </c>
      <c r="J63" s="10">
        <f t="shared" si="15"/>
        <v>11.904624591999999</v>
      </c>
      <c r="K63" s="10"/>
    </row>
    <row r="64" spans="1:11" ht="15" customHeight="1" x14ac:dyDescent="0.3">
      <c r="B64" s="2">
        <v>45588.509027777778</v>
      </c>
      <c r="C64" s="2">
        <v>45589.461111111108</v>
      </c>
      <c r="D64" s="38">
        <f t="shared" si="7"/>
        <v>162.93124999999418</v>
      </c>
      <c r="E64" s="10">
        <v>0.3</v>
      </c>
      <c r="F64" s="51">
        <f t="shared" si="12"/>
        <v>1370.9999999951106</v>
      </c>
      <c r="G64" s="51"/>
      <c r="H64" s="10">
        <f t="shared" si="13"/>
        <v>0.96</v>
      </c>
      <c r="I64" s="10">
        <f t="shared" si="14"/>
        <v>4.1129999999853315E-4</v>
      </c>
      <c r="J64" s="10">
        <f t="shared" si="15"/>
        <v>11.905035891999997</v>
      </c>
      <c r="K64" s="10"/>
    </row>
    <row r="65" spans="2:10" ht="15" customHeight="1" x14ac:dyDescent="0.3">
      <c r="B65" s="2">
        <v>45589.461111111108</v>
      </c>
      <c r="C65" s="2">
        <v>45589.470138888886</v>
      </c>
      <c r="D65" s="38">
        <f t="shared" si="7"/>
        <v>162.94027777777228</v>
      </c>
      <c r="E65" s="10">
        <v>0</v>
      </c>
      <c r="F65" s="51">
        <f t="shared" si="12"/>
        <v>13.000000000465661</v>
      </c>
      <c r="H65" s="10">
        <f t="shared" si="13"/>
        <v>0</v>
      </c>
      <c r="I65" s="10">
        <f t="shared" ref="I65:I76" si="16">E65*F65/(10^6)</f>
        <v>0</v>
      </c>
      <c r="J65" s="10">
        <f t="shared" ref="J65:J76" si="17">J64+I65</f>
        <v>11.905035891999997</v>
      </c>
    </row>
    <row r="66" spans="2:10" ht="15" customHeight="1" x14ac:dyDescent="0.3">
      <c r="B66" s="2">
        <v>45589.470138888886</v>
      </c>
      <c r="C66" s="2">
        <v>45593.356249999997</v>
      </c>
      <c r="D66" s="38">
        <f t="shared" si="7"/>
        <v>166.82638888888323</v>
      </c>
      <c r="E66" s="10">
        <v>0.3</v>
      </c>
      <c r="F66" s="51">
        <f t="shared" si="12"/>
        <v>5595.9999999997672</v>
      </c>
      <c r="H66" s="10">
        <f t="shared" si="13"/>
        <v>0.96</v>
      </c>
      <c r="I66" s="10">
        <f t="shared" si="16"/>
        <v>1.6787999999999302E-3</v>
      </c>
      <c r="J66" s="10">
        <f t="shared" si="17"/>
        <v>11.906714691999998</v>
      </c>
    </row>
    <row r="67" spans="2:10" ht="15" customHeight="1" x14ac:dyDescent="0.3">
      <c r="B67" s="2">
        <v>45593.356249999997</v>
      </c>
      <c r="C67" s="2">
        <v>45593.365972222222</v>
      </c>
      <c r="D67" s="38">
        <f t="shared" si="7"/>
        <v>166.83611111110804</v>
      </c>
      <c r="E67" s="10">
        <v>0</v>
      </c>
      <c r="F67" s="51">
        <f t="shared" si="12"/>
        <v>14.00000000372529</v>
      </c>
      <c r="H67" s="10">
        <f t="shared" si="13"/>
        <v>0</v>
      </c>
      <c r="I67" s="10">
        <f t="shared" si="16"/>
        <v>0</v>
      </c>
      <c r="J67" s="10">
        <f t="shared" si="17"/>
        <v>11.906714691999998</v>
      </c>
    </row>
    <row r="68" spans="2:10" ht="15" customHeight="1" x14ac:dyDescent="0.3">
      <c r="B68" s="2">
        <v>45593.365972222222</v>
      </c>
      <c r="C68" s="2">
        <v>45594.620138888888</v>
      </c>
      <c r="D68" s="38">
        <f t="shared" si="7"/>
        <v>168.09027777777374</v>
      </c>
      <c r="E68" s="10">
        <v>0.3</v>
      </c>
      <c r="F68" s="51">
        <f t="shared" si="12"/>
        <v>1805.999999998603</v>
      </c>
      <c r="H68" s="10">
        <f t="shared" si="13"/>
        <v>0.96</v>
      </c>
      <c r="I68" s="10">
        <f t="shared" si="16"/>
        <v>5.417999999995809E-4</v>
      </c>
      <c r="J68" s="10">
        <f t="shared" si="17"/>
        <v>11.907256491999997</v>
      </c>
    </row>
    <row r="69" spans="2:10" ht="15" customHeight="1" x14ac:dyDescent="0.3">
      <c r="B69" s="2">
        <v>45594.620138888888</v>
      </c>
      <c r="C69" s="82">
        <v>45596.478472222225</v>
      </c>
      <c r="D69" s="38">
        <f t="shared" si="7"/>
        <v>169.94861111111095</v>
      </c>
      <c r="E69" s="10">
        <v>0.33700000000000002</v>
      </c>
      <c r="F69" s="51">
        <f t="shared" si="12"/>
        <v>2676.0000000055879</v>
      </c>
      <c r="H69" s="10">
        <f t="shared" si="13"/>
        <v>1.0784</v>
      </c>
      <c r="I69" s="10">
        <f t="shared" si="16"/>
        <v>9.0181200000188325E-4</v>
      </c>
      <c r="J69" s="10">
        <f t="shared" si="17"/>
        <v>11.908158303999999</v>
      </c>
    </row>
    <row r="70" spans="2:10" ht="15" customHeight="1" x14ac:dyDescent="0.3">
      <c r="B70" s="82">
        <v>45596.478472222225</v>
      </c>
      <c r="C70" s="82">
        <v>45596.487500000003</v>
      </c>
      <c r="D70" s="38">
        <f t="shared" si="7"/>
        <v>169.95763888888905</v>
      </c>
      <c r="E70" s="10">
        <v>0</v>
      </c>
      <c r="F70" s="51">
        <f t="shared" si="12"/>
        <v>13.000000000465661</v>
      </c>
      <c r="H70" s="10">
        <f t="shared" si="13"/>
        <v>0</v>
      </c>
      <c r="I70" s="10">
        <f t="shared" si="16"/>
        <v>0</v>
      </c>
      <c r="J70" s="10">
        <f t="shared" si="17"/>
        <v>11.908158303999999</v>
      </c>
    </row>
    <row r="71" spans="2:10" ht="15" customHeight="1" x14ac:dyDescent="0.3">
      <c r="B71" s="82">
        <v>45596.487500000003</v>
      </c>
      <c r="C71" s="82">
        <v>45596.655555555553</v>
      </c>
      <c r="D71" s="38">
        <f t="shared" si="7"/>
        <v>170.12569444443943</v>
      </c>
      <c r="E71" s="10">
        <v>0.33700000000000002</v>
      </c>
      <c r="F71" s="51">
        <f t="shared" si="12"/>
        <v>241.99999999254942</v>
      </c>
      <c r="H71" s="10">
        <f t="shared" si="13"/>
        <v>1.0784</v>
      </c>
      <c r="I71" s="10">
        <f t="shared" si="16"/>
        <v>8.1553999997489163E-5</v>
      </c>
      <c r="J71" s="10">
        <f t="shared" si="17"/>
        <v>11.908239857999996</v>
      </c>
    </row>
    <row r="72" spans="2:10" ht="15" customHeight="1" x14ac:dyDescent="0.3">
      <c r="B72" s="82">
        <v>45596.655555555553</v>
      </c>
      <c r="C72" s="82">
        <v>45596.65902777778</v>
      </c>
      <c r="D72" s="38">
        <f t="shared" si="7"/>
        <v>170.1291666666657</v>
      </c>
      <c r="E72" s="10">
        <v>0</v>
      </c>
      <c r="F72" s="51">
        <f t="shared" si="12"/>
        <v>5.0000000058207661</v>
      </c>
      <c r="H72" s="10">
        <f t="shared" si="13"/>
        <v>0</v>
      </c>
      <c r="I72" s="10">
        <f t="shared" si="16"/>
        <v>0</v>
      </c>
      <c r="J72" s="10">
        <f t="shared" si="17"/>
        <v>11.908239857999996</v>
      </c>
    </row>
    <row r="73" spans="2:10" ht="15" customHeight="1" x14ac:dyDescent="0.3">
      <c r="B73" s="82">
        <v>45596.65902777778</v>
      </c>
      <c r="C73" s="82">
        <v>45600.40347222222</v>
      </c>
      <c r="D73" s="38">
        <f t="shared" si="7"/>
        <v>173.87361111110658</v>
      </c>
      <c r="E73" s="10">
        <v>0.33700000000000002</v>
      </c>
      <c r="H73" s="10">
        <f t="shared" si="13"/>
        <v>1.0784</v>
      </c>
      <c r="I73" s="10">
        <f t="shared" si="16"/>
        <v>0</v>
      </c>
      <c r="J73" s="10">
        <f t="shared" si="17"/>
        <v>11.908239857999996</v>
      </c>
    </row>
    <row r="74" spans="2:10" ht="15" customHeight="1" x14ac:dyDescent="0.3">
      <c r="B74" s="82">
        <v>45600.40347222222</v>
      </c>
      <c r="C74" s="82">
        <v>45600.406944444447</v>
      </c>
      <c r="D74" s="38">
        <f t="shared" si="7"/>
        <v>173.87708333333285</v>
      </c>
      <c r="E74" s="10">
        <v>0</v>
      </c>
      <c r="H74" s="10">
        <f t="shared" si="13"/>
        <v>0</v>
      </c>
      <c r="I74" s="10">
        <f t="shared" si="16"/>
        <v>0</v>
      </c>
      <c r="J74" s="10">
        <f t="shared" si="17"/>
        <v>11.908239857999996</v>
      </c>
    </row>
    <row r="75" spans="2:10" ht="15" customHeight="1" x14ac:dyDescent="0.3">
      <c r="B75" s="82"/>
      <c r="C75" s="82"/>
      <c r="I75" s="10">
        <f t="shared" si="16"/>
        <v>0</v>
      </c>
      <c r="J75" s="10">
        <f t="shared" si="17"/>
        <v>11.908239857999996</v>
      </c>
    </row>
    <row r="76" spans="2:10" ht="15" customHeight="1" x14ac:dyDescent="0.3">
      <c r="B76" s="82"/>
      <c r="C76" s="82"/>
      <c r="I76" s="10">
        <f t="shared" si="16"/>
        <v>0</v>
      </c>
      <c r="J76" s="10">
        <f t="shared" si="17"/>
        <v>11.908239857999996</v>
      </c>
    </row>
    <row r="77" spans="2:10" ht="15" customHeight="1" x14ac:dyDescent="0.3">
      <c r="B77" s="82"/>
      <c r="C77" s="82"/>
    </row>
    <row r="78" spans="2:10" ht="15" customHeight="1" x14ac:dyDescent="0.3">
      <c r="B78" s="82"/>
      <c r="C78" s="82"/>
    </row>
    <row r="79" spans="2:10" ht="15" customHeight="1" x14ac:dyDescent="0.3">
      <c r="B79" s="82"/>
      <c r="C79" s="82"/>
    </row>
    <row r="80" spans="2:10" ht="15" customHeight="1" x14ac:dyDescent="0.3">
      <c r="B80" s="82"/>
      <c r="C80" s="82"/>
    </row>
    <row r="81" spans="2:3" ht="15" customHeight="1" x14ac:dyDescent="0.3">
      <c r="B81" s="82"/>
      <c r="C81" s="82"/>
    </row>
    <row r="82" spans="2:3" ht="15" customHeight="1" x14ac:dyDescent="0.3">
      <c r="B82" s="82"/>
      <c r="C82" s="82"/>
    </row>
    <row r="83" spans="2:3" ht="15" customHeight="1" x14ac:dyDescent="0.3">
      <c r="B83" s="82"/>
      <c r="C83" s="82"/>
    </row>
    <row r="84" spans="2:3" ht="15" customHeight="1" x14ac:dyDescent="0.3">
      <c r="B84" s="82"/>
      <c r="C84" s="82"/>
    </row>
    <row r="85" spans="2:3" ht="15" customHeight="1" x14ac:dyDescent="0.3">
      <c r="B85" s="82"/>
      <c r="C85" s="82"/>
    </row>
    <row r="86" spans="2:3" ht="15" customHeight="1" x14ac:dyDescent="0.3">
      <c r="B86" s="82"/>
      <c r="C86" s="82"/>
    </row>
    <row r="87" spans="2:3" ht="15" customHeight="1" x14ac:dyDescent="0.3">
      <c r="B87" s="82"/>
      <c r="C87" s="82"/>
    </row>
    <row r="88" spans="2:3" ht="15" customHeight="1" x14ac:dyDescent="0.3">
      <c r="B88" s="82"/>
      <c r="C88" s="82"/>
    </row>
    <row r="89" spans="2:3" ht="15" customHeight="1" x14ac:dyDescent="0.3">
      <c r="B89" s="82"/>
      <c r="C89" s="82"/>
    </row>
    <row r="90" spans="2:3" ht="15" customHeight="1" x14ac:dyDescent="0.3">
      <c r="B90" s="82"/>
      <c r="C90" s="82"/>
    </row>
    <row r="91" spans="2:3" ht="15" customHeight="1" x14ac:dyDescent="0.3">
      <c r="B91" s="82"/>
      <c r="C91" s="82"/>
    </row>
    <row r="92" spans="2:3" ht="15" customHeight="1" x14ac:dyDescent="0.3">
      <c r="B92" s="82"/>
      <c r="C92" s="82"/>
    </row>
    <row r="93" spans="2:3" ht="15" customHeight="1" x14ac:dyDescent="0.3">
      <c r="B93" s="82"/>
      <c r="C93" s="82"/>
    </row>
    <row r="94" spans="2:3" ht="15" customHeight="1" x14ac:dyDescent="0.3">
      <c r="B94" s="82"/>
      <c r="C94" s="82"/>
    </row>
    <row r="95" spans="2:3" ht="15" customHeight="1" x14ac:dyDescent="0.3">
      <c r="B95" s="82"/>
      <c r="C95" s="82"/>
    </row>
    <row r="96" spans="2:3" ht="15" customHeight="1" x14ac:dyDescent="0.3">
      <c r="B96" s="82"/>
      <c r="C96" s="82"/>
    </row>
    <row r="97" spans="2:3" ht="15" customHeight="1" x14ac:dyDescent="0.3">
      <c r="B97" s="82"/>
      <c r="C97" s="82"/>
    </row>
    <row r="98" spans="2:3" ht="15" customHeight="1" x14ac:dyDescent="0.3">
      <c r="B98" s="82"/>
      <c r="C98" s="82"/>
    </row>
    <row r="99" spans="2:3" ht="15" customHeight="1" x14ac:dyDescent="0.3">
      <c r="B99" s="82"/>
      <c r="C99" s="82"/>
    </row>
    <row r="100" spans="2:3" ht="15" customHeight="1" x14ac:dyDescent="0.3">
      <c r="B100" s="82"/>
      <c r="C100" s="82"/>
    </row>
    <row r="101" spans="2:3" ht="15" customHeight="1" x14ac:dyDescent="0.3">
      <c r="B101" s="82"/>
      <c r="C101" s="82"/>
    </row>
    <row r="102" spans="2:3" ht="15" customHeight="1" x14ac:dyDescent="0.3">
      <c r="B102" s="82"/>
      <c r="C102" s="82"/>
    </row>
    <row r="103" spans="2:3" ht="15" customHeight="1" x14ac:dyDescent="0.3">
      <c r="B103" s="82"/>
      <c r="C103" s="82"/>
    </row>
    <row r="104" spans="2:3" ht="15" customHeight="1" x14ac:dyDescent="0.3">
      <c r="B104" s="82"/>
      <c r="C104" s="82"/>
    </row>
    <row r="105" spans="2:3" ht="15" customHeight="1" x14ac:dyDescent="0.3">
      <c r="B105" s="82"/>
      <c r="C105" s="82"/>
    </row>
    <row r="106" spans="2:3" ht="15" customHeight="1" x14ac:dyDescent="0.3">
      <c r="B106" s="82"/>
      <c r="C106" s="82"/>
    </row>
    <row r="107" spans="2:3" ht="15" customHeight="1" x14ac:dyDescent="0.3">
      <c r="B107" s="82"/>
      <c r="C107" s="82"/>
    </row>
    <row r="108" spans="2:3" ht="15" customHeight="1" x14ac:dyDescent="0.3">
      <c r="B108" s="82"/>
      <c r="C108" s="82"/>
    </row>
    <row r="109" spans="2:3" ht="15" customHeight="1" x14ac:dyDescent="0.3">
      <c r="B109" s="82"/>
      <c r="C109" s="82"/>
    </row>
    <row r="110" spans="2:3" ht="15" customHeight="1" x14ac:dyDescent="0.3">
      <c r="B110" s="82"/>
      <c r="C110" s="82"/>
    </row>
    <row r="111" spans="2:3" ht="15" customHeight="1" x14ac:dyDescent="0.3">
      <c r="B111" s="82"/>
      <c r="C111" s="82"/>
    </row>
    <row r="112" spans="2:3" ht="15" customHeight="1" x14ac:dyDescent="0.3">
      <c r="B112" s="82"/>
      <c r="C112" s="82"/>
    </row>
    <row r="113" spans="2:3" ht="15" customHeight="1" x14ac:dyDescent="0.3">
      <c r="B113" s="82"/>
      <c r="C113" s="82"/>
    </row>
    <row r="114" spans="2:3" ht="15" customHeight="1" x14ac:dyDescent="0.3">
      <c r="B114" s="82"/>
      <c r="C114" s="82"/>
    </row>
    <row r="115" spans="2:3" ht="15" customHeight="1" x14ac:dyDescent="0.3">
      <c r="B115" s="82"/>
      <c r="C115" s="82"/>
    </row>
    <row r="116" spans="2:3" ht="15" customHeight="1" x14ac:dyDescent="0.3">
      <c r="B116" s="82"/>
      <c r="C116" s="82"/>
    </row>
    <row r="117" spans="2:3" ht="15" customHeight="1" x14ac:dyDescent="0.3">
      <c r="B117" s="82"/>
      <c r="C117" s="82"/>
    </row>
    <row r="118" spans="2:3" ht="15" customHeight="1" x14ac:dyDescent="0.3">
      <c r="B118" s="82"/>
      <c r="C118" s="82"/>
    </row>
    <row r="119" spans="2:3" ht="15" customHeight="1" x14ac:dyDescent="0.3">
      <c r="B119" s="82"/>
      <c r="C119" s="82"/>
    </row>
    <row r="120" spans="2:3" ht="15" customHeight="1" x14ac:dyDescent="0.3">
      <c r="B120" s="82"/>
      <c r="C120" s="82"/>
    </row>
    <row r="121" spans="2:3" ht="15" customHeight="1" x14ac:dyDescent="0.3">
      <c r="B121" s="82"/>
      <c r="C121" s="82"/>
    </row>
    <row r="122" spans="2:3" ht="15" customHeight="1" x14ac:dyDescent="0.3">
      <c r="B122" s="82"/>
      <c r="C122" s="82"/>
    </row>
    <row r="123" spans="2:3" ht="15" customHeight="1" x14ac:dyDescent="0.3">
      <c r="B123" s="82"/>
      <c r="C123" s="82"/>
    </row>
    <row r="124" spans="2:3" ht="15" customHeight="1" x14ac:dyDescent="0.3">
      <c r="B124" s="82"/>
      <c r="C124" s="82"/>
    </row>
    <row r="125" spans="2:3" ht="15" customHeight="1" x14ac:dyDescent="0.3">
      <c r="B125" s="82"/>
      <c r="C125" s="82"/>
    </row>
    <row r="126" spans="2:3" ht="15" customHeight="1" x14ac:dyDescent="0.3">
      <c r="B126" s="82"/>
      <c r="C126" s="82"/>
    </row>
    <row r="127" spans="2:3" ht="15" customHeight="1" x14ac:dyDescent="0.3">
      <c r="B127" s="82"/>
      <c r="C127" s="82"/>
    </row>
    <row r="128" spans="2:3" ht="15" customHeight="1" x14ac:dyDescent="0.3">
      <c r="B128" s="82"/>
      <c r="C128" s="82"/>
    </row>
    <row r="129" spans="2:2" ht="15" customHeight="1" x14ac:dyDescent="0.3">
      <c r="B129" s="8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5BB4-069A-4797-9F0D-58BF488B1926}">
  <dimension ref="A1:O54"/>
  <sheetViews>
    <sheetView workbookViewId="0">
      <selection activeCell="I18" sqref="I18"/>
    </sheetView>
  </sheetViews>
  <sheetFormatPr defaultRowHeight="15" customHeight="1" x14ac:dyDescent="0.3"/>
  <cols>
    <col min="1" max="1" width="17.88671875" customWidth="1"/>
    <col min="2" max="2" width="21" customWidth="1"/>
    <col min="3" max="3" width="0.109375" customWidth="1"/>
    <col min="4" max="4" width="16.88671875" customWidth="1"/>
    <col min="5" max="5" width="6.44140625" style="5" customWidth="1"/>
    <col min="6" max="6" width="7.33203125" customWidth="1"/>
    <col min="12" max="12" width="10.44140625" bestFit="1" customWidth="1"/>
  </cols>
  <sheetData>
    <row r="1" spans="1:14" ht="15" customHeight="1" x14ac:dyDescent="0.3">
      <c r="A1" s="2">
        <v>45468</v>
      </c>
      <c r="B1" s="39">
        <f>A1-$A$3</f>
        <v>41.470833333332848</v>
      </c>
      <c r="C1" s="39"/>
      <c r="D1">
        <v>115</v>
      </c>
      <c r="E1">
        <v>570</v>
      </c>
      <c r="F1">
        <v>631</v>
      </c>
      <c r="G1">
        <v>169</v>
      </c>
      <c r="J1">
        <f>SUM(F1,H1)</f>
        <v>631</v>
      </c>
      <c r="K1">
        <f>SUM(G1,I1)</f>
        <v>169</v>
      </c>
    </row>
    <row r="2" spans="1:14" ht="15" customHeight="1" x14ac:dyDescent="0.3">
      <c r="A2" s="2">
        <v>45495.416666666664</v>
      </c>
      <c r="B2" s="39">
        <f>A2-$A$3</f>
        <v>68.88749999999709</v>
      </c>
      <c r="C2" s="39">
        <f>ROUND(B2,0.5)</f>
        <v>69</v>
      </c>
      <c r="D2">
        <v>397</v>
      </c>
      <c r="E2">
        <v>281</v>
      </c>
      <c r="F2">
        <v>-803</v>
      </c>
      <c r="G2">
        <v>103</v>
      </c>
      <c r="J2">
        <f>SUM(F2,H2)</f>
        <v>-803</v>
      </c>
      <c r="K2">
        <f>SUM(G2,I2)</f>
        <v>103</v>
      </c>
    </row>
    <row r="3" spans="1:14" ht="14.4" x14ac:dyDescent="0.3">
      <c r="A3" s="2">
        <v>45426.529166666667</v>
      </c>
    </row>
    <row r="4" spans="1:14" ht="14.4" customHeight="1" x14ac:dyDescent="0.3">
      <c r="D4" s="48" t="s">
        <v>466</v>
      </c>
      <c r="E4" s="3"/>
      <c r="F4" s="48" t="s">
        <v>656</v>
      </c>
      <c r="G4" s="3"/>
      <c r="H4" s="48" t="s">
        <v>468</v>
      </c>
      <c r="I4" s="3"/>
      <c r="J4" s="48" t="s">
        <v>657</v>
      </c>
      <c r="M4" t="s">
        <v>658</v>
      </c>
    </row>
    <row r="5" spans="1:14" ht="14.4" x14ac:dyDescent="0.3">
      <c r="A5" s="49" t="s">
        <v>353</v>
      </c>
      <c r="B5" s="49" t="s">
        <v>465</v>
      </c>
      <c r="C5" s="49" t="s">
        <v>341</v>
      </c>
      <c r="D5" s="26" t="s">
        <v>357</v>
      </c>
      <c r="E5" s="27" t="s">
        <v>358</v>
      </c>
      <c r="F5" s="26" t="s">
        <v>357</v>
      </c>
      <c r="G5" s="27" t="s">
        <v>358</v>
      </c>
      <c r="H5" s="26" t="s">
        <v>357</v>
      </c>
      <c r="I5" s="27" t="s">
        <v>358</v>
      </c>
      <c r="J5" s="26" t="s">
        <v>357</v>
      </c>
      <c r="K5" s="27" t="s">
        <v>358</v>
      </c>
      <c r="M5" t="s">
        <v>357</v>
      </c>
      <c r="N5" t="s">
        <v>358</v>
      </c>
    </row>
    <row r="6" spans="1:14" ht="14.4" x14ac:dyDescent="0.3">
      <c r="A6" s="4">
        <v>45443</v>
      </c>
      <c r="B6" s="39">
        <f>A6-$A$3</f>
        <v>16.470833333332848</v>
      </c>
      <c r="C6" s="39">
        <f>ROUND(B6,0.5)</f>
        <v>16</v>
      </c>
      <c r="D6" s="21"/>
      <c r="E6" s="10"/>
      <c r="F6" s="21"/>
      <c r="G6" s="10"/>
      <c r="H6" s="21"/>
      <c r="I6" s="10"/>
      <c r="J6" s="21">
        <f>SUM(F6,H6)</f>
        <v>0</v>
      </c>
      <c r="K6" s="10">
        <f>SUM(G6,I6)</f>
        <v>0</v>
      </c>
      <c r="L6" s="4">
        <v>45499</v>
      </c>
      <c r="M6">
        <v>1128</v>
      </c>
      <c r="N6">
        <v>944</v>
      </c>
    </row>
    <row r="7" spans="1:14" ht="14.4" x14ac:dyDescent="0.3">
      <c r="A7" s="2">
        <v>45464.663888888892</v>
      </c>
      <c r="B7" s="39">
        <f t="shared" ref="B7:B51" si="0">A7-$A$3</f>
        <v>38.134722222224809</v>
      </c>
      <c r="C7" s="39">
        <f t="shared" ref="C7:C15" si="1">ROUND(B7,0.5)</f>
        <v>38</v>
      </c>
      <c r="D7" s="21">
        <v>383</v>
      </c>
      <c r="E7" s="10">
        <v>253</v>
      </c>
      <c r="F7" s="21"/>
      <c r="G7" s="10"/>
      <c r="H7" s="21">
        <v>304</v>
      </c>
      <c r="I7" s="10">
        <v>198</v>
      </c>
      <c r="J7" s="21">
        <f t="shared" ref="J7:J16" si="2">SUM(F7,H7)</f>
        <v>304</v>
      </c>
      <c r="K7" s="10">
        <f t="shared" ref="K7:K16" si="3">SUM(G7,I7)</f>
        <v>198</v>
      </c>
      <c r="L7">
        <f>E7/D7</f>
        <v>0.66057441253263705</v>
      </c>
    </row>
    <row r="8" spans="1:14" ht="14.4" x14ac:dyDescent="0.3">
      <c r="A8" s="2">
        <v>45468.443055555559</v>
      </c>
      <c r="B8" s="39">
        <f t="shared" si="0"/>
        <v>41.913888888891961</v>
      </c>
      <c r="C8" s="39">
        <f t="shared" si="1"/>
        <v>42</v>
      </c>
      <c r="D8" s="21">
        <v>1078</v>
      </c>
      <c r="E8" s="10">
        <v>804</v>
      </c>
      <c r="F8" s="21">
        <v>272</v>
      </c>
      <c r="G8" s="10">
        <v>214</v>
      </c>
      <c r="H8" s="21"/>
      <c r="I8" s="10"/>
      <c r="J8" s="21">
        <f t="shared" si="2"/>
        <v>272</v>
      </c>
      <c r="K8" s="10">
        <f t="shared" si="3"/>
        <v>214</v>
      </c>
      <c r="L8">
        <f t="shared" ref="L8:L41" si="4">E8/D8</f>
        <v>0.74582560296846012</v>
      </c>
    </row>
    <row r="9" spans="1:14" ht="14.4" x14ac:dyDescent="0.3">
      <c r="A9" s="2">
        <v>45475.386805555558</v>
      </c>
      <c r="B9" s="39">
        <f t="shared" si="0"/>
        <v>48.857638888890506</v>
      </c>
      <c r="C9" s="39">
        <f t="shared" si="1"/>
        <v>49</v>
      </c>
      <c r="D9" s="21">
        <v>449</v>
      </c>
      <c r="E9" s="10">
        <v>497</v>
      </c>
      <c r="F9" s="21">
        <v>112</v>
      </c>
      <c r="G9" s="10">
        <v>75</v>
      </c>
      <c r="H9" s="21"/>
      <c r="I9" s="10"/>
      <c r="J9" s="21">
        <f t="shared" si="2"/>
        <v>112</v>
      </c>
      <c r="K9" s="10">
        <f t="shared" si="3"/>
        <v>75</v>
      </c>
      <c r="L9">
        <f t="shared" si="4"/>
        <v>1.1069042316258353</v>
      </c>
    </row>
    <row r="10" spans="1:14" ht="14.4" x14ac:dyDescent="0.3">
      <c r="A10" s="2">
        <v>45478.478472222225</v>
      </c>
      <c r="B10" s="39">
        <f t="shared" si="0"/>
        <v>51.949305555557657</v>
      </c>
      <c r="C10" s="39">
        <f t="shared" si="1"/>
        <v>52</v>
      </c>
      <c r="D10" s="21">
        <v>428</v>
      </c>
      <c r="E10" s="10">
        <v>272</v>
      </c>
      <c r="F10" s="21">
        <v>196</v>
      </c>
      <c r="G10" s="10">
        <v>143</v>
      </c>
      <c r="H10" s="21"/>
      <c r="I10" s="10"/>
      <c r="J10" s="21">
        <f t="shared" si="2"/>
        <v>196</v>
      </c>
      <c r="K10" s="10">
        <f t="shared" si="3"/>
        <v>143</v>
      </c>
      <c r="L10">
        <f t="shared" si="4"/>
        <v>0.63551401869158874</v>
      </c>
    </row>
    <row r="11" spans="1:14" ht="14.4" x14ac:dyDescent="0.3">
      <c r="A11" s="2">
        <v>45482.376388888886</v>
      </c>
      <c r="B11" s="39">
        <f t="shared" si="0"/>
        <v>55.847222222218988</v>
      </c>
      <c r="C11" s="39">
        <f t="shared" si="1"/>
        <v>56</v>
      </c>
      <c r="D11" s="21">
        <v>492</v>
      </c>
      <c r="E11" s="10">
        <v>322</v>
      </c>
      <c r="F11" s="21">
        <v>168</v>
      </c>
      <c r="G11" s="10">
        <v>139</v>
      </c>
      <c r="H11" s="21"/>
      <c r="I11" s="10"/>
      <c r="J11" s="21">
        <f t="shared" si="2"/>
        <v>168</v>
      </c>
      <c r="K11" s="10">
        <f t="shared" si="3"/>
        <v>139</v>
      </c>
      <c r="L11">
        <f t="shared" si="4"/>
        <v>0.65447154471544711</v>
      </c>
    </row>
    <row r="12" spans="1:14" ht="15" customHeight="1" x14ac:dyDescent="0.3">
      <c r="A12" s="2">
        <v>45488.4375</v>
      </c>
      <c r="B12" s="39">
        <f t="shared" si="0"/>
        <v>61.908333333332848</v>
      </c>
      <c r="C12" s="39">
        <f t="shared" si="1"/>
        <v>62</v>
      </c>
      <c r="D12" s="21">
        <v>499</v>
      </c>
      <c r="E12" s="10">
        <v>356</v>
      </c>
      <c r="F12" s="21">
        <v>201</v>
      </c>
      <c r="G12" s="10">
        <v>137</v>
      </c>
      <c r="H12" s="21"/>
      <c r="I12" s="10"/>
      <c r="J12" s="21">
        <f t="shared" si="2"/>
        <v>201</v>
      </c>
      <c r="K12" s="10">
        <f t="shared" si="3"/>
        <v>137</v>
      </c>
      <c r="L12">
        <f t="shared" si="4"/>
        <v>0.71342685370741488</v>
      </c>
    </row>
    <row r="13" spans="1:14" ht="15" customHeight="1" x14ac:dyDescent="0.3">
      <c r="A13" s="2">
        <v>45502.458333333336</v>
      </c>
      <c r="B13" s="39">
        <f t="shared" si="0"/>
        <v>75.929166666668607</v>
      </c>
      <c r="C13" s="39">
        <f t="shared" si="1"/>
        <v>76</v>
      </c>
      <c r="D13" s="21">
        <v>252</v>
      </c>
      <c r="E13" s="10">
        <v>233</v>
      </c>
      <c r="F13" s="21">
        <v>233</v>
      </c>
      <c r="G13" s="10">
        <v>173</v>
      </c>
      <c r="H13" s="21"/>
      <c r="I13" s="10"/>
      <c r="J13" s="21">
        <f t="shared" si="2"/>
        <v>233</v>
      </c>
      <c r="K13" s="10">
        <f t="shared" si="3"/>
        <v>173</v>
      </c>
      <c r="L13">
        <f t="shared" si="4"/>
        <v>0.92460317460317465</v>
      </c>
    </row>
    <row r="14" spans="1:14" ht="15" customHeight="1" x14ac:dyDescent="0.3">
      <c r="A14" s="2">
        <v>45509.509027777778</v>
      </c>
      <c r="B14" s="39">
        <f t="shared" si="0"/>
        <v>82.979861111110949</v>
      </c>
      <c r="C14" s="39">
        <f t="shared" si="1"/>
        <v>83</v>
      </c>
      <c r="D14" s="21">
        <v>2670</v>
      </c>
      <c r="E14" s="10">
        <v>2504</v>
      </c>
      <c r="F14" s="21">
        <v>171</v>
      </c>
      <c r="G14" s="10">
        <v>81</v>
      </c>
      <c r="H14" s="21"/>
      <c r="I14" s="10"/>
      <c r="J14" s="21">
        <f t="shared" si="2"/>
        <v>171</v>
      </c>
      <c r="K14" s="10">
        <f t="shared" si="3"/>
        <v>81</v>
      </c>
      <c r="L14">
        <f t="shared" si="4"/>
        <v>0.93782771535580522</v>
      </c>
    </row>
    <row r="15" spans="1:14" ht="15" customHeight="1" x14ac:dyDescent="0.3">
      <c r="A15" s="47">
        <v>45516.567361111112</v>
      </c>
      <c r="B15" s="39">
        <f t="shared" si="0"/>
        <v>90.038194444445253</v>
      </c>
      <c r="C15" s="39">
        <f t="shared" si="1"/>
        <v>90</v>
      </c>
      <c r="D15" s="58">
        <v>1406</v>
      </c>
      <c r="E15" s="50">
        <v>1186</v>
      </c>
      <c r="F15" s="58">
        <v>89</v>
      </c>
      <c r="G15" s="50">
        <v>0</v>
      </c>
      <c r="H15" s="21"/>
      <c r="I15" s="10"/>
      <c r="J15" s="21">
        <f t="shared" si="2"/>
        <v>89</v>
      </c>
      <c r="K15" s="10">
        <f t="shared" si="3"/>
        <v>0</v>
      </c>
      <c r="L15">
        <f t="shared" si="4"/>
        <v>0.84352773826458038</v>
      </c>
    </row>
    <row r="16" spans="1:14" ht="15" customHeight="1" x14ac:dyDescent="0.3">
      <c r="A16" s="2">
        <v>45523.591666666667</v>
      </c>
      <c r="B16" s="39">
        <f t="shared" si="0"/>
        <v>97.0625</v>
      </c>
      <c r="D16" s="21">
        <v>364</v>
      </c>
      <c r="E16" s="10">
        <v>275</v>
      </c>
      <c r="F16" s="21">
        <v>53</v>
      </c>
      <c r="G16" s="10">
        <v>32</v>
      </c>
      <c r="H16" s="21"/>
      <c r="I16" s="10"/>
      <c r="J16" s="21">
        <f t="shared" si="2"/>
        <v>53</v>
      </c>
      <c r="K16" s="10">
        <f t="shared" si="3"/>
        <v>32</v>
      </c>
      <c r="L16">
        <f t="shared" si="4"/>
        <v>0.75549450549450547</v>
      </c>
    </row>
    <row r="17" spans="1:15" ht="15" customHeight="1" x14ac:dyDescent="0.3">
      <c r="A17" s="2">
        <v>45530.572222222225</v>
      </c>
      <c r="B17" s="39">
        <f t="shared" si="0"/>
        <v>104.04305555555766</v>
      </c>
      <c r="D17" s="21">
        <v>1530</v>
      </c>
      <c r="E17" s="10">
        <v>1319</v>
      </c>
      <c r="F17" s="21">
        <v>110</v>
      </c>
      <c r="G17" s="10">
        <v>78</v>
      </c>
      <c r="H17" s="21"/>
      <c r="I17" s="10"/>
      <c r="J17" s="21">
        <f t="shared" ref="J17:K19" si="5">SUM(F17,H17)</f>
        <v>110</v>
      </c>
      <c r="K17" s="10">
        <f t="shared" si="5"/>
        <v>78</v>
      </c>
      <c r="L17">
        <f t="shared" si="4"/>
        <v>0.8620915032679739</v>
      </c>
      <c r="O17" t="s">
        <v>659</v>
      </c>
    </row>
    <row r="18" spans="1:15" ht="15" customHeight="1" x14ac:dyDescent="0.3">
      <c r="A18" s="2">
        <v>45538.602777777778</v>
      </c>
      <c r="B18" s="39">
        <f t="shared" si="0"/>
        <v>112.07361111111095</v>
      </c>
      <c r="D18" s="21">
        <v>1441</v>
      </c>
      <c r="E18" s="10">
        <v>1244</v>
      </c>
      <c r="F18" s="21">
        <v>118</v>
      </c>
      <c r="G18" s="10">
        <v>82</v>
      </c>
      <c r="H18" s="21"/>
      <c r="I18" s="10"/>
      <c r="J18" s="21">
        <f t="shared" si="5"/>
        <v>118</v>
      </c>
      <c r="K18" s="10">
        <f t="shared" si="5"/>
        <v>82</v>
      </c>
      <c r="L18">
        <f t="shared" si="4"/>
        <v>0.86328938237335184</v>
      </c>
      <c r="O18" t="s">
        <v>659</v>
      </c>
    </row>
    <row r="19" spans="1:15" ht="15" customHeight="1" x14ac:dyDescent="0.3">
      <c r="A19" s="2">
        <v>45544.411805555559</v>
      </c>
      <c r="B19" s="39">
        <f t="shared" si="0"/>
        <v>117.88263888889196</v>
      </c>
      <c r="D19" s="21">
        <v>450</v>
      </c>
      <c r="E19" s="10">
        <v>247</v>
      </c>
      <c r="F19" s="21">
        <v>347</v>
      </c>
      <c r="G19" s="10">
        <v>173</v>
      </c>
      <c r="H19" s="21"/>
      <c r="I19" s="10"/>
      <c r="J19" s="21">
        <f t="shared" si="5"/>
        <v>347</v>
      </c>
      <c r="K19" s="10">
        <f t="shared" si="5"/>
        <v>173</v>
      </c>
      <c r="L19">
        <f t="shared" si="4"/>
        <v>0.54888888888888887</v>
      </c>
      <c r="O19" t="s">
        <v>660</v>
      </c>
    </row>
    <row r="20" spans="1:15" ht="15" customHeight="1" x14ac:dyDescent="0.3">
      <c r="A20" s="2">
        <v>45551.529861111114</v>
      </c>
      <c r="B20" s="39">
        <f t="shared" si="0"/>
        <v>125.00069444444671</v>
      </c>
      <c r="D20" s="21">
        <v>404</v>
      </c>
      <c r="E20" s="10">
        <v>302</v>
      </c>
      <c r="F20" s="21">
        <v>132</v>
      </c>
      <c r="G20" s="10">
        <v>99</v>
      </c>
      <c r="H20" s="21"/>
      <c r="I20" s="10"/>
      <c r="J20" s="21">
        <f t="shared" ref="J20:J30" si="6">SUM(F20,H20)</f>
        <v>132</v>
      </c>
      <c r="K20" s="10">
        <f t="shared" ref="K20:K30" si="7">SUM(G20,I20)</f>
        <v>99</v>
      </c>
      <c r="L20">
        <f t="shared" si="4"/>
        <v>0.74752475247524752</v>
      </c>
    </row>
    <row r="21" spans="1:15" ht="15" customHeight="1" x14ac:dyDescent="0.3">
      <c r="A21" s="2">
        <v>45558.526388888888</v>
      </c>
      <c r="B21" s="39">
        <f t="shared" si="0"/>
        <v>131.99722222222044</v>
      </c>
      <c r="D21" s="21">
        <v>662</v>
      </c>
      <c r="E21" s="10">
        <v>544</v>
      </c>
      <c r="F21" s="21">
        <v>54</v>
      </c>
      <c r="G21" s="10">
        <v>34</v>
      </c>
      <c r="H21" s="21"/>
      <c r="I21" s="10"/>
      <c r="J21" s="21">
        <f t="shared" si="6"/>
        <v>54</v>
      </c>
      <c r="K21" s="10">
        <f t="shared" si="7"/>
        <v>34</v>
      </c>
      <c r="L21">
        <f t="shared" si="4"/>
        <v>0.82175226586102723</v>
      </c>
      <c r="O21" t="s">
        <v>661</v>
      </c>
    </row>
    <row r="22" spans="1:15" ht="15" customHeight="1" x14ac:dyDescent="0.3">
      <c r="A22" s="2">
        <v>45565.486805555556</v>
      </c>
      <c r="B22" s="39">
        <f t="shared" si="0"/>
        <v>138.95763888888905</v>
      </c>
      <c r="D22" s="21">
        <v>300</v>
      </c>
      <c r="E22" s="10">
        <v>220</v>
      </c>
      <c r="F22" s="21">
        <v>42</v>
      </c>
      <c r="G22" s="10">
        <v>33</v>
      </c>
      <c r="H22" s="21"/>
      <c r="I22" s="10"/>
      <c r="J22" s="21">
        <f t="shared" si="6"/>
        <v>42</v>
      </c>
      <c r="K22" s="10">
        <f t="shared" si="7"/>
        <v>33</v>
      </c>
      <c r="L22">
        <f t="shared" si="4"/>
        <v>0.73333333333333328</v>
      </c>
    </row>
    <row r="23" spans="1:15" ht="15" customHeight="1" x14ac:dyDescent="0.3">
      <c r="A23" s="2">
        <v>45572.511111111111</v>
      </c>
      <c r="B23" s="39">
        <f t="shared" si="0"/>
        <v>145.9819444444438</v>
      </c>
      <c r="D23" s="21">
        <v>271</v>
      </c>
      <c r="E23" s="10">
        <v>209</v>
      </c>
      <c r="F23" s="21">
        <v>87</v>
      </c>
      <c r="G23" s="10">
        <v>61</v>
      </c>
      <c r="H23" s="21"/>
      <c r="I23" s="10"/>
      <c r="J23" s="21">
        <f t="shared" si="6"/>
        <v>87</v>
      </c>
      <c r="K23" s="10">
        <f t="shared" si="7"/>
        <v>61</v>
      </c>
      <c r="L23">
        <f t="shared" si="4"/>
        <v>0.77121771217712176</v>
      </c>
    </row>
    <row r="24" spans="1:15" ht="15" customHeight="1" x14ac:dyDescent="0.3">
      <c r="A24" s="47">
        <v>45580.545138888891</v>
      </c>
      <c r="B24" s="39">
        <f t="shared" si="0"/>
        <v>154.01597222222335</v>
      </c>
      <c r="D24" s="21">
        <v>440</v>
      </c>
      <c r="E24" s="10">
        <v>356</v>
      </c>
      <c r="F24" s="21">
        <v>251</v>
      </c>
      <c r="G24" s="10">
        <v>216</v>
      </c>
      <c r="H24" s="21"/>
      <c r="I24" s="10"/>
      <c r="J24" s="21">
        <f t="shared" si="6"/>
        <v>251</v>
      </c>
      <c r="K24" s="10">
        <f t="shared" si="7"/>
        <v>216</v>
      </c>
      <c r="L24">
        <f t="shared" si="4"/>
        <v>0.80909090909090908</v>
      </c>
    </row>
    <row r="25" spans="1:15" ht="15" customHeight="1" x14ac:dyDescent="0.3">
      <c r="A25" s="2">
        <v>45586.45416666667</v>
      </c>
      <c r="B25" s="39">
        <f t="shared" si="0"/>
        <v>159.92500000000291</v>
      </c>
      <c r="D25" s="21">
        <v>473</v>
      </c>
      <c r="E25" s="10">
        <v>376</v>
      </c>
      <c r="F25" s="21">
        <v>122</v>
      </c>
      <c r="G25" s="10">
        <v>106</v>
      </c>
      <c r="H25" s="21"/>
      <c r="I25" s="10"/>
      <c r="J25" s="21">
        <f t="shared" si="6"/>
        <v>122</v>
      </c>
      <c r="K25" s="10">
        <f t="shared" si="7"/>
        <v>106</v>
      </c>
      <c r="L25">
        <f t="shared" si="4"/>
        <v>0.79492600422832982</v>
      </c>
    </row>
    <row r="26" spans="1:15" ht="15" customHeight="1" x14ac:dyDescent="0.3">
      <c r="A26" s="2">
        <v>45593.531944444447</v>
      </c>
      <c r="B26" s="39">
        <f t="shared" si="0"/>
        <v>167.00277777777956</v>
      </c>
      <c r="D26" s="21">
        <v>340</v>
      </c>
      <c r="E26" s="10">
        <v>269</v>
      </c>
      <c r="F26" s="21">
        <v>181</v>
      </c>
      <c r="G26" s="10">
        <v>142</v>
      </c>
      <c r="H26" s="21"/>
      <c r="I26" s="10"/>
      <c r="J26" s="21">
        <f t="shared" si="6"/>
        <v>181</v>
      </c>
      <c r="K26" s="10">
        <f t="shared" si="7"/>
        <v>142</v>
      </c>
      <c r="L26">
        <f t="shared" si="4"/>
        <v>0.79117647058823526</v>
      </c>
    </row>
    <row r="27" spans="1:15" ht="15" customHeight="1" x14ac:dyDescent="0.3">
      <c r="A27" s="2">
        <v>45600.532638888886</v>
      </c>
      <c r="B27" s="39">
        <f t="shared" si="0"/>
        <v>174.00347222221899</v>
      </c>
      <c r="D27" s="21">
        <v>562</v>
      </c>
      <c r="E27" s="10">
        <v>462</v>
      </c>
      <c r="F27" s="21">
        <v>181</v>
      </c>
      <c r="G27" s="10">
        <v>149</v>
      </c>
      <c r="H27" s="21"/>
      <c r="I27" s="10"/>
      <c r="J27" s="21">
        <f t="shared" si="6"/>
        <v>181</v>
      </c>
      <c r="K27" s="10">
        <f t="shared" si="7"/>
        <v>149</v>
      </c>
      <c r="L27">
        <f t="shared" si="4"/>
        <v>0.8220640569395018</v>
      </c>
    </row>
    <row r="28" spans="1:15" ht="15" customHeight="1" x14ac:dyDescent="0.3">
      <c r="A28" s="2">
        <v>45607.53125</v>
      </c>
      <c r="B28" s="39">
        <f t="shared" si="0"/>
        <v>181.00208333333285</v>
      </c>
      <c r="D28" s="21">
        <v>542</v>
      </c>
      <c r="E28" s="10">
        <v>424</v>
      </c>
      <c r="F28" s="21">
        <v>126</v>
      </c>
      <c r="G28" s="10">
        <v>87</v>
      </c>
      <c r="H28" s="21"/>
      <c r="I28" s="10"/>
      <c r="J28" s="21">
        <f t="shared" si="6"/>
        <v>126</v>
      </c>
      <c r="K28" s="10">
        <f t="shared" si="7"/>
        <v>87</v>
      </c>
      <c r="L28">
        <f>E28/D28</f>
        <v>0.78228782287822873</v>
      </c>
    </row>
    <row r="29" spans="1:15" ht="15" customHeight="1" x14ac:dyDescent="0.3">
      <c r="A29" s="2">
        <v>45614.506944444445</v>
      </c>
      <c r="B29" s="39">
        <f t="shared" si="0"/>
        <v>187.9777777777781</v>
      </c>
      <c r="D29" s="21">
        <v>247</v>
      </c>
      <c r="E29" s="10">
        <v>176</v>
      </c>
      <c r="F29" s="21">
        <v>86</v>
      </c>
      <c r="G29" s="10">
        <v>58</v>
      </c>
      <c r="H29" s="21"/>
      <c r="I29" s="10"/>
      <c r="J29" s="21">
        <f t="shared" si="6"/>
        <v>86</v>
      </c>
      <c r="K29" s="10">
        <f t="shared" si="7"/>
        <v>58</v>
      </c>
      <c r="L29">
        <f t="shared" si="4"/>
        <v>0.71255060728744934</v>
      </c>
    </row>
    <row r="30" spans="1:15" ht="15" customHeight="1" x14ac:dyDescent="0.3">
      <c r="A30" s="2">
        <v>45621.515972222223</v>
      </c>
      <c r="B30" s="39">
        <f t="shared" si="0"/>
        <v>194.9868055555562</v>
      </c>
      <c r="D30" s="21">
        <v>216</v>
      </c>
      <c r="E30" s="10">
        <v>167</v>
      </c>
      <c r="F30" s="21">
        <v>82</v>
      </c>
      <c r="G30" s="10">
        <v>66</v>
      </c>
      <c r="H30" s="21"/>
      <c r="I30" s="10"/>
      <c r="J30" s="21">
        <f t="shared" si="6"/>
        <v>82</v>
      </c>
      <c r="K30" s="10">
        <f t="shared" si="7"/>
        <v>66</v>
      </c>
      <c r="L30">
        <f t="shared" si="4"/>
        <v>0.77314814814814814</v>
      </c>
    </row>
    <row r="31" spans="1:15" ht="15" customHeight="1" x14ac:dyDescent="0.3">
      <c r="A31" s="2">
        <v>45628.567361111112</v>
      </c>
      <c r="B31" s="39">
        <f t="shared" si="0"/>
        <v>202.03819444444525</v>
      </c>
      <c r="D31" s="21">
        <v>1224</v>
      </c>
      <c r="E31" s="10" t="s">
        <v>662</v>
      </c>
      <c r="F31" s="21">
        <v>303</v>
      </c>
      <c r="G31" s="10">
        <v>278</v>
      </c>
      <c r="H31" s="21"/>
      <c r="I31" s="10"/>
      <c r="J31" s="21">
        <f>SUM(F31,H31)</f>
        <v>303</v>
      </c>
      <c r="K31" s="10">
        <f>SUM(G31,I31)</f>
        <v>278</v>
      </c>
      <c r="L31">
        <f t="shared" si="4"/>
        <v>0.88970588235294112</v>
      </c>
      <c r="M31" t="s">
        <v>663</v>
      </c>
    </row>
    <row r="32" spans="1:15" ht="15" customHeight="1" x14ac:dyDescent="0.3">
      <c r="A32" s="2">
        <v>45635.529861111114</v>
      </c>
      <c r="B32" s="39">
        <f t="shared" si="0"/>
        <v>209.00069444444671</v>
      </c>
      <c r="D32" s="21">
        <v>1083</v>
      </c>
      <c r="E32" s="10" t="s">
        <v>664</v>
      </c>
      <c r="F32" s="21"/>
      <c r="G32" s="10"/>
      <c r="H32" s="21">
        <v>71</v>
      </c>
      <c r="I32" s="10">
        <v>51</v>
      </c>
      <c r="J32" s="21">
        <f>SUM(F32,H32)</f>
        <v>71</v>
      </c>
      <c r="K32" s="10">
        <f>SUM(G32,I32)</f>
        <v>51</v>
      </c>
      <c r="L32">
        <f t="shared" si="4"/>
        <v>0.80701754385964908</v>
      </c>
      <c r="M32" t="s">
        <v>665</v>
      </c>
    </row>
    <row r="33" spans="1:13" ht="15" customHeight="1" x14ac:dyDescent="0.3">
      <c r="A33" s="2">
        <v>45642.504166666666</v>
      </c>
      <c r="B33" s="39">
        <f t="shared" si="0"/>
        <v>215.97499999999854</v>
      </c>
      <c r="D33" s="21">
        <v>429</v>
      </c>
      <c r="E33" s="10">
        <v>331</v>
      </c>
      <c r="F33" s="21">
        <v>210</v>
      </c>
      <c r="G33" s="10">
        <v>168</v>
      </c>
      <c r="H33" s="21"/>
      <c r="I33" s="10"/>
      <c r="J33" s="21">
        <f t="shared" ref="J33:J41" si="8">SUM(F33,H33)</f>
        <v>210</v>
      </c>
      <c r="K33" s="10">
        <f t="shared" ref="K33:K41" si="9">SUM(G33,I33)</f>
        <v>168</v>
      </c>
      <c r="L33">
        <f t="shared" si="4"/>
        <v>0.77156177156177153</v>
      </c>
    </row>
    <row r="34" spans="1:13" ht="15" customHeight="1" x14ac:dyDescent="0.3">
      <c r="A34" s="2">
        <v>45663.48333333333</v>
      </c>
      <c r="B34" s="39">
        <f t="shared" si="0"/>
        <v>236.95416666666279</v>
      </c>
      <c r="D34" s="21">
        <v>396</v>
      </c>
      <c r="E34" s="10">
        <v>322</v>
      </c>
      <c r="F34" s="21">
        <v>249</v>
      </c>
      <c r="G34" s="10">
        <v>210</v>
      </c>
      <c r="H34" s="21"/>
      <c r="I34" s="10"/>
      <c r="J34" s="21">
        <f t="shared" si="8"/>
        <v>249</v>
      </c>
      <c r="K34" s="10">
        <f t="shared" si="9"/>
        <v>210</v>
      </c>
      <c r="L34">
        <f t="shared" si="4"/>
        <v>0.81313131313131315</v>
      </c>
    </row>
    <row r="35" spans="1:13" ht="15" customHeight="1" x14ac:dyDescent="0.3">
      <c r="A35" s="2">
        <v>45670.46875</v>
      </c>
      <c r="B35" s="39">
        <f t="shared" si="0"/>
        <v>243.93958333333285</v>
      </c>
      <c r="D35" s="21">
        <v>722</v>
      </c>
      <c r="E35" s="10">
        <v>591</v>
      </c>
      <c r="F35" s="21">
        <v>403</v>
      </c>
      <c r="G35" s="10">
        <v>352</v>
      </c>
      <c r="J35" s="21">
        <f t="shared" si="8"/>
        <v>403</v>
      </c>
      <c r="K35" s="10">
        <f t="shared" si="9"/>
        <v>352</v>
      </c>
      <c r="L35">
        <f t="shared" si="4"/>
        <v>0.81855955678670356</v>
      </c>
    </row>
    <row r="36" spans="1:13" ht="15" customHeight="1" x14ac:dyDescent="0.3">
      <c r="A36" s="2">
        <v>45677.409722222219</v>
      </c>
      <c r="B36" s="39">
        <f t="shared" si="0"/>
        <v>250.88055555555184</v>
      </c>
      <c r="D36" s="21">
        <v>524</v>
      </c>
      <c r="E36" s="10">
        <v>453</v>
      </c>
      <c r="F36" s="21">
        <v>209</v>
      </c>
      <c r="G36" s="10">
        <v>171</v>
      </c>
      <c r="J36" s="21">
        <f t="shared" si="8"/>
        <v>209</v>
      </c>
      <c r="K36" s="10">
        <f t="shared" si="9"/>
        <v>171</v>
      </c>
      <c r="L36">
        <f t="shared" si="4"/>
        <v>0.8645038167938931</v>
      </c>
    </row>
    <row r="37" spans="1:13" ht="15" customHeight="1" x14ac:dyDescent="0.3">
      <c r="A37" s="2">
        <v>45684.484027777777</v>
      </c>
      <c r="B37" s="39">
        <f t="shared" si="0"/>
        <v>257.95486111110949</v>
      </c>
      <c r="D37" s="21">
        <v>256</v>
      </c>
      <c r="E37" s="10">
        <v>191</v>
      </c>
      <c r="F37" s="21">
        <v>111</v>
      </c>
      <c r="G37" s="10">
        <v>88</v>
      </c>
      <c r="J37" s="21">
        <f t="shared" si="8"/>
        <v>111</v>
      </c>
      <c r="K37" s="10">
        <f t="shared" si="9"/>
        <v>88</v>
      </c>
      <c r="L37">
        <f t="shared" si="4"/>
        <v>0.74609375</v>
      </c>
    </row>
    <row r="38" spans="1:13" ht="15" customHeight="1" x14ac:dyDescent="0.3">
      <c r="A38" s="2">
        <v>45691.568055555559</v>
      </c>
      <c r="B38" s="39">
        <f t="shared" si="0"/>
        <v>265.03888888889196</v>
      </c>
      <c r="D38" s="21">
        <v>231</v>
      </c>
      <c r="E38" s="10">
        <v>169</v>
      </c>
      <c r="F38" s="21">
        <v>132</v>
      </c>
      <c r="G38" s="10">
        <v>96</v>
      </c>
      <c r="J38" s="21">
        <f t="shared" si="8"/>
        <v>132</v>
      </c>
      <c r="K38" s="10">
        <f t="shared" si="9"/>
        <v>96</v>
      </c>
      <c r="L38">
        <f t="shared" si="4"/>
        <v>0.73160173160173159</v>
      </c>
    </row>
    <row r="39" spans="1:13" ht="15" customHeight="1" x14ac:dyDescent="0.3">
      <c r="A39" s="2">
        <v>45699.548611111109</v>
      </c>
      <c r="B39" s="39">
        <f t="shared" si="0"/>
        <v>273.01944444444234</v>
      </c>
      <c r="D39" s="21">
        <v>198</v>
      </c>
      <c r="E39" s="10">
        <v>146</v>
      </c>
      <c r="F39" s="21">
        <v>94</v>
      </c>
      <c r="G39" s="10">
        <v>60</v>
      </c>
      <c r="J39" s="21">
        <f t="shared" si="8"/>
        <v>94</v>
      </c>
      <c r="K39" s="10">
        <f t="shared" si="9"/>
        <v>60</v>
      </c>
      <c r="L39">
        <f t="shared" si="4"/>
        <v>0.73737373737373735</v>
      </c>
    </row>
    <row r="40" spans="1:13" ht="15" customHeight="1" x14ac:dyDescent="0.3">
      <c r="A40" s="2">
        <v>45705.508333333331</v>
      </c>
      <c r="B40" s="39">
        <f t="shared" si="0"/>
        <v>278.97916666666424</v>
      </c>
      <c r="D40" s="21">
        <v>213</v>
      </c>
      <c r="E40" s="10">
        <v>169</v>
      </c>
      <c r="F40" s="21">
        <v>130</v>
      </c>
      <c r="G40" s="10">
        <v>94</v>
      </c>
      <c r="J40" s="21">
        <f t="shared" si="8"/>
        <v>130</v>
      </c>
      <c r="K40" s="10">
        <f t="shared" si="9"/>
        <v>94</v>
      </c>
      <c r="L40">
        <f t="shared" si="4"/>
        <v>0.79342723004694837</v>
      </c>
    </row>
    <row r="41" spans="1:13" ht="15" customHeight="1" x14ac:dyDescent="0.3">
      <c r="A41" s="2">
        <v>45712.57916666667</v>
      </c>
      <c r="B41" s="39">
        <f t="shared" si="0"/>
        <v>286.05000000000291</v>
      </c>
      <c r="D41" s="21">
        <v>351</v>
      </c>
      <c r="E41" s="10">
        <v>273</v>
      </c>
      <c r="F41" s="21">
        <v>139</v>
      </c>
      <c r="G41" s="10">
        <v>108</v>
      </c>
      <c r="J41" s="21">
        <f t="shared" si="8"/>
        <v>139</v>
      </c>
      <c r="K41" s="10">
        <f t="shared" si="9"/>
        <v>108</v>
      </c>
      <c r="L41">
        <f t="shared" si="4"/>
        <v>0.77777777777777779</v>
      </c>
      <c r="M41" t="s">
        <v>666</v>
      </c>
    </row>
    <row r="42" spans="1:13" ht="15" customHeight="1" x14ac:dyDescent="0.3">
      <c r="A42" s="2">
        <v>45719.523611111108</v>
      </c>
      <c r="B42" s="39">
        <f t="shared" si="0"/>
        <v>292.99444444444089</v>
      </c>
      <c r="D42" s="21">
        <v>1002</v>
      </c>
      <c r="E42" s="10">
        <v>868</v>
      </c>
      <c r="F42" s="21">
        <v>120</v>
      </c>
      <c r="G42" s="10">
        <v>104</v>
      </c>
      <c r="J42" s="21">
        <f t="shared" ref="J42:J45" si="10">SUM(F42,H42)</f>
        <v>120</v>
      </c>
      <c r="K42" s="10">
        <f t="shared" ref="K42:K45" si="11">SUM(G42,I42)</f>
        <v>104</v>
      </c>
      <c r="L42">
        <f t="shared" ref="L42:L50" si="12">E42/D42</f>
        <v>0.8662674650698603</v>
      </c>
      <c r="M42" t="s">
        <v>667</v>
      </c>
    </row>
    <row r="43" spans="1:13" ht="15" customHeight="1" x14ac:dyDescent="0.3">
      <c r="A43" s="2">
        <v>45726.445138888892</v>
      </c>
      <c r="B43" s="39">
        <f t="shared" si="0"/>
        <v>299.91597222222481</v>
      </c>
      <c r="C43" s="33"/>
      <c r="D43" s="34">
        <v>482</v>
      </c>
      <c r="E43" s="35">
        <v>391</v>
      </c>
      <c r="F43" s="34">
        <v>234</v>
      </c>
      <c r="G43" s="35">
        <v>179</v>
      </c>
      <c r="H43" s="33"/>
      <c r="I43" s="33"/>
      <c r="J43" s="21">
        <f t="shared" si="10"/>
        <v>234</v>
      </c>
      <c r="K43" s="10">
        <f t="shared" si="11"/>
        <v>179</v>
      </c>
      <c r="L43">
        <f t="shared" si="12"/>
        <v>0.81120331950207469</v>
      </c>
    </row>
    <row r="44" spans="1:13" ht="15" customHeight="1" x14ac:dyDescent="0.3">
      <c r="A44" s="2">
        <v>45733.464583333334</v>
      </c>
      <c r="B44" s="39">
        <f t="shared" si="0"/>
        <v>306.93541666666715</v>
      </c>
      <c r="C44" s="33"/>
      <c r="D44" s="34">
        <v>407</v>
      </c>
      <c r="E44" s="35">
        <v>309</v>
      </c>
      <c r="F44" s="34">
        <v>220</v>
      </c>
      <c r="G44" s="35">
        <v>182</v>
      </c>
      <c r="H44" s="33"/>
      <c r="I44" s="33"/>
      <c r="J44" s="21">
        <f t="shared" si="10"/>
        <v>220</v>
      </c>
      <c r="K44" s="10">
        <f t="shared" si="11"/>
        <v>182</v>
      </c>
      <c r="L44">
        <f t="shared" si="12"/>
        <v>0.75921375921375922</v>
      </c>
    </row>
    <row r="45" spans="1:13" ht="15" customHeight="1" x14ac:dyDescent="0.3">
      <c r="A45" s="2">
        <v>45740.552083333336</v>
      </c>
      <c r="B45" s="39">
        <f t="shared" si="0"/>
        <v>314.02291666666861</v>
      </c>
      <c r="C45" s="33"/>
      <c r="D45" s="34">
        <v>598</v>
      </c>
      <c r="E45" s="35">
        <v>508</v>
      </c>
      <c r="F45" s="34">
        <v>406</v>
      </c>
      <c r="G45" s="35">
        <v>346</v>
      </c>
      <c r="H45" s="33"/>
      <c r="I45" s="33"/>
      <c r="J45" s="21">
        <f t="shared" si="10"/>
        <v>406</v>
      </c>
      <c r="K45" s="10">
        <f t="shared" si="11"/>
        <v>346</v>
      </c>
      <c r="L45">
        <f t="shared" si="12"/>
        <v>0.84949832775919731</v>
      </c>
    </row>
    <row r="46" spans="1:13" ht="15" customHeight="1" x14ac:dyDescent="0.3">
      <c r="A46" s="2">
        <v>45747.545138888891</v>
      </c>
      <c r="B46" s="39">
        <f t="shared" si="0"/>
        <v>321.01597222222335</v>
      </c>
      <c r="C46" s="33"/>
      <c r="D46" s="34">
        <v>562</v>
      </c>
      <c r="E46" s="21"/>
      <c r="F46" s="21">
        <v>402</v>
      </c>
      <c r="G46" s="21"/>
      <c r="H46" s="33"/>
      <c r="I46" s="33"/>
      <c r="J46" s="21">
        <f t="shared" ref="J46:J51" si="13">SUM(F46,H46)</f>
        <v>402</v>
      </c>
      <c r="K46" s="10">
        <f t="shared" ref="K46:K51" si="14">SUM(G46,I46)</f>
        <v>0</v>
      </c>
      <c r="L46">
        <f t="shared" si="12"/>
        <v>0</v>
      </c>
      <c r="M46" t="s">
        <v>668</v>
      </c>
    </row>
    <row r="47" spans="1:13" ht="15" customHeight="1" x14ac:dyDescent="0.3">
      <c r="A47" s="2">
        <v>45754.548611111109</v>
      </c>
      <c r="B47" s="39">
        <f t="shared" si="0"/>
        <v>328.01944444444234</v>
      </c>
      <c r="D47" s="21">
        <v>684</v>
      </c>
      <c r="E47" s="21">
        <v>584</v>
      </c>
      <c r="F47" s="21">
        <v>393</v>
      </c>
      <c r="G47" s="21">
        <v>332</v>
      </c>
      <c r="J47" s="21">
        <f t="shared" si="13"/>
        <v>393</v>
      </c>
      <c r="K47" s="10">
        <f t="shared" si="14"/>
        <v>332</v>
      </c>
      <c r="L47">
        <f t="shared" si="12"/>
        <v>0.85380116959064323</v>
      </c>
    </row>
    <row r="48" spans="1:13" ht="15" customHeight="1" x14ac:dyDescent="0.3">
      <c r="A48" s="2"/>
      <c r="B48" s="39">
        <f t="shared" si="0"/>
        <v>-45426.529166666667</v>
      </c>
      <c r="D48" s="21"/>
      <c r="E48" s="21"/>
      <c r="F48" s="21"/>
      <c r="G48" s="21"/>
      <c r="J48" s="21">
        <f t="shared" si="13"/>
        <v>0</v>
      </c>
      <c r="K48" s="10">
        <f t="shared" si="14"/>
        <v>0</v>
      </c>
      <c r="L48" t="e">
        <f t="shared" si="12"/>
        <v>#DIV/0!</v>
      </c>
    </row>
    <row r="49" spans="1:12" ht="15" customHeight="1" x14ac:dyDescent="0.3">
      <c r="A49" s="2"/>
      <c r="B49" s="39">
        <f t="shared" si="0"/>
        <v>-45426.529166666667</v>
      </c>
      <c r="D49" s="21"/>
      <c r="E49" s="21"/>
      <c r="F49" s="21"/>
      <c r="G49" s="21"/>
      <c r="J49" s="21">
        <f t="shared" si="13"/>
        <v>0</v>
      </c>
      <c r="K49" s="10">
        <f t="shared" si="14"/>
        <v>0</v>
      </c>
      <c r="L49" t="e">
        <f t="shared" si="12"/>
        <v>#DIV/0!</v>
      </c>
    </row>
    <row r="50" spans="1:12" ht="15" customHeight="1" x14ac:dyDescent="0.3">
      <c r="B50" s="39">
        <f t="shared" si="0"/>
        <v>-45426.529166666667</v>
      </c>
      <c r="D50" s="21"/>
      <c r="E50" s="34"/>
      <c r="F50" s="34"/>
      <c r="G50" s="34"/>
      <c r="J50" s="21">
        <f t="shared" si="13"/>
        <v>0</v>
      </c>
      <c r="K50" s="10">
        <f t="shared" si="14"/>
        <v>0</v>
      </c>
      <c r="L50" t="e">
        <f t="shared" si="12"/>
        <v>#DIV/0!</v>
      </c>
    </row>
    <row r="51" spans="1:12" ht="15" customHeight="1" x14ac:dyDescent="0.3">
      <c r="B51" s="39">
        <f t="shared" si="0"/>
        <v>-45426.529166666667</v>
      </c>
      <c r="D51" s="34"/>
      <c r="E51" s="34"/>
      <c r="F51" s="34"/>
      <c r="G51" s="34"/>
      <c r="J51" s="21">
        <f t="shared" si="13"/>
        <v>0</v>
      </c>
      <c r="K51" s="10">
        <f t="shared" si="14"/>
        <v>0</v>
      </c>
    </row>
    <row r="52" spans="1:12" ht="15" customHeight="1" x14ac:dyDescent="0.3">
      <c r="D52" s="34"/>
      <c r="E52" s="34"/>
      <c r="F52" s="34"/>
      <c r="G52" s="34"/>
    </row>
    <row r="53" spans="1:12" ht="15" customHeight="1" x14ac:dyDescent="0.3">
      <c r="D53" s="34"/>
      <c r="E53" s="34"/>
      <c r="F53" s="34"/>
      <c r="G53" s="34"/>
    </row>
    <row r="54" spans="1:12" ht="15" customHeight="1" x14ac:dyDescent="0.3">
      <c r="D54" s="3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CC25-45A4-4FAB-A8F2-8EE36BE6DDA0}">
  <dimension ref="A1:V50"/>
  <sheetViews>
    <sheetView workbookViewId="0">
      <selection activeCell="H43" sqref="H43"/>
    </sheetView>
  </sheetViews>
  <sheetFormatPr defaultRowHeight="15" customHeight="1" x14ac:dyDescent="0.3"/>
  <cols>
    <col min="2" max="3" width="14.6640625" customWidth="1"/>
    <col min="4" max="4" width="16.33203125" customWidth="1"/>
    <col min="5" max="6" width="18.33203125" style="10" customWidth="1"/>
    <col min="7" max="7" width="16.88671875" customWidth="1"/>
    <col min="8" max="9" width="15.44140625" customWidth="1"/>
    <col min="10" max="10" width="12.6640625" customWidth="1"/>
    <col min="11" max="11" width="11.5546875" customWidth="1"/>
    <col min="12" max="12" width="13.109375" customWidth="1"/>
    <col min="13" max="13" width="11.5546875" customWidth="1"/>
    <col min="18" max="18" width="17" bestFit="1" customWidth="1"/>
    <col min="20" max="20" width="15.88671875" style="10" bestFit="1" customWidth="1"/>
  </cols>
  <sheetData>
    <row r="1" spans="1:22" ht="15" customHeight="1" x14ac:dyDescent="0.3">
      <c r="B1" t="s">
        <v>642</v>
      </c>
      <c r="D1">
        <v>0.45</v>
      </c>
      <c r="E1" s="10" t="s">
        <v>643</v>
      </c>
    </row>
    <row r="2" spans="1:22" ht="15" customHeight="1" x14ac:dyDescent="0.3">
      <c r="B2" t="s">
        <v>669</v>
      </c>
      <c r="D2">
        <v>16000</v>
      </c>
    </row>
    <row r="3" spans="1:22" ht="14.4" x14ac:dyDescent="0.3">
      <c r="B3" t="s">
        <v>364</v>
      </c>
      <c r="C3" t="s">
        <v>670</v>
      </c>
      <c r="D3" s="3" t="s">
        <v>645</v>
      </c>
      <c r="E3" s="6" t="s">
        <v>647</v>
      </c>
      <c r="F3" s="6" t="s">
        <v>671</v>
      </c>
      <c r="G3" s="6"/>
      <c r="H3" s="55"/>
      <c r="I3" s="55"/>
      <c r="J3" s="55"/>
      <c r="K3" s="55"/>
      <c r="L3" s="55"/>
      <c r="M3" s="52"/>
      <c r="O3" s="55"/>
      <c r="P3" s="55"/>
      <c r="R3" s="3"/>
      <c r="S3" s="6"/>
      <c r="T3" s="6"/>
      <c r="U3" s="6"/>
    </row>
    <row r="4" spans="1:22" ht="14.4" x14ac:dyDescent="0.3">
      <c r="B4">
        <f>MROUND(C4,0.1)</f>
        <v>0</v>
      </c>
      <c r="C4">
        <f>D4-$D$4</f>
        <v>0</v>
      </c>
      <c r="D4" s="2">
        <v>45426.529861111114</v>
      </c>
      <c r="E4" s="10">
        <v>1</v>
      </c>
      <c r="F4" s="99">
        <f t="shared" ref="F4:F13" si="0">E4*(273.15+25)/273.15</f>
        <v>1.0915248032216731</v>
      </c>
      <c r="G4" s="51"/>
      <c r="H4" s="51"/>
      <c r="I4" s="54"/>
      <c r="J4" s="10"/>
      <c r="K4" s="10"/>
      <c r="L4" s="10"/>
      <c r="M4" s="10"/>
      <c r="R4" s="2"/>
      <c r="S4" s="54"/>
      <c r="T4" s="54"/>
      <c r="U4" s="10"/>
    </row>
    <row r="5" spans="1:22" ht="14.4" x14ac:dyDescent="0.3">
      <c r="B5">
        <f t="shared" ref="B5:B13" si="1">MROUND(C5,0.1)</f>
        <v>20.3</v>
      </c>
      <c r="C5">
        <f t="shared" ref="C5:C46" si="2">D5-$D$4</f>
        <v>20.306249999994179</v>
      </c>
      <c r="D5" s="2">
        <v>45446.836111111108</v>
      </c>
      <c r="E5" s="10">
        <v>0.5</v>
      </c>
      <c r="F5" s="99">
        <f t="shared" si="0"/>
        <v>0.54576240161083656</v>
      </c>
      <c r="G5" s="51"/>
      <c r="H5" s="51"/>
      <c r="I5" s="54"/>
      <c r="J5" s="10"/>
      <c r="K5" s="10"/>
      <c r="L5" s="10"/>
      <c r="M5" s="10"/>
      <c r="R5" s="2"/>
      <c r="S5" s="54"/>
      <c r="T5" s="54"/>
      <c r="U5" s="10"/>
    </row>
    <row r="6" spans="1:22" ht="14.4" x14ac:dyDescent="0.3">
      <c r="B6">
        <f t="shared" si="1"/>
        <v>20.3</v>
      </c>
      <c r="C6">
        <f t="shared" si="2"/>
        <v>20.310416666667152</v>
      </c>
      <c r="D6" s="2">
        <v>45446.840277777781</v>
      </c>
      <c r="E6" s="10">
        <v>0.3</v>
      </c>
      <c r="F6" s="99">
        <f t="shared" si="0"/>
        <v>0.32745744096650192</v>
      </c>
      <c r="G6" s="51"/>
      <c r="H6" s="51"/>
      <c r="I6" s="54"/>
      <c r="J6" s="10"/>
      <c r="K6" s="10"/>
      <c r="L6" s="10"/>
      <c r="M6" s="10"/>
      <c r="R6" s="2"/>
      <c r="S6" s="54"/>
      <c r="T6" s="54"/>
      <c r="U6" s="10"/>
    </row>
    <row r="7" spans="1:22" ht="14.4" x14ac:dyDescent="0.3">
      <c r="B7">
        <f t="shared" si="1"/>
        <v>20.3</v>
      </c>
      <c r="C7">
        <f t="shared" si="2"/>
        <v>20.321527777778101</v>
      </c>
      <c r="D7" s="2">
        <v>45446.851388888892</v>
      </c>
      <c r="E7" s="10">
        <v>0.2</v>
      </c>
      <c r="F7" s="99">
        <f t="shared" si="0"/>
        <v>0.21830496064433461</v>
      </c>
      <c r="G7" s="51"/>
      <c r="H7" s="51"/>
      <c r="I7" s="54"/>
      <c r="J7" s="10"/>
      <c r="K7" s="10"/>
      <c r="L7" s="10"/>
      <c r="M7" s="10"/>
      <c r="R7" s="2"/>
      <c r="S7" s="54"/>
      <c r="T7" s="54"/>
      <c r="U7" s="10"/>
    </row>
    <row r="8" spans="1:22" ht="14.4" x14ac:dyDescent="0.3">
      <c r="B8">
        <f t="shared" si="1"/>
        <v>21.1</v>
      </c>
      <c r="C8">
        <f t="shared" si="2"/>
        <v>21.105555555550382</v>
      </c>
      <c r="D8" s="2">
        <v>45447.635416666664</v>
      </c>
      <c r="E8" s="10">
        <v>0.5</v>
      </c>
      <c r="F8" s="99">
        <f t="shared" si="0"/>
        <v>0.54576240161083656</v>
      </c>
      <c r="G8" s="51"/>
      <c r="H8" s="51"/>
      <c r="I8" s="54"/>
      <c r="J8" s="10"/>
      <c r="K8" s="10"/>
      <c r="L8" s="10"/>
      <c r="M8" s="10"/>
      <c r="R8" s="2"/>
      <c r="S8" s="54"/>
      <c r="T8" s="54"/>
      <c r="U8" s="10"/>
    </row>
    <row r="9" spans="1:22" ht="14.4" x14ac:dyDescent="0.3">
      <c r="B9">
        <f t="shared" si="1"/>
        <v>21.900000000000002</v>
      </c>
      <c r="C9">
        <f t="shared" si="2"/>
        <v>21.886805555550382</v>
      </c>
      <c r="D9" s="2">
        <v>45448.416666666664</v>
      </c>
      <c r="E9" s="10">
        <v>0</v>
      </c>
      <c r="F9" s="99">
        <f t="shared" si="0"/>
        <v>0</v>
      </c>
      <c r="G9" s="51"/>
      <c r="H9" s="51"/>
      <c r="I9" s="54"/>
      <c r="J9" s="10"/>
      <c r="K9" s="10"/>
      <c r="L9" s="10"/>
      <c r="M9" s="10"/>
      <c r="R9" s="2"/>
      <c r="S9" s="54"/>
      <c r="T9" s="54"/>
      <c r="U9" s="10"/>
    </row>
    <row r="10" spans="1:22" ht="14.4" x14ac:dyDescent="0.3">
      <c r="B10">
        <f t="shared" si="1"/>
        <v>22.900000000000002</v>
      </c>
      <c r="C10">
        <f t="shared" si="2"/>
        <v>22.942361111105129</v>
      </c>
      <c r="D10" s="2">
        <v>45449.472222222219</v>
      </c>
      <c r="E10" s="10">
        <v>0.1</v>
      </c>
      <c r="F10" s="99">
        <f t="shared" si="0"/>
        <v>0.1091524803221673</v>
      </c>
      <c r="G10" s="51"/>
      <c r="H10" s="51"/>
      <c r="I10" s="54"/>
      <c r="J10" s="10"/>
      <c r="K10" s="10"/>
      <c r="L10" s="10"/>
      <c r="M10" s="10"/>
      <c r="R10" s="2"/>
      <c r="S10" s="54"/>
      <c r="T10" s="54"/>
      <c r="U10" s="10"/>
    </row>
    <row r="11" spans="1:22" ht="14.4" x14ac:dyDescent="0.3">
      <c r="A11" t="s">
        <v>672</v>
      </c>
      <c r="B11">
        <f t="shared" si="1"/>
        <v>24</v>
      </c>
      <c r="C11">
        <f t="shared" si="2"/>
        <v>23.994444444440887</v>
      </c>
      <c r="D11" s="47">
        <v>45450.524305555555</v>
      </c>
      <c r="E11" s="10">
        <v>1</v>
      </c>
      <c r="F11" s="99">
        <f t="shared" si="0"/>
        <v>1.0915248032216731</v>
      </c>
      <c r="G11" s="51"/>
      <c r="H11" s="51"/>
      <c r="I11" s="54"/>
      <c r="J11" s="10"/>
      <c r="K11" s="10"/>
      <c r="L11" s="10"/>
      <c r="M11" s="10"/>
      <c r="R11" s="2"/>
      <c r="S11" s="54"/>
      <c r="T11" s="54"/>
      <c r="U11" s="10"/>
    </row>
    <row r="12" spans="1:22" ht="14.4" x14ac:dyDescent="0.3">
      <c r="B12">
        <f t="shared" si="1"/>
        <v>38.200000000000003</v>
      </c>
      <c r="C12">
        <f t="shared" si="2"/>
        <v>38.211805555554747</v>
      </c>
      <c r="D12" s="2">
        <v>45464.741666666669</v>
      </c>
      <c r="E12" s="10">
        <v>1</v>
      </c>
      <c r="F12" s="99">
        <f t="shared" si="0"/>
        <v>1.0915248032216731</v>
      </c>
      <c r="G12" s="51"/>
      <c r="H12" s="51"/>
      <c r="I12" s="54"/>
      <c r="J12" s="10"/>
      <c r="K12" s="10"/>
      <c r="L12" s="10"/>
      <c r="M12" s="10"/>
      <c r="R12" s="2"/>
      <c r="S12" s="54"/>
      <c r="T12" s="54"/>
      <c r="U12" s="10"/>
    </row>
    <row r="13" spans="1:22" ht="14.4" x14ac:dyDescent="0.3">
      <c r="B13">
        <f t="shared" si="1"/>
        <v>38.200000000000003</v>
      </c>
      <c r="C13">
        <f t="shared" si="2"/>
        <v>38.22013888888614</v>
      </c>
      <c r="D13" s="2">
        <v>45464.75</v>
      </c>
      <c r="E13" s="10">
        <v>1</v>
      </c>
      <c r="F13" s="99">
        <f t="shared" si="0"/>
        <v>1.0915248032216731</v>
      </c>
      <c r="G13" s="51"/>
      <c r="H13" s="51"/>
      <c r="I13" s="54"/>
      <c r="J13" s="10"/>
      <c r="K13" s="10"/>
      <c r="L13" s="10"/>
      <c r="M13" s="10"/>
      <c r="R13" s="2"/>
      <c r="S13" s="54"/>
      <c r="U13" s="54"/>
    </row>
    <row r="14" spans="1:22" ht="14.4" x14ac:dyDescent="0.3">
      <c r="B14">
        <f>MROUND(C14,0.1)</f>
        <v>421.20000000000005</v>
      </c>
      <c r="C14">
        <f t="shared" si="2"/>
        <v>421.15625</v>
      </c>
      <c r="D14" s="2">
        <v>45847.686111111114</v>
      </c>
      <c r="E14" s="10">
        <v>1</v>
      </c>
      <c r="F14" s="99">
        <v>1</v>
      </c>
      <c r="G14" s="64" t="s">
        <v>673</v>
      </c>
      <c r="H14" s="51"/>
      <c r="I14" s="54"/>
      <c r="J14" s="10"/>
      <c r="K14" s="10"/>
      <c r="L14" s="10"/>
      <c r="M14" s="10"/>
      <c r="R14" s="2"/>
      <c r="S14" s="54"/>
      <c r="U14" s="54"/>
      <c r="V14" s="64"/>
    </row>
    <row r="15" spans="1:22" ht="14.4" x14ac:dyDescent="0.3">
      <c r="B15">
        <f t="shared" ref="B15:B28" si="3">MROUND(C15,0.1)</f>
        <v>58</v>
      </c>
      <c r="C15">
        <f t="shared" si="2"/>
        <v>57.972222222218988</v>
      </c>
      <c r="D15" s="2">
        <v>45484.502083333333</v>
      </c>
      <c r="E15" s="10">
        <v>0.9</v>
      </c>
      <c r="F15" s="99">
        <f t="shared" ref="F15:F46" si="4">E15</f>
        <v>0.9</v>
      </c>
      <c r="G15" s="51"/>
      <c r="H15" s="51"/>
      <c r="I15" s="54"/>
      <c r="J15" s="10"/>
      <c r="K15" s="10"/>
      <c r="L15" s="10"/>
      <c r="M15" s="10"/>
      <c r="R15" s="2"/>
      <c r="S15" s="54"/>
      <c r="U15" s="54"/>
    </row>
    <row r="16" spans="1:22" ht="14.4" x14ac:dyDescent="0.3">
      <c r="B16">
        <f t="shared" si="3"/>
        <v>58.900000000000006</v>
      </c>
      <c r="C16">
        <f t="shared" si="2"/>
        <v>58.868055555554747</v>
      </c>
      <c r="D16" s="2">
        <v>45485.397916666669</v>
      </c>
      <c r="E16" s="10">
        <v>0.88800000000000001</v>
      </c>
      <c r="F16" s="99">
        <f t="shared" si="4"/>
        <v>0.88800000000000001</v>
      </c>
      <c r="G16" s="51"/>
      <c r="H16" s="51"/>
      <c r="I16" s="54"/>
      <c r="J16" s="10"/>
      <c r="K16" s="10"/>
      <c r="L16" s="10"/>
      <c r="M16" s="10"/>
      <c r="R16" s="2"/>
      <c r="S16" s="54"/>
      <c r="U16" s="54"/>
    </row>
    <row r="17" spans="2:21" ht="15" customHeight="1" x14ac:dyDescent="0.3">
      <c r="B17">
        <f t="shared" si="3"/>
        <v>65</v>
      </c>
      <c r="C17">
        <f t="shared" si="2"/>
        <v>65.022916666661331</v>
      </c>
      <c r="D17" s="2">
        <v>45491.552777777775</v>
      </c>
      <c r="E17" s="10">
        <v>0.98799999999999999</v>
      </c>
      <c r="F17" s="99">
        <f t="shared" si="4"/>
        <v>0.98799999999999999</v>
      </c>
      <c r="G17" s="51"/>
      <c r="H17" s="51"/>
      <c r="I17" s="54"/>
      <c r="J17" s="10"/>
      <c r="K17" s="10"/>
      <c r="L17" s="10"/>
      <c r="M17" s="10"/>
      <c r="R17" s="2"/>
      <c r="S17" s="54"/>
      <c r="U17" s="54"/>
    </row>
    <row r="18" spans="2:21" ht="15" customHeight="1" x14ac:dyDescent="0.3">
      <c r="B18">
        <f t="shared" si="3"/>
        <v>70.8</v>
      </c>
      <c r="C18">
        <f t="shared" si="2"/>
        <v>70.849305555551837</v>
      </c>
      <c r="D18" s="2">
        <v>45497.379166666666</v>
      </c>
      <c r="E18" s="10">
        <v>1.2</v>
      </c>
      <c r="F18" s="99">
        <f t="shared" si="4"/>
        <v>1.2</v>
      </c>
      <c r="G18" s="51"/>
      <c r="H18" s="51"/>
      <c r="I18" s="54"/>
      <c r="J18" s="10"/>
      <c r="K18" s="10"/>
      <c r="L18" s="10"/>
      <c r="M18" s="10"/>
      <c r="R18" s="44"/>
      <c r="S18" s="54"/>
      <c r="U18" s="54"/>
    </row>
    <row r="19" spans="2:21" ht="15" customHeight="1" x14ac:dyDescent="0.3">
      <c r="B19">
        <f t="shared" si="3"/>
        <v>72.2</v>
      </c>
      <c r="C19">
        <f t="shared" si="2"/>
        <v>72.151388888887595</v>
      </c>
      <c r="D19" s="44">
        <v>45498.681250000001</v>
      </c>
      <c r="E19" s="10">
        <v>1.3</v>
      </c>
      <c r="F19" s="99">
        <f t="shared" si="4"/>
        <v>1.3</v>
      </c>
      <c r="G19" s="51"/>
      <c r="H19" s="51"/>
      <c r="I19" s="54"/>
      <c r="J19" s="10"/>
      <c r="K19" s="10"/>
      <c r="L19" s="10"/>
      <c r="M19" s="10"/>
      <c r="R19" s="2"/>
      <c r="S19" s="54"/>
      <c r="U19" s="54"/>
    </row>
    <row r="20" spans="2:21" ht="15.6" customHeight="1" x14ac:dyDescent="0.3">
      <c r="B20">
        <f t="shared" si="3"/>
        <v>77.2</v>
      </c>
      <c r="C20">
        <f t="shared" si="2"/>
        <v>77.161805555551837</v>
      </c>
      <c r="D20" s="2">
        <v>45503.691666666666</v>
      </c>
      <c r="E20" s="10">
        <v>1</v>
      </c>
      <c r="F20" s="99">
        <f t="shared" si="4"/>
        <v>1</v>
      </c>
      <c r="G20" s="51"/>
      <c r="H20" s="51"/>
      <c r="I20" s="54"/>
      <c r="J20" s="10"/>
      <c r="K20" s="10"/>
      <c r="L20" s="10"/>
      <c r="M20" s="10"/>
      <c r="R20" s="44"/>
      <c r="S20" s="54"/>
      <c r="U20" s="54"/>
    </row>
    <row r="21" spans="2:21" ht="15" customHeight="1" x14ac:dyDescent="0.3">
      <c r="B21">
        <f t="shared" si="3"/>
        <v>79</v>
      </c>
      <c r="C21">
        <f t="shared" si="2"/>
        <v>78.997222222220444</v>
      </c>
      <c r="D21" s="2">
        <v>45505.527083333334</v>
      </c>
      <c r="E21" s="10">
        <v>1.2</v>
      </c>
      <c r="F21" s="99">
        <f t="shared" si="4"/>
        <v>1.2</v>
      </c>
      <c r="G21" s="51"/>
      <c r="H21" s="51"/>
      <c r="I21" s="54"/>
      <c r="J21" s="10"/>
      <c r="K21" s="10"/>
      <c r="L21" s="10"/>
      <c r="M21" s="10"/>
      <c r="R21" s="2"/>
      <c r="S21" s="54"/>
      <c r="U21" s="54"/>
    </row>
    <row r="22" spans="2:21" ht="15" customHeight="1" x14ac:dyDescent="0.3">
      <c r="B22">
        <f t="shared" si="3"/>
        <v>79</v>
      </c>
      <c r="C22">
        <f t="shared" si="2"/>
        <v>78.997916666667152</v>
      </c>
      <c r="D22" s="47">
        <v>45505.527777777781</v>
      </c>
      <c r="E22" s="50">
        <v>1</v>
      </c>
      <c r="F22" s="99">
        <f t="shared" si="4"/>
        <v>1</v>
      </c>
      <c r="G22" s="51"/>
      <c r="H22" s="51"/>
      <c r="I22" s="54"/>
      <c r="J22" s="10"/>
      <c r="K22" s="10"/>
      <c r="L22" s="10"/>
      <c r="M22" s="10"/>
      <c r="R22" s="2"/>
      <c r="S22" s="54"/>
      <c r="U22" s="54"/>
    </row>
    <row r="23" spans="2:21" ht="15" customHeight="1" x14ac:dyDescent="0.3">
      <c r="B23">
        <f t="shared" si="3"/>
        <v>90</v>
      </c>
      <c r="C23">
        <f t="shared" si="2"/>
        <v>90.03125</v>
      </c>
      <c r="D23" s="2">
        <v>45516.561111111114</v>
      </c>
      <c r="E23" s="10">
        <v>1.2</v>
      </c>
      <c r="F23" s="99">
        <f t="shared" si="4"/>
        <v>1.2</v>
      </c>
      <c r="G23" s="51"/>
      <c r="H23" s="51"/>
      <c r="I23" s="54"/>
      <c r="J23" s="10"/>
      <c r="K23" s="10"/>
      <c r="L23" s="10"/>
      <c r="M23" s="10"/>
      <c r="R23" s="2"/>
      <c r="S23" s="54"/>
      <c r="U23" s="54"/>
    </row>
    <row r="24" spans="2:21" ht="15" customHeight="1" x14ac:dyDescent="0.3">
      <c r="B24">
        <f t="shared" si="3"/>
        <v>97.2</v>
      </c>
      <c r="C24">
        <f t="shared" si="2"/>
        <v>97.154861111106584</v>
      </c>
      <c r="D24" s="2">
        <v>45523.68472222222</v>
      </c>
      <c r="E24" s="10">
        <v>1</v>
      </c>
      <c r="F24" s="99">
        <f t="shared" si="4"/>
        <v>1</v>
      </c>
      <c r="G24" s="51"/>
      <c r="H24" s="51"/>
      <c r="I24" s="54"/>
      <c r="J24" s="10"/>
      <c r="K24" s="10"/>
      <c r="L24" s="10"/>
      <c r="M24" s="10"/>
      <c r="R24" s="2"/>
      <c r="S24" s="54"/>
      <c r="U24" s="54"/>
    </row>
    <row r="25" spans="2:21" ht="15" customHeight="1" x14ac:dyDescent="0.3">
      <c r="B25">
        <f t="shared" si="3"/>
        <v>107.2</v>
      </c>
      <c r="C25">
        <f t="shared" si="2"/>
        <v>107.15694444443943</v>
      </c>
      <c r="D25" s="2">
        <v>45533.686805555553</v>
      </c>
      <c r="E25" s="10">
        <v>1.2</v>
      </c>
      <c r="F25" s="99">
        <f t="shared" si="4"/>
        <v>1.2</v>
      </c>
      <c r="G25" s="51"/>
      <c r="H25" s="51"/>
      <c r="I25" s="54"/>
      <c r="J25" s="10"/>
      <c r="K25" s="10"/>
      <c r="L25" s="10"/>
      <c r="M25" s="10"/>
      <c r="R25" s="2"/>
      <c r="S25" s="54"/>
      <c r="U25" s="54"/>
    </row>
    <row r="26" spans="2:21" ht="15" customHeight="1" x14ac:dyDescent="0.3">
      <c r="B26">
        <f t="shared" si="3"/>
        <v>147</v>
      </c>
      <c r="C26">
        <f t="shared" si="2"/>
        <v>146.97430555555184</v>
      </c>
      <c r="D26" s="2">
        <v>45573.504166666666</v>
      </c>
      <c r="E26" s="10">
        <v>0.6</v>
      </c>
      <c r="F26" s="99">
        <f t="shared" si="4"/>
        <v>0.6</v>
      </c>
      <c r="G26" s="51"/>
      <c r="H26" s="51"/>
      <c r="I26" s="54"/>
      <c r="J26" s="10"/>
      <c r="K26" s="10"/>
      <c r="L26" s="10"/>
      <c r="M26" s="10"/>
      <c r="R26" s="101"/>
      <c r="S26" s="54"/>
      <c r="T26" s="102"/>
      <c r="U26" s="10"/>
    </row>
    <row r="27" spans="2:21" ht="15" customHeight="1" x14ac:dyDescent="0.3">
      <c r="B27">
        <f t="shared" si="3"/>
        <v>151</v>
      </c>
      <c r="C27">
        <f t="shared" si="2"/>
        <v>151.02083333332848</v>
      </c>
      <c r="D27" s="2">
        <v>45577.550694444442</v>
      </c>
      <c r="E27" s="10">
        <v>1</v>
      </c>
      <c r="F27" s="99">
        <f t="shared" si="4"/>
        <v>1</v>
      </c>
      <c r="G27" s="51"/>
      <c r="H27" s="51"/>
      <c r="I27" s="54"/>
      <c r="J27" s="10"/>
      <c r="K27" s="10"/>
      <c r="L27" s="10"/>
      <c r="M27" s="10"/>
      <c r="R27" s="2"/>
      <c r="S27" s="54"/>
      <c r="U27" s="10"/>
    </row>
    <row r="28" spans="2:21" ht="15" customHeight="1" x14ac:dyDescent="0.3">
      <c r="B28">
        <f t="shared" si="3"/>
        <v>153.20000000000002</v>
      </c>
      <c r="C28">
        <f t="shared" si="2"/>
        <v>153.19583333333139</v>
      </c>
      <c r="D28" s="2">
        <v>45579.725694444445</v>
      </c>
      <c r="E28" s="10">
        <v>1.2</v>
      </c>
      <c r="F28" s="99">
        <f t="shared" si="4"/>
        <v>1.2</v>
      </c>
      <c r="G28" s="51"/>
      <c r="H28" s="51"/>
      <c r="I28" s="54"/>
      <c r="J28" s="10"/>
      <c r="K28" s="10"/>
      <c r="L28" s="10"/>
      <c r="M28" s="10"/>
      <c r="U28" s="10"/>
    </row>
    <row r="29" spans="2:21" ht="15" customHeight="1" x14ac:dyDescent="0.3">
      <c r="B29">
        <f>MROUND(C29,0.1)</f>
        <v>167</v>
      </c>
      <c r="C29">
        <f t="shared" si="2"/>
        <v>167.00138888888614</v>
      </c>
      <c r="D29" s="2">
        <v>45593.53125</v>
      </c>
      <c r="E29" s="10">
        <v>1.25</v>
      </c>
      <c r="F29" s="99">
        <f t="shared" si="4"/>
        <v>1.25</v>
      </c>
      <c r="G29" s="51"/>
      <c r="H29" s="51"/>
      <c r="I29" s="54"/>
      <c r="J29" s="10"/>
      <c r="K29" s="10"/>
      <c r="L29" s="10"/>
      <c r="M29" s="10"/>
      <c r="U29" s="10"/>
    </row>
    <row r="30" spans="2:21" ht="15" customHeight="1" x14ac:dyDescent="0.3">
      <c r="B30">
        <f t="shared" ref="B30:B46" si="5">MROUND(C30,0.1)</f>
        <v>184.10000000000002</v>
      </c>
      <c r="C30">
        <f t="shared" si="2"/>
        <v>184.1472222222219</v>
      </c>
      <c r="D30" s="2">
        <v>45610.677083333336</v>
      </c>
      <c r="E30" s="10">
        <v>1.2969999999999999</v>
      </c>
      <c r="F30" s="99">
        <f t="shared" si="4"/>
        <v>1.2969999999999999</v>
      </c>
    </row>
    <row r="31" spans="2:21" ht="15" customHeight="1" x14ac:dyDescent="0.3">
      <c r="B31">
        <f t="shared" si="5"/>
        <v>185.20000000000002</v>
      </c>
      <c r="C31">
        <f t="shared" si="2"/>
        <v>185.16180555555184</v>
      </c>
      <c r="D31" s="2">
        <v>45611.691666666666</v>
      </c>
      <c r="E31" s="10">
        <v>1.331</v>
      </c>
      <c r="F31" s="99">
        <f t="shared" si="4"/>
        <v>1.331</v>
      </c>
    </row>
    <row r="32" spans="2:21" ht="15" customHeight="1" x14ac:dyDescent="0.3">
      <c r="B32">
        <f t="shared" si="5"/>
        <v>189.9</v>
      </c>
      <c r="C32">
        <f t="shared" si="2"/>
        <v>189.94722222221753</v>
      </c>
      <c r="D32" s="2">
        <v>45616.477083333331</v>
      </c>
      <c r="E32" s="10">
        <v>1.3480000000000001</v>
      </c>
      <c r="F32" s="99">
        <f t="shared" si="4"/>
        <v>1.3480000000000001</v>
      </c>
      <c r="G32" t="s">
        <v>674</v>
      </c>
    </row>
    <row r="33" spans="2:6" ht="15" customHeight="1" x14ac:dyDescent="0.3">
      <c r="B33">
        <f t="shared" si="5"/>
        <v>197.20000000000002</v>
      </c>
      <c r="C33">
        <f t="shared" si="2"/>
        <v>197.15486111110658</v>
      </c>
      <c r="D33" s="2">
        <v>45623.68472222222</v>
      </c>
      <c r="E33" s="10">
        <v>1.48</v>
      </c>
      <c r="F33" s="99">
        <f t="shared" si="4"/>
        <v>1.48</v>
      </c>
    </row>
    <row r="34" spans="2:6" ht="15" customHeight="1" x14ac:dyDescent="0.3">
      <c r="B34">
        <f t="shared" si="5"/>
        <v>211.10000000000002</v>
      </c>
      <c r="C34">
        <f t="shared" si="2"/>
        <v>211.10138888888469</v>
      </c>
      <c r="D34" s="2">
        <v>45637.631249999999</v>
      </c>
      <c r="E34" s="10">
        <v>1.4970000000000001</v>
      </c>
      <c r="F34" s="99">
        <f t="shared" si="4"/>
        <v>1.4970000000000001</v>
      </c>
    </row>
    <row r="35" spans="2:6" ht="15" customHeight="1" x14ac:dyDescent="0.3">
      <c r="B35">
        <f t="shared" si="5"/>
        <v>218</v>
      </c>
      <c r="C35">
        <f t="shared" si="2"/>
        <v>217.9909722222219</v>
      </c>
      <c r="D35" s="2">
        <v>45644.520833333336</v>
      </c>
      <c r="E35" s="10">
        <v>1.508</v>
      </c>
      <c r="F35" s="99">
        <f t="shared" si="4"/>
        <v>1.508</v>
      </c>
    </row>
    <row r="36" spans="2:6" ht="15" customHeight="1" x14ac:dyDescent="0.3">
      <c r="B36">
        <f t="shared" si="5"/>
        <v>237.20000000000002</v>
      </c>
      <c r="C36">
        <f t="shared" si="2"/>
        <v>237.17152777777665</v>
      </c>
      <c r="D36" s="2">
        <v>45663.701388888891</v>
      </c>
      <c r="E36" s="10">
        <v>1.583</v>
      </c>
      <c r="F36" s="99">
        <f t="shared" si="4"/>
        <v>1.583</v>
      </c>
    </row>
    <row r="37" spans="2:6" ht="15" customHeight="1" x14ac:dyDescent="0.3">
      <c r="B37">
        <f t="shared" si="5"/>
        <v>251.10000000000002</v>
      </c>
      <c r="C37">
        <f t="shared" si="2"/>
        <v>251.07916666666279</v>
      </c>
      <c r="D37" s="2">
        <v>45677.609027777777</v>
      </c>
      <c r="E37" s="10">
        <v>1.663</v>
      </c>
      <c r="F37" s="99">
        <f t="shared" si="4"/>
        <v>1.663</v>
      </c>
    </row>
    <row r="38" spans="2:6" ht="15" customHeight="1" x14ac:dyDescent="0.3">
      <c r="B38">
        <f t="shared" si="5"/>
        <v>259.10000000000002</v>
      </c>
      <c r="C38">
        <f t="shared" si="2"/>
        <v>259.07083333333139</v>
      </c>
      <c r="D38" s="2">
        <v>45685.600694444445</v>
      </c>
      <c r="E38" s="10">
        <v>1.83</v>
      </c>
      <c r="F38" s="99">
        <f t="shared" si="4"/>
        <v>1.83</v>
      </c>
    </row>
    <row r="39" spans="2:6" ht="15" customHeight="1" x14ac:dyDescent="0.3">
      <c r="B39">
        <f t="shared" si="5"/>
        <v>273.2</v>
      </c>
      <c r="C39">
        <f t="shared" si="2"/>
        <v>273.22499999999854</v>
      </c>
      <c r="D39" s="2">
        <v>45699.754861111112</v>
      </c>
      <c r="E39" s="10">
        <v>2.1030000000000002</v>
      </c>
      <c r="F39" s="99">
        <f t="shared" si="4"/>
        <v>2.1030000000000002</v>
      </c>
    </row>
    <row r="40" spans="2:6" ht="15" customHeight="1" x14ac:dyDescent="0.3">
      <c r="B40">
        <f t="shared" si="5"/>
        <v>274.90000000000003</v>
      </c>
      <c r="C40">
        <f t="shared" si="2"/>
        <v>274.93124999999418</v>
      </c>
      <c r="D40" s="2">
        <v>45701.461111111108</v>
      </c>
      <c r="E40" s="10">
        <v>2.3130000000000002</v>
      </c>
      <c r="F40" s="99">
        <f t="shared" si="4"/>
        <v>2.3130000000000002</v>
      </c>
    </row>
    <row r="41" spans="2:6" ht="15" customHeight="1" x14ac:dyDescent="0.3">
      <c r="B41">
        <f t="shared" si="5"/>
        <v>278.90000000000003</v>
      </c>
      <c r="C41">
        <f t="shared" si="2"/>
        <v>278.91111111110513</v>
      </c>
      <c r="D41" s="2">
        <v>45705.440972222219</v>
      </c>
      <c r="E41" s="10">
        <v>2.1030000000000002</v>
      </c>
      <c r="F41" s="99">
        <f t="shared" si="4"/>
        <v>2.1030000000000002</v>
      </c>
    </row>
    <row r="42" spans="2:6" ht="15" customHeight="1" x14ac:dyDescent="0.3">
      <c r="B42">
        <f t="shared" si="5"/>
        <v>282.10000000000002</v>
      </c>
      <c r="C42">
        <f t="shared" si="2"/>
        <v>282.08263888888905</v>
      </c>
      <c r="D42" s="2">
        <v>45708.612500000003</v>
      </c>
      <c r="E42" s="10">
        <v>2.7749999999999999</v>
      </c>
      <c r="F42" s="99">
        <f t="shared" si="4"/>
        <v>2.7749999999999999</v>
      </c>
    </row>
    <row r="43" spans="2:6" ht="15" customHeight="1" x14ac:dyDescent="0.3">
      <c r="B43">
        <f t="shared" si="5"/>
        <v>287</v>
      </c>
      <c r="C43">
        <f t="shared" si="2"/>
        <v>287.04097222221753</v>
      </c>
      <c r="D43" s="2">
        <v>45713.570833333331</v>
      </c>
      <c r="E43" s="10">
        <v>2.77</v>
      </c>
      <c r="F43" s="99">
        <f t="shared" si="4"/>
        <v>2.77</v>
      </c>
    </row>
    <row r="44" spans="2:6" ht="15" customHeight="1" x14ac:dyDescent="0.3">
      <c r="B44">
        <f t="shared" si="5"/>
        <v>303.2</v>
      </c>
      <c r="C44">
        <f t="shared" si="2"/>
        <v>303.18541666666715</v>
      </c>
      <c r="D44" s="2">
        <v>45729.715277777781</v>
      </c>
      <c r="E44" s="10">
        <v>3.3239999999999998</v>
      </c>
      <c r="F44" s="99">
        <f t="shared" si="4"/>
        <v>3.3239999999999998</v>
      </c>
    </row>
    <row r="45" spans="2:6" ht="15" customHeight="1" x14ac:dyDescent="0.3">
      <c r="B45">
        <f t="shared" si="5"/>
        <v>309.90000000000003</v>
      </c>
      <c r="C45">
        <f t="shared" si="2"/>
        <v>309.90486111110658</v>
      </c>
      <c r="D45" s="2">
        <v>45736.43472222222</v>
      </c>
      <c r="E45" s="10">
        <v>3.988</v>
      </c>
      <c r="F45" s="99">
        <f t="shared" si="4"/>
        <v>3.988</v>
      </c>
    </row>
    <row r="46" spans="2:6" ht="15" customHeight="1" x14ac:dyDescent="0.3">
      <c r="B46">
        <f t="shared" si="5"/>
        <v>314.10000000000002</v>
      </c>
      <c r="C46">
        <f t="shared" si="2"/>
        <v>314.12291666666715</v>
      </c>
      <c r="D46" s="2">
        <v>45740.652777777781</v>
      </c>
      <c r="E46" s="10">
        <v>3.9470000000000001</v>
      </c>
      <c r="F46" s="99">
        <f t="shared" si="4"/>
        <v>3.9470000000000001</v>
      </c>
    </row>
    <row r="47" spans="2:6" ht="15" customHeight="1" x14ac:dyDescent="0.3">
      <c r="D47" s="2"/>
    </row>
    <row r="48" spans="2:6" ht="15" customHeight="1" x14ac:dyDescent="0.3">
      <c r="D48" s="2"/>
    </row>
    <row r="49" spans="4:4" ht="15" customHeight="1" x14ac:dyDescent="0.3">
      <c r="D49" s="2"/>
    </row>
    <row r="50" spans="4:4" ht="15" customHeight="1" x14ac:dyDescent="0.3">
      <c r="D50" s="2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C108C-B80B-4B47-9DD2-7A9268771AEB}">
  <dimension ref="A1:BU183"/>
  <sheetViews>
    <sheetView topLeftCell="G1" zoomScale="85" zoomScaleNormal="85" workbookViewId="0">
      <pane ySplit="2" topLeftCell="A51" activePane="bottomLeft" state="frozen"/>
      <selection pane="bottomLeft" activeCell="P65" sqref="P65"/>
    </sheetView>
  </sheetViews>
  <sheetFormatPr defaultRowHeight="15" customHeight="1" x14ac:dyDescent="0.3"/>
  <cols>
    <col min="1" max="1" width="10.44140625" bestFit="1" customWidth="1"/>
    <col min="2" max="2" width="10.44140625" customWidth="1"/>
    <col min="3" max="3" width="15.6640625" customWidth="1"/>
    <col min="4" max="4" width="14.6640625" customWidth="1"/>
    <col min="5" max="6" width="19.33203125" customWidth="1"/>
    <col min="7" max="10" width="15" customWidth="1"/>
    <col min="11" max="11" width="17.44140625" customWidth="1"/>
    <col min="12" max="15" width="20.44140625" customWidth="1"/>
    <col min="16" max="17" width="15" customWidth="1"/>
    <col min="18" max="18" width="9.33203125" customWidth="1"/>
    <col min="19" max="19" width="12.44140625" bestFit="1" customWidth="1"/>
    <col min="20" max="20" width="15.5546875" bestFit="1" customWidth="1"/>
    <col min="21" max="21" width="13.44140625" bestFit="1" customWidth="1"/>
    <col min="22" max="22" width="12" customWidth="1"/>
    <col min="23" max="23" width="15" customWidth="1"/>
    <col min="24" max="24" width="11.5546875" customWidth="1"/>
    <col min="25" max="27" width="15" customWidth="1"/>
    <col min="28" max="28" width="16" customWidth="1"/>
    <col min="29" max="32" width="15" customWidth="1"/>
    <col min="33" max="33" width="17.6640625" customWidth="1"/>
    <col min="34" max="37" width="18.88671875" customWidth="1"/>
    <col min="38" max="38" width="24.33203125" customWidth="1"/>
    <col min="39" max="39" width="12.88671875" customWidth="1"/>
    <col min="40" max="44" width="11.6640625" customWidth="1"/>
    <col min="45" max="45" width="22.109375" customWidth="1"/>
    <col min="46" max="46" width="19" customWidth="1"/>
    <col min="50" max="50" width="17.33203125" customWidth="1"/>
    <col min="52" max="52" width="13.33203125" customWidth="1"/>
  </cols>
  <sheetData>
    <row r="1" spans="1:73" ht="18" x14ac:dyDescent="0.35">
      <c r="C1">
        <v>1.8180000000000001</v>
      </c>
      <c r="D1" t="s">
        <v>675</v>
      </c>
      <c r="E1" s="43" t="s">
        <v>676</v>
      </c>
      <c r="F1" t="s">
        <v>677</v>
      </c>
      <c r="G1">
        <v>0.33</v>
      </c>
      <c r="N1" s="103"/>
      <c r="P1" s="46" t="s">
        <v>678</v>
      </c>
      <c r="Y1" s="103"/>
      <c r="AA1" s="46" t="s">
        <v>679</v>
      </c>
      <c r="AJ1" s="103"/>
    </row>
    <row r="2" spans="1:73" ht="28.8" x14ac:dyDescent="0.3">
      <c r="A2" t="s">
        <v>680</v>
      </c>
      <c r="C2">
        <v>1.0669999999999999</v>
      </c>
      <c r="D2" t="s">
        <v>681</v>
      </c>
      <c r="E2" s="3" t="s">
        <v>474</v>
      </c>
      <c r="F2" s="3" t="s">
        <v>465</v>
      </c>
      <c r="G2" s="3" t="s">
        <v>621</v>
      </c>
      <c r="H2" s="3" t="s">
        <v>682</v>
      </c>
      <c r="I2" s="3" t="s">
        <v>683</v>
      </c>
      <c r="J2" s="3" t="s">
        <v>684</v>
      </c>
      <c r="K2" s="3" t="s">
        <v>349</v>
      </c>
      <c r="L2" s="3" t="s">
        <v>350</v>
      </c>
      <c r="M2" s="3" t="s">
        <v>351</v>
      </c>
      <c r="N2" s="133" t="s">
        <v>352</v>
      </c>
      <c r="O2" s="3"/>
      <c r="P2" s="3" t="s">
        <v>474</v>
      </c>
      <c r="Q2" s="3" t="s">
        <v>465</v>
      </c>
      <c r="R2" s="3" t="s">
        <v>621</v>
      </c>
      <c r="S2" s="3" t="s">
        <v>682</v>
      </c>
      <c r="T2" s="3" t="s">
        <v>683</v>
      </c>
      <c r="U2" s="3" t="s">
        <v>684</v>
      </c>
      <c r="V2" s="12" t="s">
        <v>349</v>
      </c>
      <c r="W2" s="12" t="s">
        <v>350</v>
      </c>
      <c r="X2" s="12" t="s">
        <v>351</v>
      </c>
      <c r="Y2" s="133" t="s">
        <v>352</v>
      </c>
      <c r="AA2" s="3" t="s">
        <v>474</v>
      </c>
      <c r="AB2" s="3" t="s">
        <v>244</v>
      </c>
      <c r="AC2" s="3" t="s">
        <v>621</v>
      </c>
      <c r="AD2" s="3" t="s">
        <v>682</v>
      </c>
      <c r="AE2" s="3" t="s">
        <v>683</v>
      </c>
      <c r="AF2" s="3" t="s">
        <v>684</v>
      </c>
      <c r="AG2" s="3" t="s">
        <v>349</v>
      </c>
      <c r="AH2" s="3" t="s">
        <v>350</v>
      </c>
      <c r="AI2" s="3" t="s">
        <v>351</v>
      </c>
      <c r="AJ2" s="133" t="s">
        <v>352</v>
      </c>
      <c r="AK2" s="3"/>
      <c r="AL2" s="3" t="s">
        <v>31</v>
      </c>
      <c r="AM2" s="3" t="s">
        <v>621</v>
      </c>
      <c r="AN2" s="3" t="s">
        <v>483</v>
      </c>
      <c r="AO2" s="3" t="s">
        <v>685</v>
      </c>
      <c r="AP2" s="3" t="s">
        <v>30</v>
      </c>
      <c r="AQ2" s="3" t="s">
        <v>685</v>
      </c>
      <c r="AR2" s="3" t="s">
        <v>30</v>
      </c>
      <c r="AS2" s="3" t="s">
        <v>22</v>
      </c>
      <c r="AT2" s="3" t="s">
        <v>686</v>
      </c>
      <c r="AW2" s="3" t="s">
        <v>23</v>
      </c>
      <c r="AX2" s="3" t="s">
        <v>474</v>
      </c>
      <c r="AY2" s="3" t="s">
        <v>465</v>
      </c>
      <c r="AZ2" s="3" t="s">
        <v>477</v>
      </c>
      <c r="BA2" s="3" t="s">
        <v>31</v>
      </c>
      <c r="BB2" s="3" t="s">
        <v>621</v>
      </c>
      <c r="BC2" s="3" t="s">
        <v>483</v>
      </c>
      <c r="BD2" s="3" t="s">
        <v>685</v>
      </c>
      <c r="BE2" s="3" t="s">
        <v>30</v>
      </c>
      <c r="BF2" s="3" t="s">
        <v>22</v>
      </c>
      <c r="BG2" s="3" t="s">
        <v>686</v>
      </c>
      <c r="BI2" s="3" t="s">
        <v>23</v>
      </c>
      <c r="BJ2" s="3" t="s">
        <v>474</v>
      </c>
      <c r="BK2" s="3" t="s">
        <v>465</v>
      </c>
      <c r="BL2" s="3" t="s">
        <v>477</v>
      </c>
      <c r="BM2" s="3" t="s">
        <v>31</v>
      </c>
      <c r="BN2" s="3" t="s">
        <v>621</v>
      </c>
      <c r="BO2" s="3" t="s">
        <v>483</v>
      </c>
      <c r="BP2" s="3" t="s">
        <v>685</v>
      </c>
      <c r="BQ2" s="3" t="s">
        <v>30</v>
      </c>
      <c r="BR2" s="3"/>
      <c r="BS2" s="3"/>
      <c r="BT2" s="3" t="s">
        <v>22</v>
      </c>
      <c r="BU2" s="3" t="s">
        <v>686</v>
      </c>
    </row>
    <row r="3" spans="1:73" ht="14.4" x14ac:dyDescent="0.3">
      <c r="C3">
        <v>1.514</v>
      </c>
      <c r="D3" t="s">
        <v>687</v>
      </c>
      <c r="E3" s="2">
        <v>45426.571527777778</v>
      </c>
      <c r="F3" s="39">
        <f t="shared" ref="F3:F22" si="0">E3-$C$4</f>
        <v>4.2361111110949423E-2</v>
      </c>
      <c r="G3">
        <v>10</v>
      </c>
      <c r="H3" s="39">
        <f>AVERAGE(151.36, 175.057, 125.822)</f>
        <v>150.74633333333335</v>
      </c>
      <c r="I3" s="39">
        <f>AVERAGE(9.827, 11.601, 8.345)</f>
        <v>9.924333333333335</v>
      </c>
      <c r="J3" s="66"/>
      <c r="K3" s="39">
        <f>IF(H3&lt;$G$1,"",G3*H3)</f>
        <v>1507.4633333333336</v>
      </c>
      <c r="L3" s="39">
        <f>IF(I3&lt;$G$1,"",H3*I3)</f>
        <v>1496.0568607777782</v>
      </c>
      <c r="M3" s="66"/>
      <c r="N3" s="39">
        <f>IFERROR(SUM(K3*$C$2,L3*$C$3,M3*$C$1),K3*$C$2)</f>
        <v>3873.4934638842233</v>
      </c>
      <c r="O3" s="39"/>
      <c r="P3" s="2">
        <v>45426.571527777778</v>
      </c>
      <c r="Q3" s="39">
        <f t="shared" ref="Q3:Q69" si="1">P3-$C$4</f>
        <v>4.2361111110949423E-2</v>
      </c>
      <c r="R3" s="39">
        <v>10</v>
      </c>
      <c r="S3" s="39">
        <f>AVERAGE(210.962, 213.842, 205.1)</f>
        <v>209.96799999999999</v>
      </c>
      <c r="T3" s="39">
        <f>AVERAGE(13.481, 13.855, 13.424)</f>
        <v>13.586666666666666</v>
      </c>
      <c r="U3" s="66"/>
      <c r="V3" s="39">
        <f>IF(S3&lt;$G$1,"",S3*R3)</f>
        <v>2099.6799999999998</v>
      </c>
      <c r="W3" s="39">
        <f>IF(T3&lt;$G$1,"",R3*T3)</f>
        <v>135.86666666666667</v>
      </c>
      <c r="X3" s="66"/>
      <c r="Y3" s="39">
        <f>IFERROR(SUM(V3*$C$2,W3*$C$3,X3*$C$1),V3*$C$2)</f>
        <v>2446.0606933333329</v>
      </c>
      <c r="AA3" s="2">
        <v>45427</v>
      </c>
      <c r="AB3" s="39">
        <f t="shared" ref="AB3:AB49" si="2">AA3-$C$4</f>
        <v>0.47083333333284827</v>
      </c>
      <c r="AC3" s="39">
        <v>10</v>
      </c>
      <c r="AD3" s="45">
        <f>AVERAGE(230.145, 201.324, 196.017)</f>
        <v>209.16200000000003</v>
      </c>
      <c r="AE3" s="45">
        <f>AVERAGE(18.171, 15.74, 15.389)</f>
        <v>16.433333333333334</v>
      </c>
      <c r="AF3" s="67"/>
      <c r="AG3" s="45">
        <f>IF(AD3&lt;$G$1,"",AC3*AD3)</f>
        <v>2091.6200000000003</v>
      </c>
      <c r="AH3" s="45">
        <f>IF(AE3&lt;$G$1,"",AC3*AE3)</f>
        <v>164.33333333333334</v>
      </c>
      <c r="AI3" s="67"/>
      <c r="AJ3" s="45">
        <f>IFERROR(SUM(AG3*$C$2,AH3*$C$3,AI3*$C$1),AG3*$C$2)</f>
        <v>2480.5592066666668</v>
      </c>
      <c r="AK3" s="45"/>
      <c r="AL3" t="s">
        <v>492</v>
      </c>
      <c r="AM3">
        <v>10</v>
      </c>
      <c r="AN3">
        <v>3</v>
      </c>
      <c r="AO3">
        <v>700.98343333333332</v>
      </c>
      <c r="AP3">
        <v>0.52079365341114958</v>
      </c>
      <c r="AW3" t="s">
        <v>688</v>
      </c>
      <c r="AX3" s="2">
        <v>45426.571527777778</v>
      </c>
      <c r="AY3">
        <f>AX3-$C$4</f>
        <v>4.2361111110949423E-2</v>
      </c>
      <c r="AZ3" s="4">
        <v>45426</v>
      </c>
      <c r="BA3" t="s">
        <v>498</v>
      </c>
      <c r="BB3">
        <v>10</v>
      </c>
      <c r="BC3">
        <v>3</v>
      </c>
      <c r="BI3" t="s">
        <v>689</v>
      </c>
      <c r="BJ3" s="2">
        <v>45427</v>
      </c>
      <c r="BK3">
        <f>BJ3-$C$4</f>
        <v>0.47083333333284827</v>
      </c>
      <c r="BL3" s="4">
        <v>45427</v>
      </c>
      <c r="BM3" t="s">
        <v>690</v>
      </c>
      <c r="BN3">
        <v>10</v>
      </c>
      <c r="BO3">
        <v>3</v>
      </c>
    </row>
    <row r="4" spans="1:73" ht="14.4" x14ac:dyDescent="0.3">
      <c r="A4" t="s">
        <v>237</v>
      </c>
      <c r="C4" s="2">
        <v>45426.529166666667</v>
      </c>
      <c r="E4" s="2">
        <v>45432.4375</v>
      </c>
      <c r="F4" s="39">
        <f t="shared" si="0"/>
        <v>5.9083333333328483</v>
      </c>
      <c r="G4" s="38">
        <v>10</v>
      </c>
      <c r="H4" s="39">
        <v>0</v>
      </c>
      <c r="I4" s="39">
        <v>0</v>
      </c>
      <c r="J4" s="66"/>
      <c r="K4" s="39" t="str">
        <f t="shared" ref="K4:K67" si="3">IF(H4&lt;$G$1,"",G4*H4)</f>
        <v/>
      </c>
      <c r="L4" s="39" t="str">
        <f t="shared" ref="L4:L67" si="4">IF(I4&lt;$G$1,"",H4*I4)</f>
        <v/>
      </c>
      <c r="M4" s="66"/>
      <c r="N4" s="39"/>
      <c r="O4" s="39"/>
      <c r="P4" s="2">
        <v>45432.4375</v>
      </c>
      <c r="Q4" s="39">
        <f t="shared" si="1"/>
        <v>5.9083333333328483</v>
      </c>
      <c r="R4" s="39">
        <v>10</v>
      </c>
      <c r="S4" s="39">
        <v>94.013333333333321</v>
      </c>
      <c r="T4" s="39">
        <f>AVERAGE(12.379,9.845, 9.647)</f>
        <v>10.623666666666667</v>
      </c>
      <c r="U4" s="66"/>
      <c r="V4" s="39">
        <f t="shared" ref="V4:V67" si="5">IF(S4&lt;$G$1,"",S4*R4)</f>
        <v>940.13333333333321</v>
      </c>
      <c r="W4" s="39">
        <f t="shared" ref="W4:W67" si="6">IF(T4&lt;$G$1,"",R4*T4)</f>
        <v>106.23666666666666</v>
      </c>
      <c r="X4" s="66"/>
      <c r="Y4" s="39">
        <f t="shared" ref="Y4:Y67" si="7">IFERROR(SUM(V4*$C$2,W4*$C$3,X4*$C$1),V4*$C$2)</f>
        <v>1163.9645799999998</v>
      </c>
      <c r="AA4" s="2">
        <v>45432.4375</v>
      </c>
      <c r="AB4" s="39">
        <f t="shared" si="2"/>
        <v>5.9083333333328483</v>
      </c>
      <c r="AC4" s="39">
        <v>10</v>
      </c>
      <c r="AD4" s="45">
        <v>88.93</v>
      </c>
      <c r="AE4" s="45">
        <v>18.073</v>
      </c>
      <c r="AF4" s="67"/>
      <c r="AG4" s="45">
        <f t="shared" ref="AG4:AG67" si="8">IF(AD4&lt;$G$1,"",AC4*AD4)</f>
        <v>889.30000000000007</v>
      </c>
      <c r="AH4" s="45">
        <f t="shared" ref="AH4:AH67" si="9">IF(AE4&lt;$G$1,"",AC4*AE4)</f>
        <v>180.73000000000002</v>
      </c>
      <c r="AI4" s="67"/>
      <c r="AJ4" s="45">
        <f t="shared" ref="AJ4:AJ67" si="10">IFERROR(SUM(AG4*$C$2,AH4*$C$3,AI4*$C$1),AG4*$C$2)</f>
        <v>1222.5083199999999</v>
      </c>
      <c r="AK4" s="45"/>
      <c r="AL4" t="s">
        <v>492</v>
      </c>
      <c r="AM4">
        <v>10</v>
      </c>
      <c r="AN4">
        <v>3</v>
      </c>
      <c r="AO4">
        <v>954.36036666666655</v>
      </c>
      <c r="AP4">
        <v>6.8320446874807077</v>
      </c>
      <c r="AW4" t="s">
        <v>691</v>
      </c>
      <c r="AX4" s="2">
        <v>45432.4375</v>
      </c>
      <c r="AY4">
        <f>AX4-$C$4</f>
        <v>5.9083333333328483</v>
      </c>
      <c r="AZ4" s="4">
        <v>45432</v>
      </c>
      <c r="BA4" t="s">
        <v>498</v>
      </c>
      <c r="BB4">
        <v>10</v>
      </c>
      <c r="BC4">
        <v>3</v>
      </c>
      <c r="BI4" t="s">
        <v>692</v>
      </c>
      <c r="BJ4" s="2">
        <v>45432.4375</v>
      </c>
      <c r="BK4">
        <f>BJ4-$C$4</f>
        <v>5.9083333333328483</v>
      </c>
      <c r="BL4" s="4">
        <v>45432</v>
      </c>
      <c r="BM4" t="s">
        <v>690</v>
      </c>
      <c r="BN4">
        <v>10</v>
      </c>
      <c r="BO4">
        <v>3</v>
      </c>
    </row>
    <row r="5" spans="1:73" ht="14.4" x14ac:dyDescent="0.3">
      <c r="E5" s="2">
        <v>45434</v>
      </c>
      <c r="F5" s="39">
        <f t="shared" si="0"/>
        <v>7.4708333333328483</v>
      </c>
      <c r="G5">
        <v>10</v>
      </c>
      <c r="H5" s="39">
        <v>413.03766666666661</v>
      </c>
      <c r="I5" s="39">
        <f>AVERAGE(10.795, 10.249, 10.161)</f>
        <v>10.401666666666666</v>
      </c>
      <c r="J5" s="66"/>
      <c r="K5" s="39">
        <f t="shared" si="3"/>
        <v>4130.3766666666661</v>
      </c>
      <c r="L5" s="39">
        <f t="shared" si="4"/>
        <v>4296.2801294444434</v>
      </c>
      <c r="M5" s="66"/>
      <c r="N5" s="39">
        <f t="shared" ref="N5:N67" si="11">IFERROR(SUM(K5*$C$2,L5*$C$3,M5*$C$1),K5*$C$2)</f>
        <v>10911.68001931222</v>
      </c>
      <c r="O5" s="39" t="s">
        <v>468</v>
      </c>
      <c r="P5" s="2">
        <v>45434</v>
      </c>
      <c r="Q5" s="39">
        <f t="shared" si="1"/>
        <v>7.4708333333328483</v>
      </c>
      <c r="R5" s="39">
        <v>10</v>
      </c>
      <c r="S5" s="39">
        <v>389.18933333333331</v>
      </c>
      <c r="T5" s="39">
        <f>AVERAGE(10.342, 9.448, 10.563)</f>
        <v>10.117666666666667</v>
      </c>
      <c r="U5" s="66"/>
      <c r="V5" s="39">
        <f t="shared" si="5"/>
        <v>3891.893333333333</v>
      </c>
      <c r="W5" s="39">
        <f t="shared" si="6"/>
        <v>101.17666666666666</v>
      </c>
      <c r="X5" s="66"/>
      <c r="Y5" s="39">
        <f t="shared" si="7"/>
        <v>4305.8316599999989</v>
      </c>
      <c r="AA5" s="2">
        <v>45440</v>
      </c>
      <c r="AB5" s="39">
        <f t="shared" si="2"/>
        <v>13.470833333332848</v>
      </c>
      <c r="AC5" s="39">
        <v>10</v>
      </c>
      <c r="AD5" s="45">
        <v>206.64066666666668</v>
      </c>
      <c r="AE5" s="45">
        <f>AVERAGE(16.421, 18.445, 16.424)</f>
        <v>17.096666666666668</v>
      </c>
      <c r="AF5" s="67"/>
      <c r="AG5" s="45">
        <f t="shared" si="8"/>
        <v>2066.4066666666668</v>
      </c>
      <c r="AH5" s="45">
        <f t="shared" si="9"/>
        <v>170.96666666666667</v>
      </c>
      <c r="AI5" s="67"/>
      <c r="AJ5" s="45">
        <f t="shared" si="10"/>
        <v>2463.6994466666665</v>
      </c>
      <c r="AK5" s="45"/>
      <c r="AW5" t="s">
        <v>693</v>
      </c>
      <c r="AX5" s="4">
        <v>45434</v>
      </c>
      <c r="AY5">
        <f>AX5-$C$4</f>
        <v>7.4708333333328483</v>
      </c>
      <c r="BA5" t="s">
        <v>498</v>
      </c>
      <c r="BB5">
        <v>10</v>
      </c>
      <c r="BC5">
        <v>3</v>
      </c>
    </row>
    <row r="6" spans="1:73" ht="14.4" x14ac:dyDescent="0.3">
      <c r="E6" s="2">
        <v>45435.456250000003</v>
      </c>
      <c r="F6" s="39">
        <f t="shared" si="0"/>
        <v>8.9270833333357587</v>
      </c>
      <c r="G6">
        <v>30</v>
      </c>
      <c r="H6" s="39">
        <v>94.146333333333345</v>
      </c>
      <c r="I6" s="39">
        <f>AVERAGE(4.587, 4.388, 4.355)</f>
        <v>4.4433333333333334</v>
      </c>
      <c r="J6" s="66"/>
      <c r="K6" s="39">
        <f t="shared" si="3"/>
        <v>2824.3900000000003</v>
      </c>
      <c r="L6" s="39">
        <f t="shared" si="4"/>
        <v>418.32354111111118</v>
      </c>
      <c r="M6" s="66"/>
      <c r="N6" s="39">
        <f t="shared" si="11"/>
        <v>3646.9659712422226</v>
      </c>
      <c r="O6" s="39"/>
      <c r="P6" s="2">
        <v>45435.456250000003</v>
      </c>
      <c r="Q6" s="39">
        <f t="shared" si="1"/>
        <v>8.9270833333357587</v>
      </c>
      <c r="R6" s="39">
        <v>30</v>
      </c>
      <c r="S6" s="39">
        <v>94.722333333333324</v>
      </c>
      <c r="T6" s="39">
        <f>AVERAGE(4.479, 4.47, 4.459)</f>
        <v>4.4693333333333332</v>
      </c>
      <c r="U6" s="66"/>
      <c r="V6" s="39">
        <f t="shared" si="5"/>
        <v>2841.6699999999996</v>
      </c>
      <c r="W6" s="39">
        <f t="shared" si="6"/>
        <v>134.07999999999998</v>
      </c>
      <c r="X6" s="66"/>
      <c r="Y6" s="39">
        <f t="shared" si="7"/>
        <v>3235.0590099999995</v>
      </c>
      <c r="AA6" s="2">
        <v>45468.443055555559</v>
      </c>
      <c r="AB6" s="39">
        <f t="shared" si="2"/>
        <v>41.913888888891961</v>
      </c>
      <c r="AC6" s="39">
        <v>10</v>
      </c>
      <c r="AD6" s="45">
        <v>76.222333333333339</v>
      </c>
      <c r="AE6" s="45">
        <f>AVERAGE(27.887, 26.39, 28.827)</f>
        <v>27.701333333333334</v>
      </c>
      <c r="AF6" s="67"/>
      <c r="AG6" s="45">
        <f t="shared" si="8"/>
        <v>762.22333333333336</v>
      </c>
      <c r="AH6" s="45">
        <f t="shared" si="9"/>
        <v>277.01333333333332</v>
      </c>
      <c r="AI6" s="67"/>
      <c r="AJ6" s="45">
        <f t="shared" si="10"/>
        <v>1232.6904833333333</v>
      </c>
      <c r="AK6" s="45"/>
      <c r="AL6" t="s">
        <v>492</v>
      </c>
      <c r="AM6">
        <v>30</v>
      </c>
      <c r="AN6">
        <v>3</v>
      </c>
      <c r="AW6" t="s">
        <v>694</v>
      </c>
      <c r="AX6" s="2">
        <v>45435.456250000003</v>
      </c>
      <c r="AY6">
        <f>AX6-$C$4</f>
        <v>8.9270833333357587</v>
      </c>
      <c r="AZ6" s="4">
        <v>45435</v>
      </c>
      <c r="BA6" t="s">
        <v>498</v>
      </c>
      <c r="BB6">
        <v>30</v>
      </c>
      <c r="BC6">
        <v>3</v>
      </c>
    </row>
    <row r="7" spans="1:73" ht="14.4" x14ac:dyDescent="0.3">
      <c r="E7" s="2">
        <v>45440</v>
      </c>
      <c r="F7" s="39">
        <f t="shared" si="0"/>
        <v>13.470833333332848</v>
      </c>
      <c r="G7" s="38">
        <v>30</v>
      </c>
      <c r="H7" s="39">
        <v>79.275333333333322</v>
      </c>
      <c r="I7" s="39">
        <f>AVERAGE(3.444, 3.891, 3.947)</f>
        <v>3.7606666666666668</v>
      </c>
      <c r="J7" s="66"/>
      <c r="K7" s="39">
        <f t="shared" si="3"/>
        <v>2378.2599999999998</v>
      </c>
      <c r="L7" s="39">
        <f t="shared" si="4"/>
        <v>298.12810355555553</v>
      </c>
      <c r="M7" s="66"/>
      <c r="N7" s="39">
        <f t="shared" si="11"/>
        <v>2988.9693687831104</v>
      </c>
      <c r="O7" s="39"/>
      <c r="P7" s="2">
        <v>45440</v>
      </c>
      <c r="Q7" s="39">
        <f t="shared" si="1"/>
        <v>13.470833333332848</v>
      </c>
      <c r="R7" s="39">
        <v>30</v>
      </c>
      <c r="S7" s="39">
        <v>77.718000000000004</v>
      </c>
      <c r="T7" s="39">
        <f>AVERAGE(3.701, 3.503, 3.913)</f>
        <v>3.7056666666666671</v>
      </c>
      <c r="U7" s="66"/>
      <c r="V7" s="39">
        <f t="shared" si="5"/>
        <v>2331.54</v>
      </c>
      <c r="W7" s="39">
        <f t="shared" si="6"/>
        <v>111.17000000000002</v>
      </c>
      <c r="X7" s="66"/>
      <c r="Y7" s="39">
        <f t="shared" si="7"/>
        <v>2656.0645599999998</v>
      </c>
      <c r="AA7" s="2">
        <v>45475.386805555558</v>
      </c>
      <c r="AB7" s="39">
        <f t="shared" si="2"/>
        <v>48.857638888890506</v>
      </c>
      <c r="AC7" s="39">
        <v>10</v>
      </c>
      <c r="AD7" s="45">
        <v>92.891999999999996</v>
      </c>
      <c r="AE7" s="45">
        <f>AVERAGE(29.168, 29.808, 31.336)</f>
        <v>30.103999999999999</v>
      </c>
      <c r="AF7" s="67"/>
      <c r="AG7" s="45">
        <f t="shared" si="8"/>
        <v>928.92</v>
      </c>
      <c r="AH7" s="45">
        <f t="shared" si="9"/>
        <v>301.03999999999996</v>
      </c>
      <c r="AI7" s="67"/>
      <c r="AJ7" s="45">
        <f t="shared" si="10"/>
        <v>1446.9321999999997</v>
      </c>
      <c r="AK7" s="45"/>
    </row>
    <row r="8" spans="1:73" ht="14.4" x14ac:dyDescent="0.3">
      <c r="E8" s="2">
        <v>45441</v>
      </c>
      <c r="F8" s="39">
        <f t="shared" si="0"/>
        <v>14.470833333332848</v>
      </c>
      <c r="G8" s="38">
        <v>30</v>
      </c>
      <c r="H8" s="39">
        <v>65.816333333333333</v>
      </c>
      <c r="I8" s="39">
        <v>0.23</v>
      </c>
      <c r="J8" s="66"/>
      <c r="K8" s="39">
        <f t="shared" si="3"/>
        <v>1974.49</v>
      </c>
      <c r="L8" s="39" t="str">
        <f t="shared" si="4"/>
        <v/>
      </c>
      <c r="M8" s="66"/>
      <c r="N8" s="39">
        <f t="shared" si="11"/>
        <v>2106.7808299999997</v>
      </c>
      <c r="O8" s="39"/>
      <c r="P8" s="2">
        <v>45441</v>
      </c>
      <c r="Q8" s="39">
        <f t="shared" si="1"/>
        <v>14.470833333332848</v>
      </c>
      <c r="R8" s="39">
        <v>30</v>
      </c>
      <c r="S8" s="39">
        <v>65.544333333333341</v>
      </c>
      <c r="T8" s="39">
        <v>0.308</v>
      </c>
      <c r="U8" s="66"/>
      <c r="V8" s="39">
        <f t="shared" si="5"/>
        <v>1966.3300000000002</v>
      </c>
      <c r="W8" s="39" t="str">
        <f t="shared" si="6"/>
        <v/>
      </c>
      <c r="X8" s="66"/>
      <c r="Y8" s="39">
        <f t="shared" si="7"/>
        <v>2098.07411</v>
      </c>
      <c r="AA8" s="2">
        <v>45478.517361111109</v>
      </c>
      <c r="AB8" s="39">
        <f t="shared" si="2"/>
        <v>51.988194444442343</v>
      </c>
      <c r="AC8" s="39">
        <v>10</v>
      </c>
      <c r="AD8" s="45">
        <v>90.976333333333329</v>
      </c>
      <c r="AE8" s="45">
        <f>AVERAGE(24.183, 23.315, 23.426)</f>
        <v>23.641333333333336</v>
      </c>
      <c r="AF8" s="67"/>
      <c r="AG8" s="45">
        <f t="shared" si="8"/>
        <v>909.76333333333332</v>
      </c>
      <c r="AH8" s="45">
        <f t="shared" si="9"/>
        <v>236.41333333333336</v>
      </c>
      <c r="AI8" s="67"/>
      <c r="AJ8" s="45">
        <f t="shared" si="10"/>
        <v>1328.6472633333333</v>
      </c>
      <c r="AK8" s="45"/>
    </row>
    <row r="9" spans="1:73" ht="14.4" x14ac:dyDescent="0.3">
      <c r="E9" s="2">
        <v>45468.443055555559</v>
      </c>
      <c r="F9" s="39">
        <f t="shared" si="0"/>
        <v>41.913888888891961</v>
      </c>
      <c r="G9" s="38">
        <v>20</v>
      </c>
      <c r="H9" s="39">
        <v>2.9006666666666665</v>
      </c>
      <c r="I9" s="39">
        <f>AVERAGE(19.334, 19.589, 20.204)</f>
        <v>19.709</v>
      </c>
      <c r="J9" s="66"/>
      <c r="K9" s="39">
        <f t="shared" si="3"/>
        <v>58.013333333333328</v>
      </c>
      <c r="L9" s="39">
        <f t="shared" si="4"/>
        <v>57.16923933333333</v>
      </c>
      <c r="M9" s="66"/>
      <c r="N9" s="39">
        <f t="shared" si="11"/>
        <v>148.45445501733332</v>
      </c>
      <c r="O9" s="39"/>
      <c r="P9" s="2">
        <v>45468.443055555559</v>
      </c>
      <c r="Q9" s="39">
        <f t="shared" si="1"/>
        <v>41.913888888891961</v>
      </c>
      <c r="R9" s="39">
        <v>20</v>
      </c>
      <c r="S9" s="39">
        <v>25.367000000000001</v>
      </c>
      <c r="T9" s="39">
        <f>AVERAGE(12.223, 12.091, 12.057)</f>
        <v>12.123666666666667</v>
      </c>
      <c r="U9" s="66"/>
      <c r="V9" s="39">
        <f t="shared" si="5"/>
        <v>507.34000000000003</v>
      </c>
      <c r="W9" s="39">
        <f t="shared" si="6"/>
        <v>242.47333333333333</v>
      </c>
      <c r="X9" s="66"/>
      <c r="Y9" s="39">
        <f t="shared" si="7"/>
        <v>908.4364066666667</v>
      </c>
      <c r="AA9" s="2">
        <v>45482.376388888886</v>
      </c>
      <c r="AB9" s="39">
        <f t="shared" si="2"/>
        <v>55.847222222218988</v>
      </c>
      <c r="AC9" s="39">
        <v>10</v>
      </c>
      <c r="AD9" s="45">
        <v>96.92349999999999</v>
      </c>
      <c r="AE9" s="45">
        <f>AVERAGE(27.214, 28.039)</f>
        <v>27.6265</v>
      </c>
      <c r="AF9" s="67"/>
      <c r="AG9" s="45">
        <f t="shared" si="8"/>
        <v>969.2349999999999</v>
      </c>
      <c r="AH9" s="45">
        <f t="shared" si="9"/>
        <v>276.26499999999999</v>
      </c>
      <c r="AI9" s="67"/>
      <c r="AJ9" s="45">
        <f t="shared" si="10"/>
        <v>1452.4389549999999</v>
      </c>
      <c r="AK9" s="45"/>
    </row>
    <row r="10" spans="1:73" ht="14.4" x14ac:dyDescent="0.3">
      <c r="E10" s="2">
        <v>45470</v>
      </c>
      <c r="F10" s="39">
        <f t="shared" si="0"/>
        <v>43.470833333332848</v>
      </c>
      <c r="G10" s="38">
        <v>20</v>
      </c>
      <c r="H10" s="39">
        <v>1.61</v>
      </c>
      <c r="I10" s="39"/>
      <c r="J10" s="66"/>
      <c r="K10" s="39">
        <f t="shared" si="3"/>
        <v>32.200000000000003</v>
      </c>
      <c r="L10" s="39" t="str">
        <f t="shared" si="4"/>
        <v/>
      </c>
      <c r="M10" s="66"/>
      <c r="N10" s="39">
        <f t="shared" si="11"/>
        <v>34.357399999999998</v>
      </c>
      <c r="O10" s="39"/>
      <c r="P10" s="2">
        <v>45470</v>
      </c>
      <c r="Q10" s="39">
        <f t="shared" si="1"/>
        <v>43.470833333332848</v>
      </c>
      <c r="R10" s="39">
        <v>20</v>
      </c>
      <c r="S10" s="39">
        <v>13.941333333333333</v>
      </c>
      <c r="T10" s="39">
        <v>0</v>
      </c>
      <c r="U10" s="66"/>
      <c r="V10" s="39">
        <f t="shared" si="5"/>
        <v>278.82666666666665</v>
      </c>
      <c r="W10" s="39" t="str">
        <f t="shared" si="6"/>
        <v/>
      </c>
      <c r="X10" s="66"/>
      <c r="Y10" s="39">
        <f t="shared" si="7"/>
        <v>297.50805333333329</v>
      </c>
      <c r="AA10" s="2">
        <v>45485.397916666669</v>
      </c>
      <c r="AB10" s="39">
        <f t="shared" si="2"/>
        <v>58.868750000001455</v>
      </c>
      <c r="AC10" s="39">
        <v>10</v>
      </c>
      <c r="AD10" s="45">
        <v>89.213999999999999</v>
      </c>
      <c r="AE10" s="45">
        <f>AVERAGE(23.324, 20.6)</f>
        <v>21.962000000000003</v>
      </c>
      <c r="AF10" s="67"/>
      <c r="AG10" s="45">
        <f t="shared" si="8"/>
        <v>892.14</v>
      </c>
      <c r="AH10" s="45">
        <f t="shared" si="9"/>
        <v>219.62000000000003</v>
      </c>
      <c r="AI10" s="67"/>
      <c r="AJ10" s="45">
        <f t="shared" si="10"/>
        <v>1284.41806</v>
      </c>
      <c r="AK10" s="45"/>
    </row>
    <row r="11" spans="1:73" ht="14.4" x14ac:dyDescent="0.3">
      <c r="E11" s="2">
        <v>45475.386805555558</v>
      </c>
      <c r="F11" s="39">
        <f t="shared" si="0"/>
        <v>48.857638888890506</v>
      </c>
      <c r="G11" s="38">
        <v>20</v>
      </c>
      <c r="H11" s="39">
        <v>0.96933333333333349</v>
      </c>
      <c r="I11" s="39">
        <f>AVERAGE(20.059, 20.551, 20.608)</f>
        <v>20.406000000000002</v>
      </c>
      <c r="J11" s="66"/>
      <c r="K11" s="39">
        <f t="shared" si="3"/>
        <v>19.38666666666667</v>
      </c>
      <c r="L11" s="39">
        <f t="shared" si="4"/>
        <v>19.780216000000006</v>
      </c>
      <c r="M11" s="66"/>
      <c r="N11" s="39">
        <f t="shared" si="11"/>
        <v>50.632820357333344</v>
      </c>
      <c r="O11" s="39"/>
      <c r="P11" s="2">
        <v>45475.386805555558</v>
      </c>
      <c r="Q11" s="39">
        <f t="shared" si="1"/>
        <v>48.857638888890506</v>
      </c>
      <c r="R11" s="39">
        <v>20</v>
      </c>
      <c r="S11" s="39">
        <v>1.5376666666666665</v>
      </c>
      <c r="T11" s="39">
        <f>AVERAGE(21.034, 20.8, 21.942)</f>
        <v>21.258666666666667</v>
      </c>
      <c r="U11" s="66"/>
      <c r="V11" s="39">
        <f t="shared" si="5"/>
        <v>30.75333333333333</v>
      </c>
      <c r="W11" s="39">
        <f t="shared" si="6"/>
        <v>425.17333333333335</v>
      </c>
      <c r="X11" s="66"/>
      <c r="Y11" s="39">
        <f t="shared" si="7"/>
        <v>676.52623333333338</v>
      </c>
      <c r="AA11" s="2">
        <v>45488.4375</v>
      </c>
      <c r="AB11" s="39">
        <f t="shared" si="2"/>
        <v>61.908333333332848</v>
      </c>
      <c r="AC11" s="39">
        <v>20</v>
      </c>
      <c r="AD11" s="45">
        <v>45.854500000000002</v>
      </c>
      <c r="AE11" s="45">
        <f>AVERAGE(13.343, 12.074)</f>
        <v>12.708500000000001</v>
      </c>
      <c r="AF11" s="67"/>
      <c r="AG11" s="45">
        <f t="shared" si="8"/>
        <v>917.09</v>
      </c>
      <c r="AH11" s="45">
        <f t="shared" si="9"/>
        <v>254.17000000000002</v>
      </c>
      <c r="AI11" s="67"/>
      <c r="AJ11" s="45">
        <f t="shared" si="10"/>
        <v>1363.3484100000001</v>
      </c>
      <c r="AK11" s="45"/>
    </row>
    <row r="12" spans="1:73" ht="15" customHeight="1" x14ac:dyDescent="0.3">
      <c r="E12" s="2">
        <v>45478.517361111109</v>
      </c>
      <c r="F12" s="39">
        <f t="shared" si="0"/>
        <v>51.988194444442343</v>
      </c>
      <c r="G12">
        <v>20</v>
      </c>
      <c r="H12" s="39">
        <v>1.2206666666666666</v>
      </c>
      <c r="I12" s="39">
        <f>AVERAGE(22.674, 22.535, 22.758)</f>
        <v>22.655666666666665</v>
      </c>
      <c r="J12" s="66"/>
      <c r="K12" s="39">
        <f t="shared" si="3"/>
        <v>24.41333333333333</v>
      </c>
      <c r="L12" s="39">
        <f t="shared" si="4"/>
        <v>27.655017111111107</v>
      </c>
      <c r="M12" s="66"/>
      <c r="N12" s="39">
        <f t="shared" si="11"/>
        <v>67.918722572888882</v>
      </c>
      <c r="O12" s="39"/>
      <c r="P12" s="2">
        <v>45478.517361111109</v>
      </c>
      <c r="Q12" s="39">
        <f t="shared" si="1"/>
        <v>51.988194444442343</v>
      </c>
      <c r="R12" s="39">
        <v>20</v>
      </c>
      <c r="S12" s="39">
        <v>0.96766666666666667</v>
      </c>
      <c r="T12" s="39">
        <f>AVERAGE(21.065, 20.441, 22.111)</f>
        <v>21.205666666666669</v>
      </c>
      <c r="U12" s="66"/>
      <c r="V12" s="39">
        <f t="shared" si="5"/>
        <v>19.353333333333332</v>
      </c>
      <c r="W12" s="39">
        <f t="shared" si="6"/>
        <v>424.1133333333334</v>
      </c>
      <c r="X12" s="66"/>
      <c r="Y12" s="39">
        <f t="shared" si="7"/>
        <v>662.75759333333338</v>
      </c>
      <c r="Z12" s="2"/>
      <c r="AA12" s="2">
        <v>45491.416666666664</v>
      </c>
      <c r="AB12" s="39">
        <f t="shared" si="2"/>
        <v>64.88749999999709</v>
      </c>
      <c r="AC12">
        <v>20</v>
      </c>
      <c r="AD12" s="45">
        <v>14.638</v>
      </c>
      <c r="AE12" s="45">
        <v>7.157</v>
      </c>
      <c r="AF12" s="67"/>
      <c r="AG12" s="45">
        <f t="shared" si="8"/>
        <v>292.76</v>
      </c>
      <c r="AH12" s="45">
        <f t="shared" si="9"/>
        <v>143.13999999999999</v>
      </c>
      <c r="AI12" s="67"/>
      <c r="AJ12" s="45">
        <f t="shared" si="10"/>
        <v>529.08888000000002</v>
      </c>
      <c r="AK12" s="45"/>
    </row>
    <row r="13" spans="1:73" ht="15" customHeight="1" x14ac:dyDescent="0.3">
      <c r="E13" s="2">
        <v>45482.376388888886</v>
      </c>
      <c r="F13" s="39">
        <f t="shared" si="0"/>
        <v>55.847222222218988</v>
      </c>
      <c r="G13">
        <v>20</v>
      </c>
      <c r="H13" s="39">
        <v>1.7755000000000001</v>
      </c>
      <c r="I13" s="39">
        <f>AVERAGE(21.259, 20.779)</f>
        <v>21.018999999999998</v>
      </c>
      <c r="J13" s="66"/>
      <c r="K13" s="39">
        <f t="shared" si="3"/>
        <v>35.510000000000005</v>
      </c>
      <c r="L13" s="39">
        <f t="shared" si="4"/>
        <v>37.3192345</v>
      </c>
      <c r="M13" s="66"/>
      <c r="N13" s="39">
        <f t="shared" si="11"/>
        <v>94.390491033000018</v>
      </c>
      <c r="O13" s="39"/>
      <c r="P13" s="2">
        <v>45482.376388888886</v>
      </c>
      <c r="Q13" s="39">
        <f t="shared" si="1"/>
        <v>55.847222222218988</v>
      </c>
      <c r="R13" s="39">
        <v>20</v>
      </c>
      <c r="S13" s="39">
        <v>1.8354999999999999</v>
      </c>
      <c r="T13" s="39">
        <f>AVERAGE(20.938, 22.247)</f>
        <v>21.592500000000001</v>
      </c>
      <c r="U13" s="66"/>
      <c r="V13" s="39">
        <f t="shared" si="5"/>
        <v>36.71</v>
      </c>
      <c r="W13" s="39">
        <f t="shared" si="6"/>
        <v>431.85</v>
      </c>
      <c r="X13" s="66"/>
      <c r="Y13" s="39">
        <f t="shared" si="7"/>
        <v>692.99047000000007</v>
      </c>
      <c r="Z13" s="2"/>
      <c r="AA13" s="2">
        <v>45495.416666666664</v>
      </c>
      <c r="AB13" s="39">
        <f t="shared" si="2"/>
        <v>68.88749999999709</v>
      </c>
      <c r="AC13">
        <v>10</v>
      </c>
      <c r="AD13" s="45">
        <v>101.81399999999999</v>
      </c>
      <c r="AE13" s="45">
        <v>21.181000000000001</v>
      </c>
      <c r="AF13" s="67"/>
      <c r="AG13" s="45">
        <f t="shared" si="8"/>
        <v>1018.1399999999999</v>
      </c>
      <c r="AH13" s="45">
        <f t="shared" si="9"/>
        <v>211.81</v>
      </c>
      <c r="AI13" s="67"/>
      <c r="AJ13" s="45">
        <f t="shared" si="10"/>
        <v>1407.0357199999999</v>
      </c>
      <c r="AK13" s="45"/>
    </row>
    <row r="14" spans="1:73" ht="15" customHeight="1" x14ac:dyDescent="0.3">
      <c r="E14" s="2">
        <v>45485.397916666669</v>
      </c>
      <c r="F14" s="39">
        <f t="shared" si="0"/>
        <v>58.868750000001455</v>
      </c>
      <c r="G14">
        <v>10</v>
      </c>
      <c r="H14" s="39">
        <v>0.57950000000000002</v>
      </c>
      <c r="I14" s="39">
        <f>AVERAGE(43.926, 42.011)</f>
        <v>42.968500000000006</v>
      </c>
      <c r="J14" s="66"/>
      <c r="K14" s="39">
        <f t="shared" si="3"/>
        <v>5.7949999999999999</v>
      </c>
      <c r="L14" s="39">
        <f t="shared" si="4"/>
        <v>24.900245750000003</v>
      </c>
      <c r="M14" s="66"/>
      <c r="N14" s="39">
        <f t="shared" si="11"/>
        <v>43.882237065500007</v>
      </c>
      <c r="O14" s="39"/>
      <c r="P14" s="2">
        <v>45485.397916666669</v>
      </c>
      <c r="Q14" s="39">
        <f t="shared" si="1"/>
        <v>58.868750000001455</v>
      </c>
      <c r="R14" s="39">
        <v>10</v>
      </c>
      <c r="S14" s="39">
        <v>0.83650000000000002</v>
      </c>
      <c r="T14" s="39">
        <f>AVERAGE(42.764, 42.711)</f>
        <v>42.737499999999997</v>
      </c>
      <c r="U14" s="66"/>
      <c r="V14" s="39">
        <f t="shared" si="5"/>
        <v>8.3650000000000002</v>
      </c>
      <c r="W14" s="39">
        <f t="shared" si="6"/>
        <v>427.375</v>
      </c>
      <c r="X14" s="66"/>
      <c r="Y14" s="39">
        <f t="shared" si="7"/>
        <v>655.97120500000005</v>
      </c>
      <c r="Z14" s="38">
        <f>AA14-$AA$14</f>
        <v>0</v>
      </c>
      <c r="AA14" s="2">
        <v>45497</v>
      </c>
      <c r="AB14" s="39">
        <f t="shared" si="2"/>
        <v>70.470833333332848</v>
      </c>
      <c r="AC14">
        <v>10</v>
      </c>
      <c r="AD14" s="45">
        <v>6.0119999999999996</v>
      </c>
      <c r="AE14" s="45">
        <v>4.585</v>
      </c>
      <c r="AF14" s="67"/>
      <c r="AG14" s="45">
        <f t="shared" si="8"/>
        <v>60.12</v>
      </c>
      <c r="AH14" s="45">
        <f t="shared" si="9"/>
        <v>45.85</v>
      </c>
      <c r="AI14" s="67"/>
      <c r="AJ14" s="45">
        <f t="shared" si="10"/>
        <v>133.56493999999998</v>
      </c>
      <c r="AK14" s="45"/>
    </row>
    <row r="15" spans="1:73" ht="15" customHeight="1" x14ac:dyDescent="0.3">
      <c r="E15" s="2">
        <v>45488.4375</v>
      </c>
      <c r="F15" s="39">
        <f t="shared" si="0"/>
        <v>61.908333333332848</v>
      </c>
      <c r="G15">
        <v>20</v>
      </c>
      <c r="H15" s="39">
        <v>5.0739999999999998</v>
      </c>
      <c r="I15" s="39">
        <f>AVERAGE(23.43,23.706)</f>
        <v>23.567999999999998</v>
      </c>
      <c r="J15" s="66"/>
      <c r="K15" s="39">
        <f t="shared" si="3"/>
        <v>101.47999999999999</v>
      </c>
      <c r="L15" s="39">
        <f t="shared" si="4"/>
        <v>119.58403199999998</v>
      </c>
      <c r="M15" s="66"/>
      <c r="N15" s="39">
        <f t="shared" si="11"/>
        <v>289.32938444799993</v>
      </c>
      <c r="O15" s="39"/>
      <c r="P15" s="2">
        <v>45488.4375</v>
      </c>
      <c r="Q15" s="39">
        <f t="shared" si="1"/>
        <v>61.908333333332848</v>
      </c>
      <c r="R15" s="39">
        <v>20</v>
      </c>
      <c r="S15" s="39">
        <v>4.5149999999999997</v>
      </c>
      <c r="T15" s="39">
        <f>AVERAGE(21.223,22.798)</f>
        <v>22.0105</v>
      </c>
      <c r="U15" s="66"/>
      <c r="V15" s="39">
        <f t="shared" si="5"/>
        <v>90.3</v>
      </c>
      <c r="W15" s="39">
        <f t="shared" si="6"/>
        <v>440.21000000000004</v>
      </c>
      <c r="X15" s="66"/>
      <c r="Y15" s="39">
        <f t="shared" si="7"/>
        <v>762.8280400000001</v>
      </c>
      <c r="Z15" s="38">
        <f>AA15-$AA$14</f>
        <v>1.453472222223354</v>
      </c>
      <c r="AA15" s="2">
        <v>45498.453472222223</v>
      </c>
      <c r="AB15" s="39">
        <f t="shared" si="2"/>
        <v>71.924305555556202</v>
      </c>
      <c r="AC15">
        <v>10</v>
      </c>
      <c r="AD15" s="45">
        <v>4.484</v>
      </c>
      <c r="AE15" s="45">
        <v>2.0150000000000001</v>
      </c>
      <c r="AF15" s="67"/>
      <c r="AG15" s="45">
        <f t="shared" si="8"/>
        <v>44.84</v>
      </c>
      <c r="AH15" s="45">
        <f t="shared" si="9"/>
        <v>20.150000000000002</v>
      </c>
      <c r="AI15" s="67"/>
      <c r="AJ15" s="45">
        <f t="shared" si="10"/>
        <v>78.351380000000006</v>
      </c>
      <c r="AK15" s="45"/>
    </row>
    <row r="16" spans="1:73" ht="15" customHeight="1" x14ac:dyDescent="0.3">
      <c r="E16" s="2">
        <v>45491.416666666664</v>
      </c>
      <c r="F16" s="39">
        <f t="shared" si="0"/>
        <v>64.88749999999709</v>
      </c>
      <c r="G16">
        <v>20</v>
      </c>
      <c r="H16" s="39">
        <v>6.5490000000000004</v>
      </c>
      <c r="I16" s="39">
        <v>24.263999999999999</v>
      </c>
      <c r="J16" s="66"/>
      <c r="K16" s="39">
        <f t="shared" si="3"/>
        <v>130.98000000000002</v>
      </c>
      <c r="L16" s="39">
        <f t="shared" si="4"/>
        <v>158.90493599999999</v>
      </c>
      <c r="M16" s="66"/>
      <c r="N16" s="39">
        <f t="shared" si="11"/>
        <v>380.33773310399999</v>
      </c>
      <c r="O16" s="39"/>
      <c r="P16" s="2">
        <v>45491.416666666664</v>
      </c>
      <c r="Q16" s="39">
        <f t="shared" si="1"/>
        <v>64.88749999999709</v>
      </c>
      <c r="R16" s="39">
        <v>20</v>
      </c>
      <c r="S16" s="39">
        <v>6.2030000000000003</v>
      </c>
      <c r="T16" s="39">
        <v>22.93</v>
      </c>
      <c r="U16" s="66"/>
      <c r="V16" s="39">
        <f t="shared" si="5"/>
        <v>124.06</v>
      </c>
      <c r="W16" s="39">
        <f t="shared" si="6"/>
        <v>458.6</v>
      </c>
      <c r="X16" s="66"/>
      <c r="Y16" s="39">
        <f t="shared" si="7"/>
        <v>826.69242000000008</v>
      </c>
      <c r="Z16" s="38">
        <f>AA16-$AA$16</f>
        <v>0</v>
      </c>
      <c r="AA16" s="2">
        <v>45499.438194444447</v>
      </c>
      <c r="AB16" s="39">
        <f t="shared" si="2"/>
        <v>72.909027777779556</v>
      </c>
      <c r="AC16">
        <v>10</v>
      </c>
      <c r="AD16" s="45">
        <v>33.027000000000001</v>
      </c>
      <c r="AE16" s="45">
        <v>4.87</v>
      </c>
      <c r="AF16" s="67"/>
      <c r="AG16" s="45">
        <f t="shared" si="8"/>
        <v>330.27</v>
      </c>
      <c r="AH16" s="45">
        <f t="shared" si="9"/>
        <v>48.7</v>
      </c>
      <c r="AI16" s="67"/>
      <c r="AJ16" s="45">
        <f t="shared" si="10"/>
        <v>426.12988999999999</v>
      </c>
      <c r="AK16" s="45"/>
    </row>
    <row r="17" spans="5:38" ht="15" customHeight="1" x14ac:dyDescent="0.3">
      <c r="E17" s="2">
        <v>45492</v>
      </c>
      <c r="F17" s="39">
        <f t="shared" si="0"/>
        <v>65.470833333332848</v>
      </c>
      <c r="G17">
        <v>10</v>
      </c>
      <c r="H17" s="39">
        <v>8.23</v>
      </c>
      <c r="I17" s="39">
        <v>46.451999999999998</v>
      </c>
      <c r="J17" s="66"/>
      <c r="K17" s="39">
        <f t="shared" si="3"/>
        <v>82.300000000000011</v>
      </c>
      <c r="L17" s="39">
        <f t="shared" si="4"/>
        <v>382.29996</v>
      </c>
      <c r="M17" s="66"/>
      <c r="N17" s="39">
        <f t="shared" si="11"/>
        <v>666.61623944000007</v>
      </c>
      <c r="O17" s="39"/>
      <c r="P17" s="44">
        <v>45492</v>
      </c>
      <c r="Q17" s="39">
        <f t="shared" si="1"/>
        <v>65.470833333332848</v>
      </c>
      <c r="R17" s="39">
        <v>10</v>
      </c>
      <c r="S17" s="39">
        <v>9.6649999999999991</v>
      </c>
      <c r="T17" s="39">
        <v>46.137999999999998</v>
      </c>
      <c r="U17" s="66"/>
      <c r="V17" s="39">
        <f t="shared" si="5"/>
        <v>96.649999999999991</v>
      </c>
      <c r="W17" s="39">
        <f t="shared" si="6"/>
        <v>461.38</v>
      </c>
      <c r="X17" s="66"/>
      <c r="Y17" s="39">
        <f t="shared" si="7"/>
        <v>801.65486999999996</v>
      </c>
      <c r="Z17" s="38">
        <f t="shared" ref="Z17:Z22" si="12">AA17-$AA$16</f>
        <v>0.93680555555329192</v>
      </c>
      <c r="AA17" s="47">
        <v>45500.375</v>
      </c>
      <c r="AB17" s="39">
        <f t="shared" si="2"/>
        <v>73.845833333332848</v>
      </c>
      <c r="AC17">
        <v>5</v>
      </c>
      <c r="AD17" s="45">
        <v>8.2309999999999999</v>
      </c>
      <c r="AE17" s="45">
        <v>4.9619999999999997</v>
      </c>
      <c r="AF17" s="67"/>
      <c r="AG17" s="45">
        <f t="shared" si="8"/>
        <v>41.155000000000001</v>
      </c>
      <c r="AH17" s="45">
        <f t="shared" si="9"/>
        <v>24.81</v>
      </c>
      <c r="AI17" s="67"/>
      <c r="AJ17" s="45">
        <f t="shared" si="10"/>
        <v>81.474725000000007</v>
      </c>
      <c r="AK17" s="45"/>
    </row>
    <row r="18" spans="5:38" ht="15" customHeight="1" x14ac:dyDescent="0.3">
      <c r="E18" s="2">
        <v>45495.416666666664</v>
      </c>
      <c r="F18" s="39">
        <f t="shared" si="0"/>
        <v>68.88749999999709</v>
      </c>
      <c r="G18">
        <v>20</v>
      </c>
      <c r="H18" s="39">
        <v>1.879</v>
      </c>
      <c r="I18" s="39">
        <v>26.184999999999999</v>
      </c>
      <c r="J18" s="66"/>
      <c r="K18" s="39">
        <f t="shared" si="3"/>
        <v>37.58</v>
      </c>
      <c r="L18" s="39">
        <f t="shared" si="4"/>
        <v>49.201614999999997</v>
      </c>
      <c r="M18" s="66"/>
      <c r="N18" s="39">
        <f t="shared" si="11"/>
        <v>114.58910510999999</v>
      </c>
      <c r="O18" s="39"/>
      <c r="P18" s="2">
        <v>45495.416666666664</v>
      </c>
      <c r="Q18" s="39">
        <f t="shared" si="1"/>
        <v>68.88749999999709</v>
      </c>
      <c r="R18" s="39">
        <v>20</v>
      </c>
      <c r="S18" s="39">
        <v>2.004</v>
      </c>
      <c r="T18" s="39">
        <v>24.213999999999999</v>
      </c>
      <c r="U18" s="66"/>
      <c r="V18" s="39">
        <f t="shared" si="5"/>
        <v>40.08</v>
      </c>
      <c r="W18" s="39">
        <f t="shared" si="6"/>
        <v>484.28</v>
      </c>
      <c r="X18" s="66"/>
      <c r="Y18" s="39">
        <f t="shared" si="7"/>
        <v>775.96528000000001</v>
      </c>
      <c r="Z18" s="38">
        <f t="shared" si="12"/>
        <v>2.9618055555547471</v>
      </c>
      <c r="AA18" s="2">
        <v>45502.400000000001</v>
      </c>
      <c r="AB18" s="39">
        <f t="shared" si="2"/>
        <v>75.870833333334303</v>
      </c>
      <c r="AC18">
        <v>5</v>
      </c>
      <c r="AD18" s="45">
        <v>151.71600000000001</v>
      </c>
      <c r="AE18" s="45">
        <v>37.22</v>
      </c>
      <c r="AF18" s="67"/>
      <c r="AG18" s="45">
        <f t="shared" si="8"/>
        <v>758.58</v>
      </c>
      <c r="AH18" s="45">
        <f t="shared" si="9"/>
        <v>186.1</v>
      </c>
      <c r="AI18" s="67"/>
      <c r="AJ18" s="45">
        <f t="shared" si="10"/>
        <v>1091.1602600000001</v>
      </c>
      <c r="AK18" s="45"/>
    </row>
    <row r="19" spans="5:38" ht="15" customHeight="1" x14ac:dyDescent="0.3">
      <c r="E19" s="2">
        <v>45496.640277777777</v>
      </c>
      <c r="F19" s="39">
        <f t="shared" si="0"/>
        <v>70.111111111109494</v>
      </c>
      <c r="G19">
        <v>10</v>
      </c>
      <c r="H19" s="39">
        <v>5.726</v>
      </c>
      <c r="I19" s="39">
        <v>27.748999999999999</v>
      </c>
      <c r="J19" s="66"/>
      <c r="K19" s="39">
        <f t="shared" si="3"/>
        <v>57.26</v>
      </c>
      <c r="L19" s="39">
        <f t="shared" si="4"/>
        <v>158.89077399999999</v>
      </c>
      <c r="M19" s="66"/>
      <c r="N19" s="39">
        <f t="shared" si="11"/>
        <v>301.65705183599999</v>
      </c>
      <c r="O19" s="39"/>
      <c r="P19" s="2">
        <v>45498.453472222223</v>
      </c>
      <c r="Q19" s="39">
        <f t="shared" si="1"/>
        <v>71.924305555556202</v>
      </c>
      <c r="R19" s="39">
        <v>10</v>
      </c>
      <c r="S19" s="39">
        <v>2.3969999999999998</v>
      </c>
      <c r="T19" s="39">
        <v>43.6</v>
      </c>
      <c r="U19" s="66"/>
      <c r="V19" s="39">
        <f t="shared" si="5"/>
        <v>23.97</v>
      </c>
      <c r="W19" s="39">
        <f t="shared" si="6"/>
        <v>436</v>
      </c>
      <c r="X19" s="66"/>
      <c r="Y19" s="39">
        <f t="shared" si="7"/>
        <v>685.67999000000009</v>
      </c>
      <c r="Z19" s="38">
        <f t="shared" si="12"/>
        <v>3.953472222223354</v>
      </c>
      <c r="AA19" s="2">
        <v>45503.39166666667</v>
      </c>
      <c r="AB19" s="39">
        <f t="shared" si="2"/>
        <v>76.86250000000291</v>
      </c>
      <c r="AC19">
        <v>5</v>
      </c>
      <c r="AD19" s="45">
        <v>159.322</v>
      </c>
      <c r="AE19" s="45">
        <v>40.835000000000001</v>
      </c>
      <c r="AF19" s="67"/>
      <c r="AG19" s="45">
        <f t="shared" si="8"/>
        <v>796.61</v>
      </c>
      <c r="AH19" s="45">
        <f t="shared" si="9"/>
        <v>204.17500000000001</v>
      </c>
      <c r="AI19" s="67"/>
      <c r="AJ19" s="45">
        <f t="shared" si="10"/>
        <v>1159.1038199999998</v>
      </c>
      <c r="AK19" s="45"/>
    </row>
    <row r="20" spans="5:38" ht="14.4" x14ac:dyDescent="0.3">
      <c r="E20" s="2">
        <v>45497.416666666664</v>
      </c>
      <c r="F20" s="39">
        <f t="shared" si="0"/>
        <v>70.88749999999709</v>
      </c>
      <c r="G20">
        <v>10</v>
      </c>
      <c r="H20" s="39">
        <v>6.6760000000000002</v>
      </c>
      <c r="I20" s="39">
        <v>47.48</v>
      </c>
      <c r="J20" s="66"/>
      <c r="K20" s="39">
        <f t="shared" si="3"/>
        <v>66.760000000000005</v>
      </c>
      <c r="L20" s="39">
        <f t="shared" si="4"/>
        <v>316.97647999999998</v>
      </c>
      <c r="M20" s="66"/>
      <c r="N20" s="39">
        <f t="shared" si="11"/>
        <v>551.13531072000001</v>
      </c>
      <c r="O20" s="39"/>
      <c r="P20" s="44">
        <v>45502.400000000001</v>
      </c>
      <c r="Q20" s="39">
        <f t="shared" si="1"/>
        <v>75.870833333334303</v>
      </c>
      <c r="R20" s="39">
        <v>5</v>
      </c>
      <c r="S20" s="39">
        <v>6.952</v>
      </c>
      <c r="T20" s="39">
        <v>86.876999999999995</v>
      </c>
      <c r="U20" s="66"/>
      <c r="V20" s="39">
        <f t="shared" si="5"/>
        <v>34.76</v>
      </c>
      <c r="W20" s="39">
        <f t="shared" si="6"/>
        <v>434.38499999999999</v>
      </c>
      <c r="X20" s="66"/>
      <c r="Y20" s="39">
        <f t="shared" si="7"/>
        <v>694.74781000000007</v>
      </c>
      <c r="Z20" s="38">
        <f t="shared" si="12"/>
        <v>4.9541666666627862</v>
      </c>
      <c r="AA20" s="2">
        <v>45504.392361111109</v>
      </c>
      <c r="AB20" s="39">
        <f t="shared" si="2"/>
        <v>77.863194444442343</v>
      </c>
      <c r="AC20">
        <v>5</v>
      </c>
      <c r="AD20" s="45">
        <v>177.43899999999999</v>
      </c>
      <c r="AE20" s="45">
        <v>45.716000000000001</v>
      </c>
      <c r="AF20" s="67"/>
      <c r="AG20" s="45">
        <f t="shared" si="8"/>
        <v>887.19499999999994</v>
      </c>
      <c r="AH20" s="45">
        <f t="shared" si="9"/>
        <v>228.58</v>
      </c>
      <c r="AI20" s="67"/>
      <c r="AJ20" s="45">
        <f t="shared" si="10"/>
        <v>1292.707185</v>
      </c>
      <c r="AK20" s="45"/>
    </row>
    <row r="21" spans="5:38" ht="14.4" x14ac:dyDescent="0.3">
      <c r="E21" s="2">
        <v>45498.453472222223</v>
      </c>
      <c r="F21" s="39">
        <f t="shared" si="0"/>
        <v>71.924305555556202</v>
      </c>
      <c r="G21">
        <v>10</v>
      </c>
      <c r="H21" s="39">
        <v>4.1100000000000003</v>
      </c>
      <c r="I21" s="39">
        <v>48.128</v>
      </c>
      <c r="J21" s="66"/>
      <c r="K21" s="39">
        <f t="shared" si="3"/>
        <v>41.1</v>
      </c>
      <c r="L21" s="39">
        <f t="shared" si="4"/>
        <v>197.80608000000001</v>
      </c>
      <c r="M21" s="66"/>
      <c r="N21" s="39">
        <f t="shared" si="11"/>
        <v>343.33210511999999</v>
      </c>
      <c r="O21" s="39"/>
      <c r="P21" s="44">
        <v>45505.385416666664</v>
      </c>
      <c r="Q21" s="39">
        <f t="shared" si="1"/>
        <v>78.85624999999709</v>
      </c>
      <c r="R21" s="39">
        <v>5</v>
      </c>
      <c r="S21" s="39">
        <v>33.256999999999998</v>
      </c>
      <c r="T21" s="39">
        <v>93.337000000000003</v>
      </c>
      <c r="U21" s="66"/>
      <c r="V21" s="39">
        <f t="shared" si="5"/>
        <v>166.285</v>
      </c>
      <c r="W21" s="39">
        <f t="shared" si="6"/>
        <v>466.685</v>
      </c>
      <c r="X21" s="66"/>
      <c r="Y21" s="39">
        <f t="shared" si="7"/>
        <v>883.98718499999995</v>
      </c>
      <c r="Z21" s="38">
        <f t="shared" si="12"/>
        <v>5.9472222222175333</v>
      </c>
      <c r="AA21" s="2">
        <v>45505.385416666664</v>
      </c>
      <c r="AB21" s="39">
        <f t="shared" si="2"/>
        <v>78.85624999999709</v>
      </c>
      <c r="AC21">
        <v>5</v>
      </c>
      <c r="AD21" s="45">
        <v>199.16800000000001</v>
      </c>
      <c r="AE21" s="45">
        <v>51.587000000000003</v>
      </c>
      <c r="AF21" s="67"/>
      <c r="AG21" s="45">
        <f t="shared" si="8"/>
        <v>995.84</v>
      </c>
      <c r="AH21" s="45">
        <f t="shared" si="9"/>
        <v>257.935</v>
      </c>
      <c r="AI21" s="67"/>
      <c r="AJ21" s="45">
        <f t="shared" si="10"/>
        <v>1453.0748699999999</v>
      </c>
      <c r="AK21" s="45"/>
    </row>
    <row r="22" spans="5:38" ht="15" customHeight="1" x14ac:dyDescent="0.3">
      <c r="E22" s="2">
        <v>45499.438194444447</v>
      </c>
      <c r="F22" s="39">
        <f t="shared" si="0"/>
        <v>72.909027777779556</v>
      </c>
      <c r="G22">
        <v>10</v>
      </c>
      <c r="H22" s="39">
        <v>1.603</v>
      </c>
      <c r="I22" s="39">
        <v>47.877000000000002</v>
      </c>
      <c r="J22" s="66"/>
      <c r="K22" s="39">
        <f t="shared" si="3"/>
        <v>16.03</v>
      </c>
      <c r="L22" s="39">
        <f t="shared" si="4"/>
        <v>76.746831</v>
      </c>
      <c r="M22" s="66"/>
      <c r="N22" s="39">
        <f t="shared" si="11"/>
        <v>133.298712134</v>
      </c>
      <c r="O22" s="39"/>
      <c r="P22" s="44">
        <v>45509.509027777778</v>
      </c>
      <c r="Q22" s="39">
        <f t="shared" si="1"/>
        <v>82.979861111110949</v>
      </c>
      <c r="R22" s="39">
        <v>5</v>
      </c>
      <c r="S22" s="39">
        <v>6.1189999999999998</v>
      </c>
      <c r="T22" s="39">
        <v>88.421000000000006</v>
      </c>
      <c r="U22" s="66"/>
      <c r="V22" s="39">
        <f t="shared" si="5"/>
        <v>30.594999999999999</v>
      </c>
      <c r="W22" s="39">
        <f t="shared" si="6"/>
        <v>442.10500000000002</v>
      </c>
      <c r="X22" s="66"/>
      <c r="Y22" s="39">
        <f t="shared" si="7"/>
        <v>701.99183500000004</v>
      </c>
      <c r="Z22" s="38">
        <f t="shared" si="12"/>
        <v>6.898611111108039</v>
      </c>
      <c r="AA22" s="2">
        <v>45506.336805555555</v>
      </c>
      <c r="AB22" s="39">
        <f t="shared" si="2"/>
        <v>79.807638888887595</v>
      </c>
      <c r="AC22">
        <v>10</v>
      </c>
      <c r="AD22" s="45">
        <v>90.83</v>
      </c>
      <c r="AE22" s="45">
        <v>22.099</v>
      </c>
      <c r="AF22" s="67"/>
      <c r="AG22" s="45">
        <f t="shared" si="8"/>
        <v>908.3</v>
      </c>
      <c r="AH22" s="45">
        <f t="shared" si="9"/>
        <v>220.99</v>
      </c>
      <c r="AI22" s="67"/>
      <c r="AJ22" s="45">
        <f t="shared" si="10"/>
        <v>1303.73496</v>
      </c>
      <c r="AK22" s="45"/>
      <c r="AL22">
        <f>105*20</f>
        <v>2100</v>
      </c>
    </row>
    <row r="23" spans="5:38" ht="15" customHeight="1" x14ac:dyDescent="0.3">
      <c r="E23" s="2">
        <v>45502.400000000001</v>
      </c>
      <c r="F23" s="39">
        <f t="shared" ref="F23:F29" si="13">E23-$C$4</f>
        <v>75.870833333334303</v>
      </c>
      <c r="G23">
        <v>5</v>
      </c>
      <c r="H23" s="39">
        <v>6.3520000000000003</v>
      </c>
      <c r="I23" s="39">
        <v>80.942999999999998</v>
      </c>
      <c r="J23" s="66"/>
      <c r="K23" s="39">
        <f t="shared" si="3"/>
        <v>31.76</v>
      </c>
      <c r="L23" s="39">
        <f t="shared" si="4"/>
        <v>514.14993600000003</v>
      </c>
      <c r="M23" s="66"/>
      <c r="N23" s="39">
        <f t="shared" si="11"/>
        <v>812.31092310400004</v>
      </c>
      <c r="O23" s="39"/>
      <c r="P23" s="44">
        <v>45512.38958333333</v>
      </c>
      <c r="Q23" s="39">
        <f t="shared" si="1"/>
        <v>85.860416666662786</v>
      </c>
      <c r="R23" s="39">
        <v>5</v>
      </c>
      <c r="S23" s="39">
        <v>2.319</v>
      </c>
      <c r="T23" s="39">
        <v>87.141999999999996</v>
      </c>
      <c r="U23" s="66"/>
      <c r="V23" s="39">
        <f t="shared" si="5"/>
        <v>11.594999999999999</v>
      </c>
      <c r="W23" s="39">
        <f t="shared" si="6"/>
        <v>435.71</v>
      </c>
      <c r="X23" s="66"/>
      <c r="Y23" s="39">
        <f t="shared" si="7"/>
        <v>672.03680499999996</v>
      </c>
      <c r="AA23" s="2">
        <v>45509.509027777778</v>
      </c>
      <c r="AB23" s="39">
        <f t="shared" si="2"/>
        <v>82.979861111110949</v>
      </c>
      <c r="AC23">
        <v>10</v>
      </c>
      <c r="AD23" s="45">
        <v>78.415000000000006</v>
      </c>
      <c r="AE23" s="45">
        <v>25.466999999999999</v>
      </c>
      <c r="AF23" s="67"/>
      <c r="AG23" s="45">
        <f t="shared" si="8"/>
        <v>784.15000000000009</v>
      </c>
      <c r="AH23" s="45">
        <f t="shared" si="9"/>
        <v>254.67</v>
      </c>
      <c r="AI23" s="67"/>
      <c r="AJ23" s="45">
        <f t="shared" si="10"/>
        <v>1222.2584300000001</v>
      </c>
      <c r="AK23" s="45"/>
      <c r="AL23">
        <f>85*20</f>
        <v>1700</v>
      </c>
    </row>
    <row r="24" spans="5:38" ht="15" customHeight="1" x14ac:dyDescent="0.3">
      <c r="E24" s="2">
        <v>45503.39166666667</v>
      </c>
      <c r="F24" s="39">
        <f t="shared" si="13"/>
        <v>76.86250000000291</v>
      </c>
      <c r="G24">
        <v>5</v>
      </c>
      <c r="H24" s="39">
        <v>46.889000000000003</v>
      </c>
      <c r="I24" s="39">
        <v>78.346999999999994</v>
      </c>
      <c r="J24" s="66"/>
      <c r="K24" s="39">
        <f t="shared" si="3"/>
        <v>234.44500000000002</v>
      </c>
      <c r="L24" s="39">
        <f t="shared" si="4"/>
        <v>3673.6124829999999</v>
      </c>
      <c r="M24" s="66"/>
      <c r="N24" s="39">
        <f t="shared" si="11"/>
        <v>5812.0021142619998</v>
      </c>
      <c r="O24" s="39"/>
      <c r="P24" s="44">
        <v>45516.390277777777</v>
      </c>
      <c r="Q24" s="39">
        <f t="shared" si="1"/>
        <v>89.861111111109494</v>
      </c>
      <c r="R24" s="39">
        <v>5</v>
      </c>
      <c r="S24" s="39">
        <v>3.3340000000000001</v>
      </c>
      <c r="T24" s="39">
        <v>47.469000000000001</v>
      </c>
      <c r="U24" s="66"/>
      <c r="V24" s="39">
        <f t="shared" si="5"/>
        <v>16.670000000000002</v>
      </c>
      <c r="W24" s="39">
        <f t="shared" si="6"/>
        <v>237.345</v>
      </c>
      <c r="X24" s="66"/>
      <c r="Y24" s="39">
        <f t="shared" si="7"/>
        <v>377.12721999999997</v>
      </c>
      <c r="AA24" s="2">
        <v>45512.38958333333</v>
      </c>
      <c r="AB24" s="39">
        <f t="shared" si="2"/>
        <v>85.860416666662786</v>
      </c>
      <c r="AC24">
        <v>5</v>
      </c>
      <c r="AD24" s="45">
        <v>198.584</v>
      </c>
      <c r="AE24" s="45">
        <v>64.673000000000002</v>
      </c>
      <c r="AF24" s="67"/>
      <c r="AG24" s="45">
        <f t="shared" si="8"/>
        <v>992.92000000000007</v>
      </c>
      <c r="AH24" s="45">
        <f t="shared" si="9"/>
        <v>323.36500000000001</v>
      </c>
      <c r="AI24" s="67"/>
      <c r="AJ24" s="45">
        <f t="shared" si="10"/>
        <v>1549.02025</v>
      </c>
      <c r="AK24" s="45"/>
    </row>
    <row r="25" spans="5:38" ht="15" customHeight="1" x14ac:dyDescent="0.3">
      <c r="E25" s="2">
        <v>45504.392361111109</v>
      </c>
      <c r="F25" s="39">
        <f t="shared" si="13"/>
        <v>77.863194444442343</v>
      </c>
      <c r="G25">
        <v>5</v>
      </c>
      <c r="H25" s="39">
        <v>65.679000000000002</v>
      </c>
      <c r="I25" s="39">
        <v>107.67700000000001</v>
      </c>
      <c r="J25" s="66"/>
      <c r="K25" s="39">
        <f t="shared" si="3"/>
        <v>328.39499999999998</v>
      </c>
      <c r="L25" s="39">
        <f t="shared" si="4"/>
        <v>7072.1176830000004</v>
      </c>
      <c r="M25" s="66"/>
      <c r="N25" s="39">
        <f t="shared" si="11"/>
        <v>11057.583637062</v>
      </c>
      <c r="O25" s="39"/>
      <c r="P25" s="44">
        <v>45519.393055555556</v>
      </c>
      <c r="Q25" s="39">
        <f t="shared" si="1"/>
        <v>92.863888888889051</v>
      </c>
      <c r="R25" s="39">
        <v>5</v>
      </c>
      <c r="S25" s="39">
        <v>4.2149999999999999</v>
      </c>
      <c r="T25" s="39">
        <v>33.465000000000003</v>
      </c>
      <c r="U25" s="66"/>
      <c r="V25" s="39">
        <f t="shared" si="5"/>
        <v>21.074999999999999</v>
      </c>
      <c r="W25" s="39">
        <f t="shared" si="6"/>
        <v>167.32500000000002</v>
      </c>
      <c r="X25" s="66"/>
      <c r="Y25" s="39">
        <f t="shared" si="7"/>
        <v>275.81707500000005</v>
      </c>
      <c r="AA25" s="2">
        <v>45516.390277777777</v>
      </c>
      <c r="AB25" s="39">
        <f t="shared" si="2"/>
        <v>89.861111111109494</v>
      </c>
      <c r="AC25">
        <v>5</v>
      </c>
      <c r="AD25" s="45">
        <v>199.17599999999999</v>
      </c>
      <c r="AE25" s="45">
        <v>30.225999999999999</v>
      </c>
      <c r="AF25" s="67"/>
      <c r="AG25" s="45">
        <f t="shared" si="8"/>
        <v>995.87999999999988</v>
      </c>
      <c r="AH25" s="45">
        <f t="shared" si="9"/>
        <v>151.13</v>
      </c>
      <c r="AI25" s="67"/>
      <c r="AJ25" s="45">
        <f t="shared" si="10"/>
        <v>1291.4147799999998</v>
      </c>
      <c r="AK25" s="45"/>
    </row>
    <row r="26" spans="5:38" ht="15" customHeight="1" x14ac:dyDescent="0.3">
      <c r="E26" s="2">
        <v>45505.385416666664</v>
      </c>
      <c r="F26" s="39">
        <f t="shared" si="13"/>
        <v>78.85624999999709</v>
      </c>
      <c r="G26">
        <v>5</v>
      </c>
      <c r="H26" s="39">
        <v>47.329000000000001</v>
      </c>
      <c r="I26" s="39">
        <v>98.56</v>
      </c>
      <c r="J26" s="66"/>
      <c r="K26" s="39">
        <f t="shared" si="3"/>
        <v>236.64500000000001</v>
      </c>
      <c r="L26" s="39">
        <f t="shared" si="4"/>
        <v>4664.7462400000004</v>
      </c>
      <c r="M26" s="66"/>
      <c r="N26" s="39">
        <f t="shared" si="11"/>
        <v>7314.9260223600004</v>
      </c>
      <c r="O26" s="39"/>
      <c r="P26" s="44">
        <v>45523.386111111111</v>
      </c>
      <c r="Q26" s="39">
        <f t="shared" si="1"/>
        <v>96.856944444443798</v>
      </c>
      <c r="R26" s="39">
        <v>5</v>
      </c>
      <c r="S26" s="39">
        <v>2.1030000000000002</v>
      </c>
      <c r="T26" s="39">
        <v>1.603</v>
      </c>
      <c r="U26" s="66"/>
      <c r="V26" s="39">
        <f t="shared" si="5"/>
        <v>10.515000000000001</v>
      </c>
      <c r="W26" s="39">
        <f t="shared" si="6"/>
        <v>8.0150000000000006</v>
      </c>
      <c r="X26" s="66"/>
      <c r="Y26" s="39">
        <f t="shared" si="7"/>
        <v>23.354215</v>
      </c>
      <c r="AA26" s="44">
        <v>45519.393055555556</v>
      </c>
      <c r="AB26" s="39">
        <f t="shared" si="2"/>
        <v>92.863888888889051</v>
      </c>
      <c r="AC26">
        <v>5</v>
      </c>
      <c r="AD26" s="45">
        <v>242.876</v>
      </c>
      <c r="AE26" s="45">
        <v>38.241999999999997</v>
      </c>
      <c r="AF26" s="67"/>
      <c r="AG26" s="45">
        <f t="shared" si="8"/>
        <v>1214.3800000000001</v>
      </c>
      <c r="AH26" s="45">
        <f t="shared" si="9"/>
        <v>191.20999999999998</v>
      </c>
      <c r="AI26" s="67"/>
      <c r="AJ26" s="45">
        <f t="shared" si="10"/>
        <v>1585.2354</v>
      </c>
      <c r="AK26" s="45"/>
    </row>
    <row r="27" spans="5:38" ht="15" customHeight="1" x14ac:dyDescent="0.3">
      <c r="E27" s="2">
        <v>45506.336805555555</v>
      </c>
      <c r="F27" s="39">
        <f t="shared" si="13"/>
        <v>79.807638888887595</v>
      </c>
      <c r="G27">
        <v>10</v>
      </c>
      <c r="H27" s="39">
        <v>5.734</v>
      </c>
      <c r="I27" s="39">
        <v>40.037999999999997</v>
      </c>
      <c r="J27" s="66"/>
      <c r="K27" s="39">
        <f t="shared" si="3"/>
        <v>57.34</v>
      </c>
      <c r="L27" s="39">
        <f t="shared" si="4"/>
        <v>229.57789199999999</v>
      </c>
      <c r="M27" s="66"/>
      <c r="N27" s="39">
        <f t="shared" si="11"/>
        <v>408.76270848799999</v>
      </c>
      <c r="O27" s="39"/>
      <c r="P27" s="2">
        <v>45526.426388888889</v>
      </c>
      <c r="Q27" s="39">
        <f t="shared" si="1"/>
        <v>99.897222222221899</v>
      </c>
      <c r="R27" s="39">
        <v>5</v>
      </c>
      <c r="S27" s="39">
        <v>0.219</v>
      </c>
      <c r="T27" s="39">
        <v>0</v>
      </c>
      <c r="U27" s="66"/>
      <c r="V27" s="39" t="str">
        <f t="shared" si="5"/>
        <v/>
      </c>
      <c r="W27" s="39" t="str">
        <f t="shared" si="6"/>
        <v/>
      </c>
      <c r="X27" s="66"/>
      <c r="Y27" s="39"/>
      <c r="AA27" s="44">
        <v>45523.386111111111</v>
      </c>
      <c r="AB27" s="39">
        <f t="shared" si="2"/>
        <v>96.856944444443798</v>
      </c>
      <c r="AC27">
        <v>5</v>
      </c>
      <c r="AD27">
        <v>4.3630000000000004</v>
      </c>
      <c r="AE27">
        <v>1.1120000000000001</v>
      </c>
      <c r="AF27" s="68"/>
      <c r="AG27" s="45">
        <f t="shared" si="8"/>
        <v>21.815000000000001</v>
      </c>
      <c r="AH27" s="45">
        <f t="shared" si="9"/>
        <v>5.5600000000000005</v>
      </c>
      <c r="AI27" s="67"/>
      <c r="AJ27" s="45">
        <f t="shared" si="10"/>
        <v>31.694445000000002</v>
      </c>
      <c r="AK27" s="45"/>
    </row>
    <row r="28" spans="5:38" ht="15" customHeight="1" x14ac:dyDescent="0.3">
      <c r="E28" s="2">
        <v>45508</v>
      </c>
      <c r="F28" s="39">
        <f t="shared" si="13"/>
        <v>81.470833333332848</v>
      </c>
      <c r="G28">
        <v>5</v>
      </c>
      <c r="H28" s="39">
        <f>AVERAGE(20.735,22,813,20.902)</f>
        <v>219.15925000000001</v>
      </c>
      <c r="I28" s="39">
        <f>1.847+1.775+1.769</f>
        <v>5.391</v>
      </c>
      <c r="J28" s="66"/>
      <c r="K28" s="39">
        <f t="shared" si="3"/>
        <v>1095.7962500000001</v>
      </c>
      <c r="L28" s="39">
        <f t="shared" si="4"/>
        <v>1181.4875167500002</v>
      </c>
      <c r="M28" s="66"/>
      <c r="N28" s="39">
        <f t="shared" si="11"/>
        <v>2957.9866991095005</v>
      </c>
      <c r="O28" s="39"/>
      <c r="P28" s="44">
        <v>45530</v>
      </c>
      <c r="Q28" s="39">
        <f t="shared" si="1"/>
        <v>103.47083333333285</v>
      </c>
      <c r="R28" s="39">
        <v>5</v>
      </c>
      <c r="S28" s="39">
        <v>28.683</v>
      </c>
      <c r="T28" s="39">
        <v>13.161</v>
      </c>
      <c r="U28" s="66"/>
      <c r="V28" s="39">
        <f t="shared" si="5"/>
        <v>143.41499999999999</v>
      </c>
      <c r="W28" s="39">
        <f t="shared" si="6"/>
        <v>65.804999999999993</v>
      </c>
      <c r="X28" s="66"/>
      <c r="Y28" s="39">
        <f t="shared" si="7"/>
        <v>252.65257499999996</v>
      </c>
      <c r="AA28" s="2">
        <v>45526.426388888889</v>
      </c>
      <c r="AB28" s="39">
        <f t="shared" si="2"/>
        <v>99.897222222221899</v>
      </c>
      <c r="AC28">
        <v>5</v>
      </c>
      <c r="AD28" s="45">
        <v>14.214</v>
      </c>
      <c r="AE28" s="45">
        <v>0</v>
      </c>
      <c r="AF28" s="67"/>
      <c r="AG28" s="45">
        <f t="shared" si="8"/>
        <v>71.070000000000007</v>
      </c>
      <c r="AH28" s="45" t="str">
        <f t="shared" si="9"/>
        <v/>
      </c>
      <c r="AI28" s="67"/>
      <c r="AJ28" s="45">
        <f t="shared" si="10"/>
        <v>75.831690000000009</v>
      </c>
      <c r="AK28" s="45"/>
    </row>
    <row r="29" spans="5:38" ht="15" customHeight="1" x14ac:dyDescent="0.3">
      <c r="E29" s="2">
        <v>45509.388888888891</v>
      </c>
      <c r="F29" s="39">
        <f t="shared" si="13"/>
        <v>82.859722222223354</v>
      </c>
      <c r="G29">
        <v>5</v>
      </c>
      <c r="H29" s="39">
        <v>11.967000000000001</v>
      </c>
      <c r="I29">
        <v>90.596000000000004</v>
      </c>
      <c r="J29" s="68"/>
      <c r="K29" s="39">
        <f t="shared" si="3"/>
        <v>59.835000000000001</v>
      </c>
      <c r="L29" s="39">
        <f t="shared" si="4"/>
        <v>1084.1623320000001</v>
      </c>
      <c r="M29" s="66"/>
      <c r="N29" s="39">
        <f t="shared" si="11"/>
        <v>1705.2657156480002</v>
      </c>
      <c r="O29" s="39"/>
      <c r="P29" s="2">
        <v>45533.464583333334</v>
      </c>
      <c r="Q29" s="39">
        <f t="shared" si="1"/>
        <v>106.93541666666715</v>
      </c>
      <c r="R29" s="39">
        <v>5</v>
      </c>
      <c r="S29" s="39">
        <v>35.338999999999999</v>
      </c>
      <c r="T29" s="39">
        <v>10.037000000000001</v>
      </c>
      <c r="U29" s="66"/>
      <c r="V29" s="39">
        <f t="shared" si="5"/>
        <v>176.69499999999999</v>
      </c>
      <c r="W29" s="39">
        <f t="shared" si="6"/>
        <v>50.185000000000002</v>
      </c>
      <c r="X29" s="66"/>
      <c r="Y29" s="39">
        <f t="shared" si="7"/>
        <v>264.51365499999997</v>
      </c>
      <c r="AA29" s="2">
        <v>45530</v>
      </c>
      <c r="AB29" s="39">
        <f t="shared" si="2"/>
        <v>103.47083333333285</v>
      </c>
      <c r="AC29">
        <v>2</v>
      </c>
      <c r="AD29">
        <v>7.0019999999999998</v>
      </c>
      <c r="AE29">
        <v>0.92</v>
      </c>
      <c r="AF29" s="68"/>
      <c r="AG29" s="45">
        <f t="shared" si="8"/>
        <v>14.004</v>
      </c>
      <c r="AH29" s="45">
        <f t="shared" si="9"/>
        <v>1.84</v>
      </c>
      <c r="AI29" s="67"/>
      <c r="AJ29" s="45">
        <f t="shared" si="10"/>
        <v>17.728027999999998</v>
      </c>
      <c r="AK29" s="45"/>
    </row>
    <row r="30" spans="5:38" ht="15" customHeight="1" x14ac:dyDescent="0.3">
      <c r="E30" s="2">
        <v>45510.404861111114</v>
      </c>
      <c r="F30" s="39">
        <f t="shared" ref="F30:F48" si="14">E30-$C$4</f>
        <v>83.875694444446708</v>
      </c>
      <c r="G30">
        <v>5</v>
      </c>
      <c r="H30" s="39">
        <v>6.9109999999999996</v>
      </c>
      <c r="I30" s="39">
        <v>96.694000000000003</v>
      </c>
      <c r="J30" s="66"/>
      <c r="K30" s="39">
        <f t="shared" si="3"/>
        <v>34.555</v>
      </c>
      <c r="L30" s="39">
        <f t="shared" si="4"/>
        <v>668.25223399999993</v>
      </c>
      <c r="M30" s="66"/>
      <c r="N30" s="39">
        <f t="shared" si="11"/>
        <v>1048.604067276</v>
      </c>
      <c r="O30" s="39"/>
      <c r="P30" s="44">
        <v>45538.395138888889</v>
      </c>
      <c r="Q30" s="39">
        <f t="shared" si="1"/>
        <v>111.8659722222219</v>
      </c>
      <c r="R30" s="39">
        <v>2</v>
      </c>
      <c r="S30" s="39">
        <v>87.856999999999999</v>
      </c>
      <c r="T30" s="39">
        <v>37.22</v>
      </c>
      <c r="U30" s="66"/>
      <c r="V30" s="39">
        <f t="shared" si="5"/>
        <v>175.714</v>
      </c>
      <c r="W30" s="39">
        <f t="shared" si="6"/>
        <v>74.44</v>
      </c>
      <c r="X30" s="66"/>
      <c r="Y30" s="39">
        <f t="shared" si="7"/>
        <v>300.18899799999997</v>
      </c>
      <c r="AA30" s="2">
        <v>45533.464583333334</v>
      </c>
      <c r="AB30" s="39">
        <f t="shared" si="2"/>
        <v>106.93541666666715</v>
      </c>
      <c r="AC30">
        <v>1</v>
      </c>
      <c r="AD30">
        <v>9.0280000000000005</v>
      </c>
      <c r="AE30">
        <v>0.79700000000000004</v>
      </c>
      <c r="AF30" s="68"/>
      <c r="AG30" s="45">
        <f t="shared" si="8"/>
        <v>9.0280000000000005</v>
      </c>
      <c r="AH30" s="45">
        <f t="shared" si="9"/>
        <v>0.79700000000000004</v>
      </c>
      <c r="AI30" s="67"/>
      <c r="AJ30" s="45">
        <f t="shared" si="10"/>
        <v>10.839534</v>
      </c>
    </row>
    <row r="31" spans="5:38" ht="15" customHeight="1" x14ac:dyDescent="0.3">
      <c r="E31" s="2">
        <v>45511.459722222222</v>
      </c>
      <c r="F31" s="39">
        <f t="shared" si="14"/>
        <v>84.930555555554747</v>
      </c>
      <c r="G31">
        <v>5</v>
      </c>
      <c r="H31" s="39">
        <v>8.0980000000000008</v>
      </c>
      <c r="I31" s="39">
        <v>86.07</v>
      </c>
      <c r="J31" s="66"/>
      <c r="K31" s="39">
        <f t="shared" si="3"/>
        <v>40.49</v>
      </c>
      <c r="L31" s="39">
        <f t="shared" si="4"/>
        <v>696.99486000000002</v>
      </c>
      <c r="M31" s="66"/>
      <c r="N31" s="39">
        <f t="shared" si="11"/>
        <v>1098.4530480399999</v>
      </c>
      <c r="O31" s="39"/>
      <c r="P31" s="44">
        <v>45541.436805555553</v>
      </c>
      <c r="Q31" s="39">
        <f t="shared" si="1"/>
        <v>114.90763888888614</v>
      </c>
      <c r="R31" s="39">
        <v>2</v>
      </c>
      <c r="S31" s="39">
        <v>64.569999999999993</v>
      </c>
      <c r="T31" s="39">
        <v>19.827999999999999</v>
      </c>
      <c r="U31" s="66"/>
      <c r="V31" s="39">
        <f t="shared" si="5"/>
        <v>129.13999999999999</v>
      </c>
      <c r="W31" s="39">
        <f t="shared" si="6"/>
        <v>39.655999999999999</v>
      </c>
      <c r="X31" s="66"/>
      <c r="Y31" s="39">
        <f t="shared" si="7"/>
        <v>197.83156399999999</v>
      </c>
      <c r="AA31" s="2">
        <v>45534.551388888889</v>
      </c>
      <c r="AB31" s="39">
        <f t="shared" si="2"/>
        <v>108.0222222222219</v>
      </c>
      <c r="AC31">
        <v>1</v>
      </c>
      <c r="AD31">
        <v>11.53</v>
      </c>
      <c r="AE31">
        <v>0.184</v>
      </c>
      <c r="AF31" s="68"/>
      <c r="AG31" s="45">
        <f t="shared" si="8"/>
        <v>11.53</v>
      </c>
      <c r="AH31" s="45" t="str">
        <f t="shared" si="9"/>
        <v/>
      </c>
      <c r="AI31" s="67"/>
      <c r="AJ31" s="45">
        <f t="shared" si="10"/>
        <v>12.302509999999998</v>
      </c>
    </row>
    <row r="32" spans="5:38" ht="15" customHeight="1" x14ac:dyDescent="0.3">
      <c r="E32" s="2">
        <v>45512.38958333333</v>
      </c>
      <c r="F32" s="39">
        <f t="shared" si="14"/>
        <v>85.860416666662786</v>
      </c>
      <c r="G32">
        <v>5</v>
      </c>
      <c r="H32" s="39">
        <v>2.9159999999999999</v>
      </c>
      <c r="I32" s="39">
        <v>85.507999999999996</v>
      </c>
      <c r="J32" s="66"/>
      <c r="K32" s="39">
        <f t="shared" si="3"/>
        <v>14.58</v>
      </c>
      <c r="L32" s="39">
        <f t="shared" si="4"/>
        <v>249.34132799999998</v>
      </c>
      <c r="M32" s="66"/>
      <c r="N32" s="39">
        <f t="shared" si="11"/>
        <v>393.05963059199996</v>
      </c>
      <c r="O32" s="39"/>
      <c r="P32" s="2">
        <v>45544.415972222225</v>
      </c>
      <c r="Q32" s="39">
        <f t="shared" si="1"/>
        <v>117.88680555555766</v>
      </c>
      <c r="R32" s="39">
        <v>2</v>
      </c>
      <c r="S32" s="39">
        <v>81.947999999999993</v>
      </c>
      <c r="T32" s="39">
        <v>8.0180000000000007</v>
      </c>
      <c r="U32" s="66"/>
      <c r="V32" s="39">
        <f t="shared" si="5"/>
        <v>163.89599999999999</v>
      </c>
      <c r="W32" s="39">
        <f t="shared" si="6"/>
        <v>16.036000000000001</v>
      </c>
      <c r="X32" s="66"/>
      <c r="Y32" s="39">
        <f t="shared" si="7"/>
        <v>199.15553599999998</v>
      </c>
      <c r="AA32" s="2">
        <v>45538.395138888889</v>
      </c>
      <c r="AB32" s="39">
        <f t="shared" si="2"/>
        <v>111.8659722222219</v>
      </c>
      <c r="AC32">
        <v>1</v>
      </c>
      <c r="AD32">
        <v>30.675000000000001</v>
      </c>
      <c r="AE32">
        <v>0.24199999999999999</v>
      </c>
      <c r="AF32" s="68"/>
      <c r="AG32" s="45">
        <f t="shared" si="8"/>
        <v>30.675000000000001</v>
      </c>
      <c r="AH32" s="45" t="str">
        <f t="shared" si="9"/>
        <v/>
      </c>
      <c r="AI32" s="67"/>
      <c r="AJ32" s="45">
        <f t="shared" si="10"/>
        <v>32.730224999999997</v>
      </c>
    </row>
    <row r="33" spans="3:37" ht="15" customHeight="1" x14ac:dyDescent="0.3">
      <c r="C33">
        <f>(E33-$D$33)*24</f>
        <v>0</v>
      </c>
      <c r="D33" s="2">
        <v>45513.333333333336</v>
      </c>
      <c r="E33" s="2">
        <v>45513.333333333336</v>
      </c>
      <c r="F33" s="39">
        <f t="shared" si="14"/>
        <v>86.804166666668607</v>
      </c>
      <c r="G33">
        <v>5</v>
      </c>
      <c r="H33" s="39">
        <v>9.2750000000000004</v>
      </c>
      <c r="I33" s="39">
        <v>69.516000000000005</v>
      </c>
      <c r="J33" s="66"/>
      <c r="K33" s="39">
        <f t="shared" si="3"/>
        <v>46.375</v>
      </c>
      <c r="L33" s="39">
        <f t="shared" si="4"/>
        <v>644.76090000000011</v>
      </c>
      <c r="M33" s="66"/>
      <c r="N33" s="39">
        <f t="shared" si="11"/>
        <v>1025.6501276000001</v>
      </c>
      <c r="O33" s="39"/>
      <c r="P33" s="44">
        <v>45547</v>
      </c>
      <c r="Q33" s="39">
        <f t="shared" si="1"/>
        <v>120.47083333333285</v>
      </c>
      <c r="R33" s="39">
        <v>2</v>
      </c>
      <c r="S33" s="39">
        <v>28.282</v>
      </c>
      <c r="T33" s="39">
        <v>0</v>
      </c>
      <c r="U33" s="66"/>
      <c r="V33" s="39">
        <f t="shared" si="5"/>
        <v>56.564</v>
      </c>
      <c r="W33" s="39" t="str">
        <f t="shared" si="6"/>
        <v/>
      </c>
      <c r="X33" s="66"/>
      <c r="Y33" s="39">
        <f t="shared" si="7"/>
        <v>60.353787999999994</v>
      </c>
      <c r="AA33" s="2">
        <v>45541.44027777778</v>
      </c>
      <c r="AB33" s="39">
        <f t="shared" si="2"/>
        <v>114.9111111111124</v>
      </c>
      <c r="AC33">
        <v>1</v>
      </c>
      <c r="AD33">
        <v>62.597000000000001</v>
      </c>
      <c r="AE33">
        <v>2.1659999999999999</v>
      </c>
      <c r="AF33" s="68"/>
      <c r="AG33" s="45">
        <f t="shared" si="8"/>
        <v>62.597000000000001</v>
      </c>
      <c r="AH33" s="45">
        <f t="shared" si="9"/>
        <v>2.1659999999999999</v>
      </c>
      <c r="AI33" s="67"/>
      <c r="AJ33" s="45">
        <f t="shared" si="10"/>
        <v>70.070323000000002</v>
      </c>
    </row>
    <row r="34" spans="3:37" ht="15" customHeight="1" x14ac:dyDescent="0.3">
      <c r="C34">
        <f t="shared" ref="C34:C40" si="15">(E34-$D$33)*24</f>
        <v>0.99999999994179234</v>
      </c>
      <c r="E34" s="2">
        <v>45513.375</v>
      </c>
      <c r="F34" s="39">
        <f t="shared" si="14"/>
        <v>86.845833333332848</v>
      </c>
      <c r="G34">
        <v>5</v>
      </c>
      <c r="H34" s="39">
        <v>9.0429999999999993</v>
      </c>
      <c r="I34" s="39">
        <v>69.48</v>
      </c>
      <c r="J34" s="66"/>
      <c r="K34" s="39">
        <f t="shared" si="3"/>
        <v>45.214999999999996</v>
      </c>
      <c r="L34" s="39">
        <f t="shared" si="4"/>
        <v>628.30763999999999</v>
      </c>
      <c r="M34" s="66"/>
      <c r="N34" s="39">
        <f t="shared" si="11"/>
        <v>999.50217196000006</v>
      </c>
      <c r="O34" s="39"/>
      <c r="P34" s="2">
        <v>45551.43472222222</v>
      </c>
      <c r="Q34" s="39">
        <f t="shared" si="1"/>
        <v>124.90555555555329</v>
      </c>
      <c r="R34" s="39">
        <v>2</v>
      </c>
      <c r="S34" s="39">
        <v>9.8879999999999999</v>
      </c>
      <c r="T34" s="39">
        <v>3.355</v>
      </c>
      <c r="U34" s="66"/>
      <c r="V34" s="39">
        <f t="shared" si="5"/>
        <v>19.776</v>
      </c>
      <c r="W34" s="39">
        <f t="shared" si="6"/>
        <v>6.71</v>
      </c>
      <c r="X34" s="66"/>
      <c r="Y34" s="39">
        <f t="shared" si="7"/>
        <v>31.259931999999999</v>
      </c>
      <c r="AA34" s="2">
        <v>45544.42083333333</v>
      </c>
      <c r="AB34" s="39">
        <f t="shared" si="2"/>
        <v>117.89166666666279</v>
      </c>
      <c r="AC34">
        <v>2</v>
      </c>
      <c r="AD34">
        <v>26.917999999999999</v>
      </c>
      <c r="AE34">
        <v>0</v>
      </c>
      <c r="AF34" s="68"/>
      <c r="AG34" s="45">
        <f t="shared" si="8"/>
        <v>53.835999999999999</v>
      </c>
      <c r="AH34" s="45" t="str">
        <f t="shared" si="9"/>
        <v/>
      </c>
      <c r="AI34" s="67"/>
      <c r="AJ34" s="45">
        <f t="shared" si="10"/>
        <v>57.443011999999996</v>
      </c>
    </row>
    <row r="35" spans="3:37" ht="15" customHeight="1" x14ac:dyDescent="0.3">
      <c r="C35">
        <f t="shared" si="15"/>
        <v>1.9999999998835847</v>
      </c>
      <c r="E35" s="2">
        <v>45513.416666666664</v>
      </c>
      <c r="F35" s="39">
        <f t="shared" si="14"/>
        <v>86.88749999999709</v>
      </c>
      <c r="G35">
        <v>5</v>
      </c>
      <c r="H35" s="39">
        <v>9.3659999999999997</v>
      </c>
      <c r="I35" s="39">
        <v>74.802999999999997</v>
      </c>
      <c r="J35" s="66"/>
      <c r="K35" s="39">
        <f t="shared" si="3"/>
        <v>46.83</v>
      </c>
      <c r="L35" s="39">
        <f t="shared" si="4"/>
        <v>700.60489799999993</v>
      </c>
      <c r="M35" s="66"/>
      <c r="N35" s="39">
        <f t="shared" si="11"/>
        <v>1110.6834255719998</v>
      </c>
      <c r="O35" s="39"/>
      <c r="P35" s="44">
        <v>45554.44027777778</v>
      </c>
      <c r="Q35" s="39">
        <f t="shared" si="1"/>
        <v>127.9111111111124</v>
      </c>
      <c r="R35" s="39">
        <v>2</v>
      </c>
      <c r="S35" s="39">
        <v>16.923999999999999</v>
      </c>
      <c r="T35" s="39">
        <v>0.66400000000000003</v>
      </c>
      <c r="U35" s="66"/>
      <c r="V35" s="39">
        <f t="shared" si="5"/>
        <v>33.847999999999999</v>
      </c>
      <c r="W35" s="39">
        <f t="shared" si="6"/>
        <v>1.3280000000000001</v>
      </c>
      <c r="X35" s="66"/>
      <c r="Y35" s="39">
        <f t="shared" si="7"/>
        <v>38.126407999999998</v>
      </c>
      <c r="AA35" s="2">
        <v>45547</v>
      </c>
      <c r="AB35" s="39">
        <f t="shared" si="2"/>
        <v>120.47083333333285</v>
      </c>
      <c r="AC35">
        <v>1</v>
      </c>
      <c r="AD35">
        <v>74.061999999999998</v>
      </c>
      <c r="AE35">
        <v>0</v>
      </c>
      <c r="AF35" s="68"/>
      <c r="AG35" s="45">
        <f t="shared" si="8"/>
        <v>74.061999999999998</v>
      </c>
      <c r="AH35" s="45" t="str">
        <f t="shared" si="9"/>
        <v/>
      </c>
      <c r="AI35" s="67"/>
      <c r="AJ35" s="45">
        <f t="shared" si="10"/>
        <v>79.024153999999996</v>
      </c>
    </row>
    <row r="36" spans="3:37" ht="15" customHeight="1" x14ac:dyDescent="0.3">
      <c r="C36">
        <f t="shared" si="15"/>
        <v>3</v>
      </c>
      <c r="E36" s="2">
        <v>45513.458333333336</v>
      </c>
      <c r="F36" s="39">
        <f t="shared" si="14"/>
        <v>86.929166666668607</v>
      </c>
      <c r="G36">
        <v>5</v>
      </c>
      <c r="H36" s="39">
        <v>8.9879999999999995</v>
      </c>
      <c r="I36" s="39">
        <v>72.394000000000005</v>
      </c>
      <c r="J36" s="66"/>
      <c r="K36" s="39">
        <f t="shared" si="3"/>
        <v>44.94</v>
      </c>
      <c r="L36" s="39">
        <f t="shared" si="4"/>
        <v>650.67727200000002</v>
      </c>
      <c r="M36" s="66"/>
      <c r="N36" s="39">
        <f t="shared" si="11"/>
        <v>1033.076369808</v>
      </c>
      <c r="O36" s="39"/>
      <c r="P36" s="44">
        <v>45558.404861111114</v>
      </c>
      <c r="Q36" s="39">
        <f t="shared" si="1"/>
        <v>131.87569444444671</v>
      </c>
      <c r="R36" s="39">
        <v>1</v>
      </c>
      <c r="S36" s="39">
        <v>16.253</v>
      </c>
      <c r="T36" s="39">
        <v>0.88800000000000001</v>
      </c>
      <c r="U36" s="66"/>
      <c r="V36" s="39">
        <f t="shared" si="5"/>
        <v>16.253</v>
      </c>
      <c r="W36" s="39">
        <f t="shared" si="6"/>
        <v>0.88800000000000001</v>
      </c>
      <c r="X36" s="66"/>
      <c r="Y36" s="39">
        <f t="shared" si="7"/>
        <v>18.686382999999999</v>
      </c>
      <c r="AA36" s="2">
        <v>45551.43472222222</v>
      </c>
      <c r="AB36" s="39">
        <f t="shared" si="2"/>
        <v>124.90555555555329</v>
      </c>
      <c r="AC36">
        <v>1</v>
      </c>
      <c r="AD36">
        <v>8.6310000000000002</v>
      </c>
      <c r="AE36">
        <v>3.2130000000000001</v>
      </c>
      <c r="AF36" s="68"/>
      <c r="AG36" s="45">
        <f t="shared" si="8"/>
        <v>8.6310000000000002</v>
      </c>
      <c r="AH36" s="45">
        <f t="shared" si="9"/>
        <v>3.2130000000000001</v>
      </c>
      <c r="AI36" s="67"/>
      <c r="AJ36" s="45">
        <f t="shared" si="10"/>
        <v>14.073758999999999</v>
      </c>
    </row>
    <row r="37" spans="3:37" ht="15" customHeight="1" x14ac:dyDescent="0.3">
      <c r="C37">
        <f>(E37-$D$33)*24</f>
        <v>3.9999999999417923</v>
      </c>
      <c r="E37" s="2">
        <v>45513.5</v>
      </c>
      <c r="F37" s="39">
        <f t="shared" si="14"/>
        <v>86.970833333332848</v>
      </c>
      <c r="G37">
        <v>5</v>
      </c>
      <c r="H37" s="39">
        <v>8.7460000000000004</v>
      </c>
      <c r="I37" s="39">
        <v>69.293000000000006</v>
      </c>
      <c r="J37" s="66"/>
      <c r="K37" s="39">
        <f t="shared" si="3"/>
        <v>43.730000000000004</v>
      </c>
      <c r="L37" s="39">
        <f t="shared" si="4"/>
        <v>606.03657800000008</v>
      </c>
      <c r="M37" s="66"/>
      <c r="N37" s="39">
        <f t="shared" si="11"/>
        <v>964.19928909200007</v>
      </c>
      <c r="O37" s="39"/>
      <c r="P37" s="2">
        <v>45561.553472222222</v>
      </c>
      <c r="Q37" s="39">
        <f t="shared" si="1"/>
        <v>135.02430555555475</v>
      </c>
      <c r="R37" s="39">
        <v>1</v>
      </c>
      <c r="S37" s="39">
        <v>40</v>
      </c>
      <c r="T37" s="39"/>
      <c r="U37" s="66"/>
      <c r="V37" s="39">
        <f t="shared" si="5"/>
        <v>40</v>
      </c>
      <c r="W37" s="39" t="str">
        <f t="shared" si="6"/>
        <v/>
      </c>
      <c r="X37" s="66"/>
      <c r="Y37" s="39">
        <f t="shared" si="7"/>
        <v>42.68</v>
      </c>
      <c r="AA37" s="2">
        <v>45554.44027777778</v>
      </c>
      <c r="AB37" s="39">
        <f t="shared" si="2"/>
        <v>127.9111111111124</v>
      </c>
      <c r="AC37">
        <v>1</v>
      </c>
      <c r="AD37">
        <v>5.8689999999999998</v>
      </c>
      <c r="AE37">
        <v>0</v>
      </c>
      <c r="AF37" s="68"/>
      <c r="AG37" s="45">
        <f t="shared" si="8"/>
        <v>5.8689999999999998</v>
      </c>
      <c r="AH37" s="45" t="str">
        <f t="shared" si="9"/>
        <v/>
      </c>
      <c r="AI37" s="67"/>
      <c r="AJ37" s="45">
        <f t="shared" si="10"/>
        <v>6.2622229999999997</v>
      </c>
    </row>
    <row r="38" spans="3:37" ht="15" customHeight="1" x14ac:dyDescent="0.3">
      <c r="C38">
        <f t="shared" si="15"/>
        <v>4.9999999998835847</v>
      </c>
      <c r="E38" s="2">
        <v>45513.541666666664</v>
      </c>
      <c r="F38" s="39">
        <f t="shared" si="14"/>
        <v>87.01249999999709</v>
      </c>
      <c r="G38">
        <v>5</v>
      </c>
      <c r="H38" s="39">
        <v>9.4489999999999998</v>
      </c>
      <c r="I38" s="39">
        <v>77.185000000000002</v>
      </c>
      <c r="J38" s="66"/>
      <c r="K38" s="39">
        <f t="shared" si="3"/>
        <v>47.244999999999997</v>
      </c>
      <c r="L38" s="39">
        <f t="shared" si="4"/>
        <v>729.32106499999998</v>
      </c>
      <c r="M38" s="66"/>
      <c r="N38" s="39">
        <f t="shared" si="11"/>
        <v>1154.60250741</v>
      </c>
      <c r="O38" s="39"/>
      <c r="P38" s="44">
        <v>45565.431250000001</v>
      </c>
      <c r="Q38" s="39">
        <f t="shared" si="1"/>
        <v>138.9020833333343</v>
      </c>
      <c r="R38" s="39">
        <v>1</v>
      </c>
      <c r="S38" s="39">
        <v>15.465</v>
      </c>
      <c r="T38" s="39">
        <v>1.175</v>
      </c>
      <c r="U38" s="66"/>
      <c r="V38" s="39">
        <f t="shared" si="5"/>
        <v>15.465</v>
      </c>
      <c r="W38" s="39">
        <f t="shared" si="6"/>
        <v>1.175</v>
      </c>
      <c r="X38" s="66"/>
      <c r="Y38" s="39">
        <f t="shared" si="7"/>
        <v>18.280104999999999</v>
      </c>
      <c r="AA38" s="2">
        <v>45558.404861111114</v>
      </c>
      <c r="AB38" s="39">
        <f t="shared" si="2"/>
        <v>131.87569444444671</v>
      </c>
      <c r="AC38">
        <v>1</v>
      </c>
      <c r="AD38">
        <v>1.228</v>
      </c>
      <c r="AE38">
        <v>0.377</v>
      </c>
      <c r="AF38" s="68"/>
      <c r="AG38" s="45">
        <f t="shared" si="8"/>
        <v>1.228</v>
      </c>
      <c r="AH38" s="45">
        <f t="shared" si="9"/>
        <v>0.377</v>
      </c>
      <c r="AI38" s="67"/>
      <c r="AJ38" s="45">
        <f t="shared" si="10"/>
        <v>1.881054</v>
      </c>
    </row>
    <row r="39" spans="3:37" ht="15" customHeight="1" x14ac:dyDescent="0.3">
      <c r="C39">
        <f t="shared" si="15"/>
        <v>6</v>
      </c>
      <c r="E39" s="2">
        <v>45513.583333333336</v>
      </c>
      <c r="F39" s="39">
        <f t="shared" si="14"/>
        <v>87.054166666668607</v>
      </c>
      <c r="G39">
        <v>5</v>
      </c>
      <c r="H39" s="39">
        <v>8.8789999999999996</v>
      </c>
      <c r="I39" s="39">
        <v>64.069000000000003</v>
      </c>
      <c r="J39" s="66"/>
      <c r="K39" s="39">
        <f t="shared" si="3"/>
        <v>44.394999999999996</v>
      </c>
      <c r="L39" s="39">
        <f t="shared" si="4"/>
        <v>568.868651</v>
      </c>
      <c r="M39" s="66"/>
      <c r="N39" s="39">
        <f t="shared" si="11"/>
        <v>908.63660261400003</v>
      </c>
      <c r="O39" s="39"/>
      <c r="P39" s="2">
        <v>45568.455555555556</v>
      </c>
      <c r="Q39" s="39">
        <f t="shared" si="1"/>
        <v>141.92638888888905</v>
      </c>
      <c r="R39" s="39">
        <v>1</v>
      </c>
      <c r="S39" s="39">
        <v>5.82</v>
      </c>
      <c r="T39" s="39">
        <v>3.2890000000000001</v>
      </c>
      <c r="U39" s="66"/>
      <c r="V39" s="39">
        <f t="shared" si="5"/>
        <v>5.82</v>
      </c>
      <c r="W39" s="39">
        <f t="shared" si="6"/>
        <v>3.2890000000000001</v>
      </c>
      <c r="X39" s="66"/>
      <c r="Y39" s="39">
        <f t="shared" si="7"/>
        <v>11.189485999999999</v>
      </c>
      <c r="AA39" s="2">
        <v>45561.553472222222</v>
      </c>
      <c r="AB39" s="39">
        <f t="shared" si="2"/>
        <v>135.02430555555475</v>
      </c>
      <c r="AC39">
        <v>1</v>
      </c>
      <c r="AD39">
        <v>2.1520000000000001</v>
      </c>
      <c r="AE39">
        <v>0</v>
      </c>
      <c r="AF39" s="68"/>
      <c r="AG39" s="45">
        <f t="shared" si="8"/>
        <v>2.1520000000000001</v>
      </c>
      <c r="AH39" s="45" t="str">
        <f t="shared" si="9"/>
        <v/>
      </c>
      <c r="AI39" s="67"/>
      <c r="AJ39" s="45">
        <f t="shared" si="10"/>
        <v>2.2961840000000002</v>
      </c>
    </row>
    <row r="40" spans="3:37" ht="15" customHeight="1" x14ac:dyDescent="0.3">
      <c r="C40">
        <f t="shared" si="15"/>
        <v>6.9999999999417923</v>
      </c>
      <c r="E40" s="2">
        <v>45513.625</v>
      </c>
      <c r="F40" s="39">
        <f t="shared" si="14"/>
        <v>87.095833333332848</v>
      </c>
      <c r="G40">
        <v>5</v>
      </c>
      <c r="H40" s="39">
        <v>9.4440000000000008</v>
      </c>
      <c r="I40" s="39">
        <v>71.537000000000006</v>
      </c>
      <c r="J40" s="66"/>
      <c r="K40" s="39">
        <f t="shared" si="3"/>
        <v>47.220000000000006</v>
      </c>
      <c r="L40" s="39">
        <f t="shared" si="4"/>
        <v>675.59542800000008</v>
      </c>
      <c r="M40" s="66"/>
      <c r="N40" s="39">
        <f t="shared" si="11"/>
        <v>1073.2352179920001</v>
      </c>
      <c r="O40" s="39"/>
      <c r="P40" s="44">
        <v>45572.433333333334</v>
      </c>
      <c r="Q40" s="39">
        <f t="shared" si="1"/>
        <v>145.90416666666715</v>
      </c>
      <c r="R40" s="39">
        <v>1</v>
      </c>
      <c r="S40" s="39">
        <v>14.795</v>
      </c>
      <c r="T40" s="39">
        <v>2.6739999999999999</v>
      </c>
      <c r="U40" s="66"/>
      <c r="V40" s="39">
        <f t="shared" si="5"/>
        <v>14.795</v>
      </c>
      <c r="W40" s="39">
        <f t="shared" si="6"/>
        <v>2.6739999999999999</v>
      </c>
      <c r="X40" s="66"/>
      <c r="Y40" s="39">
        <f t="shared" si="7"/>
        <v>19.834700999999999</v>
      </c>
      <c r="AA40" s="2">
        <v>45565.431250000001</v>
      </c>
      <c r="AB40" s="39">
        <f t="shared" si="2"/>
        <v>138.9020833333343</v>
      </c>
      <c r="AC40">
        <v>1</v>
      </c>
      <c r="AD40">
        <v>5.3890000000000002</v>
      </c>
      <c r="AE40">
        <v>0.748</v>
      </c>
      <c r="AF40" s="68"/>
      <c r="AG40" s="45">
        <f t="shared" si="8"/>
        <v>5.3890000000000002</v>
      </c>
      <c r="AH40" s="45">
        <f t="shared" si="9"/>
        <v>0.748</v>
      </c>
      <c r="AI40" s="67"/>
      <c r="AJ40" s="45">
        <f t="shared" si="10"/>
        <v>6.8825349999999998</v>
      </c>
    </row>
    <row r="41" spans="3:37" ht="15" customHeight="1" x14ac:dyDescent="0.3">
      <c r="E41" s="2">
        <v>45516.390277777777</v>
      </c>
      <c r="F41" s="39">
        <f t="shared" si="14"/>
        <v>89.861111111109494</v>
      </c>
      <c r="G41">
        <v>5</v>
      </c>
      <c r="H41" s="39">
        <v>4.1639999999999997</v>
      </c>
      <c r="I41" s="39">
        <v>51.046999999999997</v>
      </c>
      <c r="J41" s="66"/>
      <c r="K41" s="39">
        <f t="shared" si="3"/>
        <v>20.82</v>
      </c>
      <c r="L41" s="39">
        <f t="shared" si="4"/>
        <v>212.55970799999997</v>
      </c>
      <c r="M41" s="66"/>
      <c r="N41" s="39">
        <f t="shared" si="11"/>
        <v>344.03033791199999</v>
      </c>
      <c r="O41" s="39"/>
      <c r="P41" s="44">
        <v>45575.370833333334</v>
      </c>
      <c r="Q41" s="39">
        <f t="shared" si="1"/>
        <v>148.84166666666715</v>
      </c>
      <c r="R41" s="39">
        <v>1</v>
      </c>
      <c r="S41">
        <v>13.215999999999999</v>
      </c>
      <c r="T41" s="39">
        <v>5.64</v>
      </c>
      <c r="U41" s="39">
        <v>4.3159999999999998</v>
      </c>
      <c r="V41" s="39">
        <f t="shared" si="5"/>
        <v>13.215999999999999</v>
      </c>
      <c r="W41" s="39">
        <f t="shared" si="6"/>
        <v>5.64</v>
      </c>
      <c r="X41" s="39">
        <f>IF(U41&lt;$G$1,"",U41*R41)</f>
        <v>4.3159999999999998</v>
      </c>
      <c r="Y41" s="39">
        <f t="shared" si="7"/>
        <v>30.486919999999998</v>
      </c>
      <c r="AA41" s="2">
        <v>45568.455555555556</v>
      </c>
      <c r="AB41" s="39">
        <f t="shared" si="2"/>
        <v>141.92638888888905</v>
      </c>
      <c r="AC41">
        <v>1</v>
      </c>
      <c r="AD41">
        <v>97.400999999999996</v>
      </c>
      <c r="AE41">
        <v>3.2189999999999999</v>
      </c>
      <c r="AF41" s="68"/>
      <c r="AG41" s="45">
        <f t="shared" si="8"/>
        <v>97.400999999999996</v>
      </c>
      <c r="AH41" s="45">
        <f t="shared" si="9"/>
        <v>3.2189999999999999</v>
      </c>
      <c r="AI41" s="67"/>
      <c r="AJ41" s="45">
        <f t="shared" si="10"/>
        <v>108.80043299999998</v>
      </c>
      <c r="AK41" t="s">
        <v>695</v>
      </c>
    </row>
    <row r="42" spans="3:37" ht="15" customHeight="1" x14ac:dyDescent="0.3">
      <c r="E42" s="2">
        <v>45517.395833333336</v>
      </c>
      <c r="F42" s="39">
        <f t="shared" si="14"/>
        <v>90.866666666668607</v>
      </c>
      <c r="G42">
        <v>5</v>
      </c>
      <c r="H42" s="39">
        <v>2.9279999999999999</v>
      </c>
      <c r="I42" s="39">
        <v>36.881</v>
      </c>
      <c r="J42" s="66"/>
      <c r="K42" s="39">
        <f t="shared" si="3"/>
        <v>14.64</v>
      </c>
      <c r="L42" s="39">
        <f t="shared" si="4"/>
        <v>107.987568</v>
      </c>
      <c r="M42" s="66"/>
      <c r="N42" s="39">
        <f t="shared" si="11"/>
        <v>179.114057952</v>
      </c>
      <c r="O42" s="39"/>
      <c r="P42" s="2">
        <v>45582</v>
      </c>
      <c r="Q42" s="39">
        <f t="shared" si="1"/>
        <v>155.47083333333285</v>
      </c>
      <c r="R42" s="39">
        <v>1</v>
      </c>
      <c r="S42" s="39">
        <v>21.117000000000001</v>
      </c>
      <c r="T42" s="39">
        <v>8.1080000000000005</v>
      </c>
      <c r="U42" s="39">
        <v>1.123</v>
      </c>
      <c r="V42" s="39">
        <f t="shared" si="5"/>
        <v>21.117000000000001</v>
      </c>
      <c r="W42" s="39">
        <f t="shared" si="6"/>
        <v>8.1080000000000005</v>
      </c>
      <c r="X42" s="39">
        <f t="shared" ref="X42:X80" si="16">IF(U42&lt;$G$1,"",U42*R42)</f>
        <v>1.123</v>
      </c>
      <c r="Y42" s="39">
        <f t="shared" si="7"/>
        <v>36.848965000000007</v>
      </c>
      <c r="AA42" s="2">
        <v>45572.433333333334</v>
      </c>
      <c r="AB42" s="39">
        <f t="shared" si="2"/>
        <v>145.90416666666715</v>
      </c>
      <c r="AC42">
        <v>1</v>
      </c>
      <c r="AD42">
        <v>94.772000000000006</v>
      </c>
      <c r="AE42">
        <v>0</v>
      </c>
      <c r="AF42" s="68"/>
      <c r="AG42" s="45">
        <f t="shared" si="8"/>
        <v>94.772000000000006</v>
      </c>
      <c r="AH42" s="45" t="str">
        <f t="shared" si="9"/>
        <v/>
      </c>
      <c r="AI42" s="67"/>
      <c r="AJ42" s="45">
        <f t="shared" si="10"/>
        <v>101.121724</v>
      </c>
    </row>
    <row r="43" spans="3:37" ht="15" customHeight="1" x14ac:dyDescent="0.3">
      <c r="E43" s="2">
        <v>45518</v>
      </c>
      <c r="F43" s="39">
        <f t="shared" si="14"/>
        <v>91.470833333332848</v>
      </c>
      <c r="G43">
        <v>5</v>
      </c>
      <c r="H43" s="39">
        <v>5.0640000000000001</v>
      </c>
      <c r="I43" s="39">
        <v>33.194000000000003</v>
      </c>
      <c r="J43" s="66"/>
      <c r="K43" s="39">
        <f t="shared" si="3"/>
        <v>25.32</v>
      </c>
      <c r="L43" s="39">
        <f t="shared" si="4"/>
        <v>168.09441600000002</v>
      </c>
      <c r="M43" s="66"/>
      <c r="N43" s="39">
        <f t="shared" si="11"/>
        <v>281.51138582400006</v>
      </c>
      <c r="O43" s="39"/>
      <c r="P43" s="44">
        <v>45586</v>
      </c>
      <c r="Q43" s="39">
        <f t="shared" si="1"/>
        <v>159.47083333333285</v>
      </c>
      <c r="R43" s="39">
        <v>1</v>
      </c>
      <c r="S43" s="19">
        <v>5.7185550000000003</v>
      </c>
      <c r="T43" s="19">
        <v>6.4004089999999998</v>
      </c>
      <c r="U43" s="19">
        <v>1.93</v>
      </c>
      <c r="V43" s="39">
        <f t="shared" si="5"/>
        <v>5.7185550000000003</v>
      </c>
      <c r="W43" s="39">
        <f t="shared" si="6"/>
        <v>6.4004089999999998</v>
      </c>
      <c r="X43" s="39">
        <f t="shared" si="16"/>
        <v>1.93</v>
      </c>
      <c r="Y43" s="39">
        <f t="shared" si="7"/>
        <v>19.300657411</v>
      </c>
      <c r="AA43" s="2">
        <v>45575.370833333334</v>
      </c>
      <c r="AB43" s="39">
        <f t="shared" si="2"/>
        <v>148.84166666666715</v>
      </c>
      <c r="AC43">
        <v>1</v>
      </c>
      <c r="AD43">
        <v>90.656999999999996</v>
      </c>
      <c r="AE43">
        <v>8.2000000000000003E-2</v>
      </c>
      <c r="AF43">
        <v>0</v>
      </c>
      <c r="AG43" s="45">
        <f t="shared" si="8"/>
        <v>90.656999999999996</v>
      </c>
      <c r="AH43" s="45" t="str">
        <f t="shared" si="9"/>
        <v/>
      </c>
      <c r="AI43" s="45" t="str">
        <f>IF(AF43&lt;$G$1,"",AF43*AC43)</f>
        <v/>
      </c>
      <c r="AJ43" s="45">
        <f t="shared" si="10"/>
        <v>96.731018999999989</v>
      </c>
    </row>
    <row r="44" spans="3:37" ht="15" customHeight="1" x14ac:dyDescent="0.3">
      <c r="E44" s="2">
        <v>45519.393055555556</v>
      </c>
      <c r="F44" s="39">
        <f t="shared" si="14"/>
        <v>92.863888888889051</v>
      </c>
      <c r="G44">
        <v>5</v>
      </c>
      <c r="H44" s="39">
        <v>5.3360000000000003</v>
      </c>
      <c r="I44" s="39">
        <v>35.936999999999998</v>
      </c>
      <c r="J44" s="66"/>
      <c r="K44" s="39">
        <f t="shared" si="3"/>
        <v>26.68</v>
      </c>
      <c r="L44" s="39">
        <f t="shared" si="4"/>
        <v>191.75983199999999</v>
      </c>
      <c r="M44" s="66"/>
      <c r="N44" s="39">
        <f t="shared" si="11"/>
        <v>318.79194564799997</v>
      </c>
      <c r="O44" s="39"/>
      <c r="P44" s="2">
        <v>45589</v>
      </c>
      <c r="Q44" s="39">
        <f t="shared" si="1"/>
        <v>162.47083333333285</v>
      </c>
      <c r="R44" s="39">
        <v>1</v>
      </c>
      <c r="S44" s="19">
        <v>9.1549999999999994</v>
      </c>
      <c r="T44" s="19">
        <v>7.55</v>
      </c>
      <c r="U44" s="19">
        <v>3.5179999999999998</v>
      </c>
      <c r="V44" s="39">
        <f t="shared" si="5"/>
        <v>9.1549999999999994</v>
      </c>
      <c r="W44" s="39">
        <f t="shared" si="6"/>
        <v>7.55</v>
      </c>
      <c r="X44" s="39">
        <f t="shared" si="16"/>
        <v>3.5179999999999998</v>
      </c>
      <c r="Y44" s="39">
        <f t="shared" si="7"/>
        <v>27.594808999999998</v>
      </c>
      <c r="AA44" s="2">
        <v>45582</v>
      </c>
      <c r="AB44" s="39">
        <f t="shared" si="2"/>
        <v>155.47083333333285</v>
      </c>
      <c r="AC44">
        <v>1</v>
      </c>
      <c r="AD44">
        <v>9.5519999999999996</v>
      </c>
      <c r="AE44">
        <v>0</v>
      </c>
      <c r="AF44">
        <v>0</v>
      </c>
      <c r="AG44" s="45">
        <f t="shared" si="8"/>
        <v>9.5519999999999996</v>
      </c>
      <c r="AH44" s="45" t="str">
        <f t="shared" si="9"/>
        <v/>
      </c>
      <c r="AI44" s="45" t="str">
        <f t="shared" ref="AI44:AI82" si="17">IF(AF44&lt;$G$1,"",AF44*AC44)</f>
        <v/>
      </c>
      <c r="AJ44" s="45">
        <f t="shared" si="10"/>
        <v>10.191984</v>
      </c>
    </row>
    <row r="45" spans="3:37" ht="15" customHeight="1" x14ac:dyDescent="0.3">
      <c r="E45" s="2">
        <v>45520.406944444447</v>
      </c>
      <c r="F45" s="39">
        <f t="shared" si="14"/>
        <v>93.877777777779556</v>
      </c>
      <c r="G45">
        <v>5</v>
      </c>
      <c r="H45" s="39">
        <v>9.59</v>
      </c>
      <c r="I45" s="39">
        <v>34.012999999999998</v>
      </c>
      <c r="J45" s="66"/>
      <c r="K45" s="39">
        <f t="shared" si="3"/>
        <v>47.95</v>
      </c>
      <c r="L45" s="39">
        <f t="shared" si="4"/>
        <v>326.18466999999998</v>
      </c>
      <c r="M45" s="66"/>
      <c r="N45" s="39">
        <f t="shared" si="11"/>
        <v>545.00624038000001</v>
      </c>
      <c r="O45" s="39"/>
      <c r="P45" s="4">
        <v>45593</v>
      </c>
      <c r="Q45" s="39">
        <f t="shared" si="1"/>
        <v>166.47083333333285</v>
      </c>
      <c r="R45" s="39">
        <v>1</v>
      </c>
      <c r="S45" s="39">
        <v>6.5350169999999999</v>
      </c>
      <c r="T45" s="39">
        <v>5.0397259999999999</v>
      </c>
      <c r="U45" s="19">
        <v>0.30145300000000003</v>
      </c>
      <c r="V45" s="39">
        <f t="shared" si="5"/>
        <v>6.5350169999999999</v>
      </c>
      <c r="W45" s="39">
        <f t="shared" si="6"/>
        <v>5.0397259999999999</v>
      </c>
      <c r="X45" s="39" t="str">
        <f t="shared" si="16"/>
        <v/>
      </c>
      <c r="Y45" s="39">
        <f t="shared" si="7"/>
        <v>6.9728631389999993</v>
      </c>
      <c r="AA45" s="2">
        <v>45586</v>
      </c>
      <c r="AB45" s="39">
        <f t="shared" si="2"/>
        <v>159.47083333333285</v>
      </c>
      <c r="AC45">
        <v>1</v>
      </c>
      <c r="AD45" s="19">
        <v>107.88930000000001</v>
      </c>
      <c r="AE45" s="19">
        <v>1.52139</v>
      </c>
      <c r="AF45" s="19">
        <v>1.88</v>
      </c>
      <c r="AG45" s="45">
        <f t="shared" si="8"/>
        <v>107.88930000000001</v>
      </c>
      <c r="AH45" s="45">
        <f t="shared" si="9"/>
        <v>1.52139</v>
      </c>
      <c r="AI45" s="45">
        <f t="shared" si="17"/>
        <v>1.88</v>
      </c>
      <c r="AJ45" s="45">
        <f t="shared" si="10"/>
        <v>120.83910756</v>
      </c>
    </row>
    <row r="46" spans="3:37" ht="15" customHeight="1" x14ac:dyDescent="0.3">
      <c r="E46" s="2">
        <v>45523.386111111111</v>
      </c>
      <c r="F46" s="39">
        <f t="shared" si="14"/>
        <v>96.856944444443798</v>
      </c>
      <c r="G46">
        <v>5</v>
      </c>
      <c r="H46" s="39">
        <v>5.8170000000000002</v>
      </c>
      <c r="I46" s="39">
        <v>3.8809999999999998</v>
      </c>
      <c r="J46" s="66"/>
      <c r="K46" s="39">
        <f t="shared" si="3"/>
        <v>29.085000000000001</v>
      </c>
      <c r="L46" s="39">
        <f t="shared" si="4"/>
        <v>22.575776999999999</v>
      </c>
      <c r="M46" s="66"/>
      <c r="N46" s="39">
        <f t="shared" si="11"/>
        <v>65.213421377999993</v>
      </c>
      <c r="O46" s="39"/>
      <c r="P46" s="4">
        <v>45596</v>
      </c>
      <c r="Q46" s="39">
        <f t="shared" si="1"/>
        <v>169.47083333333285</v>
      </c>
      <c r="R46" s="39">
        <v>1</v>
      </c>
      <c r="S46" s="19">
        <v>18.516940000000002</v>
      </c>
      <c r="T46" s="19">
        <v>11.74113</v>
      </c>
      <c r="U46" s="19">
        <v>5.2359819999999999</v>
      </c>
      <c r="V46" s="39">
        <f t="shared" si="5"/>
        <v>18.516940000000002</v>
      </c>
      <c r="W46" s="39">
        <f t="shared" si="6"/>
        <v>11.74113</v>
      </c>
      <c r="X46" s="39">
        <f t="shared" si="16"/>
        <v>5.2359819999999999</v>
      </c>
      <c r="Y46" s="39">
        <f t="shared" si="7"/>
        <v>47.052661076</v>
      </c>
      <c r="AA46" s="2">
        <v>45589</v>
      </c>
      <c r="AB46" s="39">
        <f t="shared" si="2"/>
        <v>162.47083333333285</v>
      </c>
      <c r="AC46">
        <v>1</v>
      </c>
      <c r="AD46" s="19">
        <v>26.131</v>
      </c>
      <c r="AE46" s="19">
        <v>2.3559999999999999</v>
      </c>
      <c r="AF46" s="19">
        <v>3.4239999999999999</v>
      </c>
      <c r="AG46" s="45">
        <f t="shared" si="8"/>
        <v>26.131</v>
      </c>
      <c r="AH46" s="45">
        <f t="shared" si="9"/>
        <v>2.3559999999999999</v>
      </c>
      <c r="AI46" s="45">
        <f t="shared" si="17"/>
        <v>3.4239999999999999</v>
      </c>
      <c r="AJ46" s="45">
        <f t="shared" si="10"/>
        <v>37.673592999999997</v>
      </c>
    </row>
    <row r="47" spans="3:37" ht="15" customHeight="1" x14ac:dyDescent="0.3">
      <c r="E47" s="2">
        <v>45524.493055555555</v>
      </c>
      <c r="F47" s="39">
        <f t="shared" si="14"/>
        <v>97.963888888887595</v>
      </c>
      <c r="G47">
        <v>5</v>
      </c>
      <c r="H47" s="39">
        <v>6.1420000000000003</v>
      </c>
      <c r="I47" s="39">
        <v>3.7909999999999999</v>
      </c>
      <c r="J47" s="66"/>
      <c r="K47" s="39">
        <f t="shared" si="3"/>
        <v>30.71</v>
      </c>
      <c r="L47" s="39">
        <f t="shared" si="4"/>
        <v>23.284322</v>
      </c>
      <c r="M47" s="66"/>
      <c r="N47" s="39">
        <f t="shared" si="11"/>
        <v>68.020033507999997</v>
      </c>
      <c r="O47" s="39"/>
      <c r="P47" s="4">
        <v>45600</v>
      </c>
      <c r="Q47" s="39">
        <f t="shared" si="1"/>
        <v>173.47083333333285</v>
      </c>
      <c r="R47" s="39">
        <v>1</v>
      </c>
      <c r="S47" s="19">
        <v>9.4538779999999996</v>
      </c>
      <c r="T47" s="19">
        <v>12.119529999999999</v>
      </c>
      <c r="U47" s="19">
        <v>0.86917800000000001</v>
      </c>
      <c r="V47" s="39">
        <f t="shared" si="5"/>
        <v>9.4538779999999996</v>
      </c>
      <c r="W47" s="39">
        <f t="shared" si="6"/>
        <v>12.119529999999999</v>
      </c>
      <c r="X47" s="39">
        <f t="shared" si="16"/>
        <v>0.86917800000000001</v>
      </c>
      <c r="Y47" s="39">
        <f t="shared" si="7"/>
        <v>30.01642185</v>
      </c>
      <c r="AA47" s="2">
        <v>45593</v>
      </c>
      <c r="AB47" s="39">
        <f t="shared" si="2"/>
        <v>166.47083333333285</v>
      </c>
      <c r="AC47">
        <v>1</v>
      </c>
      <c r="AD47">
        <v>145.43700000000001</v>
      </c>
      <c r="AE47">
        <v>0.73668299999999998</v>
      </c>
      <c r="AF47" s="19">
        <v>0.28423199999999998</v>
      </c>
      <c r="AG47" s="45">
        <f t="shared" si="8"/>
        <v>145.43700000000001</v>
      </c>
      <c r="AH47" s="45">
        <f t="shared" si="9"/>
        <v>0.73668299999999998</v>
      </c>
      <c r="AI47" s="45" t="str">
        <f t="shared" si="17"/>
        <v/>
      </c>
      <c r="AJ47" s="45">
        <f t="shared" si="10"/>
        <v>155.18127900000002</v>
      </c>
    </row>
    <row r="48" spans="3:37" ht="15" customHeight="1" x14ac:dyDescent="0.3">
      <c r="E48" s="2">
        <v>45525.438194444447</v>
      </c>
      <c r="F48" s="39">
        <f t="shared" si="14"/>
        <v>98.909027777779556</v>
      </c>
      <c r="G48">
        <v>5</v>
      </c>
      <c r="H48" s="39">
        <v>1.629</v>
      </c>
      <c r="I48" s="39">
        <v>0.32900000000000001</v>
      </c>
      <c r="J48" s="66"/>
      <c r="K48" s="39">
        <f t="shared" si="3"/>
        <v>8.1449999999999996</v>
      </c>
      <c r="L48" s="39" t="str">
        <f t="shared" si="4"/>
        <v/>
      </c>
      <c r="M48" s="66"/>
      <c r="N48" s="39">
        <f t="shared" si="11"/>
        <v>8.6907149999999991</v>
      </c>
      <c r="O48" s="39"/>
      <c r="P48" s="4">
        <v>45603</v>
      </c>
      <c r="Q48" s="39">
        <f t="shared" si="1"/>
        <v>176.47083333333285</v>
      </c>
      <c r="R48" s="39">
        <v>1</v>
      </c>
      <c r="S48" s="19">
        <v>18.852160000000001</v>
      </c>
      <c r="T48" s="19">
        <v>18.186440000000001</v>
      </c>
      <c r="U48" s="19">
        <v>0.90529099999999996</v>
      </c>
      <c r="V48" s="39">
        <f t="shared" si="5"/>
        <v>18.852160000000001</v>
      </c>
      <c r="W48" s="39">
        <f t="shared" si="6"/>
        <v>18.186440000000001</v>
      </c>
      <c r="X48" s="39">
        <f t="shared" si="16"/>
        <v>0.90529099999999996</v>
      </c>
      <c r="Y48" s="39">
        <f t="shared" si="7"/>
        <v>49.295343918</v>
      </c>
      <c r="AA48" s="2">
        <v>45596</v>
      </c>
      <c r="AB48" s="39">
        <f t="shared" si="2"/>
        <v>169.47083333333285</v>
      </c>
      <c r="AC48">
        <v>1</v>
      </c>
      <c r="AD48" s="19">
        <v>8.7186880000000002</v>
      </c>
      <c r="AE48" s="19">
        <v>1.7548649999999999</v>
      </c>
      <c r="AF48" s="19">
        <v>2.07579</v>
      </c>
      <c r="AG48" s="45">
        <f t="shared" si="8"/>
        <v>8.7186880000000002</v>
      </c>
      <c r="AH48" s="45">
        <f t="shared" si="9"/>
        <v>1.7548649999999999</v>
      </c>
      <c r="AI48" s="45">
        <f t="shared" si="17"/>
        <v>2.07579</v>
      </c>
      <c r="AJ48" s="45">
        <f t="shared" si="10"/>
        <v>15.733491926000001</v>
      </c>
    </row>
    <row r="49" spans="5:37" ht="15" customHeight="1" x14ac:dyDescent="0.3">
      <c r="E49" s="2">
        <v>45526.426388888889</v>
      </c>
      <c r="F49" s="39">
        <f>E49-$C$4</f>
        <v>99.897222222221899</v>
      </c>
      <c r="G49">
        <v>5</v>
      </c>
      <c r="H49" s="39">
        <v>0.625</v>
      </c>
      <c r="I49" s="39">
        <v>0</v>
      </c>
      <c r="J49" s="66"/>
      <c r="K49" s="39">
        <f t="shared" si="3"/>
        <v>3.125</v>
      </c>
      <c r="L49" s="39" t="str">
        <f t="shared" si="4"/>
        <v/>
      </c>
      <c r="M49" s="66"/>
      <c r="N49" s="39">
        <f t="shared" si="11"/>
        <v>3.3343749999999996</v>
      </c>
      <c r="O49" s="39"/>
      <c r="P49" s="4">
        <v>45607</v>
      </c>
      <c r="Q49" s="39">
        <f t="shared" si="1"/>
        <v>180.47083333333285</v>
      </c>
      <c r="R49" s="39">
        <v>1</v>
      </c>
      <c r="S49" s="19">
        <v>10.27979</v>
      </c>
      <c r="T49" s="19">
        <v>14.63678</v>
      </c>
      <c r="U49" s="19">
        <v>0.45016400000000001</v>
      </c>
      <c r="V49" s="39">
        <f t="shared" si="5"/>
        <v>10.27979</v>
      </c>
      <c r="W49" s="39">
        <f t="shared" si="6"/>
        <v>14.63678</v>
      </c>
      <c r="X49" s="39">
        <f t="shared" si="16"/>
        <v>0.45016400000000001</v>
      </c>
      <c r="Y49" s="39">
        <f t="shared" si="7"/>
        <v>33.947019001999998</v>
      </c>
      <c r="AA49" s="2">
        <v>45603</v>
      </c>
      <c r="AB49" s="39">
        <f t="shared" si="2"/>
        <v>176.47083333333285</v>
      </c>
      <c r="AC49">
        <v>1</v>
      </c>
      <c r="AD49" s="19">
        <v>2.7340749999999998</v>
      </c>
      <c r="AE49">
        <v>0</v>
      </c>
      <c r="AF49">
        <v>0</v>
      </c>
      <c r="AG49" s="45">
        <f t="shared" si="8"/>
        <v>2.7340749999999998</v>
      </c>
      <c r="AH49" s="45" t="str">
        <f t="shared" si="9"/>
        <v/>
      </c>
      <c r="AI49" s="45" t="str">
        <f t="shared" si="17"/>
        <v/>
      </c>
      <c r="AJ49" s="45">
        <f t="shared" si="10"/>
        <v>2.9172580249999998</v>
      </c>
      <c r="AK49" t="s">
        <v>696</v>
      </c>
    </row>
    <row r="50" spans="5:37" ht="15" customHeight="1" x14ac:dyDescent="0.3">
      <c r="E50" s="2">
        <v>45527.429861111108</v>
      </c>
      <c r="F50" s="39">
        <f>E50-$C$4</f>
        <v>100.90069444444089</v>
      </c>
      <c r="G50">
        <v>5</v>
      </c>
      <c r="H50" s="39">
        <v>0.65700000000000003</v>
      </c>
      <c r="I50" s="39">
        <v>2.3370000000000002</v>
      </c>
      <c r="J50" s="66"/>
      <c r="K50" s="39">
        <f t="shared" si="3"/>
        <v>3.2850000000000001</v>
      </c>
      <c r="L50" s="39">
        <f t="shared" si="4"/>
        <v>1.5354090000000002</v>
      </c>
      <c r="M50" s="66"/>
      <c r="N50" s="39">
        <f t="shared" si="11"/>
        <v>5.8297042260000005</v>
      </c>
      <c r="O50" s="39"/>
      <c r="P50" s="4">
        <v>45614</v>
      </c>
      <c r="Q50" s="39">
        <f t="shared" si="1"/>
        <v>187.47083333333285</v>
      </c>
      <c r="R50" s="39">
        <v>1</v>
      </c>
      <c r="S50" s="19">
        <v>7.1880600000000001</v>
      </c>
      <c r="T50" s="19">
        <v>8.1899479999999993</v>
      </c>
      <c r="U50" s="19">
        <v>6.2612000000000001E-2</v>
      </c>
      <c r="V50" s="39">
        <f t="shared" si="5"/>
        <v>7.1880600000000001</v>
      </c>
      <c r="W50" s="39">
        <f t="shared" si="6"/>
        <v>8.1899479999999993</v>
      </c>
      <c r="X50" s="39" t="str">
        <f t="shared" si="16"/>
        <v/>
      </c>
      <c r="Y50" s="39">
        <f t="shared" si="7"/>
        <v>7.6696600199999994</v>
      </c>
      <c r="AA50" s="4">
        <v>45607</v>
      </c>
      <c r="AB50" s="39">
        <f t="shared" ref="AB50:AB82" si="18">AA50-$C$4</f>
        <v>180.47083333333285</v>
      </c>
      <c r="AC50">
        <v>1</v>
      </c>
      <c r="AD50" s="19">
        <v>60.743020000000001</v>
      </c>
      <c r="AE50" s="19">
        <v>0.24016399999999999</v>
      </c>
      <c r="AF50" s="19">
        <v>4.6982000000000003E-2</v>
      </c>
      <c r="AG50" s="45">
        <f t="shared" si="8"/>
        <v>60.743020000000001</v>
      </c>
      <c r="AH50" s="45" t="str">
        <f t="shared" si="9"/>
        <v/>
      </c>
      <c r="AI50" s="45" t="str">
        <f t="shared" si="17"/>
        <v/>
      </c>
      <c r="AJ50" s="45">
        <f t="shared" si="10"/>
        <v>64.812802340000005</v>
      </c>
    </row>
    <row r="51" spans="5:37" ht="15" customHeight="1" x14ac:dyDescent="0.3">
      <c r="E51" s="2">
        <v>45530</v>
      </c>
      <c r="F51" s="39">
        <f t="shared" ref="F51:F114" si="19">E51-$C$4</f>
        <v>103.47083333333285</v>
      </c>
      <c r="G51">
        <v>5</v>
      </c>
      <c r="H51" s="39">
        <v>41.74</v>
      </c>
      <c r="I51" s="39">
        <v>21.376999999999999</v>
      </c>
      <c r="J51" s="66"/>
      <c r="K51" s="39">
        <f t="shared" si="3"/>
        <v>208.70000000000002</v>
      </c>
      <c r="L51" s="39">
        <f t="shared" si="4"/>
        <v>892.27598</v>
      </c>
      <c r="M51" s="66"/>
      <c r="N51" s="39">
        <f t="shared" si="11"/>
        <v>1573.5887337199999</v>
      </c>
      <c r="O51" s="39"/>
      <c r="P51" s="4">
        <v>45617</v>
      </c>
      <c r="Q51" s="39">
        <f t="shared" si="1"/>
        <v>190.47083333333285</v>
      </c>
      <c r="R51" s="39">
        <v>1</v>
      </c>
      <c r="S51" s="19">
        <v>6.9628860000000001</v>
      </c>
      <c r="T51" s="19">
        <v>4.284281</v>
      </c>
      <c r="U51" s="19">
        <v>0.17696000000000001</v>
      </c>
      <c r="V51" s="39">
        <f t="shared" si="5"/>
        <v>6.9628860000000001</v>
      </c>
      <c r="W51" s="39">
        <f t="shared" si="6"/>
        <v>4.284281</v>
      </c>
      <c r="X51" s="39" t="str">
        <f t="shared" si="16"/>
        <v/>
      </c>
      <c r="Y51" s="39">
        <f t="shared" si="7"/>
        <v>7.4293993619999998</v>
      </c>
      <c r="AA51" s="4">
        <v>45614</v>
      </c>
      <c r="AB51" s="39">
        <f t="shared" si="18"/>
        <v>187.47083333333285</v>
      </c>
      <c r="AC51">
        <v>1</v>
      </c>
      <c r="AD51" s="19">
        <v>35.286059999999999</v>
      </c>
      <c r="AE51">
        <v>0</v>
      </c>
      <c r="AF51">
        <v>0</v>
      </c>
      <c r="AG51" s="45">
        <f t="shared" si="8"/>
        <v>35.286059999999999</v>
      </c>
      <c r="AH51" s="45" t="str">
        <f t="shared" si="9"/>
        <v/>
      </c>
      <c r="AI51" s="45" t="str">
        <f t="shared" si="17"/>
        <v/>
      </c>
      <c r="AJ51" s="45">
        <f t="shared" si="10"/>
        <v>37.650226019999998</v>
      </c>
    </row>
    <row r="52" spans="5:37" ht="15" customHeight="1" x14ac:dyDescent="0.3">
      <c r="E52" s="2">
        <v>45531.472222222219</v>
      </c>
      <c r="F52" s="39">
        <f t="shared" si="19"/>
        <v>104.94305555555184</v>
      </c>
      <c r="G52">
        <v>5</v>
      </c>
      <c r="H52" s="39">
        <v>39.393999999999998</v>
      </c>
      <c r="I52" s="39">
        <v>15.651</v>
      </c>
      <c r="J52" s="66"/>
      <c r="K52" s="39">
        <f t="shared" si="3"/>
        <v>196.97</v>
      </c>
      <c r="L52" s="39">
        <f t="shared" si="4"/>
        <v>616.55549399999995</v>
      </c>
      <c r="M52" s="66"/>
      <c r="N52" s="39">
        <f t="shared" si="11"/>
        <v>1143.632007916</v>
      </c>
      <c r="O52" s="39"/>
      <c r="P52" s="4">
        <v>45621</v>
      </c>
      <c r="Q52" s="39">
        <f t="shared" si="1"/>
        <v>194.47083333333285</v>
      </c>
      <c r="R52" s="39">
        <v>1</v>
      </c>
      <c r="S52" s="19">
        <v>5.925529</v>
      </c>
      <c r="T52" s="19">
        <v>0.43364799999999998</v>
      </c>
      <c r="U52" s="39">
        <v>0</v>
      </c>
      <c r="V52" s="39">
        <f t="shared" si="5"/>
        <v>5.925529</v>
      </c>
      <c r="W52" s="39">
        <f t="shared" si="6"/>
        <v>0.43364799999999998</v>
      </c>
      <c r="X52" s="39" t="str">
        <f t="shared" si="16"/>
        <v/>
      </c>
      <c r="Y52" s="39">
        <f t="shared" si="7"/>
        <v>6.3225394430000001</v>
      </c>
      <c r="AA52" s="4">
        <v>45617</v>
      </c>
      <c r="AB52" s="39">
        <f t="shared" si="18"/>
        <v>190.47083333333285</v>
      </c>
      <c r="AC52">
        <v>1</v>
      </c>
      <c r="AD52" s="19">
        <v>113.86969999999999</v>
      </c>
      <c r="AE52">
        <v>0</v>
      </c>
      <c r="AF52">
        <v>0</v>
      </c>
      <c r="AG52" s="45">
        <f t="shared" si="8"/>
        <v>113.86969999999999</v>
      </c>
      <c r="AH52" s="45" t="str">
        <f t="shared" si="9"/>
        <v/>
      </c>
      <c r="AI52" s="45" t="str">
        <f t="shared" si="17"/>
        <v/>
      </c>
      <c r="AJ52" s="45">
        <f t="shared" si="10"/>
        <v>121.49896989999999</v>
      </c>
    </row>
    <row r="53" spans="5:37" ht="15" customHeight="1" x14ac:dyDescent="0.3">
      <c r="E53" s="2">
        <v>45532.395833333336</v>
      </c>
      <c r="F53" s="39">
        <f t="shared" si="19"/>
        <v>105.86666666666861</v>
      </c>
      <c r="G53">
        <v>5</v>
      </c>
      <c r="H53" s="39">
        <v>37.886000000000003</v>
      </c>
      <c r="I53" s="39">
        <v>15.826000000000001</v>
      </c>
      <c r="J53" s="66"/>
      <c r="K53" s="39">
        <f t="shared" si="3"/>
        <v>189.43</v>
      </c>
      <c r="L53" s="39">
        <f t="shared" si="4"/>
        <v>599.58383600000002</v>
      </c>
      <c r="M53" s="66"/>
      <c r="N53" s="39">
        <f>IFERROR(SUM(K53*$C$2,L53*$C$3,M53*$C$1),K53*$C$2)</f>
        <v>1109.891737704</v>
      </c>
      <c r="O53" s="39"/>
      <c r="P53" s="4">
        <v>45628</v>
      </c>
      <c r="Q53" s="39">
        <f t="shared" si="1"/>
        <v>201.47083333333285</v>
      </c>
      <c r="R53" s="39">
        <v>1</v>
      </c>
      <c r="S53" s="19">
        <v>3.5234740000000002</v>
      </c>
      <c r="T53" s="19">
        <v>6.9357069999999998</v>
      </c>
      <c r="U53" s="39">
        <v>0</v>
      </c>
      <c r="V53" s="39">
        <f t="shared" si="5"/>
        <v>3.5234740000000002</v>
      </c>
      <c r="W53" s="39">
        <f t="shared" si="6"/>
        <v>6.9357069999999998</v>
      </c>
      <c r="X53" s="39" t="str">
        <f t="shared" si="16"/>
        <v/>
      </c>
      <c r="Y53" s="39">
        <f t="shared" si="7"/>
        <v>3.7595467579999999</v>
      </c>
      <c r="AA53" s="4">
        <v>45621</v>
      </c>
      <c r="AB53" s="39">
        <f t="shared" si="18"/>
        <v>194.47083333333285</v>
      </c>
      <c r="AC53">
        <v>1</v>
      </c>
      <c r="AD53" s="19">
        <v>34.109760000000001</v>
      </c>
      <c r="AE53">
        <v>0</v>
      </c>
      <c r="AF53">
        <v>0</v>
      </c>
      <c r="AG53" s="45">
        <f t="shared" si="8"/>
        <v>34.109760000000001</v>
      </c>
      <c r="AH53" s="45" t="str">
        <f t="shared" si="9"/>
        <v/>
      </c>
      <c r="AI53" s="45" t="str">
        <f t="shared" si="17"/>
        <v/>
      </c>
      <c r="AJ53" s="45">
        <f t="shared" si="10"/>
        <v>36.39511392</v>
      </c>
    </row>
    <row r="54" spans="5:37" ht="15" customHeight="1" x14ac:dyDescent="0.3">
      <c r="E54" s="2">
        <v>45533.464583333334</v>
      </c>
      <c r="F54" s="39">
        <f t="shared" si="19"/>
        <v>106.93541666666715</v>
      </c>
      <c r="G54">
        <v>5</v>
      </c>
      <c r="H54" s="63">
        <v>0</v>
      </c>
      <c r="I54" s="63">
        <v>0</v>
      </c>
      <c r="J54" s="66"/>
      <c r="K54" s="39" t="str">
        <f t="shared" si="3"/>
        <v/>
      </c>
      <c r="L54" s="39" t="str">
        <f t="shared" si="4"/>
        <v/>
      </c>
      <c r="M54" s="66"/>
      <c r="N54" s="39"/>
      <c r="O54" s="39"/>
      <c r="P54" s="4">
        <v>45631</v>
      </c>
      <c r="Q54" s="39">
        <f t="shared" si="1"/>
        <v>204.47083333333285</v>
      </c>
      <c r="R54" s="39">
        <v>1</v>
      </c>
      <c r="S54" s="39">
        <v>3.2995346992729688</v>
      </c>
      <c r="T54" s="39">
        <v>1.3731552430629694</v>
      </c>
      <c r="U54" s="39">
        <v>0</v>
      </c>
      <c r="V54" s="39">
        <f t="shared" si="5"/>
        <v>3.2995346992729688</v>
      </c>
      <c r="W54" s="39">
        <f t="shared" si="6"/>
        <v>1.3731552430629694</v>
      </c>
      <c r="X54" s="39" t="str">
        <f t="shared" si="16"/>
        <v/>
      </c>
      <c r="Y54" s="39">
        <f t="shared" si="7"/>
        <v>3.5206035241242577</v>
      </c>
      <c r="AA54" s="4">
        <v>45628</v>
      </c>
      <c r="AB54" s="39">
        <f t="shared" si="18"/>
        <v>201.47083333333285</v>
      </c>
      <c r="AC54">
        <v>1</v>
      </c>
      <c r="AD54" s="19">
        <v>113.6596</v>
      </c>
      <c r="AE54" s="19">
        <v>0.70506199999999997</v>
      </c>
      <c r="AF54">
        <v>0</v>
      </c>
      <c r="AG54" s="45">
        <f t="shared" si="8"/>
        <v>113.6596</v>
      </c>
      <c r="AH54" s="45">
        <f t="shared" si="9"/>
        <v>0.70506199999999997</v>
      </c>
      <c r="AI54" s="45" t="str">
        <f t="shared" si="17"/>
        <v/>
      </c>
      <c r="AJ54" s="45">
        <f t="shared" si="10"/>
        <v>121.27479319999999</v>
      </c>
    </row>
    <row r="55" spans="5:37" ht="15" customHeight="1" x14ac:dyDescent="0.3">
      <c r="E55" s="2">
        <v>45534.402777777781</v>
      </c>
      <c r="F55" s="39">
        <f t="shared" si="19"/>
        <v>107.87361111111386</v>
      </c>
      <c r="G55">
        <v>5</v>
      </c>
      <c r="H55" s="39">
        <v>16.739999999999998</v>
      </c>
      <c r="I55" s="39">
        <v>5.76</v>
      </c>
      <c r="J55" s="66"/>
      <c r="K55" s="39">
        <f t="shared" si="3"/>
        <v>83.699999999999989</v>
      </c>
      <c r="L55" s="39">
        <f t="shared" si="4"/>
        <v>96.422399999999982</v>
      </c>
      <c r="M55" s="66"/>
      <c r="N55" s="39">
        <f t="shared" si="11"/>
        <v>235.29141359999997</v>
      </c>
      <c r="O55" s="39"/>
      <c r="P55" s="4">
        <v>45635</v>
      </c>
      <c r="Q55" s="39">
        <f t="shared" si="1"/>
        <v>208.47083333333285</v>
      </c>
      <c r="R55" s="39">
        <v>1</v>
      </c>
      <c r="S55" s="39">
        <v>5.4404065697989159</v>
      </c>
      <c r="T55" s="39">
        <v>1.3925784295084565</v>
      </c>
      <c r="U55" s="39">
        <v>0</v>
      </c>
      <c r="V55" s="39">
        <f t="shared" si="5"/>
        <v>5.4404065697989159</v>
      </c>
      <c r="W55" s="39">
        <f t="shared" si="6"/>
        <v>1.3925784295084565</v>
      </c>
      <c r="X55" s="39" t="str">
        <f t="shared" si="16"/>
        <v/>
      </c>
      <c r="Y55" s="39">
        <f t="shared" si="7"/>
        <v>5.8049138099754432</v>
      </c>
      <c r="AA55" s="4">
        <v>45631</v>
      </c>
      <c r="AB55" s="39">
        <f t="shared" si="18"/>
        <v>204.47083333333285</v>
      </c>
      <c r="AC55">
        <v>1</v>
      </c>
      <c r="AD55">
        <v>4.9032191011235966</v>
      </c>
      <c r="AE55">
        <v>0.36185021949211527</v>
      </c>
      <c r="AF55">
        <v>0</v>
      </c>
      <c r="AG55" s="45">
        <f t="shared" si="8"/>
        <v>4.9032191011235966</v>
      </c>
      <c r="AH55" s="45">
        <f t="shared" si="9"/>
        <v>0.36185021949211527</v>
      </c>
      <c r="AI55" s="45" t="str">
        <f t="shared" si="17"/>
        <v/>
      </c>
      <c r="AJ55" s="45">
        <f t="shared" si="10"/>
        <v>5.2317347808988774</v>
      </c>
    </row>
    <row r="56" spans="5:37" ht="15" customHeight="1" x14ac:dyDescent="0.3">
      <c r="E56" s="2">
        <v>45534.402777777781</v>
      </c>
      <c r="F56" s="39">
        <f t="shared" si="19"/>
        <v>107.87361111111386</v>
      </c>
      <c r="G56">
        <v>1</v>
      </c>
      <c r="H56" s="39">
        <v>87.495999999999995</v>
      </c>
      <c r="I56" s="39">
        <v>29.753</v>
      </c>
      <c r="J56" s="66"/>
      <c r="K56" s="39">
        <f t="shared" si="3"/>
        <v>87.495999999999995</v>
      </c>
      <c r="L56" s="39">
        <f t="shared" si="4"/>
        <v>2603.2684879999997</v>
      </c>
      <c r="M56" s="66"/>
      <c r="N56" s="39">
        <f t="shared" si="11"/>
        <v>4034.7067228319997</v>
      </c>
      <c r="O56" s="39"/>
      <c r="P56" s="4">
        <v>45638</v>
      </c>
      <c r="Q56" s="39">
        <f t="shared" si="1"/>
        <v>211.47083333333285</v>
      </c>
      <c r="R56" s="39">
        <v>1</v>
      </c>
      <c r="S56" s="19">
        <v>3.1719240000000002</v>
      </c>
      <c r="T56" s="19">
        <v>0.357323</v>
      </c>
      <c r="U56" s="19">
        <v>0.14522599999999999</v>
      </c>
      <c r="V56" s="39">
        <f t="shared" si="5"/>
        <v>3.1719240000000002</v>
      </c>
      <c r="W56" s="39">
        <f t="shared" si="6"/>
        <v>0.357323</v>
      </c>
      <c r="X56" s="39" t="str">
        <f t="shared" si="16"/>
        <v/>
      </c>
      <c r="Y56" s="39">
        <f t="shared" si="7"/>
        <v>3.384442908</v>
      </c>
      <c r="AA56" s="4">
        <v>45635</v>
      </c>
      <c r="AB56" s="39">
        <f t="shared" si="18"/>
        <v>208.47083333333285</v>
      </c>
      <c r="AC56">
        <v>1</v>
      </c>
      <c r="AD56">
        <v>2.2417321883456087</v>
      </c>
      <c r="AE56">
        <v>0</v>
      </c>
      <c r="AF56">
        <v>0</v>
      </c>
      <c r="AG56" s="45">
        <f t="shared" si="8"/>
        <v>2.2417321883456087</v>
      </c>
      <c r="AH56" s="45" t="str">
        <f t="shared" si="9"/>
        <v/>
      </c>
      <c r="AI56" s="45" t="str">
        <f t="shared" si="17"/>
        <v/>
      </c>
      <c r="AJ56" s="45">
        <f t="shared" si="10"/>
        <v>2.3919282449647645</v>
      </c>
    </row>
    <row r="57" spans="5:37" ht="15" customHeight="1" x14ac:dyDescent="0.3">
      <c r="E57" s="2">
        <v>45538.395138888889</v>
      </c>
      <c r="F57" s="39">
        <f t="shared" si="19"/>
        <v>111.8659722222219</v>
      </c>
      <c r="G57">
        <v>2</v>
      </c>
      <c r="H57" s="39">
        <v>82.137</v>
      </c>
      <c r="I57" s="39">
        <v>35.106000000000002</v>
      </c>
      <c r="J57" s="66"/>
      <c r="K57" s="39">
        <f t="shared" si="3"/>
        <v>164.274</v>
      </c>
      <c r="L57" s="39">
        <f t="shared" si="4"/>
        <v>2883.501522</v>
      </c>
      <c r="M57" s="66"/>
      <c r="N57" s="39">
        <f t="shared" si="11"/>
        <v>4540.9016623079997</v>
      </c>
      <c r="O57" s="39"/>
      <c r="P57" s="4">
        <v>45663</v>
      </c>
      <c r="Q57" s="39">
        <f t="shared" si="1"/>
        <v>236.47083333333285</v>
      </c>
      <c r="R57" s="39">
        <v>1</v>
      </c>
      <c r="S57" s="19">
        <v>2.7193770000000002</v>
      </c>
      <c r="T57" s="19">
        <v>1.6568989999999999</v>
      </c>
      <c r="U57" s="19">
        <v>1.333286</v>
      </c>
      <c r="V57" s="39">
        <f t="shared" si="5"/>
        <v>2.7193770000000002</v>
      </c>
      <c r="W57" s="39">
        <f t="shared" si="6"/>
        <v>1.6568989999999999</v>
      </c>
      <c r="X57" s="39">
        <f t="shared" si="16"/>
        <v>1.333286</v>
      </c>
      <c r="Y57" s="39">
        <f t="shared" si="7"/>
        <v>7.8340342929999993</v>
      </c>
      <c r="AA57" s="4">
        <v>45638</v>
      </c>
      <c r="AB57" s="39">
        <f t="shared" si="18"/>
        <v>211.47083333333285</v>
      </c>
      <c r="AC57">
        <v>1</v>
      </c>
      <c r="AD57" s="19">
        <v>111.01860000000001</v>
      </c>
      <c r="AE57" s="19">
        <v>0.74593399999999999</v>
      </c>
      <c r="AF57" s="19">
        <v>0.108199</v>
      </c>
      <c r="AG57" s="45">
        <f t="shared" si="8"/>
        <v>111.01860000000001</v>
      </c>
      <c r="AH57" s="45">
        <f t="shared" si="9"/>
        <v>0.74593399999999999</v>
      </c>
      <c r="AI57" s="45" t="str">
        <f t="shared" si="17"/>
        <v/>
      </c>
      <c r="AJ57" s="45">
        <f t="shared" si="10"/>
        <v>118.4568462</v>
      </c>
    </row>
    <row r="58" spans="5:37" ht="15" customHeight="1" x14ac:dyDescent="0.3">
      <c r="E58" s="2">
        <v>45539.388888888891</v>
      </c>
      <c r="F58" s="39">
        <f t="shared" si="19"/>
        <v>112.85972222222335</v>
      </c>
      <c r="G58">
        <v>2</v>
      </c>
      <c r="H58" s="39">
        <v>90.042000000000002</v>
      </c>
      <c r="I58" s="39">
        <v>25.584</v>
      </c>
      <c r="J58" s="66"/>
      <c r="K58" s="39">
        <f t="shared" si="3"/>
        <v>180.084</v>
      </c>
      <c r="L58" s="39">
        <f t="shared" si="4"/>
        <v>2303.634528</v>
      </c>
      <c r="M58" s="66"/>
      <c r="N58" s="39">
        <f t="shared" si="11"/>
        <v>3679.8523033920001</v>
      </c>
      <c r="O58" s="39"/>
      <c r="P58" s="4">
        <v>45666</v>
      </c>
      <c r="Q58" s="39">
        <f t="shared" si="1"/>
        <v>239.47083333333285</v>
      </c>
      <c r="R58" s="39">
        <v>1</v>
      </c>
      <c r="S58" s="19">
        <v>3.2662110000000002</v>
      </c>
      <c r="T58" s="19">
        <v>-0.23455131100000001</v>
      </c>
      <c r="U58" s="39">
        <v>-0.447858427</v>
      </c>
      <c r="V58" s="39">
        <f t="shared" si="5"/>
        <v>3.2662110000000002</v>
      </c>
      <c r="W58" s="39" t="str">
        <f t="shared" si="6"/>
        <v/>
      </c>
      <c r="X58" s="39" t="str">
        <f t="shared" si="16"/>
        <v/>
      </c>
      <c r="Y58" s="39">
        <f t="shared" si="7"/>
        <v>3.485047137</v>
      </c>
      <c r="AA58" s="4">
        <v>45663</v>
      </c>
      <c r="AB58" s="39">
        <f t="shared" si="18"/>
        <v>236.47083333333285</v>
      </c>
      <c r="AC58">
        <v>1</v>
      </c>
      <c r="AD58" s="19">
        <v>0.30202400000000001</v>
      </c>
      <c r="AE58">
        <v>-0.24932110399999999</v>
      </c>
      <c r="AF58">
        <v>-0.33972031400000002</v>
      </c>
      <c r="AG58" s="45" t="str">
        <f t="shared" si="8"/>
        <v/>
      </c>
      <c r="AH58" s="45" t="str">
        <f t="shared" si="9"/>
        <v/>
      </c>
      <c r="AI58" s="45" t="str">
        <f t="shared" si="17"/>
        <v/>
      </c>
      <c r="AJ58" s="45"/>
    </row>
    <row r="59" spans="5:37" ht="15" customHeight="1" x14ac:dyDescent="0.3">
      <c r="E59" s="2">
        <v>45540.393055555556</v>
      </c>
      <c r="F59" s="39">
        <f t="shared" si="19"/>
        <v>113.86388888888905</v>
      </c>
      <c r="G59">
        <v>2</v>
      </c>
      <c r="H59" s="39">
        <v>65.813000000000002</v>
      </c>
      <c r="I59" s="39">
        <v>14.782</v>
      </c>
      <c r="J59" s="66"/>
      <c r="K59" s="39">
        <f t="shared" si="3"/>
        <v>131.626</v>
      </c>
      <c r="L59" s="39">
        <f t="shared" si="4"/>
        <v>972.84776600000009</v>
      </c>
      <c r="M59" s="66"/>
      <c r="N59" s="39">
        <f t="shared" si="11"/>
        <v>1613.3364597240002</v>
      </c>
      <c r="O59" s="39"/>
      <c r="P59" s="4">
        <v>45670</v>
      </c>
      <c r="Q59" s="39">
        <f t="shared" si="1"/>
        <v>243.47083333333285</v>
      </c>
      <c r="R59" s="39">
        <v>1</v>
      </c>
      <c r="S59">
        <v>3.1796264541220856</v>
      </c>
      <c r="T59" s="39">
        <v>0.14468963148906483</v>
      </c>
      <c r="U59" s="39">
        <v>-0.18465946668052091</v>
      </c>
      <c r="V59" s="39">
        <f t="shared" si="5"/>
        <v>3.1796264541220856</v>
      </c>
      <c r="W59" s="39" t="str">
        <f t="shared" si="6"/>
        <v/>
      </c>
      <c r="X59" s="39" t="str">
        <f t="shared" si="16"/>
        <v/>
      </c>
      <c r="Y59" s="39">
        <f t="shared" si="7"/>
        <v>3.3926614265482651</v>
      </c>
      <c r="AA59" s="4">
        <v>45666</v>
      </c>
      <c r="AB59" s="39">
        <f t="shared" si="18"/>
        <v>239.47083333333285</v>
      </c>
      <c r="AC59">
        <v>1</v>
      </c>
      <c r="AD59" s="19">
        <v>138.62710000000001</v>
      </c>
      <c r="AE59" s="19">
        <v>0.88931199999999999</v>
      </c>
      <c r="AF59">
        <v>-0.45987377299999999</v>
      </c>
      <c r="AG59" s="45">
        <f t="shared" si="8"/>
        <v>138.62710000000001</v>
      </c>
      <c r="AH59" s="45">
        <f t="shared" si="9"/>
        <v>0.88931199999999999</v>
      </c>
      <c r="AI59" s="45" t="str">
        <f t="shared" si="17"/>
        <v/>
      </c>
      <c r="AJ59" s="45">
        <f t="shared" si="10"/>
        <v>147.9151157</v>
      </c>
    </row>
    <row r="60" spans="5:37" ht="15" customHeight="1" x14ac:dyDescent="0.3">
      <c r="E60" s="2">
        <v>45541.436805555553</v>
      </c>
      <c r="F60" s="39">
        <f t="shared" si="19"/>
        <v>114.90763888888614</v>
      </c>
      <c r="G60">
        <v>2</v>
      </c>
      <c r="H60" s="39">
        <v>68.986000000000004</v>
      </c>
      <c r="I60" s="39">
        <v>21.123000000000001</v>
      </c>
      <c r="J60" s="66"/>
      <c r="K60" s="39">
        <f t="shared" si="3"/>
        <v>137.97200000000001</v>
      </c>
      <c r="L60" s="39">
        <f t="shared" si="4"/>
        <v>1457.1912780000002</v>
      </c>
      <c r="M60" s="66"/>
      <c r="N60" s="39">
        <f t="shared" si="11"/>
        <v>2353.4037188920006</v>
      </c>
      <c r="O60" s="39"/>
      <c r="P60" s="4">
        <v>45673</v>
      </c>
      <c r="Q60" s="39">
        <f t="shared" si="1"/>
        <v>246.47083333333285</v>
      </c>
      <c r="R60" s="39">
        <v>1</v>
      </c>
      <c r="S60" s="39">
        <v>7.9272270124274014E-2</v>
      </c>
      <c r="T60" s="33">
        <v>0.60241542199999998</v>
      </c>
      <c r="U60" s="33">
        <v>0.196557291</v>
      </c>
      <c r="V60" s="39" t="str">
        <f t="shared" si="5"/>
        <v/>
      </c>
      <c r="W60" s="39">
        <f t="shared" si="6"/>
        <v>0.60241542199999998</v>
      </c>
      <c r="X60" s="39" t="str">
        <f t="shared" si="16"/>
        <v/>
      </c>
      <c r="Y60" s="39">
        <f>IFERROR(SUM(V60*$C$2,W60*$C$3,X60*$C$1),W60*$C$3)</f>
        <v>0.91205694890799993</v>
      </c>
      <c r="AA60" s="4">
        <v>45670</v>
      </c>
      <c r="AB60" s="39">
        <f t="shared" si="18"/>
        <v>243.47083333333285</v>
      </c>
      <c r="AC60">
        <v>1</v>
      </c>
      <c r="AD60">
        <v>4.6506774964599478</v>
      </c>
      <c r="AE60">
        <v>6.388109743220427E-2</v>
      </c>
      <c r="AF60">
        <v>-0.21077568030666433</v>
      </c>
      <c r="AG60" s="45">
        <f t="shared" si="8"/>
        <v>4.6506774964599478</v>
      </c>
      <c r="AH60" s="45" t="str">
        <f t="shared" si="9"/>
        <v/>
      </c>
      <c r="AI60" s="45" t="str">
        <f t="shared" si="17"/>
        <v/>
      </c>
      <c r="AJ60" s="45">
        <f t="shared" si="10"/>
        <v>4.9622728887227643</v>
      </c>
    </row>
    <row r="61" spans="5:37" ht="15" customHeight="1" x14ac:dyDescent="0.3">
      <c r="E61" s="2">
        <v>45544.411805555559</v>
      </c>
      <c r="F61" s="39">
        <f t="shared" si="19"/>
        <v>117.88263888889196</v>
      </c>
      <c r="G61">
        <v>2</v>
      </c>
      <c r="H61" s="39">
        <v>88.233000000000004</v>
      </c>
      <c r="I61" s="39">
        <v>9.1370000000000005</v>
      </c>
      <c r="J61" s="66"/>
      <c r="K61" s="39">
        <f t="shared" si="3"/>
        <v>176.46600000000001</v>
      </c>
      <c r="L61" s="39">
        <f t="shared" si="4"/>
        <v>806.18492100000003</v>
      </c>
      <c r="M61" s="66"/>
      <c r="N61" s="39">
        <f t="shared" si="11"/>
        <v>1408.853192394</v>
      </c>
      <c r="O61" s="39"/>
      <c r="P61" s="4">
        <v>45684</v>
      </c>
      <c r="Q61" s="39">
        <f t="shared" si="1"/>
        <v>257.47083333333285</v>
      </c>
      <c r="R61" s="39">
        <v>1</v>
      </c>
      <c r="S61" s="33">
        <v>2.941736744</v>
      </c>
      <c r="T61" s="33">
        <v>-1.6357123979999999</v>
      </c>
      <c r="U61" s="33">
        <v>-1.956905814</v>
      </c>
      <c r="V61" s="39">
        <f t="shared" si="5"/>
        <v>2.941736744</v>
      </c>
      <c r="W61" s="39" t="str">
        <f t="shared" si="6"/>
        <v/>
      </c>
      <c r="X61" s="39" t="str">
        <f t="shared" si="16"/>
        <v/>
      </c>
      <c r="Y61" s="39">
        <f t="shared" si="7"/>
        <v>3.1388331058479997</v>
      </c>
      <c r="AA61" s="4">
        <v>45673</v>
      </c>
      <c r="AB61" s="39">
        <f t="shared" si="18"/>
        <v>246.47083333333285</v>
      </c>
      <c r="AC61">
        <v>1</v>
      </c>
      <c r="AD61">
        <v>122.5314072878233</v>
      </c>
      <c r="AE61" s="33">
        <v>0.66035298499999995</v>
      </c>
      <c r="AF61" s="33">
        <v>0.16120801100000001</v>
      </c>
      <c r="AG61" s="45">
        <f t="shared" si="8"/>
        <v>122.5314072878233</v>
      </c>
      <c r="AH61" s="45">
        <f t="shared" si="9"/>
        <v>0.66035298499999995</v>
      </c>
      <c r="AI61" s="45" t="str">
        <f t="shared" si="17"/>
        <v/>
      </c>
      <c r="AJ61" s="45">
        <f t="shared" si="10"/>
        <v>130.74101157610747</v>
      </c>
    </row>
    <row r="62" spans="5:37" ht="15" customHeight="1" x14ac:dyDescent="0.3">
      <c r="E62" s="2">
        <v>45545</v>
      </c>
      <c r="F62" s="39">
        <f t="shared" si="19"/>
        <v>118.47083333333285</v>
      </c>
      <c r="G62">
        <v>2</v>
      </c>
      <c r="H62">
        <v>68.448999999999998</v>
      </c>
      <c r="I62">
        <v>3.423</v>
      </c>
      <c r="J62" s="68"/>
      <c r="K62" s="39">
        <f t="shared" si="3"/>
        <v>136.898</v>
      </c>
      <c r="L62" s="39">
        <f t="shared" si="4"/>
        <v>234.300927</v>
      </c>
      <c r="M62" s="66"/>
      <c r="N62" s="39">
        <f t="shared" si="11"/>
        <v>500.80176947799998</v>
      </c>
      <c r="O62" s="39"/>
      <c r="P62" s="4">
        <v>45687</v>
      </c>
      <c r="Q62" s="39">
        <f t="shared" si="1"/>
        <v>260.47083333333285</v>
      </c>
      <c r="R62" s="39">
        <v>1</v>
      </c>
      <c r="S62" s="33">
        <v>2.8794065940000002</v>
      </c>
      <c r="T62" s="33">
        <v>0.25104365499999998</v>
      </c>
      <c r="U62" s="33">
        <v>6.1401485999999998E-2</v>
      </c>
      <c r="V62" s="39">
        <f t="shared" si="5"/>
        <v>2.8794065940000002</v>
      </c>
      <c r="W62" s="39" t="str">
        <f t="shared" si="6"/>
        <v/>
      </c>
      <c r="X62" s="39" t="str">
        <f t="shared" si="16"/>
        <v/>
      </c>
      <c r="Y62" s="39">
        <f t="shared" si="7"/>
        <v>3.072326835798</v>
      </c>
      <c r="AA62" s="4">
        <v>45684</v>
      </c>
      <c r="AB62" s="39">
        <f t="shared" si="18"/>
        <v>257.47083333333285</v>
      </c>
      <c r="AC62">
        <v>1</v>
      </c>
      <c r="AD62" s="33">
        <v>-0.77525106899999996</v>
      </c>
      <c r="AE62" s="33">
        <v>-1.7382159189999999</v>
      </c>
      <c r="AF62" s="33">
        <v>-1.980570677</v>
      </c>
      <c r="AG62" s="45" t="str">
        <f t="shared" si="8"/>
        <v/>
      </c>
      <c r="AH62" s="45" t="str">
        <f t="shared" si="9"/>
        <v/>
      </c>
      <c r="AI62" s="45" t="str">
        <f t="shared" si="17"/>
        <v/>
      </c>
      <c r="AJ62" s="45"/>
    </row>
    <row r="63" spans="5:37" ht="15" customHeight="1" x14ac:dyDescent="0.3">
      <c r="E63" s="2">
        <v>45546</v>
      </c>
      <c r="F63" s="39">
        <f t="shared" si="19"/>
        <v>119.47083333333285</v>
      </c>
      <c r="G63">
        <v>2</v>
      </c>
      <c r="H63">
        <v>51.981999999999999</v>
      </c>
      <c r="I63">
        <v>0</v>
      </c>
      <c r="J63" s="68"/>
      <c r="K63" s="39">
        <f t="shared" si="3"/>
        <v>103.964</v>
      </c>
      <c r="L63" s="39" t="str">
        <f t="shared" si="4"/>
        <v/>
      </c>
      <c r="M63" s="66"/>
      <c r="N63" s="39">
        <f t="shared" si="11"/>
        <v>110.929588</v>
      </c>
      <c r="O63" s="39"/>
      <c r="P63" s="4">
        <v>45691</v>
      </c>
      <c r="Q63" s="39">
        <f t="shared" si="1"/>
        <v>264.47083333333285</v>
      </c>
      <c r="R63" s="39">
        <v>1</v>
      </c>
      <c r="S63" s="33">
        <v>3.0650707690000001</v>
      </c>
      <c r="T63" s="33">
        <v>0.62391225900000002</v>
      </c>
      <c r="U63" s="33">
        <v>0.47191804199999998</v>
      </c>
      <c r="V63" s="39">
        <f t="shared" si="5"/>
        <v>3.0650707690000001</v>
      </c>
      <c r="W63" s="39">
        <f t="shared" si="6"/>
        <v>0.62391225900000002</v>
      </c>
      <c r="X63" s="39">
        <f t="shared" si="16"/>
        <v>0.47191804199999998</v>
      </c>
      <c r="Y63" s="39">
        <f t="shared" si="7"/>
        <v>5.0729806710050003</v>
      </c>
      <c r="AA63" s="4">
        <v>45687</v>
      </c>
      <c r="AB63" s="39">
        <f t="shared" si="18"/>
        <v>260.47083333333285</v>
      </c>
      <c r="AC63">
        <v>1</v>
      </c>
      <c r="AD63" s="33">
        <v>1.4089692309999999</v>
      </c>
      <c r="AE63" s="33">
        <v>0.117011906</v>
      </c>
      <c r="AF63" s="33">
        <v>6.1401485999999998E-2</v>
      </c>
      <c r="AG63" s="45">
        <f t="shared" si="8"/>
        <v>1.4089692309999999</v>
      </c>
      <c r="AH63" s="45" t="str">
        <f t="shared" si="9"/>
        <v/>
      </c>
      <c r="AI63" s="45" t="str">
        <f t="shared" si="17"/>
        <v/>
      </c>
      <c r="AJ63" s="45">
        <f t="shared" si="10"/>
        <v>1.5033701694769999</v>
      </c>
    </row>
    <row r="64" spans="5:37" ht="15" customHeight="1" x14ac:dyDescent="0.3">
      <c r="E64" s="2">
        <v>45547</v>
      </c>
      <c r="F64" s="39">
        <f t="shared" si="19"/>
        <v>120.47083333333285</v>
      </c>
      <c r="G64">
        <v>2</v>
      </c>
      <c r="H64">
        <v>29.13</v>
      </c>
      <c r="I64">
        <v>0</v>
      </c>
      <c r="J64" s="68"/>
      <c r="K64" s="39">
        <f t="shared" si="3"/>
        <v>58.26</v>
      </c>
      <c r="L64" s="39" t="str">
        <f t="shared" si="4"/>
        <v/>
      </c>
      <c r="M64" s="66"/>
      <c r="N64" s="39">
        <f t="shared" si="11"/>
        <v>62.163419999999995</v>
      </c>
      <c r="O64" s="39"/>
      <c r="P64" s="4">
        <v>45694</v>
      </c>
      <c r="Q64" s="39">
        <f t="shared" si="1"/>
        <v>267.47083333333285</v>
      </c>
      <c r="R64" s="39">
        <v>1</v>
      </c>
      <c r="S64" s="33">
        <v>2.5391471490000002</v>
      </c>
      <c r="T64" s="33">
        <v>-1.3377854790000001</v>
      </c>
      <c r="U64" s="33">
        <v>-1.5507564089999999</v>
      </c>
      <c r="V64" s="39">
        <f t="shared" si="5"/>
        <v>2.5391471490000002</v>
      </c>
      <c r="W64" s="39" t="str">
        <f t="shared" si="6"/>
        <v/>
      </c>
      <c r="X64" s="39" t="str">
        <f t="shared" si="16"/>
        <v/>
      </c>
      <c r="Y64" s="39">
        <f t="shared" si="7"/>
        <v>2.7092700079830001</v>
      </c>
      <c r="AA64" s="4">
        <v>45691</v>
      </c>
      <c r="AB64" s="39">
        <f t="shared" si="18"/>
        <v>264.47083333333285</v>
      </c>
      <c r="AC64">
        <v>1</v>
      </c>
      <c r="AD64" s="33">
        <v>123.7675167</v>
      </c>
      <c r="AE64" s="33">
        <v>0.95331230199999994</v>
      </c>
      <c r="AF64" s="33">
        <v>0.46043236199999998</v>
      </c>
      <c r="AG64" s="45">
        <f t="shared" si="8"/>
        <v>123.7675167</v>
      </c>
      <c r="AH64" s="45">
        <f t="shared" si="9"/>
        <v>0.95331230199999994</v>
      </c>
      <c r="AI64" s="45">
        <f t="shared" si="17"/>
        <v>0.46043236199999998</v>
      </c>
      <c r="AJ64" s="45">
        <f t="shared" si="10"/>
        <v>134.34032117824398</v>
      </c>
    </row>
    <row r="65" spans="1:36" ht="15" customHeight="1" x14ac:dyDescent="0.3">
      <c r="E65" s="2">
        <v>45548</v>
      </c>
      <c r="F65" s="39">
        <f t="shared" si="19"/>
        <v>121.47083333333285</v>
      </c>
      <c r="G65">
        <v>2</v>
      </c>
      <c r="H65" s="39">
        <v>25.963999999999999</v>
      </c>
      <c r="I65" s="39">
        <v>0.57799999999999996</v>
      </c>
      <c r="J65" s="66"/>
      <c r="K65" s="39">
        <f t="shared" si="3"/>
        <v>51.927999999999997</v>
      </c>
      <c r="L65" s="39">
        <f t="shared" si="4"/>
        <v>15.007191999999998</v>
      </c>
      <c r="M65" s="66"/>
      <c r="N65" s="39">
        <f t="shared" si="11"/>
        <v>78.128064687999995</v>
      </c>
      <c r="O65" s="39"/>
      <c r="P65" s="4">
        <v>45699</v>
      </c>
      <c r="Q65" s="39">
        <f t="shared" si="1"/>
        <v>272.47083333333285</v>
      </c>
      <c r="R65" s="39">
        <v>1</v>
      </c>
      <c r="S65" s="33">
        <v>1.862426997</v>
      </c>
      <c r="T65" s="33">
        <v>-0.21933329600000001</v>
      </c>
      <c r="U65" s="33">
        <v>-0.32844318500000003</v>
      </c>
      <c r="V65" s="39">
        <f t="shared" si="5"/>
        <v>1.862426997</v>
      </c>
      <c r="W65" s="39" t="str">
        <f t="shared" si="6"/>
        <v/>
      </c>
      <c r="X65" s="39" t="str">
        <f t="shared" si="16"/>
        <v/>
      </c>
      <c r="Y65" s="39">
        <f t="shared" si="7"/>
        <v>1.9872096057989999</v>
      </c>
      <c r="AA65" s="4">
        <v>45694</v>
      </c>
      <c r="AB65" s="39">
        <f t="shared" si="18"/>
        <v>267.47083333333285</v>
      </c>
      <c r="AC65">
        <v>1</v>
      </c>
      <c r="AD65" s="33">
        <v>-0.59971591300000004</v>
      </c>
      <c r="AE65" s="33">
        <v>-1.4598387260000001</v>
      </c>
      <c r="AF65" s="33">
        <v>-1.5384170399999999</v>
      </c>
      <c r="AG65" s="45" t="str">
        <f t="shared" si="8"/>
        <v/>
      </c>
      <c r="AH65" s="45" t="str">
        <f t="shared" si="9"/>
        <v/>
      </c>
      <c r="AI65" s="45" t="str">
        <f t="shared" si="17"/>
        <v/>
      </c>
      <c r="AJ65" s="45"/>
    </row>
    <row r="66" spans="1:36" ht="15" customHeight="1" x14ac:dyDescent="0.3">
      <c r="E66" s="2">
        <v>45551.43472222222</v>
      </c>
      <c r="F66" s="39">
        <f t="shared" si="19"/>
        <v>124.90555555555329</v>
      </c>
      <c r="G66">
        <v>2</v>
      </c>
      <c r="H66" s="39">
        <v>11.01</v>
      </c>
      <c r="I66" s="39">
        <v>3.5369999999999999</v>
      </c>
      <c r="J66" s="66"/>
      <c r="K66" s="39">
        <f t="shared" si="3"/>
        <v>22.02</v>
      </c>
      <c r="L66" s="39">
        <f t="shared" si="4"/>
        <v>38.942369999999997</v>
      </c>
      <c r="M66" s="66"/>
      <c r="N66" s="39">
        <f t="shared" si="11"/>
        <v>82.454088179999985</v>
      </c>
      <c r="O66" s="39"/>
      <c r="P66" s="4">
        <v>45702</v>
      </c>
      <c r="Q66" s="39">
        <f t="shared" si="1"/>
        <v>275.47083333333285</v>
      </c>
      <c r="R66" s="39">
        <v>1</v>
      </c>
      <c r="S66" s="33">
        <v>1.9095812670000001</v>
      </c>
      <c r="T66" s="33">
        <v>-9.1511710999999996E-2</v>
      </c>
      <c r="U66" s="33">
        <v>-0.23615959</v>
      </c>
      <c r="V66" s="39">
        <f t="shared" si="5"/>
        <v>1.9095812670000001</v>
      </c>
      <c r="W66" s="39" t="str">
        <f t="shared" si="6"/>
        <v/>
      </c>
      <c r="X66" s="39" t="str">
        <f t="shared" si="16"/>
        <v/>
      </c>
      <c r="Y66" s="39">
        <f t="shared" si="7"/>
        <v>2.0375232118889999</v>
      </c>
      <c r="AA66" s="4">
        <v>45699</v>
      </c>
      <c r="AB66" s="39">
        <f t="shared" si="18"/>
        <v>272.47083333333285</v>
      </c>
      <c r="AC66">
        <v>1</v>
      </c>
      <c r="AD66" s="33">
        <v>-0.16904348199999999</v>
      </c>
      <c r="AE66" s="33">
        <v>-0.28434569100000001</v>
      </c>
      <c r="AF66" s="33">
        <v>-0.32844318500000003</v>
      </c>
      <c r="AG66" s="45" t="str">
        <f t="shared" si="8"/>
        <v/>
      </c>
      <c r="AH66" s="45" t="str">
        <f t="shared" si="9"/>
        <v/>
      </c>
      <c r="AI66" s="45" t="str">
        <f t="shared" si="17"/>
        <v/>
      </c>
      <c r="AJ66" s="45"/>
    </row>
    <row r="67" spans="1:36" ht="15" customHeight="1" x14ac:dyDescent="0.3">
      <c r="E67" s="2">
        <v>45552</v>
      </c>
      <c r="F67" s="39">
        <f t="shared" si="19"/>
        <v>125.47083333333285</v>
      </c>
      <c r="G67">
        <v>2</v>
      </c>
      <c r="H67" s="39">
        <v>19.515999999999998</v>
      </c>
      <c r="I67" s="39">
        <v>3.7320000000000002</v>
      </c>
      <c r="J67" s="66"/>
      <c r="K67" s="39">
        <f t="shared" si="3"/>
        <v>39.031999999999996</v>
      </c>
      <c r="L67" s="39">
        <f t="shared" si="4"/>
        <v>72.833711999999991</v>
      </c>
      <c r="M67" s="66"/>
      <c r="N67" s="39">
        <f t="shared" si="11"/>
        <v>151.91738396799997</v>
      </c>
      <c r="P67" s="4">
        <v>45705</v>
      </c>
      <c r="Q67" s="39">
        <f t="shared" si="1"/>
        <v>278.47083333333285</v>
      </c>
      <c r="R67" s="39">
        <v>1</v>
      </c>
      <c r="S67" s="33">
        <v>2.3629257049999999</v>
      </c>
      <c r="T67" s="33">
        <v>0.21216610799999999</v>
      </c>
      <c r="U67" s="33">
        <v>0.149615999</v>
      </c>
      <c r="V67" s="39">
        <f t="shared" si="5"/>
        <v>2.3629257049999999</v>
      </c>
      <c r="W67" s="39" t="str">
        <f t="shared" si="6"/>
        <v/>
      </c>
      <c r="X67" s="39" t="str">
        <f t="shared" si="16"/>
        <v/>
      </c>
      <c r="Y67" s="39">
        <f t="shared" si="7"/>
        <v>2.5212417272349996</v>
      </c>
      <c r="AA67" s="4">
        <v>45702</v>
      </c>
      <c r="AB67" s="39">
        <f t="shared" si="18"/>
        <v>275.47083333333285</v>
      </c>
      <c r="AC67">
        <v>1</v>
      </c>
      <c r="AD67" s="33">
        <v>7.4585095570000002</v>
      </c>
      <c r="AE67" s="33">
        <v>-0.15240036800000001</v>
      </c>
      <c r="AF67" s="33">
        <v>-0.24859473100000001</v>
      </c>
      <c r="AG67" s="45">
        <f t="shared" si="8"/>
        <v>7.4585095570000002</v>
      </c>
      <c r="AH67" s="45" t="str">
        <f t="shared" si="9"/>
        <v/>
      </c>
      <c r="AI67" s="45" t="str">
        <f t="shared" si="17"/>
        <v/>
      </c>
      <c r="AJ67" s="45">
        <f t="shared" si="10"/>
        <v>7.9582296973190001</v>
      </c>
    </row>
    <row r="68" spans="1:36" ht="15" customHeight="1" x14ac:dyDescent="0.3">
      <c r="E68" s="2">
        <v>45553</v>
      </c>
      <c r="F68" s="39">
        <f t="shared" si="19"/>
        <v>126.47083333333285</v>
      </c>
      <c r="G68">
        <v>2</v>
      </c>
      <c r="H68">
        <v>24.215</v>
      </c>
      <c r="I68">
        <v>0.76300000000000001</v>
      </c>
      <c r="J68" s="68"/>
      <c r="K68" s="39">
        <f t="shared" ref="K68:K131" si="20">IF(H68&lt;$G$1,"",G68*H68)</f>
        <v>48.43</v>
      </c>
      <c r="L68" s="39">
        <f t="shared" ref="L68:L131" si="21">IF(I68&lt;$G$1,"",H68*I68)</f>
        <v>18.476044999999999</v>
      </c>
      <c r="M68" s="66"/>
      <c r="N68" s="39">
        <f t="shared" ref="N68:N131" si="22">IFERROR(SUM(K68*$C$2,L68*$C$3,M68*$C$1),K68*$C$2)</f>
        <v>79.647542129999991</v>
      </c>
      <c r="P68" s="4">
        <v>45708</v>
      </c>
      <c r="Q68" s="39">
        <f t="shared" si="1"/>
        <v>281.47083333333285</v>
      </c>
      <c r="R68" s="39">
        <v>1</v>
      </c>
      <c r="S68" s="33">
        <v>2.7177131170000002</v>
      </c>
      <c r="T68" s="33">
        <v>-1.27386362</v>
      </c>
      <c r="U68" s="33">
        <v>-1.3308037539999999</v>
      </c>
      <c r="V68" s="39">
        <f t="shared" ref="V68:V80" si="23">IF(S68&lt;$G$1,"",S68*R68)</f>
        <v>2.7177131170000002</v>
      </c>
      <c r="W68" s="39" t="str">
        <f t="shared" ref="W68:W80" si="24">IF(T68&lt;$G$1,"",R68*T68)</f>
        <v/>
      </c>
      <c r="X68" s="39" t="str">
        <f t="shared" si="16"/>
        <v/>
      </c>
      <c r="Y68" s="39">
        <f t="shared" ref="Y68:Y80" si="25">IFERROR(SUM(V68*$C$2,W68*$C$3,X68*$C$1),V68*$C$2)</f>
        <v>2.8997998958390001</v>
      </c>
      <c r="AA68" s="4">
        <v>45705</v>
      </c>
      <c r="AB68" s="39">
        <f t="shared" si="18"/>
        <v>278.47083333333285</v>
      </c>
      <c r="AC68">
        <v>1</v>
      </c>
      <c r="AD68" s="33">
        <v>61.925062310000001</v>
      </c>
      <c r="AE68" s="33">
        <v>0.69634606899999996</v>
      </c>
      <c r="AF68" s="33">
        <v>0.12198458</v>
      </c>
      <c r="AG68" s="45">
        <f t="shared" ref="AG68:AG82" si="26">IF(AD68&lt;$G$1,"",AC68*AD68)</f>
        <v>61.925062310000001</v>
      </c>
      <c r="AH68" s="45">
        <f t="shared" ref="AH68:AH82" si="27">IF(AE68&lt;$G$1,"",AC68*AE68)</f>
        <v>0.69634606899999996</v>
      </c>
      <c r="AI68" s="45" t="str">
        <f t="shared" si="17"/>
        <v/>
      </c>
      <c r="AJ68" s="45">
        <f t="shared" ref="AJ68:AJ82" si="28">IFERROR(SUM(AG68*$C$2,AH68*$C$3,AI68*$C$1),AG68*$C$2)</f>
        <v>66.074041484769992</v>
      </c>
    </row>
    <row r="69" spans="1:36" ht="15" customHeight="1" x14ac:dyDescent="0.3">
      <c r="E69" s="2">
        <v>45554.44027777778</v>
      </c>
      <c r="F69" s="39">
        <f t="shared" si="19"/>
        <v>127.9111111111124</v>
      </c>
      <c r="G69">
        <v>2</v>
      </c>
      <c r="H69">
        <v>16.661000000000001</v>
      </c>
      <c r="I69">
        <v>0.78700000000000003</v>
      </c>
      <c r="J69" s="68"/>
      <c r="K69" s="39">
        <f t="shared" si="20"/>
        <v>33.322000000000003</v>
      </c>
      <c r="L69" s="39">
        <f t="shared" si="21"/>
        <v>13.112207000000001</v>
      </c>
      <c r="M69" s="66"/>
      <c r="N69" s="39">
        <f t="shared" si="22"/>
        <v>55.406455398000006</v>
      </c>
      <c r="P69" s="4">
        <v>45712</v>
      </c>
      <c r="Q69" s="39">
        <f t="shared" si="1"/>
        <v>285.47083333333285</v>
      </c>
      <c r="R69" s="39">
        <v>1</v>
      </c>
      <c r="S69">
        <v>3.5009999999999999</v>
      </c>
      <c r="T69">
        <v>1.0269999999999999</v>
      </c>
      <c r="U69">
        <v>1.198</v>
      </c>
      <c r="V69" s="39">
        <f t="shared" si="23"/>
        <v>3.5009999999999999</v>
      </c>
      <c r="W69" s="39">
        <f t="shared" si="24"/>
        <v>1.0269999999999999</v>
      </c>
      <c r="X69" s="39">
        <f t="shared" si="16"/>
        <v>1.198</v>
      </c>
      <c r="Y69" s="39">
        <f t="shared" si="25"/>
        <v>7.4684089999999994</v>
      </c>
      <c r="AA69" s="4">
        <v>45708</v>
      </c>
      <c r="AB69" s="39">
        <f t="shared" si="18"/>
        <v>281.47083333333285</v>
      </c>
      <c r="AC69">
        <v>1</v>
      </c>
      <c r="AD69" s="33">
        <v>2.5025101150000002</v>
      </c>
      <c r="AE69" s="33">
        <v>-1.4527687920000001</v>
      </c>
      <c r="AF69" s="33">
        <v>-1.3884472919999999</v>
      </c>
      <c r="AG69" s="45">
        <f t="shared" si="26"/>
        <v>2.5025101150000002</v>
      </c>
      <c r="AH69" s="45" t="str">
        <f t="shared" si="27"/>
        <v/>
      </c>
      <c r="AI69" s="45" t="str">
        <f t="shared" si="17"/>
        <v/>
      </c>
      <c r="AJ69" s="45">
        <f t="shared" si="28"/>
        <v>2.6701782927050002</v>
      </c>
    </row>
    <row r="70" spans="1:36" ht="15" customHeight="1" x14ac:dyDescent="0.3">
      <c r="B70" t="s">
        <v>23</v>
      </c>
      <c r="C70" t="s">
        <v>697</v>
      </c>
      <c r="D70" t="s">
        <v>698</v>
      </c>
      <c r="E70" s="2">
        <v>45555</v>
      </c>
      <c r="F70" s="39">
        <f t="shared" si="19"/>
        <v>128.47083333333285</v>
      </c>
      <c r="G70">
        <v>1</v>
      </c>
      <c r="H70">
        <v>29.253</v>
      </c>
      <c r="I70">
        <v>0</v>
      </c>
      <c r="J70" s="68"/>
      <c r="K70" s="39">
        <f t="shared" si="20"/>
        <v>29.253</v>
      </c>
      <c r="L70" s="39" t="str">
        <f t="shared" si="21"/>
        <v/>
      </c>
      <c r="M70" s="66"/>
      <c r="N70" s="39">
        <f t="shared" si="22"/>
        <v>31.212951</v>
      </c>
      <c r="P70" s="4">
        <v>45715</v>
      </c>
      <c r="Q70" s="39">
        <f t="shared" ref="Q70:Q80" si="29">P70-$C$4</f>
        <v>288.47083333333285</v>
      </c>
      <c r="R70" s="39">
        <v>1</v>
      </c>
      <c r="S70">
        <v>3.613</v>
      </c>
      <c r="T70">
        <v>1.2110000000000001</v>
      </c>
      <c r="U70">
        <v>1.353</v>
      </c>
      <c r="V70" s="39">
        <f t="shared" si="23"/>
        <v>3.613</v>
      </c>
      <c r="W70" s="39">
        <f t="shared" si="24"/>
        <v>1.2110000000000001</v>
      </c>
      <c r="X70" s="39">
        <f t="shared" si="16"/>
        <v>1.353</v>
      </c>
      <c r="Y70" s="39">
        <f t="shared" si="25"/>
        <v>8.1482790000000005</v>
      </c>
      <c r="AA70" s="4">
        <v>45712</v>
      </c>
      <c r="AB70" s="39">
        <f t="shared" si="18"/>
        <v>285.47083333333285</v>
      </c>
      <c r="AC70">
        <v>1</v>
      </c>
      <c r="AD70">
        <v>1.264</v>
      </c>
      <c r="AE70">
        <v>0.89700000000000002</v>
      </c>
      <c r="AF70">
        <v>1.1850000000000001</v>
      </c>
      <c r="AG70" s="45">
        <f t="shared" si="26"/>
        <v>1.264</v>
      </c>
      <c r="AH70" s="45">
        <f t="shared" si="27"/>
        <v>0.89700000000000002</v>
      </c>
      <c r="AI70" s="45">
        <f t="shared" si="17"/>
        <v>1.1850000000000001</v>
      </c>
      <c r="AJ70" s="45">
        <f t="shared" si="28"/>
        <v>4.8610760000000006</v>
      </c>
    </row>
    <row r="71" spans="1:36" ht="15" customHeight="1" x14ac:dyDescent="0.3">
      <c r="A71" s="4">
        <v>45558</v>
      </c>
      <c r="B71" s="4" t="s">
        <v>699</v>
      </c>
      <c r="C71">
        <f>H71</f>
        <v>18.791</v>
      </c>
      <c r="D71">
        <f>I71</f>
        <v>1.343</v>
      </c>
      <c r="E71" s="2">
        <v>45558.404861111114</v>
      </c>
      <c r="F71" s="39">
        <f t="shared" si="19"/>
        <v>131.87569444444671</v>
      </c>
      <c r="G71">
        <v>1</v>
      </c>
      <c r="H71">
        <v>18.791</v>
      </c>
      <c r="I71">
        <v>1.343</v>
      </c>
      <c r="J71" s="68"/>
      <c r="K71" s="39">
        <f t="shared" si="20"/>
        <v>18.791</v>
      </c>
      <c r="L71" s="39">
        <f t="shared" si="21"/>
        <v>25.236312999999999</v>
      </c>
      <c r="M71" s="66"/>
      <c r="N71" s="39">
        <f t="shared" si="22"/>
        <v>58.257774882000007</v>
      </c>
      <c r="P71" s="4">
        <v>45719</v>
      </c>
      <c r="Q71" s="39">
        <f t="shared" si="29"/>
        <v>292.47083333333285</v>
      </c>
      <c r="R71" s="39">
        <v>1</v>
      </c>
      <c r="S71">
        <v>3.0070000000000001</v>
      </c>
      <c r="T71">
        <v>0.317</v>
      </c>
      <c r="U71">
        <v>0.45400000000000001</v>
      </c>
      <c r="V71" s="39">
        <f t="shared" si="23"/>
        <v>3.0070000000000001</v>
      </c>
      <c r="W71" s="39" t="str">
        <f t="shared" si="24"/>
        <v/>
      </c>
      <c r="X71" s="39">
        <f t="shared" si="16"/>
        <v>0.45400000000000001</v>
      </c>
      <c r="Y71" s="39">
        <f t="shared" si="25"/>
        <v>3.208469</v>
      </c>
      <c r="AA71" s="4">
        <v>45715</v>
      </c>
      <c r="AB71" s="39">
        <f t="shared" si="18"/>
        <v>288.47083333333285</v>
      </c>
      <c r="AC71">
        <v>1</v>
      </c>
      <c r="AD71">
        <v>1.331</v>
      </c>
      <c r="AE71">
        <v>1.0760000000000001</v>
      </c>
      <c r="AF71">
        <v>1.343</v>
      </c>
      <c r="AG71" s="45">
        <f t="shared" si="26"/>
        <v>1.331</v>
      </c>
      <c r="AH71" s="45">
        <f t="shared" si="27"/>
        <v>1.0760000000000001</v>
      </c>
      <c r="AI71" s="45">
        <f t="shared" si="17"/>
        <v>1.343</v>
      </c>
      <c r="AJ71" s="45">
        <f t="shared" si="28"/>
        <v>5.4908149999999996</v>
      </c>
    </row>
    <row r="72" spans="1:36" ht="15" customHeight="1" x14ac:dyDescent="0.3">
      <c r="A72" s="4">
        <v>45559</v>
      </c>
      <c r="B72" s="4" t="s">
        <v>700</v>
      </c>
      <c r="C72">
        <v>21.202999999999999</v>
      </c>
      <c r="D72">
        <v>1.1919999999999999</v>
      </c>
      <c r="E72" s="2">
        <v>45559</v>
      </c>
      <c r="F72" s="39">
        <f t="shared" si="19"/>
        <v>132.47083333333285</v>
      </c>
      <c r="G72">
        <v>1</v>
      </c>
      <c r="H72">
        <v>28.027999999999999</v>
      </c>
      <c r="I72">
        <v>1.593</v>
      </c>
      <c r="J72" s="68"/>
      <c r="K72" s="39">
        <f t="shared" si="20"/>
        <v>28.027999999999999</v>
      </c>
      <c r="L72" s="39">
        <f t="shared" si="21"/>
        <v>44.648603999999999</v>
      </c>
      <c r="M72" s="66"/>
      <c r="N72" s="39">
        <f t="shared" si="22"/>
        <v>97.503862455999993</v>
      </c>
      <c r="P72" s="4">
        <v>45726</v>
      </c>
      <c r="Q72" s="39">
        <f t="shared" si="29"/>
        <v>299.47083333333285</v>
      </c>
      <c r="R72" s="39">
        <v>1</v>
      </c>
      <c r="S72">
        <v>5.3630000000000004</v>
      </c>
      <c r="T72">
        <v>1.958</v>
      </c>
      <c r="U72">
        <v>2.0659999999999998</v>
      </c>
      <c r="V72" s="39">
        <f t="shared" si="23"/>
        <v>5.3630000000000004</v>
      </c>
      <c r="W72" s="39">
        <f t="shared" si="24"/>
        <v>1.958</v>
      </c>
      <c r="X72" s="39">
        <f t="shared" si="16"/>
        <v>2.0659999999999998</v>
      </c>
      <c r="Y72" s="39">
        <f t="shared" si="25"/>
        <v>12.442721000000001</v>
      </c>
      <c r="AA72" s="4">
        <v>45719</v>
      </c>
      <c r="AB72" s="39">
        <f t="shared" si="18"/>
        <v>292.47083333333285</v>
      </c>
      <c r="AC72">
        <v>1</v>
      </c>
      <c r="AD72">
        <v>99.414000000000001</v>
      </c>
      <c r="AE72" s="33">
        <v>0</v>
      </c>
      <c r="AF72">
        <v>0.46200000000000002</v>
      </c>
      <c r="AG72" s="45">
        <f t="shared" si="26"/>
        <v>99.414000000000001</v>
      </c>
      <c r="AH72" s="45" t="str">
        <f t="shared" si="27"/>
        <v/>
      </c>
      <c r="AI72" s="45">
        <f t="shared" si="17"/>
        <v>0.46200000000000002</v>
      </c>
      <c r="AJ72" s="45">
        <f t="shared" si="28"/>
        <v>106.074738</v>
      </c>
    </row>
    <row r="73" spans="1:36" ht="15" customHeight="1" x14ac:dyDescent="0.3">
      <c r="A73" s="4">
        <v>45560</v>
      </c>
      <c r="B73" t="s">
        <v>701</v>
      </c>
      <c r="C73">
        <v>19.521999999999998</v>
      </c>
      <c r="D73">
        <v>2.3490000000000002</v>
      </c>
      <c r="E73" s="2">
        <v>45560</v>
      </c>
      <c r="F73" s="39">
        <f t="shared" si="19"/>
        <v>133.47083333333285</v>
      </c>
      <c r="G73">
        <v>1</v>
      </c>
      <c r="H73">
        <v>38.274000000000001</v>
      </c>
      <c r="I73">
        <v>2.831</v>
      </c>
      <c r="J73" s="68"/>
      <c r="K73" s="39">
        <f t="shared" si="20"/>
        <v>38.274000000000001</v>
      </c>
      <c r="L73" s="39">
        <f t="shared" si="21"/>
        <v>108.353694</v>
      </c>
      <c r="M73" s="66"/>
      <c r="N73" s="39">
        <f t="shared" si="22"/>
        <v>204.88585071600002</v>
      </c>
      <c r="P73" s="4">
        <v>45733</v>
      </c>
      <c r="Q73" s="39">
        <f t="shared" si="29"/>
        <v>306.47083333333285</v>
      </c>
      <c r="R73" s="39">
        <v>1</v>
      </c>
      <c r="S73">
        <v>5.4139999999999997</v>
      </c>
      <c r="T73">
        <v>1.7609999999999999</v>
      </c>
      <c r="U73">
        <v>1.806</v>
      </c>
      <c r="V73" s="39">
        <f t="shared" si="23"/>
        <v>5.4139999999999997</v>
      </c>
      <c r="W73" s="39">
        <f t="shared" si="24"/>
        <v>1.7609999999999999</v>
      </c>
      <c r="X73" s="39">
        <f t="shared" si="16"/>
        <v>1.806</v>
      </c>
      <c r="Y73" s="39">
        <f t="shared" si="25"/>
        <v>11.726199999999999</v>
      </c>
      <c r="AA73" s="4">
        <v>45726</v>
      </c>
      <c r="AB73" s="39">
        <f t="shared" si="18"/>
        <v>299.47083333333285</v>
      </c>
      <c r="AC73">
        <v>1</v>
      </c>
      <c r="AD73">
        <v>3.5569999999999999</v>
      </c>
      <c r="AE73">
        <v>1.74</v>
      </c>
      <c r="AF73">
        <v>2.0409999999999999</v>
      </c>
      <c r="AG73" s="45">
        <f t="shared" si="26"/>
        <v>3.5569999999999999</v>
      </c>
      <c r="AH73" s="45">
        <f t="shared" si="27"/>
        <v>1.74</v>
      </c>
      <c r="AI73" s="45">
        <f t="shared" si="17"/>
        <v>2.0409999999999999</v>
      </c>
      <c r="AJ73" s="45">
        <f t="shared" si="28"/>
        <v>10.140217</v>
      </c>
    </row>
    <row r="74" spans="1:36" ht="15" customHeight="1" x14ac:dyDescent="0.3">
      <c r="A74" s="4">
        <v>45561</v>
      </c>
      <c r="B74" t="s">
        <v>702</v>
      </c>
      <c r="C74">
        <v>18.524000000000001</v>
      </c>
      <c r="D74">
        <v>0</v>
      </c>
      <c r="E74" s="2">
        <v>45561.553472222222</v>
      </c>
      <c r="F74" s="39">
        <f t="shared" si="19"/>
        <v>135.02430555555475</v>
      </c>
      <c r="G74">
        <v>1</v>
      </c>
      <c r="H74">
        <v>39.622</v>
      </c>
      <c r="I74">
        <v>0</v>
      </c>
      <c r="J74" s="68"/>
      <c r="K74" s="39">
        <f t="shared" si="20"/>
        <v>39.622</v>
      </c>
      <c r="L74" s="39" t="str">
        <f t="shared" si="21"/>
        <v/>
      </c>
      <c r="M74" s="66"/>
      <c r="N74" s="39">
        <f t="shared" si="22"/>
        <v>42.276674</v>
      </c>
      <c r="P74" s="4">
        <v>45736</v>
      </c>
      <c r="Q74" s="39">
        <f t="shared" si="29"/>
        <v>309.47083333333285</v>
      </c>
      <c r="R74" s="39">
        <v>1</v>
      </c>
      <c r="S74">
        <v>2.8679999999999999</v>
      </c>
      <c r="T74">
        <v>0</v>
      </c>
      <c r="U74">
        <v>0</v>
      </c>
      <c r="V74" s="39">
        <f t="shared" si="23"/>
        <v>2.8679999999999999</v>
      </c>
      <c r="W74" s="39" t="str">
        <f t="shared" si="24"/>
        <v/>
      </c>
      <c r="X74" s="39" t="str">
        <f t="shared" si="16"/>
        <v/>
      </c>
      <c r="Y74" s="39">
        <f t="shared" si="25"/>
        <v>3.0601559999999997</v>
      </c>
      <c r="AA74" s="4">
        <v>45729</v>
      </c>
      <c r="AB74" s="39">
        <f t="shared" si="18"/>
        <v>302.47083333333285</v>
      </c>
      <c r="AC74">
        <v>1</v>
      </c>
      <c r="AD74">
        <v>29.344000000000001</v>
      </c>
      <c r="AE74">
        <v>1.359</v>
      </c>
      <c r="AF74">
        <v>1.492</v>
      </c>
      <c r="AG74" s="45">
        <f t="shared" si="26"/>
        <v>29.344000000000001</v>
      </c>
      <c r="AH74" s="45">
        <f t="shared" si="27"/>
        <v>1.359</v>
      </c>
      <c r="AI74" s="45">
        <f t="shared" si="17"/>
        <v>1.492</v>
      </c>
      <c r="AJ74" s="45">
        <f t="shared" si="28"/>
        <v>36.080030000000001</v>
      </c>
    </row>
    <row r="75" spans="1:36" ht="15" customHeight="1" x14ac:dyDescent="0.3">
      <c r="A75" s="4">
        <v>45562</v>
      </c>
      <c r="B75" t="s">
        <v>703</v>
      </c>
      <c r="C75">
        <v>16.582000000000001</v>
      </c>
      <c r="D75">
        <v>0</v>
      </c>
      <c r="E75" s="2">
        <v>45562</v>
      </c>
      <c r="F75" s="39">
        <f t="shared" si="19"/>
        <v>135.47083333333285</v>
      </c>
      <c r="G75">
        <v>1</v>
      </c>
      <c r="H75">
        <v>35.436999999999998</v>
      </c>
      <c r="I75">
        <v>0</v>
      </c>
      <c r="J75" s="68"/>
      <c r="K75" s="39">
        <f t="shared" si="20"/>
        <v>35.436999999999998</v>
      </c>
      <c r="L75" s="39" t="str">
        <f t="shared" si="21"/>
        <v/>
      </c>
      <c r="M75" s="66"/>
      <c r="N75" s="39">
        <f t="shared" si="22"/>
        <v>37.811278999999999</v>
      </c>
      <c r="P75" s="4">
        <v>45740</v>
      </c>
      <c r="Q75" s="39">
        <f t="shared" si="29"/>
        <v>313.47083333333285</v>
      </c>
      <c r="R75" s="39">
        <v>1</v>
      </c>
      <c r="S75">
        <v>8.7710000000000008</v>
      </c>
      <c r="T75">
        <v>0.26200000000000001</v>
      </c>
      <c r="U75">
        <v>0.02</v>
      </c>
      <c r="V75" s="39">
        <f t="shared" si="23"/>
        <v>8.7710000000000008</v>
      </c>
      <c r="W75" s="39" t="str">
        <f t="shared" si="24"/>
        <v/>
      </c>
      <c r="X75" s="39" t="str">
        <f t="shared" si="16"/>
        <v/>
      </c>
      <c r="Y75" s="39">
        <f t="shared" si="25"/>
        <v>9.3586570000000009</v>
      </c>
      <c r="AA75" s="4">
        <v>45733</v>
      </c>
      <c r="AB75" s="39">
        <f t="shared" si="18"/>
        <v>306.47083333333285</v>
      </c>
      <c r="AC75">
        <v>1</v>
      </c>
      <c r="AD75">
        <v>109.04900000000001</v>
      </c>
      <c r="AE75">
        <v>4.2999999999999997E-2</v>
      </c>
      <c r="AF75">
        <v>0</v>
      </c>
      <c r="AG75" s="45">
        <f t="shared" si="26"/>
        <v>109.04900000000001</v>
      </c>
      <c r="AH75" s="45" t="str">
        <f t="shared" si="27"/>
        <v/>
      </c>
      <c r="AI75" s="45" t="str">
        <f t="shared" si="17"/>
        <v/>
      </c>
      <c r="AJ75" s="45">
        <f t="shared" si="28"/>
        <v>116.355283</v>
      </c>
    </row>
    <row r="76" spans="1:36" ht="15" customHeight="1" x14ac:dyDescent="0.3">
      <c r="E76" s="2">
        <v>45565.431250000001</v>
      </c>
      <c r="F76" s="39">
        <f t="shared" si="19"/>
        <v>138.9020833333343</v>
      </c>
      <c r="G76">
        <v>1</v>
      </c>
      <c r="H76">
        <v>16.640999999999998</v>
      </c>
      <c r="I76">
        <v>1.456</v>
      </c>
      <c r="J76" s="68"/>
      <c r="K76" s="39">
        <f t="shared" si="20"/>
        <v>16.640999999999998</v>
      </c>
      <c r="L76" s="39">
        <f t="shared" si="21"/>
        <v>24.229295999999998</v>
      </c>
      <c r="M76" s="66"/>
      <c r="N76" s="39">
        <f t="shared" si="22"/>
        <v>54.439101143999999</v>
      </c>
      <c r="P76" s="4">
        <v>45743</v>
      </c>
      <c r="Q76" s="39">
        <f t="shared" si="29"/>
        <v>316.47083333333285</v>
      </c>
      <c r="R76" s="39">
        <v>1</v>
      </c>
      <c r="S76">
        <v>6.2530000000000001</v>
      </c>
      <c r="T76">
        <v>0.22</v>
      </c>
      <c r="U76">
        <v>1.2999999999999999E-2</v>
      </c>
      <c r="V76" s="39">
        <f t="shared" si="23"/>
        <v>6.2530000000000001</v>
      </c>
      <c r="W76" s="39" t="str">
        <f t="shared" si="24"/>
        <v/>
      </c>
      <c r="X76" s="39" t="str">
        <f t="shared" si="16"/>
        <v/>
      </c>
      <c r="Y76" s="39">
        <f t="shared" si="25"/>
        <v>6.671951</v>
      </c>
      <c r="AA76" s="4">
        <v>45736</v>
      </c>
      <c r="AB76" s="39">
        <f t="shared" si="18"/>
        <v>309.47083333333285</v>
      </c>
      <c r="AC76">
        <v>1</v>
      </c>
      <c r="AD76">
        <v>8.7420000000000009</v>
      </c>
      <c r="AE76">
        <v>0</v>
      </c>
      <c r="AF76">
        <v>0</v>
      </c>
      <c r="AG76" s="45">
        <f t="shared" si="26"/>
        <v>8.7420000000000009</v>
      </c>
      <c r="AH76" s="45" t="str">
        <f t="shared" si="27"/>
        <v/>
      </c>
      <c r="AI76" s="45" t="str">
        <f t="shared" si="17"/>
        <v/>
      </c>
      <c r="AJ76" s="45">
        <f t="shared" si="28"/>
        <v>9.3277140000000003</v>
      </c>
    </row>
    <row r="77" spans="1:36" ht="15" customHeight="1" x14ac:dyDescent="0.3">
      <c r="E77" s="2">
        <v>45566</v>
      </c>
      <c r="F77" s="39">
        <f t="shared" si="19"/>
        <v>139.47083333333285</v>
      </c>
      <c r="G77">
        <v>1</v>
      </c>
      <c r="H77">
        <v>17.292000000000002</v>
      </c>
      <c r="I77">
        <v>2.0139999999999998</v>
      </c>
      <c r="J77" s="68"/>
      <c r="K77" s="39">
        <f t="shared" si="20"/>
        <v>17.292000000000002</v>
      </c>
      <c r="L77" s="39">
        <f t="shared" si="21"/>
        <v>34.826087999999999</v>
      </c>
      <c r="M77" s="66"/>
      <c r="N77" s="39">
        <f t="shared" si="22"/>
        <v>71.177261232000006</v>
      </c>
      <c r="P77" s="4">
        <v>45747</v>
      </c>
      <c r="Q77" s="39">
        <f t="shared" si="29"/>
        <v>320.47083333333285</v>
      </c>
      <c r="R77" s="39">
        <v>1</v>
      </c>
      <c r="S77">
        <v>5.7350000000000003</v>
      </c>
      <c r="T77">
        <v>0.13400000000000001</v>
      </c>
      <c r="U77">
        <v>0</v>
      </c>
      <c r="V77" s="39">
        <f t="shared" si="23"/>
        <v>5.7350000000000003</v>
      </c>
      <c r="W77" s="39" t="str">
        <f t="shared" si="24"/>
        <v/>
      </c>
      <c r="X77" s="39" t="str">
        <f t="shared" si="16"/>
        <v/>
      </c>
      <c r="Y77" s="39">
        <f t="shared" si="25"/>
        <v>6.1192450000000003</v>
      </c>
      <c r="AA77" s="4">
        <v>45740</v>
      </c>
      <c r="AB77" s="39">
        <f t="shared" si="18"/>
        <v>313.47083333333285</v>
      </c>
      <c r="AC77">
        <v>1</v>
      </c>
      <c r="AD77">
        <v>90.408000000000001</v>
      </c>
      <c r="AE77">
        <v>0.60399999999999998</v>
      </c>
      <c r="AF77">
        <v>3.0000000000000001E-3</v>
      </c>
      <c r="AG77" s="45">
        <f t="shared" si="26"/>
        <v>90.408000000000001</v>
      </c>
      <c r="AH77" s="45">
        <f t="shared" si="27"/>
        <v>0.60399999999999998</v>
      </c>
      <c r="AI77" s="45" t="str">
        <f t="shared" si="17"/>
        <v/>
      </c>
      <c r="AJ77" s="45">
        <f t="shared" si="28"/>
        <v>96.465335999999994</v>
      </c>
    </row>
    <row r="78" spans="1:36" ht="15" customHeight="1" x14ac:dyDescent="0.3">
      <c r="E78" s="2">
        <v>45567</v>
      </c>
      <c r="F78" s="39">
        <f t="shared" si="19"/>
        <v>140.47083333333285</v>
      </c>
      <c r="G78">
        <v>1</v>
      </c>
      <c r="H78">
        <v>14.1</v>
      </c>
      <c r="I78">
        <v>4.6870000000000003</v>
      </c>
      <c r="J78" s="68"/>
      <c r="K78" s="39">
        <f t="shared" si="20"/>
        <v>14.1</v>
      </c>
      <c r="L78" s="39">
        <f t="shared" si="21"/>
        <v>66.086700000000008</v>
      </c>
      <c r="M78" s="66"/>
      <c r="N78" s="39">
        <f t="shared" si="22"/>
        <v>115.09996380000001</v>
      </c>
      <c r="P78" s="4">
        <v>45750</v>
      </c>
      <c r="Q78" s="39">
        <f t="shared" si="29"/>
        <v>323.47083333333285</v>
      </c>
      <c r="R78" s="39">
        <v>1</v>
      </c>
      <c r="S78">
        <v>6.3159999999999998</v>
      </c>
      <c r="T78">
        <v>4.0000000000000001E-3</v>
      </c>
      <c r="U78">
        <v>0</v>
      </c>
      <c r="V78" s="39">
        <f t="shared" si="23"/>
        <v>6.3159999999999998</v>
      </c>
      <c r="W78" s="39" t="str">
        <f t="shared" si="24"/>
        <v/>
      </c>
      <c r="X78" s="39" t="str">
        <f t="shared" si="16"/>
        <v/>
      </c>
      <c r="Y78" s="39">
        <f t="shared" si="25"/>
        <v>6.7391719999999999</v>
      </c>
      <c r="AA78" s="4">
        <v>45743</v>
      </c>
      <c r="AB78" s="39">
        <f t="shared" si="18"/>
        <v>316.47083333333285</v>
      </c>
      <c r="AC78">
        <v>1</v>
      </c>
      <c r="AD78">
        <v>39.002000000000002</v>
      </c>
      <c r="AE78">
        <v>0.48899999999999999</v>
      </c>
      <c r="AF78">
        <v>0</v>
      </c>
      <c r="AG78" s="45">
        <f t="shared" si="26"/>
        <v>39.002000000000002</v>
      </c>
      <c r="AH78" s="45">
        <f t="shared" si="27"/>
        <v>0.48899999999999999</v>
      </c>
      <c r="AI78" s="45" t="str">
        <f t="shared" si="17"/>
        <v/>
      </c>
      <c r="AJ78" s="45">
        <f t="shared" si="28"/>
        <v>41.615133999999998</v>
      </c>
    </row>
    <row r="79" spans="1:36" ht="15" customHeight="1" x14ac:dyDescent="0.3">
      <c r="E79" s="2">
        <v>45568.455555555556</v>
      </c>
      <c r="F79" s="39">
        <f t="shared" si="19"/>
        <v>141.92638888888905</v>
      </c>
      <c r="G79">
        <v>1</v>
      </c>
      <c r="H79">
        <v>12.412000000000001</v>
      </c>
      <c r="I79">
        <v>3.9009999999999998</v>
      </c>
      <c r="J79" s="68"/>
      <c r="K79" s="39">
        <f t="shared" si="20"/>
        <v>12.412000000000001</v>
      </c>
      <c r="L79" s="39">
        <f t="shared" si="21"/>
        <v>48.419212000000002</v>
      </c>
      <c r="M79" s="66"/>
      <c r="N79" s="39">
        <f t="shared" si="22"/>
        <v>86.550290968000013</v>
      </c>
      <c r="P79" s="4">
        <v>45754</v>
      </c>
      <c r="Q79" s="39">
        <f t="shared" si="29"/>
        <v>327.47083333333285</v>
      </c>
      <c r="R79" s="39">
        <v>1</v>
      </c>
      <c r="S79">
        <v>3.42</v>
      </c>
      <c r="T79">
        <v>0</v>
      </c>
      <c r="U79">
        <v>0</v>
      </c>
      <c r="V79" s="39">
        <f t="shared" si="23"/>
        <v>3.42</v>
      </c>
      <c r="W79" s="39" t="str">
        <f t="shared" si="24"/>
        <v/>
      </c>
      <c r="X79" s="39" t="str">
        <f t="shared" si="16"/>
        <v/>
      </c>
      <c r="Y79" s="39">
        <f t="shared" si="25"/>
        <v>3.6491399999999996</v>
      </c>
      <c r="AA79" s="4">
        <v>45747</v>
      </c>
      <c r="AB79" s="39">
        <f t="shared" si="18"/>
        <v>320.47083333333285</v>
      </c>
      <c r="AC79">
        <v>1</v>
      </c>
      <c r="AD79">
        <v>125.742</v>
      </c>
      <c r="AE79">
        <v>0.70099999999999996</v>
      </c>
      <c r="AF79">
        <v>0</v>
      </c>
      <c r="AG79" s="45">
        <f t="shared" si="26"/>
        <v>125.742</v>
      </c>
      <c r="AH79" s="45">
        <f t="shared" si="27"/>
        <v>0.70099999999999996</v>
      </c>
      <c r="AI79" s="45" t="str">
        <f t="shared" si="17"/>
        <v/>
      </c>
      <c r="AJ79" s="45">
        <f t="shared" si="28"/>
        <v>134.16671399999998</v>
      </c>
    </row>
    <row r="80" spans="1:36" ht="15" customHeight="1" x14ac:dyDescent="0.3">
      <c r="E80" s="2">
        <v>45569</v>
      </c>
      <c r="F80" s="39">
        <f t="shared" si="19"/>
        <v>142.47083333333285</v>
      </c>
      <c r="G80">
        <v>1</v>
      </c>
      <c r="H80">
        <v>10.757</v>
      </c>
      <c r="I80">
        <v>0.17199999999999999</v>
      </c>
      <c r="J80" s="68"/>
      <c r="K80" s="39">
        <f t="shared" si="20"/>
        <v>10.757</v>
      </c>
      <c r="L80" s="39" t="str">
        <f t="shared" si="21"/>
        <v/>
      </c>
      <c r="M80" s="66"/>
      <c r="N80" s="39">
        <f t="shared" si="22"/>
        <v>11.477718999999999</v>
      </c>
      <c r="P80" s="4">
        <v>45757</v>
      </c>
      <c r="Q80" s="39">
        <f t="shared" si="29"/>
        <v>330.47083333333285</v>
      </c>
      <c r="R80" s="39">
        <v>1</v>
      </c>
      <c r="S80">
        <v>7.2619999999999996</v>
      </c>
      <c r="T80">
        <v>0</v>
      </c>
      <c r="U80">
        <v>0</v>
      </c>
      <c r="V80" s="39">
        <f t="shared" si="23"/>
        <v>7.2619999999999996</v>
      </c>
      <c r="W80" s="39" t="str">
        <f t="shared" si="24"/>
        <v/>
      </c>
      <c r="X80" s="39" t="str">
        <f t="shared" si="16"/>
        <v/>
      </c>
      <c r="Y80" s="39">
        <f t="shared" si="25"/>
        <v>7.7485539999999995</v>
      </c>
      <c r="AA80" s="4">
        <v>45750</v>
      </c>
      <c r="AB80" s="39">
        <f t="shared" si="18"/>
        <v>323.47083333333285</v>
      </c>
      <c r="AC80">
        <v>1</v>
      </c>
      <c r="AD80">
        <v>21.797999999999998</v>
      </c>
      <c r="AE80">
        <v>0</v>
      </c>
      <c r="AF80">
        <v>0</v>
      </c>
      <c r="AG80" s="45">
        <f t="shared" si="26"/>
        <v>21.797999999999998</v>
      </c>
      <c r="AH80" s="45" t="str">
        <f t="shared" si="27"/>
        <v/>
      </c>
      <c r="AI80" s="45" t="str">
        <f t="shared" si="17"/>
        <v/>
      </c>
      <c r="AJ80" s="45">
        <f t="shared" si="28"/>
        <v>23.258465999999999</v>
      </c>
    </row>
    <row r="81" spans="4:36" ht="15" customHeight="1" x14ac:dyDescent="0.3">
      <c r="E81" s="2">
        <v>45572.433333333334</v>
      </c>
      <c r="F81" s="39">
        <f t="shared" si="19"/>
        <v>145.90416666666715</v>
      </c>
      <c r="G81">
        <v>1</v>
      </c>
      <c r="H81">
        <v>13.563000000000001</v>
      </c>
      <c r="I81">
        <v>2.7349999999999999</v>
      </c>
      <c r="J81" s="68"/>
      <c r="K81" s="39">
        <f t="shared" si="20"/>
        <v>13.563000000000001</v>
      </c>
      <c r="L81" s="39">
        <f t="shared" si="21"/>
        <v>37.094805000000001</v>
      </c>
      <c r="M81" s="66"/>
      <c r="N81" s="39">
        <f t="shared" si="22"/>
        <v>70.633255770000005</v>
      </c>
      <c r="Q81" s="39"/>
      <c r="R81" s="39"/>
      <c r="AA81" s="4">
        <v>45754</v>
      </c>
      <c r="AB81" s="39">
        <f t="shared" si="18"/>
        <v>327.47083333333285</v>
      </c>
      <c r="AC81">
        <v>1</v>
      </c>
      <c r="AD81">
        <v>143.124</v>
      </c>
      <c r="AE81">
        <v>0</v>
      </c>
      <c r="AF81">
        <v>0</v>
      </c>
      <c r="AG81" s="45">
        <f t="shared" si="26"/>
        <v>143.124</v>
      </c>
      <c r="AH81" s="45" t="str">
        <f t="shared" si="27"/>
        <v/>
      </c>
      <c r="AI81" s="45" t="str">
        <f t="shared" si="17"/>
        <v/>
      </c>
      <c r="AJ81" s="45">
        <f t="shared" si="28"/>
        <v>152.71330799999998</v>
      </c>
    </row>
    <row r="82" spans="4:36" ht="15" customHeight="1" x14ac:dyDescent="0.3">
      <c r="E82" s="2">
        <v>45573</v>
      </c>
      <c r="F82" s="39">
        <f t="shared" si="19"/>
        <v>146.47083333333285</v>
      </c>
      <c r="G82">
        <v>1</v>
      </c>
      <c r="H82">
        <v>17.702000000000002</v>
      </c>
      <c r="I82">
        <v>5.5629999999999997</v>
      </c>
      <c r="J82" s="68"/>
      <c r="K82" s="39">
        <f t="shared" si="20"/>
        <v>17.702000000000002</v>
      </c>
      <c r="L82" s="39">
        <f t="shared" si="21"/>
        <v>98.476226000000011</v>
      </c>
      <c r="M82" s="66"/>
      <c r="N82" s="39">
        <f t="shared" si="22"/>
        <v>167.98104016400004</v>
      </c>
      <c r="Q82" s="39"/>
      <c r="R82" s="39"/>
      <c r="AA82" s="4">
        <v>45757</v>
      </c>
      <c r="AB82" s="39">
        <f t="shared" si="18"/>
        <v>330.47083333333285</v>
      </c>
      <c r="AC82">
        <v>1</v>
      </c>
      <c r="AD82">
        <v>17.792999999999999</v>
      </c>
      <c r="AE82">
        <v>0</v>
      </c>
      <c r="AF82">
        <v>0</v>
      </c>
      <c r="AG82" s="45">
        <f t="shared" si="26"/>
        <v>17.792999999999999</v>
      </c>
      <c r="AH82" s="45" t="str">
        <f t="shared" si="27"/>
        <v/>
      </c>
      <c r="AI82" s="45" t="str">
        <f t="shared" si="17"/>
        <v/>
      </c>
      <c r="AJ82" s="45">
        <f t="shared" si="28"/>
        <v>18.985130999999999</v>
      </c>
    </row>
    <row r="83" spans="4:36" ht="15" customHeight="1" x14ac:dyDescent="0.3">
      <c r="E83" s="2">
        <v>45574</v>
      </c>
      <c r="F83" s="39">
        <f t="shared" si="19"/>
        <v>147.47083333333285</v>
      </c>
      <c r="G83">
        <v>1</v>
      </c>
      <c r="H83">
        <v>18.693000000000001</v>
      </c>
      <c r="I83">
        <v>6</v>
      </c>
      <c r="J83">
        <v>4.3129999999999997</v>
      </c>
      <c r="K83" s="39">
        <f t="shared" si="20"/>
        <v>18.693000000000001</v>
      </c>
      <c r="L83" s="39">
        <f t="shared" si="21"/>
        <v>112.15800000000002</v>
      </c>
      <c r="M83">
        <f>IF(J83&lt;$G$1,"",J83*G83)</f>
        <v>4.3129999999999997</v>
      </c>
      <c r="N83" s="39">
        <f t="shared" si="22"/>
        <v>197.59367700000004</v>
      </c>
      <c r="O83" t="s">
        <v>704</v>
      </c>
      <c r="R83" s="39"/>
      <c r="AB83" s="39"/>
    </row>
    <row r="84" spans="4:36" ht="15" customHeight="1" x14ac:dyDescent="0.3">
      <c r="E84" s="2">
        <v>45575.370833333334</v>
      </c>
      <c r="F84" s="39">
        <f t="shared" si="19"/>
        <v>148.84166666666715</v>
      </c>
      <c r="G84">
        <v>1</v>
      </c>
      <c r="H84">
        <v>16.369</v>
      </c>
      <c r="I84">
        <v>6.4820000000000002</v>
      </c>
      <c r="J84">
        <v>4.62</v>
      </c>
      <c r="K84" s="39">
        <f t="shared" si="20"/>
        <v>16.369</v>
      </c>
      <c r="L84" s="39">
        <f t="shared" si="21"/>
        <v>106.103858</v>
      </c>
      <c r="M84">
        <f t="shared" ref="M84:M147" si="30">IF(J84&lt;$G$1,"",J84*G84)</f>
        <v>4.62</v>
      </c>
      <c r="N84" s="39">
        <f t="shared" si="22"/>
        <v>186.50612401199999</v>
      </c>
      <c r="O84" s="39">
        <f>SUM(K81:L81)</f>
        <v>50.657805000000003</v>
      </c>
      <c r="R84" s="39"/>
      <c r="AB84" s="39"/>
    </row>
    <row r="85" spans="4:36" ht="15" customHeight="1" x14ac:dyDescent="0.3">
      <c r="E85" s="2">
        <v>45576</v>
      </c>
      <c r="F85" s="39">
        <f t="shared" si="19"/>
        <v>149.47083333333285</v>
      </c>
      <c r="G85">
        <v>1</v>
      </c>
      <c r="H85">
        <v>15.773</v>
      </c>
      <c r="I85">
        <v>6.4820000000000002</v>
      </c>
      <c r="J85">
        <v>0.63800000000000001</v>
      </c>
      <c r="K85" s="39">
        <f t="shared" si="20"/>
        <v>15.773</v>
      </c>
      <c r="L85" s="39">
        <f t="shared" si="21"/>
        <v>102.24058600000001</v>
      </c>
      <c r="M85">
        <f t="shared" si="30"/>
        <v>0.63800000000000001</v>
      </c>
      <c r="N85" s="39">
        <f t="shared" si="22"/>
        <v>172.78192220400001</v>
      </c>
      <c r="R85" s="39"/>
      <c r="AB85" s="39"/>
    </row>
    <row r="86" spans="4:36" ht="15" customHeight="1" x14ac:dyDescent="0.3">
      <c r="D86" s="2"/>
      <c r="E86" s="47">
        <v>45580.376388888886</v>
      </c>
      <c r="F86" s="63">
        <f t="shared" si="19"/>
        <v>153.84722222221899</v>
      </c>
      <c r="G86" s="65">
        <v>1</v>
      </c>
      <c r="H86" s="65"/>
      <c r="I86" s="65"/>
      <c r="J86" s="65"/>
      <c r="K86" s="39" t="str">
        <f t="shared" si="20"/>
        <v/>
      </c>
      <c r="L86" s="39" t="str">
        <f t="shared" si="21"/>
        <v/>
      </c>
      <c r="M86" t="str">
        <f t="shared" si="30"/>
        <v/>
      </c>
      <c r="N86" s="39"/>
      <c r="R86" s="39"/>
      <c r="AB86" s="39"/>
    </row>
    <row r="87" spans="4:36" ht="15" customHeight="1" x14ac:dyDescent="0.3">
      <c r="E87" s="2">
        <v>45581</v>
      </c>
      <c r="F87" s="39">
        <f t="shared" si="19"/>
        <v>154.47083333333285</v>
      </c>
      <c r="G87">
        <v>1</v>
      </c>
      <c r="H87">
        <v>17.757999999999999</v>
      </c>
      <c r="I87">
        <v>7.5739999999999998</v>
      </c>
      <c r="J87">
        <v>0.61</v>
      </c>
      <c r="K87" s="39">
        <f t="shared" si="20"/>
        <v>17.757999999999999</v>
      </c>
      <c r="L87" s="39">
        <f t="shared" si="21"/>
        <v>134.49909199999999</v>
      </c>
      <c r="M87">
        <f t="shared" si="30"/>
        <v>0.61</v>
      </c>
      <c r="N87" s="39">
        <f t="shared" si="22"/>
        <v>223.68839128799999</v>
      </c>
      <c r="R87" s="39"/>
    </row>
    <row r="88" spans="4:36" ht="15" customHeight="1" x14ac:dyDescent="0.3">
      <c r="E88" s="2">
        <v>45582</v>
      </c>
      <c r="F88" s="39">
        <f>E88-$C$4</f>
        <v>155.47083333333285</v>
      </c>
      <c r="G88">
        <v>1</v>
      </c>
      <c r="H88">
        <v>17.663</v>
      </c>
      <c r="I88">
        <v>8.5039999999999996</v>
      </c>
      <c r="J88">
        <v>1.1339999999999999</v>
      </c>
      <c r="K88" s="39">
        <f t="shared" si="20"/>
        <v>17.663</v>
      </c>
      <c r="L88" s="39">
        <f t="shared" si="21"/>
        <v>150.206152</v>
      </c>
      <c r="M88">
        <f t="shared" si="30"/>
        <v>1.1339999999999999</v>
      </c>
      <c r="N88" s="39">
        <f t="shared" si="22"/>
        <v>248.320147128</v>
      </c>
      <c r="R88" s="39"/>
    </row>
    <row r="89" spans="4:36" ht="15" customHeight="1" x14ac:dyDescent="0.3">
      <c r="E89" s="2">
        <v>45583</v>
      </c>
      <c r="F89" s="39">
        <f t="shared" si="19"/>
        <v>156.47083333333285</v>
      </c>
      <c r="G89">
        <v>1</v>
      </c>
      <c r="H89" s="53">
        <v>11.865</v>
      </c>
      <c r="I89" s="53">
        <v>7.9249999999999998</v>
      </c>
      <c r="J89" s="53">
        <v>0.48199999999999998</v>
      </c>
      <c r="K89" s="39">
        <f t="shared" si="20"/>
        <v>11.865</v>
      </c>
      <c r="L89" s="39">
        <f t="shared" si="21"/>
        <v>94.030124999999998</v>
      </c>
      <c r="M89">
        <f t="shared" si="30"/>
        <v>0.48199999999999998</v>
      </c>
      <c r="N89" s="39">
        <f t="shared" si="22"/>
        <v>155.89784024999997</v>
      </c>
      <c r="R89" s="39"/>
    </row>
    <row r="90" spans="4:36" ht="15" customHeight="1" x14ac:dyDescent="0.3">
      <c r="E90" s="2">
        <v>45586</v>
      </c>
      <c r="F90" s="39">
        <f t="shared" si="19"/>
        <v>159.47083333333285</v>
      </c>
      <c r="G90">
        <v>1</v>
      </c>
      <c r="H90" s="85">
        <v>6.2361880000000003</v>
      </c>
      <c r="I90" s="85">
        <v>6.5615769999999998</v>
      </c>
      <c r="J90" s="85">
        <v>1.94</v>
      </c>
      <c r="K90" s="39">
        <f t="shared" si="20"/>
        <v>6.2361880000000003</v>
      </c>
      <c r="L90" s="39">
        <f t="shared" si="21"/>
        <v>40.919227748475997</v>
      </c>
      <c r="M90">
        <f t="shared" si="30"/>
        <v>1.94</v>
      </c>
      <c r="N90" s="39">
        <f t="shared" si="22"/>
        <v>72.13264340719266</v>
      </c>
      <c r="R90" s="39"/>
    </row>
    <row r="91" spans="4:36" ht="15" customHeight="1" x14ac:dyDescent="0.3">
      <c r="E91" s="2">
        <v>45587</v>
      </c>
      <c r="F91" s="39">
        <f t="shared" si="19"/>
        <v>160.47083333333285</v>
      </c>
      <c r="G91">
        <v>1</v>
      </c>
      <c r="H91" s="85">
        <v>6.9510129999999997</v>
      </c>
      <c r="I91" s="85">
        <v>7.5285900000000003</v>
      </c>
      <c r="J91" s="85">
        <v>1.94</v>
      </c>
      <c r="K91" s="39">
        <f t="shared" si="20"/>
        <v>6.9510129999999997</v>
      </c>
      <c r="L91" s="39">
        <f t="shared" si="21"/>
        <v>52.331326961670001</v>
      </c>
      <c r="M91">
        <f t="shared" si="30"/>
        <v>1.94</v>
      </c>
      <c r="N91" s="39">
        <f t="shared" si="22"/>
        <v>90.173279890968388</v>
      </c>
    </row>
    <row r="92" spans="4:36" ht="15" customHeight="1" x14ac:dyDescent="0.3">
      <c r="E92" s="2">
        <v>45588</v>
      </c>
      <c r="F92" s="39">
        <f t="shared" si="19"/>
        <v>161.47083333333285</v>
      </c>
      <c r="G92">
        <v>1</v>
      </c>
      <c r="H92" s="85">
        <v>10.77163</v>
      </c>
      <c r="I92" s="85">
        <v>7.9241859999999997</v>
      </c>
      <c r="J92" s="85">
        <v>1.99</v>
      </c>
      <c r="K92" s="39">
        <f t="shared" si="20"/>
        <v>10.77163</v>
      </c>
      <c r="L92" s="39">
        <f t="shared" si="21"/>
        <v>85.356399643179998</v>
      </c>
      <c r="M92">
        <f t="shared" si="30"/>
        <v>1.99</v>
      </c>
      <c r="N92" s="39">
        <f t="shared" si="22"/>
        <v>144.34073826977453</v>
      </c>
    </row>
    <row r="93" spans="4:36" ht="15" customHeight="1" x14ac:dyDescent="0.3">
      <c r="E93" s="4">
        <v>45589</v>
      </c>
      <c r="F93" s="39">
        <f t="shared" si="19"/>
        <v>162.47083333333285</v>
      </c>
      <c r="G93">
        <v>1</v>
      </c>
      <c r="H93" s="85">
        <v>9.4049999999999994</v>
      </c>
      <c r="I93" s="85">
        <v>7.5679999999999996</v>
      </c>
      <c r="J93" s="85">
        <v>3.4969999999999999</v>
      </c>
      <c r="K93" s="39">
        <f t="shared" si="20"/>
        <v>9.4049999999999994</v>
      </c>
      <c r="L93" s="39">
        <f t="shared" si="21"/>
        <v>71.177039999999991</v>
      </c>
      <c r="M93">
        <f t="shared" si="30"/>
        <v>3.4969999999999999</v>
      </c>
      <c r="N93" s="39">
        <f t="shared" si="22"/>
        <v>124.15471955999999</v>
      </c>
    </row>
    <row r="94" spans="4:36" ht="15" customHeight="1" x14ac:dyDescent="0.3">
      <c r="E94" s="4">
        <v>45590</v>
      </c>
      <c r="F94" s="39">
        <f t="shared" si="19"/>
        <v>163.47083333333285</v>
      </c>
      <c r="G94">
        <v>1</v>
      </c>
      <c r="H94" s="85">
        <v>8.6859999999999999</v>
      </c>
      <c r="I94" s="85">
        <v>8.4580000000000002</v>
      </c>
      <c r="J94" s="85">
        <v>3.5409999999999999</v>
      </c>
      <c r="K94" s="39">
        <f t="shared" si="20"/>
        <v>8.6859999999999999</v>
      </c>
      <c r="L94" s="39">
        <f t="shared" si="21"/>
        <v>73.466188000000002</v>
      </c>
      <c r="M94">
        <f t="shared" si="30"/>
        <v>3.5409999999999999</v>
      </c>
      <c r="N94" s="39">
        <f t="shared" si="22"/>
        <v>126.93330863200001</v>
      </c>
    </row>
    <row r="95" spans="4:36" ht="15" customHeight="1" x14ac:dyDescent="0.3">
      <c r="E95" s="4">
        <v>45593</v>
      </c>
      <c r="F95" s="39">
        <f t="shared" si="19"/>
        <v>166.47083333333285</v>
      </c>
      <c r="G95">
        <v>1</v>
      </c>
      <c r="H95" s="53">
        <v>6.872986</v>
      </c>
      <c r="I95" s="53">
        <v>5.2652130000000001</v>
      </c>
      <c r="J95" s="85">
        <v>0.43922</v>
      </c>
      <c r="K95" s="39">
        <f t="shared" si="20"/>
        <v>6.872986</v>
      </c>
      <c r="L95" s="39">
        <f t="shared" si="21"/>
        <v>36.187735236018</v>
      </c>
      <c r="M95">
        <f t="shared" si="30"/>
        <v>0.43922</v>
      </c>
      <c r="N95" s="39">
        <f t="shared" si="22"/>
        <v>62.920209169331258</v>
      </c>
    </row>
    <row r="96" spans="4:36" ht="15" customHeight="1" x14ac:dyDescent="0.3">
      <c r="E96" s="4">
        <v>45594</v>
      </c>
      <c r="F96" s="39">
        <f t="shared" si="19"/>
        <v>167.47083333333285</v>
      </c>
      <c r="G96">
        <v>1</v>
      </c>
      <c r="H96" s="53">
        <v>15.998150000000001</v>
      </c>
      <c r="I96" s="85">
        <v>6.5805540000000002</v>
      </c>
      <c r="J96" s="85">
        <v>2.4712830000000001</v>
      </c>
      <c r="K96" s="39">
        <f t="shared" si="20"/>
        <v>15.998150000000001</v>
      </c>
      <c r="L96" s="39">
        <f t="shared" si="21"/>
        <v>105.27668997510001</v>
      </c>
      <c r="M96">
        <f t="shared" si="30"/>
        <v>2.4712830000000001</v>
      </c>
      <c r="N96" s="39">
        <f t="shared" si="22"/>
        <v>180.95172716630142</v>
      </c>
    </row>
    <row r="97" spans="5:14" ht="15" customHeight="1" x14ac:dyDescent="0.3">
      <c r="E97" s="4">
        <v>45595</v>
      </c>
      <c r="F97" s="39">
        <f t="shared" si="19"/>
        <v>168.47083333333285</v>
      </c>
      <c r="G97">
        <v>1</v>
      </c>
      <c r="H97" s="53">
        <v>22.985489999999999</v>
      </c>
      <c r="I97" s="85">
        <v>10.846019999999999</v>
      </c>
      <c r="J97" s="85">
        <v>4.4689040000000002</v>
      </c>
      <c r="K97" s="39">
        <f t="shared" si="20"/>
        <v>22.985489999999999</v>
      </c>
      <c r="L97" s="39">
        <f t="shared" si="21"/>
        <v>249.30108424979997</v>
      </c>
      <c r="M97">
        <f t="shared" si="30"/>
        <v>4.4689040000000002</v>
      </c>
      <c r="N97" s="39">
        <f t="shared" si="22"/>
        <v>410.09182685619714</v>
      </c>
    </row>
    <row r="98" spans="5:14" ht="15" customHeight="1" x14ac:dyDescent="0.3">
      <c r="E98" s="4">
        <v>45596</v>
      </c>
      <c r="F98" s="39">
        <f t="shared" si="19"/>
        <v>169.47083333333285</v>
      </c>
      <c r="G98">
        <v>1</v>
      </c>
      <c r="H98" s="53">
        <v>18.431740000000001</v>
      </c>
      <c r="I98" s="85">
        <v>11.20806</v>
      </c>
      <c r="J98" s="85">
        <v>5.1860840000000001</v>
      </c>
      <c r="K98" s="39">
        <f t="shared" si="20"/>
        <v>18.431740000000001</v>
      </c>
      <c r="L98" s="39">
        <f t="shared" si="21"/>
        <v>206.58404782440002</v>
      </c>
      <c r="M98">
        <f t="shared" si="30"/>
        <v>5.1860840000000001</v>
      </c>
      <c r="N98" s="39">
        <f t="shared" si="22"/>
        <v>341.86321569814169</v>
      </c>
    </row>
    <row r="99" spans="5:14" ht="15" customHeight="1" x14ac:dyDescent="0.3">
      <c r="E99" s="4">
        <v>45597</v>
      </c>
      <c r="F99" s="39">
        <f t="shared" si="19"/>
        <v>170.47083333333285</v>
      </c>
      <c r="G99">
        <v>1</v>
      </c>
      <c r="H99" s="53">
        <v>21.95072</v>
      </c>
      <c r="I99" s="85">
        <v>15.65035</v>
      </c>
      <c r="J99" s="85">
        <v>4.8534319999999997</v>
      </c>
      <c r="K99" s="39">
        <f t="shared" si="20"/>
        <v>21.95072</v>
      </c>
      <c r="L99" s="39">
        <f t="shared" si="21"/>
        <v>343.53645075200001</v>
      </c>
      <c r="M99">
        <f t="shared" si="30"/>
        <v>4.8534319999999997</v>
      </c>
      <c r="N99" s="39">
        <f t="shared" si="22"/>
        <v>552.35914405452797</v>
      </c>
    </row>
    <row r="100" spans="5:14" ht="15" customHeight="1" x14ac:dyDescent="0.3">
      <c r="E100" s="4">
        <v>45600</v>
      </c>
      <c r="F100" s="39">
        <f t="shared" si="19"/>
        <v>173.47083333333285</v>
      </c>
      <c r="G100">
        <v>1</v>
      </c>
      <c r="H100" s="19">
        <v>10.63288</v>
      </c>
      <c r="I100" s="19">
        <v>14.690709999999999</v>
      </c>
      <c r="J100" s="19">
        <v>1.199665</v>
      </c>
      <c r="K100" s="39">
        <f t="shared" si="20"/>
        <v>10.63288</v>
      </c>
      <c r="L100" s="39">
        <f t="shared" si="21"/>
        <v>156.2045565448</v>
      </c>
      <c r="M100">
        <f t="shared" si="30"/>
        <v>1.199665</v>
      </c>
      <c r="N100" s="39">
        <f t="shared" si="22"/>
        <v>250.0199725388272</v>
      </c>
    </row>
    <row r="101" spans="5:14" ht="15" customHeight="1" x14ac:dyDescent="0.3">
      <c r="E101" s="4">
        <v>45601</v>
      </c>
      <c r="F101" s="39">
        <f t="shared" si="19"/>
        <v>174.47083333333285</v>
      </c>
      <c r="G101">
        <v>1</v>
      </c>
      <c r="H101" s="19">
        <v>27.770720000000001</v>
      </c>
      <c r="I101" s="19">
        <v>16.21285</v>
      </c>
      <c r="J101" s="19">
        <v>1.41351</v>
      </c>
      <c r="K101" s="39">
        <f t="shared" si="20"/>
        <v>27.770720000000001</v>
      </c>
      <c r="L101" s="39">
        <f t="shared" si="21"/>
        <v>450.24251775200003</v>
      </c>
      <c r="M101">
        <f t="shared" si="30"/>
        <v>1.41351</v>
      </c>
      <c r="N101" s="39">
        <f t="shared" si="22"/>
        <v>713.86829129652813</v>
      </c>
    </row>
    <row r="102" spans="5:14" ht="15" customHeight="1" x14ac:dyDescent="0.3">
      <c r="E102" s="4">
        <v>45602</v>
      </c>
      <c r="F102" s="39">
        <f t="shared" si="19"/>
        <v>175.47083333333285</v>
      </c>
      <c r="G102">
        <v>1</v>
      </c>
      <c r="H102" s="19">
        <v>24.836970000000001</v>
      </c>
      <c r="I102" s="19">
        <v>18.784030000000001</v>
      </c>
      <c r="J102" s="19">
        <v>1.549593</v>
      </c>
      <c r="K102" s="39">
        <f t="shared" si="20"/>
        <v>24.836970000000001</v>
      </c>
      <c r="L102" s="39">
        <f t="shared" si="21"/>
        <v>466.53838958910006</v>
      </c>
      <c r="M102">
        <f t="shared" si="30"/>
        <v>1.549593</v>
      </c>
      <c r="N102" s="39">
        <f t="shared" si="22"/>
        <v>735.65732890189747</v>
      </c>
    </row>
    <row r="103" spans="5:14" ht="15" customHeight="1" x14ac:dyDescent="0.3">
      <c r="E103" s="4">
        <v>45603</v>
      </c>
      <c r="F103" s="39">
        <f t="shared" si="19"/>
        <v>176.47083333333285</v>
      </c>
      <c r="G103">
        <v>1</v>
      </c>
      <c r="H103" s="19">
        <v>14.942449999999999</v>
      </c>
      <c r="I103" s="19">
        <v>14.36314</v>
      </c>
      <c r="J103" s="19">
        <v>0.68357000000000001</v>
      </c>
      <c r="K103" s="39">
        <f t="shared" si="20"/>
        <v>14.942449999999999</v>
      </c>
      <c r="L103" s="39">
        <f t="shared" si="21"/>
        <v>214.62050129299999</v>
      </c>
      <c r="M103">
        <f t="shared" si="30"/>
        <v>0.68357000000000001</v>
      </c>
      <c r="N103" s="39">
        <f t="shared" si="22"/>
        <v>342.121763367602</v>
      </c>
    </row>
    <row r="104" spans="5:14" ht="15" customHeight="1" x14ac:dyDescent="0.3">
      <c r="E104" s="4">
        <v>45604</v>
      </c>
      <c r="F104" s="39">
        <f t="shared" si="19"/>
        <v>177.47083333333285</v>
      </c>
      <c r="G104">
        <v>1</v>
      </c>
      <c r="H104" s="19">
        <v>13.050660000000001</v>
      </c>
      <c r="I104" s="19">
        <v>15.595560000000001</v>
      </c>
      <c r="J104" s="19">
        <v>0.78334499999999996</v>
      </c>
      <c r="K104" s="39">
        <f t="shared" si="20"/>
        <v>13.050660000000001</v>
      </c>
      <c r="L104" s="39">
        <f t="shared" si="21"/>
        <v>203.53235106960003</v>
      </c>
      <c r="M104">
        <f t="shared" si="30"/>
        <v>0.78334499999999996</v>
      </c>
      <c r="N104" s="39">
        <f t="shared" si="22"/>
        <v>323.49715494937442</v>
      </c>
    </row>
    <row r="105" spans="5:14" ht="15" customHeight="1" x14ac:dyDescent="0.3">
      <c r="E105" s="4">
        <v>45607</v>
      </c>
      <c r="F105" s="39">
        <f t="shared" si="19"/>
        <v>180.47083333333285</v>
      </c>
      <c r="G105">
        <v>1</v>
      </c>
      <c r="H105" s="19">
        <v>11.0349</v>
      </c>
      <c r="I105" s="19">
        <v>15.70809</v>
      </c>
      <c r="J105" s="19">
        <v>0.50776200000000005</v>
      </c>
      <c r="K105" s="39">
        <f t="shared" si="20"/>
        <v>11.0349</v>
      </c>
      <c r="L105" s="39">
        <f t="shared" si="21"/>
        <v>173.33720234100002</v>
      </c>
      <c r="M105">
        <f t="shared" si="30"/>
        <v>0.50776200000000005</v>
      </c>
      <c r="N105" s="39">
        <f t="shared" si="22"/>
        <v>275.12987396027404</v>
      </c>
    </row>
    <row r="106" spans="5:14" ht="15" customHeight="1" x14ac:dyDescent="0.3">
      <c r="E106" s="4">
        <v>45608</v>
      </c>
      <c r="F106" s="39">
        <f t="shared" si="19"/>
        <v>181.47083333333285</v>
      </c>
      <c r="G106">
        <v>1</v>
      </c>
      <c r="H106" s="19">
        <v>12.01375</v>
      </c>
      <c r="I106" s="19">
        <v>16.485890000000001</v>
      </c>
      <c r="J106" s="19">
        <v>0.43864500000000001</v>
      </c>
      <c r="K106" s="39">
        <f t="shared" si="20"/>
        <v>12.01375</v>
      </c>
      <c r="L106" s="39">
        <f t="shared" si="21"/>
        <v>198.0573609875</v>
      </c>
      <c r="M106">
        <f t="shared" si="30"/>
        <v>0.43864500000000001</v>
      </c>
      <c r="N106" s="39">
        <f t="shared" si="22"/>
        <v>313.47497239507504</v>
      </c>
    </row>
    <row r="107" spans="5:14" ht="15" customHeight="1" x14ac:dyDescent="0.3">
      <c r="E107" s="4">
        <v>45609</v>
      </c>
      <c r="F107" s="39">
        <f t="shared" si="19"/>
        <v>182.47083333333285</v>
      </c>
      <c r="G107">
        <v>1</v>
      </c>
      <c r="H107" s="19">
        <v>11.17474</v>
      </c>
      <c r="I107" s="19">
        <v>14.28457</v>
      </c>
      <c r="J107" s="19">
        <v>0.27737200000000001</v>
      </c>
      <c r="K107" s="39">
        <f t="shared" si="20"/>
        <v>11.17474</v>
      </c>
      <c r="L107" s="39">
        <f t="shared" si="21"/>
        <v>159.6263557618</v>
      </c>
      <c r="M107" t="str">
        <f t="shared" si="30"/>
        <v/>
      </c>
      <c r="N107" s="39">
        <f t="shared" si="22"/>
        <v>11.923447579999999</v>
      </c>
    </row>
    <row r="108" spans="5:14" ht="15" customHeight="1" x14ac:dyDescent="0.3">
      <c r="E108" s="4">
        <v>45614</v>
      </c>
      <c r="F108" s="39">
        <f t="shared" si="19"/>
        <v>187.47083333333285</v>
      </c>
      <c r="G108">
        <v>1</v>
      </c>
      <c r="H108" s="19">
        <v>5.8454839999999999</v>
      </c>
      <c r="I108" s="19">
        <v>8.6337550000000007</v>
      </c>
      <c r="J108" s="19">
        <v>5.1207999999999997E-2</v>
      </c>
      <c r="K108" s="39">
        <f t="shared" si="20"/>
        <v>5.8454839999999999</v>
      </c>
      <c r="L108" s="39">
        <f t="shared" si="21"/>
        <v>50.468476712420006</v>
      </c>
      <c r="M108" t="str">
        <f t="shared" si="30"/>
        <v/>
      </c>
      <c r="N108" s="39">
        <f t="shared" si="22"/>
        <v>6.2371314279999996</v>
      </c>
    </row>
    <row r="109" spans="5:14" ht="15" customHeight="1" x14ac:dyDescent="0.3">
      <c r="E109" s="4">
        <v>45615</v>
      </c>
      <c r="F109" s="39">
        <f t="shared" si="19"/>
        <v>188.47083333333285</v>
      </c>
      <c r="G109">
        <v>1</v>
      </c>
      <c r="H109" s="19">
        <v>6.1294909999999998</v>
      </c>
      <c r="I109" s="19">
        <v>11.01027</v>
      </c>
      <c r="J109" s="19">
        <v>6.2612000000000001E-2</v>
      </c>
      <c r="K109" s="39">
        <f t="shared" si="20"/>
        <v>6.1294909999999998</v>
      </c>
      <c r="L109" s="39">
        <f t="shared" si="21"/>
        <v>67.487350872570005</v>
      </c>
      <c r="M109" t="str">
        <f t="shared" si="30"/>
        <v/>
      </c>
      <c r="N109" s="39">
        <f t="shared" si="22"/>
        <v>6.5401668969999998</v>
      </c>
    </row>
    <row r="110" spans="5:14" ht="15" customHeight="1" x14ac:dyDescent="0.3">
      <c r="E110" s="4">
        <v>45616</v>
      </c>
      <c r="F110" s="39">
        <f t="shared" si="19"/>
        <v>189.47083333333285</v>
      </c>
      <c r="G110">
        <v>1</v>
      </c>
      <c r="H110" s="19">
        <v>6.3876780000000002</v>
      </c>
      <c r="I110" s="19">
        <v>8.5192239999999995</v>
      </c>
      <c r="J110" s="19">
        <v>7.4016999999999999E-2</v>
      </c>
      <c r="K110" s="39">
        <f t="shared" si="20"/>
        <v>6.3876780000000002</v>
      </c>
      <c r="L110" s="39">
        <f t="shared" si="21"/>
        <v>54.418059721871998</v>
      </c>
      <c r="M110" t="str">
        <f t="shared" si="30"/>
        <v/>
      </c>
      <c r="N110" s="39">
        <f t="shared" si="22"/>
        <v>6.8156524259999998</v>
      </c>
    </row>
    <row r="111" spans="5:14" ht="15" customHeight="1" x14ac:dyDescent="0.3">
      <c r="E111" s="4">
        <v>45617</v>
      </c>
      <c r="F111" s="39">
        <f t="shared" si="19"/>
        <v>190.47083333333285</v>
      </c>
      <c r="G111">
        <v>1</v>
      </c>
      <c r="H111" s="19">
        <v>5.6018470000000002</v>
      </c>
      <c r="I111" s="19">
        <v>4.2418279999999999</v>
      </c>
      <c r="J111" s="19">
        <v>0.154553</v>
      </c>
      <c r="K111" s="39">
        <f t="shared" si="20"/>
        <v>5.6018470000000002</v>
      </c>
      <c r="L111" s="39">
        <f t="shared" si="21"/>
        <v>23.762071456316001</v>
      </c>
      <c r="M111" t="str">
        <f t="shared" si="30"/>
        <v/>
      </c>
      <c r="N111" s="39">
        <f t="shared" si="22"/>
        <v>5.9771707489999999</v>
      </c>
    </row>
    <row r="112" spans="5:14" ht="15" customHeight="1" x14ac:dyDescent="0.3">
      <c r="E112" s="4">
        <v>45618</v>
      </c>
      <c r="F112" s="39">
        <f t="shared" si="19"/>
        <v>191.47083333333285</v>
      </c>
      <c r="G112">
        <v>1</v>
      </c>
      <c r="H112" s="19">
        <v>7.2684249999999997</v>
      </c>
      <c r="I112" s="19">
        <v>4.6522040000000002</v>
      </c>
      <c r="J112" s="19">
        <v>0.16575699999999999</v>
      </c>
      <c r="K112" s="39">
        <f t="shared" si="20"/>
        <v>7.2684249999999997</v>
      </c>
      <c r="L112" s="39">
        <f t="shared" si="21"/>
        <v>33.814195858700003</v>
      </c>
      <c r="M112" t="str">
        <f t="shared" si="30"/>
        <v/>
      </c>
      <c r="N112" s="39">
        <f t="shared" si="22"/>
        <v>7.7554094749999996</v>
      </c>
    </row>
    <row r="113" spans="5:14" ht="15" customHeight="1" x14ac:dyDescent="0.3">
      <c r="E113" s="4">
        <v>45621</v>
      </c>
      <c r="F113" s="39">
        <f t="shared" si="19"/>
        <v>194.47083333333285</v>
      </c>
      <c r="G113">
        <v>1</v>
      </c>
      <c r="H113" s="19">
        <v>4.4438370000000003</v>
      </c>
      <c r="I113" s="19">
        <v>0.368203</v>
      </c>
      <c r="J113">
        <v>0</v>
      </c>
      <c r="K113" s="39">
        <f t="shared" si="20"/>
        <v>4.4438370000000003</v>
      </c>
      <c r="L113" s="39">
        <f t="shared" si="21"/>
        <v>1.636234114911</v>
      </c>
      <c r="M113" t="str">
        <f t="shared" si="30"/>
        <v/>
      </c>
      <c r="N113" s="39">
        <f t="shared" si="22"/>
        <v>4.7415740790000003</v>
      </c>
    </row>
    <row r="114" spans="5:14" ht="15" customHeight="1" x14ac:dyDescent="0.3">
      <c r="E114" s="4">
        <v>45622</v>
      </c>
      <c r="F114" s="39">
        <f t="shared" si="19"/>
        <v>195.47083333333285</v>
      </c>
      <c r="G114">
        <v>1</v>
      </c>
      <c r="H114" s="19">
        <v>4.8067000000000002</v>
      </c>
      <c r="I114" s="19">
        <v>0.35184199999999999</v>
      </c>
      <c r="J114">
        <v>0</v>
      </c>
      <c r="K114" s="39">
        <f t="shared" si="20"/>
        <v>4.8067000000000002</v>
      </c>
      <c r="L114" s="39">
        <f t="shared" si="21"/>
        <v>1.6911989413999999</v>
      </c>
      <c r="M114" t="str">
        <f t="shared" si="30"/>
        <v/>
      </c>
      <c r="N114" s="39">
        <f t="shared" si="22"/>
        <v>5.1287488999999997</v>
      </c>
    </row>
    <row r="115" spans="5:14" ht="15" customHeight="1" x14ac:dyDescent="0.3">
      <c r="E115" s="4">
        <v>45623</v>
      </c>
      <c r="F115" s="39">
        <f t="shared" ref="F115:F176" si="31">E115-$C$4</f>
        <v>196.47083333333285</v>
      </c>
      <c r="G115">
        <v>1</v>
      </c>
      <c r="H115" s="19">
        <v>5.4114719999999998</v>
      </c>
      <c r="I115" s="19">
        <v>0.54817700000000003</v>
      </c>
      <c r="J115">
        <v>0</v>
      </c>
      <c r="K115" s="39">
        <f t="shared" si="20"/>
        <v>5.4114719999999998</v>
      </c>
      <c r="L115" s="39">
        <f t="shared" si="21"/>
        <v>2.9664444865439998</v>
      </c>
      <c r="M115" t="str">
        <f t="shared" si="30"/>
        <v/>
      </c>
      <c r="N115" s="39">
        <f t="shared" si="22"/>
        <v>5.7740406239999995</v>
      </c>
    </row>
    <row r="116" spans="5:14" ht="15" customHeight="1" x14ac:dyDescent="0.3">
      <c r="E116" s="4">
        <v>45628</v>
      </c>
      <c r="F116" s="39">
        <f t="shared" si="31"/>
        <v>201.47083333333285</v>
      </c>
      <c r="G116">
        <v>1</v>
      </c>
      <c r="H116" s="19">
        <v>4.8611319999999996</v>
      </c>
      <c r="I116" s="19">
        <v>9.8870660000000008</v>
      </c>
      <c r="J116">
        <v>0</v>
      </c>
      <c r="K116" s="39">
        <f t="shared" si="20"/>
        <v>4.8611319999999996</v>
      </c>
      <c r="L116" s="39">
        <f t="shared" si="21"/>
        <v>48.062332918712002</v>
      </c>
      <c r="M116" t="str">
        <f t="shared" si="30"/>
        <v/>
      </c>
      <c r="N116" s="39">
        <f t="shared" si="22"/>
        <v>5.1868278439999989</v>
      </c>
    </row>
    <row r="117" spans="5:14" ht="15" customHeight="1" x14ac:dyDescent="0.3">
      <c r="E117" s="4">
        <v>45629</v>
      </c>
      <c r="F117" s="39">
        <f t="shared" si="31"/>
        <v>202.47083333333285</v>
      </c>
      <c r="G117">
        <v>1</v>
      </c>
      <c r="H117" s="19">
        <v>4.1923029999999999</v>
      </c>
      <c r="I117" s="19">
        <v>7.2066049999999997</v>
      </c>
      <c r="J117">
        <v>0</v>
      </c>
      <c r="K117" s="39">
        <f t="shared" si="20"/>
        <v>4.1923029999999999</v>
      </c>
      <c r="L117" s="39">
        <f t="shared" si="21"/>
        <v>30.212271761314998</v>
      </c>
      <c r="M117" t="str">
        <f t="shared" si="30"/>
        <v/>
      </c>
      <c r="N117" s="39">
        <f t="shared" si="22"/>
        <v>4.4731873009999994</v>
      </c>
    </row>
    <row r="118" spans="5:14" ht="15" customHeight="1" x14ac:dyDescent="0.3">
      <c r="E118" s="4">
        <v>45630</v>
      </c>
      <c r="F118" s="39">
        <f t="shared" si="31"/>
        <v>203.47083333333285</v>
      </c>
      <c r="G118">
        <v>1</v>
      </c>
      <c r="H118" s="19">
        <v>4.4063280000000002</v>
      </c>
      <c r="I118" s="19">
        <v>4.8540729999999996</v>
      </c>
      <c r="J118">
        <v>0</v>
      </c>
      <c r="K118" s="39">
        <f t="shared" si="20"/>
        <v>4.4063280000000002</v>
      </c>
      <c r="L118" s="39">
        <f t="shared" si="21"/>
        <v>21.388637773943998</v>
      </c>
      <c r="M118" t="str">
        <f t="shared" si="30"/>
        <v/>
      </c>
      <c r="N118" s="39">
        <f t="shared" si="22"/>
        <v>4.7015519760000002</v>
      </c>
    </row>
    <row r="119" spans="5:14" ht="15" customHeight="1" x14ac:dyDescent="0.3">
      <c r="E119" s="4">
        <v>45631</v>
      </c>
      <c r="F119" s="39">
        <f t="shared" si="31"/>
        <v>204.47083333333285</v>
      </c>
      <c r="G119">
        <v>1</v>
      </c>
      <c r="H119">
        <v>3.4210259418374105</v>
      </c>
      <c r="I119">
        <v>1.48710510487377</v>
      </c>
      <c r="J119">
        <v>0</v>
      </c>
      <c r="K119" s="39">
        <f t="shared" si="20"/>
        <v>3.4210259418374105</v>
      </c>
      <c r="L119" s="39">
        <f t="shared" si="21"/>
        <v>5.0874251420120098</v>
      </c>
      <c r="M119" t="str">
        <f t="shared" si="30"/>
        <v/>
      </c>
      <c r="N119" s="39">
        <f t="shared" si="22"/>
        <v>3.650234679940517</v>
      </c>
    </row>
    <row r="120" spans="5:14" ht="15" customHeight="1" x14ac:dyDescent="0.3">
      <c r="E120" s="4">
        <v>45632</v>
      </c>
      <c r="F120" s="39">
        <f t="shared" si="31"/>
        <v>205.47083333333285</v>
      </c>
      <c r="G120">
        <v>1</v>
      </c>
      <c r="H120">
        <v>5.6807630535360216</v>
      </c>
      <c r="I120">
        <v>2.9114783775087756</v>
      </c>
      <c r="J120">
        <v>0</v>
      </c>
      <c r="K120" s="39">
        <f t="shared" si="20"/>
        <v>5.6807630535360216</v>
      </c>
      <c r="L120" s="39">
        <f t="shared" si="21"/>
        <v>16.539418798120852</v>
      </c>
      <c r="M120" t="str">
        <f t="shared" si="30"/>
        <v/>
      </c>
      <c r="N120" s="39">
        <f t="shared" si="22"/>
        <v>6.0613741781229349</v>
      </c>
    </row>
    <row r="121" spans="5:14" ht="15" customHeight="1" x14ac:dyDescent="0.3">
      <c r="E121" s="4">
        <v>45635</v>
      </c>
      <c r="F121" s="39">
        <f t="shared" si="31"/>
        <v>208.47083333333285</v>
      </c>
      <c r="G121">
        <v>1</v>
      </c>
      <c r="H121">
        <v>4.4008373958265921</v>
      </c>
      <c r="I121">
        <v>0</v>
      </c>
      <c r="J121">
        <v>0</v>
      </c>
      <c r="K121" s="39">
        <f t="shared" si="20"/>
        <v>4.4008373958265921</v>
      </c>
      <c r="L121" s="39" t="str">
        <f t="shared" si="21"/>
        <v/>
      </c>
      <c r="M121" t="str">
        <f t="shared" si="30"/>
        <v/>
      </c>
      <c r="N121" s="39">
        <f t="shared" si="22"/>
        <v>4.6956935013469732</v>
      </c>
    </row>
    <row r="122" spans="5:14" ht="15" customHeight="1" x14ac:dyDescent="0.3">
      <c r="E122" s="4">
        <v>45636</v>
      </c>
      <c r="F122" s="39">
        <f t="shared" si="31"/>
        <v>209.47083333333285</v>
      </c>
      <c r="G122">
        <v>1</v>
      </c>
      <c r="H122">
        <v>9.3587826870792163</v>
      </c>
      <c r="I122">
        <v>3.5230825163687909</v>
      </c>
      <c r="J122">
        <v>0</v>
      </c>
      <c r="K122" s="39">
        <f t="shared" si="20"/>
        <v>9.3587826870792163</v>
      </c>
      <c r="L122" s="39">
        <f t="shared" si="21"/>
        <v>32.971763659343722</v>
      </c>
      <c r="M122" t="str">
        <f t="shared" si="30"/>
        <v/>
      </c>
      <c r="N122" s="39">
        <f t="shared" si="22"/>
        <v>9.9858211271135229</v>
      </c>
    </row>
    <row r="123" spans="5:14" ht="15" customHeight="1" x14ac:dyDescent="0.3">
      <c r="E123" s="4">
        <v>45637</v>
      </c>
      <c r="F123" s="39">
        <f t="shared" si="31"/>
        <v>210.47083333333285</v>
      </c>
      <c r="G123">
        <v>1</v>
      </c>
      <c r="H123">
        <v>9.0922264886247746</v>
      </c>
      <c r="I123">
        <v>3.2106085836292753</v>
      </c>
      <c r="J123">
        <v>0</v>
      </c>
      <c r="K123" s="39">
        <f t="shared" si="20"/>
        <v>9.0922264886247746</v>
      </c>
      <c r="L123" s="39">
        <f t="shared" si="21"/>
        <v>29.191580408680167</v>
      </c>
      <c r="M123" t="str">
        <f t="shared" si="30"/>
        <v/>
      </c>
      <c r="N123" s="39">
        <f t="shared" si="22"/>
        <v>9.7014056633626335</v>
      </c>
    </row>
    <row r="124" spans="5:14" ht="15" customHeight="1" x14ac:dyDescent="0.3">
      <c r="E124" s="4">
        <v>45638</v>
      </c>
      <c r="F124" s="39">
        <f t="shared" si="31"/>
        <v>211.47083333333285</v>
      </c>
      <c r="G124">
        <v>1</v>
      </c>
      <c r="H124" s="19">
        <v>3.5901239999999999</v>
      </c>
      <c r="I124" s="19">
        <v>0.62157799999999996</v>
      </c>
      <c r="J124" s="19">
        <v>0.15756800000000001</v>
      </c>
      <c r="K124" s="39">
        <f t="shared" si="20"/>
        <v>3.5901239999999999</v>
      </c>
      <c r="L124" s="39">
        <f t="shared" si="21"/>
        <v>2.2315420956719998</v>
      </c>
      <c r="M124" t="str">
        <f t="shared" si="30"/>
        <v/>
      </c>
      <c r="N124" s="39">
        <f t="shared" si="22"/>
        <v>3.8306623079999995</v>
      </c>
    </row>
    <row r="125" spans="5:14" ht="15" customHeight="1" x14ac:dyDescent="0.3">
      <c r="E125" s="4">
        <v>45639</v>
      </c>
      <c r="F125" s="39">
        <f t="shared" si="31"/>
        <v>212.47083333333285</v>
      </c>
      <c r="G125">
        <v>1</v>
      </c>
      <c r="H125" s="19">
        <v>4.4544030000000001</v>
      </c>
      <c r="I125" s="19">
        <v>1.0412779999999999</v>
      </c>
      <c r="J125" s="19">
        <v>0.132884</v>
      </c>
      <c r="K125" s="39">
        <f t="shared" si="20"/>
        <v>4.4544030000000001</v>
      </c>
      <c r="L125" s="39">
        <f t="shared" si="21"/>
        <v>4.6382718470339999</v>
      </c>
      <c r="M125" t="str">
        <f t="shared" si="30"/>
        <v/>
      </c>
      <c r="N125" s="39">
        <f t="shared" si="22"/>
        <v>4.7528480010000003</v>
      </c>
    </row>
    <row r="126" spans="5:14" ht="15" customHeight="1" x14ac:dyDescent="0.3">
      <c r="E126" s="4">
        <v>45663</v>
      </c>
      <c r="F126" s="39">
        <f t="shared" si="31"/>
        <v>236.47083333333285</v>
      </c>
      <c r="G126">
        <v>1</v>
      </c>
      <c r="H126" s="19">
        <v>2.371391</v>
      </c>
      <c r="I126" s="19">
        <v>1.461514</v>
      </c>
      <c r="J126" s="19">
        <v>1.1749229999999999</v>
      </c>
      <c r="K126" s="39">
        <f t="shared" si="20"/>
        <v>2.371391</v>
      </c>
      <c r="L126" s="39">
        <f t="shared" si="21"/>
        <v>3.465821145974</v>
      </c>
      <c r="M126">
        <f t="shared" si="30"/>
        <v>1.1749229999999999</v>
      </c>
      <c r="N126" s="39">
        <f t="shared" si="22"/>
        <v>9.9135374260046358</v>
      </c>
    </row>
    <row r="127" spans="5:14" ht="15" customHeight="1" x14ac:dyDescent="0.3">
      <c r="E127" s="4">
        <v>45664</v>
      </c>
      <c r="F127" s="39">
        <f t="shared" si="31"/>
        <v>237.47083333333285</v>
      </c>
      <c r="G127">
        <v>1</v>
      </c>
      <c r="H127" s="19">
        <v>4.4095909999999998</v>
      </c>
      <c r="I127" s="19">
        <v>2.6059160000000001</v>
      </c>
      <c r="J127" s="19">
        <v>2.1024780000000001</v>
      </c>
      <c r="K127" s="39">
        <f t="shared" si="20"/>
        <v>4.4095909999999998</v>
      </c>
      <c r="L127" s="39">
        <f t="shared" si="21"/>
        <v>11.491023740356001</v>
      </c>
      <c r="M127">
        <f t="shared" si="30"/>
        <v>2.1024780000000001</v>
      </c>
      <c r="N127" s="39">
        <f t="shared" si="22"/>
        <v>25.924748543898986</v>
      </c>
    </row>
    <row r="128" spans="5:14" ht="15" customHeight="1" x14ac:dyDescent="0.3">
      <c r="E128" s="4">
        <v>45665</v>
      </c>
      <c r="F128" s="39">
        <f t="shared" si="31"/>
        <v>238.47083333333285</v>
      </c>
      <c r="G128">
        <v>1</v>
      </c>
      <c r="H128" s="19">
        <v>3.4650590000000001</v>
      </c>
      <c r="I128" s="19">
        <v>2.075583</v>
      </c>
      <c r="J128" s="19">
        <v>1.672636</v>
      </c>
      <c r="K128" s="39">
        <f t="shared" si="20"/>
        <v>3.4650590000000001</v>
      </c>
      <c r="L128" s="39">
        <f t="shared" si="21"/>
        <v>7.1920175543970002</v>
      </c>
      <c r="M128">
        <f t="shared" si="30"/>
        <v>1.672636</v>
      </c>
      <c r="N128" s="39">
        <f t="shared" si="22"/>
        <v>17.626784778357059</v>
      </c>
    </row>
    <row r="129" spans="5:14" ht="15" customHeight="1" x14ac:dyDescent="0.3">
      <c r="E129" s="4">
        <v>45666</v>
      </c>
      <c r="F129" s="39">
        <f t="shared" si="31"/>
        <v>239.47083333333285</v>
      </c>
      <c r="G129">
        <v>1</v>
      </c>
      <c r="H129" s="19">
        <v>2.4956719999999999</v>
      </c>
      <c r="I129" s="19">
        <v>0.49854100000000001</v>
      </c>
      <c r="J129">
        <v>-0.411812389</v>
      </c>
      <c r="K129" s="39">
        <f t="shared" si="20"/>
        <v>2.4956719999999999</v>
      </c>
      <c r="L129" s="39">
        <f t="shared" si="21"/>
        <v>1.2441948145519999</v>
      </c>
      <c r="M129" t="str">
        <f t="shared" si="30"/>
        <v/>
      </c>
      <c r="N129" s="39">
        <f t="shared" si="22"/>
        <v>2.662882024</v>
      </c>
    </row>
    <row r="130" spans="5:14" ht="15" customHeight="1" x14ac:dyDescent="0.3">
      <c r="E130" s="4">
        <v>45667</v>
      </c>
      <c r="F130" s="39">
        <f t="shared" si="31"/>
        <v>240.47083333333285</v>
      </c>
      <c r="G130">
        <v>1</v>
      </c>
      <c r="H130" s="19">
        <v>4.1361739999999996</v>
      </c>
      <c r="I130" s="19">
        <v>0.72183900000000001</v>
      </c>
      <c r="J130">
        <v>-0.43584308100000002</v>
      </c>
      <c r="K130" s="39">
        <f t="shared" si="20"/>
        <v>4.1361739999999996</v>
      </c>
      <c r="L130" s="39">
        <f t="shared" si="21"/>
        <v>2.9856517039859995</v>
      </c>
      <c r="M130" t="str">
        <f t="shared" si="30"/>
        <v/>
      </c>
      <c r="N130" s="39">
        <f t="shared" si="22"/>
        <v>4.4132976579999994</v>
      </c>
    </row>
    <row r="131" spans="5:14" ht="15" customHeight="1" x14ac:dyDescent="0.3">
      <c r="E131" s="4">
        <v>45670</v>
      </c>
      <c r="F131" s="39">
        <f t="shared" si="31"/>
        <v>243.47083333333285</v>
      </c>
      <c r="G131">
        <v>1</v>
      </c>
      <c r="H131">
        <v>3.2644947834877316</v>
      </c>
      <c r="I131">
        <v>0.19317475192318112</v>
      </c>
      <c r="J131">
        <v>-0.14548514624130574</v>
      </c>
      <c r="K131" s="39">
        <f t="shared" si="20"/>
        <v>3.2644947834877316</v>
      </c>
      <c r="L131" s="39" t="str">
        <f t="shared" si="21"/>
        <v/>
      </c>
      <c r="M131" t="str">
        <f t="shared" si="30"/>
        <v/>
      </c>
      <c r="N131" s="39">
        <f t="shared" si="22"/>
        <v>3.4832159339814095</v>
      </c>
    </row>
    <row r="132" spans="5:14" ht="15" customHeight="1" x14ac:dyDescent="0.3">
      <c r="E132" s="4">
        <v>45671</v>
      </c>
      <c r="F132" s="39">
        <f t="shared" si="31"/>
        <v>244.47083333333285</v>
      </c>
      <c r="G132">
        <v>1</v>
      </c>
      <c r="H132">
        <v>3.4625208853409055</v>
      </c>
      <c r="I132">
        <v>0.27398328598004162</v>
      </c>
      <c r="J132">
        <v>-0.19771757349359262</v>
      </c>
      <c r="K132" s="39">
        <f t="shared" ref="K132:K176" si="32">IF(H132&lt;$G$1,"",G132*H132)</f>
        <v>3.4625208853409055</v>
      </c>
      <c r="L132" s="39" t="str">
        <f t="shared" ref="L132:L176" si="33">IF(I132&lt;$G$1,"",H132*I132)</f>
        <v/>
      </c>
      <c r="M132" t="str">
        <f t="shared" si="30"/>
        <v/>
      </c>
      <c r="N132" s="39">
        <f t="shared" ref="N132:N176" si="34">IFERROR(SUM(K132*$C$2,L132*$C$3,M132*$C$1),K132*$C$2)</f>
        <v>3.694509784658746</v>
      </c>
    </row>
    <row r="133" spans="5:14" ht="15" customHeight="1" x14ac:dyDescent="0.3">
      <c r="E133" s="4">
        <v>45672</v>
      </c>
      <c r="F133" s="39">
        <f t="shared" si="31"/>
        <v>245.47083333333285</v>
      </c>
      <c r="G133">
        <v>1</v>
      </c>
      <c r="H133">
        <v>3.3210736697314953</v>
      </c>
      <c r="I133">
        <v>0.25782157916866955</v>
      </c>
      <c r="J133">
        <v>-0.22383378711973606</v>
      </c>
      <c r="K133" s="39">
        <f t="shared" si="32"/>
        <v>3.3210736697314953</v>
      </c>
      <c r="L133" s="39" t="str">
        <f t="shared" si="33"/>
        <v/>
      </c>
      <c r="M133" t="str">
        <f t="shared" si="30"/>
        <v/>
      </c>
      <c r="N133" s="39">
        <f t="shared" si="34"/>
        <v>3.5435856056035053</v>
      </c>
    </row>
    <row r="134" spans="5:14" ht="15" customHeight="1" x14ac:dyDescent="0.3">
      <c r="E134" s="4">
        <v>45673</v>
      </c>
      <c r="F134" s="39">
        <f t="shared" si="31"/>
        <v>246.47083333333285</v>
      </c>
      <c r="G134">
        <v>1</v>
      </c>
      <c r="H134" s="33">
        <v>2.9150169570000002</v>
      </c>
      <c r="I134" s="33">
        <v>0.50102468700000002</v>
      </c>
      <c r="J134" s="33">
        <v>0.17299110500000001</v>
      </c>
      <c r="K134" s="39">
        <f t="shared" si="32"/>
        <v>2.9150169570000002</v>
      </c>
      <c r="L134" s="39">
        <f t="shared" si="33"/>
        <v>1.4604954584806176</v>
      </c>
      <c r="M134" t="str">
        <f t="shared" si="30"/>
        <v/>
      </c>
      <c r="N134" s="39">
        <f t="shared" si="34"/>
        <v>3.1103230931190002</v>
      </c>
    </row>
    <row r="135" spans="5:14" ht="15" customHeight="1" x14ac:dyDescent="0.3">
      <c r="E135" s="4">
        <v>45674</v>
      </c>
      <c r="F135" s="39">
        <f t="shared" si="31"/>
        <v>247.47083333333285</v>
      </c>
      <c r="G135">
        <v>1</v>
      </c>
      <c r="H135" s="33">
        <v>3.6303399409999999</v>
      </c>
      <c r="I135" s="33">
        <v>0.64586859399999996</v>
      </c>
      <c r="J135" s="33">
        <v>0.17299110500000001</v>
      </c>
      <c r="K135" s="39">
        <f t="shared" si="32"/>
        <v>3.6303399409999999</v>
      </c>
      <c r="L135" s="39">
        <f t="shared" si="33"/>
        <v>2.3447225534357128</v>
      </c>
      <c r="M135" t="str">
        <f t="shared" si="30"/>
        <v/>
      </c>
      <c r="N135" s="39">
        <f t="shared" si="34"/>
        <v>3.8735727170469998</v>
      </c>
    </row>
    <row r="136" spans="5:14" ht="15" customHeight="1" x14ac:dyDescent="0.3">
      <c r="E136" s="4">
        <v>45684</v>
      </c>
      <c r="F136" s="39">
        <f t="shared" si="31"/>
        <v>257.47083333333285</v>
      </c>
      <c r="G136">
        <v>1</v>
      </c>
      <c r="H136" s="33">
        <v>2.0562171600000001</v>
      </c>
      <c r="I136" s="33">
        <v>-1.6064256779999999</v>
      </c>
      <c r="J136" s="33">
        <v>-1.956905814</v>
      </c>
      <c r="K136" s="39">
        <f t="shared" si="32"/>
        <v>2.0562171600000001</v>
      </c>
      <c r="L136" s="39" t="str">
        <f t="shared" si="33"/>
        <v/>
      </c>
      <c r="M136" t="str">
        <f t="shared" si="30"/>
        <v/>
      </c>
      <c r="N136" s="39">
        <f t="shared" si="34"/>
        <v>2.1939837097199999</v>
      </c>
    </row>
    <row r="137" spans="5:14" ht="15" customHeight="1" x14ac:dyDescent="0.3">
      <c r="E137" s="4">
        <v>45685</v>
      </c>
      <c r="F137" s="39">
        <f t="shared" si="31"/>
        <v>258.47083333333285</v>
      </c>
      <c r="G137">
        <v>1</v>
      </c>
      <c r="H137" s="33">
        <v>2.309222755</v>
      </c>
      <c r="I137" s="33">
        <v>-1.5478522379999999</v>
      </c>
      <c r="J137" s="33">
        <v>-1.9687382449999999</v>
      </c>
      <c r="K137" s="39">
        <f t="shared" si="32"/>
        <v>2.309222755</v>
      </c>
      <c r="L137" s="39" t="str">
        <f t="shared" si="33"/>
        <v/>
      </c>
      <c r="M137" t="str">
        <f t="shared" si="30"/>
        <v/>
      </c>
      <c r="N137" s="39">
        <f t="shared" si="34"/>
        <v>2.4639406795849998</v>
      </c>
    </row>
    <row r="138" spans="5:14" ht="15" customHeight="1" x14ac:dyDescent="0.3">
      <c r="E138" s="4">
        <v>45686</v>
      </c>
      <c r="F138" s="39">
        <f t="shared" si="31"/>
        <v>259.47083333333285</v>
      </c>
      <c r="G138">
        <v>1</v>
      </c>
      <c r="H138" s="33">
        <v>2.4924493929999998</v>
      </c>
      <c r="I138" s="33">
        <v>0.32550573799999999</v>
      </c>
      <c r="J138" s="33">
        <v>0.10949107700000001</v>
      </c>
      <c r="K138" s="39">
        <f t="shared" si="32"/>
        <v>2.4924493929999998</v>
      </c>
      <c r="L138" s="39" t="str">
        <f t="shared" si="33"/>
        <v/>
      </c>
      <c r="M138" t="str">
        <f t="shared" si="30"/>
        <v/>
      </c>
      <c r="N138" s="39">
        <f t="shared" si="34"/>
        <v>2.6594435023309995</v>
      </c>
    </row>
    <row r="139" spans="5:14" ht="15" customHeight="1" x14ac:dyDescent="0.3">
      <c r="E139" s="4">
        <v>45687</v>
      </c>
      <c r="F139" s="39">
        <f t="shared" si="31"/>
        <v>260.47083333333285</v>
      </c>
      <c r="G139">
        <v>1</v>
      </c>
      <c r="H139" s="33">
        <v>2.8020151539999998</v>
      </c>
      <c r="I139" s="33">
        <v>0.355290571</v>
      </c>
      <c r="J139" s="33">
        <v>8.5446280999999999E-2</v>
      </c>
      <c r="K139" s="39">
        <f t="shared" si="32"/>
        <v>2.8020151539999998</v>
      </c>
      <c r="L139" s="39">
        <f t="shared" si="33"/>
        <v>0.9955295640153129</v>
      </c>
      <c r="M139" t="str">
        <f t="shared" si="30"/>
        <v/>
      </c>
      <c r="N139" s="39">
        <f t="shared" si="34"/>
        <v>2.9897501693179995</v>
      </c>
    </row>
    <row r="140" spans="5:14" ht="15" customHeight="1" x14ac:dyDescent="0.3">
      <c r="E140" s="4">
        <v>45688</v>
      </c>
      <c r="F140" s="39">
        <f t="shared" si="31"/>
        <v>261.47083333333285</v>
      </c>
      <c r="G140">
        <v>1</v>
      </c>
      <c r="H140" s="33">
        <v>2.8278123000000002</v>
      </c>
      <c r="I140" s="33">
        <v>0.28082848799999999</v>
      </c>
      <c r="J140" s="33">
        <v>7.3423883999999995E-2</v>
      </c>
      <c r="K140" s="39">
        <f t="shared" si="32"/>
        <v>2.8278123000000002</v>
      </c>
      <c r="L140" s="39" t="str">
        <f t="shared" si="33"/>
        <v/>
      </c>
      <c r="M140" t="str">
        <f t="shared" si="30"/>
        <v/>
      </c>
      <c r="N140" s="39">
        <f t="shared" si="34"/>
        <v>3.0172757241000001</v>
      </c>
    </row>
    <row r="141" spans="5:14" ht="15" customHeight="1" x14ac:dyDescent="0.3">
      <c r="E141" s="4">
        <v>45691</v>
      </c>
      <c r="F141" s="39">
        <f t="shared" si="31"/>
        <v>264.47083333333285</v>
      </c>
      <c r="G141">
        <v>1</v>
      </c>
      <c r="H141" s="33">
        <v>2.8115286940000002</v>
      </c>
      <c r="I141" s="33">
        <v>0.78145140999999996</v>
      </c>
      <c r="J141" s="33">
        <v>0.57528916399999996</v>
      </c>
      <c r="K141" s="39">
        <f t="shared" si="32"/>
        <v>2.8115286940000002</v>
      </c>
      <c r="L141" s="39">
        <f t="shared" si="33"/>
        <v>2.1970730621817585</v>
      </c>
      <c r="M141">
        <f t="shared" si="30"/>
        <v>0.57528916399999996</v>
      </c>
      <c r="N141" s="39">
        <f t="shared" si="34"/>
        <v>7.3721454327931824</v>
      </c>
    </row>
    <row r="142" spans="5:14" ht="15" customHeight="1" x14ac:dyDescent="0.3">
      <c r="E142" s="4">
        <v>45692</v>
      </c>
      <c r="F142" s="39">
        <f t="shared" si="31"/>
        <v>265.47083333333285</v>
      </c>
      <c r="G142">
        <v>1</v>
      </c>
      <c r="H142" s="33">
        <v>2.456569789</v>
      </c>
      <c r="I142" s="33">
        <v>0.63823399999999997</v>
      </c>
      <c r="J142" s="33">
        <v>0.47191804199999998</v>
      </c>
      <c r="K142" s="39">
        <f t="shared" si="32"/>
        <v>2.456569789</v>
      </c>
      <c r="L142" s="39">
        <f t="shared" si="33"/>
        <v>1.5678663627126259</v>
      </c>
      <c r="M142">
        <f t="shared" si="30"/>
        <v>0.47191804199999998</v>
      </c>
      <c r="N142" s="39">
        <f t="shared" si="34"/>
        <v>5.8528566383659149</v>
      </c>
    </row>
    <row r="143" spans="5:14" ht="15" customHeight="1" x14ac:dyDescent="0.3">
      <c r="E143" s="4">
        <v>45693</v>
      </c>
      <c r="F143" s="39">
        <f t="shared" si="31"/>
        <v>266.47083333333285</v>
      </c>
      <c r="G143">
        <v>1</v>
      </c>
      <c r="H143" s="33">
        <v>2.7861744869999998</v>
      </c>
      <c r="I143" s="33">
        <v>0.65255574100000002</v>
      </c>
      <c r="J143" s="33">
        <v>0.47191804199999998</v>
      </c>
      <c r="K143" s="39">
        <f t="shared" si="32"/>
        <v>2.7861744869999998</v>
      </c>
      <c r="L143" s="39">
        <f t="shared" si="33"/>
        <v>1.8181341569195799</v>
      </c>
      <c r="M143">
        <f t="shared" si="30"/>
        <v>0.47191804199999998</v>
      </c>
      <c r="N143" s="39">
        <f t="shared" si="34"/>
        <v>6.5834502915612427</v>
      </c>
    </row>
    <row r="144" spans="5:14" ht="15" customHeight="1" x14ac:dyDescent="0.3">
      <c r="E144" s="4">
        <v>45694</v>
      </c>
      <c r="F144" s="39">
        <f t="shared" si="31"/>
        <v>267.47083333333285</v>
      </c>
      <c r="G144">
        <v>1</v>
      </c>
      <c r="H144" s="33">
        <v>2.6671924040000001</v>
      </c>
      <c r="I144" s="33">
        <v>-1.292015511</v>
      </c>
      <c r="J144" s="33">
        <v>-1.5260776709999999</v>
      </c>
      <c r="K144" s="39">
        <f t="shared" si="32"/>
        <v>2.6671924040000001</v>
      </c>
      <c r="L144" s="39" t="str">
        <f t="shared" si="33"/>
        <v/>
      </c>
      <c r="M144" t="str">
        <f t="shared" si="30"/>
        <v/>
      </c>
      <c r="N144" s="39">
        <f t="shared" si="34"/>
        <v>2.8458942950680002</v>
      </c>
    </row>
    <row r="145" spans="5:14" ht="15" customHeight="1" x14ac:dyDescent="0.3">
      <c r="E145" s="4">
        <v>45695</v>
      </c>
      <c r="F145" s="39">
        <f t="shared" si="31"/>
        <v>268.47083333333285</v>
      </c>
      <c r="G145">
        <v>1</v>
      </c>
      <c r="H145" s="33">
        <v>2.2318385350000001</v>
      </c>
      <c r="I145" s="33">
        <v>-1.3530421340000001</v>
      </c>
      <c r="J145" s="33">
        <v>-1.5630957780000001</v>
      </c>
      <c r="K145" s="39">
        <f t="shared" si="32"/>
        <v>2.2318385350000001</v>
      </c>
      <c r="L145" s="39" t="str">
        <f t="shared" si="33"/>
        <v/>
      </c>
      <c r="M145" t="str">
        <f t="shared" si="30"/>
        <v/>
      </c>
      <c r="N145" s="39">
        <f t="shared" si="34"/>
        <v>2.3813717168449999</v>
      </c>
    </row>
    <row r="146" spans="5:14" ht="15" customHeight="1" x14ac:dyDescent="0.3">
      <c r="E146" s="4">
        <v>45698</v>
      </c>
      <c r="F146" s="39">
        <f t="shared" si="31"/>
        <v>271.47083333333285</v>
      </c>
      <c r="G146">
        <v>1</v>
      </c>
      <c r="H146" s="33">
        <v>1.9188567320000001</v>
      </c>
      <c r="I146" s="33">
        <v>-0.20308019799999999</v>
      </c>
      <c r="J146" s="33">
        <v>-0.32844318500000003</v>
      </c>
      <c r="K146" s="39">
        <f t="shared" si="32"/>
        <v>1.9188567320000001</v>
      </c>
      <c r="L146" s="39" t="str">
        <f t="shared" si="33"/>
        <v/>
      </c>
      <c r="M146" t="str">
        <f t="shared" si="30"/>
        <v/>
      </c>
      <c r="N146" s="39">
        <f t="shared" si="34"/>
        <v>2.0474201330440001</v>
      </c>
    </row>
    <row r="147" spans="5:14" ht="15" customHeight="1" x14ac:dyDescent="0.3">
      <c r="E147" s="4">
        <v>45699</v>
      </c>
      <c r="F147" s="39">
        <f t="shared" si="31"/>
        <v>272.47083333333285</v>
      </c>
      <c r="G147">
        <v>1</v>
      </c>
      <c r="H147" s="33">
        <v>2.0881459389999999</v>
      </c>
      <c r="I147" s="33">
        <v>-0.121814704</v>
      </c>
      <c r="J147" s="33">
        <v>-0.32844318500000003</v>
      </c>
      <c r="K147" s="39">
        <f t="shared" si="32"/>
        <v>2.0881459389999999</v>
      </c>
      <c r="L147" s="39" t="str">
        <f t="shared" si="33"/>
        <v/>
      </c>
      <c r="M147" t="str">
        <f t="shared" si="30"/>
        <v/>
      </c>
      <c r="N147" s="39">
        <f t="shared" si="34"/>
        <v>2.2280517169129999</v>
      </c>
    </row>
    <row r="148" spans="5:14" ht="15" customHeight="1" x14ac:dyDescent="0.3">
      <c r="E148" s="4">
        <v>45700</v>
      </c>
      <c r="F148" s="39">
        <f t="shared" si="31"/>
        <v>273.47083333333285</v>
      </c>
      <c r="G148">
        <v>1</v>
      </c>
      <c r="H148" s="33">
        <v>1.7495675260000001</v>
      </c>
      <c r="I148" s="33">
        <v>-0.235586395</v>
      </c>
      <c r="J148" s="33">
        <v>-0.35485217400000002</v>
      </c>
      <c r="K148" s="39">
        <f t="shared" si="32"/>
        <v>1.7495675260000001</v>
      </c>
      <c r="L148" s="39" t="str">
        <f t="shared" si="33"/>
        <v/>
      </c>
      <c r="M148" t="str">
        <f t="shared" ref="M148:M176" si="35">IF(J148&lt;$G$1,"",J148*G148)</f>
        <v/>
      </c>
      <c r="N148" s="39">
        <f t="shared" si="34"/>
        <v>1.8667885502420001</v>
      </c>
    </row>
    <row r="149" spans="5:14" ht="15" customHeight="1" x14ac:dyDescent="0.3">
      <c r="E149" s="4">
        <v>45701</v>
      </c>
      <c r="F149" s="39">
        <f t="shared" si="31"/>
        <v>274.47083333333285</v>
      </c>
      <c r="G149">
        <v>1</v>
      </c>
      <c r="H149" s="33">
        <v>1.862426997</v>
      </c>
      <c r="I149" s="33">
        <v>-0.20308019799999999</v>
      </c>
      <c r="J149" s="33">
        <v>-0.32844318500000003</v>
      </c>
      <c r="K149" s="39">
        <f t="shared" si="32"/>
        <v>1.862426997</v>
      </c>
      <c r="L149" s="39" t="str">
        <f t="shared" si="33"/>
        <v/>
      </c>
      <c r="M149" t="str">
        <f t="shared" si="35"/>
        <v/>
      </c>
      <c r="N149" s="39">
        <f t="shared" si="34"/>
        <v>1.9872096057989999</v>
      </c>
    </row>
    <row r="150" spans="5:14" ht="15" customHeight="1" x14ac:dyDescent="0.3">
      <c r="E150" s="4">
        <v>45702</v>
      </c>
      <c r="F150" s="39">
        <f t="shared" si="31"/>
        <v>275.47083333333285</v>
      </c>
      <c r="G150">
        <v>1</v>
      </c>
      <c r="H150" s="33">
        <v>1.778710316</v>
      </c>
      <c r="I150" s="33">
        <v>-4.5845218E-2</v>
      </c>
      <c r="J150" s="33">
        <v>-0.198854167</v>
      </c>
      <c r="K150" s="39">
        <f t="shared" si="32"/>
        <v>1.778710316</v>
      </c>
      <c r="L150" s="39" t="str">
        <f t="shared" si="33"/>
        <v/>
      </c>
      <c r="M150" t="str">
        <f t="shared" si="35"/>
        <v/>
      </c>
      <c r="N150" s="39">
        <f t="shared" si="34"/>
        <v>1.897883907172</v>
      </c>
    </row>
    <row r="151" spans="5:14" ht="15" customHeight="1" x14ac:dyDescent="0.3">
      <c r="E151" s="4">
        <v>45705</v>
      </c>
      <c r="F151" s="39">
        <f t="shared" si="31"/>
        <v>278.47083333333285</v>
      </c>
      <c r="G151">
        <v>1</v>
      </c>
      <c r="H151" s="33">
        <v>2.5723051579999998</v>
      </c>
      <c r="I151" s="33">
        <v>0.36779538099999998</v>
      </c>
      <c r="J151" s="33">
        <v>0.273957385</v>
      </c>
      <c r="K151" s="39">
        <f t="shared" si="32"/>
        <v>2.5723051579999998</v>
      </c>
      <c r="L151" s="39">
        <f t="shared" si="33"/>
        <v>0.94608195563487507</v>
      </c>
      <c r="M151" t="str">
        <f t="shared" si="35"/>
        <v/>
      </c>
      <c r="N151" s="39">
        <f t="shared" si="34"/>
        <v>2.7446496035859997</v>
      </c>
    </row>
    <row r="152" spans="5:14" ht="15" customHeight="1" x14ac:dyDescent="0.3">
      <c r="E152" s="4">
        <v>45706</v>
      </c>
      <c r="F152" s="39">
        <f t="shared" si="31"/>
        <v>279.47083333333285</v>
      </c>
      <c r="G152">
        <v>1</v>
      </c>
      <c r="H152" s="33">
        <v>2.4526597560000001</v>
      </c>
      <c r="I152" s="33">
        <v>0.28133467400000001</v>
      </c>
      <c r="J152" s="33">
        <v>0.20487883700000001</v>
      </c>
      <c r="K152" s="39">
        <f t="shared" si="32"/>
        <v>2.4526597560000001</v>
      </c>
      <c r="L152" s="39" t="str">
        <f t="shared" si="33"/>
        <v/>
      </c>
      <c r="M152" t="str">
        <f t="shared" si="35"/>
        <v/>
      </c>
      <c r="N152" s="39">
        <f t="shared" si="34"/>
        <v>2.616987959652</v>
      </c>
    </row>
    <row r="153" spans="5:14" ht="15" customHeight="1" x14ac:dyDescent="0.3">
      <c r="E153" s="4">
        <v>45707</v>
      </c>
      <c r="F153" s="39">
        <f t="shared" si="31"/>
        <v>280.47083333333285</v>
      </c>
      <c r="G153">
        <v>1</v>
      </c>
      <c r="H153" s="33">
        <v>2.273191653</v>
      </c>
      <c r="I153" s="33">
        <v>0.229458249</v>
      </c>
      <c r="J153" s="33">
        <v>0.16343170800000001</v>
      </c>
      <c r="K153" s="39">
        <f t="shared" si="32"/>
        <v>2.273191653</v>
      </c>
      <c r="L153" s="39" t="str">
        <f t="shared" si="33"/>
        <v/>
      </c>
      <c r="M153" t="str">
        <f t="shared" si="35"/>
        <v/>
      </c>
      <c r="N153" s="39">
        <f t="shared" si="34"/>
        <v>2.4254954937509998</v>
      </c>
    </row>
    <row r="154" spans="5:14" ht="15" customHeight="1" x14ac:dyDescent="0.3">
      <c r="E154" s="4">
        <v>45708</v>
      </c>
      <c r="F154" s="39">
        <f t="shared" si="31"/>
        <v>281.47083333333285</v>
      </c>
      <c r="G154">
        <v>1</v>
      </c>
      <c r="H154" s="33">
        <v>2.1335906809999998</v>
      </c>
      <c r="I154" s="33">
        <v>-1.2917541370000001</v>
      </c>
      <c r="J154" s="33">
        <v>-1.374036408</v>
      </c>
      <c r="K154" s="39">
        <f t="shared" si="32"/>
        <v>2.1335906809999998</v>
      </c>
      <c r="L154" s="39" t="str">
        <f t="shared" si="33"/>
        <v/>
      </c>
      <c r="M154" t="str">
        <f t="shared" si="35"/>
        <v/>
      </c>
      <c r="N154" s="39">
        <f t="shared" si="34"/>
        <v>2.2765412566269996</v>
      </c>
    </row>
    <row r="155" spans="5:14" ht="15" customHeight="1" x14ac:dyDescent="0.3">
      <c r="E155" s="4">
        <v>45709</v>
      </c>
      <c r="F155" s="39">
        <f t="shared" si="31"/>
        <v>282.47083333333285</v>
      </c>
      <c r="G155">
        <v>1</v>
      </c>
      <c r="H155" s="33">
        <v>2.5332534010000001</v>
      </c>
      <c r="I155" s="33">
        <v>-1.309644655</v>
      </c>
      <c r="J155" s="33">
        <v>-1.3452146380000001</v>
      </c>
      <c r="K155" s="39">
        <f t="shared" si="32"/>
        <v>2.5332534010000001</v>
      </c>
      <c r="L155" s="39" t="str">
        <f t="shared" si="33"/>
        <v/>
      </c>
      <c r="M155" t="str">
        <f t="shared" si="35"/>
        <v/>
      </c>
      <c r="N155" s="39">
        <f t="shared" si="34"/>
        <v>2.7029813788669999</v>
      </c>
    </row>
    <row r="156" spans="5:14" ht="15" customHeight="1" x14ac:dyDescent="0.3">
      <c r="E156" s="4">
        <v>45712</v>
      </c>
      <c r="F156" s="39">
        <f t="shared" si="31"/>
        <v>285.47083333333285</v>
      </c>
      <c r="G156">
        <v>1</v>
      </c>
      <c r="H156">
        <v>3.4540000000000002</v>
      </c>
      <c r="I156">
        <v>1.08</v>
      </c>
      <c r="J156">
        <v>1.179</v>
      </c>
      <c r="K156" s="39">
        <f t="shared" si="32"/>
        <v>3.4540000000000002</v>
      </c>
      <c r="L156" s="39">
        <f t="shared" si="33"/>
        <v>3.7303200000000003</v>
      </c>
      <c r="M156">
        <f t="shared" si="35"/>
        <v>1.179</v>
      </c>
      <c r="N156" s="39">
        <f t="shared" si="34"/>
        <v>11.476544480000001</v>
      </c>
    </row>
    <row r="157" spans="5:14" ht="15" customHeight="1" x14ac:dyDescent="0.3">
      <c r="E157" s="4">
        <v>45713</v>
      </c>
      <c r="F157" s="39">
        <f t="shared" si="31"/>
        <v>286.47083333333285</v>
      </c>
      <c r="G157">
        <v>1</v>
      </c>
      <c r="H157">
        <v>4.7300000000000004</v>
      </c>
      <c r="I157">
        <v>1.1579999999999999</v>
      </c>
      <c r="J157">
        <v>1.1759999999999999</v>
      </c>
      <c r="K157" s="39">
        <f t="shared" si="32"/>
        <v>4.7300000000000004</v>
      </c>
      <c r="L157" s="39">
        <f t="shared" si="33"/>
        <v>5.4773399999999999</v>
      </c>
      <c r="M157">
        <f t="shared" si="35"/>
        <v>1.1759999999999999</v>
      </c>
      <c r="N157" s="39">
        <f t="shared" si="34"/>
        <v>15.477570759999999</v>
      </c>
    </row>
    <row r="158" spans="5:14" ht="15" customHeight="1" x14ac:dyDescent="0.3">
      <c r="E158" s="4">
        <v>45714</v>
      </c>
      <c r="F158" s="39">
        <f t="shared" si="31"/>
        <v>287.47083333333285</v>
      </c>
      <c r="G158">
        <v>1</v>
      </c>
      <c r="H158">
        <v>3.8010000000000002</v>
      </c>
      <c r="I158">
        <v>1.0860000000000001</v>
      </c>
      <c r="J158">
        <v>1.175</v>
      </c>
      <c r="K158" s="39">
        <f t="shared" si="32"/>
        <v>3.8010000000000002</v>
      </c>
      <c r="L158" s="39">
        <f t="shared" si="33"/>
        <v>4.1278860000000002</v>
      </c>
      <c r="M158">
        <f t="shared" si="35"/>
        <v>1.175</v>
      </c>
      <c r="N158" s="39">
        <f t="shared" si="34"/>
        <v>12.441436404000001</v>
      </c>
    </row>
    <row r="159" spans="5:14" ht="15" customHeight="1" x14ac:dyDescent="0.3">
      <c r="E159" s="4">
        <v>45715</v>
      </c>
      <c r="F159" s="39">
        <f t="shared" si="31"/>
        <v>288.47083333333285</v>
      </c>
      <c r="G159">
        <v>1</v>
      </c>
      <c r="H159">
        <v>3.6669999999999998</v>
      </c>
      <c r="I159">
        <v>1.35</v>
      </c>
      <c r="J159">
        <v>1.486</v>
      </c>
      <c r="K159" s="39">
        <f t="shared" si="32"/>
        <v>3.6669999999999998</v>
      </c>
      <c r="L159" s="39">
        <f t="shared" si="33"/>
        <v>4.95045</v>
      </c>
      <c r="M159">
        <f t="shared" si="35"/>
        <v>1.486</v>
      </c>
      <c r="N159" s="39">
        <f t="shared" si="34"/>
        <v>14.1092183</v>
      </c>
    </row>
    <row r="160" spans="5:14" ht="15" customHeight="1" x14ac:dyDescent="0.3">
      <c r="E160" s="4">
        <v>45716</v>
      </c>
      <c r="F160" s="39">
        <f t="shared" si="31"/>
        <v>289.47083333333285</v>
      </c>
      <c r="G160">
        <v>1</v>
      </c>
      <c r="H160">
        <v>3.4940000000000002</v>
      </c>
      <c r="I160">
        <v>1.3089999999999999</v>
      </c>
      <c r="J160">
        <v>1.4690000000000001</v>
      </c>
      <c r="K160" s="39">
        <f t="shared" si="32"/>
        <v>3.4940000000000002</v>
      </c>
      <c r="L160" s="39">
        <f t="shared" si="33"/>
        <v>4.5736460000000001</v>
      </c>
      <c r="M160">
        <f t="shared" si="35"/>
        <v>1.4690000000000001</v>
      </c>
      <c r="N160" s="39">
        <f t="shared" si="34"/>
        <v>13.323240044000002</v>
      </c>
    </row>
    <row r="161" spans="5:14" ht="15" customHeight="1" x14ac:dyDescent="0.3">
      <c r="E161" s="4">
        <v>45719</v>
      </c>
      <c r="F161" s="39">
        <f t="shared" si="31"/>
        <v>292.47083333333285</v>
      </c>
      <c r="G161">
        <v>1</v>
      </c>
      <c r="H161">
        <v>3.3210000000000002</v>
      </c>
      <c r="I161">
        <v>0.57199999999999995</v>
      </c>
      <c r="J161">
        <v>0.64400000000000002</v>
      </c>
      <c r="K161" s="39">
        <f t="shared" si="32"/>
        <v>3.3210000000000002</v>
      </c>
      <c r="L161" s="39">
        <f t="shared" si="33"/>
        <v>1.8996119999999999</v>
      </c>
      <c r="M161">
        <f t="shared" si="35"/>
        <v>0.64400000000000002</v>
      </c>
      <c r="N161" s="39">
        <f t="shared" si="34"/>
        <v>7.5903115680000006</v>
      </c>
    </row>
    <row r="162" spans="5:14" ht="15" customHeight="1" x14ac:dyDescent="0.3">
      <c r="E162" s="4">
        <v>45720</v>
      </c>
      <c r="F162" s="39">
        <f t="shared" si="31"/>
        <v>293.47083333333285</v>
      </c>
      <c r="G162">
        <v>1</v>
      </c>
      <c r="H162">
        <v>3.899</v>
      </c>
      <c r="I162">
        <v>0.98899999999999999</v>
      </c>
      <c r="J162">
        <v>0.502</v>
      </c>
      <c r="K162" s="39">
        <f t="shared" si="32"/>
        <v>3.899</v>
      </c>
      <c r="L162" s="39">
        <f t="shared" si="33"/>
        <v>3.8561109999999998</v>
      </c>
      <c r="M162">
        <f t="shared" si="35"/>
        <v>0.502</v>
      </c>
      <c r="N162" s="39">
        <f t="shared" si="34"/>
        <v>10.911021053999999</v>
      </c>
    </row>
    <row r="163" spans="5:14" ht="15" customHeight="1" x14ac:dyDescent="0.3">
      <c r="E163" s="4">
        <v>45721</v>
      </c>
      <c r="F163" s="39">
        <f t="shared" si="31"/>
        <v>294.47083333333285</v>
      </c>
      <c r="G163">
        <v>1</v>
      </c>
      <c r="H163">
        <v>4.5629999999999997</v>
      </c>
      <c r="I163">
        <v>0.96499999999999997</v>
      </c>
      <c r="J163">
        <v>0.47599999999999998</v>
      </c>
      <c r="K163" s="39">
        <f t="shared" si="32"/>
        <v>4.5629999999999997</v>
      </c>
      <c r="L163" s="39">
        <f t="shared" si="33"/>
        <v>4.403295</v>
      </c>
      <c r="M163">
        <f t="shared" si="35"/>
        <v>0.47599999999999998</v>
      </c>
      <c r="N163" s="39">
        <f t="shared" si="34"/>
        <v>12.400677630000001</v>
      </c>
    </row>
    <row r="164" spans="5:14" ht="15" customHeight="1" x14ac:dyDescent="0.3">
      <c r="E164" s="4">
        <v>45726</v>
      </c>
      <c r="F164" s="39">
        <f t="shared" si="31"/>
        <v>299.47083333333285</v>
      </c>
      <c r="G164">
        <v>1</v>
      </c>
      <c r="H164">
        <v>5.4020000000000001</v>
      </c>
      <c r="I164">
        <v>2.1890000000000001</v>
      </c>
      <c r="J164">
        <v>2.2189999999999999</v>
      </c>
      <c r="K164" s="39">
        <f t="shared" si="32"/>
        <v>5.4020000000000001</v>
      </c>
      <c r="L164" s="39">
        <f t="shared" si="33"/>
        <v>11.824978</v>
      </c>
      <c r="M164">
        <f t="shared" si="35"/>
        <v>2.2189999999999999</v>
      </c>
      <c r="N164" s="39">
        <f t="shared" si="34"/>
        <v>27.701092692</v>
      </c>
    </row>
    <row r="165" spans="5:14" ht="15" customHeight="1" x14ac:dyDescent="0.3">
      <c r="E165" s="4">
        <v>45727</v>
      </c>
      <c r="F165" s="39">
        <f t="shared" si="31"/>
        <v>300.47083333333285</v>
      </c>
      <c r="G165">
        <v>1</v>
      </c>
      <c r="H165">
        <v>5.2830000000000004</v>
      </c>
      <c r="I165">
        <v>1.994</v>
      </c>
      <c r="J165">
        <v>2.1059999999999999</v>
      </c>
      <c r="K165" s="39">
        <f t="shared" si="32"/>
        <v>5.2830000000000004</v>
      </c>
      <c r="L165" s="39">
        <f t="shared" si="33"/>
        <v>10.534302</v>
      </c>
      <c r="M165">
        <f t="shared" si="35"/>
        <v>2.1059999999999999</v>
      </c>
      <c r="N165" s="39">
        <f t="shared" si="34"/>
        <v>25.414602228</v>
      </c>
    </row>
    <row r="166" spans="5:14" ht="15" customHeight="1" x14ac:dyDescent="0.3">
      <c r="E166" s="4">
        <v>45728</v>
      </c>
      <c r="F166" s="39">
        <f t="shared" si="31"/>
        <v>301.47083333333285</v>
      </c>
      <c r="G166">
        <v>1</v>
      </c>
      <c r="H166">
        <v>5.1390000000000002</v>
      </c>
      <c r="I166">
        <v>1.99</v>
      </c>
      <c r="J166">
        <v>2.0779999999999998</v>
      </c>
      <c r="K166" s="39">
        <f t="shared" si="32"/>
        <v>5.1390000000000002</v>
      </c>
      <c r="L166" s="39">
        <f t="shared" si="33"/>
        <v>10.226610000000001</v>
      </c>
      <c r="M166">
        <f t="shared" si="35"/>
        <v>2.0779999999999998</v>
      </c>
      <c r="N166" s="39">
        <f t="shared" si="34"/>
        <v>24.744204540000002</v>
      </c>
    </row>
    <row r="167" spans="5:14" ht="15" customHeight="1" x14ac:dyDescent="0.3">
      <c r="E167" s="4">
        <v>45729</v>
      </c>
      <c r="F167" s="39">
        <f t="shared" si="31"/>
        <v>302.47083333333285</v>
      </c>
      <c r="G167">
        <v>1</v>
      </c>
      <c r="H167">
        <v>5.5570000000000004</v>
      </c>
      <c r="I167">
        <v>1.617</v>
      </c>
      <c r="J167">
        <v>1.4079999999999999</v>
      </c>
      <c r="K167" s="39">
        <f t="shared" si="32"/>
        <v>5.5570000000000004</v>
      </c>
      <c r="L167" s="39">
        <f t="shared" si="33"/>
        <v>8.9856690000000015</v>
      </c>
      <c r="M167">
        <f t="shared" si="35"/>
        <v>1.4079999999999999</v>
      </c>
      <c r="N167" s="39">
        <f t="shared" si="34"/>
        <v>22.093365866000003</v>
      </c>
    </row>
    <row r="168" spans="5:14" ht="15" customHeight="1" x14ac:dyDescent="0.3">
      <c r="E168" s="4">
        <v>45730</v>
      </c>
      <c r="F168" s="39">
        <f t="shared" si="31"/>
        <v>303.47083333333285</v>
      </c>
      <c r="G168">
        <v>1</v>
      </c>
      <c r="H168">
        <v>5.827</v>
      </c>
      <c r="I168">
        <v>1.571</v>
      </c>
      <c r="J168">
        <v>1.357</v>
      </c>
      <c r="K168" s="39">
        <f t="shared" si="32"/>
        <v>5.827</v>
      </c>
      <c r="L168" s="39">
        <f t="shared" si="33"/>
        <v>9.1542169999999992</v>
      </c>
      <c r="M168">
        <f t="shared" si="35"/>
        <v>1.357</v>
      </c>
      <c r="N168" s="39">
        <f t="shared" si="34"/>
        <v>22.543919538000001</v>
      </c>
    </row>
    <row r="169" spans="5:14" ht="15" customHeight="1" x14ac:dyDescent="0.3">
      <c r="E169" s="4">
        <v>45733</v>
      </c>
      <c r="F169" s="39">
        <f t="shared" si="31"/>
        <v>306.47083333333285</v>
      </c>
      <c r="G169">
        <v>1</v>
      </c>
      <c r="H169">
        <v>4.5990000000000002</v>
      </c>
      <c r="I169">
        <v>0</v>
      </c>
      <c r="J169">
        <v>0</v>
      </c>
      <c r="K169" s="39">
        <f t="shared" si="32"/>
        <v>4.5990000000000002</v>
      </c>
      <c r="L169" s="39" t="str">
        <f t="shared" si="33"/>
        <v/>
      </c>
      <c r="M169" t="str">
        <f t="shared" si="35"/>
        <v/>
      </c>
      <c r="N169" s="39">
        <f t="shared" si="34"/>
        <v>4.907133</v>
      </c>
    </row>
    <row r="170" spans="5:14" ht="15" customHeight="1" x14ac:dyDescent="0.3">
      <c r="E170" s="4">
        <v>45736</v>
      </c>
      <c r="F170" s="39">
        <f t="shared" si="31"/>
        <v>309.47083333333285</v>
      </c>
      <c r="G170">
        <v>1</v>
      </c>
      <c r="H170">
        <v>5.8390000000000004</v>
      </c>
      <c r="I170">
        <v>0</v>
      </c>
      <c r="J170">
        <v>0</v>
      </c>
      <c r="K170" s="39">
        <f t="shared" si="32"/>
        <v>5.8390000000000004</v>
      </c>
      <c r="L170" s="39" t="str">
        <f t="shared" si="33"/>
        <v/>
      </c>
      <c r="M170" t="str">
        <f t="shared" si="35"/>
        <v/>
      </c>
      <c r="N170" s="39">
        <f t="shared" si="34"/>
        <v>6.230213</v>
      </c>
    </row>
    <row r="171" spans="5:14" ht="15" customHeight="1" x14ac:dyDescent="0.3">
      <c r="E171" s="4">
        <v>45740</v>
      </c>
      <c r="F171" s="39">
        <f t="shared" si="31"/>
        <v>313.47083333333285</v>
      </c>
      <c r="G171">
        <v>1</v>
      </c>
      <c r="H171">
        <v>4.9279999999999999</v>
      </c>
      <c r="I171">
        <v>0.42099999999999999</v>
      </c>
      <c r="J171">
        <v>3.9E-2</v>
      </c>
      <c r="K171" s="39">
        <f t="shared" si="32"/>
        <v>4.9279999999999999</v>
      </c>
      <c r="L171" s="39">
        <f t="shared" si="33"/>
        <v>2.0746880000000001</v>
      </c>
      <c r="M171" t="str">
        <f t="shared" si="35"/>
        <v/>
      </c>
      <c r="N171" s="39">
        <f t="shared" si="34"/>
        <v>5.2581759999999997</v>
      </c>
    </row>
    <row r="172" spans="5:14" ht="15" customHeight="1" x14ac:dyDescent="0.3">
      <c r="E172" s="4">
        <v>45743</v>
      </c>
      <c r="F172" s="39">
        <f t="shared" si="31"/>
        <v>316.47083333333285</v>
      </c>
      <c r="G172">
        <v>1</v>
      </c>
      <c r="H172">
        <v>5.1260000000000003</v>
      </c>
      <c r="I172">
        <v>0.35099999999999998</v>
      </c>
      <c r="J172">
        <v>2.4E-2</v>
      </c>
      <c r="K172" s="39">
        <f t="shared" si="32"/>
        <v>5.1260000000000003</v>
      </c>
      <c r="L172" s="39">
        <f t="shared" si="33"/>
        <v>1.799226</v>
      </c>
      <c r="M172" t="str">
        <f t="shared" si="35"/>
        <v/>
      </c>
      <c r="N172" s="39">
        <f t="shared" si="34"/>
        <v>5.4694419999999999</v>
      </c>
    </row>
    <row r="173" spans="5:14" ht="15" customHeight="1" x14ac:dyDescent="0.3">
      <c r="E173" s="4">
        <v>45747</v>
      </c>
      <c r="F173" s="39">
        <f t="shared" si="31"/>
        <v>320.47083333333285</v>
      </c>
      <c r="G173">
        <v>1</v>
      </c>
      <c r="H173">
        <v>6.53</v>
      </c>
      <c r="I173">
        <v>0.45600000000000002</v>
      </c>
      <c r="J173">
        <v>0</v>
      </c>
      <c r="K173" s="39">
        <f t="shared" si="32"/>
        <v>6.53</v>
      </c>
      <c r="L173" s="39">
        <f t="shared" si="33"/>
        <v>2.9776800000000003</v>
      </c>
      <c r="M173" t="str">
        <f t="shared" si="35"/>
        <v/>
      </c>
      <c r="N173" s="39">
        <f t="shared" si="34"/>
        <v>6.9675099999999999</v>
      </c>
    </row>
    <row r="174" spans="5:14" ht="15" customHeight="1" x14ac:dyDescent="0.3">
      <c r="E174" s="4">
        <v>45750</v>
      </c>
      <c r="F174" s="39">
        <f t="shared" si="31"/>
        <v>323.47083333333285</v>
      </c>
      <c r="G174">
        <v>1</v>
      </c>
      <c r="H174">
        <v>6.2930000000000001</v>
      </c>
      <c r="I174">
        <v>0.503</v>
      </c>
      <c r="J174">
        <v>0</v>
      </c>
      <c r="K174" s="39">
        <f t="shared" si="32"/>
        <v>6.2930000000000001</v>
      </c>
      <c r="L174" s="39">
        <f t="shared" si="33"/>
        <v>3.1653790000000002</v>
      </c>
      <c r="M174" t="str">
        <f t="shared" si="35"/>
        <v/>
      </c>
      <c r="N174" s="39">
        <f t="shared" si="34"/>
        <v>6.7146309999999998</v>
      </c>
    </row>
    <row r="175" spans="5:14" ht="15" customHeight="1" x14ac:dyDescent="0.3">
      <c r="E175" s="4">
        <v>45754</v>
      </c>
      <c r="F175" s="39">
        <f t="shared" si="31"/>
        <v>327.47083333333285</v>
      </c>
      <c r="G175">
        <v>1</v>
      </c>
      <c r="H175">
        <v>7.62</v>
      </c>
      <c r="I175">
        <v>0</v>
      </c>
      <c r="J175">
        <v>0</v>
      </c>
      <c r="K175" s="39">
        <f t="shared" si="32"/>
        <v>7.62</v>
      </c>
      <c r="L175" s="39" t="str">
        <f t="shared" si="33"/>
        <v/>
      </c>
      <c r="M175" t="str">
        <f t="shared" si="35"/>
        <v/>
      </c>
      <c r="N175" s="39">
        <f t="shared" si="34"/>
        <v>8.1305399999999999</v>
      </c>
    </row>
    <row r="176" spans="5:14" ht="15" customHeight="1" x14ac:dyDescent="0.3">
      <c r="E176" s="4">
        <v>45757</v>
      </c>
      <c r="F176" s="39">
        <f t="shared" si="31"/>
        <v>330.47083333333285</v>
      </c>
      <c r="G176">
        <v>1</v>
      </c>
      <c r="H176">
        <v>13.159000000000001</v>
      </c>
      <c r="I176">
        <v>0</v>
      </c>
      <c r="J176">
        <v>0</v>
      </c>
      <c r="K176" s="39">
        <f t="shared" si="32"/>
        <v>13.159000000000001</v>
      </c>
      <c r="L176" s="39" t="str">
        <f t="shared" si="33"/>
        <v/>
      </c>
      <c r="M176" t="str">
        <f t="shared" si="35"/>
        <v/>
      </c>
      <c r="N176" s="39">
        <f t="shared" si="34"/>
        <v>14.040653000000001</v>
      </c>
    </row>
    <row r="177" spans="11:14" ht="15" customHeight="1" x14ac:dyDescent="0.3">
      <c r="K177" s="39"/>
      <c r="L177" s="39"/>
      <c r="N177" s="39"/>
    </row>
    <row r="178" spans="11:14" ht="15" customHeight="1" x14ac:dyDescent="0.3">
      <c r="L178" s="39"/>
      <c r="N178" s="39"/>
    </row>
    <row r="179" spans="11:14" ht="15" customHeight="1" x14ac:dyDescent="0.3">
      <c r="L179" s="39"/>
      <c r="N179" s="39"/>
    </row>
    <row r="180" spans="11:14" ht="15" customHeight="1" x14ac:dyDescent="0.3">
      <c r="L180" s="39"/>
      <c r="N180" s="39"/>
    </row>
    <row r="181" spans="11:14" ht="15" customHeight="1" x14ac:dyDescent="0.3">
      <c r="L181" s="39"/>
      <c r="N181" s="39"/>
    </row>
    <row r="182" spans="11:14" ht="15" customHeight="1" x14ac:dyDescent="0.3">
      <c r="L182" s="39"/>
      <c r="N182" s="39"/>
    </row>
    <row r="183" spans="11:14" ht="15" customHeight="1" x14ac:dyDescent="0.3">
      <c r="L183" s="39"/>
      <c r="N183" s="39"/>
    </row>
  </sheetData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702A-A423-4A9D-8AAA-47403A143AC3}">
  <dimension ref="A1:AS57"/>
  <sheetViews>
    <sheetView topLeftCell="M1" workbookViewId="0">
      <selection activeCell="AH12" sqref="AH12"/>
    </sheetView>
  </sheetViews>
  <sheetFormatPr defaultRowHeight="15" customHeight="1" x14ac:dyDescent="0.3"/>
  <cols>
    <col min="1" max="1" width="11.33203125" customWidth="1"/>
    <col min="2" max="2" width="16.33203125" customWidth="1"/>
    <col min="8" max="8" width="14.33203125" customWidth="1"/>
    <col min="12" max="12" width="10.5546875" customWidth="1"/>
    <col min="13" max="13" width="16.5546875" customWidth="1"/>
    <col min="19" max="19" width="15.44140625" customWidth="1"/>
    <col min="23" max="23" width="11" customWidth="1"/>
    <col min="24" max="24" width="16.88671875" customWidth="1"/>
    <col min="30" max="30" width="15" customWidth="1"/>
    <col min="31" max="31" width="10.88671875" customWidth="1"/>
    <col min="38" max="38" width="20.109375" customWidth="1"/>
    <col min="42" max="42" width="10.33203125" customWidth="1"/>
    <col min="43" max="43" width="9.33203125" bestFit="1" customWidth="1"/>
  </cols>
  <sheetData>
    <row r="1" spans="1:45" ht="28.8" x14ac:dyDescent="0.3">
      <c r="A1" s="1" t="s">
        <v>424</v>
      </c>
      <c r="B1" s="2">
        <f>SRT.HRT!B3</f>
        <v>45426.529166666667</v>
      </c>
      <c r="AJ1" t="s">
        <v>705</v>
      </c>
    </row>
    <row r="2" spans="1:45" ht="18" x14ac:dyDescent="0.35">
      <c r="B2" s="59" t="s">
        <v>337</v>
      </c>
      <c r="M2" s="59" t="s">
        <v>338</v>
      </c>
      <c r="X2" s="59" t="s">
        <v>339</v>
      </c>
      <c r="AJ2" t="s">
        <v>706</v>
      </c>
      <c r="AK2">
        <f>1185000/1000</f>
        <v>1185</v>
      </c>
      <c r="AL2" t="s">
        <v>707</v>
      </c>
      <c r="AM2" t="s">
        <v>708</v>
      </c>
    </row>
    <row r="3" spans="1:45" ht="30" customHeight="1" x14ac:dyDescent="0.3">
      <c r="A3" s="1" t="s">
        <v>465</v>
      </c>
      <c r="B3" t="s">
        <v>620</v>
      </c>
      <c r="C3" t="s">
        <v>621</v>
      </c>
      <c r="D3">
        <v>1</v>
      </c>
      <c r="E3">
        <v>2</v>
      </c>
      <c r="F3">
        <v>3</v>
      </c>
      <c r="G3">
        <v>4</v>
      </c>
      <c r="H3">
        <v>5</v>
      </c>
      <c r="I3" s="1" t="s">
        <v>622</v>
      </c>
      <c r="J3" t="s">
        <v>623</v>
      </c>
      <c r="L3" s="1" t="s">
        <v>465</v>
      </c>
      <c r="M3" t="s">
        <v>620</v>
      </c>
      <c r="N3" t="s">
        <v>621</v>
      </c>
      <c r="O3">
        <v>1</v>
      </c>
      <c r="P3">
        <v>2</v>
      </c>
      <c r="Q3">
        <v>3</v>
      </c>
      <c r="R3">
        <v>4</v>
      </c>
      <c r="S3">
        <v>5</v>
      </c>
      <c r="T3" s="1" t="s">
        <v>622</v>
      </c>
      <c r="U3" t="s">
        <v>623</v>
      </c>
      <c r="W3" s="1" t="s">
        <v>465</v>
      </c>
      <c r="X3" t="s">
        <v>620</v>
      </c>
      <c r="Y3" t="s">
        <v>621</v>
      </c>
      <c r="Z3">
        <v>1</v>
      </c>
      <c r="AA3">
        <v>2</v>
      </c>
      <c r="AB3">
        <v>3</v>
      </c>
      <c r="AC3">
        <v>4</v>
      </c>
      <c r="AD3">
        <v>5</v>
      </c>
      <c r="AE3" s="1" t="s">
        <v>622</v>
      </c>
      <c r="AF3" t="s">
        <v>623</v>
      </c>
      <c r="AJ3" t="s">
        <v>709</v>
      </c>
      <c r="AK3">
        <f>2100/(2/1024)</f>
        <v>1075200</v>
      </c>
      <c r="AL3" t="s">
        <v>710</v>
      </c>
      <c r="AM3" t="s">
        <v>711</v>
      </c>
    </row>
    <row r="4" spans="1:45" ht="14.4" x14ac:dyDescent="0.3">
      <c r="A4" s="39">
        <f>B4-$B$1</f>
        <v>99.897222222221899</v>
      </c>
      <c r="B4" s="60">
        <v>45526.426388888889</v>
      </c>
      <c r="C4">
        <v>20</v>
      </c>
      <c r="D4">
        <v>1</v>
      </c>
      <c r="I4">
        <f>IFERROR(AVERAGE(D4:H4)*C4,NA())</f>
        <v>20</v>
      </c>
      <c r="J4" t="e">
        <f>IFERROR(STDEV(D4:H4)*C4,NA())</f>
        <v>#N/A</v>
      </c>
      <c r="L4" s="39">
        <f>M4-$B$1</f>
        <v>99.897222222221899</v>
      </c>
      <c r="M4" s="60">
        <v>45526.426388888889</v>
      </c>
      <c r="N4">
        <v>20</v>
      </c>
      <c r="O4">
        <v>6</v>
      </c>
      <c r="T4">
        <f>IFERROR(AVERAGE(O4:S4)*N4,NA())</f>
        <v>120</v>
      </c>
      <c r="U4" t="e">
        <f>IFERROR(STDEV(O4:S4)*N4,NA())</f>
        <v>#N/A</v>
      </c>
      <c r="W4" s="39">
        <f>X4-$B$1</f>
        <v>80.1875</v>
      </c>
      <c r="X4" s="60">
        <v>45506.716666666667</v>
      </c>
      <c r="Y4">
        <v>20</v>
      </c>
      <c r="Z4">
        <f>105+85</f>
        <v>190</v>
      </c>
      <c r="AE4">
        <f>IFERROR(AVERAGE(Z4:AD4)*Y4,NA())</f>
        <v>3800</v>
      </c>
      <c r="AF4" t="e">
        <f>IFERROR(STDEV(Z4:AD4)*Y4,NA())</f>
        <v>#N/A</v>
      </c>
      <c r="AJ4" t="s">
        <v>712</v>
      </c>
      <c r="AK4">
        <f>1700/(2/1024)</f>
        <v>870400</v>
      </c>
      <c r="AL4" t="s">
        <v>713</v>
      </c>
      <c r="AM4" t="s">
        <v>711</v>
      </c>
    </row>
    <row r="5" spans="1:45" ht="14.4" x14ac:dyDescent="0.3">
      <c r="A5" s="39">
        <f>B5-$B$1</f>
        <v>106.93541666666715</v>
      </c>
      <c r="B5" s="4">
        <v>45533.464583333334</v>
      </c>
      <c r="C5">
        <v>40</v>
      </c>
      <c r="D5">
        <v>161</v>
      </c>
      <c r="I5">
        <f t="shared" ref="I5:I11" si="0">IFERROR(AVERAGE(D5:H5)*C5,NA())</f>
        <v>6440</v>
      </c>
      <c r="J5" t="e">
        <f t="shared" ref="J5:J11" si="1">IFERROR(STDEV(D5:H5)*C5,NA())</f>
        <v>#N/A</v>
      </c>
      <c r="L5" s="39">
        <f t="shared" ref="L5:L20" si="2">M5-$B$1</f>
        <v>106.93541666666715</v>
      </c>
      <c r="M5" s="2">
        <v>45533.464583333334</v>
      </c>
      <c r="N5">
        <v>40</v>
      </c>
      <c r="O5">
        <v>139</v>
      </c>
      <c r="P5">
        <v>139</v>
      </c>
      <c r="Q5">
        <v>139</v>
      </c>
      <c r="T5">
        <f t="shared" ref="T5:T23" si="3">IFERROR(AVERAGE(O5:S5)*N5,NA())</f>
        <v>5560</v>
      </c>
      <c r="U5">
        <f t="shared" ref="U5:U23" si="4">IFERROR(STDEV(O5:S5)*N5,NA())</f>
        <v>0</v>
      </c>
      <c r="W5" s="39">
        <f t="shared" ref="W5:W21" si="5">X5-$B$1</f>
        <v>99.897222222221899</v>
      </c>
      <c r="X5" s="60">
        <v>45526.426388888889</v>
      </c>
      <c r="Y5">
        <v>20</v>
      </c>
      <c r="Z5">
        <v>184</v>
      </c>
      <c r="AE5">
        <f t="shared" ref="AE5:AE27" si="6">IFERROR(AVERAGE(Z5:AD5)*Y5,NA())</f>
        <v>3680</v>
      </c>
      <c r="AF5" t="e">
        <f t="shared" ref="AF5:AF27" si="7">IFERROR(STDEV(Z5:AD5)*Y5,NA())</f>
        <v>#N/A</v>
      </c>
      <c r="AJ5" t="s">
        <v>714</v>
      </c>
      <c r="AM5" t="s">
        <v>711</v>
      </c>
    </row>
    <row r="6" spans="1:45" ht="14.4" x14ac:dyDescent="0.3">
      <c r="A6" s="39">
        <f>B6-$B$1</f>
        <v>106.93541666666715</v>
      </c>
      <c r="B6" s="2">
        <v>45533.464583333334</v>
      </c>
      <c r="C6">
        <v>20</v>
      </c>
      <c r="D6">
        <v>189</v>
      </c>
      <c r="I6">
        <f t="shared" si="0"/>
        <v>3780</v>
      </c>
      <c r="J6" t="e">
        <f t="shared" si="1"/>
        <v>#N/A</v>
      </c>
      <c r="L6" s="39">
        <f t="shared" si="2"/>
        <v>106.93541666666715</v>
      </c>
      <c r="M6" s="2">
        <v>45533.464583333334</v>
      </c>
      <c r="N6">
        <v>20</v>
      </c>
      <c r="O6">
        <v>190</v>
      </c>
      <c r="T6">
        <f t="shared" si="3"/>
        <v>3800</v>
      </c>
      <c r="U6" t="e">
        <f t="shared" si="4"/>
        <v>#N/A</v>
      </c>
      <c r="W6" s="39">
        <f t="shared" si="5"/>
        <v>106.93541666666715</v>
      </c>
      <c r="X6" s="2">
        <v>45533.464583333334</v>
      </c>
      <c r="Y6">
        <v>80</v>
      </c>
      <c r="Z6">
        <v>156</v>
      </c>
      <c r="AE6">
        <f t="shared" si="6"/>
        <v>12480</v>
      </c>
      <c r="AF6" t="e">
        <f t="shared" si="7"/>
        <v>#N/A</v>
      </c>
      <c r="AM6" t="s">
        <v>708</v>
      </c>
    </row>
    <row r="7" spans="1:45" ht="14.4" x14ac:dyDescent="0.3">
      <c r="A7" s="39">
        <f>B7-$B$1</f>
        <v>114.90763888888614</v>
      </c>
      <c r="B7" s="2">
        <v>45541.436805555553</v>
      </c>
      <c r="C7">
        <v>50</v>
      </c>
      <c r="D7">
        <v>12</v>
      </c>
      <c r="E7">
        <v>12</v>
      </c>
      <c r="F7">
        <v>11</v>
      </c>
      <c r="G7">
        <v>11</v>
      </c>
      <c r="I7">
        <f t="shared" si="0"/>
        <v>575</v>
      </c>
      <c r="J7">
        <f t="shared" si="1"/>
        <v>28.867513459481287</v>
      </c>
      <c r="L7" s="39">
        <f t="shared" si="2"/>
        <v>114.90763888888614</v>
      </c>
      <c r="M7" s="2">
        <v>45541.436805555553</v>
      </c>
      <c r="N7">
        <v>50</v>
      </c>
      <c r="O7">
        <v>10</v>
      </c>
      <c r="P7">
        <v>8</v>
      </c>
      <c r="Q7">
        <v>8</v>
      </c>
      <c r="R7">
        <v>9</v>
      </c>
      <c r="T7">
        <f t="shared" si="3"/>
        <v>437.5</v>
      </c>
      <c r="U7">
        <f t="shared" si="4"/>
        <v>47.871355387816905</v>
      </c>
      <c r="W7" s="39">
        <f t="shared" si="5"/>
        <v>106.93541666666715</v>
      </c>
      <c r="X7" s="2">
        <v>45533.464583333334</v>
      </c>
      <c r="Y7">
        <v>40</v>
      </c>
      <c r="Z7">
        <v>190</v>
      </c>
      <c r="AE7">
        <f t="shared" si="6"/>
        <v>7600</v>
      </c>
      <c r="AF7" t="e">
        <f t="shared" si="7"/>
        <v>#N/A</v>
      </c>
    </row>
    <row r="8" spans="1:45" ht="14.4" x14ac:dyDescent="0.3">
      <c r="A8" s="39">
        <f>B8-$B$1</f>
        <v>117.88680555555766</v>
      </c>
      <c r="B8" s="2">
        <v>45544.415972222225</v>
      </c>
      <c r="C8">
        <v>50</v>
      </c>
      <c r="D8">
        <v>14</v>
      </c>
      <c r="E8">
        <v>14</v>
      </c>
      <c r="F8">
        <v>11</v>
      </c>
      <c r="G8">
        <v>12</v>
      </c>
      <c r="I8">
        <f t="shared" si="0"/>
        <v>637.5</v>
      </c>
      <c r="J8">
        <f t="shared" si="1"/>
        <v>75</v>
      </c>
      <c r="L8" s="39">
        <f t="shared" si="2"/>
        <v>117.88680555555766</v>
      </c>
      <c r="M8" s="2">
        <v>45544.415972222225</v>
      </c>
      <c r="N8">
        <v>50</v>
      </c>
      <c r="O8">
        <v>8</v>
      </c>
      <c r="P8">
        <v>8</v>
      </c>
      <c r="Q8">
        <v>7</v>
      </c>
      <c r="T8">
        <f t="shared" si="3"/>
        <v>383.33333333333337</v>
      </c>
      <c r="U8">
        <f t="shared" si="4"/>
        <v>28.867513459481291</v>
      </c>
      <c r="W8" s="39">
        <f t="shared" si="5"/>
        <v>114.90763888888614</v>
      </c>
      <c r="X8" s="2">
        <v>45541.436805555553</v>
      </c>
      <c r="Y8">
        <v>100</v>
      </c>
      <c r="Z8">
        <v>132</v>
      </c>
      <c r="AA8">
        <v>132</v>
      </c>
      <c r="AB8">
        <v>131</v>
      </c>
      <c r="AC8">
        <v>132</v>
      </c>
      <c r="AE8">
        <f t="shared" si="6"/>
        <v>13175</v>
      </c>
      <c r="AF8">
        <f t="shared" si="7"/>
        <v>50</v>
      </c>
      <c r="AL8" t="s">
        <v>709</v>
      </c>
      <c r="AM8">
        <f>2/1.024</f>
        <v>1.953125</v>
      </c>
      <c r="AN8" t="s">
        <v>283</v>
      </c>
      <c r="AO8">
        <f>2100</f>
        <v>2100</v>
      </c>
      <c r="AP8" t="s">
        <v>285</v>
      </c>
    </row>
    <row r="9" spans="1:45" ht="14.4" x14ac:dyDescent="0.3">
      <c r="A9" s="39">
        <f t="shared" ref="A9:A17" si="8">B9-$B$1</f>
        <v>120.50208333333285</v>
      </c>
      <c r="B9" s="2">
        <v>45547.03125</v>
      </c>
      <c r="C9">
        <v>10</v>
      </c>
      <c r="D9">
        <v>19</v>
      </c>
      <c r="E9">
        <v>18</v>
      </c>
      <c r="F9">
        <v>19</v>
      </c>
      <c r="I9">
        <f t="shared" si="0"/>
        <v>186.66666666666669</v>
      </c>
      <c r="J9">
        <f t="shared" si="1"/>
        <v>5.7735026918962582</v>
      </c>
      <c r="L9" s="39">
        <f t="shared" si="2"/>
        <v>124.90555555555329</v>
      </c>
      <c r="M9" s="2">
        <v>45551.43472222222</v>
      </c>
      <c r="N9">
        <v>5</v>
      </c>
      <c r="O9">
        <v>15</v>
      </c>
      <c r="P9">
        <v>15</v>
      </c>
      <c r="Q9">
        <v>14</v>
      </c>
      <c r="R9">
        <v>15</v>
      </c>
      <c r="S9">
        <v>14</v>
      </c>
      <c r="T9">
        <f t="shared" si="3"/>
        <v>73</v>
      </c>
      <c r="U9">
        <f t="shared" si="4"/>
        <v>2.7386127875258302</v>
      </c>
      <c r="W9" s="39">
        <f t="shared" si="5"/>
        <v>117.88680555555766</v>
      </c>
      <c r="X9" s="2">
        <v>45544.415972222225</v>
      </c>
      <c r="Y9">
        <v>100</v>
      </c>
      <c r="Z9">
        <v>0</v>
      </c>
      <c r="AA9">
        <v>5</v>
      </c>
      <c r="AB9">
        <v>8</v>
      </c>
      <c r="AC9">
        <v>5</v>
      </c>
      <c r="AE9">
        <f t="shared" si="6"/>
        <v>450</v>
      </c>
      <c r="AF9">
        <f t="shared" si="7"/>
        <v>331.66247903554</v>
      </c>
      <c r="AL9" t="s">
        <v>712</v>
      </c>
      <c r="AM9">
        <f>2/1.024</f>
        <v>1.953125</v>
      </c>
      <c r="AN9" t="s">
        <v>283</v>
      </c>
      <c r="AO9">
        <v>1700</v>
      </c>
      <c r="AP9" t="s">
        <v>285</v>
      </c>
    </row>
    <row r="10" spans="1:45" ht="14.4" x14ac:dyDescent="0.3">
      <c r="A10" s="39">
        <f t="shared" si="8"/>
        <v>124.90555555555329</v>
      </c>
      <c r="B10" s="2">
        <v>45551.43472222222</v>
      </c>
      <c r="C10">
        <v>5</v>
      </c>
      <c r="D10">
        <v>10</v>
      </c>
      <c r="E10">
        <v>9</v>
      </c>
      <c r="F10">
        <v>9</v>
      </c>
      <c r="G10">
        <v>9</v>
      </c>
      <c r="H10">
        <v>9</v>
      </c>
      <c r="I10">
        <f t="shared" si="0"/>
        <v>46</v>
      </c>
      <c r="J10">
        <f t="shared" si="1"/>
        <v>2.2360679774997898</v>
      </c>
      <c r="L10" s="39">
        <f t="shared" si="2"/>
        <v>131.87569444444671</v>
      </c>
      <c r="M10" s="2">
        <v>45558.404861111114</v>
      </c>
      <c r="N10">
        <v>5</v>
      </c>
      <c r="O10">
        <v>95</v>
      </c>
      <c r="P10">
        <v>95</v>
      </c>
      <c r="Q10">
        <v>95</v>
      </c>
      <c r="R10">
        <v>94</v>
      </c>
      <c r="T10">
        <f t="shared" si="3"/>
        <v>473.75</v>
      </c>
      <c r="U10">
        <f t="shared" si="4"/>
        <v>2.5</v>
      </c>
      <c r="W10" s="39">
        <f t="shared" si="5"/>
        <v>120.50208333333285</v>
      </c>
      <c r="X10" s="2">
        <v>45547.03125</v>
      </c>
      <c r="Y10">
        <v>10</v>
      </c>
      <c r="Z10">
        <v>15</v>
      </c>
      <c r="AA10">
        <v>15</v>
      </c>
      <c r="AB10">
        <v>15</v>
      </c>
      <c r="AE10">
        <f>IFERROR(AVERAGE(Z10:AD10)*Y10,NA())</f>
        <v>150</v>
      </c>
      <c r="AF10">
        <f t="shared" si="7"/>
        <v>0</v>
      </c>
      <c r="AL10" t="s">
        <v>715</v>
      </c>
      <c r="AM10">
        <f>(1+2+2)/3*40</f>
        <v>66.666666666666671</v>
      </c>
      <c r="AN10" t="s">
        <v>283</v>
      </c>
      <c r="AO10">
        <v>2100</v>
      </c>
      <c r="AP10" t="s">
        <v>716</v>
      </c>
      <c r="AR10" t="s">
        <v>643</v>
      </c>
    </row>
    <row r="11" spans="1:45" ht="14.4" x14ac:dyDescent="0.3">
      <c r="A11" s="39">
        <f t="shared" si="8"/>
        <v>131.87569444444671</v>
      </c>
      <c r="B11" s="2">
        <v>45558.404861111114</v>
      </c>
      <c r="C11">
        <v>5</v>
      </c>
      <c r="D11">
        <v>92</v>
      </c>
      <c r="E11">
        <v>91</v>
      </c>
      <c r="F11">
        <v>92</v>
      </c>
      <c r="G11">
        <v>92</v>
      </c>
      <c r="I11">
        <f t="shared" si="0"/>
        <v>458.75</v>
      </c>
      <c r="J11">
        <f t="shared" si="1"/>
        <v>2.5</v>
      </c>
      <c r="L11" s="39">
        <f>M11-$B$1</f>
        <v>135.02430555555475</v>
      </c>
      <c r="M11" s="2">
        <v>45561.553472222222</v>
      </c>
      <c r="N11">
        <v>20</v>
      </c>
      <c r="O11">
        <v>10</v>
      </c>
      <c r="P11">
        <v>8</v>
      </c>
      <c r="Q11">
        <v>9</v>
      </c>
      <c r="T11">
        <f t="shared" si="3"/>
        <v>180</v>
      </c>
      <c r="U11">
        <f t="shared" si="4"/>
        <v>20</v>
      </c>
      <c r="W11" s="39">
        <f t="shared" si="5"/>
        <v>131.87569444444671</v>
      </c>
      <c r="X11" s="2">
        <v>45558.404861111114</v>
      </c>
      <c r="Y11">
        <v>5</v>
      </c>
      <c r="Z11">
        <v>114</v>
      </c>
      <c r="AA11">
        <v>114</v>
      </c>
      <c r="AB11">
        <v>114</v>
      </c>
      <c r="AC11">
        <v>114</v>
      </c>
      <c r="AE11">
        <f t="shared" si="6"/>
        <v>570</v>
      </c>
      <c r="AF11">
        <f t="shared" si="7"/>
        <v>0</v>
      </c>
      <c r="AP11" t="s">
        <v>643</v>
      </c>
      <c r="AQ11">
        <v>1.953125</v>
      </c>
      <c r="AR11" t="s">
        <v>717</v>
      </c>
    </row>
    <row r="12" spans="1:45" ht="15" customHeight="1" x14ac:dyDescent="0.3">
      <c r="A12" s="39">
        <f t="shared" si="8"/>
        <v>135.02430555555475</v>
      </c>
      <c r="B12" s="2">
        <v>45561.553472222222</v>
      </c>
      <c r="C12">
        <v>5</v>
      </c>
      <c r="D12">
        <v>97</v>
      </c>
      <c r="E12">
        <v>95</v>
      </c>
      <c r="F12">
        <v>97</v>
      </c>
      <c r="I12">
        <f t="shared" ref="I12:I18" si="9">IFERROR(AVERAGE(D12:H12)*C12,NA())</f>
        <v>481.66666666666663</v>
      </c>
      <c r="J12">
        <f t="shared" ref="J12:J18" si="10">IFERROR(STDEV(D12:H12)*C12,NA())</f>
        <v>5.7735026918962582</v>
      </c>
      <c r="L12" s="39">
        <f t="shared" si="2"/>
        <v>135.02430555555475</v>
      </c>
      <c r="M12" s="2">
        <v>45561.553472222222</v>
      </c>
      <c r="N12">
        <v>5</v>
      </c>
      <c r="O12">
        <v>100</v>
      </c>
      <c r="P12">
        <v>100</v>
      </c>
      <c r="Q12">
        <v>100</v>
      </c>
      <c r="T12">
        <f t="shared" si="3"/>
        <v>500</v>
      </c>
      <c r="U12">
        <f t="shared" si="4"/>
        <v>0</v>
      </c>
      <c r="W12" s="39">
        <f t="shared" si="5"/>
        <v>135.02430555555475</v>
      </c>
      <c r="X12" s="2">
        <v>45561.553472222222</v>
      </c>
      <c r="Y12">
        <v>20</v>
      </c>
      <c r="Z12">
        <v>36</v>
      </c>
      <c r="AA12">
        <v>36</v>
      </c>
      <c r="AB12">
        <v>36</v>
      </c>
      <c r="AE12">
        <f t="shared" si="6"/>
        <v>720</v>
      </c>
      <c r="AF12">
        <f t="shared" si="7"/>
        <v>0</v>
      </c>
      <c r="AJ12" t="s">
        <v>718</v>
      </c>
      <c r="AM12" t="s">
        <v>285</v>
      </c>
    </row>
    <row r="13" spans="1:45" ht="15" customHeight="1" x14ac:dyDescent="0.3">
      <c r="A13" s="39">
        <f t="shared" si="8"/>
        <v>138.9020833333343</v>
      </c>
      <c r="B13" s="2">
        <v>45565.431250000001</v>
      </c>
      <c r="C13">
        <v>10</v>
      </c>
      <c r="D13">
        <v>96</v>
      </c>
      <c r="E13">
        <v>96</v>
      </c>
      <c r="F13">
        <v>97</v>
      </c>
      <c r="G13">
        <v>97</v>
      </c>
      <c r="H13">
        <v>97</v>
      </c>
      <c r="I13">
        <f t="shared" si="9"/>
        <v>966</v>
      </c>
      <c r="J13">
        <f t="shared" si="10"/>
        <v>5.4772255750516603</v>
      </c>
      <c r="L13" s="39">
        <f t="shared" si="2"/>
        <v>138.9020833333343</v>
      </c>
      <c r="M13" s="2">
        <v>45565.431250000001</v>
      </c>
      <c r="N13">
        <v>10</v>
      </c>
      <c r="O13">
        <v>93</v>
      </c>
      <c r="P13">
        <v>94</v>
      </c>
      <c r="Q13">
        <v>94</v>
      </c>
      <c r="R13">
        <v>94</v>
      </c>
      <c r="S13">
        <v>93</v>
      </c>
      <c r="T13">
        <f t="shared" si="3"/>
        <v>936</v>
      </c>
      <c r="U13">
        <f t="shared" si="4"/>
        <v>5.4772255750516603</v>
      </c>
      <c r="W13" s="39">
        <f t="shared" si="5"/>
        <v>135.02430555555475</v>
      </c>
      <c r="X13" s="2">
        <v>45561.553472222222</v>
      </c>
      <c r="Y13">
        <v>5</v>
      </c>
      <c r="Z13">
        <v>133</v>
      </c>
      <c r="AA13">
        <v>134</v>
      </c>
      <c r="AB13">
        <v>133</v>
      </c>
      <c r="AE13">
        <f t="shared" si="6"/>
        <v>666.66666666666674</v>
      </c>
      <c r="AF13">
        <f t="shared" si="7"/>
        <v>2.8867513459481291</v>
      </c>
      <c r="AJ13">
        <f>10/1.024</f>
        <v>9.765625</v>
      </c>
      <c r="AK13" t="s">
        <v>284</v>
      </c>
      <c r="AL13" t="s">
        <v>719</v>
      </c>
      <c r="AM13">
        <f>AJ13*AK2/1000</f>
        <v>11.572265625</v>
      </c>
      <c r="AN13">
        <v>9.76</v>
      </c>
      <c r="AO13" t="s">
        <v>720</v>
      </c>
      <c r="AP13">
        <v>1185000</v>
      </c>
      <c r="AQ13" t="s">
        <v>721</v>
      </c>
      <c r="AS13" t="s">
        <v>643</v>
      </c>
    </row>
    <row r="14" spans="1:45" ht="15" customHeight="1" x14ac:dyDescent="0.3">
      <c r="A14" s="39">
        <f t="shared" si="8"/>
        <v>141.92638888888905</v>
      </c>
      <c r="B14" s="2">
        <v>45568.455555555556</v>
      </c>
      <c r="C14">
        <v>10</v>
      </c>
      <c r="D14">
        <v>33</v>
      </c>
      <c r="E14">
        <v>33</v>
      </c>
      <c r="F14">
        <v>33</v>
      </c>
      <c r="G14">
        <v>33</v>
      </c>
      <c r="H14">
        <v>33</v>
      </c>
      <c r="I14">
        <f t="shared" si="9"/>
        <v>330</v>
      </c>
      <c r="J14">
        <f t="shared" si="10"/>
        <v>0</v>
      </c>
      <c r="L14" s="39">
        <f t="shared" si="2"/>
        <v>141.92638888888905</v>
      </c>
      <c r="M14" s="2">
        <v>45568.455555555556</v>
      </c>
      <c r="N14">
        <v>10</v>
      </c>
      <c r="O14">
        <v>39</v>
      </c>
      <c r="P14">
        <v>39</v>
      </c>
      <c r="Q14">
        <v>39</v>
      </c>
      <c r="R14">
        <v>39</v>
      </c>
      <c r="S14">
        <v>39</v>
      </c>
      <c r="T14">
        <f t="shared" si="3"/>
        <v>390</v>
      </c>
      <c r="U14">
        <f t="shared" si="4"/>
        <v>0</v>
      </c>
      <c r="W14" s="39">
        <f t="shared" si="5"/>
        <v>138.9020833333343</v>
      </c>
      <c r="X14" s="2">
        <v>45565.431250000001</v>
      </c>
      <c r="Y14">
        <v>10</v>
      </c>
      <c r="Z14">
        <v>83</v>
      </c>
      <c r="AA14">
        <v>82</v>
      </c>
      <c r="AB14">
        <v>83</v>
      </c>
      <c r="AC14">
        <v>82</v>
      </c>
      <c r="AD14">
        <v>83</v>
      </c>
      <c r="AE14">
        <f t="shared" si="6"/>
        <v>826</v>
      </c>
      <c r="AF14">
        <f t="shared" si="7"/>
        <v>5.4772255750516603</v>
      </c>
      <c r="AJ14">
        <f>2/1.024</f>
        <v>1.953125</v>
      </c>
      <c r="AK14" t="s">
        <v>283</v>
      </c>
      <c r="AL14" t="s">
        <v>709</v>
      </c>
      <c r="AM14">
        <f>AJ14*AK3</f>
        <v>2100000</v>
      </c>
      <c r="AO14" t="s">
        <v>722</v>
      </c>
      <c r="AQ14" t="s">
        <v>723</v>
      </c>
      <c r="AR14">
        <v>1000</v>
      </c>
      <c r="AS14" t="s">
        <v>435</v>
      </c>
    </row>
    <row r="15" spans="1:45" ht="15" customHeight="1" x14ac:dyDescent="0.3">
      <c r="A15" s="39">
        <f t="shared" si="8"/>
        <v>145.90416666666715</v>
      </c>
      <c r="B15" s="2">
        <v>45572.433333333334</v>
      </c>
      <c r="C15">
        <v>10</v>
      </c>
      <c r="D15">
        <v>19</v>
      </c>
      <c r="E15">
        <v>19</v>
      </c>
      <c r="F15">
        <v>19</v>
      </c>
      <c r="G15">
        <v>19</v>
      </c>
      <c r="I15">
        <f t="shared" si="9"/>
        <v>190</v>
      </c>
      <c r="J15">
        <f t="shared" si="10"/>
        <v>0</v>
      </c>
      <c r="L15" s="39">
        <f t="shared" si="2"/>
        <v>145.90416666666715</v>
      </c>
      <c r="M15" s="2">
        <v>45572.433333333334</v>
      </c>
      <c r="N15">
        <v>10</v>
      </c>
      <c r="O15">
        <v>16</v>
      </c>
      <c r="P15">
        <v>16</v>
      </c>
      <c r="Q15">
        <v>16</v>
      </c>
      <c r="R15">
        <v>16</v>
      </c>
      <c r="T15">
        <f t="shared" si="3"/>
        <v>160</v>
      </c>
      <c r="U15">
        <f t="shared" si="4"/>
        <v>0</v>
      </c>
      <c r="W15" s="39">
        <f t="shared" si="5"/>
        <v>141.92638888888905</v>
      </c>
      <c r="X15" s="2">
        <v>45568.455555555556</v>
      </c>
      <c r="Y15">
        <v>10</v>
      </c>
      <c r="Z15">
        <v>34</v>
      </c>
      <c r="AA15">
        <v>34</v>
      </c>
      <c r="AB15">
        <v>34</v>
      </c>
      <c r="AC15">
        <v>34</v>
      </c>
      <c r="AD15">
        <v>34</v>
      </c>
      <c r="AE15">
        <f t="shared" si="6"/>
        <v>340</v>
      </c>
      <c r="AF15">
        <f t="shared" si="7"/>
        <v>0</v>
      </c>
      <c r="AJ15">
        <f>2/1.024</f>
        <v>1.953125</v>
      </c>
      <c r="AK15" t="s">
        <v>283</v>
      </c>
      <c r="AL15" t="s">
        <v>712</v>
      </c>
      <c r="AO15" t="s">
        <v>724</v>
      </c>
      <c r="AQ15" t="s">
        <v>721</v>
      </c>
    </row>
    <row r="16" spans="1:45" ht="15" customHeight="1" x14ac:dyDescent="0.3">
      <c r="A16" s="39">
        <f t="shared" si="8"/>
        <v>148.84166666666715</v>
      </c>
      <c r="B16" s="2">
        <v>45575.370833333334</v>
      </c>
      <c r="C16">
        <v>10</v>
      </c>
      <c r="D16">
        <v>24</v>
      </c>
      <c r="E16">
        <v>25</v>
      </c>
      <c r="F16">
        <v>24</v>
      </c>
      <c r="G16">
        <v>24</v>
      </c>
      <c r="H16">
        <v>24</v>
      </c>
      <c r="I16">
        <f t="shared" si="9"/>
        <v>242</v>
      </c>
      <c r="J16">
        <f t="shared" si="10"/>
        <v>4.4721359549995796</v>
      </c>
      <c r="L16" s="39">
        <f t="shared" si="2"/>
        <v>148.84166666666715</v>
      </c>
      <c r="M16" s="2">
        <v>45575.370833333334</v>
      </c>
      <c r="N16">
        <v>10</v>
      </c>
      <c r="O16">
        <v>25</v>
      </c>
      <c r="P16">
        <v>25</v>
      </c>
      <c r="Q16">
        <v>25</v>
      </c>
      <c r="R16">
        <v>25</v>
      </c>
      <c r="S16">
        <v>25</v>
      </c>
      <c r="T16">
        <f t="shared" si="3"/>
        <v>250</v>
      </c>
      <c r="U16">
        <f t="shared" si="4"/>
        <v>0</v>
      </c>
      <c r="W16" s="39">
        <f t="shared" si="5"/>
        <v>145.90416666666715</v>
      </c>
      <c r="X16" s="2">
        <v>45572.433333333334</v>
      </c>
      <c r="Y16">
        <v>10</v>
      </c>
      <c r="Z16">
        <v>51</v>
      </c>
      <c r="AA16">
        <v>51</v>
      </c>
      <c r="AB16">
        <v>51</v>
      </c>
      <c r="AC16">
        <v>51</v>
      </c>
      <c r="AE16">
        <f t="shared" si="6"/>
        <v>510</v>
      </c>
      <c r="AF16">
        <f t="shared" si="7"/>
        <v>0</v>
      </c>
      <c r="AG16" t="s">
        <v>725</v>
      </c>
      <c r="AO16" t="s">
        <v>722</v>
      </c>
      <c r="AQ16" t="s">
        <v>724</v>
      </c>
    </row>
    <row r="17" spans="1:33" ht="15" customHeight="1" x14ac:dyDescent="0.3">
      <c r="A17" s="39">
        <f t="shared" si="8"/>
        <v>153.84722222221899</v>
      </c>
      <c r="B17" s="2">
        <v>45580.376388888886</v>
      </c>
      <c r="C17">
        <v>10</v>
      </c>
      <c r="D17">
        <v>30</v>
      </c>
      <c r="E17">
        <v>30</v>
      </c>
      <c r="F17">
        <v>31</v>
      </c>
      <c r="G17">
        <v>31</v>
      </c>
      <c r="I17">
        <f t="shared" si="9"/>
        <v>305</v>
      </c>
      <c r="J17">
        <f t="shared" si="10"/>
        <v>5.7735026918962573</v>
      </c>
      <c r="L17" s="39">
        <f t="shared" si="2"/>
        <v>153.84722222221899</v>
      </c>
      <c r="M17" s="2">
        <v>45580.376388888886</v>
      </c>
      <c r="N17">
        <v>10</v>
      </c>
      <c r="O17">
        <v>39</v>
      </c>
      <c r="P17">
        <v>39</v>
      </c>
      <c r="Q17">
        <v>39</v>
      </c>
      <c r="R17">
        <v>39</v>
      </c>
      <c r="T17">
        <f t="shared" si="3"/>
        <v>390</v>
      </c>
      <c r="U17">
        <f t="shared" si="4"/>
        <v>0</v>
      </c>
      <c r="W17" s="39">
        <f t="shared" si="5"/>
        <v>148.84166666666715</v>
      </c>
      <c r="X17" s="2">
        <v>45575.370833333334</v>
      </c>
      <c r="Y17">
        <v>10</v>
      </c>
      <c r="Z17">
        <v>44</v>
      </c>
      <c r="AA17">
        <v>44</v>
      </c>
      <c r="AB17">
        <v>44</v>
      </c>
      <c r="AC17">
        <v>44</v>
      </c>
      <c r="AD17">
        <v>44</v>
      </c>
      <c r="AE17">
        <f t="shared" si="6"/>
        <v>440</v>
      </c>
      <c r="AF17">
        <f t="shared" si="7"/>
        <v>0</v>
      </c>
    </row>
    <row r="18" spans="1:33" ht="15" customHeight="1" x14ac:dyDescent="0.3">
      <c r="A18" s="39">
        <f>B18-$B$1</f>
        <v>155.83333333333576</v>
      </c>
      <c r="B18" s="2">
        <v>45582.362500000003</v>
      </c>
      <c r="C18">
        <v>10</v>
      </c>
      <c r="D18">
        <v>30</v>
      </c>
      <c r="E18">
        <v>30</v>
      </c>
      <c r="F18">
        <v>30</v>
      </c>
      <c r="G18">
        <v>30</v>
      </c>
      <c r="H18">
        <v>30</v>
      </c>
      <c r="I18">
        <f t="shared" si="9"/>
        <v>300</v>
      </c>
      <c r="J18">
        <f t="shared" si="10"/>
        <v>0</v>
      </c>
      <c r="L18" s="39">
        <f t="shared" si="2"/>
        <v>155.83333333333576</v>
      </c>
      <c r="M18" s="2">
        <v>45582.362500000003</v>
      </c>
      <c r="N18">
        <v>10</v>
      </c>
      <c r="O18">
        <v>28</v>
      </c>
      <c r="P18">
        <v>28</v>
      </c>
      <c r="Q18">
        <v>28</v>
      </c>
      <c r="R18">
        <v>29</v>
      </c>
      <c r="S18">
        <v>28</v>
      </c>
      <c r="T18">
        <f t="shared" si="3"/>
        <v>282</v>
      </c>
      <c r="U18">
        <f t="shared" si="4"/>
        <v>4.4721359549995796</v>
      </c>
      <c r="W18" s="39">
        <f t="shared" si="5"/>
        <v>153.84722222221899</v>
      </c>
      <c r="X18" s="2">
        <v>45580.376388888886</v>
      </c>
      <c r="Y18">
        <v>10</v>
      </c>
      <c r="Z18">
        <v>57</v>
      </c>
      <c r="AA18">
        <v>57</v>
      </c>
      <c r="AB18">
        <v>57</v>
      </c>
      <c r="AC18">
        <v>57</v>
      </c>
      <c r="AE18">
        <f t="shared" si="6"/>
        <v>570</v>
      </c>
      <c r="AF18">
        <f t="shared" si="7"/>
        <v>0</v>
      </c>
    </row>
    <row r="19" spans="1:33" ht="15" customHeight="1" x14ac:dyDescent="0.3">
      <c r="A19" s="39">
        <f>B19-$B$1</f>
        <v>159.92152777777665</v>
      </c>
      <c r="B19" s="2">
        <v>45586.450694444444</v>
      </c>
      <c r="C19">
        <v>10</v>
      </c>
      <c r="D19">
        <v>21</v>
      </c>
      <c r="E19">
        <v>21</v>
      </c>
      <c r="F19">
        <v>21</v>
      </c>
      <c r="G19">
        <v>21</v>
      </c>
      <c r="H19">
        <v>21</v>
      </c>
      <c r="I19">
        <f t="shared" ref="I19:I32" si="11">IFERROR(AVERAGE(D19:H19)*C19,NA())</f>
        <v>210</v>
      </c>
      <c r="J19">
        <f t="shared" ref="J19:J32" si="12">IFERROR(STDEV(D19:H19)*C19,NA())</f>
        <v>0</v>
      </c>
      <c r="L19" s="39">
        <f t="shared" si="2"/>
        <v>159.92152777777665</v>
      </c>
      <c r="M19" s="2">
        <v>45586.450694444444</v>
      </c>
      <c r="N19">
        <v>10</v>
      </c>
      <c r="O19">
        <v>23</v>
      </c>
      <c r="P19">
        <v>22</v>
      </c>
      <c r="Q19">
        <v>22</v>
      </c>
      <c r="R19">
        <v>23</v>
      </c>
      <c r="S19">
        <v>23</v>
      </c>
      <c r="T19">
        <f t="shared" si="3"/>
        <v>226</v>
      </c>
      <c r="U19">
        <f t="shared" si="4"/>
        <v>5.4772255750516603</v>
      </c>
      <c r="W19" s="39">
        <f t="shared" si="5"/>
        <v>155.83333333333576</v>
      </c>
      <c r="X19" s="2">
        <v>45582.362500000003</v>
      </c>
      <c r="Y19">
        <v>10</v>
      </c>
      <c r="Z19">
        <v>57</v>
      </c>
      <c r="AA19">
        <v>57</v>
      </c>
      <c r="AB19">
        <v>57</v>
      </c>
      <c r="AC19">
        <v>57</v>
      </c>
      <c r="AD19">
        <v>56</v>
      </c>
      <c r="AE19">
        <f t="shared" si="6"/>
        <v>568</v>
      </c>
      <c r="AF19">
        <f t="shared" si="7"/>
        <v>4.4721359549995796</v>
      </c>
    </row>
    <row r="20" spans="1:33" ht="15" customHeight="1" x14ac:dyDescent="0.3">
      <c r="A20" s="39">
        <f>B20-$B$1</f>
        <v>166.47083333333285</v>
      </c>
      <c r="B20" s="4">
        <v>45593</v>
      </c>
      <c r="C20">
        <v>10</v>
      </c>
      <c r="D20">
        <v>49</v>
      </c>
      <c r="E20">
        <v>48</v>
      </c>
      <c r="F20">
        <v>49</v>
      </c>
      <c r="G20">
        <v>49</v>
      </c>
      <c r="H20">
        <v>49</v>
      </c>
      <c r="I20">
        <f t="shared" si="11"/>
        <v>488</v>
      </c>
      <c r="J20">
        <f t="shared" si="12"/>
        <v>4.4721359549995796</v>
      </c>
      <c r="L20" s="39">
        <f t="shared" si="2"/>
        <v>166.47083333333285</v>
      </c>
      <c r="M20" s="4">
        <v>45593</v>
      </c>
      <c r="N20">
        <v>10</v>
      </c>
      <c r="O20">
        <v>52</v>
      </c>
      <c r="P20">
        <v>52</v>
      </c>
      <c r="Q20">
        <v>53</v>
      </c>
      <c r="R20">
        <v>52</v>
      </c>
      <c r="S20">
        <v>52</v>
      </c>
      <c r="T20">
        <f t="shared" si="3"/>
        <v>522</v>
      </c>
      <c r="U20">
        <f t="shared" si="4"/>
        <v>4.4721359549995796</v>
      </c>
      <c r="W20" s="39">
        <f t="shared" si="5"/>
        <v>159.92152777777665</v>
      </c>
      <c r="X20" s="2">
        <v>45586.450694444444</v>
      </c>
      <c r="Y20">
        <v>10</v>
      </c>
      <c r="Z20">
        <v>32</v>
      </c>
      <c r="AA20">
        <v>33</v>
      </c>
      <c r="AB20">
        <v>32</v>
      </c>
      <c r="AC20">
        <v>32</v>
      </c>
      <c r="AD20">
        <v>33</v>
      </c>
      <c r="AE20">
        <f t="shared" si="6"/>
        <v>324</v>
      </c>
      <c r="AF20">
        <f t="shared" si="7"/>
        <v>5.4772255750516603</v>
      </c>
    </row>
    <row r="21" spans="1:33" ht="15" customHeight="1" x14ac:dyDescent="0.3">
      <c r="A21" s="39">
        <f t="shared" ref="A21:A56" si="13">B21-$B$1</f>
        <v>169.9597222222219</v>
      </c>
      <c r="B21" s="2">
        <v>45596.488888888889</v>
      </c>
      <c r="C21">
        <v>10</v>
      </c>
      <c r="D21">
        <v>33</v>
      </c>
      <c r="E21">
        <v>32</v>
      </c>
      <c r="F21">
        <v>33</v>
      </c>
      <c r="G21">
        <v>32</v>
      </c>
      <c r="H21">
        <v>33</v>
      </c>
      <c r="I21">
        <f t="shared" si="11"/>
        <v>326</v>
      </c>
      <c r="J21">
        <f t="shared" si="12"/>
        <v>5.4772255750516603</v>
      </c>
      <c r="L21" s="39">
        <f>M21-$B$1</f>
        <v>169.9597222222219</v>
      </c>
      <c r="M21" s="2">
        <v>45596.488888888889</v>
      </c>
      <c r="N21">
        <v>10</v>
      </c>
      <c r="O21">
        <v>32</v>
      </c>
      <c r="P21">
        <v>32</v>
      </c>
      <c r="Q21">
        <v>32</v>
      </c>
      <c r="R21">
        <v>32</v>
      </c>
      <c r="S21">
        <v>32</v>
      </c>
      <c r="T21">
        <f t="shared" si="3"/>
        <v>320</v>
      </c>
      <c r="U21">
        <f t="shared" si="4"/>
        <v>0</v>
      </c>
      <c r="W21" s="39">
        <f t="shared" si="5"/>
        <v>166.47083333333285</v>
      </c>
      <c r="X21" s="4">
        <v>45593</v>
      </c>
      <c r="Y21">
        <v>10</v>
      </c>
      <c r="Z21">
        <v>61</v>
      </c>
      <c r="AA21">
        <v>62</v>
      </c>
      <c r="AB21">
        <v>62</v>
      </c>
      <c r="AC21">
        <v>61</v>
      </c>
      <c r="AD21">
        <v>61</v>
      </c>
      <c r="AE21">
        <f t="shared" si="6"/>
        <v>614</v>
      </c>
      <c r="AF21">
        <f t="shared" si="7"/>
        <v>5.4772255750516603</v>
      </c>
    </row>
    <row r="22" spans="1:33" ht="15" customHeight="1" x14ac:dyDescent="0.3">
      <c r="A22" s="39">
        <f t="shared" si="13"/>
        <v>173.47083333333285</v>
      </c>
      <c r="B22" s="4">
        <v>45600</v>
      </c>
      <c r="C22">
        <v>10</v>
      </c>
      <c r="D22">
        <v>34</v>
      </c>
      <c r="E22">
        <v>34</v>
      </c>
      <c r="F22">
        <v>34</v>
      </c>
      <c r="G22">
        <v>33</v>
      </c>
      <c r="H22">
        <v>34</v>
      </c>
      <c r="I22">
        <f t="shared" si="11"/>
        <v>338</v>
      </c>
      <c r="J22">
        <f t="shared" si="12"/>
        <v>4.4721359549995796</v>
      </c>
      <c r="L22" s="39">
        <f>M22-$B$1</f>
        <v>173.47083333333285</v>
      </c>
      <c r="M22" s="4">
        <v>45600</v>
      </c>
      <c r="N22">
        <v>10</v>
      </c>
      <c r="O22">
        <v>32</v>
      </c>
      <c r="P22">
        <v>32</v>
      </c>
      <c r="Q22">
        <v>32</v>
      </c>
      <c r="R22">
        <v>32</v>
      </c>
      <c r="S22">
        <v>32</v>
      </c>
      <c r="T22">
        <f t="shared" si="3"/>
        <v>320</v>
      </c>
      <c r="U22">
        <f t="shared" si="4"/>
        <v>0</v>
      </c>
      <c r="W22" s="39">
        <f t="shared" ref="W22:W41" si="14">X22-$B$1</f>
        <v>169.9597222222219</v>
      </c>
      <c r="X22" s="2">
        <v>45596.488888888889</v>
      </c>
      <c r="Y22">
        <v>10</v>
      </c>
      <c r="Z22">
        <v>63</v>
      </c>
      <c r="AA22">
        <v>63</v>
      </c>
      <c r="AB22">
        <v>64</v>
      </c>
      <c r="AC22">
        <v>64</v>
      </c>
      <c r="AD22">
        <v>64</v>
      </c>
      <c r="AE22">
        <f t="shared" si="6"/>
        <v>636</v>
      </c>
      <c r="AF22">
        <f t="shared" si="7"/>
        <v>5.4772255750516603</v>
      </c>
    </row>
    <row r="23" spans="1:33" ht="15" customHeight="1" x14ac:dyDescent="0.3">
      <c r="A23" s="39">
        <f t="shared" si="13"/>
        <v>180.8930555555562</v>
      </c>
      <c r="B23" s="2">
        <v>45607.422222222223</v>
      </c>
      <c r="C23">
        <v>10</v>
      </c>
      <c r="D23">
        <v>35</v>
      </c>
      <c r="E23">
        <v>33</v>
      </c>
      <c r="F23">
        <v>34</v>
      </c>
      <c r="G23">
        <v>35</v>
      </c>
      <c r="H23">
        <v>34</v>
      </c>
      <c r="I23">
        <f t="shared" si="11"/>
        <v>342</v>
      </c>
      <c r="J23">
        <f t="shared" si="12"/>
        <v>8.3666002653407556</v>
      </c>
      <c r="L23" s="39">
        <f>M23-$B$1</f>
        <v>180.8930555555562</v>
      </c>
      <c r="M23" s="2">
        <v>45607.422222222223</v>
      </c>
      <c r="N23">
        <v>10</v>
      </c>
      <c r="O23">
        <v>37</v>
      </c>
      <c r="P23">
        <v>36</v>
      </c>
      <c r="Q23">
        <v>36</v>
      </c>
      <c r="R23">
        <v>36</v>
      </c>
      <c r="S23">
        <v>36</v>
      </c>
      <c r="T23">
        <f t="shared" si="3"/>
        <v>362</v>
      </c>
      <c r="U23">
        <f t="shared" si="4"/>
        <v>4.4721359549995796</v>
      </c>
      <c r="W23" s="39">
        <f t="shared" si="14"/>
        <v>180.8930555555562</v>
      </c>
      <c r="X23" s="2">
        <v>45607.422222222223</v>
      </c>
      <c r="Y23">
        <v>10</v>
      </c>
      <c r="Z23">
        <v>53</v>
      </c>
      <c r="AA23">
        <v>53</v>
      </c>
      <c r="AB23">
        <v>53</v>
      </c>
      <c r="AC23">
        <v>53</v>
      </c>
      <c r="AD23">
        <v>53</v>
      </c>
      <c r="AE23">
        <f t="shared" si="6"/>
        <v>530</v>
      </c>
      <c r="AF23">
        <f t="shared" si="7"/>
        <v>0</v>
      </c>
    </row>
    <row r="24" spans="1:33" ht="15" customHeight="1" x14ac:dyDescent="0.3">
      <c r="A24" s="39">
        <f t="shared" si="13"/>
        <v>183.98124999999709</v>
      </c>
      <c r="B24" s="2">
        <v>45610.510416666664</v>
      </c>
      <c r="C24">
        <v>10</v>
      </c>
      <c r="D24">
        <v>82</v>
      </c>
      <c r="E24">
        <v>82</v>
      </c>
      <c r="F24">
        <v>82</v>
      </c>
      <c r="G24">
        <v>82</v>
      </c>
      <c r="H24">
        <v>81</v>
      </c>
      <c r="I24">
        <f t="shared" si="11"/>
        <v>818</v>
      </c>
      <c r="J24">
        <f t="shared" si="12"/>
        <v>4.4721359549995796</v>
      </c>
      <c r="L24" s="39">
        <f t="shared" ref="L24:L40" si="15">M24-$B$1</f>
        <v>187.80555555555475</v>
      </c>
      <c r="M24" s="2">
        <v>45614.334722222222</v>
      </c>
      <c r="N24">
        <v>10</v>
      </c>
      <c r="O24">
        <v>30</v>
      </c>
      <c r="P24">
        <v>31</v>
      </c>
      <c r="Q24">
        <v>31</v>
      </c>
      <c r="R24">
        <v>31</v>
      </c>
      <c r="S24">
        <v>31</v>
      </c>
      <c r="T24">
        <f t="shared" ref="T24:T28" si="16">IFERROR(AVERAGE(O24:S24)*N24,NA())</f>
        <v>308</v>
      </c>
      <c r="U24">
        <f t="shared" ref="U24:U28" si="17">IFERROR(STDEV(O24:S24)*N24,NA())</f>
        <v>4.4721359549995796</v>
      </c>
      <c r="W24" s="39">
        <f t="shared" si="14"/>
        <v>183.98124999999709</v>
      </c>
      <c r="X24" s="2">
        <v>45610.510416666664</v>
      </c>
      <c r="Y24">
        <v>10</v>
      </c>
      <c r="Z24">
        <v>87</v>
      </c>
      <c r="AA24">
        <v>87</v>
      </c>
      <c r="AB24">
        <v>87</v>
      </c>
      <c r="AC24">
        <v>88</v>
      </c>
      <c r="AD24">
        <v>88</v>
      </c>
      <c r="AE24">
        <f t="shared" si="6"/>
        <v>874</v>
      </c>
      <c r="AF24">
        <f t="shared" si="7"/>
        <v>5.4772255750516603</v>
      </c>
    </row>
    <row r="25" spans="1:33" ht="15" customHeight="1" x14ac:dyDescent="0.3">
      <c r="A25" s="39">
        <f t="shared" si="13"/>
        <v>187.80555555555475</v>
      </c>
      <c r="B25" s="2">
        <v>45614.334722222222</v>
      </c>
      <c r="C25">
        <v>10</v>
      </c>
      <c r="D25">
        <v>23</v>
      </c>
      <c r="E25">
        <v>23</v>
      </c>
      <c r="F25">
        <v>22</v>
      </c>
      <c r="G25">
        <v>23</v>
      </c>
      <c r="H25">
        <v>23</v>
      </c>
      <c r="I25">
        <f t="shared" si="11"/>
        <v>228</v>
      </c>
      <c r="J25">
        <f t="shared" si="12"/>
        <v>4.4721359549995796</v>
      </c>
      <c r="L25" s="39">
        <f t="shared" si="15"/>
        <v>190.9638888888876</v>
      </c>
      <c r="M25" s="2">
        <v>45617.493055555555</v>
      </c>
      <c r="N25">
        <v>10</v>
      </c>
      <c r="O25">
        <v>24</v>
      </c>
      <c r="P25">
        <v>24</v>
      </c>
      <c r="Q25">
        <v>23</v>
      </c>
      <c r="R25">
        <v>23</v>
      </c>
      <c r="S25">
        <v>23</v>
      </c>
      <c r="T25">
        <f t="shared" si="16"/>
        <v>234</v>
      </c>
      <c r="U25">
        <f t="shared" si="17"/>
        <v>5.4772255750516603</v>
      </c>
      <c r="W25" s="39">
        <f t="shared" si="14"/>
        <v>187.80555555555475</v>
      </c>
      <c r="X25" s="2">
        <v>45614.334722222222</v>
      </c>
      <c r="Y25">
        <v>10</v>
      </c>
      <c r="Z25">
        <v>51</v>
      </c>
      <c r="AA25">
        <v>51</v>
      </c>
      <c r="AB25">
        <v>51</v>
      </c>
      <c r="AC25">
        <v>50</v>
      </c>
      <c r="AD25">
        <v>50</v>
      </c>
      <c r="AE25">
        <f t="shared" si="6"/>
        <v>506</v>
      </c>
      <c r="AF25">
        <f t="shared" si="7"/>
        <v>5.4772255750516603</v>
      </c>
      <c r="AG25" t="s">
        <v>726</v>
      </c>
    </row>
    <row r="26" spans="1:33" ht="15" customHeight="1" x14ac:dyDescent="0.3">
      <c r="A26" s="39">
        <f t="shared" si="13"/>
        <v>194.89791666666861</v>
      </c>
      <c r="B26" s="2">
        <v>45621.427083333336</v>
      </c>
      <c r="C26">
        <v>10</v>
      </c>
      <c r="D26">
        <v>25</v>
      </c>
      <c r="E26">
        <v>25</v>
      </c>
      <c r="F26">
        <v>26</v>
      </c>
      <c r="G26">
        <v>25</v>
      </c>
      <c r="H26">
        <v>25</v>
      </c>
      <c r="I26">
        <f t="shared" si="11"/>
        <v>252</v>
      </c>
      <c r="J26">
        <f t="shared" si="12"/>
        <v>4.4721359549995796</v>
      </c>
      <c r="L26" s="39">
        <f t="shared" si="15"/>
        <v>194.89791666666861</v>
      </c>
      <c r="M26" s="2">
        <v>45621.427083333336</v>
      </c>
      <c r="N26">
        <v>10</v>
      </c>
      <c r="O26">
        <v>26</v>
      </c>
      <c r="P26">
        <v>27</v>
      </c>
      <c r="Q26">
        <v>27</v>
      </c>
      <c r="R26">
        <v>27</v>
      </c>
      <c r="S26">
        <v>27</v>
      </c>
      <c r="T26">
        <f t="shared" si="16"/>
        <v>268</v>
      </c>
      <c r="U26">
        <f t="shared" si="17"/>
        <v>4.4721359549995796</v>
      </c>
      <c r="W26" s="39">
        <f t="shared" si="14"/>
        <v>190.9638888888876</v>
      </c>
      <c r="X26" s="2">
        <v>45617.493055555555</v>
      </c>
      <c r="Y26">
        <v>10</v>
      </c>
      <c r="Z26">
        <v>34</v>
      </c>
      <c r="AA26">
        <v>34</v>
      </c>
      <c r="AB26">
        <v>34</v>
      </c>
      <c r="AC26">
        <v>33</v>
      </c>
      <c r="AD26">
        <v>34</v>
      </c>
      <c r="AE26">
        <f t="shared" si="6"/>
        <v>338</v>
      </c>
      <c r="AF26">
        <f t="shared" si="7"/>
        <v>4.4721359549995796</v>
      </c>
    </row>
    <row r="27" spans="1:33" ht="15" customHeight="1" x14ac:dyDescent="0.3">
      <c r="A27" s="39">
        <f t="shared" si="13"/>
        <v>201.93194444444089</v>
      </c>
      <c r="B27" s="2">
        <v>45628.461111111108</v>
      </c>
      <c r="C27">
        <v>10</v>
      </c>
      <c r="D27">
        <v>27</v>
      </c>
      <c r="E27">
        <v>27</v>
      </c>
      <c r="F27">
        <v>27</v>
      </c>
      <c r="G27">
        <v>26</v>
      </c>
      <c r="H27">
        <v>27</v>
      </c>
      <c r="I27">
        <f t="shared" si="11"/>
        <v>268</v>
      </c>
      <c r="J27">
        <f t="shared" si="12"/>
        <v>4.4721359549995796</v>
      </c>
      <c r="L27" s="39">
        <f t="shared" si="15"/>
        <v>201.93194444444089</v>
      </c>
      <c r="M27" s="2">
        <v>45628.461111111108</v>
      </c>
      <c r="N27">
        <v>10</v>
      </c>
      <c r="O27">
        <v>33</v>
      </c>
      <c r="P27">
        <v>33</v>
      </c>
      <c r="Q27">
        <v>32</v>
      </c>
      <c r="R27">
        <v>32</v>
      </c>
      <c r="S27">
        <v>31</v>
      </c>
      <c r="T27">
        <f t="shared" si="16"/>
        <v>322</v>
      </c>
      <c r="U27">
        <f t="shared" si="17"/>
        <v>8.3666002653407556</v>
      </c>
      <c r="W27" s="39">
        <f t="shared" si="14"/>
        <v>194.89791666666861</v>
      </c>
      <c r="X27" s="2">
        <v>45621.427083333336</v>
      </c>
      <c r="Y27">
        <v>10</v>
      </c>
      <c r="Z27">
        <v>55</v>
      </c>
      <c r="AA27">
        <v>56</v>
      </c>
      <c r="AB27">
        <v>55</v>
      </c>
      <c r="AC27">
        <v>55</v>
      </c>
      <c r="AD27">
        <v>56</v>
      </c>
      <c r="AE27">
        <f t="shared" si="6"/>
        <v>554</v>
      </c>
      <c r="AF27">
        <f t="shared" si="7"/>
        <v>5.4772255750516603</v>
      </c>
    </row>
    <row r="28" spans="1:33" ht="15" customHeight="1" x14ac:dyDescent="0.3">
      <c r="A28" s="39">
        <f t="shared" si="13"/>
        <v>204.94444444444525</v>
      </c>
      <c r="B28" s="2">
        <v>45631.473611111112</v>
      </c>
      <c r="C28">
        <v>10</v>
      </c>
      <c r="D28">
        <v>57</v>
      </c>
      <c r="E28">
        <v>57</v>
      </c>
      <c r="F28">
        <v>57</v>
      </c>
      <c r="G28">
        <v>56</v>
      </c>
      <c r="H28">
        <v>57</v>
      </c>
      <c r="I28">
        <f t="shared" si="11"/>
        <v>568</v>
      </c>
      <c r="J28">
        <f t="shared" si="12"/>
        <v>4.4721359549995796</v>
      </c>
      <c r="L28" s="39">
        <f t="shared" si="15"/>
        <v>204.94444444444525</v>
      </c>
      <c r="M28" s="2">
        <v>45631.473611111112</v>
      </c>
      <c r="N28">
        <v>10</v>
      </c>
      <c r="O28">
        <v>56</v>
      </c>
      <c r="P28">
        <v>56</v>
      </c>
      <c r="Q28">
        <v>56</v>
      </c>
      <c r="R28">
        <v>56</v>
      </c>
      <c r="S28">
        <v>56</v>
      </c>
      <c r="T28">
        <f t="shared" si="16"/>
        <v>560</v>
      </c>
      <c r="U28">
        <f t="shared" si="17"/>
        <v>0</v>
      </c>
      <c r="W28" s="39">
        <f t="shared" si="14"/>
        <v>201.93194444444089</v>
      </c>
      <c r="X28" s="2">
        <v>45628.461111111108</v>
      </c>
      <c r="Y28">
        <v>10</v>
      </c>
      <c r="Z28">
        <v>41</v>
      </c>
      <c r="AA28">
        <v>41</v>
      </c>
      <c r="AB28">
        <v>41</v>
      </c>
      <c r="AC28">
        <v>41</v>
      </c>
      <c r="AD28">
        <v>41</v>
      </c>
      <c r="AE28">
        <f>IFERROR(AVERAGE(Z28:AD28)*Y28,NA())</f>
        <v>410</v>
      </c>
      <c r="AF28">
        <f>IFERROR(STDEV(Z28:AD28)*Y28,NA())</f>
        <v>0</v>
      </c>
    </row>
    <row r="29" spans="1:33" ht="15" customHeight="1" x14ac:dyDescent="0.3">
      <c r="A29" s="39">
        <f t="shared" si="13"/>
        <v>208.91319444444525</v>
      </c>
      <c r="B29" s="2">
        <v>45635.442361111112</v>
      </c>
      <c r="C29">
        <v>10</v>
      </c>
      <c r="D29">
        <v>55</v>
      </c>
      <c r="E29">
        <v>51</v>
      </c>
      <c r="F29">
        <v>54</v>
      </c>
      <c r="G29">
        <v>55</v>
      </c>
      <c r="H29">
        <v>50</v>
      </c>
      <c r="I29">
        <f t="shared" si="11"/>
        <v>530</v>
      </c>
      <c r="J29">
        <f t="shared" si="12"/>
        <v>23.45207879911715</v>
      </c>
      <c r="L29" s="39">
        <f t="shared" si="15"/>
        <v>208.91319444444525</v>
      </c>
      <c r="M29" s="2">
        <v>45635.442361111112</v>
      </c>
      <c r="N29">
        <v>10</v>
      </c>
      <c r="O29">
        <v>49</v>
      </c>
      <c r="P29">
        <v>50</v>
      </c>
      <c r="Q29">
        <v>50</v>
      </c>
      <c r="R29">
        <v>49</v>
      </c>
      <c r="S29">
        <v>50</v>
      </c>
      <c r="T29">
        <f>IFERROR(AVERAGE(O29:S29)*N29,NA())</f>
        <v>496</v>
      </c>
      <c r="U29">
        <f>IFERROR(STDEV(O29:S29)*N29,NA())</f>
        <v>5.4772255750516603</v>
      </c>
      <c r="W29" s="39">
        <f t="shared" si="14"/>
        <v>204.94444444444525</v>
      </c>
      <c r="X29" s="2">
        <v>45631.473611111112</v>
      </c>
      <c r="Y29">
        <v>10</v>
      </c>
      <c r="Z29">
        <v>84</v>
      </c>
      <c r="AA29">
        <v>84</v>
      </c>
      <c r="AB29">
        <v>85</v>
      </c>
      <c r="AC29">
        <v>84</v>
      </c>
      <c r="AD29">
        <v>84</v>
      </c>
      <c r="AE29">
        <f>IFERROR(AVERAGE(Z29:AD29)*Y29,NA())</f>
        <v>842</v>
      </c>
      <c r="AF29">
        <f>IFERROR(STDEV(Z29:AD29)*Y29,NA())</f>
        <v>4.4721359549995796</v>
      </c>
      <c r="AG29" t="s">
        <v>727</v>
      </c>
    </row>
    <row r="30" spans="1:33" ht="15" customHeight="1" x14ac:dyDescent="0.3">
      <c r="A30" s="39">
        <f t="shared" si="13"/>
        <v>211.96527777777374</v>
      </c>
      <c r="B30" s="4">
        <v>45638.494444444441</v>
      </c>
      <c r="C30">
        <v>10</v>
      </c>
      <c r="D30">
        <v>54</v>
      </c>
      <c r="E30">
        <v>55</v>
      </c>
      <c r="F30">
        <v>55</v>
      </c>
      <c r="G30">
        <v>55</v>
      </c>
      <c r="H30">
        <v>55</v>
      </c>
      <c r="I30">
        <f t="shared" si="11"/>
        <v>548</v>
      </c>
      <c r="J30">
        <f t="shared" si="12"/>
        <v>4.4721359549995796</v>
      </c>
      <c r="L30" s="39">
        <f t="shared" si="15"/>
        <v>211.96527777777374</v>
      </c>
      <c r="M30" s="4">
        <v>45638.494444444441</v>
      </c>
      <c r="N30">
        <v>10</v>
      </c>
      <c r="O30">
        <v>52</v>
      </c>
      <c r="P30">
        <v>52</v>
      </c>
      <c r="Q30">
        <v>52</v>
      </c>
      <c r="R30">
        <v>52</v>
      </c>
      <c r="S30">
        <v>52</v>
      </c>
      <c r="T30">
        <f>IFERROR(AVERAGE(O30:S30)*N30,NA())</f>
        <v>520</v>
      </c>
      <c r="U30">
        <f>IFERROR(STDEV(O30:S30)*N30,NA())</f>
        <v>0</v>
      </c>
      <c r="W30" s="39">
        <f t="shared" si="14"/>
        <v>208.91319444444525</v>
      </c>
      <c r="X30" s="2">
        <v>45635.442361111112</v>
      </c>
      <c r="Y30">
        <v>10</v>
      </c>
      <c r="Z30">
        <v>80</v>
      </c>
      <c r="AA30">
        <v>80</v>
      </c>
      <c r="AB30">
        <v>80</v>
      </c>
      <c r="AC30">
        <v>79</v>
      </c>
      <c r="AD30">
        <v>80</v>
      </c>
      <c r="AE30">
        <f>IFERROR(AVERAGE(Z30:AD30)*Y30,NA())</f>
        <v>798</v>
      </c>
      <c r="AF30">
        <f>IFERROR(STDEV(Z30:AD30)*Y30,NA())</f>
        <v>4.4721359549995796</v>
      </c>
    </row>
    <row r="31" spans="1:33" ht="15" customHeight="1" x14ac:dyDescent="0.3">
      <c r="A31" s="39">
        <f t="shared" si="13"/>
        <v>215.87847222221899</v>
      </c>
      <c r="B31" s="2">
        <v>45642.407638888886</v>
      </c>
      <c r="C31">
        <v>10</v>
      </c>
      <c r="D31">
        <v>46</v>
      </c>
      <c r="E31">
        <v>46</v>
      </c>
      <c r="F31">
        <v>46</v>
      </c>
      <c r="G31">
        <v>46</v>
      </c>
      <c r="H31">
        <v>46</v>
      </c>
      <c r="I31">
        <f t="shared" si="11"/>
        <v>460</v>
      </c>
      <c r="J31">
        <f t="shared" si="12"/>
        <v>0</v>
      </c>
      <c r="L31" s="39">
        <f t="shared" si="15"/>
        <v>215.87847222221899</v>
      </c>
      <c r="M31" s="2">
        <v>45642.407638888886</v>
      </c>
      <c r="N31">
        <v>10</v>
      </c>
      <c r="O31">
        <v>44</v>
      </c>
      <c r="P31">
        <v>44</v>
      </c>
      <c r="Q31">
        <v>44</v>
      </c>
      <c r="R31">
        <v>44</v>
      </c>
      <c r="S31">
        <v>44</v>
      </c>
      <c r="T31">
        <f>IFERROR(AVERAGE(O31:S31)*N31,NA())</f>
        <v>440</v>
      </c>
      <c r="U31">
        <f>IFERROR(STDEV(O31:S31)*N31,NA())</f>
        <v>0</v>
      </c>
      <c r="W31" s="39">
        <f t="shared" si="14"/>
        <v>211.96527777777374</v>
      </c>
      <c r="X31" s="4">
        <v>45638.494444444441</v>
      </c>
      <c r="Y31">
        <v>10</v>
      </c>
      <c r="Z31">
        <v>64</v>
      </c>
      <c r="AA31">
        <v>64</v>
      </c>
      <c r="AB31">
        <v>64</v>
      </c>
      <c r="AC31">
        <v>64</v>
      </c>
      <c r="AD31">
        <v>64</v>
      </c>
      <c r="AE31">
        <f>IFERROR(AVERAGE(Z31:AD31)*Y31,NA())</f>
        <v>640</v>
      </c>
      <c r="AF31">
        <f>IFERROR(STDEV(Z31:AD31)*Y31,NA())</f>
        <v>0</v>
      </c>
    </row>
    <row r="32" spans="1:33" ht="15" customHeight="1" x14ac:dyDescent="0.3">
      <c r="A32" s="39">
        <f t="shared" si="13"/>
        <v>236.9111111111124</v>
      </c>
      <c r="B32" s="2">
        <v>45663.44027777778</v>
      </c>
      <c r="C32">
        <v>10</v>
      </c>
      <c r="D32">
        <v>51</v>
      </c>
      <c r="E32">
        <v>51</v>
      </c>
      <c r="F32">
        <v>52</v>
      </c>
      <c r="G32">
        <v>52</v>
      </c>
      <c r="H32">
        <v>52</v>
      </c>
      <c r="I32">
        <f t="shared" si="11"/>
        <v>516</v>
      </c>
      <c r="J32">
        <f t="shared" si="12"/>
        <v>5.4772255750516603</v>
      </c>
      <c r="L32" s="39">
        <f t="shared" si="15"/>
        <v>236.9111111111124</v>
      </c>
      <c r="M32" s="2">
        <v>45663.44027777778</v>
      </c>
      <c r="N32">
        <v>10</v>
      </c>
      <c r="O32">
        <v>57</v>
      </c>
      <c r="P32">
        <v>57</v>
      </c>
      <c r="Q32">
        <v>57</v>
      </c>
      <c r="R32">
        <v>57</v>
      </c>
      <c r="S32">
        <v>58</v>
      </c>
      <c r="T32">
        <f t="shared" ref="T32:T38" si="18">IFERROR(AVERAGE(O32:S32)*N32,NA())</f>
        <v>572</v>
      </c>
      <c r="U32">
        <f t="shared" ref="U32:U38" si="19">IFERROR(STDEV(O32:S32)*N32,NA())</f>
        <v>4.4721359549995796</v>
      </c>
      <c r="W32" s="39">
        <f t="shared" si="14"/>
        <v>215.87847222221899</v>
      </c>
      <c r="X32" s="2">
        <v>45642.407638888886</v>
      </c>
      <c r="Y32">
        <v>10</v>
      </c>
      <c r="Z32">
        <v>77</v>
      </c>
      <c r="AA32">
        <v>76</v>
      </c>
      <c r="AB32">
        <v>76</v>
      </c>
      <c r="AC32">
        <v>76</v>
      </c>
      <c r="AD32">
        <v>76</v>
      </c>
      <c r="AE32">
        <f>IFERROR(AVERAGE(Z32:AD32)*Y32,NA())</f>
        <v>762</v>
      </c>
      <c r="AF32">
        <f>IFERROR(STDEV(Z32:AD32)*Y32,NA())</f>
        <v>4.4721359549995796</v>
      </c>
    </row>
    <row r="33" spans="1:32" ht="15" customHeight="1" x14ac:dyDescent="0.3">
      <c r="A33" s="39">
        <f t="shared" si="13"/>
        <v>240.0402777777781</v>
      </c>
      <c r="B33" s="2">
        <v>45666.569444444445</v>
      </c>
      <c r="C33">
        <v>10</v>
      </c>
      <c r="D33">
        <v>49</v>
      </c>
      <c r="E33">
        <v>49</v>
      </c>
      <c r="F33">
        <v>49</v>
      </c>
      <c r="G33">
        <v>49</v>
      </c>
      <c r="H33">
        <v>49</v>
      </c>
      <c r="I33">
        <f t="shared" ref="I33:I41" si="20">IFERROR(AVERAGE(D33:H33)*C33,NA())</f>
        <v>490</v>
      </c>
      <c r="J33">
        <f t="shared" ref="J33:J41" si="21">IFERROR(STDEV(D33:H33)*C33,NA())</f>
        <v>0</v>
      </c>
      <c r="L33" s="39">
        <f t="shared" si="15"/>
        <v>240.0402777777781</v>
      </c>
      <c r="M33" s="2">
        <v>45666.569444444445</v>
      </c>
      <c r="N33">
        <v>10</v>
      </c>
      <c r="O33">
        <v>51</v>
      </c>
      <c r="P33">
        <v>51</v>
      </c>
      <c r="Q33">
        <v>52</v>
      </c>
      <c r="R33">
        <v>52</v>
      </c>
      <c r="S33">
        <v>52</v>
      </c>
      <c r="T33">
        <f t="shared" si="18"/>
        <v>516</v>
      </c>
      <c r="U33">
        <f t="shared" si="19"/>
        <v>5.4772255750516603</v>
      </c>
      <c r="W33" s="39">
        <f t="shared" si="14"/>
        <v>236.9111111111124</v>
      </c>
      <c r="X33" s="2">
        <v>45663.44027777778</v>
      </c>
      <c r="Y33">
        <v>10</v>
      </c>
      <c r="Z33">
        <v>57</v>
      </c>
      <c r="AA33">
        <v>57</v>
      </c>
      <c r="AB33">
        <v>57</v>
      </c>
      <c r="AC33">
        <v>57</v>
      </c>
      <c r="AD33">
        <v>57</v>
      </c>
      <c r="AE33">
        <f t="shared" ref="AE33:AE39" si="22">IFERROR(AVERAGE(Z33:AD33)*Y33,NA())</f>
        <v>570</v>
      </c>
      <c r="AF33">
        <f t="shared" ref="AF33:AF39" si="23">IFERROR(STDEV(Z33:AD33)*Y33,NA())</f>
        <v>0</v>
      </c>
    </row>
    <row r="34" spans="1:32" ht="15" customHeight="1" x14ac:dyDescent="0.3">
      <c r="A34" s="39">
        <f t="shared" si="13"/>
        <v>243.88333333333139</v>
      </c>
      <c r="B34" s="2">
        <v>45670.412499999999</v>
      </c>
      <c r="C34">
        <v>10</v>
      </c>
      <c r="D34">
        <v>96</v>
      </c>
      <c r="E34">
        <v>96</v>
      </c>
      <c r="F34">
        <v>96</v>
      </c>
      <c r="G34">
        <v>96</v>
      </c>
      <c r="H34">
        <v>96</v>
      </c>
      <c r="I34">
        <f t="shared" si="20"/>
        <v>960</v>
      </c>
      <c r="J34">
        <f t="shared" si="21"/>
        <v>0</v>
      </c>
      <c r="L34" s="39">
        <f t="shared" si="15"/>
        <v>243.88333333333139</v>
      </c>
      <c r="M34" s="2">
        <v>45670.412499999999</v>
      </c>
      <c r="N34">
        <v>10</v>
      </c>
      <c r="O34">
        <v>94</v>
      </c>
      <c r="P34">
        <v>94</v>
      </c>
      <c r="Q34">
        <v>93</v>
      </c>
      <c r="R34">
        <v>94</v>
      </c>
      <c r="S34">
        <v>93</v>
      </c>
      <c r="T34">
        <f t="shared" si="18"/>
        <v>936</v>
      </c>
      <c r="U34">
        <f t="shared" si="19"/>
        <v>5.4772255750516603</v>
      </c>
      <c r="W34" s="39">
        <f t="shared" si="14"/>
        <v>240.0402777777781</v>
      </c>
      <c r="X34" s="2">
        <v>45666.569444444445</v>
      </c>
      <c r="Y34">
        <v>10</v>
      </c>
      <c r="Z34">
        <v>82</v>
      </c>
      <c r="AA34">
        <v>82</v>
      </c>
      <c r="AB34">
        <v>82</v>
      </c>
      <c r="AC34">
        <v>82</v>
      </c>
      <c r="AD34">
        <v>82</v>
      </c>
      <c r="AE34">
        <f t="shared" si="22"/>
        <v>820</v>
      </c>
      <c r="AF34">
        <f t="shared" si="23"/>
        <v>0</v>
      </c>
    </row>
    <row r="35" spans="1:32" ht="15" customHeight="1" x14ac:dyDescent="0.3">
      <c r="A35" s="39">
        <f t="shared" si="13"/>
        <v>246.91805555555766</v>
      </c>
      <c r="B35" s="2">
        <v>45673.447222222225</v>
      </c>
      <c r="C35">
        <v>10</v>
      </c>
      <c r="D35">
        <v>54</v>
      </c>
      <c r="E35">
        <v>54</v>
      </c>
      <c r="F35">
        <v>54</v>
      </c>
      <c r="G35">
        <v>54</v>
      </c>
      <c r="H35">
        <v>54</v>
      </c>
      <c r="I35">
        <f t="shared" si="20"/>
        <v>540</v>
      </c>
      <c r="J35">
        <f t="shared" si="21"/>
        <v>0</v>
      </c>
      <c r="L35" s="39">
        <f t="shared" si="15"/>
        <v>246.91805555555766</v>
      </c>
      <c r="M35" s="2">
        <v>45673.447222222225</v>
      </c>
      <c r="N35">
        <v>10</v>
      </c>
      <c r="O35">
        <v>68</v>
      </c>
      <c r="P35">
        <v>68</v>
      </c>
      <c r="Q35">
        <v>68</v>
      </c>
      <c r="R35">
        <v>68</v>
      </c>
      <c r="S35">
        <v>68</v>
      </c>
      <c r="T35">
        <f t="shared" si="18"/>
        <v>680</v>
      </c>
      <c r="U35">
        <f t="shared" si="19"/>
        <v>0</v>
      </c>
      <c r="W35" s="39">
        <f t="shared" si="14"/>
        <v>243.88333333333139</v>
      </c>
      <c r="X35" s="2">
        <v>45670.412499999999</v>
      </c>
      <c r="Y35">
        <v>10</v>
      </c>
      <c r="Z35">
        <v>111</v>
      </c>
      <c r="AA35">
        <v>111</v>
      </c>
      <c r="AB35">
        <v>111</v>
      </c>
      <c r="AC35">
        <v>111</v>
      </c>
      <c r="AD35">
        <v>111</v>
      </c>
      <c r="AE35">
        <f t="shared" si="22"/>
        <v>1110</v>
      </c>
      <c r="AF35">
        <f t="shared" si="23"/>
        <v>0</v>
      </c>
    </row>
    <row r="36" spans="1:32" ht="15" customHeight="1" x14ac:dyDescent="0.3">
      <c r="A36" s="39">
        <f t="shared" si="13"/>
        <v>257.8708333333343</v>
      </c>
      <c r="B36" s="4">
        <v>45684.4</v>
      </c>
      <c r="C36">
        <v>10</v>
      </c>
      <c r="D36">
        <v>55</v>
      </c>
      <c r="E36">
        <v>56</v>
      </c>
      <c r="F36">
        <v>55</v>
      </c>
      <c r="G36">
        <v>56</v>
      </c>
      <c r="H36">
        <v>55</v>
      </c>
      <c r="I36">
        <f t="shared" si="20"/>
        <v>554</v>
      </c>
      <c r="J36">
        <f t="shared" si="21"/>
        <v>5.4772255750516603</v>
      </c>
      <c r="L36" s="39">
        <f t="shared" si="15"/>
        <v>257.8708333333343</v>
      </c>
      <c r="M36" s="4">
        <v>45684.4</v>
      </c>
      <c r="N36">
        <v>10</v>
      </c>
      <c r="O36">
        <v>59</v>
      </c>
      <c r="P36">
        <v>59</v>
      </c>
      <c r="Q36">
        <v>59</v>
      </c>
      <c r="R36">
        <v>60</v>
      </c>
      <c r="S36">
        <v>60</v>
      </c>
      <c r="T36">
        <f t="shared" si="18"/>
        <v>594</v>
      </c>
      <c r="U36">
        <f t="shared" si="19"/>
        <v>5.4772255750516603</v>
      </c>
      <c r="W36" s="39">
        <f t="shared" si="14"/>
        <v>246.91805555555766</v>
      </c>
      <c r="X36" s="2">
        <v>45673.447222222225</v>
      </c>
      <c r="Y36">
        <v>10</v>
      </c>
      <c r="Z36">
        <v>80</v>
      </c>
      <c r="AA36">
        <v>80</v>
      </c>
      <c r="AB36">
        <v>80</v>
      </c>
      <c r="AC36">
        <v>80</v>
      </c>
      <c r="AD36">
        <v>80</v>
      </c>
      <c r="AE36">
        <f t="shared" si="22"/>
        <v>800</v>
      </c>
      <c r="AF36">
        <f t="shared" si="23"/>
        <v>0</v>
      </c>
    </row>
    <row r="37" spans="1:32" ht="15" customHeight="1" x14ac:dyDescent="0.3">
      <c r="A37" s="39">
        <f t="shared" si="13"/>
        <v>260.47083333333285</v>
      </c>
      <c r="B37" s="4">
        <v>45687</v>
      </c>
      <c r="C37">
        <v>10</v>
      </c>
      <c r="D37">
        <v>62</v>
      </c>
      <c r="E37">
        <v>62</v>
      </c>
      <c r="F37">
        <v>62</v>
      </c>
      <c r="G37">
        <v>62</v>
      </c>
      <c r="H37">
        <v>62</v>
      </c>
      <c r="I37">
        <f t="shared" si="20"/>
        <v>620</v>
      </c>
      <c r="J37">
        <f t="shared" si="21"/>
        <v>0</v>
      </c>
      <c r="L37" s="39">
        <f t="shared" si="15"/>
        <v>260.47083333333285</v>
      </c>
      <c r="M37" s="4">
        <v>45687</v>
      </c>
      <c r="N37">
        <v>10</v>
      </c>
      <c r="O37">
        <v>63</v>
      </c>
      <c r="P37">
        <v>63</v>
      </c>
      <c r="Q37">
        <v>63</v>
      </c>
      <c r="R37">
        <v>64</v>
      </c>
      <c r="S37">
        <v>64</v>
      </c>
      <c r="T37">
        <f t="shared" si="18"/>
        <v>634</v>
      </c>
      <c r="U37">
        <f t="shared" si="19"/>
        <v>5.4772255750516603</v>
      </c>
      <c r="W37" s="39">
        <f t="shared" si="14"/>
        <v>257.8708333333343</v>
      </c>
      <c r="X37" s="4">
        <v>45684.4</v>
      </c>
      <c r="Y37">
        <v>10</v>
      </c>
      <c r="Z37">
        <v>51</v>
      </c>
      <c r="AA37">
        <v>51</v>
      </c>
      <c r="AB37">
        <v>50</v>
      </c>
      <c r="AC37">
        <v>50</v>
      </c>
      <c r="AD37">
        <v>50</v>
      </c>
      <c r="AE37">
        <f t="shared" si="22"/>
        <v>504</v>
      </c>
      <c r="AF37">
        <f t="shared" si="23"/>
        <v>5.4772255750516603</v>
      </c>
    </row>
    <row r="38" spans="1:32" ht="15" customHeight="1" x14ac:dyDescent="0.3">
      <c r="A38" s="39">
        <f t="shared" si="13"/>
        <v>264.47083333333285</v>
      </c>
      <c r="B38" s="4">
        <v>45691</v>
      </c>
      <c r="C38">
        <v>10</v>
      </c>
      <c r="D38">
        <v>49</v>
      </c>
      <c r="E38">
        <v>49</v>
      </c>
      <c r="F38">
        <v>49</v>
      </c>
      <c r="G38">
        <v>49</v>
      </c>
      <c r="H38">
        <v>48</v>
      </c>
      <c r="I38">
        <f t="shared" si="20"/>
        <v>488</v>
      </c>
      <c r="J38">
        <f t="shared" si="21"/>
        <v>4.4721359549995796</v>
      </c>
      <c r="L38" s="39">
        <f t="shared" si="15"/>
        <v>264.47083333333285</v>
      </c>
      <c r="M38" s="4">
        <v>45691</v>
      </c>
      <c r="N38">
        <v>10</v>
      </c>
      <c r="O38">
        <v>62</v>
      </c>
      <c r="P38">
        <v>62</v>
      </c>
      <c r="Q38">
        <v>62</v>
      </c>
      <c r="R38">
        <v>62</v>
      </c>
      <c r="S38">
        <v>62</v>
      </c>
      <c r="T38">
        <f t="shared" si="18"/>
        <v>620</v>
      </c>
      <c r="U38">
        <f t="shared" si="19"/>
        <v>0</v>
      </c>
      <c r="W38" s="39">
        <f t="shared" si="14"/>
        <v>260.47083333333285</v>
      </c>
      <c r="X38" s="4">
        <v>45687</v>
      </c>
      <c r="Y38">
        <v>10</v>
      </c>
      <c r="Z38">
        <v>82</v>
      </c>
      <c r="AA38">
        <v>83</v>
      </c>
      <c r="AB38">
        <v>83</v>
      </c>
      <c r="AC38">
        <v>83</v>
      </c>
      <c r="AD38">
        <v>83</v>
      </c>
      <c r="AE38">
        <f t="shared" si="22"/>
        <v>828</v>
      </c>
      <c r="AF38">
        <f t="shared" si="23"/>
        <v>4.4721359549995796</v>
      </c>
    </row>
    <row r="39" spans="1:32" ht="15" customHeight="1" x14ac:dyDescent="0.3">
      <c r="A39" s="39">
        <f t="shared" si="13"/>
        <v>267.92083333332994</v>
      </c>
      <c r="B39" s="2">
        <v>45694.45</v>
      </c>
      <c r="C39">
        <v>10</v>
      </c>
      <c r="D39">
        <v>49</v>
      </c>
      <c r="E39">
        <v>50</v>
      </c>
      <c r="F39">
        <v>51</v>
      </c>
      <c r="G39">
        <v>51</v>
      </c>
      <c r="H39">
        <v>51</v>
      </c>
      <c r="I39">
        <f t="shared" si="20"/>
        <v>504</v>
      </c>
      <c r="J39">
        <f t="shared" si="21"/>
        <v>8.9442719099991592</v>
      </c>
      <c r="L39" s="39">
        <f t="shared" si="15"/>
        <v>267.92083333332994</v>
      </c>
      <c r="M39" s="2">
        <v>45694.45</v>
      </c>
      <c r="N39">
        <v>10</v>
      </c>
      <c r="O39">
        <v>62</v>
      </c>
      <c r="P39">
        <v>62</v>
      </c>
      <c r="Q39">
        <v>62</v>
      </c>
      <c r="R39">
        <v>62</v>
      </c>
      <c r="S39">
        <v>62</v>
      </c>
      <c r="T39">
        <f>IFERROR(AVERAGE(O39:S39)*N39,NA())</f>
        <v>620</v>
      </c>
      <c r="U39">
        <f>IFERROR(STDEV(O39:S39)*N39,NA())</f>
        <v>0</v>
      </c>
      <c r="W39" s="39">
        <f t="shared" si="14"/>
        <v>264.47083333333285</v>
      </c>
      <c r="X39" s="4">
        <v>45691</v>
      </c>
      <c r="Y39">
        <v>10</v>
      </c>
      <c r="Z39">
        <v>65</v>
      </c>
      <c r="AA39">
        <v>65</v>
      </c>
      <c r="AB39">
        <v>65</v>
      </c>
      <c r="AC39">
        <v>65</v>
      </c>
      <c r="AD39">
        <v>65</v>
      </c>
      <c r="AE39">
        <f t="shared" si="22"/>
        <v>650</v>
      </c>
      <c r="AF39">
        <f t="shared" si="23"/>
        <v>0</v>
      </c>
    </row>
    <row r="40" spans="1:32" ht="15" customHeight="1" x14ac:dyDescent="0.3">
      <c r="A40" s="39">
        <f t="shared" si="13"/>
        <v>272.9375</v>
      </c>
      <c r="B40" s="2">
        <v>45699.466666666667</v>
      </c>
      <c r="C40">
        <v>10</v>
      </c>
      <c r="D40">
        <v>31</v>
      </c>
      <c r="E40">
        <v>31</v>
      </c>
      <c r="F40">
        <v>31</v>
      </c>
      <c r="G40">
        <v>31</v>
      </c>
      <c r="I40">
        <f t="shared" si="20"/>
        <v>310</v>
      </c>
      <c r="J40">
        <f t="shared" si="21"/>
        <v>0</v>
      </c>
      <c r="L40" s="39">
        <f t="shared" si="15"/>
        <v>272.9375</v>
      </c>
      <c r="M40" s="2">
        <v>45699.466666666667</v>
      </c>
      <c r="N40">
        <v>10</v>
      </c>
      <c r="O40">
        <v>54</v>
      </c>
      <c r="P40">
        <v>54</v>
      </c>
      <c r="Q40">
        <v>53</v>
      </c>
      <c r="R40">
        <v>53</v>
      </c>
      <c r="T40">
        <f>IFERROR(AVERAGE(O40:S40)*N40,NA())</f>
        <v>535</v>
      </c>
      <c r="U40">
        <f>IFERROR(STDEV(O40:S40)*N40,NA())</f>
        <v>5.7735026918962573</v>
      </c>
      <c r="W40" s="39">
        <f t="shared" si="14"/>
        <v>267.92083333332994</v>
      </c>
      <c r="X40" s="2">
        <v>45694.45</v>
      </c>
      <c r="Y40">
        <v>10</v>
      </c>
      <c r="Z40">
        <v>57</v>
      </c>
      <c r="AA40">
        <v>58</v>
      </c>
      <c r="AB40">
        <v>57</v>
      </c>
      <c r="AC40">
        <v>58</v>
      </c>
      <c r="AD40">
        <v>58</v>
      </c>
      <c r="AE40">
        <f t="shared" ref="AE40:AE45" si="24">IFERROR(AVERAGE(Z40:AD40)*Y40,NA())</f>
        <v>576</v>
      </c>
      <c r="AF40">
        <f t="shared" ref="AF40:AF45" si="25">IFERROR(STDEV(Z40:AD40)*Y40,NA())</f>
        <v>5.4772255750516603</v>
      </c>
    </row>
    <row r="41" spans="1:32" ht="15" customHeight="1" x14ac:dyDescent="0.3">
      <c r="A41" s="39">
        <f>B41-$B$1</f>
        <v>275.93888888888614</v>
      </c>
      <c r="B41" s="2">
        <v>45702.468055555553</v>
      </c>
      <c r="C41">
        <v>10</v>
      </c>
      <c r="D41">
        <v>50</v>
      </c>
      <c r="E41">
        <v>51</v>
      </c>
      <c r="F41">
        <v>51</v>
      </c>
      <c r="G41">
        <v>51</v>
      </c>
      <c r="H41">
        <v>51</v>
      </c>
      <c r="I41">
        <f t="shared" si="20"/>
        <v>508</v>
      </c>
      <c r="J41">
        <f t="shared" si="21"/>
        <v>4.4721359549995796</v>
      </c>
      <c r="L41" s="39">
        <f>M41-$B$1</f>
        <v>275.93888888888614</v>
      </c>
      <c r="M41" s="2">
        <v>45702.468055555553</v>
      </c>
      <c r="N41">
        <v>10</v>
      </c>
      <c r="O41">
        <v>46</v>
      </c>
      <c r="P41">
        <v>45</v>
      </c>
      <c r="Q41">
        <v>45</v>
      </c>
      <c r="R41">
        <v>45</v>
      </c>
      <c r="S41">
        <v>45</v>
      </c>
      <c r="T41">
        <f>IFERROR(AVERAGE(O41:S41)*N41,NA())</f>
        <v>452</v>
      </c>
      <c r="U41">
        <f>IFERROR(STDEV(O41:S41)*N41,NA())</f>
        <v>4.4721359549995796</v>
      </c>
      <c r="W41" s="39">
        <f t="shared" si="14"/>
        <v>272.9375</v>
      </c>
      <c r="X41" s="2">
        <v>45699.466666666667</v>
      </c>
      <c r="Y41">
        <v>10</v>
      </c>
      <c r="Z41">
        <v>56</v>
      </c>
      <c r="AA41">
        <v>56</v>
      </c>
      <c r="AB41">
        <v>56</v>
      </c>
      <c r="AC41">
        <v>56</v>
      </c>
      <c r="AE41">
        <f t="shared" si="24"/>
        <v>560</v>
      </c>
      <c r="AF41">
        <f t="shared" si="25"/>
        <v>0</v>
      </c>
    </row>
    <row r="42" spans="1:32" ht="15" customHeight="1" x14ac:dyDescent="0.3">
      <c r="A42" s="39">
        <f t="shared" si="13"/>
        <v>278.91249999999854</v>
      </c>
      <c r="B42" s="2">
        <v>45705.441666666666</v>
      </c>
      <c r="C42">
        <v>10</v>
      </c>
      <c r="D42">
        <v>70</v>
      </c>
      <c r="E42">
        <v>70</v>
      </c>
      <c r="F42">
        <v>70</v>
      </c>
      <c r="G42">
        <v>70</v>
      </c>
      <c r="H42">
        <v>70</v>
      </c>
      <c r="I42">
        <f>IFERROR(AVERAGE(D42:H42)*C42,NA())</f>
        <v>700</v>
      </c>
      <c r="J42">
        <f>IFERROR(STDEV(D42:H42)*C42,NA())</f>
        <v>0</v>
      </c>
      <c r="L42" s="39">
        <f t="shared" ref="L42:L56" si="26">M42-$B$1</f>
        <v>278.91249999999854</v>
      </c>
      <c r="M42" s="2">
        <v>45705.441666666666</v>
      </c>
      <c r="N42">
        <v>10</v>
      </c>
      <c r="O42">
        <v>65</v>
      </c>
      <c r="P42">
        <v>65</v>
      </c>
      <c r="Q42">
        <v>64</v>
      </c>
      <c r="R42">
        <v>64</v>
      </c>
      <c r="S42">
        <v>64</v>
      </c>
      <c r="T42">
        <f>IFERROR(AVERAGE(O42:S42)*N42,NA())</f>
        <v>644</v>
      </c>
      <c r="U42">
        <f>IFERROR(STDEV(O42:S42)*N42,NA())</f>
        <v>5.4772255750516603</v>
      </c>
      <c r="W42" s="39">
        <f>X42-$B$1</f>
        <v>275.93888888888614</v>
      </c>
      <c r="X42" s="2">
        <v>45702.468055555553</v>
      </c>
      <c r="Y42">
        <v>10</v>
      </c>
      <c r="Z42">
        <v>81</v>
      </c>
      <c r="AA42">
        <v>81</v>
      </c>
      <c r="AB42">
        <v>81</v>
      </c>
      <c r="AC42">
        <v>81</v>
      </c>
      <c r="AD42">
        <v>80</v>
      </c>
      <c r="AE42">
        <f t="shared" si="24"/>
        <v>808</v>
      </c>
      <c r="AF42">
        <f t="shared" si="25"/>
        <v>4.4721359549995796</v>
      </c>
    </row>
    <row r="43" spans="1:32" ht="15" customHeight="1" x14ac:dyDescent="0.3">
      <c r="A43" s="39">
        <f t="shared" si="13"/>
        <v>281.88749999999709</v>
      </c>
      <c r="B43" s="2">
        <v>45708.416666666664</v>
      </c>
      <c r="C43">
        <v>10</v>
      </c>
      <c r="D43">
        <v>64</v>
      </c>
      <c r="E43">
        <v>63</v>
      </c>
      <c r="F43">
        <v>63</v>
      </c>
      <c r="G43">
        <v>64</v>
      </c>
      <c r="H43">
        <v>63</v>
      </c>
      <c r="I43">
        <f>IFERROR(AVERAGE(D43:H43)*C43,NA())</f>
        <v>634</v>
      </c>
      <c r="J43">
        <f>IFERROR(STDEV(D43:H43)*C43,NA())</f>
        <v>5.4772255750516603</v>
      </c>
      <c r="L43" s="39">
        <f t="shared" si="26"/>
        <v>281.88749999999709</v>
      </c>
      <c r="M43" s="2">
        <v>45708.416666666664</v>
      </c>
      <c r="N43">
        <v>10</v>
      </c>
      <c r="O43">
        <v>50</v>
      </c>
      <c r="P43">
        <v>50</v>
      </c>
      <c r="Q43">
        <v>50</v>
      </c>
      <c r="R43">
        <v>50</v>
      </c>
      <c r="S43">
        <v>50</v>
      </c>
      <c r="T43">
        <f>IFERROR(AVERAGE(O43:S43)*N43,NA())</f>
        <v>500</v>
      </c>
      <c r="U43">
        <f>IFERROR(STDEV(O43:S43)*N43,NA())</f>
        <v>0</v>
      </c>
      <c r="W43" s="39">
        <f t="shared" ref="W43:W57" si="27">X43-$B$1</f>
        <v>278.91249999999854</v>
      </c>
      <c r="X43" s="2">
        <v>45705.441666666666</v>
      </c>
      <c r="Y43">
        <v>10</v>
      </c>
      <c r="Z43">
        <v>72</v>
      </c>
      <c r="AA43">
        <v>71</v>
      </c>
      <c r="AB43">
        <v>71</v>
      </c>
      <c r="AC43">
        <v>72</v>
      </c>
      <c r="AD43">
        <v>72</v>
      </c>
      <c r="AE43">
        <f t="shared" si="24"/>
        <v>716</v>
      </c>
      <c r="AF43">
        <f t="shared" si="25"/>
        <v>5.4772255750516603</v>
      </c>
    </row>
    <row r="44" spans="1:32" ht="15" customHeight="1" x14ac:dyDescent="0.3">
      <c r="A44" s="39">
        <f t="shared" si="13"/>
        <v>285.93958333333285</v>
      </c>
      <c r="B44" s="2">
        <v>45712.46875</v>
      </c>
      <c r="C44">
        <v>10</v>
      </c>
      <c r="D44">
        <v>50</v>
      </c>
      <c r="E44">
        <v>50</v>
      </c>
      <c r="F44">
        <v>50</v>
      </c>
      <c r="G44">
        <v>50</v>
      </c>
      <c r="H44">
        <v>50</v>
      </c>
      <c r="I44">
        <f>IFERROR(AVERAGE(D44:H44)*C44,NA())</f>
        <v>500</v>
      </c>
      <c r="J44">
        <f>IFERROR(STDEV(D44:H44)*C44,NA())</f>
        <v>0</v>
      </c>
      <c r="L44" s="39">
        <f t="shared" si="26"/>
        <v>285.93958333333285</v>
      </c>
      <c r="M44" s="2">
        <v>45712.46875</v>
      </c>
      <c r="N44">
        <v>10</v>
      </c>
      <c r="O44">
        <v>65</v>
      </c>
      <c r="P44">
        <v>64</v>
      </c>
      <c r="Q44">
        <v>64</v>
      </c>
      <c r="R44">
        <v>64</v>
      </c>
      <c r="S44">
        <v>64</v>
      </c>
      <c r="T44">
        <f t="shared" ref="T44:T56" si="28">IFERROR(AVERAGE(O44:S44)*N44,NA())</f>
        <v>642</v>
      </c>
      <c r="U44">
        <f t="shared" ref="U44:U56" si="29">IFERROR(STDEV(O44:S44)*N44,NA())</f>
        <v>4.4721359549995796</v>
      </c>
      <c r="W44" s="39">
        <f t="shared" si="27"/>
        <v>281.88749999999709</v>
      </c>
      <c r="X44" s="2">
        <v>45708.416666666664</v>
      </c>
      <c r="Y44">
        <v>10</v>
      </c>
      <c r="Z44">
        <v>82</v>
      </c>
      <c r="AA44">
        <v>82</v>
      </c>
      <c r="AB44">
        <v>82</v>
      </c>
      <c r="AC44">
        <v>82</v>
      </c>
      <c r="AD44">
        <v>82</v>
      </c>
      <c r="AE44">
        <f t="shared" si="24"/>
        <v>820</v>
      </c>
      <c r="AF44">
        <f t="shared" si="25"/>
        <v>0</v>
      </c>
    </row>
    <row r="45" spans="1:32" ht="15" customHeight="1" x14ac:dyDescent="0.3">
      <c r="A45" s="39">
        <f t="shared" si="13"/>
        <v>288.91319444444525</v>
      </c>
      <c r="B45" s="2">
        <v>45715.442361111112</v>
      </c>
      <c r="C45">
        <v>10</v>
      </c>
      <c r="D45">
        <v>56</v>
      </c>
      <c r="E45">
        <v>56</v>
      </c>
      <c r="F45">
        <v>56</v>
      </c>
      <c r="G45">
        <v>56</v>
      </c>
      <c r="H45">
        <v>56</v>
      </c>
      <c r="I45">
        <f t="shared" ref="I45:I56" si="30">IFERROR(AVERAGE(D45:H45)*C45,NA())</f>
        <v>560</v>
      </c>
      <c r="J45">
        <f t="shared" ref="J45:J56" si="31">IFERROR(STDEV(D45:H45)*C45,NA())</f>
        <v>0</v>
      </c>
      <c r="L45" s="39">
        <f t="shared" si="26"/>
        <v>288.91319444444525</v>
      </c>
      <c r="M45" s="2">
        <v>45715.442361111112</v>
      </c>
      <c r="N45">
        <v>10</v>
      </c>
      <c r="O45">
        <v>42</v>
      </c>
      <c r="P45">
        <v>42</v>
      </c>
      <c r="Q45">
        <v>43</v>
      </c>
      <c r="R45">
        <v>43</v>
      </c>
      <c r="S45">
        <v>43</v>
      </c>
      <c r="T45">
        <f t="shared" si="28"/>
        <v>426</v>
      </c>
      <c r="U45">
        <f t="shared" si="29"/>
        <v>5.4772255750516603</v>
      </c>
      <c r="W45" s="39">
        <f t="shared" si="27"/>
        <v>285.93958333333285</v>
      </c>
      <c r="X45" s="2">
        <v>45712.46875</v>
      </c>
      <c r="Y45">
        <v>10</v>
      </c>
      <c r="Z45">
        <v>63</v>
      </c>
      <c r="AA45">
        <v>63</v>
      </c>
      <c r="AB45">
        <v>63</v>
      </c>
      <c r="AC45">
        <v>63</v>
      </c>
      <c r="AD45">
        <v>63</v>
      </c>
      <c r="AE45">
        <f t="shared" si="24"/>
        <v>630</v>
      </c>
      <c r="AF45">
        <f t="shared" si="25"/>
        <v>0</v>
      </c>
    </row>
    <row r="46" spans="1:32" ht="15" customHeight="1" x14ac:dyDescent="0.3">
      <c r="A46" s="39">
        <f t="shared" si="13"/>
        <v>292.88263888889196</v>
      </c>
      <c r="B46" s="2">
        <v>45719.411805555559</v>
      </c>
      <c r="C46">
        <v>10</v>
      </c>
      <c r="D46">
        <v>52</v>
      </c>
      <c r="E46">
        <v>52</v>
      </c>
      <c r="F46">
        <v>51</v>
      </c>
      <c r="G46">
        <v>52</v>
      </c>
      <c r="H46">
        <v>52</v>
      </c>
      <c r="I46">
        <f t="shared" si="30"/>
        <v>518</v>
      </c>
      <c r="J46">
        <f t="shared" si="31"/>
        <v>4.4721359549995796</v>
      </c>
      <c r="L46" s="39">
        <f t="shared" si="26"/>
        <v>292.88263888889196</v>
      </c>
      <c r="M46" s="2">
        <v>45719.411805555559</v>
      </c>
      <c r="N46">
        <v>10</v>
      </c>
      <c r="O46">
        <v>62</v>
      </c>
      <c r="P46">
        <v>61</v>
      </c>
      <c r="Q46">
        <v>63</v>
      </c>
      <c r="R46">
        <v>63</v>
      </c>
      <c r="S46">
        <v>63</v>
      </c>
      <c r="T46">
        <f t="shared" si="28"/>
        <v>624</v>
      </c>
      <c r="U46">
        <f t="shared" si="29"/>
        <v>8.9442719099991592</v>
      </c>
      <c r="W46" s="39">
        <f t="shared" si="27"/>
        <v>288.91319444444525</v>
      </c>
      <c r="X46" s="2">
        <v>45715.442361111112</v>
      </c>
      <c r="Y46">
        <v>10</v>
      </c>
      <c r="Z46">
        <v>50</v>
      </c>
      <c r="AA46">
        <v>49</v>
      </c>
      <c r="AB46">
        <v>50</v>
      </c>
      <c r="AC46">
        <v>50</v>
      </c>
      <c r="AD46">
        <v>50</v>
      </c>
      <c r="AE46">
        <f t="shared" ref="AE46:AE57" si="32">IFERROR(AVERAGE(Z46:AD46)*Y46,NA())</f>
        <v>498</v>
      </c>
      <c r="AF46">
        <f t="shared" ref="AF46:AF57" si="33">IFERROR(STDEV(Z46:AD46)*Y46,NA())</f>
        <v>4.4721359549995796</v>
      </c>
    </row>
    <row r="47" spans="1:32" ht="15" customHeight="1" x14ac:dyDescent="0.3">
      <c r="A47" s="39">
        <f t="shared" si="13"/>
        <v>295.85972222222335</v>
      </c>
      <c r="B47" s="4">
        <v>45722.388888888891</v>
      </c>
      <c r="C47">
        <v>10</v>
      </c>
      <c r="D47">
        <v>61</v>
      </c>
      <c r="E47">
        <v>62</v>
      </c>
      <c r="F47">
        <v>62</v>
      </c>
      <c r="G47">
        <v>62</v>
      </c>
      <c r="H47">
        <v>62</v>
      </c>
      <c r="I47">
        <f t="shared" si="30"/>
        <v>618</v>
      </c>
      <c r="J47">
        <f t="shared" si="31"/>
        <v>4.4721359549995796</v>
      </c>
      <c r="L47" s="39">
        <f t="shared" si="26"/>
        <v>295.85972222222335</v>
      </c>
      <c r="M47" s="4">
        <v>45722.388888888891</v>
      </c>
      <c r="N47">
        <v>10</v>
      </c>
      <c r="O47">
        <v>62</v>
      </c>
      <c r="P47">
        <v>62</v>
      </c>
      <c r="Q47">
        <v>62</v>
      </c>
      <c r="R47">
        <v>62</v>
      </c>
      <c r="S47">
        <v>62</v>
      </c>
      <c r="T47">
        <f t="shared" si="28"/>
        <v>620</v>
      </c>
      <c r="U47">
        <f t="shared" si="29"/>
        <v>0</v>
      </c>
      <c r="W47" s="39">
        <f t="shared" si="27"/>
        <v>292.88263888889196</v>
      </c>
      <c r="X47" s="2">
        <v>45719.411805555559</v>
      </c>
      <c r="Y47">
        <v>10</v>
      </c>
      <c r="Z47">
        <v>63</v>
      </c>
      <c r="AA47">
        <v>62</v>
      </c>
      <c r="AB47">
        <v>63</v>
      </c>
      <c r="AC47">
        <v>63</v>
      </c>
      <c r="AD47">
        <v>63</v>
      </c>
      <c r="AE47">
        <f t="shared" si="32"/>
        <v>628</v>
      </c>
      <c r="AF47">
        <f t="shared" si="33"/>
        <v>4.4721359549995796</v>
      </c>
    </row>
    <row r="48" spans="1:32" ht="15" customHeight="1" x14ac:dyDescent="0.3">
      <c r="A48" s="39">
        <f t="shared" si="13"/>
        <v>299.83125000000291</v>
      </c>
      <c r="B48" s="2">
        <v>45726.36041666667</v>
      </c>
      <c r="C48">
        <v>10</v>
      </c>
      <c r="D48">
        <v>59</v>
      </c>
      <c r="E48">
        <v>59</v>
      </c>
      <c r="F48">
        <v>58</v>
      </c>
      <c r="G48">
        <v>58</v>
      </c>
      <c r="H48">
        <v>58</v>
      </c>
      <c r="I48">
        <f t="shared" si="30"/>
        <v>584</v>
      </c>
      <c r="J48">
        <f t="shared" si="31"/>
        <v>5.4772255750516603</v>
      </c>
      <c r="L48" s="39">
        <f t="shared" si="26"/>
        <v>299.83125000000291</v>
      </c>
      <c r="M48" s="2">
        <v>45726.36041666667</v>
      </c>
      <c r="N48">
        <v>10</v>
      </c>
      <c r="O48">
        <v>72</v>
      </c>
      <c r="P48">
        <v>72</v>
      </c>
      <c r="Q48">
        <v>72</v>
      </c>
      <c r="R48">
        <v>72</v>
      </c>
      <c r="S48">
        <v>73</v>
      </c>
      <c r="T48">
        <f t="shared" si="28"/>
        <v>722</v>
      </c>
      <c r="U48">
        <f t="shared" si="29"/>
        <v>4.4721359549995796</v>
      </c>
      <c r="W48" s="39">
        <f t="shared" si="27"/>
        <v>295.85972222222335</v>
      </c>
      <c r="X48" s="4">
        <v>45722.388888888891</v>
      </c>
      <c r="Y48">
        <v>10</v>
      </c>
      <c r="Z48">
        <v>73</v>
      </c>
      <c r="AA48">
        <v>72</v>
      </c>
      <c r="AB48">
        <v>72</v>
      </c>
      <c r="AC48">
        <v>73</v>
      </c>
      <c r="AD48">
        <v>73</v>
      </c>
      <c r="AE48">
        <f t="shared" si="32"/>
        <v>726</v>
      </c>
      <c r="AF48">
        <f t="shared" si="33"/>
        <v>5.4772255750516603</v>
      </c>
    </row>
    <row r="49" spans="1:33" ht="15" customHeight="1" x14ac:dyDescent="0.3">
      <c r="A49" s="39">
        <f t="shared" si="13"/>
        <v>302.88333333333139</v>
      </c>
      <c r="B49" s="2">
        <v>45729.412499999999</v>
      </c>
      <c r="C49">
        <v>10</v>
      </c>
      <c r="D49">
        <v>68</v>
      </c>
      <c r="E49">
        <v>68</v>
      </c>
      <c r="F49">
        <v>68</v>
      </c>
      <c r="G49">
        <v>68</v>
      </c>
      <c r="H49">
        <v>68</v>
      </c>
      <c r="I49">
        <f t="shared" si="30"/>
        <v>680</v>
      </c>
      <c r="J49">
        <f t="shared" si="31"/>
        <v>0</v>
      </c>
      <c r="L49" s="39">
        <f t="shared" si="26"/>
        <v>302.88333333333139</v>
      </c>
      <c r="M49" s="2">
        <v>45729.412499999999</v>
      </c>
      <c r="N49">
        <v>10</v>
      </c>
      <c r="O49">
        <v>56</v>
      </c>
      <c r="P49">
        <v>55</v>
      </c>
      <c r="Q49">
        <v>55</v>
      </c>
      <c r="R49">
        <v>55</v>
      </c>
      <c r="S49">
        <v>55</v>
      </c>
      <c r="T49">
        <f t="shared" si="28"/>
        <v>552</v>
      </c>
      <c r="U49">
        <f t="shared" si="29"/>
        <v>4.4721359549995796</v>
      </c>
      <c r="W49" s="39">
        <f t="shared" si="27"/>
        <v>299.83125000000291</v>
      </c>
      <c r="X49" s="2">
        <v>45726.36041666667</v>
      </c>
      <c r="Y49">
        <v>10</v>
      </c>
      <c r="Z49">
        <v>89</v>
      </c>
      <c r="AA49">
        <v>89</v>
      </c>
      <c r="AB49">
        <v>89</v>
      </c>
      <c r="AC49">
        <v>89</v>
      </c>
      <c r="AD49">
        <v>89</v>
      </c>
      <c r="AE49">
        <f t="shared" si="32"/>
        <v>890</v>
      </c>
      <c r="AF49">
        <f t="shared" si="33"/>
        <v>0</v>
      </c>
    </row>
    <row r="50" spans="1:33" ht="15" customHeight="1" x14ac:dyDescent="0.3">
      <c r="A50" s="39">
        <f t="shared" si="13"/>
        <v>306.88472222222481</v>
      </c>
      <c r="B50" s="2">
        <v>45733.413888888892</v>
      </c>
      <c r="C50">
        <v>10</v>
      </c>
      <c r="D50">
        <v>56</v>
      </c>
      <c r="E50">
        <v>54</v>
      </c>
      <c r="F50">
        <v>57</v>
      </c>
      <c r="G50">
        <v>56</v>
      </c>
      <c r="H50">
        <v>56</v>
      </c>
      <c r="I50">
        <f t="shared" si="30"/>
        <v>558</v>
      </c>
      <c r="J50">
        <f t="shared" si="31"/>
        <v>10.954451150103321</v>
      </c>
      <c r="L50" s="39">
        <f t="shared" si="26"/>
        <v>306.88472222222481</v>
      </c>
      <c r="M50" s="2">
        <v>45733.413888888892</v>
      </c>
      <c r="N50">
        <v>10</v>
      </c>
      <c r="O50">
        <v>61</v>
      </c>
      <c r="P50">
        <v>62</v>
      </c>
      <c r="Q50">
        <v>61</v>
      </c>
      <c r="R50">
        <v>61</v>
      </c>
      <c r="S50">
        <v>62</v>
      </c>
      <c r="T50">
        <f t="shared" si="28"/>
        <v>614</v>
      </c>
      <c r="U50">
        <f t="shared" si="29"/>
        <v>5.4772255750516603</v>
      </c>
      <c r="W50" s="39">
        <f t="shared" si="27"/>
        <v>302.88333333333139</v>
      </c>
      <c r="X50" s="2">
        <v>45729.412499999999</v>
      </c>
      <c r="Y50">
        <v>10</v>
      </c>
      <c r="Z50">
        <v>73</v>
      </c>
      <c r="AA50">
        <v>73</v>
      </c>
      <c r="AB50">
        <v>74</v>
      </c>
      <c r="AC50">
        <v>74</v>
      </c>
      <c r="AD50">
        <v>74</v>
      </c>
      <c r="AE50">
        <f t="shared" si="32"/>
        <v>736</v>
      </c>
      <c r="AF50">
        <f t="shared" si="33"/>
        <v>5.4772255750516603</v>
      </c>
    </row>
    <row r="51" spans="1:33" ht="15" customHeight="1" x14ac:dyDescent="0.3">
      <c r="A51" s="39">
        <f t="shared" si="13"/>
        <v>309.89097222222335</v>
      </c>
      <c r="B51" s="2">
        <v>45736.420138888891</v>
      </c>
      <c r="C51">
        <v>10</v>
      </c>
      <c r="D51">
        <v>58</v>
      </c>
      <c r="E51">
        <v>59</v>
      </c>
      <c r="F51">
        <v>59</v>
      </c>
      <c r="G51">
        <v>59</v>
      </c>
      <c r="H51">
        <v>59</v>
      </c>
      <c r="I51">
        <f t="shared" si="30"/>
        <v>588</v>
      </c>
      <c r="J51">
        <f t="shared" si="31"/>
        <v>4.4721359549995796</v>
      </c>
      <c r="L51" s="39">
        <f t="shared" si="26"/>
        <v>309.89097222222335</v>
      </c>
      <c r="M51" s="2">
        <v>45736.420138888891</v>
      </c>
      <c r="N51">
        <v>10</v>
      </c>
      <c r="O51">
        <v>46</v>
      </c>
      <c r="P51">
        <v>42</v>
      </c>
      <c r="Q51">
        <v>43</v>
      </c>
      <c r="R51">
        <v>43</v>
      </c>
      <c r="S51">
        <v>44</v>
      </c>
      <c r="T51">
        <f t="shared" si="28"/>
        <v>436</v>
      </c>
      <c r="U51">
        <f t="shared" si="29"/>
        <v>15.1657508881031</v>
      </c>
      <c r="W51" s="39">
        <f t="shared" si="27"/>
        <v>306.88472222222481</v>
      </c>
      <c r="X51" s="2">
        <v>45733.413888888892</v>
      </c>
      <c r="Y51">
        <v>10</v>
      </c>
      <c r="Z51">
        <v>63</v>
      </c>
      <c r="AA51">
        <v>63</v>
      </c>
      <c r="AB51">
        <v>63</v>
      </c>
      <c r="AC51">
        <v>63</v>
      </c>
      <c r="AD51">
        <v>63</v>
      </c>
      <c r="AE51">
        <f t="shared" si="32"/>
        <v>630</v>
      </c>
      <c r="AF51">
        <f t="shared" si="33"/>
        <v>0</v>
      </c>
    </row>
    <row r="52" spans="1:33" ht="15" customHeight="1" x14ac:dyDescent="0.3">
      <c r="A52" s="39">
        <f t="shared" si="13"/>
        <v>316.89791666666861</v>
      </c>
      <c r="B52" s="119">
        <v>45743.427083333336</v>
      </c>
      <c r="C52" s="108">
        <v>10</v>
      </c>
      <c r="D52">
        <v>84</v>
      </c>
      <c r="E52">
        <v>84</v>
      </c>
      <c r="F52">
        <v>84</v>
      </c>
      <c r="G52">
        <v>84</v>
      </c>
      <c r="H52">
        <v>84</v>
      </c>
      <c r="I52">
        <f t="shared" si="30"/>
        <v>840</v>
      </c>
      <c r="J52">
        <f t="shared" si="31"/>
        <v>0</v>
      </c>
      <c r="K52" s="108" t="s">
        <v>728</v>
      </c>
      <c r="L52" s="39">
        <f t="shared" si="26"/>
        <v>316.89791666666861</v>
      </c>
      <c r="M52" s="119">
        <v>45743.427083333336</v>
      </c>
      <c r="N52" s="108">
        <v>10</v>
      </c>
      <c r="O52">
        <v>84</v>
      </c>
      <c r="P52">
        <v>86</v>
      </c>
      <c r="Q52">
        <v>87</v>
      </c>
      <c r="R52">
        <v>84</v>
      </c>
      <c r="S52">
        <v>83</v>
      </c>
      <c r="T52">
        <f t="shared" si="28"/>
        <v>848</v>
      </c>
      <c r="U52">
        <f t="shared" si="29"/>
        <v>16.431676725154983</v>
      </c>
      <c r="V52" s="108" t="s">
        <v>728</v>
      </c>
      <c r="W52" s="39">
        <f t="shared" si="27"/>
        <v>309.89097222222335</v>
      </c>
      <c r="X52" s="2">
        <v>45736.420138888891</v>
      </c>
      <c r="Y52">
        <v>10</v>
      </c>
      <c r="Z52">
        <v>91</v>
      </c>
      <c r="AA52">
        <v>90</v>
      </c>
      <c r="AB52">
        <v>90</v>
      </c>
      <c r="AC52">
        <v>91</v>
      </c>
      <c r="AD52">
        <v>90</v>
      </c>
      <c r="AE52">
        <f t="shared" si="32"/>
        <v>904</v>
      </c>
      <c r="AF52">
        <f t="shared" si="33"/>
        <v>5.4772255750516603</v>
      </c>
    </row>
    <row r="53" spans="1:33" ht="15" customHeight="1" x14ac:dyDescent="0.3">
      <c r="A53" s="39">
        <f t="shared" si="13"/>
        <v>320.88194444444525</v>
      </c>
      <c r="B53" s="119">
        <v>45747.411111111112</v>
      </c>
      <c r="C53" s="108">
        <v>10</v>
      </c>
      <c r="D53">
        <v>69</v>
      </c>
      <c r="E53">
        <v>69</v>
      </c>
      <c r="F53">
        <v>69</v>
      </c>
      <c r="G53">
        <v>69</v>
      </c>
      <c r="H53">
        <v>69</v>
      </c>
      <c r="I53">
        <f t="shared" si="30"/>
        <v>690</v>
      </c>
      <c r="J53">
        <f t="shared" si="31"/>
        <v>0</v>
      </c>
      <c r="K53" s="108" t="s">
        <v>728</v>
      </c>
      <c r="L53" s="39">
        <f t="shared" si="26"/>
        <v>320.88194444444525</v>
      </c>
      <c r="M53" s="119">
        <v>45747.411111111112</v>
      </c>
      <c r="N53" s="108">
        <v>10</v>
      </c>
      <c r="O53">
        <v>64</v>
      </c>
      <c r="P53">
        <v>63</v>
      </c>
      <c r="Q53">
        <v>64</v>
      </c>
      <c r="R53">
        <v>63</v>
      </c>
      <c r="S53">
        <v>64</v>
      </c>
      <c r="T53">
        <f t="shared" si="28"/>
        <v>636</v>
      </c>
      <c r="U53">
        <f t="shared" si="29"/>
        <v>5.4772255750516603</v>
      </c>
      <c r="V53" s="108" t="s">
        <v>728</v>
      </c>
      <c r="W53" s="39">
        <f t="shared" si="27"/>
        <v>316.89791666666861</v>
      </c>
      <c r="X53" s="119">
        <v>45743.427083333336</v>
      </c>
      <c r="Y53" s="108">
        <v>10</v>
      </c>
      <c r="Z53">
        <v>88</v>
      </c>
      <c r="AA53">
        <v>87</v>
      </c>
      <c r="AB53">
        <v>87</v>
      </c>
      <c r="AC53">
        <v>87</v>
      </c>
      <c r="AD53">
        <v>86</v>
      </c>
      <c r="AE53">
        <f t="shared" si="32"/>
        <v>870</v>
      </c>
      <c r="AF53">
        <f t="shared" si="33"/>
        <v>7.0710678118654755</v>
      </c>
      <c r="AG53" s="108" t="s">
        <v>728</v>
      </c>
    </row>
    <row r="54" spans="1:33" ht="15" customHeight="1" x14ac:dyDescent="0.3">
      <c r="A54" s="39">
        <f t="shared" si="13"/>
        <v>323.93819444444671</v>
      </c>
      <c r="B54" s="119">
        <v>45750.467361111114</v>
      </c>
      <c r="C54" s="108">
        <v>10</v>
      </c>
      <c r="D54">
        <v>60</v>
      </c>
      <c r="E54">
        <v>60</v>
      </c>
      <c r="F54">
        <v>59</v>
      </c>
      <c r="G54">
        <v>60</v>
      </c>
      <c r="H54">
        <v>60</v>
      </c>
      <c r="I54">
        <f t="shared" si="30"/>
        <v>598</v>
      </c>
      <c r="J54">
        <f t="shared" si="31"/>
        <v>4.4721359549995796</v>
      </c>
      <c r="K54" s="108" t="s">
        <v>728</v>
      </c>
      <c r="L54" s="39">
        <f t="shared" si="26"/>
        <v>323.93819444444671</v>
      </c>
      <c r="M54" s="119">
        <v>45750.467361111114</v>
      </c>
      <c r="N54" s="108">
        <v>10</v>
      </c>
      <c r="O54">
        <v>61</v>
      </c>
      <c r="P54">
        <v>61</v>
      </c>
      <c r="Q54">
        <v>59</v>
      </c>
      <c r="R54">
        <v>61</v>
      </c>
      <c r="S54">
        <v>61</v>
      </c>
      <c r="T54">
        <f t="shared" si="28"/>
        <v>606</v>
      </c>
      <c r="U54">
        <f t="shared" si="29"/>
        <v>8.9442719099991592</v>
      </c>
      <c r="V54" s="108" t="s">
        <v>728</v>
      </c>
      <c r="W54" s="39">
        <f t="shared" si="27"/>
        <v>320.88194444444525</v>
      </c>
      <c r="X54" s="119">
        <v>45747.411111111112</v>
      </c>
      <c r="Y54" s="108">
        <v>10</v>
      </c>
      <c r="Z54">
        <v>74</v>
      </c>
      <c r="AA54">
        <v>74</v>
      </c>
      <c r="AB54">
        <v>74</v>
      </c>
      <c r="AC54">
        <v>74</v>
      </c>
      <c r="AD54">
        <v>74</v>
      </c>
      <c r="AE54">
        <f t="shared" si="32"/>
        <v>740</v>
      </c>
      <c r="AF54">
        <f t="shared" si="33"/>
        <v>0</v>
      </c>
      <c r="AG54" s="108" t="s">
        <v>728</v>
      </c>
    </row>
    <row r="55" spans="1:33" ht="15" customHeight="1" x14ac:dyDescent="0.3">
      <c r="A55" s="39">
        <f t="shared" si="13"/>
        <v>327.90625</v>
      </c>
      <c r="B55" s="119">
        <v>45754.435416666667</v>
      </c>
      <c r="C55" s="108">
        <v>10</v>
      </c>
      <c r="D55">
        <v>53</v>
      </c>
      <c r="E55">
        <v>54</v>
      </c>
      <c r="F55">
        <v>53</v>
      </c>
      <c r="G55">
        <v>53</v>
      </c>
      <c r="H55">
        <v>53</v>
      </c>
      <c r="I55">
        <f t="shared" si="30"/>
        <v>532</v>
      </c>
      <c r="J55">
        <f t="shared" si="31"/>
        <v>4.4721359549995796</v>
      </c>
      <c r="K55" s="108" t="s">
        <v>728</v>
      </c>
      <c r="L55" s="39">
        <f t="shared" si="26"/>
        <v>327.90625</v>
      </c>
      <c r="M55" s="119">
        <v>45754.435416666667</v>
      </c>
      <c r="N55" s="108">
        <v>10</v>
      </c>
      <c r="O55">
        <v>59</v>
      </c>
      <c r="P55">
        <v>62</v>
      </c>
      <c r="Q55">
        <v>58</v>
      </c>
      <c r="R55">
        <v>59</v>
      </c>
      <c r="S55">
        <v>59</v>
      </c>
      <c r="T55">
        <f t="shared" si="28"/>
        <v>594</v>
      </c>
      <c r="U55">
        <f t="shared" si="29"/>
        <v>15.1657508881031</v>
      </c>
      <c r="V55" s="108" t="s">
        <v>728</v>
      </c>
      <c r="W55" s="39">
        <f t="shared" si="27"/>
        <v>323.93819444444671</v>
      </c>
      <c r="X55" s="119">
        <v>45750.467361111114</v>
      </c>
      <c r="Y55" s="108">
        <v>10</v>
      </c>
      <c r="Z55">
        <v>89</v>
      </c>
      <c r="AA55">
        <v>89</v>
      </c>
      <c r="AB55">
        <v>89</v>
      </c>
      <c r="AC55">
        <v>89</v>
      </c>
      <c r="AD55">
        <v>88</v>
      </c>
      <c r="AE55">
        <f t="shared" si="32"/>
        <v>888</v>
      </c>
      <c r="AF55">
        <f t="shared" si="33"/>
        <v>4.4721359549995796</v>
      </c>
      <c r="AG55" s="108" t="s">
        <v>728</v>
      </c>
    </row>
    <row r="56" spans="1:33" ht="15" customHeight="1" x14ac:dyDescent="0.3">
      <c r="A56" s="39">
        <f t="shared" si="13"/>
        <v>330.87708333333285</v>
      </c>
      <c r="B56" s="119">
        <v>45757.40625</v>
      </c>
      <c r="C56" s="108">
        <v>10</v>
      </c>
      <c r="D56">
        <v>68</v>
      </c>
      <c r="E56">
        <v>68</v>
      </c>
      <c r="F56">
        <v>68</v>
      </c>
      <c r="G56">
        <v>68</v>
      </c>
      <c r="H56">
        <v>68</v>
      </c>
      <c r="I56">
        <f t="shared" si="30"/>
        <v>680</v>
      </c>
      <c r="J56">
        <f t="shared" si="31"/>
        <v>0</v>
      </c>
      <c r="K56" s="108" t="s">
        <v>728</v>
      </c>
      <c r="L56" s="39">
        <f t="shared" si="26"/>
        <v>330.87708333333285</v>
      </c>
      <c r="M56" s="119">
        <v>45757.40625</v>
      </c>
      <c r="N56" s="108">
        <v>10</v>
      </c>
      <c r="O56">
        <v>69</v>
      </c>
      <c r="P56">
        <v>70</v>
      </c>
      <c r="Q56">
        <v>70</v>
      </c>
      <c r="R56">
        <v>70</v>
      </c>
      <c r="S56">
        <v>70</v>
      </c>
      <c r="T56">
        <f t="shared" si="28"/>
        <v>698</v>
      </c>
      <c r="U56">
        <f t="shared" si="29"/>
        <v>4.4721359549995796</v>
      </c>
      <c r="V56" s="108" t="s">
        <v>728</v>
      </c>
      <c r="W56" s="39">
        <f t="shared" si="27"/>
        <v>327.90625</v>
      </c>
      <c r="X56" s="119">
        <v>45754.435416666667</v>
      </c>
      <c r="Y56" s="108">
        <v>10</v>
      </c>
      <c r="Z56">
        <v>83</v>
      </c>
      <c r="AA56">
        <v>83</v>
      </c>
      <c r="AB56">
        <v>83</v>
      </c>
      <c r="AC56">
        <v>83</v>
      </c>
      <c r="AD56">
        <v>83</v>
      </c>
      <c r="AE56">
        <f t="shared" si="32"/>
        <v>830</v>
      </c>
      <c r="AF56">
        <f t="shared" si="33"/>
        <v>0</v>
      </c>
      <c r="AG56" s="108" t="s">
        <v>728</v>
      </c>
    </row>
    <row r="57" spans="1:33" ht="15" customHeight="1" x14ac:dyDescent="0.3">
      <c r="W57" s="39">
        <f t="shared" si="27"/>
        <v>330.87708333333285</v>
      </c>
      <c r="X57" s="119">
        <v>45757.40625</v>
      </c>
      <c r="Y57" s="108">
        <v>10</v>
      </c>
      <c r="Z57">
        <v>90</v>
      </c>
      <c r="AA57">
        <v>90</v>
      </c>
      <c r="AB57">
        <v>90</v>
      </c>
      <c r="AC57">
        <v>90</v>
      </c>
      <c r="AD57">
        <v>90</v>
      </c>
      <c r="AE57">
        <f t="shared" si="32"/>
        <v>900</v>
      </c>
      <c r="AF57">
        <f t="shared" si="33"/>
        <v>0</v>
      </c>
      <c r="AG57" s="108" t="s">
        <v>728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021C-4324-40F2-B69B-069E4EEEBAD0}">
  <dimension ref="A1:V11"/>
  <sheetViews>
    <sheetView workbookViewId="0">
      <selection activeCell="L11" sqref="L11"/>
    </sheetView>
  </sheetViews>
  <sheetFormatPr defaultRowHeight="15" customHeight="1" x14ac:dyDescent="0.3"/>
  <cols>
    <col min="1" max="1" width="13.44140625" customWidth="1"/>
    <col min="2" max="3" width="19.33203125" customWidth="1"/>
    <col min="4" max="4" width="15" customWidth="1"/>
    <col min="5" max="5" width="24.33203125" customWidth="1"/>
    <col min="6" max="6" width="12.88671875" customWidth="1"/>
    <col min="7" max="11" width="11.6640625" customWidth="1"/>
    <col min="12" max="12" width="22.109375" customWidth="1"/>
    <col min="13" max="13" width="23.5546875" customWidth="1"/>
    <col min="15" max="15" width="18.6640625" customWidth="1"/>
    <col min="17" max="17" width="16.33203125" customWidth="1"/>
    <col min="18" max="18" width="11.109375" customWidth="1"/>
  </cols>
  <sheetData>
    <row r="1" spans="1:22" ht="15" customHeight="1" x14ac:dyDescent="0.3">
      <c r="H1" s="3" t="s">
        <v>729</v>
      </c>
      <c r="I1" s="3"/>
      <c r="J1" s="3" t="s">
        <v>730</v>
      </c>
    </row>
    <row r="2" spans="1:22" ht="14.4" x14ac:dyDescent="0.3">
      <c r="A2" s="3" t="s">
        <v>23</v>
      </c>
      <c r="B2" s="3" t="s">
        <v>474</v>
      </c>
      <c r="C2" s="3" t="s">
        <v>465</v>
      </c>
      <c r="D2" s="3" t="s">
        <v>477</v>
      </c>
      <c r="E2" s="3" t="s">
        <v>31</v>
      </c>
      <c r="F2" s="3" t="s">
        <v>621</v>
      </c>
      <c r="G2" s="3" t="s">
        <v>483</v>
      </c>
      <c r="H2" s="3" t="s">
        <v>685</v>
      </c>
      <c r="I2" s="3" t="s">
        <v>731</v>
      </c>
      <c r="J2" s="3" t="s">
        <v>685</v>
      </c>
      <c r="K2" s="3" t="s">
        <v>731</v>
      </c>
      <c r="L2" s="3" t="s">
        <v>22</v>
      </c>
      <c r="M2" s="3" t="s">
        <v>686</v>
      </c>
      <c r="N2" s="3" t="s">
        <v>23</v>
      </c>
      <c r="O2" s="3" t="s">
        <v>474</v>
      </c>
      <c r="P2" s="3" t="s">
        <v>465</v>
      </c>
      <c r="Q2" s="3" t="s">
        <v>477</v>
      </c>
      <c r="R2" s="3" t="s">
        <v>31</v>
      </c>
      <c r="S2" s="3" t="s">
        <v>621</v>
      </c>
      <c r="T2" s="3" t="s">
        <v>483</v>
      </c>
      <c r="U2" s="3" t="s">
        <v>22</v>
      </c>
      <c r="V2" s="3" t="s">
        <v>686</v>
      </c>
    </row>
    <row r="3" spans="1:22" ht="14.4" x14ac:dyDescent="0.3">
      <c r="A3" t="s">
        <v>732</v>
      </c>
      <c r="B3" s="2">
        <v>45426.571527777778</v>
      </c>
      <c r="C3">
        <f>(B3-'Pre-Summary'!$C$1)</f>
        <v>4.2361111110949423E-2</v>
      </c>
      <c r="D3" s="4">
        <v>45426</v>
      </c>
      <c r="E3" t="s">
        <v>492</v>
      </c>
      <c r="F3">
        <v>10</v>
      </c>
      <c r="G3">
        <v>3</v>
      </c>
      <c r="N3" t="s">
        <v>688</v>
      </c>
      <c r="O3" s="2">
        <v>45426.571527777778</v>
      </c>
      <c r="P3">
        <f>(O3-'Pre-Summary'!$C$1)</f>
        <v>4.2361111110949423E-2</v>
      </c>
      <c r="Q3" s="4">
        <v>45426</v>
      </c>
      <c r="R3" t="s">
        <v>498</v>
      </c>
      <c r="S3">
        <v>10</v>
      </c>
      <c r="T3">
        <v>3</v>
      </c>
    </row>
    <row r="4" spans="1:22" ht="14.4" x14ac:dyDescent="0.3">
      <c r="A4" t="s">
        <v>733</v>
      </c>
      <c r="B4" s="2">
        <v>45432.4375</v>
      </c>
      <c r="C4">
        <f>(B4-'Pre-Summary'!$C$1)</f>
        <v>5.9083333333328483</v>
      </c>
      <c r="D4" s="4">
        <v>45432</v>
      </c>
      <c r="E4" t="s">
        <v>492</v>
      </c>
      <c r="F4">
        <v>10</v>
      </c>
      <c r="G4">
        <v>3</v>
      </c>
      <c r="N4" t="s">
        <v>734</v>
      </c>
      <c r="O4" s="2">
        <v>45432.4375</v>
      </c>
      <c r="P4">
        <f>(O4-'Pre-Summary'!$C$1)</f>
        <v>5.9083333333328483</v>
      </c>
      <c r="Q4" s="4">
        <v>45432</v>
      </c>
      <c r="R4" t="s">
        <v>498</v>
      </c>
      <c r="S4">
        <v>10</v>
      </c>
      <c r="T4">
        <v>3</v>
      </c>
    </row>
    <row r="5" spans="1:22" ht="14.4" x14ac:dyDescent="0.3">
      <c r="A5" t="s">
        <v>732</v>
      </c>
      <c r="B5" s="2">
        <v>45434.4375</v>
      </c>
      <c r="C5">
        <f>(B5-'Pre-Summary'!$C$1)</f>
        <v>7.9083333333328483</v>
      </c>
      <c r="D5" s="4">
        <v>45434</v>
      </c>
      <c r="E5" t="s">
        <v>492</v>
      </c>
      <c r="F5">
        <v>10</v>
      </c>
      <c r="G5">
        <v>3</v>
      </c>
      <c r="N5" t="s">
        <v>688</v>
      </c>
      <c r="O5" s="2">
        <v>45434.4375</v>
      </c>
      <c r="P5">
        <f>(O5-'Pre-Summary'!$C$1)</f>
        <v>7.9083333333328483</v>
      </c>
      <c r="Q5" s="4">
        <v>45434</v>
      </c>
      <c r="R5" t="s">
        <v>498</v>
      </c>
      <c r="S5">
        <v>10</v>
      </c>
      <c r="T5">
        <v>3</v>
      </c>
    </row>
    <row r="6" spans="1:22" ht="14.4" x14ac:dyDescent="0.3">
      <c r="A6" t="s">
        <v>732</v>
      </c>
      <c r="B6" s="2">
        <v>45435.4375</v>
      </c>
      <c r="C6">
        <f>(B6-'Pre-Summary'!$C$1)</f>
        <v>8.9083333333328483</v>
      </c>
      <c r="D6" s="4">
        <v>45435</v>
      </c>
      <c r="E6" t="s">
        <v>492</v>
      </c>
      <c r="F6">
        <v>30</v>
      </c>
      <c r="G6">
        <v>3</v>
      </c>
      <c r="N6" t="s">
        <v>688</v>
      </c>
      <c r="O6" s="2">
        <v>45435.4375</v>
      </c>
      <c r="P6">
        <f>(O6-'Pre-Summary'!$C$1)</f>
        <v>8.9083333333328483</v>
      </c>
      <c r="Q6" s="4">
        <v>45435</v>
      </c>
      <c r="R6" t="s">
        <v>498</v>
      </c>
      <c r="S6">
        <v>30</v>
      </c>
      <c r="T6">
        <v>3</v>
      </c>
    </row>
    <row r="7" spans="1:22" ht="14.4" x14ac:dyDescent="0.3"/>
    <row r="8" spans="1:22" ht="14.4" x14ac:dyDescent="0.3"/>
    <row r="9" spans="1:22" ht="14.4" x14ac:dyDescent="0.3"/>
    <row r="10" spans="1:22" ht="14.4" x14ac:dyDescent="0.3"/>
    <row r="11" spans="1:22" ht="14.4" x14ac:dyDescent="0.3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77C1-490C-4C62-A942-1AADA42D05CE}">
  <dimension ref="A1:K304"/>
  <sheetViews>
    <sheetView workbookViewId="0">
      <pane ySplit="2" topLeftCell="A3" activePane="bottomLeft" state="frozen"/>
      <selection pane="bottomLeft" activeCell="B10" sqref="B10"/>
    </sheetView>
  </sheetViews>
  <sheetFormatPr defaultRowHeight="14.4" x14ac:dyDescent="0.3"/>
  <cols>
    <col min="1" max="1" width="21.44140625" customWidth="1"/>
    <col min="2" max="2" width="17.44140625" customWidth="1"/>
    <col min="3" max="3" width="18.6640625" customWidth="1"/>
    <col min="6" max="6" width="13.88671875" customWidth="1"/>
    <col min="7" max="7" width="15.33203125" customWidth="1"/>
    <col min="11" max="11" width="18.44140625" customWidth="1"/>
  </cols>
  <sheetData>
    <row r="1" spans="1:11" x14ac:dyDescent="0.3">
      <c r="A1" s="2">
        <v>45426.529166666667</v>
      </c>
      <c r="D1" t="s">
        <v>735</v>
      </c>
      <c r="G1" t="s">
        <v>736</v>
      </c>
    </row>
    <row r="2" spans="1:11" x14ac:dyDescent="0.3">
      <c r="A2" t="s">
        <v>737</v>
      </c>
      <c r="B2" t="s">
        <v>620</v>
      </c>
      <c r="C2" t="s">
        <v>454</v>
      </c>
      <c r="D2" t="s">
        <v>337</v>
      </c>
      <c r="E2" t="s">
        <v>338</v>
      </c>
      <c r="F2" t="s">
        <v>738</v>
      </c>
      <c r="G2" t="s">
        <v>739</v>
      </c>
      <c r="H2" t="s">
        <v>740</v>
      </c>
    </row>
    <row r="3" spans="1:11" x14ac:dyDescent="0.3">
      <c r="A3">
        <v>0</v>
      </c>
      <c r="C3">
        <v>450</v>
      </c>
    </row>
    <row r="4" spans="1:11" x14ac:dyDescent="0.3">
      <c r="A4" s="39">
        <f>(B4-$A$1)</f>
        <v>20.31111111111386</v>
      </c>
      <c r="B4" s="2">
        <v>45446.840277777781</v>
      </c>
      <c r="C4">
        <v>450</v>
      </c>
      <c r="D4">
        <v>30</v>
      </c>
      <c r="K4" s="2"/>
    </row>
    <row r="5" spans="1:11" x14ac:dyDescent="0.3">
      <c r="A5" s="39">
        <f t="shared" ref="A5:A67" si="0">(B5-$A$1)</f>
        <v>20.90486111111386</v>
      </c>
      <c r="B5" s="2">
        <v>45447.434027777781</v>
      </c>
      <c r="C5">
        <v>450</v>
      </c>
      <c r="D5">
        <v>10</v>
      </c>
      <c r="K5" s="2"/>
    </row>
    <row r="6" spans="1:11" x14ac:dyDescent="0.3">
      <c r="A6" s="39">
        <f t="shared" si="0"/>
        <v>20.934027777773736</v>
      </c>
      <c r="B6" s="2">
        <v>45447.463194444441</v>
      </c>
      <c r="C6">
        <v>450</v>
      </c>
      <c r="D6">
        <v>55</v>
      </c>
      <c r="K6" s="2"/>
    </row>
    <row r="7" spans="1:11" x14ac:dyDescent="0.3">
      <c r="A7" s="39">
        <f t="shared" si="0"/>
        <v>21.931944444440887</v>
      </c>
      <c r="B7" s="2">
        <v>45448.461111111108</v>
      </c>
      <c r="C7">
        <v>450</v>
      </c>
      <c r="D7">
        <v>60</v>
      </c>
      <c r="K7" s="2"/>
    </row>
    <row r="8" spans="1:11" x14ac:dyDescent="0.3">
      <c r="A8" s="39">
        <f t="shared" si="0"/>
        <v>22.116666666668607</v>
      </c>
      <c r="B8" s="2">
        <v>45448.645833333336</v>
      </c>
      <c r="C8">
        <v>450</v>
      </c>
      <c r="D8">
        <v>150</v>
      </c>
      <c r="K8" s="2"/>
    </row>
    <row r="9" spans="1:11" x14ac:dyDescent="0.3">
      <c r="A9" s="39">
        <f t="shared" si="0"/>
        <v>34.915277777778101</v>
      </c>
      <c r="B9" s="2">
        <v>45461.444444444445</v>
      </c>
      <c r="C9">
        <v>450</v>
      </c>
      <c r="D9">
        <v>15</v>
      </c>
      <c r="K9" s="2"/>
    </row>
    <row r="10" spans="1:11" x14ac:dyDescent="0.3">
      <c r="A10" s="39">
        <f t="shared" si="0"/>
        <v>38.134722222224809</v>
      </c>
      <c r="B10" s="47">
        <v>45464.663888888892</v>
      </c>
      <c r="C10">
        <v>450</v>
      </c>
      <c r="D10">
        <v>15</v>
      </c>
      <c r="E10">
        <v>12</v>
      </c>
      <c r="F10">
        <v>713</v>
      </c>
      <c r="K10" s="2"/>
    </row>
    <row r="11" spans="1:11" x14ac:dyDescent="0.3">
      <c r="A11" s="39">
        <f t="shared" si="0"/>
        <v>41.913888888891961</v>
      </c>
      <c r="B11" s="122">
        <v>45468.443055555559</v>
      </c>
      <c r="C11">
        <v>450</v>
      </c>
      <c r="D11">
        <v>30</v>
      </c>
      <c r="E11">
        <v>53</v>
      </c>
      <c r="K11" s="2"/>
    </row>
    <row r="12" spans="1:11" x14ac:dyDescent="0.3">
      <c r="A12" s="39">
        <f t="shared" si="0"/>
        <v>48.857638888890506</v>
      </c>
      <c r="B12" s="44">
        <v>45475.386805555558</v>
      </c>
      <c r="C12">
        <v>450</v>
      </c>
      <c r="D12">
        <v>49.5</v>
      </c>
      <c r="E12">
        <v>49.5</v>
      </c>
      <c r="F12">
        <v>700</v>
      </c>
      <c r="K12" s="2"/>
    </row>
    <row r="13" spans="1:11" x14ac:dyDescent="0.3">
      <c r="A13" s="39">
        <f t="shared" si="0"/>
        <v>51.949305555557657</v>
      </c>
      <c r="B13" s="44">
        <v>45478.478472222225</v>
      </c>
      <c r="C13">
        <v>450</v>
      </c>
      <c r="D13">
        <v>30</v>
      </c>
      <c r="E13">
        <v>15</v>
      </c>
      <c r="F13">
        <v>81</v>
      </c>
      <c r="K13" s="2"/>
    </row>
    <row r="14" spans="1:11" x14ac:dyDescent="0.3">
      <c r="A14" s="39">
        <f t="shared" si="0"/>
        <v>55.847222222218988</v>
      </c>
      <c r="B14" s="44">
        <v>45482.376388888886</v>
      </c>
      <c r="C14">
        <v>450</v>
      </c>
      <c r="D14">
        <v>30.5</v>
      </c>
      <c r="E14">
        <v>48</v>
      </c>
      <c r="F14">
        <v>102</v>
      </c>
      <c r="K14" s="2"/>
    </row>
    <row r="15" spans="1:11" x14ac:dyDescent="0.3">
      <c r="A15" s="39">
        <f t="shared" si="0"/>
        <v>55.997222222220444</v>
      </c>
      <c r="B15" s="2">
        <v>45482.526388888888</v>
      </c>
      <c r="C15">
        <v>450</v>
      </c>
      <c r="K15" s="2"/>
    </row>
    <row r="16" spans="1:11" x14ac:dyDescent="0.3">
      <c r="A16" s="39">
        <f t="shared" si="0"/>
        <v>56.022222222221899</v>
      </c>
      <c r="B16" s="2">
        <v>45482.551388888889</v>
      </c>
      <c r="C16">
        <v>450</v>
      </c>
      <c r="D16">
        <v>13</v>
      </c>
      <c r="K16" s="2"/>
    </row>
    <row r="17" spans="1:11" x14ac:dyDescent="0.3">
      <c r="A17" s="39">
        <f t="shared" si="0"/>
        <v>58.868750000001455</v>
      </c>
      <c r="B17" s="2">
        <v>45485.397916666669</v>
      </c>
      <c r="C17">
        <v>450</v>
      </c>
      <c r="D17">
        <v>30</v>
      </c>
      <c r="E17">
        <v>15.5</v>
      </c>
      <c r="K17" s="2"/>
    </row>
    <row r="18" spans="1:11" x14ac:dyDescent="0.3">
      <c r="A18" s="39">
        <f t="shared" si="0"/>
        <v>61.908333333332848</v>
      </c>
      <c r="B18" s="2">
        <v>45488.4375</v>
      </c>
      <c r="C18">
        <v>450</v>
      </c>
      <c r="D18">
        <v>30</v>
      </c>
      <c r="E18">
        <v>45</v>
      </c>
      <c r="F18">
        <v>392</v>
      </c>
      <c r="K18" s="2"/>
    </row>
    <row r="19" spans="1:11" x14ac:dyDescent="0.3">
      <c r="A19" s="39">
        <f t="shared" si="0"/>
        <v>64.88749999999709</v>
      </c>
      <c r="B19" s="2">
        <v>45491.416666666664</v>
      </c>
      <c r="C19">
        <v>450</v>
      </c>
      <c r="D19">
        <v>10</v>
      </c>
      <c r="E19">
        <v>10</v>
      </c>
      <c r="K19" s="2"/>
    </row>
    <row r="20" spans="1:11" x14ac:dyDescent="0.3">
      <c r="A20" s="39">
        <f t="shared" si="0"/>
        <v>68.88749999999709</v>
      </c>
      <c r="B20" s="2">
        <v>45495.416666666664</v>
      </c>
      <c r="C20">
        <v>450</v>
      </c>
      <c r="D20">
        <v>10</v>
      </c>
      <c r="E20">
        <v>10</v>
      </c>
      <c r="K20" s="2"/>
    </row>
    <row r="21" spans="1:11" x14ac:dyDescent="0.3">
      <c r="A21" s="39">
        <f t="shared" si="0"/>
        <v>70.111111111109494</v>
      </c>
      <c r="B21" s="2">
        <v>45496.640277777777</v>
      </c>
      <c r="C21">
        <v>450</v>
      </c>
      <c r="D21">
        <v>4</v>
      </c>
      <c r="K21" s="2"/>
    </row>
    <row r="22" spans="1:11" x14ac:dyDescent="0.3">
      <c r="A22" s="39">
        <f t="shared" si="0"/>
        <v>70.88749999999709</v>
      </c>
      <c r="B22" s="44">
        <v>45497.416666666664</v>
      </c>
      <c r="C22">
        <v>450</v>
      </c>
      <c r="D22">
        <v>5.5</v>
      </c>
      <c r="K22" s="2"/>
    </row>
    <row r="23" spans="1:11" x14ac:dyDescent="0.3">
      <c r="A23" s="39">
        <f t="shared" si="0"/>
        <v>70.973611111112405</v>
      </c>
      <c r="B23" s="2">
        <v>45497.50277777778</v>
      </c>
      <c r="C23">
        <v>450</v>
      </c>
      <c r="F23">
        <v>851</v>
      </c>
      <c r="K23" s="2"/>
    </row>
    <row r="24" spans="1:11" x14ac:dyDescent="0.3">
      <c r="A24" s="39">
        <f t="shared" si="0"/>
        <v>71.924305555556202</v>
      </c>
      <c r="B24" s="2">
        <v>45498.453472222223</v>
      </c>
      <c r="C24">
        <v>450</v>
      </c>
      <c r="D24">
        <v>5</v>
      </c>
      <c r="E24">
        <v>5</v>
      </c>
      <c r="K24" s="2"/>
    </row>
    <row r="25" spans="1:11" x14ac:dyDescent="0.3">
      <c r="A25" s="39">
        <f t="shared" si="0"/>
        <v>72.909027777779556</v>
      </c>
      <c r="B25" s="2">
        <v>45499.438194444447</v>
      </c>
      <c r="C25">
        <v>450</v>
      </c>
      <c r="D25">
        <v>4</v>
      </c>
      <c r="K25" s="2"/>
    </row>
    <row r="26" spans="1:11" x14ac:dyDescent="0.3">
      <c r="A26" s="39">
        <f t="shared" si="0"/>
        <v>73.095833333332848</v>
      </c>
      <c r="B26" s="2">
        <v>45499.625</v>
      </c>
      <c r="C26">
        <v>450</v>
      </c>
      <c r="E26">
        <v>15</v>
      </c>
      <c r="K26" s="2"/>
    </row>
    <row r="27" spans="1:11" x14ac:dyDescent="0.3">
      <c r="A27" s="39">
        <f t="shared" si="0"/>
        <v>73.12361111111386</v>
      </c>
      <c r="B27" s="2">
        <v>45499.652777777781</v>
      </c>
      <c r="C27">
        <f>450+450</f>
        <v>900</v>
      </c>
      <c r="K27" s="2"/>
    </row>
    <row r="28" spans="1:11" x14ac:dyDescent="0.3">
      <c r="A28" s="39">
        <f t="shared" si="0"/>
        <v>75.870833333334303</v>
      </c>
      <c r="B28" s="2">
        <v>45502.400000000001</v>
      </c>
      <c r="C28">
        <f>450+450</f>
        <v>900</v>
      </c>
      <c r="D28">
        <v>77</v>
      </c>
      <c r="E28">
        <v>14</v>
      </c>
      <c r="K28" s="2"/>
    </row>
    <row r="29" spans="1:11" x14ac:dyDescent="0.3">
      <c r="A29" s="39">
        <f t="shared" si="0"/>
        <v>75.929166666668607</v>
      </c>
      <c r="B29" s="2">
        <v>45502.458333333336</v>
      </c>
      <c r="C29">
        <f>450+450</f>
        <v>900</v>
      </c>
      <c r="D29">
        <v>47.5</v>
      </c>
      <c r="K29" s="2"/>
    </row>
    <row r="30" spans="1:11" x14ac:dyDescent="0.3">
      <c r="A30" s="39">
        <f t="shared" si="0"/>
        <v>76.86250000000291</v>
      </c>
      <c r="B30" s="2">
        <v>45503.39166666667</v>
      </c>
      <c r="C30">
        <f>450+450</f>
        <v>900</v>
      </c>
      <c r="D30">
        <v>10</v>
      </c>
      <c r="K30" s="2"/>
    </row>
    <row r="31" spans="1:11" x14ac:dyDescent="0.3">
      <c r="A31" s="39">
        <f t="shared" si="0"/>
        <v>77.863194444442343</v>
      </c>
      <c r="B31" s="2">
        <v>45504.392361111109</v>
      </c>
      <c r="C31">
        <f>450+450</f>
        <v>900</v>
      </c>
      <c r="D31">
        <v>4.5</v>
      </c>
      <c r="K31" s="2"/>
    </row>
    <row r="32" spans="1:11" x14ac:dyDescent="0.3">
      <c r="A32" s="39">
        <f t="shared" si="0"/>
        <v>78.109027777776646</v>
      </c>
      <c r="B32" s="2">
        <v>45504.638194444444</v>
      </c>
      <c r="C32">
        <f t="shared" ref="C32:C37" si="1">450+200</f>
        <v>650</v>
      </c>
      <c r="K32" s="2"/>
    </row>
    <row r="33" spans="1:11" x14ac:dyDescent="0.3">
      <c r="A33" s="39">
        <f t="shared" si="0"/>
        <v>78.85624999999709</v>
      </c>
      <c r="B33" s="2">
        <v>45505.385416666664</v>
      </c>
      <c r="C33">
        <f t="shared" si="1"/>
        <v>650</v>
      </c>
      <c r="D33">
        <v>4</v>
      </c>
      <c r="E33">
        <v>5</v>
      </c>
      <c r="K33" s="2"/>
    </row>
    <row r="34" spans="1:11" x14ac:dyDescent="0.3">
      <c r="A34" s="39">
        <f t="shared" si="0"/>
        <v>78.885416666664241</v>
      </c>
      <c r="B34" s="2">
        <v>45505.414583333331</v>
      </c>
      <c r="C34">
        <f t="shared" si="1"/>
        <v>650</v>
      </c>
      <c r="D34">
        <v>11</v>
      </c>
      <c r="E34">
        <v>11</v>
      </c>
      <c r="K34" s="2"/>
    </row>
    <row r="35" spans="1:11" x14ac:dyDescent="0.3">
      <c r="A35" s="39">
        <f t="shared" si="0"/>
        <v>79.022916666668607</v>
      </c>
      <c r="B35" s="2">
        <v>45505.552083333336</v>
      </c>
      <c r="C35">
        <f t="shared" si="1"/>
        <v>650</v>
      </c>
      <c r="E35">
        <v>15</v>
      </c>
      <c r="K35" s="2"/>
    </row>
    <row r="36" spans="1:11" x14ac:dyDescent="0.3">
      <c r="A36" s="39">
        <f t="shared" si="0"/>
        <v>79.085416666668607</v>
      </c>
      <c r="B36" s="2">
        <v>45505.614583333336</v>
      </c>
      <c r="C36">
        <f t="shared" si="1"/>
        <v>650</v>
      </c>
      <c r="D36">
        <v>7</v>
      </c>
      <c r="E36">
        <v>5</v>
      </c>
      <c r="K36" s="2"/>
    </row>
    <row r="37" spans="1:11" x14ac:dyDescent="0.3">
      <c r="A37" s="39">
        <f t="shared" si="0"/>
        <v>79.807638888887595</v>
      </c>
      <c r="B37" s="2">
        <v>45506.336805555555</v>
      </c>
      <c r="C37">
        <f t="shared" si="1"/>
        <v>650</v>
      </c>
      <c r="D37">
        <v>2</v>
      </c>
      <c r="K37" s="2"/>
    </row>
    <row r="38" spans="1:11" x14ac:dyDescent="0.3">
      <c r="A38" s="39">
        <f t="shared" si="0"/>
        <v>79.866666666668607</v>
      </c>
      <c r="B38" s="2">
        <v>45506.395833333336</v>
      </c>
      <c r="C38">
        <f>450+450</f>
        <v>900</v>
      </c>
      <c r="K38" s="2"/>
    </row>
    <row r="39" spans="1:11" x14ac:dyDescent="0.3">
      <c r="A39" s="39">
        <f t="shared" si="0"/>
        <v>80.094444444446708</v>
      </c>
      <c r="B39" s="2">
        <v>45506.623611111114</v>
      </c>
      <c r="C39">
        <f>450+450</f>
        <v>900</v>
      </c>
      <c r="F39">
        <v>880</v>
      </c>
      <c r="K39" s="2"/>
    </row>
    <row r="40" spans="1:11" x14ac:dyDescent="0.3">
      <c r="A40" s="39">
        <f t="shared" si="0"/>
        <v>82.859722222223354</v>
      </c>
      <c r="B40" s="2">
        <v>45509.388888888891</v>
      </c>
      <c r="C40">
        <f>450+450</f>
        <v>900</v>
      </c>
      <c r="D40">
        <v>20</v>
      </c>
      <c r="E40">
        <v>14</v>
      </c>
      <c r="K40" s="2"/>
    </row>
    <row r="41" spans="1:11" x14ac:dyDescent="0.3">
      <c r="A41" s="39">
        <f t="shared" si="0"/>
        <v>82.979861111110949</v>
      </c>
      <c r="B41" s="2">
        <v>45509.509027777778</v>
      </c>
      <c r="C41">
        <f>450+450</f>
        <v>900</v>
      </c>
      <c r="D41">
        <v>14</v>
      </c>
      <c r="E41">
        <v>8</v>
      </c>
      <c r="K41" s="2"/>
    </row>
    <row r="42" spans="1:11" x14ac:dyDescent="0.3">
      <c r="A42" s="39">
        <f t="shared" si="0"/>
        <v>83.875694444446708</v>
      </c>
      <c r="B42" s="47">
        <v>45510.404861111114</v>
      </c>
      <c r="C42">
        <f>450+450</f>
        <v>900</v>
      </c>
      <c r="D42">
        <v>5</v>
      </c>
      <c r="K42" s="2"/>
    </row>
    <row r="43" spans="1:11" x14ac:dyDescent="0.3">
      <c r="A43" s="39">
        <f t="shared" si="0"/>
        <v>84.930555555554747</v>
      </c>
      <c r="B43" s="2">
        <v>45511.459722222222</v>
      </c>
      <c r="C43">
        <v>450</v>
      </c>
      <c r="D43">
        <v>6</v>
      </c>
      <c r="K43" s="2"/>
    </row>
    <row r="44" spans="1:11" x14ac:dyDescent="0.3">
      <c r="A44" s="39">
        <f t="shared" si="0"/>
        <v>85.857638888890506</v>
      </c>
      <c r="B44" s="2">
        <v>45512.386805555558</v>
      </c>
      <c r="C44">
        <v>450</v>
      </c>
      <c r="K44" s="2"/>
    </row>
    <row r="45" spans="1:11" x14ac:dyDescent="0.3">
      <c r="A45" s="39">
        <f t="shared" si="0"/>
        <v>85.860416666662786</v>
      </c>
      <c r="B45" s="2">
        <v>45512.38958333333</v>
      </c>
      <c r="C45">
        <v>450</v>
      </c>
      <c r="D45">
        <v>26</v>
      </c>
      <c r="E45">
        <v>14</v>
      </c>
      <c r="F45">
        <v>825</v>
      </c>
    </row>
    <row r="46" spans="1:11" x14ac:dyDescent="0.3">
      <c r="A46" s="39">
        <f t="shared" si="0"/>
        <v>86.804166666668607</v>
      </c>
      <c r="B46" s="2">
        <v>45513.333333333336</v>
      </c>
      <c r="C46">
        <v>450</v>
      </c>
      <c r="D46">
        <v>10.5</v>
      </c>
    </row>
    <row r="47" spans="1:11" x14ac:dyDescent="0.3">
      <c r="A47" s="39">
        <f t="shared" si="0"/>
        <v>86.845833333332848</v>
      </c>
      <c r="B47" s="2">
        <v>45513.375</v>
      </c>
      <c r="C47">
        <v>450</v>
      </c>
      <c r="D47">
        <v>5</v>
      </c>
    </row>
    <row r="48" spans="1:11" x14ac:dyDescent="0.3">
      <c r="A48" s="39">
        <f t="shared" si="0"/>
        <v>86.88749999999709</v>
      </c>
      <c r="B48" s="2">
        <v>45513.416666666664</v>
      </c>
      <c r="C48">
        <v>450</v>
      </c>
      <c r="D48">
        <v>6.5</v>
      </c>
    </row>
    <row r="49" spans="1:6" x14ac:dyDescent="0.3">
      <c r="A49" s="39">
        <f t="shared" si="0"/>
        <v>86.929166666668607</v>
      </c>
      <c r="B49" s="2">
        <v>45513.458333333336</v>
      </c>
      <c r="C49">
        <v>450</v>
      </c>
      <c r="D49">
        <v>4</v>
      </c>
    </row>
    <row r="50" spans="1:6" x14ac:dyDescent="0.3">
      <c r="A50" s="39">
        <f t="shared" si="0"/>
        <v>86.970833333332848</v>
      </c>
      <c r="B50" s="2">
        <v>45513.5</v>
      </c>
      <c r="C50">
        <v>450</v>
      </c>
      <c r="D50">
        <v>4.5</v>
      </c>
    </row>
    <row r="51" spans="1:6" x14ac:dyDescent="0.3">
      <c r="A51" s="39">
        <f t="shared" si="0"/>
        <v>87.01249999999709</v>
      </c>
      <c r="B51" s="2">
        <v>45513.541666666664</v>
      </c>
      <c r="C51">
        <v>450</v>
      </c>
      <c r="D51">
        <v>4</v>
      </c>
    </row>
    <row r="52" spans="1:6" x14ac:dyDescent="0.3">
      <c r="A52" s="39">
        <f t="shared" si="0"/>
        <v>87.054166666668607</v>
      </c>
      <c r="B52" s="2">
        <v>45513.583333333336</v>
      </c>
      <c r="C52">
        <v>450</v>
      </c>
      <c r="D52">
        <v>5</v>
      </c>
    </row>
    <row r="53" spans="1:6" x14ac:dyDescent="0.3">
      <c r="A53" s="39">
        <f t="shared" si="0"/>
        <v>87.095833333332848</v>
      </c>
      <c r="B53" s="2">
        <v>45513.625</v>
      </c>
      <c r="C53">
        <v>450</v>
      </c>
      <c r="D53">
        <v>4.5</v>
      </c>
    </row>
    <row r="54" spans="1:6" x14ac:dyDescent="0.3">
      <c r="A54" s="39">
        <f t="shared" si="0"/>
        <v>89.861111111109494</v>
      </c>
      <c r="B54" s="2">
        <v>45516.390277777777</v>
      </c>
      <c r="C54">
        <v>450</v>
      </c>
      <c r="D54">
        <v>27</v>
      </c>
      <c r="E54">
        <v>15</v>
      </c>
    </row>
    <row r="55" spans="1:6" x14ac:dyDescent="0.3">
      <c r="A55" s="39">
        <f t="shared" si="0"/>
        <v>90.866666666668607</v>
      </c>
      <c r="B55" s="2">
        <v>45517.395833333336</v>
      </c>
      <c r="C55">
        <v>450</v>
      </c>
      <c r="D55">
        <v>20.5</v>
      </c>
    </row>
    <row r="56" spans="1:6" x14ac:dyDescent="0.3">
      <c r="A56" s="39">
        <f t="shared" si="0"/>
        <v>90.894444444442343</v>
      </c>
      <c r="B56" s="2">
        <v>45517.423611111109</v>
      </c>
      <c r="C56">
        <v>450</v>
      </c>
      <c r="D56">
        <v>6.5</v>
      </c>
    </row>
    <row r="57" spans="1:6" x14ac:dyDescent="0.3">
      <c r="A57" s="39">
        <f t="shared" si="0"/>
        <v>91.872916666667152</v>
      </c>
      <c r="B57" s="2">
        <v>45518.402083333334</v>
      </c>
      <c r="C57">
        <v>450</v>
      </c>
      <c r="D57">
        <v>6.5</v>
      </c>
    </row>
    <row r="58" spans="1:6" x14ac:dyDescent="0.3">
      <c r="A58" s="39">
        <f t="shared" si="0"/>
        <v>92.863888888889051</v>
      </c>
      <c r="B58" s="2">
        <v>45519.393055555556</v>
      </c>
      <c r="C58">
        <v>450</v>
      </c>
      <c r="D58">
        <v>26</v>
      </c>
      <c r="E58">
        <v>15</v>
      </c>
    </row>
    <row r="59" spans="1:6" x14ac:dyDescent="0.3">
      <c r="A59" s="39">
        <f t="shared" si="0"/>
        <v>93.877777777779556</v>
      </c>
      <c r="B59" s="2">
        <v>45520.406944444447</v>
      </c>
      <c r="C59">
        <v>450</v>
      </c>
      <c r="D59">
        <v>10</v>
      </c>
    </row>
    <row r="60" spans="1:6" x14ac:dyDescent="0.3">
      <c r="A60" s="39">
        <f t="shared" si="0"/>
        <v>96.856944444443798</v>
      </c>
      <c r="B60" s="2">
        <v>45523.386111111111</v>
      </c>
      <c r="C60">
        <v>450</v>
      </c>
      <c r="D60">
        <v>26</v>
      </c>
      <c r="E60">
        <v>16</v>
      </c>
      <c r="F60">
        <v>1150</v>
      </c>
    </row>
    <row r="61" spans="1:6" x14ac:dyDescent="0.3">
      <c r="A61" s="39">
        <f t="shared" si="0"/>
        <v>97.060416666667152</v>
      </c>
      <c r="B61" s="2">
        <v>45523.589583333334</v>
      </c>
      <c r="C61">
        <v>450</v>
      </c>
    </row>
    <row r="62" spans="1:6" x14ac:dyDescent="0.3">
      <c r="A62" s="39">
        <f t="shared" si="0"/>
        <v>97.0625</v>
      </c>
      <c r="B62" s="2">
        <v>45523.591666666667</v>
      </c>
      <c r="C62">
        <v>450</v>
      </c>
      <c r="D62">
        <v>16</v>
      </c>
      <c r="E62">
        <v>31</v>
      </c>
    </row>
    <row r="63" spans="1:6" x14ac:dyDescent="0.3">
      <c r="A63" s="39">
        <f t="shared" si="0"/>
        <v>97.963888888887595</v>
      </c>
      <c r="B63" s="2">
        <v>45524.493055555555</v>
      </c>
      <c r="C63">
        <v>450</v>
      </c>
      <c r="D63">
        <v>10</v>
      </c>
    </row>
    <row r="64" spans="1:6" x14ac:dyDescent="0.3">
      <c r="A64" s="39">
        <f t="shared" si="0"/>
        <v>97.974999999998545</v>
      </c>
      <c r="B64" s="2">
        <v>45524.504166666666</v>
      </c>
      <c r="C64">
        <v>450</v>
      </c>
      <c r="D64">
        <v>15</v>
      </c>
    </row>
    <row r="65" spans="1:6" x14ac:dyDescent="0.3">
      <c r="A65" s="39">
        <f t="shared" si="0"/>
        <v>98.909027777779556</v>
      </c>
      <c r="B65" s="2">
        <v>45525.438194444447</v>
      </c>
      <c r="C65">
        <v>450</v>
      </c>
      <c r="D65">
        <v>8</v>
      </c>
    </row>
    <row r="66" spans="1:6" x14ac:dyDescent="0.3">
      <c r="A66" s="39">
        <f t="shared" si="0"/>
        <v>99.118750000001455</v>
      </c>
      <c r="B66" s="2">
        <v>45525.647916666669</v>
      </c>
      <c r="C66">
        <v>450</v>
      </c>
      <c r="E66">
        <v>35</v>
      </c>
    </row>
    <row r="67" spans="1:6" x14ac:dyDescent="0.3">
      <c r="A67" s="39">
        <f t="shared" si="0"/>
        <v>99.897222222221899</v>
      </c>
      <c r="B67" s="2">
        <v>45526.426388888889</v>
      </c>
      <c r="C67">
        <v>450</v>
      </c>
      <c r="D67">
        <v>27.5</v>
      </c>
      <c r="E67">
        <v>20.5</v>
      </c>
    </row>
    <row r="68" spans="1:6" x14ac:dyDescent="0.3">
      <c r="A68" s="39">
        <f t="shared" ref="A68:A131" si="2">(B68-$A$1)</f>
        <v>100.8972222222219</v>
      </c>
      <c r="B68" s="2">
        <v>45527.426388888889</v>
      </c>
      <c r="C68">
        <v>450</v>
      </c>
    </row>
    <row r="69" spans="1:6" x14ac:dyDescent="0.3">
      <c r="A69" s="39">
        <f t="shared" si="2"/>
        <v>103.8701388888876</v>
      </c>
      <c r="B69" s="2">
        <v>45530.399305555555</v>
      </c>
      <c r="C69">
        <v>450</v>
      </c>
      <c r="D69">
        <v>3</v>
      </c>
    </row>
    <row r="70" spans="1:6" x14ac:dyDescent="0.3">
      <c r="A70" s="39">
        <f t="shared" si="2"/>
        <v>103.88263888889196</v>
      </c>
      <c r="B70" s="2">
        <v>45530.411805555559</v>
      </c>
      <c r="C70">
        <v>450</v>
      </c>
      <c r="D70">
        <v>24.5</v>
      </c>
      <c r="E70">
        <v>16</v>
      </c>
      <c r="F70">
        <v>155</v>
      </c>
    </row>
    <row r="71" spans="1:6" x14ac:dyDescent="0.3">
      <c r="A71" s="39">
        <f t="shared" si="2"/>
        <v>104.04305555555766</v>
      </c>
      <c r="B71" s="2">
        <v>45530.572222222225</v>
      </c>
      <c r="C71">
        <v>450</v>
      </c>
      <c r="D71">
        <v>14.5</v>
      </c>
      <c r="F71">
        <v>29</v>
      </c>
    </row>
    <row r="72" spans="1:6" x14ac:dyDescent="0.3">
      <c r="A72" s="39">
        <f t="shared" si="2"/>
        <v>104.94305555555184</v>
      </c>
      <c r="B72" s="2">
        <v>45531.472222222219</v>
      </c>
      <c r="C72">
        <v>450</v>
      </c>
      <c r="D72">
        <v>23</v>
      </c>
      <c r="F72">
        <v>220</v>
      </c>
    </row>
    <row r="73" spans="1:6" x14ac:dyDescent="0.3">
      <c r="A73" s="39">
        <f t="shared" si="2"/>
        <v>105.86666666666861</v>
      </c>
      <c r="B73" s="2">
        <v>45532.395833333336</v>
      </c>
      <c r="C73">
        <v>450</v>
      </c>
      <c r="D73">
        <v>7</v>
      </c>
    </row>
    <row r="74" spans="1:6" x14ac:dyDescent="0.3">
      <c r="A74" s="39">
        <f t="shared" si="2"/>
        <v>106.93541666666715</v>
      </c>
      <c r="B74" s="2">
        <v>45533.464583333334</v>
      </c>
      <c r="C74">
        <v>450</v>
      </c>
      <c r="D74">
        <v>35</v>
      </c>
      <c r="E74">
        <v>5</v>
      </c>
    </row>
    <row r="75" spans="1:6" x14ac:dyDescent="0.3">
      <c r="A75" s="39">
        <f t="shared" si="2"/>
        <v>107.87361111111386</v>
      </c>
      <c r="B75" s="2">
        <v>45534.402777777781</v>
      </c>
      <c r="C75">
        <v>450</v>
      </c>
      <c r="D75">
        <v>6</v>
      </c>
    </row>
    <row r="76" spans="1:6" x14ac:dyDescent="0.3">
      <c r="A76" s="39">
        <f t="shared" si="2"/>
        <v>111.8659722222219</v>
      </c>
      <c r="B76" s="2">
        <v>45538.395138888889</v>
      </c>
      <c r="C76">
        <v>450</v>
      </c>
      <c r="D76">
        <v>22</v>
      </c>
      <c r="E76">
        <v>15</v>
      </c>
    </row>
    <row r="77" spans="1:6" x14ac:dyDescent="0.3">
      <c r="A77" s="39">
        <f t="shared" si="2"/>
        <v>112.07361111111095</v>
      </c>
      <c r="B77" s="2">
        <v>45538.602777777778</v>
      </c>
      <c r="C77">
        <v>450</v>
      </c>
      <c r="D77">
        <v>14</v>
      </c>
      <c r="F77">
        <v>28</v>
      </c>
    </row>
    <row r="78" spans="1:6" x14ac:dyDescent="0.3">
      <c r="A78" s="39">
        <f t="shared" si="2"/>
        <v>112.16180555555184</v>
      </c>
      <c r="B78" s="2">
        <v>45538.690972222219</v>
      </c>
      <c r="C78">
        <v>450</v>
      </c>
      <c r="E78">
        <v>-120</v>
      </c>
    </row>
    <row r="79" spans="1:6" x14ac:dyDescent="0.3">
      <c r="A79" s="39">
        <f t="shared" si="2"/>
        <v>112.85972222222335</v>
      </c>
      <c r="B79" s="2">
        <v>45539.388888888891</v>
      </c>
      <c r="C79">
        <v>450</v>
      </c>
      <c r="D79">
        <v>10</v>
      </c>
    </row>
    <row r="80" spans="1:6" x14ac:dyDescent="0.3">
      <c r="A80" s="39">
        <f t="shared" si="2"/>
        <v>112.9111111111124</v>
      </c>
      <c r="B80" s="2">
        <v>45539.44027777778</v>
      </c>
      <c r="C80">
        <v>450</v>
      </c>
      <c r="D80">
        <v>15</v>
      </c>
    </row>
    <row r="81" spans="1:6" x14ac:dyDescent="0.3">
      <c r="A81" s="39">
        <f t="shared" si="2"/>
        <v>113.86388888888905</v>
      </c>
      <c r="B81" s="2">
        <v>45540.393055555556</v>
      </c>
      <c r="C81">
        <v>450</v>
      </c>
      <c r="D81">
        <v>10</v>
      </c>
    </row>
    <row r="82" spans="1:6" x14ac:dyDescent="0.3">
      <c r="A82" s="39">
        <f t="shared" si="2"/>
        <v>113.89791666666861</v>
      </c>
      <c r="B82" s="2">
        <v>45540.427083333336</v>
      </c>
      <c r="C82">
        <v>450</v>
      </c>
      <c r="E82">
        <v>30</v>
      </c>
    </row>
    <row r="83" spans="1:6" x14ac:dyDescent="0.3">
      <c r="A83" s="39">
        <f t="shared" si="2"/>
        <v>114.90763888888614</v>
      </c>
      <c r="B83" s="2">
        <v>45541.436805555553</v>
      </c>
      <c r="C83">
        <v>450</v>
      </c>
      <c r="D83">
        <v>30</v>
      </c>
      <c r="E83">
        <v>25</v>
      </c>
    </row>
    <row r="84" spans="1:6" x14ac:dyDescent="0.3">
      <c r="A84" s="39">
        <f t="shared" si="2"/>
        <v>117.88263888889196</v>
      </c>
      <c r="B84" s="2">
        <v>45544.411805555559</v>
      </c>
      <c r="C84">
        <v>450</v>
      </c>
      <c r="D84">
        <v>30.5</v>
      </c>
    </row>
    <row r="85" spans="1:6" x14ac:dyDescent="0.3">
      <c r="A85" s="39">
        <f t="shared" si="2"/>
        <v>117.88680555555766</v>
      </c>
      <c r="B85" s="2">
        <v>45544.415972222225</v>
      </c>
      <c r="C85">
        <v>450</v>
      </c>
      <c r="E85">
        <v>22</v>
      </c>
    </row>
    <row r="86" spans="1:6" x14ac:dyDescent="0.3">
      <c r="A86" s="39">
        <f t="shared" si="2"/>
        <v>118.88611111111095</v>
      </c>
      <c r="B86" s="2">
        <v>45545.415277777778</v>
      </c>
      <c r="C86">
        <v>450</v>
      </c>
      <c r="D86">
        <v>11</v>
      </c>
    </row>
    <row r="87" spans="1:6" x14ac:dyDescent="0.3">
      <c r="A87" s="39">
        <f t="shared" si="2"/>
        <v>120.88958333332994</v>
      </c>
      <c r="B87" s="2">
        <v>45547.418749999997</v>
      </c>
      <c r="C87">
        <v>450</v>
      </c>
      <c r="D87">
        <v>16</v>
      </c>
    </row>
    <row r="88" spans="1:6" x14ac:dyDescent="0.3">
      <c r="A88" s="39">
        <f t="shared" si="2"/>
        <v>120.98819444444234</v>
      </c>
      <c r="B88" s="2">
        <v>45547.517361111109</v>
      </c>
      <c r="C88">
        <v>450</v>
      </c>
      <c r="D88">
        <v>23.5</v>
      </c>
      <c r="E88">
        <v>16</v>
      </c>
    </row>
    <row r="89" spans="1:6" x14ac:dyDescent="0.3">
      <c r="A89" s="39">
        <f t="shared" si="2"/>
        <v>121.99166666666861</v>
      </c>
      <c r="B89" s="2">
        <v>45548.520833333336</v>
      </c>
      <c r="C89">
        <v>450</v>
      </c>
      <c r="D89" t="s">
        <v>652</v>
      </c>
    </row>
    <row r="90" spans="1:6" x14ac:dyDescent="0.3">
      <c r="A90" s="39">
        <f t="shared" si="2"/>
        <v>124.90555555555329</v>
      </c>
      <c r="B90" s="2">
        <v>45551.43472222222</v>
      </c>
      <c r="C90">
        <v>450</v>
      </c>
      <c r="D90">
        <v>23</v>
      </c>
      <c r="E90">
        <v>16</v>
      </c>
      <c r="F90">
        <v>1065</v>
      </c>
    </row>
    <row r="91" spans="1:6" x14ac:dyDescent="0.3">
      <c r="A91" s="39">
        <f t="shared" si="2"/>
        <v>124.99930555555329</v>
      </c>
      <c r="B91" s="2">
        <v>45551.52847222222</v>
      </c>
      <c r="C91">
        <v>450</v>
      </c>
    </row>
    <row r="92" spans="1:6" x14ac:dyDescent="0.3">
      <c r="A92" s="39">
        <f t="shared" si="2"/>
        <v>125.00069444444671</v>
      </c>
      <c r="B92" s="2">
        <v>45551.529861111114</v>
      </c>
      <c r="C92">
        <v>450</v>
      </c>
      <c r="D92">
        <v>15</v>
      </c>
      <c r="E92">
        <v>42</v>
      </c>
    </row>
    <row r="93" spans="1:6" x14ac:dyDescent="0.3">
      <c r="A93" s="39">
        <f t="shared" si="2"/>
        <v>-240.12847222222626</v>
      </c>
      <c r="B93" s="2">
        <v>45186.400694444441</v>
      </c>
      <c r="C93">
        <v>450</v>
      </c>
      <c r="D93">
        <v>7</v>
      </c>
    </row>
    <row r="94" spans="1:6" x14ac:dyDescent="0.3">
      <c r="A94" s="39">
        <f t="shared" si="2"/>
        <v>-240.06319444444671</v>
      </c>
      <c r="B94" s="2">
        <v>45186.46597222222</v>
      </c>
      <c r="C94">
        <v>450</v>
      </c>
      <c r="D94">
        <v>15.5</v>
      </c>
    </row>
    <row r="95" spans="1:6" x14ac:dyDescent="0.3">
      <c r="A95" s="39">
        <f t="shared" si="2"/>
        <v>126.90763888888614</v>
      </c>
      <c r="B95" s="2">
        <v>45553.436805555553</v>
      </c>
      <c r="C95">
        <v>450</v>
      </c>
      <c r="D95">
        <v>8</v>
      </c>
    </row>
    <row r="96" spans="1:6" x14ac:dyDescent="0.3">
      <c r="A96" s="39">
        <f t="shared" si="2"/>
        <v>127.9111111111124</v>
      </c>
      <c r="B96" s="2">
        <v>45554.44027777778</v>
      </c>
      <c r="C96">
        <v>450</v>
      </c>
      <c r="D96">
        <v>29</v>
      </c>
      <c r="E96">
        <v>19</v>
      </c>
      <c r="F96">
        <v>18</v>
      </c>
    </row>
    <row r="97" spans="1:6" x14ac:dyDescent="0.3">
      <c r="A97" s="39">
        <f t="shared" si="2"/>
        <v>128.86319444444234</v>
      </c>
      <c r="B97" s="2">
        <v>45555.392361111109</v>
      </c>
      <c r="C97">
        <v>450</v>
      </c>
      <c r="D97">
        <v>8.5</v>
      </c>
    </row>
    <row r="98" spans="1:6" x14ac:dyDescent="0.3">
      <c r="A98" s="39">
        <f t="shared" si="2"/>
        <v>129.04722222222335</v>
      </c>
      <c r="B98" s="2">
        <v>45555.576388888891</v>
      </c>
      <c r="C98">
        <v>450</v>
      </c>
      <c r="E98">
        <v>26</v>
      </c>
    </row>
    <row r="99" spans="1:6" x14ac:dyDescent="0.3">
      <c r="A99" s="39">
        <f t="shared" si="2"/>
        <v>131.87569444444671</v>
      </c>
      <c r="B99" s="2">
        <v>45558.404861111114</v>
      </c>
      <c r="C99">
        <v>450</v>
      </c>
      <c r="D99">
        <v>23</v>
      </c>
      <c r="E99">
        <v>16</v>
      </c>
    </row>
    <row r="100" spans="1:6" x14ac:dyDescent="0.3">
      <c r="A100" s="39">
        <f t="shared" si="2"/>
        <v>131.99722222222044</v>
      </c>
      <c r="B100" s="2">
        <v>45558.526388888888</v>
      </c>
      <c r="C100">
        <v>450</v>
      </c>
      <c r="D100">
        <v>15</v>
      </c>
      <c r="E100">
        <v>32</v>
      </c>
      <c r="F100">
        <v>590</v>
      </c>
    </row>
    <row r="101" spans="1:6" x14ac:dyDescent="0.3">
      <c r="A101" s="39">
        <f t="shared" si="2"/>
        <v>131.99722222222044</v>
      </c>
      <c r="B101" s="2">
        <v>45558.526388888888</v>
      </c>
      <c r="C101">
        <v>450</v>
      </c>
    </row>
    <row r="102" spans="1:6" x14ac:dyDescent="0.3">
      <c r="A102" s="39">
        <f t="shared" si="2"/>
        <v>133</v>
      </c>
      <c r="B102" s="2">
        <v>45559.529166666667</v>
      </c>
      <c r="C102">
        <v>450</v>
      </c>
      <c r="D102">
        <v>8</v>
      </c>
    </row>
    <row r="103" spans="1:6" x14ac:dyDescent="0.3">
      <c r="A103" s="39">
        <f t="shared" si="2"/>
        <v>133.01597222222335</v>
      </c>
      <c r="B103" s="2">
        <v>45559.545138888891</v>
      </c>
      <c r="C103">
        <v>450</v>
      </c>
      <c r="D103">
        <v>16</v>
      </c>
    </row>
    <row r="104" spans="1:6" x14ac:dyDescent="0.3">
      <c r="A104" s="39">
        <f t="shared" si="2"/>
        <v>133.89861111110804</v>
      </c>
      <c r="B104" s="2">
        <v>45560.427777777775</v>
      </c>
      <c r="C104">
        <v>450</v>
      </c>
      <c r="D104">
        <v>9</v>
      </c>
    </row>
    <row r="105" spans="1:6" x14ac:dyDescent="0.3">
      <c r="A105" s="39">
        <f t="shared" si="2"/>
        <v>135.02430555555475</v>
      </c>
      <c r="B105" s="2">
        <v>45561.553472222222</v>
      </c>
      <c r="C105">
        <v>450</v>
      </c>
      <c r="D105">
        <v>19</v>
      </c>
      <c r="E105">
        <v>16</v>
      </c>
    </row>
    <row r="106" spans="1:6" x14ac:dyDescent="0.3">
      <c r="A106" s="39">
        <f t="shared" si="2"/>
        <v>135.97847222222481</v>
      </c>
      <c r="B106" s="2">
        <v>45562.507638888892</v>
      </c>
      <c r="C106">
        <v>450</v>
      </c>
      <c r="D106">
        <v>9</v>
      </c>
    </row>
    <row r="107" spans="1:6" x14ac:dyDescent="0.3">
      <c r="A107" s="39">
        <f t="shared" si="2"/>
        <v>136.01944444444234</v>
      </c>
      <c r="B107" s="2">
        <v>45562.548611111109</v>
      </c>
      <c r="C107">
        <v>450</v>
      </c>
      <c r="E107">
        <v>20</v>
      </c>
    </row>
    <row r="108" spans="1:6" x14ac:dyDescent="0.3">
      <c r="A108" s="39">
        <f t="shared" si="2"/>
        <v>138.9020833333343</v>
      </c>
      <c r="B108" s="2">
        <v>45565.431250000001</v>
      </c>
      <c r="C108">
        <v>450</v>
      </c>
      <c r="D108">
        <v>16</v>
      </c>
      <c r="E108">
        <v>16</v>
      </c>
    </row>
    <row r="109" spans="1:6" x14ac:dyDescent="0.3">
      <c r="A109" s="39">
        <f t="shared" si="2"/>
        <v>138.95763888888905</v>
      </c>
      <c r="B109" s="2">
        <v>45565.486805555556</v>
      </c>
      <c r="C109">
        <v>450</v>
      </c>
      <c r="D109">
        <v>16</v>
      </c>
      <c r="E109">
        <v>35</v>
      </c>
      <c r="F109">
        <v>670</v>
      </c>
    </row>
    <row r="110" spans="1:6" x14ac:dyDescent="0.3">
      <c r="A110" s="39">
        <f t="shared" si="2"/>
        <v>138.96041666666861</v>
      </c>
      <c r="B110" s="2">
        <v>45565.489583333336</v>
      </c>
      <c r="C110">
        <v>450</v>
      </c>
    </row>
    <row r="111" spans="1:6" x14ac:dyDescent="0.3">
      <c r="A111" s="39">
        <f t="shared" si="2"/>
        <v>139.88749999999709</v>
      </c>
      <c r="B111" s="69">
        <v>45566.416666666664</v>
      </c>
      <c r="C111">
        <v>450</v>
      </c>
      <c r="D111">
        <v>15</v>
      </c>
    </row>
    <row r="112" spans="1:6" x14ac:dyDescent="0.3">
      <c r="A112" s="39">
        <f t="shared" si="2"/>
        <v>140.8930555555562</v>
      </c>
      <c r="B112" s="2">
        <v>45567.422222222223</v>
      </c>
      <c r="C112">
        <v>450</v>
      </c>
      <c r="D112">
        <v>11</v>
      </c>
    </row>
    <row r="113" spans="1:6" x14ac:dyDescent="0.3">
      <c r="A113" s="39">
        <f t="shared" si="2"/>
        <v>141.92638888888905</v>
      </c>
      <c r="B113" s="2">
        <v>45568.455555555556</v>
      </c>
      <c r="C113">
        <v>450</v>
      </c>
      <c r="D113">
        <v>15</v>
      </c>
      <c r="E113">
        <v>15</v>
      </c>
    </row>
    <row r="114" spans="1:6" x14ac:dyDescent="0.3">
      <c r="A114" s="39">
        <f t="shared" si="2"/>
        <v>142.92500000000291</v>
      </c>
      <c r="B114" s="2">
        <v>45569.45416666667</v>
      </c>
      <c r="C114">
        <v>450</v>
      </c>
      <c r="D114">
        <v>10</v>
      </c>
    </row>
    <row r="115" spans="1:6" x14ac:dyDescent="0.3">
      <c r="A115" s="39">
        <f t="shared" si="2"/>
        <v>145.90416666666715</v>
      </c>
      <c r="B115" s="2">
        <v>45572.433333333334</v>
      </c>
      <c r="C115">
        <v>450</v>
      </c>
      <c r="D115">
        <v>15</v>
      </c>
      <c r="E115">
        <v>15</v>
      </c>
    </row>
    <row r="116" spans="1:6" x14ac:dyDescent="0.3">
      <c r="A116" s="39">
        <f t="shared" si="2"/>
        <v>145.9819444444438</v>
      </c>
      <c r="B116" s="2">
        <v>45572.511111111111</v>
      </c>
      <c r="C116">
        <v>450</v>
      </c>
      <c r="D116">
        <v>26</v>
      </c>
      <c r="E116">
        <v>33</v>
      </c>
      <c r="F116">
        <v>715</v>
      </c>
    </row>
    <row r="117" spans="1:6" x14ac:dyDescent="0.3">
      <c r="A117" s="39">
        <f t="shared" si="2"/>
        <v>145.98402777777665</v>
      </c>
      <c r="B117" s="2">
        <v>45572.513194444444</v>
      </c>
      <c r="C117">
        <v>450</v>
      </c>
    </row>
    <row r="118" spans="1:6" x14ac:dyDescent="0.3">
      <c r="A118" s="39">
        <f t="shared" si="2"/>
        <v>146.99722222222044</v>
      </c>
      <c r="B118" s="2">
        <v>45573.526388888888</v>
      </c>
      <c r="C118">
        <v>450</v>
      </c>
      <c r="D118">
        <v>14</v>
      </c>
    </row>
    <row r="119" spans="1:6" x14ac:dyDescent="0.3">
      <c r="A119" s="39">
        <f t="shared" si="2"/>
        <v>147.03749999999854</v>
      </c>
      <c r="B119" s="2">
        <v>45573.566666666666</v>
      </c>
      <c r="C119">
        <v>450</v>
      </c>
      <c r="D119">
        <v>23</v>
      </c>
    </row>
    <row r="120" spans="1:6" x14ac:dyDescent="0.3">
      <c r="A120" s="39">
        <f t="shared" si="2"/>
        <v>147.90555555555329</v>
      </c>
      <c r="B120" s="2">
        <v>45574.43472222222</v>
      </c>
      <c r="C120">
        <v>450</v>
      </c>
      <c r="D120">
        <v>11</v>
      </c>
    </row>
    <row r="121" spans="1:6" x14ac:dyDescent="0.3">
      <c r="A121" s="39">
        <f t="shared" si="2"/>
        <v>148.84166666666715</v>
      </c>
      <c r="B121" s="2">
        <v>45575.370833333334</v>
      </c>
      <c r="C121">
        <v>450</v>
      </c>
      <c r="D121">
        <v>15</v>
      </c>
      <c r="E121">
        <v>15</v>
      </c>
    </row>
    <row r="122" spans="1:6" x14ac:dyDescent="0.3">
      <c r="A122" s="39">
        <f t="shared" si="2"/>
        <v>149.0888888888876</v>
      </c>
      <c r="B122" s="2">
        <v>45575.618055555555</v>
      </c>
      <c r="C122">
        <v>450</v>
      </c>
      <c r="D122">
        <v>20</v>
      </c>
    </row>
    <row r="123" spans="1:6" x14ac:dyDescent="0.3">
      <c r="A123" s="39">
        <f t="shared" si="2"/>
        <v>149.88194444444525</v>
      </c>
      <c r="B123" s="2">
        <v>45576.411111111112</v>
      </c>
      <c r="C123">
        <v>450</v>
      </c>
      <c r="D123">
        <v>9</v>
      </c>
    </row>
    <row r="124" spans="1:6" x14ac:dyDescent="0.3">
      <c r="A124" s="39">
        <f t="shared" si="2"/>
        <v>152.8840277777781</v>
      </c>
      <c r="B124" s="2">
        <v>45579.413194444445</v>
      </c>
      <c r="C124">
        <v>450</v>
      </c>
      <c r="F124">
        <v>170</v>
      </c>
    </row>
    <row r="125" spans="1:6" x14ac:dyDescent="0.3">
      <c r="A125" s="39">
        <f t="shared" si="2"/>
        <v>152.88611111111095</v>
      </c>
      <c r="B125" s="2">
        <v>45579.415277777778</v>
      </c>
      <c r="C125">
        <v>450</v>
      </c>
      <c r="D125">
        <v>18</v>
      </c>
    </row>
    <row r="126" spans="1:6" x14ac:dyDescent="0.3">
      <c r="A126" s="39">
        <f t="shared" si="2"/>
        <v>154.01597222222335</v>
      </c>
      <c r="B126" s="2">
        <v>45580.545138888891</v>
      </c>
      <c r="C126">
        <v>450</v>
      </c>
      <c r="D126">
        <v>16</v>
      </c>
      <c r="E126">
        <v>32</v>
      </c>
      <c r="F126">
        <v>775</v>
      </c>
    </row>
    <row r="127" spans="1:6" x14ac:dyDescent="0.3">
      <c r="A127" s="39">
        <f t="shared" si="2"/>
        <v>154.0180555555562</v>
      </c>
      <c r="B127" s="2">
        <v>45580.547222222223</v>
      </c>
      <c r="C127">
        <v>450</v>
      </c>
    </row>
    <row r="128" spans="1:6" x14ac:dyDescent="0.3">
      <c r="A128" s="39">
        <f t="shared" si="2"/>
        <v>154.89791666666861</v>
      </c>
      <c r="B128" s="2">
        <v>45581.427083333336</v>
      </c>
      <c r="C128">
        <v>450</v>
      </c>
      <c r="D128">
        <v>15</v>
      </c>
    </row>
    <row r="129" spans="1:6" x14ac:dyDescent="0.3">
      <c r="A129" s="39">
        <f t="shared" si="2"/>
        <v>155.83333333333576</v>
      </c>
      <c r="B129" s="2">
        <v>45582.362500000003</v>
      </c>
      <c r="C129">
        <v>450</v>
      </c>
      <c r="D129">
        <v>15</v>
      </c>
      <c r="E129">
        <v>15</v>
      </c>
    </row>
    <row r="130" spans="1:6" x14ac:dyDescent="0.3">
      <c r="A130" s="39">
        <f t="shared" si="2"/>
        <v>156.93958333333285</v>
      </c>
      <c r="B130" s="2">
        <v>45583.46875</v>
      </c>
      <c r="C130">
        <v>450</v>
      </c>
      <c r="D130">
        <v>8</v>
      </c>
    </row>
    <row r="131" spans="1:6" x14ac:dyDescent="0.3">
      <c r="A131" s="39">
        <f t="shared" si="2"/>
        <v>159.92152777777665</v>
      </c>
      <c r="B131" s="2">
        <v>45586.450694444444</v>
      </c>
      <c r="C131">
        <v>450</v>
      </c>
      <c r="D131">
        <v>15</v>
      </c>
      <c r="E131">
        <v>15</v>
      </c>
    </row>
    <row r="132" spans="1:6" x14ac:dyDescent="0.3">
      <c r="A132" s="39">
        <f t="shared" ref="A132:A195" si="3">(B132-$A$1)</f>
        <v>159.92500000000291</v>
      </c>
      <c r="B132" s="2">
        <v>45586.45416666667</v>
      </c>
      <c r="C132">
        <v>450</v>
      </c>
      <c r="D132">
        <v>16</v>
      </c>
      <c r="E132">
        <v>33</v>
      </c>
      <c r="F132">
        <v>770</v>
      </c>
    </row>
    <row r="133" spans="1:6" x14ac:dyDescent="0.3">
      <c r="A133" s="39">
        <f t="shared" si="3"/>
        <v>160.00763888889196</v>
      </c>
      <c r="B133" s="2">
        <v>45586.536805555559</v>
      </c>
      <c r="C133">
        <v>450</v>
      </c>
    </row>
    <row r="134" spans="1:6" x14ac:dyDescent="0.3">
      <c r="A134" s="39">
        <f t="shared" si="3"/>
        <v>161.01458333332994</v>
      </c>
      <c r="B134" s="2">
        <v>45587.543749999997</v>
      </c>
      <c r="C134">
        <v>450</v>
      </c>
      <c r="D134">
        <v>15</v>
      </c>
    </row>
    <row r="135" spans="1:6" x14ac:dyDescent="0.3">
      <c r="A135" s="39">
        <f t="shared" si="3"/>
        <v>161.08750000000146</v>
      </c>
      <c r="B135" s="2">
        <v>45587.616666666669</v>
      </c>
      <c r="C135">
        <v>450</v>
      </c>
      <c r="D135">
        <v>16</v>
      </c>
    </row>
    <row r="136" spans="1:6" x14ac:dyDescent="0.3">
      <c r="A136" s="39">
        <f t="shared" si="3"/>
        <v>161.88888888889051</v>
      </c>
      <c r="B136" s="2">
        <v>45588.418055555558</v>
      </c>
      <c r="C136">
        <v>450</v>
      </c>
      <c r="D136">
        <v>14</v>
      </c>
    </row>
    <row r="137" spans="1:6" x14ac:dyDescent="0.3">
      <c r="A137" s="39">
        <f t="shared" si="3"/>
        <v>162.9423611111124</v>
      </c>
      <c r="B137" s="2">
        <v>45589.47152777778</v>
      </c>
      <c r="C137">
        <v>450</v>
      </c>
      <c r="D137">
        <v>15</v>
      </c>
      <c r="E137">
        <v>15</v>
      </c>
    </row>
    <row r="138" spans="1:6" x14ac:dyDescent="0.3">
      <c r="A138" s="39">
        <f t="shared" si="3"/>
        <v>163.89930555555475</v>
      </c>
      <c r="B138" s="2">
        <v>45590.428472222222</v>
      </c>
      <c r="C138">
        <v>450</v>
      </c>
      <c r="D138">
        <v>15</v>
      </c>
    </row>
    <row r="139" spans="1:6" x14ac:dyDescent="0.3">
      <c r="A139" s="39">
        <f t="shared" si="3"/>
        <v>166.91736111111095</v>
      </c>
      <c r="B139" s="2">
        <v>45593.446527777778</v>
      </c>
      <c r="C139">
        <v>450</v>
      </c>
      <c r="D139">
        <v>15</v>
      </c>
      <c r="E139">
        <v>15</v>
      </c>
    </row>
    <row r="140" spans="1:6" x14ac:dyDescent="0.3">
      <c r="A140" s="39">
        <f t="shared" si="3"/>
        <v>167.00277777777956</v>
      </c>
      <c r="B140" s="2">
        <v>45593.531944444447</v>
      </c>
      <c r="C140">
        <v>450</v>
      </c>
      <c r="D140">
        <v>29</v>
      </c>
      <c r="E140">
        <v>28</v>
      </c>
      <c r="F140">
        <v>860</v>
      </c>
    </row>
    <row r="141" spans="1:6" x14ac:dyDescent="0.3">
      <c r="A141" s="39">
        <f t="shared" si="3"/>
        <v>167.00624999999854</v>
      </c>
      <c r="B141" s="2">
        <v>45593.535416666666</v>
      </c>
      <c r="C141">
        <v>450</v>
      </c>
    </row>
    <row r="142" spans="1:6" x14ac:dyDescent="0.3">
      <c r="A142" s="39">
        <f t="shared" si="3"/>
        <v>167.9506944444438</v>
      </c>
      <c r="B142" s="2">
        <v>45594.479861111111</v>
      </c>
      <c r="C142">
        <v>450</v>
      </c>
      <c r="D142">
        <v>15</v>
      </c>
    </row>
    <row r="143" spans="1:6" x14ac:dyDescent="0.3">
      <c r="A143" s="39">
        <f t="shared" si="3"/>
        <v>167.99027777777519</v>
      </c>
      <c r="B143" s="2">
        <v>45594.519444444442</v>
      </c>
      <c r="C143">
        <v>450</v>
      </c>
      <c r="D143">
        <v>15</v>
      </c>
    </row>
    <row r="144" spans="1:6" x14ac:dyDescent="0.3">
      <c r="A144" s="39">
        <f t="shared" si="3"/>
        <v>168.9152777777781</v>
      </c>
      <c r="B144" s="82">
        <v>45595.444444444445</v>
      </c>
      <c r="C144">
        <v>450</v>
      </c>
      <c r="D144">
        <v>13</v>
      </c>
    </row>
    <row r="145" spans="1:6" x14ac:dyDescent="0.3">
      <c r="A145" s="39">
        <f t="shared" si="3"/>
        <v>169.9597222222219</v>
      </c>
      <c r="B145" s="82">
        <v>45596.488888888889</v>
      </c>
      <c r="C145">
        <v>450</v>
      </c>
      <c r="D145">
        <v>15</v>
      </c>
      <c r="E145">
        <v>7</v>
      </c>
    </row>
    <row r="146" spans="1:6" x14ac:dyDescent="0.3">
      <c r="A146" s="39">
        <f t="shared" si="3"/>
        <v>170.91874999999709</v>
      </c>
      <c r="B146" s="82">
        <v>45597.447916666664</v>
      </c>
      <c r="C146">
        <v>450</v>
      </c>
      <c r="D146">
        <v>9</v>
      </c>
    </row>
    <row r="147" spans="1:6" x14ac:dyDescent="0.3">
      <c r="A147" s="39">
        <f t="shared" si="3"/>
        <v>173.93402777777374</v>
      </c>
      <c r="B147" s="82">
        <v>45600.463194444441</v>
      </c>
      <c r="C147">
        <v>450</v>
      </c>
      <c r="D147">
        <v>15</v>
      </c>
      <c r="E147">
        <v>15</v>
      </c>
    </row>
    <row r="148" spans="1:6" x14ac:dyDescent="0.3">
      <c r="A148" s="39">
        <f t="shared" si="3"/>
        <v>174.00347222221899</v>
      </c>
      <c r="B148" s="82">
        <v>45600.532638888886</v>
      </c>
      <c r="C148">
        <v>450</v>
      </c>
      <c r="D148">
        <v>15</v>
      </c>
      <c r="E148">
        <v>32</v>
      </c>
    </row>
    <row r="149" spans="1:6" x14ac:dyDescent="0.3">
      <c r="A149" s="39">
        <f t="shared" si="3"/>
        <v>174.93402777777374</v>
      </c>
      <c r="B149" s="82">
        <v>45601.463194444441</v>
      </c>
      <c r="C149">
        <v>450</v>
      </c>
      <c r="D149">
        <v>15</v>
      </c>
    </row>
    <row r="150" spans="1:6" x14ac:dyDescent="0.3">
      <c r="A150" s="39">
        <f t="shared" si="3"/>
        <v>174.98750000000291</v>
      </c>
      <c r="B150" s="82">
        <v>45601.51666666667</v>
      </c>
      <c r="C150">
        <v>450</v>
      </c>
      <c r="D150">
        <v>15</v>
      </c>
    </row>
    <row r="151" spans="1:6" x14ac:dyDescent="0.3">
      <c r="A151" s="39">
        <f t="shared" si="3"/>
        <v>175.90555555555329</v>
      </c>
      <c r="B151" s="82">
        <v>45602.43472222222</v>
      </c>
      <c r="C151">
        <v>450</v>
      </c>
      <c r="D151">
        <v>16</v>
      </c>
    </row>
    <row r="152" spans="1:6" x14ac:dyDescent="0.3">
      <c r="A152" s="39">
        <f t="shared" si="3"/>
        <v>176.94861111111095</v>
      </c>
      <c r="B152" s="87">
        <v>45603.477777777778</v>
      </c>
      <c r="C152">
        <v>450</v>
      </c>
      <c r="D152">
        <v>15</v>
      </c>
      <c r="E152">
        <v>15</v>
      </c>
    </row>
    <row r="153" spans="1:6" x14ac:dyDescent="0.3">
      <c r="A153" s="39">
        <f t="shared" si="3"/>
        <v>177.91249999999854</v>
      </c>
      <c r="B153" s="82">
        <v>45604.441666666666</v>
      </c>
      <c r="C153">
        <v>450</v>
      </c>
      <c r="D153">
        <v>16</v>
      </c>
      <c r="E153">
        <v>15</v>
      </c>
    </row>
    <row r="154" spans="1:6" x14ac:dyDescent="0.3">
      <c r="A154" s="39">
        <f t="shared" si="3"/>
        <v>180.8930555555562</v>
      </c>
      <c r="B154" s="82">
        <v>45607.422222222223</v>
      </c>
      <c r="C154">
        <v>450</v>
      </c>
      <c r="D154">
        <v>20</v>
      </c>
      <c r="E154">
        <v>15</v>
      </c>
    </row>
    <row r="155" spans="1:6" x14ac:dyDescent="0.3">
      <c r="A155" s="39">
        <f t="shared" si="3"/>
        <v>181.00208333333285</v>
      </c>
      <c r="B155" s="82">
        <v>45607.53125</v>
      </c>
      <c r="C155">
        <v>450</v>
      </c>
      <c r="D155">
        <v>15</v>
      </c>
      <c r="E155">
        <v>32</v>
      </c>
      <c r="F155">
        <v>890</v>
      </c>
    </row>
    <row r="156" spans="1:6" x14ac:dyDescent="0.3">
      <c r="A156" s="39">
        <f t="shared" si="3"/>
        <v>181.00555555555184</v>
      </c>
      <c r="B156" s="82">
        <v>45607.534722222219</v>
      </c>
      <c r="C156">
        <v>450</v>
      </c>
    </row>
    <row r="157" spans="1:6" x14ac:dyDescent="0.3">
      <c r="A157" s="39">
        <f t="shared" si="3"/>
        <v>181.87291666666715</v>
      </c>
      <c r="B157" s="82">
        <v>45608.402083333334</v>
      </c>
      <c r="C157">
        <v>450</v>
      </c>
      <c r="D157">
        <v>16</v>
      </c>
    </row>
    <row r="158" spans="1:6" x14ac:dyDescent="0.3">
      <c r="A158" s="39">
        <f t="shared" si="3"/>
        <v>181.9465277777781</v>
      </c>
      <c r="B158" s="82">
        <v>45608.475694444445</v>
      </c>
      <c r="C158">
        <v>450</v>
      </c>
      <c r="D158">
        <v>15</v>
      </c>
    </row>
    <row r="159" spans="1:6" x14ac:dyDescent="0.3">
      <c r="A159" s="39">
        <f t="shared" si="3"/>
        <v>182.89513888888905</v>
      </c>
      <c r="B159" s="82">
        <v>45609.424305555556</v>
      </c>
      <c r="C159">
        <v>450</v>
      </c>
      <c r="D159">
        <v>17</v>
      </c>
    </row>
    <row r="160" spans="1:6" x14ac:dyDescent="0.3">
      <c r="A160" s="39">
        <f t="shared" si="3"/>
        <v>183.98958333333576</v>
      </c>
      <c r="B160" s="82">
        <v>45610.518750000003</v>
      </c>
      <c r="C160">
        <v>450</v>
      </c>
      <c r="D160">
        <v>15</v>
      </c>
      <c r="E160">
        <v>15</v>
      </c>
    </row>
    <row r="161" spans="1:6" x14ac:dyDescent="0.3">
      <c r="A161" s="39">
        <f t="shared" si="3"/>
        <v>184.90763888888614</v>
      </c>
      <c r="B161" s="82">
        <v>45611.436805555553</v>
      </c>
      <c r="C161">
        <v>450</v>
      </c>
      <c r="D161">
        <v>15</v>
      </c>
    </row>
    <row r="162" spans="1:6" x14ac:dyDescent="0.3">
      <c r="A162" s="39">
        <f t="shared" si="3"/>
        <v>187.80555555555475</v>
      </c>
      <c r="B162" s="82">
        <v>45614.334722222222</v>
      </c>
      <c r="C162">
        <v>450</v>
      </c>
      <c r="D162">
        <v>15</v>
      </c>
      <c r="E162">
        <v>15</v>
      </c>
    </row>
    <row r="163" spans="1:6" x14ac:dyDescent="0.3">
      <c r="A163" s="39">
        <f t="shared" si="3"/>
        <v>187.9777777777781</v>
      </c>
      <c r="B163" s="82">
        <v>45614.506944444445</v>
      </c>
      <c r="C163">
        <v>450</v>
      </c>
      <c r="D163">
        <v>15</v>
      </c>
      <c r="E163">
        <v>30</v>
      </c>
      <c r="F163">
        <v>870</v>
      </c>
    </row>
    <row r="164" spans="1:6" x14ac:dyDescent="0.3">
      <c r="A164" s="39">
        <f t="shared" si="3"/>
        <v>187.98055555555766</v>
      </c>
      <c r="B164" s="82">
        <v>45614.509722222225</v>
      </c>
      <c r="C164">
        <v>450</v>
      </c>
    </row>
    <row r="165" spans="1:6" x14ac:dyDescent="0.3">
      <c r="A165" s="39">
        <f t="shared" si="3"/>
        <v>188.86875000000146</v>
      </c>
      <c r="B165" s="82">
        <v>45615.397916666669</v>
      </c>
      <c r="C165">
        <v>450</v>
      </c>
      <c r="D165">
        <v>16</v>
      </c>
    </row>
    <row r="166" spans="1:6" x14ac:dyDescent="0.3">
      <c r="A166" s="39">
        <f t="shared" si="3"/>
        <v>189.07499999999709</v>
      </c>
      <c r="B166" s="82">
        <v>45615.604166666664</v>
      </c>
      <c r="C166">
        <v>450</v>
      </c>
      <c r="D166">
        <v>15</v>
      </c>
    </row>
    <row r="167" spans="1:6" x14ac:dyDescent="0.3">
      <c r="A167" s="39">
        <f t="shared" si="3"/>
        <v>189.8798611111124</v>
      </c>
      <c r="B167" s="82">
        <v>45616.40902777778</v>
      </c>
      <c r="C167">
        <v>450</v>
      </c>
      <c r="D167">
        <v>15</v>
      </c>
    </row>
    <row r="168" spans="1:6" x14ac:dyDescent="0.3">
      <c r="A168" s="39">
        <f t="shared" si="3"/>
        <v>190.9638888888876</v>
      </c>
      <c r="B168" s="82">
        <v>45617.493055555555</v>
      </c>
      <c r="C168">
        <v>450</v>
      </c>
      <c r="D168">
        <v>15</v>
      </c>
      <c r="E168">
        <v>15</v>
      </c>
    </row>
    <row r="169" spans="1:6" x14ac:dyDescent="0.3">
      <c r="A169" s="39">
        <f t="shared" si="3"/>
        <v>191.88124999999854</v>
      </c>
      <c r="B169" s="86">
        <v>45618.410416666666</v>
      </c>
      <c r="C169">
        <v>450</v>
      </c>
      <c r="D169">
        <v>13</v>
      </c>
    </row>
    <row r="170" spans="1:6" x14ac:dyDescent="0.3">
      <c r="A170" s="39">
        <f t="shared" si="3"/>
        <v>194.89791666666861</v>
      </c>
      <c r="B170" s="82">
        <v>45621.427083333336</v>
      </c>
      <c r="C170">
        <v>450</v>
      </c>
      <c r="D170">
        <v>15</v>
      </c>
      <c r="E170">
        <v>15</v>
      </c>
    </row>
    <row r="171" spans="1:6" x14ac:dyDescent="0.3">
      <c r="A171" s="39">
        <f t="shared" si="3"/>
        <v>194.9868055555562</v>
      </c>
      <c r="B171" s="82">
        <v>45621.515972222223</v>
      </c>
      <c r="C171">
        <v>450</v>
      </c>
      <c r="D171">
        <v>15</v>
      </c>
      <c r="E171">
        <v>32</v>
      </c>
      <c r="F171">
        <v>750</v>
      </c>
    </row>
    <row r="172" spans="1:6" x14ac:dyDescent="0.3">
      <c r="A172" s="39">
        <f t="shared" si="3"/>
        <v>194.9909722222219</v>
      </c>
      <c r="B172" s="82">
        <v>45621.520138888889</v>
      </c>
      <c r="C172">
        <v>450</v>
      </c>
    </row>
    <row r="173" spans="1:6" x14ac:dyDescent="0.3">
      <c r="A173" s="39">
        <f t="shared" si="3"/>
        <v>195.95138888889051</v>
      </c>
      <c r="B173" s="82">
        <v>45622.480555555558</v>
      </c>
      <c r="C173">
        <v>450</v>
      </c>
      <c r="D173">
        <v>17</v>
      </c>
    </row>
    <row r="174" spans="1:6" x14ac:dyDescent="0.3">
      <c r="A174" s="39">
        <f t="shared" si="3"/>
        <v>196.94513888889196</v>
      </c>
      <c r="B174" s="82">
        <v>45623.474305555559</v>
      </c>
      <c r="C174">
        <v>450</v>
      </c>
      <c r="D174">
        <v>16</v>
      </c>
    </row>
    <row r="175" spans="1:6" x14ac:dyDescent="0.3">
      <c r="A175" s="39">
        <f t="shared" si="3"/>
        <v>201.93194444444089</v>
      </c>
      <c r="B175" s="82">
        <v>45628.461111111108</v>
      </c>
      <c r="C175">
        <v>450</v>
      </c>
      <c r="D175">
        <v>28</v>
      </c>
      <c r="E175">
        <v>15</v>
      </c>
    </row>
    <row r="176" spans="1:6" x14ac:dyDescent="0.3">
      <c r="A176" s="39">
        <f t="shared" si="3"/>
        <v>202.03819444444525</v>
      </c>
      <c r="B176" s="82">
        <v>45628.567361111112</v>
      </c>
      <c r="C176">
        <v>450</v>
      </c>
      <c r="D176">
        <v>15</v>
      </c>
      <c r="E176">
        <v>32</v>
      </c>
      <c r="F176">
        <v>470</v>
      </c>
    </row>
    <row r="177" spans="1:6" x14ac:dyDescent="0.3">
      <c r="A177" s="39">
        <f t="shared" si="3"/>
        <v>202.0402777777781</v>
      </c>
      <c r="B177" s="82">
        <v>45628.569444444445</v>
      </c>
      <c r="C177">
        <v>450</v>
      </c>
    </row>
    <row r="178" spans="1:6" x14ac:dyDescent="0.3">
      <c r="A178" s="39">
        <f t="shared" si="3"/>
        <v>202.85624999999709</v>
      </c>
      <c r="B178" s="82">
        <v>45629.385416666664</v>
      </c>
      <c r="C178">
        <v>450</v>
      </c>
      <c r="D178">
        <v>14</v>
      </c>
    </row>
    <row r="179" spans="1:6" x14ac:dyDescent="0.3">
      <c r="A179" s="39">
        <f t="shared" si="3"/>
        <v>203.97083333333285</v>
      </c>
      <c r="B179" s="82">
        <v>45630.5</v>
      </c>
      <c r="C179">
        <v>450</v>
      </c>
      <c r="D179">
        <v>15</v>
      </c>
    </row>
    <row r="180" spans="1:6" x14ac:dyDescent="0.3">
      <c r="A180" s="39">
        <f t="shared" si="3"/>
        <v>204.94444444444525</v>
      </c>
      <c r="B180" s="82">
        <v>45631.473611111112</v>
      </c>
      <c r="C180">
        <v>450</v>
      </c>
      <c r="D180">
        <v>15</v>
      </c>
      <c r="E180">
        <v>15</v>
      </c>
    </row>
    <row r="181" spans="1:6" x14ac:dyDescent="0.3">
      <c r="A181" s="39">
        <f t="shared" si="3"/>
        <v>205.91319444444525</v>
      </c>
      <c r="B181" s="82">
        <v>45632.442361111112</v>
      </c>
      <c r="C181">
        <v>450</v>
      </c>
      <c r="D181">
        <v>13</v>
      </c>
    </row>
    <row r="182" spans="1:6" x14ac:dyDescent="0.3">
      <c r="A182" s="39">
        <f t="shared" si="3"/>
        <v>208.90486111111386</v>
      </c>
      <c r="B182" s="82">
        <v>45635.434027777781</v>
      </c>
      <c r="C182">
        <v>450</v>
      </c>
      <c r="E182">
        <v>50</v>
      </c>
    </row>
    <row r="183" spans="1:6" x14ac:dyDescent="0.3">
      <c r="A183" s="39">
        <f t="shared" si="3"/>
        <v>208.91319444444525</v>
      </c>
      <c r="B183" s="82">
        <v>45635.442361111112</v>
      </c>
      <c r="C183">
        <v>450</v>
      </c>
      <c r="D183">
        <v>15</v>
      </c>
      <c r="E183">
        <v>15</v>
      </c>
    </row>
    <row r="184" spans="1:6" x14ac:dyDescent="0.3">
      <c r="A184" s="39">
        <f t="shared" si="3"/>
        <v>209.00069444444671</v>
      </c>
      <c r="B184" s="82">
        <v>45635.529861111114</v>
      </c>
      <c r="C184">
        <v>450</v>
      </c>
      <c r="D184">
        <v>15</v>
      </c>
      <c r="E184">
        <v>35</v>
      </c>
      <c r="F184">
        <v>320</v>
      </c>
    </row>
    <row r="185" spans="1:6" x14ac:dyDescent="0.3">
      <c r="A185" s="39">
        <f t="shared" si="3"/>
        <v>209.00208333333285</v>
      </c>
      <c r="B185" s="82">
        <v>45635.53125</v>
      </c>
      <c r="C185">
        <v>450</v>
      </c>
    </row>
    <row r="186" spans="1:6" x14ac:dyDescent="0.3">
      <c r="A186" s="39">
        <f t="shared" si="3"/>
        <v>209.1652777777781</v>
      </c>
      <c r="B186" s="82">
        <v>45635.694444444445</v>
      </c>
      <c r="C186">
        <v>450</v>
      </c>
      <c r="E186">
        <v>-55</v>
      </c>
    </row>
    <row r="187" spans="1:6" x14ac:dyDescent="0.3">
      <c r="A187" s="39">
        <f t="shared" si="3"/>
        <v>209.89513888888905</v>
      </c>
      <c r="B187" s="82">
        <v>45636.424305555556</v>
      </c>
      <c r="C187">
        <v>450</v>
      </c>
      <c r="D187">
        <v>15</v>
      </c>
    </row>
    <row r="188" spans="1:6" x14ac:dyDescent="0.3">
      <c r="A188" s="39">
        <f t="shared" si="3"/>
        <v>210.97986111111095</v>
      </c>
      <c r="B188" s="82">
        <v>45637.509027777778</v>
      </c>
      <c r="C188">
        <v>450</v>
      </c>
      <c r="D188">
        <v>15</v>
      </c>
    </row>
    <row r="189" spans="1:6" x14ac:dyDescent="0.3">
      <c r="A189" s="39">
        <f t="shared" si="3"/>
        <v>211.96527777777374</v>
      </c>
      <c r="B189" s="82">
        <v>45638.494444444441</v>
      </c>
      <c r="C189">
        <v>450</v>
      </c>
      <c r="D189">
        <v>15</v>
      </c>
      <c r="E189">
        <v>15</v>
      </c>
    </row>
    <row r="190" spans="1:6" x14ac:dyDescent="0.3">
      <c r="A190" s="39">
        <f t="shared" si="3"/>
        <v>212.90347222222044</v>
      </c>
      <c r="B190" s="82">
        <v>45639.432638888888</v>
      </c>
      <c r="C190">
        <v>450</v>
      </c>
      <c r="D190">
        <v>13</v>
      </c>
    </row>
    <row r="191" spans="1:6" x14ac:dyDescent="0.3">
      <c r="A191" s="39">
        <f t="shared" si="3"/>
        <v>215.87847222221899</v>
      </c>
      <c r="B191" s="82">
        <v>45642.407638888886</v>
      </c>
      <c r="C191">
        <v>450</v>
      </c>
      <c r="D191">
        <v>15</v>
      </c>
      <c r="E191">
        <v>15</v>
      </c>
    </row>
    <row r="192" spans="1:6" x14ac:dyDescent="0.3">
      <c r="A192" s="39">
        <f t="shared" si="3"/>
        <v>215.97499999999854</v>
      </c>
      <c r="B192" s="82">
        <v>45642.504166666666</v>
      </c>
      <c r="C192">
        <v>450</v>
      </c>
      <c r="D192">
        <v>15</v>
      </c>
      <c r="E192">
        <v>32</v>
      </c>
      <c r="F192">
        <v>740</v>
      </c>
    </row>
    <row r="193" spans="1:6" x14ac:dyDescent="0.3">
      <c r="A193" s="39">
        <f t="shared" si="3"/>
        <v>215.9777777777781</v>
      </c>
      <c r="B193" s="82">
        <v>45642.506944444445</v>
      </c>
      <c r="C193">
        <v>450</v>
      </c>
    </row>
    <row r="194" spans="1:6" x14ac:dyDescent="0.3">
      <c r="A194" s="39">
        <f t="shared" si="3"/>
        <v>216.89930555555475</v>
      </c>
      <c r="B194" s="82">
        <v>45643.428472222222</v>
      </c>
      <c r="C194">
        <v>450</v>
      </c>
      <c r="D194">
        <v>10</v>
      </c>
    </row>
    <row r="195" spans="1:6" x14ac:dyDescent="0.3">
      <c r="A195" s="39">
        <f t="shared" si="3"/>
        <v>217.9152777777781</v>
      </c>
      <c r="B195" s="82">
        <v>45644.444444444445</v>
      </c>
      <c r="C195">
        <v>450</v>
      </c>
      <c r="D195">
        <v>12</v>
      </c>
      <c r="F195">
        <v>1025.5</v>
      </c>
    </row>
    <row r="196" spans="1:6" x14ac:dyDescent="0.3">
      <c r="A196" s="39">
        <f t="shared" ref="A196:A259" si="4">(B196-$A$1)</f>
        <v>223.09930555555184</v>
      </c>
      <c r="B196" s="82">
        <v>45649.628472222219</v>
      </c>
      <c r="C196">
        <v>450</v>
      </c>
    </row>
    <row r="197" spans="1:6" x14ac:dyDescent="0.3">
      <c r="A197" s="39">
        <f t="shared" si="4"/>
        <v>228.99652777777374</v>
      </c>
      <c r="B197" s="82">
        <v>45655.525694444441</v>
      </c>
      <c r="C197">
        <v>450</v>
      </c>
      <c r="F197">
        <v>985</v>
      </c>
    </row>
    <row r="198" spans="1:6" x14ac:dyDescent="0.3">
      <c r="A198" s="39">
        <f t="shared" si="4"/>
        <v>236.9111111111124</v>
      </c>
      <c r="B198" s="82">
        <v>45663.44027777778</v>
      </c>
      <c r="C198">
        <v>450</v>
      </c>
      <c r="D198">
        <v>15</v>
      </c>
      <c r="E198">
        <v>15</v>
      </c>
    </row>
    <row r="199" spans="1:6" x14ac:dyDescent="0.3">
      <c r="A199" s="39">
        <f t="shared" si="4"/>
        <v>236.95416666666279</v>
      </c>
      <c r="B199" s="82">
        <v>45663.48333333333</v>
      </c>
      <c r="C199">
        <v>450</v>
      </c>
      <c r="D199">
        <v>15</v>
      </c>
      <c r="E199">
        <v>29</v>
      </c>
      <c r="F199">
        <v>1100</v>
      </c>
    </row>
    <row r="200" spans="1:6" x14ac:dyDescent="0.3">
      <c r="A200" s="39">
        <f t="shared" si="4"/>
        <v>236.9555555555562</v>
      </c>
      <c r="B200" s="82">
        <v>45663.484722222223</v>
      </c>
      <c r="C200">
        <v>450</v>
      </c>
    </row>
    <row r="201" spans="1:6" x14ac:dyDescent="0.3">
      <c r="A201" s="39">
        <f t="shared" si="4"/>
        <v>237.93472222222044</v>
      </c>
      <c r="B201" s="82">
        <v>45664.463888888888</v>
      </c>
      <c r="C201">
        <v>450</v>
      </c>
      <c r="D201">
        <v>11</v>
      </c>
    </row>
    <row r="202" spans="1:6" x14ac:dyDescent="0.3">
      <c r="A202" s="39">
        <f t="shared" si="4"/>
        <v>238.02083333333576</v>
      </c>
      <c r="B202" s="82">
        <v>45664.55</v>
      </c>
      <c r="C202">
        <v>450</v>
      </c>
      <c r="D202">
        <v>20</v>
      </c>
    </row>
    <row r="203" spans="1:6" x14ac:dyDescent="0.3">
      <c r="A203" s="39">
        <f t="shared" si="4"/>
        <v>238.88749999999709</v>
      </c>
      <c r="B203" s="82">
        <v>45665.416666666664</v>
      </c>
      <c r="C203">
        <v>450</v>
      </c>
      <c r="D203">
        <v>14</v>
      </c>
    </row>
    <row r="204" spans="1:6" x14ac:dyDescent="0.3">
      <c r="A204" s="39">
        <f t="shared" si="4"/>
        <v>240.0402777777781</v>
      </c>
      <c r="B204" s="82">
        <v>45666.569444444445</v>
      </c>
      <c r="C204">
        <v>450</v>
      </c>
      <c r="D204">
        <v>15</v>
      </c>
      <c r="E204">
        <v>15</v>
      </c>
    </row>
    <row r="205" spans="1:6" x14ac:dyDescent="0.3">
      <c r="A205" s="39">
        <f t="shared" si="4"/>
        <v>240.89097222222335</v>
      </c>
      <c r="B205" s="82">
        <v>45667.420138888891</v>
      </c>
      <c r="C205">
        <v>450</v>
      </c>
      <c r="D205">
        <v>17</v>
      </c>
    </row>
    <row r="206" spans="1:6" x14ac:dyDescent="0.3">
      <c r="A206" s="39">
        <f t="shared" si="4"/>
        <v>243.88333333333139</v>
      </c>
      <c r="B206" s="82">
        <v>45670.412499999999</v>
      </c>
      <c r="C206">
        <v>450</v>
      </c>
      <c r="D206">
        <v>15</v>
      </c>
      <c r="E206">
        <v>15</v>
      </c>
    </row>
    <row r="207" spans="1:6" x14ac:dyDescent="0.3">
      <c r="A207" s="39">
        <f t="shared" si="4"/>
        <v>243.93958333333285</v>
      </c>
      <c r="B207" s="82">
        <v>45670.46875</v>
      </c>
      <c r="C207">
        <v>450</v>
      </c>
      <c r="D207">
        <v>15</v>
      </c>
      <c r="E207">
        <v>32</v>
      </c>
      <c r="F207">
        <v>760</v>
      </c>
    </row>
    <row r="208" spans="1:6" x14ac:dyDescent="0.3">
      <c r="A208" s="39">
        <f t="shared" si="4"/>
        <v>243.94305555555184</v>
      </c>
      <c r="B208" s="82">
        <v>45670.472222222219</v>
      </c>
      <c r="C208">
        <v>450</v>
      </c>
    </row>
    <row r="209" spans="1:6" x14ac:dyDescent="0.3">
      <c r="A209" s="39">
        <f t="shared" si="4"/>
        <v>244.91180555555184</v>
      </c>
      <c r="B209" s="82">
        <v>45671.440972222219</v>
      </c>
      <c r="C209">
        <v>450</v>
      </c>
      <c r="D209">
        <v>14</v>
      </c>
    </row>
    <row r="210" spans="1:6" x14ac:dyDescent="0.3">
      <c r="A210" s="39">
        <f t="shared" si="4"/>
        <v>245.92986111110804</v>
      </c>
      <c r="B210" s="82">
        <v>45672.459027777775</v>
      </c>
      <c r="C210">
        <v>450</v>
      </c>
      <c r="D210">
        <v>12</v>
      </c>
    </row>
    <row r="211" spans="1:6" x14ac:dyDescent="0.3">
      <c r="A211" s="39">
        <f t="shared" si="4"/>
        <v>246.91805555555766</v>
      </c>
      <c r="B211" s="82">
        <v>45673.447222222225</v>
      </c>
      <c r="C211">
        <v>450</v>
      </c>
      <c r="D211">
        <v>15</v>
      </c>
      <c r="E211">
        <v>5</v>
      </c>
    </row>
    <row r="212" spans="1:6" x14ac:dyDescent="0.3">
      <c r="A212" s="39">
        <f t="shared" si="4"/>
        <v>247.93888888888614</v>
      </c>
      <c r="B212" s="82">
        <v>45674.468055555553</v>
      </c>
      <c r="C212">
        <v>450</v>
      </c>
      <c r="D212">
        <v>10</v>
      </c>
    </row>
    <row r="213" spans="1:6" x14ac:dyDescent="0.3">
      <c r="A213" s="39">
        <f t="shared" si="4"/>
        <v>250.88055555555184</v>
      </c>
      <c r="B213" s="82">
        <v>45677.409722222219</v>
      </c>
      <c r="C213">
        <v>450</v>
      </c>
      <c r="D213">
        <v>15</v>
      </c>
      <c r="E213">
        <v>32</v>
      </c>
      <c r="F213">
        <v>860</v>
      </c>
    </row>
    <row r="214" spans="1:6" x14ac:dyDescent="0.3">
      <c r="A214" s="39">
        <f t="shared" si="4"/>
        <v>250.88194444444525</v>
      </c>
      <c r="B214" s="82">
        <v>45677.411111111112</v>
      </c>
      <c r="C214">
        <v>450</v>
      </c>
    </row>
    <row r="215" spans="1:6" x14ac:dyDescent="0.3">
      <c r="A215" s="39">
        <f t="shared" si="4"/>
        <v>255.17638888888905</v>
      </c>
      <c r="B215" s="82">
        <v>45681.705555555556</v>
      </c>
      <c r="C215">
        <v>450</v>
      </c>
      <c r="F215">
        <v>675</v>
      </c>
    </row>
    <row r="216" spans="1:6" x14ac:dyDescent="0.3">
      <c r="A216" s="39">
        <f t="shared" si="4"/>
        <v>257.8708333333343</v>
      </c>
      <c r="B216" s="82">
        <v>45684.4</v>
      </c>
      <c r="C216">
        <v>450</v>
      </c>
      <c r="D216">
        <v>15</v>
      </c>
      <c r="E216">
        <v>15</v>
      </c>
    </row>
    <row r="217" spans="1:6" x14ac:dyDescent="0.3">
      <c r="A217" s="39">
        <f t="shared" si="4"/>
        <v>257.95486111110949</v>
      </c>
      <c r="B217" s="82">
        <v>45684.484027777777</v>
      </c>
      <c r="C217">
        <v>450</v>
      </c>
      <c r="D217">
        <v>15</v>
      </c>
      <c r="E217">
        <v>32</v>
      </c>
      <c r="F217">
        <v>420</v>
      </c>
    </row>
    <row r="218" spans="1:6" x14ac:dyDescent="0.3">
      <c r="A218" s="39">
        <f t="shared" si="4"/>
        <v>257.95694444444234</v>
      </c>
      <c r="B218" s="82">
        <v>45684.486111111109</v>
      </c>
      <c r="C218">
        <v>450</v>
      </c>
    </row>
    <row r="219" spans="1:6" x14ac:dyDescent="0.3">
      <c r="A219" s="39">
        <f t="shared" si="4"/>
        <v>258.85833333332994</v>
      </c>
      <c r="B219" s="82">
        <v>45685.387499999997</v>
      </c>
      <c r="C219">
        <v>450</v>
      </c>
      <c r="D219">
        <v>12</v>
      </c>
    </row>
    <row r="220" spans="1:6" x14ac:dyDescent="0.3">
      <c r="A220" s="39">
        <f t="shared" si="4"/>
        <v>260.92500000000291</v>
      </c>
      <c r="B220" s="82">
        <v>45687.45416666667</v>
      </c>
      <c r="C220">
        <v>450</v>
      </c>
      <c r="D220">
        <v>7</v>
      </c>
    </row>
    <row r="221" spans="1:6" x14ac:dyDescent="0.3">
      <c r="A221" s="39">
        <f t="shared" si="4"/>
        <v>260.93611111111386</v>
      </c>
      <c r="B221" s="82">
        <v>45687.465277777781</v>
      </c>
      <c r="C221">
        <v>450</v>
      </c>
      <c r="D221">
        <v>15</v>
      </c>
      <c r="E221">
        <v>15</v>
      </c>
    </row>
    <row r="222" spans="1:6" x14ac:dyDescent="0.3">
      <c r="A222" s="39">
        <f t="shared" si="4"/>
        <v>260.93819444444671</v>
      </c>
      <c r="B222" s="82">
        <v>45687.467361111114</v>
      </c>
      <c r="C222">
        <v>450</v>
      </c>
      <c r="D222">
        <v>12</v>
      </c>
    </row>
    <row r="223" spans="1:6" x14ac:dyDescent="0.3">
      <c r="A223" s="39">
        <f t="shared" si="4"/>
        <v>261.94097222221899</v>
      </c>
      <c r="B223" s="82">
        <v>45688.470138888886</v>
      </c>
      <c r="C223">
        <v>450</v>
      </c>
      <c r="D223">
        <v>18</v>
      </c>
    </row>
    <row r="224" spans="1:6" x14ac:dyDescent="0.3">
      <c r="A224" s="39">
        <f t="shared" si="4"/>
        <v>261.94444444444525</v>
      </c>
      <c r="B224" s="82">
        <v>45688.473611111112</v>
      </c>
      <c r="C224">
        <v>450</v>
      </c>
      <c r="D224">
        <v>-18</v>
      </c>
    </row>
    <row r="225" spans="1:6" x14ac:dyDescent="0.3">
      <c r="A225" s="39">
        <f t="shared" si="4"/>
        <v>264.80208333333576</v>
      </c>
      <c r="B225" s="82">
        <v>45691.331250000003</v>
      </c>
      <c r="C225">
        <v>450</v>
      </c>
      <c r="D225">
        <v>15</v>
      </c>
      <c r="E225">
        <v>15</v>
      </c>
    </row>
    <row r="226" spans="1:6" x14ac:dyDescent="0.3">
      <c r="A226" s="39">
        <f t="shared" si="4"/>
        <v>265.03888888889196</v>
      </c>
      <c r="B226" s="82">
        <v>45691.568055555559</v>
      </c>
      <c r="C226">
        <v>450</v>
      </c>
      <c r="D226">
        <v>15</v>
      </c>
      <c r="E226">
        <v>32</v>
      </c>
      <c r="F226">
        <v>940</v>
      </c>
    </row>
    <row r="227" spans="1:6" x14ac:dyDescent="0.3">
      <c r="A227" s="39">
        <f t="shared" si="4"/>
        <v>265.0402777777781</v>
      </c>
      <c r="B227" s="2">
        <v>45691.569444444445</v>
      </c>
    </row>
    <row r="228" spans="1:6" x14ac:dyDescent="0.3">
      <c r="A228" s="39">
        <f t="shared" si="4"/>
        <v>265.9020833333343</v>
      </c>
      <c r="B228" s="2">
        <v>45692.431250000001</v>
      </c>
      <c r="D228">
        <v>12</v>
      </c>
    </row>
    <row r="229" spans="1:6" x14ac:dyDescent="0.3">
      <c r="A229" s="39">
        <f t="shared" si="4"/>
        <v>266.86736111110804</v>
      </c>
      <c r="B229" s="2">
        <v>45693.396527777775</v>
      </c>
      <c r="D229">
        <v>10</v>
      </c>
    </row>
    <row r="230" spans="1:6" x14ac:dyDescent="0.3">
      <c r="A230" s="39">
        <f t="shared" si="4"/>
        <v>267.92083333332994</v>
      </c>
      <c r="B230" s="2">
        <v>45694.45</v>
      </c>
      <c r="D230">
        <v>15</v>
      </c>
      <c r="E230">
        <v>15</v>
      </c>
    </row>
    <row r="231" spans="1:6" x14ac:dyDescent="0.3">
      <c r="A231" s="39">
        <f t="shared" si="4"/>
        <v>268.90486111111386</v>
      </c>
      <c r="B231" s="2">
        <v>45695.434027777781</v>
      </c>
      <c r="D231">
        <v>12</v>
      </c>
    </row>
    <row r="232" spans="1:6" x14ac:dyDescent="0.3">
      <c r="A232" s="39">
        <f t="shared" si="4"/>
        <v>271.89166666666279</v>
      </c>
      <c r="B232" s="2">
        <v>45698.42083333333</v>
      </c>
      <c r="D232">
        <v>10</v>
      </c>
    </row>
    <row r="233" spans="1:6" x14ac:dyDescent="0.3">
      <c r="A233" s="39">
        <f t="shared" si="4"/>
        <v>272.9375</v>
      </c>
      <c r="B233" s="2">
        <v>45699.466666666667</v>
      </c>
      <c r="D233">
        <v>15</v>
      </c>
      <c r="E233">
        <v>15</v>
      </c>
      <c r="F233">
        <v>1120</v>
      </c>
    </row>
    <row r="234" spans="1:6" x14ac:dyDescent="0.3">
      <c r="A234" s="39">
        <f t="shared" si="4"/>
        <v>272.98055555555766</v>
      </c>
      <c r="B234" s="2">
        <v>45699.509722222225</v>
      </c>
    </row>
    <row r="235" spans="1:6" x14ac:dyDescent="0.3">
      <c r="A235" s="39">
        <f t="shared" si="4"/>
        <v>273.01944444444234</v>
      </c>
      <c r="B235" s="2">
        <v>45699.548611111109</v>
      </c>
      <c r="D235">
        <v>15</v>
      </c>
      <c r="E235">
        <v>32</v>
      </c>
    </row>
    <row r="236" spans="1:6" x14ac:dyDescent="0.3">
      <c r="A236" s="39">
        <f t="shared" si="4"/>
        <v>273.8486111111124</v>
      </c>
      <c r="B236" s="2">
        <v>45700.37777777778</v>
      </c>
      <c r="D236">
        <v>12</v>
      </c>
    </row>
    <row r="237" spans="1:6" x14ac:dyDescent="0.3">
      <c r="A237" s="39">
        <f t="shared" si="4"/>
        <v>275.06597222221899</v>
      </c>
      <c r="B237" s="2">
        <v>45701.595138888886</v>
      </c>
      <c r="D237">
        <v>10</v>
      </c>
    </row>
    <row r="238" spans="1:6" x14ac:dyDescent="0.3">
      <c r="A238" s="39">
        <f t="shared" si="4"/>
        <v>275.93888888888614</v>
      </c>
      <c r="B238" s="2">
        <v>45702.468055555553</v>
      </c>
      <c r="D238">
        <v>10</v>
      </c>
      <c r="E238">
        <v>12</v>
      </c>
    </row>
    <row r="239" spans="1:6" x14ac:dyDescent="0.3">
      <c r="A239" s="39">
        <f t="shared" si="4"/>
        <v>278.91249999999854</v>
      </c>
      <c r="B239" s="2">
        <v>45705.441666666666</v>
      </c>
      <c r="D239">
        <v>10</v>
      </c>
      <c r="E239">
        <v>10</v>
      </c>
    </row>
    <row r="240" spans="1:6" x14ac:dyDescent="0.3">
      <c r="A240" s="39">
        <f t="shared" si="4"/>
        <v>278.97916666666424</v>
      </c>
      <c r="B240" s="2">
        <v>45705.508333333331</v>
      </c>
      <c r="D240">
        <v>15</v>
      </c>
      <c r="E240">
        <v>35</v>
      </c>
      <c r="F240">
        <v>745</v>
      </c>
    </row>
    <row r="241" spans="1:6" x14ac:dyDescent="0.3">
      <c r="A241" s="39">
        <f t="shared" si="4"/>
        <v>278.9819444444438</v>
      </c>
      <c r="B241" s="2">
        <v>45705.511111111111</v>
      </c>
    </row>
    <row r="242" spans="1:6" x14ac:dyDescent="0.3">
      <c r="A242" s="39">
        <f t="shared" si="4"/>
        <v>279.89444444444234</v>
      </c>
      <c r="B242" s="2">
        <v>45706.423611111109</v>
      </c>
      <c r="D242">
        <v>13</v>
      </c>
      <c r="E242">
        <v>10</v>
      </c>
    </row>
    <row r="243" spans="1:6" x14ac:dyDescent="0.3">
      <c r="A243" s="39">
        <f t="shared" si="4"/>
        <v>281.88749999999709</v>
      </c>
      <c r="B243" s="2">
        <v>45708.416666666664</v>
      </c>
      <c r="D243">
        <v>5</v>
      </c>
      <c r="E243">
        <v>10</v>
      </c>
    </row>
    <row r="244" spans="1:6" x14ac:dyDescent="0.3">
      <c r="A244" s="39">
        <f t="shared" si="4"/>
        <v>282.8486111111124</v>
      </c>
      <c r="B244" s="2">
        <v>45709.37777777778</v>
      </c>
      <c r="D244">
        <v>12</v>
      </c>
    </row>
    <row r="245" spans="1:6" x14ac:dyDescent="0.3">
      <c r="A245" s="39">
        <f t="shared" si="4"/>
        <v>283.09513888888614</v>
      </c>
      <c r="B245" s="2">
        <v>45709.624305555553</v>
      </c>
      <c r="D245">
        <v>25</v>
      </c>
      <c r="E245">
        <v>-25</v>
      </c>
    </row>
    <row r="246" spans="1:6" x14ac:dyDescent="0.3">
      <c r="A246" s="39">
        <f t="shared" si="4"/>
        <v>285.93958333333285</v>
      </c>
      <c r="B246" s="2">
        <v>45712.46875</v>
      </c>
      <c r="D246">
        <v>15</v>
      </c>
      <c r="E246">
        <v>15</v>
      </c>
    </row>
    <row r="247" spans="1:6" x14ac:dyDescent="0.3">
      <c r="A247" s="39">
        <f t="shared" si="4"/>
        <v>286.05000000000291</v>
      </c>
      <c r="B247" s="2">
        <v>45712.57916666667</v>
      </c>
      <c r="D247">
        <v>15</v>
      </c>
      <c r="E247">
        <v>32</v>
      </c>
      <c r="F247">
        <v>750</v>
      </c>
    </row>
    <row r="248" spans="1:6" x14ac:dyDescent="0.3">
      <c r="A248" s="39">
        <f t="shared" si="4"/>
        <v>286.05277777777519</v>
      </c>
      <c r="B248" s="2">
        <v>45712.581944444442</v>
      </c>
    </row>
    <row r="249" spans="1:6" x14ac:dyDescent="0.3">
      <c r="A249" s="39">
        <f t="shared" si="4"/>
        <v>286.92083333332994</v>
      </c>
      <c r="B249" s="2">
        <v>45713.45</v>
      </c>
      <c r="D249">
        <v>10</v>
      </c>
    </row>
    <row r="250" spans="1:6" x14ac:dyDescent="0.3">
      <c r="A250" s="39">
        <f t="shared" si="4"/>
        <v>288.91319444444525</v>
      </c>
      <c r="B250" s="2">
        <v>45715.442361111112</v>
      </c>
      <c r="D250">
        <v>15</v>
      </c>
      <c r="E250">
        <v>15</v>
      </c>
    </row>
    <row r="251" spans="1:6" x14ac:dyDescent="0.3">
      <c r="A251" s="39">
        <f t="shared" si="4"/>
        <v>289.94027777777956</v>
      </c>
      <c r="B251" s="2">
        <v>45716.469444444447</v>
      </c>
      <c r="D251">
        <v>12</v>
      </c>
    </row>
    <row r="252" spans="1:6" x14ac:dyDescent="0.3">
      <c r="A252" s="39">
        <f t="shared" si="4"/>
        <v>292.88263888889196</v>
      </c>
      <c r="B252" s="2">
        <v>45719.411805555559</v>
      </c>
      <c r="D252">
        <v>15</v>
      </c>
      <c r="E252">
        <v>15</v>
      </c>
    </row>
    <row r="253" spans="1:6" x14ac:dyDescent="0.3">
      <c r="A253" s="39">
        <f t="shared" si="4"/>
        <v>292.99444444444089</v>
      </c>
      <c r="B253" s="2">
        <v>45719.523611111108</v>
      </c>
      <c r="D253">
        <v>15</v>
      </c>
      <c r="E253">
        <v>32</v>
      </c>
      <c r="F253">
        <v>885</v>
      </c>
    </row>
    <row r="254" spans="1:6" x14ac:dyDescent="0.3">
      <c r="A254" s="39">
        <f t="shared" si="4"/>
        <v>292.99722222222044</v>
      </c>
      <c r="B254" s="2">
        <v>45719.526388888888</v>
      </c>
    </row>
    <row r="255" spans="1:6" x14ac:dyDescent="0.3">
      <c r="A255" s="39">
        <f t="shared" si="4"/>
        <v>294.15347222222044</v>
      </c>
      <c r="B255" s="2">
        <v>45720.682638888888</v>
      </c>
      <c r="D255">
        <v>9</v>
      </c>
    </row>
    <row r="256" spans="1:6" x14ac:dyDescent="0.3">
      <c r="A256" s="39">
        <f t="shared" si="4"/>
        <v>294.86319444444234</v>
      </c>
      <c r="B256" s="2">
        <v>45721.392361111109</v>
      </c>
      <c r="D256">
        <v>11</v>
      </c>
    </row>
    <row r="257" spans="1:6" x14ac:dyDescent="0.3">
      <c r="A257" s="39">
        <f t="shared" si="4"/>
        <v>295.85972222222335</v>
      </c>
      <c r="B257" s="2">
        <v>45722.388888888891</v>
      </c>
      <c r="D257">
        <v>15</v>
      </c>
      <c r="E257">
        <v>15</v>
      </c>
    </row>
    <row r="258" spans="1:6" x14ac:dyDescent="0.3">
      <c r="A258" s="39">
        <f t="shared" si="4"/>
        <v>299.83125000000291</v>
      </c>
      <c r="B258" s="2">
        <v>45726.36041666667</v>
      </c>
      <c r="D258">
        <v>15</v>
      </c>
      <c r="E258">
        <v>15</v>
      </c>
    </row>
    <row r="259" spans="1:6" x14ac:dyDescent="0.3">
      <c r="A259" s="39">
        <f t="shared" si="4"/>
        <v>299.91597222222481</v>
      </c>
      <c r="B259" s="2">
        <v>45726.445138888892</v>
      </c>
      <c r="D259">
        <v>15</v>
      </c>
      <c r="E259">
        <v>32</v>
      </c>
      <c r="F259">
        <v>930</v>
      </c>
    </row>
    <row r="260" spans="1:6" x14ac:dyDescent="0.3">
      <c r="A260" s="39">
        <f t="shared" ref="A260:A285" si="5">(B260-$A$1)</f>
        <v>299.91736111111095</v>
      </c>
      <c r="B260" s="2">
        <v>45726.446527777778</v>
      </c>
    </row>
    <row r="261" spans="1:6" x14ac:dyDescent="0.3">
      <c r="A261" s="39">
        <f t="shared" si="5"/>
        <v>301.02291666666861</v>
      </c>
      <c r="B261" s="2">
        <v>45727.552083333336</v>
      </c>
      <c r="D261">
        <v>6</v>
      </c>
    </row>
    <row r="262" spans="1:6" x14ac:dyDescent="0.3">
      <c r="A262" s="39">
        <f t="shared" si="5"/>
        <v>301.04236111111095</v>
      </c>
      <c r="B262" s="2">
        <v>45727.571527777778</v>
      </c>
      <c r="D262">
        <v>30</v>
      </c>
      <c r="E262">
        <v>-30</v>
      </c>
    </row>
    <row r="263" spans="1:6" x14ac:dyDescent="0.3">
      <c r="A263" s="39">
        <f t="shared" si="5"/>
        <v>301.89444444444234</v>
      </c>
      <c r="B263" s="2">
        <v>45728.423611111109</v>
      </c>
      <c r="D263">
        <v>11</v>
      </c>
    </row>
    <row r="264" spans="1:6" x14ac:dyDescent="0.3">
      <c r="A264" s="39">
        <f t="shared" si="5"/>
        <v>302.88333333333139</v>
      </c>
      <c r="B264" s="2">
        <v>45729.412499999999</v>
      </c>
      <c r="D264">
        <v>8</v>
      </c>
      <c r="E264">
        <v>8</v>
      </c>
    </row>
    <row r="265" spans="1:6" x14ac:dyDescent="0.3">
      <c r="A265" s="39">
        <f t="shared" si="5"/>
        <v>304.14791666666861</v>
      </c>
      <c r="B265" s="2">
        <v>45730.677083333336</v>
      </c>
      <c r="D265">
        <v>12</v>
      </c>
    </row>
    <row r="266" spans="1:6" x14ac:dyDescent="0.3">
      <c r="A266" s="39">
        <f t="shared" si="5"/>
        <v>306.88472222222481</v>
      </c>
      <c r="B266" s="2">
        <v>45733.413888888892</v>
      </c>
      <c r="D266">
        <v>7</v>
      </c>
      <c r="E266">
        <v>7</v>
      </c>
    </row>
    <row r="267" spans="1:6" x14ac:dyDescent="0.3">
      <c r="A267" s="39">
        <f t="shared" si="5"/>
        <v>306.93541666666715</v>
      </c>
      <c r="B267" s="2">
        <v>45733.464583333334</v>
      </c>
      <c r="D267">
        <v>15</v>
      </c>
      <c r="E267">
        <v>35</v>
      </c>
      <c r="F267">
        <v>960</v>
      </c>
    </row>
    <row r="268" spans="1:6" x14ac:dyDescent="0.3">
      <c r="A268" s="39">
        <f t="shared" si="5"/>
        <v>306.9375</v>
      </c>
      <c r="B268" s="2">
        <v>45733.466666666667</v>
      </c>
    </row>
    <row r="269" spans="1:6" x14ac:dyDescent="0.3">
      <c r="A269" s="39">
        <f t="shared" si="5"/>
        <v>309.90555555555329</v>
      </c>
      <c r="B269" s="2">
        <v>45736.43472222222</v>
      </c>
      <c r="D269">
        <v>10</v>
      </c>
      <c r="E269">
        <v>10</v>
      </c>
      <c r="F269">
        <v>445</v>
      </c>
    </row>
    <row r="270" spans="1:6" x14ac:dyDescent="0.3">
      <c r="A270" s="39">
        <f t="shared" si="5"/>
        <v>310.92569444444234</v>
      </c>
      <c r="B270" s="2">
        <v>45737.454861111109</v>
      </c>
    </row>
    <row r="271" spans="1:6" x14ac:dyDescent="0.3">
      <c r="A271" s="39">
        <f t="shared" si="5"/>
        <v>313.91180555555184</v>
      </c>
      <c r="B271" s="2">
        <v>45740.440972222219</v>
      </c>
      <c r="D271">
        <v>12</v>
      </c>
      <c r="E271">
        <v>12</v>
      </c>
    </row>
    <row r="272" spans="1:6" x14ac:dyDescent="0.3">
      <c r="A272" s="39">
        <f t="shared" si="5"/>
        <v>314.02291666666861</v>
      </c>
      <c r="B272" s="2">
        <v>45740.552083333336</v>
      </c>
      <c r="D272">
        <v>15</v>
      </c>
      <c r="E272">
        <v>32</v>
      </c>
      <c r="F272">
        <v>445</v>
      </c>
    </row>
    <row r="273" spans="1:6" x14ac:dyDescent="0.3">
      <c r="A273" s="39">
        <f t="shared" si="5"/>
        <v>314.02569444444089</v>
      </c>
      <c r="B273" s="2">
        <v>45740.554861111108</v>
      </c>
    </row>
    <row r="274" spans="1:6" x14ac:dyDescent="0.3">
      <c r="A274" s="39">
        <f t="shared" si="5"/>
        <v>314.94305555555184</v>
      </c>
      <c r="B274" s="2">
        <v>45741.472222222219</v>
      </c>
      <c r="D274">
        <v>28</v>
      </c>
      <c r="E274">
        <v>-28</v>
      </c>
    </row>
    <row r="275" spans="1:6" x14ac:dyDescent="0.3">
      <c r="A275" s="39">
        <f t="shared" si="5"/>
        <v>316.89791666666861</v>
      </c>
      <c r="B275" s="2">
        <v>45743.427083333336</v>
      </c>
      <c r="D275">
        <v>10</v>
      </c>
      <c r="E275">
        <v>10</v>
      </c>
    </row>
    <row r="276" spans="1:6" x14ac:dyDescent="0.3">
      <c r="A276" s="39">
        <f t="shared" si="5"/>
        <v>320.88194444444525</v>
      </c>
      <c r="B276" s="2">
        <v>45747.411111111112</v>
      </c>
      <c r="D276">
        <v>16</v>
      </c>
      <c r="E276">
        <v>16</v>
      </c>
    </row>
    <row r="277" spans="1:6" x14ac:dyDescent="0.3">
      <c r="A277" s="39">
        <f t="shared" si="5"/>
        <v>321.01597222222335</v>
      </c>
      <c r="B277" s="2">
        <v>45747.545138888891</v>
      </c>
      <c r="D277">
        <v>15</v>
      </c>
      <c r="E277">
        <v>32</v>
      </c>
      <c r="F277">
        <v>915</v>
      </c>
    </row>
    <row r="278" spans="1:6" x14ac:dyDescent="0.3">
      <c r="A278" s="39">
        <f t="shared" si="5"/>
        <v>321.0180555555562</v>
      </c>
      <c r="B278" s="2">
        <v>45747.547222222223</v>
      </c>
    </row>
    <row r="279" spans="1:6" x14ac:dyDescent="0.3">
      <c r="A279" s="39">
        <f t="shared" si="5"/>
        <v>323.9152777777781</v>
      </c>
      <c r="B279" s="2">
        <v>45750.444444444445</v>
      </c>
      <c r="E279">
        <v>15</v>
      </c>
    </row>
    <row r="280" spans="1:6" x14ac:dyDescent="0.3">
      <c r="A280" s="39">
        <f t="shared" si="5"/>
        <v>323.93819444444671</v>
      </c>
      <c r="B280" s="2">
        <v>45750.467361111114</v>
      </c>
      <c r="D280">
        <v>16</v>
      </c>
      <c r="E280">
        <v>15</v>
      </c>
    </row>
    <row r="281" spans="1:6" x14ac:dyDescent="0.3">
      <c r="A281" s="39">
        <f t="shared" si="5"/>
        <v>327.90625</v>
      </c>
      <c r="B281" s="2">
        <v>45754.435416666667</v>
      </c>
      <c r="D281">
        <v>16</v>
      </c>
      <c r="E281">
        <v>16</v>
      </c>
    </row>
    <row r="282" spans="1:6" x14ac:dyDescent="0.3">
      <c r="A282" s="39">
        <f t="shared" si="5"/>
        <v>327.93055555555475</v>
      </c>
      <c r="B282" s="2">
        <v>45754.459722222222</v>
      </c>
      <c r="D282">
        <v>2</v>
      </c>
    </row>
    <row r="283" spans="1:6" x14ac:dyDescent="0.3">
      <c r="A283" s="39">
        <f t="shared" si="5"/>
        <v>328.01944444444234</v>
      </c>
      <c r="B283" s="2">
        <v>45754.548611111109</v>
      </c>
      <c r="D283">
        <v>15</v>
      </c>
      <c r="E283">
        <v>31</v>
      </c>
      <c r="F283">
        <v>870</v>
      </c>
    </row>
    <row r="284" spans="1:6" x14ac:dyDescent="0.3">
      <c r="A284" s="39">
        <f t="shared" si="5"/>
        <v>328.0222222222219</v>
      </c>
      <c r="B284" s="2">
        <v>45754.551388888889</v>
      </c>
    </row>
    <row r="285" spans="1:6" x14ac:dyDescent="0.3">
      <c r="A285" s="39">
        <f t="shared" si="5"/>
        <v>330.87708333333285</v>
      </c>
      <c r="B285" s="2">
        <v>45757.40625</v>
      </c>
      <c r="D285">
        <v>30</v>
      </c>
      <c r="E285">
        <v>18</v>
      </c>
    </row>
    <row r="286" spans="1:6" x14ac:dyDescent="0.3">
      <c r="B286" s="2"/>
    </row>
    <row r="287" spans="1:6" x14ac:dyDescent="0.3">
      <c r="B287" s="2"/>
    </row>
    <row r="288" spans="1:6" x14ac:dyDescent="0.3">
      <c r="B288" s="2"/>
    </row>
    <row r="289" spans="2:2" x14ac:dyDescent="0.3">
      <c r="B289" s="2"/>
    </row>
    <row r="290" spans="2:2" x14ac:dyDescent="0.3">
      <c r="B290" s="2"/>
    </row>
    <row r="291" spans="2:2" x14ac:dyDescent="0.3">
      <c r="B291" s="2"/>
    </row>
    <row r="292" spans="2:2" x14ac:dyDescent="0.3">
      <c r="B292" s="2"/>
    </row>
    <row r="293" spans="2:2" x14ac:dyDescent="0.3">
      <c r="B293" s="2"/>
    </row>
    <row r="294" spans="2:2" x14ac:dyDescent="0.3">
      <c r="B294" s="2"/>
    </row>
    <row r="295" spans="2:2" x14ac:dyDescent="0.3">
      <c r="B295" s="2"/>
    </row>
    <row r="296" spans="2:2" x14ac:dyDescent="0.3">
      <c r="B296" s="2"/>
    </row>
    <row r="297" spans="2:2" x14ac:dyDescent="0.3">
      <c r="B297" s="2"/>
    </row>
    <row r="298" spans="2:2" x14ac:dyDescent="0.3">
      <c r="B298" s="2"/>
    </row>
    <row r="299" spans="2:2" x14ac:dyDescent="0.3">
      <c r="B299" s="2"/>
    </row>
    <row r="300" spans="2:2" x14ac:dyDescent="0.3">
      <c r="B300" s="2"/>
    </row>
    <row r="301" spans="2:2" x14ac:dyDescent="0.3">
      <c r="B301" s="2"/>
    </row>
    <row r="302" spans="2:2" x14ac:dyDescent="0.3">
      <c r="B302" s="2"/>
    </row>
    <row r="303" spans="2:2" x14ac:dyDescent="0.3">
      <c r="B303" s="2"/>
    </row>
    <row r="304" spans="2:2" x14ac:dyDescent="0.3">
      <c r="B304" s="2"/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7B365-F49F-4BEA-8152-1872AC732283}">
  <dimension ref="A2:F35"/>
  <sheetViews>
    <sheetView workbookViewId="0">
      <selection activeCell="I39" sqref="I39"/>
    </sheetView>
  </sheetViews>
  <sheetFormatPr defaultRowHeight="14.4" x14ac:dyDescent="0.3"/>
  <cols>
    <col min="1" max="3" width="12.33203125" customWidth="1"/>
    <col min="4" max="4" width="14.6640625" bestFit="1" customWidth="1"/>
    <col min="5" max="5" width="16.44140625" customWidth="1"/>
    <col min="6" max="6" width="12.33203125" customWidth="1"/>
  </cols>
  <sheetData>
    <row r="2" spans="1:6" x14ac:dyDescent="0.3">
      <c r="A2" s="6" t="s">
        <v>741</v>
      </c>
      <c r="B2" s="6" t="s">
        <v>742</v>
      </c>
      <c r="C2" s="6" t="s">
        <v>743</v>
      </c>
      <c r="D2" s="6" t="s">
        <v>645</v>
      </c>
      <c r="E2" s="6" t="s">
        <v>646</v>
      </c>
      <c r="F2" s="3" t="s">
        <v>744</v>
      </c>
    </row>
    <row r="3" spans="1:6" x14ac:dyDescent="0.3">
      <c r="A3" s="54">
        <f t="shared" ref="A3:A26" si="0">E3-D3</f>
        <v>15.970833333332848</v>
      </c>
      <c r="B3" s="54">
        <f t="shared" ref="B3:C8" si="1">D3-$D$3</f>
        <v>0</v>
      </c>
      <c r="C3" s="54">
        <f t="shared" si="1"/>
        <v>15.970833333332848</v>
      </c>
      <c r="D3" s="8">
        <f>TSS_VSS!A3</f>
        <v>45426.529166666667</v>
      </c>
      <c r="E3" s="8">
        <v>45442.5</v>
      </c>
      <c r="F3" t="s">
        <v>745</v>
      </c>
    </row>
    <row r="4" spans="1:6" x14ac:dyDescent="0.3">
      <c r="A4" s="54">
        <f t="shared" si="0"/>
        <v>57.972916666665697</v>
      </c>
      <c r="B4" s="54">
        <f t="shared" si="1"/>
        <v>0</v>
      </c>
      <c r="C4" s="54">
        <f t="shared" si="1"/>
        <v>57.972916666665697</v>
      </c>
      <c r="D4" s="8">
        <v>45426.529166666667</v>
      </c>
      <c r="E4" s="8">
        <v>45484.502083333333</v>
      </c>
      <c r="F4" t="s">
        <v>746</v>
      </c>
    </row>
    <row r="5" spans="1:6" x14ac:dyDescent="0.3">
      <c r="A5" s="54">
        <f t="shared" ca="1" si="0"/>
        <v>454.49791666666715</v>
      </c>
      <c r="B5" s="54">
        <f t="shared" si="1"/>
        <v>57.972916666665697</v>
      </c>
      <c r="C5" s="54">
        <f t="shared" ca="1" si="1"/>
        <v>512.47083333333285</v>
      </c>
      <c r="D5" s="8">
        <v>45484.502083333333</v>
      </c>
      <c r="E5" s="9">
        <f ca="1">TODAY()</f>
        <v>45939</v>
      </c>
      <c r="F5" t="s">
        <v>747</v>
      </c>
    </row>
    <row r="6" spans="1:6" x14ac:dyDescent="0.3">
      <c r="A6" s="54">
        <f t="shared" si="0"/>
        <v>93.915277777778101</v>
      </c>
      <c r="B6" s="54">
        <f t="shared" si="1"/>
        <v>0</v>
      </c>
      <c r="C6" s="54">
        <f t="shared" si="1"/>
        <v>93.915277777778101</v>
      </c>
      <c r="D6" s="8">
        <v>45426.529166666667</v>
      </c>
      <c r="E6" s="8">
        <v>45520.444444444445</v>
      </c>
      <c r="F6" t="s">
        <v>748</v>
      </c>
    </row>
    <row r="7" spans="1:6" x14ac:dyDescent="0.3">
      <c r="A7" s="54">
        <f t="shared" ca="1" si="0"/>
        <v>418.55555555555475</v>
      </c>
      <c r="B7" s="54">
        <f t="shared" si="1"/>
        <v>93.915277777778101</v>
      </c>
      <c r="C7" s="54">
        <f t="shared" ca="1" si="1"/>
        <v>512.47083333333285</v>
      </c>
      <c r="D7" s="8">
        <v>45520.444444444445</v>
      </c>
      <c r="E7" s="9">
        <f ca="1">TODAY()</f>
        <v>45939</v>
      </c>
      <c r="F7" t="s">
        <v>749</v>
      </c>
    </row>
    <row r="8" spans="1:6" x14ac:dyDescent="0.3">
      <c r="A8" s="54">
        <f t="shared" si="0"/>
        <v>31.108333333329938</v>
      </c>
      <c r="B8" s="54">
        <f t="shared" si="1"/>
        <v>61.977777777778101</v>
      </c>
      <c r="C8" s="54">
        <f t="shared" si="1"/>
        <v>93.086111111108039</v>
      </c>
      <c r="D8" s="8">
        <v>45488.506944444445</v>
      </c>
      <c r="E8" s="8">
        <v>45519.615277777775</v>
      </c>
      <c r="F8" t="s">
        <v>750</v>
      </c>
    </row>
    <row r="9" spans="1:6" x14ac:dyDescent="0.3">
      <c r="A9" s="54">
        <f t="shared" si="0"/>
        <v>0</v>
      </c>
      <c r="B9" s="54"/>
      <c r="C9" s="54"/>
      <c r="D9" s="10"/>
      <c r="E9" s="10"/>
    </row>
    <row r="10" spans="1:6" x14ac:dyDescent="0.3">
      <c r="A10" s="54">
        <f t="shared" si="0"/>
        <v>0</v>
      </c>
      <c r="B10" s="54"/>
      <c r="C10" s="54"/>
      <c r="D10" s="10"/>
      <c r="E10" s="10"/>
    </row>
    <row r="11" spans="1:6" x14ac:dyDescent="0.3">
      <c r="A11" s="54">
        <f t="shared" si="0"/>
        <v>0</v>
      </c>
      <c r="B11" s="54"/>
      <c r="C11" s="54"/>
      <c r="D11" s="10"/>
      <c r="E11" s="10"/>
    </row>
    <row r="12" spans="1:6" x14ac:dyDescent="0.3">
      <c r="A12" s="54">
        <f t="shared" si="0"/>
        <v>0</v>
      </c>
      <c r="B12" s="54"/>
      <c r="C12" s="54"/>
      <c r="D12" s="10"/>
      <c r="E12" s="10"/>
    </row>
    <row r="13" spans="1:6" x14ac:dyDescent="0.3">
      <c r="A13" s="54">
        <f t="shared" si="0"/>
        <v>0</v>
      </c>
      <c r="B13" s="54"/>
      <c r="C13" s="54"/>
      <c r="D13" s="10"/>
      <c r="E13" s="10"/>
    </row>
    <row r="14" spans="1:6" x14ac:dyDescent="0.3">
      <c r="A14" s="54">
        <f t="shared" si="0"/>
        <v>0</v>
      </c>
      <c r="B14" s="54"/>
      <c r="C14" s="54"/>
      <c r="D14" s="10"/>
      <c r="E14" s="10"/>
    </row>
    <row r="15" spans="1:6" x14ac:dyDescent="0.3">
      <c r="A15" s="54">
        <f t="shared" si="0"/>
        <v>0</v>
      </c>
      <c r="B15" s="54"/>
      <c r="C15" s="54"/>
      <c r="D15" s="10"/>
      <c r="E15" s="10"/>
    </row>
    <row r="16" spans="1:6" x14ac:dyDescent="0.3">
      <c r="A16" s="54">
        <f t="shared" si="0"/>
        <v>0</v>
      </c>
      <c r="B16" s="54"/>
      <c r="C16" s="54"/>
      <c r="D16" s="10"/>
      <c r="E16" s="10"/>
    </row>
    <row r="17" spans="1:5" x14ac:dyDescent="0.3">
      <c r="A17" s="54">
        <f t="shared" si="0"/>
        <v>0</v>
      </c>
      <c r="B17" s="54"/>
      <c r="C17" s="54"/>
      <c r="D17" s="10"/>
      <c r="E17" s="10"/>
    </row>
    <row r="18" spans="1:5" x14ac:dyDescent="0.3">
      <c r="A18" s="54">
        <f t="shared" si="0"/>
        <v>0</v>
      </c>
      <c r="B18" s="54"/>
      <c r="C18" s="54"/>
      <c r="D18" s="10"/>
      <c r="E18" s="10"/>
    </row>
    <row r="19" spans="1:5" x14ac:dyDescent="0.3">
      <c r="A19" s="54">
        <f t="shared" si="0"/>
        <v>0</v>
      </c>
      <c r="B19" s="54"/>
      <c r="C19" s="54"/>
      <c r="D19" s="10"/>
      <c r="E19" s="10"/>
    </row>
    <row r="20" spans="1:5" x14ac:dyDescent="0.3">
      <c r="A20" s="54">
        <f t="shared" si="0"/>
        <v>0</v>
      </c>
      <c r="B20" s="54"/>
      <c r="C20" s="54"/>
      <c r="D20" s="10"/>
      <c r="E20" s="10"/>
    </row>
    <row r="21" spans="1:5" x14ac:dyDescent="0.3">
      <c r="A21" s="54">
        <f t="shared" si="0"/>
        <v>0</v>
      </c>
      <c r="B21" s="54"/>
      <c r="C21" s="54"/>
      <c r="D21" s="10"/>
      <c r="E21" s="10"/>
    </row>
    <row r="22" spans="1:5" x14ac:dyDescent="0.3">
      <c r="A22" s="54">
        <f t="shared" si="0"/>
        <v>0</v>
      </c>
      <c r="B22" s="54"/>
      <c r="C22" s="54"/>
      <c r="D22" s="10"/>
      <c r="E22" s="10"/>
    </row>
    <row r="23" spans="1:5" x14ac:dyDescent="0.3">
      <c r="A23" s="54">
        <f t="shared" si="0"/>
        <v>0</v>
      </c>
      <c r="B23" s="54"/>
      <c r="C23" s="54"/>
      <c r="D23" s="10"/>
      <c r="E23" s="10"/>
    </row>
    <row r="24" spans="1:5" x14ac:dyDescent="0.3">
      <c r="A24" s="54">
        <f t="shared" si="0"/>
        <v>0</v>
      </c>
      <c r="B24" s="54"/>
      <c r="C24" s="54"/>
      <c r="D24" s="10"/>
      <c r="E24" s="10"/>
    </row>
    <row r="25" spans="1:5" x14ac:dyDescent="0.3">
      <c r="A25" s="54">
        <f t="shared" si="0"/>
        <v>0</v>
      </c>
      <c r="B25" s="54"/>
      <c r="C25" s="54"/>
      <c r="D25" s="10"/>
      <c r="E25" s="10"/>
    </row>
    <row r="26" spans="1:5" x14ac:dyDescent="0.3">
      <c r="A26" s="54">
        <f t="shared" si="0"/>
        <v>0</v>
      </c>
      <c r="B26" s="54"/>
      <c r="C26" s="54"/>
      <c r="D26" s="10"/>
      <c r="E26" s="10"/>
    </row>
    <row r="27" spans="1:5" x14ac:dyDescent="0.3">
      <c r="A27" s="10"/>
      <c r="B27" s="10"/>
      <c r="C27" s="10"/>
      <c r="D27" s="10"/>
      <c r="E27" s="10"/>
    </row>
    <row r="28" spans="1:5" x14ac:dyDescent="0.3">
      <c r="A28" s="10"/>
      <c r="B28" s="10"/>
      <c r="C28" s="10"/>
      <c r="D28" s="10"/>
      <c r="E28" s="10"/>
    </row>
    <row r="29" spans="1:5" x14ac:dyDescent="0.3">
      <c r="A29" s="10"/>
      <c r="B29" s="10"/>
      <c r="C29" s="10"/>
      <c r="D29" s="10"/>
      <c r="E29" s="10"/>
    </row>
    <row r="30" spans="1:5" x14ac:dyDescent="0.3">
      <c r="A30" s="10"/>
      <c r="B30" s="10"/>
      <c r="C30" s="10"/>
      <c r="D30" s="10"/>
      <c r="E30" s="10"/>
    </row>
    <row r="31" spans="1:5" x14ac:dyDescent="0.3">
      <c r="A31" s="10"/>
      <c r="B31" s="10"/>
      <c r="C31" s="10"/>
      <c r="D31" s="10"/>
      <c r="E31" s="10"/>
    </row>
    <row r="32" spans="1:5" x14ac:dyDescent="0.3">
      <c r="A32" s="10"/>
      <c r="B32" s="10"/>
      <c r="C32" s="10"/>
      <c r="D32" s="10"/>
      <c r="E32" s="10"/>
    </row>
    <row r="33" spans="1:5" x14ac:dyDescent="0.3">
      <c r="A33" s="10"/>
      <c r="B33" s="10"/>
      <c r="C33" s="10"/>
      <c r="D33" s="10"/>
      <c r="E33" s="10"/>
    </row>
    <row r="34" spans="1:5" x14ac:dyDescent="0.3">
      <c r="A34" s="10"/>
      <c r="B34" s="10"/>
      <c r="C34" s="10"/>
      <c r="D34" s="10"/>
      <c r="E34" s="10"/>
    </row>
    <row r="35" spans="1:5" x14ac:dyDescent="0.3">
      <c r="A35" s="10"/>
      <c r="B35" s="10"/>
      <c r="C35" s="10"/>
      <c r="D35" s="10"/>
      <c r="E35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df3a54b-5ff8-4406-aba4-4eb2dbf0a7b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2271A1F7FBE4797F4CACB57B9306D" ma:contentTypeVersion="11" ma:contentTypeDescription="Create a new document." ma:contentTypeScope="" ma:versionID="3bda0ba7a39dc1a1399b1f0e5b4dadc6">
  <xsd:schema xmlns:xsd="http://www.w3.org/2001/XMLSchema" xmlns:xs="http://www.w3.org/2001/XMLSchema" xmlns:p="http://schemas.microsoft.com/office/2006/metadata/properties" xmlns:ns3="2df3a54b-5ff8-4406-aba4-4eb2dbf0a7b7" targetNamespace="http://schemas.microsoft.com/office/2006/metadata/properties" ma:root="true" ma:fieldsID="06980f08be08ba46533550231262db81" ns3:_="">
    <xsd:import namespace="2df3a54b-5ff8-4406-aba4-4eb2dbf0a7b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f3a54b-5ff8-4406-aba4-4eb2dbf0a7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6" nillable="true" ma:displayName="_activity" ma:hidden="true" ma:internalName="_activity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F83A60-4F6D-4325-85FB-0871886FC4C4}">
  <ds:schemaRefs>
    <ds:schemaRef ds:uri="http://schemas.microsoft.com/office/2006/metadata/properties"/>
    <ds:schemaRef ds:uri="http://schemas.microsoft.com/office/infopath/2007/PartnerControls"/>
    <ds:schemaRef ds:uri="2df3a54b-5ff8-4406-aba4-4eb2dbf0a7b7"/>
  </ds:schemaRefs>
</ds:datastoreItem>
</file>

<file path=customXml/itemProps2.xml><?xml version="1.0" encoding="utf-8"?>
<ds:datastoreItem xmlns:ds="http://schemas.openxmlformats.org/officeDocument/2006/customXml" ds:itemID="{AE56D172-9FEC-4CD4-AE32-F9B3E00D4D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f3a54b-5ff8-4406-aba4-4eb2dbf0a7b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C704EE-2F4E-476B-876C-4B53EF9FC21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GC_TCD</vt:lpstr>
      <vt:lpstr>Summary</vt:lpstr>
      <vt:lpstr>Plots</vt:lpstr>
      <vt:lpstr>Pre-Summary</vt:lpstr>
      <vt:lpstr>Sheet2</vt:lpstr>
      <vt:lpstr>Sheet1</vt:lpstr>
      <vt:lpstr>SRT.HRT</vt:lpstr>
      <vt:lpstr>Biomass Sample</vt:lpstr>
      <vt:lpstr>DNA Extractions</vt:lpstr>
      <vt:lpstr>Ammonia</vt:lpstr>
      <vt:lpstr>Library</vt:lpstr>
      <vt:lpstr>CO2 Delivery</vt:lpstr>
      <vt:lpstr>TSS_VSS</vt:lpstr>
      <vt:lpstr>H2 Delivery</vt:lpstr>
      <vt:lpstr>VFA</vt:lpstr>
      <vt:lpstr>COD</vt:lpstr>
      <vt:lpstr>TOC_TIC</vt:lpstr>
      <vt:lpstr>Liquid Volume</vt:lpstr>
      <vt:lpstr>Operational Phases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Heather Nielsen</dc:creator>
  <cp:keywords/>
  <dc:description/>
  <cp:lastModifiedBy>Heather Nielsen</cp:lastModifiedBy>
  <cp:revision/>
  <dcterms:created xsi:type="dcterms:W3CDTF">2024-05-14T20:22:02Z</dcterms:created>
  <dcterms:modified xsi:type="dcterms:W3CDTF">2025-10-09T22:58:42Z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0x0101002302271A1F7FBE4797F4CACB57B9306D</vt:lpwstr>
  </property>
  <property fmtid="{D5CDD505-2E9C-101B-9397-08002B2CF9AE}" pid="3" name="MediaServiceImageTags">
    <vt:lpwstr/>
  </property>
</Properties>
</file>